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16.xml"/>
  <Override ContentType="application/vnd.openxmlformats-officedocument.spreadsheetml.comments+xml" PartName="/xl/comments17.xml"/>
  <Override ContentType="application/vnd.openxmlformats-officedocument.spreadsheetml.comments+xml" PartName="/xl/comments18.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defaultThemeVersion="124226"/>
  <bookViews>
    <workbookView xWindow="120" yWindow="3180" windowWidth="9135" windowHeight="4260" tabRatio="917" firstSheet="1" activeTab="1"/>
  </bookViews>
  <sheets>
    <sheet name="OldIS" sheetId="1" state="hidden" r:id="rId1"/>
    <sheet name="ImportantDisclosures" sheetId="40" r:id="rId2"/>
    <sheet name="CircularReferenceAlert" sheetId="43" r:id="rId3"/>
    <sheet name="Valuation" sheetId="5" r:id="rId4"/>
    <sheet name="Q" sheetId="37" state="hidden" r:id="rId5"/>
    <sheet name="IS" sheetId="6" r:id="rId6"/>
    <sheet name="BS" sheetId="7" r:id="rId7"/>
    <sheet name="CFS" sheetId="8" r:id="rId8"/>
    <sheet name="Wless" sheetId="12" r:id="rId9"/>
    <sheet name="Wireline" sheetId="13" r:id="rId10"/>
    <sheet name="FiOS" sheetId="14" r:id="rId11"/>
    <sheet name="Lines" sheetId="15" r:id="rId12"/>
    <sheet name="Capex" sheetId="17" r:id="rId13"/>
    <sheet name="Other" sheetId="16" r:id="rId14"/>
    <sheet name="Segments" sheetId="11" r:id="rId15"/>
    <sheet name="Pension - NEW" sheetId="19" r:id="rId16"/>
    <sheet name="OPEB - NEW" sheetId="20" r:id="rId17"/>
    <sheet name="Cash Taxes" sheetId="35" r:id="rId18"/>
    <sheet name="NormInputs" sheetId="21" r:id="rId19"/>
    <sheet name="Links" sheetId="22" r:id="rId20"/>
    <sheet name="IndexInformation" sheetId="41" r:id="rId21"/>
    <sheet name="ModPubIndex" sheetId="42" r:id="rId22"/>
  </sheets>
  <externalReferences>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s>
  <definedNames>
    <definedName name="__FDS_HYPERLINK_TOGGLE_STATE__" hidden="1">"ON"</definedName>
    <definedName name="_2__123Graph_Aｸﾞﾗﾌ_1" hidden="1">[1]ｾｸﾞﾒﾝﾄ!$E$164:$I$164</definedName>
    <definedName name="_3__123Graph_Aｸﾞﾗﾌ_2" hidden="1">[1]単独!$AR$14:$AR$18</definedName>
    <definedName name="_4__123Graph_Bｸﾞﾗﾌ_1" hidden="1">[1]ｾｸﾞﾒﾝﾄ!$E$165:$I$165</definedName>
    <definedName name="_5__123Graph_Dｸﾞﾗﾌ_1" hidden="1">[1]ｾｸﾞﾒﾝﾄ!$E$167:$I$167</definedName>
    <definedName name="_bdm.023820438DF64D6ABFE5D9FE731DA40F.edm" hidden="1" xml:space="preserve">      Q!$1:$1048576</definedName>
    <definedName name="_bdm.02E29E7B1053433EA3CCCBE4E5141596.edm" hidden="1">[2]Sheet1!$A:$IV</definedName>
    <definedName name="_bdm.037847E7F0D04F078D54AEF2D696E235.edm" hidden="1" xml:space="preserve">      Q!$1:$1048576</definedName>
    <definedName name="_bdm.04B1226E86BA4132823A12CAA6324B1F.edm" hidden="1" xml:space="preserve">      Q!$1:$1048576</definedName>
    <definedName name="_bdm.05C7FF6C1B404E8080535DD7E1DBF9E2.edm" hidden="1">[3]Valuation!$IV$1</definedName>
    <definedName name="_bdm.060D0C45D1D3491F95F1138DD9B2CF86.edm" hidden="1">'[3]Segments OLD'!$IV$1</definedName>
    <definedName name="_bdm.0839F344A5364823895A6BFD916A6FB0.edm" hidden="1" xml:space="preserve">      Q!$1:$1048576</definedName>
    <definedName name="_bdm.0979FCAB2F3B4FAAA6BB19411AD1AFE7.edm" hidden="1" xml:space="preserve">      Q!$1:$1048576</definedName>
    <definedName name="_bdm.097DBEBA8D024A9A944CC6DE49E7AF1F.edm" hidden="1" xml:space="preserve">      Q!$1:$1048576</definedName>
    <definedName name="_bdm.099F77DC46284314AEEBAB6201D31123.edm" hidden="1" xml:space="preserve">      Q!$1:$1048576</definedName>
    <definedName name="_bdm.09A4899922BB45E7935EAB919AE3D7DB.edm" hidden="1" xml:space="preserve">          [4]Estimates!$A:$IV</definedName>
    <definedName name="_bdm.09C92DEF80DA474DAFE70324E58A7AE4.edm" hidden="1" xml:space="preserve">          '[5]2Q10'!$A:$IV</definedName>
    <definedName name="_bdm.0B8AFC61EA354573960D6E135486DC32.edm" hidden="1">[4]Exhibits!$A:$IV</definedName>
    <definedName name="_bdm.0CCE61AD8E5B4D76BF7EFF04CB77D92D.edm" hidden="1" xml:space="preserve">          [4]Estimates!$A:$IV</definedName>
    <definedName name="_bdm.0E2D7F1898F14EF8A0C1AA65F6F487D0.edm" hidden="1" xml:space="preserve">          '[5]2Q10'!$A:$IV</definedName>
    <definedName name="_bdm.0EA3837B13954E41A2EB59BF9E8F92E2.edm" hidden="1" xml:space="preserve">      Q!$1:$1048576</definedName>
    <definedName name="_bdm.0F092D9BCCA649AC9293F720043870A1.edm" localSheetId="8" hidden="1">Wless!$A$5:$CS$123</definedName>
    <definedName name="_bdm.0FA5E7CF963E4590AA5B429B112D6D9B.edm" hidden="1" xml:space="preserve">          [4]Estimates!$A:$IV</definedName>
    <definedName name="_bdm.10DD25A1AE814D7AB7D6BEF38A0BA066.edm" hidden="1" xml:space="preserve">          [4]Estimates!$A:$IV</definedName>
    <definedName name="_bdm.11962639CB4346809FC2FA43B5F559EB.edm" hidden="1" xml:space="preserve">      Q!$1:$1048576</definedName>
    <definedName name="_bdm.11EB72ACE3374B1CB252FDD683429D59.edm" localSheetId="17" hidden="1">[6]C1500!$A:$IV</definedName>
    <definedName name="_bdm.11EB72ACE3374B1CB252FDD683429D59.edm" hidden="1">[7]C1500!$A:$IV</definedName>
    <definedName name="_bdm.125EFDE8E82A40FFA0247E91165F9C7D.edm" hidden="1" xml:space="preserve">      Q!$1:$1048576</definedName>
    <definedName name="_bdm.12C3E89515AA4F41AFAD5B0FA26EE6B6.edm" hidden="1" xml:space="preserve">          [4]Estimates!$A:$IV</definedName>
    <definedName name="_bdm.133E8D72C2A6412F89E4A6876E0738AD.edm" hidden="1" xml:space="preserve">      Q!$1:$1048576</definedName>
    <definedName name="_bdm.14DBEB0052CE4E27962CC211469159F2.edm" localSheetId="4" hidden="1">Q!$D$2:$T$25</definedName>
    <definedName name="_bdm.17BFFB5BEF07465D94CECB7A3D006C36.edm" hidden="1" xml:space="preserve">      Q!$1:$1048576</definedName>
    <definedName name="_bdm.1ABB611708894CF1AC136F0465E47311.edm" localSheetId="4" hidden="1">Q!$D$2:$T$25</definedName>
    <definedName name="_bdm.1AD57EB66F04402893A9FB3B4B2BF646.edm" hidden="1" xml:space="preserve">      Q!$1:$1048576</definedName>
    <definedName name="_bdm.1C0D3F52CA95419E8268AE934E917C5D.edm" hidden="1" xml:space="preserve">      Q!$1:$1048576</definedName>
    <definedName name="_bdm.1EA2C55354BC405E8054417618398F92.edm" localSheetId="7" hidden="1">CFS!$A$6:$CS$62</definedName>
    <definedName name="_bdm.1F0DE34B29A341D3A02532A2C6CB9801.edm" hidden="1" xml:space="preserve">      Q!$1:$1048576</definedName>
    <definedName name="_bdm.1FC1D2C7C5834CD79273D9CB4D2CEE06.edm" localSheetId="17" hidden="1" xml:space="preserve"> '[3]Segments OLD'!$A:$IV</definedName>
    <definedName name="_bdm.1FF84CFCF1384863A303237D795FB357.edm" hidden="1">[3]Valuation!$IV$1</definedName>
    <definedName name="_bdm.204BB594BBD346EDBF5B913CC3C2C951.edm" hidden="1" xml:space="preserve">      Q!$1:$1048576</definedName>
    <definedName name="_bdm.204F2A39BEB240D29F69E59FF20303E8.edm" hidden="1">'[3]Segments OLD'!$IV$1</definedName>
    <definedName name="_bdm.21EFDAE971044B3884A1D6BD3BE602A1.edm" hidden="1" xml:space="preserve">      Q!$1:$1048576</definedName>
    <definedName name="_bdm.22278B9230174FEE9DB15D7D99D5B99C.edm" hidden="1" xml:space="preserve">          [4]Estimates!$A:$IV</definedName>
    <definedName name="_bdm.22B296539A774E1BB83F2F6E9AA5A4F3.edm" localSheetId="5" hidden="1">IS!$A$4:$CP$116</definedName>
    <definedName name="_bdm.267F13B1DD4B4365A19338E7C2D91840.edm" localSheetId="17" hidden="1" xml:space="preserve">           '[3]Segments OLD'!$A:$IV</definedName>
    <definedName name="_bdm.27B48B5204544A84AC7ADDAC3C2E04D4.edm" hidden="1" xml:space="preserve">          [4]Estimates!$A:$IV</definedName>
    <definedName name="_bdm.289F721A02DC4635AFE241716EF9A77E.edm" hidden="1" xml:space="preserve">      Q!$1:$1048576</definedName>
    <definedName name="_bdm.2972042C761F4629898FD2FFE9D0521E.edm" localSheetId="4" hidden="1">Q!$D$2:$T$18</definedName>
    <definedName name="_bdm.299D818D4B5744569C5917B6EE053ED6.edm" localSheetId="9" hidden="1">Wireline!$A$5:$CW$135</definedName>
    <definedName name="_bdm.2A1D0672EA0D43449BBA27296A3F230A.edm" localSheetId="4" hidden="1">Q!$D$2:$D$18</definedName>
    <definedName name="_bdm.2A670007732C450EA5BDE6C126EB4CF6.edm" localSheetId="17" hidden="1" xml:space="preserve">                      '[3]Segments OLD'!$A:$IV</definedName>
    <definedName name="_bdm.2BDCF05BE7314910BC0C39461F69947A.edm" hidden="1">[5]BS!$A:$IV</definedName>
    <definedName name="_bdm.2C81F32922244EDFB863C4130DF8DA0E.edm" localSheetId="4" hidden="1">Q!$D$3:$T$25</definedName>
    <definedName name="_bdm.2D70B817439B457380BA8A9A29B73DB4.edm" localSheetId="5" hidden="1">IS!$A$4:$CT$104</definedName>
    <definedName name="_bdm.2DCC3A96EA1B4ECDB5696E4FE9E6A027.edm" localSheetId="4" hidden="1">Q!$D$2:$T$18</definedName>
    <definedName name="_bdm.2F323EF1CA214B28A87E3EFA2D351D53.edm" hidden="1" xml:space="preserve">      Q!$1:$1048576</definedName>
    <definedName name="_bdm.31A95D94420D4EAE98895021BD5FE4E7.edm" localSheetId="9" hidden="1">Wireline!$A$4:$CW$135</definedName>
    <definedName name="_bdm.345BCF90FE634652AE69B3AA60DA951C.edm" hidden="1" xml:space="preserve">      Q!$1:$1048576</definedName>
    <definedName name="_bdm.34ED6155BBB54183A4878B45707D893F.edm" hidden="1" xml:space="preserve">      Q!$1:$1048576</definedName>
    <definedName name="_bdm.35C11C77EA7B47659C9FCB167B1D7BEC.edm" hidden="1" xml:space="preserve">      Q!$1:$1048576</definedName>
    <definedName name="_bdm.35C25D79C1F74869AF9284107DB71F25.edm" localSheetId="5" hidden="1">IS!$A$5:$CX$104</definedName>
    <definedName name="_bdm.35FC400AE1954CCC9307ADE16BFD634A.edm" hidden="1" xml:space="preserve">          '[5]2Q10'!$A:$IV</definedName>
    <definedName name="_bdm.361F85B5245D4C18B7CE20DF8AC93BB3.edm" localSheetId="9" hidden="1">Wireline!$A$5:$DA$135</definedName>
    <definedName name="_bdm.3799C04A47DB4FD0ADB91B8C2D46AADE.edm" hidden="1" xml:space="preserve">          [4]Estimates!$A:$IV</definedName>
    <definedName name="_bdm.38C240B8058F45ACB7259B1A695E7578.edm" localSheetId="4" hidden="1">Q!$D$2:$T$25</definedName>
    <definedName name="_bdm.38C42FC5B4CF4FA499500B241622ECA5.edm" localSheetId="17" hidden="1" xml:space="preserve">                      '[3]Segments OLD'!$A:$IV</definedName>
    <definedName name="_bdm.3950362BD23B4815946FF1D4F4B39938.edm" hidden="1" xml:space="preserve">      Q!$1:$1048576</definedName>
    <definedName name="_bdm.398039BA2CFB45A2A8C61D8250AB3726.edm" hidden="1" xml:space="preserve">      Q!$1:$1048576</definedName>
    <definedName name="_bdm.3C244E5AFE7A471F859909D592874AE0.edm" localSheetId="8" hidden="1">Wless!$A$5:$DA$122</definedName>
    <definedName name="_bdm.3C7C7E68FD924AC0A919845A2915BA0C.edm" hidden="1" xml:space="preserve">      Q!$1:$1048576</definedName>
    <definedName name="_bdm.3E6EE9BA6C194C53B83B184D0379880F.edm" hidden="1" xml:space="preserve">          [4]Estimates!$A:$IV</definedName>
    <definedName name="_bdm.3E9C525AF2784CDBA8E212516F4A7D60.edm" localSheetId="8" hidden="1">Wless!$A$694:$DA$704</definedName>
    <definedName name="_bdm.3F0915E1E6D9476A8D86FDDF1FC39E21.edm" hidden="1">[4]DCFOld!$A:$IV</definedName>
    <definedName name="_bdm.411113306BBA46959047268512751858.edm" localSheetId="10" hidden="1">FiOS!$A$5:$L$5</definedName>
    <definedName name="_bdm.412A751F839F4982840FE7303122046D.edm" hidden="1" xml:space="preserve">          '[5]2Q10'!$A:$IV</definedName>
    <definedName name="_bdm.41B64E6124454CF0AA179300F2515A96.edm" localSheetId="7" hidden="1">CFS!$A$6:$CS$61</definedName>
    <definedName name="_bdm.424F0BCFA32D43B79DC50C3AEEE550DD.edm" hidden="1" xml:space="preserve">          [4]Estimates!$A:$IV</definedName>
    <definedName name="_bdm.429D6EECF9F5451488DB7EB4EE13A137.edm" hidden="1" xml:space="preserve">      Q!$1:$1048576</definedName>
    <definedName name="_bdm.42BB0BCF6C9D42D0B93591DCC3EA7614.edm" localSheetId="4" hidden="1">Q!$D$2:$T$25</definedName>
    <definedName name="_bdm.44F469AF1A84455181F59855246580AA.edm" hidden="1" xml:space="preserve">      Q!$1:$1048576</definedName>
    <definedName name="_bdm.455DD69ADD2543ECB8BA250FE2D4877D.edm" hidden="1" xml:space="preserve">      Q!$1:$1048576</definedName>
    <definedName name="_bdm.46E7AB6123854DD7A23277A13119A661.edm" hidden="1">[3]Value!$A:$IV</definedName>
    <definedName name="_bdm.47AE63545974462A9F1C6E03DD5C8EA8.edm" localSheetId="8" hidden="1">Wless!$A$629:$T$657</definedName>
    <definedName name="_bdm.48AC98DD715B4032B8CC33443AE9CB4D.edm" hidden="1" xml:space="preserve">            Q!$1:$1048576</definedName>
    <definedName name="_bdm.48CBF3D2F0114D8EBC1099F247ED3EE8.edm" hidden="1" xml:space="preserve">      Q!$1:$1048576</definedName>
    <definedName name="_bdm.4B6146CA5761462D8287CDB43924D1B5.edm" hidden="1" xml:space="preserve">      Q!$1:$1048576</definedName>
    <definedName name="_bdm.4C883490774E423AA464CCEFCBF231A2.edm" hidden="1">[5]CF!$A:$IV</definedName>
    <definedName name="_bdm.4D17415C23654E16BF448A9B106C4926.edm" hidden="1" xml:space="preserve">      Q!$1:$1048576</definedName>
    <definedName name="_bdm.4DD21A92D8C542F8BBD078979B34F887.edm" hidden="1" xml:space="preserve">      Q!$1:$1048576</definedName>
    <definedName name="_bdm.4EF1CDC9E726405E9AC4FE2796FD1771.edm" localSheetId="6" hidden="1">BS!$A$5:$CS$62</definedName>
    <definedName name="_bdm.4F5D6618568F443084B41BA345A8A65D.edm" hidden="1" xml:space="preserve">      Q!$1:$1048576</definedName>
    <definedName name="_bdm.504191365A3B4BD9974A0858B8CB4378.edm" hidden="1" xml:space="preserve">      Q!$1:$1048576</definedName>
    <definedName name="_bdm.54FBA624B1394FAB866913E242CE63B1.edm" localSheetId="8" hidden="1">Wless!$A$629:$T$656</definedName>
    <definedName name="_bdm.55F9665CF5944235ACA0DC39F6FC5569.edm" localSheetId="17" hidden="1" xml:space="preserve">           '[3]Segments OLD'!$A:$IV</definedName>
    <definedName name="_bdm.575D6C4139E248E892D115988BE5582E.edm" hidden="1">[3]CFS!$A:$IV</definedName>
    <definedName name="_bdm.585ED2767D0E4B2A97CB7FC959C53EE3.edm" hidden="1" xml:space="preserve">          [4]Estimates!$A:$IV</definedName>
    <definedName name="_bdm.58BBE9ECCFF644B09E255EBB8068C086.edm" localSheetId="4" hidden="1">Q!$D$1:$T$25</definedName>
    <definedName name="_bdm.596D7949A4854F3A9134F04556757EBD.edm" hidden="1" xml:space="preserve">            Q!$1:$1048576</definedName>
    <definedName name="_bdm.5BB4833943404C78A5FBD20A2282F9A2.edm" hidden="1" xml:space="preserve">      Q!$1:$1048576</definedName>
    <definedName name="_bdm.5BF7E8E06899406D83D972778B06E99B.edm" localSheetId="9" hidden="1">Wireline!$A$5:$DA$135</definedName>
    <definedName name="_bdm.5C4A8327FAF34D6B915C7AB26947F1EE.edm" hidden="1" xml:space="preserve">      Q!$1:$1048576</definedName>
    <definedName name="_bdm.5CF5CBEAA3DC4515B042573879782C87.edm" hidden="1" xml:space="preserve">      Q!$1:$1048576</definedName>
    <definedName name="_bdm.5E1E1090933142B09529755E4BB36FDE.edm" localSheetId="8" hidden="1">Wless!$A$694:$DA$704</definedName>
    <definedName name="_bdm.5E75B3F1FCF44E519BBE399444BCF263.edm" hidden="1" xml:space="preserve">          [4]Estimates!$A:$IV</definedName>
    <definedName name="_bdm.5EC0F453A8014E1BB469F76BFBDE951E.edm" hidden="1" xml:space="preserve">          [4]Estimates!$A:$IV</definedName>
    <definedName name="_bdm.5ED1CB2C782F4C64AD1E6E9DC145686A.edm" hidden="1" xml:space="preserve">      Q!$1:$1048576</definedName>
    <definedName name="_bdm.615054EAA26748AFA281B71A9B27084D.edm" hidden="1" xml:space="preserve">      Q!$1:$1048576</definedName>
    <definedName name="_bdm.625314D6BCCF4147B4A6E8B4C75143A0.edm" hidden="1" xml:space="preserve">          [4]Estimates!$A:$IV</definedName>
    <definedName name="_bdm.62CADB64BBD749EB9A6C7E9C9C44601D.edm" localSheetId="4" hidden="1">Q!$D$2:$D$18</definedName>
    <definedName name="_bdm.63A8005DBB5840E8A49C737A2B4ED9D8.edm" hidden="1" xml:space="preserve">      Q!$1:$1048576</definedName>
    <definedName name="_bdm.6469CEDCF120465FB92CCCC758DD6961.edm" hidden="1" xml:space="preserve">      Q!$1:$1048576</definedName>
    <definedName name="_bdm.65427A4C9F544C95ABB9C6A82721D604.edm" localSheetId="8" hidden="1">Wless!$A$4:$CW$123</definedName>
    <definedName name="_bdm.667300D36C5046FC99E951AD832B0C82.edm" localSheetId="7" hidden="1">CFS!$A$6:$DA$61</definedName>
    <definedName name="_bdm.67270FDD60E2467DAA126E286082B4C3.edm" hidden="1" xml:space="preserve">      Q!$1:$1048576</definedName>
    <definedName name="_bdm.67D9AC1B511B47BC8775A414D8B6F62A.edm" hidden="1" xml:space="preserve">      Q!$1:$1048576</definedName>
    <definedName name="_bdm.67F13678F2D84C96A2AAD0705285C36E.edm" hidden="1">[3]Valuation!$IV$1</definedName>
    <definedName name="_bdm.682EF599420140FDBF01DEB63100D627.edm" localSheetId="17" hidden="1" xml:space="preserve">                      '[3]Segments OLD'!$A:$IV</definedName>
    <definedName name="_bdm.68B3415B4116422F8F2D711F93507CAA.edm" localSheetId="17" hidden="1" xml:space="preserve"> '[3]Segments OLD'!$A:$IV</definedName>
    <definedName name="_bdm.6AF0A1D5614643A7A389F3AEBF5140BF.edm" hidden="1" xml:space="preserve">      Q!$1:$1048576</definedName>
    <definedName name="_bdm.6B16548F2AD94D6B9C774063385D0828.edm" hidden="1" xml:space="preserve">      Q!$1:$1048576</definedName>
    <definedName name="_bdm.6BB2803AF5104ABC832EEF343A009B64.edm" localSheetId="4" hidden="1">Q!$D$2:$T$18</definedName>
    <definedName name="_bdm.6BD64747486D450DB0D018CA09DEE18C.edm" localSheetId="17" hidden="1" xml:space="preserve">           '[3]Segments OLD'!$A:$IV</definedName>
    <definedName name="_bdm.6BF63E59082A44B5A5D26312DFC30037.edm" localSheetId="8" hidden="1">Wless!$A$5:$CW$123</definedName>
    <definedName name="_bdm.6C36467C814A433B99314A55CF6975E1.edm" hidden="1">[4]BS!$A:$IV</definedName>
    <definedName name="_bdm.6C7AA935436D4B818ACE218774DDB14F.edm" localSheetId="4" hidden="1">Q!$D$2:$T$18</definedName>
    <definedName name="_bdm.6D49F4A7ACD6459280185CD564334077.edm" localSheetId="9" hidden="1">Wireline!$A$5:$CS$135</definedName>
    <definedName name="_bdm.6D543028941947A88DFE4E1436176DD6.edm" hidden="1" xml:space="preserve">          [4]Estimates!$A:$IV</definedName>
    <definedName name="_bdm.6F3B58ACC451434AB1D8C566AD2A45BB.edm" localSheetId="5" hidden="1">IS!$A$5:$CX$104</definedName>
    <definedName name="_bdm.70E1C7CDD5D643848A7E696826A88AD9.edm" hidden="1" xml:space="preserve">      Q!$1:$1048576</definedName>
    <definedName name="_bdm.7181BFB8E09D4DA48BC631E292F7ABF9.edm" localSheetId="4" hidden="1">Q!$D$2:$T$25</definedName>
    <definedName name="_bdm.73B6300AA06242CC81842465AC1C421A.edm" hidden="1" xml:space="preserve">            Q!$1:$1048576</definedName>
    <definedName name="_bdm.747660BA098C48A2BBBEE5C1409B64A5.edm" hidden="1" xml:space="preserve">            Q!$1:$1048576</definedName>
    <definedName name="_bdm.77B64C7DA0BE411FAE4FB16233BB9256.edm" hidden="1" xml:space="preserve">          '[5]2Q10'!$A:$IV</definedName>
    <definedName name="_bdm.7A66F26DE978472089B630CB87A889DA.edm" localSheetId="17" hidden="1" xml:space="preserve">           '[3]Segments OLD'!$A:$IV</definedName>
    <definedName name="_bdm.7AAE92F8C69D46878657AF83122196AF.edm" hidden="1" xml:space="preserve">      Q!$1:$1048576</definedName>
    <definedName name="_bdm.7CA133702A514D699197C3409ABAB620.edm" hidden="1" xml:space="preserve">      Q!$1:$1048576</definedName>
    <definedName name="_bdm.7F0A175FBDFF4D87AE36623B16088643.edm" localSheetId="8" hidden="1">Wless!$A$5:$CW$122</definedName>
    <definedName name="_bdm.7FB4ABA514F546C79C5CAE96E103E8C4.edm" hidden="1" xml:space="preserve">      Q!$1:$1048576</definedName>
    <definedName name="_bdm.82CDFA33C2004B50B55384CC7AA60D8F.edm" hidden="1" xml:space="preserve">          [4]Estimates!$A:$IV</definedName>
    <definedName name="_bdm.8388EBFCA3A5463192904E0F220D3E85.edm" hidden="1" xml:space="preserve">          '[5]2Q10'!$A:$IV</definedName>
    <definedName name="_bdm.8424548B602A428483A3CEE97B5880E6.edm" hidden="1" xml:space="preserve">           Q!$1:$1048576</definedName>
    <definedName name="_bdm.8433066BA6DF41E0A1E6B00C1CB22CB2.edm" hidden="1" xml:space="preserve">      Q!$1:$1048576</definedName>
    <definedName name="_bdm.86CC515E82474AA79BE7F10534F78AE9.edm" localSheetId="4" hidden="1">Q!$D$2:$T$25</definedName>
    <definedName name="_bdm.86FB5429EDBE4793AF82A690E2DFBBA7.edm" hidden="1" xml:space="preserve">          [4]Estimates!$A:$IV</definedName>
    <definedName name="_bdm.8BBFA630CBE643F5AFC809A742FA22C4.edm" hidden="1" xml:space="preserve">            Q!$1:$1048576</definedName>
    <definedName name="_bdm.8BD1816A30DD4CE2B23279EF37BB7A18.edm" hidden="1" xml:space="preserve">      Q!$1:$1048576</definedName>
    <definedName name="_bdm.8D11F2C61FCB49F0A7B0312C2F54DD28.edm" hidden="1">[5]IS!$A:$IV</definedName>
    <definedName name="_bdm.8D15893452FB49598629EE0733B50C8B.edm" hidden="1">[4]Markets!$A:$IV</definedName>
    <definedName name="_bdm.8D32C947C89B4E28B219CD913C796E01.edm" hidden="1">[4]Lease!$A:$IV</definedName>
    <definedName name="_bdm.8D70067F6FAE44FC9D0E33579422DC6B.edm" localSheetId="9" hidden="1">Wireline!$A$4:$CS$135</definedName>
    <definedName name="_bdm.8E26E022E013458D9F929908B3017D5D.edm" hidden="1" xml:space="preserve">      Q!$1:$1048576</definedName>
    <definedName name="_bdm.8E795170B3E04E51B4EC3D8EEBF51940.edm" hidden="1">[3]Cover!$A:$IV</definedName>
    <definedName name="_bdm.926AE6E82ADA40A48205A9283178AB48.edm" hidden="1" xml:space="preserve">      Q!$1:$1048576</definedName>
    <definedName name="_bdm.92DE0968E3C74BEC87066FD48ED38383.edm" localSheetId="5" hidden="1">IS!$A$5:$CP$116</definedName>
    <definedName name="_bdm.945517F6D5B4453D862ADB296C52AD6F.edm" hidden="1" xml:space="preserve">            Q!$1:$1048576</definedName>
    <definedName name="_bdm.94FB507F7D454C24A39EFACCF9BA3526.edm" hidden="1" xml:space="preserve">      Q!$1:$1048576</definedName>
    <definedName name="_bdm.94FF4F8141174C60B6EB3F1B18F5E25A.edm" hidden="1" xml:space="preserve">      Q!$1:$1048576</definedName>
    <definedName name="_bdm.972DA8F82DF941B59EAE488DCD1A84F5.edm" hidden="1" xml:space="preserve">      Q!$1:$1048576</definedName>
    <definedName name="_bdm.98332ADA115847638B615C0151157055.edm" localSheetId="4" hidden="1">Q!$D$2:$T$18</definedName>
    <definedName name="_bdm.98C97109EA424F62960BB08AF57DDA2C.edm" hidden="1" xml:space="preserve">      Q!$1:$1048576</definedName>
    <definedName name="_bdm.998A8E20DB9043BA990F0563BB814D38.edm" hidden="1" xml:space="preserve">            Q!$1:$1048576</definedName>
    <definedName name="_bdm.99F4F27C0A6E4D76B99716E82206E7DD.edm" hidden="1" xml:space="preserve">      Q!$1:$1048576</definedName>
    <definedName name="_bdm.9B2820E9E1FE4E0F914B8CA82D30A412.edm" localSheetId="5" hidden="1">IS!$A$5:$CP$104</definedName>
    <definedName name="_bdm.9CFC91C6881C4B24924AA5B01823033F.edm" hidden="1" xml:space="preserve">      Q!$1:$1048576</definedName>
    <definedName name="_bdm.9D38F3B710AD40169C95A649F180E6EE.edm" hidden="1" xml:space="preserve">      Q!$1:$1048576</definedName>
    <definedName name="_bdm.9D548A6B1E7D4EBC9E18FDAAB2249220.edm" hidden="1" xml:space="preserve">            Q!$1:$1048576</definedName>
    <definedName name="_bdm.9D735CA9472D469CAC1EBC51BF5042BF.edm" hidden="1" xml:space="preserve">      Q!$1:$1048576</definedName>
    <definedName name="_bdm.A1FC79ED217B4F4A991A7348B6AEBB83.edm" hidden="1" xml:space="preserve">      Q!$1:$1048576</definedName>
    <definedName name="_bdm.A220BF51DCD94E53BA135AD74AB23E3D.edm" hidden="1" xml:space="preserve">      Q!$1:$1048576</definedName>
    <definedName name="_bdm.A247C4C508164389A8C626E0C2BD8B98.edm" localSheetId="10" hidden="1">FiOS!$A$58:$CG$87</definedName>
    <definedName name="_bdm.A4A154F25B654DD4B96C6EFA9FC49BD1.edm" localSheetId="4" hidden="1">Q!$D$2:$D$25</definedName>
    <definedName name="_bdm.A4AFCE6909764606B3506A9A69B619D7.edm" localSheetId="4" hidden="1">Q!$D$1:$Z$25</definedName>
    <definedName name="_bdm.A7FB7B7A25064F28ACE4DCA01F4B4C8E.edm" hidden="1" xml:space="preserve">          [4]Estimates!$A:$IV</definedName>
    <definedName name="_bdm.A8AC84A24A5648E595A8DAAF51437DA0.edm" localSheetId="17" hidden="1" xml:space="preserve">                      '[3]Segments OLD'!$A:$IV</definedName>
    <definedName name="_bdm.A8F5F7B85D0A4E31A705FA5B0E454A04.edm" hidden="1" xml:space="preserve">      Q!$1:$1048576</definedName>
    <definedName name="_bdm.A93B1E9FC70744DE8035EFD9DF138A0C.edm" localSheetId="6" hidden="1">BS!$A$5:$DA$62</definedName>
    <definedName name="_bdm.A9A64733330E4ECAA8400D8481003991.edm" localSheetId="8" hidden="1">Wless!$A$5:$DA$123</definedName>
    <definedName name="_bdm.AA022DD49802430BB106E7AB777135A4.edm" hidden="1" xml:space="preserve">          '[5]2Q10'!$A:$IV</definedName>
    <definedName name="_bdm.AADC1838A33F46D9B7EBA29CBF449343.edm" hidden="1" xml:space="preserve">          [4]Estimates!$A:$IV</definedName>
    <definedName name="_bdm.AD4CA35CD0654154827A2BC5B28152F2.edm" localSheetId="17" hidden="1" xml:space="preserve">           '[3]Segments OLD'!$A:$IV</definedName>
    <definedName name="_bdm.ADC4A29953004E778FACC8B1EB3DC76A.edm" hidden="1" xml:space="preserve">      Q!$1:$1048576</definedName>
    <definedName name="_bdm.AE18E314FE6A45DE8E6A840B1B99B836.edm" localSheetId="4" hidden="1">Q!$D$2:$D$18</definedName>
    <definedName name="_bdm.AE22800077A3407F9C3838440E9AA5C8.edm" localSheetId="4" hidden="1">Q!$D$2:$T$25</definedName>
    <definedName name="_bdm.AEA306653F374D77BEED2F3DABD4EAD0.edm" localSheetId="17" hidden="1" xml:space="preserve"> '[3]Segments OLD'!$A:$IV</definedName>
    <definedName name="_bdm.B06D75418A24450184BFA8C22B610F48.edm" hidden="1" xml:space="preserve">          [4]Estimates!$A:$IV</definedName>
    <definedName name="_bdm.B1412519261247D2B6097F6550383778.edm" localSheetId="8" hidden="1">Wless!$A$4:$CS$123</definedName>
    <definedName name="_bdm.B194BD43DFCA4EADA795D3DAD202FF03.edm" hidden="1">'[3]OLD Segments'!$A:$IV</definedName>
    <definedName name="_bdm.B1A36DBA92164DAAB826EBA45C1AF227.edm" hidden="1" xml:space="preserve">          [4]Estimates!$A:$IV</definedName>
    <definedName name="_bdm.B300FB58920F400D8141C7C29156A3A2.edm" localSheetId="9" hidden="1">Wireline!$A$5:$CW$136</definedName>
    <definedName name="_bdm.B30E8EC771F54A22BF4341F0BF93A044.edm" hidden="1" xml:space="preserve">          [4]Estimates!$A:$IV</definedName>
    <definedName name="_bdm.B31131991C1240E789534926C4693548.edm" hidden="1" xml:space="preserve">      Q!$1:$1048576</definedName>
    <definedName name="_bdm.B3782920504D40AB97F6C03318F87E3D.edm" hidden="1">[4]IS!$A:$IV</definedName>
    <definedName name="_bdm.B38669558115418C98E7EBD22B7DEDE3.edm" localSheetId="5" hidden="1">IS!$A$4:$CP$104</definedName>
    <definedName name="_bdm.B4050D65D95146A2A8BA112D7D04BBA4.edm" hidden="1" xml:space="preserve">      Q!$1:$1048576</definedName>
    <definedName name="_bdm.B5B008D3D9144482956F22E06D495213.edm" localSheetId="8" hidden="1">Wless!$A$5:$CW$80</definedName>
    <definedName name="_bdm.B6AF2BC409574BB8A43D76CB5D14F0EF.edm" hidden="1" xml:space="preserve">      Q!$1:$1048576</definedName>
    <definedName name="_bdm.B6B1202A5A924E49A1D78A98551E9E20.edm" localSheetId="17" hidden="1" xml:space="preserve">                      '[3]Segments OLD'!$A:$IV</definedName>
    <definedName name="_bdm.BB251E2AE9D042709F4373789831F177.edm" hidden="1" xml:space="preserve">          [4]Estimates!$A:$IV</definedName>
    <definedName name="_bdm.BBAD8BE883A84C8FB15E1E8CD3774D8E.edm" hidden="1" xml:space="preserve">          '[5]2Q10'!$A:$IV</definedName>
    <definedName name="_bdm.BDE103204E1C4EC69430355C1CF015A2.edm" hidden="1" xml:space="preserve">      Q!$1:$1048576</definedName>
    <definedName name="_bdm.BF210D878B524351AF8108A9B062707F.edm" hidden="1" xml:space="preserve">      Q!$1:$1048576</definedName>
    <definedName name="_bdm.C0A6D7060E47453D80C576B5A9639F08.edm" hidden="1">[3]BS!$A:$IV</definedName>
    <definedName name="_bdm.C1BE61EDE7CE4E7A84AA0DA2A3C40AB3.edm" hidden="1" xml:space="preserve">            Q!$1:$1048576</definedName>
    <definedName name="_bdm.C1CA2EB67DB04387B16C7340DB2C98C7.edm" localSheetId="8" hidden="1">Wless!$A$694:$CS$704</definedName>
    <definedName name="_bdm.C2C1DA528C9E4E72AC84214896BD7478.edm" hidden="1" xml:space="preserve">      Q!$1:$1048576</definedName>
    <definedName name="_bdm.C3900A07E3F04773AD1B5398F56067B0.edm" hidden="1" xml:space="preserve">           '[8]Quick Comment'!$A:$IV</definedName>
    <definedName name="_bdm.C6EB13B127EE4C4FA2BA53EDDF35F964.edm" hidden="1" xml:space="preserve">      Q!$1:$1048576</definedName>
    <definedName name="_bdm.C75B2F2B0C3C4E139380192CFF118B11.edm" hidden="1" xml:space="preserve">      Q!$1:$1048576</definedName>
    <definedName name="_bdm.CA349B6B6F4E4EBE9309F66D600FAD97.edm" hidden="1">'[9]Quick Comment'!$A:$IV</definedName>
    <definedName name="_bdm.CA7315637553417F89CE8FFB8642A9A5.edm" localSheetId="10" hidden="1">FiOS!$A$58:$CH$87</definedName>
    <definedName name="_bdm.CA7D11C3A33841B58E4F6B75BF295077.edm" localSheetId="17" hidden="1" xml:space="preserve">                      '[3]Segments OLD'!$A:$IV</definedName>
    <definedName name="_bdm.CB4557A3572F41C1B656196693C8B246.edm" localSheetId="4" hidden="1">Q!$D$2:$D$18</definedName>
    <definedName name="_bdm.CD2C0AE2598B439EA4D78F2A111F6E34.edm" hidden="1" xml:space="preserve">          '[5]2Q10'!$A:$IV</definedName>
    <definedName name="_bdm.CD3C1ABD7F3E42059017BA81BA7C0563.edm" hidden="1" xml:space="preserve">      Q!$1:$1048576</definedName>
    <definedName name="_bdm.CD838D2C90574114A35DE35D009AD3D9.edm" hidden="1" xml:space="preserve">      Q!$1:$1048576</definedName>
    <definedName name="_bdm.CD8BD8379F324E69A7FEF7FE9F63FAE3.edm" localSheetId="6" hidden="1">BS!$A$5:$DA$62</definedName>
    <definedName name="_bdm.CE0A9F6EA7944E1B8B96F5944FB2CD3C.edm" hidden="1" xml:space="preserve">          [4]Estimates!$A:$IV</definedName>
    <definedName name="_bdm.CE911E0B8688425192AEB82D7372CA40.edm" hidden="1" xml:space="preserve">      Q!$1:$1048576</definedName>
    <definedName name="_bdm.CF223A7363404FFC8E55FCE4D0942CFB.edm" hidden="1" xml:space="preserve">           Q!$1:$1048576</definedName>
    <definedName name="_bdm.D0C1FD875EAA45B9B5D6516B368BFD4C.edm" hidden="1" xml:space="preserve">      Q!$1:$1048576</definedName>
    <definedName name="_bdm.D1117DFED7D04BFB9BA135653BD38794.edm" hidden="1" xml:space="preserve">          '[5]2Q10'!$A:$IV</definedName>
    <definedName name="_bdm.D204555BA2E141FB99655D8C18549FA3.edm" localSheetId="10" hidden="1">FiOS!$A$58:$CG$91</definedName>
    <definedName name="_bdm.D2591116D13B416B95CF82F1F4D534F2.edm" hidden="1" xml:space="preserve">      Q!$1:$1048576</definedName>
    <definedName name="_bdm.D27F3E3A187244B69ED31D6E6D216F3C.edm" hidden="1" xml:space="preserve">          [4]Estimates!$A:$IV</definedName>
    <definedName name="_bdm.D2F29EB828EB41A5A285035CFA364C1F.edm" hidden="1" xml:space="preserve">      Q!$1:$1048576</definedName>
    <definedName name="_bdm.D3CD4F9A46934686BBB17B06D727408E.edm" hidden="1" xml:space="preserve">          '[5]2Q10'!$A:$IV</definedName>
    <definedName name="_bdm.D46F7AA43EF247FB9F58D215DFB0E89B.edm" hidden="1" xml:space="preserve">          '[5]2Q10'!$A:$IV</definedName>
    <definedName name="_bdm.D4A153B5D8564E70A50E4B74872964CC.edm" hidden="1" xml:space="preserve">          [4]Estimates!$A:$IV</definedName>
    <definedName name="_bdm.D5283448DF0D46A3A197B510C7365E12.edm" localSheetId="17" hidden="1" xml:space="preserve">                      '[3]Segments OLD'!$A:$IV</definedName>
    <definedName name="_bdm.D64786B89BEB411EB383E9A21FAA8A03.edm" hidden="1">[5]Exhibits!$A:$IV</definedName>
    <definedName name="_bdm.D7A4F4DE36F64707B868D659ABEF6C2C.edm" hidden="1" xml:space="preserve">          '[5]2Q10'!$A:$IV</definedName>
    <definedName name="_bdm.D87D89A5D8734BE5AF3C22A80AFA7A37.edm" localSheetId="8" hidden="1">Wless!$A$629:$S$657</definedName>
    <definedName name="_bdm.D8E6EAF009D74C7DB5118F4AF921FDD3.edm" hidden="1" xml:space="preserve">      Q!$1:$1048576</definedName>
    <definedName name="_bdm.DA04AF30570C4E5C814D4FD81E65D3DB.edm" localSheetId="7" hidden="1">CFS!$A$6:$DA$61</definedName>
    <definedName name="_bdm.DC2CC025008E4BFCAC5FF9D4EE51BACC.edm" localSheetId="4" hidden="1">Q!$D$2:$T$18</definedName>
    <definedName name="_bdm.DCEF29C42B6D4633917AB8B53390337A.edm" localSheetId="5" hidden="1">IS!$A$5:$CP$104</definedName>
    <definedName name="_bdm.DD8CF19960B84372BC6C44D1E352ADA6.edm" hidden="1">"Formula removed, name can be deleted."</definedName>
    <definedName name="_bdm.E0CF617FAB294BAABDEB3F25BF0F5917.edm" hidden="1" xml:space="preserve">            Q!$1:$1048576</definedName>
    <definedName name="_bdm.E1D02269F33E4F56B89AACF0B07B4234.edm" hidden="1" xml:space="preserve">          [4]Estimates!$A:$IV</definedName>
    <definedName name="_bdm.E4AF37B4926741D4854D85AD124C597C.edm" hidden="1" xml:space="preserve">          [4]Estimates!$A:$IV</definedName>
    <definedName name="_bdm.E540315C7BD642B099830D405EB40BA1.edm" hidden="1" xml:space="preserve">          '[5]2Q10'!$A:$IV</definedName>
    <definedName name="_bdm.E54E65158B774221BC0B9397DB223B25.edm" hidden="1" xml:space="preserve">          [4]Estimates!$A:$IV</definedName>
    <definedName name="_bdm.E5B051405AC5489C9C5004BCB9410524.edm" hidden="1" xml:space="preserve">      Q!$1:$1048576</definedName>
    <definedName name="_bdm.E5F895637D87415DB05F4239120212FF.edm" hidden="1" xml:space="preserve">          '[5]2Q10'!$A:$IV</definedName>
    <definedName name="_bdm.E60F8F8D763F4F6E832F2AC6759D3A4E.edm" hidden="1" xml:space="preserve">          [4]Estimates!$A:$IV</definedName>
    <definedName name="_bdm.E698F9A6CEB74349897CF4E037205CDB.edm" localSheetId="17" hidden="1" xml:space="preserve">           '[3]Segments OLD'!$A:$IV</definedName>
    <definedName name="_bdm.E7A15AF665E448CAB27C6F1C8D70D19A.edm" hidden="1">[4]Valuation!$A:$IV</definedName>
    <definedName name="_bdm.E921654798A54062A3D3330D767594F4.edm" hidden="1" xml:space="preserve">            Q!$1:$1048576</definedName>
    <definedName name="_bdm.E92A8D55ED3A4D0482911446E5C8D9FD.edm" hidden="1" xml:space="preserve">          [4]Estimates!$A:$IV</definedName>
    <definedName name="_bdm.EA81C9C4425C4290B4A3CD1C11CABDC5.edm" hidden="1">'[5]2Q10'!$A:$IV</definedName>
    <definedName name="_bdm.EBCD58C3D5EC4A1B9AEAC7841000070E.edm" hidden="1">[5]Rev!$A:$IV</definedName>
    <definedName name="_bdm.ED7A45CB23AB4C9FA15023AD1343A31F.edm" hidden="1">[4]Estimates!$A:$IV</definedName>
    <definedName name="_bdm.EF24D72AB6664FBB9A3ED5A60E4D9636.edm" hidden="1" xml:space="preserve">          [4]Estimates!$A:$IV</definedName>
    <definedName name="_bdm.EF42F62CC98E4104A924B6201284C016.edm" hidden="1">[3]IS!$A:$IV</definedName>
    <definedName name="_bdm.EFABCAB2D3FC4A2997934D668D9568AC.edm" localSheetId="7" hidden="1">CFS!$A$6:$CS$66</definedName>
    <definedName name="_bdm.F181816D92044455B014C4E29D2A66EE.edm" hidden="1" xml:space="preserve">      Q!$1:$1048576</definedName>
    <definedName name="_bdm.F3AEE0E4725C4DFA8CE2334EB072377F.edm" hidden="1" xml:space="preserve">      Q!$1:$1048576</definedName>
    <definedName name="_bdm.F5AE7888031740B485DFC4F86396E8F7.edm" localSheetId="17" hidden="1" xml:space="preserve"> '[3]Segments OLD'!$A:$IV</definedName>
    <definedName name="_bdm.F62A733629B048AFBFC0D4EDB760E728.edm" hidden="1" xml:space="preserve">            Q!$1:$1048576</definedName>
    <definedName name="_bdm.F62D05BE505049AE94E57DD6A6DA8D32.edm" localSheetId="4" hidden="1">Q!$D$2:$T$25</definedName>
    <definedName name="_bdm.F716A0D447D8410FA52D11AB2E0645B4.edm" hidden="1" xml:space="preserve">      Q!$1:$1048576</definedName>
    <definedName name="_bdm.F7CDB0B6614B44968DB5748B6958C397.edm" hidden="1" xml:space="preserve">          [4]Estimates!$A:$IV</definedName>
    <definedName name="_bdm.F93C0152D7CB4B3CB9A960DD585D5AE6.edm" hidden="1">[4]CF!$A:$IV</definedName>
    <definedName name="_bdm.F9D7C73D1B89480EA5516F73B128D996.edm" localSheetId="8" hidden="1">Wless!$A$5:$CS$80</definedName>
    <definedName name="_bdm.FB1B4BC2C7A6459C85F52DAF045D2ED3.edm" hidden="1" xml:space="preserve">      Q!$1:$1048576</definedName>
    <definedName name="_bdm.FC814BDDC13546BFAC98F99FB89A0197.edm" hidden="1" xml:space="preserve">          [4]Estimates!$A:$IV</definedName>
    <definedName name="_bdm.FEABEA6177F846A59C2FE8615CE992FB.edm" localSheetId="10" hidden="1">FiOS!$A$58:$CG$91</definedName>
    <definedName name="_fye01" localSheetId="17">OldIS!$I:$I</definedName>
    <definedName name="_fye01">OldIS!$I:$I</definedName>
    <definedName name="_fye02" localSheetId="17">OldIS!$J:$J</definedName>
    <definedName name="_fye02">OldIS!$J:$J</definedName>
    <definedName name="_fye99" localSheetId="6">BS!$G:$G</definedName>
    <definedName name="_fye99" localSheetId="12">Capex!$G:$G</definedName>
    <definedName name="_fye99" localSheetId="7">CFS!$G:$G</definedName>
    <definedName name="_fye99" localSheetId="11">Lines!$G:$G</definedName>
    <definedName name="_fye99" localSheetId="18">NormInputs!$G:$G</definedName>
    <definedName name="_fye99" localSheetId="0">OldIS!$G:$G</definedName>
    <definedName name="_fye99" localSheetId="13">Other!$G:$G</definedName>
    <definedName name="_fye99" localSheetId="14">Segments!$G:$G</definedName>
    <definedName name="_fye99" localSheetId="8">Wless!$G:$G</definedName>
    <definedName name="_ISQtly">[4]IS!$A$8:$BA$70</definedName>
    <definedName name="_Order1" localSheetId="17" hidden="1">0</definedName>
    <definedName name="_Order1" hidden="1">255</definedName>
    <definedName name="_switch">Valuation!$I$2</definedName>
    <definedName name="_switch2" localSheetId="17">Wless!$Q$1</definedName>
    <definedName name="_switch2">Wless!$Q$1</definedName>
    <definedName name="Actual" hidden="1">{#N/A,#N/A,TRUE,"Historicals";#N/A,#N/A,TRUE,"Charts";#N/A,#N/A,TRUE,"Forecasts"}</definedName>
    <definedName name="AdditionalInstructions">IndexInformation!$B$42</definedName>
    <definedName name="Address" localSheetId="1">ImportantDisclosures!$A$2:$A$2</definedName>
    <definedName name="Aditya">0</definedName>
    <definedName name="ANA" localSheetId="21">ModPubIndex!$A$7</definedName>
    <definedName name="anscount" hidden="1">1</definedName>
    <definedName name="AssetsCurrentAccountsReceivableAllowance">0</definedName>
    <definedName name="AssetsCurrentAccountsReceivableGross">0</definedName>
    <definedName name="AssetsCurrentDeferredIncomeTaxes">0</definedName>
    <definedName name="AssetsCurrentOther">0</definedName>
    <definedName name="AssetsCurrentPrepaidExpens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1">ImportantDisclosures!$A$7</definedName>
    <definedName name="Authors" localSheetId="20">IndexInformation!$B$18</definedName>
    <definedName name="balance">BS!$A$4:$DQ$62</definedName>
    <definedName name="BRO" localSheetId="21">ModPubIndex!$A$1</definedName>
    <definedName name="bs_eighteen">BS!$A$5:$DY$62</definedName>
    <definedName name="Buttons" localSheetId="2">CircularReferenceAlert!$B$13:$B$15</definedName>
    <definedName name="Case" localSheetId="17">1</definedName>
    <definedName name="Case">1</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fs">CFS!$A$5:$DQ$66</definedName>
    <definedName name="cfs_eighteen">CFS!$A$6:$DY$66</definedName>
    <definedName name="Consolidated_Income_Statement">"A1AnnIS"</definedName>
    <definedName name="CopyrightStamp">ImportantDisclosures!$A$27</definedName>
    <definedName name="COU" localSheetId="21">ModPubIndex!$A$5</definedName>
    <definedName name="CQEnd" localSheetId="20">IndexInformation!$B$31</definedName>
    <definedName name="Currency" localSheetId="20">IndexInformation!$B$24</definedName>
    <definedName name="Currency_ISOcode" localSheetId="16">'OPEB - NEW'!$AO$162</definedName>
    <definedName name="Currency_ISOcode" localSheetId="15">"Formula removed, name can be deleted."</definedName>
    <definedName name="currentFY" localSheetId="16">"Formula removed, name can be deleted."</definedName>
    <definedName name="currentFY">"Formula removed, name can be deleted."</definedName>
    <definedName name="CurrentStockPrice" localSheetId="20">IndexInformation!$B$23</definedName>
    <definedName name="CurrQtrEPS" localSheetId="20">IndexInformation!$B$29</definedName>
    <definedName name="CurrYearEPS" localSheetId="20">IndexInformation!$B$11</definedName>
    <definedName name="CurrYearTotalRevenue" localSheetId="20">IndexInformation!$B$10</definedName>
    <definedName name="CurrYearTotalRevenueActual" localSheetId="20">IndexInformation!$B$32</definedName>
    <definedName name="CUSIP" localSheetId="20">IndexInformation!$B$20</definedName>
    <definedName name="CYEnd" localSheetId="20">IndexInformation!$B$30</definedName>
    <definedName name="d" localSheetId="17">{"Client Name or Project Name"}</definedName>
    <definedName name="d" localSheetId="0">{"Client Name or Project Name"}</definedName>
    <definedName name="d">{"Client Name or Project Name"}</definedName>
    <definedName name="Daniel" localSheetId="17">{"Client Name or Project Name"}</definedName>
    <definedName name="Daniel" localSheetId="0">{"Client Name or Project Name"}</definedName>
    <definedName name="Daniel">{"Client Name or Project Name"}</definedName>
    <definedName name="datalength">"Formula removed, name can be deleted."</definedName>
    <definedName name="dataseries4">OFFSET([10]c1!$G$12,0,0,COUNTA([10]c1!$G$12:$G$31),1)</definedName>
    <definedName name="Date" localSheetId="1">ImportantDisclosures!$A$8</definedName>
    <definedName name="Deleted" localSheetId="20">IndexInformation!$B$27</definedName>
    <definedName name="Description" localSheetId="20">IndexInformation!$B$7</definedName>
    <definedName name="Discipline" localSheetId="20">IndexInformation!$B$3</definedName>
    <definedName name="DISCIPLINE" localSheetId="21">ModPubIndex!$A$12</definedName>
    <definedName name="DisclosuresText">ImportantDisclosures!$A$22</definedName>
    <definedName name="Distribution" localSheetId="20">IndexInformation!$B$26</definedName>
    <definedName name="DistTable" localSheetId="1">ImportantDisclosures!#REF!</definedName>
    <definedName name="DistTablePreamble" localSheetId="1">ImportantDisclosures!#REF!</definedName>
    <definedName name="DOCDAT" localSheetId="21">ModPubIndex!$A$2</definedName>
    <definedName name="DOCTIME" localSheetId="21">ModPubIndex!$A$3</definedName>
    <definedName name="DocType" localSheetId="20">IndexInformation!$B$5</definedName>
    <definedName name="dropDown">"Formula removed, name can be deleted."</definedName>
    <definedName name="dropDown2" localSheetId="17">[11]OPEB!$AY$15</definedName>
    <definedName name="dropDown2" localSheetId="16">'OPEB - NEW'!$AX$15</definedName>
    <definedName name="dropDown2">[12]OPEB!$AY$15</definedName>
    <definedName name="eighteenguide">Q!$AE$4:$AH$18</definedName>
    <definedName name="EMAIL_ALERT" localSheetId="21">ModPubIndex!$A$10</definedName>
    <definedName name="EmailAlert" localSheetId="20">IndexInformation!$B$28</definedName>
    <definedName name="EquityAdjustments">0</definedName>
    <definedName name="EquityEmployeeStockOwnershipPlan" localSheetId="3">0</definedName>
    <definedName name="EquityEmployeeStockOwnershipPlan">0</definedName>
    <definedName name="EquityOther" localSheetId="4">[13]AITDATA!A$290+[13]AITDATA!A$292+[13]AITDATA!A$294</definedName>
    <definedName name="EquityOther">0</definedName>
    <definedName name="EquityPaidInCapital">0</definedName>
    <definedName name="EquityTreasuryStock">0</definedName>
    <definedName name="f" localSheetId="17">Wless!$Q$1</definedName>
    <definedName name="f">Wless!$Q$1</definedName>
    <definedName name="FiveYearGrowthRate" localSheetId="20">IndexInformation!$B$16</definedName>
    <definedName name="FollowingYearEPS" localSheetId="20">IndexInformation!$B$15</definedName>
    <definedName name="FollowingYearTotalRevenue" localSheetId="20">IndexInformation!$B$14</definedName>
    <definedName name="FollowingYearTotalRevenueActual" localSheetId="20">IndexInformation!$B$34</definedName>
    <definedName name="fye00" localSheetId="11">Lines!$H:$H</definedName>
    <definedName name="fye00" localSheetId="13">Other!$H:$H</definedName>
    <definedName name="fye00" localSheetId="8">Wless!$H:$H</definedName>
    <definedName name="guidance2017">Q!$AE$20:$AI$33</definedName>
    <definedName name="guide17">Q!$AE$20:$AI$32</definedName>
    <definedName name="guide2017">Q!$AE$20:$AI$32</definedName>
    <definedName name="High_Ratio">" 100+"</definedName>
    <definedName name="HL" localSheetId="21">ModPubIndex!$A$8</definedName>
    <definedName name="in_millions__expect_per_share_data">"QtlyErngsBook_AnnIS"</definedName>
    <definedName name="income">IS!$A$4:$DN$103</definedName>
    <definedName name="IncomeEPSFullyDiluted">0</definedName>
    <definedName name="IncomeEPSPrimary">0</definedName>
    <definedName name="IncomeEPSRegular">0</definedName>
    <definedName name="IND" localSheetId="21">ModPubIndex!$A$9</definedName>
    <definedName name="Industry" localSheetId="1">ImportantDisclosures!$A$12</definedName>
    <definedName name="IndustryId">IndexInformation!$B$40</definedName>
    <definedName name="IndustryRating" localSheetId="1">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localSheetId="17" hidden="1">"c2076"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XCL_SBC" hidden="1">"c3081"</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DATE" hidden="1">"c1634"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PAYOUT_RATIO" hidden="1">"c3492"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localSheetId="17" hidden="1">"c2903"</definedName>
    <definedName name="IQ_RETAIL_ACQUIRED_FRANCHISE_STORES" hidden="1">"c2895"</definedName>
    <definedName name="IQ_RETAIL_ACQUIRED_OWNED_STORES" localSheetId="17"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ACT_OR_EST" hidden="1">"c2214"</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localSheetId="17" hidden="1">39164.8043287037</definedName>
    <definedName name="IQ_REVISION_DATE_" localSheetId="3" hidden="1">39164.8043287037</definedName>
    <definedName name="IQ_REVISION_DATE_" hidden="1">39353.5777893519</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s">IS!$A$4:$DN$104</definedName>
    <definedName name="is_eighteen">IS!$A$5:$DV$104</definedName>
    <definedName name="iss">IS!$A$5:$DN$104</definedName>
    <definedName name="KeepVersions" localSheetId="20">IndexInformation!$B$8</definedName>
    <definedName name="LanguageCode">IndexInformation!$B$38</definedName>
    <definedName name="LastCell" localSheetId="1">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CFS!$A$6:$DM$66</definedName>
    <definedName name="Linking_10" xml:space="preserve">      IS!$A$4:$DN$104</definedName>
    <definedName name="Linking_11" xml:space="preserve">            IS!$A$5:$DN$104</definedName>
    <definedName name="Linking_12" xml:space="preserve">            Wless!$A$5:$DQ$81</definedName>
    <definedName name="Linking_13" xml:space="preserve">      IS!$A$5:$DN$104</definedName>
    <definedName name="Linking_14" xml:space="preserve">      IS!$A$5:$DN$104</definedName>
    <definedName name="Linking_15" xml:space="preserve">      IS!$A$5:$DR$104</definedName>
    <definedName name="Linking_16" xml:space="preserve">            IS!$A$5:$DR$104</definedName>
    <definedName name="Linking_17" xml:space="preserve">      IS!$A$5:$DR$113</definedName>
    <definedName name="Linking_18" xml:space="preserve">            IS!$A$4:$DR$104</definedName>
    <definedName name="Linking_19" xml:space="preserve">            IS!$A$4:$DR$104</definedName>
    <definedName name="Linking_2">CFS!$A$5:$DM$66</definedName>
    <definedName name="Linking_20" xml:space="preserve">            IS!$A$4:$DR$113</definedName>
    <definedName name="Linking_21" xml:space="preserve">            IS!$A$4:$DR$113</definedName>
    <definedName name="Linking_22" xml:space="preserve">      IS!$A$5:$DR$104</definedName>
    <definedName name="Linking_23" xml:space="preserve">      Wless!$A$5:$DU$81</definedName>
    <definedName name="Linking_24" xml:space="preserve">            Wless!$A$5:$DU$81</definedName>
    <definedName name="Linking_25" xml:space="preserve">            Wless!$A$5:$DU$81</definedName>
    <definedName name="Linking_26" xml:space="preserve">      Wless!$A$5:$DU$81</definedName>
    <definedName name="Linking_27" xml:space="preserve">      Q!$AE$20:$AI$32</definedName>
    <definedName name="Linking_28" xml:space="preserve">      Q!$AE$20:$AI$33</definedName>
    <definedName name="Linking_29" xml:space="preserve">      Q!$AE$20:$AI$33</definedName>
    <definedName name="Linking_3" xml:space="preserve">      IS!$A$4:$DN$103</definedName>
    <definedName name="Linking_30" xml:space="preserve">      Q!$AE$20:$AJ$33</definedName>
    <definedName name="Linking_31" xml:space="preserve">            Q!$AE$20:$AJ$33</definedName>
    <definedName name="Linking_32" xml:space="preserve">      Q!$D$2:$X$49</definedName>
    <definedName name="Linking_33" xml:space="preserve">            Q!$D$2:$X$49</definedName>
    <definedName name="Linking_34" xml:space="preserve">      IS!$A$5:$DR$119</definedName>
    <definedName name="Linking_35" xml:space="preserve">      IS!$A$5:$DR$119</definedName>
    <definedName name="Linking_36" xml:space="preserve">      IS!$A$5:$DR$119</definedName>
    <definedName name="Linking_37" xml:space="preserve">      IS!$A$5:$DV$104</definedName>
    <definedName name="Linking_38" xml:space="preserve">      BS!$A$5:$DY$62</definedName>
    <definedName name="Linking_39" xml:space="preserve">            BS!$A$5:$DY$62</definedName>
    <definedName name="Linking_4" xml:space="preserve">            IS!$A$4:$DN$103</definedName>
    <definedName name="Linking_40" xml:space="preserve">            Q!$AE$4:$AH$18</definedName>
    <definedName name="Linking_41" xml:space="preserve">            Q!$AE$4:$AH$18</definedName>
    <definedName name="Linking_42" xml:space="preserve">      Wless!$A$5:$DY$81</definedName>
    <definedName name="Linking_43" xml:space="preserve">      Wireline!$A$5:$DY$135</definedName>
    <definedName name="Linking_5" xml:space="preserve">      Wless!$A$5:$DQ$120</definedName>
    <definedName name="Linking_6" xml:space="preserve">      BS!$A$4:$DQ$62</definedName>
    <definedName name="Linking_7" xml:space="preserve">            BS!$A$4:$DQ$62</definedName>
    <definedName name="Linking_8" xml:space="preserve">      CFS!$A$5:$DQ$66</definedName>
    <definedName name="Linking_9" xml:space="preserve">            CFS!$A$5:$DQ$66</definedName>
    <definedName name="Linking_Range_1" localSheetId="17">[4]IS!$A$8:$BP$70</definedName>
    <definedName name="Linking_Range_1">BS!$A$5:$DA$62</definedName>
    <definedName name="Linking_Range_10" localSheetId="4">Q!$D$2:$D$25</definedName>
    <definedName name="Linking_Range_10">IS!$A$5:$DB$104</definedName>
    <definedName name="Linking_Range_11">Wireline!$A$5:$DE$135</definedName>
    <definedName name="Linking_Range_12" localSheetId="4">Q!$D$2:$E$25</definedName>
    <definedName name="Linking_Range_12">Wless!$A$5:$DE$122</definedName>
    <definedName name="Linking_Range_13" localSheetId="4">Q!$D$2:$Y$49</definedName>
    <definedName name="Linking_Range_13">BS!$A$5:$DE$62</definedName>
    <definedName name="Linking_Range_14" localSheetId="4">Q!$D$2:$Y$48</definedName>
    <definedName name="Linking_Range_14">CFS!$A$6:$DE$61</definedName>
    <definedName name="Linking_Range_15" localSheetId="4">Q!$D$2:$E$25</definedName>
    <definedName name="Linking_Range_15">Wless!$A$694:$DE$704</definedName>
    <definedName name="Linking_Range_16" localSheetId="4">Q!$D$2:$Y$47</definedName>
    <definedName name="Linking_Range_16">IS!$A$5:$DB$116</definedName>
    <definedName name="Linking_Range_17" localSheetId="4">Q!$D$2:$Q$49</definedName>
    <definedName name="Linking_Range_17">Wless!$A$5:$DE$120</definedName>
    <definedName name="Linking_Range_18" localSheetId="4">Q!$D$2:$Y$47</definedName>
    <definedName name="Linking_Range_18">Wireline!$A$5:$DE$136</definedName>
    <definedName name="Linking_Range_19" localSheetId="4">Q!$D$2:$S$49</definedName>
    <definedName name="Linking_Range_19">IS!$A$5:$DB$99</definedName>
    <definedName name="Linking_Range_2" localSheetId="17">[4]BS!$A$8:$BO$98</definedName>
    <definedName name="Linking_Range_2" localSheetId="4">Q!$D$2:$D$25</definedName>
    <definedName name="Linking_Range_2">Wless!$A$5:$DA$123</definedName>
    <definedName name="Linking_Range_20" localSheetId="4">Q!$D$2:$V$49</definedName>
    <definedName name="Linking_Range_20">"Formula removed, name can be deleted."</definedName>
    <definedName name="Linking_Range_21" localSheetId="4">Q!$C$2:$Z$47</definedName>
    <definedName name="Linking_Range_21">"Formula removed, name can be deleted."</definedName>
    <definedName name="Linking_Range_22" localSheetId="4">Q!$C$2:$Z$48</definedName>
    <definedName name="Linking_Range_22">"Formula removed, name can be deleted."</definedName>
    <definedName name="Linking_Range_23" localSheetId="4">Q!$C$2:$Z$40</definedName>
    <definedName name="Linking_Range_23">"Formula removed, name can be deleted."</definedName>
    <definedName name="Linking_Range_24" localSheetId="17">'Cash Taxes'!$B$102:$M$117</definedName>
    <definedName name="Linking_Range_24" localSheetId="4">Q!$D$2:$V$40</definedName>
    <definedName name="Linking_Range_24">"Formula removed, name can be deleted."</definedName>
    <definedName name="Linking_Range_25" localSheetId="4">Q!$D$2:$X$47</definedName>
    <definedName name="Linking_Range_25">"Formula removed, name can be deleted."</definedName>
    <definedName name="Linking_Range_26">"Formula removed, name can be deleted."</definedName>
    <definedName name="Linking_Range_27">"Formula removed, name can be deleted."</definedName>
    <definedName name="Linking_Range_28">Wless!$A$694:$W$704</definedName>
    <definedName name="Linking_Range_29">Wless!$A$5:$DE$80</definedName>
    <definedName name="Linking_Range_3" localSheetId="17">'Cash Taxes'!$B$102:$M$117</definedName>
    <definedName name="Linking_Range_3" localSheetId="4">Q!$D$2:$D$25</definedName>
    <definedName name="Linking_Range_3">Wireline!$A$5:$DA$135</definedName>
    <definedName name="Linking_Range_30">IS!$A$4:$DB$104</definedName>
    <definedName name="Linking_Range_31">BS!$A$4:$DE$62</definedName>
    <definedName name="Linking_Range_32">CFS!$A$5:$DE$61</definedName>
    <definedName name="Linking_Range_33">IS!$A$4:$DB$96</definedName>
    <definedName name="Linking_Range_34">IS!$A$4:$DF$104</definedName>
    <definedName name="Linking_Range_35">Wireline!$A$5:$DI$135</definedName>
    <definedName name="Linking_Range_36">Wless!$A$4:$DI$122</definedName>
    <definedName name="Linking_Range_37">Wless!$A$5:$DI$122</definedName>
    <definedName name="Linking_Range_38">BS!$A$4:$DI$62</definedName>
    <definedName name="Linking_Range_39">CFS!$A$5:$DI$61</definedName>
    <definedName name="Linking_Range_4" localSheetId="17">[4]CF!$A$84:$BO$108</definedName>
    <definedName name="Linking_Range_4" localSheetId="4">Q!$D$2:$T$25</definedName>
    <definedName name="Linking_Range_4">IS!$A$5:$CX$104</definedName>
    <definedName name="Linking_Range_40">IS!$A$4:$DF$119</definedName>
    <definedName name="Linking_Range_41">IS!$A$5:$DF$119</definedName>
    <definedName name="Linking_Range_42">Wless!$A$5:$DI$123</definedName>
    <definedName name="Linking_Range_43">CFS!$A$5:$DI$66</definedName>
    <definedName name="Linking_Range_44">Wireline!$A$5:$DI$136</definedName>
    <definedName name="Linking_Range_45">Valuation!$G$5:$L$24</definedName>
    <definedName name="Linking_Range_46">Valuation!$B$5:$L$38</definedName>
    <definedName name="Linking_Range_47">Wireline!$A$5:$DI$158</definedName>
    <definedName name="Linking_Range_48">Wless!$A$5:$DI$474</definedName>
    <definedName name="Linking_Range_49">Wless!$A$5:$DI$82</definedName>
    <definedName name="Linking_Range_5" localSheetId="4">Q!$D$2:$T$25</definedName>
    <definedName name="Linking_Range_5">CFS!$A$6:$DA$61</definedName>
    <definedName name="Linking_Range_50">Wless!$A$5:$DI$80</definedName>
    <definedName name="Linking_Range_51">Wireline!$A$5:$DI$134</definedName>
    <definedName name="Linking_Range_52">Wless!$A$5:$DI$120</definedName>
    <definedName name="Linking_Range_53">IS!$A$4:$DF$118</definedName>
    <definedName name="Linking_Range_54">IS!$A$5:$DF$116</definedName>
    <definedName name="Linking_Range_55">IS!$A$5:$DF$104</definedName>
    <definedName name="Linking_Range_56">CFS!$A$6:$DI$61</definedName>
    <definedName name="Linking_Range_57">BS!$A$5:$DI$62</definedName>
    <definedName name="Linking_Range_58">Wless!$A$5:$DI$72</definedName>
    <definedName name="Linking_Range_59">IS!$A$5:$DF$103</definedName>
    <definedName name="Linking_Range_6" localSheetId="4">Q!$D$2:$D$25</definedName>
    <definedName name="Linking_Range_6">Wless!$A$694:$DA$704</definedName>
    <definedName name="Linking_Range_60">Wless!$A$383:$DM$427</definedName>
    <definedName name="Linking_Range_61">IS!$A$4:$DJ$103</definedName>
    <definedName name="Linking_Range_62">BS!$A$4:$DM$62</definedName>
    <definedName name="Linking_Range_63">CFS!$A$5:$DM$61</definedName>
    <definedName name="Linking_Range_64">Wless!$A$5:$DM$120</definedName>
    <definedName name="Linking_Range_65">Wireline!$A$5:$DM$134</definedName>
    <definedName name="Linking_Range_66">Wireline!$A$5:$DM$135</definedName>
    <definedName name="Linking_Range_67">IS!$A$5:$DJ$103</definedName>
    <definedName name="Linking_Range_68">BS!$A$5:$DM$62</definedName>
    <definedName name="Linking_Range_69">CFS!$A$6:$DM$61</definedName>
    <definedName name="Linking_Range_7" localSheetId="4">Q!$D$2:$D$25</definedName>
    <definedName name="Linking_Range_7">Wless!$A$5:$DA$122</definedName>
    <definedName name="Linking_Range_8" localSheetId="4">Q!$D$2:$T$25</definedName>
    <definedName name="Linking_Range_8">BS!$A$5:$DA$63</definedName>
    <definedName name="Linking_Range_9" localSheetId="4">Q!$D$2:$T$25</definedName>
    <definedName name="Linking_Range_9">Wireline!$A$5:$DA$70</definedName>
    <definedName name="Linking_Text_1" localSheetId="17">[3]CFS!$M$69</definedName>
    <definedName name="Linking_Text_1">"Formula removed, name can be deleted."</definedName>
    <definedName name="Linking_Text_2">CFS!$DF$50</definedName>
    <definedName name="MacroVersion" localSheetId="20">IndexInformation!$B$1</definedName>
    <definedName name="MACRS_schedule">[14]Analysis!$C$2</definedName>
    <definedName name="MaxChange" localSheetId="2">CircularReferenceAlert!$B$9</definedName>
    <definedName name="MaxIterations" localSheetId="2">CircularReferenceAlert!$B$8</definedName>
    <definedName name="ModelPrice" localSheetId="1">ImportantDisclosures!$A$14</definedName>
    <definedName name="mstagrange" localSheetId="17">[11]OPEB!$AU$18:$AY$18</definedName>
    <definedName name="mstagrange" localSheetId="16">'OPEB - NEW'!$AT$18:$AX$18</definedName>
    <definedName name="mstagrange">[12]OPEB!$AU$18:$AY$18</definedName>
    <definedName name="mstagrange1">"Formula removed, name can be deleted."</definedName>
    <definedName name="Multiplier" localSheetId="20">IndexInformation!$B$35</definedName>
    <definedName name="na">"  n/a "</definedName>
    <definedName name="new" localSheetId="17">{"Client Name or Project Name"}</definedName>
    <definedName name="new" localSheetId="0">{"Client Name or Project Name"}</definedName>
    <definedName name="new" localSheetId="3">{"Client Name or Project Name"}</definedName>
    <definedName name="new">{"Client Name or Project Name"}</definedName>
    <definedName name="NextYearEPS" localSheetId="20">IndexInformation!$B$13</definedName>
    <definedName name="NextYearTotalRevenue" localSheetId="20">IndexInformation!$B$12</definedName>
    <definedName name="NextYearTotalRevenueActual" localSheetId="20">IndexInformation!$B$33</definedName>
    <definedName name="Normalized_Income_Statement">"IS_Annual"</definedName>
    <definedName name="ObjectType">IndexInformation!$B$37</definedName>
    <definedName name="OPEB_Guide" localSheetId="17">[11]OPEB!$A$1</definedName>
    <definedName name="OPEB_Guide" localSheetId="16">'OPEB - NEW'!$A$1</definedName>
    <definedName name="OPEB_Guide">[12]OPEB!$A$1</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therExTotal">0</definedName>
    <definedName name="PANA" localSheetId="21">ModPubIndex!$A$11</definedName>
    <definedName name="PathName" localSheetId="20">IndexInformation!$B$25</definedName>
    <definedName name="Pension_Guide">'Pension - NEW'!$A$1</definedName>
    <definedName name="_xlnm.Print_Area" localSheetId="6">BS!$A$5:$DU$62</definedName>
    <definedName name="_xlnm.Print_Area" localSheetId="12">Capex!$A$5:$DU$129</definedName>
    <definedName name="_xlnm.Print_Area" localSheetId="17">'Cash Taxes'!$A$1:$AB$133</definedName>
    <definedName name="_xlnm.Print_Area" localSheetId="7">CFS!$A$6:$DU$66</definedName>
    <definedName name="_xlnm.Print_Area" localSheetId="10">FiOS!$A$5:$DU$75</definedName>
    <definedName name="_xlnm.Print_Area" localSheetId="5">IS!$A$5:$DR$104</definedName>
    <definedName name="_xlnm.Print_Area" localSheetId="11">Lines!$A$5:$DU$113</definedName>
    <definedName name="_xlnm.Print_Area" localSheetId="19">Links!$A$1:$DE$156</definedName>
    <definedName name="_xlnm.Print_Area" localSheetId="18">NormInputs!$A$1:$CW$407</definedName>
    <definedName name="_xlnm.Print_Area" localSheetId="0">OldIS!$A$2:$BE$127</definedName>
    <definedName name="_xlnm.Print_Area" localSheetId="16">'OPEB - NEW'!$A$1:$Z$58</definedName>
    <definedName name="_xlnm.Print_Area" localSheetId="13">Other!$A$5:$DQ$34</definedName>
    <definedName name="_xlnm.Print_Area" localSheetId="15">'Pension - NEW'!$A$1:$Z$65</definedName>
    <definedName name="_xlnm.Print_Area" localSheetId="4">Q!$D$2:$V$49</definedName>
    <definedName name="_xlnm.Print_Area" localSheetId="14">Segments!$A$1:$DT$114</definedName>
    <definedName name="_xlnm.Print_Area" localSheetId="3">Valuation!$A$1:$T$39</definedName>
    <definedName name="_xlnm.Print_Area" localSheetId="9">Wireline!$A$5:$DU$135</definedName>
    <definedName name="_xlnm.Print_Area" localSheetId="8">Wless!$A$5:$DU$81</definedName>
    <definedName name="_xlnm.Print_Area">"Formula removed, name can be deleted."</definedName>
    <definedName name="_xlnm.Print_Titles" localSheetId="12">Capex!$A:$A,Capex!$1:$8</definedName>
    <definedName name="_xlnm.Print_Titles" localSheetId="7">CFS!$A:$A,CFS!$1:$8</definedName>
    <definedName name="_xlnm.Print_Titles" localSheetId="10">FiOS!$A:$A,FiOS!$1:$7</definedName>
    <definedName name="_xlnm.Print_Titles" localSheetId="5">IS!$A:$A,IS!$1:$7</definedName>
    <definedName name="_xlnm.Print_Titles" localSheetId="11">Lines!$A:$A,Lines!$1:$8</definedName>
    <definedName name="_xlnm.Print_Titles" localSheetId="19">Links!$A:$B,Links!$1:$4</definedName>
    <definedName name="_xlnm.Print_Titles" localSheetId="18">NormInputs!$A:$A,NormInputs!$1:$3</definedName>
    <definedName name="_xlnm.Print_Titles" localSheetId="0">OldIS!$A:$A,OldIS!$1:$4</definedName>
    <definedName name="_xlnm.Print_Titles" localSheetId="13">Other!$A:$A,Other!$1:$8</definedName>
    <definedName name="_xlnm.Print_Titles" localSheetId="14">Segments!$A:$A,Segments!$1:$9</definedName>
    <definedName name="_xlnm.Print_Titles" localSheetId="9">Wireline!$A:$A,Wireline!$1:$7</definedName>
    <definedName name="_xlnm.Print_Titles" localSheetId="8">Wless!$A:$A,Wless!$1:$7</definedName>
    <definedName name="_xlnm.Print_Titles">#REF!</definedName>
    <definedName name="PRODUCT" localSheetId="21">ModPubIndex!$A$6</definedName>
    <definedName name="ProjectName" localSheetId="17">{"Client Name or Project Name"}</definedName>
    <definedName name="ProjectName" localSheetId="11">{"Client Name or Project Name"}</definedName>
    <definedName name="ProjectName" localSheetId="0">{"Client Name or Project Name"}</definedName>
    <definedName name="ProjectName" localSheetId="13">{"Client Name or Project Name"}</definedName>
    <definedName name="ProjectName" localSheetId="4">{"Client Name or Project Name"}</definedName>
    <definedName name="ProjectName" localSheetId="3">{"Client Name or Project Name"}</definedName>
    <definedName name="ProjectName">{"Client Name or Project Name"}</definedName>
    <definedName name="PSYM" localSheetId="21">ModPubIndex!$A$4</definedName>
    <definedName name="PublishDate" localSheetId="20">IndexInformation!$B$2</definedName>
    <definedName name="Rating" localSheetId="20">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pairedName0000" hidden="1">"Formula removed, name can be deleted."</definedName>
    <definedName name="RepairedName0002" hidden="1">"Formula removed, name can be deleted."</definedName>
    <definedName name="RepairedName0004" hidden="1">"Formula removed, name can be deleted."</definedName>
    <definedName name="RepairedName0006" hidden="1">"Formula removed, name can be deleted."</definedName>
    <definedName name="RepairedName0008" hidden="1">"Formula removed, name can be deleted."</definedName>
    <definedName name="RepairedName0026">"Formula removed, name can be deleted."</definedName>
    <definedName name="RepairedName0028">"Formula removed, name can be deleted."</definedName>
    <definedName name="RepairedName0067" hidden="1">"iQShowAnnual"</definedName>
    <definedName name="RepairedName0403" hidden="1">"iQShowAnnual"</definedName>
    <definedName name="RepairedName1846" hidden="1">"iQShowAnnual"</definedName>
    <definedName name="ResearchTopic" localSheetId="20">IndexInformation!$B$4</definedName>
    <definedName name="Residual_Income_Model">[3]IS!$F$111:$L$124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evenuesWirelineLocal">[15]AITDATA!A$10+[15]AITDATA!A$17</definedName>
    <definedName name="RIC" localSheetId="20">IndexInformation!$B$21</definedName>
    <definedName name="rngStartYear" localSheetId="15">"Formula removed, name can be deleted."</definedName>
    <definedName name="rngTicker" localSheetId="16">[12]Pension!$H$1</definedName>
    <definedName name="rngTicker" localSheetId="15">'Pension - NEW'!$H$1</definedName>
    <definedName name="SECSettlement" localSheetId="1">ImportantDisclosures!#REF!</definedName>
    <definedName name="SEDOL" localSheetId="20">IndexInformation!$B$22</definedName>
    <definedName name="Sedol" localSheetId="16">"Formula removed, name can be deleted."</definedName>
    <definedName name="Sedol">"Formula removed, name can be deleted."</definedName>
    <definedName name="sevenguide">Q!$AE$20:$AJ$33</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ourceDefined" localSheetId="1">ImportantDisclosures!$A$19</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1">ImportantDisclosures!$A$11</definedName>
    <definedName name="SubjectCode" localSheetId="20">IndexInformation!$B$6</definedName>
    <definedName name="SubmitterUserId">IndexInformation!$B$39</definedName>
    <definedName name="SUPPRESSED" localSheetId="21">ModPubIndex!$A$13</definedName>
    <definedName name="tab">Q!$D$2:$X$49</definedName>
    <definedName name="TargetPrice" localSheetId="1">ImportantDisclosures!$A$15</definedName>
    <definedName name="Tax_Rate" localSheetId="17">'Cash Taxes'!$I$6</definedName>
    <definedName name="TemplateRegion">IndexInformation!$B$36</definedName>
    <definedName name="Ticker" localSheetId="1">ImportantDisclosures!$A$10</definedName>
    <definedName name="TickerRegion">IndexInformation!$B$41</definedName>
    <definedName name="Tickers" localSheetId="20">IndexInformation!$B$19</definedName>
    <definedName name="trEdate" localSheetId="16">[12]Pension!$AY$9</definedName>
    <definedName name="trEdate">"Formula removed, name can be deleted."</definedName>
    <definedName name="trSdate" localSheetId="16">[12]Pension!$AY$8</definedName>
    <definedName name="trSdate">"Formula removed, name can be deleted."</definedName>
    <definedName name="UpdateReason" localSheetId="20">IndexInformation!$B$17</definedName>
    <definedName name="USRegDisclosures" localSheetId="1">ImportantDisclosures!#REF!</definedName>
    <definedName name="ValidDateTable" localSheetId="17">BS!$B$2:$E$129</definedName>
    <definedName name="ValidDateTable" localSheetId="16">"Formula removed, name can be deleted."</definedName>
    <definedName name="ValidDateTable" localSheetId="15">"Formula removed, name can be deleted."</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"June 29, 2004"</definedName>
    <definedName name="wireless">Wless!$A$5:$DQ$120</definedName>
    <definedName name="wireless_eighteen">Wless!$A$5:$DY$81</definedName>
    <definedName name="wireline">Wireline!$A$52:$DQ$135</definedName>
    <definedName name="wireline_eighteen">Wireline!$A$5:$DY$135</definedName>
    <definedName name="wless">Wless!$A$5:$DQ$81</definedName>
    <definedName name="wrn.2._.pagers." hidden="1">{"Cover",#N/A,FALSE,"Cover";"Summary",#N/A,FALSE,"Summarpage"}</definedName>
    <definedName name="wrn.allpages." hidden="1">{#N/A,#N/A,TRUE,"Historicals";#N/A,#N/A,TRUE,"Charts";#N/A,#N/A,TRUE,"Forecasts"}</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Industry.xls." hidden="1">{#N/A,#N/A,FALSE,"Earnings";#N/A,#N/A,FALSE,"Overview";#N/A,#N/A,FALSE,"Summary";#N/A,#N/A,FALSE,"Summary II";#N/A,#N/A,FALSE,"R&amp;D";#N/A,#N/A,FALSE,"R&amp;D Forecast";#N/A,#N/A,FALSE,"Tax Adj";#N/A,#N/A,FALSE,"Goodwill";#N/A,#N/A,FALSE,"FX ";#N/A,#N/A,FALSE,"Consolidation";#N/A,#N/A,FALSE,"Provisions"}</definedName>
    <definedName name="wrn.MOBIL." hidden="1">{"quarter",#N/A,FALSE,"MOB"}</definedName>
    <definedName name="wrn.Outlook._.for._.US._.Domestic._.Paging." hidden="1">{"Yearend_units",#N/A,TRUE,"Paging";"Unit_growth",#N/A,TRUE,"Paging";"Yearend_nationwide_units",#N/A,TRUE,"Paging";"nationwide_growth",#N/A,TRUE,"Paging";"ARPU",#N/A,TRUE,"Paging";"paging_industry_revenues",#N/A,TRUE,"Paging";"paging_net_add_breakdown",#N/A,TRUE,"Paging";"paging_churn",#N/A,TRUE,"Paging";"paging_gross_adds",#N/A,TRUE,"Paging"}</definedName>
    <definedName name="wrn.Pulp." hidden="1">{"Pulp Production",#N/A,FALSE,"Pulp";"Pulp Earnings",#N/A,FALSE,"Pulp"}</definedName>
    <definedName name="YearRow">'Pension - NEW'!$D$4:$Z$4</definedName>
    <definedName name="yyy"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s>
  <calcPr calcId="145621"/>
  <fileRecoveryPr autoRecover="0"/>
</workbook>
</file>

<file path=xl/calcChain.xml><?xml version="1.0" encoding="utf-8"?>
<calcChain xmlns="http://schemas.openxmlformats.org/spreadsheetml/2006/main">
  <c r="DV141" i="17" l="1"/>
  <c r="DV142" i="17" s="1"/>
  <c r="DV143" i="17" s="1"/>
  <c r="DV137" i="17"/>
  <c r="DV134" i="17"/>
  <c r="DV135" i="17" s="1"/>
  <c r="DV132" i="17"/>
  <c r="DV131" i="17"/>
  <c r="DV118" i="17"/>
  <c r="DV120" i="17" s="1"/>
  <c r="DV114" i="17"/>
  <c r="DV49" i="17" s="1"/>
  <c r="DV110" i="17"/>
  <c r="DV108" i="17"/>
  <c r="DV109" i="17" s="1"/>
  <c r="DV101" i="17"/>
  <c r="DV55" i="17"/>
  <c r="DV52" i="17"/>
  <c r="DV44" i="17"/>
  <c r="DV20" i="17"/>
  <c r="DV19" i="17"/>
  <c r="DV17" i="17"/>
  <c r="DV18" i="17" s="1"/>
  <c r="DV21" i="17" l="1"/>
  <c r="DV115" i="17"/>
  <c r="DV126" i="17"/>
  <c r="DV127" i="17" s="1"/>
  <c r="DV136" i="17"/>
  <c r="DV116" i="17" s="1"/>
  <c r="DV145" i="17"/>
  <c r="DV119" i="17"/>
  <c r="DY66" i="14"/>
  <c r="DX66" i="14"/>
  <c r="DW66" i="14"/>
  <c r="DY367" i="12"/>
  <c r="DX367" i="12"/>
  <c r="DW367" i="12"/>
  <c r="DV147" i="17" l="1"/>
  <c r="DV146" i="17"/>
  <c r="DV128" i="17"/>
  <c r="DV129" i="17" s="1"/>
  <c r="DY294" i="12"/>
  <c r="DX294" i="12"/>
  <c r="DW294" i="12"/>
  <c r="DX18" i="16"/>
  <c r="DY18" i="16" s="1"/>
  <c r="DX123" i="13"/>
  <c r="Z112" i="13"/>
  <c r="DW85" i="13"/>
  <c r="DW60" i="13"/>
  <c r="DY60" i="13"/>
  <c r="DW69" i="15"/>
  <c r="DX69" i="15" s="1"/>
  <c r="DY69" i="15" s="1"/>
  <c r="DV104" i="15" l="1"/>
  <c r="DV73" i="15"/>
  <c r="DW105" i="15"/>
  <c r="DX105" i="15" s="1"/>
  <c r="DY105" i="15" s="1"/>
  <c r="AB69" i="15"/>
  <c r="AC69" i="15" s="1"/>
  <c r="AD69" i="15" s="1"/>
  <c r="AE69" i="15" s="1"/>
  <c r="AF69" i="15" s="1"/>
  <c r="AG69" i="15" s="1"/>
  <c r="DV249" i="12"/>
  <c r="DV25" i="12"/>
  <c r="DX360" i="12"/>
  <c r="DW360" i="12"/>
  <c r="DL380" i="21"/>
  <c r="DV178" i="7"/>
  <c r="DV60" i="7"/>
  <c r="DV59" i="7"/>
  <c r="DV58" i="7"/>
  <c r="DV57" i="7"/>
  <c r="DV56" i="7"/>
  <c r="DV55" i="7"/>
  <c r="DV54" i="7"/>
  <c r="DV49" i="7"/>
  <c r="DV48" i="7"/>
  <c r="DV44" i="7"/>
  <c r="DV43" i="7"/>
  <c r="DV41" i="7"/>
  <c r="DV40" i="7"/>
  <c r="DV39" i="7"/>
  <c r="DV38" i="7"/>
  <c r="DV31" i="7"/>
  <c r="DV30" i="7"/>
  <c r="DV29" i="7"/>
  <c r="DV28" i="7"/>
  <c r="DV26" i="7"/>
  <c r="DV22" i="7"/>
  <c r="DV21" i="7"/>
  <c r="DV163" i="7" s="1"/>
  <c r="DV18" i="7"/>
  <c r="DV17" i="7"/>
  <c r="DV16" i="7"/>
  <c r="DV15" i="7"/>
  <c r="DV13" i="7"/>
  <c r="DV56" i="8"/>
  <c r="DV55" i="8"/>
  <c r="DV54" i="8"/>
  <c r="DV53" i="8"/>
  <c r="DV52" i="8"/>
  <c r="DV51" i="8"/>
  <c r="DV50" i="8"/>
  <c r="DV49" i="8"/>
  <c r="DV48" i="8"/>
  <c r="DV57" i="8" s="1"/>
  <c r="DV58" i="8" s="1"/>
  <c r="DV44" i="8"/>
  <c r="DV43" i="8"/>
  <c r="DV42" i="8"/>
  <c r="DV41" i="8"/>
  <c r="DV40" i="8"/>
  <c r="DV39" i="8"/>
  <c r="DV38" i="8"/>
  <c r="DV168" i="7" s="1"/>
  <c r="DV33" i="8"/>
  <c r="DV32" i="8"/>
  <c r="DV26" i="8"/>
  <c r="DV24" i="8"/>
  <c r="DV23" i="8"/>
  <c r="DV22" i="8"/>
  <c r="DV21" i="8"/>
  <c r="DV20" i="8"/>
  <c r="DV19" i="8"/>
  <c r="DV12" i="8"/>
  <c r="DV47" i="16"/>
  <c r="DV46" i="16"/>
  <c r="DV45" i="16"/>
  <c r="DV44" i="16"/>
  <c r="DV48" i="16" s="1"/>
  <c r="DV23" i="16" s="1"/>
  <c r="DV11" i="16"/>
  <c r="DS146" i="6"/>
  <c r="DS115" i="6"/>
  <c r="DS109" i="6"/>
  <c r="DS117" i="6" s="1"/>
  <c r="DS103" i="6"/>
  <c r="DS84" i="6"/>
  <c r="DS80" i="6"/>
  <c r="DS78" i="6"/>
  <c r="DS74" i="6"/>
  <c r="DV84" i="7" s="1"/>
  <c r="DS70" i="6"/>
  <c r="DS67" i="6"/>
  <c r="DS48" i="6"/>
  <c r="DS45" i="6"/>
  <c r="DS42" i="6"/>
  <c r="DV20" i="16" s="1"/>
  <c r="DS39" i="6"/>
  <c r="DV115" i="13"/>
  <c r="DV112" i="13"/>
  <c r="DV109" i="13"/>
  <c r="DV101" i="13"/>
  <c r="DV93" i="13"/>
  <c r="DV87" i="13"/>
  <c r="DV84" i="13"/>
  <c r="DV81" i="13"/>
  <c r="DV72" i="13"/>
  <c r="DV69" i="13"/>
  <c r="DV59" i="13"/>
  <c r="DV56" i="13"/>
  <c r="DV53" i="13"/>
  <c r="DV36" i="13"/>
  <c r="DV73" i="14"/>
  <c r="DV27" i="14"/>
  <c r="DV28" i="14" s="1"/>
  <c r="DV95" i="14"/>
  <c r="DV94" i="14"/>
  <c r="DV83" i="14"/>
  <c r="DV84" i="14" s="1"/>
  <c r="DV80" i="14"/>
  <c r="DV76" i="14"/>
  <c r="DV74" i="14"/>
  <c r="DV69" i="14"/>
  <c r="DV70" i="14" s="1"/>
  <c r="DV65" i="14"/>
  <c r="DV64" i="14"/>
  <c r="DV50" i="14"/>
  <c r="DV55" i="14" s="1"/>
  <c r="DV48" i="14"/>
  <c r="DV36" i="14"/>
  <c r="DV37" i="14" s="1"/>
  <c r="DV33" i="14"/>
  <c r="DV29" i="14"/>
  <c r="DV23" i="14"/>
  <c r="DV17" i="14"/>
  <c r="DV16" i="14"/>
  <c r="DV15" i="14"/>
  <c r="DV12" i="14"/>
  <c r="DV62" i="14" s="1"/>
  <c r="DV59" i="14" s="1"/>
  <c r="DV68" i="15"/>
  <c r="DV153" i="15"/>
  <c r="DV152" i="15"/>
  <c r="DV115" i="15"/>
  <c r="DV98" i="15"/>
  <c r="DV92" i="15"/>
  <c r="DV97" i="15" s="1"/>
  <c r="DV91" i="15"/>
  <c r="DV34" i="13"/>
  <c r="DV395" i="12"/>
  <c r="DJ395" i="12"/>
  <c r="DV371" i="12"/>
  <c r="DV738" i="12"/>
  <c r="DV729" i="12"/>
  <c r="DV721" i="12"/>
  <c r="DV762" i="12" s="1"/>
  <c r="DV720" i="12"/>
  <c r="DV726" i="12" s="1"/>
  <c r="DV715" i="12"/>
  <c r="DV713" i="12"/>
  <c r="DV657" i="12"/>
  <c r="DV466" i="12"/>
  <c r="DV464" i="12"/>
  <c r="DV463" i="12"/>
  <c r="DV461" i="12"/>
  <c r="DV433" i="12"/>
  <c r="DV367" i="12"/>
  <c r="DV351" i="12"/>
  <c r="DV349" i="12" s="1"/>
  <c r="DV331" i="12"/>
  <c r="DV320" i="12"/>
  <c r="DV277" i="12"/>
  <c r="DV276" i="12"/>
  <c r="DV274" i="12"/>
  <c r="DV273" i="12"/>
  <c r="DV271" i="12"/>
  <c r="DV270" i="12"/>
  <c r="DV255" i="12"/>
  <c r="DV254" i="12"/>
  <c r="DV181" i="12" s="1"/>
  <c r="DV120" i="12"/>
  <c r="DV117" i="12"/>
  <c r="DV286" i="12" s="1"/>
  <c r="DV112" i="12"/>
  <c r="DV85" i="12"/>
  <c r="DV84" i="12"/>
  <c r="DV55" i="12"/>
  <c r="DV46" i="17" s="1"/>
  <c r="DV52" i="12"/>
  <c r="DV47" i="12"/>
  <c r="DV41" i="12"/>
  <c r="DV38" i="12"/>
  <c r="DV471" i="12" s="1"/>
  <c r="DV29" i="12"/>
  <c r="DV27" i="12"/>
  <c r="DV23" i="12"/>
  <c r="DV304" i="12" s="1"/>
  <c r="DV21" i="12"/>
  <c r="DV60" i="12" l="1"/>
  <c r="DS53" i="6"/>
  <c r="DV85" i="13"/>
  <c r="DV27" i="16"/>
  <c r="DV56" i="17" s="1"/>
  <c r="DV27" i="7"/>
  <c r="DV113" i="7" s="1"/>
  <c r="DV42" i="7"/>
  <c r="DV88" i="13"/>
  <c r="DS112" i="6"/>
  <c r="DV16" i="16"/>
  <c r="DV18" i="16" s="1"/>
  <c r="DV147" i="15"/>
  <c r="DV75" i="13"/>
  <c r="DS10" i="6" s="1"/>
  <c r="DV23" i="7"/>
  <c r="DV111" i="7" s="1"/>
  <c r="DV118" i="7" s="1"/>
  <c r="DV192" i="7"/>
  <c r="DV171" i="7"/>
  <c r="DV61" i="7"/>
  <c r="DV82" i="7"/>
  <c r="DV164" i="7"/>
  <c r="DV181" i="7" s="1"/>
  <c r="DV186" i="7"/>
  <c r="DS18" i="6"/>
  <c r="DV22" i="16"/>
  <c r="DS120" i="6"/>
  <c r="DV133" i="13"/>
  <c r="DV82" i="13"/>
  <c r="DV72" i="14"/>
  <c r="DV32" i="14"/>
  <c r="DV30" i="14" s="1"/>
  <c r="DV31" i="14" s="1"/>
  <c r="DV79" i="14"/>
  <c r="DV77" i="14" s="1"/>
  <c r="DV78" i="14" s="1"/>
  <c r="DV60" i="14"/>
  <c r="DV71" i="14"/>
  <c r="DV61" i="14"/>
  <c r="DV25" i="14"/>
  <c r="DV118" i="15"/>
  <c r="DV9" i="14"/>
  <c r="DV26" i="14"/>
  <c r="DV45" i="14"/>
  <c r="DV53" i="14" s="1"/>
  <c r="DV66" i="14"/>
  <c r="DV75" i="14"/>
  <c r="DV38" i="14"/>
  <c r="DV24" i="14"/>
  <c r="DV51" i="14"/>
  <c r="DV126" i="12"/>
  <c r="DV122" i="12"/>
  <c r="DV127" i="12" s="1"/>
  <c r="DV287" i="12"/>
  <c r="DV219" i="12" s="1"/>
  <c r="DV180" i="12"/>
  <c r="DV728" i="12"/>
  <c r="DV747" i="12" s="1"/>
  <c r="DV749" i="12" s="1"/>
  <c r="DV750" i="12" s="1"/>
  <c r="DV752" i="12" s="1"/>
  <c r="DV727" i="12"/>
  <c r="DV740" i="12"/>
  <c r="DV764" i="12"/>
  <c r="DV763" i="12"/>
  <c r="DV306" i="12"/>
  <c r="DV350" i="12"/>
  <c r="DV352" i="12"/>
  <c r="DV742" i="12"/>
  <c r="DV743" i="12" s="1"/>
  <c r="DV31" i="12"/>
  <c r="DV125" i="12"/>
  <c r="DV381" i="12"/>
  <c r="DV477" i="12"/>
  <c r="DV298" i="12"/>
  <c r="DV444" i="12"/>
  <c r="DV479" i="12"/>
  <c r="DV24" i="16" l="1"/>
  <c r="DV41" i="16" s="1"/>
  <c r="DV42" i="16" s="1"/>
  <c r="DV43" i="12"/>
  <c r="DS14" i="6"/>
  <c r="DS35" i="6" s="1"/>
  <c r="DV54" i="12"/>
  <c r="DV50" i="7"/>
  <c r="DV62" i="7"/>
  <c r="DV165" i="7"/>
  <c r="DV90" i="7"/>
  <c r="DV87" i="7"/>
  <c r="DV30" i="16"/>
  <c r="DV33" i="16" s="1"/>
  <c r="DV37" i="16"/>
  <c r="DV136" i="13"/>
  <c r="DV134" i="13"/>
  <c r="DV131" i="13" s="1"/>
  <c r="DV85" i="14"/>
  <c r="DV10" i="14"/>
  <c r="DV11" i="14"/>
  <c r="DV52" i="14"/>
  <c r="DV150" i="15"/>
  <c r="DV177" i="12"/>
  <c r="DV128" i="12"/>
  <c r="DV454" i="12"/>
  <c r="DV62" i="12"/>
  <c r="DV754" i="12"/>
  <c r="DV753" i="12"/>
  <c r="DV49" i="12"/>
  <c r="DV50" i="12"/>
  <c r="DV301" i="12"/>
  <c r="DV308" i="12" s="1"/>
  <c r="DV765" i="12"/>
  <c r="DV767" i="12"/>
  <c r="DV78" i="12"/>
  <c r="DV69" i="12"/>
  <c r="DV40" i="12"/>
  <c r="DV65" i="12"/>
  <c r="DV390" i="12"/>
  <c r="DV380" i="12"/>
  <c r="DS30" i="6" l="1"/>
  <c r="DV70" i="7" s="1"/>
  <c r="DV91" i="7"/>
  <c r="DS86" i="6"/>
  <c r="DS44" i="6"/>
  <c r="DS13" i="6"/>
  <c r="DS75" i="6"/>
  <c r="DS56" i="6"/>
  <c r="DS63" i="6"/>
  <c r="DS71" i="6"/>
  <c r="DS69" i="6"/>
  <c r="DS50" i="6"/>
  <c r="DS41" i="6"/>
  <c r="DS59" i="6"/>
  <c r="DS47" i="6"/>
  <c r="DS55" i="6"/>
  <c r="DV757" i="12"/>
  <c r="DV755" i="12"/>
  <c r="DV72" i="12"/>
  <c r="DV71" i="12"/>
  <c r="DV67" i="12"/>
  <c r="DV87" i="12"/>
  <c r="DV81" i="12"/>
  <c r="DV80" i="12"/>
  <c r="DV321" i="12"/>
  <c r="DV339" i="12"/>
  <c r="DS17" i="6" l="1"/>
  <c r="DV94" i="7"/>
  <c r="DS76" i="6"/>
  <c r="DS64" i="6"/>
  <c r="DS61" i="6"/>
  <c r="DS58" i="6"/>
  <c r="DV89" i="12"/>
  <c r="DV92" i="12" s="1"/>
  <c r="DS79" i="6" l="1"/>
  <c r="DS88" i="6"/>
  <c r="DS77" i="6"/>
  <c r="DV96" i="12"/>
  <c r="DV94" i="12"/>
  <c r="DV95" i="12"/>
  <c r="DV744" i="12" l="1"/>
  <c r="DV768" i="12" s="1"/>
  <c r="DV110" i="7"/>
  <c r="DS95" i="6"/>
  <c r="DS92" i="6"/>
  <c r="DS119" i="6"/>
  <c r="DS90" i="6"/>
  <c r="DV758" i="12"/>
  <c r="DV745" i="12" l="1"/>
  <c r="DV117" i="7"/>
  <c r="DS98" i="6"/>
  <c r="DL385" i="21" l="1"/>
  <c r="DL390" i="21" s="1"/>
  <c r="DL379" i="21"/>
  <c r="DL381" i="21"/>
  <c r="DV34" i="8" s="1"/>
  <c r="DL274" i="21"/>
  <c r="DL265" i="21"/>
  <c r="DL48" i="21"/>
  <c r="DL35" i="21"/>
  <c r="DL27" i="21"/>
  <c r="DL34" i="21"/>
  <c r="DL6" i="21"/>
  <c r="DL7" i="21"/>
  <c r="DL20" i="21"/>
  <c r="DL10" i="21" s="1"/>
  <c r="DL29" i="21"/>
  <c r="DL74" i="21"/>
  <c r="DL89" i="21"/>
  <c r="DL95" i="21" s="1"/>
  <c r="DL104" i="21"/>
  <c r="DL107" i="21" s="1"/>
  <c r="DL130" i="21"/>
  <c r="DL137" i="21"/>
  <c r="DL159" i="21"/>
  <c r="DL179" i="21" s="1"/>
  <c r="DL169" i="21"/>
  <c r="DL170" i="21"/>
  <c r="DL199" i="21"/>
  <c r="DL201" i="21" s="1"/>
  <c r="DL238" i="21"/>
  <c r="DL248" i="21"/>
  <c r="DL250" i="21"/>
  <c r="DL251" i="21"/>
  <c r="DL256" i="21"/>
  <c r="DL255" i="21" s="1"/>
  <c r="DL261" i="21"/>
  <c r="DL266" i="21"/>
  <c r="DL268" i="21"/>
  <c r="DL276" i="21"/>
  <c r="DL278" i="21" s="1"/>
  <c r="DL282" i="21"/>
  <c r="DL285" i="21"/>
  <c r="DL287" i="21" s="1"/>
  <c r="DL303" i="21"/>
  <c r="DL309" i="21"/>
  <c r="DL311" i="21" s="1"/>
  <c r="DL301" i="21" s="1"/>
  <c r="DL310" i="21"/>
  <c r="DL402" i="21"/>
  <c r="DL406" i="21"/>
  <c r="DV65" i="8" l="1"/>
  <c r="DV66" i="8" s="1"/>
  <c r="DV59" i="8"/>
  <c r="DL405" i="21"/>
  <c r="DL407" i="21" s="1"/>
  <c r="DL64" i="21" s="1"/>
  <c r="DL286" i="21"/>
  <c r="DL267" i="21"/>
  <c r="DL269" i="21" s="1"/>
  <c r="DL202" i="21"/>
  <c r="DL109" i="21"/>
  <c r="DL36" i="21"/>
  <c r="DL38" i="21" s="1"/>
  <c r="DL41" i="21" s="1"/>
  <c r="DL47" i="21" s="1"/>
  <c r="DL52" i="21" s="1"/>
  <c r="DL54" i="21" s="1"/>
  <c r="DL56" i="21" s="1"/>
  <c r="DL12" i="21"/>
  <c r="DL205" i="21"/>
  <c r="DL26" i="21"/>
  <c r="DL28" i="21" s="1"/>
  <c r="DL30" i="21" s="1"/>
  <c r="DV14" i="7" l="1"/>
  <c r="DL69" i="21"/>
  <c r="DV19" i="7" s="1"/>
  <c r="DV20" i="7" s="1"/>
  <c r="DL70" i="21"/>
  <c r="DL80" i="21" s="1"/>
  <c r="DL110" i="21" s="1"/>
  <c r="DV33" i="7" l="1"/>
  <c r="DV76" i="7"/>
  <c r="DV112" i="7" s="1"/>
  <c r="DV119" i="7" l="1"/>
  <c r="DV34" i="7"/>
  <c r="DV63" i="7"/>
  <c r="T24" i="37" l="1"/>
  <c r="AH12" i="37" l="1"/>
  <c r="V15" i="37"/>
  <c r="M3" i="37"/>
  <c r="N3" i="37"/>
  <c r="O3" i="37"/>
  <c r="P3" i="37"/>
  <c r="Q3" i="37"/>
  <c r="R3" i="37"/>
  <c r="M20" i="37"/>
  <c r="N20" i="37"/>
  <c r="O20" i="37"/>
  <c r="P20" i="37"/>
  <c r="Q20" i="37"/>
  <c r="R20" i="37"/>
  <c r="M21" i="37"/>
  <c r="N21" i="37"/>
  <c r="O21" i="37"/>
  <c r="P21" i="37"/>
  <c r="Q21" i="37"/>
  <c r="R21" i="37"/>
  <c r="M22" i="37"/>
  <c r="N22" i="37"/>
  <c r="O22" i="37"/>
  <c r="P22" i="37"/>
  <c r="Q22" i="37"/>
  <c r="R22" i="37"/>
  <c r="M23" i="37"/>
  <c r="N23" i="37"/>
  <c r="O23" i="37"/>
  <c r="P23" i="37"/>
  <c r="Q23" i="37"/>
  <c r="R23" i="37"/>
  <c r="AA73" i="6" l="1"/>
  <c r="DV73" i="6"/>
  <c r="DU73" i="6"/>
  <c r="DT73" i="6"/>
  <c r="DY112" i="13"/>
  <c r="DX112" i="13"/>
  <c r="DW112" i="13"/>
  <c r="DU112" i="13"/>
  <c r="DT112" i="13"/>
  <c r="DS112" i="13"/>
  <c r="DR112" i="13"/>
  <c r="DV113" i="13" s="1"/>
  <c r="DU141" i="17"/>
  <c r="DU137" i="17"/>
  <c r="DU134" i="17"/>
  <c r="DU131" i="17"/>
  <c r="DU108" i="17" s="1"/>
  <c r="R33" i="37" s="1"/>
  <c r="DU118" i="17"/>
  <c r="DU114" i="17"/>
  <c r="DU55" i="17"/>
  <c r="DU52" i="17"/>
  <c r="DU17" i="17"/>
  <c r="DB31" i="17"/>
  <c r="W115" i="13"/>
  <c r="DU115" i="13"/>
  <c r="DT115" i="13"/>
  <c r="DS115" i="13"/>
  <c r="DR115" i="13"/>
  <c r="DV116" i="13" s="1"/>
  <c r="DQ115" i="13"/>
  <c r="DP115" i="13"/>
  <c r="DO115" i="13"/>
  <c r="DN115" i="13"/>
  <c r="Z115" i="13"/>
  <c r="DY115" i="13" s="1"/>
  <c r="DW11" i="16"/>
  <c r="DU47" i="16"/>
  <c r="DU46" i="16"/>
  <c r="DU45" i="16"/>
  <c r="DU44" i="16"/>
  <c r="DU48" i="16" s="1"/>
  <c r="DU23" i="16" s="1"/>
  <c r="DU11" i="16"/>
  <c r="R19" i="37" l="1"/>
  <c r="DY11" i="16"/>
  <c r="DU145" i="17"/>
  <c r="DU142" i="17"/>
  <c r="DU44" i="17"/>
  <c r="DU126" i="17"/>
  <c r="DU128" i="17" s="1"/>
  <c r="DU49" i="17"/>
  <c r="DX115" i="13"/>
  <c r="DW115" i="13"/>
  <c r="R10" i="37" l="1"/>
  <c r="DU60" i="7"/>
  <c r="DU59" i="7"/>
  <c r="DU58" i="7"/>
  <c r="DU57" i="7"/>
  <c r="DU56" i="7"/>
  <c r="DU55" i="7"/>
  <c r="DU54" i="7"/>
  <c r="DU49" i="7"/>
  <c r="DU48" i="7"/>
  <c r="DU44" i="7"/>
  <c r="DU43" i="7"/>
  <c r="DU41" i="7"/>
  <c r="DU40" i="7"/>
  <c r="DU39" i="7"/>
  <c r="DU38" i="7"/>
  <c r="DV80" i="7" s="1"/>
  <c r="DU31" i="7"/>
  <c r="DU30" i="7"/>
  <c r="DU29" i="7"/>
  <c r="DU28" i="7"/>
  <c r="DU26" i="7"/>
  <c r="DU22" i="7"/>
  <c r="DU21" i="7"/>
  <c r="DU163" i="7" s="1"/>
  <c r="DU19" i="7"/>
  <c r="DU18" i="7"/>
  <c r="DU17" i="7"/>
  <c r="DU16" i="7"/>
  <c r="DU15" i="7"/>
  <c r="DU13" i="7"/>
  <c r="DU56" i="8"/>
  <c r="DU55" i="8"/>
  <c r="DU54" i="8"/>
  <c r="DU53" i="8"/>
  <c r="DU52" i="8"/>
  <c r="DU51" i="8"/>
  <c r="DU50" i="8"/>
  <c r="DU49" i="8"/>
  <c r="DU48" i="8"/>
  <c r="DU57" i="8" s="1"/>
  <c r="DU58" i="8" s="1"/>
  <c r="DU44" i="8"/>
  <c r="DU43" i="8"/>
  <c r="DU42" i="8"/>
  <c r="DU41" i="8"/>
  <c r="DU40" i="8"/>
  <c r="DU39" i="8"/>
  <c r="DU38" i="8"/>
  <c r="DU168" i="7" s="1"/>
  <c r="DU34" i="8"/>
  <c r="DU65" i="8" s="1"/>
  <c r="DU66" i="8" s="1"/>
  <c r="DU33" i="8"/>
  <c r="DU32" i="8"/>
  <c r="DU26" i="8"/>
  <c r="DU24" i="8"/>
  <c r="DU23" i="8"/>
  <c r="DU22" i="8"/>
  <c r="DU21" i="8"/>
  <c r="DU20" i="8"/>
  <c r="DU19" i="8"/>
  <c r="DU12" i="8"/>
  <c r="DR146" i="6"/>
  <c r="DR115" i="6"/>
  <c r="DR109" i="6"/>
  <c r="DR103" i="6"/>
  <c r="DR84" i="6"/>
  <c r="DR80" i="6"/>
  <c r="DR78" i="6"/>
  <c r="DR74" i="6"/>
  <c r="DU84" i="7" s="1"/>
  <c r="DR70" i="6"/>
  <c r="DR67" i="6"/>
  <c r="DR48" i="6"/>
  <c r="DR45" i="6"/>
  <c r="DR42" i="6"/>
  <c r="DR39" i="6"/>
  <c r="DR53" i="6" s="1"/>
  <c r="DR18" i="6"/>
  <c r="DU109" i="13"/>
  <c r="DV110" i="13" s="1"/>
  <c r="DU101" i="13"/>
  <c r="DU93" i="13"/>
  <c r="DU87" i="13"/>
  <c r="DU84" i="13"/>
  <c r="DU81" i="13"/>
  <c r="DU72" i="13"/>
  <c r="DU69" i="13"/>
  <c r="DU59" i="13"/>
  <c r="R46" i="37" s="1"/>
  <c r="DU56" i="13"/>
  <c r="DU53" i="13"/>
  <c r="DU95" i="14"/>
  <c r="DU94" i="14"/>
  <c r="DU83" i="14"/>
  <c r="DU75" i="14" s="1"/>
  <c r="DU80" i="14"/>
  <c r="DU76" i="14"/>
  <c r="DU84" i="14" s="1"/>
  <c r="DU74" i="14"/>
  <c r="DU69" i="14"/>
  <c r="DU72" i="14" s="1"/>
  <c r="DU65" i="14"/>
  <c r="DU64" i="14"/>
  <c r="DU62" i="14"/>
  <c r="DU59" i="14" s="1"/>
  <c r="DU50" i="14"/>
  <c r="DU55" i="14" s="1"/>
  <c r="DU48" i="14"/>
  <c r="DV54" i="14" s="1"/>
  <c r="DU37" i="14"/>
  <c r="DU32" i="14" s="1"/>
  <c r="DU30" i="14" s="1"/>
  <c r="DU31" i="14" s="1"/>
  <c r="DU36" i="14"/>
  <c r="DU17" i="14" s="1"/>
  <c r="DU33" i="14"/>
  <c r="DU29" i="14"/>
  <c r="DU28" i="14"/>
  <c r="DU26" i="14"/>
  <c r="DU23" i="14"/>
  <c r="DU25" i="14" s="1"/>
  <c r="DU16" i="14"/>
  <c r="DU15" i="14"/>
  <c r="DU12" i="14"/>
  <c r="DU9" i="14"/>
  <c r="DU10" i="14" s="1"/>
  <c r="DU98" i="15"/>
  <c r="DU92" i="15"/>
  <c r="DU91" i="15"/>
  <c r="DU25" i="15"/>
  <c r="DU21" i="15"/>
  <c r="DU14" i="15"/>
  <c r="DU11" i="15"/>
  <c r="DU34" i="13" s="1"/>
  <c r="DU738" i="12"/>
  <c r="DU729" i="12"/>
  <c r="DU720" i="12"/>
  <c r="DU726" i="12" s="1"/>
  <c r="DU728" i="12" s="1"/>
  <c r="DU747" i="12" s="1"/>
  <c r="DU749" i="12" s="1"/>
  <c r="DU715" i="12"/>
  <c r="DU713" i="12"/>
  <c r="DU657" i="12"/>
  <c r="DU464" i="12"/>
  <c r="DU466" i="12" s="1"/>
  <c r="DU463" i="12"/>
  <c r="DU461" i="12"/>
  <c r="DU395" i="12"/>
  <c r="DU425" i="12" s="1"/>
  <c r="DU367" i="12"/>
  <c r="DU351" i="12"/>
  <c r="DU349" i="12" s="1"/>
  <c r="DU331" i="12"/>
  <c r="DU320" i="12"/>
  <c r="DU277" i="12"/>
  <c r="DU276" i="12"/>
  <c r="DU274" i="12"/>
  <c r="DU273" i="12"/>
  <c r="DU271" i="12"/>
  <c r="DU270" i="12"/>
  <c r="DU255" i="12"/>
  <c r="DU219" i="12" s="1"/>
  <c r="DU254" i="12"/>
  <c r="DU120" i="12"/>
  <c r="DU287" i="12" s="1"/>
  <c r="DU117" i="12"/>
  <c r="DU112" i="12"/>
  <c r="DU52" i="12"/>
  <c r="DU47" i="12"/>
  <c r="DU41" i="12"/>
  <c r="DU38" i="12"/>
  <c r="DU29" i="12"/>
  <c r="DU27" i="12"/>
  <c r="DU23" i="12"/>
  <c r="DU21" i="12"/>
  <c r="DU477" i="12" s="1"/>
  <c r="DK401" i="21"/>
  <c r="DK397" i="21"/>
  <c r="DK396" i="21"/>
  <c r="DK394" i="21"/>
  <c r="DK395" i="21"/>
  <c r="DK402" i="21"/>
  <c r="DK393" i="21"/>
  <c r="DK389" i="21"/>
  <c r="DK385" i="21"/>
  <c r="DK384" i="21"/>
  <c r="DK390" i="21" s="1"/>
  <c r="DK380" i="21"/>
  <c r="DK379" i="21"/>
  <c r="DK377" i="21"/>
  <c r="DK376" i="21"/>
  <c r="DK375" i="21"/>
  <c r="DK374" i="21"/>
  <c r="DK371" i="21"/>
  <c r="DK369" i="21"/>
  <c r="DK274" i="21"/>
  <c r="DK131" i="21"/>
  <c r="DK48" i="21"/>
  <c r="DK35" i="21"/>
  <c r="DK27" i="21"/>
  <c r="DK34" i="21"/>
  <c r="DK6" i="21"/>
  <c r="DK7" i="21"/>
  <c r="DK20" i="21"/>
  <c r="DK10" i="21" s="1"/>
  <c r="DK12" i="21" s="1"/>
  <c r="DK29" i="21"/>
  <c r="DK70" i="21"/>
  <c r="DK80" i="21" s="1"/>
  <c r="DK74" i="21"/>
  <c r="DK89" i="21"/>
  <c r="DK95" i="21" s="1"/>
  <c r="DK104" i="21"/>
  <c r="DK107" i="21" s="1"/>
  <c r="DK130" i="21"/>
  <c r="DK137" i="21"/>
  <c r="DK159" i="21"/>
  <c r="DK179" i="21" s="1"/>
  <c r="DK169" i="21"/>
  <c r="DK170" i="21" s="1"/>
  <c r="DK199" i="21"/>
  <c r="DK201" i="21" s="1"/>
  <c r="DK215" i="21"/>
  <c r="DK216" i="21" s="1"/>
  <c r="DK220" i="21"/>
  <c r="DK238" i="21"/>
  <c r="DK248" i="21"/>
  <c r="DK250" i="21"/>
  <c r="DK256" i="21"/>
  <c r="DK255" i="21" s="1"/>
  <c r="DK261" i="21"/>
  <c r="DK282" i="21" s="1"/>
  <c r="DK266" i="21"/>
  <c r="DK268" i="21"/>
  <c r="DK265" i="21"/>
  <c r="DK276" i="21"/>
  <c r="DK278" i="21" s="1"/>
  <c r="DK285" i="21"/>
  <c r="DK287" i="21" s="1"/>
  <c r="DK303" i="21"/>
  <c r="DK309" i="21"/>
  <c r="DK311" i="21" s="1"/>
  <c r="DK301" i="21" s="1"/>
  <c r="DK310" i="21"/>
  <c r="DK406" i="21"/>
  <c r="DU97" i="15" l="1"/>
  <c r="R38" i="37"/>
  <c r="DV35" i="13"/>
  <c r="R44" i="37"/>
  <c r="DR112" i="6"/>
  <c r="E9" i="5"/>
  <c r="DU23" i="7"/>
  <c r="DU111" i="7" s="1"/>
  <c r="DU118" i="7" s="1"/>
  <c r="DV314" i="12"/>
  <c r="DV156" i="12"/>
  <c r="DU36" i="13"/>
  <c r="E5" i="5"/>
  <c r="DV97" i="7"/>
  <c r="DS72" i="6" s="1"/>
  <c r="DS73" i="6" s="1"/>
  <c r="Z73" i="6" s="1"/>
  <c r="DU479" i="12"/>
  <c r="R15" i="37"/>
  <c r="R29" i="37"/>
  <c r="R42" i="37"/>
  <c r="DV102" i="13"/>
  <c r="DV104" i="13"/>
  <c r="DV103" i="13"/>
  <c r="DR117" i="6"/>
  <c r="DS107" i="6"/>
  <c r="DU20" i="7"/>
  <c r="DV65" i="7"/>
  <c r="DU178" i="7"/>
  <c r="DU381" i="12"/>
  <c r="DV452" i="12"/>
  <c r="DV263" i="12"/>
  <c r="DV361" i="12"/>
  <c r="DV359" i="12" s="1"/>
  <c r="DV256" i="12"/>
  <c r="DV325" i="12"/>
  <c r="R48" i="37"/>
  <c r="DU192" i="7"/>
  <c r="DV21" i="14"/>
  <c r="R39" i="37"/>
  <c r="DU122" i="12"/>
  <c r="DU127" i="12" s="1"/>
  <c r="DV114" i="12"/>
  <c r="DU76" i="7"/>
  <c r="DV77" i="7" s="1"/>
  <c r="DU27" i="7"/>
  <c r="DU113" i="7" s="1"/>
  <c r="DU42" i="7"/>
  <c r="DU25" i="12"/>
  <c r="DU27" i="16"/>
  <c r="DU56" i="17" s="1"/>
  <c r="DV57" i="17" s="1"/>
  <c r="DU286" i="12"/>
  <c r="DU181" i="12"/>
  <c r="DU147" i="15"/>
  <c r="DU20" i="16"/>
  <c r="DU22" i="16" s="1"/>
  <c r="DX22" i="16" s="1"/>
  <c r="DY22" i="16" s="1"/>
  <c r="DU60" i="12"/>
  <c r="DU471" i="12"/>
  <c r="DU16" i="16"/>
  <c r="DU33" i="7"/>
  <c r="DU171" i="7"/>
  <c r="DU50" i="7"/>
  <c r="DU61" i="7"/>
  <c r="DU62" i="7" s="1"/>
  <c r="DU82" i="7"/>
  <c r="DU164" i="7"/>
  <c r="DU181" i="7" s="1"/>
  <c r="DU186" i="7"/>
  <c r="DU59" i="8"/>
  <c r="DR120" i="6"/>
  <c r="DU75" i="13"/>
  <c r="DU66" i="14"/>
  <c r="DU70" i="14"/>
  <c r="DU45" i="14"/>
  <c r="DV47" i="14" s="1"/>
  <c r="DV57" i="14" s="1"/>
  <c r="DU38" i="14"/>
  <c r="DV39" i="14" s="1"/>
  <c r="DU60" i="14"/>
  <c r="DU61" i="14"/>
  <c r="DU71" i="14"/>
  <c r="DU79" i="14"/>
  <c r="DU11" i="14"/>
  <c r="DU24" i="14"/>
  <c r="DU51" i="14"/>
  <c r="DU77" i="14"/>
  <c r="DU78" i="14" s="1"/>
  <c r="DU115" i="15"/>
  <c r="DV116" i="15" s="1"/>
  <c r="DU153" i="15"/>
  <c r="DU152" i="15"/>
  <c r="DV160" i="15" s="1"/>
  <c r="DU113" i="15"/>
  <c r="DU64" i="15"/>
  <c r="DU68" i="15"/>
  <c r="DV74" i="15" s="1"/>
  <c r="DW74" i="15" s="1"/>
  <c r="DU18" i="15"/>
  <c r="DU380" i="12"/>
  <c r="DU390" i="12"/>
  <c r="DU352" i="12"/>
  <c r="DU350" i="12"/>
  <c r="DU301" i="12"/>
  <c r="DV303" i="12" s="1"/>
  <c r="DU55" i="12"/>
  <c r="DU46" i="17" s="1"/>
  <c r="DV47" i="17" s="1"/>
  <c r="DV48" i="17" s="1"/>
  <c r="DU126" i="12"/>
  <c r="DU298" i="12"/>
  <c r="DU444" i="12"/>
  <c r="DU304" i="12"/>
  <c r="DU740" i="12"/>
  <c r="DU742" i="12" s="1"/>
  <c r="DU743" i="12" s="1"/>
  <c r="DU433" i="12"/>
  <c r="DU125" i="12"/>
  <c r="DK381" i="21"/>
  <c r="DK267" i="21"/>
  <c r="DK269" i="21"/>
  <c r="DK286" i="21"/>
  <c r="DK251" i="21"/>
  <c r="DK109" i="21"/>
  <c r="DK110" i="21"/>
  <c r="DK36" i="21"/>
  <c r="DK38" i="21" s="1"/>
  <c r="DK41" i="21" s="1"/>
  <c r="DK47" i="21" s="1"/>
  <c r="DK52" i="21" s="1"/>
  <c r="DK54" i="21" s="1"/>
  <c r="DK56" i="21" s="1"/>
  <c r="DK405" i="21"/>
  <c r="DK407" i="21" s="1"/>
  <c r="DK202" i="21"/>
  <c r="DK205" i="21"/>
  <c r="DK26" i="21"/>
  <c r="DK28" i="21" s="1"/>
  <c r="DK30" i="21" s="1"/>
  <c r="DX74" i="15" l="1"/>
  <c r="DV56" i="14"/>
  <c r="DV161" i="15"/>
  <c r="DV67" i="14"/>
  <c r="R40" i="37"/>
  <c r="DU85" i="13"/>
  <c r="DX85" i="13" s="1"/>
  <c r="DY85" i="13" s="1"/>
  <c r="R27" i="37"/>
  <c r="DU110" i="17"/>
  <c r="DR10" i="6"/>
  <c r="DU136" i="17"/>
  <c r="DU116" i="17" s="1"/>
  <c r="R13" i="37"/>
  <c r="DV346" i="12"/>
  <c r="DV246" i="12"/>
  <c r="DV327" i="12" s="1"/>
  <c r="DV292" i="12"/>
  <c r="DV177" i="7"/>
  <c r="DV179" i="7" s="1"/>
  <c r="DV185" i="7" s="1"/>
  <c r="DV182" i="7"/>
  <c r="DV167" i="7"/>
  <c r="DV169" i="7" s="1"/>
  <c r="DV175" i="7" s="1"/>
  <c r="DV172" i="7"/>
  <c r="DV332" i="12"/>
  <c r="DV329" i="12"/>
  <c r="DV328" i="12"/>
  <c r="DV257" i="12"/>
  <c r="DV70" i="15"/>
  <c r="R34" i="37"/>
  <c r="E6" i="5"/>
  <c r="DV83" i="7"/>
  <c r="DV85" i="7" s="1"/>
  <c r="DU180" i="12"/>
  <c r="DV288" i="12"/>
  <c r="DU177" i="12"/>
  <c r="DU165" i="7"/>
  <c r="DU50" i="12"/>
  <c r="DU31" i="12"/>
  <c r="DR14" i="6" s="1"/>
  <c r="DU120" i="17"/>
  <c r="DU24" i="16"/>
  <c r="DU18" i="16"/>
  <c r="DU90" i="7"/>
  <c r="DU87" i="7"/>
  <c r="DU63" i="7"/>
  <c r="DU34" i="7"/>
  <c r="DU112" i="7"/>
  <c r="DU88" i="13"/>
  <c r="DU82" i="13"/>
  <c r="DU133" i="13"/>
  <c r="R31" i="37" s="1"/>
  <c r="R32" i="37" s="1"/>
  <c r="DU85" i="14"/>
  <c r="DV86" i="14" s="1"/>
  <c r="DU53" i="14"/>
  <c r="DU52" i="14"/>
  <c r="DU118" i="15"/>
  <c r="DU150" i="15"/>
  <c r="DV158" i="15" s="1"/>
  <c r="DU112" i="15"/>
  <c r="DU23" i="15"/>
  <c r="DU306" i="12"/>
  <c r="DU454" i="12"/>
  <c r="DU321" i="12"/>
  <c r="DU339" i="12"/>
  <c r="DU128" i="12"/>
  <c r="DY74" i="15" l="1"/>
  <c r="DV119" i="15"/>
  <c r="DV335" i="12"/>
  <c r="DV334" i="12"/>
  <c r="DS12" i="6"/>
  <c r="DR30" i="6"/>
  <c r="DS16" i="6"/>
  <c r="DV174" i="7"/>
  <c r="DV188" i="7"/>
  <c r="DW188" i="7" s="1"/>
  <c r="DX188" i="7" s="1"/>
  <c r="DY188" i="7" s="1"/>
  <c r="DV184" i="7"/>
  <c r="DV467" i="12"/>
  <c r="DV358" i="12"/>
  <c r="DV363" i="12" s="1"/>
  <c r="DV137" i="12"/>
  <c r="DV462" i="12"/>
  <c r="DV289" i="12"/>
  <c r="DV294" i="12"/>
  <c r="DV281" i="12"/>
  <c r="DV344" i="12"/>
  <c r="DV248" i="12"/>
  <c r="DU69" i="12"/>
  <c r="DR17" i="6"/>
  <c r="DU70" i="7"/>
  <c r="DR59" i="6"/>
  <c r="DU20" i="17" s="1"/>
  <c r="DR47" i="6"/>
  <c r="DU49" i="12"/>
  <c r="DU78" i="12"/>
  <c r="R17" i="37" s="1"/>
  <c r="R18" i="37" s="1"/>
  <c r="DR35" i="6"/>
  <c r="DU62" i="12"/>
  <c r="DU43" i="12"/>
  <c r="DY44" i="12" s="1"/>
  <c r="DU65" i="12"/>
  <c r="DU67" i="12" s="1"/>
  <c r="DU40" i="12"/>
  <c r="DU54" i="12"/>
  <c r="DU41" i="16"/>
  <c r="DU42" i="16" s="1"/>
  <c r="DU30" i="16"/>
  <c r="DU33" i="16" s="1"/>
  <c r="DU37" i="16"/>
  <c r="DR55" i="6"/>
  <c r="DU19" i="17"/>
  <c r="DU143" i="17"/>
  <c r="DU146" i="17"/>
  <c r="DU119" i="7"/>
  <c r="DU91" i="7"/>
  <c r="DU136" i="13"/>
  <c r="DU134" i="13"/>
  <c r="DU131" i="13" s="1"/>
  <c r="DU71" i="12"/>
  <c r="DU72" i="12"/>
  <c r="DU308" i="12"/>
  <c r="DV364" i="12" l="1"/>
  <c r="DV370" i="12" s="1"/>
  <c r="DV385" i="12" s="1"/>
  <c r="DV387" i="12" s="1"/>
  <c r="DV469" i="12"/>
  <c r="DV284" i="12"/>
  <c r="DV283" i="12"/>
  <c r="DS32" i="6"/>
  <c r="DS33" i="6"/>
  <c r="DR63" i="6"/>
  <c r="R8" i="37" s="1"/>
  <c r="R6" i="37"/>
  <c r="R11" i="37" s="1"/>
  <c r="DU80" i="12"/>
  <c r="DR61" i="6"/>
  <c r="DU81" i="12"/>
  <c r="DR71" i="6"/>
  <c r="DU94" i="7"/>
  <c r="DR44" i="6"/>
  <c r="DR50" i="6"/>
  <c r="DR56" i="6"/>
  <c r="DR86" i="6"/>
  <c r="DR75" i="6"/>
  <c r="DR13" i="6"/>
  <c r="DR41" i="6"/>
  <c r="DR69" i="6"/>
  <c r="DR76" i="6"/>
  <c r="DR64" i="6"/>
  <c r="R9" i="37" s="1"/>
  <c r="DR58" i="6"/>
  <c r="DV417" i="12" l="1"/>
  <c r="DR79" i="6"/>
  <c r="DR77" i="6"/>
  <c r="DR88" i="6"/>
  <c r="DR95" i="6" l="1"/>
  <c r="R5" i="37" s="1"/>
  <c r="DR92" i="6"/>
  <c r="DR119" i="6"/>
  <c r="DR90" i="6"/>
  <c r="DU744" i="12"/>
  <c r="DU745" i="12" s="1"/>
  <c r="DU110" i="7"/>
  <c r="DU117" i="7" s="1"/>
  <c r="DR98" i="6" l="1"/>
  <c r="AH10" i="37" l="1"/>
  <c r="L3" i="37"/>
  <c r="L20" i="37"/>
  <c r="L21" i="37"/>
  <c r="L22" i="37"/>
  <c r="L23" i="37"/>
  <c r="L24" i="37"/>
  <c r="L25" i="37"/>
  <c r="DI2" i="22" l="1"/>
  <c r="DJ2" i="22"/>
  <c r="DK2" i="22"/>
  <c r="DL2" i="22"/>
  <c r="DI8" i="22"/>
  <c r="DI42" i="22"/>
  <c r="DJ42" i="22"/>
  <c r="DK42" i="22"/>
  <c r="DL42" i="22"/>
  <c r="DI49" i="22"/>
  <c r="DJ49" i="22"/>
  <c r="DL49" i="22"/>
  <c r="DJ126" i="22"/>
  <c r="DK126" i="22"/>
  <c r="DL126" i="22"/>
  <c r="DI155" i="22"/>
  <c r="DJ155" i="22"/>
  <c r="DK155" i="22"/>
  <c r="DL155" i="22"/>
  <c r="B36" i="5" l="1"/>
  <c r="B35" i="5"/>
  <c r="B34" i="5"/>
  <c r="B27" i="5"/>
  <c r="B28" i="5" s="1"/>
  <c r="B29" i="5" s="1"/>
  <c r="B30" i="5" s="1"/>
  <c r="B31" i="5" s="1"/>
  <c r="B32" i="5" s="1"/>
  <c r="B33" i="5" s="1"/>
  <c r="DT48" i="7" l="1"/>
  <c r="Z25" i="7"/>
  <c r="Z24" i="7"/>
  <c r="Z56" i="8"/>
  <c r="Z563" i="12" s="1"/>
  <c r="Z566" i="12" s="1"/>
  <c r="Z55" i="8"/>
  <c r="Z50" i="8"/>
  <c r="Z48" i="8"/>
  <c r="Z39" i="8"/>
  <c r="Z21" i="8"/>
  <c r="Z20" i="8"/>
  <c r="Z19" i="8"/>
  <c r="Z25" i="8"/>
  <c r="Z146" i="6"/>
  <c r="Z101" i="6"/>
  <c r="Z116" i="13"/>
  <c r="Z113" i="13"/>
  <c r="Z104" i="11"/>
  <c r="Z61" i="11"/>
  <c r="Z47" i="16"/>
  <c r="Z46" i="16"/>
  <c r="Z45" i="16"/>
  <c r="Z44" i="16"/>
  <c r="Z48" i="16" s="1"/>
  <c r="Z23" i="16" s="1"/>
  <c r="R151" i="14"/>
  <c r="R149" i="14"/>
  <c r="R143" i="14"/>
  <c r="R138" i="14"/>
  <c r="R80" i="14"/>
  <c r="R33" i="14"/>
  <c r="R99" i="14" s="1"/>
  <c r="Z397" i="12"/>
  <c r="Z288" i="12"/>
  <c r="Z256" i="12"/>
  <c r="Z751" i="12"/>
  <c r="Z748" i="12"/>
  <c r="Z730" i="12"/>
  <c r="Z722" i="12"/>
  <c r="Z729" i="12" s="1"/>
  <c r="Z712" i="12"/>
  <c r="Z521" i="12"/>
  <c r="Z319" i="12"/>
  <c r="Z83" i="12"/>
  <c r="DW49" i="8"/>
  <c r="DW81" i="7" s="1"/>
  <c r="DV5" i="16"/>
  <c r="DW5" i="16"/>
  <c r="DX5" i="16"/>
  <c r="DY5" i="16"/>
  <c r="DW44" i="16"/>
  <c r="DX44" i="16"/>
  <c r="DY44" i="16"/>
  <c r="DW45" i="16"/>
  <c r="DX45" i="16"/>
  <c r="DY45" i="16"/>
  <c r="DW46" i="16"/>
  <c r="DX46" i="16"/>
  <c r="DY46" i="16"/>
  <c r="DW47" i="16"/>
  <c r="DX47" i="16"/>
  <c r="DY47" i="16"/>
  <c r="DW48" i="16"/>
  <c r="DW23" i="16" s="1"/>
  <c r="DX48" i="16"/>
  <c r="DX23" i="16" s="1"/>
  <c r="DY48" i="16"/>
  <c r="DY23" i="16" s="1"/>
  <c r="DV5" i="7"/>
  <c r="DW5" i="7"/>
  <c r="DX5" i="7"/>
  <c r="DY5" i="7"/>
  <c r="DW15" i="7"/>
  <c r="DW18" i="7"/>
  <c r="DX18" i="7" s="1"/>
  <c r="DY18" i="7" s="1"/>
  <c r="Z18" i="7" s="1"/>
  <c r="DW27" i="7"/>
  <c r="DX27" i="7" s="1"/>
  <c r="DW28" i="7"/>
  <c r="DX28" i="7" s="1"/>
  <c r="DY28" i="7" s="1"/>
  <c r="DW29" i="7"/>
  <c r="DX29" i="7" s="1"/>
  <c r="DY29" i="7" s="1"/>
  <c r="DW31" i="7"/>
  <c r="DX31" i="7" s="1"/>
  <c r="DY31" i="7" s="1"/>
  <c r="Z31" i="7" s="1"/>
  <c r="DW38" i="7"/>
  <c r="DX38" i="7" s="1"/>
  <c r="DW40" i="7"/>
  <c r="DX40" i="7" s="1"/>
  <c r="DY40" i="7" s="1"/>
  <c r="Z40" i="7" s="1"/>
  <c r="DW41" i="7"/>
  <c r="DX41" i="7" s="1"/>
  <c r="DW44" i="7"/>
  <c r="DW54" i="7"/>
  <c r="DX54" i="7" s="1"/>
  <c r="DY54" i="7" s="1"/>
  <c r="Z54" i="7" s="1"/>
  <c r="DW55" i="7"/>
  <c r="DW57" i="7"/>
  <c r="DX57" i="7" s="1"/>
  <c r="DY57" i="7" s="1"/>
  <c r="Z57" i="7" s="1"/>
  <c r="DW58" i="7"/>
  <c r="DW59" i="7"/>
  <c r="DX59" i="7" s="1"/>
  <c r="DY59" i="7" s="1"/>
  <c r="Z59" i="7" s="1"/>
  <c r="DW110" i="7"/>
  <c r="DW117" i="7" s="1"/>
  <c r="DX110" i="7"/>
  <c r="DX117" i="7" s="1"/>
  <c r="DY110" i="7"/>
  <c r="DY117" i="7" s="1"/>
  <c r="Z170" i="7"/>
  <c r="DW170" i="7"/>
  <c r="DX170" i="7"/>
  <c r="DY170" i="7"/>
  <c r="DV6" i="8"/>
  <c r="DW6" i="8"/>
  <c r="DX6" i="8"/>
  <c r="DY6" i="8"/>
  <c r="DW21" i="8"/>
  <c r="DX21" i="8"/>
  <c r="DY21" i="8"/>
  <c r="DW23" i="8"/>
  <c r="Z31" i="8"/>
  <c r="DW31" i="8"/>
  <c r="DW51" i="8"/>
  <c r="DP6" i="11"/>
  <c r="DQ6" i="11"/>
  <c r="DR6" i="11"/>
  <c r="DS6" i="11"/>
  <c r="DP104" i="11"/>
  <c r="DQ104" i="11"/>
  <c r="DR104" i="11"/>
  <c r="DS104" i="11"/>
  <c r="DT146" i="6"/>
  <c r="DU146" i="6"/>
  <c r="DV146" i="6"/>
  <c r="DV5" i="17"/>
  <c r="DW5" i="17"/>
  <c r="DW101" i="17" s="1"/>
  <c r="DX5" i="17"/>
  <c r="DX101" i="17" s="1"/>
  <c r="DY5" i="17"/>
  <c r="DY101" i="17" s="1"/>
  <c r="DW52" i="17"/>
  <c r="DX52" i="17"/>
  <c r="DY52" i="17"/>
  <c r="DW55" i="17"/>
  <c r="DX55" i="17"/>
  <c r="DY55" i="17"/>
  <c r="DI7" i="22"/>
  <c r="DI9" i="22" s="1"/>
  <c r="DI13" i="22" s="1"/>
  <c r="DI22" i="22" s="1"/>
  <c r="DI123" i="22"/>
  <c r="DV5" i="13"/>
  <c r="DW5" i="13"/>
  <c r="DX5" i="13"/>
  <c r="DY5" i="13"/>
  <c r="DI125" i="22"/>
  <c r="DI127" i="22"/>
  <c r="DV5" i="14"/>
  <c r="DV58" i="14" s="1"/>
  <c r="DW5" i="14"/>
  <c r="DW58" i="14" s="1"/>
  <c r="DX5" i="14"/>
  <c r="DX58" i="14" s="1"/>
  <c r="DY5" i="14"/>
  <c r="DI112" i="22"/>
  <c r="DW12" i="14"/>
  <c r="DX12" i="14" s="1"/>
  <c r="DW17" i="14"/>
  <c r="DX17" i="14"/>
  <c r="DY17" i="14"/>
  <c r="DY38" i="14" s="1"/>
  <c r="DW19" i="14"/>
  <c r="DX19" i="14"/>
  <c r="DY19" i="14"/>
  <c r="DW20" i="14"/>
  <c r="DX20" i="14"/>
  <c r="DY20" i="14"/>
  <c r="DW33" i="14"/>
  <c r="DX33" i="14"/>
  <c r="DY33" i="14"/>
  <c r="DY58" i="14"/>
  <c r="DI114" i="22"/>
  <c r="DW80" i="14"/>
  <c r="DX80" i="14"/>
  <c r="DY80" i="14"/>
  <c r="DV5" i="15"/>
  <c r="DW5" i="15"/>
  <c r="DX5" i="15"/>
  <c r="DY5" i="15"/>
  <c r="DW92" i="15"/>
  <c r="DW97" i="15" s="1"/>
  <c r="DX92" i="15"/>
  <c r="DX97" i="15" s="1"/>
  <c r="DY92" i="15"/>
  <c r="DY97" i="15" s="1"/>
  <c r="DW94" i="15"/>
  <c r="DX94" i="15"/>
  <c r="DY94" i="15"/>
  <c r="DW95" i="15"/>
  <c r="DX95" i="15"/>
  <c r="DY95" i="15"/>
  <c r="DY38" i="7" l="1"/>
  <c r="DX51" i="8"/>
  <c r="DX21" i="14"/>
  <c r="DX38" i="14"/>
  <c r="DY39" i="14" s="1"/>
  <c r="DW33" i="8"/>
  <c r="DW53" i="8"/>
  <c r="DY27" i="7"/>
  <c r="Z27" i="7" s="1"/>
  <c r="DX113" i="7"/>
  <c r="DX30" i="7"/>
  <c r="DY41" i="7"/>
  <c r="DX31" i="8"/>
  <c r="DX55" i="7"/>
  <c r="DX44" i="7"/>
  <c r="DY44" i="7" s="1"/>
  <c r="DW72" i="13"/>
  <c r="DW21" i="14"/>
  <c r="R150" i="14"/>
  <c r="DW62" i="14"/>
  <c r="DY12" i="14"/>
  <c r="DY62" i="14" s="1"/>
  <c r="DX62" i="14"/>
  <c r="Z715" i="12"/>
  <c r="DX49" i="8"/>
  <c r="DT18" i="6"/>
  <c r="DP17" i="11"/>
  <c r="DW20" i="16"/>
  <c r="DQ17" i="11"/>
  <c r="DX58" i="7"/>
  <c r="DX65" i="7" s="1"/>
  <c r="DW54" i="8"/>
  <c r="DX33" i="8"/>
  <c r="DY55" i="7"/>
  <c r="DX53" i="8"/>
  <c r="DX15" i="7"/>
  <c r="DX42" i="8" s="1"/>
  <c r="DW42" i="8"/>
  <c r="DW65" i="7"/>
  <c r="DW30" i="7"/>
  <c r="DW113" i="7"/>
  <c r="DX23" i="8"/>
  <c r="DW38" i="14"/>
  <c r="DW59" i="14"/>
  <c r="DW9" i="14"/>
  <c r="DJ112" i="22" s="1"/>
  <c r="DY21" i="14"/>
  <c r="DW71" i="14"/>
  <c r="DW25" i="14"/>
  <c r="DY360" i="12"/>
  <c r="DX266" i="12"/>
  <c r="DX267" i="12" s="1"/>
  <c r="DW266" i="12"/>
  <c r="DW267" i="12" s="1"/>
  <c r="DV5" i="12"/>
  <c r="DW5" i="12"/>
  <c r="DW383" i="12" s="1"/>
  <c r="DX5" i="12"/>
  <c r="DX694" i="12" s="1"/>
  <c r="DY5" i="12"/>
  <c r="DY694" i="12" s="1"/>
  <c r="DW250" i="12"/>
  <c r="DW253" i="12"/>
  <c r="DW258" i="12"/>
  <c r="DX258" i="12"/>
  <c r="DY258" i="12"/>
  <c r="DW260" i="12"/>
  <c r="DX260" i="12"/>
  <c r="DY260" i="12"/>
  <c r="DW261" i="12"/>
  <c r="DX261" i="12"/>
  <c r="DY261" i="12"/>
  <c r="DI137" i="22"/>
  <c r="DW330" i="12"/>
  <c r="DX330" i="12"/>
  <c r="DW712" i="12"/>
  <c r="DX712" i="12"/>
  <c r="DY712" i="12"/>
  <c r="DW713" i="12"/>
  <c r="DX713" i="12"/>
  <c r="DW715" i="12"/>
  <c r="DX715" i="12"/>
  <c r="DY715" i="12"/>
  <c r="DW717" i="12"/>
  <c r="DX717" i="12"/>
  <c r="DY717" i="12"/>
  <c r="DW718" i="12"/>
  <c r="DX718" i="12"/>
  <c r="DY718" i="12"/>
  <c r="DW722" i="12"/>
  <c r="DW720" i="12" s="1"/>
  <c r="DX722" i="12"/>
  <c r="DX720" i="12" s="1"/>
  <c r="DX726" i="12" s="1"/>
  <c r="DY722" i="12"/>
  <c r="DY720" i="12" s="1"/>
  <c r="DY726" i="12" s="1"/>
  <c r="DW724" i="12"/>
  <c r="DX724" i="12"/>
  <c r="DY724" i="12"/>
  <c r="DW725" i="12"/>
  <c r="DX725" i="12"/>
  <c r="DY725" i="12"/>
  <c r="DW738" i="12"/>
  <c r="DX738" i="12"/>
  <c r="DY738" i="12"/>
  <c r="DW744" i="12"/>
  <c r="DX744" i="12"/>
  <c r="DY744" i="12"/>
  <c r="DV356" i="12" l="1"/>
  <c r="DV694" i="12"/>
  <c r="DV383" i="12"/>
  <c r="Z38" i="7"/>
  <c r="DY51" i="8"/>
  <c r="Z51" i="8" s="1"/>
  <c r="DW729" i="12"/>
  <c r="DY33" i="8"/>
  <c r="Z33" i="8" s="1"/>
  <c r="Z44" i="7"/>
  <c r="DY53" i="8"/>
  <c r="Z55" i="7"/>
  <c r="DY113" i="7"/>
  <c r="Z113" i="7"/>
  <c r="DY30" i="7"/>
  <c r="Z53" i="8"/>
  <c r="DY31" i="8"/>
  <c r="Z41" i="7"/>
  <c r="DJ127" i="22"/>
  <c r="DX72" i="13"/>
  <c r="DI113" i="22"/>
  <c r="DJ7" i="22"/>
  <c r="DX729" i="12"/>
  <c r="DP35" i="11"/>
  <c r="DX383" i="12"/>
  <c r="DX356" i="12"/>
  <c r="DW268" i="12"/>
  <c r="DX265" i="12"/>
  <c r="DK137" i="22" s="1"/>
  <c r="DY729" i="12"/>
  <c r="DY49" i="8"/>
  <c r="DY81" i="7" s="1"/>
  <c r="DX81" i="7"/>
  <c r="DY383" i="12"/>
  <c r="DQ35" i="11"/>
  <c r="DY15" i="7"/>
  <c r="DY58" i="7"/>
  <c r="Z58" i="7" s="1"/>
  <c r="DX54" i="8"/>
  <c r="DY23" i="8"/>
  <c r="Z23" i="8" s="1"/>
  <c r="DW694" i="12"/>
  <c r="DW356" i="12"/>
  <c r="DY356" i="12"/>
  <c r="DX39" i="14"/>
  <c r="DW39" i="14"/>
  <c r="DW10" i="14"/>
  <c r="DW11" i="14"/>
  <c r="DX9" i="14"/>
  <c r="DK112" i="22" s="1"/>
  <c r="DW23" i="14"/>
  <c r="DJ113" i="22" s="1"/>
  <c r="DX25" i="14"/>
  <c r="DW60" i="14"/>
  <c r="DW61" i="14"/>
  <c r="DX59" i="14"/>
  <c r="DW69" i="14"/>
  <c r="DJ114" i="22" s="1"/>
  <c r="DX71" i="14"/>
  <c r="DW252" i="12"/>
  <c r="DY250" i="12"/>
  <c r="DY252" i="12"/>
  <c r="DY253" i="12"/>
  <c r="DX253" i="12"/>
  <c r="DX252" i="12"/>
  <c r="DX250" i="12"/>
  <c r="DX268" i="12"/>
  <c r="DW265" i="12"/>
  <c r="DJ137" i="22" s="1"/>
  <c r="DY728" i="12"/>
  <c r="DY747" i="12" s="1"/>
  <c r="DY749" i="12" s="1"/>
  <c r="DY740" i="12"/>
  <c r="DY742" i="12" s="1"/>
  <c r="DY743" i="12" s="1"/>
  <c r="DX728" i="12"/>
  <c r="DX747" i="12" s="1"/>
  <c r="DX749" i="12" s="1"/>
  <c r="DX740" i="12"/>
  <c r="DX742" i="12" s="1"/>
  <c r="DX743" i="12" s="1"/>
  <c r="DY727" i="12"/>
  <c r="DW726" i="12"/>
  <c r="DX721" i="12"/>
  <c r="DX762" i="12" s="1"/>
  <c r="DX764" i="12" s="1"/>
  <c r="DX767" i="12" s="1"/>
  <c r="DW721" i="12"/>
  <c r="DW762" i="12" s="1"/>
  <c r="DW764" i="12" s="1"/>
  <c r="DW767" i="12" s="1"/>
  <c r="DY721" i="12"/>
  <c r="DY762" i="12" s="1"/>
  <c r="DY764" i="12" s="1"/>
  <c r="DY767" i="12" s="1"/>
  <c r="Z49" i="8" l="1"/>
  <c r="Z81" i="7"/>
  <c r="DY42" i="8"/>
  <c r="Z42" i="8" s="1"/>
  <c r="Z15" i="7"/>
  <c r="DY72" i="13"/>
  <c r="Z72" i="13" s="1"/>
  <c r="DK127" i="22"/>
  <c r="DK7" i="22"/>
  <c r="DV18" i="6"/>
  <c r="DY20" i="16"/>
  <c r="DS17" i="11"/>
  <c r="DY54" i="8"/>
  <c r="Z54" i="8" s="1"/>
  <c r="DY65" i="7"/>
  <c r="DY69" i="13"/>
  <c r="DX69" i="14"/>
  <c r="DY71" i="14"/>
  <c r="DW70" i="14"/>
  <c r="DW72" i="14"/>
  <c r="DX23" i="14"/>
  <c r="DK113" i="22" s="1"/>
  <c r="DY25" i="14"/>
  <c r="DX60" i="14"/>
  <c r="DX61" i="14"/>
  <c r="DY59" i="14"/>
  <c r="R59" i="14" s="1"/>
  <c r="DW24" i="14"/>
  <c r="DW26" i="14"/>
  <c r="DX10" i="14"/>
  <c r="DX11" i="14"/>
  <c r="DY9" i="14"/>
  <c r="DW727" i="12"/>
  <c r="DW728" i="12"/>
  <c r="DW747" i="12" s="1"/>
  <c r="DW749" i="12" s="1"/>
  <c r="DX750" i="12" s="1"/>
  <c r="DX752" i="12" s="1"/>
  <c r="DX754" i="12" s="1"/>
  <c r="DX757" i="12" s="1"/>
  <c r="DW740" i="12"/>
  <c r="DW742" i="12" s="1"/>
  <c r="DW743" i="12" s="1"/>
  <c r="DX727" i="12"/>
  <c r="DY750" i="12"/>
  <c r="DY752" i="12" s="1"/>
  <c r="DY754" i="12" s="1"/>
  <c r="DY757" i="12" s="1"/>
  <c r="DL125" i="22" l="1"/>
  <c r="DY73" i="13"/>
  <c r="DL128" i="22" s="1"/>
  <c r="DL127" i="22"/>
  <c r="DX72" i="14"/>
  <c r="DK114" i="22"/>
  <c r="DL112" i="22"/>
  <c r="R9" i="14"/>
  <c r="DX26" i="14"/>
  <c r="DL7" i="22"/>
  <c r="DS35" i="11"/>
  <c r="DY60" i="14"/>
  <c r="DY61" i="14"/>
  <c r="DX24" i="14"/>
  <c r="DY69" i="14"/>
  <c r="DX70" i="14"/>
  <c r="DY10" i="14"/>
  <c r="DY11" i="14"/>
  <c r="DY23" i="14"/>
  <c r="DW750" i="12"/>
  <c r="DW752" i="12" s="1"/>
  <c r="DW754" i="12" s="1"/>
  <c r="DW757" i="12" s="1"/>
  <c r="DY24" i="14" l="1"/>
  <c r="DL113" i="22"/>
  <c r="R23" i="14"/>
  <c r="DY72" i="14"/>
  <c r="DL114" i="22"/>
  <c r="R69" i="14"/>
  <c r="DY70" i="14"/>
  <c r="DY26" i="14"/>
  <c r="R25" i="14" l="1"/>
  <c r="R71" i="14"/>
  <c r="W2" i="22"/>
  <c r="X2" i="22"/>
  <c r="Y2" i="22"/>
  <c r="Z2" i="22"/>
  <c r="AA2" i="22"/>
  <c r="AB2" i="22"/>
  <c r="W105" i="22"/>
  <c r="X105" i="22"/>
  <c r="Y105" i="22"/>
  <c r="Z105" i="22"/>
  <c r="AA105" i="22"/>
  <c r="AB105" i="22"/>
  <c r="W106" i="22"/>
  <c r="X106" i="22"/>
  <c r="Y106" i="22"/>
  <c r="Z106" i="22"/>
  <c r="AA106" i="22"/>
  <c r="AB106" i="22"/>
  <c r="W128" i="22"/>
  <c r="X128" i="22"/>
  <c r="Y128" i="22"/>
  <c r="Z128" i="22"/>
  <c r="AA128" i="22"/>
  <c r="AB128" i="22"/>
  <c r="W155" i="22"/>
  <c r="X155" i="22"/>
  <c r="Y155" i="22"/>
  <c r="Z155" i="22"/>
  <c r="AA155" i="22"/>
  <c r="AB155" i="22"/>
  <c r="DW386" i="12" l="1"/>
  <c r="DX386" i="12" s="1"/>
  <c r="DY386" i="12" s="1"/>
  <c r="P63" i="14" l="1"/>
  <c r="P83" i="14" s="1"/>
  <c r="P66" i="14" s="1"/>
  <c r="DO62" i="14"/>
  <c r="DT60" i="7" l="1"/>
  <c r="DT59" i="7"/>
  <c r="DT58" i="7"/>
  <c r="DT57" i="7"/>
  <c r="DT56" i="7"/>
  <c r="DT55" i="7"/>
  <c r="DT54" i="7"/>
  <c r="DU65" i="7" s="1"/>
  <c r="DT49" i="7"/>
  <c r="DT44" i="7"/>
  <c r="DT43" i="7"/>
  <c r="DT41" i="7"/>
  <c r="DT40" i="7"/>
  <c r="DT39" i="7"/>
  <c r="DT38" i="7"/>
  <c r="DU80" i="7" s="1"/>
  <c r="DT31" i="7"/>
  <c r="DT30" i="7"/>
  <c r="DT29" i="7"/>
  <c r="DT28" i="7"/>
  <c r="DT26" i="7"/>
  <c r="DT22" i="7"/>
  <c r="DT21" i="7"/>
  <c r="DT163" i="7" s="1"/>
  <c r="DT19" i="7"/>
  <c r="DT18" i="7"/>
  <c r="DT17" i="7"/>
  <c r="DT16" i="7"/>
  <c r="DT15" i="7"/>
  <c r="DT13" i="7"/>
  <c r="DU97" i="7" s="1"/>
  <c r="DR72" i="6" s="1"/>
  <c r="DR73" i="6" s="1"/>
  <c r="DT56" i="8"/>
  <c r="DT55" i="8"/>
  <c r="DT54" i="8"/>
  <c r="DT53" i="8"/>
  <c r="DT52" i="8"/>
  <c r="DT51" i="8"/>
  <c r="DT50" i="8"/>
  <c r="DT49" i="8"/>
  <c r="DT48" i="8"/>
  <c r="DT44" i="8"/>
  <c r="DT43" i="8"/>
  <c r="DT42" i="8"/>
  <c r="DT41" i="8"/>
  <c r="DT40" i="8"/>
  <c r="DT39" i="8"/>
  <c r="DT38" i="8"/>
  <c r="DT168" i="7" s="1"/>
  <c r="DT34" i="8"/>
  <c r="DT33" i="8"/>
  <c r="DT32" i="8"/>
  <c r="DT26" i="8"/>
  <c r="DT24" i="8"/>
  <c r="DT23" i="8"/>
  <c r="DT22" i="8"/>
  <c r="DT21" i="8"/>
  <c r="DT20" i="8"/>
  <c r="DT19" i="8"/>
  <c r="DT12" i="8"/>
  <c r="DQ146" i="6"/>
  <c r="DQ115" i="6"/>
  <c r="DQ109" i="6"/>
  <c r="DR107" i="6" s="1"/>
  <c r="DQ103" i="6"/>
  <c r="DQ84" i="6"/>
  <c r="DQ78" i="6"/>
  <c r="DQ74" i="6"/>
  <c r="DT84" i="7" s="1"/>
  <c r="DQ70" i="6"/>
  <c r="DQ67" i="6"/>
  <c r="DQ48" i="6"/>
  <c r="DQ45" i="6"/>
  <c r="DQ42" i="6"/>
  <c r="DQ39" i="6"/>
  <c r="DT11" i="16"/>
  <c r="DT141" i="17"/>
  <c r="DT137" i="17"/>
  <c r="DT134" i="17"/>
  <c r="DT114" i="17" s="1"/>
  <c r="DT131" i="17"/>
  <c r="DT52" i="17"/>
  <c r="DT17" i="17"/>
  <c r="DT153" i="15"/>
  <c r="DU161" i="15" s="1"/>
  <c r="DT152" i="15"/>
  <c r="DU160" i="15" s="1"/>
  <c r="DT115" i="15"/>
  <c r="DT98" i="15"/>
  <c r="DT92" i="15"/>
  <c r="DT91" i="15"/>
  <c r="DT25" i="15"/>
  <c r="DT21" i="15"/>
  <c r="DU24" i="15" s="1"/>
  <c r="DT14" i="15"/>
  <c r="DU16" i="15" s="1"/>
  <c r="DT11" i="15"/>
  <c r="DT95" i="14"/>
  <c r="DT94" i="14"/>
  <c r="DT83" i="14"/>
  <c r="DT84" i="14" s="1"/>
  <c r="DT80" i="14"/>
  <c r="DT76" i="14"/>
  <c r="DT74" i="14"/>
  <c r="DT72" i="14"/>
  <c r="DT69" i="14"/>
  <c r="DT70" i="14" s="1"/>
  <c r="DT65" i="14"/>
  <c r="DT64" i="14"/>
  <c r="DT62" i="14"/>
  <c r="DT59" i="14"/>
  <c r="DT60" i="14" s="1"/>
  <c r="DT50" i="14"/>
  <c r="DT55" i="14" s="1"/>
  <c r="DT48" i="14"/>
  <c r="DT36" i="14"/>
  <c r="DT37" i="14" s="1"/>
  <c r="DT33" i="14"/>
  <c r="DT29" i="14"/>
  <c r="DT28" i="14"/>
  <c r="DT23" i="14"/>
  <c r="DT25" i="14" s="1"/>
  <c r="DT16" i="14"/>
  <c r="DT15" i="14"/>
  <c r="DT109" i="13"/>
  <c r="DU110" i="13" s="1"/>
  <c r="DT101" i="13"/>
  <c r="DT93" i="13"/>
  <c r="DT87" i="13"/>
  <c r="DT84" i="13"/>
  <c r="DT81" i="13"/>
  <c r="DT72" i="13"/>
  <c r="DX73" i="13" s="1"/>
  <c r="DK128" i="22" s="1"/>
  <c r="DT69" i="13"/>
  <c r="DT59" i="13"/>
  <c r="DT56" i="13"/>
  <c r="DT53" i="13"/>
  <c r="DT738" i="12"/>
  <c r="DT729" i="12"/>
  <c r="DT720" i="12"/>
  <c r="DT715" i="12"/>
  <c r="DT713" i="12"/>
  <c r="DT657" i="12"/>
  <c r="DT464" i="12"/>
  <c r="DT466" i="12" s="1"/>
  <c r="DT461" i="12"/>
  <c r="DT395" i="12"/>
  <c r="DT425" i="12" s="1"/>
  <c r="DT367" i="12"/>
  <c r="DT331" i="12"/>
  <c r="DT320" i="12"/>
  <c r="DT277" i="12"/>
  <c r="DT276" i="12"/>
  <c r="DT274" i="12"/>
  <c r="DT273" i="12"/>
  <c r="DT271" i="12"/>
  <c r="DT270" i="12"/>
  <c r="DT255" i="12"/>
  <c r="DT254" i="12"/>
  <c r="DT120" i="12"/>
  <c r="DT287" i="12" s="1"/>
  <c r="DT117" i="12"/>
  <c r="DT112" i="12"/>
  <c r="DU114" i="12" s="1"/>
  <c r="DT52" i="12"/>
  <c r="DT47" i="12"/>
  <c r="DT41" i="12"/>
  <c r="DT38" i="12"/>
  <c r="DT471" i="12" s="1"/>
  <c r="DT29" i="12"/>
  <c r="DT27" i="12"/>
  <c r="DT23" i="12"/>
  <c r="DT21" i="12"/>
  <c r="DT477" i="12" s="1"/>
  <c r="DJ401" i="21"/>
  <c r="DJ397" i="21"/>
  <c r="DJ396" i="21"/>
  <c r="DJ395" i="21"/>
  <c r="DJ394" i="21"/>
  <c r="DJ393" i="21"/>
  <c r="DJ389" i="21"/>
  <c r="DJ385" i="21"/>
  <c r="DJ384" i="21"/>
  <c r="DJ390" i="21" s="1"/>
  <c r="DJ380" i="21"/>
  <c r="DJ379" i="21"/>
  <c r="DJ377" i="21"/>
  <c r="DJ376" i="21"/>
  <c r="DJ375" i="21"/>
  <c r="DJ374" i="21"/>
  <c r="DJ371" i="21"/>
  <c r="DJ369" i="21"/>
  <c r="DJ274" i="21"/>
  <c r="DJ265" i="21" s="1"/>
  <c r="DJ48" i="21"/>
  <c r="DJ35" i="21"/>
  <c r="DJ27" i="21" s="1"/>
  <c r="DJ34" i="21"/>
  <c r="DJ6" i="21"/>
  <c r="DJ7" i="21"/>
  <c r="DJ10" i="21"/>
  <c r="DJ20" i="21"/>
  <c r="DJ29" i="21"/>
  <c r="DJ70" i="21"/>
  <c r="DJ74" i="21"/>
  <c r="DJ89" i="21"/>
  <c r="DJ95" i="21"/>
  <c r="DJ104" i="21"/>
  <c r="DJ107" i="21" s="1"/>
  <c r="DJ130" i="21"/>
  <c r="DJ137" i="21"/>
  <c r="DJ159" i="21"/>
  <c r="DJ179" i="21" s="1"/>
  <c r="DJ169" i="21"/>
  <c r="DJ170" i="21"/>
  <c r="DJ199" i="21"/>
  <c r="DJ201" i="21"/>
  <c r="DJ215" i="21"/>
  <c r="DJ216" i="21"/>
  <c r="DJ220" i="21"/>
  <c r="DJ238" i="21"/>
  <c r="DJ248" i="21"/>
  <c r="DJ250" i="21"/>
  <c r="DJ251" i="21" s="1"/>
  <c r="DJ256" i="21"/>
  <c r="DJ255" i="21" s="1"/>
  <c r="DJ261" i="21"/>
  <c r="DJ266" i="21"/>
  <c r="DJ268" i="21"/>
  <c r="DJ276" i="21"/>
  <c r="DJ278" i="21" s="1"/>
  <c r="DJ285" i="21"/>
  <c r="DJ287" i="21"/>
  <c r="DJ303" i="21"/>
  <c r="DJ309" i="21"/>
  <c r="DJ311" i="21" s="1"/>
  <c r="DJ301" i="21" s="1"/>
  <c r="DJ310" i="21"/>
  <c r="DJ406" i="21"/>
  <c r="DT97" i="15" l="1"/>
  <c r="Q38" i="37"/>
  <c r="DT151" i="15"/>
  <c r="DU54" i="14"/>
  <c r="DT118" i="15"/>
  <c r="DU119" i="15" s="1"/>
  <c r="DU116" i="15"/>
  <c r="Q29" i="37"/>
  <c r="Q42" i="37"/>
  <c r="DT34" i="13"/>
  <c r="DU35" i="13" s="1"/>
  <c r="DU50" i="13" s="1"/>
  <c r="DU13" i="15"/>
  <c r="DT20" i="7"/>
  <c r="Q44" i="37"/>
  <c r="DX56" i="13"/>
  <c r="DU102" i="13"/>
  <c r="DU103" i="13"/>
  <c r="DU104" i="13"/>
  <c r="DT479" i="12"/>
  <c r="Q15" i="37"/>
  <c r="Q46" i="37"/>
  <c r="DQ18" i="6"/>
  <c r="DX11" i="16"/>
  <c r="Q48" i="37"/>
  <c r="DX69" i="13"/>
  <c r="DK125" i="22" s="1"/>
  <c r="DU27" i="15"/>
  <c r="DT118" i="17"/>
  <c r="Q19" i="37"/>
  <c r="DT32" i="14"/>
  <c r="DX23" i="12"/>
  <c r="DX304" i="12" s="1"/>
  <c r="DX29" i="12"/>
  <c r="DT381" i="12"/>
  <c r="DT390" i="12" s="1"/>
  <c r="DU263" i="12"/>
  <c r="DU249" i="12"/>
  <c r="R24" i="37" s="1"/>
  <c r="DU452" i="12"/>
  <c r="DU361" i="12"/>
  <c r="DU359" i="12" s="1"/>
  <c r="DU256" i="12"/>
  <c r="DU325" i="12"/>
  <c r="DU314" i="12"/>
  <c r="DU156" i="12"/>
  <c r="DT433" i="12"/>
  <c r="DT726" i="12"/>
  <c r="DU727" i="12" s="1"/>
  <c r="DU721" i="12"/>
  <c r="DU762" i="12" s="1"/>
  <c r="DU764" i="12" s="1"/>
  <c r="DU767" i="12" s="1"/>
  <c r="DU768" i="12" s="1"/>
  <c r="DT286" i="12"/>
  <c r="DU288" i="12" s="1"/>
  <c r="DT145" i="17"/>
  <c r="DT108" i="17"/>
  <c r="Q33" i="37" s="1"/>
  <c r="DT142" i="17"/>
  <c r="DT25" i="12"/>
  <c r="Q13" i="37" s="1"/>
  <c r="DT60" i="12"/>
  <c r="DT147" i="15"/>
  <c r="DT122" i="12"/>
  <c r="DT127" i="12" s="1"/>
  <c r="DT55" i="12"/>
  <c r="DT181" i="12"/>
  <c r="DT57" i="8"/>
  <c r="DT58" i="8" s="1"/>
  <c r="DT65" i="8"/>
  <c r="DT27" i="7"/>
  <c r="DT113" i="7" s="1"/>
  <c r="DT42" i="7"/>
  <c r="DT76" i="7" s="1"/>
  <c r="DU77" i="7" s="1"/>
  <c r="DT23" i="7"/>
  <c r="DT111" i="7" s="1"/>
  <c r="DT118" i="7" s="1"/>
  <c r="DQ117" i="6"/>
  <c r="DQ120" i="6" s="1"/>
  <c r="DQ53" i="6"/>
  <c r="DT66" i="8"/>
  <c r="DT178" i="7"/>
  <c r="DT186" i="7" s="1"/>
  <c r="DT192" i="7"/>
  <c r="DQ112" i="6"/>
  <c r="DT171" i="7"/>
  <c r="DT61" i="7"/>
  <c r="DT82" i="7"/>
  <c r="DU83" i="7" s="1"/>
  <c r="DU85" i="7" s="1"/>
  <c r="DT164" i="7"/>
  <c r="DT181" i="7" s="1"/>
  <c r="DT59" i="8"/>
  <c r="DT27" i="16"/>
  <c r="DT126" i="17"/>
  <c r="DT136" i="17"/>
  <c r="DT116" i="17" s="1"/>
  <c r="DT49" i="17"/>
  <c r="DT113" i="15"/>
  <c r="DT64" i="15"/>
  <c r="DU66" i="15" s="1"/>
  <c r="DT68" i="15"/>
  <c r="DT36" i="13"/>
  <c r="DT18" i="15"/>
  <c r="DK8" i="22" s="1"/>
  <c r="DK9" i="22" s="1"/>
  <c r="DK13" i="22" s="1"/>
  <c r="DK22" i="22" s="1"/>
  <c r="DT30" i="14"/>
  <c r="DT31" i="14" s="1"/>
  <c r="DT17" i="14"/>
  <c r="DT79" i="14"/>
  <c r="DT77" i="14" s="1"/>
  <c r="DT78" i="14" s="1"/>
  <c r="DT24" i="14"/>
  <c r="DT26" i="14"/>
  <c r="DT45" i="14"/>
  <c r="DU47" i="14" s="1"/>
  <c r="R37" i="37" s="1"/>
  <c r="DT61" i="14"/>
  <c r="DT66" i="14"/>
  <c r="DT75" i="14"/>
  <c r="DT71" i="14"/>
  <c r="DT51" i="14"/>
  <c r="DT75" i="13"/>
  <c r="Q27" i="37" s="1"/>
  <c r="DT126" i="12"/>
  <c r="DT219" i="12"/>
  <c r="DT50" i="12"/>
  <c r="DT180" i="12"/>
  <c r="DT740" i="12"/>
  <c r="DT742" i="12" s="1"/>
  <c r="DT743" i="12" s="1"/>
  <c r="DT298" i="12"/>
  <c r="DT444" i="12"/>
  <c r="DX444" i="12" s="1"/>
  <c r="DT304" i="12"/>
  <c r="DT125" i="12"/>
  <c r="DJ402" i="21"/>
  <c r="DJ381" i="21"/>
  <c r="DJ405" i="21" s="1"/>
  <c r="DJ407" i="21" s="1"/>
  <c r="DJ286" i="21"/>
  <c r="DJ267" i="21"/>
  <c r="DJ269" i="21" s="1"/>
  <c r="DJ282" i="21"/>
  <c r="DJ202" i="21"/>
  <c r="DJ109" i="21"/>
  <c r="DJ80" i="21"/>
  <c r="DJ36" i="21"/>
  <c r="DJ38" i="21" s="1"/>
  <c r="DJ41" i="21" s="1"/>
  <c r="DJ47" i="21" s="1"/>
  <c r="DJ52" i="21"/>
  <c r="DJ54" i="21" s="1"/>
  <c r="DJ56" i="21" s="1"/>
  <c r="DJ12" i="21"/>
  <c r="DJ205" i="21"/>
  <c r="DJ26" i="21"/>
  <c r="DJ28" i="21" s="1"/>
  <c r="DJ30" i="21" s="1"/>
  <c r="Q40" i="37" l="1"/>
  <c r="DJ110" i="21"/>
  <c r="DK49" i="22"/>
  <c r="DR17" i="11"/>
  <c r="Z11" i="16"/>
  <c r="DU18" i="6"/>
  <c r="DU19" i="6" s="1"/>
  <c r="DX20" i="16"/>
  <c r="DT50" i="7"/>
  <c r="DT23" i="15"/>
  <c r="Q34" i="37"/>
  <c r="DU70" i="15"/>
  <c r="DT128" i="17"/>
  <c r="Q10" i="37" s="1"/>
  <c r="DX22" i="14"/>
  <c r="Q39" i="37"/>
  <c r="DU21" i="14"/>
  <c r="DU177" i="7"/>
  <c r="DU179" i="7" s="1"/>
  <c r="DU185" i="7" s="1"/>
  <c r="DU182" i="7"/>
  <c r="DU167" i="7"/>
  <c r="DU169" i="7" s="1"/>
  <c r="DU175" i="7" s="1"/>
  <c r="DU172" i="7"/>
  <c r="DX305" i="12"/>
  <c r="DT380" i="12"/>
  <c r="DU292" i="12"/>
  <c r="DU294" i="12" s="1"/>
  <c r="DU257" i="12"/>
  <c r="DT120" i="17"/>
  <c r="DU328" i="12"/>
  <c r="DU329" i="12"/>
  <c r="DU332" i="12"/>
  <c r="DU346" i="12"/>
  <c r="DU246" i="12"/>
  <c r="DU327" i="12" s="1"/>
  <c r="DT728" i="12"/>
  <c r="DT747" i="12" s="1"/>
  <c r="DT749" i="12" s="1"/>
  <c r="DU750" i="12" s="1"/>
  <c r="DU752" i="12" s="1"/>
  <c r="DU754" i="12" s="1"/>
  <c r="DU757" i="12" s="1"/>
  <c r="DU758" i="12" s="1"/>
  <c r="DU67" i="14"/>
  <c r="DU56" i="14"/>
  <c r="DU57" i="14"/>
  <c r="DT301" i="12"/>
  <c r="DU303" i="12" s="1"/>
  <c r="DT31" i="12"/>
  <c r="DT43" i="12" s="1"/>
  <c r="DX44" i="12" s="1"/>
  <c r="DT46" i="17"/>
  <c r="DU47" i="17" s="1"/>
  <c r="DU48" i="17" s="1"/>
  <c r="DT44" i="17"/>
  <c r="DT85" i="13"/>
  <c r="DT110" i="17"/>
  <c r="DQ10" i="6"/>
  <c r="DR12" i="6" s="1"/>
  <c r="DT177" i="12"/>
  <c r="DT33" i="7"/>
  <c r="DT34" i="7" s="1"/>
  <c r="DT165" i="7"/>
  <c r="DT90" i="7"/>
  <c r="DT87" i="7"/>
  <c r="DT112" i="7"/>
  <c r="DT62" i="7"/>
  <c r="DT56" i="17"/>
  <c r="DU57" i="17" s="1"/>
  <c r="DT150" i="15"/>
  <c r="DU158" i="15" s="1"/>
  <c r="DT112" i="15"/>
  <c r="DT38" i="14"/>
  <c r="DT85" i="14"/>
  <c r="DU86" i="14" s="1"/>
  <c r="DT52" i="14"/>
  <c r="DT53" i="14"/>
  <c r="DT82" i="13"/>
  <c r="DT133" i="13"/>
  <c r="Q31" i="37" s="1"/>
  <c r="Q32" i="37" s="1"/>
  <c r="DT88" i="13"/>
  <c r="DT128" i="12"/>
  <c r="DT306" i="12"/>
  <c r="DT454" i="12"/>
  <c r="Z18" i="6" l="1"/>
  <c r="Z17" i="11"/>
  <c r="R36" i="37"/>
  <c r="Q11" i="37"/>
  <c r="DR35" i="11"/>
  <c r="Z20" i="16"/>
  <c r="DX40" i="14"/>
  <c r="DU39" i="14"/>
  <c r="DU184" i="7"/>
  <c r="DU188" i="7"/>
  <c r="DU174" i="7"/>
  <c r="DU289" i="12"/>
  <c r="DU137" i="12" s="1"/>
  <c r="DQ14" i="6"/>
  <c r="DR16" i="6" s="1"/>
  <c r="DT69" i="12"/>
  <c r="DT72" i="12" s="1"/>
  <c r="DT339" i="12"/>
  <c r="DT321" i="12"/>
  <c r="DX45" i="12"/>
  <c r="DT78" i="12"/>
  <c r="Q17" i="37" s="1"/>
  <c r="Q18" i="37" s="1"/>
  <c r="DT62" i="12"/>
  <c r="DU334" i="12"/>
  <c r="DU335" i="12"/>
  <c r="DT65" i="12"/>
  <c r="DT67" i="12" s="1"/>
  <c r="DT54" i="12"/>
  <c r="DU281" i="12"/>
  <c r="DU344" i="12"/>
  <c r="DU248" i="12"/>
  <c r="DT40" i="12"/>
  <c r="DT49" i="12"/>
  <c r="DU358" i="12"/>
  <c r="DU363" i="12" s="1"/>
  <c r="DU467" i="12"/>
  <c r="DU462" i="12"/>
  <c r="DX46" i="12"/>
  <c r="DQ35" i="6"/>
  <c r="Q6" i="37" s="1"/>
  <c r="DQ30" i="6"/>
  <c r="DT63" i="7"/>
  <c r="DT91" i="7"/>
  <c r="DT119" i="7"/>
  <c r="DT156" i="15"/>
  <c r="DT136" i="13"/>
  <c r="DT134" i="13"/>
  <c r="DT131" i="13" s="1"/>
  <c r="DT308" i="12"/>
  <c r="Z22" i="16" l="1"/>
  <c r="AB22" i="16" s="1"/>
  <c r="AC22" i="16" s="1"/>
  <c r="AD22" i="16" s="1"/>
  <c r="AE22" i="16" s="1"/>
  <c r="AF22" i="16" s="1"/>
  <c r="AG22" i="16" s="1"/>
  <c r="Z35" i="11"/>
  <c r="DT71" i="12"/>
  <c r="DT80" i="12"/>
  <c r="DT81" i="12"/>
  <c r="DX43" i="12"/>
  <c r="DR33" i="6"/>
  <c r="DR32" i="6"/>
  <c r="DU284" i="12"/>
  <c r="DU283" i="12"/>
  <c r="DU364" i="12"/>
  <c r="DU370" i="12" s="1"/>
  <c r="DU385" i="12" s="1"/>
  <c r="DU387" i="12" s="1"/>
  <c r="DU469" i="12"/>
  <c r="DY469" i="12" s="1"/>
  <c r="DT70" i="7"/>
  <c r="DQ47" i="6"/>
  <c r="DQ55" i="6"/>
  <c r="DQ17" i="6"/>
  <c r="DQ59" i="6"/>
  <c r="DQ86" i="6"/>
  <c r="DQ69" i="6"/>
  <c r="DQ44" i="6"/>
  <c r="DQ63" i="6"/>
  <c r="Q8" i="37" s="1"/>
  <c r="DQ56" i="6"/>
  <c r="DQ41" i="6"/>
  <c r="DQ13" i="6"/>
  <c r="DQ71" i="6"/>
  <c r="DQ75" i="6"/>
  <c r="DQ50" i="6"/>
  <c r="DU424" i="12" l="1"/>
  <c r="DU417" i="12"/>
  <c r="DU394" i="12"/>
  <c r="DU429" i="12" s="1"/>
  <c r="DU430" i="12" s="1"/>
  <c r="DQ58" i="6"/>
  <c r="DQ64" i="6"/>
  <c r="Q9" i="37" s="1"/>
  <c r="DQ76" i="6"/>
  <c r="DT95" i="7"/>
  <c r="DT94" i="7"/>
  <c r="DQ61" i="6"/>
  <c r="DU432" i="12" l="1"/>
  <c r="DQ77" i="6"/>
  <c r="DQ88" i="6"/>
  <c r="DQ79" i="6"/>
  <c r="DQ95" i="6" l="1"/>
  <c r="Q5" i="37" s="1"/>
  <c r="DQ92" i="6"/>
  <c r="DQ90" i="6"/>
  <c r="DQ119" i="6"/>
  <c r="DT110" i="7"/>
  <c r="DT744" i="12"/>
  <c r="DQ98" i="6" l="1"/>
  <c r="DT117" i="7"/>
  <c r="DT745" i="12"/>
  <c r="K3" i="37"/>
  <c r="K20" i="37"/>
  <c r="K22" i="37"/>
  <c r="K23" i="37"/>
  <c r="DW27" i="16" l="1"/>
  <c r="DX27" i="16" l="1"/>
  <c r="DW56" i="17"/>
  <c r="DW57" i="17" l="1"/>
  <c r="DX56" i="17"/>
  <c r="DX57" i="17" s="1"/>
  <c r="DY27" i="16"/>
  <c r="Z27" i="16" s="1"/>
  <c r="Z53" i="11" s="1"/>
  <c r="DX28" i="16"/>
  <c r="Z56" i="17" l="1"/>
  <c r="DY28" i="16"/>
  <c r="DY56" i="17"/>
  <c r="DY57" i="17" s="1"/>
  <c r="DI389" i="21"/>
  <c r="DI384" i="21"/>
  <c r="DS60" i="7" l="1"/>
  <c r="DS59" i="7"/>
  <c r="DS58" i="7"/>
  <c r="DS57" i="7"/>
  <c r="DS56" i="7"/>
  <c r="DS55" i="7"/>
  <c r="DS54" i="7"/>
  <c r="DS49" i="7"/>
  <c r="DS48" i="7"/>
  <c r="DS44" i="7"/>
  <c r="DS43" i="7"/>
  <c r="DS41" i="7"/>
  <c r="DS40" i="7"/>
  <c r="DS39" i="7"/>
  <c r="DS38" i="7"/>
  <c r="DS31" i="7"/>
  <c r="DS30" i="7"/>
  <c r="DS29" i="7"/>
  <c r="DS28" i="7"/>
  <c r="DS26" i="7"/>
  <c r="DS22" i="7"/>
  <c r="DS21" i="7"/>
  <c r="DS163" i="7" s="1"/>
  <c r="DS19" i="7"/>
  <c r="DS18" i="7"/>
  <c r="DS17" i="7"/>
  <c r="DS16" i="7"/>
  <c r="DS15" i="7"/>
  <c r="DS13" i="7"/>
  <c r="DT97" i="7" s="1"/>
  <c r="DQ72" i="6" s="1"/>
  <c r="DQ73" i="6" s="1"/>
  <c r="DS56" i="8"/>
  <c r="DS55" i="8"/>
  <c r="DS54" i="8"/>
  <c r="DS53" i="8"/>
  <c r="DS52" i="8"/>
  <c r="DS51" i="8"/>
  <c r="DS50" i="8"/>
  <c r="DS49" i="8"/>
  <c r="DS48" i="8"/>
  <c r="DS43" i="8"/>
  <c r="DS42" i="8"/>
  <c r="DS41" i="8"/>
  <c r="DS40" i="8"/>
  <c r="DS39" i="8"/>
  <c r="DS38" i="8"/>
  <c r="DS34" i="8"/>
  <c r="DS33" i="8"/>
  <c r="DS32" i="8"/>
  <c r="DS26" i="8"/>
  <c r="Z26" i="8" s="1"/>
  <c r="DS24" i="8"/>
  <c r="DS23" i="8"/>
  <c r="DS22" i="8"/>
  <c r="DS21" i="8"/>
  <c r="DS20" i="8"/>
  <c r="DS19" i="8"/>
  <c r="DS12" i="8"/>
  <c r="DP146" i="6"/>
  <c r="DP115" i="6"/>
  <c r="DP109" i="6"/>
  <c r="DP103" i="6"/>
  <c r="DP84" i="6"/>
  <c r="DP78" i="6"/>
  <c r="DP74" i="6"/>
  <c r="DS84" i="7" s="1"/>
  <c r="DP70" i="6"/>
  <c r="DP67" i="6"/>
  <c r="DP48" i="6"/>
  <c r="DP45" i="6"/>
  <c r="DP42" i="6"/>
  <c r="DP39" i="6"/>
  <c r="DS11" i="16"/>
  <c r="DS141" i="17"/>
  <c r="DS137" i="17"/>
  <c r="DS134" i="17"/>
  <c r="DS114" i="17" s="1"/>
  <c r="DS131" i="17"/>
  <c r="DS108" i="17" s="1"/>
  <c r="P33" i="37" s="1"/>
  <c r="DT55" i="17"/>
  <c r="DS52" i="17"/>
  <c r="DS17" i="17"/>
  <c r="DS109" i="13"/>
  <c r="DS101" i="13"/>
  <c r="DS93" i="13"/>
  <c r="DS87" i="13"/>
  <c r="DS84" i="13"/>
  <c r="DS81" i="13"/>
  <c r="DS72" i="13"/>
  <c r="DW73" i="13" s="1"/>
  <c r="DJ128" i="22" s="1"/>
  <c r="DS69" i="13"/>
  <c r="DS59" i="13"/>
  <c r="DS56" i="13"/>
  <c r="DS53" i="13"/>
  <c r="DS153" i="15"/>
  <c r="DS152" i="15"/>
  <c r="DS115" i="15"/>
  <c r="DT116" i="15" s="1"/>
  <c r="DS98" i="15"/>
  <c r="DS92" i="15"/>
  <c r="DS91" i="15"/>
  <c r="DS25" i="15"/>
  <c r="DS21" i="15"/>
  <c r="DT24" i="15" s="1"/>
  <c r="DS14" i="15"/>
  <c r="DS11" i="15"/>
  <c r="DT12" i="14"/>
  <c r="DS12" i="14"/>
  <c r="DR12" i="14"/>
  <c r="DQ12" i="14"/>
  <c r="DS95" i="14"/>
  <c r="DS94" i="14"/>
  <c r="DS83" i="14"/>
  <c r="DS84" i="14" s="1"/>
  <c r="DS80" i="14"/>
  <c r="DS76" i="14"/>
  <c r="DS74" i="14"/>
  <c r="DS69" i="14"/>
  <c r="DS70" i="14" s="1"/>
  <c r="DS65" i="14"/>
  <c r="DS64" i="14"/>
  <c r="DS50" i="14"/>
  <c r="DS55" i="14" s="1"/>
  <c r="DS48" i="14"/>
  <c r="DS36" i="14"/>
  <c r="DS37" i="14" s="1"/>
  <c r="DS33" i="14"/>
  <c r="DS29" i="14"/>
  <c r="DS28" i="14"/>
  <c r="DS23" i="14"/>
  <c r="DS16" i="14"/>
  <c r="DS15" i="14"/>
  <c r="DS367" i="12"/>
  <c r="DS738" i="12"/>
  <c r="DS729" i="12"/>
  <c r="DS720" i="12"/>
  <c r="DS715" i="12"/>
  <c r="DS713" i="12"/>
  <c r="DS657" i="12"/>
  <c r="DS464" i="12"/>
  <c r="DS466" i="12" s="1"/>
  <c r="DS461" i="12"/>
  <c r="DS395" i="12"/>
  <c r="DS425" i="12" s="1"/>
  <c r="DS331" i="12"/>
  <c r="DS320" i="12"/>
  <c r="DS277" i="12"/>
  <c r="DS276" i="12"/>
  <c r="DS274" i="12"/>
  <c r="DS273" i="12"/>
  <c r="DS271" i="12"/>
  <c r="DS270" i="12"/>
  <c r="DS255" i="12"/>
  <c r="DS254" i="12"/>
  <c r="DS147" i="15" s="1"/>
  <c r="DS120" i="12"/>
  <c r="DS117" i="12"/>
  <c r="DS112" i="12"/>
  <c r="DT114" i="12" s="1"/>
  <c r="DS52" i="12"/>
  <c r="DS47" i="12"/>
  <c r="DS41" i="12"/>
  <c r="DS38" i="12"/>
  <c r="DS471" i="12" s="1"/>
  <c r="DS29" i="12"/>
  <c r="DW29" i="12" s="1"/>
  <c r="DS27" i="12"/>
  <c r="P15" i="37" s="1"/>
  <c r="DS23" i="12"/>
  <c r="DS21" i="12"/>
  <c r="DS477" i="12" s="1"/>
  <c r="DI385" i="21"/>
  <c r="DI401" i="21"/>
  <c r="DI397" i="21"/>
  <c r="DI396" i="21"/>
  <c r="DI395" i="21"/>
  <c r="DI394" i="21"/>
  <c r="DI393" i="21"/>
  <c r="DI380" i="21"/>
  <c r="DI379" i="21"/>
  <c r="DI377" i="21"/>
  <c r="DI376" i="21"/>
  <c r="DI375" i="21"/>
  <c r="DI374" i="21"/>
  <c r="DI371" i="21"/>
  <c r="DI381" i="21" s="1"/>
  <c r="DI369" i="21"/>
  <c r="DI274" i="21"/>
  <c r="DI276" i="21" s="1"/>
  <c r="DI278" i="21" s="1"/>
  <c r="DI79" i="21"/>
  <c r="DI48" i="21"/>
  <c r="DI35" i="21"/>
  <c r="DI27" i="21"/>
  <c r="DI34" i="21"/>
  <c r="DI6" i="21"/>
  <c r="DI7" i="21"/>
  <c r="DI20" i="21"/>
  <c r="DI10" i="21" s="1"/>
  <c r="DI29" i="21"/>
  <c r="DI36" i="21"/>
  <c r="DI38" i="21" s="1"/>
  <c r="DI41" i="21" s="1"/>
  <c r="DI47" i="21" s="1"/>
  <c r="DI70" i="21"/>
  <c r="DI74" i="21"/>
  <c r="DI89" i="21"/>
  <c r="DI104" i="21"/>
  <c r="DI107" i="21"/>
  <c r="DI130" i="21"/>
  <c r="DI137" i="21"/>
  <c r="DI159" i="21"/>
  <c r="DI179" i="21" s="1"/>
  <c r="DI169" i="21"/>
  <c r="DI170" i="21" s="1"/>
  <c r="DI199" i="21"/>
  <c r="DI201" i="21" s="1"/>
  <c r="DI215" i="21"/>
  <c r="DI216" i="21" s="1"/>
  <c r="DI220" i="21"/>
  <c r="DI238" i="21"/>
  <c r="DI248" i="21"/>
  <c r="DI250" i="21"/>
  <c r="DI256" i="21"/>
  <c r="DI255" i="21" s="1"/>
  <c r="DI261" i="21"/>
  <c r="DI282" i="21" s="1"/>
  <c r="DI266" i="21"/>
  <c r="DI268" i="21"/>
  <c r="DI265" i="21"/>
  <c r="DI267" i="21" s="1"/>
  <c r="DI285" i="21"/>
  <c r="DI287" i="21"/>
  <c r="DI303" i="21"/>
  <c r="DI309" i="21"/>
  <c r="DI311" i="21" s="1"/>
  <c r="DI301" i="21" s="1"/>
  <c r="DI310" i="21"/>
  <c r="DI390" i="21"/>
  <c r="DS44" i="8" s="1"/>
  <c r="DI406" i="21"/>
  <c r="T29" i="37"/>
  <c r="DS97" i="15" l="1"/>
  <c r="P38" i="37"/>
  <c r="P29" i="37"/>
  <c r="P42" i="37"/>
  <c r="P44" i="37"/>
  <c r="DW56" i="13"/>
  <c r="P46" i="37"/>
  <c r="DP18" i="6"/>
  <c r="DT19" i="6" s="1"/>
  <c r="DW12" i="16"/>
  <c r="P48" i="37"/>
  <c r="DW69" i="13"/>
  <c r="DS118" i="17"/>
  <c r="P19" i="37"/>
  <c r="DS20" i="7"/>
  <c r="DW23" i="12"/>
  <c r="DW304" i="12" s="1"/>
  <c r="DS479" i="12"/>
  <c r="DS287" i="12"/>
  <c r="DS219" i="12" s="1"/>
  <c r="DS726" i="12"/>
  <c r="DT727" i="12" s="1"/>
  <c r="DT721" i="12"/>
  <c r="DT762" i="12" s="1"/>
  <c r="DT764" i="12" s="1"/>
  <c r="DT767" i="12" s="1"/>
  <c r="DT768" i="12" s="1"/>
  <c r="DT160" i="15"/>
  <c r="DS142" i="17"/>
  <c r="DS145" i="17"/>
  <c r="DS36" i="13"/>
  <c r="DT16" i="15"/>
  <c r="DT13" i="15"/>
  <c r="DT27" i="15"/>
  <c r="DS34" i="13"/>
  <c r="DT35" i="13" s="1"/>
  <c r="DT50" i="13" s="1"/>
  <c r="DS151" i="15"/>
  <c r="DT54" i="14"/>
  <c r="DT161" i="15"/>
  <c r="DS118" i="15"/>
  <c r="DT110" i="13"/>
  <c r="DT104" i="13"/>
  <c r="DT103" i="13"/>
  <c r="DT102" i="13"/>
  <c r="DS75" i="13"/>
  <c r="DS25" i="12"/>
  <c r="P13" i="37" s="1"/>
  <c r="DS60" i="12"/>
  <c r="DS286" i="12"/>
  <c r="DT288" i="12" s="1"/>
  <c r="DT314" i="12"/>
  <c r="DT156" i="12"/>
  <c r="DS381" i="12"/>
  <c r="DS390" i="12" s="1"/>
  <c r="DT361" i="12"/>
  <c r="DT359" i="12" s="1"/>
  <c r="DT452" i="12"/>
  <c r="DT263" i="12"/>
  <c r="DT325" i="12"/>
  <c r="DT256" i="12"/>
  <c r="DT249" i="12"/>
  <c r="Q24" i="37" s="1"/>
  <c r="DS433" i="12"/>
  <c r="DS181" i="12"/>
  <c r="DS65" i="8"/>
  <c r="DS66" i="8" s="1"/>
  <c r="DS168" i="7"/>
  <c r="DS57" i="8"/>
  <c r="DS58" i="8" s="1"/>
  <c r="DS23" i="7"/>
  <c r="DS111" i="7" s="1"/>
  <c r="DS118" i="7" s="1"/>
  <c r="DS27" i="7"/>
  <c r="DS113" i="7" s="1"/>
  <c r="DS42" i="7"/>
  <c r="DS50" i="7" s="1"/>
  <c r="DT80" i="7"/>
  <c r="DT65" i="7"/>
  <c r="DP53" i="6"/>
  <c r="DP112" i="6"/>
  <c r="Z112" i="6" s="1"/>
  <c r="DS178" i="7"/>
  <c r="DP117" i="6"/>
  <c r="DP120" i="6" s="1"/>
  <c r="DQ107" i="6"/>
  <c r="DS192" i="7"/>
  <c r="DS32" i="14"/>
  <c r="DS30" i="14" s="1"/>
  <c r="DS31" i="14" s="1"/>
  <c r="DS122" i="12"/>
  <c r="DS127" i="12" s="1"/>
  <c r="DS171" i="7"/>
  <c r="DS61" i="7"/>
  <c r="DS82" i="7"/>
  <c r="DT83" i="7" s="1"/>
  <c r="DT85" i="7" s="1"/>
  <c r="DS164" i="7"/>
  <c r="DS181" i="7" s="1"/>
  <c r="DS27" i="16"/>
  <c r="DW28" i="16" s="1"/>
  <c r="DS44" i="17"/>
  <c r="DS126" i="17"/>
  <c r="DS49" i="17"/>
  <c r="DS68" i="15"/>
  <c r="P34" i="37" s="1"/>
  <c r="DS113" i="15"/>
  <c r="DS64" i="15"/>
  <c r="DT66" i="15" s="1"/>
  <c r="DS18" i="15"/>
  <c r="DJ8" i="22" s="1"/>
  <c r="DJ9" i="22" s="1"/>
  <c r="DJ13" i="22" s="1"/>
  <c r="DJ22" i="22" s="1"/>
  <c r="DS72" i="14"/>
  <c r="DS17" i="14"/>
  <c r="P39" i="37" s="1"/>
  <c r="DS79" i="14"/>
  <c r="DS77" i="14" s="1"/>
  <c r="DS78" i="14" s="1"/>
  <c r="DS26" i="14"/>
  <c r="DS45" i="14"/>
  <c r="DS66" i="14"/>
  <c r="DS75" i="14"/>
  <c r="DS24" i="14"/>
  <c r="DS51" i="14"/>
  <c r="DS380" i="12"/>
  <c r="DS728" i="12"/>
  <c r="DS747" i="12" s="1"/>
  <c r="DS749" i="12" s="1"/>
  <c r="DS740" i="12"/>
  <c r="DS742" i="12" s="1"/>
  <c r="DS743" i="12" s="1"/>
  <c r="DS55" i="12"/>
  <c r="DS126" i="12"/>
  <c r="DS298" i="12"/>
  <c r="DS444" i="12"/>
  <c r="DW444" i="12" s="1"/>
  <c r="DS304" i="12"/>
  <c r="DS125" i="12"/>
  <c r="DI402" i="21"/>
  <c r="DI405" i="21" s="1"/>
  <c r="DI407" i="21" s="1"/>
  <c r="DI286" i="21"/>
  <c r="DI251" i="21"/>
  <c r="DI202" i="21"/>
  <c r="DI95" i="21"/>
  <c r="DI109" i="21" s="1"/>
  <c r="DI80" i="21"/>
  <c r="DI52" i="21"/>
  <c r="DI54" i="21" s="1"/>
  <c r="DI56" i="21" s="1"/>
  <c r="DI12" i="21"/>
  <c r="DI269" i="21"/>
  <c r="DI26" i="21"/>
  <c r="DI28" i="21" s="1"/>
  <c r="DI30" i="21" s="1"/>
  <c r="DI205" i="21"/>
  <c r="V37" i="37"/>
  <c r="V32" i="37"/>
  <c r="V18" i="37"/>
  <c r="P40" i="37" l="1"/>
  <c r="DJ125" i="22"/>
  <c r="Z69" i="13"/>
  <c r="DS33" i="7"/>
  <c r="DS88" i="13"/>
  <c r="P27" i="37"/>
  <c r="DW305" i="12"/>
  <c r="DX249" i="12"/>
  <c r="DX346" i="12" s="1"/>
  <c r="DS186" i="7"/>
  <c r="DS31" i="12"/>
  <c r="DP14" i="6" s="1"/>
  <c r="DQ16" i="6" s="1"/>
  <c r="DS120" i="17"/>
  <c r="DS136" i="17"/>
  <c r="DS116" i="17" s="1"/>
  <c r="DS50" i="12"/>
  <c r="DS301" i="12"/>
  <c r="DT303" i="12" s="1"/>
  <c r="DT750" i="12"/>
  <c r="DT752" i="12" s="1"/>
  <c r="DT754" i="12" s="1"/>
  <c r="DT757" i="12" s="1"/>
  <c r="DT758" i="12" s="1"/>
  <c r="DT159" i="15"/>
  <c r="DW22" i="14"/>
  <c r="DT21" i="14"/>
  <c r="DS46" i="17"/>
  <c r="DT47" i="17" s="1"/>
  <c r="DT48" i="17" s="1"/>
  <c r="DS23" i="15"/>
  <c r="DT70" i="15"/>
  <c r="Q36" i="37" s="1"/>
  <c r="DT119" i="15"/>
  <c r="DS82" i="13"/>
  <c r="DP10" i="6"/>
  <c r="DQ12" i="6" s="1"/>
  <c r="DS133" i="13"/>
  <c r="P31" i="37" s="1"/>
  <c r="DS85" i="13"/>
  <c r="DS110" i="17"/>
  <c r="DS180" i="12"/>
  <c r="DT257" i="12"/>
  <c r="DX257" i="12" s="1"/>
  <c r="DX358" i="12" s="1"/>
  <c r="DT292" i="12"/>
  <c r="DT329" i="12"/>
  <c r="DT328" i="12"/>
  <c r="DT332" i="12"/>
  <c r="DT246" i="12"/>
  <c r="DT346" i="12"/>
  <c r="DS59" i="8"/>
  <c r="DS76" i="7"/>
  <c r="DT77" i="7" s="1"/>
  <c r="DT167" i="7"/>
  <c r="DT169" i="7" s="1"/>
  <c r="DT175" i="7" s="1"/>
  <c r="DT172" i="7"/>
  <c r="DS62" i="7"/>
  <c r="DT177" i="7"/>
  <c r="DT179" i="7" s="1"/>
  <c r="DT182" i="7"/>
  <c r="DS165" i="7"/>
  <c r="DT67" i="14"/>
  <c r="DS53" i="14"/>
  <c r="DT47" i="14"/>
  <c r="Q37" i="37" s="1"/>
  <c r="DS177" i="12"/>
  <c r="DS90" i="7"/>
  <c r="DS87" i="7"/>
  <c r="DS63" i="7"/>
  <c r="DS34" i="7"/>
  <c r="DS56" i="17"/>
  <c r="DS128" i="17"/>
  <c r="P10" i="37" s="1"/>
  <c r="DS112" i="15"/>
  <c r="DS150" i="15"/>
  <c r="DT158" i="15" s="1"/>
  <c r="DS38" i="14"/>
  <c r="DS85" i="14"/>
  <c r="DT86" i="14" s="1"/>
  <c r="DS52" i="14"/>
  <c r="DS128" i="12"/>
  <c r="DS306" i="12"/>
  <c r="DS65" i="12"/>
  <c r="DS454" i="12"/>
  <c r="DS62" i="12"/>
  <c r="DI110" i="21"/>
  <c r="P11" i="37" l="1"/>
  <c r="P32" i="37"/>
  <c r="DS43" i="12"/>
  <c r="DW44" i="12" s="1"/>
  <c r="DW45" i="12" s="1"/>
  <c r="DS321" i="12"/>
  <c r="DS40" i="12"/>
  <c r="DS69" i="12"/>
  <c r="DS339" i="12"/>
  <c r="DS49" i="12"/>
  <c r="DS78" i="12"/>
  <c r="P17" i="37" s="1"/>
  <c r="P18" i="37" s="1"/>
  <c r="DS54" i="12"/>
  <c r="DX347" i="12"/>
  <c r="DS134" i="13"/>
  <c r="DS131" i="13" s="1"/>
  <c r="DW40" i="14"/>
  <c r="DT39" i="14"/>
  <c r="DW43" i="12"/>
  <c r="DP30" i="6"/>
  <c r="DP17" i="6" s="1"/>
  <c r="DS136" i="13"/>
  <c r="DP35" i="6"/>
  <c r="P6" i="37" s="1"/>
  <c r="DT334" i="12"/>
  <c r="DT335" i="12"/>
  <c r="DT289" i="12"/>
  <c r="DT294" i="12"/>
  <c r="DT467" i="12"/>
  <c r="DT462" i="12"/>
  <c r="DT358" i="12"/>
  <c r="DT363" i="12" s="1"/>
  <c r="DT327" i="12"/>
  <c r="DT248" i="12"/>
  <c r="DT281" i="12"/>
  <c r="DT344" i="12"/>
  <c r="DS112" i="7"/>
  <c r="DS119" i="7" s="1"/>
  <c r="DT185" i="7"/>
  <c r="DT188" i="7"/>
  <c r="DT174" i="7"/>
  <c r="DT184" i="7"/>
  <c r="DT56" i="14"/>
  <c r="DT57" i="14"/>
  <c r="DT57" i="17"/>
  <c r="DS91" i="7"/>
  <c r="DS156" i="15"/>
  <c r="DS71" i="12"/>
  <c r="DS72" i="12"/>
  <c r="DS308" i="12"/>
  <c r="DS67" i="12"/>
  <c r="DS80" i="12"/>
  <c r="DS81" i="12"/>
  <c r="DW46" i="12" l="1"/>
  <c r="DK138" i="22"/>
  <c r="DT137" i="12"/>
  <c r="DX289" i="12"/>
  <c r="DX137" i="12" s="1"/>
  <c r="DP55" i="6"/>
  <c r="DP59" i="6"/>
  <c r="DS70" i="7"/>
  <c r="DQ32" i="6"/>
  <c r="DP47" i="6"/>
  <c r="DQ33" i="6"/>
  <c r="DP71" i="6"/>
  <c r="DP56" i="6"/>
  <c r="DP13" i="6"/>
  <c r="DP41" i="6"/>
  <c r="DP63" i="6"/>
  <c r="P8" i="37" s="1"/>
  <c r="DP50" i="6"/>
  <c r="DP86" i="6"/>
  <c r="DP69" i="6"/>
  <c r="DP75" i="6"/>
  <c r="DP44" i="6"/>
  <c r="DT283" i="12"/>
  <c r="DT284" i="12"/>
  <c r="DX284" i="12" s="1"/>
  <c r="DT469" i="12"/>
  <c r="DX469" i="12" s="1"/>
  <c r="DT364" i="12"/>
  <c r="DT370" i="12" s="1"/>
  <c r="DT385" i="12" s="1"/>
  <c r="DT387" i="12" s="1"/>
  <c r="DV88" i="7" l="1"/>
  <c r="DV92" i="7"/>
  <c r="DX138" i="12"/>
  <c r="DS95" i="7"/>
  <c r="DP61" i="6"/>
  <c r="DS94" i="7"/>
  <c r="DP76" i="6"/>
  <c r="DP64" i="6"/>
  <c r="P9" i="37" s="1"/>
  <c r="DP58" i="6"/>
  <c r="DT424" i="12"/>
  <c r="DT394" i="12"/>
  <c r="DT429" i="12" s="1"/>
  <c r="DT430" i="12" s="1"/>
  <c r="DT417" i="12"/>
  <c r="U48" i="37"/>
  <c r="G49" i="37"/>
  <c r="H49" i="37"/>
  <c r="I49" i="37"/>
  <c r="J49" i="37"/>
  <c r="U46" i="37"/>
  <c r="G47" i="37"/>
  <c r="H47" i="37"/>
  <c r="I47" i="37"/>
  <c r="J47" i="37"/>
  <c r="G45" i="37"/>
  <c r="H45" i="37"/>
  <c r="I45" i="37"/>
  <c r="J45" i="37"/>
  <c r="U44" i="37"/>
  <c r="F3" i="37"/>
  <c r="G3" i="37"/>
  <c r="H3" i="37"/>
  <c r="I3" i="37"/>
  <c r="J3" i="37"/>
  <c r="J20" i="37"/>
  <c r="J22" i="37"/>
  <c r="J23" i="37"/>
  <c r="W23" i="37"/>
  <c r="W38" i="37"/>
  <c r="W39" i="37"/>
  <c r="W40" i="37"/>
  <c r="DP79" i="6" l="1"/>
  <c r="DP77" i="6"/>
  <c r="DP88" i="6"/>
  <c r="DT432" i="12"/>
  <c r="DS110" i="7" l="1"/>
  <c r="DS744" i="12"/>
  <c r="DP90" i="6"/>
  <c r="DP95" i="6"/>
  <c r="P5" i="37" s="1"/>
  <c r="DP119" i="6"/>
  <c r="DP92" i="6"/>
  <c r="D38" i="5"/>
  <c r="E38" i="5"/>
  <c r="C38" i="5"/>
  <c r="DS117" i="7" l="1"/>
  <c r="DP98" i="6"/>
  <c r="DS745" i="12"/>
  <c r="AA251" i="12"/>
  <c r="DW85" i="7" l="1"/>
  <c r="AA252" i="12"/>
  <c r="AA253" i="12"/>
  <c r="AB251" i="12"/>
  <c r="J10" i="35"/>
  <c r="K10" i="35"/>
  <c r="L10" i="35"/>
  <c r="M10" i="35"/>
  <c r="N10" i="35"/>
  <c r="O10" i="35"/>
  <c r="P10" i="35"/>
  <c r="Q10" i="35"/>
  <c r="R10" i="35"/>
  <c r="S10" i="35"/>
  <c r="T10" i="35"/>
  <c r="P119" i="35"/>
  <c r="Q119" i="35"/>
  <c r="R119" i="35"/>
  <c r="S119" i="35"/>
  <c r="T119" i="35"/>
  <c r="P120" i="35"/>
  <c r="P121" i="35" s="1"/>
  <c r="P105" i="35" s="1"/>
  <c r="Q120" i="35"/>
  <c r="R120" i="35"/>
  <c r="S120" i="35"/>
  <c r="S121" i="35" s="1"/>
  <c r="S105" i="35" s="1"/>
  <c r="T120" i="35"/>
  <c r="T121" i="35" s="1"/>
  <c r="T105" i="35" s="1"/>
  <c r="Q121" i="35"/>
  <c r="Q105" i="35" s="1"/>
  <c r="R121" i="35"/>
  <c r="R105" i="35" s="1"/>
  <c r="P131" i="35"/>
  <c r="Q131" i="35"/>
  <c r="R131" i="35"/>
  <c r="S131" i="35"/>
  <c r="T131" i="35"/>
  <c r="AB386" i="12"/>
  <c r="AC386" i="12" s="1"/>
  <c r="AD386" i="12" s="1"/>
  <c r="AE386" i="12" s="1"/>
  <c r="AF386" i="12" s="1"/>
  <c r="AG386" i="12" s="1"/>
  <c r="AB379" i="12"/>
  <c r="AC379" i="12" s="1"/>
  <c r="AD379" i="12" s="1"/>
  <c r="AE379" i="12" s="1"/>
  <c r="AF379" i="12" s="1"/>
  <c r="AG379" i="12" s="1"/>
  <c r="DX85" i="7" l="1"/>
  <c r="AB252" i="12"/>
  <c r="AB253" i="12"/>
  <c r="AC251" i="12"/>
  <c r="AB5" i="13"/>
  <c r="AC5" i="13"/>
  <c r="AD5" i="13"/>
  <c r="AE5" i="13"/>
  <c r="AF5" i="13"/>
  <c r="AG5" i="13"/>
  <c r="AB112" i="13"/>
  <c r="AC112" i="13"/>
  <c r="AD112" i="13"/>
  <c r="AE112" i="13"/>
  <c r="AF112" i="13"/>
  <c r="AG112" i="13"/>
  <c r="AB115" i="13"/>
  <c r="AC115" i="13"/>
  <c r="AD116" i="13" s="1"/>
  <c r="AD115" i="13"/>
  <c r="AE115" i="13"/>
  <c r="AF115" i="13"/>
  <c r="AF116" i="13" s="1"/>
  <c r="AG115" i="13"/>
  <c r="O4" i="20"/>
  <c r="P4" i="20"/>
  <c r="Q4" i="20"/>
  <c r="R4" i="20"/>
  <c r="S4" i="20"/>
  <c r="T4" i="20"/>
  <c r="U4" i="20"/>
  <c r="U46" i="20" s="1"/>
  <c r="V4" i="20"/>
  <c r="V11" i="20" s="1"/>
  <c r="W4" i="20"/>
  <c r="W11" i="20" s="1"/>
  <c r="X4" i="20"/>
  <c r="X11" i="20" s="1"/>
  <c r="Y4" i="20"/>
  <c r="Y46" i="20" s="1"/>
  <c r="O4" i="19"/>
  <c r="P4" i="19"/>
  <c r="Q4" i="19"/>
  <c r="R4" i="19"/>
  <c r="S4" i="19"/>
  <c r="T4" i="19"/>
  <c r="U4" i="19"/>
  <c r="U11" i="19" s="1"/>
  <c r="U46" i="19" s="1"/>
  <c r="V4" i="19"/>
  <c r="V11" i="19" s="1"/>
  <c r="V46" i="19" s="1"/>
  <c r="W4" i="19"/>
  <c r="W11" i="19" s="1"/>
  <c r="W46" i="19" s="1"/>
  <c r="X4" i="19"/>
  <c r="X11" i="19" s="1"/>
  <c r="X46" i="19" s="1"/>
  <c r="Y4" i="19"/>
  <c r="Y11" i="19" s="1"/>
  <c r="Y46" i="19" s="1"/>
  <c r="U11" i="20"/>
  <c r="U33" i="20"/>
  <c r="V33" i="20"/>
  <c r="W33" i="20"/>
  <c r="W44" i="20" s="1"/>
  <c r="X33" i="20"/>
  <c r="X44" i="20" s="1"/>
  <c r="X48" i="20" s="1"/>
  <c r="Y33" i="20"/>
  <c r="U43" i="20"/>
  <c r="V43" i="20"/>
  <c r="W43" i="20"/>
  <c r="X43" i="20"/>
  <c r="Y43" i="20"/>
  <c r="U44" i="20"/>
  <c r="V44" i="20"/>
  <c r="Y44" i="20"/>
  <c r="Y48" i="20" s="1"/>
  <c r="U48" i="20"/>
  <c r="U33" i="19"/>
  <c r="V33" i="19"/>
  <c r="W33" i="19"/>
  <c r="X33" i="19"/>
  <c r="Y33" i="19"/>
  <c r="U43" i="19"/>
  <c r="V43" i="19"/>
  <c r="W43" i="19"/>
  <c r="W48" i="19" s="1"/>
  <c r="X43" i="19"/>
  <c r="Y43" i="19"/>
  <c r="U48" i="19"/>
  <c r="V48" i="19"/>
  <c r="X48" i="19"/>
  <c r="Y48" i="19"/>
  <c r="AC5" i="7"/>
  <c r="AC9" i="7" s="1"/>
  <c r="AD5" i="7"/>
  <c r="AD9" i="7" s="1"/>
  <c r="AE5" i="7"/>
  <c r="AE9" i="7" s="1"/>
  <c r="AF5" i="7"/>
  <c r="AF9" i="7" s="1"/>
  <c r="AG5" i="7"/>
  <c r="AG9" i="7" s="1"/>
  <c r="AC110" i="7"/>
  <c r="AC117" i="7" s="1"/>
  <c r="AD110" i="7"/>
  <c r="AD117" i="7" s="1"/>
  <c r="AE110" i="7"/>
  <c r="AE117" i="7" s="1"/>
  <c r="AF110" i="7"/>
  <c r="AF117" i="7" s="1"/>
  <c r="AG110" i="7"/>
  <c r="AG117" i="7" s="1"/>
  <c r="AC170" i="7"/>
  <c r="AD170" i="7"/>
  <c r="AE170" i="7"/>
  <c r="AF170" i="7"/>
  <c r="AG170" i="7"/>
  <c r="AC6" i="8"/>
  <c r="AD6" i="8"/>
  <c r="AE6" i="8"/>
  <c r="AF6" i="8"/>
  <c r="AG6" i="8"/>
  <c r="AC163" i="6"/>
  <c r="AD163" i="6"/>
  <c r="AE163" i="6"/>
  <c r="AF163" i="6"/>
  <c r="AG163" i="6"/>
  <c r="AC6" i="11"/>
  <c r="AD6" i="11"/>
  <c r="AE6" i="11"/>
  <c r="AF6" i="11"/>
  <c r="AG6" i="11"/>
  <c r="AC61" i="11"/>
  <c r="AD61" i="11"/>
  <c r="AE61" i="11"/>
  <c r="AF61" i="11"/>
  <c r="AG61" i="11"/>
  <c r="AC5" i="16"/>
  <c r="AD5" i="16"/>
  <c r="AE5" i="16"/>
  <c r="AF5" i="16"/>
  <c r="AG5" i="16"/>
  <c r="AC44" i="16"/>
  <c r="AD44" i="16"/>
  <c r="AE44" i="16"/>
  <c r="AF44" i="16"/>
  <c r="AG44" i="16"/>
  <c r="AC45" i="16"/>
  <c r="AD45" i="16"/>
  <c r="AE45" i="16"/>
  <c r="AF45" i="16"/>
  <c r="AG45" i="16"/>
  <c r="AC46" i="16"/>
  <c r="AD46" i="16"/>
  <c r="AE46" i="16"/>
  <c r="AF46" i="16"/>
  <c r="AG46" i="16"/>
  <c r="AC47" i="16"/>
  <c r="AD47" i="16"/>
  <c r="AE47" i="16"/>
  <c r="AF47" i="16"/>
  <c r="AG47" i="16"/>
  <c r="AC5" i="17"/>
  <c r="AC101" i="17" s="1"/>
  <c r="AD5" i="17"/>
  <c r="AD101" i="17" s="1"/>
  <c r="AE5" i="17"/>
  <c r="AE101" i="17" s="1"/>
  <c r="AF5" i="17"/>
  <c r="AF101" i="17" s="1"/>
  <c r="AG5" i="17"/>
  <c r="AG101" i="17" s="1"/>
  <c r="AC5" i="15"/>
  <c r="AD5" i="15"/>
  <c r="AE5" i="15"/>
  <c r="AF5" i="15"/>
  <c r="AG5" i="15"/>
  <c r="U5" i="14"/>
  <c r="U13" i="14" s="1"/>
  <c r="V5" i="14"/>
  <c r="V58" i="14" s="1"/>
  <c r="W5" i="14"/>
  <c r="X5" i="14"/>
  <c r="X58" i="14" s="1"/>
  <c r="Y5" i="14"/>
  <c r="Y13" i="14" s="1"/>
  <c r="U33" i="14"/>
  <c r="V33" i="14"/>
  <c r="W33" i="14"/>
  <c r="X33" i="14"/>
  <c r="Y33" i="14"/>
  <c r="U80" i="14"/>
  <c r="V80" i="14"/>
  <c r="W80" i="14"/>
  <c r="X80" i="14"/>
  <c r="Y80" i="14"/>
  <c r="AC5" i="12"/>
  <c r="AC356" i="12" s="1"/>
  <c r="AD5" i="12"/>
  <c r="AD356" i="12" s="1"/>
  <c r="AE5" i="12"/>
  <c r="AE383" i="12" s="1"/>
  <c r="AF5" i="12"/>
  <c r="AF383" i="12" s="1"/>
  <c r="AG5" i="12"/>
  <c r="AG356" i="12" s="1"/>
  <c r="AC250" i="12"/>
  <c r="AC258" i="12"/>
  <c r="AD258" i="12"/>
  <c r="AE258" i="12"/>
  <c r="AF258" i="12"/>
  <c r="AG258" i="12"/>
  <c r="AC260" i="12"/>
  <c r="AD260" i="12"/>
  <c r="AE260" i="12"/>
  <c r="AF260" i="12"/>
  <c r="AG260" i="12"/>
  <c r="AC261" i="12"/>
  <c r="AD261" i="12"/>
  <c r="AE261" i="12"/>
  <c r="AF261" i="12"/>
  <c r="AG261" i="12"/>
  <c r="AC395" i="12"/>
  <c r="AD395" i="12"/>
  <c r="AD425" i="12" s="1"/>
  <c r="AE395" i="12"/>
  <c r="AF395" i="12"/>
  <c r="AG395" i="12"/>
  <c r="AC425" i="12"/>
  <c r="AE425" i="12"/>
  <c r="AF425" i="12"/>
  <c r="AG425" i="12"/>
  <c r="AC520" i="12"/>
  <c r="AD520" i="12"/>
  <c r="AE520" i="12"/>
  <c r="AF520" i="12"/>
  <c r="AG520" i="12"/>
  <c r="AC521" i="12"/>
  <c r="AD521" i="12"/>
  <c r="AE521" i="12"/>
  <c r="AF521" i="12"/>
  <c r="AG521" i="12"/>
  <c r="AC562" i="12"/>
  <c r="AD562" i="12"/>
  <c r="AE562" i="12"/>
  <c r="AF562" i="12"/>
  <c r="AG562" i="12"/>
  <c r="AC715" i="12"/>
  <c r="AD715" i="12"/>
  <c r="AE715" i="12"/>
  <c r="AF715" i="12"/>
  <c r="AG715" i="12"/>
  <c r="AC717" i="12"/>
  <c r="AD717" i="12"/>
  <c r="AE717" i="12"/>
  <c r="AF717" i="12"/>
  <c r="AG717" i="12"/>
  <c r="AC718" i="12"/>
  <c r="AD718" i="12"/>
  <c r="AE718" i="12"/>
  <c r="AF718" i="12"/>
  <c r="AG718" i="12"/>
  <c r="AC722" i="12"/>
  <c r="AC720" i="12" s="1"/>
  <c r="AD722" i="12"/>
  <c r="AD720" i="12" s="1"/>
  <c r="AE722" i="12"/>
  <c r="AE720" i="12" s="1"/>
  <c r="AF722" i="12"/>
  <c r="AF720" i="12" s="1"/>
  <c r="AF726" i="12" s="1"/>
  <c r="AG722" i="12"/>
  <c r="AG720" i="12" s="1"/>
  <c r="AG726" i="12" s="1"/>
  <c r="AC744" i="12"/>
  <c r="AD744" i="12"/>
  <c r="AE744" i="12"/>
  <c r="AF744" i="12"/>
  <c r="AG744" i="12"/>
  <c r="AE356" i="12" l="1"/>
  <c r="DY85" i="7"/>
  <c r="V13" i="14"/>
  <c r="AE113" i="13"/>
  <c r="AD113" i="13"/>
  <c r="AF113" i="13"/>
  <c r="AE116" i="13"/>
  <c r="AE694" i="12"/>
  <c r="Y11" i="20"/>
  <c r="X46" i="20"/>
  <c r="W46" i="20"/>
  <c r="U58" i="14"/>
  <c r="AD383" i="12"/>
  <c r="AD694" i="12"/>
  <c r="V46" i="20"/>
  <c r="AC252" i="12"/>
  <c r="AC253" i="12"/>
  <c r="AD48" i="16"/>
  <c r="AD23" i="16" s="1"/>
  <c r="AD251" i="12"/>
  <c r="AF729" i="12"/>
  <c r="AE729" i="12"/>
  <c r="AC729" i="12"/>
  <c r="AG729" i="12"/>
  <c r="AG116" i="13"/>
  <c r="AC116" i="13"/>
  <c r="AG113" i="13"/>
  <c r="AC113" i="13"/>
  <c r="AG48" i="16"/>
  <c r="AG23" i="16" s="1"/>
  <c r="AC48" i="16"/>
  <c r="AC23" i="16" s="1"/>
  <c r="V48" i="20"/>
  <c r="W48" i="20"/>
  <c r="AE48" i="16"/>
  <c r="AE23" i="16" s="1"/>
  <c r="AF48" i="16"/>
  <c r="AF23" i="16" s="1"/>
  <c r="Y58" i="14"/>
  <c r="AF356" i="12"/>
  <c r="AF694" i="12"/>
  <c r="AG694" i="12"/>
  <c r="AC694" i="12"/>
  <c r="X13" i="14"/>
  <c r="AG383" i="12"/>
  <c r="AC383" i="12"/>
  <c r="W58" i="14"/>
  <c r="W13" i="14"/>
  <c r="AE721" i="12"/>
  <c r="AD726" i="12"/>
  <c r="AG728" i="12"/>
  <c r="AG747" i="12" s="1"/>
  <c r="AG749" i="12" s="1"/>
  <c r="AC726" i="12"/>
  <c r="AD721" i="12"/>
  <c r="AG727" i="12"/>
  <c r="AF728" i="12"/>
  <c r="AF747" i="12" s="1"/>
  <c r="AF749" i="12" s="1"/>
  <c r="AF721" i="12"/>
  <c r="AE726" i="12"/>
  <c r="AD729" i="12"/>
  <c r="AG721" i="12"/>
  <c r="AB5" i="7"/>
  <c r="AB9" i="7" s="1"/>
  <c r="AB110" i="7"/>
  <c r="AB117" i="7" s="1"/>
  <c r="AB170" i="7"/>
  <c r="AB204" i="7"/>
  <c r="AB6" i="8"/>
  <c r="O119" i="35"/>
  <c r="O131" i="35"/>
  <c r="T11" i="20"/>
  <c r="T33" i="20"/>
  <c r="T44" i="20" s="1"/>
  <c r="T43" i="20"/>
  <c r="T46" i="20"/>
  <c r="T11" i="19"/>
  <c r="T46" i="19" s="1"/>
  <c r="T33" i="19"/>
  <c r="T43" i="19"/>
  <c r="T48" i="19"/>
  <c r="AB6" i="11"/>
  <c r="AB61" i="11"/>
  <c r="AB5" i="16"/>
  <c r="AB44" i="16"/>
  <c r="AB45" i="16"/>
  <c r="AB46" i="16"/>
  <c r="AB47" i="16"/>
  <c r="AB5" i="17"/>
  <c r="AB101" i="17" s="1"/>
  <c r="AB5" i="15"/>
  <c r="T5" i="14"/>
  <c r="T58" i="14" s="1"/>
  <c r="T33" i="14"/>
  <c r="T80" i="14"/>
  <c r="AB5" i="12"/>
  <c r="AB383" i="12" s="1"/>
  <c r="AB250" i="12"/>
  <c r="AB258" i="12"/>
  <c r="AB260" i="12"/>
  <c r="AB261" i="12"/>
  <c r="AB395" i="12"/>
  <c r="AB425" i="12"/>
  <c r="AB520" i="12"/>
  <c r="AB521" i="12"/>
  <c r="AB562" i="12"/>
  <c r="AB715" i="12"/>
  <c r="AB717" i="12"/>
  <c r="AB718" i="12"/>
  <c r="AB722" i="12"/>
  <c r="AB720" i="12" s="1"/>
  <c r="AB726" i="12" s="1"/>
  <c r="AB728" i="12" s="1"/>
  <c r="AB747" i="12" s="1"/>
  <c r="AB749" i="12" s="1"/>
  <c r="AB744" i="12"/>
  <c r="AD252" i="12" l="1"/>
  <c r="AD253" i="12"/>
  <c r="AE251" i="12"/>
  <c r="AD250" i="12"/>
  <c r="AG750" i="12"/>
  <c r="AC721" i="12"/>
  <c r="O120" i="35"/>
  <c r="O121" i="35" s="1"/>
  <c r="O105" i="35" s="1"/>
  <c r="T48" i="20"/>
  <c r="AF727" i="12"/>
  <c r="AE728" i="12"/>
  <c r="AE747" i="12" s="1"/>
  <c r="AE749" i="12" s="1"/>
  <c r="AF750" i="12" s="1"/>
  <c r="AE727" i="12"/>
  <c r="AD728" i="12"/>
  <c r="AD747" i="12" s="1"/>
  <c r="AD749" i="12" s="1"/>
  <c r="AD727" i="12"/>
  <c r="AC727" i="12"/>
  <c r="AC728" i="12"/>
  <c r="AC747" i="12" s="1"/>
  <c r="AC749" i="12" s="1"/>
  <c r="AB694" i="12"/>
  <c r="AB729" i="12"/>
  <c r="AB356" i="12"/>
  <c r="T13" i="14"/>
  <c r="AB48" i="16"/>
  <c r="AB23" i="16" s="1"/>
  <c r="AE252" i="12" l="1"/>
  <c r="AE253" i="12"/>
  <c r="AF251" i="12"/>
  <c r="AE250" i="12"/>
  <c r="AE750" i="12"/>
  <c r="AD750" i="12"/>
  <c r="AC750" i="12"/>
  <c r="AF252" i="12" l="1"/>
  <c r="AF253" i="12"/>
  <c r="AG251" i="12"/>
  <c r="AF250" i="12"/>
  <c r="AG252" i="12" l="1"/>
  <c r="AG253" i="12"/>
  <c r="AG250" i="12"/>
  <c r="P27" i="20" l="1"/>
  <c r="P46" i="20"/>
  <c r="P43" i="20"/>
  <c r="P33" i="20"/>
  <c r="P44" i="20" s="1"/>
  <c r="P24" i="20"/>
  <c r="P23" i="20"/>
  <c r="P19" i="20"/>
  <c r="P18" i="20"/>
  <c r="P11" i="20"/>
  <c r="P34" i="19"/>
  <c r="P62" i="19"/>
  <c r="P61" i="19"/>
  <c r="P60" i="19"/>
  <c r="P59" i="19"/>
  <c r="P43" i="19"/>
  <c r="P33" i="19"/>
  <c r="P24" i="19"/>
  <c r="P23" i="19"/>
  <c r="P19" i="19"/>
  <c r="P18" i="19"/>
  <c r="P11" i="19"/>
  <c r="P46" i="19" s="1"/>
  <c r="P63" i="19" l="1"/>
  <c r="P64" i="19" s="1"/>
  <c r="DR59" i="13" l="1"/>
  <c r="DQ59" i="13"/>
  <c r="DP59" i="13"/>
  <c r="M46" i="37" s="1"/>
  <c r="DO59" i="13"/>
  <c r="L46" i="37" s="1"/>
  <c r="DN59" i="13"/>
  <c r="K46" i="37" s="1"/>
  <c r="DM59" i="13"/>
  <c r="J46" i="37" s="1"/>
  <c r="DL59" i="13"/>
  <c r="I46" i="37" s="1"/>
  <c r="DK59" i="13"/>
  <c r="H46" i="37" s="1"/>
  <c r="DJ59" i="13"/>
  <c r="G46" i="37" s="1"/>
  <c r="DH159" i="21"/>
  <c r="DA159" i="21"/>
  <c r="DB159" i="21"/>
  <c r="DC159" i="21"/>
  <c r="DD159" i="21"/>
  <c r="DE159" i="21"/>
  <c r="DF159" i="21"/>
  <c r="DG159" i="21"/>
  <c r="CZ159" i="21"/>
  <c r="DR56" i="13"/>
  <c r="DQ56" i="13"/>
  <c r="DP56" i="13"/>
  <c r="M44" i="37" s="1"/>
  <c r="DO56" i="13"/>
  <c r="L44" i="37" s="1"/>
  <c r="DN56" i="13"/>
  <c r="K44" i="37" s="1"/>
  <c r="DM56" i="13"/>
  <c r="J44" i="37" s="1"/>
  <c r="DL56" i="13"/>
  <c r="I44" i="37" s="1"/>
  <c r="DK56" i="13"/>
  <c r="H44" i="37" s="1"/>
  <c r="DJ56" i="13"/>
  <c r="G44" i="37" s="1"/>
  <c r="V75" i="13"/>
  <c r="U75" i="13"/>
  <c r="T75" i="13"/>
  <c r="S75" i="13"/>
  <c r="R75" i="13"/>
  <c r="Q75" i="13"/>
  <c r="P75" i="13"/>
  <c r="O75" i="13"/>
  <c r="N75" i="13"/>
  <c r="M75" i="13"/>
  <c r="L75" i="13"/>
  <c r="DI75" i="13"/>
  <c r="DH75" i="13"/>
  <c r="DG75" i="13"/>
  <c r="DF75" i="13"/>
  <c r="DE75" i="13"/>
  <c r="DD75" i="13"/>
  <c r="DC75" i="13"/>
  <c r="DB75" i="13"/>
  <c r="DA75" i="13"/>
  <c r="CZ75" i="13"/>
  <c r="CY75" i="13"/>
  <c r="CX75" i="13"/>
  <c r="CW75" i="13"/>
  <c r="CV75" i="13"/>
  <c r="CU75" i="13"/>
  <c r="CT75" i="13"/>
  <c r="CS75" i="13"/>
  <c r="CR75" i="13"/>
  <c r="CQ75" i="13"/>
  <c r="CP75" i="13"/>
  <c r="CO75" i="13"/>
  <c r="CN75" i="13"/>
  <c r="CM75" i="13"/>
  <c r="CL75" i="13"/>
  <c r="CK75" i="13"/>
  <c r="CJ75" i="13"/>
  <c r="CI75" i="13"/>
  <c r="CH75" i="13"/>
  <c r="CG75" i="13"/>
  <c r="CF75" i="13"/>
  <c r="CE75" i="13"/>
  <c r="CD75" i="13"/>
  <c r="CC75" i="13"/>
  <c r="CB75" i="13"/>
  <c r="CA75" i="13"/>
  <c r="BZ75" i="13"/>
  <c r="BY75" i="13"/>
  <c r="BX75" i="13"/>
  <c r="BW75" i="13"/>
  <c r="BV75" i="13"/>
  <c r="BU75" i="13"/>
  <c r="BT75" i="13"/>
  <c r="BS75" i="13"/>
  <c r="BR75" i="13"/>
  <c r="N46" i="37" l="1"/>
  <c r="DU60" i="13"/>
  <c r="DV60" i="13"/>
  <c r="DI124" i="22" s="1"/>
  <c r="O46" i="37"/>
  <c r="DV57" i="13"/>
  <c r="O44" i="37"/>
  <c r="N44" i="37"/>
  <c r="DU57" i="13"/>
  <c r="R45" i="37" s="1"/>
  <c r="DT60" i="13"/>
  <c r="T47" i="37"/>
  <c r="U47" i="37" s="1"/>
  <c r="DS57" i="13"/>
  <c r="P45" i="37" s="1"/>
  <c r="DT57" i="13"/>
  <c r="Q45" i="37" s="1"/>
  <c r="T45" i="37"/>
  <c r="U45" i="37" s="1"/>
  <c r="DS60" i="13"/>
  <c r="DY56" i="13"/>
  <c r="Z56" i="13" s="1"/>
  <c r="W59" i="13"/>
  <c r="DP57" i="13"/>
  <c r="M45" i="37" s="1"/>
  <c r="DO57" i="13"/>
  <c r="L45" i="37" s="1"/>
  <c r="X56" i="13"/>
  <c r="DQ57" i="13"/>
  <c r="N45" i="37" s="1"/>
  <c r="DN57" i="13"/>
  <c r="K45" i="37" s="1"/>
  <c r="DR57" i="13"/>
  <c r="O45" i="37" s="1"/>
  <c r="W56" i="13"/>
  <c r="DR60" i="7"/>
  <c r="DR59" i="7"/>
  <c r="DR58" i="7"/>
  <c r="DR57" i="7"/>
  <c r="DR56" i="7"/>
  <c r="DR55" i="7"/>
  <c r="DR54" i="7"/>
  <c r="DS65" i="7" s="1"/>
  <c r="DR48" i="7"/>
  <c r="DR44" i="7"/>
  <c r="DR43" i="7"/>
  <c r="DR41" i="7"/>
  <c r="DR40" i="7"/>
  <c r="DR39" i="7"/>
  <c r="DR38" i="7"/>
  <c r="DS80" i="7" s="1"/>
  <c r="DR30" i="7"/>
  <c r="DR29" i="7"/>
  <c r="DR28" i="7"/>
  <c r="DR26" i="7"/>
  <c r="DR22" i="7"/>
  <c r="DR21" i="7"/>
  <c r="DR163" i="7" s="1"/>
  <c r="DR19" i="7"/>
  <c r="DR18" i="7"/>
  <c r="DR17" i="7"/>
  <c r="DR16" i="7"/>
  <c r="DR15" i="7"/>
  <c r="DR13" i="7"/>
  <c r="DS97" i="7" s="1"/>
  <c r="DP72" i="6" s="1"/>
  <c r="DP73" i="6" s="1"/>
  <c r="DR56" i="8"/>
  <c r="DR55" i="8"/>
  <c r="DR54" i="8"/>
  <c r="DR53" i="8"/>
  <c r="DR52" i="8"/>
  <c r="DR51" i="8"/>
  <c r="DR50" i="8"/>
  <c r="DR49" i="8"/>
  <c r="DR48" i="8"/>
  <c r="DR42" i="8"/>
  <c r="DR41" i="8"/>
  <c r="DR40" i="8"/>
  <c r="DR39" i="8"/>
  <c r="DR38" i="8"/>
  <c r="DR168" i="7" s="1"/>
  <c r="DR32" i="8"/>
  <c r="DR26" i="8"/>
  <c r="DR24" i="8"/>
  <c r="DR23" i="8"/>
  <c r="DR22" i="8"/>
  <c r="DR21" i="8"/>
  <c r="DR20" i="8"/>
  <c r="DR19" i="8"/>
  <c r="DR12" i="8"/>
  <c r="DO146" i="6"/>
  <c r="DO115" i="6"/>
  <c r="DS116" i="6" s="1"/>
  <c r="DO109" i="6"/>
  <c r="DP107" i="6" s="1"/>
  <c r="Z107" i="6" s="1"/>
  <c r="DO103" i="6"/>
  <c r="DS104" i="6" s="1"/>
  <c r="DS110" i="6" s="1"/>
  <c r="DO84" i="6"/>
  <c r="DS85" i="6" s="1"/>
  <c r="DO74" i="6"/>
  <c r="DR84" i="7" s="1"/>
  <c r="DO70" i="6"/>
  <c r="DO67" i="6"/>
  <c r="DS68" i="6" s="1"/>
  <c r="DR137" i="17"/>
  <c r="DR134" i="17"/>
  <c r="DR114" i="17" s="1"/>
  <c r="O19" i="37" s="1"/>
  <c r="DR131" i="17"/>
  <c r="DR108" i="17" s="1"/>
  <c r="O33" i="37" s="1"/>
  <c r="DS55" i="17"/>
  <c r="DR52" i="17"/>
  <c r="DR17" i="17"/>
  <c r="DR153" i="15"/>
  <c r="DR115" i="15"/>
  <c r="DS116" i="15" s="1"/>
  <c r="DR98" i="15"/>
  <c r="DR92" i="15"/>
  <c r="DR91" i="15"/>
  <c r="DR21" i="15"/>
  <c r="DR14" i="15"/>
  <c r="DR95" i="14"/>
  <c r="DR94" i="14"/>
  <c r="DR83" i="14"/>
  <c r="DR80" i="14"/>
  <c r="DR76" i="14"/>
  <c r="DR74" i="14"/>
  <c r="DR69" i="14"/>
  <c r="DR65" i="14"/>
  <c r="DR64" i="14"/>
  <c r="DR50" i="14"/>
  <c r="DR152" i="15" s="1"/>
  <c r="DV168" i="15" s="1"/>
  <c r="DR48" i="14"/>
  <c r="DV49" i="14" s="1"/>
  <c r="DR36" i="14"/>
  <c r="DR37" i="14" s="1"/>
  <c r="DR33" i="14"/>
  <c r="DR29" i="14"/>
  <c r="DR28" i="14"/>
  <c r="DR23" i="14"/>
  <c r="DR16" i="14"/>
  <c r="DR15" i="14"/>
  <c r="DR109" i="13"/>
  <c r="DS110" i="13" s="1"/>
  <c r="DR101" i="13"/>
  <c r="DR93" i="13"/>
  <c r="DR87" i="13"/>
  <c r="DR84" i="13"/>
  <c r="DR72" i="13"/>
  <c r="DV73" i="13" s="1"/>
  <c r="DI128" i="22" s="1"/>
  <c r="DR69" i="13"/>
  <c r="DR53" i="13"/>
  <c r="DR32" i="14" l="1"/>
  <c r="DR97" i="15"/>
  <c r="O38" i="37"/>
  <c r="DS161" i="15"/>
  <c r="DV169" i="15"/>
  <c r="DV70" i="13"/>
  <c r="DI126" i="22" s="1"/>
  <c r="O48" i="37"/>
  <c r="DS16" i="15"/>
  <c r="P47" i="37"/>
  <c r="Q47" i="37"/>
  <c r="DS24" i="15"/>
  <c r="DV54" i="13"/>
  <c r="O29" i="37"/>
  <c r="O42" i="37"/>
  <c r="DR20" i="7"/>
  <c r="R47" i="37"/>
  <c r="DL124" i="22"/>
  <c r="DS160" i="15"/>
  <c r="DR151" i="15"/>
  <c r="DS54" i="14"/>
  <c r="DS104" i="13"/>
  <c r="DS102" i="13"/>
  <c r="DS103" i="13"/>
  <c r="DR75" i="13"/>
  <c r="DO117" i="6"/>
  <c r="DR23" i="7"/>
  <c r="DR111" i="7" s="1"/>
  <c r="DR118" i="7" s="1"/>
  <c r="DR118" i="15"/>
  <c r="DS119" i="15" s="1"/>
  <c r="DR84" i="14"/>
  <c r="DR79" i="14" s="1"/>
  <c r="DR77" i="14" s="1"/>
  <c r="DR78" i="14" s="1"/>
  <c r="DR118" i="17"/>
  <c r="DR49" i="17"/>
  <c r="DR27" i="7"/>
  <c r="DR113" i="7" s="1"/>
  <c r="DR57" i="8"/>
  <c r="DR58" i="8" s="1"/>
  <c r="DO112" i="6"/>
  <c r="DR42" i="7"/>
  <c r="X57" i="13"/>
  <c r="DR171" i="7"/>
  <c r="DR61" i="7"/>
  <c r="DR82" i="7"/>
  <c r="DS83" i="7" s="1"/>
  <c r="DS85" i="7" s="1"/>
  <c r="DR164" i="7"/>
  <c r="DR181" i="7" s="1"/>
  <c r="DR44" i="17"/>
  <c r="DR30" i="14"/>
  <c r="DR31" i="14" s="1"/>
  <c r="DR17" i="14"/>
  <c r="DR38" i="14" s="1"/>
  <c r="DV40" i="14" s="1"/>
  <c r="DR45" i="14"/>
  <c r="DV46" i="14" s="1"/>
  <c r="DR66" i="14"/>
  <c r="DR75" i="14"/>
  <c r="DV68" i="14" l="1"/>
  <c r="O40" i="37"/>
  <c r="DK124" i="22"/>
  <c r="DX59" i="13"/>
  <c r="DK123" i="22" s="1"/>
  <c r="DV76" i="13"/>
  <c r="O27" i="37"/>
  <c r="DO120" i="6"/>
  <c r="DS118" i="6"/>
  <c r="DJ124" i="22"/>
  <c r="DW59" i="13"/>
  <c r="DV22" i="14"/>
  <c r="O39" i="37"/>
  <c r="DS47" i="14"/>
  <c r="P37" i="37" s="1"/>
  <c r="DS159" i="15"/>
  <c r="DS39" i="14"/>
  <c r="DR110" i="17"/>
  <c r="DS167" i="7"/>
  <c r="DS169" i="7" s="1"/>
  <c r="DS175" i="7" s="1"/>
  <c r="DS172" i="7"/>
  <c r="DS177" i="7"/>
  <c r="DS179" i="7" s="1"/>
  <c r="DS185" i="7" s="1"/>
  <c r="DS182" i="7"/>
  <c r="DS67" i="14"/>
  <c r="DS21" i="14"/>
  <c r="DR76" i="7"/>
  <c r="DR90" i="7"/>
  <c r="DR87" i="7"/>
  <c r="DR165" i="7"/>
  <c r="DR85" i="14"/>
  <c r="DR53" i="14"/>
  <c r="DR52" i="14"/>
  <c r="DJ123" i="22" l="1"/>
  <c r="DS86" i="14"/>
  <c r="DV87" i="14"/>
  <c r="DI32" i="22"/>
  <c r="DW63" i="14"/>
  <c r="DW76" i="14"/>
  <c r="DS57" i="14"/>
  <c r="DS56" i="14"/>
  <c r="DR112" i="7"/>
  <c r="DR119" i="7" s="1"/>
  <c r="DS77" i="7"/>
  <c r="DS188" i="7"/>
  <c r="DS174" i="7"/>
  <c r="DS184" i="7"/>
  <c r="DR91" i="7"/>
  <c r="DR88" i="13"/>
  <c r="DR85" i="13"/>
  <c r="DW65" i="14" l="1"/>
  <c r="DJ32" i="22"/>
  <c r="DW68" i="14"/>
  <c r="DW85" i="14"/>
  <c r="DW67" i="14"/>
  <c r="DW83" i="14"/>
  <c r="DW84" i="14" s="1"/>
  <c r="DW79" i="14" s="1"/>
  <c r="DW77" i="14" s="1"/>
  <c r="DW78" i="14" s="1"/>
  <c r="DW153" i="15"/>
  <c r="DX76" i="14"/>
  <c r="DW64" i="14"/>
  <c r="DX63" i="14"/>
  <c r="DW73" i="14"/>
  <c r="DW74" i="14" s="1"/>
  <c r="DR368" i="12"/>
  <c r="DR738" i="12"/>
  <c r="DR729" i="12"/>
  <c r="DR720" i="12"/>
  <c r="DS721" i="12" s="1"/>
  <c r="DS762" i="12" s="1"/>
  <c r="DS764" i="12" s="1"/>
  <c r="DS767" i="12" s="1"/>
  <c r="DS768" i="12" s="1"/>
  <c r="DR715" i="12"/>
  <c r="DR713" i="12"/>
  <c r="DR657" i="12"/>
  <c r="DR464" i="12"/>
  <c r="DR466" i="12" s="1"/>
  <c r="DR461" i="12"/>
  <c r="DR395" i="12"/>
  <c r="DR331" i="12"/>
  <c r="DR320" i="12"/>
  <c r="DR277" i="12"/>
  <c r="DR276" i="12"/>
  <c r="DR274" i="12"/>
  <c r="DR273" i="12"/>
  <c r="DR271" i="12"/>
  <c r="DR270" i="12"/>
  <c r="DR255" i="12"/>
  <c r="DR254" i="12"/>
  <c r="DR120" i="12"/>
  <c r="DR117" i="12"/>
  <c r="DR41" i="12"/>
  <c r="DV42" i="12" s="1"/>
  <c r="DR29" i="12"/>
  <c r="DV30" i="12" s="1"/>
  <c r="DR27" i="12"/>
  <c r="DH389" i="21"/>
  <c r="DR43" i="8" s="1"/>
  <c r="DH380" i="21"/>
  <c r="DR33" i="8" s="1"/>
  <c r="DH274" i="21"/>
  <c r="DH276" i="21" s="1"/>
  <c r="DH278" i="21" s="1"/>
  <c r="DH94" i="21"/>
  <c r="DR49" i="7" s="1"/>
  <c r="DR50" i="7" s="1"/>
  <c r="DR62" i="7" s="1"/>
  <c r="DH79" i="21"/>
  <c r="DR31" i="7" s="1"/>
  <c r="DR33" i="7" s="1"/>
  <c r="DH48" i="21"/>
  <c r="DO78" i="6" s="1"/>
  <c r="DH35" i="21"/>
  <c r="DH27" i="21" s="1"/>
  <c r="DO42" i="6" s="1"/>
  <c r="DS43" i="6" s="1"/>
  <c r="DH34" i="21"/>
  <c r="DH6" i="21"/>
  <c r="DH7" i="21"/>
  <c r="DH20" i="21"/>
  <c r="DH10" i="21" s="1"/>
  <c r="DR11" i="16" s="1"/>
  <c r="DV12" i="16" s="1"/>
  <c r="DH29" i="21"/>
  <c r="DO48" i="6" s="1"/>
  <c r="DS49" i="6" s="1"/>
  <c r="DH70" i="21"/>
  <c r="DH74" i="21"/>
  <c r="DH89" i="21"/>
  <c r="DH95" i="21" s="1"/>
  <c r="DH104" i="21"/>
  <c r="DH107" i="21" s="1"/>
  <c r="DH130" i="21"/>
  <c r="DR141" i="17" s="1"/>
  <c r="DH137" i="21"/>
  <c r="DH179" i="21"/>
  <c r="DH169" i="21"/>
  <c r="DH199" i="21"/>
  <c r="DH201" i="21" s="1"/>
  <c r="DR81" i="13" s="1"/>
  <c r="DH215" i="21"/>
  <c r="DH220" i="21"/>
  <c r="DR25" i="15" s="1"/>
  <c r="DH238" i="21"/>
  <c r="DH248" i="21"/>
  <c r="DH250" i="21"/>
  <c r="DH261" i="21"/>
  <c r="DH282" i="21" s="1"/>
  <c r="DH266" i="21"/>
  <c r="DH268" i="21"/>
  <c r="DR52" i="12" s="1"/>
  <c r="DV53" i="12" s="1"/>
  <c r="DH285" i="21"/>
  <c r="DH287" i="21" s="1"/>
  <c r="DH303" i="21"/>
  <c r="DR112" i="12" s="1"/>
  <c r="DH309" i="21"/>
  <c r="DH381" i="21"/>
  <c r="DR34" i="8" s="1"/>
  <c r="DH390" i="21"/>
  <c r="DR44" i="8" s="1"/>
  <c r="DH402" i="21"/>
  <c r="E22" i="37"/>
  <c r="F22" i="37"/>
  <c r="H22" i="37"/>
  <c r="I22" i="37"/>
  <c r="DS27" i="15" l="1"/>
  <c r="DV28" i="12"/>
  <c r="O15" i="37"/>
  <c r="DV186" i="12"/>
  <c r="DV113" i="12"/>
  <c r="DR479" i="12"/>
  <c r="DX65" i="14"/>
  <c r="DK32" i="22"/>
  <c r="DW87" i="14"/>
  <c r="DW86" i="14"/>
  <c r="DX85" i="14"/>
  <c r="DX68" i="14"/>
  <c r="DX67" i="14"/>
  <c r="DW161" i="15"/>
  <c r="DW169" i="15"/>
  <c r="DY63" i="14"/>
  <c r="DY76" i="14"/>
  <c r="DX64" i="14"/>
  <c r="DX153" i="15"/>
  <c r="DX83" i="14"/>
  <c r="DX84" i="14" s="1"/>
  <c r="DX79" i="14" s="1"/>
  <c r="DX77" i="14" s="1"/>
  <c r="DX78" i="14" s="1"/>
  <c r="DX73" i="14"/>
  <c r="DX74" i="14" s="1"/>
  <c r="DR425" i="12"/>
  <c r="DR287" i="12"/>
  <c r="DR219" i="12" s="1"/>
  <c r="DR726" i="12"/>
  <c r="DR740" i="12" s="1"/>
  <c r="DR742" i="12" s="1"/>
  <c r="DR743" i="12" s="1"/>
  <c r="DR181" i="12"/>
  <c r="DS249" i="12"/>
  <c r="P24" i="37" s="1"/>
  <c r="DS452" i="12"/>
  <c r="DS361" i="12"/>
  <c r="DS359" i="12" s="1"/>
  <c r="DS325" i="12"/>
  <c r="DS256" i="12"/>
  <c r="DV154" i="15" s="1"/>
  <c r="DS263" i="12"/>
  <c r="DS314" i="12"/>
  <c r="DS156" i="12"/>
  <c r="DR122" i="12"/>
  <c r="DR127" i="12" s="1"/>
  <c r="DS114" i="12"/>
  <c r="DR68" i="15"/>
  <c r="DR64" i="15"/>
  <c r="DR63" i="7"/>
  <c r="DR34" i="7"/>
  <c r="DH216" i="21"/>
  <c r="DR11" i="15"/>
  <c r="DR192" i="7"/>
  <c r="DR178" i="7"/>
  <c r="DV190" i="7" s="1"/>
  <c r="DR27" i="16"/>
  <c r="DR82" i="13"/>
  <c r="DR133" i="13"/>
  <c r="DR47" i="12"/>
  <c r="DR65" i="8"/>
  <c r="DR66" i="8" s="1"/>
  <c r="DR59" i="8"/>
  <c r="DR126" i="17"/>
  <c r="DR145" i="17"/>
  <c r="DR142" i="17"/>
  <c r="DR38" i="12"/>
  <c r="DV39" i="12" s="1"/>
  <c r="DR381" i="12"/>
  <c r="DR390" i="12" s="1"/>
  <c r="DR147" i="15"/>
  <c r="DR125" i="12"/>
  <c r="DR286" i="12"/>
  <c r="DS288" i="12" s="1"/>
  <c r="DR444" i="12"/>
  <c r="DV445" i="12" s="1"/>
  <c r="DR55" i="12"/>
  <c r="DV56" i="12" s="1"/>
  <c r="DR126" i="12"/>
  <c r="DR433" i="12"/>
  <c r="DV434" i="12" s="1"/>
  <c r="DH405" i="21"/>
  <c r="DH265" i="21"/>
  <c r="DH267" i="21" s="1"/>
  <c r="DH269" i="21" s="1"/>
  <c r="DH251" i="21"/>
  <c r="DH202" i="21"/>
  <c r="DH109" i="21"/>
  <c r="DH80" i="21"/>
  <c r="DH36" i="21"/>
  <c r="DH38" i="21" s="1"/>
  <c r="DH41" i="21" s="1"/>
  <c r="DH47" i="21" s="1"/>
  <c r="DH52" i="21" s="1"/>
  <c r="DH54" i="21" s="1"/>
  <c r="DH56" i="21" s="1"/>
  <c r="DH12" i="21"/>
  <c r="DH286" i="21"/>
  <c r="DH205" i="21"/>
  <c r="DH26" i="21"/>
  <c r="DS13" i="15" l="1"/>
  <c r="DS66" i="15"/>
  <c r="DW126" i="17"/>
  <c r="DX126" i="17" s="1"/>
  <c r="DI69" i="22"/>
  <c r="DV69" i="15"/>
  <c r="O34" i="37"/>
  <c r="DR60" i="12"/>
  <c r="DV61" i="12" s="1"/>
  <c r="DV48" i="12"/>
  <c r="DV135" i="13"/>
  <c r="O31" i="37"/>
  <c r="O32" i="37" s="1"/>
  <c r="DW249" i="12"/>
  <c r="DL32" i="22"/>
  <c r="DY65" i="14"/>
  <c r="DX87" i="14"/>
  <c r="DX86" i="14"/>
  <c r="DY85" i="14"/>
  <c r="DY68" i="14"/>
  <c r="DY67" i="14"/>
  <c r="DX161" i="15"/>
  <c r="DX169" i="15"/>
  <c r="R63" i="14"/>
  <c r="DY83" i="14"/>
  <c r="DY84" i="14" s="1"/>
  <c r="DY79" i="14" s="1"/>
  <c r="DY77" i="14" s="1"/>
  <c r="DY78" i="14" s="1"/>
  <c r="DY64" i="14"/>
  <c r="DY153" i="15"/>
  <c r="DY73" i="14"/>
  <c r="DY74" i="14" s="1"/>
  <c r="DR728" i="12"/>
  <c r="DR747" i="12" s="1"/>
  <c r="DR749" i="12" s="1"/>
  <c r="DS727" i="12"/>
  <c r="DR56" i="17"/>
  <c r="DS57" i="17" s="1"/>
  <c r="DR46" i="17"/>
  <c r="DS47" i="17" s="1"/>
  <c r="DS48" i="17" s="1"/>
  <c r="DS70" i="15"/>
  <c r="P36" i="37" s="1"/>
  <c r="DS257" i="12"/>
  <c r="DW257" i="12" s="1"/>
  <c r="DW358" i="12" s="1"/>
  <c r="DS246" i="12"/>
  <c r="DS327" i="12" s="1"/>
  <c r="DS346" i="12"/>
  <c r="DS292" i="12"/>
  <c r="DS332" i="12"/>
  <c r="DS329" i="12"/>
  <c r="DS328" i="12"/>
  <c r="DR177" i="12"/>
  <c r="DR380" i="12"/>
  <c r="DR186" i="7"/>
  <c r="DR471" i="12"/>
  <c r="DV472" i="12" s="1"/>
  <c r="DR128" i="17"/>
  <c r="O10" i="37" s="1"/>
  <c r="DR18" i="15"/>
  <c r="DR113" i="15"/>
  <c r="DH28" i="21"/>
  <c r="DO39" i="6"/>
  <c r="DS40" i="6" s="1"/>
  <c r="DR136" i="13"/>
  <c r="DR134" i="13"/>
  <c r="DR131" i="13" s="1"/>
  <c r="DR23" i="15"/>
  <c r="DR150" i="15"/>
  <c r="DR112" i="15"/>
  <c r="DR128" i="12"/>
  <c r="DR454" i="12"/>
  <c r="DR180" i="12"/>
  <c r="DH110" i="21"/>
  <c r="DW346" i="12" l="1"/>
  <c r="DW347" i="12" s="1"/>
  <c r="DW68" i="15"/>
  <c r="DS158" i="15"/>
  <c r="DV166" i="15"/>
  <c r="DX141" i="17"/>
  <c r="DK69" i="22" s="1"/>
  <c r="DX127" i="17"/>
  <c r="DW127" i="17"/>
  <c r="DW141" i="17"/>
  <c r="DJ69" i="22" s="1"/>
  <c r="DY126" i="17"/>
  <c r="DY87" i="14"/>
  <c r="DY86" i="14"/>
  <c r="R84" i="14"/>
  <c r="DY161" i="15"/>
  <c r="DY169" i="15"/>
  <c r="R83" i="14"/>
  <c r="R73" i="14"/>
  <c r="DS750" i="12"/>
  <c r="DS752" i="12" s="1"/>
  <c r="DS754" i="12" s="1"/>
  <c r="DS757" i="12" s="1"/>
  <c r="DS758" i="12" s="1"/>
  <c r="DS294" i="12"/>
  <c r="DS289" i="12"/>
  <c r="DS248" i="12"/>
  <c r="DS281" i="12"/>
  <c r="DS344" i="12"/>
  <c r="DS358" i="12"/>
  <c r="DS363" i="12" s="1"/>
  <c r="DS462" i="12"/>
  <c r="DS467" i="12"/>
  <c r="DS335" i="12"/>
  <c r="DS334" i="12"/>
  <c r="DO53" i="6"/>
  <c r="DS54" i="6" s="1"/>
  <c r="DR156" i="15"/>
  <c r="DH30" i="21"/>
  <c r="DO45" i="6"/>
  <c r="DS46" i="6" s="1"/>
  <c r="DW73" i="15" l="1"/>
  <c r="DX68" i="15"/>
  <c r="DX73" i="15" s="1"/>
  <c r="DY141" i="17"/>
  <c r="DL69" i="22" s="1"/>
  <c r="DY127" i="17"/>
  <c r="Z126" i="17"/>
  <c r="Z141" i="17" s="1"/>
  <c r="DJ138" i="22"/>
  <c r="DS137" i="12"/>
  <c r="DW289" i="12"/>
  <c r="DW137" i="12" s="1"/>
  <c r="DS284" i="12"/>
  <c r="DW284" i="12" s="1"/>
  <c r="DS283" i="12"/>
  <c r="DS364" i="12"/>
  <c r="DS370" i="12" s="1"/>
  <c r="DS385" i="12" s="1"/>
  <c r="DS387" i="12" s="1"/>
  <c r="DS469" i="12"/>
  <c r="DW469" i="12" s="1"/>
  <c r="I20" i="37"/>
  <c r="I23" i="37"/>
  <c r="DY68" i="15" l="1"/>
  <c r="Z68" i="15" s="1"/>
  <c r="DW138" i="12"/>
  <c r="DS394" i="12"/>
  <c r="DS429" i="12" s="1"/>
  <c r="DS430" i="12" s="1"/>
  <c r="DS417" i="12"/>
  <c r="DS424" i="12"/>
  <c r="DE2" i="22"/>
  <c r="DF2" i="22"/>
  <c r="DG2" i="22"/>
  <c r="DH2" i="22"/>
  <c r="DE7" i="22"/>
  <c r="DE8" i="22"/>
  <c r="DE24" i="22"/>
  <c r="DE32" i="22"/>
  <c r="DE42" i="22"/>
  <c r="DF42" i="22"/>
  <c r="DG42" i="22"/>
  <c r="DH42" i="22"/>
  <c r="DE49" i="22"/>
  <c r="DE69" i="22"/>
  <c r="DE72" i="22"/>
  <c r="DE113" i="22"/>
  <c r="DE114" i="22"/>
  <c r="DE123" i="22"/>
  <c r="DF124" i="22"/>
  <c r="DE125" i="22"/>
  <c r="DE127" i="22"/>
  <c r="DF138" i="22"/>
  <c r="DF155" i="22"/>
  <c r="DG155" i="22"/>
  <c r="DH155" i="22"/>
  <c r="AA68" i="15" l="1"/>
  <c r="AB68" i="15" s="1"/>
  <c r="AC68" i="15" s="1"/>
  <c r="AD68" i="15" s="1"/>
  <c r="AE68" i="15" s="1"/>
  <c r="AF68" i="15" s="1"/>
  <c r="AG68" i="15" s="1"/>
  <c r="DY73" i="15"/>
  <c r="DS432" i="12"/>
  <c r="DE9" i="22"/>
  <c r="DE13" i="22" s="1"/>
  <c r="DE22" i="22" s="1"/>
  <c r="AA170" i="7"/>
  <c r="DW379" i="12" l="1"/>
  <c r="DX379" i="12" s="1"/>
  <c r="DY379" i="12" s="1"/>
  <c r="DW371" i="12"/>
  <c r="DX371" i="12" s="1"/>
  <c r="DY371" i="12" s="1"/>
  <c r="DQ60" i="7" l="1"/>
  <c r="DQ59" i="7"/>
  <c r="DQ58" i="7"/>
  <c r="DQ57" i="7"/>
  <c r="DQ56" i="7"/>
  <c r="DQ55" i="7"/>
  <c r="DQ54" i="7"/>
  <c r="DQ48" i="7"/>
  <c r="DQ44" i="7"/>
  <c r="DQ43" i="7"/>
  <c r="DW43" i="7" s="1"/>
  <c r="DX43" i="7" s="1"/>
  <c r="DY43" i="7" s="1"/>
  <c r="Z43" i="7" s="1"/>
  <c r="Z82" i="7" s="1"/>
  <c r="DQ40" i="7"/>
  <c r="DQ39" i="7"/>
  <c r="DQ38" i="7"/>
  <c r="DQ30" i="7"/>
  <c r="DQ29" i="7"/>
  <c r="DQ28" i="7"/>
  <c r="DQ26" i="7"/>
  <c r="DQ22" i="7"/>
  <c r="DQ21" i="7"/>
  <c r="DQ19" i="7"/>
  <c r="DQ18" i="7"/>
  <c r="DQ17" i="7"/>
  <c r="DQ16" i="7"/>
  <c r="DQ15" i="7"/>
  <c r="DQ13" i="7"/>
  <c r="DR97" i="7" s="1"/>
  <c r="DO72" i="6" s="1"/>
  <c r="DO73" i="6" s="1"/>
  <c r="DQ55" i="8"/>
  <c r="DQ54" i="8"/>
  <c r="DQ42" i="8"/>
  <c r="DQ41" i="8"/>
  <c r="DQ40" i="8"/>
  <c r="DQ26" i="8"/>
  <c r="DQ20" i="8"/>
  <c r="DQ19" i="8"/>
  <c r="DN146" i="6"/>
  <c r="DN115" i="6"/>
  <c r="DR116" i="6" s="1"/>
  <c r="DN109" i="6"/>
  <c r="DO107" i="6" s="1"/>
  <c r="DN103" i="6"/>
  <c r="DR104" i="6" s="1"/>
  <c r="DR110" i="6" s="1"/>
  <c r="DN84" i="6"/>
  <c r="DR85" i="6" s="1"/>
  <c r="DN74" i="6"/>
  <c r="DQ84" i="7" s="1"/>
  <c r="DN70" i="6"/>
  <c r="DN67" i="6"/>
  <c r="DR68" i="6" s="1"/>
  <c r="DQ137" i="17"/>
  <c r="DQ134" i="17"/>
  <c r="DQ131" i="17"/>
  <c r="DR55" i="17"/>
  <c r="DQ52" i="17"/>
  <c r="DQ17" i="17"/>
  <c r="DU18" i="17" s="1"/>
  <c r="DQ109" i="13"/>
  <c r="DR110" i="13" s="1"/>
  <c r="DQ101" i="13"/>
  <c r="DQ93" i="13"/>
  <c r="DQ87" i="13"/>
  <c r="DQ84" i="13"/>
  <c r="DQ72" i="13"/>
  <c r="DU73" i="13" s="1"/>
  <c r="DQ69" i="13"/>
  <c r="DQ53" i="13"/>
  <c r="DQ153" i="15"/>
  <c r="DQ115" i="15"/>
  <c r="DQ98" i="15"/>
  <c r="DQ92" i="15"/>
  <c r="DQ91" i="15"/>
  <c r="DQ21" i="15"/>
  <c r="DQ14" i="15"/>
  <c r="DQ95" i="14"/>
  <c r="DQ94" i="14"/>
  <c r="DQ83" i="14"/>
  <c r="DQ84" i="14" s="1"/>
  <c r="DQ80" i="14"/>
  <c r="DQ76" i="14"/>
  <c r="DQ74" i="14"/>
  <c r="DQ69" i="14"/>
  <c r="DQ65" i="14"/>
  <c r="DQ64" i="14"/>
  <c r="DQ50" i="14"/>
  <c r="DR55" i="14" s="1"/>
  <c r="DQ48" i="14"/>
  <c r="DQ36" i="14"/>
  <c r="DQ37" i="14" s="1"/>
  <c r="DQ33" i="14"/>
  <c r="DQ29" i="14"/>
  <c r="DQ28" i="14"/>
  <c r="DQ23" i="14"/>
  <c r="DQ16" i="14"/>
  <c r="DQ15" i="14"/>
  <c r="DQ738" i="12"/>
  <c r="DQ729" i="12"/>
  <c r="DQ720" i="12"/>
  <c r="DQ715" i="12"/>
  <c r="DQ713" i="12"/>
  <c r="DQ657" i="12"/>
  <c r="DQ464" i="12"/>
  <c r="DQ466" i="12" s="1"/>
  <c r="DQ461" i="12"/>
  <c r="DQ395" i="12"/>
  <c r="DQ425" i="12" s="1"/>
  <c r="DQ331" i="12"/>
  <c r="DQ320" i="12"/>
  <c r="DQ277" i="12"/>
  <c r="DQ276" i="12"/>
  <c r="DQ274" i="12"/>
  <c r="DQ273" i="12"/>
  <c r="DQ271" i="12"/>
  <c r="DQ270" i="12"/>
  <c r="DQ255" i="12"/>
  <c r="DQ254" i="12"/>
  <c r="DQ181" i="12" s="1"/>
  <c r="DQ120" i="12"/>
  <c r="DQ117" i="12"/>
  <c r="DQ41" i="12"/>
  <c r="DU42" i="12" s="1"/>
  <c r="DQ29" i="12"/>
  <c r="DU30" i="12" s="1"/>
  <c r="DQ27" i="12"/>
  <c r="N15" i="37" s="1"/>
  <c r="Y49" i="8"/>
  <c r="DN49" i="8"/>
  <c r="DO49" i="8"/>
  <c r="DP49" i="8"/>
  <c r="DG394" i="21"/>
  <c r="DQ49" i="8" s="1"/>
  <c r="DF393" i="21"/>
  <c r="DG393" i="21" s="1"/>
  <c r="DQ48" i="8" s="1"/>
  <c r="DG274" i="21"/>
  <c r="DQ38" i="12" s="1"/>
  <c r="DG94" i="21"/>
  <c r="DQ49" i="7" s="1"/>
  <c r="DG88" i="21"/>
  <c r="DQ41" i="7" s="1"/>
  <c r="DG79" i="21"/>
  <c r="DQ31" i="7" s="1"/>
  <c r="DG48" i="21"/>
  <c r="DN78" i="6" s="1"/>
  <c r="DG35" i="21"/>
  <c r="DG27" i="21" s="1"/>
  <c r="DN42" i="6" s="1"/>
  <c r="DR43" i="6" s="1"/>
  <c r="DG34" i="21"/>
  <c r="DG6" i="21"/>
  <c r="DG7" i="21"/>
  <c r="DG20" i="21"/>
  <c r="DG10" i="21" s="1"/>
  <c r="DQ11" i="16" s="1"/>
  <c r="DG26" i="21"/>
  <c r="DN39" i="6" s="1"/>
  <c r="DR40" i="6" s="1"/>
  <c r="DG29" i="21"/>
  <c r="DN48" i="6" s="1"/>
  <c r="DR49" i="6" s="1"/>
  <c r="DG36" i="21"/>
  <c r="DG38" i="21" s="1"/>
  <c r="DG41" i="21" s="1"/>
  <c r="DG47" i="21" s="1"/>
  <c r="DG70" i="21"/>
  <c r="DG74" i="21"/>
  <c r="DG104" i="21"/>
  <c r="DG107" i="21" s="1"/>
  <c r="DG130" i="21"/>
  <c r="DQ141" i="17" s="1"/>
  <c r="DG137" i="21"/>
  <c r="DG179" i="21"/>
  <c r="DG169" i="21"/>
  <c r="DG199" i="21"/>
  <c r="DG201" i="21" s="1"/>
  <c r="DQ81" i="13" s="1"/>
  <c r="DG215" i="21"/>
  <c r="DG216" i="21" s="1"/>
  <c r="DG220" i="21"/>
  <c r="DQ25" i="15" s="1"/>
  <c r="DG238" i="21"/>
  <c r="DG248" i="21"/>
  <c r="DG250" i="21"/>
  <c r="DG251" i="21" s="1"/>
  <c r="DG261" i="21"/>
  <c r="DG265" i="21"/>
  <c r="DG266" i="21"/>
  <c r="DG268" i="21"/>
  <c r="DQ52" i="12" s="1"/>
  <c r="DU53" i="12" s="1"/>
  <c r="DG276" i="21"/>
  <c r="DG278" i="21" s="1"/>
  <c r="DG285" i="21"/>
  <c r="DG287" i="21" s="1"/>
  <c r="DG303" i="21"/>
  <c r="DQ112" i="12" s="1"/>
  <c r="DG309" i="21"/>
  <c r="AD28" i="37"/>
  <c r="AJ24" i="37"/>
  <c r="AJ26" i="37"/>
  <c r="DQ97" i="15" l="1"/>
  <c r="N38" i="37"/>
  <c r="DQ45" i="14"/>
  <c r="DU46" i="14" s="1"/>
  <c r="DU49" i="14"/>
  <c r="DR161" i="15"/>
  <c r="DU169" i="15"/>
  <c r="DR16" i="15"/>
  <c r="DU15" i="15"/>
  <c r="N48" i="37"/>
  <c r="DU70" i="13"/>
  <c r="R49" i="37" s="1"/>
  <c r="DR27" i="15"/>
  <c r="DU26" i="15"/>
  <c r="DR24" i="15"/>
  <c r="DU22" i="15"/>
  <c r="DN18" i="6"/>
  <c r="DR19" i="6" s="1"/>
  <c r="DU12" i="16"/>
  <c r="DQ108" i="17"/>
  <c r="DU132" i="17"/>
  <c r="N29" i="37"/>
  <c r="N42" i="37"/>
  <c r="DU54" i="13"/>
  <c r="DQ114" i="17"/>
  <c r="DU135" i="17"/>
  <c r="DQ471" i="12"/>
  <c r="DU472" i="12" s="1"/>
  <c r="DU39" i="12"/>
  <c r="DU28" i="12"/>
  <c r="R16" i="37" s="1"/>
  <c r="DU113" i="12"/>
  <c r="DU186" i="12"/>
  <c r="DQ287" i="12"/>
  <c r="DQ726" i="12"/>
  <c r="DR727" i="12" s="1"/>
  <c r="DR721" i="12"/>
  <c r="DR762" i="12" s="1"/>
  <c r="DR764" i="12" s="1"/>
  <c r="DR767" i="12" s="1"/>
  <c r="DQ32" i="14"/>
  <c r="DQ142" i="17"/>
  <c r="DR24" i="14"/>
  <c r="DR26" i="14"/>
  <c r="DQ118" i="15"/>
  <c r="DR119" i="15" s="1"/>
  <c r="DV120" i="15" s="1"/>
  <c r="DR116" i="15"/>
  <c r="DV117" i="15" s="1"/>
  <c r="DQ75" i="14"/>
  <c r="DQ151" i="15"/>
  <c r="DR159" i="15" s="1"/>
  <c r="DR54" i="14"/>
  <c r="DQ66" i="14"/>
  <c r="N40" i="37" s="1"/>
  <c r="DQ17" i="14"/>
  <c r="DR72" i="14"/>
  <c r="DR70" i="14"/>
  <c r="DQ79" i="14"/>
  <c r="DQ77" i="14" s="1"/>
  <c r="DQ78" i="14" s="1"/>
  <c r="DQ75" i="13"/>
  <c r="DG80" i="21"/>
  <c r="DR80" i="7"/>
  <c r="DQ125" i="12"/>
  <c r="DR114" i="12"/>
  <c r="DG89" i="21"/>
  <c r="DQ164" i="7"/>
  <c r="DQ181" i="7" s="1"/>
  <c r="DQ286" i="12"/>
  <c r="DR156" i="12"/>
  <c r="DV157" i="12" s="1"/>
  <c r="DQ381" i="12"/>
  <c r="DQ380" i="12" s="1"/>
  <c r="DR361" i="12"/>
  <c r="DR359" i="12" s="1"/>
  <c r="DR452" i="12"/>
  <c r="DR325" i="12"/>
  <c r="DV326" i="12" s="1"/>
  <c r="DR249" i="12"/>
  <c r="DR256" i="12"/>
  <c r="DR263" i="12"/>
  <c r="DV264" i="12" s="1"/>
  <c r="DQ433" i="12"/>
  <c r="DU434" i="12" s="1"/>
  <c r="DQ163" i="7"/>
  <c r="DQ171" i="7" s="1"/>
  <c r="DR65" i="7"/>
  <c r="DR104" i="13"/>
  <c r="DR102" i="13"/>
  <c r="DR103" i="13"/>
  <c r="DQ27" i="16"/>
  <c r="DQ56" i="17" s="1"/>
  <c r="DR57" i="17" s="1"/>
  <c r="DQ192" i="7"/>
  <c r="DQ178" i="7"/>
  <c r="DU190" i="7" s="1"/>
  <c r="DQ55" i="12"/>
  <c r="DN53" i="6"/>
  <c r="DR54" i="6" s="1"/>
  <c r="DQ27" i="7"/>
  <c r="DQ42" i="7"/>
  <c r="DQ82" i="7"/>
  <c r="DR83" i="7" s="1"/>
  <c r="DR85" i="7" s="1"/>
  <c r="DQ61" i="7"/>
  <c r="X49" i="8"/>
  <c r="DQ11" i="15"/>
  <c r="DU12" i="15" s="1"/>
  <c r="DQ152" i="15"/>
  <c r="AA49" i="8"/>
  <c r="DN112" i="6"/>
  <c r="DN117" i="6"/>
  <c r="DR118" i="6" s="1"/>
  <c r="DQ23" i="7"/>
  <c r="DQ47" i="12"/>
  <c r="DU48" i="12" s="1"/>
  <c r="DQ444" i="12"/>
  <c r="DQ147" i="15"/>
  <c r="DQ36" i="13"/>
  <c r="DQ20" i="7"/>
  <c r="DQ122" i="12"/>
  <c r="DQ127" i="12" s="1"/>
  <c r="DQ44" i="17"/>
  <c r="DQ126" i="17"/>
  <c r="DU127" i="17" s="1"/>
  <c r="DQ118" i="17"/>
  <c r="DU119" i="17" s="1"/>
  <c r="DQ145" i="17"/>
  <c r="DU147" i="17" s="1"/>
  <c r="DQ49" i="17"/>
  <c r="DQ64" i="15"/>
  <c r="DQ68" i="15"/>
  <c r="DQ30" i="14"/>
  <c r="DQ31" i="14" s="1"/>
  <c r="DQ219" i="12"/>
  <c r="DQ740" i="12"/>
  <c r="DQ742" i="12" s="1"/>
  <c r="DQ743" i="12" s="1"/>
  <c r="DQ126" i="12"/>
  <c r="DG286" i="21"/>
  <c r="DG267" i="21"/>
  <c r="DG269" i="21" s="1"/>
  <c r="DG282" i="21"/>
  <c r="DG202" i="21"/>
  <c r="DG95" i="21"/>
  <c r="DG109" i="21" s="1"/>
  <c r="DG110" i="21" s="1"/>
  <c r="DG52" i="21"/>
  <c r="DG54" i="21" s="1"/>
  <c r="DG56" i="21" s="1"/>
  <c r="DG28" i="21"/>
  <c r="DG12" i="21"/>
  <c r="DG205" i="21"/>
  <c r="DQ52" i="14" l="1"/>
  <c r="DR47" i="14"/>
  <c r="O37" i="37" s="1"/>
  <c r="DQ53" i="14"/>
  <c r="N27" i="37"/>
  <c r="DU76" i="13"/>
  <c r="R28" i="37" s="1"/>
  <c r="N19" i="37"/>
  <c r="DU115" i="17"/>
  <c r="N34" i="37"/>
  <c r="DU69" i="15"/>
  <c r="R35" i="37" s="1"/>
  <c r="R30" i="37"/>
  <c r="R43" i="37"/>
  <c r="N33" i="37"/>
  <c r="DU109" i="17"/>
  <c r="DR66" i="15"/>
  <c r="DU65" i="15"/>
  <c r="O24" i="37"/>
  <c r="DV250" i="12"/>
  <c r="N39" i="37"/>
  <c r="DU22" i="14"/>
  <c r="DQ390" i="12"/>
  <c r="DQ454" i="12"/>
  <c r="DU445" i="12"/>
  <c r="DE155" i="22"/>
  <c r="DU154" i="15"/>
  <c r="DV162" i="15" s="1"/>
  <c r="DQ46" i="17"/>
  <c r="DR47" i="17" s="1"/>
  <c r="DR48" i="17" s="1"/>
  <c r="DU56" i="12"/>
  <c r="DU68" i="14"/>
  <c r="DR160" i="15"/>
  <c r="DU168" i="15"/>
  <c r="DQ728" i="12"/>
  <c r="DQ747" i="12" s="1"/>
  <c r="DQ749" i="12" s="1"/>
  <c r="DR750" i="12" s="1"/>
  <c r="DR752" i="12" s="1"/>
  <c r="DR754" i="12" s="1"/>
  <c r="DR757" i="12" s="1"/>
  <c r="DQ38" i="14"/>
  <c r="DR21" i="14"/>
  <c r="DQ33" i="7"/>
  <c r="DQ85" i="14"/>
  <c r="AA81" i="7"/>
  <c r="AB49" i="8"/>
  <c r="DR67" i="14"/>
  <c r="DQ165" i="7"/>
  <c r="DR292" i="12"/>
  <c r="DV293" i="12" s="1"/>
  <c r="DR257" i="12"/>
  <c r="DV258" i="12" s="1"/>
  <c r="DR70" i="15"/>
  <c r="DQ50" i="7"/>
  <c r="DQ62" i="7" s="1"/>
  <c r="DR167" i="7"/>
  <c r="DR169" i="7" s="1"/>
  <c r="DR175" i="7" s="1"/>
  <c r="DR172" i="7"/>
  <c r="DN120" i="6"/>
  <c r="DR329" i="12"/>
  <c r="DR332" i="12"/>
  <c r="DV333" i="12" s="1"/>
  <c r="DQ18" i="15"/>
  <c r="DU19" i="15" s="1"/>
  <c r="DR13" i="15"/>
  <c r="DQ177" i="12"/>
  <c r="DQ76" i="7"/>
  <c r="DR77" i="7" s="1"/>
  <c r="DQ113" i="7"/>
  <c r="DR177" i="7"/>
  <c r="DR179" i="7" s="1"/>
  <c r="DR182" i="7"/>
  <c r="DQ111" i="7"/>
  <c r="DQ118" i="7" s="1"/>
  <c r="DR346" i="12"/>
  <c r="DV347" i="12" s="1"/>
  <c r="DR246" i="12"/>
  <c r="DV247" i="12" s="1"/>
  <c r="DQ180" i="12"/>
  <c r="DR288" i="12"/>
  <c r="DN10" i="6"/>
  <c r="DR11" i="6" s="1"/>
  <c r="DQ113" i="15"/>
  <c r="DQ34" i="13"/>
  <c r="DG30" i="21"/>
  <c r="DN45" i="6"/>
  <c r="DR46" i="6" s="1"/>
  <c r="DQ110" i="17"/>
  <c r="DQ60" i="12"/>
  <c r="DU61" i="12" s="1"/>
  <c r="DQ128" i="12"/>
  <c r="DQ90" i="7"/>
  <c r="DQ87" i="7"/>
  <c r="DQ34" i="7"/>
  <c r="DQ128" i="17"/>
  <c r="DQ85" i="13"/>
  <c r="DQ88" i="13"/>
  <c r="DQ82" i="13"/>
  <c r="DQ133" i="13"/>
  <c r="N31" i="37" s="1"/>
  <c r="N32" i="37" s="1"/>
  <c r="DQ150" i="15"/>
  <c r="DQ23" i="15"/>
  <c r="DQ112" i="15"/>
  <c r="DR57" i="14" l="1"/>
  <c r="DR56" i="14"/>
  <c r="N10" i="37"/>
  <c r="DU129" i="17"/>
  <c r="DR158" i="15"/>
  <c r="DU166" i="15"/>
  <c r="O36" i="37"/>
  <c r="DV71" i="15"/>
  <c r="DR39" i="14"/>
  <c r="DU40" i="14"/>
  <c r="DU135" i="13"/>
  <c r="DR86" i="14"/>
  <c r="DU87" i="14"/>
  <c r="DQ63" i="7"/>
  <c r="AB81" i="7"/>
  <c r="AC49" i="8"/>
  <c r="DR185" i="7"/>
  <c r="DQ112" i="7"/>
  <c r="DQ119" i="7" s="1"/>
  <c r="DR335" i="12"/>
  <c r="DR344" i="12"/>
  <c r="DV345" i="12" s="1"/>
  <c r="DR327" i="12"/>
  <c r="DR467" i="12"/>
  <c r="DV468" i="12" s="1"/>
  <c r="DR462" i="12"/>
  <c r="DR358" i="12"/>
  <c r="DR363" i="12" s="1"/>
  <c r="DR174" i="7"/>
  <c r="DR188" i="7"/>
  <c r="DR184" i="7"/>
  <c r="DR289" i="12"/>
  <c r="DV290" i="12" s="1"/>
  <c r="DR294" i="12"/>
  <c r="DQ91" i="7"/>
  <c r="DQ136" i="13"/>
  <c r="DQ134" i="13"/>
  <c r="DQ131" i="13" s="1"/>
  <c r="DQ156" i="15"/>
  <c r="DE138" i="22" l="1"/>
  <c r="DI138" i="22"/>
  <c r="AD49" i="8"/>
  <c r="AC81" i="7"/>
  <c r="DR469" i="12"/>
  <c r="DR364" i="12"/>
  <c r="DR370" i="12" s="1"/>
  <c r="DR385" i="12" s="1"/>
  <c r="DR387" i="12" s="1"/>
  <c r="DR137" i="12"/>
  <c r="DV138" i="12" s="1"/>
  <c r="H20" i="37"/>
  <c r="H23" i="37"/>
  <c r="AE49" i="8" l="1"/>
  <c r="AD81" i="7"/>
  <c r="DR424" i="12"/>
  <c r="DR394" i="12"/>
  <c r="DR429" i="12" s="1"/>
  <c r="DR430" i="12" s="1"/>
  <c r="DR417" i="12"/>
  <c r="Y170" i="7"/>
  <c r="Y26" i="8"/>
  <c r="Y25" i="8"/>
  <c r="Y56" i="8"/>
  <c r="Y55" i="8"/>
  <c r="Y50" i="8"/>
  <c r="Y48" i="8"/>
  <c r="Y39" i="8"/>
  <c r="Y20" i="8"/>
  <c r="Y19" i="8"/>
  <c r="Y112" i="6"/>
  <c r="X101" i="6"/>
  <c r="Y101" i="6"/>
  <c r="Y73" i="6"/>
  <c r="Y146" i="6"/>
  <c r="Y104" i="11"/>
  <c r="DO104" i="11"/>
  <c r="DN104" i="11"/>
  <c r="DM104" i="11"/>
  <c r="DL104" i="11"/>
  <c r="DK104" i="11"/>
  <c r="Y61" i="11"/>
  <c r="Q80" i="14"/>
  <c r="Q33" i="14"/>
  <c r="Q99" i="14" s="1"/>
  <c r="Y397" i="12"/>
  <c r="Y288" i="12"/>
  <c r="Y256" i="12"/>
  <c r="Y751" i="12"/>
  <c r="Y748" i="12"/>
  <c r="Y730" i="12"/>
  <c r="Y722" i="12"/>
  <c r="Y729" i="12" s="1"/>
  <c r="Y712" i="12"/>
  <c r="Z713" i="12" s="1"/>
  <c r="Y521" i="12"/>
  <c r="Y319" i="12"/>
  <c r="Z320" i="12" s="1"/>
  <c r="Y83" i="12"/>
  <c r="AF49" i="8" l="1"/>
  <c r="AE81" i="7"/>
  <c r="DR432" i="12"/>
  <c r="Y563" i="12"/>
  <c r="Y566" i="12" s="1"/>
  <c r="Y367" i="12"/>
  <c r="Y107" i="6"/>
  <c r="Q150" i="14"/>
  <c r="Y715" i="12"/>
  <c r="AB107" i="6" l="1"/>
  <c r="AC107" i="6" s="1"/>
  <c r="AD107" i="6" s="1"/>
  <c r="AE107" i="6" s="1"/>
  <c r="AF107" i="6" s="1"/>
  <c r="AG107" i="6" s="1"/>
  <c r="AF81" i="7"/>
  <c r="AG49" i="8"/>
  <c r="AG81" i="7" s="1"/>
  <c r="DR34" i="13"/>
  <c r="DS35" i="13" s="1"/>
  <c r="DS50" i="13" s="1"/>
  <c r="DR6" i="8"/>
  <c r="DS6" i="8"/>
  <c r="DT6" i="8"/>
  <c r="DU6" i="8"/>
  <c r="DR5" i="7"/>
  <c r="DS5" i="7"/>
  <c r="DT5" i="7"/>
  <c r="DU5" i="7"/>
  <c r="DL6" i="11"/>
  <c r="DM6" i="11"/>
  <c r="DN6" i="11"/>
  <c r="DO6" i="11"/>
  <c r="DR5" i="16"/>
  <c r="DS5" i="16"/>
  <c r="DT5" i="16"/>
  <c r="DU5" i="16"/>
  <c r="DR5" i="17"/>
  <c r="DR101" i="17" s="1"/>
  <c r="DS5" i="17"/>
  <c r="DS101" i="17" s="1"/>
  <c r="DT5" i="17"/>
  <c r="DT101" i="17" s="1"/>
  <c r="DU5" i="17"/>
  <c r="DU101" i="17" s="1"/>
  <c r="DR5" i="15"/>
  <c r="DS5" i="15"/>
  <c r="DT5" i="15"/>
  <c r="DU5" i="15"/>
  <c r="DR5" i="14"/>
  <c r="DR58" i="14" s="1"/>
  <c r="DS5" i="14"/>
  <c r="DS58" i="14" s="1"/>
  <c r="DT5" i="14"/>
  <c r="DT58" i="14" s="1"/>
  <c r="DU5" i="14"/>
  <c r="DU58" i="14" s="1"/>
  <c r="DR5" i="13"/>
  <c r="DS5" i="13"/>
  <c r="DT5" i="13"/>
  <c r="DU5" i="13"/>
  <c r="DR5" i="12"/>
  <c r="DS5" i="12"/>
  <c r="DT5" i="12"/>
  <c r="DU5" i="12"/>
  <c r="DY330" i="12"/>
  <c r="DW365" i="12"/>
  <c r="DX365" i="12" s="1"/>
  <c r="DY365" i="12" s="1"/>
  <c r="DY713" i="12"/>
  <c r="DU356" i="12" l="1"/>
  <c r="DU383" i="12"/>
  <c r="DU694" i="12"/>
  <c r="DU113" i="8"/>
  <c r="DT383" i="12"/>
  <c r="DT356" i="12"/>
  <c r="DT694" i="12"/>
  <c r="DS356" i="12"/>
  <c r="DS383" i="12"/>
  <c r="DS694" i="12"/>
  <c r="Y11" i="15"/>
  <c r="DH7" i="22"/>
  <c r="DG124" i="22"/>
  <c r="DR694" i="12"/>
  <c r="DR383" i="12"/>
  <c r="DR356" i="12"/>
  <c r="DG137" i="22"/>
  <c r="DF137" i="22"/>
  <c r="DH32" i="22"/>
  <c r="DF32" i="22"/>
  <c r="DE137" i="22"/>
  <c r="DT113" i="8"/>
  <c r="DR113" i="8"/>
  <c r="DS113" i="8"/>
  <c r="Y81" i="7"/>
  <c r="Y34" i="13"/>
  <c r="DW83" i="12" l="1"/>
  <c r="DV113" i="8"/>
  <c r="DY22" i="14"/>
  <c r="DH124" i="22"/>
  <c r="DY59" i="13"/>
  <c r="DG32" i="22"/>
  <c r="Q63" i="14"/>
  <c r="DL123" i="22" l="1"/>
  <c r="Z59" i="13"/>
  <c r="R76" i="14"/>
  <c r="R66" i="14" s="1"/>
  <c r="R65" i="14"/>
  <c r="DX83" i="12"/>
  <c r="DW113" i="8"/>
  <c r="DY40" i="14"/>
  <c r="Q83" i="14"/>
  <c r="DW90" i="12"/>
  <c r="DX90" i="12" s="1"/>
  <c r="DY90" i="12" s="1"/>
  <c r="R85" i="14" l="1"/>
  <c r="DY83" i="12"/>
  <c r="DY113" i="8" s="1"/>
  <c r="DX113" i="8"/>
  <c r="DP254" i="12" l="1"/>
  <c r="DP117" i="12"/>
  <c r="DQ156" i="12" s="1"/>
  <c r="DU157" i="12" s="1"/>
  <c r="DQ249" i="12" l="1"/>
  <c r="N24" i="37" s="1"/>
  <c r="DQ361" i="12"/>
  <c r="DQ359" i="12" s="1"/>
  <c r="DQ452" i="12"/>
  <c r="DQ256" i="12"/>
  <c r="DT154" i="15" s="1"/>
  <c r="DU162" i="15" s="1"/>
  <c r="DQ325" i="12"/>
  <c r="DU326" i="12" s="1"/>
  <c r="DQ263" i="12"/>
  <c r="DU264" i="12" s="1"/>
  <c r="DP48" i="14"/>
  <c r="DP137" i="17"/>
  <c r="DP134" i="17"/>
  <c r="DP131" i="17"/>
  <c r="DQ55" i="17"/>
  <c r="DP52" i="17"/>
  <c r="DP17" i="17"/>
  <c r="DT18" i="17" s="1"/>
  <c r="DP153" i="15"/>
  <c r="DT169" i="15" s="1"/>
  <c r="DP152" i="15"/>
  <c r="DP147" i="15"/>
  <c r="DP115" i="15"/>
  <c r="DQ116" i="15" s="1"/>
  <c r="DU117" i="15" s="1"/>
  <c r="DP98" i="15"/>
  <c r="DP92" i="15"/>
  <c r="M38" i="37" s="1"/>
  <c r="DP91" i="15"/>
  <c r="DP21" i="15"/>
  <c r="DP14" i="15"/>
  <c r="DP95" i="14"/>
  <c r="DP94" i="14"/>
  <c r="DP83" i="14"/>
  <c r="DP80" i="14"/>
  <c r="DP76" i="14"/>
  <c r="DP74" i="14"/>
  <c r="DP69" i="14"/>
  <c r="DP65" i="14"/>
  <c r="DP64" i="14"/>
  <c r="DP50" i="14"/>
  <c r="DP36" i="14"/>
  <c r="DP33" i="14"/>
  <c r="DP29" i="14"/>
  <c r="DP28" i="14"/>
  <c r="DP23" i="14"/>
  <c r="DP16" i="14"/>
  <c r="DP15" i="14"/>
  <c r="DP109" i="13"/>
  <c r="DQ110" i="13" s="1"/>
  <c r="DP101" i="13"/>
  <c r="DP93" i="13"/>
  <c r="DJ49" i="11" s="1"/>
  <c r="DP87" i="13"/>
  <c r="DJ22" i="11" s="1"/>
  <c r="DP84" i="13"/>
  <c r="DJ31" i="11" s="1"/>
  <c r="DP72" i="13"/>
  <c r="DT73" i="13" s="1"/>
  <c r="DP69" i="13"/>
  <c r="M48" i="37" s="1"/>
  <c r="DP53" i="13"/>
  <c r="DP738" i="12"/>
  <c r="DP729" i="12"/>
  <c r="DP720" i="12"/>
  <c r="DP715" i="12"/>
  <c r="DP713" i="12"/>
  <c r="DP657" i="12"/>
  <c r="DP464" i="12"/>
  <c r="DP466" i="12" s="1"/>
  <c r="DP461" i="12"/>
  <c r="DT463" i="12" s="1"/>
  <c r="DP452" i="12"/>
  <c r="DP395" i="12"/>
  <c r="DP425" i="12" s="1"/>
  <c r="DP381" i="12"/>
  <c r="DP390" i="12" s="1"/>
  <c r="DP361" i="12"/>
  <c r="DP359" i="12" s="1"/>
  <c r="DP331" i="12"/>
  <c r="DP325" i="12"/>
  <c r="DP320" i="12"/>
  <c r="DP286" i="12"/>
  <c r="DQ288" i="12" s="1"/>
  <c r="DP277" i="12"/>
  <c r="DP276" i="12"/>
  <c r="DP274" i="12"/>
  <c r="DP273" i="12"/>
  <c r="DP271" i="12"/>
  <c r="DP270" i="12"/>
  <c r="DP263" i="12"/>
  <c r="DP255" i="12"/>
  <c r="DP256" i="12" s="1"/>
  <c r="DP249" i="12"/>
  <c r="M24" i="37" s="1"/>
  <c r="DP181" i="12"/>
  <c r="DP156" i="12"/>
  <c r="DT157" i="12" s="1"/>
  <c r="DP120" i="12"/>
  <c r="DP41" i="12"/>
  <c r="DT42" i="12" s="1"/>
  <c r="DP29" i="12"/>
  <c r="DT30" i="12" s="1"/>
  <c r="DP27" i="12"/>
  <c r="M15" i="37" s="1"/>
  <c r="DP55" i="8"/>
  <c r="DP54" i="8"/>
  <c r="DP48" i="8"/>
  <c r="DP42" i="8"/>
  <c r="DP41" i="8"/>
  <c r="DP40" i="8"/>
  <c r="DP26" i="8"/>
  <c r="DP20" i="8"/>
  <c r="DP19" i="8"/>
  <c r="DP60" i="7"/>
  <c r="DP59" i="7"/>
  <c r="DP58" i="7"/>
  <c r="DP57" i="7"/>
  <c r="DP56" i="7"/>
  <c r="DP55" i="7"/>
  <c r="DP54" i="7"/>
  <c r="DP49" i="7"/>
  <c r="DP48" i="7"/>
  <c r="DP44" i="7"/>
  <c r="DP43" i="7"/>
  <c r="DP41" i="7"/>
  <c r="DP40" i="7"/>
  <c r="DP39" i="7"/>
  <c r="DP38" i="7"/>
  <c r="DP31" i="7"/>
  <c r="DP30" i="7"/>
  <c r="DP29" i="7"/>
  <c r="Z29" i="7" s="1"/>
  <c r="DP28" i="7"/>
  <c r="Z28" i="7" s="1"/>
  <c r="Z30" i="7" s="1"/>
  <c r="DP26" i="7"/>
  <c r="DP22" i="7"/>
  <c r="DP164" i="7" s="1"/>
  <c r="DP181" i="7" s="1"/>
  <c r="DP21" i="7"/>
  <c r="DP163" i="7" s="1"/>
  <c r="DP19" i="7"/>
  <c r="DP18" i="7"/>
  <c r="DP17" i="7"/>
  <c r="DP16" i="7"/>
  <c r="DP15" i="7"/>
  <c r="DP13" i="7"/>
  <c r="DM146" i="6"/>
  <c r="DM115" i="6"/>
  <c r="DQ116" i="6" s="1"/>
  <c r="DM109" i="6"/>
  <c r="DN107" i="6" s="1"/>
  <c r="DM103" i="6"/>
  <c r="DQ104" i="6" s="1"/>
  <c r="DQ110" i="6" s="1"/>
  <c r="DM84" i="6"/>
  <c r="DQ85" i="6" s="1"/>
  <c r="DM74" i="6"/>
  <c r="DP84" i="7" s="1"/>
  <c r="DM70" i="6"/>
  <c r="DM67" i="6"/>
  <c r="DQ68" i="6" s="1"/>
  <c r="M29" i="37" l="1"/>
  <c r="M42" i="37"/>
  <c r="DU250" i="12"/>
  <c r="R25" i="37" s="1"/>
  <c r="DP108" i="17"/>
  <c r="M33" i="37" s="1"/>
  <c r="DT132" i="17"/>
  <c r="DP114" i="17"/>
  <c r="DT135" i="17"/>
  <c r="DQ24" i="15"/>
  <c r="DT22" i="15"/>
  <c r="DQ16" i="15"/>
  <c r="DT15" i="15"/>
  <c r="DQ54" i="14"/>
  <c r="DT49" i="14"/>
  <c r="DT70" i="13"/>
  <c r="Q49" i="37" s="1"/>
  <c r="T49" i="37"/>
  <c r="U49" i="37" s="1"/>
  <c r="DT54" i="13"/>
  <c r="T43" i="37"/>
  <c r="T30" i="37" s="1"/>
  <c r="DT250" i="12"/>
  <c r="Q25" i="37" s="1"/>
  <c r="DT28" i="12"/>
  <c r="Q16" i="37" s="1"/>
  <c r="V16" i="37"/>
  <c r="DP257" i="12"/>
  <c r="DT258" i="12" s="1"/>
  <c r="DT264" i="12"/>
  <c r="DT155" i="15"/>
  <c r="DP329" i="12"/>
  <c r="DT326" i="12"/>
  <c r="DS154" i="15"/>
  <c r="DT162" i="15" s="1"/>
  <c r="DT163" i="15" s="1"/>
  <c r="DQ160" i="15"/>
  <c r="DT168" i="15"/>
  <c r="DQ65" i="7"/>
  <c r="DP75" i="13"/>
  <c r="M27" i="37" s="1"/>
  <c r="DQ177" i="7"/>
  <c r="DQ179" i="7" s="1"/>
  <c r="DQ182" i="7"/>
  <c r="DQ55" i="14"/>
  <c r="DQ72" i="14"/>
  <c r="DQ70" i="14"/>
  <c r="DP84" i="14"/>
  <c r="DP62" i="8"/>
  <c r="DQ97" i="7"/>
  <c r="DN72" i="6" s="1"/>
  <c r="DN73" i="6" s="1"/>
  <c r="DQ329" i="12"/>
  <c r="DQ332" i="12"/>
  <c r="DU333" i="12" s="1"/>
  <c r="DQ346" i="12"/>
  <c r="DU347" i="12" s="1"/>
  <c r="DQ246" i="12"/>
  <c r="DU247" i="12" s="1"/>
  <c r="DP287" i="12"/>
  <c r="DP219" i="12" s="1"/>
  <c r="DP97" i="15"/>
  <c r="DQ257" i="12"/>
  <c r="DU258" i="12" s="1"/>
  <c r="DQ80" i="7"/>
  <c r="DP726" i="12"/>
  <c r="DQ727" i="12" s="1"/>
  <c r="DQ721" i="12"/>
  <c r="DQ762" i="12" s="1"/>
  <c r="DQ764" i="12" s="1"/>
  <c r="DQ767" i="12" s="1"/>
  <c r="DJ102" i="11"/>
  <c r="DQ104" i="13"/>
  <c r="DQ102" i="13"/>
  <c r="DQ103" i="13"/>
  <c r="DQ26" i="14"/>
  <c r="DQ24" i="14"/>
  <c r="DP37" i="14"/>
  <c r="DP32" i="14" s="1"/>
  <c r="DP30" i="14" s="1"/>
  <c r="DP31" i="14" s="1"/>
  <c r="DQ161" i="15"/>
  <c r="DQ292" i="12"/>
  <c r="DU293" i="12" s="1"/>
  <c r="DP433" i="12"/>
  <c r="DT434" i="12" s="1"/>
  <c r="DP346" i="12"/>
  <c r="DT347" i="12" s="1"/>
  <c r="DP151" i="15"/>
  <c r="DM112" i="6"/>
  <c r="DJ40" i="11"/>
  <c r="DP27" i="7"/>
  <c r="DP113" i="7" s="1"/>
  <c r="DP42" i="7"/>
  <c r="DP50" i="7" s="1"/>
  <c r="DJ32" i="11"/>
  <c r="DM117" i="6"/>
  <c r="DQ118" i="6" s="1"/>
  <c r="DP20" i="7"/>
  <c r="DP380" i="12"/>
  <c r="DP332" i="12"/>
  <c r="DT333" i="12" s="1"/>
  <c r="DP118" i="15"/>
  <c r="DQ119" i="15" s="1"/>
  <c r="DU120" i="15" s="1"/>
  <c r="DP17" i="14"/>
  <c r="M39" i="37" s="1"/>
  <c r="DP292" i="12"/>
  <c r="DP44" i="17"/>
  <c r="DP49" i="17"/>
  <c r="DP45" i="14"/>
  <c r="DP66" i="14"/>
  <c r="M40" i="37" s="1"/>
  <c r="DP75" i="14"/>
  <c r="DP358" i="12"/>
  <c r="DP363" i="12" s="1"/>
  <c r="DP444" i="12"/>
  <c r="DT445" i="12" s="1"/>
  <c r="DP180" i="12"/>
  <c r="DP246" i="12"/>
  <c r="DP462" i="12"/>
  <c r="DP171" i="7"/>
  <c r="DP165" i="7"/>
  <c r="DP61" i="7"/>
  <c r="DP82" i="7"/>
  <c r="DQ83" i="7" s="1"/>
  <c r="DQ85" i="7" s="1"/>
  <c r="DP23" i="7"/>
  <c r="DP111" i="7" s="1"/>
  <c r="DP118" i="7" s="1"/>
  <c r="DP118" i="17" l="1"/>
  <c r="DT119" i="17" s="1"/>
  <c r="M19" i="37"/>
  <c r="Q30" i="37"/>
  <c r="Q43" i="37"/>
  <c r="DP79" i="14"/>
  <c r="DP77" i="14" s="1"/>
  <c r="DP78" i="14" s="1"/>
  <c r="DP740" i="12"/>
  <c r="DP742" i="12" s="1"/>
  <c r="DP743" i="12" s="1"/>
  <c r="DP728" i="12"/>
  <c r="DP747" i="12" s="1"/>
  <c r="DP749" i="12" s="1"/>
  <c r="DQ750" i="12" s="1"/>
  <c r="DQ752" i="12" s="1"/>
  <c r="DQ754" i="12" s="1"/>
  <c r="DQ757" i="12" s="1"/>
  <c r="DT22" i="14"/>
  <c r="DT115" i="17"/>
  <c r="DT109" i="17"/>
  <c r="DT76" i="13"/>
  <c r="Q28" i="37" s="1"/>
  <c r="V28" i="37"/>
  <c r="DH126" i="22"/>
  <c r="DG126" i="22"/>
  <c r="DP289" i="12"/>
  <c r="DT290" i="12" s="1"/>
  <c r="DT293" i="12"/>
  <c r="DS155" i="15"/>
  <c r="DT247" i="12"/>
  <c r="DP467" i="12"/>
  <c r="DT468" i="12" s="1"/>
  <c r="DT68" i="14"/>
  <c r="DQ47" i="14"/>
  <c r="N37" i="37" s="1"/>
  <c r="DT46" i="14"/>
  <c r="DQ159" i="15"/>
  <c r="DT167" i="15"/>
  <c r="DP38" i="14"/>
  <c r="DG125" i="22"/>
  <c r="DG123" i="22"/>
  <c r="DQ67" i="14"/>
  <c r="DQ358" i="12"/>
  <c r="DQ363" i="12" s="1"/>
  <c r="DQ467" i="12"/>
  <c r="DU468" i="12" s="1"/>
  <c r="DQ462" i="12"/>
  <c r="DQ335" i="12"/>
  <c r="DQ167" i="7"/>
  <c r="DQ172" i="7"/>
  <c r="DQ185" i="7" s="1"/>
  <c r="DQ294" i="12"/>
  <c r="DQ289" i="12"/>
  <c r="DQ344" i="12"/>
  <c r="DU345" i="12" s="1"/>
  <c r="DQ327" i="12"/>
  <c r="DQ21" i="14"/>
  <c r="DF49" i="22"/>
  <c r="DO18" i="6"/>
  <c r="DS19" i="6" s="1"/>
  <c r="DL17" i="11"/>
  <c r="DM120" i="6"/>
  <c r="DP76" i="7"/>
  <c r="DJ13" i="11"/>
  <c r="DP110" i="17"/>
  <c r="DP62" i="7"/>
  <c r="DP335" i="12"/>
  <c r="DP85" i="14"/>
  <c r="DT87" i="14" s="1"/>
  <c r="DP52" i="14"/>
  <c r="DP53" i="14"/>
  <c r="DP85" i="13"/>
  <c r="DP88" i="13"/>
  <c r="DP327" i="12"/>
  <c r="DP344" i="12"/>
  <c r="DT345" i="12" s="1"/>
  <c r="DP454" i="12"/>
  <c r="DP469" i="12"/>
  <c r="DP364" i="12"/>
  <c r="DP370" i="12" s="1"/>
  <c r="DP385" i="12" s="1"/>
  <c r="DP387" i="12" s="1"/>
  <c r="DP90" i="7"/>
  <c r="DP87" i="7"/>
  <c r="DP33" i="7"/>
  <c r="DV389" i="12" l="1"/>
  <c r="DV391" i="12" s="1"/>
  <c r="DQ137" i="12"/>
  <c r="DU138" i="12" s="1"/>
  <c r="DU290" i="12"/>
  <c r="R79" i="14"/>
  <c r="R77" i="14" s="1"/>
  <c r="R78" i="14" s="1"/>
  <c r="R144" i="14"/>
  <c r="R100" i="14"/>
  <c r="DQ39" i="14"/>
  <c r="DT40" i="14"/>
  <c r="DP137" i="12"/>
  <c r="DT138" i="12" s="1"/>
  <c r="DQ86" i="14"/>
  <c r="DQ469" i="12"/>
  <c r="DQ364" i="12"/>
  <c r="DQ370" i="12" s="1"/>
  <c r="DQ385" i="12" s="1"/>
  <c r="DQ387" i="12" s="1"/>
  <c r="DP112" i="7"/>
  <c r="DP119" i="7" s="1"/>
  <c r="DQ77" i="7"/>
  <c r="DQ188" i="7"/>
  <c r="DQ184" i="7"/>
  <c r="DM17" i="11"/>
  <c r="DG49" i="22"/>
  <c r="DJ67" i="11"/>
  <c r="DJ58" i="11"/>
  <c r="DP417" i="12"/>
  <c r="DP424" i="12"/>
  <c r="DP394" i="12"/>
  <c r="DP91" i="7"/>
  <c r="DP63" i="7"/>
  <c r="DP34" i="7"/>
  <c r="DU416" i="12" l="1"/>
  <c r="DU426" i="12" s="1"/>
  <c r="DU427" i="12" s="1"/>
  <c r="DV416" i="12"/>
  <c r="DV426" i="12" s="1"/>
  <c r="DU389" i="12"/>
  <c r="DH138" i="22"/>
  <c r="DL138" i="22"/>
  <c r="DQ394" i="12"/>
  <c r="DQ429" i="12" s="1"/>
  <c r="DQ430" i="12" s="1"/>
  <c r="DU431" i="12" s="1"/>
  <c r="DQ417" i="12"/>
  <c r="DQ424" i="12"/>
  <c r="DN17" i="11"/>
  <c r="DY21" i="16"/>
  <c r="DP429" i="12"/>
  <c r="DP430" i="12" s="1"/>
  <c r="DT431" i="12" s="1"/>
  <c r="DU391" i="12" l="1"/>
  <c r="DV396" i="12"/>
  <c r="DV419" i="12"/>
  <c r="DV421" i="12" s="1"/>
  <c r="Y11" i="16"/>
  <c r="Z12" i="16" s="1"/>
  <c r="DH49" i="22"/>
  <c r="DQ432" i="12"/>
  <c r="DO17" i="11"/>
  <c r="DP432" i="12"/>
  <c r="DV19" i="6" l="1"/>
  <c r="Y17" i="11"/>
  <c r="DF274" i="21"/>
  <c r="DF48" i="21"/>
  <c r="DM78" i="6" s="1"/>
  <c r="DF35" i="21"/>
  <c r="DF27" i="21" s="1"/>
  <c r="DM42" i="6" s="1"/>
  <c r="DE34" i="21"/>
  <c r="DF34" i="21"/>
  <c r="DF6" i="21"/>
  <c r="DF7" i="21"/>
  <c r="DF20" i="21"/>
  <c r="DF10" i="21" s="1"/>
  <c r="DF29" i="21"/>
  <c r="DM48" i="6" s="1"/>
  <c r="DQ49" i="6" s="1"/>
  <c r="DF70" i="21"/>
  <c r="DF74" i="21"/>
  <c r="DF89" i="21"/>
  <c r="DF95" i="21" s="1"/>
  <c r="DF104" i="21"/>
  <c r="DF107" i="21" s="1"/>
  <c r="DF130" i="21"/>
  <c r="DP141" i="17" s="1"/>
  <c r="DF137" i="21"/>
  <c r="DF179" i="21"/>
  <c r="DF169" i="21"/>
  <c r="DF199" i="21"/>
  <c r="DF201" i="21" s="1"/>
  <c r="DP81" i="13" s="1"/>
  <c r="DF215" i="21"/>
  <c r="DF220" i="21"/>
  <c r="DP25" i="15" s="1"/>
  <c r="DT26" i="15" s="1"/>
  <c r="DF238" i="21"/>
  <c r="DF248" i="21"/>
  <c r="DF250" i="21"/>
  <c r="DF261" i="21"/>
  <c r="DF282" i="21" s="1"/>
  <c r="DF266" i="21"/>
  <c r="DF268" i="21"/>
  <c r="DP52" i="12" s="1"/>
  <c r="DT53" i="12" s="1"/>
  <c r="DF265" i="21"/>
  <c r="DF285" i="21"/>
  <c r="DF287" i="21" s="1"/>
  <c r="DF303" i="21"/>
  <c r="DP112" i="12" s="1"/>
  <c r="DF309" i="21"/>
  <c r="AA11" i="16" l="1"/>
  <c r="DT113" i="12"/>
  <c r="DT186" i="12"/>
  <c r="DP20" i="16"/>
  <c r="DJ35" i="11" s="1"/>
  <c r="DJ36" i="11" s="1"/>
  <c r="DJ37" i="11" s="1"/>
  <c r="DQ43" i="6"/>
  <c r="DF251" i="21"/>
  <c r="DQ114" i="12"/>
  <c r="DP122" i="12"/>
  <c r="DP125" i="12"/>
  <c r="DP126" i="12"/>
  <c r="DP55" i="12"/>
  <c r="DJ50" i="11"/>
  <c r="DJ53" i="11" s="1"/>
  <c r="DJ54" i="11" s="1"/>
  <c r="DJ55" i="11" s="1"/>
  <c r="DF216" i="21"/>
  <c r="DP11" i="15"/>
  <c r="DT12" i="15" s="1"/>
  <c r="DP142" i="17"/>
  <c r="DP126" i="17"/>
  <c r="DP145" i="17"/>
  <c r="DT147" i="17" s="1"/>
  <c r="DP192" i="7"/>
  <c r="DP91" i="13"/>
  <c r="DP27" i="16"/>
  <c r="DP56" i="17" s="1"/>
  <c r="DQ57" i="17" s="1"/>
  <c r="DP178" i="7"/>
  <c r="DT190" i="7" s="1"/>
  <c r="DP82" i="13"/>
  <c r="DP133" i="13"/>
  <c r="M31" i="37" s="1"/>
  <c r="M32" i="37" s="1"/>
  <c r="DF267" i="21"/>
  <c r="DF269" i="21" s="1"/>
  <c r="DQ27" i="15"/>
  <c r="DU28" i="15" s="1"/>
  <c r="DP64" i="15"/>
  <c r="DT65" i="15" s="1"/>
  <c r="DP68" i="15"/>
  <c r="M34" i="37" s="1"/>
  <c r="DF12" i="21"/>
  <c r="DP11" i="16"/>
  <c r="DT12" i="16" s="1"/>
  <c r="DF276" i="21"/>
  <c r="DP38" i="12"/>
  <c r="DT39" i="12" s="1"/>
  <c r="DF202" i="21"/>
  <c r="DF109" i="21"/>
  <c r="DF80" i="21"/>
  <c r="DF36" i="21"/>
  <c r="DF38" i="21" s="1"/>
  <c r="DF41" i="21" s="1"/>
  <c r="DF47" i="21" s="1"/>
  <c r="DF52" i="21" s="1"/>
  <c r="DF54" i="21" s="1"/>
  <c r="DF56" i="21" s="1"/>
  <c r="DF286" i="21"/>
  <c r="DF205" i="21"/>
  <c r="DF26" i="21"/>
  <c r="AB11" i="16" l="1"/>
  <c r="AA20" i="16"/>
  <c r="DP128" i="17"/>
  <c r="M10" i="37" s="1"/>
  <c r="DT127" i="17"/>
  <c r="DT69" i="15"/>
  <c r="Q35" i="37" s="1"/>
  <c r="DP22" i="16"/>
  <c r="DT135" i="13"/>
  <c r="DP46" i="17"/>
  <c r="DQ47" i="17" s="1"/>
  <c r="DQ48" i="17" s="1"/>
  <c r="DT56" i="12"/>
  <c r="DG7" i="22"/>
  <c r="DQ13" i="15"/>
  <c r="DP18" i="15"/>
  <c r="DP113" i="15"/>
  <c r="DF28" i="21"/>
  <c r="DM39" i="6"/>
  <c r="DQ40" i="6" s="1"/>
  <c r="DJ23" i="11"/>
  <c r="DP471" i="12"/>
  <c r="DT472" i="12" s="1"/>
  <c r="DF278" i="21"/>
  <c r="DP47" i="12"/>
  <c r="DT48" i="12" s="1"/>
  <c r="DJ109" i="11"/>
  <c r="DQ66" i="15"/>
  <c r="DU67" i="15" s="1"/>
  <c r="DP112" i="15"/>
  <c r="DP177" i="12"/>
  <c r="DP127" i="12"/>
  <c r="DP128" i="12" s="1"/>
  <c r="DQ70" i="15"/>
  <c r="DP150" i="15"/>
  <c r="DT166" i="15" s="1"/>
  <c r="DP23" i="15"/>
  <c r="DJ17" i="11"/>
  <c r="DP136" i="13"/>
  <c r="DP134" i="13"/>
  <c r="DP131" i="13" s="1"/>
  <c r="DF110" i="21"/>
  <c r="N36" i="37" l="1"/>
  <c r="DU71" i="15"/>
  <c r="AC11" i="16"/>
  <c r="W49" i="22"/>
  <c r="AB20" i="16"/>
  <c r="DT129" i="17"/>
  <c r="DG8" i="22"/>
  <c r="DG9" i="22" s="1"/>
  <c r="DG13" i="22" s="1"/>
  <c r="DG22" i="22" s="1"/>
  <c r="DT19" i="15"/>
  <c r="DQ158" i="15"/>
  <c r="DP156" i="15"/>
  <c r="DT171" i="15" s="1"/>
  <c r="DJ41" i="11"/>
  <c r="DP60" i="12"/>
  <c r="DT61" i="12" s="1"/>
  <c r="DF30" i="21"/>
  <c r="DM45" i="6"/>
  <c r="DQ46" i="6" s="1"/>
  <c r="DP16" i="16"/>
  <c r="DP18" i="16" s="1"/>
  <c r="DM53" i="6"/>
  <c r="DQ54" i="6" s="1"/>
  <c r="DJ107" i="11"/>
  <c r="G20" i="37"/>
  <c r="G23" i="37"/>
  <c r="AD11" i="16" l="1"/>
  <c r="X49" i="22"/>
  <c r="AC20" i="16"/>
  <c r="DT175" i="15"/>
  <c r="DT176" i="15"/>
  <c r="DT178" i="15"/>
  <c r="DT174" i="15"/>
  <c r="DT177" i="15"/>
  <c r="DP24" i="16"/>
  <c r="DJ26" i="11"/>
  <c r="DJ27" i="11" s="1"/>
  <c r="DJ28" i="11" s="1"/>
  <c r="AE11" i="16" l="1"/>
  <c r="Y49" i="22"/>
  <c r="AD20" i="16"/>
  <c r="DT179" i="15"/>
  <c r="DG24" i="22"/>
  <c r="DJ44" i="11"/>
  <c r="DP30" i="16"/>
  <c r="DP33" i="16" s="1"/>
  <c r="DP41" i="16"/>
  <c r="DP37" i="16"/>
  <c r="O27" i="20"/>
  <c r="O46" i="20"/>
  <c r="O43" i="20"/>
  <c r="O33" i="20"/>
  <c r="O44" i="20" s="1"/>
  <c r="O24" i="20"/>
  <c r="O23" i="20"/>
  <c r="O19" i="20"/>
  <c r="O18" i="20"/>
  <c r="O11" i="20"/>
  <c r="O62" i="19"/>
  <c r="O61" i="19"/>
  <c r="O60" i="19"/>
  <c r="O59" i="19"/>
  <c r="O43" i="19"/>
  <c r="O33" i="19"/>
  <c r="O24" i="19"/>
  <c r="O23" i="19"/>
  <c r="O19" i="19"/>
  <c r="O18" i="19"/>
  <c r="O11" i="19"/>
  <c r="O46" i="19" s="1"/>
  <c r="DE35" i="21"/>
  <c r="DE44" i="21"/>
  <c r="DE48" i="21"/>
  <c r="DD48" i="21"/>
  <c r="DD35" i="21"/>
  <c r="DL84" i="13"/>
  <c r="DM84" i="13"/>
  <c r="AF11" i="16" l="1"/>
  <c r="Z49" i="22"/>
  <c r="AE20" i="16"/>
  <c r="O63" i="19"/>
  <c r="O64" i="19" s="1"/>
  <c r="DJ62" i="11"/>
  <c r="DJ71" i="11" s="1"/>
  <c r="DJ108" i="11" s="1"/>
  <c r="DJ45" i="11"/>
  <c r="DJ46" i="11" s="1"/>
  <c r="DR35" i="13"/>
  <c r="DR50" i="13" s="1"/>
  <c r="DP34" i="13"/>
  <c r="DQ35" i="13" s="1"/>
  <c r="DQ50" i="13" s="1"/>
  <c r="DO60" i="7"/>
  <c r="DO59" i="7"/>
  <c r="DO58" i="7"/>
  <c r="DO57" i="7"/>
  <c r="DO56" i="7"/>
  <c r="DO55" i="7"/>
  <c r="DO54" i="7"/>
  <c r="DO49" i="7"/>
  <c r="DO48" i="7"/>
  <c r="DO44" i="7"/>
  <c r="DO43" i="7"/>
  <c r="DO41" i="7"/>
  <c r="DO40" i="7"/>
  <c r="DO39" i="7"/>
  <c r="DO38" i="7"/>
  <c r="DO31" i="7"/>
  <c r="DO30" i="7"/>
  <c r="DO29" i="7"/>
  <c r="Y29" i="7" s="1"/>
  <c r="DO28" i="7"/>
  <c r="Y28" i="7" s="1"/>
  <c r="DO26" i="7"/>
  <c r="DO22" i="7"/>
  <c r="DO21" i="7"/>
  <c r="DO163" i="7" s="1"/>
  <c r="DO19" i="7"/>
  <c r="DO18" i="7"/>
  <c r="DO17" i="7"/>
  <c r="DO16" i="7"/>
  <c r="DO15" i="7"/>
  <c r="DO13" i="7"/>
  <c r="DP97" i="7" s="1"/>
  <c r="DM72" i="6" s="1"/>
  <c r="DM73" i="6" s="1"/>
  <c r="DO55" i="8"/>
  <c r="DO54" i="8"/>
  <c r="DO48" i="8"/>
  <c r="DO42" i="8"/>
  <c r="DO41" i="8"/>
  <c r="DO40" i="8"/>
  <c r="DO26" i="8"/>
  <c r="DO20" i="8"/>
  <c r="DO19" i="8"/>
  <c r="DO72" i="13"/>
  <c r="DS73" i="13" s="1"/>
  <c r="DO53" i="13"/>
  <c r="DL146" i="6"/>
  <c r="DL115" i="6"/>
  <c r="DP116" i="6" s="1"/>
  <c r="DL109" i="6"/>
  <c r="DM107" i="6" s="1"/>
  <c r="DL103" i="6"/>
  <c r="DP104" i="6" s="1"/>
  <c r="DP110" i="6" s="1"/>
  <c r="DL84" i="6"/>
  <c r="DP85" i="6" s="1"/>
  <c r="DL78" i="6"/>
  <c r="DL74" i="6"/>
  <c r="DO84" i="7" s="1"/>
  <c r="DL70" i="6"/>
  <c r="DL67" i="6"/>
  <c r="DP68" i="6" s="1"/>
  <c r="DO137" i="17"/>
  <c r="DO134" i="17"/>
  <c r="DO131" i="17"/>
  <c r="DS132" i="17" s="1"/>
  <c r="DO52" i="17"/>
  <c r="DO153" i="15"/>
  <c r="DS169" i="15" s="1"/>
  <c r="DO147" i="15"/>
  <c r="DO115" i="15"/>
  <c r="DP116" i="15" s="1"/>
  <c r="DT117" i="15" s="1"/>
  <c r="DO98" i="15"/>
  <c r="DO92" i="15"/>
  <c r="L38" i="37" s="1"/>
  <c r="DO91" i="15"/>
  <c r="DO21" i="15"/>
  <c r="DO14" i="15"/>
  <c r="DS15" i="15" s="1"/>
  <c r="DO95" i="14"/>
  <c r="DO94" i="14"/>
  <c r="DO83" i="14"/>
  <c r="DO80" i="14"/>
  <c r="DO76" i="14"/>
  <c r="DO74" i="14"/>
  <c r="DO69" i="14"/>
  <c r="DO65" i="14"/>
  <c r="DO64" i="14"/>
  <c r="DO50" i="14"/>
  <c r="DO152" i="15" s="1"/>
  <c r="DO48" i="14"/>
  <c r="DS49" i="14" s="1"/>
  <c r="DO36" i="14"/>
  <c r="DO37" i="14" s="1"/>
  <c r="DO33" i="14"/>
  <c r="DO29" i="14"/>
  <c r="DO28" i="14"/>
  <c r="DO23" i="14"/>
  <c r="DO17" i="14"/>
  <c r="L39" i="37" s="1"/>
  <c r="DO16" i="14"/>
  <c r="DO15" i="14"/>
  <c r="DO109" i="13"/>
  <c r="DP110" i="13" s="1"/>
  <c r="DO101" i="13"/>
  <c r="DO93" i="13"/>
  <c r="DO87" i="13"/>
  <c r="DO84" i="13"/>
  <c r="DO69" i="13"/>
  <c r="L48" i="37" s="1"/>
  <c r="DO249" i="12"/>
  <c r="DE401" i="21"/>
  <c r="DE398" i="21"/>
  <c r="DF398" i="21" s="1"/>
  <c r="DE397" i="21"/>
  <c r="DO52" i="8" s="1"/>
  <c r="DE396" i="21"/>
  <c r="DO51" i="8" s="1"/>
  <c r="DE395" i="21"/>
  <c r="DE389" i="21"/>
  <c r="DO43" i="8" s="1"/>
  <c r="DE384" i="21"/>
  <c r="DO38" i="8" s="1"/>
  <c r="DO168" i="7" s="1"/>
  <c r="DE377" i="21"/>
  <c r="DE380" i="21"/>
  <c r="DE379" i="21"/>
  <c r="DO32" i="8" s="1"/>
  <c r="DE376" i="21"/>
  <c r="DE375" i="21"/>
  <c r="DE374" i="21"/>
  <c r="DO21" i="8" s="1"/>
  <c r="DE371" i="21"/>
  <c r="DE369" i="21"/>
  <c r="DE274" i="21"/>
  <c r="DE276" i="21" s="1"/>
  <c r="DE131" i="21"/>
  <c r="DE130" i="21" s="1"/>
  <c r="DO141" i="17" s="1"/>
  <c r="DE6" i="21"/>
  <c r="DE7" i="21"/>
  <c r="DE20" i="21"/>
  <c r="DE10" i="21" s="1"/>
  <c r="DO11" i="16" s="1"/>
  <c r="DS12" i="16" s="1"/>
  <c r="DE27" i="21"/>
  <c r="DL42" i="6" s="1"/>
  <c r="DP43" i="6" s="1"/>
  <c r="DE29" i="21"/>
  <c r="DL48" i="6" s="1"/>
  <c r="DE26" i="21"/>
  <c r="DL39" i="6" s="1"/>
  <c r="DP40" i="6" s="1"/>
  <c r="DE70" i="21"/>
  <c r="DE74" i="21"/>
  <c r="DE89" i="21"/>
  <c r="DE95" i="21" s="1"/>
  <c r="DE104" i="21"/>
  <c r="DE107" i="21" s="1"/>
  <c r="DE137" i="21"/>
  <c r="DE179" i="21"/>
  <c r="DE169" i="21"/>
  <c r="DE199" i="21"/>
  <c r="DE201" i="21" s="1"/>
  <c r="DO81" i="13" s="1"/>
  <c r="DE215" i="21"/>
  <c r="DE216" i="21" s="1"/>
  <c r="DE220" i="21"/>
  <c r="DO25" i="15" s="1"/>
  <c r="DS26" i="15" s="1"/>
  <c r="DE238" i="21"/>
  <c r="DE248" i="21"/>
  <c r="DE250" i="21"/>
  <c r="DE261" i="21"/>
  <c r="DE282" i="21" s="1"/>
  <c r="DE266" i="21"/>
  <c r="DE268" i="21"/>
  <c r="DO52" i="12" s="1"/>
  <c r="DE285" i="21"/>
  <c r="DE287" i="21" s="1"/>
  <c r="DE303" i="21"/>
  <c r="DO112" i="12" s="1"/>
  <c r="DE309" i="21"/>
  <c r="DO738" i="12"/>
  <c r="DO729" i="12"/>
  <c r="DO720" i="12"/>
  <c r="DP721" i="12" s="1"/>
  <c r="DP762" i="12" s="1"/>
  <c r="DP764" i="12" s="1"/>
  <c r="DP767" i="12" s="1"/>
  <c r="DO715" i="12"/>
  <c r="DO713" i="12"/>
  <c r="DO657" i="12"/>
  <c r="DO464" i="12"/>
  <c r="DO466" i="12" s="1"/>
  <c r="DO461" i="12"/>
  <c r="DS463" i="12" s="1"/>
  <c r="DO452" i="12"/>
  <c r="DO395" i="12"/>
  <c r="DO425" i="12" s="1"/>
  <c r="DO381" i="12"/>
  <c r="DO390" i="12" s="1"/>
  <c r="DO380" i="12"/>
  <c r="DO361" i="12"/>
  <c r="DO359" i="12" s="1"/>
  <c r="DO331" i="12"/>
  <c r="DO325" i="12"/>
  <c r="DO320" i="12"/>
  <c r="DO286" i="12"/>
  <c r="DO277" i="12"/>
  <c r="DO276" i="12"/>
  <c r="DO271" i="12"/>
  <c r="DO270" i="12"/>
  <c r="DO263" i="12"/>
  <c r="DS264" i="12" s="1"/>
  <c r="DO255" i="12"/>
  <c r="DO256" i="12" s="1"/>
  <c r="DR154" i="15" s="1"/>
  <c r="DV170" i="15" s="1"/>
  <c r="DO181" i="12"/>
  <c r="DO180" i="12"/>
  <c r="DO156" i="12"/>
  <c r="DO120" i="12"/>
  <c r="DO41" i="12"/>
  <c r="DS42" i="12" s="1"/>
  <c r="DO38" i="12"/>
  <c r="DS39" i="12" s="1"/>
  <c r="DO29" i="12"/>
  <c r="DS30" i="12" s="1"/>
  <c r="DO27" i="12"/>
  <c r="L15" i="37" s="1"/>
  <c r="DU51" i="13" l="1"/>
  <c r="L29" i="37"/>
  <c r="L42" i="37"/>
  <c r="DR155" i="15"/>
  <c r="DS162" i="15"/>
  <c r="DS163" i="15" s="1"/>
  <c r="DT164" i="15" s="1"/>
  <c r="DS250" i="12"/>
  <c r="P25" i="37" s="1"/>
  <c r="AG11" i="16"/>
  <c r="AA49" i="22"/>
  <c r="AF20" i="16"/>
  <c r="DO114" i="17"/>
  <c r="DS135" i="17"/>
  <c r="DP24" i="15"/>
  <c r="DS22" i="15"/>
  <c r="DS54" i="13"/>
  <c r="DS70" i="13"/>
  <c r="P49" i="37" s="1"/>
  <c r="DS28" i="12"/>
  <c r="P16" i="37" s="1"/>
  <c r="DO55" i="12"/>
  <c r="DO46" i="17" s="1"/>
  <c r="DP47" i="17" s="1"/>
  <c r="DP48" i="17" s="1"/>
  <c r="DS53" i="12"/>
  <c r="DO178" i="7"/>
  <c r="DS190" i="7" s="1"/>
  <c r="DP49" i="6"/>
  <c r="DS22" i="14"/>
  <c r="DP160" i="15"/>
  <c r="DS168" i="15"/>
  <c r="DO332" i="12"/>
  <c r="DS333" i="12" s="1"/>
  <c r="DS326" i="12"/>
  <c r="DS186" i="12"/>
  <c r="DS113" i="12"/>
  <c r="DO292" i="12"/>
  <c r="DS293" i="12" s="1"/>
  <c r="DS157" i="12"/>
  <c r="DO84" i="14"/>
  <c r="DO79" i="14" s="1"/>
  <c r="DO77" i="14" s="1"/>
  <c r="DO78" i="14" s="1"/>
  <c r="DO75" i="13"/>
  <c r="L27" i="37" s="1"/>
  <c r="DR60" i="13"/>
  <c r="O47" i="37" s="1"/>
  <c r="DP294" i="12"/>
  <c r="DG138" i="22" s="1"/>
  <c r="DP288" i="12"/>
  <c r="DF395" i="21"/>
  <c r="DP70" i="14"/>
  <c r="DP72" i="14"/>
  <c r="DE265" i="21"/>
  <c r="DF374" i="21"/>
  <c r="DP21" i="8" s="1"/>
  <c r="DF380" i="21"/>
  <c r="DP33" i="8" s="1"/>
  <c r="DF389" i="21"/>
  <c r="DP43" i="8" s="1"/>
  <c r="DG398" i="21"/>
  <c r="DQ53" i="8" s="1"/>
  <c r="DP53" i="8"/>
  <c r="DO66" i="14"/>
  <c r="L40" i="37" s="1"/>
  <c r="DF375" i="21"/>
  <c r="DP22" i="8" s="1"/>
  <c r="DO22" i="8"/>
  <c r="DF401" i="21"/>
  <c r="DP56" i="8" s="1"/>
  <c r="DP55" i="14"/>
  <c r="DO56" i="8"/>
  <c r="DO287" i="12"/>
  <c r="DF369" i="21"/>
  <c r="DG369" i="21" s="1"/>
  <c r="DF376" i="21"/>
  <c r="DP23" i="8" s="1"/>
  <c r="DF384" i="21"/>
  <c r="DG384" i="21" s="1"/>
  <c r="DF396" i="21"/>
  <c r="DP51" i="8" s="1"/>
  <c r="DP26" i="14"/>
  <c r="DP24" i="14"/>
  <c r="DO11" i="15"/>
  <c r="DO12" i="8"/>
  <c r="DO23" i="8"/>
  <c r="DO33" i="8"/>
  <c r="DO53" i="8"/>
  <c r="DF377" i="21"/>
  <c r="DP24" i="8" s="1"/>
  <c r="DF371" i="21"/>
  <c r="DG371" i="21" s="1"/>
  <c r="DF379" i="21"/>
  <c r="DP32" i="8" s="1"/>
  <c r="DE402" i="21"/>
  <c r="DF397" i="21"/>
  <c r="DP52" i="8" s="1"/>
  <c r="DO97" i="15"/>
  <c r="DO17" i="17"/>
  <c r="DS18" i="17" s="1"/>
  <c r="DO24" i="8"/>
  <c r="DO50" i="8"/>
  <c r="DL18" i="6"/>
  <c r="DP19" i="6" s="1"/>
  <c r="DO726" i="12"/>
  <c r="DO36" i="13"/>
  <c r="DO27" i="7"/>
  <c r="DO113" i="7" s="1"/>
  <c r="DO27" i="16"/>
  <c r="DO56" i="17" s="1"/>
  <c r="DP57" i="17" s="1"/>
  <c r="DP21" i="14"/>
  <c r="DO142" i="17"/>
  <c r="DO118" i="15"/>
  <c r="DP27" i="15"/>
  <c r="DT28" i="15" s="1"/>
  <c r="DO20" i="7"/>
  <c r="DO42" i="7"/>
  <c r="DO50" i="7" s="1"/>
  <c r="DP80" i="7"/>
  <c r="DP65" i="7"/>
  <c r="DP104" i="13"/>
  <c r="DP102" i="13"/>
  <c r="DP103" i="13"/>
  <c r="DP16" i="15"/>
  <c r="DP55" i="17"/>
  <c r="DO122" i="12"/>
  <c r="DO177" i="12" s="1"/>
  <c r="DP114" i="12"/>
  <c r="DO151" i="15"/>
  <c r="DS167" i="15" s="1"/>
  <c r="DP54" i="14"/>
  <c r="DP161" i="15"/>
  <c r="DO108" i="17"/>
  <c r="L33" i="37" s="1"/>
  <c r="DO145" i="17"/>
  <c r="DS147" i="17" s="1"/>
  <c r="DL112" i="6"/>
  <c r="DL117" i="6"/>
  <c r="DP118" i="6" s="1"/>
  <c r="DO23" i="7"/>
  <c r="DO111" i="7" s="1"/>
  <c r="DO118" i="7" s="1"/>
  <c r="DO192" i="7"/>
  <c r="DO32" i="14"/>
  <c r="DO30" i="14" s="1"/>
  <c r="DO31" i="14" s="1"/>
  <c r="DL53" i="6"/>
  <c r="DP54" i="6" s="1"/>
  <c r="DO171" i="7"/>
  <c r="DO61" i="7"/>
  <c r="DO82" i="7"/>
  <c r="DO164" i="7"/>
  <c r="DO181" i="7" s="1"/>
  <c r="DO186" i="7"/>
  <c r="DO126" i="17"/>
  <c r="DS127" i="17" s="1"/>
  <c r="DO64" i="15"/>
  <c r="DO68" i="15"/>
  <c r="L34" i="37" s="1"/>
  <c r="DO75" i="14"/>
  <c r="DO45" i="14"/>
  <c r="DS46" i="14" s="1"/>
  <c r="DO38" i="14"/>
  <c r="DS40" i="14" s="1"/>
  <c r="DE381" i="21"/>
  <c r="DE267" i="21"/>
  <c r="DE269" i="21" s="1"/>
  <c r="DE278" i="21"/>
  <c r="DO47" i="12"/>
  <c r="DS48" i="12" s="1"/>
  <c r="DE251" i="21"/>
  <c r="DE286" i="21"/>
  <c r="DE80" i="21"/>
  <c r="DE28" i="21"/>
  <c r="DE12" i="21"/>
  <c r="DE202" i="21"/>
  <c r="DE109" i="21"/>
  <c r="DE36" i="21"/>
  <c r="DE38" i="21" s="1"/>
  <c r="DE41" i="21" s="1"/>
  <c r="DE47" i="21" s="1"/>
  <c r="DE52" i="21" s="1"/>
  <c r="DE54" i="21" s="1"/>
  <c r="DE56" i="21" s="1"/>
  <c r="DO126" i="12"/>
  <c r="DE205" i="21"/>
  <c r="DO125" i="12"/>
  <c r="DO219" i="12"/>
  <c r="DO444" i="12"/>
  <c r="DS445" i="12" s="1"/>
  <c r="DO471" i="12"/>
  <c r="DS472" i="12" s="1"/>
  <c r="DO329" i="12"/>
  <c r="DO740" i="12"/>
  <c r="DO742" i="12" s="1"/>
  <c r="DO743" i="12" s="1"/>
  <c r="DO433" i="12"/>
  <c r="DS434" i="12" s="1"/>
  <c r="DO257" i="12"/>
  <c r="DS258" i="12" s="1"/>
  <c r="P30" i="37" l="1"/>
  <c r="P43" i="37"/>
  <c r="DO118" i="17"/>
  <c r="DS119" i="17" s="1"/>
  <c r="L19" i="37"/>
  <c r="DO85" i="14"/>
  <c r="DS87" i="14" s="1"/>
  <c r="AB49" i="22"/>
  <c r="AG20" i="16"/>
  <c r="DO49" i="17"/>
  <c r="DS109" i="17"/>
  <c r="DS115" i="17"/>
  <c r="DF7" i="22"/>
  <c r="DS12" i="15"/>
  <c r="DS69" i="15"/>
  <c r="P35" i="37" s="1"/>
  <c r="DP66" i="15"/>
  <c r="DT67" i="15" s="1"/>
  <c r="DS65" i="15"/>
  <c r="DS76" i="13"/>
  <c r="P28" i="37" s="1"/>
  <c r="DE124" i="22"/>
  <c r="DF126" i="22"/>
  <c r="DS56" i="12"/>
  <c r="DS68" i="14"/>
  <c r="DO335" i="12"/>
  <c r="DO289" i="12"/>
  <c r="DS290" i="12" s="1"/>
  <c r="DO18" i="15"/>
  <c r="DS19" i="15" s="1"/>
  <c r="DO34" i="13"/>
  <c r="DO35" i="13" s="1"/>
  <c r="DO50" i="13" s="1"/>
  <c r="DS51" i="13" s="1"/>
  <c r="DO113" i="15"/>
  <c r="DP13" i="15"/>
  <c r="DO57" i="8"/>
  <c r="DO58" i="8" s="1"/>
  <c r="Q84" i="14"/>
  <c r="Q100" i="14" s="1"/>
  <c r="DG397" i="21"/>
  <c r="DQ52" i="8" s="1"/>
  <c r="DG380" i="21"/>
  <c r="DQ33" i="8" s="1"/>
  <c r="DG375" i="21"/>
  <c r="DQ22" i="8" s="1"/>
  <c r="DF125" i="22"/>
  <c r="DF123" i="22"/>
  <c r="DG377" i="21"/>
  <c r="DQ24" i="8" s="1"/>
  <c r="DG401" i="21"/>
  <c r="DQ56" i="8" s="1"/>
  <c r="DP67" i="14"/>
  <c r="DG389" i="21"/>
  <c r="DQ43" i="8" s="1"/>
  <c r="DP50" i="8"/>
  <c r="DP57" i="8" s="1"/>
  <c r="DP58" i="8" s="1"/>
  <c r="DF402" i="21"/>
  <c r="DG379" i="21"/>
  <c r="DQ32" i="8" s="1"/>
  <c r="DG396" i="21"/>
  <c r="DQ51" i="8" s="1"/>
  <c r="DG376" i="21"/>
  <c r="DQ23" i="8" s="1"/>
  <c r="DG374" i="21"/>
  <c r="DQ21" i="8" s="1"/>
  <c r="DG395" i="21"/>
  <c r="DO34" i="8"/>
  <c r="DP38" i="8"/>
  <c r="DP12" i="8"/>
  <c r="DF381" i="21"/>
  <c r="DQ38" i="8"/>
  <c r="DQ168" i="7" s="1"/>
  <c r="DQ12" i="8"/>
  <c r="DG381" i="21"/>
  <c r="Y27" i="7"/>
  <c r="DL120" i="6"/>
  <c r="DO728" i="12"/>
  <c r="DO747" i="12" s="1"/>
  <c r="DO749" i="12" s="1"/>
  <c r="DP727" i="12"/>
  <c r="DP159" i="15"/>
  <c r="DP39" i="14"/>
  <c r="DO127" i="12"/>
  <c r="DO128" i="12" s="1"/>
  <c r="DO76" i="7"/>
  <c r="DP77" i="7" s="1"/>
  <c r="DO33" i="7"/>
  <c r="DO62" i="7"/>
  <c r="DO44" i="17"/>
  <c r="DP119" i="15"/>
  <c r="DT120" i="15" s="1"/>
  <c r="DP167" i="7"/>
  <c r="DP172" i="7"/>
  <c r="DP177" i="7"/>
  <c r="DP179" i="7" s="1"/>
  <c r="DP182" i="7"/>
  <c r="DO53" i="14"/>
  <c r="DP47" i="14"/>
  <c r="M37" i="37" s="1"/>
  <c r="DP70" i="15"/>
  <c r="M36" i="37" s="1"/>
  <c r="DP83" i="7"/>
  <c r="DP85" i="7" s="1"/>
  <c r="DO165" i="7"/>
  <c r="DE30" i="21"/>
  <c r="DL45" i="6"/>
  <c r="DP46" i="6" s="1"/>
  <c r="DO34" i="7"/>
  <c r="DO90" i="7"/>
  <c r="DO87" i="7"/>
  <c r="DO112" i="7"/>
  <c r="DO128" i="17"/>
  <c r="L10" i="37" s="1"/>
  <c r="DO150" i="15"/>
  <c r="DO52" i="14"/>
  <c r="DO112" i="15"/>
  <c r="DO23" i="15"/>
  <c r="DO60" i="12"/>
  <c r="DS61" i="12" s="1"/>
  <c r="DE110" i="21"/>
  <c r="DO467" i="12"/>
  <c r="DS468" i="12" s="1"/>
  <c r="DO462" i="12"/>
  <c r="DO358" i="12"/>
  <c r="DO363" i="12" s="1"/>
  <c r="DO273" i="12"/>
  <c r="DO274" i="12"/>
  <c r="DO454" i="12"/>
  <c r="DP86" i="14" l="1"/>
  <c r="DS129" i="17"/>
  <c r="DT71" i="15"/>
  <c r="DP158" i="15"/>
  <c r="DS166" i="15"/>
  <c r="DO137" i="12"/>
  <c r="DS138" i="12" s="1"/>
  <c r="DF8" i="22"/>
  <c r="DF9" i="22" s="1"/>
  <c r="DF13" i="22" s="1"/>
  <c r="DF22" i="22" s="1"/>
  <c r="Q79" i="14"/>
  <c r="DF24" i="22"/>
  <c r="DQ50" i="8"/>
  <c r="DQ57" i="8" s="1"/>
  <c r="DQ58" i="8" s="1"/>
  <c r="DG402" i="21"/>
  <c r="DP56" i="14"/>
  <c r="DP34" i="8"/>
  <c r="DQ186" i="7"/>
  <c r="DQ174" i="7"/>
  <c r="DQ169" i="7"/>
  <c r="DQ175" i="7" s="1"/>
  <c r="DO65" i="8"/>
  <c r="DQ34" i="8"/>
  <c r="Y30" i="7"/>
  <c r="Y113" i="7"/>
  <c r="DP750" i="12"/>
  <c r="DP752" i="12" s="1"/>
  <c r="DP754" i="12" s="1"/>
  <c r="DP757" i="12" s="1"/>
  <c r="DO63" i="7"/>
  <c r="DP57" i="14"/>
  <c r="DP185" i="7"/>
  <c r="DP188" i="7"/>
  <c r="DP184" i="7"/>
  <c r="DO119" i="7"/>
  <c r="DO91" i="7"/>
  <c r="DL10" i="6"/>
  <c r="DP11" i="6" s="1"/>
  <c r="DO110" i="17"/>
  <c r="DO156" i="15"/>
  <c r="DS171" i="15" s="1"/>
  <c r="DO82" i="13"/>
  <c r="DO133" i="13"/>
  <c r="DO88" i="13"/>
  <c r="DO85" i="13"/>
  <c r="DO346" i="12"/>
  <c r="DS347" i="12" s="1"/>
  <c r="DO246" i="12"/>
  <c r="DS247" i="12" s="1"/>
  <c r="DO469" i="12"/>
  <c r="DO364" i="12"/>
  <c r="DO370" i="12" s="1"/>
  <c r="DO385" i="12" s="1"/>
  <c r="DO387" i="12" s="1"/>
  <c r="L31" i="37" l="1"/>
  <c r="L32" i="37" s="1"/>
  <c r="DS135" i="13"/>
  <c r="DS175" i="15"/>
  <c r="DS177" i="15"/>
  <c r="DS176" i="15"/>
  <c r="DS178" i="15"/>
  <c r="DS174" i="15"/>
  <c r="DO66" i="8"/>
  <c r="DP65" i="8"/>
  <c r="DQ65" i="8"/>
  <c r="Y23" i="8"/>
  <c r="DO136" i="13"/>
  <c r="DO134" i="13"/>
  <c r="DO131" i="13" s="1"/>
  <c r="DO417" i="12"/>
  <c r="DO424" i="12"/>
  <c r="DO394" i="12"/>
  <c r="DO344" i="12"/>
  <c r="DS345" i="12" s="1"/>
  <c r="DO327" i="12"/>
  <c r="DS179" i="15" l="1"/>
  <c r="DP66" i="8"/>
  <c r="DQ66" i="8"/>
  <c r="DO429" i="12"/>
  <c r="DO430" i="12" s="1"/>
  <c r="DS431" i="12" s="1"/>
  <c r="DO432" i="12" l="1"/>
  <c r="DK109" i="6" l="1"/>
  <c r="DL107" i="6" s="1"/>
  <c r="CJ35" i="12"/>
  <c r="CI35" i="12"/>
  <c r="CH35" i="12"/>
  <c r="CG35" i="12"/>
  <c r="CF35" i="12"/>
  <c r="CE35" i="12"/>
  <c r="CD35" i="12"/>
  <c r="O34" i="12"/>
  <c r="N34" i="12"/>
  <c r="DR74" i="8" l="1"/>
  <c r="DR89" i="8"/>
  <c r="DR75" i="8"/>
  <c r="P34" i="12"/>
  <c r="P35" i="12" s="1"/>
  <c r="O35" i="12"/>
  <c r="DN69" i="14"/>
  <c r="DN23" i="14"/>
  <c r="DM11" i="14"/>
  <c r="DI11" i="14"/>
  <c r="DH11" i="14"/>
  <c r="DG11" i="14"/>
  <c r="DF11" i="14"/>
  <c r="DE11" i="14"/>
  <c r="DD11" i="14"/>
  <c r="DC11" i="14"/>
  <c r="DB11" i="14"/>
  <c r="DA11" i="14"/>
  <c r="CY11" i="14"/>
  <c r="CX11" i="14"/>
  <c r="CW11" i="14"/>
  <c r="DD385" i="21"/>
  <c r="DN39" i="8" s="1"/>
  <c r="DD274" i="21"/>
  <c r="DD265" i="21" s="1"/>
  <c r="DD94" i="21"/>
  <c r="DD88" i="21"/>
  <c r="DD89" i="21" s="1"/>
  <c r="DD79" i="21"/>
  <c r="DN31" i="7" s="1"/>
  <c r="DD34" i="21"/>
  <c r="DD36" i="21" s="1"/>
  <c r="DD38" i="21" s="1"/>
  <c r="DD41" i="21" s="1"/>
  <c r="DD47" i="21" s="1"/>
  <c r="DD52" i="21" s="1"/>
  <c r="DD54" i="21" s="1"/>
  <c r="DD56" i="21" s="1"/>
  <c r="DD6" i="21"/>
  <c r="DD7" i="21"/>
  <c r="DD20" i="21"/>
  <c r="DD10" i="21" s="1"/>
  <c r="DN11" i="16" s="1"/>
  <c r="DR12" i="16" s="1"/>
  <c r="DD27" i="21"/>
  <c r="DK42" i="6" s="1"/>
  <c r="DO43" i="6" s="1"/>
  <c r="DD29" i="21"/>
  <c r="DD70" i="21"/>
  <c r="DD74" i="21"/>
  <c r="DD104" i="21"/>
  <c r="DD107" i="21" s="1"/>
  <c r="DD130" i="21"/>
  <c r="DN141" i="17" s="1"/>
  <c r="DD137" i="21"/>
  <c r="DD169" i="21"/>
  <c r="DH170" i="21" s="1"/>
  <c r="DD199" i="21"/>
  <c r="DD201" i="21" s="1"/>
  <c r="DN81" i="13" s="1"/>
  <c r="DD215" i="21"/>
  <c r="DD216" i="21" s="1"/>
  <c r="DD220" i="21"/>
  <c r="DN25" i="15" s="1"/>
  <c r="DR26" i="15" s="1"/>
  <c r="DD238" i="21"/>
  <c r="DD248" i="21"/>
  <c r="DD250" i="21"/>
  <c r="DD261" i="21"/>
  <c r="DD282" i="21" s="1"/>
  <c r="DD266" i="21"/>
  <c r="DD268" i="21"/>
  <c r="DD276" i="21"/>
  <c r="DD285" i="21"/>
  <c r="DD287" i="21" s="1"/>
  <c r="DD303" i="21"/>
  <c r="DD309" i="21"/>
  <c r="DD381" i="21"/>
  <c r="DN32" i="8"/>
  <c r="DN52" i="8"/>
  <c r="DN56" i="8"/>
  <c r="X56" i="8" s="1"/>
  <c r="DD402" i="21"/>
  <c r="DN55" i="8"/>
  <c r="X55" i="8" s="1"/>
  <c r="AA55" i="8" s="1"/>
  <c r="AB55" i="8" s="1"/>
  <c r="AC55" i="8" s="1"/>
  <c r="AD55" i="8" s="1"/>
  <c r="AE55" i="8" s="1"/>
  <c r="AF55" i="8" s="1"/>
  <c r="AG55" i="8" s="1"/>
  <c r="DN54" i="8"/>
  <c r="DN53" i="8"/>
  <c r="DN51" i="8"/>
  <c r="DN50" i="8"/>
  <c r="X50" i="8" s="1"/>
  <c r="DN48" i="8"/>
  <c r="DN43" i="8"/>
  <c r="DN41" i="8"/>
  <c r="DN40" i="8"/>
  <c r="DN38" i="8"/>
  <c r="DN168" i="7" s="1"/>
  <c r="DN33" i="8"/>
  <c r="DN26" i="8"/>
  <c r="X26" i="8" s="1"/>
  <c r="DN24" i="8"/>
  <c r="DN23" i="8"/>
  <c r="DN22" i="8"/>
  <c r="DN21" i="8"/>
  <c r="DN20" i="8"/>
  <c r="X20" i="8" s="1"/>
  <c r="DN19" i="8"/>
  <c r="X19" i="8" s="1"/>
  <c r="DN12" i="8"/>
  <c r="DN60" i="7"/>
  <c r="DN59" i="7"/>
  <c r="DN58" i="7"/>
  <c r="DN57" i="7"/>
  <c r="DN56" i="7"/>
  <c r="DN55" i="7"/>
  <c r="DN54" i="7"/>
  <c r="DN49" i="7"/>
  <c r="DN48" i="7"/>
  <c r="DN44" i="7"/>
  <c r="DN43" i="7"/>
  <c r="DN41" i="7"/>
  <c r="DN40" i="7"/>
  <c r="DN39" i="7"/>
  <c r="DN38" i="7"/>
  <c r="DN30" i="7"/>
  <c r="DN29" i="7"/>
  <c r="X29" i="7" s="1"/>
  <c r="AA29" i="7" s="1"/>
  <c r="AB29" i="7" s="1"/>
  <c r="AC29" i="7" s="1"/>
  <c r="AD29" i="7" s="1"/>
  <c r="AE29" i="7" s="1"/>
  <c r="AF29" i="7" s="1"/>
  <c r="AG29" i="7" s="1"/>
  <c r="DN28" i="7"/>
  <c r="X28" i="7" s="1"/>
  <c r="DN26" i="7"/>
  <c r="DN22" i="7"/>
  <c r="DN164" i="7" s="1"/>
  <c r="DN181" i="7" s="1"/>
  <c r="DN21" i="7"/>
  <c r="DN163" i="7" s="1"/>
  <c r="DN19" i="7"/>
  <c r="DN18" i="7"/>
  <c r="DN17" i="7"/>
  <c r="DN16" i="7"/>
  <c r="DN15" i="7"/>
  <c r="DN13" i="7"/>
  <c r="DO97" i="7" s="1"/>
  <c r="DL72" i="6" s="1"/>
  <c r="DL73" i="6" s="1"/>
  <c r="DK146" i="6"/>
  <c r="DK115" i="6"/>
  <c r="DK103" i="6"/>
  <c r="DN99" i="8" s="1"/>
  <c r="DN100" i="8" s="1"/>
  <c r="DK84" i="6"/>
  <c r="DK78" i="6"/>
  <c r="DK74" i="6"/>
  <c r="DN84" i="7" s="1"/>
  <c r="DK70" i="6"/>
  <c r="DK67" i="6"/>
  <c r="DO68" i="6" s="1"/>
  <c r="DK48" i="6"/>
  <c r="DO49" i="6" s="1"/>
  <c r="DN137" i="17"/>
  <c r="DN134" i="17"/>
  <c r="DR135" i="17" s="1"/>
  <c r="DN131" i="17"/>
  <c r="DO55" i="17"/>
  <c r="DN52" i="17"/>
  <c r="DN17" i="17"/>
  <c r="DN153" i="15"/>
  <c r="DR169" i="15" s="1"/>
  <c r="DN147" i="15"/>
  <c r="DN115" i="15"/>
  <c r="DO116" i="15" s="1"/>
  <c r="DS117" i="15" s="1"/>
  <c r="DN98" i="15"/>
  <c r="DN92" i="15"/>
  <c r="K38" i="37" s="1"/>
  <c r="DN91" i="15"/>
  <c r="DN21" i="15"/>
  <c r="DN14" i="15"/>
  <c r="DN95" i="14"/>
  <c r="DN94" i="14"/>
  <c r="DN83" i="14"/>
  <c r="DN75" i="14" s="1"/>
  <c r="DN80" i="14"/>
  <c r="DN76" i="14"/>
  <c r="DN65" i="14"/>
  <c r="DN64" i="14"/>
  <c r="DN50" i="14"/>
  <c r="DN48" i="14"/>
  <c r="DR49" i="14" s="1"/>
  <c r="DN36" i="14"/>
  <c r="DN33" i="14"/>
  <c r="DN29" i="14"/>
  <c r="DN16" i="14"/>
  <c r="DN15" i="14"/>
  <c r="DN109" i="13"/>
  <c r="DO110" i="13" s="1"/>
  <c r="DN101" i="13"/>
  <c r="DN93" i="13"/>
  <c r="DH49" i="11" s="1"/>
  <c r="DN87" i="13"/>
  <c r="DH22" i="11" s="1"/>
  <c r="DN84" i="13"/>
  <c r="DH31" i="11" s="1"/>
  <c r="DN72" i="13"/>
  <c r="DR73" i="13" s="1"/>
  <c r="DE128" i="22" s="1"/>
  <c r="DN69" i="13"/>
  <c r="K48" i="37" s="1"/>
  <c r="DN53" i="13"/>
  <c r="DN738" i="12"/>
  <c r="DN729" i="12"/>
  <c r="DN720" i="12"/>
  <c r="DN715" i="12"/>
  <c r="DN713" i="12"/>
  <c r="DN657" i="12"/>
  <c r="DW657" i="12" s="1"/>
  <c r="DX657" i="12" s="1"/>
  <c r="DY657" i="12" s="1"/>
  <c r="DN464" i="12"/>
  <c r="DN466" i="12" s="1"/>
  <c r="DN461" i="12"/>
  <c r="DR463" i="12" s="1"/>
  <c r="DN452" i="12"/>
  <c r="DN395" i="12"/>
  <c r="DN425" i="12" s="1"/>
  <c r="DN381" i="12"/>
  <c r="DN380" i="12" s="1"/>
  <c r="DN361" i="12"/>
  <c r="DN359" i="12" s="1"/>
  <c r="DN331" i="12"/>
  <c r="DN325" i="12"/>
  <c r="DN320" i="12"/>
  <c r="DN286" i="12"/>
  <c r="DN277" i="12"/>
  <c r="DN276" i="12"/>
  <c r="DN271" i="12"/>
  <c r="DN270" i="12"/>
  <c r="DN263" i="12"/>
  <c r="DN255" i="12"/>
  <c r="DN256" i="12" s="1"/>
  <c r="DN181" i="12"/>
  <c r="DN156" i="12"/>
  <c r="DR157" i="12" s="1"/>
  <c r="DN120" i="12"/>
  <c r="K21" i="37" s="1"/>
  <c r="DN112" i="12"/>
  <c r="DN52" i="12"/>
  <c r="DR53" i="12" s="1"/>
  <c r="DN41" i="12"/>
  <c r="DN38" i="12"/>
  <c r="DN29" i="12"/>
  <c r="DR30" i="12" s="1"/>
  <c r="DN27" i="12"/>
  <c r="K15" i="37" s="1"/>
  <c r="F20" i="37"/>
  <c r="F23" i="37"/>
  <c r="DD155" i="22"/>
  <c r="DC155" i="22"/>
  <c r="DB155" i="22"/>
  <c r="DA114" i="22"/>
  <c r="DD42" i="22"/>
  <c r="DC42" i="22"/>
  <c r="DB42" i="22"/>
  <c r="DA42" i="22"/>
  <c r="DD2" i="22"/>
  <c r="DC2" i="22"/>
  <c r="DB2" i="22"/>
  <c r="DA2" i="22"/>
  <c r="X170" i="7"/>
  <c r="X25" i="8"/>
  <c r="X61" i="11"/>
  <c r="P80" i="14"/>
  <c r="P33" i="14"/>
  <c r="P99" i="14" s="1"/>
  <c r="X397" i="12"/>
  <c r="X751" i="12"/>
  <c r="X748" i="12"/>
  <c r="X730" i="12"/>
  <c r="X722" i="12"/>
  <c r="X729" i="12" s="1"/>
  <c r="X712" i="12"/>
  <c r="X521" i="12"/>
  <c r="X83" i="12"/>
  <c r="X113" i="8" s="1"/>
  <c r="X146" i="6"/>
  <c r="AA101" i="6"/>
  <c r="AB101" i="6" s="1"/>
  <c r="AC101" i="6" s="1"/>
  <c r="AD101" i="6" s="1"/>
  <c r="AE101" i="6" s="1"/>
  <c r="AF101" i="6" s="1"/>
  <c r="AG101" i="6" s="1"/>
  <c r="DC48" i="21"/>
  <c r="DC35" i="21"/>
  <c r="DC34" i="21"/>
  <c r="DM69" i="14"/>
  <c r="DM23" i="14"/>
  <c r="DM249" i="12"/>
  <c r="J24" i="37" s="1"/>
  <c r="DC388" i="21"/>
  <c r="DD388" i="21" s="1"/>
  <c r="DC274" i="21"/>
  <c r="DM38" i="12" s="1"/>
  <c r="DQ39" i="12" s="1"/>
  <c r="DC94" i="21"/>
  <c r="DM49" i="7" s="1"/>
  <c r="DC88" i="21"/>
  <c r="DC79" i="21"/>
  <c r="DC74" i="21"/>
  <c r="DC6" i="21"/>
  <c r="DM137" i="17"/>
  <c r="DM134" i="17"/>
  <c r="DQ135" i="17" s="1"/>
  <c r="DM131" i="17"/>
  <c r="CZ65" i="22" s="1"/>
  <c r="DM52" i="17"/>
  <c r="DM153" i="15"/>
  <c r="DQ169" i="15" s="1"/>
  <c r="DM147" i="15"/>
  <c r="DM115" i="15"/>
  <c r="DM98" i="15"/>
  <c r="DM92" i="15"/>
  <c r="J38" i="37" s="1"/>
  <c r="DM91" i="15"/>
  <c r="DM21" i="15"/>
  <c r="DM14" i="15"/>
  <c r="DQ15" i="15" s="1"/>
  <c r="DM95" i="14"/>
  <c r="DM94" i="14"/>
  <c r="DM83" i="14"/>
  <c r="DM80" i="14"/>
  <c r="DM76" i="14"/>
  <c r="DM65" i="14"/>
  <c r="DM64" i="14"/>
  <c r="DM50" i="14"/>
  <c r="DQ51" i="14" s="1"/>
  <c r="DM48" i="14"/>
  <c r="DM36" i="14"/>
  <c r="DM33" i="14"/>
  <c r="DM29" i="14"/>
  <c r="DM27" i="14"/>
  <c r="DM16" i="14"/>
  <c r="DM15" i="14"/>
  <c r="DM109" i="13"/>
  <c r="DM101" i="13"/>
  <c r="DG102" i="11" s="1"/>
  <c r="DM93" i="13"/>
  <c r="DG49" i="11" s="1"/>
  <c r="DM87" i="13"/>
  <c r="DG22" i="11" s="1"/>
  <c r="DG31" i="11"/>
  <c r="DM72" i="13"/>
  <c r="DQ73" i="13" s="1"/>
  <c r="DM69" i="13"/>
  <c r="J48" i="37" s="1"/>
  <c r="DM53" i="13"/>
  <c r="DM738" i="12"/>
  <c r="DM729" i="12"/>
  <c r="DM720" i="12"/>
  <c r="DM726" i="12" s="1"/>
  <c r="DM728" i="12" s="1"/>
  <c r="DM747" i="12" s="1"/>
  <c r="DM749" i="12" s="1"/>
  <c r="DM715" i="12"/>
  <c r="DM713" i="12"/>
  <c r="DM657" i="12"/>
  <c r="DM464" i="12"/>
  <c r="DM466" i="12" s="1"/>
  <c r="DM461" i="12"/>
  <c r="DQ463" i="12" s="1"/>
  <c r="DM452" i="12"/>
  <c r="DM395" i="12"/>
  <c r="DM425" i="12" s="1"/>
  <c r="DM381" i="12"/>
  <c r="DM390" i="12" s="1"/>
  <c r="DM361" i="12"/>
  <c r="DM359" i="12"/>
  <c r="DM331" i="12"/>
  <c r="DM325" i="12"/>
  <c r="DM320" i="12"/>
  <c r="DM286" i="12"/>
  <c r="CZ141" i="22" s="1"/>
  <c r="DM277" i="12"/>
  <c r="DM276" i="12"/>
  <c r="DM274" i="12"/>
  <c r="DM273" i="12"/>
  <c r="DM271" i="12"/>
  <c r="DM270" i="12"/>
  <c r="DM263" i="12"/>
  <c r="DQ264" i="12" s="1"/>
  <c r="DM255" i="12"/>
  <c r="DM256" i="12" s="1"/>
  <c r="DP154" i="15" s="1"/>
  <c r="DT170" i="15" s="1"/>
  <c r="DM181" i="12"/>
  <c r="DM156" i="12"/>
  <c r="DM120" i="12"/>
  <c r="J21" i="37" s="1"/>
  <c r="DM41" i="12"/>
  <c r="DM29" i="12"/>
  <c r="DQ30" i="12" s="1"/>
  <c r="DM27" i="12"/>
  <c r="J15" i="37" s="1"/>
  <c r="DM55" i="8"/>
  <c r="DM42" i="8"/>
  <c r="DM41" i="8"/>
  <c r="Z41" i="8" s="1"/>
  <c r="DM40" i="8"/>
  <c r="Z40" i="8" s="1"/>
  <c r="DM26" i="8"/>
  <c r="DM20" i="8"/>
  <c r="DM19" i="8"/>
  <c r="DM60" i="7"/>
  <c r="W60" i="7" s="1"/>
  <c r="W101" i="7" s="1"/>
  <c r="DM59" i="7"/>
  <c r="W59" i="7" s="1"/>
  <c r="DM58" i="7"/>
  <c r="W58" i="7" s="1"/>
  <c r="DM57" i="7"/>
  <c r="W57" i="7" s="1"/>
  <c r="DM56" i="7"/>
  <c r="W56" i="7" s="1"/>
  <c r="DM55" i="7"/>
  <c r="DM54" i="7"/>
  <c r="W54" i="7" s="1"/>
  <c r="DM48" i="7"/>
  <c r="W48" i="7" s="1"/>
  <c r="DM44" i="7"/>
  <c r="W44" i="7" s="1"/>
  <c r="X88" i="8" s="1"/>
  <c r="DM43" i="7"/>
  <c r="W43" i="7" s="1"/>
  <c r="DM41" i="7"/>
  <c r="W41" i="7" s="1"/>
  <c r="DM40" i="7"/>
  <c r="W40" i="7" s="1"/>
  <c r="DM39" i="7"/>
  <c r="W39" i="7" s="1"/>
  <c r="DM38" i="7"/>
  <c r="DN80" i="7" s="1"/>
  <c r="DM31" i="7"/>
  <c r="W31" i="7" s="1"/>
  <c r="DM30" i="7"/>
  <c r="DM29" i="7"/>
  <c r="W29" i="7" s="1"/>
  <c r="DM28" i="7"/>
  <c r="W28" i="7" s="1"/>
  <c r="DM26" i="7"/>
  <c r="W26" i="7" s="1"/>
  <c r="DM22" i="7"/>
  <c r="DM164" i="7" s="1"/>
  <c r="DM181" i="7" s="1"/>
  <c r="DM21" i="7"/>
  <c r="DM163" i="7" s="1"/>
  <c r="DM19" i="7"/>
  <c r="DM18" i="7"/>
  <c r="W18" i="7" s="1"/>
  <c r="DM17" i="7"/>
  <c r="W17" i="7" s="1"/>
  <c r="DM16" i="7"/>
  <c r="W16" i="7" s="1"/>
  <c r="DM15" i="7"/>
  <c r="W15" i="7" s="1"/>
  <c r="DM13" i="7"/>
  <c r="W13" i="7" s="1"/>
  <c r="DJ146" i="6"/>
  <c r="DJ115" i="6"/>
  <c r="DN116" i="6" s="1"/>
  <c r="DJ109" i="6"/>
  <c r="DJ103" i="6"/>
  <c r="DN104" i="6" s="1"/>
  <c r="DN110" i="6" s="1"/>
  <c r="DJ84" i="6"/>
  <c r="DN85" i="6" s="1"/>
  <c r="DJ78" i="6"/>
  <c r="DM93" i="8" s="1"/>
  <c r="DJ74" i="6"/>
  <c r="DM84" i="7" s="1"/>
  <c r="DJ70" i="6"/>
  <c r="DJ67" i="6"/>
  <c r="DN68" i="6" s="1"/>
  <c r="DC7" i="21"/>
  <c r="DC20" i="21"/>
  <c r="DC10" i="21"/>
  <c r="DM11" i="16" s="1"/>
  <c r="DQ12" i="16" s="1"/>
  <c r="DC27" i="21"/>
  <c r="DJ42" i="6" s="1"/>
  <c r="DN43" i="6" s="1"/>
  <c r="DC29" i="21"/>
  <c r="DJ48" i="6"/>
  <c r="DN49" i="6" s="1"/>
  <c r="DC70" i="21"/>
  <c r="DC80" i="21" s="1"/>
  <c r="DC89" i="21"/>
  <c r="DC104" i="21"/>
  <c r="DC107" i="21" s="1"/>
  <c r="DC137" i="21"/>
  <c r="DC169" i="21"/>
  <c r="DG170" i="21" s="1"/>
  <c r="DC199" i="21"/>
  <c r="DC201" i="21" s="1"/>
  <c r="DM81" i="13" s="1"/>
  <c r="DC215" i="21"/>
  <c r="DM11" i="15" s="1"/>
  <c r="CZ7" i="22" s="1"/>
  <c r="DC220" i="21"/>
  <c r="DM25" i="15" s="1"/>
  <c r="DQ26" i="15" s="1"/>
  <c r="DC238" i="21"/>
  <c r="DC248" i="21"/>
  <c r="DC250" i="21"/>
  <c r="DC251" i="21" s="1"/>
  <c r="DC261" i="21"/>
  <c r="DC282" i="21" s="1"/>
  <c r="DC265" i="21"/>
  <c r="DC266" i="21"/>
  <c r="DC268" i="21"/>
  <c r="DM52" i="12" s="1"/>
  <c r="DQ53" i="12" s="1"/>
  <c r="DC276" i="21"/>
  <c r="DC285" i="21"/>
  <c r="DC303" i="21"/>
  <c r="DM112" i="12" s="1"/>
  <c r="DC309" i="21"/>
  <c r="DM73" i="14"/>
  <c r="DN74" i="14" s="1"/>
  <c r="DM25" i="14"/>
  <c r="DM192" i="7"/>
  <c r="DM91" i="13"/>
  <c r="DM11" i="17"/>
  <c r="DM178" i="7"/>
  <c r="DQ190" i="7" s="1"/>
  <c r="DM75" i="14"/>
  <c r="DM257" i="12"/>
  <c r="DQ258" i="12" s="1"/>
  <c r="DI115" i="6"/>
  <c r="DM116" i="6" s="1"/>
  <c r="DN6" i="8"/>
  <c r="DO6" i="8"/>
  <c r="DP6" i="8"/>
  <c r="DQ6" i="8"/>
  <c r="DO74" i="8"/>
  <c r="DP74" i="8"/>
  <c r="DQ74" i="8"/>
  <c r="DO75" i="8"/>
  <c r="DP75" i="8"/>
  <c r="DQ75" i="8"/>
  <c r="DO89" i="8"/>
  <c r="DP89" i="8"/>
  <c r="DQ89" i="8"/>
  <c r="DN5" i="7"/>
  <c r="DO5" i="7"/>
  <c r="DP5" i="7"/>
  <c r="DQ5" i="7"/>
  <c r="DH6" i="11"/>
  <c r="DI6" i="11"/>
  <c r="DJ6" i="11"/>
  <c r="DK6" i="11"/>
  <c r="DN5" i="16"/>
  <c r="DO5" i="16"/>
  <c r="DP5" i="16"/>
  <c r="DQ5" i="16"/>
  <c r="DN5" i="17"/>
  <c r="DN101" i="17" s="1"/>
  <c r="DO5" i="17"/>
  <c r="DO101" i="17" s="1"/>
  <c r="DP5" i="17"/>
  <c r="DP101" i="17" s="1"/>
  <c r="DQ5" i="17"/>
  <c r="DQ101" i="17" s="1"/>
  <c r="DN5" i="15"/>
  <c r="DO5" i="15"/>
  <c r="DP5" i="15"/>
  <c r="DQ5" i="15"/>
  <c r="DN5" i="14"/>
  <c r="DN58" i="14" s="1"/>
  <c r="DO5" i="14"/>
  <c r="DO58" i="14" s="1"/>
  <c r="DP5" i="14"/>
  <c r="DP58" i="14" s="1"/>
  <c r="DQ5" i="14"/>
  <c r="DQ58" i="14" s="1"/>
  <c r="DN5" i="13"/>
  <c r="DO5" i="13"/>
  <c r="DP5" i="13"/>
  <c r="DQ5" i="13"/>
  <c r="DN5" i="12"/>
  <c r="DO5" i="12"/>
  <c r="DP5" i="12"/>
  <c r="DQ5" i="12"/>
  <c r="DY29" i="12"/>
  <c r="Z29" i="12" s="1"/>
  <c r="V3" i="37"/>
  <c r="E3" i="37"/>
  <c r="E23" i="37"/>
  <c r="E20" i="37"/>
  <c r="T38" i="37"/>
  <c r="T32" i="37"/>
  <c r="T18" i="37"/>
  <c r="V11" i="37"/>
  <c r="V9" i="37"/>
  <c r="T9" i="37"/>
  <c r="AB3" i="37"/>
  <c r="DL249" i="12"/>
  <c r="I24" i="37" s="1"/>
  <c r="DB48" i="21"/>
  <c r="DB34" i="21"/>
  <c r="DB26" i="21" s="1"/>
  <c r="DI39" i="6" s="1"/>
  <c r="DM40" i="6" s="1"/>
  <c r="DI146" i="6"/>
  <c r="DI109" i="6"/>
  <c r="DI103" i="6"/>
  <c r="DI84" i="6"/>
  <c r="DM85" i="6" s="1"/>
  <c r="DI78" i="6"/>
  <c r="DL93" i="8" s="1"/>
  <c r="DI74" i="6"/>
  <c r="DI70" i="6"/>
  <c r="DI67" i="6"/>
  <c r="DM68" i="6" s="1"/>
  <c r="DL60" i="7"/>
  <c r="DL59" i="7"/>
  <c r="DL58" i="7"/>
  <c r="DL57" i="7"/>
  <c r="DL56" i="7"/>
  <c r="DL55" i="7"/>
  <c r="DL54" i="7"/>
  <c r="DL48" i="7"/>
  <c r="DL44" i="7"/>
  <c r="DL43" i="7"/>
  <c r="DL40" i="7"/>
  <c r="DL39" i="7"/>
  <c r="DL38" i="7"/>
  <c r="DL30" i="7"/>
  <c r="DL29" i="7"/>
  <c r="DL28" i="7"/>
  <c r="DL26" i="7"/>
  <c r="DL22" i="7"/>
  <c r="DL164" i="7" s="1"/>
  <c r="DL181" i="7" s="1"/>
  <c r="DL21" i="7"/>
  <c r="DL196" i="7" s="1"/>
  <c r="DL19" i="7"/>
  <c r="DL18" i="7"/>
  <c r="DL17" i="7"/>
  <c r="DL16" i="7"/>
  <c r="DL15" i="7"/>
  <c r="DL13" i="7"/>
  <c r="DM97" i="7" s="1"/>
  <c r="DJ72" i="6" s="1"/>
  <c r="DL5" i="7"/>
  <c r="DL113" i="8"/>
  <c r="DL89" i="8"/>
  <c r="DL55" i="8"/>
  <c r="DL42" i="8"/>
  <c r="DL41" i="8"/>
  <c r="DL40" i="8"/>
  <c r="DL26" i="8"/>
  <c r="DL20" i="8"/>
  <c r="DL19" i="8"/>
  <c r="DL6" i="8"/>
  <c r="DL738" i="12"/>
  <c r="DL729" i="12"/>
  <c r="DL720" i="12"/>
  <c r="DL715" i="12"/>
  <c r="DL713" i="12"/>
  <c r="DL657" i="12"/>
  <c r="DL464" i="12"/>
  <c r="DL466" i="12" s="1"/>
  <c r="DL461" i="12"/>
  <c r="DP463" i="12" s="1"/>
  <c r="DL452" i="12"/>
  <c r="DL395" i="12"/>
  <c r="DL425" i="12" s="1"/>
  <c r="DL381" i="12"/>
  <c r="DL380" i="12" s="1"/>
  <c r="DL361" i="12"/>
  <c r="DL359" i="12" s="1"/>
  <c r="DL331" i="12"/>
  <c r="DL325" i="12"/>
  <c r="DL320" i="12"/>
  <c r="DL286" i="12"/>
  <c r="DL180" i="12" s="1"/>
  <c r="DL277" i="12"/>
  <c r="DL276" i="12"/>
  <c r="DL274" i="12"/>
  <c r="DL273" i="12"/>
  <c r="DL271" i="12"/>
  <c r="DL270" i="12"/>
  <c r="DL263" i="12"/>
  <c r="DL255" i="12"/>
  <c r="DL256" i="12" s="1"/>
  <c r="DL181" i="12"/>
  <c r="DL156" i="12"/>
  <c r="DL120" i="12"/>
  <c r="I21" i="37" s="1"/>
  <c r="DL41" i="12"/>
  <c r="DP42" i="12" s="1"/>
  <c r="DL29" i="12"/>
  <c r="DP30" i="12" s="1"/>
  <c r="DL27" i="12"/>
  <c r="DL5" i="12"/>
  <c r="DL297" i="13"/>
  <c r="DL109" i="13"/>
  <c r="DL101" i="13"/>
  <c r="DF102" i="11" s="1"/>
  <c r="DL93" i="13"/>
  <c r="DF49" i="11" s="1"/>
  <c r="DL87" i="13"/>
  <c r="DF22" i="11" s="1"/>
  <c r="DL72" i="13"/>
  <c r="DL69" i="13"/>
  <c r="DL53" i="13"/>
  <c r="I42" i="37" s="1"/>
  <c r="DL5" i="13"/>
  <c r="DL69" i="14"/>
  <c r="DM70" i="14" s="1"/>
  <c r="DK36" i="14"/>
  <c r="DL23" i="14"/>
  <c r="DL95" i="14"/>
  <c r="DL94" i="14"/>
  <c r="DL83" i="14"/>
  <c r="DL80" i="14"/>
  <c r="DL76" i="14"/>
  <c r="DL65" i="14"/>
  <c r="DL64" i="14"/>
  <c r="DL50" i="14"/>
  <c r="DL48" i="14"/>
  <c r="DL45" i="14" s="1"/>
  <c r="DL36" i="14"/>
  <c r="DL33" i="14"/>
  <c r="DL29" i="14"/>
  <c r="DL16" i="14"/>
  <c r="DL15" i="14"/>
  <c r="DL5" i="14"/>
  <c r="DL58" i="14" s="1"/>
  <c r="DL5" i="15"/>
  <c r="DL153" i="15"/>
  <c r="DL152" i="15"/>
  <c r="DP168" i="15" s="1"/>
  <c r="DL115" i="15"/>
  <c r="DL118" i="15" s="1"/>
  <c r="DL98" i="15"/>
  <c r="DL92" i="15"/>
  <c r="I38" i="37" s="1"/>
  <c r="DL91" i="15"/>
  <c r="DL21" i="15"/>
  <c r="DL14" i="15"/>
  <c r="DL137" i="17"/>
  <c r="DL134" i="17"/>
  <c r="DP135" i="17" s="1"/>
  <c r="DL131" i="17"/>
  <c r="DL52" i="17"/>
  <c r="DL5" i="17"/>
  <c r="DL101" i="17" s="1"/>
  <c r="DL5" i="16"/>
  <c r="DB398" i="21"/>
  <c r="DB274" i="21"/>
  <c r="DL38" i="12" s="1"/>
  <c r="DF23" i="11" s="1"/>
  <c r="DB94" i="21"/>
  <c r="DL49" i="7" s="1"/>
  <c r="DB88" i="21"/>
  <c r="DL41" i="7" s="1"/>
  <c r="DB79" i="21"/>
  <c r="DL31" i="7" s="1"/>
  <c r="DB6" i="21"/>
  <c r="DB7" i="21"/>
  <c r="DB12" i="21" s="1"/>
  <c r="DB20" i="21"/>
  <c r="DB10" i="21" s="1"/>
  <c r="DL11" i="16" s="1"/>
  <c r="DB27" i="21"/>
  <c r="DI42" i="6" s="1"/>
  <c r="DM43" i="6" s="1"/>
  <c r="DB29" i="21"/>
  <c r="DI48" i="6" s="1"/>
  <c r="DI53" i="6" s="1"/>
  <c r="DB70" i="21"/>
  <c r="DB89" i="21"/>
  <c r="DB104" i="21"/>
  <c r="DB107" i="21" s="1"/>
  <c r="DB137" i="21"/>
  <c r="DB169" i="21"/>
  <c r="DF170" i="21" s="1"/>
  <c r="DB199" i="21"/>
  <c r="DB201" i="21" s="1"/>
  <c r="DL81" i="13" s="1"/>
  <c r="DB215" i="21"/>
  <c r="DL11" i="15" s="1"/>
  <c r="DP12" i="15" s="1"/>
  <c r="DB220" i="21"/>
  <c r="DL25" i="15" s="1"/>
  <c r="DP26" i="15" s="1"/>
  <c r="DB238" i="21"/>
  <c r="DB248" i="21"/>
  <c r="DB250" i="21"/>
  <c r="DB251" i="21"/>
  <c r="DB261" i="21"/>
  <c r="DB282" i="21" s="1"/>
  <c r="DB265" i="21"/>
  <c r="DB266" i="21"/>
  <c r="DB268" i="21"/>
  <c r="DL52" i="12" s="1"/>
  <c r="DP53" i="12" s="1"/>
  <c r="DB276" i="21"/>
  <c r="DL47" i="12" s="1"/>
  <c r="DP48" i="12" s="1"/>
  <c r="DB285" i="21"/>
  <c r="DB287" i="21" s="1"/>
  <c r="DB303" i="21"/>
  <c r="DL112" i="12" s="1"/>
  <c r="DL125" i="12" s="1"/>
  <c r="DB309" i="21"/>
  <c r="DK53" i="13"/>
  <c r="H42" i="37" s="1"/>
  <c r="DK249" i="12"/>
  <c r="DK69" i="14"/>
  <c r="DL70" i="14" s="1"/>
  <c r="DK23" i="14"/>
  <c r="DL26" i="14" s="1"/>
  <c r="DA401" i="21"/>
  <c r="DA399" i="21"/>
  <c r="DA397" i="21"/>
  <c r="DK52" i="8" s="1"/>
  <c r="DK78" i="8" s="1"/>
  <c r="DA396" i="21"/>
  <c r="DB396" i="21" s="1"/>
  <c r="DL51" i="8" s="1"/>
  <c r="DA395" i="21"/>
  <c r="DA393" i="21"/>
  <c r="DB393" i="21" s="1"/>
  <c r="DL48" i="8" s="1"/>
  <c r="DA389" i="21"/>
  <c r="DB389" i="21" s="1"/>
  <c r="DL43" i="8" s="1"/>
  <c r="DA384" i="21"/>
  <c r="DK38" i="8" s="1"/>
  <c r="DK92" i="8" s="1"/>
  <c r="DA380" i="21"/>
  <c r="DB380" i="21" s="1"/>
  <c r="DL33" i="8" s="1"/>
  <c r="DA379" i="21"/>
  <c r="DB379" i="21" s="1"/>
  <c r="DL32" i="8" s="1"/>
  <c r="DL91" i="8" s="1"/>
  <c r="DA377" i="21"/>
  <c r="DA376" i="21"/>
  <c r="DA375" i="21"/>
  <c r="DA374" i="21"/>
  <c r="DB374" i="21" s="1"/>
  <c r="DL21" i="8" s="1"/>
  <c r="DA371" i="21"/>
  <c r="DA369" i="21"/>
  <c r="DK12" i="8" s="1"/>
  <c r="DH127" i="6" s="1"/>
  <c r="DH144" i="6" s="1"/>
  <c r="DA274" i="21"/>
  <c r="DA256" i="21"/>
  <c r="DB256" i="21" s="1"/>
  <c r="DA199" i="21"/>
  <c r="DA131" i="21"/>
  <c r="DB131" i="21" s="1"/>
  <c r="DA94" i="21"/>
  <c r="DK49" i="7" s="1"/>
  <c r="DA88" i="21"/>
  <c r="DA79" i="21"/>
  <c r="DA34" i="21"/>
  <c r="DH146" i="6"/>
  <c r="DH115" i="6"/>
  <c r="DL116" i="6" s="1"/>
  <c r="DH109" i="6"/>
  <c r="DH103" i="6"/>
  <c r="DL104" i="6" s="1"/>
  <c r="DL110" i="6" s="1"/>
  <c r="DH84" i="6"/>
  <c r="DL85" i="6" s="1"/>
  <c r="DH78" i="6"/>
  <c r="DK93" i="8" s="1"/>
  <c r="DH74" i="6"/>
  <c r="DK84" i="7" s="1"/>
  <c r="DH70" i="6"/>
  <c r="DH67" i="6"/>
  <c r="DK60" i="7"/>
  <c r="DK59" i="7"/>
  <c r="DK58" i="7"/>
  <c r="DK57" i="7"/>
  <c r="DK56" i="7"/>
  <c r="DK55" i="7"/>
  <c r="DK54" i="7"/>
  <c r="DK48" i="7"/>
  <c r="DK44" i="7"/>
  <c r="DK43" i="7"/>
  <c r="DK41" i="7"/>
  <c r="DK40" i="7"/>
  <c r="DK39" i="7"/>
  <c r="DK38" i="7"/>
  <c r="DK31" i="7"/>
  <c r="DK30" i="7"/>
  <c r="DK29" i="7"/>
  <c r="DK28" i="7"/>
  <c r="DK26" i="7"/>
  <c r="DK22" i="7"/>
  <c r="DK194" i="7" s="1"/>
  <c r="DK21" i="7"/>
  <c r="DK19" i="7"/>
  <c r="DK18" i="7"/>
  <c r="DK17" i="7"/>
  <c r="DK16" i="7"/>
  <c r="DK15" i="7"/>
  <c r="DK13" i="7"/>
  <c r="DL97" i="7" s="1"/>
  <c r="DK5" i="7"/>
  <c r="DK113" i="8"/>
  <c r="DK55" i="8"/>
  <c r="DK54" i="8"/>
  <c r="DK53" i="8"/>
  <c r="DK50" i="8"/>
  <c r="DK48" i="8"/>
  <c r="DK43" i="8"/>
  <c r="DK42" i="8"/>
  <c r="DK41" i="8"/>
  <c r="DK40" i="8"/>
  <c r="DK32" i="8"/>
  <c r="DK91" i="8" s="1"/>
  <c r="DK26" i="8"/>
  <c r="DK24" i="8"/>
  <c r="DK23" i="8"/>
  <c r="DK22" i="8"/>
  <c r="DK21" i="8"/>
  <c r="DK20" i="8"/>
  <c r="DK19" i="8"/>
  <c r="DK6" i="8"/>
  <c r="DK738" i="12"/>
  <c r="DK729" i="12"/>
  <c r="DK720" i="12"/>
  <c r="DL721" i="12" s="1"/>
  <c r="DL762" i="12" s="1"/>
  <c r="DL764" i="12" s="1"/>
  <c r="DK715" i="12"/>
  <c r="DK713" i="12"/>
  <c r="DK657" i="12"/>
  <c r="DK464" i="12"/>
  <c r="DK466" i="12" s="1"/>
  <c r="DK461" i="12"/>
  <c r="DO463" i="12" s="1"/>
  <c r="DK452" i="12"/>
  <c r="DK395" i="12"/>
  <c r="DK425" i="12" s="1"/>
  <c r="DK381" i="12"/>
  <c r="DK390" i="12" s="1"/>
  <c r="DK361" i="12"/>
  <c r="DK359" i="12" s="1"/>
  <c r="DK331" i="12"/>
  <c r="DK325" i="12"/>
  <c r="DO326" i="12" s="1"/>
  <c r="DK320" i="12"/>
  <c r="DK286" i="12"/>
  <c r="CX141" i="22" s="1"/>
  <c r="DK277" i="12"/>
  <c r="DK276" i="12"/>
  <c r="DK274" i="12"/>
  <c r="DK273" i="12"/>
  <c r="DK271" i="12"/>
  <c r="DK270" i="12"/>
  <c r="DK263" i="12"/>
  <c r="DO264" i="12" s="1"/>
  <c r="DK255" i="12"/>
  <c r="DK256" i="12" s="1"/>
  <c r="DK181" i="12"/>
  <c r="DK156" i="12"/>
  <c r="DO157" i="12" s="1"/>
  <c r="DK120" i="12"/>
  <c r="H21" i="37" s="1"/>
  <c r="DK41" i="12"/>
  <c r="DO42" i="12" s="1"/>
  <c r="DK38" i="12"/>
  <c r="DK29" i="12"/>
  <c r="DO30" i="12" s="1"/>
  <c r="DK27" i="12"/>
  <c r="DK23" i="12"/>
  <c r="DK5" i="12"/>
  <c r="DK297" i="13"/>
  <c r="DK367" i="13" s="1"/>
  <c r="DK109" i="13"/>
  <c r="DK101" i="13"/>
  <c r="DE102" i="11" s="1"/>
  <c r="DK93" i="13"/>
  <c r="DK87" i="13"/>
  <c r="DK84" i="13"/>
  <c r="DE31" i="11" s="1"/>
  <c r="DK72" i="13"/>
  <c r="DK69" i="13"/>
  <c r="DK5" i="13"/>
  <c r="DK95" i="14"/>
  <c r="DK94" i="14"/>
  <c r="DK83" i="14"/>
  <c r="DK75" i="14"/>
  <c r="DK80" i="14"/>
  <c r="DK79" i="14" s="1"/>
  <c r="DK77" i="14" s="1"/>
  <c r="DK78" i="14" s="1"/>
  <c r="DK76" i="14"/>
  <c r="DK84" i="14" s="1"/>
  <c r="DK65" i="14"/>
  <c r="DK64" i="14"/>
  <c r="DK50" i="14"/>
  <c r="DK152" i="15"/>
  <c r="DO168" i="15" s="1"/>
  <c r="DK48" i="14"/>
  <c r="DO49" i="14" s="1"/>
  <c r="DK33" i="14"/>
  <c r="DK29" i="14"/>
  <c r="DK17" i="14" s="1"/>
  <c r="DK37" i="14"/>
  <c r="DK16" i="14"/>
  <c r="DK15" i="14"/>
  <c r="DK5" i="14"/>
  <c r="DK58" i="14" s="1"/>
  <c r="DK153" i="15"/>
  <c r="DO169" i="15" s="1"/>
  <c r="DK115" i="15"/>
  <c r="DK118" i="15" s="1"/>
  <c r="DK98" i="15"/>
  <c r="DK92" i="15"/>
  <c r="H38" i="37" s="1"/>
  <c r="DK91" i="15"/>
  <c r="DK21" i="15"/>
  <c r="DO22" i="15" s="1"/>
  <c r="DK14" i="15"/>
  <c r="DO15" i="15" s="1"/>
  <c r="DK5" i="15"/>
  <c r="DK137" i="17"/>
  <c r="DK134" i="17"/>
  <c r="DO135" i="17" s="1"/>
  <c r="DK131" i="17"/>
  <c r="DO132" i="17" s="1"/>
  <c r="DL55" i="17"/>
  <c r="DK52" i="17"/>
  <c r="DK17" i="17"/>
  <c r="DK5" i="17"/>
  <c r="DK101" i="17" s="1"/>
  <c r="DK5" i="16"/>
  <c r="DA402" i="21"/>
  <c r="DA309" i="21"/>
  <c r="DA303" i="21"/>
  <c r="DK112" i="12" s="1"/>
  <c r="DL114" i="12" s="1"/>
  <c r="DA285" i="21"/>
  <c r="DA276" i="21"/>
  <c r="DA268" i="21"/>
  <c r="DA266" i="21"/>
  <c r="DA267" i="21" s="1"/>
  <c r="DA265" i="21"/>
  <c r="DA250" i="21"/>
  <c r="DA238" i="21"/>
  <c r="DA220" i="21"/>
  <c r="DK25" i="15" s="1"/>
  <c r="DO26" i="15" s="1"/>
  <c r="DA215" i="21"/>
  <c r="DK11" i="15"/>
  <c r="DO12" i="15" s="1"/>
  <c r="DA201" i="21"/>
  <c r="DK81" i="13" s="1"/>
  <c r="DA169" i="21"/>
  <c r="DE170" i="21" s="1"/>
  <c r="DA137" i="21"/>
  <c r="DA130" i="21"/>
  <c r="DK141" i="17" s="1"/>
  <c r="DK145" i="17" s="1"/>
  <c r="DA104" i="21"/>
  <c r="DA107" i="21" s="1"/>
  <c r="DA89" i="21"/>
  <c r="DA95" i="21" s="1"/>
  <c r="DA70" i="21"/>
  <c r="DA80" i="21" s="1"/>
  <c r="DA36" i="21"/>
  <c r="DA38" i="21" s="1"/>
  <c r="DA41" i="21" s="1"/>
  <c r="DA47" i="21" s="1"/>
  <c r="DA52" i="21" s="1"/>
  <c r="DA54" i="21" s="1"/>
  <c r="DA56" i="21" s="1"/>
  <c r="DA29" i="21"/>
  <c r="DH48" i="6" s="1"/>
  <c r="DL49" i="6" s="1"/>
  <c r="DA27" i="21"/>
  <c r="DH42" i="6" s="1"/>
  <c r="DL43" i="6" s="1"/>
  <c r="DA26" i="21"/>
  <c r="DH39" i="6" s="1"/>
  <c r="DL40" i="6" s="1"/>
  <c r="DA20" i="21"/>
  <c r="DA10" i="21" s="1"/>
  <c r="DA7" i="21"/>
  <c r="DA6" i="21"/>
  <c r="DK346" i="12"/>
  <c r="DO347" i="12" s="1"/>
  <c r="DK246" i="12"/>
  <c r="DO247" i="12" s="1"/>
  <c r="DK27" i="14"/>
  <c r="CX137" i="22"/>
  <c r="AA395" i="12"/>
  <c r="AA425" i="12" s="1"/>
  <c r="E35" i="20"/>
  <c r="F30" i="20" s="1"/>
  <c r="S33" i="20"/>
  <c r="R33" i="20"/>
  <c r="R44" i="20" s="1"/>
  <c r="R48" i="20" s="1"/>
  <c r="Q33" i="20"/>
  <c r="N33" i="20"/>
  <c r="N44" i="20" s="1"/>
  <c r="M33" i="20"/>
  <c r="L33" i="20"/>
  <c r="L44" i="20" s="1"/>
  <c r="K33" i="20"/>
  <c r="J33" i="20"/>
  <c r="J44" i="20" s="1"/>
  <c r="I33" i="20"/>
  <c r="H33" i="20"/>
  <c r="C120" i="35" s="1"/>
  <c r="G33" i="20"/>
  <c r="F33" i="20"/>
  <c r="F44" i="20" s="1"/>
  <c r="E33" i="20"/>
  <c r="J27" i="20"/>
  <c r="I27" i="20"/>
  <c r="H27" i="20"/>
  <c r="F27" i="20"/>
  <c r="E27" i="20"/>
  <c r="E28" i="20" s="1"/>
  <c r="N24" i="20"/>
  <c r="M24" i="20"/>
  <c r="L24" i="20"/>
  <c r="K24" i="20"/>
  <c r="J24" i="20"/>
  <c r="I24" i="20"/>
  <c r="H24" i="20"/>
  <c r="G24" i="20"/>
  <c r="F24" i="20"/>
  <c r="N23" i="20"/>
  <c r="M23" i="20"/>
  <c r="L23" i="20"/>
  <c r="K23" i="20"/>
  <c r="J23" i="20"/>
  <c r="I23" i="20"/>
  <c r="H23" i="20"/>
  <c r="G23" i="20"/>
  <c r="F23" i="20"/>
  <c r="N19" i="20"/>
  <c r="M19" i="20"/>
  <c r="L19" i="20"/>
  <c r="K19" i="20"/>
  <c r="J19" i="20"/>
  <c r="I19" i="20"/>
  <c r="H19" i="20"/>
  <c r="G19" i="20"/>
  <c r="F19" i="20"/>
  <c r="N115" i="13" s="1"/>
  <c r="E19" i="20"/>
  <c r="N18" i="20"/>
  <c r="M18" i="20"/>
  <c r="L18" i="20"/>
  <c r="K18" i="20"/>
  <c r="J18" i="20"/>
  <c r="I18" i="20"/>
  <c r="H18" i="20"/>
  <c r="G18" i="20"/>
  <c r="F18" i="20"/>
  <c r="E18" i="20"/>
  <c r="Q14" i="20"/>
  <c r="S11" i="20"/>
  <c r="R11" i="20"/>
  <c r="Q11" i="20"/>
  <c r="N11" i="20"/>
  <c r="M11" i="20"/>
  <c r="L11" i="20"/>
  <c r="K11" i="20"/>
  <c r="J11" i="20"/>
  <c r="I11" i="20"/>
  <c r="H11" i="20"/>
  <c r="G11" i="20"/>
  <c r="F11" i="20"/>
  <c r="E11" i="20"/>
  <c r="E8" i="20"/>
  <c r="Q7" i="20"/>
  <c r="Q6" i="20"/>
  <c r="R6" i="20" s="1"/>
  <c r="S6" i="20" s="1"/>
  <c r="T6" i="20" s="1"/>
  <c r="U6" i="20" s="1"/>
  <c r="V6" i="20" s="1"/>
  <c r="W6" i="20" s="1"/>
  <c r="X6" i="20" s="1"/>
  <c r="Y6" i="20" s="1"/>
  <c r="Q5" i="20"/>
  <c r="R5" i="20" s="1"/>
  <c r="S5" i="20" s="1"/>
  <c r="T5" i="20" s="1"/>
  <c r="Q13" i="20"/>
  <c r="Y115" i="13" s="1"/>
  <c r="DI395" i="12"/>
  <c r="DI425" i="12" s="1"/>
  <c r="AA250" i="12"/>
  <c r="AA261" i="12"/>
  <c r="AA260" i="12"/>
  <c r="AA258" i="12" s="1"/>
  <c r="V460" i="12"/>
  <c r="DJ41" i="12"/>
  <c r="DD32" i="11" s="1"/>
  <c r="DJ249" i="12"/>
  <c r="DJ38" i="12"/>
  <c r="DJ21" i="12"/>
  <c r="CE309" i="21"/>
  <c r="CD309" i="21"/>
  <c r="CC309" i="21"/>
  <c r="CB309" i="21"/>
  <c r="CB311" i="21" s="1"/>
  <c r="CI309" i="21"/>
  <c r="CH309" i="21"/>
  <c r="CG309" i="21"/>
  <c r="CF309" i="21"/>
  <c r="CQ309" i="21"/>
  <c r="CP309" i="21"/>
  <c r="CO309" i="21"/>
  <c r="CN309" i="21"/>
  <c r="CM309" i="21"/>
  <c r="CL309" i="21"/>
  <c r="CK309" i="21"/>
  <c r="CJ309" i="21"/>
  <c r="CU309" i="21"/>
  <c r="CT309" i="21"/>
  <c r="CS309" i="21"/>
  <c r="CR309" i="21"/>
  <c r="CY309" i="21"/>
  <c r="CX309" i="21"/>
  <c r="CW309" i="21"/>
  <c r="CV309" i="21"/>
  <c r="CZ309" i="21"/>
  <c r="DJ23" i="12"/>
  <c r="DG74" i="6"/>
  <c r="DJ84" i="7" s="1"/>
  <c r="DG70" i="6"/>
  <c r="DG67" i="6"/>
  <c r="DJ74" i="8" s="1"/>
  <c r="DD109" i="6"/>
  <c r="DJ368" i="12"/>
  <c r="G22" i="37" s="1"/>
  <c r="DG367" i="12"/>
  <c r="DH367" i="12"/>
  <c r="DH364" i="12"/>
  <c r="DH53" i="13"/>
  <c r="DJ9" i="14"/>
  <c r="DJ11" i="14" s="1"/>
  <c r="DJ23" i="14"/>
  <c r="DK26" i="14" s="1"/>
  <c r="DJ69" i="14"/>
  <c r="DK70" i="14" s="1"/>
  <c r="CZ385" i="21"/>
  <c r="CZ303" i="21"/>
  <c r="DJ112" i="12" s="1"/>
  <c r="DJ126" i="12" s="1"/>
  <c r="CY303" i="21"/>
  <c r="CQ204" i="21"/>
  <c r="CZ94" i="21"/>
  <c r="CZ88" i="21"/>
  <c r="DJ41" i="7" s="1"/>
  <c r="CY76" i="21"/>
  <c r="CZ76" i="21"/>
  <c r="DJ28" i="7" s="1"/>
  <c r="CZ79" i="21"/>
  <c r="CW21" i="21"/>
  <c r="CV21" i="21"/>
  <c r="CU21" i="21"/>
  <c r="CT21" i="21"/>
  <c r="CS21" i="21"/>
  <c r="CR21" i="21"/>
  <c r="CQ21" i="21"/>
  <c r="DG146" i="6"/>
  <c r="DG115" i="6"/>
  <c r="DG109" i="6"/>
  <c r="DG103" i="6"/>
  <c r="DJ99" i="8" s="1"/>
  <c r="DJ100" i="8" s="1"/>
  <c r="DG84" i="6"/>
  <c r="DG78" i="6"/>
  <c r="DJ93" i="8" s="1"/>
  <c r="DJ60" i="7"/>
  <c r="DJ59" i="7"/>
  <c r="DJ58" i="7"/>
  <c r="DJ57" i="7"/>
  <c r="DJ56" i="7"/>
  <c r="DJ55" i="7"/>
  <c r="DJ54" i="7"/>
  <c r="DJ49" i="7"/>
  <c r="DJ48" i="7"/>
  <c r="DJ44" i="7"/>
  <c r="DJ43" i="7"/>
  <c r="DJ40" i="7"/>
  <c r="DJ39" i="7"/>
  <c r="DJ38" i="7"/>
  <c r="DJ31" i="7"/>
  <c r="DJ30" i="7"/>
  <c r="DJ29" i="7"/>
  <c r="DJ26" i="7"/>
  <c r="DJ22" i="7"/>
  <c r="DJ164" i="7" s="1"/>
  <c r="DJ181" i="7" s="1"/>
  <c r="DJ21" i="7"/>
  <c r="DJ196" i="7" s="1"/>
  <c r="DJ19" i="7"/>
  <c r="DJ18" i="7"/>
  <c r="DJ17" i="7"/>
  <c r="DJ16" i="7"/>
  <c r="DJ15" i="7"/>
  <c r="DJ13" i="7"/>
  <c r="DK97" i="7" s="1"/>
  <c r="DH72" i="6" s="1"/>
  <c r="DJ5" i="7"/>
  <c r="DJ113" i="8"/>
  <c r="DJ56" i="8"/>
  <c r="DJ55" i="8"/>
  <c r="DJ54" i="8"/>
  <c r="DJ53" i="8"/>
  <c r="DJ52" i="8"/>
  <c r="DJ78" i="8" s="1"/>
  <c r="DJ51" i="8"/>
  <c r="DJ50" i="8"/>
  <c r="DJ48" i="8"/>
  <c r="DJ43" i="8"/>
  <c r="DJ42" i="8"/>
  <c r="DJ41" i="8"/>
  <c r="DJ40" i="8"/>
  <c r="DJ39" i="8"/>
  <c r="DJ38" i="8"/>
  <c r="DJ92" i="8" s="1"/>
  <c r="DJ33" i="8"/>
  <c r="DJ32" i="8"/>
  <c r="DJ91" i="8" s="1"/>
  <c r="DJ26" i="8"/>
  <c r="DJ24" i="8"/>
  <c r="DJ23" i="8"/>
  <c r="DJ22" i="8"/>
  <c r="DJ21" i="8"/>
  <c r="DJ20" i="8"/>
  <c r="DJ19" i="8"/>
  <c r="DJ12" i="8"/>
  <c r="DJ73" i="8" s="1"/>
  <c r="DJ6" i="8"/>
  <c r="DJ738" i="12"/>
  <c r="DJ729" i="12"/>
  <c r="DJ720" i="12"/>
  <c r="DJ715" i="12"/>
  <c r="DJ713" i="12"/>
  <c r="DJ657" i="12"/>
  <c r="DJ464" i="12"/>
  <c r="DJ466" i="12" s="1"/>
  <c r="DJ461" i="12"/>
  <c r="DJ452" i="12"/>
  <c r="Z452" i="12" s="1"/>
  <c r="DJ381" i="12"/>
  <c r="DJ380" i="12" s="1"/>
  <c r="DJ361" i="12"/>
  <c r="DJ359" i="12" s="1"/>
  <c r="DJ331" i="12"/>
  <c r="DJ325" i="12"/>
  <c r="DJ329" i="12" s="1"/>
  <c r="DJ320" i="12"/>
  <c r="DJ277" i="12"/>
  <c r="DJ276" i="12"/>
  <c r="DJ274" i="12"/>
  <c r="DJ273" i="12"/>
  <c r="DJ271" i="12"/>
  <c r="DJ270" i="12"/>
  <c r="DJ181" i="12"/>
  <c r="DJ286" i="12"/>
  <c r="CW141" i="22" s="1"/>
  <c r="DJ255" i="12"/>
  <c r="DJ263" i="12"/>
  <c r="DJ156" i="12"/>
  <c r="DJ292" i="12" s="1"/>
  <c r="DJ294" i="12" s="1"/>
  <c r="CW138" i="22" s="1"/>
  <c r="DJ120" i="12"/>
  <c r="G21" i="37" s="1"/>
  <c r="DJ29" i="12"/>
  <c r="DJ27" i="12"/>
  <c r="DJ444" i="12" s="1"/>
  <c r="DJ5" i="12"/>
  <c r="DJ356" i="12" s="1"/>
  <c r="DJ297" i="13"/>
  <c r="DJ109" i="13"/>
  <c r="DJ101" i="13"/>
  <c r="DD102" i="11" s="1"/>
  <c r="DJ93" i="13"/>
  <c r="DD49" i="11" s="1"/>
  <c r="DJ87" i="13"/>
  <c r="DJ84" i="13"/>
  <c r="DD31" i="11" s="1"/>
  <c r="DJ72" i="13"/>
  <c r="CW127" i="22" s="1"/>
  <c r="DJ69" i="13"/>
  <c r="G48" i="37" s="1"/>
  <c r="DJ53" i="13"/>
  <c r="G42" i="37" s="1"/>
  <c r="DJ5" i="13"/>
  <c r="DJ95" i="14"/>
  <c r="DJ94" i="14"/>
  <c r="DJ83" i="14"/>
  <c r="DJ84" i="14" s="1"/>
  <c r="DJ80" i="14"/>
  <c r="DJ76" i="14"/>
  <c r="DJ65" i="14"/>
  <c r="DJ64" i="14"/>
  <c r="DJ50" i="14"/>
  <c r="DK55" i="14" s="1"/>
  <c r="DJ48" i="14"/>
  <c r="DJ151" i="15" s="1"/>
  <c r="DJ36" i="14"/>
  <c r="DJ37" i="14" s="1"/>
  <c r="DJ32" i="14" s="1"/>
  <c r="DJ30" i="14" s="1"/>
  <c r="DJ31" i="14" s="1"/>
  <c r="DJ33" i="14"/>
  <c r="DJ29" i="14"/>
  <c r="DJ25" i="14"/>
  <c r="DJ27" i="14"/>
  <c r="DK28" i="14" s="1"/>
  <c r="DJ16" i="14"/>
  <c r="DJ15" i="14"/>
  <c r="DJ12" i="14"/>
  <c r="DJ62" i="14"/>
  <c r="DJ10" i="14"/>
  <c r="DJ5" i="14"/>
  <c r="DJ58" i="14" s="1"/>
  <c r="DJ153" i="15"/>
  <c r="DJ115" i="15"/>
  <c r="DJ118" i="15" s="1"/>
  <c r="DJ98" i="15"/>
  <c r="DJ92" i="15"/>
  <c r="G38" i="37" s="1"/>
  <c r="DJ91" i="15"/>
  <c r="DJ21" i="15"/>
  <c r="DJ14" i="15"/>
  <c r="DJ5" i="15"/>
  <c r="DJ137" i="17"/>
  <c r="DJ134" i="17"/>
  <c r="DJ131" i="17"/>
  <c r="CW65" i="22" s="1"/>
  <c r="DJ52" i="17"/>
  <c r="DJ17" i="17"/>
  <c r="DJ5" i="17"/>
  <c r="DJ101" i="17" s="1"/>
  <c r="DJ5" i="16"/>
  <c r="DD6" i="11"/>
  <c r="CZ402" i="21"/>
  <c r="CZ390" i="21"/>
  <c r="DJ44" i="8" s="1"/>
  <c r="CZ381" i="21"/>
  <c r="DJ34" i="8" s="1"/>
  <c r="CZ285" i="21"/>
  <c r="CZ276" i="21"/>
  <c r="CZ268" i="21"/>
  <c r="DJ52" i="12" s="1"/>
  <c r="DD50" i="11" s="1"/>
  <c r="CZ266" i="21"/>
  <c r="CZ265" i="21"/>
  <c r="CZ257" i="21"/>
  <c r="CZ250" i="21"/>
  <c r="CZ238" i="21"/>
  <c r="CZ220" i="21"/>
  <c r="DJ25" i="15"/>
  <c r="CZ215" i="21"/>
  <c r="DJ11" i="15" s="1"/>
  <c r="DJ34" i="13" s="1"/>
  <c r="CZ199" i="21"/>
  <c r="CZ201" i="21" s="1"/>
  <c r="DJ81" i="13" s="1"/>
  <c r="CZ169" i="21"/>
  <c r="CZ137" i="21"/>
  <c r="CZ130" i="21"/>
  <c r="DJ141" i="17" s="1"/>
  <c r="DJ142" i="17" s="1"/>
  <c r="CZ104" i="21"/>
  <c r="CZ107" i="21" s="1"/>
  <c r="CZ89" i="21"/>
  <c r="CZ95" i="21" s="1"/>
  <c r="CZ70" i="21"/>
  <c r="CZ80" i="21" s="1"/>
  <c r="CZ27" i="21"/>
  <c r="DG42" i="6" s="1"/>
  <c r="CZ36" i="21"/>
  <c r="CZ38" i="21" s="1"/>
  <c r="CZ41" i="21" s="1"/>
  <c r="CZ47" i="21" s="1"/>
  <c r="CZ52" i="21" s="1"/>
  <c r="CZ54" i="21" s="1"/>
  <c r="CZ56" i="21" s="1"/>
  <c r="CZ29" i="21"/>
  <c r="DG48" i="6" s="1"/>
  <c r="CZ26" i="21"/>
  <c r="DG39" i="6" s="1"/>
  <c r="CZ20" i="21"/>
  <c r="CZ10" i="21" s="1"/>
  <c r="DJ11" i="16" s="1"/>
  <c r="DG18" i="6" s="1"/>
  <c r="CZ7" i="21"/>
  <c r="CZ6" i="21"/>
  <c r="W397" i="12"/>
  <c r="U397" i="12"/>
  <c r="DF397" i="12"/>
  <c r="V397" i="12" s="1"/>
  <c r="DE395" i="12"/>
  <c r="N63" i="19"/>
  <c r="N64" i="19" s="1"/>
  <c r="S33" i="19"/>
  <c r="R33" i="19"/>
  <c r="Q33" i="19"/>
  <c r="N33" i="19"/>
  <c r="N27" i="19"/>
  <c r="N24" i="19"/>
  <c r="N23" i="19"/>
  <c r="N19" i="19"/>
  <c r="N17" i="19"/>
  <c r="N18" i="19" s="1"/>
  <c r="X112" i="13"/>
  <c r="S11" i="19"/>
  <c r="R11" i="19"/>
  <c r="R46" i="19" s="1"/>
  <c r="Q11" i="19"/>
  <c r="Q46" i="19" s="1"/>
  <c r="N11" i="19"/>
  <c r="Q6" i="19"/>
  <c r="R6" i="19" s="1"/>
  <c r="S6" i="19" s="1"/>
  <c r="T6" i="19" s="1"/>
  <c r="U6" i="19" s="1"/>
  <c r="V6" i="19" s="1"/>
  <c r="W6" i="19" s="1"/>
  <c r="X6" i="19" s="1"/>
  <c r="Y6" i="19" s="1"/>
  <c r="Q5" i="19"/>
  <c r="R5" i="19" s="1"/>
  <c r="S5" i="19" s="1"/>
  <c r="T5" i="19" s="1"/>
  <c r="CD461" i="12"/>
  <c r="CW137" i="22"/>
  <c r="DG364" i="12"/>
  <c r="DF364" i="12"/>
  <c r="DE364" i="12"/>
  <c r="DD364" i="12"/>
  <c r="DC364" i="12"/>
  <c r="DB364" i="12"/>
  <c r="DA364" i="12"/>
  <c r="CZ364" i="12"/>
  <c r="CY364" i="12"/>
  <c r="CX364" i="12"/>
  <c r="DI249" i="12"/>
  <c r="DI23" i="14"/>
  <c r="DJ26" i="14" s="1"/>
  <c r="DI69" i="14"/>
  <c r="DJ72" i="14" s="1"/>
  <c r="CX303" i="21"/>
  <c r="CT137" i="21"/>
  <c r="CY48" i="21"/>
  <c r="DF78" i="6" s="1"/>
  <c r="DI93" i="8" s="1"/>
  <c r="CY44" i="21"/>
  <c r="CY35" i="21"/>
  <c r="CY34" i="21"/>
  <c r="CY131" i="21"/>
  <c r="DF146" i="6"/>
  <c r="DF115" i="6"/>
  <c r="DF109" i="6"/>
  <c r="DF103" i="6"/>
  <c r="DJ104" i="6" s="1"/>
  <c r="DJ110" i="6" s="1"/>
  <c r="DF84" i="6"/>
  <c r="DF74" i="6"/>
  <c r="DI94" i="8" s="1"/>
  <c r="DF70" i="6"/>
  <c r="DF67" i="6"/>
  <c r="DI60" i="7"/>
  <c r="V60" i="7" s="1"/>
  <c r="V101" i="7" s="1"/>
  <c r="DI59" i="7"/>
  <c r="V59" i="7" s="1"/>
  <c r="DI58" i="7"/>
  <c r="V58" i="7" s="1"/>
  <c r="DI57" i="7"/>
  <c r="V57" i="7" s="1"/>
  <c r="DI56" i="7"/>
  <c r="DI55" i="7"/>
  <c r="V55" i="7" s="1"/>
  <c r="DI54" i="7"/>
  <c r="DI49" i="7"/>
  <c r="DI48" i="7"/>
  <c r="V48" i="7" s="1"/>
  <c r="DI44" i="7"/>
  <c r="DI43" i="7"/>
  <c r="V43" i="7" s="1"/>
  <c r="DI41" i="7"/>
  <c r="DI40" i="7"/>
  <c r="DI39" i="7"/>
  <c r="V39" i="7" s="1"/>
  <c r="DI38" i="7"/>
  <c r="DI82" i="7" s="1"/>
  <c r="DI31" i="7"/>
  <c r="V31" i="7" s="1"/>
  <c r="DI30" i="7"/>
  <c r="DI29" i="7"/>
  <c r="DI28" i="7"/>
  <c r="V28" i="7" s="1"/>
  <c r="DI26" i="7"/>
  <c r="V26" i="7" s="1"/>
  <c r="DI22" i="7"/>
  <c r="DI21" i="7"/>
  <c r="DI196" i="7" s="1"/>
  <c r="DI19" i="7"/>
  <c r="V19" i="7" s="1"/>
  <c r="DI18" i="7"/>
  <c r="DI17" i="7"/>
  <c r="V17" i="7" s="1"/>
  <c r="DI16" i="7"/>
  <c r="V16" i="7" s="1"/>
  <c r="DI15" i="7"/>
  <c r="V15" i="7" s="1"/>
  <c r="DI13" i="7"/>
  <c r="DI5" i="7"/>
  <c r="DI113" i="8"/>
  <c r="DI75" i="8"/>
  <c r="DI54" i="8"/>
  <c r="DI41" i="8"/>
  <c r="DI40" i="8"/>
  <c r="DI26" i="8"/>
  <c r="DI20" i="8"/>
  <c r="DI19" i="8"/>
  <c r="DI6" i="8"/>
  <c r="DI738" i="12"/>
  <c r="DI729" i="12"/>
  <c r="DI720" i="12"/>
  <c r="DI726" i="12" s="1"/>
  <c r="DI715" i="12"/>
  <c r="DI713" i="12"/>
  <c r="DI657" i="12"/>
  <c r="DI464" i="12"/>
  <c r="DI466" i="12" s="1"/>
  <c r="DI461" i="12"/>
  <c r="DI452" i="12"/>
  <c r="DI381" i="12"/>
  <c r="DI390" i="12" s="1"/>
  <c r="DI361" i="12"/>
  <c r="DI359" i="12" s="1"/>
  <c r="DI331" i="12"/>
  <c r="DI325" i="12"/>
  <c r="DI320" i="12"/>
  <c r="DI277" i="12"/>
  <c r="DI276" i="12"/>
  <c r="DI274" i="12"/>
  <c r="DI273" i="12"/>
  <c r="DI271" i="12"/>
  <c r="DI270" i="12"/>
  <c r="DI181" i="12"/>
  <c r="DI286" i="12"/>
  <c r="DI255" i="12"/>
  <c r="DI256" i="12" s="1"/>
  <c r="CV155" i="22" s="1"/>
  <c r="DI263" i="12"/>
  <c r="DI156" i="12"/>
  <c r="DI120" i="12"/>
  <c r="F21" i="37" s="1"/>
  <c r="DI112" i="12"/>
  <c r="DI126" i="12" s="1"/>
  <c r="DI41" i="12"/>
  <c r="DI38" i="12"/>
  <c r="DI471" i="12" s="1"/>
  <c r="DI29" i="12"/>
  <c r="DI27" i="12"/>
  <c r="DI23" i="12"/>
  <c r="DI21" i="12"/>
  <c r="DI5" i="12"/>
  <c r="DI383" i="12" s="1"/>
  <c r="DI297" i="13"/>
  <c r="DI109" i="13"/>
  <c r="DJ110" i="13" s="1"/>
  <c r="DI101" i="13"/>
  <c r="DI93" i="13"/>
  <c r="DI87" i="13"/>
  <c r="DC22" i="11" s="1"/>
  <c r="DI84" i="13"/>
  <c r="DC31" i="11" s="1"/>
  <c r="CV127" i="22"/>
  <c r="DI53" i="13"/>
  <c r="DI5" i="13"/>
  <c r="DI95" i="14"/>
  <c r="DI94" i="14"/>
  <c r="DI83" i="14"/>
  <c r="DI84" i="14" s="1"/>
  <c r="DI79" i="14" s="1"/>
  <c r="DI77" i="14" s="1"/>
  <c r="DI78" i="14" s="1"/>
  <c r="DI80" i="14"/>
  <c r="DI76" i="14"/>
  <c r="DI65" i="14"/>
  <c r="DI64" i="14"/>
  <c r="DI50" i="14"/>
  <c r="DI48" i="14"/>
  <c r="DI36" i="14"/>
  <c r="DI37" i="14" s="1"/>
  <c r="DI33" i="14"/>
  <c r="DI29" i="14"/>
  <c r="DI25" i="14"/>
  <c r="DI27" i="14"/>
  <c r="DI16" i="14"/>
  <c r="DI15" i="14"/>
  <c r="DI12" i="14"/>
  <c r="DI62" i="14" s="1"/>
  <c r="DI10" i="14"/>
  <c r="DI5" i="14"/>
  <c r="DI58" i="14" s="1"/>
  <c r="DI153" i="15"/>
  <c r="DI152" i="15"/>
  <c r="DI115" i="15"/>
  <c r="DI98" i="15"/>
  <c r="DI92" i="15"/>
  <c r="F38" i="37" s="1"/>
  <c r="DI91" i="15"/>
  <c r="DI21" i="15"/>
  <c r="V21" i="15" s="1"/>
  <c r="DI14" i="15"/>
  <c r="DI5" i="15"/>
  <c r="DI5" i="16"/>
  <c r="DI137" i="17"/>
  <c r="DI134" i="17"/>
  <c r="DM135" i="17" s="1"/>
  <c r="DI131" i="17"/>
  <c r="DI52" i="17"/>
  <c r="DI17" i="17"/>
  <c r="DI5" i="17"/>
  <c r="DI101" i="17" s="1"/>
  <c r="DC6" i="11"/>
  <c r="CY285" i="21"/>
  <c r="CY276" i="21"/>
  <c r="DI47" i="12" s="1"/>
  <c r="CY268" i="21"/>
  <c r="DI52" i="12" s="1"/>
  <c r="CY266" i="21"/>
  <c r="CY265" i="21"/>
  <c r="CY257" i="21"/>
  <c r="CY250" i="21"/>
  <c r="CY238" i="21"/>
  <c r="CY220" i="21"/>
  <c r="DI25" i="15" s="1"/>
  <c r="V25" i="15" s="1"/>
  <c r="CY215" i="21"/>
  <c r="DI11" i="15" s="1"/>
  <c r="DI34" i="13" s="1"/>
  <c r="CY199" i="21"/>
  <c r="CY201" i="21" s="1"/>
  <c r="DI81" i="13" s="1"/>
  <c r="CY169" i="21"/>
  <c r="DC170" i="21" s="1"/>
  <c r="CY137" i="21"/>
  <c r="CY130" i="21"/>
  <c r="DI141" i="17" s="1"/>
  <c r="CY104" i="21"/>
  <c r="CY107" i="21" s="1"/>
  <c r="CY89" i="21"/>
  <c r="CY95" i="21" s="1"/>
  <c r="CY70" i="21"/>
  <c r="CY80" i="21"/>
  <c r="CY27" i="21"/>
  <c r="DF42" i="6" s="1"/>
  <c r="CY36" i="21"/>
  <c r="CY38" i="21" s="1"/>
  <c r="CY41" i="21" s="1"/>
  <c r="CY47" i="21" s="1"/>
  <c r="CY52" i="21" s="1"/>
  <c r="CY54" i="21" s="1"/>
  <c r="CY56" i="21" s="1"/>
  <c r="CY29" i="21"/>
  <c r="DF48" i="6"/>
  <c r="DJ49" i="6" s="1"/>
  <c r="CY20" i="21"/>
  <c r="CY10" i="21" s="1"/>
  <c r="CY7" i="21"/>
  <c r="CY6" i="21"/>
  <c r="BY155" i="22"/>
  <c r="BX155" i="22"/>
  <c r="BW155" i="22"/>
  <c r="BV155" i="22"/>
  <c r="BU155" i="22"/>
  <c r="BT155" i="22"/>
  <c r="BS155" i="22"/>
  <c r="BR155" i="22"/>
  <c r="BQ155" i="22"/>
  <c r="BP155" i="22"/>
  <c r="BO155" i="22"/>
  <c r="BN155" i="22"/>
  <c r="BM155" i="22"/>
  <c r="V155" i="22"/>
  <c r="U155" i="22"/>
  <c r="T155" i="22"/>
  <c r="R155" i="22"/>
  <c r="Q155" i="22"/>
  <c r="P155" i="22"/>
  <c r="O155" i="22"/>
  <c r="N155" i="22"/>
  <c r="K155" i="22"/>
  <c r="J155" i="22"/>
  <c r="CB148" i="22"/>
  <c r="CA148" i="22"/>
  <c r="BZ148" i="22"/>
  <c r="BY148" i="22"/>
  <c r="L148" i="22"/>
  <c r="BT138" i="22"/>
  <c r="BS138" i="22"/>
  <c r="BR138" i="22"/>
  <c r="BQ138" i="22"/>
  <c r="BP138" i="22"/>
  <c r="BO138" i="22"/>
  <c r="BN138" i="22"/>
  <c r="BM138" i="22"/>
  <c r="CV137" i="22"/>
  <c r="CU137" i="22"/>
  <c r="CT137" i="22"/>
  <c r="CS137" i="22"/>
  <c r="CR137" i="22"/>
  <c r="CQ137" i="22"/>
  <c r="CP137" i="22"/>
  <c r="CO137" i="22"/>
  <c r="CN137" i="22"/>
  <c r="CM137" i="22"/>
  <c r="CL137" i="22"/>
  <c r="CK137" i="22"/>
  <c r="CJ137" i="22"/>
  <c r="CI137" i="22"/>
  <c r="CH137" i="22"/>
  <c r="CG137" i="22"/>
  <c r="CF137" i="22"/>
  <c r="CE137" i="22"/>
  <c r="CD137" i="22"/>
  <c r="CC137" i="22"/>
  <c r="CB137" i="22"/>
  <c r="CA137" i="22"/>
  <c r="BZ137" i="22"/>
  <c r="BY137" i="22"/>
  <c r="BX137" i="22"/>
  <c r="BW137" i="22"/>
  <c r="BV137" i="22"/>
  <c r="BU137" i="22"/>
  <c r="BT137" i="22"/>
  <c r="BS137" i="22"/>
  <c r="BR137" i="22"/>
  <c r="BQ137" i="22"/>
  <c r="BP137" i="22"/>
  <c r="BO137" i="22"/>
  <c r="BN137" i="22"/>
  <c r="BM137" i="22"/>
  <c r="CU136" i="22"/>
  <c r="CT136" i="22"/>
  <c r="CS136" i="22"/>
  <c r="CR136" i="22"/>
  <c r="CQ136" i="22"/>
  <c r="CP136" i="22"/>
  <c r="CO136" i="22"/>
  <c r="CN136" i="22"/>
  <c r="CM136" i="22"/>
  <c r="CL136" i="22"/>
  <c r="CK136" i="22"/>
  <c r="CJ136" i="22"/>
  <c r="CI136" i="22"/>
  <c r="CH136" i="22"/>
  <c r="CG136" i="22"/>
  <c r="CF136" i="22"/>
  <c r="CE136" i="22"/>
  <c r="CD136" i="22"/>
  <c r="CC136" i="22"/>
  <c r="CB136" i="22"/>
  <c r="CA136" i="22"/>
  <c r="BZ136" i="22"/>
  <c r="BY136" i="22"/>
  <c r="BX136" i="22"/>
  <c r="BW136" i="22"/>
  <c r="BV136" i="22"/>
  <c r="BU136" i="22"/>
  <c r="BT136" i="22"/>
  <c r="BS136" i="22"/>
  <c r="BR136" i="22"/>
  <c r="BQ136" i="22"/>
  <c r="BP136" i="22"/>
  <c r="BO136" i="22"/>
  <c r="BN136" i="22"/>
  <c r="BM136" i="22"/>
  <c r="BT135" i="22"/>
  <c r="BS135" i="22"/>
  <c r="BR135" i="22"/>
  <c r="BQ135" i="22"/>
  <c r="BP135" i="22"/>
  <c r="BO135" i="22"/>
  <c r="BN135" i="22"/>
  <c r="BM135" i="22"/>
  <c r="L138" i="22"/>
  <c r="K138" i="22"/>
  <c r="J138" i="22"/>
  <c r="L137" i="22"/>
  <c r="K137" i="22"/>
  <c r="J137" i="22"/>
  <c r="L136" i="22"/>
  <c r="K136" i="22"/>
  <c r="J136" i="22"/>
  <c r="CU133" i="22"/>
  <c r="CT133" i="22"/>
  <c r="CS133" i="22"/>
  <c r="CR133" i="22"/>
  <c r="CQ133" i="22"/>
  <c r="CP133" i="22"/>
  <c r="CO133" i="22"/>
  <c r="CN133" i="22"/>
  <c r="CM133" i="22"/>
  <c r="CL133" i="22"/>
  <c r="CK133" i="22"/>
  <c r="CJ133" i="22"/>
  <c r="CI133" i="22"/>
  <c r="CH133" i="22"/>
  <c r="CG133" i="22"/>
  <c r="CF133" i="22"/>
  <c r="CE133" i="22"/>
  <c r="CD133" i="22"/>
  <c r="CC133" i="22"/>
  <c r="CB133" i="22"/>
  <c r="CA133" i="22"/>
  <c r="BZ133" i="22"/>
  <c r="BY133" i="22"/>
  <c r="BT133" i="22"/>
  <c r="BS133" i="22"/>
  <c r="BR133" i="22"/>
  <c r="BQ133" i="22"/>
  <c r="BP133" i="22"/>
  <c r="BO133" i="22"/>
  <c r="BN133" i="22"/>
  <c r="BM133" i="22"/>
  <c r="J133" i="22"/>
  <c r="BT127" i="22"/>
  <c r="BS127" i="22"/>
  <c r="BR127" i="22"/>
  <c r="BQ127" i="22"/>
  <c r="BP127" i="22"/>
  <c r="BO127" i="22"/>
  <c r="BN127" i="22"/>
  <c r="BM127" i="22"/>
  <c r="BT125" i="22"/>
  <c r="BS125" i="22"/>
  <c r="BR125" i="22"/>
  <c r="BQ125" i="22"/>
  <c r="BP125" i="22"/>
  <c r="BO125" i="22"/>
  <c r="BN125" i="22"/>
  <c r="BM125" i="22"/>
  <c r="BT123" i="22"/>
  <c r="BS123" i="22"/>
  <c r="BR123" i="22"/>
  <c r="BQ123" i="22"/>
  <c r="BP123" i="22"/>
  <c r="BO123" i="22"/>
  <c r="BN123" i="22"/>
  <c r="BM123" i="22"/>
  <c r="CB128" i="22"/>
  <c r="CA128" i="22"/>
  <c r="BZ128" i="22"/>
  <c r="BY128" i="22"/>
  <c r="CB126" i="22"/>
  <c r="CA126" i="22"/>
  <c r="BZ126" i="22"/>
  <c r="BY126" i="22"/>
  <c r="CB124" i="22"/>
  <c r="CA124" i="22"/>
  <c r="BZ124" i="22"/>
  <c r="BY124" i="22"/>
  <c r="V128" i="22"/>
  <c r="P124" i="22"/>
  <c r="BU119" i="22"/>
  <c r="CU116" i="22"/>
  <c r="CT116" i="22"/>
  <c r="CS116" i="22"/>
  <c r="CR116" i="22"/>
  <c r="CQ116" i="22"/>
  <c r="CP116" i="22"/>
  <c r="CO116" i="22"/>
  <c r="CN116" i="22"/>
  <c r="CM116" i="22"/>
  <c r="CL116" i="22"/>
  <c r="CK116" i="22"/>
  <c r="CJ116" i="22"/>
  <c r="CI116" i="22"/>
  <c r="CH116" i="22"/>
  <c r="CG116" i="22"/>
  <c r="CF116" i="22"/>
  <c r="CE116" i="22"/>
  <c r="CD116" i="22"/>
  <c r="CC116" i="22"/>
  <c r="CB116" i="22"/>
  <c r="CA116" i="22"/>
  <c r="BZ116" i="22"/>
  <c r="BY116" i="22"/>
  <c r="BG116" i="22"/>
  <c r="BC116" i="22"/>
  <c r="BB116" i="22"/>
  <c r="CS114" i="22"/>
  <c r="CR114" i="22"/>
  <c r="CQ114" i="22"/>
  <c r="CP114" i="22"/>
  <c r="CO114" i="22"/>
  <c r="CN114" i="22"/>
  <c r="CM114" i="22"/>
  <c r="CL114" i="22"/>
  <c r="CK114" i="22"/>
  <c r="CJ114" i="22"/>
  <c r="CI114" i="22"/>
  <c r="CH114" i="22"/>
  <c r="CG114" i="22"/>
  <c r="CF114" i="22"/>
  <c r="CE114" i="22"/>
  <c r="CD114" i="22"/>
  <c r="CC114" i="22"/>
  <c r="CB114" i="22"/>
  <c r="CA114" i="22"/>
  <c r="BZ114" i="22"/>
  <c r="BY114" i="22"/>
  <c r="BS114" i="22"/>
  <c r="BR114" i="22"/>
  <c r="BQ114" i="22"/>
  <c r="BP114" i="22"/>
  <c r="BO114" i="22"/>
  <c r="BN114" i="22"/>
  <c r="BM114" i="22"/>
  <c r="CS113" i="22"/>
  <c r="CR113" i="22"/>
  <c r="CQ113" i="22"/>
  <c r="CP113" i="22"/>
  <c r="CO113" i="22"/>
  <c r="CN113" i="22"/>
  <c r="CM113" i="22"/>
  <c r="CL113" i="22"/>
  <c r="CK113" i="22"/>
  <c r="CJ113" i="22"/>
  <c r="CI113" i="22"/>
  <c r="CH113" i="22"/>
  <c r="CG113" i="22"/>
  <c r="CF113" i="22"/>
  <c r="CE113" i="22"/>
  <c r="CD113" i="22"/>
  <c r="CC113" i="22"/>
  <c r="CB113" i="22"/>
  <c r="CA113" i="22"/>
  <c r="BZ113" i="22"/>
  <c r="BY113" i="22"/>
  <c r="BS113" i="22"/>
  <c r="BR113" i="22"/>
  <c r="BQ113" i="22"/>
  <c r="BP113" i="22"/>
  <c r="BM113" i="22"/>
  <c r="CU112" i="22"/>
  <c r="CT112" i="22"/>
  <c r="CS112" i="22"/>
  <c r="CR112" i="22"/>
  <c r="CQ112" i="22"/>
  <c r="CP112" i="22"/>
  <c r="CO112" i="22"/>
  <c r="CN112" i="22"/>
  <c r="CM112" i="22"/>
  <c r="CL112" i="22"/>
  <c r="CK112" i="22"/>
  <c r="CJ112" i="22"/>
  <c r="CH112" i="22"/>
  <c r="CG112" i="22"/>
  <c r="CF112" i="22"/>
  <c r="CE112" i="22"/>
  <c r="BT112" i="22"/>
  <c r="BS112" i="22"/>
  <c r="BR112" i="22"/>
  <c r="BQ112" i="22"/>
  <c r="BO112" i="22"/>
  <c r="BN112" i="22"/>
  <c r="BM112" i="22"/>
  <c r="BL112" i="22"/>
  <c r="I114" i="22"/>
  <c r="H114" i="22"/>
  <c r="I113" i="22"/>
  <c r="H113" i="22"/>
  <c r="I112" i="22"/>
  <c r="H112" i="22"/>
  <c r="G112" i="22"/>
  <c r="A102" i="22"/>
  <c r="CZ42" i="22"/>
  <c r="CY42" i="22"/>
  <c r="CX42" i="22"/>
  <c r="CW42" i="22"/>
  <c r="CV42" i="22"/>
  <c r="CU42" i="22"/>
  <c r="CT42" i="22"/>
  <c r="CS42" i="22"/>
  <c r="CR42" i="22"/>
  <c r="CQ42" i="22"/>
  <c r="CP42" i="22"/>
  <c r="CO42" i="22"/>
  <c r="BZ42" i="22"/>
  <c r="BY42" i="22"/>
  <c r="BX42" i="22"/>
  <c r="BW42" i="22"/>
  <c r="BV42" i="22"/>
  <c r="BU42" i="22"/>
  <c r="BT42" i="22"/>
  <c r="BS42" i="22"/>
  <c r="BR42" i="22"/>
  <c r="BQ42" i="22"/>
  <c r="BP42" i="22"/>
  <c r="BO42" i="22"/>
  <c r="BN42" i="22"/>
  <c r="BM42" i="22"/>
  <c r="BQ39" i="22"/>
  <c r="BM39" i="22"/>
  <c r="BM34" i="22"/>
  <c r="BM33" i="22"/>
  <c r="CU32" i="22"/>
  <c r="CT32" i="22"/>
  <c r="CS32" i="22"/>
  <c r="CR32" i="22"/>
  <c r="CQ32" i="22"/>
  <c r="CP32" i="22"/>
  <c r="CO32" i="22"/>
  <c r="CN32" i="22"/>
  <c r="CM32" i="22"/>
  <c r="CL32" i="22"/>
  <c r="CK32" i="22"/>
  <c r="CJ32" i="22"/>
  <c r="CI32" i="22"/>
  <c r="CH32" i="22"/>
  <c r="CG32" i="22"/>
  <c r="CF32" i="22"/>
  <c r="CE32" i="22"/>
  <c r="CD32" i="22"/>
  <c r="CC32" i="22"/>
  <c r="CB32" i="22"/>
  <c r="CA32" i="22"/>
  <c r="BZ32" i="22"/>
  <c r="BY32" i="22"/>
  <c r="BS32" i="22"/>
  <c r="BR32" i="22"/>
  <c r="BQ32" i="22"/>
  <c r="BP32" i="22"/>
  <c r="I32" i="22" s="1"/>
  <c r="BO32" i="22"/>
  <c r="BN32" i="22"/>
  <c r="BM32" i="22"/>
  <c r="BM31" i="22"/>
  <c r="CU29" i="22"/>
  <c r="CT29" i="22"/>
  <c r="CS29" i="22"/>
  <c r="CR29" i="22"/>
  <c r="CQ29" i="22"/>
  <c r="CP29" i="22"/>
  <c r="CO29" i="22"/>
  <c r="CN29" i="22"/>
  <c r="CM29" i="22"/>
  <c r="CL29" i="22"/>
  <c r="CK29" i="22"/>
  <c r="CJ29" i="22"/>
  <c r="CI29" i="22"/>
  <c r="CH29" i="22"/>
  <c r="CG29" i="22"/>
  <c r="CF29" i="22"/>
  <c r="CE29" i="22"/>
  <c r="CD29" i="22"/>
  <c r="CC29" i="22"/>
  <c r="CB29" i="22"/>
  <c r="CA29" i="22"/>
  <c r="BZ29" i="22"/>
  <c r="BY29" i="22"/>
  <c r="BS29" i="22"/>
  <c r="BR29" i="22"/>
  <c r="BQ29" i="22"/>
  <c r="BP29" i="22"/>
  <c r="BO29" i="22"/>
  <c r="BN29" i="22"/>
  <c r="BM29" i="22"/>
  <c r="I34" i="22"/>
  <c r="I33" i="22"/>
  <c r="I31" i="22"/>
  <c r="I30" i="22"/>
  <c r="I29" i="22"/>
  <c r="CC28" i="22"/>
  <c r="CB28" i="22"/>
  <c r="CA28" i="22"/>
  <c r="BZ28" i="22"/>
  <c r="BY28" i="22"/>
  <c r="BX28" i="22"/>
  <c r="BW28" i="22"/>
  <c r="BV28" i="22"/>
  <c r="BU28" i="22"/>
  <c r="BN28" i="22"/>
  <c r="BM28" i="22"/>
  <c r="R28" i="22"/>
  <c r="Q28" i="22"/>
  <c r="P28" i="22"/>
  <c r="O28" i="22"/>
  <c r="N28" i="22"/>
  <c r="M28" i="22"/>
  <c r="R27" i="22"/>
  <c r="Q27" i="22"/>
  <c r="P27" i="22"/>
  <c r="O27" i="22"/>
  <c r="N27" i="22"/>
  <c r="M27" i="22"/>
  <c r="CU26" i="22"/>
  <c r="CT26" i="22"/>
  <c r="CS26" i="22"/>
  <c r="CR26" i="22"/>
  <c r="CQ26" i="22"/>
  <c r="CP26" i="22"/>
  <c r="CO26" i="22"/>
  <c r="CN26" i="22"/>
  <c r="CM26" i="22"/>
  <c r="CL26" i="22"/>
  <c r="CK26" i="22"/>
  <c r="CJ26" i="22"/>
  <c r="CI26" i="22"/>
  <c r="CH26" i="22"/>
  <c r="CG26" i="22"/>
  <c r="CF26" i="22"/>
  <c r="CE26" i="22"/>
  <c r="CD26" i="22"/>
  <c r="CC26" i="22"/>
  <c r="CB26" i="22"/>
  <c r="CA26" i="22"/>
  <c r="BZ26" i="22"/>
  <c r="BY26" i="22"/>
  <c r="BP7" i="22"/>
  <c r="I7" i="22" s="1"/>
  <c r="BO7" i="22"/>
  <c r="BN7" i="22"/>
  <c r="BM7" i="22"/>
  <c r="CZ2" i="22"/>
  <c r="CY2" i="22"/>
  <c r="CX2" i="22"/>
  <c r="CW2" i="22"/>
  <c r="CV2" i="22"/>
  <c r="CU2" i="22"/>
  <c r="CT2" i="22"/>
  <c r="CS2" i="22"/>
  <c r="CR2" i="22"/>
  <c r="CQ2" i="22"/>
  <c r="CP2" i="22"/>
  <c r="CO2" i="22"/>
  <c r="CN2" i="22"/>
  <c r="CM2" i="22"/>
  <c r="CL2" i="22"/>
  <c r="CK2" i="22"/>
  <c r="CJ2" i="22"/>
  <c r="CI2" i="22"/>
  <c r="CH2" i="22"/>
  <c r="CG2" i="22"/>
  <c r="CF2" i="22"/>
  <c r="CE2" i="22"/>
  <c r="CD2" i="22"/>
  <c r="CC2" i="22"/>
  <c r="CB2" i="22"/>
  <c r="CA2" i="22"/>
  <c r="BZ2" i="22"/>
  <c r="BY2" i="22"/>
  <c r="BX2" i="22"/>
  <c r="BW2" i="22"/>
  <c r="BV2" i="22"/>
  <c r="BU2" i="22"/>
  <c r="BT2" i="22"/>
  <c r="BS2" i="22"/>
  <c r="BR2" i="22"/>
  <c r="BQ2" i="22"/>
  <c r="BP2" i="22"/>
  <c r="BO2" i="22"/>
  <c r="BN2" i="22"/>
  <c r="BM2" i="22"/>
  <c r="V2" i="22"/>
  <c r="U2" i="22"/>
  <c r="T2" i="22"/>
  <c r="S2" i="22"/>
  <c r="R2" i="22"/>
  <c r="Q2" i="22"/>
  <c r="P2" i="22"/>
  <c r="O2" i="22"/>
  <c r="N2" i="22"/>
  <c r="M2" i="22"/>
  <c r="L2" i="22"/>
  <c r="K2" i="22"/>
  <c r="J2" i="22"/>
  <c r="I2" i="22"/>
  <c r="CE450" i="21"/>
  <c r="CD450" i="21"/>
  <c r="CC450" i="21"/>
  <c r="CB450" i="21"/>
  <c r="CA450" i="21"/>
  <c r="BZ450" i="21"/>
  <c r="BY450" i="21"/>
  <c r="BX450" i="21"/>
  <c r="BW450" i="21"/>
  <c r="BV450" i="21"/>
  <c r="BU450" i="21"/>
  <c r="BT450" i="21"/>
  <c r="BS450" i="21"/>
  <c r="BR450" i="21"/>
  <c r="BQ450" i="21"/>
  <c r="BP450" i="21"/>
  <c r="CE449" i="21"/>
  <c r="CE451" i="21" s="1"/>
  <c r="CD449" i="21"/>
  <c r="CD451" i="21" s="1"/>
  <c r="CC449" i="21"/>
  <c r="CB449" i="21"/>
  <c r="CB451" i="21"/>
  <c r="CA449" i="21"/>
  <c r="CA451" i="21" s="1"/>
  <c r="CA452" i="21" s="1"/>
  <c r="BZ449" i="21"/>
  <c r="BZ451" i="21"/>
  <c r="BY449" i="21"/>
  <c r="BY451" i="21" s="1"/>
  <c r="BX449" i="21"/>
  <c r="BX451" i="21" s="1"/>
  <c r="BW449" i="21"/>
  <c r="BW451" i="21" s="1"/>
  <c r="BV449" i="21"/>
  <c r="BV451" i="21" s="1"/>
  <c r="BU449" i="21"/>
  <c r="BU451" i="21" s="1"/>
  <c r="BT449" i="21"/>
  <c r="BT451" i="21" s="1"/>
  <c r="BS449" i="21"/>
  <c r="BS451" i="21" s="1"/>
  <c r="BS453" i="21" s="1"/>
  <c r="BR449" i="21"/>
  <c r="BR451" i="21"/>
  <c r="BQ449" i="21"/>
  <c r="BQ451" i="21" s="1"/>
  <c r="BQ453" i="21" s="1"/>
  <c r="BP449" i="21"/>
  <c r="BP451" i="21" s="1"/>
  <c r="A449" i="21"/>
  <c r="CE437" i="21"/>
  <c r="CD437" i="21"/>
  <c r="CC437" i="21"/>
  <c r="CB437" i="21"/>
  <c r="CA437" i="21"/>
  <c r="CA439" i="21" s="1"/>
  <c r="BZ437" i="21"/>
  <c r="BZ439" i="21" s="1"/>
  <c r="BY437" i="21"/>
  <c r="BX437" i="21"/>
  <c r="BX439" i="21" s="1"/>
  <c r="BW437" i="21"/>
  <c r="BW439" i="21" s="1"/>
  <c r="BV437" i="21"/>
  <c r="BV439" i="21" s="1"/>
  <c r="BU437" i="21"/>
  <c r="BU439" i="21" s="1"/>
  <c r="BT437" i="21"/>
  <c r="BT439" i="21" s="1"/>
  <c r="BS437" i="21"/>
  <c r="BS439" i="21" s="1"/>
  <c r="BR437" i="21"/>
  <c r="BR439" i="21" s="1"/>
  <c r="BQ437" i="21"/>
  <c r="BP437" i="21"/>
  <c r="BP439" i="21" s="1"/>
  <c r="CE433" i="21"/>
  <c r="CE442" i="21" s="1"/>
  <c r="CD433" i="21"/>
  <c r="CD442" i="21" s="1"/>
  <c r="CC433" i="21"/>
  <c r="CB433" i="21"/>
  <c r="CA433" i="21"/>
  <c r="CA442" i="21" s="1"/>
  <c r="BZ433" i="21"/>
  <c r="BZ442" i="21" s="1"/>
  <c r="BY433" i="21"/>
  <c r="BX433" i="21"/>
  <c r="BX442" i="21" s="1"/>
  <c r="BW433" i="21"/>
  <c r="BW442" i="21" s="1"/>
  <c r="BV433" i="21"/>
  <c r="BU433" i="21"/>
  <c r="BU435" i="21" s="1"/>
  <c r="BT433" i="21"/>
  <c r="BT442" i="21" s="1"/>
  <c r="BT444" i="21" s="1"/>
  <c r="BT445" i="21" s="1"/>
  <c r="BS433" i="21"/>
  <c r="BR433" i="21"/>
  <c r="BR442" i="21" s="1"/>
  <c r="BQ433" i="21"/>
  <c r="BP433" i="21"/>
  <c r="CE430" i="21"/>
  <c r="CD430" i="21"/>
  <c r="CC430" i="21"/>
  <c r="CB430" i="21"/>
  <c r="CA430" i="21"/>
  <c r="BZ430" i="21"/>
  <c r="BY430" i="21"/>
  <c r="BX430" i="21"/>
  <c r="BW430" i="21"/>
  <c r="BV430" i="21"/>
  <c r="BU430" i="21"/>
  <c r="BT430" i="21"/>
  <c r="BO429" i="21"/>
  <c r="BN429" i="21"/>
  <c r="BM429" i="21"/>
  <c r="BL429" i="21"/>
  <c r="CE428" i="21"/>
  <c r="CD428" i="21"/>
  <c r="CC428" i="21"/>
  <c r="CB428" i="21"/>
  <c r="CA428" i="21"/>
  <c r="BZ428" i="21"/>
  <c r="BY428" i="21"/>
  <c r="BX428" i="21"/>
  <c r="BW428" i="21"/>
  <c r="BV428" i="21"/>
  <c r="BU428" i="21"/>
  <c r="BT428" i="21"/>
  <c r="BO427" i="21"/>
  <c r="BN427" i="21"/>
  <c r="BM427" i="21"/>
  <c r="BL427" i="21"/>
  <c r="BV426" i="21"/>
  <c r="BU426" i="21"/>
  <c r="BT426" i="21"/>
  <c r="BO425" i="21"/>
  <c r="BN425" i="21"/>
  <c r="BM425" i="21"/>
  <c r="BL425" i="21"/>
  <c r="CE424" i="21"/>
  <c r="CD424" i="21"/>
  <c r="CC424" i="21"/>
  <c r="CB424" i="21"/>
  <c r="CA424" i="21"/>
  <c r="BZ424" i="21"/>
  <c r="BY424" i="21"/>
  <c r="BX424" i="21"/>
  <c r="BW424" i="21"/>
  <c r="BV424" i="21"/>
  <c r="BU424" i="21"/>
  <c r="BT424" i="21"/>
  <c r="BO423" i="21"/>
  <c r="BO450" i="21" s="1"/>
  <c r="BN423" i="21"/>
  <c r="BN450" i="21" s="1"/>
  <c r="BM423" i="21"/>
  <c r="BM450" i="21" s="1"/>
  <c r="BL423" i="21"/>
  <c r="BL450" i="21" s="1"/>
  <c r="CE422" i="21"/>
  <c r="CD422" i="21"/>
  <c r="CC422" i="21"/>
  <c r="CB422" i="21"/>
  <c r="CA422" i="21"/>
  <c r="BZ422" i="21"/>
  <c r="BY422" i="21"/>
  <c r="BX422" i="21"/>
  <c r="BW422" i="21"/>
  <c r="BV422" i="21"/>
  <c r="BU422" i="21"/>
  <c r="BT422" i="21"/>
  <c r="BO421" i="21"/>
  <c r="BO449" i="21" s="1"/>
  <c r="BN421" i="21"/>
  <c r="BN449" i="21" s="1"/>
  <c r="BM421" i="21"/>
  <c r="BM449" i="21" s="1"/>
  <c r="BL421" i="21"/>
  <c r="BL449" i="21" s="1"/>
  <c r="CE419" i="21"/>
  <c r="CD419" i="21"/>
  <c r="CC419" i="21"/>
  <c r="CB419" i="21"/>
  <c r="CA419" i="21"/>
  <c r="BZ419" i="21"/>
  <c r="BY419" i="21"/>
  <c r="BX419" i="21"/>
  <c r="BW419" i="21"/>
  <c r="BV419" i="21"/>
  <c r="BU419" i="21"/>
  <c r="BT419" i="21"/>
  <c r="BO418" i="21"/>
  <c r="BN418" i="21"/>
  <c r="BM418" i="21"/>
  <c r="BL418" i="21"/>
  <c r="CE417" i="21"/>
  <c r="CD417" i="21"/>
  <c r="CC417" i="21"/>
  <c r="CB417" i="21"/>
  <c r="CA417" i="21"/>
  <c r="BZ417" i="21"/>
  <c r="BY417" i="21"/>
  <c r="BX417" i="21"/>
  <c r="BW417" i="21"/>
  <c r="BV417" i="21"/>
  <c r="BU417" i="21"/>
  <c r="BT417" i="21"/>
  <c r="BO416" i="21"/>
  <c r="BN416" i="21"/>
  <c r="BM416" i="21"/>
  <c r="BL416" i="21"/>
  <c r="CE415" i="21"/>
  <c r="CD415" i="21"/>
  <c r="CC415" i="21"/>
  <c r="CB415" i="21"/>
  <c r="CA415" i="21"/>
  <c r="BZ415" i="21"/>
  <c r="BY415" i="21"/>
  <c r="BX415" i="21"/>
  <c r="BW415" i="21"/>
  <c r="BV415" i="21"/>
  <c r="BU415" i="21"/>
  <c r="BT415" i="21"/>
  <c r="BO414" i="21"/>
  <c r="BN414" i="21"/>
  <c r="BM414" i="21"/>
  <c r="BL414" i="21"/>
  <c r="CE413" i="21"/>
  <c r="CD413" i="21"/>
  <c r="CC413" i="21"/>
  <c r="CB413" i="21"/>
  <c r="CA413" i="21"/>
  <c r="BZ413" i="21"/>
  <c r="BY413" i="21"/>
  <c r="BX413" i="21"/>
  <c r="BW413" i="21"/>
  <c r="BV413" i="21"/>
  <c r="BU413" i="21"/>
  <c r="BT413" i="21"/>
  <c r="BO412" i="21"/>
  <c r="BN412" i="21"/>
  <c r="BM412" i="21"/>
  <c r="BL412" i="21"/>
  <c r="BD407" i="21"/>
  <c r="AZ407" i="21"/>
  <c r="AY407" i="21"/>
  <c r="AX407" i="21"/>
  <c r="BE406" i="21"/>
  <c r="AU406" i="21"/>
  <c r="BM405" i="21"/>
  <c r="BN405" i="21" s="1"/>
  <c r="BI405" i="21"/>
  <c r="BE405" i="21"/>
  <c r="AV405" i="21"/>
  <c r="AU405" i="21"/>
  <c r="AT405" i="21"/>
  <c r="AT407" i="21"/>
  <c r="AS405" i="21"/>
  <c r="AS407" i="21" s="1"/>
  <c r="AP405" i="21"/>
  <c r="AP407" i="21" s="1"/>
  <c r="AO405" i="21"/>
  <c r="AO407" i="21" s="1"/>
  <c r="BC403" i="21"/>
  <c r="BB403" i="21"/>
  <c r="BA403" i="21"/>
  <c r="AZ403" i="21"/>
  <c r="AY403" i="21"/>
  <c r="AX403" i="21"/>
  <c r="AW403" i="21"/>
  <c r="AV403" i="21"/>
  <c r="AU403" i="21"/>
  <c r="AT403" i="21"/>
  <c r="AS403" i="21"/>
  <c r="AP403" i="21"/>
  <c r="AO403" i="21"/>
  <c r="CV402" i="21"/>
  <c r="CR402" i="21"/>
  <c r="CN402" i="21"/>
  <c r="CM402" i="21"/>
  <c r="CJ402" i="21"/>
  <c r="CF402" i="21"/>
  <c r="BX402" i="21"/>
  <c r="BP402" i="21"/>
  <c r="BH402" i="21"/>
  <c r="BD402" i="21"/>
  <c r="BD403" i="21" s="1"/>
  <c r="CO401" i="21"/>
  <c r="CP401" i="21"/>
  <c r="CQ401" i="21" s="1"/>
  <c r="DA56" i="8" s="1"/>
  <c r="CK401" i="21"/>
  <c r="CL401" i="21" s="1"/>
  <c r="CG401" i="21"/>
  <c r="CH401" i="21"/>
  <c r="CI401" i="21" s="1"/>
  <c r="CB401" i="21"/>
  <c r="CC401" i="21" s="1"/>
  <c r="CD401" i="21" s="1"/>
  <c r="CE401" i="21" s="1"/>
  <c r="BY401" i="21"/>
  <c r="BZ401" i="21" s="1"/>
  <c r="BT401" i="21"/>
  <c r="BU401" i="21" s="1"/>
  <c r="BV401" i="21" s="1"/>
  <c r="BW401" i="21" s="1"/>
  <c r="BQ401" i="21"/>
  <c r="BM401" i="21"/>
  <c r="BN401" i="21" s="1"/>
  <c r="BI401" i="21"/>
  <c r="BE401" i="21"/>
  <c r="BF401" i="21" s="1"/>
  <c r="CX401" i="21"/>
  <c r="CW401" i="21"/>
  <c r="CX400" i="21"/>
  <c r="CW400" i="21"/>
  <c r="CO400" i="21"/>
  <c r="CQ400" i="21" s="1"/>
  <c r="CW399" i="21"/>
  <c r="CW398" i="21"/>
  <c r="CW397" i="21"/>
  <c r="CW396" i="21"/>
  <c r="CW395" i="21"/>
  <c r="CW393" i="21"/>
  <c r="CX398" i="21"/>
  <c r="CY398" i="21" s="1"/>
  <c r="DI53" i="8" s="1"/>
  <c r="CX397" i="21"/>
  <c r="CX396" i="21"/>
  <c r="CX395" i="21"/>
  <c r="CX393" i="21"/>
  <c r="CY393" i="21" s="1"/>
  <c r="BJ399" i="21"/>
  <c r="BK399" i="21" s="1"/>
  <c r="BI398" i="21"/>
  <c r="BJ398" i="21" s="1"/>
  <c r="BI397" i="21"/>
  <c r="BI396" i="21"/>
  <c r="BI395" i="21"/>
  <c r="BI393" i="21"/>
  <c r="BL397" i="21"/>
  <c r="CO398" i="21"/>
  <c r="CP398" i="21" s="1"/>
  <c r="CO397" i="21"/>
  <c r="CO396" i="21"/>
  <c r="CP396" i="21" s="1"/>
  <c r="CO395" i="21"/>
  <c r="CP395" i="21" s="1"/>
  <c r="CG397" i="21"/>
  <c r="CH397" i="21" s="1"/>
  <c r="CI397" i="21" s="1"/>
  <c r="CG396" i="21"/>
  <c r="CG395" i="21"/>
  <c r="CH395" i="21" s="1"/>
  <c r="CI395" i="21" s="1"/>
  <c r="CS401" i="21"/>
  <c r="CT401" i="21" s="1"/>
  <c r="CU401" i="21" s="1"/>
  <c r="CS400" i="21"/>
  <c r="CT400" i="21" s="1"/>
  <c r="CS399" i="21"/>
  <c r="CT399" i="21" s="1"/>
  <c r="CU399" i="21" s="1"/>
  <c r="CS398" i="21"/>
  <c r="CT398" i="21" s="1"/>
  <c r="CU398" i="21" s="1"/>
  <c r="CS397" i="21"/>
  <c r="CT397" i="21" s="1"/>
  <c r="CS396" i="21"/>
  <c r="CT396" i="21" s="1"/>
  <c r="CS395" i="21"/>
  <c r="CT395" i="21" s="1"/>
  <c r="CU395" i="21" s="1"/>
  <c r="CS393" i="21"/>
  <c r="CP393" i="21"/>
  <c r="CQ393" i="21" s="1"/>
  <c r="CK398" i="21"/>
  <c r="CL398" i="21" s="1"/>
  <c r="CV53" i="8" s="1"/>
  <c r="CK397" i="21"/>
  <c r="CL397" i="21" s="1"/>
  <c r="CK396" i="21"/>
  <c r="CL396" i="21" s="1"/>
  <c r="CV51" i="8" s="1"/>
  <c r="CK395" i="21"/>
  <c r="CL395" i="21" s="1"/>
  <c r="CK393" i="21"/>
  <c r="CD397" i="21"/>
  <c r="CE397" i="21" s="1"/>
  <c r="CC397" i="21"/>
  <c r="CC396" i="21"/>
  <c r="CD396" i="21"/>
  <c r="CE396" i="21" s="1"/>
  <c r="CC395" i="21"/>
  <c r="CD395" i="21" s="1"/>
  <c r="CC393" i="21"/>
  <c r="BY399" i="21"/>
  <c r="BZ399" i="21" s="1"/>
  <c r="BY398" i="21"/>
  <c r="BZ398" i="21" s="1"/>
  <c r="CA398" i="21" s="1"/>
  <c r="BY397" i="21"/>
  <c r="BZ397" i="21" s="1"/>
  <c r="CA397" i="21" s="1"/>
  <c r="BY396" i="21"/>
  <c r="BZ396" i="21" s="1"/>
  <c r="BY395" i="21"/>
  <c r="BZ395" i="21"/>
  <c r="CA395" i="21" s="1"/>
  <c r="BY393" i="21"/>
  <c r="BZ393" i="21" s="1"/>
  <c r="BU399" i="21"/>
  <c r="BV399" i="21" s="1"/>
  <c r="BW399" i="21" s="1"/>
  <c r="BU398" i="21"/>
  <c r="BV398" i="21" s="1"/>
  <c r="BU397" i="21"/>
  <c r="BV397" i="21" s="1"/>
  <c r="BU396" i="21"/>
  <c r="BV396" i="21" s="1"/>
  <c r="BW396" i="21" s="1"/>
  <c r="BU395" i="21"/>
  <c r="BV395" i="21" s="1"/>
  <c r="BW395" i="21" s="1"/>
  <c r="BU393" i="21"/>
  <c r="BQ399" i="21"/>
  <c r="BQ398" i="21"/>
  <c r="BR398" i="21" s="1"/>
  <c r="BQ397" i="21"/>
  <c r="BQ396" i="21"/>
  <c r="BQ395" i="21"/>
  <c r="BR395" i="21" s="1"/>
  <c r="BQ393" i="21"/>
  <c r="BR393" i="21" s="1"/>
  <c r="BM399" i="21"/>
  <c r="BM398" i="21"/>
  <c r="BM396" i="21"/>
  <c r="BN396" i="21" s="1"/>
  <c r="BM395" i="21"/>
  <c r="BM393" i="21"/>
  <c r="BJ396" i="21"/>
  <c r="BK396" i="21" s="1"/>
  <c r="BJ395" i="21"/>
  <c r="BK395" i="21"/>
  <c r="BJ393" i="21"/>
  <c r="BK393" i="21" s="1"/>
  <c r="BE398" i="21"/>
  <c r="BE397" i="21"/>
  <c r="BE396" i="21"/>
  <c r="BE395" i="21"/>
  <c r="BE393" i="21"/>
  <c r="BC391" i="21"/>
  <c r="BB391" i="21"/>
  <c r="BA391" i="21"/>
  <c r="AZ391" i="21"/>
  <c r="AY391" i="21"/>
  <c r="AX391" i="21"/>
  <c r="AW391" i="21"/>
  <c r="AV391" i="21"/>
  <c r="AU391" i="21"/>
  <c r="AT391" i="21"/>
  <c r="AS391" i="21"/>
  <c r="AP391" i="21"/>
  <c r="AO391" i="21"/>
  <c r="CN390" i="21"/>
  <c r="CM390" i="21"/>
  <c r="CJ390" i="21"/>
  <c r="CF390" i="21"/>
  <c r="BX390" i="21"/>
  <c r="BP390" i="21"/>
  <c r="BL390" i="21"/>
  <c r="BD390" i="21"/>
  <c r="BD391" i="21" s="1"/>
  <c r="CX389" i="21"/>
  <c r="CW389" i="21"/>
  <c r="CR389" i="21"/>
  <c r="CS389" i="21" s="1"/>
  <c r="CT389" i="21" s="1"/>
  <c r="CU389" i="21" s="1"/>
  <c r="CO389" i="21"/>
  <c r="CP389" i="21" s="1"/>
  <c r="CQ389" i="21" s="1"/>
  <c r="BT389" i="21"/>
  <c r="BQ389" i="21"/>
  <c r="CW388" i="21"/>
  <c r="CY388" i="21" s="1"/>
  <c r="DI42" i="8" s="1"/>
  <c r="CS388" i="21"/>
  <c r="CT388" i="21" s="1"/>
  <c r="CU388" i="21" s="1"/>
  <c r="CO388" i="21"/>
  <c r="CP388" i="21" s="1"/>
  <c r="CK389" i="21"/>
  <c r="CL389" i="21" s="1"/>
  <c r="CK388" i="21"/>
  <c r="CL388" i="21" s="1"/>
  <c r="CH389" i="21"/>
  <c r="CG389" i="21"/>
  <c r="CG388" i="21"/>
  <c r="CH388" i="21" s="1"/>
  <c r="CC389" i="21"/>
  <c r="CD389" i="21" s="1"/>
  <c r="CC388" i="21"/>
  <c r="CD388" i="21" s="1"/>
  <c r="BY389" i="21"/>
  <c r="BZ389" i="21" s="1"/>
  <c r="BY388" i="21"/>
  <c r="BZ388" i="21" s="1"/>
  <c r="CA388" i="21" s="1"/>
  <c r="BU388" i="21"/>
  <c r="BV388" i="21" s="1"/>
  <c r="BR388" i="21"/>
  <c r="BS388" i="21" s="1"/>
  <c r="BQ388" i="21"/>
  <c r="BM389" i="21"/>
  <c r="BM388" i="21"/>
  <c r="BI389" i="21"/>
  <c r="BI388" i="21"/>
  <c r="BJ388" i="21" s="1"/>
  <c r="BE389" i="21"/>
  <c r="BE388" i="21"/>
  <c r="BG386" i="21"/>
  <c r="CX385" i="21"/>
  <c r="CV385" i="21"/>
  <c r="CW385" i="21" s="1"/>
  <c r="DG39" i="8" s="1"/>
  <c r="CR385" i="21"/>
  <c r="CS385" i="21" s="1"/>
  <c r="CT385" i="21" s="1"/>
  <c r="CU385" i="21" s="1"/>
  <c r="CO385" i="21"/>
  <c r="CP385" i="21" s="1"/>
  <c r="CH386" i="21"/>
  <c r="CI386" i="21" s="1"/>
  <c r="CS40" i="8" s="1"/>
  <c r="CG385" i="21"/>
  <c r="CH385" i="21" s="1"/>
  <c r="BY385" i="21"/>
  <c r="CX384" i="21"/>
  <c r="CW384" i="21"/>
  <c r="CS384" i="21"/>
  <c r="CT384" i="21" s="1"/>
  <c r="CO384" i="21"/>
  <c r="CK385" i="21"/>
  <c r="CL385" i="21" s="1"/>
  <c r="CV39" i="8" s="1"/>
  <c r="CK384" i="21"/>
  <c r="CC385" i="21"/>
  <c r="CD385" i="21" s="1"/>
  <c r="CE385" i="21" s="1"/>
  <c r="BY384" i="21"/>
  <c r="BZ384" i="21" s="1"/>
  <c r="BU385" i="21"/>
  <c r="BV385" i="21" s="1"/>
  <c r="BU384" i="21"/>
  <c r="BQ385" i="21"/>
  <c r="BQ384" i="21"/>
  <c r="BR384" i="21" s="1"/>
  <c r="CB38" i="8" s="1"/>
  <c r="BM386" i="21"/>
  <c r="BM385" i="21"/>
  <c r="BM384" i="21"/>
  <c r="BI386" i="21"/>
  <c r="BJ386" i="21"/>
  <c r="BI385" i="21"/>
  <c r="BJ385" i="21" s="1"/>
  <c r="BK385" i="21" s="1"/>
  <c r="BH384" i="21"/>
  <c r="BH390" i="21" s="1"/>
  <c r="BE385" i="21"/>
  <c r="BE384" i="21"/>
  <c r="BF384" i="21" s="1"/>
  <c r="BC382" i="21"/>
  <c r="BB382" i="21"/>
  <c r="BA382" i="21"/>
  <c r="AZ382" i="21"/>
  <c r="AY382" i="21"/>
  <c r="AX382" i="21"/>
  <c r="AW382" i="21"/>
  <c r="AV382" i="21"/>
  <c r="AT382" i="21"/>
  <c r="AS382" i="21"/>
  <c r="AP382" i="21"/>
  <c r="AO382" i="21"/>
  <c r="CV381" i="21"/>
  <c r="CR381" i="21"/>
  <c r="CN381" i="21"/>
  <c r="CN405" i="21" s="1"/>
  <c r="CM381" i="21"/>
  <c r="CJ381" i="21"/>
  <c r="CJ405" i="21" s="1"/>
  <c r="CF381" i="21"/>
  <c r="CF405" i="21" s="1"/>
  <c r="CB381" i="21"/>
  <c r="BX381" i="21"/>
  <c r="BX405" i="21" s="1"/>
  <c r="BL381" i="21"/>
  <c r="BH381" i="21"/>
  <c r="BD381" i="21"/>
  <c r="BD382" i="21" s="1"/>
  <c r="BT380" i="21"/>
  <c r="BU380" i="21" s="1"/>
  <c r="BP380" i="21"/>
  <c r="BM380" i="21"/>
  <c r="AU380" i="21"/>
  <c r="AU382" i="21" s="1"/>
  <c r="CX380" i="21"/>
  <c r="CW380" i="21"/>
  <c r="CY380" i="21" s="1"/>
  <c r="DI33" i="8" s="1"/>
  <c r="CX379" i="21"/>
  <c r="CW379" i="21"/>
  <c r="CY379" i="21" s="1"/>
  <c r="DI32" i="8" s="1"/>
  <c r="DI91" i="8" s="1"/>
  <c r="CS380" i="21"/>
  <c r="CT380" i="21" s="1"/>
  <c r="CU380" i="21" s="1"/>
  <c r="CS379" i="21"/>
  <c r="CT379" i="21" s="1"/>
  <c r="CO380" i="21"/>
  <c r="CP380" i="21" s="1"/>
  <c r="CQ380" i="21" s="1"/>
  <c r="CO379" i="21"/>
  <c r="CP379" i="21" s="1"/>
  <c r="CK380" i="21"/>
  <c r="CL380" i="21" s="1"/>
  <c r="CV33" i="8" s="1"/>
  <c r="CK379" i="21"/>
  <c r="CL379" i="21" s="1"/>
  <c r="CG380" i="21"/>
  <c r="CH380" i="21" s="1"/>
  <c r="CI380" i="21" s="1"/>
  <c r="CG379" i="21"/>
  <c r="CH379" i="21"/>
  <c r="CI379" i="21" s="1"/>
  <c r="CC380" i="21"/>
  <c r="CD380" i="21" s="1"/>
  <c r="CE380" i="21" s="1"/>
  <c r="CC379" i="21"/>
  <c r="CD379" i="21" s="1"/>
  <c r="BY380" i="21"/>
  <c r="BZ380" i="21" s="1"/>
  <c r="CA380" i="21" s="1"/>
  <c r="BY379" i="21"/>
  <c r="BZ379" i="21" s="1"/>
  <c r="BU379" i="21"/>
  <c r="BV379" i="21" s="1"/>
  <c r="BW379" i="21" s="1"/>
  <c r="BQ379" i="21"/>
  <c r="BR379" i="21" s="1"/>
  <c r="BS379" i="21" s="1"/>
  <c r="BM379" i="21"/>
  <c r="BI380" i="21"/>
  <c r="BI379" i="21"/>
  <c r="BJ379" i="21" s="1"/>
  <c r="BE380" i="21"/>
  <c r="BE379" i="21"/>
  <c r="BF379" i="21" s="1"/>
  <c r="CX377" i="21"/>
  <c r="CW377" i="21"/>
  <c r="CX376" i="21"/>
  <c r="CW376" i="21"/>
  <c r="CX375" i="21"/>
  <c r="CW375" i="21"/>
  <c r="CY375" i="21" s="1"/>
  <c r="DI22" i="8" s="1"/>
  <c r="CX374" i="21"/>
  <c r="CW374" i="21"/>
  <c r="CS377" i="21"/>
  <c r="CT377" i="21" s="1"/>
  <c r="CS376" i="21"/>
  <c r="CT376" i="21" s="1"/>
  <c r="CU376" i="21" s="1"/>
  <c r="CS375" i="21"/>
  <c r="CT375" i="21" s="1"/>
  <c r="CU375" i="21" s="1"/>
  <c r="CS374" i="21"/>
  <c r="CT374" i="21" s="1"/>
  <c r="CU374" i="21" s="1"/>
  <c r="CO377" i="21"/>
  <c r="CP377" i="21" s="1"/>
  <c r="CO376" i="21"/>
  <c r="CP376" i="21" s="1"/>
  <c r="CQ376" i="21" s="1"/>
  <c r="CO375" i="21"/>
  <c r="CP375" i="21" s="1"/>
  <c r="CQ375" i="21" s="1"/>
  <c r="CO374" i="21"/>
  <c r="CP374" i="21" s="1"/>
  <c r="CQ374" i="21" s="1"/>
  <c r="CK377" i="21"/>
  <c r="CL377" i="21"/>
  <c r="CK376" i="21"/>
  <c r="CL376" i="21" s="1"/>
  <c r="CK375" i="21"/>
  <c r="CL375" i="21" s="1"/>
  <c r="CV22" i="8" s="1"/>
  <c r="CK374" i="21"/>
  <c r="CL374" i="21" s="1"/>
  <c r="CG377" i="21"/>
  <c r="CH377" i="21" s="1"/>
  <c r="CG376" i="21"/>
  <c r="CH376" i="21" s="1"/>
  <c r="CI376" i="21" s="1"/>
  <c r="CG375" i="21"/>
  <c r="CH375" i="21" s="1"/>
  <c r="CI375" i="21" s="1"/>
  <c r="CG374" i="21"/>
  <c r="CH374" i="21" s="1"/>
  <c r="CI374" i="21" s="1"/>
  <c r="CC377" i="21"/>
  <c r="CD377" i="21" s="1"/>
  <c r="CC376" i="21"/>
  <c r="CD376" i="21" s="1"/>
  <c r="CE376" i="21" s="1"/>
  <c r="CC375" i="21"/>
  <c r="CD375" i="21" s="1"/>
  <c r="CE375" i="21" s="1"/>
  <c r="CC374" i="21"/>
  <c r="CD374" i="21" s="1"/>
  <c r="CE374" i="21" s="1"/>
  <c r="BY377" i="21"/>
  <c r="BZ377" i="21" s="1"/>
  <c r="BY376" i="21"/>
  <c r="BZ376" i="21" s="1"/>
  <c r="CA376" i="21" s="1"/>
  <c r="BY375" i="21"/>
  <c r="BZ375" i="21" s="1"/>
  <c r="CA375" i="21" s="1"/>
  <c r="BY374" i="21"/>
  <c r="BZ374" i="21" s="1"/>
  <c r="CA374" i="21" s="1"/>
  <c r="BU377" i="21"/>
  <c r="BV377" i="21" s="1"/>
  <c r="BU376" i="21"/>
  <c r="BV376" i="21" s="1"/>
  <c r="BW376" i="21" s="1"/>
  <c r="BU375" i="21"/>
  <c r="BV375" i="21" s="1"/>
  <c r="BW375" i="21" s="1"/>
  <c r="BU374" i="21"/>
  <c r="BV374" i="21" s="1"/>
  <c r="BW374" i="21" s="1"/>
  <c r="BQ377" i="21"/>
  <c r="BQ376" i="21"/>
  <c r="BR376" i="21" s="1"/>
  <c r="CB23" i="8" s="1"/>
  <c r="BQ375" i="21"/>
  <c r="BQ374" i="21"/>
  <c r="BR374" i="21" s="1"/>
  <c r="CB21" i="8" s="1"/>
  <c r="BM377" i="21"/>
  <c r="BM376" i="21"/>
  <c r="BN376" i="21" s="1"/>
  <c r="BM375" i="21"/>
  <c r="BM374" i="21"/>
  <c r="BN374" i="21" s="1"/>
  <c r="BO374" i="21" s="1"/>
  <c r="BI377" i="21"/>
  <c r="BI376" i="21"/>
  <c r="BI375" i="21"/>
  <c r="BI374" i="21"/>
  <c r="BJ374" i="21" s="1"/>
  <c r="BK374" i="21" s="1"/>
  <c r="BE377" i="21"/>
  <c r="BE376" i="21"/>
  <c r="BF376" i="21" s="1"/>
  <c r="BE375" i="21"/>
  <c r="BE374" i="21"/>
  <c r="BF374" i="21" s="1"/>
  <c r="BG374" i="21" s="1"/>
  <c r="BS372" i="21"/>
  <c r="BG372" i="21"/>
  <c r="CX371" i="21"/>
  <c r="CW371" i="21"/>
  <c r="CS371" i="21"/>
  <c r="CT371" i="21" s="1"/>
  <c r="CU371" i="21" s="1"/>
  <c r="CO371" i="21"/>
  <c r="CP371" i="21" s="1"/>
  <c r="CK371" i="21"/>
  <c r="CL371" i="21"/>
  <c r="CG371" i="21"/>
  <c r="CH371" i="21" s="1"/>
  <c r="CI371" i="21" s="1"/>
  <c r="CC371" i="21"/>
  <c r="CD371" i="21" s="1"/>
  <c r="CE371" i="21" s="1"/>
  <c r="BY371" i="21"/>
  <c r="BZ371" i="21" s="1"/>
  <c r="CA371" i="21" s="1"/>
  <c r="BV372" i="21"/>
  <c r="BW372" i="21" s="1"/>
  <c r="BU371" i="21"/>
  <c r="BV371" i="21" s="1"/>
  <c r="BW371" i="21" s="1"/>
  <c r="BQ371" i="21"/>
  <c r="BR371" i="21" s="1"/>
  <c r="BM372" i="21"/>
  <c r="BM371" i="21"/>
  <c r="BI371" i="21"/>
  <c r="BE371" i="21"/>
  <c r="BF371" i="21" s="1"/>
  <c r="BG371" i="21" s="1"/>
  <c r="CX369" i="21"/>
  <c r="CW369" i="21"/>
  <c r="CS369" i="21"/>
  <c r="CO369" i="21"/>
  <c r="CP369" i="21" s="1"/>
  <c r="CK369" i="21"/>
  <c r="CG369" i="21"/>
  <c r="CC369" i="21"/>
  <c r="CD369" i="21" s="1"/>
  <c r="BY369" i="21"/>
  <c r="BZ369" i="21" s="1"/>
  <c r="BU369" i="21"/>
  <c r="BQ369" i="21"/>
  <c r="BM369" i="21"/>
  <c r="BN369" i="21" s="1"/>
  <c r="BO369" i="21" s="1"/>
  <c r="BI369" i="21"/>
  <c r="BJ369" i="21" s="1"/>
  <c r="BK369" i="21" s="1"/>
  <c r="BE369" i="21"/>
  <c r="K365" i="21"/>
  <c r="J365" i="21"/>
  <c r="BP362" i="21"/>
  <c r="BP363" i="21" s="1"/>
  <c r="BO362" i="21"/>
  <c r="BO363" i="21" s="1"/>
  <c r="BN362" i="21"/>
  <c r="BN363" i="21" s="1"/>
  <c r="BP360" i="21"/>
  <c r="BO360" i="21"/>
  <c r="BN360" i="21"/>
  <c r="AY359" i="21"/>
  <c r="AY360" i="21" s="1"/>
  <c r="AX359" i="21"/>
  <c r="AW359" i="21"/>
  <c r="AW362" i="21" s="1"/>
  <c r="AW363" i="21" s="1"/>
  <c r="AV359" i="21"/>
  <c r="AV360" i="21" s="1"/>
  <c r="AY357" i="21"/>
  <c r="AX357" i="21"/>
  <c r="AW357" i="21"/>
  <c r="AV357" i="21"/>
  <c r="AU357" i="21"/>
  <c r="AT357" i="21"/>
  <c r="AS357" i="21"/>
  <c r="AR357" i="21"/>
  <c r="AQ357" i="21"/>
  <c r="AP357" i="21"/>
  <c r="AO357" i="21"/>
  <c r="AN357" i="21"/>
  <c r="AM357" i="21"/>
  <c r="AL357" i="21"/>
  <c r="AK357" i="21"/>
  <c r="AJ357" i="21"/>
  <c r="AI357" i="21"/>
  <c r="AH357" i="21"/>
  <c r="AG357" i="21"/>
  <c r="AF357" i="21"/>
  <c r="G357" i="21"/>
  <c r="F357" i="21"/>
  <c r="E357" i="21"/>
  <c r="BR354" i="21"/>
  <c r="BR356" i="21" s="1"/>
  <c r="BR359" i="21" s="1"/>
  <c r="BQ354" i="21"/>
  <c r="BQ356" i="21" s="1"/>
  <c r="BQ359" i="21" s="1"/>
  <c r="BP354" i="21"/>
  <c r="BP356" i="21" s="1"/>
  <c r="BO354" i="21"/>
  <c r="BO356" i="21" s="1"/>
  <c r="BN354" i="21"/>
  <c r="BN356" i="21" s="1"/>
  <c r="BM354" i="21"/>
  <c r="BM356" i="21" s="1"/>
  <c r="BM359" i="21" s="1"/>
  <c r="BL354" i="21"/>
  <c r="BL356" i="21" s="1"/>
  <c r="BL359" i="21" s="1"/>
  <c r="BK354" i="21"/>
  <c r="BK356" i="21"/>
  <c r="BK359" i="21" s="1"/>
  <c r="BJ354" i="21"/>
  <c r="BJ356" i="21" s="1"/>
  <c r="BJ359" i="21" s="1"/>
  <c r="BI354" i="21"/>
  <c r="BI356" i="21" s="1"/>
  <c r="BI359" i="21" s="1"/>
  <c r="BH354" i="21"/>
  <c r="BH356" i="21" s="1"/>
  <c r="BG354" i="21"/>
  <c r="BG356" i="21" s="1"/>
  <c r="BE354" i="21"/>
  <c r="BE356" i="21" s="1"/>
  <c r="BD354" i="21"/>
  <c r="BC354" i="21"/>
  <c r="BB354" i="21"/>
  <c r="BB356" i="21" s="1"/>
  <c r="BA354" i="21"/>
  <c r="BA356" i="21" s="1"/>
  <c r="BA357" i="21" s="1"/>
  <c r="AZ354" i="21"/>
  <c r="AZ356" i="21" s="1"/>
  <c r="I356" i="21"/>
  <c r="H356" i="21"/>
  <c r="K355" i="21"/>
  <c r="J355" i="21"/>
  <c r="I355" i="21"/>
  <c r="H355" i="21"/>
  <c r="BF353" i="21"/>
  <c r="K353" i="21" s="1"/>
  <c r="J353" i="21"/>
  <c r="K352" i="21"/>
  <c r="J352" i="21"/>
  <c r="K351" i="21"/>
  <c r="K350" i="21"/>
  <c r="K349" i="21"/>
  <c r="AU349" i="21"/>
  <c r="AU359" i="21" s="1"/>
  <c r="AT349" i="21"/>
  <c r="AT359" i="21" s="1"/>
  <c r="AS349" i="21"/>
  <c r="AS359" i="21" s="1"/>
  <c r="AR349" i="21"/>
  <c r="AR359" i="21" s="1"/>
  <c r="AQ349" i="21"/>
  <c r="AQ359" i="21" s="1"/>
  <c r="AP349" i="21"/>
  <c r="AP359" i="21" s="1"/>
  <c r="AO349" i="21"/>
  <c r="AO359" i="21" s="1"/>
  <c r="AN349" i="21"/>
  <c r="AN359" i="21" s="1"/>
  <c r="AM349" i="21"/>
  <c r="AM359" i="21" s="1"/>
  <c r="AL349" i="21"/>
  <c r="AL359" i="21" s="1"/>
  <c r="AK349" i="21"/>
  <c r="AK359" i="21" s="1"/>
  <c r="AJ349" i="21"/>
  <c r="AJ359" i="21" s="1"/>
  <c r="AI349" i="21"/>
  <c r="AI359" i="21" s="1"/>
  <c r="AH349" i="21"/>
  <c r="AH359" i="21" s="1"/>
  <c r="AG349" i="21"/>
  <c r="AG359" i="21"/>
  <c r="AF349" i="21"/>
  <c r="AF359" i="21" s="1"/>
  <c r="J349" i="21"/>
  <c r="F349" i="21"/>
  <c r="F359" i="21"/>
  <c r="E349" i="21"/>
  <c r="E359" i="21" s="1"/>
  <c r="K337" i="21"/>
  <c r="J337" i="21"/>
  <c r="BO335" i="21"/>
  <c r="BN335" i="21"/>
  <c r="BL335" i="21"/>
  <c r="BJ335" i="21"/>
  <c r="BH335" i="21"/>
  <c r="BF335" i="21"/>
  <c r="BD335" i="21"/>
  <c r="BP332" i="21"/>
  <c r="BP333" i="21" s="1"/>
  <c r="BO332" i="21"/>
  <c r="BO333" i="21" s="1"/>
  <c r="BN332" i="21"/>
  <c r="BN333" i="21" s="1"/>
  <c r="BM332" i="21"/>
  <c r="BM333" i="21" s="1"/>
  <c r="BL332" i="21"/>
  <c r="BL333" i="21" s="1"/>
  <c r="BK332" i="21"/>
  <c r="BK333" i="21" s="1"/>
  <c r="BJ332" i="21"/>
  <c r="BJ333" i="21" s="1"/>
  <c r="BP330" i="21"/>
  <c r="BO330" i="21"/>
  <c r="BN330" i="21"/>
  <c r="BM330" i="21"/>
  <c r="BL330" i="21"/>
  <c r="BK330" i="21"/>
  <c r="BJ330" i="21"/>
  <c r="AY329" i="21"/>
  <c r="AY330" i="21" s="1"/>
  <c r="AX329" i="21"/>
  <c r="AW329" i="21"/>
  <c r="AW330" i="21" s="1"/>
  <c r="AV329" i="21"/>
  <c r="AV332" i="21" s="1"/>
  <c r="AV333" i="21" s="1"/>
  <c r="AU329" i="21"/>
  <c r="AU330" i="21" s="1"/>
  <c r="AY327" i="21"/>
  <c r="AX327" i="21"/>
  <c r="AW327" i="21"/>
  <c r="AV327" i="21"/>
  <c r="AU327" i="21"/>
  <c r="AT327" i="21"/>
  <c r="AS327" i="21"/>
  <c r="AR327" i="21"/>
  <c r="AQ327" i="21"/>
  <c r="AP327" i="21"/>
  <c r="AO327" i="21"/>
  <c r="AN327" i="21"/>
  <c r="AM327" i="21"/>
  <c r="AL327" i="21"/>
  <c r="AK327" i="21"/>
  <c r="AJ327" i="21"/>
  <c r="AI327" i="21"/>
  <c r="AH327" i="21"/>
  <c r="AG327" i="21"/>
  <c r="AF327" i="21"/>
  <c r="I327" i="21"/>
  <c r="H327" i="21"/>
  <c r="G327" i="21"/>
  <c r="F327" i="21"/>
  <c r="E327" i="21"/>
  <c r="BP324" i="21"/>
  <c r="BP326" i="21" s="1"/>
  <c r="BO324" i="21"/>
  <c r="BO326" i="21" s="1"/>
  <c r="BN324" i="21"/>
  <c r="BN326" i="21" s="1"/>
  <c r="BM324" i="21"/>
  <c r="BM326" i="21" s="1"/>
  <c r="BL324" i="21"/>
  <c r="BL326" i="21" s="1"/>
  <c r="BK324" i="21"/>
  <c r="BK326" i="21"/>
  <c r="BJ324" i="21"/>
  <c r="BJ326" i="21" s="1"/>
  <c r="BI324" i="21"/>
  <c r="BI326" i="21" s="1"/>
  <c r="BI329" i="21" s="1"/>
  <c r="BH324" i="21"/>
  <c r="BH326" i="21"/>
  <c r="BH329" i="21" s="1"/>
  <c r="BG324" i="21"/>
  <c r="BF324" i="21"/>
  <c r="BF326" i="21" s="1"/>
  <c r="BE324" i="21"/>
  <c r="BE326" i="21" s="1"/>
  <c r="BD324" i="21"/>
  <c r="BD326" i="21" s="1"/>
  <c r="BC324" i="21"/>
  <c r="BC326" i="21" s="1"/>
  <c r="BC327" i="21" s="1"/>
  <c r="BB324" i="21"/>
  <c r="BB326" i="21" s="1"/>
  <c r="BA324" i="21"/>
  <c r="BA326" i="21" s="1"/>
  <c r="AZ324" i="21"/>
  <c r="K325" i="21"/>
  <c r="J325" i="21"/>
  <c r="K323" i="21"/>
  <c r="J323" i="21"/>
  <c r="K322" i="21"/>
  <c r="J322" i="21"/>
  <c r="BM319" i="21"/>
  <c r="BL319" i="21"/>
  <c r="BK319" i="21"/>
  <c r="BJ319" i="21"/>
  <c r="BI319" i="21"/>
  <c r="BH319" i="21"/>
  <c r="BG319" i="21"/>
  <c r="BF319" i="21"/>
  <c r="BE319" i="21"/>
  <c r="BD319" i="21"/>
  <c r="BC319" i="21"/>
  <c r="BB319" i="21"/>
  <c r="BA319" i="21"/>
  <c r="AZ319" i="21"/>
  <c r="AY319" i="21"/>
  <c r="AX319" i="21"/>
  <c r="AW319" i="21"/>
  <c r="AV319" i="21"/>
  <c r="AU319" i="21"/>
  <c r="AT318" i="21"/>
  <c r="AT329" i="21" s="1"/>
  <c r="AS318" i="21"/>
  <c r="AS329" i="21" s="1"/>
  <c r="AR318" i="21"/>
  <c r="AR329" i="21" s="1"/>
  <c r="AQ318" i="21"/>
  <c r="AQ319" i="21" s="1"/>
  <c r="AP318" i="21"/>
  <c r="AP319" i="21"/>
  <c r="AO318" i="21"/>
  <c r="AN318" i="21"/>
  <c r="AN319" i="21" s="1"/>
  <c r="AM318" i="21"/>
  <c r="AL318" i="21"/>
  <c r="AL329" i="21" s="1"/>
  <c r="AK318" i="21"/>
  <c r="AK329" i="21" s="1"/>
  <c r="AJ318" i="21"/>
  <c r="AJ319" i="21" s="1"/>
  <c r="AI318" i="21"/>
  <c r="AH318" i="21"/>
  <c r="AH329" i="21" s="1"/>
  <c r="AG318" i="21"/>
  <c r="AF318" i="21"/>
  <c r="AF319" i="21" s="1"/>
  <c r="K318" i="21"/>
  <c r="J318" i="21"/>
  <c r="I318" i="21"/>
  <c r="I329" i="21" s="1"/>
  <c r="H318" i="21"/>
  <c r="H329" i="21" s="1"/>
  <c r="G318" i="21"/>
  <c r="G329" i="21" s="1"/>
  <c r="F318" i="21"/>
  <c r="F319" i="21" s="1"/>
  <c r="E318" i="21"/>
  <c r="E329" i="21" s="1"/>
  <c r="K317" i="21"/>
  <c r="J317" i="21"/>
  <c r="I317" i="21"/>
  <c r="H317" i="21"/>
  <c r="K316" i="21"/>
  <c r="J316" i="21"/>
  <c r="I316" i="21"/>
  <c r="H316" i="21"/>
  <c r="CN311" i="21"/>
  <c r="CN301" i="21" s="1"/>
  <c r="CM311" i="21"/>
  <c r="CM301" i="21" s="1"/>
  <c r="CL311" i="21"/>
  <c r="CK311" i="21"/>
  <c r="CJ311" i="21"/>
  <c r="CI311" i="21"/>
  <c r="CH311" i="21"/>
  <c r="CG311" i="21"/>
  <c r="CF311" i="21"/>
  <c r="CE311" i="21"/>
  <c r="CD311" i="21"/>
  <c r="CC311" i="21"/>
  <c r="CO310" i="21"/>
  <c r="CP310" i="21" s="1"/>
  <c r="CW303" i="21"/>
  <c r="CV303" i="21"/>
  <c r="CU303" i="21"/>
  <c r="CT303" i="21"/>
  <c r="CS303" i="21"/>
  <c r="CR303" i="21"/>
  <c r="DB112" i="12" s="1"/>
  <c r="CQ303" i="21"/>
  <c r="CP303" i="21"/>
  <c r="CO303" i="21"/>
  <c r="CN303" i="21"/>
  <c r="CA303" i="21"/>
  <c r="BZ303" i="21"/>
  <c r="BY303" i="21"/>
  <c r="BW301" i="21"/>
  <c r="AU297" i="21"/>
  <c r="H297" i="21" s="1"/>
  <c r="AR297" i="21"/>
  <c r="AQ297" i="21"/>
  <c r="AP297" i="21"/>
  <c r="BO295" i="21"/>
  <c r="AS295" i="21"/>
  <c r="AS297" i="21" s="1"/>
  <c r="K297" i="21"/>
  <c r="J297" i="21"/>
  <c r="I297" i="21"/>
  <c r="K296" i="21"/>
  <c r="J296" i="21"/>
  <c r="I296" i="21"/>
  <c r="H296" i="21"/>
  <c r="G296" i="21"/>
  <c r="K295" i="21"/>
  <c r="J295" i="21"/>
  <c r="I295" i="21"/>
  <c r="H295" i="21"/>
  <c r="G295" i="21"/>
  <c r="K293" i="21"/>
  <c r="J293" i="21"/>
  <c r="BZ290" i="21"/>
  <c r="BZ291" i="21" s="1"/>
  <c r="BY290" i="21"/>
  <c r="BY291" i="21" s="1"/>
  <c r="BX290" i="21"/>
  <c r="BX291" i="21" s="1"/>
  <c r="BW290" i="21"/>
  <c r="BW291" i="21" s="1"/>
  <c r="BV290" i="21"/>
  <c r="BV291" i="21" s="1"/>
  <c r="BU290" i="21"/>
  <c r="BU291" i="21" s="1"/>
  <c r="BT290" i="21"/>
  <c r="BT291" i="21" s="1"/>
  <c r="BS290" i="21"/>
  <c r="BS291" i="21" s="1"/>
  <c r="BR290" i="21"/>
  <c r="BR291" i="21" s="1"/>
  <c r="BP290" i="21"/>
  <c r="BP291" i="21" s="1"/>
  <c r="BO290" i="21"/>
  <c r="BO291" i="21" s="1"/>
  <c r="BN290" i="21"/>
  <c r="BN291" i="21" s="1"/>
  <c r="BM290" i="21"/>
  <c r="BM291" i="21" s="1"/>
  <c r="BL290" i="21"/>
  <c r="BL291" i="21" s="1"/>
  <c r="BK290" i="21"/>
  <c r="BK291" i="21" s="1"/>
  <c r="BJ290" i="21"/>
  <c r="BJ291" i="21" s="1"/>
  <c r="CA287" i="21"/>
  <c r="BZ287" i="21"/>
  <c r="BY287" i="21"/>
  <c r="BX287" i="21"/>
  <c r="CX285" i="21"/>
  <c r="CW285" i="21"/>
  <c r="CV285" i="21"/>
  <c r="CU285" i="21"/>
  <c r="CT285" i="21"/>
  <c r="CS285" i="21"/>
  <c r="CR285" i="21"/>
  <c r="CQ285" i="21"/>
  <c r="CP285" i="21"/>
  <c r="CO285" i="21"/>
  <c r="CN285" i="21"/>
  <c r="CM285" i="21"/>
  <c r="CL285" i="21"/>
  <c r="CK285" i="21"/>
  <c r="CJ285" i="21"/>
  <c r="CI285" i="21"/>
  <c r="CH285" i="21"/>
  <c r="CG285" i="21"/>
  <c r="CF285" i="21"/>
  <c r="CE285" i="21"/>
  <c r="CD285" i="21"/>
  <c r="CC285" i="21"/>
  <c r="CB285" i="21"/>
  <c r="BP282" i="21"/>
  <c r="BO282" i="21"/>
  <c r="BN282" i="21"/>
  <c r="BM282" i="21"/>
  <c r="BL282" i="21"/>
  <c r="BK282" i="21"/>
  <c r="BJ282" i="21"/>
  <c r="CX276" i="21"/>
  <c r="DH47" i="12" s="1"/>
  <c r="CX278" i="21"/>
  <c r="CW276" i="21"/>
  <c r="CV276" i="21"/>
  <c r="DF47" i="12" s="1"/>
  <c r="CU276" i="21"/>
  <c r="CT276" i="21"/>
  <c r="DD47" i="12" s="1"/>
  <c r="CS276" i="21"/>
  <c r="CR276" i="21"/>
  <c r="DB47" i="12" s="1"/>
  <c r="CQ276" i="21"/>
  <c r="CP276" i="21"/>
  <c r="CZ47" i="12" s="1"/>
  <c r="CO276" i="21"/>
  <c r="CN276" i="21"/>
  <c r="CX47" i="12" s="1"/>
  <c r="CR41" i="11" s="1"/>
  <c r="CM276" i="21"/>
  <c r="CL276" i="21"/>
  <c r="CV47" i="12" s="1"/>
  <c r="CV502" i="12" s="1"/>
  <c r="CK276" i="21"/>
  <c r="CJ276" i="21"/>
  <c r="CT47" i="12" s="1"/>
  <c r="CI276" i="21"/>
  <c r="CH276" i="21"/>
  <c r="CR47" i="12" s="1"/>
  <c r="CG276" i="21"/>
  <c r="CF276" i="21"/>
  <c r="CP47" i="12" s="1"/>
  <c r="CE276" i="21"/>
  <c r="CD276" i="21"/>
  <c r="CN47" i="12" s="1"/>
  <c r="CC276" i="21"/>
  <c r="CB276" i="21"/>
  <c r="CL47" i="12" s="1"/>
  <c r="CA276" i="21"/>
  <c r="CA278" i="21" s="1"/>
  <c r="CA279" i="21" s="1"/>
  <c r="BZ276" i="21"/>
  <c r="BZ278" i="21" s="1"/>
  <c r="BZ279" i="21" s="1"/>
  <c r="BY276" i="21"/>
  <c r="BY278" i="21"/>
  <c r="BY279" i="21" s="1"/>
  <c r="BX276" i="21"/>
  <c r="BX278" i="21" s="1"/>
  <c r="BX279" i="21" s="1"/>
  <c r="AM270" i="21"/>
  <c r="AL270" i="21"/>
  <c r="AK270" i="21"/>
  <c r="AJ270" i="21"/>
  <c r="AI270" i="21"/>
  <c r="AH270" i="21"/>
  <c r="AG270" i="21"/>
  <c r="AF270" i="21"/>
  <c r="G270" i="21"/>
  <c r="F270" i="21"/>
  <c r="E270" i="21"/>
  <c r="AY269" i="21"/>
  <c r="AY270" i="21" s="1"/>
  <c r="AX269" i="21"/>
  <c r="AX270" i="21" s="1"/>
  <c r="AW269" i="21"/>
  <c r="AW270" i="21" s="1"/>
  <c r="AV269" i="21"/>
  <c r="AV270" i="21" s="1"/>
  <c r="AU269" i="21"/>
  <c r="H269" i="21" s="1"/>
  <c r="AT269" i="21"/>
  <c r="AT270" i="21" s="1"/>
  <c r="AS269" i="21"/>
  <c r="AS270" i="21" s="1"/>
  <c r="AR269" i="21"/>
  <c r="AR270" i="21" s="1"/>
  <c r="AQ269" i="21"/>
  <c r="AQ270" i="21" s="1"/>
  <c r="AP269" i="21"/>
  <c r="AP270" i="21" s="1"/>
  <c r="AO269" i="21"/>
  <c r="AO270" i="21" s="1"/>
  <c r="AN269" i="21"/>
  <c r="AN270" i="21" s="1"/>
  <c r="CA267" i="21"/>
  <c r="CA269" i="21" s="1"/>
  <c r="BZ267" i="21"/>
  <c r="BZ269" i="21" s="1"/>
  <c r="BZ270" i="21" s="1"/>
  <c r="BY267" i="21"/>
  <c r="BY269" i="21" s="1"/>
  <c r="BY270" i="21" s="1"/>
  <c r="BX267" i="21"/>
  <c r="BX269" i="21" s="1"/>
  <c r="BX270" i="21" s="1"/>
  <c r="BW267" i="21"/>
  <c r="BW269" i="21" s="1"/>
  <c r="BW270" i="21" s="1"/>
  <c r="BV267" i="21"/>
  <c r="BV269" i="21" s="1"/>
  <c r="BV270" i="21" s="1"/>
  <c r="BU267" i="21"/>
  <c r="BU269" i="21" s="1"/>
  <c r="BU270" i="21" s="1"/>
  <c r="BT267" i="21"/>
  <c r="BT269" i="21" s="1"/>
  <c r="BT270" i="21" s="1"/>
  <c r="BS267" i="21"/>
  <c r="BS269" i="21" s="1"/>
  <c r="BS270" i="21" s="1"/>
  <c r="BR267" i="21"/>
  <c r="BR269" i="21" s="1"/>
  <c r="BR270" i="21" s="1"/>
  <c r="BQ267" i="21"/>
  <c r="BQ269" i="21" s="1"/>
  <c r="BP267" i="21"/>
  <c r="BP269" i="21" s="1"/>
  <c r="BP270" i="21" s="1"/>
  <c r="BO267" i="21"/>
  <c r="BO269" i="21" s="1"/>
  <c r="BO270" i="21" s="1"/>
  <c r="BN267" i="21"/>
  <c r="BN269" i="21" s="1"/>
  <c r="BN270" i="21" s="1"/>
  <c r="BM267" i="21"/>
  <c r="BM269" i="21" s="1"/>
  <c r="BM270" i="21" s="1"/>
  <c r="BL267" i="21"/>
  <c r="BL269" i="21" s="1"/>
  <c r="BL270" i="21" s="1"/>
  <c r="BK267" i="21"/>
  <c r="BK269" i="21" s="1"/>
  <c r="BK270" i="21" s="1"/>
  <c r="BJ267" i="21"/>
  <c r="BJ269" i="21" s="1"/>
  <c r="BT60" i="12" s="1"/>
  <c r="BI267" i="21"/>
  <c r="BI269" i="21" s="1"/>
  <c r="BH267" i="21"/>
  <c r="BH269" i="21" s="1"/>
  <c r="BR60" i="12" s="1"/>
  <c r="BG267" i="21"/>
  <c r="BG269" i="21" s="1"/>
  <c r="BF267" i="21"/>
  <c r="BF269" i="21" s="1"/>
  <c r="BE267" i="21"/>
  <c r="BE269" i="21" s="1"/>
  <c r="BE270" i="21" s="1"/>
  <c r="BD267" i="21"/>
  <c r="BD269" i="21" s="1"/>
  <c r="BN60" i="12" s="1"/>
  <c r="BC267" i="21"/>
  <c r="J267" i="21" s="1"/>
  <c r="BB267" i="21"/>
  <c r="BB269" i="21" s="1"/>
  <c r="BB270" i="21" s="1"/>
  <c r="BA267" i="21"/>
  <c r="BA269" i="21" s="1"/>
  <c r="AZ267" i="21"/>
  <c r="AZ269" i="21" s="1"/>
  <c r="AZ270" i="21" s="1"/>
  <c r="I269" i="21"/>
  <c r="K268" i="21"/>
  <c r="J268" i="21"/>
  <c r="I268" i="21"/>
  <c r="H268" i="21"/>
  <c r="I267" i="21"/>
  <c r="H267" i="21"/>
  <c r="CX268" i="21"/>
  <c r="CW268" i="21"/>
  <c r="CV268" i="21"/>
  <c r="CU268" i="21"/>
  <c r="CT268" i="21"/>
  <c r="CS268" i="21"/>
  <c r="CR268" i="21"/>
  <c r="CQ268" i="21"/>
  <c r="CP268" i="21"/>
  <c r="CO268" i="21"/>
  <c r="CN268" i="21"/>
  <c r="CM268" i="21"/>
  <c r="CL268" i="21"/>
  <c r="CK268" i="21"/>
  <c r="CJ268" i="21"/>
  <c r="CI268" i="21"/>
  <c r="CH268" i="21"/>
  <c r="CG268" i="21"/>
  <c r="CF268" i="21"/>
  <c r="CE268" i="21"/>
  <c r="CD268" i="21"/>
  <c r="CC268" i="21"/>
  <c r="CB268" i="21"/>
  <c r="CX266" i="21"/>
  <c r="CW266" i="21"/>
  <c r="CV266" i="21"/>
  <c r="CU266" i="21"/>
  <c r="CT266" i="21"/>
  <c r="CS266" i="21"/>
  <c r="CR266" i="21"/>
  <c r="CQ266" i="21"/>
  <c r="CP266" i="21"/>
  <c r="CO266" i="21"/>
  <c r="CN266" i="21"/>
  <c r="CM266" i="21"/>
  <c r="CL266" i="21"/>
  <c r="CK266" i="21"/>
  <c r="CJ266" i="21"/>
  <c r="CI266" i="21"/>
  <c r="CH266" i="21"/>
  <c r="CG266" i="21"/>
  <c r="CF266" i="21"/>
  <c r="CE266" i="21"/>
  <c r="CD266" i="21"/>
  <c r="CC266" i="21"/>
  <c r="CB266" i="21"/>
  <c r="CX265" i="21"/>
  <c r="CW265" i="21"/>
  <c r="CV265" i="21"/>
  <c r="CU265" i="21"/>
  <c r="CU267" i="21" s="1"/>
  <c r="CT265" i="21"/>
  <c r="CS265" i="21"/>
  <c r="CR265" i="21"/>
  <c r="CQ265" i="21"/>
  <c r="CQ267" i="21" s="1"/>
  <c r="CP265" i="21"/>
  <c r="CO265" i="21"/>
  <c r="CN265" i="21"/>
  <c r="CM265" i="21"/>
  <c r="CM267" i="21" s="1"/>
  <c r="CL265" i="21"/>
  <c r="CK265" i="21"/>
  <c r="CJ265" i="21"/>
  <c r="CI265" i="21"/>
  <c r="CH265" i="21"/>
  <c r="CG265" i="21"/>
  <c r="CF265" i="21"/>
  <c r="CE265" i="21"/>
  <c r="CE267" i="21" s="1"/>
  <c r="CD265" i="21"/>
  <c r="CC265" i="21"/>
  <c r="CB265" i="21"/>
  <c r="K266" i="21"/>
  <c r="J266" i="21"/>
  <c r="K265" i="21"/>
  <c r="J265" i="21"/>
  <c r="CA261" i="21"/>
  <c r="CA286" i="21" s="1"/>
  <c r="BZ261" i="21"/>
  <c r="BZ286" i="21" s="1"/>
  <c r="BY261" i="21"/>
  <c r="BY286" i="21" s="1"/>
  <c r="BX261" i="21"/>
  <c r="BX286" i="21" s="1"/>
  <c r="CX257" i="21"/>
  <c r="CX287" i="21" s="1"/>
  <c r="CW257" i="21"/>
  <c r="CW248" i="21" s="1"/>
  <c r="CV257" i="21"/>
  <c r="CV261" i="21" s="1"/>
  <c r="CU257" i="21"/>
  <c r="CU248" i="21" s="1"/>
  <c r="CT257" i="21"/>
  <c r="CT261" i="21" s="1"/>
  <c r="CT282" i="21" s="1"/>
  <c r="CS257" i="21"/>
  <c r="CR257" i="21"/>
  <c r="CR261" i="21" s="1"/>
  <c r="CQ257" i="21"/>
  <c r="CQ287" i="21" s="1"/>
  <c r="CP257" i="21"/>
  <c r="CP287" i="21" s="1"/>
  <c r="CO257" i="21"/>
  <c r="CO248" i="21" s="1"/>
  <c r="CN257" i="21"/>
  <c r="CN248" i="21" s="1"/>
  <c r="CM257" i="21"/>
  <c r="CM248" i="21" s="1"/>
  <c r="CL257" i="21"/>
  <c r="CL261" i="21" s="1"/>
  <c r="CL286" i="21" s="1"/>
  <c r="CK257" i="21"/>
  <c r="CK248" i="21" s="1"/>
  <c r="CJ257" i="21"/>
  <c r="CJ261" i="21" s="1"/>
  <c r="CJ282" i="21" s="1"/>
  <c r="CI257" i="21"/>
  <c r="CI248" i="21" s="1"/>
  <c r="CH257" i="21"/>
  <c r="CH248" i="21" s="1"/>
  <c r="CG257" i="21"/>
  <c r="CF257" i="21"/>
  <c r="CF261" i="21" s="1"/>
  <c r="CE257" i="21"/>
  <c r="CE248" i="21" s="1"/>
  <c r="CD257" i="21"/>
  <c r="CD261" i="21" s="1"/>
  <c r="CC257" i="21"/>
  <c r="CC248" i="21" s="1"/>
  <c r="CB257" i="21"/>
  <c r="CB261" i="21" s="1"/>
  <c r="CB282" i="21" s="1"/>
  <c r="CA251" i="21"/>
  <c r="CA282" i="21" s="1"/>
  <c r="BZ251" i="21"/>
  <c r="BZ282" i="21" s="1"/>
  <c r="BY251" i="21"/>
  <c r="BY282" i="21" s="1"/>
  <c r="BX251" i="21"/>
  <c r="BX282" i="21" s="1"/>
  <c r="BW251" i="21"/>
  <c r="BW282" i="21" s="1"/>
  <c r="BV251" i="21"/>
  <c r="BV282" i="21" s="1"/>
  <c r="BU251" i="21"/>
  <c r="BU282" i="21" s="1"/>
  <c r="BT251" i="21"/>
  <c r="BT282" i="21" s="1"/>
  <c r="BS251" i="21"/>
  <c r="BS282" i="21" s="1"/>
  <c r="BR251" i="21"/>
  <c r="BR282" i="21" s="1"/>
  <c r="BQ251" i="21"/>
  <c r="BP251" i="21"/>
  <c r="BO251" i="21"/>
  <c r="BN251" i="21"/>
  <c r="BM251" i="21"/>
  <c r="BL251" i="21"/>
  <c r="BK251" i="21"/>
  <c r="BJ251" i="21"/>
  <c r="BI251" i="21"/>
  <c r="BH251" i="21"/>
  <c r="BH252" i="21" s="1"/>
  <c r="BG251" i="21"/>
  <c r="BG252" i="21" s="1"/>
  <c r="BF251" i="21"/>
  <c r="BF252" i="21" s="1"/>
  <c r="BE251" i="21"/>
  <c r="BD251" i="21"/>
  <c r="BD252" i="21" s="1"/>
  <c r="BC251" i="21"/>
  <c r="BB251" i="21"/>
  <c r="BA251" i="21"/>
  <c r="BA252" i="21" s="1"/>
  <c r="AZ251" i="21"/>
  <c r="AZ252" i="21" s="1"/>
  <c r="AY251" i="21"/>
  <c r="AX251" i="21"/>
  <c r="AX281" i="21" s="1"/>
  <c r="AW251" i="21"/>
  <c r="AV251" i="21"/>
  <c r="AV281" i="21" s="1"/>
  <c r="AU251" i="21"/>
  <c r="AT251" i="21"/>
  <c r="AT252" i="21" s="1"/>
  <c r="AS251" i="21"/>
  <c r="AS252" i="21" s="1"/>
  <c r="AR251" i="21"/>
  <c r="AQ251" i="21"/>
  <c r="AQ281" i="21" s="1"/>
  <c r="AP251" i="21"/>
  <c r="AO251" i="21"/>
  <c r="AN251" i="21"/>
  <c r="AN281" i="21" s="1"/>
  <c r="AN282" i="21" s="1"/>
  <c r="AM251" i="21"/>
  <c r="AW14" i="12" s="1"/>
  <c r="AL251" i="21"/>
  <c r="AL281" i="21" s="1"/>
  <c r="AK251" i="21"/>
  <c r="AK252" i="21" s="1"/>
  <c r="AJ251" i="21"/>
  <c r="AJ281" i="21" s="1"/>
  <c r="AI251" i="21"/>
  <c r="AS14" i="12" s="1"/>
  <c r="AH251" i="21"/>
  <c r="AH252" i="21" s="1"/>
  <c r="AG251" i="21"/>
  <c r="AF251" i="21"/>
  <c r="AF281" i="21" s="1"/>
  <c r="AF282" i="21" s="1"/>
  <c r="G251" i="21"/>
  <c r="G281" i="21" s="1"/>
  <c r="F251" i="21"/>
  <c r="E251" i="21"/>
  <c r="E281" i="21" s="1"/>
  <c r="E282" i="21" s="1"/>
  <c r="CX250" i="21"/>
  <c r="CW250" i="21"/>
  <c r="CV250" i="21"/>
  <c r="CU250" i="21"/>
  <c r="CT250" i="21"/>
  <c r="CS250" i="21"/>
  <c r="CR250" i="21"/>
  <c r="CQ250" i="21"/>
  <c r="CP250" i="21"/>
  <c r="CO250" i="21"/>
  <c r="CN250" i="21"/>
  <c r="CM250" i="21"/>
  <c r="CL250" i="21"/>
  <c r="CK250" i="21"/>
  <c r="CJ250" i="21"/>
  <c r="CI250" i="21"/>
  <c r="CH250" i="21"/>
  <c r="CG250" i="21"/>
  <c r="CF250" i="21"/>
  <c r="CE250" i="21"/>
  <c r="CD250" i="21"/>
  <c r="CC250" i="21"/>
  <c r="CB250" i="21"/>
  <c r="CX248" i="21"/>
  <c r="CV248" i="21"/>
  <c r="CT248" i="21"/>
  <c r="CS248" i="21"/>
  <c r="CS251" i="21" s="1"/>
  <c r="CP248" i="21"/>
  <c r="CL248" i="21"/>
  <c r="CJ248" i="21"/>
  <c r="CG248" i="21"/>
  <c r="CB248" i="21"/>
  <c r="K250" i="21"/>
  <c r="J250" i="21"/>
  <c r="I250" i="21"/>
  <c r="H250" i="21"/>
  <c r="K249" i="21"/>
  <c r="J249" i="21"/>
  <c r="I249" i="21"/>
  <c r="H249" i="21"/>
  <c r="K248" i="21"/>
  <c r="J248" i="21"/>
  <c r="I248" i="21"/>
  <c r="H248" i="21"/>
  <c r="H243" i="21"/>
  <c r="H242" i="21"/>
  <c r="H241" i="21"/>
  <c r="CX238" i="21"/>
  <c r="CW238" i="21"/>
  <c r="CV238" i="21"/>
  <c r="CU238" i="21"/>
  <c r="CT238" i="21"/>
  <c r="CS238" i="21"/>
  <c r="CR238" i="21"/>
  <c r="CQ238" i="21"/>
  <c r="CP238" i="21"/>
  <c r="CO238" i="21"/>
  <c r="CN238" i="21"/>
  <c r="CM238" i="21"/>
  <c r="CL238" i="21"/>
  <c r="CK238" i="21"/>
  <c r="CJ238" i="21"/>
  <c r="CI238" i="21"/>
  <c r="CH238" i="21"/>
  <c r="CG238" i="21"/>
  <c r="CF238" i="21"/>
  <c r="CE238" i="21"/>
  <c r="CD238" i="21"/>
  <c r="CC238" i="21"/>
  <c r="CB238" i="21"/>
  <c r="CA238" i="21"/>
  <c r="BZ238" i="21"/>
  <c r="BY238" i="21"/>
  <c r="BX238" i="21"/>
  <c r="BW238" i="21"/>
  <c r="BV238" i="21"/>
  <c r="BU238" i="21"/>
  <c r="BT238" i="21"/>
  <c r="BS238" i="21"/>
  <c r="BR238" i="21"/>
  <c r="BQ238" i="21"/>
  <c r="BP238" i="21"/>
  <c r="BO238" i="21"/>
  <c r="BN238" i="21"/>
  <c r="BM238" i="21"/>
  <c r="BK238" i="21"/>
  <c r="BJ238" i="21"/>
  <c r="BI238" i="21"/>
  <c r="BH238" i="21"/>
  <c r="BG238" i="21"/>
  <c r="BF238" i="21"/>
  <c r="BE238" i="21"/>
  <c r="BD238" i="21"/>
  <c r="BC238" i="21"/>
  <c r="BB238" i="21"/>
  <c r="BA238" i="21"/>
  <c r="AZ238" i="21"/>
  <c r="AY238" i="21"/>
  <c r="AX238" i="21"/>
  <c r="AW238" i="21"/>
  <c r="AV238" i="21"/>
  <c r="AU238" i="21"/>
  <c r="AT238" i="21"/>
  <c r="AS238" i="21"/>
  <c r="AR238" i="21"/>
  <c r="AQ238" i="21"/>
  <c r="AP238" i="21"/>
  <c r="AO238" i="21"/>
  <c r="AN238" i="21"/>
  <c r="AM238" i="21"/>
  <c r="AL238" i="21"/>
  <c r="AK238" i="21"/>
  <c r="AJ238" i="21"/>
  <c r="AI238" i="21"/>
  <c r="AH238" i="21"/>
  <c r="AG238" i="21"/>
  <c r="AF238" i="21"/>
  <c r="K237" i="21"/>
  <c r="J237" i="21"/>
  <c r="I237" i="21"/>
  <c r="H237" i="21"/>
  <c r="K236" i="21"/>
  <c r="J236" i="21"/>
  <c r="I236" i="21"/>
  <c r="H236" i="21"/>
  <c r="J235" i="21"/>
  <c r="I235" i="21"/>
  <c r="H235" i="21"/>
  <c r="J234" i="21"/>
  <c r="I234" i="21"/>
  <c r="H234" i="21"/>
  <c r="BP230" i="21"/>
  <c r="BC230" i="21"/>
  <c r="J230" i="21" s="1"/>
  <c r="BB230" i="21"/>
  <c r="BA230" i="21"/>
  <c r="AZ230" i="21"/>
  <c r="AY230" i="21"/>
  <c r="I230" i="21" s="1"/>
  <c r="CD228" i="21"/>
  <c r="CN49" i="15" s="1"/>
  <c r="CC228" i="21"/>
  <c r="CM49" i="15" s="1"/>
  <c r="CB228" i="21"/>
  <c r="CL49" i="15"/>
  <c r="CA228" i="21"/>
  <c r="BZ228" i="21"/>
  <c r="BY228" i="21"/>
  <c r="BX228" i="21"/>
  <c r="CH49" i="15" s="1"/>
  <c r="BW228" i="21"/>
  <c r="BV228" i="21"/>
  <c r="CF49" i="15" s="1"/>
  <c r="BU228" i="21"/>
  <c r="CE49" i="15" s="1"/>
  <c r="BT228" i="21"/>
  <c r="BS228" i="21"/>
  <c r="BR228" i="21"/>
  <c r="CB49" i="15" s="1"/>
  <c r="BQ228" i="21"/>
  <c r="BP228" i="21"/>
  <c r="BZ49" i="15" s="1"/>
  <c r="BL228" i="21"/>
  <c r="BM228" i="21" s="1"/>
  <c r="BE228" i="21"/>
  <c r="BF228" i="21" s="1"/>
  <c r="CE227" i="21"/>
  <c r="CE228" i="21" s="1"/>
  <c r="CO49" i="15" s="1"/>
  <c r="Q49" i="15" s="1"/>
  <c r="G226" i="21"/>
  <c r="F226" i="21"/>
  <c r="E226" i="21"/>
  <c r="K230" i="21"/>
  <c r="H230" i="21"/>
  <c r="K229" i="21"/>
  <c r="J229" i="21"/>
  <c r="I229" i="21"/>
  <c r="H229" i="21"/>
  <c r="J228" i="21"/>
  <c r="I228" i="21"/>
  <c r="I49" i="15"/>
  <c r="H228" i="21"/>
  <c r="H49" i="15" s="1"/>
  <c r="H50" i="15" s="1"/>
  <c r="K227" i="21"/>
  <c r="J227" i="21"/>
  <c r="J36" i="15"/>
  <c r="I227" i="21"/>
  <c r="I36" i="15" s="1"/>
  <c r="H227" i="21"/>
  <c r="H36" i="15" s="1"/>
  <c r="H51" i="15" s="1"/>
  <c r="K226" i="21"/>
  <c r="J226" i="21"/>
  <c r="I226" i="21"/>
  <c r="H226" i="21"/>
  <c r="K225" i="21"/>
  <c r="J225" i="21"/>
  <c r="I225" i="21"/>
  <c r="H225" i="21"/>
  <c r="K224" i="21"/>
  <c r="K222" i="21"/>
  <c r="CA221" i="21"/>
  <c r="BZ221" i="21"/>
  <c r="BY221" i="21"/>
  <c r="BX221" i="21"/>
  <c r="BW221" i="21"/>
  <c r="BV221" i="21"/>
  <c r="BU221" i="21"/>
  <c r="BT221" i="21"/>
  <c r="BS221" i="21"/>
  <c r="BR221" i="21"/>
  <c r="BQ221" i="21"/>
  <c r="BP221" i="21"/>
  <c r="BO221" i="21"/>
  <c r="BN221" i="21"/>
  <c r="BM221" i="21"/>
  <c r="BL221" i="21"/>
  <c r="BK221" i="21"/>
  <c r="BK223" i="21" s="1"/>
  <c r="BJ221" i="21"/>
  <c r="BJ223" i="21" s="1"/>
  <c r="BI221" i="21"/>
  <c r="BI223" i="21"/>
  <c r="BS84" i="15" s="1"/>
  <c r="BT84" i="15" s="1"/>
  <c r="BU84" i="15" s="1"/>
  <c r="BH221" i="21"/>
  <c r="BH223" i="21" s="1"/>
  <c r="BR84" i="15" s="1"/>
  <c r="BG221" i="21"/>
  <c r="BG223" i="21" s="1"/>
  <c r="BF221" i="21"/>
  <c r="BF223" i="21" s="1"/>
  <c r="BP84" i="15" s="1"/>
  <c r="BE221" i="21"/>
  <c r="BE223" i="21" s="1"/>
  <c r="BO84" i="15" s="1"/>
  <c r="BO85" i="15" s="1"/>
  <c r="BD221" i="21"/>
  <c r="BD223" i="21" s="1"/>
  <c r="BN84" i="15" s="1"/>
  <c r="BC221" i="21"/>
  <c r="BC223" i="21" s="1"/>
  <c r="BM84" i="15" s="1"/>
  <c r="BB221" i="21"/>
  <c r="BB223" i="21"/>
  <c r="BL84" i="15" s="1"/>
  <c r="BA221" i="21"/>
  <c r="BA223" i="21" s="1"/>
  <c r="BK84" i="15" s="1"/>
  <c r="AZ221" i="21"/>
  <c r="AZ223" i="21" s="1"/>
  <c r="BJ84" i="15" s="1"/>
  <c r="AY221" i="21"/>
  <c r="AY223" i="21" s="1"/>
  <c r="BI84" i="15" s="1"/>
  <c r="AX221" i="21"/>
  <c r="AX223" i="21" s="1"/>
  <c r="BH84" i="15" s="1"/>
  <c r="AW221" i="21"/>
  <c r="AW223" i="21" s="1"/>
  <c r="BG84" i="15" s="1"/>
  <c r="AV221" i="21"/>
  <c r="AV223" i="21" s="1"/>
  <c r="BF84" i="15" s="1"/>
  <c r="AQ221" i="21"/>
  <c r="AQ223" i="21" s="1"/>
  <c r="BA84" i="15" s="1"/>
  <c r="AP221" i="21"/>
  <c r="AP223" i="21" s="1"/>
  <c r="AZ84" i="15" s="1"/>
  <c r="AO221" i="21"/>
  <c r="AO223" i="21" s="1"/>
  <c r="AY84" i="15" s="1"/>
  <c r="AN221" i="21"/>
  <c r="AN223" i="21" s="1"/>
  <c r="AX84" i="15" s="1"/>
  <c r="AM221" i="21"/>
  <c r="AM223" i="21" s="1"/>
  <c r="AW84" i="15" s="1"/>
  <c r="AL221" i="21"/>
  <c r="AL223" i="21" s="1"/>
  <c r="AV84" i="15" s="1"/>
  <c r="AK221" i="21"/>
  <c r="AK223" i="21" s="1"/>
  <c r="AU84" i="15" s="1"/>
  <c r="AJ221" i="21"/>
  <c r="AJ223" i="21" s="1"/>
  <c r="AT84" i="15" s="1"/>
  <c r="AI221" i="21"/>
  <c r="AI223" i="21" s="1"/>
  <c r="AS84" i="15" s="1"/>
  <c r="AH221" i="21"/>
  <c r="AH223" i="21" s="1"/>
  <c r="AR84" i="15" s="1"/>
  <c r="AG221" i="21"/>
  <c r="AG223" i="21" s="1"/>
  <c r="AQ84" i="15" s="1"/>
  <c r="AF221" i="21"/>
  <c r="AF223" i="21" s="1"/>
  <c r="AP84" i="15" s="1"/>
  <c r="J222" i="21"/>
  <c r="I222" i="21"/>
  <c r="H222" i="21"/>
  <c r="G221" i="21"/>
  <c r="G223" i="21" s="1"/>
  <c r="G84" i="15" s="1"/>
  <c r="F221" i="21"/>
  <c r="F223" i="21" s="1"/>
  <c r="E221" i="21"/>
  <c r="E223" i="21" s="1"/>
  <c r="E84" i="15" s="1"/>
  <c r="CX220" i="21"/>
  <c r="CW220" i="21"/>
  <c r="DG25" i="15" s="1"/>
  <c r="CV220" i="21"/>
  <c r="CU220" i="21"/>
  <c r="CT220" i="21"/>
  <c r="CS220" i="21"/>
  <c r="DC25" i="15" s="1"/>
  <c r="CR220" i="21"/>
  <c r="CQ220" i="21"/>
  <c r="CP220" i="21"/>
  <c r="CO220" i="21"/>
  <c r="CY25" i="15" s="1"/>
  <c r="CN220" i="21"/>
  <c r="CM220" i="21"/>
  <c r="CL220" i="21"/>
  <c r="CK220" i="21"/>
  <c r="CU25" i="15" s="1"/>
  <c r="CJ220" i="21"/>
  <c r="CI220" i="21"/>
  <c r="CH220" i="21"/>
  <c r="CG220" i="21"/>
  <c r="CQ25" i="15" s="1"/>
  <c r="CF220" i="21"/>
  <c r="CE220" i="21"/>
  <c r="CD220" i="21"/>
  <c r="CC220" i="21"/>
  <c r="CM25" i="15" s="1"/>
  <c r="CB220" i="21"/>
  <c r="K219" i="21"/>
  <c r="J219" i="21"/>
  <c r="I219" i="21"/>
  <c r="H219" i="21"/>
  <c r="K218" i="21"/>
  <c r="J218" i="21"/>
  <c r="I218" i="21"/>
  <c r="H218" i="21"/>
  <c r="K217" i="21"/>
  <c r="J217" i="21"/>
  <c r="I217" i="21"/>
  <c r="H217" i="21"/>
  <c r="H221" i="21" s="1"/>
  <c r="H223" i="21" s="1"/>
  <c r="H84" i="15" s="1"/>
  <c r="CA216" i="21"/>
  <c r="BZ216" i="21"/>
  <c r="BY216" i="21"/>
  <c r="BX216" i="21"/>
  <c r="BW216" i="21"/>
  <c r="BV216" i="21"/>
  <c r="BU216" i="21"/>
  <c r="BT216" i="21"/>
  <c r="CX215" i="21"/>
  <c r="CX216" i="21" s="1"/>
  <c r="CW215" i="21"/>
  <c r="CW216" i="21" s="1"/>
  <c r="CV215" i="21"/>
  <c r="CV216" i="21" s="1"/>
  <c r="CU215" i="21"/>
  <c r="CU216" i="21" s="1"/>
  <c r="CS215" i="21"/>
  <c r="CS216" i="21" s="1"/>
  <c r="CR215" i="21"/>
  <c r="CR216" i="21" s="1"/>
  <c r="CQ215" i="21"/>
  <c r="CQ216" i="21" s="1"/>
  <c r="CP215" i="21"/>
  <c r="CP216" i="21" s="1"/>
  <c r="CO215" i="21"/>
  <c r="CO216" i="21" s="1"/>
  <c r="CN215" i="21"/>
  <c r="CN216" i="21"/>
  <c r="CM215" i="21"/>
  <c r="CM216" i="21" s="1"/>
  <c r="CL215" i="21"/>
  <c r="CL216" i="21" s="1"/>
  <c r="CK215" i="21"/>
  <c r="CK216" i="21" s="1"/>
  <c r="CJ215" i="21"/>
  <c r="CJ216" i="21" s="1"/>
  <c r="CI215" i="21"/>
  <c r="CI216" i="21" s="1"/>
  <c r="CH215" i="21"/>
  <c r="CH216" i="21" s="1"/>
  <c r="CG215" i="21"/>
  <c r="CG216" i="21" s="1"/>
  <c r="CF215" i="21"/>
  <c r="CF216" i="21" s="1"/>
  <c r="CE215" i="21"/>
  <c r="CE216" i="21" s="1"/>
  <c r="CD215" i="21"/>
  <c r="CD216" i="21" s="1"/>
  <c r="CC215" i="21"/>
  <c r="CC216" i="21" s="1"/>
  <c r="CB215" i="21"/>
  <c r="CB216" i="21" s="1"/>
  <c r="CT213" i="21"/>
  <c r="CT215" i="21" s="1"/>
  <c r="K210" i="21"/>
  <c r="J210" i="21"/>
  <c r="BZ207" i="21"/>
  <c r="BY207" i="21"/>
  <c r="BX207" i="21"/>
  <c r="BW207" i="21"/>
  <c r="BV207" i="21"/>
  <c r="BU207" i="21"/>
  <c r="BT207" i="21"/>
  <c r="BS207" i="21"/>
  <c r="BR207" i="21"/>
  <c r="BQ207" i="21"/>
  <c r="BP207" i="21"/>
  <c r="BO207" i="21"/>
  <c r="BN207" i="21"/>
  <c r="BM207" i="21"/>
  <c r="BL207" i="21"/>
  <c r="BK207" i="21"/>
  <c r="AO202" i="21"/>
  <c r="AN202" i="21"/>
  <c r="AM202" i="21"/>
  <c r="AL202" i="21"/>
  <c r="AK202" i="21"/>
  <c r="AJ202" i="21"/>
  <c r="AI202" i="21"/>
  <c r="AH202" i="21"/>
  <c r="AG202" i="21"/>
  <c r="AF202" i="21"/>
  <c r="G202" i="21"/>
  <c r="F202" i="21"/>
  <c r="E202" i="21"/>
  <c r="AY201" i="21"/>
  <c r="AY202" i="21" s="1"/>
  <c r="AX201" i="21"/>
  <c r="AX202" i="21" s="1"/>
  <c r="AW201" i="21"/>
  <c r="AW202" i="21" s="1"/>
  <c r="AV201" i="21"/>
  <c r="AV202" i="21" s="1"/>
  <c r="AU201" i="21"/>
  <c r="AU202" i="21" s="1"/>
  <c r="AT201" i="21"/>
  <c r="AT202" i="21" s="1"/>
  <c r="AS201" i="21"/>
  <c r="AS202" i="21" s="1"/>
  <c r="AR201" i="21"/>
  <c r="AR202" i="21" s="1"/>
  <c r="AQ201" i="21"/>
  <c r="AQ202" i="21" s="1"/>
  <c r="AP201" i="21"/>
  <c r="AP202" i="21" s="1"/>
  <c r="CX199" i="21"/>
  <c r="CX201" i="21" s="1"/>
  <c r="DH81" i="13" s="1"/>
  <c r="CW199" i="21"/>
  <c r="CW201" i="21"/>
  <c r="CV199" i="21"/>
  <c r="CV201" i="21" s="1"/>
  <c r="DF81" i="13" s="1"/>
  <c r="CU199" i="21"/>
  <c r="CU201" i="21" s="1"/>
  <c r="DE81" i="13" s="1"/>
  <c r="CT199" i="21"/>
  <c r="CT201" i="21" s="1"/>
  <c r="DD81" i="13" s="1"/>
  <c r="CS199" i="21"/>
  <c r="CS201" i="21" s="1"/>
  <c r="CR199" i="21"/>
  <c r="CR201" i="21" s="1"/>
  <c r="DB81" i="13" s="1"/>
  <c r="CQ199" i="21"/>
  <c r="CQ201" i="21" s="1"/>
  <c r="DA81" i="13" s="1"/>
  <c r="CP199" i="21"/>
  <c r="CP201" i="21" s="1"/>
  <c r="CZ81" i="13" s="1"/>
  <c r="CO199" i="21"/>
  <c r="CO201" i="21" s="1"/>
  <c r="CY81" i="13" s="1"/>
  <c r="CN199" i="21"/>
  <c r="CN201" i="21" s="1"/>
  <c r="CX81" i="13" s="1"/>
  <c r="CM199" i="21"/>
  <c r="CM201" i="21" s="1"/>
  <c r="CW81" i="13" s="1"/>
  <c r="CL199" i="21"/>
  <c r="CL201" i="21" s="1"/>
  <c r="CV81" i="13" s="1"/>
  <c r="CK199" i="21"/>
  <c r="CK201" i="21" s="1"/>
  <c r="CJ199" i="21"/>
  <c r="CJ201" i="21" s="1"/>
  <c r="CT81" i="13" s="1"/>
  <c r="CI199" i="21"/>
  <c r="CI201" i="21" s="1"/>
  <c r="CS81" i="13" s="1"/>
  <c r="CH199" i="21"/>
  <c r="CH201" i="21" s="1"/>
  <c r="CR81" i="13" s="1"/>
  <c r="CG199" i="21"/>
  <c r="CG201" i="21" s="1"/>
  <c r="CQ81" i="13" s="1"/>
  <c r="CF199" i="21"/>
  <c r="CF201" i="21" s="1"/>
  <c r="CP81" i="13" s="1"/>
  <c r="CE199" i="21"/>
  <c r="CE201" i="21" s="1"/>
  <c r="CO81" i="13" s="1"/>
  <c r="CD199" i="21"/>
  <c r="CD201" i="21" s="1"/>
  <c r="CN81" i="13" s="1"/>
  <c r="CC199" i="21"/>
  <c r="CC201" i="21" s="1"/>
  <c r="CM81" i="13" s="1"/>
  <c r="CB199" i="21"/>
  <c r="CB201" i="21" s="1"/>
  <c r="CL81" i="13" s="1"/>
  <c r="CA199" i="21"/>
  <c r="CA201" i="21" s="1"/>
  <c r="BZ199" i="21"/>
  <c r="BZ201" i="21" s="1"/>
  <c r="BY199" i="21"/>
  <c r="BY201" i="21" s="1"/>
  <c r="CI81" i="13" s="1"/>
  <c r="BX199" i="21"/>
  <c r="BX201" i="21" s="1"/>
  <c r="BW199" i="21"/>
  <c r="BW201" i="21" s="1"/>
  <c r="BV199" i="21"/>
  <c r="BV201" i="21" s="1"/>
  <c r="BU199" i="21"/>
  <c r="BU201" i="21" s="1"/>
  <c r="BU202" i="21" s="1"/>
  <c r="BT199" i="21"/>
  <c r="BT201" i="21"/>
  <c r="BS199" i="21"/>
  <c r="BS201" i="21" s="1"/>
  <c r="BR199" i="21"/>
  <c r="BR201" i="21" s="1"/>
  <c r="BR202" i="21" s="1"/>
  <c r="BQ199" i="21"/>
  <c r="BQ201" i="21" s="1"/>
  <c r="BQ202" i="21" s="1"/>
  <c r="BP199" i="21"/>
  <c r="BP201" i="21" s="1"/>
  <c r="BO199" i="21"/>
  <c r="BO201" i="21" s="1"/>
  <c r="BO202" i="21" s="1"/>
  <c r="BN199" i="21"/>
  <c r="BN201" i="21" s="1"/>
  <c r="BN202" i="21" s="1"/>
  <c r="BM199" i="21"/>
  <c r="BM201" i="21" s="1"/>
  <c r="BM202" i="21" s="1"/>
  <c r="BL199" i="21"/>
  <c r="BL201" i="21" s="1"/>
  <c r="BL202" i="21" s="1"/>
  <c r="BK199" i="21"/>
  <c r="BK201" i="21" s="1"/>
  <c r="BK202" i="21" s="1"/>
  <c r="BJ199" i="21"/>
  <c r="BJ201" i="21" s="1"/>
  <c r="BJ202" i="21" s="1"/>
  <c r="BI199" i="21"/>
  <c r="BI201" i="21" s="1"/>
  <c r="BI202" i="21" s="1"/>
  <c r="BH199" i="21"/>
  <c r="BH201" i="21" s="1"/>
  <c r="BG199" i="21"/>
  <c r="BF199" i="21"/>
  <c r="BF201" i="21" s="1"/>
  <c r="BE199" i="21"/>
  <c r="BE201" i="21" s="1"/>
  <c r="BD199" i="21"/>
  <c r="BD201" i="21" s="1"/>
  <c r="BD202" i="21" s="1"/>
  <c r="BC199" i="21"/>
  <c r="BC201" i="21"/>
  <c r="BB199" i="21"/>
  <c r="BB201" i="21" s="1"/>
  <c r="BB202" i="21" s="1"/>
  <c r="BA199" i="21"/>
  <c r="AZ199" i="21"/>
  <c r="AZ201" i="21" s="1"/>
  <c r="AZ202" i="21" s="1"/>
  <c r="K200" i="21"/>
  <c r="J200" i="21"/>
  <c r="I200" i="21"/>
  <c r="H200" i="21"/>
  <c r="I199" i="21"/>
  <c r="H199" i="21"/>
  <c r="K198" i="21"/>
  <c r="J198" i="21"/>
  <c r="K197" i="21"/>
  <c r="J197" i="21"/>
  <c r="BW192" i="21"/>
  <c r="BV192" i="21"/>
  <c r="BU192" i="21"/>
  <c r="BT192" i="21"/>
  <c r="BS192" i="21"/>
  <c r="BR192" i="21"/>
  <c r="BQ192" i="21"/>
  <c r="BP192" i="21"/>
  <c r="BO192" i="21"/>
  <c r="BN192" i="21"/>
  <c r="BM192" i="21"/>
  <c r="BL192" i="21"/>
  <c r="BW186" i="21"/>
  <c r="BW194" i="21" s="1"/>
  <c r="BV186" i="21"/>
  <c r="BV194" i="21" s="1"/>
  <c r="BU186" i="21"/>
  <c r="BT186" i="21"/>
  <c r="BS186" i="21"/>
  <c r="BS194" i="21" s="1"/>
  <c r="BR186" i="21"/>
  <c r="BR194" i="21" s="1"/>
  <c r="BQ186" i="21"/>
  <c r="BQ194" i="21" s="1"/>
  <c r="BP186" i="21"/>
  <c r="BO186" i="21"/>
  <c r="BN186" i="21"/>
  <c r="BN194" i="21" s="1"/>
  <c r="BM186" i="21"/>
  <c r="BL186" i="21"/>
  <c r="CA179" i="21"/>
  <c r="CA205" i="21" s="1"/>
  <c r="BZ179" i="21"/>
  <c r="BZ208" i="21" s="1"/>
  <c r="BY179" i="21"/>
  <c r="BY205" i="21" s="1"/>
  <c r="BX179" i="21"/>
  <c r="BW179" i="21"/>
  <c r="BW205" i="21" s="1"/>
  <c r="BV179" i="21"/>
  <c r="BV205" i="21" s="1"/>
  <c r="BU179" i="21"/>
  <c r="BU205" i="21" s="1"/>
  <c r="BT179" i="21"/>
  <c r="BS179" i="21"/>
  <c r="BS205" i="21" s="1"/>
  <c r="BR179" i="21"/>
  <c r="BR205" i="21" s="1"/>
  <c r="BQ179" i="21"/>
  <c r="BQ205" i="21" s="1"/>
  <c r="BP179" i="21"/>
  <c r="BO179" i="21"/>
  <c r="BO205" i="21" s="1"/>
  <c r="BN179" i="21"/>
  <c r="BN205" i="21" s="1"/>
  <c r="BM179" i="21"/>
  <c r="BM205" i="21" s="1"/>
  <c r="BL179" i="21"/>
  <c r="BK179" i="21"/>
  <c r="BK205" i="21" s="1"/>
  <c r="BJ179" i="21"/>
  <c r="BJ204" i="21" s="1"/>
  <c r="BI179" i="21"/>
  <c r="BH179" i="21"/>
  <c r="BG179" i="21"/>
  <c r="BG180" i="21" s="1"/>
  <c r="BF179" i="21"/>
  <c r="BF180" i="21" s="1"/>
  <c r="BE179" i="21"/>
  <c r="BE180" i="21" s="1"/>
  <c r="BD179" i="21"/>
  <c r="BC179" i="21"/>
  <c r="BC208" i="21" s="1"/>
  <c r="BB179" i="21"/>
  <c r="BA179" i="21"/>
  <c r="BA180" i="21" s="1"/>
  <c r="AZ179" i="21"/>
  <c r="AY179" i="21"/>
  <c r="AY208" i="21" s="1"/>
  <c r="AX179" i="21"/>
  <c r="AW179" i="21"/>
  <c r="AW208" i="21" s="1"/>
  <c r="AV179" i="21"/>
  <c r="AU179" i="21"/>
  <c r="AU204" i="21" s="1"/>
  <c r="AT179" i="21"/>
  <c r="AT180" i="21" s="1"/>
  <c r="AS179" i="21"/>
  <c r="AS204" i="21" s="1"/>
  <c r="AS205" i="21" s="1"/>
  <c r="AR179" i="21"/>
  <c r="AQ179" i="21"/>
  <c r="AQ180" i="21" s="1"/>
  <c r="AP179" i="21"/>
  <c r="AP204" i="21" s="1"/>
  <c r="AO179" i="21"/>
  <c r="AO204" i="21" s="1"/>
  <c r="AO205" i="21" s="1"/>
  <c r="AN179" i="21"/>
  <c r="AM179" i="21"/>
  <c r="AM180" i="21" s="1"/>
  <c r="AL179" i="21"/>
  <c r="AK179" i="21"/>
  <c r="AK204" i="21" s="1"/>
  <c r="AK205" i="21" s="1"/>
  <c r="AJ179" i="21"/>
  <c r="AI179" i="21"/>
  <c r="AI180" i="21" s="1"/>
  <c r="AH179" i="21"/>
  <c r="AH204" i="21" s="1"/>
  <c r="AH205" i="21" s="1"/>
  <c r="AG179" i="21"/>
  <c r="AG204" i="21" s="1"/>
  <c r="AG207" i="21" s="1"/>
  <c r="AG208" i="21" s="1"/>
  <c r="AF179" i="21"/>
  <c r="F179" i="21"/>
  <c r="F180" i="21" s="1"/>
  <c r="E179" i="21"/>
  <c r="E204" i="21" s="1"/>
  <c r="K178" i="21"/>
  <c r="J178" i="21"/>
  <c r="I178" i="21"/>
  <c r="H178" i="21"/>
  <c r="G178" i="21"/>
  <c r="K177" i="21"/>
  <c r="J177" i="21"/>
  <c r="I177" i="21"/>
  <c r="H177" i="21"/>
  <c r="G177" i="21"/>
  <c r="K176" i="21"/>
  <c r="J176" i="21"/>
  <c r="I176" i="21"/>
  <c r="H176" i="21"/>
  <c r="G176" i="21"/>
  <c r="K175" i="21"/>
  <c r="J175" i="21"/>
  <c r="I175" i="21"/>
  <c r="H175" i="21"/>
  <c r="G175" i="21"/>
  <c r="CM172" i="21"/>
  <c r="CL172" i="21"/>
  <c r="CK172" i="21"/>
  <c r="CJ172" i="21"/>
  <c r="CI172" i="21"/>
  <c r="CH172" i="21"/>
  <c r="CG172" i="21"/>
  <c r="CF172" i="21"/>
  <c r="CE172" i="21"/>
  <c r="CD172" i="21"/>
  <c r="CC172" i="21"/>
  <c r="CB172" i="21"/>
  <c r="CA172" i="21"/>
  <c r="BZ172" i="21"/>
  <c r="BY172" i="21"/>
  <c r="BX172" i="21"/>
  <c r="BW172" i="21"/>
  <c r="BV172" i="21"/>
  <c r="BU172" i="21"/>
  <c r="BT172" i="21"/>
  <c r="CE170" i="21"/>
  <c r="CD170" i="21"/>
  <c r="CC170" i="21"/>
  <c r="CB170" i="21"/>
  <c r="CA170" i="21"/>
  <c r="BZ170" i="21"/>
  <c r="BY170" i="21"/>
  <c r="BX170" i="21"/>
  <c r="CX169" i="21"/>
  <c r="DB170" i="21" s="1"/>
  <c r="CW169" i="21"/>
  <c r="DA170" i="21" s="1"/>
  <c r="CV169" i="21"/>
  <c r="CU169" i="21"/>
  <c r="CT169" i="21"/>
  <c r="CS169" i="21"/>
  <c r="CW170" i="21" s="1"/>
  <c r="CR169" i="21"/>
  <c r="CQ169" i="21"/>
  <c r="CU170" i="21" s="1"/>
  <c r="CP169" i="21"/>
  <c r="CO169" i="21"/>
  <c r="CN169" i="21"/>
  <c r="CM169" i="21"/>
  <c r="CL169" i="21"/>
  <c r="CK169" i="21"/>
  <c r="CO170" i="21" s="1"/>
  <c r="CJ169" i="21"/>
  <c r="CI169" i="21"/>
  <c r="CM170" i="21" s="1"/>
  <c r="CH169" i="21"/>
  <c r="CH170" i="21" s="1"/>
  <c r="CG169" i="21"/>
  <c r="CK170" i="21" s="1"/>
  <c r="CF169" i="21"/>
  <c r="CF170" i="21" s="1"/>
  <c r="BS169" i="21"/>
  <c r="BR169" i="21"/>
  <c r="BQ169" i="21"/>
  <c r="BP169" i="21"/>
  <c r="CA167" i="21"/>
  <c r="BZ167" i="21"/>
  <c r="BY167" i="21"/>
  <c r="BX167" i="21"/>
  <c r="BW167" i="21"/>
  <c r="BV167" i="21"/>
  <c r="BU167" i="21"/>
  <c r="BT167" i="21"/>
  <c r="BO166" i="21"/>
  <c r="BN166" i="21"/>
  <c r="BM166" i="21"/>
  <c r="BL166" i="21"/>
  <c r="CI179" i="21"/>
  <c r="CE149" i="21"/>
  <c r="CD149" i="21"/>
  <c r="CC149" i="21"/>
  <c r="CB149" i="21"/>
  <c r="CA149" i="21"/>
  <c r="BZ149" i="21"/>
  <c r="BY149" i="21"/>
  <c r="BX149" i="21"/>
  <c r="BW149" i="21"/>
  <c r="BV149" i="21"/>
  <c r="BU149" i="21"/>
  <c r="BT149" i="21"/>
  <c r="BS149" i="21"/>
  <c r="BR149" i="21"/>
  <c r="BQ149" i="21"/>
  <c r="BP149" i="21"/>
  <c r="BO149" i="21"/>
  <c r="BN149" i="21"/>
  <c r="BM149" i="21"/>
  <c r="BL149" i="21"/>
  <c r="CE143" i="21"/>
  <c r="CD143" i="21"/>
  <c r="CC143" i="21"/>
  <c r="CB143" i="21"/>
  <c r="CA143" i="21"/>
  <c r="BZ143" i="21"/>
  <c r="BZ150" i="21" s="1"/>
  <c r="CJ29" i="13" s="1"/>
  <c r="BY143" i="21"/>
  <c r="BY150" i="21" s="1"/>
  <c r="BX143" i="21"/>
  <c r="BW143" i="21"/>
  <c r="BW150" i="21" s="1"/>
  <c r="CG29" i="13" s="1"/>
  <c r="BV143" i="21"/>
  <c r="BV150" i="21" s="1"/>
  <c r="CF29" i="13" s="1"/>
  <c r="BU143" i="21"/>
  <c r="BT143" i="21"/>
  <c r="BT150" i="21" s="1"/>
  <c r="CD29" i="13" s="1"/>
  <c r="BS143" i="21"/>
  <c r="BR143" i="21"/>
  <c r="BR150" i="21" s="1"/>
  <c r="CB29" i="13" s="1"/>
  <c r="BQ143" i="21"/>
  <c r="BQ150" i="21"/>
  <c r="CA29" i="13" s="1"/>
  <c r="BP143" i="21"/>
  <c r="BP150" i="21" s="1"/>
  <c r="BZ29" i="13" s="1"/>
  <c r="BO143" i="21"/>
  <c r="BN143" i="21"/>
  <c r="BM143" i="21"/>
  <c r="BM150" i="21" s="1"/>
  <c r="BW29" i="13" s="1"/>
  <c r="BL143" i="21"/>
  <c r="BL150" i="21" s="1"/>
  <c r="BV29" i="13" s="1"/>
  <c r="CX137" i="21"/>
  <c r="CW137" i="21"/>
  <c r="CV137" i="21"/>
  <c r="CU137" i="21"/>
  <c r="CS137" i="21"/>
  <c r="CR137" i="21"/>
  <c r="CQ137" i="21"/>
  <c r="CP137" i="21"/>
  <c r="CO137" i="21"/>
  <c r="CN137" i="21"/>
  <c r="CM137" i="21"/>
  <c r="CL137" i="21"/>
  <c r="CK137" i="21"/>
  <c r="CJ137" i="21"/>
  <c r="CI137" i="21"/>
  <c r="CH137" i="21"/>
  <c r="CG137" i="21"/>
  <c r="CF137" i="21"/>
  <c r="K133" i="21"/>
  <c r="J133" i="21"/>
  <c r="I133" i="21"/>
  <c r="H133" i="21"/>
  <c r="G133" i="21"/>
  <c r="F133" i="21"/>
  <c r="E133" i="21"/>
  <c r="CS131" i="21"/>
  <c r="DC17" i="17" s="1"/>
  <c r="CQ131" i="21"/>
  <c r="CQ130" i="21" s="1"/>
  <c r="DA141" i="17" s="1"/>
  <c r="CK131" i="21"/>
  <c r="CI131" i="21"/>
  <c r="CS17" i="17" s="1"/>
  <c r="CH131" i="21"/>
  <c r="CG131" i="21"/>
  <c r="CF131" i="21"/>
  <c r="CP17" i="17" s="1"/>
  <c r="CE131" i="21"/>
  <c r="CE384" i="21" s="1"/>
  <c r="CD131" i="21"/>
  <c r="CD384" i="21" s="1"/>
  <c r="CC131" i="21"/>
  <c r="CC384" i="21" s="1"/>
  <c r="CB131" i="21"/>
  <c r="CB384" i="21" s="1"/>
  <c r="CA131" i="21"/>
  <c r="BZ131" i="21"/>
  <c r="BY131" i="21"/>
  <c r="BX131" i="21"/>
  <c r="BW131" i="21"/>
  <c r="BV131" i="21"/>
  <c r="BU131" i="21"/>
  <c r="BT131" i="21"/>
  <c r="BS131" i="21"/>
  <c r="BR131" i="21"/>
  <c r="BQ131" i="21"/>
  <c r="BP131" i="21"/>
  <c r="BO131" i="21"/>
  <c r="BN131" i="21"/>
  <c r="BM131" i="21"/>
  <c r="BL131" i="21"/>
  <c r="BK131" i="21"/>
  <c r="BU17" i="17" s="1"/>
  <c r="BJ131" i="21"/>
  <c r="BI131" i="21"/>
  <c r="BH131" i="21"/>
  <c r="BG131" i="21"/>
  <c r="BQ17" i="17" s="1"/>
  <c r="BF131" i="21"/>
  <c r="BE131" i="21"/>
  <c r="BD131" i="21"/>
  <c r="BN17" i="17" s="1"/>
  <c r="BC131" i="21"/>
  <c r="BM17" i="17" s="1"/>
  <c r="BB131" i="21"/>
  <c r="BL17" i="17" s="1"/>
  <c r="BA131" i="21"/>
  <c r="BK17" i="17" s="1"/>
  <c r="AZ131" i="21"/>
  <c r="AQ131" i="21"/>
  <c r="AP131" i="21"/>
  <c r="AO131" i="21"/>
  <c r="AN131" i="21"/>
  <c r="AM131" i="21"/>
  <c r="AL131" i="21"/>
  <c r="AK131" i="21"/>
  <c r="AJ131" i="21"/>
  <c r="AI131" i="21"/>
  <c r="AH131" i="21"/>
  <c r="AG131" i="21"/>
  <c r="AF131" i="21"/>
  <c r="D131" i="21"/>
  <c r="CX131" i="21"/>
  <c r="CX130" i="21"/>
  <c r="DH141" i="17" s="1"/>
  <c r="CW131" i="21"/>
  <c r="CW130" i="21" s="1"/>
  <c r="DG141" i="17" s="1"/>
  <c r="DG126" i="17" s="1"/>
  <c r="CV130" i="21"/>
  <c r="DF141" i="17" s="1"/>
  <c r="CS69" i="22" s="1"/>
  <c r="CR130" i="21"/>
  <c r="CP130" i="21"/>
  <c r="CO130" i="21"/>
  <c r="CN130" i="21"/>
  <c r="CX141" i="17" s="1"/>
  <c r="CJ130" i="21"/>
  <c r="CT141" i="17" s="1"/>
  <c r="AY126" i="21"/>
  <c r="AY131" i="21" s="1"/>
  <c r="BI17" i="17" s="1"/>
  <c r="AX126" i="21"/>
  <c r="BH131" i="17" s="1"/>
  <c r="AW126" i="21"/>
  <c r="AW131" i="21" s="1"/>
  <c r="BG17" i="17" s="1"/>
  <c r="AV126" i="21"/>
  <c r="AU126" i="21"/>
  <c r="AU131" i="21" s="1"/>
  <c r="BE17" i="17" s="1"/>
  <c r="AT126" i="21"/>
  <c r="BD131" i="17" s="1"/>
  <c r="AS126" i="21"/>
  <c r="AS131" i="21" s="1"/>
  <c r="AR126" i="21"/>
  <c r="K130" i="21"/>
  <c r="J130" i="21"/>
  <c r="I130" i="21"/>
  <c r="H130" i="21"/>
  <c r="G130" i="21"/>
  <c r="F130" i="21"/>
  <c r="E130" i="21"/>
  <c r="K129" i="21"/>
  <c r="J129" i="21"/>
  <c r="I129" i="21"/>
  <c r="H129" i="21"/>
  <c r="G129" i="21"/>
  <c r="F129" i="21"/>
  <c r="E129" i="21"/>
  <c r="K128" i="21"/>
  <c r="J128" i="21"/>
  <c r="I128" i="21"/>
  <c r="H128" i="21"/>
  <c r="G128" i="21"/>
  <c r="F128" i="21"/>
  <c r="E128" i="21"/>
  <c r="K127" i="21"/>
  <c r="J127" i="21"/>
  <c r="I127" i="21"/>
  <c r="H127" i="21"/>
  <c r="G127" i="21"/>
  <c r="G134" i="17" s="1"/>
  <c r="F127" i="21"/>
  <c r="E127" i="21"/>
  <c r="K126" i="21"/>
  <c r="J126" i="21"/>
  <c r="G126" i="21"/>
  <c r="F126" i="21"/>
  <c r="E126" i="21"/>
  <c r="K123" i="21"/>
  <c r="J123" i="21"/>
  <c r="I123" i="21"/>
  <c r="H123" i="21"/>
  <c r="G123" i="21"/>
  <c r="F123" i="21"/>
  <c r="E123" i="21"/>
  <c r="CK122" i="21"/>
  <c r="CL122" i="21" s="1"/>
  <c r="G122" i="21"/>
  <c r="F122" i="21"/>
  <c r="E122" i="21"/>
  <c r="H119" i="21"/>
  <c r="G113" i="21"/>
  <c r="G119" i="21" s="1"/>
  <c r="F113" i="21"/>
  <c r="F119" i="21" s="1"/>
  <c r="AQ109" i="21"/>
  <c r="AQ107" i="21"/>
  <c r="AQ106" i="21"/>
  <c r="AQ105" i="21"/>
  <c r="AQ103" i="21"/>
  <c r="AQ102" i="21"/>
  <c r="AQ101" i="21"/>
  <c r="AQ100" i="21"/>
  <c r="CX104" i="21"/>
  <c r="CX107" i="21" s="1"/>
  <c r="CW104" i="21"/>
  <c r="CW107" i="21" s="1"/>
  <c r="CV104" i="21"/>
  <c r="CV107" i="21" s="1"/>
  <c r="CU104" i="21"/>
  <c r="CU107" i="21" s="1"/>
  <c r="CT104" i="21"/>
  <c r="CT107" i="21" s="1"/>
  <c r="CS104" i="21"/>
  <c r="CS107" i="21" s="1"/>
  <c r="CR104" i="21"/>
  <c r="CR107" i="21" s="1"/>
  <c r="CQ104" i="21"/>
  <c r="CQ107" i="21" s="1"/>
  <c r="CP104" i="21"/>
  <c r="CP107" i="21" s="1"/>
  <c r="CO104" i="21"/>
  <c r="CO107" i="21" s="1"/>
  <c r="CN104" i="21"/>
  <c r="CN107" i="21" s="1"/>
  <c r="CM104" i="21"/>
  <c r="CM107" i="21" s="1"/>
  <c r="CL104" i="21"/>
  <c r="CL107" i="21" s="1"/>
  <c r="CK104" i="21"/>
  <c r="CK107" i="21" s="1"/>
  <c r="CJ104" i="21"/>
  <c r="CJ107" i="21" s="1"/>
  <c r="CI104" i="21"/>
  <c r="CI107" i="21" s="1"/>
  <c r="CH104" i="21"/>
  <c r="CH107" i="21" s="1"/>
  <c r="CG104" i="21"/>
  <c r="CG107" i="21" s="1"/>
  <c r="CF104" i="21"/>
  <c r="CF107" i="21" s="1"/>
  <c r="CE104" i="21"/>
  <c r="CE107" i="21" s="1"/>
  <c r="CD104" i="21"/>
  <c r="CD107" i="21" s="1"/>
  <c r="CC104" i="21"/>
  <c r="CC107" i="21" s="1"/>
  <c r="CB104" i="21"/>
  <c r="CB107" i="21" s="1"/>
  <c r="CA104" i="21"/>
  <c r="CA107" i="21" s="1"/>
  <c r="BZ104" i="21"/>
  <c r="BZ107" i="21" s="1"/>
  <c r="BY104" i="21"/>
  <c r="BY107" i="21" s="1"/>
  <c r="BX104" i="21"/>
  <c r="BX107" i="21" s="1"/>
  <c r="BW104" i="21"/>
  <c r="BW107" i="21" s="1"/>
  <c r="BV104" i="21"/>
  <c r="BV107" i="21" s="1"/>
  <c r="BU104" i="21"/>
  <c r="BU107" i="21" s="1"/>
  <c r="BT104" i="21"/>
  <c r="BT107" i="21" s="1"/>
  <c r="BS104" i="21"/>
  <c r="BS107" i="21" s="1"/>
  <c r="BR104" i="21"/>
  <c r="BR107" i="21" s="1"/>
  <c r="BQ104" i="21"/>
  <c r="BQ107" i="21" s="1"/>
  <c r="BP104" i="21"/>
  <c r="BP107" i="21" s="1"/>
  <c r="BO104" i="21"/>
  <c r="BO107" i="21"/>
  <c r="BN104" i="21"/>
  <c r="BN107" i="21" s="1"/>
  <c r="BM104" i="21"/>
  <c r="BM107" i="21" s="1"/>
  <c r="BL104" i="21"/>
  <c r="BL107" i="21" s="1"/>
  <c r="BK104" i="21"/>
  <c r="BK107" i="21" s="1"/>
  <c r="BJ104" i="21"/>
  <c r="BJ107" i="21" s="1"/>
  <c r="BI104" i="21"/>
  <c r="BI107" i="21" s="1"/>
  <c r="BH104" i="21"/>
  <c r="BH107" i="21" s="1"/>
  <c r="BG104" i="21"/>
  <c r="BF104" i="21"/>
  <c r="BF107" i="21" s="1"/>
  <c r="BE104" i="21"/>
  <c r="BE107" i="21" s="1"/>
  <c r="BD104" i="21"/>
  <c r="BD107" i="21" s="1"/>
  <c r="BB104" i="21"/>
  <c r="BA104" i="21"/>
  <c r="BA108" i="21" s="1"/>
  <c r="AZ104" i="21"/>
  <c r="AZ108" i="21" s="1"/>
  <c r="AY104" i="21"/>
  <c r="AY108" i="21" s="1"/>
  <c r="AX104" i="21"/>
  <c r="AX108" i="21" s="1"/>
  <c r="AW104" i="21"/>
  <c r="AW108" i="21" s="1"/>
  <c r="AV104" i="21"/>
  <c r="AV108" i="21" s="1"/>
  <c r="AU104" i="21"/>
  <c r="AU108" i="21" s="1"/>
  <c r="AT104" i="21"/>
  <c r="AT108" i="21" s="1"/>
  <c r="AS104" i="21"/>
  <c r="AS108" i="21"/>
  <c r="AR104" i="21"/>
  <c r="AR108" i="21" s="1"/>
  <c r="AP104" i="21"/>
  <c r="AP108" i="21" s="1"/>
  <c r="AO104" i="21"/>
  <c r="AO108" i="21" s="1"/>
  <c r="AN104" i="21"/>
  <c r="AN108" i="21" s="1"/>
  <c r="AM104" i="21"/>
  <c r="AM108" i="21" s="1"/>
  <c r="AL104" i="21"/>
  <c r="AL108" i="21" s="1"/>
  <c r="AK104" i="21"/>
  <c r="AK108" i="21" s="1"/>
  <c r="AJ104" i="21"/>
  <c r="AJ108" i="21" s="1"/>
  <c r="AI104" i="21"/>
  <c r="AI108" i="21" s="1"/>
  <c r="AH104" i="21"/>
  <c r="AH108" i="21" s="1"/>
  <c r="AG104" i="21"/>
  <c r="AG108" i="21" s="1"/>
  <c r="AF104" i="21"/>
  <c r="AF108" i="21" s="1"/>
  <c r="G104" i="21"/>
  <c r="G108" i="21" s="1"/>
  <c r="F104" i="21"/>
  <c r="F108" i="21" s="1"/>
  <c r="AQ97" i="21"/>
  <c r="AU95" i="21"/>
  <c r="AT95" i="21"/>
  <c r="AT110" i="21" s="1"/>
  <c r="AS95" i="21"/>
  <c r="AS110" i="21" s="1"/>
  <c r="AR95" i="21"/>
  <c r="AR110" i="21" s="1"/>
  <c r="AP95" i="21"/>
  <c r="AP110" i="21" s="1"/>
  <c r="AO95" i="21"/>
  <c r="AO110" i="21" s="1"/>
  <c r="AN95" i="21"/>
  <c r="AN110" i="21" s="1"/>
  <c r="AM95" i="21"/>
  <c r="AM110" i="21" s="1"/>
  <c r="AL95" i="21"/>
  <c r="AL110" i="21" s="1"/>
  <c r="AK95" i="21"/>
  <c r="AK110" i="21" s="1"/>
  <c r="AJ95" i="21"/>
  <c r="AJ110" i="21" s="1"/>
  <c r="AI95" i="21"/>
  <c r="AI110" i="21" s="1"/>
  <c r="AH95" i="21"/>
  <c r="AH110" i="21" s="1"/>
  <c r="AG95" i="21"/>
  <c r="AG110" i="21" s="1"/>
  <c r="AF95" i="21"/>
  <c r="AF110" i="21" s="1"/>
  <c r="G95" i="21"/>
  <c r="G110" i="21" s="1"/>
  <c r="F95" i="21"/>
  <c r="F110" i="21" s="1"/>
  <c r="AQ94" i="21"/>
  <c r="AQ93" i="21"/>
  <c r="AQ92" i="21"/>
  <c r="AQ91" i="21"/>
  <c r="AQ89" i="21"/>
  <c r="AQ88" i="21"/>
  <c r="AU90" i="21"/>
  <c r="H90" i="21" s="1"/>
  <c r="AT90" i="21"/>
  <c r="AS90" i="21"/>
  <c r="AR90" i="21"/>
  <c r="AP90" i="21"/>
  <c r="AO90" i="21"/>
  <c r="AN90" i="21"/>
  <c r="AM90" i="21"/>
  <c r="AL90" i="21"/>
  <c r="AK90" i="21"/>
  <c r="AJ90" i="21"/>
  <c r="AI90" i="21"/>
  <c r="AH90" i="21"/>
  <c r="AG90" i="21"/>
  <c r="AF90" i="21"/>
  <c r="G90" i="21"/>
  <c r="F90" i="21"/>
  <c r="CX89" i="21"/>
  <c r="CX95" i="21" s="1"/>
  <c r="CW89" i="21"/>
  <c r="CW95" i="21" s="1"/>
  <c r="CV89" i="21"/>
  <c r="CV95" i="21" s="1"/>
  <c r="CU89" i="21"/>
  <c r="CU95" i="21" s="1"/>
  <c r="CT89" i="21"/>
  <c r="CT95" i="21" s="1"/>
  <c r="CS89" i="21"/>
  <c r="CS95" i="21" s="1"/>
  <c r="CR89" i="21"/>
  <c r="CR95" i="21" s="1"/>
  <c r="CQ89" i="21"/>
  <c r="CQ95" i="21" s="1"/>
  <c r="CP89" i="21"/>
  <c r="CP95" i="21" s="1"/>
  <c r="CO89" i="21"/>
  <c r="CO95" i="21" s="1"/>
  <c r="CN89" i="21"/>
  <c r="CN95" i="21" s="1"/>
  <c r="CM89" i="21"/>
  <c r="CM95" i="21"/>
  <c r="CL89" i="21"/>
  <c r="CL95" i="21" s="1"/>
  <c r="CK89" i="21"/>
  <c r="CK95" i="21" s="1"/>
  <c r="CJ89" i="21"/>
  <c r="CJ95" i="21" s="1"/>
  <c r="CI89" i="21"/>
  <c r="CI95" i="21"/>
  <c r="CH89" i="21"/>
  <c r="CH95" i="21" s="1"/>
  <c r="CG89" i="21"/>
  <c r="CG95" i="21" s="1"/>
  <c r="CF89" i="21"/>
  <c r="CF95" i="21" s="1"/>
  <c r="CF109" i="21" s="1"/>
  <c r="CE89" i="21"/>
  <c r="CE90" i="21" s="1"/>
  <c r="CD89" i="21"/>
  <c r="CC89" i="21"/>
  <c r="CC90" i="21" s="1"/>
  <c r="CB89" i="21"/>
  <c r="CB95" i="21" s="1"/>
  <c r="CA89" i="21"/>
  <c r="CA90" i="21" s="1"/>
  <c r="BZ89" i="21"/>
  <c r="BY89" i="21"/>
  <c r="BY95" i="21" s="1"/>
  <c r="BX89" i="21"/>
  <c r="BX95" i="21" s="1"/>
  <c r="BX109" i="21" s="1"/>
  <c r="BW89" i="21"/>
  <c r="BW90" i="21" s="1"/>
  <c r="BV89" i="21"/>
  <c r="BU89" i="21"/>
  <c r="BU90" i="21" s="1"/>
  <c r="BT89" i="21"/>
  <c r="BT95" i="21" s="1"/>
  <c r="BS89" i="21"/>
  <c r="BS90" i="21" s="1"/>
  <c r="BR89" i="21"/>
  <c r="BQ89" i="21"/>
  <c r="BQ90" i="21" s="1"/>
  <c r="BP89" i="21"/>
  <c r="BP95" i="21" s="1"/>
  <c r="BP109" i="21" s="1"/>
  <c r="BO89" i="21"/>
  <c r="BO90" i="21" s="1"/>
  <c r="BN89" i="21"/>
  <c r="BN90" i="21" s="1"/>
  <c r="BM89" i="21"/>
  <c r="BM90" i="21" s="1"/>
  <c r="BL89" i="21"/>
  <c r="BL95" i="21" s="1"/>
  <c r="BL109" i="21" s="1"/>
  <c r="BL110" i="21" s="1"/>
  <c r="BK89" i="21"/>
  <c r="BK90" i="21" s="1"/>
  <c r="BJ89" i="21"/>
  <c r="BI89" i="21"/>
  <c r="BI90" i="21" s="1"/>
  <c r="BH89" i="21"/>
  <c r="BH90" i="21" s="1"/>
  <c r="BG89" i="21"/>
  <c r="BG90" i="21" s="1"/>
  <c r="K90" i="21" s="1"/>
  <c r="BF89" i="21"/>
  <c r="BE89" i="21"/>
  <c r="BE90" i="21" s="1"/>
  <c r="BD89" i="21"/>
  <c r="BD95" i="21" s="1"/>
  <c r="BD109" i="21" s="1"/>
  <c r="BD110" i="21" s="1"/>
  <c r="BC89" i="21"/>
  <c r="J89" i="21" s="1"/>
  <c r="BB89" i="21"/>
  <c r="BA89" i="21"/>
  <c r="BA90" i="21" s="1"/>
  <c r="AZ89" i="21"/>
  <c r="AZ95" i="21" s="1"/>
  <c r="AZ109" i="21" s="1"/>
  <c r="AZ110" i="21" s="1"/>
  <c r="AY89" i="21"/>
  <c r="AY90" i="21" s="1"/>
  <c r="I90" i="21" s="1"/>
  <c r="AX89" i="21"/>
  <c r="AX90" i="21" s="1"/>
  <c r="AW89" i="21"/>
  <c r="AW90" i="21" s="1"/>
  <c r="AV89" i="21"/>
  <c r="AV95" i="21" s="1"/>
  <c r="AV109" i="21" s="1"/>
  <c r="AV110" i="21" s="1"/>
  <c r="H109" i="21"/>
  <c r="K108" i="21"/>
  <c r="J107" i="21"/>
  <c r="I107" i="21"/>
  <c r="H107" i="21"/>
  <c r="K106" i="21"/>
  <c r="J106" i="21"/>
  <c r="I106" i="21"/>
  <c r="H106" i="21"/>
  <c r="K105" i="21"/>
  <c r="J105" i="21"/>
  <c r="I105" i="21"/>
  <c r="H105" i="21"/>
  <c r="J104" i="21"/>
  <c r="H104" i="21"/>
  <c r="K103" i="21"/>
  <c r="J103" i="21"/>
  <c r="I103" i="21"/>
  <c r="H103" i="21"/>
  <c r="K102" i="21"/>
  <c r="J102" i="21"/>
  <c r="I102" i="21"/>
  <c r="H102" i="21"/>
  <c r="K101" i="21"/>
  <c r="J101" i="21"/>
  <c r="I101" i="21"/>
  <c r="H101" i="21"/>
  <c r="K100" i="21"/>
  <c r="J100" i="21"/>
  <c r="I100" i="21"/>
  <c r="H100" i="21"/>
  <c r="K98" i="21"/>
  <c r="J98" i="21"/>
  <c r="I98" i="21"/>
  <c r="H98" i="21"/>
  <c r="K97" i="21"/>
  <c r="J97" i="21"/>
  <c r="I97" i="21"/>
  <c r="H97" i="21"/>
  <c r="K96" i="21"/>
  <c r="J96" i="21"/>
  <c r="I96" i="21"/>
  <c r="H96" i="21"/>
  <c r="K94" i="21"/>
  <c r="J94" i="21"/>
  <c r="I94" i="21"/>
  <c r="H94" i="21"/>
  <c r="K93" i="21"/>
  <c r="J93" i="21"/>
  <c r="I93" i="21"/>
  <c r="H93" i="21"/>
  <c r="K92" i="21"/>
  <c r="J92" i="21"/>
  <c r="I92" i="21"/>
  <c r="H92" i="21"/>
  <c r="K91" i="21"/>
  <c r="J91" i="21"/>
  <c r="I91" i="21"/>
  <c r="H91" i="21"/>
  <c r="K89" i="21"/>
  <c r="H89" i="21"/>
  <c r="K88" i="21"/>
  <c r="J88" i="21"/>
  <c r="I88" i="21"/>
  <c r="H88" i="21"/>
  <c r="AQ86" i="21"/>
  <c r="AQ85" i="21"/>
  <c r="K87" i="21"/>
  <c r="J87" i="21"/>
  <c r="K86" i="21"/>
  <c r="J86" i="21"/>
  <c r="K85" i="21"/>
  <c r="J85" i="21"/>
  <c r="I86" i="21"/>
  <c r="H86" i="21"/>
  <c r="I85" i="21"/>
  <c r="H85" i="21"/>
  <c r="K84" i="21"/>
  <c r="K83" i="21"/>
  <c r="K82" i="21"/>
  <c r="K80" i="21"/>
  <c r="K79" i="21"/>
  <c r="K78" i="21"/>
  <c r="K77" i="21"/>
  <c r="K76" i="21"/>
  <c r="K75" i="21"/>
  <c r="K73" i="21"/>
  <c r="K72" i="21"/>
  <c r="K69" i="21"/>
  <c r="K68" i="21"/>
  <c r="K67" i="21"/>
  <c r="K66" i="21"/>
  <c r="K65" i="21"/>
  <c r="K63" i="21"/>
  <c r="AQ80" i="21"/>
  <c r="AQ79" i="21"/>
  <c r="AQ78" i="21"/>
  <c r="CA79" i="21"/>
  <c r="BZ79" i="21"/>
  <c r="BY79" i="21"/>
  <c r="J80" i="21"/>
  <c r="I80" i="21"/>
  <c r="H80" i="21"/>
  <c r="J79" i="21"/>
  <c r="I79" i="21"/>
  <c r="H79" i="21"/>
  <c r="J78" i="21"/>
  <c r="I78" i="21"/>
  <c r="H78" i="21"/>
  <c r="J77" i="21"/>
  <c r="J76" i="21"/>
  <c r="J75" i="21"/>
  <c r="J74" i="21"/>
  <c r="J73" i="21"/>
  <c r="J72" i="21"/>
  <c r="J69" i="21"/>
  <c r="J68" i="21"/>
  <c r="J67" i="21"/>
  <c r="J66" i="21"/>
  <c r="J65" i="21"/>
  <c r="J63" i="21"/>
  <c r="AQ75" i="21"/>
  <c r="AQ73" i="21"/>
  <c r="AQ72" i="21"/>
  <c r="AQ70" i="21"/>
  <c r="AQ69" i="21"/>
  <c r="AQ68" i="21"/>
  <c r="AQ67" i="21"/>
  <c r="AQ66" i="21"/>
  <c r="AQ65" i="21"/>
  <c r="AQ63" i="21"/>
  <c r="BU74" i="21"/>
  <c r="BT74" i="21"/>
  <c r="BS74" i="21"/>
  <c r="BR74" i="21"/>
  <c r="BQ74" i="21"/>
  <c r="BP74" i="21"/>
  <c r="BO74" i="21"/>
  <c r="BN74" i="21"/>
  <c r="BM74" i="21"/>
  <c r="BL74" i="21"/>
  <c r="BK74" i="21"/>
  <c r="BJ74" i="21"/>
  <c r="BI74" i="21"/>
  <c r="BH74" i="21"/>
  <c r="BG74" i="21"/>
  <c r="K74" i="21"/>
  <c r="BF74" i="21"/>
  <c r="BE74" i="21"/>
  <c r="BD74" i="21"/>
  <c r="AU74" i="21"/>
  <c r="AU81" i="21" s="1"/>
  <c r="AT74" i="21"/>
  <c r="AT81" i="21" s="1"/>
  <c r="AS74" i="21"/>
  <c r="AS81" i="21" s="1"/>
  <c r="AR74" i="21"/>
  <c r="AR81" i="21" s="1"/>
  <c r="AP74" i="21"/>
  <c r="AP81" i="21" s="1"/>
  <c r="AO74" i="21"/>
  <c r="AO81" i="21" s="1"/>
  <c r="AN74" i="21"/>
  <c r="AN81" i="21" s="1"/>
  <c r="AM74" i="21"/>
  <c r="AM81" i="21" s="1"/>
  <c r="AL74" i="21"/>
  <c r="AL81" i="21" s="1"/>
  <c r="AK74" i="21"/>
  <c r="AK81" i="21" s="1"/>
  <c r="AJ74" i="21"/>
  <c r="AJ81" i="21" s="1"/>
  <c r="AI74" i="21"/>
  <c r="AI81" i="21" s="1"/>
  <c r="AH74" i="21"/>
  <c r="AH81" i="21" s="1"/>
  <c r="AG74" i="21"/>
  <c r="AG81" i="21" s="1"/>
  <c r="AF74" i="21"/>
  <c r="AF81" i="21" s="1"/>
  <c r="G74" i="21"/>
  <c r="G81" i="21" s="1"/>
  <c r="F74" i="21"/>
  <c r="F81" i="21" s="1"/>
  <c r="AU71" i="21"/>
  <c r="AT71" i="21"/>
  <c r="AS71" i="21"/>
  <c r="AR71" i="21"/>
  <c r="AP71" i="21"/>
  <c r="AO71" i="21"/>
  <c r="AN71" i="21"/>
  <c r="AM71" i="21"/>
  <c r="AL71" i="21"/>
  <c r="AK71" i="21"/>
  <c r="AJ71" i="21"/>
  <c r="AI71" i="21"/>
  <c r="AH71" i="21"/>
  <c r="AG71" i="21"/>
  <c r="AF71" i="21"/>
  <c r="G71" i="21"/>
  <c r="F71" i="21"/>
  <c r="CX70" i="21"/>
  <c r="CX80" i="21" s="1"/>
  <c r="CW70" i="21"/>
  <c r="CW80" i="21" s="1"/>
  <c r="CV70" i="21"/>
  <c r="CV80" i="21" s="1"/>
  <c r="CU70" i="21"/>
  <c r="CU80" i="21" s="1"/>
  <c r="CT70" i="21"/>
  <c r="CT80" i="21" s="1"/>
  <c r="CS70" i="21"/>
  <c r="CS80" i="21" s="1"/>
  <c r="CR70" i="21"/>
  <c r="CR80" i="21" s="1"/>
  <c r="CQ70" i="21"/>
  <c r="CQ80" i="21" s="1"/>
  <c r="CP70" i="21"/>
  <c r="CP80" i="21" s="1"/>
  <c r="CO70" i="21"/>
  <c r="CO80" i="21" s="1"/>
  <c r="CN70" i="21"/>
  <c r="CN80" i="21" s="1"/>
  <c r="CM70" i="21"/>
  <c r="CM80" i="21" s="1"/>
  <c r="CL70" i="21"/>
  <c r="CL80" i="21" s="1"/>
  <c r="CK70" i="21"/>
  <c r="CK80" i="21" s="1"/>
  <c r="CJ70" i="21"/>
  <c r="CJ80" i="21" s="1"/>
  <c r="CI70" i="21"/>
  <c r="CI80" i="21" s="1"/>
  <c r="CH70" i="21"/>
  <c r="CH80" i="21" s="1"/>
  <c r="CG70" i="21"/>
  <c r="CG80" i="21" s="1"/>
  <c r="CF70" i="21"/>
  <c r="CF80" i="21" s="1"/>
  <c r="CE70" i="21"/>
  <c r="CE80" i="21" s="1"/>
  <c r="CD70" i="21"/>
  <c r="CD80" i="21" s="1"/>
  <c r="CC70" i="21"/>
  <c r="CC80" i="21" s="1"/>
  <c r="CB70" i="21"/>
  <c r="CB80" i="21" s="1"/>
  <c r="CA70" i="21"/>
  <c r="CA80" i="21" s="1"/>
  <c r="BZ70" i="21"/>
  <c r="BZ80" i="21" s="1"/>
  <c r="BY70" i="21"/>
  <c r="BY80" i="21" s="1"/>
  <c r="BX70" i="21"/>
  <c r="BX80" i="21" s="1"/>
  <c r="BX110" i="21" s="1"/>
  <c r="BW70" i="21"/>
  <c r="BW80" i="21" s="1"/>
  <c r="BV70" i="21"/>
  <c r="BV80" i="21" s="1"/>
  <c r="BU70" i="21"/>
  <c r="BU80" i="21" s="1"/>
  <c r="BT70" i="21"/>
  <c r="BS70" i="21"/>
  <c r="BS80" i="21" s="1"/>
  <c r="BR70" i="21"/>
  <c r="BR80" i="21" s="1"/>
  <c r="BQ70" i="21"/>
  <c r="BQ80" i="21" s="1"/>
  <c r="BP70" i="21"/>
  <c r="BP80" i="21" s="1"/>
  <c r="BO70" i="21"/>
  <c r="BO80" i="21" s="1"/>
  <c r="BN70" i="21"/>
  <c r="BN80" i="21" s="1"/>
  <c r="BM70" i="21"/>
  <c r="BM80" i="21" s="1"/>
  <c r="BL70" i="21"/>
  <c r="BK70" i="21"/>
  <c r="BK80" i="21" s="1"/>
  <c r="BJ70" i="21"/>
  <c r="BJ80" i="21" s="1"/>
  <c r="BI70" i="21"/>
  <c r="BI80" i="21" s="1"/>
  <c r="BI81" i="21" s="1"/>
  <c r="BH70" i="21"/>
  <c r="BG70" i="21"/>
  <c r="BG71" i="21" s="1"/>
  <c r="K71" i="21" s="1"/>
  <c r="BF70" i="21"/>
  <c r="BF71" i="21" s="1"/>
  <c r="BE70" i="21"/>
  <c r="BE71" i="21" s="1"/>
  <c r="BD70" i="21"/>
  <c r="BD81" i="21" s="1"/>
  <c r="BC70" i="21"/>
  <c r="J70" i="21" s="1"/>
  <c r="BB70" i="21"/>
  <c r="BB71" i="21" s="1"/>
  <c r="AX70" i="21"/>
  <c r="AW70" i="21"/>
  <c r="AW71" i="21" s="1"/>
  <c r="AV70" i="21"/>
  <c r="AV81" i="21" s="1"/>
  <c r="BA68" i="21"/>
  <c r="BA70" i="21" s="1"/>
  <c r="AZ68" i="21"/>
  <c r="AZ70" i="21" s="1"/>
  <c r="AZ81" i="21" s="1"/>
  <c r="AY65" i="21"/>
  <c r="I65" i="21" s="1"/>
  <c r="AY63" i="21"/>
  <c r="I75" i="21"/>
  <c r="H75" i="21"/>
  <c r="I74" i="21"/>
  <c r="I73" i="21"/>
  <c r="H73" i="21"/>
  <c r="I72" i="21"/>
  <c r="H72" i="21"/>
  <c r="H70" i="21"/>
  <c r="I69" i="21"/>
  <c r="H69" i="21"/>
  <c r="I68" i="21"/>
  <c r="H68" i="21"/>
  <c r="I67" i="21"/>
  <c r="H67" i="21"/>
  <c r="I66" i="21"/>
  <c r="H66" i="21"/>
  <c r="H65" i="21"/>
  <c r="H63" i="21"/>
  <c r="AU59" i="21"/>
  <c r="AU58" i="21"/>
  <c r="K59" i="21"/>
  <c r="J59" i="21"/>
  <c r="I59" i="21"/>
  <c r="K58" i="21"/>
  <c r="J58" i="21"/>
  <c r="I58" i="21"/>
  <c r="AT59" i="21"/>
  <c r="AR59" i="21"/>
  <c r="AP58" i="21"/>
  <c r="AN59" i="21"/>
  <c r="AL59" i="21"/>
  <c r="AJ58" i="21"/>
  <c r="AH58" i="21"/>
  <c r="AF59" i="21"/>
  <c r="H58" i="21"/>
  <c r="G59" i="21"/>
  <c r="CV55" i="21"/>
  <c r="BS53" i="21"/>
  <c r="BO53" i="21"/>
  <c r="BK50" i="21"/>
  <c r="BD50" i="21"/>
  <c r="CW48" i="21"/>
  <c r="CU48" i="21"/>
  <c r="CT48" i="21"/>
  <c r="CS48" i="21"/>
  <c r="CZ78" i="6" s="1"/>
  <c r="CQ48" i="21"/>
  <c r="CP48" i="21"/>
  <c r="CM48" i="21"/>
  <c r="CL48" i="21"/>
  <c r="AN46" i="21"/>
  <c r="G46" i="21" s="1"/>
  <c r="AN45" i="21"/>
  <c r="G45" i="21" s="1"/>
  <c r="AN44" i="21"/>
  <c r="CT46" i="21"/>
  <c r="CT45" i="21"/>
  <c r="CT44" i="21"/>
  <c r="CU45" i="21"/>
  <c r="DB74" i="6" s="1"/>
  <c r="CU44" i="21"/>
  <c r="CV44" i="21"/>
  <c r="CQ44" i="21"/>
  <c r="BJ44" i="21"/>
  <c r="BJ43" i="21"/>
  <c r="AQ44" i="21"/>
  <c r="AP44" i="21"/>
  <c r="AO44" i="21"/>
  <c r="BP43" i="21"/>
  <c r="BO43" i="21"/>
  <c r="BN43" i="21"/>
  <c r="BM43" i="21"/>
  <c r="BL43" i="21"/>
  <c r="BK43" i="21"/>
  <c r="BH43" i="21"/>
  <c r="BG43" i="21"/>
  <c r="BF43" i="21"/>
  <c r="BE43" i="21"/>
  <c r="BD43" i="21"/>
  <c r="K48" i="21"/>
  <c r="J48" i="21"/>
  <c r="I48" i="21"/>
  <c r="H48" i="21"/>
  <c r="K46" i="21"/>
  <c r="J46" i="21"/>
  <c r="I46" i="21"/>
  <c r="H46" i="21"/>
  <c r="K45" i="21"/>
  <c r="J45" i="21"/>
  <c r="I45" i="21"/>
  <c r="H45" i="21"/>
  <c r="K44" i="21"/>
  <c r="J44" i="21"/>
  <c r="I44" i="21"/>
  <c r="H44" i="21"/>
  <c r="J43" i="21"/>
  <c r="I43" i="21"/>
  <c r="H43" i="21"/>
  <c r="G43" i="21"/>
  <c r="AM41" i="21"/>
  <c r="AM52" i="21" s="1"/>
  <c r="AL41" i="21"/>
  <c r="AL52" i="21" s="1"/>
  <c r="AK41" i="21"/>
  <c r="AJ41" i="21"/>
  <c r="AI41" i="21"/>
  <c r="AI52" i="21" s="1"/>
  <c r="AH41" i="21"/>
  <c r="AH52" i="21" s="1"/>
  <c r="AG41" i="21"/>
  <c r="AG52" i="21" s="1"/>
  <c r="AF41" i="21"/>
  <c r="F41" i="21"/>
  <c r="F47" i="21" s="1"/>
  <c r="E41" i="21"/>
  <c r="E52" i="21" s="1"/>
  <c r="E56" i="21" s="1"/>
  <c r="CI37" i="21"/>
  <c r="CI29" i="21" s="1"/>
  <c r="CP48" i="6" s="1"/>
  <c r="CS178" i="7" s="1"/>
  <c r="CH37" i="21"/>
  <c r="CH29" i="21" s="1"/>
  <c r="CO48" i="6" s="1"/>
  <c r="CR91" i="13" s="1"/>
  <c r="CO36" i="21"/>
  <c r="CO38" i="21"/>
  <c r="CO41" i="21" s="1"/>
  <c r="CO47" i="21" s="1"/>
  <c r="CO52" i="21" s="1"/>
  <c r="CO54" i="21" s="1"/>
  <c r="CO56" i="21" s="1"/>
  <c r="CN36" i="21"/>
  <c r="CN38" i="21" s="1"/>
  <c r="CN41" i="21" s="1"/>
  <c r="CN47" i="21" s="1"/>
  <c r="CN52" i="21" s="1"/>
  <c r="CN54" i="21" s="1"/>
  <c r="CN56" i="21" s="1"/>
  <c r="CK36" i="21"/>
  <c r="CK38" i="21" s="1"/>
  <c r="CK41" i="21" s="1"/>
  <c r="CK47" i="21" s="1"/>
  <c r="CK52" i="21" s="1"/>
  <c r="CK54" i="21" s="1"/>
  <c r="CK56" i="21" s="1"/>
  <c r="CJ36" i="21"/>
  <c r="CJ38" i="21" s="1"/>
  <c r="CJ41" i="21" s="1"/>
  <c r="CJ47" i="21" s="1"/>
  <c r="CJ52" i="21" s="1"/>
  <c r="CJ54" i="21" s="1"/>
  <c r="CJ56" i="21" s="1"/>
  <c r="CG36" i="21"/>
  <c r="CG38" i="21" s="1"/>
  <c r="CF36" i="21"/>
  <c r="CF38" i="21"/>
  <c r="CE36" i="21"/>
  <c r="CE38" i="21" s="1"/>
  <c r="CD36" i="21"/>
  <c r="CD38" i="21" s="1"/>
  <c r="CC36" i="21"/>
  <c r="CC38" i="21" s="1"/>
  <c r="CB36" i="21"/>
  <c r="CB38" i="21"/>
  <c r="CA36" i="21"/>
  <c r="CA38" i="21" s="1"/>
  <c r="BZ36" i="21"/>
  <c r="BZ38" i="21" s="1"/>
  <c r="BY36" i="21"/>
  <c r="BY38" i="21"/>
  <c r="BX36" i="21"/>
  <c r="BX38" i="21" s="1"/>
  <c r="CX35" i="21"/>
  <c r="CW35" i="21"/>
  <c r="CV35" i="21"/>
  <c r="CV27" i="21" s="1"/>
  <c r="CU35" i="21"/>
  <c r="CU27" i="21" s="1"/>
  <c r="DB42" i="6" s="1"/>
  <c r="CT35" i="21"/>
  <c r="CS35" i="21"/>
  <c r="CR35" i="21"/>
  <c r="CR27" i="21" s="1"/>
  <c r="CY42" i="6" s="1"/>
  <c r="CQ35" i="21"/>
  <c r="CQ27" i="21" s="1"/>
  <c r="CP35" i="21"/>
  <c r="CM35" i="21"/>
  <c r="CM36" i="21" s="1"/>
  <c r="CM38" i="21" s="1"/>
  <c r="CM41" i="21" s="1"/>
  <c r="CM47" i="21" s="1"/>
  <c r="CM52" i="21" s="1"/>
  <c r="CM54" i="21" s="1"/>
  <c r="CM56" i="21" s="1"/>
  <c r="CL35" i="21"/>
  <c r="CX34" i="21"/>
  <c r="CX26" i="21" s="1"/>
  <c r="DE39" i="6" s="1"/>
  <c r="CW34" i="21"/>
  <c r="CW26" i="21" s="1"/>
  <c r="CV34" i="21"/>
  <c r="CU34" i="21"/>
  <c r="CU26" i="21" s="1"/>
  <c r="CT34" i="21"/>
  <c r="CT26" i="21" s="1"/>
  <c r="DA39" i="6" s="1"/>
  <c r="CS34" i="21"/>
  <c r="CS26" i="21"/>
  <c r="CR34" i="21"/>
  <c r="CQ34" i="21"/>
  <c r="CQ26" i="21"/>
  <c r="CI35" i="21"/>
  <c r="CI27" i="21" s="1"/>
  <c r="CP42" i="6" s="1"/>
  <c r="CH35" i="21"/>
  <c r="CH27" i="21" s="1"/>
  <c r="CI34" i="21"/>
  <c r="CH34" i="21"/>
  <c r="AM31" i="21"/>
  <c r="AL31" i="21"/>
  <c r="AK31" i="21"/>
  <c r="AJ31" i="21"/>
  <c r="AI31" i="21"/>
  <c r="AH31" i="21"/>
  <c r="AG31" i="21"/>
  <c r="AF31" i="21"/>
  <c r="F31" i="21"/>
  <c r="E31" i="21"/>
  <c r="AY30" i="21"/>
  <c r="AX30" i="21"/>
  <c r="AX31" i="21" s="1"/>
  <c r="AW30" i="21"/>
  <c r="AW31" i="21" s="1"/>
  <c r="AV30" i="21"/>
  <c r="AV31" i="21" s="1"/>
  <c r="AU30" i="21"/>
  <c r="AT30" i="21"/>
  <c r="AT31" i="21" s="1"/>
  <c r="AS30" i="21"/>
  <c r="AS31" i="21" s="1"/>
  <c r="AR30" i="21"/>
  <c r="AR31" i="21" s="1"/>
  <c r="AQ30" i="21"/>
  <c r="AP30" i="21"/>
  <c r="AP31" i="21" s="1"/>
  <c r="AO30" i="21"/>
  <c r="AO31" i="21" s="1"/>
  <c r="AN29" i="21"/>
  <c r="AN28" i="21"/>
  <c r="CA28" i="21"/>
  <c r="CA30" i="21" s="1"/>
  <c r="BZ28" i="21"/>
  <c r="BZ30" i="21" s="1"/>
  <c r="BY28" i="21"/>
  <c r="BY30" i="21" s="1"/>
  <c r="BX28" i="21"/>
  <c r="BX30" i="21" s="1"/>
  <c r="BW28" i="21"/>
  <c r="BW30" i="21" s="1"/>
  <c r="BV28" i="21"/>
  <c r="BV30" i="21" s="1"/>
  <c r="BU28" i="21"/>
  <c r="BU30" i="21" s="1"/>
  <c r="BU41" i="21" s="1"/>
  <c r="BU47" i="21" s="1"/>
  <c r="BU52" i="21" s="1"/>
  <c r="BU54" i="21" s="1"/>
  <c r="BU56" i="21" s="1"/>
  <c r="BT28" i="21"/>
  <c r="BT30" i="21" s="1"/>
  <c r="BS28" i="21"/>
  <c r="BS30" i="21" s="1"/>
  <c r="BR28" i="21"/>
  <c r="BR30" i="21" s="1"/>
  <c r="BQ28" i="21"/>
  <c r="BQ30" i="21" s="1"/>
  <c r="BP28" i="21"/>
  <c r="BP30" i="21" s="1"/>
  <c r="BP31" i="21" s="1"/>
  <c r="BO28" i="21"/>
  <c r="BO30" i="21" s="1"/>
  <c r="BN28" i="21"/>
  <c r="BN30" i="21" s="1"/>
  <c r="BM28" i="21"/>
  <c r="BM30" i="21" s="1"/>
  <c r="BL28" i="21"/>
  <c r="BL30" i="21" s="1"/>
  <c r="BL31" i="21" s="1"/>
  <c r="BK28" i="21"/>
  <c r="BK30" i="21" s="1"/>
  <c r="BK41" i="21" s="1"/>
  <c r="BK47" i="21" s="1"/>
  <c r="BK52" i="21" s="1"/>
  <c r="BK54" i="21" s="1"/>
  <c r="BK56" i="21" s="1"/>
  <c r="BJ28" i="21"/>
  <c r="BJ30" i="21" s="1"/>
  <c r="BI28" i="21"/>
  <c r="BI30" i="21" s="1"/>
  <c r="BI31" i="21" s="1"/>
  <c r="BH28" i="21"/>
  <c r="BH30" i="21" s="1"/>
  <c r="BG28" i="21"/>
  <c r="BG30" i="21" s="1"/>
  <c r="BF28" i="21"/>
  <c r="BF30" i="21" s="1"/>
  <c r="BF31" i="21" s="1"/>
  <c r="BE28" i="21"/>
  <c r="BE30" i="21" s="1"/>
  <c r="BD28" i="21"/>
  <c r="BD30" i="21"/>
  <c r="BC28" i="21"/>
  <c r="BC30" i="21" s="1"/>
  <c r="BB28" i="21"/>
  <c r="BB30" i="21" s="1"/>
  <c r="BB31" i="21" s="1"/>
  <c r="BA28" i="21"/>
  <c r="AZ28" i="21"/>
  <c r="AZ30" i="21" s="1"/>
  <c r="K29" i="21"/>
  <c r="J29" i="21"/>
  <c r="I29" i="21"/>
  <c r="H29" i="21"/>
  <c r="I28" i="21"/>
  <c r="H28" i="21"/>
  <c r="G28" i="21"/>
  <c r="CX29" i="21"/>
  <c r="CW29" i="21"/>
  <c r="CV29" i="21"/>
  <c r="CU29" i="21"/>
  <c r="CT29" i="21"/>
  <c r="CS29" i="21"/>
  <c r="CR29" i="21"/>
  <c r="CQ29" i="21"/>
  <c r="CP29" i="21"/>
  <c r="CO29" i="21"/>
  <c r="CN29" i="21"/>
  <c r="CM29" i="21"/>
  <c r="CL29" i="21"/>
  <c r="CK29" i="21"/>
  <c r="CJ29" i="21"/>
  <c r="CG29" i="21"/>
  <c r="CF29" i="21"/>
  <c r="CE29" i="21"/>
  <c r="CD29" i="21"/>
  <c r="CC29" i="21"/>
  <c r="CB29" i="21"/>
  <c r="CW27" i="21"/>
  <c r="CS27" i="21"/>
  <c r="CO27" i="21"/>
  <c r="CN27" i="21"/>
  <c r="CM27" i="21"/>
  <c r="CK27" i="21"/>
  <c r="CJ27" i="21"/>
  <c r="CG27" i="21"/>
  <c r="CF27" i="21"/>
  <c r="CE27" i="21"/>
  <c r="CD27" i="21"/>
  <c r="CC27" i="21"/>
  <c r="CB27" i="21"/>
  <c r="CV26" i="21"/>
  <c r="CR26" i="21"/>
  <c r="CP26" i="21"/>
  <c r="CO26" i="21"/>
  <c r="CN26" i="21"/>
  <c r="CM26" i="21"/>
  <c r="CL26" i="21"/>
  <c r="CK26" i="21"/>
  <c r="CJ26" i="21"/>
  <c r="CH26" i="21"/>
  <c r="CG26" i="21"/>
  <c r="CF26" i="21"/>
  <c r="CE26" i="21"/>
  <c r="CE28" i="21" s="1"/>
  <c r="CD26" i="21"/>
  <c r="CD28" i="21" s="1"/>
  <c r="CC26" i="21"/>
  <c r="CB26" i="21"/>
  <c r="K27" i="21"/>
  <c r="J27" i="21"/>
  <c r="K26" i="21"/>
  <c r="J26" i="21"/>
  <c r="CR20" i="21"/>
  <c r="CR10" i="21" s="1"/>
  <c r="CQ20" i="21"/>
  <c r="CG21" i="21"/>
  <c r="CF21" i="21"/>
  <c r="CE21" i="21"/>
  <c r="CD21" i="21"/>
  <c r="CC21" i="21"/>
  <c r="CC41" i="21" s="1"/>
  <c r="CC47" i="21" s="1"/>
  <c r="CC52" i="21" s="1"/>
  <c r="CC54" i="21" s="1"/>
  <c r="CC56" i="21" s="1"/>
  <c r="CB21" i="21"/>
  <c r="CX20" i="21"/>
  <c r="CX10" i="21" s="1"/>
  <c r="DH11" i="16" s="1"/>
  <c r="DE18" i="6" s="1"/>
  <c r="CU20" i="21"/>
  <c r="CU10" i="21" s="1"/>
  <c r="CP20" i="21"/>
  <c r="CP10" i="21" s="1"/>
  <c r="CO20" i="21"/>
  <c r="CN20" i="21"/>
  <c r="CN10" i="21" s="1"/>
  <c r="CM20" i="21"/>
  <c r="CM10" i="21" s="1"/>
  <c r="CL20" i="21"/>
  <c r="CK20" i="21"/>
  <c r="CK10" i="21" s="1"/>
  <c r="CJ20" i="21"/>
  <c r="CJ10" i="21" s="1"/>
  <c r="CT11" i="16" s="1"/>
  <c r="CI20" i="21"/>
  <c r="CH20" i="21"/>
  <c r="CH10" i="21" s="1"/>
  <c r="CA20" i="21"/>
  <c r="BZ20" i="21"/>
  <c r="BY20" i="21"/>
  <c r="BX20" i="21"/>
  <c r="K17" i="21"/>
  <c r="K15" i="21"/>
  <c r="BO13" i="21"/>
  <c r="BN13" i="21"/>
  <c r="BM13" i="21"/>
  <c r="BL13" i="21"/>
  <c r="BG13" i="21"/>
  <c r="BF13" i="21"/>
  <c r="BE13" i="21"/>
  <c r="BD13" i="21"/>
  <c r="BC13" i="21"/>
  <c r="BB13" i="21"/>
  <c r="BA13" i="21"/>
  <c r="AZ13" i="21"/>
  <c r="AM13" i="21"/>
  <c r="AL13" i="21"/>
  <c r="AK13" i="21"/>
  <c r="AJ13" i="21"/>
  <c r="AI13" i="21"/>
  <c r="AH13" i="21"/>
  <c r="AG13" i="21"/>
  <c r="AF13" i="21"/>
  <c r="F13" i="21"/>
  <c r="E13" i="21"/>
  <c r="CA12" i="21"/>
  <c r="BZ12" i="21"/>
  <c r="BY12" i="21"/>
  <c r="BX12" i="21"/>
  <c r="BW12" i="21"/>
  <c r="BV12" i="21"/>
  <c r="BV41" i="21" s="1"/>
  <c r="BV47" i="21" s="1"/>
  <c r="BV52" i="21" s="1"/>
  <c r="BV54" i="21" s="1"/>
  <c r="BV56" i="21" s="1"/>
  <c r="BU12" i="21"/>
  <c r="BT12" i="21"/>
  <c r="BS12" i="21"/>
  <c r="BR12" i="21"/>
  <c r="BR41" i="21" s="1"/>
  <c r="BR47" i="21" s="1"/>
  <c r="BR52" i="21" s="1"/>
  <c r="BR54" i="21" s="1"/>
  <c r="BR56" i="21" s="1"/>
  <c r="BQ12" i="21"/>
  <c r="BQ13" i="21" s="1"/>
  <c r="BK12" i="21"/>
  <c r="BK13" i="21"/>
  <c r="BJ12" i="21"/>
  <c r="BJ13" i="21" s="1"/>
  <c r="BI12" i="21"/>
  <c r="BI13" i="21"/>
  <c r="BH12" i="21"/>
  <c r="BH13" i="21" s="1"/>
  <c r="AY12" i="21"/>
  <c r="AY13" i="21"/>
  <c r="AX12" i="21"/>
  <c r="AX13" i="21" s="1"/>
  <c r="AW12" i="21"/>
  <c r="AW41" i="21"/>
  <c r="AV12" i="21"/>
  <c r="AV13" i="21" s="1"/>
  <c r="AU12" i="21"/>
  <c r="AT12" i="21"/>
  <c r="AS12" i="21"/>
  <c r="AS41" i="21" s="1"/>
  <c r="AR12" i="21"/>
  <c r="AQ12" i="21"/>
  <c r="AP12" i="21"/>
  <c r="AP13" i="21" s="1"/>
  <c r="AO12" i="21"/>
  <c r="AN12" i="21"/>
  <c r="AN13" i="21" s="1"/>
  <c r="K12" i="21"/>
  <c r="BO11" i="21"/>
  <c r="BN11" i="21"/>
  <c r="BM11" i="21"/>
  <c r="BL11" i="21"/>
  <c r="CQ10" i="21"/>
  <c r="DA11" i="16"/>
  <c r="CN49" i="22" s="1"/>
  <c r="CO10" i="21"/>
  <c r="CL10" i="21"/>
  <c r="CV11" i="16" s="1"/>
  <c r="CS18" i="6" s="1"/>
  <c r="CI10" i="21"/>
  <c r="CX7" i="21"/>
  <c r="CW7" i="21"/>
  <c r="CV7" i="21"/>
  <c r="CU7" i="21"/>
  <c r="CT7" i="21"/>
  <c r="CS7" i="21"/>
  <c r="CR7" i="21"/>
  <c r="CQ7" i="21"/>
  <c r="CP7" i="21"/>
  <c r="CO7" i="21"/>
  <c r="CN7" i="21"/>
  <c r="CM7" i="21"/>
  <c r="CL7" i="21"/>
  <c r="CK7" i="21"/>
  <c r="CJ7" i="21"/>
  <c r="CI7" i="21"/>
  <c r="CH7" i="21"/>
  <c r="CG7" i="21"/>
  <c r="CF7" i="21"/>
  <c r="CE7" i="21"/>
  <c r="CD7" i="21"/>
  <c r="CC7" i="21"/>
  <c r="CB7" i="21"/>
  <c r="CX6" i="21"/>
  <c r="CW6" i="21"/>
  <c r="CV6" i="21"/>
  <c r="CU6" i="21"/>
  <c r="CT6" i="21"/>
  <c r="CS6" i="21"/>
  <c r="CR6" i="21"/>
  <c r="CQ6" i="21"/>
  <c r="CP6" i="21"/>
  <c r="CO6" i="21"/>
  <c r="CN6" i="21"/>
  <c r="CM6" i="21"/>
  <c r="CL6" i="21"/>
  <c r="CK6" i="21"/>
  <c r="CJ6" i="21"/>
  <c r="CI6" i="21"/>
  <c r="CH6" i="21"/>
  <c r="CG6" i="21"/>
  <c r="CF6" i="21"/>
  <c r="CE6" i="21"/>
  <c r="CD6" i="21"/>
  <c r="CC6" i="21"/>
  <c r="CB6" i="21"/>
  <c r="BP6" i="21"/>
  <c r="K10" i="21"/>
  <c r="J10" i="21"/>
  <c r="I10" i="21"/>
  <c r="I11" i="16" s="1"/>
  <c r="H10" i="21"/>
  <c r="G10" i="21"/>
  <c r="G11" i="16" s="1"/>
  <c r="K9" i="21"/>
  <c r="J9" i="21"/>
  <c r="I9" i="21"/>
  <c r="I349" i="21" s="1"/>
  <c r="H9" i="21"/>
  <c r="H349" i="21" s="1"/>
  <c r="G9" i="21"/>
  <c r="G349" i="21" s="1"/>
  <c r="G359" i="21" s="1"/>
  <c r="K8" i="21"/>
  <c r="K319" i="21"/>
  <c r="J8" i="21"/>
  <c r="J319" i="21"/>
  <c r="I8" i="21"/>
  <c r="I319" i="21"/>
  <c r="H8" i="21"/>
  <c r="G8" i="21"/>
  <c r="G319" i="21" s="1"/>
  <c r="K7" i="21"/>
  <c r="J7" i="21"/>
  <c r="I7" i="21"/>
  <c r="H7" i="21"/>
  <c r="G7" i="21"/>
  <c r="K6" i="21"/>
  <c r="J6" i="21"/>
  <c r="I6" i="21"/>
  <c r="H6" i="21"/>
  <c r="G6" i="21"/>
  <c r="N131" i="35"/>
  <c r="M131" i="35"/>
  <c r="L131" i="35"/>
  <c r="K131" i="35"/>
  <c r="I129" i="35"/>
  <c r="N119" i="35"/>
  <c r="M119" i="35"/>
  <c r="L119" i="35"/>
  <c r="K119" i="35"/>
  <c r="J119" i="35"/>
  <c r="I119" i="35"/>
  <c r="H119" i="35"/>
  <c r="G119" i="35"/>
  <c r="F119" i="35"/>
  <c r="E119" i="35"/>
  <c r="D119" i="35"/>
  <c r="C119" i="35"/>
  <c r="M46" i="20"/>
  <c r="L46" i="20"/>
  <c r="K46" i="20"/>
  <c r="J46" i="20"/>
  <c r="I46" i="20"/>
  <c r="H46" i="20"/>
  <c r="G46" i="20"/>
  <c r="F46" i="20"/>
  <c r="E46" i="20"/>
  <c r="S43" i="20"/>
  <c r="R43" i="20"/>
  <c r="Q43" i="20"/>
  <c r="Q48" i="20" s="1"/>
  <c r="N43" i="20"/>
  <c r="M43" i="20"/>
  <c r="L43" i="20"/>
  <c r="K43" i="20"/>
  <c r="J43" i="20"/>
  <c r="I43" i="20"/>
  <c r="H43" i="20"/>
  <c r="G43" i="20"/>
  <c r="F43" i="20"/>
  <c r="E43" i="20"/>
  <c r="Q44" i="20"/>
  <c r="K120" i="35"/>
  <c r="J120" i="35"/>
  <c r="M44" i="20"/>
  <c r="F120" i="35"/>
  <c r="I44" i="20"/>
  <c r="G44" i="20"/>
  <c r="N120" i="35"/>
  <c r="V47" i="16"/>
  <c r="N46" i="20"/>
  <c r="S46" i="20"/>
  <c r="R46" i="20"/>
  <c r="Q46" i="20"/>
  <c r="H64" i="19"/>
  <c r="M63" i="19"/>
  <c r="L63" i="19"/>
  <c r="K63" i="19"/>
  <c r="J63" i="19"/>
  <c r="I63" i="19"/>
  <c r="M61" i="19"/>
  <c r="L61" i="19"/>
  <c r="L64" i="19" s="1"/>
  <c r="K61" i="19"/>
  <c r="J61" i="19"/>
  <c r="I61" i="19"/>
  <c r="M46" i="19"/>
  <c r="L46" i="19"/>
  <c r="S43" i="19"/>
  <c r="S48" i="19" s="1"/>
  <c r="R43" i="19"/>
  <c r="R48" i="19" s="1"/>
  <c r="Q43" i="19"/>
  <c r="Q48" i="19" s="1"/>
  <c r="N43" i="19"/>
  <c r="M43" i="19"/>
  <c r="L43" i="19"/>
  <c r="K43" i="19"/>
  <c r="J43" i="19"/>
  <c r="I43" i="19"/>
  <c r="H43" i="19"/>
  <c r="G43" i="19"/>
  <c r="F43" i="19"/>
  <c r="E43" i="19"/>
  <c r="L34" i="19"/>
  <c r="L33" i="19"/>
  <c r="J34" i="19"/>
  <c r="I34" i="19"/>
  <c r="H34" i="19"/>
  <c r="F34" i="19"/>
  <c r="E34" i="19"/>
  <c r="M33" i="19"/>
  <c r="K33" i="19"/>
  <c r="J33" i="19"/>
  <c r="I33" i="19"/>
  <c r="H33" i="19"/>
  <c r="G33" i="19"/>
  <c r="F33" i="19"/>
  <c r="E33" i="19"/>
  <c r="E35" i="19" s="1"/>
  <c r="M27" i="19"/>
  <c r="L27" i="19"/>
  <c r="K27" i="19"/>
  <c r="J27" i="19"/>
  <c r="I27" i="19"/>
  <c r="H27" i="19"/>
  <c r="F27" i="19"/>
  <c r="E27" i="19"/>
  <c r="M24" i="19"/>
  <c r="L24" i="19"/>
  <c r="K24" i="19"/>
  <c r="J24" i="19"/>
  <c r="I24" i="19"/>
  <c r="H24" i="19"/>
  <c r="G24" i="19"/>
  <c r="F24" i="19"/>
  <c r="E24" i="19"/>
  <c r="M23" i="19"/>
  <c r="L23" i="19"/>
  <c r="K23" i="19"/>
  <c r="J23" i="19"/>
  <c r="I23" i="19"/>
  <c r="H23" i="19"/>
  <c r="G23" i="19"/>
  <c r="F23" i="19"/>
  <c r="E23" i="19"/>
  <c r="M19" i="19"/>
  <c r="L19" i="19"/>
  <c r="K19" i="19"/>
  <c r="J19" i="19"/>
  <c r="I19" i="19"/>
  <c r="H19" i="19"/>
  <c r="G19" i="19"/>
  <c r="F19" i="19"/>
  <c r="E19" i="19"/>
  <c r="L18" i="19"/>
  <c r="K18" i="19"/>
  <c r="J18" i="19"/>
  <c r="I18" i="19"/>
  <c r="H18" i="19"/>
  <c r="G18" i="19"/>
  <c r="F18" i="19"/>
  <c r="E18" i="19"/>
  <c r="M17" i="19"/>
  <c r="M18" i="19"/>
  <c r="S46" i="19"/>
  <c r="N46" i="19"/>
  <c r="K11" i="19"/>
  <c r="K46" i="19" s="1"/>
  <c r="J11" i="19"/>
  <c r="J46" i="19" s="1"/>
  <c r="I11" i="19"/>
  <c r="I46" i="19" s="1"/>
  <c r="H11" i="19"/>
  <c r="H46" i="19" s="1"/>
  <c r="G11" i="19"/>
  <c r="G46" i="19" s="1"/>
  <c r="F11" i="19"/>
  <c r="F46" i="19" s="1"/>
  <c r="E11" i="19"/>
  <c r="E46" i="19" s="1"/>
  <c r="E8" i="19"/>
  <c r="N103" i="11"/>
  <c r="CF102" i="11"/>
  <c r="CE102" i="11"/>
  <c r="CF103" i="11" s="1"/>
  <c r="CD102" i="11"/>
  <c r="CC102" i="11"/>
  <c r="CD103" i="11" s="1"/>
  <c r="CB102" i="11"/>
  <c r="CA102" i="11"/>
  <c r="BZ102" i="11"/>
  <c r="BY102" i="11"/>
  <c r="BX102" i="11"/>
  <c r="BW102" i="11"/>
  <c r="BV102" i="11"/>
  <c r="BU102" i="11"/>
  <c r="BT102" i="11"/>
  <c r="BT103" i="11" s="1"/>
  <c r="P102" i="11"/>
  <c r="O70" i="11"/>
  <c r="V70" i="11"/>
  <c r="U70" i="11"/>
  <c r="T70" i="11"/>
  <c r="S70" i="11"/>
  <c r="V69" i="11"/>
  <c r="U69" i="11"/>
  <c r="T69" i="11"/>
  <c r="S69" i="11"/>
  <c r="O69" i="11"/>
  <c r="N69" i="11"/>
  <c r="AA61" i="11"/>
  <c r="W61" i="11"/>
  <c r="V61" i="11"/>
  <c r="U61" i="11"/>
  <c r="T61" i="11"/>
  <c r="S61" i="11"/>
  <c r="R61" i="11"/>
  <c r="P61" i="11"/>
  <c r="V60" i="11"/>
  <c r="U60" i="11"/>
  <c r="T60" i="11"/>
  <c r="S60" i="11"/>
  <c r="O60" i="11"/>
  <c r="N60" i="11"/>
  <c r="N53" i="11"/>
  <c r="O52" i="11"/>
  <c r="Q52" i="11"/>
  <c r="V52" i="11"/>
  <c r="U52" i="11"/>
  <c r="T52" i="11"/>
  <c r="S52" i="11"/>
  <c r="V51" i="11"/>
  <c r="U51" i="11"/>
  <c r="T51" i="11"/>
  <c r="S51" i="11"/>
  <c r="O51" i="11"/>
  <c r="N51" i="11"/>
  <c r="O43" i="11"/>
  <c r="V43" i="11"/>
  <c r="U43" i="11"/>
  <c r="T43" i="11"/>
  <c r="S43" i="11"/>
  <c r="Q43" i="11"/>
  <c r="Q61" i="11" s="1"/>
  <c r="V42" i="11"/>
  <c r="U42" i="11"/>
  <c r="T42" i="11"/>
  <c r="O42" i="11"/>
  <c r="N42" i="11"/>
  <c r="N35" i="11"/>
  <c r="O34" i="11"/>
  <c r="V34" i="11"/>
  <c r="U34" i="11"/>
  <c r="T34" i="11"/>
  <c r="S34" i="11"/>
  <c r="Q34" i="11"/>
  <c r="V33" i="11"/>
  <c r="U33" i="11"/>
  <c r="T33" i="11"/>
  <c r="O33" i="11"/>
  <c r="N33" i="11"/>
  <c r="N26" i="11"/>
  <c r="O25" i="11"/>
  <c r="S25" i="11"/>
  <c r="O24" i="11"/>
  <c r="N24" i="11"/>
  <c r="O15" i="11"/>
  <c r="N15" i="11"/>
  <c r="CI8" i="11"/>
  <c r="CH8" i="11"/>
  <c r="CG8" i="11"/>
  <c r="CF8" i="11"/>
  <c r="DG6" i="11"/>
  <c r="DF6" i="11"/>
  <c r="DE6" i="11"/>
  <c r="DB6" i="11"/>
  <c r="DA6" i="11"/>
  <c r="CZ6" i="11"/>
  <c r="CY6" i="11"/>
  <c r="CX6" i="11"/>
  <c r="CW6" i="11"/>
  <c r="CV6" i="11"/>
  <c r="CU6" i="11"/>
  <c r="CT6" i="11"/>
  <c r="CS6" i="11"/>
  <c r="CR6" i="11"/>
  <c r="CQ6" i="11"/>
  <c r="CP6" i="11"/>
  <c r="CO6" i="11"/>
  <c r="CN6" i="11"/>
  <c r="CM6" i="11"/>
  <c r="CL6" i="11"/>
  <c r="CK6" i="11"/>
  <c r="CJ6" i="11"/>
  <c r="CI6" i="11"/>
  <c r="CH6" i="11"/>
  <c r="CG6" i="11"/>
  <c r="CF6" i="11"/>
  <c r="CE6" i="11"/>
  <c r="CD6" i="11"/>
  <c r="CC6" i="11"/>
  <c r="CB6" i="11"/>
  <c r="CA6" i="11"/>
  <c r="BZ6" i="11"/>
  <c r="BY6" i="11"/>
  <c r="BX6" i="11"/>
  <c r="BW6" i="11"/>
  <c r="BV6" i="11"/>
  <c r="BU6" i="11"/>
  <c r="BT6" i="11"/>
  <c r="Q8" i="11"/>
  <c r="AA6" i="11"/>
  <c r="Z6" i="11"/>
  <c r="Y6" i="11"/>
  <c r="X6" i="11"/>
  <c r="W6" i="11"/>
  <c r="V6" i="11"/>
  <c r="U6" i="11"/>
  <c r="T6" i="11"/>
  <c r="S6" i="11"/>
  <c r="R6" i="11"/>
  <c r="Q6" i="11"/>
  <c r="P6" i="11"/>
  <c r="O6" i="11"/>
  <c r="N6" i="11"/>
  <c r="CT151" i="17"/>
  <c r="DB141" i="17"/>
  <c r="CO69" i="22" s="1"/>
  <c r="CZ141" i="17"/>
  <c r="CY141" i="17"/>
  <c r="CS141" i="17"/>
  <c r="CF69" i="22" s="1"/>
  <c r="CR141" i="17"/>
  <c r="CQ141" i="17"/>
  <c r="CP141" i="17"/>
  <c r="CC69" i="22" s="1"/>
  <c r="CO141" i="17"/>
  <c r="CN141" i="17"/>
  <c r="CM141" i="17"/>
  <c r="BZ69" i="22" s="1"/>
  <c r="CL141" i="17"/>
  <c r="BY69" i="22" s="1"/>
  <c r="CK141" i="17"/>
  <c r="CJ141" i="17"/>
  <c r="BW69" i="22" s="1"/>
  <c r="CI141" i="17"/>
  <c r="CH141" i="17"/>
  <c r="BU69" i="22" s="1"/>
  <c r="CG141" i="17"/>
  <c r="CF141" i="17"/>
  <c r="BS69" i="22" s="1"/>
  <c r="CE141" i="17"/>
  <c r="CD141" i="17"/>
  <c r="BQ69" i="22" s="1"/>
  <c r="CC141" i="17"/>
  <c r="BP69" i="22" s="1"/>
  <c r="CB141" i="17"/>
  <c r="BO69" i="22" s="1"/>
  <c r="CA141" i="17"/>
  <c r="BZ141" i="17"/>
  <c r="BM69" i="22" s="1"/>
  <c r="BY141" i="17"/>
  <c r="BX141" i="17"/>
  <c r="BW141" i="17"/>
  <c r="BV141" i="17"/>
  <c r="BU141" i="17"/>
  <c r="BT141" i="17"/>
  <c r="BS141" i="17"/>
  <c r="BR141" i="17"/>
  <c r="BQ141" i="17"/>
  <c r="BP141" i="17"/>
  <c r="BO141" i="17"/>
  <c r="BN141" i="17"/>
  <c r="BM141" i="17"/>
  <c r="BL141" i="17"/>
  <c r="BK141" i="17"/>
  <c r="BJ141" i="17"/>
  <c r="BI141" i="17"/>
  <c r="BH141" i="17"/>
  <c r="BG141" i="17"/>
  <c r="BF141" i="17"/>
  <c r="BE141" i="17"/>
  <c r="BD141" i="17"/>
  <c r="BC141" i="17"/>
  <c r="BB141" i="17"/>
  <c r="G141" i="17"/>
  <c r="BE139" i="17"/>
  <c r="BD139" i="17"/>
  <c r="BC139" i="17"/>
  <c r="BB139" i="17"/>
  <c r="P139" i="17"/>
  <c r="O139" i="17"/>
  <c r="G139" i="17"/>
  <c r="CC139" i="17"/>
  <c r="CB139" i="17"/>
  <c r="BO68" i="22" s="1"/>
  <c r="CA139" i="17"/>
  <c r="BZ139" i="17"/>
  <c r="BM68" i="22" s="1"/>
  <c r="BY139" i="17"/>
  <c r="BX139" i="17"/>
  <c r="BW139" i="17"/>
  <c r="BV139" i="17"/>
  <c r="BU139" i="17"/>
  <c r="BT139" i="17"/>
  <c r="BS139" i="17"/>
  <c r="BR139" i="17"/>
  <c r="BQ139" i="17"/>
  <c r="BP139" i="17"/>
  <c r="BO139" i="17"/>
  <c r="BN139" i="17"/>
  <c r="BM139" i="17"/>
  <c r="BL139" i="17"/>
  <c r="BK139" i="17"/>
  <c r="BJ139" i="17"/>
  <c r="BI139" i="17"/>
  <c r="BH139" i="17"/>
  <c r="BG139" i="17"/>
  <c r="BF139" i="17"/>
  <c r="DH137" i="17"/>
  <c r="DG137" i="17"/>
  <c r="DF137" i="17"/>
  <c r="DE137" i="17"/>
  <c r="DD137" i="17"/>
  <c r="DC137" i="17"/>
  <c r="DB137" i="17"/>
  <c r="DA137" i="17"/>
  <c r="CZ137" i="17"/>
  <c r="CY137" i="17"/>
  <c r="CX137" i="17"/>
  <c r="CW137" i="17"/>
  <c r="CV137" i="17"/>
  <c r="CU137" i="17"/>
  <c r="CT137" i="17"/>
  <c r="CS137" i="17"/>
  <c r="CR137" i="17"/>
  <c r="CQ137" i="17"/>
  <c r="CP137" i="17"/>
  <c r="CO137" i="17"/>
  <c r="CN137" i="17"/>
  <c r="CM137" i="17"/>
  <c r="CL137" i="17"/>
  <c r="CK137" i="17"/>
  <c r="CJ137" i="17"/>
  <c r="CI137" i="17"/>
  <c r="CH137" i="17"/>
  <c r="CG137" i="17"/>
  <c r="CF137" i="17"/>
  <c r="CE137" i="17"/>
  <c r="CD137" i="17"/>
  <c r="CC137" i="17"/>
  <c r="CB137" i="17"/>
  <c r="CA137" i="17"/>
  <c r="BZ137" i="17"/>
  <c r="BY137" i="17"/>
  <c r="BX137" i="17"/>
  <c r="BW137" i="17"/>
  <c r="BV137" i="17"/>
  <c r="BU137" i="17"/>
  <c r="BT137" i="17"/>
  <c r="BS137" i="17"/>
  <c r="BR137" i="17"/>
  <c r="BQ137" i="17"/>
  <c r="BP137" i="17"/>
  <c r="BO137" i="17"/>
  <c r="BN137" i="17"/>
  <c r="BM137" i="17"/>
  <c r="BL137" i="17"/>
  <c r="BK137" i="17"/>
  <c r="BJ137" i="17"/>
  <c r="BI137" i="17"/>
  <c r="BH137" i="17"/>
  <c r="BG137" i="17"/>
  <c r="BF137" i="17"/>
  <c r="BE137" i="17"/>
  <c r="BD137" i="17"/>
  <c r="BC137" i="17"/>
  <c r="BB137" i="17"/>
  <c r="G137" i="17"/>
  <c r="CZ66" i="22"/>
  <c r="CX66" i="22"/>
  <c r="CV66" i="22"/>
  <c r="DH134" i="17"/>
  <c r="DG134" i="17"/>
  <c r="DF134" i="17"/>
  <c r="CS66" i="22" s="1"/>
  <c r="DE134" i="17"/>
  <c r="CR66" i="22" s="1"/>
  <c r="DD134" i="17"/>
  <c r="DC134" i="17"/>
  <c r="CP66" i="22" s="1"/>
  <c r="DB134" i="17"/>
  <c r="DA134" i="17"/>
  <c r="CN66" i="22" s="1"/>
  <c r="CZ134" i="17"/>
  <c r="CY134" i="17"/>
  <c r="CL66" i="22" s="1"/>
  <c r="CX134" i="17"/>
  <c r="CW134" i="17"/>
  <c r="CJ66" i="22" s="1"/>
  <c r="CV134" i="17"/>
  <c r="CU134" i="17"/>
  <c r="CH66" i="22" s="1"/>
  <c r="CT134" i="17"/>
  <c r="CS134" i="17"/>
  <c r="CF66" i="22" s="1"/>
  <c r="CR134" i="17"/>
  <c r="CQ134" i="17"/>
  <c r="CD66" i="22" s="1"/>
  <c r="CP134" i="17"/>
  <c r="CC66" i="22" s="1"/>
  <c r="CO134" i="17"/>
  <c r="CB66" i="22" s="1"/>
  <c r="CN134" i="17"/>
  <c r="CM134" i="17"/>
  <c r="CM114" i="17" s="1"/>
  <c r="CL134" i="17"/>
  <c r="CK134" i="17"/>
  <c r="CK114" i="17" s="1"/>
  <c r="CJ134" i="17"/>
  <c r="CJ114" i="17" s="1"/>
  <c r="CJ118" i="17" s="1"/>
  <c r="CI134" i="17"/>
  <c r="BV66" i="22" s="1"/>
  <c r="CH134" i="17"/>
  <c r="BU66" i="22" s="1"/>
  <c r="CG134" i="17"/>
  <c r="BT66" i="22" s="1"/>
  <c r="CF134" i="17"/>
  <c r="CE134" i="17"/>
  <c r="BR66" i="22" s="1"/>
  <c r="CD134" i="17"/>
  <c r="CC134" i="17"/>
  <c r="BP66" i="22" s="1"/>
  <c r="CB134" i="17"/>
  <c r="CA134" i="17"/>
  <c r="CA114" i="17" s="1"/>
  <c r="CA118" i="17" s="1"/>
  <c r="BZ134" i="17"/>
  <c r="BY134" i="17"/>
  <c r="BX134" i="17"/>
  <c r="BX114" i="17" s="1"/>
  <c r="BX49" i="17" s="1"/>
  <c r="BW134" i="17"/>
  <c r="BW114" i="17" s="1"/>
  <c r="BW49" i="17" s="1"/>
  <c r="BV134" i="17"/>
  <c r="BV114" i="17" s="1"/>
  <c r="BV49" i="17" s="1"/>
  <c r="BU134" i="17"/>
  <c r="BT134" i="17"/>
  <c r="BT114" i="17" s="1"/>
  <c r="BT49" i="17" s="1"/>
  <c r="BS134" i="17"/>
  <c r="BS114" i="17" s="1"/>
  <c r="BS49" i="17" s="1"/>
  <c r="BR134" i="17"/>
  <c r="BQ134" i="17"/>
  <c r="BQ114" i="17" s="1"/>
  <c r="BQ49" i="17" s="1"/>
  <c r="BP134" i="17"/>
  <c r="BP114" i="17" s="1"/>
  <c r="BP115" i="17" s="1"/>
  <c r="BO134" i="17"/>
  <c r="BN134" i="17"/>
  <c r="BN114" i="17" s="1"/>
  <c r="BM134" i="17"/>
  <c r="BL134" i="17"/>
  <c r="BK134" i="17"/>
  <c r="BJ134" i="17"/>
  <c r="BI134" i="17"/>
  <c r="BH134" i="17"/>
  <c r="BG134" i="17"/>
  <c r="BF134" i="17"/>
  <c r="BE134" i="17"/>
  <c r="BD134" i="17"/>
  <c r="BC134" i="17"/>
  <c r="BB134" i="17"/>
  <c r="DH131" i="17"/>
  <c r="DH108" i="17" s="1"/>
  <c r="DG131" i="17"/>
  <c r="DG108" i="17" s="1"/>
  <c r="DF131" i="17"/>
  <c r="DE131" i="17"/>
  <c r="DD131" i="17"/>
  <c r="DC131" i="17"/>
  <c r="CP65" i="22" s="1"/>
  <c r="DB131" i="17"/>
  <c r="CO65" i="22" s="1"/>
  <c r="DA131" i="17"/>
  <c r="CZ131" i="17"/>
  <c r="CM65" i="22" s="1"/>
  <c r="CY131" i="17"/>
  <c r="CL65" i="22" s="1"/>
  <c r="CX131" i="17"/>
  <c r="CK65" i="22" s="1"/>
  <c r="CW131" i="17"/>
  <c r="CV131" i="17"/>
  <c r="CV108" i="17" s="1"/>
  <c r="CV44" i="17" s="1"/>
  <c r="CU131" i="17"/>
  <c r="CH65" i="22" s="1"/>
  <c r="CT131" i="17"/>
  <c r="CG65" i="22" s="1"/>
  <c r="CS131" i="17"/>
  <c r="CR131" i="17"/>
  <c r="CR108" i="17" s="1"/>
  <c r="CQ131" i="17"/>
  <c r="CD65" i="22" s="1"/>
  <c r="CP131" i="17"/>
  <c r="CC65" i="22" s="1"/>
  <c r="CO131" i="17"/>
  <c r="CN131" i="17"/>
  <c r="CN145" i="17" s="1"/>
  <c r="CM131" i="17"/>
  <c r="BZ65" i="22" s="1"/>
  <c r="CL131" i="17"/>
  <c r="BY65" i="22" s="1"/>
  <c r="CK131" i="17"/>
  <c r="CJ131" i="17"/>
  <c r="BW65" i="22" s="1"/>
  <c r="CI131" i="17"/>
  <c r="BV65" i="22" s="1"/>
  <c r="CH131" i="17"/>
  <c r="BU65" i="22" s="1"/>
  <c r="CG131" i="17"/>
  <c r="CF131" i="17"/>
  <c r="CF108" i="17" s="1"/>
  <c r="CE131" i="17"/>
  <c r="BR65" i="22" s="1"/>
  <c r="CD131" i="17"/>
  <c r="BQ65" i="22" s="1"/>
  <c r="CC131" i="17"/>
  <c r="CB131" i="17"/>
  <c r="CB108" i="17" s="1"/>
  <c r="CB44" i="17" s="1"/>
  <c r="CA131" i="17"/>
  <c r="CA108" i="17" s="1"/>
  <c r="CA44" i="17" s="1"/>
  <c r="BZ131" i="17"/>
  <c r="BM65" i="22" s="1"/>
  <c r="BY131" i="17"/>
  <c r="BX131" i="17"/>
  <c r="BX108" i="17" s="1"/>
  <c r="BW131" i="17"/>
  <c r="BW108" i="17" s="1"/>
  <c r="BV131" i="17"/>
  <c r="BU131" i="17"/>
  <c r="BT131" i="17"/>
  <c r="BT108" i="17" s="1"/>
  <c r="BT44" i="17" s="1"/>
  <c r="BS131" i="17"/>
  <c r="BS108" i="17" s="1"/>
  <c r="BS44" i="17" s="1"/>
  <c r="BR131" i="17"/>
  <c r="BR108" i="17" s="1"/>
  <c r="BQ131" i="17"/>
  <c r="BP131" i="17"/>
  <c r="BP108" i="17" s="1"/>
  <c r="BP44" i="17" s="1"/>
  <c r="BO131" i="17"/>
  <c r="BS132" i="17" s="1"/>
  <c r="BN131" i="17"/>
  <c r="BN108" i="17" s="1"/>
  <c r="BM131" i="17"/>
  <c r="BL131" i="17"/>
  <c r="BL132" i="17" s="1"/>
  <c r="BK131" i="17"/>
  <c r="BK108" i="17" s="1"/>
  <c r="BJ131" i="17"/>
  <c r="BJ108" i="17" s="1"/>
  <c r="BI131" i="17"/>
  <c r="BG131" i="17"/>
  <c r="BF131" i="17"/>
  <c r="BE131" i="17"/>
  <c r="BB131" i="17"/>
  <c r="G131" i="17"/>
  <c r="CP126" i="17"/>
  <c r="CJ124" i="17"/>
  <c r="CI124" i="17"/>
  <c r="CH124" i="17"/>
  <c r="CG124" i="17"/>
  <c r="CF124" i="17"/>
  <c r="CE124" i="17"/>
  <c r="CD124" i="17"/>
  <c r="CC124" i="17"/>
  <c r="CB124" i="17"/>
  <c r="CA124" i="17"/>
  <c r="BZ124" i="17"/>
  <c r="CK123" i="17"/>
  <c r="CJ123" i="17"/>
  <c r="CI123" i="17"/>
  <c r="CH123" i="17"/>
  <c r="CG123" i="17"/>
  <c r="CF123" i="17"/>
  <c r="CE123" i="17"/>
  <c r="CD123" i="17"/>
  <c r="P122" i="17"/>
  <c r="O122" i="17"/>
  <c r="N122" i="17"/>
  <c r="DE114" i="17"/>
  <c r="DE110" i="8" s="1"/>
  <c r="CU114" i="17"/>
  <c r="CU118" i="17" s="1"/>
  <c r="BO114" i="17"/>
  <c r="BO115" i="17" s="1"/>
  <c r="CX108" i="17"/>
  <c r="CX44" i="17" s="1"/>
  <c r="CH108" i="17"/>
  <c r="H108" i="17"/>
  <c r="G108" i="17"/>
  <c r="H107" i="17"/>
  <c r="I105" i="17"/>
  <c r="H105" i="17"/>
  <c r="I103" i="17"/>
  <c r="H103" i="17"/>
  <c r="J101" i="17"/>
  <c r="G80" i="17"/>
  <c r="G94" i="17" s="1"/>
  <c r="F80" i="17"/>
  <c r="F97" i="17" s="1"/>
  <c r="E80" i="17"/>
  <c r="E94" i="17" s="1"/>
  <c r="BD79" i="17"/>
  <c r="BC79" i="17"/>
  <c r="BB79" i="17"/>
  <c r="AZ79" i="17"/>
  <c r="AY79" i="17"/>
  <c r="AX79" i="17"/>
  <c r="AX80" i="17"/>
  <c r="AX96" i="17" s="1"/>
  <c r="BD78" i="17"/>
  <c r="BC78" i="17"/>
  <c r="BB78" i="17"/>
  <c r="AZ78" i="17"/>
  <c r="AY78" i="17"/>
  <c r="AZ77" i="17"/>
  <c r="AY77" i="17"/>
  <c r="BB76" i="17"/>
  <c r="AZ76" i="17"/>
  <c r="AY76" i="17"/>
  <c r="AZ75" i="17"/>
  <c r="AY75" i="17"/>
  <c r="BB74" i="17"/>
  <c r="AZ74" i="17"/>
  <c r="AY74" i="17"/>
  <c r="AZ73" i="17"/>
  <c r="AY73" i="17"/>
  <c r="BB72" i="17"/>
  <c r="BB80" i="17" s="1"/>
  <c r="BB89" i="17" s="1"/>
  <c r="AZ72" i="17"/>
  <c r="AY72" i="17"/>
  <c r="BD77" i="17"/>
  <c r="BC77" i="17"/>
  <c r="BD76" i="17"/>
  <c r="BC76" i="17"/>
  <c r="BD75" i="17"/>
  <c r="BC75" i="17"/>
  <c r="BD74" i="17"/>
  <c r="BC74" i="17"/>
  <c r="BD73" i="17"/>
  <c r="BC73" i="17"/>
  <c r="BD72" i="17"/>
  <c r="BC72" i="17"/>
  <c r="BD71" i="17"/>
  <c r="BC71" i="17"/>
  <c r="BD70" i="17"/>
  <c r="BC70" i="17"/>
  <c r="BD69" i="17"/>
  <c r="BC69" i="17"/>
  <c r="BD68" i="17"/>
  <c r="BC68" i="17"/>
  <c r="BD67" i="17"/>
  <c r="BC67" i="17"/>
  <c r="BD66" i="17"/>
  <c r="BC66" i="17"/>
  <c r="BD65" i="17"/>
  <c r="BC65" i="17"/>
  <c r="AZ71" i="17"/>
  <c r="AY71" i="17"/>
  <c r="AZ70" i="17"/>
  <c r="AY70" i="17"/>
  <c r="BA70" i="17" s="1"/>
  <c r="AZ69" i="17"/>
  <c r="AY69" i="17"/>
  <c r="BA69" i="17" s="1"/>
  <c r="AZ68" i="17"/>
  <c r="AY68" i="17"/>
  <c r="AZ67" i="17"/>
  <c r="AY67" i="17"/>
  <c r="AZ66" i="17"/>
  <c r="AY66" i="17"/>
  <c r="AZ65" i="17"/>
  <c r="AY65" i="17"/>
  <c r="J56" i="17"/>
  <c r="BI56" i="17"/>
  <c r="BH56" i="17"/>
  <c r="BG56" i="17"/>
  <c r="BF56" i="17"/>
  <c r="BE56" i="17"/>
  <c r="BD56" i="17"/>
  <c r="BC56" i="17"/>
  <c r="BB56" i="17"/>
  <c r="BY56" i="17"/>
  <c r="BX56" i="17"/>
  <c r="BW56" i="17"/>
  <c r="BV56" i="17"/>
  <c r="BU56" i="17"/>
  <c r="BT56" i="17"/>
  <c r="BS56" i="17"/>
  <c r="BR56" i="17"/>
  <c r="BQ56" i="17"/>
  <c r="BP56" i="17"/>
  <c r="BO56" i="17"/>
  <c r="BN56" i="17"/>
  <c r="BM56" i="17"/>
  <c r="BL56" i="17"/>
  <c r="BK56" i="17"/>
  <c r="BJ56" i="17"/>
  <c r="CJ55" i="17"/>
  <c r="I56" i="17"/>
  <c r="H56" i="17"/>
  <c r="H57" i="17" s="1"/>
  <c r="DH52" i="17"/>
  <c r="DG52" i="17"/>
  <c r="DF52" i="17"/>
  <c r="DE52" i="17"/>
  <c r="DD52" i="17"/>
  <c r="DC52" i="17"/>
  <c r="DB52" i="17"/>
  <c r="DA52" i="17"/>
  <c r="CZ52" i="17"/>
  <c r="CY52" i="17"/>
  <c r="CX52" i="17"/>
  <c r="CW52" i="17"/>
  <c r="CV52" i="17"/>
  <c r="CU52" i="17"/>
  <c r="CT52" i="17"/>
  <c r="CS52" i="17"/>
  <c r="CR52" i="17"/>
  <c r="CQ52" i="17"/>
  <c r="CP52" i="17"/>
  <c r="CO52" i="17"/>
  <c r="CN52" i="17"/>
  <c r="CM52" i="17"/>
  <c r="CL52" i="17"/>
  <c r="CK52" i="17"/>
  <c r="CJ52" i="17"/>
  <c r="CI52" i="17"/>
  <c r="CH52" i="17"/>
  <c r="CG52" i="17"/>
  <c r="CF52" i="17"/>
  <c r="CE52" i="17"/>
  <c r="CD52" i="17"/>
  <c r="CC52" i="17"/>
  <c r="CB52" i="17"/>
  <c r="CA52" i="17"/>
  <c r="BL49" i="17"/>
  <c r="BK49" i="17"/>
  <c r="BJ49" i="17"/>
  <c r="H49" i="17"/>
  <c r="H44" i="17"/>
  <c r="M34" i="17"/>
  <c r="L34" i="17"/>
  <c r="L35" i="17" s="1"/>
  <c r="W32" i="17"/>
  <c r="V32" i="17"/>
  <c r="U32" i="17"/>
  <c r="T32" i="17"/>
  <c r="S32" i="17"/>
  <c r="R32" i="17"/>
  <c r="Q32" i="17"/>
  <c r="P32" i="17"/>
  <c r="O32" i="17"/>
  <c r="N32" i="17"/>
  <c r="M32" i="17"/>
  <c r="L32" i="17"/>
  <c r="K32" i="17"/>
  <c r="J32" i="17"/>
  <c r="I32" i="17"/>
  <c r="H32" i="17"/>
  <c r="CW31" i="17"/>
  <c r="CW13" i="17" s="1"/>
  <c r="CV31" i="17"/>
  <c r="CV13" i="17" s="1"/>
  <c r="CU31" i="17"/>
  <c r="CR52" i="6" s="1"/>
  <c r="CT31" i="17"/>
  <c r="CS31" i="17"/>
  <c r="CR31" i="17"/>
  <c r="CR94" i="13" s="1"/>
  <c r="CQ31" i="17"/>
  <c r="CN52" i="6" s="1"/>
  <c r="CP31" i="17"/>
  <c r="CP13" i="17" s="1"/>
  <c r="CP18" i="8" s="1"/>
  <c r="CP17" i="8" s="1"/>
  <c r="CO31" i="17"/>
  <c r="CO13" i="17" s="1"/>
  <c r="CO18" i="8" s="1"/>
  <c r="CN31" i="17"/>
  <c r="CM31" i="17"/>
  <c r="CM13" i="17" s="1"/>
  <c r="CL31" i="17"/>
  <c r="CK31" i="17"/>
  <c r="CK13" i="17" s="1"/>
  <c r="CK18" i="8" s="1"/>
  <c r="CK17" i="8" s="1"/>
  <c r="CK76" i="8" s="1"/>
  <c r="CJ31" i="17"/>
  <c r="CJ13" i="17" s="1"/>
  <c r="CI31" i="17"/>
  <c r="CI13" i="17" s="1"/>
  <c r="CH31" i="17"/>
  <c r="CE52" i="6" s="1"/>
  <c r="CG31" i="17"/>
  <c r="CG13" i="17" s="1"/>
  <c r="CF31" i="17"/>
  <c r="CF13" i="17" s="1"/>
  <c r="CF18" i="8" s="1"/>
  <c r="CE31" i="17"/>
  <c r="CD31" i="17"/>
  <c r="CD13" i="17" s="1"/>
  <c r="CC31" i="17"/>
  <c r="BZ52" i="6" s="1"/>
  <c r="CB31" i="17"/>
  <c r="CB13" i="17" s="1"/>
  <c r="CA31" i="17"/>
  <c r="CA13" i="17" s="1"/>
  <c r="BZ31" i="17"/>
  <c r="BZ13" i="17" s="1"/>
  <c r="BY31" i="17"/>
  <c r="BY34" i="17" s="1"/>
  <c r="BX31" i="17"/>
  <c r="BX34" i="17" s="1"/>
  <c r="BW31" i="17"/>
  <c r="BW34" i="17" s="1"/>
  <c r="BV31" i="17"/>
  <c r="M30" i="17"/>
  <c r="L30" i="17"/>
  <c r="DB13" i="17"/>
  <c r="DB32" i="17"/>
  <c r="CZ31" i="17"/>
  <c r="CZ32" i="17" s="1"/>
  <c r="J26" i="17"/>
  <c r="K27" i="17" s="1"/>
  <c r="I26" i="17"/>
  <c r="H26" i="17"/>
  <c r="G26" i="17"/>
  <c r="H30" i="17" s="1"/>
  <c r="DH17" i="17"/>
  <c r="DG17" i="17"/>
  <c r="DF17" i="17"/>
  <c r="DB17" i="17"/>
  <c r="DA17" i="17"/>
  <c r="CZ17" i="17"/>
  <c r="CY17" i="17"/>
  <c r="CX17" i="17"/>
  <c r="CU17" i="17"/>
  <c r="CT17" i="17"/>
  <c r="CR17" i="17"/>
  <c r="CQ17" i="17"/>
  <c r="CO17" i="17"/>
  <c r="CN17" i="17"/>
  <c r="CL17" i="17"/>
  <c r="CK17" i="17"/>
  <c r="CJ17" i="17"/>
  <c r="CI17" i="17"/>
  <c r="CH17" i="17"/>
  <c r="CG17" i="17"/>
  <c r="CF17" i="17"/>
  <c r="CE17" i="17"/>
  <c r="CD17" i="17"/>
  <c r="CC17" i="17"/>
  <c r="CB17" i="17"/>
  <c r="CA17" i="17"/>
  <c r="BZ17" i="17"/>
  <c r="BY17" i="17"/>
  <c r="BX17" i="17"/>
  <c r="BW17" i="17"/>
  <c r="BV17" i="17"/>
  <c r="BT17" i="17"/>
  <c r="BX18" i="17" s="1"/>
  <c r="BS17" i="17"/>
  <c r="BR17" i="17"/>
  <c r="BR18" i="17" s="1"/>
  <c r="BP17" i="17"/>
  <c r="BO17" i="17"/>
  <c r="BJ17" i="17"/>
  <c r="N13" i="17"/>
  <c r="CY13" i="17"/>
  <c r="CY18" i="8" s="1"/>
  <c r="CY17" i="8" s="1"/>
  <c r="CY76" i="8" s="1"/>
  <c r="CX13" i="17"/>
  <c r="CX18" i="8" s="1"/>
  <c r="W13" i="17"/>
  <c r="V13" i="17"/>
  <c r="U13" i="17"/>
  <c r="T13" i="17"/>
  <c r="S13" i="17"/>
  <c r="R13" i="17"/>
  <c r="Q13" i="17"/>
  <c r="P13" i="17"/>
  <c r="O13" i="17"/>
  <c r="Q7" i="17"/>
  <c r="M7" i="17"/>
  <c r="L7" i="17"/>
  <c r="K7" i="17"/>
  <c r="J7" i="17"/>
  <c r="M6" i="17"/>
  <c r="L6" i="17"/>
  <c r="K6" i="17"/>
  <c r="J6" i="17"/>
  <c r="CO7" i="17"/>
  <c r="CN7" i="17"/>
  <c r="CM7" i="17"/>
  <c r="CL7" i="17"/>
  <c r="BY7" i="17"/>
  <c r="BX7" i="17"/>
  <c r="BW7" i="17"/>
  <c r="BV7" i="17"/>
  <c r="BU7" i="17"/>
  <c r="BT7" i="17"/>
  <c r="BS7" i="17"/>
  <c r="BR7" i="17"/>
  <c r="BY6" i="17"/>
  <c r="BX6" i="17"/>
  <c r="BW6" i="17"/>
  <c r="BV6" i="17"/>
  <c r="BU6" i="17"/>
  <c r="BT6" i="17"/>
  <c r="BS6" i="17"/>
  <c r="BR6" i="17"/>
  <c r="DM5" i="17"/>
  <c r="DM101" i="17" s="1"/>
  <c r="DH5" i="17"/>
  <c r="DH101" i="17" s="1"/>
  <c r="DG5" i="17"/>
  <c r="DG101" i="17" s="1"/>
  <c r="DF5" i="17"/>
  <c r="DF101" i="17" s="1"/>
  <c r="DE5" i="17"/>
  <c r="DE101" i="17" s="1"/>
  <c r="DD5" i="17"/>
  <c r="DD101" i="17" s="1"/>
  <c r="DC5" i="17"/>
  <c r="DC101" i="17" s="1"/>
  <c r="DB5" i="17"/>
  <c r="DB101" i="17" s="1"/>
  <c r="DA5" i="17"/>
  <c r="DA101" i="17" s="1"/>
  <c r="CZ5" i="17"/>
  <c r="CZ101" i="17" s="1"/>
  <c r="CY5" i="17"/>
  <c r="CY101" i="17" s="1"/>
  <c r="CX5" i="17"/>
  <c r="CX101" i="17" s="1"/>
  <c r="CW5" i="17"/>
  <c r="CW101" i="17" s="1"/>
  <c r="CV5" i="17"/>
  <c r="CV101" i="17" s="1"/>
  <c r="CU5" i="17"/>
  <c r="CU101" i="17" s="1"/>
  <c r="CT5" i="17"/>
  <c r="CT101" i="17" s="1"/>
  <c r="CS5" i="17"/>
  <c r="CS101" i="17" s="1"/>
  <c r="CR5" i="17"/>
  <c r="CR101" i="17" s="1"/>
  <c r="CQ5" i="17"/>
  <c r="CQ101" i="17" s="1"/>
  <c r="CP5" i="17"/>
  <c r="CP101" i="17" s="1"/>
  <c r="CO5" i="17"/>
  <c r="CO101" i="17" s="1"/>
  <c r="CN5" i="17"/>
  <c r="CN101" i="17" s="1"/>
  <c r="CM5" i="17"/>
  <c r="CM101" i="17" s="1"/>
  <c r="CL5" i="17"/>
  <c r="CL101" i="17" s="1"/>
  <c r="CK5" i="17"/>
  <c r="CK101" i="17" s="1"/>
  <c r="CJ5" i="17"/>
  <c r="CJ101" i="17" s="1"/>
  <c r="CI5" i="17"/>
  <c r="CI101" i="17" s="1"/>
  <c r="CH5" i="17"/>
  <c r="CH101" i="17" s="1"/>
  <c r="CG5" i="17"/>
  <c r="CF5" i="17"/>
  <c r="CE5" i="17"/>
  <c r="CD5" i="17"/>
  <c r="CC5" i="17"/>
  <c r="CB5" i="17"/>
  <c r="CA5" i="17"/>
  <c r="BZ5" i="17"/>
  <c r="BY5" i="17"/>
  <c r="BX5" i="17"/>
  <c r="BW5" i="17"/>
  <c r="BV5" i="17"/>
  <c r="BU5" i="17"/>
  <c r="BT5" i="17"/>
  <c r="BS5" i="17"/>
  <c r="BR5" i="17"/>
  <c r="BQ5" i="17"/>
  <c r="BP5" i="17"/>
  <c r="BO5" i="17"/>
  <c r="BN5" i="17"/>
  <c r="BM5" i="17"/>
  <c r="BL5" i="17"/>
  <c r="BK5" i="17"/>
  <c r="BJ5" i="17"/>
  <c r="AA5" i="17"/>
  <c r="AA101" i="17" s="1"/>
  <c r="Z5" i="17"/>
  <c r="Z101" i="17" s="1"/>
  <c r="Y5" i="17"/>
  <c r="Y101" i="17" s="1"/>
  <c r="X5" i="17"/>
  <c r="X101" i="17" s="1"/>
  <c r="W5" i="17"/>
  <c r="W101" i="17" s="1"/>
  <c r="V5" i="17"/>
  <c r="V101" i="17" s="1"/>
  <c r="U5" i="17"/>
  <c r="U101" i="17" s="1"/>
  <c r="T5" i="17"/>
  <c r="T101" i="17" s="1"/>
  <c r="S5" i="17"/>
  <c r="S101" i="17" s="1"/>
  <c r="R5" i="17"/>
  <c r="R101" i="17" s="1"/>
  <c r="Q5" i="17"/>
  <c r="Q101" i="17" s="1"/>
  <c r="P5" i="17"/>
  <c r="P101" i="17" s="1"/>
  <c r="O5" i="17"/>
  <c r="O101" i="17" s="1"/>
  <c r="N5" i="17"/>
  <c r="N101" i="17" s="1"/>
  <c r="M5" i="17"/>
  <c r="M101" i="17" s="1"/>
  <c r="L5" i="17"/>
  <c r="L101" i="17" s="1"/>
  <c r="K5" i="17"/>
  <c r="K101" i="17" s="1"/>
  <c r="U47" i="16"/>
  <c r="DI47" i="16" s="1"/>
  <c r="T47" i="16"/>
  <c r="CY47" i="16" s="1"/>
  <c r="S47" i="16"/>
  <c r="CW47" i="16" s="1"/>
  <c r="R47" i="16"/>
  <c r="CS47" i="16" s="1"/>
  <c r="Q47" i="16"/>
  <c r="CL47" i="16" s="1"/>
  <c r="V46" i="16"/>
  <c r="U46" i="16"/>
  <c r="T46" i="16"/>
  <c r="DA46" i="16" s="1"/>
  <c r="S46" i="16"/>
  <c r="CU46" i="16" s="1"/>
  <c r="R46" i="16"/>
  <c r="CS46" i="16" s="1"/>
  <c r="Q46" i="16"/>
  <c r="CO46" i="16" s="1"/>
  <c r="V45" i="16"/>
  <c r="U45" i="16"/>
  <c r="DG45" i="16" s="1"/>
  <c r="T45" i="16"/>
  <c r="DA45" i="16" s="1"/>
  <c r="S45" i="16"/>
  <c r="CW45" i="16" s="1"/>
  <c r="R45" i="16"/>
  <c r="CQ45" i="16" s="1"/>
  <c r="Q45" i="16"/>
  <c r="CO45" i="16" s="1"/>
  <c r="V44" i="16"/>
  <c r="U44" i="16"/>
  <c r="T44" i="16"/>
  <c r="DA44" i="16" s="1"/>
  <c r="S44" i="16"/>
  <c r="CW44" i="16" s="1"/>
  <c r="R44" i="16"/>
  <c r="CS44" i="16" s="1"/>
  <c r="Q44" i="16"/>
  <c r="CM44" i="16" s="1"/>
  <c r="CY11" i="16"/>
  <c r="CV18" i="6" s="1"/>
  <c r="CK11" i="16"/>
  <c r="CJ11" i="16"/>
  <c r="CD17" i="11" s="1"/>
  <c r="CI11" i="16"/>
  <c r="BV49" i="22" s="1"/>
  <c r="CH11" i="16"/>
  <c r="CG11" i="16"/>
  <c r="BT49" i="22" s="1"/>
  <c r="CF11" i="16"/>
  <c r="BS49" i="22" s="1"/>
  <c r="CE11" i="16"/>
  <c r="BR49" i="22" s="1"/>
  <c r="CD11" i="16"/>
  <c r="BQ49" i="22" s="1"/>
  <c r="CC11" i="16"/>
  <c r="BP49" i="22" s="1"/>
  <c r="CB11" i="16"/>
  <c r="BO49" i="22" s="1"/>
  <c r="CA11" i="16"/>
  <c r="BN49" i="22" s="1"/>
  <c r="BY11" i="16"/>
  <c r="BX11" i="16"/>
  <c r="BW11" i="16"/>
  <c r="BV11" i="16"/>
  <c r="BU11" i="16"/>
  <c r="BT11" i="16"/>
  <c r="BS11" i="16"/>
  <c r="BR11" i="16"/>
  <c r="BQ11" i="16"/>
  <c r="BP11" i="16"/>
  <c r="BO11" i="16"/>
  <c r="BN11" i="16"/>
  <c r="BM11" i="16"/>
  <c r="BL11" i="16"/>
  <c r="BK11" i="16"/>
  <c r="BJ11" i="16"/>
  <c r="BI11" i="16"/>
  <c r="BH11" i="16"/>
  <c r="BL12" i="16" s="1"/>
  <c r="BG11" i="16"/>
  <c r="BF11" i="16"/>
  <c r="BE11" i="16"/>
  <c r="BD11" i="16"/>
  <c r="BC11" i="16"/>
  <c r="BB11" i="16"/>
  <c r="BA11" i="16"/>
  <c r="AZ11" i="16"/>
  <c r="AY11" i="16"/>
  <c r="AX11" i="16"/>
  <c r="J11" i="16"/>
  <c r="H11" i="16"/>
  <c r="F11" i="16"/>
  <c r="E11" i="16"/>
  <c r="Q7" i="16"/>
  <c r="M7" i="16"/>
  <c r="L7" i="16"/>
  <c r="K7" i="16"/>
  <c r="J7" i="16"/>
  <c r="M6" i="16"/>
  <c r="L6" i="16"/>
  <c r="K6" i="16"/>
  <c r="J6" i="16"/>
  <c r="CO7" i="16"/>
  <c r="CN7" i="16"/>
  <c r="CM7" i="16"/>
  <c r="CL7" i="16"/>
  <c r="BY7" i="16"/>
  <c r="BX7" i="16"/>
  <c r="BW7" i="16"/>
  <c r="BV7" i="16"/>
  <c r="BU7" i="16"/>
  <c r="BT7" i="16"/>
  <c r="BS7" i="16"/>
  <c r="BR7" i="16"/>
  <c r="BY6" i="16"/>
  <c r="BX6" i="16"/>
  <c r="BW6" i="16"/>
  <c r="BV6" i="16"/>
  <c r="BU6" i="16"/>
  <c r="BT6" i="16"/>
  <c r="BS6" i="16"/>
  <c r="BR6" i="16"/>
  <c r="DM5" i="16"/>
  <c r="DH5" i="16"/>
  <c r="DG5" i="16"/>
  <c r="DF5" i="16"/>
  <c r="DE5" i="16"/>
  <c r="DD5" i="16"/>
  <c r="DC5" i="16"/>
  <c r="DB5" i="16"/>
  <c r="DA5" i="16"/>
  <c r="CZ5" i="16"/>
  <c r="CY5" i="16"/>
  <c r="CX5" i="16"/>
  <c r="CW5" i="16"/>
  <c r="CV5" i="16"/>
  <c r="CU5" i="16"/>
  <c r="CT5" i="16"/>
  <c r="CS5" i="16"/>
  <c r="CR5" i="16"/>
  <c r="CQ5" i="16"/>
  <c r="CP5" i="16"/>
  <c r="CO5" i="16"/>
  <c r="CN5" i="16"/>
  <c r="CM5" i="16"/>
  <c r="CL5" i="16"/>
  <c r="CK5" i="16"/>
  <c r="CJ5" i="16"/>
  <c r="CI5" i="16"/>
  <c r="CH5" i="16"/>
  <c r="CG5" i="16"/>
  <c r="CF5" i="16"/>
  <c r="CE5" i="16"/>
  <c r="CD5" i="16"/>
  <c r="CC5" i="16"/>
  <c r="CB5" i="16"/>
  <c r="CA5" i="16"/>
  <c r="BZ5" i="16"/>
  <c r="BY5" i="16"/>
  <c r="BX5" i="16"/>
  <c r="BW5" i="16"/>
  <c r="BV5" i="16"/>
  <c r="BU5" i="16"/>
  <c r="BT5" i="16"/>
  <c r="BS5" i="16"/>
  <c r="BR5" i="16"/>
  <c r="BQ5" i="16"/>
  <c r="BP5" i="16"/>
  <c r="BO5" i="16"/>
  <c r="BN5" i="16"/>
  <c r="BM5" i="16"/>
  <c r="BL5" i="16"/>
  <c r="BK5" i="16"/>
  <c r="BJ5" i="16"/>
  <c r="AA5" i="16"/>
  <c r="Z5" i="16"/>
  <c r="Y5" i="16"/>
  <c r="X5" i="16"/>
  <c r="W5" i="16"/>
  <c r="V5" i="16"/>
  <c r="U5" i="16"/>
  <c r="T5" i="16"/>
  <c r="S5" i="16"/>
  <c r="R5" i="16"/>
  <c r="Q5" i="16"/>
  <c r="P5" i="16"/>
  <c r="O5" i="16"/>
  <c r="N5" i="16"/>
  <c r="M5" i="16"/>
  <c r="L5" i="16"/>
  <c r="K5" i="16"/>
  <c r="CL154" i="15"/>
  <c r="DH153" i="15"/>
  <c r="DG153" i="15"/>
  <c r="DF153" i="15"/>
  <c r="DE153" i="15"/>
  <c r="DD153" i="15"/>
  <c r="DC153" i="15"/>
  <c r="DB153" i="15"/>
  <c r="DA153" i="15"/>
  <c r="CZ153" i="15"/>
  <c r="CY153" i="15"/>
  <c r="CX153" i="15"/>
  <c r="CW153" i="15"/>
  <c r="CV153" i="15"/>
  <c r="CU153" i="15"/>
  <c r="CT153" i="15"/>
  <c r="CS153" i="15"/>
  <c r="CR153" i="15"/>
  <c r="CQ153" i="15"/>
  <c r="CP153" i="15"/>
  <c r="CO153" i="15"/>
  <c r="CN153" i="15"/>
  <c r="CM153" i="15"/>
  <c r="CL153" i="15"/>
  <c r="DH147" i="15"/>
  <c r="DG147" i="15"/>
  <c r="DF147" i="15"/>
  <c r="DE147" i="15"/>
  <c r="DD147" i="15"/>
  <c r="DC147" i="15"/>
  <c r="DB147" i="15"/>
  <c r="DA147" i="15"/>
  <c r="CZ147" i="15"/>
  <c r="CY147" i="15"/>
  <c r="CX147" i="15"/>
  <c r="CW147" i="15"/>
  <c r="CV147" i="15"/>
  <c r="CU147" i="15"/>
  <c r="CT147" i="15"/>
  <c r="CS147" i="15"/>
  <c r="CR147" i="15"/>
  <c r="CQ147" i="15"/>
  <c r="CP147" i="15"/>
  <c r="CO147" i="15"/>
  <c r="CN147" i="15"/>
  <c r="CM147" i="15"/>
  <c r="CL147" i="15"/>
  <c r="CQ142" i="15"/>
  <c r="CP142" i="15"/>
  <c r="CO142" i="15"/>
  <c r="CN142" i="15"/>
  <c r="CM142" i="15"/>
  <c r="CL142" i="15"/>
  <c r="CI142" i="15"/>
  <c r="CH142" i="15"/>
  <c r="CQ141" i="15"/>
  <c r="CP141" i="15"/>
  <c r="CO141" i="15"/>
  <c r="CM141" i="15"/>
  <c r="CL141" i="15"/>
  <c r="CK141" i="15"/>
  <c r="CJ140" i="15"/>
  <c r="CK142" i="15" s="1"/>
  <c r="R140" i="15"/>
  <c r="Q140" i="15"/>
  <c r="P140" i="15"/>
  <c r="CP138" i="15"/>
  <c r="CM138" i="15"/>
  <c r="CL138" i="15"/>
  <c r="CI138" i="15"/>
  <c r="CH138" i="15"/>
  <c r="CP137" i="15"/>
  <c r="CO137" i="15"/>
  <c r="CM137" i="15"/>
  <c r="CL137" i="15"/>
  <c r="CK137" i="15"/>
  <c r="CQ136" i="15"/>
  <c r="CQ138" i="15" s="1"/>
  <c r="CQ135" i="15"/>
  <c r="CQ134" i="15"/>
  <c r="CN136" i="15"/>
  <c r="CO138" i="15" s="1"/>
  <c r="CN135" i="15"/>
  <c r="CJ135" i="15"/>
  <c r="R136" i="15"/>
  <c r="Q136" i="15"/>
  <c r="P136" i="15"/>
  <c r="CI135" i="15"/>
  <c r="CH135" i="15"/>
  <c r="CP135" i="15"/>
  <c r="CO135" i="15"/>
  <c r="CP134" i="15"/>
  <c r="CO134" i="15"/>
  <c r="CM135" i="15"/>
  <c r="CL135" i="15"/>
  <c r="CK135" i="15"/>
  <c r="CM134" i="15"/>
  <c r="CL134" i="15"/>
  <c r="CK134" i="15"/>
  <c r="R133" i="15"/>
  <c r="S133" i="15" s="1"/>
  <c r="Q133" i="15"/>
  <c r="P133" i="15"/>
  <c r="CQ132" i="15"/>
  <c r="CP132" i="15"/>
  <c r="CO132" i="15"/>
  <c r="CN132" i="15"/>
  <c r="CM132" i="15"/>
  <c r="CL132" i="15"/>
  <c r="CI132" i="15"/>
  <c r="CH132" i="15"/>
  <c r="CP131" i="15"/>
  <c r="CO131" i="15"/>
  <c r="CM131" i="15"/>
  <c r="CL131" i="15"/>
  <c r="CK131" i="15"/>
  <c r="CJ130" i="15"/>
  <c r="CJ136" i="15" s="1"/>
  <c r="R130" i="15"/>
  <c r="Q130" i="15"/>
  <c r="P130" i="15"/>
  <c r="CK127" i="15"/>
  <c r="CJ127" i="15"/>
  <c r="CI127" i="15"/>
  <c r="CH127" i="15"/>
  <c r="CQ127" i="15"/>
  <c r="CP127" i="15"/>
  <c r="CO127" i="15"/>
  <c r="CN127" i="15"/>
  <c r="CM127" i="15"/>
  <c r="CM128" i="15" s="1"/>
  <c r="CL127" i="15"/>
  <c r="CQ126" i="15"/>
  <c r="CP126" i="15"/>
  <c r="CO126" i="15"/>
  <c r="CN126" i="15"/>
  <c r="CM126" i="15"/>
  <c r="CL126" i="15"/>
  <c r="CK126" i="15"/>
  <c r="T126" i="15"/>
  <c r="U126" i="15" s="1"/>
  <c r="V126" i="15" s="1"/>
  <c r="W126" i="15" s="1"/>
  <c r="X126" i="15" s="1"/>
  <c r="Y126" i="15" s="1"/>
  <c r="Z126" i="15" s="1"/>
  <c r="R125" i="15"/>
  <c r="S125" i="15" s="1"/>
  <c r="Q125" i="15"/>
  <c r="P125" i="15"/>
  <c r="BN118" i="15"/>
  <c r="BI118" i="15"/>
  <c r="BH118" i="15"/>
  <c r="BG118" i="15"/>
  <c r="BF118" i="15"/>
  <c r="BE118" i="15"/>
  <c r="BD118" i="15"/>
  <c r="BC118" i="15"/>
  <c r="BB118" i="15"/>
  <c r="BA118" i="15"/>
  <c r="AZ118" i="15"/>
  <c r="AY118" i="15"/>
  <c r="AX118" i="15"/>
  <c r="AX119" i="15" s="1"/>
  <c r="AW118" i="15"/>
  <c r="AV118" i="15"/>
  <c r="AU118" i="15"/>
  <c r="AT118" i="15"/>
  <c r="AT119" i="15" s="1"/>
  <c r="AS118" i="15"/>
  <c r="AR118" i="15"/>
  <c r="AQ118" i="15"/>
  <c r="AP118" i="15"/>
  <c r="AP119" i="15" s="1"/>
  <c r="DH115" i="15"/>
  <c r="DH118" i="15" s="1"/>
  <c r="DG115" i="15"/>
  <c r="DG118" i="15" s="1"/>
  <c r="DF115" i="15"/>
  <c r="DE115" i="15"/>
  <c r="DD115" i="15"/>
  <c r="DD118" i="15" s="1"/>
  <c r="DC115" i="15"/>
  <c r="DC118" i="15" s="1"/>
  <c r="DB115" i="15"/>
  <c r="DA115" i="15"/>
  <c r="DA118" i="15" s="1"/>
  <c r="CZ115" i="15"/>
  <c r="CZ118" i="15" s="1"/>
  <c r="CY115" i="15"/>
  <c r="CY118" i="15" s="1"/>
  <c r="CX115" i="15"/>
  <c r="CX118" i="15" s="1"/>
  <c r="CW115" i="15"/>
  <c r="CV115" i="15"/>
  <c r="CV118" i="15" s="1"/>
  <c r="CU115" i="15"/>
  <c r="CU118" i="15" s="1"/>
  <c r="CT115" i="15"/>
  <c r="CT118" i="15" s="1"/>
  <c r="CS115" i="15"/>
  <c r="CS118" i="15" s="1"/>
  <c r="CR115" i="15"/>
  <c r="CR118" i="15" s="1"/>
  <c r="CQ115" i="15"/>
  <c r="CQ118" i="15" s="1"/>
  <c r="CP115" i="15"/>
  <c r="CO115" i="15"/>
  <c r="CN115" i="15"/>
  <c r="CN118" i="15" s="1"/>
  <c r="CM115" i="15"/>
  <c r="CM118" i="15" s="1"/>
  <c r="CL115" i="15"/>
  <c r="CL118" i="15" s="1"/>
  <c r="CF115" i="15"/>
  <c r="CE115" i="15"/>
  <c r="CD115" i="15"/>
  <c r="CC115" i="15"/>
  <c r="CB115" i="15"/>
  <c r="CA115" i="15"/>
  <c r="BZ115" i="15"/>
  <c r="BY115" i="15"/>
  <c r="BY116" i="15" s="1"/>
  <c r="BY92" i="15" s="1"/>
  <c r="N115" i="15"/>
  <c r="BQ111" i="15"/>
  <c r="BR111" i="15" s="1"/>
  <c r="BS111" i="15" s="1"/>
  <c r="BT111" i="15" s="1"/>
  <c r="BU111" i="15" s="1"/>
  <c r="BV111" i="15" s="1"/>
  <c r="BW111" i="15" s="1"/>
  <c r="BX111" i="15" s="1"/>
  <c r="BO111" i="15"/>
  <c r="BH111" i="15"/>
  <c r="BI111" i="15" s="1"/>
  <c r="CM111" i="15"/>
  <c r="CN111" i="15" s="1"/>
  <c r="CO111" i="15" s="1"/>
  <c r="P111" i="15"/>
  <c r="O111" i="15"/>
  <c r="N111" i="15"/>
  <c r="H111" i="15"/>
  <c r="G111" i="15"/>
  <c r="E109" i="15"/>
  <c r="BY100" i="15"/>
  <c r="BN100" i="15"/>
  <c r="BO100" i="15" s="1"/>
  <c r="BX99" i="15"/>
  <c r="BW99" i="15"/>
  <c r="BM99" i="15"/>
  <c r="BL99" i="15"/>
  <c r="BK99" i="15"/>
  <c r="BJ99" i="15"/>
  <c r="BI98" i="15"/>
  <c r="BH98" i="15"/>
  <c r="BG98" i="15"/>
  <c r="BF98" i="15"/>
  <c r="BE98" i="15"/>
  <c r="BD98" i="15"/>
  <c r="BC98" i="15"/>
  <c r="BB98" i="15"/>
  <c r="CM100" i="15"/>
  <c r="CN100" i="15" s="1"/>
  <c r="DH98" i="15"/>
  <c r="DG98" i="15"/>
  <c r="DF98" i="15"/>
  <c r="DE98" i="15"/>
  <c r="DD98" i="15"/>
  <c r="DC98" i="15"/>
  <c r="DB98" i="15"/>
  <c r="DA98" i="15"/>
  <c r="CZ98" i="15"/>
  <c r="CY98" i="15"/>
  <c r="CX98" i="15"/>
  <c r="CW98" i="15"/>
  <c r="CV98" i="15"/>
  <c r="CU98" i="15"/>
  <c r="CT98" i="15"/>
  <c r="CS98" i="15"/>
  <c r="CR98" i="15"/>
  <c r="CQ98" i="15"/>
  <c r="CP98" i="15"/>
  <c r="CO98" i="15"/>
  <c r="CN98" i="15"/>
  <c r="CM98" i="15"/>
  <c r="CF99" i="15"/>
  <c r="CE99" i="15"/>
  <c r="CD99" i="15"/>
  <c r="CC99" i="15"/>
  <c r="CB99" i="15"/>
  <c r="CA99" i="15"/>
  <c r="BZ99" i="15"/>
  <c r="CF97" i="15"/>
  <c r="CE97" i="15"/>
  <c r="CD97" i="15"/>
  <c r="CC97" i="15"/>
  <c r="CB97" i="15"/>
  <c r="CA97" i="15"/>
  <c r="BZ97" i="15"/>
  <c r="CF96" i="15"/>
  <c r="CE96" i="15"/>
  <c r="CD96" i="15"/>
  <c r="CB96" i="15"/>
  <c r="CA96" i="15"/>
  <c r="BZ96" i="15"/>
  <c r="BX97" i="15"/>
  <c r="BW97" i="15"/>
  <c r="BV97" i="15"/>
  <c r="BU97" i="15"/>
  <c r="BT97" i="15"/>
  <c r="BS97" i="15"/>
  <c r="BR97" i="15"/>
  <c r="BQ97" i="15"/>
  <c r="BP97" i="15"/>
  <c r="BO97" i="15"/>
  <c r="BM97" i="15"/>
  <c r="BL97" i="15"/>
  <c r="BK97" i="15"/>
  <c r="BJ97" i="15"/>
  <c r="BX96" i="15"/>
  <c r="BW96" i="15"/>
  <c r="BV96" i="15"/>
  <c r="BU96" i="15"/>
  <c r="BT96" i="15"/>
  <c r="BS96" i="15"/>
  <c r="BQ96" i="15"/>
  <c r="BP96" i="15"/>
  <c r="BO96" i="15"/>
  <c r="BI92" i="15"/>
  <c r="BI99" i="15" s="1"/>
  <c r="BH92" i="15"/>
  <c r="BG92" i="15"/>
  <c r="BG99" i="15" s="1"/>
  <c r="BG101" i="15" s="1"/>
  <c r="BF92" i="15"/>
  <c r="BF99" i="15" s="1"/>
  <c r="BE92" i="15"/>
  <c r="BE99" i="15" s="1"/>
  <c r="BD92" i="15"/>
  <c r="BD99" i="15" s="1"/>
  <c r="BC92" i="15"/>
  <c r="BC99" i="15" s="1"/>
  <c r="BB92" i="15"/>
  <c r="BB99" i="15" s="1"/>
  <c r="DH92" i="15"/>
  <c r="DG92" i="15"/>
  <c r="DG182" i="15" s="1"/>
  <c r="DF92" i="15"/>
  <c r="DF182" i="15" s="1"/>
  <c r="DE92" i="15"/>
  <c r="DD92" i="15"/>
  <c r="DC92" i="15"/>
  <c r="DB92" i="15"/>
  <c r="DA92" i="15"/>
  <c r="CZ92" i="15"/>
  <c r="CY92" i="15"/>
  <c r="CX92" i="15"/>
  <c r="CW92" i="15"/>
  <c r="CV92" i="15"/>
  <c r="CU92" i="15"/>
  <c r="CT92" i="15"/>
  <c r="CS92" i="15"/>
  <c r="CS97" i="15"/>
  <c r="CR92" i="15"/>
  <c r="CR97" i="15" s="1"/>
  <c r="CQ92" i="15"/>
  <c r="CQ97" i="15" s="1"/>
  <c r="CP92" i="15"/>
  <c r="CP97" i="15" s="1"/>
  <c r="CO92" i="15"/>
  <c r="CO97" i="15" s="1"/>
  <c r="CN92" i="15"/>
  <c r="CN97" i="15" s="1"/>
  <c r="CM92" i="15"/>
  <c r="CM97" i="15" s="1"/>
  <c r="DH91" i="15"/>
  <c r="DG91" i="15"/>
  <c r="DF91" i="15"/>
  <c r="DE91" i="15"/>
  <c r="DD91" i="15"/>
  <c r="DC91" i="15"/>
  <c r="DB91" i="15"/>
  <c r="DA91" i="15"/>
  <c r="CZ91" i="15"/>
  <c r="CY91" i="15"/>
  <c r="CX91" i="15"/>
  <c r="CW91" i="15"/>
  <c r="CV91" i="15"/>
  <c r="CU91" i="15"/>
  <c r="CT91" i="15"/>
  <c r="CS91" i="15"/>
  <c r="CR91" i="15"/>
  <c r="CQ91" i="15"/>
  <c r="CP91" i="15"/>
  <c r="BI91" i="15"/>
  <c r="BH91" i="15"/>
  <c r="BG91" i="15"/>
  <c r="BF91" i="15"/>
  <c r="BE91" i="15"/>
  <c r="CK90" i="15"/>
  <c r="CI90" i="15"/>
  <c r="BV26" i="22" s="1"/>
  <c r="CH90" i="15"/>
  <c r="CL91" i="15" s="1"/>
  <c r="CG90" i="15"/>
  <c r="BT26" i="22" s="1"/>
  <c r="J26" i="22" s="1"/>
  <c r="BO90" i="15"/>
  <c r="BJ90" i="15"/>
  <c r="BJ91" i="15" s="1"/>
  <c r="U90" i="15"/>
  <c r="P26" i="22" s="1"/>
  <c r="T90" i="15"/>
  <c r="S90" i="15"/>
  <c r="N26" i="22" s="1"/>
  <c r="R90" i="15"/>
  <c r="M26" i="22" s="1"/>
  <c r="Q90" i="15"/>
  <c r="L26" i="22" s="1"/>
  <c r="I90" i="15"/>
  <c r="H90" i="15"/>
  <c r="G90" i="15"/>
  <c r="CF86" i="15"/>
  <c r="CG86" i="15" s="1"/>
  <c r="CH86" i="15" s="1"/>
  <c r="CI86" i="15" s="1"/>
  <c r="CJ86" i="15" s="1"/>
  <c r="CK86" i="15" s="1"/>
  <c r="CL86" i="15" s="1"/>
  <c r="CM86" i="15" s="1"/>
  <c r="CN86" i="15" s="1"/>
  <c r="CO86" i="15" s="1"/>
  <c r="BE84" i="15"/>
  <c r="BD84" i="15"/>
  <c r="BE86" i="15" s="1"/>
  <c r="BC84" i="15"/>
  <c r="BG85" i="15" s="1"/>
  <c r="BB84" i="15"/>
  <c r="F84" i="15"/>
  <c r="CO61" i="15"/>
  <c r="CN61" i="15"/>
  <c r="CA21" i="22" s="1"/>
  <c r="CM61" i="15"/>
  <c r="BZ21" i="22" s="1"/>
  <c r="CL61" i="15"/>
  <c r="CK61" i="15"/>
  <c r="CJ61" i="15"/>
  <c r="BW21" i="22" s="1"/>
  <c r="CI61" i="15"/>
  <c r="CH61" i="15"/>
  <c r="CG61" i="15"/>
  <c r="CF61" i="15"/>
  <c r="BS21" i="22" s="1"/>
  <c r="CE61" i="15"/>
  <c r="BR21" i="22" s="1"/>
  <c r="CD61" i="15"/>
  <c r="BQ21" i="22" s="1"/>
  <c r="CC61" i="15"/>
  <c r="CB61" i="15"/>
  <c r="CA61" i="15"/>
  <c r="BZ61" i="15"/>
  <c r="BY61" i="15"/>
  <c r="BX61" i="15"/>
  <c r="BW61" i="15"/>
  <c r="BV61" i="15"/>
  <c r="BU61" i="15"/>
  <c r="BT61" i="15"/>
  <c r="BS61" i="15"/>
  <c r="BR61" i="15"/>
  <c r="BQ61" i="15"/>
  <c r="BP61" i="15"/>
  <c r="BO61" i="15"/>
  <c r="BN61" i="15"/>
  <c r="BM61" i="15"/>
  <c r="BL61" i="15"/>
  <c r="BK61" i="15"/>
  <c r="BJ61" i="15"/>
  <c r="BI61" i="15"/>
  <c r="I61" i="15" s="1"/>
  <c r="BH61" i="15"/>
  <c r="BG61" i="15"/>
  <c r="BF61" i="15"/>
  <c r="BE61" i="15"/>
  <c r="H61" i="15" s="1"/>
  <c r="BD61" i="15"/>
  <c r="N61" i="15"/>
  <c r="AS55" i="15"/>
  <c r="AR55" i="15"/>
  <c r="AQ55" i="15"/>
  <c r="CK49" i="15"/>
  <c r="CJ49" i="15"/>
  <c r="CI49" i="15"/>
  <c r="CG49" i="15"/>
  <c r="CH50" i="15" s="1"/>
  <c r="CD49" i="15"/>
  <c r="CC49" i="15"/>
  <c r="N49" i="15" s="1"/>
  <c r="CA49" i="15"/>
  <c r="BU49" i="15"/>
  <c r="BN49" i="15"/>
  <c r="BM49" i="15"/>
  <c r="BL49" i="15"/>
  <c r="BK49" i="15"/>
  <c r="BJ49" i="15"/>
  <c r="BI49" i="15"/>
  <c r="BH49" i="15"/>
  <c r="BG49" i="15"/>
  <c r="BF49" i="15"/>
  <c r="BE49" i="15"/>
  <c r="J49" i="15"/>
  <c r="J43" i="15" s="1"/>
  <c r="J47" i="15"/>
  <c r="BR47" i="15"/>
  <c r="K44" i="15"/>
  <c r="BJ44" i="15" s="1"/>
  <c r="BD43" i="15"/>
  <c r="BC43" i="15"/>
  <c r="BB43" i="15"/>
  <c r="BA43" i="15"/>
  <c r="AZ43" i="15"/>
  <c r="AY43" i="15"/>
  <c r="AX43" i="15"/>
  <c r="AW43" i="15"/>
  <c r="AV43" i="15"/>
  <c r="AU43" i="15"/>
  <c r="AT43" i="15"/>
  <c r="AS43" i="15"/>
  <c r="AS20" i="15" s="1"/>
  <c r="AS11" i="15" s="1"/>
  <c r="AR43" i="15"/>
  <c r="AQ43" i="15"/>
  <c r="AP43" i="15"/>
  <c r="BE36" i="15"/>
  <c r="BE32" i="15"/>
  <c r="BD36" i="15"/>
  <c r="BC36" i="15"/>
  <c r="BB36" i="15"/>
  <c r="BA36" i="15"/>
  <c r="AZ36" i="15"/>
  <c r="AY36" i="15"/>
  <c r="AX36" i="15"/>
  <c r="AW36" i="15"/>
  <c r="AV36" i="15"/>
  <c r="AU36" i="15"/>
  <c r="AT36" i="15"/>
  <c r="AS36" i="15"/>
  <c r="AR36" i="15"/>
  <c r="AQ36" i="15"/>
  <c r="AP36" i="15"/>
  <c r="G36" i="15"/>
  <c r="G40" i="15" s="1"/>
  <c r="F36" i="15"/>
  <c r="E36" i="15"/>
  <c r="BR36" i="15"/>
  <c r="BQ36" i="15"/>
  <c r="BP36" i="15"/>
  <c r="BO36" i="15"/>
  <c r="BN36" i="15"/>
  <c r="BM36" i="15"/>
  <c r="BL36" i="15"/>
  <c r="BL38" i="15" s="1"/>
  <c r="BK36" i="15"/>
  <c r="BJ36" i="15"/>
  <c r="BI36" i="15"/>
  <c r="BH36" i="15"/>
  <c r="BH37" i="15" s="1"/>
  <c r="BG36" i="15"/>
  <c r="BF36" i="15"/>
  <c r="BR32" i="15"/>
  <c r="BQ32" i="15"/>
  <c r="BP32" i="15"/>
  <c r="BO32" i="15"/>
  <c r="BN32" i="15"/>
  <c r="BM32" i="15"/>
  <c r="BL32" i="15"/>
  <c r="BK32" i="15"/>
  <c r="BJ32" i="15"/>
  <c r="BI32" i="15"/>
  <c r="BH32" i="15"/>
  <c r="BG32" i="15"/>
  <c r="BF32" i="15"/>
  <c r="BD32" i="15"/>
  <c r="BD30" i="15" s="1"/>
  <c r="BC32" i="15"/>
  <c r="BB32" i="15"/>
  <c r="BA32" i="15"/>
  <c r="AZ32" i="15"/>
  <c r="AZ30" i="15" s="1"/>
  <c r="AY32" i="15"/>
  <c r="AY30" i="15" s="1"/>
  <c r="AX32" i="15"/>
  <c r="AX30" i="15" s="1"/>
  <c r="AW32" i="15"/>
  <c r="AV32" i="15"/>
  <c r="AU32" i="15"/>
  <c r="AU30" i="15" s="1"/>
  <c r="AT32" i="15"/>
  <c r="AT30" i="15" s="1"/>
  <c r="CN36" i="15"/>
  <c r="CM36" i="15"/>
  <c r="CL36" i="15"/>
  <c r="CL40" i="15" s="1"/>
  <c r="CK36" i="15"/>
  <c r="CJ36" i="15"/>
  <c r="CI36" i="15"/>
  <c r="CH36" i="15"/>
  <c r="CH51" i="15" s="1"/>
  <c r="CG36" i="15"/>
  <c r="CF36" i="15"/>
  <c r="CE36" i="15"/>
  <c r="CD36" i="15"/>
  <c r="CD40" i="15" s="1"/>
  <c r="CD42" i="15" s="1"/>
  <c r="CC36" i="15"/>
  <c r="CB36" i="15"/>
  <c r="CA36" i="15"/>
  <c r="CA40" i="15" s="1"/>
  <c r="BN18" i="22" s="1"/>
  <c r="BZ36" i="15"/>
  <c r="BY36" i="15"/>
  <c r="BX36" i="15"/>
  <c r="BW36" i="15"/>
  <c r="BV36" i="15"/>
  <c r="BW38" i="15" s="1"/>
  <c r="BU36" i="15"/>
  <c r="CO32" i="15"/>
  <c r="CB10" i="22" s="1"/>
  <c r="L10" i="22" s="1"/>
  <c r="L12" i="22" s="1"/>
  <c r="CN32" i="15"/>
  <c r="CM32" i="15"/>
  <c r="BZ10" i="22" s="1"/>
  <c r="BZ12" i="22" s="1"/>
  <c r="CL32" i="15"/>
  <c r="CK32" i="15"/>
  <c r="CJ32" i="15"/>
  <c r="CI32" i="15"/>
  <c r="CH32" i="15"/>
  <c r="BU10" i="22" s="1"/>
  <c r="BU12" i="22" s="1"/>
  <c r="CG32" i="15"/>
  <c r="O32" i="15" s="1"/>
  <c r="CF32" i="15"/>
  <c r="CE32" i="15"/>
  <c r="BR10" i="22" s="1"/>
  <c r="BR12" i="22" s="1"/>
  <c r="CD32" i="15"/>
  <c r="BQ10" i="22" s="1"/>
  <c r="BQ12" i="22" s="1"/>
  <c r="CC32" i="15"/>
  <c r="CB32" i="15"/>
  <c r="BO10" i="22" s="1"/>
  <c r="BO12" i="22" s="1"/>
  <c r="CA32" i="15"/>
  <c r="CB35" i="15" s="1"/>
  <c r="BZ32" i="15"/>
  <c r="BY32" i="15"/>
  <c r="BX32" i="15"/>
  <c r="BW32" i="15"/>
  <c r="BV32" i="15"/>
  <c r="BU32" i="15"/>
  <c r="BS44" i="15"/>
  <c r="BS47" i="15" s="1"/>
  <c r="BT36" i="15"/>
  <c r="BS36" i="15"/>
  <c r="BS38" i="15" s="1"/>
  <c r="BT32" i="15"/>
  <c r="BS32" i="15"/>
  <c r="BS35" i="15" s="1"/>
  <c r="AS30" i="15"/>
  <c r="AR30" i="15"/>
  <c r="AQ30" i="15"/>
  <c r="AP30" i="15"/>
  <c r="CK21" i="15"/>
  <c r="CK109" i="15" s="1"/>
  <c r="DH25" i="15"/>
  <c r="DL26" i="15" s="1"/>
  <c r="DF25" i="15"/>
  <c r="DE25" i="15"/>
  <c r="DD25" i="15"/>
  <c r="DB25" i="15"/>
  <c r="DA25" i="15"/>
  <c r="CZ25" i="15"/>
  <c r="CX25" i="15"/>
  <c r="CW25" i="15"/>
  <c r="CV25" i="15"/>
  <c r="CT25" i="15"/>
  <c r="CS25" i="15"/>
  <c r="CR25" i="15"/>
  <c r="CP25" i="15"/>
  <c r="CO25" i="15"/>
  <c r="Q25" i="15" s="1"/>
  <c r="CN25" i="15"/>
  <c r="CO27" i="15" s="1"/>
  <c r="CL25" i="15"/>
  <c r="DH21" i="15"/>
  <c r="DG21" i="15"/>
  <c r="DG36" i="13" s="1"/>
  <c r="DF21" i="15"/>
  <c r="DE21" i="15"/>
  <c r="U21" i="15" s="1"/>
  <c r="DD21" i="15"/>
  <c r="DC21" i="15"/>
  <c r="DC36" i="13" s="1"/>
  <c r="DB21" i="15"/>
  <c r="DB36" i="13" s="1"/>
  <c r="DA21" i="15"/>
  <c r="T21" i="15" s="1"/>
  <c r="CZ21" i="15"/>
  <c r="CY21" i="15"/>
  <c r="CX21" i="15"/>
  <c r="CX68" i="15" s="1"/>
  <c r="CW21" i="15"/>
  <c r="CV21" i="15"/>
  <c r="CU21" i="15"/>
  <c r="CT21" i="15"/>
  <c r="CT36" i="13" s="1"/>
  <c r="CS21" i="15"/>
  <c r="R21" i="15" s="1"/>
  <c r="CR21" i="15"/>
  <c r="CQ21" i="15"/>
  <c r="CP21" i="15"/>
  <c r="CT22" i="15" s="1"/>
  <c r="CO21" i="15"/>
  <c r="CN21" i="15"/>
  <c r="CN109" i="15" s="1"/>
  <c r="CM21" i="15"/>
  <c r="CL21" i="15"/>
  <c r="CL109" i="15" s="1"/>
  <c r="CJ21" i="15"/>
  <c r="CI21" i="15"/>
  <c r="CH21" i="15"/>
  <c r="CH36" i="13" s="1"/>
  <c r="CG21" i="15"/>
  <c r="CG109" i="15" s="1"/>
  <c r="CF21" i="15"/>
  <c r="CE21" i="15"/>
  <c r="CD21" i="15"/>
  <c r="CC21" i="15"/>
  <c r="CC109" i="15" s="1"/>
  <c r="CB21" i="15"/>
  <c r="CA21" i="15"/>
  <c r="BZ21" i="15"/>
  <c r="BY21" i="15"/>
  <c r="BY109" i="15" s="1"/>
  <c r="BX21" i="15"/>
  <c r="BW21" i="15"/>
  <c r="BV21" i="15"/>
  <c r="BU21" i="15"/>
  <c r="BU109" i="15" s="1"/>
  <c r="BT21" i="15"/>
  <c r="BS21" i="15"/>
  <c r="BR21" i="15"/>
  <c r="BQ21" i="15"/>
  <c r="BQ109" i="15" s="1"/>
  <c r="BP21" i="15"/>
  <c r="BO21" i="15"/>
  <c r="BN21" i="15"/>
  <c r="BM21" i="15"/>
  <c r="BM109" i="15" s="1"/>
  <c r="BL21" i="15"/>
  <c r="BK21" i="15"/>
  <c r="BJ21" i="15"/>
  <c r="BI21" i="15"/>
  <c r="BI109" i="15" s="1"/>
  <c r="BH21" i="15"/>
  <c r="BG21" i="15"/>
  <c r="BF21" i="15"/>
  <c r="BE21" i="15"/>
  <c r="BE109" i="15" s="1"/>
  <c r="BD21" i="15"/>
  <c r="BC21" i="15"/>
  <c r="BC20" i="15" s="1"/>
  <c r="BC11" i="15" s="1"/>
  <c r="BB21" i="15"/>
  <c r="BA21" i="15"/>
  <c r="BA109" i="15" s="1"/>
  <c r="AZ21" i="15"/>
  <c r="AZ52" i="15" s="1"/>
  <c r="AY21" i="15"/>
  <c r="AX21" i="15"/>
  <c r="AX109" i="15" s="1"/>
  <c r="AW21" i="15"/>
  <c r="F21" i="15" s="1"/>
  <c r="F109" i="15" s="1"/>
  <c r="AV21" i="15"/>
  <c r="AU21" i="15"/>
  <c r="AT21" i="15"/>
  <c r="AT20" i="15" s="1"/>
  <c r="AT11" i="15" s="1"/>
  <c r="AR20" i="15"/>
  <c r="AR11" i="15" s="1"/>
  <c r="AQ20" i="15"/>
  <c r="AQ11" i="15" s="1"/>
  <c r="AP20" i="15"/>
  <c r="AP11" i="15" s="1"/>
  <c r="DH14" i="15"/>
  <c r="DG14" i="15"/>
  <c r="DF14" i="15"/>
  <c r="DE14" i="15"/>
  <c r="U14" i="15" s="1"/>
  <c r="DC14" i="15"/>
  <c r="DB14" i="15"/>
  <c r="DA14" i="15"/>
  <c r="CZ14" i="15"/>
  <c r="CY14" i="15"/>
  <c r="CX14" i="15"/>
  <c r="CW14" i="15"/>
  <c r="CV14" i="15"/>
  <c r="CU14" i="15"/>
  <c r="CT14" i="15"/>
  <c r="CS14" i="15"/>
  <c r="CR14" i="15"/>
  <c r="CQ14" i="15"/>
  <c r="CP14" i="15"/>
  <c r="CO14" i="15"/>
  <c r="CN14" i="15"/>
  <c r="CM14" i="15"/>
  <c r="CL14" i="15"/>
  <c r="DH11" i="15"/>
  <c r="CU7" i="22" s="1"/>
  <c r="DF11" i="15"/>
  <c r="DE11" i="15"/>
  <c r="DE34" i="13" s="1"/>
  <c r="DC11" i="15"/>
  <c r="DB11" i="15"/>
  <c r="DA11" i="15"/>
  <c r="CZ11" i="15"/>
  <c r="CZ34" i="13" s="1"/>
  <c r="CX11" i="15"/>
  <c r="CW11" i="15"/>
  <c r="CJ7" i="22" s="1"/>
  <c r="CU11" i="15"/>
  <c r="CH7" i="22" s="1"/>
  <c r="CT11" i="15"/>
  <c r="CG7" i="22" s="1"/>
  <c r="CS11" i="15"/>
  <c r="CR11" i="15"/>
  <c r="CE7" i="22" s="1"/>
  <c r="CP11" i="15"/>
  <c r="CO11" i="15"/>
  <c r="CO208" i="13" s="1"/>
  <c r="CO211" i="13" s="1"/>
  <c r="CM11" i="15"/>
  <c r="CM18" i="15" s="1"/>
  <c r="BZ8" i="22" s="1"/>
  <c r="CL11" i="15"/>
  <c r="CK11" i="15"/>
  <c r="CK113" i="15" s="1"/>
  <c r="CJ11" i="15"/>
  <c r="CJ208" i="13" s="1"/>
  <c r="CJ211" i="13" s="1"/>
  <c r="CI11" i="15"/>
  <c r="CH11" i="15"/>
  <c r="CG11" i="15"/>
  <c r="BT7" i="22" s="1"/>
  <c r="J7" i="22" s="1"/>
  <c r="CF11" i="15"/>
  <c r="BS7" i="22" s="1"/>
  <c r="CE11" i="15"/>
  <c r="BR7" i="22" s="1"/>
  <c r="CD11" i="15"/>
  <c r="BQ7" i="22" s="1"/>
  <c r="CO7" i="15"/>
  <c r="CN7" i="15"/>
  <c r="CM7" i="15"/>
  <c r="CL7" i="15"/>
  <c r="BY7" i="15"/>
  <c r="BX7" i="15"/>
  <c r="BW7" i="15"/>
  <c r="BV7" i="15"/>
  <c r="BU7" i="15"/>
  <c r="BT7" i="15"/>
  <c r="BS7" i="15"/>
  <c r="BR7" i="15"/>
  <c r="BQ7" i="15"/>
  <c r="BP7" i="15"/>
  <c r="BO7" i="15"/>
  <c r="BN7" i="15"/>
  <c r="BY6" i="15"/>
  <c r="BX6" i="15"/>
  <c r="BW6" i="15"/>
  <c r="BV6" i="15"/>
  <c r="BU6" i="15"/>
  <c r="BT6" i="15"/>
  <c r="BS6" i="15"/>
  <c r="BR6" i="15"/>
  <c r="BQ6" i="15"/>
  <c r="BP6" i="15"/>
  <c r="BO6" i="15"/>
  <c r="BN6" i="15"/>
  <c r="BM6" i="15"/>
  <c r="BL6" i="15"/>
  <c r="BK6" i="15"/>
  <c r="BJ6" i="15"/>
  <c r="Q7" i="15"/>
  <c r="M7" i="15"/>
  <c r="L7" i="15"/>
  <c r="K7" i="15"/>
  <c r="J7" i="15"/>
  <c r="M6" i="15"/>
  <c r="L6" i="15"/>
  <c r="K6" i="15"/>
  <c r="J6" i="15"/>
  <c r="DM5" i="15"/>
  <c r="DH5" i="15"/>
  <c r="DG5" i="15"/>
  <c r="DF5" i="15"/>
  <c r="DE5" i="15"/>
  <c r="DD5" i="15"/>
  <c r="DC5" i="15"/>
  <c r="DB5" i="15"/>
  <c r="DA5" i="15"/>
  <c r="CZ5" i="15"/>
  <c r="CY5" i="15"/>
  <c r="CX5" i="15"/>
  <c r="CW5" i="15"/>
  <c r="CV5" i="15"/>
  <c r="CU5" i="15"/>
  <c r="CT5" i="15"/>
  <c r="CS5" i="15"/>
  <c r="CR5" i="15"/>
  <c r="CQ5" i="15"/>
  <c r="CQ124" i="15" s="1"/>
  <c r="CP5" i="15"/>
  <c r="CP124" i="15" s="1"/>
  <c r="CO5" i="15"/>
  <c r="CO124" i="15" s="1"/>
  <c r="CN5" i="15"/>
  <c r="CN124" i="15" s="1"/>
  <c r="CM5" i="15"/>
  <c r="CM124" i="15" s="1"/>
  <c r="CL5" i="15"/>
  <c r="CL124" i="15" s="1"/>
  <c r="CK5" i="15"/>
  <c r="CK124" i="15" s="1"/>
  <c r="CJ5" i="15"/>
  <c r="CJ124" i="15" s="1"/>
  <c r="CI5" i="15"/>
  <c r="CI124" i="15" s="1"/>
  <c r="CH5" i="15"/>
  <c r="CH124" i="15" s="1"/>
  <c r="CG5" i="15"/>
  <c r="CG124" i="15" s="1"/>
  <c r="CF5" i="15"/>
  <c r="CE5" i="15"/>
  <c r="CD5" i="15"/>
  <c r="CC5" i="15"/>
  <c r="CB5" i="15"/>
  <c r="CA5" i="15"/>
  <c r="BZ5" i="15"/>
  <c r="BY5" i="15"/>
  <c r="BX5" i="15"/>
  <c r="BW5" i="15"/>
  <c r="BV5" i="15"/>
  <c r="BU5" i="15"/>
  <c r="BT5" i="15"/>
  <c r="BS5" i="15"/>
  <c r="BR5" i="15"/>
  <c r="AA5" i="15"/>
  <c r="Z5" i="15"/>
  <c r="Z124" i="15" s="1"/>
  <c r="Y5" i="15"/>
  <c r="Y124" i="15" s="1"/>
  <c r="X5" i="15"/>
  <c r="X124" i="15" s="1"/>
  <c r="W5" i="15"/>
  <c r="W124" i="15" s="1"/>
  <c r="V5" i="15"/>
  <c r="V124" i="15" s="1"/>
  <c r="U5" i="15"/>
  <c r="U124" i="15" s="1"/>
  <c r="T5" i="15"/>
  <c r="T124" i="15" s="1"/>
  <c r="S5" i="15"/>
  <c r="S124" i="15" s="1"/>
  <c r="R5" i="15"/>
  <c r="R124" i="15" s="1"/>
  <c r="Q5" i="15"/>
  <c r="Q124" i="15" s="1"/>
  <c r="P5" i="15"/>
  <c r="P124" i="15" s="1"/>
  <c r="O5" i="15"/>
  <c r="N5" i="15"/>
  <c r="M5" i="15"/>
  <c r="L5" i="15"/>
  <c r="K5" i="15"/>
  <c r="G149" i="14"/>
  <c r="CA143" i="14"/>
  <c r="CB143" i="14" s="1"/>
  <c r="BZ142" i="14"/>
  <c r="I143" i="14"/>
  <c r="J143" i="14" s="1"/>
  <c r="K143" i="14" s="1"/>
  <c r="L143" i="14" s="1"/>
  <c r="M143" i="14" s="1"/>
  <c r="N143" i="14" s="1"/>
  <c r="F142" i="14"/>
  <c r="F138" i="14"/>
  <c r="G138" i="14" s="1"/>
  <c r="H138" i="14" s="1"/>
  <c r="F124" i="14"/>
  <c r="F125" i="14"/>
  <c r="F118" i="14"/>
  <c r="CA110" i="14"/>
  <c r="L110" i="14"/>
  <c r="K110" i="14"/>
  <c r="H110" i="14"/>
  <c r="BY114" i="14"/>
  <c r="E110" i="14"/>
  <c r="L113" i="14"/>
  <c r="K113" i="14"/>
  <c r="J113" i="14"/>
  <c r="I113" i="14"/>
  <c r="H113" i="14"/>
  <c r="G113" i="14"/>
  <c r="F113" i="14"/>
  <c r="E113" i="14"/>
  <c r="CA103" i="14"/>
  <c r="L103" i="14"/>
  <c r="K103" i="14"/>
  <c r="J103" i="14"/>
  <c r="I103" i="14"/>
  <c r="H103" i="14"/>
  <c r="G103" i="14"/>
  <c r="BY107" i="14"/>
  <c r="E103" i="14"/>
  <c r="L106" i="14"/>
  <c r="J106" i="14"/>
  <c r="CA105" i="14"/>
  <c r="CA106" i="14" s="1"/>
  <c r="E106" i="14"/>
  <c r="DH95" i="14"/>
  <c r="DG95" i="14"/>
  <c r="DF95" i="14"/>
  <c r="DE95" i="14"/>
  <c r="DD95" i="14"/>
  <c r="DC95" i="14"/>
  <c r="DB95" i="14"/>
  <c r="DA95" i="14"/>
  <c r="CZ95" i="14"/>
  <c r="CY95" i="14"/>
  <c r="CX95" i="14"/>
  <c r="CW95" i="14"/>
  <c r="CV95" i="14"/>
  <c r="CU95" i="14"/>
  <c r="CT95" i="14"/>
  <c r="CS95" i="14"/>
  <c r="CR95" i="14"/>
  <c r="CQ95" i="14"/>
  <c r="DH94" i="14"/>
  <c r="DG94" i="14"/>
  <c r="DF94" i="14"/>
  <c r="DE94" i="14"/>
  <c r="DD94" i="14"/>
  <c r="DC94" i="14"/>
  <c r="DB94" i="14"/>
  <c r="DA94" i="14"/>
  <c r="CZ94" i="14"/>
  <c r="CY94" i="14"/>
  <c r="CX94" i="14"/>
  <c r="CW94" i="14"/>
  <c r="CV94" i="14"/>
  <c r="CU94" i="14"/>
  <c r="CT94" i="14"/>
  <c r="CS94" i="14"/>
  <c r="CR94" i="14"/>
  <c r="CQ94" i="14"/>
  <c r="CP94" i="14"/>
  <c r="CO94" i="14"/>
  <c r="CN94" i="14"/>
  <c r="F93" i="14"/>
  <c r="CA88" i="14"/>
  <c r="CB88" i="14" s="1"/>
  <c r="G88" i="14"/>
  <c r="J34" i="22" s="1"/>
  <c r="BZ83" i="14"/>
  <c r="CF85" i="14"/>
  <c r="CE85" i="14"/>
  <c r="CD85" i="14"/>
  <c r="DH83" i="14"/>
  <c r="DG83" i="14"/>
  <c r="DF83" i="14"/>
  <c r="DF75" i="14" s="1"/>
  <c r="DE83" i="14"/>
  <c r="DD83" i="14"/>
  <c r="DC83" i="14"/>
  <c r="DC75" i="14" s="1"/>
  <c r="DB83" i="14"/>
  <c r="DB75" i="14" s="1"/>
  <c r="DA83" i="14"/>
  <c r="CZ83" i="14"/>
  <c r="CY83" i="14"/>
  <c r="CX83" i="14"/>
  <c r="CX75" i="14" s="1"/>
  <c r="CW83" i="14"/>
  <c r="CV83" i="14"/>
  <c r="CV75" i="14" s="1"/>
  <c r="CU83" i="14"/>
  <c r="CT83" i="14"/>
  <c r="CT75" i="14" s="1"/>
  <c r="CS83" i="14"/>
  <c r="CR83" i="14"/>
  <c r="CR75" i="14" s="1"/>
  <c r="CQ83" i="14"/>
  <c r="CP83" i="14"/>
  <c r="CP75" i="14" s="1"/>
  <c r="CO83" i="14"/>
  <c r="CN83" i="14"/>
  <c r="CM83" i="14"/>
  <c r="CL83" i="14"/>
  <c r="CL75" i="14" s="1"/>
  <c r="CF83" i="14"/>
  <c r="CF75" i="14" s="1"/>
  <c r="CE83" i="14"/>
  <c r="CD83" i="14"/>
  <c r="CD75" i="14" s="1"/>
  <c r="CC83" i="14"/>
  <c r="CB83" i="14"/>
  <c r="CA83" i="14"/>
  <c r="F83" i="14"/>
  <c r="E83" i="14"/>
  <c r="DH80" i="14"/>
  <c r="DG80" i="14"/>
  <c r="DF80" i="14"/>
  <c r="DF79" i="14" s="1"/>
  <c r="DF77" i="14" s="1"/>
  <c r="DF78" i="14" s="1"/>
  <c r="DE80" i="14"/>
  <c r="DD80" i="14"/>
  <c r="DC80" i="14"/>
  <c r="DB80" i="14"/>
  <c r="DA80" i="14"/>
  <c r="CZ80" i="14"/>
  <c r="CY80" i="14"/>
  <c r="CX80" i="14"/>
  <c r="CW80" i="14"/>
  <c r="CV80" i="14"/>
  <c r="CU80" i="14"/>
  <c r="CT80" i="14"/>
  <c r="CS80" i="14"/>
  <c r="CR80" i="14"/>
  <c r="CQ80" i="14"/>
  <c r="CP80" i="14"/>
  <c r="CO80" i="14"/>
  <c r="CN80" i="14"/>
  <c r="CM80" i="14"/>
  <c r="CL80" i="14"/>
  <c r="CK80" i="14"/>
  <c r="CJ80" i="14"/>
  <c r="CI80" i="14"/>
  <c r="CH80" i="14"/>
  <c r="CG80" i="14"/>
  <c r="CF80" i="14"/>
  <c r="CE80" i="14"/>
  <c r="CD80" i="14"/>
  <c r="CC80" i="14"/>
  <c r="CB80" i="14"/>
  <c r="CA80" i="14"/>
  <c r="BZ80" i="14"/>
  <c r="S80" i="14"/>
  <c r="O80" i="14"/>
  <c r="N80" i="14"/>
  <c r="M80" i="14"/>
  <c r="L80" i="14"/>
  <c r="K80" i="14"/>
  <c r="J80" i="14"/>
  <c r="I80" i="14"/>
  <c r="H80" i="14"/>
  <c r="G80" i="14"/>
  <c r="F80" i="14"/>
  <c r="BZ76" i="14"/>
  <c r="F76" i="14"/>
  <c r="F73" i="14"/>
  <c r="F72" i="14"/>
  <c r="F71" i="14"/>
  <c r="F70" i="14"/>
  <c r="E73" i="14"/>
  <c r="F74" i="14" s="1"/>
  <c r="DH76" i="14"/>
  <c r="DH84" i="14"/>
  <c r="DG76" i="14"/>
  <c r="DF76" i="14"/>
  <c r="DE76" i="14"/>
  <c r="DD76" i="14"/>
  <c r="DC76" i="14"/>
  <c r="DB76" i="14"/>
  <c r="DB84" i="14" s="1"/>
  <c r="DA76" i="14"/>
  <c r="CZ76" i="14"/>
  <c r="CZ66" i="14" s="1"/>
  <c r="CZ85" i="14" s="1"/>
  <c r="CY76" i="14"/>
  <c r="CX76" i="14"/>
  <c r="CW76" i="14"/>
  <c r="CV76" i="14"/>
  <c r="CU76" i="14"/>
  <c r="CT76" i="14"/>
  <c r="CS76" i="14"/>
  <c r="CR76" i="14"/>
  <c r="CQ76" i="14"/>
  <c r="CP76" i="14"/>
  <c r="CO76" i="14"/>
  <c r="CN76" i="14"/>
  <c r="CM76" i="14"/>
  <c r="CG76" i="14"/>
  <c r="CF76" i="14"/>
  <c r="CE76" i="14"/>
  <c r="CD76" i="14"/>
  <c r="CC76" i="14"/>
  <c r="CB76" i="14"/>
  <c r="CB84" i="14"/>
  <c r="CA76" i="14"/>
  <c r="DH75" i="14"/>
  <c r="DG75" i="14"/>
  <c r="DD75" i="14"/>
  <c r="DA75" i="14"/>
  <c r="CZ75" i="14"/>
  <c r="CY75" i="14"/>
  <c r="CW75" i="14"/>
  <c r="CU75" i="14"/>
  <c r="CS75" i="14"/>
  <c r="CQ75" i="14"/>
  <c r="CN75" i="14"/>
  <c r="CM75" i="14"/>
  <c r="CE75" i="14"/>
  <c r="CC75" i="14"/>
  <c r="CB75" i="14"/>
  <c r="CA75" i="14"/>
  <c r="DF73" i="14"/>
  <c r="DE73" i="14"/>
  <c r="DD73" i="14"/>
  <c r="DC73" i="14"/>
  <c r="DB73" i="14"/>
  <c r="DA73" i="14"/>
  <c r="CZ73" i="14"/>
  <c r="CY73" i="14"/>
  <c r="CX73" i="14"/>
  <c r="CW73" i="14"/>
  <c r="CV73" i="14"/>
  <c r="CU73" i="14"/>
  <c r="CT73" i="14"/>
  <c r="CS73" i="14"/>
  <c r="CR73" i="14"/>
  <c r="CR74" i="14" s="1"/>
  <c r="CQ73" i="14"/>
  <c r="CP73" i="14"/>
  <c r="CO73" i="14"/>
  <c r="CN73" i="14"/>
  <c r="CN74" i="14" s="1"/>
  <c r="CM73" i="14"/>
  <c r="CL73" i="14"/>
  <c r="CF73" i="14"/>
  <c r="CE73" i="14"/>
  <c r="CD73" i="14"/>
  <c r="CC73" i="14"/>
  <c r="CB73" i="14"/>
  <c r="CA73" i="14"/>
  <c r="CA74" i="14" s="1"/>
  <c r="DF72" i="14"/>
  <c r="DE72" i="14"/>
  <c r="DD72" i="14"/>
  <c r="DC72" i="14"/>
  <c r="DB72" i="14"/>
  <c r="DA72" i="14"/>
  <c r="CZ72" i="14"/>
  <c r="CY72" i="14"/>
  <c r="CX72" i="14"/>
  <c r="CW72" i="14"/>
  <c r="CV72" i="14"/>
  <c r="CU72" i="14"/>
  <c r="CT72" i="14"/>
  <c r="CS72" i="14"/>
  <c r="CR72" i="14"/>
  <c r="CQ72" i="14"/>
  <c r="CP72" i="14"/>
  <c r="CO72" i="14"/>
  <c r="CN72" i="14"/>
  <c r="CM72" i="14"/>
  <c r="CF72" i="14"/>
  <c r="CE72" i="14"/>
  <c r="CD72" i="14"/>
  <c r="CC72" i="14"/>
  <c r="CB72" i="14"/>
  <c r="CA72" i="14"/>
  <c r="G76" i="14"/>
  <c r="CF71" i="14"/>
  <c r="CE71" i="14"/>
  <c r="CD71" i="14"/>
  <c r="CC71" i="14"/>
  <c r="CB71" i="14"/>
  <c r="CA71" i="14"/>
  <c r="BZ71" i="14"/>
  <c r="DF70" i="14"/>
  <c r="DE70" i="14"/>
  <c r="DD70" i="14"/>
  <c r="DC70" i="14"/>
  <c r="DB70" i="14"/>
  <c r="DA70" i="14"/>
  <c r="CZ70" i="14"/>
  <c r="CY70" i="14"/>
  <c r="CX70" i="14"/>
  <c r="CW70" i="14"/>
  <c r="CV70" i="14"/>
  <c r="CU70" i="14"/>
  <c r="CT70" i="14"/>
  <c r="CS70" i="14"/>
  <c r="CR70" i="14"/>
  <c r="CQ70" i="14"/>
  <c r="CP70" i="14"/>
  <c r="CO70" i="14"/>
  <c r="CN70" i="14"/>
  <c r="CM70" i="14"/>
  <c r="CF70" i="14"/>
  <c r="CE70" i="14"/>
  <c r="CD70" i="14"/>
  <c r="CC70" i="14"/>
  <c r="CB70" i="14"/>
  <c r="CA70" i="14"/>
  <c r="BZ70" i="14"/>
  <c r="E70" i="14"/>
  <c r="CK69" i="14"/>
  <c r="BX114" i="22" s="1"/>
  <c r="CJ69" i="14"/>
  <c r="BW114" i="22" s="1"/>
  <c r="CI69" i="14"/>
  <c r="CH69" i="14"/>
  <c r="BU114" i="22" s="1"/>
  <c r="CG69" i="14"/>
  <c r="M69" i="14"/>
  <c r="P114" i="22" s="1"/>
  <c r="L69" i="14"/>
  <c r="K69" i="14"/>
  <c r="J69" i="14"/>
  <c r="M114" i="22" s="1"/>
  <c r="I69" i="14"/>
  <c r="L114" i="22"/>
  <c r="DH69" i="14"/>
  <c r="DI70" i="14" s="1"/>
  <c r="DG69" i="14"/>
  <c r="CF67" i="14"/>
  <c r="CE67" i="14"/>
  <c r="DH66" i="14"/>
  <c r="DG66" i="14"/>
  <c r="DE66" i="14"/>
  <c r="DE67" i="14" s="1"/>
  <c r="DD66" i="14"/>
  <c r="DA66" i="14"/>
  <c r="CW66" i="14"/>
  <c r="CU66" i="14"/>
  <c r="CT66" i="14"/>
  <c r="CS66" i="14"/>
  <c r="CS85" i="14" s="1"/>
  <c r="CR66" i="14"/>
  <c r="CR85" i="14" s="1"/>
  <c r="CQ66" i="14"/>
  <c r="CP66" i="14"/>
  <c r="CP85" i="14" s="1"/>
  <c r="CO66" i="14"/>
  <c r="CO85" i="14" s="1"/>
  <c r="CN66" i="14"/>
  <c r="CN85" i="14" s="1"/>
  <c r="CM66" i="14"/>
  <c r="CC66" i="14"/>
  <c r="CC85" i="14" s="1"/>
  <c r="CD86" i="14" s="1"/>
  <c r="CA66" i="14"/>
  <c r="DH65" i="14"/>
  <c r="DG65" i="14"/>
  <c r="DF65" i="14"/>
  <c r="DE65" i="14"/>
  <c r="DD65" i="14"/>
  <c r="DC65" i="14"/>
  <c r="DB65" i="14"/>
  <c r="DA65" i="14"/>
  <c r="CZ65" i="14"/>
  <c r="CY65" i="14"/>
  <c r="CX65" i="14"/>
  <c r="CW65" i="14"/>
  <c r="CV65" i="14"/>
  <c r="CU65" i="14"/>
  <c r="CT65" i="14"/>
  <c r="CS65" i="14"/>
  <c r="CR65" i="14"/>
  <c r="CQ65" i="14"/>
  <c r="CP65" i="14"/>
  <c r="CF65" i="14"/>
  <c r="CE65" i="14"/>
  <c r="CD65" i="14"/>
  <c r="DH64" i="14"/>
  <c r="DG64" i="14"/>
  <c r="DF64" i="14"/>
  <c r="DE64" i="14"/>
  <c r="DD64" i="14"/>
  <c r="DC64" i="14"/>
  <c r="DB64" i="14"/>
  <c r="DA64" i="14"/>
  <c r="CZ64" i="14"/>
  <c r="CY64" i="14"/>
  <c r="CX64" i="14"/>
  <c r="CW64" i="14"/>
  <c r="CV64" i="14"/>
  <c r="CU64" i="14"/>
  <c r="CT64" i="14"/>
  <c r="CS64" i="14"/>
  <c r="CR64" i="14"/>
  <c r="CQ64" i="14"/>
  <c r="CP64" i="14"/>
  <c r="CO64" i="14"/>
  <c r="CN64" i="14"/>
  <c r="CM64" i="14"/>
  <c r="CF64" i="14"/>
  <c r="CE64" i="14"/>
  <c r="CD64" i="14"/>
  <c r="CC64" i="14"/>
  <c r="CB64" i="14"/>
  <c r="CA64" i="14"/>
  <c r="CK63" i="14"/>
  <c r="H63" i="14" s="1"/>
  <c r="H83" i="14" s="1"/>
  <c r="CJ63" i="14"/>
  <c r="CJ83" i="14" s="1"/>
  <c r="CI63" i="14"/>
  <c r="BV32" i="22" s="1"/>
  <c r="CH63" i="14"/>
  <c r="CI76" i="14" s="1"/>
  <c r="CG63" i="14"/>
  <c r="BT32" i="22" s="1"/>
  <c r="J32" i="22" s="1"/>
  <c r="M63" i="14"/>
  <c r="P32" i="22" s="1"/>
  <c r="L63" i="14"/>
  <c r="O32" i="22" s="1"/>
  <c r="K63" i="14"/>
  <c r="N32" i="22" s="1"/>
  <c r="J63" i="14"/>
  <c r="I63" i="14"/>
  <c r="L32" i="22" s="1"/>
  <c r="CG62" i="14"/>
  <c r="CF62" i="14"/>
  <c r="CE62" i="14"/>
  <c r="CD62" i="14"/>
  <c r="CC62" i="14"/>
  <c r="CB62" i="14"/>
  <c r="CA62" i="14"/>
  <c r="CG61" i="14"/>
  <c r="CF61" i="14"/>
  <c r="CE61" i="14"/>
  <c r="CD61" i="14"/>
  <c r="CG60" i="14"/>
  <c r="CF60" i="14"/>
  <c r="CE60" i="14"/>
  <c r="CD60" i="14"/>
  <c r="CC60" i="14"/>
  <c r="CB60" i="14"/>
  <c r="CA60" i="14"/>
  <c r="G59" i="14"/>
  <c r="F59" i="14"/>
  <c r="CC50" i="14"/>
  <c r="CB50" i="14"/>
  <c r="CB55" i="14" s="1"/>
  <c r="CA50" i="14"/>
  <c r="BZ50" i="14"/>
  <c r="BY50" i="14"/>
  <c r="BZ55" i="14" s="1"/>
  <c r="F50" i="14"/>
  <c r="J58" i="14"/>
  <c r="L48" i="14"/>
  <c r="J48" i="14"/>
  <c r="CL59" i="14"/>
  <c r="CL71" i="14" s="1"/>
  <c r="CK59" i="14"/>
  <c r="CJ59" i="14"/>
  <c r="CK60" i="14" s="1"/>
  <c r="CI59" i="14"/>
  <c r="CH59" i="14"/>
  <c r="CH71" i="14"/>
  <c r="DH50" i="14"/>
  <c r="DH152" i="15" s="1"/>
  <c r="DG50" i="14"/>
  <c r="DK51" i="14" s="1"/>
  <c r="DF50" i="14"/>
  <c r="DF152" i="15" s="1"/>
  <c r="DE50" i="14"/>
  <c r="DI51" i="14" s="1"/>
  <c r="DD50" i="14"/>
  <c r="DD152" i="15" s="1"/>
  <c r="DC50" i="14"/>
  <c r="DB50" i="14"/>
  <c r="DB152" i="15" s="1"/>
  <c r="DA50" i="14"/>
  <c r="DA152" i="15" s="1"/>
  <c r="CZ50" i="14"/>
  <c r="CZ55" i="14" s="1"/>
  <c r="CY50" i="14"/>
  <c r="CX50" i="14"/>
  <c r="CX152" i="15" s="1"/>
  <c r="CW50" i="14"/>
  <c r="CW152" i="15" s="1"/>
  <c r="CV50" i="14"/>
  <c r="CV152" i="15" s="1"/>
  <c r="CU50" i="14"/>
  <c r="CU152" i="15" s="1"/>
  <c r="CT50" i="14"/>
  <c r="CT152" i="15" s="1"/>
  <c r="CS50" i="14"/>
  <c r="CS152" i="15" s="1"/>
  <c r="CR50" i="14"/>
  <c r="CR152" i="15" s="1"/>
  <c r="CQ50" i="14"/>
  <c r="CQ152" i="15" s="1"/>
  <c r="CP50" i="14"/>
  <c r="CP152" i="15" s="1"/>
  <c r="CO50" i="14"/>
  <c r="CO152" i="15" s="1"/>
  <c r="CN50" i="14"/>
  <c r="CN152" i="15" s="1"/>
  <c r="CM50" i="14"/>
  <c r="CM152" i="15" s="1"/>
  <c r="CL50" i="14"/>
  <c r="CL152" i="15" s="1"/>
  <c r="DH48" i="14"/>
  <c r="DH151" i="15" s="1"/>
  <c r="DG48" i="14"/>
  <c r="DG45" i="14" s="1"/>
  <c r="DF48" i="14"/>
  <c r="DE48" i="14"/>
  <c r="DE151" i="15" s="1"/>
  <c r="DD48" i="14"/>
  <c r="DD151" i="15" s="1"/>
  <c r="DC48" i="14"/>
  <c r="DC45" i="14" s="1"/>
  <c r="DB48" i="14"/>
  <c r="DB45" i="14" s="1"/>
  <c r="DB53" i="14" s="1"/>
  <c r="DA48" i="14"/>
  <c r="DA151" i="15" s="1"/>
  <c r="CZ48" i="14"/>
  <c r="CY48" i="14"/>
  <c r="CY151" i="15" s="1"/>
  <c r="CX48" i="14"/>
  <c r="CX45" i="14" s="1"/>
  <c r="CX53" i="14" s="1"/>
  <c r="CW48" i="14"/>
  <c r="CW151" i="15" s="1"/>
  <c r="CV48" i="14"/>
  <c r="CV151" i="15" s="1"/>
  <c r="CU48" i="14"/>
  <c r="CT48" i="14"/>
  <c r="CS48" i="14"/>
  <c r="CR48" i="14"/>
  <c r="CQ48" i="14"/>
  <c r="CP48" i="14"/>
  <c r="CP151" i="15" s="1"/>
  <c r="CO48" i="14"/>
  <c r="CO151" i="15" s="1"/>
  <c r="CN48" i="14"/>
  <c r="CN151" i="15" s="1"/>
  <c r="CM48" i="14"/>
  <c r="CM151" i="15" s="1"/>
  <c r="CL48" i="14"/>
  <c r="CL151" i="15" s="1"/>
  <c r="CK48" i="14"/>
  <c r="CH48" i="14"/>
  <c r="CF50" i="14"/>
  <c r="CE50" i="14"/>
  <c r="CE51" i="14" s="1"/>
  <c r="CD50" i="14"/>
  <c r="CG48" i="14"/>
  <c r="CO42" i="14"/>
  <c r="CP42" i="14" s="1"/>
  <c r="CQ42" i="14" s="1"/>
  <c r="CR42" i="14" s="1"/>
  <c r="CS42" i="14" s="1"/>
  <c r="CT42" i="14" s="1"/>
  <c r="CU42" i="14" s="1"/>
  <c r="CV42" i="14" s="1"/>
  <c r="CW42" i="14" s="1"/>
  <c r="CX42" i="14" s="1"/>
  <c r="CY42" i="14" s="1"/>
  <c r="CZ42" i="14" s="1"/>
  <c r="DA42" i="14" s="1"/>
  <c r="CA41" i="14"/>
  <c r="CB41" i="14" s="1"/>
  <c r="DC42" i="14"/>
  <c r="DD42" i="14" s="1"/>
  <c r="DE42" i="14" s="1"/>
  <c r="DF42" i="14" s="1"/>
  <c r="DG42" i="14" s="1"/>
  <c r="DH42" i="14" s="1"/>
  <c r="DI42" i="14" s="1"/>
  <c r="DJ42" i="14" s="1"/>
  <c r="DK42" i="14" s="1"/>
  <c r="DL42" i="14" s="1"/>
  <c r="DM42" i="14" s="1"/>
  <c r="DN42" i="14" s="1"/>
  <c r="DO42" i="14" s="1"/>
  <c r="DP42" i="14" s="1"/>
  <c r="BZ36" i="14"/>
  <c r="CF38" i="14"/>
  <c r="CE38" i="14"/>
  <c r="CD38" i="14"/>
  <c r="DH36" i="14"/>
  <c r="DG36" i="14"/>
  <c r="DF36" i="14"/>
  <c r="DE36" i="14"/>
  <c r="DD36" i="14"/>
  <c r="DC36" i="14"/>
  <c r="DB36" i="14"/>
  <c r="DA36" i="14"/>
  <c r="CZ36" i="14"/>
  <c r="CY36" i="14"/>
  <c r="CX36" i="14"/>
  <c r="CW36" i="14"/>
  <c r="CV36" i="14"/>
  <c r="CU36" i="14"/>
  <c r="CT36" i="14"/>
  <c r="CS36" i="14"/>
  <c r="CR36" i="14"/>
  <c r="CQ36" i="14"/>
  <c r="CP36" i="14"/>
  <c r="CO36" i="14"/>
  <c r="CN36" i="14"/>
  <c r="CM36" i="14"/>
  <c r="CL36" i="14"/>
  <c r="CF36" i="14"/>
  <c r="CE36" i="14"/>
  <c r="CD36" i="14"/>
  <c r="CC36" i="14"/>
  <c r="CB36" i="14"/>
  <c r="CA36" i="14"/>
  <c r="F36" i="14"/>
  <c r="DH33" i="14"/>
  <c r="DG33" i="14"/>
  <c r="DF33" i="14"/>
  <c r="DE33" i="14"/>
  <c r="DD33" i="14"/>
  <c r="DC33" i="14"/>
  <c r="DB33" i="14"/>
  <c r="DA33" i="14"/>
  <c r="CZ33" i="14"/>
  <c r="CY33" i="14"/>
  <c r="CX33" i="14"/>
  <c r="CW33" i="14"/>
  <c r="CV33" i="14"/>
  <c r="CU33" i="14"/>
  <c r="CT33" i="14"/>
  <c r="CS33" i="14"/>
  <c r="CR33" i="14"/>
  <c r="CQ33" i="14"/>
  <c r="CP33" i="14"/>
  <c r="CO33" i="14"/>
  <c r="CN33" i="14"/>
  <c r="CM33" i="14"/>
  <c r="CL33" i="14"/>
  <c r="CK33" i="14"/>
  <c r="CJ33" i="14"/>
  <c r="CI33" i="14"/>
  <c r="CH33" i="14"/>
  <c r="CG33" i="14"/>
  <c r="CF33" i="14"/>
  <c r="CE33" i="14"/>
  <c r="CD33" i="14"/>
  <c r="CC33" i="14"/>
  <c r="CB33" i="14"/>
  <c r="CA33" i="14"/>
  <c r="BZ33" i="14"/>
  <c r="S33" i="14"/>
  <c r="O33" i="14"/>
  <c r="O99" i="14" s="1"/>
  <c r="O150" i="14" s="1"/>
  <c r="N33" i="14"/>
  <c r="N99" i="14" s="1"/>
  <c r="M33" i="14"/>
  <c r="M99" i="14" s="1"/>
  <c r="L33" i="14"/>
  <c r="L99" i="14" s="1"/>
  <c r="L150" i="14" s="1"/>
  <c r="K33" i="14"/>
  <c r="K99" i="14" s="1"/>
  <c r="K150" i="14" s="1"/>
  <c r="J33" i="14"/>
  <c r="J99" i="14" s="1"/>
  <c r="J150" i="14" s="1"/>
  <c r="I33" i="14"/>
  <c r="I99" i="14" s="1"/>
  <c r="H33" i="14"/>
  <c r="H99" i="14" s="1"/>
  <c r="G33" i="14"/>
  <c r="G99" i="14" s="1"/>
  <c r="F33" i="14"/>
  <c r="F99" i="14" s="1"/>
  <c r="E33" i="14"/>
  <c r="BZ29" i="14"/>
  <c r="BZ27" i="14"/>
  <c r="BZ28" i="14" s="1"/>
  <c r="BZ26" i="14"/>
  <c r="E29" i="14"/>
  <c r="E26" i="14"/>
  <c r="E25" i="14"/>
  <c r="E24" i="14"/>
  <c r="DH29" i="14"/>
  <c r="DG29" i="14"/>
  <c r="DF29" i="14"/>
  <c r="DF37" i="14" s="1"/>
  <c r="DE29" i="14"/>
  <c r="DD29" i="14"/>
  <c r="DC29" i="14"/>
  <c r="DC17" i="14" s="1"/>
  <c r="DB29" i="14"/>
  <c r="DA29" i="14"/>
  <c r="CZ29" i="14"/>
  <c r="CY29" i="14"/>
  <c r="CY17" i="14" s="1"/>
  <c r="CX29" i="14"/>
  <c r="CX37" i="14" s="1"/>
  <c r="CW29" i="14"/>
  <c r="CV29" i="14"/>
  <c r="CU29" i="14"/>
  <c r="CU17" i="14" s="1"/>
  <c r="CT29" i="14"/>
  <c r="CS29" i="14"/>
  <c r="CR29" i="14"/>
  <c r="CQ29" i="14"/>
  <c r="CP29" i="14"/>
  <c r="CP37" i="14" s="1"/>
  <c r="CO29" i="14"/>
  <c r="CN29" i="14"/>
  <c r="CM29" i="14"/>
  <c r="CG29" i="14"/>
  <c r="CF29" i="14"/>
  <c r="CE29" i="14"/>
  <c r="CD29" i="14"/>
  <c r="CD37" i="14" s="1"/>
  <c r="CC29" i="14"/>
  <c r="CC17" i="14" s="1"/>
  <c r="CB29" i="14"/>
  <c r="CA29" i="14"/>
  <c r="DF27" i="14"/>
  <c r="DE27" i="14"/>
  <c r="DD27" i="14"/>
  <c r="DC27" i="14"/>
  <c r="DB27" i="14"/>
  <c r="DA27" i="14"/>
  <c r="CZ27" i="14"/>
  <c r="CY27" i="14"/>
  <c r="CX27" i="14"/>
  <c r="CW27" i="14"/>
  <c r="CV27" i="14"/>
  <c r="CU27" i="14"/>
  <c r="CT27" i="14"/>
  <c r="CS27" i="14"/>
  <c r="CS28" i="14" s="1"/>
  <c r="CR27" i="14"/>
  <c r="CQ27" i="14"/>
  <c r="CP27" i="14"/>
  <c r="CO27" i="14"/>
  <c r="CN27" i="14"/>
  <c r="CM27" i="14"/>
  <c r="CL27" i="14"/>
  <c r="CF27" i="14"/>
  <c r="CE27" i="14"/>
  <c r="CE28" i="14" s="1"/>
  <c r="CD27" i="14"/>
  <c r="CC27" i="14"/>
  <c r="DF26" i="14"/>
  <c r="DE26" i="14"/>
  <c r="DD26" i="14"/>
  <c r="DC26" i="14"/>
  <c r="DB26" i="14"/>
  <c r="DA26" i="14"/>
  <c r="CZ26" i="14"/>
  <c r="CY26" i="14"/>
  <c r="CX26" i="14"/>
  <c r="CW26" i="14"/>
  <c r="CV26" i="14"/>
  <c r="CU26" i="14"/>
  <c r="CT26" i="14"/>
  <c r="CS26" i="14"/>
  <c r="CR26" i="14"/>
  <c r="CQ26" i="14"/>
  <c r="CP26" i="14"/>
  <c r="CO26" i="14"/>
  <c r="CN26" i="14"/>
  <c r="CM26" i="14"/>
  <c r="CF26" i="14"/>
  <c r="CE26" i="14"/>
  <c r="CD26" i="14"/>
  <c r="G29" i="14"/>
  <c r="F27" i="14"/>
  <c r="F26" i="14"/>
  <c r="DF25" i="14"/>
  <c r="DE25" i="14"/>
  <c r="DD25" i="14"/>
  <c r="DC25" i="14"/>
  <c r="DB25" i="14"/>
  <c r="DA25" i="14"/>
  <c r="CZ25" i="14"/>
  <c r="CY25" i="14"/>
  <c r="CX25" i="14"/>
  <c r="CW25" i="14"/>
  <c r="CU25" i="14"/>
  <c r="CT25" i="14"/>
  <c r="CS25" i="14"/>
  <c r="CR25" i="14"/>
  <c r="CF25" i="14"/>
  <c r="CE25" i="14"/>
  <c r="CD25" i="14"/>
  <c r="F25" i="14"/>
  <c r="DF24" i="14"/>
  <c r="DE24" i="14"/>
  <c r="DD24" i="14"/>
  <c r="DC24" i="14"/>
  <c r="DB24" i="14"/>
  <c r="DA24" i="14"/>
  <c r="CZ24" i="14"/>
  <c r="CY24" i="14"/>
  <c r="CX24" i="14"/>
  <c r="CW24" i="14"/>
  <c r="CV24" i="14"/>
  <c r="CU24" i="14"/>
  <c r="CT24" i="14"/>
  <c r="CS24" i="14"/>
  <c r="CR24" i="14"/>
  <c r="CQ24" i="14"/>
  <c r="CP24" i="14"/>
  <c r="CO24" i="14"/>
  <c r="CN24" i="14"/>
  <c r="CM24" i="14"/>
  <c r="CF24" i="14"/>
  <c r="CE24" i="14"/>
  <c r="CD24" i="14"/>
  <c r="BZ24" i="14"/>
  <c r="F24" i="14"/>
  <c r="CK23" i="14"/>
  <c r="CJ23" i="14"/>
  <c r="CI23" i="14"/>
  <c r="CH23" i="14"/>
  <c r="CG23" i="14"/>
  <c r="CB23" i="14"/>
  <c r="CB27" i="14" s="1"/>
  <c r="CA23" i="14"/>
  <c r="M23" i="14"/>
  <c r="L23" i="14"/>
  <c r="K23" i="14"/>
  <c r="J23" i="14"/>
  <c r="I23" i="14"/>
  <c r="L113" i="22" s="1"/>
  <c r="H23" i="14"/>
  <c r="DH23" i="14"/>
  <c r="DI26" i="14" s="1"/>
  <c r="DG23" i="14"/>
  <c r="DG24" i="14" s="1"/>
  <c r="CF21" i="14"/>
  <c r="CE21" i="14"/>
  <c r="CA17" i="14"/>
  <c r="CA38" i="14" s="1"/>
  <c r="DG17" i="14"/>
  <c r="DF17" i="14"/>
  <c r="DE17" i="14"/>
  <c r="DB17" i="14"/>
  <c r="DA17" i="14"/>
  <c r="CX17" i="14"/>
  <c r="CW17" i="14"/>
  <c r="CW38" i="14" s="1"/>
  <c r="CT17" i="14"/>
  <c r="CS17" i="14"/>
  <c r="CR17" i="14"/>
  <c r="CR38" i="14" s="1"/>
  <c r="CQ17" i="14"/>
  <c r="CP17" i="14"/>
  <c r="CP38" i="14" s="1"/>
  <c r="CO17" i="14"/>
  <c r="CO38" i="14" s="1"/>
  <c r="CN17" i="14"/>
  <c r="CN38" i="14" s="1"/>
  <c r="CM17" i="14"/>
  <c r="DH16" i="14"/>
  <c r="DG16" i="14"/>
  <c r="DF16" i="14"/>
  <c r="DE16" i="14"/>
  <c r="DD16" i="14"/>
  <c r="DC16" i="14"/>
  <c r="DB16" i="14"/>
  <c r="DA16" i="14"/>
  <c r="CZ16" i="14"/>
  <c r="CY16" i="14"/>
  <c r="CX16" i="14"/>
  <c r="CW16" i="14"/>
  <c r="CV16" i="14"/>
  <c r="CU16" i="14"/>
  <c r="CT16" i="14"/>
  <c r="CS16" i="14"/>
  <c r="CR16" i="14"/>
  <c r="CQ16" i="14"/>
  <c r="CP16" i="14"/>
  <c r="DH15" i="14"/>
  <c r="DG15" i="14"/>
  <c r="DF15" i="14"/>
  <c r="DE15" i="14"/>
  <c r="DD15" i="14"/>
  <c r="DC15" i="14"/>
  <c r="DB15" i="14"/>
  <c r="DA15" i="14"/>
  <c r="CZ15" i="14"/>
  <c r="CY15" i="14"/>
  <c r="CX15" i="14"/>
  <c r="CW15" i="14"/>
  <c r="CV15" i="14"/>
  <c r="CU15" i="14"/>
  <c r="CT15" i="14"/>
  <c r="CS15" i="14"/>
  <c r="CR15" i="14"/>
  <c r="CQ15" i="14"/>
  <c r="CP15" i="14"/>
  <c r="CO15" i="14"/>
  <c r="CN15" i="14"/>
  <c r="CM15" i="14"/>
  <c r="CF16" i="14"/>
  <c r="CE16" i="14"/>
  <c r="CD16" i="14"/>
  <c r="CC16" i="14"/>
  <c r="CB16" i="14"/>
  <c r="CA16" i="14"/>
  <c r="CF15" i="14"/>
  <c r="CE15" i="14"/>
  <c r="CD15" i="14"/>
  <c r="CC15" i="14"/>
  <c r="CB15" i="14"/>
  <c r="CA15" i="14"/>
  <c r="CK14" i="14"/>
  <c r="CL29" i="14" s="1"/>
  <c r="CL37" i="14" s="1"/>
  <c r="CJ14" i="14"/>
  <c r="CJ115" i="15" s="1"/>
  <c r="CI14" i="14"/>
  <c r="CJ29" i="14" s="1"/>
  <c r="CH14" i="14"/>
  <c r="BU29" i="22" s="1"/>
  <c r="CG14" i="14"/>
  <c r="CG15" i="14" s="1"/>
  <c r="M14" i="14"/>
  <c r="P29" i="22" s="1"/>
  <c r="L14" i="14"/>
  <c r="K14" i="14"/>
  <c r="N29" i="22" s="1"/>
  <c r="J14" i="14"/>
  <c r="I14" i="14"/>
  <c r="L29" i="22" s="1"/>
  <c r="E14" i="14"/>
  <c r="F29" i="14" s="1"/>
  <c r="J13" i="14"/>
  <c r="DH12" i="14"/>
  <c r="DH62" i="14"/>
  <c r="DG12" i="14"/>
  <c r="DG62" i="14" s="1"/>
  <c r="DF12" i="14"/>
  <c r="DF62" i="14"/>
  <c r="DE12" i="14"/>
  <c r="DE62" i="14" s="1"/>
  <c r="DD12" i="14"/>
  <c r="DD62" i="14"/>
  <c r="DC12" i="14"/>
  <c r="DC62" i="14" s="1"/>
  <c r="DB12" i="14"/>
  <c r="DB62" i="14"/>
  <c r="DA12" i="14"/>
  <c r="DA62" i="14" s="1"/>
  <c r="CZ12" i="14"/>
  <c r="CZ62" i="14"/>
  <c r="CY12" i="14"/>
  <c r="CY62" i="14" s="1"/>
  <c r="CX12" i="14"/>
  <c r="CX62" i="14"/>
  <c r="CU12" i="14"/>
  <c r="CU62" i="14" s="1"/>
  <c r="CT12" i="14"/>
  <c r="CT62" i="14" s="1"/>
  <c r="CS12" i="14"/>
  <c r="CS62" i="14" s="1"/>
  <c r="CG12" i="14"/>
  <c r="CF12" i="14"/>
  <c r="CE12" i="14"/>
  <c r="CB12" i="14"/>
  <c r="CA12" i="14"/>
  <c r="BZ12" i="14"/>
  <c r="F12" i="14"/>
  <c r="E12" i="14"/>
  <c r="CF11" i="14"/>
  <c r="CE11" i="14"/>
  <c r="DH10" i="14"/>
  <c r="DG10" i="14"/>
  <c r="DF10" i="14"/>
  <c r="DE10" i="14"/>
  <c r="DD10" i="14"/>
  <c r="DC10" i="14"/>
  <c r="DB10" i="14"/>
  <c r="DA10" i="14"/>
  <c r="CZ10" i="14"/>
  <c r="CY10" i="14"/>
  <c r="CX10" i="14"/>
  <c r="CU10" i="14"/>
  <c r="CT10" i="14"/>
  <c r="CS10" i="14"/>
  <c r="CG10" i="14"/>
  <c r="CF10" i="14"/>
  <c r="CE10" i="14"/>
  <c r="CV112" i="22"/>
  <c r="CV9" i="14"/>
  <c r="CZ11" i="14" s="1"/>
  <c r="CQ9" i="14"/>
  <c r="CU11" i="14" s="1"/>
  <c r="CP9" i="14"/>
  <c r="CO9" i="14"/>
  <c r="CB112" i="22" s="1"/>
  <c r="CN9" i="14"/>
  <c r="CA112" i="22" s="1"/>
  <c r="CM9" i="14"/>
  <c r="CM11" i="14" s="1"/>
  <c r="CN12" i="14"/>
  <c r="CN62" i="14" s="1"/>
  <c r="CL9" i="14"/>
  <c r="CK9" i="14"/>
  <c r="BX112" i="22"/>
  <c r="CJ9" i="14"/>
  <c r="BW112" i="22" s="1"/>
  <c r="CI9" i="14"/>
  <c r="BV112" i="22" s="1"/>
  <c r="CH9" i="14"/>
  <c r="CC9" i="14"/>
  <c r="BP112" i="22" s="1"/>
  <c r="M9" i="14"/>
  <c r="L9" i="14"/>
  <c r="O112" i="22"/>
  <c r="K9" i="14"/>
  <c r="J9" i="14"/>
  <c r="M112" i="22" s="1"/>
  <c r="H9" i="14"/>
  <c r="K112" i="22" s="1"/>
  <c r="G9" i="14"/>
  <c r="J112" i="22" s="1"/>
  <c r="I7" i="14"/>
  <c r="CO7" i="14"/>
  <c r="CN7" i="14"/>
  <c r="CM7" i="14"/>
  <c r="CL7" i="14"/>
  <c r="BY7" i="14"/>
  <c r="BY6" i="14"/>
  <c r="DM5" i="14"/>
  <c r="DM58" i="14" s="1"/>
  <c r="DH5" i="14"/>
  <c r="DH58" i="14" s="1"/>
  <c r="DG5" i="14"/>
  <c r="DG58" i="14" s="1"/>
  <c r="DF5" i="14"/>
  <c r="DF58" i="14" s="1"/>
  <c r="DE5" i="14"/>
  <c r="DE58" i="14" s="1"/>
  <c r="DD5" i="14"/>
  <c r="DD58" i="14" s="1"/>
  <c r="DC5" i="14"/>
  <c r="DC58" i="14" s="1"/>
  <c r="DB5" i="14"/>
  <c r="DB58" i="14" s="1"/>
  <c r="DA5" i="14"/>
  <c r="DA58" i="14" s="1"/>
  <c r="CZ5" i="14"/>
  <c r="CZ58" i="14" s="1"/>
  <c r="CY5" i="14"/>
  <c r="CY58" i="14" s="1"/>
  <c r="CX5" i="14"/>
  <c r="CX58" i="14" s="1"/>
  <c r="CW5" i="14"/>
  <c r="CW58" i="14" s="1"/>
  <c r="CV5" i="14"/>
  <c r="CV58" i="14" s="1"/>
  <c r="CU5" i="14"/>
  <c r="CU58" i="14" s="1"/>
  <c r="CT5" i="14"/>
  <c r="CT58" i="14" s="1"/>
  <c r="CS5" i="14"/>
  <c r="CS58" i="14" s="1"/>
  <c r="CR5" i="14"/>
  <c r="CR58" i="14" s="1"/>
  <c r="CQ5" i="14"/>
  <c r="CQ58" i="14" s="1"/>
  <c r="CP5" i="14"/>
  <c r="CP58" i="14" s="1"/>
  <c r="CO5" i="14"/>
  <c r="CO58" i="14" s="1"/>
  <c r="CN5" i="14"/>
  <c r="CN58" i="14" s="1"/>
  <c r="CM5" i="14"/>
  <c r="CM58" i="14" s="1"/>
  <c r="CL5" i="14"/>
  <c r="CL58" i="14" s="1"/>
  <c r="CK5" i="14"/>
  <c r="CK58" i="14" s="1"/>
  <c r="CJ5" i="14"/>
  <c r="CJ58" i="14" s="1"/>
  <c r="CI5" i="14"/>
  <c r="CI58" i="14" s="1"/>
  <c r="CH5" i="14"/>
  <c r="CH58" i="14" s="1"/>
  <c r="CG5" i="14"/>
  <c r="CG58" i="14" s="1"/>
  <c r="CF5" i="14"/>
  <c r="CF58" i="14" s="1"/>
  <c r="CE5" i="14"/>
  <c r="CE58" i="14" s="1"/>
  <c r="CD5" i="14"/>
  <c r="CD58" i="14" s="1"/>
  <c r="CC5" i="14"/>
  <c r="CC58" i="14" s="1"/>
  <c r="CB5" i="14"/>
  <c r="CA5" i="14"/>
  <c r="BZ5" i="14"/>
  <c r="BY5" i="14"/>
  <c r="S5" i="14"/>
  <c r="S58" i="14" s="1"/>
  <c r="R5" i="14"/>
  <c r="Q5" i="14"/>
  <c r="P5" i="14"/>
  <c r="O5" i="14"/>
  <c r="O58" i="14" s="1"/>
  <c r="N5" i="14"/>
  <c r="M5" i="14"/>
  <c r="L5" i="14"/>
  <c r="L58" i="14" s="1"/>
  <c r="K5" i="14"/>
  <c r="I5" i="14"/>
  <c r="H5" i="14"/>
  <c r="H58" i="14" s="1"/>
  <c r="G5" i="14"/>
  <c r="F5" i="14"/>
  <c r="E5" i="14"/>
  <c r="D5" i="14"/>
  <c r="CO367" i="13"/>
  <c r="CN367" i="13"/>
  <c r="CM367" i="13"/>
  <c r="CL367" i="13"/>
  <c r="CG355" i="13"/>
  <c r="CG354" i="13"/>
  <c r="CG353" i="13"/>
  <c r="CS355" i="13"/>
  <c r="R355" i="13" s="1"/>
  <c r="CR355" i="13"/>
  <c r="CQ355" i="13"/>
  <c r="CP355" i="13"/>
  <c r="CO355" i="13"/>
  <c r="Q355" i="13" s="1"/>
  <c r="CN355" i="13"/>
  <c r="CM355" i="13"/>
  <c r="CL355" i="13"/>
  <c r="CK355" i="13"/>
  <c r="CJ355" i="13"/>
  <c r="CI355" i="13"/>
  <c r="CH355" i="13"/>
  <c r="CS354" i="13"/>
  <c r="R354" i="13" s="1"/>
  <c r="CR354" i="13"/>
  <c r="CQ354" i="13"/>
  <c r="CP354" i="13"/>
  <c r="CO354" i="13"/>
  <c r="Q354" i="13" s="1"/>
  <c r="CN354" i="13"/>
  <c r="CM354" i="13"/>
  <c r="CL354" i="13"/>
  <c r="CK354" i="13"/>
  <c r="CI354" i="13"/>
  <c r="CH354" i="13"/>
  <c r="CS353" i="13"/>
  <c r="CR353" i="13"/>
  <c r="CQ353" i="13"/>
  <c r="CQ356" i="13" s="1"/>
  <c r="CP353" i="13"/>
  <c r="CP356" i="13" s="1"/>
  <c r="CO353" i="13"/>
  <c r="CO356" i="13" s="1"/>
  <c r="CN353" i="13"/>
  <c r="CN356" i="13" s="1"/>
  <c r="CM353" i="13"/>
  <c r="CM356" i="13" s="1"/>
  <c r="CL353" i="13"/>
  <c r="CL356" i="13" s="1"/>
  <c r="CK353" i="13"/>
  <c r="CK356" i="13" s="1"/>
  <c r="CJ353" i="13"/>
  <c r="CI353" i="13"/>
  <c r="CI356" i="13" s="1"/>
  <c r="CH353" i="13"/>
  <c r="CH356" i="13" s="1"/>
  <c r="CQ350" i="13"/>
  <c r="CQ349" i="13" s="1"/>
  <c r="CM349" i="13"/>
  <c r="CM344" i="13"/>
  <c r="CN344" i="13" s="1"/>
  <c r="CO344" i="13" s="1"/>
  <c r="CR344" i="13"/>
  <c r="CS344" i="13"/>
  <c r="R346" i="13"/>
  <c r="CL338" i="13"/>
  <c r="CM340" i="13"/>
  <c r="CM339" i="13"/>
  <c r="CR335" i="13"/>
  <c r="CS335" i="13" s="1"/>
  <c r="CP334" i="13"/>
  <c r="CP336" i="13" s="1"/>
  <c r="CO334" i="13"/>
  <c r="CP325" i="13"/>
  <c r="CQ325" i="13" s="1"/>
  <c r="CR325" i="13" s="1"/>
  <c r="CS325" i="13" s="1"/>
  <c r="CP324" i="13"/>
  <c r="CQ324" i="13" s="1"/>
  <c r="CR324" i="13" s="1"/>
  <c r="CS324" i="13" s="1"/>
  <c r="CP322" i="13"/>
  <c r="CQ322" i="13" s="1"/>
  <c r="CP321" i="13"/>
  <c r="CQ321" i="13"/>
  <c r="CP320" i="13"/>
  <c r="CM319" i="13"/>
  <c r="CL319" i="13"/>
  <c r="R316" i="13"/>
  <c r="R313" i="13"/>
  <c r="CO316" i="13"/>
  <c r="Q316" i="13" s="1"/>
  <c r="CO313" i="13"/>
  <c r="Q313" i="13" s="1"/>
  <c r="CN310" i="13"/>
  <c r="CN326" i="13" s="1"/>
  <c r="CM310" i="13"/>
  <c r="CL310" i="13"/>
  <c r="CL326" i="13" s="1"/>
  <c r="CN306" i="13"/>
  <c r="CS304" i="13"/>
  <c r="CS303" i="13"/>
  <c r="CP304" i="13"/>
  <c r="CP303" i="13"/>
  <c r="CP302" i="13"/>
  <c r="CL304" i="13"/>
  <c r="CL303" i="13"/>
  <c r="CL302" i="13"/>
  <c r="CP297" i="13"/>
  <c r="DH297" i="13"/>
  <c r="DG297" i="13"/>
  <c r="DG367" i="13" s="1"/>
  <c r="DF297" i="13"/>
  <c r="DE297" i="13"/>
  <c r="DE298" i="13" s="1"/>
  <c r="DD297" i="13"/>
  <c r="DC297" i="13"/>
  <c r="DC367" i="13" s="1"/>
  <c r="DB297" i="13"/>
  <c r="DA297" i="13"/>
  <c r="CZ297" i="13"/>
  <c r="CY297" i="13"/>
  <c r="CY367" i="13" s="1"/>
  <c r="CX297" i="13"/>
  <c r="CW297" i="13"/>
  <c r="S297" i="13" s="1"/>
  <c r="CV297" i="13"/>
  <c r="CV367" i="13" s="1"/>
  <c r="CU297" i="13"/>
  <c r="CU367" i="13" s="1"/>
  <c r="CT297" i="13"/>
  <c r="CS297" i="13"/>
  <c r="CS299" i="13" s="1"/>
  <c r="CR297" i="13"/>
  <c r="CQ297" i="13"/>
  <c r="Q297" i="13"/>
  <c r="CM290" i="13"/>
  <c r="CN290" i="13" s="1"/>
  <c r="CO290" i="13" s="1"/>
  <c r="CP290" i="13" s="1"/>
  <c r="CP283" i="13"/>
  <c r="CO283" i="13"/>
  <c r="CN283" i="13"/>
  <c r="CM283" i="13"/>
  <c r="CL283" i="13"/>
  <c r="CK283" i="13"/>
  <c r="CJ283" i="13"/>
  <c r="CI283" i="13"/>
  <c r="CH283" i="13"/>
  <c r="CG283" i="13"/>
  <c r="CF283" i="13"/>
  <c r="CE283" i="13"/>
  <c r="CD283" i="13"/>
  <c r="CC283" i="13"/>
  <c r="CB283" i="13"/>
  <c r="CA283" i="13"/>
  <c r="BZ283" i="13"/>
  <c r="BY283" i="13"/>
  <c r="BX283" i="13"/>
  <c r="BW283" i="13"/>
  <c r="BV283" i="13"/>
  <c r="BU283" i="13"/>
  <c r="BT283" i="13"/>
  <c r="BS283" i="13"/>
  <c r="BR283" i="13"/>
  <c r="CP279" i="13"/>
  <c r="CB261" i="13"/>
  <c r="CC261" i="13" s="1"/>
  <c r="CD261" i="13" s="1"/>
  <c r="BS261" i="13"/>
  <c r="BT261" i="13" s="1"/>
  <c r="BU261" i="13" s="1"/>
  <c r="BV261" i="13" s="1"/>
  <c r="BW261" i="13" s="1"/>
  <c r="BX261" i="13" s="1"/>
  <c r="BR258" i="13"/>
  <c r="CP254" i="13"/>
  <c r="CP239" i="13"/>
  <c r="CN229" i="13"/>
  <c r="CO229" i="13" s="1"/>
  <c r="CP229" i="13" s="1"/>
  <c r="CB219" i="13"/>
  <c r="BO28" i="22" s="1"/>
  <c r="BS219" i="13"/>
  <c r="BT219" i="13" s="1"/>
  <c r="BU219" i="13" s="1"/>
  <c r="BV219" i="13" s="1"/>
  <c r="BW219" i="13" s="1"/>
  <c r="BX219" i="13" s="1"/>
  <c r="BS216" i="13"/>
  <c r="CP215" i="13"/>
  <c r="CP257" i="13" s="1"/>
  <c r="CO215" i="13"/>
  <c r="Q215" i="13" s="1"/>
  <c r="Q257" i="13" s="1"/>
  <c r="CN215" i="13"/>
  <c r="CN257" i="13" s="1"/>
  <c r="CM215" i="13"/>
  <c r="CM257" i="13" s="1"/>
  <c r="CL215" i="13"/>
  <c r="CL257" i="13" s="1"/>
  <c r="CK215" i="13"/>
  <c r="CK257" i="13" s="1"/>
  <c r="CL210" i="13"/>
  <c r="CM210" i="13" s="1"/>
  <c r="CN210" i="13" s="1"/>
  <c r="CO210" i="13" s="1"/>
  <c r="CP210" i="13" s="1"/>
  <c r="BX209" i="13"/>
  <c r="BW209" i="13" s="1"/>
  <c r="BV209" i="13" s="1"/>
  <c r="BU209" i="13" s="1"/>
  <c r="BT209" i="13" s="1"/>
  <c r="BS209" i="13" s="1"/>
  <c r="BR209" i="13" s="1"/>
  <c r="CC208" i="13"/>
  <c r="CC211" i="13" s="1"/>
  <c r="CB208" i="13"/>
  <c r="CB211" i="13" s="1"/>
  <c r="CA208" i="13"/>
  <c r="CA211" i="13" s="1"/>
  <c r="BZ208" i="13"/>
  <c r="BZ211" i="13" s="1"/>
  <c r="M130" i="13"/>
  <c r="BU115" i="13"/>
  <c r="BT115" i="13"/>
  <c r="BS115" i="13"/>
  <c r="BR115" i="13"/>
  <c r="U115" i="13"/>
  <c r="DD115" i="13" s="1"/>
  <c r="T115" i="13"/>
  <c r="CY115" i="13" s="1"/>
  <c r="S115" i="13"/>
  <c r="CU115" i="13" s="1"/>
  <c r="R115" i="13"/>
  <c r="Q115" i="13"/>
  <c r="CN115" i="13" s="1"/>
  <c r="P115" i="13"/>
  <c r="CI115" i="13" s="1"/>
  <c r="O115" i="13"/>
  <c r="CE115" i="13" s="1"/>
  <c r="M115" i="13"/>
  <c r="BU112" i="13"/>
  <c r="BT112" i="13"/>
  <c r="BS112" i="13"/>
  <c r="BR112" i="13"/>
  <c r="V112" i="13"/>
  <c r="DF112" i="13" s="1"/>
  <c r="U112" i="13"/>
  <c r="DD112" i="13" s="1"/>
  <c r="T112" i="13"/>
  <c r="S112" i="13"/>
  <c r="R112" i="13"/>
  <c r="Q112" i="13"/>
  <c r="CN112" i="13" s="1"/>
  <c r="P112" i="13"/>
  <c r="O112" i="13"/>
  <c r="N112" i="13"/>
  <c r="CC112" i="13" s="1"/>
  <c r="M112" i="13"/>
  <c r="BX112" i="13" s="1"/>
  <c r="DH109" i="13"/>
  <c r="DG109" i="13"/>
  <c r="DF109" i="13"/>
  <c r="DE109" i="13"/>
  <c r="DD109" i="13"/>
  <c r="DC109" i="13"/>
  <c r="DB109" i="13"/>
  <c r="DA109" i="13"/>
  <c r="CZ109" i="13"/>
  <c r="CY109" i="13"/>
  <c r="CX109" i="13"/>
  <c r="CX110" i="13" s="1"/>
  <c r="CW109" i="13"/>
  <c r="CV109" i="13"/>
  <c r="CU109" i="13"/>
  <c r="CT109" i="13"/>
  <c r="CS109" i="13"/>
  <c r="CR109" i="13"/>
  <c r="CQ109" i="13"/>
  <c r="CP109" i="13"/>
  <c r="CP110" i="13" s="1"/>
  <c r="CO109" i="13"/>
  <c r="CN109" i="13"/>
  <c r="CM109" i="13"/>
  <c r="CN106" i="13"/>
  <c r="CO106" i="13" s="1"/>
  <c r="CP106" i="13" s="1"/>
  <c r="CQ106" i="13" s="1"/>
  <c r="CL106" i="13"/>
  <c r="CL101" i="13"/>
  <c r="BZ106" i="13"/>
  <c r="CA106" i="13" s="1"/>
  <c r="CB106" i="13" s="1"/>
  <c r="CC106" i="13" s="1"/>
  <c r="CD106" i="13" s="1"/>
  <c r="BW105" i="13"/>
  <c r="BT105" i="13"/>
  <c r="BX105" i="13" s="1"/>
  <c r="CS106" i="13"/>
  <c r="CT106" i="13" s="1"/>
  <c r="CU106" i="13" s="1"/>
  <c r="CV106" i="13" s="1"/>
  <c r="CW106" i="13" s="1"/>
  <c r="CX106" i="13" s="1"/>
  <c r="CY106" i="13" s="1"/>
  <c r="CZ106" i="13" s="1"/>
  <c r="DA106" i="13" s="1"/>
  <c r="DB106" i="13" s="1"/>
  <c r="DC106" i="13" s="1"/>
  <c r="DD106" i="13" s="1"/>
  <c r="DE106" i="13" s="1"/>
  <c r="DF106" i="13" s="1"/>
  <c r="DG106" i="13" s="1"/>
  <c r="DH106" i="13" s="1"/>
  <c r="DI106" i="13" s="1"/>
  <c r="DJ106" i="13" s="1"/>
  <c r="DK106" i="13" s="1"/>
  <c r="DL106" i="13" s="1"/>
  <c r="DM106" i="13" s="1"/>
  <c r="DN106" i="13" s="1"/>
  <c r="DO106" i="13" s="1"/>
  <c r="DP106" i="13" s="1"/>
  <c r="DQ106" i="13" s="1"/>
  <c r="DR106" i="13" s="1"/>
  <c r="DS106" i="13" s="1"/>
  <c r="DT106" i="13" s="1"/>
  <c r="DU106" i="13" s="1"/>
  <c r="DV106" i="13" s="1"/>
  <c r="DH101" i="13"/>
  <c r="DG101" i="13"/>
  <c r="DA102" i="11" s="1"/>
  <c r="DF101" i="13"/>
  <c r="DF364" i="13" s="1"/>
  <c r="DE101" i="13"/>
  <c r="DD101" i="13"/>
  <c r="DC101" i="13"/>
  <c r="CP72" i="22" s="1"/>
  <c r="DB101" i="13"/>
  <c r="DA101" i="13"/>
  <c r="CZ101" i="13"/>
  <c r="CY101" i="13"/>
  <c r="CL72" i="22" s="1"/>
  <c r="CX101" i="13"/>
  <c r="CX364" i="13" s="1"/>
  <c r="CW101" i="13"/>
  <c r="CV101" i="13"/>
  <c r="CU101" i="13"/>
  <c r="CH72" i="22" s="1"/>
  <c r="CT101" i="13"/>
  <c r="CS101" i="13"/>
  <c r="CM102" i="11" s="1"/>
  <c r="CR101" i="13"/>
  <c r="CQ101" i="13"/>
  <c r="CD72" i="22" s="1"/>
  <c r="CP101" i="13"/>
  <c r="CO101" i="13"/>
  <c r="CI102" i="11" s="1"/>
  <c r="Q102" i="11" s="1"/>
  <c r="CN101" i="13"/>
  <c r="CM101" i="13"/>
  <c r="CM104" i="13" s="1"/>
  <c r="CK101" i="13"/>
  <c r="P101" i="13" s="1"/>
  <c r="K72" i="22" s="1"/>
  <c r="CJ101" i="13"/>
  <c r="BW72" i="22" s="1"/>
  <c r="CI101" i="13"/>
  <c r="CH101" i="13"/>
  <c r="BU72" i="22" s="1"/>
  <c r="CG101" i="13"/>
  <c r="CF101" i="13"/>
  <c r="BS72" i="22" s="1"/>
  <c r="CE101" i="13"/>
  <c r="CD101" i="13"/>
  <c r="BQ72" i="22" s="1"/>
  <c r="CC101" i="13"/>
  <c r="CB101" i="13"/>
  <c r="CA101" i="13"/>
  <c r="BN72" i="22" s="1"/>
  <c r="BZ101" i="13"/>
  <c r="BM72" i="22" s="1"/>
  <c r="BR99" i="13"/>
  <c r="R101" i="13"/>
  <c r="BS100" i="13"/>
  <c r="BS99" i="13"/>
  <c r="BU100" i="13"/>
  <c r="BV100" i="13" s="1"/>
  <c r="BW100" i="13" s="1"/>
  <c r="BX100" i="13" s="1"/>
  <c r="BY99" i="13"/>
  <c r="BX99" i="13"/>
  <c r="BW99" i="13"/>
  <c r="BV99" i="13"/>
  <c r="BU99" i="13"/>
  <c r="BT99" i="13"/>
  <c r="BT101" i="13" s="1"/>
  <c r="DB94" i="13"/>
  <c r="CY94" i="13"/>
  <c r="CX94" i="13"/>
  <c r="CV94" i="13"/>
  <c r="CP94" i="13"/>
  <c r="CI94" i="13"/>
  <c r="DH93" i="13"/>
  <c r="DG93" i="13"/>
  <c r="DA49" i="11" s="1"/>
  <c r="DF93" i="13"/>
  <c r="DE93" i="13"/>
  <c r="CY49" i="11" s="1"/>
  <c r="DD93" i="13"/>
  <c r="DC93" i="13"/>
  <c r="CW49" i="11" s="1"/>
  <c r="DB93" i="13"/>
  <c r="DA93" i="13"/>
  <c r="CZ93" i="13"/>
  <c r="CT49" i="11" s="1"/>
  <c r="CY93" i="13"/>
  <c r="CS49" i="11" s="1"/>
  <c r="CX93" i="13"/>
  <c r="CW93" i="13"/>
  <c r="CQ49" i="11" s="1"/>
  <c r="CV93" i="13"/>
  <c r="CU93" i="13"/>
  <c r="CO49" i="11" s="1"/>
  <c r="CT93" i="13"/>
  <c r="CN49" i="11" s="1"/>
  <c r="CS93" i="13"/>
  <c r="CM49" i="11" s="1"/>
  <c r="CR93" i="13"/>
  <c r="CQ93" i="13"/>
  <c r="CK49" i="11" s="1"/>
  <c r="CP93" i="13"/>
  <c r="CJ49" i="11" s="1"/>
  <c r="CO93" i="13"/>
  <c r="CN93" i="13"/>
  <c r="CM93" i="13"/>
  <c r="CG49" i="11" s="1"/>
  <c r="CL93" i="13"/>
  <c r="CK93" i="13"/>
  <c r="CE49" i="11" s="1"/>
  <c r="CJ93" i="13"/>
  <c r="CD49" i="11" s="1"/>
  <c r="CI93" i="13"/>
  <c r="CC49" i="11" s="1"/>
  <c r="CH93" i="13"/>
  <c r="CG93" i="13"/>
  <c r="CA49" i="11" s="1"/>
  <c r="CF93" i="13"/>
  <c r="BZ49" i="11" s="1"/>
  <c r="CE93" i="13"/>
  <c r="BY49" i="11" s="1"/>
  <c r="CD93" i="13"/>
  <c r="CC93" i="13"/>
  <c r="CB93" i="13"/>
  <c r="CA93" i="13"/>
  <c r="BU49" i="11" s="1"/>
  <c r="BZ93" i="13"/>
  <c r="BY91" i="13"/>
  <c r="BX91" i="13"/>
  <c r="BW91" i="13"/>
  <c r="BV91" i="13"/>
  <c r="DH87" i="13"/>
  <c r="DB22" i="11" s="1"/>
  <c r="DG87" i="13"/>
  <c r="DF87" i="13"/>
  <c r="CZ22" i="11" s="1"/>
  <c r="DE87" i="13"/>
  <c r="DD87" i="13"/>
  <c r="DC87" i="13"/>
  <c r="CW22" i="11" s="1"/>
  <c r="DB87" i="13"/>
  <c r="CV22" i="11" s="1"/>
  <c r="DA87" i="13"/>
  <c r="CZ87" i="13"/>
  <c r="CT22" i="11" s="1"/>
  <c r="CY87" i="13"/>
  <c r="CS22" i="11" s="1"/>
  <c r="CX87" i="13"/>
  <c r="CR22" i="11" s="1"/>
  <c r="CW87" i="13"/>
  <c r="CV87" i="13"/>
  <c r="CU87" i="13"/>
  <c r="CO22" i="11" s="1"/>
  <c r="CT87" i="13"/>
  <c r="CN22" i="11" s="1"/>
  <c r="CS87" i="13"/>
  <c r="CR87" i="13"/>
  <c r="CL22" i="11" s="1"/>
  <c r="CQ87" i="13"/>
  <c r="CK22" i="11" s="1"/>
  <c r="CP87" i="13"/>
  <c r="CJ22" i="11" s="1"/>
  <c r="CO87" i="13"/>
  <c r="CN87" i="13"/>
  <c r="CM87" i="13"/>
  <c r="CG22" i="11" s="1"/>
  <c r="CL87" i="13"/>
  <c r="CF22" i="11" s="1"/>
  <c r="CK87" i="13"/>
  <c r="CJ87" i="13"/>
  <c r="CD22" i="11" s="1"/>
  <c r="CI87" i="13"/>
  <c r="CC22" i="11" s="1"/>
  <c r="CH87" i="13"/>
  <c r="CB22" i="11" s="1"/>
  <c r="CG87" i="13"/>
  <c r="CF87" i="13"/>
  <c r="BZ22" i="11" s="1"/>
  <c r="CE87" i="13"/>
  <c r="BY22" i="11" s="1"/>
  <c r="CD87" i="13"/>
  <c r="BX22" i="11" s="1"/>
  <c r="CC87" i="13"/>
  <c r="CB87" i="13"/>
  <c r="BV22" i="11" s="1"/>
  <c r="CA87" i="13"/>
  <c r="BU22" i="11" s="1"/>
  <c r="BZ87" i="13"/>
  <c r="BT22" i="11" s="1"/>
  <c r="BW85" i="13"/>
  <c r="BX85" i="13" s="1"/>
  <c r="BY85" i="13" s="1"/>
  <c r="DH84" i="13"/>
  <c r="DB31" i="11" s="1"/>
  <c r="DG84" i="13"/>
  <c r="DA31" i="11" s="1"/>
  <c r="DF84" i="13"/>
  <c r="DE84" i="13"/>
  <c r="DD84" i="13"/>
  <c r="CX31" i="11" s="1"/>
  <c r="DC84" i="13"/>
  <c r="CW31" i="11" s="1"/>
  <c r="DB84" i="13"/>
  <c r="DA84" i="13"/>
  <c r="CZ84" i="13"/>
  <c r="CT31" i="11" s="1"/>
  <c r="CY84" i="13"/>
  <c r="CS31" i="11" s="1"/>
  <c r="CX84" i="13"/>
  <c r="CR31" i="11" s="1"/>
  <c r="CW84" i="13"/>
  <c r="CV84" i="13"/>
  <c r="CU84" i="13"/>
  <c r="CO31" i="11" s="1"/>
  <c r="CT84" i="13"/>
  <c r="CS84" i="13"/>
  <c r="CR84" i="13"/>
  <c r="CL31" i="11" s="1"/>
  <c r="CQ84" i="13"/>
  <c r="CK31" i="11" s="1"/>
  <c r="CP84" i="13"/>
  <c r="CO84" i="13"/>
  <c r="CN84" i="13"/>
  <c r="CM84" i="13"/>
  <c r="CG31" i="11" s="1"/>
  <c r="CL84" i="13"/>
  <c r="CK84" i="13"/>
  <c r="CJ84" i="13"/>
  <c r="CD31" i="11" s="1"/>
  <c r="CI84" i="13"/>
  <c r="CC31" i="11" s="1"/>
  <c r="CH84" i="13"/>
  <c r="CB31" i="11" s="1"/>
  <c r="CG84" i="13"/>
  <c r="CF84" i="13"/>
  <c r="CE84" i="13"/>
  <c r="CD84" i="13"/>
  <c r="CC84" i="13"/>
  <c r="CB84" i="13"/>
  <c r="BV31" i="11" s="1"/>
  <c r="CA84" i="13"/>
  <c r="BU31" i="11" s="1"/>
  <c r="BZ84" i="13"/>
  <c r="DG81" i="13"/>
  <c r="DC81" i="13"/>
  <c r="CU81" i="13"/>
  <c r="BY79" i="13"/>
  <c r="BX79" i="13"/>
  <c r="BW79" i="13"/>
  <c r="BV79" i="13"/>
  <c r="BT79" i="22"/>
  <c r="BY13" i="11"/>
  <c r="CE127" i="22"/>
  <c r="CB127" i="22"/>
  <c r="CA127" i="22"/>
  <c r="BY127" i="22"/>
  <c r="BX127" i="22"/>
  <c r="BV127" i="22"/>
  <c r="J127" i="22"/>
  <c r="CL125" i="22"/>
  <c r="CB125" i="22"/>
  <c r="BW125" i="22"/>
  <c r="BU125" i="22"/>
  <c r="J125" i="22"/>
  <c r="CS67" i="13"/>
  <c r="CR67" i="13"/>
  <c r="CQ67" i="13"/>
  <c r="CP67" i="13"/>
  <c r="CO67" i="13"/>
  <c r="CN67" i="13"/>
  <c r="CM67" i="13"/>
  <c r="CL67" i="13"/>
  <c r="CK67" i="13"/>
  <c r="CJ67" i="13"/>
  <c r="R65" i="13"/>
  <c r="R63" i="13"/>
  <c r="CS66" i="13"/>
  <c r="CR66" i="13"/>
  <c r="CQ66" i="13"/>
  <c r="CP66" i="13"/>
  <c r="CO66" i="13"/>
  <c r="CN66" i="13"/>
  <c r="CT65" i="13"/>
  <c r="CT63" i="13"/>
  <c r="CT64" i="13" s="1"/>
  <c r="Q65" i="13"/>
  <c r="CW64" i="13"/>
  <c r="CV64" i="13"/>
  <c r="CU64" i="13"/>
  <c r="CS64" i="13"/>
  <c r="CR64" i="13"/>
  <c r="CQ64" i="13"/>
  <c r="CP64" i="13"/>
  <c r="CO64" i="13"/>
  <c r="CN64" i="13"/>
  <c r="Q63" i="13"/>
  <c r="BX123" i="22"/>
  <c r="BW123" i="22"/>
  <c r="BV123" i="22"/>
  <c r="J123" i="22"/>
  <c r="DG53" i="13"/>
  <c r="DF53" i="13"/>
  <c r="DE53" i="13"/>
  <c r="DD53" i="13"/>
  <c r="DC53" i="13"/>
  <c r="DB53" i="13"/>
  <c r="DA53" i="13"/>
  <c r="CZ53" i="13"/>
  <c r="CY53" i="13"/>
  <c r="CX53" i="13"/>
  <c r="CW53" i="13"/>
  <c r="CV53" i="13"/>
  <c r="CU53" i="13"/>
  <c r="CT53" i="13"/>
  <c r="CS53" i="13"/>
  <c r="CR53" i="13"/>
  <c r="CQ53" i="13"/>
  <c r="CP53" i="13"/>
  <c r="CO53" i="13"/>
  <c r="CS54" i="13" s="1"/>
  <c r="CN53" i="13"/>
  <c r="CM53" i="13"/>
  <c r="CL53" i="13"/>
  <c r="CL35" i="13" s="1"/>
  <c r="CL50" i="13" s="1"/>
  <c r="O40" i="13"/>
  <c r="O38" i="13"/>
  <c r="CO39" i="13"/>
  <c r="Q39" i="13" s="1"/>
  <c r="CN39" i="13"/>
  <c r="CM39" i="13"/>
  <c r="CL39" i="13"/>
  <c r="CF39" i="13"/>
  <c r="CE39" i="13"/>
  <c r="CD39" i="13"/>
  <c r="Q40" i="13"/>
  <c r="P40" i="13"/>
  <c r="Q38" i="13"/>
  <c r="P38" i="13"/>
  <c r="CM36" i="13"/>
  <c r="CL36" i="13"/>
  <c r="CK29" i="13"/>
  <c r="CI29" i="13"/>
  <c r="CK23" i="13"/>
  <c r="CJ23" i="13"/>
  <c r="CI23" i="13"/>
  <c r="CM23" i="13" s="1"/>
  <c r="CH23" i="13"/>
  <c r="CG23" i="13"/>
  <c r="CF23" i="13"/>
  <c r="CE23" i="13"/>
  <c r="CD23" i="13"/>
  <c r="CC23" i="13"/>
  <c r="CB23" i="13"/>
  <c r="CA23" i="13"/>
  <c r="BZ23" i="13"/>
  <c r="BY23" i="13"/>
  <c r="BX23" i="13"/>
  <c r="BW23" i="13"/>
  <c r="BV23" i="13"/>
  <c r="CC21" i="13"/>
  <c r="CB21" i="13"/>
  <c r="CA21" i="13"/>
  <c r="BZ21" i="13"/>
  <c r="BY21" i="13"/>
  <c r="BX21" i="13"/>
  <c r="BW21" i="13"/>
  <c r="BV21" i="13"/>
  <c r="CM29" i="13"/>
  <c r="CM24" i="13"/>
  <c r="CN24" i="13" s="1"/>
  <c r="CO24" i="13" s="1"/>
  <c r="CK21" i="13"/>
  <c r="CJ21" i="13"/>
  <c r="CI21" i="13"/>
  <c r="CH21" i="13"/>
  <c r="CG21" i="13"/>
  <c r="CF21" i="13"/>
  <c r="CE21" i="13"/>
  <c r="CD21" i="13"/>
  <c r="CK19" i="13"/>
  <c r="CJ19" i="13"/>
  <c r="CI19" i="13"/>
  <c r="CH19" i="13"/>
  <c r="CG19" i="13"/>
  <c r="CF19" i="13"/>
  <c r="CE19" i="13"/>
  <c r="CD19" i="13"/>
  <c r="CC19" i="13"/>
  <c r="CB19" i="13"/>
  <c r="CA19" i="13"/>
  <c r="BZ19" i="13"/>
  <c r="BY19" i="13"/>
  <c r="BX19" i="13"/>
  <c r="BW19" i="13"/>
  <c r="BV19" i="13"/>
  <c r="CK14" i="13"/>
  <c r="CJ14" i="13"/>
  <c r="CI14" i="13"/>
  <c r="CH14" i="13"/>
  <c r="CG14" i="13"/>
  <c r="CF14" i="13"/>
  <c r="CE14" i="13"/>
  <c r="CD14" i="13"/>
  <c r="CC14" i="13"/>
  <c r="CB14" i="13"/>
  <c r="CA14" i="13"/>
  <c r="BZ14" i="13"/>
  <c r="BY14" i="13"/>
  <c r="BX14" i="13"/>
  <c r="BW14" i="13"/>
  <c r="BV14" i="13"/>
  <c r="CC12" i="13"/>
  <c r="CB12" i="13"/>
  <c r="CA12" i="13"/>
  <c r="BZ12" i="13"/>
  <c r="BY12" i="13"/>
  <c r="BX12" i="13"/>
  <c r="BW12" i="13"/>
  <c r="BV12" i="13"/>
  <c r="CM15" i="13"/>
  <c r="CN15" i="13" s="1"/>
  <c r="CK12" i="13"/>
  <c r="CJ12" i="13"/>
  <c r="CI12" i="13"/>
  <c r="CH12" i="13"/>
  <c r="CG12" i="13"/>
  <c r="CF12" i="13"/>
  <c r="CE12" i="13"/>
  <c r="CD12" i="13"/>
  <c r="CK10" i="13"/>
  <c r="CJ10" i="13"/>
  <c r="CI10" i="13"/>
  <c r="CH10" i="13"/>
  <c r="CH16" i="13" s="1"/>
  <c r="CG10" i="13"/>
  <c r="CF10" i="13"/>
  <c r="CE10" i="13"/>
  <c r="CD10" i="13"/>
  <c r="CC10" i="13"/>
  <c r="CB10" i="13"/>
  <c r="CA10" i="13"/>
  <c r="BZ10" i="13"/>
  <c r="BZ16" i="13" s="1"/>
  <c r="BY10" i="13"/>
  <c r="BX10" i="13"/>
  <c r="BW10" i="13"/>
  <c r="BV10" i="13"/>
  <c r="Q7" i="13"/>
  <c r="M7" i="13"/>
  <c r="L7" i="13"/>
  <c r="K7" i="13"/>
  <c r="J7" i="13"/>
  <c r="M6" i="13"/>
  <c r="L6" i="13"/>
  <c r="K6" i="13"/>
  <c r="J6" i="13"/>
  <c r="CO7" i="13"/>
  <c r="CN7" i="13"/>
  <c r="CM7" i="13"/>
  <c r="CL7" i="13"/>
  <c r="BY7" i="13"/>
  <c r="BX7" i="13"/>
  <c r="BW7" i="13"/>
  <c r="BV7" i="13"/>
  <c r="BU7" i="13"/>
  <c r="BT7" i="13"/>
  <c r="BS7" i="13"/>
  <c r="BR7" i="13"/>
  <c r="BY6" i="13"/>
  <c r="BX6" i="13"/>
  <c r="BW6" i="13"/>
  <c r="BV6" i="13"/>
  <c r="BU6" i="13"/>
  <c r="BT6" i="13"/>
  <c r="BS6" i="13"/>
  <c r="BR6" i="13"/>
  <c r="DM5" i="13"/>
  <c r="DH5" i="13"/>
  <c r="DG5" i="13"/>
  <c r="DF5" i="13"/>
  <c r="DE5" i="13"/>
  <c r="DD5" i="13"/>
  <c r="DC5" i="13"/>
  <c r="DB5" i="13"/>
  <c r="DA5" i="13"/>
  <c r="CZ5" i="13"/>
  <c r="CY5" i="13"/>
  <c r="CX5" i="13"/>
  <c r="CW5" i="13"/>
  <c r="CV5" i="13"/>
  <c r="CU5" i="13"/>
  <c r="CT5" i="13"/>
  <c r="CS5" i="13"/>
  <c r="CS300" i="13" s="1"/>
  <c r="CR5" i="13"/>
  <c r="CR300" i="13" s="1"/>
  <c r="CQ5" i="13"/>
  <c r="CQ300" i="13" s="1"/>
  <c r="CP5" i="13"/>
  <c r="CP300" i="13" s="1"/>
  <c r="CO5" i="13"/>
  <c r="CO300" i="13" s="1"/>
  <c r="CN5" i="13"/>
  <c r="CN300" i="13" s="1"/>
  <c r="CM5" i="13"/>
  <c r="CM300" i="13" s="1"/>
  <c r="CL5" i="13"/>
  <c r="CL300" i="13" s="1"/>
  <c r="CK5" i="13"/>
  <c r="CJ5" i="13"/>
  <c r="CI5" i="13"/>
  <c r="CH5" i="13"/>
  <c r="CG5" i="13"/>
  <c r="CF5" i="13"/>
  <c r="CE5" i="13"/>
  <c r="CD5" i="13"/>
  <c r="CC5" i="13"/>
  <c r="CB5" i="13"/>
  <c r="CA5" i="13"/>
  <c r="BZ5" i="13"/>
  <c r="BY5" i="13"/>
  <c r="BX5" i="13"/>
  <c r="BW5" i="13"/>
  <c r="BV5" i="13"/>
  <c r="BU5" i="13"/>
  <c r="BT5" i="13"/>
  <c r="BS5" i="13"/>
  <c r="BR5" i="13"/>
  <c r="AA5" i="13"/>
  <c r="Z5" i="13"/>
  <c r="Y5" i="13"/>
  <c r="X5" i="13"/>
  <c r="W5" i="13"/>
  <c r="W300" i="13" s="1"/>
  <c r="V5" i="13"/>
  <c r="V300" i="13" s="1"/>
  <c r="U5" i="13"/>
  <c r="U300" i="13" s="1"/>
  <c r="T5" i="13"/>
  <c r="T300" i="13" s="1"/>
  <c r="S5" i="13"/>
  <c r="S300" i="13" s="1"/>
  <c r="R5" i="13"/>
  <c r="R300" i="13" s="1"/>
  <c r="Q5" i="13"/>
  <c r="Q300" i="13" s="1"/>
  <c r="P5" i="13"/>
  <c r="O5" i="13"/>
  <c r="N5" i="13"/>
  <c r="M5" i="13"/>
  <c r="L5" i="13"/>
  <c r="K5" i="13"/>
  <c r="S766" i="12"/>
  <c r="T766" i="12" s="1"/>
  <c r="U766" i="12" s="1"/>
  <c r="V766" i="12" s="1"/>
  <c r="W766" i="12" s="1"/>
  <c r="X766" i="12" s="1"/>
  <c r="S761" i="12"/>
  <c r="T761" i="12" s="1"/>
  <c r="U761" i="12" s="1"/>
  <c r="V761" i="12" s="1"/>
  <c r="W761" i="12" s="1"/>
  <c r="X761" i="12" s="1"/>
  <c r="S756" i="12"/>
  <c r="S751" i="12"/>
  <c r="S748" i="12"/>
  <c r="W751" i="12"/>
  <c r="AA751" i="12"/>
  <c r="AB751" i="12" s="1"/>
  <c r="AC751" i="12" s="1"/>
  <c r="V751" i="12"/>
  <c r="U751" i="12"/>
  <c r="T751" i="12"/>
  <c r="W748" i="12"/>
  <c r="V748" i="12"/>
  <c r="U748" i="12"/>
  <c r="T748" i="12"/>
  <c r="DH738" i="12"/>
  <c r="DG738" i="12"/>
  <c r="DF738" i="12"/>
  <c r="DE738" i="12"/>
  <c r="DB738" i="12"/>
  <c r="DA738" i="12"/>
  <c r="CZ738" i="12"/>
  <c r="CY738" i="12"/>
  <c r="CX738" i="12"/>
  <c r="CW738" i="12"/>
  <c r="CV738" i="12"/>
  <c r="CU738" i="12"/>
  <c r="CT738" i="12"/>
  <c r="T741" i="12"/>
  <c r="U741" i="12" s="1"/>
  <c r="T739" i="12"/>
  <c r="U739" i="12" s="1"/>
  <c r="V739" i="12" s="1"/>
  <c r="V738" i="12" s="1"/>
  <c r="T737" i="12"/>
  <c r="U737" i="12" s="1"/>
  <c r="V737" i="12" s="1"/>
  <c r="W737" i="12" s="1"/>
  <c r="X737" i="12" s="1"/>
  <c r="W730" i="12"/>
  <c r="V730" i="12"/>
  <c r="U730" i="12"/>
  <c r="T730" i="12"/>
  <c r="S730" i="12"/>
  <c r="DH729" i="12"/>
  <c r="DG729" i="12"/>
  <c r="DF729" i="12"/>
  <c r="DE729" i="12"/>
  <c r="DD729" i="12"/>
  <c r="DC729" i="12"/>
  <c r="DB729" i="12"/>
  <c r="DA729" i="12"/>
  <c r="CZ729" i="12"/>
  <c r="CY729" i="12"/>
  <c r="CX729" i="12"/>
  <c r="CW729" i="12"/>
  <c r="CV729" i="12"/>
  <c r="CU729" i="12"/>
  <c r="CT729" i="12"/>
  <c r="DH720" i="12"/>
  <c r="DG720" i="12"/>
  <c r="DF720" i="12"/>
  <c r="DF726" i="12" s="1"/>
  <c r="DE720" i="12"/>
  <c r="DE726" i="12" s="1"/>
  <c r="DE740" i="12" s="1"/>
  <c r="DE742" i="12" s="1"/>
  <c r="DE743" i="12" s="1"/>
  <c r="DB720" i="12"/>
  <c r="DA720" i="12"/>
  <c r="DA726" i="12" s="1"/>
  <c r="CZ720" i="12"/>
  <c r="CZ726" i="12" s="1"/>
  <c r="CY720" i="12"/>
  <c r="CY726" i="12" s="1"/>
  <c r="CX720" i="12"/>
  <c r="CW720" i="12"/>
  <c r="CW726" i="12" s="1"/>
  <c r="CW740" i="12" s="1"/>
  <c r="CW742" i="12" s="1"/>
  <c r="CW743" i="12" s="1"/>
  <c r="CV720" i="12"/>
  <c r="CV726" i="12" s="1"/>
  <c r="CU720" i="12"/>
  <c r="CU726" i="12" s="1"/>
  <c r="CU728" i="12" s="1"/>
  <c r="CU747" i="12" s="1"/>
  <c r="CU749" i="12" s="1"/>
  <c r="CT720" i="12"/>
  <c r="AA722" i="12"/>
  <c r="AA729" i="12" s="1"/>
  <c r="V722" i="12"/>
  <c r="V729" i="12" s="1"/>
  <c r="U722" i="12"/>
  <c r="U729" i="12" s="1"/>
  <c r="T722" i="12"/>
  <c r="T729" i="12" s="1"/>
  <c r="S722" i="12"/>
  <c r="S729" i="12" s="1"/>
  <c r="DD719" i="12"/>
  <c r="DC719" i="12"/>
  <c r="T719" i="12"/>
  <c r="S719" i="12"/>
  <c r="S738" i="12" s="1"/>
  <c r="R719" i="12"/>
  <c r="AA718" i="12"/>
  <c r="AA717" i="12"/>
  <c r="DH715" i="12"/>
  <c r="DG715" i="12"/>
  <c r="DF715" i="12"/>
  <c r="DE715" i="12"/>
  <c r="DB715" i="12"/>
  <c r="DA715" i="12"/>
  <c r="CZ715" i="12"/>
  <c r="CY715" i="12"/>
  <c r="CX715" i="12"/>
  <c r="CW715" i="12"/>
  <c r="CV715" i="12"/>
  <c r="CU715" i="12"/>
  <c r="CT715" i="12"/>
  <c r="AA715" i="12"/>
  <c r="DH713" i="12"/>
  <c r="DG713" i="12"/>
  <c r="DF713" i="12"/>
  <c r="DE713" i="12"/>
  <c r="DD713" i="12"/>
  <c r="DC713" i="12"/>
  <c r="DB713" i="12"/>
  <c r="DA713" i="12"/>
  <c r="CZ713" i="12"/>
  <c r="CY713" i="12"/>
  <c r="CX713" i="12"/>
  <c r="CW713" i="12"/>
  <c r="CV713" i="12"/>
  <c r="CU713" i="12"/>
  <c r="CT713" i="12"/>
  <c r="CS713" i="12"/>
  <c r="CR713" i="12"/>
  <c r="CQ713" i="12"/>
  <c r="CP713" i="12"/>
  <c r="V712" i="12"/>
  <c r="V715" i="12" s="1"/>
  <c r="U712" i="12"/>
  <c r="T712" i="12"/>
  <c r="S712" i="12"/>
  <c r="R712" i="12"/>
  <c r="A707" i="12"/>
  <c r="BI694" i="12"/>
  <c r="BH694" i="12"/>
  <c r="BG694" i="12"/>
  <c r="BF694" i="12"/>
  <c r="BE694" i="12"/>
  <c r="BD694" i="12"/>
  <c r="BC694" i="12"/>
  <c r="BB694" i="12"/>
  <c r="BA694" i="12"/>
  <c r="AZ694" i="12"/>
  <c r="AY694" i="12"/>
  <c r="AX694" i="12"/>
  <c r="AW694" i="12"/>
  <c r="AV694" i="12"/>
  <c r="AU694" i="12"/>
  <c r="AT694" i="12"/>
  <c r="AS694" i="12"/>
  <c r="AR694" i="12"/>
  <c r="AQ694" i="12"/>
  <c r="AP694" i="12"/>
  <c r="AO694" i="12"/>
  <c r="AN694" i="12"/>
  <c r="AM694" i="12"/>
  <c r="AL694" i="12"/>
  <c r="AK694" i="12"/>
  <c r="CV693" i="12"/>
  <c r="CW693" i="12" s="1"/>
  <c r="CW687" i="12"/>
  <c r="CM684" i="12"/>
  <c r="CM85" i="12" s="1"/>
  <c r="R684" i="12"/>
  <c r="CL679" i="12"/>
  <c r="CM679" i="12" s="1"/>
  <c r="AA680" i="12"/>
  <c r="AB680" i="12" s="1"/>
  <c r="AC680" i="12" s="1"/>
  <c r="AD680" i="12" s="1"/>
  <c r="AE680" i="12" s="1"/>
  <c r="AF680" i="12" s="1"/>
  <c r="AG680" i="12" s="1"/>
  <c r="A677" i="12"/>
  <c r="A676" i="12"/>
  <c r="A675" i="12"/>
  <c r="A674" i="12"/>
  <c r="A672" i="12"/>
  <c r="A671" i="12"/>
  <c r="A670" i="12"/>
  <c r="A669" i="12"/>
  <c r="A668" i="12"/>
  <c r="A667" i="12"/>
  <c r="A666" i="12"/>
  <c r="A665" i="12"/>
  <c r="A664" i="12"/>
  <c r="A663" i="12"/>
  <c r="A662" i="12"/>
  <c r="A661" i="12"/>
  <c r="A660" i="12"/>
  <c r="CL672" i="12"/>
  <c r="CL671" i="12"/>
  <c r="CL670" i="12"/>
  <c r="CL668" i="12"/>
  <c r="DH657" i="12"/>
  <c r="DG657" i="12"/>
  <c r="DF657" i="12"/>
  <c r="DE657" i="12"/>
  <c r="DD657" i="12"/>
  <c r="DC657" i="12"/>
  <c r="DB657" i="12"/>
  <c r="DA657" i="12"/>
  <c r="T656" i="12"/>
  <c r="P654" i="12"/>
  <c r="CW651" i="12"/>
  <c r="CV651" i="12"/>
  <c r="CU651" i="12"/>
  <c r="CT651" i="12"/>
  <c r="CS651" i="12"/>
  <c r="CP651" i="12"/>
  <c r="CO651" i="12"/>
  <c r="CM651" i="12"/>
  <c r="CL651" i="12"/>
  <c r="CK651" i="12"/>
  <c r="CK650" i="12"/>
  <c r="T651" i="12"/>
  <c r="S651" i="12"/>
  <c r="P648" i="12"/>
  <c r="Q646" i="12" s="1"/>
  <c r="Q647" i="12"/>
  <c r="CL646" i="12"/>
  <c r="CL648" i="12" s="1"/>
  <c r="CM646" i="12" s="1"/>
  <c r="CM648" i="12" s="1"/>
  <c r="CN646" i="12" s="1"/>
  <c r="CN648" i="12" s="1"/>
  <c r="P646" i="12"/>
  <c r="CK644" i="12"/>
  <c r="CK652" i="12" s="1"/>
  <c r="R643" i="12"/>
  <c r="P642" i="12"/>
  <c r="P640" i="12"/>
  <c r="Q638" i="12" s="1"/>
  <c r="R639" i="12"/>
  <c r="Q639" i="12"/>
  <c r="CL638" i="12"/>
  <c r="P638" i="12"/>
  <c r="Q634" i="12"/>
  <c r="P634" i="12"/>
  <c r="CW631" i="12"/>
  <c r="CV631" i="12"/>
  <c r="CU631" i="12"/>
  <c r="CT631" i="12"/>
  <c r="CS631" i="12"/>
  <c r="CQ631" i="12"/>
  <c r="CP631" i="12"/>
  <c r="CO631" i="12"/>
  <c r="CN631" i="12"/>
  <c r="CK631" i="12"/>
  <c r="CT628" i="12"/>
  <c r="CU628" i="12" s="1"/>
  <c r="CV628" i="12" s="1"/>
  <c r="CW628" i="12" s="1"/>
  <c r="CM627" i="12"/>
  <c r="S628" i="12"/>
  <c r="R628" i="12"/>
  <c r="Q628" i="12"/>
  <c r="P628" i="12"/>
  <c r="P627" i="12"/>
  <c r="Q625" i="12" s="1"/>
  <c r="S626" i="12"/>
  <c r="R626" i="12"/>
  <c r="Q626" i="12"/>
  <c r="CM623" i="12"/>
  <c r="CM671" i="12" s="1"/>
  <c r="P623" i="12"/>
  <c r="S622" i="12"/>
  <c r="R622" i="12"/>
  <c r="Q622" i="12"/>
  <c r="Q621" i="12"/>
  <c r="P619" i="12"/>
  <c r="Q617" i="12" s="1"/>
  <c r="R618" i="12"/>
  <c r="Q618" i="12"/>
  <c r="CM617" i="12"/>
  <c r="CM619" i="12" s="1"/>
  <c r="CN617" i="12" s="1"/>
  <c r="Q615" i="12"/>
  <c r="P615" i="12"/>
  <c r="Q613" i="12" s="1"/>
  <c r="R614" i="12"/>
  <c r="Q614" i="12"/>
  <c r="CP613" i="12"/>
  <c r="CP615" i="12" s="1"/>
  <c r="CL613" i="12"/>
  <c r="CL615" i="12" s="1"/>
  <c r="CK611" i="12"/>
  <c r="P611" i="12" s="1"/>
  <c r="Q609" i="12" s="1"/>
  <c r="Q611" i="12"/>
  <c r="CL610" i="12"/>
  <c r="Q610" i="12" s="1"/>
  <c r="R610" i="12"/>
  <c r="CP609" i="12"/>
  <c r="CP611" i="12" s="1"/>
  <c r="CQ609" i="12" s="1"/>
  <c r="CO609" i="12"/>
  <c r="CO668" i="12" s="1"/>
  <c r="CM609" i="12"/>
  <c r="CM611" i="12" s="1"/>
  <c r="CN609" i="12" s="1"/>
  <c r="CN668" i="12" s="1"/>
  <c r="P608" i="12"/>
  <c r="CK607" i="12"/>
  <c r="R606" i="12"/>
  <c r="Q606" i="12"/>
  <c r="P605" i="12"/>
  <c r="CK603" i="12"/>
  <c r="CL601" i="12" s="1"/>
  <c r="CL666" i="12" s="1"/>
  <c r="Q603" i="12"/>
  <c r="R602" i="12"/>
  <c r="CP601" i="12"/>
  <c r="CO601" i="12"/>
  <c r="CO666" i="12" s="1"/>
  <c r="CM601" i="12"/>
  <c r="CM603" i="12" s="1"/>
  <c r="P599" i="12"/>
  <c r="Q597" i="12" s="1"/>
  <c r="R598" i="12"/>
  <c r="Q598" i="12"/>
  <c r="CL597" i="12"/>
  <c r="CL599" i="12" s="1"/>
  <c r="CL665" i="12" s="1"/>
  <c r="P597" i="12"/>
  <c r="CK595" i="12"/>
  <c r="R594" i="12"/>
  <c r="Q594" i="12"/>
  <c r="P593" i="12"/>
  <c r="P591" i="12"/>
  <c r="R590" i="12"/>
  <c r="Q590" i="12"/>
  <c r="CL589" i="12"/>
  <c r="CL591" i="12" s="1"/>
  <c r="Q589" i="12"/>
  <c r="P589" i="12"/>
  <c r="CK587" i="12"/>
  <c r="P587" i="12" s="1"/>
  <c r="Q585" i="12" s="1"/>
  <c r="Q587" i="12"/>
  <c r="CP585" i="12"/>
  <c r="CP587" i="12" s="1"/>
  <c r="CP662" i="12" s="1"/>
  <c r="CO585" i="12"/>
  <c r="CO662" i="12" s="1"/>
  <c r="CM585" i="12"/>
  <c r="CM587" i="12" s="1"/>
  <c r="CM662" i="12" s="1"/>
  <c r="S586" i="12"/>
  <c r="R586" i="12"/>
  <c r="P585" i="12"/>
  <c r="P583" i="12"/>
  <c r="Q581" i="12" s="1"/>
  <c r="CM582" i="12"/>
  <c r="CM631" i="12" s="1"/>
  <c r="CL582" i="12"/>
  <c r="R582" i="12"/>
  <c r="CL581" i="12"/>
  <c r="P581" i="12"/>
  <c r="CJ579" i="12"/>
  <c r="CK577" i="12" s="1"/>
  <c r="Q578" i="12"/>
  <c r="BR571" i="12"/>
  <c r="CK570" i="12"/>
  <c r="Q569" i="12" s="1"/>
  <c r="BV570" i="12"/>
  <c r="N569" i="12"/>
  <c r="BW568" i="12"/>
  <c r="BX568" i="12" s="1"/>
  <c r="BY568" i="12" s="1"/>
  <c r="BS569" i="12"/>
  <c r="BS568" i="12"/>
  <c r="BO569" i="12"/>
  <c r="BO568" i="12"/>
  <c r="BP568" i="12" s="1"/>
  <c r="CM566" i="12"/>
  <c r="BW566" i="12"/>
  <c r="BX566" i="12" s="1"/>
  <c r="BY566" i="12" s="1"/>
  <c r="BS566" i="12"/>
  <c r="BT566" i="12" s="1"/>
  <c r="BU566" i="12" s="1"/>
  <c r="BO566" i="12"/>
  <c r="BP566" i="12" s="1"/>
  <c r="BQ566" i="12" s="1"/>
  <c r="BZ565" i="12"/>
  <c r="CA565" i="12" s="1"/>
  <c r="S565" i="12"/>
  <c r="R565" i="12"/>
  <c r="CQ564" i="12"/>
  <c r="CR564" i="12" s="1"/>
  <c r="CL564" i="12"/>
  <c r="CN564" i="12" s="1"/>
  <c r="CO564" i="12" s="1"/>
  <c r="Q564" i="12" s="1"/>
  <c r="O564" i="12"/>
  <c r="CW563" i="12"/>
  <c r="CV563" i="12"/>
  <c r="CU563" i="12"/>
  <c r="CT563" i="12"/>
  <c r="CP563" i="12"/>
  <c r="CP566" i="12" s="1"/>
  <c r="CM563" i="12"/>
  <c r="CA564" i="12"/>
  <c r="CB564" i="12" s="1"/>
  <c r="CA563" i="12"/>
  <c r="BW563" i="12"/>
  <c r="BX563" i="12" s="1"/>
  <c r="BY563" i="12" s="1"/>
  <c r="BS563" i="12"/>
  <c r="BT563" i="12" s="1"/>
  <c r="BU563" i="12" s="1"/>
  <c r="BO563" i="12"/>
  <c r="BP563" i="12" s="1"/>
  <c r="BQ563" i="12" s="1"/>
  <c r="CR562" i="12"/>
  <c r="CL562" i="12"/>
  <c r="AA562" i="12"/>
  <c r="P562" i="12"/>
  <c r="O561" i="12"/>
  <c r="O560" i="12"/>
  <c r="CW560" i="12"/>
  <c r="CV560" i="12"/>
  <c r="CU560" i="12"/>
  <c r="CT560" i="12"/>
  <c r="CQ560" i="12"/>
  <c r="CR560" i="12" s="1"/>
  <c r="CS560" i="12" s="1"/>
  <c r="R560" i="12" s="1"/>
  <c r="CM560" i="12"/>
  <c r="CN560" i="12" s="1"/>
  <c r="CA561" i="12"/>
  <c r="CB561" i="12" s="1"/>
  <c r="CA560" i="12"/>
  <c r="BY560" i="12"/>
  <c r="T561" i="12"/>
  <c r="S561" i="12"/>
  <c r="R561" i="12"/>
  <c r="Q561" i="12"/>
  <c r="T560" i="12"/>
  <c r="T566" i="12" s="1"/>
  <c r="P560" i="12"/>
  <c r="N560" i="12"/>
  <c r="N566" i="12" s="1"/>
  <c r="BZ557" i="12"/>
  <c r="BW557" i="12"/>
  <c r="BX557" i="12" s="1"/>
  <c r="BY557" i="12" s="1"/>
  <c r="BS557" i="12"/>
  <c r="BT557" i="12" s="1"/>
  <c r="BU557" i="12" s="1"/>
  <c r="BO557" i="12"/>
  <c r="BP557" i="12" s="1"/>
  <c r="BQ557" i="12" s="1"/>
  <c r="CQ556" i="12"/>
  <c r="CR556" i="12" s="1"/>
  <c r="CA556" i="12"/>
  <c r="CB556" i="12" s="1"/>
  <c r="BY556" i="12"/>
  <c r="S556" i="12"/>
  <c r="O555" i="12"/>
  <c r="N555" i="12"/>
  <c r="O554" i="12"/>
  <c r="N554" i="12"/>
  <c r="CB553" i="12"/>
  <c r="BY553" i="12"/>
  <c r="CO552" i="12"/>
  <c r="Q552" i="12" s="1"/>
  <c r="CA552" i="12"/>
  <c r="CB552" i="12" s="1"/>
  <c r="BW552" i="12"/>
  <c r="BS552" i="12"/>
  <c r="BT552" i="12" s="1"/>
  <c r="BU552" i="12" s="1"/>
  <c r="T555" i="12"/>
  <c r="S555" i="12"/>
  <c r="R555" i="12"/>
  <c r="Q555" i="12"/>
  <c r="T554" i="12"/>
  <c r="S554" i="12"/>
  <c r="R554" i="12"/>
  <c r="Q554" i="12"/>
  <c r="T553" i="12"/>
  <c r="S553" i="12"/>
  <c r="R553" i="12"/>
  <c r="Q553" i="12"/>
  <c r="T552" i="12"/>
  <c r="T557" i="12" s="1"/>
  <c r="S552" i="12"/>
  <c r="P552" i="12"/>
  <c r="CR552" i="12"/>
  <c r="CS552" i="12" s="1"/>
  <c r="R552" i="12" s="1"/>
  <c r="CR551" i="12"/>
  <c r="CS551" i="12" s="1"/>
  <c r="R551" i="12" s="1"/>
  <c r="S551" i="12"/>
  <c r="Q551" i="12"/>
  <c r="O551" i="12"/>
  <c r="N551" i="12"/>
  <c r="CA550" i="12"/>
  <c r="CB550" i="12" s="1"/>
  <c r="BW550" i="12"/>
  <c r="BX550" i="12" s="1"/>
  <c r="BS550" i="12"/>
  <c r="BT550" i="12" s="1"/>
  <c r="BU550" i="12" s="1"/>
  <c r="BS547" i="12"/>
  <c r="BT547" i="12" s="1"/>
  <c r="BU547" i="12" s="1"/>
  <c r="BO547" i="12"/>
  <c r="BP547" i="12" s="1"/>
  <c r="BY546" i="12"/>
  <c r="BY544" i="12"/>
  <c r="BY543" i="12"/>
  <c r="T546" i="12"/>
  <c r="T545" i="12"/>
  <c r="T109" i="8" s="1"/>
  <c r="CX109" i="8" s="1"/>
  <c r="T544" i="12"/>
  <c r="T543" i="12"/>
  <c r="T542" i="12"/>
  <c r="T541" i="12"/>
  <c r="T540" i="12"/>
  <c r="O546" i="12"/>
  <c r="O545" i="12"/>
  <c r="O544" i="12"/>
  <c r="O543" i="12"/>
  <c r="O542" i="12"/>
  <c r="CP545" i="12"/>
  <c r="CL545" i="12"/>
  <c r="CL547" i="12" s="1"/>
  <c r="CM547" i="12" s="1"/>
  <c r="CA546" i="12"/>
  <c r="CB546" i="12" s="1"/>
  <c r="CA545" i="12"/>
  <c r="CB545" i="12" s="1"/>
  <c r="BW545" i="12"/>
  <c r="BX545" i="12" s="1"/>
  <c r="BS545" i="12"/>
  <c r="BT545" i="12" s="1"/>
  <c r="BU545" i="12" s="1"/>
  <c r="S545" i="12"/>
  <c r="S109" i="8" s="1"/>
  <c r="P545" i="12"/>
  <c r="N545" i="12"/>
  <c r="N544" i="12"/>
  <c r="N543" i="12"/>
  <c r="N542" i="12"/>
  <c r="BU543" i="12"/>
  <c r="BX542" i="12"/>
  <c r="BY542" i="12" s="1"/>
  <c r="CA541" i="12"/>
  <c r="CB541" i="12" s="1"/>
  <c r="BW541" i="12"/>
  <c r="BX541" i="12" s="1"/>
  <c r="BW540" i="12"/>
  <c r="BW539" i="12"/>
  <c r="BX539" i="12" s="1"/>
  <c r="BY539" i="12" s="1"/>
  <c r="AL541" i="12"/>
  <c r="AK541" i="12"/>
  <c r="O540" i="12"/>
  <c r="N540" i="12"/>
  <c r="CQ539" i="12"/>
  <c r="CR539" i="12" s="1"/>
  <c r="CS539" i="12" s="1"/>
  <c r="CA539" i="12"/>
  <c r="CB539" i="12" s="1"/>
  <c r="BS541" i="12"/>
  <c r="BT541" i="12" s="1"/>
  <c r="BU541" i="12" s="1"/>
  <c r="BS540" i="12"/>
  <c r="BT540" i="12" s="1"/>
  <c r="BS539" i="12"/>
  <c r="BT539" i="12" s="1"/>
  <c r="BU539" i="12" s="1"/>
  <c r="S544" i="12"/>
  <c r="R544" i="12"/>
  <c r="Q544" i="12"/>
  <c r="S543" i="12"/>
  <c r="R543" i="12"/>
  <c r="Q543" i="12"/>
  <c r="S542" i="12"/>
  <c r="R542" i="12"/>
  <c r="Q542" i="12"/>
  <c r="S541" i="12"/>
  <c r="R541" i="12"/>
  <c r="Q541" i="12"/>
  <c r="S540" i="12"/>
  <c r="R540" i="12"/>
  <c r="Q540" i="12"/>
  <c r="T538" i="12"/>
  <c r="S538" i="12"/>
  <c r="R538" i="12"/>
  <c r="Q538" i="12"/>
  <c r="O538" i="12"/>
  <c r="N538" i="12"/>
  <c r="CQ537" i="12"/>
  <c r="CR537" i="12" s="1"/>
  <c r="CS537" i="12" s="1"/>
  <c r="R537" i="12" s="1"/>
  <c r="BV537" i="12"/>
  <c r="BV547" i="12" s="1"/>
  <c r="BR537" i="12"/>
  <c r="AW537" i="12"/>
  <c r="AV537" i="12"/>
  <c r="AU537" i="12"/>
  <c r="AT537" i="12"/>
  <c r="AS537" i="12"/>
  <c r="AR537" i="12"/>
  <c r="AQ537" i="12"/>
  <c r="AP537" i="12"/>
  <c r="AO537" i="12"/>
  <c r="AN537" i="12"/>
  <c r="AM537" i="12"/>
  <c r="AL537" i="12"/>
  <c r="AL547" i="12" s="1"/>
  <c r="AK537" i="12"/>
  <c r="AK547" i="12" s="1"/>
  <c r="N537" i="12"/>
  <c r="CI533" i="12"/>
  <c r="CK531" i="12"/>
  <c r="P531" i="12" s="1"/>
  <c r="CW531" i="12"/>
  <c r="CS531" i="12"/>
  <c r="CR531" i="12"/>
  <c r="CQ531" i="12"/>
  <c r="CP531" i="12"/>
  <c r="CO531" i="12"/>
  <c r="CN531" i="12"/>
  <c r="CM531" i="12"/>
  <c r="CG531" i="12"/>
  <c r="O531" i="12" s="1"/>
  <c r="T531" i="12"/>
  <c r="CT530" i="12"/>
  <c r="CU530" i="12" s="1"/>
  <c r="CV530" i="12" s="1"/>
  <c r="U530" i="12"/>
  <c r="V530" i="12" s="1"/>
  <c r="W530" i="12" s="1"/>
  <c r="X530" i="12" s="1"/>
  <c r="S530" i="12"/>
  <c r="R530" i="12"/>
  <c r="Q530" i="12"/>
  <c r="P530" i="12"/>
  <c r="O530" i="12"/>
  <c r="R529" i="12"/>
  <c r="Q529" i="12"/>
  <c r="P529" i="12"/>
  <c r="O529" i="12"/>
  <c r="S528" i="12"/>
  <c r="R528" i="12"/>
  <c r="Q528" i="12"/>
  <c r="P528" i="12"/>
  <c r="O528" i="12"/>
  <c r="R527" i="12"/>
  <c r="Q527" i="12"/>
  <c r="P527" i="12"/>
  <c r="O527" i="12"/>
  <c r="R526" i="12"/>
  <c r="Q526" i="12"/>
  <c r="P526" i="12"/>
  <c r="O526" i="12"/>
  <c r="CT525" i="12"/>
  <c r="CU525" i="12" s="1"/>
  <c r="CV525" i="12" s="1"/>
  <c r="CL525" i="12"/>
  <c r="CL528" i="12" s="1"/>
  <c r="CL523" i="12"/>
  <c r="CL522" i="12"/>
  <c r="S525" i="12"/>
  <c r="R525" i="12"/>
  <c r="Q525" i="12"/>
  <c r="P525" i="12"/>
  <c r="O525" i="12"/>
  <c r="CO523" i="12"/>
  <c r="Q523" i="12" s="1"/>
  <c r="CT523" i="12"/>
  <c r="CU523" i="12" s="1"/>
  <c r="CV523" i="12" s="1"/>
  <c r="CT522" i="12"/>
  <c r="CU522" i="12" s="1"/>
  <c r="CV522" i="12" s="1"/>
  <c r="CM519" i="12"/>
  <c r="CI521" i="12"/>
  <c r="CJ521" i="12" s="1"/>
  <c r="CH520" i="12"/>
  <c r="CI520" i="12" s="1"/>
  <c r="CJ520" i="12" s="1"/>
  <c r="CC521" i="12"/>
  <c r="CD521" i="12" s="1"/>
  <c r="CE521" i="12" s="1"/>
  <c r="CF521" i="12" s="1"/>
  <c r="CB520" i="12"/>
  <c r="CC520" i="12" s="1"/>
  <c r="CD520" i="12" s="1"/>
  <c r="CE520" i="12" s="1"/>
  <c r="CF520" i="12" s="1"/>
  <c r="S523" i="12"/>
  <c r="R523" i="12"/>
  <c r="P523" i="12"/>
  <c r="O523" i="12"/>
  <c r="S522" i="12"/>
  <c r="R522" i="12"/>
  <c r="Q522" i="12"/>
  <c r="P522" i="12"/>
  <c r="O522" i="12"/>
  <c r="S521" i="12"/>
  <c r="R521" i="12"/>
  <c r="Q521" i="12"/>
  <c r="P521" i="12"/>
  <c r="O521" i="12"/>
  <c r="S520" i="12"/>
  <c r="P520" i="12"/>
  <c r="O520" i="12"/>
  <c r="CW519" i="12"/>
  <c r="CW524" i="12" s="1"/>
  <c r="CW532" i="12" s="1"/>
  <c r="CR519" i="12"/>
  <c r="CQ519" i="12"/>
  <c r="CP519" i="12"/>
  <c r="CO519" i="12"/>
  <c r="CK519" i="12"/>
  <c r="CK524" i="12" s="1"/>
  <c r="CG519" i="12"/>
  <c r="CG524" i="12" s="1"/>
  <c r="T519" i="12"/>
  <c r="T524" i="12" s="1"/>
  <c r="CL518" i="12"/>
  <c r="CL517" i="12"/>
  <c r="U525" i="12"/>
  <c r="V525" i="12" s="1"/>
  <c r="W525" i="12" s="1"/>
  <c r="X525" i="12" s="1"/>
  <c r="U523" i="12"/>
  <c r="V523" i="12" s="1"/>
  <c r="W523" i="12" s="1"/>
  <c r="X523" i="12" s="1"/>
  <c r="U522" i="12"/>
  <c r="V522" i="12" s="1"/>
  <c r="W522" i="12" s="1"/>
  <c r="X522" i="12" s="1"/>
  <c r="AA521" i="12"/>
  <c r="W521" i="12"/>
  <c r="V521" i="12"/>
  <c r="U521" i="12"/>
  <c r="AA520" i="12"/>
  <c r="U520" i="12"/>
  <c r="V520" i="12" s="1"/>
  <c r="W520" i="12" s="1"/>
  <c r="X520" i="12" s="1"/>
  <c r="Y520" i="12" s="1"/>
  <c r="Z520" i="12" s="1"/>
  <c r="U518" i="12"/>
  <c r="V518" i="12" s="1"/>
  <c r="W518" i="12" s="1"/>
  <c r="X518" i="12" s="1"/>
  <c r="U517" i="12"/>
  <c r="V517" i="12" s="1"/>
  <c r="W517" i="12" s="1"/>
  <c r="X517" i="12" s="1"/>
  <c r="CT518" i="12"/>
  <c r="CU518" i="12" s="1"/>
  <c r="CV518" i="12" s="1"/>
  <c r="CT517" i="12"/>
  <c r="CU517" i="12" s="1"/>
  <c r="CV517" i="12" s="1"/>
  <c r="CN515" i="12"/>
  <c r="CN519" i="12" s="1"/>
  <c r="CI515" i="12"/>
  <c r="CJ515" i="12" s="1"/>
  <c r="CH514" i="12"/>
  <c r="CH519" i="12" s="1"/>
  <c r="CC515" i="12"/>
  <c r="CD515" i="12" s="1"/>
  <c r="CE515" i="12" s="1"/>
  <c r="CF515" i="12" s="1"/>
  <c r="CC514" i="12"/>
  <c r="CC533" i="12" s="1"/>
  <c r="U514" i="12"/>
  <c r="V514" i="12" s="1"/>
  <c r="W514" i="12" s="1"/>
  <c r="X514" i="12" s="1"/>
  <c r="Y514" i="12" s="1"/>
  <c r="Z514" i="12" s="1"/>
  <c r="S518" i="12"/>
  <c r="R518" i="12"/>
  <c r="Q518" i="12"/>
  <c r="P518" i="12"/>
  <c r="O518" i="12"/>
  <c r="S517" i="12"/>
  <c r="R517" i="12"/>
  <c r="Q517" i="12"/>
  <c r="P517" i="12"/>
  <c r="O517" i="12"/>
  <c r="S516" i="12"/>
  <c r="R516" i="12"/>
  <c r="R692" i="12" s="1"/>
  <c r="Q516" i="12"/>
  <c r="P516" i="12"/>
  <c r="O516" i="12"/>
  <c r="S515" i="12"/>
  <c r="Q515" i="12"/>
  <c r="P515" i="12"/>
  <c r="O515" i="12"/>
  <c r="S514" i="12"/>
  <c r="R514" i="12"/>
  <c r="Q514" i="12"/>
  <c r="P514" i="12"/>
  <c r="O514" i="12"/>
  <c r="CT509" i="12"/>
  <c r="CU509" i="12" s="1"/>
  <c r="CV509" i="12" s="1"/>
  <c r="CL509" i="12"/>
  <c r="CL508" i="12"/>
  <c r="CL507" i="12"/>
  <c r="S509" i="12"/>
  <c r="R509" i="12"/>
  <c r="Q509" i="12"/>
  <c r="P509" i="12"/>
  <c r="O509" i="12"/>
  <c r="CN508" i="12"/>
  <c r="CO508" i="12" s="1"/>
  <c r="P508" i="12"/>
  <c r="O508" i="12"/>
  <c r="CT507" i="12"/>
  <c r="CU507" i="12" s="1"/>
  <c r="CV507" i="12" s="1"/>
  <c r="CT506" i="12"/>
  <c r="CU506" i="12" s="1"/>
  <c r="CV506" i="12" s="1"/>
  <c r="CL501" i="12"/>
  <c r="S507" i="12"/>
  <c r="R507" i="12"/>
  <c r="Q507" i="12"/>
  <c r="P507" i="12"/>
  <c r="O507" i="12"/>
  <c r="S506" i="12"/>
  <c r="R506" i="12"/>
  <c r="Q506" i="12"/>
  <c r="P506" i="12"/>
  <c r="O506" i="12"/>
  <c r="S505" i="12"/>
  <c r="R505" i="12"/>
  <c r="Q505" i="12"/>
  <c r="P505" i="12"/>
  <c r="O505" i="12"/>
  <c r="CW504" i="12"/>
  <c r="CK503" i="12"/>
  <c r="T504" i="12"/>
  <c r="CS503" i="12"/>
  <c r="CT503" i="12" s="1"/>
  <c r="CU503" i="12" s="1"/>
  <c r="CV503" i="12" s="1"/>
  <c r="CR503" i="12"/>
  <c r="CO503" i="12"/>
  <c r="Q503" i="12" s="1"/>
  <c r="CM503" i="12"/>
  <c r="CG503" i="12"/>
  <c r="CG504" i="12" s="1"/>
  <c r="CG510" i="12" s="1"/>
  <c r="CO500" i="12"/>
  <c r="Q500" i="12" s="1"/>
  <c r="CT501" i="12"/>
  <c r="CU501" i="12" s="1"/>
  <c r="CV501" i="12" s="1"/>
  <c r="CJ499" i="12"/>
  <c r="CJ571" i="12" s="1"/>
  <c r="CI499" i="12"/>
  <c r="CI571" i="12" s="1"/>
  <c r="CH499" i="12"/>
  <c r="CH571" i="12" s="1"/>
  <c r="CF499" i="12"/>
  <c r="CE499" i="12"/>
  <c r="CD499" i="12"/>
  <c r="CC499" i="12"/>
  <c r="U509" i="12"/>
  <c r="V509" i="12" s="1"/>
  <c r="W509" i="12" s="1"/>
  <c r="X509" i="12" s="1"/>
  <c r="U507" i="12"/>
  <c r="V507" i="12" s="1"/>
  <c r="W507" i="12" s="1"/>
  <c r="X507" i="12" s="1"/>
  <c r="U506" i="12"/>
  <c r="V506" i="12" s="1"/>
  <c r="W506" i="12" s="1"/>
  <c r="X506" i="12" s="1"/>
  <c r="U503" i="12"/>
  <c r="V503" i="12" s="1"/>
  <c r="W503" i="12" s="1"/>
  <c r="X503" i="12" s="1"/>
  <c r="U501" i="12"/>
  <c r="V501" i="12" s="1"/>
  <c r="W501" i="12" s="1"/>
  <c r="X501" i="12" s="1"/>
  <c r="S503" i="12"/>
  <c r="R503" i="12"/>
  <c r="S502" i="12"/>
  <c r="P502" i="12"/>
  <c r="O502" i="12"/>
  <c r="S501" i="12"/>
  <c r="R501" i="12"/>
  <c r="Q501" i="12"/>
  <c r="P501" i="12"/>
  <c r="O501" i="12"/>
  <c r="S500" i="12"/>
  <c r="R500" i="12"/>
  <c r="P500" i="12"/>
  <c r="O500" i="12"/>
  <c r="S499" i="12"/>
  <c r="T684" i="12" s="1"/>
  <c r="T685" i="12" s="1"/>
  <c r="U685" i="12" s="1"/>
  <c r="V685" i="12" s="1"/>
  <c r="W685" i="12" s="1"/>
  <c r="X685" i="12" s="1"/>
  <c r="P499" i="12"/>
  <c r="O499" i="12"/>
  <c r="CH472" i="12"/>
  <c r="CG472" i="12"/>
  <c r="CF472" i="12"/>
  <c r="CE472" i="12"/>
  <c r="CD472" i="12"/>
  <c r="CC472" i="12"/>
  <c r="CB472" i="12"/>
  <c r="CA472" i="12"/>
  <c r="BZ472" i="12"/>
  <c r="BY472" i="12"/>
  <c r="BX472" i="12"/>
  <c r="BW472" i="12"/>
  <c r="BV472" i="12"/>
  <c r="CK471" i="12"/>
  <c r="CJ471" i="12"/>
  <c r="CJ472" i="12" s="1"/>
  <c r="CI471" i="12"/>
  <c r="CI472" i="12" s="1"/>
  <c r="CS466" i="12"/>
  <c r="CR466" i="12"/>
  <c r="CQ466" i="12"/>
  <c r="CP466" i="12"/>
  <c r="CN466" i="12"/>
  <c r="CL466" i="12"/>
  <c r="DH464" i="12"/>
  <c r="DH466" i="12" s="1"/>
  <c r="DG464" i="12"/>
  <c r="DG466" i="12" s="1"/>
  <c r="DF464" i="12"/>
  <c r="DF466" i="12" s="1"/>
  <c r="DE464" i="12"/>
  <c r="DE466" i="12" s="1"/>
  <c r="DB464" i="12"/>
  <c r="DB466" i="12" s="1"/>
  <c r="DA464" i="12"/>
  <c r="DA466" i="12" s="1"/>
  <c r="CZ464" i="12"/>
  <c r="CZ466" i="12" s="1"/>
  <c r="CY464" i="12"/>
  <c r="CY466" i="12" s="1"/>
  <c r="CX464" i="12"/>
  <c r="CX466" i="12" s="1"/>
  <c r="CW464" i="12"/>
  <c r="CW466" i="12" s="1"/>
  <c r="CV464" i="12"/>
  <c r="CV466" i="12" s="1"/>
  <c r="CU464" i="12"/>
  <c r="CU466" i="12" s="1"/>
  <c r="CT464" i="12"/>
  <c r="CT466" i="12" s="1"/>
  <c r="DH461" i="12"/>
  <c r="DG461" i="12"/>
  <c r="DF461" i="12"/>
  <c r="DE461" i="12"/>
  <c r="DD461" i="12"/>
  <c r="DC461" i="12"/>
  <c r="DB461" i="12"/>
  <c r="DA461" i="12"/>
  <c r="CZ461" i="12"/>
  <c r="CY461" i="12"/>
  <c r="CX461" i="12"/>
  <c r="CW461" i="12"/>
  <c r="CV461" i="12"/>
  <c r="CU461" i="12"/>
  <c r="CT461" i="12"/>
  <c r="CT463" i="12" s="1"/>
  <c r="CR461" i="12"/>
  <c r="CP461" i="12"/>
  <c r="CL461" i="12"/>
  <c r="CP463" i="12" s="1"/>
  <c r="CH461" i="12"/>
  <c r="CH463" i="12" s="1"/>
  <c r="CG461" i="12"/>
  <c r="CF461" i="12"/>
  <c r="CE461" i="12"/>
  <c r="CE463" i="12" s="1"/>
  <c r="CC461" i="12"/>
  <c r="CG463" i="12" s="1"/>
  <c r="CB461" i="12"/>
  <c r="CA461" i="12"/>
  <c r="BZ461" i="12"/>
  <c r="BY461" i="12"/>
  <c r="BY463" i="12" s="1"/>
  <c r="BX461" i="12"/>
  <c r="BX463" i="12" s="1"/>
  <c r="BW461" i="12"/>
  <c r="BW463" i="12" s="1"/>
  <c r="BV461" i="12"/>
  <c r="BV463" i="12" s="1"/>
  <c r="CM460" i="12"/>
  <c r="CK460" i="12"/>
  <c r="CK461" i="12" s="1"/>
  <c r="CJ460" i="12"/>
  <c r="CN461" i="12" s="1"/>
  <c r="CI460" i="12"/>
  <c r="U460" i="12"/>
  <c r="T460" i="12"/>
  <c r="S460" i="12"/>
  <c r="R460" i="12"/>
  <c r="AL459" i="12"/>
  <c r="AK459" i="12"/>
  <c r="DH452" i="12"/>
  <c r="DG452" i="12"/>
  <c r="DF452" i="12"/>
  <c r="DE452" i="12"/>
  <c r="DD452" i="12"/>
  <c r="DC452" i="12"/>
  <c r="DB452" i="12"/>
  <c r="DA452" i="12"/>
  <c r="CZ452" i="12"/>
  <c r="CY452" i="12"/>
  <c r="CX452" i="12"/>
  <c r="CW452" i="12"/>
  <c r="CV452" i="12"/>
  <c r="CU452" i="12"/>
  <c r="CT452" i="12"/>
  <c r="CS452" i="12"/>
  <c r="CR452" i="12"/>
  <c r="CQ452" i="12"/>
  <c r="CP452" i="12"/>
  <c r="CO452" i="12"/>
  <c r="CN452" i="12"/>
  <c r="CM452" i="12"/>
  <c r="DC448" i="12"/>
  <c r="DB448" i="12"/>
  <c r="DB447" i="12" s="1"/>
  <c r="DA448" i="12"/>
  <c r="DA447" i="12" s="1"/>
  <c r="CZ448" i="12"/>
  <c r="CZ447" i="12" s="1"/>
  <c r="CY448" i="12"/>
  <c r="CY447" i="12" s="1"/>
  <c r="CX448" i="12"/>
  <c r="CX447" i="12" s="1"/>
  <c r="CW448" i="12"/>
  <c r="CW447" i="12" s="1"/>
  <c r="CV448" i="12"/>
  <c r="CV447" i="12" s="1"/>
  <c r="CU448" i="12"/>
  <c r="CU447" i="12" s="1"/>
  <c r="CT448" i="12"/>
  <c r="CT447" i="12" s="1"/>
  <c r="S448" i="12"/>
  <c r="DH385" i="12"/>
  <c r="DH387" i="12" s="1"/>
  <c r="DH417" i="12" s="1"/>
  <c r="DG385" i="12"/>
  <c r="DG387" i="12" s="1"/>
  <c r="DF385" i="12"/>
  <c r="DF387" i="12" s="1"/>
  <c r="DF417" i="12" s="1"/>
  <c r="DE385" i="12"/>
  <c r="DE387" i="12" s="1"/>
  <c r="DH381" i="12"/>
  <c r="DG381" i="12"/>
  <c r="DF381" i="12"/>
  <c r="DF380" i="12" s="1"/>
  <c r="DE381" i="12"/>
  <c r="DD381" i="12"/>
  <c r="DC381" i="12"/>
  <c r="DC380" i="12" s="1"/>
  <c r="DB381" i="12"/>
  <c r="DB380" i="12" s="1"/>
  <c r="DA381" i="12"/>
  <c r="CZ381" i="12"/>
  <c r="CZ380" i="12" s="1"/>
  <c r="CY381" i="12"/>
  <c r="CX381" i="12"/>
  <c r="CX380" i="12" s="1"/>
  <c r="CW381" i="12"/>
  <c r="CW380" i="12" s="1"/>
  <c r="S380" i="12" s="1"/>
  <c r="CV381" i="12"/>
  <c r="CV380" i="12" s="1"/>
  <c r="CU381" i="12"/>
  <c r="CU380" i="12" s="1"/>
  <c r="CT381" i="12"/>
  <c r="CT380" i="12" s="1"/>
  <c r="CS381" i="12"/>
  <c r="CS380" i="12" s="1"/>
  <c r="R380" i="12" s="1"/>
  <c r="CR381" i="12"/>
  <c r="CR380" i="12" s="1"/>
  <c r="CQ381" i="12"/>
  <c r="CQ380" i="12" s="1"/>
  <c r="CP381" i="12"/>
  <c r="CP380" i="12" s="1"/>
  <c r="DE376" i="12"/>
  <c r="DE377" i="12" s="1"/>
  <c r="DB376" i="12"/>
  <c r="DA376" i="12"/>
  <c r="DA377" i="12" s="1"/>
  <c r="CZ376" i="12"/>
  <c r="CZ377" i="12" s="1"/>
  <c r="CY376" i="12"/>
  <c r="CY377" i="12" s="1"/>
  <c r="CX376" i="12"/>
  <c r="CX377" i="12" s="1"/>
  <c r="CW376" i="12"/>
  <c r="CV376" i="12"/>
  <c r="CV377" i="12" s="1"/>
  <c r="DE374" i="12"/>
  <c r="DB374" i="12"/>
  <c r="DA374" i="12"/>
  <c r="CZ374" i="12"/>
  <c r="CY374" i="12"/>
  <c r="CX374" i="12"/>
  <c r="CW374" i="12"/>
  <c r="CV374" i="12"/>
  <c r="DD373" i="12"/>
  <c r="DC373" i="12"/>
  <c r="U375" i="12"/>
  <c r="T375" i="12"/>
  <c r="S375" i="12"/>
  <c r="U373" i="12"/>
  <c r="S373" i="12"/>
  <c r="U370" i="12"/>
  <c r="U385" i="12" s="1"/>
  <c r="T370" i="12"/>
  <c r="S370" i="12"/>
  <c r="DB368" i="12"/>
  <c r="U368" i="12" s="1"/>
  <c r="DA368" i="12"/>
  <c r="CZ368" i="12"/>
  <c r="CY368" i="12"/>
  <c r="CX368" i="12"/>
  <c r="W367" i="12"/>
  <c r="U367" i="12"/>
  <c r="T367" i="12"/>
  <c r="CW364" i="12"/>
  <c r="CV364" i="12"/>
  <c r="DH361" i="12"/>
  <c r="DH359" i="12" s="1"/>
  <c r="DG361" i="12"/>
  <c r="DG359" i="12" s="1"/>
  <c r="DF361" i="12"/>
  <c r="DF359" i="12" s="1"/>
  <c r="DE361" i="12"/>
  <c r="DE359" i="12" s="1"/>
  <c r="DD361" i="12"/>
  <c r="DD359" i="12" s="1"/>
  <c r="DC361" i="12"/>
  <c r="DC359" i="12" s="1"/>
  <c r="DB361" i="12"/>
  <c r="DB359" i="12" s="1"/>
  <c r="DA361" i="12"/>
  <c r="DA359" i="12" s="1"/>
  <c r="CZ361" i="12"/>
  <c r="CZ359" i="12" s="1"/>
  <c r="CY361" i="12"/>
  <c r="CY359" i="12" s="1"/>
  <c r="CX361" i="12"/>
  <c r="CX359" i="12" s="1"/>
  <c r="CW361" i="12"/>
  <c r="CW359" i="12" s="1"/>
  <c r="CV361" i="12"/>
  <c r="CV359" i="12" s="1"/>
  <c r="CU361" i="12"/>
  <c r="CU359" i="12" s="1"/>
  <c r="CT361" i="12"/>
  <c r="CT359" i="12" s="1"/>
  <c r="CS361" i="12"/>
  <c r="CS359" i="12" s="1"/>
  <c r="CR361" i="12"/>
  <c r="CR359" i="12" s="1"/>
  <c r="CQ361" i="12"/>
  <c r="CQ359" i="12" s="1"/>
  <c r="CP361" i="12"/>
  <c r="CP359" i="12" s="1"/>
  <c r="CO361" i="12"/>
  <c r="CO359" i="12" s="1"/>
  <c r="CN361" i="12"/>
  <c r="CN359" i="12" s="1"/>
  <c r="CM361" i="12"/>
  <c r="CM359" i="12" s="1"/>
  <c r="BU352" i="12"/>
  <c r="BT352" i="12"/>
  <c r="BS352" i="12"/>
  <c r="BR352" i="12"/>
  <c r="BQ352" i="12"/>
  <c r="BP352" i="12"/>
  <c r="BO352" i="12"/>
  <c r="BN352" i="12"/>
  <c r="BM352" i="12"/>
  <c r="BL352" i="12"/>
  <c r="BK352" i="12"/>
  <c r="BJ352" i="12"/>
  <c r="BI352" i="12"/>
  <c r="BH352" i="12"/>
  <c r="BG352" i="12"/>
  <c r="BF352" i="12"/>
  <c r="BE352" i="12"/>
  <c r="BD352" i="12"/>
  <c r="BC352" i="12"/>
  <c r="BB352" i="12"/>
  <c r="BA352" i="12"/>
  <c r="AZ352" i="12"/>
  <c r="AY352" i="12"/>
  <c r="I352" i="12"/>
  <c r="H352" i="12"/>
  <c r="CP351" i="12"/>
  <c r="CQ351" i="12" s="1"/>
  <c r="CR351" i="12" s="1"/>
  <c r="CS351" i="12" s="1"/>
  <c r="BU351" i="12"/>
  <c r="BT351" i="12"/>
  <c r="BS351" i="12"/>
  <c r="BR351" i="12"/>
  <c r="BQ351" i="12"/>
  <c r="BP351" i="12"/>
  <c r="BO351" i="12"/>
  <c r="BN351" i="12"/>
  <c r="BM351" i="12"/>
  <c r="BL351" i="12"/>
  <c r="BK351" i="12"/>
  <c r="BJ351" i="12"/>
  <c r="BI351" i="12"/>
  <c r="BH351" i="12"/>
  <c r="BG351" i="12"/>
  <c r="BF351" i="12"/>
  <c r="BE351" i="12"/>
  <c r="BD351" i="12"/>
  <c r="BC351" i="12"/>
  <c r="BB351" i="12"/>
  <c r="BA351" i="12"/>
  <c r="AZ351" i="12"/>
  <c r="AY351" i="12"/>
  <c r="BU350" i="12"/>
  <c r="BT350" i="12"/>
  <c r="BS350" i="12"/>
  <c r="BR350" i="12"/>
  <c r="BQ350" i="12"/>
  <c r="BP350" i="12"/>
  <c r="BO350" i="12"/>
  <c r="BN350" i="12"/>
  <c r="BM350" i="12"/>
  <c r="BL350" i="12"/>
  <c r="BK350" i="12"/>
  <c r="BJ350" i="12"/>
  <c r="BI350" i="12"/>
  <c r="BH350" i="12"/>
  <c r="BG350" i="12"/>
  <c r="BF350" i="12"/>
  <c r="BE350" i="12"/>
  <c r="BD350" i="12"/>
  <c r="BC350" i="12"/>
  <c r="BB350" i="12"/>
  <c r="I350" i="12"/>
  <c r="H350" i="12"/>
  <c r="BV349" i="12"/>
  <c r="L349" i="12"/>
  <c r="L352" i="12" s="1"/>
  <c r="K349" i="12"/>
  <c r="J349" i="12"/>
  <c r="J352" i="12" s="1"/>
  <c r="CO346" i="12"/>
  <c r="CN346" i="12"/>
  <c r="CM346" i="12"/>
  <c r="CL346" i="12"/>
  <c r="CZ346" i="12"/>
  <c r="CY346" i="12"/>
  <c r="CX346" i="12"/>
  <c r="CW346" i="12"/>
  <c r="CV346" i="12"/>
  <c r="CU346" i="12"/>
  <c r="CT346" i="12"/>
  <c r="CS346" i="12"/>
  <c r="CR346" i="12"/>
  <c r="CQ346" i="12"/>
  <c r="CP346" i="12"/>
  <c r="CG341" i="12"/>
  <c r="CG342" i="12" s="1"/>
  <c r="CF341" i="12"/>
  <c r="CE341" i="12"/>
  <c r="CD341" i="12"/>
  <c r="CC341" i="12"/>
  <c r="CB341" i="12"/>
  <c r="CA341" i="12"/>
  <c r="BZ341" i="12"/>
  <c r="DH331" i="12"/>
  <c r="DG331" i="12"/>
  <c r="DF331" i="12"/>
  <c r="DE331" i="12"/>
  <c r="DD331" i="12"/>
  <c r="DC331" i="12"/>
  <c r="DB331" i="12"/>
  <c r="DA331" i="12"/>
  <c r="CZ331" i="12"/>
  <c r="CY331" i="12"/>
  <c r="CX331" i="12"/>
  <c r="CW331" i="12"/>
  <c r="CV331" i="12"/>
  <c r="CU331" i="12"/>
  <c r="CT331" i="12"/>
  <c r="CS331" i="12"/>
  <c r="CR331" i="12"/>
  <c r="CQ331" i="12"/>
  <c r="CP331" i="12"/>
  <c r="DH325" i="12"/>
  <c r="DG325" i="12"/>
  <c r="DF325" i="12"/>
  <c r="DF329" i="12" s="1"/>
  <c r="DE325" i="12"/>
  <c r="DE326" i="12" s="1"/>
  <c r="DD325" i="12"/>
  <c r="DD332" i="12" s="1"/>
  <c r="DC325" i="12"/>
  <c r="DC332" i="12" s="1"/>
  <c r="DB325" i="12"/>
  <c r="DA325" i="12"/>
  <c r="CZ325" i="12"/>
  <c r="CZ332" i="12" s="1"/>
  <c r="CY325" i="12"/>
  <c r="CY329" i="12" s="1"/>
  <c r="CX325" i="12"/>
  <c r="CX332" i="12" s="1"/>
  <c r="CW325" i="12"/>
  <c r="CV325" i="12"/>
  <c r="CV329" i="12" s="1"/>
  <c r="CU325" i="12"/>
  <c r="CU332" i="12" s="1"/>
  <c r="CT325" i="12"/>
  <c r="CT329" i="12" s="1"/>
  <c r="CS325" i="12"/>
  <c r="CR325" i="12"/>
  <c r="CR329" i="12" s="1"/>
  <c r="CQ325" i="12"/>
  <c r="CQ329" i="12" s="1"/>
  <c r="CP325" i="12"/>
  <c r="CO325" i="12"/>
  <c r="CN325" i="12"/>
  <c r="CN329" i="12" s="1"/>
  <c r="CM325" i="12"/>
  <c r="CM332" i="12" s="1"/>
  <c r="DH320" i="12"/>
  <c r="DG320" i="12"/>
  <c r="DF320" i="12"/>
  <c r="DE320" i="12"/>
  <c r="DD320" i="12"/>
  <c r="DC320" i="12"/>
  <c r="DB320" i="12"/>
  <c r="DA320" i="12"/>
  <c r="CZ320" i="12"/>
  <c r="CY320" i="12"/>
  <c r="CX320" i="12"/>
  <c r="CW320" i="12"/>
  <c r="CV320" i="12"/>
  <c r="CU320" i="12"/>
  <c r="CT320" i="12"/>
  <c r="CS320" i="12"/>
  <c r="CR320" i="12"/>
  <c r="CQ320" i="12"/>
  <c r="CP320" i="12"/>
  <c r="Q319" i="12"/>
  <c r="L133" i="22" s="1"/>
  <c r="CK319" i="12"/>
  <c r="BX133" i="22" s="1"/>
  <c r="CJ319" i="12"/>
  <c r="CI319" i="12"/>
  <c r="BV133" i="22" s="1"/>
  <c r="CH319" i="12"/>
  <c r="U319" i="12"/>
  <c r="T319" i="12"/>
  <c r="S319" i="12"/>
  <c r="N133" i="22" s="1"/>
  <c r="R319" i="12"/>
  <c r="CW318" i="12"/>
  <c r="CW277" i="12"/>
  <c r="CW276" i="12"/>
  <c r="DH277" i="12"/>
  <c r="DG277" i="12"/>
  <c r="DF277" i="12"/>
  <c r="DE277" i="12"/>
  <c r="DD277" i="12"/>
  <c r="DC277" i="12"/>
  <c r="DB277" i="12"/>
  <c r="DA277" i="12"/>
  <c r="CZ277" i="12"/>
  <c r="CY277" i="12"/>
  <c r="CX277" i="12"/>
  <c r="DH276" i="12"/>
  <c r="DG276" i="12"/>
  <c r="DF276" i="12"/>
  <c r="DE276" i="12"/>
  <c r="DD276" i="12"/>
  <c r="DC276" i="12"/>
  <c r="DB276" i="12"/>
  <c r="DA276" i="12"/>
  <c r="CZ276" i="12"/>
  <c r="CY276" i="12"/>
  <c r="CX276" i="12"/>
  <c r="CV277" i="12"/>
  <c r="CU277" i="12"/>
  <c r="CT277" i="12"/>
  <c r="CV276" i="12"/>
  <c r="CU276" i="12"/>
  <c r="CT276" i="12"/>
  <c r="CS276" i="12"/>
  <c r="CR276" i="12"/>
  <c r="CQ276" i="12"/>
  <c r="DH274" i="12"/>
  <c r="DG274" i="12"/>
  <c r="DF274" i="12"/>
  <c r="DE274" i="12"/>
  <c r="DD274" i="12"/>
  <c r="DC274" i="12"/>
  <c r="DB274" i="12"/>
  <c r="DA274" i="12"/>
  <c r="CZ274" i="12"/>
  <c r="CY274" i="12"/>
  <c r="CX274" i="12"/>
  <c r="CW274" i="12"/>
  <c r="CV274" i="12"/>
  <c r="CU274" i="12"/>
  <c r="CT274" i="12"/>
  <c r="DH273" i="12"/>
  <c r="DG273" i="12"/>
  <c r="DF273" i="12"/>
  <c r="DE273" i="12"/>
  <c r="DD273" i="12"/>
  <c r="DC273" i="12"/>
  <c r="DB273" i="12"/>
  <c r="DA273" i="12"/>
  <c r="CZ273" i="12"/>
  <c r="CY273" i="12"/>
  <c r="CX273" i="12"/>
  <c r="CW273" i="12"/>
  <c r="CV273" i="12"/>
  <c r="CU273" i="12"/>
  <c r="CT273" i="12"/>
  <c r="CS273" i="12"/>
  <c r="CR273" i="12"/>
  <c r="CQ273" i="12"/>
  <c r="DH271" i="12"/>
  <c r="DG271" i="12"/>
  <c r="DF271" i="12"/>
  <c r="DE271" i="12"/>
  <c r="DD271" i="12"/>
  <c r="DC271" i="12"/>
  <c r="DB271" i="12"/>
  <c r="DA271" i="12"/>
  <c r="CZ271" i="12"/>
  <c r="CY271" i="12"/>
  <c r="CX271" i="12"/>
  <c r="CW271" i="12"/>
  <c r="CV271" i="12"/>
  <c r="CU271" i="12"/>
  <c r="CT271" i="12"/>
  <c r="DH270" i="12"/>
  <c r="DG270" i="12"/>
  <c r="DF270" i="12"/>
  <c r="DE270" i="12"/>
  <c r="DD270" i="12"/>
  <c r="DC270" i="12"/>
  <c r="DB270" i="12"/>
  <c r="DA270" i="12"/>
  <c r="CZ270" i="12"/>
  <c r="CY270" i="12"/>
  <c r="CX270" i="12"/>
  <c r="CW270" i="12"/>
  <c r="CV270" i="12"/>
  <c r="CU270" i="12"/>
  <c r="CT270" i="12"/>
  <c r="CS270" i="12"/>
  <c r="CR270" i="12"/>
  <c r="CQ270" i="12"/>
  <c r="CZ250" i="12"/>
  <c r="CY250" i="12"/>
  <c r="CX250" i="12"/>
  <c r="CW250" i="12"/>
  <c r="CV250" i="12"/>
  <c r="CU250" i="12"/>
  <c r="CT250" i="12"/>
  <c r="CS250" i="12"/>
  <c r="CR250" i="12"/>
  <c r="CQ250" i="12"/>
  <c r="CP250" i="12"/>
  <c r="CK249" i="12"/>
  <c r="CJ249" i="12"/>
  <c r="CI249" i="12"/>
  <c r="CH249" i="12"/>
  <c r="CZ315" i="12"/>
  <c r="CY315" i="12"/>
  <c r="CX315" i="12"/>
  <c r="CW315" i="12"/>
  <c r="CV315" i="12"/>
  <c r="CU315" i="12"/>
  <c r="CT315" i="12"/>
  <c r="CS315" i="12"/>
  <c r="CR315" i="12"/>
  <c r="CQ315" i="12"/>
  <c r="CP315" i="12"/>
  <c r="DH249" i="12"/>
  <c r="DH246" i="12" s="1"/>
  <c r="DG249" i="12"/>
  <c r="DF249" i="12"/>
  <c r="DE249" i="12"/>
  <c r="DD249" i="12"/>
  <c r="DC249" i="12"/>
  <c r="DB249" i="12"/>
  <c r="DA249" i="12"/>
  <c r="CM311" i="12"/>
  <c r="CL311" i="12"/>
  <c r="CK311" i="12"/>
  <c r="CJ311" i="12"/>
  <c r="CI311" i="12"/>
  <c r="CH311" i="12"/>
  <c r="CG311" i="12"/>
  <c r="CF311" i="12"/>
  <c r="CE311" i="12"/>
  <c r="CD311" i="12"/>
  <c r="CC311" i="12"/>
  <c r="CB311" i="12"/>
  <c r="CA311" i="12"/>
  <c r="BZ311" i="12"/>
  <c r="BY311" i="12"/>
  <c r="BX311" i="12"/>
  <c r="BW311" i="12"/>
  <c r="BV311" i="12"/>
  <c r="BU311" i="12"/>
  <c r="CM310" i="12"/>
  <c r="CL310" i="12"/>
  <c r="CK310" i="12"/>
  <c r="CJ310" i="12"/>
  <c r="CI310" i="12"/>
  <c r="CH310" i="12"/>
  <c r="CG310" i="12"/>
  <c r="CF310" i="12"/>
  <c r="CE310" i="12"/>
  <c r="CD310" i="12"/>
  <c r="CC310" i="12"/>
  <c r="CB310" i="12"/>
  <c r="CA310" i="12"/>
  <c r="BZ310" i="12"/>
  <c r="BY310" i="12"/>
  <c r="BX310" i="12"/>
  <c r="CZ246" i="12"/>
  <c r="CY246" i="12"/>
  <c r="CY327" i="12" s="1"/>
  <c r="CX246" i="12"/>
  <c r="CW246" i="12"/>
  <c r="CV246" i="12"/>
  <c r="CV327" i="12" s="1"/>
  <c r="CU246" i="12"/>
  <c r="CT246" i="12"/>
  <c r="CK241" i="12"/>
  <c r="CJ241" i="12"/>
  <c r="CI241" i="12"/>
  <c r="CH241" i="12"/>
  <c r="CG241" i="12"/>
  <c r="CF241" i="12"/>
  <c r="CE241" i="12"/>
  <c r="CD241" i="12"/>
  <c r="CC241" i="12"/>
  <c r="CB241" i="12"/>
  <c r="CA241" i="12"/>
  <c r="BZ241" i="12"/>
  <c r="CK240" i="12"/>
  <c r="CJ240" i="12"/>
  <c r="CI240" i="12"/>
  <c r="CH240" i="12"/>
  <c r="CG240" i="12"/>
  <c r="CF240" i="12"/>
  <c r="CE240" i="12"/>
  <c r="CD240" i="12"/>
  <c r="CC240" i="12"/>
  <c r="CB240" i="12"/>
  <c r="CA240" i="12"/>
  <c r="BZ240" i="12"/>
  <c r="P235" i="12"/>
  <c r="O235" i="12"/>
  <c r="N235" i="12"/>
  <c r="P234" i="12"/>
  <c r="O234" i="12"/>
  <c r="N234" i="12"/>
  <c r="CD229" i="12"/>
  <c r="CE229" i="12" s="1"/>
  <c r="CF229" i="12" s="1"/>
  <c r="CG229" i="12" s="1"/>
  <c r="CJ227" i="12"/>
  <c r="CI227" i="12"/>
  <c r="CH227" i="12"/>
  <c r="CG227" i="12"/>
  <c r="O227" i="12" s="1"/>
  <c r="N229" i="12"/>
  <c r="R220" i="12"/>
  <c r="Q220" i="12"/>
  <c r="CN219" i="12"/>
  <c r="CN196" i="12" s="1"/>
  <c r="CM219" i="12"/>
  <c r="CM196" i="12" s="1"/>
  <c r="CL219" i="12"/>
  <c r="CL196" i="12" s="1"/>
  <c r="CK219" i="12"/>
  <c r="CJ219" i="12"/>
  <c r="CI219" i="12"/>
  <c r="CF218" i="12"/>
  <c r="CE218" i="12"/>
  <c r="CD218" i="12"/>
  <c r="CC218" i="12"/>
  <c r="CB218" i="12"/>
  <c r="CA218" i="12"/>
  <c r="BZ218" i="12"/>
  <c r="CK214" i="12"/>
  <c r="CJ214" i="12"/>
  <c r="CI214" i="12"/>
  <c r="CH214" i="12"/>
  <c r="CG214" i="12"/>
  <c r="CF214" i="12"/>
  <c r="CE214" i="12"/>
  <c r="CD214" i="12"/>
  <c r="CC214" i="12"/>
  <c r="CB214" i="12"/>
  <c r="CA214" i="12"/>
  <c r="CK211" i="12"/>
  <c r="CK215" i="12" s="1"/>
  <c r="CJ211" i="12"/>
  <c r="CI211" i="12"/>
  <c r="CH211" i="12"/>
  <c r="CI212" i="12" s="1"/>
  <c r="CG211" i="12"/>
  <c r="CG215" i="12" s="1"/>
  <c r="CF211" i="12"/>
  <c r="CF215" i="12" s="1"/>
  <c r="CE211" i="12"/>
  <c r="CD211" i="12"/>
  <c r="CC211" i="12"/>
  <c r="CC215" i="12" s="1"/>
  <c r="CB211" i="12"/>
  <c r="CB215" i="12" s="1"/>
  <c r="CA211" i="12"/>
  <c r="CA215" i="12" s="1"/>
  <c r="BZ211" i="12"/>
  <c r="BV211" i="12"/>
  <c r="CK209" i="12"/>
  <c r="CJ209" i="12"/>
  <c r="CI209" i="12"/>
  <c r="CH209" i="12"/>
  <c r="CG209" i="12"/>
  <c r="CG255" i="12" s="1"/>
  <c r="BT117" i="22" s="1"/>
  <c r="CF209" i="12"/>
  <c r="CF255" i="12" s="1"/>
  <c r="BS117" i="22" s="1"/>
  <c r="CE209" i="12"/>
  <c r="CE255" i="12" s="1"/>
  <c r="BR117" i="22" s="1"/>
  <c r="CD209" i="12"/>
  <c r="CC209" i="12"/>
  <c r="CC255" i="12" s="1"/>
  <c r="BP117" i="22" s="1"/>
  <c r="CB209" i="12"/>
  <c r="CB255" i="12" s="1"/>
  <c r="BO117" i="22" s="1"/>
  <c r="CA209" i="12"/>
  <c r="CA255" i="12" s="1"/>
  <c r="BN117" i="22" s="1"/>
  <c r="CO210" i="12"/>
  <c r="CN210" i="12"/>
  <c r="CM210" i="12"/>
  <c r="CO208" i="12"/>
  <c r="Q208" i="12" s="1"/>
  <c r="CN208" i="12"/>
  <c r="CM208" i="12"/>
  <c r="CL208" i="12"/>
  <c r="BY208" i="12"/>
  <c r="BV208" i="12"/>
  <c r="BI116" i="22" s="1"/>
  <c r="P208" i="12"/>
  <c r="O208" i="12"/>
  <c r="N208" i="12"/>
  <c r="BT205" i="12"/>
  <c r="BO205" i="12"/>
  <c r="BP205" i="12" s="1"/>
  <c r="BM205" i="12"/>
  <c r="BL205" i="12" s="1"/>
  <c r="CK196" i="12"/>
  <c r="CJ196" i="12"/>
  <c r="CI196" i="12"/>
  <c r="CH196" i="12"/>
  <c r="CG196" i="12"/>
  <c r="CF196" i="12"/>
  <c r="CE196" i="12"/>
  <c r="CD196" i="12"/>
  <c r="CC196" i="12"/>
  <c r="CB196" i="12"/>
  <c r="CA196" i="12"/>
  <c r="BZ196" i="12"/>
  <c r="BY196" i="12"/>
  <c r="BX196" i="12"/>
  <c r="BW196" i="12"/>
  <c r="CL195" i="12"/>
  <c r="CO197" i="12"/>
  <c r="CN197" i="12"/>
  <c r="CM197" i="12"/>
  <c r="CO195" i="12"/>
  <c r="Q195" i="12" s="1"/>
  <c r="CN195" i="12"/>
  <c r="CM195" i="12"/>
  <c r="P195" i="12"/>
  <c r="O195" i="12"/>
  <c r="N195" i="12"/>
  <c r="N196" i="12" s="1"/>
  <c r="CK190" i="12"/>
  <c r="CJ190" i="12"/>
  <c r="CJ188" i="12" s="1"/>
  <c r="CJ192" i="12" s="1"/>
  <c r="CI190" i="12"/>
  <c r="CI188" i="12" s="1"/>
  <c r="CH190" i="12"/>
  <c r="CG190" i="12"/>
  <c r="CF190" i="12"/>
  <c r="CF188" i="12" s="1"/>
  <c r="CE190" i="12"/>
  <c r="CE188" i="12" s="1"/>
  <c r="CD190" i="12"/>
  <c r="CC190" i="12"/>
  <c r="CB190" i="12"/>
  <c r="CB188" i="12" s="1"/>
  <c r="CA190" i="12"/>
  <c r="CA188" i="12" s="1"/>
  <c r="BZ190" i="12"/>
  <c r="P191" i="12"/>
  <c r="O191" i="12"/>
  <c r="N191" i="12"/>
  <c r="BZ188" i="12"/>
  <c r="P185" i="12"/>
  <c r="BC184" i="12"/>
  <c r="BB184" i="12"/>
  <c r="BA184" i="12"/>
  <c r="AZ184" i="12"/>
  <c r="AY184" i="12"/>
  <c r="BC183" i="12"/>
  <c r="BB183" i="12"/>
  <c r="AK183" i="12"/>
  <c r="AL183" i="12" s="1"/>
  <c r="CK182" i="12"/>
  <c r="CJ182" i="12"/>
  <c r="CI182" i="12"/>
  <c r="CH182" i="12"/>
  <c r="CG182" i="12"/>
  <c r="CF182" i="12"/>
  <c r="CE182" i="12"/>
  <c r="CD182" i="12"/>
  <c r="CC182" i="12"/>
  <c r="CB182" i="12"/>
  <c r="CA182" i="12"/>
  <c r="BZ182" i="12"/>
  <c r="BY182" i="12"/>
  <c r="BX182" i="12"/>
  <c r="BW182" i="12"/>
  <c r="BV182" i="12"/>
  <c r="BU182" i="12"/>
  <c r="BT182" i="12"/>
  <c r="BS182" i="12"/>
  <c r="BR182" i="12"/>
  <c r="BQ182" i="12"/>
  <c r="BP182" i="12"/>
  <c r="BO182" i="12"/>
  <c r="BN182" i="12"/>
  <c r="BM182" i="12"/>
  <c r="BL182" i="12"/>
  <c r="BK182" i="12"/>
  <c r="BJ182" i="12"/>
  <c r="BI182" i="12"/>
  <c r="BH182" i="12"/>
  <c r="BG182" i="12"/>
  <c r="BG183" i="12" s="1"/>
  <c r="BF182" i="12"/>
  <c r="BE182" i="12"/>
  <c r="BE183" i="12" s="1"/>
  <c r="BD182" i="12"/>
  <c r="DH181" i="12"/>
  <c r="DG181" i="12"/>
  <c r="DF181" i="12"/>
  <c r="DE181" i="12"/>
  <c r="DD181" i="12"/>
  <c r="DC181" i="12"/>
  <c r="DB181" i="12"/>
  <c r="DA181" i="12"/>
  <c r="CZ181" i="12"/>
  <c r="CY181" i="12"/>
  <c r="CX181" i="12"/>
  <c r="CW181" i="12"/>
  <c r="CV181" i="12"/>
  <c r="CU181" i="12"/>
  <c r="CT181" i="12"/>
  <c r="CS181" i="12"/>
  <c r="CR181" i="12"/>
  <c r="CQ181" i="12"/>
  <c r="CP181" i="12"/>
  <c r="CO181" i="12"/>
  <c r="CN181" i="12"/>
  <c r="CM181" i="12"/>
  <c r="CL181" i="12"/>
  <c r="CK288" i="12"/>
  <c r="CJ288" i="12"/>
  <c r="CI288" i="12"/>
  <c r="CH288" i="12"/>
  <c r="DH286" i="12"/>
  <c r="DG286" i="12"/>
  <c r="DF286" i="12"/>
  <c r="CS141" i="22" s="1"/>
  <c r="DE286" i="12"/>
  <c r="CR141" i="22" s="1"/>
  <c r="DD286" i="12"/>
  <c r="DC286" i="12"/>
  <c r="DC180" i="12" s="1"/>
  <c r="DB286" i="12"/>
  <c r="CO141" i="22" s="1"/>
  <c r="DA286" i="12"/>
  <c r="CN141" i="22" s="1"/>
  <c r="CZ286" i="12"/>
  <c r="CZ180" i="12" s="1"/>
  <c r="CY286" i="12"/>
  <c r="CL141" i="22" s="1"/>
  <c r="CX286" i="12"/>
  <c r="CW286" i="12"/>
  <c r="CJ141" i="22" s="1"/>
  <c r="CV286" i="12"/>
  <c r="CU286" i="12"/>
  <c r="CT286" i="12"/>
  <c r="CG141" i="22" s="1"/>
  <c r="CS286" i="12"/>
  <c r="CF141" i="22" s="1"/>
  <c r="CR286" i="12"/>
  <c r="CQ286" i="12"/>
  <c r="CP286" i="12"/>
  <c r="CC141" i="22" s="1"/>
  <c r="CO286" i="12"/>
  <c r="CO180" i="12" s="1"/>
  <c r="CN286" i="12"/>
  <c r="CN180" i="12" s="1"/>
  <c r="CM286" i="12"/>
  <c r="CL286" i="12"/>
  <c r="DH255" i="12"/>
  <c r="CU117" i="22" s="1"/>
  <c r="DG255" i="12"/>
  <c r="DF255" i="12"/>
  <c r="DE255" i="12"/>
  <c r="DD255" i="12"/>
  <c r="DD256" i="12" s="1"/>
  <c r="CQ155" i="22" s="1"/>
  <c r="DC255" i="12"/>
  <c r="DB255" i="12"/>
  <c r="DA255" i="12"/>
  <c r="CN117" i="22" s="1"/>
  <c r="CZ255" i="12"/>
  <c r="CY255" i="12"/>
  <c r="CY256" i="12" s="1"/>
  <c r="CL155" i="22" s="1"/>
  <c r="CX255" i="12"/>
  <c r="CW255" i="12"/>
  <c r="CV255" i="12"/>
  <c r="CU255" i="12"/>
  <c r="CT255" i="12"/>
  <c r="CS255" i="12"/>
  <c r="CR255" i="12"/>
  <c r="CQ255" i="12"/>
  <c r="CP255" i="12"/>
  <c r="CP219" i="12" s="1"/>
  <c r="CO255" i="12"/>
  <c r="CB117" i="22" s="1"/>
  <c r="CN255" i="12"/>
  <c r="CM255" i="12"/>
  <c r="CL255" i="12"/>
  <c r="BZ255" i="12"/>
  <c r="BM117" i="22" s="1"/>
  <c r="CK254" i="12"/>
  <c r="BX116" i="22" s="1"/>
  <c r="CJ254" i="12"/>
  <c r="CI254" i="12"/>
  <c r="CH254" i="12"/>
  <c r="U254" i="12"/>
  <c r="P116" i="22" s="1"/>
  <c r="T254" i="12"/>
  <c r="S254" i="12"/>
  <c r="R254" i="12"/>
  <c r="Q254" i="12"/>
  <c r="L116" i="22" s="1"/>
  <c r="U117" i="12"/>
  <c r="T117" i="12"/>
  <c r="S117" i="12"/>
  <c r="R117" i="12"/>
  <c r="Q117" i="12"/>
  <c r="P117" i="12"/>
  <c r="CE174" i="12"/>
  <c r="CD174" i="12"/>
  <c r="O173" i="12"/>
  <c r="N173" i="12"/>
  <c r="CK166" i="12"/>
  <c r="CJ166" i="12"/>
  <c r="CI166" i="12"/>
  <c r="CH166" i="12"/>
  <c r="CG166" i="12"/>
  <c r="BT41" i="22" s="1"/>
  <c r="CF166" i="12"/>
  <c r="BS41" i="22" s="1"/>
  <c r="CE166" i="12"/>
  <c r="BR41" i="22" s="1"/>
  <c r="CC166" i="12"/>
  <c r="BP41" i="22" s="1"/>
  <c r="CB166" i="12"/>
  <c r="BO41" i="22" s="1"/>
  <c r="CA166" i="12"/>
  <c r="BN41" i="22" s="1"/>
  <c r="BZ166" i="12"/>
  <c r="BM41" i="22" s="1"/>
  <c r="BY166" i="12"/>
  <c r="BX166" i="12"/>
  <c r="BW166" i="12"/>
  <c r="BV166" i="12"/>
  <c r="BU166" i="12"/>
  <c r="BT166" i="12"/>
  <c r="BS166" i="12"/>
  <c r="BR166" i="12"/>
  <c r="BQ166" i="12"/>
  <c r="BP166" i="12"/>
  <c r="BO166" i="12"/>
  <c r="BN166" i="12"/>
  <c r="BM166" i="12"/>
  <c r="BL166" i="12"/>
  <c r="BK166" i="12"/>
  <c r="BJ166" i="12"/>
  <c r="BI166" i="12"/>
  <c r="BH166" i="12"/>
  <c r="BG166" i="12"/>
  <c r="BF166" i="12"/>
  <c r="BE166" i="12"/>
  <c r="BD166" i="12"/>
  <c r="AL166" i="12"/>
  <c r="AK166" i="12"/>
  <c r="G166" i="12"/>
  <c r="DH263" i="12"/>
  <c r="DH257" i="12" s="1"/>
  <c r="DG263" i="12"/>
  <c r="DG257" i="12" s="1"/>
  <c r="DF263" i="12"/>
  <c r="V263" i="12" s="1"/>
  <c r="V265" i="12" s="1"/>
  <c r="Q137" i="22" s="1"/>
  <c r="DE263" i="12"/>
  <c r="DD263" i="12"/>
  <c r="DD264" i="12" s="1"/>
  <c r="DC263" i="12"/>
  <c r="DC257" i="12" s="1"/>
  <c r="DB263" i="12"/>
  <c r="DA263" i="12"/>
  <c r="CZ263" i="12"/>
  <c r="CZ257" i="12" s="1"/>
  <c r="CY263" i="12"/>
  <c r="CY257" i="12" s="1"/>
  <c r="CX263" i="12"/>
  <c r="CW263" i="12"/>
  <c r="CV263" i="12"/>
  <c r="CV257" i="12" s="1"/>
  <c r="CU263" i="12"/>
  <c r="CT263" i="12"/>
  <c r="CS263" i="12"/>
  <c r="CR263" i="12"/>
  <c r="CR257" i="12" s="1"/>
  <c r="CQ263" i="12"/>
  <c r="CP263" i="12"/>
  <c r="CP257" i="12" s="1"/>
  <c r="CO263" i="12"/>
  <c r="CO257" i="12" s="1"/>
  <c r="CO358" i="12" s="1"/>
  <c r="CO363" i="12" s="1"/>
  <c r="CN263" i="12"/>
  <c r="CN257" i="12" s="1"/>
  <c r="CN358" i="12" s="1"/>
  <c r="CN363" i="12" s="1"/>
  <c r="CN469" i="12" s="1"/>
  <c r="CM263" i="12"/>
  <c r="CM257" i="12" s="1"/>
  <c r="CK155" i="12"/>
  <c r="CJ155" i="12"/>
  <c r="CI155" i="12"/>
  <c r="BV41" i="22" s="1"/>
  <c r="CH155" i="12"/>
  <c r="BU135" i="22" s="1"/>
  <c r="DH156" i="12"/>
  <c r="DG156" i="12"/>
  <c r="DG292" i="12" s="1"/>
  <c r="DF156" i="12"/>
  <c r="DE156" i="12"/>
  <c r="DD156" i="12"/>
  <c r="DC156" i="12"/>
  <c r="DB156" i="12"/>
  <c r="DA156" i="12"/>
  <c r="CZ156" i="12"/>
  <c r="CZ292" i="12" s="1"/>
  <c r="CY156" i="12"/>
  <c r="CX156" i="12"/>
  <c r="CW156" i="12"/>
  <c r="CV156" i="12"/>
  <c r="CU156" i="12"/>
  <c r="CT156" i="12"/>
  <c r="CT292" i="12" s="1"/>
  <c r="CQ156" i="12"/>
  <c r="CQ292" i="12" s="1"/>
  <c r="CP156" i="12"/>
  <c r="CM156" i="12"/>
  <c r="CS155" i="12"/>
  <c r="CR155" i="12"/>
  <c r="CE135" i="22" s="1"/>
  <c r="CQ155" i="12"/>
  <c r="CD41" i="22" s="1"/>
  <c r="CP155" i="12"/>
  <c r="CO155" i="12"/>
  <c r="CN155" i="12"/>
  <c r="CA41" i="22" s="1"/>
  <c r="CM155" i="12"/>
  <c r="CL155" i="12"/>
  <c r="BY135" i="22" s="1"/>
  <c r="O153" i="12"/>
  <c r="N153" i="12"/>
  <c r="CJ147" i="12"/>
  <c r="CI147" i="12"/>
  <c r="CH147" i="12"/>
  <c r="CG147" i="12"/>
  <c r="CK147" i="12" s="1"/>
  <c r="CF147" i="12"/>
  <c r="CE147" i="12"/>
  <c r="CD147" i="12"/>
  <c r="CD135" i="12" s="1"/>
  <c r="CC147" i="12"/>
  <c r="CB147" i="12"/>
  <c r="CA147" i="12"/>
  <c r="BZ147" i="12"/>
  <c r="BZ135" i="12" s="1"/>
  <c r="P151" i="12"/>
  <c r="O151" i="12"/>
  <c r="P150" i="12"/>
  <c r="O150" i="12"/>
  <c r="P149" i="12"/>
  <c r="O149" i="12"/>
  <c r="CD144" i="12"/>
  <c r="R123" i="12"/>
  <c r="Q123" i="12"/>
  <c r="DH120" i="12"/>
  <c r="E21" i="37" s="1"/>
  <c r="DG120" i="12"/>
  <c r="DF120" i="12"/>
  <c r="DF287" i="12" s="1"/>
  <c r="DE120" i="12"/>
  <c r="DE287" i="12" s="1"/>
  <c r="DD120" i="12"/>
  <c r="DD287" i="12" s="1"/>
  <c r="DC120" i="12"/>
  <c r="DB120" i="12"/>
  <c r="DB287" i="12" s="1"/>
  <c r="CO118" i="22" s="1"/>
  <c r="DA120" i="12"/>
  <c r="DA287" i="12" s="1"/>
  <c r="CZ120" i="12"/>
  <c r="CZ287" i="12" s="1"/>
  <c r="CY120" i="12"/>
  <c r="CX120" i="12"/>
  <c r="CX287" i="12" s="1"/>
  <c r="T287" i="12" s="1"/>
  <c r="CW120" i="12"/>
  <c r="CV120" i="12"/>
  <c r="CV287" i="12" s="1"/>
  <c r="CI118" i="22" s="1"/>
  <c r="CU120" i="12"/>
  <c r="CT120" i="12"/>
  <c r="CT287" i="12" s="1"/>
  <c r="CS120" i="12"/>
  <c r="CS287" i="12" s="1"/>
  <c r="CR120" i="12"/>
  <c r="CR287" i="12" s="1"/>
  <c r="CE118" i="22" s="1"/>
  <c r="CQ120" i="12"/>
  <c r="CP120" i="12"/>
  <c r="CP287" i="12" s="1"/>
  <c r="CO120" i="12"/>
  <c r="CO287" i="12" s="1"/>
  <c r="CN120" i="12"/>
  <c r="CN287" i="12" s="1"/>
  <c r="CM120" i="12"/>
  <c r="CL120" i="12"/>
  <c r="CL287" i="12" s="1"/>
  <c r="BY118" i="22" s="1"/>
  <c r="U119" i="12"/>
  <c r="T119" i="12"/>
  <c r="S119" i="12"/>
  <c r="R119" i="12"/>
  <c r="Q119" i="12"/>
  <c r="U118" i="12"/>
  <c r="T118" i="12"/>
  <c r="S118" i="12"/>
  <c r="R118" i="12"/>
  <c r="Q118" i="12"/>
  <c r="DH112" i="12"/>
  <c r="DG112" i="12"/>
  <c r="DG126" i="12" s="1"/>
  <c r="DF112" i="12"/>
  <c r="DF122" i="12" s="1"/>
  <c r="DF127" i="12" s="1"/>
  <c r="DE112" i="12"/>
  <c r="DD112" i="12"/>
  <c r="DC112" i="12"/>
  <c r="DC122" i="12" s="1"/>
  <c r="DC127" i="12" s="1"/>
  <c r="DA112" i="12"/>
  <c r="CZ112" i="12"/>
  <c r="CZ125" i="12" s="1"/>
  <c r="CY112" i="12"/>
  <c r="CX112" i="12"/>
  <c r="CK38" i="22" s="1"/>
  <c r="CW112" i="12"/>
  <c r="CV112" i="12"/>
  <c r="CU112" i="12"/>
  <c r="CT112" i="12"/>
  <c r="CT122" i="12" s="1"/>
  <c r="CS112" i="12"/>
  <c r="CS125" i="12" s="1"/>
  <c r="CR112" i="12"/>
  <c r="CQ112" i="12"/>
  <c r="CQ126" i="12" s="1"/>
  <c r="CP112" i="12"/>
  <c r="CP182" i="12" s="1"/>
  <c r="CO112" i="12"/>
  <c r="CO125" i="12" s="1"/>
  <c r="CN112" i="12"/>
  <c r="CM112" i="12"/>
  <c r="BZ38" i="22" s="1"/>
  <c r="CL112" i="12"/>
  <c r="CK112" i="12"/>
  <c r="BX38" i="22" s="1"/>
  <c r="CJ112" i="12"/>
  <c r="BW38" i="22" s="1"/>
  <c r="CI112" i="12"/>
  <c r="BV38" i="22" s="1"/>
  <c r="CH112" i="12"/>
  <c r="CJ111" i="12"/>
  <c r="CI111" i="12"/>
  <c r="CH111" i="12"/>
  <c r="O107" i="12"/>
  <c r="CS103" i="12"/>
  <c r="CR103" i="12"/>
  <c r="CQ103" i="12"/>
  <c r="CQ218" i="12" s="1"/>
  <c r="CQ221" i="12" s="1"/>
  <c r="CP103" i="12"/>
  <c r="CO103" i="12"/>
  <c r="CO218" i="12" s="1"/>
  <c r="Q218" i="12" s="1"/>
  <c r="CN103" i="12"/>
  <c r="CM103" i="12"/>
  <c r="CM218" i="12" s="1"/>
  <c r="CM221" i="12" s="1"/>
  <c r="CL103" i="12"/>
  <c r="BY37" i="22" s="1"/>
  <c r="CJ103" i="12"/>
  <c r="CJ473" i="12" s="1"/>
  <c r="CI103" i="12"/>
  <c r="CH103" i="12"/>
  <c r="CH473" i="12" s="1"/>
  <c r="CG103" i="12"/>
  <c r="CG473" i="12" s="1"/>
  <c r="N103" i="12"/>
  <c r="N218" i="12" s="1"/>
  <c r="BA101" i="12"/>
  <c r="BA163" i="12" s="1"/>
  <c r="BA143" i="12" s="1"/>
  <c r="AZ101" i="12"/>
  <c r="AZ163" i="12" s="1"/>
  <c r="AZ143" i="12" s="1"/>
  <c r="AY101" i="12"/>
  <c r="AY163" i="12" s="1"/>
  <c r="AY143" i="12" s="1"/>
  <c r="G101" i="12"/>
  <c r="G99" i="12"/>
  <c r="BC101" i="12"/>
  <c r="BC163" i="12" s="1"/>
  <c r="BB101" i="12"/>
  <c r="BB163" i="12" s="1"/>
  <c r="BB143" i="12" s="1"/>
  <c r="BC100" i="12"/>
  <c r="BB100" i="12"/>
  <c r="CK99" i="12"/>
  <c r="CJ99" i="12"/>
  <c r="CI99" i="12"/>
  <c r="CI194" i="12" s="1"/>
  <c r="CH99" i="12"/>
  <c r="CH194" i="12" s="1"/>
  <c r="CG99" i="12"/>
  <c r="CG194" i="12" s="1"/>
  <c r="O194" i="12" s="1"/>
  <c r="CF99" i="12"/>
  <c r="CF194" i="12" s="1"/>
  <c r="CF198" i="12" s="1"/>
  <c r="CF205" i="12" s="1"/>
  <c r="CE99" i="12"/>
  <c r="BR37" i="22" s="1"/>
  <c r="CD99" i="12"/>
  <c r="CC99" i="12"/>
  <c r="CC194" i="12" s="1"/>
  <c r="CC198" i="12" s="1"/>
  <c r="CB99" i="12"/>
  <c r="CA99" i="12"/>
  <c r="BN37" i="22" s="1"/>
  <c r="BZ99" i="12"/>
  <c r="BY99" i="12"/>
  <c r="BY194" i="12" s="1"/>
  <c r="BY198" i="12" s="1"/>
  <c r="BY205" i="12" s="1"/>
  <c r="BX99" i="12"/>
  <c r="BW99" i="12"/>
  <c r="BV99" i="12"/>
  <c r="BU99" i="12"/>
  <c r="BU194" i="12" s="1"/>
  <c r="BU198" i="12" s="1"/>
  <c r="BU195" i="12" s="1"/>
  <c r="BU211" i="12" s="1"/>
  <c r="BT99" i="12"/>
  <c r="BS99" i="12"/>
  <c r="BR99" i="12"/>
  <c r="BQ99" i="12"/>
  <c r="BQ194" i="12" s="1"/>
  <c r="BQ198" i="12" s="1"/>
  <c r="BP99" i="12"/>
  <c r="BO99" i="12"/>
  <c r="BN99" i="12"/>
  <c r="BM99" i="12"/>
  <c r="J99" i="12" s="1"/>
  <c r="BL99" i="12"/>
  <c r="BL194" i="12" s="1"/>
  <c r="BL198" i="12" s="1"/>
  <c r="BK99" i="12"/>
  <c r="BJ99" i="12"/>
  <c r="BI99" i="12"/>
  <c r="I99" i="12" s="1"/>
  <c r="BH99" i="12"/>
  <c r="BG99" i="12"/>
  <c r="BG194" i="12" s="1"/>
  <c r="BF99" i="12"/>
  <c r="BE99" i="12"/>
  <c r="BE194" i="12" s="1"/>
  <c r="BD99" i="12"/>
  <c r="AW99" i="12"/>
  <c r="AX101" i="12" s="1"/>
  <c r="BV96" i="12"/>
  <c r="BR96" i="12"/>
  <c r="H94" i="12"/>
  <c r="G94" i="12" s="1"/>
  <c r="BW92" i="12"/>
  <c r="BW537" i="12" s="1"/>
  <c r="BS92" i="12"/>
  <c r="CU90" i="12"/>
  <c r="CE90" i="12"/>
  <c r="CF90" i="12" s="1"/>
  <c r="CG90" i="12" s="1"/>
  <c r="CR89" i="12"/>
  <c r="CR111" i="8" s="1"/>
  <c r="CQ89" i="12"/>
  <c r="CQ111" i="8" s="1"/>
  <c r="CP89" i="12"/>
  <c r="CP111" i="8" s="1"/>
  <c r="CN89" i="12"/>
  <c r="CL89" i="12"/>
  <c r="CM89" i="12" s="1"/>
  <c r="CK89" i="12"/>
  <c r="CK111" i="8" s="1"/>
  <c r="CJ89" i="12"/>
  <c r="CJ111" i="8" s="1"/>
  <c r="CI89" i="12"/>
  <c r="BY89" i="12"/>
  <c r="M89" i="12" s="1"/>
  <c r="BU89" i="12"/>
  <c r="L89" i="12" s="1"/>
  <c r="BQ89" i="12"/>
  <c r="K89" i="12" s="1"/>
  <c r="N89" i="12"/>
  <c r="CQ85" i="12"/>
  <c r="CR85" i="12" s="1"/>
  <c r="CN85" i="12"/>
  <c r="CC85" i="12"/>
  <c r="N85" i="12" s="1"/>
  <c r="BY85" i="12"/>
  <c r="M85" i="12" s="1"/>
  <c r="BY84" i="12"/>
  <c r="M84" i="12" s="1"/>
  <c r="BY83" i="12"/>
  <c r="M83" i="12" s="1"/>
  <c r="BU85" i="12"/>
  <c r="L85" i="12" s="1"/>
  <c r="BU84" i="12"/>
  <c r="L84" i="12" s="1"/>
  <c r="BU83" i="12"/>
  <c r="L83" i="12" s="1"/>
  <c r="BP85" i="12"/>
  <c r="BO85" i="12"/>
  <c r="BN85" i="12"/>
  <c r="BQ85" i="12" s="1"/>
  <c r="K85" i="12" s="1"/>
  <c r="CY85" i="12"/>
  <c r="CZ85" i="12" s="1"/>
  <c r="DA85" i="12" s="1"/>
  <c r="DB85" i="12" s="1"/>
  <c r="CY84" i="12"/>
  <c r="CY114" i="8" s="1"/>
  <c r="CU85" i="12"/>
  <c r="CU84" i="12"/>
  <c r="CV84" i="12" s="1"/>
  <c r="CO84" i="12"/>
  <c r="Q84" i="12" s="1"/>
  <c r="Q114" i="8" s="1"/>
  <c r="CK85" i="12"/>
  <c r="CJ85" i="12"/>
  <c r="CI85" i="12"/>
  <c r="CK84" i="12"/>
  <c r="CK114" i="8" s="1"/>
  <c r="CJ84" i="12"/>
  <c r="CI84" i="12"/>
  <c r="CD84" i="12"/>
  <c r="O84" i="12" s="1"/>
  <c r="BQ84" i="12"/>
  <c r="K84" i="12" s="1"/>
  <c r="BQ83" i="12"/>
  <c r="K83" i="12" s="1"/>
  <c r="O85" i="12"/>
  <c r="R84" i="12"/>
  <c r="R114" i="8" s="1"/>
  <c r="N84" i="12"/>
  <c r="CY83" i="12"/>
  <c r="CY113" i="8" s="1"/>
  <c r="CQ83" i="12"/>
  <c r="CR83" i="12" s="1"/>
  <c r="CL83" i="12"/>
  <c r="CL113" i="8" s="1"/>
  <c r="CK83" i="12"/>
  <c r="CK113" i="8" s="1"/>
  <c r="CJ83" i="12"/>
  <c r="CI83" i="12"/>
  <c r="CC83" i="12"/>
  <c r="N83" i="12" s="1"/>
  <c r="V83" i="12"/>
  <c r="V113" i="8" s="1"/>
  <c r="U83" i="12"/>
  <c r="U113" i="8" s="1"/>
  <c r="O83" i="12"/>
  <c r="BI60" i="12"/>
  <c r="BH60" i="12"/>
  <c r="BF60" i="12"/>
  <c r="BE60" i="12"/>
  <c r="BD60" i="12"/>
  <c r="BC60" i="12"/>
  <c r="BA60" i="12"/>
  <c r="AX60" i="12"/>
  <c r="AW60" i="12"/>
  <c r="AV60" i="12"/>
  <c r="AU60" i="12"/>
  <c r="AT60" i="12"/>
  <c r="AS60" i="12"/>
  <c r="AR60" i="12"/>
  <c r="AQ60" i="12"/>
  <c r="AP60" i="12"/>
  <c r="CG58" i="12"/>
  <c r="CG94" i="13" s="1"/>
  <c r="CF58" i="12"/>
  <c r="CE58" i="12"/>
  <c r="CD58" i="12"/>
  <c r="BJ58" i="12"/>
  <c r="BK58" i="12" s="1"/>
  <c r="BF58" i="12"/>
  <c r="BG58" i="12" s="1"/>
  <c r="BB58" i="12"/>
  <c r="U58" i="12"/>
  <c r="U94" i="13" s="1"/>
  <c r="T58" i="12"/>
  <c r="T94" i="13" s="1"/>
  <c r="S58" i="12"/>
  <c r="S94" i="13" s="1"/>
  <c r="R58" i="12"/>
  <c r="Q58" i="12"/>
  <c r="Q94" i="13" s="1"/>
  <c r="P58" i="12"/>
  <c r="O58" i="12"/>
  <c r="O94" i="13" s="1"/>
  <c r="N58" i="12"/>
  <c r="M58" i="12"/>
  <c r="L58" i="12"/>
  <c r="K58" i="12"/>
  <c r="BN58" i="12" s="1"/>
  <c r="F58" i="12"/>
  <c r="DH52" i="12"/>
  <c r="DG52" i="12"/>
  <c r="DA50" i="11" s="1"/>
  <c r="DF52" i="12"/>
  <c r="DE52" i="12"/>
  <c r="DD52" i="12"/>
  <c r="DD55" i="12" s="1"/>
  <c r="DD46" i="17" s="1"/>
  <c r="DC52" i="12"/>
  <c r="DB52" i="12"/>
  <c r="DA52" i="12"/>
  <c r="CZ52" i="12"/>
  <c r="CT50" i="11" s="1"/>
  <c r="CY52" i="12"/>
  <c r="CX52" i="12"/>
  <c r="CW52" i="12"/>
  <c r="CV52" i="12"/>
  <c r="CV539" i="12" s="1"/>
  <c r="CU52" i="12"/>
  <c r="CU55" i="12" s="1"/>
  <c r="CU46" i="17" s="1"/>
  <c r="CT52" i="12"/>
  <c r="CN50" i="11" s="1"/>
  <c r="CS52" i="12"/>
  <c r="CM50" i="11" s="1"/>
  <c r="CR52" i="12"/>
  <c r="CR55" i="12" s="1"/>
  <c r="CQ52" i="12"/>
  <c r="CQ55" i="12" s="1"/>
  <c r="CQ46" i="17" s="1"/>
  <c r="CP52" i="12"/>
  <c r="CO52" i="12"/>
  <c r="CO55" i="12" s="1"/>
  <c r="CO46" i="17" s="1"/>
  <c r="CN52" i="12"/>
  <c r="CN55" i="12" s="1"/>
  <c r="CN46" i="17" s="1"/>
  <c r="CM52" i="12"/>
  <c r="CG50" i="11" s="1"/>
  <c r="CL52" i="12"/>
  <c r="CF50" i="11" s="1"/>
  <c r="CG52" i="12"/>
  <c r="CF52" i="12"/>
  <c r="CE52" i="12"/>
  <c r="CD52" i="12"/>
  <c r="BX50" i="11" s="1"/>
  <c r="CC52" i="12"/>
  <c r="BW50" i="11" s="1"/>
  <c r="CB52" i="12"/>
  <c r="BV50" i="11" s="1"/>
  <c r="CA52" i="12"/>
  <c r="BU50" i="11" s="1"/>
  <c r="BZ52" i="12"/>
  <c r="BT50" i="11" s="1"/>
  <c r="BY52" i="12"/>
  <c r="BX52" i="12"/>
  <c r="BW52" i="12"/>
  <c r="BV52" i="12"/>
  <c r="BU52" i="12"/>
  <c r="BT52" i="12"/>
  <c r="BS52" i="12"/>
  <c r="BR52" i="12"/>
  <c r="BQ52" i="12"/>
  <c r="BP52" i="12"/>
  <c r="BO52" i="12"/>
  <c r="BN52" i="12"/>
  <c r="BM52" i="12"/>
  <c r="BL52" i="12"/>
  <c r="BK52" i="12"/>
  <c r="BJ52" i="12"/>
  <c r="BI52" i="12"/>
  <c r="BH52" i="12"/>
  <c r="BG52" i="12"/>
  <c r="BF52" i="12"/>
  <c r="BE52" i="12"/>
  <c r="BD52" i="12"/>
  <c r="BC52" i="12"/>
  <c r="BB52" i="12"/>
  <c r="BA52" i="12"/>
  <c r="AZ52" i="12"/>
  <c r="AY52" i="12"/>
  <c r="AX52" i="12"/>
  <c r="AW52" i="12"/>
  <c r="AV52" i="12"/>
  <c r="AU52" i="12"/>
  <c r="AT52" i="12"/>
  <c r="AS52" i="12"/>
  <c r="AR52" i="12"/>
  <c r="AQ52" i="12"/>
  <c r="AP52" i="12"/>
  <c r="F52" i="12"/>
  <c r="E52" i="12"/>
  <c r="CJ47" i="12"/>
  <c r="CD41" i="11" s="1"/>
  <c r="CG47" i="12"/>
  <c r="CA41" i="11" s="1"/>
  <c r="CD47" i="12"/>
  <c r="CA47" i="12"/>
  <c r="BY47" i="12"/>
  <c r="BX47" i="12"/>
  <c r="BW47" i="12"/>
  <c r="BV47" i="12"/>
  <c r="BS47" i="12"/>
  <c r="BP47" i="12"/>
  <c r="BO47" i="12"/>
  <c r="BM47" i="12"/>
  <c r="BK47" i="12"/>
  <c r="BI47" i="12"/>
  <c r="BH47" i="12"/>
  <c r="BG47" i="12"/>
  <c r="BF47" i="12"/>
  <c r="BE47" i="12"/>
  <c r="BD47" i="12"/>
  <c r="BC47" i="12"/>
  <c r="BB47" i="12"/>
  <c r="BA47" i="12"/>
  <c r="AZ47" i="12"/>
  <c r="AY47" i="12"/>
  <c r="AX47" i="12"/>
  <c r="AW47" i="12"/>
  <c r="AV47" i="12"/>
  <c r="AU47" i="12"/>
  <c r="AT47" i="12"/>
  <c r="AS47" i="12"/>
  <c r="AR47" i="12"/>
  <c r="AQ47" i="12"/>
  <c r="AP47" i="12"/>
  <c r="F47" i="12"/>
  <c r="E47" i="12"/>
  <c r="BM41" i="12"/>
  <c r="BL41" i="12"/>
  <c r="BK41" i="12"/>
  <c r="BJ41" i="12"/>
  <c r="DH41" i="12"/>
  <c r="DG41" i="12"/>
  <c r="DK42" i="12" s="1"/>
  <c r="DF41" i="12"/>
  <c r="DE41" i="12"/>
  <c r="CY32" i="11" s="1"/>
  <c r="DD41" i="12"/>
  <c r="DC41" i="12"/>
  <c r="CW32" i="11" s="1"/>
  <c r="DB41" i="12"/>
  <c r="DA41" i="12"/>
  <c r="CU32" i="11" s="1"/>
  <c r="CZ41" i="12"/>
  <c r="CY41" i="12"/>
  <c r="CX41" i="12"/>
  <c r="CW41" i="12"/>
  <c r="CQ32" i="11" s="1"/>
  <c r="CV41" i="12"/>
  <c r="CP32" i="11" s="1"/>
  <c r="CU41" i="12"/>
  <c r="CO32" i="11" s="1"/>
  <c r="CT41" i="12"/>
  <c r="CN32" i="11" s="1"/>
  <c r="CS41" i="12"/>
  <c r="CM32" i="11" s="1"/>
  <c r="CR41" i="12"/>
  <c r="CQ41" i="12"/>
  <c r="CK32" i="11" s="1"/>
  <c r="CP41" i="12"/>
  <c r="CO41" i="12"/>
  <c r="CI32" i="11" s="1"/>
  <c r="CN41" i="12"/>
  <c r="CM41" i="12"/>
  <c r="CG32" i="11" s="1"/>
  <c r="CL41" i="12"/>
  <c r="CK41" i="12"/>
  <c r="CJ41" i="12"/>
  <c r="CI41" i="12"/>
  <c r="CC32" i="11" s="1"/>
  <c r="CH41" i="12"/>
  <c r="CB32" i="11" s="1"/>
  <c r="CG41" i="12"/>
  <c r="CF41" i="12"/>
  <c r="CE41" i="12"/>
  <c r="BY32" i="11" s="1"/>
  <c r="CD41" i="12"/>
  <c r="CC41" i="12"/>
  <c r="BW32" i="11" s="1"/>
  <c r="CB41" i="12"/>
  <c r="BV32" i="11" s="1"/>
  <c r="CA41" i="12"/>
  <c r="BZ41" i="12"/>
  <c r="BY41" i="12"/>
  <c r="BX41" i="12"/>
  <c r="BW41" i="12"/>
  <c r="BV41" i="12"/>
  <c r="BU41" i="12"/>
  <c r="BT41" i="12"/>
  <c r="BS41" i="12"/>
  <c r="BR41" i="12"/>
  <c r="BQ41" i="12"/>
  <c r="BP41" i="12"/>
  <c r="BO41" i="12"/>
  <c r="BN41" i="12"/>
  <c r="DH38" i="12"/>
  <c r="DG38" i="12"/>
  <c r="DF38" i="12"/>
  <c r="DE38" i="12"/>
  <c r="DE471" i="12" s="1"/>
  <c r="DD38" i="12"/>
  <c r="DD471" i="12" s="1"/>
  <c r="DC38" i="12"/>
  <c r="DB38" i="12"/>
  <c r="DB471" i="12" s="1"/>
  <c r="DA38" i="12"/>
  <c r="CZ38" i="12"/>
  <c r="CY38" i="12"/>
  <c r="CY471" i="12" s="1"/>
  <c r="CX38" i="12"/>
  <c r="CR23" i="11" s="1"/>
  <c r="CW38" i="12"/>
  <c r="CV38" i="12"/>
  <c r="CV471" i="12" s="1"/>
  <c r="CU38" i="12"/>
  <c r="CU471" i="12" s="1"/>
  <c r="CT38" i="12"/>
  <c r="CT471" i="12" s="1"/>
  <c r="CS38" i="12"/>
  <c r="CR38" i="12"/>
  <c r="CR471" i="12" s="1"/>
  <c r="CQ38" i="12"/>
  <c r="CQ471" i="12" s="1"/>
  <c r="CP38" i="12"/>
  <c r="CJ23" i="11" s="1"/>
  <c r="CO38" i="12"/>
  <c r="CN38" i="12"/>
  <c r="CM38" i="12"/>
  <c r="CG23" i="11" s="1"/>
  <c r="CL38" i="12"/>
  <c r="CK38" i="12"/>
  <c r="CJ38" i="12"/>
  <c r="CI38" i="12"/>
  <c r="CH38" i="12"/>
  <c r="CL39" i="12" s="1"/>
  <c r="CG38" i="12"/>
  <c r="CA23" i="11" s="1"/>
  <c r="CF38" i="12"/>
  <c r="BZ23" i="11" s="1"/>
  <c r="CE38" i="12"/>
  <c r="BY23" i="11" s="1"/>
  <c r="CD38" i="12"/>
  <c r="BX23" i="11" s="1"/>
  <c r="CC38" i="12"/>
  <c r="BW23" i="11" s="1"/>
  <c r="CB38" i="12"/>
  <c r="CA38" i="12"/>
  <c r="BZ38" i="12"/>
  <c r="BT23" i="11" s="1"/>
  <c r="BY38" i="12"/>
  <c r="BX38" i="12"/>
  <c r="BW38" i="12"/>
  <c r="BV38" i="12"/>
  <c r="BU38" i="12"/>
  <c r="BT38" i="12"/>
  <c r="BS38" i="12"/>
  <c r="BR38" i="12"/>
  <c r="BQ38" i="12"/>
  <c r="BP38" i="12"/>
  <c r="BO38" i="12"/>
  <c r="BN38" i="12"/>
  <c r="BM38" i="12"/>
  <c r="BL38" i="12"/>
  <c r="BK38" i="12"/>
  <c r="BJ38" i="12"/>
  <c r="CK27" i="12"/>
  <c r="CJ27" i="12"/>
  <c r="CI27" i="12"/>
  <c r="CH27" i="12"/>
  <c r="O27" i="12"/>
  <c r="N27" i="12"/>
  <c r="DH29" i="12"/>
  <c r="DG29" i="12"/>
  <c r="DF29" i="12"/>
  <c r="DE29" i="12"/>
  <c r="DD29" i="12"/>
  <c r="DC29" i="12"/>
  <c r="DB29" i="12"/>
  <c r="DA29" i="12"/>
  <c r="CZ29" i="12"/>
  <c r="CY29" i="12"/>
  <c r="CX29" i="12"/>
  <c r="CW29" i="12"/>
  <c r="CV29" i="12"/>
  <c r="CU29" i="12"/>
  <c r="CT29" i="12"/>
  <c r="CS29" i="12"/>
  <c r="CR29" i="12"/>
  <c r="CQ29" i="12"/>
  <c r="CP29" i="12"/>
  <c r="CO29" i="12"/>
  <c r="CN29" i="12"/>
  <c r="CM29" i="12"/>
  <c r="CL29" i="12"/>
  <c r="DH27" i="12"/>
  <c r="DG27" i="12"/>
  <c r="DG444" i="12" s="1"/>
  <c r="DG454" i="12" s="1"/>
  <c r="DF27" i="12"/>
  <c r="DF444" i="12" s="1"/>
  <c r="DE27" i="12"/>
  <c r="DD27" i="12"/>
  <c r="DC27" i="12"/>
  <c r="DC433" i="12" s="1"/>
  <c r="DC430" i="12" s="1"/>
  <c r="DC432" i="12" s="1"/>
  <c r="DB27" i="12"/>
  <c r="DA27" i="12"/>
  <c r="CZ27" i="12"/>
  <c r="CY27" i="12"/>
  <c r="CX27" i="12"/>
  <c r="CW27" i="12"/>
  <c r="CV27" i="12"/>
  <c r="CV433" i="12" s="1"/>
  <c r="CU27" i="12"/>
  <c r="CT27" i="12"/>
  <c r="CS27" i="12"/>
  <c r="CR27" i="12"/>
  <c r="CQ27" i="12"/>
  <c r="CQ433" i="12" s="1"/>
  <c r="CQ430" i="12" s="1"/>
  <c r="CP27" i="12"/>
  <c r="CP433" i="12" s="1"/>
  <c r="CO27" i="12"/>
  <c r="CO433" i="12" s="1"/>
  <c r="CO430" i="12" s="1"/>
  <c r="CN27" i="12"/>
  <c r="CN433" i="12" s="1"/>
  <c r="CN430" i="12" s="1"/>
  <c r="CM27" i="12"/>
  <c r="CL27" i="12"/>
  <c r="CL436" i="12" s="1"/>
  <c r="CK25" i="12"/>
  <c r="CJ25" i="12"/>
  <c r="CI25" i="12"/>
  <c r="BV84" i="22" s="1"/>
  <c r="CH25" i="12"/>
  <c r="CH301" i="12" s="1"/>
  <c r="CH339" i="12" s="1"/>
  <c r="CO23" i="12"/>
  <c r="CN23" i="12"/>
  <c r="CM23" i="12"/>
  <c r="CM304" i="12" s="1"/>
  <c r="CM306" i="12" s="1"/>
  <c r="CL23" i="12"/>
  <c r="DH23" i="12"/>
  <c r="DG23" i="12"/>
  <c r="DF23" i="12"/>
  <c r="DE23" i="12"/>
  <c r="DD23" i="12"/>
  <c r="DC23" i="12"/>
  <c r="DB23" i="12"/>
  <c r="DA23" i="12"/>
  <c r="DA304" i="12" s="1"/>
  <c r="DA306" i="12" s="1"/>
  <c r="CZ23" i="12"/>
  <c r="CY23" i="12"/>
  <c r="CY304" i="12" s="1"/>
  <c r="CY306" i="12" s="1"/>
  <c r="CX23" i="12"/>
  <c r="CW23" i="12"/>
  <c r="CV23" i="12"/>
  <c r="CU23" i="12"/>
  <c r="CT23" i="12"/>
  <c r="CT304" i="12" s="1"/>
  <c r="CT306" i="12" s="1"/>
  <c r="CS23" i="12"/>
  <c r="CS304" i="12" s="1"/>
  <c r="CS306" i="12" s="1"/>
  <c r="CR23" i="12"/>
  <c r="CQ23" i="12"/>
  <c r="CQ304" i="12" s="1"/>
  <c r="CQ306" i="12" s="1"/>
  <c r="CP23" i="12"/>
  <c r="DH21" i="12"/>
  <c r="DH314" i="12" s="1"/>
  <c r="DG21" i="12"/>
  <c r="DG298" i="12" s="1"/>
  <c r="DF21" i="12"/>
  <c r="DE21" i="12"/>
  <c r="DE314" i="12" s="1"/>
  <c r="DD21" i="12"/>
  <c r="DC21" i="12"/>
  <c r="DB21" i="12"/>
  <c r="DA21" i="12"/>
  <c r="CZ21" i="12"/>
  <c r="CZ298" i="12" s="1"/>
  <c r="CY21" i="12"/>
  <c r="CX21" i="12"/>
  <c r="CW21" i="12"/>
  <c r="CV21" i="12"/>
  <c r="CV298" i="12" s="1"/>
  <c r="CU21" i="12"/>
  <c r="CT21" i="12"/>
  <c r="CS21" i="12"/>
  <c r="CR21" i="12"/>
  <c r="CQ21" i="12"/>
  <c r="CP21" i="12"/>
  <c r="CO21" i="12"/>
  <c r="CN21" i="12"/>
  <c r="CN298" i="12" s="1"/>
  <c r="CM21" i="12"/>
  <c r="CL21" i="12"/>
  <c r="CJ19" i="12"/>
  <c r="CJ74" i="12" s="1"/>
  <c r="CJ76" i="12" s="1"/>
  <c r="CI19" i="12"/>
  <c r="CI74" i="12" s="1"/>
  <c r="CI76" i="12" s="1"/>
  <c r="CH19" i="12"/>
  <c r="CH74" i="12" s="1"/>
  <c r="CG19" i="12"/>
  <c r="CF19" i="12"/>
  <c r="CF74" i="12" s="1"/>
  <c r="CF76" i="12" s="1"/>
  <c r="CE19" i="12"/>
  <c r="CE74" i="12" s="1"/>
  <c r="CD19" i="12"/>
  <c r="CC19" i="12"/>
  <c r="CC74" i="12" s="1"/>
  <c r="CC76" i="12" s="1"/>
  <c r="CB19" i="12"/>
  <c r="CB74" i="12" s="1"/>
  <c r="CA19" i="12"/>
  <c r="CA74" i="12" s="1"/>
  <c r="CA76" i="12" s="1"/>
  <c r="BZ19" i="12"/>
  <c r="CK18" i="12"/>
  <c r="P18" i="12" s="1"/>
  <c r="K90" i="22" s="1"/>
  <c r="O18" i="12"/>
  <c r="J90" i="22" s="1"/>
  <c r="N18" i="12"/>
  <c r="I90" i="22" s="1"/>
  <c r="O17" i="12"/>
  <c r="N17" i="12"/>
  <c r="I89" i="22" s="1"/>
  <c r="AV14" i="12"/>
  <c r="AT14" i="12"/>
  <c r="AQ14" i="12"/>
  <c r="BA12" i="12"/>
  <c r="AZ12" i="12"/>
  <c r="AY12" i="12"/>
  <c r="AY436" i="12" s="1"/>
  <c r="AX12" i="12"/>
  <c r="AW12" i="12"/>
  <c r="AV12" i="12"/>
  <c r="AU12" i="12"/>
  <c r="AT12" i="12"/>
  <c r="AS12" i="12"/>
  <c r="AR12" i="12"/>
  <c r="AQ12" i="12"/>
  <c r="AP12" i="12"/>
  <c r="E12" i="12"/>
  <c r="E436" i="12" s="1"/>
  <c r="CQ12" i="12"/>
  <c r="CP12" i="12"/>
  <c r="CO12" i="12"/>
  <c r="CN12" i="12"/>
  <c r="CM12" i="12"/>
  <c r="CL12" i="12"/>
  <c r="CK12" i="12"/>
  <c r="CK436" i="12" s="1"/>
  <c r="CJ12" i="12"/>
  <c r="CI12" i="12"/>
  <c r="CH12" i="12"/>
  <c r="CH436" i="12" s="1"/>
  <c r="CG12" i="12"/>
  <c r="CF12" i="12"/>
  <c r="CE12" i="12"/>
  <c r="CD12" i="12"/>
  <c r="CC12" i="12"/>
  <c r="CB12" i="12"/>
  <c r="CB436" i="12" s="1"/>
  <c r="CA12" i="12"/>
  <c r="BZ12" i="12"/>
  <c r="BY12" i="12"/>
  <c r="BX12" i="12"/>
  <c r="BW12" i="12"/>
  <c r="BV12" i="12"/>
  <c r="BU12" i="12"/>
  <c r="BU436" i="12" s="1"/>
  <c r="BT12" i="12"/>
  <c r="BS12" i="12"/>
  <c r="BR12" i="12"/>
  <c r="BR436" i="12" s="1"/>
  <c r="BQ12" i="12"/>
  <c r="BP12" i="12"/>
  <c r="BO12" i="12"/>
  <c r="BO436" i="12" s="1"/>
  <c r="BN12" i="12"/>
  <c r="BN436" i="12" s="1"/>
  <c r="BM12" i="12"/>
  <c r="BL12" i="12"/>
  <c r="BK12" i="12"/>
  <c r="BJ12" i="12"/>
  <c r="BJ436" i="12" s="1"/>
  <c r="BI12" i="12"/>
  <c r="BH12" i="12"/>
  <c r="BG12" i="12"/>
  <c r="BF12" i="12"/>
  <c r="BE12" i="12"/>
  <c r="BD12" i="12"/>
  <c r="BC12" i="12"/>
  <c r="BB12" i="12"/>
  <c r="BB436" i="12" s="1"/>
  <c r="CQ10" i="12"/>
  <c r="CP10" i="12"/>
  <c r="CO10" i="12"/>
  <c r="CN10" i="12"/>
  <c r="CM10" i="12"/>
  <c r="CL10" i="12"/>
  <c r="CK10" i="12"/>
  <c r="CJ10" i="12"/>
  <c r="CI10" i="12"/>
  <c r="CI136" i="17" s="1"/>
  <c r="CI116" i="17" s="1"/>
  <c r="CH10" i="12"/>
  <c r="CG10" i="12"/>
  <c r="CF10" i="12"/>
  <c r="BS84" i="22" s="1"/>
  <c r="CE10" i="12"/>
  <c r="CD10" i="12"/>
  <c r="CC10" i="12"/>
  <c r="BP84" i="22" s="1"/>
  <c r="CB10" i="12"/>
  <c r="CA10" i="12"/>
  <c r="BZ10" i="12"/>
  <c r="BY10" i="12"/>
  <c r="BX10" i="12"/>
  <c r="BX301" i="12" s="1"/>
  <c r="BW10" i="12"/>
  <c r="BV10" i="12"/>
  <c r="BU10" i="12"/>
  <c r="BT10" i="12"/>
  <c r="BT301" i="12" s="1"/>
  <c r="BS10" i="12"/>
  <c r="BR10" i="12"/>
  <c r="BQ10" i="12"/>
  <c r="BP10" i="12"/>
  <c r="BO10" i="12"/>
  <c r="BN10" i="12"/>
  <c r="BN301" i="12" s="1"/>
  <c r="BM10" i="12"/>
  <c r="BL10" i="12"/>
  <c r="BL301" i="12" s="1"/>
  <c r="BK10" i="12"/>
  <c r="BJ10" i="12"/>
  <c r="BI10" i="12"/>
  <c r="BH10" i="12"/>
  <c r="BL11" i="12" s="1"/>
  <c r="BG10" i="12"/>
  <c r="BF10" i="12"/>
  <c r="BE10" i="12"/>
  <c r="BD10" i="12"/>
  <c r="BD301" i="12" s="1"/>
  <c r="BC10" i="12"/>
  <c r="BB10" i="12"/>
  <c r="BA10" i="12"/>
  <c r="BA14" i="12" s="1"/>
  <c r="AZ10" i="12"/>
  <c r="AZ309" i="12" s="1"/>
  <c r="AY10" i="12"/>
  <c r="AY309" i="12" s="1"/>
  <c r="AX10" i="12"/>
  <c r="AW10" i="12"/>
  <c r="AV10" i="12"/>
  <c r="AU10" i="12"/>
  <c r="AT10" i="12"/>
  <c r="AS10" i="12"/>
  <c r="AR10" i="12"/>
  <c r="AQ10" i="12"/>
  <c r="AP10" i="12"/>
  <c r="F12" i="12"/>
  <c r="F10" i="12"/>
  <c r="E10" i="12"/>
  <c r="Q7" i="12"/>
  <c r="M7" i="12"/>
  <c r="L7" i="12"/>
  <c r="K7" i="12"/>
  <c r="J7" i="12"/>
  <c r="M6" i="12"/>
  <c r="L6" i="12"/>
  <c r="K6" i="12"/>
  <c r="J6" i="12"/>
  <c r="CO7" i="12"/>
  <c r="CN7" i="12"/>
  <c r="CM7" i="12"/>
  <c r="CL7" i="12"/>
  <c r="BY7" i="12"/>
  <c r="BX7" i="12"/>
  <c r="BW7" i="12"/>
  <c r="BV7" i="12"/>
  <c r="BU7" i="12"/>
  <c r="BT7" i="12"/>
  <c r="BS7" i="12"/>
  <c r="BR7" i="12"/>
  <c r="BY6" i="12"/>
  <c r="BX6" i="12"/>
  <c r="BW6" i="12"/>
  <c r="BV6" i="12"/>
  <c r="BU6" i="12"/>
  <c r="BT6" i="12"/>
  <c r="BS6" i="12"/>
  <c r="BR6" i="12"/>
  <c r="DM5" i="12"/>
  <c r="DM356" i="12" s="1"/>
  <c r="DH5" i="12"/>
  <c r="DG5" i="12"/>
  <c r="DG356" i="12" s="1"/>
  <c r="DF5" i="12"/>
  <c r="DF356" i="12" s="1"/>
  <c r="DE5" i="12"/>
  <c r="DD5" i="12"/>
  <c r="DC5" i="12"/>
  <c r="DC356" i="12" s="1"/>
  <c r="DB5" i="12"/>
  <c r="DA5" i="12"/>
  <c r="DA694" i="12" s="1"/>
  <c r="CZ5" i="12"/>
  <c r="CY5" i="12"/>
  <c r="CY694" i="12" s="1"/>
  <c r="CX5" i="12"/>
  <c r="CX356" i="12" s="1"/>
  <c r="CW5" i="12"/>
  <c r="CW356" i="12" s="1"/>
  <c r="CV5" i="12"/>
  <c r="CV383" i="12" s="1"/>
  <c r="CU5" i="12"/>
  <c r="CU383" i="12" s="1"/>
  <c r="CT5" i="12"/>
  <c r="CS5" i="12"/>
  <c r="CS356" i="12" s="1"/>
  <c r="CR5" i="12"/>
  <c r="CR383" i="12" s="1"/>
  <c r="CQ5" i="12"/>
  <c r="CQ356" i="12" s="1"/>
  <c r="CP5" i="12"/>
  <c r="CO5" i="12"/>
  <c r="CO356" i="12" s="1"/>
  <c r="CN5" i="12"/>
  <c r="CM5" i="12"/>
  <c r="CM383" i="12" s="1"/>
  <c r="CL5" i="12"/>
  <c r="CL356" i="12" s="1"/>
  <c r="CK5" i="12"/>
  <c r="CK383" i="12" s="1"/>
  <c r="CJ5" i="12"/>
  <c r="CI5" i="12"/>
  <c r="CH5" i="12"/>
  <c r="CG5" i="12"/>
  <c r="CF5" i="12"/>
  <c r="CF694" i="12" s="1"/>
  <c r="CE5" i="12"/>
  <c r="CD5" i="12"/>
  <c r="CD694" i="12" s="1"/>
  <c r="CC5" i="12"/>
  <c r="CC694" i="12" s="1"/>
  <c r="CB5" i="12"/>
  <c r="CA5" i="12"/>
  <c r="BZ5" i="12"/>
  <c r="BY5" i="12"/>
  <c r="BX5" i="12"/>
  <c r="BW5" i="12"/>
  <c r="BV5" i="12"/>
  <c r="BU5" i="12"/>
  <c r="BT5" i="12"/>
  <c r="BS5" i="12"/>
  <c r="BR5" i="12"/>
  <c r="BQ5" i="12"/>
  <c r="BQ694" i="12" s="1"/>
  <c r="BP5" i="12"/>
  <c r="BP694" i="12" s="1"/>
  <c r="BO5" i="12"/>
  <c r="BO694" i="12" s="1"/>
  <c r="BN5" i="12"/>
  <c r="BN694" i="12" s="1"/>
  <c r="BM5" i="12"/>
  <c r="BM694" i="12" s="1"/>
  <c r="BL5" i="12"/>
  <c r="BL694" i="12" s="1"/>
  <c r="BK5" i="12"/>
  <c r="BK694" i="12" s="1"/>
  <c r="BJ5" i="12"/>
  <c r="BJ694" i="12" s="1"/>
  <c r="AA5" i="12"/>
  <c r="AA356" i="12" s="1"/>
  <c r="Z5" i="12"/>
  <c r="Y5" i="12"/>
  <c r="X5" i="12"/>
  <c r="W5" i="12"/>
  <c r="W356" i="12" s="1"/>
  <c r="V5" i="12"/>
  <c r="U5" i="12"/>
  <c r="T5" i="12"/>
  <c r="S5" i="12"/>
  <c r="S383" i="12" s="1"/>
  <c r="R5" i="12"/>
  <c r="Q5" i="12"/>
  <c r="Q383" i="12" s="1"/>
  <c r="P5" i="12"/>
  <c r="P694" i="12" s="1"/>
  <c r="O5" i="12"/>
  <c r="N5" i="12"/>
  <c r="M5" i="12"/>
  <c r="L5" i="12"/>
  <c r="K5" i="12"/>
  <c r="CX114" i="8"/>
  <c r="CT114" i="8"/>
  <c r="CS114" i="8"/>
  <c r="CR114" i="8"/>
  <c r="CQ114" i="8"/>
  <c r="CP114" i="8"/>
  <c r="CN114" i="8"/>
  <c r="CM114" i="8"/>
  <c r="CL114" i="8"/>
  <c r="DH113" i="8"/>
  <c r="DG113" i="8"/>
  <c r="DF113" i="8"/>
  <c r="DE113" i="8"/>
  <c r="DD113" i="8"/>
  <c r="DC113" i="8"/>
  <c r="DB113" i="8"/>
  <c r="CX113" i="8"/>
  <c r="CW113" i="8"/>
  <c r="CV113" i="8"/>
  <c r="CU113" i="8"/>
  <c r="CT113" i="8"/>
  <c r="CP113" i="8"/>
  <c r="T113" i="8"/>
  <c r="S113" i="8"/>
  <c r="CN111" i="8"/>
  <c r="CK109" i="8"/>
  <c r="CJ109" i="8"/>
  <c r="P109" i="8"/>
  <c r="T99" i="8"/>
  <c r="T100" i="8" s="1"/>
  <c r="S99" i="8"/>
  <c r="S100" i="8" s="1"/>
  <c r="R99" i="8"/>
  <c r="R100" i="8" s="1"/>
  <c r="V87" i="8"/>
  <c r="U87" i="8"/>
  <c r="T87" i="8"/>
  <c r="CY87" i="8" s="1"/>
  <c r="S87" i="8"/>
  <c r="R87" i="8"/>
  <c r="Q87" i="8"/>
  <c r="P87" i="8"/>
  <c r="A68" i="8"/>
  <c r="N60" i="8"/>
  <c r="CH57" i="8"/>
  <c r="BZ57" i="8"/>
  <c r="DH56" i="8"/>
  <c r="DG56" i="8"/>
  <c r="DF56" i="8"/>
  <c r="DE56" i="8"/>
  <c r="DD56" i="8"/>
  <c r="DC56" i="8"/>
  <c r="DB56" i="8"/>
  <c r="CZ56" i="8"/>
  <c r="CY56" i="8"/>
  <c r="CX56" i="8"/>
  <c r="CW56" i="8"/>
  <c r="CV56" i="8"/>
  <c r="CU56" i="8"/>
  <c r="CT56" i="8"/>
  <c r="CS56" i="8"/>
  <c r="CR56" i="8"/>
  <c r="CQ56" i="8"/>
  <c r="CP56" i="8"/>
  <c r="CO56" i="8"/>
  <c r="CN56" i="8"/>
  <c r="CM56" i="8"/>
  <c r="CL56" i="8"/>
  <c r="CI56" i="8"/>
  <c r="CH56" i="8"/>
  <c r="CG56" i="8"/>
  <c r="CF56" i="8"/>
  <c r="CE56" i="8"/>
  <c r="CD56" i="8"/>
  <c r="CA56" i="8"/>
  <c r="BZ56" i="8"/>
  <c r="DH55" i="8"/>
  <c r="DG55" i="8"/>
  <c r="DF55" i="8"/>
  <c r="DC55" i="8"/>
  <c r="DB55" i="8"/>
  <c r="DA55" i="8"/>
  <c r="CZ55" i="8"/>
  <c r="CY55" i="8"/>
  <c r="CX55" i="8"/>
  <c r="DH54" i="8"/>
  <c r="DG54" i="8"/>
  <c r="DF54" i="8"/>
  <c r="DE54" i="8"/>
  <c r="DD54" i="8"/>
  <c r="DC54" i="8"/>
  <c r="DB54" i="8"/>
  <c r="DA54" i="8"/>
  <c r="CZ54" i="8"/>
  <c r="CY54" i="8"/>
  <c r="CX54" i="8"/>
  <c r="CW54" i="8"/>
  <c r="CV54" i="8"/>
  <c r="CU54" i="8"/>
  <c r="CT54" i="8"/>
  <c r="CS54" i="8"/>
  <c r="CR54" i="8"/>
  <c r="CQ54" i="8"/>
  <c r="CP54" i="8"/>
  <c r="CO54" i="8"/>
  <c r="CN54" i="8"/>
  <c r="CM54" i="8"/>
  <c r="CL54" i="8"/>
  <c r="CI54" i="8"/>
  <c r="CH54" i="8"/>
  <c r="CG54" i="8"/>
  <c r="CF54" i="8"/>
  <c r="CE54" i="8"/>
  <c r="CD54" i="8"/>
  <c r="CA54" i="8"/>
  <c r="BZ54" i="8"/>
  <c r="DH53" i="8"/>
  <c r="DG53" i="8"/>
  <c r="DF53" i="8"/>
  <c r="DE53" i="8"/>
  <c r="DD53" i="8"/>
  <c r="DC53" i="8"/>
  <c r="DB53" i="8"/>
  <c r="CY53" i="8"/>
  <c r="CX53" i="8"/>
  <c r="CW53" i="8"/>
  <c r="CU53" i="8"/>
  <c r="CT53" i="8"/>
  <c r="CS53" i="8"/>
  <c r="CR53" i="8"/>
  <c r="CQ53" i="8"/>
  <c r="CP53" i="8"/>
  <c r="CO53" i="8"/>
  <c r="CN53" i="8"/>
  <c r="CM53" i="8"/>
  <c r="CL53" i="8"/>
  <c r="CK53" i="8"/>
  <c r="CJ53" i="8"/>
  <c r="CI53" i="8"/>
  <c r="CH53" i="8"/>
  <c r="CE53" i="8"/>
  <c r="CD53" i="8"/>
  <c r="CB53" i="8"/>
  <c r="CA53" i="8"/>
  <c r="BZ53" i="8"/>
  <c r="DH52" i="8"/>
  <c r="DH78" i="8" s="1"/>
  <c r="DG52" i="8"/>
  <c r="DG78" i="8" s="1"/>
  <c r="DF52" i="8"/>
  <c r="DF78" i="8" s="1"/>
  <c r="DC52" i="8"/>
  <c r="DB52" i="8"/>
  <c r="DB78" i="8" s="1"/>
  <c r="CY52" i="8"/>
  <c r="CY78" i="8" s="1"/>
  <c r="CX52" i="8"/>
  <c r="CX78" i="8" s="1"/>
  <c r="CW52" i="8"/>
  <c r="CW78" i="8" s="1"/>
  <c r="CV52" i="8"/>
  <c r="CV78" i="8" s="1"/>
  <c r="CU52" i="8"/>
  <c r="CT52" i="8"/>
  <c r="CT78" i="8" s="1"/>
  <c r="CS52" i="8"/>
  <c r="CS78" i="8" s="1"/>
  <c r="CR52" i="8"/>
  <c r="CR78" i="8" s="1"/>
  <c r="CQ52" i="8"/>
  <c r="CP52" i="8"/>
  <c r="CP78" i="8" s="1"/>
  <c r="CO52" i="8"/>
  <c r="CO78" i="8" s="1"/>
  <c r="CN52" i="8"/>
  <c r="CN78" i="8" s="1"/>
  <c r="CM52" i="8"/>
  <c r="CL52" i="8"/>
  <c r="CL78" i="8" s="1"/>
  <c r="CK52" i="8"/>
  <c r="CK78" i="8" s="1"/>
  <c r="CJ52" i="8"/>
  <c r="CJ78" i="8" s="1"/>
  <c r="CI52" i="8"/>
  <c r="CI78" i="8" s="1"/>
  <c r="CH52" i="8"/>
  <c r="CH78" i="8" s="1"/>
  <c r="CE52" i="8"/>
  <c r="CE78" i="8" s="1"/>
  <c r="CD52" i="8"/>
  <c r="CD78" i="8" s="1"/>
  <c r="CA52" i="8"/>
  <c r="CA78" i="8" s="1"/>
  <c r="BZ52" i="8"/>
  <c r="BZ78" i="8" s="1"/>
  <c r="DH51" i="8"/>
  <c r="DG51" i="8"/>
  <c r="DF51" i="8"/>
  <c r="DC51" i="8"/>
  <c r="DB51" i="8"/>
  <c r="CY51" i="8"/>
  <c r="CX51" i="8"/>
  <c r="CW51" i="8"/>
  <c r="CU51" i="8"/>
  <c r="CT51" i="8"/>
  <c r="CQ51" i="8"/>
  <c r="CP51" i="8"/>
  <c r="CO51" i="8"/>
  <c r="CN51" i="8"/>
  <c r="CM51" i="8"/>
  <c r="CL51" i="8"/>
  <c r="CI51" i="8"/>
  <c r="CH51" i="8"/>
  <c r="CG51" i="8"/>
  <c r="CF51" i="8"/>
  <c r="CE51" i="8"/>
  <c r="CD51" i="8"/>
  <c r="CA51" i="8"/>
  <c r="BZ51" i="8"/>
  <c r="S55" i="8"/>
  <c r="R55" i="8"/>
  <c r="Q55" i="8"/>
  <c r="P55" i="8"/>
  <c r="O55" i="8"/>
  <c r="N55" i="8"/>
  <c r="DH50" i="8"/>
  <c r="DG50" i="8"/>
  <c r="DF50" i="8"/>
  <c r="DE50" i="8"/>
  <c r="DD50" i="8"/>
  <c r="DC50" i="8"/>
  <c r="DB50" i="8"/>
  <c r="CY50" i="8"/>
  <c r="CX50" i="8"/>
  <c r="CW50" i="8"/>
  <c r="CV50" i="8"/>
  <c r="CU50" i="8"/>
  <c r="CT50" i="8"/>
  <c r="CS50" i="8"/>
  <c r="CR50" i="8"/>
  <c r="CQ50" i="8"/>
  <c r="CP50" i="8"/>
  <c r="CM50" i="8"/>
  <c r="CL50" i="8"/>
  <c r="CJ50" i="8"/>
  <c r="CI50" i="8"/>
  <c r="CH50" i="8"/>
  <c r="CG50" i="8"/>
  <c r="CF50" i="8"/>
  <c r="CE50" i="8"/>
  <c r="CD50" i="8"/>
  <c r="CB50" i="8"/>
  <c r="CA50" i="8"/>
  <c r="BZ50" i="8"/>
  <c r="DH48" i="8"/>
  <c r="DG48" i="8"/>
  <c r="DF48" i="8"/>
  <c r="DC48" i="8"/>
  <c r="DB48" i="8"/>
  <c r="DA48" i="8"/>
  <c r="CZ48" i="8"/>
  <c r="CY48" i="8"/>
  <c r="CX48" i="8"/>
  <c r="CW48" i="8"/>
  <c r="CU48" i="8"/>
  <c r="CT48" i="8"/>
  <c r="CS48" i="8"/>
  <c r="CR48" i="8"/>
  <c r="CQ48" i="8"/>
  <c r="CP48" i="8"/>
  <c r="CM48" i="8"/>
  <c r="CL48" i="8"/>
  <c r="CI48" i="8"/>
  <c r="CH48" i="8"/>
  <c r="CE48" i="8"/>
  <c r="CD48" i="8"/>
  <c r="CB48" i="8"/>
  <c r="CA48" i="8"/>
  <c r="BZ48" i="8"/>
  <c r="CX44" i="8"/>
  <c r="CW44" i="8"/>
  <c r="CT44" i="8"/>
  <c r="CP44" i="8"/>
  <c r="CH44" i="8"/>
  <c r="BZ44" i="8"/>
  <c r="DH43" i="8"/>
  <c r="DG43" i="8"/>
  <c r="DF43" i="8"/>
  <c r="DE43" i="8"/>
  <c r="DD43" i="8"/>
  <c r="DC43" i="8"/>
  <c r="DB43" i="8"/>
  <c r="DA43" i="8"/>
  <c r="CZ43" i="8"/>
  <c r="CY43" i="8"/>
  <c r="CX43" i="8"/>
  <c r="CW43" i="8"/>
  <c r="CV43" i="8"/>
  <c r="CU43" i="8"/>
  <c r="CT43" i="8"/>
  <c r="CR43" i="8"/>
  <c r="CQ43" i="8"/>
  <c r="CP43" i="8"/>
  <c r="CM43" i="8"/>
  <c r="CL43" i="8"/>
  <c r="CI43" i="8"/>
  <c r="CH43" i="8"/>
  <c r="CD43" i="8"/>
  <c r="CA43" i="8"/>
  <c r="BZ43" i="8"/>
  <c r="DH42" i="8"/>
  <c r="DG42" i="8"/>
  <c r="DF42" i="8"/>
  <c r="DE42" i="8"/>
  <c r="DD42" i="8"/>
  <c r="DC42" i="8"/>
  <c r="DB42" i="8"/>
  <c r="CY42" i="8"/>
  <c r="CX42" i="8"/>
  <c r="CW42" i="8"/>
  <c r="CV42" i="8"/>
  <c r="CU42" i="8"/>
  <c r="CT42" i="8"/>
  <c r="CQ42" i="8"/>
  <c r="CP42" i="8"/>
  <c r="CM42" i="8"/>
  <c r="CL42" i="8"/>
  <c r="CK42" i="8"/>
  <c r="CJ42" i="8"/>
  <c r="CI42" i="8"/>
  <c r="CH42" i="8"/>
  <c r="CE42" i="8"/>
  <c r="CD42" i="8"/>
  <c r="CC42" i="8"/>
  <c r="CB42" i="8"/>
  <c r="CA42" i="8"/>
  <c r="BZ42" i="8"/>
  <c r="DH41" i="8"/>
  <c r="DG41" i="8"/>
  <c r="DF41" i="8"/>
  <c r="DE41" i="8"/>
  <c r="DD41" i="8"/>
  <c r="DC41" i="8"/>
  <c r="DB41" i="8"/>
  <c r="DA41" i="8"/>
  <c r="CZ41" i="8"/>
  <c r="CY41" i="8"/>
  <c r="CX41" i="8"/>
  <c r="CW41" i="8"/>
  <c r="CV41" i="8"/>
  <c r="CU41" i="8"/>
  <c r="CT41" i="8"/>
  <c r="CS41" i="8"/>
  <c r="CR41" i="8"/>
  <c r="CQ41" i="8"/>
  <c r="CP41" i="8"/>
  <c r="CO41" i="8"/>
  <c r="CN41" i="8"/>
  <c r="CM41" i="8"/>
  <c r="CL41" i="8"/>
  <c r="CK41" i="8"/>
  <c r="CJ41" i="8"/>
  <c r="CI41" i="8"/>
  <c r="CH41" i="8"/>
  <c r="CG41" i="8"/>
  <c r="CF41" i="8"/>
  <c r="CE41" i="8"/>
  <c r="CD41" i="8"/>
  <c r="CC41" i="8"/>
  <c r="CB41" i="8"/>
  <c r="CA41" i="8"/>
  <c r="BZ41" i="8"/>
  <c r="DH40" i="8"/>
  <c r="DG40" i="8"/>
  <c r="DF40" i="8"/>
  <c r="DE40" i="8"/>
  <c r="DD40" i="8"/>
  <c r="DC40" i="8"/>
  <c r="DB40" i="8"/>
  <c r="DA40" i="8"/>
  <c r="CZ40" i="8"/>
  <c r="CY40" i="8"/>
  <c r="CX40" i="8"/>
  <c r="CW40" i="8"/>
  <c r="CV40" i="8"/>
  <c r="CU40" i="8"/>
  <c r="CT40" i="8"/>
  <c r="CR40" i="8"/>
  <c r="CQ40" i="8"/>
  <c r="CP40" i="8"/>
  <c r="CO40" i="8"/>
  <c r="CN40" i="8"/>
  <c r="CM40" i="8"/>
  <c r="CL40" i="8"/>
  <c r="CK40" i="8"/>
  <c r="CJ40" i="8"/>
  <c r="CI40" i="8"/>
  <c r="CH40" i="8"/>
  <c r="CG40" i="8"/>
  <c r="CF40" i="8"/>
  <c r="CE40" i="8"/>
  <c r="CD40" i="8"/>
  <c r="CC40" i="8"/>
  <c r="CB40" i="8"/>
  <c r="CA40" i="8"/>
  <c r="BZ40" i="8"/>
  <c r="DH39" i="8"/>
  <c r="DF39" i="8"/>
  <c r="DE39" i="8"/>
  <c r="DD39" i="8"/>
  <c r="DC39" i="8"/>
  <c r="DB39" i="8"/>
  <c r="CY39" i="8"/>
  <c r="CX39" i="8"/>
  <c r="CW39" i="8"/>
  <c r="CU39" i="8"/>
  <c r="CT39" i="8"/>
  <c r="CQ39" i="8"/>
  <c r="CP39" i="8"/>
  <c r="CO39" i="8"/>
  <c r="CN39" i="8"/>
  <c r="CM39" i="8"/>
  <c r="CL39" i="8"/>
  <c r="CI39" i="8"/>
  <c r="CH39" i="8"/>
  <c r="CE39" i="8"/>
  <c r="CD39" i="8"/>
  <c r="CA39" i="8"/>
  <c r="BZ39" i="8"/>
  <c r="DH38" i="8"/>
  <c r="DH92" i="8" s="1"/>
  <c r="DG38" i="8"/>
  <c r="DG77" i="8" s="1"/>
  <c r="DF38" i="8"/>
  <c r="DF77" i="8" s="1"/>
  <c r="DD38" i="8"/>
  <c r="DD92" i="8" s="1"/>
  <c r="DC38" i="8"/>
  <c r="DC92" i="8" s="1"/>
  <c r="DB38" i="8"/>
  <c r="DB92" i="8" s="1"/>
  <c r="CY38" i="8"/>
  <c r="CY77" i="8" s="1"/>
  <c r="CX38" i="8"/>
  <c r="CW38" i="8"/>
  <c r="CW168" i="7" s="1"/>
  <c r="CU38" i="8"/>
  <c r="CU168" i="7" s="1"/>
  <c r="CT38" i="8"/>
  <c r="CT168" i="7" s="1"/>
  <c r="CS38" i="8"/>
  <c r="CS168" i="7" s="1"/>
  <c r="CR38" i="8"/>
  <c r="CR77" i="8" s="1"/>
  <c r="CQ38" i="8"/>
  <c r="CQ77" i="8" s="1"/>
  <c r="CP38" i="8"/>
  <c r="CP77" i="8" s="1"/>
  <c r="CN38" i="8"/>
  <c r="CI38" i="8"/>
  <c r="CH38" i="8"/>
  <c r="CH77" i="8" s="1"/>
  <c r="CE38" i="8"/>
  <c r="CE77" i="8" s="1"/>
  <c r="CD38" i="8"/>
  <c r="CD77" i="8" s="1"/>
  <c r="CA38" i="8"/>
  <c r="CA77" i="8" s="1"/>
  <c r="BZ38" i="8"/>
  <c r="DF34" i="8"/>
  <c r="DF65" i="8" s="1"/>
  <c r="DB34" i="8"/>
  <c r="CX34" i="8"/>
  <c r="CW34" i="8"/>
  <c r="CT34" i="8"/>
  <c r="CT65" i="8" s="1"/>
  <c r="CP34" i="8"/>
  <c r="CP65" i="8" s="1"/>
  <c r="CP701" i="12" s="1"/>
  <c r="CL34" i="8"/>
  <c r="CH34" i="8"/>
  <c r="CH65" i="8" s="1"/>
  <c r="DH33" i="8"/>
  <c r="DG33" i="8"/>
  <c r="DF33" i="8"/>
  <c r="DE33" i="8"/>
  <c r="DD33" i="8"/>
  <c r="DC33" i="8"/>
  <c r="DB33" i="8"/>
  <c r="DA33" i="8"/>
  <c r="CZ33" i="8"/>
  <c r="CY33" i="8"/>
  <c r="CX33" i="8"/>
  <c r="CW33" i="8"/>
  <c r="CU33" i="8"/>
  <c r="CT33" i="8"/>
  <c r="CS33" i="8"/>
  <c r="CR33" i="8"/>
  <c r="CQ33" i="8"/>
  <c r="CP33" i="8"/>
  <c r="CO33" i="8"/>
  <c r="CN33" i="8"/>
  <c r="CM33" i="8"/>
  <c r="CL33" i="8"/>
  <c r="CK33" i="8"/>
  <c r="CJ33" i="8"/>
  <c r="CI33" i="8"/>
  <c r="CH33" i="8"/>
  <c r="CD33" i="8"/>
  <c r="BZ33" i="8"/>
  <c r="DH32" i="8"/>
  <c r="DH91" i="8" s="1"/>
  <c r="DG32" i="8"/>
  <c r="DG91" i="8" s="1"/>
  <c r="DF32" i="8"/>
  <c r="DF91" i="8" s="1"/>
  <c r="DC32" i="8"/>
  <c r="DC91" i="8" s="1"/>
  <c r="DB32" i="8"/>
  <c r="DB91" i="8" s="1"/>
  <c r="CY32" i="8"/>
  <c r="CY91" i="8" s="1"/>
  <c r="CX32" i="8"/>
  <c r="CX91" i="8" s="1"/>
  <c r="CW32" i="8"/>
  <c r="CW91" i="8" s="1"/>
  <c r="CV32" i="8"/>
  <c r="CV91" i="8" s="1"/>
  <c r="CU32" i="8"/>
  <c r="CU91" i="8" s="1"/>
  <c r="CT32" i="8"/>
  <c r="CT91" i="8" s="1"/>
  <c r="CS32" i="8"/>
  <c r="CS91" i="8" s="1"/>
  <c r="CR32" i="8"/>
  <c r="CR91" i="8" s="1"/>
  <c r="CQ32" i="8"/>
  <c r="CQ91" i="8" s="1"/>
  <c r="CP32" i="8"/>
  <c r="CP91" i="8" s="1"/>
  <c r="CM32" i="8"/>
  <c r="CM91" i="8" s="1"/>
  <c r="CL32" i="8"/>
  <c r="CL91" i="8" s="1"/>
  <c r="CI32" i="8"/>
  <c r="CH32" i="8"/>
  <c r="CG32" i="8"/>
  <c r="CF32" i="8"/>
  <c r="CE32" i="8"/>
  <c r="CD32" i="8"/>
  <c r="CC32" i="8"/>
  <c r="CB32" i="8"/>
  <c r="CA32" i="8"/>
  <c r="BZ32" i="8"/>
  <c r="U31" i="8"/>
  <c r="T31" i="8"/>
  <c r="S31" i="8"/>
  <c r="R31" i="8"/>
  <c r="Q31" i="8"/>
  <c r="P31" i="8"/>
  <c r="U30" i="8"/>
  <c r="T30" i="8"/>
  <c r="S30" i="8"/>
  <c r="R30" i="8"/>
  <c r="Q30" i="8"/>
  <c r="P30" i="8"/>
  <c r="U29" i="8"/>
  <c r="T29" i="8"/>
  <c r="S29" i="8"/>
  <c r="R29" i="8"/>
  <c r="Q29" i="8"/>
  <c r="P29" i="8"/>
  <c r="U28" i="8"/>
  <c r="T28" i="8"/>
  <c r="S28" i="8"/>
  <c r="R28" i="8"/>
  <c r="Q28" i="8"/>
  <c r="P28" i="8"/>
  <c r="U27" i="8"/>
  <c r="T27" i="8"/>
  <c r="S27" i="8"/>
  <c r="R27" i="8"/>
  <c r="Q27" i="8"/>
  <c r="P27" i="8"/>
  <c r="DH26" i="8"/>
  <c r="DG26" i="8"/>
  <c r="DF26" i="8"/>
  <c r="DE26" i="8"/>
  <c r="DD26" i="8"/>
  <c r="DC26" i="8"/>
  <c r="DB26" i="8"/>
  <c r="DA26" i="8"/>
  <c r="CZ26" i="8"/>
  <c r="CY26" i="8"/>
  <c r="CX26" i="8"/>
  <c r="CW26" i="8"/>
  <c r="CV26" i="8"/>
  <c r="CU26" i="8"/>
  <c r="CT26" i="8"/>
  <c r="CS26" i="8"/>
  <c r="CR26" i="8"/>
  <c r="CQ26" i="8"/>
  <c r="CP26" i="8"/>
  <c r="CO26" i="8"/>
  <c r="CN26" i="8"/>
  <c r="CM26" i="8"/>
  <c r="CL26" i="8"/>
  <c r="CK26" i="8"/>
  <c r="CJ26" i="8"/>
  <c r="CI26" i="8"/>
  <c r="CH26" i="8"/>
  <c r="CG26" i="8"/>
  <c r="CF26" i="8"/>
  <c r="CE26" i="8"/>
  <c r="CD26" i="8"/>
  <c r="CC26" i="8"/>
  <c r="CB26" i="8"/>
  <c r="CA26" i="8"/>
  <c r="BZ26" i="8"/>
  <c r="W25" i="8"/>
  <c r="V25" i="8"/>
  <c r="U25" i="8"/>
  <c r="T25" i="8"/>
  <c r="S25" i="8"/>
  <c r="R25" i="8"/>
  <c r="Q25" i="8"/>
  <c r="P25" i="8"/>
  <c r="O25" i="8"/>
  <c r="N25" i="8"/>
  <c r="DH24" i="8"/>
  <c r="DG24" i="8"/>
  <c r="DF24" i="8"/>
  <c r="DC24" i="8"/>
  <c r="DB24" i="8"/>
  <c r="CY24" i="8"/>
  <c r="CX24" i="8"/>
  <c r="CW24" i="8"/>
  <c r="CV24" i="8"/>
  <c r="CU24" i="8"/>
  <c r="CT24" i="8"/>
  <c r="CQ24" i="8"/>
  <c r="CP24" i="8"/>
  <c r="CM24" i="8"/>
  <c r="CL24" i="8"/>
  <c r="CI24" i="8"/>
  <c r="CH24" i="8"/>
  <c r="CE24" i="8"/>
  <c r="CD24" i="8"/>
  <c r="CA24" i="8"/>
  <c r="BZ24" i="8"/>
  <c r="DH23" i="8"/>
  <c r="DG23" i="8"/>
  <c r="DF23" i="8"/>
  <c r="DE23" i="8"/>
  <c r="DD23" i="8"/>
  <c r="DC23" i="8"/>
  <c r="DB23" i="8"/>
  <c r="DA23" i="8"/>
  <c r="CZ23" i="8"/>
  <c r="CY23" i="8"/>
  <c r="CX23" i="8"/>
  <c r="CW23" i="8"/>
  <c r="CV23" i="8"/>
  <c r="CU23" i="8"/>
  <c r="CT23" i="8"/>
  <c r="CS23" i="8"/>
  <c r="CR23" i="8"/>
  <c r="CQ23" i="8"/>
  <c r="CP23" i="8"/>
  <c r="CO23" i="8"/>
  <c r="CN23" i="8"/>
  <c r="CM23" i="8"/>
  <c r="CL23" i="8"/>
  <c r="CK23" i="8"/>
  <c r="CJ23" i="8"/>
  <c r="CI23" i="8"/>
  <c r="CH23" i="8"/>
  <c r="CG23" i="8"/>
  <c r="CF23" i="8"/>
  <c r="CE23" i="8"/>
  <c r="CD23" i="8"/>
  <c r="CA23" i="8"/>
  <c r="BZ23" i="8"/>
  <c r="DH22" i="8"/>
  <c r="DG22" i="8"/>
  <c r="DF22" i="8"/>
  <c r="DE22" i="8"/>
  <c r="DD22" i="8"/>
  <c r="DC22" i="8"/>
  <c r="DB22" i="8"/>
  <c r="DA22" i="8"/>
  <c r="CZ22" i="8"/>
  <c r="CY22" i="8"/>
  <c r="CX22" i="8"/>
  <c r="CW22" i="8"/>
  <c r="CU22" i="8"/>
  <c r="CT22" i="8"/>
  <c r="CS22" i="8"/>
  <c r="CR22" i="8"/>
  <c r="CQ22" i="8"/>
  <c r="CP22" i="8"/>
  <c r="CO22" i="8"/>
  <c r="CN22" i="8"/>
  <c r="CM22" i="8"/>
  <c r="CL22" i="8"/>
  <c r="CK22" i="8"/>
  <c r="CJ22" i="8"/>
  <c r="CI22" i="8"/>
  <c r="CH22" i="8"/>
  <c r="CG22" i="8"/>
  <c r="CF22" i="8"/>
  <c r="CE22" i="8"/>
  <c r="CD22" i="8"/>
  <c r="CA22" i="8"/>
  <c r="BZ22" i="8"/>
  <c r="DH21" i="8"/>
  <c r="DG21" i="8"/>
  <c r="DF21" i="8"/>
  <c r="DE21" i="8"/>
  <c r="DD21" i="8"/>
  <c r="DC21" i="8"/>
  <c r="DB21" i="8"/>
  <c r="DA21" i="8"/>
  <c r="CZ21" i="8"/>
  <c r="CY21" i="8"/>
  <c r="CX21" i="8"/>
  <c r="CW21" i="8"/>
  <c r="CV21" i="8"/>
  <c r="CU21" i="8"/>
  <c r="CT21" i="8"/>
  <c r="CS21" i="8"/>
  <c r="CR21" i="8"/>
  <c r="CQ21" i="8"/>
  <c r="CP21" i="8"/>
  <c r="CO21" i="8"/>
  <c r="CN21" i="8"/>
  <c r="CM21" i="8"/>
  <c r="CL21" i="8"/>
  <c r="CK21" i="8"/>
  <c r="CJ21" i="8"/>
  <c r="CI21" i="8"/>
  <c r="CH21" i="8"/>
  <c r="CG21" i="8"/>
  <c r="CF21" i="8"/>
  <c r="CE21" i="8"/>
  <c r="CD21" i="8"/>
  <c r="CA21" i="8"/>
  <c r="BZ21" i="8"/>
  <c r="DH20" i="8"/>
  <c r="DG20" i="8"/>
  <c r="DF20" i="8"/>
  <c r="DE20" i="8"/>
  <c r="DD20" i="8"/>
  <c r="DC20" i="8"/>
  <c r="DB20" i="8"/>
  <c r="DA20" i="8"/>
  <c r="CZ20" i="8"/>
  <c r="CY20" i="8"/>
  <c r="CX20" i="8"/>
  <c r="CW20" i="8"/>
  <c r="CV20" i="8"/>
  <c r="CU20" i="8"/>
  <c r="CT20" i="8"/>
  <c r="CS20" i="8"/>
  <c r="CR20" i="8"/>
  <c r="CQ20" i="8"/>
  <c r="CP20" i="8"/>
  <c r="CO20" i="8"/>
  <c r="CN20" i="8"/>
  <c r="CM20" i="8"/>
  <c r="CL20" i="8"/>
  <c r="CK20" i="8"/>
  <c r="CJ20" i="8"/>
  <c r="CI20" i="8"/>
  <c r="CH20" i="8"/>
  <c r="CG20" i="8"/>
  <c r="CF20" i="8"/>
  <c r="CE20" i="8"/>
  <c r="CD20" i="8"/>
  <c r="CC20" i="8"/>
  <c r="CB20" i="8"/>
  <c r="CA20" i="8"/>
  <c r="BZ20" i="8"/>
  <c r="DH19" i="8"/>
  <c r="DG19" i="8"/>
  <c r="DF19" i="8"/>
  <c r="DE19" i="8"/>
  <c r="DD19" i="8"/>
  <c r="DC19" i="8"/>
  <c r="DB19" i="8"/>
  <c r="DA19" i="8"/>
  <c r="CZ19" i="8"/>
  <c r="CY19" i="8"/>
  <c r="CX19" i="8"/>
  <c r="CW19" i="8"/>
  <c r="CV19" i="8"/>
  <c r="CU19" i="8"/>
  <c r="CT19" i="8"/>
  <c r="CS19" i="8"/>
  <c r="CR19" i="8"/>
  <c r="CQ19" i="8"/>
  <c r="CP19" i="8"/>
  <c r="CO19" i="8"/>
  <c r="CN19" i="8"/>
  <c r="CM19" i="8"/>
  <c r="CL19" i="8"/>
  <c r="CK19" i="8"/>
  <c r="CJ19" i="8"/>
  <c r="CI19" i="8"/>
  <c r="CH19" i="8"/>
  <c r="CF19" i="8"/>
  <c r="CE19" i="8"/>
  <c r="CD19" i="8"/>
  <c r="CC19" i="8"/>
  <c r="CB19" i="8"/>
  <c r="CA19" i="8"/>
  <c r="BZ19" i="8"/>
  <c r="R16" i="8"/>
  <c r="Q16" i="8"/>
  <c r="P16" i="8"/>
  <c r="O16" i="8"/>
  <c r="N16" i="8"/>
  <c r="R15" i="8"/>
  <c r="Q15" i="8"/>
  <c r="P15" i="8"/>
  <c r="O15" i="8"/>
  <c r="N15" i="8"/>
  <c r="R14" i="8"/>
  <c r="Q14" i="8"/>
  <c r="P14" i="8"/>
  <c r="O14" i="8"/>
  <c r="N14" i="8"/>
  <c r="DH12" i="8"/>
  <c r="DG12" i="8"/>
  <c r="DG73" i="8" s="1"/>
  <c r="DF12" i="8"/>
  <c r="DF73" i="8" s="1"/>
  <c r="DC12" i="8"/>
  <c r="DB12" i="8"/>
  <c r="CY12" i="8"/>
  <c r="CX12" i="8"/>
  <c r="CW12" i="8"/>
  <c r="CW73" i="8" s="1"/>
  <c r="CU12" i="8"/>
  <c r="CU73" i="8" s="1"/>
  <c r="CT12" i="8"/>
  <c r="CQ12" i="8"/>
  <c r="CP12" i="8"/>
  <c r="CP73" i="8" s="1"/>
  <c r="CM12" i="8"/>
  <c r="CM73" i="8" s="1"/>
  <c r="CL12" i="8"/>
  <c r="CI12" i="8"/>
  <c r="CI73" i="8" s="1"/>
  <c r="CH12" i="8"/>
  <c r="CE127" i="6" s="1"/>
  <c r="CE144" i="6" s="1"/>
  <c r="CE12" i="8"/>
  <c r="CE73" i="8" s="1"/>
  <c r="CD12" i="8"/>
  <c r="CD73" i="8" s="1"/>
  <c r="CA12" i="8"/>
  <c r="BZ12" i="8"/>
  <c r="BZ73" i="8" s="1"/>
  <c r="CO8" i="8"/>
  <c r="CN8" i="8"/>
  <c r="CM8" i="8"/>
  <c r="CL8" i="8"/>
  <c r="DM6" i="8"/>
  <c r="DH6" i="8"/>
  <c r="DG6" i="8"/>
  <c r="DF6" i="8"/>
  <c r="DE6" i="8"/>
  <c r="DD6" i="8"/>
  <c r="DC6" i="8"/>
  <c r="DB6" i="8"/>
  <c r="DA6" i="8"/>
  <c r="CZ6" i="8"/>
  <c r="CY6" i="8"/>
  <c r="CX6" i="8"/>
  <c r="CW6" i="8"/>
  <c r="CV6" i="8"/>
  <c r="CU6" i="8"/>
  <c r="CT6" i="8"/>
  <c r="CS6" i="8"/>
  <c r="CR6" i="8"/>
  <c r="CQ6" i="8"/>
  <c r="CP6" i="8"/>
  <c r="CO6" i="8"/>
  <c r="CN6" i="8"/>
  <c r="CM6" i="8"/>
  <c r="CL6" i="8"/>
  <c r="CK6" i="8"/>
  <c r="CJ6" i="8"/>
  <c r="CI6" i="8"/>
  <c r="CH6" i="8"/>
  <c r="CG6" i="8"/>
  <c r="CF6" i="8"/>
  <c r="CE6" i="8"/>
  <c r="CD6" i="8"/>
  <c r="CC6" i="8"/>
  <c r="CB6" i="8"/>
  <c r="CA6" i="8"/>
  <c r="BZ6" i="8"/>
  <c r="Q8" i="8"/>
  <c r="AA6" i="8"/>
  <c r="Z6" i="8"/>
  <c r="Y6" i="8"/>
  <c r="X6" i="8"/>
  <c r="W6" i="8"/>
  <c r="V6" i="8"/>
  <c r="U6" i="8"/>
  <c r="T6" i="8"/>
  <c r="S6" i="8"/>
  <c r="R6" i="8"/>
  <c r="Q6" i="8"/>
  <c r="P6" i="8"/>
  <c r="O6" i="8"/>
  <c r="N6" i="8"/>
  <c r="AA204" i="7"/>
  <c r="Z204" i="7"/>
  <c r="Y204" i="7"/>
  <c r="X204" i="7"/>
  <c r="W204" i="7"/>
  <c r="V204" i="7"/>
  <c r="AL194" i="7"/>
  <c r="AK194" i="7"/>
  <c r="AJ194" i="7"/>
  <c r="AI194" i="7"/>
  <c r="Q180" i="7"/>
  <c r="N180" i="7"/>
  <c r="N177" i="7"/>
  <c r="BZ177" i="7"/>
  <c r="W170" i="7"/>
  <c r="V170" i="7"/>
  <c r="U170" i="7"/>
  <c r="R170" i="7"/>
  <c r="Q170" i="7"/>
  <c r="P170" i="7"/>
  <c r="O170" i="7"/>
  <c r="N170" i="7"/>
  <c r="DC168" i="7"/>
  <c r="CY168" i="7"/>
  <c r="BZ167" i="7"/>
  <c r="N167" i="7"/>
  <c r="DA102" i="7"/>
  <c r="CZ102" i="7"/>
  <c r="CY102" i="7"/>
  <c r="CX102" i="7"/>
  <c r="BZ102" i="7"/>
  <c r="CA102" i="7" s="1"/>
  <c r="CB102" i="7" s="1"/>
  <c r="CC102" i="7" s="1"/>
  <c r="BZ98" i="7"/>
  <c r="CA98" i="7" s="1"/>
  <c r="CB98" i="7" s="1"/>
  <c r="CC98" i="7" s="1"/>
  <c r="CD98" i="7" s="1"/>
  <c r="CE98" i="7" s="1"/>
  <c r="CF98" i="7" s="1"/>
  <c r="CG98" i="7" s="1"/>
  <c r="CH98" i="7" s="1"/>
  <c r="CI98" i="7" s="1"/>
  <c r="CJ98" i="7" s="1"/>
  <c r="CK98" i="7" s="1"/>
  <c r="CL98" i="7" s="1"/>
  <c r="CM98" i="7" s="1"/>
  <c r="CN98" i="7" s="1"/>
  <c r="CO98" i="7" s="1"/>
  <c r="CP98" i="7" s="1"/>
  <c r="CQ98" i="7" s="1"/>
  <c r="CR98" i="7" s="1"/>
  <c r="CS98" i="7" s="1"/>
  <c r="CT98" i="7" s="1"/>
  <c r="CU98" i="7" s="1"/>
  <c r="CV98" i="7" s="1"/>
  <c r="CW98" i="7" s="1"/>
  <c r="CX98" i="7" s="1"/>
  <c r="CY98" i="7" s="1"/>
  <c r="CZ98" i="7" s="1"/>
  <c r="T97" i="7"/>
  <c r="S97" i="7"/>
  <c r="R97" i="7"/>
  <c r="Q97" i="7"/>
  <c r="P97" i="7"/>
  <c r="O97" i="7"/>
  <c r="N97" i="7"/>
  <c r="BY90" i="7"/>
  <c r="BX90" i="7"/>
  <c r="BW90" i="7"/>
  <c r="BV90" i="7"/>
  <c r="BU90" i="7"/>
  <c r="BT90" i="7"/>
  <c r="BS90" i="7"/>
  <c r="BR90" i="7"/>
  <c r="BQ90" i="7"/>
  <c r="BP90" i="7"/>
  <c r="BO90" i="7"/>
  <c r="BN90" i="7"/>
  <c r="BM90" i="7"/>
  <c r="BL90" i="7"/>
  <c r="BK90" i="7"/>
  <c r="BJ90" i="7"/>
  <c r="BI90" i="7"/>
  <c r="BH90" i="7"/>
  <c r="BG90" i="7"/>
  <c r="BF90" i="7"/>
  <c r="CK84" i="7"/>
  <c r="CJ84" i="7"/>
  <c r="CI84" i="7"/>
  <c r="CH84" i="7"/>
  <c r="CG84" i="7"/>
  <c r="CF84" i="7"/>
  <c r="CE84" i="7"/>
  <c r="CD84" i="7"/>
  <c r="CC84" i="7"/>
  <c r="CB84" i="7"/>
  <c r="CA84" i="7"/>
  <c r="BZ84" i="7"/>
  <c r="AL65" i="7"/>
  <c r="AK65" i="7"/>
  <c r="AJ65" i="7"/>
  <c r="AI65" i="7"/>
  <c r="DH60" i="7"/>
  <c r="DG60" i="7"/>
  <c r="DF60" i="7"/>
  <c r="DE60" i="7"/>
  <c r="U60" i="7" s="1"/>
  <c r="U101" i="7" s="1"/>
  <c r="DD60" i="7"/>
  <c r="DC60" i="7"/>
  <c r="DB60" i="7"/>
  <c r="DA60" i="7"/>
  <c r="T60" i="7" s="1"/>
  <c r="T101" i="7" s="1"/>
  <c r="CZ60" i="7"/>
  <c r="CZ101" i="7" s="1"/>
  <c r="CY60" i="7"/>
  <c r="CY101" i="7" s="1"/>
  <c r="CX60" i="7"/>
  <c r="CX101" i="7" s="1"/>
  <c r="CW60" i="7"/>
  <c r="S60" i="7" s="1"/>
  <c r="S101" i="7" s="1"/>
  <c r="CV60" i="7"/>
  <c r="CV101" i="7" s="1"/>
  <c r="CU60" i="7"/>
  <c r="CU101" i="7" s="1"/>
  <c r="CT60" i="7"/>
  <c r="CT101" i="7" s="1"/>
  <c r="CS60" i="7"/>
  <c r="CS101" i="7" s="1"/>
  <c r="CR60" i="7"/>
  <c r="CR101" i="7" s="1"/>
  <c r="CQ60" i="7"/>
  <c r="CQ101" i="7" s="1"/>
  <c r="CP60" i="7"/>
  <c r="CP101" i="7" s="1"/>
  <c r="CO60" i="7"/>
  <c r="Q60" i="7" s="1"/>
  <c r="Q101" i="7" s="1"/>
  <c r="CN60" i="7"/>
  <c r="CN101" i="7" s="1"/>
  <c r="CM60" i="7"/>
  <c r="CM101" i="7" s="1"/>
  <c r="CL60" i="7"/>
  <c r="CL101" i="7" s="1"/>
  <c r="CK60" i="7"/>
  <c r="CK101" i="7" s="1"/>
  <c r="CJ60" i="7"/>
  <c r="CJ101" i="7" s="1"/>
  <c r="CI60" i="7"/>
  <c r="CI101" i="7" s="1"/>
  <c r="CH60" i="7"/>
  <c r="CH101" i="7" s="1"/>
  <c r="CG60" i="7"/>
  <c r="O60" i="7" s="1"/>
  <c r="O101" i="7" s="1"/>
  <c r="CF60" i="7"/>
  <c r="CF101" i="7" s="1"/>
  <c r="CE60" i="7"/>
  <c r="CE101" i="7" s="1"/>
  <c r="CD60" i="7"/>
  <c r="CD101" i="7" s="1"/>
  <c r="CC60" i="7"/>
  <c r="CC101" i="7" s="1"/>
  <c r="CB60" i="7"/>
  <c r="CB101" i="7" s="1"/>
  <c r="CA60" i="7"/>
  <c r="CA101" i="7" s="1"/>
  <c r="BZ60" i="7"/>
  <c r="BZ101" i="7" s="1"/>
  <c r="DH59" i="7"/>
  <c r="DG59" i="7"/>
  <c r="DF59" i="7"/>
  <c r="DE59" i="7"/>
  <c r="U59" i="7" s="1"/>
  <c r="DD59" i="7"/>
  <c r="DC59" i="7"/>
  <c r="DB59" i="7"/>
  <c r="DA59" i="7"/>
  <c r="T59" i="7" s="1"/>
  <c r="CZ59" i="7"/>
  <c r="CY59" i="7"/>
  <c r="CX59" i="7"/>
  <c r="CW59" i="7"/>
  <c r="S59" i="7" s="1"/>
  <c r="CV59" i="7"/>
  <c r="CU59" i="7"/>
  <c r="CT59" i="7"/>
  <c r="CS59" i="7"/>
  <c r="R59" i="7" s="1"/>
  <c r="CR59" i="7"/>
  <c r="CQ59" i="7"/>
  <c r="CP59" i="7"/>
  <c r="CO59" i="7"/>
  <c r="Q59" i="7" s="1"/>
  <c r="CN59" i="7"/>
  <c r="CM59" i="7"/>
  <c r="CL59" i="7"/>
  <c r="CK59" i="7"/>
  <c r="P59" i="7" s="1"/>
  <c r="CJ59" i="7"/>
  <c r="CI59" i="7"/>
  <c r="CH59" i="7"/>
  <c r="CG59" i="7"/>
  <c r="CF59" i="7"/>
  <c r="CE59" i="7"/>
  <c r="CD59" i="7"/>
  <c r="CC59" i="7"/>
  <c r="N59" i="7" s="1"/>
  <c r="CB59" i="7"/>
  <c r="CA59" i="7"/>
  <c r="BZ59" i="7"/>
  <c r="DH58" i="7"/>
  <c r="DG58" i="7"/>
  <c r="DF58" i="7"/>
  <c r="DE58" i="7"/>
  <c r="U58" i="7" s="1"/>
  <c r="DD58" i="7"/>
  <c r="DC58" i="7"/>
  <c r="DB58" i="7"/>
  <c r="DA58" i="7"/>
  <c r="T58" i="7" s="1"/>
  <c r="CZ58" i="7"/>
  <c r="CY58" i="7"/>
  <c r="CX58" i="7"/>
  <c r="CW58" i="7"/>
  <c r="S58" i="7" s="1"/>
  <c r="CV58" i="7"/>
  <c r="CU58" i="7"/>
  <c r="CT58" i="7"/>
  <c r="CS58" i="7"/>
  <c r="R58" i="7" s="1"/>
  <c r="CR58" i="7"/>
  <c r="CQ58" i="7"/>
  <c r="CP58" i="7"/>
  <c r="CO58" i="7"/>
  <c r="Q58" i="7" s="1"/>
  <c r="CN58" i="7"/>
  <c r="CM58" i="7"/>
  <c r="CL58" i="7"/>
  <c r="CK58" i="7"/>
  <c r="P58" i="7" s="1"/>
  <c r="CJ58" i="7"/>
  <c r="CI58" i="7"/>
  <c r="CH58" i="7"/>
  <c r="CG58" i="7"/>
  <c r="CF58" i="7"/>
  <c r="CE58" i="7"/>
  <c r="CD58" i="7"/>
  <c r="CC58" i="7"/>
  <c r="N58" i="7" s="1"/>
  <c r="CB58" i="7"/>
  <c r="CA58" i="7"/>
  <c r="BZ58" i="7"/>
  <c r="DH57" i="7"/>
  <c r="DG57" i="7"/>
  <c r="DF57" i="7"/>
  <c r="DE57" i="7"/>
  <c r="U57" i="7" s="1"/>
  <c r="DD57" i="7"/>
  <c r="DC57" i="7"/>
  <c r="DB57" i="7"/>
  <c r="DA57" i="7"/>
  <c r="T57" i="7" s="1"/>
  <c r="CZ57" i="7"/>
  <c r="CY57" i="7"/>
  <c r="CX57" i="7"/>
  <c r="CW57" i="7"/>
  <c r="S57" i="7" s="1"/>
  <c r="CV57" i="7"/>
  <c r="CU57" i="7"/>
  <c r="CT57" i="7"/>
  <c r="CS57" i="7"/>
  <c r="R57" i="7" s="1"/>
  <c r="CR57" i="7"/>
  <c r="CQ57" i="7"/>
  <c r="CP57" i="7"/>
  <c r="CO57" i="7"/>
  <c r="Q57" i="7" s="1"/>
  <c r="CN57" i="7"/>
  <c r="CM57" i="7"/>
  <c r="CL57" i="7"/>
  <c r="CK57" i="7"/>
  <c r="P57" i="7" s="1"/>
  <c r="CJ57" i="7"/>
  <c r="CI57" i="7"/>
  <c r="CH57" i="7"/>
  <c r="CG57" i="7"/>
  <c r="O57" i="7" s="1"/>
  <c r="CF57" i="7"/>
  <c r="CE57" i="7"/>
  <c r="CD57" i="7"/>
  <c r="CC57" i="7"/>
  <c r="N57" i="7" s="1"/>
  <c r="CB57" i="7"/>
  <c r="CA57" i="7"/>
  <c r="BZ57" i="7"/>
  <c r="DH56" i="7"/>
  <c r="DG56" i="7"/>
  <c r="DF56" i="7"/>
  <c r="DE56" i="7"/>
  <c r="U56" i="7" s="1"/>
  <c r="DD56" i="7"/>
  <c r="DC56" i="7"/>
  <c r="DB56" i="7"/>
  <c r="DA56" i="7"/>
  <c r="T56" i="7" s="1"/>
  <c r="CZ56" i="7"/>
  <c r="CY56" i="7"/>
  <c r="CX56" i="7"/>
  <c r="CW56" i="7"/>
  <c r="S56" i="7" s="1"/>
  <c r="CV56" i="7"/>
  <c r="CU56" i="7"/>
  <c r="CT56" i="7"/>
  <c r="CS56" i="7"/>
  <c r="R56" i="7" s="1"/>
  <c r="CR56" i="7"/>
  <c r="CQ56" i="7"/>
  <c r="CP56" i="7"/>
  <c r="CO56" i="7"/>
  <c r="Q56" i="7" s="1"/>
  <c r="CN56" i="7"/>
  <c r="CM56" i="7"/>
  <c r="CL56" i="7"/>
  <c r="CK56" i="7"/>
  <c r="P56" i="7" s="1"/>
  <c r="CJ56" i="7"/>
  <c r="CI56" i="7"/>
  <c r="CH56" i="7"/>
  <c r="CG56" i="7"/>
  <c r="O56" i="7" s="1"/>
  <c r="CF56" i="7"/>
  <c r="CE56" i="7"/>
  <c r="CD56" i="7"/>
  <c r="CC56" i="7"/>
  <c r="N56" i="7" s="1"/>
  <c r="CB56" i="7"/>
  <c r="CA56" i="7"/>
  <c r="BZ56" i="7"/>
  <c r="DH55" i="7"/>
  <c r="DG55" i="7"/>
  <c r="DF55" i="7"/>
  <c r="DE55" i="7"/>
  <c r="U55" i="7" s="1"/>
  <c r="DD55" i="7"/>
  <c r="DC55" i="7"/>
  <c r="DB55" i="7"/>
  <c r="DA55" i="7"/>
  <c r="T55" i="7" s="1"/>
  <c r="CZ55" i="7"/>
  <c r="CY55" i="7"/>
  <c r="CX55" i="7"/>
  <c r="CW55" i="7"/>
  <c r="S55" i="7" s="1"/>
  <c r="CV55" i="7"/>
  <c r="CU55" i="7"/>
  <c r="CT55" i="7"/>
  <c r="CS55" i="7"/>
  <c r="CR55" i="7"/>
  <c r="CQ55" i="7"/>
  <c r="CP55" i="7"/>
  <c r="CO55" i="7"/>
  <c r="CN55" i="7"/>
  <c r="CM55" i="7"/>
  <c r="CL55" i="7"/>
  <c r="CK55" i="7"/>
  <c r="CJ55" i="7"/>
  <c r="CI55" i="7"/>
  <c r="CH55" i="7"/>
  <c r="CG55" i="7"/>
  <c r="CF55" i="7"/>
  <c r="CE55" i="7"/>
  <c r="CD55" i="7"/>
  <c r="CC55" i="7"/>
  <c r="CB55" i="7"/>
  <c r="CA55" i="7"/>
  <c r="BZ55" i="7"/>
  <c r="DH54" i="7"/>
  <c r="DG54" i="7"/>
  <c r="DF54" i="7"/>
  <c r="DE54" i="7"/>
  <c r="DD54" i="7"/>
  <c r="DC54" i="7"/>
  <c r="DB54" i="7"/>
  <c r="DA54" i="7"/>
  <c r="CZ54" i="7"/>
  <c r="CY54" i="7"/>
  <c r="CX54" i="7"/>
  <c r="CW54" i="7"/>
  <c r="CV54" i="7"/>
  <c r="CU54" i="7"/>
  <c r="CT54" i="7"/>
  <c r="CS54" i="7"/>
  <c r="R54" i="7" s="1"/>
  <c r="CR54" i="7"/>
  <c r="CQ54" i="7"/>
  <c r="CP54" i="7"/>
  <c r="CO54" i="7"/>
  <c r="Q54" i="7" s="1"/>
  <c r="CN54" i="7"/>
  <c r="CM54" i="7"/>
  <c r="CL54" i="7"/>
  <c r="CK54" i="7"/>
  <c r="P54" i="7" s="1"/>
  <c r="CJ54" i="7"/>
  <c r="CI54" i="7"/>
  <c r="CH54" i="7"/>
  <c r="CG54" i="7"/>
  <c r="O54" i="7" s="1"/>
  <c r="CF54" i="7"/>
  <c r="CE54" i="7"/>
  <c r="CD54" i="7"/>
  <c r="CC54" i="7"/>
  <c r="N54" i="7" s="1"/>
  <c r="CB54" i="7"/>
  <c r="CA54" i="7"/>
  <c r="BZ54" i="7"/>
  <c r="O58" i="7"/>
  <c r="DH49" i="7"/>
  <c r="DG49" i="7"/>
  <c r="DF49" i="7"/>
  <c r="DE49" i="7"/>
  <c r="U49" i="7" s="1"/>
  <c r="DD49" i="7"/>
  <c r="DC49" i="7"/>
  <c r="DB49" i="7"/>
  <c r="DA49" i="7"/>
  <c r="T49" i="7" s="1"/>
  <c r="CZ49" i="7"/>
  <c r="CY49" i="7"/>
  <c r="CX49" i="7"/>
  <c r="CW49" i="7"/>
  <c r="S49" i="7" s="1"/>
  <c r="CV49" i="7"/>
  <c r="CU49" i="7"/>
  <c r="CT49" i="7"/>
  <c r="CS49" i="7"/>
  <c r="R49" i="7" s="1"/>
  <c r="CR49" i="7"/>
  <c r="CQ49" i="7"/>
  <c r="CP49" i="7"/>
  <c r="CO49" i="7"/>
  <c r="CN49" i="7"/>
  <c r="CM49" i="7"/>
  <c r="CL49" i="7"/>
  <c r="CK49" i="7"/>
  <c r="P49" i="7" s="1"/>
  <c r="CJ49" i="7"/>
  <c r="CI49" i="7"/>
  <c r="CH49" i="7"/>
  <c r="CG49" i="7"/>
  <c r="CF49" i="7"/>
  <c r="CE49" i="7"/>
  <c r="CD49" i="7"/>
  <c r="CC49" i="7"/>
  <c r="N49" i="7" s="1"/>
  <c r="CB49" i="7"/>
  <c r="CA49" i="7"/>
  <c r="BZ49" i="7"/>
  <c r="DH48" i="7"/>
  <c r="DG48" i="7"/>
  <c r="DF48" i="7"/>
  <c r="DE48" i="7"/>
  <c r="U48" i="7" s="1"/>
  <c r="DD48" i="7"/>
  <c r="DC48" i="7"/>
  <c r="DB48" i="7"/>
  <c r="DA48" i="7"/>
  <c r="T48" i="7" s="1"/>
  <c r="CZ48" i="7"/>
  <c r="CY48" i="7"/>
  <c r="CX48" i="7"/>
  <c r="CW48" i="7"/>
  <c r="CV48" i="7"/>
  <c r="CU48" i="7"/>
  <c r="CT48" i="7"/>
  <c r="CS48" i="7"/>
  <c r="CR48" i="7"/>
  <c r="CQ48" i="7"/>
  <c r="CP48" i="7"/>
  <c r="CO48" i="7"/>
  <c r="Q48" i="7" s="1"/>
  <c r="CN48" i="7"/>
  <c r="CM48" i="7"/>
  <c r="CL48" i="7"/>
  <c r="CK48" i="7"/>
  <c r="P48" i="7" s="1"/>
  <c r="CJ48" i="7"/>
  <c r="CI48" i="7"/>
  <c r="CH48" i="7"/>
  <c r="CG48" i="7"/>
  <c r="O48" i="7" s="1"/>
  <c r="CF48" i="7"/>
  <c r="CE48" i="7"/>
  <c r="CD48" i="7"/>
  <c r="CC48" i="7"/>
  <c r="CB48" i="7"/>
  <c r="CA48" i="7"/>
  <c r="BZ48" i="7"/>
  <c r="N46" i="7"/>
  <c r="N45" i="7"/>
  <c r="O45" i="7" s="1"/>
  <c r="DH44" i="7"/>
  <c r="DG44" i="7"/>
  <c r="DF44" i="7"/>
  <c r="DE44" i="7"/>
  <c r="DD44" i="7"/>
  <c r="DC44" i="7"/>
  <c r="DB44" i="7"/>
  <c r="DA44" i="7"/>
  <c r="T44" i="7" s="1"/>
  <c r="U88" i="8" s="1"/>
  <c r="CZ44" i="7"/>
  <c r="CY44" i="7"/>
  <c r="CX44" i="7"/>
  <c r="CW44" i="7"/>
  <c r="S44" i="7" s="1"/>
  <c r="T88" i="8" s="1"/>
  <c r="CV44" i="7"/>
  <c r="CU44" i="7"/>
  <c r="CT44" i="7"/>
  <c r="CS44" i="7"/>
  <c r="R44" i="7" s="1"/>
  <c r="S88" i="8" s="1"/>
  <c r="CR44" i="7"/>
  <c r="CQ44" i="7"/>
  <c r="CP44" i="7"/>
  <c r="CO44" i="7"/>
  <c r="Q44" i="7" s="1"/>
  <c r="R88" i="8" s="1"/>
  <c r="CN44" i="7"/>
  <c r="CM44" i="7"/>
  <c r="CL44" i="7"/>
  <c r="CK44" i="7"/>
  <c r="P44" i="7" s="1"/>
  <c r="Q88" i="8" s="1"/>
  <c r="CJ44" i="7"/>
  <c r="CI44" i="7"/>
  <c r="CH44" i="7"/>
  <c r="CG44" i="7"/>
  <c r="O44" i="7" s="1"/>
  <c r="CF44" i="7"/>
  <c r="CE44" i="7"/>
  <c r="CD44" i="7"/>
  <c r="CC44" i="7"/>
  <c r="N44" i="7" s="1"/>
  <c r="N32" i="7" s="1"/>
  <c r="CB44" i="7"/>
  <c r="CA44" i="7"/>
  <c r="BZ44" i="7"/>
  <c r="DH43" i="7"/>
  <c r="DG43" i="7"/>
  <c r="DF43" i="7"/>
  <c r="DE43" i="7"/>
  <c r="U43" i="7" s="1"/>
  <c r="DD43" i="7"/>
  <c r="DC43" i="7"/>
  <c r="DB43" i="7"/>
  <c r="DA43" i="7"/>
  <c r="T43" i="7" s="1"/>
  <c r="CZ43" i="7"/>
  <c r="CY43" i="7"/>
  <c r="CX43" i="7"/>
  <c r="CW43" i="7"/>
  <c r="S43" i="7" s="1"/>
  <c r="CV43" i="7"/>
  <c r="CU43" i="7"/>
  <c r="CT43" i="7"/>
  <c r="CS43" i="7"/>
  <c r="R43" i="7" s="1"/>
  <c r="CR43" i="7"/>
  <c r="CQ43" i="7"/>
  <c r="CP43" i="7"/>
  <c r="CO43" i="7"/>
  <c r="Q43" i="7" s="1"/>
  <c r="CN43" i="7"/>
  <c r="CM43" i="7"/>
  <c r="CL43" i="7"/>
  <c r="CK43" i="7"/>
  <c r="P43" i="7" s="1"/>
  <c r="CJ43" i="7"/>
  <c r="CI43" i="7"/>
  <c r="CH43" i="7"/>
  <c r="CG43" i="7"/>
  <c r="O43" i="7" s="1"/>
  <c r="CF43" i="7"/>
  <c r="CE43" i="7"/>
  <c r="CD43" i="7"/>
  <c r="CC43" i="7"/>
  <c r="N43" i="7" s="1"/>
  <c r="CB43" i="7"/>
  <c r="CA43" i="7"/>
  <c r="BZ43" i="7"/>
  <c r="DH41" i="7"/>
  <c r="DH80" i="7" s="1"/>
  <c r="V31" i="8"/>
  <c r="DG41" i="7"/>
  <c r="DG80" i="7" s="1"/>
  <c r="DF41" i="7"/>
  <c r="DF80" i="7" s="1"/>
  <c r="DE41" i="7"/>
  <c r="DD41" i="7"/>
  <c r="DD80" i="7" s="1"/>
  <c r="DC41" i="7"/>
  <c r="DC80" i="7" s="1"/>
  <c r="DB41" i="7"/>
  <c r="DB80" i="7" s="1"/>
  <c r="DA41" i="7"/>
  <c r="CZ41" i="7"/>
  <c r="CZ80" i="7" s="1"/>
  <c r="CY41" i="7"/>
  <c r="CY80" i="7" s="1"/>
  <c r="CX41" i="7"/>
  <c r="CX80" i="7" s="1"/>
  <c r="CW41" i="7"/>
  <c r="CV41" i="7"/>
  <c r="CV80" i="7" s="1"/>
  <c r="CU41" i="7"/>
  <c r="CU80" i="7" s="1"/>
  <c r="CT41" i="7"/>
  <c r="CT80" i="7" s="1"/>
  <c r="CS41" i="7"/>
  <c r="CS80" i="7" s="1"/>
  <c r="CR41" i="7"/>
  <c r="CR80" i="7" s="1"/>
  <c r="CQ41" i="7"/>
  <c r="CQ80" i="7" s="1"/>
  <c r="CP41" i="7"/>
  <c r="CP80" i="7" s="1"/>
  <c r="CO41" i="7"/>
  <c r="CN41" i="7"/>
  <c r="CN80" i="7" s="1"/>
  <c r="CM41" i="7"/>
  <c r="CM80" i="7" s="1"/>
  <c r="CL41" i="7"/>
  <c r="CL80" i="7" s="1"/>
  <c r="CK41" i="7"/>
  <c r="CJ41" i="7"/>
  <c r="CJ80" i="7" s="1"/>
  <c r="CI41" i="7"/>
  <c r="CI80" i="7" s="1"/>
  <c r="CH41" i="7"/>
  <c r="CH80" i="7" s="1"/>
  <c r="CG41" i="7"/>
  <c r="CF41" i="7"/>
  <c r="CF80" i="7" s="1"/>
  <c r="CE41" i="7"/>
  <c r="CE80" i="7" s="1"/>
  <c r="CD41" i="7"/>
  <c r="CD80" i="7" s="1"/>
  <c r="CC41" i="7"/>
  <c r="CC80" i="7" s="1"/>
  <c r="CB41" i="7"/>
  <c r="CB80" i="7" s="1"/>
  <c r="CA41" i="7"/>
  <c r="CA80" i="7" s="1"/>
  <c r="BZ41" i="7"/>
  <c r="BZ80" i="7" s="1"/>
  <c r="DH40" i="7"/>
  <c r="DG40" i="7"/>
  <c r="DF40" i="7"/>
  <c r="DE40" i="7"/>
  <c r="DD40" i="7"/>
  <c r="DC40" i="7"/>
  <c r="DB40" i="7"/>
  <c r="U40" i="7" s="1"/>
  <c r="DA40" i="7"/>
  <c r="CZ40" i="7"/>
  <c r="CY40" i="7"/>
  <c r="CX40" i="7"/>
  <c r="CW40" i="7"/>
  <c r="CV40" i="7"/>
  <c r="CU40" i="7"/>
  <c r="CT40" i="7"/>
  <c r="CS40" i="7"/>
  <c r="CR40" i="7"/>
  <c r="CQ40" i="7"/>
  <c r="CP40" i="7"/>
  <c r="CO40" i="7"/>
  <c r="CN40" i="7"/>
  <c r="CM40" i="7"/>
  <c r="CL40" i="7"/>
  <c r="CK40" i="7"/>
  <c r="CJ40" i="7"/>
  <c r="CI40" i="7"/>
  <c r="CH40" i="7"/>
  <c r="CG40" i="7"/>
  <c r="CF40" i="7"/>
  <c r="CE40" i="7"/>
  <c r="CD40" i="7"/>
  <c r="CC40" i="7"/>
  <c r="N40" i="7" s="1"/>
  <c r="CB40" i="7"/>
  <c r="CA40" i="7"/>
  <c r="BZ40" i="7"/>
  <c r="DH39" i="7"/>
  <c r="DG39" i="7"/>
  <c r="DF39" i="7"/>
  <c r="DE39" i="7"/>
  <c r="U39" i="7" s="1"/>
  <c r="DD39" i="7"/>
  <c r="DC39" i="7"/>
  <c r="DB39" i="7"/>
  <c r="DA39" i="7"/>
  <c r="T39" i="7" s="1"/>
  <c r="CZ39" i="7"/>
  <c r="CY39" i="7"/>
  <c r="CX39" i="7"/>
  <c r="CW39" i="7"/>
  <c r="S39" i="7" s="1"/>
  <c r="CV39" i="7"/>
  <c r="CU39" i="7"/>
  <c r="CT39" i="7"/>
  <c r="CS39" i="7"/>
  <c r="R39" i="7" s="1"/>
  <c r="CR39" i="7"/>
  <c r="CQ39" i="7"/>
  <c r="CP39" i="7"/>
  <c r="CO39" i="7"/>
  <c r="Q39" i="7" s="1"/>
  <c r="CN39" i="7"/>
  <c r="CM39" i="7"/>
  <c r="CL39" i="7"/>
  <c r="CK39" i="7"/>
  <c r="P39" i="7" s="1"/>
  <c r="CJ39" i="7"/>
  <c r="CI39" i="7"/>
  <c r="CH39" i="7"/>
  <c r="CG39" i="7"/>
  <c r="O39" i="7" s="1"/>
  <c r="CF39" i="7"/>
  <c r="CE39" i="7"/>
  <c r="CD39" i="7"/>
  <c r="CC39" i="7"/>
  <c r="N39" i="7" s="1"/>
  <c r="CB39" i="7"/>
  <c r="CA39" i="7"/>
  <c r="BZ39" i="7"/>
  <c r="DH38" i="7"/>
  <c r="DG38" i="7"/>
  <c r="DF38" i="7"/>
  <c r="DE38" i="7"/>
  <c r="U38" i="7" s="1"/>
  <c r="DD38" i="7"/>
  <c r="DC38" i="7"/>
  <c r="DB38" i="7"/>
  <c r="DA38" i="7"/>
  <c r="T38" i="7" s="1"/>
  <c r="CZ38" i="7"/>
  <c r="CY38" i="7"/>
  <c r="CX38" i="7"/>
  <c r="CW38" i="7"/>
  <c r="CV38" i="7"/>
  <c r="CU38" i="7"/>
  <c r="CT38" i="7"/>
  <c r="CS38" i="7"/>
  <c r="R38" i="7" s="1"/>
  <c r="CR38" i="7"/>
  <c r="CQ38" i="7"/>
  <c r="CP38" i="7"/>
  <c r="CO38" i="7"/>
  <c r="Q38" i="7" s="1"/>
  <c r="CN38" i="7"/>
  <c r="CM38" i="7"/>
  <c r="CL38" i="7"/>
  <c r="CK38" i="7"/>
  <c r="P38" i="7" s="1"/>
  <c r="CJ38" i="7"/>
  <c r="CI38" i="7"/>
  <c r="CH38" i="7"/>
  <c r="CG38" i="7"/>
  <c r="O38" i="7" s="1"/>
  <c r="CF38" i="7"/>
  <c r="CE38" i="7"/>
  <c r="CD38" i="7"/>
  <c r="CC38" i="7"/>
  <c r="N38" i="7" s="1"/>
  <c r="CB38" i="7"/>
  <c r="CA38" i="7"/>
  <c r="BZ38" i="7"/>
  <c r="U44" i="7"/>
  <c r="V88" i="8" s="1"/>
  <c r="DH31" i="7"/>
  <c r="DG31" i="7"/>
  <c r="DF31" i="7"/>
  <c r="DE31" i="7"/>
  <c r="DD31" i="7"/>
  <c r="DC31" i="7"/>
  <c r="DB31" i="7"/>
  <c r="DA31" i="7"/>
  <c r="T31" i="7" s="1"/>
  <c r="CZ31" i="7"/>
  <c r="CY31" i="7"/>
  <c r="CX31" i="7"/>
  <c r="CW31" i="7"/>
  <c r="S31" i="7" s="1"/>
  <c r="CV31" i="7"/>
  <c r="CU31" i="7"/>
  <c r="CT31" i="7"/>
  <c r="CS31" i="7"/>
  <c r="R31" i="7" s="1"/>
  <c r="CR31" i="7"/>
  <c r="CQ31" i="7"/>
  <c r="CP31" i="7"/>
  <c r="CO31" i="7"/>
  <c r="Q31" i="7" s="1"/>
  <c r="CN31" i="7"/>
  <c r="CM31" i="7"/>
  <c r="CL31" i="7"/>
  <c r="CK31" i="7"/>
  <c r="P31" i="7" s="1"/>
  <c r="CJ31" i="7"/>
  <c r="CI31" i="7"/>
  <c r="CH31" i="7"/>
  <c r="CG31" i="7"/>
  <c r="CF31" i="7"/>
  <c r="CE31" i="7"/>
  <c r="CD31" i="7"/>
  <c r="CC31" i="7"/>
  <c r="CB31" i="7"/>
  <c r="CA31" i="7"/>
  <c r="BZ31" i="7"/>
  <c r="DH30" i="7"/>
  <c r="DG30" i="7"/>
  <c r="DF30" i="7"/>
  <c r="DE30" i="7"/>
  <c r="DD30" i="7"/>
  <c r="DC30" i="7"/>
  <c r="DB30" i="7"/>
  <c r="DA30" i="7"/>
  <c r="CZ30" i="7"/>
  <c r="CY30" i="7"/>
  <c r="CX30" i="7"/>
  <c r="CW30" i="7"/>
  <c r="CV30" i="7"/>
  <c r="CU30" i="7"/>
  <c r="CT30" i="7"/>
  <c r="CS30" i="7"/>
  <c r="R30" i="7" s="1"/>
  <c r="CR30" i="7"/>
  <c r="CQ30" i="7"/>
  <c r="CP30" i="7"/>
  <c r="CO30" i="7"/>
  <c r="Q30" i="7" s="1"/>
  <c r="CN30" i="7"/>
  <c r="CM30" i="7"/>
  <c r="CL30" i="7"/>
  <c r="CK30" i="7"/>
  <c r="P30" i="7" s="1"/>
  <c r="CJ30" i="7"/>
  <c r="CI30" i="7"/>
  <c r="CH30" i="7"/>
  <c r="CG30" i="7"/>
  <c r="O30" i="7" s="1"/>
  <c r="CF30" i="7"/>
  <c r="CE30" i="7"/>
  <c r="CD30" i="7"/>
  <c r="CC30" i="7"/>
  <c r="N30" i="7" s="1"/>
  <c r="CB30" i="7"/>
  <c r="CA30" i="7"/>
  <c r="BZ30" i="7"/>
  <c r="DH29" i="7"/>
  <c r="DG29" i="7"/>
  <c r="DF29" i="7"/>
  <c r="DE29" i="7"/>
  <c r="U29" i="7" s="1"/>
  <c r="DD29" i="7"/>
  <c r="DC29" i="7"/>
  <c r="DB29" i="7"/>
  <c r="DA29" i="7"/>
  <c r="T29" i="7" s="1"/>
  <c r="CZ29" i="7"/>
  <c r="CY29" i="7"/>
  <c r="CX29" i="7"/>
  <c r="CW29" i="7"/>
  <c r="CV29" i="7"/>
  <c r="CU29" i="7"/>
  <c r="CT29" i="7"/>
  <c r="CS29" i="7"/>
  <c r="R29" i="7" s="1"/>
  <c r="S29" i="7" s="1"/>
  <c r="CR29" i="7"/>
  <c r="CQ29" i="7"/>
  <c r="CP29" i="7"/>
  <c r="CO29" i="7"/>
  <c r="Q29" i="7" s="1"/>
  <c r="CN29" i="7"/>
  <c r="CM29" i="7"/>
  <c r="CL29" i="7"/>
  <c r="CK29" i="7"/>
  <c r="P29" i="7" s="1"/>
  <c r="CJ29" i="7"/>
  <c r="CI29" i="7"/>
  <c r="CH29" i="7"/>
  <c r="CG29" i="7"/>
  <c r="O29" i="7" s="1"/>
  <c r="CF29" i="7"/>
  <c r="CE29" i="7"/>
  <c r="CD29" i="7"/>
  <c r="CC29" i="7"/>
  <c r="N29" i="7" s="1"/>
  <c r="CB29" i="7"/>
  <c r="CA29" i="7"/>
  <c r="BZ29" i="7"/>
  <c r="DH28" i="7"/>
  <c r="DG28" i="7"/>
  <c r="DF28" i="7"/>
  <c r="DE28" i="7"/>
  <c r="DD28" i="7"/>
  <c r="DC28" i="7"/>
  <c r="DB28" i="7"/>
  <c r="DA28" i="7"/>
  <c r="CZ28" i="7"/>
  <c r="CY28" i="7"/>
  <c r="CX28" i="7"/>
  <c r="CW28" i="7"/>
  <c r="CV28" i="7"/>
  <c r="CU28" i="7"/>
  <c r="CT28" i="7"/>
  <c r="CS28" i="7"/>
  <c r="R28" i="7" s="1"/>
  <c r="S28" i="7" s="1"/>
  <c r="CR28" i="7"/>
  <c r="CQ28" i="7"/>
  <c r="CP28" i="7"/>
  <c r="CO28" i="7"/>
  <c r="Q28" i="7" s="1"/>
  <c r="CN28" i="7"/>
  <c r="CM28" i="7"/>
  <c r="CL28" i="7"/>
  <c r="CK28" i="7"/>
  <c r="P28" i="7" s="1"/>
  <c r="CJ28" i="7"/>
  <c r="CI28" i="7"/>
  <c r="CH28" i="7"/>
  <c r="CG28" i="7"/>
  <c r="O28" i="7" s="1"/>
  <c r="CF28" i="7"/>
  <c r="CE28" i="7"/>
  <c r="CD28" i="7"/>
  <c r="CC28" i="7"/>
  <c r="N28" i="7" s="1"/>
  <c r="CB28" i="7"/>
  <c r="CA28" i="7"/>
  <c r="BZ28" i="7"/>
  <c r="DH26" i="7"/>
  <c r="DG26" i="7"/>
  <c r="DF26" i="7"/>
  <c r="DE26" i="7"/>
  <c r="U26" i="7" s="1"/>
  <c r="DD26" i="7"/>
  <c r="DC26" i="7"/>
  <c r="DB26" i="7"/>
  <c r="DA26" i="7"/>
  <c r="T26" i="7" s="1"/>
  <c r="CZ26" i="7"/>
  <c r="CY26" i="7"/>
  <c r="CX26" i="7"/>
  <c r="CW26" i="7"/>
  <c r="S26" i="7" s="1"/>
  <c r="CV26" i="7"/>
  <c r="CU26" i="7"/>
  <c r="CT26" i="7"/>
  <c r="CS26" i="7"/>
  <c r="R26" i="7" s="1"/>
  <c r="CR26" i="7"/>
  <c r="CQ26" i="7"/>
  <c r="CP26" i="7"/>
  <c r="CO26" i="7"/>
  <c r="Q26" i="7" s="1"/>
  <c r="CN26" i="7"/>
  <c r="CM26" i="7"/>
  <c r="CL26" i="7"/>
  <c r="CK26" i="7"/>
  <c r="P26" i="7" s="1"/>
  <c r="CJ26" i="7"/>
  <c r="CI26" i="7"/>
  <c r="CH26" i="7"/>
  <c r="CG26" i="7"/>
  <c r="O26" i="7" s="1"/>
  <c r="CF26" i="7"/>
  <c r="CE26" i="7"/>
  <c r="CD26" i="7"/>
  <c r="CC26" i="7"/>
  <c r="N26" i="7" s="1"/>
  <c r="CB26" i="7"/>
  <c r="CA26" i="7"/>
  <c r="BZ26" i="7"/>
  <c r="DH22" i="7"/>
  <c r="DG22" i="7"/>
  <c r="DF22" i="7"/>
  <c r="DF194" i="7" s="1"/>
  <c r="DE22" i="7"/>
  <c r="U22" i="7" s="1"/>
  <c r="U194" i="7" s="1"/>
  <c r="DD22" i="7"/>
  <c r="DD164" i="7" s="1"/>
  <c r="DD181" i="7" s="1"/>
  <c r="DE177" i="7" s="1"/>
  <c r="DC22" i="7"/>
  <c r="DB22" i="7"/>
  <c r="DA22" i="7"/>
  <c r="DA164" i="7" s="1"/>
  <c r="DA181" i="7" s="1"/>
  <c r="CZ22" i="7"/>
  <c r="CY22" i="7"/>
  <c r="CX22" i="7"/>
  <c r="CX164" i="7" s="1"/>
  <c r="CX181" i="7" s="1"/>
  <c r="CW22" i="7"/>
  <c r="S22" i="7" s="1"/>
  <c r="CV22" i="7"/>
  <c r="CV194" i="7" s="1"/>
  <c r="CU22" i="7"/>
  <c r="CT22" i="7"/>
  <c r="CS22" i="7"/>
  <c r="R22" i="7" s="1"/>
  <c r="R194" i="7" s="1"/>
  <c r="CR22" i="7"/>
  <c r="CQ22" i="7"/>
  <c r="CP22" i="7"/>
  <c r="CO22" i="7"/>
  <c r="Q22" i="7" s="1"/>
  <c r="CN22" i="7"/>
  <c r="CN164" i="7" s="1"/>
  <c r="CN181" i="7" s="1"/>
  <c r="CO177" i="7" s="1"/>
  <c r="CM22" i="7"/>
  <c r="CL22" i="7"/>
  <c r="CK22" i="7"/>
  <c r="CK164" i="7" s="1"/>
  <c r="CK181" i="7" s="1"/>
  <c r="CJ22" i="7"/>
  <c r="CI22" i="7"/>
  <c r="CH22" i="7"/>
  <c r="CH194" i="7" s="1"/>
  <c r="CG22" i="7"/>
  <c r="O22" i="7" s="1"/>
  <c r="O194" i="7" s="1"/>
  <c r="CF22" i="7"/>
  <c r="CF194" i="7" s="1"/>
  <c r="CE22" i="7"/>
  <c r="CD22" i="7"/>
  <c r="CD194" i="7" s="1"/>
  <c r="CC22" i="7"/>
  <c r="CC164" i="7" s="1"/>
  <c r="CC181" i="7" s="1"/>
  <c r="CD177" i="7" s="1"/>
  <c r="CB22" i="7"/>
  <c r="CA22" i="7"/>
  <c r="CA164" i="7" s="1"/>
  <c r="CA181" i="7" s="1"/>
  <c r="CB177" i="7" s="1"/>
  <c r="BZ22" i="7"/>
  <c r="DH21" i="7"/>
  <c r="DH196" i="7" s="1"/>
  <c r="DG21" i="7"/>
  <c r="DF21" i="7"/>
  <c r="DE21" i="7"/>
  <c r="DE196" i="7" s="1"/>
  <c r="DD21" i="7"/>
  <c r="DD196" i="7" s="1"/>
  <c r="DC21" i="7"/>
  <c r="DC163" i="7" s="1"/>
  <c r="DC171" i="7" s="1"/>
  <c r="DB21" i="7"/>
  <c r="DA21" i="7"/>
  <c r="CZ21" i="7"/>
  <c r="CZ196" i="7" s="1"/>
  <c r="CY21" i="7"/>
  <c r="CX21" i="7"/>
  <c r="CW21" i="7"/>
  <c r="CW163" i="7" s="1"/>
  <c r="CW171" i="7" s="1"/>
  <c r="CX167" i="7" s="1"/>
  <c r="CV21" i="7"/>
  <c r="CV196" i="7" s="1"/>
  <c r="CU21" i="7"/>
  <c r="CU196" i="7" s="1"/>
  <c r="CT21" i="7"/>
  <c r="CS21" i="7"/>
  <c r="CR21" i="7"/>
  <c r="CR196" i="7" s="1"/>
  <c r="CQ21" i="7"/>
  <c r="CP21" i="7"/>
  <c r="CO21" i="7"/>
  <c r="CO196" i="7" s="1"/>
  <c r="CN21" i="7"/>
  <c r="CN196" i="7" s="1"/>
  <c r="CM21" i="7"/>
  <c r="CM163" i="7" s="1"/>
  <c r="CL21" i="7"/>
  <c r="CK21" i="7"/>
  <c r="CJ21" i="7"/>
  <c r="CJ196" i="7" s="1"/>
  <c r="CI21" i="7"/>
  <c r="CH21" i="7"/>
  <c r="CG21" i="7"/>
  <c r="CG196" i="7" s="1"/>
  <c r="CF21" i="7"/>
  <c r="CF196" i="7" s="1"/>
  <c r="CE21" i="7"/>
  <c r="CE196" i="7" s="1"/>
  <c r="CD21" i="7"/>
  <c r="CC21" i="7"/>
  <c r="CB21" i="7"/>
  <c r="CB163" i="7" s="1"/>
  <c r="CB171" i="7" s="1"/>
  <c r="CA21" i="7"/>
  <c r="BZ21" i="7"/>
  <c r="BZ163" i="7" s="1"/>
  <c r="DH19" i="7"/>
  <c r="DG19" i="7"/>
  <c r="DF19" i="7"/>
  <c r="DE19" i="7"/>
  <c r="U19" i="7" s="1"/>
  <c r="DD19" i="7"/>
  <c r="DC19" i="7"/>
  <c r="DB19" i="7"/>
  <c r="DA19" i="7"/>
  <c r="T19" i="7" s="1"/>
  <c r="CZ19" i="7"/>
  <c r="CY19" i="7"/>
  <c r="CX19" i="7"/>
  <c r="CW19" i="7"/>
  <c r="S19" i="7" s="1"/>
  <c r="CV19" i="7"/>
  <c r="CU19" i="7"/>
  <c r="CT19" i="7"/>
  <c r="CS19" i="7"/>
  <c r="R19" i="7" s="1"/>
  <c r="CR19" i="7"/>
  <c r="CQ19" i="7"/>
  <c r="CP19" i="7"/>
  <c r="CO19" i="7"/>
  <c r="Q19" i="7" s="1"/>
  <c r="CN19" i="7"/>
  <c r="CM19" i="7"/>
  <c r="CL19" i="7"/>
  <c r="CK19" i="7"/>
  <c r="P19" i="7" s="1"/>
  <c r="CJ19" i="7"/>
  <c r="CI19" i="7"/>
  <c r="CH19" i="7"/>
  <c r="CG19" i="7"/>
  <c r="O19" i="7" s="1"/>
  <c r="CF19" i="7"/>
  <c r="CE19" i="7"/>
  <c r="CD19" i="7"/>
  <c r="CC19" i="7"/>
  <c r="CB19" i="7"/>
  <c r="CA19" i="7"/>
  <c r="BZ19" i="7"/>
  <c r="DH18" i="7"/>
  <c r="DG18" i="7"/>
  <c r="DF18" i="7"/>
  <c r="DE18" i="7"/>
  <c r="DD18" i="7"/>
  <c r="DC18" i="7"/>
  <c r="DB18" i="7"/>
  <c r="U18" i="7" s="1"/>
  <c r="DA18" i="7"/>
  <c r="T18" i="7" s="1"/>
  <c r="CZ18" i="7"/>
  <c r="CY18" i="7"/>
  <c r="CX18" i="7"/>
  <c r="CW18" i="7"/>
  <c r="S18" i="7" s="1"/>
  <c r="CV18" i="7"/>
  <c r="CU18" i="7"/>
  <c r="CT18" i="7"/>
  <c r="CS18" i="7"/>
  <c r="CR18" i="7"/>
  <c r="CQ18" i="7"/>
  <c r="CP18" i="7"/>
  <c r="CO18" i="7"/>
  <c r="CN18" i="7"/>
  <c r="CM18" i="7"/>
  <c r="CL18" i="7"/>
  <c r="CK18" i="7"/>
  <c r="P18" i="7" s="1"/>
  <c r="Q18" i="7" s="1"/>
  <c r="R18" i="7" s="1"/>
  <c r="CJ18" i="7"/>
  <c r="CI18" i="7"/>
  <c r="CH18" i="7"/>
  <c r="CG18" i="7"/>
  <c r="O18" i="7" s="1"/>
  <c r="CF18" i="7"/>
  <c r="CE18" i="7"/>
  <c r="CD18" i="7"/>
  <c r="CC18" i="7"/>
  <c r="N18" i="7" s="1"/>
  <c r="CB18" i="7"/>
  <c r="CA18" i="7"/>
  <c r="BZ18" i="7"/>
  <c r="DH17" i="7"/>
  <c r="DG17" i="7"/>
  <c r="DF17" i="7"/>
  <c r="DE17" i="7"/>
  <c r="U17" i="7" s="1"/>
  <c r="DD17" i="7"/>
  <c r="DC17" i="7"/>
  <c r="DB17" i="7"/>
  <c r="DA17" i="7"/>
  <c r="T17" i="7" s="1"/>
  <c r="CZ17" i="7"/>
  <c r="CY17" i="7"/>
  <c r="CX17" i="7"/>
  <c r="CW17" i="7"/>
  <c r="S17" i="7" s="1"/>
  <c r="CV17" i="7"/>
  <c r="CU17" i="7"/>
  <c r="CT17" i="7"/>
  <c r="CS17" i="7"/>
  <c r="CR17" i="7"/>
  <c r="CQ17" i="7"/>
  <c r="CP17" i="7"/>
  <c r="CO17" i="7"/>
  <c r="Q17" i="7" s="1"/>
  <c r="CN17" i="7"/>
  <c r="CM17" i="7"/>
  <c r="CL17" i="7"/>
  <c r="CK17" i="7"/>
  <c r="P17" i="7" s="1"/>
  <c r="CJ17" i="7"/>
  <c r="CI17" i="7"/>
  <c r="CH17" i="7"/>
  <c r="CG17" i="7"/>
  <c r="O17" i="7" s="1"/>
  <c r="CF17" i="7"/>
  <c r="CE17" i="7"/>
  <c r="CD17" i="7"/>
  <c r="CC17" i="7"/>
  <c r="N17" i="7" s="1"/>
  <c r="CB17" i="7"/>
  <c r="CA17" i="7"/>
  <c r="BZ17" i="7"/>
  <c r="DH16" i="7"/>
  <c r="DG16" i="7"/>
  <c r="DF16" i="7"/>
  <c r="DE16" i="7"/>
  <c r="DD16" i="7"/>
  <c r="DC16" i="7"/>
  <c r="DB16" i="7"/>
  <c r="DA16" i="7"/>
  <c r="CZ16" i="7"/>
  <c r="CY16" i="7"/>
  <c r="CX16" i="7"/>
  <c r="CW16" i="7"/>
  <c r="CV16" i="7"/>
  <c r="CU16" i="7"/>
  <c r="CT16" i="7"/>
  <c r="CS16" i="7"/>
  <c r="R16" i="7" s="1"/>
  <c r="CR16" i="7"/>
  <c r="CQ16" i="7"/>
  <c r="CP16" i="7"/>
  <c r="CO16" i="7"/>
  <c r="CN16" i="7"/>
  <c r="CM16" i="7"/>
  <c r="CL16" i="7"/>
  <c r="CK16" i="7"/>
  <c r="CJ16" i="7"/>
  <c r="CI16" i="7"/>
  <c r="CH16" i="7"/>
  <c r="CG16" i="7"/>
  <c r="CF16" i="7"/>
  <c r="CE16" i="7"/>
  <c r="CD16" i="7"/>
  <c r="CC16" i="7"/>
  <c r="CB16" i="7"/>
  <c r="CA16" i="7"/>
  <c r="BZ16" i="7"/>
  <c r="DH15" i="7"/>
  <c r="DG15" i="7"/>
  <c r="DF15" i="7"/>
  <c r="DE15" i="7"/>
  <c r="U15" i="7" s="1"/>
  <c r="DD15" i="7"/>
  <c r="DC15" i="7"/>
  <c r="DB15" i="7"/>
  <c r="DA15" i="7"/>
  <c r="T15" i="7" s="1"/>
  <c r="CZ15" i="7"/>
  <c r="CY15" i="7"/>
  <c r="CX15" i="7"/>
  <c r="CW15" i="7"/>
  <c r="S15" i="7" s="1"/>
  <c r="CV15" i="7"/>
  <c r="CU15" i="7"/>
  <c r="CT15" i="7"/>
  <c r="CS15" i="7"/>
  <c r="R15" i="7" s="1"/>
  <c r="CR15" i="7"/>
  <c r="CQ15" i="7"/>
  <c r="CP15" i="7"/>
  <c r="CO15" i="7"/>
  <c r="Q15" i="7" s="1"/>
  <c r="CN15" i="7"/>
  <c r="CM15" i="7"/>
  <c r="CL15" i="7"/>
  <c r="CK15" i="7"/>
  <c r="P15" i="7" s="1"/>
  <c r="CJ15" i="7"/>
  <c r="CI15" i="7"/>
  <c r="CH15" i="7"/>
  <c r="CG15" i="7"/>
  <c r="O15" i="7" s="1"/>
  <c r="CF15" i="7"/>
  <c r="CE15" i="7"/>
  <c r="CD15" i="7"/>
  <c r="CC15" i="7"/>
  <c r="N15" i="7" s="1"/>
  <c r="CB15" i="7"/>
  <c r="CA15" i="7"/>
  <c r="BZ15" i="7"/>
  <c r="DH13" i="7"/>
  <c r="DG13" i="7"/>
  <c r="DF13" i="7"/>
  <c r="DG97" i="7" s="1"/>
  <c r="DE13" i="7"/>
  <c r="DD13" i="7"/>
  <c r="DC13" i="7"/>
  <c r="DB13" i="7"/>
  <c r="DC97" i="7" s="1"/>
  <c r="DA13" i="7"/>
  <c r="T13" i="7" s="1"/>
  <c r="CZ13" i="7"/>
  <c r="CY13" i="7"/>
  <c r="CY62" i="8" s="1"/>
  <c r="CX13" i="7"/>
  <c r="CX62" i="8" s="1"/>
  <c r="CW13" i="7"/>
  <c r="CV13" i="7"/>
  <c r="CV62" i="8" s="1"/>
  <c r="CU13" i="7"/>
  <c r="CU62" i="8" s="1"/>
  <c r="CT13" i="7"/>
  <c r="CT62" i="8" s="1"/>
  <c r="CS13" i="7"/>
  <c r="CR13" i="7"/>
  <c r="CR62" i="8" s="1"/>
  <c r="CQ13" i="7"/>
  <c r="CQ62" i="8" s="1"/>
  <c r="CP13" i="7"/>
  <c r="CP62" i="8" s="1"/>
  <c r="CO13" i="7"/>
  <c r="CO62" i="8" s="1"/>
  <c r="CN13" i="7"/>
  <c r="CN62" i="8" s="1"/>
  <c r="CM13" i="7"/>
  <c r="CM62" i="8" s="1"/>
  <c r="CL13" i="7"/>
  <c r="CL62" i="8" s="1"/>
  <c r="CK13" i="7"/>
  <c r="CJ13" i="7"/>
  <c r="CJ62" i="8" s="1"/>
  <c r="CI13" i="7"/>
  <c r="CI62" i="8" s="1"/>
  <c r="CH13" i="7"/>
  <c r="CH62" i="8" s="1"/>
  <c r="CG13" i="7"/>
  <c r="CF13" i="7"/>
  <c r="CF62" i="8" s="1"/>
  <c r="CE13" i="7"/>
  <c r="CE62" i="8" s="1"/>
  <c r="CD13" i="7"/>
  <c r="CD62" i="8" s="1"/>
  <c r="CC13" i="7"/>
  <c r="CB13" i="7"/>
  <c r="CB62" i="8" s="1"/>
  <c r="CA13" i="7"/>
  <c r="CA62" i="8" s="1"/>
  <c r="BZ13" i="7"/>
  <c r="BZ62" i="8" s="1"/>
  <c r="U31" i="7"/>
  <c r="N25" i="7"/>
  <c r="O25" i="7" s="1"/>
  <c r="P25" i="7" s="1"/>
  <c r="Q25" i="7" s="1"/>
  <c r="R25" i="7" s="1"/>
  <c r="S25" i="7" s="1"/>
  <c r="T25" i="7" s="1"/>
  <c r="U25" i="7" s="1"/>
  <c r="V25" i="7" s="1"/>
  <c r="W25" i="7" s="1"/>
  <c r="X25" i="7" s="1"/>
  <c r="N24" i="7"/>
  <c r="O24" i="7" s="1"/>
  <c r="P24" i="7" s="1"/>
  <c r="Q24" i="7" s="1"/>
  <c r="R24" i="7" s="1"/>
  <c r="S24" i="7" s="1"/>
  <c r="T24" i="7" s="1"/>
  <c r="U24" i="7" s="1"/>
  <c r="V24" i="7" s="1"/>
  <c r="W24" i="7" s="1"/>
  <c r="X24" i="7" s="1"/>
  <c r="CO7" i="7"/>
  <c r="CN7" i="7"/>
  <c r="CM7" i="7"/>
  <c r="CL7" i="7"/>
  <c r="DM5" i="7"/>
  <c r="DH5" i="7"/>
  <c r="DG5" i="7"/>
  <c r="DF5" i="7"/>
  <c r="DE5" i="7"/>
  <c r="DD5" i="7"/>
  <c r="DC5" i="7"/>
  <c r="DB5" i="7"/>
  <c r="DA5" i="7"/>
  <c r="CZ5" i="7"/>
  <c r="CY5" i="7"/>
  <c r="CX5" i="7"/>
  <c r="CW5" i="7"/>
  <c r="CV5" i="7"/>
  <c r="CU5" i="7"/>
  <c r="CT5" i="7"/>
  <c r="CS5" i="7"/>
  <c r="CS9" i="7" s="1"/>
  <c r="CR5" i="7"/>
  <c r="CR9" i="7" s="1"/>
  <c r="CQ5" i="7"/>
  <c r="CQ9" i="7" s="1"/>
  <c r="CP5" i="7"/>
  <c r="CP9" i="7" s="1"/>
  <c r="CO5" i="7"/>
  <c r="CO9" i="7" s="1"/>
  <c r="CN5" i="7"/>
  <c r="CN9" i="7" s="1"/>
  <c r="CM5" i="7"/>
  <c r="CM9" i="7" s="1"/>
  <c r="CL5" i="7"/>
  <c r="CL9" i="7" s="1"/>
  <c r="CK5" i="7"/>
  <c r="CK9" i="7" s="1"/>
  <c r="CJ5" i="7"/>
  <c r="CJ9" i="7" s="1"/>
  <c r="CI5" i="7"/>
  <c r="CI9" i="7" s="1"/>
  <c r="CH5" i="7"/>
  <c r="CH9" i="7" s="1"/>
  <c r="CG5" i="7"/>
  <c r="CG9" i="7" s="1"/>
  <c r="CF5" i="7"/>
  <c r="CF9" i="7" s="1"/>
  <c r="CE5" i="7"/>
  <c r="CE9" i="7" s="1"/>
  <c r="CD5" i="7"/>
  <c r="CD9" i="7" s="1"/>
  <c r="CC5" i="7"/>
  <c r="CC9" i="7" s="1"/>
  <c r="CB5" i="7"/>
  <c r="CB9" i="7" s="1"/>
  <c r="CA5" i="7"/>
  <c r="CA9" i="7" s="1"/>
  <c r="BZ5" i="7"/>
  <c r="BZ9" i="7" s="1"/>
  <c r="Q7" i="7"/>
  <c r="AA5" i="7"/>
  <c r="AA9" i="7" s="1"/>
  <c r="Z5" i="7"/>
  <c r="Z9" i="7" s="1"/>
  <c r="Y5" i="7"/>
  <c r="Y9" i="7" s="1"/>
  <c r="X5" i="7"/>
  <c r="X9" i="7" s="1"/>
  <c r="W5" i="7"/>
  <c r="W9" i="7" s="1"/>
  <c r="V5" i="7"/>
  <c r="V9" i="7" s="1"/>
  <c r="U5" i="7"/>
  <c r="U9" i="7" s="1"/>
  <c r="T5" i="7"/>
  <c r="T9" i="7" s="1"/>
  <c r="S5" i="7"/>
  <c r="S9" i="7" s="1"/>
  <c r="R5" i="7"/>
  <c r="R9" i="7" s="1"/>
  <c r="Q5" i="7"/>
  <c r="Q9" i="7" s="1"/>
  <c r="P5" i="7"/>
  <c r="P9" i="7" s="1"/>
  <c r="O5" i="7"/>
  <c r="O9" i="7" s="1"/>
  <c r="N5" i="7"/>
  <c r="N9" i="7" s="1"/>
  <c r="N156" i="6"/>
  <c r="O156" i="6" s="1"/>
  <c r="P156" i="6" s="1"/>
  <c r="Q156" i="6" s="1"/>
  <c r="R156" i="6" s="1"/>
  <c r="S156" i="6" s="1"/>
  <c r="T156" i="6" s="1"/>
  <c r="U156" i="6" s="1"/>
  <c r="V156" i="6" s="1"/>
  <c r="W156" i="6" s="1"/>
  <c r="X156" i="6" s="1"/>
  <c r="Q149" i="6"/>
  <c r="W146" i="6"/>
  <c r="V146" i="6"/>
  <c r="U146" i="6"/>
  <c r="T146" i="6"/>
  <c r="DE146" i="6"/>
  <c r="DD146" i="6"/>
  <c r="DC146" i="6"/>
  <c r="DB146" i="6"/>
  <c r="DA146" i="6"/>
  <c r="CY146" i="6"/>
  <c r="CV146" i="6"/>
  <c r="CU146" i="6"/>
  <c r="CT146" i="6"/>
  <c r="CS146" i="6"/>
  <c r="CR146" i="6"/>
  <c r="CQ146" i="6"/>
  <c r="CP146" i="6"/>
  <c r="CN146" i="6"/>
  <c r="CM146" i="6"/>
  <c r="CK146" i="6"/>
  <c r="CJ146" i="6"/>
  <c r="CI146" i="6"/>
  <c r="CH146" i="6"/>
  <c r="CG146" i="6"/>
  <c r="CF146" i="6"/>
  <c r="CE146" i="6"/>
  <c r="CD146" i="6"/>
  <c r="CC146" i="6"/>
  <c r="CB146" i="6"/>
  <c r="CA146" i="6"/>
  <c r="CX143" i="6"/>
  <c r="CZ139" i="6"/>
  <c r="CZ146" i="6" s="1"/>
  <c r="CX139" i="6"/>
  <c r="CX146" i="6" s="1"/>
  <c r="CW139" i="6"/>
  <c r="CW146" i="6" s="1"/>
  <c r="S143" i="6"/>
  <c r="R143" i="6"/>
  <c r="Q143" i="6"/>
  <c r="P143" i="6"/>
  <c r="O143" i="6"/>
  <c r="N143" i="6"/>
  <c r="S142" i="6"/>
  <c r="R142" i="6"/>
  <c r="Q142" i="6"/>
  <c r="P142" i="6"/>
  <c r="O142" i="6"/>
  <c r="N142" i="6"/>
  <c r="S141" i="6"/>
  <c r="R141" i="6"/>
  <c r="Q141" i="6"/>
  <c r="P141" i="6"/>
  <c r="O141" i="6"/>
  <c r="N141" i="6"/>
  <c r="S140" i="6"/>
  <c r="R140" i="6"/>
  <c r="Q140" i="6"/>
  <c r="Q150" i="6" s="1"/>
  <c r="P140" i="6"/>
  <c r="O140" i="6"/>
  <c r="N140" i="6"/>
  <c r="S139" i="6"/>
  <c r="R139" i="6"/>
  <c r="Q139" i="6"/>
  <c r="P139" i="6"/>
  <c r="O139" i="6"/>
  <c r="N139" i="6"/>
  <c r="S138" i="6"/>
  <c r="R138" i="6"/>
  <c r="S137" i="6"/>
  <c r="R137" i="6"/>
  <c r="CL136" i="6"/>
  <c r="CL146" i="6" s="1"/>
  <c r="BZ136" i="6"/>
  <c r="BZ146" i="6" s="1"/>
  <c r="BY136" i="6"/>
  <c r="BY146" i="6" s="1"/>
  <c r="BX136" i="6"/>
  <c r="BX146" i="6" s="1"/>
  <c r="BW136" i="6"/>
  <c r="BW146" i="6" s="1"/>
  <c r="R136" i="6"/>
  <c r="R135" i="6"/>
  <c r="R134" i="6"/>
  <c r="R131" i="6"/>
  <c r="R130" i="6"/>
  <c r="R129" i="6"/>
  <c r="R128" i="6"/>
  <c r="BZ135" i="6"/>
  <c r="S135" i="6"/>
  <c r="S134" i="6"/>
  <c r="S133" i="6"/>
  <c r="S132" i="6"/>
  <c r="S131" i="6"/>
  <c r="S130" i="6"/>
  <c r="S129" i="6"/>
  <c r="S128" i="6"/>
  <c r="P138" i="6"/>
  <c r="O138" i="6"/>
  <c r="N138" i="6"/>
  <c r="P137" i="6"/>
  <c r="O137" i="6"/>
  <c r="N137" i="6"/>
  <c r="P136" i="6"/>
  <c r="O136" i="6"/>
  <c r="P135" i="6"/>
  <c r="P150" i="6" s="1"/>
  <c r="O135" i="6"/>
  <c r="O150" i="6" s="1"/>
  <c r="P134" i="6"/>
  <c r="O134" i="6"/>
  <c r="N134" i="6"/>
  <c r="P133" i="6"/>
  <c r="O133" i="6"/>
  <c r="N133" i="6"/>
  <c r="P132" i="6"/>
  <c r="O132" i="6"/>
  <c r="N132" i="6"/>
  <c r="P131" i="6"/>
  <c r="O131" i="6"/>
  <c r="O146" i="6" s="1"/>
  <c r="N131" i="6"/>
  <c r="P130" i="6"/>
  <c r="O130" i="6"/>
  <c r="N130" i="6"/>
  <c r="Q129" i="6"/>
  <c r="P129" i="6"/>
  <c r="O129" i="6"/>
  <c r="N129" i="6"/>
  <c r="Q128" i="6"/>
  <c r="P128" i="6"/>
  <c r="O128" i="6"/>
  <c r="N128" i="6"/>
  <c r="DE115" i="6"/>
  <c r="DD115" i="6"/>
  <c r="DC115" i="6"/>
  <c r="DB115" i="6"/>
  <c r="DA115" i="6"/>
  <c r="CZ115" i="6"/>
  <c r="CY115" i="6"/>
  <c r="CX115" i="6"/>
  <c r="CW115" i="6"/>
  <c r="CV115" i="6"/>
  <c r="CU115" i="6"/>
  <c r="CY116" i="6" s="1"/>
  <c r="CT115" i="6"/>
  <c r="CS115" i="6"/>
  <c r="CR115" i="6"/>
  <c r="CQ115" i="6"/>
  <c r="CP115" i="6"/>
  <c r="CO115" i="6"/>
  <c r="CN115" i="6"/>
  <c r="CM115" i="6"/>
  <c r="CL115" i="6"/>
  <c r="CK115" i="6"/>
  <c r="CJ115" i="6"/>
  <c r="CI115" i="6"/>
  <c r="CH115" i="6"/>
  <c r="CG115" i="6"/>
  <c r="CF115" i="6"/>
  <c r="CE115" i="6"/>
  <c r="CD115" i="6"/>
  <c r="CC115" i="6"/>
  <c r="CB115" i="6"/>
  <c r="CA115" i="6"/>
  <c r="BZ115" i="6"/>
  <c r="BZ116" i="6" s="1"/>
  <c r="BY115" i="6"/>
  <c r="BY116" i="6" s="1"/>
  <c r="BX115" i="6"/>
  <c r="BX116" i="6" s="1"/>
  <c r="BW115" i="6"/>
  <c r="CL112" i="6"/>
  <c r="CM112" i="6" s="1"/>
  <c r="CN112" i="6" s="1"/>
  <c r="CO112" i="6" s="1"/>
  <c r="CP112" i="6" s="1"/>
  <c r="CQ112" i="6" s="1"/>
  <c r="CR112" i="6" s="1"/>
  <c r="CS112" i="6" s="1"/>
  <c r="CT112" i="6" s="1"/>
  <c r="U112" i="6"/>
  <c r="V112" i="6" s="1"/>
  <c r="T112" i="6"/>
  <c r="S112" i="6"/>
  <c r="R112" i="6"/>
  <c r="DC111" i="6"/>
  <c r="DC109" i="6"/>
  <c r="CX109" i="6"/>
  <c r="DE109" i="6"/>
  <c r="DB109" i="6"/>
  <c r="DA109" i="6"/>
  <c r="CZ109" i="6"/>
  <c r="CY109" i="6"/>
  <c r="CW109" i="6"/>
  <c r="CW117" i="6" s="1"/>
  <c r="CW120" i="6" s="1"/>
  <c r="CV109" i="6"/>
  <c r="CV117" i="6" s="1"/>
  <c r="CU109" i="6"/>
  <c r="CT109" i="6"/>
  <c r="CS109" i="6"/>
  <c r="CR109" i="6"/>
  <c r="CR117" i="6" s="1"/>
  <c r="CQ109" i="6"/>
  <c r="CQ117" i="6" s="1"/>
  <c r="CQ120" i="6" s="1"/>
  <c r="CP109" i="6"/>
  <c r="R109" i="6" s="1"/>
  <c r="CO109" i="6"/>
  <c r="CO117" i="6" s="1"/>
  <c r="CO120" i="6" s="1"/>
  <c r="CN109" i="6"/>
  <c r="CM109" i="6"/>
  <c r="CM117" i="6" s="1"/>
  <c r="CL109" i="6"/>
  <c r="CK109" i="6"/>
  <c r="CK117" i="6" s="1"/>
  <c r="CJ109" i="6"/>
  <c r="CJ117" i="6" s="1"/>
  <c r="CJ120" i="6" s="1"/>
  <c r="CI109" i="6"/>
  <c r="CH109" i="6"/>
  <c r="CG109" i="6"/>
  <c r="CF109" i="6"/>
  <c r="CF117" i="6" s="1"/>
  <c r="CF120" i="6" s="1"/>
  <c r="CE109" i="6"/>
  <c r="CD109" i="6"/>
  <c r="CC109" i="6"/>
  <c r="CC117" i="6" s="1"/>
  <c r="CC120" i="6" s="1"/>
  <c r="CB109" i="6"/>
  <c r="CB117" i="6" s="1"/>
  <c r="CA109" i="6"/>
  <c r="BZ109" i="6"/>
  <c r="BY109" i="6"/>
  <c r="BY117" i="6" s="1"/>
  <c r="BY120" i="6" s="1"/>
  <c r="BX109" i="6"/>
  <c r="BX117" i="6" s="1"/>
  <c r="BW109" i="6"/>
  <c r="O109" i="6"/>
  <c r="T104" i="6"/>
  <c r="S104" i="6"/>
  <c r="DE103" i="6"/>
  <c r="DD103" i="6"/>
  <c r="DC103" i="6"/>
  <c r="DF99" i="8" s="1"/>
  <c r="DF100" i="8" s="1"/>
  <c r="DB103" i="6"/>
  <c r="DE99" i="8" s="1"/>
  <c r="DE100" i="8" s="1"/>
  <c r="DA103" i="6"/>
  <c r="CZ103" i="6"/>
  <c r="CZ112" i="6" s="1"/>
  <c r="CY103" i="6"/>
  <c r="CY112" i="6" s="1"/>
  <c r="CX103" i="6"/>
  <c r="DA99" i="8" s="1"/>
  <c r="DA100" i="8" s="1"/>
  <c r="CW103" i="6"/>
  <c r="CV103" i="6"/>
  <c r="CV112" i="6" s="1"/>
  <c r="CU103" i="6"/>
  <c r="CT103" i="6"/>
  <c r="CS103" i="6"/>
  <c r="CR103" i="6"/>
  <c r="CU99" i="8" s="1"/>
  <c r="CU100" i="8" s="1"/>
  <c r="CQ103" i="6"/>
  <c r="CP103" i="6"/>
  <c r="CS99" i="8" s="1"/>
  <c r="CS100" i="8" s="1"/>
  <c r="CO103" i="6"/>
  <c r="CN103" i="6"/>
  <c r="CM103" i="6"/>
  <c r="CP99" i="8" s="1"/>
  <c r="CP100" i="8" s="1"/>
  <c r="CL103" i="6"/>
  <c r="CO346" i="13" s="1"/>
  <c r="CK103" i="6"/>
  <c r="CJ103" i="6"/>
  <c r="CJ112" i="6" s="1"/>
  <c r="CI103" i="6"/>
  <c r="CL346" i="13" s="1"/>
  <c r="CH103" i="6"/>
  <c r="CG103" i="6"/>
  <c r="CG112" i="6" s="1"/>
  <c r="CF103" i="6"/>
  <c r="CE103" i="6"/>
  <c r="CE112" i="6" s="1"/>
  <c r="CD103" i="6"/>
  <c r="CD112" i="6" s="1"/>
  <c r="CC103" i="6"/>
  <c r="CB103" i="6"/>
  <c r="CA103" i="6"/>
  <c r="CA112" i="6" s="1"/>
  <c r="BZ103" i="6"/>
  <c r="BZ104" i="6" s="1"/>
  <c r="BZ110" i="6" s="1"/>
  <c r="BY103" i="6"/>
  <c r="BY104" i="6" s="1"/>
  <c r="BY110" i="6" s="1"/>
  <c r="BX103" i="6"/>
  <c r="BW103" i="6"/>
  <c r="BW112" i="6" s="1"/>
  <c r="CA101" i="6"/>
  <c r="O101" i="6" s="1"/>
  <c r="BZ101" i="6"/>
  <c r="BY101" i="6"/>
  <c r="BX101" i="6"/>
  <c r="BW101" i="6"/>
  <c r="W101" i="6"/>
  <c r="V101" i="6"/>
  <c r="U101" i="6"/>
  <c r="Q101" i="6"/>
  <c r="R101" i="6" s="1"/>
  <c r="S101" i="6" s="1"/>
  <c r="P101" i="6"/>
  <c r="CR99" i="6"/>
  <c r="CQ99" i="6"/>
  <c r="CP99" i="6"/>
  <c r="CO99" i="6"/>
  <c r="CN99" i="6"/>
  <c r="CM99" i="6"/>
  <c r="CL99" i="6"/>
  <c r="CK99" i="6"/>
  <c r="CJ99" i="6"/>
  <c r="CI99" i="6"/>
  <c r="R98" i="6"/>
  <c r="Q98" i="6"/>
  <c r="P98" i="6"/>
  <c r="DE84" i="6"/>
  <c r="DH75" i="8" s="1"/>
  <c r="DD84" i="6"/>
  <c r="DC84" i="6"/>
  <c r="DF75" i="8" s="1"/>
  <c r="DB84" i="6"/>
  <c r="DA84" i="6"/>
  <c r="CZ84" i="6"/>
  <c r="DC75" i="8" s="1"/>
  <c r="CY84" i="6"/>
  <c r="CX84" i="6"/>
  <c r="CW84" i="6"/>
  <c r="CZ75" i="8" s="1"/>
  <c r="CV84" i="6"/>
  <c r="CY75" i="8" s="1"/>
  <c r="CU84" i="6"/>
  <c r="CX75" i="8" s="1"/>
  <c r="CT84" i="6"/>
  <c r="CS84" i="6"/>
  <c r="CR84" i="6"/>
  <c r="CU75" i="8" s="1"/>
  <c r="CQ84" i="6"/>
  <c r="CP84" i="6"/>
  <c r="CO84" i="6"/>
  <c r="CR75" i="8" s="1"/>
  <c r="CN84" i="6"/>
  <c r="CM84" i="6"/>
  <c r="CP75" i="8" s="1"/>
  <c r="CL84" i="6"/>
  <c r="CK84" i="6"/>
  <c r="CJ84" i="6"/>
  <c r="CM75" i="8" s="1"/>
  <c r="CI84" i="6"/>
  <c r="CH84" i="6"/>
  <c r="CG84" i="6"/>
  <c r="CJ75" i="8" s="1"/>
  <c r="CF84" i="6"/>
  <c r="CI75" i="8" s="1"/>
  <c r="CE84" i="6"/>
  <c r="CH75" i="8" s="1"/>
  <c r="CD84" i="6"/>
  <c r="CC84" i="6"/>
  <c r="CF75" i="8" s="1"/>
  <c r="CB84" i="6"/>
  <c r="CE75" i="8" s="1"/>
  <c r="CA84" i="6"/>
  <c r="BZ84" i="6"/>
  <c r="BY84" i="6"/>
  <c r="BX84" i="6"/>
  <c r="BX85" i="6" s="1"/>
  <c r="BW84" i="6"/>
  <c r="BZ75" i="8" s="1"/>
  <c r="CA82" i="6"/>
  <c r="BZ82" i="6"/>
  <c r="BY82" i="6"/>
  <c r="BX82" i="6"/>
  <c r="BW82" i="6"/>
  <c r="DE78" i="6"/>
  <c r="DH93" i="8" s="1"/>
  <c r="DD78" i="6"/>
  <c r="DG93" i="8" s="1"/>
  <c r="DC78" i="6"/>
  <c r="DF93" i="8" s="1"/>
  <c r="DB78" i="6"/>
  <c r="DE93" i="8" s="1"/>
  <c r="DA78" i="6"/>
  <c r="DD93" i="8" s="1"/>
  <c r="CY78" i="6"/>
  <c r="DB93" i="8" s="1"/>
  <c r="CX78" i="6"/>
  <c r="DA93" i="8" s="1"/>
  <c r="CW78" i="6"/>
  <c r="CZ93" i="8" s="1"/>
  <c r="CV78" i="6"/>
  <c r="CY93" i="8" s="1"/>
  <c r="CU78" i="6"/>
  <c r="CT78" i="6"/>
  <c r="CW93" i="8" s="1"/>
  <c r="CS78" i="6"/>
  <c r="CV93" i="8" s="1"/>
  <c r="CR78" i="6"/>
  <c r="CU93" i="8" s="1"/>
  <c r="CQ78" i="6"/>
  <c r="CT93" i="8" s="1"/>
  <c r="CP78" i="6"/>
  <c r="CS93" i="8" s="1"/>
  <c r="CO78" i="6"/>
  <c r="CN78" i="6"/>
  <c r="CQ93" i="8" s="1"/>
  <c r="CM78" i="6"/>
  <c r="CP93" i="8" s="1"/>
  <c r="CL78" i="6"/>
  <c r="CO93" i="8" s="1"/>
  <c r="CK78" i="6"/>
  <c r="CN93" i="8" s="1"/>
  <c r="CJ78" i="6"/>
  <c r="CM93" i="8" s="1"/>
  <c r="CI78" i="6"/>
  <c r="CH78" i="6"/>
  <c r="CK93" i="8" s="1"/>
  <c r="CG78" i="6"/>
  <c r="CJ93" i="8" s="1"/>
  <c r="CF78" i="6"/>
  <c r="CE78" i="6"/>
  <c r="CD78" i="6"/>
  <c r="CC78" i="6"/>
  <c r="CB78" i="6"/>
  <c r="CA78" i="6"/>
  <c r="BZ78" i="6"/>
  <c r="BY78" i="6"/>
  <c r="BX78" i="6"/>
  <c r="BW78" i="6"/>
  <c r="DE74" i="6"/>
  <c r="DH94" i="8" s="1"/>
  <c r="DD74" i="6"/>
  <c r="DC74" i="6"/>
  <c r="DA74" i="6"/>
  <c r="DD94" i="8" s="1"/>
  <c r="CZ74" i="6"/>
  <c r="CY74" i="6"/>
  <c r="CX74" i="6"/>
  <c r="CW74" i="6"/>
  <c r="CZ94" i="8" s="1"/>
  <c r="CV74" i="6"/>
  <c r="CU74" i="6"/>
  <c r="CT74" i="6"/>
  <c r="CS74" i="6"/>
  <c r="CV94" i="8" s="1"/>
  <c r="CR74" i="6"/>
  <c r="CQ74" i="6"/>
  <c r="CT94" i="8" s="1"/>
  <c r="CP74" i="6"/>
  <c r="CO74" i="6"/>
  <c r="CR94" i="8" s="1"/>
  <c r="CN74" i="6"/>
  <c r="CQ94" i="8" s="1"/>
  <c r="CM74" i="6"/>
  <c r="CP84" i="7" s="1"/>
  <c r="CL74" i="6"/>
  <c r="CO84" i="7" s="1"/>
  <c r="CK74" i="6"/>
  <c r="CN94" i="8" s="1"/>
  <c r="CJ74" i="6"/>
  <c r="CM84" i="7" s="1"/>
  <c r="CI74" i="6"/>
  <c r="CH74" i="6"/>
  <c r="CK94" i="8" s="1"/>
  <c r="CG74" i="6"/>
  <c r="CJ94" i="8" s="1"/>
  <c r="CF74" i="6"/>
  <c r="CE74" i="6"/>
  <c r="CD74" i="6"/>
  <c r="CC74" i="6"/>
  <c r="CB74" i="6"/>
  <c r="CA74" i="6"/>
  <c r="BZ74" i="6"/>
  <c r="BY74" i="6"/>
  <c r="BX74" i="6"/>
  <c r="BW74" i="6"/>
  <c r="N80" i="6"/>
  <c r="O80" i="6" s="1"/>
  <c r="P80" i="6" s="1"/>
  <c r="Q80" i="6" s="1"/>
  <c r="CV72" i="6"/>
  <c r="CU72" i="6"/>
  <c r="CT72" i="6"/>
  <c r="CS72" i="6"/>
  <c r="CR72" i="6"/>
  <c r="CQ72" i="6"/>
  <c r="CP72" i="6"/>
  <c r="CO72" i="6"/>
  <c r="CN72" i="6"/>
  <c r="CM72" i="6"/>
  <c r="CL72" i="6"/>
  <c r="CK72" i="6"/>
  <c r="CJ72" i="6"/>
  <c r="CI72" i="6"/>
  <c r="CH72" i="6"/>
  <c r="CG72" i="6"/>
  <c r="CF72" i="6"/>
  <c r="CE72" i="6"/>
  <c r="CD72" i="6"/>
  <c r="CC72" i="6"/>
  <c r="CB72" i="6"/>
  <c r="CA72" i="6"/>
  <c r="BZ72" i="6"/>
  <c r="BY72" i="6"/>
  <c r="BX72" i="6"/>
  <c r="BW72" i="6"/>
  <c r="DE70" i="6"/>
  <c r="DD70" i="6"/>
  <c r="DC70" i="6"/>
  <c r="DB70" i="6"/>
  <c r="DA70" i="6"/>
  <c r="CZ70" i="6"/>
  <c r="CY70" i="6"/>
  <c r="CX70" i="6"/>
  <c r="CW70" i="6"/>
  <c r="CV70" i="6"/>
  <c r="CU70" i="6"/>
  <c r="CT70" i="6"/>
  <c r="CS70" i="6"/>
  <c r="CR70" i="6"/>
  <c r="CQ70" i="6"/>
  <c r="CP70" i="6"/>
  <c r="CO70" i="6"/>
  <c r="CN70" i="6"/>
  <c r="CM70" i="6"/>
  <c r="CL70" i="6"/>
  <c r="CK70" i="6"/>
  <c r="CJ70" i="6"/>
  <c r="CI70" i="6"/>
  <c r="CH70" i="6"/>
  <c r="CG70" i="6"/>
  <c r="CF70" i="6"/>
  <c r="CE70" i="6"/>
  <c r="CD70" i="6"/>
  <c r="CC70" i="6"/>
  <c r="CB70" i="6"/>
  <c r="CA70" i="6"/>
  <c r="BZ70" i="6"/>
  <c r="BY70" i="6"/>
  <c r="BX70" i="6"/>
  <c r="BW70" i="6"/>
  <c r="DE67" i="6"/>
  <c r="DD67" i="6"/>
  <c r="DG89" i="8" s="1"/>
  <c r="DC67" i="6"/>
  <c r="DF89" i="8" s="1"/>
  <c r="DB67" i="6"/>
  <c r="DA67" i="6"/>
  <c r="DD74" i="8" s="1"/>
  <c r="CZ67" i="6"/>
  <c r="CY67" i="6"/>
  <c r="DC68" i="6" s="1"/>
  <c r="CX67" i="6"/>
  <c r="DA89" i="8" s="1"/>
  <c r="CW67" i="6"/>
  <c r="CZ74" i="8" s="1"/>
  <c r="CV67" i="6"/>
  <c r="CU67" i="6"/>
  <c r="CX74" i="8" s="1"/>
  <c r="CT67" i="6"/>
  <c r="CW89" i="8" s="1"/>
  <c r="CS67" i="6"/>
  <c r="CV89" i="8" s="1"/>
  <c r="CR67" i="6"/>
  <c r="CQ67" i="6"/>
  <c r="CP67" i="6"/>
  <c r="CS89" i="8" s="1"/>
  <c r="CO67" i="6"/>
  <c r="CN67" i="6"/>
  <c r="CQ74" i="8" s="1"/>
  <c r="CM67" i="6"/>
  <c r="CL67" i="6"/>
  <c r="CO74" i="8" s="1"/>
  <c r="CK67" i="6"/>
  <c r="CN89" i="8" s="1"/>
  <c r="CJ67" i="6"/>
  <c r="CM74" i="8" s="1"/>
  <c r="CI67" i="6"/>
  <c r="CH67" i="6"/>
  <c r="CK74" i="8" s="1"/>
  <c r="CG67" i="6"/>
  <c r="CF67" i="6"/>
  <c r="CE67" i="6"/>
  <c r="CD67" i="6"/>
  <c r="CG74" i="8" s="1"/>
  <c r="CC67" i="6"/>
  <c r="CF89" i="8" s="1"/>
  <c r="CB67" i="6"/>
  <c r="CA67" i="6"/>
  <c r="CD89" i="8" s="1"/>
  <c r="BZ67" i="6"/>
  <c r="CC74" i="8" s="1"/>
  <c r="BY67" i="6"/>
  <c r="BY68" i="6" s="1"/>
  <c r="BX67" i="6"/>
  <c r="BW67" i="6"/>
  <c r="CE65" i="6"/>
  <c r="P65" i="6" s="1"/>
  <c r="CD65" i="6"/>
  <c r="CC65" i="6"/>
  <c r="CB65" i="6"/>
  <c r="CA65" i="6"/>
  <c r="BZ65" i="6"/>
  <c r="BY65" i="6"/>
  <c r="BX65" i="6"/>
  <c r="BW65" i="6"/>
  <c r="Q65" i="6"/>
  <c r="CI52" i="6"/>
  <c r="CG52" i="6"/>
  <c r="CF52" i="6"/>
  <c r="BW52" i="6"/>
  <c r="CL48" i="6"/>
  <c r="CO192" i="7" s="1"/>
  <c r="CK48" i="6"/>
  <c r="CN178" i="7" s="1"/>
  <c r="CJ48" i="6"/>
  <c r="CM11" i="17" s="1"/>
  <c r="CI48" i="6"/>
  <c r="CL91" i="13" s="1"/>
  <c r="CH48" i="6"/>
  <c r="CK11" i="17" s="1"/>
  <c r="CG48" i="6"/>
  <c r="CF48" i="6"/>
  <c r="CI178" i="7" s="1"/>
  <c r="CE48" i="6"/>
  <c r="CD48" i="6"/>
  <c r="CG178" i="7" s="1"/>
  <c r="CC48" i="6"/>
  <c r="CF192" i="7" s="1"/>
  <c r="CB48" i="6"/>
  <c r="CE11" i="17" s="1"/>
  <c r="CA48" i="6"/>
  <c r="CD192" i="7" s="1"/>
  <c r="BZ48" i="6"/>
  <c r="BZ49" i="6" s="1"/>
  <c r="BY48" i="6"/>
  <c r="BX48" i="6"/>
  <c r="CA91" i="13" s="1"/>
  <c r="BW48" i="6"/>
  <c r="BW49" i="6" s="1"/>
  <c r="CH45" i="6"/>
  <c r="CJ74" i="7" s="1"/>
  <c r="CG45" i="6"/>
  <c r="CF45" i="6"/>
  <c r="CE45" i="6"/>
  <c r="CD45" i="6"/>
  <c r="CC45" i="6"/>
  <c r="CB45" i="6"/>
  <c r="CA45" i="6"/>
  <c r="CC73" i="7" s="1"/>
  <c r="BZ45" i="6"/>
  <c r="CB74" i="7" s="1"/>
  <c r="BY45" i="6"/>
  <c r="BY46" i="6" s="1"/>
  <c r="BX45" i="6"/>
  <c r="BX46" i="6" s="1"/>
  <c r="CL42" i="6"/>
  <c r="CK42" i="6"/>
  <c r="CJ42" i="6"/>
  <c r="CI42" i="6"/>
  <c r="CH42" i="6"/>
  <c r="CG42" i="6"/>
  <c r="CF42" i="6"/>
  <c r="CE42" i="6"/>
  <c r="CD42" i="6"/>
  <c r="CC42" i="6"/>
  <c r="CB42" i="6"/>
  <c r="CA42" i="6"/>
  <c r="BZ42" i="6"/>
  <c r="BY42" i="6"/>
  <c r="BY43" i="6" s="1"/>
  <c r="BX42" i="6"/>
  <c r="BW42" i="6"/>
  <c r="BW43" i="6" s="1"/>
  <c r="CY52" i="6"/>
  <c r="CV52" i="6"/>
  <c r="CU52" i="6"/>
  <c r="CM52" i="6"/>
  <c r="DE48" i="6"/>
  <c r="DH91" i="13" s="1"/>
  <c r="DD48" i="6"/>
  <c r="DG192" i="7" s="1"/>
  <c r="DC48" i="6"/>
  <c r="DF11" i="17" s="1"/>
  <c r="DB48" i="6"/>
  <c r="DA48" i="6"/>
  <c r="DD178" i="7" s="1"/>
  <c r="CZ48" i="6"/>
  <c r="DC178" i="7" s="1"/>
  <c r="CY48" i="6"/>
  <c r="DB11" i="17" s="1"/>
  <c r="CX48" i="6"/>
  <c r="CW48" i="6"/>
  <c r="CZ91" i="13" s="1"/>
  <c r="CV48" i="6"/>
  <c r="CY91" i="13" s="1"/>
  <c r="CU48" i="6"/>
  <c r="CX11" i="17" s="1"/>
  <c r="CT48" i="6"/>
  <c r="CW91" i="13" s="1"/>
  <c r="CS48" i="6"/>
  <c r="CV11" i="17" s="1"/>
  <c r="CR48" i="6"/>
  <c r="CU91" i="13" s="1"/>
  <c r="CQ48" i="6"/>
  <c r="CT178" i="7" s="1"/>
  <c r="CN48" i="6"/>
  <c r="CQ11" i="17" s="1"/>
  <c r="CM48" i="6"/>
  <c r="DD42" i="6"/>
  <c r="DH43" i="6" s="1"/>
  <c r="CZ42" i="6"/>
  <c r="CV42" i="6"/>
  <c r="CU42" i="6"/>
  <c r="CX20" i="16" s="1"/>
  <c r="CR35" i="11" s="1"/>
  <c r="CT42" i="6"/>
  <c r="CR42" i="6"/>
  <c r="CQ42" i="6"/>
  <c r="CO42" i="6"/>
  <c r="CO43" i="6" s="1"/>
  <c r="CN42" i="6"/>
  <c r="CM42" i="6"/>
  <c r="CM43" i="6" s="1"/>
  <c r="DC39" i="6"/>
  <c r="CZ39" i="6"/>
  <c r="CY39" i="6"/>
  <c r="CX39" i="6"/>
  <c r="CW39" i="6"/>
  <c r="CV39" i="6"/>
  <c r="CU39" i="6"/>
  <c r="CT39" i="6"/>
  <c r="CS39" i="6"/>
  <c r="CR39" i="6"/>
  <c r="CQ39" i="6"/>
  <c r="CO39" i="6"/>
  <c r="CN39" i="6"/>
  <c r="CM39" i="6"/>
  <c r="CL39" i="6"/>
  <c r="CK39" i="6"/>
  <c r="CJ39" i="6"/>
  <c r="CI39" i="6"/>
  <c r="CH39" i="6"/>
  <c r="CG39" i="6"/>
  <c r="CF39" i="6"/>
  <c r="CE39" i="6"/>
  <c r="CD39" i="6"/>
  <c r="CC39" i="6"/>
  <c r="CB39" i="6"/>
  <c r="CA39" i="6"/>
  <c r="BZ39" i="6"/>
  <c r="BY39" i="6"/>
  <c r="BY40" i="6" s="1"/>
  <c r="BX39" i="6"/>
  <c r="BX40" i="6" s="1"/>
  <c r="BW39" i="6"/>
  <c r="CE30" i="6"/>
  <c r="BU76" i="22" s="1"/>
  <c r="CD30" i="6"/>
  <c r="CD69" i="6" s="1"/>
  <c r="CB30" i="6"/>
  <c r="BU453" i="21" s="1"/>
  <c r="CA30" i="6"/>
  <c r="BZ30" i="6"/>
  <c r="BP76" i="22" s="1"/>
  <c r="BX30" i="6"/>
  <c r="BN51" i="22" s="1"/>
  <c r="CF18" i="6"/>
  <c r="CC18" i="6"/>
  <c r="BY18" i="6"/>
  <c r="BY19" i="6" s="1"/>
  <c r="CD10" i="6"/>
  <c r="CD13" i="6" s="1"/>
  <c r="CB10" i="6"/>
  <c r="CN346" i="13"/>
  <c r="BV58" i="12"/>
  <c r="CW287" i="12"/>
  <c r="BX202" i="21"/>
  <c r="CH81" i="13"/>
  <c r="V58" i="12"/>
  <c r="V94" i="13" s="1"/>
  <c r="DB75" i="8"/>
  <c r="BW96" i="12"/>
  <c r="CB81" i="13"/>
  <c r="BV202" i="21"/>
  <c r="CF81" i="13"/>
  <c r="DB346" i="12"/>
  <c r="DF346" i="12"/>
  <c r="DG329" i="12"/>
  <c r="DA380" i="12"/>
  <c r="T380" i="12" s="1"/>
  <c r="CD20" i="13"/>
  <c r="BT45" i="22"/>
  <c r="CX112" i="13"/>
  <c r="K11" i="14"/>
  <c r="N112" i="22"/>
  <c r="CH12" i="14"/>
  <c r="BU112" i="22"/>
  <c r="CL25" i="14"/>
  <c r="BY112" i="22"/>
  <c r="CP25" i="14"/>
  <c r="CC112" i="22"/>
  <c r="CM10" i="14"/>
  <c r="CV29" i="22"/>
  <c r="DG38" i="14"/>
  <c r="CR22" i="14"/>
  <c r="K113" i="22"/>
  <c r="L24" i="14"/>
  <c r="O113" i="22"/>
  <c r="CG26" i="14"/>
  <c r="BT113" i="22"/>
  <c r="CL24" i="14"/>
  <c r="BX113" i="22"/>
  <c r="CG24" i="14"/>
  <c r="DG26" i="14"/>
  <c r="CU28" i="14"/>
  <c r="CY28" i="14"/>
  <c r="CN37" i="14"/>
  <c r="CV37" i="14"/>
  <c r="CZ37" i="14"/>
  <c r="DD37" i="14"/>
  <c r="CF39" i="14"/>
  <c r="CS51" i="14"/>
  <c r="DA51" i="14"/>
  <c r="DG55" i="14"/>
  <c r="DH70" i="14"/>
  <c r="CT114" i="22"/>
  <c r="M76" i="14"/>
  <c r="CW74" i="14"/>
  <c r="DA74" i="14"/>
  <c r="DE74" i="14"/>
  <c r="CE84" i="14"/>
  <c r="CE79" i="14" s="1"/>
  <c r="CE77" i="14" s="1"/>
  <c r="CE78" i="14" s="1"/>
  <c r="BW7" i="22"/>
  <c r="CT97" i="15"/>
  <c r="CX97" i="15"/>
  <c r="DB97" i="15"/>
  <c r="DF97" i="15"/>
  <c r="BI96" i="15"/>
  <c r="CZ97" i="15"/>
  <c r="S115" i="15"/>
  <c r="Q131" i="15"/>
  <c r="BG12" i="16"/>
  <c r="BW12" i="16"/>
  <c r="CM45" i="16"/>
  <c r="BA75" i="17"/>
  <c r="F86" i="17"/>
  <c r="CZ132" i="17"/>
  <c r="CB69" i="22"/>
  <c r="BV17" i="11"/>
  <c r="BZ17" i="11"/>
  <c r="O102" i="11"/>
  <c r="I64" i="19"/>
  <c r="M64" i="19"/>
  <c r="K44" i="20"/>
  <c r="S44" i="20"/>
  <c r="D120" i="35"/>
  <c r="D121" i="35" s="1"/>
  <c r="D105" i="35" s="1"/>
  <c r="H120" i="35"/>
  <c r="H121" i="35" s="1"/>
  <c r="H105" i="35" s="1"/>
  <c r="L120" i="35"/>
  <c r="L121" i="35" s="1"/>
  <c r="L105" i="35" s="1"/>
  <c r="CO12" i="21"/>
  <c r="AU13" i="21"/>
  <c r="CV20" i="21"/>
  <c r="CV10" i="21" s="1"/>
  <c r="CO28" i="21"/>
  <c r="AL47" i="21"/>
  <c r="AH59" i="21"/>
  <c r="AP59" i="21"/>
  <c r="AW81" i="21"/>
  <c r="AZ90" i="21"/>
  <c r="AY95" i="21"/>
  <c r="BG95" i="21"/>
  <c r="K95" i="21" s="1"/>
  <c r="BO95" i="21"/>
  <c r="BO109" i="21" s="1"/>
  <c r="BW95" i="21"/>
  <c r="CE95" i="21"/>
  <c r="F131" i="21"/>
  <c r="I201" i="21"/>
  <c r="I202" i="21" s="1"/>
  <c r="AI204" i="21"/>
  <c r="AQ204" i="21"/>
  <c r="AQ207" i="21" s="1"/>
  <c r="AQ208" i="21" s="1"/>
  <c r="AY204" i="21"/>
  <c r="AY205" i="21" s="1"/>
  <c r="CQ248" i="21"/>
  <c r="CQ251" i="21" s="1"/>
  <c r="BC252" i="21"/>
  <c r="CH261" i="21"/>
  <c r="CP261" i="21"/>
  <c r="CX261" i="21"/>
  <c r="CX286" i="21" s="1"/>
  <c r="CI267" i="21"/>
  <c r="CI269" i="21" s="1"/>
  <c r="CB267" i="21"/>
  <c r="CB269" i="21" s="1"/>
  <c r="CF267" i="21"/>
  <c r="CF269" i="21" s="1"/>
  <c r="CJ267" i="21"/>
  <c r="CJ269" i="21" s="1"/>
  <c r="CN267" i="21"/>
  <c r="CN269" i="21" s="1"/>
  <c r="CR267" i="21"/>
  <c r="CR269" i="21" s="1"/>
  <c r="CV267" i="21"/>
  <c r="CV269" i="21" s="1"/>
  <c r="CL287" i="21"/>
  <c r="CU329" i="12"/>
  <c r="CQ545" i="12"/>
  <c r="CD15" i="13"/>
  <c r="CH15" i="13"/>
  <c r="CY364" i="13"/>
  <c r="CO112" i="13"/>
  <c r="CR310" i="13"/>
  <c r="CR334" i="13" s="1"/>
  <c r="CR336" i="13" s="1"/>
  <c r="CM25" i="14"/>
  <c r="BZ112" i="22"/>
  <c r="CQ25" i="14"/>
  <c r="CD112" i="22"/>
  <c r="CN10" i="14"/>
  <c r="CH11" i="14"/>
  <c r="CP11" i="14"/>
  <c r="CQ12" i="14"/>
  <c r="CQ62" i="14" s="1"/>
  <c r="L36" i="14"/>
  <c r="O29" i="22"/>
  <c r="M25" i="14"/>
  <c r="P113" i="22"/>
  <c r="CH25" i="14"/>
  <c r="BU113" i="22"/>
  <c r="K27" i="14"/>
  <c r="CF28" i="14"/>
  <c r="CV28" i="14"/>
  <c r="CZ28" i="14"/>
  <c r="DD28" i="14"/>
  <c r="CB37" i="14"/>
  <c r="CB32" i="14" s="1"/>
  <c r="CB30" i="14" s="1"/>
  <c r="CB31" i="14" s="1"/>
  <c r="CF37" i="14"/>
  <c r="CO37" i="14"/>
  <c r="CO32" i="14" s="1"/>
  <c r="CO30" i="14" s="1"/>
  <c r="CO31" i="14" s="1"/>
  <c r="CS37" i="14"/>
  <c r="CW37" i="14"/>
  <c r="DA37" i="14"/>
  <c r="DE37" i="14"/>
  <c r="DE32" i="14" s="1"/>
  <c r="DE30" i="14" s="1"/>
  <c r="DE31" i="14" s="1"/>
  <c r="CU51" i="14"/>
  <c r="DC51" i="14"/>
  <c r="CM55" i="14"/>
  <c r="G62" i="14"/>
  <c r="CH60" i="14"/>
  <c r="J73" i="14"/>
  <c r="M32" i="22"/>
  <c r="CT85" i="14"/>
  <c r="DD85" i="14"/>
  <c r="CU68" i="14"/>
  <c r="CH70" i="14"/>
  <c r="BT114" i="22"/>
  <c r="L73" i="14"/>
  <c r="CC74" i="14"/>
  <c r="CT74" i="14"/>
  <c r="CX74" i="14"/>
  <c r="DB74" i="14"/>
  <c r="CO84" i="14"/>
  <c r="CS84" i="14"/>
  <c r="DA84" i="14"/>
  <c r="DE84" i="14"/>
  <c r="DE79" i="14" s="1"/>
  <c r="DE77" i="14" s="1"/>
  <c r="DE78" i="14" s="1"/>
  <c r="CW84" i="14"/>
  <c r="BT44" i="15"/>
  <c r="BT47" i="15" s="1"/>
  <c r="BX26" i="22"/>
  <c r="CY97" i="15"/>
  <c r="DC97" i="15"/>
  <c r="DG97" i="15"/>
  <c r="BJ96" i="15"/>
  <c r="DH97" i="15"/>
  <c r="T115" i="15"/>
  <c r="AR119" i="15"/>
  <c r="AV119" i="15"/>
  <c r="AZ119" i="15"/>
  <c r="BD119" i="15"/>
  <c r="BH119" i="15"/>
  <c r="CQ137" i="15"/>
  <c r="S140" i="15"/>
  <c r="S142" i="15" s="1"/>
  <c r="R142" i="15"/>
  <c r="CY152" i="15"/>
  <c r="DC152" i="15"/>
  <c r="DC46" i="16"/>
  <c r="CD18" i="17"/>
  <c r="F84" i="17"/>
  <c r="E96" i="17"/>
  <c r="BP65" i="22"/>
  <c r="BW66" i="22"/>
  <c r="BX135" i="17"/>
  <c r="CY126" i="17"/>
  <c r="CL69" i="22"/>
  <c r="S48" i="20"/>
  <c r="I120" i="35"/>
  <c r="CQ36" i="21"/>
  <c r="CQ38" i="21" s="1"/>
  <c r="CQ41" i="21" s="1"/>
  <c r="CQ47" i="21" s="1"/>
  <c r="CQ52" i="21" s="1"/>
  <c r="CQ54" i="21" s="1"/>
  <c r="CQ56" i="21" s="1"/>
  <c r="BA95" i="21"/>
  <c r="BA109" i="21" s="1"/>
  <c r="BA110" i="21" s="1"/>
  <c r="BI95" i="21"/>
  <c r="BG359" i="21"/>
  <c r="BG357" i="21"/>
  <c r="M116" i="22"/>
  <c r="CR256" i="12"/>
  <c r="CE155" i="22" s="1"/>
  <c r="CV256" i="12"/>
  <c r="CI155" i="22" s="1"/>
  <c r="CI117" i="22"/>
  <c r="CQ117" i="22"/>
  <c r="M133" i="22"/>
  <c r="V368" i="12"/>
  <c r="DD380" i="12"/>
  <c r="BR45" i="22"/>
  <c r="BR79" i="22"/>
  <c r="M71" i="14"/>
  <c r="P112" i="22"/>
  <c r="CQ10" i="14"/>
  <c r="L11" i="14"/>
  <c r="CI11" i="14"/>
  <c r="CQ11" i="14"/>
  <c r="CI12" i="14"/>
  <c r="CR12" i="14"/>
  <c r="CR62" i="14" s="1"/>
  <c r="K16" i="14"/>
  <c r="DG25" i="14"/>
  <c r="CT113" i="22"/>
  <c r="K26" i="14"/>
  <c r="M113" i="22"/>
  <c r="CB26" i="14"/>
  <c r="BN113" i="22"/>
  <c r="CJ26" i="14"/>
  <c r="BV113" i="22"/>
  <c r="DB28" i="14"/>
  <c r="CC37" i="14"/>
  <c r="BZ37" i="14"/>
  <c r="BZ44" i="14" s="1"/>
  <c r="BZ93" i="14" s="1"/>
  <c r="CV32" i="22"/>
  <c r="CQ51" i="14"/>
  <c r="CU55" i="14"/>
  <c r="DG51" i="14"/>
  <c r="CW51" i="14"/>
  <c r="DE51" i="14"/>
  <c r="CQ55" i="14"/>
  <c r="CH61" i="14"/>
  <c r="K118" i="14"/>
  <c r="N114" i="22"/>
  <c r="CU74" i="14"/>
  <c r="CZ74" i="14"/>
  <c r="DD74" i="14"/>
  <c r="CH92" i="15"/>
  <c r="CH96" i="15" s="1"/>
  <c r="BU26" i="22"/>
  <c r="DD97" i="15"/>
  <c r="BK96" i="15"/>
  <c r="N99" i="15"/>
  <c r="CU97" i="15"/>
  <c r="M115" i="15"/>
  <c r="Q115" i="15"/>
  <c r="U115" i="15"/>
  <c r="Q137" i="15"/>
  <c r="CZ152" i="15"/>
  <c r="DH169" i="15"/>
  <c r="CF12" i="16"/>
  <c r="CM46" i="16"/>
  <c r="DG46" i="16"/>
  <c r="CU47" i="16"/>
  <c r="BX138" i="17"/>
  <c r="CL12" i="21"/>
  <c r="CX12" i="21"/>
  <c r="CU36" i="21"/>
  <c r="CU38" i="21" s="1"/>
  <c r="CU41" i="21" s="1"/>
  <c r="CU47" i="21" s="1"/>
  <c r="CU52" i="21" s="1"/>
  <c r="CU54" i="21" s="1"/>
  <c r="CU56" i="21" s="1"/>
  <c r="AV41" i="21"/>
  <c r="AV47" i="21" s="1"/>
  <c r="AF58" i="21"/>
  <c r="AN58" i="21"/>
  <c r="BH71" i="21"/>
  <c r="BG81" i="21"/>
  <c r="K81" i="21" s="1"/>
  <c r="BP90" i="21"/>
  <c r="BK95" i="21"/>
  <c r="BS95" i="21"/>
  <c r="CA95" i="21"/>
  <c r="AG180" i="21"/>
  <c r="BR208" i="21"/>
  <c r="CG251" i="21"/>
  <c r="CK251" i="21"/>
  <c r="CW251" i="21"/>
  <c r="CC267" i="21"/>
  <c r="CC269" i="21" s="1"/>
  <c r="CG267" i="21"/>
  <c r="CG269" i="21" s="1"/>
  <c r="CK267" i="21"/>
  <c r="CK269" i="21" s="1"/>
  <c r="CO267" i="21"/>
  <c r="CO269" i="21" s="1"/>
  <c r="CS267" i="21"/>
  <c r="CS269" i="21" s="1"/>
  <c r="CW267" i="21"/>
  <c r="CW269" i="21" s="1"/>
  <c r="CJ286" i="21"/>
  <c r="CY380" i="12"/>
  <c r="CB463" i="12"/>
  <c r="R64" i="13"/>
  <c r="CE125" i="22"/>
  <c r="CO364" i="13"/>
  <c r="CO370" i="13" s="1"/>
  <c r="CB72" i="22"/>
  <c r="CS364" i="13"/>
  <c r="CF72" i="22"/>
  <c r="CW364" i="13"/>
  <c r="CJ72" i="22"/>
  <c r="DA364" i="13"/>
  <c r="CN72" i="22"/>
  <c r="CI10" i="14"/>
  <c r="CR10" i="14"/>
  <c r="CL11" i="14"/>
  <c r="CT11" i="14"/>
  <c r="CM12" i="14"/>
  <c r="CM62" i="14"/>
  <c r="CM59" i="14" s="1"/>
  <c r="J36" i="14"/>
  <c r="M29" i="22"/>
  <c r="CN21" i="14"/>
  <c r="CR21" i="14"/>
  <c r="CQ22" i="14"/>
  <c r="DH26" i="14"/>
  <c r="CU113" i="22"/>
  <c r="G23" i="14"/>
  <c r="H24" i="14" s="1"/>
  <c r="L26" i="14"/>
  <c r="N113" i="22"/>
  <c r="CC24" i="14"/>
  <c r="BO113" i="22"/>
  <c r="CK24" i="14"/>
  <c r="BW113" i="22"/>
  <c r="K24" i="14"/>
  <c r="CG25" i="14"/>
  <c r="L29" i="14"/>
  <c r="L17" i="14" s="1"/>
  <c r="L132" i="14" s="1"/>
  <c r="CL26" i="14"/>
  <c r="DF28" i="14"/>
  <c r="DC28" i="14"/>
  <c r="CO55" i="14"/>
  <c r="CV51" i="14"/>
  <c r="DE55" i="14"/>
  <c r="CL61" i="14"/>
  <c r="CH62" i="14"/>
  <c r="L65" i="14"/>
  <c r="G69" i="14"/>
  <c r="J114" i="22" s="1"/>
  <c r="L118" i="14"/>
  <c r="O114" i="22"/>
  <c r="CJ72" i="14"/>
  <c r="BV114" i="22"/>
  <c r="L76" i="14"/>
  <c r="CF74" i="14"/>
  <c r="DF74" i="14"/>
  <c r="CA84" i="14"/>
  <c r="CM84" i="14"/>
  <c r="CM79" i="14" s="1"/>
  <c r="CM77" i="14" s="1"/>
  <c r="CM78" i="14" s="1"/>
  <c r="CQ84" i="14"/>
  <c r="CQ79" i="14" s="1"/>
  <c r="CQ77" i="14" s="1"/>
  <c r="CQ78" i="14" s="1"/>
  <c r="CU84" i="14"/>
  <c r="CU79" i="14" s="1"/>
  <c r="CU77" i="14" s="1"/>
  <c r="CU78" i="14" s="1"/>
  <c r="CY84" i="14"/>
  <c r="DC84" i="14"/>
  <c r="DC79" i="14" s="1"/>
  <c r="DC77" i="14" s="1"/>
  <c r="DC78" i="14" s="1"/>
  <c r="DG84" i="14"/>
  <c r="DG79" i="14" s="1"/>
  <c r="DG77" i="14" s="1"/>
  <c r="DG78" i="14" s="1"/>
  <c r="G106" i="14"/>
  <c r="K106" i="14"/>
  <c r="CH62" i="15"/>
  <c r="CB21" i="22"/>
  <c r="CW97" i="15"/>
  <c r="DA97" i="15"/>
  <c r="DE97" i="15"/>
  <c r="BG96" i="15"/>
  <c r="BM96" i="15"/>
  <c r="CV97" i="15"/>
  <c r="BC101" i="15"/>
  <c r="I98" i="15"/>
  <c r="K111" i="15"/>
  <c r="R115" i="15"/>
  <c r="R118" i="15" s="1"/>
  <c r="BB119" i="15"/>
  <c r="S130" i="15"/>
  <c r="S132" i="15" s="1"/>
  <c r="S136" i="15"/>
  <c r="S138" i="15" s="1"/>
  <c r="R137" i="15"/>
  <c r="BB12" i="16"/>
  <c r="CI12" i="16"/>
  <c r="CB32" i="17"/>
  <c r="BA67" i="17"/>
  <c r="BA79" i="17"/>
  <c r="F94" i="17"/>
  <c r="H109" i="17"/>
  <c r="CW66" i="22"/>
  <c r="CC17" i="11"/>
  <c r="CK102" i="11"/>
  <c r="H44" i="20"/>
  <c r="AQ13" i="21"/>
  <c r="CE20" i="21"/>
  <c r="CE10" i="21" s="1"/>
  <c r="CE12" i="21" s="1"/>
  <c r="CM28" i="21"/>
  <c r="CT45" i="6" s="1"/>
  <c r="CR36" i="21"/>
  <c r="CR38" i="21" s="1"/>
  <c r="CR41" i="21" s="1"/>
  <c r="CR47" i="21" s="1"/>
  <c r="CR52" i="21" s="1"/>
  <c r="CR54" i="21" s="1"/>
  <c r="CR56" i="21" s="1"/>
  <c r="CV36" i="21"/>
  <c r="CV38" i="21"/>
  <c r="CV41" i="21" s="1"/>
  <c r="CV47" i="21" s="1"/>
  <c r="CV52" i="21" s="1"/>
  <c r="CV54" i="21" s="1"/>
  <c r="CV56" i="21" s="1"/>
  <c r="AP41" i="21"/>
  <c r="AX41" i="21"/>
  <c r="G44" i="21"/>
  <c r="E47" i="21"/>
  <c r="G58" i="21"/>
  <c r="BX90" i="21"/>
  <c r="AQ95" i="21"/>
  <c r="AW95" i="21"/>
  <c r="AW109" i="21" s="1"/>
  <c r="AW110" i="21" s="1"/>
  <c r="BM95" i="21"/>
  <c r="BM109" i="21" s="1"/>
  <c r="BM110" i="21" s="1"/>
  <c r="BU95" i="21"/>
  <c r="CC95" i="21"/>
  <c r="AY180" i="21"/>
  <c r="K221" i="21"/>
  <c r="AN252" i="21"/>
  <c r="BC269" i="21"/>
  <c r="BC270" i="21" s="1"/>
  <c r="CW287" i="21"/>
  <c r="CO287" i="21"/>
  <c r="AH319" i="21"/>
  <c r="AT319" i="21"/>
  <c r="AN329" i="21"/>
  <c r="AN332" i="21" s="1"/>
  <c r="AN333" i="21" s="1"/>
  <c r="BC329" i="21"/>
  <c r="BC332" i="21" s="1"/>
  <c r="BC333" i="21" s="1"/>
  <c r="AW332" i="21"/>
  <c r="AW333" i="21" s="1"/>
  <c r="AW360" i="21"/>
  <c r="BS395" i="21"/>
  <c r="CC50" i="8" s="1"/>
  <c r="BJ401" i="21"/>
  <c r="BK401" i="21" s="1"/>
  <c r="BM437" i="21"/>
  <c r="CE438" i="21"/>
  <c r="CD287" i="21"/>
  <c r="AL319" i="21"/>
  <c r="AF329" i="21"/>
  <c r="AP329" i="21"/>
  <c r="AY332" i="21"/>
  <c r="AY333" i="21" s="1"/>
  <c r="CM405" i="21"/>
  <c r="CB438" i="21"/>
  <c r="BU438" i="21"/>
  <c r="F329" i="21"/>
  <c r="AJ329" i="21"/>
  <c r="AJ332" i="21" s="1"/>
  <c r="AJ333" i="21" s="1"/>
  <c r="BC356" i="21"/>
  <c r="BF375" i="21"/>
  <c r="BG375" i="21" s="1"/>
  <c r="BJ375" i="21"/>
  <c r="BK375" i="21" s="1"/>
  <c r="BN375" i="21"/>
  <c r="BO375" i="21" s="1"/>
  <c r="BR375" i="21"/>
  <c r="CB22" i="8" s="1"/>
  <c r="BI384" i="21"/>
  <c r="CX390" i="21"/>
  <c r="DH44" i="8" s="1"/>
  <c r="BJ389" i="21"/>
  <c r="BK389" i="21" s="1"/>
  <c r="BF395" i="21"/>
  <c r="BG395" i="21" s="1"/>
  <c r="BR399" i="21"/>
  <c r="CB54" i="8" s="1"/>
  <c r="BI402" i="21"/>
  <c r="CX402" i="21"/>
  <c r="BM433" i="21"/>
  <c r="BM442" i="21" s="1"/>
  <c r="BU442" i="21"/>
  <c r="BU443" i="21" s="1"/>
  <c r="CB287" i="21"/>
  <c r="CJ287" i="21"/>
  <c r="CR287" i="21"/>
  <c r="E319" i="21"/>
  <c r="AU332" i="21"/>
  <c r="AU333" i="21" s="1"/>
  <c r="BA359" i="21"/>
  <c r="BA360" i="21" s="1"/>
  <c r="CD438" i="21"/>
  <c r="CV72" i="22"/>
  <c r="CZ49" i="6"/>
  <c r="DG18" i="17"/>
  <c r="CF20" i="21"/>
  <c r="CF10" i="21" s="1"/>
  <c r="CQ12" i="21"/>
  <c r="CO11" i="16"/>
  <c r="CI17" i="11" s="1"/>
  <c r="AX81" i="21"/>
  <c r="AX71" i="21"/>
  <c r="CS20" i="21"/>
  <c r="CS10" i="21" s="1"/>
  <c r="AU110" i="21"/>
  <c r="H95" i="21"/>
  <c r="H110" i="21" s="1"/>
  <c r="BG107" i="21"/>
  <c r="K104" i="21"/>
  <c r="CB20" i="21"/>
  <c r="CB10" i="21" s="1"/>
  <c r="CW20" i="21"/>
  <c r="CW10" i="21" s="1"/>
  <c r="AF52" i="21"/>
  <c r="AF47" i="21"/>
  <c r="AJ52" i="21"/>
  <c r="AJ47" i="21"/>
  <c r="BC202" i="21"/>
  <c r="BC204" i="21"/>
  <c r="BC205" i="21" s="1"/>
  <c r="BG201" i="21"/>
  <c r="K199" i="21"/>
  <c r="BS202" i="21"/>
  <c r="CC81" i="13"/>
  <c r="BT202" i="21"/>
  <c r="CD81" i="13"/>
  <c r="AO13" i="21"/>
  <c r="AW13" i="21"/>
  <c r="K28" i="21"/>
  <c r="CH36" i="21"/>
  <c r="CH38" i="21" s="1"/>
  <c r="CH41" i="21" s="1"/>
  <c r="CH47" i="21" s="1"/>
  <c r="CH52" i="21" s="1"/>
  <c r="CH54" i="21" s="1"/>
  <c r="CH56" i="21" s="1"/>
  <c r="CL36" i="21"/>
  <c r="CL38" i="21" s="1"/>
  <c r="CL41" i="21" s="1"/>
  <c r="CL47" i="21" s="1"/>
  <c r="CL52" i="21" s="1"/>
  <c r="CL54" i="21" s="1"/>
  <c r="CL56" i="21" s="1"/>
  <c r="CL27" i="21"/>
  <c r="CS42" i="6" s="1"/>
  <c r="CS36" i="21"/>
  <c r="CS38" i="21" s="1"/>
  <c r="CS41" i="21" s="1"/>
  <c r="CS47" i="21" s="1"/>
  <c r="CS52" i="21" s="1"/>
  <c r="CS54" i="21" s="1"/>
  <c r="CS56" i="21" s="1"/>
  <c r="BF81" i="21"/>
  <c r="BD71" i="21"/>
  <c r="H108" i="21"/>
  <c r="BB95" i="21"/>
  <c r="BB109" i="21" s="1"/>
  <c r="BB110" i="21" s="1"/>
  <c r="BB90" i="21"/>
  <c r="BF95" i="21"/>
  <c r="BF90" i="21"/>
  <c r="BJ95" i="21"/>
  <c r="BJ109" i="21" s="1"/>
  <c r="BJ110" i="21" s="1"/>
  <c r="BJ90" i="21"/>
  <c r="BN95" i="21"/>
  <c r="BN109" i="21" s="1"/>
  <c r="BR95" i="21"/>
  <c r="BR109" i="21" s="1"/>
  <c r="BR90" i="21"/>
  <c r="BV95" i="21"/>
  <c r="BV109" i="21" s="1"/>
  <c r="BV90" i="21"/>
  <c r="BZ95" i="21"/>
  <c r="BZ109" i="21" s="1"/>
  <c r="BZ90" i="21"/>
  <c r="CD95" i="21"/>
  <c r="CD109" i="21"/>
  <c r="CD90" i="21"/>
  <c r="BD90" i="21"/>
  <c r="BT90" i="21"/>
  <c r="AT131" i="21"/>
  <c r="BD17" i="17" s="1"/>
  <c r="F281" i="21"/>
  <c r="F282" i="21" s="1"/>
  <c r="F252" i="21"/>
  <c r="BF389" i="21"/>
  <c r="BG389" i="21" s="1"/>
  <c r="CI389" i="21"/>
  <c r="CS43" i="8" s="1"/>
  <c r="BS393" i="21"/>
  <c r="CD20" i="21"/>
  <c r="CD10" i="21" s="1"/>
  <c r="CN11" i="16" s="1"/>
  <c r="CK28" i="21"/>
  <c r="CR45" i="6" s="1"/>
  <c r="J28" i="21"/>
  <c r="J30" i="21" s="1"/>
  <c r="AN30" i="21"/>
  <c r="G29" i="21"/>
  <c r="K43" i="21"/>
  <c r="AH47" i="21"/>
  <c r="F52" i="21"/>
  <c r="F56" i="21" s="1"/>
  <c r="AY70" i="21"/>
  <c r="I63" i="21"/>
  <c r="AY109" i="21"/>
  <c r="I95" i="21"/>
  <c r="E131" i="21"/>
  <c r="BA201" i="21"/>
  <c r="J199" i="21"/>
  <c r="J201" i="21" s="1"/>
  <c r="CI205" i="21"/>
  <c r="BZ18" i="17"/>
  <c r="AS13" i="21"/>
  <c r="H30" i="21"/>
  <c r="BA30" i="21"/>
  <c r="CS28" i="21"/>
  <c r="CP36" i="21"/>
  <c r="CP38" i="21" s="1"/>
  <c r="CP41" i="21" s="1"/>
  <c r="CP47" i="21" s="1"/>
  <c r="CP52" i="21" s="1"/>
  <c r="CP54" i="21" s="1"/>
  <c r="CP56" i="21" s="1"/>
  <c r="CP27" i="21"/>
  <c r="CW42" i="6" s="1"/>
  <c r="CT36" i="21"/>
  <c r="CT38" i="21" s="1"/>
  <c r="CT41" i="21" s="1"/>
  <c r="CT47" i="21" s="1"/>
  <c r="CT52" i="21" s="1"/>
  <c r="CT54" i="21" s="1"/>
  <c r="CT56" i="21" s="1"/>
  <c r="CT27" i="21"/>
  <c r="DA42" i="6" s="1"/>
  <c r="CX36" i="21"/>
  <c r="CX38" i="21" s="1"/>
  <c r="CX41" i="21" s="1"/>
  <c r="CX47" i="21" s="1"/>
  <c r="CX52" i="21" s="1"/>
  <c r="CX54" i="21" s="1"/>
  <c r="CX56" i="21" s="1"/>
  <c r="CX27" i="21"/>
  <c r="CW36" i="21"/>
  <c r="CW38" i="21" s="1"/>
  <c r="CW41" i="21" s="1"/>
  <c r="CW47" i="21" s="1"/>
  <c r="CW52" i="21" s="1"/>
  <c r="CW54" i="21" s="1"/>
  <c r="CW56" i="21" s="1"/>
  <c r="AV71" i="21"/>
  <c r="AV90" i="21"/>
  <c r="BL90" i="21"/>
  <c r="CB90" i="21"/>
  <c r="AR131" i="21"/>
  <c r="H126" i="21"/>
  <c r="I126" i="21"/>
  <c r="AV131" i="21"/>
  <c r="AG47" i="21"/>
  <c r="AG59" i="21"/>
  <c r="AG58" i="21"/>
  <c r="AK59" i="21"/>
  <c r="AK58" i="21"/>
  <c r="AO59" i="21"/>
  <c r="AO58" i="21"/>
  <c r="AS59" i="21"/>
  <c r="AS58" i="21"/>
  <c r="CL131" i="21"/>
  <c r="CK130" i="21"/>
  <c r="CU141" i="17" s="1"/>
  <c r="CJ170" i="21"/>
  <c r="CN170" i="21"/>
  <c r="CR170" i="21"/>
  <c r="CV170" i="21"/>
  <c r="E180" i="21"/>
  <c r="AF204" i="21"/>
  <c r="AF180" i="21"/>
  <c r="AJ204" i="21"/>
  <c r="AJ207" i="21" s="1"/>
  <c r="AJ208" i="21" s="1"/>
  <c r="AJ180" i="21"/>
  <c r="AN204" i="21"/>
  <c r="AN180" i="21"/>
  <c r="AR180" i="21"/>
  <c r="AV208" i="21"/>
  <c r="AV204" i="21"/>
  <c r="AV205" i="21" s="1"/>
  <c r="AV180" i="21"/>
  <c r="AZ180" i="21"/>
  <c r="BD204" i="21"/>
  <c r="BD180" i="21"/>
  <c r="BH180" i="21"/>
  <c r="BL208" i="21"/>
  <c r="BL205" i="21"/>
  <c r="BP205" i="21"/>
  <c r="BP208" i="21"/>
  <c r="BT208" i="21"/>
  <c r="BT205" i="21"/>
  <c r="BX205" i="21"/>
  <c r="BX208" i="21"/>
  <c r="CL282" i="21"/>
  <c r="K324" i="21"/>
  <c r="BG326" i="21"/>
  <c r="AX362" i="21"/>
  <c r="AX363" i="21" s="1"/>
  <c r="AX360" i="21"/>
  <c r="BN385" i="21"/>
  <c r="BO385" i="21" s="1"/>
  <c r="CT390" i="21"/>
  <c r="DD44" i="8" s="1"/>
  <c r="CU384" i="21"/>
  <c r="CT20" i="21"/>
  <c r="CT10" i="21" s="1"/>
  <c r="AI47" i="21"/>
  <c r="AM47" i="21"/>
  <c r="AI59" i="21"/>
  <c r="AI58" i="21"/>
  <c r="AM59" i="21"/>
  <c r="AM58" i="21"/>
  <c r="AQ59" i="21"/>
  <c r="AQ58" i="21"/>
  <c r="H59" i="21"/>
  <c r="K131" i="21"/>
  <c r="K17" i="17" s="1"/>
  <c r="K128" i="17" s="1"/>
  <c r="CL170" i="21"/>
  <c r="CP170" i="21"/>
  <c r="CT170" i="21"/>
  <c r="CX170" i="21"/>
  <c r="AP180" i="21"/>
  <c r="BV208" i="21"/>
  <c r="CH286" i="21"/>
  <c r="CH282" i="21"/>
  <c r="CX282" i="21"/>
  <c r="CT286" i="21"/>
  <c r="BA362" i="21"/>
  <c r="BA363" i="21" s="1"/>
  <c r="K70" i="21"/>
  <c r="BQ208" i="21"/>
  <c r="BU208" i="21"/>
  <c r="BY208" i="21"/>
  <c r="CL251" i="21"/>
  <c r="CP251" i="21"/>
  <c r="CT251" i="21"/>
  <c r="CX251" i="21"/>
  <c r="AI281" i="21"/>
  <c r="AI290" i="21" s="1"/>
  <c r="AI291" i="21" s="1"/>
  <c r="AU281" i="21"/>
  <c r="AU289" i="21" s="1"/>
  <c r="AU252" i="21"/>
  <c r="AY281" i="21"/>
  <c r="AY282" i="21" s="1"/>
  <c r="AY252" i="21"/>
  <c r="CC261" i="21"/>
  <c r="CG261" i="21"/>
  <c r="CK261" i="21"/>
  <c r="CK282" i="21"/>
  <c r="CO261" i="21"/>
  <c r="CS261" i="21"/>
  <c r="CW261" i="21"/>
  <c r="CD267" i="21"/>
  <c r="CD269" i="21" s="1"/>
  <c r="CH267" i="21"/>
  <c r="CH269" i="21" s="1"/>
  <c r="CL267" i="21"/>
  <c r="CL269" i="21" s="1"/>
  <c r="CP267" i="21"/>
  <c r="CP269" i="21" s="1"/>
  <c r="CT267" i="21"/>
  <c r="CT269" i="21" s="1"/>
  <c r="CX267" i="21"/>
  <c r="CX269" i="21" s="1"/>
  <c r="CF287" i="21"/>
  <c r="CN287" i="21"/>
  <c r="CV287" i="21"/>
  <c r="CB286" i="21"/>
  <c r="BE381" i="21"/>
  <c r="BE382" i="21"/>
  <c r="BF369" i="21"/>
  <c r="BG369" i="21" s="1"/>
  <c r="BC71" i="21"/>
  <c r="BK208" i="21"/>
  <c r="BO208" i="21"/>
  <c r="BS208" i="21"/>
  <c r="BW208" i="21"/>
  <c r="CB251" i="21"/>
  <c r="CJ251" i="21"/>
  <c r="CN251" i="21"/>
  <c r="CV251" i="21"/>
  <c r="AG281" i="21"/>
  <c r="AG289" i="21" s="1"/>
  <c r="AG252" i="21"/>
  <c r="AK281" i="21"/>
  <c r="AK290" i="21" s="1"/>
  <c r="AK291" i="21" s="1"/>
  <c r="AO252" i="21"/>
  <c r="AS281" i="21"/>
  <c r="AS290" i="21" s="1"/>
  <c r="AS291" i="21" s="1"/>
  <c r="BE252" i="21"/>
  <c r="CE261" i="21"/>
  <c r="CE286" i="21" s="1"/>
  <c r="CI261" i="21"/>
  <c r="CI282" i="21" s="1"/>
  <c r="CM261" i="21"/>
  <c r="CM282" i="21"/>
  <c r="CQ261" i="21"/>
  <c r="CQ282" i="21" s="1"/>
  <c r="CU261" i="21"/>
  <c r="CU286" i="21" s="1"/>
  <c r="AU270" i="21"/>
  <c r="CG287" i="21"/>
  <c r="CM286" i="21"/>
  <c r="CM287" i="21"/>
  <c r="CU287" i="21"/>
  <c r="CI287" i="21"/>
  <c r="AG329" i="21"/>
  <c r="AG319" i="21"/>
  <c r="AO329" i="21"/>
  <c r="AO319" i="21"/>
  <c r="AK319" i="21"/>
  <c r="AS319" i="21"/>
  <c r="AQ329" i="21"/>
  <c r="CK381" i="21"/>
  <c r="CL369" i="21"/>
  <c r="BJ380" i="21"/>
  <c r="BK380" i="21" s="1"/>
  <c r="BY390" i="21"/>
  <c r="CI44" i="8"/>
  <c r="BZ385" i="21"/>
  <c r="CC287" i="21"/>
  <c r="CK287" i="21"/>
  <c r="CS287" i="21"/>
  <c r="CE287" i="21"/>
  <c r="AI319" i="21"/>
  <c r="AI329" i="21"/>
  <c r="AM329" i="21"/>
  <c r="AM319" i="21"/>
  <c r="BN371" i="21"/>
  <c r="BO371" i="21" s="1"/>
  <c r="J324" i="21"/>
  <c r="AZ326" i="21"/>
  <c r="AX332" i="21"/>
  <c r="AX333" i="21" s="1"/>
  <c r="AX330" i="21"/>
  <c r="AV330" i="21"/>
  <c r="BG360" i="21"/>
  <c r="BG362" i="21"/>
  <c r="BG363" i="21"/>
  <c r="BV369" i="21"/>
  <c r="CE369" i="21"/>
  <c r="BE402" i="21"/>
  <c r="BE403" i="21" s="1"/>
  <c r="BF393" i="21"/>
  <c r="BG393" i="21" s="1"/>
  <c r="CO311" i="21"/>
  <c r="CO301" i="21" s="1"/>
  <c r="AR319" i="21"/>
  <c r="AZ359" i="21"/>
  <c r="AZ357" i="21"/>
  <c r="BD356" i="21"/>
  <c r="BF380" i="21"/>
  <c r="BG380" i="21" s="1"/>
  <c r="AV362" i="21"/>
  <c r="AV363" i="21" s="1"/>
  <c r="BI381" i="21"/>
  <c r="BY381" i="21"/>
  <c r="BF377" i="21"/>
  <c r="BG377" i="21" s="1"/>
  <c r="BJ377" i="21"/>
  <c r="BK377" i="21" s="1"/>
  <c r="BN377" i="21"/>
  <c r="BO377" i="21" s="1"/>
  <c r="BR377" i="21"/>
  <c r="CB24" i="8" s="1"/>
  <c r="BS377" i="21"/>
  <c r="CC24" i="8" s="1"/>
  <c r="CO390" i="21"/>
  <c r="CY44" i="8" s="1"/>
  <c r="CP384" i="21"/>
  <c r="BN393" i="21"/>
  <c r="BO393" i="21" s="1"/>
  <c r="BN398" i="21"/>
  <c r="BO398" i="21" s="1"/>
  <c r="BR396" i="21"/>
  <c r="CB51" i="8" s="1"/>
  <c r="CC402" i="21"/>
  <c r="CD393" i="21"/>
  <c r="BQ442" i="21"/>
  <c r="BQ435" i="21"/>
  <c r="BQ434" i="21"/>
  <c r="BU434" i="21"/>
  <c r="BY442" i="21"/>
  <c r="BY435" i="21"/>
  <c r="BY434" i="21"/>
  <c r="CC442" i="21"/>
  <c r="CC434" i="21"/>
  <c r="CW381" i="21"/>
  <c r="BJ371" i="21"/>
  <c r="BK371" i="21" s="1"/>
  <c r="BS374" i="21"/>
  <c r="CC21" i="8" s="1"/>
  <c r="BQ380" i="21"/>
  <c r="BQ381" i="21" s="1"/>
  <c r="BP381" i="21"/>
  <c r="BE390" i="21"/>
  <c r="BE391" i="21" s="1"/>
  <c r="BM390" i="21"/>
  <c r="BN384" i="21"/>
  <c r="BO384" i="21" s="1"/>
  <c r="BQ390" i="21"/>
  <c r="CA44" i="8" s="1"/>
  <c r="BR385" i="21"/>
  <c r="BS385" i="21" s="1"/>
  <c r="CC39" i="8" s="1"/>
  <c r="CK390" i="21"/>
  <c r="CU44" i="8" s="1"/>
  <c r="CL384" i="21"/>
  <c r="BF388" i="21"/>
  <c r="BN388" i="21"/>
  <c r="BO388" i="21" s="1"/>
  <c r="BF397" i="21"/>
  <c r="BG397" i="21" s="1"/>
  <c r="BN399" i="21"/>
  <c r="BO399" i="21" s="1"/>
  <c r="CW402" i="21"/>
  <c r="BG401" i="21"/>
  <c r="BR401" i="21"/>
  <c r="CB56" i="8" s="1"/>
  <c r="BJ405" i="21"/>
  <c r="BK405" i="21" s="1"/>
  <c r="CG381" i="21"/>
  <c r="CS381" i="21"/>
  <c r="CX381" i="21"/>
  <c r="BF385" i="21"/>
  <c r="CG390" i="21"/>
  <c r="CQ44" i="8" s="1"/>
  <c r="BU402" i="21"/>
  <c r="CE57" i="8" s="1"/>
  <c r="BV393" i="21"/>
  <c r="BY402" i="21"/>
  <c r="CI57" i="8"/>
  <c r="CK402" i="21"/>
  <c r="CL393" i="21"/>
  <c r="CG402" i="21"/>
  <c r="CH396" i="21"/>
  <c r="BN397" i="21"/>
  <c r="BL402" i="21"/>
  <c r="BM397" i="21"/>
  <c r="BM402" i="21" s="1"/>
  <c r="BJ397" i="21"/>
  <c r="BM381" i="21"/>
  <c r="BR369" i="21"/>
  <c r="CC381" i="21"/>
  <c r="CH369" i="21"/>
  <c r="CO381" i="21"/>
  <c r="CT369" i="21"/>
  <c r="BK379" i="21"/>
  <c r="BV384" i="21"/>
  <c r="CS390" i="21"/>
  <c r="DC44" i="8" s="1"/>
  <c r="BN389" i="21"/>
  <c r="BO389" i="21" s="1"/>
  <c r="BT390" i="21"/>
  <c r="CD44" i="8" s="1"/>
  <c r="BU389" i="21"/>
  <c r="BU390" i="21" s="1"/>
  <c r="BF398" i="21"/>
  <c r="BG398" i="21" s="1"/>
  <c r="BN395" i="21"/>
  <c r="BO395" i="21" s="1"/>
  <c r="BQ402" i="21"/>
  <c r="CA57" i="8" s="1"/>
  <c r="BR397" i="21"/>
  <c r="CB52" i="8" s="1"/>
  <c r="CS402" i="21"/>
  <c r="CT393" i="21"/>
  <c r="CO402" i="21"/>
  <c r="CP397" i="21"/>
  <c r="BQ439" i="21"/>
  <c r="BQ438" i="21"/>
  <c r="BY439" i="21"/>
  <c r="BY438" i="21"/>
  <c r="CC438" i="21"/>
  <c r="BG384" i="21"/>
  <c r="BR453" i="21"/>
  <c r="CD452" i="21"/>
  <c r="BL433" i="21"/>
  <c r="BP434" i="21" s="1"/>
  <c r="BL437" i="21"/>
  <c r="BP438" i="21" s="1"/>
  <c r="BO405" i="21"/>
  <c r="BN433" i="21"/>
  <c r="BR434" i="21" s="1"/>
  <c r="BV434" i="21"/>
  <c r="BZ434" i="21"/>
  <c r="CD434" i="21"/>
  <c r="BR435" i="21"/>
  <c r="BV435" i="21"/>
  <c r="BZ435" i="21"/>
  <c r="BN437" i="21"/>
  <c r="BR438" i="21" s="1"/>
  <c r="BV438" i="21"/>
  <c r="BZ438" i="21"/>
  <c r="BF405" i="21"/>
  <c r="BO433" i="21"/>
  <c r="BS434" i="21" s="1"/>
  <c r="BW434" i="21"/>
  <c r="CA434" i="21"/>
  <c r="CE434" i="21"/>
  <c r="BS435" i="21"/>
  <c r="BW435" i="21"/>
  <c r="CA435" i="21"/>
  <c r="BO437" i="21"/>
  <c r="BS438" i="21" s="1"/>
  <c r="BW438" i="21"/>
  <c r="CA438" i="21"/>
  <c r="BT434" i="21"/>
  <c r="BX434" i="21"/>
  <c r="CB434" i="21"/>
  <c r="BP435" i="21"/>
  <c r="BT435" i="21"/>
  <c r="BX435" i="21"/>
  <c r="BT438" i="21"/>
  <c r="BX438" i="21"/>
  <c r="I131" i="35"/>
  <c r="V115" i="13"/>
  <c r="DH115" i="13" s="1"/>
  <c r="E44" i="20"/>
  <c r="F30" i="19"/>
  <c r="BZ112" i="13"/>
  <c r="O16" i="11"/>
  <c r="BW13" i="17"/>
  <c r="BW14" i="17" s="1"/>
  <c r="DC31" i="17"/>
  <c r="DC94" i="13" s="1"/>
  <c r="I30" i="17"/>
  <c r="BA68" i="17"/>
  <c r="AZ80" i="17"/>
  <c r="AZ88" i="17" s="1"/>
  <c r="BA65" i="17"/>
  <c r="BA71" i="17"/>
  <c r="BA74" i="17"/>
  <c r="F95" i="17"/>
  <c r="AX90" i="17"/>
  <c r="AX93" i="17"/>
  <c r="AX91" i="17"/>
  <c r="AX87" i="17"/>
  <c r="AX83" i="17"/>
  <c r="BC80" i="17"/>
  <c r="BC84" i="17" s="1"/>
  <c r="G88" i="17"/>
  <c r="G84" i="17"/>
  <c r="AX84" i="17"/>
  <c r="AX94" i="17"/>
  <c r="AX97" i="17"/>
  <c r="BA78" i="17"/>
  <c r="AX95" i="17"/>
  <c r="AY80" i="17"/>
  <c r="AY86" i="17" s="1"/>
  <c r="BD80" i="17"/>
  <c r="BD94" i="17" s="1"/>
  <c r="G93" i="17"/>
  <c r="G95" i="17"/>
  <c r="AX85" i="17"/>
  <c r="AX88" i="17"/>
  <c r="BC88" i="17"/>
  <c r="BA73" i="17"/>
  <c r="BA77" i="17"/>
  <c r="G90" i="17"/>
  <c r="G97" i="17"/>
  <c r="AX86" i="17"/>
  <c r="AX89" i="17"/>
  <c r="AX92" i="17"/>
  <c r="BH132" i="17"/>
  <c r="BO135" i="17"/>
  <c r="CI135" i="17"/>
  <c r="CY135" i="17"/>
  <c r="CA135" i="17"/>
  <c r="BZ132" i="17"/>
  <c r="CP132" i="17"/>
  <c r="DF132" i="17"/>
  <c r="BQ135" i="17"/>
  <c r="BW132" i="17"/>
  <c r="BI138" i="17"/>
  <c r="CA132" i="17"/>
  <c r="CE132" i="17"/>
  <c r="CI132" i="17"/>
  <c r="CM132" i="17"/>
  <c r="CQ132" i="17"/>
  <c r="CU132" i="17"/>
  <c r="CY132" i="17"/>
  <c r="DC132" i="17"/>
  <c r="DG132" i="17"/>
  <c r="BO132" i="17"/>
  <c r="BL135" i="17"/>
  <c r="CB135" i="17"/>
  <c r="CR135" i="17"/>
  <c r="DH135" i="17"/>
  <c r="BH142" i="17"/>
  <c r="BT135" i="17"/>
  <c r="CJ135" i="17"/>
  <c r="CZ135" i="17"/>
  <c r="BJ140" i="17"/>
  <c r="BN140" i="17"/>
  <c r="BR140" i="17"/>
  <c r="BV140" i="17"/>
  <c r="BZ140" i="17"/>
  <c r="BM138" i="17"/>
  <c r="BQ138" i="17"/>
  <c r="BU138" i="17"/>
  <c r="BY138" i="17"/>
  <c r="CC138" i="17"/>
  <c r="CO44" i="16"/>
  <c r="CL44" i="16"/>
  <c r="DE44" i="16"/>
  <c r="DH44" i="16"/>
  <c r="DF44" i="16"/>
  <c r="DB44" i="16"/>
  <c r="CT44" i="16"/>
  <c r="CT45" i="16"/>
  <c r="DF45" i="16"/>
  <c r="CL46" i="16"/>
  <c r="DF46" i="16"/>
  <c r="CT47" i="16"/>
  <c r="CV44" i="16"/>
  <c r="CV45" i="16"/>
  <c r="DH45" i="16"/>
  <c r="CN46" i="16"/>
  <c r="DD46" i="16"/>
  <c r="CV47" i="16"/>
  <c r="DE45" i="16"/>
  <c r="DE46" i="16"/>
  <c r="BF109" i="15"/>
  <c r="DH24" i="15"/>
  <c r="BU44" i="15"/>
  <c r="DG22" i="15"/>
  <c r="K47" i="15"/>
  <c r="AT62" i="15"/>
  <c r="CH97" i="15"/>
  <c r="CV26" i="22"/>
  <c r="I118" i="15"/>
  <c r="I92" i="15"/>
  <c r="I91" i="15"/>
  <c r="R98" i="15"/>
  <c r="U92" i="15"/>
  <c r="M130" i="14" s="1"/>
  <c r="U91" i="15"/>
  <c r="R91" i="15"/>
  <c r="BB101" i="15"/>
  <c r="H92" i="15"/>
  <c r="I96" i="15" s="1"/>
  <c r="G98" i="15"/>
  <c r="G92" i="15"/>
  <c r="H98" i="15"/>
  <c r="T98" i="15"/>
  <c r="T92" i="15"/>
  <c r="S92" i="15"/>
  <c r="K130" i="14" s="1"/>
  <c r="S91" i="15"/>
  <c r="CG113" i="15"/>
  <c r="R92" i="15"/>
  <c r="BL96" i="15"/>
  <c r="BH96" i="15"/>
  <c r="BH99" i="15"/>
  <c r="P90" i="15"/>
  <c r="K26" i="22" s="1"/>
  <c r="BK90" i="15"/>
  <c r="BP90" i="15"/>
  <c r="CK91" i="15"/>
  <c r="CO91" i="15"/>
  <c r="CH98" i="15"/>
  <c r="U98" i="15"/>
  <c r="S98" i="15"/>
  <c r="CL92" i="15"/>
  <c r="CM99" i="15"/>
  <c r="CM101" i="15" s="1"/>
  <c r="BJ118" i="15"/>
  <c r="BJ119" i="15" s="1"/>
  <c r="BJ98" i="15"/>
  <c r="BO118" i="15"/>
  <c r="BO119" i="15" s="1"/>
  <c r="CH146" i="15"/>
  <c r="CI92" i="15"/>
  <c r="CM96" i="15" s="1"/>
  <c r="BN91" i="15"/>
  <c r="CL98" i="15"/>
  <c r="CO100" i="15"/>
  <c r="CN99" i="15"/>
  <c r="CN101" i="15"/>
  <c r="BO98" i="15"/>
  <c r="R127" i="15"/>
  <c r="R131" i="15"/>
  <c r="R134" i="15"/>
  <c r="R135" i="15"/>
  <c r="CN138" i="15"/>
  <c r="Q142" i="15"/>
  <c r="R126" i="15"/>
  <c r="S127" i="15"/>
  <c r="CJ142" i="15"/>
  <c r="CQ128" i="15"/>
  <c r="AS119" i="15"/>
  <c r="AW119" i="15"/>
  <c r="BA119" i="15"/>
  <c r="BE119" i="15"/>
  <c r="BI119" i="15"/>
  <c r="Q127" i="15"/>
  <c r="Q134" i="15"/>
  <c r="T136" i="15"/>
  <c r="T138" i="15" s="1"/>
  <c r="T140" i="15"/>
  <c r="Q141" i="15"/>
  <c r="G12" i="14"/>
  <c r="G25" i="14"/>
  <c r="L71" i="14"/>
  <c r="L25" i="14"/>
  <c r="M12" i="14"/>
  <c r="L12" i="14"/>
  <c r="CJ11" i="14"/>
  <c r="CJ25" i="14"/>
  <c r="CR11" i="14"/>
  <c r="CN11" i="14"/>
  <c r="CN25" i="14"/>
  <c r="CW12" i="14"/>
  <c r="CW62" i="14" s="1"/>
  <c r="CW10" i="14"/>
  <c r="CV25" i="14"/>
  <c r="CJ10" i="14"/>
  <c r="CV10" i="14"/>
  <c r="H11" i="14"/>
  <c r="CJ12" i="14"/>
  <c r="CV12" i="14"/>
  <c r="CV62" i="14" s="1"/>
  <c r="I50" i="14"/>
  <c r="I36" i="14"/>
  <c r="I27" i="14"/>
  <c r="J29" i="14"/>
  <c r="M50" i="14"/>
  <c r="M36" i="14"/>
  <c r="M27" i="14"/>
  <c r="M16" i="14"/>
  <c r="N29" i="14"/>
  <c r="H25" i="14"/>
  <c r="H12" i="14"/>
  <c r="CC12" i="14"/>
  <c r="CC25" i="14"/>
  <c r="CD12" i="14"/>
  <c r="CG11" i="14"/>
  <c r="CK12" i="14"/>
  <c r="CK10" i="14"/>
  <c r="CK25" i="14"/>
  <c r="CK11" i="14"/>
  <c r="CO12" i="14"/>
  <c r="CO62" i="14" s="1"/>
  <c r="CO10" i="14"/>
  <c r="I9" i="14"/>
  <c r="J11" i="14" s="1"/>
  <c r="CO25" i="14"/>
  <c r="CS11" i="14"/>
  <c r="CO11" i="14"/>
  <c r="CW112" i="22"/>
  <c r="CV113" i="22"/>
  <c r="N9" i="14"/>
  <c r="Q112" i="22"/>
  <c r="CP39" i="14"/>
  <c r="K12" i="14"/>
  <c r="K25" i="14"/>
  <c r="CH10" i="14"/>
  <c r="CL10" i="14"/>
  <c r="CP10" i="14"/>
  <c r="CL12" i="14"/>
  <c r="CP12" i="14"/>
  <c r="CP62" i="14" s="1"/>
  <c r="K50" i="14"/>
  <c r="CV17" i="14"/>
  <c r="DD17" i="14"/>
  <c r="DH17" i="14"/>
  <c r="DH38" i="14" s="1"/>
  <c r="J16" i="14"/>
  <c r="CO21" i="14"/>
  <c r="I24" i="14"/>
  <c r="M24" i="14"/>
  <c r="CH24" i="14"/>
  <c r="J25" i="14"/>
  <c r="CI25" i="14"/>
  <c r="J27" i="14"/>
  <c r="CC26" i="14"/>
  <c r="CK26" i="14"/>
  <c r="CM37" i="14"/>
  <c r="CM32" i="14" s="1"/>
  <c r="CM30" i="14" s="1"/>
  <c r="CM31" i="14" s="1"/>
  <c r="CQ37" i="14"/>
  <c r="CQ32" i="14" s="1"/>
  <c r="CQ30" i="14" s="1"/>
  <c r="CQ31" i="14" s="1"/>
  <c r="CU37" i="14"/>
  <c r="CY37" i="14"/>
  <c r="CY32" i="14" s="1"/>
  <c r="CY30" i="14" s="1"/>
  <c r="CY31" i="14" s="1"/>
  <c r="DC37" i="14"/>
  <c r="DC32" i="14" s="1"/>
  <c r="DC30" i="14" s="1"/>
  <c r="DC31" i="14" s="1"/>
  <c r="DG37" i="14"/>
  <c r="CQ38" i="14"/>
  <c r="CE39" i="14"/>
  <c r="L50" i="14"/>
  <c r="M51" i="14" s="1"/>
  <c r="CP21" i="14"/>
  <c r="J24" i="14"/>
  <c r="CA24" i="14"/>
  <c r="CI24" i="14"/>
  <c r="DH25" i="14"/>
  <c r="I26" i="14"/>
  <c r="M26" i="14"/>
  <c r="K29" i="14"/>
  <c r="CH26" i="14"/>
  <c r="CA27" i="14"/>
  <c r="CA28" i="14"/>
  <c r="CN28" i="14"/>
  <c r="CR28" i="14"/>
  <c r="CA37" i="14"/>
  <c r="CE37" i="14"/>
  <c r="CE32" i="14" s="1"/>
  <c r="CE30" i="14" s="1"/>
  <c r="CE31" i="14" s="1"/>
  <c r="CM38" i="14"/>
  <c r="L16" i="14"/>
  <c r="CQ21" i="14"/>
  <c r="CB24" i="14"/>
  <c r="CJ24" i="14"/>
  <c r="J26" i="14"/>
  <c r="L27" i="14"/>
  <c r="CA26" i="14"/>
  <c r="CI26" i="14"/>
  <c r="DH27" i="14"/>
  <c r="M11" i="14"/>
  <c r="E50" i="14"/>
  <c r="E36" i="14"/>
  <c r="J50" i="14"/>
  <c r="J51" i="14" s="1"/>
  <c r="N14" i="14"/>
  <c r="CW29" i="22"/>
  <c r="M29" i="14"/>
  <c r="CW28" i="14"/>
  <c r="DA28" i="14"/>
  <c r="DE28" i="14"/>
  <c r="E27" i="14"/>
  <c r="K36" i="14"/>
  <c r="K17" i="14" s="1"/>
  <c r="K38" i="14" s="1"/>
  <c r="CC55" i="14"/>
  <c r="G71" i="14"/>
  <c r="CR51" i="14"/>
  <c r="DH51" i="14"/>
  <c r="CV55" i="14"/>
  <c r="DA55" i="14"/>
  <c r="CI62" i="14"/>
  <c r="CI61" i="14"/>
  <c r="CI60" i="14"/>
  <c r="DD51" i="14"/>
  <c r="CR55" i="14"/>
  <c r="CW55" i="14"/>
  <c r="DH55" i="14"/>
  <c r="CJ60" i="14"/>
  <c r="CJ62" i="14"/>
  <c r="CE55" i="14"/>
  <c r="CJ61" i="14"/>
  <c r="CK71" i="14"/>
  <c r="N63" i="14"/>
  <c r="Q32" i="22" s="1"/>
  <c r="CP55" i="14"/>
  <c r="CP51" i="14"/>
  <c r="CT55" i="14"/>
  <c r="CT51" i="14"/>
  <c r="CX55" i="14"/>
  <c r="CX51" i="14"/>
  <c r="DB55" i="14"/>
  <c r="DB51" i="14"/>
  <c r="DF55" i="14"/>
  <c r="DF51" i="14"/>
  <c r="CZ51" i="14"/>
  <c r="CN55" i="14"/>
  <c r="CS55" i="14"/>
  <c r="CY55" i="14"/>
  <c r="DD55" i="14"/>
  <c r="CK62" i="14"/>
  <c r="CK61" i="14"/>
  <c r="H59" i="14"/>
  <c r="CL62" i="14"/>
  <c r="CL60" i="14"/>
  <c r="CF55" i="14"/>
  <c r="CD55" i="14"/>
  <c r="CD51" i="14"/>
  <c r="CA55" i="14"/>
  <c r="L125" i="14"/>
  <c r="L83" i="14"/>
  <c r="L66" i="14" s="1"/>
  <c r="L85" i="14" s="1"/>
  <c r="K65" i="14"/>
  <c r="CM85" i="14"/>
  <c r="CQ85" i="14"/>
  <c r="CQ67" i="14"/>
  <c r="CU85" i="14"/>
  <c r="CU67" i="14"/>
  <c r="CO67" i="14"/>
  <c r="CT67" i="14"/>
  <c r="CR68" i="14"/>
  <c r="CW68" i="14"/>
  <c r="I118" i="14"/>
  <c r="J72" i="14"/>
  <c r="M70" i="14"/>
  <c r="DG70" i="14"/>
  <c r="K71" i="14"/>
  <c r="G72" i="14"/>
  <c r="CA144" i="14"/>
  <c r="CA79" i="14"/>
  <c r="CA77" i="14" s="1"/>
  <c r="CA78" i="14" s="1"/>
  <c r="I125" i="14"/>
  <c r="I83" i="14"/>
  <c r="J76" i="14"/>
  <c r="I73" i="14"/>
  <c r="M83" i="14"/>
  <c r="M75" i="14" s="1"/>
  <c r="N76" i="14"/>
  <c r="M73" i="14"/>
  <c r="M74" i="14" s="1"/>
  <c r="CP67" i="14"/>
  <c r="CS68" i="14"/>
  <c r="J118" i="14"/>
  <c r="J71" i="14"/>
  <c r="J70" i="14"/>
  <c r="CI70" i="14"/>
  <c r="CI71" i="14"/>
  <c r="G61" i="14"/>
  <c r="J119" i="14"/>
  <c r="J125" i="14"/>
  <c r="J83" i="14"/>
  <c r="J65" i="14"/>
  <c r="M65" i="14"/>
  <c r="CR67" i="14"/>
  <c r="K70" i="14"/>
  <c r="CK72" i="14"/>
  <c r="CJ71" i="14"/>
  <c r="CJ70" i="14"/>
  <c r="K72" i="14"/>
  <c r="CA85" i="14"/>
  <c r="CE87" i="14" s="1"/>
  <c r="CN67" i="14"/>
  <c r="CS67" i="14"/>
  <c r="DG72" i="14"/>
  <c r="DG73" i="14"/>
  <c r="DH72" i="14"/>
  <c r="G118" i="14"/>
  <c r="G70" i="14"/>
  <c r="L70" i="14"/>
  <c r="CH72" i="14"/>
  <c r="CG72" i="14"/>
  <c r="CG70" i="14"/>
  <c r="CL72" i="14"/>
  <c r="CK70" i="14"/>
  <c r="H69" i="14"/>
  <c r="K114" i="22" s="1"/>
  <c r="CL70" i="14"/>
  <c r="CG71" i="14"/>
  <c r="L72" i="14"/>
  <c r="K76" i="14"/>
  <c r="K125" i="14"/>
  <c r="BZ66" i="14"/>
  <c r="CD68" i="14" s="1"/>
  <c r="CX66" i="14"/>
  <c r="DB66" i="14"/>
  <c r="DB67" i="14" s="1"/>
  <c r="DF66" i="14"/>
  <c r="DG67" i="14" s="1"/>
  <c r="CT68" i="14"/>
  <c r="DH73" i="14"/>
  <c r="CI72" i="14"/>
  <c r="M72" i="14"/>
  <c r="K73" i="14"/>
  <c r="L74" i="14" s="1"/>
  <c r="CQ74" i="14"/>
  <c r="CV74" i="14"/>
  <c r="CO75" i="14"/>
  <c r="DE75" i="14"/>
  <c r="K83" i="14"/>
  <c r="K75" i="14" s="1"/>
  <c r="CN84" i="14"/>
  <c r="CN79" i="14" s="1"/>
  <c r="CN77" i="14" s="1"/>
  <c r="CN78" i="14" s="1"/>
  <c r="CX84" i="14"/>
  <c r="DD84" i="14"/>
  <c r="DD79" i="14" s="1"/>
  <c r="DD77" i="14" s="1"/>
  <c r="DD78" i="14" s="1"/>
  <c r="CM74" i="14"/>
  <c r="DC74" i="14"/>
  <c r="CD84" i="14"/>
  <c r="CT84" i="14"/>
  <c r="CT79" i="14" s="1"/>
  <c r="CT77" i="14" s="1"/>
  <c r="CT78" i="14" s="1"/>
  <c r="CD74" i="14"/>
  <c r="CY74" i="14"/>
  <c r="CF84" i="14"/>
  <c r="CP84" i="14"/>
  <c r="CP79" i="14" s="1"/>
  <c r="CP77" i="14" s="1"/>
  <c r="CP78" i="14" s="1"/>
  <c r="DF84" i="14"/>
  <c r="CF86" i="14"/>
  <c r="CP74" i="14"/>
  <c r="CC84" i="14"/>
  <c r="CE86" i="14"/>
  <c r="BZ84" i="14"/>
  <c r="F120" i="14"/>
  <c r="G110" i="14"/>
  <c r="G111" i="14" s="1"/>
  <c r="G151" i="14"/>
  <c r="H149" i="14"/>
  <c r="CN29" i="13"/>
  <c r="CO29" i="13" s="1"/>
  <c r="R67" i="13"/>
  <c r="CP54" i="13"/>
  <c r="CL14" i="13"/>
  <c r="CI22" i="13"/>
  <c r="CT67" i="13"/>
  <c r="CT66" i="13"/>
  <c r="CK104" i="13"/>
  <c r="DB115" i="13"/>
  <c r="T101" i="13"/>
  <c r="T102" i="11" s="1"/>
  <c r="CQ112" i="13"/>
  <c r="CB112" i="13"/>
  <c r="CM284" i="13"/>
  <c r="CM304" i="13"/>
  <c r="CN350" i="13"/>
  <c r="CN318" i="13"/>
  <c r="CN335" i="13"/>
  <c r="CN315" i="13"/>
  <c r="CN312" i="13"/>
  <c r="CC284" i="13"/>
  <c r="R297" i="13"/>
  <c r="CM302" i="13"/>
  <c r="Q334" i="13"/>
  <c r="CN340" i="13"/>
  <c r="CO340" i="13" s="1"/>
  <c r="CP340" i="13" s="1"/>
  <c r="CQ340" i="13" s="1"/>
  <c r="CR340" i="13" s="1"/>
  <c r="CS340" i="13" s="1"/>
  <c r="DD299" i="13"/>
  <c r="BW58" i="12"/>
  <c r="W83" i="12"/>
  <c r="W113" i="8" s="1"/>
  <c r="BY58" i="12"/>
  <c r="CI361" i="12"/>
  <c r="CI359" i="12" s="1"/>
  <c r="Q381" i="12"/>
  <c r="CL452" i="12"/>
  <c r="CR180" i="12"/>
  <c r="CO209" i="12"/>
  <c r="CT344" i="12"/>
  <c r="DD329" i="12"/>
  <c r="DD326" i="12"/>
  <c r="CX247" i="12"/>
  <c r="DF250" i="12"/>
  <c r="CT332" i="12"/>
  <c r="CT335" i="12" s="1"/>
  <c r="CT347" i="12"/>
  <c r="CX347" i="12"/>
  <c r="DC374" i="12"/>
  <c r="CC463" i="12"/>
  <c r="CZ463" i="12"/>
  <c r="DE463" i="12"/>
  <c r="CJ461" i="12"/>
  <c r="CJ463" i="12" s="1"/>
  <c r="O503" i="12"/>
  <c r="CK504" i="12"/>
  <c r="CK510" i="12" s="1"/>
  <c r="CL503" i="12"/>
  <c r="P503" i="12"/>
  <c r="BX540" i="12"/>
  <c r="BY540" i="12" s="1"/>
  <c r="CQ563" i="12"/>
  <c r="CB560" i="12"/>
  <c r="BT568" i="12"/>
  <c r="BU568" i="12" s="1"/>
  <c r="CL569" i="12"/>
  <c r="CW728" i="12"/>
  <c r="CW747" i="12" s="1"/>
  <c r="CW749" i="12" s="1"/>
  <c r="W712" i="12"/>
  <c r="AA712" i="12"/>
  <c r="AB712" i="12" s="1"/>
  <c r="AC712" i="12" s="1"/>
  <c r="AD712" i="12" s="1"/>
  <c r="AE712" i="12" s="1"/>
  <c r="AF712" i="12" s="1"/>
  <c r="AG712" i="12" s="1"/>
  <c r="CP92" i="8"/>
  <c r="CT92" i="8"/>
  <c r="CT77" i="8"/>
  <c r="DF92" i="8"/>
  <c r="CY92" i="8"/>
  <c r="Q49" i="7"/>
  <c r="CD196" i="7"/>
  <c r="CD163" i="7"/>
  <c r="CD171" i="7" s="1"/>
  <c r="CH196" i="7"/>
  <c r="CH163" i="7"/>
  <c r="CH171" i="7" s="1"/>
  <c r="CI167" i="7" s="1"/>
  <c r="CL196" i="7"/>
  <c r="CL163" i="7"/>
  <c r="CL171" i="7" s="1"/>
  <c r="CP196" i="7"/>
  <c r="CP163" i="7"/>
  <c r="CP171" i="7" s="1"/>
  <c r="CT196" i="7"/>
  <c r="CT163" i="7"/>
  <c r="CT171" i="7" s="1"/>
  <c r="CU167" i="7" s="1"/>
  <c r="CX196" i="7"/>
  <c r="CX163" i="7"/>
  <c r="DB196" i="7"/>
  <c r="DB163" i="7"/>
  <c r="DB171" i="7" s="1"/>
  <c r="DF196" i="7"/>
  <c r="DF163" i="7"/>
  <c r="DF171" i="7" s="1"/>
  <c r="CP164" i="7"/>
  <c r="CP181" i="7" s="1"/>
  <c r="CQ177" i="7" s="1"/>
  <c r="CE194" i="7"/>
  <c r="CE164" i="7"/>
  <c r="CE181" i="7" s="1"/>
  <c r="CI194" i="7"/>
  <c r="CI164" i="7"/>
  <c r="CI181" i="7" s="1"/>
  <c r="CJ177" i="7" s="1"/>
  <c r="CM194" i="7"/>
  <c r="CM164" i="7"/>
  <c r="CM181" i="7" s="1"/>
  <c r="CQ194" i="7"/>
  <c r="CQ164" i="7"/>
  <c r="CQ181" i="7" s="1"/>
  <c r="CU194" i="7"/>
  <c r="CU164" i="7"/>
  <c r="CU181" i="7" s="1"/>
  <c r="CY194" i="7"/>
  <c r="CY164" i="7"/>
  <c r="CY181" i="7" s="1"/>
  <c r="CZ177" i="7" s="1"/>
  <c r="DC194" i="7"/>
  <c r="DC164" i="7"/>
  <c r="DG194" i="7"/>
  <c r="DG164" i="7"/>
  <c r="DG181" i="7" s="1"/>
  <c r="DH177" i="7" s="1"/>
  <c r="CE23" i="7"/>
  <c r="CE111" i="7" s="1"/>
  <c r="CE118" i="7" s="1"/>
  <c r="CN163" i="7"/>
  <c r="CE49" i="6"/>
  <c r="CU85" i="6"/>
  <c r="V111" i="6"/>
  <c r="V103" i="6" s="1"/>
  <c r="BW85" i="6"/>
  <c r="BW104" i="6"/>
  <c r="BW110" i="6" s="1"/>
  <c r="CG117" i="6"/>
  <c r="CG120" i="6" s="1"/>
  <c r="CS117" i="6"/>
  <c r="CY104" i="6"/>
  <c r="CY110" i="6" s="1"/>
  <c r="CU104" i="6"/>
  <c r="CU110" i="6" s="1"/>
  <c r="DE104" i="6"/>
  <c r="DE110" i="6" s="1"/>
  <c r="N135" i="6"/>
  <c r="N136" i="6"/>
  <c r="CV125" i="22"/>
  <c r="Q29" i="22"/>
  <c r="V115" i="15"/>
  <c r="BH101" i="15"/>
  <c r="BS396" i="21"/>
  <c r="CC51" i="8" s="1"/>
  <c r="BC359" i="21"/>
  <c r="BC362" i="21" s="1"/>
  <c r="BC363" i="21" s="1"/>
  <c r="BC357" i="21"/>
  <c r="AP332" i="21"/>
  <c r="AP333" i="21" s="1"/>
  <c r="AP330" i="21"/>
  <c r="CX179" i="21"/>
  <c r="CH205" i="21"/>
  <c r="CH179" i="21"/>
  <c r="CH202" i="21" s="1"/>
  <c r="BS375" i="21"/>
  <c r="CC22" i="8" s="1"/>
  <c r="BD89" i="17"/>
  <c r="BS397" i="21"/>
  <c r="CC52" i="8" s="1"/>
  <c r="CC78" i="8" s="1"/>
  <c r="AF332" i="21"/>
  <c r="AF333" i="21" s="1"/>
  <c r="AF330" i="21"/>
  <c r="J269" i="21"/>
  <c r="CT179" i="21"/>
  <c r="CT202" i="21" s="1"/>
  <c r="CD205" i="21"/>
  <c r="CD179" i="21"/>
  <c r="CD202" i="21" s="1"/>
  <c r="DG74" i="14"/>
  <c r="BC92" i="17"/>
  <c r="BK397" i="21"/>
  <c r="F332" i="21"/>
  <c r="F333" i="21" s="1"/>
  <c r="F330" i="21"/>
  <c r="CP205" i="21"/>
  <c r="CP179" i="21"/>
  <c r="CP202" i="21" s="1"/>
  <c r="T130" i="15"/>
  <c r="H26" i="14"/>
  <c r="J113" i="22"/>
  <c r="G26" i="14"/>
  <c r="G24" i="14"/>
  <c r="CO30" i="21"/>
  <c r="CV45" i="6"/>
  <c r="Q91" i="15"/>
  <c r="BD97" i="17"/>
  <c r="CU126" i="17"/>
  <c r="CH69" i="22"/>
  <c r="CL205" i="21"/>
  <c r="CL179" i="21"/>
  <c r="AX47" i="21"/>
  <c r="AX52" i="21"/>
  <c r="AX56" i="21" s="1"/>
  <c r="BS399" i="21"/>
  <c r="CC54" i="8" s="1"/>
  <c r="CU393" i="21"/>
  <c r="CT402" i="21"/>
  <c r="DD48" i="8"/>
  <c r="CT381" i="21"/>
  <c r="CT405" i="21" s="1"/>
  <c r="CU369" i="21"/>
  <c r="DD12" i="8"/>
  <c r="CG405" i="21"/>
  <c r="CQ34" i="8"/>
  <c r="AZ327" i="21"/>
  <c r="AZ329" i="21"/>
  <c r="AM330" i="21"/>
  <c r="AM332" i="21"/>
  <c r="AM333" i="21" s="1"/>
  <c r="CC282" i="21"/>
  <c r="CC286" i="21"/>
  <c r="CU390" i="21"/>
  <c r="DE44" i="8" s="1"/>
  <c r="DE38" i="8"/>
  <c r="BA41" i="21"/>
  <c r="BA31" i="21"/>
  <c r="AY71" i="21"/>
  <c r="I70" i="21"/>
  <c r="I81" i="21" s="1"/>
  <c r="AY81" i="21"/>
  <c r="K201" i="21"/>
  <c r="AJ54" i="21"/>
  <c r="AJ56" i="21" s="1"/>
  <c r="BL442" i="21"/>
  <c r="CY34" i="8"/>
  <c r="CY65" i="8" s="1"/>
  <c r="BG388" i="21"/>
  <c r="BP405" i="21"/>
  <c r="BZ34" i="8"/>
  <c r="DG34" i="8"/>
  <c r="AZ360" i="21"/>
  <c r="AZ362" i="21"/>
  <c r="AZ363" i="21" s="1"/>
  <c r="CO12" i="8"/>
  <c r="AI330" i="21"/>
  <c r="AI332" i="21"/>
  <c r="AI333" i="21" s="1"/>
  <c r="CK286" i="21"/>
  <c r="CA385" i="21"/>
  <c r="CK39" i="8" s="1"/>
  <c r="BZ390" i="21"/>
  <c r="CJ39" i="8"/>
  <c r="AQ330" i="21"/>
  <c r="AQ332" i="21"/>
  <c r="AQ333" i="21" s="1"/>
  <c r="AG330" i="21"/>
  <c r="AG332" i="21"/>
  <c r="AG333" i="21" s="1"/>
  <c r="AI289" i="21"/>
  <c r="CD12" i="21"/>
  <c r="I109" i="21"/>
  <c r="I110" i="21" s="1"/>
  <c r="AY110" i="21"/>
  <c r="CK30" i="21"/>
  <c r="CC48" i="8"/>
  <c r="BS369" i="21"/>
  <c r="CC12" i="8" s="1"/>
  <c r="CB12" i="8"/>
  <c r="BY127" i="6" s="1"/>
  <c r="BY144" i="6" s="1"/>
  <c r="CB39" i="8"/>
  <c r="CS282" i="21"/>
  <c r="CS286" i="21"/>
  <c r="BO442" i="21"/>
  <c r="CQ397" i="21"/>
  <c r="CP402" i="21"/>
  <c r="CZ52" i="8"/>
  <c r="CH381" i="21"/>
  <c r="CI369" i="21"/>
  <c r="CS12" i="8" s="1"/>
  <c r="CS73" i="8" s="1"/>
  <c r="CR12" i="8"/>
  <c r="CO127" i="6" s="1"/>
  <c r="BW393" i="21"/>
  <c r="BV402" i="21"/>
  <c r="CF57" i="8" s="1"/>
  <c r="CF48" i="8"/>
  <c r="CX405" i="21"/>
  <c r="DH34" i="8"/>
  <c r="CL390" i="21"/>
  <c r="CV38" i="8"/>
  <c r="CV77" i="8" s="1"/>
  <c r="BR380" i="21"/>
  <c r="CB33" i="8" s="1"/>
  <c r="CA33" i="8"/>
  <c r="BY405" i="21"/>
  <c r="CI34" i="8"/>
  <c r="BD359" i="21"/>
  <c r="BD360" i="21" s="1"/>
  <c r="BD357" i="21"/>
  <c r="CL381" i="21"/>
  <c r="CV12" i="8"/>
  <c r="CV73" i="8" s="1"/>
  <c r="CI286" i="21"/>
  <c r="CW282" i="21"/>
  <c r="CW286" i="21"/>
  <c r="CO282" i="21"/>
  <c r="CO286" i="21"/>
  <c r="CG282" i="21"/>
  <c r="CG286" i="21"/>
  <c r="BD205" i="21"/>
  <c r="BD207" i="21"/>
  <c r="BD208" i="21" s="1"/>
  <c r="CL130" i="21"/>
  <c r="CV141" i="17" s="1"/>
  <c r="CV17" i="17"/>
  <c r="CM131" i="21"/>
  <c r="BA202" i="21"/>
  <c r="BR402" i="21"/>
  <c r="CB57" i="8"/>
  <c r="AF54" i="21"/>
  <c r="AF56" i="21"/>
  <c r="CL28" i="21"/>
  <c r="CI396" i="21"/>
  <c r="CH402" i="21"/>
  <c r="CR51" i="8"/>
  <c r="CE393" i="21"/>
  <c r="CD402" i="21"/>
  <c r="CN48" i="8"/>
  <c r="AG282" i="21"/>
  <c r="BG329" i="21"/>
  <c r="BF17" i="17"/>
  <c r="K107" i="21"/>
  <c r="BG405" i="21"/>
  <c r="BN442" i="21"/>
  <c r="BV389" i="21"/>
  <c r="BV390" i="21" s="1"/>
  <c r="CF44" i="8" s="1"/>
  <c r="CE43" i="8"/>
  <c r="BW384" i="21"/>
  <c r="CG38" i="8" s="1"/>
  <c r="CF38" i="8"/>
  <c r="CF168" i="7" s="1"/>
  <c r="CM34" i="8"/>
  <c r="CL402" i="21"/>
  <c r="CV48" i="8"/>
  <c r="CS405" i="21"/>
  <c r="DC34" i="8"/>
  <c r="BY444" i="21"/>
  <c r="BY445" i="21" s="1"/>
  <c r="BY443" i="21"/>
  <c r="BQ444" i="21"/>
  <c r="BQ445" i="21" s="1"/>
  <c r="BQ443" i="21"/>
  <c r="BN402" i="21"/>
  <c r="CQ384" i="21"/>
  <c r="DA38" i="8" s="1"/>
  <c r="CP390" i="21"/>
  <c r="CZ44" i="8" s="1"/>
  <c r="CZ38" i="8"/>
  <c r="CZ77" i="8" s="1"/>
  <c r="BW369" i="21"/>
  <c r="CF12" i="8"/>
  <c r="CC127" i="6" s="1"/>
  <c r="CC144" i="6" s="1"/>
  <c r="CK405" i="21"/>
  <c r="CU34" i="8"/>
  <c r="AO330" i="21"/>
  <c r="AO332" i="21"/>
  <c r="AO333" i="21" s="1"/>
  <c r="CQ286" i="21"/>
  <c r="BF381" i="21"/>
  <c r="AN205" i="21"/>
  <c r="AN207" i="21"/>
  <c r="AN208" i="21" s="1"/>
  <c r="AF205" i="21"/>
  <c r="AF207" i="21"/>
  <c r="AF208" i="21" s="1"/>
  <c r="CS30" i="21"/>
  <c r="CZ45" i="6"/>
  <c r="AN31" i="21"/>
  <c r="G30" i="21"/>
  <c r="G31" i="21" s="1"/>
  <c r="AN41" i="21"/>
  <c r="AN47" i="21"/>
  <c r="AN48" i="21" s="1"/>
  <c r="CT28" i="21"/>
  <c r="CT30" i="21" s="1"/>
  <c r="CP28" i="21"/>
  <c r="CW45" i="6" s="1"/>
  <c r="F35" i="19"/>
  <c r="F8" i="19"/>
  <c r="W112" i="13"/>
  <c r="BD93" i="17"/>
  <c r="BD96" i="17"/>
  <c r="BD83" i="17"/>
  <c r="BD85" i="17"/>
  <c r="BD95" i="17"/>
  <c r="BD92" i="17"/>
  <c r="BD91" i="17"/>
  <c r="BD88" i="17"/>
  <c r="BD90" i="17"/>
  <c r="BD87" i="17"/>
  <c r="BD84" i="17"/>
  <c r="BD86" i="17"/>
  <c r="U140" i="15"/>
  <c r="T142" i="15"/>
  <c r="CL99" i="15"/>
  <c r="CL101" i="15" s="1"/>
  <c r="CL97" i="15"/>
  <c r="BK118" i="15"/>
  <c r="BK119" i="15" s="1"/>
  <c r="BK91" i="15"/>
  <c r="BO91" i="15"/>
  <c r="BL90" i="15"/>
  <c r="BL118" i="15" s="1"/>
  <c r="BL119" i="15" s="1"/>
  <c r="BJ101" i="15"/>
  <c r="J130" i="14"/>
  <c r="CO99" i="15"/>
  <c r="CO101" i="15" s="1"/>
  <c r="CP100" i="15"/>
  <c r="L130" i="14"/>
  <c r="U96" i="15"/>
  <c r="V90" i="15"/>
  <c r="Q26" i="22" s="1"/>
  <c r="CI97" i="15"/>
  <c r="BP118" i="15"/>
  <c r="BP119" i="15" s="1"/>
  <c r="BQ90" i="15"/>
  <c r="BQ98" i="15" s="1"/>
  <c r="Q98" i="15"/>
  <c r="H48" i="14"/>
  <c r="BP98" i="15"/>
  <c r="BK98" i="15"/>
  <c r="BK101" i="15" s="1"/>
  <c r="Q92" i="15"/>
  <c r="BU47" i="15"/>
  <c r="BV44" i="15"/>
  <c r="BV47" i="15" s="1"/>
  <c r="I149" i="14"/>
  <c r="J149" i="14" s="1"/>
  <c r="I75" i="14"/>
  <c r="H62" i="14"/>
  <c r="H61" i="14"/>
  <c r="CW113" i="22"/>
  <c r="H118" i="14"/>
  <c r="H71" i="14"/>
  <c r="I72" i="14"/>
  <c r="I70" i="14"/>
  <c r="H70" i="14"/>
  <c r="H72" i="14"/>
  <c r="CQ87" i="14"/>
  <c r="N11" i="14"/>
  <c r="N12" i="14"/>
  <c r="I71" i="14"/>
  <c r="I11" i="14"/>
  <c r="I12" i="14"/>
  <c r="J12" i="14"/>
  <c r="CX85" i="14"/>
  <c r="CX87" i="14" s="1"/>
  <c r="CX68" i="14"/>
  <c r="CX67" i="14"/>
  <c r="J75" i="14"/>
  <c r="L75" i="14"/>
  <c r="N50" i="14"/>
  <c r="N55" i="14" s="1"/>
  <c r="N36" i="14"/>
  <c r="N17" i="14" s="1"/>
  <c r="O29" i="14"/>
  <c r="N16" i="14"/>
  <c r="CQ40" i="14"/>
  <c r="CQ39" i="14"/>
  <c r="DD38" i="14"/>
  <c r="CR86" i="14"/>
  <c r="CU87" i="14"/>
  <c r="CU86" i="14"/>
  <c r="N83" i="14"/>
  <c r="N66" i="14" s="1"/>
  <c r="O76" i="14"/>
  <c r="N65" i="14"/>
  <c r="E28" i="14"/>
  <c r="N23" i="14"/>
  <c r="N26" i="14" s="1"/>
  <c r="I25" i="14"/>
  <c r="M55" i="14"/>
  <c r="CC167" i="7"/>
  <c r="V54" i="7"/>
  <c r="BG330" i="21"/>
  <c r="BG332" i="21"/>
  <c r="BG333" i="21"/>
  <c r="CR34" i="8"/>
  <c r="BA52" i="21"/>
  <c r="BA56" i="21" s="1"/>
  <c r="BA47" i="21"/>
  <c r="DE12" i="8"/>
  <c r="DE73" i="8" s="1"/>
  <c r="DE48" i="8"/>
  <c r="CF73" i="8"/>
  <c r="CO48" i="8"/>
  <c r="CS51" i="8"/>
  <c r="CI402" i="21"/>
  <c r="CL30" i="21"/>
  <c r="CS45" i="6"/>
  <c r="CM130" i="21"/>
  <c r="CW141" i="17" s="1"/>
  <c r="CW17" i="17"/>
  <c r="CG48" i="8"/>
  <c r="CG12" i="8"/>
  <c r="CD127" i="6" s="1"/>
  <c r="CD144" i="6" s="1"/>
  <c r="DA52" i="8"/>
  <c r="DA78" i="8" s="1"/>
  <c r="BW389" i="21"/>
  <c r="CG43" i="8" s="1"/>
  <c r="CF43" i="8"/>
  <c r="CV34" i="8"/>
  <c r="CV65" i="8" s="1"/>
  <c r="CV168" i="7"/>
  <c r="AZ332" i="21"/>
  <c r="AZ333" i="21" s="1"/>
  <c r="AZ330" i="21"/>
  <c r="G30" i="19"/>
  <c r="BR90" i="15"/>
  <c r="BR98" i="15" s="1"/>
  <c r="BL91" i="15"/>
  <c r="CQ100" i="15"/>
  <c r="CP99" i="15"/>
  <c r="CP101" i="15" s="1"/>
  <c r="V98" i="15"/>
  <c r="N24" i="14"/>
  <c r="E20" i="5"/>
  <c r="J19" i="5" s="1"/>
  <c r="I5" i="5"/>
  <c r="J5" i="5" s="1"/>
  <c r="K5" i="5" s="1"/>
  <c r="L5" i="5" s="1"/>
  <c r="M5" i="5" s="1"/>
  <c r="N5" i="5" s="1"/>
  <c r="O5" i="5" s="1"/>
  <c r="P5" i="5" s="1"/>
  <c r="Q5" i="5" s="1"/>
  <c r="R5" i="5" s="1"/>
  <c r="S5" i="5" s="1"/>
  <c r="BD18" i="17"/>
  <c r="O2" i="1"/>
  <c r="P2" i="1" s="1"/>
  <c r="E3" i="1"/>
  <c r="F3" i="1"/>
  <c r="AH3" i="1"/>
  <c r="AI3" i="1"/>
  <c r="AJ3" i="1"/>
  <c r="AK3" i="1"/>
  <c r="AL3" i="1"/>
  <c r="AL4" i="1" s="1"/>
  <c r="AM3" i="1"/>
  <c r="AM4" i="1" s="1"/>
  <c r="AN3" i="1"/>
  <c r="AO3" i="1"/>
  <c r="AP3" i="1"/>
  <c r="AP4" i="1" s="1"/>
  <c r="AQ3" i="1"/>
  <c r="AQ4" i="1" s="1"/>
  <c r="AR3" i="1"/>
  <c r="AS3" i="1"/>
  <c r="AT3" i="1"/>
  <c r="AT4" i="1" s="1"/>
  <c r="AU3" i="1"/>
  <c r="AU4" i="1" s="1"/>
  <c r="AV3" i="1"/>
  <c r="AW3" i="1"/>
  <c r="AX3" i="1"/>
  <c r="AX4" i="1" s="1"/>
  <c r="AY3" i="1"/>
  <c r="AY4" i="1" s="1"/>
  <c r="AZ3" i="1"/>
  <c r="BA3" i="1"/>
  <c r="BB3" i="1"/>
  <c r="BB4" i="1" s="1"/>
  <c r="BC3" i="1"/>
  <c r="BC4" i="1" s="1"/>
  <c r="AN4" i="1"/>
  <c r="AO4" i="1"/>
  <c r="AR4" i="1"/>
  <c r="AS4" i="1"/>
  <c r="AV4" i="1"/>
  <c r="AW4" i="1"/>
  <c r="AZ4" i="1"/>
  <c r="BA4" i="1"/>
  <c r="AF10" i="1"/>
  <c r="BV10" i="1"/>
  <c r="BW10" i="1"/>
  <c r="BX10" i="1"/>
  <c r="BY10" i="1"/>
  <c r="BZ10" i="1"/>
  <c r="F11" i="1"/>
  <c r="G11" i="1"/>
  <c r="H11" i="1"/>
  <c r="I11" i="1"/>
  <c r="J11" i="1"/>
  <c r="K11" i="1"/>
  <c r="L11" i="1"/>
  <c r="M11" i="1"/>
  <c r="N11" i="1"/>
  <c r="O11" i="1"/>
  <c r="P11" i="1"/>
  <c r="Q11" i="1"/>
  <c r="R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N13" i="1"/>
  <c r="BO13" i="1"/>
  <c r="BP13" i="1"/>
  <c r="BQ13" i="1"/>
  <c r="AF14" i="1"/>
  <c r="BV14" i="1"/>
  <c r="BW14" i="1"/>
  <c r="BX14" i="1"/>
  <c r="BY14" i="1"/>
  <c r="BZ14" i="1"/>
  <c r="F15" i="1"/>
  <c r="G15" i="1"/>
  <c r="H15" i="1"/>
  <c r="I15" i="1"/>
  <c r="J15" i="1"/>
  <c r="K15" i="1"/>
  <c r="L15" i="1"/>
  <c r="M15" i="1"/>
  <c r="N15" i="1"/>
  <c r="O15" i="1"/>
  <c r="P15" i="1"/>
  <c r="Q15" i="1"/>
  <c r="R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N17" i="1"/>
  <c r="BO17" i="1"/>
  <c r="BP17" i="1"/>
  <c r="BQ17" i="1"/>
  <c r="J18" i="1"/>
  <c r="K19" i="1" s="1"/>
  <c r="AF18" i="1"/>
  <c r="BV18" i="1"/>
  <c r="BW18" i="1"/>
  <c r="BX18" i="1"/>
  <c r="BY18" i="1"/>
  <c r="BZ18" i="1"/>
  <c r="F19" i="1"/>
  <c r="G19" i="1"/>
  <c r="H19" i="1"/>
  <c r="I19" i="1"/>
  <c r="L19" i="1"/>
  <c r="M19" i="1"/>
  <c r="N19" i="1"/>
  <c r="O19" i="1"/>
  <c r="P19" i="1"/>
  <c r="Q19" i="1"/>
  <c r="R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T20" i="1"/>
  <c r="BU20" i="1"/>
  <c r="BN21" i="1"/>
  <c r="BO21" i="1"/>
  <c r="BP21" i="1"/>
  <c r="BQ21" i="1"/>
  <c r="AF22" i="1"/>
  <c r="BV22" i="1"/>
  <c r="BW22" i="1"/>
  <c r="BX22" i="1"/>
  <c r="BY22" i="1"/>
  <c r="BZ22" i="1"/>
  <c r="F23" i="1"/>
  <c r="G23" i="1"/>
  <c r="H23" i="1"/>
  <c r="I23" i="1"/>
  <c r="J23" i="1"/>
  <c r="K23" i="1"/>
  <c r="L23" i="1"/>
  <c r="M23" i="1"/>
  <c r="N23" i="1"/>
  <c r="O23" i="1"/>
  <c r="P23" i="1"/>
  <c r="Q23" i="1"/>
  <c r="R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N25" i="1"/>
  <c r="BO25" i="1"/>
  <c r="BP25" i="1"/>
  <c r="BQ25" i="1"/>
  <c r="AF26" i="1"/>
  <c r="BV26" i="1"/>
  <c r="BW26" i="1"/>
  <c r="BX26" i="1"/>
  <c r="BY26" i="1"/>
  <c r="BZ26" i="1"/>
  <c r="F27" i="1"/>
  <c r="G27" i="1"/>
  <c r="H27" i="1"/>
  <c r="I27" i="1"/>
  <c r="J27" i="1"/>
  <c r="K27" i="1"/>
  <c r="L27" i="1"/>
  <c r="M27" i="1"/>
  <c r="N27" i="1"/>
  <c r="O27" i="1"/>
  <c r="P27" i="1"/>
  <c r="Q27" i="1"/>
  <c r="R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N28" i="1"/>
  <c r="BO28" i="1"/>
  <c r="BP28" i="1"/>
  <c r="BQ28" i="1"/>
  <c r="E29" i="1"/>
  <c r="E13" i="1"/>
  <c r="F29" i="1"/>
  <c r="G29" i="1"/>
  <c r="G28" i="1" s="1"/>
  <c r="H29" i="1"/>
  <c r="I29" i="1"/>
  <c r="I28" i="1"/>
  <c r="K29" i="1"/>
  <c r="L29" i="1"/>
  <c r="M29" i="1"/>
  <c r="M28" i="1"/>
  <c r="N29" i="1"/>
  <c r="O29" i="1"/>
  <c r="P29" i="1"/>
  <c r="Q29" i="1"/>
  <c r="R29" i="1"/>
  <c r="R56" i="1"/>
  <c r="AH29" i="1"/>
  <c r="AI29" i="1"/>
  <c r="AJ29" i="1"/>
  <c r="AK29" i="1"/>
  <c r="AK28" i="1"/>
  <c r="AL29" i="1"/>
  <c r="AL30" i="1" s="1"/>
  <c r="AM29" i="1"/>
  <c r="AN29" i="1"/>
  <c r="AO29" i="1"/>
  <c r="AP29" i="1"/>
  <c r="AP28" i="1" s="1"/>
  <c r="AQ29" i="1"/>
  <c r="AR29" i="1"/>
  <c r="AS29" i="1"/>
  <c r="AT29" i="1"/>
  <c r="AT28" i="1" s="1"/>
  <c r="AU29" i="1"/>
  <c r="AV29" i="1"/>
  <c r="AW29" i="1"/>
  <c r="AW28" i="1" s="1"/>
  <c r="AX29" i="1"/>
  <c r="AY29" i="1"/>
  <c r="AZ29" i="1"/>
  <c r="BA29" i="1"/>
  <c r="BA31" i="1" s="1"/>
  <c r="BA28" i="1"/>
  <c r="BB29" i="1"/>
  <c r="BB28" i="1" s="1"/>
  <c r="BC29" i="1"/>
  <c r="BD29" i="1"/>
  <c r="BE29" i="1"/>
  <c r="BE64" i="1" s="1"/>
  <c r="BF29" i="1"/>
  <c r="BF28" i="1" s="1"/>
  <c r="BG29" i="1"/>
  <c r="BH29" i="1"/>
  <c r="BH32" i="1" s="1"/>
  <c r="BI29" i="1"/>
  <c r="BI30" i="1" s="1"/>
  <c r="BJ29" i="1"/>
  <c r="BK29" i="1"/>
  <c r="BK28" i="1"/>
  <c r="BL29" i="1"/>
  <c r="BP33" i="1" s="1"/>
  <c r="BM29" i="1"/>
  <c r="BR29" i="1"/>
  <c r="BZ29" i="1" s="1"/>
  <c r="BS29" i="1"/>
  <c r="BT29" i="1"/>
  <c r="BT30" i="1" s="1"/>
  <c r="BU29" i="1"/>
  <c r="BU30" i="1" s="1"/>
  <c r="BW29" i="1"/>
  <c r="F30" i="1"/>
  <c r="G30" i="1"/>
  <c r="O30" i="1"/>
  <c r="AP30" i="1"/>
  <c r="AT30" i="1"/>
  <c r="AX30" i="1"/>
  <c r="BA30" i="1"/>
  <c r="BF30" i="1"/>
  <c r="BB31" i="1"/>
  <c r="BF31" i="1"/>
  <c r="BO31" i="1"/>
  <c r="BP31" i="1"/>
  <c r="BQ31" i="1"/>
  <c r="G32" i="1"/>
  <c r="BB32" i="1"/>
  <c r="BO32" i="1"/>
  <c r="BP32" i="1"/>
  <c r="BQ32" i="1"/>
  <c r="BR32" i="1"/>
  <c r="BH33" i="1"/>
  <c r="BU33" i="1"/>
  <c r="J36" i="1"/>
  <c r="K36" i="1"/>
  <c r="L36" i="1"/>
  <c r="M37" i="1" s="1"/>
  <c r="BV36" i="1"/>
  <c r="BW36" i="1"/>
  <c r="BX36" i="1"/>
  <c r="BY36" i="1"/>
  <c r="BZ36" i="1"/>
  <c r="N37" i="1"/>
  <c r="O37" i="1"/>
  <c r="P37" i="1"/>
  <c r="Q37" i="1"/>
  <c r="R37" i="1"/>
  <c r="BF37" i="1"/>
  <c r="BG37" i="1"/>
  <c r="BH37" i="1"/>
  <c r="BI37" i="1"/>
  <c r="BJ37" i="1"/>
  <c r="BK37" i="1"/>
  <c r="BL37" i="1"/>
  <c r="BM37" i="1"/>
  <c r="BN37" i="1"/>
  <c r="BO37" i="1"/>
  <c r="BP37" i="1"/>
  <c r="BQ37" i="1"/>
  <c r="BR37" i="1"/>
  <c r="BS37" i="1"/>
  <c r="BT37" i="1"/>
  <c r="BU37" i="1"/>
  <c r="O38" i="1"/>
  <c r="P38" i="1"/>
  <c r="BB38" i="1"/>
  <c r="BF38" i="1"/>
  <c r="BI38" i="1"/>
  <c r="BN38" i="1"/>
  <c r="BO38" i="1"/>
  <c r="BP38" i="1"/>
  <c r="BQ38" i="1"/>
  <c r="BR38" i="1"/>
  <c r="BU38" i="1"/>
  <c r="J39" i="1"/>
  <c r="K39" i="1"/>
  <c r="L39" i="1"/>
  <c r="M40" i="1" s="1"/>
  <c r="BV39" i="1"/>
  <c r="BW39" i="1"/>
  <c r="BX39" i="1"/>
  <c r="BY39" i="1"/>
  <c r="BZ39" i="1"/>
  <c r="N40" i="1"/>
  <c r="O40" i="1"/>
  <c r="P40" i="1"/>
  <c r="Q40" i="1"/>
  <c r="R40" i="1"/>
  <c r="BF40" i="1"/>
  <c r="BG40" i="1"/>
  <c r="BH40" i="1"/>
  <c r="BI40" i="1"/>
  <c r="BJ40" i="1"/>
  <c r="BK40" i="1"/>
  <c r="BL40" i="1"/>
  <c r="BM40" i="1"/>
  <c r="BN40" i="1"/>
  <c r="BO40" i="1"/>
  <c r="BP40" i="1"/>
  <c r="BQ40" i="1"/>
  <c r="BR40" i="1"/>
  <c r="BS40" i="1"/>
  <c r="BT40" i="1"/>
  <c r="BU40" i="1"/>
  <c r="N41" i="1"/>
  <c r="O41" i="1"/>
  <c r="BB41" i="1"/>
  <c r="BF41" i="1"/>
  <c r="BH41" i="1"/>
  <c r="BI41" i="1"/>
  <c r="BM41" i="1"/>
  <c r="BN41" i="1"/>
  <c r="BO41" i="1"/>
  <c r="BP41" i="1"/>
  <c r="BQ41" i="1"/>
  <c r="BR41" i="1"/>
  <c r="BT41" i="1"/>
  <c r="BU41" i="1"/>
  <c r="G42" i="1"/>
  <c r="H42" i="1"/>
  <c r="I42" i="1"/>
  <c r="BV42" i="1" s="1"/>
  <c r="J42" i="1"/>
  <c r="K42" i="1"/>
  <c r="L42" i="1"/>
  <c r="AF42" i="1"/>
  <c r="BW42" i="1"/>
  <c r="BZ42" i="1"/>
  <c r="F43" i="1"/>
  <c r="N43" i="1"/>
  <c r="O43" i="1"/>
  <c r="P43" i="1"/>
  <c r="Q43" i="1"/>
  <c r="R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F44" i="1"/>
  <c r="O44" i="1"/>
  <c r="R44" i="1"/>
  <c r="AH44" i="1"/>
  <c r="AK44" i="1"/>
  <c r="AL44" i="1"/>
  <c r="AN44" i="1"/>
  <c r="AP44" i="1"/>
  <c r="AT44" i="1"/>
  <c r="AV44" i="1"/>
  <c r="AW44" i="1"/>
  <c r="AZ44" i="1"/>
  <c r="BA44" i="1"/>
  <c r="BB44" i="1"/>
  <c r="BF44" i="1"/>
  <c r="BH44" i="1"/>
  <c r="BI44" i="1"/>
  <c r="BM44" i="1"/>
  <c r="BN44" i="1"/>
  <c r="BO44" i="1"/>
  <c r="BP44" i="1"/>
  <c r="BQ44" i="1"/>
  <c r="BR44" i="1"/>
  <c r="BT44" i="1"/>
  <c r="BU44" i="1"/>
  <c r="G45" i="1"/>
  <c r="H45" i="1"/>
  <c r="I45" i="1"/>
  <c r="BV45" i="1" s="1"/>
  <c r="J45" i="1"/>
  <c r="K45" i="1"/>
  <c r="L45" i="1"/>
  <c r="L47" i="1" s="1"/>
  <c r="AF45" i="1"/>
  <c r="BW45" i="1"/>
  <c r="BZ45" i="1"/>
  <c r="F46" i="1"/>
  <c r="N46" i="1"/>
  <c r="O46" i="1"/>
  <c r="P46" i="1"/>
  <c r="Q46" i="1"/>
  <c r="R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F47" i="1"/>
  <c r="O47" i="1"/>
  <c r="R47" i="1"/>
  <c r="AH47" i="1"/>
  <c r="AI47" i="1"/>
  <c r="AK47" i="1"/>
  <c r="AL47" i="1"/>
  <c r="AN47" i="1"/>
  <c r="AP47" i="1"/>
  <c r="AQ47" i="1"/>
  <c r="AS47" i="1"/>
  <c r="AT47" i="1"/>
  <c r="AV47" i="1"/>
  <c r="AW47" i="1"/>
  <c r="AY47" i="1"/>
  <c r="AZ47" i="1"/>
  <c r="BA47" i="1"/>
  <c r="BB47" i="1"/>
  <c r="BC47" i="1"/>
  <c r="BF47" i="1"/>
  <c r="BI47" i="1"/>
  <c r="BK47" i="1"/>
  <c r="BM47" i="1"/>
  <c r="BN47" i="1"/>
  <c r="BO47" i="1"/>
  <c r="BP47" i="1"/>
  <c r="BQ47" i="1"/>
  <c r="BR47" i="1"/>
  <c r="BT47" i="1"/>
  <c r="BU47" i="1"/>
  <c r="BV48" i="1"/>
  <c r="BW48" i="1"/>
  <c r="BY48" i="1"/>
  <c r="BZ48" i="1"/>
  <c r="BV49" i="1"/>
  <c r="BW49" i="1"/>
  <c r="BY49" i="1"/>
  <c r="BZ49" i="1"/>
  <c r="E50" i="1"/>
  <c r="F50" i="1"/>
  <c r="M50" i="1"/>
  <c r="BW50" i="1" s="1"/>
  <c r="N50" i="1"/>
  <c r="O50" i="1"/>
  <c r="P50" i="1"/>
  <c r="P52" i="1" s="1"/>
  <c r="Q50" i="1"/>
  <c r="R50" i="1"/>
  <c r="AH50" i="1"/>
  <c r="AH52" i="1" s="1"/>
  <c r="AI50" i="1"/>
  <c r="AJ50" i="1"/>
  <c r="AK50" i="1"/>
  <c r="AK52" i="1" s="1"/>
  <c r="AL50" i="1"/>
  <c r="AL52" i="1" s="1"/>
  <c r="AL51" i="1"/>
  <c r="AM50" i="1"/>
  <c r="AN50" i="1"/>
  <c r="AO50" i="1"/>
  <c r="AO52" i="1"/>
  <c r="AP50" i="1"/>
  <c r="AQ50" i="1"/>
  <c r="AR50" i="1"/>
  <c r="AS50" i="1"/>
  <c r="AT50" i="1"/>
  <c r="AU50" i="1"/>
  <c r="AU52" i="1" s="1"/>
  <c r="AV50" i="1"/>
  <c r="AV51" i="1"/>
  <c r="AW50" i="1"/>
  <c r="AX50" i="1"/>
  <c r="AX51" i="1" s="1"/>
  <c r="AY50" i="1"/>
  <c r="AZ50" i="1"/>
  <c r="AZ51" i="1"/>
  <c r="BA50" i="1"/>
  <c r="BA53" i="1"/>
  <c r="BA55" i="1" s="1"/>
  <c r="BB50" i="1"/>
  <c r="BC50" i="1"/>
  <c r="BD50" i="1"/>
  <c r="BE50" i="1"/>
  <c r="BE52" i="1" s="1"/>
  <c r="BF50" i="1"/>
  <c r="BG50" i="1"/>
  <c r="BH50" i="1"/>
  <c r="BH52" i="1" s="1"/>
  <c r="BI50" i="1"/>
  <c r="BJ50" i="1"/>
  <c r="BJ52" i="1" s="1"/>
  <c r="BK50" i="1"/>
  <c r="BL50" i="1"/>
  <c r="BL51" i="1" s="1"/>
  <c r="BM50" i="1"/>
  <c r="BN50" i="1"/>
  <c r="BN53" i="1" s="1"/>
  <c r="BO50" i="1"/>
  <c r="BS51" i="1" s="1"/>
  <c r="BP50" i="1"/>
  <c r="BQ50" i="1"/>
  <c r="BQ52" i="1" s="1"/>
  <c r="BR50" i="1"/>
  <c r="BR53" i="1" s="1"/>
  <c r="BR51" i="1"/>
  <c r="BS50" i="1"/>
  <c r="BT50" i="1"/>
  <c r="BU50" i="1"/>
  <c r="BU53" i="1"/>
  <c r="O51" i="1"/>
  <c r="Q51" i="1"/>
  <c r="AP51" i="1"/>
  <c r="BN51" i="1"/>
  <c r="M52" i="1"/>
  <c r="Q52" i="1"/>
  <c r="AP52" i="1"/>
  <c r="AV52" i="1"/>
  <c r="AZ52" i="1"/>
  <c r="BA52" i="1"/>
  <c r="BF52" i="1"/>
  <c r="BI52" i="1"/>
  <c r="BN52" i="1"/>
  <c r="BR52" i="1"/>
  <c r="BU52" i="1"/>
  <c r="AH53" i="1"/>
  <c r="AH55" i="1" s="1"/>
  <c r="AL53" i="1"/>
  <c r="AP53" i="1"/>
  <c r="AP55" i="1" s="1"/>
  <c r="AW53" i="1"/>
  <c r="BB53" i="1"/>
  <c r="BB55" i="1" s="1"/>
  <c r="BI53" i="1"/>
  <c r="BI55" i="1" s="1"/>
  <c r="BQ53" i="1"/>
  <c r="AL55" i="1"/>
  <c r="BR55" i="1"/>
  <c r="N56" i="1"/>
  <c r="O57" i="1"/>
  <c r="O56" i="1"/>
  <c r="O58" i="1"/>
  <c r="AL56" i="1"/>
  <c r="AP56" i="1"/>
  <c r="BD56" i="1"/>
  <c r="BD58" i="1" s="1"/>
  <c r="BF56" i="1"/>
  <c r="BF58" i="1"/>
  <c r="BI56" i="1"/>
  <c r="BI58" i="1" s="1"/>
  <c r="BL56" i="1"/>
  <c r="BN56" i="1"/>
  <c r="BO56" i="1"/>
  <c r="BP56" i="1"/>
  <c r="BP58" i="1" s="1"/>
  <c r="BQ56" i="1"/>
  <c r="BR56" i="1"/>
  <c r="BR58" i="1" s="1"/>
  <c r="BT56" i="1"/>
  <c r="BU56" i="1"/>
  <c r="BU57" i="1" s="1"/>
  <c r="BQ58" i="1"/>
  <c r="J60" i="1"/>
  <c r="K60" i="1"/>
  <c r="L60" i="1"/>
  <c r="BY60" i="1" s="1"/>
  <c r="M60" i="1"/>
  <c r="BX60" i="1"/>
  <c r="BZ60" i="1"/>
  <c r="G62" i="1"/>
  <c r="G63" i="1" s="1"/>
  <c r="H62" i="1"/>
  <c r="I62" i="1"/>
  <c r="BV62" i="1" s="1"/>
  <c r="J62" i="1"/>
  <c r="K62" i="1"/>
  <c r="BX62" i="1" s="1"/>
  <c r="L62" i="1"/>
  <c r="M62" i="1"/>
  <c r="BW62" i="1"/>
  <c r="N62" i="1"/>
  <c r="BZ62" i="1" s="1"/>
  <c r="F63" i="1"/>
  <c r="M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F64" i="1"/>
  <c r="G64" i="1"/>
  <c r="AH64" i="1"/>
  <c r="AK64" i="1"/>
  <c r="AL64" i="1"/>
  <c r="AN64" i="1"/>
  <c r="AO64" i="1"/>
  <c r="AP64" i="1"/>
  <c r="AS64" i="1"/>
  <c r="AT64" i="1"/>
  <c r="AV64" i="1"/>
  <c r="AW64" i="1"/>
  <c r="AX64" i="1"/>
  <c r="AZ64" i="1"/>
  <c r="BA64" i="1"/>
  <c r="BB64" i="1"/>
  <c r="BD64" i="1"/>
  <c r="BF64" i="1"/>
  <c r="BI64" i="1"/>
  <c r="BL64" i="1"/>
  <c r="BN64" i="1"/>
  <c r="BO64" i="1"/>
  <c r="BP64" i="1"/>
  <c r="BQ64" i="1"/>
  <c r="BR64" i="1"/>
  <c r="BT64" i="1"/>
  <c r="BU64" i="1"/>
  <c r="G65" i="1"/>
  <c r="H65" i="1"/>
  <c r="H66" i="1" s="1"/>
  <c r="I65" i="1"/>
  <c r="J65" i="1"/>
  <c r="J68" i="1" s="1"/>
  <c r="K65" i="1"/>
  <c r="L65" i="1"/>
  <c r="BR65" i="1"/>
  <c r="BS65" i="1"/>
  <c r="BS69" i="1" s="1"/>
  <c r="BT65" i="1"/>
  <c r="BT66" i="1" s="1"/>
  <c r="BU65" i="1"/>
  <c r="BU69" i="1" s="1"/>
  <c r="E66" i="1"/>
  <c r="F66" i="1"/>
  <c r="AH66" i="1"/>
  <c r="AJ66" i="1"/>
  <c r="AK66" i="1"/>
  <c r="AL66" i="1"/>
  <c r="AN66" i="1"/>
  <c r="AO66" i="1"/>
  <c r="AP66" i="1"/>
  <c r="AT66" i="1"/>
  <c r="AV66" i="1"/>
  <c r="AW66" i="1"/>
  <c r="AZ66" i="1"/>
  <c r="BA66" i="1"/>
  <c r="BB66" i="1"/>
  <c r="BF66" i="1"/>
  <c r="BI66" i="1"/>
  <c r="BN66" i="1"/>
  <c r="BO66" i="1"/>
  <c r="BP66" i="1"/>
  <c r="BQ66" i="1"/>
  <c r="BR66" i="1"/>
  <c r="M67" i="1"/>
  <c r="N67" i="1"/>
  <c r="BY67" i="1"/>
  <c r="H68" i="1"/>
  <c r="N68" i="1"/>
  <c r="BB68" i="1"/>
  <c r="BC68" i="1"/>
  <c r="BD68" i="1"/>
  <c r="BE68" i="1"/>
  <c r="BF68" i="1"/>
  <c r="BG68" i="1"/>
  <c r="BH68" i="1"/>
  <c r="BI68" i="1"/>
  <c r="BJ68" i="1"/>
  <c r="BK68" i="1"/>
  <c r="BL68" i="1"/>
  <c r="BM68" i="1"/>
  <c r="BN68" i="1"/>
  <c r="M68" i="1" s="1"/>
  <c r="BO68" i="1"/>
  <c r="BP68" i="1"/>
  <c r="BQ68" i="1"/>
  <c r="F69" i="1"/>
  <c r="G69" i="1"/>
  <c r="Q69" i="1"/>
  <c r="R69" i="1" s="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K70" i="1"/>
  <c r="BX70" i="1" s="1"/>
  <c r="K71" i="1"/>
  <c r="L70" i="1"/>
  <c r="BY70" i="1"/>
  <c r="M70" i="1"/>
  <c r="AF70" i="1" s="1"/>
  <c r="N70" i="1"/>
  <c r="O71" i="1" s="1"/>
  <c r="BV70" i="1"/>
  <c r="BW70" i="1"/>
  <c r="F71" i="1"/>
  <c r="G71" i="1"/>
  <c r="H71" i="1"/>
  <c r="I71" i="1"/>
  <c r="J71" i="1"/>
  <c r="M71" i="1"/>
  <c r="P71" i="1"/>
  <c r="Q71" i="1"/>
  <c r="R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F72" i="1"/>
  <c r="G72" i="1"/>
  <c r="O72" i="1"/>
  <c r="R72" i="1"/>
  <c r="AH72" i="1"/>
  <c r="AK72" i="1"/>
  <c r="AL72" i="1"/>
  <c r="AN72" i="1"/>
  <c r="AP72" i="1"/>
  <c r="AR72" i="1"/>
  <c r="AT72" i="1"/>
  <c r="AV72" i="1"/>
  <c r="AW72" i="1"/>
  <c r="AZ72" i="1"/>
  <c r="BA72" i="1"/>
  <c r="BB72" i="1"/>
  <c r="BF72" i="1"/>
  <c r="BI72" i="1"/>
  <c r="BM72" i="1"/>
  <c r="BN72" i="1"/>
  <c r="BO72" i="1"/>
  <c r="BP72" i="1"/>
  <c r="BQ72" i="1"/>
  <c r="BR72" i="1"/>
  <c r="BT72" i="1"/>
  <c r="BU72" i="1"/>
  <c r="G73" i="1"/>
  <c r="H73" i="1"/>
  <c r="I73" i="1"/>
  <c r="BV73" i="1" s="1"/>
  <c r="J73" i="1"/>
  <c r="K73" i="1"/>
  <c r="L73" i="1"/>
  <c r="AF73" i="1"/>
  <c r="BW73" i="1"/>
  <c r="BZ73" i="1"/>
  <c r="F74" i="1"/>
  <c r="N74" i="1"/>
  <c r="O74" i="1"/>
  <c r="P74" i="1"/>
  <c r="Q74" i="1"/>
  <c r="R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F75" i="1"/>
  <c r="O75" i="1"/>
  <c r="AH75" i="1"/>
  <c r="AI75" i="1"/>
  <c r="AK75" i="1"/>
  <c r="AL75" i="1"/>
  <c r="AN75" i="1"/>
  <c r="AP75" i="1"/>
  <c r="AQ75" i="1"/>
  <c r="AT75" i="1"/>
  <c r="AV75" i="1"/>
  <c r="AW75" i="1"/>
  <c r="AY75" i="1"/>
  <c r="AZ75" i="1"/>
  <c r="BA75" i="1"/>
  <c r="BB75" i="1"/>
  <c r="BC75" i="1"/>
  <c r="BD75" i="1"/>
  <c r="BE75" i="1"/>
  <c r="BF75" i="1"/>
  <c r="BI75" i="1"/>
  <c r="BK75" i="1"/>
  <c r="BN75" i="1"/>
  <c r="BO75" i="1"/>
  <c r="BP75" i="1"/>
  <c r="BQ75" i="1"/>
  <c r="BR75" i="1"/>
  <c r="BT75" i="1"/>
  <c r="BU75" i="1"/>
  <c r="AH76" i="1"/>
  <c r="AL76" i="1"/>
  <c r="AP76" i="1"/>
  <c r="BB76" i="1"/>
  <c r="BB87" i="1" s="1"/>
  <c r="BB91" i="1" s="1"/>
  <c r="BB92" i="1" s="1"/>
  <c r="G79" i="1"/>
  <c r="H79" i="1"/>
  <c r="I79" i="1"/>
  <c r="BV79" i="1" s="1"/>
  <c r="J79" i="1"/>
  <c r="K79" i="1"/>
  <c r="L79" i="1"/>
  <c r="BY79" i="1"/>
  <c r="F80" i="1"/>
  <c r="L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AP81" i="1"/>
  <c r="AT81" i="1"/>
  <c r="BS81" i="1"/>
  <c r="BT81" i="1" s="1"/>
  <c r="M82" i="1"/>
  <c r="BN82" i="1"/>
  <c r="N82" i="1"/>
  <c r="O82" i="1" s="1"/>
  <c r="P82" i="1" s="1"/>
  <c r="Q82" i="1" s="1"/>
  <c r="R82" i="1" s="1"/>
  <c r="BB82" i="1"/>
  <c r="BC82" i="1"/>
  <c r="BD82" i="1" s="1"/>
  <c r="BE82" i="1" s="1"/>
  <c r="BF82" i="1"/>
  <c r="BG82" i="1" s="1"/>
  <c r="BH82" i="1" s="1"/>
  <c r="BI82" i="1" s="1"/>
  <c r="BJ82" i="1"/>
  <c r="BK82" i="1"/>
  <c r="BL82" i="1" s="1"/>
  <c r="BM82" i="1" s="1"/>
  <c r="J85" i="1"/>
  <c r="K85" i="1"/>
  <c r="L85" i="1"/>
  <c r="BY85" i="1" s="1"/>
  <c r="M85" i="1"/>
  <c r="BX85" i="1"/>
  <c r="BZ85" i="1"/>
  <c r="BN86" i="1"/>
  <c r="AH87" i="1"/>
  <c r="AH89" i="1" s="1"/>
  <c r="G94" i="1"/>
  <c r="H94" i="1"/>
  <c r="J94" i="1"/>
  <c r="J3" i="1" s="1"/>
  <c r="F95" i="1"/>
  <c r="AL95" i="1"/>
  <c r="AM95" i="1"/>
  <c r="AN95" i="1"/>
  <c r="AO95" i="1"/>
  <c r="AP95" i="1"/>
  <c r="AQ95" i="1"/>
  <c r="AR95" i="1"/>
  <c r="AS95" i="1"/>
  <c r="AT95" i="1"/>
  <c r="AU95" i="1"/>
  <c r="AV95" i="1"/>
  <c r="AW95" i="1"/>
  <c r="AX95" i="1"/>
  <c r="AY95" i="1"/>
  <c r="AZ95" i="1"/>
  <c r="BA95" i="1"/>
  <c r="BB95" i="1"/>
  <c r="BC95" i="1"/>
  <c r="J97" i="1"/>
  <c r="K97" i="1"/>
  <c r="L97" i="1"/>
  <c r="M97" i="1"/>
  <c r="N97" i="1" s="1"/>
  <c r="O97" i="1" s="1"/>
  <c r="P97" i="1" s="1"/>
  <c r="Q97" i="1" s="1"/>
  <c r="R97" i="1" s="1"/>
  <c r="BR97" i="1"/>
  <c r="BS97" i="1"/>
  <c r="BT97" i="1" s="1"/>
  <c r="BU97" i="1" s="1"/>
  <c r="E99" i="1"/>
  <c r="L99" i="1"/>
  <c r="M99" i="1"/>
  <c r="M101" i="1" s="1"/>
  <c r="N99" i="1" s="1"/>
  <c r="AL100" i="1"/>
  <c r="AM100" i="1"/>
  <c r="AN100" i="1"/>
  <c r="AO100" i="1"/>
  <c r="AP100" i="1"/>
  <c r="AQ100" i="1"/>
  <c r="AR100" i="1"/>
  <c r="AS100" i="1"/>
  <c r="AT100" i="1"/>
  <c r="AU100" i="1"/>
  <c r="AV100" i="1"/>
  <c r="AW100" i="1"/>
  <c r="AX100" i="1"/>
  <c r="AY100" i="1"/>
  <c r="AY106" i="1"/>
  <c r="AZ100" i="1"/>
  <c r="AZ106" i="1" s="1"/>
  <c r="BA100" i="1"/>
  <c r="BB100" i="1"/>
  <c r="BB106" i="1" s="1"/>
  <c r="BC100" i="1"/>
  <c r="BC106" i="1" s="1"/>
  <c r="BD100" i="1"/>
  <c r="BD106" i="1" s="1"/>
  <c r="BE100" i="1"/>
  <c r="BE106" i="1"/>
  <c r="BF100" i="1"/>
  <c r="BF106" i="1" s="1"/>
  <c r="BG100" i="1"/>
  <c r="BG106" i="1" s="1"/>
  <c r="BH100" i="1"/>
  <c r="BH106" i="1" s="1"/>
  <c r="BI100" i="1"/>
  <c r="BI106" i="1" s="1"/>
  <c r="BJ100" i="1"/>
  <c r="BJ106" i="1" s="1"/>
  <c r="BK100" i="1"/>
  <c r="BL100" i="1"/>
  <c r="BL106" i="1" s="1"/>
  <c r="BM100" i="1"/>
  <c r="BM106" i="1" s="1"/>
  <c r="BN100" i="1"/>
  <c r="BO100" i="1"/>
  <c r="BO106" i="1"/>
  <c r="BP100" i="1"/>
  <c r="BP106" i="1" s="1"/>
  <c r="BQ100" i="1"/>
  <c r="BQ106" i="1" s="1"/>
  <c r="F101" i="1"/>
  <c r="G101" i="1"/>
  <c r="H101" i="1"/>
  <c r="I101" i="1"/>
  <c r="J101" i="1"/>
  <c r="K101" i="1"/>
  <c r="BV104" i="1"/>
  <c r="H105" i="1"/>
  <c r="H106" i="1" s="1"/>
  <c r="I105" i="1"/>
  <c r="J105" i="1"/>
  <c r="K105" i="1"/>
  <c r="K108" i="1" s="1"/>
  <c r="L105" i="1"/>
  <c r="M105" i="1"/>
  <c r="BW105" i="1" s="1"/>
  <c r="BR105" i="1"/>
  <c r="BR108" i="1" s="1"/>
  <c r="AT106" i="1"/>
  <c r="AU106" i="1"/>
  <c r="AV106" i="1"/>
  <c r="AW106" i="1"/>
  <c r="AX106" i="1"/>
  <c r="BA106" i="1"/>
  <c r="BK106" i="1"/>
  <c r="BN106"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F108" i="1"/>
  <c r="F99" i="1" s="1"/>
  <c r="F100" i="1" s="1"/>
  <c r="G108" i="1"/>
  <c r="G99" i="1" s="1"/>
  <c r="M108" i="1"/>
  <c r="AI108" i="1"/>
  <c r="AI109" i="1" s="1"/>
  <c r="AJ108" i="1"/>
  <c r="AK108" i="1"/>
  <c r="AK109" i="1" s="1"/>
  <c r="AL108" i="1"/>
  <c r="AL109" i="1" s="1"/>
  <c r="AM108" i="1"/>
  <c r="AM109" i="1"/>
  <c r="AN108" i="1"/>
  <c r="AN109" i="1" s="1"/>
  <c r="AO108" i="1"/>
  <c r="AP108" i="1"/>
  <c r="AP109" i="1" s="1"/>
  <c r="AQ108" i="1"/>
  <c r="AQ109" i="1" s="1"/>
  <c r="AR108" i="1"/>
  <c r="AR109" i="1" s="1"/>
  <c r="AS108" i="1"/>
  <c r="AS109" i="1"/>
  <c r="AT108" i="1"/>
  <c r="AU108" i="1"/>
  <c r="AU109" i="1" s="1"/>
  <c r="AV108" i="1"/>
  <c r="AV109" i="1" s="1"/>
  <c r="AW108" i="1"/>
  <c r="AW109" i="1" s="1"/>
  <c r="AX108" i="1"/>
  <c r="AX109" i="1" s="1"/>
  <c r="AY108" i="1"/>
  <c r="AY109" i="1"/>
  <c r="AZ108" i="1"/>
  <c r="AZ109" i="1" s="1"/>
  <c r="BA108" i="1"/>
  <c r="BA109" i="1" s="1"/>
  <c r="BB108" i="1"/>
  <c r="BB109" i="1" s="1"/>
  <c r="BC108" i="1"/>
  <c r="BC109" i="1"/>
  <c r="BD108" i="1"/>
  <c r="BD109" i="1" s="1"/>
  <c r="BE108" i="1"/>
  <c r="BF108" i="1"/>
  <c r="BF109" i="1" s="1"/>
  <c r="BG108" i="1"/>
  <c r="BG109" i="1" s="1"/>
  <c r="BH108" i="1"/>
  <c r="BH109" i="1" s="1"/>
  <c r="BI108" i="1"/>
  <c r="BI109" i="1"/>
  <c r="BJ108" i="1"/>
  <c r="BK108" i="1"/>
  <c r="BK109" i="1" s="1"/>
  <c r="BL108" i="1"/>
  <c r="BM108" i="1"/>
  <c r="BM109" i="1" s="1"/>
  <c r="BN108" i="1"/>
  <c r="BN109" i="1" s="1"/>
  <c r="BO108" i="1"/>
  <c r="BO109" i="1"/>
  <c r="BP108" i="1"/>
  <c r="BP109" i="1" s="1"/>
  <c r="BQ108" i="1"/>
  <c r="BQ109" i="1" s="1"/>
  <c r="BR109" i="1" s="1"/>
  <c r="AJ109" i="1"/>
  <c r="AO109" i="1"/>
  <c r="AT109" i="1"/>
  <c r="BE109" i="1"/>
  <c r="BJ109" i="1"/>
  <c r="L109" i="1" s="1"/>
  <c r="BL109" i="1"/>
  <c r="F110" i="1"/>
  <c r="G110" i="1"/>
  <c r="H110" i="1"/>
  <c r="I110" i="1"/>
  <c r="J110" i="1"/>
  <c r="K110" i="1"/>
  <c r="G115" i="1"/>
  <c r="AP115" i="1" s="1"/>
  <c r="M115" i="1"/>
  <c r="AT115" i="1"/>
  <c r="AT118" i="1" s="1"/>
  <c r="AX115" i="1"/>
  <c r="AX116" i="1"/>
  <c r="BB118" i="1"/>
  <c r="BB115" i="1" s="1"/>
  <c r="BB116" i="1" s="1"/>
  <c r="BC118" i="1"/>
  <c r="BC115" i="1" s="1"/>
  <c r="BC116" i="1" s="1"/>
  <c r="BD118" i="1"/>
  <c r="H116" i="1"/>
  <c r="AT116" i="1"/>
  <c r="AL117" i="1"/>
  <c r="AM117" i="1"/>
  <c r="AN117" i="1"/>
  <c r="AO117" i="1"/>
  <c r="AY118" i="1"/>
  <c r="AZ118" i="1" s="1"/>
  <c r="BF118" i="1"/>
  <c r="BJ118" i="1"/>
  <c r="G124" i="1"/>
  <c r="H124" i="1"/>
  <c r="H130" i="1" s="1"/>
  <c r="I124" i="1"/>
  <c r="J124" i="1"/>
  <c r="J125" i="1"/>
  <c r="K124" i="1"/>
  <c r="K126" i="1" s="1"/>
  <c r="L124" i="1"/>
  <c r="M124" i="1"/>
  <c r="BR124" i="1"/>
  <c r="K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M126" i="1"/>
  <c r="AP126" i="1"/>
  <c r="AQ126" i="1"/>
  <c r="AR126" i="1"/>
  <c r="AS126" i="1"/>
  <c r="AT126" i="1"/>
  <c r="AT127" i="1" s="1"/>
  <c r="AU126" i="1"/>
  <c r="AV126" i="1"/>
  <c r="AV127" i="1"/>
  <c r="AW126" i="1"/>
  <c r="AX126" i="1"/>
  <c r="AY126" i="1"/>
  <c r="AZ126" i="1"/>
  <c r="BA126" i="1"/>
  <c r="BA127" i="1" s="1"/>
  <c r="BB126" i="1"/>
  <c r="BC126" i="1"/>
  <c r="BD126" i="1"/>
  <c r="BE126" i="1"/>
  <c r="BE127" i="1" s="1"/>
  <c r="BF126" i="1"/>
  <c r="BG126" i="1"/>
  <c r="BH126" i="1"/>
  <c r="BH127" i="1" s="1"/>
  <c r="BI126" i="1"/>
  <c r="BJ126" i="1"/>
  <c r="L126" i="1" s="1"/>
  <c r="BK126" i="1"/>
  <c r="BK127" i="1" s="1"/>
  <c r="BL126" i="1"/>
  <c r="BM126" i="1"/>
  <c r="BN126" i="1"/>
  <c r="BN129" i="1" s="1"/>
  <c r="BO126" i="1"/>
  <c r="BP126" i="1"/>
  <c r="BQ126" i="1"/>
  <c r="BQ127" i="1" s="1"/>
  <c r="BG129" i="1"/>
  <c r="BJ129" i="1"/>
  <c r="L129" i="1" s="1"/>
  <c r="BK129" i="1"/>
  <c r="BM129" i="1"/>
  <c r="G130" i="1"/>
  <c r="J130" i="1"/>
  <c r="K130" i="1"/>
  <c r="L130" i="1"/>
  <c r="M130" i="1"/>
  <c r="J136" i="1"/>
  <c r="K136" i="1"/>
  <c r="BX136" i="1" s="1"/>
  <c r="L136" i="1"/>
  <c r="M136" i="1"/>
  <c r="BB137" i="1"/>
  <c r="BB153" i="1" s="1"/>
  <c r="BC137" i="1"/>
  <c r="BC153" i="1" s="1"/>
  <c r="BD137" i="1"/>
  <c r="BE137" i="1"/>
  <c r="BF137" i="1"/>
  <c r="BG137" i="1"/>
  <c r="BH137" i="1"/>
  <c r="BI137" i="1"/>
  <c r="BJ137" i="1"/>
  <c r="L137" i="1" s="1"/>
  <c r="L155" i="1" s="1"/>
  <c r="BK137" i="1"/>
  <c r="BL137" i="1"/>
  <c r="BM137" i="1"/>
  <c r="BN137" i="1"/>
  <c r="BO137" i="1"/>
  <c r="BP137" i="1"/>
  <c r="BQ137" i="1"/>
  <c r="BQ155" i="1" s="1"/>
  <c r="BR137" i="1"/>
  <c r="BS137" i="1"/>
  <c r="BS155" i="1" s="1"/>
  <c r="BT137" i="1"/>
  <c r="BU137" i="1"/>
  <c r="BU155" i="1" s="1"/>
  <c r="J138" i="1"/>
  <c r="K138" i="1"/>
  <c r="BX138" i="1" s="1"/>
  <c r="L138" i="1"/>
  <c r="M138" i="1"/>
  <c r="BZ138" i="1"/>
  <c r="J139" i="1"/>
  <c r="K139" i="1"/>
  <c r="L139" i="1"/>
  <c r="BQ139" i="1"/>
  <c r="M139" i="1" s="1"/>
  <c r="BX139" i="1"/>
  <c r="BZ139" i="1"/>
  <c r="J140" i="1"/>
  <c r="K140" i="1"/>
  <c r="BX140" i="1" s="1"/>
  <c r="L140" i="1"/>
  <c r="M140" i="1"/>
  <c r="BZ140" i="1"/>
  <c r="J141" i="1"/>
  <c r="K141" i="1"/>
  <c r="BX141" i="1" s="1"/>
  <c r="L141" i="1"/>
  <c r="M141" i="1"/>
  <c r="BZ141" i="1"/>
  <c r="J142" i="1"/>
  <c r="J158" i="1" s="1"/>
  <c r="K142" i="1"/>
  <c r="BX142" i="1" s="1"/>
  <c r="L142" i="1"/>
  <c r="M142" i="1"/>
  <c r="BZ142" i="1"/>
  <c r="J143" i="1"/>
  <c r="K143" i="1"/>
  <c r="K158" i="1" s="1"/>
  <c r="L143" i="1"/>
  <c r="M143" i="1"/>
  <c r="BZ143" i="1"/>
  <c r="J144" i="1"/>
  <c r="J159" i="1" s="1"/>
  <c r="K144" i="1"/>
  <c r="L144" i="1"/>
  <c r="M144" i="1"/>
  <c r="BZ144" i="1"/>
  <c r="J145" i="1"/>
  <c r="K145" i="1"/>
  <c r="L145" i="1"/>
  <c r="M145" i="1"/>
  <c r="BZ145" i="1"/>
  <c r="J146" i="1"/>
  <c r="L146" i="1"/>
  <c r="M146" i="1"/>
  <c r="BX146" i="1"/>
  <c r="BZ146" i="1"/>
  <c r="I147" i="1"/>
  <c r="I153" i="1" s="1"/>
  <c r="J147" i="1"/>
  <c r="K147" i="1"/>
  <c r="BX147" i="1" s="1"/>
  <c r="L147" i="1"/>
  <c r="M147" i="1"/>
  <c r="BZ147" i="1"/>
  <c r="I148" i="1"/>
  <c r="J148" i="1"/>
  <c r="K148" i="1"/>
  <c r="BX148" i="1" s="1"/>
  <c r="L148" i="1"/>
  <c r="M148" i="1"/>
  <c r="BZ148" i="1"/>
  <c r="J149" i="1"/>
  <c r="K149" i="1"/>
  <c r="BX149" i="1" s="1"/>
  <c r="L149" i="1"/>
  <c r="M149" i="1"/>
  <c r="BZ149" i="1"/>
  <c r="J150" i="1"/>
  <c r="K150" i="1"/>
  <c r="BX150" i="1" s="1"/>
  <c r="L150" i="1"/>
  <c r="M150" i="1"/>
  <c r="BZ150" i="1"/>
  <c r="J151" i="1"/>
  <c r="K151" i="1"/>
  <c r="BX151" i="1" s="1"/>
  <c r="L151" i="1"/>
  <c r="BO151" i="1"/>
  <c r="BP151" i="1"/>
  <c r="M151" i="1" s="1"/>
  <c r="BZ151" i="1"/>
  <c r="J152" i="1"/>
  <c r="K152" i="1"/>
  <c r="L152" i="1"/>
  <c r="M152" i="1"/>
  <c r="AX153" i="1"/>
  <c r="AY153" i="1"/>
  <c r="AZ153" i="1"/>
  <c r="BA153" i="1"/>
  <c r="BD153" i="1"/>
  <c r="BG153" i="1"/>
  <c r="BL153" i="1"/>
  <c r="BM153" i="1"/>
  <c r="BO153" i="1"/>
  <c r="BQ153" i="1"/>
  <c r="N155" i="1"/>
  <c r="O155" i="1"/>
  <c r="P155" i="1"/>
  <c r="Q155" i="1"/>
  <c r="R155" i="1"/>
  <c r="BB155" i="1"/>
  <c r="BD155" i="1"/>
  <c r="BG155" i="1"/>
  <c r="BJ155" i="1"/>
  <c r="BL155" i="1"/>
  <c r="BM155" i="1"/>
  <c r="BN155" i="1"/>
  <c r="BO155" i="1"/>
  <c r="BR155" i="1"/>
  <c r="BT155" i="1"/>
  <c r="BX156" i="1"/>
  <c r="BZ156" i="1"/>
  <c r="N157" i="1"/>
  <c r="BZ157" i="1"/>
  <c r="O157" i="1"/>
  <c r="P157" i="1"/>
  <c r="BB157" i="1"/>
  <c r="BC157" i="1"/>
  <c r="BD157" i="1"/>
  <c r="BE157" i="1"/>
  <c r="BF157" i="1"/>
  <c r="BG157" i="1"/>
  <c r="BH157" i="1"/>
  <c r="BI157" i="1"/>
  <c r="BJ157" i="1"/>
  <c r="BK157" i="1"/>
  <c r="BL157" i="1"/>
  <c r="BM157" i="1"/>
  <c r="N158" i="1"/>
  <c r="BZ158" i="1" s="1"/>
  <c r="O158" i="1"/>
  <c r="P158" i="1"/>
  <c r="BB158" i="1"/>
  <c r="BC158" i="1"/>
  <c r="BD158" i="1"/>
  <c r="BE158" i="1"/>
  <c r="BF158" i="1"/>
  <c r="BG158" i="1"/>
  <c r="BH158" i="1"/>
  <c r="BI158" i="1"/>
  <c r="BJ158" i="1"/>
  <c r="BK158" i="1"/>
  <c r="BL158" i="1"/>
  <c r="BM158" i="1"/>
  <c r="N159" i="1"/>
  <c r="O159" i="1"/>
  <c r="P159" i="1"/>
  <c r="BB159" i="1"/>
  <c r="BC159" i="1"/>
  <c r="BD159" i="1"/>
  <c r="BE159" i="1"/>
  <c r="BF159" i="1"/>
  <c r="BG159" i="1"/>
  <c r="BH159" i="1"/>
  <c r="BI159" i="1"/>
  <c r="BJ159" i="1"/>
  <c r="BK159" i="1"/>
  <c r="BL159" i="1"/>
  <c r="BM159" i="1"/>
  <c r="BZ159" i="1"/>
  <c r="L163" i="1"/>
  <c r="H165" i="1" s="1"/>
  <c r="I165" i="1" s="1"/>
  <c r="J165" i="1" s="1"/>
  <c r="M163" i="1"/>
  <c r="K165" i="1"/>
  <c r="L165" i="1" s="1"/>
  <c r="M165" i="1" s="1"/>
  <c r="N165" i="1" s="1"/>
  <c r="O165" i="1" s="1"/>
  <c r="P165" i="1" s="1"/>
  <c r="Q165" i="1" s="1"/>
  <c r="R165" i="1" s="1"/>
  <c r="J169" i="1"/>
  <c r="K169" i="1"/>
  <c r="L169" i="1"/>
  <c r="M169" i="1"/>
  <c r="N169" i="1"/>
  <c r="O169" i="1"/>
  <c r="P169" i="1"/>
  <c r="Q169" i="1"/>
  <c r="R169" i="1"/>
  <c r="M173" i="1"/>
  <c r="BK25" i="1"/>
  <c r="AY25" i="1"/>
  <c r="BK21" i="1"/>
  <c r="AY21" i="1"/>
  <c r="BK17" i="1"/>
  <c r="AU17" i="1"/>
  <c r="AM17" i="1"/>
  <c r="BC13" i="1"/>
  <c r="L108" i="1"/>
  <c r="L173" i="1" s="1"/>
  <c r="H108" i="1"/>
  <c r="H99" i="1" s="1"/>
  <c r="I106" i="1"/>
  <c r="K80" i="1"/>
  <c r="BX79" i="1"/>
  <c r="BI76" i="1"/>
  <c r="Q75" i="1"/>
  <c r="M75" i="1"/>
  <c r="I75" i="1"/>
  <c r="E75" i="1"/>
  <c r="K74" i="1"/>
  <c r="BX73" i="1"/>
  <c r="BK72" i="1"/>
  <c r="BC72" i="1"/>
  <c r="AY72" i="1"/>
  <c r="AQ72" i="1"/>
  <c r="AM72" i="1"/>
  <c r="AI72" i="1"/>
  <c r="K68" i="1"/>
  <c r="BU66" i="1"/>
  <c r="BS64" i="1"/>
  <c r="BK64" i="1"/>
  <c r="BC64" i="1"/>
  <c r="AY64" i="1"/>
  <c r="AU64" i="1"/>
  <c r="AQ64" i="1"/>
  <c r="AI64" i="1"/>
  <c r="BS56" i="1"/>
  <c r="BK56" i="1"/>
  <c r="BC56" i="1"/>
  <c r="Q56" i="1"/>
  <c r="M56" i="1"/>
  <c r="F52" i="1"/>
  <c r="K50" i="1"/>
  <c r="Q47" i="1"/>
  <c r="M47" i="1"/>
  <c r="I47" i="1"/>
  <c r="E47" i="1"/>
  <c r="G46" i="1"/>
  <c r="BX45" i="1"/>
  <c r="BS44" i="1"/>
  <c r="BK44" i="1"/>
  <c r="BG44" i="1"/>
  <c r="BC44" i="1"/>
  <c r="AY44" i="1"/>
  <c r="AQ44" i="1"/>
  <c r="AI44" i="1"/>
  <c r="J43" i="1"/>
  <c r="BO33" i="1"/>
  <c r="BC33" i="1"/>
  <c r="F32" i="1"/>
  <c r="BC28" i="1"/>
  <c r="AY28" i="1"/>
  <c r="AQ28" i="1"/>
  <c r="AI28" i="1"/>
  <c r="BT25" i="1"/>
  <c r="AZ25" i="1"/>
  <c r="AV25" i="1"/>
  <c r="AN25" i="1"/>
  <c r="Q25" i="1"/>
  <c r="M25" i="1"/>
  <c r="I25" i="1"/>
  <c r="E25" i="1"/>
  <c r="BT21" i="1"/>
  <c r="AZ21" i="1"/>
  <c r="AV21" i="1"/>
  <c r="AN21" i="1"/>
  <c r="Q21" i="1"/>
  <c r="M21" i="1"/>
  <c r="I21" i="1"/>
  <c r="E21" i="1"/>
  <c r="BT17" i="1"/>
  <c r="BD17" i="1"/>
  <c r="AZ17" i="1"/>
  <c r="AV17" i="1"/>
  <c r="AN17" i="1"/>
  <c r="Q17" i="1"/>
  <c r="M17" i="1"/>
  <c r="I17" i="1"/>
  <c r="E17" i="1"/>
  <c r="BT13" i="1"/>
  <c r="AZ13" i="1"/>
  <c r="AV13" i="1"/>
  <c r="AN13" i="1"/>
  <c r="Q13" i="1"/>
  <c r="M13" i="1"/>
  <c r="I13" i="1"/>
  <c r="AU25" i="1"/>
  <c r="AI25" i="1"/>
  <c r="BC17" i="1"/>
  <c r="AQ17" i="1"/>
  <c r="BK13" i="1"/>
  <c r="AY13" i="1"/>
  <c r="AI13" i="1"/>
  <c r="BX143" i="1"/>
  <c r="BP129" i="1"/>
  <c r="BH129" i="1"/>
  <c r="M129" i="1"/>
  <c r="I80" i="1"/>
  <c r="L71" i="1"/>
  <c r="BK66" i="1"/>
  <c r="BC66" i="1"/>
  <c r="AY66" i="1"/>
  <c r="AQ66" i="1"/>
  <c r="AI66" i="1"/>
  <c r="H63" i="1"/>
  <c r="AZ53" i="1"/>
  <c r="AV53" i="1"/>
  <c r="F53" i="1"/>
  <c r="BK52" i="1"/>
  <c r="BG52" i="1"/>
  <c r="BC52" i="1"/>
  <c r="AY52" i="1"/>
  <c r="AI52" i="1"/>
  <c r="N51" i="1"/>
  <c r="K47" i="1"/>
  <c r="Q41" i="1"/>
  <c r="M41" i="1"/>
  <c r="Q38" i="1"/>
  <c r="M38" i="1"/>
  <c r="BC32" i="1"/>
  <c r="AZ31" i="1"/>
  <c r="BU28" i="1"/>
  <c r="R28" i="1"/>
  <c r="F28" i="1"/>
  <c r="BR25" i="1"/>
  <c r="BF25" i="1"/>
  <c r="BB25" i="1"/>
  <c r="AX25" i="1"/>
  <c r="AT25" i="1"/>
  <c r="AP25" i="1"/>
  <c r="AL25" i="1"/>
  <c r="AH25" i="1"/>
  <c r="O25" i="1"/>
  <c r="G25" i="1"/>
  <c r="BR21" i="1"/>
  <c r="BF21" i="1"/>
  <c r="BB21" i="1"/>
  <c r="AX21" i="1"/>
  <c r="AT21" i="1"/>
  <c r="AP21" i="1"/>
  <c r="AL21" i="1"/>
  <c r="AH21" i="1"/>
  <c r="O21" i="1"/>
  <c r="G21" i="1"/>
  <c r="BR17" i="1"/>
  <c r="BF17" i="1"/>
  <c r="BB17" i="1"/>
  <c r="AX17" i="1"/>
  <c r="AT17" i="1"/>
  <c r="AP17" i="1"/>
  <c r="AL17" i="1"/>
  <c r="AH17" i="1"/>
  <c r="O17" i="1"/>
  <c r="G17" i="1"/>
  <c r="BR13" i="1"/>
  <c r="BF13" i="1"/>
  <c r="BB13" i="1"/>
  <c r="AX13" i="1"/>
  <c r="AT13" i="1"/>
  <c r="AP13" i="1"/>
  <c r="AL13" i="1"/>
  <c r="AH13" i="1"/>
  <c r="O13" i="1"/>
  <c r="Q2" i="1"/>
  <c r="BC25" i="1"/>
  <c r="AQ25" i="1"/>
  <c r="BC21" i="1"/>
  <c r="AQ21" i="1"/>
  <c r="AI21" i="1"/>
  <c r="BS17" i="1"/>
  <c r="AY17" i="1"/>
  <c r="AI17" i="1"/>
  <c r="AQ13" i="1"/>
  <c r="BJ153" i="1"/>
  <c r="J91" i="1"/>
  <c r="Q72" i="1"/>
  <c r="M72" i="1"/>
  <c r="I72" i="1"/>
  <c r="E72" i="1"/>
  <c r="M64" i="1"/>
  <c r="E64" i="1"/>
  <c r="BK53" i="1"/>
  <c r="BC53" i="1"/>
  <c r="AY53" i="1"/>
  <c r="AM53" i="1"/>
  <c r="AI53" i="1"/>
  <c r="Q53" i="1"/>
  <c r="M53" i="1"/>
  <c r="E53" i="1"/>
  <c r="Q44" i="1"/>
  <c r="M44" i="1"/>
  <c r="I44" i="1"/>
  <c r="E44" i="1"/>
  <c r="BK41" i="1"/>
  <c r="BG41" i="1"/>
  <c r="BC41" i="1"/>
  <c r="BK38" i="1"/>
  <c r="BG38" i="1"/>
  <c r="BC38" i="1"/>
  <c r="BC31" i="1"/>
  <c r="BS30" i="1"/>
  <c r="BO30" i="1"/>
  <c r="BK30" i="1"/>
  <c r="BC30" i="1"/>
  <c r="AY30" i="1"/>
  <c r="BT28" i="1"/>
  <c r="BH28" i="1"/>
  <c r="AZ28" i="1"/>
  <c r="AV28" i="1"/>
  <c r="AN28" i="1"/>
  <c r="Q28" i="1"/>
  <c r="E28" i="1"/>
  <c r="BU25" i="1"/>
  <c r="BI25" i="1"/>
  <c r="BA25" i="1"/>
  <c r="AW25" i="1"/>
  <c r="AO25" i="1"/>
  <c r="AK25" i="1"/>
  <c r="F25" i="1"/>
  <c r="BU21" i="1"/>
  <c r="BI21" i="1"/>
  <c r="BA21" i="1"/>
  <c r="AW21" i="1"/>
  <c r="AS21" i="1"/>
  <c r="AK21" i="1"/>
  <c r="N21" i="1"/>
  <c r="F21" i="1"/>
  <c r="BU17" i="1"/>
  <c r="BM17" i="1"/>
  <c r="BI17" i="1"/>
  <c r="BA17" i="1"/>
  <c r="AW17" i="1"/>
  <c r="AO17" i="1"/>
  <c r="AK17" i="1"/>
  <c r="R17" i="1"/>
  <c r="F17" i="1"/>
  <c r="BU13" i="1"/>
  <c r="BI13" i="1"/>
  <c r="BA13" i="1"/>
  <c r="AW13" i="1"/>
  <c r="AK13" i="1"/>
  <c r="F13" i="1"/>
  <c r="BK58" i="1"/>
  <c r="E56" i="1"/>
  <c r="E58" i="1" s="1"/>
  <c r="AI56" i="1"/>
  <c r="AY55" i="1"/>
  <c r="AY76" i="1"/>
  <c r="AY56" i="1"/>
  <c r="AM55" i="1"/>
  <c r="AM76" i="1"/>
  <c r="BW56" i="1"/>
  <c r="M55" i="1"/>
  <c r="AZ56" i="1"/>
  <c r="Q58" i="1"/>
  <c r="BI81" i="1"/>
  <c r="BI87" i="1"/>
  <c r="BI78" i="1"/>
  <c r="BC76" i="1"/>
  <c r="AV56" i="1"/>
  <c r="AV55" i="1"/>
  <c r="AV76" i="1"/>
  <c r="Q55" i="1"/>
  <c r="BK55" i="1"/>
  <c r="BK76" i="1"/>
  <c r="BK78" i="1" s="1"/>
  <c r="F56" i="1"/>
  <c r="BC57" i="1"/>
  <c r="BC58" i="1"/>
  <c r="AY87" i="1"/>
  <c r="AY78" i="1"/>
  <c r="AY81" i="1"/>
  <c r="F57" i="1"/>
  <c r="BD57" i="1"/>
  <c r="BC87" i="1"/>
  <c r="AY58" i="1"/>
  <c r="AV87" i="1"/>
  <c r="AV58" i="1"/>
  <c r="BC154" i="1"/>
  <c r="AY89" i="1"/>
  <c r="AY91" i="1"/>
  <c r="AV91" i="1"/>
  <c r="R57" i="1"/>
  <c r="BK87" i="1"/>
  <c r="L157" i="1"/>
  <c r="BF155" i="1"/>
  <c r="K137" i="1"/>
  <c r="BF153" i="1"/>
  <c r="BG127" i="1"/>
  <c r="BC127" i="1"/>
  <c r="L125" i="1"/>
  <c r="M125" i="1"/>
  <c r="AP118" i="1"/>
  <c r="H95" i="1"/>
  <c r="H4" i="1" s="1"/>
  <c r="BX65" i="1"/>
  <c r="L63" i="1"/>
  <c r="BO58" i="1"/>
  <c r="BQ55" i="1"/>
  <c r="BJ51" i="1"/>
  <c r="AQ51" i="1"/>
  <c r="AQ52" i="1"/>
  <c r="AQ53" i="1"/>
  <c r="AU51" i="1"/>
  <c r="AM52" i="1"/>
  <c r="L46" i="1"/>
  <c r="BY45" i="1"/>
  <c r="M46" i="1"/>
  <c r="L41" i="1"/>
  <c r="BM30" i="1"/>
  <c r="BQ33" i="1"/>
  <c r="BM64" i="1"/>
  <c r="BM21" i="1"/>
  <c r="BM28" i="1"/>
  <c r="BN32" i="1"/>
  <c r="BM56" i="1"/>
  <c r="BM75" i="1"/>
  <c r="BM13" i="1"/>
  <c r="BQ30" i="1"/>
  <c r="BN31" i="1"/>
  <c r="BM38" i="1"/>
  <c r="BM66" i="1"/>
  <c r="BM25" i="1"/>
  <c r="BJ30" i="1"/>
  <c r="BJ17" i="1"/>
  <c r="BJ41" i="1"/>
  <c r="BJ75" i="1"/>
  <c r="AS66" i="1"/>
  <c r="AS25" i="1"/>
  <c r="AS28" i="1"/>
  <c r="AS44" i="1"/>
  <c r="AS72" i="1"/>
  <c r="AS75" i="1"/>
  <c r="AS17" i="1"/>
  <c r="AS13" i="1"/>
  <c r="P33" i="1"/>
  <c r="P17" i="1"/>
  <c r="P21" i="1"/>
  <c r="Q33" i="1"/>
  <c r="L13" i="1"/>
  <c r="M30" i="1"/>
  <c r="M33" i="1"/>
  <c r="L21" i="1"/>
  <c r="M32" i="1"/>
  <c r="L38" i="1"/>
  <c r="L25" i="1"/>
  <c r="L56" i="1"/>
  <c r="L72" i="1"/>
  <c r="L28" i="1"/>
  <c r="H17" i="1"/>
  <c r="H28" i="1"/>
  <c r="H13" i="1"/>
  <c r="H72" i="1"/>
  <c r="L17" i="1"/>
  <c r="F4" i="1"/>
  <c r="L158" i="1"/>
  <c r="BF129" i="1"/>
  <c r="K129" i="1" s="1"/>
  <c r="L107" i="1"/>
  <c r="L115" i="1"/>
  <c r="M100" i="1"/>
  <c r="L101" i="1"/>
  <c r="G95" i="1"/>
  <c r="G4" i="1" s="1"/>
  <c r="G3" i="1"/>
  <c r="BB78" i="1"/>
  <c r="BB81" i="1"/>
  <c r="BP57" i="1"/>
  <c r="AP58" i="1"/>
  <c r="AW55" i="1"/>
  <c r="AW76" i="1"/>
  <c r="AW56" i="1"/>
  <c r="BT52" i="1"/>
  <c r="BT53" i="1"/>
  <c r="BM51" i="1"/>
  <c r="BA56" i="1"/>
  <c r="BA57" i="1" s="1"/>
  <c r="AT52" i="1"/>
  <c r="AT53" i="1"/>
  <c r="AT51" i="1"/>
  <c r="AM56" i="1"/>
  <c r="BX144" i="1"/>
  <c r="K159" i="1"/>
  <c r="BX159" i="1" s="1"/>
  <c r="BH153" i="1"/>
  <c r="BH155" i="1"/>
  <c r="BF127" i="1"/>
  <c r="BI127" i="1"/>
  <c r="J106" i="1"/>
  <c r="I126" i="1"/>
  <c r="AP78" i="1"/>
  <c r="G76" i="1"/>
  <c r="AP87" i="1"/>
  <c r="BZ56" i="1"/>
  <c r="N58" i="1"/>
  <c r="BD51" i="1"/>
  <c r="BH51" i="1"/>
  <c r="BD52" i="1"/>
  <c r="AW52" i="1"/>
  <c r="BA51" i="1"/>
  <c r="G47" i="1"/>
  <c r="G50" i="1"/>
  <c r="G44" i="1"/>
  <c r="G43" i="1"/>
  <c r="L37" i="1"/>
  <c r="AX66" i="1"/>
  <c r="AX32" i="1"/>
  <c r="AX44" i="1"/>
  <c r="AX47" i="1"/>
  <c r="AX72" i="1"/>
  <c r="AY32" i="1"/>
  <c r="BV29" i="1"/>
  <c r="AY31" i="1"/>
  <c r="AX28" i="1"/>
  <c r="AX31" i="1"/>
  <c r="AX52" i="1"/>
  <c r="AX53" i="1"/>
  <c r="AX75" i="1"/>
  <c r="R41" i="1"/>
  <c r="R21" i="1"/>
  <c r="R38" i="1"/>
  <c r="R75" i="1"/>
  <c r="R32" i="1"/>
  <c r="AF29" i="1"/>
  <c r="R13" i="1"/>
  <c r="R30" i="1"/>
  <c r="R33" i="1"/>
  <c r="R25" i="1"/>
  <c r="N30" i="1"/>
  <c r="N64" i="1"/>
  <c r="N53" i="1"/>
  <c r="N33" i="1"/>
  <c r="N25" i="1"/>
  <c r="N13" i="1"/>
  <c r="N44" i="1"/>
  <c r="N47" i="1"/>
  <c r="N72" i="1"/>
  <c r="N52" i="1"/>
  <c r="N28" i="1"/>
  <c r="N17" i="1"/>
  <c r="O32" i="1"/>
  <c r="O33" i="1"/>
  <c r="N38" i="1"/>
  <c r="N75" i="1"/>
  <c r="N32" i="1"/>
  <c r="BO127" i="1"/>
  <c r="AZ127" i="1"/>
  <c r="BD127" i="1"/>
  <c r="I125" i="1"/>
  <c r="I130" i="1"/>
  <c r="BJ115" i="1"/>
  <c r="BK118" i="1"/>
  <c r="I108" i="1"/>
  <c r="I99" i="1" s="1"/>
  <c r="BZ67" i="1"/>
  <c r="N65" i="1"/>
  <c r="BB54" i="1"/>
  <c r="BK51" i="1"/>
  <c r="AN53" i="1"/>
  <c r="AR51" i="1"/>
  <c r="AN52" i="1"/>
  <c r="O52" i="1"/>
  <c r="O53" i="1"/>
  <c r="P51" i="1"/>
  <c r="BG75" i="1"/>
  <c r="BG72" i="1"/>
  <c r="BG56" i="1"/>
  <c r="BG33" i="1"/>
  <c r="BG32" i="1"/>
  <c r="BG53" i="1"/>
  <c r="BG31" i="1"/>
  <c r="BG64" i="1"/>
  <c r="BG25" i="1"/>
  <c r="BG21" i="1"/>
  <c r="BG13" i="1"/>
  <c r="BG30" i="1"/>
  <c r="BG47" i="1"/>
  <c r="BK33" i="1"/>
  <c r="BG28" i="1"/>
  <c r="BG66" i="1"/>
  <c r="BG17" i="1"/>
  <c r="BD31" i="1"/>
  <c r="BD38" i="1"/>
  <c r="BD47" i="1"/>
  <c r="BD66" i="1"/>
  <c r="BD21" i="1"/>
  <c r="BD32" i="1"/>
  <c r="BD33" i="1"/>
  <c r="BD41" i="1"/>
  <c r="BD44" i="1"/>
  <c r="BD72" i="1"/>
  <c r="BD13" i="1"/>
  <c r="BD53" i="1"/>
  <c r="BD28" i="1"/>
  <c r="BE32" i="1"/>
  <c r="BD25" i="1"/>
  <c r="AM75" i="1"/>
  <c r="AM13" i="1"/>
  <c r="AM28" i="1"/>
  <c r="AM66" i="1"/>
  <c r="AM21" i="1"/>
  <c r="AM44" i="1"/>
  <c r="AQ30" i="1"/>
  <c r="AM47" i="1"/>
  <c r="AM25" i="1"/>
  <c r="AM64" i="1"/>
  <c r="AM30" i="1"/>
  <c r="AJ47" i="1"/>
  <c r="AJ64" i="1"/>
  <c r="AJ44" i="1"/>
  <c r="AJ28" i="1"/>
  <c r="H3" i="1"/>
  <c r="BR28" i="1"/>
  <c r="AH28" i="1"/>
  <c r="AH81" i="1"/>
  <c r="AH78" i="1"/>
  <c r="N63" i="1"/>
  <c r="O63" i="1" s="1"/>
  <c r="P63" i="1" s="1"/>
  <c r="Q63" i="1" s="1"/>
  <c r="R63" i="1" s="1"/>
  <c r="BU51" i="1"/>
  <c r="BO51" i="1"/>
  <c r="BE51" i="1"/>
  <c r="AO51" i="1"/>
  <c r="O28" i="1"/>
  <c r="K63" i="1"/>
  <c r="BN58" i="1"/>
  <c r="BO53" i="1"/>
  <c r="BU32" i="1"/>
  <c r="BA32" i="1"/>
  <c r="BB30" i="1"/>
  <c r="AW30" i="1"/>
  <c r="G13" i="1"/>
  <c r="G8" i="19"/>
  <c r="G35" i="19"/>
  <c r="CR100" i="15"/>
  <c r="CQ99" i="15"/>
  <c r="CQ101" i="15" s="1"/>
  <c r="BR118" i="15"/>
  <c r="BS90" i="15"/>
  <c r="BS98" i="15" s="1"/>
  <c r="BR91" i="15"/>
  <c r="BR215" i="13"/>
  <c r="BO76" i="1"/>
  <c r="BO55" i="1"/>
  <c r="BO54" i="1"/>
  <c r="BD55" i="1"/>
  <c r="BD76" i="1"/>
  <c r="AN56" i="1"/>
  <c r="AN76" i="1"/>
  <c r="AN55" i="1"/>
  <c r="AX55" i="1"/>
  <c r="AX76" i="1"/>
  <c r="AX54" i="1"/>
  <c r="AX56" i="1"/>
  <c r="G51" i="1"/>
  <c r="G53" i="1"/>
  <c r="G52" i="1"/>
  <c r="G78" i="1"/>
  <c r="AM58" i="1"/>
  <c r="M57" i="1"/>
  <c r="BG57" i="1"/>
  <c r="BG58" i="1"/>
  <c r="BK57" i="1"/>
  <c r="BA58" i="1"/>
  <c r="AQ76" i="1"/>
  <c r="AQ56" i="1"/>
  <c r="AQ54" i="1"/>
  <c r="AQ55" i="1"/>
  <c r="BK128" i="1"/>
  <c r="BK91" i="1"/>
  <c r="BK89" i="1"/>
  <c r="BK54" i="1"/>
  <c r="N55" i="1"/>
  <c r="N54" i="1"/>
  <c r="BT55" i="1"/>
  <c r="AW78" i="1"/>
  <c r="AW81" i="1"/>
  <c r="AW87" i="1"/>
  <c r="I107" i="1"/>
  <c r="BK115" i="1"/>
  <c r="BL118" i="1"/>
  <c r="AP89" i="1"/>
  <c r="AT54" i="1"/>
  <c r="AT55" i="1"/>
  <c r="AT56" i="1"/>
  <c r="AT76" i="1"/>
  <c r="BQ57" i="1"/>
  <c r="BM58" i="1"/>
  <c r="BM57" i="1"/>
  <c r="K153" i="1"/>
  <c r="K155" i="1"/>
  <c r="H30" i="19"/>
  <c r="BS118" i="15"/>
  <c r="BS119" i="15" s="1"/>
  <c r="BS215" i="13"/>
  <c r="BS257" i="13" s="1"/>
  <c r="CS100" i="15"/>
  <c r="CR99" i="15"/>
  <c r="CR101" i="15" s="1"/>
  <c r="CR102" i="15" s="1"/>
  <c r="AT77" i="1"/>
  <c r="AT87" i="1"/>
  <c r="AT78" i="1"/>
  <c r="BL115" i="1"/>
  <c r="BM118" i="1"/>
  <c r="AW89" i="1"/>
  <c r="AQ81" i="1"/>
  <c r="AQ78" i="1"/>
  <c r="AQ87" i="1"/>
  <c r="G55" i="1"/>
  <c r="G56" i="1"/>
  <c r="AN58" i="1"/>
  <c r="AT57" i="1"/>
  <c r="AT58" i="1"/>
  <c r="AX87" i="1"/>
  <c r="AX78" i="1"/>
  <c r="AX81" i="1"/>
  <c r="AX77" i="1"/>
  <c r="BB77" i="1"/>
  <c r="BB88" i="1"/>
  <c r="BK94" i="1"/>
  <c r="AQ57" i="1"/>
  <c r="AQ58" i="1"/>
  <c r="AN78" i="1"/>
  <c r="AN81" i="1"/>
  <c r="AN87" i="1"/>
  <c r="BO87" i="1"/>
  <c r="BO154" i="1" s="1"/>
  <c r="BO78" i="1"/>
  <c r="BO81" i="1"/>
  <c r="BO77" i="1"/>
  <c r="CT100" i="15"/>
  <c r="CS99" i="15"/>
  <c r="CS101" i="15" s="1"/>
  <c r="CS102" i="15" s="1"/>
  <c r="BO89" i="1"/>
  <c r="AX154" i="1"/>
  <c r="AX88" i="1"/>
  <c r="AX89" i="1"/>
  <c r="AX91" i="1"/>
  <c r="AX128" i="1"/>
  <c r="BN118" i="1"/>
  <c r="BM115" i="1"/>
  <c r="BK116" i="1"/>
  <c r="BK3" i="1"/>
  <c r="AT89" i="1"/>
  <c r="AT91" i="1"/>
  <c r="G58" i="1"/>
  <c r="AQ89" i="1"/>
  <c r="AQ91" i="1"/>
  <c r="CT99" i="15"/>
  <c r="CT101" i="15" s="1"/>
  <c r="CT102" i="15" s="1"/>
  <c r="CU100" i="15"/>
  <c r="AX92" i="1"/>
  <c r="W46" i="16"/>
  <c r="W47" i="16"/>
  <c r="V44" i="7"/>
  <c r="W88" i="8" s="1"/>
  <c r="CV114" i="22"/>
  <c r="CW114" i="22"/>
  <c r="N69" i="14"/>
  <c r="Q114" i="22" s="1"/>
  <c r="N71" i="14"/>
  <c r="N70" i="14"/>
  <c r="N72" i="14"/>
  <c r="N73" i="14"/>
  <c r="U103" i="6"/>
  <c r="CM329" i="12"/>
  <c r="CY347" i="12"/>
  <c r="CQ347" i="12"/>
  <c r="CQ326" i="12"/>
  <c r="BU133" i="22"/>
  <c r="K352" i="12"/>
  <c r="CE68" i="14"/>
  <c r="DG85" i="14"/>
  <c r="DA68" i="14"/>
  <c r="DH67" i="14"/>
  <c r="DA85" i="14"/>
  <c r="CD67" i="14"/>
  <c r="H88" i="14"/>
  <c r="K34" i="22" s="1"/>
  <c r="DA79" i="14"/>
  <c r="DA77" i="14" s="1"/>
  <c r="DA78" i="14" s="1"/>
  <c r="CA22" i="14"/>
  <c r="BM451" i="21"/>
  <c r="BM444" i="21" s="1"/>
  <c r="BM445" i="21" s="1"/>
  <c r="BP442" i="21"/>
  <c r="BS442" i="21"/>
  <c r="BV442" i="21"/>
  <c r="CB442" i="21"/>
  <c r="CB443" i="21" s="1"/>
  <c r="BZ444" i="21"/>
  <c r="BZ445" i="21" s="1"/>
  <c r="BZ443" i="21"/>
  <c r="BQ452" i="21"/>
  <c r="BM443" i="21"/>
  <c r="BS444" i="21"/>
  <c r="BS445" i="21" s="1"/>
  <c r="BS443" i="21"/>
  <c r="BV444" i="21"/>
  <c r="BV445" i="21" s="1"/>
  <c r="BV443" i="21"/>
  <c r="BE329" i="21"/>
  <c r="BE327" i="21"/>
  <c r="AL330" i="21"/>
  <c r="AL332" i="21"/>
  <c r="AL333" i="21" s="1"/>
  <c r="I330" i="21"/>
  <c r="I332" i="21"/>
  <c r="I333" i="21"/>
  <c r="J354" i="21"/>
  <c r="BB329" i="21"/>
  <c r="BB327" i="21"/>
  <c r="J326" i="21"/>
  <c r="BD329" i="21"/>
  <c r="BD327" i="21"/>
  <c r="BH357" i="21"/>
  <c r="BH359" i="21"/>
  <c r="BL362" i="21"/>
  <c r="BL363" i="21" s="1"/>
  <c r="BL360" i="21"/>
  <c r="BR362" i="21"/>
  <c r="BR363" i="21" s="1"/>
  <c r="BR360" i="21"/>
  <c r="H332" i="21"/>
  <c r="H333" i="21" s="1"/>
  <c r="H330" i="21"/>
  <c r="AS330" i="21"/>
  <c r="AS332" i="21"/>
  <c r="AS333" i="21" s="1"/>
  <c r="BE359" i="21"/>
  <c r="BE357" i="21"/>
  <c r="BI360" i="21"/>
  <c r="BI362" i="21"/>
  <c r="BI363" i="21" s="1"/>
  <c r="BM360" i="21"/>
  <c r="BM362" i="21"/>
  <c r="BM363" i="21" s="1"/>
  <c r="BB357" i="21"/>
  <c r="BB359" i="21"/>
  <c r="J356" i="21"/>
  <c r="BJ360" i="21"/>
  <c r="BJ362" i="21"/>
  <c r="BJ363" i="21" s="1"/>
  <c r="BK362" i="21"/>
  <c r="BK363" i="21" s="1"/>
  <c r="BK360" i="21"/>
  <c r="BQ360" i="21"/>
  <c r="BQ362" i="21"/>
  <c r="BQ363" i="21" s="1"/>
  <c r="AY362" i="21"/>
  <c r="AY363" i="21" s="1"/>
  <c r="K238" i="21"/>
  <c r="E238" i="21"/>
  <c r="F238" i="21"/>
  <c r="G238" i="21"/>
  <c r="H238" i="21"/>
  <c r="I238" i="21"/>
  <c r="BL37" i="15"/>
  <c r="CI37" i="15"/>
  <c r="BN228" i="21"/>
  <c r="BW49" i="15"/>
  <c r="BW40" i="15" s="1"/>
  <c r="F204" i="21"/>
  <c r="F207" i="21" s="1"/>
  <c r="F208" i="21" s="1"/>
  <c r="AM204" i="21"/>
  <c r="AM207" i="21" s="1"/>
  <c r="AM208" i="21" s="1"/>
  <c r="AO207" i="21"/>
  <c r="AO208" i="21" s="1"/>
  <c r="AS207" i="21"/>
  <c r="AS208" i="21" s="1"/>
  <c r="BC180" i="21"/>
  <c r="CI13" i="13"/>
  <c r="BZ205" i="21"/>
  <c r="I12" i="21"/>
  <c r="J12" i="21"/>
  <c r="J13" i="21" s="1"/>
  <c r="BX41" i="21"/>
  <c r="BX47" i="21" s="1"/>
  <c r="BX52" i="21" s="1"/>
  <c r="BX54" i="21" s="1"/>
  <c r="BX56" i="21" s="1"/>
  <c r="AU41" i="21"/>
  <c r="K13" i="21"/>
  <c r="AT17" i="21"/>
  <c r="AQ41" i="21"/>
  <c r="AY41" i="21"/>
  <c r="BW41" i="21"/>
  <c r="BW47" i="21" s="1"/>
  <c r="BW52" i="21" s="1"/>
  <c r="BW54" i="21" s="1"/>
  <c r="BW56" i="21" s="1"/>
  <c r="DC11" i="17"/>
  <c r="BG31" i="21"/>
  <c r="BG41" i="21"/>
  <c r="BG47" i="21"/>
  <c r="BG52" i="21" s="1"/>
  <c r="BG54" i="21" s="1"/>
  <c r="BG56" i="21" s="1"/>
  <c r="AU47" i="21"/>
  <c r="AU52" i="21"/>
  <c r="AU56" i="21" s="1"/>
  <c r="BC31" i="21"/>
  <c r="BC41" i="21"/>
  <c r="BO41" i="21"/>
  <c r="BO47" i="21" s="1"/>
  <c r="BO52" i="21" s="1"/>
  <c r="BO54" i="21" s="1"/>
  <c r="BO56" i="21" s="1"/>
  <c r="BO31" i="21"/>
  <c r="AQ31" i="21"/>
  <c r="AU31" i="21"/>
  <c r="AY31" i="21"/>
  <c r="DI287" i="12"/>
  <c r="DI332" i="12"/>
  <c r="DI335" i="12" s="1"/>
  <c r="DI329" i="12"/>
  <c r="CY79" i="14"/>
  <c r="CY77" i="14" s="1"/>
  <c r="CY78" i="14" s="1"/>
  <c r="DI32" i="14"/>
  <c r="DI30" i="14" s="1"/>
  <c r="DI31" i="14" s="1"/>
  <c r="DI17" i="14"/>
  <c r="DI38" i="14" s="1"/>
  <c r="DI24" i="14"/>
  <c r="DI75" i="14"/>
  <c r="DI73" i="14"/>
  <c r="DI74" i="14" s="1"/>
  <c r="DI66" i="14"/>
  <c r="CY26" i="21"/>
  <c r="DF39" i="6" s="1"/>
  <c r="CY248" i="21"/>
  <c r="CY251" i="21" s="1"/>
  <c r="BE332" i="21"/>
  <c r="BE333" i="21" s="1"/>
  <c r="BE330" i="21"/>
  <c r="BD330" i="21"/>
  <c r="BD332" i="21"/>
  <c r="BD333" i="21" s="1"/>
  <c r="BB330" i="21"/>
  <c r="BB332" i="21"/>
  <c r="BB333" i="21" s="1"/>
  <c r="J357" i="21"/>
  <c r="J359" i="21"/>
  <c r="BH362" i="21"/>
  <c r="BH363" i="21" s="1"/>
  <c r="BH360" i="21"/>
  <c r="BB362" i="21"/>
  <c r="BB363" i="21" s="1"/>
  <c r="BB360" i="21"/>
  <c r="BE362" i="21"/>
  <c r="BE363" i="21" s="1"/>
  <c r="BE360" i="21"/>
  <c r="J327" i="21"/>
  <c r="J329" i="21"/>
  <c r="BO228" i="21"/>
  <c r="BY49" i="15" s="1"/>
  <c r="BX49" i="15"/>
  <c r="AM205" i="21"/>
  <c r="F205" i="21"/>
  <c r="I13" i="21"/>
  <c r="I354" i="21" s="1"/>
  <c r="I357" i="21" s="1"/>
  <c r="AY52" i="21"/>
  <c r="AY56" i="21"/>
  <c r="AY47" i="21"/>
  <c r="AQ52" i="21"/>
  <c r="AQ56" i="21" s="1"/>
  <c r="AQ47" i="21"/>
  <c r="BC52" i="21"/>
  <c r="BC56" i="21" s="1"/>
  <c r="BC47" i="21"/>
  <c r="DM113" i="8"/>
  <c r="J330" i="21"/>
  <c r="J332" i="21"/>
  <c r="J333" i="21" s="1"/>
  <c r="J360" i="21"/>
  <c r="J362" i="21"/>
  <c r="J363" i="21" s="1"/>
  <c r="CV65" i="22"/>
  <c r="V21" i="7"/>
  <c r="DI147" i="15"/>
  <c r="CV116" i="22"/>
  <c r="CV117" i="22"/>
  <c r="CV133" i="22"/>
  <c r="CV136" i="22"/>
  <c r="V118" i="12"/>
  <c r="V119" i="12"/>
  <c r="V117" i="12"/>
  <c r="V254" i="12"/>
  <c r="V181" i="12" s="1"/>
  <c r="V286" i="12"/>
  <c r="V319" i="12"/>
  <c r="V367" i="12"/>
  <c r="V461" i="12"/>
  <c r="V28" i="8"/>
  <c r="V27" i="8"/>
  <c r="V29" i="8"/>
  <c r="V30" i="8"/>
  <c r="CS562" i="12"/>
  <c r="R562" i="12" s="1"/>
  <c r="DI380" i="12"/>
  <c r="V380" i="12" s="1"/>
  <c r="DI72" i="14"/>
  <c r="DI55" i="14"/>
  <c r="CO405" i="21"/>
  <c r="CG19" i="8"/>
  <c r="BU444" i="21"/>
  <c r="BU445" i="21" s="1"/>
  <c r="BN451" i="21"/>
  <c r="BH330" i="21"/>
  <c r="BH332" i="21"/>
  <c r="BH333" i="21" s="1"/>
  <c r="AR330" i="21"/>
  <c r="AR332" i="21"/>
  <c r="AR333" i="21" s="1"/>
  <c r="BF329" i="21"/>
  <c r="K326" i="21"/>
  <c r="BC330" i="21"/>
  <c r="F40" i="15"/>
  <c r="K223" i="21"/>
  <c r="BQ84" i="15"/>
  <c r="J238" i="21"/>
  <c r="BB81" i="21"/>
  <c r="CE44" i="8"/>
  <c r="BQ405" i="21"/>
  <c r="CA34" i="8"/>
  <c r="BO397" i="21"/>
  <c r="BJ384" i="21"/>
  <c r="BI390" i="21"/>
  <c r="CN75" i="8"/>
  <c r="CJ12" i="21"/>
  <c r="CE11" i="13"/>
  <c r="CX11" i="16"/>
  <c r="CR17" i="11" s="1"/>
  <c r="CN12" i="21"/>
  <c r="CH109" i="15"/>
  <c r="CS11" i="16"/>
  <c r="CS12" i="16" s="1"/>
  <c r="CH109" i="21"/>
  <c r="CP109" i="21"/>
  <c r="CX109" i="21"/>
  <c r="CT131" i="21"/>
  <c r="CS130" i="21"/>
  <c r="DC141" i="17" s="1"/>
  <c r="CP311" i="21"/>
  <c r="CP301" i="21" s="1"/>
  <c r="CQ310" i="21"/>
  <c r="CP18" i="17"/>
  <c r="BL140" i="17"/>
  <c r="CN109" i="21"/>
  <c r="CV109" i="21"/>
  <c r="G131" i="21"/>
  <c r="BM140" i="17"/>
  <c r="CL109" i="21"/>
  <c r="CT109" i="21"/>
  <c r="CC140" i="17"/>
  <c r="I30" i="21"/>
  <c r="AQ71" i="21"/>
  <c r="CR109" i="21"/>
  <c r="J131" i="21"/>
  <c r="J17" i="17" s="1"/>
  <c r="CI170" i="21"/>
  <c r="CH287" i="21"/>
  <c r="CN261" i="21"/>
  <c r="BN372" i="21"/>
  <c r="BJ376" i="21"/>
  <c r="BK376" i="21" s="1"/>
  <c r="BK381" i="21" s="1"/>
  <c r="BS376" i="21"/>
  <c r="I221" i="21"/>
  <c r="I223" i="21" s="1"/>
  <c r="I84" i="15" s="1"/>
  <c r="I85" i="15" s="1"/>
  <c r="DI48" i="8"/>
  <c r="CS170" i="21"/>
  <c r="BU150" i="21"/>
  <c r="CE29" i="13" s="1"/>
  <c r="BX150" i="21"/>
  <c r="CH29" i="13" s="1"/>
  <c r="K179" i="21"/>
  <c r="K180" i="21" s="1"/>
  <c r="BT194" i="21"/>
  <c r="CM269" i="21"/>
  <c r="BG379" i="21"/>
  <c r="BN379" i="21"/>
  <c r="BO379" i="21" s="1"/>
  <c r="CY170" i="21"/>
  <c r="CY384" i="21"/>
  <c r="BK388" i="21"/>
  <c r="BR389" i="21"/>
  <c r="BS389" i="21" s="1"/>
  <c r="CC43" i="8" s="1"/>
  <c r="BO401" i="21"/>
  <c r="BS398" i="21"/>
  <c r="BE81" i="21"/>
  <c r="BC81" i="21"/>
  <c r="AZ71" i="21"/>
  <c r="BI71" i="21"/>
  <c r="BJ270" i="21"/>
  <c r="BP60" i="12"/>
  <c r="BF270" i="21"/>
  <c r="BD270" i="21"/>
  <c r="BQ270" i="21"/>
  <c r="AF290" i="21"/>
  <c r="AF291" i="21" s="1"/>
  <c r="J251" i="21"/>
  <c r="AL252" i="21"/>
  <c r="E252" i="21"/>
  <c r="BC12" i="16"/>
  <c r="BS12" i="16"/>
  <c r="AN360" i="21"/>
  <c r="AN362" i="21"/>
  <c r="AN363" i="21" s="1"/>
  <c r="AV52" i="21"/>
  <c r="AV56" i="21" s="1"/>
  <c r="CI11" i="13"/>
  <c r="AG205" i="21"/>
  <c r="CA50" i="15"/>
  <c r="CF227" i="21"/>
  <c r="P49" i="15"/>
  <c r="CI50" i="15"/>
  <c r="CO36" i="15"/>
  <c r="BO49" i="15"/>
  <c r="BO50" i="15" s="1"/>
  <c r="BU35" i="15"/>
  <c r="BY35" i="15"/>
  <c r="AU85" i="15"/>
  <c r="CG33" i="15"/>
  <c r="BG202" i="21"/>
  <c r="BG204" i="21"/>
  <c r="BG207" i="21" s="1"/>
  <c r="BG208" i="21" s="1"/>
  <c r="K202" i="21"/>
  <c r="K204" i="21"/>
  <c r="K207" i="21" s="1"/>
  <c r="K208" i="21" s="1"/>
  <c r="CL202" i="21"/>
  <c r="AZ204" i="21"/>
  <c r="CI202" i="21"/>
  <c r="BI204" i="21"/>
  <c r="CE81" i="13"/>
  <c r="AR204" i="21"/>
  <c r="AR207" i="21" s="1"/>
  <c r="AR208" i="21" s="1"/>
  <c r="BY202" i="21"/>
  <c r="AU205" i="21"/>
  <c r="AU207" i="21"/>
  <c r="AU208" i="21" s="1"/>
  <c r="AU180" i="21"/>
  <c r="CO38" i="8"/>
  <c r="K29" i="17"/>
  <c r="CM38" i="8"/>
  <c r="CM77" i="8" s="1"/>
  <c r="CC390" i="21"/>
  <c r="BQ140" i="17"/>
  <c r="BX126" i="17"/>
  <c r="AH360" i="21"/>
  <c r="AH362" i="21"/>
  <c r="AH363" i="21" s="1"/>
  <c r="AR362" i="21"/>
  <c r="AR363" i="21" s="1"/>
  <c r="AR360" i="21"/>
  <c r="AF360" i="21"/>
  <c r="AF362" i="21"/>
  <c r="AF363" i="21" s="1"/>
  <c r="AJ360" i="21"/>
  <c r="AJ362" i="21"/>
  <c r="AJ363" i="21" s="1"/>
  <c r="AP362" i="21"/>
  <c r="AP363" i="21"/>
  <c r="AP360" i="21"/>
  <c r="H12" i="21"/>
  <c r="H13" i="21" s="1"/>
  <c r="H354" i="21" s="1"/>
  <c r="H357" i="21" s="1"/>
  <c r="BQ41" i="21"/>
  <c r="BQ47" i="21" s="1"/>
  <c r="BQ52" i="21" s="1"/>
  <c r="BQ54" i="21" s="1"/>
  <c r="BQ56" i="21" s="1"/>
  <c r="BY41" i="21"/>
  <c r="BY47" i="21" s="1"/>
  <c r="BY52" i="21" s="1"/>
  <c r="BY54" i="21" s="1"/>
  <c r="BY56" i="21" s="1"/>
  <c r="BO12" i="16"/>
  <c r="BK12" i="16"/>
  <c r="BR13" i="21"/>
  <c r="BY30" i="6"/>
  <c r="BO51" i="22" s="1"/>
  <c r="CC30" i="6"/>
  <c r="BI41" i="21"/>
  <c r="BI47" i="21" s="1"/>
  <c r="BI52" i="21" s="1"/>
  <c r="BI54" i="21" s="1"/>
  <c r="BI56" i="21" s="1"/>
  <c r="H359" i="21"/>
  <c r="AR13" i="21"/>
  <c r="AR41" i="21"/>
  <c r="AL360" i="21"/>
  <c r="AL362" i="21"/>
  <c r="AL363" i="21" s="1"/>
  <c r="BN12" i="16"/>
  <c r="AP47" i="21"/>
  <c r="AP52" i="21"/>
  <c r="AP56" i="21" s="1"/>
  <c r="BR12" i="16"/>
  <c r="G12" i="21"/>
  <c r="CU17" i="11"/>
  <c r="AT13" i="21"/>
  <c r="AT41" i="21"/>
  <c r="AK52" i="21"/>
  <c r="AK54" i="21" s="1"/>
  <c r="AK47" i="21"/>
  <c r="BS41" i="21"/>
  <c r="BS47" i="21" s="1"/>
  <c r="BS52" i="21" s="1"/>
  <c r="BS54" i="21" s="1"/>
  <c r="BS56" i="21" s="1"/>
  <c r="BF41" i="21"/>
  <c r="BF47" i="21" s="1"/>
  <c r="BF52" i="21" s="1"/>
  <c r="BF54" i="21" s="1"/>
  <c r="BF56" i="21" s="1"/>
  <c r="BM31" i="21"/>
  <c r="BM41" i="21"/>
  <c r="BM47" i="21" s="1"/>
  <c r="BM52" i="21" s="1"/>
  <c r="BM54" i="21" s="1"/>
  <c r="BM56" i="21" s="1"/>
  <c r="BK31" i="21"/>
  <c r="CM30" i="21"/>
  <c r="H31" i="21"/>
  <c r="H41" i="21"/>
  <c r="BJ31" i="21"/>
  <c r="CY28" i="21"/>
  <c r="CY30" i="21" s="1"/>
  <c r="CY287" i="21"/>
  <c r="CY267" i="21"/>
  <c r="CY269" i="21" s="1"/>
  <c r="CY278" i="21"/>
  <c r="CY261" i="21"/>
  <c r="DI113" i="15"/>
  <c r="CY216" i="21"/>
  <c r="CY179" i="21"/>
  <c r="CY202" i="21" s="1"/>
  <c r="DI108" i="17"/>
  <c r="CV69" i="22"/>
  <c r="DI126" i="17"/>
  <c r="DI145" i="17"/>
  <c r="DI178" i="7"/>
  <c r="DM190" i="7" s="1"/>
  <c r="DI91" i="13"/>
  <c r="DI192" i="7"/>
  <c r="DI11" i="17"/>
  <c r="DI11" i="16"/>
  <c r="DC17" i="11" s="1"/>
  <c r="CY12" i="21"/>
  <c r="BN443" i="21"/>
  <c r="BN444" i="21"/>
  <c r="BN445" i="21" s="1"/>
  <c r="BR452" i="21"/>
  <c r="K327" i="21"/>
  <c r="K329" i="21"/>
  <c r="BF330" i="21"/>
  <c r="BF332" i="21"/>
  <c r="BF333" i="21" s="1"/>
  <c r="BJ390" i="21"/>
  <c r="BK384" i="21"/>
  <c r="DI38" i="8"/>
  <c r="CC23" i="8"/>
  <c r="CB205" i="21"/>
  <c r="CB179" i="21"/>
  <c r="CB202" i="21" s="1"/>
  <c r="CJ205" i="21"/>
  <c r="CJ179" i="21"/>
  <c r="CJ202" i="21" s="1"/>
  <c r="CN282" i="21"/>
  <c r="CN286" i="21"/>
  <c r="CQ311" i="21"/>
  <c r="CQ301" i="21" s="1"/>
  <c r="CR310" i="21"/>
  <c r="CR311" i="21" s="1"/>
  <c r="CR301" i="21" s="1"/>
  <c r="DD17" i="17"/>
  <c r="CT130" i="21"/>
  <c r="DD141" i="17" s="1"/>
  <c r="CU131" i="21"/>
  <c r="CU130" i="21" s="1"/>
  <c r="DE141" i="17" s="1"/>
  <c r="CU18" i="6"/>
  <c r="CC53" i="8"/>
  <c r="CB43" i="8"/>
  <c r="BR390" i="21"/>
  <c r="I31" i="21"/>
  <c r="I41" i="21"/>
  <c r="I47" i="21" s="1"/>
  <c r="BO372" i="21"/>
  <c r="J252" i="21"/>
  <c r="CF228" i="21"/>
  <c r="CG227" i="21"/>
  <c r="AZ205" i="21"/>
  <c r="AZ207" i="21"/>
  <c r="AZ208" i="21" s="1"/>
  <c r="K205" i="21"/>
  <c r="CM44" i="8"/>
  <c r="CC405" i="21"/>
  <c r="AT47" i="21"/>
  <c r="AT52" i="21"/>
  <c r="AT56" i="21" s="1"/>
  <c r="G41" i="21"/>
  <c r="G13" i="21"/>
  <c r="BS51" i="22"/>
  <c r="AR47" i="21"/>
  <c r="AR52" i="21"/>
  <c r="AR56" i="21"/>
  <c r="H362" i="21"/>
  <c r="H363" i="21" s="1"/>
  <c r="H360" i="21"/>
  <c r="H52" i="21"/>
  <c r="H54" i="21" s="1"/>
  <c r="H47" i="21"/>
  <c r="DF45" i="6"/>
  <c r="W25" i="15"/>
  <c r="CB44" i="8"/>
  <c r="I52" i="21"/>
  <c r="I54" i="21" s="1"/>
  <c r="CS310" i="21"/>
  <c r="CS311" i="21" s="1"/>
  <c r="CS301" i="21" s="1"/>
  <c r="DE17" i="17"/>
  <c r="CG228" i="21"/>
  <c r="CH227" i="21"/>
  <c r="G47" i="21"/>
  <c r="H56" i="21"/>
  <c r="CT310" i="21"/>
  <c r="CU310" i="21" s="1"/>
  <c r="W722" i="12"/>
  <c r="W729" i="12" s="1"/>
  <c r="CW32" i="22"/>
  <c r="Q14" i="19"/>
  <c r="R14" i="19" s="1"/>
  <c r="S14" i="19" s="1"/>
  <c r="T14" i="19" s="1"/>
  <c r="U14" i="19" s="1"/>
  <c r="V14" i="19" s="1"/>
  <c r="W14" i="19" s="1"/>
  <c r="X14" i="19" s="1"/>
  <c r="Y14" i="19" s="1"/>
  <c r="Q13" i="19"/>
  <c r="CW26" i="22"/>
  <c r="CX32" i="22"/>
  <c r="CO85" i="6"/>
  <c r="CQ78" i="8"/>
  <c r="DC78" i="8"/>
  <c r="CI66" i="22"/>
  <c r="CV114" i="17"/>
  <c r="BY140" i="17"/>
  <c r="AT58" i="21"/>
  <c r="BT69" i="22"/>
  <c r="DC44" i="16"/>
  <c r="BH135" i="17"/>
  <c r="Q23" i="19"/>
  <c r="R13" i="19"/>
  <c r="R23" i="19" s="1"/>
  <c r="Q7" i="19"/>
  <c r="R7" i="19" s="1"/>
  <c r="H12" i="5"/>
  <c r="W44" i="16"/>
  <c r="W87" i="8"/>
  <c r="W45" i="16"/>
  <c r="DD11" i="16"/>
  <c r="CX17" i="11" s="1"/>
  <c r="CT12" i="21"/>
  <c r="DE11" i="16"/>
  <c r="CY17" i="11" s="1"/>
  <c r="CU12" i="21"/>
  <c r="CZ12" i="21"/>
  <c r="P45" i="7"/>
  <c r="Q45" i="7" s="1"/>
  <c r="R45" i="7" s="1"/>
  <c r="S45" i="7" s="1"/>
  <c r="W31" i="8"/>
  <c r="CT351" i="12"/>
  <c r="CU351" i="12" s="1"/>
  <c r="CU335" i="12"/>
  <c r="DJ326" i="12"/>
  <c r="DJ332" i="12"/>
  <c r="DJ250" i="12"/>
  <c r="G25" i="37" s="1"/>
  <c r="DJ314" i="12"/>
  <c r="DJ390" i="12"/>
  <c r="BP49" i="17"/>
  <c r="AZ90" i="17"/>
  <c r="E90" i="17"/>
  <c r="E88" i="17"/>
  <c r="E87" i="17"/>
  <c r="E95" i="17"/>
  <c r="E84" i="17"/>
  <c r="E92" i="17"/>
  <c r="E93" i="17"/>
  <c r="E89" i="17"/>
  <c r="E91" i="17"/>
  <c r="BV34" i="17"/>
  <c r="DA31" i="17"/>
  <c r="DA32" i="17" s="1"/>
  <c r="DJ17" i="14"/>
  <c r="DJ24" i="14"/>
  <c r="DJ75" i="14"/>
  <c r="DJ73" i="14"/>
  <c r="DJ74" i="14" s="1"/>
  <c r="DJ66" i="14"/>
  <c r="DJ85" i="14" s="1"/>
  <c r="DJ161" i="15"/>
  <c r="DJ18" i="17"/>
  <c r="CZ405" i="21"/>
  <c r="CZ248" i="21"/>
  <c r="CZ251" i="21" s="1"/>
  <c r="CR49" i="22"/>
  <c r="DJ147" i="15"/>
  <c r="CW116" i="22"/>
  <c r="CW133" i="22"/>
  <c r="CW136" i="22"/>
  <c r="J81" i="21"/>
  <c r="J71" i="21"/>
  <c r="W111" i="6"/>
  <c r="DD346" i="12"/>
  <c r="DH250" i="12"/>
  <c r="E25" i="37" s="1"/>
  <c r="O211" i="12"/>
  <c r="CA58" i="12"/>
  <c r="CA94" i="13" s="1"/>
  <c r="CZ157" i="12"/>
  <c r="CW180" i="12"/>
  <c r="R286" i="12"/>
  <c r="DB264" i="12"/>
  <c r="R181" i="12"/>
  <c r="R381" i="12"/>
  <c r="R379" i="12" s="1"/>
  <c r="CS180" i="12"/>
  <c r="CO256" i="12"/>
  <c r="CB155" i="22" s="1"/>
  <c r="M97" i="22"/>
  <c r="CL111" i="8"/>
  <c r="CO114" i="8"/>
  <c r="CO211" i="12"/>
  <c r="DA180" i="12"/>
  <c r="CH286" i="12"/>
  <c r="T181" i="12"/>
  <c r="CY247" i="12"/>
  <c r="CD20" i="12"/>
  <c r="DH292" i="12"/>
  <c r="S461" i="12"/>
  <c r="DD463" i="12"/>
  <c r="DH463" i="12"/>
  <c r="R180" i="12"/>
  <c r="CF342" i="12"/>
  <c r="U320" i="12"/>
  <c r="CL565" i="12"/>
  <c r="DF180" i="12"/>
  <c r="DA219" i="12"/>
  <c r="CQ257" i="12"/>
  <c r="CQ264" i="12"/>
  <c r="CU257" i="12"/>
  <c r="CU264" i="12"/>
  <c r="CJ452" i="12"/>
  <c r="DB256" i="12"/>
  <c r="CO155" i="22" s="1"/>
  <c r="CT180" i="12"/>
  <c r="CN118" i="22"/>
  <c r="DG264" i="12"/>
  <c r="CR264" i="12"/>
  <c r="CV264" i="12"/>
  <c r="CZ264" i="12"/>
  <c r="DD257" i="12"/>
  <c r="BW116" i="22"/>
  <c r="CY264" i="12"/>
  <c r="CQ113" i="8"/>
  <c r="CM461" i="12"/>
  <c r="DC250" i="12"/>
  <c r="DA326" i="12"/>
  <c r="DD250" i="12"/>
  <c r="CB565" i="12"/>
  <c r="DH346" i="12"/>
  <c r="DH347" i="12" s="1"/>
  <c r="DC346" i="12"/>
  <c r="S364" i="12"/>
  <c r="S371" i="12" s="1"/>
  <c r="CU327" i="12"/>
  <c r="DF390" i="12"/>
  <c r="DG346" i="12"/>
  <c r="T325" i="12"/>
  <c r="T329" i="12" s="1"/>
  <c r="S557" i="12"/>
  <c r="CP467" i="12"/>
  <c r="T715" i="12"/>
  <c r="CI514" i="12"/>
  <c r="CJ514" i="12" s="1"/>
  <c r="CM358" i="12"/>
  <c r="CY258" i="12"/>
  <c r="DC358" i="12"/>
  <c r="DC363" i="12" s="1"/>
  <c r="DG358" i="12"/>
  <c r="P566" i="12"/>
  <c r="CH148" i="12"/>
  <c r="DD358" i="12"/>
  <c r="DD363" i="12" s="1"/>
  <c r="CQ613" i="12"/>
  <c r="CQ615" i="12" s="1"/>
  <c r="CN467" i="12"/>
  <c r="DH344" i="12"/>
  <c r="DH327" i="12"/>
  <c r="CL263" i="12"/>
  <c r="CL257" i="12" s="1"/>
  <c r="S286" i="12"/>
  <c r="P89" i="12"/>
  <c r="P111" i="8" s="1"/>
  <c r="CR463" i="12"/>
  <c r="CK463" i="12"/>
  <c r="CN585" i="12"/>
  <c r="CN662" i="12" s="1"/>
  <c r="CP668" i="12"/>
  <c r="DE417" i="12"/>
  <c r="U417" i="12" s="1"/>
  <c r="DF416" i="12"/>
  <c r="DF426" i="12" s="1"/>
  <c r="U387" i="12"/>
  <c r="U386" i="12" s="1"/>
  <c r="BV116" i="22"/>
  <c r="V452" i="12"/>
  <c r="Q133" i="22"/>
  <c r="U461" i="12"/>
  <c r="T461" i="12"/>
  <c r="U286" i="12"/>
  <c r="P141" i="22" s="1"/>
  <c r="CX463" i="12"/>
  <c r="DF463" i="12"/>
  <c r="CM363" i="12"/>
  <c r="CM469" i="12" s="1"/>
  <c r="CA463" i="12"/>
  <c r="CM335" i="12"/>
  <c r="Q286" i="12"/>
  <c r="Q180" i="12" s="1"/>
  <c r="CS85" i="12"/>
  <c r="R85" i="12" s="1"/>
  <c r="CD342" i="12"/>
  <c r="CE342" i="12"/>
  <c r="K350" i="12"/>
  <c r="DJ463" i="12"/>
  <c r="CD94" i="13"/>
  <c r="CA100" i="12"/>
  <c r="T383" i="12"/>
  <c r="DI314" i="12"/>
  <c r="DC23" i="11"/>
  <c r="DB383" i="12"/>
  <c r="T694" i="12"/>
  <c r="DJ125" i="12"/>
  <c r="CF13" i="12"/>
  <c r="CY444" i="12"/>
  <c r="CY449" i="12" s="1"/>
  <c r="CY450" i="12" s="1"/>
  <c r="DB32" i="11"/>
  <c r="BK194" i="12"/>
  <c r="BZ37" i="22"/>
  <c r="DB298" i="12"/>
  <c r="BW85" i="22"/>
  <c r="DA30" i="12"/>
  <c r="CT23" i="11"/>
  <c r="CX23" i="11"/>
  <c r="DA250" i="12"/>
  <c r="T85" i="12"/>
  <c r="CN13" i="12"/>
  <c r="BP301" i="12"/>
  <c r="CU444" i="12"/>
  <c r="CP629" i="12"/>
  <c r="CH694" i="12"/>
  <c r="CT356" i="12"/>
  <c r="BV135" i="22"/>
  <c r="DC264" i="12"/>
  <c r="CR53" i="12"/>
  <c r="CR298" i="12"/>
  <c r="BX53" i="12"/>
  <c r="CL50" i="11"/>
  <c r="CZ55" i="12"/>
  <c r="DB50" i="11"/>
  <c r="BW183" i="12"/>
  <c r="CB53" i="12"/>
  <c r="BZ50" i="11"/>
  <c r="AZ436" i="12"/>
  <c r="CF23" i="11"/>
  <c r="CQ42" i="12"/>
  <c r="CZ84" i="12"/>
  <c r="DA84" i="12" s="1"/>
  <c r="BO184" i="12"/>
  <c r="Q359" i="12"/>
  <c r="Q360" i="12" s="1"/>
  <c r="T359" i="12"/>
  <c r="T360" i="12" s="1"/>
  <c r="DH326" i="12"/>
  <c r="DJ257" i="12"/>
  <c r="CH130" i="12"/>
  <c r="CF41" i="22"/>
  <c r="BZ183" i="12"/>
  <c r="CO42" i="12"/>
  <c r="DE42" i="12"/>
  <c r="CK50" i="11"/>
  <c r="CO50" i="11"/>
  <c r="CS444" i="12"/>
  <c r="CS449" i="12" s="1"/>
  <c r="CY24" i="12"/>
  <c r="CP23" i="11"/>
  <c r="CE184" i="12"/>
  <c r="CU114" i="8"/>
  <c r="BH13" i="12"/>
  <c r="CB13" i="12"/>
  <c r="P99" i="12"/>
  <c r="CG25" i="12"/>
  <c r="BT85" i="22" s="1"/>
  <c r="CA53" i="12"/>
  <c r="CZ83" i="12"/>
  <c r="DA83" i="12" s="1"/>
  <c r="CS23" i="11"/>
  <c r="K99" i="12"/>
  <c r="CB135" i="22"/>
  <c r="CO214" i="12"/>
  <c r="DC85" i="12"/>
  <c r="DD85" i="12" s="1"/>
  <c r="DE85" i="12" s="1"/>
  <c r="CM176" i="12"/>
  <c r="CQ131" i="12"/>
  <c r="CT126" i="12"/>
  <c r="CR219" i="12"/>
  <c r="CP288" i="12"/>
  <c r="CC118" i="22"/>
  <c r="DE219" i="12"/>
  <c r="DE288" i="12"/>
  <c r="CR118" i="22"/>
  <c r="CA118" i="22"/>
  <c r="CN212" i="12"/>
  <c r="CV288" i="12"/>
  <c r="CL212" i="12"/>
  <c r="CY287" i="12"/>
  <c r="T120" i="12"/>
  <c r="CD284" i="13"/>
  <c r="CG284" i="13"/>
  <c r="CK284" i="13"/>
  <c r="DG104" i="13"/>
  <c r="CF24" i="13"/>
  <c r="CJ24" i="13"/>
  <c r="CG10" i="6"/>
  <c r="CM127" i="22"/>
  <c r="BO72" i="22"/>
  <c r="DF110" i="13"/>
  <c r="CN125" i="22"/>
  <c r="CF127" i="22"/>
  <c r="CJ128" i="22"/>
  <c r="CU102" i="11"/>
  <c r="BX13" i="11"/>
  <c r="CA10" i="6"/>
  <c r="BQ45" i="22"/>
  <c r="CQ102" i="11"/>
  <c r="S101" i="13"/>
  <c r="N72" i="22" s="1"/>
  <c r="CP284" i="13"/>
  <c r="CM303" i="13"/>
  <c r="R314" i="13"/>
  <c r="CO369" i="13"/>
  <c r="CV299" i="13"/>
  <c r="CZ299" i="13"/>
  <c r="DH299" i="13"/>
  <c r="CR356" i="13"/>
  <c r="F89" i="17"/>
  <c r="F87" i="17"/>
  <c r="CL32" i="17"/>
  <c r="F85" i="17"/>
  <c r="CV32" i="17"/>
  <c r="CS52" i="6"/>
  <c r="CA52" i="6"/>
  <c r="CH94" i="13"/>
  <c r="AY87" i="17"/>
  <c r="F91" i="17"/>
  <c r="CA32" i="17"/>
  <c r="CD32" i="17"/>
  <c r="CR32" i="17"/>
  <c r="F93" i="17"/>
  <c r="F90" i="17"/>
  <c r="F92" i="17"/>
  <c r="CO52" i="6"/>
  <c r="BX52" i="6"/>
  <c r="CH13" i="17"/>
  <c r="CH18" i="8" s="1"/>
  <c r="CH17" i="8" s="1"/>
  <c r="CH32" i="17"/>
  <c r="F96" i="17"/>
  <c r="F83" i="17"/>
  <c r="M35" i="17"/>
  <c r="F88" i="17"/>
  <c r="CX32" i="17"/>
  <c r="CQ52" i="6"/>
  <c r="CT32" i="17"/>
  <c r="CT94" i="13"/>
  <c r="BB91" i="17"/>
  <c r="CU32" i="17"/>
  <c r="CQ94" i="13"/>
  <c r="CQ32" i="17"/>
  <c r="CQ13" i="17"/>
  <c r="CQ18" i="8" s="1"/>
  <c r="CQ17" i="8" s="1"/>
  <c r="CN94" i="13"/>
  <c r="CN13" i="17"/>
  <c r="CN18" i="8" s="1"/>
  <c r="CN17" i="8" s="1"/>
  <c r="CK52" i="6"/>
  <c r="CN32" i="17"/>
  <c r="CT13" i="17"/>
  <c r="DB18" i="8"/>
  <c r="DB17" i="8" s="1"/>
  <c r="CE13" i="17"/>
  <c r="CE18" i="8" s="1"/>
  <c r="CE17" i="8" s="1"/>
  <c r="CI32" i="17"/>
  <c r="CE94" i="13"/>
  <c r="CB52" i="6"/>
  <c r="CE32" i="17"/>
  <c r="CP32" i="17"/>
  <c r="CL13" i="17"/>
  <c r="CL18" i="8" s="1"/>
  <c r="CL94" i="13"/>
  <c r="BW80" i="6"/>
  <c r="R80" i="6"/>
  <c r="S80" i="6" s="1"/>
  <c r="BY80" i="6" s="1"/>
  <c r="DI87" i="8"/>
  <c r="DC335" i="12"/>
  <c r="CX335" i="12"/>
  <c r="CZ335" i="12"/>
  <c r="BV352" i="12"/>
  <c r="DH332" i="12"/>
  <c r="DH335" i="12" s="1"/>
  <c r="CV326" i="12"/>
  <c r="S325" i="12"/>
  <c r="CZ347" i="12"/>
  <c r="DC329" i="12"/>
  <c r="DG326" i="12"/>
  <c r="DC326" i="12"/>
  <c r="J350" i="12"/>
  <c r="BV350" i="12"/>
  <c r="DH329" i="12"/>
  <c r="CZ326" i="12"/>
  <c r="CV332" i="12"/>
  <c r="CX326" i="12"/>
  <c r="R320" i="12"/>
  <c r="CU326" i="12"/>
  <c r="CS347" i="12"/>
  <c r="CX344" i="12"/>
  <c r="CQ332" i="12"/>
  <c r="CU333" i="12" s="1"/>
  <c r="CX329" i="12"/>
  <c r="R325" i="12"/>
  <c r="R329" i="12" s="1"/>
  <c r="CX327" i="12"/>
  <c r="CF79" i="14"/>
  <c r="CF77" i="14" s="1"/>
  <c r="CF78" i="14" s="1"/>
  <c r="DH85" i="14"/>
  <c r="DH87" i="14" s="1"/>
  <c r="DH68" i="14"/>
  <c r="CY32" i="22"/>
  <c r="DJ70" i="14"/>
  <c r="DJ28" i="14"/>
  <c r="DJ51" i="14"/>
  <c r="CZ287" i="21"/>
  <c r="CZ267" i="21"/>
  <c r="CZ269" i="21" s="1"/>
  <c r="CZ261" i="21"/>
  <c r="CZ216" i="21"/>
  <c r="CS179" i="21"/>
  <c r="CS202" i="21" s="1"/>
  <c r="CZ179" i="21"/>
  <c r="CZ202" i="21" s="1"/>
  <c r="CZ205" i="21"/>
  <c r="CZ109" i="21"/>
  <c r="CZ110" i="21" s="1"/>
  <c r="DJ163" i="7"/>
  <c r="DJ91" i="13"/>
  <c r="DJ192" i="7"/>
  <c r="DJ178" i="7"/>
  <c r="DJ11" i="17"/>
  <c r="CZ28" i="21"/>
  <c r="DG11" i="16"/>
  <c r="DA17" i="11" s="1"/>
  <c r="CW12" i="21"/>
  <c r="DF11" i="16"/>
  <c r="CS49" i="22" s="1"/>
  <c r="CV12" i="21"/>
  <c r="CR12" i="21"/>
  <c r="DB11" i="16"/>
  <c r="CV17" i="11" s="1"/>
  <c r="CS12" i="21"/>
  <c r="DC11" i="16"/>
  <c r="CW17" i="11" s="1"/>
  <c r="CU258" i="12"/>
  <c r="DG347" i="12"/>
  <c r="CU462" i="12"/>
  <c r="CU358" i="12"/>
  <c r="CU363" i="12" s="1"/>
  <c r="DJ462" i="12"/>
  <c r="AA724" i="12"/>
  <c r="CP264" i="12"/>
  <c r="S180" i="12"/>
  <c r="T693" i="12"/>
  <c r="U693" i="12" s="1"/>
  <c r="V693" i="12" s="1"/>
  <c r="W693" i="12" s="1"/>
  <c r="X693" i="12" s="1"/>
  <c r="CZ114" i="8"/>
  <c r="DA113" i="8"/>
  <c r="CY219" i="12"/>
  <c r="CL118" i="22"/>
  <c r="CY288" i="12"/>
  <c r="BW45" i="22"/>
  <c r="BX80" i="6"/>
  <c r="S329" i="12"/>
  <c r="CX113" i="22"/>
  <c r="O63" i="14"/>
  <c r="P76" i="14" s="1"/>
  <c r="CZ32" i="22"/>
  <c r="DG45" i="6"/>
  <c r="CZ30" i="21"/>
  <c r="DD469" i="12"/>
  <c r="DD365" i="12"/>
  <c r="O9" i="14"/>
  <c r="CZ112" i="22"/>
  <c r="O65" i="14"/>
  <c r="R32" i="22"/>
  <c r="O83" i="14"/>
  <c r="O66" i="14" s="1"/>
  <c r="M133" i="13"/>
  <c r="CX114" i="22"/>
  <c r="W55" i="7"/>
  <c r="CX29" i="22"/>
  <c r="CY29" i="22"/>
  <c r="R13" i="20"/>
  <c r="R23" i="20" s="1"/>
  <c r="DJ46" i="16"/>
  <c r="CZ29" i="22"/>
  <c r="O14" i="14"/>
  <c r="P29" i="14" s="1"/>
  <c r="BV13" i="17"/>
  <c r="BV14" i="17" s="1"/>
  <c r="M18" i="5"/>
  <c r="N18" i="5" s="1"/>
  <c r="CX26" i="22"/>
  <c r="W58" i="12"/>
  <c r="W94" i="13" s="1"/>
  <c r="DK327" i="12"/>
  <c r="DK344" i="12"/>
  <c r="DO345" i="12" s="1"/>
  <c r="CX65" i="22"/>
  <c r="DE22" i="11"/>
  <c r="DK147" i="15"/>
  <c r="CX116" i="22"/>
  <c r="CX117" i="22"/>
  <c r="CX133" i="22"/>
  <c r="CX136" i="22"/>
  <c r="DE23" i="11"/>
  <c r="DE32" i="11"/>
  <c r="CI192" i="12"/>
  <c r="DK257" i="12"/>
  <c r="DO258" i="12" s="1"/>
  <c r="DK264" i="12"/>
  <c r="CX155" i="22"/>
  <c r="CY113" i="22"/>
  <c r="DK45" i="14"/>
  <c r="DO46" i="14" s="1"/>
  <c r="DK73" i="8"/>
  <c r="DK52" i="12"/>
  <c r="DK26" i="15"/>
  <c r="DK22" i="15"/>
  <c r="DK18" i="15"/>
  <c r="DA216" i="21"/>
  <c r="DA109" i="21"/>
  <c r="DA110" i="21" s="1"/>
  <c r="DK164" i="7"/>
  <c r="DK178" i="7"/>
  <c r="DO190" i="7" s="1"/>
  <c r="DA28" i="21"/>
  <c r="DH45" i="6" s="1"/>
  <c r="DL46" i="6" s="1"/>
  <c r="DA12" i="21"/>
  <c r="DK11" i="16"/>
  <c r="DO12" i="16" s="1"/>
  <c r="DK462" i="12"/>
  <c r="DK258" i="12"/>
  <c r="CY114" i="22"/>
  <c r="DF17" i="11"/>
  <c r="CY49" i="22"/>
  <c r="CZ49" i="22"/>
  <c r="DA248" i="21"/>
  <c r="DA251" i="21" s="1"/>
  <c r="DA255" i="21"/>
  <c r="DK21" i="12" s="1"/>
  <c r="DA261" i="21"/>
  <c r="DA282" i="21" s="1"/>
  <c r="DA287" i="21"/>
  <c r="CZ137" i="22"/>
  <c r="CY137" i="22"/>
  <c r="Q8" i="20"/>
  <c r="R7" i="20"/>
  <c r="R8" i="20" s="1"/>
  <c r="W115" i="15"/>
  <c r="DL151" i="15"/>
  <c r="CY26" i="22"/>
  <c r="S7" i="20"/>
  <c r="CZ26" i="22"/>
  <c r="W90" i="15"/>
  <c r="W91" i="15" s="1"/>
  <c r="DF31" i="11"/>
  <c r="W21" i="15"/>
  <c r="DB216" i="21"/>
  <c r="CA112" i="12"/>
  <c r="BN38" i="22" s="1"/>
  <c r="BK205" i="12"/>
  <c r="BJ205" i="12" s="1"/>
  <c r="BI205" i="12" s="1"/>
  <c r="CE189" i="12"/>
  <c r="CE112" i="12"/>
  <c r="CI189" i="12"/>
  <c r="CJ168" i="12"/>
  <c r="DL194" i="7"/>
  <c r="DL195" i="7" s="1"/>
  <c r="DL246" i="12"/>
  <c r="DL250" i="12"/>
  <c r="I25" i="37" s="1"/>
  <c r="DL292" i="12"/>
  <c r="DL264" i="12"/>
  <c r="DL390" i="12"/>
  <c r="DL287" i="12"/>
  <c r="DL157" i="12"/>
  <c r="DL444" i="12"/>
  <c r="DP445" i="12" s="1"/>
  <c r="DL329" i="12"/>
  <c r="DL326" i="12"/>
  <c r="DL299" i="13"/>
  <c r="DL72" i="14"/>
  <c r="O36" i="14"/>
  <c r="O17" i="14" s="1"/>
  <c r="R29" i="22"/>
  <c r="O75" i="14"/>
  <c r="DL17" i="14"/>
  <c r="DL38" i="14" s="1"/>
  <c r="O23" i="14"/>
  <c r="O27" i="14" s="1"/>
  <c r="CZ113" i="22"/>
  <c r="DL24" i="14"/>
  <c r="DL75" i="14"/>
  <c r="DL73" i="14"/>
  <c r="DL66" i="14"/>
  <c r="DL24" i="15"/>
  <c r="DC8" i="22"/>
  <c r="DB267" i="21"/>
  <c r="DB269" i="21" s="1"/>
  <c r="DB205" i="21"/>
  <c r="DB95" i="21"/>
  <c r="DB109" i="21" s="1"/>
  <c r="DB80" i="21"/>
  <c r="DB28" i="21"/>
  <c r="DB30" i="21" s="1"/>
  <c r="DB36" i="21"/>
  <c r="DB38" i="21" s="1"/>
  <c r="DB41" i="21" s="1"/>
  <c r="DB47" i="21" s="1"/>
  <c r="DB52" i="21" s="1"/>
  <c r="DB54" i="21" s="1"/>
  <c r="DB56" i="21" s="1"/>
  <c r="DB286" i="21"/>
  <c r="O24" i="14"/>
  <c r="O69" i="14"/>
  <c r="R114" i="22" s="1"/>
  <c r="CZ114" i="22"/>
  <c r="O71" i="14"/>
  <c r="CY65" i="22"/>
  <c r="DL147" i="15"/>
  <c r="CY116" i="22"/>
  <c r="CY117" i="22"/>
  <c r="CY133" i="22"/>
  <c r="CY136" i="22"/>
  <c r="DF41" i="11"/>
  <c r="BU103" i="11"/>
  <c r="BZ103" i="11"/>
  <c r="CZ18" i="6"/>
  <c r="DI44" i="16"/>
  <c r="CY45" i="16"/>
  <c r="DJ44" i="16"/>
  <c r="DK46" i="16"/>
  <c r="CB49" i="22"/>
  <c r="DI46" i="16"/>
  <c r="DL44" i="16"/>
  <c r="DA18" i="6"/>
  <c r="CL18" i="6"/>
  <c r="DJ114" i="17"/>
  <c r="CT65" i="22"/>
  <c r="BW51" i="15"/>
  <c r="DL169" i="15"/>
  <c r="DL39" i="12"/>
  <c r="CX171" i="7"/>
  <c r="CY167" i="7" s="1"/>
  <c r="CB13" i="6"/>
  <c r="CG49" i="6"/>
  <c r="CL192" i="7"/>
  <c r="CN91" i="13"/>
  <c r="CU68" i="6"/>
  <c r="DB89" i="8"/>
  <c r="CM116" i="6"/>
  <c r="CU11" i="17"/>
  <c r="CD59" i="6"/>
  <c r="CD63" i="6" s="1"/>
  <c r="CZ89" i="8"/>
  <c r="BR51" i="22"/>
  <c r="E10" i="5"/>
  <c r="H33" i="5"/>
  <c r="DM94" i="8"/>
  <c r="CP693" i="12"/>
  <c r="T692" i="12"/>
  <c r="U692" i="12" s="1"/>
  <c r="V692" i="12" s="1"/>
  <c r="T691" i="12"/>
  <c r="U691" i="12" s="1"/>
  <c r="S692" i="12"/>
  <c r="R693" i="12"/>
  <c r="Q692" i="12"/>
  <c r="W359" i="12"/>
  <c r="BB117" i="1"/>
  <c r="I27" i="17"/>
  <c r="AZ85" i="17"/>
  <c r="AY85" i="17"/>
  <c r="AY83" i="17"/>
  <c r="AZ93" i="17"/>
  <c r="AY91" i="17"/>
  <c r="AZ97" i="17"/>
  <c r="AY95" i="17"/>
  <c r="AZ89" i="17"/>
  <c r="AZ95" i="17"/>
  <c r="AZ94" i="17"/>
  <c r="AZ92" i="17"/>
  <c r="AY84" i="17"/>
  <c r="AY88" i="17"/>
  <c r="AY93" i="17"/>
  <c r="AZ96" i="17"/>
  <c r="AY92" i="17"/>
  <c r="AY94" i="17"/>
  <c r="AY90" i="17"/>
  <c r="AZ86" i="17"/>
  <c r="AY96" i="17"/>
  <c r="AY89" i="17"/>
  <c r="BC89" i="17"/>
  <c r="BC85" i="17"/>
  <c r="BC91" i="17"/>
  <c r="BC96" i="17"/>
  <c r="BC95" i="17"/>
  <c r="BC86" i="17"/>
  <c r="BC83" i="17"/>
  <c r="BC93" i="17"/>
  <c r="BC90" i="17"/>
  <c r="BC97" i="17"/>
  <c r="W103" i="6"/>
  <c r="W99" i="8" s="1"/>
  <c r="W100" i="8" s="1"/>
  <c r="E360" i="21"/>
  <c r="E362" i="21"/>
  <c r="E363" i="21" s="1"/>
  <c r="AI362" i="21"/>
  <c r="AI363" i="21" s="1"/>
  <c r="AI360" i="21"/>
  <c r="AQ362" i="21"/>
  <c r="AQ363" i="21"/>
  <c r="AQ360" i="21"/>
  <c r="AT362" i="21"/>
  <c r="AT363" i="21" s="1"/>
  <c r="AT360" i="21"/>
  <c r="F360" i="21"/>
  <c r="F362" i="21"/>
  <c r="F363" i="21" s="1"/>
  <c r="AG362" i="21"/>
  <c r="AG363" i="21" s="1"/>
  <c r="AG360" i="21"/>
  <c r="AO362" i="21"/>
  <c r="AO363" i="21" s="1"/>
  <c r="AO360" i="21"/>
  <c r="AU360" i="21"/>
  <c r="AU362" i="21"/>
  <c r="AU363" i="21" s="1"/>
  <c r="AM360" i="21"/>
  <c r="AM362" i="21"/>
  <c r="AM363" i="21" s="1"/>
  <c r="G362" i="21"/>
  <c r="G363" i="21" s="1"/>
  <c r="G360" i="21"/>
  <c r="AK360" i="21"/>
  <c r="AK362" i="21"/>
  <c r="AK363" i="21" s="1"/>
  <c r="AS360" i="21"/>
  <c r="AS362" i="21"/>
  <c r="AS363" i="21" s="1"/>
  <c r="AW52" i="21"/>
  <c r="AW56" i="21" s="1"/>
  <c r="AW47" i="21"/>
  <c r="CN332" i="13"/>
  <c r="CN328" i="13"/>
  <c r="CN330" i="13" s="1"/>
  <c r="CR321" i="13"/>
  <c r="CS321" i="13" s="1"/>
  <c r="CO319" i="13"/>
  <c r="Q319" i="13" s="1"/>
  <c r="CJ284" i="13"/>
  <c r="R304" i="13"/>
  <c r="S63" i="13"/>
  <c r="S64" i="13" s="1"/>
  <c r="CP103" i="13"/>
  <c r="CO302" i="13"/>
  <c r="DK115" i="13"/>
  <c r="CA13" i="11"/>
  <c r="CN102" i="11"/>
  <c r="CC219" i="13"/>
  <c r="BR149" i="22"/>
  <c r="CH22" i="11"/>
  <c r="BV284" i="13"/>
  <c r="CI126" i="22"/>
  <c r="CT110" i="13"/>
  <c r="BV112" i="13"/>
  <c r="CP31" i="11"/>
  <c r="CK72" i="22"/>
  <c r="CR102" i="11"/>
  <c r="CY102" i="13"/>
  <c r="CX102" i="13"/>
  <c r="CX104" i="13"/>
  <c r="CX103" i="13"/>
  <c r="CY104" i="13"/>
  <c r="DE364" i="13"/>
  <c r="U101" i="13"/>
  <c r="CR72" i="22"/>
  <c r="DF102" i="13"/>
  <c r="CY102" i="11"/>
  <c r="DF103" i="13"/>
  <c r="CL364" i="13"/>
  <c r="BY72" i="22"/>
  <c r="CL104" i="13"/>
  <c r="CL102" i="13"/>
  <c r="CZ367" i="13"/>
  <c r="DH298" i="13"/>
  <c r="CH22" i="13"/>
  <c r="CF125" i="22"/>
  <c r="CJ126" i="22"/>
  <c r="CF126" i="22"/>
  <c r="BZ31" i="11"/>
  <c r="CI16" i="13"/>
  <c r="CE20" i="13"/>
  <c r="BY125" i="22"/>
  <c r="BW127" i="22"/>
  <c r="BZ72" i="22"/>
  <c r="CS112" i="13"/>
  <c r="CE123" i="22"/>
  <c r="CF128" i="22"/>
  <c r="CJ127" i="22"/>
  <c r="CH31" i="11"/>
  <c r="CT54" i="13"/>
  <c r="CE128" i="22"/>
  <c r="CE16" i="13"/>
  <c r="BU123" i="22"/>
  <c r="BX125" i="22"/>
  <c r="CA125" i="22"/>
  <c r="CE126" i="22"/>
  <c r="DA72" i="22"/>
  <c r="CH20" i="13"/>
  <c r="CI128" i="22"/>
  <c r="CI127" i="22"/>
  <c r="CU128" i="22"/>
  <c r="CU127" i="22"/>
  <c r="CU126" i="22"/>
  <c r="DB127" i="22"/>
  <c r="E29" i="37"/>
  <c r="Q101" i="13"/>
  <c r="DN36" i="13"/>
  <c r="Q302" i="13"/>
  <c r="CM123" i="22"/>
  <c r="CQ123" i="22"/>
  <c r="DC127" i="22"/>
  <c r="W460" i="12"/>
  <c r="W461" i="12" s="1"/>
  <c r="DE21" i="14"/>
  <c r="AZ41" i="21"/>
  <c r="AZ47" i="21" s="1"/>
  <c r="AZ31" i="21"/>
  <c r="BD31" i="21"/>
  <c r="CU72" i="7"/>
  <c r="DI45" i="6"/>
  <c r="BH31" i="21"/>
  <c r="BL41" i="21"/>
  <c r="BL47" i="21" s="1"/>
  <c r="BL52" i="21" s="1"/>
  <c r="BL54" i="21" s="1"/>
  <c r="BL56" i="21" s="1"/>
  <c r="BD41" i="21"/>
  <c r="BD47" i="21" s="1"/>
  <c r="BD52" i="21" s="1"/>
  <c r="BD54" i="21" s="1"/>
  <c r="BD56" i="21" s="1"/>
  <c r="DA43" i="6"/>
  <c r="BB41" i="21"/>
  <c r="J31" i="21"/>
  <c r="J41" i="21"/>
  <c r="AI54" i="21"/>
  <c r="AI56" i="21" s="1"/>
  <c r="AM54" i="21"/>
  <c r="AM56" i="21" s="1"/>
  <c r="AG54" i="21"/>
  <c r="AG56" i="21" s="1"/>
  <c r="AH54" i="21"/>
  <c r="AH56" i="21" s="1"/>
  <c r="AL54" i="21"/>
  <c r="AL56" i="21" s="1"/>
  <c r="CA109" i="17"/>
  <c r="BX115" i="17"/>
  <c r="T11" i="37"/>
  <c r="BZ32" i="17"/>
  <c r="DB32" i="22"/>
  <c r="CA32" i="14"/>
  <c r="CA30" i="14" s="1"/>
  <c r="CA31" i="14" s="1"/>
  <c r="CU32" i="14"/>
  <c r="CU30" i="14" s="1"/>
  <c r="CU31" i="14" s="1"/>
  <c r="DB21" i="14"/>
  <c r="DC21" i="14"/>
  <c r="O16" i="14"/>
  <c r="DG17" i="11"/>
  <c r="O38" i="14"/>
  <c r="O132" i="14"/>
  <c r="W14" i="15"/>
  <c r="O70" i="14"/>
  <c r="O73" i="14"/>
  <c r="O72" i="14"/>
  <c r="O12" i="14"/>
  <c r="R112" i="22"/>
  <c r="O25" i="14"/>
  <c r="O11" i="14"/>
  <c r="U40" i="37"/>
  <c r="DN113" i="8"/>
  <c r="DM462" i="12"/>
  <c r="DM358" i="12"/>
  <c r="AA28" i="7"/>
  <c r="AB28" i="7" s="1"/>
  <c r="AC28" i="7" s="1"/>
  <c r="AD28" i="7" s="1"/>
  <c r="AE28" i="7" s="1"/>
  <c r="AF28" i="7" s="1"/>
  <c r="AG28" i="7" s="1"/>
  <c r="BB47" i="21"/>
  <c r="BB52" i="21"/>
  <c r="BB56" i="21" s="1"/>
  <c r="AZ52" i="21"/>
  <c r="AZ56" i="21" s="1"/>
  <c r="J47" i="21"/>
  <c r="J52" i="21"/>
  <c r="J54" i="21" s="1"/>
  <c r="DM363" i="12"/>
  <c r="DM365" i="12" s="1"/>
  <c r="DM364" i="12" s="1"/>
  <c r="DM370" i="12" s="1"/>
  <c r="DM385" i="12" s="1"/>
  <c r="DM387" i="12" s="1"/>
  <c r="W49" i="7"/>
  <c r="W29" i="8"/>
  <c r="W30" i="8"/>
  <c r="W19" i="7"/>
  <c r="W27" i="8"/>
  <c r="W28" i="8"/>
  <c r="CZ116" i="22"/>
  <c r="CZ117" i="22"/>
  <c r="CZ133" i="22"/>
  <c r="CZ136" i="22"/>
  <c r="W117" i="12"/>
  <c r="W118" i="12"/>
  <c r="W119" i="12"/>
  <c r="W120" i="12"/>
  <c r="W254" i="12"/>
  <c r="X361" i="12" s="1"/>
  <c r="W255" i="12"/>
  <c r="W263" i="12"/>
  <c r="W286" i="12"/>
  <c r="W319" i="12"/>
  <c r="W325" i="12"/>
  <c r="W368" i="12"/>
  <c r="W180" i="12"/>
  <c r="DO113" i="8"/>
  <c r="CZ155" i="22"/>
  <c r="M72" i="22"/>
  <c r="CL40" i="11"/>
  <c r="DA137" i="22"/>
  <c r="T3" i="37"/>
  <c r="DA26" i="22"/>
  <c r="CZ41" i="11"/>
  <c r="DC41" i="11"/>
  <c r="BW36" i="17"/>
  <c r="BX36" i="17"/>
  <c r="DA32" i="22"/>
  <c r="V99" i="8"/>
  <c r="V100" i="8" s="1"/>
  <c r="V104" i="6"/>
  <c r="DC32" i="22"/>
  <c r="DA29" i="22"/>
  <c r="DB72" i="22"/>
  <c r="DI102" i="11"/>
  <c r="DJ103" i="11" s="1"/>
  <c r="CO303" i="13"/>
  <c r="Q303" i="13" s="1"/>
  <c r="CM306" i="13"/>
  <c r="CM350" i="13" s="1"/>
  <c r="DA127" i="22"/>
  <c r="CR350" i="13"/>
  <c r="CS350" i="13" s="1"/>
  <c r="DJ38" i="14"/>
  <c r="DN94" i="8"/>
  <c r="CM312" i="13"/>
  <c r="CM318" i="13"/>
  <c r="CQ307" i="13"/>
  <c r="P150" i="14"/>
  <c r="DC13" i="17" l="1"/>
  <c r="DC18" i="8" s="1"/>
  <c r="DC17" i="8" s="1"/>
  <c r="DC76" i="8" s="1"/>
  <c r="BB93" i="17"/>
  <c r="DA94" i="13"/>
  <c r="CT52" i="6"/>
  <c r="CZ94" i="13"/>
  <c r="CO32" i="17"/>
  <c r="CK32" i="17"/>
  <c r="CW32" i="17"/>
  <c r="AQ110" i="21"/>
  <c r="DE68" i="14"/>
  <c r="DD68" i="14"/>
  <c r="DI68" i="14"/>
  <c r="CD79" i="14"/>
  <c r="CD77" i="14" s="1"/>
  <c r="CD78" i="14" s="1"/>
  <c r="CX79" i="14"/>
  <c r="CX77" i="14" s="1"/>
  <c r="CX78" i="14" s="1"/>
  <c r="BT90" i="15"/>
  <c r="CH215" i="13"/>
  <c r="CH257" i="13" s="1"/>
  <c r="BE101" i="15"/>
  <c r="BI101" i="15"/>
  <c r="CO128" i="15"/>
  <c r="W118" i="15"/>
  <c r="BS91" i="15"/>
  <c r="CJ354" i="13"/>
  <c r="T91" i="15"/>
  <c r="U22" i="15"/>
  <c r="CG37" i="15"/>
  <c r="BB33" i="15"/>
  <c r="BI37" i="15"/>
  <c r="AT53" i="15"/>
  <c r="AT55" i="15" s="1"/>
  <c r="AY62" i="15"/>
  <c r="CE51" i="15"/>
  <c r="CV16" i="15"/>
  <c r="CD50" i="15"/>
  <c r="BL62" i="15"/>
  <c r="CB50" i="15"/>
  <c r="DJ26" i="15"/>
  <c r="CG64" i="14"/>
  <c r="CJ52" i="15"/>
  <c r="H73" i="14"/>
  <c r="CV49" i="14"/>
  <c r="CG83" i="14"/>
  <c r="CG84" i="14" s="1"/>
  <c r="CG79" i="14" s="1"/>
  <c r="CG77" i="14" s="1"/>
  <c r="CG78" i="14" s="1"/>
  <c r="DD45" i="14"/>
  <c r="CQ35" i="22" s="1"/>
  <c r="CG39" i="13"/>
  <c r="O39" i="13" s="1"/>
  <c r="DA49" i="14"/>
  <c r="DI12" i="15"/>
  <c r="AT34" i="15"/>
  <c r="CR7" i="22"/>
  <c r="CW45" i="14"/>
  <c r="CW52" i="14" s="1"/>
  <c r="DL34" i="13"/>
  <c r="DK36" i="13"/>
  <c r="DK151" i="15"/>
  <c r="DO167" i="15" s="1"/>
  <c r="DI26" i="15"/>
  <c r="BE62" i="15"/>
  <c r="BX50" i="15"/>
  <c r="CK73" i="14"/>
  <c r="BZ22" i="15"/>
  <c r="CM113" i="15"/>
  <c r="CL64" i="14"/>
  <c r="CU34" i="13"/>
  <c r="DL22" i="15"/>
  <c r="CZ26" i="15"/>
  <c r="J37" i="15"/>
  <c r="W98" i="15"/>
  <c r="Q138" i="15"/>
  <c r="F38" i="15"/>
  <c r="O48" i="14"/>
  <c r="CD51" i="15"/>
  <c r="CK51" i="15"/>
  <c r="AU53" i="15"/>
  <c r="AU55" i="15" s="1"/>
  <c r="BD62" i="15"/>
  <c r="BH62" i="15"/>
  <c r="CB62" i="15"/>
  <c r="CW169" i="15"/>
  <c r="J50" i="15"/>
  <c r="DI68" i="15"/>
  <c r="F34" i="37" s="1"/>
  <c r="R26" i="22"/>
  <c r="BF119" i="15"/>
  <c r="DJ24" i="15"/>
  <c r="DI27" i="15"/>
  <c r="CM33" i="15"/>
  <c r="F37" i="15"/>
  <c r="CJ62" i="15"/>
  <c r="CJ64" i="15"/>
  <c r="K21" i="15"/>
  <c r="K109" i="15" s="1"/>
  <c r="AW20" i="15"/>
  <c r="AW11" i="15" s="1"/>
  <c r="CF208" i="13"/>
  <c r="CF211" i="13" s="1"/>
  <c r="W24" i="15"/>
  <c r="BO21" i="22"/>
  <c r="BI35" i="15"/>
  <c r="CK50" i="15"/>
  <c r="CL37" i="15"/>
  <c r="BY22" i="15"/>
  <c r="BZ24" i="15"/>
  <c r="CX22" i="15"/>
  <c r="CX36" i="13"/>
  <c r="W11" i="15"/>
  <c r="BO86" i="15"/>
  <c r="CM38" i="15"/>
  <c r="CL50" i="15"/>
  <c r="CH37" i="15"/>
  <c r="BI22" i="15"/>
  <c r="L21" i="15"/>
  <c r="CT18" i="15"/>
  <c r="CG8" i="22" s="1"/>
  <c r="CG9" i="22" s="1"/>
  <c r="CG13" i="22" s="1"/>
  <c r="CG22" i="22" s="1"/>
  <c r="N21" i="15"/>
  <c r="AZ64" i="15"/>
  <c r="BJ51" i="15"/>
  <c r="BN40" i="15"/>
  <c r="BN42" i="15" s="1"/>
  <c r="BJ50" i="15"/>
  <c r="BN50" i="15"/>
  <c r="AQ56" i="15"/>
  <c r="BC86" i="15"/>
  <c r="AY52" i="15"/>
  <c r="AY64" i="15" s="1"/>
  <c r="AY76" i="15" s="1"/>
  <c r="BI44" i="15"/>
  <c r="BJ43" i="15"/>
  <c r="BJ47" i="15"/>
  <c r="BJ46" i="15" s="1"/>
  <c r="BK44" i="15"/>
  <c r="W92" i="15"/>
  <c r="O130" i="14" s="1"/>
  <c r="O134" i="14" s="1"/>
  <c r="DI97" i="15"/>
  <c r="AQ119" i="15"/>
  <c r="DL97" i="15"/>
  <c r="BK50" i="15"/>
  <c r="BU46" i="15"/>
  <c r="BD86" i="15"/>
  <c r="DJ18" i="15"/>
  <c r="CW8" i="22" s="1"/>
  <c r="I40" i="15"/>
  <c r="BP24" i="15"/>
  <c r="DA26" i="15"/>
  <c r="BK35" i="15"/>
  <c r="H62" i="15"/>
  <c r="R132" i="15"/>
  <c r="AU119" i="15"/>
  <c r="AY119" i="15"/>
  <c r="CN128" i="15"/>
  <c r="CP128" i="15"/>
  <c r="S128" i="15"/>
  <c r="Q135" i="15"/>
  <c r="CI99" i="15"/>
  <c r="CI146" i="15"/>
  <c r="CH99" i="15"/>
  <c r="CH101" i="15" s="1"/>
  <c r="CL102" i="15" s="1"/>
  <c r="CI215" i="13"/>
  <c r="CI257" i="13" s="1"/>
  <c r="CI96" i="15"/>
  <c r="CL96" i="15"/>
  <c r="CI98" i="15"/>
  <c r="CI48" i="14"/>
  <c r="CM49" i="14" s="1"/>
  <c r="CU27" i="7"/>
  <c r="CY27" i="7"/>
  <c r="CY113" i="7" s="1"/>
  <c r="CE22" i="13"/>
  <c r="BK86" i="15"/>
  <c r="CA43" i="6"/>
  <c r="DU21" i="17"/>
  <c r="DE40" i="6"/>
  <c r="CG89" i="8"/>
  <c r="DB82" i="7"/>
  <c r="DE103" i="13"/>
  <c r="DA15" i="15"/>
  <c r="BK22" i="15"/>
  <c r="BS22" i="15"/>
  <c r="BW22" i="15"/>
  <c r="CZ64" i="15"/>
  <c r="CC33" i="15"/>
  <c r="CK33" i="15"/>
  <c r="BR33" i="15"/>
  <c r="BQ37" i="15"/>
  <c r="BM63" i="15"/>
  <c r="CC62" i="15"/>
  <c r="CE50" i="15"/>
  <c r="BD12" i="16"/>
  <c r="BP12" i="16"/>
  <c r="CO12" i="16"/>
  <c r="DJ15" i="15"/>
  <c r="DK110" i="13"/>
  <c r="DJ22" i="14"/>
  <c r="Q214" i="12"/>
  <c r="CW196" i="7"/>
  <c r="CV27" i="7"/>
  <c r="CV113" i="7" s="1"/>
  <c r="CX23" i="7"/>
  <c r="CX111" i="7" s="1"/>
  <c r="CX118" i="7" s="1"/>
  <c r="AW204" i="21"/>
  <c r="AW205" i="21" s="1"/>
  <c r="AW180" i="21"/>
  <c r="AS180" i="21"/>
  <c r="AO180" i="21"/>
  <c r="AK180" i="21"/>
  <c r="BM208" i="21"/>
  <c r="BA204" i="21"/>
  <c r="G179" i="21"/>
  <c r="J179" i="21"/>
  <c r="J180" i="21" s="1"/>
  <c r="I179" i="21"/>
  <c r="I204" i="21" s="1"/>
  <c r="H179" i="21"/>
  <c r="H180" i="21" s="1"/>
  <c r="BK184" i="12"/>
  <c r="DB25" i="12"/>
  <c r="CO85" i="22" s="1"/>
  <c r="BU11" i="12"/>
  <c r="BK13" i="12"/>
  <c r="CI13" i="12"/>
  <c r="CZ30" i="12"/>
  <c r="CA39" i="12"/>
  <c r="CI39" i="12"/>
  <c r="BC48" i="12"/>
  <c r="BH53" i="12"/>
  <c r="BL53" i="12"/>
  <c r="BP53" i="12"/>
  <c r="CF53" i="12"/>
  <c r="DH53" i="12"/>
  <c r="BS183" i="12"/>
  <c r="CA183" i="12"/>
  <c r="CE183" i="12"/>
  <c r="CT48" i="12"/>
  <c r="BZ11" i="12"/>
  <c r="CJ13" i="12"/>
  <c r="CX22" i="12"/>
  <c r="CW30" i="12"/>
  <c r="BX39" i="12"/>
  <c r="BU42" i="12"/>
  <c r="BN100" i="12"/>
  <c r="DL28" i="12"/>
  <c r="I16" i="37" s="1"/>
  <c r="CV41" i="11"/>
  <c r="CJ41" i="11"/>
  <c r="CZ113" i="8"/>
  <c r="CM130" i="12"/>
  <c r="BM100" i="12"/>
  <c r="CK23" i="11"/>
  <c r="CG100" i="12"/>
  <c r="BU37" i="22"/>
  <c r="CX50" i="11"/>
  <c r="CH50" i="11"/>
  <c r="CH218" i="12"/>
  <c r="F53" i="12"/>
  <c r="DB48" i="12"/>
  <c r="CX48" i="12"/>
  <c r="CN41" i="11"/>
  <c r="CP692" i="12"/>
  <c r="BI100" i="12"/>
  <c r="CT25" i="12"/>
  <c r="CG85" i="22" s="1"/>
  <c r="BR694" i="12"/>
  <c r="BY100" i="12"/>
  <c r="BQ101" i="12"/>
  <c r="CV55" i="12"/>
  <c r="CV46" i="17" s="1"/>
  <c r="CV47" i="17" s="1"/>
  <c r="CF55" i="12"/>
  <c r="CF46" i="17" s="1"/>
  <c r="CC100" i="12"/>
  <c r="CV42" i="12"/>
  <c r="CX383" i="12"/>
  <c r="BP37" i="22"/>
  <c r="I37" i="22" s="1"/>
  <c r="I38" i="22" s="1"/>
  <c r="BN11" i="12"/>
  <c r="CH176" i="12"/>
  <c r="CH179" i="12" s="1"/>
  <c r="CL26" i="11"/>
  <c r="W38" i="12"/>
  <c r="W23" i="11" s="1"/>
  <c r="CI436" i="12"/>
  <c r="CP50" i="11"/>
  <c r="H99" i="12"/>
  <c r="H100" i="12" s="1"/>
  <c r="CA40" i="17"/>
  <c r="DF48" i="12"/>
  <c r="CP48" i="12"/>
  <c r="CF41" i="11"/>
  <c r="CM99" i="12"/>
  <c r="CM100" i="12" s="1"/>
  <c r="BQ100" i="12"/>
  <c r="BI194" i="12"/>
  <c r="DE22" i="12"/>
  <c r="BU100" i="12"/>
  <c r="BE100" i="12"/>
  <c r="BP436" i="12"/>
  <c r="BP439" i="12" s="1"/>
  <c r="CQ24" i="12"/>
  <c r="P383" i="12"/>
  <c r="F14" i="12"/>
  <c r="BP14" i="12"/>
  <c r="BP69" i="12" s="1"/>
  <c r="BP72" i="12" s="1"/>
  <c r="CJ14" i="12"/>
  <c r="BW46" i="22" s="1"/>
  <c r="I88" i="22"/>
  <c r="BU101" i="12"/>
  <c r="CK101" i="12"/>
  <c r="CA184" i="12"/>
  <c r="BS570" i="12"/>
  <c r="BS13" i="12"/>
  <c r="DH30" i="12"/>
  <c r="BS39" i="12"/>
  <c r="BD53" i="12"/>
  <c r="BT53" i="12"/>
  <c r="CV53" i="12"/>
  <c r="CZ53" i="12"/>
  <c r="DD53" i="12"/>
  <c r="CK100" i="12"/>
  <c r="CQ104" i="12"/>
  <c r="BK183" i="12"/>
  <c r="BO183" i="12"/>
  <c r="BW184" i="12"/>
  <c r="BB11" i="12"/>
  <c r="DG24" i="12"/>
  <c r="CZ28" i="12"/>
  <c r="CL14" i="12"/>
  <c r="CF14" i="11" s="1"/>
  <c r="CP14" i="12"/>
  <c r="CL25" i="12"/>
  <c r="BY85" i="22" s="1"/>
  <c r="BI101" i="12"/>
  <c r="BI163" i="12" s="1"/>
  <c r="BG184" i="12"/>
  <c r="BS184" i="12"/>
  <c r="CB79" i="14"/>
  <c r="CB77" i="14" s="1"/>
  <c r="CB78" i="14" s="1"/>
  <c r="BZ79" i="14"/>
  <c r="BZ77" i="14" s="1"/>
  <c r="K19" i="5"/>
  <c r="DI40" i="6"/>
  <c r="BY31" i="6"/>
  <c r="DG85" i="6"/>
  <c r="CN68" i="6"/>
  <c r="BY35" i="6"/>
  <c r="O13" i="14"/>
  <c r="S13" i="14"/>
  <c r="CB41" i="6"/>
  <c r="CF40" i="6"/>
  <c r="CW40" i="6"/>
  <c r="CH43" i="6"/>
  <c r="CO68" i="6"/>
  <c r="CA85" i="6"/>
  <c r="CQ85" i="6"/>
  <c r="CC104" i="6"/>
  <c r="CC110" i="6" s="1"/>
  <c r="CK104" i="6"/>
  <c r="CK110" i="6" s="1"/>
  <c r="CI116" i="6"/>
  <c r="DC116" i="6"/>
  <c r="R13" i="14"/>
  <c r="R58" i="14"/>
  <c r="CC11" i="17"/>
  <c r="DE49" i="6"/>
  <c r="BO76" i="22"/>
  <c r="N150" i="6"/>
  <c r="CC79" i="14"/>
  <c r="CC77" i="14" s="1"/>
  <c r="CC78" i="14" s="1"/>
  <c r="CW79" i="14"/>
  <c r="CW77" i="14" s="1"/>
  <c r="CW78" i="14" s="1"/>
  <c r="DA86" i="14"/>
  <c r="DJ79" i="14"/>
  <c r="DJ77" i="14" s="1"/>
  <c r="DJ78" i="14" s="1"/>
  <c r="DF22" i="14"/>
  <c r="CW84" i="12"/>
  <c r="CV114" i="8"/>
  <c r="CV358" i="12"/>
  <c r="CV462" i="12"/>
  <c r="CV258" i="12"/>
  <c r="CZ258" i="12"/>
  <c r="U85" i="12"/>
  <c r="DF85" i="12"/>
  <c r="DG85" i="12" s="1"/>
  <c r="DH85" i="12" s="1"/>
  <c r="DI85" i="12" s="1"/>
  <c r="CR113" i="8"/>
  <c r="CS83" i="12"/>
  <c r="CL358" i="12"/>
  <c r="CL467" i="12"/>
  <c r="CP468" i="12" s="1"/>
  <c r="CP258" i="12"/>
  <c r="Q257" i="12"/>
  <c r="DM469" i="12"/>
  <c r="S326" i="12"/>
  <c r="DD462" i="12"/>
  <c r="DD258" i="12"/>
  <c r="Z694" i="12"/>
  <c r="Z629" i="12"/>
  <c r="Z383" i="12"/>
  <c r="Z356" i="12"/>
  <c r="BR58" i="12"/>
  <c r="L94" i="13"/>
  <c r="CT289" i="12"/>
  <c r="BU116" i="22"/>
  <c r="CI452" i="12"/>
  <c r="CF117" i="22"/>
  <c r="CS256" i="12"/>
  <c r="CR117" i="22"/>
  <c r="DE256" i="12"/>
  <c r="CR155" i="22" s="1"/>
  <c r="BY141" i="22"/>
  <c r="CL211" i="12"/>
  <c r="CL215" i="12" s="1"/>
  <c r="CK141" i="22"/>
  <c r="CX180" i="12"/>
  <c r="CU347" i="12"/>
  <c r="CM467" i="12"/>
  <c r="DB463" i="12"/>
  <c r="DM329" i="12"/>
  <c r="Z325" i="12"/>
  <c r="DF304" i="12"/>
  <c r="DF306" i="12" s="1"/>
  <c r="DF24" i="12"/>
  <c r="BX58" i="12"/>
  <c r="BX55" i="12" s="1"/>
  <c r="BX46" i="17" s="1"/>
  <c r="BX59" i="17" s="1"/>
  <c r="M94" i="13"/>
  <c r="CI183" i="12"/>
  <c r="CY463" i="12"/>
  <c r="CV467" i="12"/>
  <c r="DJ454" i="12"/>
  <c r="G24" i="37"/>
  <c r="BZ58" i="12"/>
  <c r="DD292" i="12"/>
  <c r="DD289" i="12" s="1"/>
  <c r="DD137" i="12" s="1"/>
  <c r="BX184" i="12"/>
  <c r="CL214" i="12"/>
  <c r="CE215" i="12"/>
  <c r="CE212" i="12"/>
  <c r="CE287" i="12" s="1"/>
  <c r="CI215" i="12"/>
  <c r="DB246" i="12"/>
  <c r="DF246" i="12"/>
  <c r="CP329" i="12"/>
  <c r="CP332" i="12"/>
  <c r="CP335" i="12" s="1"/>
  <c r="DB326" i="12"/>
  <c r="DB327" i="12"/>
  <c r="DD376" i="12"/>
  <c r="DD377" i="12" s="1"/>
  <c r="DD374" i="12"/>
  <c r="DE380" i="12"/>
  <c r="DE390" i="12"/>
  <c r="DE416" i="12"/>
  <c r="DF389" i="12"/>
  <c r="DF391" i="12" s="1"/>
  <c r="CP547" i="12"/>
  <c r="CP109" i="8"/>
  <c r="CM83" i="12"/>
  <c r="CN679" i="12"/>
  <c r="CO679" i="12" s="1"/>
  <c r="CO83" i="12" s="1"/>
  <c r="CO113" i="8" s="1"/>
  <c r="CD136" i="17"/>
  <c r="CD116" i="17" s="1"/>
  <c r="CI133" i="13"/>
  <c r="CI134" i="13" s="1"/>
  <c r="CI131" i="13" s="1"/>
  <c r="CV141" i="22"/>
  <c r="W264" i="12"/>
  <c r="U180" i="12"/>
  <c r="CX333" i="12"/>
  <c r="CV219" i="12"/>
  <c r="CG101" i="12"/>
  <c r="CG163" i="12" s="1"/>
  <c r="BM194" i="12"/>
  <c r="BM198" i="12" s="1"/>
  <c r="BM199" i="12" s="1"/>
  <c r="CK194" i="12"/>
  <c r="P194" i="12" s="1"/>
  <c r="CF136" i="17"/>
  <c r="CF116" i="17" s="1"/>
  <c r="CH105" i="12"/>
  <c r="CH153" i="12" s="1"/>
  <c r="DJ264" i="12"/>
  <c r="DF383" i="12"/>
  <c r="P356" i="12"/>
  <c r="CF39" i="12"/>
  <c r="CZ444" i="12"/>
  <c r="CZ446" i="12" s="1"/>
  <c r="BP13" i="12"/>
  <c r="L350" i="12"/>
  <c r="DB329" i="12"/>
  <c r="CM118" i="22"/>
  <c r="CL180" i="12"/>
  <c r="S361" i="12"/>
  <c r="DC715" i="12"/>
  <c r="BZ566" i="12"/>
  <c r="DB250" i="12"/>
  <c r="CZ329" i="12"/>
  <c r="DC720" i="12"/>
  <c r="DC726" i="12" s="1"/>
  <c r="P133" i="22"/>
  <c r="DB180" i="12"/>
  <c r="CL109" i="8"/>
  <c r="CV20" i="16"/>
  <c r="CP35" i="11" s="1"/>
  <c r="CP36" i="11" s="1"/>
  <c r="CP37" i="11" s="1"/>
  <c r="CW26" i="11"/>
  <c r="CD35" i="11"/>
  <c r="CA11" i="12"/>
  <c r="CC13" i="12"/>
  <c r="CO14" i="12"/>
  <c r="CO54" i="12" s="1"/>
  <c r="CM25" i="12"/>
  <c r="BZ85" i="22" s="1"/>
  <c r="DB30" i="12"/>
  <c r="DJ42" i="12"/>
  <c r="F48" i="12"/>
  <c r="BN53" i="12"/>
  <c r="CP60" i="12"/>
  <c r="CX60" i="12"/>
  <c r="DB60" i="12"/>
  <c r="DF60" i="12"/>
  <c r="BS100" i="12"/>
  <c r="CE118" i="12"/>
  <c r="CI118" i="12"/>
  <c r="P240" i="12"/>
  <c r="CF463" i="12"/>
  <c r="DM326" i="12"/>
  <c r="Y452" i="12"/>
  <c r="T364" i="12"/>
  <c r="U364" i="12"/>
  <c r="DJ20" i="16"/>
  <c r="DD35" i="11" s="1"/>
  <c r="DD36" i="11" s="1"/>
  <c r="DD37" i="11" s="1"/>
  <c r="DN257" i="12"/>
  <c r="DR258" i="12" s="1"/>
  <c r="DR264" i="12"/>
  <c r="CQ186" i="12"/>
  <c r="N209" i="12"/>
  <c r="DJ122" i="12"/>
  <c r="CM113" i="12"/>
  <c r="DG157" i="12"/>
  <c r="CJ20" i="12"/>
  <c r="CF20" i="12"/>
  <c r="BS571" i="12"/>
  <c r="BT569" i="12"/>
  <c r="DF721" i="12"/>
  <c r="DF762" i="12" s="1"/>
  <c r="DF764" i="12" s="1"/>
  <c r="DF767" i="12" s="1"/>
  <c r="X713" i="12"/>
  <c r="CM668" i="12"/>
  <c r="CP669" i="12"/>
  <c r="CN619" i="12"/>
  <c r="CO617" i="12" s="1"/>
  <c r="BU540" i="12"/>
  <c r="T448" i="12"/>
  <c r="W713" i="12"/>
  <c r="BY550" i="12"/>
  <c r="W739" i="12"/>
  <c r="CM670" i="12"/>
  <c r="CZ721" i="12"/>
  <c r="CZ762" i="12" s="1"/>
  <c r="CZ764" i="12" s="1"/>
  <c r="W715" i="12"/>
  <c r="Z720" i="12"/>
  <c r="T738" i="12"/>
  <c r="DI721" i="12"/>
  <c r="DI762" i="12" s="1"/>
  <c r="DI764" i="12" s="1"/>
  <c r="AA725" i="12"/>
  <c r="AB724" i="12"/>
  <c r="AD751" i="12"/>
  <c r="AC752" i="12"/>
  <c r="CW68" i="6"/>
  <c r="CL11" i="17"/>
  <c r="CE85" i="6"/>
  <c r="CA49" i="6"/>
  <c r="CT75" i="8"/>
  <c r="CN99" i="8"/>
  <c r="CN100" i="8" s="1"/>
  <c r="CB47" i="6"/>
  <c r="CF46" i="6"/>
  <c r="CB116" i="6"/>
  <c r="CV116" i="6"/>
  <c r="CE70" i="7"/>
  <c r="CD71" i="7"/>
  <c r="DB49" i="6"/>
  <c r="DD89" i="8"/>
  <c r="CQ192" i="7"/>
  <c r="CL178" i="7"/>
  <c r="CL193" i="7" s="1"/>
  <c r="DC85" i="6"/>
  <c r="CJ99" i="8"/>
  <c r="CJ100" i="8" s="1"/>
  <c r="CG104" i="6"/>
  <c r="CG110" i="6" s="1"/>
  <c r="DA68" i="6"/>
  <c r="CB12" i="6"/>
  <c r="CM85" i="6"/>
  <c r="CC68" i="6"/>
  <c r="BY112" i="6"/>
  <c r="CC112" i="6"/>
  <c r="CB50" i="6"/>
  <c r="BX86" i="6"/>
  <c r="CZ85" i="6"/>
  <c r="CW74" i="8"/>
  <c r="CP104" i="6"/>
  <c r="CP110" i="6" s="1"/>
  <c r="CB75" i="6"/>
  <c r="BZ71" i="7"/>
  <c r="CB31" i="6"/>
  <c r="DG112" i="6"/>
  <c r="CP68" i="6"/>
  <c r="O30" i="6"/>
  <c r="O31" i="6" s="1"/>
  <c r="CR178" i="7"/>
  <c r="BR76" i="22"/>
  <c r="CB59" i="6"/>
  <c r="BR61" i="22" s="1"/>
  <c r="CI91" i="13"/>
  <c r="CS74" i="8"/>
  <c r="CS346" i="13"/>
  <c r="DB112" i="6"/>
  <c r="BZ41" i="6"/>
  <c r="CU40" i="6"/>
  <c r="CY40" i="6"/>
  <c r="CN53" i="6"/>
  <c r="CB44" i="6"/>
  <c r="CC46" i="6"/>
  <c r="CE69" i="6"/>
  <c r="CM68" i="6"/>
  <c r="CB71" i="6"/>
  <c r="CG73" i="6"/>
  <c r="CK85" i="6"/>
  <c r="CG107" i="6"/>
  <c r="DB107" i="6"/>
  <c r="CK116" i="6"/>
  <c r="CA73" i="7"/>
  <c r="CI73" i="7"/>
  <c r="DD87" i="8"/>
  <c r="DX87" i="8"/>
  <c r="DV87" i="8"/>
  <c r="DY87" i="8"/>
  <c r="DW87" i="8"/>
  <c r="CE19" i="17"/>
  <c r="DG88" i="8"/>
  <c r="DX88" i="8"/>
  <c r="DY88" i="8"/>
  <c r="DV88" i="8"/>
  <c r="DW88" i="8"/>
  <c r="BZ112" i="6"/>
  <c r="CN49" i="6"/>
  <c r="CX192" i="7"/>
  <c r="CB49" i="6"/>
  <c r="DF192" i="7"/>
  <c r="CD11" i="17"/>
  <c r="CT168" i="15"/>
  <c r="CW22" i="14"/>
  <c r="DJ39" i="14"/>
  <c r="DA22" i="14"/>
  <c r="CP32" i="14"/>
  <c r="CP30" i="14" s="1"/>
  <c r="CP31" i="14" s="1"/>
  <c r="CX32" i="14"/>
  <c r="CX30" i="14" s="1"/>
  <c r="CX31" i="14" s="1"/>
  <c r="DF32" i="14"/>
  <c r="DF30" i="14" s="1"/>
  <c r="DF31" i="14" s="1"/>
  <c r="I37" i="14"/>
  <c r="I32" i="14" s="1"/>
  <c r="CT40" i="11"/>
  <c r="CE103" i="11"/>
  <c r="O61" i="11"/>
  <c r="DI45" i="16"/>
  <c r="DD17" i="11"/>
  <c r="CF49" i="22"/>
  <c r="CX18" i="6"/>
  <c r="CK12" i="16"/>
  <c r="DD45" i="16"/>
  <c r="DB45" i="16"/>
  <c r="DL45" i="16"/>
  <c r="DJ45" i="16"/>
  <c r="DL12" i="16"/>
  <c r="DH12" i="16"/>
  <c r="CP18" i="6"/>
  <c r="CP19" i="6" s="1"/>
  <c r="CU44" i="16"/>
  <c r="CM47" i="16"/>
  <c r="CP49" i="22"/>
  <c r="CX12" i="16"/>
  <c r="CN45" i="16"/>
  <c r="CL45" i="16"/>
  <c r="DC45" i="16"/>
  <c r="CU49" i="22"/>
  <c r="K11" i="16"/>
  <c r="K12" i="16" s="1"/>
  <c r="H12" i="16"/>
  <c r="BS57" i="17"/>
  <c r="BI135" i="17"/>
  <c r="BU135" i="17"/>
  <c r="BZ142" i="17"/>
  <c r="BG18" i="17"/>
  <c r="BU18" i="17"/>
  <c r="CS18" i="17"/>
  <c r="CI18" i="17"/>
  <c r="DD18" i="17"/>
  <c r="CR142" i="17"/>
  <c r="CD21" i="17"/>
  <c r="BW18" i="17"/>
  <c r="CN18" i="17"/>
  <c r="CM55" i="17"/>
  <c r="BP57" i="17"/>
  <c r="BU114" i="17"/>
  <c r="BU49" i="17" s="1"/>
  <c r="BM135" i="17"/>
  <c r="BY135" i="17"/>
  <c r="CP21" i="17"/>
  <c r="DE135" i="17"/>
  <c r="CG18" i="17"/>
  <c r="CS114" i="17"/>
  <c r="DK142" i="17"/>
  <c r="CW18" i="17"/>
  <c r="CO135" i="17"/>
  <c r="CR18" i="17"/>
  <c r="DF55" i="17"/>
  <c r="BO57" i="17"/>
  <c r="BX44" i="17"/>
  <c r="BX109" i="17"/>
  <c r="BU115" i="17"/>
  <c r="BT109" i="17"/>
  <c r="CV70" i="22"/>
  <c r="BX142" i="17"/>
  <c r="BL142" i="17"/>
  <c r="DA135" i="17"/>
  <c r="CG135" i="17"/>
  <c r="CZ108" i="17"/>
  <c r="CZ44" i="17" s="1"/>
  <c r="BX132" i="17"/>
  <c r="BY114" i="17"/>
  <c r="BY49" i="17" s="1"/>
  <c r="BQ142" i="17"/>
  <c r="CG142" i="17"/>
  <c r="CG143" i="17" s="1"/>
  <c r="CO142" i="17"/>
  <c r="BO21" i="17"/>
  <c r="BQ18" i="17"/>
  <c r="DI135" i="17"/>
  <c r="CK135" i="17"/>
  <c r="CW135" i="17"/>
  <c r="CC135" i="17"/>
  <c r="BT132" i="17"/>
  <c r="CJ132" i="17"/>
  <c r="CC114" i="17"/>
  <c r="CW114" i="17"/>
  <c r="CW550" i="12" s="1"/>
  <c r="CW557" i="12" s="1"/>
  <c r="CW69" i="22"/>
  <c r="CW70" i="22" s="1"/>
  <c r="CS135" i="17"/>
  <c r="CJ108" i="17"/>
  <c r="CJ44" i="17" s="1"/>
  <c r="BX66" i="22"/>
  <c r="CB18" i="17"/>
  <c r="CF18" i="17"/>
  <c r="DA18" i="17"/>
  <c r="CG114" i="17"/>
  <c r="CG115" i="17" s="1"/>
  <c r="DA114" i="17"/>
  <c r="DA115" i="17" s="1"/>
  <c r="CV109" i="17"/>
  <c r="DJ108" i="17"/>
  <c r="G33" i="37" s="1"/>
  <c r="CX69" i="22"/>
  <c r="CX70" i="22" s="1"/>
  <c r="DJ145" i="17"/>
  <c r="BX128" i="17"/>
  <c r="BP21" i="17"/>
  <c r="BR55" i="17"/>
  <c r="CJ18" i="17"/>
  <c r="CR55" i="17"/>
  <c r="CZ55" i="17"/>
  <c r="DI55" i="17"/>
  <c r="DJ132" i="17"/>
  <c r="CY66" i="22"/>
  <c r="CI126" i="17"/>
  <c r="CB109" i="17"/>
  <c r="CZ109" i="17"/>
  <c r="DK126" i="17"/>
  <c r="DO127" i="17" s="1"/>
  <c r="DJ126" i="17"/>
  <c r="BM18" i="17"/>
  <c r="DL114" i="17"/>
  <c r="DL118" i="17" s="1"/>
  <c r="DP119" i="17" s="1"/>
  <c r="BJ18" i="17"/>
  <c r="DT21" i="17"/>
  <c r="DS21" i="17"/>
  <c r="DK161" i="15"/>
  <c r="DK113" i="15"/>
  <c r="DK169" i="15"/>
  <c r="CW7" i="22"/>
  <c r="BI62" i="15"/>
  <c r="CB12" i="22"/>
  <c r="BY33" i="15"/>
  <c r="BT33" i="15"/>
  <c r="J51" i="15"/>
  <c r="I51" i="15"/>
  <c r="G14" i="14"/>
  <c r="G50" i="14" s="1"/>
  <c r="G55" i="14" s="1"/>
  <c r="L32" i="15"/>
  <c r="CZ22" i="15"/>
  <c r="BW109" i="15"/>
  <c r="CW12" i="15"/>
  <c r="BF33" i="15"/>
  <c r="BR38" i="15"/>
  <c r="CO49" i="14"/>
  <c r="CW49" i="14"/>
  <c r="DL116" i="15"/>
  <c r="DP117" i="15" s="1"/>
  <c r="CX7" i="22"/>
  <c r="DK34" i="13"/>
  <c r="DJ113" i="15"/>
  <c r="CH65" i="14"/>
  <c r="BT10" i="22"/>
  <c r="BT12" i="22" s="1"/>
  <c r="BE63" i="15"/>
  <c r="M32" i="15"/>
  <c r="J38" i="15"/>
  <c r="I50" i="15"/>
  <c r="BX37" i="15"/>
  <c r="BG51" i="15"/>
  <c r="BK40" i="15"/>
  <c r="BK42" i="15" s="1"/>
  <c r="DK13" i="15"/>
  <c r="DA45" i="14"/>
  <c r="CN35" i="22" s="1"/>
  <c r="DJ12" i="15"/>
  <c r="BX33" i="15"/>
  <c r="P215" i="13"/>
  <c r="P257" i="13" s="1"/>
  <c r="BQ63" i="15"/>
  <c r="W116" i="15"/>
  <c r="CO64" i="15"/>
  <c r="CO112" i="15" s="1"/>
  <c r="CY15" i="15"/>
  <c r="DC15" i="15"/>
  <c r="CA52" i="15"/>
  <c r="CA23" i="15" s="1"/>
  <c r="CI33" i="15"/>
  <c r="BZ37" i="15"/>
  <c r="BL33" i="15"/>
  <c r="BO37" i="15"/>
  <c r="AU62" i="15"/>
  <c r="BC62" i="15"/>
  <c r="BH63" i="15"/>
  <c r="CI62" i="15"/>
  <c r="CQ68" i="15"/>
  <c r="DG68" i="15"/>
  <c r="DG23" i="15" s="1"/>
  <c r="H37" i="15"/>
  <c r="DI16" i="15"/>
  <c r="DI169" i="15"/>
  <c r="DL15" i="15"/>
  <c r="DL161" i="15"/>
  <c r="CT26" i="15"/>
  <c r="J10" i="22"/>
  <c r="J12" i="22" s="1"/>
  <c r="DL113" i="15"/>
  <c r="DL64" i="15"/>
  <c r="DF109" i="11" s="1"/>
  <c r="DL54" i="14"/>
  <c r="DK27" i="15"/>
  <c r="CM45" i="14"/>
  <c r="CM37" i="13" s="1"/>
  <c r="CM41" i="13" s="1"/>
  <c r="DJ13" i="15"/>
  <c r="DI15" i="15"/>
  <c r="V11" i="15"/>
  <c r="Q7" i="22" s="1"/>
  <c r="DI64" i="15"/>
  <c r="CE33" i="15"/>
  <c r="CI52" i="15"/>
  <c r="CJ55" i="15" s="1"/>
  <c r="CM62" i="15"/>
  <c r="CH40" i="15"/>
  <c r="I38" i="15"/>
  <c r="H38" i="15"/>
  <c r="BK37" i="15"/>
  <c r="E40" i="15"/>
  <c r="BH38" i="15"/>
  <c r="CL51" i="15"/>
  <c r="BT37" i="15"/>
  <c r="AU64" i="15"/>
  <c r="BM52" i="15"/>
  <c r="J52" i="15" s="1"/>
  <c r="J108" i="15" s="1"/>
  <c r="CK22" i="15"/>
  <c r="BQ22" i="15"/>
  <c r="BA22" i="15"/>
  <c r="CF35" i="15"/>
  <c r="AY33" i="15"/>
  <c r="DF68" i="15"/>
  <c r="CS24" i="22" s="1"/>
  <c r="CL24" i="15"/>
  <c r="J21" i="15"/>
  <c r="J20" i="15" s="1"/>
  <c r="J18" i="15" s="1"/>
  <c r="J11" i="15" s="1"/>
  <c r="I21" i="15"/>
  <c r="CB7" i="22"/>
  <c r="CZ113" i="15"/>
  <c r="CF12" i="15"/>
  <c r="CG36" i="13"/>
  <c r="O36" i="13" s="1"/>
  <c r="CP36" i="13"/>
  <c r="DL49" i="14"/>
  <c r="DK16" i="15"/>
  <c r="CY7" i="22"/>
  <c r="DK64" i="15"/>
  <c r="DE109" i="11" s="1"/>
  <c r="DJ45" i="14"/>
  <c r="DI13" i="15"/>
  <c r="CV7" i="22"/>
  <c r="CG52" i="15"/>
  <c r="CG34" i="15" s="1"/>
  <c r="BN10" i="22"/>
  <c r="BN12" i="22" s="1"/>
  <c r="BP33" i="15"/>
  <c r="BV10" i="22"/>
  <c r="BV12" i="22" s="1"/>
  <c r="BY52" i="15"/>
  <c r="H40" i="15"/>
  <c r="H42" i="15" s="1"/>
  <c r="BZ40" i="15"/>
  <c r="CA41" i="15" s="1"/>
  <c r="BG37" i="15"/>
  <c r="CD37" i="15"/>
  <c r="BK51" i="15"/>
  <c r="CJ34" i="15"/>
  <c r="AP56" i="15"/>
  <c r="AP39" i="15" s="1"/>
  <c r="CA33" i="15"/>
  <c r="CC22" i="15"/>
  <c r="BM22" i="15"/>
  <c r="DC24" i="15"/>
  <c r="O21" i="15"/>
  <c r="CE52" i="15"/>
  <c r="CE34" i="15" s="1"/>
  <c r="BA52" i="15"/>
  <c r="BA64" i="15" s="1"/>
  <c r="BA76" i="15" s="1"/>
  <c r="P21" i="15"/>
  <c r="BA20" i="15"/>
  <c r="BA11" i="15" s="1"/>
  <c r="CU13" i="15"/>
  <c r="V14" i="15"/>
  <c r="V16" i="15" s="1"/>
  <c r="M21" i="15"/>
  <c r="H21" i="15"/>
  <c r="CK36" i="13"/>
  <c r="P36" i="13" s="1"/>
  <c r="CJ13" i="15"/>
  <c r="CP64" i="15"/>
  <c r="CT64" i="15"/>
  <c r="DB15" i="15"/>
  <c r="BL52" i="15"/>
  <c r="BL64" i="15" s="1"/>
  <c r="BL80" i="15" s="1"/>
  <c r="CW22" i="15"/>
  <c r="CL68" i="15"/>
  <c r="CL150" i="15" s="1"/>
  <c r="CL155" i="15" s="1"/>
  <c r="DB68" i="15"/>
  <c r="DB150" i="15" s="1"/>
  <c r="CL52" i="15"/>
  <c r="CL108" i="15" s="1"/>
  <c r="CL110" i="15" s="1"/>
  <c r="CH38" i="15"/>
  <c r="CL38" i="15"/>
  <c r="BG52" i="15"/>
  <c r="BK52" i="15"/>
  <c r="BK108" i="15" s="1"/>
  <c r="BG38" i="15"/>
  <c r="BE51" i="15"/>
  <c r="CA51" i="15"/>
  <c r="CI51" i="15"/>
  <c r="F63" i="15"/>
  <c r="AU63" i="15"/>
  <c r="BC63" i="15"/>
  <c r="BR62" i="15"/>
  <c r="BV62" i="15"/>
  <c r="CN119" i="15"/>
  <c r="CR119" i="15"/>
  <c r="DD119" i="15"/>
  <c r="DJ169" i="15"/>
  <c r="CB51" i="15"/>
  <c r="CF40" i="15"/>
  <c r="BS18" i="22" s="1"/>
  <c r="CM51" i="15"/>
  <c r="DJ27" i="15"/>
  <c r="DJ22" i="15"/>
  <c r="DL18" i="15"/>
  <c r="DP19" i="15" s="1"/>
  <c r="DL12" i="15"/>
  <c r="DL13" i="15"/>
  <c r="DK68" i="15"/>
  <c r="DK23" i="15" s="1"/>
  <c r="DI18" i="15"/>
  <c r="CV8" i="22" s="1"/>
  <c r="BZ51" i="15"/>
  <c r="CA38" i="15"/>
  <c r="BU22" i="15"/>
  <c r="BE22" i="15"/>
  <c r="G21" i="15"/>
  <c r="CP22" i="15"/>
  <c r="CP20" i="15"/>
  <c r="BI52" i="15"/>
  <c r="BI108" i="15" s="1"/>
  <c r="BI110" i="15" s="1"/>
  <c r="I110" i="15" s="1"/>
  <c r="DE113" i="15"/>
  <c r="CM7" i="22"/>
  <c r="BJ24" i="15"/>
  <c r="CM24" i="15"/>
  <c r="DD26" i="15"/>
  <c r="BW33" i="15"/>
  <c r="BX35" i="15"/>
  <c r="CJ35" i="15"/>
  <c r="AU56" i="15"/>
  <c r="DJ36" i="13"/>
  <c r="BQ18" i="22"/>
  <c r="DL68" i="15"/>
  <c r="BK33" i="15"/>
  <c r="AX33" i="15"/>
  <c r="BP52" i="15"/>
  <c r="BP64" i="15" s="1"/>
  <c r="BH35" i="15"/>
  <c r="CC50" i="15"/>
  <c r="BE38" i="15"/>
  <c r="J40" i="15"/>
  <c r="BE37" i="15"/>
  <c r="BJ40" i="15"/>
  <c r="BJ42" i="15" s="1"/>
  <c r="BV37" i="15"/>
  <c r="BS37" i="15"/>
  <c r="BV38" i="15"/>
  <c r="BU37" i="15"/>
  <c r="BQ24" i="15"/>
  <c r="CB22" i="15"/>
  <c r="DE169" i="15"/>
  <c r="DJ68" i="15"/>
  <c r="DJ150" i="15" s="1"/>
  <c r="BO51" i="15"/>
  <c r="BO33" i="15"/>
  <c r="BH52" i="15"/>
  <c r="CO37" i="15"/>
  <c r="CK37" i="15"/>
  <c r="BB35" i="15"/>
  <c r="BR37" i="15"/>
  <c r="J46" i="15"/>
  <c r="CJ50" i="15"/>
  <c r="BN37" i="15"/>
  <c r="BE40" i="15"/>
  <c r="BE42" i="15" s="1"/>
  <c r="BF37" i="15"/>
  <c r="CB52" i="15"/>
  <c r="CD33" i="15"/>
  <c r="BH109" i="15"/>
  <c r="DG169" i="15"/>
  <c r="I37" i="15"/>
  <c r="DJ64" i="15"/>
  <c r="BL35" i="15"/>
  <c r="BV35" i="15"/>
  <c r="BP35" i="15"/>
  <c r="CK40" i="15"/>
  <c r="CL41" i="15" s="1"/>
  <c r="BU51" i="15"/>
  <c r="BT38" i="15"/>
  <c r="BO38" i="15"/>
  <c r="BU38" i="15"/>
  <c r="L36" i="15"/>
  <c r="DB26" i="15"/>
  <c r="CU22" i="15"/>
  <c r="CY64" i="15"/>
  <c r="CF52" i="15"/>
  <c r="CA37" i="15"/>
  <c r="CE37" i="15"/>
  <c r="CI40" i="15"/>
  <c r="BV18" i="22" s="1"/>
  <c r="CM37" i="15"/>
  <c r="BP38" i="15"/>
  <c r="BF51" i="15"/>
  <c r="BN51" i="15"/>
  <c r="AU39" i="15"/>
  <c r="AV62" i="15"/>
  <c r="BT62" i="15"/>
  <c r="BX62" i="15"/>
  <c r="CT54" i="14"/>
  <c r="CD116" i="15"/>
  <c r="CO45" i="14"/>
  <c r="CO53" i="14" s="1"/>
  <c r="CH64" i="14"/>
  <c r="K119" i="14"/>
  <c r="DF54" i="14"/>
  <c r="BZ116" i="15"/>
  <c r="CU119" i="15"/>
  <c r="CP161" i="15"/>
  <c r="DI49" i="14"/>
  <c r="DE49" i="14"/>
  <c r="K120" i="14"/>
  <c r="DG151" i="15"/>
  <c r="CY116" i="15"/>
  <c r="DI54" i="14"/>
  <c r="CM116" i="15"/>
  <c r="CI83" i="14"/>
  <c r="CI75" i="14" s="1"/>
  <c r="CL45" i="14"/>
  <c r="CL37" i="13" s="1"/>
  <c r="CX49" i="14"/>
  <c r="DF49" i="14"/>
  <c r="CT169" i="15"/>
  <c r="CX169" i="15"/>
  <c r="DB169" i="15"/>
  <c r="DJ54" i="14"/>
  <c r="DF169" i="15"/>
  <c r="CZ116" i="15"/>
  <c r="CT151" i="15"/>
  <c r="DG161" i="15"/>
  <c r="CP169" i="15"/>
  <c r="DF161" i="15"/>
  <c r="CM119" i="15"/>
  <c r="DF45" i="14"/>
  <c r="CS35" i="22" s="1"/>
  <c r="CH50" i="14"/>
  <c r="CL51" i="14" s="1"/>
  <c r="CX161" i="15"/>
  <c r="DH116" i="15"/>
  <c r="DJ49" i="14"/>
  <c r="DF151" i="15"/>
  <c r="DF159" i="15" s="1"/>
  <c r="DB54" i="14"/>
  <c r="I120" i="14"/>
  <c r="CR116" i="15"/>
  <c r="CA116" i="15"/>
  <c r="CE116" i="15"/>
  <c r="CQ169" i="15"/>
  <c r="CM54" i="14"/>
  <c r="CW168" i="15"/>
  <c r="CH13" i="13"/>
  <c r="CO40" i="11"/>
  <c r="DA299" i="13"/>
  <c r="DB110" i="13"/>
  <c r="CW54" i="13"/>
  <c r="DK20" i="16"/>
  <c r="DE35" i="11" s="1"/>
  <c r="DE36" i="11" s="1"/>
  <c r="DE37" i="11" s="1"/>
  <c r="CW367" i="13"/>
  <c r="Q353" i="13"/>
  <c r="Q356" i="13" s="1"/>
  <c r="Q357" i="13" s="1"/>
  <c r="CE24" i="13"/>
  <c r="BY26" i="11"/>
  <c r="BY27" i="11" s="1"/>
  <c r="BY28" i="11" s="1"/>
  <c r="DA125" i="22"/>
  <c r="CI24" i="13"/>
  <c r="CS367" i="13"/>
  <c r="CS370" i="13" s="1"/>
  <c r="CS26" i="11"/>
  <c r="CS27" i="11" s="1"/>
  <c r="CS28" i="11" s="1"/>
  <c r="DL115" i="13"/>
  <c r="DL116" i="13" s="1"/>
  <c r="DX116" i="13"/>
  <c r="DW116" i="13"/>
  <c r="CF15" i="13"/>
  <c r="W69" i="13"/>
  <c r="R125" i="22" s="1"/>
  <c r="I48" i="37"/>
  <c r="K29" i="37"/>
  <c r="K42" i="37"/>
  <c r="W84" i="13"/>
  <c r="W31" i="11" s="1"/>
  <c r="CZ72" i="22"/>
  <c r="CH11" i="13"/>
  <c r="CW298" i="13"/>
  <c r="CZ127" i="22"/>
  <c r="CY20" i="16"/>
  <c r="CS35" i="11" s="1"/>
  <c r="W101" i="13"/>
  <c r="R72" i="22" s="1"/>
  <c r="CW299" i="13"/>
  <c r="DX113" i="13"/>
  <c r="DW113" i="13"/>
  <c r="CW125" i="22"/>
  <c r="CX125" i="22"/>
  <c r="H48" i="37"/>
  <c r="J42" i="37"/>
  <c r="J29" i="37"/>
  <c r="CR48" i="12"/>
  <c r="CZ50" i="11"/>
  <c r="CJ130" i="12"/>
  <c r="BW37" i="22"/>
  <c r="CS176" i="12"/>
  <c r="CS179" i="12" s="1"/>
  <c r="BG100" i="12"/>
  <c r="CH41" i="11"/>
  <c r="CE41" i="22"/>
  <c r="CO99" i="12"/>
  <c r="CO100" i="12" s="1"/>
  <c r="CI100" i="12"/>
  <c r="CS131" i="12"/>
  <c r="U27" i="12"/>
  <c r="CU30" i="12"/>
  <c r="CY30" i="12"/>
  <c r="BF48" i="12"/>
  <c r="BG53" i="12"/>
  <c r="BO53" i="12"/>
  <c r="BW53" i="12"/>
  <c r="CE53" i="12"/>
  <c r="CY53" i="12"/>
  <c r="BI143" i="12"/>
  <c r="BI165" i="12" s="1"/>
  <c r="BP100" i="12"/>
  <c r="CP104" i="12"/>
  <c r="BN183" i="12"/>
  <c r="BV183" i="12"/>
  <c r="CD184" i="12"/>
  <c r="DJ24" i="12"/>
  <c r="CV516" i="12"/>
  <c r="CN40" i="17"/>
  <c r="BU41" i="22"/>
  <c r="Q103" i="12"/>
  <c r="Q130" i="12" s="1"/>
  <c r="CE194" i="12"/>
  <c r="CE204" i="12" s="1"/>
  <c r="DJ433" i="12"/>
  <c r="CX125" i="12"/>
  <c r="CP126" i="12"/>
  <c r="CJ194" i="12"/>
  <c r="CJ198" i="12" s="1"/>
  <c r="CE55" i="12"/>
  <c r="CE46" i="17" s="1"/>
  <c r="CF47" i="17" s="1"/>
  <c r="DG20" i="16"/>
  <c r="F301" i="12"/>
  <c r="CU539" i="12"/>
  <c r="CM539" i="12"/>
  <c r="CN539" i="12" s="1"/>
  <c r="CO539" i="12" s="1"/>
  <c r="CU27" i="16"/>
  <c r="CO166" i="12"/>
  <c r="BM309" i="12"/>
  <c r="CJ101" i="12"/>
  <c r="CJ163" i="12" s="1"/>
  <c r="CJ143" i="12" s="1"/>
  <c r="CJ165" i="12" s="1"/>
  <c r="CL218" i="12"/>
  <c r="CL222" i="12" s="1"/>
  <c r="DH22" i="12"/>
  <c r="DG53" i="12"/>
  <c r="BH11" i="12"/>
  <c r="BX11" i="12"/>
  <c r="DI433" i="12"/>
  <c r="BW60" i="12"/>
  <c r="CR299" i="12"/>
  <c r="W41" i="12"/>
  <c r="W32" i="11" s="1"/>
  <c r="CK103" i="12"/>
  <c r="CK130" i="12" s="1"/>
  <c r="CQ105" i="12"/>
  <c r="CQ322" i="12" s="1"/>
  <c r="CB41" i="22"/>
  <c r="BY50" i="11"/>
  <c r="BY53" i="11" s="1"/>
  <c r="BY54" i="11" s="1"/>
  <c r="BY75" i="11" s="1"/>
  <c r="BJ13" i="12"/>
  <c r="CF135" i="22"/>
  <c r="BT194" i="12"/>
  <c r="BT198" i="12" s="1"/>
  <c r="DG42" i="12"/>
  <c r="CT39" i="12"/>
  <c r="CX28" i="12"/>
  <c r="CL304" i="12"/>
  <c r="CL306" i="12" s="1"/>
  <c r="DH298" i="12"/>
  <c r="CL473" i="12"/>
  <c r="AS63" i="12"/>
  <c r="AW63" i="12"/>
  <c r="BF53" i="12"/>
  <c r="BJ53" i="12"/>
  <c r="BC63" i="12"/>
  <c r="BK100" i="12"/>
  <c r="BO100" i="12"/>
  <c r="BT101" i="12"/>
  <c r="BT163" i="12" s="1"/>
  <c r="BT143" i="12" s="1"/>
  <c r="BW100" i="12"/>
  <c r="BY183" i="12"/>
  <c r="W27" i="12"/>
  <c r="AD32" i="37" s="1"/>
  <c r="CN25" i="12"/>
  <c r="CB11" i="12"/>
  <c r="CN11" i="12"/>
  <c r="BR437" i="12"/>
  <c r="CR22" i="12"/>
  <c r="CZ22" i="12"/>
  <c r="DD22" i="12"/>
  <c r="CW24" i="12"/>
  <c r="DE24" i="12"/>
  <c r="CT28" i="12"/>
  <c r="DJ445" i="12"/>
  <c r="CQ30" i="12"/>
  <c r="DC30" i="12"/>
  <c r="DG30" i="12"/>
  <c r="CH31" i="12"/>
  <c r="DB39" i="12"/>
  <c r="DF39" i="12"/>
  <c r="BS42" i="12"/>
  <c r="BW42" i="12"/>
  <c r="CA42" i="12"/>
  <c r="CE42" i="12"/>
  <c r="CY42" i="12"/>
  <c r="DC42" i="12"/>
  <c r="BB48" i="12"/>
  <c r="DL48" i="12"/>
  <c r="DL20" i="16"/>
  <c r="DF35" i="11" s="1"/>
  <c r="DF32" i="11"/>
  <c r="CN14" i="12"/>
  <c r="CA46" i="22" s="1"/>
  <c r="CB25" i="12"/>
  <c r="BO85" i="22" s="1"/>
  <c r="BP194" i="12"/>
  <c r="BP198" i="12" s="1"/>
  <c r="BU32" i="11"/>
  <c r="CL28" i="12"/>
  <c r="CP28" i="12"/>
  <c r="BH301" i="12"/>
  <c r="BH302" i="12" s="1"/>
  <c r="CL301" i="12"/>
  <c r="CL339" i="12" s="1"/>
  <c r="CL340" i="12" s="1"/>
  <c r="CX41" i="11"/>
  <c r="CR692" i="12"/>
  <c r="CS692" i="12" s="1"/>
  <c r="CT692" i="12" s="1"/>
  <c r="CT516" i="12" s="1"/>
  <c r="DL53" i="12"/>
  <c r="DF50" i="11"/>
  <c r="DF53" i="11" s="1"/>
  <c r="DF54" i="11" s="1"/>
  <c r="DF55" i="11" s="1"/>
  <c r="CZ48" i="12"/>
  <c r="CA85" i="22"/>
  <c r="DJ28" i="12"/>
  <c r="G16" i="37" s="1"/>
  <c r="G12" i="12"/>
  <c r="G436" i="12" s="1"/>
  <c r="DE304" i="12"/>
  <c r="DE305" i="12" s="1"/>
  <c r="CP13" i="12"/>
  <c r="CF25" i="12"/>
  <c r="BS85" i="22" s="1"/>
  <c r="BO84" i="22"/>
  <c r="CS32" i="11"/>
  <c r="DF471" i="12"/>
  <c r="DF472" i="12" s="1"/>
  <c r="CX471" i="12"/>
  <c r="CX472" i="12" s="1"/>
  <c r="CP39" i="12"/>
  <c r="DF433" i="12"/>
  <c r="DB444" i="12"/>
  <c r="DF445" i="12" s="1"/>
  <c r="CX433" i="12"/>
  <c r="CX430" i="12" s="1"/>
  <c r="CX432" i="12" s="1"/>
  <c r="CT444" i="12"/>
  <c r="CT449" i="12" s="1"/>
  <c r="CL433" i="12"/>
  <c r="CL430" i="12" s="1"/>
  <c r="BU85" i="22"/>
  <c r="CW304" i="12"/>
  <c r="CW306" i="12" s="1"/>
  <c r="DA307" i="12" s="1"/>
  <c r="CU42" i="12"/>
  <c r="CX39" i="12"/>
  <c r="CP444" i="12"/>
  <c r="CF11" i="12"/>
  <c r="CS218" i="12"/>
  <c r="CS222" i="12" s="1"/>
  <c r="CB14" i="12"/>
  <c r="CB54" i="12" s="1"/>
  <c r="CO176" i="12"/>
  <c r="CS186" i="12"/>
  <c r="CE100" i="12"/>
  <c r="BW194" i="12"/>
  <c r="BW198" i="12" s="1"/>
  <c r="BW205" i="12" s="1"/>
  <c r="BO194" i="12"/>
  <c r="BO198" i="12" s="1"/>
  <c r="DJ113" i="12"/>
  <c r="F11" i="12"/>
  <c r="S23" i="12"/>
  <c r="DH25" i="12"/>
  <c r="DH301" i="12" s="1"/>
  <c r="DH334" i="12" s="1"/>
  <c r="Q29" i="12"/>
  <c r="R29" i="12"/>
  <c r="U29" i="12"/>
  <c r="Q38" i="12"/>
  <c r="S38" i="12"/>
  <c r="S41" i="12"/>
  <c r="CL41" i="11"/>
  <c r="CN692" i="12"/>
  <c r="CP41" i="11"/>
  <c r="CN136" i="17"/>
  <c r="CN116" i="17" s="1"/>
  <c r="CN31" i="12"/>
  <c r="CA135" i="22"/>
  <c r="CT53" i="12"/>
  <c r="CF101" i="12"/>
  <c r="CF163" i="12" s="1"/>
  <c r="CF143" i="12" s="1"/>
  <c r="BS39" i="22" s="1"/>
  <c r="BZ13" i="12"/>
  <c r="BT11" i="12"/>
  <c r="BT694" i="12"/>
  <c r="CV50" i="11"/>
  <c r="DF55" i="12"/>
  <c r="DF46" i="17" s="1"/>
  <c r="DA32" i="11"/>
  <c r="CI42" i="12"/>
  <c r="CV23" i="11"/>
  <c r="CN23" i="11"/>
  <c r="DF28" i="12"/>
  <c r="DB28" i="12"/>
  <c r="CX444" i="12"/>
  <c r="CX449" i="12" s="1"/>
  <c r="CP436" i="12"/>
  <c r="CP437" i="12" s="1"/>
  <c r="CL444" i="12"/>
  <c r="CL449" i="12" s="1"/>
  <c r="CL450" i="12" s="1"/>
  <c r="BU84" i="22"/>
  <c r="DA24" i="12"/>
  <c r="CM42" i="12"/>
  <c r="CH433" i="12"/>
  <c r="CH430" i="12" s="1"/>
  <c r="DD298" i="12"/>
  <c r="DD299" i="12" s="1"/>
  <c r="CV22" i="12"/>
  <c r="CB37" i="22"/>
  <c r="CJ176" i="12"/>
  <c r="CJ132" i="12" s="1"/>
  <c r="CS130" i="12"/>
  <c r="CO131" i="12"/>
  <c r="CW122" i="12"/>
  <c r="CW177" i="12" s="1"/>
  <c r="CJ119" i="22" s="1"/>
  <c r="CS104" i="12"/>
  <c r="CO130" i="12"/>
  <c r="BT14" i="12"/>
  <c r="BT40" i="12" s="1"/>
  <c r="DF126" i="12"/>
  <c r="CA194" i="12"/>
  <c r="CA203" i="12" s="1"/>
  <c r="BS194" i="12"/>
  <c r="BS198" i="12" s="1"/>
  <c r="CO113" i="12"/>
  <c r="CU20" i="16"/>
  <c r="CO35" i="11" s="1"/>
  <c r="CO36" i="11" s="1"/>
  <c r="CO37" i="11" s="1"/>
  <c r="CT41" i="11"/>
  <c r="DD48" i="12"/>
  <c r="CV48" i="12"/>
  <c r="CN693" i="12"/>
  <c r="CR693" i="12"/>
  <c r="CS693" i="12" s="1"/>
  <c r="CT693" i="12" s="1"/>
  <c r="CN301" i="12"/>
  <c r="CN321" i="12" s="1"/>
  <c r="CN166" i="12"/>
  <c r="BD11" i="12"/>
  <c r="CD53" i="12"/>
  <c r="BH101" i="12"/>
  <c r="BH163" i="12" s="1"/>
  <c r="BV436" i="12"/>
  <c r="BV437" i="12" s="1"/>
  <c r="BB14" i="12"/>
  <c r="BB49" i="12" s="1"/>
  <c r="CJ50" i="11"/>
  <c r="CJ53" i="11" s="1"/>
  <c r="CJ54" i="11" s="1"/>
  <c r="CJ55" i="11" s="1"/>
  <c r="CP471" i="12"/>
  <c r="CP473" i="12" s="1"/>
  <c r="CH444" i="12"/>
  <c r="DD314" i="12"/>
  <c r="DD315" i="12" s="1"/>
  <c r="R103" i="12"/>
  <c r="M95" i="22" s="1"/>
  <c r="CF37" i="22"/>
  <c r="BH14" i="12"/>
  <c r="BH62" i="12" s="1"/>
  <c r="CJ218" i="12"/>
  <c r="CJ221" i="12" s="1"/>
  <c r="BN13" i="12"/>
  <c r="AZ301" i="12"/>
  <c r="BD302" i="12" s="1"/>
  <c r="CW125" i="12"/>
  <c r="BU35" i="11"/>
  <c r="CN60" i="12"/>
  <c r="CN62" i="12" s="1"/>
  <c r="CR60" i="12"/>
  <c r="CV60" i="12"/>
  <c r="CZ60" i="12"/>
  <c r="DD60" i="12"/>
  <c r="DK248" i="12"/>
  <c r="DK281" i="12"/>
  <c r="CU248" i="12"/>
  <c r="CU281" i="12"/>
  <c r="CY248" i="12"/>
  <c r="CY281" i="12"/>
  <c r="DI298" i="12"/>
  <c r="DJ298" i="12"/>
  <c r="CV281" i="12"/>
  <c r="CV248" i="12"/>
  <c r="CZ281" i="12"/>
  <c r="CZ248" i="12"/>
  <c r="DH281" i="12"/>
  <c r="DH248" i="12"/>
  <c r="CO298" i="12"/>
  <c r="CW281" i="12"/>
  <c r="CW248" i="12"/>
  <c r="BK55" i="12"/>
  <c r="BK46" i="17" s="1"/>
  <c r="BK59" i="17" s="1"/>
  <c r="CL298" i="12"/>
  <c r="CT248" i="12"/>
  <c r="CT281" i="12"/>
  <c r="CX281" i="12"/>
  <c r="CX248" i="12"/>
  <c r="DB248" i="12"/>
  <c r="DB281" i="12"/>
  <c r="DB284" i="12" s="1"/>
  <c r="DF248" i="12"/>
  <c r="DF281" i="12"/>
  <c r="V32" i="8"/>
  <c r="V91" i="8" s="1"/>
  <c r="DH65" i="8"/>
  <c r="CG73" i="8"/>
  <c r="W42" i="8"/>
  <c r="DK77" i="8"/>
  <c r="CM168" i="7"/>
  <c r="DK168" i="7"/>
  <c r="N53" i="8"/>
  <c r="DJ65" i="8"/>
  <c r="DJ71" i="8" s="1"/>
  <c r="DC65" i="8"/>
  <c r="DC71" i="8" s="1"/>
  <c r="N51" i="8"/>
  <c r="CB127" i="6"/>
  <c r="CB144" i="6" s="1"/>
  <c r="CV92" i="8"/>
  <c r="BZ65" i="8"/>
  <c r="BZ66" i="8" s="1"/>
  <c r="BZ69" i="8" s="1"/>
  <c r="CQ65" i="8"/>
  <c r="N26" i="8"/>
  <c r="CU92" i="8"/>
  <c r="CH168" i="7"/>
  <c r="CE163" i="7"/>
  <c r="CE171" i="7" s="1"/>
  <c r="CM171" i="7"/>
  <c r="CM165" i="7"/>
  <c r="DM196" i="7"/>
  <c r="DK62" i="8"/>
  <c r="CF164" i="7"/>
  <c r="CF181" i="7" s="1"/>
  <c r="CA27" i="7"/>
  <c r="CA113" i="7" s="1"/>
  <c r="CE27" i="7"/>
  <c r="CE113" i="7" s="1"/>
  <c r="CM27" i="7"/>
  <c r="CM113" i="7" s="1"/>
  <c r="CQ27" i="7"/>
  <c r="CQ113" i="7" s="1"/>
  <c r="DG27" i="7"/>
  <c r="DG113" i="7" s="1"/>
  <c r="CR27" i="7"/>
  <c r="DA27" i="7"/>
  <c r="DA113" i="7" s="1"/>
  <c r="DI27" i="7"/>
  <c r="DJ27" i="7"/>
  <c r="DJ113" i="7" s="1"/>
  <c r="DL20" i="7"/>
  <c r="DL61" i="7"/>
  <c r="DL88" i="8"/>
  <c r="DL23" i="7"/>
  <c r="DL111" i="7" s="1"/>
  <c r="DL118" i="7" s="1"/>
  <c r="DJ194" i="7"/>
  <c r="CX73" i="7"/>
  <c r="CU163" i="7"/>
  <c r="CV72" i="7"/>
  <c r="W21" i="7"/>
  <c r="W196" i="7" s="1"/>
  <c r="DJ23" i="7"/>
  <c r="DJ111" i="7" s="1"/>
  <c r="DJ118" i="7" s="1"/>
  <c r="V38" i="7"/>
  <c r="V82" i="7" s="1"/>
  <c r="CV164" i="7"/>
  <c r="CV181" i="7" s="1"/>
  <c r="CU23" i="7"/>
  <c r="CU111" i="7" s="1"/>
  <c r="CU118" i="7" s="1"/>
  <c r="T27" i="7"/>
  <c r="T113" i="7" s="1"/>
  <c r="DK65" i="7"/>
  <c r="CZ84" i="7"/>
  <c r="CC27" i="7"/>
  <c r="N27" i="7" s="1"/>
  <c r="CV163" i="7"/>
  <c r="CK194" i="7"/>
  <c r="CK195" i="7" s="1"/>
  <c r="DJ65" i="7"/>
  <c r="CS27" i="7"/>
  <c r="CS113" i="7" s="1"/>
  <c r="CV23" i="7"/>
  <c r="CV111" i="7" s="1"/>
  <c r="CV118" i="7" s="1"/>
  <c r="CF163" i="7"/>
  <c r="CF171" i="7" s="1"/>
  <c r="DA194" i="7"/>
  <c r="DF20" i="7"/>
  <c r="CA20" i="7"/>
  <c r="CI20" i="7"/>
  <c r="CM20" i="7"/>
  <c r="CQ20" i="7"/>
  <c r="CY20" i="7"/>
  <c r="CK23" i="7"/>
  <c r="CK111" i="7" s="1"/>
  <c r="CK118" i="7" s="1"/>
  <c r="CY182" i="7"/>
  <c r="CB27" i="7"/>
  <c r="CF27" i="7"/>
  <c r="CF113" i="7" s="1"/>
  <c r="DD27" i="7"/>
  <c r="DD113" i="7" s="1"/>
  <c r="DH27" i="7"/>
  <c r="DH113" i="7" s="1"/>
  <c r="DE27" i="7"/>
  <c r="DE113" i="7" s="1"/>
  <c r="CH27" i="7"/>
  <c r="CH113" i="7" s="1"/>
  <c r="CL27" i="7"/>
  <c r="CL113" i="7" s="1"/>
  <c r="DB27" i="7"/>
  <c r="DB113" i="7" s="1"/>
  <c r="CE42" i="7"/>
  <c r="CE50" i="7" s="1"/>
  <c r="DF82" i="7"/>
  <c r="DF90" i="7" s="1"/>
  <c r="DI84" i="7"/>
  <c r="DD163" i="7"/>
  <c r="CS194" i="7"/>
  <c r="CT74" i="7"/>
  <c r="DM194" i="7"/>
  <c r="DM195" i="7" s="1"/>
  <c r="CP165" i="7"/>
  <c r="DL62" i="8"/>
  <c r="DJ62" i="8"/>
  <c r="CU74" i="7"/>
  <c r="CX194" i="7"/>
  <c r="CX195" i="7" s="1"/>
  <c r="CX65" i="7"/>
  <c r="W74" i="6"/>
  <c r="W84" i="7" s="1"/>
  <c r="CX197" i="7"/>
  <c r="CO27" i="7"/>
  <c r="CO113" i="7" s="1"/>
  <c r="CI195" i="7"/>
  <c r="CY177" i="7"/>
  <c r="DI163" i="7"/>
  <c r="DI171" i="7" s="1"/>
  <c r="DJ167" i="7" s="1"/>
  <c r="DB72" i="7"/>
  <c r="DA61" i="7"/>
  <c r="CH23" i="7"/>
  <c r="CH111" i="7" s="1"/>
  <c r="CH118" i="7" s="1"/>
  <c r="CH164" i="7"/>
  <c r="V29" i="7"/>
  <c r="CJ73" i="7"/>
  <c r="CI74" i="7"/>
  <c r="W22" i="7"/>
  <c r="W194" i="7" s="1"/>
  <c r="CX165" i="7"/>
  <c r="DJ94" i="8"/>
  <c r="CA74" i="7"/>
  <c r="CV73" i="7"/>
  <c r="CV49" i="6"/>
  <c r="DB74" i="8"/>
  <c r="CN11" i="17"/>
  <c r="CN14" i="17" s="1"/>
  <c r="BY59" i="6"/>
  <c r="BO77" i="22" s="1"/>
  <c r="CF91" i="13"/>
  <c r="CX107" i="6"/>
  <c r="CC85" i="6"/>
  <c r="DC192" i="7"/>
  <c r="CE104" i="6"/>
  <c r="CE110" i="6" s="1"/>
  <c r="CI112" i="6"/>
  <c r="CH66" i="8"/>
  <c r="DG91" i="13"/>
  <c r="CC19" i="6"/>
  <c r="CQ40" i="6"/>
  <c r="CM49" i="6"/>
  <c r="CB69" i="6"/>
  <c r="CK73" i="6"/>
  <c r="CS73" i="6"/>
  <c r="DH104" i="6"/>
  <c r="DH110" i="6" s="1"/>
  <c r="CZ107" i="6"/>
  <c r="DG40" i="6"/>
  <c r="DD107" i="6"/>
  <c r="DH107" i="6"/>
  <c r="DM193" i="7"/>
  <c r="CB43" i="6"/>
  <c r="CW43" i="6"/>
  <c r="BZ47" i="6"/>
  <c r="CR49" i="6"/>
  <c r="CU192" i="7"/>
  <c r="CX89" i="8"/>
  <c r="CN192" i="7"/>
  <c r="BX44" i="6"/>
  <c r="CF11" i="17"/>
  <c r="CC49" i="6"/>
  <c r="DI85" i="6"/>
  <c r="CG85" i="6"/>
  <c r="DA85" i="6"/>
  <c r="CW85" i="6"/>
  <c r="CQ20" i="16"/>
  <c r="CK35" i="11" s="1"/>
  <c r="CK36" i="11" s="1"/>
  <c r="CK37" i="11" s="1"/>
  <c r="DC91" i="13"/>
  <c r="DF74" i="8"/>
  <c r="CA72" i="7"/>
  <c r="BX43" i="6"/>
  <c r="BX53" i="6"/>
  <c r="BX54" i="6" s="1"/>
  <c r="BZ59" i="6"/>
  <c r="CU178" i="7"/>
  <c r="CO94" i="8"/>
  <c r="BZ33" i="6"/>
  <c r="CF178" i="7"/>
  <c r="CF193" i="7" s="1"/>
  <c r="DD75" i="8"/>
  <c r="DC104" i="6"/>
  <c r="DC110" i="6" s="1"/>
  <c r="DC112" i="6"/>
  <c r="CG40" i="6"/>
  <c r="CX40" i="6"/>
  <c r="DD43" i="6"/>
  <c r="CE43" i="6"/>
  <c r="CB46" i="6"/>
  <c r="CL68" i="6"/>
  <c r="Q78" i="6"/>
  <c r="Q93" i="8" s="1"/>
  <c r="CV85" i="6"/>
  <c r="BY107" i="6"/>
  <c r="CO107" i="6"/>
  <c r="DA117" i="6"/>
  <c r="CJ116" i="6"/>
  <c r="CN116" i="6"/>
  <c r="CR116" i="6"/>
  <c r="V115" i="6"/>
  <c r="V121" i="6" s="1"/>
  <c r="W115" i="6"/>
  <c r="W629" i="12"/>
  <c r="BY118" i="6"/>
  <c r="DJ87" i="8"/>
  <c r="CD104" i="6"/>
  <c r="CD110" i="6" s="1"/>
  <c r="CQ43" i="6"/>
  <c r="CQ12" i="17"/>
  <c r="CL93" i="8"/>
  <c r="CA70" i="7"/>
  <c r="BX47" i="6"/>
  <c r="BX59" i="6"/>
  <c r="BX61" i="6" s="1"/>
  <c r="CY49" i="6"/>
  <c r="CX68" i="6"/>
  <c r="CF85" i="6"/>
  <c r="CM53" i="6"/>
  <c r="BY694" i="12"/>
  <c r="CR192" i="7"/>
  <c r="CR193" i="7" s="1"/>
  <c r="DF178" i="7"/>
  <c r="DJ190" i="7" s="1"/>
  <c r="CN107" i="6"/>
  <c r="DD116" i="6"/>
  <c r="BZ46" i="6"/>
  <c r="DD11" i="17"/>
  <c r="DA74" i="8"/>
  <c r="CK89" i="8"/>
  <c r="CX104" i="6"/>
  <c r="CX110" i="6" s="1"/>
  <c r="CA75" i="8"/>
  <c r="CZ117" i="6"/>
  <c r="CZ120" i="6" s="1"/>
  <c r="DM383" i="12"/>
  <c r="CT73" i="7"/>
  <c r="CA56" i="17"/>
  <c r="DI49" i="6"/>
  <c r="CZ43" i="6"/>
  <c r="CB86" i="6"/>
  <c r="CO89" i="8"/>
  <c r="CO49" i="6"/>
  <c r="BX69" i="6"/>
  <c r="BN76" i="22"/>
  <c r="BX41" i="6"/>
  <c r="CX178" i="7"/>
  <c r="CX190" i="7" s="1"/>
  <c r="DH116" i="6"/>
  <c r="DL192" i="7"/>
  <c r="DK94" i="8"/>
  <c r="DG49" i="6"/>
  <c r="DG104" i="6"/>
  <c r="DG110" i="6" s="1"/>
  <c r="CN85" i="6"/>
  <c r="CH68" i="6"/>
  <c r="CV107" i="6"/>
  <c r="CA178" i="7"/>
  <c r="CA190" i="7" s="1"/>
  <c r="CR85" i="6"/>
  <c r="CE192" i="7"/>
  <c r="DC49" i="6"/>
  <c r="CN117" i="6"/>
  <c r="CN120" i="6" s="1"/>
  <c r="DD117" i="6"/>
  <c r="DD120" i="6" s="1"/>
  <c r="CE32" i="6"/>
  <c r="CP163" i="6"/>
  <c r="CQ75" i="8"/>
  <c r="DC107" i="6"/>
  <c r="W42" i="6"/>
  <c r="S42" i="6"/>
  <c r="CV43" i="6"/>
  <c r="BX31" i="6"/>
  <c r="BX35" i="6"/>
  <c r="BX71" i="6"/>
  <c r="CJ85" i="6"/>
  <c r="DB91" i="13"/>
  <c r="CF107" i="6"/>
  <c r="CY53" i="6"/>
  <c r="CR53" i="6"/>
  <c r="DC20" i="16"/>
  <c r="DF104" i="6"/>
  <c r="DF110" i="6" s="1"/>
  <c r="CB85" i="6"/>
  <c r="CR11" i="17"/>
  <c r="CV12" i="17" s="1"/>
  <c r="DF91" i="13"/>
  <c r="CW107" i="6"/>
  <c r="DD84" i="7"/>
  <c r="CO99" i="8"/>
  <c r="CO100" i="8" s="1"/>
  <c r="CV84" i="7"/>
  <c r="CT68" i="6"/>
  <c r="CA44" i="6"/>
  <c r="BW53" i="6"/>
  <c r="BW54" i="6" s="1"/>
  <c r="P39" i="6"/>
  <c r="CI53" i="6"/>
  <c r="T39" i="6"/>
  <c r="N42" i="6"/>
  <c r="N43" i="6" s="1"/>
  <c r="CC53" i="6"/>
  <c r="CC56" i="6" s="1"/>
  <c r="CD47" i="6"/>
  <c r="CR68" i="6"/>
  <c r="CV68" i="6"/>
  <c r="U67" i="6"/>
  <c r="U74" i="8" s="1"/>
  <c r="DD68" i="6"/>
  <c r="V70" i="6"/>
  <c r="V90" i="8" s="1"/>
  <c r="N84" i="6"/>
  <c r="N75" i="8" s="1"/>
  <c r="R84" i="6"/>
  <c r="DM74" i="8"/>
  <c r="DM89" i="8"/>
  <c r="DA40" i="6"/>
  <c r="W116" i="6"/>
  <c r="DH68" i="6"/>
  <c r="CV46" i="6"/>
  <c r="DA53" i="6"/>
  <c r="CT72" i="7"/>
  <c r="CE53" i="6"/>
  <c r="CE56" i="6" s="1"/>
  <c r="CE76" i="6" s="1"/>
  <c r="CE88" i="6" s="1"/>
  <c r="CQ89" i="8"/>
  <c r="BZ50" i="6"/>
  <c r="CH46" i="6"/>
  <c r="CF74" i="7"/>
  <c r="CB73" i="7"/>
  <c r="CG43" i="6"/>
  <c r="DH11" i="17"/>
  <c r="T67" i="6"/>
  <c r="T74" i="8" s="1"/>
  <c r="DG74" i="8"/>
  <c r="DH49" i="6"/>
  <c r="DK192" i="7"/>
  <c r="DK193" i="7" s="1"/>
  <c r="DG68" i="6"/>
  <c r="DG116" i="6"/>
  <c r="CZ68" i="6"/>
  <c r="BW40" i="6"/>
  <c r="CD19" i="17"/>
  <c r="DJ73" i="6"/>
  <c r="W78" i="6"/>
  <c r="W93" i="8" s="1"/>
  <c r="CS53" i="6"/>
  <c r="CV74" i="7"/>
  <c r="DM99" i="8"/>
  <c r="DM100" i="8" s="1"/>
  <c r="CC20" i="17"/>
  <c r="CB33" i="6"/>
  <c r="CJ72" i="7"/>
  <c r="CD46" i="6"/>
  <c r="CF73" i="7"/>
  <c r="CB72" i="7"/>
  <c r="CC43" i="6"/>
  <c r="DH192" i="7"/>
  <c r="CU53" i="6"/>
  <c r="CY54" i="6" s="1"/>
  <c r="DH53" i="6"/>
  <c r="DL54" i="6" s="1"/>
  <c r="DK11" i="17"/>
  <c r="DJ89" i="8"/>
  <c r="CV53" i="6"/>
  <c r="CV54" i="6" s="1"/>
  <c r="DG117" i="6"/>
  <c r="DF112" i="6"/>
  <c r="CS49" i="6"/>
  <c r="DC186" i="7"/>
  <c r="CA19" i="17"/>
  <c r="DJ112" i="6"/>
  <c r="CD60" i="6"/>
  <c r="R67" i="6"/>
  <c r="R74" i="8" s="1"/>
  <c r="DH178" i="7"/>
  <c r="DH190" i="7" s="1"/>
  <c r="DI116" i="6"/>
  <c r="DK91" i="13"/>
  <c r="CM89" i="8"/>
  <c r="CZ27" i="16"/>
  <c r="CZ56" i="17" s="1"/>
  <c r="CJ68" i="6"/>
  <c r="DB73" i="7"/>
  <c r="DA49" i="6"/>
  <c r="O72" i="22"/>
  <c r="Q102" i="13"/>
  <c r="U102" i="13"/>
  <c r="CB91" i="14"/>
  <c r="CB142" i="14" s="1"/>
  <c r="CC88" i="14"/>
  <c r="BO34" i="22"/>
  <c r="DE85" i="14"/>
  <c r="DA67" i="14"/>
  <c r="DI85" i="14"/>
  <c r="DB68" i="14"/>
  <c r="CS79" i="14"/>
  <c r="CS77" i="14" s="1"/>
  <c r="CS78" i="14" s="1"/>
  <c r="BN34" i="22"/>
  <c r="DI67" i="14"/>
  <c r="DF67" i="14"/>
  <c r="DB85" i="14"/>
  <c r="DB86" i="14" s="1"/>
  <c r="CA91" i="14"/>
  <c r="CO79" i="14"/>
  <c r="CO77" i="14" s="1"/>
  <c r="CO78" i="14" s="1"/>
  <c r="DJ67" i="14"/>
  <c r="O85" i="14"/>
  <c r="DI160" i="15"/>
  <c r="CQ168" i="15"/>
  <c r="J100" i="12"/>
  <c r="DJ12" i="16"/>
  <c r="DR44" i="16"/>
  <c r="DT44" i="16"/>
  <c r="DS44" i="16"/>
  <c r="DR46" i="16"/>
  <c r="DT46" i="16"/>
  <c r="DS46" i="16"/>
  <c r="DR45" i="16"/>
  <c r="DT45" i="16"/>
  <c r="DS45" i="16"/>
  <c r="DR47" i="16"/>
  <c r="DT47" i="16"/>
  <c r="DS47" i="16"/>
  <c r="BJ207" i="21"/>
  <c r="BJ208" i="21" s="1"/>
  <c r="BJ205" i="21"/>
  <c r="I180" i="21"/>
  <c r="BI205" i="21"/>
  <c r="BI207" i="21"/>
  <c r="BI208" i="21" s="1"/>
  <c r="AI207" i="21"/>
  <c r="AI208" i="21" s="1"/>
  <c r="AI205" i="21"/>
  <c r="E207" i="21"/>
  <c r="E208" i="21" s="1"/>
  <c r="E205" i="21"/>
  <c r="AX208" i="21"/>
  <c r="AX180" i="21"/>
  <c r="AX204" i="21"/>
  <c r="AX205" i="21" s="1"/>
  <c r="G204" i="21"/>
  <c r="G180" i="21"/>
  <c r="AT204" i="21"/>
  <c r="AH180" i="21"/>
  <c r="BN208" i="21"/>
  <c r="AL180" i="21"/>
  <c r="AL204" i="21"/>
  <c r="AP207" i="21"/>
  <c r="AP208" i="21" s="1"/>
  <c r="AP205" i="21"/>
  <c r="BB208" i="21"/>
  <c r="BB180" i="21"/>
  <c r="BB204" i="21"/>
  <c r="BB205" i="21" s="1"/>
  <c r="AH207" i="21"/>
  <c r="AH208" i="21" s="1"/>
  <c r="AR205" i="21"/>
  <c r="BG205" i="21"/>
  <c r="AK207" i="21"/>
  <c r="AK208" i="21" s="1"/>
  <c r="AQ205" i="21"/>
  <c r="AJ205" i="21"/>
  <c r="CJ215" i="12"/>
  <c r="P214" i="12"/>
  <c r="DJ157" i="12"/>
  <c r="DA113" i="12"/>
  <c r="DA157" i="12"/>
  <c r="DE157" i="12"/>
  <c r="CC95" i="7"/>
  <c r="CG95" i="7"/>
  <c r="BP77" i="22"/>
  <c r="CC94" i="7"/>
  <c r="CG20" i="17"/>
  <c r="CB63" i="6"/>
  <c r="BZ63" i="6"/>
  <c r="BZ60" i="6"/>
  <c r="BT61" i="22"/>
  <c r="CG94" i="7"/>
  <c r="BT77" i="22"/>
  <c r="CD61" i="6"/>
  <c r="CF38" i="22"/>
  <c r="CW113" i="12"/>
  <c r="CS126" i="12"/>
  <c r="CW186" i="12"/>
  <c r="CB212" i="12"/>
  <c r="CB287" i="12" s="1"/>
  <c r="CG148" i="12"/>
  <c r="DI157" i="12"/>
  <c r="CF212" i="12"/>
  <c r="CF287" i="12" s="1"/>
  <c r="DA126" i="12"/>
  <c r="DF125" i="12"/>
  <c r="CJ38" i="22"/>
  <c r="DJ186" i="12"/>
  <c r="CW126" i="12"/>
  <c r="P241" i="12"/>
  <c r="CS122" i="12"/>
  <c r="CS177" i="12" s="1"/>
  <c r="CP186" i="12"/>
  <c r="CD136" i="12"/>
  <c r="CX157" i="12"/>
  <c r="DB157" i="12"/>
  <c r="DF157" i="12"/>
  <c r="DK114" i="12"/>
  <c r="DL126" i="12"/>
  <c r="DC126" i="12"/>
  <c r="CX122" i="12"/>
  <c r="CX177" i="12" s="1"/>
  <c r="CK119" i="22" s="1"/>
  <c r="CX186" i="12"/>
  <c r="CT114" i="12"/>
  <c r="CP113" i="12"/>
  <c r="BY38" i="22"/>
  <c r="CD148" i="12"/>
  <c r="DK292" i="12"/>
  <c r="DO293" i="12" s="1"/>
  <c r="DK113" i="12"/>
  <c r="CL126" i="12"/>
  <c r="CX126" i="12"/>
  <c r="CX114" i="12"/>
  <c r="CU114" i="12"/>
  <c r="CT113" i="12"/>
  <c r="CP122" i="12"/>
  <c r="CP127" i="12" s="1"/>
  <c r="CL182" i="12"/>
  <c r="CL184" i="12" s="1"/>
  <c r="DI122" i="12"/>
  <c r="DI177" i="12" s="1"/>
  <c r="W156" i="12"/>
  <c r="CX113" i="12"/>
  <c r="CT103" i="12"/>
  <c r="CT131" i="12" s="1"/>
  <c r="CT125" i="12"/>
  <c r="CL125" i="12"/>
  <c r="DI125" i="12"/>
  <c r="DJ114" i="12"/>
  <c r="CM132" i="12"/>
  <c r="BC102" i="12"/>
  <c r="AZ146" i="12"/>
  <c r="K100" i="12"/>
  <c r="BB102" i="12"/>
  <c r="CC204" i="12"/>
  <c r="N204" i="12" s="1"/>
  <c r="CJ212" i="12"/>
  <c r="CE168" i="12"/>
  <c r="CE170" i="12" s="1"/>
  <c r="CI168" i="12"/>
  <c r="CX47" i="14"/>
  <c r="CX57" i="14" s="1"/>
  <c r="DL168" i="15"/>
  <c r="T326" i="12"/>
  <c r="CT333" i="12"/>
  <c r="CT326" i="12"/>
  <c r="DF326" i="12"/>
  <c r="DN329" i="12"/>
  <c r="DR326" i="12"/>
  <c r="DH333" i="12"/>
  <c r="DF332" i="12"/>
  <c r="DF335" i="12" s="1"/>
  <c r="CT327" i="12"/>
  <c r="CB112" i="12"/>
  <c r="BO38" i="22" s="1"/>
  <c r="N19" i="5"/>
  <c r="O18" i="5"/>
  <c r="BL58" i="12"/>
  <c r="CV472" i="12"/>
  <c r="CQ473" i="12"/>
  <c r="DI472" i="12"/>
  <c r="CS32" i="17"/>
  <c r="CC13" i="17"/>
  <c r="CC18" i="8" s="1"/>
  <c r="CC17" i="8" s="1"/>
  <c r="F121" i="35"/>
  <c r="F105" i="35" s="1"/>
  <c r="C121" i="35"/>
  <c r="C105" i="35" s="1"/>
  <c r="CB115" i="13"/>
  <c r="CA115" i="13"/>
  <c r="CE116" i="13" s="1"/>
  <c r="BZ115" i="13"/>
  <c r="CC115" i="13"/>
  <c r="F22" i="20"/>
  <c r="F28" i="20" s="1"/>
  <c r="G22" i="20" s="1"/>
  <c r="G28" i="20" s="1"/>
  <c r="H22" i="20" s="1"/>
  <c r="H28" i="20" s="1"/>
  <c r="E37" i="20"/>
  <c r="E40" i="20" s="1"/>
  <c r="CJ115" i="13"/>
  <c r="CN116" i="13" s="1"/>
  <c r="S8" i="20"/>
  <c r="T7" i="20"/>
  <c r="CZ115" i="13"/>
  <c r="DD116" i="13" s="1"/>
  <c r="M120" i="35"/>
  <c r="M121" i="35" s="1"/>
  <c r="M105" i="35" s="1"/>
  <c r="G120" i="35"/>
  <c r="G121" i="35" s="1"/>
  <c r="G105" i="35" s="1"/>
  <c r="Q23" i="20"/>
  <c r="E120" i="35"/>
  <c r="U5" i="20"/>
  <c r="V5" i="20" s="1"/>
  <c r="W5" i="20" s="1"/>
  <c r="X5" i="20" s="1"/>
  <c r="Y5" i="20" s="1"/>
  <c r="J64" i="19"/>
  <c r="U5" i="19"/>
  <c r="V5" i="19" s="1"/>
  <c r="W5" i="19" s="1"/>
  <c r="X5" i="19" s="1"/>
  <c r="Y5" i="19" s="1"/>
  <c r="DE103" i="11"/>
  <c r="CX14" i="17"/>
  <c r="CZ13" i="17"/>
  <c r="CZ18" i="8" s="1"/>
  <c r="CZ17" i="8" s="1"/>
  <c r="CZ76" i="8" s="1"/>
  <c r="BB90" i="17"/>
  <c r="BB86" i="17"/>
  <c r="BB96" i="17"/>
  <c r="CK94" i="13"/>
  <c r="CK40" i="17" s="1"/>
  <c r="DC14" i="17"/>
  <c r="CZ52" i="6"/>
  <c r="DD31" i="17"/>
  <c r="CC32" i="17"/>
  <c r="CP52" i="6"/>
  <c r="R52" i="6" s="1"/>
  <c r="CW52" i="6"/>
  <c r="CK14" i="17"/>
  <c r="CL52" i="6"/>
  <c r="CS94" i="13"/>
  <c r="CS40" i="17" s="1"/>
  <c r="BY13" i="17"/>
  <c r="BY14" i="17" s="1"/>
  <c r="CS13" i="17"/>
  <c r="CS18" i="8" s="1"/>
  <c r="CS17" i="8" s="1"/>
  <c r="CS76" i="8" s="1"/>
  <c r="BB87" i="17"/>
  <c r="BB95" i="17"/>
  <c r="BB97" i="17"/>
  <c r="DC32" i="17"/>
  <c r="BC94" i="17"/>
  <c r="AY97" i="17"/>
  <c r="BY94" i="13"/>
  <c r="G83" i="17"/>
  <c r="G86" i="17"/>
  <c r="G91" i="17"/>
  <c r="G92" i="17"/>
  <c r="G87" i="17"/>
  <c r="J27" i="17"/>
  <c r="CH52" i="6"/>
  <c r="P52" i="6" s="1"/>
  <c r="CO94" i="13"/>
  <c r="CO40" i="17" s="1"/>
  <c r="CW94" i="13"/>
  <c r="CW40" i="17" s="1"/>
  <c r="H27" i="17"/>
  <c r="BB88" i="17"/>
  <c r="BB84" i="17"/>
  <c r="BC87" i="17"/>
  <c r="G89" i="17"/>
  <c r="G96" i="17"/>
  <c r="G85" i="17"/>
  <c r="CG32" i="17"/>
  <c r="CD52" i="6"/>
  <c r="CR13" i="17"/>
  <c r="CR18" i="8" s="1"/>
  <c r="CR17" i="8" s="1"/>
  <c r="CH115" i="13"/>
  <c r="DA115" i="13"/>
  <c r="DH87" i="8"/>
  <c r="DK47" i="16"/>
  <c r="DD47" i="16"/>
  <c r="DL47" i="16"/>
  <c r="U48" i="16"/>
  <c r="U23" i="16" s="1"/>
  <c r="CF115" i="13"/>
  <c r="CX87" i="8"/>
  <c r="CV46" i="16"/>
  <c r="CV48" i="16" s="1"/>
  <c r="CV23" i="16" s="1"/>
  <c r="CW46" i="16"/>
  <c r="BY112" i="13"/>
  <c r="CC113" i="13" s="1"/>
  <c r="DB87" i="8"/>
  <c r="DE112" i="13"/>
  <c r="DM87" i="8"/>
  <c r="DE87" i="8"/>
  <c r="U113" i="13"/>
  <c r="DC87" i="8"/>
  <c r="R113" i="13"/>
  <c r="CL112" i="13"/>
  <c r="DB112" i="13"/>
  <c r="DB113" i="13" s="1"/>
  <c r="DK87" i="8"/>
  <c r="DG87" i="8"/>
  <c r="DF87" i="8"/>
  <c r="P11" i="16"/>
  <c r="BM57" i="17"/>
  <c r="BQ57" i="17"/>
  <c r="BU57" i="17"/>
  <c r="BY57" i="17"/>
  <c r="BI12" i="16"/>
  <c r="BY12" i="16"/>
  <c r="DC12" i="16"/>
  <c r="CL49" i="22"/>
  <c r="BE12" i="16"/>
  <c r="BQ12" i="16"/>
  <c r="BU12" i="16"/>
  <c r="P17" i="11"/>
  <c r="K49" i="22"/>
  <c r="DM12" i="16"/>
  <c r="DF18" i="6"/>
  <c r="CS17" i="11"/>
  <c r="CA18" i="6"/>
  <c r="CZ19" i="6"/>
  <c r="CW49" i="22"/>
  <c r="CR47" i="16"/>
  <c r="CR45" i="16"/>
  <c r="CQ47" i="16"/>
  <c r="CY18" i="6"/>
  <c r="CY19" i="6" s="1"/>
  <c r="CP47" i="16"/>
  <c r="BL126" i="17"/>
  <c r="BF18" i="17"/>
  <c r="K139" i="17"/>
  <c r="CH18" i="17"/>
  <c r="CL18" i="17"/>
  <c r="BN132" i="17"/>
  <c r="BV132" i="17"/>
  <c r="BG135" i="17"/>
  <c r="BK135" i="17"/>
  <c r="DG135" i="17"/>
  <c r="BK138" i="17"/>
  <c r="BO138" i="17"/>
  <c r="BS138" i="17"/>
  <c r="BW138" i="17"/>
  <c r="CA138" i="17"/>
  <c r="CY145" i="17"/>
  <c r="BE142" i="17"/>
  <c r="BP142" i="17"/>
  <c r="BT142" i="17"/>
  <c r="BX145" i="17"/>
  <c r="CN142" i="17"/>
  <c r="CR145" i="17"/>
  <c r="BP18" i="17"/>
  <c r="BW21" i="17"/>
  <c r="CE18" i="17"/>
  <c r="DI21" i="17"/>
  <c r="CZ18" i="17"/>
  <c r="V17" i="17"/>
  <c r="V128" i="17" s="1"/>
  <c r="I11" i="35" s="1"/>
  <c r="N70" i="35" s="1"/>
  <c r="BV55" i="17"/>
  <c r="DB12" i="17"/>
  <c r="CU55" i="17"/>
  <c r="DC55" i="17"/>
  <c r="CQ14" i="17"/>
  <c r="DK18" i="17"/>
  <c r="DB14" i="17"/>
  <c r="BJ21" i="17"/>
  <c r="BT126" i="17"/>
  <c r="CB145" i="17"/>
  <c r="BT140" i="17"/>
  <c r="CT132" i="17"/>
  <c r="CD132" i="17"/>
  <c r="M131" i="17"/>
  <c r="DC135" i="17"/>
  <c r="CM135" i="17"/>
  <c r="BS135" i="17"/>
  <c r="BV18" i="17"/>
  <c r="CA18" i="17"/>
  <c r="CD108" i="17"/>
  <c r="CT108" i="17"/>
  <c r="CT44" i="17" s="1"/>
  <c r="DC114" i="17"/>
  <c r="DC49" i="17" s="1"/>
  <c r="DA132" i="17"/>
  <c r="H134" i="17"/>
  <c r="BJ135" i="17"/>
  <c r="BN135" i="17"/>
  <c r="BV135" i="17"/>
  <c r="BU70" i="22"/>
  <c r="BF138" i="17"/>
  <c r="I139" i="17"/>
  <c r="BD142" i="17"/>
  <c r="J141" i="17"/>
  <c r="DI142" i="17"/>
  <c r="DM12" i="17"/>
  <c r="CW21" i="17"/>
  <c r="CY142" i="17"/>
  <c r="CJ145" i="17"/>
  <c r="CN147" i="17" s="1"/>
  <c r="CJ142" i="17"/>
  <c r="CB140" i="17"/>
  <c r="DB132" i="17"/>
  <c r="CL132" i="17"/>
  <c r="BR132" i="17"/>
  <c r="CU135" i="17"/>
  <c r="CE135" i="17"/>
  <c r="DH55" i="17"/>
  <c r="P17" i="17"/>
  <c r="P128" i="17" s="1"/>
  <c r="CY127" i="17"/>
  <c r="CS55" i="17"/>
  <c r="BJ57" i="17"/>
  <c r="BR57" i="17"/>
  <c r="J57" i="17"/>
  <c r="BV108" i="17"/>
  <c r="BV44" i="17" s="1"/>
  <c r="CL108" i="17"/>
  <c r="CL44" i="17" s="1"/>
  <c r="DB108" i="17"/>
  <c r="DB126" i="17"/>
  <c r="CJ126" i="17"/>
  <c r="CO126" i="17"/>
  <c r="BY115" i="17"/>
  <c r="CB126" i="17"/>
  <c r="BW55" i="17"/>
  <c r="BS55" i="17"/>
  <c r="CF145" i="17"/>
  <c r="CF142" i="17"/>
  <c r="CM145" i="17"/>
  <c r="CB142" i="17"/>
  <c r="CB143" i="17" s="1"/>
  <c r="CX132" i="17"/>
  <c r="CH132" i="17"/>
  <c r="BJ132" i="17"/>
  <c r="CQ135" i="17"/>
  <c r="BW135" i="17"/>
  <c r="CC115" i="17"/>
  <c r="BN66" i="22"/>
  <c r="T17" i="17"/>
  <c r="T128" i="17" s="1"/>
  <c r="G11" i="35" s="1"/>
  <c r="C53" i="35" s="1"/>
  <c r="BZ108" i="17"/>
  <c r="BZ44" i="17" s="1"/>
  <c r="CP108" i="17"/>
  <c r="DF108" i="17"/>
  <c r="V108" i="17" s="1"/>
  <c r="CE55" i="17"/>
  <c r="CD55" i="17"/>
  <c r="Q54" i="17"/>
  <c r="CP55" i="17"/>
  <c r="DB55" i="17"/>
  <c r="DA55" i="17"/>
  <c r="BF132" i="17"/>
  <c r="BQ108" i="17"/>
  <c r="K131" i="17"/>
  <c r="CC145" i="17"/>
  <c r="CC108" i="17"/>
  <c r="CC132" i="17"/>
  <c r="CC142" i="17"/>
  <c r="CO132" i="17"/>
  <c r="CO108" i="17"/>
  <c r="CB65" i="22"/>
  <c r="CB70" i="22" s="1"/>
  <c r="CO145" i="17"/>
  <c r="CS145" i="17"/>
  <c r="CS147" i="17" s="1"/>
  <c r="CS142" i="17"/>
  <c r="CS132" i="17"/>
  <c r="DE132" i="17"/>
  <c r="DI132" i="17"/>
  <c r="DE108" i="17"/>
  <c r="CR65" i="22"/>
  <c r="I134" i="17"/>
  <c r="BF135" i="17"/>
  <c r="BR114" i="17"/>
  <c r="BR135" i="17"/>
  <c r="L134" i="17"/>
  <c r="CD114" i="17"/>
  <c r="CD118" i="17" s="1"/>
  <c r="CD135" i="17"/>
  <c r="BQ66" i="22"/>
  <c r="BQ70" i="22" s="1"/>
  <c r="CP114" i="17"/>
  <c r="CP135" i="17"/>
  <c r="DB114" i="17"/>
  <c r="DB135" i="17"/>
  <c r="CO66" i="22"/>
  <c r="CO70" i="22" s="1"/>
  <c r="BN126" i="17"/>
  <c r="BN128" i="17" s="1"/>
  <c r="BN142" i="17"/>
  <c r="BN138" i="17"/>
  <c r="BM67" i="22"/>
  <c r="BZ138" i="17"/>
  <c r="N137" i="17"/>
  <c r="BZ145" i="17"/>
  <c r="CD126" i="17"/>
  <c r="CD127" i="17" s="1"/>
  <c r="CD142" i="17"/>
  <c r="CD143" i="17" s="1"/>
  <c r="CD145" i="17"/>
  <c r="CD146" i="17" s="1"/>
  <c r="CL126" i="17"/>
  <c r="CP127" i="17" s="1"/>
  <c r="CL142" i="17"/>
  <c r="CX142" i="17"/>
  <c r="CX145" i="17"/>
  <c r="DF145" i="17"/>
  <c r="BO126" i="17"/>
  <c r="BW140" i="17"/>
  <c r="BW145" i="17"/>
  <c r="BR69" i="22"/>
  <c r="CE145" i="17"/>
  <c r="O141" i="17"/>
  <c r="J69" i="22" s="1"/>
  <c r="CE142" i="17"/>
  <c r="CE143" i="17" s="1"/>
  <c r="CD69" i="22"/>
  <c r="CD70" i="22" s="1"/>
  <c r="R141" i="17"/>
  <c r="CQ142" i="17"/>
  <c r="CQ145" i="17"/>
  <c r="CQ126" i="17"/>
  <c r="CU127" i="17" s="1"/>
  <c r="CU69" i="22"/>
  <c r="DH126" i="17"/>
  <c r="DH142" i="17"/>
  <c r="BW126" i="17"/>
  <c r="BW128" i="17" s="1"/>
  <c r="BX55" i="17"/>
  <c r="DH145" i="17"/>
  <c r="BK142" i="17"/>
  <c r="J134" i="17"/>
  <c r="J114" i="17" s="1"/>
  <c r="BM114" i="17" s="1"/>
  <c r="BQ115" i="17" s="1"/>
  <c r="DE55" i="17"/>
  <c r="CN65" i="22"/>
  <c r="BQ132" i="17"/>
  <c r="BQ21" i="17"/>
  <c r="BN21" i="17"/>
  <c r="BS21" i="17"/>
  <c r="BU21" i="17"/>
  <c r="BT21" i="17"/>
  <c r="BT18" i="17"/>
  <c r="L17" i="17"/>
  <c r="BR21" i="17"/>
  <c r="M17" i="17"/>
  <c r="M29" i="17" s="1"/>
  <c r="BY21" i="17"/>
  <c r="BX21" i="17"/>
  <c r="BV21" i="17"/>
  <c r="BY18" i="17"/>
  <c r="CB21" i="17"/>
  <c r="CA21" i="17"/>
  <c r="CC18" i="17"/>
  <c r="BZ21" i="17"/>
  <c r="O17" i="17"/>
  <c r="O128" i="17" s="1"/>
  <c r="CG19" i="17"/>
  <c r="CE21" i="17"/>
  <c r="CG21" i="17"/>
  <c r="CK18" i="17"/>
  <c r="CH21" i="17"/>
  <c r="CI21" i="17"/>
  <c r="CO18" i="17"/>
  <c r="CJ21" i="17"/>
  <c r="CK21" i="17"/>
  <c r="R17" i="17"/>
  <c r="R128" i="17" s="1"/>
  <c r="E11" i="35" s="1"/>
  <c r="J35" i="35" s="1"/>
  <c r="CR21" i="17"/>
  <c r="CQ21" i="17"/>
  <c r="CU18" i="17"/>
  <c r="CS21" i="17"/>
  <c r="CD109" i="17"/>
  <c r="DA108" i="17"/>
  <c r="I131" i="17"/>
  <c r="BI132" i="17"/>
  <c r="BI142" i="17"/>
  <c r="BU108" i="17"/>
  <c r="BU44" i="17" s="1"/>
  <c r="BU132" i="17"/>
  <c r="BU142" i="17"/>
  <c r="CG108" i="17"/>
  <c r="CG132" i="17"/>
  <c r="BT65" i="22"/>
  <c r="CG145" i="17"/>
  <c r="BZ114" i="17"/>
  <c r="BZ135" i="17"/>
  <c r="CL135" i="17"/>
  <c r="BY66" i="22"/>
  <c r="BY70" i="22" s="1"/>
  <c r="CL114" i="17"/>
  <c r="CL550" i="12" s="1"/>
  <c r="CL557" i="12" s="1"/>
  <c r="CL568" i="12" s="1"/>
  <c r="CL570" i="12" s="1"/>
  <c r="CM569" i="12" s="1"/>
  <c r="CX114" i="17"/>
  <c r="CX118" i="17" s="1"/>
  <c r="CX135" i="17"/>
  <c r="BB142" i="17"/>
  <c r="BJ126" i="17"/>
  <c r="BJ128" i="17" s="1"/>
  <c r="BJ142" i="17"/>
  <c r="BV138" i="17"/>
  <c r="M137" i="17"/>
  <c r="BV126" i="17"/>
  <c r="BZ127" i="17" s="1"/>
  <c r="BV142" i="17"/>
  <c r="CH142" i="17"/>
  <c r="CH143" i="17" s="1"/>
  <c r="CH145" i="17"/>
  <c r="CH147" i="17" s="1"/>
  <c r="CT142" i="17"/>
  <c r="CT145" i="17"/>
  <c r="DB142" i="17"/>
  <c r="BG142" i="17"/>
  <c r="BS142" i="17"/>
  <c r="BN69" i="22"/>
  <c r="CA145" i="17"/>
  <c r="CA142" i="17"/>
  <c r="N141" i="17"/>
  <c r="I69" i="22" s="1"/>
  <c r="BV69" i="22"/>
  <c r="CI145" i="17"/>
  <c r="CI142" i="17"/>
  <c r="CM69" i="22"/>
  <c r="CZ142" i="17"/>
  <c r="CZ145" i="17"/>
  <c r="BL21" i="17"/>
  <c r="BM21" i="17"/>
  <c r="BK21" i="17"/>
  <c r="DK55" i="17"/>
  <c r="CM142" i="17"/>
  <c r="DB145" i="17"/>
  <c r="BO140" i="17"/>
  <c r="BV145" i="17"/>
  <c r="J137" i="17"/>
  <c r="L131" i="17"/>
  <c r="K134" i="17"/>
  <c r="K135" i="17" s="1"/>
  <c r="P18" i="17"/>
  <c r="BM66" i="22"/>
  <c r="K137" i="17"/>
  <c r="CF65" i="22"/>
  <c r="CF70" i="22" s="1"/>
  <c r="CS108" i="17"/>
  <c r="CS44" i="17" s="1"/>
  <c r="CX55" i="17"/>
  <c r="CW55" i="17"/>
  <c r="BN49" i="17"/>
  <c r="BN115" i="17"/>
  <c r="BM108" i="17"/>
  <c r="BM44" i="17" s="1"/>
  <c r="BM142" i="17"/>
  <c r="BM132" i="17"/>
  <c r="BY108" i="17"/>
  <c r="BY145" i="17"/>
  <c r="BY142" i="17"/>
  <c r="BY132" i="17"/>
  <c r="CK108" i="17"/>
  <c r="CK44" i="17" s="1"/>
  <c r="CK145" i="17"/>
  <c r="CK142" i="17"/>
  <c r="CK132" i="17"/>
  <c r="CW132" i="17"/>
  <c r="CW108" i="17"/>
  <c r="CW44" i="17" s="1"/>
  <c r="CJ65" i="22"/>
  <c r="CH114" i="17"/>
  <c r="CH118" i="17" s="1"/>
  <c r="CH135" i="17"/>
  <c r="CT114" i="17"/>
  <c r="CT49" i="17" s="1"/>
  <c r="CT135" i="17"/>
  <c r="CG66" i="22"/>
  <c r="DJ135" i="17"/>
  <c r="DF114" i="17"/>
  <c r="DF118" i="17" s="1"/>
  <c r="DF135" i="17"/>
  <c r="BR126" i="17"/>
  <c r="BR142" i="17"/>
  <c r="BR138" i="17"/>
  <c r="CP145" i="17"/>
  <c r="BK140" i="17"/>
  <c r="J139" i="17"/>
  <c r="J140" i="17" s="1"/>
  <c r="BS140" i="17"/>
  <c r="L139" i="17"/>
  <c r="BN68" i="22"/>
  <c r="CA126" i="17"/>
  <c r="CA128" i="17" s="1"/>
  <c r="N139" i="17"/>
  <c r="CA140" i="17"/>
  <c r="BO142" i="17"/>
  <c r="K141" i="17"/>
  <c r="CH136" i="17"/>
  <c r="CH116" i="17" s="1"/>
  <c r="CP142" i="17"/>
  <c r="BW142" i="17"/>
  <c r="CL145" i="17"/>
  <c r="BF142" i="17"/>
  <c r="I137" i="17"/>
  <c r="M134" i="17"/>
  <c r="M135" i="17" s="1"/>
  <c r="BO18" i="17"/>
  <c r="CK66" i="22"/>
  <c r="BX65" i="22"/>
  <c r="CH44" i="17"/>
  <c r="BL57" i="17"/>
  <c r="DK135" i="17"/>
  <c r="BK126" i="17"/>
  <c r="BK128" i="17" s="1"/>
  <c r="BS126" i="17"/>
  <c r="CE126" i="17"/>
  <c r="DJ55" i="17"/>
  <c r="O70" i="35"/>
  <c r="BE18" i="17"/>
  <c r="BC18" i="17"/>
  <c r="CK55" i="17"/>
  <c r="CV55" i="17"/>
  <c r="CJ56" i="15"/>
  <c r="CJ39" i="15" s="1"/>
  <c r="U136" i="15"/>
  <c r="U138" i="15" s="1"/>
  <c r="CJ108" i="15"/>
  <c r="CJ110" i="15" s="1"/>
  <c r="DQ22" i="15"/>
  <c r="DM36" i="13"/>
  <c r="W36" i="13" s="1"/>
  <c r="BO40" i="15"/>
  <c r="BO41" i="15" s="1"/>
  <c r="BL34" i="15"/>
  <c r="BL108" i="15"/>
  <c r="CI29" i="14"/>
  <c r="CH16" i="14"/>
  <c r="CE208" i="13"/>
  <c r="CE211" i="13" s="1"/>
  <c r="CF212" i="13" s="1"/>
  <c r="CE12" i="15"/>
  <c r="CI208" i="13"/>
  <c r="CI211" i="13" s="1"/>
  <c r="CJ212" i="13" s="1"/>
  <c r="BV7" i="22"/>
  <c r="CI113" i="15"/>
  <c r="BZ7" i="22"/>
  <c r="BZ9" i="22" s="1"/>
  <c r="BZ13" i="22" s="1"/>
  <c r="CM12" i="15"/>
  <c r="CP7" i="22"/>
  <c r="DC113" i="15"/>
  <c r="CT15" i="15"/>
  <c r="CU16" i="15"/>
  <c r="CU17" i="15" s="1"/>
  <c r="BL22" i="15"/>
  <c r="BL23" i="15"/>
  <c r="BX109" i="15"/>
  <c r="CJ23" i="15"/>
  <c r="DE36" i="13"/>
  <c r="U36" i="13" s="1"/>
  <c r="DE68" i="15"/>
  <c r="DE23" i="15" s="1"/>
  <c r="DE22" i="15"/>
  <c r="DE18" i="15"/>
  <c r="DI19" i="15" s="1"/>
  <c r="DI22" i="15"/>
  <c r="CL64" i="15"/>
  <c r="CR26" i="15"/>
  <c r="CR68" i="15"/>
  <c r="CE24" i="22" s="1"/>
  <c r="M36" i="15"/>
  <c r="BY37" i="15"/>
  <c r="CC38" i="15"/>
  <c r="CC51" i="15"/>
  <c r="BB30" i="15"/>
  <c r="BC35" i="15"/>
  <c r="BF38" i="15"/>
  <c r="BF40" i="15"/>
  <c r="BF42" i="15" s="1"/>
  <c r="BK38" i="15"/>
  <c r="BJ37" i="15"/>
  <c r="BI50" i="15"/>
  <c r="BH40" i="15"/>
  <c r="BH42" i="15" s="1"/>
  <c r="BM50" i="15"/>
  <c r="BL51" i="15"/>
  <c r="F55" i="15"/>
  <c r="F64" i="15"/>
  <c r="F80" i="15" s="1"/>
  <c r="AT64" i="15"/>
  <c r="AT80" i="15" s="1"/>
  <c r="AT63" i="15"/>
  <c r="CP118" i="15"/>
  <c r="CQ119" i="15" s="1"/>
  <c r="CQ116" i="15"/>
  <c r="CT161" i="15"/>
  <c r="CS169" i="15"/>
  <c r="DA169" i="15"/>
  <c r="DB161" i="15"/>
  <c r="CY26" i="15"/>
  <c r="CO50" i="15"/>
  <c r="CN51" i="15"/>
  <c r="DI151" i="15"/>
  <c r="DJ159" i="15" s="1"/>
  <c r="DI45" i="14"/>
  <c r="DI53" i="14" s="1"/>
  <c r="CX150" i="15"/>
  <c r="R128" i="15"/>
  <c r="AY34" i="15"/>
  <c r="CJ38" i="15"/>
  <c r="CE38" i="15"/>
  <c r="BP37" i="15"/>
  <c r="CL66" i="14"/>
  <c r="CL85" i="14" s="1"/>
  <c r="CH76" i="14"/>
  <c r="CV116" i="15"/>
  <c r="CZ117" i="15" s="1"/>
  <c r="BX52" i="15"/>
  <c r="BJ22" i="15"/>
  <c r="CT68" i="15"/>
  <c r="CT150" i="15" s="1"/>
  <c r="DC18" i="15"/>
  <c r="CP8" i="22" s="1"/>
  <c r="CU113" i="15"/>
  <c r="CN16" i="14"/>
  <c r="DD24" i="15"/>
  <c r="CV26" i="15"/>
  <c r="DA68" i="15"/>
  <c r="CG35" i="15"/>
  <c r="CK52" i="15"/>
  <c r="CK56" i="15" s="1"/>
  <c r="CK39" i="15" s="1"/>
  <c r="AW63" i="15"/>
  <c r="BB63" i="15"/>
  <c r="CX116" i="15"/>
  <c r="CS161" i="15"/>
  <c r="DA161" i="15"/>
  <c r="G63" i="14"/>
  <c r="H76" i="14" s="1"/>
  <c r="H66" i="14" s="1"/>
  <c r="H85" i="14" s="1"/>
  <c r="DD116" i="15"/>
  <c r="CN116" i="15"/>
  <c r="CZ119" i="15"/>
  <c r="DD120" i="15" s="1"/>
  <c r="CS26" i="15"/>
  <c r="CB33" i="15"/>
  <c r="CL49" i="14"/>
  <c r="AP64" i="15"/>
  <c r="AP76" i="15" s="1"/>
  <c r="R96" i="15"/>
  <c r="I130" i="14"/>
  <c r="J131" i="14" s="1"/>
  <c r="CG16" i="14"/>
  <c r="BT29" i="22"/>
  <c r="CG75" i="14"/>
  <c r="CG50" i="14"/>
  <c r="CG51" i="14" s="1"/>
  <c r="H14" i="14"/>
  <c r="K29" i="22" s="1"/>
  <c r="CK36" i="14"/>
  <c r="CL15" i="14"/>
  <c r="CK27" i="14"/>
  <c r="CL28" i="14" s="1"/>
  <c r="CK16" i="14"/>
  <c r="CL17" i="14"/>
  <c r="CP22" i="14" s="1"/>
  <c r="CS49" i="14"/>
  <c r="CL65" i="14"/>
  <c r="CH66" i="14"/>
  <c r="CI13" i="15"/>
  <c r="CH113" i="15"/>
  <c r="CL34" i="13"/>
  <c r="CK34" i="13" s="1"/>
  <c r="BY7" i="22"/>
  <c r="CP12" i="15"/>
  <c r="CM13" i="15"/>
  <c r="CR34" i="13"/>
  <c r="CR113" i="15"/>
  <c r="DB12" i="15"/>
  <c r="DC13" i="15"/>
  <c r="CS64" i="15"/>
  <c r="CT16" i="15"/>
  <c r="CT17" i="15" s="1"/>
  <c r="S14" i="15"/>
  <c r="CW16" i="15"/>
  <c r="CW17" i="15" s="1"/>
  <c r="T14" i="15"/>
  <c r="U16" i="15" s="1"/>
  <c r="DE15" i="15"/>
  <c r="AU20" i="15"/>
  <c r="AU11" i="15" s="1"/>
  <c r="AY22" i="15"/>
  <c r="AY20" i="15"/>
  <c r="AY11" i="15" s="1"/>
  <c r="AY109" i="15"/>
  <c r="BC109" i="15"/>
  <c r="BC22" i="15"/>
  <c r="BC24" i="15"/>
  <c r="BG109" i="15"/>
  <c r="BG22" i="15"/>
  <c r="BK109" i="15"/>
  <c r="BO109" i="15"/>
  <c r="BO22" i="15"/>
  <c r="BS52" i="15"/>
  <c r="BS109" i="15"/>
  <c r="BW52" i="15"/>
  <c r="CA109" i="15"/>
  <c r="CA22" i="15"/>
  <c r="CE36" i="13"/>
  <c r="CE22" i="15"/>
  <c r="CE109" i="15"/>
  <c r="CF24" i="15"/>
  <c r="CI36" i="13"/>
  <c r="CI109" i="15"/>
  <c r="CN68" i="15"/>
  <c r="CA24" i="22" s="1"/>
  <c r="CN36" i="13"/>
  <c r="CN64" i="15"/>
  <c r="CN112" i="15" s="1"/>
  <c r="CO24" i="15"/>
  <c r="CR20" i="15"/>
  <c r="CR18" i="15"/>
  <c r="CE8" i="22" s="1"/>
  <c r="CE9" i="22" s="1"/>
  <c r="CE13" i="22" s="1"/>
  <c r="CE22" i="22" s="1"/>
  <c r="CR22" i="15"/>
  <c r="CR24" i="15"/>
  <c r="CR64" i="15"/>
  <c r="CL109" i="11" s="1"/>
  <c r="CV68" i="15"/>
  <c r="CV150" i="15" s="1"/>
  <c r="CV64" i="15"/>
  <c r="CV36" i="13"/>
  <c r="CV22" i="15"/>
  <c r="CZ36" i="13"/>
  <c r="DA24" i="15"/>
  <c r="CZ18" i="15"/>
  <c r="CM8" i="22" s="1"/>
  <c r="CZ68" i="15"/>
  <c r="CM24" i="22" s="1"/>
  <c r="DH64" i="15"/>
  <c r="DB109" i="11" s="1"/>
  <c r="DH22" i="15"/>
  <c r="DI24" i="15"/>
  <c r="CP68" i="15"/>
  <c r="CP69" i="15" s="1"/>
  <c r="CP27" i="15"/>
  <c r="CP26" i="15"/>
  <c r="DF26" i="15"/>
  <c r="DF27" i="15"/>
  <c r="BY38" i="15"/>
  <c r="BX51" i="15"/>
  <c r="BX40" i="15"/>
  <c r="BX41" i="15" s="1"/>
  <c r="CB40" i="15"/>
  <c r="CB38" i="15"/>
  <c r="CB37" i="15"/>
  <c r="CF37" i="15"/>
  <c r="CF38" i="15"/>
  <c r="CK38" i="15"/>
  <c r="CJ51" i="15"/>
  <c r="CJ37" i="15"/>
  <c r="CJ40" i="15"/>
  <c r="CN37" i="15"/>
  <c r="CN40" i="15"/>
  <c r="BG35" i="15"/>
  <c r="BJ33" i="15"/>
  <c r="BR52" i="15"/>
  <c r="BI38" i="15"/>
  <c r="BI51" i="15"/>
  <c r="BM51" i="15"/>
  <c r="BM37" i="15"/>
  <c r="BM40" i="15"/>
  <c r="BM42" i="15" s="1"/>
  <c r="BN38" i="15"/>
  <c r="BQ38" i="15"/>
  <c r="K36" i="15"/>
  <c r="G37" i="15"/>
  <c r="G38" i="15"/>
  <c r="BE35" i="15"/>
  <c r="BH50" i="15"/>
  <c r="BG40" i="15"/>
  <c r="BG50" i="15"/>
  <c r="BK43" i="15"/>
  <c r="BL50" i="15"/>
  <c r="L49" i="15"/>
  <c r="BU43" i="15"/>
  <c r="BU40" i="15"/>
  <c r="BU42" i="15" s="1"/>
  <c r="CG40" i="15"/>
  <c r="CG41" i="15" s="1"/>
  <c r="O49" i="15"/>
  <c r="CG50" i="15"/>
  <c r="E108" i="15"/>
  <c r="E56" i="15"/>
  <c r="E39" i="15" s="1"/>
  <c r="E64" i="15"/>
  <c r="F53" i="15"/>
  <c r="AR64" i="15"/>
  <c r="AR80" i="15" s="1"/>
  <c r="AS56" i="15"/>
  <c r="AS39" i="15" s="1"/>
  <c r="AR56" i="15"/>
  <c r="AR39" i="15" s="1"/>
  <c r="AV64" i="15"/>
  <c r="AV76" i="15" s="1"/>
  <c r="AV53" i="15"/>
  <c r="K61" i="15"/>
  <c r="BQ62" i="15"/>
  <c r="BU63" i="15"/>
  <c r="L61" i="15"/>
  <c r="M61" i="15"/>
  <c r="BY62" i="15"/>
  <c r="BP21" i="22"/>
  <c r="I21" i="22" s="1"/>
  <c r="CC63" i="15"/>
  <c r="CG62" i="15"/>
  <c r="BX21" i="22"/>
  <c r="P61" i="15"/>
  <c r="K21" i="22" s="1"/>
  <c r="CK62" i="15"/>
  <c r="Q61" i="15"/>
  <c r="CO62" i="15"/>
  <c r="CV169" i="15"/>
  <c r="CF51" i="15"/>
  <c r="CF50" i="15"/>
  <c r="CM50" i="15"/>
  <c r="CN50" i="15"/>
  <c r="CM40" i="15"/>
  <c r="DI118" i="15"/>
  <c r="DI119" i="15" s="1"/>
  <c r="DI116" i="15"/>
  <c r="U142" i="15"/>
  <c r="V140" i="15"/>
  <c r="V142" i="15" s="1"/>
  <c r="T132" i="15"/>
  <c r="U130" i="15"/>
  <c r="V130" i="15" s="1"/>
  <c r="V132" i="15" s="1"/>
  <c r="BA34" i="15"/>
  <c r="G52" i="15"/>
  <c r="G23" i="15" s="1"/>
  <c r="BA53" i="15"/>
  <c r="BA108" i="15"/>
  <c r="BA110" i="15" s="1"/>
  <c r="G110" i="15" s="1"/>
  <c r="BA23" i="15"/>
  <c r="N109" i="15"/>
  <c r="S96" i="15"/>
  <c r="T96" i="15"/>
  <c r="CQ49" i="14"/>
  <c r="CP159" i="15"/>
  <c r="CK35" i="22"/>
  <c r="BK23" i="15"/>
  <c r="BK34" i="15"/>
  <c r="G51" i="14"/>
  <c r="W140" i="15"/>
  <c r="X140" i="15" s="1"/>
  <c r="X142" i="15" s="1"/>
  <c r="U24" i="15"/>
  <c r="DH112" i="15"/>
  <c r="CX52" i="14"/>
  <c r="BK53" i="15"/>
  <c r="Q50" i="15"/>
  <c r="CH54" i="14"/>
  <c r="CB212" i="13"/>
  <c r="CN357" i="13"/>
  <c r="CN358" i="13" s="1"/>
  <c r="CR358" i="13" s="1"/>
  <c r="CS54" i="14"/>
  <c r="AV34" i="15"/>
  <c r="BH51" i="15"/>
  <c r="BL40" i="15"/>
  <c r="DM22" i="15"/>
  <c r="F110" i="14"/>
  <c r="F111" i="14" s="1"/>
  <c r="CV375" i="13"/>
  <c r="CV369" i="13"/>
  <c r="DI112" i="13"/>
  <c r="CU364" i="13"/>
  <c r="DK299" i="13"/>
  <c r="CM103" i="13"/>
  <c r="DC299" i="13"/>
  <c r="CY72" i="22"/>
  <c r="DJ115" i="13"/>
  <c r="CT72" i="22"/>
  <c r="DH112" i="13"/>
  <c r="DH113" i="13" s="1"/>
  <c r="CS102" i="11"/>
  <c r="CS103" i="11" s="1"/>
  <c r="DC364" i="13"/>
  <c r="CQ364" i="13"/>
  <c r="CP112" i="13"/>
  <c r="CG102" i="11"/>
  <c r="CG103" i="11" s="1"/>
  <c r="CZ298" i="13"/>
  <c r="CY103" i="13"/>
  <c r="BZ100" i="13"/>
  <c r="BZ99" i="13" s="1"/>
  <c r="DG364" i="13"/>
  <c r="DG370" i="13" s="1"/>
  <c r="CR112" i="13"/>
  <c r="CR113" i="13" s="1"/>
  <c r="DG112" i="13"/>
  <c r="CY125" i="22"/>
  <c r="CO102" i="11"/>
  <c r="CO103" i="11" s="1"/>
  <c r="CM364" i="13"/>
  <c r="CM370" i="13" s="1"/>
  <c r="DG298" i="13"/>
  <c r="CM102" i="13"/>
  <c r="DL364" i="13"/>
  <c r="CY299" i="13"/>
  <c r="CA112" i="13"/>
  <c r="CL115" i="13"/>
  <c r="CW102" i="11"/>
  <c r="DK16" i="16"/>
  <c r="DE26" i="11" s="1"/>
  <c r="DE27" i="11" s="1"/>
  <c r="DE28" i="11" s="1"/>
  <c r="BO42" i="12"/>
  <c r="CM11" i="12"/>
  <c r="CU22" i="12"/>
  <c r="DF30" i="12"/>
  <c r="BU39" i="12"/>
  <c r="CS39" i="12"/>
  <c r="BR42" i="12"/>
  <c r="CD42" i="12"/>
  <c r="BE48" i="12"/>
  <c r="BE53" i="12"/>
  <c r="BM53" i="12"/>
  <c r="BY60" i="12"/>
  <c r="AQ63" i="12"/>
  <c r="AU63" i="12"/>
  <c r="BN309" i="12"/>
  <c r="BN311" i="12" s="1"/>
  <c r="BP302" i="12"/>
  <c r="CB46" i="22"/>
  <c r="BW694" i="12"/>
  <c r="BC301" i="12"/>
  <c r="BC309" i="12"/>
  <c r="BC310" i="12" s="1"/>
  <c r="BC11" i="12"/>
  <c r="BC14" i="12"/>
  <c r="BC136" i="17" s="1"/>
  <c r="BG309" i="12"/>
  <c r="BG11" i="12"/>
  <c r="BW11" i="12"/>
  <c r="BM13" i="12"/>
  <c r="BM436" i="12"/>
  <c r="BN438" i="12" s="1"/>
  <c r="CC436" i="12"/>
  <c r="CC439" i="12" s="1"/>
  <c r="CQ298" i="12"/>
  <c r="CQ22" i="12"/>
  <c r="R21" i="12"/>
  <c r="DC314" i="12"/>
  <c r="DC315" i="12" s="1"/>
  <c r="U21" i="12"/>
  <c r="DC22" i="12"/>
  <c r="DC298" i="12"/>
  <c r="R23" i="12"/>
  <c r="CR25" i="12"/>
  <c r="CR136" i="17" s="1"/>
  <c r="CR116" i="17" s="1"/>
  <c r="CR304" i="12"/>
  <c r="CZ304" i="12"/>
  <c r="CZ306" i="12" s="1"/>
  <c r="CZ24" i="12"/>
  <c r="T23" i="12"/>
  <c r="T24" i="12" s="1"/>
  <c r="CZ25" i="12"/>
  <c r="CZ301" i="12" s="1"/>
  <c r="Q23" i="12"/>
  <c r="CS24" i="12"/>
  <c r="CO25" i="12"/>
  <c r="CO26" i="12" s="1"/>
  <c r="CO304" i="12"/>
  <c r="S27" i="12"/>
  <c r="CW444" i="12"/>
  <c r="CW445" i="12" s="1"/>
  <c r="DE433" i="12"/>
  <c r="DE28" i="12"/>
  <c r="S29" i="12"/>
  <c r="CT30" i="12"/>
  <c r="BY39" i="12"/>
  <c r="CK39" i="12"/>
  <c r="DI39" i="12"/>
  <c r="CY23" i="11"/>
  <c r="DE39" i="12"/>
  <c r="U38" i="12"/>
  <c r="BV42" i="12"/>
  <c r="BT32" i="11"/>
  <c r="BZ42" i="12"/>
  <c r="CF32" i="11"/>
  <c r="CL42" i="12"/>
  <c r="DB42" i="12"/>
  <c r="CV32" i="11"/>
  <c r="BF100" i="12"/>
  <c r="BF101" i="12"/>
  <c r="BF163" i="12" s="1"/>
  <c r="BF164" i="12" s="1"/>
  <c r="BF309" i="12"/>
  <c r="BF194" i="12"/>
  <c r="BR100" i="12"/>
  <c r="BS101" i="12"/>
  <c r="BS163" i="12" s="1"/>
  <c r="BZ101" i="12"/>
  <c r="CA101" i="12"/>
  <c r="CA163" i="12" s="1"/>
  <c r="CA143" i="12" s="1"/>
  <c r="CA165" i="12" s="1"/>
  <c r="BM37" i="22"/>
  <c r="BZ100" i="12"/>
  <c r="CD101" i="12"/>
  <c r="CD102" i="12" s="1"/>
  <c r="CE101" i="12"/>
  <c r="CE163" i="12" s="1"/>
  <c r="CE143" i="12" s="1"/>
  <c r="BQ37" i="22"/>
  <c r="CD100" i="12"/>
  <c r="CI218" i="12"/>
  <c r="CI221" i="12" s="1"/>
  <c r="CI176" i="12"/>
  <c r="CI179" i="12" s="1"/>
  <c r="CM104" i="12"/>
  <c r="BV37" i="22"/>
  <c r="CI105" i="12"/>
  <c r="CI153" i="12" s="1"/>
  <c r="CR176" i="12"/>
  <c r="CR132" i="12" s="1"/>
  <c r="CR104" i="12"/>
  <c r="CR218" i="12"/>
  <c r="CR221" i="12" s="1"/>
  <c r="CR130" i="12"/>
  <c r="CR131" i="12"/>
  <c r="CS105" i="12"/>
  <c r="CS322" i="12" s="1"/>
  <c r="CA38" i="22"/>
  <c r="CN113" i="12"/>
  <c r="CV122" i="12"/>
  <c r="CV127" i="12" s="1"/>
  <c r="CV125" i="12"/>
  <c r="BZ41" i="22"/>
  <c r="CM166" i="12"/>
  <c r="BZ135" i="22"/>
  <c r="BX135" i="22"/>
  <c r="BX41" i="22"/>
  <c r="BH184" i="12"/>
  <c r="BH183" i="12"/>
  <c r="DJ471" i="12"/>
  <c r="DJ39" i="12"/>
  <c r="DD23" i="11"/>
  <c r="DL356" i="12"/>
  <c r="DL383" i="12"/>
  <c r="CP430" i="12"/>
  <c r="CI473" i="12"/>
  <c r="Q41" i="12"/>
  <c r="CE23" i="11"/>
  <c r="CW28" i="12"/>
  <c r="CQ25" i="12"/>
  <c r="CQ31" i="12" s="1"/>
  <c r="BW14" i="12"/>
  <c r="BW43" i="12" s="1"/>
  <c r="BZ194" i="12"/>
  <c r="BZ198" i="12" s="1"/>
  <c r="BZ176" i="12" s="1"/>
  <c r="BN101" i="12"/>
  <c r="BN163" i="12" s="1"/>
  <c r="BN143" i="12" s="1"/>
  <c r="CI11" i="12"/>
  <c r="CB183" i="12"/>
  <c r="CL438" i="12"/>
  <c r="BK14" i="12"/>
  <c r="BK40" i="12" s="1"/>
  <c r="BK11" i="12"/>
  <c r="BI436" i="12"/>
  <c r="BJ439" i="12" s="1"/>
  <c r="BI13" i="12"/>
  <c r="BQ436" i="12"/>
  <c r="BY13" i="12"/>
  <c r="CG13" i="12"/>
  <c r="CG436" i="12"/>
  <c r="CK437" i="12" s="1"/>
  <c r="CO13" i="12"/>
  <c r="Q12" i="12"/>
  <c r="CM298" i="12"/>
  <c r="Q298" i="12" s="1"/>
  <c r="Q314" i="12" s="1"/>
  <c r="Q21" i="12"/>
  <c r="CY298" i="12"/>
  <c r="CY22" i="12"/>
  <c r="T21" i="12"/>
  <c r="CY25" i="12"/>
  <c r="CV304" i="12"/>
  <c r="CV306" i="12" s="1"/>
  <c r="CV24" i="12"/>
  <c r="CV25" i="12"/>
  <c r="CV50" i="12" s="1"/>
  <c r="DH24" i="12"/>
  <c r="BX85" i="22"/>
  <c r="BX84" i="22"/>
  <c r="P25" i="12"/>
  <c r="CS433" i="12"/>
  <c r="CS430" i="12" s="1"/>
  <c r="R27" i="12"/>
  <c r="CS28" i="12"/>
  <c r="DA433" i="12"/>
  <c r="DA430" i="12" s="1"/>
  <c r="DA432" i="12" s="1"/>
  <c r="DA444" i="12"/>
  <c r="T29" i="12"/>
  <c r="T30" i="12" s="1"/>
  <c r="CX30" i="12"/>
  <c r="CK433" i="12"/>
  <c r="CK430" i="12" s="1"/>
  <c r="CK444" i="12"/>
  <c r="CK31" i="12"/>
  <c r="BQ39" i="12"/>
  <c r="CI23" i="11"/>
  <c r="CO39" i="12"/>
  <c r="CU23" i="11"/>
  <c r="T23" i="11" s="1"/>
  <c r="T38" i="12"/>
  <c r="DA39" i="12"/>
  <c r="DA471" i="12"/>
  <c r="DE472" i="12" s="1"/>
  <c r="CJ32" i="11"/>
  <c r="R41" i="12"/>
  <c r="CP42" i="12"/>
  <c r="CR32" i="11"/>
  <c r="CR36" i="11" s="1"/>
  <c r="CR37" i="11" s="1"/>
  <c r="T41" i="12"/>
  <c r="T42" i="12" s="1"/>
  <c r="CX42" i="12"/>
  <c r="BI48" i="12"/>
  <c r="BM48" i="12"/>
  <c r="BI53" i="12"/>
  <c r="BJ100" i="12"/>
  <c r="BJ101" i="12"/>
  <c r="BJ163" i="12" s="1"/>
  <c r="BJ143" i="12" s="1"/>
  <c r="BJ440" i="12" s="1"/>
  <c r="BJ309" i="12"/>
  <c r="BV101" i="12"/>
  <c r="BV163" i="12" s="1"/>
  <c r="BV143" i="12" s="1"/>
  <c r="BW101" i="12"/>
  <c r="BW163" i="12" s="1"/>
  <c r="BW143" i="12" s="1"/>
  <c r="CN99" i="12"/>
  <c r="CN101" i="12" s="1"/>
  <c r="CN102" i="12" s="1"/>
  <c r="CN104" i="12"/>
  <c r="CN105" i="12"/>
  <c r="CN322" i="12" s="1"/>
  <c r="CN176" i="12"/>
  <c r="CO105" i="12"/>
  <c r="BP183" i="12"/>
  <c r="BT183" i="12"/>
  <c r="BT184" i="12"/>
  <c r="CJ183" i="12"/>
  <c r="CI49" i="11"/>
  <c r="CO27" i="16"/>
  <c r="CO56" i="17" s="1"/>
  <c r="DB125" i="12"/>
  <c r="DF186" i="12"/>
  <c r="DK694" i="12"/>
  <c r="DH48" i="12"/>
  <c r="DL694" i="12"/>
  <c r="CR473" i="12"/>
  <c r="DF454" i="12"/>
  <c r="CQ153" i="12"/>
  <c r="U41" i="12"/>
  <c r="CA37" i="22"/>
  <c r="CP30" i="12"/>
  <c r="DC25" i="12"/>
  <c r="CP84" i="22" s="1"/>
  <c r="BG101" i="12"/>
  <c r="BG163" i="12" s="1"/>
  <c r="BG164" i="12" s="1"/>
  <c r="CH42" i="12"/>
  <c r="CC39" i="12"/>
  <c r="CJ105" i="12"/>
  <c r="CJ153" i="12" s="1"/>
  <c r="CI101" i="12"/>
  <c r="CI163" i="12" s="1"/>
  <c r="CI143" i="12" s="1"/>
  <c r="CI135" i="12" s="1"/>
  <c r="BR101" i="12"/>
  <c r="DI28" i="12"/>
  <c r="F16" i="37" s="1"/>
  <c r="CE37" i="22"/>
  <c r="BG301" i="12"/>
  <c r="CH101" i="12"/>
  <c r="CH163" i="12" s="1"/>
  <c r="E301" i="12"/>
  <c r="E14" i="12"/>
  <c r="E54" i="12" s="1"/>
  <c r="BO11" i="12"/>
  <c r="BS301" i="12"/>
  <c r="BT303" i="12" s="1"/>
  <c r="BS14" i="12"/>
  <c r="BS69" i="12" s="1"/>
  <c r="BS11" i="12"/>
  <c r="CE25" i="12"/>
  <c r="BR85" i="22" s="1"/>
  <c r="CE136" i="17"/>
  <c r="CE116" i="17" s="1"/>
  <c r="CE14" i="12"/>
  <c r="CE43" i="12" s="1"/>
  <c r="BR84" i="22"/>
  <c r="BE13" i="12"/>
  <c r="CK13" i="12"/>
  <c r="CU298" i="12"/>
  <c r="S21" i="12"/>
  <c r="DG314" i="12"/>
  <c r="DG315" i="12" s="1"/>
  <c r="DG22" i="12"/>
  <c r="V21" i="12"/>
  <c r="DG25" i="12"/>
  <c r="DD304" i="12"/>
  <c r="DD306" i="12" s="1"/>
  <c r="DD24" i="12"/>
  <c r="DD25" i="12"/>
  <c r="CO444" i="12"/>
  <c r="CO449" i="12" s="1"/>
  <c r="CO436" i="12"/>
  <c r="CO28" i="12"/>
  <c r="Q27" i="12"/>
  <c r="CS471" i="12"/>
  <c r="R38" i="12"/>
  <c r="CW471" i="12"/>
  <c r="CQ23" i="11"/>
  <c r="CW39" i="12"/>
  <c r="CT42" i="12"/>
  <c r="CZ32" i="11"/>
  <c r="DF42" i="12"/>
  <c r="CG60" i="12"/>
  <c r="CG55" i="12"/>
  <c r="CG46" i="17" s="1"/>
  <c r="CG47" i="17" s="1"/>
  <c r="BA63" i="12"/>
  <c r="CH204" i="12"/>
  <c r="CH203" i="12"/>
  <c r="CR125" i="12"/>
  <c r="CS114" i="12"/>
  <c r="DI113" i="12"/>
  <c r="DE126" i="12"/>
  <c r="CD135" i="22"/>
  <c r="BD184" i="12"/>
  <c r="BD183" i="12"/>
  <c r="BL184" i="12"/>
  <c r="BL183" i="12"/>
  <c r="CF184" i="12"/>
  <c r="CF183" i="12"/>
  <c r="DB41" i="11"/>
  <c r="CL439" i="12"/>
  <c r="BY436" i="12"/>
  <c r="BY437" i="12" s="1"/>
  <c r="BX32" i="11"/>
  <c r="CM23" i="11"/>
  <c r="DA28" i="12"/>
  <c r="CK301" i="12"/>
  <c r="CK339" i="12" s="1"/>
  <c r="CU25" i="12"/>
  <c r="CU301" i="12" s="1"/>
  <c r="CR122" i="12"/>
  <c r="CR127" i="12" s="1"/>
  <c r="CD194" i="12"/>
  <c r="CD203" i="12" s="1"/>
  <c r="DH304" i="12"/>
  <c r="DH306" i="12" s="1"/>
  <c r="CG39" i="12"/>
  <c r="CN218" i="12"/>
  <c r="CN194" i="12" s="1"/>
  <c r="AX436" i="12"/>
  <c r="AY301" i="12"/>
  <c r="DB136" i="17"/>
  <c r="DB116" i="17" s="1"/>
  <c r="DB301" i="12"/>
  <c r="DB328" i="12" s="1"/>
  <c r="DB31" i="12"/>
  <c r="DB43" i="12" s="1"/>
  <c r="BX183" i="12"/>
  <c r="BE436" i="12"/>
  <c r="F49" i="12"/>
  <c r="CM65" i="8"/>
  <c r="CM71" i="8" s="1"/>
  <c r="V38" i="8"/>
  <c r="CE45" i="8"/>
  <c r="DJ77" i="8"/>
  <c r="DM88" i="8"/>
  <c r="CV71" i="8"/>
  <c r="CR65" i="8"/>
  <c r="CR66" i="8" s="1"/>
  <c r="CR69" i="8" s="1"/>
  <c r="CI59" i="8"/>
  <c r="CW92" i="8"/>
  <c r="CR92" i="8"/>
  <c r="DC77" i="8"/>
  <c r="DD127" i="6"/>
  <c r="DD144" i="6" s="1"/>
  <c r="T55" i="8"/>
  <c r="DJ168" i="7"/>
  <c r="N23" i="8"/>
  <c r="DB127" i="6"/>
  <c r="DB144" i="6" s="1"/>
  <c r="DH77" i="8"/>
  <c r="CR168" i="7"/>
  <c r="DH168" i="7"/>
  <c r="DH186" i="7" s="1"/>
  <c r="CQ35" i="8"/>
  <c r="CW77" i="8"/>
  <c r="CW65" i="8"/>
  <c r="T22" i="7"/>
  <c r="T194" i="7" s="1"/>
  <c r="DC115" i="13"/>
  <c r="DC116" i="13" s="1"/>
  <c r="CM115" i="13"/>
  <c r="DE47" i="16"/>
  <c r="DH47" i="16"/>
  <c r="DB47" i="16"/>
  <c r="CT46" i="16"/>
  <c r="CT48" i="16" s="1"/>
  <c r="CT23" i="16" s="1"/>
  <c r="DC47" i="16"/>
  <c r="DE115" i="13"/>
  <c r="CO115" i="13"/>
  <c r="DG47" i="16"/>
  <c r="U116" i="13"/>
  <c r="Q116" i="13"/>
  <c r="S48" i="16"/>
  <c r="DF47" i="16"/>
  <c r="Q48" i="16"/>
  <c r="BY47" i="6"/>
  <c r="BZ32" i="6"/>
  <c r="CA71" i="7"/>
  <c r="BY32" i="6"/>
  <c r="BY69" i="6"/>
  <c r="BO61" i="22"/>
  <c r="DJ72" i="7"/>
  <c r="CC31" i="6"/>
  <c r="BY50" i="6"/>
  <c r="CB70" i="7"/>
  <c r="BY33" i="6"/>
  <c r="CB19" i="17"/>
  <c r="BY41" i="6"/>
  <c r="BY86" i="6"/>
  <c r="BY75" i="6"/>
  <c r="BY71" i="6"/>
  <c r="BY44" i="6"/>
  <c r="DI193" i="7"/>
  <c r="DJ18" i="6"/>
  <c r="DN19" i="6" s="1"/>
  <c r="BQ126" i="17"/>
  <c r="DD55" i="17"/>
  <c r="BW57" i="17"/>
  <c r="R7" i="22"/>
  <c r="W113" i="15"/>
  <c r="CI23" i="15"/>
  <c r="CI108" i="15"/>
  <c r="CI110" i="15" s="1"/>
  <c r="T125" i="15"/>
  <c r="U125" i="15" s="1"/>
  <c r="CI64" i="15"/>
  <c r="CI112" i="15" s="1"/>
  <c r="BU85" i="15"/>
  <c r="CP116" i="15"/>
  <c r="CM53" i="11"/>
  <c r="CM54" i="11" s="1"/>
  <c r="CM55" i="11" s="1"/>
  <c r="BJ55" i="12"/>
  <c r="BJ46" i="17" s="1"/>
  <c r="CF116" i="13"/>
  <c r="BZ113" i="13"/>
  <c r="DD87" i="14"/>
  <c r="DJ68" i="14"/>
  <c r="DF68" i="14"/>
  <c r="BZ144" i="14"/>
  <c r="BZ145" i="14" s="1"/>
  <c r="BZ146" i="14" s="1"/>
  <c r="CA142" i="14"/>
  <c r="CA67" i="14"/>
  <c r="N84" i="14"/>
  <c r="N79" i="14" s="1"/>
  <c r="N77" i="14" s="1"/>
  <c r="N78" i="14" s="1"/>
  <c r="BZ85" i="14"/>
  <c r="S13" i="20"/>
  <c r="Q8" i="19"/>
  <c r="R8" i="19"/>
  <c r="S7" i="19"/>
  <c r="K121" i="35"/>
  <c r="K105" i="35" s="1"/>
  <c r="CP160" i="15"/>
  <c r="CT86" i="14"/>
  <c r="CS86" i="14"/>
  <c r="DB79" i="14"/>
  <c r="DB77" i="14" s="1"/>
  <c r="DB78" i="14" s="1"/>
  <c r="M84" i="14"/>
  <c r="M79" i="14" s="1"/>
  <c r="M77" i="14" s="1"/>
  <c r="M78" i="14" s="1"/>
  <c r="CN39" i="14"/>
  <c r="CO39" i="14"/>
  <c r="CC38" i="14"/>
  <c r="CD39" i="14" s="1"/>
  <c r="CD21" i="14"/>
  <c r="CC22" i="14"/>
  <c r="CB144" i="14"/>
  <c r="CC143" i="14"/>
  <c r="CI112" i="22"/>
  <c r="BZ17" i="14"/>
  <c r="BZ38" i="14" s="1"/>
  <c r="CD40" i="14" s="1"/>
  <c r="CK64" i="14"/>
  <c r="CE74" i="14"/>
  <c r="DO55" i="14"/>
  <c r="DR51" i="14"/>
  <c r="CB17" i="14"/>
  <c r="CF22" i="14" s="1"/>
  <c r="CB66" i="14"/>
  <c r="CB85" i="14" s="1"/>
  <c r="CT28" i="14"/>
  <c r="CX28" i="14"/>
  <c r="CB74" i="14"/>
  <c r="DH74" i="14"/>
  <c r="CD28" i="14"/>
  <c r="CM28" i="14"/>
  <c r="CQ28" i="14"/>
  <c r="CY51" i="14"/>
  <c r="DC55" i="14"/>
  <c r="DG152" i="15"/>
  <c r="DK168" i="15" s="1"/>
  <c r="CY66" i="14"/>
  <c r="CY85" i="14" s="1"/>
  <c r="BO33" i="22"/>
  <c r="I40" i="37"/>
  <c r="DH86" i="14"/>
  <c r="G40" i="37"/>
  <c r="DF85" i="14"/>
  <c r="E40" i="37"/>
  <c r="F40" i="37"/>
  <c r="CW85" i="14"/>
  <c r="DH39" i="14"/>
  <c r="DH40" i="14"/>
  <c r="G39" i="37"/>
  <c r="CW21" i="14"/>
  <c r="CT38" i="14"/>
  <c r="CT40" i="14" s="1"/>
  <c r="DB38" i="14"/>
  <c r="CU38" i="14"/>
  <c r="DE38" i="14"/>
  <c r="DI21" i="14"/>
  <c r="DH21" i="14"/>
  <c r="CX38" i="14"/>
  <c r="CX39" i="14" s="1"/>
  <c r="I39" i="37"/>
  <c r="DA38" i="14"/>
  <c r="DA40" i="14" s="1"/>
  <c r="H39" i="37"/>
  <c r="DM75" i="13"/>
  <c r="J27" i="37" s="1"/>
  <c r="DL75" i="13"/>
  <c r="DB179" i="21"/>
  <c r="DB202" i="21" s="1"/>
  <c r="CV14" i="11"/>
  <c r="BU102" i="12"/>
  <c r="BU163" i="12"/>
  <c r="BU143" i="12" s="1"/>
  <c r="BU440" i="12" s="1"/>
  <c r="BY46" i="22"/>
  <c r="CL69" i="12"/>
  <c r="BY56" i="22" s="1"/>
  <c r="BY60" i="6"/>
  <c r="CB94" i="7"/>
  <c r="CB95" i="7"/>
  <c r="CK14" i="6"/>
  <c r="CN40" i="12"/>
  <c r="DA205" i="21"/>
  <c r="DA179" i="21"/>
  <c r="DA202" i="21" s="1"/>
  <c r="DD18" i="6"/>
  <c r="DD19" i="6" s="1"/>
  <c r="DG12" i="16"/>
  <c r="CT49" i="22"/>
  <c r="DJ165" i="7"/>
  <c r="DJ171" i="7"/>
  <c r="DK167" i="7" s="1"/>
  <c r="V92" i="8"/>
  <c r="V77" i="8"/>
  <c r="W11" i="16"/>
  <c r="W18" i="6" s="1"/>
  <c r="CZ299" i="12"/>
  <c r="CY286" i="21"/>
  <c r="CY282" i="21"/>
  <c r="J128" i="17"/>
  <c r="J29" i="17"/>
  <c r="K18" i="17"/>
  <c r="DM46" i="6"/>
  <c r="DK73" i="7"/>
  <c r="CZ286" i="21"/>
  <c r="CZ282" i="21"/>
  <c r="CU449" i="12"/>
  <c r="CU450" i="12" s="1"/>
  <c r="CY451" i="12" s="1"/>
  <c r="CY445" i="12"/>
  <c r="CU446" i="12"/>
  <c r="CI227" i="21"/>
  <c r="CI228" i="21" s="1"/>
  <c r="CH228" i="21"/>
  <c r="DI77" i="8"/>
  <c r="DI168" i="7"/>
  <c r="DI186" i="7" s="1"/>
  <c r="DI92" i="8"/>
  <c r="K330" i="21"/>
  <c r="K332" i="21"/>
  <c r="K333" i="21" s="1"/>
  <c r="CV9" i="22"/>
  <c r="CV13" i="22" s="1"/>
  <c r="CV22" i="22" s="1"/>
  <c r="BX443" i="21"/>
  <c r="BX444" i="21"/>
  <c r="BX445" i="21" s="1"/>
  <c r="CB452" i="21"/>
  <c r="V11" i="16"/>
  <c r="Q49" i="22" s="1"/>
  <c r="CO84" i="22"/>
  <c r="DA168" i="7"/>
  <c r="DA92" i="8"/>
  <c r="CG77" i="8"/>
  <c r="CG168" i="7"/>
  <c r="CG186" i="7" s="1"/>
  <c r="I12" i="16"/>
  <c r="J12" i="16"/>
  <c r="BP49" i="15"/>
  <c r="BG228" i="21"/>
  <c r="AK330" i="21"/>
  <c r="AK332" i="21"/>
  <c r="AK333" i="21" s="1"/>
  <c r="CA401" i="21"/>
  <c r="CK56" i="8" s="1"/>
  <c r="CJ56" i="8"/>
  <c r="AS52" i="21"/>
  <c r="AS56" i="21" s="1"/>
  <c r="AS47" i="21"/>
  <c r="BE31" i="21"/>
  <c r="BE41" i="21"/>
  <c r="BE47" i="21" s="1"/>
  <c r="BE52" i="21" s="1"/>
  <c r="BE54" i="21" s="1"/>
  <c r="BE56" i="21" s="1"/>
  <c r="AH330" i="21"/>
  <c r="AH332" i="21"/>
  <c r="AH333" i="21" s="1"/>
  <c r="BS371" i="21"/>
  <c r="BR381" i="21"/>
  <c r="DA30" i="21"/>
  <c r="CJ69" i="22"/>
  <c r="CW142" i="17"/>
  <c r="CW126" i="17"/>
  <c r="CW145" i="17"/>
  <c r="BN41" i="21"/>
  <c r="BN47" i="21" s="1"/>
  <c r="BN52" i="21" s="1"/>
  <c r="BN54" i="21" s="1"/>
  <c r="BN56" i="21" s="1"/>
  <c r="BN31" i="21"/>
  <c r="BP202" i="21"/>
  <c r="BZ81" i="13"/>
  <c r="AY85" i="15"/>
  <c r="BC85" i="15"/>
  <c r="AY86" i="15"/>
  <c r="G332" i="21"/>
  <c r="G333" i="21" s="1"/>
  <c r="G330" i="21"/>
  <c r="BP453" i="21"/>
  <c r="BP443" i="21"/>
  <c r="BP444" i="21"/>
  <c r="BP445" i="21" s="1"/>
  <c r="BC360" i="21"/>
  <c r="CX202" i="21"/>
  <c r="CU282" i="21"/>
  <c r="Q13" i="7"/>
  <c r="CO17" i="8"/>
  <c r="CM34" i="13"/>
  <c r="DC34" i="13"/>
  <c r="DA36" i="13"/>
  <c r="T36" i="13" s="1"/>
  <c r="CH102" i="13"/>
  <c r="CS126" i="17"/>
  <c r="CC20" i="21"/>
  <c r="CC10" i="21" s="1"/>
  <c r="AJ59" i="21"/>
  <c r="CL278" i="21"/>
  <c r="CY389" i="21"/>
  <c r="DI43" i="8" s="1"/>
  <c r="V43" i="8" s="1"/>
  <c r="DI60" i="12"/>
  <c r="BW109" i="21"/>
  <c r="CF17" i="8"/>
  <c r="CD41" i="21"/>
  <c r="CD47" i="21" s="1"/>
  <c r="CD52" i="21" s="1"/>
  <c r="CD54" i="21" s="1"/>
  <c r="CD56" i="21" s="1"/>
  <c r="AQ74" i="21"/>
  <c r="AQ81" i="21" s="1"/>
  <c r="BO451" i="21"/>
  <c r="BS380" i="21"/>
  <c r="CC33" i="8" s="1"/>
  <c r="N33" i="8" s="1"/>
  <c r="DD34" i="8"/>
  <c r="DA45" i="6"/>
  <c r="DA46" i="6" s="1"/>
  <c r="AN330" i="21"/>
  <c r="AV65" i="12"/>
  <c r="AV69" i="12" s="1"/>
  <c r="AV72" i="12" s="1"/>
  <c r="BP101" i="12"/>
  <c r="BP163" i="12" s="1"/>
  <c r="BP143" i="12" s="1"/>
  <c r="BS18" i="17"/>
  <c r="BM126" i="17"/>
  <c r="CC126" i="17"/>
  <c r="CC128" i="17" s="1"/>
  <c r="CG126" i="17"/>
  <c r="BF140" i="17"/>
  <c r="CR28" i="21"/>
  <c r="J108" i="21"/>
  <c r="CH251" i="21"/>
  <c r="BD362" i="21"/>
  <c r="BD363" i="21" s="1"/>
  <c r="DC117" i="6"/>
  <c r="DG118" i="6" s="1"/>
  <c r="V33" i="8"/>
  <c r="CM208" i="13"/>
  <c r="CM211" i="13" s="1"/>
  <c r="CY108" i="17"/>
  <c r="CY44" i="17" s="1"/>
  <c r="CJ28" i="21"/>
  <c r="CN28" i="21"/>
  <c r="CU109" i="21"/>
  <c r="CU110" i="21" s="1"/>
  <c r="CE109" i="21"/>
  <c r="CI109" i="21"/>
  <c r="BO150" i="21"/>
  <c r="BY29" i="13" s="1"/>
  <c r="BL194" i="21"/>
  <c r="BP194" i="21"/>
  <c r="CT287" i="21"/>
  <c r="CD278" i="21"/>
  <c r="G297" i="21"/>
  <c r="G182" i="12" s="1"/>
  <c r="AU407" i="21"/>
  <c r="AV406" i="21" s="1"/>
  <c r="DC286" i="21"/>
  <c r="DE145" i="17"/>
  <c r="DI147" i="17" s="1"/>
  <c r="DE126" i="17"/>
  <c r="DI127" i="17" s="1"/>
  <c r="DE142" i="17"/>
  <c r="CI69" i="22"/>
  <c r="CV126" i="17"/>
  <c r="CV128" i="17" s="1"/>
  <c r="CV142" i="17"/>
  <c r="CV145" i="17"/>
  <c r="DJ66" i="8"/>
  <c r="DJ69" i="8" s="1"/>
  <c r="CJ227" i="21"/>
  <c r="CJ228" i="21" s="1"/>
  <c r="DH66" i="8"/>
  <c r="DH69" i="8" s="1"/>
  <c r="DB39" i="6"/>
  <c r="U39" i="6" s="1"/>
  <c r="U40" i="6" s="1"/>
  <c r="CU28" i="21"/>
  <c r="AT332" i="21"/>
  <c r="AT333" i="21" s="1"/>
  <c r="AT330" i="21"/>
  <c r="CQ379" i="21"/>
  <c r="DA32" i="8" s="1"/>
  <c r="DA91" i="8" s="1"/>
  <c r="CZ32" i="8"/>
  <c r="CZ91" i="8" s="1"/>
  <c r="CA384" i="21"/>
  <c r="CK38" i="8" s="1"/>
  <c r="CK92" i="8" s="1"/>
  <c r="CJ38" i="8"/>
  <c r="BZ452" i="21"/>
  <c r="BV452" i="21"/>
  <c r="G19" i="37"/>
  <c r="CL405" i="21"/>
  <c r="CF205" i="21"/>
  <c r="CF179" i="21"/>
  <c r="CF202" i="21" s="1"/>
  <c r="CK205" i="21"/>
  <c r="CK179" i="21"/>
  <c r="CK202" i="21" s="1"/>
  <c r="BH202" i="21"/>
  <c r="BH204" i="21"/>
  <c r="CI388" i="21"/>
  <c r="CS42" i="8" s="1"/>
  <c r="CR42" i="8"/>
  <c r="R42" i="8" s="1"/>
  <c r="DB50" i="12"/>
  <c r="CT311" i="21"/>
  <c r="CT301" i="21" s="1"/>
  <c r="DE21" i="17"/>
  <c r="CV701" i="12"/>
  <c r="CX21" i="17"/>
  <c r="CY71" i="8"/>
  <c r="CG24" i="22"/>
  <c r="CG81" i="13"/>
  <c r="CG82" i="13" s="1"/>
  <c r="BW202" i="21"/>
  <c r="CA369" i="21"/>
  <c r="CK12" i="8" s="1"/>
  <c r="CH127" i="6" s="1"/>
  <c r="CH144" i="6" s="1"/>
  <c r="CJ12" i="8"/>
  <c r="CJ73" i="8" s="1"/>
  <c r="CQ369" i="21"/>
  <c r="CZ12" i="8"/>
  <c r="CZ73" i="8" s="1"/>
  <c r="CI377" i="21"/>
  <c r="CS24" i="8" s="1"/>
  <c r="CR24" i="8"/>
  <c r="CA393" i="21"/>
  <c r="CK48" i="8" s="1"/>
  <c r="BZ402" i="21"/>
  <c r="CJ57" i="8" s="1"/>
  <c r="CJ48" i="8"/>
  <c r="BT443" i="21"/>
  <c r="BT452" i="21"/>
  <c r="BX452" i="21"/>
  <c r="CW701" i="12"/>
  <c r="CK24" i="22"/>
  <c r="BA329" i="21"/>
  <c r="BA327" i="21"/>
  <c r="CQ377" i="21"/>
  <c r="DA24" i="8" s="1"/>
  <c r="T24" i="8" s="1"/>
  <c r="CZ24" i="8"/>
  <c r="CA379" i="21"/>
  <c r="CK32" i="8" s="1"/>
  <c r="CK91" i="8" s="1"/>
  <c r="CJ32" i="8"/>
  <c r="CJ91" i="8" s="1"/>
  <c r="CQ385" i="21"/>
  <c r="DA39" i="8" s="1"/>
  <c r="T39" i="8" s="1"/>
  <c r="CZ39" i="8"/>
  <c r="CE388" i="21"/>
  <c r="CO42" i="8" s="1"/>
  <c r="CN42" i="8"/>
  <c r="BW397" i="21"/>
  <c r="CG52" i="8" s="1"/>
  <c r="CG78" i="8" s="1"/>
  <c r="CF52" i="8"/>
  <c r="CD72" i="7"/>
  <c r="CT433" i="12"/>
  <c r="DB433" i="12"/>
  <c r="DB434" i="12" s="1"/>
  <c r="CF21" i="17"/>
  <c r="CF41" i="21"/>
  <c r="CF47" i="21" s="1"/>
  <c r="CF52" i="21" s="1"/>
  <c r="CF54" i="21" s="1"/>
  <c r="CF56" i="21" s="1"/>
  <c r="I270" i="21"/>
  <c r="CT278" i="21"/>
  <c r="CY374" i="21"/>
  <c r="DI21" i="8" s="1"/>
  <c r="V21" i="8" s="1"/>
  <c r="CY377" i="21"/>
  <c r="DI24" i="8" s="1"/>
  <c r="BT381" i="21"/>
  <c r="CD34" i="8" s="1"/>
  <c r="CD65" i="8" s="1"/>
  <c r="CY397" i="21"/>
  <c r="DI52" i="8" s="1"/>
  <c r="DI78" i="8" s="1"/>
  <c r="CB402" i="21"/>
  <c r="DO18" i="17"/>
  <c r="DN471" i="12"/>
  <c r="DR39" i="12"/>
  <c r="DO24" i="15"/>
  <c r="DR22" i="15"/>
  <c r="DK117" i="6"/>
  <c r="DK120" i="6" s="1"/>
  <c r="DO116" i="6"/>
  <c r="CA104" i="6"/>
  <c r="CA110" i="6" s="1"/>
  <c r="CG116" i="6"/>
  <c r="CS116" i="6"/>
  <c r="DA116" i="6"/>
  <c r="DE116" i="6"/>
  <c r="CA48" i="12"/>
  <c r="CY18" i="17"/>
  <c r="CC109" i="21"/>
  <c r="BN18" i="17"/>
  <c r="BL86" i="15"/>
  <c r="CI251" i="21"/>
  <c r="CM251" i="21"/>
  <c r="CH278" i="21"/>
  <c r="CY369" i="21"/>
  <c r="DI12" i="8" s="1"/>
  <c r="V12" i="8" s="1"/>
  <c r="DJ75" i="13"/>
  <c r="DK75" i="13"/>
  <c r="I15" i="37"/>
  <c r="DH32" i="11"/>
  <c r="DR42" i="12"/>
  <c r="DN75" i="13"/>
  <c r="K27" i="37" s="1"/>
  <c r="CC24" i="15"/>
  <c r="DR21" i="17"/>
  <c r="CU49" i="17"/>
  <c r="CC28" i="21"/>
  <c r="CG28" i="21"/>
  <c r="BS109" i="21"/>
  <c r="CQ109" i="21"/>
  <c r="BI18" i="17"/>
  <c r="CC251" i="21"/>
  <c r="CY376" i="21"/>
  <c r="DI23" i="8" s="1"/>
  <c r="V23" i="8" s="1"/>
  <c r="CY400" i="21"/>
  <c r="DI55" i="8" s="1"/>
  <c r="DC216" i="21"/>
  <c r="DR28" i="12"/>
  <c r="O16" i="37" s="1"/>
  <c r="DN108" i="17"/>
  <c r="DR132" i="17"/>
  <c r="X84" i="6"/>
  <c r="X75" i="8" s="1"/>
  <c r="DO85" i="6"/>
  <c r="CW433" i="12"/>
  <c r="DE444" i="12"/>
  <c r="BP184" i="12"/>
  <c r="BX35" i="11"/>
  <c r="CW49" i="17"/>
  <c r="DE49" i="17"/>
  <c r="DG44" i="17"/>
  <c r="BW45" i="6"/>
  <c r="AL58" i="21"/>
  <c r="DC18" i="17"/>
  <c r="BN150" i="21"/>
  <c r="BX29" i="13" s="1"/>
  <c r="CG170" i="21"/>
  <c r="BO194" i="21"/>
  <c r="CV27" i="15"/>
  <c r="CZ27" i="15"/>
  <c r="DC27" i="15"/>
  <c r="G85" i="15"/>
  <c r="CO251" i="21"/>
  <c r="CU251" i="21"/>
  <c r="CP278" i="21"/>
  <c r="CY396" i="21"/>
  <c r="DI51" i="8" s="1"/>
  <c r="CY109" i="21"/>
  <c r="CY110" i="21" s="1"/>
  <c r="F15" i="37"/>
  <c r="H15" i="37"/>
  <c r="DR113" i="12"/>
  <c r="DR186" i="12"/>
  <c r="DO16" i="15"/>
  <c r="DR15" i="15"/>
  <c r="DR18" i="17"/>
  <c r="DK112" i="6"/>
  <c r="X112" i="6" s="1"/>
  <c r="AA112" i="6" s="1"/>
  <c r="AB112" i="6" s="1"/>
  <c r="AC112" i="6" s="1"/>
  <c r="AD112" i="6" s="1"/>
  <c r="AE112" i="6" s="1"/>
  <c r="AF112" i="6" s="1"/>
  <c r="AG112" i="6" s="1"/>
  <c r="DO104" i="6"/>
  <c r="DO110" i="6" s="1"/>
  <c r="Q53" i="13"/>
  <c r="U103" i="13"/>
  <c r="CO102" i="13"/>
  <c r="DB299" i="13"/>
  <c r="CL357" i="13"/>
  <c r="DJ54" i="13"/>
  <c r="W93" i="13"/>
  <c r="W49" i="11" s="1"/>
  <c r="DL298" i="13"/>
  <c r="W53" i="13"/>
  <c r="S93" i="13"/>
  <c r="DL367" i="13"/>
  <c r="DL370" i="13" s="1"/>
  <c r="DL16" i="16"/>
  <c r="DP17" i="16" s="1"/>
  <c r="DE49" i="11"/>
  <c r="DJ364" i="13"/>
  <c r="DJ365" i="13" s="1"/>
  <c r="CE133" i="13"/>
  <c r="CE134" i="13" s="1"/>
  <c r="CE131" i="13" s="1"/>
  <c r="DG54" i="13"/>
  <c r="CM357" i="13"/>
  <c r="CM358" i="13" s="1"/>
  <c r="CQ358" i="13" s="1"/>
  <c r="BX31" i="11"/>
  <c r="BX40" i="11" s="1"/>
  <c r="BX67" i="11" s="1"/>
  <c r="DG27" i="16"/>
  <c r="DG56" i="17" s="1"/>
  <c r="CY40" i="17"/>
  <c r="CQ27" i="16"/>
  <c r="CW72" i="22"/>
  <c r="CU298" i="13"/>
  <c r="CE40" i="17"/>
  <c r="CE41" i="17" s="1"/>
  <c r="CQ40" i="17"/>
  <c r="CM27" i="16"/>
  <c r="CM56" i="17" s="1"/>
  <c r="DH102" i="13"/>
  <c r="CU123" i="22"/>
  <c r="DQ112" i="13"/>
  <c r="DU113" i="13" s="1"/>
  <c r="DA54" i="13"/>
  <c r="DE54" i="13"/>
  <c r="CI125" i="22"/>
  <c r="CM125" i="22"/>
  <c r="CM126" i="22"/>
  <c r="CQ125" i="22"/>
  <c r="CQ126" i="22"/>
  <c r="CU125" i="22"/>
  <c r="CM128" i="22"/>
  <c r="CQ127" i="22"/>
  <c r="CQ128" i="22"/>
  <c r="DR54" i="13"/>
  <c r="CQ124" i="22"/>
  <c r="DB54" i="13"/>
  <c r="DF54" i="13"/>
  <c r="CJ125" i="22"/>
  <c r="CN126" i="22"/>
  <c r="CR126" i="22"/>
  <c r="CN128" i="22"/>
  <c r="CR128" i="22"/>
  <c r="CB40" i="11"/>
  <c r="CQ110" i="13"/>
  <c r="CU110" i="13"/>
  <c r="I29" i="37"/>
  <c r="CP123" i="22"/>
  <c r="DU116" i="13"/>
  <c r="CY54" i="13"/>
  <c r="DC54" i="13"/>
  <c r="CK125" i="22"/>
  <c r="CO125" i="22"/>
  <c r="CO126" i="22"/>
  <c r="CS126" i="22"/>
  <c r="CO127" i="22"/>
  <c r="CO128" i="22"/>
  <c r="CS128" i="22"/>
  <c r="DL54" i="13"/>
  <c r="H29" i="37"/>
  <c r="DR70" i="13"/>
  <c r="O49" i="37" s="1"/>
  <c r="CI123" i="22"/>
  <c r="CM124" i="22"/>
  <c r="CD13" i="13"/>
  <c r="CZ54" i="13"/>
  <c r="DD54" i="13"/>
  <c r="CL126" i="22"/>
  <c r="CP126" i="22"/>
  <c r="CL127" i="22"/>
  <c r="CL128" i="22"/>
  <c r="CP127" i="22"/>
  <c r="CP128" i="22"/>
  <c r="G29" i="37"/>
  <c r="BS109" i="1"/>
  <c r="BT109" i="1" s="1"/>
  <c r="BU109" i="1" s="1"/>
  <c r="BR99" i="1"/>
  <c r="BN55" i="1"/>
  <c r="BW53" i="1"/>
  <c r="BN76" i="1"/>
  <c r="BZ127" i="6"/>
  <c r="BZ144" i="6" s="1"/>
  <c r="CC73" i="8"/>
  <c r="CU311" i="21"/>
  <c r="CU301" i="21" s="1"/>
  <c r="CV310" i="21"/>
  <c r="AN52" i="21"/>
  <c r="AN56" i="21" s="1"/>
  <c r="G48" i="21"/>
  <c r="G52" i="21" s="1"/>
  <c r="L127" i="1"/>
  <c r="M127" i="1"/>
  <c r="G128" i="17"/>
  <c r="G29" i="17"/>
  <c r="K99" i="1"/>
  <c r="K173" i="1"/>
  <c r="J151" i="14"/>
  <c r="K149" i="14"/>
  <c r="CY72" i="7"/>
  <c r="CW46" i="6"/>
  <c r="CY74" i="7"/>
  <c r="O26" i="14"/>
  <c r="DL344" i="12"/>
  <c r="DP247" i="12"/>
  <c r="DA286" i="21"/>
  <c r="V18" i="6"/>
  <c r="BK81" i="1"/>
  <c r="BX158" i="1"/>
  <c r="AY154" i="1"/>
  <c r="L153" i="1"/>
  <c r="AU127" i="1"/>
  <c r="AU115" i="1"/>
  <c r="AU118" i="1" s="1"/>
  <c r="L106" i="1"/>
  <c r="H126" i="1"/>
  <c r="I127" i="1" s="1"/>
  <c r="BZ50" i="1"/>
  <c r="BX29" i="1"/>
  <c r="N25" i="14"/>
  <c r="V118" i="15"/>
  <c r="W119" i="15" s="1"/>
  <c r="V91" i="15"/>
  <c r="Q99" i="15"/>
  <c r="BM90" i="15"/>
  <c r="K90" i="15"/>
  <c r="CI381" i="21"/>
  <c r="CV18" i="17"/>
  <c r="CP30" i="21"/>
  <c r="Q113" i="22"/>
  <c r="BL98" i="15"/>
  <c r="CV44" i="8"/>
  <c r="BY85" i="6"/>
  <c r="CB75" i="8"/>
  <c r="CX42" i="6"/>
  <c r="CX43" i="6" s="1"/>
  <c r="CQ28" i="21"/>
  <c r="CA109" i="21"/>
  <c r="CA110" i="21" s="1"/>
  <c r="CT69" i="22"/>
  <c r="DG145" i="17"/>
  <c r="DK147" i="17" s="1"/>
  <c r="DG142" i="17"/>
  <c r="CN205" i="21"/>
  <c r="CN179" i="21"/>
  <c r="CN202" i="21" s="1"/>
  <c r="BZ202" i="21"/>
  <c r="CJ81" i="13"/>
  <c r="CN27" i="15"/>
  <c r="CM27" i="15"/>
  <c r="DH27" i="15"/>
  <c r="DG26" i="15"/>
  <c r="CD282" i="21"/>
  <c r="CD286" i="21"/>
  <c r="CR286" i="21"/>
  <c r="CR282" i="21"/>
  <c r="CU377" i="21"/>
  <c r="DD24" i="8"/>
  <c r="CE379" i="21"/>
  <c r="CO32" i="8" s="1"/>
  <c r="CO91" i="8" s="1"/>
  <c r="CN32" i="8"/>
  <c r="CN91" i="8" s="1"/>
  <c r="BV380" i="21"/>
  <c r="CE33" i="8"/>
  <c r="BU381" i="21"/>
  <c r="CB77" i="8"/>
  <c r="CB168" i="7"/>
  <c r="CE389" i="21"/>
  <c r="CN43" i="8"/>
  <c r="CA396" i="21"/>
  <c r="CK51" i="8" s="1"/>
  <c r="CJ51" i="8"/>
  <c r="CQ396" i="21"/>
  <c r="DA51" i="8" s="1"/>
  <c r="CZ51" i="8"/>
  <c r="BU452" i="21"/>
  <c r="BY452" i="21"/>
  <c r="CE452" i="21"/>
  <c r="CE443" i="21"/>
  <c r="R113" i="22"/>
  <c r="DL22" i="14"/>
  <c r="DK127" i="17"/>
  <c r="CQ102" i="15"/>
  <c r="BB89" i="1"/>
  <c r="J74" i="1"/>
  <c r="BO57" i="1"/>
  <c r="AP54" i="1"/>
  <c r="AL54" i="1"/>
  <c r="BB51" i="1"/>
  <c r="BT33" i="1"/>
  <c r="BD30" i="1"/>
  <c r="AZ32" i="1"/>
  <c r="AZ30" i="1"/>
  <c r="CP102" i="15"/>
  <c r="BF390" i="21"/>
  <c r="BG385" i="21"/>
  <c r="BG390" i="21" s="1"/>
  <c r="CU74" i="8"/>
  <c r="CU89" i="8"/>
  <c r="DC89" i="8"/>
  <c r="DC74" i="8"/>
  <c r="BE202" i="21"/>
  <c r="BE204" i="21"/>
  <c r="CK81" i="13"/>
  <c r="CA202" i="21"/>
  <c r="CV282" i="21"/>
  <c r="CV286" i="21"/>
  <c r="E330" i="21"/>
  <c r="E332" i="21"/>
  <c r="E333" i="21" s="1"/>
  <c r="BI332" i="21"/>
  <c r="BI333" i="21" s="1"/>
  <c r="BI330" i="21"/>
  <c r="BW377" i="21"/>
  <c r="CF24" i="8"/>
  <c r="CA377" i="21"/>
  <c r="CJ24" i="8"/>
  <c r="BZ381" i="21"/>
  <c r="CJ34" i="8" s="1"/>
  <c r="CE377" i="21"/>
  <c r="CN24" i="8"/>
  <c r="CA389" i="21"/>
  <c r="CJ43" i="8"/>
  <c r="CE395" i="21"/>
  <c r="CN50" i="8"/>
  <c r="CA443" i="21"/>
  <c r="CA444" i="21"/>
  <c r="CA445" i="21" s="1"/>
  <c r="Y112" i="13"/>
  <c r="Y113" i="13" s="1"/>
  <c r="BJ381" i="21"/>
  <c r="M159" i="1"/>
  <c r="J157" i="1"/>
  <c r="M157" i="1"/>
  <c r="BN127" i="1"/>
  <c r="AW127" i="1"/>
  <c r="AX117" i="1"/>
  <c r="M107" i="1"/>
  <c r="M106" i="1"/>
  <c r="J126" i="1"/>
  <c r="I74" i="1"/>
  <c r="BZ70" i="1"/>
  <c r="N71" i="1"/>
  <c r="K69" i="1"/>
  <c r="AY51" i="1"/>
  <c r="AM51" i="1"/>
  <c r="L50" i="1"/>
  <c r="Q32" i="1"/>
  <c r="N27" i="14"/>
  <c r="O28" i="14" s="1"/>
  <c r="N48" i="14"/>
  <c r="BW44" i="15"/>
  <c r="DA21" i="17"/>
  <c r="BP91" i="15"/>
  <c r="CN57" i="8"/>
  <c r="CN58" i="8" s="1"/>
  <c r="BJ402" i="21"/>
  <c r="AJ330" i="21"/>
  <c r="CU40" i="14"/>
  <c r="CC110" i="21"/>
  <c r="BK18" i="17"/>
  <c r="CB390" i="21"/>
  <c r="CL38" i="8"/>
  <c r="CE179" i="21"/>
  <c r="CE202" i="21" s="1"/>
  <c r="CE205" i="21"/>
  <c r="BF202" i="21"/>
  <c r="BF204" i="21"/>
  <c r="CF282" i="21"/>
  <c r="CF286" i="21"/>
  <c r="DA12" i="8"/>
  <c r="DA73" i="8" s="1"/>
  <c r="CU379" i="21"/>
  <c r="DE32" i="8" s="1"/>
  <c r="DE91" i="8" s="1"/>
  <c r="DD32" i="8"/>
  <c r="DD91" i="8" s="1"/>
  <c r="BW398" i="21"/>
  <c r="CF53" i="8"/>
  <c r="CF58" i="8" s="1"/>
  <c r="CK50" i="8"/>
  <c r="CU396" i="21"/>
  <c r="DD51" i="8"/>
  <c r="CU400" i="21"/>
  <c r="DE55" i="8" s="1"/>
  <c r="DD55" i="8"/>
  <c r="CQ398" i="21"/>
  <c r="DA53" i="8" s="1"/>
  <c r="CZ53" i="8"/>
  <c r="BR444" i="21"/>
  <c r="BR445" i="21" s="1"/>
  <c r="BR443" i="21"/>
  <c r="R116" i="22"/>
  <c r="DB110" i="21"/>
  <c r="DP68" i="14"/>
  <c r="AK56" i="21"/>
  <c r="BZ155" i="1"/>
  <c r="BW129" i="1"/>
  <c r="M109" i="1"/>
  <c r="AK53" i="1"/>
  <c r="I50" i="1"/>
  <c r="BB33" i="1"/>
  <c r="AL28" i="1"/>
  <c r="V92" i="15"/>
  <c r="BQ118" i="15"/>
  <c r="CP286" i="21"/>
  <c r="CP282" i="21"/>
  <c r="T133" i="15"/>
  <c r="U133" i="15" s="1"/>
  <c r="S135" i="15"/>
  <c r="DC42" i="6"/>
  <c r="DF20" i="16" s="1"/>
  <c r="CV28" i="21"/>
  <c r="DF126" i="17"/>
  <c r="V126" i="17" s="1"/>
  <c r="V141" i="17" s="1"/>
  <c r="Q69" i="22" s="1"/>
  <c r="DF142" i="17"/>
  <c r="DA126" i="17"/>
  <c r="DA145" i="17"/>
  <c r="DA142" i="17"/>
  <c r="CM179" i="21"/>
  <c r="CM202" i="21" s="1"/>
  <c r="CM205" i="21"/>
  <c r="CT216" i="21"/>
  <c r="DD11" i="15"/>
  <c r="DD113" i="15" s="1"/>
  <c r="CN12" i="8"/>
  <c r="CN73" i="8" s="1"/>
  <c r="CD381" i="21"/>
  <c r="CQ371" i="21"/>
  <c r="CP381" i="21"/>
  <c r="BW385" i="21"/>
  <c r="CF39" i="8"/>
  <c r="CI385" i="21"/>
  <c r="CR39" i="8"/>
  <c r="CH390" i="21"/>
  <c r="BW388" i="21"/>
  <c r="CG42" i="8" s="1"/>
  <c r="CF42" i="8"/>
  <c r="CQ388" i="21"/>
  <c r="DA42" i="8" s="1"/>
  <c r="CZ42" i="8"/>
  <c r="CA399" i="21"/>
  <c r="CK54" i="8" s="1"/>
  <c r="CJ54" i="8"/>
  <c r="CU397" i="21"/>
  <c r="DE52" i="8" s="1"/>
  <c r="DE78" i="8" s="1"/>
  <c r="DD52" i="8"/>
  <c r="DD78" i="8" s="1"/>
  <c r="CZ50" i="8"/>
  <c r="CQ395" i="21"/>
  <c r="BW444" i="21"/>
  <c r="BW445" i="21" s="1"/>
  <c r="BW452" i="21"/>
  <c r="BW443" i="21"/>
  <c r="CD443" i="21"/>
  <c r="CP346" i="13"/>
  <c r="CH73" i="6"/>
  <c r="CL73" i="6"/>
  <c r="CP73" i="6"/>
  <c r="N149" i="6"/>
  <c r="O148" i="6"/>
  <c r="Y24" i="7"/>
  <c r="AA24" i="7" s="1"/>
  <c r="AB24" i="7" s="1"/>
  <c r="AC24" i="7" s="1"/>
  <c r="AD24" i="7" s="1"/>
  <c r="AE24" i="7" s="1"/>
  <c r="AF24" i="7" s="1"/>
  <c r="AG24" i="7" s="1"/>
  <c r="BZ45" i="8"/>
  <c r="N41" i="8"/>
  <c r="T48" i="8"/>
  <c r="CT57" i="8"/>
  <c r="CT58" i="8" s="1"/>
  <c r="I12" i="12"/>
  <c r="I436" i="12" s="1"/>
  <c r="P12" i="12"/>
  <c r="J38" i="12"/>
  <c r="L38" i="12"/>
  <c r="M38" i="12"/>
  <c r="CB184" i="12"/>
  <c r="CZ344" i="12"/>
  <c r="CG215" i="13"/>
  <c r="CS21" i="14"/>
  <c r="DH24" i="14"/>
  <c r="CO28" i="14"/>
  <c r="CR37" i="14"/>
  <c r="J37" i="14" s="1"/>
  <c r="J32" i="14" s="1"/>
  <c r="J30" i="14" s="1"/>
  <c r="J31" i="14" s="1"/>
  <c r="CZ17" i="14"/>
  <c r="CZ22" i="14" s="1"/>
  <c r="DQ42" i="14"/>
  <c r="CZ45" i="14"/>
  <c r="CZ52" i="14" s="1"/>
  <c r="DE152" i="15"/>
  <c r="DE160" i="15" s="1"/>
  <c r="I48" i="14"/>
  <c r="J49" i="14" s="1"/>
  <c r="M48" i="14"/>
  <c r="DC66" i="14"/>
  <c r="CO74" i="14"/>
  <c r="CS74" i="14"/>
  <c r="DH79" i="14"/>
  <c r="DH77" i="14" s="1"/>
  <c r="DH78" i="14" s="1"/>
  <c r="U11" i="15"/>
  <c r="CM16" i="15"/>
  <c r="CM17" i="15" s="1"/>
  <c r="BE24" i="15"/>
  <c r="BV33" i="15"/>
  <c r="BZ35" i="15"/>
  <c r="BM38" i="15"/>
  <c r="AQ64" i="15"/>
  <c r="AV56" i="15"/>
  <c r="AV39" i="15" s="1"/>
  <c r="BI63" i="15"/>
  <c r="O26" i="22"/>
  <c r="BC119" i="15"/>
  <c r="BG119" i="15"/>
  <c r="CL128" i="15"/>
  <c r="Q132" i="15"/>
  <c r="BA66" i="17"/>
  <c r="BA76" i="17"/>
  <c r="CI108" i="17"/>
  <c r="CU108" i="17"/>
  <c r="P123" i="17"/>
  <c r="BK132" i="17"/>
  <c r="H137" i="17"/>
  <c r="H138" i="17" s="1"/>
  <c r="CM126" i="17"/>
  <c r="CQ127" i="17" s="1"/>
  <c r="BH140" i="17"/>
  <c r="L141" i="17"/>
  <c r="CI12" i="21"/>
  <c r="BH41" i="21"/>
  <c r="BH47" i="21" s="1"/>
  <c r="BH52" i="21" s="1"/>
  <c r="BH54" i="21" s="1"/>
  <c r="BH56" i="21" s="1"/>
  <c r="BJ41" i="21"/>
  <c r="BJ47" i="21" s="1"/>
  <c r="BJ52" i="21" s="1"/>
  <c r="BJ54" i="21" s="1"/>
  <c r="BJ56" i="21" s="1"/>
  <c r="CA41" i="21"/>
  <c r="CA47" i="21" s="1"/>
  <c r="CA52" i="21" s="1"/>
  <c r="CA54" i="21" s="1"/>
  <c r="CA56" i="21" s="1"/>
  <c r="CI36" i="21"/>
  <c r="CI38" i="21" s="1"/>
  <c r="CI41" i="21" s="1"/>
  <c r="CI47" i="21" s="1"/>
  <c r="CI52" i="21" s="1"/>
  <c r="CI54" i="21" s="1"/>
  <c r="CI56" i="21" s="1"/>
  <c r="CB41" i="21"/>
  <c r="CB47" i="21" s="1"/>
  <c r="CB52" i="21" s="1"/>
  <c r="CB54" i="21" s="1"/>
  <c r="CB56" i="21" s="1"/>
  <c r="BY109" i="21"/>
  <c r="BY110" i="21" s="1"/>
  <c r="CB109" i="21"/>
  <c r="CM109" i="21"/>
  <c r="CS109" i="21"/>
  <c r="CS110" i="21" s="1"/>
  <c r="CD390" i="21"/>
  <c r="CN44" i="8" s="1"/>
  <c r="CQ170" i="21"/>
  <c r="BM194" i="21"/>
  <c r="J221" i="21"/>
  <c r="J223" i="21" s="1"/>
  <c r="J84" i="15" s="1"/>
  <c r="J85" i="15" s="1"/>
  <c r="CR248" i="21"/>
  <c r="CR251" i="21" s="1"/>
  <c r="CE251" i="21"/>
  <c r="CB278" i="21"/>
  <c r="CG278" i="21"/>
  <c r="CQ47" i="12"/>
  <c r="CQ60" i="12" s="1"/>
  <c r="CJ278" i="21"/>
  <c r="CO278" i="21"/>
  <c r="CY47" i="12"/>
  <c r="CY60" i="12" s="1"/>
  <c r="CR278" i="21"/>
  <c r="CW278" i="21"/>
  <c r="DG47" i="12"/>
  <c r="CY371" i="21"/>
  <c r="CY381" i="21" s="1"/>
  <c r="BG376" i="21"/>
  <c r="BG381" i="21" s="1"/>
  <c r="BK386" i="21"/>
  <c r="BK390" i="21" s="1"/>
  <c r="BN386" i="21"/>
  <c r="BN390" i="21" s="1"/>
  <c r="CV390" i="21"/>
  <c r="CY401" i="21"/>
  <c r="DI56" i="8" s="1"/>
  <c r="DL257" i="12"/>
  <c r="DP264" i="12"/>
  <c r="DC278" i="21"/>
  <c r="DM47" i="12"/>
  <c r="DM60" i="12" s="1"/>
  <c r="DQ61" i="12" s="1"/>
  <c r="DC267" i="21"/>
  <c r="DC269" i="21" s="1"/>
  <c r="DM113" i="15"/>
  <c r="DQ12" i="15"/>
  <c r="DQ54" i="13"/>
  <c r="DQ70" i="13"/>
  <c r="N49" i="37" s="1"/>
  <c r="DM114" i="17"/>
  <c r="DN287" i="12"/>
  <c r="CL48" i="16"/>
  <c r="CL23" i="16" s="1"/>
  <c r="H131" i="21"/>
  <c r="H17" i="17" s="1"/>
  <c r="I71" i="21"/>
  <c r="BK109" i="21"/>
  <c r="BK110" i="21" s="1"/>
  <c r="Q99" i="6"/>
  <c r="CG127" i="6"/>
  <c r="CG144" i="6" s="1"/>
  <c r="Y25" i="7"/>
  <c r="AA25" i="7" s="1"/>
  <c r="AB25" i="7" s="1"/>
  <c r="AC25" i="7" s="1"/>
  <c r="AD25" i="7" s="1"/>
  <c r="AE25" i="7" s="1"/>
  <c r="AF25" i="7" s="1"/>
  <c r="AG25" i="7" s="1"/>
  <c r="BZ73" i="7"/>
  <c r="CD73" i="7"/>
  <c r="CH73" i="7"/>
  <c r="DB168" i="7"/>
  <c r="N20" i="8"/>
  <c r="V22" i="8"/>
  <c r="O32" i="8"/>
  <c r="BQ309" i="12"/>
  <c r="BY14" i="12"/>
  <c r="BY69" i="12" s="1"/>
  <c r="BY78" i="12" s="1"/>
  <c r="CR36" i="13"/>
  <c r="CA81" i="13"/>
  <c r="CI40" i="17"/>
  <c r="CT103" i="13"/>
  <c r="CS110" i="13"/>
  <c r="CT37" i="14"/>
  <c r="CT32" i="14" s="1"/>
  <c r="CT30" i="14" s="1"/>
  <c r="CT31" i="14" s="1"/>
  <c r="DB37" i="14"/>
  <c r="M37" i="14" s="1"/>
  <c r="M32" i="14" s="1"/>
  <c r="M30" i="14" s="1"/>
  <c r="M31" i="14" s="1"/>
  <c r="CQ68" i="14"/>
  <c r="CV66" i="14"/>
  <c r="CU114" i="22"/>
  <c r="H151" i="14"/>
  <c r="CQ11" i="15"/>
  <c r="CQ13" i="15" s="1"/>
  <c r="CY11" i="15"/>
  <c r="CY18" i="15" s="1"/>
  <c r="DG11" i="15"/>
  <c r="DH13" i="15" s="1"/>
  <c r="DD14" i="15"/>
  <c r="DD15" i="15" s="1"/>
  <c r="BV49" i="15"/>
  <c r="Q126" i="15"/>
  <c r="R141" i="15"/>
  <c r="CU161" i="15"/>
  <c r="DC161" i="15"/>
  <c r="DH161" i="15"/>
  <c r="DQ45" i="16"/>
  <c r="DJ47" i="16"/>
  <c r="DJ48" i="16" s="1"/>
  <c r="DJ23" i="16" s="1"/>
  <c r="DQ47" i="16"/>
  <c r="CM17" i="17"/>
  <c r="BO108" i="17"/>
  <c r="BO109" i="17" s="1"/>
  <c r="CE108" i="17"/>
  <c r="CE110" i="17" s="1"/>
  <c r="CQ108" i="17"/>
  <c r="CQ114" i="17"/>
  <c r="CZ126" i="17"/>
  <c r="BC131" i="17"/>
  <c r="H319" i="21"/>
  <c r="AO41" i="21"/>
  <c r="BZ41" i="21"/>
  <c r="BZ47" i="21" s="1"/>
  <c r="BZ52" i="21" s="1"/>
  <c r="BZ54" i="21" s="1"/>
  <c r="BZ56" i="21" s="1"/>
  <c r="CG41" i="21"/>
  <c r="CG47" i="21" s="1"/>
  <c r="CG52" i="21" s="1"/>
  <c r="CG54" i="21" s="1"/>
  <c r="CG56" i="21" s="1"/>
  <c r="CB28" i="21"/>
  <c r="CF28" i="21"/>
  <c r="K30" i="21"/>
  <c r="BL80" i="21"/>
  <c r="BT80" i="21"/>
  <c r="AQ90" i="21"/>
  <c r="CG109" i="21"/>
  <c r="CG110" i="21" s="1"/>
  <c r="CJ109" i="21"/>
  <c r="CW109" i="21"/>
  <c r="CW110" i="21" s="1"/>
  <c r="CD248" i="21"/>
  <c r="CD251" i="21" s="1"/>
  <c r="BQ281" i="21"/>
  <c r="BQ290" i="21" s="1"/>
  <c r="BQ291" i="21" s="1"/>
  <c r="CE278" i="21"/>
  <c r="CO47" i="12"/>
  <c r="CO60" i="12" s="1"/>
  <c r="CM278" i="21"/>
  <c r="CW47" i="12"/>
  <c r="CU278" i="21"/>
  <c r="DE47" i="12"/>
  <c r="DE60" i="12" s="1"/>
  <c r="CW390" i="21"/>
  <c r="BK398" i="21"/>
  <c r="BK402" i="21" s="1"/>
  <c r="BL451" i="21"/>
  <c r="CC451" i="21"/>
  <c r="CZ170" i="21"/>
  <c r="DA278" i="21"/>
  <c r="DK47" i="12"/>
  <c r="H24" i="37"/>
  <c r="DO250" i="12"/>
  <c r="DM55" i="14"/>
  <c r="DP51" i="14"/>
  <c r="DL332" i="12"/>
  <c r="Y325" i="12"/>
  <c r="DP326" i="12"/>
  <c r="DP250" i="12"/>
  <c r="M25" i="37" s="1"/>
  <c r="DC287" i="21"/>
  <c r="DQ28" i="12"/>
  <c r="N16" i="37" s="1"/>
  <c r="DM332" i="12"/>
  <c r="DQ326" i="12"/>
  <c r="DM151" i="15"/>
  <c r="DM159" i="15" s="1"/>
  <c r="DQ49" i="14"/>
  <c r="DM97" i="15"/>
  <c r="DM108" i="17"/>
  <c r="J33" i="37" s="1"/>
  <c r="DQ132" i="17"/>
  <c r="DN180" i="12"/>
  <c r="DO294" i="12"/>
  <c r="DB138" i="22" s="1"/>
  <c r="DO288" i="12"/>
  <c r="DO26" i="14"/>
  <c r="DO24" i="14"/>
  <c r="H135" i="17"/>
  <c r="BU109" i="21"/>
  <c r="BU110" i="21" s="1"/>
  <c r="BI109" i="21"/>
  <c r="BI110" i="21" s="1"/>
  <c r="DC168" i="15"/>
  <c r="DB99" i="8"/>
  <c r="DB100" i="8" s="1"/>
  <c r="CE74" i="7"/>
  <c r="P146" i="6"/>
  <c r="CT127" i="6"/>
  <c r="CT144" i="6" s="1"/>
  <c r="N146" i="6"/>
  <c r="O149" i="6"/>
  <c r="P149" i="6"/>
  <c r="P148" i="6"/>
  <c r="S146" i="6"/>
  <c r="N60" i="7"/>
  <c r="N101" i="7" s="1"/>
  <c r="AR63" i="12"/>
  <c r="AV63" i="12"/>
  <c r="BI61" i="12"/>
  <c r="BY101" i="12"/>
  <c r="BY102" i="12" s="1"/>
  <c r="R317" i="13"/>
  <c r="DG27" i="14"/>
  <c r="CF51" i="14"/>
  <c r="K48" i="14"/>
  <c r="K49" i="14" s="1"/>
  <c r="CA104" i="14"/>
  <c r="CN11" i="15"/>
  <c r="CO13" i="15" s="1"/>
  <c r="CV11" i="15"/>
  <c r="BM35" i="15"/>
  <c r="BF63" i="15"/>
  <c r="BJ63" i="15"/>
  <c r="BR63" i="15"/>
  <c r="BV63" i="15"/>
  <c r="J99" i="15"/>
  <c r="R138" i="15"/>
  <c r="CY55" i="17"/>
  <c r="DG55" i="17"/>
  <c r="BA72" i="17"/>
  <c r="CM108" i="17"/>
  <c r="DC108" i="17"/>
  <c r="CE114" i="17"/>
  <c r="CE115" i="17" s="1"/>
  <c r="CC103" i="11"/>
  <c r="E28" i="19"/>
  <c r="K64" i="19"/>
  <c r="N121" i="35"/>
  <c r="N105" i="35" s="1"/>
  <c r="BH81" i="21"/>
  <c r="I104" i="21"/>
  <c r="I108" i="21" s="1"/>
  <c r="CK109" i="21"/>
  <c r="CK110" i="21" s="1"/>
  <c r="BS150" i="21"/>
  <c r="CC29" i="13" s="1"/>
  <c r="N29" i="13" s="1"/>
  <c r="BU194" i="21"/>
  <c r="H201" i="21"/>
  <c r="CF248" i="21"/>
  <c r="CF251" i="21" s="1"/>
  <c r="CQ269" i="21"/>
  <c r="CU269" i="21"/>
  <c r="CC278" i="21"/>
  <c r="CM47" i="12"/>
  <c r="CF278" i="21"/>
  <c r="CK278" i="21"/>
  <c r="CU47" i="12"/>
  <c r="CU60" i="12" s="1"/>
  <c r="CN278" i="21"/>
  <c r="CS278" i="21"/>
  <c r="DC47" i="12"/>
  <c r="DC50" i="12" s="1"/>
  <c r="CV278" i="21"/>
  <c r="CY395" i="21"/>
  <c r="BT402" i="21"/>
  <c r="CZ278" i="21"/>
  <c r="DJ47" i="12"/>
  <c r="DJ60" i="12" s="1"/>
  <c r="DJ61" i="12" s="1"/>
  <c r="DL84" i="14"/>
  <c r="DL79" i="14" s="1"/>
  <c r="DL77" i="14" s="1"/>
  <c r="DL78" i="14" s="1"/>
  <c r="DO72" i="14"/>
  <c r="DO70" i="14"/>
  <c r="CL65" i="8"/>
  <c r="CL66" i="8" s="1"/>
  <c r="CL69" i="8" s="1"/>
  <c r="F28" i="14"/>
  <c r="BG62" i="15"/>
  <c r="DD44" i="16"/>
  <c r="DD48" i="16" s="1"/>
  <c r="DD23" i="16" s="1"/>
  <c r="DQ44" i="16"/>
  <c r="DB46" i="16"/>
  <c r="DB48" i="16" s="1"/>
  <c r="DB23" i="16" s="1"/>
  <c r="DQ46" i="16"/>
  <c r="CX18" i="17"/>
  <c r="DQ21" i="17"/>
  <c r="BT41" i="21"/>
  <c r="BT47" i="21" s="1"/>
  <c r="BT52" i="21" s="1"/>
  <c r="BT54" i="21" s="1"/>
  <c r="BT56" i="21" s="1"/>
  <c r="CE41" i="21"/>
  <c r="CE47" i="21" s="1"/>
  <c r="CE52" i="21" s="1"/>
  <c r="CE54" i="21" s="1"/>
  <c r="CE56" i="21" s="1"/>
  <c r="CH28" i="21"/>
  <c r="CO109" i="21"/>
  <c r="CO110" i="21" s="1"/>
  <c r="CI278" i="21"/>
  <c r="CS47" i="12"/>
  <c r="CQ278" i="21"/>
  <c r="DA47" i="12"/>
  <c r="DA60" i="12" s="1"/>
  <c r="BS384" i="21"/>
  <c r="CY385" i="21"/>
  <c r="BE407" i="21"/>
  <c r="BF406" i="21" s="1"/>
  <c r="BF407" i="21" s="1"/>
  <c r="BG406" i="21" s="1"/>
  <c r="BG407" i="21" s="1"/>
  <c r="BH406" i="21" s="1"/>
  <c r="BH407" i="21" s="1"/>
  <c r="BI406" i="21" s="1"/>
  <c r="BI407" i="21" s="1"/>
  <c r="BJ406" i="21" s="1"/>
  <c r="BJ407" i="21" s="1"/>
  <c r="BK406" i="21" s="1"/>
  <c r="DL55" i="14"/>
  <c r="DO51" i="14"/>
  <c r="DL37" i="14"/>
  <c r="DL32" i="14" s="1"/>
  <c r="DL30" i="14" s="1"/>
  <c r="DL31" i="14" s="1"/>
  <c r="CY155" i="22"/>
  <c r="DO154" i="15"/>
  <c r="DP162" i="15" s="1"/>
  <c r="DP163" i="15" s="1"/>
  <c r="DG32" i="11"/>
  <c r="DQ42" i="12"/>
  <c r="DP155" i="15"/>
  <c r="T25" i="37"/>
  <c r="U25" i="37" s="1"/>
  <c r="W25" i="37" s="1"/>
  <c r="DQ250" i="12"/>
  <c r="N25" i="37" s="1"/>
  <c r="DQ154" i="15"/>
  <c r="X256" i="12"/>
  <c r="S155" i="22" s="1"/>
  <c r="DN97" i="15"/>
  <c r="DN57" i="8"/>
  <c r="DN58" i="8" s="1"/>
  <c r="DD278" i="21"/>
  <c r="DN47" i="12"/>
  <c r="DR48" i="12" s="1"/>
  <c r="DF385" i="21"/>
  <c r="DE385" i="21"/>
  <c r="R99" i="6"/>
  <c r="L34" i="35"/>
  <c r="F34" i="35"/>
  <c r="L53" i="35"/>
  <c r="M34" i="35"/>
  <c r="N34" i="35"/>
  <c r="G34" i="35"/>
  <c r="E121" i="35"/>
  <c r="E105" i="35" s="1"/>
  <c r="J121" i="35"/>
  <c r="J105" i="35" s="1"/>
  <c r="G35" i="35"/>
  <c r="I34" i="35"/>
  <c r="E34" i="35"/>
  <c r="H34" i="35"/>
  <c r="C35" i="35"/>
  <c r="I121" i="35"/>
  <c r="I105" i="35" s="1"/>
  <c r="BK198" i="12"/>
  <c r="BK195" i="12" s="1"/>
  <c r="AX163" i="12"/>
  <c r="AX143" i="12" s="1"/>
  <c r="DM125" i="12"/>
  <c r="DQ113" i="12"/>
  <c r="DQ186" i="12"/>
  <c r="DM292" i="12"/>
  <c r="DQ293" i="12" s="1"/>
  <c r="DQ157" i="12"/>
  <c r="DQ694" i="12"/>
  <c r="DQ356" i="12"/>
  <c r="DQ383" i="12"/>
  <c r="DB472" i="12"/>
  <c r="T103" i="13"/>
  <c r="DD61" i="12"/>
  <c r="BY55" i="12"/>
  <c r="BY46" i="17" s="1"/>
  <c r="BY59" i="17" s="1"/>
  <c r="DA53" i="11"/>
  <c r="DA54" i="11" s="1"/>
  <c r="DA55" i="11" s="1"/>
  <c r="BY63" i="6"/>
  <c r="CB20" i="17"/>
  <c r="BY61" i="6"/>
  <c r="BR77" i="22"/>
  <c r="U376" i="12"/>
  <c r="U377" i="12" s="1"/>
  <c r="DB18" i="6"/>
  <c r="U17" i="17"/>
  <c r="DI18" i="17"/>
  <c r="K114" i="17"/>
  <c r="DE18" i="17"/>
  <c r="X54" i="7"/>
  <c r="H34" i="37"/>
  <c r="DE168" i="7"/>
  <c r="DE77" i="8"/>
  <c r="DD73" i="8"/>
  <c r="DA127" i="6"/>
  <c r="DA144" i="6" s="1"/>
  <c r="CN24" i="22"/>
  <c r="CX54" i="13"/>
  <c r="CD40" i="11"/>
  <c r="CV102" i="11"/>
  <c r="DB104" i="13"/>
  <c r="DF18" i="17"/>
  <c r="DB18" i="17"/>
  <c r="DB21" i="17"/>
  <c r="DH21" i="17"/>
  <c r="CC49" i="17"/>
  <c r="CC118" i="17"/>
  <c r="Y40" i="8"/>
  <c r="W40" i="8"/>
  <c r="X25" i="15"/>
  <c r="X27" i="15" s="1"/>
  <c r="CR73" i="8"/>
  <c r="DC21" i="17"/>
  <c r="CT21" i="17"/>
  <c r="CV21" i="17"/>
  <c r="CU21" i="17"/>
  <c r="CY21" i="17"/>
  <c r="DF21" i="17"/>
  <c r="S17" i="17"/>
  <c r="CZ21" i="17"/>
  <c r="DG21" i="17"/>
  <c r="CB34" i="15"/>
  <c r="CT24" i="22"/>
  <c r="CV23" i="15"/>
  <c r="CI24" i="22"/>
  <c r="G109" i="15"/>
  <c r="CC24" i="22"/>
  <c r="BY24" i="22"/>
  <c r="DE42" i="6"/>
  <c r="CX28" i="21"/>
  <c r="R12" i="8"/>
  <c r="CA59" i="8"/>
  <c r="O49" i="7"/>
  <c r="CG74" i="7"/>
  <c r="U48" i="8"/>
  <c r="BB437" i="12"/>
  <c r="BR13" i="12"/>
  <c r="CD13" i="12"/>
  <c r="BN39" i="12"/>
  <c r="BZ39" i="12"/>
  <c r="CD39" i="12"/>
  <c r="CD12" i="15"/>
  <c r="CD208" i="13"/>
  <c r="CD211" i="13" s="1"/>
  <c r="DB113" i="15"/>
  <c r="CO7" i="22"/>
  <c r="DB34" i="13"/>
  <c r="CG38" i="15"/>
  <c r="CG51" i="15"/>
  <c r="CL118" i="17"/>
  <c r="BL108" i="17"/>
  <c r="BL44" i="17" s="1"/>
  <c r="J131" i="17"/>
  <c r="BP132" i="17"/>
  <c r="BO65" i="22"/>
  <c r="CB132" i="17"/>
  <c r="CF132" i="17"/>
  <c r="BS65" i="22"/>
  <c r="CN108" i="17"/>
  <c r="CN44" i="17" s="1"/>
  <c r="CN132" i="17"/>
  <c r="CA65" i="22"/>
  <c r="CE65" i="22"/>
  <c r="CR132" i="17"/>
  <c r="CV132" i="17"/>
  <c r="CI65" i="22"/>
  <c r="DD108" i="17"/>
  <c r="CQ65" i="22"/>
  <c r="DD132" i="17"/>
  <c r="DL132" i="17"/>
  <c r="DH132" i="17"/>
  <c r="CU65" i="22"/>
  <c r="BP135" i="17"/>
  <c r="BO66" i="22"/>
  <c r="CB114" i="17"/>
  <c r="BS66" i="22"/>
  <c r="CF135" i="17"/>
  <c r="CA66" i="22"/>
  <c r="CN135" i="17"/>
  <c r="CR114" i="17"/>
  <c r="CR49" i="17" s="1"/>
  <c r="CE66" i="22"/>
  <c r="CV135" i="17"/>
  <c r="CM66" i="22"/>
  <c r="CZ114" i="17"/>
  <c r="CZ118" i="17" s="1"/>
  <c r="CQ66" i="22"/>
  <c r="DD114" i="17"/>
  <c r="DD110" i="8" s="1"/>
  <c r="DD135" i="17"/>
  <c r="DH114" i="17"/>
  <c r="DH128" i="17" s="1"/>
  <c r="E10" i="37" s="1"/>
  <c r="CU66" i="22"/>
  <c r="BH138" i="17"/>
  <c r="BP126" i="17"/>
  <c r="BP138" i="17"/>
  <c r="BT138" i="17"/>
  <c r="L137" i="17"/>
  <c r="CF126" i="17"/>
  <c r="O137" i="17"/>
  <c r="O126" i="17" s="1"/>
  <c r="BP140" i="17"/>
  <c r="BX140" i="17"/>
  <c r="M139" i="17"/>
  <c r="H139" i="17"/>
  <c r="BI140" i="17"/>
  <c r="CA69" i="22"/>
  <c r="Q141" i="17"/>
  <c r="CN126" i="17"/>
  <c r="CN127" i="17" s="1"/>
  <c r="CE69" i="22"/>
  <c r="CR126" i="17"/>
  <c r="CV127" i="17" s="1"/>
  <c r="CV30" i="21"/>
  <c r="DC45" i="6"/>
  <c r="DG46" i="6" s="1"/>
  <c r="DE84" i="7"/>
  <c r="DE94" i="8"/>
  <c r="DI89" i="8"/>
  <c r="DI74" i="8"/>
  <c r="S38" i="8"/>
  <c r="CD197" i="7"/>
  <c r="M138" i="17"/>
  <c r="CQ178" i="7"/>
  <c r="CQ91" i="13"/>
  <c r="CY178" i="7"/>
  <c r="CY11" i="17"/>
  <c r="CY12" i="17" s="1"/>
  <c r="CY192" i="7"/>
  <c r="BZ178" i="7"/>
  <c r="BZ11" i="17"/>
  <c r="BZ91" i="13"/>
  <c r="CH192" i="7"/>
  <c r="CH178" i="7"/>
  <c r="CH91" i="13"/>
  <c r="CH11" i="17"/>
  <c r="CJ74" i="8"/>
  <c r="CJ89" i="8"/>
  <c r="CN74" i="8"/>
  <c r="CK68" i="6"/>
  <c r="DG84" i="7"/>
  <c r="DG94" i="8"/>
  <c r="DE107" i="6"/>
  <c r="DE117" i="6"/>
  <c r="DE120" i="6" s="1"/>
  <c r="BW127" i="6"/>
  <c r="BW144" i="6" s="1"/>
  <c r="CW197" i="7"/>
  <c r="CX23" i="15"/>
  <c r="CB45" i="8"/>
  <c r="CJ22" i="13"/>
  <c r="BK62" i="15"/>
  <c r="CA62" i="15"/>
  <c r="CB63" i="15"/>
  <c r="BM12" i="16"/>
  <c r="CB17" i="11"/>
  <c r="CE18" i="6"/>
  <c r="CH12" i="16"/>
  <c r="BU49" i="22"/>
  <c r="BX49" i="22"/>
  <c r="CE17" i="11"/>
  <c r="N17" i="17"/>
  <c r="CC21" i="17"/>
  <c r="CU110" i="8"/>
  <c r="CU550" i="12"/>
  <c r="CU557" i="12" s="1"/>
  <c r="CX126" i="17"/>
  <c r="CX128" i="17" s="1"/>
  <c r="CK69" i="22"/>
  <c r="CK70" i="22" s="1"/>
  <c r="AZ86" i="15"/>
  <c r="BS85" i="15"/>
  <c r="CX374" i="13"/>
  <c r="U12" i="8"/>
  <c r="V51" i="8"/>
  <c r="P53" i="8"/>
  <c r="CN38" i="15"/>
  <c r="CH63" i="15"/>
  <c r="DK132" i="17"/>
  <c r="I359" i="21"/>
  <c r="BR85" i="15"/>
  <c r="DJ117" i="6"/>
  <c r="DJ120" i="6" s="1"/>
  <c r="V56" i="8"/>
  <c r="H10" i="12"/>
  <c r="H116" i="17" s="1"/>
  <c r="BI11" i="12"/>
  <c r="BM11" i="12"/>
  <c r="CG11" i="12"/>
  <c r="V29" i="12"/>
  <c r="V30" i="12" s="1"/>
  <c r="K41" i="12"/>
  <c r="L41" i="12"/>
  <c r="M41" i="12"/>
  <c r="O41" i="12"/>
  <c r="O32" i="11" s="1"/>
  <c r="J41" i="12"/>
  <c r="BB53" i="12"/>
  <c r="BR53" i="12"/>
  <c r="BV53" i="12"/>
  <c r="BG55" i="12"/>
  <c r="BG46" i="17" s="1"/>
  <c r="BG59" i="17" s="1"/>
  <c r="CB123" i="22"/>
  <c r="CS20" i="16"/>
  <c r="CM35" i="11" s="1"/>
  <c r="CE40" i="15"/>
  <c r="CE42" i="15" s="1"/>
  <c r="BP62" i="15"/>
  <c r="G12" i="16"/>
  <c r="BF12" i="16"/>
  <c r="BJ12" i="16"/>
  <c r="BV12" i="16"/>
  <c r="CT18" i="17"/>
  <c r="BB85" i="15"/>
  <c r="DM132" i="17"/>
  <c r="DJ25" i="12"/>
  <c r="DJ31" i="12" s="1"/>
  <c r="W19" i="8"/>
  <c r="Y41" i="8"/>
  <c r="DL42" i="7"/>
  <c r="DL50" i="7" s="1"/>
  <c r="DL62" i="7" s="1"/>
  <c r="X59" i="7"/>
  <c r="Y59" i="7"/>
  <c r="CR26" i="11"/>
  <c r="CR27" i="11" s="1"/>
  <c r="CR28" i="11" s="1"/>
  <c r="N19" i="8"/>
  <c r="T20" i="8"/>
  <c r="Q21" i="8"/>
  <c r="V24" i="8"/>
  <c r="N48" i="8"/>
  <c r="CR57" i="8"/>
  <c r="CR58" i="8" s="1"/>
  <c r="CV57" i="8"/>
  <c r="CV58" i="8" s="1"/>
  <c r="G47" i="12"/>
  <c r="G48" i="12" s="1"/>
  <c r="BD48" i="12"/>
  <c r="CG40" i="17"/>
  <c r="CG41" i="17" s="1"/>
  <c r="H101" i="12"/>
  <c r="H102" i="12" s="1"/>
  <c r="I101" i="12"/>
  <c r="CQ298" i="13"/>
  <c r="CM35" i="15"/>
  <c r="BD33" i="15"/>
  <c r="BQ52" i="15"/>
  <c r="BQ34" i="15" s="1"/>
  <c r="H141" i="17"/>
  <c r="I141" i="17"/>
  <c r="H71" i="21"/>
  <c r="F86" i="15"/>
  <c r="Y29" i="12"/>
  <c r="Z30" i="12" s="1"/>
  <c r="DO27" i="15"/>
  <c r="DS28" i="15" s="1"/>
  <c r="CQ701" i="12"/>
  <c r="CQ71" i="8"/>
  <c r="CL701" i="12"/>
  <c r="CY57" i="8"/>
  <c r="CY58" i="8" s="1"/>
  <c r="DC57" i="8"/>
  <c r="DC58" i="8" s="1"/>
  <c r="Q53" i="8"/>
  <c r="V53" i="8"/>
  <c r="O54" i="8"/>
  <c r="S54" i="8"/>
  <c r="BZ59" i="8"/>
  <c r="V121" i="8"/>
  <c r="CM92" i="8"/>
  <c r="N43" i="8"/>
  <c r="CA65" i="8"/>
  <c r="DA77" i="8"/>
  <c r="S12" i="8"/>
  <c r="DE92" i="8"/>
  <c r="CW71" i="8"/>
  <c r="DG65" i="8"/>
  <c r="DA87" i="8"/>
  <c r="CS77" i="8"/>
  <c r="DB65" i="8"/>
  <c r="DG92" i="8"/>
  <c r="CU77" i="8"/>
  <c r="CI58" i="8"/>
  <c r="CR127" i="6"/>
  <c r="CR144" i="6" s="1"/>
  <c r="CE168" i="7"/>
  <c r="CQ168" i="7"/>
  <c r="CQ186" i="7" s="1"/>
  <c r="P19" i="8"/>
  <c r="Q19" i="8"/>
  <c r="T19" i="8"/>
  <c r="V19" i="8"/>
  <c r="O20" i="8"/>
  <c r="R20" i="8"/>
  <c r="U20" i="8"/>
  <c r="N21" i="8"/>
  <c r="R22" i="8"/>
  <c r="U22" i="8"/>
  <c r="O23" i="8"/>
  <c r="S23" i="8"/>
  <c r="T23" i="8"/>
  <c r="CP57" i="8"/>
  <c r="CP58" i="8" s="1"/>
  <c r="V54" i="8"/>
  <c r="CP35" i="8"/>
  <c r="DG127" i="6"/>
  <c r="DG144" i="6" s="1"/>
  <c r="O19" i="8"/>
  <c r="CP127" i="6"/>
  <c r="CP144" i="6" s="1"/>
  <c r="BZ71" i="8"/>
  <c r="O12" i="8"/>
  <c r="O73" i="8" s="1"/>
  <c r="O48" i="8"/>
  <c r="CU65" i="8"/>
  <c r="CQ92" i="8"/>
  <c r="DB77" i="8"/>
  <c r="DC127" i="6"/>
  <c r="DC144" i="6" s="1"/>
  <c r="P39" i="8"/>
  <c r="R40" i="8"/>
  <c r="CM45" i="8"/>
  <c r="S42" i="8"/>
  <c r="T43" i="8"/>
  <c r="CH58" i="8"/>
  <c r="CL57" i="8"/>
  <c r="S48" i="8"/>
  <c r="R50" i="8"/>
  <c r="S50" i="8"/>
  <c r="U50" i="8"/>
  <c r="S51" i="8"/>
  <c r="W41" i="8"/>
  <c r="DJ57" i="8"/>
  <c r="DJ58" i="8" s="1"/>
  <c r="X41" i="8"/>
  <c r="DG168" i="7"/>
  <c r="DF71" i="8"/>
  <c r="CI65" i="8"/>
  <c r="CI71" i="8" s="1"/>
  <c r="CX65" i="8"/>
  <c r="W26" i="8"/>
  <c r="BA270" i="21"/>
  <c r="BK60" i="12"/>
  <c r="BI270" i="21"/>
  <c r="BI281" i="21"/>
  <c r="BI282" i="21" s="1"/>
  <c r="BS60" i="12"/>
  <c r="BT26" i="11"/>
  <c r="BT27" i="11" s="1"/>
  <c r="BT28" i="11" s="1"/>
  <c r="CH39" i="12"/>
  <c r="BV39" i="12"/>
  <c r="CE47" i="12"/>
  <c r="BY41" i="11" s="1"/>
  <c r="DA269" i="21"/>
  <c r="CN48" i="12"/>
  <c r="CB23" i="11"/>
  <c r="BR39" i="12"/>
  <c r="BD281" i="21"/>
  <c r="BD290" i="21" s="1"/>
  <c r="BD291" i="21" s="1"/>
  <c r="BN47" i="12"/>
  <c r="K38" i="12"/>
  <c r="CB47" i="12"/>
  <c r="CI47" i="12"/>
  <c r="CC41" i="11" s="1"/>
  <c r="BG270" i="21"/>
  <c r="BQ60" i="12"/>
  <c r="BG281" i="21"/>
  <c r="BG282" i="21" s="1"/>
  <c r="BU41" i="11"/>
  <c r="J281" i="21"/>
  <c r="BM60" i="12"/>
  <c r="BM61" i="12" s="1"/>
  <c r="BQ47" i="12"/>
  <c r="BQ48" i="12" s="1"/>
  <c r="BU47" i="12"/>
  <c r="CC47" i="12"/>
  <c r="CK47" i="12"/>
  <c r="J270" i="21"/>
  <c r="BP42" i="12"/>
  <c r="BH270" i="21"/>
  <c r="BC281" i="21"/>
  <c r="BC282" i="21" s="1"/>
  <c r="K267" i="21"/>
  <c r="BJ47" i="12"/>
  <c r="BJ48" i="12" s="1"/>
  <c r="BR47" i="12"/>
  <c r="BZ47" i="12"/>
  <c r="BT41" i="11" s="1"/>
  <c r="CH47" i="12"/>
  <c r="BV35" i="11"/>
  <c r="BV36" i="11" s="1"/>
  <c r="BV37" i="11" s="1"/>
  <c r="BJ60" i="12"/>
  <c r="BJ61" i="12" s="1"/>
  <c r="BY35" i="11"/>
  <c r="BL47" i="12"/>
  <c r="BT47" i="12"/>
  <c r="BX48" i="12" s="1"/>
  <c r="M47" i="12"/>
  <c r="CF47" i="12"/>
  <c r="BZ41" i="11" s="1"/>
  <c r="CE269" i="21"/>
  <c r="BX60" i="12"/>
  <c r="BH48" i="12"/>
  <c r="AS289" i="21"/>
  <c r="AS282" i="21"/>
  <c r="H47" i="12"/>
  <c r="BH63" i="12"/>
  <c r="BD63" i="12"/>
  <c r="CJ69" i="12"/>
  <c r="AZ60" i="12"/>
  <c r="H270" i="21"/>
  <c r="AT63" i="12"/>
  <c r="AP281" i="21"/>
  <c r="AP290" i="21" s="1"/>
  <c r="AP291" i="21" s="1"/>
  <c r="CD55" i="12"/>
  <c r="CD46" i="17" s="1"/>
  <c r="BH61" i="12"/>
  <c r="U52" i="12"/>
  <c r="U539" i="12" s="1"/>
  <c r="CX55" i="12"/>
  <c r="CX46" i="17" s="1"/>
  <c r="CT55" i="12"/>
  <c r="CT46" i="17" s="1"/>
  <c r="CU47" i="17" s="1"/>
  <c r="CU48" i="17" s="1"/>
  <c r="CD60" i="12"/>
  <c r="BV60" i="12"/>
  <c r="BV61" i="12" s="1"/>
  <c r="BZ55" i="12"/>
  <c r="BZ46" i="17" s="1"/>
  <c r="K269" i="21"/>
  <c r="BL60" i="12"/>
  <c r="BO60" i="12"/>
  <c r="BO61" i="12" s="1"/>
  <c r="K52" i="12"/>
  <c r="BI63" i="12"/>
  <c r="AR281" i="21"/>
  <c r="AR290" i="21" s="1"/>
  <c r="AR291" i="21" s="1"/>
  <c r="W52" i="12"/>
  <c r="W50" i="11" s="1"/>
  <c r="CL54" i="12"/>
  <c r="Q52" i="12"/>
  <c r="DB53" i="12"/>
  <c r="CX53" i="12"/>
  <c r="BZ53" i="12"/>
  <c r="AP63" i="12"/>
  <c r="AX63" i="12"/>
  <c r="BB60" i="12"/>
  <c r="BF61" i="12" s="1"/>
  <c r="AW281" i="21"/>
  <c r="AW290" i="21" s="1"/>
  <c r="AW291" i="21" s="1"/>
  <c r="BE281" i="21"/>
  <c r="BE290" i="21" s="1"/>
  <c r="BE291" i="21" s="1"/>
  <c r="DF53" i="12"/>
  <c r="DB55" i="12"/>
  <c r="DB46" i="17" s="1"/>
  <c r="CR50" i="11"/>
  <c r="CP55" i="12"/>
  <c r="CP53" i="12"/>
  <c r="DC50" i="11"/>
  <c r="V50" i="11" s="1"/>
  <c r="AO281" i="21"/>
  <c r="AO282" i="21" s="1"/>
  <c r="AY60" i="12"/>
  <c r="BC61" i="12" s="1"/>
  <c r="BG60" i="12"/>
  <c r="BB281" i="21"/>
  <c r="BB282" i="21" s="1"/>
  <c r="BF63" i="12"/>
  <c r="AY290" i="21"/>
  <c r="AY291" i="21" s="1"/>
  <c r="AT65" i="12"/>
  <c r="AT69" i="12" s="1"/>
  <c r="AT72" i="12" s="1"/>
  <c r="AS65" i="12"/>
  <c r="AS69" i="12" s="1"/>
  <c r="AW65" i="12"/>
  <c r="AW69" i="12" s="1"/>
  <c r="AW72" i="12" s="1"/>
  <c r="F290" i="21"/>
  <c r="F291" i="21" s="1"/>
  <c r="AG290" i="21"/>
  <c r="AG291" i="21" s="1"/>
  <c r="AZ76" i="15"/>
  <c r="BP86" i="15"/>
  <c r="BP85" i="15"/>
  <c r="BF86" i="15"/>
  <c r="BJ85" i="15"/>
  <c r="BN86" i="15"/>
  <c r="AT86" i="15"/>
  <c r="AX85" i="15"/>
  <c r="AU86" i="15"/>
  <c r="CA35" i="15"/>
  <c r="BV52" i="15"/>
  <c r="BV34" i="15" s="1"/>
  <c r="CI35" i="15"/>
  <c r="BQ33" i="15"/>
  <c r="AZ108" i="15"/>
  <c r="AZ110" i="15" s="1"/>
  <c r="CL56" i="15"/>
  <c r="CL39" i="15" s="1"/>
  <c r="J32" i="15"/>
  <c r="CL33" i="15"/>
  <c r="CE35" i="15"/>
  <c r="K32" i="15"/>
  <c r="CD35" i="15"/>
  <c r="AV30" i="15"/>
  <c r="BM10" i="22"/>
  <c r="BM12" i="22" s="1"/>
  <c r="BZ33" i="15"/>
  <c r="AZ53" i="15"/>
  <c r="BJ35" i="15"/>
  <c r="I32" i="15"/>
  <c r="CH33" i="15"/>
  <c r="BW35" i="15"/>
  <c r="BD52" i="15"/>
  <c r="BQ35" i="15"/>
  <c r="BY10" i="22"/>
  <c r="BY12" i="22" s="1"/>
  <c r="Q32" i="15"/>
  <c r="CH35" i="15"/>
  <c r="BH33" i="15"/>
  <c r="CB64" i="15"/>
  <c r="AS86" i="15"/>
  <c r="BK85" i="15"/>
  <c r="AZ80" i="15"/>
  <c r="BD85" i="15"/>
  <c r="BW24" i="22"/>
  <c r="BW23" i="22" s="1"/>
  <c r="AZ33" i="15"/>
  <c r="F85" i="15"/>
  <c r="AR86" i="15"/>
  <c r="BN85" i="15"/>
  <c r="AZ85" i="15"/>
  <c r="AV85" i="15"/>
  <c r="AV86" i="15"/>
  <c r="BH85" i="15"/>
  <c r="BH86" i="15"/>
  <c r="BL85" i="15"/>
  <c r="BN62" i="15"/>
  <c r="BZ62" i="15"/>
  <c r="CL62" i="15"/>
  <c r="BY21" i="22"/>
  <c r="BI85" i="15"/>
  <c r="BI86" i="15"/>
  <c r="BE85" i="15"/>
  <c r="BA80" i="15"/>
  <c r="BB86" i="15"/>
  <c r="BO63" i="15"/>
  <c r="AT85" i="15"/>
  <c r="CM63" i="15"/>
  <c r="BJ86" i="15"/>
  <c r="CL76" i="15"/>
  <c r="BA85" i="15"/>
  <c r="BF62" i="15"/>
  <c r="BU21" i="22"/>
  <c r="BG63" i="15"/>
  <c r="BG64" i="15"/>
  <c r="BK63" i="15"/>
  <c r="BO62" i="15"/>
  <c r="BS63" i="15"/>
  <c r="BW62" i="15"/>
  <c r="CE63" i="15"/>
  <c r="CI63" i="15"/>
  <c r="BM85" i="15"/>
  <c r="BM86" i="15"/>
  <c r="BT85" i="15"/>
  <c r="BG86" i="15"/>
  <c r="BA86" i="15"/>
  <c r="BW63" i="15"/>
  <c r="CF63" i="15"/>
  <c r="BR86" i="15"/>
  <c r="BM21" i="22"/>
  <c r="BN21" i="22"/>
  <c r="BT63" i="15"/>
  <c r="AW86" i="15"/>
  <c r="BK64" i="15"/>
  <c r="BK112" i="15" s="1"/>
  <c r="BN63" i="15"/>
  <c r="AW85" i="15"/>
  <c r="BS62" i="15"/>
  <c r="BV21" i="22"/>
  <c r="CE62" i="15"/>
  <c r="AX86" i="15"/>
  <c r="G86" i="15"/>
  <c r="BZ63" i="15"/>
  <c r="BJ62" i="15"/>
  <c r="CA63" i="15"/>
  <c r="BF85" i="15"/>
  <c r="BX63" i="15"/>
  <c r="BS86" i="15"/>
  <c r="CF62" i="15"/>
  <c r="CN63" i="15"/>
  <c r="CJ63" i="15"/>
  <c r="CG63" i="15"/>
  <c r="CN62" i="15"/>
  <c r="CK63" i="15"/>
  <c r="CD63" i="15"/>
  <c r="CL63" i="15"/>
  <c r="BA49" i="12"/>
  <c r="BA65" i="12"/>
  <c r="BA69" i="12" s="1"/>
  <c r="BA72" i="12" s="1"/>
  <c r="CG301" i="12"/>
  <c r="CG339" i="12" s="1"/>
  <c r="BT84" i="22"/>
  <c r="BI309" i="12"/>
  <c r="AF289" i="21"/>
  <c r="BH281" i="21"/>
  <c r="AO289" i="21"/>
  <c r="AV252" i="21"/>
  <c r="AJ252" i="21"/>
  <c r="H251" i="21"/>
  <c r="H252" i="21" s="1"/>
  <c r="I10" i="12"/>
  <c r="I14" i="12" s="1"/>
  <c r="BD282" i="21"/>
  <c r="AZ281" i="21"/>
  <c r="AZ290" i="21" s="1"/>
  <c r="AZ291" i="21" s="1"/>
  <c r="AO290" i="21"/>
  <c r="AO291" i="21" s="1"/>
  <c r="AF252" i="21"/>
  <c r="AR252" i="21"/>
  <c r="AP14" i="12"/>
  <c r="AP65" i="12" s="1"/>
  <c r="AP69" i="12" s="1"/>
  <c r="AP72" i="12" s="1"/>
  <c r="AP252" i="21"/>
  <c r="AI282" i="21"/>
  <c r="AI252" i="21"/>
  <c r="AP289" i="21"/>
  <c r="AM252" i="21"/>
  <c r="I251" i="21"/>
  <c r="I281" i="21" s="1"/>
  <c r="BA281" i="21"/>
  <c r="AM281" i="21"/>
  <c r="AM282" i="21" s="1"/>
  <c r="AX252" i="21"/>
  <c r="I252" i="21"/>
  <c r="AJ282" i="21"/>
  <c r="AJ290" i="21"/>
  <c r="AJ291" i="21" s="1"/>
  <c r="AJ289" i="21"/>
  <c r="AQ289" i="21"/>
  <c r="AQ282" i="21"/>
  <c r="AQ290" i="21"/>
  <c r="AQ291" i="21" s="1"/>
  <c r="AL290" i="21"/>
  <c r="AL291" i="21" s="1"/>
  <c r="AL289" i="21"/>
  <c r="AL282" i="21"/>
  <c r="G282" i="21"/>
  <c r="G290" i="21"/>
  <c r="G291" i="21" s="1"/>
  <c r="AX290" i="21"/>
  <c r="AX291" i="21" s="1"/>
  <c r="AX282" i="21"/>
  <c r="BO439" i="12"/>
  <c r="BN437" i="12"/>
  <c r="BO438" i="12"/>
  <c r="AV290" i="21"/>
  <c r="AV291" i="21" s="1"/>
  <c r="AV282" i="21"/>
  <c r="CD14" i="12"/>
  <c r="BX14" i="11" s="1"/>
  <c r="CH13" i="12"/>
  <c r="BV14" i="12"/>
  <c r="BR14" i="12"/>
  <c r="BR65" i="12" s="1"/>
  <c r="BJ14" i="12"/>
  <c r="BV13" i="12"/>
  <c r="G252" i="21"/>
  <c r="AR14" i="12"/>
  <c r="AR65" i="12" s="1"/>
  <c r="AR69" i="12" s="1"/>
  <c r="AU14" i="12"/>
  <c r="AU65" i="12" s="1"/>
  <c r="AU69" i="12" s="1"/>
  <c r="AU72" i="12" s="1"/>
  <c r="AH281" i="21"/>
  <c r="BB252" i="21"/>
  <c r="BZ436" i="12"/>
  <c r="J12" i="12"/>
  <c r="J13" i="12" s="1"/>
  <c r="BF436" i="12"/>
  <c r="H12" i="12"/>
  <c r="H436" i="12" s="1"/>
  <c r="CL13" i="12"/>
  <c r="BF13" i="12"/>
  <c r="K251" i="21"/>
  <c r="AW252" i="21"/>
  <c r="AW282" i="21"/>
  <c r="AQ252" i="21"/>
  <c r="BB54" i="12"/>
  <c r="AY14" i="12"/>
  <c r="AY49" i="12" s="1"/>
  <c r="BN14" i="12"/>
  <c r="BN62" i="12" s="1"/>
  <c r="BC13" i="12"/>
  <c r="CD436" i="12"/>
  <c r="BB13" i="12"/>
  <c r="AT281" i="21"/>
  <c r="AT289" i="21" s="1"/>
  <c r="BF281" i="21"/>
  <c r="AN290" i="21"/>
  <c r="AN291" i="21" s="1"/>
  <c r="AK289" i="21"/>
  <c r="AU290" i="21"/>
  <c r="AU291" i="21" s="1"/>
  <c r="AZ282" i="21"/>
  <c r="AN289" i="21"/>
  <c r="E290" i="21"/>
  <c r="E291" i="21" s="1"/>
  <c r="AU282" i="21"/>
  <c r="AK282" i="21"/>
  <c r="BG109" i="21"/>
  <c r="AX95" i="21"/>
  <c r="AX109" i="21" s="1"/>
  <c r="AX110" i="21" s="1"/>
  <c r="BE95" i="21"/>
  <c r="BE109" i="21" s="1"/>
  <c r="BE110" i="21" s="1"/>
  <c r="BO110" i="21"/>
  <c r="CE110" i="21"/>
  <c r="CM110" i="21"/>
  <c r="BC90" i="21"/>
  <c r="J90" i="21" s="1"/>
  <c r="BH95" i="21"/>
  <c r="BH109" i="21" s="1"/>
  <c r="BH110" i="21" s="1"/>
  <c r="BY90" i="21"/>
  <c r="BC95" i="21"/>
  <c r="BN110" i="21"/>
  <c r="BS110" i="21"/>
  <c r="BV110" i="21"/>
  <c r="CD110" i="21"/>
  <c r="CI110" i="21"/>
  <c r="CQ110" i="21"/>
  <c r="X40" i="7"/>
  <c r="Y40" i="7"/>
  <c r="BQ95" i="21"/>
  <c r="BQ109" i="21" s="1"/>
  <c r="BQ110" i="21" s="1"/>
  <c r="BF109" i="21"/>
  <c r="BF110" i="21" s="1"/>
  <c r="BT109" i="21"/>
  <c r="BT110" i="21" s="1"/>
  <c r="CF118" i="6"/>
  <c r="CK118" i="6"/>
  <c r="CR120" i="6"/>
  <c r="DG120" i="6"/>
  <c r="DH157" i="12"/>
  <c r="DH293" i="12"/>
  <c r="BU105" i="13"/>
  <c r="BY105" i="13" s="1"/>
  <c r="CC105" i="13" s="1"/>
  <c r="BZ40" i="11"/>
  <c r="DF40" i="11"/>
  <c r="CB113" i="13"/>
  <c r="CY374" i="13"/>
  <c r="CU56" i="12"/>
  <c r="CY472" i="12"/>
  <c r="CU472" i="12"/>
  <c r="BU53" i="11"/>
  <c r="BU54" i="11" s="1"/>
  <c r="BU55" i="11" s="1"/>
  <c r="N147" i="12"/>
  <c r="BW94" i="13"/>
  <c r="CA55" i="12"/>
  <c r="CZ46" i="17"/>
  <c r="DD56" i="12"/>
  <c r="BW55" i="12"/>
  <c r="P72" i="22"/>
  <c r="U102" i="11"/>
  <c r="U103" i="11" s="1"/>
  <c r="X58" i="12"/>
  <c r="N148" i="6"/>
  <c r="Q148" i="6"/>
  <c r="Q146" i="6"/>
  <c r="Q72" i="6"/>
  <c r="DK99" i="8"/>
  <c r="DK100" i="8" s="1"/>
  <c r="CE75" i="6"/>
  <c r="N78" i="6"/>
  <c r="N82" i="6"/>
  <c r="CT116" i="6"/>
  <c r="V78" i="6"/>
  <c r="V93" i="8" s="1"/>
  <c r="DI107" i="6"/>
  <c r="CK53" i="6"/>
  <c r="CW118" i="6"/>
  <c r="CC107" i="6"/>
  <c r="CK107" i="6"/>
  <c r="BX120" i="6"/>
  <c r="BX118" i="6"/>
  <c r="DH74" i="8"/>
  <c r="DI68" i="6"/>
  <c r="BZ71" i="6"/>
  <c r="BZ73" i="6"/>
  <c r="CD73" i="6"/>
  <c r="CD71" i="6"/>
  <c r="CT73" i="6"/>
  <c r="S70" i="6"/>
  <c r="S90" i="8" s="1"/>
  <c r="CR93" i="8"/>
  <c r="R78" i="6"/>
  <c r="R93" i="8" s="1"/>
  <c r="CC75" i="8"/>
  <c r="BZ85" i="6"/>
  <c r="CD85" i="6"/>
  <c r="CK75" i="8"/>
  <c r="CH85" i="6"/>
  <c r="CO75" i="8"/>
  <c r="CS75" i="8"/>
  <c r="CW75" i="8"/>
  <c r="CT85" i="6"/>
  <c r="S84" i="6"/>
  <c r="DA75" i="8"/>
  <c r="CX85" i="6"/>
  <c r="DE75" i="8"/>
  <c r="DF85" i="6"/>
  <c r="BX112" i="6"/>
  <c r="CB112" i="6"/>
  <c r="CB104" i="6"/>
  <c r="CB110" i="6" s="1"/>
  <c r="CF112" i="6"/>
  <c r="CF104" i="6"/>
  <c r="CF110" i="6" s="1"/>
  <c r="CQ99" i="8"/>
  <c r="CQ100" i="8" s="1"/>
  <c r="CN104" i="6"/>
  <c r="CN110" i="6" s="1"/>
  <c r="CQ346" i="13"/>
  <c r="CQ66" i="8"/>
  <c r="CQ69" i="8" s="1"/>
  <c r="DD104" i="6"/>
  <c r="DD110" i="6" s="1"/>
  <c r="N109" i="6"/>
  <c r="N110" i="6" s="1"/>
  <c r="N111" i="6"/>
  <c r="CD117" i="6"/>
  <c r="CD120" i="6" s="1"/>
  <c r="CD107" i="6"/>
  <c r="CE107" i="6"/>
  <c r="CH117" i="6"/>
  <c r="P109" i="6"/>
  <c r="CH107" i="6"/>
  <c r="CL107" i="6"/>
  <c r="CL117" i="6"/>
  <c r="CL120" i="6" s="1"/>
  <c r="CP117" i="6"/>
  <c r="CP107" i="6"/>
  <c r="S109" i="6"/>
  <c r="S110" i="6" s="1"/>
  <c r="CT117" i="6"/>
  <c r="CT111" i="6"/>
  <c r="CD116" i="6"/>
  <c r="O115" i="6"/>
  <c r="O121" i="6" s="1"/>
  <c r="CL116" i="6"/>
  <c r="CP116" i="6"/>
  <c r="T115" i="6"/>
  <c r="T121" i="6" s="1"/>
  <c r="CX117" i="6"/>
  <c r="DB116" i="6"/>
  <c r="R383" i="12"/>
  <c r="R629" i="12"/>
  <c r="R694" i="12"/>
  <c r="V383" i="12"/>
  <c r="V356" i="12"/>
  <c r="V629" i="12"/>
  <c r="BX694" i="12"/>
  <c r="CJ694" i="12"/>
  <c r="CJ356" i="12"/>
  <c r="CN694" i="12"/>
  <c r="CN629" i="12"/>
  <c r="CN356" i="12"/>
  <c r="CR694" i="12"/>
  <c r="CR629" i="12"/>
  <c r="CR356" i="12"/>
  <c r="CV694" i="12"/>
  <c r="CV629" i="12"/>
  <c r="CV356" i="12"/>
  <c r="CZ694" i="12"/>
  <c r="CZ383" i="12"/>
  <c r="DD383" i="12"/>
  <c r="DD356" i="12"/>
  <c r="DD694" i="12"/>
  <c r="DH356" i="12"/>
  <c r="DH383" i="12"/>
  <c r="DH694" i="12"/>
  <c r="N58" i="14"/>
  <c r="N13" i="14"/>
  <c r="DJ116" i="6"/>
  <c r="DF117" i="6"/>
  <c r="DJ694" i="12"/>
  <c r="DJ383" i="12"/>
  <c r="DJ75" i="8"/>
  <c r="W84" i="6"/>
  <c r="W75" i="8" s="1"/>
  <c r="DL91" i="13"/>
  <c r="DL178" i="7"/>
  <c r="DP190" i="7" s="1"/>
  <c r="DL27" i="16"/>
  <c r="DL84" i="7"/>
  <c r="DL94" i="8"/>
  <c r="V67" i="6"/>
  <c r="T80" i="6"/>
  <c r="DI72" i="7"/>
  <c r="DI73" i="7"/>
  <c r="U99" i="8"/>
  <c r="U100" i="8" s="1"/>
  <c r="U104" i="6"/>
  <c r="Q109" i="6"/>
  <c r="P84" i="6"/>
  <c r="P75" i="8" s="1"/>
  <c r="DE74" i="8"/>
  <c r="DB68" i="6"/>
  <c r="DF68" i="6"/>
  <c r="DE89" i="8"/>
  <c r="DJ74" i="7"/>
  <c r="BX55" i="6"/>
  <c r="CR118" i="6"/>
  <c r="DK72" i="7"/>
  <c r="DJ73" i="7"/>
  <c r="BX56" i="6"/>
  <c r="BX58" i="6" s="1"/>
  <c r="DH89" i="8"/>
  <c r="S78" i="6"/>
  <c r="S93" i="8" s="1"/>
  <c r="CN383" i="12"/>
  <c r="V694" i="12"/>
  <c r="DF107" i="6"/>
  <c r="DM75" i="8"/>
  <c r="BZ107" i="6"/>
  <c r="CR104" i="6"/>
  <c r="CR110" i="6" s="1"/>
  <c r="BP51" i="22"/>
  <c r="BZ35" i="6"/>
  <c r="BZ31" i="6"/>
  <c r="CC19" i="17"/>
  <c r="CE50" i="6"/>
  <c r="BU51" i="22"/>
  <c r="CG71" i="7"/>
  <c r="CH70" i="7"/>
  <c r="BX453" i="21"/>
  <c r="CE86" i="6"/>
  <c r="CE33" i="6"/>
  <c r="CE71" i="6"/>
  <c r="CE59" i="6"/>
  <c r="CH95" i="7" s="1"/>
  <c r="CE41" i="6"/>
  <c r="BZ40" i="6"/>
  <c r="BZ53" i="6"/>
  <c r="CD40" i="6"/>
  <c r="O39" i="6"/>
  <c r="O41" i="6" s="1"/>
  <c r="CH53" i="6"/>
  <c r="CH40" i="6"/>
  <c r="CQ53" i="6"/>
  <c r="CN26" i="11"/>
  <c r="CV26" i="11"/>
  <c r="DC40" i="6"/>
  <c r="DF16" i="16"/>
  <c r="CZ26" i="11" s="1"/>
  <c r="R42" i="6"/>
  <c r="S43" i="6" s="1"/>
  <c r="CR20" i="16"/>
  <c r="CL35" i="11" s="1"/>
  <c r="CO53" i="6"/>
  <c r="CS11" i="17"/>
  <c r="CS14" i="17" s="1"/>
  <c r="CS192" i="7"/>
  <c r="CS193" i="7" s="1"/>
  <c r="CW192" i="7"/>
  <c r="CT49" i="6"/>
  <c r="CW27" i="16"/>
  <c r="CW56" i="17" s="1"/>
  <c r="CT53" i="6"/>
  <c r="CW11" i="17"/>
  <c r="CW178" i="7"/>
  <c r="CW186" i="7" s="1"/>
  <c r="DA192" i="7"/>
  <c r="DA178" i="7"/>
  <c r="CX49" i="6"/>
  <c r="DE192" i="7"/>
  <c r="DF49" i="6"/>
  <c r="CF43" i="6"/>
  <c r="CC35" i="11"/>
  <c r="CC36" i="11" s="1"/>
  <c r="CC37" i="11" s="1"/>
  <c r="CF53" i="6"/>
  <c r="CJ53" i="6"/>
  <c r="BY49" i="6"/>
  <c r="CB11" i="17"/>
  <c r="BY53" i="6"/>
  <c r="BY54" i="6" s="1"/>
  <c r="CJ11" i="17"/>
  <c r="CJ178" i="7"/>
  <c r="CG53" i="6"/>
  <c r="CG54" i="6" s="1"/>
  <c r="CD74" i="8"/>
  <c r="CA68" i="6"/>
  <c r="CH74" i="8"/>
  <c r="CE68" i="6"/>
  <c r="P67" i="6"/>
  <c r="CH89" i="8"/>
  <c r="CI68" i="6"/>
  <c r="Q67" i="6"/>
  <c r="Q74" i="8" s="1"/>
  <c r="CP74" i="8"/>
  <c r="CP89" i="8"/>
  <c r="DK74" i="7"/>
  <c r="CX72" i="7"/>
  <c r="CZ46" i="6"/>
  <c r="CQ107" i="6"/>
  <c r="CZ356" i="12"/>
  <c r="CJ383" i="12"/>
  <c r="R356" i="12"/>
  <c r="CB694" i="12"/>
  <c r="BX104" i="6"/>
  <c r="BX110" i="6" s="1"/>
  <c r="CP85" i="6"/>
  <c r="CX116" i="6"/>
  <c r="DE118" i="6"/>
  <c r="O78" i="6"/>
  <c r="P78" i="6"/>
  <c r="P93" i="8" s="1"/>
  <c r="Q84" i="6"/>
  <c r="CP111" i="6"/>
  <c r="CT66" i="8"/>
  <c r="CT69" i="8" s="1"/>
  <c r="CH69" i="8"/>
  <c r="Y383" i="12"/>
  <c r="Y694" i="12"/>
  <c r="Y629" i="12"/>
  <c r="Y356" i="12"/>
  <c r="CS27" i="16"/>
  <c r="N39" i="6"/>
  <c r="CY107" i="6"/>
  <c r="P115" i="6"/>
  <c r="Q115" i="6"/>
  <c r="Q121" i="6" s="1"/>
  <c r="R115" i="6"/>
  <c r="U115" i="6"/>
  <c r="V116" i="6" s="1"/>
  <c r="Y156" i="6"/>
  <c r="X18" i="7"/>
  <c r="Y18" i="7"/>
  <c r="CY66" i="8"/>
  <c r="CY69" i="8" s="1"/>
  <c r="CS43" i="6"/>
  <c r="DF88" i="8"/>
  <c r="DT88" i="8"/>
  <c r="DU88" i="8"/>
  <c r="DR88" i="8"/>
  <c r="DS88" i="8"/>
  <c r="DT87" i="8"/>
  <c r="DU87" i="8"/>
  <c r="DR87" i="8"/>
  <c r="DS87" i="8"/>
  <c r="DS75" i="8"/>
  <c r="DS74" i="8"/>
  <c r="DS89" i="8"/>
  <c r="M28" i="14"/>
  <c r="K28" i="14"/>
  <c r="DH167" i="15"/>
  <c r="CS168" i="15"/>
  <c r="CU168" i="15"/>
  <c r="DA168" i="15"/>
  <c r="CS119" i="15"/>
  <c r="CY169" i="15"/>
  <c r="DJ116" i="15"/>
  <c r="DA160" i="15"/>
  <c r="O74" i="14"/>
  <c r="CV54" i="14"/>
  <c r="CJ16" i="14"/>
  <c r="M144" i="14"/>
  <c r="BZ103" i="14"/>
  <c r="H13" i="14"/>
  <c r="J17" i="14"/>
  <c r="J38" i="14" s="1"/>
  <c r="K40" i="14" s="1"/>
  <c r="CZ54" i="14"/>
  <c r="CJ27" i="14"/>
  <c r="L119" i="14"/>
  <c r="I110" i="14"/>
  <c r="E104" i="14"/>
  <c r="DL160" i="15"/>
  <c r="DD49" i="14"/>
  <c r="L28" i="14"/>
  <c r="CZ151" i="15"/>
  <c r="DD167" i="15" s="1"/>
  <c r="L120" i="14"/>
  <c r="DA116" i="15"/>
  <c r="BW29" i="22"/>
  <c r="DE159" i="15"/>
  <c r="F103" i="14"/>
  <c r="DL167" i="15"/>
  <c r="H120" i="14"/>
  <c r="K131" i="14"/>
  <c r="CN45" i="14"/>
  <c r="CN52" i="14" s="1"/>
  <c r="CK29" i="14"/>
  <c r="CJ36" i="14"/>
  <c r="CJ37" i="14" s="1"/>
  <c r="CJ32" i="14" s="1"/>
  <c r="CJ30" i="14" s="1"/>
  <c r="CJ31" i="14" s="1"/>
  <c r="CK17" i="14"/>
  <c r="CK38" i="14" s="1"/>
  <c r="CO40" i="14" s="1"/>
  <c r="CJ17" i="14"/>
  <c r="CN22" i="14" s="1"/>
  <c r="CJ50" i="14"/>
  <c r="CQ161" i="15"/>
  <c r="CY161" i="15"/>
  <c r="CL54" i="14"/>
  <c r="CY45" i="14"/>
  <c r="DC46" i="14" s="1"/>
  <c r="J74" i="14"/>
  <c r="M66" i="14"/>
  <c r="CL32" i="14"/>
  <c r="CL30" i="14" s="1"/>
  <c r="CL31" i="14" s="1"/>
  <c r="J104" i="14"/>
  <c r="I74" i="14"/>
  <c r="CP167" i="15"/>
  <c r="DD47" i="14"/>
  <c r="N28" i="14"/>
  <c r="K66" i="14"/>
  <c r="L68" i="14" s="1"/>
  <c r="J66" i="14"/>
  <c r="J85" i="14" s="1"/>
  <c r="M17" i="14"/>
  <c r="M22" i="14" s="1"/>
  <c r="L45" i="14"/>
  <c r="L53" i="14" s="1"/>
  <c r="CR49" i="14"/>
  <c r="CW159" i="15"/>
  <c r="V17" i="15"/>
  <c r="N38" i="14"/>
  <c r="O40" i="14" s="1"/>
  <c r="N132" i="14"/>
  <c r="O133" i="14" s="1"/>
  <c r="O68" i="14"/>
  <c r="N85" i="14"/>
  <c r="DG53" i="14"/>
  <c r="CT35" i="22"/>
  <c r="DG46" i="14"/>
  <c r="DK46" i="14"/>
  <c r="DC53" i="14"/>
  <c r="DG52" i="14"/>
  <c r="CV45" i="14"/>
  <c r="CI35" i="22" s="1"/>
  <c r="CR45" i="14"/>
  <c r="J55" i="14"/>
  <c r="CI73" i="14"/>
  <c r="CO54" i="14"/>
  <c r="CK49" i="14"/>
  <c r="CM65" i="14"/>
  <c r="CI65" i="14"/>
  <c r="DH54" i="14"/>
  <c r="CI39" i="13"/>
  <c r="CP35" i="22"/>
  <c r="CI64" i="14"/>
  <c r="DK49" i="14"/>
  <c r="CZ49" i="14"/>
  <c r="CW54" i="14"/>
  <c r="CR151" i="15"/>
  <c r="CR167" i="15" s="1"/>
  <c r="K55" i="14"/>
  <c r="CM21" i="14"/>
  <c r="CJ76" i="14"/>
  <c r="CJ84" i="14" s="1"/>
  <c r="L13" i="14"/>
  <c r="CJ64" i="14"/>
  <c r="DC49" i="14"/>
  <c r="CY49" i="14"/>
  <c r="DC54" i="14"/>
  <c r="DG54" i="14"/>
  <c r="DC52" i="14"/>
  <c r="CN54" i="14"/>
  <c r="DE167" i="15"/>
  <c r="N74" i="14"/>
  <c r="L38" i="14"/>
  <c r="L40" i="14" s="1"/>
  <c r="DD54" i="14"/>
  <c r="DC151" i="15"/>
  <c r="DC167" i="15" s="1"/>
  <c r="CJ66" i="14"/>
  <c r="F126" i="14"/>
  <c r="DK159" i="15"/>
  <c r="DA167" i="15"/>
  <c r="CB116" i="15"/>
  <c r="CF116" i="15"/>
  <c r="CS116" i="15"/>
  <c r="DA119" i="15"/>
  <c r="N51" i="14"/>
  <c r="J45" i="14"/>
  <c r="J53" i="14" s="1"/>
  <c r="F84" i="14"/>
  <c r="F79" i="14" s="1"/>
  <c r="F77" i="14" s="1"/>
  <c r="K51" i="14"/>
  <c r="H16" i="14"/>
  <c r="CX35" i="22"/>
  <c r="E37" i="14"/>
  <c r="E32" i="14" s="1"/>
  <c r="E30" i="14" s="1"/>
  <c r="E17" i="14"/>
  <c r="L55" i="14"/>
  <c r="L51" i="14"/>
  <c r="Q118" i="15"/>
  <c r="R119" i="15" s="1"/>
  <c r="CH27" i="14"/>
  <c r="CL16" i="14"/>
  <c r="CH36" i="14"/>
  <c r="CH115" i="15"/>
  <c r="CH15" i="14"/>
  <c r="CH17" i="14"/>
  <c r="CH22" i="14" s="1"/>
  <c r="CI17" i="14"/>
  <c r="BZ112" i="14"/>
  <c r="BZ113" i="14" s="1"/>
  <c r="CA112" i="14"/>
  <c r="CA113" i="14" s="1"/>
  <c r="CA111" i="14" s="1"/>
  <c r="I151" i="14"/>
  <c r="I119" i="14"/>
  <c r="O143" i="14"/>
  <c r="P143" i="14" s="1"/>
  <c r="Q143" i="14" s="1"/>
  <c r="N144" i="14"/>
  <c r="CO118" i="15"/>
  <c r="CO116" i="15"/>
  <c r="CW118" i="15"/>
  <c r="CW119" i="15" s="1"/>
  <c r="CW116" i="15"/>
  <c r="DE118" i="15"/>
  <c r="DE119" i="15" s="1"/>
  <c r="DE116" i="15"/>
  <c r="CU169" i="15"/>
  <c r="DC169" i="15"/>
  <c r="DI161" i="15"/>
  <c r="DO54" i="14"/>
  <c r="DO161" i="15"/>
  <c r="N75" i="14"/>
  <c r="K74" i="14"/>
  <c r="CP68" i="14"/>
  <c r="BZ105" i="14"/>
  <c r="BZ106" i="14" s="1"/>
  <c r="F106" i="14"/>
  <c r="F104" i="14" s="1"/>
  <c r="F151" i="14"/>
  <c r="F119" i="14"/>
  <c r="CC116" i="15"/>
  <c r="DB118" i="15"/>
  <c r="DB116" i="15"/>
  <c r="DC116" i="15"/>
  <c r="DF118" i="15"/>
  <c r="DF116" i="15"/>
  <c r="DG116" i="15"/>
  <c r="CR161" i="15"/>
  <c r="CV161" i="15"/>
  <c r="CW161" i="15"/>
  <c r="CZ161" i="15"/>
  <c r="CZ169" i="15"/>
  <c r="DD161" i="15"/>
  <c r="DE161" i="15"/>
  <c r="CL74" i="14"/>
  <c r="CS45" i="14"/>
  <c r="CS53" i="14" s="1"/>
  <c r="CS151" i="15"/>
  <c r="CN65" i="14"/>
  <c r="CJ65" i="14"/>
  <c r="CK76" i="14"/>
  <c r="CJ39" i="13"/>
  <c r="BW32" i="22"/>
  <c r="CJ73" i="14"/>
  <c r="F66" i="14"/>
  <c r="F85" i="14" s="1"/>
  <c r="F75" i="14"/>
  <c r="DK53" i="14"/>
  <c r="DK52" i="14"/>
  <c r="I65" i="14"/>
  <c r="H125" i="14"/>
  <c r="I76" i="14"/>
  <c r="I66" i="14" s="1"/>
  <c r="H119" i="14"/>
  <c r="S118" i="15"/>
  <c r="S119" i="15" s="1"/>
  <c r="S116" i="15"/>
  <c r="CG115" i="15"/>
  <c r="CH29" i="14"/>
  <c r="CG17" i="14"/>
  <c r="CG27" i="14"/>
  <c r="CG28" i="14" s="1"/>
  <c r="CG36" i="14"/>
  <c r="CG37" i="14" s="1"/>
  <c r="CG32" i="14" s="1"/>
  <c r="CG30" i="14" s="1"/>
  <c r="CG31" i="14" s="1"/>
  <c r="CK115" i="15"/>
  <c r="CO16" i="14"/>
  <c r="CK15" i="14"/>
  <c r="BX29" i="22"/>
  <c r="CK50" i="14"/>
  <c r="CP49" i="14"/>
  <c r="CP54" i="14"/>
  <c r="CQ54" i="14"/>
  <c r="CP45" i="14"/>
  <c r="CT45" i="14"/>
  <c r="CT49" i="14"/>
  <c r="CU54" i="14"/>
  <c r="CX151" i="15"/>
  <c r="CX159" i="15" s="1"/>
  <c r="CX54" i="14"/>
  <c r="CY54" i="14"/>
  <c r="DA54" i="14"/>
  <c r="DE45" i="14"/>
  <c r="DE54" i="14"/>
  <c r="DH49" i="14"/>
  <c r="DH45" i="14"/>
  <c r="DH46" i="14" s="1"/>
  <c r="CG73" i="14"/>
  <c r="CG74" i="14" s="1"/>
  <c r="CG66" i="14"/>
  <c r="CG65" i="14"/>
  <c r="CK39" i="13"/>
  <c r="P39" i="13" s="1"/>
  <c r="BX32" i="22"/>
  <c r="CK83" i="14"/>
  <c r="CO65" i="14"/>
  <c r="CL76" i="14"/>
  <c r="CL84" i="14" s="1"/>
  <c r="CK65" i="14"/>
  <c r="CK66" i="14"/>
  <c r="J28" i="14"/>
  <c r="N116" i="15"/>
  <c r="Q58" i="14"/>
  <c r="Q13" i="14"/>
  <c r="CS160" i="15"/>
  <c r="CU160" i="15"/>
  <c r="CW160" i="15"/>
  <c r="DB160" i="15"/>
  <c r="V116" i="15"/>
  <c r="J120" i="14"/>
  <c r="R116" i="15"/>
  <c r="H106" i="14"/>
  <c r="H104" i="14" s="1"/>
  <c r="V53" i="13"/>
  <c r="CS103" i="13"/>
  <c r="CW104" i="13"/>
  <c r="BY284" i="13"/>
  <c r="CO284" i="13"/>
  <c r="DG299" i="13"/>
  <c r="BW16" i="13"/>
  <c r="CZ369" i="13"/>
  <c r="CY368" i="13"/>
  <c r="DC368" i="13"/>
  <c r="CI124" i="22"/>
  <c r="DC40" i="17"/>
  <c r="CP311" i="13"/>
  <c r="CU299" i="13"/>
  <c r="CQ299" i="13"/>
  <c r="CD88" i="13"/>
  <c r="BW25" i="13"/>
  <c r="CA25" i="13"/>
  <c r="CE25" i="13"/>
  <c r="CE27" i="13" s="1"/>
  <c r="O21" i="13"/>
  <c r="P21" i="13"/>
  <c r="M23" i="13"/>
  <c r="CP102" i="13"/>
  <c r="W87" i="13"/>
  <c r="W22" i="11" s="1"/>
  <c r="CO310" i="13"/>
  <c r="CY298" i="13"/>
  <c r="CQ367" i="13"/>
  <c r="CU368" i="13" s="1"/>
  <c r="CC123" i="22"/>
  <c r="DY113" i="13"/>
  <c r="DG40" i="11"/>
  <c r="DD127" i="22"/>
  <c r="DY116" i="13"/>
  <c r="DG368" i="13"/>
  <c r="CF26" i="11"/>
  <c r="CF27" i="11" s="1"/>
  <c r="CF28" i="11" s="1"/>
  <c r="BW115" i="17"/>
  <c r="CQ109" i="17"/>
  <c r="CH70" i="22"/>
  <c r="CR35" i="8"/>
  <c r="CR76" i="8"/>
  <c r="CM18" i="8"/>
  <c r="CM17" i="8" s="1"/>
  <c r="CM76" i="8" s="1"/>
  <c r="CM14" i="17"/>
  <c r="CJ18" i="8"/>
  <c r="CJ17" i="8" s="1"/>
  <c r="CJ76" i="8" s="1"/>
  <c r="AZ91" i="17"/>
  <c r="AZ84" i="17"/>
  <c r="J30" i="17"/>
  <c r="CM32" i="17"/>
  <c r="CJ32" i="17"/>
  <c r="E97" i="17"/>
  <c r="CJ94" i="13"/>
  <c r="CJ40" i="17" s="1"/>
  <c r="BX13" i="17"/>
  <c r="BX14" i="17" s="1"/>
  <c r="CU13" i="17"/>
  <c r="CU18" i="8" s="1"/>
  <c r="CU17" i="8" s="1"/>
  <c r="CU76" i="8" s="1"/>
  <c r="AZ87" i="17"/>
  <c r="E86" i="17"/>
  <c r="J58" i="17"/>
  <c r="E83" i="17"/>
  <c r="CF32" i="17"/>
  <c r="E85" i="17"/>
  <c r="BY52" i="6"/>
  <c r="CJ52" i="6"/>
  <c r="CF94" i="13"/>
  <c r="CF40" i="17" s="1"/>
  <c r="CF41" i="17" s="1"/>
  <c r="CM94" i="13"/>
  <c r="CM40" i="17" s="1"/>
  <c r="CU94" i="13"/>
  <c r="CU40" i="17" s="1"/>
  <c r="AZ83" i="17"/>
  <c r="DE31" i="17"/>
  <c r="DE32" i="17" s="1"/>
  <c r="CY32" i="17"/>
  <c r="K30" i="17"/>
  <c r="CC52" i="6"/>
  <c r="K132" i="14"/>
  <c r="K134" i="14" s="1"/>
  <c r="CD32" i="14"/>
  <c r="CD30" i="14" s="1"/>
  <c r="CD31" i="14" s="1"/>
  <c r="DB32" i="14"/>
  <c r="DB30" i="14" s="1"/>
  <c r="DB31" i="14" s="1"/>
  <c r="CM589" i="12"/>
  <c r="CM591" i="12" s="1"/>
  <c r="CN589" i="12" s="1"/>
  <c r="CN591" i="12" s="1"/>
  <c r="CN663" i="12" s="1"/>
  <c r="CL663" i="12"/>
  <c r="CN621" i="12"/>
  <c r="CN623" i="12" s="1"/>
  <c r="CO621" i="12" s="1"/>
  <c r="CO623" i="12" s="1"/>
  <c r="CD514" i="12"/>
  <c r="CE514" i="12" s="1"/>
  <c r="CF514" i="12" s="1"/>
  <c r="T532" i="12"/>
  <c r="P644" i="12"/>
  <c r="Q642" i="12" s="1"/>
  <c r="P519" i="12"/>
  <c r="Y720" i="12"/>
  <c r="Z721" i="12" s="1"/>
  <c r="Y693" i="12"/>
  <c r="Y507" i="12"/>
  <c r="Y523" i="12"/>
  <c r="Y530" i="12"/>
  <c r="Y737" i="12"/>
  <c r="Y761" i="12"/>
  <c r="X715" i="12"/>
  <c r="Y713" i="12"/>
  <c r="Y685" i="12"/>
  <c r="Y501" i="12"/>
  <c r="Y509" i="12"/>
  <c r="Y517" i="12"/>
  <c r="Y525" i="12"/>
  <c r="Y766" i="12"/>
  <c r="Y503" i="12"/>
  <c r="Y518" i="12"/>
  <c r="Y506" i="12"/>
  <c r="Y522" i="12"/>
  <c r="DN726" i="12"/>
  <c r="DO727" i="12" s="1"/>
  <c r="DO721" i="12"/>
  <c r="DO762" i="12" s="1"/>
  <c r="DO764" i="12" s="1"/>
  <c r="DO767" i="12" s="1"/>
  <c r="CJ184" i="12"/>
  <c r="BB145" i="12"/>
  <c r="DL294" i="12"/>
  <c r="DC138" i="22" s="1"/>
  <c r="DP293" i="12"/>
  <c r="DP157" i="12"/>
  <c r="CL14" i="17"/>
  <c r="CX52" i="6"/>
  <c r="DA13" i="17"/>
  <c r="DA18" i="8" s="1"/>
  <c r="DA17" i="8" s="1"/>
  <c r="DA76" i="8" s="1"/>
  <c r="DL21" i="14"/>
  <c r="DD21" i="14"/>
  <c r="CT21" i="14"/>
  <c r="CS38" i="14"/>
  <c r="F39" i="37"/>
  <c r="CX21" i="14"/>
  <c r="DC38" i="14"/>
  <c r="DB22" i="14"/>
  <c r="E39" i="37"/>
  <c r="DG22" i="14"/>
  <c r="CY21" i="14"/>
  <c r="CS22" i="14"/>
  <c r="L37" i="14"/>
  <c r="L32" i="14" s="1"/>
  <c r="L30" i="14" s="1"/>
  <c r="L31" i="14" s="1"/>
  <c r="DI17" i="15"/>
  <c r="BZ53" i="11"/>
  <c r="BZ54" i="11" s="1"/>
  <c r="BW61" i="11"/>
  <c r="BV61" i="11"/>
  <c r="BU61" i="11"/>
  <c r="BX103" i="11"/>
  <c r="DE40" i="11"/>
  <c r="Q103" i="11"/>
  <c r="N34" i="11"/>
  <c r="N16" i="11"/>
  <c r="CA103" i="11"/>
  <c r="N52" i="11"/>
  <c r="BV103" i="11"/>
  <c r="BY103" i="11"/>
  <c r="CR103" i="11"/>
  <c r="CB103" i="11"/>
  <c r="DK12" i="16"/>
  <c r="CR46" i="16"/>
  <c r="CZ45" i="16"/>
  <c r="CR44" i="16"/>
  <c r="T48" i="16"/>
  <c r="T23" i="16" s="1"/>
  <c r="CA12" i="16"/>
  <c r="BU17" i="11"/>
  <c r="CE12" i="16"/>
  <c r="CW48" i="16"/>
  <c r="CW23" i="16" s="1"/>
  <c r="DH18" i="6"/>
  <c r="DC18" i="6"/>
  <c r="CX49" i="22"/>
  <c r="CZ17" i="11"/>
  <c r="DI12" i="16"/>
  <c r="CV49" i="22"/>
  <c r="CK49" i="22"/>
  <c r="DH46" i="16"/>
  <c r="DG44" i="16"/>
  <c r="DG48" i="16" s="1"/>
  <c r="DG23" i="16" s="1"/>
  <c r="CN44" i="16"/>
  <c r="CI49" i="22"/>
  <c r="BX17" i="11"/>
  <c r="CA17" i="11"/>
  <c r="CU45" i="16"/>
  <c r="CU48" i="16" s="1"/>
  <c r="CU23" i="16" s="1"/>
  <c r="CB18" i="6"/>
  <c r="CF19" i="6" s="1"/>
  <c r="CH18" i="6"/>
  <c r="CL19" i="6" s="1"/>
  <c r="DE17" i="11"/>
  <c r="CM17" i="11"/>
  <c r="CP46" i="16"/>
  <c r="CX45" i="16"/>
  <c r="CP44" i="16"/>
  <c r="BY17" i="11"/>
  <c r="CQ46" i="16"/>
  <c r="CP17" i="11"/>
  <c r="CQ44" i="16"/>
  <c r="BX18" i="6"/>
  <c r="BX19" i="6" s="1"/>
  <c r="F12" i="16"/>
  <c r="L11" i="16"/>
  <c r="L12" i="16" s="1"/>
  <c r="M11" i="16"/>
  <c r="J49" i="22"/>
  <c r="V48" i="16"/>
  <c r="V23" i="16" s="1"/>
  <c r="BN57" i="17"/>
  <c r="BV57" i="17"/>
  <c r="CQ49" i="22"/>
  <c r="DB12" i="16"/>
  <c r="DF12" i="16"/>
  <c r="DC48" i="16"/>
  <c r="DC23" i="16" s="1"/>
  <c r="BT12" i="16"/>
  <c r="BW49" i="22"/>
  <c r="CD18" i="6"/>
  <c r="BX12" i="16"/>
  <c r="CN47" i="16"/>
  <c r="CN48" i="16" s="1"/>
  <c r="CN23" i="16" s="1"/>
  <c r="DA47" i="16"/>
  <c r="DA48" i="16" s="1"/>
  <c r="DA23" i="16" s="1"/>
  <c r="CP45" i="16"/>
  <c r="CC12" i="16"/>
  <c r="BZ18" i="6"/>
  <c r="BZ19" i="6" s="1"/>
  <c r="CO47" i="16"/>
  <c r="CO48" i="16" s="1"/>
  <c r="CO23" i="16" s="1"/>
  <c r="N44" i="11"/>
  <c r="U11" i="16"/>
  <c r="P49" i="22" s="1"/>
  <c r="CO49" i="22"/>
  <c r="CJ12" i="16"/>
  <c r="CG12" i="16"/>
  <c r="CB12" i="16"/>
  <c r="BH12" i="16"/>
  <c r="R48" i="16"/>
  <c r="CX46" i="16"/>
  <c r="CX44" i="16"/>
  <c r="CX47" i="16"/>
  <c r="CS45" i="16"/>
  <c r="CS48" i="16" s="1"/>
  <c r="CS23" i="16" s="1"/>
  <c r="BW17" i="11"/>
  <c r="DB17" i="11"/>
  <c r="CY46" i="16"/>
  <c r="CG18" i="6"/>
  <c r="BT57" i="17"/>
  <c r="BX57" i="17"/>
  <c r="DE19" i="6"/>
  <c r="O11" i="16"/>
  <c r="P12" i="16" s="1"/>
  <c r="CZ46" i="16"/>
  <c r="CZ44" i="16"/>
  <c r="CZ47" i="16"/>
  <c r="CY44" i="16"/>
  <c r="BG138" i="17"/>
  <c r="CC70" i="22"/>
  <c r="BL138" i="17"/>
  <c r="DK114" i="17"/>
  <c r="DO115" i="17" s="1"/>
  <c r="DK108" i="17"/>
  <c r="CR147" i="17"/>
  <c r="CS65" i="22"/>
  <c r="CS70" i="22" s="1"/>
  <c r="CB138" i="17"/>
  <c r="CJ127" i="17"/>
  <c r="CT55" i="17"/>
  <c r="I70" i="35"/>
  <c r="E70" i="35"/>
  <c r="L70" i="35"/>
  <c r="H70" i="35"/>
  <c r="CR69" i="22"/>
  <c r="L36" i="17"/>
  <c r="L140" i="17"/>
  <c r="CY35" i="8"/>
  <c r="DB127" i="17"/>
  <c r="BN109" i="17"/>
  <c r="CL70" i="22"/>
  <c r="BP70" i="22"/>
  <c r="CK115" i="17"/>
  <c r="BB18" i="17"/>
  <c r="CO55" i="17"/>
  <c r="BG140" i="17"/>
  <c r="CV550" i="12"/>
  <c r="CV557" i="12" s="1"/>
  <c r="K129" i="17"/>
  <c r="CL55" i="17"/>
  <c r="CQ55" i="17"/>
  <c r="P137" i="17"/>
  <c r="M141" i="17"/>
  <c r="I57" i="17"/>
  <c r="BN33" i="15"/>
  <c r="CY27" i="15"/>
  <c r="AV63" i="15"/>
  <c r="BW42" i="15"/>
  <c r="DK119" i="15"/>
  <c r="CN16" i="15"/>
  <c r="CN17" i="15" s="1"/>
  <c r="DB52" i="14"/>
  <c r="CO35" i="22"/>
  <c r="W68" i="15"/>
  <c r="DI150" i="15"/>
  <c r="DI23" i="15"/>
  <c r="CQ23" i="15"/>
  <c r="CD24" i="22"/>
  <c r="CQ150" i="15"/>
  <c r="E76" i="15"/>
  <c r="M35" i="15"/>
  <c r="CZ23" i="15"/>
  <c r="CZ150" i="15"/>
  <c r="DC47" i="14"/>
  <c r="DB46" i="14"/>
  <c r="W64" i="15"/>
  <c r="W112" i="15" s="1"/>
  <c r="CJ75" i="14"/>
  <c r="DD52" i="14"/>
  <c r="CA64" i="15"/>
  <c r="BU109" i="11" s="1"/>
  <c r="CA34" i="15"/>
  <c r="CO51" i="15"/>
  <c r="CO40" i="15"/>
  <c r="CO38" i="15"/>
  <c r="CL42" i="15"/>
  <c r="BY18" i="22"/>
  <c r="AY23" i="15"/>
  <c r="AZ56" i="15"/>
  <c r="AY108" i="15"/>
  <c r="AY110" i="15" s="1"/>
  <c r="CK23" i="15"/>
  <c r="CK64" i="15"/>
  <c r="CK108" i="15"/>
  <c r="CK110" i="15" s="1"/>
  <c r="CK55" i="15"/>
  <c r="CJ15" i="14"/>
  <c r="CI15" i="14"/>
  <c r="CI36" i="14"/>
  <c r="CI27" i="14"/>
  <c r="CI66" i="14"/>
  <c r="CH83" i="14"/>
  <c r="CH73" i="14"/>
  <c r="L134" i="14"/>
  <c r="AY53" i="15"/>
  <c r="DF150" i="15"/>
  <c r="BR64" i="15"/>
  <c r="F108" i="15"/>
  <c r="F56" i="15"/>
  <c r="AS64" i="15"/>
  <c r="AT56" i="15"/>
  <c r="AW23" i="15"/>
  <c r="AW56" i="15"/>
  <c r="AW64" i="15"/>
  <c r="AW53" i="15"/>
  <c r="AX20" i="15"/>
  <c r="AX11" i="15" s="1"/>
  <c r="AX52" i="15"/>
  <c r="AX22" i="15"/>
  <c r="BB20" i="15"/>
  <c r="BB11" i="15" s="1"/>
  <c r="BB109" i="15"/>
  <c r="BB22" i="15"/>
  <c r="BB24" i="15"/>
  <c r="BB52" i="15"/>
  <c r="BF52" i="15"/>
  <c r="BG24" i="15"/>
  <c r="BF22" i="15"/>
  <c r="BF24" i="15"/>
  <c r="BJ109" i="15"/>
  <c r="BK24" i="15"/>
  <c r="BJ52" i="15"/>
  <c r="BN109" i="15"/>
  <c r="BN22" i="15"/>
  <c r="BN24" i="15"/>
  <c r="BO24" i="15"/>
  <c r="BN52" i="15"/>
  <c r="BR109" i="15"/>
  <c r="BS24" i="15"/>
  <c r="BR22" i="15"/>
  <c r="BR24" i="15"/>
  <c r="BV109" i="15"/>
  <c r="BW24" i="15"/>
  <c r="BV22" i="15"/>
  <c r="BV24" i="15"/>
  <c r="BZ109" i="15"/>
  <c r="CA24" i="15"/>
  <c r="BZ52" i="15"/>
  <c r="CA55" i="15" s="1"/>
  <c r="CD109" i="15"/>
  <c r="CD52" i="15"/>
  <c r="CD22" i="15"/>
  <c r="CD24" i="15"/>
  <c r="CD36" i="13"/>
  <c r="CE24" i="15"/>
  <c r="CL22" i="15"/>
  <c r="CI24" i="15"/>
  <c r="CH24" i="15"/>
  <c r="CH52" i="15"/>
  <c r="CM52" i="15"/>
  <c r="CM109" i="15"/>
  <c r="CM68" i="15"/>
  <c r="CM22" i="15"/>
  <c r="CN24" i="15"/>
  <c r="CM64" i="15"/>
  <c r="CQ20" i="15"/>
  <c r="CQ36" i="13"/>
  <c r="CQ64" i="15"/>
  <c r="CQ24" i="15"/>
  <c r="CQ22" i="15"/>
  <c r="CV24" i="15"/>
  <c r="CU36" i="13"/>
  <c r="CU18" i="15"/>
  <c r="CU64" i="15"/>
  <c r="CU24" i="15"/>
  <c r="CU68" i="15"/>
  <c r="CY68" i="15"/>
  <c r="CY22" i="15"/>
  <c r="CZ24" i="15"/>
  <c r="DC22" i="15"/>
  <c r="CY36" i="13"/>
  <c r="CY24" i="15"/>
  <c r="DB64" i="15"/>
  <c r="DB24" i="15"/>
  <c r="DB18" i="15"/>
  <c r="DF36" i="13"/>
  <c r="DF64" i="15"/>
  <c r="DG24" i="15"/>
  <c r="DF24" i="15"/>
  <c r="DF22" i="15"/>
  <c r="DF18" i="15"/>
  <c r="CQ27" i="15"/>
  <c r="CQ26" i="15"/>
  <c r="CU27" i="15"/>
  <c r="CU26" i="15"/>
  <c r="DC26" i="15"/>
  <c r="DD27" i="15"/>
  <c r="DC64" i="15"/>
  <c r="DC68" i="15"/>
  <c r="DG27" i="15"/>
  <c r="DG64" i="15"/>
  <c r="BT52" i="15"/>
  <c r="BT35" i="15"/>
  <c r="BU52" i="15"/>
  <c r="BU33" i="15"/>
  <c r="N32" i="15"/>
  <c r="O35" i="15" s="1"/>
  <c r="CC52" i="15"/>
  <c r="BP10" i="22"/>
  <c r="CC35" i="15"/>
  <c r="BX10" i="22"/>
  <c r="CL35" i="15"/>
  <c r="CK35" i="15"/>
  <c r="CK34" i="15"/>
  <c r="CN35" i="15"/>
  <c r="CO35" i="15"/>
  <c r="CA10" i="22"/>
  <c r="CA12" i="22" s="1"/>
  <c r="CN52" i="15"/>
  <c r="BW37" i="15"/>
  <c r="BX38" i="15"/>
  <c r="BC33" i="15"/>
  <c r="BG33" i="15"/>
  <c r="BC30" i="15"/>
  <c r="BD35" i="15"/>
  <c r="BC52" i="15"/>
  <c r="BC34" i="15" s="1"/>
  <c r="BO35" i="15"/>
  <c r="BO52" i="15"/>
  <c r="BI40" i="15"/>
  <c r="BJ38" i="15"/>
  <c r="BE52" i="15"/>
  <c r="H32" i="15"/>
  <c r="BF35" i="15"/>
  <c r="BI33" i="15"/>
  <c r="CR169" i="15"/>
  <c r="DD169" i="15"/>
  <c r="CX15" i="15"/>
  <c r="CY16" i="15"/>
  <c r="CY17" i="15" s="1"/>
  <c r="CX16" i="15"/>
  <c r="CX17" i="15" s="1"/>
  <c r="CX64" i="15"/>
  <c r="DC16" i="15"/>
  <c r="DC17" i="15" s="1"/>
  <c r="DB16" i="15"/>
  <c r="DB17" i="15" s="1"/>
  <c r="DF15" i="15"/>
  <c r="DF16" i="15"/>
  <c r="DF17" i="15" s="1"/>
  <c r="DG16" i="15"/>
  <c r="DG17" i="15" s="1"/>
  <c r="BU7" i="22"/>
  <c r="CH208" i="13"/>
  <c r="CH211" i="13" s="1"/>
  <c r="CL18" i="15"/>
  <c r="BY8" i="22" s="1"/>
  <c r="CL208" i="13"/>
  <c r="CL211" i="13" s="1"/>
  <c r="CL113" i="15"/>
  <c r="CL12" i="15"/>
  <c r="CP34" i="13"/>
  <c r="CP113" i="15"/>
  <c r="CP18" i="15"/>
  <c r="CC7" i="22"/>
  <c r="CP13" i="15"/>
  <c r="CP208" i="13"/>
  <c r="CP211" i="13" s="1"/>
  <c r="CP212" i="13" s="1"/>
  <c r="CT34" i="13"/>
  <c r="CU35" i="13" s="1"/>
  <c r="CU50" i="13" s="1"/>
  <c r="CT113" i="15"/>
  <c r="CT12" i="15"/>
  <c r="CX113" i="15"/>
  <c r="CK7" i="22"/>
  <c r="CX12" i="15"/>
  <c r="CX34" i="13"/>
  <c r="CX13" i="15"/>
  <c r="CX18" i="15"/>
  <c r="DF34" i="13"/>
  <c r="DF35" i="13" s="1"/>
  <c r="DF50" i="13" s="1"/>
  <c r="DF113" i="15"/>
  <c r="DF12" i="15"/>
  <c r="CS7" i="22"/>
  <c r="DG13" i="15"/>
  <c r="DF13" i="15"/>
  <c r="CQ16" i="15"/>
  <c r="CQ17" i="15" s="1"/>
  <c r="CR16" i="15"/>
  <c r="CR17" i="15" s="1"/>
  <c r="CU15" i="15"/>
  <c r="AW62" i="15"/>
  <c r="BA62" i="15"/>
  <c r="J61" i="15"/>
  <c r="J62" i="15" s="1"/>
  <c r="BM62" i="15"/>
  <c r="BU62" i="15"/>
  <c r="O61" i="15"/>
  <c r="BT21" i="22"/>
  <c r="J21" i="22" s="1"/>
  <c r="CR27" i="15"/>
  <c r="BR35" i="15"/>
  <c r="DB22" i="15"/>
  <c r="BS33" i="15"/>
  <c r="AZ62" i="15"/>
  <c r="CT116" i="15"/>
  <c r="AQ86" i="15"/>
  <c r="DK24" i="15"/>
  <c r="DK116" i="15"/>
  <c r="DO117" i="15" s="1"/>
  <c r="AZ23" i="15"/>
  <c r="AZ34" i="15"/>
  <c r="CI115" i="15"/>
  <c r="CI50" i="14"/>
  <c r="CI16" i="14"/>
  <c r="BV29" i="22"/>
  <c r="CM16" i="14"/>
  <c r="CQ45" i="14"/>
  <c r="CQ151" i="15"/>
  <c r="CQ159" i="15" s="1"/>
  <c r="CR54" i="14"/>
  <c r="CU151" i="15"/>
  <c r="CU49" i="14"/>
  <c r="DB49" i="14"/>
  <c r="DB151" i="15"/>
  <c r="BU32" i="22"/>
  <c r="CH39" i="13"/>
  <c r="DK15" i="15"/>
  <c r="DH16" i="15"/>
  <c r="DH17" i="15" s="1"/>
  <c r="DG15" i="15"/>
  <c r="G63" i="15"/>
  <c r="G62" i="15"/>
  <c r="F62" i="15"/>
  <c r="DH34" i="13"/>
  <c r="DI35" i="13" s="1"/>
  <c r="DI50" i="13" s="1"/>
  <c r="DH113" i="15"/>
  <c r="CP16" i="15"/>
  <c r="CP17" i="15" s="1"/>
  <c r="Q14" i="15"/>
  <c r="Q16" i="15" s="1"/>
  <c r="R14" i="15"/>
  <c r="CS16" i="15"/>
  <c r="CS17" i="15" s="1"/>
  <c r="CW15" i="15"/>
  <c r="DA16" i="15"/>
  <c r="DA17" i="15" s="1"/>
  <c r="CZ15" i="15"/>
  <c r="AV20" i="15"/>
  <c r="AV11" i="15" s="1"/>
  <c r="AV23" i="15"/>
  <c r="AZ20" i="15"/>
  <c r="AZ11" i="15" s="1"/>
  <c r="AZ22" i="15"/>
  <c r="AZ109" i="15"/>
  <c r="BD20" i="15"/>
  <c r="BD11" i="15" s="1"/>
  <c r="BD22" i="15"/>
  <c r="BD109" i="15"/>
  <c r="BD24" i="15"/>
  <c r="BI24" i="15"/>
  <c r="BH22" i="15"/>
  <c r="BH24" i="15"/>
  <c r="BM24" i="15"/>
  <c r="BL24" i="15"/>
  <c r="BL109" i="15"/>
  <c r="BP109" i="15"/>
  <c r="BP22" i="15"/>
  <c r="BU24" i="15"/>
  <c r="BT109" i="15"/>
  <c r="BT22" i="15"/>
  <c r="BT24" i="15"/>
  <c r="BX22" i="15"/>
  <c r="BY24" i="15"/>
  <c r="BX24" i="15"/>
  <c r="CB24" i="15"/>
  <c r="CB109" i="15"/>
  <c r="CG24" i="15"/>
  <c r="CF109" i="15"/>
  <c r="CF36" i="13"/>
  <c r="CF22" i="15"/>
  <c r="CK24" i="15"/>
  <c r="CJ109" i="15"/>
  <c r="CJ24" i="15"/>
  <c r="CN22" i="15"/>
  <c r="CJ36" i="13"/>
  <c r="CO36" i="13"/>
  <c r="Q36" i="13" s="1"/>
  <c r="CO109" i="15"/>
  <c r="Q21" i="15"/>
  <c r="CO52" i="15"/>
  <c r="CO68" i="15"/>
  <c r="CO18" i="15"/>
  <c r="CO22" i="15"/>
  <c r="CP24" i="15"/>
  <c r="CS24" i="15"/>
  <c r="CS68" i="15"/>
  <c r="CS23" i="15" s="1"/>
  <c r="CS36" i="13"/>
  <c r="R36" i="13" s="1"/>
  <c r="CS22" i="15"/>
  <c r="CS18" i="15"/>
  <c r="CS20" i="15"/>
  <c r="CT24" i="15"/>
  <c r="S21" i="15"/>
  <c r="T24" i="15" s="1"/>
  <c r="CW64" i="15"/>
  <c r="CW36" i="13"/>
  <c r="S36" i="13" s="1"/>
  <c r="CW24" i="15"/>
  <c r="CW68" i="15"/>
  <c r="DA22" i="15"/>
  <c r="CW18" i="15"/>
  <c r="CX24" i="15"/>
  <c r="DE24" i="15"/>
  <c r="DD22" i="15"/>
  <c r="DD36" i="13"/>
  <c r="DD68" i="15"/>
  <c r="DH68" i="15"/>
  <c r="DH18" i="15"/>
  <c r="DH36" i="13"/>
  <c r="CT27" i="15"/>
  <c r="CT28" i="15" s="1"/>
  <c r="CS27" i="15"/>
  <c r="CS28" i="15" s="1"/>
  <c r="R25" i="15"/>
  <c r="S25" i="15"/>
  <c r="CW27" i="15"/>
  <c r="CW26" i="15"/>
  <c r="CX27" i="15"/>
  <c r="DA64" i="15"/>
  <c r="T25" i="15"/>
  <c r="DA27" i="15"/>
  <c r="DB27" i="15"/>
  <c r="DE27" i="15"/>
  <c r="DI28" i="15" s="1"/>
  <c r="U25" i="15"/>
  <c r="V27" i="15" s="1"/>
  <c r="DE26" i="15"/>
  <c r="DE64" i="15"/>
  <c r="CC40" i="15"/>
  <c r="CC37" i="15"/>
  <c r="CD38" i="15"/>
  <c r="AW34" i="15"/>
  <c r="AW30" i="15"/>
  <c r="F32" i="15"/>
  <c r="G32" i="15"/>
  <c r="BA33" i="15"/>
  <c r="BE33" i="15"/>
  <c r="BA30" i="15"/>
  <c r="BM33" i="15"/>
  <c r="BN35" i="15"/>
  <c r="AQ63" i="15"/>
  <c r="CG208" i="13"/>
  <c r="CG211" i="13" s="1"/>
  <c r="CH13" i="15"/>
  <c r="CK13" i="15"/>
  <c r="CK12" i="15"/>
  <c r="CL13" i="15"/>
  <c r="BX7" i="22"/>
  <c r="CK208" i="13"/>
  <c r="CK211" i="13" s="1"/>
  <c r="CO34" i="13"/>
  <c r="Q34" i="13" s="1"/>
  <c r="Q11" i="15"/>
  <c r="CO12" i="15"/>
  <c r="CO113" i="15"/>
  <c r="CS34" i="13"/>
  <c r="CS113" i="15"/>
  <c r="CF7" i="22"/>
  <c r="R11" i="15"/>
  <c r="R113" i="15" s="1"/>
  <c r="CT13" i="15"/>
  <c r="CS12" i="15"/>
  <c r="CS13" i="15"/>
  <c r="S11" i="15"/>
  <c r="CW34" i="13"/>
  <c r="S34" i="13" s="1"/>
  <c r="CW113" i="15"/>
  <c r="DA34" i="13"/>
  <c r="DA35" i="13" s="1"/>
  <c r="DA50" i="13" s="1"/>
  <c r="DA113" i="15"/>
  <c r="T11" i="15"/>
  <c r="DA12" i="15"/>
  <c r="DA13" i="15"/>
  <c r="CN7" i="22"/>
  <c r="DB13" i="15"/>
  <c r="DE12" i="15"/>
  <c r="DA18" i="15"/>
  <c r="CF33" i="15"/>
  <c r="BS10" i="22"/>
  <c r="BS12" i="22" s="1"/>
  <c r="CJ33" i="15"/>
  <c r="BW10" i="22"/>
  <c r="BW12" i="22" s="1"/>
  <c r="CN33" i="15"/>
  <c r="AR63" i="15"/>
  <c r="AS63" i="15"/>
  <c r="BY63" i="15"/>
  <c r="AT23" i="15"/>
  <c r="CX26" i="15"/>
  <c r="CO33" i="15"/>
  <c r="CO63" i="15"/>
  <c r="DL16" i="15"/>
  <c r="AU34" i="15"/>
  <c r="AX62" i="15"/>
  <c r="DK54" i="14"/>
  <c r="CV15" i="15"/>
  <c r="AU23" i="15"/>
  <c r="DH26" i="15"/>
  <c r="CI38" i="15"/>
  <c r="BF50" i="15"/>
  <c r="BD63" i="15"/>
  <c r="BP63" i="15"/>
  <c r="DJ16" i="15"/>
  <c r="DJ17" i="15" s="1"/>
  <c r="DM169" i="15"/>
  <c r="DL119" i="15"/>
  <c r="DP120" i="15" s="1"/>
  <c r="CY119" i="15"/>
  <c r="L104" i="14"/>
  <c r="M131" i="14"/>
  <c r="L131" i="14"/>
  <c r="G104" i="14"/>
  <c r="K104" i="14"/>
  <c r="CR357" i="13"/>
  <c r="CK24" i="13"/>
  <c r="S84" i="13"/>
  <c r="N87" i="13"/>
  <c r="DG110" i="13"/>
  <c r="CY128" i="22"/>
  <c r="DL110" i="13"/>
  <c r="BX25" i="13"/>
  <c r="CF22" i="13"/>
  <c r="CK126" i="22"/>
  <c r="CJ85" i="13"/>
  <c r="CU124" i="22"/>
  <c r="DK35" i="13"/>
  <c r="DK50" i="13" s="1"/>
  <c r="CJ133" i="13"/>
  <c r="BW55" i="22" s="1"/>
  <c r="CE82" i="13"/>
  <c r="CQ357" i="13"/>
  <c r="BV25" i="13"/>
  <c r="CC25" i="13"/>
  <c r="CG22" i="13"/>
  <c r="CU370" i="13"/>
  <c r="CA123" i="22"/>
  <c r="CE124" i="22"/>
  <c r="CX123" i="22"/>
  <c r="M10" i="13"/>
  <c r="BX16" i="13"/>
  <c r="CF11" i="13"/>
  <c r="CJ11" i="13"/>
  <c r="O12" i="13"/>
  <c r="CJ13" i="13"/>
  <c r="CA16" i="13"/>
  <c r="CE13" i="13"/>
  <c r="N12" i="13"/>
  <c r="CE15" i="13"/>
  <c r="CM14" i="13"/>
  <c r="CI15" i="13"/>
  <c r="CI25" i="13"/>
  <c r="CI27" i="13" s="1"/>
  <c r="CI20" i="13"/>
  <c r="O23" i="13"/>
  <c r="CG24" i="13"/>
  <c r="CQ54" i="13"/>
  <c r="CU54" i="13"/>
  <c r="CK88" i="13"/>
  <c r="CC125" i="22"/>
  <c r="CC126" i="22"/>
  <c r="CG126" i="22"/>
  <c r="CG125" i="22"/>
  <c r="CS125" i="22"/>
  <c r="BU127" i="22"/>
  <c r="CC127" i="22"/>
  <c r="CC128" i="22"/>
  <c r="CG127" i="22"/>
  <c r="CG128" i="22"/>
  <c r="CK128" i="22"/>
  <c r="CK127" i="22"/>
  <c r="CS127" i="22"/>
  <c r="CW128" i="22"/>
  <c r="CT367" i="13"/>
  <c r="CT298" i="13"/>
  <c r="CX367" i="13"/>
  <c r="CX370" i="13" s="1"/>
  <c r="CX299" i="13"/>
  <c r="T297" i="13"/>
  <c r="CX298" i="13"/>
  <c r="DB367" i="13"/>
  <c r="DC298" i="13"/>
  <c r="DB298" i="13"/>
  <c r="DF367" i="13"/>
  <c r="DF370" i="13" s="1"/>
  <c r="DF299" i="13"/>
  <c r="F29" i="37"/>
  <c r="DC102" i="11"/>
  <c r="DD103" i="11" s="1"/>
  <c r="DJ103" i="13"/>
  <c r="DJ102" i="13"/>
  <c r="DJ104" i="13"/>
  <c r="V101" i="13"/>
  <c r="Q72" i="22" s="1"/>
  <c r="DJ367" i="13"/>
  <c r="DK369" i="13" s="1"/>
  <c r="DJ299" i="13"/>
  <c r="DK298" i="13"/>
  <c r="AA46" i="37"/>
  <c r="CX72" i="22"/>
  <c r="DK364" i="13"/>
  <c r="DK370" i="13" s="1"/>
  <c r="DL104" i="13"/>
  <c r="DL102" i="13"/>
  <c r="DK104" i="13"/>
  <c r="DK102" i="13"/>
  <c r="DL103" i="13"/>
  <c r="DK54" i="13"/>
  <c r="L72" i="22"/>
  <c r="Q103" i="13"/>
  <c r="CZ368" i="13"/>
  <c r="CZ375" i="13"/>
  <c r="CV298" i="13"/>
  <c r="CO257" i="13"/>
  <c r="CX115" i="13"/>
  <c r="DB116" i="13" s="1"/>
  <c r="N113" i="13"/>
  <c r="CK115" i="13"/>
  <c r="CO116" i="13" s="1"/>
  <c r="CM112" i="13"/>
  <c r="CQ113" i="13" s="1"/>
  <c r="M113" i="13"/>
  <c r="DB102" i="13"/>
  <c r="CH104" i="13"/>
  <c r="BT72" i="22"/>
  <c r="J72" i="22" s="1"/>
  <c r="CI357" i="13"/>
  <c r="CI358" i="13" s="1"/>
  <c r="T116" i="13"/>
  <c r="V113" i="13"/>
  <c r="DC112" i="13"/>
  <c r="BW112" i="13"/>
  <c r="CE88" i="13"/>
  <c r="N10" i="13"/>
  <c r="CG13" i="13"/>
  <c r="M12" i="13"/>
  <c r="M14" i="13"/>
  <c r="N14" i="13"/>
  <c r="N23" i="13"/>
  <c r="R81" i="13"/>
  <c r="CA212" i="13"/>
  <c r="DL35" i="13"/>
  <c r="DL50" i="13" s="1"/>
  <c r="R103" i="13"/>
  <c r="S356" i="12"/>
  <c r="S694" i="12"/>
  <c r="S629" i="12"/>
  <c r="W383" i="12"/>
  <c r="W694" i="12"/>
  <c r="AA694" i="12"/>
  <c r="AA383" i="12"/>
  <c r="BU694" i="12"/>
  <c r="CG694" i="12"/>
  <c r="CK694" i="12"/>
  <c r="CK356" i="12"/>
  <c r="CO629" i="12"/>
  <c r="CO694" i="12"/>
  <c r="CO383" i="12"/>
  <c r="CS629" i="12"/>
  <c r="CS694" i="12"/>
  <c r="CS383" i="12"/>
  <c r="CW629" i="12"/>
  <c r="CW694" i="12"/>
  <c r="CW383" i="12"/>
  <c r="DA383" i="12"/>
  <c r="DA356" i="12"/>
  <c r="DE356" i="12"/>
  <c r="DE694" i="12"/>
  <c r="DE383" i="12"/>
  <c r="F436" i="12"/>
  <c r="F13" i="12"/>
  <c r="BA309" i="12"/>
  <c r="BA311" i="12" s="1"/>
  <c r="G10" i="12"/>
  <c r="G309" i="12" s="1"/>
  <c r="BA301" i="12"/>
  <c r="BE11" i="12"/>
  <c r="BE301" i="12"/>
  <c r="BE303" i="12" s="1"/>
  <c r="BE14" i="12"/>
  <c r="BE65" i="12" s="1"/>
  <c r="BI301" i="12"/>
  <c r="BI14" i="12"/>
  <c r="BM301" i="12"/>
  <c r="BM303" i="12" s="1"/>
  <c r="J10" i="12"/>
  <c r="BM14" i="12"/>
  <c r="BM49" i="12" s="1"/>
  <c r="BQ11" i="12"/>
  <c r="BQ301" i="12"/>
  <c r="BQ14" i="12"/>
  <c r="BU14" i="12"/>
  <c r="BU301" i="12"/>
  <c r="BU303" i="12" s="1"/>
  <c r="BY301" i="12"/>
  <c r="BY303" i="12" s="1"/>
  <c r="BY11" i="12"/>
  <c r="CC11" i="12"/>
  <c r="CC25" i="12"/>
  <c r="CC14" i="12"/>
  <c r="BW14" i="11" s="1"/>
  <c r="CG136" i="17"/>
  <c r="CG116" i="17" s="1"/>
  <c r="CG14" i="12"/>
  <c r="CK136" i="17"/>
  <c r="CK116" i="17" s="1"/>
  <c r="CK11" i="12"/>
  <c r="P10" i="12"/>
  <c r="CK14" i="12"/>
  <c r="CK690" i="12" s="1"/>
  <c r="CL690" i="12" s="1"/>
  <c r="CO11" i="12"/>
  <c r="Q10" i="12"/>
  <c r="Q11" i="12" s="1"/>
  <c r="BC436" i="12"/>
  <c r="BC438" i="12" s="1"/>
  <c r="BG14" i="12"/>
  <c r="BG136" i="17" s="1"/>
  <c r="BG436" i="12"/>
  <c r="BG13" i="12"/>
  <c r="BK436" i="12"/>
  <c r="BO437" i="12" s="1"/>
  <c r="BO14" i="12"/>
  <c r="BO13" i="12"/>
  <c r="BS436" i="12"/>
  <c r="BS437" i="12" s="1"/>
  <c r="BW436" i="12"/>
  <c r="BW438" i="12" s="1"/>
  <c r="BW13" i="12"/>
  <c r="CA436" i="12"/>
  <c r="CA13" i="12"/>
  <c r="CA14" i="12"/>
  <c r="BN46" i="22" s="1"/>
  <c r="CE436" i="12"/>
  <c r="CI437" i="12" s="1"/>
  <c r="CE13" i="12"/>
  <c r="CI14" i="12"/>
  <c r="CI43" i="12" s="1"/>
  <c r="CM13" i="12"/>
  <c r="CM14" i="12"/>
  <c r="CM689" i="12" s="1"/>
  <c r="CQ14" i="12"/>
  <c r="CQ13" i="12"/>
  <c r="AZ14" i="12"/>
  <c r="BD13" i="12"/>
  <c r="CS298" i="12"/>
  <c r="CS299" i="12" s="1"/>
  <c r="CS25" i="12"/>
  <c r="CS136" i="17" s="1"/>
  <c r="CS116" i="17" s="1"/>
  <c r="CS22" i="12"/>
  <c r="CW298" i="12"/>
  <c r="CW22" i="12"/>
  <c r="CW25" i="12"/>
  <c r="DA314" i="12"/>
  <c r="DA298" i="12"/>
  <c r="DA299" i="12" s="1"/>
  <c r="DA22" i="12"/>
  <c r="DA25" i="12"/>
  <c r="DE298" i="12"/>
  <c r="DE25" i="12"/>
  <c r="U25" i="12" s="1"/>
  <c r="U31" i="12" s="1"/>
  <c r="DI22" i="12"/>
  <c r="CP304" i="12"/>
  <c r="CP24" i="12"/>
  <c r="CT24" i="12"/>
  <c r="DB24" i="12"/>
  <c r="DB304" i="12"/>
  <c r="U23" i="12"/>
  <c r="U24" i="12" s="1"/>
  <c r="BV85" i="22"/>
  <c r="CI301" i="12"/>
  <c r="CM433" i="12"/>
  <c r="CM444" i="12"/>
  <c r="CM449" i="12" s="1"/>
  <c r="CM450" i="12" s="1"/>
  <c r="CM28" i="12"/>
  <c r="CM436" i="12"/>
  <c r="CM437" i="12" s="1"/>
  <c r="CQ436" i="12"/>
  <c r="CQ439" i="12" s="1"/>
  <c r="CQ28" i="12"/>
  <c r="CQ444" i="12"/>
  <c r="CU28" i="12"/>
  <c r="CU433" i="12"/>
  <c r="CY433" i="12"/>
  <c r="DC434" i="12" s="1"/>
  <c r="CY28" i="12"/>
  <c r="T27" i="12"/>
  <c r="DC28" i="12"/>
  <c r="DC444" i="12"/>
  <c r="DC445" i="12" s="1"/>
  <c r="DG433" i="12"/>
  <c r="DG434" i="12" s="1"/>
  <c r="DG28" i="12"/>
  <c r="V27" i="12"/>
  <c r="CV30" i="12"/>
  <c r="DD30" i="12"/>
  <c r="CI433" i="12"/>
  <c r="CI430" i="12" s="1"/>
  <c r="P27" i="12"/>
  <c r="P444" i="12" s="1"/>
  <c r="CI31" i="12"/>
  <c r="CI444" i="12"/>
  <c r="BO39" i="12"/>
  <c r="BW39" i="12"/>
  <c r="BU23" i="11"/>
  <c r="BU26" i="11"/>
  <c r="CE39" i="12"/>
  <c r="CC23" i="11"/>
  <c r="CC26" i="11"/>
  <c r="CM39" i="12"/>
  <c r="CM471" i="12"/>
  <c r="CG26" i="11"/>
  <c r="CG27" i="11" s="1"/>
  <c r="CG28" i="11" s="1"/>
  <c r="CQ39" i="12"/>
  <c r="CO23" i="11"/>
  <c r="CU39" i="12"/>
  <c r="CY39" i="12"/>
  <c r="CW23" i="11"/>
  <c r="DC471" i="12"/>
  <c r="DC39" i="12"/>
  <c r="DK39" i="12"/>
  <c r="DG471" i="12"/>
  <c r="DG39" i="12"/>
  <c r="BT42" i="12"/>
  <c r="BX42" i="12"/>
  <c r="CB42" i="12"/>
  <c r="N41" i="12"/>
  <c r="CF42" i="12"/>
  <c r="BZ32" i="11"/>
  <c r="CJ42" i="12"/>
  <c r="P41" i="12"/>
  <c r="CD32" i="11"/>
  <c r="CH32" i="11"/>
  <c r="CN42" i="12"/>
  <c r="CL32" i="11"/>
  <c r="CR42" i="12"/>
  <c r="CT32" i="11"/>
  <c r="CZ20" i="16"/>
  <c r="CT35" i="11" s="1"/>
  <c r="CZ42" i="12"/>
  <c r="CX32" i="11"/>
  <c r="DD42" i="12"/>
  <c r="DH42" i="12"/>
  <c r="BG48" i="12"/>
  <c r="I47" i="12"/>
  <c r="BK48" i="12"/>
  <c r="BO48" i="12"/>
  <c r="BS48" i="12"/>
  <c r="BW48" i="12"/>
  <c r="H52" i="12"/>
  <c r="BC53" i="12"/>
  <c r="BK53" i="12"/>
  <c r="L52" i="12"/>
  <c r="BS53" i="12"/>
  <c r="CA60" i="12"/>
  <c r="R52" i="12"/>
  <c r="CQ53" i="12"/>
  <c r="S52" i="12"/>
  <c r="CU53" i="12"/>
  <c r="CY27" i="16"/>
  <c r="CY55" i="12"/>
  <c r="T52" i="12"/>
  <c r="DC53" i="12"/>
  <c r="DC27" i="16"/>
  <c r="DC55" i="12"/>
  <c r="DC46" i="17" s="1"/>
  <c r="V52" i="12"/>
  <c r="V539" i="12" s="1"/>
  <c r="DG55" i="12"/>
  <c r="BE63" i="12"/>
  <c r="BE61" i="12"/>
  <c r="BM101" i="12"/>
  <c r="BM163" i="12" s="1"/>
  <c r="BM143" i="12" s="1"/>
  <c r="BM165" i="12" s="1"/>
  <c r="BL101" i="12"/>
  <c r="BO37" i="22"/>
  <c r="CB100" i="12"/>
  <c r="BT37" i="22"/>
  <c r="J37" i="22" s="1"/>
  <c r="J38" i="22" s="1"/>
  <c r="O103" i="12"/>
  <c r="O105" i="12" s="1"/>
  <c r="O155" i="12" s="1"/>
  <c r="J135" i="22" s="1"/>
  <c r="CG218" i="12"/>
  <c r="CG105" i="12"/>
  <c r="CM105" i="12"/>
  <c r="CL176" i="12"/>
  <c r="CL131" i="12"/>
  <c r="CL130" i="12"/>
  <c r="CL99" i="12"/>
  <c r="CL101" i="12" s="1"/>
  <c r="CL104" i="12"/>
  <c r="CC37" i="22"/>
  <c r="CP218" i="12"/>
  <c r="CP221" i="12" s="1"/>
  <c r="CP130" i="12"/>
  <c r="CP131" i="12"/>
  <c r="CP105" i="12"/>
  <c r="CP322" i="12" s="1"/>
  <c r="CL186" i="12"/>
  <c r="DG113" i="12"/>
  <c r="DG114" i="12"/>
  <c r="DG186" i="12"/>
  <c r="BQ183" i="12"/>
  <c r="BQ184" i="12"/>
  <c r="BW49" i="11"/>
  <c r="BW53" i="11" s="1"/>
  <c r="BW54" i="11" s="1"/>
  <c r="BW55" i="11" s="1"/>
  <c r="CC56" i="17"/>
  <c r="CU49" i="11"/>
  <c r="DA27" i="16"/>
  <c r="DA56" i="17" s="1"/>
  <c r="DI694" i="12"/>
  <c r="BQ42" i="12"/>
  <c r="CM114" i="12"/>
  <c r="DL113" i="12"/>
  <c r="V93" i="13"/>
  <c r="DI356" i="12"/>
  <c r="DJ304" i="12"/>
  <c r="DA40" i="17"/>
  <c r="CJ43" i="12"/>
  <c r="DD20" i="16"/>
  <c r="CX35" i="11" s="1"/>
  <c r="DB321" i="12"/>
  <c r="DB339" i="12"/>
  <c r="CU66" i="8"/>
  <c r="CU69" i="8" s="1"/>
  <c r="CD71" i="8"/>
  <c r="CD66" i="8"/>
  <c r="CD69" i="8" s="1"/>
  <c r="CX71" i="8"/>
  <c r="DC59" i="8"/>
  <c r="DC35" i="8"/>
  <c r="CQ76" i="8"/>
  <c r="DJ88" i="8"/>
  <c r="DB88" i="8"/>
  <c r="DH88" i="8"/>
  <c r="DD65" i="8"/>
  <c r="BZ58" i="8"/>
  <c r="S32" i="8"/>
  <c r="S91" i="8" s="1"/>
  <c r="CX92" i="8"/>
  <c r="CM127" i="6"/>
  <c r="CM144" i="6" s="1"/>
  <c r="CP168" i="7"/>
  <c r="T41" i="8"/>
  <c r="N42" i="8"/>
  <c r="P42" i="8"/>
  <c r="U42" i="8"/>
  <c r="V42" i="8"/>
  <c r="S43" i="8"/>
  <c r="U43" i="8"/>
  <c r="CU57" i="8"/>
  <c r="CU58" i="8" s="1"/>
  <c r="T51" i="8"/>
  <c r="CP76" i="8"/>
  <c r="DE88" i="8"/>
  <c r="DC88" i="8"/>
  <c r="DI88" i="8"/>
  <c r="V48" i="8"/>
  <c r="T38" i="8"/>
  <c r="T92" i="8" s="1"/>
  <c r="T52" i="8"/>
  <c r="T78" i="8" s="1"/>
  <c r="DH71" i="8"/>
  <c r="R51" i="8"/>
  <c r="CS57" i="8"/>
  <c r="CS58" i="8" s="1"/>
  <c r="CS92" i="8"/>
  <c r="CN92" i="8"/>
  <c r="CH71" i="8"/>
  <c r="P52" i="8"/>
  <c r="P78" i="8" s="1"/>
  <c r="T32" i="8"/>
  <c r="T91" i="8" s="1"/>
  <c r="R19" i="8"/>
  <c r="U19" i="8"/>
  <c r="S20" i="8"/>
  <c r="P23" i="8"/>
  <c r="CH59" i="8"/>
  <c r="R54" i="8"/>
  <c r="T54" i="8"/>
  <c r="U54" i="8"/>
  <c r="R56" i="8"/>
  <c r="W20" i="8"/>
  <c r="W55" i="8"/>
  <c r="DK88" i="8"/>
  <c r="DD88" i="8"/>
  <c r="U38" i="8"/>
  <c r="CD168" i="7"/>
  <c r="Q51" i="8"/>
  <c r="R24" i="8"/>
  <c r="N32" i="8"/>
  <c r="V40" i="8"/>
  <c r="O50" i="8"/>
  <c r="DH57" i="8"/>
  <c r="S56" i="8"/>
  <c r="O38" i="8"/>
  <c r="O77" i="8" s="1"/>
  <c r="Q33" i="8"/>
  <c r="T33" i="8"/>
  <c r="U33" i="8"/>
  <c r="CH45" i="8"/>
  <c r="U39" i="8"/>
  <c r="N40" i="8"/>
  <c r="P40" i="8"/>
  <c r="CW45" i="8"/>
  <c r="U40" i="8"/>
  <c r="O41" i="8"/>
  <c r="P41" i="8"/>
  <c r="Q41" i="8"/>
  <c r="V41" i="8"/>
  <c r="CA73" i="8"/>
  <c r="BX127" i="6"/>
  <c r="BX144" i="6" s="1"/>
  <c r="CT701" i="12"/>
  <c r="CT71" i="8"/>
  <c r="CI77" i="8"/>
  <c r="CN168" i="7"/>
  <c r="CN77" i="8"/>
  <c r="CX168" i="7"/>
  <c r="CX169" i="7" s="1"/>
  <c r="CX175" i="7" s="1"/>
  <c r="CX77" i="8"/>
  <c r="DD168" i="7"/>
  <c r="DD186" i="7" s="1"/>
  <c r="DD77" i="8"/>
  <c r="CF77" i="8"/>
  <c r="N12" i="8"/>
  <c r="N73" i="8" s="1"/>
  <c r="CS127" i="6"/>
  <c r="CS144" i="6" s="1"/>
  <c r="CK73" i="8"/>
  <c r="P48" i="8"/>
  <c r="N50" i="8"/>
  <c r="P33" i="8"/>
  <c r="R33" i="8"/>
  <c r="BZ77" i="8"/>
  <c r="BZ168" i="7"/>
  <c r="CT45" i="8"/>
  <c r="Q40" i="8"/>
  <c r="S40" i="8"/>
  <c r="T40" i="8"/>
  <c r="R41" i="8"/>
  <c r="S41" i="8"/>
  <c r="U41" i="8"/>
  <c r="CQ57" i="8"/>
  <c r="CU78" i="8"/>
  <c r="S52" i="8"/>
  <c r="S78" i="8" s="1"/>
  <c r="R53" i="8"/>
  <c r="S53" i="8"/>
  <c r="U53" i="8"/>
  <c r="V55" i="8"/>
  <c r="V563" i="12" s="1"/>
  <c r="V566" i="12" s="1"/>
  <c r="CP71" i="8"/>
  <c r="R32" i="8"/>
  <c r="R91" i="8" s="1"/>
  <c r="CL73" i="8"/>
  <c r="CI127" i="6"/>
  <c r="CI144" i="6" s="1"/>
  <c r="CQ73" i="8"/>
  <c r="CN127" i="6"/>
  <c r="CN144" i="6" s="1"/>
  <c r="CX73" i="8"/>
  <c r="CU127" i="6"/>
  <c r="CU144" i="6" s="1"/>
  <c r="DB73" i="8"/>
  <c r="CY127" i="6"/>
  <c r="CY144" i="6" s="1"/>
  <c r="DH73" i="8"/>
  <c r="DE127" i="6"/>
  <c r="DE144" i="6" s="1"/>
  <c r="Q22" i="8"/>
  <c r="CU45" i="8"/>
  <c r="S39" i="8"/>
  <c r="DG57" i="8"/>
  <c r="DG58" i="8" s="1"/>
  <c r="CP66" i="8"/>
  <c r="CP69" i="8" s="1"/>
  <c r="CE58" i="8"/>
  <c r="CI45" i="8"/>
  <c r="R43" i="8"/>
  <c r="U32" i="8"/>
  <c r="U91" i="8" s="1"/>
  <c r="CP45" i="8"/>
  <c r="CI168" i="7"/>
  <c r="DF168" i="7"/>
  <c r="CH73" i="8"/>
  <c r="P12" i="8"/>
  <c r="P73" i="8" s="1"/>
  <c r="CT73" i="8"/>
  <c r="CQ127" i="6"/>
  <c r="CQ144" i="6" s="1"/>
  <c r="CY73" i="8"/>
  <c r="CV127" i="6"/>
  <c r="CV144" i="6" s="1"/>
  <c r="DC73" i="8"/>
  <c r="CZ127" i="6"/>
  <c r="CZ144" i="6" s="1"/>
  <c r="P20" i="8"/>
  <c r="O51" i="8"/>
  <c r="R21" i="8"/>
  <c r="S21" i="8"/>
  <c r="P22" i="8"/>
  <c r="S24" i="8"/>
  <c r="O26" i="8"/>
  <c r="P26" i="8"/>
  <c r="Q39" i="8"/>
  <c r="CM57" i="8"/>
  <c r="DB57" i="8"/>
  <c r="DB58" i="8" s="1"/>
  <c r="CV45" i="8"/>
  <c r="N39" i="8"/>
  <c r="N54" i="8"/>
  <c r="CZ87" i="8"/>
  <c r="CA58" i="8"/>
  <c r="CQ45" i="8"/>
  <c r="CA45" i="8"/>
  <c r="CS186" i="7"/>
  <c r="CA127" i="6"/>
  <c r="CA168" i="7"/>
  <c r="O56" i="8"/>
  <c r="P56" i="8"/>
  <c r="X40" i="8"/>
  <c r="Q26" i="8"/>
  <c r="R26" i="8"/>
  <c r="S26" i="8"/>
  <c r="T26" i="8"/>
  <c r="U26" i="8"/>
  <c r="V26" i="8"/>
  <c r="O43" i="8"/>
  <c r="CV66" i="8"/>
  <c r="CV69" i="8" s="1"/>
  <c r="R52" i="8"/>
  <c r="R78" i="8" s="1"/>
  <c r="R48" i="8"/>
  <c r="DK80" i="7"/>
  <c r="CE65" i="7"/>
  <c r="DG65" i="7"/>
  <c r="CR43" i="6"/>
  <c r="T70" i="6"/>
  <c r="T90" i="8" s="1"/>
  <c r="CZ116" i="6"/>
  <c r="CU43" i="6"/>
  <c r="CY43" i="6"/>
  <c r="CO118" i="6"/>
  <c r="CY68" i="6"/>
  <c r="CS107" i="6"/>
  <c r="CC116" i="6"/>
  <c r="CW116" i="6"/>
  <c r="CC40" i="6"/>
  <c r="CN73" i="6"/>
  <c r="CG53" i="11"/>
  <c r="CG54" i="11" s="1"/>
  <c r="CG55" i="11" s="1"/>
  <c r="W70" i="6"/>
  <c r="W90" i="8" s="1"/>
  <c r="N67" i="6"/>
  <c r="N101" i="6"/>
  <c r="N65" i="6"/>
  <c r="O65" i="6"/>
  <c r="BZ75" i="6"/>
  <c r="CF116" i="6"/>
  <c r="CD32" i="6"/>
  <c r="CC50" i="6"/>
  <c r="CF143" i="17"/>
  <c r="CC44" i="6"/>
  <c r="I58" i="14"/>
  <c r="I13" i="14"/>
  <c r="X67" i="6"/>
  <c r="DN74" i="8"/>
  <c r="DN89" i="8"/>
  <c r="CS120" i="6"/>
  <c r="CS118" i="6"/>
  <c r="R75" i="8"/>
  <c r="Q694" i="12"/>
  <c r="Q629" i="12"/>
  <c r="Q356" i="12"/>
  <c r="U694" i="12"/>
  <c r="U629" i="12"/>
  <c r="U383" i="12"/>
  <c r="U356" i="12"/>
  <c r="BS694" i="12"/>
  <c r="CE694" i="12"/>
  <c r="CI383" i="12"/>
  <c r="CI356" i="12"/>
  <c r="CI694" i="12"/>
  <c r="CM356" i="12"/>
  <c r="CM694" i="12"/>
  <c r="CM629" i="12"/>
  <c r="CQ383" i="12"/>
  <c r="CQ694" i="12"/>
  <c r="CQ629" i="12"/>
  <c r="CU356" i="12"/>
  <c r="CU694" i="12"/>
  <c r="CU629" i="12"/>
  <c r="CY356" i="12"/>
  <c r="CY383" i="12"/>
  <c r="DC383" i="12"/>
  <c r="DC694" i="12"/>
  <c r="DG694" i="12"/>
  <c r="DG383" i="12"/>
  <c r="DL68" i="6"/>
  <c r="DK74" i="8"/>
  <c r="W67" i="6"/>
  <c r="X68" i="6" s="1"/>
  <c r="DM49" i="6"/>
  <c r="DL11" i="17"/>
  <c r="DM104" i="6"/>
  <c r="DM110" i="6" s="1"/>
  <c r="DI104" i="6"/>
  <c r="DI110" i="6" s="1"/>
  <c r="W121" i="6"/>
  <c r="DH73" i="7"/>
  <c r="DH74" i="7"/>
  <c r="CT186" i="7"/>
  <c r="DH85" i="6"/>
  <c r="DG75" i="8"/>
  <c r="V84" i="6"/>
  <c r="CH104" i="6"/>
  <c r="CH110" i="6" s="1"/>
  <c r="CR346" i="13"/>
  <c r="CO104" i="6"/>
  <c r="CO110" i="6" s="1"/>
  <c r="CW112" i="6"/>
  <c r="CX112" i="6" s="1"/>
  <c r="CX111" i="6" s="1"/>
  <c r="CZ99" i="8"/>
  <c r="CZ100" i="8" s="1"/>
  <c r="CW104" i="6"/>
  <c r="CW110" i="6" s="1"/>
  <c r="DA112" i="6"/>
  <c r="DD99" i="8"/>
  <c r="DD100" i="8" s="1"/>
  <c r="DA104" i="6"/>
  <c r="DA110" i="6" s="1"/>
  <c r="DE112" i="6"/>
  <c r="DH99" i="8"/>
  <c r="DH100" i="8" s="1"/>
  <c r="BW107" i="6"/>
  <c r="BW117" i="6"/>
  <c r="CA117" i="6"/>
  <c r="O111" i="6"/>
  <c r="CA107" i="6"/>
  <c r="CE117" i="6"/>
  <c r="CE120" i="6" s="1"/>
  <c r="P111" i="6"/>
  <c r="Q111" i="6"/>
  <c r="CI117" i="6"/>
  <c r="CI107" i="6"/>
  <c r="CM107" i="6"/>
  <c r="CN111" i="6"/>
  <c r="CQ111" i="6"/>
  <c r="CR111" i="6"/>
  <c r="CU117" i="6"/>
  <c r="CU107" i="6"/>
  <c r="BW116" i="6"/>
  <c r="N115" i="6"/>
  <c r="R121" i="6"/>
  <c r="S115" i="6"/>
  <c r="CQ116" i="6"/>
  <c r="DF116" i="6"/>
  <c r="DB117" i="6"/>
  <c r="S52" i="6"/>
  <c r="CB120" i="6"/>
  <c r="CB118" i="6"/>
  <c r="BQ76" i="22"/>
  <c r="CB32" i="6"/>
  <c r="BT453" i="21"/>
  <c r="CA13" i="6"/>
  <c r="BQ51" i="22"/>
  <c r="CA32" i="6"/>
  <c r="CA50" i="6"/>
  <c r="CA71" i="6"/>
  <c r="CA86" i="6"/>
  <c r="CE31" i="6"/>
  <c r="CA59" i="6"/>
  <c r="CA33" i="6"/>
  <c r="CA69" i="6"/>
  <c r="CA40" i="6"/>
  <c r="CA41" i="6"/>
  <c r="CA53" i="6"/>
  <c r="CB26" i="11"/>
  <c r="CE40" i="6"/>
  <c r="CM40" i="6"/>
  <c r="CJ26" i="11"/>
  <c r="CJ27" i="11" s="1"/>
  <c r="CJ28" i="11" s="1"/>
  <c r="CR40" i="6"/>
  <c r="S39" i="6"/>
  <c r="T40" i="6" s="1"/>
  <c r="CV40" i="6"/>
  <c r="CZ53" i="6"/>
  <c r="CZ40" i="6"/>
  <c r="DE53" i="6"/>
  <c r="U42" i="6"/>
  <c r="DF43" i="6"/>
  <c r="CP192" i="7"/>
  <c r="CP11" i="17"/>
  <c r="CP91" i="13"/>
  <c r="CP178" i="7"/>
  <c r="CT91" i="13"/>
  <c r="CT192" i="7"/>
  <c r="CT193" i="7" s="1"/>
  <c r="CT11" i="17"/>
  <c r="CQ49" i="6"/>
  <c r="CX91" i="13"/>
  <c r="CU49" i="6"/>
  <c r="DB178" i="7"/>
  <c r="DB192" i="7"/>
  <c r="DF12" i="17"/>
  <c r="BZ43" i="6"/>
  <c r="BZ44" i="6"/>
  <c r="CD44" i="6"/>
  <c r="CD43" i="6"/>
  <c r="CL53" i="6"/>
  <c r="Q42" i="6"/>
  <c r="CA47" i="6"/>
  <c r="CC74" i="7"/>
  <c r="CG73" i="7"/>
  <c r="CE46" i="6"/>
  <c r="CE47" i="6"/>
  <c r="CC91" i="13"/>
  <c r="CC178" i="7"/>
  <c r="CC190" i="7" s="1"/>
  <c r="CG91" i="13"/>
  <c r="CD49" i="6"/>
  <c r="CG192" i="7"/>
  <c r="CG193" i="7" s="1"/>
  <c r="CG11" i="17"/>
  <c r="CK12" i="17" s="1"/>
  <c r="CD50" i="6"/>
  <c r="CK91" i="13"/>
  <c r="CK192" i="7"/>
  <c r="CK178" i="7"/>
  <c r="CK190" i="7" s="1"/>
  <c r="CH49" i="6"/>
  <c r="CO11" i="17"/>
  <c r="CO178" i="7"/>
  <c r="CO91" i="13"/>
  <c r="BX107" i="6"/>
  <c r="CJ107" i="6"/>
  <c r="CV118" i="6"/>
  <c r="CV120" i="6"/>
  <c r="DA107" i="6"/>
  <c r="M58" i="14"/>
  <c r="M13" i="14"/>
  <c r="CB74" i="8"/>
  <c r="CB89" i="8"/>
  <c r="CE89" i="8"/>
  <c r="CB68" i="6"/>
  <c r="CF68" i="6"/>
  <c r="CD75" i="6"/>
  <c r="CL99" i="8"/>
  <c r="CL100" i="8" s="1"/>
  <c r="CI104" i="6"/>
  <c r="CI110" i="6" s="1"/>
  <c r="CW99" i="8"/>
  <c r="CW100" i="8" s="1"/>
  <c r="CT104" i="6"/>
  <c r="CT110" i="6" s="1"/>
  <c r="CR107" i="6"/>
  <c r="K58" i="14"/>
  <c r="K13" i="14"/>
  <c r="DC93" i="8"/>
  <c r="U78" i="6"/>
  <c r="U93" i="8" s="1"/>
  <c r="Q39" i="6"/>
  <c r="CS40" i="6"/>
  <c r="CO40" i="6"/>
  <c r="DD192" i="7"/>
  <c r="DD193" i="7" s="1"/>
  <c r="DD91" i="13"/>
  <c r="DG178" i="7"/>
  <c r="DG11" i="17"/>
  <c r="CG46" i="6"/>
  <c r="BX49" i="6"/>
  <c r="BX50" i="6"/>
  <c r="CE178" i="7"/>
  <c r="CE91" i="13"/>
  <c r="BZ68" i="6"/>
  <c r="CC89" i="8"/>
  <c r="BZ69" i="6"/>
  <c r="CT74" i="8"/>
  <c r="S67" i="6"/>
  <c r="S89" i="8" s="1"/>
  <c r="CG75" i="8"/>
  <c r="CD86" i="6"/>
  <c r="CM99" i="8"/>
  <c r="CM100" i="8" s="1"/>
  <c r="CM346" i="13"/>
  <c r="CT99" i="8"/>
  <c r="CT100" i="8" s="1"/>
  <c r="CQ104" i="6"/>
  <c r="CQ110" i="6" s="1"/>
  <c r="CU112" i="6"/>
  <c r="CX99" i="8"/>
  <c r="CX100" i="8" s="1"/>
  <c r="CO116" i="6"/>
  <c r="DJ12" i="17"/>
  <c r="DF66" i="8"/>
  <c r="DF69" i="8" s="1"/>
  <c r="CW66" i="8"/>
  <c r="CW69" i="8" s="1"/>
  <c r="CT107" i="6"/>
  <c r="CJ104" i="6"/>
  <c r="CJ110" i="6" s="1"/>
  <c r="DB85" i="6"/>
  <c r="CL85" i="6"/>
  <c r="BZ86" i="6"/>
  <c r="CQ68" i="6"/>
  <c r="O67" i="6"/>
  <c r="O69" i="6" s="1"/>
  <c r="DE85" i="6"/>
  <c r="CA11" i="17"/>
  <c r="CT89" i="8"/>
  <c r="DB104" i="6"/>
  <c r="DB110" i="6" s="1"/>
  <c r="CM104" i="6"/>
  <c r="CM110" i="6" s="1"/>
  <c r="CD68" i="6"/>
  <c r="CE74" i="8"/>
  <c r="CH19" i="17"/>
  <c r="CE44" i="6"/>
  <c r="CD41" i="6"/>
  <c r="CS91" i="13"/>
  <c r="CP49" i="6"/>
  <c r="DA91" i="13"/>
  <c r="DA11" i="17"/>
  <c r="DA12" i="17" s="1"/>
  <c r="DE91" i="13"/>
  <c r="DE178" i="7"/>
  <c r="DE186" i="7" s="1"/>
  <c r="DE11" i="17"/>
  <c r="CJ91" i="13"/>
  <c r="CJ192" i="7"/>
  <c r="BZ74" i="8"/>
  <c r="BZ89" i="8"/>
  <c r="BW68" i="6"/>
  <c r="CY89" i="8"/>
  <c r="CY74" i="8"/>
  <c r="CY79" i="8" s="1"/>
  <c r="BW73" i="6"/>
  <c r="CA73" i="6"/>
  <c r="CE73" i="6"/>
  <c r="CI73" i="6"/>
  <c r="CM73" i="6"/>
  <c r="CQ73" i="6"/>
  <c r="CU73" i="6"/>
  <c r="U70" i="6"/>
  <c r="U90" i="8" s="1"/>
  <c r="CY85" i="6"/>
  <c r="CC143" i="17"/>
  <c r="DD49" i="6"/>
  <c r="P42" i="6"/>
  <c r="DE68" i="6"/>
  <c r="DD85" i="6"/>
  <c r="CY117" i="6"/>
  <c r="CD70" i="7"/>
  <c r="CE72" i="7"/>
  <c r="CE73" i="7"/>
  <c r="BZ74" i="7"/>
  <c r="CH74" i="7"/>
  <c r="DG107" i="6"/>
  <c r="R102" i="11"/>
  <c r="R103" i="11" s="1"/>
  <c r="BU40" i="11"/>
  <c r="R102" i="13"/>
  <c r="S102" i="13"/>
  <c r="CO53" i="11"/>
  <c r="CO54" i="11" s="1"/>
  <c r="CO55" i="11" s="1"/>
  <c r="K37" i="22"/>
  <c r="BZ204" i="12"/>
  <c r="CH223" i="12"/>
  <c r="BB146" i="12"/>
  <c r="Q131" i="12"/>
  <c r="CH198" i="12"/>
  <c r="CH205" i="12" s="1"/>
  <c r="CQ222" i="12"/>
  <c r="CH132" i="12"/>
  <c r="I95" i="22"/>
  <c r="I96" i="22" s="1"/>
  <c r="BT102" i="12"/>
  <c r="DI22" i="14"/>
  <c r="CE22" i="14"/>
  <c r="CV38" i="14"/>
  <c r="CA44" i="14"/>
  <c r="BN30" i="22" s="1"/>
  <c r="CT22" i="14"/>
  <c r="DE22" i="14"/>
  <c r="CA43" i="14"/>
  <c r="BZ32" i="14"/>
  <c r="BZ30" i="14" s="1"/>
  <c r="CY38" i="14"/>
  <c r="CV22" i="14"/>
  <c r="CX22" i="14"/>
  <c r="BN31" i="22"/>
  <c r="CR44" i="17"/>
  <c r="CV147" i="17"/>
  <c r="M140" i="17"/>
  <c r="L114" i="17"/>
  <c r="CX109" i="17"/>
  <c r="CJ110" i="8"/>
  <c r="CV118" i="17"/>
  <c r="CV110" i="8"/>
  <c r="DE147" i="17"/>
  <c r="BS115" i="17"/>
  <c r="DE118" i="17"/>
  <c r="U108" i="17"/>
  <c r="E33" i="37"/>
  <c r="CS128" i="17"/>
  <c r="CV49" i="17"/>
  <c r="BT115" i="17"/>
  <c r="BT128" i="17"/>
  <c r="CS118" i="17"/>
  <c r="CH109" i="17"/>
  <c r="CS110" i="8"/>
  <c r="BY109" i="17"/>
  <c r="CY109" i="17"/>
  <c r="CJ49" i="17"/>
  <c r="K140" i="17"/>
  <c r="BT70" i="22"/>
  <c r="CW115" i="17"/>
  <c r="CS49" i="17"/>
  <c r="DI40" i="14"/>
  <c r="CC41" i="14"/>
  <c r="CB43" i="14"/>
  <c r="CB44" i="14"/>
  <c r="BO31" i="22"/>
  <c r="DL40" i="14"/>
  <c r="DP40" i="14"/>
  <c r="DC22" i="14"/>
  <c r="CW32" i="14"/>
  <c r="CW30" i="14" s="1"/>
  <c r="CW31" i="14" s="1"/>
  <c r="CV17" i="15"/>
  <c r="CC32" i="14"/>
  <c r="CC30" i="14" s="1"/>
  <c r="CC31" i="14" s="1"/>
  <c r="CS32" i="14"/>
  <c r="CS30" i="14" s="1"/>
  <c r="CS31" i="14" s="1"/>
  <c r="DP22" i="14"/>
  <c r="DA32" i="14"/>
  <c r="DA30" i="14" s="1"/>
  <c r="DA31" i="14" s="1"/>
  <c r="DK32" i="14"/>
  <c r="DK30" i="14" s="1"/>
  <c r="DK31" i="14" s="1"/>
  <c r="L132" i="17"/>
  <c r="CQ49" i="17"/>
  <c r="BZ128" i="17"/>
  <c r="DD32" i="22"/>
  <c r="CF76" i="8"/>
  <c r="DM54" i="6"/>
  <c r="BY97" i="15"/>
  <c r="BY99" i="15"/>
  <c r="CC96" i="15"/>
  <c r="BY96" i="15"/>
  <c r="DI48" i="16"/>
  <c r="DI23" i="16" s="1"/>
  <c r="DO147" i="17"/>
  <c r="DB8" i="22"/>
  <c r="DO19" i="15"/>
  <c r="DE12" i="16"/>
  <c r="J51" i="22"/>
  <c r="O71" i="7"/>
  <c r="CH94" i="7"/>
  <c r="CC59" i="6"/>
  <c r="CC41" i="6"/>
  <c r="CC32" i="6"/>
  <c r="CF19" i="17"/>
  <c r="CF70" i="7"/>
  <c r="CC71" i="6"/>
  <c r="CE71" i="7"/>
  <c r="CD33" i="6"/>
  <c r="CF146" i="17"/>
  <c r="CC47" i="6"/>
  <c r="CC33" i="6"/>
  <c r="BV453" i="21"/>
  <c r="CC69" i="6"/>
  <c r="CC86" i="6"/>
  <c r="BS76" i="22"/>
  <c r="CW123" i="22"/>
  <c r="CO168" i="7"/>
  <c r="CO92" i="8"/>
  <c r="CO77" i="8"/>
  <c r="CX172" i="7"/>
  <c r="BL195" i="12"/>
  <c r="DK186" i="7"/>
  <c r="CX8" i="22"/>
  <c r="DK60" i="12"/>
  <c r="DO61" i="12" s="1"/>
  <c r="DO53" i="12"/>
  <c r="CN65" i="12"/>
  <c r="CN67" i="12" s="1"/>
  <c r="CN78" i="12"/>
  <c r="S28" i="12"/>
  <c r="E71" i="35"/>
  <c r="J71" i="35"/>
  <c r="K71" i="35"/>
  <c r="W26" i="15"/>
  <c r="W27" i="15"/>
  <c r="CM701" i="12"/>
  <c r="CM66" i="8"/>
  <c r="CM69" i="8" s="1"/>
  <c r="Q38" i="8"/>
  <c r="V64" i="15"/>
  <c r="V68" i="15"/>
  <c r="CY8" i="22"/>
  <c r="CY9" i="22" s="1"/>
  <c r="CY13" i="22" s="1"/>
  <c r="CY22" i="22" s="1"/>
  <c r="DL47" i="14"/>
  <c r="DP46" i="14"/>
  <c r="DP60" i="13"/>
  <c r="M47" i="37" s="1"/>
  <c r="DL159" i="15"/>
  <c r="DP167" i="15"/>
  <c r="DK314" i="12"/>
  <c r="U17" i="11"/>
  <c r="BV84" i="15"/>
  <c r="L84" i="15"/>
  <c r="DD21" i="17"/>
  <c r="DH18" i="17"/>
  <c r="F33" i="37"/>
  <c r="DI109" i="17"/>
  <c r="DI44" i="17"/>
  <c r="V18" i="15"/>
  <c r="L29" i="17"/>
  <c r="I62" i="15"/>
  <c r="CA108" i="15"/>
  <c r="CA110" i="15" s="1"/>
  <c r="CA42" i="15"/>
  <c r="K84" i="15"/>
  <c r="BD115" i="1"/>
  <c r="BE118" i="1"/>
  <c r="BE115" i="1" s="1"/>
  <c r="L128" i="17"/>
  <c r="L129" i="17" s="1"/>
  <c r="I63" i="15"/>
  <c r="H63" i="15"/>
  <c r="CB56" i="15"/>
  <c r="BQ85" i="15"/>
  <c r="DC193" i="7"/>
  <c r="CC55" i="17"/>
  <c r="N54" i="17"/>
  <c r="BT61" i="11"/>
  <c r="BQ86" i="15"/>
  <c r="H55" i="17"/>
  <c r="CO73" i="8"/>
  <c r="CB73" i="8"/>
  <c r="CZ168" i="7"/>
  <c r="CZ78" i="8"/>
  <c r="CT23" i="15"/>
  <c r="DF48" i="16"/>
  <c r="DF23" i="16" s="1"/>
  <c r="CU142" i="17"/>
  <c r="CU145" i="17"/>
  <c r="T116" i="15"/>
  <c r="T118" i="15"/>
  <c r="CS68" i="6"/>
  <c r="CB91" i="13"/>
  <c r="CB178" i="7"/>
  <c r="CF74" i="8"/>
  <c r="CG68" i="6"/>
  <c r="U118" i="15"/>
  <c r="U116" i="15"/>
  <c r="J109" i="15"/>
  <c r="BX68" i="6"/>
  <c r="CA89" i="8"/>
  <c r="CU84" i="7"/>
  <c r="CU94" i="8"/>
  <c r="CY94" i="8"/>
  <c r="CY84" i="7"/>
  <c r="DC94" i="8"/>
  <c r="DC84" i="7"/>
  <c r="O84" i="6"/>
  <c r="CD75" i="8"/>
  <c r="CI85" i="6"/>
  <c r="Q48" i="8"/>
  <c r="CL127" i="6"/>
  <c r="CL144" i="6" s="1"/>
  <c r="CZ92" i="8"/>
  <c r="DK112" i="13"/>
  <c r="DP112" i="13"/>
  <c r="CY195" i="7"/>
  <c r="P103" i="11"/>
  <c r="O103" i="11"/>
  <c r="CM94" i="8"/>
  <c r="CA74" i="8"/>
  <c r="DH84" i="7"/>
  <c r="CR89" i="8"/>
  <c r="CR74" i="8"/>
  <c r="CX93" i="8"/>
  <c r="T78" i="6"/>
  <c r="T93" i="8" s="1"/>
  <c r="CY99" i="8"/>
  <c r="CY100" i="8" s="1"/>
  <c r="CV104" i="6"/>
  <c r="CV110" i="6" s="1"/>
  <c r="DC99" i="8"/>
  <c r="DC100" i="8" s="1"/>
  <c r="CZ104" i="6"/>
  <c r="CZ110" i="6" s="1"/>
  <c r="DD112" i="6"/>
  <c r="DG99" i="8"/>
  <c r="DG100" i="8" s="1"/>
  <c r="P110" i="6"/>
  <c r="DC165" i="7"/>
  <c r="M36" i="17"/>
  <c r="I109" i="15"/>
  <c r="CL75" i="8"/>
  <c r="CQ84" i="7"/>
  <c r="BT76" i="22"/>
  <c r="BT51" i="22"/>
  <c r="CD31" i="6"/>
  <c r="BW453" i="21"/>
  <c r="CV192" i="7"/>
  <c r="CV91" i="13"/>
  <c r="CV178" i="7"/>
  <c r="CV186" i="7" s="1"/>
  <c r="CZ192" i="7"/>
  <c r="CZ11" i="17"/>
  <c r="CW49" i="6"/>
  <c r="CZ178" i="7"/>
  <c r="CI11" i="17"/>
  <c r="CI14" i="17" s="1"/>
  <c r="CI192" i="7"/>
  <c r="CI193" i="7" s="1"/>
  <c r="CF49" i="6"/>
  <c r="CM178" i="7"/>
  <c r="CM190" i="7" s="1"/>
  <c r="CM91" i="13"/>
  <c r="CM192" i="7"/>
  <c r="CI89" i="8"/>
  <c r="CI74" i="8"/>
  <c r="CL74" i="8"/>
  <c r="CL89" i="8"/>
  <c r="CV75" i="8"/>
  <c r="CS85" i="6"/>
  <c r="CH112" i="6"/>
  <c r="CK99" i="8"/>
  <c r="CK100" i="8" s="1"/>
  <c r="CL104" i="6"/>
  <c r="CL110" i="6" s="1"/>
  <c r="CO132" i="6"/>
  <c r="R132" i="6" s="1"/>
  <c r="CR99" i="8"/>
  <c r="CR100" i="8" s="1"/>
  <c r="CV99" i="8"/>
  <c r="CV100" i="8" s="1"/>
  <c r="CS104" i="6"/>
  <c r="CS110" i="6" s="1"/>
  <c r="CA116" i="6"/>
  <c r="CE116" i="6"/>
  <c r="CU116" i="6"/>
  <c r="DA97" i="7"/>
  <c r="CX72" i="6" s="1"/>
  <c r="CX73" i="6" s="1"/>
  <c r="CZ62" i="8"/>
  <c r="DE97" i="7"/>
  <c r="DB72" i="6" s="1"/>
  <c r="DB73" i="6" s="1"/>
  <c r="DD62" i="8"/>
  <c r="DI97" i="7"/>
  <c r="DF72" i="6" s="1"/>
  <c r="DF73" i="6" s="1"/>
  <c r="DH62" i="8"/>
  <c r="N19" i="7"/>
  <c r="CC71" i="7"/>
  <c r="CY73" i="7"/>
  <c r="CT119" i="15"/>
  <c r="CA143" i="17"/>
  <c r="O42" i="6"/>
  <c r="CB107" i="6"/>
  <c r="CJ127" i="6"/>
  <c r="N41" i="7"/>
  <c r="CB42" i="7"/>
  <c r="CB50" i="7" s="1"/>
  <c r="CN65" i="7"/>
  <c r="CU65" i="7"/>
  <c r="CY65" i="7"/>
  <c r="DC65" i="7"/>
  <c r="DE48" i="16"/>
  <c r="DE23" i="16" s="1"/>
  <c r="I138" i="17"/>
  <c r="CB40" i="6"/>
  <c r="CN40" i="6"/>
  <c r="CI72" i="7"/>
  <c r="CA75" i="6"/>
  <c r="CH116" i="6"/>
  <c r="CF127" i="6"/>
  <c r="BZ72" i="7"/>
  <c r="CB71" i="7"/>
  <c r="O41" i="7"/>
  <c r="CG80" i="7"/>
  <c r="P41" i="7"/>
  <c r="CK80" i="7"/>
  <c r="Q41" i="7"/>
  <c r="CO80" i="7"/>
  <c r="S41" i="7"/>
  <c r="CW80" i="7"/>
  <c r="T41" i="7"/>
  <c r="DA80" i="7"/>
  <c r="U41" i="7"/>
  <c r="U42" i="7" s="1"/>
  <c r="U50" i="7" s="1"/>
  <c r="U51" i="7" s="1"/>
  <c r="DE80" i="7"/>
  <c r="CX74" i="7"/>
  <c r="CW53" i="6"/>
  <c r="CD53" i="6"/>
  <c r="BY73" i="6"/>
  <c r="CC73" i="6"/>
  <c r="CO73" i="6"/>
  <c r="CC75" i="6"/>
  <c r="BZ117" i="6"/>
  <c r="CO111" i="6"/>
  <c r="CS111" i="6"/>
  <c r="CF72" i="7"/>
  <c r="Q20" i="8"/>
  <c r="V20" i="8"/>
  <c r="S22" i="8"/>
  <c r="T22" i="8"/>
  <c r="O40" i="8"/>
  <c r="Q52" i="8"/>
  <c r="U56" i="8"/>
  <c r="DG49" i="14"/>
  <c r="DP45" i="16"/>
  <c r="DO45" i="16"/>
  <c r="AR58" i="21"/>
  <c r="Q81" i="13"/>
  <c r="S81" i="13"/>
  <c r="DI114" i="17"/>
  <c r="DK20" i="7"/>
  <c r="DK42" i="7"/>
  <c r="DK50" i="7" s="1"/>
  <c r="DH117" i="6"/>
  <c r="DL471" i="12"/>
  <c r="DP39" i="12"/>
  <c r="DM24" i="15"/>
  <c r="DP22" i="15"/>
  <c r="DM161" i="15"/>
  <c r="DP169" i="15"/>
  <c r="DM54" i="14"/>
  <c r="DP49" i="14"/>
  <c r="DL75" i="8"/>
  <c r="DL82" i="7"/>
  <c r="DL90" i="7" s="1"/>
  <c r="CY102" i="22" s="1"/>
  <c r="DM80" i="7"/>
  <c r="DN82" i="7"/>
  <c r="DO83" i="7" s="1"/>
  <c r="DO85" i="7" s="1"/>
  <c r="DO80" i="7"/>
  <c r="DO65" i="7"/>
  <c r="CW57" i="8"/>
  <c r="BX302" i="12"/>
  <c r="AY439" i="12"/>
  <c r="BF55" i="12"/>
  <c r="BF46" i="17" s="1"/>
  <c r="CR27" i="16"/>
  <c r="CU116" i="15"/>
  <c r="CM48" i="16"/>
  <c r="CM23" i="16" s="1"/>
  <c r="DP44" i="16"/>
  <c r="DO44" i="16"/>
  <c r="DP47" i="16"/>
  <c r="DO47" i="16"/>
  <c r="DP21" i="17"/>
  <c r="DO21" i="17"/>
  <c r="CM70" i="22"/>
  <c r="BW103" i="11"/>
  <c r="DK103" i="13"/>
  <c r="DK471" i="12"/>
  <c r="DO39" i="12"/>
  <c r="DI18" i="6"/>
  <c r="DI19" i="6" s="1"/>
  <c r="DP12" i="16"/>
  <c r="DP54" i="13"/>
  <c r="DP70" i="13"/>
  <c r="M49" i="37" s="1"/>
  <c r="DP28" i="12"/>
  <c r="M16" i="37" s="1"/>
  <c r="DJ107" i="6"/>
  <c r="W109" i="6"/>
  <c r="S19" i="8"/>
  <c r="O21" i="8"/>
  <c r="P21" i="8"/>
  <c r="O22" i="8"/>
  <c r="Q23" i="8"/>
  <c r="R23" i="8"/>
  <c r="U23" i="8"/>
  <c r="R38" i="8"/>
  <c r="CX57" i="8"/>
  <c r="CX58" i="8" s="1"/>
  <c r="Q54" i="8"/>
  <c r="T56" i="8"/>
  <c r="CZ16" i="15"/>
  <c r="CZ17" i="15" s="1"/>
  <c r="BZ38" i="15"/>
  <c r="BL63" i="15"/>
  <c r="CD62" i="15"/>
  <c r="CV119" i="15"/>
  <c r="DL46" i="16"/>
  <c r="DL48" i="16" s="1"/>
  <c r="DL23" i="16" s="1"/>
  <c r="DP46" i="16"/>
  <c r="DO46" i="16"/>
  <c r="BU140" i="17"/>
  <c r="BY126" i="17"/>
  <c r="BY128" i="17" s="1"/>
  <c r="BW70" i="22"/>
  <c r="DJ42" i="7"/>
  <c r="DJ50" i="7" s="1"/>
  <c r="DJ61" i="7"/>
  <c r="DK89" i="8"/>
  <c r="DH112" i="6"/>
  <c r="DM16" i="15"/>
  <c r="DP15" i="15"/>
  <c r="CY127" i="22"/>
  <c r="DP73" i="13"/>
  <c r="DC128" i="22" s="1"/>
  <c r="T21" i="8"/>
  <c r="U21" i="8"/>
  <c r="S33" i="8"/>
  <c r="P50" i="8"/>
  <c r="DF57" i="8"/>
  <c r="CM78" i="8"/>
  <c r="Q56" i="8"/>
  <c r="P29" i="13"/>
  <c r="CH85" i="13"/>
  <c r="O87" i="13"/>
  <c r="CD133" i="13"/>
  <c r="BQ80" i="22" s="1"/>
  <c r="CX27" i="16"/>
  <c r="CX56" i="17" s="1"/>
  <c r="CY110" i="13"/>
  <c r="DC110" i="13"/>
  <c r="CL156" i="15"/>
  <c r="CO16" i="15"/>
  <c r="CO17" i="15" s="1"/>
  <c r="BB62" i="15"/>
  <c r="DK45" i="16"/>
  <c r="CN55" i="17"/>
  <c r="BK57" i="17"/>
  <c r="BU126" i="17"/>
  <c r="L126" i="17" s="1"/>
  <c r="CK126" i="17"/>
  <c r="V41" i="7"/>
  <c r="DI80" i="7"/>
  <c r="DG53" i="6"/>
  <c r="T16" i="37"/>
  <c r="G15" i="37"/>
  <c r="DO186" i="12"/>
  <c r="DO113" i="12"/>
  <c r="DO28" i="12"/>
  <c r="L16" i="37" s="1"/>
  <c r="DK82" i="7"/>
  <c r="DK90" i="7" s="1"/>
  <c r="CX102" i="22" s="1"/>
  <c r="DL80" i="7"/>
  <c r="DP186" i="12"/>
  <c r="DP113" i="12"/>
  <c r="DL108" i="17"/>
  <c r="DP132" i="17"/>
  <c r="DL36" i="13"/>
  <c r="DL74" i="8"/>
  <c r="DP383" i="12"/>
  <c r="DP356" i="12"/>
  <c r="DP694" i="12"/>
  <c r="DN122" i="12"/>
  <c r="DN127" i="12" s="1"/>
  <c r="DO114" i="12"/>
  <c r="DO177" i="7"/>
  <c r="DO179" i="7" s="1"/>
  <c r="DO182" i="7"/>
  <c r="M150" i="14"/>
  <c r="M100" i="14"/>
  <c r="G150" i="14"/>
  <c r="CU21" i="14"/>
  <c r="DF21" i="14"/>
  <c r="I150" i="14"/>
  <c r="CE40" i="14"/>
  <c r="BM30" i="22"/>
  <c r="L19" i="5"/>
  <c r="M19" i="5"/>
  <c r="CT53" i="11"/>
  <c r="CT54" i="11" s="1"/>
  <c r="CT55" i="11" s="1"/>
  <c r="DA365" i="13"/>
  <c r="DH116" i="13"/>
  <c r="BV40" i="11"/>
  <c r="CY116" i="13"/>
  <c r="CP168" i="15"/>
  <c r="CX168" i="15"/>
  <c r="DD168" i="15"/>
  <c r="H150" i="14"/>
  <c r="F100" i="14"/>
  <c r="F150" i="14"/>
  <c r="N150" i="14"/>
  <c r="CU22" i="14"/>
  <c r="CF32" i="14"/>
  <c r="CF30" i="14" s="1"/>
  <c r="CF31" i="14" s="1"/>
  <c r="CN32" i="14"/>
  <c r="CN30" i="14" s="1"/>
  <c r="CN31" i="14" s="1"/>
  <c r="CV32" i="14"/>
  <c r="CV30" i="14" s="1"/>
  <c r="CV31" i="14" s="1"/>
  <c r="CZ32" i="14"/>
  <c r="CZ30" i="14" s="1"/>
  <c r="CZ31" i="14" s="1"/>
  <c r="DD32" i="14"/>
  <c r="DD30" i="14" s="1"/>
  <c r="DD31" i="14" s="1"/>
  <c r="DO22" i="14"/>
  <c r="DK21" i="14"/>
  <c r="O22" i="14"/>
  <c r="DI39" i="14"/>
  <c r="L22" i="14"/>
  <c r="DH22" i="14"/>
  <c r="DG21" i="14"/>
  <c r="DF38" i="14"/>
  <c r="CY22" i="14"/>
  <c r="DK22" i="14"/>
  <c r="DJ21" i="14"/>
  <c r="CV21" i="14"/>
  <c r="DG32" i="14"/>
  <c r="DG30" i="14" s="1"/>
  <c r="DG31" i="14" s="1"/>
  <c r="DK38" i="14"/>
  <c r="CS40" i="11"/>
  <c r="CY370" i="13"/>
  <c r="CM116" i="13"/>
  <c r="CX366" i="13"/>
  <c r="DG103" i="11"/>
  <c r="CV14" i="17"/>
  <c r="CV18" i="8"/>
  <c r="CV17" i="8" s="1"/>
  <c r="DB76" i="8"/>
  <c r="DB35" i="8"/>
  <c r="CH40" i="11"/>
  <c r="S103" i="13"/>
  <c r="S102" i="11"/>
  <c r="CW365" i="13"/>
  <c r="T102" i="13"/>
  <c r="DC160" i="15"/>
  <c r="CX160" i="15"/>
  <c r="CV160" i="15"/>
  <c r="CR160" i="15"/>
  <c r="CQ160" i="15"/>
  <c r="DF168" i="15"/>
  <c r="CV156" i="15"/>
  <c r="CV168" i="15"/>
  <c r="CZ168" i="15"/>
  <c r="DL52" i="14"/>
  <c r="DB168" i="15"/>
  <c r="DD160" i="15"/>
  <c r="CY35" i="22"/>
  <c r="DH168" i="15"/>
  <c r="CR168" i="15"/>
  <c r="DL53" i="14"/>
  <c r="CY160" i="15"/>
  <c r="CT160" i="15"/>
  <c r="CZ160" i="15"/>
  <c r="CS113" i="13"/>
  <c r="DD53" i="11"/>
  <c r="DD54" i="11" s="1"/>
  <c r="DD55" i="11" s="1"/>
  <c r="R14" i="20"/>
  <c r="W48" i="16"/>
  <c r="W23" i="16" s="1"/>
  <c r="DJ112" i="13"/>
  <c r="DJ113" i="13" s="1"/>
  <c r="S13" i="19"/>
  <c r="T13" i="19" s="1"/>
  <c r="W113" i="13"/>
  <c r="CA105" i="13"/>
  <c r="X109" i="6"/>
  <c r="CJ118" i="6"/>
  <c r="CN118" i="6"/>
  <c r="CK120" i="6"/>
  <c r="DA118" i="6"/>
  <c r="DA120" i="6"/>
  <c r="CZ118" i="6"/>
  <c r="CC118" i="6"/>
  <c r="CS365" i="13"/>
  <c r="CY365" i="13"/>
  <c r="CN103" i="11"/>
  <c r="CK53" i="11"/>
  <c r="CK54" i="11" s="1"/>
  <c r="CK55" i="11" s="1"/>
  <c r="CY366" i="13"/>
  <c r="DE365" i="13"/>
  <c r="DK368" i="13"/>
  <c r="CF82" i="13"/>
  <c r="O81" i="13"/>
  <c r="CG11" i="13"/>
  <c r="O10" i="13"/>
  <c r="CK16" i="13"/>
  <c r="CK11" i="13"/>
  <c r="CK13" i="13"/>
  <c r="CF13" i="13"/>
  <c r="CB16" i="13"/>
  <c r="CF16" i="13"/>
  <c r="O14" i="13"/>
  <c r="CJ16" i="13"/>
  <c r="P14" i="13"/>
  <c r="CJ15" i="13"/>
  <c r="CB25" i="13"/>
  <c r="N19" i="13"/>
  <c r="CF20" i="13"/>
  <c r="CF25" i="13"/>
  <c r="O19" i="13"/>
  <c r="CJ25" i="13"/>
  <c r="CJ20" i="13"/>
  <c r="P19" i="13"/>
  <c r="N21" i="13"/>
  <c r="CD22" i="13"/>
  <c r="BZ25" i="13"/>
  <c r="BZ30" i="13" s="1"/>
  <c r="CD24" i="13"/>
  <c r="CD25" i="13"/>
  <c r="CL23" i="13"/>
  <c r="CH24" i="13"/>
  <c r="CH25" i="13"/>
  <c r="CH30" i="13" s="1"/>
  <c r="CR54" i="13"/>
  <c r="CV54" i="13"/>
  <c r="T53" i="13"/>
  <c r="DH54" i="13"/>
  <c r="E30" i="37" s="1"/>
  <c r="U53" i="13"/>
  <c r="CH82" i="13"/>
  <c r="CH110" i="17"/>
  <c r="BV125" i="22"/>
  <c r="K126" i="22"/>
  <c r="BZ125" i="22"/>
  <c r="L125" i="22"/>
  <c r="CD126" i="22"/>
  <c r="CD125" i="22"/>
  <c r="CH125" i="22"/>
  <c r="CH126" i="22"/>
  <c r="CP125" i="22"/>
  <c r="CT125" i="22"/>
  <c r="CT126" i="22"/>
  <c r="BZ127" i="22"/>
  <c r="CD127" i="22"/>
  <c r="CH128" i="22"/>
  <c r="CH127" i="22"/>
  <c r="CX128" i="22"/>
  <c r="CT127" i="22"/>
  <c r="Q127" i="22"/>
  <c r="CT128" i="22"/>
  <c r="CF88" i="13"/>
  <c r="BZ13" i="11"/>
  <c r="O13" i="11" s="1"/>
  <c r="BS149" i="22"/>
  <c r="CC10" i="6"/>
  <c r="BS79" i="22"/>
  <c r="CF133" i="13"/>
  <c r="CJ76" i="13"/>
  <c r="BW148" i="22" s="1"/>
  <c r="BS45" i="22"/>
  <c r="J45" i="22" s="1"/>
  <c r="BT149" i="22"/>
  <c r="CF85" i="13"/>
  <c r="N84" i="13"/>
  <c r="BT31" i="11"/>
  <c r="BT40" i="11" s="1"/>
  <c r="BW31" i="11"/>
  <c r="BW35" i="11"/>
  <c r="CA31" i="11"/>
  <c r="CG85" i="13"/>
  <c r="O84" i="13"/>
  <c r="CE31" i="11"/>
  <c r="P31" i="11" s="1"/>
  <c r="P84" i="13"/>
  <c r="CE35" i="11"/>
  <c r="CI31" i="11"/>
  <c r="Q84" i="13"/>
  <c r="CM31" i="11"/>
  <c r="R84" i="13"/>
  <c r="CQ31" i="11"/>
  <c r="CW20" i="16"/>
  <c r="CQ35" i="11" s="1"/>
  <c r="CU31" i="11"/>
  <c r="T31" i="11" s="1"/>
  <c r="T84" i="13"/>
  <c r="CY31" i="11"/>
  <c r="DE20" i="16"/>
  <c r="CY35" i="11" s="1"/>
  <c r="CE22" i="11"/>
  <c r="P22" i="11" s="1"/>
  <c r="CE26" i="11"/>
  <c r="P87" i="13"/>
  <c r="CI26" i="11"/>
  <c r="CI22" i="11"/>
  <c r="Q22" i="11" s="1"/>
  <c r="Q87" i="13"/>
  <c r="R87" i="13"/>
  <c r="CM22" i="11"/>
  <c r="R22" i="11" s="1"/>
  <c r="CQ22" i="11"/>
  <c r="CQ26" i="11"/>
  <c r="T87" i="13"/>
  <c r="CU22" i="11"/>
  <c r="CU40" i="11" s="1"/>
  <c r="CY22" i="11"/>
  <c r="CY26" i="11"/>
  <c r="Q93" i="13"/>
  <c r="CF49" i="11"/>
  <c r="CF53" i="11" s="1"/>
  <c r="CF54" i="11" s="1"/>
  <c r="CF55" i="11" s="1"/>
  <c r="CL40" i="17"/>
  <c r="CP27" i="16"/>
  <c r="CP56" i="17" s="1"/>
  <c r="CP40" i="17"/>
  <c r="R93" i="13"/>
  <c r="DB40" i="17"/>
  <c r="DB27" i="16"/>
  <c r="BR100" i="13"/>
  <c r="BR101" i="13" s="1"/>
  <c r="BS101" i="13"/>
  <c r="CA103" i="13"/>
  <c r="CB102" i="13"/>
  <c r="CA102" i="13"/>
  <c r="CB104" i="13"/>
  <c r="CB103" i="13"/>
  <c r="CA104" i="13"/>
  <c r="CF103" i="13"/>
  <c r="CE103" i="13"/>
  <c r="CF102" i="13"/>
  <c r="CE102" i="13"/>
  <c r="CE104" i="13"/>
  <c r="BR72" i="22"/>
  <c r="CF104" i="13"/>
  <c r="CJ104" i="13"/>
  <c r="CJ103" i="13"/>
  <c r="BV72" i="22"/>
  <c r="CI103" i="13"/>
  <c r="CJ102" i="13"/>
  <c r="CI104" i="13"/>
  <c r="CI102" i="13"/>
  <c r="CH102" i="11"/>
  <c r="CA72" i="22"/>
  <c r="CN104" i="13"/>
  <c r="CO103" i="13"/>
  <c r="CN364" i="13"/>
  <c r="CO104" i="13"/>
  <c r="CN102" i="13"/>
  <c r="CN103" i="13"/>
  <c r="CR364" i="13"/>
  <c r="CR102" i="13"/>
  <c r="CS102" i="13"/>
  <c r="CR103" i="13"/>
  <c r="CE72" i="22"/>
  <c r="CL102" i="11"/>
  <c r="CR104" i="13"/>
  <c r="CS104" i="13"/>
  <c r="CP102" i="11"/>
  <c r="CQ103" i="11" s="1"/>
  <c r="CW103" i="13"/>
  <c r="CV364" i="13"/>
  <c r="CV102" i="13"/>
  <c r="CW102" i="13"/>
  <c r="CV103" i="13"/>
  <c r="CI72" i="22"/>
  <c r="CV104" i="13"/>
  <c r="CT102" i="11"/>
  <c r="CM72" i="22"/>
  <c r="DA104" i="13"/>
  <c r="DA103" i="13"/>
  <c r="CZ102" i="13"/>
  <c r="DA102" i="13"/>
  <c r="CZ103" i="13"/>
  <c r="CZ364" i="13"/>
  <c r="CZ104" i="13"/>
  <c r="CQ72" i="22"/>
  <c r="CX102" i="11"/>
  <c r="DE102" i="13"/>
  <c r="DD103" i="13"/>
  <c r="DD104" i="13"/>
  <c r="DD102" i="13"/>
  <c r="DD364" i="13"/>
  <c r="DE374" i="13" s="1"/>
  <c r="DE104" i="13"/>
  <c r="DB102" i="11"/>
  <c r="DI103" i="13"/>
  <c r="DH103" i="13"/>
  <c r="DH364" i="13"/>
  <c r="DH104" i="13"/>
  <c r="CU72" i="22"/>
  <c r="DI102" i="13"/>
  <c r="DI104" i="13"/>
  <c r="CD112" i="13"/>
  <c r="CD113" i="13" s="1"/>
  <c r="CG112" i="13"/>
  <c r="CG113" i="13" s="1"/>
  <c r="O113" i="13"/>
  <c r="CF112" i="13"/>
  <c r="CF113" i="13" s="1"/>
  <c r="CE112" i="13"/>
  <c r="CT112" i="13"/>
  <c r="T113" i="13"/>
  <c r="CW112" i="13"/>
  <c r="CW113" i="13" s="1"/>
  <c r="S113" i="13"/>
  <c r="CV112" i="13"/>
  <c r="CU112" i="13"/>
  <c r="CU113" i="13" s="1"/>
  <c r="BX115" i="13"/>
  <c r="BV115" i="13"/>
  <c r="BY115" i="13"/>
  <c r="N116" i="13"/>
  <c r="BW115" i="13"/>
  <c r="CA116" i="13" s="1"/>
  <c r="M116" i="13"/>
  <c r="CS115" i="13"/>
  <c r="CS116" i="13" s="1"/>
  <c r="CR115" i="13"/>
  <c r="CR116" i="13" s="1"/>
  <c r="CP115" i="13"/>
  <c r="CP116" i="13" s="1"/>
  <c r="S116" i="13"/>
  <c r="R116" i="13"/>
  <c r="CQ115" i="13"/>
  <c r="N211" i="13"/>
  <c r="CB284" i="13"/>
  <c r="CF284" i="13"/>
  <c r="CN284" i="13"/>
  <c r="BV101" i="13"/>
  <c r="BV79" i="22"/>
  <c r="BV149" i="22"/>
  <c r="CW126" i="22"/>
  <c r="CA100" i="13"/>
  <c r="CA99" i="13" s="1"/>
  <c r="CB100" i="13" s="1"/>
  <c r="CB99" i="13" s="1"/>
  <c r="CC100" i="13" s="1"/>
  <c r="CC99" i="13" s="1"/>
  <c r="CD100" i="13" s="1"/>
  <c r="CD99" i="13" s="1"/>
  <c r="CE100" i="13" s="1"/>
  <c r="CE99" i="13" s="1"/>
  <c r="CF100" i="13" s="1"/>
  <c r="CF99" i="13" s="1"/>
  <c r="CG100" i="13" s="1"/>
  <c r="CG99" i="13" s="1"/>
  <c r="CH100" i="13" s="1"/>
  <c r="CH99" i="13" s="1"/>
  <c r="BR217" i="13"/>
  <c r="BR257" i="13"/>
  <c r="BR259" i="13" s="1"/>
  <c r="BR260" i="13" s="1"/>
  <c r="DI115" i="13"/>
  <c r="DG115" i="13"/>
  <c r="DF115" i="13"/>
  <c r="DF116" i="13" s="1"/>
  <c r="V116" i="13"/>
  <c r="DE299" i="13"/>
  <c r="DA367" i="13"/>
  <c r="DB369" i="13" s="1"/>
  <c r="DE367" i="13"/>
  <c r="DE370" i="13" s="1"/>
  <c r="DF298" i="13"/>
  <c r="CP367" i="13"/>
  <c r="CP298" i="13"/>
  <c r="CN339" i="13"/>
  <c r="CM338" i="13"/>
  <c r="DI367" i="13"/>
  <c r="DJ298" i="13"/>
  <c r="DI299" i="13"/>
  <c r="DD22" i="11"/>
  <c r="DD40" i="11" s="1"/>
  <c r="DJ16" i="16"/>
  <c r="DO73" i="13"/>
  <c r="DB128" i="22" s="1"/>
  <c r="W72" i="13"/>
  <c r="CX127" i="22"/>
  <c r="CT40" i="17"/>
  <c r="CL41" i="13"/>
  <c r="CH40" i="17"/>
  <c r="P10" i="13"/>
  <c r="BY16" i="13"/>
  <c r="CC16" i="13"/>
  <c r="M21" i="13"/>
  <c r="P23" i="13"/>
  <c r="CR110" i="13"/>
  <c r="DH110" i="13"/>
  <c r="CT299" i="13"/>
  <c r="CM375" i="13"/>
  <c r="O29" i="13"/>
  <c r="CC40" i="11"/>
  <c r="CF110" i="17"/>
  <c r="DA298" i="13"/>
  <c r="CL306" i="13"/>
  <c r="CL332" i="13" s="1"/>
  <c r="R53" i="13"/>
  <c r="S53" i="13"/>
  <c r="CG356" i="13"/>
  <c r="CH357" i="13" s="1"/>
  <c r="CH358" i="13" s="1"/>
  <c r="P81" i="13"/>
  <c r="N81" i="13"/>
  <c r="CL103" i="13"/>
  <c r="DA22" i="11"/>
  <c r="DA40" i="11" s="1"/>
  <c r="V87" i="13"/>
  <c r="BV49" i="11"/>
  <c r="BV53" i="11" s="1"/>
  <c r="BV54" i="11" s="1"/>
  <c r="BV55" i="11" s="1"/>
  <c r="CH49" i="11"/>
  <c r="CN27" i="16"/>
  <c r="CN56" i="17" s="1"/>
  <c r="CP49" i="11"/>
  <c r="CV40" i="17"/>
  <c r="CV27" i="16"/>
  <c r="CV56" i="17" s="1"/>
  <c r="CX49" i="11"/>
  <c r="CX53" i="11" s="1"/>
  <c r="CX54" i="11" s="1"/>
  <c r="CX55" i="11" s="1"/>
  <c r="DD27" i="16"/>
  <c r="DB49" i="11"/>
  <c r="DB53" i="11" s="1"/>
  <c r="DB54" i="11" s="1"/>
  <c r="DB55" i="11" s="1"/>
  <c r="DH27" i="16"/>
  <c r="N101" i="13"/>
  <c r="CD102" i="13"/>
  <c r="CD104" i="13"/>
  <c r="CC102" i="13"/>
  <c r="CD103" i="13"/>
  <c r="BP72" i="22"/>
  <c r="I72" i="22" s="1"/>
  <c r="CC104" i="13"/>
  <c r="CC103" i="13"/>
  <c r="O101" i="13"/>
  <c r="CG104" i="13"/>
  <c r="CG103" i="13"/>
  <c r="CG102" i="13"/>
  <c r="CH103" i="13"/>
  <c r="BX72" i="22"/>
  <c r="CK102" i="13"/>
  <c r="CK103" i="13"/>
  <c r="CC72" i="22"/>
  <c r="CJ102" i="11"/>
  <c r="CQ104" i="13"/>
  <c r="CQ103" i="13"/>
  <c r="CQ102" i="13"/>
  <c r="CP364" i="13"/>
  <c r="CP104" i="13"/>
  <c r="CG72" i="22"/>
  <c r="CU104" i="13"/>
  <c r="CT104" i="13"/>
  <c r="CT364" i="13"/>
  <c r="CU102" i="13"/>
  <c r="CU103" i="13"/>
  <c r="CT102" i="13"/>
  <c r="CO72" i="22"/>
  <c r="DB364" i="13"/>
  <c r="DB370" i="13" s="1"/>
  <c r="DC102" i="13"/>
  <c r="DC104" i="13"/>
  <c r="DB103" i="13"/>
  <c r="DC103" i="13"/>
  <c r="CS72" i="22"/>
  <c r="DG103" i="13"/>
  <c r="CZ102" i="11"/>
  <c r="DA103" i="11" s="1"/>
  <c r="DF104" i="13"/>
  <c r="DG102" i="13"/>
  <c r="R353" i="13"/>
  <c r="R356" i="13" s="1"/>
  <c r="CS356" i="13"/>
  <c r="CS357" i="13" s="1"/>
  <c r="CZ125" i="22"/>
  <c r="DO60" i="13"/>
  <c r="L47" i="37" s="1"/>
  <c r="CP22" i="11"/>
  <c r="CP40" i="11" s="1"/>
  <c r="S87" i="13"/>
  <c r="CX22" i="11"/>
  <c r="U87" i="13"/>
  <c r="BW284" i="13"/>
  <c r="CA284" i="13"/>
  <c r="CE284" i="13"/>
  <c r="CI284" i="13"/>
  <c r="CR299" i="13"/>
  <c r="CS298" i="13"/>
  <c r="CR367" i="13"/>
  <c r="CR298" i="13"/>
  <c r="DD367" i="13"/>
  <c r="DD368" i="13" s="1"/>
  <c r="DD298" i="13"/>
  <c r="DH367" i="13"/>
  <c r="DI298" i="13"/>
  <c r="CM326" i="13"/>
  <c r="CM328" i="13" s="1"/>
  <c r="CQ310" i="13"/>
  <c r="CP319" i="13"/>
  <c r="CP326" i="13" s="1"/>
  <c r="CQ320" i="13"/>
  <c r="CR320" i="13" s="1"/>
  <c r="CS320" i="13" s="1"/>
  <c r="DI110" i="13"/>
  <c r="CD16" i="13"/>
  <c r="CD17" i="13" s="1"/>
  <c r="CD11" i="13"/>
  <c r="CG16" i="13"/>
  <c r="CG15" i="13"/>
  <c r="BY25" i="13"/>
  <c r="BY30" i="13" s="1"/>
  <c r="M19" i="13"/>
  <c r="CG25" i="13"/>
  <c r="CG20" i="13"/>
  <c r="CK25" i="13"/>
  <c r="CK20" i="13"/>
  <c r="CK22" i="13"/>
  <c r="U34" i="13"/>
  <c r="DI54" i="13"/>
  <c r="F30" i="37" s="1"/>
  <c r="BW22" i="11"/>
  <c r="CA22" i="11"/>
  <c r="CG88" i="13"/>
  <c r="BS258" i="13"/>
  <c r="BS259" i="13" s="1"/>
  <c r="BT216" i="13"/>
  <c r="BS217" i="13"/>
  <c r="CN369" i="13"/>
  <c r="CN375" i="13"/>
  <c r="CO375" i="13"/>
  <c r="CR125" i="22"/>
  <c r="CN127" i="22"/>
  <c r="CR127" i="22"/>
  <c r="CV128" i="22"/>
  <c r="CD85" i="13"/>
  <c r="CD82" i="13"/>
  <c r="BQ79" i="22"/>
  <c r="BY31" i="11"/>
  <c r="BY40" i="11" s="1"/>
  <c r="BY67" i="11" s="1"/>
  <c r="CE85" i="13"/>
  <c r="CF31" i="11"/>
  <c r="CF40" i="11" s="1"/>
  <c r="CJ31" i="11"/>
  <c r="CP20" i="16"/>
  <c r="CN31" i="11"/>
  <c r="CT20" i="16"/>
  <c r="CX21" i="16" s="1"/>
  <c r="CV31" i="11"/>
  <c r="CV40" i="11" s="1"/>
  <c r="DB20" i="16"/>
  <c r="DB21" i="16" s="1"/>
  <c r="U84" i="13"/>
  <c r="CZ31" i="11"/>
  <c r="CZ40" i="11" s="1"/>
  <c r="V84" i="13"/>
  <c r="CN110" i="13"/>
  <c r="CO110" i="13"/>
  <c r="CV110" i="13"/>
  <c r="CW110" i="13"/>
  <c r="CZ110" i="13"/>
  <c r="DA110" i="13"/>
  <c r="DE110" i="13"/>
  <c r="DD110" i="13"/>
  <c r="CI112" i="13"/>
  <c r="CJ112" i="13"/>
  <c r="Q113" i="13"/>
  <c r="CK112" i="13"/>
  <c r="P113" i="13"/>
  <c r="CH112" i="13"/>
  <c r="CY112" i="13"/>
  <c r="CZ112" i="13"/>
  <c r="DA112" i="13"/>
  <c r="CD115" i="13"/>
  <c r="O116" i="13"/>
  <c r="P116" i="13"/>
  <c r="CG115" i="13"/>
  <c r="CT115" i="13"/>
  <c r="CW115" i="13"/>
  <c r="CV115" i="13"/>
  <c r="R303" i="13"/>
  <c r="DI364" i="13"/>
  <c r="CL116" i="13"/>
  <c r="BZ284" i="13"/>
  <c r="DO104" i="13"/>
  <c r="DO103" i="13"/>
  <c r="DO102" i="13"/>
  <c r="DL112" i="13"/>
  <c r="DO112" i="13"/>
  <c r="W116" i="13"/>
  <c r="R66" i="13"/>
  <c r="BX284" i="13"/>
  <c r="DO70" i="13"/>
  <c r="L49" i="37" s="1"/>
  <c r="DO54" i="13"/>
  <c r="CO23" i="13"/>
  <c r="CP24" i="13"/>
  <c r="DO383" i="12"/>
  <c r="DO694" i="12"/>
  <c r="DO356" i="12"/>
  <c r="X72" i="13"/>
  <c r="DD128" i="22"/>
  <c r="BA145" i="12"/>
  <c r="DD137" i="22"/>
  <c r="U39" i="37"/>
  <c r="DB137" i="22"/>
  <c r="CX17" i="8"/>
  <c r="CH35" i="8"/>
  <c r="CH76" i="8"/>
  <c r="CN76" i="8"/>
  <c r="CT18" i="8"/>
  <c r="CT17" i="8" s="1"/>
  <c r="CE14" i="17"/>
  <c r="CE106" i="13"/>
  <c r="CF106" i="13" s="1"/>
  <c r="CG106" i="13" s="1"/>
  <c r="DF374" i="13"/>
  <c r="DF366" i="13"/>
  <c r="DF103" i="11"/>
  <c r="BU101" i="13"/>
  <c r="CY113" i="12"/>
  <c r="BX37" i="22"/>
  <c r="DF177" i="12"/>
  <c r="CS119" i="22" s="1"/>
  <c r="DC177" i="12"/>
  <c r="BZ94" i="13"/>
  <c r="BZ40" i="17" s="1"/>
  <c r="CA42" i="17" s="1"/>
  <c r="CA43" i="17" s="1"/>
  <c r="CN21" i="16"/>
  <c r="CR56" i="12"/>
  <c r="S32" i="11"/>
  <c r="CO52" i="14"/>
  <c r="DB47" i="14"/>
  <c r="CT167" i="15"/>
  <c r="CO37" i="13"/>
  <c r="CY168" i="15"/>
  <c r="AA720" i="12"/>
  <c r="CI170" i="12"/>
  <c r="CI169" i="12"/>
  <c r="AZ440" i="12"/>
  <c r="BA146" i="12"/>
  <c r="CA168" i="12"/>
  <c r="CA170" i="12" s="1"/>
  <c r="CD38" i="22"/>
  <c r="CM125" i="12"/>
  <c r="CY125" i="12"/>
  <c r="DI114" i="12"/>
  <c r="DM157" i="12"/>
  <c r="AZ145" i="12"/>
  <c r="CQ114" i="12"/>
  <c r="CC212" i="12"/>
  <c r="CC287" i="12" s="1"/>
  <c r="CK212" i="12"/>
  <c r="O241" i="12"/>
  <c r="CQ182" i="12"/>
  <c r="CQ184" i="12" s="1"/>
  <c r="CG212" i="12"/>
  <c r="CG287" i="12" s="1"/>
  <c r="N211" i="12"/>
  <c r="P211" i="12"/>
  <c r="X111" i="6"/>
  <c r="DO78" i="8"/>
  <c r="W104" i="6"/>
  <c r="CG118" i="6"/>
  <c r="CE76" i="8"/>
  <c r="CE79" i="8" s="1"/>
  <c r="CA18" i="8"/>
  <c r="CA17" i="8" s="1"/>
  <c r="CI18" i="8"/>
  <c r="CO76" i="8"/>
  <c r="CL17" i="8"/>
  <c r="CG18" i="8"/>
  <c r="CG17" i="8" s="1"/>
  <c r="BZ18" i="8"/>
  <c r="BZ17" i="8" s="1"/>
  <c r="CD14" i="17"/>
  <c r="CD18" i="8"/>
  <c r="CT42" i="7"/>
  <c r="CT50" i="7" s="1"/>
  <c r="CL61" i="7"/>
  <c r="CH197" i="7"/>
  <c r="CB20" i="7"/>
  <c r="CS20" i="7"/>
  <c r="DL76" i="7"/>
  <c r="DL112" i="7" s="1"/>
  <c r="DL119" i="7" s="1"/>
  <c r="CN193" i="7"/>
  <c r="CX193" i="7"/>
  <c r="Q27" i="7"/>
  <c r="Q113" i="7" s="1"/>
  <c r="CF23" i="7"/>
  <c r="CF111" i="7" s="1"/>
  <c r="CF118" i="7" s="1"/>
  <c r="DE164" i="7"/>
  <c r="DE181" i="7" s="1"/>
  <c r="CW164" i="7"/>
  <c r="CO164" i="7"/>
  <c r="CO181" i="7" s="1"/>
  <c r="CG164" i="7"/>
  <c r="CG181" i="7" s="1"/>
  <c r="CG72" i="7"/>
  <c r="DF62" i="8"/>
  <c r="CR84" i="7"/>
  <c r="N22" i="7"/>
  <c r="N194" i="7" s="1"/>
  <c r="P60" i="7"/>
  <c r="P101" i="7" s="1"/>
  <c r="CV65" i="7"/>
  <c r="DI65" i="7"/>
  <c r="DH193" i="7"/>
  <c r="DJ186" i="7"/>
  <c r="DH163" i="7"/>
  <c r="DH171" i="7" s="1"/>
  <c r="DI172" i="7" s="1"/>
  <c r="CZ163" i="7"/>
  <c r="CZ171" i="7" s="1"/>
  <c r="CZ197" i="7" s="1"/>
  <c r="CR163" i="7"/>
  <c r="CR171" i="7" s="1"/>
  <c r="CJ163" i="7"/>
  <c r="CJ171" i="7" s="1"/>
  <c r="CJ197" i="7" s="1"/>
  <c r="DE194" i="7"/>
  <c r="CW194" i="7"/>
  <c r="CO194" i="7"/>
  <c r="CO195" i="7" s="1"/>
  <c r="CG194" i="7"/>
  <c r="DB62" i="8"/>
  <c r="R17" i="7"/>
  <c r="CN84" i="7"/>
  <c r="P22" i="7"/>
  <c r="P194" i="7" s="1"/>
  <c r="CD42" i="7"/>
  <c r="CD50" i="7" s="1"/>
  <c r="DF42" i="7"/>
  <c r="R60" i="7"/>
  <c r="R101" i="7" s="1"/>
  <c r="CW23" i="7"/>
  <c r="CW111" i="7" s="1"/>
  <c r="CW118" i="7" s="1"/>
  <c r="CS164" i="7"/>
  <c r="CS181" i="7" s="1"/>
  <c r="CC72" i="7"/>
  <c r="CE82" i="7"/>
  <c r="CU82" i="7"/>
  <c r="CU90" i="7" s="1"/>
  <c r="CH102" i="22" s="1"/>
  <c r="DC172" i="7"/>
  <c r="DC174" i="7" s="1"/>
  <c r="DC167" i="7"/>
  <c r="DC169" i="7" s="1"/>
  <c r="DC175" i="7" s="1"/>
  <c r="DD167" i="7"/>
  <c r="DJ172" i="7"/>
  <c r="DJ188" i="7" s="1"/>
  <c r="CR186" i="7"/>
  <c r="Q74" i="6"/>
  <c r="Q84" i="7" s="1"/>
  <c r="CQ167" i="7"/>
  <c r="CP197" i="7"/>
  <c r="DB197" i="7"/>
  <c r="CT197" i="7"/>
  <c r="CE20" i="7"/>
  <c r="CR20" i="7"/>
  <c r="CC20" i="7"/>
  <c r="CU42" i="7"/>
  <c r="CU50" i="7" s="1"/>
  <c r="CN42" i="7"/>
  <c r="CN50" i="7" s="1"/>
  <c r="CZ42" i="7"/>
  <c r="CZ50" i="7" s="1"/>
  <c r="CC42" i="7"/>
  <c r="CC50" i="7" s="1"/>
  <c r="CS61" i="7"/>
  <c r="CX61" i="7"/>
  <c r="DB61" i="7"/>
  <c r="DB87" i="7" s="1"/>
  <c r="DF61" i="7"/>
  <c r="DF87" i="7" s="1"/>
  <c r="CA61" i="7"/>
  <c r="CE61" i="7"/>
  <c r="CI61" i="7"/>
  <c r="CM61" i="7"/>
  <c r="CQ61" i="7"/>
  <c r="CU61" i="7"/>
  <c r="CY61" i="7"/>
  <c r="DC61" i="7"/>
  <c r="DG61" i="7"/>
  <c r="S168" i="7"/>
  <c r="DJ197" i="7"/>
  <c r="CL197" i="7"/>
  <c r="CM167" i="7"/>
  <c r="DB94" i="8"/>
  <c r="DB84" i="7"/>
  <c r="U74" i="6"/>
  <c r="R74" i="6"/>
  <c r="P82" i="7"/>
  <c r="CT84" i="7"/>
  <c r="CQ190" i="7"/>
  <c r="N72" i="6"/>
  <c r="BX73" i="6"/>
  <c r="CR73" i="6"/>
  <c r="S72" i="6"/>
  <c r="BX75" i="6"/>
  <c r="N74" i="6"/>
  <c r="N84" i="7" s="1"/>
  <c r="O74" i="6"/>
  <c r="O75" i="6" s="1"/>
  <c r="DM82" i="7"/>
  <c r="W38" i="7"/>
  <c r="W82" i="7" s="1"/>
  <c r="W90" i="7" s="1"/>
  <c r="U60" i="8"/>
  <c r="T62" i="8"/>
  <c r="CL84" i="7"/>
  <c r="CL94" i="8"/>
  <c r="CX94" i="8"/>
  <c r="CX84" i="7"/>
  <c r="CE165" i="7"/>
  <c r="CP94" i="8"/>
  <c r="CE167" i="7"/>
  <c r="DD171" i="7"/>
  <c r="DD165" i="7"/>
  <c r="CN165" i="7"/>
  <c r="CN171" i="7"/>
  <c r="CO167" i="7" s="1"/>
  <c r="CF197" i="7"/>
  <c r="T74" i="6"/>
  <c r="CM195" i="7"/>
  <c r="CN177" i="7"/>
  <c r="CN179" i="7" s="1"/>
  <c r="CF177" i="7"/>
  <c r="CE195" i="7"/>
  <c r="DF94" i="8"/>
  <c r="DF84" i="7"/>
  <c r="V74" i="6"/>
  <c r="CS62" i="8"/>
  <c r="R13" i="7"/>
  <c r="R98" i="7" s="1"/>
  <c r="CW62" i="8"/>
  <c r="S13" i="7"/>
  <c r="T98" i="7" s="1"/>
  <c r="DB97" i="7"/>
  <c r="DA62" i="8"/>
  <c r="DF97" i="7"/>
  <c r="DC72" i="6" s="1"/>
  <c r="DC73" i="6" s="1"/>
  <c r="DE62" i="8"/>
  <c r="U13" i="7"/>
  <c r="DH20" i="7"/>
  <c r="DH72" i="7"/>
  <c r="BZ20" i="7"/>
  <c r="CP20" i="7"/>
  <c r="DB20" i="7"/>
  <c r="CA163" i="7"/>
  <c r="CA23" i="7"/>
  <c r="CI163" i="7"/>
  <c r="CI196" i="7"/>
  <c r="CI23" i="7"/>
  <c r="CI111" i="7" s="1"/>
  <c r="CI118" i="7" s="1"/>
  <c r="CM23" i="7"/>
  <c r="CM111" i="7" s="1"/>
  <c r="CM118" i="7" s="1"/>
  <c r="CM196" i="7"/>
  <c r="CM197" i="7" s="1"/>
  <c r="CQ163" i="7"/>
  <c r="CQ23" i="7"/>
  <c r="CQ111" i="7" s="1"/>
  <c r="CQ118" i="7" s="1"/>
  <c r="CQ196" i="7"/>
  <c r="CY163" i="7"/>
  <c r="CY196" i="7"/>
  <c r="CY23" i="7"/>
  <c r="CY111" i="7" s="1"/>
  <c r="CY118" i="7" s="1"/>
  <c r="DC23" i="7"/>
  <c r="DC111" i="7" s="1"/>
  <c r="DC118" i="7" s="1"/>
  <c r="DC196" i="7"/>
  <c r="DC197" i="7" s="1"/>
  <c r="DG163" i="7"/>
  <c r="DG23" i="7"/>
  <c r="DG111" i="7" s="1"/>
  <c r="DG118" i="7" s="1"/>
  <c r="DG196" i="7"/>
  <c r="CB164" i="7"/>
  <c r="CB23" i="7"/>
  <c r="CB111" i="7" s="1"/>
  <c r="CB118" i="7" s="1"/>
  <c r="CJ164" i="7"/>
  <c r="CJ194" i="7"/>
  <c r="CJ23" i="7"/>
  <c r="CJ111" i="7" s="1"/>
  <c r="CJ118" i="7" s="1"/>
  <c r="CN23" i="7"/>
  <c r="CN111" i="7" s="1"/>
  <c r="CN118" i="7" s="1"/>
  <c r="CN194" i="7"/>
  <c r="CN195" i="7" s="1"/>
  <c r="CR164" i="7"/>
  <c r="CR23" i="7"/>
  <c r="CR111" i="7" s="1"/>
  <c r="CR118" i="7" s="1"/>
  <c r="CR194" i="7"/>
  <c r="CZ164" i="7"/>
  <c r="CZ194" i="7"/>
  <c r="CZ23" i="7"/>
  <c r="CZ111" i="7" s="1"/>
  <c r="CZ118" i="7" s="1"/>
  <c r="DD23" i="7"/>
  <c r="DD194" i="7"/>
  <c r="DD195" i="7" s="1"/>
  <c r="DH164" i="7"/>
  <c r="DH23" i="7"/>
  <c r="DH111" i="7" s="1"/>
  <c r="DH118" i="7" s="1"/>
  <c r="DH194" i="7"/>
  <c r="R41" i="7"/>
  <c r="CS42" i="7"/>
  <c r="O46" i="7"/>
  <c r="N47" i="7"/>
  <c r="N48" i="7"/>
  <c r="CB65" i="7"/>
  <c r="CB61" i="7"/>
  <c r="DD65" i="7"/>
  <c r="DE65" i="7"/>
  <c r="N55" i="7"/>
  <c r="CC61" i="7"/>
  <c r="O55" i="7"/>
  <c r="CH65" i="7"/>
  <c r="P55" i="7"/>
  <c r="CK61" i="7"/>
  <c r="CC65" i="7"/>
  <c r="CN61" i="7"/>
  <c r="CV61" i="7"/>
  <c r="DD61" i="7"/>
  <c r="CD102" i="7"/>
  <c r="CE102" i="7" s="1"/>
  <c r="CF102" i="7" s="1"/>
  <c r="CG102" i="7" s="1"/>
  <c r="N102" i="7"/>
  <c r="DJ97" i="7"/>
  <c r="DG72" i="6" s="1"/>
  <c r="DG73" i="6" s="1"/>
  <c r="V13" i="7"/>
  <c r="V90" i="7" s="1"/>
  <c r="DI90" i="7"/>
  <c r="DI62" i="8"/>
  <c r="V18" i="7"/>
  <c r="DI20" i="7"/>
  <c r="DI74" i="7"/>
  <c r="V49" i="7"/>
  <c r="DK163" i="7"/>
  <c r="DK171" i="7" s="1"/>
  <c r="DK23" i="7"/>
  <c r="DK111" i="7" s="1"/>
  <c r="DK118" i="7" s="1"/>
  <c r="DK196" i="7"/>
  <c r="O72" i="6"/>
  <c r="P74" i="6"/>
  <c r="P94" i="8" s="1"/>
  <c r="CC82" i="7"/>
  <c r="CC90" i="7" s="1"/>
  <c r="CC103" i="7" s="1"/>
  <c r="CC104" i="7" s="1"/>
  <c r="CK82" i="7"/>
  <c r="CO82" i="7"/>
  <c r="CO90" i="7" s="1"/>
  <c r="CS82" i="7"/>
  <c r="CW82" i="7"/>
  <c r="CW90" i="7" s="1"/>
  <c r="CJ102" i="22" s="1"/>
  <c r="DA82" i="7"/>
  <c r="DA87" i="7" s="1"/>
  <c r="DE82" i="7"/>
  <c r="DJ20" i="7"/>
  <c r="DJ33" i="7" s="1"/>
  <c r="DJ34" i="7" s="1"/>
  <c r="W65" i="7"/>
  <c r="CF42" i="7"/>
  <c r="CF50" i="7" s="1"/>
  <c r="CJ42" i="7"/>
  <c r="CJ50" i="7" s="1"/>
  <c r="CR42" i="7"/>
  <c r="CV42" i="7"/>
  <c r="DD42" i="7"/>
  <c r="DD50" i="7" s="1"/>
  <c r="DH42" i="7"/>
  <c r="DH50" i="7" s="1"/>
  <c r="CK42" i="7"/>
  <c r="CK50" i="7" s="1"/>
  <c r="CO42" i="7"/>
  <c r="CO50" i="7" s="1"/>
  <c r="DE42" i="7"/>
  <c r="DE50" i="7" s="1"/>
  <c r="BZ42" i="7"/>
  <c r="BZ50" i="7" s="1"/>
  <c r="CH42" i="7"/>
  <c r="CH50" i="7" s="1"/>
  <c r="CL42" i="7"/>
  <c r="CL50" i="7" s="1"/>
  <c r="CP42" i="7"/>
  <c r="CP50" i="7" s="1"/>
  <c r="CX42" i="7"/>
  <c r="CX50" i="7" s="1"/>
  <c r="DB42" i="7"/>
  <c r="DB50" i="7" s="1"/>
  <c r="CU73" i="7"/>
  <c r="Q82" i="7"/>
  <c r="Q90" i="7" s="1"/>
  <c r="CD20" i="7"/>
  <c r="CL20" i="7"/>
  <c r="CT20" i="7"/>
  <c r="CX20" i="7"/>
  <c r="DC27" i="7"/>
  <c r="DC113" i="7" s="1"/>
  <c r="CK27" i="7"/>
  <c r="CW27" i="7"/>
  <c r="CW113" i="7" s="1"/>
  <c r="X60" i="8"/>
  <c r="W62" i="8"/>
  <c r="V40" i="7"/>
  <c r="DI42" i="7"/>
  <c r="DI50" i="7" s="1"/>
  <c r="DI61" i="7"/>
  <c r="DI87" i="7" s="1"/>
  <c r="V56" i="7"/>
  <c r="V61" i="7" s="1"/>
  <c r="V87" i="7" s="1"/>
  <c r="CF167" i="7"/>
  <c r="CE172" i="7"/>
  <c r="DK181" i="7"/>
  <c r="DL182" i="7" s="1"/>
  <c r="DJ193" i="7"/>
  <c r="R48" i="7"/>
  <c r="S48" i="7"/>
  <c r="CD74" i="7"/>
  <c r="DB74" i="7"/>
  <c r="DI113" i="7"/>
  <c r="V27" i="7"/>
  <c r="V196" i="7"/>
  <c r="DI194" i="7"/>
  <c r="V22" i="7"/>
  <c r="V194" i="7" s="1"/>
  <c r="DI164" i="7"/>
  <c r="DI23" i="7"/>
  <c r="DN97" i="7"/>
  <c r="DK72" i="6" s="1"/>
  <c r="DM62" i="8"/>
  <c r="CE197" i="7"/>
  <c r="W61" i="7"/>
  <c r="CN167" i="7"/>
  <c r="CM172" i="7"/>
  <c r="CA82" i="7"/>
  <c r="CA42" i="7"/>
  <c r="CA76" i="7" s="1"/>
  <c r="CA112" i="7" s="1"/>
  <c r="CA119" i="7" s="1"/>
  <c r="CI82" i="7"/>
  <c r="CI90" i="7" s="1"/>
  <c r="CI42" i="7"/>
  <c r="CI50" i="7" s="1"/>
  <c r="CI62" i="7" s="1"/>
  <c r="CM82" i="7"/>
  <c r="CM42" i="7"/>
  <c r="CM50" i="7" s="1"/>
  <c r="CQ82" i="7"/>
  <c r="CQ42" i="7"/>
  <c r="CY82" i="7"/>
  <c r="CY42" i="7"/>
  <c r="CY50" i="7" s="1"/>
  <c r="DC82" i="7"/>
  <c r="DC83" i="7" s="1"/>
  <c r="DC85" i="7" s="1"/>
  <c r="DC42" i="7"/>
  <c r="DC50" i="7" s="1"/>
  <c r="DG82" i="7"/>
  <c r="DG42" i="7"/>
  <c r="DG50" i="7" s="1"/>
  <c r="O40" i="7"/>
  <c r="CG42" i="7"/>
  <c r="CG50" i="7" s="1"/>
  <c r="CW42" i="7"/>
  <c r="CW50" i="7" s="1"/>
  <c r="S40" i="7"/>
  <c r="T40" i="7"/>
  <c r="T42" i="7" s="1"/>
  <c r="T50" i="7" s="1"/>
  <c r="T51" i="7" s="1"/>
  <c r="DA42" i="7"/>
  <c r="DA50" i="7" s="1"/>
  <c r="Q55" i="7"/>
  <c r="Q61" i="7" s="1"/>
  <c r="CO61" i="7"/>
  <c r="CO65" i="7"/>
  <c r="R55" i="7"/>
  <c r="CS65" i="7"/>
  <c r="CF65" i="7"/>
  <c r="CG65" i="7"/>
  <c r="CK65" i="7"/>
  <c r="CJ65" i="7"/>
  <c r="CJ61" i="7"/>
  <c r="CR65" i="7"/>
  <c r="CR61" i="7"/>
  <c r="CZ65" i="7"/>
  <c r="CZ61" i="7"/>
  <c r="DH65" i="7"/>
  <c r="DH61" i="7"/>
  <c r="O59" i="7"/>
  <c r="CG61" i="7"/>
  <c r="CS94" i="8"/>
  <c r="CS84" i="7"/>
  <c r="CW94" i="8"/>
  <c r="CW84" i="7"/>
  <c r="DA84" i="7"/>
  <c r="DA94" i="8"/>
  <c r="CC62" i="8"/>
  <c r="N13" i="7"/>
  <c r="CG62" i="8"/>
  <c r="O13" i="7"/>
  <c r="P13" i="7"/>
  <c r="CK62" i="8"/>
  <c r="DD97" i="7"/>
  <c r="DA72" i="6" s="1"/>
  <c r="DA73" i="6" s="1"/>
  <c r="DC62" i="8"/>
  <c r="DH97" i="7"/>
  <c r="DG62" i="8"/>
  <c r="N16" i="7"/>
  <c r="CC70" i="7"/>
  <c r="O16" i="7"/>
  <c r="O70" i="7" s="1"/>
  <c r="CG20" i="7"/>
  <c r="CG70" i="7"/>
  <c r="P16" i="7"/>
  <c r="CK20" i="7"/>
  <c r="Q16" i="7"/>
  <c r="Q20" i="7" s="1"/>
  <c r="CO20" i="7"/>
  <c r="S16" i="7"/>
  <c r="CW20" i="7"/>
  <c r="T16" i="7"/>
  <c r="T20" i="7" s="1"/>
  <c r="DA20" i="7"/>
  <c r="U16" i="7"/>
  <c r="DE20" i="7"/>
  <c r="CH72" i="7"/>
  <c r="CH20" i="7"/>
  <c r="CU20" i="7"/>
  <c r="DC20" i="7"/>
  <c r="DG20" i="7"/>
  <c r="CF20" i="7"/>
  <c r="CF71" i="7"/>
  <c r="CJ20" i="7"/>
  <c r="CN20" i="7"/>
  <c r="CV20" i="7"/>
  <c r="CV33" i="7" s="1"/>
  <c r="CV34" i="7" s="1"/>
  <c r="CZ20" i="7"/>
  <c r="DD20" i="7"/>
  <c r="CC163" i="7"/>
  <c r="CC23" i="7"/>
  <c r="N21" i="7"/>
  <c r="O21" i="7"/>
  <c r="CG163" i="7"/>
  <c r="CG23" i="7"/>
  <c r="CG111" i="7" s="1"/>
  <c r="CG118" i="7" s="1"/>
  <c r="P21" i="7"/>
  <c r="CK196" i="7"/>
  <c r="CK163" i="7"/>
  <c r="Q21" i="7"/>
  <c r="Q196" i="7" s="1"/>
  <c r="CO163" i="7"/>
  <c r="CO23" i="7"/>
  <c r="CO111" i="7" s="1"/>
  <c r="CO118" i="7" s="1"/>
  <c r="R21" i="7"/>
  <c r="CS196" i="7"/>
  <c r="CS163" i="7"/>
  <c r="CS23" i="7"/>
  <c r="CS111" i="7" s="1"/>
  <c r="CS118" i="7" s="1"/>
  <c r="T21" i="7"/>
  <c r="T196" i="7" s="1"/>
  <c r="DA196" i="7"/>
  <c r="DA23" i="7"/>
  <c r="DA111" i="7" s="1"/>
  <c r="DA118" i="7" s="1"/>
  <c r="DA163" i="7"/>
  <c r="U21" i="7"/>
  <c r="U23" i="7" s="1"/>
  <c r="U111" i="7" s="1"/>
  <c r="U118" i="7" s="1"/>
  <c r="DE163" i="7"/>
  <c r="DE23" i="7"/>
  <c r="DE111" i="7" s="1"/>
  <c r="DE118" i="7" s="1"/>
  <c r="BZ164" i="7"/>
  <c r="BZ181" i="7" s="1"/>
  <c r="BZ23" i="7"/>
  <c r="BZ111" i="7" s="1"/>
  <c r="BZ118" i="7" s="1"/>
  <c r="CD164" i="7"/>
  <c r="CD23" i="7"/>
  <c r="CD111" i="7" s="1"/>
  <c r="CD118" i="7" s="1"/>
  <c r="CL194" i="7"/>
  <c r="CL23" i="7"/>
  <c r="CL164" i="7"/>
  <c r="CP23" i="7"/>
  <c r="CP111" i="7" s="1"/>
  <c r="CP118" i="7" s="1"/>
  <c r="CP194" i="7"/>
  <c r="CP195" i="7" s="1"/>
  <c r="CT194" i="7"/>
  <c r="CT164" i="7"/>
  <c r="CT23" i="7"/>
  <c r="CT111" i="7" s="1"/>
  <c r="CT118" i="7" s="1"/>
  <c r="DB23" i="7"/>
  <c r="DB194" i="7"/>
  <c r="DB164" i="7"/>
  <c r="DF164" i="7"/>
  <c r="DF23" i="7"/>
  <c r="DF111" i="7" s="1"/>
  <c r="DF118" i="7" s="1"/>
  <c r="S54" i="7"/>
  <c r="CW61" i="7"/>
  <c r="CW65" i="7"/>
  <c r="DB65" i="7"/>
  <c r="DA65" i="7"/>
  <c r="T54" i="7"/>
  <c r="U54" i="7"/>
  <c r="DF65" i="7"/>
  <c r="DE61" i="7"/>
  <c r="U82" i="7"/>
  <c r="S21" i="7"/>
  <c r="S196" i="7" s="1"/>
  <c r="BZ61" i="7"/>
  <c r="CA65" i="7"/>
  <c r="BZ65" i="7"/>
  <c r="CD61" i="7"/>
  <c r="CD65" i="7"/>
  <c r="CI65" i="7"/>
  <c r="CH61" i="7"/>
  <c r="CL65" i="7"/>
  <c r="CM65" i="7"/>
  <c r="CP61" i="7"/>
  <c r="CP65" i="7"/>
  <c r="CQ65" i="7"/>
  <c r="CT61" i="7"/>
  <c r="CT65" i="7"/>
  <c r="P72" i="6"/>
  <c r="CJ27" i="7"/>
  <c r="CJ113" i="7" s="1"/>
  <c r="CN27" i="7"/>
  <c r="CN113" i="7" s="1"/>
  <c r="DJ82" i="7"/>
  <c r="DJ87" i="7" s="1"/>
  <c r="CF61" i="7"/>
  <c r="BZ82" i="7"/>
  <c r="CD82" i="7"/>
  <c r="CH82" i="7"/>
  <c r="CL82" i="7"/>
  <c r="CL90" i="7" s="1"/>
  <c r="CP82" i="7"/>
  <c r="CT82" i="7"/>
  <c r="CT90" i="7" s="1"/>
  <c r="CX82" i="7"/>
  <c r="DD72" i="6"/>
  <c r="DD73" i="6" s="1"/>
  <c r="W23" i="7"/>
  <c r="W111" i="7" s="1"/>
  <c r="W118" i="7" s="1"/>
  <c r="CB73" i="6"/>
  <c r="CF73" i="6"/>
  <c r="CJ73" i="6"/>
  <c r="R72" i="6"/>
  <c r="CV73" i="6"/>
  <c r="CG27" i="7"/>
  <c r="CZ27" i="7"/>
  <c r="DM27" i="7"/>
  <c r="DM113" i="7" s="1"/>
  <c r="S74" i="6"/>
  <c r="S84" i="7" s="1"/>
  <c r="CB82" i="7"/>
  <c r="CF82" i="7"/>
  <c r="CJ82" i="7"/>
  <c r="CJ90" i="7" s="1"/>
  <c r="CN82" i="7"/>
  <c r="CN90" i="7" s="1"/>
  <c r="CR82" i="7"/>
  <c r="CV82" i="7"/>
  <c r="CZ82" i="7"/>
  <c r="CZ90" i="7" s="1"/>
  <c r="DD82" i="7"/>
  <c r="DD90" i="7" s="1"/>
  <c r="DH82" i="7"/>
  <c r="DA101" i="7"/>
  <c r="CZ72" i="6"/>
  <c r="P88" i="8"/>
  <c r="O32" i="7"/>
  <c r="O31" i="7" s="1"/>
  <c r="CZ88" i="8"/>
  <c r="DA88" i="8"/>
  <c r="CX88" i="8"/>
  <c r="CY88" i="8"/>
  <c r="DI72" i="6"/>
  <c r="DB177" i="7"/>
  <c r="DA195" i="7"/>
  <c r="T82" i="7"/>
  <c r="CF182" i="7"/>
  <c r="CF195" i="7"/>
  <c r="CG177" i="7"/>
  <c r="N42" i="7"/>
  <c r="DI197" i="7"/>
  <c r="DK27" i="7"/>
  <c r="DK61" i="7"/>
  <c r="T61" i="7"/>
  <c r="DM65" i="7"/>
  <c r="DM61" i="7"/>
  <c r="CF76" i="7"/>
  <c r="BZ27" i="7"/>
  <c r="CD27" i="7"/>
  <c r="CP27" i="7"/>
  <c r="CT27" i="7"/>
  <c r="CX27" i="7"/>
  <c r="DF27" i="7"/>
  <c r="DF113" i="7" s="1"/>
  <c r="S38" i="7"/>
  <c r="S82" i="7" s="1"/>
  <c r="CU33" i="7"/>
  <c r="CU113" i="7"/>
  <c r="CS102" i="22"/>
  <c r="U27" i="7"/>
  <c r="CB113" i="7"/>
  <c r="T28" i="7"/>
  <c r="U28" i="7" s="1"/>
  <c r="W20" i="7"/>
  <c r="CV177" i="7"/>
  <c r="CU195" i="7"/>
  <c r="CV182" i="7"/>
  <c r="DG167" i="7"/>
  <c r="DF197" i="7"/>
  <c r="CL177" i="7"/>
  <c r="O47" i="7"/>
  <c r="P46" i="7"/>
  <c r="DM177" i="7"/>
  <c r="CW177" i="7"/>
  <c r="CV195" i="7"/>
  <c r="N31" i="7"/>
  <c r="CZ97" i="7"/>
  <c r="CW72" i="6" s="1"/>
  <c r="DL163" i="7"/>
  <c r="O82" i="7"/>
  <c r="R82" i="7"/>
  <c r="DL27" i="7"/>
  <c r="DN62" i="8"/>
  <c r="H30" i="5"/>
  <c r="DJ169" i="7"/>
  <c r="DJ175" i="7" s="1"/>
  <c r="V83" i="7"/>
  <c r="CG101" i="7"/>
  <c r="CO101" i="7"/>
  <c r="CW101" i="7"/>
  <c r="DM20" i="7"/>
  <c r="CI27" i="7"/>
  <c r="N82" i="7"/>
  <c r="T64" i="7"/>
  <c r="DM42" i="7"/>
  <c r="CG40" i="11"/>
  <c r="CC212" i="13"/>
  <c r="BV16" i="13"/>
  <c r="CN23" i="13"/>
  <c r="CD128" i="22"/>
  <c r="DB40" i="11"/>
  <c r="CO357" i="13"/>
  <c r="CP357" i="13"/>
  <c r="CO15" i="13"/>
  <c r="CN14" i="13"/>
  <c r="DC375" i="13"/>
  <c r="DB368" i="13"/>
  <c r="DC369" i="13"/>
  <c r="CP29" i="13"/>
  <c r="Q29" i="13"/>
  <c r="CK40" i="11"/>
  <c r="CR322" i="13"/>
  <c r="CR40" i="11"/>
  <c r="CP306" i="13"/>
  <c r="CH284" i="13"/>
  <c r="CL284" i="13"/>
  <c r="CB105" i="13"/>
  <c r="BX101" i="13"/>
  <c r="BY100" i="13"/>
  <c r="BY101" i="13" s="1"/>
  <c r="BW101" i="13"/>
  <c r="BW79" i="22"/>
  <c r="CJ82" i="13"/>
  <c r="CJ88" i="13"/>
  <c r="CJ110" i="17"/>
  <c r="CD13" i="11"/>
  <c r="DJ35" i="13"/>
  <c r="DJ50" i="13" s="1"/>
  <c r="V34" i="13"/>
  <c r="CW40" i="11"/>
  <c r="DI20" i="16"/>
  <c r="CZ40" i="17"/>
  <c r="CJ356" i="13"/>
  <c r="DC40" i="11"/>
  <c r="CK15" i="13"/>
  <c r="CI116" i="13"/>
  <c r="S471" i="12"/>
  <c r="BV94" i="13"/>
  <c r="BV55" i="12"/>
  <c r="BV46" i="17" s="1"/>
  <c r="BJ437" i="12"/>
  <c r="BF437" i="12"/>
  <c r="BY136" i="17"/>
  <c r="BY116" i="17" s="1"/>
  <c r="AY438" i="12"/>
  <c r="CG74" i="12"/>
  <c r="CG75" i="12" s="1"/>
  <c r="CE146" i="17"/>
  <c r="CB301" i="12"/>
  <c r="CB339" i="12" s="1"/>
  <c r="AZ439" i="12"/>
  <c r="BZ74" i="12"/>
  <c r="BZ76" i="12" s="1"/>
  <c r="CD74" i="12"/>
  <c r="BR184" i="12"/>
  <c r="DK22" i="12"/>
  <c r="CG198" i="12"/>
  <c r="CG176" i="12" s="1"/>
  <c r="CT301" i="12"/>
  <c r="CM194" i="12"/>
  <c r="CM203" i="12" s="1"/>
  <c r="CE301" i="12"/>
  <c r="CE339" i="12" s="1"/>
  <c r="W181" i="12"/>
  <c r="DL454" i="12"/>
  <c r="CF176" i="12"/>
  <c r="DK467" i="12"/>
  <c r="DO468" i="12" s="1"/>
  <c r="CN69" i="12"/>
  <c r="CA56" i="22" s="1"/>
  <c r="R97" i="22"/>
  <c r="W381" i="12"/>
  <c r="W390" i="12" s="1"/>
  <c r="CN53" i="11"/>
  <c r="CN54" i="11" s="1"/>
  <c r="CN55" i="11" s="1"/>
  <c r="DK53" i="12"/>
  <c r="DK358" i="12"/>
  <c r="DK363" i="12" s="1"/>
  <c r="DK469" i="12" s="1"/>
  <c r="CQ305" i="12"/>
  <c r="CL583" i="12"/>
  <c r="CL661" i="12" s="1"/>
  <c r="W265" i="12"/>
  <c r="W360" i="12"/>
  <c r="I52" i="12"/>
  <c r="J52" i="12"/>
  <c r="P85" i="12"/>
  <c r="CV292" i="12"/>
  <c r="CV294" i="12" s="1"/>
  <c r="CI138" i="22" s="1"/>
  <c r="Q197" i="12"/>
  <c r="Q196" i="12" s="1"/>
  <c r="CA212" i="12"/>
  <c r="CA287" i="12" s="1"/>
  <c r="DI315" i="12"/>
  <c r="BE184" i="12"/>
  <c r="BY184" i="12"/>
  <c r="CZ50" i="12"/>
  <c r="P524" i="12"/>
  <c r="O566" i="12"/>
  <c r="CT27" i="16"/>
  <c r="T371" i="12"/>
  <c r="U371" i="12"/>
  <c r="CD463" i="12"/>
  <c r="CM50" i="12"/>
  <c r="T368" i="12"/>
  <c r="S374" i="12"/>
  <c r="U374" i="12"/>
  <c r="S452" i="12"/>
  <c r="S453" i="12" s="1"/>
  <c r="T452" i="12"/>
  <c r="U452" i="12"/>
  <c r="U453" i="12" s="1"/>
  <c r="CL50" i="12"/>
  <c r="CU50" i="12"/>
  <c r="DD50" i="12"/>
  <c r="CJ170" i="12"/>
  <c r="CF112" i="12"/>
  <c r="CJ186" i="12" s="1"/>
  <c r="CF189" i="12"/>
  <c r="CJ189" i="12"/>
  <c r="BH58" i="12"/>
  <c r="T84" i="12"/>
  <c r="T114" i="8" s="1"/>
  <c r="DB84" i="12"/>
  <c r="DC84" i="12" s="1"/>
  <c r="DA114" i="8"/>
  <c r="CN328" i="12"/>
  <c r="CN339" i="12"/>
  <c r="CW114" i="8"/>
  <c r="S84" i="12"/>
  <c r="S114" i="8" s="1"/>
  <c r="AZ311" i="12"/>
  <c r="CI198" i="12"/>
  <c r="CI204" i="12"/>
  <c r="CI203" i="12"/>
  <c r="DP113" i="8"/>
  <c r="DQ113" i="8"/>
  <c r="CJ75" i="12"/>
  <c r="BT570" i="12"/>
  <c r="BU569" i="12" s="1"/>
  <c r="BU570" i="12" s="1"/>
  <c r="BU571" i="12" s="1"/>
  <c r="CG203" i="12"/>
  <c r="O203" i="12" s="1"/>
  <c r="CG204" i="12"/>
  <c r="O204" i="12" s="1"/>
  <c r="CY299" i="12"/>
  <c r="CU284" i="12"/>
  <c r="CY136" i="17"/>
  <c r="CY116" i="17" s="1"/>
  <c r="CR46" i="17"/>
  <c r="CR47" i="17" s="1"/>
  <c r="CL221" i="12"/>
  <c r="CV299" i="12"/>
  <c r="CO222" i="12"/>
  <c r="CO194" i="12"/>
  <c r="Q194" i="12" s="1"/>
  <c r="CO221" i="12"/>
  <c r="BH136" i="17"/>
  <c r="BH65" i="12"/>
  <c r="BH54" i="12"/>
  <c r="L95" i="22"/>
  <c r="CB43" i="12"/>
  <c r="S30" i="12"/>
  <c r="DB347" i="12"/>
  <c r="CB563" i="12"/>
  <c r="CB566" i="12" s="1"/>
  <c r="CA566" i="12"/>
  <c r="BV571" i="12"/>
  <c r="BW569" i="12"/>
  <c r="BW570" i="12" s="1"/>
  <c r="BW571" i="12" s="1"/>
  <c r="CL593" i="12"/>
  <c r="CL595" i="12" s="1"/>
  <c r="CM593" i="12" s="1"/>
  <c r="CM595" i="12" s="1"/>
  <c r="CN593" i="12" s="1"/>
  <c r="P595" i="12"/>
  <c r="Q593" i="12" s="1"/>
  <c r="CP603" i="12"/>
  <c r="CQ601" i="12" s="1"/>
  <c r="CQ603" i="12" s="1"/>
  <c r="CR601" i="12" s="1"/>
  <c r="CR603" i="12" s="1"/>
  <c r="CS601" i="12" s="1"/>
  <c r="CM672" i="12"/>
  <c r="CN625" i="12"/>
  <c r="CN627" i="12" s="1"/>
  <c r="CO625" i="12" s="1"/>
  <c r="T657" i="12"/>
  <c r="U657" i="12" s="1"/>
  <c r="T633" i="12"/>
  <c r="DD715" i="12"/>
  <c r="DD720" i="12"/>
  <c r="DD726" i="12" s="1"/>
  <c r="DD464" i="12"/>
  <c r="DD466" i="12" s="1"/>
  <c r="DD467" i="12" s="1"/>
  <c r="CT726" i="12"/>
  <c r="S726" i="12" s="1"/>
  <c r="CT721" i="12"/>
  <c r="CT762" i="12" s="1"/>
  <c r="CT764" i="12" s="1"/>
  <c r="CX726" i="12"/>
  <c r="T720" i="12"/>
  <c r="CX721" i="12"/>
  <c r="CX762" i="12" s="1"/>
  <c r="CX764" i="12" s="1"/>
  <c r="CX767" i="12" s="1"/>
  <c r="DB726" i="12"/>
  <c r="DB728" i="12" s="1"/>
  <c r="DB747" i="12" s="1"/>
  <c r="DB749" i="12" s="1"/>
  <c r="DC721" i="12"/>
  <c r="DC762" i="12" s="1"/>
  <c r="DC764" i="12" s="1"/>
  <c r="BX49" i="11"/>
  <c r="O93" i="13"/>
  <c r="CB49" i="11"/>
  <c r="P93" i="13"/>
  <c r="CH133" i="13"/>
  <c r="CX40" i="17"/>
  <c r="CR49" i="11"/>
  <c r="T93" i="13"/>
  <c r="DC49" i="11"/>
  <c r="DI27" i="16"/>
  <c r="DI292" i="12"/>
  <c r="DI294" i="12" s="1"/>
  <c r="CV138" i="22" s="1"/>
  <c r="DI257" i="12"/>
  <c r="DM463" i="12"/>
  <c r="DI463" i="12"/>
  <c r="F24" i="37"/>
  <c r="DI246" i="12"/>
  <c r="DI281" i="12" s="1"/>
  <c r="DI346" i="12"/>
  <c r="DE425" i="12"/>
  <c r="DE424" i="12" s="1"/>
  <c r="U424" i="12" s="1"/>
  <c r="DE394" i="12"/>
  <c r="DE429" i="12" s="1"/>
  <c r="DE430" i="12" s="1"/>
  <c r="DJ55" i="12"/>
  <c r="DJ53" i="12"/>
  <c r="DJ27" i="16"/>
  <c r="W29" i="12"/>
  <c r="DJ30" i="12"/>
  <c r="DJ256" i="12"/>
  <c r="CW117" i="22"/>
  <c r="DJ726" i="12"/>
  <c r="DJ721" i="12"/>
  <c r="DJ762" i="12" s="1"/>
  <c r="CR467" i="12"/>
  <c r="CR462" i="12"/>
  <c r="CA694" i="12"/>
  <c r="BK301" i="12"/>
  <c r="BL303" i="12" s="1"/>
  <c r="BK309" i="12"/>
  <c r="BO301" i="12"/>
  <c r="BO303" i="12" s="1"/>
  <c r="BO309" i="12"/>
  <c r="CA25" i="12"/>
  <c r="BN84" i="22"/>
  <c r="CE11" i="12"/>
  <c r="CQ11" i="12"/>
  <c r="BQ13" i="12"/>
  <c r="BU13" i="12"/>
  <c r="CH20" i="12"/>
  <c r="F60" i="12"/>
  <c r="F62" i="12" s="1"/>
  <c r="CC53" i="12"/>
  <c r="DE55" i="12"/>
  <c r="DE46" i="17" s="1"/>
  <c r="DI53" i="12"/>
  <c r="CB58" i="12"/>
  <c r="CC58" i="12"/>
  <c r="N94" i="13"/>
  <c r="R94" i="13"/>
  <c r="BC58" i="12"/>
  <c r="BB55" i="12"/>
  <c r="BB46" i="17" s="1"/>
  <c r="BB59" i="17" s="1"/>
  <c r="CJ113" i="8"/>
  <c r="P83" i="12"/>
  <c r="P113" i="8" s="1"/>
  <c r="BS537" i="12"/>
  <c r="BS96" i="12"/>
  <c r="BT92" i="12"/>
  <c r="BJ194" i="12"/>
  <c r="BJ198" i="12" s="1"/>
  <c r="BK101" i="12"/>
  <c r="BN194" i="12"/>
  <c r="BN198" i="12" s="1"/>
  <c r="BO101" i="12"/>
  <c r="CQ118" i="22"/>
  <c r="CF148" i="12"/>
  <c r="CF168" i="12"/>
  <c r="CF170" i="12" s="1"/>
  <c r="CJ148" i="12"/>
  <c r="CP292" i="12"/>
  <c r="CT293" i="12" s="1"/>
  <c r="CT157" i="12"/>
  <c r="DD157" i="12"/>
  <c r="CT257" i="12"/>
  <c r="CT264" i="12"/>
  <c r="CX257" i="12"/>
  <c r="CX292" i="12"/>
  <c r="CX264" i="12"/>
  <c r="DB257" i="12"/>
  <c r="DB292" i="12"/>
  <c r="DB294" i="12" s="1"/>
  <c r="CO138" i="22" s="1"/>
  <c r="DF257" i="12"/>
  <c r="DF264" i="12"/>
  <c r="DF292" i="12"/>
  <c r="DJ293" i="12" s="1"/>
  <c r="O97" i="22"/>
  <c r="O116" i="22"/>
  <c r="U361" i="12"/>
  <c r="T381" i="12"/>
  <c r="T379" i="12" s="1"/>
  <c r="CK452" i="12"/>
  <c r="CK255" i="12"/>
  <c r="BX117" i="22" s="1"/>
  <c r="CK263" i="12"/>
  <c r="CK361" i="12"/>
  <c r="CK359" i="12" s="1"/>
  <c r="CJ286" i="12"/>
  <c r="CM209" i="12"/>
  <c r="BZ117" i="22"/>
  <c r="CM256" i="12"/>
  <c r="CD117" i="22"/>
  <c r="R255" i="12"/>
  <c r="CQ256" i="12"/>
  <c r="CO246" i="12" s="1"/>
  <c r="CO281" i="12" s="1"/>
  <c r="CU256" i="12"/>
  <c r="CH155" i="22" s="1"/>
  <c r="CH117" i="22"/>
  <c r="CL117" i="22"/>
  <c r="DC256" i="12"/>
  <c r="DE154" i="15" s="1"/>
  <c r="CP117" i="22"/>
  <c r="CT117" i="22"/>
  <c r="DG256" i="12"/>
  <c r="CT155" i="22" s="1"/>
  <c r="CA141" i="22"/>
  <c r="CN211" i="12"/>
  <c r="CI141" i="22"/>
  <c r="CW288" i="12"/>
  <c r="CV180" i="12"/>
  <c r="CM141" i="22"/>
  <c r="DA288" i="12"/>
  <c r="CZ288" i="12"/>
  <c r="CQ141" i="22"/>
  <c r="DD180" i="12"/>
  <c r="CU141" i="22"/>
  <c r="DH180" i="12"/>
  <c r="BZ107" i="12"/>
  <c r="BZ168" i="12"/>
  <c r="BZ170" i="12" s="1"/>
  <c r="CD188" i="12"/>
  <c r="CD118" i="12"/>
  <c r="CH188" i="12"/>
  <c r="CH118" i="12"/>
  <c r="N214" i="12"/>
  <c r="BL116" i="22"/>
  <c r="BY211" i="12"/>
  <c r="BY215" i="12" s="1"/>
  <c r="CD215" i="12"/>
  <c r="CD212" i="12"/>
  <c r="CD287" i="12" s="1"/>
  <c r="CH215" i="12"/>
  <c r="CH212" i="12"/>
  <c r="P212" i="12" s="1"/>
  <c r="N240" i="12"/>
  <c r="N241" i="12"/>
  <c r="CV344" i="12"/>
  <c r="CZ345" i="12" s="1"/>
  <c r="S246" i="12"/>
  <c r="S327" i="12" s="1"/>
  <c r="DA346" i="12"/>
  <c r="DA347" i="12" s="1"/>
  <c r="DA246" i="12"/>
  <c r="DA281" i="12" s="1"/>
  <c r="DE246" i="12"/>
  <c r="DE344" i="12" s="1"/>
  <c r="DE346" i="12"/>
  <c r="O133" i="22"/>
  <c r="T320" i="12"/>
  <c r="BW133" i="22"/>
  <c r="P319" i="12"/>
  <c r="CO329" i="12"/>
  <c r="CO332" i="12"/>
  <c r="CO335" i="12" s="1"/>
  <c r="CS329" i="12"/>
  <c r="CS332" i="12"/>
  <c r="CS326" i="12"/>
  <c r="CW329" i="12"/>
  <c r="CW326" i="12"/>
  <c r="CW327" i="12"/>
  <c r="CW332" i="12"/>
  <c r="DA329" i="12"/>
  <c r="DA332" i="12"/>
  <c r="CR347" i="12"/>
  <c r="CV347" i="12"/>
  <c r="BW349" i="12"/>
  <c r="BV351" i="12"/>
  <c r="DC376" i="12"/>
  <c r="DC377" i="12" s="1"/>
  <c r="T373" i="12"/>
  <c r="T374" i="12" s="1"/>
  <c r="DB377" i="12"/>
  <c r="DH380" i="12"/>
  <c r="DH389" i="12" s="1"/>
  <c r="DH391" i="12" s="1"/>
  <c r="DH390" i="12"/>
  <c r="R452" i="12"/>
  <c r="R453" i="12" s="1"/>
  <c r="CQ462" i="12"/>
  <c r="T453" i="12"/>
  <c r="DG462" i="12"/>
  <c r="W452" i="12"/>
  <c r="W453" i="12" s="1"/>
  <c r="CI461" i="12"/>
  <c r="CI463" i="12" s="1"/>
  <c r="P460" i="12"/>
  <c r="BZ463" i="12"/>
  <c r="DC463" i="12"/>
  <c r="DG463" i="12"/>
  <c r="CZ467" i="12"/>
  <c r="Q141" i="22"/>
  <c r="CJ118" i="22"/>
  <c r="CW219" i="12"/>
  <c r="DK329" i="12"/>
  <c r="DK332" i="12"/>
  <c r="DO333" i="12" s="1"/>
  <c r="O504" i="12"/>
  <c r="O510" i="12" s="1"/>
  <c r="CB168" i="12"/>
  <c r="CB170" i="12" s="1"/>
  <c r="AQ65" i="12"/>
  <c r="AQ69" i="12" s="1"/>
  <c r="DK30" i="12"/>
  <c r="BX41" i="11"/>
  <c r="O47" i="12"/>
  <c r="CW344" i="12"/>
  <c r="T447" i="12"/>
  <c r="Q582" i="12"/>
  <c r="BN42" i="12"/>
  <c r="E60" i="12"/>
  <c r="CM214" i="12"/>
  <c r="S519" i="12"/>
  <c r="S524" i="12" s="1"/>
  <c r="S531" i="12"/>
  <c r="T713" i="12"/>
  <c r="DG721" i="12"/>
  <c r="DG762" i="12" s="1"/>
  <c r="CQ611" i="12"/>
  <c r="CR609" i="12" s="1"/>
  <c r="CR611" i="12" s="1"/>
  <c r="CS609" i="12" s="1"/>
  <c r="CN677" i="12"/>
  <c r="CO646" i="12"/>
  <c r="CM113" i="8"/>
  <c r="CO671" i="12"/>
  <c r="CP621" i="12"/>
  <c r="Q623" i="12"/>
  <c r="W692" i="12"/>
  <c r="X692" i="12" s="1"/>
  <c r="Q679" i="12"/>
  <c r="CN83" i="12"/>
  <c r="Q83" i="12" s="1"/>
  <c r="Q113" i="8" s="1"/>
  <c r="CN671" i="12"/>
  <c r="CL677" i="12"/>
  <c r="P603" i="12"/>
  <c r="Q601" i="12" s="1"/>
  <c r="DA449" i="12"/>
  <c r="CM677" i="12"/>
  <c r="CL602" i="12"/>
  <c r="Q602" i="12" s="1"/>
  <c r="CH524" i="12"/>
  <c r="CH532" i="12" s="1"/>
  <c r="CH533" i="12" s="1"/>
  <c r="DG726" i="12"/>
  <c r="DG740" i="12" s="1"/>
  <c r="DG742" i="12" s="1"/>
  <c r="DG743" i="12" s="1"/>
  <c r="DA721" i="12"/>
  <c r="DA762" i="12" s="1"/>
  <c r="DA764" i="12" s="1"/>
  <c r="DA767" i="12" s="1"/>
  <c r="CW721" i="12"/>
  <c r="CW762" i="12" s="1"/>
  <c r="CW764" i="12" s="1"/>
  <c r="CW767" i="12" s="1"/>
  <c r="CG532" i="12"/>
  <c r="DM740" i="12"/>
  <c r="DM742" i="12" s="1"/>
  <c r="DM743" i="12" s="1"/>
  <c r="BY541" i="12"/>
  <c r="DB721" i="12"/>
  <c r="DB762" i="12" s="1"/>
  <c r="CC205" i="12"/>
  <c r="N205" i="12" s="1"/>
  <c r="CC176" i="12"/>
  <c r="N198" i="12"/>
  <c r="BP54" i="12"/>
  <c r="CK218" i="12"/>
  <c r="CK221" i="12" s="1"/>
  <c r="CH221" i="12"/>
  <c r="CH222" i="12"/>
  <c r="DC454" i="12"/>
  <c r="CV430" i="12"/>
  <c r="CV432" i="12" s="1"/>
  <c r="CJ49" i="12"/>
  <c r="CG14" i="6"/>
  <c r="CD14" i="11"/>
  <c r="CJ40" i="12"/>
  <c r="DK444" i="12"/>
  <c r="DO445" i="12" s="1"/>
  <c r="DN55" i="12"/>
  <c r="T629" i="12"/>
  <c r="T356" i="12"/>
  <c r="BV694" i="12"/>
  <c r="BZ694" i="12"/>
  <c r="CH383" i="12"/>
  <c r="CH356" i="12"/>
  <c r="CL694" i="12"/>
  <c r="CL629" i="12"/>
  <c r="CL383" i="12"/>
  <c r="CP383" i="12"/>
  <c r="CP694" i="12"/>
  <c r="CP356" i="12"/>
  <c r="CT383" i="12"/>
  <c r="CT694" i="12"/>
  <c r="CT629" i="12"/>
  <c r="CX694" i="12"/>
  <c r="DB356" i="12"/>
  <c r="DB694" i="12"/>
  <c r="DF694" i="12"/>
  <c r="AX309" i="12"/>
  <c r="AX14" i="12"/>
  <c r="AX301" i="12"/>
  <c r="BB309" i="12"/>
  <c r="BB301" i="12"/>
  <c r="BF301" i="12"/>
  <c r="BF14" i="12"/>
  <c r="BF11" i="12"/>
  <c r="BJ301" i="12"/>
  <c r="BJ11" i="12"/>
  <c r="BR301" i="12"/>
  <c r="BR11" i="12"/>
  <c r="BV301" i="12"/>
  <c r="BV11" i="12"/>
  <c r="BZ25" i="12"/>
  <c r="BZ14" i="12"/>
  <c r="BZ15" i="12" s="1"/>
  <c r="BM84" i="22"/>
  <c r="BQ84" i="22"/>
  <c r="CD25" i="12"/>
  <c r="O25" i="12" s="1"/>
  <c r="CD11" i="12"/>
  <c r="CH11" i="12"/>
  <c r="CH14" i="12"/>
  <c r="CH15" i="12" s="1"/>
  <c r="CL11" i="12"/>
  <c r="CP11" i="12"/>
  <c r="BD436" i="12"/>
  <c r="BD14" i="12"/>
  <c r="BH436" i="12"/>
  <c r="BL436" i="12"/>
  <c r="BL13" i="12"/>
  <c r="BL14" i="12"/>
  <c r="BT436" i="12"/>
  <c r="BT13" i="12"/>
  <c r="BX14" i="12"/>
  <c r="BX13" i="12"/>
  <c r="BX436" i="12"/>
  <c r="CF436" i="12"/>
  <c r="CJ436" i="12"/>
  <c r="P436" i="12" s="1"/>
  <c r="BA436" i="12"/>
  <c r="BA438" i="12" s="1"/>
  <c r="CP25" i="12"/>
  <c r="CP50" i="12" s="1"/>
  <c r="CP298" i="12"/>
  <c r="CP22" i="12"/>
  <c r="CT298" i="12"/>
  <c r="CT22" i="12"/>
  <c r="CX298" i="12"/>
  <c r="DB299" i="12" s="1"/>
  <c r="CX25" i="12"/>
  <c r="DB314" i="12"/>
  <c r="DB315" i="12" s="1"/>
  <c r="DB22" i="12"/>
  <c r="DF298" i="12"/>
  <c r="V298" i="12" s="1"/>
  <c r="DJ22" i="12"/>
  <c r="DF22" i="12"/>
  <c r="DF314" i="12"/>
  <c r="DJ315" i="12" s="1"/>
  <c r="DF25" i="12"/>
  <c r="CU304" i="12"/>
  <c r="CU24" i="12"/>
  <c r="DC304" i="12"/>
  <c r="DC24" i="12"/>
  <c r="DK24" i="12"/>
  <c r="DG304" i="12"/>
  <c r="V23" i="12"/>
  <c r="CN304" i="12"/>
  <c r="CN306" i="12" s="1"/>
  <c r="CR24" i="12"/>
  <c r="CJ301" i="12"/>
  <c r="BW84" i="22"/>
  <c r="CN444" i="12"/>
  <c r="CN449" i="12" s="1"/>
  <c r="CN450" i="12" s="1"/>
  <c r="CN436" i="12"/>
  <c r="CN28" i="12"/>
  <c r="CR433" i="12"/>
  <c r="CR28" i="12"/>
  <c r="CR444" i="12"/>
  <c r="CV28" i="12"/>
  <c r="CV444" i="12"/>
  <c r="CZ433" i="12"/>
  <c r="DD444" i="12"/>
  <c r="DD28" i="12"/>
  <c r="DD433" i="12"/>
  <c r="E15" i="37"/>
  <c r="DH28" i="12"/>
  <c r="E16" i="37" s="1"/>
  <c r="DH444" i="12"/>
  <c r="CS30" i="12"/>
  <c r="DE30" i="12"/>
  <c r="DI30" i="12"/>
  <c r="CJ444" i="12"/>
  <c r="CJ31" i="12"/>
  <c r="CJ433" i="12"/>
  <c r="BP39" i="12"/>
  <c r="BT39" i="12"/>
  <c r="BV23" i="11"/>
  <c r="CB39" i="12"/>
  <c r="CD23" i="11"/>
  <c r="CJ39" i="12"/>
  <c r="P38" i="12"/>
  <c r="CH23" i="11"/>
  <c r="CN471" i="12"/>
  <c r="CN39" i="12"/>
  <c r="CR39" i="12"/>
  <c r="CL23" i="11"/>
  <c r="CV39" i="12"/>
  <c r="CZ39" i="12"/>
  <c r="CZ471" i="12"/>
  <c r="DD39" i="12"/>
  <c r="DH471" i="12"/>
  <c r="DB23" i="11"/>
  <c r="DH16" i="16"/>
  <c r="DH39" i="12"/>
  <c r="BY42" i="12"/>
  <c r="CC42" i="12"/>
  <c r="CA32" i="11"/>
  <c r="CG42" i="12"/>
  <c r="CE32" i="11"/>
  <c r="CK42" i="12"/>
  <c r="CS42" i="12"/>
  <c r="CW42" i="12"/>
  <c r="DA42" i="12"/>
  <c r="CB48" i="12"/>
  <c r="BQ53" i="12"/>
  <c r="BU53" i="12"/>
  <c r="M52" i="12"/>
  <c r="BY53" i="12"/>
  <c r="CA50" i="11"/>
  <c r="CG53" i="12"/>
  <c r="CI50" i="11"/>
  <c r="CS55" i="12"/>
  <c r="CS53" i="12"/>
  <c r="CW55" i="12"/>
  <c r="CW60" i="12"/>
  <c r="CQ50" i="11"/>
  <c r="CW53" i="12"/>
  <c r="CW539" i="12"/>
  <c r="CU50" i="11"/>
  <c r="DA55" i="12"/>
  <c r="DA53" i="12"/>
  <c r="DE53" i="12"/>
  <c r="DE27" i="16"/>
  <c r="CY50" i="11"/>
  <c r="BD100" i="12"/>
  <c r="BD309" i="12"/>
  <c r="BD101" i="12"/>
  <c r="BE309" i="12"/>
  <c r="BE101" i="12"/>
  <c r="BI102" i="12" s="1"/>
  <c r="BH194" i="12"/>
  <c r="BH100" i="12"/>
  <c r="BH309" i="12"/>
  <c r="BL100" i="12"/>
  <c r="BL309" i="12"/>
  <c r="J101" i="12"/>
  <c r="BP309" i="12"/>
  <c r="K101" i="12"/>
  <c r="BT100" i="12"/>
  <c r="BX194" i="12"/>
  <c r="BX101" i="12"/>
  <c r="BX102" i="12" s="1"/>
  <c r="BX100" i="12"/>
  <c r="CB194" i="12"/>
  <c r="CB101" i="12"/>
  <c r="CC101" i="12"/>
  <c r="CC163" i="12" s="1"/>
  <c r="BS37" i="22"/>
  <c r="CF100" i="12"/>
  <c r="CJ100" i="12"/>
  <c r="CP176" i="12"/>
  <c r="CP99" i="12"/>
  <c r="CH127" i="12"/>
  <c r="BU38" i="22"/>
  <c r="CL122" i="12"/>
  <c r="CL177" i="12" s="1"/>
  <c r="BY119" i="22" s="1"/>
  <c r="CL114" i="12"/>
  <c r="CL113" i="12"/>
  <c r="CC38" i="22"/>
  <c r="CP125" i="12"/>
  <c r="CG38" i="22"/>
  <c r="CT186" i="12"/>
  <c r="DC125" i="12"/>
  <c r="DC114" i="12"/>
  <c r="DK186" i="12"/>
  <c r="DG122" i="12"/>
  <c r="DG127" i="12" s="1"/>
  <c r="DG125" i="12"/>
  <c r="BI183" i="12"/>
  <c r="BI184" i="12"/>
  <c r="BM183" i="12"/>
  <c r="BM184" i="12"/>
  <c r="BU183" i="12"/>
  <c r="BU184" i="12"/>
  <c r="CC183" i="12"/>
  <c r="CC184" i="12"/>
  <c r="CG183" i="12"/>
  <c r="CG184" i="12"/>
  <c r="CK184" i="12"/>
  <c r="CK183" i="12"/>
  <c r="BT49" i="11"/>
  <c r="N93" i="13"/>
  <c r="CV49" i="11"/>
  <c r="U93" i="13"/>
  <c r="CZ49" i="11"/>
  <c r="DF27" i="16"/>
  <c r="DI304" i="12"/>
  <c r="DI25" i="12"/>
  <c r="DC32" i="11"/>
  <c r="V41" i="12"/>
  <c r="DI42" i="12"/>
  <c r="CL55" i="12"/>
  <c r="CL60" i="12"/>
  <c r="CL62" i="12" s="1"/>
  <c r="CT539" i="12"/>
  <c r="CT60" i="12"/>
  <c r="CD40" i="17"/>
  <c r="CF14" i="12"/>
  <c r="DI24" i="12"/>
  <c r="G52" i="12"/>
  <c r="CM55" i="12"/>
  <c r="CM60" i="12"/>
  <c r="CS50" i="11"/>
  <c r="CW50" i="11"/>
  <c r="DC60" i="12"/>
  <c r="DG50" i="11"/>
  <c r="DG53" i="11" s="1"/>
  <c r="DG54" i="11" s="1"/>
  <c r="DG55" i="11" s="1"/>
  <c r="DL42" i="12"/>
  <c r="DH55" i="12"/>
  <c r="DH60" i="12"/>
  <c r="DL55" i="12"/>
  <c r="DP56" i="12" s="1"/>
  <c r="DL60" i="12"/>
  <c r="DP61" i="12" s="1"/>
  <c r="O174" i="12"/>
  <c r="P196" i="12"/>
  <c r="O190" i="12"/>
  <c r="CF118" i="12"/>
  <c r="CJ118" i="12"/>
  <c r="CN214" i="12"/>
  <c r="Q210" i="12"/>
  <c r="DK726" i="12"/>
  <c r="DM55" i="12"/>
  <c r="DJ346" i="12"/>
  <c r="DA463" i="12"/>
  <c r="DM53" i="12"/>
  <c r="DK721" i="12"/>
  <c r="DK762" i="12" s="1"/>
  <c r="DM114" i="12"/>
  <c r="X367" i="12"/>
  <c r="DD721" i="12"/>
  <c r="DD762" i="12" s="1"/>
  <c r="BO570" i="12"/>
  <c r="BP569" i="12" s="1"/>
  <c r="BP570" i="12" s="1"/>
  <c r="BQ569" i="12" s="1"/>
  <c r="Q531" i="12"/>
  <c r="BP43" i="12"/>
  <c r="CW85" i="22"/>
  <c r="DI740" i="12"/>
  <c r="DI742" i="12" s="1"/>
  <c r="DI743" i="12" s="1"/>
  <c r="DI728" i="12"/>
  <c r="DI747" i="12" s="1"/>
  <c r="DI749" i="12" s="1"/>
  <c r="DF289" i="12"/>
  <c r="DF137" i="12" s="1"/>
  <c r="BT96" i="12"/>
  <c r="BT537" i="12"/>
  <c r="Y113" i="8"/>
  <c r="DC347" i="12"/>
  <c r="CZ289" i="12"/>
  <c r="CZ137" i="12" s="1"/>
  <c r="CZ294" i="12"/>
  <c r="CM138" i="22" s="1"/>
  <c r="Q211" i="12"/>
  <c r="Q215" i="12" s="1"/>
  <c r="CO215" i="12"/>
  <c r="CQ130" i="12"/>
  <c r="CQ176" i="12"/>
  <c r="CR105" i="12"/>
  <c r="CD37" i="22"/>
  <c r="CM186" i="12"/>
  <c r="CM182" i="12"/>
  <c r="CM122" i="12"/>
  <c r="CQ113" i="12"/>
  <c r="CQ122" i="12"/>
  <c r="CQ125" i="12"/>
  <c r="CU186" i="12"/>
  <c r="CU113" i="12"/>
  <c r="CU122" i="12"/>
  <c r="CY114" i="12"/>
  <c r="CY122" i="12"/>
  <c r="DC186" i="12"/>
  <c r="DC113" i="12"/>
  <c r="DD125" i="12"/>
  <c r="DD186" i="12"/>
  <c r="CM287" i="12"/>
  <c r="CM288" i="12" s="1"/>
  <c r="Q120" i="12"/>
  <c r="CM126" i="12"/>
  <c r="CQ287" i="12"/>
  <c r="R287" i="12" s="1"/>
  <c r="R120" i="12"/>
  <c r="S120" i="12"/>
  <c r="CU287" i="12"/>
  <c r="CU219" i="12" s="1"/>
  <c r="CY126" i="12"/>
  <c r="DC287" i="12"/>
  <c r="DC288" i="12" s="1"/>
  <c r="U120" i="12"/>
  <c r="DG287" i="12"/>
  <c r="DG288" i="12" s="1"/>
  <c r="V120" i="12"/>
  <c r="CE148" i="12"/>
  <c r="O147" i="12"/>
  <c r="CI148" i="12"/>
  <c r="BY41" i="22"/>
  <c r="CL166" i="12"/>
  <c r="CC41" i="22"/>
  <c r="CC135" i="22"/>
  <c r="CP166" i="12"/>
  <c r="CQ157" i="12"/>
  <c r="CM292" i="12"/>
  <c r="CM289" i="12" s="1"/>
  <c r="CM137" i="12" s="1"/>
  <c r="CU292" i="12"/>
  <c r="CU293" i="12" s="1"/>
  <c r="S156" i="12"/>
  <c r="S158" i="12" s="1"/>
  <c r="N136" i="22" s="1"/>
  <c r="CU157" i="12"/>
  <c r="CY157" i="12"/>
  <c r="CY292" i="12"/>
  <c r="CY294" i="12" s="1"/>
  <c r="CL138" i="22" s="1"/>
  <c r="T156" i="12"/>
  <c r="T157" i="12" s="1"/>
  <c r="DC157" i="12"/>
  <c r="U156" i="12"/>
  <c r="DC292" i="12"/>
  <c r="DG293" i="12" s="1"/>
  <c r="DK157" i="12"/>
  <c r="V156" i="12"/>
  <c r="V158" i="12" s="1"/>
  <c r="Q136" i="22" s="1"/>
  <c r="BW135" i="22"/>
  <c r="BW41" i="22"/>
  <c r="CS257" i="12"/>
  <c r="CS450" i="12" s="1"/>
  <c r="CS264" i="12"/>
  <c r="R263" i="12"/>
  <c r="R265" i="12" s="1"/>
  <c r="M137" i="22" s="1"/>
  <c r="CW257" i="12"/>
  <c r="S263" i="12"/>
  <c r="CW264" i="12"/>
  <c r="T263" i="12"/>
  <c r="T265" i="12" s="1"/>
  <c r="O137" i="22" s="1"/>
  <c r="DA292" i="12"/>
  <c r="DE257" i="12"/>
  <c r="DE292" i="12"/>
  <c r="DI264" i="12"/>
  <c r="T361" i="12"/>
  <c r="S381" i="12"/>
  <c r="N97" i="22"/>
  <c r="S181" i="12"/>
  <c r="N116" i="22"/>
  <c r="CI286" i="12"/>
  <c r="CI255" i="12"/>
  <c r="BV117" i="22" s="1"/>
  <c r="CJ263" i="12"/>
  <c r="CI263" i="12"/>
  <c r="CM264" i="12" s="1"/>
  <c r="CI130" i="12"/>
  <c r="CJ361" i="12"/>
  <c r="CJ359" i="12" s="1"/>
  <c r="CJ255" i="12"/>
  <c r="CJ246" i="12"/>
  <c r="CL209" i="12"/>
  <c r="Q255" i="12"/>
  <c r="BY117" i="22"/>
  <c r="CP256" i="12"/>
  <c r="CC155" i="22" s="1"/>
  <c r="CC117" i="22"/>
  <c r="CT256" i="12"/>
  <c r="CU154" i="15" s="1"/>
  <c r="CG117" i="22"/>
  <c r="S255" i="12"/>
  <c r="CK117" i="22"/>
  <c r="T255" i="12"/>
  <c r="T219" i="12" s="1"/>
  <c r="U255" i="12"/>
  <c r="CO117" i="22"/>
  <c r="CS117" i="22"/>
  <c r="V255" i="12"/>
  <c r="DF256" i="12"/>
  <c r="CS155" i="22" s="1"/>
  <c r="CN288" i="12"/>
  <c r="CM131" i="12"/>
  <c r="CD141" i="22"/>
  <c r="CQ180" i="12"/>
  <c r="CR288" i="12"/>
  <c r="CQ294" i="12"/>
  <c r="CD138" i="22" s="1"/>
  <c r="CH141" i="22"/>
  <c r="CU180" i="12"/>
  <c r="CP141" i="22"/>
  <c r="DD288" i="12"/>
  <c r="BF183" i="12"/>
  <c r="I182" i="12"/>
  <c r="BF184" i="12"/>
  <c r="BJ183" i="12"/>
  <c r="J182" i="12"/>
  <c r="BJ184" i="12"/>
  <c r="BN184" i="12"/>
  <c r="K182" i="12"/>
  <c r="BR183" i="12"/>
  <c r="L182" i="12"/>
  <c r="M182" i="12"/>
  <c r="BV184" i="12"/>
  <c r="BZ184" i="12"/>
  <c r="BZ163" i="12"/>
  <c r="BZ165" i="12" s="1"/>
  <c r="BZ112" i="12"/>
  <c r="BM38" i="22" s="1"/>
  <c r="BM40" i="22" s="1"/>
  <c r="CD183" i="12"/>
  <c r="CD163" i="12"/>
  <c r="CH184" i="12"/>
  <c r="CH183" i="12"/>
  <c r="CI184" i="12"/>
  <c r="CC188" i="12"/>
  <c r="N190" i="12"/>
  <c r="N118" i="12" s="1"/>
  <c r="CK188" i="12"/>
  <c r="CK168" i="12" s="1"/>
  <c r="CK118" i="12"/>
  <c r="P190" i="12"/>
  <c r="CD255" i="12"/>
  <c r="BQ117" i="22" s="1"/>
  <c r="O209" i="12"/>
  <c r="P209" i="12"/>
  <c r="CH255" i="12"/>
  <c r="DD335" i="12"/>
  <c r="DD333" i="12"/>
  <c r="CC203" i="12"/>
  <c r="N203" i="12" s="1"/>
  <c r="N194" i="12"/>
  <c r="CQ566" i="12"/>
  <c r="CR563" i="12"/>
  <c r="S24" i="12"/>
  <c r="Q263" i="12"/>
  <c r="DJ335" i="12"/>
  <c r="DJ333" i="12"/>
  <c r="DA109" i="8"/>
  <c r="CZ109" i="8"/>
  <c r="CY109" i="8"/>
  <c r="CM613" i="12"/>
  <c r="CM615" i="12" s="1"/>
  <c r="CN613" i="12" s="1"/>
  <c r="CL669" i="12"/>
  <c r="DI288" i="12"/>
  <c r="DI219" i="12"/>
  <c r="BT302" i="12"/>
  <c r="BQ163" i="12"/>
  <c r="CZ358" i="12"/>
  <c r="CZ363" i="12" s="1"/>
  <c r="CZ462" i="12"/>
  <c r="CO264" i="12"/>
  <c r="CH181" i="12"/>
  <c r="CH131" i="12"/>
  <c r="BP11" i="12"/>
  <c r="CJ136" i="17"/>
  <c r="CJ116" i="17" s="1"/>
  <c r="CJ11" i="12"/>
  <c r="CZ23" i="11"/>
  <c r="V38" i="12"/>
  <c r="P94" i="13"/>
  <c r="CJ114" i="8"/>
  <c r="P84" i="12"/>
  <c r="P114" i="8" s="1"/>
  <c r="BR194" i="12"/>
  <c r="BS309" i="12"/>
  <c r="BR309" i="12"/>
  <c r="BV194" i="12"/>
  <c r="BV198" i="12" s="1"/>
  <c r="BV100" i="12"/>
  <c r="CH100" i="12"/>
  <c r="CN130" i="12"/>
  <c r="CN131" i="12"/>
  <c r="S249" i="12"/>
  <c r="CK571" i="12"/>
  <c r="CN332" i="12"/>
  <c r="Q452" i="12"/>
  <c r="DD738" i="12"/>
  <c r="T102" i="7"/>
  <c r="CO450" i="12"/>
  <c r="V325" i="12"/>
  <c r="W326" i="12" s="1"/>
  <c r="U359" i="12"/>
  <c r="S447" i="12"/>
  <c r="X452" i="12"/>
  <c r="U719" i="12"/>
  <c r="U715" i="12" s="1"/>
  <c r="U656" i="12"/>
  <c r="U681" i="12" s="1"/>
  <c r="U679" i="12" s="1"/>
  <c r="DL30" i="12"/>
  <c r="BW547" i="12"/>
  <c r="U713" i="12"/>
  <c r="CW292" i="12"/>
  <c r="CW294" i="12" s="1"/>
  <c r="CJ138" i="22" s="1"/>
  <c r="S504" i="12"/>
  <c r="O519" i="12"/>
  <c r="O524" i="12" s="1"/>
  <c r="Q519" i="12"/>
  <c r="R531" i="12"/>
  <c r="T547" i="12"/>
  <c r="T696" i="12" s="1"/>
  <c r="T697" i="12" s="1"/>
  <c r="T698" i="12" s="1"/>
  <c r="DM113" i="12"/>
  <c r="DK304" i="12"/>
  <c r="DL467" i="12"/>
  <c r="DP468" i="12" s="1"/>
  <c r="O240" i="12"/>
  <c r="DM467" i="12"/>
  <c r="DQ468" i="12" s="1"/>
  <c r="Q668" i="12"/>
  <c r="DG467" i="12"/>
  <c r="S693" i="12"/>
  <c r="Q693" i="12"/>
  <c r="DJ727" i="12"/>
  <c r="CL642" i="12"/>
  <c r="CL644" i="12" s="1"/>
  <c r="CM664" i="12"/>
  <c r="CA557" i="12"/>
  <c r="CU740" i="12"/>
  <c r="CU742" i="12" s="1"/>
  <c r="CU743" i="12" s="1"/>
  <c r="V720" i="12"/>
  <c r="CO684" i="12"/>
  <c r="S691" i="12"/>
  <c r="CN595" i="12"/>
  <c r="CO593" i="12" s="1"/>
  <c r="CO595" i="12" s="1"/>
  <c r="CO664" i="12" s="1"/>
  <c r="V713" i="12"/>
  <c r="CQ585" i="12"/>
  <c r="S720" i="12"/>
  <c r="CM597" i="12"/>
  <c r="CM599" i="12" s="1"/>
  <c r="CL585" i="12"/>
  <c r="CY721" i="12"/>
  <c r="CY762" i="12" s="1"/>
  <c r="CY764" i="12" s="1"/>
  <c r="CY767" i="12" s="1"/>
  <c r="DH726" i="12"/>
  <c r="R539" i="12"/>
  <c r="W720" i="12"/>
  <c r="CU721" i="12"/>
  <c r="CU762" i="12" s="1"/>
  <c r="CU764" i="12" s="1"/>
  <c r="CU767" i="12" s="1"/>
  <c r="P504" i="12"/>
  <c r="P510" i="12" s="1"/>
  <c r="U720" i="12"/>
  <c r="DK727" i="12"/>
  <c r="CU727" i="12"/>
  <c r="DJ728" i="12"/>
  <c r="DJ747" i="12" s="1"/>
  <c r="DJ749" i="12" s="1"/>
  <c r="DE728" i="12"/>
  <c r="DE747" i="12" s="1"/>
  <c r="DE749" i="12" s="1"/>
  <c r="CK532" i="12"/>
  <c r="P532" i="12" s="1"/>
  <c r="S715" i="12"/>
  <c r="DE721" i="12"/>
  <c r="DE762" i="12" s="1"/>
  <c r="DE764" i="12" s="1"/>
  <c r="DE767" i="12" s="1"/>
  <c r="CV721" i="12"/>
  <c r="CV762" i="12" s="1"/>
  <c r="CV764" i="12" s="1"/>
  <c r="CV767" i="12" s="1"/>
  <c r="CL664" i="12"/>
  <c r="DH721" i="12"/>
  <c r="DH762" i="12" s="1"/>
  <c r="CH504" i="12"/>
  <c r="S560" i="12"/>
  <c r="S566" i="12" s="1"/>
  <c r="DM721" i="12"/>
  <c r="DM762" i="12" s="1"/>
  <c r="CL640" i="12"/>
  <c r="DM287" i="12"/>
  <c r="BN61" i="12"/>
  <c r="V741" i="12"/>
  <c r="Q508" i="12"/>
  <c r="CP508" i="12"/>
  <c r="CQ508" i="12" s="1"/>
  <c r="CR508" i="12" s="1"/>
  <c r="CS508" i="12" s="1"/>
  <c r="CZ468" i="12"/>
  <c r="BR61" i="12"/>
  <c r="DG26" i="12"/>
  <c r="R24" i="12"/>
  <c r="CZ247" i="12"/>
  <c r="DB114" i="8"/>
  <c r="DK27" i="16"/>
  <c r="DK55" i="12"/>
  <c r="DO56" i="12" s="1"/>
  <c r="DE50" i="11"/>
  <c r="CN43" i="12"/>
  <c r="CN49" i="12"/>
  <c r="BQ46" i="22"/>
  <c r="BQ50" i="22" s="1"/>
  <c r="CD69" i="12"/>
  <c r="CA14" i="6"/>
  <c r="CD40" i="12"/>
  <c r="CD49" i="12"/>
  <c r="CD54" i="12"/>
  <c r="CD43" i="12"/>
  <c r="DG294" i="12"/>
  <c r="CT138" i="22" s="1"/>
  <c r="DG289" i="12"/>
  <c r="X739" i="12"/>
  <c r="Y739" i="12" s="1"/>
  <c r="W738" i="12"/>
  <c r="O117" i="22"/>
  <c r="CY462" i="12"/>
  <c r="CY446" i="12"/>
  <c r="CY358" i="12"/>
  <c r="CS446" i="12"/>
  <c r="F54" i="12"/>
  <c r="CD85" i="22"/>
  <c r="CU31" i="12"/>
  <c r="BA62" i="12"/>
  <c r="CO690" i="12"/>
  <c r="BA439" i="12"/>
  <c r="DE327" i="12"/>
  <c r="BC143" i="12"/>
  <c r="BC164" i="12"/>
  <c r="CG118" i="22"/>
  <c r="CT219" i="12"/>
  <c r="CT288" i="12"/>
  <c r="CX219" i="12"/>
  <c r="CK118" i="22"/>
  <c r="CX288" i="12"/>
  <c r="CS118" i="22"/>
  <c r="DF219" i="12"/>
  <c r="DF288" i="12"/>
  <c r="BW50" i="22"/>
  <c r="CP85" i="22"/>
  <c r="CS445" i="12"/>
  <c r="BB136" i="17"/>
  <c r="BA54" i="12"/>
  <c r="CO689" i="12"/>
  <c r="CT294" i="12"/>
  <c r="CG138" i="22" s="1"/>
  <c r="CX293" i="12"/>
  <c r="DC301" i="12"/>
  <c r="DC31" i="12"/>
  <c r="AZ438" i="12"/>
  <c r="CO434" i="12"/>
  <c r="DD728" i="12"/>
  <c r="DD747" i="12" s="1"/>
  <c r="DD749" i="12" s="1"/>
  <c r="DD740" i="12"/>
  <c r="DE727" i="12"/>
  <c r="S265" i="12"/>
  <c r="N137" i="22" s="1"/>
  <c r="CQ358" i="12"/>
  <c r="CQ363" i="12" s="1"/>
  <c r="CQ469" i="12" s="1"/>
  <c r="CQ258" i="12"/>
  <c r="CQ467" i="12"/>
  <c r="CQ468" i="12" s="1"/>
  <c r="CF155" i="22"/>
  <c r="CT154" i="15"/>
  <c r="CT155" i="15" s="1"/>
  <c r="DF154" i="15"/>
  <c r="DB288" i="12"/>
  <c r="DB219" i="12"/>
  <c r="BO58" i="12"/>
  <c r="CR332" i="12"/>
  <c r="CL361" i="12"/>
  <c r="CL359" i="12" s="1"/>
  <c r="CL363" i="12" s="1"/>
  <c r="CL469" i="12" s="1"/>
  <c r="U181" i="12"/>
  <c r="T330" i="12" s="1"/>
  <c r="V361" i="12"/>
  <c r="DA256" i="12"/>
  <c r="CY326" i="12"/>
  <c r="S320" i="12"/>
  <c r="BY214" i="12"/>
  <c r="CE117" i="22"/>
  <c r="CN256" i="12"/>
  <c r="CN154" i="15" s="1"/>
  <c r="DD219" i="12"/>
  <c r="CX256" i="12"/>
  <c r="CK155" i="22" s="1"/>
  <c r="CY344" i="12"/>
  <c r="DD246" i="12"/>
  <c r="DD248" i="12" s="1"/>
  <c r="CY332" i="12"/>
  <c r="U360" i="12"/>
  <c r="CY467" i="12"/>
  <c r="Q97" i="22"/>
  <c r="CZ327" i="12"/>
  <c r="CK286" i="12"/>
  <c r="CN215" i="12"/>
  <c r="DE180" i="12"/>
  <c r="P254" i="12"/>
  <c r="CG20" i="12"/>
  <c r="CG146" i="17"/>
  <c r="CA117" i="22"/>
  <c r="P97" i="22"/>
  <c r="V453" i="12"/>
  <c r="DF347" i="12"/>
  <c r="CR326" i="12"/>
  <c r="CL325" i="12"/>
  <c r="CN209" i="12"/>
  <c r="U381" i="12"/>
  <c r="U390" i="12" s="1"/>
  <c r="DK364" i="12"/>
  <c r="DK370" i="12" s="1"/>
  <c r="DK385" i="12" s="1"/>
  <c r="DK387" i="12" s="1"/>
  <c r="CI181" i="12"/>
  <c r="CJ156" i="12"/>
  <c r="CI156" i="12"/>
  <c r="CM157" i="12" s="1"/>
  <c r="CJ287" i="12"/>
  <c r="BW118" i="22" s="1"/>
  <c r="CI131" i="12"/>
  <c r="Q222" i="12"/>
  <c r="Q221" i="12"/>
  <c r="CS219" i="12"/>
  <c r="CS288" i="12"/>
  <c r="CF118" i="22"/>
  <c r="DG363" i="12"/>
  <c r="DG365" i="12" s="1"/>
  <c r="CR468" i="12"/>
  <c r="CG118" i="12"/>
  <c r="CQ335" i="12"/>
  <c r="BV54" i="12"/>
  <c r="CQ333" i="12"/>
  <c r="CM222" i="12"/>
  <c r="BV94" i="12"/>
  <c r="R359" i="12"/>
  <c r="R360" i="12" s="1"/>
  <c r="CQ307" i="12"/>
  <c r="S713" i="12"/>
  <c r="R141" i="22"/>
  <c r="W158" i="12"/>
  <c r="R136" i="22" s="1"/>
  <c r="DL288" i="12"/>
  <c r="DL219" i="12"/>
  <c r="CY118" i="22"/>
  <c r="DL327" i="12"/>
  <c r="DL247" i="12"/>
  <c r="W320" i="12"/>
  <c r="R133" i="22"/>
  <c r="O229" i="12"/>
  <c r="CH229" i="12"/>
  <c r="CI229" i="12" s="1"/>
  <c r="CJ229" i="12" s="1"/>
  <c r="CK229" i="12" s="1"/>
  <c r="P229" i="12" s="1"/>
  <c r="CI186" i="12"/>
  <c r="CE186" i="12"/>
  <c r="BR38" i="22"/>
  <c r="DK298" i="12"/>
  <c r="DJ358" i="12"/>
  <c r="DJ467" i="12"/>
  <c r="DG154" i="15"/>
  <c r="CP246" i="12"/>
  <c r="CT247" i="12" s="1"/>
  <c r="CS246" i="12"/>
  <c r="CS281" i="12" s="1"/>
  <c r="CR154" i="15"/>
  <c r="CS467" i="12"/>
  <c r="CS462" i="12"/>
  <c r="CS358" i="12"/>
  <c r="CS363" i="12" s="1"/>
  <c r="CS469" i="12" s="1"/>
  <c r="CN672" i="12"/>
  <c r="CP358" i="12"/>
  <c r="R257" i="12"/>
  <c r="R258" i="12" s="1"/>
  <c r="DI299" i="12"/>
  <c r="DH294" i="12"/>
  <c r="CU138" i="22" s="1"/>
  <c r="DH289" i="12"/>
  <c r="DH137" i="12" s="1"/>
  <c r="DH138" i="12" s="1"/>
  <c r="O215" i="12"/>
  <c r="DD347" i="12"/>
  <c r="BT61" i="12"/>
  <c r="DC258" i="12"/>
  <c r="DC462" i="12"/>
  <c r="DG258" i="12"/>
  <c r="U257" i="12"/>
  <c r="CQ289" i="12"/>
  <c r="CQ137" i="12" s="1"/>
  <c r="DG417" i="12"/>
  <c r="DG416" i="12"/>
  <c r="DG426" i="12" s="1"/>
  <c r="DH416" i="12"/>
  <c r="DH426" i="12" s="1"/>
  <c r="AY440" i="12"/>
  <c r="BB440" i="12"/>
  <c r="CV126" i="12"/>
  <c r="T286" i="12"/>
  <c r="DF467" i="12"/>
  <c r="CB557" i="12"/>
  <c r="CP446" i="12"/>
  <c r="I100" i="12"/>
  <c r="S379" i="12"/>
  <c r="CI125" i="12"/>
  <c r="CV468" i="12"/>
  <c r="CR358" i="12"/>
  <c r="CR363" i="12" s="1"/>
  <c r="CR469" i="12" s="1"/>
  <c r="Q256" i="12"/>
  <c r="L155" i="22" s="1"/>
  <c r="CI119" i="12"/>
  <c r="BZ155" i="22"/>
  <c r="CV118" i="22"/>
  <c r="CS258" i="12"/>
  <c r="DN292" i="12"/>
  <c r="BP62" i="12"/>
  <c r="CR258" i="12"/>
  <c r="DD294" i="12"/>
  <c r="CQ138" i="22" s="1"/>
  <c r="DD293" i="12"/>
  <c r="CM154" i="15"/>
  <c r="DA23" i="11"/>
  <c r="CV463" i="12"/>
  <c r="CL302" i="12"/>
  <c r="CP344" i="12"/>
  <c r="CH118" i="22"/>
  <c r="S287" i="12"/>
  <c r="CU288" i="12"/>
  <c r="CF203" i="12"/>
  <c r="CF204" i="12"/>
  <c r="CM136" i="17"/>
  <c r="CM116" i="17" s="1"/>
  <c r="BZ84" i="22"/>
  <c r="CM301" i="12"/>
  <c r="CM26" i="12"/>
  <c r="CM31" i="12"/>
  <c r="CL437" i="12"/>
  <c r="CI438" i="12"/>
  <c r="CH439" i="12"/>
  <c r="CI439" i="12"/>
  <c r="BV438" i="12"/>
  <c r="DK25" i="12"/>
  <c r="CV335" i="12"/>
  <c r="CZ333" i="12"/>
  <c r="DJ289" i="12"/>
  <c r="DJ137" i="12" s="1"/>
  <c r="CX345" i="12"/>
  <c r="CT85" i="22"/>
  <c r="DG31" i="12"/>
  <c r="DG136" i="17"/>
  <c r="DG116" i="17" s="1"/>
  <c r="BU208" i="12"/>
  <c r="BV196" i="12"/>
  <c r="BR46" i="22"/>
  <c r="BR50" i="22" s="1"/>
  <c r="BR52" i="22" s="1"/>
  <c r="DF344" i="12"/>
  <c r="DF247" i="12"/>
  <c r="DF284" i="12"/>
  <c r="DF327" i="12"/>
  <c r="S359" i="12"/>
  <c r="S360" i="12" s="1"/>
  <c r="CY363" i="12"/>
  <c r="CS556" i="12"/>
  <c r="CV727" i="12"/>
  <c r="CW727" i="12"/>
  <c r="DF728" i="12"/>
  <c r="DF747" i="12" s="1"/>
  <c r="DF749" i="12" s="1"/>
  <c r="DF740" i="12"/>
  <c r="DF742" i="12" s="1"/>
  <c r="DF743" i="12" s="1"/>
  <c r="DF727" i="12"/>
  <c r="CO212" i="12"/>
  <c r="CB118" i="22"/>
  <c r="CO219" i="12"/>
  <c r="CO288" i="12"/>
  <c r="DH258" i="12"/>
  <c r="DH462" i="12"/>
  <c r="DH358" i="12"/>
  <c r="DH467" i="12"/>
  <c r="CL650" i="12"/>
  <c r="Q650" i="12" s="1"/>
  <c r="P652" i="12"/>
  <c r="P653" i="12" s="1"/>
  <c r="CK653" i="12"/>
  <c r="DA727" i="12"/>
  <c r="DA728" i="12"/>
  <c r="DA747" i="12" s="1"/>
  <c r="DA749" i="12" s="1"/>
  <c r="DA740" i="12"/>
  <c r="DA742" i="12" s="1"/>
  <c r="DA743" i="12" s="1"/>
  <c r="DE389" i="12"/>
  <c r="U380" i="12"/>
  <c r="CM666" i="12"/>
  <c r="CN601" i="12"/>
  <c r="CN666" i="12" s="1"/>
  <c r="CM111" i="8"/>
  <c r="CO89" i="12"/>
  <c r="CQ288" i="12"/>
  <c r="CY728" i="12"/>
  <c r="CY747" i="12" s="1"/>
  <c r="CY749" i="12" s="1"/>
  <c r="CY740" i="12"/>
  <c r="CY742" i="12" s="1"/>
  <c r="CY743" i="12" s="1"/>
  <c r="T726" i="12"/>
  <c r="CZ727" i="12"/>
  <c r="CY727" i="12"/>
  <c r="V359" i="12"/>
  <c r="V360" i="12" s="1"/>
  <c r="CG188" i="12"/>
  <c r="DN390" i="12"/>
  <c r="CR30" i="12"/>
  <c r="V320" i="12"/>
  <c r="CU467" i="12"/>
  <c r="CU468" i="12" s="1"/>
  <c r="CW347" i="12"/>
  <c r="W329" i="12"/>
  <c r="DG469" i="12"/>
  <c r="CO619" i="12"/>
  <c r="CO670" i="12" s="1"/>
  <c r="Q116" i="22"/>
  <c r="CR545" i="12"/>
  <c r="CQ547" i="12"/>
  <c r="CQ109" i="8"/>
  <c r="J89" i="22"/>
  <c r="J88" i="22" s="1"/>
  <c r="O124" i="17"/>
  <c r="CW256" i="12"/>
  <c r="CJ117" i="22"/>
  <c r="CZ256" i="12"/>
  <c r="CM117" i="22"/>
  <c r="DH256" i="12"/>
  <c r="CT141" i="22"/>
  <c r="DG180" i="12"/>
  <c r="O214" i="12"/>
  <c r="O196" i="12"/>
  <c r="O118" i="12" s="1"/>
  <c r="DC246" i="12"/>
  <c r="DC248" i="12" s="1"/>
  <c r="DG250" i="12"/>
  <c r="CH146" i="17"/>
  <c r="DE329" i="12"/>
  <c r="DE332" i="12"/>
  <c r="DI333" i="12" s="1"/>
  <c r="DI326" i="12"/>
  <c r="CP347" i="12"/>
  <c r="CM466" i="12"/>
  <c r="CO460" i="12"/>
  <c r="CQ461" i="12"/>
  <c r="CL605" i="12"/>
  <c r="P607" i="12"/>
  <c r="Q605" i="12" s="1"/>
  <c r="CV740" i="12"/>
  <c r="CV742" i="12" s="1"/>
  <c r="CV743" i="12" s="1"/>
  <c r="CV728" i="12"/>
  <c r="CV747" i="12" s="1"/>
  <c r="CV749" i="12" s="1"/>
  <c r="CV750" i="12" s="1"/>
  <c r="CV752" i="12" s="1"/>
  <c r="CV754" i="12" s="1"/>
  <c r="CV757" i="12" s="1"/>
  <c r="W361" i="12"/>
  <c r="CE20" i="12"/>
  <c r="O19" i="12"/>
  <c r="CI20" i="12"/>
  <c r="DB332" i="12"/>
  <c r="U325" i="12"/>
  <c r="CW377" i="12"/>
  <c r="S376" i="12"/>
  <c r="S377" i="12" s="1"/>
  <c r="DG390" i="12"/>
  <c r="DG380" i="12"/>
  <c r="DG389" i="12" s="1"/>
  <c r="V381" i="12"/>
  <c r="V390" i="12" s="1"/>
  <c r="N19" i="12"/>
  <c r="CX304" i="12"/>
  <c r="CX24" i="12"/>
  <c r="DA257" i="12"/>
  <c r="DE258" i="12" s="1"/>
  <c r="DA264" i="12"/>
  <c r="DE264" i="12"/>
  <c r="U263" i="12"/>
  <c r="DH264" i="12"/>
  <c r="L97" i="22"/>
  <c r="R361" i="12"/>
  <c r="Q181" i="12"/>
  <c r="Q453" i="12"/>
  <c r="BZ141" i="22"/>
  <c r="CM180" i="12"/>
  <c r="CM211" i="12"/>
  <c r="CK472" i="12"/>
  <c r="P471" i="12"/>
  <c r="CZ740" i="12"/>
  <c r="CZ742" i="12" s="1"/>
  <c r="CZ743" i="12" s="1"/>
  <c r="CZ728" i="12"/>
  <c r="CZ747" i="12" s="1"/>
  <c r="CZ749" i="12" s="1"/>
  <c r="DH433" i="12"/>
  <c r="CE141" i="22"/>
  <c r="CY180" i="12"/>
  <c r="BQ547" i="12"/>
  <c r="DC738" i="12"/>
  <c r="DC464" i="12"/>
  <c r="DC466" i="12" s="1"/>
  <c r="DC467" i="12" s="1"/>
  <c r="DC468" i="12" s="1"/>
  <c r="V180" i="12"/>
  <c r="CN186" i="12"/>
  <c r="CB141" i="22"/>
  <c r="DK326" i="12"/>
  <c r="DG332" i="12"/>
  <c r="DK333" i="12" s="1"/>
  <c r="BQ568" i="12"/>
  <c r="X29" i="12"/>
  <c r="BN55" i="12"/>
  <c r="CZ219" i="12"/>
  <c r="CU344" i="12"/>
  <c r="X720" i="12"/>
  <c r="CR40" i="17"/>
  <c r="DI180" i="12"/>
  <c r="DK383" i="12"/>
  <c r="DM246" i="12"/>
  <c r="DQ247" i="12" s="1"/>
  <c r="DN721" i="12"/>
  <c r="DN762" i="12" s="1"/>
  <c r="DU763" i="12" s="1"/>
  <c r="P147" i="12"/>
  <c r="CI287" i="12"/>
  <c r="CI126" i="12" s="1"/>
  <c r="DI250" i="12"/>
  <c r="F25" i="37" s="1"/>
  <c r="DC447" i="12"/>
  <c r="DK287" i="12"/>
  <c r="DK433" i="12"/>
  <c r="DL346" i="12"/>
  <c r="DP347" i="12" s="1"/>
  <c r="DM346" i="12"/>
  <c r="DJ180" i="12"/>
  <c r="DK356" i="12"/>
  <c r="DK180" i="12"/>
  <c r="DL726" i="12"/>
  <c r="DM180" i="12"/>
  <c r="DM380" i="12"/>
  <c r="W380" i="12" s="1"/>
  <c r="CY141" i="22"/>
  <c r="CA41" i="17"/>
  <c r="V691" i="12"/>
  <c r="CO47" i="17"/>
  <c r="CR126" i="12"/>
  <c r="DH126" i="12"/>
  <c r="CE38" i="22"/>
  <c r="CN122" i="12"/>
  <c r="DD122" i="12"/>
  <c r="CW114" i="12"/>
  <c r="CV186" i="12"/>
  <c r="CZ126" i="12"/>
  <c r="CZ186" i="12"/>
  <c r="CR186" i="12"/>
  <c r="CN126" i="12"/>
  <c r="CN114" i="12"/>
  <c r="CJ125" i="12"/>
  <c r="DD126" i="12"/>
  <c r="CV113" i="12"/>
  <c r="CR113" i="12"/>
  <c r="DD113" i="12"/>
  <c r="CZ122" i="12"/>
  <c r="CZ114" i="12"/>
  <c r="CR114" i="12"/>
  <c r="CN125" i="12"/>
  <c r="DD114" i="12"/>
  <c r="V112" i="12"/>
  <c r="DL186" i="12"/>
  <c r="CI38" i="22"/>
  <c r="CZ113" i="12"/>
  <c r="R112" i="12"/>
  <c r="CN182" i="12"/>
  <c r="DP99" i="8"/>
  <c r="DP100" i="8" s="1"/>
  <c r="CM330" i="13"/>
  <c r="DC72" i="22"/>
  <c r="DM417" i="12"/>
  <c r="DM424" i="12"/>
  <c r="DM394" i="12"/>
  <c r="G54" i="21"/>
  <c r="G56" i="21" s="1"/>
  <c r="CM332" i="13"/>
  <c r="CM335" i="13"/>
  <c r="CF124" i="22"/>
  <c r="CT124" i="22"/>
  <c r="CI76" i="13"/>
  <c r="BV148" i="22" s="1"/>
  <c r="CC13" i="11"/>
  <c r="CI88" i="13"/>
  <c r="CF10" i="6"/>
  <c r="BV45" i="22"/>
  <c r="BW149" i="22"/>
  <c r="CI85" i="13"/>
  <c r="CI82" i="13"/>
  <c r="CI17" i="13"/>
  <c r="T30" i="7"/>
  <c r="CM120" i="6"/>
  <c r="CQ118" i="6"/>
  <c r="CU103" i="7"/>
  <c r="CU104" i="7" s="1"/>
  <c r="R117" i="22"/>
  <c r="CY126" i="22"/>
  <c r="O126" i="22"/>
  <c r="O125" i="22"/>
  <c r="CL370" i="13"/>
  <c r="CU14" i="17"/>
  <c r="CU12" i="17"/>
  <c r="BY55" i="6"/>
  <c r="BI198" i="12"/>
  <c r="BH205" i="12"/>
  <c r="DK417" i="12"/>
  <c r="DK394" i="12"/>
  <c r="DK424" i="12"/>
  <c r="CN337" i="13"/>
  <c r="CN333" i="13"/>
  <c r="N113" i="7"/>
  <c r="CC14" i="17"/>
  <c r="DB90" i="7"/>
  <c r="CR113" i="7"/>
  <c r="CM76" i="7"/>
  <c r="CM33" i="7"/>
  <c r="CM315" i="13"/>
  <c r="CB30" i="13"/>
  <c r="CW375" i="13"/>
  <c r="CD219" i="13"/>
  <c r="BP28" i="22"/>
  <c r="R162" i="6"/>
  <c r="R202" i="7" s="1"/>
  <c r="CR190" i="7"/>
  <c r="CN186" i="7"/>
  <c r="CQ195" i="7"/>
  <c r="CQ182" i="7"/>
  <c r="CR177" i="7"/>
  <c r="CQ179" i="7"/>
  <c r="CK167" i="7"/>
  <c r="I22" i="20"/>
  <c r="I28" i="20" s="1"/>
  <c r="CR613" i="12"/>
  <c r="CQ669" i="12"/>
  <c r="DC365" i="12"/>
  <c r="DC469" i="12"/>
  <c r="CV351" i="12"/>
  <c r="CW351" i="12" s="1"/>
  <c r="CX351" i="12" s="1"/>
  <c r="CY351" i="12" s="1"/>
  <c r="CZ351" i="12" s="1"/>
  <c r="DA351" i="12" s="1"/>
  <c r="DB351" i="12" s="1"/>
  <c r="DC351" i="12" s="1"/>
  <c r="DD351" i="12" s="1"/>
  <c r="DE351" i="12" s="1"/>
  <c r="DF351" i="12" s="1"/>
  <c r="DG351" i="12" s="1"/>
  <c r="DH351" i="12" s="1"/>
  <c r="DI351" i="12" s="1"/>
  <c r="DJ351" i="12" s="1"/>
  <c r="DK351" i="12" s="1"/>
  <c r="DL351" i="12" s="1"/>
  <c r="DM351" i="12" s="1"/>
  <c r="DN351" i="12" s="1"/>
  <c r="DO351" i="12" s="1"/>
  <c r="DP351" i="12" s="1"/>
  <c r="CQ69" i="22"/>
  <c r="DD145" i="17"/>
  <c r="DD142" i="17"/>
  <c r="DD126" i="17"/>
  <c r="DD127" i="17" s="1"/>
  <c r="I86" i="15"/>
  <c r="BY50" i="15"/>
  <c r="BY51" i="15"/>
  <c r="BZ50" i="15"/>
  <c r="BY40" i="15"/>
  <c r="M49" i="15"/>
  <c r="DJ128" i="17"/>
  <c r="G10" i="37" s="1"/>
  <c r="DJ110" i="8"/>
  <c r="CY123" i="22"/>
  <c r="CK170" i="12"/>
  <c r="CU469" i="12"/>
  <c r="CU364" i="12"/>
  <c r="CU370" i="12" s="1"/>
  <c r="CG143" i="12"/>
  <c r="CG165" i="12" s="1"/>
  <c r="CV363" i="12"/>
  <c r="CP69" i="22"/>
  <c r="CP70" i="22" s="1"/>
  <c r="DC126" i="17"/>
  <c r="DC127" i="17" s="1"/>
  <c r="DC145" i="17"/>
  <c r="DC142" i="17"/>
  <c r="K127" i="1"/>
  <c r="J127" i="1"/>
  <c r="L51" i="1"/>
  <c r="L52" i="1"/>
  <c r="M51" i="1"/>
  <c r="L53" i="1"/>
  <c r="BY50" i="1"/>
  <c r="CW103" i="7"/>
  <c r="DK177" i="7"/>
  <c r="DK179" i="7" s="1"/>
  <c r="DJ49" i="17"/>
  <c r="CH232" i="12"/>
  <c r="DL85" i="14"/>
  <c r="DP87" i="14" s="1"/>
  <c r="DL767" i="12"/>
  <c r="W22" i="15"/>
  <c r="BQ195" i="12"/>
  <c r="DD764" i="12"/>
  <c r="DB764" i="12"/>
  <c r="DC767" i="12"/>
  <c r="CO627" i="12"/>
  <c r="H85" i="15"/>
  <c r="H86" i="15"/>
  <c r="J282" i="21"/>
  <c r="J290" i="21"/>
  <c r="J291" i="21" s="1"/>
  <c r="DI16" i="16"/>
  <c r="DF53" i="6"/>
  <c r="DF40" i="6"/>
  <c r="DJ195" i="7"/>
  <c r="DJ118" i="17"/>
  <c r="DL68" i="14"/>
  <c r="BT571" i="12"/>
  <c r="CH102" i="7"/>
  <c r="CI102" i="7" s="1"/>
  <c r="CJ102" i="7" s="1"/>
  <c r="CK102" i="7" s="1"/>
  <c r="P102" i="7" s="1"/>
  <c r="O102" i="7"/>
  <c r="I56" i="21"/>
  <c r="BQ282" i="21"/>
  <c r="DI344" i="12"/>
  <c r="DI345" i="12" s="1"/>
  <c r="CV100" i="15"/>
  <c r="CU99" i="15"/>
  <c r="CU101" i="15" s="1"/>
  <c r="CU102" i="15" s="1"/>
  <c r="AN89" i="1"/>
  <c r="AX57" i="1"/>
  <c r="AX58" i="1"/>
  <c r="O62" i="1"/>
  <c r="CW147" i="17"/>
  <c r="DA147" i="17"/>
  <c r="BY55" i="17"/>
  <c r="M54" i="17"/>
  <c r="BZ55" i="17"/>
  <c r="G57" i="1"/>
  <c r="F58" i="1"/>
  <c r="AZ58" i="1"/>
  <c r="AZ57" i="1"/>
  <c r="BC54" i="1"/>
  <c r="BC55" i="1"/>
  <c r="H107" i="1"/>
  <c r="H100" i="1"/>
  <c r="BP155" i="1"/>
  <c r="BP153" i="1"/>
  <c r="BI153" i="1"/>
  <c r="BI154" i="1" s="1"/>
  <c r="BI155" i="1"/>
  <c r="BE153" i="1"/>
  <c r="BE155" i="1"/>
  <c r="J137" i="1"/>
  <c r="J155" i="1" s="1"/>
  <c r="BJ127" i="1"/>
  <c r="BB128" i="1"/>
  <c r="BB127" i="1"/>
  <c r="AX127" i="1"/>
  <c r="AV115" i="1"/>
  <c r="AU116" i="1"/>
  <c r="N115" i="1"/>
  <c r="N101" i="1"/>
  <c r="N100" i="1"/>
  <c r="L66" i="1"/>
  <c r="L68" i="1"/>
  <c r="BY65" i="1"/>
  <c r="L64" i="1"/>
  <c r="BY62" i="1"/>
  <c r="BR54" i="1"/>
  <c r="BR76" i="1"/>
  <c r="BZ53" i="1"/>
  <c r="BF53" i="1"/>
  <c r="BF51" i="1"/>
  <c r="AN51" i="1"/>
  <c r="AJ52" i="1"/>
  <c r="K43" i="1"/>
  <c r="BH38" i="1"/>
  <c r="BJ31" i="1"/>
  <c r="BJ66" i="1"/>
  <c r="BJ53" i="1"/>
  <c r="BN33" i="1"/>
  <c r="BJ13" i="1"/>
  <c r="BJ44" i="1"/>
  <c r="BK32" i="1"/>
  <c r="BJ38" i="1"/>
  <c r="BJ47" i="1"/>
  <c r="BJ25" i="1"/>
  <c r="BJ32" i="1"/>
  <c r="BJ56" i="1"/>
  <c r="BY29" i="1"/>
  <c r="BN30" i="1"/>
  <c r="BJ28" i="1"/>
  <c r="BJ64" i="1"/>
  <c r="BJ21" i="1"/>
  <c r="BJ33" i="1"/>
  <c r="BJ72" i="1"/>
  <c r="BK31" i="1"/>
  <c r="AJ53" i="1"/>
  <c r="AJ72" i="1"/>
  <c r="AN30" i="1"/>
  <c r="AJ75" i="1"/>
  <c r="AJ25" i="1"/>
  <c r="AJ17" i="1"/>
  <c r="AJ21" i="1"/>
  <c r="AJ13" i="1"/>
  <c r="I30" i="1"/>
  <c r="I33" i="1"/>
  <c r="H30" i="1"/>
  <c r="H32" i="1"/>
  <c r="I32" i="1"/>
  <c r="H21" i="1"/>
  <c r="H75" i="1"/>
  <c r="H25" i="1"/>
  <c r="H64" i="1"/>
  <c r="N43" i="11"/>
  <c r="BD81" i="1"/>
  <c r="BD87" i="1"/>
  <c r="BD78" i="1"/>
  <c r="CB55" i="17"/>
  <c r="CA55" i="17"/>
  <c r="I100" i="1"/>
  <c r="I115" i="1"/>
  <c r="BR100" i="1"/>
  <c r="BR106" i="1" s="1"/>
  <c r="BC77" i="1"/>
  <c r="BC81" i="1"/>
  <c r="BC78" i="1"/>
  <c r="AI55" i="1"/>
  <c r="AI76" i="1"/>
  <c r="AM54" i="1"/>
  <c r="AZ76" i="1"/>
  <c r="AZ55" i="1"/>
  <c r="AZ54" i="1"/>
  <c r="BD54" i="1"/>
  <c r="N57" i="1"/>
  <c r="M58" i="1"/>
  <c r="BS57" i="1"/>
  <c r="BS58" i="1"/>
  <c r="BX145" i="1"/>
  <c r="K157" i="1"/>
  <c r="BX157" i="1" s="1"/>
  <c r="L159" i="1"/>
  <c r="BK153" i="1"/>
  <c r="BK154" i="1" s="1"/>
  <c r="BK155" i="1"/>
  <c r="BL127" i="1"/>
  <c r="BP127" i="1"/>
  <c r="BL129" i="1"/>
  <c r="BI129" i="1"/>
  <c r="BM127" i="1"/>
  <c r="BI128" i="1"/>
  <c r="BF115" i="1"/>
  <c r="BG118" i="1"/>
  <c r="L110" i="1"/>
  <c r="M110" i="1"/>
  <c r="BU81" i="1"/>
  <c r="AL87" i="1"/>
  <c r="AP77" i="1"/>
  <c r="AL78" i="1"/>
  <c r="AL77" i="1"/>
  <c r="AL81" i="1"/>
  <c r="G74" i="1"/>
  <c r="H74" i="1"/>
  <c r="G75" i="1"/>
  <c r="BT69" i="1"/>
  <c r="BT76" i="1"/>
  <c r="G66" i="1"/>
  <c r="H69" i="1"/>
  <c r="BT57" i="1"/>
  <c r="BT58" i="1"/>
  <c r="AP57" i="1"/>
  <c r="BM53" i="1"/>
  <c r="BM52" i="1"/>
  <c r="BQ51" i="1"/>
  <c r="BA54" i="1"/>
  <c r="BA76" i="1"/>
  <c r="AS53" i="1"/>
  <c r="AW51" i="1"/>
  <c r="AS52" i="1"/>
  <c r="AS51" i="1"/>
  <c r="F51" i="1"/>
  <c r="E52" i="1"/>
  <c r="K46" i="1"/>
  <c r="J50" i="1"/>
  <c r="K37" i="1"/>
  <c r="BL75" i="1"/>
  <c r="BL21" i="1"/>
  <c r="BL17" i="1"/>
  <c r="BL13" i="1"/>
  <c r="BL32" i="1"/>
  <c r="BL30" i="1"/>
  <c r="BM32" i="1"/>
  <c r="BL33" i="1"/>
  <c r="BL41" i="1"/>
  <c r="BL44" i="1"/>
  <c r="BL47" i="1"/>
  <c r="BL66" i="1"/>
  <c r="BL25" i="1"/>
  <c r="BL53" i="1"/>
  <c r="BL31" i="1"/>
  <c r="BL38" i="1"/>
  <c r="BL72" i="1"/>
  <c r="BL28" i="1"/>
  <c r="BM31" i="1"/>
  <c r="BE28" i="1"/>
  <c r="BE47" i="1"/>
  <c r="BE66" i="1"/>
  <c r="BE25" i="1"/>
  <c r="BE17" i="1"/>
  <c r="BE31" i="1"/>
  <c r="BE33" i="1"/>
  <c r="BE38" i="1"/>
  <c r="BE41" i="1"/>
  <c r="BE44" i="1"/>
  <c r="BE56" i="1"/>
  <c r="BE21" i="1"/>
  <c r="BE13" i="1"/>
  <c r="BE30" i="1"/>
  <c r="BE53" i="1"/>
  <c r="BE72" i="1"/>
  <c r="AO28" i="1"/>
  <c r="AS30" i="1"/>
  <c r="AO44" i="1"/>
  <c r="AO53" i="1"/>
  <c r="AO13" i="1"/>
  <c r="AO72" i="1"/>
  <c r="AO75" i="1"/>
  <c r="AO21" i="1"/>
  <c r="AO30" i="1"/>
  <c r="AO47" i="1"/>
  <c r="K13" i="1"/>
  <c r="K56" i="1"/>
  <c r="K75" i="1"/>
  <c r="K17" i="1"/>
  <c r="K66" i="1"/>
  <c r="K21" i="1"/>
  <c r="L30" i="1"/>
  <c r="K38" i="1"/>
  <c r="K44" i="1"/>
  <c r="L32" i="1"/>
  <c r="K72" i="1"/>
  <c r="K25" i="1"/>
  <c r="K53" i="1"/>
  <c r="L33" i="1"/>
  <c r="K28" i="1"/>
  <c r="R2" i="1"/>
  <c r="BO118" i="1"/>
  <c r="BN115" i="1"/>
  <c r="H35" i="19"/>
  <c r="H8" i="19"/>
  <c r="V24" i="15"/>
  <c r="V22" i="15"/>
  <c r="O55" i="1"/>
  <c r="O54" i="1"/>
  <c r="N76" i="1"/>
  <c r="N66" i="1"/>
  <c r="BZ65" i="1"/>
  <c r="AP88" i="1"/>
  <c r="AT88" i="1"/>
  <c r="AP91" i="1"/>
  <c r="AT92" i="1" s="1"/>
  <c r="AW58" i="1"/>
  <c r="L57" i="1"/>
  <c r="BY56" i="1"/>
  <c r="L58" i="1"/>
  <c r="BX153" i="1"/>
  <c r="AV89" i="1"/>
  <c r="AV78" i="1"/>
  <c r="AV81" i="1"/>
  <c r="E55" i="1"/>
  <c r="E76" i="1"/>
  <c r="M158" i="1"/>
  <c r="BN153" i="1"/>
  <c r="M137" i="1"/>
  <c r="BO128" i="1"/>
  <c r="BO129" i="1"/>
  <c r="K107" i="1"/>
  <c r="K115" i="1"/>
  <c r="G81" i="1"/>
  <c r="H80" i="1"/>
  <c r="G80" i="1"/>
  <c r="G87" i="1"/>
  <c r="M74" i="1"/>
  <c r="L74" i="1"/>
  <c r="BY73" i="1"/>
  <c r="L75" i="1"/>
  <c r="M69" i="1"/>
  <c r="M65" i="1"/>
  <c r="AL58" i="1"/>
  <c r="AK56" i="1"/>
  <c r="AK58" i="1" s="1"/>
  <c r="AK55" i="1"/>
  <c r="AK76" i="1"/>
  <c r="BP51" i="1"/>
  <c r="BP52" i="1"/>
  <c r="BP53" i="1"/>
  <c r="BT51" i="1"/>
  <c r="J46" i="1"/>
  <c r="BP30" i="1"/>
  <c r="BS47" i="1"/>
  <c r="BS72" i="1"/>
  <c r="BS33" i="1"/>
  <c r="BS52" i="1"/>
  <c r="BT31" i="1"/>
  <c r="BS41" i="1"/>
  <c r="BS38" i="1"/>
  <c r="BS13" i="1"/>
  <c r="BS21" i="1"/>
  <c r="BS53" i="1"/>
  <c r="BS31" i="1"/>
  <c r="BS75" i="1"/>
  <c r="BS28" i="1"/>
  <c r="BS25" i="1"/>
  <c r="BS66" i="1"/>
  <c r="BS32" i="1"/>
  <c r="BH30" i="1"/>
  <c r="BH56" i="1"/>
  <c r="BH72" i="1"/>
  <c r="BI31" i="1"/>
  <c r="BH64" i="1"/>
  <c r="BH75" i="1"/>
  <c r="BH21" i="1"/>
  <c r="BH17" i="1"/>
  <c r="BH13" i="1"/>
  <c r="BH47" i="1"/>
  <c r="BH66" i="1"/>
  <c r="BH25" i="1"/>
  <c r="BH53" i="1"/>
  <c r="BH31" i="1"/>
  <c r="AR75" i="1"/>
  <c r="AR21" i="1"/>
  <c r="AR13" i="1"/>
  <c r="AR47" i="1"/>
  <c r="AR64" i="1"/>
  <c r="AR66" i="1"/>
  <c r="AR25" i="1"/>
  <c r="AR17" i="1"/>
  <c r="AR53" i="1"/>
  <c r="AR30" i="1"/>
  <c r="AR44" i="1"/>
  <c r="AR52" i="1"/>
  <c r="AR28" i="1"/>
  <c r="O50" i="14"/>
  <c r="BO88" i="1"/>
  <c r="BO91" i="1"/>
  <c r="BX155" i="1"/>
  <c r="AW91" i="1"/>
  <c r="BG55" i="1"/>
  <c r="BG54" i="1"/>
  <c r="BG76" i="1"/>
  <c r="BC91" i="1"/>
  <c r="BC92" i="1" s="1"/>
  <c r="BC88" i="1"/>
  <c r="BC89" i="1"/>
  <c r="BC128" i="1"/>
  <c r="BI91" i="1"/>
  <c r="BI89" i="1"/>
  <c r="AM78" i="1"/>
  <c r="AQ77" i="1"/>
  <c r="AM81" i="1"/>
  <c r="AM87" i="1"/>
  <c r="AI58" i="1"/>
  <c r="AM57" i="1"/>
  <c r="F76" i="1"/>
  <c r="G54" i="1"/>
  <c r="F54" i="1"/>
  <c r="F55" i="1"/>
  <c r="BX50" i="1"/>
  <c r="K52" i="1"/>
  <c r="J153" i="1"/>
  <c r="BB154" i="1"/>
  <c r="AY128" i="1"/>
  <c r="AY127" i="1"/>
  <c r="N124" i="1"/>
  <c r="BR125" i="1"/>
  <c r="BS124" i="1"/>
  <c r="BR126" i="1"/>
  <c r="H125" i="1"/>
  <c r="G126" i="1"/>
  <c r="AZ115" i="1"/>
  <c r="AZ116" i="1" s="1"/>
  <c r="BA118" i="1"/>
  <c r="BA115" i="1" s="1"/>
  <c r="BA116" i="1" s="1"/>
  <c r="AP116" i="1"/>
  <c r="AT117" i="1" s="1"/>
  <c r="AQ115" i="1"/>
  <c r="G107" i="1"/>
  <c r="G131" i="1"/>
  <c r="G100" i="1"/>
  <c r="J108" i="1"/>
  <c r="K106" i="1"/>
  <c r="BO82" i="1"/>
  <c r="BP82" i="1"/>
  <c r="BQ82" i="1"/>
  <c r="BR82" i="1" s="1"/>
  <c r="BS82" i="1" s="1"/>
  <c r="BT82" i="1" s="1"/>
  <c r="BU82" i="1" s="1"/>
  <c r="J80" i="1"/>
  <c r="BZ68" i="1"/>
  <c r="N69" i="1"/>
  <c r="O69" i="1" s="1"/>
  <c r="O68" i="1" s="1"/>
  <c r="I68" i="1"/>
  <c r="J69" i="1" s="1"/>
  <c r="I69" i="1"/>
  <c r="I66" i="1"/>
  <c r="I63" i="1"/>
  <c r="J63" i="1"/>
  <c r="I64" i="1"/>
  <c r="BL58" i="1"/>
  <c r="BL57" i="1"/>
  <c r="BQ76" i="1"/>
  <c r="BQ54" i="1"/>
  <c r="BU55" i="1"/>
  <c r="BU76" i="1"/>
  <c r="BU54" i="1"/>
  <c r="BC51" i="1"/>
  <c r="BG51" i="1"/>
  <c r="R51" i="1"/>
  <c r="R52" i="1"/>
  <c r="R53" i="1"/>
  <c r="AF50" i="1"/>
  <c r="BV50" i="1"/>
  <c r="I52" i="1"/>
  <c r="I53" i="1"/>
  <c r="H46" i="1"/>
  <c r="I46" i="1"/>
  <c r="H50" i="1"/>
  <c r="H47" i="1"/>
  <c r="BY42" i="1"/>
  <c r="L43" i="1"/>
  <c r="L44" i="1"/>
  <c r="M43" i="1"/>
  <c r="H43" i="1"/>
  <c r="I43" i="1"/>
  <c r="H44" i="1"/>
  <c r="L40" i="1"/>
  <c r="K41" i="1"/>
  <c r="K40" i="1"/>
  <c r="AU47" i="1"/>
  <c r="AU72" i="1"/>
  <c r="AU44" i="1"/>
  <c r="AU30" i="1"/>
  <c r="AU28" i="1"/>
  <c r="AU53" i="1"/>
  <c r="AU75" i="1"/>
  <c r="AU21" i="1"/>
  <c r="AU66" i="1"/>
  <c r="AU13" i="1"/>
  <c r="AF56" i="1"/>
  <c r="R58" i="1"/>
  <c r="P13" i="1"/>
  <c r="P53" i="1"/>
  <c r="P44" i="1"/>
  <c r="P41" i="1"/>
  <c r="P25" i="1"/>
  <c r="P47" i="1"/>
  <c r="P30" i="1"/>
  <c r="P56" i="1"/>
  <c r="P75" i="1"/>
  <c r="P32" i="1"/>
  <c r="P72" i="1"/>
  <c r="P28" i="1"/>
  <c r="Q30" i="1"/>
  <c r="J19" i="1"/>
  <c r="J29" i="1"/>
  <c r="J21" i="1" s="1"/>
  <c r="BK55" i="17"/>
  <c r="BJ55" i="17"/>
  <c r="CN182" i="7"/>
  <c r="CD45" i="8"/>
  <c r="CH17" i="11"/>
  <c r="CA49" i="22"/>
  <c r="CN12" i="16"/>
  <c r="CK18" i="6"/>
  <c r="CB12" i="21"/>
  <c r="CL11" i="16"/>
  <c r="DQ88" i="8"/>
  <c r="DN88" i="8"/>
  <c r="DO88" i="8"/>
  <c r="DP88" i="8"/>
  <c r="CB90" i="7"/>
  <c r="CF90" i="7"/>
  <c r="CR87" i="7"/>
  <c r="CR90" i="7"/>
  <c r="CV90" i="7"/>
  <c r="CW462" i="12"/>
  <c r="CW467" i="12"/>
  <c r="CO560" i="12"/>
  <c r="Q560" i="12" s="1"/>
  <c r="CS564" i="12"/>
  <c r="CR40" i="14"/>
  <c r="CR39" i="14"/>
  <c r="CN86" i="14"/>
  <c r="CR87" i="14"/>
  <c r="H111" i="14"/>
  <c r="L111" i="14"/>
  <c r="BJ111" i="15"/>
  <c r="I111" i="15"/>
  <c r="T127" i="15"/>
  <c r="CJ138" i="15"/>
  <c r="CJ90" i="15"/>
  <c r="CK138" i="15"/>
  <c r="CN137" i="15"/>
  <c r="T135" i="15"/>
  <c r="CB18" i="8"/>
  <c r="CB17" i="8" s="1"/>
  <c r="CK128" i="17"/>
  <c r="CO109" i="17"/>
  <c r="CH12" i="21"/>
  <c r="CR11" i="16"/>
  <c r="CU11" i="16"/>
  <c r="CK12" i="21"/>
  <c r="CL45" i="6"/>
  <c r="CE30" i="21"/>
  <c r="CN30" i="21"/>
  <c r="CU45" i="6"/>
  <c r="CC30" i="21"/>
  <c r="CJ45" i="6"/>
  <c r="CG30" i="21"/>
  <c r="CN45" i="6"/>
  <c r="BR110" i="21"/>
  <c r="BW110" i="21"/>
  <c r="BZ110" i="21"/>
  <c r="CH110" i="21"/>
  <c r="CP110" i="21"/>
  <c r="CX110" i="21"/>
  <c r="BC155" i="1"/>
  <c r="BQ129" i="1"/>
  <c r="AY115" i="1"/>
  <c r="AY116" i="1" s="1"/>
  <c r="BS105" i="1"/>
  <c r="K64" i="1"/>
  <c r="BU58" i="1"/>
  <c r="BR57" i="1"/>
  <c r="BB56" i="1"/>
  <c r="AH56" i="1"/>
  <c r="AH58" i="1" s="1"/>
  <c r="BL52" i="1"/>
  <c r="BB52" i="1"/>
  <c r="BI51" i="1"/>
  <c r="BO52" i="1"/>
  <c r="BX42" i="1"/>
  <c r="BM33" i="1"/>
  <c r="BF33" i="1"/>
  <c r="BT32" i="1"/>
  <c r="BF32" i="1"/>
  <c r="AV30" i="1"/>
  <c r="BU31" i="1"/>
  <c r="BR30" i="1"/>
  <c r="BI28" i="1"/>
  <c r="DG195" i="7"/>
  <c r="CB78" i="8"/>
  <c r="N52" i="8"/>
  <c r="CM71" i="14"/>
  <c r="CN59" i="14"/>
  <c r="CM61" i="14"/>
  <c r="CM60" i="14"/>
  <c r="Q194" i="7"/>
  <c r="Q23" i="7"/>
  <c r="S194" i="7"/>
  <c r="S23" i="7"/>
  <c r="CK579" i="12"/>
  <c r="CK630" i="12"/>
  <c r="DB740" i="12"/>
  <c r="DB742" i="12" s="1"/>
  <c r="DB743" i="12" s="1"/>
  <c r="BY123" i="22"/>
  <c r="CO86" i="14"/>
  <c r="CS87" i="14"/>
  <c r="I138" i="14"/>
  <c r="H99" i="15"/>
  <c r="H100" i="15" s="1"/>
  <c r="BD101" i="15"/>
  <c r="DH119" i="15"/>
  <c r="BV109" i="17"/>
  <c r="BR44" i="17"/>
  <c r="CK118" i="17"/>
  <c r="F22" i="19"/>
  <c r="F28" i="19" s="1"/>
  <c r="E37" i="19"/>
  <c r="E40" i="19" s="1"/>
  <c r="E38" i="19"/>
  <c r="CZ11" i="16"/>
  <c r="CP12" i="21"/>
  <c r="CF30" i="21"/>
  <c r="CM45" i="6"/>
  <c r="BA81" i="21"/>
  <c r="BA71" i="21"/>
  <c r="BP110" i="21"/>
  <c r="CF110" i="21"/>
  <c r="CN110" i="21"/>
  <c r="CV110" i="21"/>
  <c r="BK407" i="21"/>
  <c r="BL406" i="21" s="1"/>
  <c r="BL407" i="21" s="1"/>
  <c r="BM406" i="21" s="1"/>
  <c r="BM407" i="21" s="1"/>
  <c r="BN406" i="21" s="1"/>
  <c r="BN407" i="21" s="1"/>
  <c r="BO406" i="21" s="1"/>
  <c r="BO407" i="21" s="1"/>
  <c r="BP406" i="21" s="1"/>
  <c r="N24" i="8"/>
  <c r="BZ171" i="7"/>
  <c r="CD90" i="7"/>
  <c r="DE462" i="12"/>
  <c r="DE358" i="12"/>
  <c r="CX740" i="12"/>
  <c r="CX742" i="12" s="1"/>
  <c r="CX743" i="12" s="1"/>
  <c r="CX727" i="12"/>
  <c r="CX728" i="12"/>
  <c r="CX747" i="12" s="1"/>
  <c r="CX749" i="12" s="1"/>
  <c r="CB28" i="14"/>
  <c r="CC28" i="14"/>
  <c r="CP86" i="14"/>
  <c r="CT87" i="14"/>
  <c r="CQ86" i="14"/>
  <c r="BZ110" i="14"/>
  <c r="I111" i="14"/>
  <c r="BI47" i="15"/>
  <c r="BI46" i="15" s="1"/>
  <c r="BI43" i="15"/>
  <c r="BH44" i="15"/>
  <c r="BY111" i="15"/>
  <c r="M111" i="15" s="1"/>
  <c r="BY36" i="17"/>
  <c r="BB94" i="17"/>
  <c r="BB83" i="17"/>
  <c r="BB92" i="17"/>
  <c r="BB85" i="17"/>
  <c r="BV70" i="22"/>
  <c r="CD49" i="17"/>
  <c r="CQ18" i="6"/>
  <c r="CG49" i="22"/>
  <c r="CN17" i="11"/>
  <c r="CM12" i="21"/>
  <c r="CW11" i="16"/>
  <c r="CW28" i="21"/>
  <c r="DD39" i="6"/>
  <c r="CL110" i="21"/>
  <c r="CT110" i="21"/>
  <c r="BT38" i="1"/>
  <c r="BR33" i="1"/>
  <c r="BI33" i="1"/>
  <c r="BI32" i="1"/>
  <c r="BR31" i="1"/>
  <c r="CB58" i="8"/>
  <c r="J202" i="21"/>
  <c r="J204" i="21"/>
  <c r="CF12" i="21"/>
  <c r="CP11" i="16"/>
  <c r="N22" i="8"/>
  <c r="CY90" i="7"/>
  <c r="CY87" i="7"/>
  <c r="F37" i="14"/>
  <c r="F32" i="14" s="1"/>
  <c r="F30" i="14" s="1"/>
  <c r="F31" i="14" s="1"/>
  <c r="F17" i="14"/>
  <c r="K111" i="14"/>
  <c r="BF101" i="15"/>
  <c r="I99" i="15"/>
  <c r="BO99" i="15"/>
  <c r="BO101" i="15" s="1"/>
  <c r="BO102" i="15" s="1"/>
  <c r="BP100" i="15"/>
  <c r="Q111" i="15"/>
  <c r="CW18" i="8"/>
  <c r="CW14" i="17"/>
  <c r="BW44" i="17"/>
  <c r="BW109" i="17"/>
  <c r="CM49" i="17"/>
  <c r="CM110" i="8"/>
  <c r="CD30" i="21"/>
  <c r="CK45" i="6"/>
  <c r="CO45" i="6"/>
  <c r="CH30" i="21"/>
  <c r="CR30" i="21"/>
  <c r="CY45" i="6"/>
  <c r="CP43" i="6"/>
  <c r="CT43" i="6"/>
  <c r="CB110" i="21"/>
  <c r="CJ110" i="21"/>
  <c r="CR110" i="21"/>
  <c r="CJ44" i="8"/>
  <c r="DC181" i="7"/>
  <c r="CO304" i="13"/>
  <c r="CO306" i="13" s="1"/>
  <c r="K32" i="22"/>
  <c r="L112" i="22"/>
  <c r="DB147" i="17"/>
  <c r="BS401" i="21"/>
  <c r="DQ87" i="8"/>
  <c r="DN87" i="8"/>
  <c r="DO87" i="8"/>
  <c r="DP87" i="8"/>
  <c r="X383" i="12"/>
  <c r="X356" i="12"/>
  <c r="X629" i="12"/>
  <c r="X694" i="12"/>
  <c r="BW301" i="12"/>
  <c r="DK28" i="12"/>
  <c r="H16" i="37" s="1"/>
  <c r="DG245" i="12"/>
  <c r="DK250" i="12"/>
  <c r="H25" i="37" s="1"/>
  <c r="BX552" i="12"/>
  <c r="BY552" i="12" s="1"/>
  <c r="CO349" i="13"/>
  <c r="I106" i="14"/>
  <c r="J110" i="14"/>
  <c r="J111" i="14" s="1"/>
  <c r="CM91" i="15"/>
  <c r="DH182" i="15"/>
  <c r="E38" i="37"/>
  <c r="DN44" i="16"/>
  <c r="DM44" i="16"/>
  <c r="BZ66" i="22"/>
  <c r="BZ70" i="22" s="1"/>
  <c r="P141" i="17"/>
  <c r="K69" i="22" s="1"/>
  <c r="BX61" i="11"/>
  <c r="DC256" i="21"/>
  <c r="DL23" i="12"/>
  <c r="DB255" i="21"/>
  <c r="DL21" i="12" s="1"/>
  <c r="DL27" i="15"/>
  <c r="DL135" i="17"/>
  <c r="DN112" i="13"/>
  <c r="DR113" i="13" s="1"/>
  <c r="DM112" i="13"/>
  <c r="DM115" i="13"/>
  <c r="CB53" i="6"/>
  <c r="CN43" i="6"/>
  <c r="CV74" i="8"/>
  <c r="CG82" i="7"/>
  <c r="CV85" i="12"/>
  <c r="CK287" i="12"/>
  <c r="BX118" i="22" s="1"/>
  <c r="CL49" i="11"/>
  <c r="P58" i="14"/>
  <c r="P13" i="14"/>
  <c r="CP28" i="14"/>
  <c r="DH37" i="14"/>
  <c r="CU45" i="14"/>
  <c r="CR84" i="14"/>
  <c r="CV84" i="14"/>
  <c r="CZ84" i="14"/>
  <c r="E111" i="14"/>
  <c r="L111" i="15"/>
  <c r="DN47" i="16"/>
  <c r="DM47" i="16"/>
  <c r="M114" i="17"/>
  <c r="CF114" i="17"/>
  <c r="CO114" i="17"/>
  <c r="CO128" i="17" s="1"/>
  <c r="CY114" i="17"/>
  <c r="DG114" i="17"/>
  <c r="CH126" i="17"/>
  <c r="BN65" i="22"/>
  <c r="BN70" i="22" s="1"/>
  <c r="BJ138" i="17"/>
  <c r="BX69" i="22"/>
  <c r="BX70" i="22" s="1"/>
  <c r="CN69" i="22"/>
  <c r="BP10" i="21"/>
  <c r="CG20" i="21"/>
  <c r="CG10" i="21" s="1"/>
  <c r="DH73" i="6"/>
  <c r="F35" i="20"/>
  <c r="F8" i="20"/>
  <c r="CE282" i="21"/>
  <c r="DM694" i="12"/>
  <c r="DF245" i="12"/>
  <c r="E24" i="37"/>
  <c r="DH245" i="12"/>
  <c r="BY545" i="12"/>
  <c r="DN46" i="16"/>
  <c r="DM46" i="16"/>
  <c r="I89" i="21"/>
  <c r="AQ104" i="21"/>
  <c r="AQ108" i="21" s="1"/>
  <c r="CG69" i="22"/>
  <c r="CG70" i="22" s="1"/>
  <c r="CT126" i="17"/>
  <c r="DB130" i="21"/>
  <c r="DL141" i="17" s="1"/>
  <c r="DL17" i="17"/>
  <c r="DH109" i="17"/>
  <c r="CD91" i="13"/>
  <c r="CD178" i="7"/>
  <c r="DL87" i="8"/>
  <c r="DH287" i="12"/>
  <c r="CP180" i="12"/>
  <c r="DE250" i="12"/>
  <c r="DG246" i="12"/>
  <c r="DG281" i="12" s="1"/>
  <c r="O90" i="15"/>
  <c r="DK44" i="16"/>
  <c r="DN45" i="16"/>
  <c r="DM45" i="16"/>
  <c r="DK21" i="17"/>
  <c r="DJ21" i="17"/>
  <c r="CI114" i="17"/>
  <c r="CM115" i="17" s="1"/>
  <c r="CN114" i="17"/>
  <c r="CT66" i="22"/>
  <c r="CT70" i="22" s="1"/>
  <c r="CI26" i="21"/>
  <c r="H74" i="21"/>
  <c r="H81" i="21" s="1"/>
  <c r="DI28" i="14"/>
  <c r="DK347" i="12"/>
  <c r="DK122" i="12"/>
  <c r="DK127" i="12" s="1"/>
  <c r="DK125" i="12"/>
  <c r="DK126" i="12"/>
  <c r="DK463" i="12"/>
  <c r="AX131" i="21"/>
  <c r="BF354" i="21"/>
  <c r="BN380" i="21"/>
  <c r="BN381" i="21" s="1"/>
  <c r="BF396" i="21"/>
  <c r="BF402" i="21" s="1"/>
  <c r="BO396" i="21"/>
  <c r="BO402" i="21" s="1"/>
  <c r="DI55" i="12"/>
  <c r="DI444" i="12"/>
  <c r="DI99" i="8"/>
  <c r="DI100" i="8" s="1"/>
  <c r="DJ97" i="15"/>
  <c r="DJ55" i="14"/>
  <c r="DJ287" i="12"/>
  <c r="DJ246" i="12"/>
  <c r="DJ248" i="12" s="1"/>
  <c r="E38" i="20"/>
  <c r="X115" i="13"/>
  <c r="Y116" i="13" s="1"/>
  <c r="DK24" i="14"/>
  <c r="DK288" i="12"/>
  <c r="DK73" i="14"/>
  <c r="DK74" i="14" s="1"/>
  <c r="DK33" i="8"/>
  <c r="DK51" i="8"/>
  <c r="DK75" i="8"/>
  <c r="DK9" i="14"/>
  <c r="DI245" i="12"/>
  <c r="DB371" i="21"/>
  <c r="DB377" i="21"/>
  <c r="DL24" i="8" s="1"/>
  <c r="DB401" i="21"/>
  <c r="DL56" i="8" s="1"/>
  <c r="DL51" i="14"/>
  <c r="DI117" i="6"/>
  <c r="DI182" i="15"/>
  <c r="DM23" i="7"/>
  <c r="DM27" i="16"/>
  <c r="DM250" i="12"/>
  <c r="J25" i="37" s="1"/>
  <c r="DC95" i="21"/>
  <c r="DC109" i="21" s="1"/>
  <c r="DC110" i="21" s="1"/>
  <c r="DJ68" i="6"/>
  <c r="DJ85" i="6"/>
  <c r="DM42" i="12"/>
  <c r="DM54" i="13"/>
  <c r="DM37" i="14"/>
  <c r="DM17" i="14"/>
  <c r="J39" i="37" s="1"/>
  <c r="DC374" i="21"/>
  <c r="DM21" i="8" s="1"/>
  <c r="W21" i="8" s="1"/>
  <c r="DC393" i="21"/>
  <c r="DK97" i="15"/>
  <c r="DK72" i="14"/>
  <c r="DK380" i="12"/>
  <c r="DL65" i="7"/>
  <c r="DA381" i="21"/>
  <c r="DB278" i="21"/>
  <c r="DB397" i="21"/>
  <c r="DL52" i="8" s="1"/>
  <c r="DL27" i="14"/>
  <c r="DL28" i="14" s="1"/>
  <c r="DM102" i="13"/>
  <c r="DM104" i="13"/>
  <c r="DM103" i="13"/>
  <c r="DM182" i="7"/>
  <c r="DM72" i="14"/>
  <c r="DM68" i="15"/>
  <c r="J34" i="37" s="1"/>
  <c r="DM64" i="15"/>
  <c r="DQ65" i="15" s="1"/>
  <c r="DM27" i="15"/>
  <c r="DM26" i="15"/>
  <c r="DM171" i="7"/>
  <c r="DM165" i="7"/>
  <c r="DM433" i="12"/>
  <c r="DQ434" i="12" s="1"/>
  <c r="DM28" i="12"/>
  <c r="J16" i="37" s="1"/>
  <c r="DM444" i="12"/>
  <c r="DQ445" i="12" s="1"/>
  <c r="DM110" i="13"/>
  <c r="DM49" i="14"/>
  <c r="DM84" i="14"/>
  <c r="DM66" i="14"/>
  <c r="J40" i="37" s="1"/>
  <c r="DM118" i="15"/>
  <c r="DM119" i="15" s="1"/>
  <c r="DM116" i="15"/>
  <c r="BO376" i="21"/>
  <c r="DI36" i="13"/>
  <c r="V36" i="13" s="1"/>
  <c r="DJ152" i="15"/>
  <c r="DK66" i="14"/>
  <c r="DK56" i="8"/>
  <c r="DC131" i="21"/>
  <c r="DC379" i="21"/>
  <c r="DM32" i="8" s="1"/>
  <c r="DA385" i="21"/>
  <c r="DC396" i="21"/>
  <c r="DM51" i="8" s="1"/>
  <c r="DB375" i="21"/>
  <c r="DL22" i="8" s="1"/>
  <c r="DB399" i="21"/>
  <c r="DL54" i="8" s="1"/>
  <c r="DM26" i="14"/>
  <c r="DM24" i="14"/>
  <c r="DL433" i="12"/>
  <c r="DP434" i="12" s="1"/>
  <c r="DM122" i="12"/>
  <c r="DM126" i="12"/>
  <c r="DN177" i="7"/>
  <c r="DM179" i="7"/>
  <c r="DM30" i="12"/>
  <c r="DM264" i="12"/>
  <c r="DM51" i="14"/>
  <c r="DM45" i="14"/>
  <c r="DQ46" i="14" s="1"/>
  <c r="DM152" i="15"/>
  <c r="DQ168" i="15" s="1"/>
  <c r="DM15" i="15"/>
  <c r="DM55" i="17"/>
  <c r="DC12" i="21"/>
  <c r="DM50" i="7"/>
  <c r="X113" i="13"/>
  <c r="CR390" i="21"/>
  <c r="DC380" i="21"/>
  <c r="DM33" i="8" s="1"/>
  <c r="DC389" i="21"/>
  <c r="DM43" i="8" s="1"/>
  <c r="W43" i="8" s="1"/>
  <c r="DC397" i="21"/>
  <c r="DM52" i="8" s="1"/>
  <c r="DM78" i="8" s="1"/>
  <c r="DB369" i="21"/>
  <c r="DC369" i="21" s="1"/>
  <c r="DB376" i="21"/>
  <c r="DL23" i="8" s="1"/>
  <c r="DB384" i="21"/>
  <c r="DC384" i="21" s="1"/>
  <c r="DB395" i="21"/>
  <c r="DC398" i="21"/>
  <c r="DM53" i="8" s="1"/>
  <c r="DL53" i="8"/>
  <c r="DL463" i="12"/>
  <c r="DI112" i="6"/>
  <c r="DL99" i="8"/>
  <c r="DL100" i="8" s="1"/>
  <c r="DM34" i="13"/>
  <c r="W34" i="13" s="1"/>
  <c r="DM12" i="15"/>
  <c r="DM13" i="15"/>
  <c r="DM18" i="15"/>
  <c r="DQ19" i="15" s="1"/>
  <c r="DC179" i="21"/>
  <c r="DC202" i="21" s="1"/>
  <c r="DC205" i="21"/>
  <c r="DJ43" i="6"/>
  <c r="DM20" i="16"/>
  <c r="CZ128" i="22"/>
  <c r="DM471" i="12"/>
  <c r="DG23" i="11"/>
  <c r="DM39" i="12"/>
  <c r="DC26" i="21"/>
  <c r="DC36" i="21"/>
  <c r="DC38" i="21" s="1"/>
  <c r="DC41" i="21" s="1"/>
  <c r="DC47" i="21" s="1"/>
  <c r="DC52" i="21" s="1"/>
  <c r="DC54" i="21" s="1"/>
  <c r="DC56" i="21" s="1"/>
  <c r="DD390" i="21"/>
  <c r="DN44" i="8" s="1"/>
  <c r="DN42" i="8"/>
  <c r="DM74" i="14"/>
  <c r="DN694" i="12"/>
  <c r="DN383" i="12"/>
  <c r="DN356" i="12"/>
  <c r="DN73" i="13"/>
  <c r="DA128" i="22" s="1"/>
  <c r="DN22" i="15"/>
  <c r="DN55" i="17"/>
  <c r="DN161" i="15"/>
  <c r="DK49" i="6"/>
  <c r="DD95" i="21"/>
  <c r="DD109" i="21" s="1"/>
  <c r="DN463" i="12"/>
  <c r="DN102" i="13"/>
  <c r="DN16" i="15"/>
  <c r="DN116" i="15"/>
  <c r="DN21" i="17"/>
  <c r="DN135" i="17"/>
  <c r="DN70" i="13"/>
  <c r="K49" i="37" s="1"/>
  <c r="DH40" i="11"/>
  <c r="DN51" i="14"/>
  <c r="DN15" i="15"/>
  <c r="DN118" i="15"/>
  <c r="DK68" i="6"/>
  <c r="DN30" i="12"/>
  <c r="DN110" i="13"/>
  <c r="DN17" i="14"/>
  <c r="K39" i="37" s="1"/>
  <c r="DN84" i="14"/>
  <c r="DN79" i="14" s="1"/>
  <c r="DN77" i="14" s="1"/>
  <c r="DN78" i="14" s="1"/>
  <c r="DK116" i="6"/>
  <c r="DD170" i="21"/>
  <c r="M49" i="17"/>
  <c r="BR70" i="22"/>
  <c r="CJ128" i="17"/>
  <c r="BS70" i="22"/>
  <c r="BX127" i="17"/>
  <c r="I126" i="17"/>
  <c r="DE127" i="17"/>
  <c r="CB127" i="17"/>
  <c r="DH44" i="17"/>
  <c r="CL147" i="17"/>
  <c r="DJ44" i="17"/>
  <c r="BW127" i="17"/>
  <c r="CJ120" i="17"/>
  <c r="CH120" i="17"/>
  <c r="BR128" i="17"/>
  <c r="CZ128" i="17"/>
  <c r="J138" i="17"/>
  <c r="CF109" i="17"/>
  <c r="CA115" i="17"/>
  <c r="DG109" i="17"/>
  <c r="BK44" i="17"/>
  <c r="BO49" i="17"/>
  <c r="CK49" i="17"/>
  <c r="CZ127" i="17"/>
  <c r="CF44" i="17"/>
  <c r="N138" i="17"/>
  <c r="CJ109" i="17"/>
  <c r="CQ115" i="17"/>
  <c r="CR127" i="17"/>
  <c r="CK110" i="8"/>
  <c r="CO44" i="17"/>
  <c r="CM118" i="17"/>
  <c r="BR109" i="17"/>
  <c r="CM550" i="12"/>
  <c r="BN44" i="17"/>
  <c r="CA49" i="17"/>
  <c r="CH49" i="17"/>
  <c r="DN70" i="14"/>
  <c r="DN169" i="15"/>
  <c r="DN72" i="14"/>
  <c r="DN37" i="14"/>
  <c r="DN32" i="14" s="1"/>
  <c r="DN30" i="14" s="1"/>
  <c r="DN31" i="14" s="1"/>
  <c r="DN45" i="14"/>
  <c r="DN55" i="14"/>
  <c r="DN152" i="15"/>
  <c r="DN358" i="12"/>
  <c r="DN264" i="12"/>
  <c r="DB122" i="12"/>
  <c r="DB186" i="12"/>
  <c r="DB113" i="12"/>
  <c r="U112" i="12"/>
  <c r="DB114" i="12"/>
  <c r="DB126" i="12"/>
  <c r="DF113" i="12"/>
  <c r="X112" i="12"/>
  <c r="DH114" i="12"/>
  <c r="DH122" i="12"/>
  <c r="W112" i="12"/>
  <c r="DH113" i="12"/>
  <c r="DH125" i="12"/>
  <c r="DH186" i="12"/>
  <c r="CM223" i="12"/>
  <c r="CM179" i="12"/>
  <c r="CM198" i="12"/>
  <c r="DA122" i="12"/>
  <c r="T112" i="12"/>
  <c r="DA125" i="12"/>
  <c r="DA114" i="12"/>
  <c r="DA186" i="12"/>
  <c r="DI186" i="12"/>
  <c r="DE113" i="12"/>
  <c r="DF114" i="12"/>
  <c r="DE114" i="12"/>
  <c r="DE125" i="12"/>
  <c r="DE122" i="12"/>
  <c r="DE186" i="12"/>
  <c r="CT127" i="12"/>
  <c r="CT128" i="12" s="1"/>
  <c r="CT177" i="12"/>
  <c r="CB38" i="22"/>
  <c r="CS113" i="12"/>
  <c r="CO122" i="12"/>
  <c r="CO186" i="12"/>
  <c r="CO114" i="12"/>
  <c r="CO182" i="12"/>
  <c r="CO126" i="12"/>
  <c r="Q112" i="12"/>
  <c r="CP114" i="12"/>
  <c r="CY186" i="12"/>
  <c r="CV114" i="12"/>
  <c r="S112" i="12"/>
  <c r="CH38" i="22"/>
  <c r="CU125" i="12"/>
  <c r="CU126" i="12"/>
  <c r="DJ177" i="12"/>
  <c r="DJ127" i="12"/>
  <c r="DJ128" i="12" s="1"/>
  <c r="DM186" i="12"/>
  <c r="DL122" i="12"/>
  <c r="DD290" i="12"/>
  <c r="DL293" i="12"/>
  <c r="DL289" i="12"/>
  <c r="DP290" i="12" s="1"/>
  <c r="DA155" i="22"/>
  <c r="DN154" i="15"/>
  <c r="DN219" i="12"/>
  <c r="DN467" i="12"/>
  <c r="DN258" i="12"/>
  <c r="DN157" i="12"/>
  <c r="X563" i="12"/>
  <c r="X566" i="12" s="1"/>
  <c r="DN42" i="12"/>
  <c r="DD267" i="21"/>
  <c r="DD269" i="21" s="1"/>
  <c r="DD286" i="21"/>
  <c r="DD251" i="21"/>
  <c r="DN26" i="15"/>
  <c r="DN68" i="15"/>
  <c r="K34" i="37" s="1"/>
  <c r="DN27" i="15"/>
  <c r="DN11" i="15"/>
  <c r="DD179" i="21"/>
  <c r="DD202" i="21" s="1"/>
  <c r="DH102" i="11"/>
  <c r="DN18" i="17"/>
  <c r="DN114" i="17"/>
  <c r="K19" i="37" s="1"/>
  <c r="DN27" i="7"/>
  <c r="DN113" i="7" s="1"/>
  <c r="DD80" i="21"/>
  <c r="DK18" i="6"/>
  <c r="DA49" i="22"/>
  <c r="DH17" i="11"/>
  <c r="DD12" i="21"/>
  <c r="DD405" i="21"/>
  <c r="DN34" i="8"/>
  <c r="DN65" i="8" s="1"/>
  <c r="DN142" i="17"/>
  <c r="DA69" i="22"/>
  <c r="DN39" i="12"/>
  <c r="DN114" i="12"/>
  <c r="DA123" i="22"/>
  <c r="DH23" i="11"/>
  <c r="DK107" i="6"/>
  <c r="X107" i="6" s="1"/>
  <c r="DN65" i="7"/>
  <c r="DN178" i="7"/>
  <c r="DH50" i="11"/>
  <c r="DH53" i="11" s="1"/>
  <c r="DH54" i="11" s="1"/>
  <c r="DH55" i="11" s="1"/>
  <c r="DN192" i="7"/>
  <c r="DN125" i="12"/>
  <c r="DN20" i="7"/>
  <c r="DD26" i="21"/>
  <c r="DN53" i="12"/>
  <c r="DN113" i="12"/>
  <c r="DN126" i="12"/>
  <c r="DN54" i="13"/>
  <c r="DN61" i="7"/>
  <c r="X23" i="8"/>
  <c r="AA23" i="8" s="1"/>
  <c r="AB23" i="8" s="1"/>
  <c r="AC23" i="8" s="1"/>
  <c r="AD23" i="8" s="1"/>
  <c r="AE23" i="8" s="1"/>
  <c r="AF23" i="8" s="1"/>
  <c r="AG23" i="8" s="1"/>
  <c r="DN171" i="7"/>
  <c r="DN165" i="7"/>
  <c r="X15" i="7"/>
  <c r="DN182" i="7"/>
  <c r="X54" i="8"/>
  <c r="Y55" i="7"/>
  <c r="X58" i="7"/>
  <c r="DN42" i="7"/>
  <c r="DN50" i="7" s="1"/>
  <c r="DN23" i="7"/>
  <c r="DN111" i="7" s="1"/>
  <c r="DN118" i="7" s="1"/>
  <c r="DO99" i="8"/>
  <c r="DO100" i="8" s="1"/>
  <c r="X85" i="6"/>
  <c r="DN27" i="16"/>
  <c r="DK43" i="6"/>
  <c r="DK85" i="6"/>
  <c r="DK104" i="6"/>
  <c r="DK110" i="6" s="1"/>
  <c r="DN75" i="8"/>
  <c r="DN12" i="16"/>
  <c r="DN109" i="17"/>
  <c r="DN126" i="17"/>
  <c r="DR127" i="17" s="1"/>
  <c r="DN132" i="17"/>
  <c r="DN145" i="17"/>
  <c r="DR147" i="17" s="1"/>
  <c r="DN49" i="17"/>
  <c r="DN24" i="15"/>
  <c r="DN49" i="14"/>
  <c r="DN64" i="15"/>
  <c r="DR65" i="15" s="1"/>
  <c r="DN151" i="15"/>
  <c r="DR167" i="15" s="1"/>
  <c r="DN54" i="14"/>
  <c r="DN66" i="14"/>
  <c r="K40" i="37" s="1"/>
  <c r="DN60" i="13"/>
  <c r="K47" i="37" s="1"/>
  <c r="DN103" i="13"/>
  <c r="DN104" i="13"/>
  <c r="DN472" i="12"/>
  <c r="DN288" i="12"/>
  <c r="X288" i="12" s="1"/>
  <c r="DN332" i="12"/>
  <c r="DR333" i="12" s="1"/>
  <c r="DN326" i="12"/>
  <c r="DN433" i="12"/>
  <c r="DR434" i="12" s="1"/>
  <c r="DN28" i="12"/>
  <c r="K16" i="37" s="1"/>
  <c r="DN444" i="12"/>
  <c r="DR445" i="12" s="1"/>
  <c r="DN728" i="12"/>
  <c r="DN747" i="12" s="1"/>
  <c r="DN749" i="12" s="1"/>
  <c r="DO750" i="12" s="1"/>
  <c r="DO752" i="12" s="1"/>
  <c r="DO754" i="12" s="1"/>
  <c r="DO757" i="12" s="1"/>
  <c r="DN186" i="12"/>
  <c r="DN462" i="12"/>
  <c r="DI87" i="14" l="1"/>
  <c r="CF68" i="14"/>
  <c r="CB145" i="14"/>
  <c r="CB146" i="14" s="1"/>
  <c r="DI86" i="14"/>
  <c r="DJ86" i="14"/>
  <c r="CP47" i="14"/>
  <c r="CP57" i="14" s="1"/>
  <c r="DI66" i="15"/>
  <c r="BT118" i="15"/>
  <c r="BT119" i="15" s="1"/>
  <c r="BT91" i="15"/>
  <c r="BT98" i="15"/>
  <c r="BU90" i="15"/>
  <c r="BT215" i="13"/>
  <c r="BT257" i="13" s="1"/>
  <c r="BU98" i="15"/>
  <c r="AT76" i="15"/>
  <c r="E80" i="15"/>
  <c r="DJ23" i="15"/>
  <c r="BI55" i="15"/>
  <c r="J63" i="15"/>
  <c r="AV57" i="15"/>
  <c r="G34" i="37"/>
  <c r="I52" i="15"/>
  <c r="I23" i="15" s="1"/>
  <c r="CN65" i="15"/>
  <c r="AV55" i="15"/>
  <c r="CJ41" i="15"/>
  <c r="CJ59" i="15" s="1"/>
  <c r="DL70" i="15"/>
  <c r="DJ70" i="15"/>
  <c r="CG23" i="22"/>
  <c r="CW24" i="22"/>
  <c r="CW9" i="22"/>
  <c r="CW13" i="22" s="1"/>
  <c r="CW22" i="22" s="1"/>
  <c r="BL55" i="15"/>
  <c r="CG212" i="13"/>
  <c r="BL56" i="15"/>
  <c r="BL39" i="15" s="1"/>
  <c r="BP23" i="15"/>
  <c r="BV109" i="11"/>
  <c r="CB76" i="15"/>
  <c r="M54" i="14"/>
  <c r="M45" i="14"/>
  <c r="M46" i="14" s="1"/>
  <c r="DA23" i="15"/>
  <c r="DA150" i="15"/>
  <c r="DA156" i="15" s="1"/>
  <c r="BX23" i="15"/>
  <c r="BX108" i="15"/>
  <c r="BX110" i="15" s="1"/>
  <c r="CS109" i="11"/>
  <c r="CY112" i="15"/>
  <c r="CN109" i="11"/>
  <c r="CT112" i="15"/>
  <c r="O52" i="15"/>
  <c r="O34" i="15" s="1"/>
  <c r="O22" i="15"/>
  <c r="CW35" i="22"/>
  <c r="DJ52" i="14"/>
  <c r="AU80" i="15"/>
  <c r="AU82" i="15" s="1"/>
  <c r="BU18" i="22"/>
  <c r="CH42" i="15"/>
  <c r="DC109" i="11"/>
  <c r="DI112" i="15"/>
  <c r="H41" i="15"/>
  <c r="DO69" i="15"/>
  <c r="L35" i="37" s="1"/>
  <c r="DL66" i="15"/>
  <c r="DP67" i="15" s="1"/>
  <c r="G120" i="14"/>
  <c r="CX24" i="22"/>
  <c r="CX23" i="22" s="1"/>
  <c r="O54" i="14"/>
  <c r="BR34" i="15"/>
  <c r="BR108" i="15"/>
  <c r="BR110" i="15" s="1"/>
  <c r="BR23" i="15"/>
  <c r="CP112" i="15"/>
  <c r="CJ109" i="11"/>
  <c r="M22" i="15"/>
  <c r="M109" i="15"/>
  <c r="M24" i="15"/>
  <c r="P24" i="15"/>
  <c r="BY64" i="15"/>
  <c r="BY34" i="15"/>
  <c r="M52" i="15"/>
  <c r="M108" i="15" s="1"/>
  <c r="M33" i="15"/>
  <c r="CZ112" i="15"/>
  <c r="CZ65" i="15"/>
  <c r="I42" i="15"/>
  <c r="I41" i="15"/>
  <c r="AZ65" i="15"/>
  <c r="CD109" i="11"/>
  <c r="CJ76" i="15"/>
  <c r="CJ66" i="15"/>
  <c r="DL112" i="15"/>
  <c r="DA53" i="14"/>
  <c r="I22" i="15"/>
  <c r="AY65" i="15"/>
  <c r="DP65" i="15"/>
  <c r="CQ7" i="22"/>
  <c r="BR53" i="15"/>
  <c r="H22" i="15"/>
  <c r="G65" i="14"/>
  <c r="BQ23" i="15"/>
  <c r="CG108" i="15"/>
  <c r="CG110" i="15" s="1"/>
  <c r="BY55" i="15"/>
  <c r="CZ66" i="15"/>
  <c r="O24" i="15"/>
  <c r="BX34" i="15"/>
  <c r="DA52" i="14"/>
  <c r="DA46" i="14"/>
  <c r="CJ35" i="22"/>
  <c r="CW53" i="14"/>
  <c r="DK150" i="15"/>
  <c r="DK158" i="15" s="1"/>
  <c r="DL65" i="15"/>
  <c r="DB156" i="15"/>
  <c r="CT23" i="22"/>
  <c r="H109" i="15"/>
  <c r="AU76" i="15"/>
  <c r="DA158" i="15"/>
  <c r="BX42" i="15"/>
  <c r="DK70" i="15"/>
  <c r="H36" i="37" s="1"/>
  <c r="BX64" i="15"/>
  <c r="K52" i="15"/>
  <c r="K23" i="15" s="1"/>
  <c r="CT109" i="11"/>
  <c r="DK167" i="15"/>
  <c r="CG56" i="15"/>
  <c r="CK57" i="15" s="1"/>
  <c r="I34" i="37"/>
  <c r="DL150" i="15"/>
  <c r="DP166" i="15" s="1"/>
  <c r="CM23" i="22"/>
  <c r="CA23" i="22"/>
  <c r="BX55" i="15"/>
  <c r="DL117" i="15"/>
  <c r="DJ66" i="15"/>
  <c r="CN23" i="15"/>
  <c r="CB35" i="22"/>
  <c r="I24" i="15"/>
  <c r="CX9" i="22"/>
  <c r="CX13" i="22" s="1"/>
  <c r="CX22" i="22" s="1"/>
  <c r="DD64" i="15"/>
  <c r="DD66" i="15" s="1"/>
  <c r="DH15" i="15"/>
  <c r="DK28" i="15"/>
  <c r="AY55" i="15"/>
  <c r="AZ55" i="15"/>
  <c r="DJ112" i="15"/>
  <c r="DD53" i="14"/>
  <c r="CV24" i="22"/>
  <c r="CV23" i="22" s="1"/>
  <c r="BA55" i="15"/>
  <c r="CL23" i="15"/>
  <c r="CN150" i="15"/>
  <c r="CN156" i="15" s="1"/>
  <c r="BA56" i="15"/>
  <c r="BA39" i="15" s="1"/>
  <c r="CT66" i="15"/>
  <c r="V15" i="15"/>
  <c r="W16" i="15"/>
  <c r="W17" i="15" s="1"/>
  <c r="BL53" i="15"/>
  <c r="J41" i="15"/>
  <c r="CU120" i="15"/>
  <c r="DB158" i="15"/>
  <c r="CI101" i="15"/>
  <c r="CM102" i="15" s="1"/>
  <c r="CB53" i="15"/>
  <c r="BJ20" i="15"/>
  <c r="BJ18" i="15" s="1"/>
  <c r="BJ11" i="15" s="1"/>
  <c r="AU57" i="15"/>
  <c r="BP76" i="15"/>
  <c r="DK69" i="15"/>
  <c r="H35" i="37" s="1"/>
  <c r="CR302" i="13"/>
  <c r="CR306" i="13" s="1"/>
  <c r="CR312" i="13" s="1"/>
  <c r="BI64" i="15"/>
  <c r="BI76" i="15" s="1"/>
  <c r="CI42" i="15"/>
  <c r="O108" i="15"/>
  <c r="O110" i="15" s="1"/>
  <c r="P22" i="15"/>
  <c r="J42" i="15"/>
  <c r="CX56" i="14"/>
  <c r="N24" i="15"/>
  <c r="DB69" i="15"/>
  <c r="N22" i="15"/>
  <c r="DG70" i="15"/>
  <c r="CB108" i="15"/>
  <c r="CB110" i="15" s="1"/>
  <c r="DB70" i="15"/>
  <c r="W13" i="15"/>
  <c r="BY23" i="15"/>
  <c r="CG64" i="15"/>
  <c r="BY108" i="15"/>
  <c r="BK45" i="15"/>
  <c r="DJ28" i="15"/>
  <c r="V113" i="15"/>
  <c r="CC23" i="22"/>
  <c r="CN23" i="22"/>
  <c r="CQ46" i="14"/>
  <c r="O64" i="15"/>
  <c r="O109" i="11" s="1"/>
  <c r="BI23" i="15"/>
  <c r="CS23" i="22"/>
  <c r="DF69" i="15"/>
  <c r="O23" i="15"/>
  <c r="P109" i="15"/>
  <c r="L109" i="15"/>
  <c r="DG150" i="15"/>
  <c r="BP53" i="15"/>
  <c r="BY56" i="15"/>
  <c r="BY39" i="15" s="1"/>
  <c r="BO42" i="15"/>
  <c r="CS112" i="15"/>
  <c r="CG23" i="15"/>
  <c r="DB23" i="15"/>
  <c r="W12" i="15"/>
  <c r="AQ39" i="15"/>
  <c r="CI41" i="15"/>
  <c r="CI59" i="15" s="1"/>
  <c r="CB55" i="15"/>
  <c r="CY120" i="15"/>
  <c r="BI34" i="15"/>
  <c r="CN47" i="14"/>
  <c r="CN56" i="14" s="1"/>
  <c r="J30" i="15"/>
  <c r="CP65" i="15"/>
  <c r="L22" i="15"/>
  <c r="CB23" i="15"/>
  <c r="CO24" i="22"/>
  <c r="BF41" i="15"/>
  <c r="DB166" i="15"/>
  <c r="L24" i="15"/>
  <c r="DJ69" i="15"/>
  <c r="G35" i="37" s="1"/>
  <c r="CT65" i="15"/>
  <c r="CY28" i="15"/>
  <c r="T22" i="15"/>
  <c r="BL44" i="15"/>
  <c r="BK47" i="15"/>
  <c r="BK46" i="15" s="1"/>
  <c r="BK48" i="15" s="1"/>
  <c r="F65" i="15"/>
  <c r="CR120" i="15"/>
  <c r="CD117" i="15"/>
  <c r="CI54" i="14"/>
  <c r="O30" i="37"/>
  <c r="O43" i="37"/>
  <c r="S85" i="6"/>
  <c r="CJ12" i="17"/>
  <c r="CX375" i="13"/>
  <c r="U55" i="8"/>
  <c r="M30" i="37"/>
  <c r="M43" i="37"/>
  <c r="N30" i="37"/>
  <c r="N43" i="37"/>
  <c r="CE23" i="22"/>
  <c r="L30" i="37"/>
  <c r="L43" i="37"/>
  <c r="CN45" i="8"/>
  <c r="CC21" i="14"/>
  <c r="K37" i="14"/>
  <c r="K32" i="14" s="1"/>
  <c r="K30" i="14" s="1"/>
  <c r="K31" i="14" s="1"/>
  <c r="DE40" i="14"/>
  <c r="BZ203" i="12"/>
  <c r="T65" i="7"/>
  <c r="BA205" i="21"/>
  <c r="BA207" i="21"/>
  <c r="BA208" i="21" s="1"/>
  <c r="I207" i="21"/>
  <c r="I208" i="21" s="1"/>
  <c r="I205" i="21"/>
  <c r="DF61" i="12"/>
  <c r="CB116" i="13"/>
  <c r="CP53" i="11"/>
  <c r="CP54" i="11" s="1"/>
  <c r="CP55" i="11" s="1"/>
  <c r="DB61" i="12"/>
  <c r="CE14" i="11"/>
  <c r="P31" i="12"/>
  <c r="DE120" i="17"/>
  <c r="DJ434" i="12"/>
  <c r="CP15" i="12"/>
  <c r="CK102" i="12"/>
  <c r="CF59" i="11"/>
  <c r="CF68" i="11" s="1"/>
  <c r="CV305" i="12"/>
  <c r="Y444" i="12"/>
  <c r="CU84" i="22"/>
  <c r="DC449" i="12"/>
  <c r="DC450" i="12" s="1"/>
  <c r="DC451" i="12" s="1"/>
  <c r="DD26" i="12"/>
  <c r="CR306" i="12"/>
  <c r="Q449" i="12"/>
  <c r="Q450" i="12" s="1"/>
  <c r="CJ14" i="11"/>
  <c r="CJ59" i="11" s="1"/>
  <c r="CL85" i="22"/>
  <c r="BP136" i="17"/>
  <c r="BP116" i="17" s="1"/>
  <c r="BP40" i="12"/>
  <c r="Q209" i="12"/>
  <c r="BH303" i="12"/>
  <c r="CT31" i="12"/>
  <c r="CG46" i="22" s="1"/>
  <c r="BV80" i="22"/>
  <c r="BV55" i="22"/>
  <c r="DH41" i="11"/>
  <c r="CK163" i="12"/>
  <c r="CS434" i="12"/>
  <c r="BW49" i="12"/>
  <c r="E13" i="37"/>
  <c r="BP49" i="12"/>
  <c r="BP15" i="12"/>
  <c r="DN60" i="12"/>
  <c r="DR61" i="12" s="1"/>
  <c r="BL302" i="12"/>
  <c r="CV56" i="12"/>
  <c r="CT50" i="12"/>
  <c r="CT500" i="12"/>
  <c r="CP305" i="12"/>
  <c r="CE47" i="17"/>
  <c r="E49" i="12"/>
  <c r="CT136" i="17"/>
  <c r="CT116" i="17" s="1"/>
  <c r="BP438" i="12"/>
  <c r="H182" i="12"/>
  <c r="BQ438" i="12"/>
  <c r="CW307" i="12"/>
  <c r="CS127" i="12"/>
  <c r="CS128" i="12" s="1"/>
  <c r="BP65" i="12"/>
  <c r="DB283" i="12"/>
  <c r="Q28" i="12"/>
  <c r="CZ53" i="11"/>
  <c r="CZ54" i="11" s="1"/>
  <c r="CZ55" i="11" s="1"/>
  <c r="CG84" i="22"/>
  <c r="BY49" i="12"/>
  <c r="BT62" i="12"/>
  <c r="CH78" i="12"/>
  <c r="CH81" i="12" s="1"/>
  <c r="CZ56" i="12"/>
  <c r="BP440" i="12"/>
  <c r="CU85" i="22"/>
  <c r="BT136" i="17"/>
  <c r="BT116" i="17" s="1"/>
  <c r="DI434" i="12"/>
  <c r="CK340" i="12"/>
  <c r="DB54" i="12"/>
  <c r="BH49" i="12"/>
  <c r="DG50" i="12"/>
  <c r="BV439" i="12"/>
  <c r="CZ61" i="12"/>
  <c r="R30" i="12"/>
  <c r="CL136" i="17"/>
  <c r="CL116" i="17" s="1"/>
  <c r="BY84" i="22"/>
  <c r="DB65" i="12"/>
  <c r="DB87" i="12" s="1"/>
  <c r="T39" i="12"/>
  <c r="CI14" i="11"/>
  <c r="DC24" i="16"/>
  <c r="DC37" i="16" s="1"/>
  <c r="CL26" i="12"/>
  <c r="CT43" i="12"/>
  <c r="BM43" i="12"/>
  <c r="S39" i="12"/>
  <c r="CP439" i="12"/>
  <c r="CL31" i="12"/>
  <c r="CL49" i="12" s="1"/>
  <c r="DR162" i="15"/>
  <c r="DR163" i="15" s="1"/>
  <c r="DS164" i="15" s="1"/>
  <c r="DU170" i="15"/>
  <c r="DG47" i="14"/>
  <c r="DG57" i="14" s="1"/>
  <c r="CM52" i="14"/>
  <c r="DF46" i="14"/>
  <c r="BZ35" i="22"/>
  <c r="CM53" i="14"/>
  <c r="CS223" i="12"/>
  <c r="DI127" i="12"/>
  <c r="DI128" i="12" s="1"/>
  <c r="CJ177" i="12"/>
  <c r="BW119" i="22" s="1"/>
  <c r="CT473" i="12"/>
  <c r="CD36" i="11"/>
  <c r="CD37" i="11" s="1"/>
  <c r="DG366" i="13"/>
  <c r="CH35" i="11"/>
  <c r="DG374" i="13"/>
  <c r="DE116" i="13"/>
  <c r="DH366" i="13"/>
  <c r="CT103" i="11"/>
  <c r="DP21" i="16"/>
  <c r="BX94" i="13"/>
  <c r="CY17" i="16"/>
  <c r="BR55" i="12"/>
  <c r="BR46" i="17" s="1"/>
  <c r="BR59" i="17" s="1"/>
  <c r="U42" i="12"/>
  <c r="BK56" i="12"/>
  <c r="BS58" i="12"/>
  <c r="BS55" i="12" s="1"/>
  <c r="BS46" i="17" s="1"/>
  <c r="BS59" i="17" s="1"/>
  <c r="CE77" i="6"/>
  <c r="Q99" i="12"/>
  <c r="L37" i="22" s="1"/>
  <c r="L38" i="22" s="1"/>
  <c r="BL199" i="12"/>
  <c r="BO195" i="12"/>
  <c r="CK204" i="12"/>
  <c r="P204" i="12" s="1"/>
  <c r="CE198" i="12"/>
  <c r="CE176" i="12" s="1"/>
  <c r="CK203" i="12"/>
  <c r="P203" i="12" s="1"/>
  <c r="CK198" i="12"/>
  <c r="CK199" i="12" s="1"/>
  <c r="CK200" i="12" s="1"/>
  <c r="BM195" i="12"/>
  <c r="BM196" i="12" s="1"/>
  <c r="BJ146" i="12"/>
  <c r="BM164" i="12"/>
  <c r="BN199" i="12"/>
  <c r="CL194" i="12"/>
  <c r="CL203" i="12" s="1"/>
  <c r="CJ203" i="12"/>
  <c r="CJ204" i="12"/>
  <c r="R176" i="12"/>
  <c r="R132" i="12" s="1"/>
  <c r="CS221" i="12"/>
  <c r="CW127" i="12"/>
  <c r="CW128" i="12" s="1"/>
  <c r="CS132" i="12"/>
  <c r="CS133" i="12" s="1"/>
  <c r="R218" i="12"/>
  <c r="R221" i="12" s="1"/>
  <c r="BQ310" i="12"/>
  <c r="DF128" i="12"/>
  <c r="CE203" i="12"/>
  <c r="CC58" i="6"/>
  <c r="CC76" i="6"/>
  <c r="CF14" i="17"/>
  <c r="Z156" i="6"/>
  <c r="AA156" i="6" s="1"/>
  <c r="AB156" i="6" s="1"/>
  <c r="AC156" i="6" s="1"/>
  <c r="AD156" i="6" s="1"/>
  <c r="AE156" i="6" s="1"/>
  <c r="AF156" i="6" s="1"/>
  <c r="AG156" i="6" s="1"/>
  <c r="CQ54" i="6"/>
  <c r="U89" i="8"/>
  <c r="CM54" i="6"/>
  <c r="DF193" i="7"/>
  <c r="U162" i="6"/>
  <c r="U202" i="7" s="1"/>
  <c r="BN61" i="22"/>
  <c r="CC55" i="6"/>
  <c r="DL193" i="7"/>
  <c r="CU193" i="7"/>
  <c r="P45" i="6"/>
  <c r="P72" i="7" s="1"/>
  <c r="CF109" i="7"/>
  <c r="CF116" i="7" s="1"/>
  <c r="CN12" i="17"/>
  <c r="CQ193" i="7"/>
  <c r="CA94" i="7"/>
  <c r="DJ21" i="16"/>
  <c r="CL53" i="14"/>
  <c r="DF160" i="15"/>
  <c r="K22" i="14"/>
  <c r="CD22" i="14"/>
  <c r="CA21" i="14"/>
  <c r="DE39" i="14"/>
  <c r="CR32" i="14"/>
  <c r="CR30" i="14" s="1"/>
  <c r="CR31" i="14" s="1"/>
  <c r="CA39" i="14"/>
  <c r="M132" i="14"/>
  <c r="M134" i="14" s="1"/>
  <c r="M135" i="14" s="1"/>
  <c r="CB38" i="14"/>
  <c r="CB21" i="14"/>
  <c r="CX40" i="14"/>
  <c r="CB22" i="14"/>
  <c r="DC740" i="12"/>
  <c r="DC728" i="12"/>
  <c r="DC747" i="12" s="1"/>
  <c r="DC749" i="12" s="1"/>
  <c r="DD750" i="12" s="1"/>
  <c r="DD752" i="12" s="1"/>
  <c r="DD754" i="12" s="1"/>
  <c r="DD727" i="12"/>
  <c r="U726" i="12"/>
  <c r="U728" i="12" s="1"/>
  <c r="U747" i="12" s="1"/>
  <c r="U749" i="12" s="1"/>
  <c r="DC742" i="12"/>
  <c r="DC743" i="12" s="1"/>
  <c r="CN204" i="12"/>
  <c r="CP281" i="12"/>
  <c r="CP284" i="12" s="1"/>
  <c r="DA248" i="12"/>
  <c r="CS248" i="12"/>
  <c r="DD281" i="12"/>
  <c r="DD284" i="12" s="1"/>
  <c r="DI248" i="12"/>
  <c r="DG248" i="12"/>
  <c r="CX450" i="12"/>
  <c r="U416" i="12"/>
  <c r="U426" i="12" s="1"/>
  <c r="DE426" i="12"/>
  <c r="DE427" i="12" s="1"/>
  <c r="Z332" i="12"/>
  <c r="CP248" i="12"/>
  <c r="DJ281" i="12"/>
  <c r="DJ284" i="12" s="1"/>
  <c r="DC281" i="12"/>
  <c r="DC284" i="12" s="1"/>
  <c r="DH299" i="12"/>
  <c r="Y358" i="12"/>
  <c r="DY257" i="12"/>
  <c r="DE248" i="12"/>
  <c r="CO248" i="12"/>
  <c r="CN670" i="12"/>
  <c r="Z329" i="12"/>
  <c r="Z326" i="12"/>
  <c r="R83" i="12"/>
  <c r="R113" i="8" s="1"/>
  <c r="CS113" i="8"/>
  <c r="P255" i="12"/>
  <c r="K117" i="22" s="1"/>
  <c r="CW258" i="12"/>
  <c r="U427" i="12"/>
  <c r="CU299" i="12"/>
  <c r="DE281" i="12"/>
  <c r="DB344" i="12"/>
  <c r="DB345" i="12" s="1"/>
  <c r="DB247" i="12"/>
  <c r="Z444" i="12"/>
  <c r="Z445" i="12" s="1"/>
  <c r="CZ449" i="12"/>
  <c r="CZ450" i="12" s="1"/>
  <c r="BT165" i="12"/>
  <c r="BU146" i="12"/>
  <c r="CT176" i="12"/>
  <c r="CT218" i="12"/>
  <c r="CT222" i="12" s="1"/>
  <c r="DF294" i="12"/>
  <c r="CS138" i="22" s="1"/>
  <c r="CK473" i="12"/>
  <c r="CK176" i="12"/>
  <c r="CK179" i="12" s="1"/>
  <c r="CK105" i="12"/>
  <c r="CK153" i="12" s="1"/>
  <c r="CL105" i="12"/>
  <c r="CL312" i="12" s="1"/>
  <c r="W292" i="12"/>
  <c r="W294" i="12" s="1"/>
  <c r="R138" i="22" s="1"/>
  <c r="DM289" i="12"/>
  <c r="DM137" i="12" s="1"/>
  <c r="DQ138" i="12" s="1"/>
  <c r="N255" i="12"/>
  <c r="I117" i="22" s="1"/>
  <c r="DJ290" i="12"/>
  <c r="CT130" i="12"/>
  <c r="CT105" i="12"/>
  <c r="CT312" i="12" s="1"/>
  <c r="CT309" i="12" s="1"/>
  <c r="CK107" i="12"/>
  <c r="P107" i="12" s="1"/>
  <c r="P108" i="12" s="1"/>
  <c r="BZ199" i="12"/>
  <c r="CG37" i="22"/>
  <c r="CU103" i="12"/>
  <c r="CI165" i="12"/>
  <c r="CT104" i="12"/>
  <c r="CO104" i="12"/>
  <c r="BZ205" i="12"/>
  <c r="P103" i="12"/>
  <c r="P218" i="12" s="1"/>
  <c r="P221" i="12" s="1"/>
  <c r="DM294" i="12"/>
  <c r="CZ138" i="22" s="1"/>
  <c r="W157" i="12"/>
  <c r="V292" i="12"/>
  <c r="V294" i="12" s="1"/>
  <c r="Q138" i="22" s="1"/>
  <c r="CR222" i="12"/>
  <c r="CO101" i="12"/>
  <c r="CO102" i="12" s="1"/>
  <c r="Q176" i="12"/>
  <c r="R130" i="12"/>
  <c r="V125" i="12"/>
  <c r="CI222" i="12"/>
  <c r="BJ165" i="12"/>
  <c r="CD166" i="12"/>
  <c r="BQ41" i="22" s="1"/>
  <c r="CN100" i="12"/>
  <c r="BS195" i="12"/>
  <c r="BS208" i="12" s="1"/>
  <c r="M96" i="22"/>
  <c r="CL102" i="12"/>
  <c r="CO132" i="12"/>
  <c r="CO133" i="12" s="1"/>
  <c r="BJ310" i="12"/>
  <c r="BG311" i="12"/>
  <c r="BC303" i="12"/>
  <c r="CA439" i="12"/>
  <c r="BD303" i="12"/>
  <c r="G13" i="12"/>
  <c r="BW136" i="17"/>
  <c r="BW116" i="17" s="1"/>
  <c r="BY43" i="12"/>
  <c r="BJ438" i="12"/>
  <c r="BY40" i="12"/>
  <c r="BW62" i="12"/>
  <c r="BW54" i="12"/>
  <c r="BW94" i="12"/>
  <c r="CN15" i="12"/>
  <c r="BG54" i="12"/>
  <c r="CC15" i="12"/>
  <c r="CC136" i="17"/>
  <c r="CC116" i="17" s="1"/>
  <c r="BN439" i="12"/>
  <c r="BY54" i="12"/>
  <c r="BW40" i="12"/>
  <c r="BW69" i="12"/>
  <c r="BW78" i="12" s="1"/>
  <c r="BI437" i="12"/>
  <c r="BG302" i="12"/>
  <c r="DN740" i="12"/>
  <c r="DN742" i="12" s="1"/>
  <c r="DN743" i="12" s="1"/>
  <c r="Q539" i="12"/>
  <c r="DN727" i="12"/>
  <c r="Y721" i="12"/>
  <c r="Y762" i="12" s="1"/>
  <c r="Y764" i="12" s="1"/>
  <c r="Q670" i="12"/>
  <c r="DS763" i="12"/>
  <c r="S532" i="12"/>
  <c r="Z685" i="12"/>
  <c r="AA685" i="12" s="1"/>
  <c r="AB685" i="12" s="1"/>
  <c r="AC685" i="12" s="1"/>
  <c r="AD685" i="12" s="1"/>
  <c r="AE685" i="12" s="1"/>
  <c r="AF685" i="12" s="1"/>
  <c r="AG685" i="12" s="1"/>
  <c r="Z693" i="12"/>
  <c r="AA693" i="12" s="1"/>
  <c r="AB693" i="12" s="1"/>
  <c r="AC693" i="12" s="1"/>
  <c r="AD693" i="12" s="1"/>
  <c r="AE693" i="12" s="1"/>
  <c r="AF693" i="12" s="1"/>
  <c r="AG693" i="12" s="1"/>
  <c r="DH727" i="12"/>
  <c r="DJ740" i="12"/>
  <c r="DJ742" i="12" s="1"/>
  <c r="DJ743" i="12" s="1"/>
  <c r="Z726" i="12"/>
  <c r="AA522" i="12"/>
  <c r="AB522" i="12" s="1"/>
  <c r="AC522" i="12" s="1"/>
  <c r="AD522" i="12" s="1"/>
  <c r="AE522" i="12" s="1"/>
  <c r="AF522" i="12" s="1"/>
  <c r="AG522" i="12" s="1"/>
  <c r="Z522" i="12"/>
  <c r="Z766" i="12"/>
  <c r="AA766" i="12" s="1"/>
  <c r="AB766" i="12" s="1"/>
  <c r="AC766" i="12" s="1"/>
  <c r="AD766" i="12" s="1"/>
  <c r="AE766" i="12" s="1"/>
  <c r="AF766" i="12" s="1"/>
  <c r="AG766" i="12" s="1"/>
  <c r="Z501" i="12"/>
  <c r="AA501" i="12" s="1"/>
  <c r="AB501" i="12" s="1"/>
  <c r="AC501" i="12" s="1"/>
  <c r="AD501" i="12" s="1"/>
  <c r="AE501" i="12" s="1"/>
  <c r="AF501" i="12" s="1"/>
  <c r="AG501" i="12" s="1"/>
  <c r="Z761" i="12"/>
  <c r="AA761" i="12" s="1"/>
  <c r="AB761" i="12" s="1"/>
  <c r="AC761" i="12" s="1"/>
  <c r="Z507" i="12"/>
  <c r="AA507" i="12" s="1"/>
  <c r="AB507" i="12" s="1"/>
  <c r="AC507" i="12" s="1"/>
  <c r="AD507" i="12" s="1"/>
  <c r="AE507" i="12" s="1"/>
  <c r="AF507" i="12" s="1"/>
  <c r="AG507" i="12" s="1"/>
  <c r="Z506" i="12"/>
  <c r="AA506" i="12" s="1"/>
  <c r="AB506" i="12" s="1"/>
  <c r="AC506" i="12" s="1"/>
  <c r="AD506" i="12" s="1"/>
  <c r="AE506" i="12" s="1"/>
  <c r="AF506" i="12" s="1"/>
  <c r="AG506" i="12" s="1"/>
  <c r="DW763" i="12"/>
  <c r="DM764" i="12"/>
  <c r="DX763" i="12"/>
  <c r="DT763" i="12"/>
  <c r="CO589" i="12"/>
  <c r="CO591" i="12" s="1"/>
  <c r="CP589" i="12" s="1"/>
  <c r="CP591" i="12" s="1"/>
  <c r="DK764" i="12"/>
  <c r="DR763" i="12"/>
  <c r="CM663" i="12"/>
  <c r="Z518" i="12"/>
  <c r="AA518" i="12" s="1"/>
  <c r="AB518" i="12" s="1"/>
  <c r="AC518" i="12" s="1"/>
  <c r="AD518" i="12" s="1"/>
  <c r="AE518" i="12" s="1"/>
  <c r="AF518" i="12" s="1"/>
  <c r="AG518" i="12" s="1"/>
  <c r="Z517" i="12"/>
  <c r="AA517" i="12" s="1"/>
  <c r="AB517" i="12" s="1"/>
  <c r="AC517" i="12" s="1"/>
  <c r="AD517" i="12" s="1"/>
  <c r="AE517" i="12" s="1"/>
  <c r="AF517" i="12" s="1"/>
  <c r="AG517" i="12" s="1"/>
  <c r="Z530" i="12"/>
  <c r="AA530" i="12" s="1"/>
  <c r="AB530" i="12" s="1"/>
  <c r="AC530" i="12" s="1"/>
  <c r="AD530" i="12" s="1"/>
  <c r="AE530" i="12" s="1"/>
  <c r="AF530" i="12" s="1"/>
  <c r="AG530" i="12" s="1"/>
  <c r="DN468" i="12"/>
  <c r="DR468" i="12"/>
  <c r="Z525" i="12"/>
  <c r="AA525" i="12" s="1"/>
  <c r="AB525" i="12" s="1"/>
  <c r="AC525" i="12" s="1"/>
  <c r="AD525" i="12" s="1"/>
  <c r="AE525" i="12" s="1"/>
  <c r="AF525" i="12" s="1"/>
  <c r="AG525" i="12" s="1"/>
  <c r="Z737" i="12"/>
  <c r="AA737" i="12" s="1"/>
  <c r="AB737" i="12" s="1"/>
  <c r="AC737" i="12" s="1"/>
  <c r="AD737" i="12" s="1"/>
  <c r="AE737" i="12" s="1"/>
  <c r="AF737" i="12" s="1"/>
  <c r="AG737" i="12" s="1"/>
  <c r="DN764" i="12"/>
  <c r="DY763" i="12"/>
  <c r="DG727" i="12"/>
  <c r="Y738" i="12"/>
  <c r="Z739" i="12"/>
  <c r="Z738" i="12" s="1"/>
  <c r="DG728" i="12"/>
  <c r="DG747" i="12" s="1"/>
  <c r="DG749" i="12" s="1"/>
  <c r="DG750" i="12" s="1"/>
  <c r="DG752" i="12" s="1"/>
  <c r="DG754" i="12" s="1"/>
  <c r="Z503" i="12"/>
  <c r="AA503" i="12" s="1"/>
  <c r="AB503" i="12" s="1"/>
  <c r="AC503" i="12" s="1"/>
  <c r="AD503" i="12" s="1"/>
  <c r="AE503" i="12" s="1"/>
  <c r="AF503" i="12" s="1"/>
  <c r="AG503" i="12" s="1"/>
  <c r="Z509" i="12"/>
  <c r="AA509" i="12" s="1"/>
  <c r="AB509" i="12" s="1"/>
  <c r="AC509" i="12" s="1"/>
  <c r="AD509" i="12" s="1"/>
  <c r="AE509" i="12" s="1"/>
  <c r="AF509" i="12" s="1"/>
  <c r="AG509" i="12" s="1"/>
  <c r="Z523" i="12"/>
  <c r="AA523" i="12" s="1"/>
  <c r="AB523" i="12" s="1"/>
  <c r="AC523" i="12" s="1"/>
  <c r="AD523" i="12" s="1"/>
  <c r="AE523" i="12" s="1"/>
  <c r="AF523" i="12" s="1"/>
  <c r="AG523" i="12" s="1"/>
  <c r="AC754" i="12"/>
  <c r="AE751" i="12"/>
  <c r="AD752" i="12"/>
  <c r="AC724" i="12"/>
  <c r="AB725" i="12"/>
  <c r="CE55" i="6"/>
  <c r="CR54" i="6"/>
  <c r="CE95" i="7"/>
  <c r="CN54" i="6"/>
  <c r="CB61" i="6"/>
  <c r="CE20" i="17"/>
  <c r="BQ52" i="22"/>
  <c r="CE94" i="7"/>
  <c r="CH109" i="7"/>
  <c r="CH116" i="7" s="1"/>
  <c r="DB186" i="7"/>
  <c r="DX90" i="8"/>
  <c r="DV90" i="8"/>
  <c r="DY90" i="8"/>
  <c r="DW90" i="8"/>
  <c r="BN77" i="22"/>
  <c r="BX60" i="6"/>
  <c r="CA95" i="7"/>
  <c r="CA20" i="17"/>
  <c r="BX63" i="6"/>
  <c r="CB60" i="6"/>
  <c r="DJ46" i="14"/>
  <c r="DK47" i="14"/>
  <c r="H37" i="37" s="1"/>
  <c r="DJ53" i="14"/>
  <c r="DB40" i="14"/>
  <c r="U17" i="15"/>
  <c r="CY39" i="14"/>
  <c r="CA61" i="12"/>
  <c r="BW65" i="12"/>
  <c r="BW87" i="12" s="1"/>
  <c r="BW90" i="12" s="1"/>
  <c r="BW61" i="12"/>
  <c r="CQ179" i="12"/>
  <c r="G163" i="12"/>
  <c r="G143" i="12" s="1"/>
  <c r="G165" i="12" s="1"/>
  <c r="BY163" i="12"/>
  <c r="CC164" i="12" s="1"/>
  <c r="CF165" i="12"/>
  <c r="CO198" i="12"/>
  <c r="Q198" i="12" s="1"/>
  <c r="CJ164" i="12"/>
  <c r="BU145" i="12"/>
  <c r="CS153" i="12"/>
  <c r="CD198" i="12"/>
  <c r="CD176" i="12" s="1"/>
  <c r="CF135" i="12"/>
  <c r="R104" i="12"/>
  <c r="BU165" i="12"/>
  <c r="CS106" i="12"/>
  <c r="CQ135" i="12"/>
  <c r="CD39" i="22" s="1"/>
  <c r="CD40" i="22" s="1"/>
  <c r="R105" i="12"/>
  <c r="R309" i="12" s="1"/>
  <c r="BW211" i="12"/>
  <c r="BW208" i="12" s="1"/>
  <c r="BJ116" i="22" s="1"/>
  <c r="CO179" i="12"/>
  <c r="CJ102" i="12"/>
  <c r="BT199" i="12"/>
  <c r="CP100" i="12"/>
  <c r="CD204" i="12"/>
  <c r="R131" i="12"/>
  <c r="BM102" i="12"/>
  <c r="BN310" i="12"/>
  <c r="BF102" i="12"/>
  <c r="CL183" i="12"/>
  <c r="CO223" i="12"/>
  <c r="CP187" i="12"/>
  <c r="CI177" i="12"/>
  <c r="BV119" i="22" s="1"/>
  <c r="BJ145" i="12"/>
  <c r="CP153" i="12"/>
  <c r="CP135" i="12" s="1"/>
  <c r="CP143" i="12" s="1"/>
  <c r="CI132" i="12"/>
  <c r="CI133" i="12" s="1"/>
  <c r="CP222" i="12"/>
  <c r="CA198" i="12"/>
  <c r="CA205" i="12" s="1"/>
  <c r="BI440" i="12"/>
  <c r="BW164" i="12"/>
  <c r="BX18" i="11"/>
  <c r="BX19" i="11" s="1"/>
  <c r="DF36" i="11"/>
  <c r="DF37" i="11" s="1"/>
  <c r="R50" i="11"/>
  <c r="BX59" i="11"/>
  <c r="BX68" i="11" s="1"/>
  <c r="CN27" i="11"/>
  <c r="CN28" i="11" s="1"/>
  <c r="CS36" i="11"/>
  <c r="CS37" i="11" s="1"/>
  <c r="BU36" i="11"/>
  <c r="BU37" i="11" s="1"/>
  <c r="DC21" i="16"/>
  <c r="DF19" i="6"/>
  <c r="DR48" i="16"/>
  <c r="DR23" i="16" s="1"/>
  <c r="DC17" i="16"/>
  <c r="BY44" i="11"/>
  <c r="BY62" i="11" s="1"/>
  <c r="CY21" i="16"/>
  <c r="DH19" i="6"/>
  <c r="DS48" i="16"/>
  <c r="DS23" i="16" s="1"/>
  <c r="BM70" i="22"/>
  <c r="L135" i="17"/>
  <c r="CE70" i="22"/>
  <c r="BQ127" i="17"/>
  <c r="CS127" i="17"/>
  <c r="M132" i="17"/>
  <c r="CZ147" i="17"/>
  <c r="CM147" i="17"/>
  <c r="V131" i="17"/>
  <c r="V109" i="17"/>
  <c r="CH115" i="17"/>
  <c r="DD109" i="17"/>
  <c r="BL128" i="17"/>
  <c r="DD128" i="17"/>
  <c r="DD129" i="17" s="1"/>
  <c r="J135" i="17"/>
  <c r="BP109" i="17"/>
  <c r="BM49" i="17"/>
  <c r="CD115" i="17"/>
  <c r="M128" i="17"/>
  <c r="M129" i="17" s="1"/>
  <c r="N71" i="35"/>
  <c r="I71" i="35"/>
  <c r="CR12" i="17"/>
  <c r="DE128" i="17"/>
  <c r="CD128" i="17"/>
  <c r="C70" i="35"/>
  <c r="G70" i="35"/>
  <c r="K70" i="35"/>
  <c r="K73" i="35" s="1"/>
  <c r="K74" i="35" s="1"/>
  <c r="D70" i="35"/>
  <c r="DA110" i="8"/>
  <c r="L138" i="17"/>
  <c r="F35" i="35"/>
  <c r="J34" i="35"/>
  <c r="D34" i="35"/>
  <c r="I35" i="35"/>
  <c r="E35" i="35"/>
  <c r="K34" i="35"/>
  <c r="I19" i="37"/>
  <c r="DL49" i="17"/>
  <c r="O71" i="35"/>
  <c r="BS127" i="17"/>
  <c r="CL109" i="17"/>
  <c r="DE115" i="17"/>
  <c r="CJ147" i="17"/>
  <c r="DJ109" i="17"/>
  <c r="O114" i="17"/>
  <c r="O550" i="12" s="1"/>
  <c r="O557" i="12" s="1"/>
  <c r="G71" i="35"/>
  <c r="F71" i="35"/>
  <c r="DP115" i="17"/>
  <c r="S114" i="17"/>
  <c r="S110" i="8" s="1"/>
  <c r="S121" i="8" s="1"/>
  <c r="H13" i="5"/>
  <c r="M70" i="35"/>
  <c r="L71" i="35"/>
  <c r="H71" i="35"/>
  <c r="H73" i="35" s="1"/>
  <c r="H74" i="35" s="1"/>
  <c r="D71" i="35"/>
  <c r="DA118" i="17"/>
  <c r="DA120" i="17" s="1"/>
  <c r="I140" i="17"/>
  <c r="I37" i="35"/>
  <c r="I38" i="35" s="1"/>
  <c r="J37" i="35"/>
  <c r="J38" i="35" s="1"/>
  <c r="CQ147" i="17"/>
  <c r="J44" i="17"/>
  <c r="C71" i="35"/>
  <c r="C73" i="35" s="1"/>
  <c r="C74" i="35" s="1"/>
  <c r="J129" i="35" s="1"/>
  <c r="J131" i="35" s="1"/>
  <c r="M71" i="35"/>
  <c r="BM128" i="17"/>
  <c r="F70" i="35"/>
  <c r="J70" i="35"/>
  <c r="J73" i="35" s="1"/>
  <c r="J74" i="35" s="1"/>
  <c r="CF127" i="17"/>
  <c r="D35" i="35"/>
  <c r="K35" i="35"/>
  <c r="K37" i="35" s="1"/>
  <c r="K38" i="35" s="1"/>
  <c r="H35" i="35"/>
  <c r="H37" i="35" s="1"/>
  <c r="H38" i="35" s="1"/>
  <c r="L35" i="35"/>
  <c r="M35" i="35"/>
  <c r="N35" i="35"/>
  <c r="N37" i="35" s="1"/>
  <c r="N38" i="35" s="1"/>
  <c r="BR127" i="17"/>
  <c r="CW110" i="8"/>
  <c r="DA127" i="17"/>
  <c r="C34" i="35"/>
  <c r="C37" i="35" s="1"/>
  <c r="C38" i="35" s="1"/>
  <c r="I142" i="17"/>
  <c r="T108" i="17"/>
  <c r="T131" i="17" s="1"/>
  <c r="O65" i="22" s="1"/>
  <c r="CI147" i="17"/>
  <c r="CX147" i="17"/>
  <c r="DE109" i="17"/>
  <c r="CS109" i="17"/>
  <c r="DB128" i="17"/>
  <c r="DB129" i="17" s="1"/>
  <c r="CT147" i="17"/>
  <c r="CW118" i="17"/>
  <c r="DA49" i="17"/>
  <c r="CG49" i="17"/>
  <c r="CG48" i="17" s="1"/>
  <c r="CG118" i="17"/>
  <c r="CG120" i="17" s="1"/>
  <c r="C11" i="35"/>
  <c r="P129" i="17"/>
  <c r="O19" i="17"/>
  <c r="DA128" i="17"/>
  <c r="Q52" i="6"/>
  <c r="CF12" i="17"/>
  <c r="H52" i="35"/>
  <c r="DE44" i="17"/>
  <c r="CJ70" i="22"/>
  <c r="DL110" i="8"/>
  <c r="CI118" i="17"/>
  <c r="BS128" i="17"/>
  <c r="BW129" i="17" s="1"/>
  <c r="CJ14" i="17"/>
  <c r="K53" i="35"/>
  <c r="N52" i="35"/>
  <c r="F37" i="35"/>
  <c r="F38" i="35" s="1"/>
  <c r="M52" i="35"/>
  <c r="DM49" i="17"/>
  <c r="J19" i="37"/>
  <c r="CG109" i="17"/>
  <c r="DN44" i="17"/>
  <c r="K33" i="37"/>
  <c r="CK147" i="17"/>
  <c r="DH12" i="17"/>
  <c r="DL23" i="15"/>
  <c r="DO28" i="15"/>
  <c r="CE53" i="15"/>
  <c r="CW23" i="22"/>
  <c r="CR66" i="15"/>
  <c r="CM56" i="15"/>
  <c r="CM39" i="15" s="1"/>
  <c r="F66" i="15"/>
  <c r="CO76" i="15"/>
  <c r="CR112" i="15"/>
  <c r="CZ69" i="15"/>
  <c r="BY35" i="22"/>
  <c r="BM56" i="15"/>
  <c r="BM39" i="15" s="1"/>
  <c r="BM64" i="15"/>
  <c r="BM80" i="15" s="1"/>
  <c r="BM82" i="15" s="1"/>
  <c r="BM55" i="15"/>
  <c r="J23" i="15"/>
  <c r="CP150" i="15"/>
  <c r="CP156" i="15" s="1"/>
  <c r="CT171" i="15" s="1"/>
  <c r="CT174" i="15" s="1"/>
  <c r="CM9" i="22"/>
  <c r="CM13" i="22" s="1"/>
  <c r="CM22" i="22" s="1"/>
  <c r="CE23" i="15"/>
  <c r="CE117" i="15"/>
  <c r="X26" i="15"/>
  <c r="I64" i="15"/>
  <c r="BR18" i="22"/>
  <c r="J22" i="15"/>
  <c r="CA56" i="15"/>
  <c r="CA39" i="15" s="1"/>
  <c r="CY24" i="22"/>
  <c r="CY23" i="22" s="1"/>
  <c r="DP69" i="15"/>
  <c r="M35" i="37" s="1"/>
  <c r="DL69" i="15"/>
  <c r="I35" i="37" s="1"/>
  <c r="CL53" i="15"/>
  <c r="CV65" i="15"/>
  <c r="DA70" i="15"/>
  <c r="CQ70" i="15"/>
  <c r="DK66" i="15"/>
  <c r="H29" i="14"/>
  <c r="O115" i="15"/>
  <c r="O116" i="15" s="1"/>
  <c r="CE64" i="15"/>
  <c r="BR24" i="22" s="1"/>
  <c r="BR23" i="22" s="1"/>
  <c r="BM23" i="15"/>
  <c r="CL55" i="15"/>
  <c r="BG34" i="15"/>
  <c r="CP23" i="15"/>
  <c r="CV69" i="15"/>
  <c r="K22" i="15"/>
  <c r="BG23" i="15"/>
  <c r="CR150" i="15"/>
  <c r="CR156" i="15" s="1"/>
  <c r="DD117" i="15"/>
  <c r="J24" i="15"/>
  <c r="CF42" i="15"/>
  <c r="W69" i="15"/>
  <c r="CL34" i="15"/>
  <c r="CL38" i="14"/>
  <c r="CL39" i="14" s="1"/>
  <c r="DD109" i="11"/>
  <c r="CR70" i="15"/>
  <c r="DC117" i="15"/>
  <c r="J29" i="22"/>
  <c r="CM47" i="14"/>
  <c r="CM57" i="14" s="1"/>
  <c r="G36" i="14"/>
  <c r="G17" i="14" s="1"/>
  <c r="CL52" i="14"/>
  <c r="CK37" i="14"/>
  <c r="CK32" i="14" s="1"/>
  <c r="CK30" i="14" s="1"/>
  <c r="CK31" i="14" s="1"/>
  <c r="BM34" i="15"/>
  <c r="CR69" i="15"/>
  <c r="K24" i="15"/>
  <c r="G27" i="14"/>
  <c r="G28" i="14" s="1"/>
  <c r="CR23" i="15"/>
  <c r="G56" i="15"/>
  <c r="G39" i="15" s="1"/>
  <c r="BG41" i="15"/>
  <c r="CI109" i="11"/>
  <c r="CE108" i="15"/>
  <c r="CE110" i="15" s="1"/>
  <c r="G53" i="15"/>
  <c r="BM53" i="15"/>
  <c r="BM108" i="15"/>
  <c r="BG108" i="15"/>
  <c r="BG110" i="15" s="1"/>
  <c r="CT69" i="15"/>
  <c r="CA59" i="15"/>
  <c r="G64" i="15"/>
  <c r="G76" i="15" s="1"/>
  <c r="BK41" i="15"/>
  <c r="BK59" i="15" s="1"/>
  <c r="CK53" i="15"/>
  <c r="CP66" i="15"/>
  <c r="CT67" i="15" s="1"/>
  <c r="BH56" i="15"/>
  <c r="CJ21" i="14"/>
  <c r="DO65" i="15"/>
  <c r="DK112" i="15"/>
  <c r="M38" i="15"/>
  <c r="CI34" i="15"/>
  <c r="CI53" i="15"/>
  <c r="BZ42" i="15"/>
  <c r="BM18" i="22"/>
  <c r="DF23" i="15"/>
  <c r="DJ65" i="15"/>
  <c r="O109" i="15"/>
  <c r="W15" i="15"/>
  <c r="CF64" i="15"/>
  <c r="CF65" i="15" s="1"/>
  <c r="CF55" i="15"/>
  <c r="M110" i="15"/>
  <c r="CN37" i="13"/>
  <c r="CN41" i="13" s="1"/>
  <c r="CN43" i="13" s="1"/>
  <c r="CA35" i="22"/>
  <c r="CF35" i="22"/>
  <c r="CI55" i="14"/>
  <c r="U15" i="15"/>
  <c r="I49" i="14"/>
  <c r="CR46" i="14"/>
  <c r="CC109" i="11"/>
  <c r="Q62" i="15"/>
  <c r="CF23" i="15"/>
  <c r="CF53" i="15"/>
  <c r="CF34" i="15"/>
  <c r="CF56" i="15"/>
  <c r="CF39" i="15" s="1"/>
  <c r="L38" i="15"/>
  <c r="BK20" i="15"/>
  <c r="BK18" i="15" s="1"/>
  <c r="BJ30" i="15"/>
  <c r="BI56" i="15"/>
  <c r="BH23" i="15"/>
  <c r="BH64" i="15"/>
  <c r="BL65" i="15" s="1"/>
  <c r="BH108" i="15"/>
  <c r="BH110" i="15" s="1"/>
  <c r="BH34" i="15"/>
  <c r="BH55" i="15"/>
  <c r="BP108" i="15"/>
  <c r="BP110" i="15" s="1"/>
  <c r="BP34" i="15"/>
  <c r="BL76" i="15"/>
  <c r="BP77" i="15" s="1"/>
  <c r="CM67" i="14"/>
  <c r="W70" i="15"/>
  <c r="CS46" i="14"/>
  <c r="AY80" i="15"/>
  <c r="AY81" i="15" s="1"/>
  <c r="CI84" i="14"/>
  <c r="CI79" i="14" s="1"/>
  <c r="CI77" i="14" s="1"/>
  <c r="CI78" i="14" s="1"/>
  <c r="CR65" i="15"/>
  <c r="CT47" i="14"/>
  <c r="CT56" i="14" s="1"/>
  <c r="DH159" i="15"/>
  <c r="J54" i="14"/>
  <c r="CG55" i="15"/>
  <c r="DE69" i="15"/>
  <c r="DE150" i="15"/>
  <c r="DI69" i="15"/>
  <c r="F35" i="37" s="1"/>
  <c r="L37" i="15"/>
  <c r="M37" i="15"/>
  <c r="L51" i="15"/>
  <c r="P40" i="15"/>
  <c r="BX18" i="22"/>
  <c r="CK42" i="15"/>
  <c r="CO47" i="14"/>
  <c r="CO57" i="14" s="1"/>
  <c r="CM35" i="13"/>
  <c r="CM50" i="13" s="1"/>
  <c r="CS52" i="14"/>
  <c r="CQ28" i="15"/>
  <c r="CJ38" i="14"/>
  <c r="CJ40" i="14" s="1"/>
  <c r="DF70" i="15"/>
  <c r="DJ71" i="15" s="1"/>
  <c r="AV66" i="15"/>
  <c r="CS66" i="15"/>
  <c r="CK28" i="14"/>
  <c r="AV80" i="15"/>
  <c r="AV82" i="15" s="1"/>
  <c r="CJ53" i="15"/>
  <c r="CF108" i="15"/>
  <c r="CF110" i="15" s="1"/>
  <c r="CR24" i="22"/>
  <c r="CR23" i="22" s="1"/>
  <c r="BY23" i="22"/>
  <c r="CI23" i="22"/>
  <c r="BL112" i="15"/>
  <c r="CP9" i="22"/>
  <c r="CP13" i="22" s="1"/>
  <c r="CP22" i="22" s="1"/>
  <c r="CT156" i="15"/>
  <c r="CR117" i="15"/>
  <c r="G83" i="14"/>
  <c r="G125" i="14"/>
  <c r="CQ117" i="15"/>
  <c r="CQ120" i="15"/>
  <c r="DF52" i="14"/>
  <c r="DF47" i="14"/>
  <c r="DF56" i="14" s="1"/>
  <c r="H65" i="14"/>
  <c r="BZ104" i="14"/>
  <c r="DF53" i="14"/>
  <c r="CT46" i="14"/>
  <c r="CW47" i="14"/>
  <c r="CW57" i="14" s="1"/>
  <c r="DI167" i="15"/>
  <c r="DI159" i="15"/>
  <c r="CU117" i="15"/>
  <c r="CT159" i="15"/>
  <c r="T119" i="15"/>
  <c r="CU159" i="15"/>
  <c r="DH117" i="15"/>
  <c r="DJ167" i="15"/>
  <c r="CT117" i="15"/>
  <c r="CG45" i="14"/>
  <c r="BT35" i="22" s="1"/>
  <c r="DJ117" i="15"/>
  <c r="DG159" i="15"/>
  <c r="CL68" i="14"/>
  <c r="CR52" i="14"/>
  <c r="DF156" i="15"/>
  <c r="CH55" i="14"/>
  <c r="DH160" i="15"/>
  <c r="CG55" i="14"/>
  <c r="DB117" i="15"/>
  <c r="CH45" i="14"/>
  <c r="CH52" i="14" s="1"/>
  <c r="CH51" i="14"/>
  <c r="CW369" i="13"/>
  <c r="AA44" i="37"/>
  <c r="CG133" i="13"/>
  <c r="CG134" i="13" s="1"/>
  <c r="CG131" i="13" s="1"/>
  <c r="CW35" i="11"/>
  <c r="CW36" i="11" s="1"/>
  <c r="CW37" i="11" s="1"/>
  <c r="CW370" i="13"/>
  <c r="CW103" i="11"/>
  <c r="CP113" i="13"/>
  <c r="CN59" i="17"/>
  <c r="CN60" i="17" s="1"/>
  <c r="DT113" i="13"/>
  <c r="CN42" i="17"/>
  <c r="CN43" i="17" s="1"/>
  <c r="W40" i="11"/>
  <c r="CQ370" i="13"/>
  <c r="CQ371" i="13" s="1"/>
  <c r="CM374" i="13"/>
  <c r="CY24" i="16"/>
  <c r="CY37" i="16" s="1"/>
  <c r="DS113" i="13"/>
  <c r="DK375" i="13"/>
  <c r="CE30" i="13"/>
  <c r="CS375" i="13"/>
  <c r="DR116" i="13"/>
  <c r="DF368" i="13"/>
  <c r="DJ368" i="13"/>
  <c r="CT375" i="13"/>
  <c r="BW30" i="13"/>
  <c r="J79" i="22"/>
  <c r="DJ375" i="13"/>
  <c r="DG375" i="13"/>
  <c r="DG113" i="13"/>
  <c r="H30" i="37"/>
  <c r="H43" i="37"/>
  <c r="DE53" i="11"/>
  <c r="DE54" i="11" s="1"/>
  <c r="DE55" i="11" s="1"/>
  <c r="DI116" i="13"/>
  <c r="CQ368" i="13"/>
  <c r="CU365" i="13"/>
  <c r="G30" i="37"/>
  <c r="G43" i="37"/>
  <c r="DE126" i="22"/>
  <c r="CW368" i="13"/>
  <c r="W102" i="11"/>
  <c r="CS368" i="13"/>
  <c r="BW27" i="13"/>
  <c r="DG365" i="13"/>
  <c r="DG21" i="16"/>
  <c r="K30" i="37"/>
  <c r="K43" i="37"/>
  <c r="J43" i="37"/>
  <c r="J30" i="37"/>
  <c r="DS116" i="13"/>
  <c r="DG116" i="13"/>
  <c r="CC116" i="13"/>
  <c r="W54" i="13"/>
  <c r="I30" i="37"/>
  <c r="I43" i="37"/>
  <c r="CP183" i="12"/>
  <c r="CK222" i="12"/>
  <c r="CV177" i="12"/>
  <c r="CI119" i="22" s="1"/>
  <c r="BS49" i="12"/>
  <c r="CB84" i="22"/>
  <c r="CO301" i="12"/>
  <c r="CO321" i="12" s="1"/>
  <c r="CL328" i="12"/>
  <c r="CN689" i="12"/>
  <c r="U444" i="12"/>
  <c r="CB40" i="12"/>
  <c r="CR26" i="12"/>
  <c r="BF143" i="12"/>
  <c r="BF144" i="12" s="1"/>
  <c r="BC62" i="12"/>
  <c r="DJ472" i="12"/>
  <c r="CU56" i="17"/>
  <c r="CV57" i="17" s="1"/>
  <c r="CL72" i="12"/>
  <c r="DK21" i="16"/>
  <c r="CI135" i="13"/>
  <c r="BK49" i="12"/>
  <c r="BV102" i="12"/>
  <c r="S42" i="12"/>
  <c r="T22" i="12"/>
  <c r="BU437" i="12"/>
  <c r="Q25" i="12"/>
  <c r="CL303" i="12"/>
  <c r="CB85" i="22"/>
  <c r="CO136" i="17"/>
  <c r="CO116" i="17" s="1"/>
  <c r="BC54" i="12"/>
  <c r="BC65" i="12"/>
  <c r="BC67" i="12" s="1"/>
  <c r="CF301" i="12"/>
  <c r="CF302" i="12" s="1"/>
  <c r="BR439" i="12"/>
  <c r="CN54" i="12"/>
  <c r="CT78" i="12"/>
  <c r="S122" i="12"/>
  <c r="CB136" i="17"/>
  <c r="CB116" i="17" s="1"/>
  <c r="CQ14" i="6"/>
  <c r="BY14" i="6"/>
  <c r="BY15" i="6" s="1"/>
  <c r="CA204" i="12"/>
  <c r="H13" i="12"/>
  <c r="BZ438" i="12"/>
  <c r="DA35" i="11"/>
  <c r="DA36" i="11" s="1"/>
  <c r="DA37" i="11" s="1"/>
  <c r="CJ179" i="12"/>
  <c r="CA438" i="12"/>
  <c r="CQ21" i="16"/>
  <c r="CB69" i="12"/>
  <c r="CB71" i="12" s="1"/>
  <c r="CO31" i="12"/>
  <c r="CO62" i="12" s="1"/>
  <c r="BA71" i="12"/>
  <c r="CW449" i="12"/>
  <c r="CW450" i="12" s="1"/>
  <c r="CW451" i="12" s="1"/>
  <c r="BS43" i="12"/>
  <c r="CL321" i="12"/>
  <c r="CB49" i="12"/>
  <c r="BC49" i="12"/>
  <c r="DA445" i="12"/>
  <c r="BZ437" i="12"/>
  <c r="CH14" i="11"/>
  <c r="CH59" i="11" s="1"/>
  <c r="CF15" i="12"/>
  <c r="BQ311" i="12"/>
  <c r="BV14" i="11"/>
  <c r="CT49" i="12"/>
  <c r="BO46" i="22"/>
  <c r="BJ164" i="12"/>
  <c r="CT54" i="12"/>
  <c r="CJ322" i="12"/>
  <c r="CU21" i="16"/>
  <c r="CE56" i="17"/>
  <c r="CE26" i="17" s="1"/>
  <c r="CE58" i="17" s="1"/>
  <c r="CX127" i="12"/>
  <c r="CX128" i="12" s="1"/>
  <c r="CJ223" i="12"/>
  <c r="BJ102" i="12"/>
  <c r="CI78" i="12"/>
  <c r="CI81" i="12" s="1"/>
  <c r="BK54" i="12"/>
  <c r="CL434" i="12"/>
  <c r="CP434" i="12"/>
  <c r="CV61" i="12"/>
  <c r="CN690" i="12"/>
  <c r="P47" i="12"/>
  <c r="DD307" i="12"/>
  <c r="CV59" i="11"/>
  <c r="CV68" i="11" s="1"/>
  <c r="CT445" i="12"/>
  <c r="BY62" i="12"/>
  <c r="CN50" i="12"/>
  <c r="CN26" i="12"/>
  <c r="CA84" i="22"/>
  <c r="I439" i="12"/>
  <c r="DE306" i="12"/>
  <c r="V25" i="12"/>
  <c r="R304" i="12"/>
  <c r="CS26" i="12"/>
  <c r="CW305" i="12"/>
  <c r="BS438" i="12"/>
  <c r="CQ136" i="17"/>
  <c r="CQ116" i="17" s="1"/>
  <c r="BH102" i="12"/>
  <c r="L436" i="12"/>
  <c r="L12" i="12" s="1"/>
  <c r="BG303" i="12"/>
  <c r="E65" i="12"/>
  <c r="E67" i="12" s="1"/>
  <c r="DD305" i="12"/>
  <c r="DH50" i="12"/>
  <c r="I13" i="12"/>
  <c r="BF438" i="12"/>
  <c r="CS120" i="17"/>
  <c r="CV120" i="17"/>
  <c r="CE28" i="16"/>
  <c r="CE48" i="12"/>
  <c r="U23" i="11"/>
  <c r="CP472" i="12"/>
  <c r="CD439" i="12"/>
  <c r="CR61" i="12"/>
  <c r="CO437" i="12"/>
  <c r="BK47" i="17"/>
  <c r="BK48" i="17" s="1"/>
  <c r="AZ303" i="12"/>
  <c r="CU26" i="12"/>
  <c r="DH31" i="12"/>
  <c r="DH62" i="12" s="1"/>
  <c r="CP445" i="12"/>
  <c r="CP449" i="12"/>
  <c r="CP450" i="12" s="1"/>
  <c r="CP451" i="12" s="1"/>
  <c r="CH438" i="12"/>
  <c r="DA305" i="12"/>
  <c r="BS439" i="12"/>
  <c r="BT15" i="12"/>
  <c r="BG49" i="12"/>
  <c r="CQ50" i="12"/>
  <c r="CB302" i="12"/>
  <c r="BK438" i="12"/>
  <c r="I437" i="12"/>
  <c r="CQ299" i="12"/>
  <c r="DG60" i="12"/>
  <c r="DK61" i="12" s="1"/>
  <c r="CE60" i="12"/>
  <c r="CE62" i="12" s="1"/>
  <c r="CV27" i="11"/>
  <c r="CV28" i="11" s="1"/>
  <c r="CT472" i="12"/>
  <c r="V47" i="12"/>
  <c r="DH26" i="12"/>
  <c r="E14" i="37" s="1"/>
  <c r="BT54" i="12"/>
  <c r="CP438" i="12"/>
  <c r="T444" i="12"/>
  <c r="DH136" i="17"/>
  <c r="DH116" i="17" s="1"/>
  <c r="DB445" i="12"/>
  <c r="DB449" i="12"/>
  <c r="DB450" i="12" s="1"/>
  <c r="DB454" i="12"/>
  <c r="CR305" i="12"/>
  <c r="CE164" i="12"/>
  <c r="BG15" i="12"/>
  <c r="CX445" i="12"/>
  <c r="F15" i="12"/>
  <c r="CM133" i="12"/>
  <c r="S444" i="12"/>
  <c r="S304" i="12"/>
  <c r="CF438" i="12"/>
  <c r="U22" i="12"/>
  <c r="CV26" i="12"/>
  <c r="CT446" i="12"/>
  <c r="BW102" i="12"/>
  <c r="BW437" i="12"/>
  <c r="J14" i="12"/>
  <c r="J54" i="12" s="1"/>
  <c r="BF439" i="12"/>
  <c r="BT43" i="12"/>
  <c r="BT65" i="12"/>
  <c r="BT67" i="12" s="1"/>
  <c r="DH315" i="12"/>
  <c r="CI446" i="12"/>
  <c r="DL281" i="12"/>
  <c r="DL248" i="12"/>
  <c r="DO155" i="15"/>
  <c r="DS170" i="15"/>
  <c r="BY65" i="12"/>
  <c r="BY67" i="12" s="1"/>
  <c r="U168" i="7"/>
  <c r="P54" i="8"/>
  <c r="O42" i="8"/>
  <c r="T53" i="8"/>
  <c r="T107" i="6" s="1"/>
  <c r="T109" i="6" s="1"/>
  <c r="T110" i="6" s="1"/>
  <c r="Q42" i="8"/>
  <c r="S57" i="8"/>
  <c r="P38" i="8"/>
  <c r="P32" i="8"/>
  <c r="P91" i="8" s="1"/>
  <c r="CU35" i="8"/>
  <c r="R107" i="6"/>
  <c r="CL71" i="8"/>
  <c r="R18" i="8"/>
  <c r="R17" i="8"/>
  <c r="R76" i="8" s="1"/>
  <c r="CR701" i="12"/>
  <c r="DJ59" i="8"/>
  <c r="CZ57" i="8"/>
  <c r="CZ58" i="8" s="1"/>
  <c r="DC66" i="8"/>
  <c r="DC69" i="8" s="1"/>
  <c r="CF45" i="8"/>
  <c r="CT59" i="8"/>
  <c r="Q32" i="8"/>
  <c r="Q91" i="8" s="1"/>
  <c r="CR71" i="8"/>
  <c r="CM169" i="7"/>
  <c r="CM175" i="7" s="1"/>
  <c r="CI66" i="8"/>
  <c r="CI69" i="8" s="1"/>
  <c r="CS79" i="8"/>
  <c r="T42" i="8"/>
  <c r="CU87" i="7"/>
  <c r="CD87" i="7"/>
  <c r="DD76" i="7"/>
  <c r="CF172" i="7"/>
  <c r="CF188" i="7" s="1"/>
  <c r="CA50" i="7"/>
  <c r="CA62" i="7" s="1"/>
  <c r="CU165" i="7"/>
  <c r="CU171" i="7"/>
  <c r="CZ83" i="7"/>
  <c r="CZ85" i="7" s="1"/>
  <c r="DM87" i="7"/>
  <c r="T76" i="7"/>
  <c r="T112" i="7" s="1"/>
  <c r="T119" i="7" s="1"/>
  <c r="DA62" i="7"/>
  <c r="CF179" i="7"/>
  <c r="CF186" i="7"/>
  <c r="DA186" i="7"/>
  <c r="R27" i="7"/>
  <c r="R113" i="7" s="1"/>
  <c r="CC113" i="7"/>
  <c r="CZ87" i="7"/>
  <c r="DB83" i="7"/>
  <c r="DB85" i="7" s="1"/>
  <c r="W94" i="8"/>
  <c r="N50" i="7"/>
  <c r="CF169" i="7"/>
  <c r="CF175" i="7" s="1"/>
  <c r="V42" i="7"/>
  <c r="CG167" i="7"/>
  <c r="R73" i="6"/>
  <c r="CF190" i="7"/>
  <c r="CV171" i="7"/>
  <c r="CV165" i="7"/>
  <c r="CJ87" i="7"/>
  <c r="S27" i="7"/>
  <c r="S113" i="7" s="1"/>
  <c r="CB87" i="7"/>
  <c r="CF165" i="7"/>
  <c r="CJ190" i="7"/>
  <c r="DN90" i="7"/>
  <c r="DN91" i="7" s="1"/>
  <c r="DN87" i="7"/>
  <c r="CU186" i="7"/>
  <c r="O168" i="7"/>
  <c r="W178" i="7"/>
  <c r="DL190" i="7"/>
  <c r="CH181" i="7"/>
  <c r="CH165" i="7"/>
  <c r="CH182" i="7"/>
  <c r="DN83" i="7"/>
  <c r="DN85" i="7" s="1"/>
  <c r="DM62" i="7"/>
  <c r="T23" i="7"/>
  <c r="T111" i="7" s="1"/>
  <c r="T118" i="7" s="1"/>
  <c r="CM186" i="7"/>
  <c r="CE193" i="7"/>
  <c r="BZ61" i="6"/>
  <c r="BP61" i="22"/>
  <c r="CE79" i="6"/>
  <c r="CH110" i="7" s="1"/>
  <c r="CH117" i="7" s="1"/>
  <c r="DD118" i="6"/>
  <c r="DB190" i="7"/>
  <c r="CE54" i="6"/>
  <c r="N85" i="6"/>
  <c r="DC120" i="6"/>
  <c r="P73" i="6"/>
  <c r="P70" i="6" s="1"/>
  <c r="P90" i="8" s="1"/>
  <c r="S94" i="8"/>
  <c r="CE58" i="6"/>
  <c r="CX184" i="7"/>
  <c r="CG14" i="17"/>
  <c r="CX188" i="7"/>
  <c r="CA186" i="7"/>
  <c r="CG12" i="17"/>
  <c r="CG190" i="7"/>
  <c r="T89" i="8"/>
  <c r="T162" i="6"/>
  <c r="T202" i="7" s="1"/>
  <c r="U68" i="6"/>
  <c r="DC79" i="8"/>
  <c r="T52" i="6"/>
  <c r="V42" i="6"/>
  <c r="W43" i="6" s="1"/>
  <c r="R89" i="8"/>
  <c r="CN190" i="7"/>
  <c r="R68" i="6"/>
  <c r="N107" i="6"/>
  <c r="R43" i="6"/>
  <c r="DC53" i="6"/>
  <c r="DC54" i="6" s="1"/>
  <c r="CZ54" i="6"/>
  <c r="DK118" i="6"/>
  <c r="S68" i="6"/>
  <c r="CU190" i="7"/>
  <c r="P84" i="7"/>
  <c r="CH79" i="8"/>
  <c r="BX57" i="6"/>
  <c r="DE54" i="6"/>
  <c r="O52" i="6"/>
  <c r="N73" i="6"/>
  <c r="N70" i="6" s="1"/>
  <c r="CM366" i="13"/>
  <c r="DC370" i="13"/>
  <c r="CH116" i="13"/>
  <c r="DC365" i="13"/>
  <c r="CQ365" i="13"/>
  <c r="DF113" i="13"/>
  <c r="CV113" i="13"/>
  <c r="CY53" i="14"/>
  <c r="CY52" i="14"/>
  <c r="BN33" i="22"/>
  <c r="CA145" i="14"/>
  <c r="CA146" i="14" s="1"/>
  <c r="DE87" i="14"/>
  <c r="DE86" i="14"/>
  <c r="N100" i="14"/>
  <c r="DB87" i="14"/>
  <c r="BP34" i="22"/>
  <c r="CC91" i="14"/>
  <c r="CD88" i="14"/>
  <c r="G60" i="12"/>
  <c r="G63" i="12" s="1"/>
  <c r="S23" i="11"/>
  <c r="AV66" i="12"/>
  <c r="CL71" i="12"/>
  <c r="DA472" i="12"/>
  <c r="T32" i="11"/>
  <c r="BL55" i="12"/>
  <c r="BL46" i="17" s="1"/>
  <c r="BL59" i="17" s="1"/>
  <c r="BM58" i="12"/>
  <c r="BM55" i="12" s="1"/>
  <c r="BM46" i="17" s="1"/>
  <c r="BM59" i="17" s="1"/>
  <c r="N68" i="14"/>
  <c r="DP116" i="13"/>
  <c r="DT116" i="13"/>
  <c r="DT48" i="16"/>
  <c r="DT23" i="16" s="1"/>
  <c r="CE19" i="6"/>
  <c r="BT30" i="13"/>
  <c r="BR30" i="13"/>
  <c r="G207" i="21"/>
  <c r="G208" i="21" s="1"/>
  <c r="G205" i="21"/>
  <c r="BU30" i="13"/>
  <c r="AT207" i="21"/>
  <c r="AT208" i="21" s="1"/>
  <c r="AT205" i="21"/>
  <c r="AL205" i="21"/>
  <c r="AL207" i="21"/>
  <c r="AL208" i="21" s="1"/>
  <c r="BV27" i="13"/>
  <c r="N20" i="13"/>
  <c r="O16" i="13"/>
  <c r="BV145" i="12"/>
  <c r="CQ223" i="12"/>
  <c r="P148" i="12"/>
  <c r="CP177" i="12"/>
  <c r="BN165" i="12"/>
  <c r="CM294" i="12"/>
  <c r="BZ138" i="22" s="1"/>
  <c r="BB164" i="12"/>
  <c r="BZ212" i="12"/>
  <c r="N212" i="12" s="1"/>
  <c r="DC128" i="12"/>
  <c r="DK294" i="12"/>
  <c r="CX138" i="22" s="1"/>
  <c r="BG143" i="12"/>
  <c r="BG440" i="12" s="1"/>
  <c r="DI289" i="12"/>
  <c r="V289" i="12" s="1"/>
  <c r="CJ205" i="12"/>
  <c r="DK293" i="12"/>
  <c r="DK289" i="12"/>
  <c r="DK137" i="12" s="1"/>
  <c r="DO138" i="12" s="1"/>
  <c r="DM293" i="12"/>
  <c r="CV128" i="12"/>
  <c r="O148" i="12"/>
  <c r="CP128" i="12"/>
  <c r="BT164" i="12"/>
  <c r="M39" i="12"/>
  <c r="CN179" i="12"/>
  <c r="CN316" i="12" s="1"/>
  <c r="CN223" i="12"/>
  <c r="CQ132" i="12"/>
  <c r="CQ133" i="12" s="1"/>
  <c r="CN203" i="12"/>
  <c r="CA164" i="12"/>
  <c r="BR163" i="12"/>
  <c r="BV164" i="12" s="1"/>
  <c r="BU310" i="12"/>
  <c r="CR223" i="12"/>
  <c r="CL187" i="12"/>
  <c r="CP178" i="12"/>
  <c r="CR177" i="12"/>
  <c r="CR178" i="12" s="1"/>
  <c r="CR128" i="12"/>
  <c r="BR311" i="12"/>
  <c r="CA440" i="12"/>
  <c r="CN132" i="12"/>
  <c r="CN133" i="12" s="1"/>
  <c r="BX163" i="12"/>
  <c r="BX143" i="12" s="1"/>
  <c r="BX145" i="12" s="1"/>
  <c r="R122" i="12"/>
  <c r="R187" i="12" s="1"/>
  <c r="CG223" i="12"/>
  <c r="CN198" i="12"/>
  <c r="CN205" i="12" s="1"/>
  <c r="DN22" i="14"/>
  <c r="CU39" i="14"/>
  <c r="CZ282" i="12"/>
  <c r="CZ284" i="12"/>
  <c r="CV283" i="12"/>
  <c r="CV284" i="12"/>
  <c r="CY283" i="12"/>
  <c r="CY284" i="12"/>
  <c r="DH283" i="12"/>
  <c r="DH284" i="12"/>
  <c r="DA333" i="12"/>
  <c r="CR179" i="12"/>
  <c r="CS316" i="12" s="1"/>
  <c r="DN294" i="12"/>
  <c r="DA138" i="22" s="1"/>
  <c r="DR293" i="12"/>
  <c r="T292" i="12"/>
  <c r="T294" i="12" s="1"/>
  <c r="O138" i="22" s="1"/>
  <c r="CY138" i="22"/>
  <c r="CQ160" i="12"/>
  <c r="CQ162" i="12" s="1"/>
  <c r="P18" i="5"/>
  <c r="O19" i="5"/>
  <c r="BA82" i="15"/>
  <c r="CO59" i="17"/>
  <c r="CK42" i="17"/>
  <c r="CK43" i="17" s="1"/>
  <c r="BJ59" i="17"/>
  <c r="Q23" i="11"/>
  <c r="CZ42" i="17"/>
  <c r="CZ43" i="17" s="1"/>
  <c r="U39" i="12"/>
  <c r="R42" i="12"/>
  <c r="DK24" i="16"/>
  <c r="DK37" i="16" s="1"/>
  <c r="R39" i="12"/>
  <c r="K39" i="12"/>
  <c r="R23" i="11"/>
  <c r="Q32" i="11"/>
  <c r="DP472" i="12"/>
  <c r="DR472" i="12"/>
  <c r="DQ472" i="12"/>
  <c r="CS473" i="12"/>
  <c r="CX156" i="15"/>
  <c r="CR14" i="17"/>
  <c r="N53" i="35"/>
  <c r="N55" i="35" s="1"/>
  <c r="N56" i="35" s="1"/>
  <c r="Q52" i="35"/>
  <c r="P53" i="35"/>
  <c r="T53" i="35"/>
  <c r="R52" i="35"/>
  <c r="Q53" i="35"/>
  <c r="Q55" i="35" s="1"/>
  <c r="Q56" i="35" s="1"/>
  <c r="R53" i="35"/>
  <c r="P52" i="35"/>
  <c r="T52" i="35"/>
  <c r="S53" i="35"/>
  <c r="S52" i="35"/>
  <c r="F52" i="35"/>
  <c r="S70" i="35"/>
  <c r="R71" i="35"/>
  <c r="Q70" i="35"/>
  <c r="P70" i="35"/>
  <c r="T70" i="35"/>
  <c r="S71" i="35"/>
  <c r="P71" i="35"/>
  <c r="R70" i="35"/>
  <c r="Q71" i="35"/>
  <c r="T71" i="35"/>
  <c r="N16" i="35"/>
  <c r="Q16" i="35"/>
  <c r="P17" i="35"/>
  <c r="T17" i="35"/>
  <c r="R17" i="35"/>
  <c r="R16" i="35"/>
  <c r="Q17" i="35"/>
  <c r="S16" i="35"/>
  <c r="P16" i="35"/>
  <c r="T16" i="35"/>
  <c r="T19" i="35" s="1"/>
  <c r="T20" i="35" s="1"/>
  <c r="S17" i="35"/>
  <c r="S34" i="35"/>
  <c r="R35" i="35"/>
  <c r="P34" i="35"/>
  <c r="T34" i="35"/>
  <c r="S35" i="35"/>
  <c r="P35" i="35"/>
  <c r="R34" i="35"/>
  <c r="Q35" i="35"/>
  <c r="Q34" i="35"/>
  <c r="T35" i="35"/>
  <c r="O52" i="35"/>
  <c r="O55" i="35" s="1"/>
  <c r="O56" i="35" s="1"/>
  <c r="O73" i="35"/>
  <c r="O74" i="35" s="1"/>
  <c r="D17" i="35"/>
  <c r="E17" i="35"/>
  <c r="C17" i="35"/>
  <c r="K17" i="35"/>
  <c r="D52" i="35"/>
  <c r="E53" i="35"/>
  <c r="H53" i="35"/>
  <c r="F53" i="35"/>
  <c r="O53" i="35"/>
  <c r="N17" i="35"/>
  <c r="D37" i="35"/>
  <c r="D38" i="35" s="1"/>
  <c r="G16" i="35"/>
  <c r="I16" i="35"/>
  <c r="D16" i="35"/>
  <c r="I52" i="35"/>
  <c r="I53" i="35"/>
  <c r="M53" i="35"/>
  <c r="M55" i="35" s="1"/>
  <c r="M56" i="35" s="1"/>
  <c r="E52" i="35"/>
  <c r="E55" i="35" s="1"/>
  <c r="E56" i="35" s="1"/>
  <c r="K52" i="35"/>
  <c r="K55" i="35" s="1"/>
  <c r="K56" i="35" s="1"/>
  <c r="J53" i="35"/>
  <c r="L16" i="35"/>
  <c r="I17" i="35"/>
  <c r="H16" i="35"/>
  <c r="L52" i="35"/>
  <c r="L55" i="35" s="1"/>
  <c r="L56" i="35" s="1"/>
  <c r="J52" i="35"/>
  <c r="G53" i="35"/>
  <c r="D53" i="35"/>
  <c r="CJ116" i="13"/>
  <c r="S23" i="20"/>
  <c r="T13" i="20"/>
  <c r="BZ116" i="13"/>
  <c r="DH48" i="16"/>
  <c r="DH23" i="16" s="1"/>
  <c r="U7" i="20"/>
  <c r="T8" i="20"/>
  <c r="S8" i="19"/>
  <c r="T7" i="19"/>
  <c r="DK113" i="13"/>
  <c r="CA113" i="13"/>
  <c r="CE113" i="13"/>
  <c r="U13" i="19"/>
  <c r="T23" i="19"/>
  <c r="CJ35" i="8"/>
  <c r="DD32" i="17"/>
  <c r="DA52" i="6"/>
  <c r="DD94" i="13"/>
  <c r="DD40" i="17" s="1"/>
  <c r="DD42" i="17" s="1"/>
  <c r="DD13" i="17"/>
  <c r="DI113" i="13"/>
  <c r="DL113" i="13"/>
  <c r="CQ48" i="16"/>
  <c r="CQ23" i="16" s="1"/>
  <c r="DK48" i="16"/>
  <c r="DK23" i="16" s="1"/>
  <c r="M18" i="17"/>
  <c r="L142" i="17"/>
  <c r="K126" i="17"/>
  <c r="BZ109" i="17"/>
  <c r="DF109" i="17"/>
  <c r="DF44" i="17"/>
  <c r="DC118" i="17"/>
  <c r="DC120" i="17" s="1"/>
  <c r="DC110" i="8"/>
  <c r="CP44" i="17"/>
  <c r="CP109" i="17"/>
  <c r="CT109" i="17"/>
  <c r="CI109" i="17"/>
  <c r="M142" i="17"/>
  <c r="DF147" i="17"/>
  <c r="CD44" i="17"/>
  <c r="CD110" i="17"/>
  <c r="DA119" i="17"/>
  <c r="C52" i="35"/>
  <c r="C55" i="35" s="1"/>
  <c r="C56" i="35" s="1"/>
  <c r="G52" i="35"/>
  <c r="G55" i="35" s="1"/>
  <c r="G56" i="35" s="1"/>
  <c r="DB109" i="17"/>
  <c r="DB44" i="17"/>
  <c r="CL115" i="17"/>
  <c r="BV127" i="17"/>
  <c r="DD115" i="17"/>
  <c r="CW109" i="17"/>
  <c r="BN129" i="17"/>
  <c r="DF127" i="17"/>
  <c r="DF128" i="17"/>
  <c r="DF49" i="17"/>
  <c r="L37" i="35"/>
  <c r="L38" i="35" s="1"/>
  <c r="N126" i="17"/>
  <c r="O127" i="17" s="1"/>
  <c r="CP147" i="17"/>
  <c r="E16" i="35"/>
  <c r="O16" i="35"/>
  <c r="O17" i="35"/>
  <c r="F16" i="35"/>
  <c r="J16" i="35"/>
  <c r="L17" i="35"/>
  <c r="G17" i="35"/>
  <c r="G19" i="35" s="1"/>
  <c r="G20" i="35" s="1"/>
  <c r="M17" i="35"/>
  <c r="C16" i="35"/>
  <c r="K138" i="17"/>
  <c r="J126" i="17"/>
  <c r="J142" i="17"/>
  <c r="CX110" i="8"/>
  <c r="CX49" i="17"/>
  <c r="O34" i="35"/>
  <c r="O35" i="35"/>
  <c r="CP49" i="17"/>
  <c r="CP118" i="17"/>
  <c r="CP119" i="17" s="1"/>
  <c r="CP110" i="8"/>
  <c r="CP550" i="12"/>
  <c r="CP115" i="17"/>
  <c r="CP128" i="17"/>
  <c r="I114" i="17"/>
  <c r="I135" i="17"/>
  <c r="CO147" i="17"/>
  <c r="R54" i="17"/>
  <c r="BZ49" i="17"/>
  <c r="BZ118" i="17"/>
  <c r="BZ115" i="17"/>
  <c r="CR110" i="8"/>
  <c r="CR118" i="17"/>
  <c r="CV119" i="17" s="1"/>
  <c r="CL119" i="17"/>
  <c r="CA127" i="17"/>
  <c r="CM557" i="12"/>
  <c r="CM568" i="12" s="1"/>
  <c r="CM570" i="12" s="1"/>
  <c r="CN569" i="12" s="1"/>
  <c r="CN128" i="17"/>
  <c r="CN129" i="17" s="1"/>
  <c r="CN70" i="22"/>
  <c r="CB14" i="17"/>
  <c r="W114" i="17"/>
  <c r="W134" i="17" s="1"/>
  <c r="CQ70" i="22"/>
  <c r="L18" i="17"/>
  <c r="BV128" i="17"/>
  <c r="BV129" i="17" s="1"/>
  <c r="CV115" i="17"/>
  <c r="CZ110" i="8"/>
  <c r="CR70" i="22"/>
  <c r="CL49" i="17"/>
  <c r="DJ147" i="17"/>
  <c r="DA44" i="17"/>
  <c r="DA109" i="17"/>
  <c r="M69" i="22"/>
  <c r="R126" i="17"/>
  <c r="DB110" i="8"/>
  <c r="DB49" i="17"/>
  <c r="DB115" i="17"/>
  <c r="DB118" i="17"/>
  <c r="DB120" i="17" s="1"/>
  <c r="BR49" i="17"/>
  <c r="L49" i="17" s="1"/>
  <c r="BR115" i="17"/>
  <c r="BV115" i="17"/>
  <c r="CC44" i="17"/>
  <c r="N44" i="17" s="1"/>
  <c r="CC109" i="17"/>
  <c r="DJ115" i="17"/>
  <c r="DF115" i="17"/>
  <c r="CT115" i="17"/>
  <c r="CT118" i="17"/>
  <c r="S118" i="17" s="1"/>
  <c r="CT550" i="12"/>
  <c r="CT110" i="8"/>
  <c r="CG44" i="17"/>
  <c r="CG110" i="17"/>
  <c r="BQ44" i="17"/>
  <c r="DH115" i="17"/>
  <c r="M126" i="17"/>
  <c r="CX115" i="17"/>
  <c r="K142" i="17"/>
  <c r="CD119" i="17"/>
  <c r="L44" i="17"/>
  <c r="CK109" i="17"/>
  <c r="DH127" i="17"/>
  <c r="CL696" i="12"/>
  <c r="CL697" i="12" s="1"/>
  <c r="CL698" i="12" s="1"/>
  <c r="CL702" i="12" s="1"/>
  <c r="CL703" i="12" s="1"/>
  <c r="CL704" i="12" s="1"/>
  <c r="BQ109" i="17"/>
  <c r="CL128" i="17"/>
  <c r="BU109" i="17"/>
  <c r="CI70" i="22"/>
  <c r="CL110" i="8"/>
  <c r="DF110" i="8"/>
  <c r="BQ128" i="17"/>
  <c r="BQ129" i="17" s="1"/>
  <c r="CE127" i="17"/>
  <c r="BY44" i="17"/>
  <c r="M44" i="17" s="1"/>
  <c r="BO127" i="17"/>
  <c r="BN127" i="17"/>
  <c r="CI127" i="17"/>
  <c r="DK166" i="15"/>
  <c r="DD16" i="15"/>
  <c r="DD17" i="15" s="1"/>
  <c r="DH28" i="15"/>
  <c r="CV117" i="15"/>
  <c r="DD56" i="14"/>
  <c r="DI52" i="14"/>
  <c r="I45" i="14"/>
  <c r="I53" i="14" s="1"/>
  <c r="W142" i="15"/>
  <c r="AR76" i="15"/>
  <c r="DJ119" i="15"/>
  <c r="G119" i="14"/>
  <c r="G73" i="14"/>
  <c r="CX69" i="15"/>
  <c r="CF109" i="11"/>
  <c r="CL112" i="15"/>
  <c r="DJ47" i="14"/>
  <c r="DJ56" i="14" s="1"/>
  <c r="DE16" i="15"/>
  <c r="DE17" i="15" s="1"/>
  <c r="I16" i="14"/>
  <c r="CV35" i="22"/>
  <c r="AP80" i="15"/>
  <c r="AT81" i="15" s="1"/>
  <c r="Y140" i="15"/>
  <c r="BM41" i="15"/>
  <c r="BM59" i="15" s="1"/>
  <c r="BN41" i="15"/>
  <c r="CX166" i="15"/>
  <c r="F76" i="15"/>
  <c r="CR8" i="22"/>
  <c r="CR9" i="22" s="1"/>
  <c r="CR13" i="22" s="1"/>
  <c r="CR22" i="22" s="1"/>
  <c r="U18" i="15"/>
  <c r="P8" i="22" s="1"/>
  <c r="BY9" i="22"/>
  <c r="BY13" i="22" s="1"/>
  <c r="AT65" i="15"/>
  <c r="CS167" i="15"/>
  <c r="AT66" i="15"/>
  <c r="CI37" i="14"/>
  <c r="CI32" i="14" s="1"/>
  <c r="CI30" i="14" s="1"/>
  <c r="CI31" i="14" s="1"/>
  <c r="AU66" i="15"/>
  <c r="I54" i="14"/>
  <c r="BW64" i="15"/>
  <c r="BS108" i="15"/>
  <c r="BS110" i="15" s="1"/>
  <c r="V136" i="15"/>
  <c r="CM42" i="15"/>
  <c r="BZ18" i="22"/>
  <c r="M63" i="15"/>
  <c r="L63" i="15"/>
  <c r="L62" i="15"/>
  <c r="BU239" i="13"/>
  <c r="L239" i="13" s="1"/>
  <c r="BU30" i="15"/>
  <c r="DH23" i="15"/>
  <c r="CP52" i="14"/>
  <c r="AW55" i="15"/>
  <c r="BS55" i="15"/>
  <c r="BP112" i="15"/>
  <c r="CH68" i="14"/>
  <c r="M49" i="14"/>
  <c r="P115" i="15"/>
  <c r="P118" i="15" s="1"/>
  <c r="Q119" i="15" s="1"/>
  <c r="H50" i="14"/>
  <c r="H45" i="14" s="1"/>
  <c r="H53" i="14" s="1"/>
  <c r="BS64" i="15"/>
  <c r="BS112" i="15" s="1"/>
  <c r="AV81" i="15"/>
  <c r="BQ53" i="15"/>
  <c r="BQ108" i="15"/>
  <c r="BQ110" i="15" s="1"/>
  <c r="K110" i="15" s="1"/>
  <c r="BS34" i="15"/>
  <c r="BU20" i="15"/>
  <c r="L20" i="15" s="1"/>
  <c r="CM41" i="15"/>
  <c r="CM59" i="15" s="1"/>
  <c r="U132" i="15"/>
  <c r="G108" i="15"/>
  <c r="G55" i="15"/>
  <c r="O50" i="15"/>
  <c r="L43" i="15"/>
  <c r="L46" i="15"/>
  <c r="CQ47" i="14"/>
  <c r="CQ57" i="14" s="1"/>
  <c r="DE47" i="14"/>
  <c r="DE56" i="14" s="1"/>
  <c r="CA53" i="15"/>
  <c r="BS56" i="15"/>
  <c r="BS39" i="15" s="1"/>
  <c r="BR55" i="15"/>
  <c r="CH85" i="14"/>
  <c r="CL87" i="14" s="1"/>
  <c r="BP65" i="15"/>
  <c r="CH67" i="14"/>
  <c r="H75" i="14"/>
  <c r="I29" i="14"/>
  <c r="I17" i="14" s="1"/>
  <c r="I38" i="14" s="1"/>
  <c r="J40" i="14" s="1"/>
  <c r="H36" i="14"/>
  <c r="L54" i="14"/>
  <c r="BP80" i="15"/>
  <c r="BP81" i="15" s="1"/>
  <c r="BQ56" i="15"/>
  <c r="BQ39" i="15" s="1"/>
  <c r="BQ55" i="15"/>
  <c r="BS23" i="15"/>
  <c r="L40" i="15"/>
  <c r="L42" i="15" s="1"/>
  <c r="L21" i="22"/>
  <c r="Q63" i="15"/>
  <c r="N62" i="15"/>
  <c r="N63" i="15"/>
  <c r="M62" i="15"/>
  <c r="CG42" i="15"/>
  <c r="BT18" i="22"/>
  <c r="J18" i="22" s="1"/>
  <c r="CH41" i="15"/>
  <c r="CH59" i="15" s="1"/>
  <c r="O40" i="15"/>
  <c r="BH41" i="15"/>
  <c r="BG42" i="15"/>
  <c r="CN42" i="15"/>
  <c r="CN41" i="15"/>
  <c r="CN59" i="15" s="1"/>
  <c r="CA18" i="22"/>
  <c r="BW23" i="15"/>
  <c r="BW108" i="15"/>
  <c r="BW110" i="15" s="1"/>
  <c r="BW34" i="15"/>
  <c r="BX56" i="15"/>
  <c r="BX39" i="15" s="1"/>
  <c r="H139" i="14"/>
  <c r="BX59" i="15"/>
  <c r="CP46" i="14"/>
  <c r="DE52" i="14"/>
  <c r="CV28" i="15"/>
  <c r="CL59" i="15"/>
  <c r="CO23" i="22"/>
  <c r="CO22" i="14"/>
  <c r="H27" i="14"/>
  <c r="I28" i="14" s="1"/>
  <c r="BR56" i="15"/>
  <c r="BR39" i="15" s="1"/>
  <c r="BQ64" i="15"/>
  <c r="BR66" i="15" s="1"/>
  <c r="BW53" i="15"/>
  <c r="BU279" i="13"/>
  <c r="L279" i="13" s="1"/>
  <c r="W130" i="15"/>
  <c r="X130" i="15" s="1"/>
  <c r="AV65" i="15"/>
  <c r="P50" i="15"/>
  <c r="K38" i="15"/>
  <c r="K37" i="15"/>
  <c r="BW18" i="22"/>
  <c r="CJ42" i="15"/>
  <c r="CK41" i="15"/>
  <c r="CK59" i="15" s="1"/>
  <c r="BO18" i="22"/>
  <c r="CB41" i="15"/>
  <c r="CB59" i="15" s="1"/>
  <c r="CB42" i="15"/>
  <c r="CP109" i="11"/>
  <c r="CV112" i="15"/>
  <c r="CH109" i="11"/>
  <c r="CN76" i="15"/>
  <c r="CN77" i="15" s="1"/>
  <c r="CO66" i="15"/>
  <c r="T16" i="15"/>
  <c r="T17" i="15" s="1"/>
  <c r="T15" i="15"/>
  <c r="CM109" i="11"/>
  <c r="CS65" i="15"/>
  <c r="V138" i="15"/>
  <c r="W136" i="15"/>
  <c r="BL41" i="15"/>
  <c r="BL59" i="15" s="1"/>
  <c r="BL42" i="15"/>
  <c r="S13" i="15"/>
  <c r="CZ53" i="14"/>
  <c r="CW167" i="15"/>
  <c r="CP35" i="13"/>
  <c r="CP50" i="13" s="1"/>
  <c r="CP51" i="13" s="1"/>
  <c r="DG160" i="15"/>
  <c r="CZ46" i="14"/>
  <c r="DD28" i="15"/>
  <c r="DD34" i="13"/>
  <c r="DE35" i="13" s="1"/>
  <c r="DE50" i="13" s="1"/>
  <c r="DI51" i="13" s="1"/>
  <c r="CY13" i="15"/>
  <c r="CZ167" i="15"/>
  <c r="CZ159" i="15"/>
  <c r="DG168" i="15"/>
  <c r="CM35" i="22"/>
  <c r="DI156" i="15"/>
  <c r="O35" i="22"/>
  <c r="L52" i="14"/>
  <c r="M7" i="22"/>
  <c r="BW55" i="15"/>
  <c r="DD13" i="15"/>
  <c r="DA159" i="15"/>
  <c r="CZ47" i="14"/>
  <c r="CZ56" i="14" s="1"/>
  <c r="CQ167" i="15"/>
  <c r="BW56" i="15"/>
  <c r="BV56" i="15"/>
  <c r="DD12" i="15"/>
  <c r="W132" i="15"/>
  <c r="CK21" i="14"/>
  <c r="CF117" i="15"/>
  <c r="M29" i="13"/>
  <c r="CI30" i="13"/>
  <c r="R54" i="13"/>
  <c r="CG26" i="13"/>
  <c r="DH307" i="12"/>
  <c r="H183" i="12"/>
  <c r="BX36" i="11"/>
  <c r="BX37" i="11" s="1"/>
  <c r="BS65" i="12"/>
  <c r="Q13" i="12"/>
  <c r="BN164" i="12"/>
  <c r="CZ307" i="12"/>
  <c r="DC299" i="12"/>
  <c r="R22" i="12"/>
  <c r="CS50" i="12"/>
  <c r="BN49" i="12"/>
  <c r="DE50" i="12"/>
  <c r="DI306" i="12"/>
  <c r="DI305" i="12"/>
  <c r="BZ144" i="12"/>
  <c r="BV146" i="12"/>
  <c r="DH339" i="12"/>
  <c r="T304" i="12"/>
  <c r="CB14" i="6"/>
  <c r="CB16" i="6" s="1"/>
  <c r="CE49" i="12"/>
  <c r="K436" i="12"/>
  <c r="K12" i="12" s="1"/>
  <c r="BW15" i="12"/>
  <c r="BS136" i="17"/>
  <c r="BS116" i="17" s="1"/>
  <c r="CH85" i="22"/>
  <c r="BR438" i="12"/>
  <c r="CY26" i="12"/>
  <c r="CH84" i="22"/>
  <c r="DG299" i="12"/>
  <c r="I183" i="12"/>
  <c r="CS60" i="12"/>
  <c r="CW61" i="12" s="1"/>
  <c r="AY303" i="12"/>
  <c r="DH305" i="12"/>
  <c r="BS62" i="12"/>
  <c r="CN312" i="12"/>
  <c r="CA146" i="12"/>
  <c r="CA145" i="12"/>
  <c r="CD437" i="12"/>
  <c r="CW472" i="12"/>
  <c r="BG310" i="12"/>
  <c r="U30" i="12"/>
  <c r="CI102" i="12"/>
  <c r="R32" i="11"/>
  <c r="R471" i="12"/>
  <c r="R473" i="12" s="1"/>
  <c r="BK136" i="17"/>
  <c r="BK43" i="12"/>
  <c r="BK62" i="12"/>
  <c r="BG102" i="12"/>
  <c r="DH328" i="12"/>
  <c r="CO46" i="22"/>
  <c r="DB49" i="12"/>
  <c r="CN222" i="12"/>
  <c r="CN221" i="12"/>
  <c r="BR102" i="12"/>
  <c r="CI84" i="22"/>
  <c r="CV136" i="17"/>
  <c r="CV116" i="17" s="1"/>
  <c r="CV500" i="12"/>
  <c r="CW545" i="12" s="1"/>
  <c r="CW109" i="8" s="1"/>
  <c r="CV31" i="12"/>
  <c r="CV301" i="12"/>
  <c r="CV303" i="12" s="1"/>
  <c r="CI85" i="22"/>
  <c r="CQ301" i="12"/>
  <c r="CU302" i="12" s="1"/>
  <c r="CQ26" i="12"/>
  <c r="CD84" i="22"/>
  <c r="CI223" i="12"/>
  <c r="BC302" i="12"/>
  <c r="CE69" i="12"/>
  <c r="CE71" i="12" s="1"/>
  <c r="BQ439" i="12"/>
  <c r="CN106" i="12"/>
  <c r="BS54" i="12"/>
  <c r="BS94" i="12"/>
  <c r="BY14" i="11"/>
  <c r="BY18" i="11" s="1"/>
  <c r="BY19" i="11" s="1"/>
  <c r="CE102" i="12"/>
  <c r="CU120" i="17"/>
  <c r="CU136" i="17"/>
  <c r="CU116" i="17" s="1"/>
  <c r="BP165" i="12"/>
  <c r="BN39" i="22"/>
  <c r="BN40" i="22" s="1"/>
  <c r="CG437" i="12"/>
  <c r="DB62" i="12"/>
  <c r="BN102" i="12"/>
  <c r="BV39" i="22"/>
  <c r="BV40" i="22" s="1"/>
  <c r="BK65" i="12"/>
  <c r="BK67" i="12" s="1"/>
  <c r="U47" i="12"/>
  <c r="U502" i="12" s="1"/>
  <c r="DH321" i="12"/>
  <c r="DB69" i="12"/>
  <c r="DB78" i="12"/>
  <c r="Q444" i="12"/>
  <c r="Q445" i="12" s="1"/>
  <c r="CT84" i="22"/>
  <c r="DG301" i="12"/>
  <c r="DG334" i="12" s="1"/>
  <c r="S22" i="12"/>
  <c r="DC136" i="17"/>
  <c r="DC116" i="17" s="1"/>
  <c r="DC26" i="12"/>
  <c r="R28" i="12"/>
  <c r="CH102" i="12"/>
  <c r="BZ102" i="12"/>
  <c r="DE434" i="12"/>
  <c r="CS305" i="12"/>
  <c r="CO306" i="12"/>
  <c r="CS307" i="12" s="1"/>
  <c r="CZ31" i="12"/>
  <c r="CZ136" i="17"/>
  <c r="CZ116" i="17" s="1"/>
  <c r="CZ26" i="12"/>
  <c r="CM85" i="22"/>
  <c r="CM84" i="22"/>
  <c r="BM437" i="12"/>
  <c r="AA726" i="12"/>
  <c r="AA727" i="12" s="1"/>
  <c r="AB721" i="12"/>
  <c r="DH308" i="12"/>
  <c r="CR133" i="12"/>
  <c r="CM205" i="12"/>
  <c r="CE40" i="12"/>
  <c r="BQ437" i="12"/>
  <c r="CN153" i="12"/>
  <c r="CN163" i="12" s="1"/>
  <c r="CN164" i="12" s="1"/>
  <c r="CI440" i="12"/>
  <c r="BS40" i="12"/>
  <c r="CC438" i="12"/>
  <c r="CZ305" i="12"/>
  <c r="CE54" i="12"/>
  <c r="CI14" i="6"/>
  <c r="S25" i="12"/>
  <c r="CU500" i="12"/>
  <c r="CA102" i="12"/>
  <c r="CA135" i="12"/>
  <c r="CC437" i="12"/>
  <c r="CI164" i="12"/>
  <c r="CM106" i="12"/>
  <c r="BP102" i="12"/>
  <c r="U32" i="11"/>
  <c r="BS15" i="12"/>
  <c r="BK69" i="12"/>
  <c r="BK71" i="12" s="1"/>
  <c r="CK78" i="12"/>
  <c r="DB40" i="12"/>
  <c r="CY14" i="6"/>
  <c r="DD136" i="17"/>
  <c r="DD116" i="17" s="1"/>
  <c r="DD301" i="12"/>
  <c r="DH302" i="12" s="1"/>
  <c r="CQ84" i="22"/>
  <c r="CQ85" i="22"/>
  <c r="DD31" i="12"/>
  <c r="CO322" i="12"/>
  <c r="CO153" i="12"/>
  <c r="CL84" i="22"/>
  <c r="CY31" i="12"/>
  <c r="CY65" i="12" s="1"/>
  <c r="CY301" i="12"/>
  <c r="BS143" i="12"/>
  <c r="BS440" i="12" s="1"/>
  <c r="CR50" i="12"/>
  <c r="CE85" i="22"/>
  <c r="CR31" i="12"/>
  <c r="CE84" i="22"/>
  <c r="CR301" i="12"/>
  <c r="CR312" i="12" s="1"/>
  <c r="V22" i="12"/>
  <c r="O98" i="7"/>
  <c r="CY48" i="16"/>
  <c r="CY23" i="16" s="1"/>
  <c r="DQ48" i="16"/>
  <c r="DQ23" i="16" s="1"/>
  <c r="CY193" i="7"/>
  <c r="DF190" i="7"/>
  <c r="CJ193" i="7"/>
  <c r="DF26" i="11"/>
  <c r="DF27" i="11" s="1"/>
  <c r="DF28" i="11" s="1"/>
  <c r="R116" i="6"/>
  <c r="DA79" i="8"/>
  <c r="DJ19" i="6"/>
  <c r="CV193" i="7"/>
  <c r="DL24" i="16"/>
  <c r="DF44" i="11" s="1"/>
  <c r="DF45" i="11" s="1"/>
  <c r="DF46" i="11" s="1"/>
  <c r="CV179" i="7"/>
  <c r="R70" i="6"/>
  <c r="R90" i="8" s="1"/>
  <c r="S73" i="6"/>
  <c r="CM193" i="7"/>
  <c r="DB193" i="7"/>
  <c r="CH193" i="7"/>
  <c r="W19" i="6"/>
  <c r="CU70" i="22"/>
  <c r="N19" i="35"/>
  <c r="N20" i="35" s="1"/>
  <c r="D55" i="35"/>
  <c r="D56" i="35" s="1"/>
  <c r="CI76" i="15"/>
  <c r="CJ78" i="15" s="1"/>
  <c r="BV24" i="22"/>
  <c r="BV23" i="22" s="1"/>
  <c r="DG28" i="15"/>
  <c r="CR28" i="15"/>
  <c r="O24" i="13"/>
  <c r="DC35" i="13"/>
  <c r="DC50" i="13" s="1"/>
  <c r="R444" i="12"/>
  <c r="DO162" i="15"/>
  <c r="DR170" i="15"/>
  <c r="H14" i="12"/>
  <c r="H54" i="12" s="1"/>
  <c r="DC321" i="12"/>
  <c r="Q304" i="12"/>
  <c r="CW50" i="12"/>
  <c r="CJ58" i="8"/>
  <c r="DD62" i="7"/>
  <c r="CK193" i="7"/>
  <c r="N178" i="7"/>
  <c r="N190" i="7" s="1"/>
  <c r="W103" i="13"/>
  <c r="DL366" i="13"/>
  <c r="DK365" i="13"/>
  <c r="CD87" i="14"/>
  <c r="CA86" i="14"/>
  <c r="O46" i="17"/>
  <c r="O55" i="12" s="1"/>
  <c r="O52" i="12" s="1"/>
  <c r="O50" i="11" s="1"/>
  <c r="R53" i="12"/>
  <c r="AV70" i="12"/>
  <c r="CU28" i="16"/>
  <c r="CQ42" i="17"/>
  <c r="CQ56" i="17"/>
  <c r="CQ59" i="17" s="1"/>
  <c r="CQ60" i="17" s="1"/>
  <c r="M38" i="14"/>
  <c r="N40" i="14" s="1"/>
  <c r="DB39" i="14"/>
  <c r="CT39" i="14"/>
  <c r="CA93" i="14"/>
  <c r="CA94" i="14" s="1"/>
  <c r="N22" i="14"/>
  <c r="W35" i="13"/>
  <c r="W50" i="13" s="1"/>
  <c r="O49" i="14"/>
  <c r="N45" i="14"/>
  <c r="N53" i="14" s="1"/>
  <c r="CY40" i="14"/>
  <c r="CR53" i="14"/>
  <c r="DD46" i="14"/>
  <c r="CY159" i="15"/>
  <c r="DI46" i="14"/>
  <c r="F116" i="14"/>
  <c r="F117" i="14" s="1"/>
  <c r="V119" i="15"/>
  <c r="K54" i="14"/>
  <c r="L49" i="14"/>
  <c r="N54" i="14"/>
  <c r="CY68" i="14"/>
  <c r="CY67" i="14"/>
  <c r="CZ67" i="14"/>
  <c r="CC144" i="14"/>
  <c r="CD143" i="14"/>
  <c r="DN117" i="15"/>
  <c r="DR117" i="15"/>
  <c r="DA47" i="14"/>
  <c r="CS47" i="14"/>
  <c r="CS57" i="14" s="1"/>
  <c r="CE35" i="22"/>
  <c r="CX167" i="15"/>
  <c r="N49" i="14"/>
  <c r="CC67" i="14"/>
  <c r="CB67" i="14"/>
  <c r="CZ86" i="14"/>
  <c r="CY86" i="14"/>
  <c r="CY87" i="14"/>
  <c r="CW87" i="14"/>
  <c r="DA87" i="14"/>
  <c r="DF86" i="14"/>
  <c r="DJ87" i="14"/>
  <c r="DG86" i="14"/>
  <c r="DF87" i="14"/>
  <c r="DR68" i="14"/>
  <c r="CX86" i="14"/>
  <c r="DO47" i="14"/>
  <c r="L37" i="37" s="1"/>
  <c r="DR46" i="14"/>
  <c r="I37" i="37"/>
  <c r="DD57" i="14"/>
  <c r="DO160" i="15"/>
  <c r="DR168" i="15"/>
  <c r="DR22" i="14"/>
  <c r="DR42" i="14"/>
  <c r="CY124" i="22"/>
  <c r="DD111" i="7"/>
  <c r="DD118" i="7" s="1"/>
  <c r="DD33" i="7"/>
  <c r="DD34" i="7" s="1"/>
  <c r="CI339" i="12"/>
  <c r="CI340" i="12" s="1"/>
  <c r="P301" i="12"/>
  <c r="P339" i="12" s="1"/>
  <c r="CI40" i="12"/>
  <c r="BV46" i="22"/>
  <c r="CM15" i="12"/>
  <c r="CI15" i="12"/>
  <c r="CF14" i="6"/>
  <c r="CG16" i="6" s="1"/>
  <c r="CI49" i="12"/>
  <c r="CA65" i="12"/>
  <c r="CA43" i="12"/>
  <c r="BX14" i="6"/>
  <c r="BX17" i="6" s="1"/>
  <c r="CA40" i="12"/>
  <c r="CE15" i="12"/>
  <c r="CA69" i="12"/>
  <c r="CA136" i="17"/>
  <c r="CA116" i="17" s="1"/>
  <c r="CA15" i="12"/>
  <c r="CK49" i="12"/>
  <c r="CO15" i="12"/>
  <c r="CK40" i="12"/>
  <c r="CH14" i="6"/>
  <c r="BX46" i="22"/>
  <c r="BY27" i="13"/>
  <c r="DL83" i="7"/>
  <c r="DL85" i="7" s="1"/>
  <c r="DL87" i="7"/>
  <c r="CL179" i="12"/>
  <c r="CM336" i="12" s="1"/>
  <c r="CL132" i="12"/>
  <c r="CL133" i="12" s="1"/>
  <c r="T114" i="17"/>
  <c r="T110" i="8" s="1"/>
  <c r="CT328" i="12"/>
  <c r="CT308" i="12"/>
  <c r="Q73" i="6"/>
  <c r="Q70" i="6" s="1"/>
  <c r="Q90" i="8" s="1"/>
  <c r="R322" i="12"/>
  <c r="CB19" i="6"/>
  <c r="CH212" i="13"/>
  <c r="CI212" i="13"/>
  <c r="BY56" i="6"/>
  <c r="CB109" i="7" s="1"/>
  <c r="CB116" i="7" s="1"/>
  <c r="CC54" i="6"/>
  <c r="CT334" i="12"/>
  <c r="R85" i="6"/>
  <c r="Q75" i="8"/>
  <c r="Q85" i="6"/>
  <c r="CW104" i="7"/>
  <c r="DC328" i="12"/>
  <c r="CH437" i="12"/>
  <c r="CW84" i="22"/>
  <c r="W30" i="12"/>
  <c r="CR48" i="17"/>
  <c r="W539" i="12"/>
  <c r="H301" i="12"/>
  <c r="O42" i="12"/>
  <c r="CK62" i="7"/>
  <c r="DA167" i="7"/>
  <c r="CP23" i="13"/>
  <c r="DM118" i="17"/>
  <c r="DQ119" i="17" s="1"/>
  <c r="W107" i="6"/>
  <c r="J86" i="15"/>
  <c r="W17" i="11"/>
  <c r="BO128" i="17"/>
  <c r="BO129" i="17" s="1"/>
  <c r="BS109" i="17"/>
  <c r="CR128" i="17"/>
  <c r="CV129" i="17" s="1"/>
  <c r="CZ49" i="17"/>
  <c r="CK127" i="6"/>
  <c r="CK144" i="6" s="1"/>
  <c r="DD57" i="8"/>
  <c r="DD59" i="8" s="1"/>
  <c r="V28" i="12"/>
  <c r="BY302" i="12"/>
  <c r="CK23" i="22"/>
  <c r="CM127" i="17"/>
  <c r="DB119" i="17"/>
  <c r="AP282" i="21"/>
  <c r="N47" i="12"/>
  <c r="N48" i="12" s="1"/>
  <c r="AV407" i="21"/>
  <c r="AW406" i="21"/>
  <c r="AW407" i="21" s="1"/>
  <c r="Q62" i="8"/>
  <c r="R60" i="8"/>
  <c r="BV165" i="12"/>
  <c r="DC72" i="7"/>
  <c r="DC74" i="7"/>
  <c r="CM11" i="16"/>
  <c r="Q11" i="16" s="1"/>
  <c r="CC12" i="21"/>
  <c r="DJ50" i="12"/>
  <c r="CB62" i="7"/>
  <c r="P178" i="7"/>
  <c r="CB76" i="7"/>
  <c r="P24" i="13"/>
  <c r="P11" i="13"/>
  <c r="O20" i="13"/>
  <c r="DC73" i="7"/>
  <c r="T12" i="8"/>
  <c r="CN109" i="17"/>
  <c r="M73" i="35"/>
  <c r="M74" i="35" s="1"/>
  <c r="R114" i="17"/>
  <c r="BZ190" i="7"/>
  <c r="U52" i="8"/>
  <c r="U78" i="8" s="1"/>
  <c r="V52" i="8"/>
  <c r="V78" i="8" s="1"/>
  <c r="CX127" i="6"/>
  <c r="CX144" i="6" s="1"/>
  <c r="BN59" i="15"/>
  <c r="DC28" i="15"/>
  <c r="R49" i="22"/>
  <c r="CJ65" i="8"/>
  <c r="CG128" i="17"/>
  <c r="CK129" i="17" s="1"/>
  <c r="CG127" i="17"/>
  <c r="F295" i="21"/>
  <c r="F99" i="12" s="1"/>
  <c r="G100" i="12" s="1"/>
  <c r="CB34" i="8"/>
  <c r="BR405" i="21"/>
  <c r="BQ49" i="15"/>
  <c r="BH228" i="21"/>
  <c r="K228" i="21"/>
  <c r="CZ308" i="12"/>
  <c r="CT40" i="12"/>
  <c r="CF174" i="7"/>
  <c r="DK33" i="7"/>
  <c r="DK34" i="7" s="1"/>
  <c r="CT76" i="7"/>
  <c r="CT112" i="7" s="1"/>
  <c r="CT119" i="7" s="1"/>
  <c r="CL62" i="7"/>
  <c r="N61" i="7"/>
  <c r="CS76" i="7"/>
  <c r="DE72" i="7"/>
  <c r="CQ28" i="16"/>
  <c r="P51" i="8"/>
  <c r="U563" i="12"/>
  <c r="U566" i="12" s="1"/>
  <c r="CW127" i="6"/>
  <c r="CW144" i="6" s="1"/>
  <c r="Q12" i="8"/>
  <c r="Q73" i="8" s="1"/>
  <c r="DE299" i="12"/>
  <c r="CM212" i="13"/>
  <c r="D73" i="35"/>
  <c r="D74" i="35" s="1"/>
  <c r="W12" i="16"/>
  <c r="T126" i="17"/>
  <c r="P22" i="13"/>
  <c r="CR109" i="17"/>
  <c r="CQ381" i="21"/>
  <c r="BZ405" i="21"/>
  <c r="CQ45" i="6"/>
  <c r="CQ46" i="6" s="1"/>
  <c r="CJ30" i="21"/>
  <c r="BS452" i="21"/>
  <c r="BO443" i="21"/>
  <c r="BO444" i="21"/>
  <c r="BO445" i="21" s="1"/>
  <c r="CW128" i="17"/>
  <c r="CW129" i="17" s="1"/>
  <c r="CW127" i="17"/>
  <c r="BS381" i="21"/>
  <c r="CC34" i="8" s="1"/>
  <c r="CC35" i="8" s="1"/>
  <c r="BP50" i="15"/>
  <c r="BP40" i="15"/>
  <c r="BP51" i="15"/>
  <c r="BV440" i="12"/>
  <c r="BV442" i="12" s="1"/>
  <c r="DN66" i="8"/>
  <c r="DR115" i="17"/>
  <c r="DO13" i="15"/>
  <c r="DR12" i="15"/>
  <c r="H13" i="37"/>
  <c r="I33" i="37"/>
  <c r="DH120" i="6"/>
  <c r="DI128" i="17"/>
  <c r="DI129" i="17" s="1"/>
  <c r="CD65" i="12"/>
  <c r="CD67" i="12" s="1"/>
  <c r="CZ28" i="15"/>
  <c r="CR179" i="21"/>
  <c r="CR202" i="21" s="1"/>
  <c r="DB430" i="12"/>
  <c r="DB432" i="12" s="1"/>
  <c r="DF434" i="12"/>
  <c r="BA332" i="21"/>
  <c r="BA333" i="21" s="1"/>
  <c r="BA330" i="21"/>
  <c r="BH205" i="21"/>
  <c r="BH207" i="21"/>
  <c r="BH208" i="21" s="1"/>
  <c r="CJ168" i="7"/>
  <c r="CJ186" i="7" s="1"/>
  <c r="CJ77" i="8"/>
  <c r="CJ79" i="8" s="1"/>
  <c r="CJ92" i="8"/>
  <c r="DN28" i="15"/>
  <c r="DR28" i="15"/>
  <c r="CK84" i="22"/>
  <c r="U44" i="8"/>
  <c r="DD71" i="8"/>
  <c r="CQ438" i="12"/>
  <c r="DA50" i="12"/>
  <c r="CX66" i="8"/>
  <c r="CX69" i="8" s="1"/>
  <c r="DD44" i="17"/>
  <c r="DR109" i="17"/>
  <c r="CF78" i="8"/>
  <c r="O52" i="8"/>
  <c r="O78" i="8" s="1"/>
  <c r="CK168" i="7"/>
  <c r="CK77" i="8"/>
  <c r="CK79" i="8" s="1"/>
  <c r="DR69" i="15"/>
  <c r="O35" i="37" s="1"/>
  <c r="T35" i="37"/>
  <c r="F13" i="37"/>
  <c r="T83" i="7"/>
  <c r="DK76" i="7"/>
  <c r="DK112" i="7" s="1"/>
  <c r="DK119" i="7" s="1"/>
  <c r="U107" i="6"/>
  <c r="Q116" i="6"/>
  <c r="DJ118" i="6"/>
  <c r="DN118" i="6"/>
  <c r="CA46" i="6"/>
  <c r="BW46" i="6"/>
  <c r="DO118" i="6"/>
  <c r="CU30" i="21"/>
  <c r="DB45" i="6"/>
  <c r="U45" i="6" s="1"/>
  <c r="DN190" i="7"/>
  <c r="DR190" i="7"/>
  <c r="DP18" i="17"/>
  <c r="I36" i="37"/>
  <c r="DN46" i="17"/>
  <c r="DO47" i="17" s="1"/>
  <c r="DO48" i="17" s="1"/>
  <c r="DR56" i="12"/>
  <c r="CU28" i="15"/>
  <c r="G36" i="37"/>
  <c r="H19" i="37"/>
  <c r="M12" i="16"/>
  <c r="CU701" i="12"/>
  <c r="DE454" i="12"/>
  <c r="DE445" i="12"/>
  <c r="CW430" i="12"/>
  <c r="CW432" i="12" s="1"/>
  <c r="DA434" i="12"/>
  <c r="CW434" i="12"/>
  <c r="DF127" i="6"/>
  <c r="DF144" i="6" s="1"/>
  <c r="DI73" i="8"/>
  <c r="CT430" i="12"/>
  <c r="CT434" i="12"/>
  <c r="CX434" i="12"/>
  <c r="DB40" i="6"/>
  <c r="DB53" i="6"/>
  <c r="DF54" i="6" s="1"/>
  <c r="CX35" i="13"/>
  <c r="CX50" i="13" s="1"/>
  <c r="N16" i="13"/>
  <c r="CJ124" i="22"/>
  <c r="N13" i="13"/>
  <c r="O13" i="13"/>
  <c r="DL376" i="13"/>
  <c r="N11" i="13"/>
  <c r="DL369" i="13"/>
  <c r="BR55" i="22"/>
  <c r="CT369" i="13"/>
  <c r="O11" i="13"/>
  <c r="CF123" i="22"/>
  <c r="BX27" i="13"/>
  <c r="DQ116" i="13"/>
  <c r="CC124" i="22"/>
  <c r="CJ135" i="13"/>
  <c r="DL375" i="13"/>
  <c r="BR80" i="22"/>
  <c r="S103" i="11"/>
  <c r="CI31" i="13"/>
  <c r="K125" i="22"/>
  <c r="O22" i="13"/>
  <c r="L126" i="22"/>
  <c r="DB375" i="13"/>
  <c r="DB42" i="17"/>
  <c r="DB43" i="17" s="1"/>
  <c r="BX30" i="13"/>
  <c r="BX76" i="13" s="1"/>
  <c r="CR45" i="22"/>
  <c r="CR79" i="22"/>
  <c r="CY13" i="11"/>
  <c r="CY107" i="11" s="1"/>
  <c r="DE85" i="13"/>
  <c r="DE110" i="17"/>
  <c r="DB10" i="6"/>
  <c r="DE133" i="13"/>
  <c r="I27" i="37"/>
  <c r="CR123" i="22"/>
  <c r="CR124" i="22"/>
  <c r="CS123" i="22"/>
  <c r="CS124" i="22"/>
  <c r="Y59" i="13"/>
  <c r="Z60" i="13" s="1"/>
  <c r="DH123" i="22"/>
  <c r="G27" i="37"/>
  <c r="CL124" i="22"/>
  <c r="CN123" i="22"/>
  <c r="CN124" i="22"/>
  <c r="CO124" i="22"/>
  <c r="CP124" i="22"/>
  <c r="CV103" i="11"/>
  <c r="CY376" i="13"/>
  <c r="CW57" i="17"/>
  <c r="BZ67" i="11"/>
  <c r="CU42" i="17"/>
  <c r="CV123" i="22"/>
  <c r="CA62" i="12"/>
  <c r="BZ47" i="17"/>
  <c r="BZ48" i="17" s="1"/>
  <c r="BY47" i="17"/>
  <c r="BY48" i="17" s="1"/>
  <c r="I48" i="12"/>
  <c r="DA34" i="8"/>
  <c r="DM117" i="15"/>
  <c r="DQ117" i="15"/>
  <c r="DQ69" i="15"/>
  <c r="N35" i="37" s="1"/>
  <c r="N20" i="7"/>
  <c r="CT36" i="11"/>
  <c r="CT37" i="11" s="1"/>
  <c r="CC27" i="11"/>
  <c r="CC28" i="11" s="1"/>
  <c r="DA193" i="7"/>
  <c r="P107" i="6"/>
  <c r="BZ58" i="11"/>
  <c r="H281" i="21"/>
  <c r="H282" i="21" s="1"/>
  <c r="CV59" i="8"/>
  <c r="E37" i="35"/>
  <c r="E38" i="35" s="1"/>
  <c r="G37" i="35"/>
  <c r="G38" i="35" s="1"/>
  <c r="DO39" i="8"/>
  <c r="DE390" i="21"/>
  <c r="CU41" i="11"/>
  <c r="DA48" i="12"/>
  <c r="DI50" i="8"/>
  <c r="CY402" i="21"/>
  <c r="CM692" i="12"/>
  <c r="CM693" i="12"/>
  <c r="CG41" i="11"/>
  <c r="CQ179" i="21"/>
  <c r="CQ202" i="21" s="1"/>
  <c r="CQ205" i="21"/>
  <c r="DQ109" i="17"/>
  <c r="DM109" i="17"/>
  <c r="DM44" i="17"/>
  <c r="DQ167" i="15"/>
  <c r="DM167" i="15"/>
  <c r="DQ333" i="12"/>
  <c r="DM333" i="12"/>
  <c r="DM335" i="12"/>
  <c r="Y332" i="12"/>
  <c r="DP333" i="12"/>
  <c r="DL335" i="12"/>
  <c r="DL333" i="12"/>
  <c r="BL443" i="21"/>
  <c r="BP452" i="21"/>
  <c r="BL444" i="21"/>
  <c r="BL445" i="21" s="1"/>
  <c r="CI45" i="6"/>
  <c r="Q45" i="6" s="1"/>
  <c r="CB30" i="21"/>
  <c r="CQ44" i="17"/>
  <c r="CQ128" i="17"/>
  <c r="BV40" i="15"/>
  <c r="BW50" i="15"/>
  <c r="BV43" i="15"/>
  <c r="BV50" i="15"/>
  <c r="BV51" i="15"/>
  <c r="CD7" i="22"/>
  <c r="CQ34" i="13"/>
  <c r="CQ113" i="15"/>
  <c r="CQ12" i="15"/>
  <c r="CU12" i="15"/>
  <c r="CQ18" i="15"/>
  <c r="CU19" i="15" s="1"/>
  <c r="CR13" i="15"/>
  <c r="DQ48" i="12"/>
  <c r="CQ692" i="12"/>
  <c r="CQ693" i="12"/>
  <c r="CQ48" i="12"/>
  <c r="CK41" i="11"/>
  <c r="CW179" i="21"/>
  <c r="CW202" i="21" s="1"/>
  <c r="BA80" i="17"/>
  <c r="BA86" i="17" s="1"/>
  <c r="AQ76" i="15"/>
  <c r="AU65" i="15"/>
  <c r="AQ80" i="15"/>
  <c r="AQ66" i="15"/>
  <c r="AR66" i="15"/>
  <c r="CR44" i="8"/>
  <c r="CH405" i="21"/>
  <c r="CG39" i="8"/>
  <c r="O39" i="8" s="1"/>
  <c r="O44" i="8" s="1"/>
  <c r="BW390" i="21"/>
  <c r="CG44" i="8" s="1"/>
  <c r="CN34" i="8"/>
  <c r="CD405" i="21"/>
  <c r="DC43" i="6"/>
  <c r="DG43" i="6"/>
  <c r="CC86" i="14"/>
  <c r="CB86" i="14"/>
  <c r="CF87" i="14"/>
  <c r="CG24" i="8"/>
  <c r="O24" i="8" s="1"/>
  <c r="CX45" i="6"/>
  <c r="T45" i="6" s="1"/>
  <c r="CQ30" i="21"/>
  <c r="K118" i="15"/>
  <c r="BV46" i="15"/>
  <c r="CW310" i="21"/>
  <c r="CV311" i="21"/>
  <c r="CV301" i="21" s="1"/>
  <c r="CQ390" i="21"/>
  <c r="DA44" i="8" s="1"/>
  <c r="DO67" i="14"/>
  <c r="DN21" i="14"/>
  <c r="DM120" i="15"/>
  <c r="DQ120" i="15"/>
  <c r="DM28" i="14"/>
  <c r="DQ351" i="12"/>
  <c r="DR351" i="12" s="1"/>
  <c r="DS351" i="12" s="1"/>
  <c r="DT351" i="12" s="1"/>
  <c r="DQ347" i="12"/>
  <c r="P359" i="12"/>
  <c r="CX76" i="7"/>
  <c r="CX112" i="7" s="1"/>
  <c r="CX119" i="7" s="1"/>
  <c r="U20" i="7"/>
  <c r="U76" i="7" s="1"/>
  <c r="U112" i="7" s="1"/>
  <c r="U119" i="7" s="1"/>
  <c r="M16" i="13"/>
  <c r="CP48" i="16"/>
  <c r="CP23" i="16" s="1"/>
  <c r="CM79" i="8"/>
  <c r="CE26" i="13"/>
  <c r="DE193" i="7"/>
  <c r="S178" i="7"/>
  <c r="S186" i="7" s="1"/>
  <c r="CD62" i="12"/>
  <c r="DP39" i="8"/>
  <c r="DF390" i="21"/>
  <c r="DQ162" i="15"/>
  <c r="DQ163" i="15" s="1"/>
  <c r="DQ164" i="15" s="1"/>
  <c r="DQ155" i="15"/>
  <c r="W47" i="12"/>
  <c r="DD41" i="11"/>
  <c r="DJ48" i="12"/>
  <c r="CU502" i="12"/>
  <c r="CU48" i="12"/>
  <c r="CO41" i="11"/>
  <c r="CU516" i="12"/>
  <c r="H202" i="21"/>
  <c r="H204" i="21"/>
  <c r="CE49" i="17"/>
  <c r="CE118" i="17"/>
  <c r="K45" i="14"/>
  <c r="K52" i="14" s="1"/>
  <c r="DO48" i="12"/>
  <c r="DK48" i="12"/>
  <c r="DE41" i="11"/>
  <c r="CQ41" i="11"/>
  <c r="CW48" i="12"/>
  <c r="BC142" i="17"/>
  <c r="H142" i="17" s="1"/>
  <c r="BG132" i="17"/>
  <c r="H131" i="17"/>
  <c r="CE128" i="17"/>
  <c r="CE129" i="17" s="1"/>
  <c r="CE109" i="17"/>
  <c r="CE44" i="17"/>
  <c r="CV405" i="21"/>
  <c r="DF44" i="8"/>
  <c r="DI34" i="8"/>
  <c r="DI65" i="8" s="1"/>
  <c r="CY48" i="12"/>
  <c r="CS41" i="11"/>
  <c r="CO179" i="21"/>
  <c r="CO202" i="21" s="1"/>
  <c r="CO205" i="21"/>
  <c r="CU44" i="17"/>
  <c r="CU109" i="17"/>
  <c r="CU128" i="17"/>
  <c r="DI168" i="15"/>
  <c r="DE168" i="15"/>
  <c r="DE156" i="15"/>
  <c r="BO386" i="21"/>
  <c r="BO390" i="21" s="1"/>
  <c r="BR119" i="15"/>
  <c r="BQ119" i="15"/>
  <c r="BX44" i="15"/>
  <c r="BW47" i="15"/>
  <c r="BW43" i="15"/>
  <c r="BW20" i="15" s="1"/>
  <c r="CK43" i="8"/>
  <c r="P43" i="8" s="1"/>
  <c r="P44" i="8" s="1"/>
  <c r="CA390" i="21"/>
  <c r="CK44" i="8" s="1"/>
  <c r="S47" i="12"/>
  <c r="DJ127" i="17"/>
  <c r="CE34" i="8"/>
  <c r="BU405" i="21"/>
  <c r="DA20" i="16"/>
  <c r="CU35" i="11" s="1"/>
  <c r="CU36" i="11" s="1"/>
  <c r="CU37" i="11" s="1"/>
  <c r="T42" i="6"/>
  <c r="T43" i="6" s="1"/>
  <c r="CX53" i="6"/>
  <c r="CX54" i="6" s="1"/>
  <c r="DB43" i="6"/>
  <c r="BQ91" i="15"/>
  <c r="J90" i="15"/>
  <c r="BM98" i="15"/>
  <c r="BM101" i="15" s="1"/>
  <c r="BM118" i="15"/>
  <c r="BN92" i="15"/>
  <c r="BN98" i="15"/>
  <c r="BM91" i="15"/>
  <c r="K151" i="14"/>
  <c r="L149" i="14"/>
  <c r="L100" i="1"/>
  <c r="BR107" i="1"/>
  <c r="H40" i="37"/>
  <c r="DO68" i="14"/>
  <c r="DQ68" i="14"/>
  <c r="DM28" i="15"/>
  <c r="DQ28" i="15"/>
  <c r="DQ763" i="12"/>
  <c r="CK83" i="7"/>
  <c r="CK85" i="7" s="1"/>
  <c r="CV87" i="7"/>
  <c r="CM48" i="12"/>
  <c r="L47" i="12"/>
  <c r="M48" i="12" s="1"/>
  <c r="CI48" i="12"/>
  <c r="BQ61" i="12"/>
  <c r="DG385" i="21"/>
  <c r="DI39" i="8"/>
  <c r="V39" i="8" s="1"/>
  <c r="V44" i="8" s="1"/>
  <c r="CY390" i="21"/>
  <c r="DI44" i="8" s="1"/>
  <c r="CM41" i="11"/>
  <c r="CS48" i="12"/>
  <c r="CW41" i="11"/>
  <c r="DC48" i="12"/>
  <c r="DC44" i="17"/>
  <c r="DC109" i="17"/>
  <c r="CV34" i="13"/>
  <c r="CV35" i="13" s="1"/>
  <c r="CV50" i="13" s="1"/>
  <c r="CV113" i="15"/>
  <c r="CW13" i="15"/>
  <c r="CV12" i="15"/>
  <c r="CI7" i="22"/>
  <c r="CZ12" i="15"/>
  <c r="CV13" i="15"/>
  <c r="CV18" i="15"/>
  <c r="DG44" i="8"/>
  <c r="DG59" i="8" s="1"/>
  <c r="CW405" i="21"/>
  <c r="K41" i="21"/>
  <c r="K31" i="21"/>
  <c r="BO44" i="17"/>
  <c r="K44" i="17" s="1"/>
  <c r="CT7" i="22"/>
  <c r="DG34" i="13"/>
  <c r="DG35" i="13" s="1"/>
  <c r="DG50" i="13" s="1"/>
  <c r="DG113" i="15"/>
  <c r="DK12" i="15"/>
  <c r="DG12" i="15"/>
  <c r="DG18" i="15"/>
  <c r="R47" i="12"/>
  <c r="DA41" i="11"/>
  <c r="V41" i="11" s="1"/>
  <c r="DG48" i="12"/>
  <c r="CC179" i="21"/>
  <c r="CC202" i="21" s="1"/>
  <c r="CC205" i="21"/>
  <c r="CI110" i="17"/>
  <c r="CI44" i="17"/>
  <c r="P44" i="17" s="1"/>
  <c r="P7" i="22"/>
  <c r="U113" i="15"/>
  <c r="V12" i="15"/>
  <c r="V13" i="15"/>
  <c r="DD67" i="14"/>
  <c r="DG68" i="14"/>
  <c r="DC68" i="14"/>
  <c r="DC85" i="14"/>
  <c r="DC67" i="14"/>
  <c r="CZ38" i="14"/>
  <c r="CZ39" i="14" s="1"/>
  <c r="DA21" i="14"/>
  <c r="DD22" i="14"/>
  <c r="CZ21" i="14"/>
  <c r="DA50" i="8"/>
  <c r="CQ402" i="21"/>
  <c r="CS39" i="8"/>
  <c r="R39" i="8" s="1"/>
  <c r="CI390" i="21"/>
  <c r="CS44" i="8" s="1"/>
  <c r="CP405" i="21"/>
  <c r="CZ34" i="8"/>
  <c r="DD18" i="15"/>
  <c r="DH19" i="15" s="1"/>
  <c r="DE13" i="15"/>
  <c r="DH12" i="15"/>
  <c r="N130" i="14"/>
  <c r="W96" i="15"/>
  <c r="V96" i="15"/>
  <c r="DE51" i="8"/>
  <c r="CU402" i="21"/>
  <c r="CG53" i="8"/>
  <c r="O53" i="8" s="1"/>
  <c r="BW402" i="21"/>
  <c r="CG57" i="8" s="1"/>
  <c r="BF207" i="21"/>
  <c r="BF208" i="21" s="1"/>
  <c r="BF205" i="21"/>
  <c r="CL168" i="7"/>
  <c r="CL186" i="7" s="1"/>
  <c r="CL77" i="8"/>
  <c r="CL92" i="8"/>
  <c r="CY50" i="12"/>
  <c r="CK24" i="8"/>
  <c r="P24" i="8" s="1"/>
  <c r="CA381" i="21"/>
  <c r="BE205" i="21"/>
  <c r="BE207" i="21"/>
  <c r="BE208" i="21" s="1"/>
  <c r="CO43" i="8"/>
  <c r="Q43" i="8" s="1"/>
  <c r="Q44" i="8" s="1"/>
  <c r="CE390" i="21"/>
  <c r="CO44" i="8" s="1"/>
  <c r="BL101" i="15"/>
  <c r="J98" i="15"/>
  <c r="J101" i="15" s="1"/>
  <c r="Q100" i="15"/>
  <c r="Q101" i="15"/>
  <c r="DL345" i="12"/>
  <c r="DP345" i="12"/>
  <c r="BN78" i="1"/>
  <c r="BN81" i="1"/>
  <c r="BN87" i="1"/>
  <c r="DN113" i="15"/>
  <c r="DN18" i="15"/>
  <c r="DR19" i="15" s="1"/>
  <c r="DQ22" i="14"/>
  <c r="BN154" i="1"/>
  <c r="CE48" i="17"/>
  <c r="U43" i="6"/>
  <c r="BQ102" i="12"/>
  <c r="DQ60" i="13"/>
  <c r="N47" i="37" s="1"/>
  <c r="CR48" i="16"/>
  <c r="CR23" i="16" s="1"/>
  <c r="M37" i="35"/>
  <c r="M38" i="35" s="1"/>
  <c r="CC38" i="8"/>
  <c r="BS390" i="21"/>
  <c r="CC44" i="8" s="1"/>
  <c r="CD57" i="8"/>
  <c r="BT405" i="21"/>
  <c r="CU179" i="21"/>
  <c r="CU202" i="21" s="1"/>
  <c r="CM44" i="17"/>
  <c r="Q44" i="17" s="1"/>
  <c r="CM128" i="17"/>
  <c r="CM109" i="17"/>
  <c r="CA7" i="22"/>
  <c r="CN34" i="13"/>
  <c r="CN35" i="13" s="1"/>
  <c r="CN50" i="13" s="1"/>
  <c r="CN113" i="15"/>
  <c r="CN208" i="13"/>
  <c r="CN211" i="13" s="1"/>
  <c r="CR12" i="15"/>
  <c r="CN13" i="15"/>
  <c r="CN18" i="15"/>
  <c r="CN12" i="15"/>
  <c r="DG28" i="14"/>
  <c r="DH28" i="14"/>
  <c r="Y329" i="12"/>
  <c r="CC443" i="21"/>
  <c r="CC452" i="21"/>
  <c r="DI48" i="12"/>
  <c r="DE48" i="12"/>
  <c r="CY41" i="11"/>
  <c r="CO693" i="12"/>
  <c r="CO692" i="12"/>
  <c r="CI41" i="11"/>
  <c r="CI59" i="11" s="1"/>
  <c r="CG205" i="21"/>
  <c r="CG179" i="21"/>
  <c r="CG202" i="21" s="1"/>
  <c r="AO47" i="21"/>
  <c r="AO52" i="21"/>
  <c r="AO56" i="21" s="1"/>
  <c r="CQ110" i="8"/>
  <c r="CU115" i="17"/>
  <c r="CQ118" i="17"/>
  <c r="CQ119" i="17" s="1"/>
  <c r="CL21" i="17"/>
  <c r="CQ18" i="17"/>
  <c r="Q17" i="17"/>
  <c r="CM18" i="17"/>
  <c r="CO21" i="17"/>
  <c r="CM21" i="17"/>
  <c r="CN21" i="17"/>
  <c r="CL7" i="22"/>
  <c r="CY34" i="13"/>
  <c r="CZ35" i="13" s="1"/>
  <c r="CZ50" i="13" s="1"/>
  <c r="CZ13" i="15"/>
  <c r="CY113" i="15"/>
  <c r="CY12" i="15"/>
  <c r="DC12" i="15"/>
  <c r="CV85" i="14"/>
  <c r="CW67" i="14"/>
  <c r="CV67" i="14"/>
  <c r="CV68" i="14"/>
  <c r="CZ68" i="14"/>
  <c r="H18" i="17"/>
  <c r="H29" i="17"/>
  <c r="H128" i="17"/>
  <c r="Q47" i="12"/>
  <c r="Q50" i="12" s="1"/>
  <c r="DQ115" i="17"/>
  <c r="DM110" i="8"/>
  <c r="DP258" i="12"/>
  <c r="DL358" i="12"/>
  <c r="DL363" i="12" s="1"/>
  <c r="DL462" i="12"/>
  <c r="DL258" i="12"/>
  <c r="W257" i="12"/>
  <c r="CV179" i="21"/>
  <c r="CV202" i="21" s="1"/>
  <c r="CG257" i="13"/>
  <c r="O215" i="13"/>
  <c r="O257" i="13" s="1"/>
  <c r="CA402" i="21"/>
  <c r="CK57" i="8" s="1"/>
  <c r="CK58" i="8" s="1"/>
  <c r="T47" i="12"/>
  <c r="CL44" i="8"/>
  <c r="CL45" i="8" s="1"/>
  <c r="CB405" i="21"/>
  <c r="CO50" i="12"/>
  <c r="CO50" i="8"/>
  <c r="CE402" i="21"/>
  <c r="CO24" i="8"/>
  <c r="Q24" i="8" s="1"/>
  <c r="CE381" i="21"/>
  <c r="BW380" i="21"/>
  <c r="CG33" i="8" s="1"/>
  <c r="CF33" i="8"/>
  <c r="BV381" i="21"/>
  <c r="DE24" i="8"/>
  <c r="U24" i="8" s="1"/>
  <c r="CU381" i="21"/>
  <c r="CI405" i="21"/>
  <c r="CS34" i="8"/>
  <c r="H48" i="12"/>
  <c r="E73" i="35"/>
  <c r="E74" i="35" s="1"/>
  <c r="I73" i="35"/>
  <c r="I74" i="35" s="1"/>
  <c r="V107" i="6"/>
  <c r="CQ106" i="12"/>
  <c r="CP119" i="22"/>
  <c r="CR322" i="12"/>
  <c r="CR323" i="12" s="1"/>
  <c r="CI292" i="12"/>
  <c r="CI289" i="12" s="1"/>
  <c r="CQ293" i="12"/>
  <c r="BV118" i="22"/>
  <c r="CH164" i="12"/>
  <c r="CA56" i="12"/>
  <c r="M55" i="12"/>
  <c r="CM42" i="17"/>
  <c r="AT66" i="12"/>
  <c r="CJ42" i="17"/>
  <c r="CJ43" i="17" s="1"/>
  <c r="CL56" i="17"/>
  <c r="Q56" i="17" s="1"/>
  <c r="DK366" i="13"/>
  <c r="CS56" i="17"/>
  <c r="CS28" i="16"/>
  <c r="DK374" i="13"/>
  <c r="O88" i="13"/>
  <c r="DK371" i="13"/>
  <c r="W102" i="13"/>
  <c r="CX56" i="12"/>
  <c r="I102" i="12"/>
  <c r="K42" i="12"/>
  <c r="DB89" i="12"/>
  <c r="DB111" i="8" s="1"/>
  <c r="BZ56" i="12"/>
  <c r="DB56" i="12"/>
  <c r="CX57" i="17"/>
  <c r="DC56" i="12"/>
  <c r="DC53" i="11"/>
  <c r="DC54" i="11" s="1"/>
  <c r="DC55" i="11" s="1"/>
  <c r="BY71" i="12"/>
  <c r="CM36" i="11"/>
  <c r="CM37" i="11" s="1"/>
  <c r="L53" i="12"/>
  <c r="BY72" i="12"/>
  <c r="AT70" i="12"/>
  <c r="CD56" i="12"/>
  <c r="DF56" i="12"/>
  <c r="DM46" i="17"/>
  <c r="DQ56" i="12"/>
  <c r="BJ56" i="12"/>
  <c r="CW27" i="11"/>
  <c r="CW28" i="11" s="1"/>
  <c r="BV56" i="12"/>
  <c r="CX17" i="16"/>
  <c r="DM113" i="13"/>
  <c r="DQ113" i="13"/>
  <c r="CZ27" i="11"/>
  <c r="CZ28" i="11" s="1"/>
  <c r="CD134" i="13"/>
  <c r="CD131" i="13" s="1"/>
  <c r="BQ55" i="22"/>
  <c r="CH135" i="13"/>
  <c r="CX24" i="16"/>
  <c r="CX41" i="16" s="1"/>
  <c r="BV105" i="13"/>
  <c r="BZ105" i="13" s="1"/>
  <c r="CD105" i="13" s="1"/>
  <c r="CD107" i="13" s="1"/>
  <c r="CD118" i="13" s="1"/>
  <c r="AA40" i="7"/>
  <c r="AB40" i="7" s="1"/>
  <c r="AC40" i="7" s="1"/>
  <c r="AD40" i="7" s="1"/>
  <c r="AE40" i="7" s="1"/>
  <c r="AF40" i="7" s="1"/>
  <c r="AG40" i="7" s="1"/>
  <c r="Q76" i="14"/>
  <c r="Q65" i="14"/>
  <c r="DR36" i="13"/>
  <c r="CK90" i="7"/>
  <c r="CS369" i="13"/>
  <c r="BB62" i="12"/>
  <c r="Q14" i="12"/>
  <c r="L46" i="22" s="1"/>
  <c r="M436" i="12"/>
  <c r="CM690" i="12"/>
  <c r="V53" i="12"/>
  <c r="G14" i="12"/>
  <c r="G54" i="12" s="1"/>
  <c r="W83" i="7"/>
  <c r="CL76" i="7"/>
  <c r="CL112" i="7" s="1"/>
  <c r="CL119" i="7" s="1"/>
  <c r="DB62" i="7"/>
  <c r="DC188" i="7"/>
  <c r="DM90" i="7"/>
  <c r="CZ102" i="22" s="1"/>
  <c r="DM83" i="7"/>
  <c r="DM85" i="7" s="1"/>
  <c r="L115" i="17"/>
  <c r="CH133" i="12"/>
  <c r="Q162" i="6"/>
  <c r="Q202" i="7" s="1"/>
  <c r="CU120" i="6"/>
  <c r="CU118" i="6"/>
  <c r="CA118" i="6"/>
  <c r="P32" i="11"/>
  <c r="P42" i="12"/>
  <c r="Q42" i="12"/>
  <c r="U471" i="12"/>
  <c r="DC472" i="12"/>
  <c r="CP306" i="12"/>
  <c r="CP307" i="12" s="1"/>
  <c r="CT305" i="12"/>
  <c r="BG65" i="12"/>
  <c r="BP46" i="22"/>
  <c r="CC40" i="12"/>
  <c r="BZ14" i="6"/>
  <c r="BZ15" i="6" s="1"/>
  <c r="DG19" i="6"/>
  <c r="DC19" i="6"/>
  <c r="U121" i="6"/>
  <c r="U116" i="6"/>
  <c r="AW70" i="12"/>
  <c r="BB65" i="12"/>
  <c r="BB92" i="12" s="1"/>
  <c r="BB94" i="12" s="1"/>
  <c r="CP46" i="17"/>
  <c r="CP26" i="17" s="1"/>
  <c r="CP50" i="17" s="1"/>
  <c r="CT56" i="12"/>
  <c r="BW56" i="22"/>
  <c r="CJ72" i="12"/>
  <c r="Q126" i="17"/>
  <c r="R127" i="17" s="1"/>
  <c r="L69" i="22"/>
  <c r="N140" i="17"/>
  <c r="BP127" i="17"/>
  <c r="BP128" i="17"/>
  <c r="BT127" i="17"/>
  <c r="CB118" i="17"/>
  <c r="CB120" i="17" s="1"/>
  <c r="CB49" i="17"/>
  <c r="N114" i="17"/>
  <c r="CB115" i="17"/>
  <c r="CB128" i="17"/>
  <c r="CB129" i="17" s="1"/>
  <c r="CE212" i="13"/>
  <c r="CD212" i="13"/>
  <c r="DG156" i="15"/>
  <c r="DG158" i="15"/>
  <c r="X31" i="7"/>
  <c r="Y31" i="7"/>
  <c r="DA24" i="22"/>
  <c r="N25" i="11"/>
  <c r="CU91" i="7"/>
  <c r="CI28" i="13"/>
  <c r="BR56" i="12"/>
  <c r="V24" i="12"/>
  <c r="U298" i="12"/>
  <c r="U314" i="12" s="1"/>
  <c r="CQ15" i="12"/>
  <c r="CG14" i="11"/>
  <c r="BE54" i="12"/>
  <c r="CU24" i="16"/>
  <c r="CU30" i="16" s="1"/>
  <c r="CU33" i="16" s="1"/>
  <c r="DI83" i="7"/>
  <c r="DI85" i="7" s="1"/>
  <c r="DH83" i="7"/>
  <c r="DH85" i="7" s="1"/>
  <c r="CT62" i="7"/>
  <c r="DE72" i="6"/>
  <c r="DE73" i="6" s="1"/>
  <c r="V73" i="6" s="1"/>
  <c r="V97" i="7"/>
  <c r="V98" i="7" s="1"/>
  <c r="CA27" i="13"/>
  <c r="CE28" i="13" s="1"/>
  <c r="V54" i="13"/>
  <c r="U54" i="13"/>
  <c r="O17" i="11"/>
  <c r="O107" i="11" s="1"/>
  <c r="CL223" i="12"/>
  <c r="CL198" i="12"/>
  <c r="DD47" i="17"/>
  <c r="DC47" i="17"/>
  <c r="DC48" i="17" s="1"/>
  <c r="CY46" i="17"/>
  <c r="CZ47" i="17" s="1"/>
  <c r="CZ48" i="17" s="1"/>
  <c r="CY56" i="12"/>
  <c r="CJ123" i="22"/>
  <c r="R13" i="15"/>
  <c r="R12" i="15"/>
  <c r="R24" i="22"/>
  <c r="W23" i="15"/>
  <c r="DO109" i="17"/>
  <c r="H33" i="37"/>
  <c r="CA46" i="17"/>
  <c r="CE56" i="12"/>
  <c r="I301" i="12"/>
  <c r="I309" i="12"/>
  <c r="I11" i="12"/>
  <c r="BM310" i="12"/>
  <c r="BJ311" i="12"/>
  <c r="L33" i="15"/>
  <c r="L35" i="15"/>
  <c r="BV108" i="15"/>
  <c r="BV110" i="15" s="1"/>
  <c r="BV55" i="15"/>
  <c r="BV64" i="15"/>
  <c r="BV53" i="15"/>
  <c r="BV23" i="15"/>
  <c r="BL48" i="12"/>
  <c r="BP48" i="12"/>
  <c r="J47" i="12"/>
  <c r="J48" i="12" s="1"/>
  <c r="CL58" i="8"/>
  <c r="CL59" i="8"/>
  <c r="DG66" i="8"/>
  <c r="DG69" i="8" s="1"/>
  <c r="DG71" i="8"/>
  <c r="M42" i="12"/>
  <c r="L42" i="12"/>
  <c r="CD12" i="17"/>
  <c r="BZ14" i="17"/>
  <c r="CY186" i="7"/>
  <c r="DC190" i="7"/>
  <c r="T178" i="7"/>
  <c r="CY179" i="7"/>
  <c r="S92" i="8"/>
  <c r="S77" i="8"/>
  <c r="DD118" i="17"/>
  <c r="DD120" i="17" s="1"/>
  <c r="DD49" i="17"/>
  <c r="U114" i="17"/>
  <c r="U116" i="17" s="1"/>
  <c r="CA70" i="22"/>
  <c r="K132" i="17"/>
  <c r="J132" i="17"/>
  <c r="BS30" i="13"/>
  <c r="S128" i="17"/>
  <c r="T18" i="17"/>
  <c r="S18" i="17"/>
  <c r="L54" i="17"/>
  <c r="BU55" i="17"/>
  <c r="BT55" i="17"/>
  <c r="CY190" i="7"/>
  <c r="DN118" i="17"/>
  <c r="DR119" i="17" s="1"/>
  <c r="DJ110" i="17"/>
  <c r="X28" i="15"/>
  <c r="CR33" i="7"/>
  <c r="CR34" i="7" s="1"/>
  <c r="BW439" i="12"/>
  <c r="BE15" i="12"/>
  <c r="I60" i="12"/>
  <c r="I62" i="12" s="1"/>
  <c r="BE136" i="17"/>
  <c r="O110" i="6"/>
  <c r="DI54" i="6"/>
  <c r="CM101" i="12"/>
  <c r="CM102" i="12" s="1"/>
  <c r="CL100" i="12"/>
  <c r="CE17" i="13"/>
  <c r="CA30" i="13"/>
  <c r="DB35" i="13"/>
  <c r="DB50" i="13" s="1"/>
  <c r="T34" i="13"/>
  <c r="U35" i="13" s="1"/>
  <c r="U50" i="13" s="1"/>
  <c r="CK212" i="13"/>
  <c r="CL212" i="13"/>
  <c r="AA18" i="7"/>
  <c r="AB18" i="7" s="1"/>
  <c r="AC18" i="7" s="1"/>
  <c r="AD18" i="7" s="1"/>
  <c r="AE18" i="7" s="1"/>
  <c r="AF18" i="7" s="1"/>
  <c r="AG18" i="7" s="1"/>
  <c r="P89" i="8"/>
  <c r="P74" i="8"/>
  <c r="P162" i="6"/>
  <c r="P202" i="7" s="1"/>
  <c r="DB19" i="6"/>
  <c r="BW46" i="17"/>
  <c r="M46" i="17" s="1"/>
  <c r="BN40" i="12"/>
  <c r="BN43" i="12"/>
  <c r="BN69" i="12"/>
  <c r="BN71" i="12" s="1"/>
  <c r="BR15" i="12"/>
  <c r="BR62" i="12"/>
  <c r="BV15" i="12"/>
  <c r="CF60" i="12"/>
  <c r="CF62" i="12" s="1"/>
  <c r="CJ48" i="12"/>
  <c r="CF48" i="12"/>
  <c r="DB71" i="8"/>
  <c r="DB66" i="8"/>
  <c r="DB69" i="8" s="1"/>
  <c r="CA71" i="8"/>
  <c r="CA66" i="8"/>
  <c r="CA69" i="8" s="1"/>
  <c r="AA59" i="7"/>
  <c r="AB59" i="7" s="1"/>
  <c r="AC59" i="7" s="1"/>
  <c r="AD59" i="7" s="1"/>
  <c r="AE59" i="7" s="1"/>
  <c r="AF59" i="7" s="1"/>
  <c r="AG59" i="7" s="1"/>
  <c r="G13" i="37"/>
  <c r="DJ301" i="12"/>
  <c r="DJ136" i="17"/>
  <c r="DJ116" i="17" s="1"/>
  <c r="I360" i="21"/>
  <c r="I362" i="21"/>
  <c r="I363" i="21" s="1"/>
  <c r="CH186" i="7"/>
  <c r="CL190" i="7"/>
  <c r="DK73" i="6"/>
  <c r="X73" i="6" s="1"/>
  <c r="CV50" i="7"/>
  <c r="CV62" i="7" s="1"/>
  <c r="CV63" i="7" s="1"/>
  <c r="CV76" i="7"/>
  <c r="CV112" i="7" s="1"/>
  <c r="CV119" i="7" s="1"/>
  <c r="CY72" i="6"/>
  <c r="CY73" i="6" s="1"/>
  <c r="U97" i="7"/>
  <c r="U98" i="7" s="1"/>
  <c r="CE76" i="7"/>
  <c r="CE112" i="7" s="1"/>
  <c r="CE119" i="7" s="1"/>
  <c r="CE33" i="7"/>
  <c r="CE34" i="7" s="1"/>
  <c r="CH41" i="17"/>
  <c r="CH42" i="17"/>
  <c r="CH43" i="17" s="1"/>
  <c r="CE12" i="17"/>
  <c r="CA14" i="17"/>
  <c r="Q178" i="7"/>
  <c r="CO190" i="7"/>
  <c r="CD24" i="16"/>
  <c r="CD37" i="16" s="1"/>
  <c r="CD17" i="16"/>
  <c r="BX26" i="11"/>
  <c r="BX27" i="11" s="1"/>
  <c r="BX28" i="11" s="1"/>
  <c r="DA315" i="12"/>
  <c r="DE315" i="12"/>
  <c r="BZ46" i="22"/>
  <c r="CM54" i="12"/>
  <c r="J116" i="17"/>
  <c r="J11" i="12"/>
  <c r="BZ55" i="11"/>
  <c r="BZ75" i="11"/>
  <c r="DL56" i="17"/>
  <c r="BL66" i="15"/>
  <c r="BK80" i="15"/>
  <c r="BL82" i="15" s="1"/>
  <c r="H60" i="12"/>
  <c r="K115" i="17"/>
  <c r="K108" i="17"/>
  <c r="U128" i="17"/>
  <c r="U18" i="17"/>
  <c r="V18" i="17"/>
  <c r="CD18" i="11"/>
  <c r="BF59" i="17"/>
  <c r="CJ199" i="12"/>
  <c r="CJ200" i="12" s="1"/>
  <c r="V35" i="13"/>
  <c r="V50" i="13" s="1"/>
  <c r="CN87" i="7"/>
  <c r="S20" i="7"/>
  <c r="CX62" i="7"/>
  <c r="CY62" i="7"/>
  <c r="CD76" i="7"/>
  <c r="CD112" i="7" s="1"/>
  <c r="CD119" i="7" s="1"/>
  <c r="CE169" i="7"/>
  <c r="CE175" i="7" s="1"/>
  <c r="BW76" i="13"/>
  <c r="CP370" i="13"/>
  <c r="CC129" i="17"/>
  <c r="CR79" i="8"/>
  <c r="CG59" i="15"/>
  <c r="CO186" i="7"/>
  <c r="K38" i="22"/>
  <c r="CB27" i="11"/>
  <c r="CB28" i="11" s="1"/>
  <c r="Q117" i="6"/>
  <c r="Q120" i="6" s="1"/>
  <c r="S107" i="6"/>
  <c r="DG472" i="12"/>
  <c r="R57" i="8"/>
  <c r="H309" i="12"/>
  <c r="H310" i="12" s="1"/>
  <c r="DE45" i="6"/>
  <c r="CX30" i="21"/>
  <c r="Y25" i="15"/>
  <c r="CL120" i="17"/>
  <c r="X41" i="7"/>
  <c r="O73" i="6"/>
  <c r="O70" i="6" s="1"/>
  <c r="O71" i="6" s="1"/>
  <c r="W87" i="7"/>
  <c r="CL133" i="13"/>
  <c r="P123" i="22"/>
  <c r="O25" i="13"/>
  <c r="O15" i="13"/>
  <c r="CX372" i="13"/>
  <c r="V168" i="7"/>
  <c r="BZ186" i="7"/>
  <c r="CX36" i="11"/>
  <c r="CX37" i="11" s="1"/>
  <c r="W53" i="12"/>
  <c r="CK15" i="12"/>
  <c r="N24" i="13"/>
  <c r="CI26" i="13"/>
  <c r="BM76" i="15"/>
  <c r="BN48" i="12"/>
  <c r="Y30" i="12"/>
  <c r="CE41" i="15"/>
  <c r="CE59" i="15" s="1"/>
  <c r="N128" i="17"/>
  <c r="N18" i="17"/>
  <c r="O18" i="17"/>
  <c r="CH14" i="17"/>
  <c r="CH12" i="17"/>
  <c r="CY14" i="17"/>
  <c r="DC12" i="17"/>
  <c r="DE73" i="7"/>
  <c r="DE74" i="7"/>
  <c r="H140" i="17"/>
  <c r="E19" i="37"/>
  <c r="DH118" i="17"/>
  <c r="DL115" i="17"/>
  <c r="DH49" i="17"/>
  <c r="DH110" i="8"/>
  <c r="BO70" i="22"/>
  <c r="DI43" i="6"/>
  <c r="DH20" i="16"/>
  <c r="DH21" i="16" s="1"/>
  <c r="DE43" i="6"/>
  <c r="CL12" i="17"/>
  <c r="CF41" i="15"/>
  <c r="CF59" i="15" s="1"/>
  <c r="CZ115" i="17"/>
  <c r="CX59" i="8"/>
  <c r="Q18" i="8"/>
  <c r="T168" i="7"/>
  <c r="O57" i="8"/>
  <c r="T77" i="8"/>
  <c r="CM35" i="8"/>
  <c r="R168" i="7"/>
  <c r="CO79" i="8"/>
  <c r="CY59" i="8"/>
  <c r="CX186" i="7"/>
  <c r="DD66" i="8"/>
  <c r="DD69" i="8" s="1"/>
  <c r="CU79" i="8"/>
  <c r="CU59" i="8"/>
  <c r="CQ79" i="8"/>
  <c r="CU71" i="8"/>
  <c r="CZ79" i="8"/>
  <c r="CX174" i="7"/>
  <c r="CN79" i="8"/>
  <c r="N127" i="6"/>
  <c r="N144" i="6" s="1"/>
  <c r="CI186" i="7"/>
  <c r="CP59" i="8"/>
  <c r="CP79" i="8"/>
  <c r="BS61" i="12"/>
  <c r="L39" i="12"/>
  <c r="K270" i="21"/>
  <c r="BI290" i="21"/>
  <c r="BI291" i="21" s="1"/>
  <c r="BV41" i="11"/>
  <c r="CB60" i="12"/>
  <c r="CH80" i="12"/>
  <c r="BB290" i="21"/>
  <c r="BB291" i="21" s="1"/>
  <c r="BE282" i="21"/>
  <c r="CC48" i="12"/>
  <c r="CC60" i="12"/>
  <c r="CG48" i="12"/>
  <c r="BW41" i="11"/>
  <c r="BW59" i="11" s="1"/>
  <c r="BW68" i="11" s="1"/>
  <c r="CL48" i="12"/>
  <c r="CH48" i="12"/>
  <c r="M60" i="12"/>
  <c r="CB41" i="11"/>
  <c r="CE24" i="16"/>
  <c r="CE37" i="16" s="1"/>
  <c r="BG290" i="21"/>
  <c r="BG291" i="21" s="1"/>
  <c r="BT69" i="12"/>
  <c r="BT70" i="12" s="1"/>
  <c r="BT48" i="12"/>
  <c r="BT49" i="12"/>
  <c r="CD48" i="12"/>
  <c r="BZ48" i="12"/>
  <c r="BU48" i="12"/>
  <c r="BY48" i="12"/>
  <c r="BU60" i="12"/>
  <c r="CE21" i="16"/>
  <c r="BC290" i="21"/>
  <c r="BC291" i="21" s="1"/>
  <c r="BZ60" i="12"/>
  <c r="CD61" i="12" s="1"/>
  <c r="K47" i="12"/>
  <c r="BR48" i="12"/>
  <c r="BV48" i="12"/>
  <c r="CK693" i="12"/>
  <c r="CL693" i="12" s="1"/>
  <c r="CK691" i="12"/>
  <c r="CL691" i="12" s="1"/>
  <c r="CL502" i="12" s="1"/>
  <c r="CK692" i="12"/>
  <c r="CL692" i="12" s="1"/>
  <c r="CL516" i="12" s="1"/>
  <c r="CL519" i="12" s="1"/>
  <c r="CL524" i="12" s="1"/>
  <c r="CL530" i="12" s="1"/>
  <c r="CL531" i="12" s="1"/>
  <c r="CL532" i="12" s="1"/>
  <c r="CL533" i="12" s="1"/>
  <c r="CK48" i="12"/>
  <c r="CE41" i="11"/>
  <c r="CO48" i="12"/>
  <c r="H290" i="21"/>
  <c r="H291" i="21" s="1"/>
  <c r="BA70" i="12"/>
  <c r="BA67" i="12"/>
  <c r="BV65" i="12"/>
  <c r="BV87" i="12" s="1"/>
  <c r="BV90" i="12" s="1"/>
  <c r="AY63" i="12"/>
  <c r="CN70" i="12"/>
  <c r="BA66" i="12"/>
  <c r="CJ71" i="12"/>
  <c r="BX61" i="12"/>
  <c r="AZ63" i="12"/>
  <c r="BD61" i="12"/>
  <c r="BK61" i="12"/>
  <c r="BG63" i="12"/>
  <c r="BG61" i="12"/>
  <c r="BB61" i="12"/>
  <c r="BB63" i="12"/>
  <c r="AR282" i="21"/>
  <c r="AR289" i="21"/>
  <c r="BL61" i="12"/>
  <c r="BP61" i="12"/>
  <c r="AS72" i="12"/>
  <c r="AW66" i="12"/>
  <c r="BD23" i="15"/>
  <c r="BH53" i="15"/>
  <c r="BD64" i="15"/>
  <c r="BD108" i="15"/>
  <c r="BD110" i="15" s="1"/>
  <c r="BD53" i="15"/>
  <c r="J35" i="15"/>
  <c r="J33" i="15"/>
  <c r="J34" i="15"/>
  <c r="BD34" i="15"/>
  <c r="K35" i="15"/>
  <c r="K33" i="15"/>
  <c r="BG76" i="15"/>
  <c r="CB65" i="15"/>
  <c r="BG80" i="15"/>
  <c r="BX76" i="15"/>
  <c r="CB77" i="15" s="1"/>
  <c r="CA76" i="15"/>
  <c r="BK76" i="15"/>
  <c r="BK65" i="15"/>
  <c r="BY66" i="15"/>
  <c r="BH290" i="21"/>
  <c r="BH291" i="21" s="1"/>
  <c r="BH282" i="21"/>
  <c r="BQ15" i="12"/>
  <c r="BV50" i="22"/>
  <c r="BB303" i="12"/>
  <c r="BU302" i="12"/>
  <c r="AM290" i="21"/>
  <c r="AM291" i="21" s="1"/>
  <c r="BM15" i="12"/>
  <c r="CG15" i="12"/>
  <c r="AM289" i="21"/>
  <c r="I282" i="21"/>
  <c r="I290" i="21"/>
  <c r="I291" i="21" s="1"/>
  <c r="BA282" i="21"/>
  <c r="BA290" i="21"/>
  <c r="BA291" i="21" s="1"/>
  <c r="AY62" i="12"/>
  <c r="AY65" i="12"/>
  <c r="K252" i="21"/>
  <c r="K281" i="21"/>
  <c r="AY54" i="12"/>
  <c r="BM136" i="17"/>
  <c r="BY15" i="12"/>
  <c r="BC437" i="12"/>
  <c r="CD440" i="12"/>
  <c r="CD438" i="12"/>
  <c r="BZ439" i="12"/>
  <c r="BZ440" i="12"/>
  <c r="BR43" i="12"/>
  <c r="BR54" i="12"/>
  <c r="BR94" i="12"/>
  <c r="BR49" i="12"/>
  <c r="BR136" i="17"/>
  <c r="BR116" i="17" s="1"/>
  <c r="BR69" i="12"/>
  <c r="BR40" i="12"/>
  <c r="BC15" i="12"/>
  <c r="BM62" i="12"/>
  <c r="CG62" i="12"/>
  <c r="BC439" i="12"/>
  <c r="BF282" i="21"/>
  <c r="BF290" i="21"/>
  <c r="BF291" i="21" s="1"/>
  <c r="BV69" i="12"/>
  <c r="BV43" i="12"/>
  <c r="BV40" i="12"/>
  <c r="BV62" i="12"/>
  <c r="BV136" i="17"/>
  <c r="BV116" i="17" s="1"/>
  <c r="BV49" i="12"/>
  <c r="AU70" i="12"/>
  <c r="BM54" i="12"/>
  <c r="AT282" i="21"/>
  <c r="AT290" i="21"/>
  <c r="AT291" i="21" s="1"/>
  <c r="BN65" i="12"/>
  <c r="BR66" i="12" s="1"/>
  <c r="BN136" i="17"/>
  <c r="BN116" i="17" s="1"/>
  <c r="BN54" i="12"/>
  <c r="BN15" i="12"/>
  <c r="AH282" i="21"/>
  <c r="AH290" i="21"/>
  <c r="AH291" i="21" s="1"/>
  <c r="AH289" i="21"/>
  <c r="BJ40" i="12"/>
  <c r="BJ65" i="12"/>
  <c r="BJ67" i="12" s="1"/>
  <c r="BJ69" i="12"/>
  <c r="BJ62" i="12"/>
  <c r="BJ54" i="12"/>
  <c r="BJ43" i="12"/>
  <c r="BJ136" i="17"/>
  <c r="BJ49" i="12"/>
  <c r="CG76" i="7"/>
  <c r="CG112" i="7" s="1"/>
  <c r="CG119" i="7" s="1"/>
  <c r="CZ62" i="7"/>
  <c r="CZ76" i="7"/>
  <c r="CZ112" i="7" s="1"/>
  <c r="CZ119" i="7" s="1"/>
  <c r="BC109" i="21"/>
  <c r="J95" i="21"/>
  <c r="K109" i="21"/>
  <c r="BG110" i="21"/>
  <c r="K110" i="21" s="1"/>
  <c r="U23" i="37"/>
  <c r="Y257" i="12"/>
  <c r="O107" i="6"/>
  <c r="P117" i="6"/>
  <c r="P120" i="6" s="1"/>
  <c r="DF118" i="6"/>
  <c r="CX118" i="6"/>
  <c r="CI118" i="6"/>
  <c r="DF120" i="6"/>
  <c r="DM118" i="6"/>
  <c r="DH118" i="6"/>
  <c r="CX120" i="6"/>
  <c r="CY120" i="6"/>
  <c r="BY76" i="11"/>
  <c r="R20" i="16"/>
  <c r="CR21" i="16"/>
  <c r="CM21" i="16"/>
  <c r="CI24" i="16"/>
  <c r="CI41" i="16" s="1"/>
  <c r="CR24" i="16"/>
  <c r="CL44" i="11" s="1"/>
  <c r="CL45" i="11" s="1"/>
  <c r="CL46" i="11" s="1"/>
  <c r="CV21" i="16"/>
  <c r="CI21" i="16"/>
  <c r="DF17" i="16"/>
  <c r="T53" i="12"/>
  <c r="CQ61" i="12"/>
  <c r="DD21" i="16"/>
  <c r="DB17" i="16"/>
  <c r="V471" i="12"/>
  <c r="U53" i="12"/>
  <c r="CU61" i="12"/>
  <c r="CW12" i="17"/>
  <c r="DA190" i="7"/>
  <c r="DK19" i="6"/>
  <c r="DO19" i="6"/>
  <c r="DT90" i="8"/>
  <c r="DU90" i="8"/>
  <c r="DR90" i="8"/>
  <c r="DS90" i="8"/>
  <c r="N52" i="6"/>
  <c r="P121" i="6"/>
  <c r="P116" i="6"/>
  <c r="Q89" i="8"/>
  <c r="Q68" i="6"/>
  <c r="CW193" i="7"/>
  <c r="CW190" i="7"/>
  <c r="CO54" i="6"/>
  <c r="CS54" i="6"/>
  <c r="O40" i="6"/>
  <c r="V68" i="6"/>
  <c r="V89" i="8"/>
  <c r="V162" i="6"/>
  <c r="V202" i="7" s="1"/>
  <c r="V74" i="8"/>
  <c r="DT74" i="8"/>
  <c r="DT89" i="8"/>
  <c r="DT75" i="8"/>
  <c r="CE61" i="6"/>
  <c r="CH20" i="17"/>
  <c r="BU61" i="22"/>
  <c r="BU77" i="22"/>
  <c r="BX76" i="6"/>
  <c r="CA109" i="7"/>
  <c r="CA116" i="7" s="1"/>
  <c r="X115" i="6"/>
  <c r="N40" i="6"/>
  <c r="N45" i="6"/>
  <c r="BZ55" i="6"/>
  <c r="BZ54" i="6"/>
  <c r="BZ56" i="6"/>
  <c r="Q110" i="6"/>
  <c r="R110" i="6"/>
  <c r="U80" i="6"/>
  <c r="V80" i="6" s="1"/>
  <c r="W80" i="6" s="1"/>
  <c r="X80" i="6" s="1"/>
  <c r="Y80" i="6" s="1"/>
  <c r="BZ80" i="6"/>
  <c r="CA80" i="6" s="1"/>
  <c r="CB80" i="6" s="1"/>
  <c r="CC80" i="6" s="1"/>
  <c r="CD80" i="6" s="1"/>
  <c r="CE80" i="6" s="1"/>
  <c r="CF80" i="6" s="1"/>
  <c r="CG80" i="6" s="1"/>
  <c r="CH80" i="6" s="1"/>
  <c r="CI80" i="6" s="1"/>
  <c r="CJ80" i="6" s="1"/>
  <c r="CK80" i="6" s="1"/>
  <c r="CL80" i="6" s="1"/>
  <c r="CM80" i="6" s="1"/>
  <c r="CN80" i="6" s="1"/>
  <c r="CO80" i="6" s="1"/>
  <c r="CP80" i="6" s="1"/>
  <c r="CQ80" i="6" s="1"/>
  <c r="CR80" i="6" s="1"/>
  <c r="CS80" i="6" s="1"/>
  <c r="CT80" i="6" s="1"/>
  <c r="CU80" i="6" s="1"/>
  <c r="CV80" i="6" s="1"/>
  <c r="CW80" i="6" s="1"/>
  <c r="CX80" i="6" s="1"/>
  <c r="CY80" i="6" s="1"/>
  <c r="CZ80" i="6" s="1"/>
  <c r="DA80" i="6" s="1"/>
  <c r="DB80" i="6" s="1"/>
  <c r="DC80" i="6" s="1"/>
  <c r="DD80" i="6" s="1"/>
  <c r="DE80" i="6" s="1"/>
  <c r="DF80" i="6" s="1"/>
  <c r="DG80" i="6" s="1"/>
  <c r="DH80" i="6" s="1"/>
  <c r="DI80" i="6" s="1"/>
  <c r="DJ80" i="6" s="1"/>
  <c r="DK80" i="6" s="1"/>
  <c r="CP120" i="6"/>
  <c r="CP118" i="6"/>
  <c r="R117" i="6"/>
  <c r="P40" i="6"/>
  <c r="CT120" i="6"/>
  <c r="CT118" i="6"/>
  <c r="CL118" i="6"/>
  <c r="CH118" i="6"/>
  <c r="CH120" i="6"/>
  <c r="S75" i="8"/>
  <c r="CU54" i="6"/>
  <c r="CN53" i="14"/>
  <c r="J132" i="14"/>
  <c r="J134" i="14" s="1"/>
  <c r="CJ22" i="14"/>
  <c r="K85" i="14"/>
  <c r="L87" i="14" s="1"/>
  <c r="CL21" i="14"/>
  <c r="CJ51" i="14"/>
  <c r="CN51" i="14"/>
  <c r="CS159" i="15"/>
  <c r="M68" i="14"/>
  <c r="CW46" i="14"/>
  <c r="CX119" i="15"/>
  <c r="CX120" i="15" s="1"/>
  <c r="CJ74" i="14"/>
  <c r="CL35" i="22"/>
  <c r="CY47" i="14"/>
  <c r="M85" i="14"/>
  <c r="M87" i="14" s="1"/>
  <c r="CP53" i="14"/>
  <c r="CV159" i="15"/>
  <c r="L133" i="14"/>
  <c r="K68" i="14"/>
  <c r="CC35" i="22"/>
  <c r="L135" i="14"/>
  <c r="CH21" i="14"/>
  <c r="CR47" i="14"/>
  <c r="CR57" i="14" s="1"/>
  <c r="CJ79" i="14"/>
  <c r="CJ77" i="14" s="1"/>
  <c r="CJ78" i="14" s="1"/>
  <c r="CP56" i="14"/>
  <c r="CQ52" i="14"/>
  <c r="CI22" i="14"/>
  <c r="DC56" i="14"/>
  <c r="CM22" i="14"/>
  <c r="CI38" i="14"/>
  <c r="CI40" i="14" s="1"/>
  <c r="CD35" i="22"/>
  <c r="CV167" i="15"/>
  <c r="CN68" i="14"/>
  <c r="CJ85" i="14"/>
  <c r="CJ68" i="14"/>
  <c r="DD159" i="15"/>
  <c r="DG167" i="15"/>
  <c r="CQ53" i="14"/>
  <c r="CV53" i="14"/>
  <c r="CV52" i="14"/>
  <c r="CV46" i="14"/>
  <c r="O87" i="14"/>
  <c r="CK74" i="14"/>
  <c r="CS117" i="15"/>
  <c r="CR159" i="15"/>
  <c r="J52" i="14"/>
  <c r="M35" i="22"/>
  <c r="DG117" i="15"/>
  <c r="DE120" i="15"/>
  <c r="DI120" i="15"/>
  <c r="CO119" i="15"/>
  <c r="CS120" i="15" s="1"/>
  <c r="CP119" i="15"/>
  <c r="CT120" i="15" s="1"/>
  <c r="E132" i="14"/>
  <c r="E38" i="14"/>
  <c r="I55" i="14"/>
  <c r="CL22" i="14"/>
  <c r="CK85" i="14"/>
  <c r="CK67" i="14"/>
  <c r="CK68" i="14"/>
  <c r="CO68" i="14"/>
  <c r="CK84" i="14"/>
  <c r="CK75" i="14"/>
  <c r="CG68" i="14"/>
  <c r="CG85" i="14"/>
  <c r="CG67" i="14"/>
  <c r="CT52" i="14"/>
  <c r="CX46" i="14"/>
  <c r="CT53" i="14"/>
  <c r="CG35" i="22"/>
  <c r="CK22" i="14"/>
  <c r="CG38" i="14"/>
  <c r="CG22" i="14"/>
  <c r="CG21" i="14"/>
  <c r="G75" i="14"/>
  <c r="G84" i="14"/>
  <c r="G66" i="14"/>
  <c r="M53" i="14"/>
  <c r="CW117" i="15"/>
  <c r="DA117" i="15"/>
  <c r="H52" i="14"/>
  <c r="CY167" i="15"/>
  <c r="U119" i="15"/>
  <c r="CH38" i="14"/>
  <c r="CH40" i="14" s="1"/>
  <c r="CH28" i="14"/>
  <c r="CR35" i="22"/>
  <c r="DE53" i="14"/>
  <c r="DE46" i="14"/>
  <c r="CL55" i="14"/>
  <c r="CK45" i="14"/>
  <c r="CK55" i="14"/>
  <c r="CK51" i="14"/>
  <c r="CO51" i="14"/>
  <c r="CL116" i="15"/>
  <c r="CK116" i="15"/>
  <c r="CK118" i="15"/>
  <c r="CL119" i="15" s="1"/>
  <c r="J68" i="14"/>
  <c r="I68" i="14"/>
  <c r="I85" i="14"/>
  <c r="DF117" i="15"/>
  <c r="DC119" i="15"/>
  <c r="DC120" i="15" s="1"/>
  <c r="DB119" i="15"/>
  <c r="CL67" i="14"/>
  <c r="Q144" i="14"/>
  <c r="S143" i="14"/>
  <c r="T143" i="14" s="1"/>
  <c r="U143" i="14" s="1"/>
  <c r="V143" i="14" s="1"/>
  <c r="W143" i="14" s="1"/>
  <c r="X143" i="14" s="1"/>
  <c r="Y143" i="14" s="1"/>
  <c r="CH118" i="15"/>
  <c r="CH116" i="15"/>
  <c r="CH117" i="15" s="1"/>
  <c r="DK117" i="15"/>
  <c r="CI21" i="14"/>
  <c r="I84" i="14"/>
  <c r="CL79" i="14"/>
  <c r="CL77" i="14" s="1"/>
  <c r="CL78" i="14" s="1"/>
  <c r="CU35" i="22"/>
  <c r="DL46" i="14"/>
  <c r="DH53" i="14"/>
  <c r="DI47" i="14"/>
  <c r="DH52" i="14"/>
  <c r="DH47" i="14"/>
  <c r="CG116" i="15"/>
  <c r="CG117" i="15" s="1"/>
  <c r="CG118" i="15"/>
  <c r="DG119" i="15"/>
  <c r="DF119" i="15"/>
  <c r="CM86" i="14"/>
  <c r="CP87" i="14"/>
  <c r="DE117" i="15"/>
  <c r="DI117" i="15"/>
  <c r="CH37" i="14"/>
  <c r="CH32" i="14" s="1"/>
  <c r="CH30" i="14" s="1"/>
  <c r="CH31" i="14" s="1"/>
  <c r="X116" i="13"/>
  <c r="DF127" i="22"/>
  <c r="K124" i="22"/>
  <c r="K123" i="22"/>
  <c r="Q310" i="13"/>
  <c r="CS310" i="13"/>
  <c r="CO326" i="13"/>
  <c r="N15" i="13"/>
  <c r="DN128" i="17"/>
  <c r="DE119" i="17"/>
  <c r="CW119" i="17"/>
  <c r="DB52" i="6"/>
  <c r="U52" i="6" s="1"/>
  <c r="DE13" i="17"/>
  <c r="DE18" i="8" s="1"/>
  <c r="DE94" i="13"/>
  <c r="DE40" i="17" s="1"/>
  <c r="DF31" i="17"/>
  <c r="T18" i="8"/>
  <c r="T17" i="8"/>
  <c r="T76" i="8" s="1"/>
  <c r="DA35" i="8"/>
  <c r="DP763" i="12"/>
  <c r="DH764" i="12"/>
  <c r="DO763" i="12"/>
  <c r="Y692" i="12"/>
  <c r="DG764" i="12"/>
  <c r="DG765" i="12" s="1"/>
  <c r="Y726" i="12"/>
  <c r="Z727" i="12" s="1"/>
  <c r="DI767" i="12"/>
  <c r="DJ764" i="12"/>
  <c r="CI205" i="12"/>
  <c r="CE169" i="12"/>
  <c r="CH143" i="12"/>
  <c r="CH165" i="12" s="1"/>
  <c r="N215" i="12"/>
  <c r="CF169" i="12"/>
  <c r="DO290" i="12"/>
  <c r="DN113" i="13"/>
  <c r="BZ76" i="11"/>
  <c r="DO116" i="13"/>
  <c r="W104" i="13"/>
  <c r="CU53" i="11"/>
  <c r="CU54" i="11" s="1"/>
  <c r="CU55" i="11" s="1"/>
  <c r="BZ79" i="11"/>
  <c r="DO113" i="13"/>
  <c r="DN116" i="13"/>
  <c r="CQ156" i="15"/>
  <c r="CU167" i="15"/>
  <c r="DO159" i="15"/>
  <c r="DC57" i="14"/>
  <c r="CW40" i="14"/>
  <c r="CS39" i="14"/>
  <c r="CS40" i="14"/>
  <c r="DG40" i="14"/>
  <c r="DC39" i="14"/>
  <c r="DD39" i="14"/>
  <c r="DN38" i="14"/>
  <c r="DR40" i="14" s="1"/>
  <c r="DC103" i="11"/>
  <c r="BU27" i="11"/>
  <c r="BU28" i="11" s="1"/>
  <c r="V17" i="11"/>
  <c r="S49" i="11"/>
  <c r="U22" i="11"/>
  <c r="CL36" i="11"/>
  <c r="CL37" i="11" s="1"/>
  <c r="CH36" i="11"/>
  <c r="CH37" i="11" s="1"/>
  <c r="CO26" i="11"/>
  <c r="CO27" i="11" s="1"/>
  <c r="CO28" i="11" s="1"/>
  <c r="DD24" i="16"/>
  <c r="CX44" i="11" s="1"/>
  <c r="CX62" i="11" s="1"/>
  <c r="CX71" i="11" s="1"/>
  <c r="CQ59" i="22" s="1"/>
  <c r="CX48" i="16"/>
  <c r="CX23" i="16" s="1"/>
  <c r="CM24" i="16"/>
  <c r="CM37" i="16" s="1"/>
  <c r="CH17" i="16"/>
  <c r="CE17" i="16"/>
  <c r="CL17" i="16"/>
  <c r="V12" i="16"/>
  <c r="U18" i="6"/>
  <c r="V19" i="6" s="1"/>
  <c r="CA24" i="16"/>
  <c r="CA37" i="16" s="1"/>
  <c r="CG19" i="6"/>
  <c r="P18" i="6"/>
  <c r="O18" i="6"/>
  <c r="CH19" i="6"/>
  <c r="CD19" i="6"/>
  <c r="CZ48" i="16"/>
  <c r="CZ23" i="16" s="1"/>
  <c r="CI17" i="16"/>
  <c r="CZ21" i="16"/>
  <c r="CM17" i="16"/>
  <c r="CT17" i="16"/>
  <c r="DO48" i="16"/>
  <c r="DO23" i="16" s="1"/>
  <c r="S23" i="16"/>
  <c r="DM115" i="17"/>
  <c r="BT129" i="17"/>
  <c r="DK109" i="17"/>
  <c r="DK128" i="17"/>
  <c r="H10" i="37" s="1"/>
  <c r="DK44" i="17"/>
  <c r="BP129" i="17"/>
  <c r="CI115" i="17"/>
  <c r="U46" i="17"/>
  <c r="U55" i="12" s="1"/>
  <c r="DK118" i="17"/>
  <c r="DO119" i="17" s="1"/>
  <c r="DK49" i="17"/>
  <c r="DK110" i="8"/>
  <c r="CV48" i="17"/>
  <c r="N73" i="35"/>
  <c r="N74" i="35" s="1"/>
  <c r="L73" i="35"/>
  <c r="L74" i="35" s="1"/>
  <c r="J55" i="17"/>
  <c r="DN13" i="15"/>
  <c r="BO59" i="15"/>
  <c r="DJ158" i="15"/>
  <c r="CC8" i="22"/>
  <c r="CC9" i="22" s="1"/>
  <c r="CC13" i="22" s="1"/>
  <c r="CC22" i="22" s="1"/>
  <c r="CP19" i="15"/>
  <c r="I34" i="15"/>
  <c r="J55" i="15"/>
  <c r="I108" i="15"/>
  <c r="J56" i="15"/>
  <c r="J53" i="15"/>
  <c r="CN108" i="15"/>
  <c r="CN110" i="15" s="1"/>
  <c r="CN55" i="15"/>
  <c r="CN53" i="15"/>
  <c r="CN34" i="15"/>
  <c r="DA109" i="11"/>
  <c r="DG66" i="15"/>
  <c r="DG112" i="15"/>
  <c r="DK65" i="15"/>
  <c r="DH66" i="15"/>
  <c r="DG65" i="15"/>
  <c r="DB19" i="15"/>
  <c r="CO8" i="22"/>
  <c r="CO9" i="22" s="1"/>
  <c r="CO13" i="22" s="1"/>
  <c r="CO22" i="22" s="1"/>
  <c r="CY23" i="15"/>
  <c r="CY150" i="15"/>
  <c r="CZ158" i="15" s="1"/>
  <c r="CL24" i="22"/>
  <c r="CL23" i="22" s="1"/>
  <c r="CY70" i="15"/>
  <c r="CY69" i="15"/>
  <c r="CO109" i="11"/>
  <c r="CU66" i="15"/>
  <c r="CY65" i="15"/>
  <c r="CV66" i="15"/>
  <c r="CU65" i="15"/>
  <c r="CU112" i="15"/>
  <c r="CM23" i="15"/>
  <c r="CM150" i="15"/>
  <c r="CM156" i="15" s="1"/>
  <c r="BZ24" i="22"/>
  <c r="BZ23" i="22" s="1"/>
  <c r="CM70" i="15"/>
  <c r="CN70" i="15"/>
  <c r="BN34" i="15"/>
  <c r="BN53" i="15"/>
  <c r="BN56" i="15"/>
  <c r="BN108" i="15"/>
  <c r="BN110" i="15" s="1"/>
  <c r="BO56" i="15"/>
  <c r="BO39" i="15" s="1"/>
  <c r="BN64" i="15"/>
  <c r="BR65" i="15" s="1"/>
  <c r="BN55" i="15"/>
  <c r="BN23" i="15"/>
  <c r="BB108" i="15"/>
  <c r="BB110" i="15" s="1"/>
  <c r="BC56" i="15"/>
  <c r="BB64" i="15"/>
  <c r="BB34" i="15"/>
  <c r="BB55" i="15"/>
  <c r="BB53" i="15"/>
  <c r="BB23" i="15"/>
  <c r="BB56" i="15"/>
  <c r="CT19" i="15"/>
  <c r="BX24" i="22"/>
  <c r="BX23" i="22" s="1"/>
  <c r="CK66" i="15"/>
  <c r="CE109" i="11"/>
  <c r="CK76" i="15"/>
  <c r="CL66" i="15"/>
  <c r="CO65" i="15"/>
  <c r="CK112" i="15"/>
  <c r="CB66" i="15"/>
  <c r="CZ70" i="15"/>
  <c r="CQ69" i="15"/>
  <c r="DN69" i="15"/>
  <c r="K35" i="37" s="1"/>
  <c r="BI42" i="15"/>
  <c r="BJ41" i="15"/>
  <c r="BJ59" i="15" s="1"/>
  <c r="BC23" i="15"/>
  <c r="BC108" i="15"/>
  <c r="BC110" i="15" s="1"/>
  <c r="BC55" i="15"/>
  <c r="BC64" i="15"/>
  <c r="BC53" i="15"/>
  <c r="BD55" i="15"/>
  <c r="BG53" i="15"/>
  <c r="BD56" i="15"/>
  <c r="BP12" i="22"/>
  <c r="I10" i="22"/>
  <c r="I12" i="22" s="1"/>
  <c r="BU64" i="15"/>
  <c r="BU23" i="15"/>
  <c r="BU55" i="15"/>
  <c r="BU108" i="15"/>
  <c r="BU110" i="15" s="1"/>
  <c r="BY53" i="15"/>
  <c r="BU53" i="15"/>
  <c r="L52" i="15"/>
  <c r="BU34" i="15"/>
  <c r="CL8" i="22"/>
  <c r="CY19" i="15"/>
  <c r="DC19" i="15"/>
  <c r="CH8" i="22"/>
  <c r="CH9" i="22" s="1"/>
  <c r="CH13" i="22" s="1"/>
  <c r="CH22" i="22" s="1"/>
  <c r="CG109" i="11"/>
  <c r="CN66" i="15"/>
  <c r="CM66" i="15"/>
  <c r="CM112" i="15"/>
  <c r="CM76" i="15"/>
  <c r="CM65" i="15"/>
  <c r="BZ34" i="15"/>
  <c r="BZ56" i="15"/>
  <c r="BZ39" i="15" s="1"/>
  <c r="BZ108" i="15"/>
  <c r="BZ110" i="15" s="1"/>
  <c r="BZ23" i="15"/>
  <c r="BZ64" i="15"/>
  <c r="CA66" i="15" s="1"/>
  <c r="BJ34" i="15"/>
  <c r="BJ108" i="15"/>
  <c r="BJ110" i="15" s="1"/>
  <c r="BJ23" i="15"/>
  <c r="BJ55" i="15"/>
  <c r="BJ53" i="15"/>
  <c r="BJ64" i="15"/>
  <c r="BJ56" i="15"/>
  <c r="BK55" i="15"/>
  <c r="BK56" i="15"/>
  <c r="AT39" i="15"/>
  <c r="AT57" i="15"/>
  <c r="BR112" i="15"/>
  <c r="BR80" i="15"/>
  <c r="BR76" i="15"/>
  <c r="BI41" i="15"/>
  <c r="CH74" i="14"/>
  <c r="CI74" i="14"/>
  <c r="AZ39" i="15"/>
  <c r="AZ57" i="15"/>
  <c r="F81" i="15"/>
  <c r="F82" i="15"/>
  <c r="W76" i="15"/>
  <c r="W109" i="11"/>
  <c r="DN23" i="15"/>
  <c r="J64" i="15"/>
  <c r="K63" i="15"/>
  <c r="K62" i="15"/>
  <c r="CK8" i="22"/>
  <c r="CK9" i="22" s="1"/>
  <c r="CK13" i="22" s="1"/>
  <c r="CK22" i="22" s="1"/>
  <c r="CX19" i="15"/>
  <c r="CR109" i="11"/>
  <c r="CX65" i="15"/>
  <c r="CY66" i="15"/>
  <c r="CX112" i="15"/>
  <c r="H52" i="15"/>
  <c r="I33" i="15"/>
  <c r="I35" i="15"/>
  <c r="BO64" i="15"/>
  <c r="BO55" i="15"/>
  <c r="BS53" i="15"/>
  <c r="BO23" i="15"/>
  <c r="BO34" i="15"/>
  <c r="BP55" i="15"/>
  <c r="BO108" i="15"/>
  <c r="BO110" i="15" s="1"/>
  <c r="BP56" i="15"/>
  <c r="BO53" i="15"/>
  <c r="CC56" i="15"/>
  <c r="CC64" i="15"/>
  <c r="CC108" i="15"/>
  <c r="CC110" i="15" s="1"/>
  <c r="CC34" i="15"/>
  <c r="CC23" i="15"/>
  <c r="CC53" i="15"/>
  <c r="CC55" i="15"/>
  <c r="CG53" i="15"/>
  <c r="CD56" i="15"/>
  <c r="DC23" i="15"/>
  <c r="CP24" i="22"/>
  <c r="CP23" i="22" s="1"/>
  <c r="DG69" i="15"/>
  <c r="DC150" i="15"/>
  <c r="DC70" i="15"/>
  <c r="DC69" i="15"/>
  <c r="CS8" i="22"/>
  <c r="CS9" i="22" s="1"/>
  <c r="CS13" i="22" s="1"/>
  <c r="CS22" i="22" s="1"/>
  <c r="DF19" i="15"/>
  <c r="DJ19" i="15"/>
  <c r="CZ109" i="11"/>
  <c r="DF65" i="15"/>
  <c r="DF112" i="15"/>
  <c r="CV109" i="11"/>
  <c r="DB112" i="15"/>
  <c r="DB65" i="15"/>
  <c r="CU150" i="15"/>
  <c r="CU155" i="15" s="1"/>
  <c r="CV70" i="15"/>
  <c r="CU23" i="15"/>
  <c r="CU69" i="15"/>
  <c r="CH24" i="22"/>
  <c r="CH23" i="22" s="1"/>
  <c r="CU70" i="15"/>
  <c r="CK109" i="11"/>
  <c r="CQ112" i="15"/>
  <c r="CQ65" i="15"/>
  <c r="CQ66" i="15"/>
  <c r="CM108" i="15"/>
  <c r="CM110" i="15" s="1"/>
  <c r="CM34" i="15"/>
  <c r="CN56" i="15"/>
  <c r="CM55" i="15"/>
  <c r="CM53" i="15"/>
  <c r="AX34" i="15"/>
  <c r="AY56" i="15"/>
  <c r="AX64" i="15"/>
  <c r="AX23" i="15"/>
  <c r="AX108" i="15"/>
  <c r="AX110" i="15" s="1"/>
  <c r="AX56" i="15"/>
  <c r="AX55" i="15"/>
  <c r="AX53" i="15"/>
  <c r="AW80" i="15"/>
  <c r="AW66" i="15"/>
  <c r="BA65" i="15"/>
  <c r="AW65" i="15"/>
  <c r="AW76" i="15"/>
  <c r="AS66" i="15"/>
  <c r="AS76" i="15"/>
  <c r="AS80" i="15"/>
  <c r="CP40" i="14"/>
  <c r="CH84" i="14"/>
  <c r="CH75" i="14"/>
  <c r="CJ28" i="14"/>
  <c r="CI28" i="14"/>
  <c r="BZ55" i="15"/>
  <c r="BZ53" i="15"/>
  <c r="CO41" i="15"/>
  <c r="CO59" i="15" s="1"/>
  <c r="Q40" i="15"/>
  <c r="CB18" i="22"/>
  <c r="CO42" i="15"/>
  <c r="CZ166" i="15"/>
  <c r="CZ156" i="15"/>
  <c r="DN70" i="15"/>
  <c r="K36" i="37" s="1"/>
  <c r="O62" i="15"/>
  <c r="P63" i="15"/>
  <c r="O63" i="15"/>
  <c r="P62" i="15"/>
  <c r="BI53" i="15"/>
  <c r="BE108" i="15"/>
  <c r="BE110" i="15" s="1"/>
  <c r="H110" i="15" s="1"/>
  <c r="BE53" i="15"/>
  <c r="BE56" i="15"/>
  <c r="BE64" i="15"/>
  <c r="BE34" i="15"/>
  <c r="BF56" i="15"/>
  <c r="BE23" i="15"/>
  <c r="BE55" i="15"/>
  <c r="K10" i="22"/>
  <c r="K12" i="22" s="1"/>
  <c r="BX12" i="22"/>
  <c r="N35" i="15"/>
  <c r="N33" i="15"/>
  <c r="N52" i="15"/>
  <c r="N34" i="15" s="1"/>
  <c r="BU56" i="15"/>
  <c r="BT55" i="15"/>
  <c r="BT64" i="15"/>
  <c r="BX53" i="15"/>
  <c r="BT108" i="15"/>
  <c r="BT110" i="15" s="1"/>
  <c r="BT23" i="15"/>
  <c r="BT34" i="15"/>
  <c r="BT56" i="15"/>
  <c r="CW109" i="11"/>
  <c r="DC65" i="15"/>
  <c r="DC66" i="15"/>
  <c r="DC112" i="15"/>
  <c r="CH64" i="15"/>
  <c r="CH53" i="15"/>
  <c r="CH34" i="15"/>
  <c r="CH108" i="15"/>
  <c r="CH110" i="15" s="1"/>
  <c r="CI56" i="15"/>
  <c r="CH56" i="15"/>
  <c r="CH55" i="15"/>
  <c r="CI55" i="15"/>
  <c r="CH23" i="15"/>
  <c r="CD55" i="15"/>
  <c r="CD23" i="15"/>
  <c r="CE56" i="15"/>
  <c r="CE39" i="15" s="1"/>
  <c r="CD108" i="15"/>
  <c r="CD110" i="15" s="1"/>
  <c r="CE55" i="15"/>
  <c r="CD64" i="15"/>
  <c r="CD34" i="15"/>
  <c r="CD53" i="15"/>
  <c r="BF34" i="15"/>
  <c r="BF64" i="15"/>
  <c r="BF108" i="15"/>
  <c r="BF110" i="15" s="1"/>
  <c r="BG56" i="15"/>
  <c r="BG55" i="15"/>
  <c r="BF55" i="15"/>
  <c r="BF23" i="15"/>
  <c r="BF53" i="15"/>
  <c r="AW57" i="15"/>
  <c r="AW39" i="15"/>
  <c r="F39" i="15"/>
  <c r="DF166" i="15"/>
  <c r="DJ166" i="15"/>
  <c r="CI85" i="14"/>
  <c r="CI67" i="14"/>
  <c r="CJ67" i="14"/>
  <c r="CI68" i="14"/>
  <c r="CM68" i="14"/>
  <c r="BT53" i="15"/>
  <c r="O33" i="15"/>
  <c r="CD23" i="22"/>
  <c r="CX117" i="15"/>
  <c r="Q113" i="15"/>
  <c r="Q208" i="13"/>
  <c r="Q211" i="13" s="1"/>
  <c r="L7" i="22"/>
  <c r="CY109" i="11"/>
  <c r="DF66" i="15"/>
  <c r="DE112" i="15"/>
  <c r="DE66" i="15"/>
  <c r="DE65" i="15"/>
  <c r="DI65" i="15"/>
  <c r="DB28" i="15"/>
  <c r="DF28" i="15"/>
  <c r="CX28" i="15"/>
  <c r="R27" i="15"/>
  <c r="R68" i="15"/>
  <c r="R26" i="15"/>
  <c r="R64" i="15"/>
  <c r="CU8" i="22"/>
  <c r="CU9" i="22" s="1"/>
  <c r="CU13" i="22" s="1"/>
  <c r="CU22" i="22" s="1"/>
  <c r="DL19" i="15"/>
  <c r="CJ8" i="22"/>
  <c r="CJ9" i="22" s="1"/>
  <c r="CJ13" i="22" s="1"/>
  <c r="CJ22" i="22" s="1"/>
  <c r="S18" i="15"/>
  <c r="CW19" i="15"/>
  <c r="R24" i="15"/>
  <c r="Q109" i="15"/>
  <c r="Q24" i="15"/>
  <c r="Q64" i="15"/>
  <c r="Q22" i="15"/>
  <c r="R22" i="15"/>
  <c r="Q52" i="15"/>
  <c r="Q68" i="15"/>
  <c r="L24" i="22" s="1"/>
  <c r="U12" i="15"/>
  <c r="U13" i="15"/>
  <c r="O7" i="22"/>
  <c r="T13" i="15"/>
  <c r="T113" i="15"/>
  <c r="T12" i="15"/>
  <c r="R34" i="13"/>
  <c r="S35" i="13" s="1"/>
  <c r="S50" i="13" s="1"/>
  <c r="CT35" i="13"/>
  <c r="CT50" i="13" s="1"/>
  <c r="CS35" i="13"/>
  <c r="CS50" i="13" s="1"/>
  <c r="H33" i="15"/>
  <c r="G34" i="15"/>
  <c r="E34" i="37"/>
  <c r="DH150" i="15"/>
  <c r="DH70" i="15"/>
  <c r="DL71" i="15" s="1"/>
  <c r="DH69" i="15"/>
  <c r="E35" i="37" s="1"/>
  <c r="CU24" i="22"/>
  <c r="CU23" i="22" s="1"/>
  <c r="DI70" i="15"/>
  <c r="DD112" i="15"/>
  <c r="CQ109" i="11"/>
  <c r="CW65" i="15"/>
  <c r="CW66" i="15"/>
  <c r="CX66" i="15"/>
  <c r="CX67" i="15" s="1"/>
  <c r="CW112" i="15"/>
  <c r="CF8" i="22"/>
  <c r="CF9" i="22" s="1"/>
  <c r="CF13" i="22" s="1"/>
  <c r="CF22" i="22" s="1"/>
  <c r="R18" i="15"/>
  <c r="CS19" i="15"/>
  <c r="CF24" i="22"/>
  <c r="CF23" i="22" s="1"/>
  <c r="CS150" i="15"/>
  <c r="CS70" i="15"/>
  <c r="CT70" i="15"/>
  <c r="CS69" i="15"/>
  <c r="CB8" i="22"/>
  <c r="CB9" i="22" s="1"/>
  <c r="CB13" i="22" s="1"/>
  <c r="Q18" i="15"/>
  <c r="R15" i="15"/>
  <c r="S16" i="15"/>
  <c r="S17" i="15" s="1"/>
  <c r="R16" i="15"/>
  <c r="R17" i="15" s="1"/>
  <c r="S15" i="15"/>
  <c r="CI45" i="14"/>
  <c r="CI51" i="14"/>
  <c r="CM51" i="14"/>
  <c r="CJ55" i="14"/>
  <c r="CI53" i="14"/>
  <c r="N7" i="22"/>
  <c r="S12" i="15"/>
  <c r="S113" i="15"/>
  <c r="U26" i="15"/>
  <c r="U68" i="15"/>
  <c r="V69" i="15" s="1"/>
  <c r="U27" i="15"/>
  <c r="U64" i="15"/>
  <c r="V66" i="15" s="1"/>
  <c r="V26" i="15"/>
  <c r="T68" i="15"/>
  <c r="T26" i="15"/>
  <c r="T64" i="15"/>
  <c r="T27" i="15"/>
  <c r="DA28" i="15"/>
  <c r="CW28" i="15"/>
  <c r="CQ24" i="22"/>
  <c r="DD150" i="15"/>
  <c r="DD70" i="15"/>
  <c r="DD69" i="15"/>
  <c r="DD23" i="15"/>
  <c r="DE70" i="15"/>
  <c r="CW23" i="15"/>
  <c r="CW69" i="15"/>
  <c r="CJ24" i="22"/>
  <c r="CJ23" i="22" s="1"/>
  <c r="DA69" i="15"/>
  <c r="CX70" i="15"/>
  <c r="CW150" i="15"/>
  <c r="CW70" i="15"/>
  <c r="S22" i="15"/>
  <c r="S64" i="15"/>
  <c r="S24" i="15"/>
  <c r="S68" i="15"/>
  <c r="CO23" i="15"/>
  <c r="CB24" i="22"/>
  <c r="CB23" i="22" s="1"/>
  <c r="CO150" i="15"/>
  <c r="CP70" i="15"/>
  <c r="CO70" i="15"/>
  <c r="CI118" i="15"/>
  <c r="CJ116" i="15"/>
  <c r="CI116" i="15"/>
  <c r="CN8" i="22"/>
  <c r="CN9" i="22" s="1"/>
  <c r="CN13" i="22" s="1"/>
  <c r="CN22" i="22" s="1"/>
  <c r="DA19" i="15"/>
  <c r="DE19" i="15"/>
  <c r="T18" i="15"/>
  <c r="BP18" i="22"/>
  <c r="I18" i="22" s="1"/>
  <c r="CC42" i="15"/>
  <c r="N40" i="15"/>
  <c r="CC41" i="15"/>
  <c r="CC59" i="15" s="1"/>
  <c r="CD41" i="15"/>
  <c r="CD59" i="15" s="1"/>
  <c r="DE28" i="15"/>
  <c r="CU109" i="11"/>
  <c r="DB66" i="15"/>
  <c r="DA112" i="15"/>
  <c r="DA65" i="15"/>
  <c r="DA66" i="15"/>
  <c r="S27" i="15"/>
  <c r="S26" i="15"/>
  <c r="CO53" i="15"/>
  <c r="CO56" i="15"/>
  <c r="CO34" i="15"/>
  <c r="CO108" i="15"/>
  <c r="CO110" i="15" s="1"/>
  <c r="CO55" i="15"/>
  <c r="DB159" i="15"/>
  <c r="DB167" i="15"/>
  <c r="DC159" i="15"/>
  <c r="DF167" i="15"/>
  <c r="DA120" i="15"/>
  <c r="CW120" i="15"/>
  <c r="BZ111" i="14"/>
  <c r="DJ370" i="13"/>
  <c r="DK372" i="13" s="1"/>
  <c r="DL372" i="13"/>
  <c r="N123" i="22"/>
  <c r="BN149" i="22"/>
  <c r="BZ88" i="13"/>
  <c r="BZ82" i="13"/>
  <c r="BM79" i="22"/>
  <c r="BW10" i="6"/>
  <c r="CA11" i="6" s="1"/>
  <c r="BZ85" i="13"/>
  <c r="BZ133" i="13"/>
  <c r="BM80" i="22" s="1"/>
  <c r="BT13" i="11"/>
  <c r="BT67" i="11" s="1"/>
  <c r="BZ110" i="17"/>
  <c r="CD76" i="13"/>
  <c r="BQ148" i="22" s="1"/>
  <c r="BM45" i="22"/>
  <c r="BZ27" i="13"/>
  <c r="BZ28" i="13" s="1"/>
  <c r="CW116" i="13"/>
  <c r="CA40" i="11"/>
  <c r="CA67" i="11" s="1"/>
  <c r="BU149" i="22"/>
  <c r="CE10" i="6"/>
  <c r="CE12" i="6" s="1"/>
  <c r="CY56" i="17"/>
  <c r="CZ57" i="17" s="1"/>
  <c r="CK27" i="13"/>
  <c r="M123" i="22"/>
  <c r="BU45" i="22"/>
  <c r="BU79" i="22"/>
  <c r="CH76" i="13"/>
  <c r="BU148" i="22" s="1"/>
  <c r="CP17" i="16"/>
  <c r="DC56" i="17"/>
  <c r="V102" i="13"/>
  <c r="V102" i="11"/>
  <c r="V103" i="11" s="1"/>
  <c r="CJ134" i="13"/>
  <c r="CJ131" i="13" s="1"/>
  <c r="BW80" i="22"/>
  <c r="Q23" i="13"/>
  <c r="Q24" i="13" s="1"/>
  <c r="CB13" i="11"/>
  <c r="CB67" i="11" s="1"/>
  <c r="CH88" i="13"/>
  <c r="CD26" i="13"/>
  <c r="DG369" i="13"/>
  <c r="DL374" i="13"/>
  <c r="V103" i="13"/>
  <c r="CY375" i="13"/>
  <c r="CX368" i="13"/>
  <c r="CY369" i="13"/>
  <c r="CX369" i="13"/>
  <c r="K127" i="22"/>
  <c r="K128" i="22"/>
  <c r="CU375" i="13"/>
  <c r="CU369" i="13"/>
  <c r="Q125" i="22"/>
  <c r="BX79" i="22"/>
  <c r="CK133" i="13"/>
  <c r="BX149" i="22"/>
  <c r="CE13" i="11"/>
  <c r="CE18" i="11" s="1"/>
  <c r="BX45" i="22"/>
  <c r="CK76" i="13"/>
  <c r="BX148" i="22" s="1"/>
  <c r="CK82" i="13"/>
  <c r="CK110" i="17"/>
  <c r="CH10" i="6"/>
  <c r="CK85" i="13"/>
  <c r="CZ123" i="22"/>
  <c r="J95" i="22"/>
  <c r="J96" i="22" s="1"/>
  <c r="O218" i="12"/>
  <c r="S53" i="12"/>
  <c r="U28" i="12"/>
  <c r="CU430" i="12"/>
  <c r="CU432" i="12" s="1"/>
  <c r="CU434" i="12"/>
  <c r="CQ446" i="12"/>
  <c r="CQ445" i="12"/>
  <c r="CU445" i="12"/>
  <c r="CQ449" i="12"/>
  <c r="CQ450" i="12" s="1"/>
  <c r="CQ451" i="12" s="1"/>
  <c r="CC14" i="11"/>
  <c r="CC18" i="11" s="1"/>
  <c r="CI69" i="12"/>
  <c r="CA49" i="12"/>
  <c r="BU14" i="11"/>
  <c r="BU59" i="11" s="1"/>
  <c r="BU68" i="11" s="1"/>
  <c r="CA54" i="12"/>
  <c r="CK43" i="12"/>
  <c r="CK69" i="12"/>
  <c r="CK689" i="12"/>
  <c r="CL689" i="12" s="1"/>
  <c r="CL500" i="12" s="1"/>
  <c r="CC301" i="12"/>
  <c r="BP85" i="22"/>
  <c r="CC120" i="17"/>
  <c r="BI65" i="12"/>
  <c r="BI62" i="12"/>
  <c r="BI15" i="12"/>
  <c r="BI136" i="17"/>
  <c r="BI49" i="12"/>
  <c r="BI69" i="12"/>
  <c r="BI54" i="12"/>
  <c r="T28" i="12"/>
  <c r="CM153" i="12"/>
  <c r="CM160" i="12" s="1"/>
  <c r="CM162" i="12" s="1"/>
  <c r="CM322" i="12"/>
  <c r="CQ323" i="12" s="1"/>
  <c r="BL163" i="12"/>
  <c r="BL164" i="12" s="1"/>
  <c r="BL102" i="12"/>
  <c r="DC446" i="12"/>
  <c r="DG445" i="12"/>
  <c r="CR84" i="22"/>
  <c r="CR85" i="22"/>
  <c r="DE301" i="12"/>
  <c r="DE334" i="12" s="1"/>
  <c r="DE26" i="12"/>
  <c r="DE31" i="12"/>
  <c r="DE62" i="12" s="1"/>
  <c r="DE136" i="17"/>
  <c r="DE116" i="17" s="1"/>
  <c r="CW299" i="12"/>
  <c r="CG54" i="12"/>
  <c r="CG49" i="12"/>
  <c r="CG40" i="12"/>
  <c r="CG69" i="12"/>
  <c r="CG78" i="12" s="1"/>
  <c r="BT46" i="22"/>
  <c r="BT50" i="22" s="1"/>
  <c r="BT52" i="22" s="1"/>
  <c r="CG43" i="12"/>
  <c r="CD14" i="6"/>
  <c r="CA14" i="11"/>
  <c r="CA18" i="11" s="1"/>
  <c r="CA19" i="11" s="1"/>
  <c r="CG65" i="12"/>
  <c r="BU136" i="17"/>
  <c r="BU116" i="17" s="1"/>
  <c r="BU54" i="12"/>
  <c r="BU49" i="12"/>
  <c r="BU43" i="12"/>
  <c r="BU69" i="12"/>
  <c r="BU40" i="12"/>
  <c r="BU15" i="12"/>
  <c r="BM69" i="12"/>
  <c r="BM65" i="12"/>
  <c r="BM40" i="12"/>
  <c r="BI303" i="12"/>
  <c r="BI302" i="12"/>
  <c r="BE302" i="12"/>
  <c r="BA303" i="12"/>
  <c r="DG46" i="17"/>
  <c r="DG47" i="17" s="1"/>
  <c r="DG56" i="12"/>
  <c r="CM473" i="12"/>
  <c r="CQ472" i="12"/>
  <c r="CY430" i="12"/>
  <c r="CY432" i="12" s="1"/>
  <c r="CY434" i="12"/>
  <c r="CM434" i="12"/>
  <c r="CM430" i="12"/>
  <c r="CQ434" i="12"/>
  <c r="BO69" i="12"/>
  <c r="BS70" i="12" s="1"/>
  <c r="BO49" i="12"/>
  <c r="BO43" i="12"/>
  <c r="BO136" i="17"/>
  <c r="BO116" i="17" s="1"/>
  <c r="BO15" i="12"/>
  <c r="BO62" i="12"/>
  <c r="BO54" i="12"/>
  <c r="BO65" i="12"/>
  <c r="BO40" i="12"/>
  <c r="BG439" i="12"/>
  <c r="BG437" i="12"/>
  <c r="BG438" i="12"/>
  <c r="P14" i="12"/>
  <c r="P49" i="12" s="1"/>
  <c r="BQ40" i="12"/>
  <c r="BQ65" i="12"/>
  <c r="BQ62" i="12"/>
  <c r="BQ54" i="12"/>
  <c r="BQ43" i="12"/>
  <c r="BQ136" i="17"/>
  <c r="BQ116" i="17" s="1"/>
  <c r="BQ49" i="12"/>
  <c r="BQ69" i="12"/>
  <c r="BE62" i="12"/>
  <c r="BE49" i="12"/>
  <c r="G301" i="12"/>
  <c r="G11" i="12"/>
  <c r="H11" i="12"/>
  <c r="W28" i="12"/>
  <c r="DJ306" i="12"/>
  <c r="DJ305" i="12"/>
  <c r="N42" i="12"/>
  <c r="N32" i="11"/>
  <c r="CQ437" i="12"/>
  <c r="CM438" i="12"/>
  <c r="CM439" i="12"/>
  <c r="DF305" i="12"/>
  <c r="DB306" i="12"/>
  <c r="DA31" i="12"/>
  <c r="DA65" i="12" s="1"/>
  <c r="CN85" i="22"/>
  <c r="DA301" i="12"/>
  <c r="DA303" i="12" s="1"/>
  <c r="DA136" i="17"/>
  <c r="DA116" i="17" s="1"/>
  <c r="CN84" i="22"/>
  <c r="DA26" i="12"/>
  <c r="CW26" i="12"/>
  <c r="CW31" i="12"/>
  <c r="CW62" i="12" s="1"/>
  <c r="CW136" i="17"/>
  <c r="CW116" i="17" s="1"/>
  <c r="CW120" i="17"/>
  <c r="CJ84" i="22"/>
  <c r="CW301" i="12"/>
  <c r="CW334" i="12" s="1"/>
  <c r="CJ85" i="22"/>
  <c r="CS31" i="12"/>
  <c r="CF85" i="22"/>
  <c r="CF84" i="22"/>
  <c r="CS301" i="12"/>
  <c r="CS302" i="12" s="1"/>
  <c r="AZ65" i="12"/>
  <c r="AZ49" i="12"/>
  <c r="AZ54" i="12"/>
  <c r="AZ62" i="12"/>
  <c r="CE438" i="12"/>
  <c r="CE437" i="12"/>
  <c r="CE439" i="12"/>
  <c r="CB439" i="12"/>
  <c r="CB438" i="12"/>
  <c r="CA437" i="12"/>
  <c r="BK437" i="12"/>
  <c r="BK439" i="12"/>
  <c r="BK15" i="12"/>
  <c r="BG62" i="12"/>
  <c r="CC43" i="12"/>
  <c r="CC69" i="12"/>
  <c r="CC49" i="12"/>
  <c r="CC54" i="12"/>
  <c r="BQ302" i="12"/>
  <c r="BQ303" i="12"/>
  <c r="BN303" i="12"/>
  <c r="BM302" i="12"/>
  <c r="N436" i="12"/>
  <c r="N12" i="12" s="1"/>
  <c r="U77" i="8"/>
  <c r="U92" i="8"/>
  <c r="DD58" i="8"/>
  <c r="S44" i="8"/>
  <c r="DF186" i="7"/>
  <c r="DB79" i="8"/>
  <c r="DH58" i="8"/>
  <c r="DH59" i="8"/>
  <c r="CG76" i="8"/>
  <c r="CG79" i="8" s="1"/>
  <c r="CF79" i="8"/>
  <c r="T44" i="8"/>
  <c r="CC76" i="8"/>
  <c r="CA144" i="6"/>
  <c r="O127" i="6"/>
  <c r="O144" i="6" s="1"/>
  <c r="CQ58" i="8"/>
  <c r="CQ59" i="8"/>
  <c r="CM58" i="8"/>
  <c r="CM59" i="8"/>
  <c r="P92" i="8"/>
  <c r="P77" i="8"/>
  <c r="DE76" i="7"/>
  <c r="DE112" i="7" s="1"/>
  <c r="DE119" i="7" s="1"/>
  <c r="V20" i="7"/>
  <c r="V76" i="7" s="1"/>
  <c r="V77" i="7" s="1"/>
  <c r="H15" i="5" s="1"/>
  <c r="CS50" i="7"/>
  <c r="CS62" i="7" s="1"/>
  <c r="DC184" i="7"/>
  <c r="CP62" i="7"/>
  <c r="DJ76" i="7"/>
  <c r="DK77" i="7" s="1"/>
  <c r="Q94" i="8"/>
  <c r="DE62" i="7"/>
  <c r="CC76" i="7"/>
  <c r="CC77" i="7" s="1"/>
  <c r="P20" i="7"/>
  <c r="DJ62" i="7"/>
  <c r="DJ63" i="7" s="1"/>
  <c r="CE118" i="6"/>
  <c r="CZ90" i="8"/>
  <c r="CY90" i="8"/>
  <c r="DA90" i="8"/>
  <c r="CX90" i="8"/>
  <c r="DL118" i="6"/>
  <c r="DC118" i="6"/>
  <c r="Q107" i="6"/>
  <c r="N68" i="6"/>
  <c r="N74" i="8"/>
  <c r="J76" i="22"/>
  <c r="J87" i="22" s="1"/>
  <c r="CE186" i="7"/>
  <c r="CE190" i="7"/>
  <c r="DG12" i="17"/>
  <c r="DK12" i="17"/>
  <c r="DA14" i="17"/>
  <c r="BQ77" i="22"/>
  <c r="CE60" i="6"/>
  <c r="CD95" i="7"/>
  <c r="CD94" i="7"/>
  <c r="CD20" i="17"/>
  <c r="BQ61" i="22"/>
  <c r="CA63" i="6"/>
  <c r="CA61" i="6"/>
  <c r="S117" i="6"/>
  <c r="S116" i="6"/>
  <c r="T116" i="6"/>
  <c r="S121" i="6"/>
  <c r="N116" i="6"/>
  <c r="N121" i="6"/>
  <c r="O116" i="6"/>
  <c r="BW118" i="6"/>
  <c r="BW120" i="6"/>
  <c r="V75" i="8"/>
  <c r="W85" i="6"/>
  <c r="DL12" i="17"/>
  <c r="X162" i="6"/>
  <c r="X202" i="7" s="1"/>
  <c r="X74" i="8"/>
  <c r="X89" i="8"/>
  <c r="DI12" i="17"/>
  <c r="DE12" i="17"/>
  <c r="DG186" i="7"/>
  <c r="DK190" i="7"/>
  <c r="DG193" i="7"/>
  <c r="DG190" i="7"/>
  <c r="V178" i="7"/>
  <c r="CT190" i="7"/>
  <c r="CP186" i="7"/>
  <c r="CP193" i="7"/>
  <c r="R178" i="7"/>
  <c r="DB120" i="6"/>
  <c r="DB118" i="6"/>
  <c r="CI120" i="6"/>
  <c r="CM118" i="6"/>
  <c r="CP190" i="7"/>
  <c r="DH90" i="8"/>
  <c r="DD90" i="8"/>
  <c r="DI90" i="8"/>
  <c r="DQ90" i="8"/>
  <c r="DJ90" i="8"/>
  <c r="DE90" i="8"/>
  <c r="DG90" i="8"/>
  <c r="DL90" i="8"/>
  <c r="DN90" i="8"/>
  <c r="DM90" i="8"/>
  <c r="DC90" i="8"/>
  <c r="DK90" i="8"/>
  <c r="DO90" i="8"/>
  <c r="DF90" i="8"/>
  <c r="DB90" i="8"/>
  <c r="DP90" i="8"/>
  <c r="DE190" i="7"/>
  <c r="DI190" i="7"/>
  <c r="O74" i="8"/>
  <c r="O68" i="6"/>
  <c r="S74" i="8"/>
  <c r="S162" i="6"/>
  <c r="S202" i="7" s="1"/>
  <c r="T68" i="6"/>
  <c r="CO193" i="7"/>
  <c r="CS190" i="7"/>
  <c r="U178" i="7"/>
  <c r="CT12" i="17"/>
  <c r="CX12" i="17"/>
  <c r="CA56" i="6"/>
  <c r="CA54" i="6"/>
  <c r="CA55" i="6"/>
  <c r="P68" i="6"/>
  <c r="W162" i="6"/>
  <c r="W202" i="7" s="1"/>
  <c r="W74" i="8"/>
  <c r="W89" i="8"/>
  <c r="W68" i="6"/>
  <c r="CS12" i="17"/>
  <c r="CO12" i="17"/>
  <c r="CO14" i="17"/>
  <c r="CP14" i="17"/>
  <c r="CP12" i="17"/>
  <c r="CY118" i="6"/>
  <c r="CA120" i="6"/>
  <c r="O117" i="6"/>
  <c r="CI190" i="7"/>
  <c r="CT14" i="17"/>
  <c r="CI42" i="17"/>
  <c r="CI43" i="17" s="1"/>
  <c r="CU103" i="11"/>
  <c r="P40" i="17"/>
  <c r="DH17" i="16"/>
  <c r="BY36" i="11"/>
  <c r="BY37" i="11" s="1"/>
  <c r="CF42" i="17"/>
  <c r="CF43" i="17" s="1"/>
  <c r="T27" i="16"/>
  <c r="Q104" i="13"/>
  <c r="CY36" i="11"/>
  <c r="CY37" i="11" s="1"/>
  <c r="BW36" i="11"/>
  <c r="BW37" i="11" s="1"/>
  <c r="CW21" i="16"/>
  <c r="DI21" i="16"/>
  <c r="CP61" i="12"/>
  <c r="R27" i="16"/>
  <c r="BY79" i="11"/>
  <c r="DF47" i="17"/>
  <c r="CP28" i="16"/>
  <c r="BF56" i="12"/>
  <c r="U16" i="16"/>
  <c r="BU44" i="11"/>
  <c r="BU45" i="11" s="1"/>
  <c r="BU46" i="11" s="1"/>
  <c r="BY55" i="11"/>
  <c r="DE47" i="17"/>
  <c r="DE48" i="17" s="1"/>
  <c r="CN80" i="12"/>
  <c r="BP71" i="12"/>
  <c r="CT28" i="16"/>
  <c r="DN177" i="12"/>
  <c r="CP101" i="12"/>
  <c r="CP102" i="12" s="1"/>
  <c r="DK177" i="12"/>
  <c r="CX119" i="22" s="1"/>
  <c r="CU127" i="12"/>
  <c r="CU128" i="12" s="1"/>
  <c r="BL196" i="12"/>
  <c r="CV39" i="14"/>
  <c r="CV40" i="14"/>
  <c r="CW39" i="14"/>
  <c r="DC40" i="14"/>
  <c r="DL57" i="14"/>
  <c r="DL56" i="14"/>
  <c r="BX129" i="17"/>
  <c r="U109" i="17"/>
  <c r="U131" i="17"/>
  <c r="DD119" i="17"/>
  <c r="CZ120" i="17"/>
  <c r="CZ129" i="17"/>
  <c r="M115" i="17"/>
  <c r="R108" i="17"/>
  <c r="R131" i="17" s="1"/>
  <c r="CZ119" i="17"/>
  <c r="CH119" i="17"/>
  <c r="BR129" i="17"/>
  <c r="DJ129" i="17"/>
  <c r="CC43" i="14"/>
  <c r="CD41" i="14"/>
  <c r="BP31" i="22"/>
  <c r="CC44" i="14"/>
  <c r="CB93" i="14"/>
  <c r="BO30" i="22"/>
  <c r="S40" i="17"/>
  <c r="CA107" i="13"/>
  <c r="CA118" i="13" s="1"/>
  <c r="CA121" i="13" s="1"/>
  <c r="CA127" i="13" s="1"/>
  <c r="CY371" i="13"/>
  <c r="CD129" i="17"/>
  <c r="L127" i="17"/>
  <c r="L108" i="17"/>
  <c r="CS129" i="17"/>
  <c r="CO129" i="17"/>
  <c r="DO167" i="7"/>
  <c r="DO169" i="7" s="1"/>
  <c r="DO175" i="7" s="1"/>
  <c r="DO172" i="7"/>
  <c r="DO185" i="7" s="1"/>
  <c r="DN119" i="15"/>
  <c r="DO119" i="15"/>
  <c r="DL28" i="15"/>
  <c r="DP28" i="15"/>
  <c r="DK434" i="12"/>
  <c r="DO434" i="12"/>
  <c r="DK299" i="12"/>
  <c r="CB33" i="7"/>
  <c r="CB34" i="7" s="1"/>
  <c r="DH87" i="7"/>
  <c r="DH90" i="7"/>
  <c r="CU102" i="22" s="1"/>
  <c r="CF33" i="7"/>
  <c r="CF34" i="7" s="1"/>
  <c r="S31" i="11"/>
  <c r="DP109" i="17"/>
  <c r="DL44" i="17"/>
  <c r="DL109" i="17"/>
  <c r="W108" i="17"/>
  <c r="BZ118" i="6"/>
  <c r="N117" i="6"/>
  <c r="CD118" i="6"/>
  <c r="BZ120" i="6"/>
  <c r="CZ12" i="17"/>
  <c r="DD12" i="17"/>
  <c r="CZ14" i="17"/>
  <c r="CV190" i="7"/>
  <c r="DK315" i="12"/>
  <c r="CB45" i="22"/>
  <c r="CB50" i="22" s="1"/>
  <c r="CO82" i="13"/>
  <c r="CO133" i="13"/>
  <c r="CO85" i="13"/>
  <c r="CI13" i="11"/>
  <c r="CI18" i="11" s="1"/>
  <c r="CO110" i="17"/>
  <c r="CO88" i="13"/>
  <c r="CB79" i="22"/>
  <c r="CL10" i="6"/>
  <c r="DB124" i="22"/>
  <c r="CZ120" i="15"/>
  <c r="CV120" i="15"/>
  <c r="R92" i="8"/>
  <c r="R77" i="8"/>
  <c r="R44" i="8"/>
  <c r="DO472" i="12"/>
  <c r="DK472" i="12"/>
  <c r="CR56" i="17"/>
  <c r="Q78" i="8"/>
  <c r="O45" i="6"/>
  <c r="O44" i="6"/>
  <c r="P43" i="6"/>
  <c r="O43" i="6"/>
  <c r="CM12" i="17"/>
  <c r="CI12" i="17"/>
  <c r="CB186" i="7"/>
  <c r="CB190" i="7"/>
  <c r="BV76" i="15"/>
  <c r="CB39" i="15"/>
  <c r="L86" i="15"/>
  <c r="L85" i="15"/>
  <c r="Q24" i="22"/>
  <c r="V23" i="15"/>
  <c r="CJ65" i="12"/>
  <c r="W53" i="8"/>
  <c r="DP71" i="15"/>
  <c r="DM91" i="7"/>
  <c r="CG182" i="7"/>
  <c r="V50" i="7"/>
  <c r="DE24" i="16"/>
  <c r="DE41" i="16" s="1"/>
  <c r="DB103" i="11"/>
  <c r="CH26" i="13"/>
  <c r="CF17" i="13"/>
  <c r="T103" i="11"/>
  <c r="CK127" i="17"/>
  <c r="CO127" i="17"/>
  <c r="DP48" i="16"/>
  <c r="DP23" i="16" s="1"/>
  <c r="CW59" i="8"/>
  <c r="CW58" i="8"/>
  <c r="CD54" i="6"/>
  <c r="CD56" i="6"/>
  <c r="CH54" i="6"/>
  <c r="CD55" i="6"/>
  <c r="CF144" i="6"/>
  <c r="P127" i="6"/>
  <c r="P144" i="6" s="1"/>
  <c r="CZ190" i="7"/>
  <c r="CZ186" i="7"/>
  <c r="CZ193" i="7"/>
  <c r="DD190" i="7"/>
  <c r="DP113" i="13"/>
  <c r="P85" i="6"/>
  <c r="O85" i="6"/>
  <c r="O75" i="8"/>
  <c r="O86" i="6"/>
  <c r="CU147" i="17"/>
  <c r="CY147" i="17"/>
  <c r="BO55" i="17"/>
  <c r="BN55" i="17"/>
  <c r="K85" i="15"/>
  <c r="K86" i="15"/>
  <c r="BW84" i="15"/>
  <c r="BV85" i="15"/>
  <c r="W28" i="15"/>
  <c r="CN107" i="8"/>
  <c r="CN81" i="12"/>
  <c r="DO70" i="15"/>
  <c r="L36" i="37" s="1"/>
  <c r="DH109" i="11"/>
  <c r="DO66" i="15"/>
  <c r="DN150" i="15"/>
  <c r="DN155" i="15" s="1"/>
  <c r="DN115" i="17"/>
  <c r="DP76" i="13"/>
  <c r="M28" i="37" s="1"/>
  <c r="CT69" i="12"/>
  <c r="CT72" i="12" s="1"/>
  <c r="CN14" i="11"/>
  <c r="CN59" i="11" s="1"/>
  <c r="CN68" i="11" s="1"/>
  <c r="DA90" i="7"/>
  <c r="CN102" i="22" s="1"/>
  <c r="DF91" i="7"/>
  <c r="CG179" i="7"/>
  <c r="DA83" i="7"/>
  <c r="DA85" i="7" s="1"/>
  <c r="CH62" i="7"/>
  <c r="DD56" i="17"/>
  <c r="BU127" i="17"/>
  <c r="BU128" i="17"/>
  <c r="DF59" i="8"/>
  <c r="DF58" i="8"/>
  <c r="CC127" i="17"/>
  <c r="BY127" i="17"/>
  <c r="CG35" i="11"/>
  <c r="CG36" i="11" s="1"/>
  <c r="CG37" i="11" s="1"/>
  <c r="Q23" i="16"/>
  <c r="F19" i="37"/>
  <c r="DI115" i="17"/>
  <c r="DI110" i="8"/>
  <c r="DI118" i="17"/>
  <c r="DI119" i="17" s="1"/>
  <c r="DI49" i="17"/>
  <c r="DA54" i="6"/>
  <c r="CW54" i="6"/>
  <c r="CJ144" i="6"/>
  <c r="N129" i="17"/>
  <c r="BM55" i="17"/>
  <c r="BL55" i="17"/>
  <c r="I55" i="17"/>
  <c r="V19" i="15"/>
  <c r="Q8" i="22"/>
  <c r="Q9" i="22" s="1"/>
  <c r="Q13" i="22" s="1"/>
  <c r="Q22" i="22" s="1"/>
  <c r="Q23" i="22" s="1"/>
  <c r="V109" i="11"/>
  <c r="V112" i="15"/>
  <c r="V76" i="15"/>
  <c r="W65" i="15"/>
  <c r="V111" i="17"/>
  <c r="W66" i="15"/>
  <c r="Q92" i="8"/>
  <c r="Q77" i="8"/>
  <c r="DK156" i="15"/>
  <c r="BS61" i="22"/>
  <c r="CF20" i="17"/>
  <c r="CF94" i="7"/>
  <c r="CC61" i="6"/>
  <c r="CC63" i="6"/>
  <c r="CF95" i="7"/>
  <c r="CC60" i="6"/>
  <c r="BS77" i="22"/>
  <c r="CY117" i="15"/>
  <c r="CI27" i="11"/>
  <c r="CI28" i="11" s="1"/>
  <c r="CX26" i="11"/>
  <c r="CX27" i="11" s="1"/>
  <c r="CX28" i="11" s="1"/>
  <c r="CO24" i="16"/>
  <c r="CI44" i="11" s="1"/>
  <c r="V22" i="11"/>
  <c r="CI35" i="11"/>
  <c r="CI36" i="11" s="1"/>
  <c r="CI37" i="11" s="1"/>
  <c r="CS21" i="16"/>
  <c r="DE17" i="16"/>
  <c r="CN40" i="11"/>
  <c r="DB56" i="17"/>
  <c r="DB57" i="17" s="1"/>
  <c r="U31" i="11"/>
  <c r="CE36" i="11"/>
  <c r="CE37" i="11" s="1"/>
  <c r="CH113" i="13"/>
  <c r="Q20" i="16"/>
  <c r="CI40" i="11"/>
  <c r="T40" i="11"/>
  <c r="T22" i="11"/>
  <c r="CK24" i="16"/>
  <c r="CK37" i="16" s="1"/>
  <c r="DC371" i="13"/>
  <c r="S22" i="11"/>
  <c r="CX376" i="13"/>
  <c r="O22" i="11"/>
  <c r="CY372" i="13"/>
  <c r="CB107" i="13"/>
  <c r="CB118" i="13" s="1"/>
  <c r="CB121" i="13" s="1"/>
  <c r="CB127" i="13" s="1"/>
  <c r="CB130" i="13" s="1"/>
  <c r="CE40" i="11"/>
  <c r="CY113" i="13"/>
  <c r="R31" i="11"/>
  <c r="Q49" i="11"/>
  <c r="CH27" i="13"/>
  <c r="CD27" i="13"/>
  <c r="CA110" i="17"/>
  <c r="CD30" i="13"/>
  <c r="CH31" i="13" s="1"/>
  <c r="N25" i="13"/>
  <c r="O26" i="13" s="1"/>
  <c r="BN79" i="22"/>
  <c r="N22" i="13"/>
  <c r="M25" i="13"/>
  <c r="DN47" i="14"/>
  <c r="K37" i="37" s="1"/>
  <c r="CC39" i="14"/>
  <c r="CF40" i="14"/>
  <c r="CB39" i="14"/>
  <c r="DO21" i="14"/>
  <c r="DO40" i="14"/>
  <c r="DK40" i="14"/>
  <c r="DL39" i="14"/>
  <c r="DK39" i="14"/>
  <c r="BP30" i="22"/>
  <c r="CC93" i="14"/>
  <c r="DF39" i="14"/>
  <c r="DF40" i="14"/>
  <c r="DG39" i="14"/>
  <c r="DJ40" i="14"/>
  <c r="CV76" i="8"/>
  <c r="CV79" i="8" s="1"/>
  <c r="CV35" i="8"/>
  <c r="CM43" i="13"/>
  <c r="CM44" i="13"/>
  <c r="V104" i="13"/>
  <c r="Q31" i="11"/>
  <c r="CV59" i="17"/>
  <c r="CV60" i="17" s="1"/>
  <c r="S14" i="20"/>
  <c r="AA112" i="13"/>
  <c r="AB113" i="13" s="1"/>
  <c r="S23" i="19"/>
  <c r="DC42" i="17"/>
  <c r="DC43" i="17" s="1"/>
  <c r="CL42" i="17"/>
  <c r="CL43" i="17" s="1"/>
  <c r="CW24" i="16"/>
  <c r="CQ44" i="11" s="1"/>
  <c r="CP103" i="11"/>
  <c r="CC107" i="13"/>
  <c r="CC118" i="13" s="1"/>
  <c r="CV26" i="17"/>
  <c r="CV50" i="17" s="1"/>
  <c r="S20" i="16"/>
  <c r="CO17" i="16"/>
  <c r="CV42" i="17"/>
  <c r="CV43" i="17" s="1"/>
  <c r="CG42" i="17"/>
  <c r="CW42" i="17"/>
  <c r="CW43" i="17" s="1"/>
  <c r="DA113" i="13"/>
  <c r="BZ42" i="17"/>
  <c r="BZ43" i="17" s="1"/>
  <c r="V31" i="11"/>
  <c r="CZ103" i="11"/>
  <c r="U104" i="13"/>
  <c r="P104" i="13"/>
  <c r="CQ36" i="11"/>
  <c r="CQ37" i="11" s="1"/>
  <c r="CY40" i="11"/>
  <c r="T104" i="13"/>
  <c r="CL350" i="13"/>
  <c r="R104" i="13"/>
  <c r="DJ116" i="13"/>
  <c r="DJ369" i="13"/>
  <c r="DI368" i="13"/>
  <c r="DG376" i="13"/>
  <c r="DG372" i="13"/>
  <c r="DG371" i="13"/>
  <c r="DH374" i="13"/>
  <c r="DL365" i="13"/>
  <c r="CR374" i="13"/>
  <c r="CR365" i="13"/>
  <c r="CS366" i="13"/>
  <c r="CR366" i="13"/>
  <c r="CS374" i="13"/>
  <c r="CN366" i="13"/>
  <c r="CO374" i="13"/>
  <c r="CO366" i="13"/>
  <c r="CN370" i="13"/>
  <c r="CN374" i="13"/>
  <c r="CH103" i="11"/>
  <c r="CI103" i="11"/>
  <c r="CE27" i="11"/>
  <c r="CE28" i="11" s="1"/>
  <c r="CD21" i="16"/>
  <c r="BT35" i="11"/>
  <c r="L128" i="22"/>
  <c r="L127" i="22"/>
  <c r="N125" i="22"/>
  <c r="N126" i="22"/>
  <c r="CF149" i="22"/>
  <c r="CJ26" i="13"/>
  <c r="CJ27" i="13"/>
  <c r="CJ30" i="13"/>
  <c r="CC27" i="13"/>
  <c r="CC30" i="13"/>
  <c r="CC76" i="13" s="1"/>
  <c r="BP148" i="22" s="1"/>
  <c r="R127" i="22"/>
  <c r="R128" i="22"/>
  <c r="R123" i="22"/>
  <c r="AA42" i="37"/>
  <c r="CO339" i="13"/>
  <c r="CN338" i="13"/>
  <c r="CN342" i="13" s="1"/>
  <c r="CN343" i="13" s="1"/>
  <c r="CN345" i="13" s="1"/>
  <c r="CN347" i="13" s="1"/>
  <c r="DF375" i="13"/>
  <c r="DF369" i="13"/>
  <c r="BR218" i="13"/>
  <c r="BR220" i="13"/>
  <c r="CU116" i="13"/>
  <c r="CQ116" i="13"/>
  <c r="DH365" i="13"/>
  <c r="DD374" i="13"/>
  <c r="DD365" i="13"/>
  <c r="DD366" i="13"/>
  <c r="DA366" i="13"/>
  <c r="CZ370" i="13"/>
  <c r="DA374" i="13"/>
  <c r="CZ374" i="13"/>
  <c r="CZ366" i="13"/>
  <c r="CZ365" i="13"/>
  <c r="BT104" i="13"/>
  <c r="BT107" i="13" s="1"/>
  <c r="BT118" i="13" s="1"/>
  <c r="BT121" i="13" s="1"/>
  <c r="BT122" i="13" s="1"/>
  <c r="BT102" i="13"/>
  <c r="CQ40" i="11"/>
  <c r="CQ27" i="11"/>
  <c r="CQ28" i="11" s="1"/>
  <c r="BS55" i="22"/>
  <c r="CF134" i="13"/>
  <c r="CF131" i="13" s="1"/>
  <c r="BS80" i="22"/>
  <c r="P125" i="22"/>
  <c r="P126" i="22"/>
  <c r="Q126" i="22"/>
  <c r="DE366" i="13"/>
  <c r="DE368" i="13"/>
  <c r="DD26" i="11"/>
  <c r="DD27" i="11" s="1"/>
  <c r="DD28" i="11" s="1"/>
  <c r="DJ24" i="16"/>
  <c r="DJ30" i="16" s="1"/>
  <c r="DJ33" i="16" s="1"/>
  <c r="DJ17" i="16"/>
  <c r="DA370" i="13"/>
  <c r="DE371" i="13" s="1"/>
  <c r="DA368" i="13"/>
  <c r="DA369" i="13"/>
  <c r="DA375" i="13"/>
  <c r="DE82" i="13"/>
  <c r="DE88" i="13"/>
  <c r="CX113" i="13"/>
  <c r="CT113" i="13"/>
  <c r="CX103" i="11"/>
  <c r="CY103" i="11"/>
  <c r="CV374" i="13"/>
  <c r="CW366" i="13"/>
  <c r="CV370" i="13"/>
  <c r="CW374" i="13"/>
  <c r="CV365" i="13"/>
  <c r="CV366" i="13"/>
  <c r="CM40" i="11"/>
  <c r="N31" i="11"/>
  <c r="M127" i="22"/>
  <c r="M128" i="22"/>
  <c r="CX126" i="22"/>
  <c r="BZ123" i="22"/>
  <c r="CG123" i="22"/>
  <c r="CG124" i="22"/>
  <c r="CN85" i="13"/>
  <c r="CN82" i="13"/>
  <c r="CN110" i="17"/>
  <c r="CN88" i="13"/>
  <c r="CA79" i="22"/>
  <c r="CH13" i="11"/>
  <c r="CH67" i="11" s="1"/>
  <c r="CA45" i="22"/>
  <c r="CA50" i="22" s="1"/>
  <c r="CB149" i="22"/>
  <c r="CK10" i="6"/>
  <c r="CK30" i="6" s="1"/>
  <c r="CK47" i="6" s="1"/>
  <c r="CN133" i="13"/>
  <c r="P25" i="13"/>
  <c r="P20" i="13"/>
  <c r="CF26" i="13"/>
  <c r="CJ17" i="13"/>
  <c r="CF30" i="13"/>
  <c r="CF27" i="13"/>
  <c r="BY58" i="11"/>
  <c r="CG30" i="13"/>
  <c r="CH17" i="13"/>
  <c r="CL335" i="13"/>
  <c r="CP375" i="13"/>
  <c r="CT368" i="13"/>
  <c r="CQ375" i="13"/>
  <c r="CQ369" i="13"/>
  <c r="CP369" i="13"/>
  <c r="DK116" i="13"/>
  <c r="CL103" i="11"/>
  <c r="CM103" i="11"/>
  <c r="CY27" i="11"/>
  <c r="CY28" i="11" s="1"/>
  <c r="CU26" i="11"/>
  <c r="CU27" i="11" s="1"/>
  <c r="CU28" i="11" s="1"/>
  <c r="DA17" i="16"/>
  <c r="CO21" i="16"/>
  <c r="CD12" i="6"/>
  <c r="CC12" i="6"/>
  <c r="O10" i="6"/>
  <c r="CC13" i="6"/>
  <c r="CG11" i="6"/>
  <c r="N128" i="22"/>
  <c r="N127" i="22"/>
  <c r="M125" i="22"/>
  <c r="M126" i="22"/>
  <c r="CO123" i="22"/>
  <c r="P15" i="13"/>
  <c r="CB27" i="13"/>
  <c r="CU13" i="11"/>
  <c r="DA82" i="13"/>
  <c r="DA133" i="13"/>
  <c r="CX10" i="6"/>
  <c r="CN79" i="22"/>
  <c r="CN45" i="22"/>
  <c r="DA88" i="13"/>
  <c r="CN149" i="22"/>
  <c r="DA110" i="17"/>
  <c r="DA85" i="13"/>
  <c r="CX40" i="11"/>
  <c r="CF105" i="13"/>
  <c r="CJ105" i="13" s="1"/>
  <c r="CR28" i="16"/>
  <c r="CO57" i="17"/>
  <c r="DC113" i="13"/>
  <c r="CJ40" i="11"/>
  <c r="DA116" i="13"/>
  <c r="CD116" i="13"/>
  <c r="CG27" i="13"/>
  <c r="CL328" i="13"/>
  <c r="CL330" i="13" s="1"/>
  <c r="CL358" i="13"/>
  <c r="DF24" i="16"/>
  <c r="CZ44" i="11" s="1"/>
  <c r="CZ45" i="11" s="1"/>
  <c r="CZ46" i="11" s="1"/>
  <c r="CN57" i="17"/>
  <c r="CQ319" i="13"/>
  <c r="CL312" i="13"/>
  <c r="S104" i="13"/>
  <c r="S54" i="13"/>
  <c r="T54" i="13"/>
  <c r="CL337" i="13"/>
  <c r="CL342" i="13" s="1"/>
  <c r="CL333" i="13"/>
  <c r="CO350" i="13"/>
  <c r="Q27" i="16"/>
  <c r="CN26" i="17"/>
  <c r="CN50" i="17" s="1"/>
  <c r="CE105" i="13"/>
  <c r="CI105" i="13" s="1"/>
  <c r="O82" i="13"/>
  <c r="CL315" i="13"/>
  <c r="CL318" i="13"/>
  <c r="O133" i="13"/>
  <c r="O134" i="13" s="1"/>
  <c r="CT123" i="22"/>
  <c r="BS260" i="13"/>
  <c r="BS262" i="13" s="1"/>
  <c r="BY76" i="13"/>
  <c r="BM149" i="22"/>
  <c r="R357" i="13"/>
  <c r="CK26" i="13"/>
  <c r="CZ35" i="11"/>
  <c r="CZ36" i="11" s="1"/>
  <c r="CZ37" i="11" s="1"/>
  <c r="DF21" i="16"/>
  <c r="O127" i="22"/>
  <c r="O128" i="22"/>
  <c r="CK30" i="13"/>
  <c r="O31" i="11"/>
  <c r="BS220" i="13"/>
  <c r="O85" i="13"/>
  <c r="DI369" i="13"/>
  <c r="DI375" i="13"/>
  <c r="DL368" i="13"/>
  <c r="DH368" i="13"/>
  <c r="DH370" i="13"/>
  <c r="DH369" i="13"/>
  <c r="DH375" i="13"/>
  <c r="CR370" i="13"/>
  <c r="CS376" i="13" s="1"/>
  <c r="CV368" i="13"/>
  <c r="CR369" i="13"/>
  <c r="CR368" i="13"/>
  <c r="CR375" i="13"/>
  <c r="CK124" i="22"/>
  <c r="CK123" i="22"/>
  <c r="AA47" i="37"/>
  <c r="DC374" i="13"/>
  <c r="DB365" i="13"/>
  <c r="DC366" i="13"/>
  <c r="DB374" i="13"/>
  <c r="DB366" i="13"/>
  <c r="DF365" i="13"/>
  <c r="DH56" i="17"/>
  <c r="DH57" i="17" s="1"/>
  <c r="CH53" i="11"/>
  <c r="CH54" i="11" s="1"/>
  <c r="CH55" i="11" s="1"/>
  <c r="DI370" i="13"/>
  <c r="DI371" i="13" s="1"/>
  <c r="DJ366" i="13"/>
  <c r="DJ374" i="13"/>
  <c r="DI365" i="13"/>
  <c r="DI374" i="13"/>
  <c r="DI366" i="13"/>
  <c r="CT116" i="13"/>
  <c r="CX116" i="13"/>
  <c r="CJ113" i="13"/>
  <c r="CN113" i="13"/>
  <c r="CN35" i="11"/>
  <c r="CT24" i="16"/>
  <c r="CT30" i="16" s="1"/>
  <c r="CT33" i="16" s="1"/>
  <c r="CT21" i="16"/>
  <c r="CF35" i="11"/>
  <c r="CL24" i="16"/>
  <c r="CL41" i="16" s="1"/>
  <c r="BT258" i="13"/>
  <c r="BT259" i="13" s="1"/>
  <c r="BT260" i="13" s="1"/>
  <c r="BT217" i="13"/>
  <c r="BU216" i="13"/>
  <c r="CK17" i="13"/>
  <c r="CG17" i="13"/>
  <c r="CL123" i="22"/>
  <c r="CD123" i="22"/>
  <c r="CD124" i="22"/>
  <c r="CL113" i="13"/>
  <c r="CT366" i="13"/>
  <c r="CX365" i="13"/>
  <c r="CU374" i="13"/>
  <c r="CT365" i="13"/>
  <c r="CT370" i="13"/>
  <c r="CT376" i="13" s="1"/>
  <c r="CT374" i="13"/>
  <c r="CU366" i="13"/>
  <c r="O104" i="13"/>
  <c r="CB56" i="17"/>
  <c r="BS218" i="13"/>
  <c r="DA126" i="22"/>
  <c r="CG116" i="13"/>
  <c r="CK116" i="13"/>
  <c r="CM113" i="13"/>
  <c r="CI113" i="13"/>
  <c r="P127" i="22"/>
  <c r="Q128" i="22"/>
  <c r="P128" i="22"/>
  <c r="CV126" i="22"/>
  <c r="DE113" i="13"/>
  <c r="CC24" i="16"/>
  <c r="BW26" i="11"/>
  <c r="DD369" i="13"/>
  <c r="DD375" i="13"/>
  <c r="DD370" i="13"/>
  <c r="DE372" i="13" s="1"/>
  <c r="DE375" i="13"/>
  <c r="DE369" i="13"/>
  <c r="CH123" i="22"/>
  <c r="CH124" i="22"/>
  <c r="CP374" i="13"/>
  <c r="CP366" i="13"/>
  <c r="CQ366" i="13"/>
  <c r="CQ374" i="13"/>
  <c r="CJ103" i="11"/>
  <c r="CK103" i="11"/>
  <c r="DB126" i="22"/>
  <c r="CZ116" i="13"/>
  <c r="CV116" i="13"/>
  <c r="CZ113" i="13"/>
  <c r="DD113" i="13"/>
  <c r="CO113" i="13"/>
  <c r="CK113" i="13"/>
  <c r="CV35" i="11"/>
  <c r="DB24" i="16"/>
  <c r="U20" i="16"/>
  <c r="CP24" i="16"/>
  <c r="CP37" i="16" s="1"/>
  <c r="CJ35" i="11"/>
  <c r="CP21" i="16"/>
  <c r="BW40" i="11"/>
  <c r="N22" i="11"/>
  <c r="CQ334" i="13"/>
  <c r="CQ312" i="13"/>
  <c r="O102" i="13"/>
  <c r="P103" i="13"/>
  <c r="P102" i="13"/>
  <c r="O103" i="13"/>
  <c r="BV30" i="13"/>
  <c r="BV76" i="13" s="1"/>
  <c r="DA124" i="22"/>
  <c r="S127" i="22"/>
  <c r="X73" i="13"/>
  <c r="S128" i="22" s="1"/>
  <c r="CN72" i="12"/>
  <c r="V23" i="11"/>
  <c r="DA42" i="17"/>
  <c r="DA43" i="17" s="1"/>
  <c r="X358" i="12"/>
  <c r="DC137" i="22"/>
  <c r="U38" i="37"/>
  <c r="CT76" i="8"/>
  <c r="CT79" i="8" s="1"/>
  <c r="CT35" i="8"/>
  <c r="CX76" i="8"/>
  <c r="CX79" i="8" s="1"/>
  <c r="CX35" i="8"/>
  <c r="DF376" i="13"/>
  <c r="DF372" i="13"/>
  <c r="DB29" i="22"/>
  <c r="X257" i="12"/>
  <c r="L101" i="13"/>
  <c r="BV104" i="13"/>
  <c r="BV103" i="13"/>
  <c r="BU102" i="13"/>
  <c r="BU104" i="13"/>
  <c r="BU107" i="13" s="1"/>
  <c r="BU118" i="13" s="1"/>
  <c r="BU121" i="13" s="1"/>
  <c r="BU122" i="13" s="1"/>
  <c r="BV102" i="13"/>
  <c r="CW289" i="12"/>
  <c r="CW137" i="12" s="1"/>
  <c r="DF293" i="12"/>
  <c r="DN289" i="12"/>
  <c r="DR290" i="12" s="1"/>
  <c r="DJ138" i="12"/>
  <c r="V113" i="12"/>
  <c r="S32" i="22"/>
  <c r="P65" i="14"/>
  <c r="DB57" i="14"/>
  <c r="DB56" i="14"/>
  <c r="CQ56" i="14"/>
  <c r="Q37" i="13"/>
  <c r="CO41" i="13"/>
  <c r="AA721" i="12"/>
  <c r="DA293" i="12"/>
  <c r="P118" i="12"/>
  <c r="BT195" i="12"/>
  <c r="BU196" i="12" s="1"/>
  <c r="BU199" i="12"/>
  <c r="P215" i="12"/>
  <c r="DD138" i="22"/>
  <c r="X117" i="6"/>
  <c r="W117" i="6"/>
  <c r="BZ76" i="8"/>
  <c r="BZ79" i="8" s="1"/>
  <c r="BZ35" i="8"/>
  <c r="CL35" i="8"/>
  <c r="CL76" i="8"/>
  <c r="O18" i="8"/>
  <c r="CD17" i="8"/>
  <c r="CI17" i="8"/>
  <c r="P18" i="8"/>
  <c r="Q17" i="8"/>
  <c r="CO26" i="17"/>
  <c r="CO29" i="17" s="1"/>
  <c r="CB112" i="7"/>
  <c r="CB119" i="7" s="1"/>
  <c r="CB77" i="7"/>
  <c r="CG195" i="7"/>
  <c r="N76" i="7"/>
  <c r="N77" i="7" s="1"/>
  <c r="DK113" i="7"/>
  <c r="W27" i="7"/>
  <c r="U196" i="7"/>
  <c r="CF87" i="7"/>
  <c r="CD62" i="7"/>
  <c r="CW76" i="7"/>
  <c r="CG62" i="7"/>
  <c r="CN62" i="7"/>
  <c r="CH177" i="7"/>
  <c r="CH179" i="7" s="1"/>
  <c r="DE195" i="7"/>
  <c r="DH197" i="7"/>
  <c r="DI167" i="7"/>
  <c r="DI169" i="7" s="1"/>
  <c r="DI175" i="7" s="1"/>
  <c r="CW181" i="7"/>
  <c r="CW165" i="7"/>
  <c r="CE87" i="7"/>
  <c r="CS195" i="7"/>
  <c r="CT177" i="7"/>
  <c r="DF177" i="7"/>
  <c r="DE182" i="7"/>
  <c r="DE179" i="7"/>
  <c r="BZ62" i="7"/>
  <c r="CE88" i="7"/>
  <c r="CE90" i="7"/>
  <c r="CR197" i="7"/>
  <c r="CS167" i="7"/>
  <c r="DF50" i="7"/>
  <c r="DF62" i="7" s="1"/>
  <c r="DF76" i="7"/>
  <c r="DF112" i="7" s="1"/>
  <c r="DF119" i="7" s="1"/>
  <c r="CP182" i="7"/>
  <c r="CO182" i="7"/>
  <c r="CP177" i="7"/>
  <c r="CP179" i="7" s="1"/>
  <c r="CO179" i="7"/>
  <c r="V62" i="7"/>
  <c r="V51" i="7"/>
  <c r="S42" i="7"/>
  <c r="S50" i="7" s="1"/>
  <c r="S51" i="7" s="1"/>
  <c r="DK182" i="7"/>
  <c r="DD87" i="7"/>
  <c r="CF62" i="7"/>
  <c r="N65" i="7"/>
  <c r="DG62" i="7"/>
  <c r="CN172" i="7"/>
  <c r="CN185" i="7" s="1"/>
  <c r="DK165" i="7"/>
  <c r="CN197" i="7"/>
  <c r="CF185" i="7"/>
  <c r="W91" i="7"/>
  <c r="CM62" i="7"/>
  <c r="CM63" i="7" s="1"/>
  <c r="CC62" i="7"/>
  <c r="CF184" i="7"/>
  <c r="W97" i="7"/>
  <c r="W98" i="7" s="1"/>
  <c r="N98" i="7"/>
  <c r="CU76" i="7"/>
  <c r="O61" i="7"/>
  <c r="O87" i="7" s="1"/>
  <c r="CN169" i="7"/>
  <c r="CN175" i="7" s="1"/>
  <c r="DI91" i="7"/>
  <c r="Q65" i="7"/>
  <c r="S90" i="7"/>
  <c r="N102" i="22" s="1"/>
  <c r="X31" i="8"/>
  <c r="CJ83" i="7"/>
  <c r="CJ85" i="7" s="1"/>
  <c r="CL83" i="7"/>
  <c r="CL85" i="7" s="1"/>
  <c r="CY33" i="7"/>
  <c r="DH33" i="7"/>
  <c r="DH34" i="7" s="1"/>
  <c r="DD169" i="7"/>
  <c r="DD175" i="7" s="1"/>
  <c r="DJ184" i="7"/>
  <c r="DJ174" i="7"/>
  <c r="CI87" i="7"/>
  <c r="DL91" i="7"/>
  <c r="CN184" i="7"/>
  <c r="P65" i="7"/>
  <c r="Q83" i="7"/>
  <c r="Q85" i="7" s="1"/>
  <c r="P61" i="7"/>
  <c r="P87" i="7" s="1"/>
  <c r="CV102" i="22"/>
  <c r="CJ62" i="7"/>
  <c r="BZ165" i="7"/>
  <c r="CC91" i="7"/>
  <c r="R90" i="7"/>
  <c r="R103" i="7" s="1"/>
  <c r="R104" i="7" s="1"/>
  <c r="S98" i="7"/>
  <c r="O65" i="7"/>
  <c r="Q87" i="7"/>
  <c r="CC87" i="7"/>
  <c r="CE62" i="7"/>
  <c r="DE33" i="7"/>
  <c r="DE63" i="7" s="1"/>
  <c r="N62" i="7"/>
  <c r="R20" i="7"/>
  <c r="O20" i="7"/>
  <c r="CW33" i="7"/>
  <c r="CW34" i="7" s="1"/>
  <c r="DH62" i="7"/>
  <c r="DC62" i="7"/>
  <c r="W42" i="7"/>
  <c r="W50" i="7" s="1"/>
  <c r="DI76" i="7"/>
  <c r="CU62" i="7"/>
  <c r="CU63" i="7" s="1"/>
  <c r="CS112" i="7"/>
  <c r="CS119" i="7" s="1"/>
  <c r="CI76" i="7"/>
  <c r="CI112" i="7" s="1"/>
  <c r="CI119" i="7" s="1"/>
  <c r="CS90" i="7"/>
  <c r="CS87" i="7"/>
  <c r="W60" i="8"/>
  <c r="V62" i="8"/>
  <c r="CZ181" i="7"/>
  <c r="CZ165" i="7"/>
  <c r="CJ181" i="7"/>
  <c r="CJ195" i="7" s="1"/>
  <c r="CJ165" i="7"/>
  <c r="CA171" i="7"/>
  <c r="CA165" i="7"/>
  <c r="T84" i="7"/>
  <c r="T94" i="8"/>
  <c r="U94" i="8"/>
  <c r="U84" i="7"/>
  <c r="U86" i="7" s="1"/>
  <c r="T62" i="7"/>
  <c r="V23" i="7"/>
  <c r="V111" i="7" s="1"/>
  <c r="V118" i="7" s="1"/>
  <c r="P27" i="7"/>
  <c r="P113" i="7" s="1"/>
  <c r="CK113" i="7"/>
  <c r="DE90" i="7"/>
  <c r="CR102" i="22" s="1"/>
  <c r="DF83" i="7"/>
  <c r="DF85" i="7" s="1"/>
  <c r="CB102" i="22"/>
  <c r="CO103" i="7"/>
  <c r="CO104" i="7" s="1"/>
  <c r="DL167" i="7"/>
  <c r="DK197" i="7"/>
  <c r="DK169" i="7"/>
  <c r="DK175" i="7" s="1"/>
  <c r="DK172" i="7"/>
  <c r="DK185" i="7" s="1"/>
  <c r="DG165" i="7"/>
  <c r="DG171" i="7"/>
  <c r="CQ171" i="7"/>
  <c r="CQ165" i="7"/>
  <c r="DB76" i="7"/>
  <c r="DB112" i="7" s="1"/>
  <c r="DB119" i="7" s="1"/>
  <c r="DH76" i="7"/>
  <c r="DH112" i="7" s="1"/>
  <c r="DH119" i="7" s="1"/>
  <c r="R62" i="8"/>
  <c r="S60" i="8"/>
  <c r="CQ33" i="7"/>
  <c r="CQ34" i="7" s="1"/>
  <c r="CR76" i="7"/>
  <c r="CR112" i="7" s="1"/>
  <c r="CR119" i="7" s="1"/>
  <c r="CR50" i="7"/>
  <c r="CR62" i="7" s="1"/>
  <c r="CK87" i="7"/>
  <c r="CB181" i="7"/>
  <c r="CB165" i="7"/>
  <c r="CY171" i="7"/>
  <c r="CY165" i="7"/>
  <c r="CI171" i="7"/>
  <c r="CI165" i="7"/>
  <c r="CP76" i="7"/>
  <c r="CP112" i="7" s="1"/>
  <c r="CP119" i="7" s="1"/>
  <c r="V60" i="8"/>
  <c r="U62" i="8"/>
  <c r="O84" i="7"/>
  <c r="DH181" i="7"/>
  <c r="DH195" i="7" s="1"/>
  <c r="DH165" i="7"/>
  <c r="CR181" i="7"/>
  <c r="CR165" i="7"/>
  <c r="CA111" i="7"/>
  <c r="CA33" i="7"/>
  <c r="CA34" i="7" s="1"/>
  <c r="BZ76" i="7"/>
  <c r="S62" i="8"/>
  <c r="T60" i="8"/>
  <c r="V84" i="7"/>
  <c r="V94" i="8"/>
  <c r="DD197" i="7"/>
  <c r="DD172" i="7"/>
  <c r="DE167" i="7"/>
  <c r="R84" i="7"/>
  <c r="R86" i="7" s="1"/>
  <c r="R94" i="8"/>
  <c r="N51" i="7"/>
  <c r="CM83" i="7"/>
  <c r="CM85" i="7" s="1"/>
  <c r="CL87" i="7"/>
  <c r="CW62" i="7"/>
  <c r="CW87" i="7"/>
  <c r="CW91" i="7"/>
  <c r="DB181" i="7"/>
  <c r="DB179" i="7" s="1"/>
  <c r="DB165" i="7"/>
  <c r="CT181" i="7"/>
  <c r="CT165" i="7"/>
  <c r="CL181" i="7"/>
  <c r="CL165" i="7"/>
  <c r="CD181" i="7"/>
  <c r="CD179" i="7" s="1"/>
  <c r="CD165" i="7"/>
  <c r="DE171" i="7"/>
  <c r="DE165" i="7"/>
  <c r="CC111" i="7"/>
  <c r="CC118" i="7" s="1"/>
  <c r="CC33" i="7"/>
  <c r="CH76" i="7"/>
  <c r="CH33" i="7"/>
  <c r="CH34" i="7" s="1"/>
  <c r="DA76" i="7"/>
  <c r="DA33" i="7"/>
  <c r="CO76" i="7"/>
  <c r="CO33" i="7"/>
  <c r="P40" i="7"/>
  <c r="O42" i="7"/>
  <c r="DC90" i="7"/>
  <c r="DC87" i="7"/>
  <c r="CQ90" i="7"/>
  <c r="CQ87" i="7"/>
  <c r="DL177" i="7"/>
  <c r="DL179" i="7" s="1"/>
  <c r="DK195" i="7"/>
  <c r="R102" i="22"/>
  <c r="W103" i="7"/>
  <c r="W104" i="7" s="1"/>
  <c r="W201" i="7"/>
  <c r="CX83" i="7"/>
  <c r="CX85" i="7" s="1"/>
  <c r="CX90" i="7"/>
  <c r="CX87" i="7"/>
  <c r="CY83" i="7"/>
  <c r="CY85" i="7" s="1"/>
  <c r="CH90" i="7"/>
  <c r="CH87" i="7"/>
  <c r="CI83" i="7"/>
  <c r="CI85" i="7" s="1"/>
  <c r="CH88" i="7"/>
  <c r="DK83" i="7"/>
  <c r="DK85" i="7" s="1"/>
  <c r="DJ90" i="7"/>
  <c r="DJ83" i="7"/>
  <c r="DJ85" i="7" s="1"/>
  <c r="DE87" i="7"/>
  <c r="S65" i="7"/>
  <c r="S61" i="7"/>
  <c r="S87" i="7" s="1"/>
  <c r="CL111" i="7"/>
  <c r="CL118" i="7" s="1"/>
  <c r="CL33" i="7"/>
  <c r="R196" i="7"/>
  <c r="R23" i="7"/>
  <c r="R111" i="7" s="1"/>
  <c r="R118" i="7" s="1"/>
  <c r="CK165" i="7"/>
  <c r="CK171" i="7"/>
  <c r="CG171" i="7"/>
  <c r="CG165" i="7"/>
  <c r="CC171" i="7"/>
  <c r="CC165" i="7"/>
  <c r="CN33" i="7"/>
  <c r="CN76" i="7"/>
  <c r="CN112" i="7" s="1"/>
  <c r="CN119" i="7" s="1"/>
  <c r="DG33" i="7"/>
  <c r="DG76" i="7"/>
  <c r="N62" i="8"/>
  <c r="O60" i="8"/>
  <c r="CO87" i="7"/>
  <c r="CO91" i="7"/>
  <c r="CY76" i="7"/>
  <c r="V103" i="7"/>
  <c r="V104" i="7" s="1"/>
  <c r="V91" i="7"/>
  <c r="V201" i="7"/>
  <c r="Q102" i="22"/>
  <c r="DI111" i="7"/>
  <c r="DI118" i="7" s="1"/>
  <c r="DI33" i="7"/>
  <c r="DI62" i="7"/>
  <c r="CU83" i="7"/>
  <c r="CU85" i="7" s="1"/>
  <c r="CT83" i="7"/>
  <c r="CT85" i="7" s="1"/>
  <c r="CT87" i="7"/>
  <c r="CD83" i="7"/>
  <c r="CD85" i="7" s="1"/>
  <c r="CD88" i="7"/>
  <c r="CE83" i="7"/>
  <c r="CE85" i="7" s="1"/>
  <c r="U90" i="7"/>
  <c r="DB111" i="7"/>
  <c r="DB118" i="7" s="1"/>
  <c r="DB33" i="7"/>
  <c r="BZ182" i="7"/>
  <c r="BZ179" i="7"/>
  <c r="CA182" i="7"/>
  <c r="CA177" i="7"/>
  <c r="CA179" i="7" s="1"/>
  <c r="DA165" i="7"/>
  <c r="DA171" i="7"/>
  <c r="O23" i="7"/>
  <c r="O111" i="7" s="1"/>
  <c r="O118" i="7" s="1"/>
  <c r="O196" i="7"/>
  <c r="DD112" i="7"/>
  <c r="DD119" i="7" s="1"/>
  <c r="CJ76" i="7"/>
  <c r="CJ33" i="7"/>
  <c r="DC76" i="7"/>
  <c r="DD77" i="7" s="1"/>
  <c r="DC33" i="7"/>
  <c r="DC34" i="7" s="1"/>
  <c r="CW112" i="7"/>
  <c r="CW119" i="7" s="1"/>
  <c r="CK76" i="7"/>
  <c r="CK33" i="7"/>
  <c r="Q98" i="7"/>
  <c r="P98" i="7"/>
  <c r="Q60" i="8"/>
  <c r="P62" i="8"/>
  <c r="P90" i="7"/>
  <c r="DG90" i="7"/>
  <c r="DG87" i="7"/>
  <c r="DG83" i="7"/>
  <c r="DG85" i="7" s="1"/>
  <c r="CM87" i="7"/>
  <c r="CM90" i="7"/>
  <c r="CA87" i="7"/>
  <c r="CA90" i="7"/>
  <c r="CO62" i="7"/>
  <c r="DI181" i="7"/>
  <c r="DI165" i="7"/>
  <c r="CE188" i="7"/>
  <c r="CE174" i="7"/>
  <c r="CE184" i="7"/>
  <c r="CP83" i="7"/>
  <c r="CP85" i="7" s="1"/>
  <c r="CP90" i="7"/>
  <c r="CP87" i="7"/>
  <c r="CQ83" i="7"/>
  <c r="CQ85" i="7" s="1"/>
  <c r="BZ90" i="7"/>
  <c r="BZ83" i="7"/>
  <c r="BZ85" i="7" s="1"/>
  <c r="CA83" i="7"/>
  <c r="CA85" i="7" s="1"/>
  <c r="BZ87" i="7"/>
  <c r="V65" i="7"/>
  <c r="U61" i="7"/>
  <c r="U62" i="7" s="1"/>
  <c r="U65" i="7"/>
  <c r="DF181" i="7"/>
  <c r="DF165" i="7"/>
  <c r="CS171" i="7"/>
  <c r="CS165" i="7"/>
  <c r="CO171" i="7"/>
  <c r="CO165" i="7"/>
  <c r="P23" i="7"/>
  <c r="P111" i="7" s="1"/>
  <c r="P118" i="7" s="1"/>
  <c r="P196" i="7"/>
  <c r="N196" i="7"/>
  <c r="N23" i="7"/>
  <c r="O62" i="8"/>
  <c r="P60" i="8"/>
  <c r="CS33" i="7"/>
  <c r="CS34" i="7" s="1"/>
  <c r="R65" i="7"/>
  <c r="R61" i="7"/>
  <c r="CQ50" i="7"/>
  <c r="CQ62" i="7" s="1"/>
  <c r="CQ76" i="7"/>
  <c r="CM184" i="7"/>
  <c r="CM188" i="7"/>
  <c r="V30" i="7"/>
  <c r="V113" i="7"/>
  <c r="CM174" i="7"/>
  <c r="CZ33" i="7"/>
  <c r="CZ113" i="7"/>
  <c r="DN179" i="7"/>
  <c r="CV83" i="7"/>
  <c r="CV85" i="7" s="1"/>
  <c r="CW83" i="7"/>
  <c r="CW85" i="7" s="1"/>
  <c r="CF83" i="7"/>
  <c r="CF85" i="7" s="1"/>
  <c r="CF88" i="7"/>
  <c r="CG33" i="7"/>
  <c r="CG113" i="7"/>
  <c r="O27" i="7"/>
  <c r="O113" i="7" s="1"/>
  <c r="CR83" i="7"/>
  <c r="CR85" i="7" s="1"/>
  <c r="CS83" i="7"/>
  <c r="CS85" i="7" s="1"/>
  <c r="CC83" i="7"/>
  <c r="CC85" i="7" s="1"/>
  <c r="CB83" i="7"/>
  <c r="CB85" i="7" s="1"/>
  <c r="DE83" i="7"/>
  <c r="DE85" i="7" s="1"/>
  <c r="DD83" i="7"/>
  <c r="DD85" i="7" s="1"/>
  <c r="CN83" i="7"/>
  <c r="CN85" i="7" s="1"/>
  <c r="CO83" i="7"/>
  <c r="CO85" i="7" s="1"/>
  <c r="S83" i="7"/>
  <c r="S85" i="7" s="1"/>
  <c r="CX113" i="7"/>
  <c r="CX33" i="7"/>
  <c r="CD113" i="7"/>
  <c r="CD33" i="7"/>
  <c r="DK91" i="7"/>
  <c r="DK87" i="7"/>
  <c r="W33" i="7"/>
  <c r="W34" i="7" s="1"/>
  <c r="R83" i="7"/>
  <c r="BZ113" i="7"/>
  <c r="BZ33" i="7"/>
  <c r="DK62" i="7"/>
  <c r="T90" i="7"/>
  <c r="U83" i="7"/>
  <c r="DI73" i="6"/>
  <c r="W72" i="6"/>
  <c r="T87" i="7"/>
  <c r="CT113" i="7"/>
  <c r="CT33" i="7"/>
  <c r="DF33" i="7"/>
  <c r="W113" i="7"/>
  <c r="W30" i="7"/>
  <c r="CZ73" i="6"/>
  <c r="CP113" i="7"/>
  <c r="CP33" i="7"/>
  <c r="CF112" i="7"/>
  <c r="CF119" i="7" s="1"/>
  <c r="CF77" i="7"/>
  <c r="CI113" i="7"/>
  <c r="CI33" i="7"/>
  <c r="BY102" i="22"/>
  <c r="CL103" i="7"/>
  <c r="CL104" i="7" s="1"/>
  <c r="CL91" i="7"/>
  <c r="DL113" i="7"/>
  <c r="DL33" i="7"/>
  <c r="O90" i="7"/>
  <c r="P83" i="7"/>
  <c r="CW73" i="6"/>
  <c r="T73" i="6" s="1"/>
  <c r="T72" i="6"/>
  <c r="U30" i="7"/>
  <c r="U113" i="7"/>
  <c r="CQ102" i="22"/>
  <c r="DD91" i="7"/>
  <c r="P47" i="7"/>
  <c r="Q46" i="7"/>
  <c r="Q103" i="7"/>
  <c r="Q104" i="7" s="1"/>
  <c r="L102" i="22"/>
  <c r="Q201" i="7"/>
  <c r="Q91" i="7"/>
  <c r="N90" i="7"/>
  <c r="O83" i="7"/>
  <c r="N83" i="7"/>
  <c r="N85" i="7" s="1"/>
  <c r="N87" i="7"/>
  <c r="DI188" i="7"/>
  <c r="DI174" i="7"/>
  <c r="DI184" i="7"/>
  <c r="DM76" i="7"/>
  <c r="CG102" i="22"/>
  <c r="CT103" i="7"/>
  <c r="CT104" i="7" s="1"/>
  <c r="CT91" i="7"/>
  <c r="DA103" i="7"/>
  <c r="DA104" i="7" s="1"/>
  <c r="DL171" i="7"/>
  <c r="DM172" i="7" s="1"/>
  <c r="DL165" i="7"/>
  <c r="CU34" i="7"/>
  <c r="CD165" i="12"/>
  <c r="O163" i="12"/>
  <c r="BR262" i="13"/>
  <c r="BR104" i="13"/>
  <c r="BS102" i="13"/>
  <c r="BS104" i="13"/>
  <c r="BS107" i="13" s="1"/>
  <c r="BS118" i="13" s="1"/>
  <c r="BS121" i="13" s="1"/>
  <c r="BS122" i="13" s="1"/>
  <c r="CP332" i="13"/>
  <c r="CP358" i="13"/>
  <c r="CP349" i="13"/>
  <c r="CP328" i="13"/>
  <c r="CP330" i="13" s="1"/>
  <c r="CP307" i="13"/>
  <c r="CP335" i="13"/>
  <c r="CP312" i="13"/>
  <c r="CQ326" i="13"/>
  <c r="DC372" i="13"/>
  <c r="DC376" i="13"/>
  <c r="DB371" i="13"/>
  <c r="DF371" i="13"/>
  <c r="CO14" i="13"/>
  <c r="Q14" i="13" s="1"/>
  <c r="Q15" i="13" s="1"/>
  <c r="CP15" i="13"/>
  <c r="CP14" i="13" s="1"/>
  <c r="BZ76" i="13"/>
  <c r="BM148" i="22" s="1"/>
  <c r="CS322" i="13"/>
  <c r="CS319" i="13" s="1"/>
  <c r="CS326" i="13" s="1"/>
  <c r="CR319" i="13"/>
  <c r="CR326" i="13" s="1"/>
  <c r="BY102" i="13"/>
  <c r="BZ104" i="13"/>
  <c r="BZ102" i="13"/>
  <c r="BZ103" i="13"/>
  <c r="M101" i="13"/>
  <c r="BY103" i="13"/>
  <c r="BX102" i="13"/>
  <c r="BX103" i="13"/>
  <c r="BY104" i="13"/>
  <c r="BY107" i="13" s="1"/>
  <c r="BY118" i="13" s="1"/>
  <c r="BY121" i="13" s="1"/>
  <c r="BY122" i="13" s="1"/>
  <c r="BX104" i="13"/>
  <c r="BX107" i="13" s="1"/>
  <c r="BX118" i="13" s="1"/>
  <c r="BX121" i="13" s="1"/>
  <c r="BX122" i="13" s="1"/>
  <c r="BW104" i="13"/>
  <c r="BW103" i="13"/>
  <c r="BW102" i="13"/>
  <c r="Q40" i="17"/>
  <c r="CO42" i="17"/>
  <c r="CO43" i="17" s="1"/>
  <c r="CJ357" i="13"/>
  <c r="CJ358" i="13" s="1"/>
  <c r="CK357" i="13"/>
  <c r="CK358" i="13" s="1"/>
  <c r="CP42" i="17"/>
  <c r="CP43" i="17" s="1"/>
  <c r="DC35" i="11"/>
  <c r="CD67" i="11"/>
  <c r="CD58" i="11"/>
  <c r="X59" i="13"/>
  <c r="DB123" i="22"/>
  <c r="DJ51" i="13"/>
  <c r="V40" i="11"/>
  <c r="DJ88" i="13"/>
  <c r="DG10" i="6"/>
  <c r="DJ133" i="13"/>
  <c r="CW79" i="22"/>
  <c r="DJ82" i="13"/>
  <c r="CW149" i="22"/>
  <c r="DD13" i="11"/>
  <c r="CX149" i="22"/>
  <c r="DJ85" i="13"/>
  <c r="CW45" i="22"/>
  <c r="DD205" i="21"/>
  <c r="DB750" i="12"/>
  <c r="DB752" i="12" s="1"/>
  <c r="DB754" i="12" s="1"/>
  <c r="DB727" i="12"/>
  <c r="CT763" i="12"/>
  <c r="DI727" i="12"/>
  <c r="DC727" i="12"/>
  <c r="DK468" i="12"/>
  <c r="DL468" i="12"/>
  <c r="CA53" i="11"/>
  <c r="CA54" i="11" s="1"/>
  <c r="CA55" i="11" s="1"/>
  <c r="CL65" i="12"/>
  <c r="CH65" i="12" s="1"/>
  <c r="AR72" i="12"/>
  <c r="DN56" i="12"/>
  <c r="F65" i="12"/>
  <c r="F69" i="12" s="1"/>
  <c r="AU66" i="12"/>
  <c r="CG76" i="12"/>
  <c r="CD120" i="17"/>
  <c r="AQ72" i="12"/>
  <c r="BX439" i="12"/>
  <c r="CD75" i="12"/>
  <c r="BE66" i="12"/>
  <c r="BE69" i="12"/>
  <c r="BE67" i="12"/>
  <c r="BB302" i="12"/>
  <c r="CJ438" i="12"/>
  <c r="BP310" i="12"/>
  <c r="CD76" i="12"/>
  <c r="CO284" i="12"/>
  <c r="CO344" i="12"/>
  <c r="CO327" i="12"/>
  <c r="DA258" i="12"/>
  <c r="DJ763" i="12"/>
  <c r="Q287" i="12"/>
  <c r="CW446" i="12"/>
  <c r="U292" i="12"/>
  <c r="V293" i="12" s="1"/>
  <c r="CF437" i="12"/>
  <c r="R256" i="12"/>
  <c r="M155" i="22" s="1"/>
  <c r="CS154" i="15"/>
  <c r="CS162" i="15" s="1"/>
  <c r="CI246" i="12"/>
  <c r="P98" i="22"/>
  <c r="CK85" i="22"/>
  <c r="CX301" i="12"/>
  <c r="CX328" i="12" s="1"/>
  <c r="CX120" i="17"/>
  <c r="CO203" i="12"/>
  <c r="Q203" i="12" s="1"/>
  <c r="BX569" i="12"/>
  <c r="BX570" i="12" s="1"/>
  <c r="BY569" i="12" s="1"/>
  <c r="BY570" i="12" s="1"/>
  <c r="BZ569" i="12" s="1"/>
  <c r="DH290" i="12"/>
  <c r="CW358" i="12"/>
  <c r="CU763" i="12"/>
  <c r="W379" i="12"/>
  <c r="T568" i="12"/>
  <c r="CI257" i="12"/>
  <c r="CL246" i="12"/>
  <c r="CD155" i="22"/>
  <c r="CG155" i="22"/>
  <c r="DB26" i="12"/>
  <c r="CX136" i="17"/>
  <c r="CX116" i="17" s="1"/>
  <c r="CO204" i="12"/>
  <c r="Q204" i="12" s="1"/>
  <c r="DJ750" i="12"/>
  <c r="DJ752" i="12" s="1"/>
  <c r="CM581" i="12"/>
  <c r="BH55" i="12"/>
  <c r="BH46" i="17" s="1"/>
  <c r="BH59" i="17" s="1"/>
  <c r="CO303" i="12"/>
  <c r="CM246" i="12"/>
  <c r="CV154" i="15"/>
  <c r="CV155" i="15" s="1"/>
  <c r="BI58" i="12"/>
  <c r="CC143" i="12"/>
  <c r="CC165" i="12" s="1"/>
  <c r="CG164" i="12"/>
  <c r="CL199" i="12"/>
  <c r="CL200" i="12" s="1"/>
  <c r="P163" i="12"/>
  <c r="CR106" i="12"/>
  <c r="CZ283" i="12"/>
  <c r="CZ321" i="12"/>
  <c r="CG205" i="12"/>
  <c r="O205" i="12" s="1"/>
  <c r="CG199" i="12"/>
  <c r="O198" i="12"/>
  <c r="CH199" i="12"/>
  <c r="CH200" i="12" s="1"/>
  <c r="BT144" i="12"/>
  <c r="CT321" i="12"/>
  <c r="CT339" i="12"/>
  <c r="CL127" i="12"/>
  <c r="CL128" i="12" s="1"/>
  <c r="CP179" i="12"/>
  <c r="CU162" i="15"/>
  <c r="CR153" i="12"/>
  <c r="CZ334" i="12"/>
  <c r="CP132" i="12"/>
  <c r="CP133" i="12" s="1"/>
  <c r="P78" i="12"/>
  <c r="CZ339" i="12"/>
  <c r="CZ328" i="12"/>
  <c r="I49" i="12"/>
  <c r="I136" i="17"/>
  <c r="I92" i="12"/>
  <c r="I96" i="12" s="1"/>
  <c r="Q671" i="12"/>
  <c r="I53" i="12"/>
  <c r="I54" i="12"/>
  <c r="CQ668" i="12"/>
  <c r="CZ293" i="12"/>
  <c r="CV289" i="12"/>
  <c r="R137" i="22"/>
  <c r="K183" i="12"/>
  <c r="DG128" i="12"/>
  <c r="CN71" i="12"/>
  <c r="J53" i="12"/>
  <c r="K53" i="12"/>
  <c r="DK50" i="12"/>
  <c r="S27" i="16"/>
  <c r="CT56" i="17"/>
  <c r="DI50" i="12"/>
  <c r="DB765" i="12"/>
  <c r="CX50" i="12"/>
  <c r="DF50" i="12"/>
  <c r="DI327" i="12"/>
  <c r="BX53" i="11"/>
  <c r="O49" i="11"/>
  <c r="DN293" i="12"/>
  <c r="CU177" i="12"/>
  <c r="CH119" i="22" s="1"/>
  <c r="V122" i="12"/>
  <c r="DM347" i="12"/>
  <c r="CY763" i="12"/>
  <c r="CX763" i="12"/>
  <c r="CQ219" i="12"/>
  <c r="R219" i="12" s="1"/>
  <c r="CO339" i="12"/>
  <c r="CO340" i="12" s="1"/>
  <c r="CK125" i="12"/>
  <c r="DE347" i="12"/>
  <c r="CP155" i="22"/>
  <c r="DE247" i="12"/>
  <c r="V329" i="12"/>
  <c r="T203" i="7"/>
  <c r="CD164" i="12"/>
  <c r="U721" i="12"/>
  <c r="U762" i="12" s="1"/>
  <c r="U764" i="12" s="1"/>
  <c r="V49" i="11"/>
  <c r="CQ666" i="12"/>
  <c r="O50" i="12"/>
  <c r="O38" i="12"/>
  <c r="P39" i="12" s="1"/>
  <c r="O41" i="11"/>
  <c r="T376" i="12"/>
  <c r="T377" i="12" s="1"/>
  <c r="CW335" i="12"/>
  <c r="CW333" i="12"/>
  <c r="S332" i="12"/>
  <c r="S335" i="12" s="1"/>
  <c r="CD112" i="12"/>
  <c r="CD186" i="12" s="1"/>
  <c r="CD189" i="12"/>
  <c r="CD168" i="12"/>
  <c r="CJ131" i="12"/>
  <c r="CJ133" i="12" s="1"/>
  <c r="CJ222" i="12"/>
  <c r="CJ181" i="12"/>
  <c r="DF462" i="12"/>
  <c r="DF358" i="12"/>
  <c r="DF363" i="12" s="1"/>
  <c r="DF258" i="12"/>
  <c r="DJ258" i="12"/>
  <c r="CX294" i="12"/>
  <c r="CK138" i="22" s="1"/>
  <c r="CX289" i="12"/>
  <c r="BO163" i="12"/>
  <c r="K163" i="12" s="1"/>
  <c r="BO102" i="12"/>
  <c r="BS102" i="12"/>
  <c r="BU92" i="12"/>
  <c r="BT94" i="12"/>
  <c r="CB94" i="13"/>
  <c r="CB40" i="17" s="1"/>
  <c r="CB55" i="12"/>
  <c r="BS302" i="12"/>
  <c r="BO302" i="12"/>
  <c r="K301" i="12"/>
  <c r="K10" i="12" s="1"/>
  <c r="K309" i="12" s="1"/>
  <c r="DJ56" i="12"/>
  <c r="DJ46" i="17"/>
  <c r="DI347" i="12"/>
  <c r="T49" i="11"/>
  <c r="CR53" i="11"/>
  <c r="P49" i="11"/>
  <c r="CU283" i="12"/>
  <c r="CY282" i="12"/>
  <c r="BS38" i="22"/>
  <c r="BS40" i="22" s="1"/>
  <c r="CF186" i="12"/>
  <c r="R25" i="12"/>
  <c r="R26" i="12" s="1"/>
  <c r="CT467" i="12"/>
  <c r="CT468" i="12" s="1"/>
  <c r="CT462" i="12"/>
  <c r="CT358" i="12"/>
  <c r="BC55" i="12"/>
  <c r="BD58" i="12"/>
  <c r="BO310" i="12"/>
  <c r="BO311" i="12"/>
  <c r="CW155" i="22"/>
  <c r="DL154" i="15"/>
  <c r="DP170" i="15" s="1"/>
  <c r="DM154" i="15"/>
  <c r="DQ170" i="15" s="1"/>
  <c r="DI358" i="12"/>
  <c r="DI462" i="12"/>
  <c r="DI467" i="12"/>
  <c r="DM258" i="12"/>
  <c r="BH69" i="12"/>
  <c r="BH67" i="12"/>
  <c r="CS178" i="12"/>
  <c r="V186" i="12"/>
  <c r="CF119" i="22"/>
  <c r="DE750" i="12"/>
  <c r="DE752" i="12" s="1"/>
  <c r="CW763" i="12"/>
  <c r="CZ763" i="12"/>
  <c r="DK284" i="12"/>
  <c r="CD118" i="22"/>
  <c r="V257" i="12"/>
  <c r="CO334" i="12"/>
  <c r="CO328" i="12"/>
  <c r="CL308" i="12"/>
  <c r="CN264" i="12"/>
  <c r="CK119" i="12"/>
  <c r="CK257" i="12" s="1"/>
  <c r="BF302" i="12"/>
  <c r="CJ292" i="12"/>
  <c r="CJ160" i="12" s="1"/>
  <c r="CJ162" i="12" s="1"/>
  <c r="U738" i="12"/>
  <c r="T264" i="12"/>
  <c r="O212" i="12"/>
  <c r="R264" i="12"/>
  <c r="DM468" i="12"/>
  <c r="DI247" i="12"/>
  <c r="S264" i="12"/>
  <c r="CS451" i="12"/>
  <c r="E62" i="12"/>
  <c r="E63" i="12"/>
  <c r="BW352" i="12"/>
  <c r="BX349" i="12"/>
  <c r="BW350" i="12"/>
  <c r="CS335" i="12"/>
  <c r="CS333" i="12"/>
  <c r="Q320" i="12"/>
  <c r="K133" i="22"/>
  <c r="CN246" i="12"/>
  <c r="CR246" i="12"/>
  <c r="CQ246" i="12"/>
  <c r="CK246" i="12"/>
  <c r="DB289" i="12"/>
  <c r="DB293" i="12"/>
  <c r="CX358" i="12"/>
  <c r="CX363" i="12" s="1"/>
  <c r="CX462" i="12"/>
  <c r="CX467" i="12"/>
  <c r="CX258" i="12"/>
  <c r="CX446" i="12"/>
  <c r="BN195" i="12"/>
  <c r="BO199" i="12"/>
  <c r="BK310" i="12"/>
  <c r="BK311" i="12"/>
  <c r="BK302" i="12"/>
  <c r="DI56" i="17"/>
  <c r="T40" i="17"/>
  <c r="CX59" i="17"/>
  <c r="CX60" i="17" s="1"/>
  <c r="CX26" i="17"/>
  <c r="CX45" i="17" s="1"/>
  <c r="CY42" i="17"/>
  <c r="CY43" i="17" s="1"/>
  <c r="CX42" i="17"/>
  <c r="CX43" i="17" s="1"/>
  <c r="CD56" i="17"/>
  <c r="CD26" i="17" s="1"/>
  <c r="CD45" i="17" s="1"/>
  <c r="BY17" i="6"/>
  <c r="CT137" i="12"/>
  <c r="BS95" i="12"/>
  <c r="BS71" i="12"/>
  <c r="BS72" i="12"/>
  <c r="CJ169" i="12"/>
  <c r="DK335" i="12"/>
  <c r="W332" i="12"/>
  <c r="W335" i="12" s="1"/>
  <c r="CC94" i="13"/>
  <c r="CC40" i="17" s="1"/>
  <c r="CC55" i="12"/>
  <c r="CV763" i="12"/>
  <c r="BX58" i="11"/>
  <c r="CJ126" i="12"/>
  <c r="DF750" i="12"/>
  <c r="DF752" i="12" s="1"/>
  <c r="DF754" i="12" s="1"/>
  <c r="DF757" i="12" s="1"/>
  <c r="CI199" i="12"/>
  <c r="CI200" i="12" s="1"/>
  <c r="BD163" i="12"/>
  <c r="BD143" i="12" s="1"/>
  <c r="CT258" i="12"/>
  <c r="DD742" i="12"/>
  <c r="DD743" i="12" s="1"/>
  <c r="CT450" i="12"/>
  <c r="S257" i="12"/>
  <c r="S258" i="12" s="1"/>
  <c r="P50" i="12"/>
  <c r="P48" i="12"/>
  <c r="P41" i="11"/>
  <c r="DA335" i="12"/>
  <c r="T246" i="12"/>
  <c r="DA284" i="12"/>
  <c r="DA327" i="12"/>
  <c r="DA344" i="12"/>
  <c r="T344" i="12" s="1"/>
  <c r="DA247" i="12"/>
  <c r="CH192" i="12"/>
  <c r="CH168" i="12"/>
  <c r="CH189" i="12"/>
  <c r="BZ227" i="12"/>
  <c r="CA107" i="12"/>
  <c r="BZ111" i="12"/>
  <c r="M117" i="22"/>
  <c r="DB462" i="12"/>
  <c r="DB358" i="12"/>
  <c r="DB363" i="12" s="1"/>
  <c r="DB467" i="12"/>
  <c r="DB258" i="12"/>
  <c r="DB446" i="12"/>
  <c r="CP294" i="12"/>
  <c r="CC138" i="22" s="1"/>
  <c r="CP289" i="12"/>
  <c r="BK163" i="12"/>
  <c r="BK102" i="12"/>
  <c r="F63" i="12"/>
  <c r="F61" i="12"/>
  <c r="BN85" i="22"/>
  <c r="CA301" i="12"/>
  <c r="CA120" i="17"/>
  <c r="BP303" i="12"/>
  <c r="DJ56" i="17"/>
  <c r="DE432" i="12"/>
  <c r="DE431" i="12"/>
  <c r="BU80" i="22"/>
  <c r="CH134" i="13"/>
  <c r="CH131" i="13" s="1"/>
  <c r="BU55" i="22"/>
  <c r="CT740" i="12"/>
  <c r="CT742" i="12" s="1"/>
  <c r="CT743" i="12" s="1"/>
  <c r="CT728" i="12"/>
  <c r="CT747" i="12" s="1"/>
  <c r="CT749" i="12" s="1"/>
  <c r="CT727" i="12"/>
  <c r="CP666" i="12"/>
  <c r="CP623" i="12"/>
  <c r="CQ621" i="12" s="1"/>
  <c r="CQ623" i="12" s="1"/>
  <c r="CR621" i="12" s="1"/>
  <c r="CR623" i="12" s="1"/>
  <c r="CS621" i="12" s="1"/>
  <c r="DC765" i="12"/>
  <c r="DH763" i="12"/>
  <c r="DE763" i="12"/>
  <c r="DC763" i="12"/>
  <c r="CM669" i="12"/>
  <c r="CN113" i="8"/>
  <c r="CN87" i="12"/>
  <c r="CO648" i="12"/>
  <c r="CO677" i="12" s="1"/>
  <c r="Q677" i="12" s="1"/>
  <c r="DK763" i="12"/>
  <c r="BX571" i="12"/>
  <c r="DG763" i="12"/>
  <c r="DD763" i="12"/>
  <c r="U102" i="7"/>
  <c r="O532" i="12"/>
  <c r="CG533" i="12"/>
  <c r="DI763" i="12"/>
  <c r="DA763" i="12"/>
  <c r="DF763" i="12"/>
  <c r="DB763" i="12"/>
  <c r="DH468" i="12"/>
  <c r="V656" i="12"/>
  <c r="V102" i="7" s="1"/>
  <c r="X186" i="12"/>
  <c r="AA29" i="12"/>
  <c r="X30" i="12"/>
  <c r="X113" i="12"/>
  <c r="BD102" i="12"/>
  <c r="DH46" i="17"/>
  <c r="DH56" i="12"/>
  <c r="T50" i="11"/>
  <c r="CS53" i="11"/>
  <c r="S539" i="12"/>
  <c r="S547" i="12" s="1"/>
  <c r="CV84" i="22"/>
  <c r="CV85" i="22"/>
  <c r="DI136" i="17"/>
  <c r="DI116" i="17" s="1"/>
  <c r="DI31" i="12"/>
  <c r="DI26" i="12"/>
  <c r="F14" i="37" s="1"/>
  <c r="DI301" i="12"/>
  <c r="DI120" i="17"/>
  <c r="N49" i="11"/>
  <c r="BT53" i="11"/>
  <c r="BT54" i="11" s="1"/>
  <c r="BT55" i="11" s="1"/>
  <c r="CB198" i="12"/>
  <c r="CB203" i="12"/>
  <c r="CB204" i="12"/>
  <c r="BL311" i="12"/>
  <c r="BL310" i="12"/>
  <c r="BM311" i="12"/>
  <c r="BD311" i="12"/>
  <c r="BD310" i="12"/>
  <c r="U27" i="16"/>
  <c r="DE56" i="17"/>
  <c r="DA46" i="17"/>
  <c r="DE56" i="12"/>
  <c r="DA56" i="12"/>
  <c r="CT26" i="11"/>
  <c r="DD17" i="16"/>
  <c r="CZ24" i="16"/>
  <c r="CZ37" i="16" s="1"/>
  <c r="T16" i="16"/>
  <c r="CZ17" i="16"/>
  <c r="CN473" i="12"/>
  <c r="CR472" i="12"/>
  <c r="DH454" i="12"/>
  <c r="DH445" i="12"/>
  <c r="DL445" i="12"/>
  <c r="CZ430" i="12"/>
  <c r="CZ432" i="12" s="1"/>
  <c r="CZ434" i="12"/>
  <c r="CR449" i="12"/>
  <c r="CR445" i="12"/>
  <c r="CR446" i="12"/>
  <c r="CN437" i="12"/>
  <c r="CN439" i="12"/>
  <c r="CN438" i="12"/>
  <c r="Q436" i="12"/>
  <c r="Q437" i="12" s="1"/>
  <c r="CO438" i="12"/>
  <c r="CO439" i="12"/>
  <c r="CJ339" i="12"/>
  <c r="CN340" i="12" s="1"/>
  <c r="CN302" i="12"/>
  <c r="DG306" i="12"/>
  <c r="DG305" i="12"/>
  <c r="V304" i="12"/>
  <c r="CT284" i="12"/>
  <c r="S298" i="12"/>
  <c r="BB439" i="12"/>
  <c r="BE437" i="12"/>
  <c r="BB438" i="12"/>
  <c r="BA440" i="12"/>
  <c r="BX136" i="17"/>
  <c r="BX116" i="17" s="1"/>
  <c r="BX43" i="12"/>
  <c r="CB15" i="12"/>
  <c r="BX69" i="12"/>
  <c r="BX54" i="12"/>
  <c r="BX49" i="12"/>
  <c r="BX65" i="12"/>
  <c r="BX15" i="12"/>
  <c r="BX40" i="12"/>
  <c r="BX62" i="12"/>
  <c r="BL437" i="12"/>
  <c r="BI439" i="12"/>
  <c r="BH438" i="12"/>
  <c r="BI438" i="12"/>
  <c r="BH437" i="12"/>
  <c r="BH439" i="12"/>
  <c r="BV302" i="12"/>
  <c r="BV303" i="12"/>
  <c r="BN302" i="12"/>
  <c r="BK303" i="12"/>
  <c r="J301" i="12"/>
  <c r="BJ303" i="12"/>
  <c r="BB310" i="12"/>
  <c r="AY311" i="12"/>
  <c r="CK15" i="6"/>
  <c r="CG30" i="6"/>
  <c r="DH61" i="12"/>
  <c r="CY61" i="12"/>
  <c r="CY62" i="12"/>
  <c r="G53" i="12"/>
  <c r="H53" i="12"/>
  <c r="CT61" i="12"/>
  <c r="CX61" i="12"/>
  <c r="CT62" i="12"/>
  <c r="CT65" i="12"/>
  <c r="V32" i="11"/>
  <c r="BZ56" i="17"/>
  <c r="CD28" i="16"/>
  <c r="CB163" i="12"/>
  <c r="CB102" i="12"/>
  <c r="CF102" i="12"/>
  <c r="BX198" i="12"/>
  <c r="BX211" i="12"/>
  <c r="BX208" i="12" s="1"/>
  <c r="J102" i="12"/>
  <c r="J309" i="12"/>
  <c r="CY53" i="11"/>
  <c r="CW46" i="17"/>
  <c r="CW56" i="12"/>
  <c r="CI53" i="11"/>
  <c r="Q50" i="11"/>
  <c r="DB26" i="11"/>
  <c r="DB27" i="11" s="1"/>
  <c r="DB28" i="11" s="1"/>
  <c r="DL17" i="16"/>
  <c r="DD472" i="12"/>
  <c r="CZ472" i="12"/>
  <c r="T471" i="12"/>
  <c r="CV17" i="16"/>
  <c r="S16" i="16"/>
  <c r="CP26" i="11"/>
  <c r="CV24" i="16"/>
  <c r="P23" i="11"/>
  <c r="Q39" i="12"/>
  <c r="CN32" i="12"/>
  <c r="CJ78" i="12"/>
  <c r="DD430" i="12"/>
  <c r="DD434" i="12"/>
  <c r="U433" i="12"/>
  <c r="DC305" i="12"/>
  <c r="DC306" i="12"/>
  <c r="DC307" i="12" s="1"/>
  <c r="CP31" i="12"/>
  <c r="CP26" i="12"/>
  <c r="CC84" i="22"/>
  <c r="CP136" i="17"/>
  <c r="CP116" i="17" s="1"/>
  <c r="CC85" i="22"/>
  <c r="CT26" i="12"/>
  <c r="CP120" i="17"/>
  <c r="CP301" i="12"/>
  <c r="CP303" i="12" s="1"/>
  <c r="BU439" i="12"/>
  <c r="BT437" i="12"/>
  <c r="BU438" i="12"/>
  <c r="BT439" i="12"/>
  <c r="BT438" i="12"/>
  <c r="BT440" i="12"/>
  <c r="BM439" i="12"/>
  <c r="BL438" i="12"/>
  <c r="J436" i="12"/>
  <c r="BP437" i="12"/>
  <c r="BL439" i="12"/>
  <c r="BE438" i="12"/>
  <c r="BD439" i="12"/>
  <c r="BD438" i="12"/>
  <c r="BE439" i="12"/>
  <c r="BD437" i="12"/>
  <c r="CH69" i="12"/>
  <c r="CH70" i="12" s="1"/>
  <c r="CH43" i="12"/>
  <c r="BU46" i="22"/>
  <c r="CB14" i="11"/>
  <c r="CH49" i="12"/>
  <c r="CE14" i="6"/>
  <c r="CE15" i="6" s="1"/>
  <c r="CL15" i="12"/>
  <c r="CH40" i="12"/>
  <c r="BJ302" i="12"/>
  <c r="BF303" i="12"/>
  <c r="AX65" i="12"/>
  <c r="AX54" i="12"/>
  <c r="AX62" i="12"/>
  <c r="AX49" i="12"/>
  <c r="N176" i="12"/>
  <c r="DG177" i="12"/>
  <c r="BQ164" i="12"/>
  <c r="U304" i="12"/>
  <c r="DF315" i="12"/>
  <c r="BB15" i="12"/>
  <c r="DL61" i="12"/>
  <c r="DG61" i="12"/>
  <c r="DC61" i="12"/>
  <c r="BS46" i="22"/>
  <c r="BS50" i="22" s="1"/>
  <c r="BS52" i="22" s="1"/>
  <c r="BZ14" i="11"/>
  <c r="CF54" i="12"/>
  <c r="CC14" i="6"/>
  <c r="CF69" i="12"/>
  <c r="CF43" i="12"/>
  <c r="CF40" i="12"/>
  <c r="CF49" i="12"/>
  <c r="U49" i="11"/>
  <c r="CV53" i="11"/>
  <c r="K102" i="12"/>
  <c r="BE102" i="12"/>
  <c r="BE163" i="12"/>
  <c r="DA61" i="12"/>
  <c r="S50" i="11"/>
  <c r="CQ53" i="11"/>
  <c r="M53" i="12"/>
  <c r="DH472" i="12"/>
  <c r="DL472" i="12"/>
  <c r="DD454" i="12"/>
  <c r="DD445" i="12"/>
  <c r="CV449" i="12"/>
  <c r="CV446" i="12"/>
  <c r="CV445" i="12"/>
  <c r="CZ445" i="12"/>
  <c r="CU306" i="12"/>
  <c r="CU308" i="12" s="1"/>
  <c r="CY305" i="12"/>
  <c r="CU305" i="12"/>
  <c r="CX31" i="12"/>
  <c r="T25" i="12"/>
  <c r="CX26" i="12"/>
  <c r="CG438" i="12"/>
  <c r="CF439" i="12"/>
  <c r="O436" i="12"/>
  <c r="P437" i="12" s="1"/>
  <c r="CF440" i="12"/>
  <c r="BL54" i="12"/>
  <c r="BL43" i="12"/>
  <c r="BL136" i="17"/>
  <c r="BL15" i="12"/>
  <c r="BL49" i="12"/>
  <c r="BL40" i="12"/>
  <c r="BL62" i="12"/>
  <c r="BL65" i="12"/>
  <c r="BP66" i="12" s="1"/>
  <c r="BL69" i="12"/>
  <c r="BP70" i="12" s="1"/>
  <c r="BZ136" i="17"/>
  <c r="BZ116" i="17" s="1"/>
  <c r="BT14" i="11"/>
  <c r="BT59" i="11" s="1"/>
  <c r="BT68" i="11" s="1"/>
  <c r="BW14" i="6"/>
  <c r="BZ49" i="12"/>
  <c r="BZ43" i="12"/>
  <c r="BZ40" i="12"/>
  <c r="BZ54" i="12"/>
  <c r="BM46" i="22"/>
  <c r="BZ69" i="12"/>
  <c r="CD70" i="12" s="1"/>
  <c r="CD15" i="12"/>
  <c r="BB311" i="12"/>
  <c r="BC311" i="12"/>
  <c r="BF310" i="12"/>
  <c r="BM438" i="12"/>
  <c r="DK454" i="12"/>
  <c r="DK445" i="12"/>
  <c r="CJ15" i="12"/>
  <c r="CL27" i="11"/>
  <c r="CL28" i="11" s="1"/>
  <c r="T449" i="12"/>
  <c r="BX437" i="12"/>
  <c r="DL56" i="12"/>
  <c r="DL46" i="17"/>
  <c r="CW53" i="11"/>
  <c r="U50" i="11"/>
  <c r="CM46" i="17"/>
  <c r="CQ56" i="12"/>
  <c r="CD41" i="17"/>
  <c r="CE42" i="17"/>
  <c r="O40" i="17"/>
  <c r="CL46" i="17"/>
  <c r="CP56" i="12"/>
  <c r="V42" i="12"/>
  <c r="W42" i="12"/>
  <c r="V27" i="16"/>
  <c r="DF56" i="17"/>
  <c r="CG102" i="12"/>
  <c r="CC102" i="12"/>
  <c r="BT310" i="12"/>
  <c r="BP311" i="12"/>
  <c r="BI311" i="12"/>
  <c r="BH311" i="12"/>
  <c r="BH310" i="12"/>
  <c r="BE310" i="12"/>
  <c r="BI310" i="12"/>
  <c r="BF311" i="12"/>
  <c r="BE311" i="12"/>
  <c r="DI61" i="12"/>
  <c r="DE61" i="12"/>
  <c r="CS46" i="17"/>
  <c r="CS56" i="12"/>
  <c r="Q16" i="16"/>
  <c r="CN17" i="16"/>
  <c r="CH26" i="11"/>
  <c r="CN24" i="16"/>
  <c r="CR17" i="16"/>
  <c r="CJ24" i="16"/>
  <c r="P16" i="16"/>
  <c r="P26" i="11" s="1"/>
  <c r="CD26" i="11"/>
  <c r="CD27" i="11" s="1"/>
  <c r="CD28" i="11" s="1"/>
  <c r="CJ430" i="12"/>
  <c r="CN434" i="12"/>
  <c r="CR434" i="12"/>
  <c r="CR430" i="12"/>
  <c r="CN308" i="12"/>
  <c r="DF31" i="12"/>
  <c r="DJ32" i="12" s="1"/>
  <c r="DJ26" i="12"/>
  <c r="G14" i="37" s="1"/>
  <c r="DF120" i="17"/>
  <c r="CS85" i="22"/>
  <c r="DF26" i="12"/>
  <c r="DF301" i="12"/>
  <c r="DF136" i="17"/>
  <c r="DF116" i="17" s="1"/>
  <c r="CS84" i="22"/>
  <c r="DJ299" i="12"/>
  <c r="DF299" i="12"/>
  <c r="CX284" i="12"/>
  <c r="CX299" i="12"/>
  <c r="T298" i="12"/>
  <c r="CT299" i="12"/>
  <c r="R298" i="12"/>
  <c r="CP299" i="12"/>
  <c r="CJ437" i="12"/>
  <c r="CJ439" i="12"/>
  <c r="CK438" i="12"/>
  <c r="CK439" i="12"/>
  <c r="CB437" i="12"/>
  <c r="BY438" i="12"/>
  <c r="BY439" i="12"/>
  <c r="BX438" i="12"/>
  <c r="BD54" i="12"/>
  <c r="BH15" i="12"/>
  <c r="BD65" i="12"/>
  <c r="BD62" i="12"/>
  <c r="BD49" i="12"/>
  <c r="BD15" i="12"/>
  <c r="BD136" i="17"/>
  <c r="CD301" i="12"/>
  <c r="BQ85" i="22"/>
  <c r="BZ301" i="12"/>
  <c r="BM85" i="22"/>
  <c r="N25" i="12"/>
  <c r="N31" i="12" s="1"/>
  <c r="BZ120" i="17"/>
  <c r="BR302" i="12"/>
  <c r="L301" i="12"/>
  <c r="BR303" i="12"/>
  <c r="BS303" i="12"/>
  <c r="BF65" i="12"/>
  <c r="BF54" i="12"/>
  <c r="BF62" i="12"/>
  <c r="BF136" i="17"/>
  <c r="BF49" i="12"/>
  <c r="BJ15" i="12"/>
  <c r="BF15" i="12"/>
  <c r="CG439" i="12"/>
  <c r="CV434" i="12"/>
  <c r="CP223" i="12"/>
  <c r="CP57" i="17"/>
  <c r="DA57" i="17"/>
  <c r="CZ59" i="17"/>
  <c r="CZ60" i="17" s="1"/>
  <c r="CZ26" i="17"/>
  <c r="J183" i="12"/>
  <c r="DK740" i="12"/>
  <c r="DK742" i="12" s="1"/>
  <c r="DK743" i="12" s="1"/>
  <c r="DK728" i="12"/>
  <c r="DK747" i="12" s="1"/>
  <c r="DK749" i="12" s="1"/>
  <c r="DK750" i="12" s="1"/>
  <c r="DK752" i="12" s="1"/>
  <c r="CK126" i="12"/>
  <c r="DJ347" i="12"/>
  <c r="DN363" i="12"/>
  <c r="DN469" i="12" s="1"/>
  <c r="DK128" i="12"/>
  <c r="DL763" i="12"/>
  <c r="P360" i="12"/>
  <c r="DK306" i="12"/>
  <c r="DK305" i="12"/>
  <c r="CN335" i="12"/>
  <c r="CN334" i="12"/>
  <c r="BR198" i="12"/>
  <c r="BR195" i="12" s="1"/>
  <c r="BR196" i="12" s="1"/>
  <c r="CZ469" i="12"/>
  <c r="CZ365" i="12"/>
  <c r="CC112" i="12"/>
  <c r="BP38" i="22" s="1"/>
  <c r="CC168" i="12"/>
  <c r="Q117" i="22"/>
  <c r="P117" i="22"/>
  <c r="N117" i="22"/>
  <c r="N98" i="22"/>
  <c r="O98" i="22"/>
  <c r="DE294" i="12"/>
  <c r="CR138" i="22" s="1"/>
  <c r="DE289" i="12"/>
  <c r="DI293" i="12"/>
  <c r="DE293" i="12"/>
  <c r="CT118" i="22"/>
  <c r="DG219" i="12"/>
  <c r="CM183" i="12"/>
  <c r="CM184" i="12"/>
  <c r="DJ40" i="12"/>
  <c r="DJ54" i="12"/>
  <c r="CW46" i="22"/>
  <c r="DG14" i="6"/>
  <c r="DJ65" i="12"/>
  <c r="DJ62" i="12"/>
  <c r="DJ49" i="12"/>
  <c r="DD14" i="11"/>
  <c r="DJ43" i="12"/>
  <c r="DJ69" i="12"/>
  <c r="DJ78" i="12"/>
  <c r="CX365" i="12"/>
  <c r="CX469" i="12"/>
  <c r="BV199" i="12"/>
  <c r="BW199" i="12"/>
  <c r="DI258" i="12"/>
  <c r="DE467" i="12"/>
  <c r="DI468" i="12" s="1"/>
  <c r="V330" i="12"/>
  <c r="BV310" i="12"/>
  <c r="BR310" i="12"/>
  <c r="V39" i="12"/>
  <c r="W39" i="12"/>
  <c r="BQ143" i="12"/>
  <c r="BU164" i="12"/>
  <c r="O255" i="12"/>
  <c r="J117" i="22" s="1"/>
  <c r="M183" i="12"/>
  <c r="DA289" i="12"/>
  <c r="DA294" i="12"/>
  <c r="CN138" i="22" s="1"/>
  <c r="DC294" i="12"/>
  <c r="CP138" i="22" s="1"/>
  <c r="DC293" i="12"/>
  <c r="DC289" i="12"/>
  <c r="DG290" i="12" s="1"/>
  <c r="CY293" i="12"/>
  <c r="CY289" i="12"/>
  <c r="CU294" i="12"/>
  <c r="CH138" i="22" s="1"/>
  <c r="S292" i="12"/>
  <c r="CU289" i="12"/>
  <c r="DC219" i="12"/>
  <c r="U287" i="12"/>
  <c r="CP118" i="22"/>
  <c r="CM212" i="12"/>
  <c r="Q212" i="12" s="1"/>
  <c r="BZ118" i="22"/>
  <c r="BZ164" i="12"/>
  <c r="BT311" i="12"/>
  <c r="BW310" i="12"/>
  <c r="BS311" i="12"/>
  <c r="BS310" i="12"/>
  <c r="CS563" i="12"/>
  <c r="R563" i="12" s="1"/>
  <c r="CR566" i="12"/>
  <c r="CH125" i="12"/>
  <c r="CH119" i="12"/>
  <c r="BU117" i="22"/>
  <c r="L99" i="12"/>
  <c r="L183" i="12"/>
  <c r="L117" i="22"/>
  <c r="BW117" i="22"/>
  <c r="CJ119" i="12"/>
  <c r="CJ257" i="12" s="1"/>
  <c r="R330" i="12"/>
  <c r="S330" i="12"/>
  <c r="V157" i="12"/>
  <c r="U157" i="12"/>
  <c r="CY127" i="12"/>
  <c r="CY128" i="12" s="1"/>
  <c r="CY177" i="12"/>
  <c r="CQ177" i="12"/>
  <c r="CQ187" i="12"/>
  <c r="CQ127" i="12"/>
  <c r="CQ128" i="12" s="1"/>
  <c r="CM187" i="12"/>
  <c r="CM177" i="12"/>
  <c r="CM127" i="12"/>
  <c r="CM128" i="12" s="1"/>
  <c r="CQ183" i="12"/>
  <c r="AA83" i="12"/>
  <c r="Z113" i="8"/>
  <c r="CN664" i="12"/>
  <c r="Q664" i="12" s="1"/>
  <c r="U740" i="12"/>
  <c r="CL499" i="12"/>
  <c r="CL685" i="12" s="1"/>
  <c r="S721" i="12"/>
  <c r="T721" i="12"/>
  <c r="T762" i="12" s="1"/>
  <c r="T764" i="12" s="1"/>
  <c r="CL676" i="12"/>
  <c r="CM642" i="12"/>
  <c r="CM644" i="12" s="1"/>
  <c r="DH728" i="12"/>
  <c r="DH747" i="12" s="1"/>
  <c r="DH749" i="12" s="1"/>
  <c r="W726" i="12"/>
  <c r="V721" i="12"/>
  <c r="V762" i="12" s="1"/>
  <c r="V764" i="12" s="1"/>
  <c r="W721" i="12"/>
  <c r="W762" i="12" s="1"/>
  <c r="W764" i="12" s="1"/>
  <c r="DM763" i="12"/>
  <c r="X726" i="12"/>
  <c r="X728" i="12" s="1"/>
  <c r="X747" i="12" s="1"/>
  <c r="X749" i="12" s="1"/>
  <c r="DD468" i="12"/>
  <c r="DH740" i="12"/>
  <c r="DH742" i="12" s="1"/>
  <c r="DH743" i="12" s="1"/>
  <c r="CL586" i="12"/>
  <c r="CL662" i="12"/>
  <c r="Q662" i="12" s="1"/>
  <c r="CQ587" i="12"/>
  <c r="CR585" i="12" s="1"/>
  <c r="CM665" i="12"/>
  <c r="CN597" i="12"/>
  <c r="CN599" i="12" s="1"/>
  <c r="DN763" i="12"/>
  <c r="BQ570" i="12"/>
  <c r="V726" i="12"/>
  <c r="V740" i="12" s="1"/>
  <c r="V742" i="12" s="1"/>
  <c r="V743" i="12" s="1"/>
  <c r="CO85" i="12"/>
  <c r="Q684" i="12"/>
  <c r="CM638" i="12"/>
  <c r="CL652" i="12"/>
  <c r="CL675" i="12"/>
  <c r="CZ118" i="22"/>
  <c r="DM219" i="12"/>
  <c r="DM288" i="12"/>
  <c r="W741" i="12"/>
  <c r="CT508" i="12"/>
  <c r="CU508" i="12" s="1"/>
  <c r="CV508" i="12" s="1"/>
  <c r="CW508" i="12" s="1"/>
  <c r="R508" i="12"/>
  <c r="V657" i="12"/>
  <c r="U203" i="7"/>
  <c r="CW750" i="12"/>
  <c r="CW752" i="12" s="1"/>
  <c r="CW754" i="12" s="1"/>
  <c r="CN615" i="12"/>
  <c r="CO613" i="12" s="1"/>
  <c r="CO669" i="12" s="1"/>
  <c r="CR170" i="15"/>
  <c r="CY333" i="12"/>
  <c r="DC333" i="12"/>
  <c r="CY335" i="12"/>
  <c r="T332" i="12"/>
  <c r="CN155" i="22"/>
  <c r="DD154" i="15"/>
  <c r="CR335" i="12"/>
  <c r="CR333" i="12"/>
  <c r="R332" i="12"/>
  <c r="CV333" i="12"/>
  <c r="CU334" i="12"/>
  <c r="CU321" i="12"/>
  <c r="CU328" i="12"/>
  <c r="CU339" i="12"/>
  <c r="CU303" i="12"/>
  <c r="S31" i="12"/>
  <c r="BC440" i="12"/>
  <c r="BC441" i="12" s="1"/>
  <c r="BC145" i="12"/>
  <c r="BC146" i="12"/>
  <c r="BC144" i="12"/>
  <c r="O31" i="12"/>
  <c r="O78" i="12" s="1"/>
  <c r="P26" i="12"/>
  <c r="O312" i="12"/>
  <c r="V314" i="12"/>
  <c r="CA17" i="6"/>
  <c r="DC114" i="8"/>
  <c r="DD84" i="12"/>
  <c r="CL332" i="12"/>
  <c r="CL329" i="12"/>
  <c r="Q325" i="12"/>
  <c r="Q330" i="12" s="1"/>
  <c r="CP326" i="12"/>
  <c r="P286" i="12"/>
  <c r="CL288" i="12"/>
  <c r="CK181" i="12"/>
  <c r="CL156" i="12"/>
  <c r="CK131" i="12"/>
  <c r="CK156" i="12"/>
  <c r="CK292" i="12" s="1"/>
  <c r="CK294" i="12" s="1"/>
  <c r="BX138" i="22" s="1"/>
  <c r="Q98" i="22"/>
  <c r="DD247" i="12"/>
  <c r="DH247" i="12"/>
  <c r="DD327" i="12"/>
  <c r="DD344" i="12"/>
  <c r="P43" i="12"/>
  <c r="DC43" i="12"/>
  <c r="CP46" i="22"/>
  <c r="CW14" i="11"/>
  <c r="DC54" i="12"/>
  <c r="CZ14" i="6"/>
  <c r="DC32" i="12"/>
  <c r="DC69" i="12"/>
  <c r="DC65" i="12"/>
  <c r="DC49" i="12"/>
  <c r="DC40" i="12"/>
  <c r="DC78" i="12"/>
  <c r="DC62" i="12"/>
  <c r="CQ43" i="12"/>
  <c r="CQ54" i="12"/>
  <c r="CQ65" i="12"/>
  <c r="CQ40" i="12"/>
  <c r="CQ689" i="12"/>
  <c r="CD46" i="22"/>
  <c r="CQ690" i="12"/>
  <c r="CQ62" i="12"/>
  <c r="CN14" i="6"/>
  <c r="CQ69" i="12"/>
  <c r="CQ49" i="12"/>
  <c r="CK14" i="11"/>
  <c r="CQ78" i="12"/>
  <c r="CD72" i="12"/>
  <c r="CD71" i="12"/>
  <c r="BQ56" i="22"/>
  <c r="CD78" i="12"/>
  <c r="CT107" i="8"/>
  <c r="DK46" i="17"/>
  <c r="DK56" i="12"/>
  <c r="CY468" i="12"/>
  <c r="K97" i="22"/>
  <c r="L98" i="22" s="1"/>
  <c r="Q361" i="12"/>
  <c r="P381" i="12"/>
  <c r="K116" i="22"/>
  <c r="CO154" i="15"/>
  <c r="CQ154" i="15"/>
  <c r="CQ170" i="15" s="1"/>
  <c r="CA155" i="22"/>
  <c r="CP154" i="15"/>
  <c r="DC334" i="12"/>
  <c r="DC303" i="12"/>
  <c r="DC339" i="12"/>
  <c r="CU43" i="12"/>
  <c r="CU62" i="12"/>
  <c r="CO14" i="11"/>
  <c r="CH46" i="22"/>
  <c r="CR14" i="6"/>
  <c r="CU40" i="12"/>
  <c r="CU32" i="12"/>
  <c r="CU69" i="12"/>
  <c r="CU65" i="12"/>
  <c r="CU54" i="12"/>
  <c r="CU49" i="12"/>
  <c r="CU78" i="12"/>
  <c r="X738" i="12"/>
  <c r="DG137" i="12"/>
  <c r="DK56" i="17"/>
  <c r="BO55" i="12"/>
  <c r="BP58" i="12"/>
  <c r="DF162" i="15"/>
  <c r="DF155" i="15"/>
  <c r="R98" i="22"/>
  <c r="CY32" i="12"/>
  <c r="BR67" i="12"/>
  <c r="BR87" i="12"/>
  <c r="BR90" i="12" s="1"/>
  <c r="CO312" i="12"/>
  <c r="CO302" i="12"/>
  <c r="V258" i="12"/>
  <c r="Q666" i="12"/>
  <c r="BP67" i="12"/>
  <c r="BP87" i="12"/>
  <c r="U40" i="12"/>
  <c r="U54" i="12"/>
  <c r="U14" i="6"/>
  <c r="U43" i="12"/>
  <c r="T158" i="12"/>
  <c r="O136" i="22" s="1"/>
  <c r="T180" i="12"/>
  <c r="U158" i="12"/>
  <c r="P136" i="22" s="1"/>
  <c r="CJ358" i="12"/>
  <c r="CJ363" i="12" s="1"/>
  <c r="CJ469" i="12" s="1"/>
  <c r="CN258" i="12"/>
  <c r="CL344" i="12"/>
  <c r="CP345" i="12" s="1"/>
  <c r="DG155" i="15"/>
  <c r="DG162" i="15"/>
  <c r="DJ468" i="12"/>
  <c r="CP363" i="12"/>
  <c r="Q358" i="12"/>
  <c r="CM344" i="12"/>
  <c r="CQ247" i="12"/>
  <c r="CM327" i="12"/>
  <c r="CO283" i="12"/>
  <c r="DJ363" i="12"/>
  <c r="W358" i="12"/>
  <c r="BQ199" i="12"/>
  <c r="BP199" i="12"/>
  <c r="BP195" i="12"/>
  <c r="BP196" i="12" s="1"/>
  <c r="CI358" i="12"/>
  <c r="CI363" i="12" s="1"/>
  <c r="CI469" i="12" s="1"/>
  <c r="CM258" i="12"/>
  <c r="CI262" i="12"/>
  <c r="CI140" i="12"/>
  <c r="CI142" i="12" s="1"/>
  <c r="CQ290" i="12"/>
  <c r="CS284" i="12"/>
  <c r="CW247" i="12"/>
  <c r="CS344" i="12"/>
  <c r="CW345" i="12" s="1"/>
  <c r="CS247" i="12"/>
  <c r="CS327" i="12"/>
  <c r="CP247" i="12"/>
  <c r="CP327" i="12"/>
  <c r="CR666" i="12"/>
  <c r="CG168" i="12"/>
  <c r="CG112" i="12"/>
  <c r="CK189" i="12"/>
  <c r="CG189" i="12"/>
  <c r="DE391" i="12"/>
  <c r="DE419" i="12"/>
  <c r="DF396" i="12"/>
  <c r="DF394" i="12" s="1"/>
  <c r="DF419" i="12"/>
  <c r="DF421" i="12" s="1"/>
  <c r="DE396" i="12"/>
  <c r="R556" i="12"/>
  <c r="R557" i="12" s="1"/>
  <c r="CK164" i="12"/>
  <c r="CK143" i="12"/>
  <c r="CK145" i="12" s="1"/>
  <c r="BV209" i="12"/>
  <c r="BH116" i="22"/>
  <c r="CM339" i="12"/>
  <c r="CM334" i="12"/>
  <c r="CM328" i="12"/>
  <c r="CM308" i="12"/>
  <c r="CM321" i="12"/>
  <c r="CN303" i="12"/>
  <c r="CM312" i="12"/>
  <c r="Q301" i="12"/>
  <c r="CM302" i="12"/>
  <c r="CM303" i="12"/>
  <c r="S219" i="12"/>
  <c r="CT345" i="12"/>
  <c r="CA144" i="12"/>
  <c r="BW165" i="12"/>
  <c r="BW440" i="12"/>
  <c r="BW146" i="12"/>
  <c r="BW145" i="12"/>
  <c r="T728" i="12"/>
  <c r="T747" i="12" s="1"/>
  <c r="T749" i="12" s="1"/>
  <c r="T740" i="12"/>
  <c r="T742" i="12" s="1"/>
  <c r="T743" i="12" s="1"/>
  <c r="U727" i="12"/>
  <c r="CO111" i="8"/>
  <c r="Q89" i="12"/>
  <c r="Q111" i="8" s="1"/>
  <c r="DH363" i="12"/>
  <c r="DI307" i="12"/>
  <c r="DE307" i="12"/>
  <c r="H437" i="12"/>
  <c r="H439" i="12"/>
  <c r="DG43" i="12"/>
  <c r="DG40" i="12"/>
  <c r="DD14" i="6"/>
  <c r="CT46" i="22"/>
  <c r="DG32" i="12"/>
  <c r="DG54" i="12"/>
  <c r="DA14" i="11"/>
  <c r="DG69" i="12"/>
  <c r="DG49" i="12"/>
  <c r="DG78" i="12"/>
  <c r="CR307" i="12"/>
  <c r="CV307" i="12"/>
  <c r="CI144" i="12"/>
  <c r="CE144" i="12"/>
  <c r="BR39" i="22"/>
  <c r="BR40" i="22" s="1"/>
  <c r="CE440" i="12"/>
  <c r="CE135" i="12"/>
  <c r="CE146" i="12"/>
  <c r="CF146" i="12"/>
  <c r="CE145" i="12"/>
  <c r="CE165" i="12"/>
  <c r="CF145" i="12"/>
  <c r="DJ85" i="12"/>
  <c r="R564" i="12"/>
  <c r="Q219" i="12"/>
  <c r="CO196" i="12"/>
  <c r="CY469" i="12"/>
  <c r="CY365" i="12"/>
  <c r="DF285" i="12"/>
  <c r="DF282" i="12"/>
  <c r="DF283" i="12"/>
  <c r="DK26" i="12"/>
  <c r="H14" i="37" s="1"/>
  <c r="DK136" i="17"/>
  <c r="DK116" i="17" s="1"/>
  <c r="CX85" i="22"/>
  <c r="CX84" i="22"/>
  <c r="DK31" i="12"/>
  <c r="DK301" i="12"/>
  <c r="CM78" i="12"/>
  <c r="CM40" i="12"/>
  <c r="CM49" i="12"/>
  <c r="CJ14" i="6"/>
  <c r="CM69" i="12"/>
  <c r="CM43" i="12"/>
  <c r="CM32" i="12"/>
  <c r="CQ32" i="12"/>
  <c r="CM65" i="12"/>
  <c r="CM62" i="12"/>
  <c r="CS345" i="12"/>
  <c r="V85" i="12"/>
  <c r="U379" i="12"/>
  <c r="U389" i="12"/>
  <c r="U391" i="12" s="1"/>
  <c r="T727" i="12"/>
  <c r="S727" i="12"/>
  <c r="S728" i="12"/>
  <c r="S747" i="12" s="1"/>
  <c r="S749" i="12" s="1"/>
  <c r="S740" i="12"/>
  <c r="S742" i="12" s="1"/>
  <c r="S743" i="12" s="1"/>
  <c r="BH143" i="12"/>
  <c r="I163" i="12"/>
  <c r="Q31" i="12"/>
  <c r="Q26" i="12"/>
  <c r="DM327" i="12"/>
  <c r="DM344" i="12"/>
  <c r="S344" i="12"/>
  <c r="CY345" i="12"/>
  <c r="DA750" i="12"/>
  <c r="DA752" i="12" s="1"/>
  <c r="DA754" i="12" s="1"/>
  <c r="DA757" i="12" s="1"/>
  <c r="CZ750" i="12"/>
  <c r="CZ752" i="12" s="1"/>
  <c r="CZ754" i="12" s="1"/>
  <c r="CZ757" i="12" s="1"/>
  <c r="M98" i="22"/>
  <c r="I93" i="22"/>
  <c r="J93" i="22"/>
  <c r="CQ463" i="12"/>
  <c r="CU463" i="12"/>
  <c r="CU155" i="22"/>
  <c r="DI154" i="15"/>
  <c r="DJ154" i="15"/>
  <c r="DJ155" i="15" s="1"/>
  <c r="DH154" i="15"/>
  <c r="DK154" i="15"/>
  <c r="DO170" i="15" s="1"/>
  <c r="CM155" i="22"/>
  <c r="DB154" i="15"/>
  <c r="DC154" i="15"/>
  <c r="DA154" i="15"/>
  <c r="CR109" i="8"/>
  <c r="CR547" i="12"/>
  <c r="CS545" i="12"/>
  <c r="R545" i="12" s="1"/>
  <c r="DG468" i="12"/>
  <c r="CX118" i="22"/>
  <c r="DK219" i="12"/>
  <c r="V379" i="12"/>
  <c r="CM215" i="12"/>
  <c r="CM204" i="12"/>
  <c r="DA462" i="12"/>
  <c r="DA467" i="12"/>
  <c r="DA468" i="12" s="1"/>
  <c r="DA358" i="12"/>
  <c r="T257" i="12"/>
  <c r="DA446" i="12"/>
  <c r="DA450" i="12"/>
  <c r="CB76" i="12"/>
  <c r="CF75" i="12"/>
  <c r="DG391" i="12"/>
  <c r="DH396" i="12"/>
  <c r="DH394" i="12" s="1"/>
  <c r="DH419" i="12"/>
  <c r="DH421" i="12" s="1"/>
  <c r="DG396" i="12"/>
  <c r="DG419" i="12"/>
  <c r="U329" i="12"/>
  <c r="U326" i="12"/>
  <c r="V326" i="12"/>
  <c r="U330" i="12"/>
  <c r="CO466" i="12"/>
  <c r="CO467" i="12"/>
  <c r="CS468" i="12" s="1"/>
  <c r="Q460" i="12"/>
  <c r="CS461" i="12"/>
  <c r="CO471" i="12"/>
  <c r="CO461" i="12"/>
  <c r="CO469" i="12"/>
  <c r="CH76" i="12"/>
  <c r="CH75" i="12"/>
  <c r="DF765" i="12"/>
  <c r="DL728" i="12"/>
  <c r="DL747" i="12" s="1"/>
  <c r="DL749" i="12" s="1"/>
  <c r="DL740" i="12"/>
  <c r="DL742" i="12" s="1"/>
  <c r="DL743" i="12" s="1"/>
  <c r="DL727" i="12"/>
  <c r="DM727" i="12"/>
  <c r="CT42" i="17"/>
  <c r="CT43" i="17" s="1"/>
  <c r="CS42" i="17"/>
  <c r="CS43" i="17" s="1"/>
  <c r="CR42" i="17"/>
  <c r="CR43" i="17" s="1"/>
  <c r="R40" i="17"/>
  <c r="BN46" i="17"/>
  <c r="BN56" i="12"/>
  <c r="DG333" i="12"/>
  <c r="DG335" i="12"/>
  <c r="V332" i="12"/>
  <c r="U265" i="12"/>
  <c r="P137" i="22" s="1"/>
  <c r="U264" i="12"/>
  <c r="V264" i="12"/>
  <c r="DB335" i="12"/>
  <c r="DF333" i="12"/>
  <c r="U332" i="12"/>
  <c r="DB333" i="12"/>
  <c r="DB334" i="12"/>
  <c r="CE76" i="12"/>
  <c r="CE75" i="12"/>
  <c r="CI75" i="12"/>
  <c r="DE335" i="12"/>
  <c r="DE333" i="12"/>
  <c r="CJ155" i="22"/>
  <c r="CZ154" i="15"/>
  <c r="CY154" i="15"/>
  <c r="CX154" i="15"/>
  <c r="CW154" i="15"/>
  <c r="DM247" i="12"/>
  <c r="CP617" i="12"/>
  <c r="Q619" i="12"/>
  <c r="DL347" i="12"/>
  <c r="DH434" i="12"/>
  <c r="V433" i="12"/>
  <c r="DB305" i="12"/>
  <c r="CX306" i="12"/>
  <c r="CX305" i="12"/>
  <c r="X721" i="12"/>
  <c r="X762" i="12" s="1"/>
  <c r="CL607" i="12"/>
  <c r="CM605" i="12" s="1"/>
  <c r="U246" i="12"/>
  <c r="DC247" i="12"/>
  <c r="DC327" i="12"/>
  <c r="DC344" i="12"/>
  <c r="W691" i="12"/>
  <c r="X691" i="12" s="1"/>
  <c r="R125" i="12"/>
  <c r="R126" i="12"/>
  <c r="CN127" i="12"/>
  <c r="CN128" i="12" s="1"/>
  <c r="CN177" i="12"/>
  <c r="CN187" i="12"/>
  <c r="CN183" i="12"/>
  <c r="CN184" i="12"/>
  <c r="CZ177" i="12"/>
  <c r="CZ127" i="12"/>
  <c r="CZ128" i="12" s="1"/>
  <c r="DD127" i="12"/>
  <c r="DD128" i="12" s="1"/>
  <c r="DD177" i="12"/>
  <c r="DM38" i="8"/>
  <c r="DM472" i="12"/>
  <c r="W471" i="12"/>
  <c r="DG35" i="11"/>
  <c r="DG36" i="11" s="1"/>
  <c r="DG37" i="11" s="1"/>
  <c r="W20" i="16"/>
  <c r="DM21" i="16"/>
  <c r="DM19" i="15"/>
  <c r="CZ8" i="22"/>
  <c r="CZ9" i="22" s="1"/>
  <c r="CZ13" i="22" s="1"/>
  <c r="CZ22" i="22" s="1"/>
  <c r="W18" i="15"/>
  <c r="DB44" i="8"/>
  <c r="DB59" i="8" s="1"/>
  <c r="CR405" i="21"/>
  <c r="CZ35" i="22"/>
  <c r="DM53" i="14"/>
  <c r="DM47" i="14"/>
  <c r="DM52" i="14"/>
  <c r="DM46" i="14"/>
  <c r="DM127" i="12"/>
  <c r="DM128" i="12" s="1"/>
  <c r="DM177" i="12"/>
  <c r="DC375" i="21"/>
  <c r="DM22" i="8" s="1"/>
  <c r="W22" i="8" s="1"/>
  <c r="J109" i="35" s="1"/>
  <c r="DK67" i="14"/>
  <c r="DK68" i="14"/>
  <c r="DK85" i="14"/>
  <c r="DO87" i="14" s="1"/>
  <c r="DL67" i="14"/>
  <c r="DM111" i="7"/>
  <c r="DM118" i="7" s="1"/>
  <c r="DM33" i="7"/>
  <c r="DI120" i="6"/>
  <c r="DI118" i="6"/>
  <c r="DC399" i="21"/>
  <c r="DM54" i="8" s="1"/>
  <c r="W54" i="8" s="1"/>
  <c r="W51" i="8"/>
  <c r="DK57" i="8"/>
  <c r="DK58" i="8" s="1"/>
  <c r="DJ288" i="12"/>
  <c r="DJ219" i="12"/>
  <c r="CW118" i="22"/>
  <c r="W287" i="12"/>
  <c r="W126" i="12" s="1"/>
  <c r="DM56" i="12"/>
  <c r="DI46" i="17"/>
  <c r="DI56" i="12"/>
  <c r="BF356" i="21"/>
  <c r="K354" i="21"/>
  <c r="DG247" i="12"/>
  <c r="DG327" i="12"/>
  <c r="V246" i="12"/>
  <c r="DG284" i="12"/>
  <c r="DK247" i="12"/>
  <c r="DG344" i="12"/>
  <c r="V287" i="12"/>
  <c r="DH219" i="12"/>
  <c r="CU118" i="22"/>
  <c r="DH288" i="12"/>
  <c r="CT127" i="17"/>
  <c r="CT128" i="17"/>
  <c r="CX127" i="17"/>
  <c r="F38" i="20"/>
  <c r="G30" i="20"/>
  <c r="F37" i="20"/>
  <c r="F40" i="20" s="1"/>
  <c r="BP12" i="21"/>
  <c r="BZ11" i="16"/>
  <c r="CO118" i="17"/>
  <c r="CS115" i="17"/>
  <c r="CO115" i="17"/>
  <c r="CO110" i="8"/>
  <c r="CO49" i="17"/>
  <c r="CO48" i="17" s="1"/>
  <c r="CZ79" i="14"/>
  <c r="CZ77" i="14" s="1"/>
  <c r="CZ78" i="14" s="1"/>
  <c r="L84" i="14"/>
  <c r="DH32" i="14"/>
  <c r="DH30" i="14" s="1"/>
  <c r="DH31" i="14" s="1"/>
  <c r="N37" i="14"/>
  <c r="N32" i="14" s="1"/>
  <c r="N30" i="14" s="1"/>
  <c r="N31" i="14" s="1"/>
  <c r="CG87" i="7"/>
  <c r="CG88" i="7"/>
  <c r="CG90" i="7"/>
  <c r="CH83" i="7"/>
  <c r="CH85" i="7" s="1"/>
  <c r="CG83" i="7"/>
  <c r="CG85" i="7" s="1"/>
  <c r="CQ17" i="16"/>
  <c r="CK26" i="11"/>
  <c r="CQ24" i="16"/>
  <c r="CU17" i="16"/>
  <c r="DD182" i="7"/>
  <c r="DD177" i="7"/>
  <c r="DD179" i="7" s="1"/>
  <c r="DC195" i="7"/>
  <c r="J205" i="21"/>
  <c r="J207" i="21"/>
  <c r="J208" i="21" s="1"/>
  <c r="CW30" i="21"/>
  <c r="DD45" i="6"/>
  <c r="BI30" i="15"/>
  <c r="BJ48" i="15"/>
  <c r="S86" i="7"/>
  <c r="F37" i="19"/>
  <c r="F40" i="19" s="1"/>
  <c r="G22" i="19"/>
  <c r="G28" i="19" s="1"/>
  <c r="F38" i="19"/>
  <c r="S111" i="7"/>
  <c r="S118" i="7" s="1"/>
  <c r="N78" i="8"/>
  <c r="CN72" i="7"/>
  <c r="CN73" i="7"/>
  <c r="CN74" i="7"/>
  <c r="U135" i="15"/>
  <c r="V133" i="15"/>
  <c r="BK111" i="15"/>
  <c r="CW468" i="12"/>
  <c r="CM102" i="22"/>
  <c r="CZ103" i="7"/>
  <c r="CZ104" i="7" s="1"/>
  <c r="CZ91" i="7"/>
  <c r="CB91" i="7"/>
  <c r="CB103" i="7"/>
  <c r="CB104" i="7" s="1"/>
  <c r="Q304" i="13"/>
  <c r="P58" i="1"/>
  <c r="Q57" i="1"/>
  <c r="P57" i="1"/>
  <c r="H51" i="1"/>
  <c r="H52" i="1"/>
  <c r="AF53" i="1"/>
  <c r="R54" i="1"/>
  <c r="R55" i="1"/>
  <c r="N130" i="1"/>
  <c r="N125" i="1"/>
  <c r="O124" i="1"/>
  <c r="F78" i="1"/>
  <c r="F81" i="1"/>
  <c r="F77" i="1"/>
  <c r="F87" i="1"/>
  <c r="G77" i="1"/>
  <c r="BO92" i="1"/>
  <c r="BO94" i="1"/>
  <c r="O45" i="14"/>
  <c r="O51" i="14"/>
  <c r="O55" i="14"/>
  <c r="BH58" i="1"/>
  <c r="BH57" i="1"/>
  <c r="BS55" i="1"/>
  <c r="BS54" i="1"/>
  <c r="BS76" i="1"/>
  <c r="BX53" i="1"/>
  <c r="K55" i="1"/>
  <c r="K76" i="1"/>
  <c r="BX56" i="1"/>
  <c r="K58" i="1"/>
  <c r="BE55" i="1"/>
  <c r="BE54" i="1"/>
  <c r="BE76" i="1"/>
  <c r="BI54" i="1"/>
  <c r="J51" i="1"/>
  <c r="K51" i="1"/>
  <c r="J52" i="1"/>
  <c r="AS76" i="1"/>
  <c r="AW54" i="1"/>
  <c r="AS56" i="1"/>
  <c r="AS54" i="1"/>
  <c r="AS55" i="1"/>
  <c r="BT78" i="1"/>
  <c r="BG115" i="1"/>
  <c r="BH118" i="1"/>
  <c r="AZ78" i="1"/>
  <c r="AZ81" i="1"/>
  <c r="AZ87" i="1"/>
  <c r="AZ77" i="1"/>
  <c r="BD77" i="1"/>
  <c r="BD89" i="1"/>
  <c r="BD88" i="1"/>
  <c r="BD128" i="1"/>
  <c r="BD91" i="1"/>
  <c r="BD154" i="1"/>
  <c r="N61" i="11"/>
  <c r="BN57" i="1"/>
  <c r="BJ57" i="1"/>
  <c r="BJ58" i="1"/>
  <c r="CI128" i="17"/>
  <c r="Q627" i="12"/>
  <c r="CP625" i="12"/>
  <c r="DD767" i="12"/>
  <c r="AY146" i="12"/>
  <c r="BB144" i="12"/>
  <c r="AX440" i="12"/>
  <c r="BB441" i="12" s="1"/>
  <c r="AY145" i="12"/>
  <c r="DL87" i="14"/>
  <c r="BY42" i="15"/>
  <c r="M40" i="15"/>
  <c r="BZ41" i="15"/>
  <c r="BZ59" i="15" s="1"/>
  <c r="BY41" i="15"/>
  <c r="BY59" i="15" s="1"/>
  <c r="DD147" i="17"/>
  <c r="DH147" i="17"/>
  <c r="CZ767" i="12"/>
  <c r="CR615" i="12"/>
  <c r="CS613" i="12" s="1"/>
  <c r="J22" i="20"/>
  <c r="J28" i="20" s="1"/>
  <c r="BQ28" i="22"/>
  <c r="CE219" i="13"/>
  <c r="CO102" i="22"/>
  <c r="DB91" i="7"/>
  <c r="N17" i="13"/>
  <c r="BI195" i="12"/>
  <c r="CM372" i="13"/>
  <c r="CM376" i="13"/>
  <c r="BV59" i="17"/>
  <c r="DC133" i="13"/>
  <c r="DC82" i="13"/>
  <c r="CZ10" i="6"/>
  <c r="CW13" i="11"/>
  <c r="DC76" i="13"/>
  <c r="CP148" i="22" s="1"/>
  <c r="DC110" i="17"/>
  <c r="DC85" i="13"/>
  <c r="DG76" i="13"/>
  <c r="CT148" i="22" s="1"/>
  <c r="CQ149" i="22"/>
  <c r="CP79" i="22"/>
  <c r="CP149" i="22"/>
  <c r="CP45" i="22"/>
  <c r="DC88" i="13"/>
  <c r="N18" i="8"/>
  <c r="DK102" i="11"/>
  <c r="X101" i="13"/>
  <c r="DD72" i="22"/>
  <c r="X104" i="13"/>
  <c r="DJ39" i="6"/>
  <c r="DN40" i="6" s="1"/>
  <c r="DC28" i="21"/>
  <c r="DL12" i="8"/>
  <c r="DB381" i="21"/>
  <c r="DM17" i="17"/>
  <c r="DC130" i="21"/>
  <c r="DM141" i="17" s="1"/>
  <c r="DJ160" i="15"/>
  <c r="DK160" i="15"/>
  <c r="DJ168" i="15"/>
  <c r="DJ156" i="15"/>
  <c r="DM79" i="14"/>
  <c r="DM77" i="14" s="1"/>
  <c r="DM78" i="14" s="1"/>
  <c r="O84" i="14"/>
  <c r="DM434" i="12"/>
  <c r="DG109" i="11"/>
  <c r="DM112" i="15"/>
  <c r="DM66" i="15"/>
  <c r="DM65" i="15"/>
  <c r="DK34" i="8"/>
  <c r="CZ126" i="22"/>
  <c r="DM22" i="14"/>
  <c r="DM38" i="14"/>
  <c r="DM21" i="14"/>
  <c r="DC377" i="21"/>
  <c r="DM24" i="8" s="1"/>
  <c r="W24" i="8" s="1"/>
  <c r="W33" i="8"/>
  <c r="BH17" i="17"/>
  <c r="I131" i="21"/>
  <c r="I17" i="17" s="1"/>
  <c r="BO380" i="21"/>
  <c r="BO381" i="21" s="1"/>
  <c r="CN118" i="17"/>
  <c r="CN49" i="17"/>
  <c r="CN110" i="8"/>
  <c r="CN550" i="12"/>
  <c r="CO550" i="12" s="1"/>
  <c r="CN115" i="17"/>
  <c r="Q114" i="17"/>
  <c r="CR115" i="17"/>
  <c r="DL21" i="17"/>
  <c r="DL18" i="17"/>
  <c r="W17" i="17"/>
  <c r="CH128" i="17"/>
  <c r="CL127" i="17"/>
  <c r="CH127" i="17"/>
  <c r="CF49" i="17"/>
  <c r="CF48" i="17" s="1"/>
  <c r="CF128" i="17"/>
  <c r="CF129" i="17" s="1"/>
  <c r="CF118" i="17"/>
  <c r="CJ115" i="17"/>
  <c r="CF115" i="17"/>
  <c r="CV79" i="14"/>
  <c r="CV77" i="14" s="1"/>
  <c r="CV78" i="14" s="1"/>
  <c r="K84" i="14"/>
  <c r="CL53" i="11"/>
  <c r="R53" i="11" s="1"/>
  <c r="R49" i="11"/>
  <c r="DM116" i="13"/>
  <c r="DL298" i="12"/>
  <c r="DL22" i="12"/>
  <c r="DL314" i="12"/>
  <c r="BG396" i="21"/>
  <c r="BG402" i="21" s="1"/>
  <c r="DN48" i="16"/>
  <c r="DN23" i="16" s="1"/>
  <c r="CC56" i="8"/>
  <c r="N56" i="8" s="1"/>
  <c r="N57" i="8" s="1"/>
  <c r="BS402" i="21"/>
  <c r="CJ59" i="8"/>
  <c r="CJ45" i="8"/>
  <c r="I100" i="15"/>
  <c r="I101" i="15"/>
  <c r="I104" i="14"/>
  <c r="CJ49" i="22"/>
  <c r="DA12" i="16"/>
  <c r="CW12" i="16"/>
  <c r="CT18" i="6"/>
  <c r="CQ17" i="11"/>
  <c r="S11" i="16"/>
  <c r="CD103" i="7"/>
  <c r="CD104" i="7" s="1"/>
  <c r="CD92" i="7"/>
  <c r="CD91" i="7"/>
  <c r="CW18" i="6"/>
  <c r="CT17" i="11"/>
  <c r="CM49" i="22"/>
  <c r="CZ12" i="16"/>
  <c r="T11" i="16"/>
  <c r="DD12" i="16"/>
  <c r="CK120" i="17"/>
  <c r="CK119" i="17"/>
  <c r="CP72" i="7"/>
  <c r="CP74" i="7"/>
  <c r="CP73" i="7"/>
  <c r="CR46" i="6"/>
  <c r="CN46" i="6"/>
  <c r="CW72" i="7"/>
  <c r="CW73" i="7"/>
  <c r="CW74" i="7"/>
  <c r="CU46" i="6"/>
  <c r="P126" i="17"/>
  <c r="U127" i="15"/>
  <c r="V125" i="15"/>
  <c r="CV103" i="7"/>
  <c r="CV104" i="7" s="1"/>
  <c r="CI102" i="22"/>
  <c r="CV91" i="7"/>
  <c r="CJ103" i="7"/>
  <c r="CJ104" i="7" s="1"/>
  <c r="CJ91" i="7"/>
  <c r="CK19" i="6"/>
  <c r="J75" i="1"/>
  <c r="J32" i="1"/>
  <c r="J66" i="1"/>
  <c r="J28" i="1"/>
  <c r="J33" i="1"/>
  <c r="J25" i="1"/>
  <c r="J13" i="1"/>
  <c r="J17" i="1"/>
  <c r="J53" i="1"/>
  <c r="K33" i="1"/>
  <c r="J72" i="1"/>
  <c r="J30" i="1"/>
  <c r="J64" i="1"/>
  <c r="AU55" i="1"/>
  <c r="AU76" i="1"/>
  <c r="AU56" i="1"/>
  <c r="AU54" i="1"/>
  <c r="AY54" i="1"/>
  <c r="I51" i="1"/>
  <c r="BQ78" i="1"/>
  <c r="BQ87" i="1"/>
  <c r="BQ81" i="1"/>
  <c r="BR127" i="1"/>
  <c r="BR129" i="1"/>
  <c r="BI94" i="1"/>
  <c r="AV54" i="1"/>
  <c r="AR55" i="1"/>
  <c r="AR54" i="1"/>
  <c r="AR76" i="1"/>
  <c r="AR56" i="1"/>
  <c r="AK78" i="1"/>
  <c r="AK81" i="1"/>
  <c r="AK87" i="1"/>
  <c r="AK89" i="1" s="1"/>
  <c r="M66" i="1"/>
  <c r="M76" i="1"/>
  <c r="M153" i="1"/>
  <c r="M155" i="1"/>
  <c r="E81" i="1"/>
  <c r="E78" i="1"/>
  <c r="E87" i="1"/>
  <c r="E89" i="1" s="1"/>
  <c r="BP118" i="1"/>
  <c r="BO115" i="1"/>
  <c r="O16" i="16"/>
  <c r="BE58" i="1"/>
  <c r="BE57" i="1"/>
  <c r="BI57" i="1"/>
  <c r="BL76" i="1"/>
  <c r="BL55" i="1"/>
  <c r="BL54" i="1"/>
  <c r="J38" i="1"/>
  <c r="BA78" i="1"/>
  <c r="BA87" i="1"/>
  <c r="BA81" i="1"/>
  <c r="BA77" i="1"/>
  <c r="BM76" i="1"/>
  <c r="BQ77" i="1" s="1"/>
  <c r="BM54" i="1"/>
  <c r="BM55" i="1"/>
  <c r="AL88" i="1"/>
  <c r="AL89" i="1"/>
  <c r="AJ56" i="1"/>
  <c r="AJ76" i="1"/>
  <c r="AJ55" i="1"/>
  <c r="AN54" i="1"/>
  <c r="BR77" i="1"/>
  <c r="BR78" i="1"/>
  <c r="BR79" i="1"/>
  <c r="BR87" i="1" s="1"/>
  <c r="AV118" i="1"/>
  <c r="AW115" i="1"/>
  <c r="AV116" i="1"/>
  <c r="N55" i="17"/>
  <c r="M55" i="17"/>
  <c r="CO672" i="12"/>
  <c r="Q672" i="12" s="1"/>
  <c r="DB767" i="12"/>
  <c r="CP593" i="12"/>
  <c r="Q595" i="12"/>
  <c r="CH233" i="12"/>
  <c r="CH228" i="12" s="1"/>
  <c r="CI232" i="12"/>
  <c r="CG232" i="12"/>
  <c r="L55" i="1"/>
  <c r="L76" i="1"/>
  <c r="L54" i="1"/>
  <c r="BY53" i="1"/>
  <c r="M54" i="1"/>
  <c r="DE765" i="12"/>
  <c r="BM440" i="12"/>
  <c r="BM144" i="12"/>
  <c r="BT39" i="22"/>
  <c r="O143" i="12"/>
  <c r="CG440" i="12"/>
  <c r="CG146" i="12"/>
  <c r="CG135" i="12"/>
  <c r="CG145" i="12"/>
  <c r="CM34" i="7"/>
  <c r="CW371" i="13"/>
  <c r="CS371" i="13"/>
  <c r="CC77" i="6"/>
  <c r="CC79" i="6"/>
  <c r="CF110" i="7" s="1"/>
  <c r="CF117" i="7" s="1"/>
  <c r="CC88" i="6"/>
  <c r="CS45" i="22"/>
  <c r="DF88" i="13"/>
  <c r="DF85" i="13"/>
  <c r="DJ76" i="13"/>
  <c r="G28" i="37" s="1"/>
  <c r="DF133" i="13"/>
  <c r="CT149" i="22"/>
  <c r="CZ13" i="11"/>
  <c r="DC10" i="6"/>
  <c r="CS79" i="22"/>
  <c r="DF110" i="17"/>
  <c r="CS149" i="22"/>
  <c r="DF76" i="13"/>
  <c r="CS148" i="22" s="1"/>
  <c r="DF82" i="13"/>
  <c r="CC58" i="11"/>
  <c r="CC67" i="11"/>
  <c r="N17" i="8"/>
  <c r="CA76" i="8"/>
  <c r="CA79" i="8" s="1"/>
  <c r="CA35" i="8"/>
  <c r="DC123" i="22"/>
  <c r="DC124" i="22"/>
  <c r="DD123" i="22"/>
  <c r="DL50" i="8"/>
  <c r="DB402" i="21"/>
  <c r="DC376" i="21"/>
  <c r="DM23" i="8" s="1"/>
  <c r="W23" i="8" s="1"/>
  <c r="DL434" i="12"/>
  <c r="W433" i="12"/>
  <c r="DA390" i="21"/>
  <c r="DK44" i="8" s="1"/>
  <c r="DK39" i="8"/>
  <c r="DB385" i="21"/>
  <c r="DL39" i="8" s="1"/>
  <c r="DN167" i="7"/>
  <c r="DM197" i="7"/>
  <c r="T36" i="37"/>
  <c r="DM23" i="15"/>
  <c r="CZ24" i="22"/>
  <c r="CZ23" i="22" s="1"/>
  <c r="DM70" i="15"/>
  <c r="J36" i="37" s="1"/>
  <c r="DM150" i="15"/>
  <c r="DQ166" i="15" s="1"/>
  <c r="DM69" i="15"/>
  <c r="J35" i="37" s="1"/>
  <c r="DM32" i="14"/>
  <c r="DM30" i="14" s="1"/>
  <c r="DM31" i="14" s="1"/>
  <c r="O37" i="14"/>
  <c r="O32" i="14" s="1"/>
  <c r="O30" i="14" s="1"/>
  <c r="O31" i="14" s="1"/>
  <c r="DC371" i="21"/>
  <c r="CI49" i="17"/>
  <c r="P114" i="17"/>
  <c r="P91" i="15"/>
  <c r="G48" i="14"/>
  <c r="P98" i="15"/>
  <c r="P92" i="15"/>
  <c r="O112" i="15"/>
  <c r="G139" i="14"/>
  <c r="CD193" i="7"/>
  <c r="CD186" i="7"/>
  <c r="CD190" i="7"/>
  <c r="O178" i="7"/>
  <c r="CH190" i="7"/>
  <c r="DL145" i="17"/>
  <c r="DP147" i="17" s="1"/>
  <c r="DL142" i="17"/>
  <c r="CY69" i="22"/>
  <c r="CY70" i="22" s="1"/>
  <c r="DL126" i="17"/>
  <c r="DP127" i="17" s="1"/>
  <c r="DC401" i="21"/>
  <c r="DM56" i="8" s="1"/>
  <c r="W56" i="8" s="1"/>
  <c r="W563" i="12" s="1"/>
  <c r="W566" i="12" s="1"/>
  <c r="DK115" i="17"/>
  <c r="DG115" i="17"/>
  <c r="DG128" i="17"/>
  <c r="DG118" i="17"/>
  <c r="DG49" i="17"/>
  <c r="DG110" i="8"/>
  <c r="V114" i="17"/>
  <c r="J84" i="14"/>
  <c r="CR79" i="14"/>
  <c r="CR77" i="14" s="1"/>
  <c r="CR78" i="14" s="1"/>
  <c r="DL25" i="12"/>
  <c r="DL304" i="12"/>
  <c r="DL24" i="12"/>
  <c r="BW302" i="12"/>
  <c r="BX303" i="12"/>
  <c r="BW303" i="12"/>
  <c r="M301" i="12"/>
  <c r="CQ72" i="7"/>
  <c r="CS46" i="6"/>
  <c r="CQ73" i="7"/>
  <c r="CO46" i="6"/>
  <c r="CQ74" i="7"/>
  <c r="CC49" i="22"/>
  <c r="CM18" i="6"/>
  <c r="CQ19" i="6" s="1"/>
  <c r="CJ17" i="11"/>
  <c r="CP12" i="16"/>
  <c r="CT12" i="16"/>
  <c r="CU19" i="6"/>
  <c r="BG44" i="15"/>
  <c r="BH47" i="15"/>
  <c r="BH46" i="15" s="1"/>
  <c r="BH30" i="15" s="1"/>
  <c r="BH43" i="15"/>
  <c r="BH20" i="15" s="1"/>
  <c r="BH11" i="15" s="1"/>
  <c r="CA167" i="7"/>
  <c r="CA169" i="7" s="1"/>
  <c r="CA175" i="7" s="1"/>
  <c r="BZ172" i="7"/>
  <c r="BZ169" i="7"/>
  <c r="CA172" i="7"/>
  <c r="BV26" i="11"/>
  <c r="BV44" i="11" s="1"/>
  <c r="CB24" i="16"/>
  <c r="BZ60" i="8"/>
  <c r="BZ61" i="8" s="1"/>
  <c r="BZ63" i="8" s="1"/>
  <c r="BP407" i="21"/>
  <c r="BQ406" i="21" s="1"/>
  <c r="CO74" i="7"/>
  <c r="CO72" i="7"/>
  <c r="CO73" i="7"/>
  <c r="DL120" i="15"/>
  <c r="DH120" i="15"/>
  <c r="CL577" i="12"/>
  <c r="CK632" i="12"/>
  <c r="P579" i="12"/>
  <c r="Q577" i="12" s="1"/>
  <c r="CK91" i="7"/>
  <c r="BX102" i="22"/>
  <c r="CK103" i="7"/>
  <c r="CK104" i="7" s="1"/>
  <c r="Q111" i="7"/>
  <c r="Q118" i="7" s="1"/>
  <c r="Q33" i="7"/>
  <c r="CO59" i="14"/>
  <c r="CN61" i="14"/>
  <c r="CN71" i="14"/>
  <c r="CN60" i="14"/>
  <c r="BB58" i="1"/>
  <c r="BF57" i="1"/>
  <c r="BB57" i="1"/>
  <c r="BS108" i="1"/>
  <c r="BS99" i="1" s="1"/>
  <c r="BS107" i="1"/>
  <c r="BS126" i="1"/>
  <c r="BT105" i="1"/>
  <c r="CO17" i="11"/>
  <c r="CY12" i="16"/>
  <c r="CH49" i="22"/>
  <c r="CR18" i="6"/>
  <c r="CB76" i="8"/>
  <c r="CB79" i="8" s="1"/>
  <c r="CB35" i="8"/>
  <c r="CW363" i="12"/>
  <c r="S358" i="12"/>
  <c r="CA102" i="22"/>
  <c r="CN91" i="7"/>
  <c r="CN103" i="7"/>
  <c r="CN104" i="7" s="1"/>
  <c r="BU77" i="1"/>
  <c r="BU78" i="1"/>
  <c r="AZ117" i="1"/>
  <c r="BT124" i="1"/>
  <c r="BS125" i="1"/>
  <c r="BH55" i="1"/>
  <c r="BH54" i="1"/>
  <c r="BH76" i="1"/>
  <c r="BP54" i="1"/>
  <c r="BP76" i="1"/>
  <c r="BP55" i="1"/>
  <c r="BT54" i="1"/>
  <c r="BZ76" i="1"/>
  <c r="N78" i="1"/>
  <c r="N77" i="1"/>
  <c r="N131" i="1"/>
  <c r="CG21" i="16"/>
  <c r="CA35" i="11"/>
  <c r="CA36" i="11" s="1"/>
  <c r="CA37" i="11" s="1"/>
  <c r="CK21" i="16"/>
  <c r="K30" i="1"/>
  <c r="K32" i="1"/>
  <c r="AO76" i="1"/>
  <c r="AO54" i="1"/>
  <c r="AO55" i="1"/>
  <c r="AO56" i="1"/>
  <c r="J47" i="1"/>
  <c r="BT79" i="1"/>
  <c r="BT80" i="1" s="1"/>
  <c r="AI81" i="1"/>
  <c r="AI78" i="1"/>
  <c r="AI87" i="1"/>
  <c r="AI89" i="1" s="1"/>
  <c r="AM77" i="1"/>
  <c r="H53" i="1"/>
  <c r="BY68" i="1"/>
  <c r="L69" i="1"/>
  <c r="O64" i="1"/>
  <c r="P62" i="1"/>
  <c r="DI17" i="16"/>
  <c r="DC26" i="11"/>
  <c r="DC27" i="11" s="1"/>
  <c r="DC28" i="11" s="1"/>
  <c r="DI24" i="16"/>
  <c r="BQ208" i="12"/>
  <c r="BQ211" i="12"/>
  <c r="R609" i="12"/>
  <c r="CS611" i="12"/>
  <c r="CS668" i="12" s="1"/>
  <c r="DG147" i="17"/>
  <c r="DC147" i="17"/>
  <c r="CU374" i="12"/>
  <c r="CU376" i="12"/>
  <c r="CU377" i="12" s="1"/>
  <c r="DL158" i="15"/>
  <c r="BN144" i="12"/>
  <c r="BN146" i="12"/>
  <c r="BN440" i="12"/>
  <c r="BN145" i="12"/>
  <c r="CM112" i="7"/>
  <c r="CM119" i="7" s="1"/>
  <c r="CE90" i="6"/>
  <c r="CE145" i="6"/>
  <c r="CE92" i="6"/>
  <c r="CE95" i="6"/>
  <c r="CE119" i="6"/>
  <c r="DL74" i="14"/>
  <c r="K45" i="22"/>
  <c r="P76" i="13"/>
  <c r="K148" i="22" s="1"/>
  <c r="P82" i="13"/>
  <c r="P85" i="13"/>
  <c r="P88" i="13"/>
  <c r="K79" i="22"/>
  <c r="CM333" i="13"/>
  <c r="CM337" i="13"/>
  <c r="DL38" i="8"/>
  <c r="DB390" i="21"/>
  <c r="DL44" i="8" s="1"/>
  <c r="DM12" i="8"/>
  <c r="DC381" i="21"/>
  <c r="DM160" i="15"/>
  <c r="DM168" i="15"/>
  <c r="W32" i="8"/>
  <c r="DM91" i="8"/>
  <c r="DM85" i="14"/>
  <c r="DQ87" i="14" s="1"/>
  <c r="DM67" i="14"/>
  <c r="DM68" i="14"/>
  <c r="DY444" i="12"/>
  <c r="DM454" i="12"/>
  <c r="DM445" i="12"/>
  <c r="DL78" i="8"/>
  <c r="W52" i="8"/>
  <c r="DC395" i="21"/>
  <c r="DM50" i="8" s="1"/>
  <c r="DM48" i="8"/>
  <c r="W48" i="8" s="1"/>
  <c r="DM56" i="17"/>
  <c r="W27" i="16"/>
  <c r="W53" i="11" s="1"/>
  <c r="W54" i="11" s="1"/>
  <c r="DK11" i="14"/>
  <c r="DK10" i="14"/>
  <c r="DK25" i="14"/>
  <c r="DK12" i="14"/>
  <c r="DL9" i="14"/>
  <c r="CX112" i="22"/>
  <c r="DJ344" i="12"/>
  <c r="DJ247" i="12"/>
  <c r="DJ327" i="12"/>
  <c r="W246" i="12"/>
  <c r="DI454" i="12"/>
  <c r="DI445" i="12"/>
  <c r="W444" i="12"/>
  <c r="V444" i="12"/>
  <c r="V445" i="12" s="1"/>
  <c r="DC385" i="21"/>
  <c r="DM39" i="8" s="1"/>
  <c r="CP39" i="6"/>
  <c r="CI28" i="21"/>
  <c r="S126" i="17"/>
  <c r="CG12" i="21"/>
  <c r="CQ11" i="16"/>
  <c r="CY49" i="17"/>
  <c r="DC115" i="17"/>
  <c r="CY118" i="17"/>
  <c r="CY115" i="17"/>
  <c r="CY128" i="17"/>
  <c r="CY110" i="8"/>
  <c r="CY46" i="14"/>
  <c r="CH35" i="22"/>
  <c r="CU53" i="14"/>
  <c r="CU46" i="14"/>
  <c r="CV47" i="14"/>
  <c r="CU47" i="14"/>
  <c r="CW85" i="12"/>
  <c r="CF54" i="6"/>
  <c r="CB56" i="6"/>
  <c r="CB54" i="6"/>
  <c r="CB55" i="6"/>
  <c r="DD256" i="21"/>
  <c r="DE256" i="21" s="1"/>
  <c r="DM23" i="12"/>
  <c r="DC255" i="21"/>
  <c r="DM21" i="12" s="1"/>
  <c r="DM48" i="16"/>
  <c r="DM23" i="16" s="1"/>
  <c r="CU52" i="14"/>
  <c r="CO318" i="13"/>
  <c r="CO312" i="13"/>
  <c r="CO335" i="13"/>
  <c r="CO332" i="13"/>
  <c r="CO315" i="13"/>
  <c r="Q306" i="13"/>
  <c r="CO328" i="13"/>
  <c r="CO358" i="13"/>
  <c r="CS358" i="13" s="1"/>
  <c r="CS302" i="13" s="1"/>
  <c r="DA74" i="7"/>
  <c r="DA73" i="7"/>
  <c r="DA72" i="7"/>
  <c r="CY46" i="6"/>
  <c r="DC46" i="6"/>
  <c r="CM73" i="7"/>
  <c r="CM72" i="7"/>
  <c r="CM74" i="7"/>
  <c r="CW17" i="8"/>
  <c r="S18" i="8"/>
  <c r="BQ100" i="15"/>
  <c r="BP99" i="15"/>
  <c r="BP101" i="15" s="1"/>
  <c r="BP102" i="15" s="1"/>
  <c r="F38" i="14"/>
  <c r="F132" i="14"/>
  <c r="CL102" i="22"/>
  <c r="CY91" i="7"/>
  <c r="CY103" i="7"/>
  <c r="CY104" i="7" s="1"/>
  <c r="CI103" i="7"/>
  <c r="CI104" i="7" s="1"/>
  <c r="CI91" i="7"/>
  <c r="DD40" i="6"/>
  <c r="V39" i="6"/>
  <c r="DD53" i="6"/>
  <c r="DH40" i="6"/>
  <c r="DG16" i="16"/>
  <c r="BJ45" i="15"/>
  <c r="BI20" i="15"/>
  <c r="BI11" i="15" s="1"/>
  <c r="Q349" i="13"/>
  <c r="CY750" i="12"/>
  <c r="CY752" i="12" s="1"/>
  <c r="CX750" i="12"/>
  <c r="CX752" i="12" s="1"/>
  <c r="U358" i="12"/>
  <c r="DE363" i="12"/>
  <c r="J138" i="14"/>
  <c r="I139" i="14"/>
  <c r="I140" i="14" s="1"/>
  <c r="AY117" i="1"/>
  <c r="BC117" i="1"/>
  <c r="CL73" i="7"/>
  <c r="CL74" i="7"/>
  <c r="CL72" i="7"/>
  <c r="CR12" i="16"/>
  <c r="CO18" i="6"/>
  <c r="CV12" i="16"/>
  <c r="CL17" i="11"/>
  <c r="CE49" i="22"/>
  <c r="CJ215" i="13"/>
  <c r="CJ257" i="13" s="1"/>
  <c r="BW26" i="22"/>
  <c r="CJ92" i="15"/>
  <c r="CJ98" i="15"/>
  <c r="CJ113" i="15"/>
  <c r="CJ48" i="14"/>
  <c r="CN91" i="15"/>
  <c r="CK92" i="15"/>
  <c r="CK98" i="15"/>
  <c r="CJ112" i="15"/>
  <c r="CJ118" i="15"/>
  <c r="CE102" i="22"/>
  <c r="CR91" i="7"/>
  <c r="CR103" i="7"/>
  <c r="CR104" i="7" s="1"/>
  <c r="CF103" i="7"/>
  <c r="CF104" i="7" s="1"/>
  <c r="CF91" i="7"/>
  <c r="CF92" i="7"/>
  <c r="CI18" i="6"/>
  <c r="BY49" i="22"/>
  <c r="CL12" i="16"/>
  <c r="CF17" i="11"/>
  <c r="H101" i="15"/>
  <c r="P55" i="1"/>
  <c r="P54" i="1"/>
  <c r="Q54" i="1"/>
  <c r="I76" i="1"/>
  <c r="BV53" i="1"/>
  <c r="I56" i="1"/>
  <c r="I54" i="1"/>
  <c r="I55" i="1"/>
  <c r="O65" i="1"/>
  <c r="P68" i="1"/>
  <c r="J173" i="1"/>
  <c r="J99" i="1"/>
  <c r="AQ118" i="1"/>
  <c r="AQ116" i="1"/>
  <c r="AU117" i="1" s="1"/>
  <c r="AR115" i="1"/>
  <c r="G128" i="1"/>
  <c r="H127" i="1"/>
  <c r="AQ88" i="1"/>
  <c r="AM88" i="1"/>
  <c r="AM89" i="1"/>
  <c r="BK77" i="1"/>
  <c r="BG77" i="1"/>
  <c r="BG81" i="1"/>
  <c r="BG87" i="1"/>
  <c r="BG78" i="1"/>
  <c r="BZ35" i="11"/>
  <c r="BZ36" i="11" s="1"/>
  <c r="BZ37" i="11" s="1"/>
  <c r="CJ21" i="16"/>
  <c r="CF21" i="16"/>
  <c r="O20" i="16"/>
  <c r="O35" i="11" s="1"/>
  <c r="G89" i="1"/>
  <c r="G91" i="1"/>
  <c r="G88" i="1"/>
  <c r="I30" i="19"/>
  <c r="X444" i="12"/>
  <c r="Y445" i="12" s="1"/>
  <c r="J44" i="1"/>
  <c r="AL57" i="1"/>
  <c r="BU79" i="1"/>
  <c r="BU80" i="1" s="1"/>
  <c r="CF17" i="16"/>
  <c r="CJ17" i="16"/>
  <c r="CF24" i="16"/>
  <c r="BZ26" i="11"/>
  <c r="BQ55" i="17"/>
  <c r="BP55" i="17"/>
  <c r="K54" i="17"/>
  <c r="BN54" i="1"/>
  <c r="BJ76" i="1"/>
  <c r="BJ54" i="1"/>
  <c r="BJ55" i="1"/>
  <c r="BF76" i="1"/>
  <c r="BF54" i="1"/>
  <c r="BF55" i="1"/>
  <c r="CW100" i="15"/>
  <c r="CV99" i="15"/>
  <c r="CV101" i="15" s="1"/>
  <c r="CV102" i="15" s="1"/>
  <c r="BY110" i="15"/>
  <c r="CJ146" i="12"/>
  <c r="CJ135" i="12"/>
  <c r="BW39" i="22"/>
  <c r="BW40" i="22" s="1"/>
  <c r="CJ440" i="12"/>
  <c r="CJ144" i="12"/>
  <c r="CJ145" i="12"/>
  <c r="DJ119" i="17"/>
  <c r="DJ120" i="17"/>
  <c r="DE754" i="12"/>
  <c r="CR668" i="12"/>
  <c r="DM35" i="13"/>
  <c r="DM50" i="13" s="1"/>
  <c r="DQ51" i="13" s="1"/>
  <c r="BJ195" i="12"/>
  <c r="BK199" i="12"/>
  <c r="BJ199" i="12"/>
  <c r="CY79" i="22"/>
  <c r="DF13" i="11"/>
  <c r="DL110" i="17"/>
  <c r="DL85" i="13"/>
  <c r="DL133" i="13"/>
  <c r="CY45" i="22"/>
  <c r="DI10" i="6"/>
  <c r="DL82" i="13"/>
  <c r="CY149" i="22"/>
  <c r="W75" i="13"/>
  <c r="DL88" i="13"/>
  <c r="DL76" i="13"/>
  <c r="I28" i="37" s="1"/>
  <c r="DG127" i="17"/>
  <c r="DC128" i="17"/>
  <c r="DC129" i="17" s="1"/>
  <c r="U126" i="17"/>
  <c r="CV365" i="12"/>
  <c r="CV469" i="12"/>
  <c r="DD765" i="12"/>
  <c r="CU765" i="12"/>
  <c r="CV765" i="12"/>
  <c r="CZ765" i="12"/>
  <c r="CY765" i="12"/>
  <c r="CT765" i="12"/>
  <c r="CX765" i="12"/>
  <c r="CT767" i="12"/>
  <c r="CW765" i="12"/>
  <c r="DA765" i="12"/>
  <c r="W550" i="12"/>
  <c r="W557" i="12" s="1"/>
  <c r="N50" i="15"/>
  <c r="M51" i="15"/>
  <c r="M50" i="15"/>
  <c r="CS603" i="12"/>
  <c r="CS666" i="12" s="1"/>
  <c r="R601" i="12"/>
  <c r="BO149" i="22"/>
  <c r="CF76" i="13"/>
  <c r="BS148" i="22" s="1"/>
  <c r="BO45" i="22"/>
  <c r="CB76" i="13"/>
  <c r="BO148" i="22" s="1"/>
  <c r="CB85" i="13"/>
  <c r="BY10" i="6"/>
  <c r="BO79" i="22"/>
  <c r="BP149" i="22"/>
  <c r="CB133" i="13"/>
  <c r="BV13" i="11"/>
  <c r="CB82" i="13"/>
  <c r="CB88" i="13"/>
  <c r="CB110" i="17"/>
  <c r="BW11" i="6"/>
  <c r="DK429" i="12"/>
  <c r="DK430" i="12" s="1"/>
  <c r="DO431" i="12" s="1"/>
  <c r="BH198" i="12"/>
  <c r="BG205" i="12"/>
  <c r="CW124" i="22"/>
  <c r="W85" i="7"/>
  <c r="W86" i="7"/>
  <c r="CF45" i="22"/>
  <c r="CS133" i="13"/>
  <c r="CS76" i="13"/>
  <c r="CF148" i="22" s="1"/>
  <c r="CM13" i="11"/>
  <c r="CS82" i="13"/>
  <c r="CF79" i="22"/>
  <c r="CS88" i="13"/>
  <c r="CP10" i="6"/>
  <c r="CG149" i="22"/>
  <c r="CS110" i="17"/>
  <c r="CS85" i="13"/>
  <c r="CG12" i="6"/>
  <c r="CF11" i="6"/>
  <c r="CW76" i="13"/>
  <c r="CJ148" i="22" s="1"/>
  <c r="DM429" i="12"/>
  <c r="DM430" i="12" s="1"/>
  <c r="DQ431" i="12" s="1"/>
  <c r="CH106" i="13"/>
  <c r="CG105" i="13"/>
  <c r="J127" i="17"/>
  <c r="J49" i="17"/>
  <c r="K49" i="17"/>
  <c r="T115" i="17"/>
  <c r="CA129" i="17"/>
  <c r="CM119" i="17"/>
  <c r="CM120" i="17"/>
  <c r="CR129" i="17"/>
  <c r="P115" i="17"/>
  <c r="V132" i="17"/>
  <c r="Q65" i="22"/>
  <c r="CM696" i="12"/>
  <c r="CI119" i="17"/>
  <c r="CI120" i="17"/>
  <c r="P118" i="17"/>
  <c r="DN52" i="14"/>
  <c r="DN46" i="14"/>
  <c r="DN53" i="14"/>
  <c r="DA35" i="22"/>
  <c r="DN168" i="15"/>
  <c r="DN160" i="15"/>
  <c r="S113" i="12"/>
  <c r="S125" i="12"/>
  <c r="S126" i="12"/>
  <c r="CO184" i="12"/>
  <c r="CO183" i="12"/>
  <c r="DE177" i="12"/>
  <c r="DE127" i="12"/>
  <c r="DE128" i="12" s="1"/>
  <c r="DA127" i="12"/>
  <c r="DA128" i="12" s="1"/>
  <c r="T122" i="12"/>
  <c r="DA177" i="12"/>
  <c r="CP184" i="12"/>
  <c r="U113" i="12"/>
  <c r="U186" i="12"/>
  <c r="U125" i="12"/>
  <c r="DH177" i="12"/>
  <c r="DH127" i="12"/>
  <c r="DH128" i="12" s="1"/>
  <c r="R186" i="12"/>
  <c r="R113" i="12"/>
  <c r="Q125" i="12"/>
  <c r="W113" i="12"/>
  <c r="W186" i="12"/>
  <c r="W125" i="12"/>
  <c r="CU218" i="12"/>
  <c r="CU130" i="12"/>
  <c r="CO187" i="12"/>
  <c r="CO127" i="12"/>
  <c r="CO128" i="12" s="1"/>
  <c r="Q122" i="12"/>
  <c r="Q187" i="12" s="1"/>
  <c r="CO177" i="12"/>
  <c r="CG119" i="22"/>
  <c r="T125" i="12"/>
  <c r="T126" i="12"/>
  <c r="T113" i="12"/>
  <c r="DB177" i="12"/>
  <c r="DB127" i="12"/>
  <c r="DB128" i="12" s="1"/>
  <c r="U122" i="12"/>
  <c r="CV119" i="22"/>
  <c r="DL177" i="12"/>
  <c r="DL127" i="12"/>
  <c r="DL128" i="12" s="1"/>
  <c r="W122" i="12"/>
  <c r="CW119" i="22"/>
  <c r="DL137" i="12"/>
  <c r="DL290" i="12"/>
  <c r="DD138" i="12"/>
  <c r="CQ138" i="12"/>
  <c r="DN128" i="12"/>
  <c r="DN48" i="12"/>
  <c r="DN12" i="15"/>
  <c r="DA7" i="22"/>
  <c r="DN34" i="13"/>
  <c r="DH103" i="11"/>
  <c r="DI103" i="11"/>
  <c r="DN62" i="7"/>
  <c r="DD110" i="21"/>
  <c r="X42" i="8"/>
  <c r="DN186" i="7"/>
  <c r="DB49" i="22"/>
  <c r="DL19" i="6"/>
  <c r="DI17" i="11"/>
  <c r="DN59" i="8"/>
  <c r="DK39" i="6"/>
  <c r="DO40" i="6" s="1"/>
  <c r="DD28" i="21"/>
  <c r="DP94" i="8"/>
  <c r="DO94" i="8"/>
  <c r="DN76" i="7"/>
  <c r="DO77" i="7" s="1"/>
  <c r="DN172" i="7"/>
  <c r="DN169" i="7"/>
  <c r="DN175" i="7" s="1"/>
  <c r="DN33" i="7"/>
  <c r="X53" i="8"/>
  <c r="X55" i="7"/>
  <c r="DN56" i="17"/>
  <c r="DO57" i="17" s="1"/>
  <c r="DN78" i="8"/>
  <c r="DN119" i="17"/>
  <c r="DN147" i="17"/>
  <c r="DN127" i="17"/>
  <c r="DN66" i="15"/>
  <c r="DN65" i="15"/>
  <c r="DN112" i="15"/>
  <c r="DN159" i="15"/>
  <c r="DN167" i="15"/>
  <c r="DN68" i="14"/>
  <c r="DN85" i="14"/>
  <c r="DR87" i="14" s="1"/>
  <c r="DN67" i="14"/>
  <c r="DN333" i="12"/>
  <c r="DN335" i="12"/>
  <c r="DN454" i="12"/>
  <c r="DN445" i="12"/>
  <c r="DN750" i="12"/>
  <c r="DN752" i="12" s="1"/>
  <c r="DN767" i="12"/>
  <c r="DN434" i="12"/>
  <c r="AA60" i="13" l="1"/>
  <c r="AB60" i="13" s="1"/>
  <c r="CB94" i="14"/>
  <c r="DL86" i="14"/>
  <c r="CN57" i="14"/>
  <c r="DF171" i="15"/>
  <c r="BU118" i="15"/>
  <c r="BU119" i="15" s="1"/>
  <c r="L90" i="15"/>
  <c r="BU91" i="15"/>
  <c r="BU215" i="13"/>
  <c r="BV90" i="15"/>
  <c r="CX109" i="11"/>
  <c r="H55" i="14"/>
  <c r="K53" i="15"/>
  <c r="DD65" i="15"/>
  <c r="DL67" i="15"/>
  <c r="H51" i="14"/>
  <c r="BW76" i="15"/>
  <c r="K64" i="15"/>
  <c r="K80" i="15" s="1"/>
  <c r="K55" i="15"/>
  <c r="K56" i="15"/>
  <c r="K39" i="15" s="1"/>
  <c r="CQ23" i="22"/>
  <c r="DH65" i="15"/>
  <c r="I51" i="14"/>
  <c r="K108" i="15"/>
  <c r="K34" i="15"/>
  <c r="J59" i="15"/>
  <c r="CG39" i="15"/>
  <c r="CR71" i="15"/>
  <c r="J24" i="22"/>
  <c r="G37" i="37"/>
  <c r="G37" i="14"/>
  <c r="G32" i="14" s="1"/>
  <c r="G30" i="14" s="1"/>
  <c r="G31" i="14" s="1"/>
  <c r="I80" i="15"/>
  <c r="DO166" i="15"/>
  <c r="BA57" i="15"/>
  <c r="BA63" i="15" s="1"/>
  <c r="BM65" i="15"/>
  <c r="CP67" i="15"/>
  <c r="M52" i="14"/>
  <c r="M47" i="14"/>
  <c r="M57" i="14" s="1"/>
  <c r="M23" i="15"/>
  <c r="M34" i="15"/>
  <c r="DK71" i="15"/>
  <c r="DL166" i="15"/>
  <c r="CH87" i="14"/>
  <c r="BI80" i="15"/>
  <c r="BM81" i="15" s="1"/>
  <c r="AZ82" i="15"/>
  <c r="P35" i="22"/>
  <c r="CH53" i="14"/>
  <c r="BS76" i="15"/>
  <c r="BS78" i="15" s="1"/>
  <c r="W51" i="13"/>
  <c r="DF71" i="15"/>
  <c r="BM66" i="15"/>
  <c r="DL156" i="15"/>
  <c r="DP171" i="15" s="1"/>
  <c r="DP177" i="15" s="1"/>
  <c r="O118" i="15"/>
  <c r="CN155" i="15"/>
  <c r="CZ57" i="14"/>
  <c r="CB57" i="15"/>
  <c r="CH86" i="14"/>
  <c r="I30" i="14"/>
  <c r="I31" i="14" s="1"/>
  <c r="DG56" i="14"/>
  <c r="CB78" i="15"/>
  <c r="CE76" i="15"/>
  <c r="BM112" i="15"/>
  <c r="M64" i="15"/>
  <c r="M111" i="17" s="1"/>
  <c r="DE166" i="15"/>
  <c r="BY76" i="15"/>
  <c r="BY78" i="15" s="1"/>
  <c r="CO78" i="15"/>
  <c r="CR349" i="13"/>
  <c r="CR307" i="13"/>
  <c r="CA109" i="11"/>
  <c r="CG76" i="15"/>
  <c r="CK77" i="15" s="1"/>
  <c r="CG112" i="15"/>
  <c r="BT24" i="22"/>
  <c r="BT23" i="22" s="1"/>
  <c r="DK56" i="14"/>
  <c r="BK30" i="15"/>
  <c r="H17" i="14"/>
  <c r="H22" i="14" s="1"/>
  <c r="BM44" i="15"/>
  <c r="BL47" i="15"/>
  <c r="BL46" i="15" s="1"/>
  <c r="BL43" i="15"/>
  <c r="DE57" i="14"/>
  <c r="CO56" i="14"/>
  <c r="CQ158" i="15"/>
  <c r="CO77" i="15"/>
  <c r="CM56" i="14"/>
  <c r="CR155" i="15"/>
  <c r="CR171" i="15" s="1"/>
  <c r="CR178" i="15" s="1"/>
  <c r="BK81" i="15"/>
  <c r="CT166" i="15"/>
  <c r="DF57" i="14"/>
  <c r="DK57" i="14"/>
  <c r="CP166" i="15"/>
  <c r="BZ57" i="15"/>
  <c r="CM57" i="15"/>
  <c r="Y142" i="15"/>
  <c r="Z140" i="15"/>
  <c r="Z142" i="15" s="1"/>
  <c r="CH37" i="22"/>
  <c r="CV103" i="12"/>
  <c r="CR120" i="17"/>
  <c r="DH129" i="17"/>
  <c r="O49" i="17"/>
  <c r="T134" i="17"/>
  <c r="T118" i="17"/>
  <c r="W115" i="17"/>
  <c r="I76" i="15"/>
  <c r="T116" i="17"/>
  <c r="CC112" i="7"/>
  <c r="DN71" i="15"/>
  <c r="P74" i="7"/>
  <c r="BS66" i="15"/>
  <c r="CQ71" i="15"/>
  <c r="S134" i="17"/>
  <c r="N66" i="22" s="1"/>
  <c r="BY109" i="11"/>
  <c r="CQ372" i="13"/>
  <c r="T190" i="7"/>
  <c r="G80" i="15"/>
  <c r="G82" i="15" s="1"/>
  <c r="CA57" i="15"/>
  <c r="D19" i="35"/>
  <c r="D20" i="35" s="1"/>
  <c r="R19" i="35"/>
  <c r="R20" i="35" s="1"/>
  <c r="O17" i="13"/>
  <c r="CU104" i="12"/>
  <c r="CR119" i="17"/>
  <c r="O115" i="17"/>
  <c r="O134" i="17"/>
  <c r="AN114" i="17"/>
  <c r="W110" i="8"/>
  <c r="Q118" i="17"/>
  <c r="D24" i="22"/>
  <c r="BV39" i="15"/>
  <c r="P73" i="7"/>
  <c r="BH66" i="15"/>
  <c r="CE65" i="15"/>
  <c r="BS80" i="15"/>
  <c r="BS82" i="15" s="1"/>
  <c r="CF66" i="15"/>
  <c r="CO78" i="12"/>
  <c r="P57" i="8"/>
  <c r="G66" i="15"/>
  <c r="G111" i="17"/>
  <c r="H55" i="35"/>
  <c r="H56" i="35" s="1"/>
  <c r="CU473" i="12"/>
  <c r="CU131" i="12"/>
  <c r="O108" i="17"/>
  <c r="W118" i="17"/>
  <c r="CY129" i="17"/>
  <c r="CM77" i="7"/>
  <c r="S53" i="11"/>
  <c r="S30" i="7"/>
  <c r="CK169" i="7"/>
  <c r="CK175" i="7" s="1"/>
  <c r="CE63" i="7"/>
  <c r="F10" i="37"/>
  <c r="J65" i="15"/>
  <c r="BI66" i="15"/>
  <c r="CU371" i="13"/>
  <c r="CO65" i="12"/>
  <c r="CK65" i="12" s="1"/>
  <c r="G65" i="15"/>
  <c r="Q223" i="12"/>
  <c r="F55" i="35"/>
  <c r="F56" i="35" s="1"/>
  <c r="CN44" i="13"/>
  <c r="P111" i="12"/>
  <c r="CK227" i="12"/>
  <c r="P227" i="12" s="1"/>
  <c r="CK111" i="12"/>
  <c r="CK17" i="12" s="1"/>
  <c r="CK19" i="12" s="1"/>
  <c r="P19" i="12" s="1"/>
  <c r="BC92" i="12"/>
  <c r="BC69" i="12"/>
  <c r="DB67" i="12"/>
  <c r="BC66" i="12"/>
  <c r="DE136" i="13"/>
  <c r="CT80" i="12"/>
  <c r="CX334" i="12"/>
  <c r="DN61" i="12"/>
  <c r="CP50" i="22"/>
  <c r="DA334" i="12"/>
  <c r="DC30" i="16"/>
  <c r="DC33" i="16" s="1"/>
  <c r="CQ302" i="12"/>
  <c r="CF303" i="12"/>
  <c r="S305" i="12"/>
  <c r="CF339" i="12"/>
  <c r="CW44" i="11"/>
  <c r="DC41" i="16"/>
  <c r="CG303" i="12"/>
  <c r="DC38" i="16"/>
  <c r="G62" i="12"/>
  <c r="CY49" i="12"/>
  <c r="CL153" i="12"/>
  <c r="CL40" i="12"/>
  <c r="CL32" i="12"/>
  <c r="CK107" i="8"/>
  <c r="CK115" i="8" s="1"/>
  <c r="CK95" i="8" s="1"/>
  <c r="CY78" i="12"/>
  <c r="CI16" i="6"/>
  <c r="CP106" i="12"/>
  <c r="Q439" i="12"/>
  <c r="CK80" i="12"/>
  <c r="CY69" i="12"/>
  <c r="CY71" i="12" s="1"/>
  <c r="CL322" i="12"/>
  <c r="S445" i="12"/>
  <c r="CL78" i="12"/>
  <c r="CL43" i="12"/>
  <c r="S120" i="17"/>
  <c r="DE308" i="12"/>
  <c r="DL765" i="12"/>
  <c r="DY765" i="12"/>
  <c r="DU765" i="12"/>
  <c r="DY753" i="12"/>
  <c r="DU753" i="12"/>
  <c r="AC60" i="13"/>
  <c r="W124" i="22"/>
  <c r="R223" i="12"/>
  <c r="R222" i="12"/>
  <c r="CJ122" i="12"/>
  <c r="Q101" i="12"/>
  <c r="CJ127" i="12"/>
  <c r="CJ128" i="12" s="1"/>
  <c r="Q100" i="12"/>
  <c r="DN290" i="12"/>
  <c r="CQ140" i="12"/>
  <c r="CQ142" i="12" s="1"/>
  <c r="DY249" i="12"/>
  <c r="DY346" i="12" s="1"/>
  <c r="DY266" i="12"/>
  <c r="DY268" i="12" s="1"/>
  <c r="BT58" i="12"/>
  <c r="R179" i="12"/>
  <c r="CN336" i="12"/>
  <c r="CE205" i="12"/>
  <c r="BG165" i="12"/>
  <c r="CF199" i="12"/>
  <c r="CF200" i="12" s="1"/>
  <c r="CD145" i="12"/>
  <c r="BP39" i="22"/>
  <c r="BP40" i="22" s="1"/>
  <c r="BG144" i="12"/>
  <c r="CD146" i="12"/>
  <c r="P198" i="12"/>
  <c r="CK205" i="12"/>
  <c r="CG144" i="12"/>
  <c r="CC135" i="12"/>
  <c r="CG136" i="12" s="1"/>
  <c r="CT106" i="12"/>
  <c r="CO106" i="12"/>
  <c r="CT322" i="12"/>
  <c r="CT341" i="12" s="1"/>
  <c r="CT223" i="12"/>
  <c r="BY164" i="12"/>
  <c r="CT221" i="12"/>
  <c r="CP262" i="12"/>
  <c r="CI122" i="12"/>
  <c r="CQ291" i="12"/>
  <c r="CQ139" i="12"/>
  <c r="CK223" i="12"/>
  <c r="CL204" i="12"/>
  <c r="BJ144" i="12"/>
  <c r="CQ262" i="12"/>
  <c r="CO336" i="12"/>
  <c r="R133" i="12"/>
  <c r="CQ143" i="12"/>
  <c r="CQ440" i="12" s="1"/>
  <c r="CL205" i="12"/>
  <c r="C19" i="35"/>
  <c r="C20" i="35" s="1"/>
  <c r="C104" i="35" s="1"/>
  <c r="C124" i="35" s="1"/>
  <c r="Z80" i="6"/>
  <c r="AA80" i="6" s="1"/>
  <c r="AB80" i="6" s="1"/>
  <c r="AC80" i="6" s="1"/>
  <c r="AD80" i="6" s="1"/>
  <c r="AE80" i="6" s="1"/>
  <c r="AF80" i="6" s="1"/>
  <c r="AG80" i="6" s="1"/>
  <c r="CM46" i="6"/>
  <c r="V72" i="6"/>
  <c r="X116" i="6"/>
  <c r="X121" i="6"/>
  <c r="V43" i="6"/>
  <c r="Q190" i="7"/>
  <c r="CT57" i="14"/>
  <c r="N47" i="14"/>
  <c r="M133" i="14"/>
  <c r="N133" i="14"/>
  <c r="CH312" i="12"/>
  <c r="CR281" i="12"/>
  <c r="CR248" i="12"/>
  <c r="DY358" i="12"/>
  <c r="Z358" i="12" s="1"/>
  <c r="Z257" i="12"/>
  <c r="Z258" i="12" s="1"/>
  <c r="W85" i="12"/>
  <c r="DK138" i="12"/>
  <c r="CO663" i="12"/>
  <c r="Q663" i="12" s="1"/>
  <c r="CK177" i="12"/>
  <c r="CK122" i="12" s="1"/>
  <c r="CN248" i="12"/>
  <c r="CN281" i="12"/>
  <c r="O48" i="12"/>
  <c r="DC750" i="12"/>
  <c r="DC752" i="12" s="1"/>
  <c r="DC754" i="12" s="1"/>
  <c r="BW71" i="12"/>
  <c r="DN364" i="12"/>
  <c r="DN370" i="12" s="1"/>
  <c r="DN385" i="12" s="1"/>
  <c r="DN387" i="12" s="1"/>
  <c r="U126" i="12"/>
  <c r="BY45" i="11"/>
  <c r="BY46" i="11" s="1"/>
  <c r="V358" i="12"/>
  <c r="V26" i="12"/>
  <c r="BY59" i="11"/>
  <c r="BY68" i="11" s="1"/>
  <c r="CX302" i="12"/>
  <c r="J40" i="12"/>
  <c r="DH65" i="12"/>
  <c r="DH67" i="12" s="1"/>
  <c r="CC39" i="22"/>
  <c r="CC40" i="22" s="1"/>
  <c r="CP140" i="12"/>
  <c r="CP142" i="12" s="1"/>
  <c r="N41" i="11"/>
  <c r="BW70" i="12"/>
  <c r="CM248" i="12"/>
  <c r="CM281" i="12"/>
  <c r="CM284" i="12" s="1"/>
  <c r="CP163" i="12"/>
  <c r="CP165" i="12" s="1"/>
  <c r="CL248" i="12"/>
  <c r="CL281" i="12"/>
  <c r="CL284" i="12" s="1"/>
  <c r="CP160" i="12"/>
  <c r="CP162" i="12" s="1"/>
  <c r="W293" i="12"/>
  <c r="BW72" i="12"/>
  <c r="BW95" i="12"/>
  <c r="V50" i="12"/>
  <c r="DF345" i="12"/>
  <c r="CU176" i="12"/>
  <c r="CU179" i="12" s="1"/>
  <c r="CU105" i="12"/>
  <c r="CU106" i="12" s="1"/>
  <c r="Q126" i="12"/>
  <c r="U750" i="12"/>
  <c r="U752" i="12" s="1"/>
  <c r="U754" i="12" s="1"/>
  <c r="CL327" i="12"/>
  <c r="CC440" i="12"/>
  <c r="CD442" i="12" s="1"/>
  <c r="J15" i="12"/>
  <c r="CS135" i="12"/>
  <c r="U305" i="12"/>
  <c r="CD205" i="12"/>
  <c r="R31" i="12"/>
  <c r="R78" i="12" s="1"/>
  <c r="N38" i="12"/>
  <c r="N39" i="12" s="1"/>
  <c r="CQ281" i="12"/>
  <c r="CQ248" i="12"/>
  <c r="W258" i="12"/>
  <c r="G61" i="12"/>
  <c r="DK290" i="12"/>
  <c r="CK108" i="12"/>
  <c r="DQ765" i="12"/>
  <c r="CI137" i="12"/>
  <c r="CI139" i="12" s="1"/>
  <c r="CO49" i="12"/>
  <c r="CO69" i="12"/>
  <c r="CO71" i="12" s="1"/>
  <c r="CA70" i="12"/>
  <c r="CL106" i="12"/>
  <c r="DB451" i="12"/>
  <c r="Z762" i="12"/>
  <c r="Z764" i="12" s="1"/>
  <c r="Z765" i="12" s="1"/>
  <c r="Z767" i="12" s="1"/>
  <c r="Z335" i="12"/>
  <c r="Z333" i="12"/>
  <c r="BS211" i="12"/>
  <c r="O287" i="12"/>
  <c r="P222" i="12"/>
  <c r="BZ287" i="12"/>
  <c r="CK132" i="12"/>
  <c r="CK133" i="12" s="1"/>
  <c r="CE199" i="12"/>
  <c r="CE200" i="12" s="1"/>
  <c r="DI137" i="12"/>
  <c r="P105" i="12"/>
  <c r="P312" i="12" s="1"/>
  <c r="P341" i="12" s="1"/>
  <c r="K95" i="22"/>
  <c r="L96" i="22" s="1"/>
  <c r="Q104" i="12"/>
  <c r="W289" i="12"/>
  <c r="W290" i="12" s="1"/>
  <c r="CT132" i="12"/>
  <c r="CT133" i="12" s="1"/>
  <c r="CL178" i="12"/>
  <c r="P176" i="12"/>
  <c r="P223" i="12" s="1"/>
  <c r="CD199" i="12"/>
  <c r="CD122" i="12" s="1"/>
  <c r="CK124" i="17"/>
  <c r="DQ290" i="12"/>
  <c r="P473" i="12"/>
  <c r="CT178" i="12"/>
  <c r="CT179" i="12"/>
  <c r="CT336" i="12" s="1"/>
  <c r="DM290" i="12"/>
  <c r="Q105" i="12"/>
  <c r="R106" i="12" s="1"/>
  <c r="P104" i="12"/>
  <c r="CM290" i="12"/>
  <c r="CO205" i="12"/>
  <c r="Q205" i="12" s="1"/>
  <c r="CI127" i="12"/>
  <c r="CI128" i="12" s="1"/>
  <c r="I143" i="12"/>
  <c r="I440" i="12" s="1"/>
  <c r="BG145" i="12"/>
  <c r="BF440" i="12"/>
  <c r="BJ441" i="12" s="1"/>
  <c r="BG146" i="12"/>
  <c r="BF165" i="12"/>
  <c r="BR164" i="12"/>
  <c r="L163" i="12"/>
  <c r="L164" i="12" s="1"/>
  <c r="Q179" i="12"/>
  <c r="Q132" i="12"/>
  <c r="Q133" i="12" s="1"/>
  <c r="E69" i="12"/>
  <c r="E71" i="12" s="1"/>
  <c r="BO50" i="22"/>
  <c r="BO52" i="22" s="1"/>
  <c r="CA66" i="12"/>
  <c r="BW67" i="12"/>
  <c r="BW66" i="12"/>
  <c r="K437" i="12"/>
  <c r="BY16" i="6"/>
  <c r="Q14" i="11"/>
  <c r="M439" i="12"/>
  <c r="BV59" i="11"/>
  <c r="BV68" i="11" s="1"/>
  <c r="BT87" i="12"/>
  <c r="BT90" i="12" s="1"/>
  <c r="CB78" i="12"/>
  <c r="CB72" i="12"/>
  <c r="V763" i="12"/>
  <c r="S763" i="12"/>
  <c r="S762" i="12" s="1"/>
  <c r="S764" i="12" s="1"/>
  <c r="T765" i="12" s="1"/>
  <c r="T767" i="12" s="1"/>
  <c r="T763" i="12"/>
  <c r="DK765" i="12"/>
  <c r="AD761" i="12"/>
  <c r="AD762" i="12" s="1"/>
  <c r="AC762" i="12"/>
  <c r="AC764" i="12" s="1"/>
  <c r="DN765" i="12"/>
  <c r="DH765" i="12"/>
  <c r="DM765" i="12"/>
  <c r="Z728" i="12"/>
  <c r="Z747" i="12" s="1"/>
  <c r="Z749" i="12" s="1"/>
  <c r="DJ765" i="12"/>
  <c r="BY571" i="12"/>
  <c r="DI765" i="12"/>
  <c r="Q591" i="12"/>
  <c r="Z692" i="12"/>
  <c r="AA692" i="12" s="1"/>
  <c r="AB692" i="12" s="1"/>
  <c r="AC692" i="12" s="1"/>
  <c r="AD692" i="12" s="1"/>
  <c r="AE692" i="12" s="1"/>
  <c r="AF692" i="12" s="1"/>
  <c r="AG692" i="12" s="1"/>
  <c r="DK754" i="12"/>
  <c r="AA762" i="12"/>
  <c r="U765" i="12"/>
  <c r="U767" i="12" s="1"/>
  <c r="CT451" i="12"/>
  <c r="Z763" i="12"/>
  <c r="AB762" i="12"/>
  <c r="AB764" i="12" s="1"/>
  <c r="DK767" i="12"/>
  <c r="DR765" i="12"/>
  <c r="DM767" i="12"/>
  <c r="DX765" i="12"/>
  <c r="DT765" i="12"/>
  <c r="DW765" i="12"/>
  <c r="DS765" i="12"/>
  <c r="AA113" i="8"/>
  <c r="AB83" i="12"/>
  <c r="AD754" i="12"/>
  <c r="AD724" i="12"/>
  <c r="AC725" i="12"/>
  <c r="AF751" i="12"/>
  <c r="AE752" i="12"/>
  <c r="AE761" i="12"/>
  <c r="AD753" i="12"/>
  <c r="DG54" i="6"/>
  <c r="CH16" i="6"/>
  <c r="DB54" i="6"/>
  <c r="Y84" i="6"/>
  <c r="Y67" i="6"/>
  <c r="CG53" i="14"/>
  <c r="M40" i="14"/>
  <c r="DH8" i="22"/>
  <c r="DH9" i="22" s="1"/>
  <c r="DH13" i="22" s="1"/>
  <c r="DH22" i="22" s="1"/>
  <c r="CB70" i="12"/>
  <c r="CI80" i="12"/>
  <c r="V60" i="12"/>
  <c r="V63" i="12" s="1"/>
  <c r="BT66" i="12"/>
  <c r="CT81" i="12"/>
  <c r="BO56" i="22"/>
  <c r="DW58" i="12"/>
  <c r="BW56" i="12"/>
  <c r="V502" i="12"/>
  <c r="CE65" i="12"/>
  <c r="CE87" i="12" s="1"/>
  <c r="CE89" i="12" s="1"/>
  <c r="CE92" i="12" s="1"/>
  <c r="CE96" i="12" s="1"/>
  <c r="M163" i="12"/>
  <c r="M143" i="12" s="1"/>
  <c r="CA199" i="12"/>
  <c r="BY143" i="12"/>
  <c r="BY165" i="12" s="1"/>
  <c r="CA176" i="12"/>
  <c r="BW209" i="12"/>
  <c r="CS154" i="12"/>
  <c r="G440" i="12"/>
  <c r="CY41" i="16"/>
  <c r="CY30" i="16"/>
  <c r="CY33" i="16" s="1"/>
  <c r="DC34" i="16" s="1"/>
  <c r="CU59" i="17"/>
  <c r="CU60" i="17" s="1"/>
  <c r="CS44" i="11"/>
  <c r="CS62" i="11" s="1"/>
  <c r="CU26" i="17"/>
  <c r="CU58" i="17" s="1"/>
  <c r="DC25" i="16"/>
  <c r="L109" i="17"/>
  <c r="DE129" i="17"/>
  <c r="R37" i="35"/>
  <c r="R38" i="35" s="1"/>
  <c r="G73" i="35"/>
  <c r="G74" i="35" s="1"/>
  <c r="CG43" i="17"/>
  <c r="DF48" i="17"/>
  <c r="O44" i="17"/>
  <c r="M108" i="17"/>
  <c r="DF129" i="17"/>
  <c r="F73" i="35"/>
  <c r="F74" i="35" s="1"/>
  <c r="U115" i="17"/>
  <c r="BZ129" i="17"/>
  <c r="CU129" i="17"/>
  <c r="R118" i="17"/>
  <c r="Q127" i="17"/>
  <c r="CG129" i="17"/>
  <c r="P19" i="35"/>
  <c r="P20" i="35" s="1"/>
  <c r="S55" i="35"/>
  <c r="S56" i="35" s="1"/>
  <c r="R55" i="35"/>
  <c r="R56" i="35" s="1"/>
  <c r="R34" i="8"/>
  <c r="R35" i="8" s="1"/>
  <c r="CG119" i="17"/>
  <c r="DN129" i="17"/>
  <c r="K10" i="37"/>
  <c r="K16" i="35"/>
  <c r="K19" i="35" s="1"/>
  <c r="K20" i="35" s="1"/>
  <c r="H17" i="35"/>
  <c r="H19" i="35" s="1"/>
  <c r="H20" i="35" s="1"/>
  <c r="M16" i="35"/>
  <c r="M19" i="35" s="1"/>
  <c r="M20" i="35" s="1"/>
  <c r="J17" i="35"/>
  <c r="J19" i="35" s="1"/>
  <c r="J20" i="35" s="1"/>
  <c r="F17" i="35"/>
  <c r="F19" i="35" s="1"/>
  <c r="F20" i="35" s="1"/>
  <c r="BZ65" i="15"/>
  <c r="G57" i="15"/>
  <c r="CM39" i="14"/>
  <c r="BX66" i="15"/>
  <c r="CR158" i="15"/>
  <c r="CV166" i="15"/>
  <c r="CR166" i="15"/>
  <c r="DB67" i="15"/>
  <c r="P9" i="22"/>
  <c r="P13" i="22" s="1"/>
  <c r="P22" i="22" s="1"/>
  <c r="P23" i="22" s="1"/>
  <c r="BW65" i="15"/>
  <c r="CA65" i="15"/>
  <c r="G132" i="14"/>
  <c r="G133" i="14" s="1"/>
  <c r="G38" i="14"/>
  <c r="G40" i="14" s="1"/>
  <c r="BH39" i="15"/>
  <c r="BL57" i="15"/>
  <c r="CN40" i="14"/>
  <c r="CQ67" i="15"/>
  <c r="CS67" i="15"/>
  <c r="CK39" i="14"/>
  <c r="CJ57" i="15"/>
  <c r="CF57" i="15"/>
  <c r="CW67" i="15"/>
  <c r="DO67" i="15"/>
  <c r="DS67" i="15"/>
  <c r="DF158" i="15"/>
  <c r="DF163" i="15" s="1"/>
  <c r="CL46" i="14"/>
  <c r="BQ76" i="15"/>
  <c r="BQ77" i="15" s="1"/>
  <c r="BQ112" i="15"/>
  <c r="CH47" i="14"/>
  <c r="CH56" i="14" s="1"/>
  <c r="CW56" i="14"/>
  <c r="AZ81" i="15"/>
  <c r="P36" i="15"/>
  <c r="P51" i="15" s="1"/>
  <c r="K18" i="22"/>
  <c r="BK11" i="15"/>
  <c r="DC67" i="15"/>
  <c r="BU35" i="22"/>
  <c r="BM78" i="15"/>
  <c r="BI39" i="15"/>
  <c r="BM57" i="15"/>
  <c r="BS24" i="22"/>
  <c r="BS23" i="22" s="1"/>
  <c r="BZ109" i="11"/>
  <c r="CF76" i="15"/>
  <c r="CG66" i="15"/>
  <c r="DS71" i="15"/>
  <c r="BX78" i="15"/>
  <c r="CH37" i="13"/>
  <c r="CH41" i="13" s="1"/>
  <c r="CL42" i="13" s="1"/>
  <c r="BQ66" i="15"/>
  <c r="BQ80" i="15"/>
  <c r="BQ82" i="15" s="1"/>
  <c r="BQ65" i="15"/>
  <c r="DE155" i="15"/>
  <c r="DE171" i="15" s="1"/>
  <c r="DE176" i="15" s="1"/>
  <c r="BH80" i="15"/>
  <c r="BL81" i="15" s="1"/>
  <c r="BH76" i="15"/>
  <c r="BL77" i="15" s="1"/>
  <c r="DI166" i="15"/>
  <c r="I46" i="14"/>
  <c r="H38" i="14"/>
  <c r="J47" i="14"/>
  <c r="DJ171" i="15"/>
  <c r="DJ177" i="15" s="1"/>
  <c r="CG37" i="13"/>
  <c r="CG52" i="14"/>
  <c r="CS56" i="14"/>
  <c r="L35" i="22"/>
  <c r="DO120" i="15"/>
  <c r="DS120" i="15"/>
  <c r="I52" i="14"/>
  <c r="BT80" i="22"/>
  <c r="J80" i="22" s="1"/>
  <c r="BT55" i="22"/>
  <c r="J55" i="22" s="1"/>
  <c r="CK135" i="13"/>
  <c r="BT58" i="11"/>
  <c r="O27" i="13"/>
  <c r="O30" i="13"/>
  <c r="DD124" i="22"/>
  <c r="N27" i="13"/>
  <c r="O67" i="11"/>
  <c r="CO60" i="17"/>
  <c r="CA28" i="13"/>
  <c r="P13" i="11"/>
  <c r="P107" i="11" s="1"/>
  <c r="DK30" i="16"/>
  <c r="DK33" i="16" s="1"/>
  <c r="CW50" i="22"/>
  <c r="CE59" i="17"/>
  <c r="CE60" i="17" s="1"/>
  <c r="CH18" i="11"/>
  <c r="CH19" i="11" s="1"/>
  <c r="CE78" i="12"/>
  <c r="J43" i="12"/>
  <c r="G65" i="12"/>
  <c r="G67" i="12" s="1"/>
  <c r="BR143" i="12"/>
  <c r="BS146" i="12" s="1"/>
  <c r="H92" i="12"/>
  <c r="I93" i="12" s="1"/>
  <c r="CO43" i="12"/>
  <c r="CO40" i="12"/>
  <c r="CL14" i="6"/>
  <c r="CL16" i="6" s="1"/>
  <c r="CC119" i="22"/>
  <c r="J136" i="17"/>
  <c r="CP154" i="12"/>
  <c r="DO171" i="15"/>
  <c r="DO178" i="15" s="1"/>
  <c r="T445" i="12"/>
  <c r="CV171" i="15"/>
  <c r="CV176" i="15" s="1"/>
  <c r="H49" i="12"/>
  <c r="T301" i="12"/>
  <c r="T334" i="12" s="1"/>
  <c r="CO32" i="12"/>
  <c r="L437" i="12"/>
  <c r="V31" i="12"/>
  <c r="V78" i="12" s="1"/>
  <c r="S116" i="17"/>
  <c r="BY87" i="12"/>
  <c r="BY90" i="12" s="1"/>
  <c r="CE61" i="12"/>
  <c r="DC302" i="12"/>
  <c r="U445" i="12"/>
  <c r="CU451" i="12"/>
  <c r="BX164" i="12"/>
  <c r="S26" i="12"/>
  <c r="CX451" i="12"/>
  <c r="CP316" i="12"/>
  <c r="CA71" i="12"/>
  <c r="S50" i="12"/>
  <c r="T305" i="12"/>
  <c r="S136" i="17"/>
  <c r="CR316" i="12"/>
  <c r="CR317" i="12" s="1"/>
  <c r="T26" i="12"/>
  <c r="DG65" i="12"/>
  <c r="DG67" i="12" s="1"/>
  <c r="CR334" i="12"/>
  <c r="CN341" i="12"/>
  <c r="BN56" i="22"/>
  <c r="CA78" i="12"/>
  <c r="V516" i="12"/>
  <c r="V519" i="12" s="1"/>
  <c r="V524" i="12" s="1"/>
  <c r="DH69" i="12"/>
  <c r="DH40" i="12"/>
  <c r="CU46" i="22"/>
  <c r="DH43" i="12"/>
  <c r="DH78" i="12"/>
  <c r="DB14" i="11"/>
  <c r="DB59" i="11" s="1"/>
  <c r="DB68" i="11" s="1"/>
  <c r="DH49" i="12"/>
  <c r="DE14" i="6"/>
  <c r="DE16" i="6" s="1"/>
  <c r="DH54" i="12"/>
  <c r="DE134" i="13"/>
  <c r="DE131" i="13" s="1"/>
  <c r="CR308" i="12"/>
  <c r="DG62" i="12"/>
  <c r="P40" i="12"/>
  <c r="P69" i="12"/>
  <c r="CS334" i="12"/>
  <c r="CA72" i="12"/>
  <c r="BZ441" i="12"/>
  <c r="H65" i="12"/>
  <c r="H67" i="12" s="1"/>
  <c r="L439" i="12"/>
  <c r="R305" i="12"/>
  <c r="DM281" i="12"/>
  <c r="DM248" i="12"/>
  <c r="CL79" i="8"/>
  <c r="CG45" i="8"/>
  <c r="Q127" i="6"/>
  <c r="Q144" i="6" s="1"/>
  <c r="R186" i="7"/>
  <c r="V186" i="7"/>
  <c r="V123" i="8"/>
  <c r="CV167" i="7"/>
  <c r="CV169" i="7" s="1"/>
  <c r="CV175" i="7" s="1"/>
  <c r="CU169" i="7"/>
  <c r="CU175" i="7" s="1"/>
  <c r="CU197" i="7"/>
  <c r="CU172" i="7"/>
  <c r="CB63" i="7"/>
  <c r="U77" i="7"/>
  <c r="CE77" i="7"/>
  <c r="DL77" i="7"/>
  <c r="S33" i="7"/>
  <c r="S34" i="7" s="1"/>
  <c r="CV172" i="7"/>
  <c r="CW172" i="7"/>
  <c r="CW167" i="7"/>
  <c r="CW169" i="7" s="1"/>
  <c r="CW175" i="7" s="1"/>
  <c r="CV197" i="7"/>
  <c r="CU77" i="7"/>
  <c r="DD63" i="7"/>
  <c r="U33" i="7"/>
  <c r="U63" i="7" s="1"/>
  <c r="U72" i="6"/>
  <c r="CX77" i="7"/>
  <c r="CV77" i="7"/>
  <c r="CI182" i="7"/>
  <c r="CH195" i="7"/>
  <c r="CI177" i="7"/>
  <c r="CI179" i="7" s="1"/>
  <c r="T33" i="7"/>
  <c r="T34" i="7" s="1"/>
  <c r="U73" i="6"/>
  <c r="CR63" i="7"/>
  <c r="CY63" i="7"/>
  <c r="DN185" i="7"/>
  <c r="CA16" i="6"/>
  <c r="R118" i="6"/>
  <c r="P85" i="7"/>
  <c r="CH30" i="6"/>
  <c r="CH69" i="6" s="1"/>
  <c r="CH105" i="13"/>
  <c r="BV107" i="13"/>
  <c r="BV118" i="13" s="1"/>
  <c r="BV121" i="13" s="1"/>
  <c r="BV122" i="13" s="1"/>
  <c r="BP33" i="22"/>
  <c r="CC142" i="14"/>
  <c r="BQ34" i="22"/>
  <c r="CE88" i="14"/>
  <c r="CD90" i="14"/>
  <c r="CD91" i="14"/>
  <c r="J55" i="12"/>
  <c r="J57" i="12" s="1"/>
  <c r="AA40" i="37"/>
  <c r="CD19" i="11"/>
  <c r="CE72" i="12"/>
  <c r="S472" i="12"/>
  <c r="CC28" i="13"/>
  <c r="M27" i="13"/>
  <c r="CX51" i="13"/>
  <c r="DB51" i="13"/>
  <c r="CM57" i="17"/>
  <c r="DE42" i="17"/>
  <c r="DE43" i="17" s="1"/>
  <c r="CS336" i="12"/>
  <c r="CM316" i="12"/>
  <c r="CR336" i="12"/>
  <c r="R177" i="12"/>
  <c r="R127" i="12" s="1"/>
  <c r="R128" i="12" s="1"/>
  <c r="CL135" i="12"/>
  <c r="CL262" i="12" s="1"/>
  <c r="CE119" i="22"/>
  <c r="J46" i="14"/>
  <c r="DS42" i="14"/>
  <c r="I47" i="14"/>
  <c r="I57" i="14" s="1"/>
  <c r="K35" i="22"/>
  <c r="DJ57" i="14"/>
  <c r="J37" i="37"/>
  <c r="CW283" i="12"/>
  <c r="CW284" i="12"/>
  <c r="DI283" i="12"/>
  <c r="DI284" i="12"/>
  <c r="DE283" i="12"/>
  <c r="DE284" i="12"/>
  <c r="CI291" i="12"/>
  <c r="CH145" i="12"/>
  <c r="CI160" i="12"/>
  <c r="CI162" i="12" s="1"/>
  <c r="BU39" i="22"/>
  <c r="BU40" i="22" s="1"/>
  <c r="CM293" i="12"/>
  <c r="CH146" i="12"/>
  <c r="CI294" i="12"/>
  <c r="BV138" i="22" s="1"/>
  <c r="Q18" i="5"/>
  <c r="P19" i="5"/>
  <c r="CF65" i="12"/>
  <c r="CF67" i="12" s="1"/>
  <c r="BL56" i="12"/>
  <c r="Q78" i="12"/>
  <c r="CR57" i="17"/>
  <c r="DL41" i="16"/>
  <c r="DE44" i="11"/>
  <c r="DE62" i="11" s="1"/>
  <c r="DE71" i="11" s="1"/>
  <c r="CX59" i="22" s="1"/>
  <c r="BZ65" i="12"/>
  <c r="BZ66" i="12" s="1"/>
  <c r="CS61" i="12"/>
  <c r="CA67" i="12"/>
  <c r="CA87" i="12"/>
  <c r="CA92" i="12" s="1"/>
  <c r="CA94" i="12" s="1"/>
  <c r="CK81" i="12"/>
  <c r="N78" i="12"/>
  <c r="DK41" i="16"/>
  <c r="DL30" i="16"/>
  <c r="DL33" i="16" s="1"/>
  <c r="DP34" i="16" s="1"/>
  <c r="CS65" i="12"/>
  <c r="CS66" i="12" s="1"/>
  <c r="CO79" i="12"/>
  <c r="DO57" i="14"/>
  <c r="DN56" i="14"/>
  <c r="P37" i="35"/>
  <c r="P38" i="35" s="1"/>
  <c r="P73" i="35"/>
  <c r="P74" i="35" s="1"/>
  <c r="P55" i="35"/>
  <c r="P56" i="35" s="1"/>
  <c r="S37" i="35"/>
  <c r="S38" i="35" s="1"/>
  <c r="S19" i="35"/>
  <c r="S20" i="35" s="1"/>
  <c r="R73" i="35"/>
  <c r="R74" i="35" s="1"/>
  <c r="Q37" i="35"/>
  <c r="Q38" i="35" s="1"/>
  <c r="T37" i="35"/>
  <c r="T38" i="35" s="1"/>
  <c r="Q19" i="35"/>
  <c r="Q20" i="35" s="1"/>
  <c r="Q73" i="35"/>
  <c r="Q74" i="35" s="1"/>
  <c r="T73" i="35"/>
  <c r="T74" i="35" s="1"/>
  <c r="S73" i="35"/>
  <c r="S74" i="35" s="1"/>
  <c r="T55" i="35"/>
  <c r="T56" i="35" s="1"/>
  <c r="I55" i="35"/>
  <c r="I56" i="35" s="1"/>
  <c r="J55" i="35"/>
  <c r="J56" i="35" s="1"/>
  <c r="I19" i="35"/>
  <c r="I20" i="35" s="1"/>
  <c r="L19" i="35"/>
  <c r="L20" i="35" s="1"/>
  <c r="E19" i="35"/>
  <c r="E20" i="35" s="1"/>
  <c r="W103" i="11"/>
  <c r="DL37" i="16"/>
  <c r="DP38" i="16" s="1"/>
  <c r="DP25" i="16"/>
  <c r="CI37" i="16"/>
  <c r="CI38" i="16" s="1"/>
  <c r="AA115" i="13"/>
  <c r="AB116" i="13" s="1"/>
  <c r="T14" i="20"/>
  <c r="U14" i="20" s="1"/>
  <c r="V14" i="20" s="1"/>
  <c r="W14" i="20" s="1"/>
  <c r="X14" i="20" s="1"/>
  <c r="Y14" i="20" s="1"/>
  <c r="U8" i="20"/>
  <c r="V7" i="20"/>
  <c r="U13" i="20"/>
  <c r="T23" i="20"/>
  <c r="U23" i="19"/>
  <c r="V13" i="19"/>
  <c r="T8" i="19"/>
  <c r="U7" i="19"/>
  <c r="R23" i="16"/>
  <c r="Q34" i="8"/>
  <c r="D111" i="35" s="1"/>
  <c r="T34" i="8"/>
  <c r="G111" i="35" s="1"/>
  <c r="DE14" i="17"/>
  <c r="DD43" i="17"/>
  <c r="DD14" i="17"/>
  <c r="DD18" i="8"/>
  <c r="DD17" i="8" s="1"/>
  <c r="M109" i="17"/>
  <c r="O37" i="35"/>
  <c r="O38" i="35" s="1"/>
  <c r="O19" i="35"/>
  <c r="O20" i="35" s="1"/>
  <c r="CP557" i="12"/>
  <c r="CP568" i="12" s="1"/>
  <c r="CP696" i="12"/>
  <c r="CP697" i="12" s="1"/>
  <c r="CP698" i="12" s="1"/>
  <c r="CP702" i="12" s="1"/>
  <c r="CP703" i="12" s="1"/>
  <c r="CP704" i="12" s="1"/>
  <c r="CQ550" i="12"/>
  <c r="Q76" i="8"/>
  <c r="Q79" i="8" s="1"/>
  <c r="S115" i="17"/>
  <c r="BS129" i="17"/>
  <c r="CP129" i="17"/>
  <c r="CT505" i="12"/>
  <c r="CU505" i="12" s="1"/>
  <c r="CV505" i="12" s="1"/>
  <c r="CT557" i="12"/>
  <c r="K127" i="17"/>
  <c r="J108" i="17"/>
  <c r="J111" i="17" s="1"/>
  <c r="M127" i="17"/>
  <c r="CE43" i="17"/>
  <c r="CT119" i="17"/>
  <c r="CT120" i="17"/>
  <c r="CX119" i="17"/>
  <c r="I115" i="17"/>
  <c r="I49" i="17"/>
  <c r="I116" i="17"/>
  <c r="J115" i="17"/>
  <c r="CM556" i="12"/>
  <c r="CN556" i="12" s="1"/>
  <c r="N127" i="17"/>
  <c r="K109" i="17"/>
  <c r="CM43" i="17"/>
  <c r="S54" i="17"/>
  <c r="T54" i="17" s="1"/>
  <c r="U54" i="17" s="1"/>
  <c r="V54" i="17" s="1"/>
  <c r="W54" i="17" s="1"/>
  <c r="X54" i="17" s="1"/>
  <c r="Y54" i="17" s="1"/>
  <c r="DF119" i="17"/>
  <c r="DL155" i="15"/>
  <c r="J66" i="15"/>
  <c r="DF51" i="13"/>
  <c r="BV57" i="15"/>
  <c r="Q35" i="22"/>
  <c r="N52" i="14"/>
  <c r="DN156" i="15"/>
  <c r="DR171" i="15" s="1"/>
  <c r="DR176" i="15" s="1"/>
  <c r="DN166" i="15"/>
  <c r="P119" i="15"/>
  <c r="V70" i="15"/>
  <c r="W71" i="15" s="1"/>
  <c r="Q116" i="15"/>
  <c r="P116" i="15"/>
  <c r="N46" i="14"/>
  <c r="G74" i="14"/>
  <c r="H74" i="14"/>
  <c r="CO67" i="15"/>
  <c r="CQ166" i="15"/>
  <c r="CL9" i="22"/>
  <c r="CL13" i="22" s="1"/>
  <c r="CL22" i="22" s="1"/>
  <c r="Y130" i="15"/>
  <c r="X132" i="15"/>
  <c r="O36" i="15"/>
  <c r="P41" i="15"/>
  <c r="CM155" i="15"/>
  <c r="CW35" i="13"/>
  <c r="CW50" i="13" s="1"/>
  <c r="DA51" i="13" s="1"/>
  <c r="BS57" i="15"/>
  <c r="BQ57" i="15"/>
  <c r="H28" i="14"/>
  <c r="I132" i="14"/>
  <c r="I134" i="14" s="1"/>
  <c r="J135" i="14" s="1"/>
  <c r="J22" i="14"/>
  <c r="BU254" i="13"/>
  <c r="L30" i="15"/>
  <c r="L254" i="13" s="1"/>
  <c r="CT162" i="15"/>
  <c r="Q17" i="15"/>
  <c r="P212" i="13"/>
  <c r="X136" i="15"/>
  <c r="W138" i="15"/>
  <c r="DA8" i="22"/>
  <c r="DA9" i="22" s="1"/>
  <c r="DA13" i="22" s="1"/>
  <c r="DA22" i="22" s="1"/>
  <c r="BK19" i="15"/>
  <c r="DG163" i="15"/>
  <c r="BV80" i="15"/>
  <c r="BV65" i="15"/>
  <c r="CE57" i="15"/>
  <c r="K135" i="14"/>
  <c r="DN158" i="15"/>
  <c r="DN19" i="15"/>
  <c r="BW66" i="15"/>
  <c r="BV66" i="15"/>
  <c r="DE51" i="13"/>
  <c r="BW57" i="15"/>
  <c r="BM77" i="15"/>
  <c r="CV170" i="15"/>
  <c r="DN162" i="15"/>
  <c r="V65" i="15"/>
  <c r="BW39" i="15"/>
  <c r="U111" i="17"/>
  <c r="DD35" i="13"/>
  <c r="DD50" i="13" s="1"/>
  <c r="DD51" i="13" s="1"/>
  <c r="CV162" i="15"/>
  <c r="T35" i="13"/>
  <c r="T50" i="13" s="1"/>
  <c r="T51" i="13" s="1"/>
  <c r="I22" i="14"/>
  <c r="CI77" i="15"/>
  <c r="BW47" i="17"/>
  <c r="BW48" i="17" s="1"/>
  <c r="BR56" i="22"/>
  <c r="BW144" i="12"/>
  <c r="CS62" i="12"/>
  <c r="DA62" i="12"/>
  <c r="BT145" i="12"/>
  <c r="CI70" i="12"/>
  <c r="DA451" i="12"/>
  <c r="CE70" i="12"/>
  <c r="R312" i="12"/>
  <c r="BT146" i="12"/>
  <c r="BN72" i="12"/>
  <c r="CO316" i="12"/>
  <c r="CS317" i="12" s="1"/>
  <c r="V434" i="12"/>
  <c r="CO308" i="12"/>
  <c r="Q306" i="12"/>
  <c r="Q308" i="12" s="1"/>
  <c r="J310" i="12"/>
  <c r="BS165" i="12"/>
  <c r="Q15" i="12"/>
  <c r="CK20" i="12"/>
  <c r="CF30" i="6"/>
  <c r="CF13" i="6" s="1"/>
  <c r="CR80" i="22"/>
  <c r="BS87" i="12"/>
  <c r="BS90" i="12" s="1"/>
  <c r="S301" i="12"/>
  <c r="S339" i="12" s="1"/>
  <c r="CL316" i="12"/>
  <c r="CJ312" i="12"/>
  <c r="CJ341" i="12" s="1"/>
  <c r="BK72" i="12"/>
  <c r="CR55" i="22"/>
  <c r="K439" i="12"/>
  <c r="BS67" i="12"/>
  <c r="CH322" i="12"/>
  <c r="CN309" i="12"/>
  <c r="CA42" i="22" s="1"/>
  <c r="CZ302" i="12"/>
  <c r="BX15" i="6"/>
  <c r="CP59" i="17"/>
  <c r="CP60" i="17" s="1"/>
  <c r="CW45" i="11"/>
  <c r="CW46" i="11" s="1"/>
  <c r="V765" i="12"/>
  <c r="V767" i="12" s="1"/>
  <c r="I65" i="12"/>
  <c r="I95" i="12" s="1"/>
  <c r="CP323" i="12"/>
  <c r="BS66" i="12"/>
  <c r="I303" i="12"/>
  <c r="BK66" i="12"/>
  <c r="CR341" i="12"/>
  <c r="CR313" i="12"/>
  <c r="CY67" i="12"/>
  <c r="CY87" i="12"/>
  <c r="CY89" i="12" s="1"/>
  <c r="CY92" i="12" s="1"/>
  <c r="CY66" i="12"/>
  <c r="N437" i="12"/>
  <c r="CF15" i="6"/>
  <c r="R445" i="12"/>
  <c r="CY328" i="12"/>
  <c r="CY308" i="12"/>
  <c r="CY339" i="12"/>
  <c r="CY340" i="12" s="1"/>
  <c r="CY321" i="12"/>
  <c r="CZ303" i="12"/>
  <c r="M437" i="12"/>
  <c r="BH164" i="12"/>
  <c r="CB17" i="6"/>
  <c r="CM340" i="12"/>
  <c r="DI282" i="12"/>
  <c r="U49" i="12"/>
  <c r="CY303" i="12"/>
  <c r="V681" i="12"/>
  <c r="V679" i="12" s="1"/>
  <c r="P439" i="12"/>
  <c r="K11" i="12"/>
  <c r="V315" i="12"/>
  <c r="J49" i="12"/>
  <c r="DE65" i="12"/>
  <c r="DE67" i="12" s="1"/>
  <c r="I63" i="12"/>
  <c r="DA21" i="16"/>
  <c r="L48" i="12"/>
  <c r="BX50" i="22"/>
  <c r="U516" i="12"/>
  <c r="U519" i="12" s="1"/>
  <c r="U524" i="12" s="1"/>
  <c r="CR49" i="12"/>
  <c r="CR69" i="12"/>
  <c r="CR78" i="12"/>
  <c r="CR65" i="12"/>
  <c r="CR43" i="12"/>
  <c r="CR689" i="12"/>
  <c r="CS689" i="12" s="1"/>
  <c r="CR690" i="12"/>
  <c r="CS690" i="12" s="1"/>
  <c r="CT690" i="12" s="1"/>
  <c r="CL14" i="11"/>
  <c r="CL59" i="11" s="1"/>
  <c r="CL68" i="11" s="1"/>
  <c r="CR40" i="12"/>
  <c r="CR62" i="12"/>
  <c r="CO14" i="6"/>
  <c r="CO15" i="6" s="1"/>
  <c r="CR54" i="12"/>
  <c r="CE46" i="22"/>
  <c r="CR32" i="12"/>
  <c r="CO163" i="12"/>
  <c r="CO164" i="12" s="1"/>
  <c r="CO135" i="12"/>
  <c r="DD302" i="12"/>
  <c r="CQ321" i="12"/>
  <c r="CQ334" i="12"/>
  <c r="CQ328" i="12"/>
  <c r="CQ312" i="12"/>
  <c r="CQ313" i="12" s="1"/>
  <c r="CQ308" i="12"/>
  <c r="CQ339" i="12"/>
  <c r="CQ340" i="12" s="1"/>
  <c r="DD303" i="12"/>
  <c r="CK322" i="12"/>
  <c r="CT119" i="22"/>
  <c r="M12" i="12"/>
  <c r="CR309" i="12"/>
  <c r="CE42" i="22" s="1"/>
  <c r="CB15" i="6"/>
  <c r="U69" i="12"/>
  <c r="U71" i="12" s="1"/>
  <c r="K116" i="17"/>
  <c r="CY302" i="12"/>
  <c r="CY334" i="12"/>
  <c r="O14" i="6"/>
  <c r="O17" i="6" s="1"/>
  <c r="AI29" i="12"/>
  <c r="AB29" i="12"/>
  <c r="AC29" i="12" s="1"/>
  <c r="AD29" i="12" s="1"/>
  <c r="AE29" i="12" s="1"/>
  <c r="AF29" i="12" s="1"/>
  <c r="AG29" i="12" s="1"/>
  <c r="AA764" i="12"/>
  <c r="DE21" i="16"/>
  <c r="T20" i="16"/>
  <c r="U21" i="16" s="1"/>
  <c r="U60" i="12"/>
  <c r="V48" i="12"/>
  <c r="CR328" i="12"/>
  <c r="CR321" i="12"/>
  <c r="CR339" i="12"/>
  <c r="CR340" i="12" s="1"/>
  <c r="CR303" i="12"/>
  <c r="CR302" i="12"/>
  <c r="CL46" i="22"/>
  <c r="CV14" i="6"/>
  <c r="CV15" i="6" s="1"/>
  <c r="CY43" i="12"/>
  <c r="CS14" i="11"/>
  <c r="CS59" i="11" s="1"/>
  <c r="CS68" i="11" s="1"/>
  <c r="CY54" i="12"/>
  <c r="CY40" i="12"/>
  <c r="CX14" i="11"/>
  <c r="CX59" i="11" s="1"/>
  <c r="CX68" i="11" s="1"/>
  <c r="DD69" i="12"/>
  <c r="DD78" i="12"/>
  <c r="DD65" i="12"/>
  <c r="CQ46" i="22"/>
  <c r="DD54" i="12"/>
  <c r="DA14" i="6"/>
  <c r="DD32" i="12"/>
  <c r="DH32" i="12"/>
  <c r="DD49" i="12"/>
  <c r="DD62" i="12"/>
  <c r="DD40" i="12"/>
  <c r="DD43" i="12"/>
  <c r="CT14" i="11"/>
  <c r="CT59" i="11" s="1"/>
  <c r="CT68" i="11" s="1"/>
  <c r="CM46" i="22"/>
  <c r="CZ69" i="12"/>
  <c r="CZ62" i="12"/>
  <c r="CZ65" i="12"/>
  <c r="CZ54" i="12"/>
  <c r="CZ40" i="12"/>
  <c r="CZ49" i="12"/>
  <c r="CZ32" i="12"/>
  <c r="CZ43" i="12"/>
  <c r="CW14" i="6"/>
  <c r="CZ78" i="12"/>
  <c r="DH303" i="12"/>
  <c r="DG328" i="12"/>
  <c r="DG302" i="12"/>
  <c r="DG339" i="12"/>
  <c r="DG321" i="12"/>
  <c r="DB80" i="12"/>
  <c r="DB107" i="8"/>
  <c r="DB81" i="12"/>
  <c r="CS323" i="12"/>
  <c r="CV339" i="12"/>
  <c r="CZ340" i="12" s="1"/>
  <c r="CV302" i="12"/>
  <c r="CV321" i="12"/>
  <c r="CV308" i="12"/>
  <c r="CV328" i="12"/>
  <c r="CV334" i="12"/>
  <c r="DD321" i="12"/>
  <c r="DD328" i="12"/>
  <c r="DD339" i="12"/>
  <c r="DD334" i="12"/>
  <c r="R666" i="12"/>
  <c r="BD164" i="12"/>
  <c r="U301" i="12"/>
  <c r="U328" i="12" s="1"/>
  <c r="V299" i="12"/>
  <c r="U50" i="12"/>
  <c r="T35" i="11"/>
  <c r="T36" i="11" s="1"/>
  <c r="T37" i="11" s="1"/>
  <c r="CG59" i="11"/>
  <c r="CG68" i="11" s="1"/>
  <c r="U48" i="12"/>
  <c r="U78" i="12"/>
  <c r="CN135" i="12"/>
  <c r="CN136" i="12" s="1"/>
  <c r="CN154" i="12"/>
  <c r="AA728" i="12"/>
  <c r="AA747" i="12" s="1"/>
  <c r="AA749" i="12" s="1"/>
  <c r="AB727" i="12"/>
  <c r="DB71" i="12"/>
  <c r="DB72" i="12"/>
  <c r="CO56" i="22"/>
  <c r="DD308" i="12"/>
  <c r="CV40" i="12"/>
  <c r="CS14" i="6"/>
  <c r="CS16" i="6" s="1"/>
  <c r="CI46" i="22"/>
  <c r="CV78" i="12"/>
  <c r="CV62" i="12"/>
  <c r="CV65" i="12"/>
  <c r="CP14" i="11"/>
  <c r="CP59" i="11" s="1"/>
  <c r="CP68" i="11" s="1"/>
  <c r="CV32" i="12"/>
  <c r="CV43" i="12"/>
  <c r="CV54" i="12"/>
  <c r="CV49" i="12"/>
  <c r="CV69" i="12"/>
  <c r="CG58" i="8"/>
  <c r="CS45" i="8"/>
  <c r="S76" i="7"/>
  <c r="S112" i="7" s="1"/>
  <c r="S119" i="7" s="1"/>
  <c r="T186" i="7"/>
  <c r="DC182" i="7"/>
  <c r="CG77" i="7"/>
  <c r="DH91" i="7"/>
  <c r="DJ112" i="7"/>
  <c r="DJ119" i="7" s="1"/>
  <c r="DB195" i="7"/>
  <c r="U190" i="7"/>
  <c r="CT77" i="7"/>
  <c r="AA113" i="13"/>
  <c r="BV20" i="15"/>
  <c r="H136" i="17"/>
  <c r="I15" i="12"/>
  <c r="DA91" i="7"/>
  <c r="CD77" i="7"/>
  <c r="DK63" i="7"/>
  <c r="CQ63" i="7"/>
  <c r="DE77" i="7"/>
  <c r="DE91" i="7"/>
  <c r="V112" i="7"/>
  <c r="V119" i="7" s="1"/>
  <c r="P168" i="7"/>
  <c r="P186" i="7" s="1"/>
  <c r="CK186" i="7"/>
  <c r="T60" i="12"/>
  <c r="CD87" i="12"/>
  <c r="CD89" i="12" s="1"/>
  <c r="CD92" i="12" s="1"/>
  <c r="CD96" i="12" s="1"/>
  <c r="DN47" i="17"/>
  <c r="DN48" i="17" s="1"/>
  <c r="CE66" i="12"/>
  <c r="CS372" i="13"/>
  <c r="CQ43" i="17"/>
  <c r="CP376" i="13"/>
  <c r="T41" i="11"/>
  <c r="CV545" i="12"/>
  <c r="CV109" i="8" s="1"/>
  <c r="BS47" i="17"/>
  <c r="BS48" i="17" s="1"/>
  <c r="BL47" i="17"/>
  <c r="BL48" i="17" s="1"/>
  <c r="O60" i="12"/>
  <c r="O63" i="12" s="1"/>
  <c r="CQ26" i="17"/>
  <c r="CQ34" i="17" s="1"/>
  <c r="J60" i="12"/>
  <c r="L60" i="12"/>
  <c r="L63" i="12" s="1"/>
  <c r="O539" i="12"/>
  <c r="CQ57" i="17"/>
  <c r="BM47" i="17"/>
  <c r="BM48" i="17" s="1"/>
  <c r="T50" i="12"/>
  <c r="DH47" i="17"/>
  <c r="DH48" i="17" s="1"/>
  <c r="CB122" i="13"/>
  <c r="CB129" i="13"/>
  <c r="DN40" i="14"/>
  <c r="CE143" i="14"/>
  <c r="CD144" i="14"/>
  <c r="CD145" i="14" s="1"/>
  <c r="CD146" i="14" s="1"/>
  <c r="DA56" i="14"/>
  <c r="DN120" i="15"/>
  <c r="DR120" i="15"/>
  <c r="K87" i="14"/>
  <c r="F144" i="14"/>
  <c r="F145" i="14" s="1"/>
  <c r="CC145" i="14"/>
  <c r="CC146" i="14" s="1"/>
  <c r="DA57" i="14"/>
  <c r="CY57" i="14"/>
  <c r="DO56" i="14"/>
  <c r="Y60" i="13"/>
  <c r="BQ50" i="15"/>
  <c r="BQ40" i="15"/>
  <c r="BQ51" i="15"/>
  <c r="K49" i="15"/>
  <c r="CG17" i="11"/>
  <c r="CJ18" i="6"/>
  <c r="CJ19" i="6" s="1"/>
  <c r="CM12" i="16"/>
  <c r="BZ49" i="22"/>
  <c r="BP42" i="15"/>
  <c r="BP41" i="15"/>
  <c r="BP59" i="15" s="1"/>
  <c r="CJ66" i="8"/>
  <c r="CJ69" i="8" s="1"/>
  <c r="CJ71" i="8"/>
  <c r="DA67" i="15"/>
  <c r="CS72" i="7"/>
  <c r="CS73" i="7"/>
  <c r="S45" i="6"/>
  <c r="CS74" i="7"/>
  <c r="T141" i="17"/>
  <c r="O69" i="22" s="1"/>
  <c r="AN126" i="17"/>
  <c r="CB65" i="8"/>
  <c r="CB59" i="8"/>
  <c r="R110" i="8"/>
  <c r="R121" i="8" s="1"/>
  <c r="R134" i="17"/>
  <c r="R145" i="17" s="1"/>
  <c r="DA129" i="17"/>
  <c r="BR49" i="15"/>
  <c r="BI228" i="21"/>
  <c r="CC57" i="6"/>
  <c r="BY76" i="6"/>
  <c r="BY57" i="6"/>
  <c r="BY58" i="6"/>
  <c r="DN67" i="15"/>
  <c r="DR67" i="15"/>
  <c r="DQ18" i="17"/>
  <c r="G17" i="37"/>
  <c r="G18" i="37" s="1"/>
  <c r="DE71" i="15"/>
  <c r="DR129" i="17"/>
  <c r="CU43" i="17"/>
  <c r="DD72" i="7"/>
  <c r="DD73" i="7"/>
  <c r="DD74" i="7"/>
  <c r="DF46" i="6"/>
  <c r="DR71" i="15"/>
  <c r="CU71" i="15"/>
  <c r="CV71" i="15"/>
  <c r="CO45" i="8"/>
  <c r="DO158" i="15"/>
  <c r="DR166" i="15"/>
  <c r="O33" i="8"/>
  <c r="I13" i="37"/>
  <c r="DD71" i="15"/>
  <c r="O212" i="13"/>
  <c r="DR164" i="15"/>
  <c r="V51" i="13"/>
  <c r="CB58" i="11"/>
  <c r="P26" i="13"/>
  <c r="CB18" i="11"/>
  <c r="CB19" i="11" s="1"/>
  <c r="CG28" i="13"/>
  <c r="CB28" i="13"/>
  <c r="CZ51" i="13"/>
  <c r="CK35" i="6"/>
  <c r="CG35" i="6" s="1"/>
  <c r="CC35" i="6" s="1"/>
  <c r="BZ134" i="13"/>
  <c r="BZ131" i="13" s="1"/>
  <c r="BU50" i="22"/>
  <c r="BU52" i="22" s="1"/>
  <c r="DH35" i="13"/>
  <c r="DH50" i="13" s="1"/>
  <c r="CK31" i="13"/>
  <c r="CL82" i="13"/>
  <c r="CY58" i="11"/>
  <c r="CI10" i="6"/>
  <c r="CI30" i="6" s="1"/>
  <c r="DR76" i="13"/>
  <c r="O28" i="37" s="1"/>
  <c r="H27" i="37"/>
  <c r="BM55" i="22"/>
  <c r="CM30" i="16"/>
  <c r="CM33" i="16" s="1"/>
  <c r="CP372" i="13"/>
  <c r="CD135" i="13"/>
  <c r="CQ376" i="13"/>
  <c r="CM41" i="16"/>
  <c r="CG44" i="11"/>
  <c r="CG45" i="11" s="1"/>
  <c r="CG46" i="11" s="1"/>
  <c r="G31" i="37"/>
  <c r="G32" i="37" s="1"/>
  <c r="I31" i="37"/>
  <c r="I32" i="37" s="1"/>
  <c r="DH137" i="22"/>
  <c r="CK59" i="11"/>
  <c r="CK68" i="11" s="1"/>
  <c r="CS26" i="17"/>
  <c r="CS45" i="17" s="1"/>
  <c r="S78" i="12"/>
  <c r="S60" i="12"/>
  <c r="S63" i="12" s="1"/>
  <c r="DG51" i="13"/>
  <c r="DK51" i="13"/>
  <c r="DM67" i="15"/>
  <c r="DQ67" i="15"/>
  <c r="N87" i="14"/>
  <c r="Q128" i="17"/>
  <c r="Q108" i="17" s="1"/>
  <c r="Q18" i="17"/>
  <c r="R18" i="17"/>
  <c r="CQ120" i="17"/>
  <c r="CU119" i="17"/>
  <c r="CB56" i="22"/>
  <c r="CO212" i="13"/>
  <c r="CN212" i="13"/>
  <c r="CC45" i="8"/>
  <c r="BN91" i="1"/>
  <c r="BN94" i="1" s="1"/>
  <c r="BN89" i="1"/>
  <c r="BN128" i="1"/>
  <c r="M87" i="1"/>
  <c r="M154" i="1" s="1"/>
  <c r="U51" i="8"/>
  <c r="U57" i="8" s="1"/>
  <c r="DE57" i="8"/>
  <c r="DE58" i="8" s="1"/>
  <c r="DA57" i="8"/>
  <c r="DA58" i="8" s="1"/>
  <c r="T50" i="8"/>
  <c r="T57" i="8" s="1"/>
  <c r="CZ40" i="14"/>
  <c r="DA39" i="14"/>
  <c r="DD40" i="14"/>
  <c r="DQ39" i="8"/>
  <c r="DG390" i="21"/>
  <c r="BN96" i="15"/>
  <c r="BN99" i="15"/>
  <c r="BN97" i="15"/>
  <c r="BR96" i="15"/>
  <c r="J118" i="15"/>
  <c r="J92" i="15"/>
  <c r="J91" i="15"/>
  <c r="CK45" i="8"/>
  <c r="BX47" i="15"/>
  <c r="BX43" i="15"/>
  <c r="BX20" i="15" s="1"/>
  <c r="BY44" i="15"/>
  <c r="CY72" i="12"/>
  <c r="H207" i="21"/>
  <c r="H208" i="21" s="1"/>
  <c r="H205" i="21"/>
  <c r="CX46" i="6"/>
  <c r="CZ73" i="7"/>
  <c r="DB46" i="6"/>
  <c r="CZ72" i="7"/>
  <c r="CZ74" i="7"/>
  <c r="AU81" i="15"/>
  <c r="AQ82" i="15"/>
  <c r="AR82" i="15"/>
  <c r="BV41" i="15"/>
  <c r="BV59" i="15" s="1"/>
  <c r="BV42" i="15"/>
  <c r="BV279" i="13"/>
  <c r="BV239" i="13"/>
  <c r="BW41" i="15"/>
  <c r="BW59" i="15" s="1"/>
  <c r="CK72" i="7"/>
  <c r="CK73" i="7"/>
  <c r="CK74" i="7"/>
  <c r="Q41" i="11"/>
  <c r="DA65" i="8"/>
  <c r="DE255" i="21"/>
  <c r="DO21" i="12" s="1"/>
  <c r="DF256" i="21"/>
  <c r="DO23" i="12"/>
  <c r="DS24" i="12" s="1"/>
  <c r="H132" i="14"/>
  <c r="K133" i="14"/>
  <c r="CS65" i="8"/>
  <c r="CS35" i="8"/>
  <c r="CS59" i="8"/>
  <c r="CF34" i="8"/>
  <c r="BV405" i="21"/>
  <c r="CO57" i="8"/>
  <c r="Q50" i="8"/>
  <c r="Q57" i="8" s="1"/>
  <c r="T48" i="12"/>
  <c r="Q60" i="12"/>
  <c r="Q65" i="12" s="1"/>
  <c r="CZ87" i="14"/>
  <c r="CV87" i="14"/>
  <c r="CV86" i="14"/>
  <c r="CW86" i="14"/>
  <c r="CA8" i="22"/>
  <c r="CA9" i="22" s="1"/>
  <c r="CA13" i="22" s="1"/>
  <c r="CR19" i="15"/>
  <c r="CC77" i="8"/>
  <c r="CC79" i="8" s="1"/>
  <c r="CC65" i="8"/>
  <c r="CC168" i="7"/>
  <c r="CC169" i="7" s="1"/>
  <c r="CC175" i="7" s="1"/>
  <c r="N38" i="8"/>
  <c r="R60" i="12"/>
  <c r="U41" i="11"/>
  <c r="BN119" i="15"/>
  <c r="BM119" i="15"/>
  <c r="N35" i="22"/>
  <c r="L47" i="14"/>
  <c r="L46" i="14"/>
  <c r="K47" i="14"/>
  <c r="K53" i="14"/>
  <c r="K46" i="14"/>
  <c r="DA24" i="16"/>
  <c r="DE25" i="16" s="1"/>
  <c r="K92" i="15"/>
  <c r="BW381" i="21"/>
  <c r="CN59" i="8"/>
  <c r="CN35" i="8"/>
  <c r="CN65" i="8"/>
  <c r="CR45" i="8"/>
  <c r="CR59" i="8"/>
  <c r="CQ129" i="17"/>
  <c r="V50" i="8"/>
  <c r="V57" i="8" s="1"/>
  <c r="DI57" i="8"/>
  <c r="CQ405" i="21"/>
  <c r="DO86" i="14"/>
  <c r="DQ71" i="15"/>
  <c r="DQ76" i="13"/>
  <c r="N28" i="37" s="1"/>
  <c r="BW77" i="15"/>
  <c r="CE405" i="21"/>
  <c r="CO34" i="8"/>
  <c r="H126" i="17"/>
  <c r="I127" i="17" s="1"/>
  <c r="H129" i="17"/>
  <c r="CD58" i="8"/>
  <c r="CD59" i="8"/>
  <c r="CQ8" i="22"/>
  <c r="CQ9" i="22" s="1"/>
  <c r="CQ13" i="22" s="1"/>
  <c r="CQ22" i="22" s="1"/>
  <c r="DD19" i="15"/>
  <c r="DG87" i="14"/>
  <c r="DC87" i="14"/>
  <c r="DD86" i="14"/>
  <c r="DC86" i="14"/>
  <c r="CT8" i="22"/>
  <c r="CT9" i="22" s="1"/>
  <c r="CT13" i="22" s="1"/>
  <c r="CT22" i="22" s="1"/>
  <c r="DK19" i="15"/>
  <c r="DG19" i="15"/>
  <c r="CI8" i="22"/>
  <c r="CI9" i="22" s="1"/>
  <c r="CI13" i="22" s="1"/>
  <c r="CI22" i="22" s="1"/>
  <c r="CZ19" i="15"/>
  <c r="CV19" i="15"/>
  <c r="M149" i="14"/>
  <c r="L151" i="14"/>
  <c r="CY405" i="21"/>
  <c r="H132" i="17"/>
  <c r="I132" i="17"/>
  <c r="CE119" i="17"/>
  <c r="CE120" i="17"/>
  <c r="DP44" i="8"/>
  <c r="DP59" i="8" s="1"/>
  <c r="DF405" i="21"/>
  <c r="CY35" i="13"/>
  <c r="CY50" i="13" s="1"/>
  <c r="CX310" i="21"/>
  <c r="CW311" i="21"/>
  <c r="CW301" i="21" s="1"/>
  <c r="R41" i="11"/>
  <c r="CD8" i="22"/>
  <c r="CD9" i="22" s="1"/>
  <c r="CD13" i="22" s="1"/>
  <c r="CD22" i="22" s="1"/>
  <c r="CQ19" i="15"/>
  <c r="CR35" i="13"/>
  <c r="CR50" i="13" s="1"/>
  <c r="CV51" i="13" s="1"/>
  <c r="CQ35" i="13"/>
  <c r="CQ50" i="13" s="1"/>
  <c r="DO44" i="8"/>
  <c r="DO59" i="8" s="1"/>
  <c r="DE405" i="21"/>
  <c r="BW239" i="13"/>
  <c r="DC402" i="21"/>
  <c r="DN39" i="14"/>
  <c r="DQ40" i="14"/>
  <c r="DM345" i="12"/>
  <c r="DQ345" i="12"/>
  <c r="CU405" i="21"/>
  <c r="DE34" i="8"/>
  <c r="DL469" i="12"/>
  <c r="DL364" i="12"/>
  <c r="DL370" i="12" s="1"/>
  <c r="DL385" i="12" s="1"/>
  <c r="DL387" i="12" s="1"/>
  <c r="CO81" i="12"/>
  <c r="CO107" i="8"/>
  <c r="CO80" i="12"/>
  <c r="CK34" i="8"/>
  <c r="CA405" i="21"/>
  <c r="O131" i="14"/>
  <c r="N131" i="14"/>
  <c r="N134" i="14"/>
  <c r="O135" i="14" s="1"/>
  <c r="CZ59" i="8"/>
  <c r="CZ35" i="8"/>
  <c r="CZ65" i="8"/>
  <c r="K47" i="21"/>
  <c r="K52" i="21"/>
  <c r="K54" i="21" s="1"/>
  <c r="Q168" i="7"/>
  <c r="Q186" i="7" s="1"/>
  <c r="BN101" i="15"/>
  <c r="BN102" i="15" s="1"/>
  <c r="K98" i="15"/>
  <c r="CE59" i="8"/>
  <c r="CE35" i="8"/>
  <c r="CE65" i="8"/>
  <c r="S48" i="12"/>
  <c r="BW46" i="15"/>
  <c r="CY80" i="12"/>
  <c r="CY81" i="12"/>
  <c r="CY107" i="8"/>
  <c r="DI71" i="8"/>
  <c r="DI66" i="8"/>
  <c r="DI69" i="8" s="1"/>
  <c r="S41" i="11"/>
  <c r="CO35" i="13"/>
  <c r="CO50" i="13" s="1"/>
  <c r="CS51" i="13" s="1"/>
  <c r="BV48" i="15"/>
  <c r="BV45" i="15" s="1"/>
  <c r="BV30" i="15"/>
  <c r="K91" i="15"/>
  <c r="BA90" i="17"/>
  <c r="BA85" i="17"/>
  <c r="BA96" i="17"/>
  <c r="BA89" i="17"/>
  <c r="BA92" i="17"/>
  <c r="BA88" i="17"/>
  <c r="BA84" i="17"/>
  <c r="BA93" i="17"/>
  <c r="BA95" i="17"/>
  <c r="BA94" i="17"/>
  <c r="BA97" i="17"/>
  <c r="BA83" i="17"/>
  <c r="BA87" i="17"/>
  <c r="BA91" i="17"/>
  <c r="Y335" i="12"/>
  <c r="X39" i="8"/>
  <c r="U293" i="12"/>
  <c r="DA290" i="12"/>
  <c r="P17" i="12"/>
  <c r="CY285" i="12"/>
  <c r="DM138" i="12"/>
  <c r="CQ161" i="12"/>
  <c r="BR70" i="12"/>
  <c r="V472" i="12"/>
  <c r="DG48" i="17"/>
  <c r="CY25" i="16"/>
  <c r="CS59" i="17"/>
  <c r="CS60" i="17" s="1"/>
  <c r="BI55" i="12"/>
  <c r="I55" i="12" s="1"/>
  <c r="I46" i="17" s="1"/>
  <c r="BG69" i="12"/>
  <c r="BG71" i="12" s="1"/>
  <c r="H61" i="12"/>
  <c r="V20" i="16"/>
  <c r="V21" i="16" s="1"/>
  <c r="CL67" i="12"/>
  <c r="BT95" i="12"/>
  <c r="F67" i="12"/>
  <c r="CY44" i="11"/>
  <c r="CY62" i="11" s="1"/>
  <c r="CY71" i="11" s="1"/>
  <c r="CR59" i="22" s="1"/>
  <c r="CU41" i="16"/>
  <c r="P133" i="13"/>
  <c r="P134" i="13" s="1"/>
  <c r="CO44" i="11"/>
  <c r="CO45" i="11" s="1"/>
  <c r="CO46" i="11" s="1"/>
  <c r="CD30" i="16"/>
  <c r="CD33" i="16" s="1"/>
  <c r="CR44" i="11"/>
  <c r="CR45" i="11" s="1"/>
  <c r="CR46" i="11" s="1"/>
  <c r="CU37" i="16"/>
  <c r="CY38" i="16" s="1"/>
  <c r="CX37" i="16"/>
  <c r="CE57" i="12"/>
  <c r="CM25" i="16"/>
  <c r="CC44" i="11"/>
  <c r="CC45" i="11" s="1"/>
  <c r="CC46" i="11" s="1"/>
  <c r="DD30" i="16"/>
  <c r="DD33" i="16" s="1"/>
  <c r="CE53" i="17"/>
  <c r="BX44" i="11"/>
  <c r="BX45" i="11" s="1"/>
  <c r="BX46" i="11" s="1"/>
  <c r="CL37" i="16"/>
  <c r="CP38" i="16" s="1"/>
  <c r="CR37" i="16"/>
  <c r="CO67" i="12"/>
  <c r="F66" i="12"/>
  <c r="DM47" i="17"/>
  <c r="DM48" i="17" s="1"/>
  <c r="BG67" i="12"/>
  <c r="CG56" i="22"/>
  <c r="H62" i="12"/>
  <c r="CX30" i="16"/>
  <c r="CX33" i="16" s="1"/>
  <c r="CX34" i="16" s="1"/>
  <c r="CR41" i="16"/>
  <c r="BG66" i="12"/>
  <c r="BV66" i="12"/>
  <c r="DH24" i="16"/>
  <c r="DH37" i="16" s="1"/>
  <c r="CT71" i="12"/>
  <c r="BN70" i="12"/>
  <c r="CE25" i="16"/>
  <c r="CR30" i="16"/>
  <c r="CR33" i="16" s="1"/>
  <c r="CY26" i="17"/>
  <c r="CV51" i="6" s="1"/>
  <c r="CV34" i="17"/>
  <c r="V53" i="11"/>
  <c r="V54" i="11" s="1"/>
  <c r="I61" i="12"/>
  <c r="H63" i="12"/>
  <c r="S21" i="16"/>
  <c r="CQ316" i="12"/>
  <c r="CK160" i="12"/>
  <c r="CK162" i="12" s="1"/>
  <c r="DB92" i="12"/>
  <c r="BB537" i="12"/>
  <c r="CF61" i="12"/>
  <c r="N36" i="11"/>
  <c r="N37" i="11" s="1"/>
  <c r="CY47" i="17"/>
  <c r="CY48" i="17" s="1"/>
  <c r="Q77" i="14"/>
  <c r="Q78" i="14" s="1"/>
  <c r="Q66" i="14"/>
  <c r="R68" i="14" s="1"/>
  <c r="Q118" i="6"/>
  <c r="CA442" i="12"/>
  <c r="CE77" i="15"/>
  <c r="U129" i="17"/>
  <c r="H11" i="35"/>
  <c r="V129" i="17"/>
  <c r="F11" i="35"/>
  <c r="T129" i="17"/>
  <c r="S129" i="17"/>
  <c r="CW82" i="13"/>
  <c r="CJ45" i="22"/>
  <c r="CQ13" i="11"/>
  <c r="CQ107" i="11" s="1"/>
  <c r="CW133" i="13"/>
  <c r="CW88" i="13"/>
  <c r="CW110" i="17"/>
  <c r="CW85" i="13"/>
  <c r="CT10" i="6"/>
  <c r="CX11" i="6" s="1"/>
  <c r="CJ79" i="22"/>
  <c r="DH85" i="13"/>
  <c r="DH82" i="13"/>
  <c r="CU45" i="22"/>
  <c r="DH133" i="13"/>
  <c r="DH88" i="13"/>
  <c r="DH110" i="17"/>
  <c r="E27" i="37"/>
  <c r="DB13" i="11"/>
  <c r="DE10" i="6"/>
  <c r="DI11" i="6" s="1"/>
  <c r="CU79" i="22"/>
  <c r="CH28" i="13"/>
  <c r="CD441" i="12"/>
  <c r="CF78" i="15"/>
  <c r="DB35" i="11"/>
  <c r="DB36" i="11" s="1"/>
  <c r="DB37" i="11" s="1"/>
  <c r="DL21" i="16"/>
  <c r="DL119" i="17"/>
  <c r="DH120" i="17"/>
  <c r="DH119" i="17"/>
  <c r="DG74" i="7"/>
  <c r="DI46" i="6"/>
  <c r="DG72" i="7"/>
  <c r="DG73" i="7"/>
  <c r="DE46" i="6"/>
  <c r="BW59" i="17"/>
  <c r="BX47" i="17"/>
  <c r="BX48" i="17" s="1"/>
  <c r="DE76" i="13"/>
  <c r="CR148" i="22" s="1"/>
  <c r="DA76" i="13"/>
  <c r="CN148" i="22" s="1"/>
  <c r="CI55" i="17"/>
  <c r="P54" i="17"/>
  <c r="U110" i="8"/>
  <c r="U121" i="8" s="1"/>
  <c r="U134" i="17"/>
  <c r="U550" i="12"/>
  <c r="U118" i="17"/>
  <c r="U120" i="17" s="1"/>
  <c r="N108" i="17"/>
  <c r="O109" i="17" s="1"/>
  <c r="N550" i="12"/>
  <c r="N557" i="12" s="1"/>
  <c r="N49" i="17"/>
  <c r="N134" i="17"/>
  <c r="O135" i="17" s="1"/>
  <c r="N115" i="17"/>
  <c r="Y18" i="15"/>
  <c r="CB61" i="12"/>
  <c r="AN128" i="17"/>
  <c r="O129" i="17"/>
  <c r="CA47" i="17"/>
  <c r="CA48" i="17" s="1"/>
  <c r="CA59" i="17"/>
  <c r="CA60" i="17" s="1"/>
  <c r="CA26" i="17"/>
  <c r="I302" i="12"/>
  <c r="CP47" i="17"/>
  <c r="CP48" i="17" s="1"/>
  <c r="CQ47" i="17"/>
  <c r="CQ48" i="17" s="1"/>
  <c r="BZ17" i="6"/>
  <c r="BZ16" i="6"/>
  <c r="G49" i="12"/>
  <c r="G136" i="17"/>
  <c r="H15" i="12"/>
  <c r="G15" i="12"/>
  <c r="G92" i="12"/>
  <c r="S17" i="11"/>
  <c r="BZ61" i="12"/>
  <c r="CL88" i="13"/>
  <c r="BY149" i="22"/>
  <c r="BY79" i="22"/>
  <c r="BY45" i="22"/>
  <c r="BY50" i="22" s="1"/>
  <c r="CL110" i="17"/>
  <c r="CL85" i="13"/>
  <c r="CF13" i="11"/>
  <c r="Y26" i="15"/>
  <c r="Y27" i="15"/>
  <c r="Y28" i="15" s="1"/>
  <c r="DJ321" i="12"/>
  <c r="DJ328" i="12"/>
  <c r="DJ334" i="12"/>
  <c r="DJ339" i="12"/>
  <c r="CA133" i="13"/>
  <c r="BX10" i="6"/>
  <c r="CA88" i="13"/>
  <c r="CA76" i="13"/>
  <c r="BN148" i="22" s="1"/>
  <c r="BN45" i="22"/>
  <c r="BN50" i="22" s="1"/>
  <c r="BN52" i="22" s="1"/>
  <c r="CA85" i="13"/>
  <c r="BU13" i="11"/>
  <c r="CA82" i="13"/>
  <c r="CE76" i="13"/>
  <c r="BR148" i="22" s="1"/>
  <c r="I310" i="12"/>
  <c r="DD48" i="17"/>
  <c r="AA31" i="7"/>
  <c r="AB31" i="7" s="1"/>
  <c r="AC31" i="7" s="1"/>
  <c r="AD31" i="7" s="1"/>
  <c r="AE31" i="7" s="1"/>
  <c r="AF31" i="7" s="1"/>
  <c r="AG31" i="7" s="1"/>
  <c r="BB69" i="12"/>
  <c r="BB67" i="12"/>
  <c r="R306" i="12"/>
  <c r="CT307" i="12"/>
  <c r="R65" i="8"/>
  <c r="R71" i="8" s="1"/>
  <c r="CE38" i="16"/>
  <c r="BZ62" i="12"/>
  <c r="CB65" i="12"/>
  <c r="CB66" i="12" s="1"/>
  <c r="CB62" i="12"/>
  <c r="BU61" i="12"/>
  <c r="BY61" i="12"/>
  <c r="CE30" i="16"/>
  <c r="CE33" i="16" s="1"/>
  <c r="CI25" i="16"/>
  <c r="BV67" i="12"/>
  <c r="BU65" i="12"/>
  <c r="BU66" i="12" s="1"/>
  <c r="K48" i="12"/>
  <c r="K60" i="12"/>
  <c r="CG61" i="12"/>
  <c r="CC65" i="12"/>
  <c r="CG66" i="12" s="1"/>
  <c r="CC61" i="12"/>
  <c r="CC62" i="12"/>
  <c r="BU62" i="12"/>
  <c r="BT71" i="12"/>
  <c r="BT72" i="12"/>
  <c r="BB96" i="12"/>
  <c r="CA77" i="15"/>
  <c r="F24" i="22"/>
  <c r="BH65" i="15"/>
  <c r="BD76" i="15"/>
  <c r="BD80" i="15"/>
  <c r="BD65" i="15"/>
  <c r="BK77" i="15"/>
  <c r="BL78" i="15"/>
  <c r="BN87" i="12"/>
  <c r="BN66" i="12"/>
  <c r="BN67" i="12"/>
  <c r="K282" i="21"/>
  <c r="K290" i="21"/>
  <c r="K291" i="21" s="1"/>
  <c r="BV72" i="12"/>
  <c r="BV78" i="12"/>
  <c r="BV71" i="12"/>
  <c r="BV70" i="12"/>
  <c r="BV95" i="12"/>
  <c r="BR95" i="12"/>
  <c r="BR72" i="12"/>
  <c r="BR71" i="12"/>
  <c r="AY67" i="12"/>
  <c r="AY69" i="12"/>
  <c r="BC70" i="12" s="1"/>
  <c r="AY66" i="12"/>
  <c r="N439" i="12"/>
  <c r="BJ72" i="12"/>
  <c r="BJ71" i="12"/>
  <c r="CW77" i="7"/>
  <c r="BC110" i="21"/>
  <c r="J109" i="21"/>
  <c r="J110" i="21" s="1"/>
  <c r="DF77" i="7"/>
  <c r="DJ77" i="7"/>
  <c r="X103" i="6"/>
  <c r="X104" i="6" s="1"/>
  <c r="DR99" i="8"/>
  <c r="DR100" i="8" s="1"/>
  <c r="CQ336" i="12"/>
  <c r="CQ337" i="12" s="1"/>
  <c r="CK289" i="12"/>
  <c r="CK137" i="12" s="1"/>
  <c r="U294" i="12"/>
  <c r="P138" i="22" s="1"/>
  <c r="DA137" i="12"/>
  <c r="CP336" i="12"/>
  <c r="Y58" i="12"/>
  <c r="CT175" i="15"/>
  <c r="BW12" i="6"/>
  <c r="CE13" i="6"/>
  <c r="P10" i="6"/>
  <c r="P11" i="6" s="1"/>
  <c r="CN45" i="17"/>
  <c r="CE11" i="6"/>
  <c r="CF12" i="6"/>
  <c r="Y85" i="6"/>
  <c r="Y75" i="8"/>
  <c r="DD57" i="17"/>
  <c r="U109" i="6"/>
  <c r="V109" i="6" s="1"/>
  <c r="T117" i="6"/>
  <c r="T118" i="6" s="1"/>
  <c r="DL80" i="6"/>
  <c r="DM80" i="6" s="1"/>
  <c r="BZ58" i="6"/>
  <c r="BZ57" i="6"/>
  <c r="BZ76" i="6"/>
  <c r="CC109" i="7"/>
  <c r="CC116" i="7" s="1"/>
  <c r="DU75" i="8"/>
  <c r="DS99" i="8"/>
  <c r="DS100" i="8" s="1"/>
  <c r="R123" i="8"/>
  <c r="R120" i="6"/>
  <c r="BX79" i="6"/>
  <c r="CA110" i="7" s="1"/>
  <c r="CA117" i="7" s="1"/>
  <c r="BX77" i="6"/>
  <c r="BX88" i="6"/>
  <c r="N46" i="6"/>
  <c r="N72" i="7"/>
  <c r="N74" i="7"/>
  <c r="N73" i="7"/>
  <c r="Y68" i="6"/>
  <c r="Y162" i="6"/>
  <c r="Y202" i="7" s="1"/>
  <c r="X26" i="7"/>
  <c r="DQ99" i="8"/>
  <c r="DQ100" i="8" s="1"/>
  <c r="DU74" i="8"/>
  <c r="DU89" i="8"/>
  <c r="DG120" i="15"/>
  <c r="CY56" i="14"/>
  <c r="DB120" i="15"/>
  <c r="CR56" i="14"/>
  <c r="CJ39" i="14"/>
  <c r="CM40" i="14"/>
  <c r="CH39" i="14"/>
  <c r="CI119" i="15"/>
  <c r="CM120" i="15" s="1"/>
  <c r="CJ87" i="14"/>
  <c r="CN87" i="14"/>
  <c r="CH119" i="15"/>
  <c r="CL120" i="15" s="1"/>
  <c r="DO163" i="15"/>
  <c r="DP164" i="15" s="1"/>
  <c r="CI39" i="14"/>
  <c r="CU171" i="15"/>
  <c r="CU177" i="15" s="1"/>
  <c r="CL40" i="14"/>
  <c r="CL117" i="15"/>
  <c r="CP117" i="15"/>
  <c r="BX35" i="22"/>
  <c r="CL47" i="14"/>
  <c r="CL56" i="14" s="1"/>
  <c r="CK37" i="13"/>
  <c r="CO46" i="14"/>
  <c r="CK46" i="14"/>
  <c r="CK52" i="14"/>
  <c r="CK53" i="14"/>
  <c r="CK87" i="14"/>
  <c r="CL86" i="14"/>
  <c r="CO87" i="14"/>
  <c r="CK86" i="14"/>
  <c r="F37" i="37"/>
  <c r="DI56" i="14"/>
  <c r="DI57" i="14"/>
  <c r="CG86" i="14"/>
  <c r="CG87" i="14"/>
  <c r="H37" i="14"/>
  <c r="H32" i="14" s="1"/>
  <c r="H30" i="14" s="1"/>
  <c r="H31" i="14" s="1"/>
  <c r="G79" i="14"/>
  <c r="G77" i="14" s="1"/>
  <c r="G78" i="14" s="1"/>
  <c r="G100" i="14"/>
  <c r="G116" i="14" s="1"/>
  <c r="G117" i="14" s="1"/>
  <c r="CG39" i="14"/>
  <c r="CK40" i="14"/>
  <c r="CG40" i="14"/>
  <c r="CK79" i="14"/>
  <c r="CK77" i="14" s="1"/>
  <c r="CK78" i="14" s="1"/>
  <c r="H68" i="14"/>
  <c r="G85" i="14"/>
  <c r="H87" i="14" s="1"/>
  <c r="DK120" i="15"/>
  <c r="CT178" i="15"/>
  <c r="DJ120" i="15"/>
  <c r="DF120" i="15"/>
  <c r="DH56" i="14"/>
  <c r="E37" i="37"/>
  <c r="DH57" i="14"/>
  <c r="I144" i="14"/>
  <c r="I100" i="14"/>
  <c r="I116" i="14" s="1"/>
  <c r="I117" i="14" s="1"/>
  <c r="I79" i="14"/>
  <c r="I77" i="14" s="1"/>
  <c r="I78" i="14" s="1"/>
  <c r="N56" i="14"/>
  <c r="N57" i="14"/>
  <c r="J87" i="14"/>
  <c r="I87" i="14"/>
  <c r="CO117" i="15"/>
  <c r="CK117" i="15"/>
  <c r="CP120" i="15"/>
  <c r="CH58" i="11"/>
  <c r="CY57" i="17"/>
  <c r="CD28" i="13"/>
  <c r="DB59" i="17"/>
  <c r="DB60" i="17" s="1"/>
  <c r="CT51" i="13"/>
  <c r="U40" i="17"/>
  <c r="M76" i="13"/>
  <c r="O40" i="11"/>
  <c r="CA58" i="11"/>
  <c r="O58" i="11" s="1"/>
  <c r="T56" i="17"/>
  <c r="CY59" i="17"/>
  <c r="CY60" i="17" s="1"/>
  <c r="CS334" i="13"/>
  <c r="CS336" i="13" s="1"/>
  <c r="R310" i="13"/>
  <c r="R311" i="13" s="1"/>
  <c r="DG127" i="22"/>
  <c r="DF128" i="22"/>
  <c r="R111" i="17"/>
  <c r="DG31" i="17"/>
  <c r="DF94" i="13"/>
  <c r="DF40" i="17" s="1"/>
  <c r="DF42" i="17" s="1"/>
  <c r="DF43" i="17" s="1"/>
  <c r="DF32" i="17"/>
  <c r="DF13" i="17"/>
  <c r="DC52" i="6"/>
  <c r="DE17" i="8"/>
  <c r="Y763" i="12"/>
  <c r="DJ754" i="12"/>
  <c r="DJ767" i="12"/>
  <c r="DG767" i="12"/>
  <c r="Y691" i="12"/>
  <c r="DP765" i="12"/>
  <c r="DH767" i="12"/>
  <c r="DO765" i="12"/>
  <c r="Y727" i="12"/>
  <c r="Y728" i="12"/>
  <c r="Y747" i="12" s="1"/>
  <c r="Y749" i="12" s="1"/>
  <c r="Y750" i="12" s="1"/>
  <c r="Y752" i="12" s="1"/>
  <c r="Y754" i="12" s="1"/>
  <c r="CH440" i="12"/>
  <c r="CH441" i="12" s="1"/>
  <c r="CI145" i="12"/>
  <c r="CH144" i="12"/>
  <c r="CI146" i="12"/>
  <c r="CZ285" i="12"/>
  <c r="DN137" i="12"/>
  <c r="DL138" i="12"/>
  <c r="DP138" i="12"/>
  <c r="Y258" i="12"/>
  <c r="CA30" i="16"/>
  <c r="CA33" i="16" s="1"/>
  <c r="DL102" i="11"/>
  <c r="DL103" i="11" s="1"/>
  <c r="DK103" i="11"/>
  <c r="DO39" i="14"/>
  <c r="U26" i="11"/>
  <c r="U27" i="11" s="1"/>
  <c r="U28" i="11" s="1"/>
  <c r="BU62" i="11"/>
  <c r="BU71" i="11" s="1"/>
  <c r="BN59" i="22" s="1"/>
  <c r="R40" i="11"/>
  <c r="CA59" i="11"/>
  <c r="CA68" i="11" s="1"/>
  <c r="CI58" i="11"/>
  <c r="CI67" i="11"/>
  <c r="DD41" i="16"/>
  <c r="DD37" i="16"/>
  <c r="DD38" i="16" s="1"/>
  <c r="P19" i="6"/>
  <c r="DB26" i="17"/>
  <c r="DB50" i="17" s="1"/>
  <c r="DC57" i="17"/>
  <c r="CL571" i="12"/>
  <c r="P127" i="17"/>
  <c r="DK120" i="17"/>
  <c r="DO129" i="17"/>
  <c r="CS155" i="15"/>
  <c r="CI57" i="15"/>
  <c r="CI39" i="15"/>
  <c r="BJ39" i="15"/>
  <c r="BJ57" i="15"/>
  <c r="BN39" i="15"/>
  <c r="BN57" i="15"/>
  <c r="BR57" i="15"/>
  <c r="DN57" i="14"/>
  <c r="U28" i="15"/>
  <c r="CL57" i="15"/>
  <c r="CH57" i="15"/>
  <c r="CH39" i="15"/>
  <c r="N108" i="15"/>
  <c r="N110" i="15" s="1"/>
  <c r="N23" i="15"/>
  <c r="O56" i="15"/>
  <c r="O53" i="15"/>
  <c r="N64" i="15"/>
  <c r="N53" i="15"/>
  <c r="N55" i="15"/>
  <c r="O55" i="15"/>
  <c r="N56" i="15"/>
  <c r="BE39" i="15"/>
  <c r="BE57" i="15"/>
  <c r="BI57" i="15"/>
  <c r="CH79" i="14"/>
  <c r="CH77" i="14" s="1"/>
  <c r="CH78" i="14" s="1"/>
  <c r="H84" i="14"/>
  <c r="BP57" i="15"/>
  <c r="BP39" i="15"/>
  <c r="BO76" i="15"/>
  <c r="BO80" i="15"/>
  <c r="BO112" i="15"/>
  <c r="BS65" i="15"/>
  <c r="BO66" i="15"/>
  <c r="BO65" i="15"/>
  <c r="BP66" i="15"/>
  <c r="H108" i="15"/>
  <c r="H53" i="15"/>
  <c r="H56" i="15"/>
  <c r="H55" i="15"/>
  <c r="H34" i="15"/>
  <c r="H64" i="15"/>
  <c r="I53" i="15"/>
  <c r="H23" i="15"/>
  <c r="I56" i="15"/>
  <c r="J57" i="15" s="1"/>
  <c r="BT109" i="11"/>
  <c r="BZ76" i="15"/>
  <c r="BZ77" i="15" s="1"/>
  <c r="BZ66" i="15"/>
  <c r="BD57" i="15"/>
  <c r="BD39" i="15"/>
  <c r="BH57" i="15"/>
  <c r="BC80" i="15"/>
  <c r="BC66" i="15"/>
  <c r="BC76" i="15"/>
  <c r="BG65" i="15"/>
  <c r="BC65" i="15"/>
  <c r="BD66" i="15"/>
  <c r="BB76" i="15"/>
  <c r="BB66" i="15"/>
  <c r="BB80" i="15"/>
  <c r="BB65" i="15"/>
  <c r="CY71" i="15"/>
  <c r="CH112" i="15"/>
  <c r="CL65" i="15"/>
  <c r="CH76" i="15"/>
  <c r="BU24" i="22"/>
  <c r="BU23" i="22" s="1"/>
  <c r="CI66" i="15"/>
  <c r="CM67" i="15" s="1"/>
  <c r="CB109" i="11"/>
  <c r="CH66" i="15"/>
  <c r="CL67" i="15" s="1"/>
  <c r="BF39" i="15"/>
  <c r="BF57" i="15"/>
  <c r="AX65" i="15"/>
  <c r="AX76" i="15"/>
  <c r="AX80" i="15"/>
  <c r="DC71" i="15"/>
  <c r="DG71" i="15"/>
  <c r="CL78" i="15"/>
  <c r="CK78" i="15"/>
  <c r="BC39" i="15"/>
  <c r="BC57" i="15"/>
  <c r="CU67" i="15"/>
  <c r="K57" i="15"/>
  <c r="J39" i="15"/>
  <c r="S28" i="15"/>
  <c r="BX57" i="15"/>
  <c r="BT39" i="15"/>
  <c r="BT57" i="15"/>
  <c r="BU39" i="15"/>
  <c r="BY57" i="15"/>
  <c r="BU57" i="15"/>
  <c r="AX39" i="15"/>
  <c r="AX57" i="15"/>
  <c r="AX63" i="15" s="1"/>
  <c r="AX66" i="15" s="1"/>
  <c r="AY57" i="15"/>
  <c r="AY39" i="15"/>
  <c r="CN39" i="15"/>
  <c r="CN57" i="15"/>
  <c r="CU166" i="15"/>
  <c r="CU158" i="15"/>
  <c r="CU163" i="15" s="1"/>
  <c r="CV158" i="15"/>
  <c r="DC158" i="15"/>
  <c r="DG166" i="15"/>
  <c r="DC156" i="15"/>
  <c r="DG171" i="15" s="1"/>
  <c r="DC166" i="15"/>
  <c r="CD39" i="15"/>
  <c r="CD57" i="15"/>
  <c r="CG57" i="15"/>
  <c r="CC39" i="15"/>
  <c r="CC57" i="15"/>
  <c r="CY67" i="15"/>
  <c r="E24" i="22"/>
  <c r="J80" i="15"/>
  <c r="J81" i="15" s="1"/>
  <c r="J76" i="15"/>
  <c r="J112" i="15"/>
  <c r="BO57" i="15"/>
  <c r="BK57" i="15"/>
  <c r="BK39" i="15"/>
  <c r="BJ65" i="15"/>
  <c r="BJ76" i="15"/>
  <c r="BJ66" i="15"/>
  <c r="BJ80" i="15"/>
  <c r="BJ112" i="15"/>
  <c r="BK66" i="15"/>
  <c r="CR67" i="15"/>
  <c r="CN67" i="15"/>
  <c r="L34" i="15"/>
  <c r="L53" i="15"/>
  <c r="M53" i="15"/>
  <c r="L23" i="15"/>
  <c r="M56" i="15"/>
  <c r="L56" i="15"/>
  <c r="L55" i="15"/>
  <c r="M55" i="15"/>
  <c r="L64" i="15"/>
  <c r="L108" i="15"/>
  <c r="L110" i="15" s="1"/>
  <c r="BB39" i="15"/>
  <c r="BB57" i="15"/>
  <c r="BN65" i="15"/>
  <c r="BN76" i="15"/>
  <c r="BR77" i="15" s="1"/>
  <c r="BN112" i="15"/>
  <c r="BN66" i="15"/>
  <c r="BN80" i="15"/>
  <c r="CY166" i="15"/>
  <c r="CY158" i="15"/>
  <c r="CY156" i="15"/>
  <c r="DK67" i="15"/>
  <c r="DG67" i="15"/>
  <c r="BG57" i="15"/>
  <c r="BG39" i="15"/>
  <c r="CC66" i="15"/>
  <c r="BW109" i="11"/>
  <c r="CC76" i="15"/>
  <c r="CC65" i="15"/>
  <c r="BU112" i="15"/>
  <c r="BU76" i="15"/>
  <c r="BV78" i="15" s="1"/>
  <c r="BU66" i="15"/>
  <c r="BU65" i="15"/>
  <c r="BU80" i="15"/>
  <c r="BV82" i="15" s="1"/>
  <c r="BY65" i="15"/>
  <c r="CI87" i="14"/>
  <c r="CM87" i="14"/>
  <c r="CJ86" i="14"/>
  <c r="CI86" i="14"/>
  <c r="BF76" i="15"/>
  <c r="BF66" i="15"/>
  <c r="BF80" i="15"/>
  <c r="BG66" i="15"/>
  <c r="BF65" i="15"/>
  <c r="BQ24" i="22"/>
  <c r="BQ23" i="22" s="1"/>
  <c r="BX109" i="11"/>
  <c r="CD76" i="15"/>
  <c r="CD66" i="15"/>
  <c r="CD65" i="15"/>
  <c r="CE66" i="15"/>
  <c r="BX65" i="15"/>
  <c r="BT66" i="15"/>
  <c r="BT112" i="15"/>
  <c r="BT76" i="15"/>
  <c r="BT80" i="15"/>
  <c r="BT65" i="15"/>
  <c r="BE80" i="15"/>
  <c r="BE76" i="15"/>
  <c r="BE65" i="15"/>
  <c r="BE66" i="15"/>
  <c r="BI65" i="15"/>
  <c r="Q36" i="15"/>
  <c r="Q76" i="15" s="1"/>
  <c r="L18" i="22"/>
  <c r="Q41" i="15"/>
  <c r="AW81" i="15"/>
  <c r="AS82" i="15"/>
  <c r="AT82" i="15"/>
  <c r="BA81" i="15"/>
  <c r="AW82" i="15"/>
  <c r="CU156" i="15"/>
  <c r="BR78" i="15"/>
  <c r="CN78" i="15"/>
  <c r="CM78" i="15"/>
  <c r="CM77" i="15"/>
  <c r="CZ71" i="15"/>
  <c r="CV67" i="15"/>
  <c r="CZ67" i="15"/>
  <c r="I55" i="15"/>
  <c r="CO39" i="15"/>
  <c r="CO57" i="15"/>
  <c r="N36" i="15"/>
  <c r="O41" i="15"/>
  <c r="O59" i="15" s="1"/>
  <c r="T19" i="15"/>
  <c r="O8" i="22"/>
  <c r="O9" i="22" s="1"/>
  <c r="O13" i="22" s="1"/>
  <c r="O22" i="22" s="1"/>
  <c r="O23" i="22" s="1"/>
  <c r="U19" i="15"/>
  <c r="S109" i="11"/>
  <c r="S66" i="15"/>
  <c r="S65" i="15"/>
  <c r="S76" i="15"/>
  <c r="S112" i="15"/>
  <c r="DB71" i="15"/>
  <c r="CX71" i="15"/>
  <c r="T70" i="15"/>
  <c r="O24" i="22"/>
  <c r="T69" i="15"/>
  <c r="T23" i="15"/>
  <c r="U69" i="15"/>
  <c r="U70" i="15"/>
  <c r="U23" i="15"/>
  <c r="P24" i="22"/>
  <c r="L23" i="22"/>
  <c r="R76" i="15"/>
  <c r="R112" i="15"/>
  <c r="R109" i="11"/>
  <c r="R66" i="15"/>
  <c r="R65" i="15"/>
  <c r="DF67" i="15"/>
  <c r="DJ67" i="15"/>
  <c r="DH166" i="15"/>
  <c r="DE158" i="15"/>
  <c r="DD158" i="15"/>
  <c r="DD156" i="15"/>
  <c r="DD166" i="15"/>
  <c r="T28" i="15"/>
  <c r="CI52" i="14"/>
  <c r="CI47" i="14"/>
  <c r="BV35" i="22"/>
  <c r="CM46" i="14"/>
  <c r="CI37" i="13"/>
  <c r="CI41" i="13" s="1"/>
  <c r="E36" i="37"/>
  <c r="DH71" i="15"/>
  <c r="R35" i="13"/>
  <c r="R50" i="13" s="1"/>
  <c r="S51" i="13" s="1"/>
  <c r="Q34" i="15"/>
  <c r="Q108" i="15"/>
  <c r="Q110" i="15" s="1"/>
  <c r="DE67" i="15"/>
  <c r="DI67" i="15"/>
  <c r="W67" i="15"/>
  <c r="CM117" i="15"/>
  <c r="CI117" i="15"/>
  <c r="CT71" i="15"/>
  <c r="S23" i="15"/>
  <c r="S69" i="15"/>
  <c r="N24" i="22"/>
  <c r="S70" i="15"/>
  <c r="DA71" i="15"/>
  <c r="CW71" i="15"/>
  <c r="T76" i="15"/>
  <c r="T112" i="15"/>
  <c r="T65" i="15"/>
  <c r="T109" i="11"/>
  <c r="T66" i="15"/>
  <c r="T111" i="17"/>
  <c r="U65" i="15"/>
  <c r="U112" i="15"/>
  <c r="U109" i="11"/>
  <c r="U76" i="15"/>
  <c r="V77" i="15" s="1"/>
  <c r="U66" i="15"/>
  <c r="V67" i="15" s="1"/>
  <c r="L8" i="22"/>
  <c r="L9" i="22" s="1"/>
  <c r="L13" i="22" s="1"/>
  <c r="CS71" i="15"/>
  <c r="R19" i="15"/>
  <c r="M8" i="22"/>
  <c r="M9" i="22" s="1"/>
  <c r="M13" i="22" s="1"/>
  <c r="M22" i="22" s="1"/>
  <c r="M23" i="22" s="1"/>
  <c r="F36" i="37"/>
  <c r="DI71" i="15"/>
  <c r="DI158" i="15"/>
  <c r="DH156" i="15"/>
  <c r="DH158" i="15"/>
  <c r="Q109" i="11"/>
  <c r="Q112" i="15"/>
  <c r="M24" i="22"/>
  <c r="R23" i="15"/>
  <c r="R69" i="15"/>
  <c r="R70" i="15"/>
  <c r="V28" i="15"/>
  <c r="BJ113" i="15"/>
  <c r="CN117" i="15"/>
  <c r="CJ117" i="15"/>
  <c r="CP158" i="15"/>
  <c r="CO156" i="15"/>
  <c r="CW166" i="15"/>
  <c r="CW158" i="15"/>
  <c r="CX158" i="15"/>
  <c r="CW156" i="15"/>
  <c r="DA166" i="15"/>
  <c r="CS166" i="15"/>
  <c r="CT158" i="15"/>
  <c r="CS158" i="15"/>
  <c r="CS163" i="15" s="1"/>
  <c r="CS156" i="15"/>
  <c r="DH67" i="15"/>
  <c r="DD67" i="15"/>
  <c r="Q23" i="15"/>
  <c r="N8" i="22"/>
  <c r="N9" i="22" s="1"/>
  <c r="N13" i="22" s="1"/>
  <c r="N22" i="22" s="1"/>
  <c r="N23" i="22" s="1"/>
  <c r="S19" i="15"/>
  <c r="CH41" i="6"/>
  <c r="DK376" i="13"/>
  <c r="DJ371" i="13"/>
  <c r="N124" i="22"/>
  <c r="DC26" i="17"/>
  <c r="DC59" i="17"/>
  <c r="DC60" i="17" s="1"/>
  <c r="DH10" i="6"/>
  <c r="DH12" i="6" s="1"/>
  <c r="DE13" i="11"/>
  <c r="DK85" i="13"/>
  <c r="DK82" i="13"/>
  <c r="DK133" i="13"/>
  <c r="DK88" i="13"/>
  <c r="DK110" i="17"/>
  <c r="DO76" i="13"/>
  <c r="L28" i="37" s="1"/>
  <c r="CX45" i="22"/>
  <c r="CX79" i="22"/>
  <c r="R126" i="22"/>
  <c r="AA45" i="37"/>
  <c r="CK134" i="13"/>
  <c r="CK131" i="13" s="1"/>
  <c r="BX80" i="22"/>
  <c r="BX55" i="22"/>
  <c r="CH11" i="6"/>
  <c r="CH12" i="6"/>
  <c r="CW328" i="12"/>
  <c r="CW339" i="12"/>
  <c r="CW321" i="12"/>
  <c r="CW302" i="12"/>
  <c r="CW308" i="12"/>
  <c r="CW303" i="12"/>
  <c r="BM67" i="12"/>
  <c r="BM66" i="12"/>
  <c r="CD17" i="6"/>
  <c r="CD15" i="6"/>
  <c r="CH15" i="6"/>
  <c r="CY14" i="11"/>
  <c r="DE49" i="12"/>
  <c r="DE78" i="12"/>
  <c r="CR46" i="22"/>
  <c r="CR50" i="22" s="1"/>
  <c r="DB14" i="6"/>
  <c r="DE32" i="12"/>
  <c r="DE43" i="12"/>
  <c r="DE69" i="12"/>
  <c r="DE40" i="12"/>
  <c r="DE54" i="12"/>
  <c r="CM135" i="12"/>
  <c r="CM163" i="12"/>
  <c r="CM164" i="12" s="1"/>
  <c r="CQ154" i="12"/>
  <c r="CM154" i="12"/>
  <c r="BI72" i="12"/>
  <c r="BI71" i="12"/>
  <c r="CC302" i="12"/>
  <c r="CC339" i="12"/>
  <c r="CG340" i="12" s="1"/>
  <c r="CG302" i="12"/>
  <c r="CC303" i="12"/>
  <c r="AZ67" i="12"/>
  <c r="AZ69" i="12"/>
  <c r="AZ66" i="12"/>
  <c r="CS43" i="12"/>
  <c r="CM14" i="11"/>
  <c r="CM59" i="11" s="1"/>
  <c r="CM68" i="11" s="1"/>
  <c r="CS54" i="12"/>
  <c r="CS78" i="12"/>
  <c r="CS69" i="12"/>
  <c r="CS49" i="12"/>
  <c r="CS40" i="12"/>
  <c r="CF46" i="22"/>
  <c r="CF50" i="22" s="1"/>
  <c r="CS32" i="12"/>
  <c r="CP14" i="6"/>
  <c r="CP30" i="6" s="1"/>
  <c r="CJ46" i="22"/>
  <c r="CT14" i="6"/>
  <c r="CW49" i="12"/>
  <c r="CW43" i="12"/>
  <c r="CW40" i="12"/>
  <c r="CW54" i="12"/>
  <c r="CW32" i="12"/>
  <c r="CW78" i="12"/>
  <c r="CQ14" i="11"/>
  <c r="CW69" i="12"/>
  <c r="CX14" i="6"/>
  <c r="CX30" i="6" s="1"/>
  <c r="CU14" i="11"/>
  <c r="DA32" i="12"/>
  <c r="CN46" i="22"/>
  <c r="CN50" i="22" s="1"/>
  <c r="DA54" i="12"/>
  <c r="DA69" i="12"/>
  <c r="DA49" i="12"/>
  <c r="DA43" i="12"/>
  <c r="DA78" i="12"/>
  <c r="DA40" i="12"/>
  <c r="BQ72" i="12"/>
  <c r="BQ70" i="12"/>
  <c r="BQ71" i="12"/>
  <c r="BM71" i="12"/>
  <c r="BM72" i="12"/>
  <c r="BM70" i="12"/>
  <c r="BU71" i="12"/>
  <c r="BU70" i="12"/>
  <c r="BY70" i="12"/>
  <c r="BU72" i="12"/>
  <c r="BI67" i="12"/>
  <c r="BI66" i="12"/>
  <c r="CC78" i="12"/>
  <c r="CC70" i="12"/>
  <c r="CC72" i="12"/>
  <c r="CC71" i="12"/>
  <c r="BP56" i="22"/>
  <c r="CS339" i="12"/>
  <c r="CS340" i="12" s="1"/>
  <c r="CS321" i="12"/>
  <c r="CS328" i="12"/>
  <c r="CS303" i="12"/>
  <c r="CS308" i="12"/>
  <c r="CS312" i="12"/>
  <c r="CS313" i="12" s="1"/>
  <c r="CT303" i="12"/>
  <c r="DB308" i="12"/>
  <c r="DF307" i="12"/>
  <c r="DJ308" i="12"/>
  <c r="DJ307" i="12"/>
  <c r="H302" i="12"/>
  <c r="H303" i="12"/>
  <c r="K46" i="22"/>
  <c r="K50" i="22" s="1"/>
  <c r="P14" i="11"/>
  <c r="P18" i="11" s="1"/>
  <c r="BO71" i="12"/>
  <c r="BO72" i="12"/>
  <c r="BO70" i="12"/>
  <c r="CW65" i="12"/>
  <c r="CW87" i="12" s="1"/>
  <c r="CW89" i="12" s="1"/>
  <c r="CW111" i="8" s="1"/>
  <c r="CG67" i="12"/>
  <c r="CG87" i="12"/>
  <c r="CG89" i="12" s="1"/>
  <c r="CG92" i="12" s="1"/>
  <c r="DE339" i="12"/>
  <c r="DE321" i="12"/>
  <c r="DE303" i="12"/>
  <c r="DE302" i="12"/>
  <c r="DE328" i="12"/>
  <c r="BL143" i="12"/>
  <c r="BL144" i="12" s="1"/>
  <c r="BP164" i="12"/>
  <c r="CK72" i="12"/>
  <c r="CK71" i="12"/>
  <c r="BX56" i="22"/>
  <c r="CK70" i="12"/>
  <c r="DA339" i="12"/>
  <c r="DB303" i="12"/>
  <c r="DA328" i="12"/>
  <c r="DA302" i="12"/>
  <c r="DA321" i="12"/>
  <c r="DA308" i="12"/>
  <c r="BQ67" i="12"/>
  <c r="BQ87" i="12"/>
  <c r="BQ66" i="12"/>
  <c r="BO87" i="12"/>
  <c r="BO67" i="12"/>
  <c r="BO66" i="12"/>
  <c r="CG72" i="12"/>
  <c r="CG71" i="12"/>
  <c r="CG70" i="12"/>
  <c r="BT56" i="22"/>
  <c r="CI322" i="12"/>
  <c r="BV56" i="22"/>
  <c r="CI71" i="12"/>
  <c r="CI72" i="12"/>
  <c r="P33" i="7"/>
  <c r="DD185" i="7"/>
  <c r="CU112" i="7"/>
  <c r="CU119" i="7" s="1"/>
  <c r="CF63" i="7"/>
  <c r="N112" i="7"/>
  <c r="N119" i="7" s="1"/>
  <c r="DB11" i="6"/>
  <c r="CE34" i="17"/>
  <c r="CE29" i="17"/>
  <c r="CB51" i="6"/>
  <c r="CE45" i="17"/>
  <c r="CI15" i="6"/>
  <c r="CE50" i="17"/>
  <c r="DD26" i="17"/>
  <c r="DD45" i="17" s="1"/>
  <c r="R28" i="16"/>
  <c r="CL12" i="6"/>
  <c r="J77" i="22"/>
  <c r="J92" i="22" s="1"/>
  <c r="DD59" i="17"/>
  <c r="DD60" i="17" s="1"/>
  <c r="U186" i="7"/>
  <c r="S120" i="6"/>
  <c r="S118" i="6"/>
  <c r="S123" i="8"/>
  <c r="CA58" i="6"/>
  <c r="CD109" i="7"/>
  <c r="CD116" i="7" s="1"/>
  <c r="CA76" i="6"/>
  <c r="CE57" i="6"/>
  <c r="Y74" i="8"/>
  <c r="Y89" i="8"/>
  <c r="O120" i="6"/>
  <c r="P118" i="6"/>
  <c r="S190" i="7"/>
  <c r="R190" i="7"/>
  <c r="V190" i="7"/>
  <c r="W190" i="7"/>
  <c r="S40" i="11"/>
  <c r="O165" i="12"/>
  <c r="P164" i="12"/>
  <c r="S177" i="12"/>
  <c r="CK146" i="12"/>
  <c r="BT196" i="12"/>
  <c r="BQ196" i="12"/>
  <c r="K310" i="12"/>
  <c r="DF41" i="16"/>
  <c r="U132" i="17"/>
  <c r="P65" i="22"/>
  <c r="CD43" i="14"/>
  <c r="CE41" i="14"/>
  <c r="CD44" i="14"/>
  <c r="BQ31" i="22"/>
  <c r="CY67" i="11"/>
  <c r="CV58" i="17"/>
  <c r="CV53" i="17"/>
  <c r="CR59" i="17"/>
  <c r="CR60" i="17" s="1"/>
  <c r="R56" i="17"/>
  <c r="R57" i="17" s="1"/>
  <c r="U40" i="11"/>
  <c r="DE37" i="16"/>
  <c r="CS51" i="6"/>
  <c r="CV29" i="17"/>
  <c r="CR26" i="17"/>
  <c r="CV27" i="17" s="1"/>
  <c r="CV57" i="12"/>
  <c r="CV45" i="17"/>
  <c r="DE30" i="16"/>
  <c r="DE33" i="16" s="1"/>
  <c r="CO41" i="16"/>
  <c r="DP135" i="13"/>
  <c r="DK307" i="12"/>
  <c r="CI45" i="11"/>
  <c r="CI46" i="11" s="1"/>
  <c r="BU129" i="17"/>
  <c r="BY129" i="17"/>
  <c r="BV81" i="15"/>
  <c r="CS57" i="17"/>
  <c r="DK283" i="12"/>
  <c r="N120" i="6"/>
  <c r="N118" i="6"/>
  <c r="O118" i="6"/>
  <c r="DP178" i="15"/>
  <c r="DP174" i="15"/>
  <c r="DL315" i="12"/>
  <c r="W77" i="15"/>
  <c r="W78" i="15"/>
  <c r="CJ67" i="12"/>
  <c r="CJ87" i="12"/>
  <c r="CF30" i="16"/>
  <c r="CF33" i="16" s="1"/>
  <c r="DO71" i="15"/>
  <c r="BX84" i="15"/>
  <c r="BW85" i="15"/>
  <c r="BW80" i="15"/>
  <c r="CD58" i="6"/>
  <c r="CG109" i="7"/>
  <c r="CG116" i="7" s="1"/>
  <c r="CD57" i="6"/>
  <c r="CD76" i="6"/>
  <c r="BV77" i="15"/>
  <c r="BW78" i="15"/>
  <c r="P46" i="6"/>
  <c r="O47" i="6"/>
  <c r="O74" i="7"/>
  <c r="O59" i="6"/>
  <c r="O92" i="7" s="1"/>
  <c r="O46" i="6"/>
  <c r="O72" i="7"/>
  <c r="O73" i="7"/>
  <c r="DM119" i="17"/>
  <c r="CB55" i="22"/>
  <c r="CO134" i="13"/>
  <c r="CO131" i="13" s="1"/>
  <c r="CB80" i="22"/>
  <c r="CO136" i="13"/>
  <c r="W109" i="17"/>
  <c r="W131" i="17"/>
  <c r="W111" i="17"/>
  <c r="DO188" i="7"/>
  <c r="DO174" i="7"/>
  <c r="DO184" i="7"/>
  <c r="CT177" i="15"/>
  <c r="CT176" i="15"/>
  <c r="P27" i="11"/>
  <c r="P28" i="11" s="1"/>
  <c r="CO37" i="16"/>
  <c r="CO38" i="16" s="1"/>
  <c r="CO30" i="16"/>
  <c r="CO33" i="16" s="1"/>
  <c r="CO25" i="16"/>
  <c r="CX45" i="11"/>
  <c r="CX46" i="11" s="1"/>
  <c r="DF62" i="11"/>
  <c r="DF71" i="11" s="1"/>
  <c r="CY59" i="22" s="1"/>
  <c r="O36" i="11"/>
  <c r="O37" i="11" s="1"/>
  <c r="CP41" i="16"/>
  <c r="DI57" i="17"/>
  <c r="Q40" i="11"/>
  <c r="CE107" i="13"/>
  <c r="CE118" i="13" s="1"/>
  <c r="CE121" i="13" s="1"/>
  <c r="CE127" i="13" s="1"/>
  <c r="CE130" i="13" s="1"/>
  <c r="CE44" i="11"/>
  <c r="CE45" i="11" s="1"/>
  <c r="CE46" i="11" s="1"/>
  <c r="CK41" i="16"/>
  <c r="P40" i="11"/>
  <c r="CE58" i="11"/>
  <c r="CE67" i="11"/>
  <c r="P67" i="11" s="1"/>
  <c r="N26" i="13"/>
  <c r="N28" i="13"/>
  <c r="CC94" i="14"/>
  <c r="CN29" i="17"/>
  <c r="CN57" i="12"/>
  <c r="DB372" i="13"/>
  <c r="DB376" i="13"/>
  <c r="DE135" i="13"/>
  <c r="CZ41" i="16"/>
  <c r="CD59" i="17"/>
  <c r="CD60" i="17" s="1"/>
  <c r="CQ45" i="11"/>
  <c r="CQ46" i="11" s="1"/>
  <c r="CW41" i="16"/>
  <c r="CW37" i="16"/>
  <c r="Q53" i="11"/>
  <c r="Q54" i="11" s="1"/>
  <c r="CW30" i="16"/>
  <c r="CW33" i="16" s="1"/>
  <c r="DE376" i="13"/>
  <c r="CC121" i="13"/>
  <c r="CC122" i="13" s="1"/>
  <c r="X258" i="12"/>
  <c r="CD121" i="13"/>
  <c r="CD122" i="13" s="1"/>
  <c r="CT372" i="13"/>
  <c r="CP53" i="17"/>
  <c r="CT371" i="13"/>
  <c r="CO34" i="17"/>
  <c r="CA75" i="11"/>
  <c r="DA136" i="13"/>
  <c r="CN55" i="22"/>
  <c r="CN80" i="22"/>
  <c r="DA134" i="13"/>
  <c r="DA131" i="13" s="1"/>
  <c r="Q123" i="22"/>
  <c r="Q124" i="22"/>
  <c r="O13" i="6"/>
  <c r="CA55" i="22"/>
  <c r="CN134" i="13"/>
  <c r="CN131" i="13" s="1"/>
  <c r="CN136" i="13"/>
  <c r="CA80" i="22"/>
  <c r="CG13" i="11"/>
  <c r="BZ45" i="22"/>
  <c r="CJ10" i="6"/>
  <c r="CM133" i="13"/>
  <c r="R76" i="13"/>
  <c r="M148" i="22" s="1"/>
  <c r="CM88" i="13"/>
  <c r="CM85" i="13"/>
  <c r="BZ149" i="22"/>
  <c r="CM110" i="17"/>
  <c r="CA149" i="22"/>
  <c r="BZ79" i="22"/>
  <c r="CM82" i="13"/>
  <c r="DJ37" i="16"/>
  <c r="DJ41" i="16"/>
  <c r="DD44" i="11"/>
  <c r="CT88" i="13"/>
  <c r="CN13" i="11"/>
  <c r="CT85" i="13"/>
  <c r="CT82" i="13"/>
  <c r="CT76" i="13"/>
  <c r="CG148" i="22" s="1"/>
  <c r="CT133" i="13"/>
  <c r="CT110" i="17"/>
  <c r="CG79" i="22"/>
  <c r="CG45" i="22"/>
  <c r="CG50" i="22" s="1"/>
  <c r="CQ10" i="6"/>
  <c r="CQ12" i="6" s="1"/>
  <c r="CZ124" i="22"/>
  <c r="BQ149" i="22"/>
  <c r="BP45" i="22"/>
  <c r="BP50" i="22" s="1"/>
  <c r="BP52" i="22" s="1"/>
  <c r="CC85" i="13"/>
  <c r="CG76" i="13"/>
  <c r="BT148" i="22" s="1"/>
  <c r="CC110" i="17"/>
  <c r="CC88" i="13"/>
  <c r="CC133" i="13"/>
  <c r="BW13" i="11"/>
  <c r="N13" i="11" s="1"/>
  <c r="CC82" i="13"/>
  <c r="BZ10" i="6"/>
  <c r="BZ12" i="6" s="1"/>
  <c r="BP79" i="22"/>
  <c r="I79" i="22" s="1"/>
  <c r="CJ31" i="13"/>
  <c r="CR110" i="17"/>
  <c r="CE45" i="22"/>
  <c r="CE79" i="22"/>
  <c r="CL13" i="11"/>
  <c r="CR85" i="13"/>
  <c r="CR88" i="13"/>
  <c r="CR133" i="13"/>
  <c r="CR82" i="13"/>
  <c r="CO10" i="6"/>
  <c r="CO11" i="6" s="1"/>
  <c r="CR76" i="13"/>
  <c r="CE148" i="22" s="1"/>
  <c r="BT44" i="11"/>
  <c r="BT45" i="11" s="1"/>
  <c r="BT46" i="11" s="1"/>
  <c r="BT36" i="11"/>
  <c r="BT37" i="11" s="1"/>
  <c r="CO79" i="22"/>
  <c r="DB110" i="17"/>
  <c r="CV13" i="11"/>
  <c r="CO149" i="22"/>
  <c r="CO45" i="22"/>
  <c r="CO50" i="22" s="1"/>
  <c r="CY10" i="6"/>
  <c r="CZ12" i="6" s="1"/>
  <c r="DB82" i="13"/>
  <c r="DB88" i="13"/>
  <c r="DB85" i="13"/>
  <c r="DB133" i="13"/>
  <c r="CQ79" i="22"/>
  <c r="DD110" i="17"/>
  <c r="DD88" i="13"/>
  <c r="CQ45" i="22"/>
  <c r="CQ50" i="22" s="1"/>
  <c r="DA10" i="6"/>
  <c r="DA12" i="6" s="1"/>
  <c r="DH76" i="13"/>
  <c r="DD85" i="13"/>
  <c r="CX13" i="11"/>
  <c r="CR149" i="22"/>
  <c r="DD76" i="13"/>
  <c r="CQ148" i="22" s="1"/>
  <c r="DD133" i="13"/>
  <c r="DD82" i="13"/>
  <c r="CP110" i="17"/>
  <c r="CP85" i="13"/>
  <c r="CC45" i="22"/>
  <c r="CM10" i="6"/>
  <c r="CM12" i="6" s="1"/>
  <c r="CP82" i="13"/>
  <c r="CC79" i="22"/>
  <c r="CP88" i="13"/>
  <c r="CP133" i="13"/>
  <c r="CP135" i="13" s="1"/>
  <c r="CJ13" i="11"/>
  <c r="CJ107" i="11" s="1"/>
  <c r="CC149" i="22"/>
  <c r="CP76" i="13"/>
  <c r="CC148" i="22" s="1"/>
  <c r="F27" i="37"/>
  <c r="DI88" i="13"/>
  <c r="DI110" i="17"/>
  <c r="DC13" i="11"/>
  <c r="DF10" i="6"/>
  <c r="DG12" i="6" s="1"/>
  <c r="DI82" i="13"/>
  <c r="CV45" i="22"/>
  <c r="CV79" i="22"/>
  <c r="CV149" i="22"/>
  <c r="DI133" i="13"/>
  <c r="DI85" i="13"/>
  <c r="DI76" i="13"/>
  <c r="CU107" i="11"/>
  <c r="CU67" i="11"/>
  <c r="CU58" i="11"/>
  <c r="CJ28" i="13"/>
  <c r="CF28" i="13"/>
  <c r="CI79" i="22"/>
  <c r="CV82" i="13"/>
  <c r="CV110" i="17"/>
  <c r="CP13" i="11"/>
  <c r="CS10" i="6"/>
  <c r="CV133" i="13"/>
  <c r="CI45" i="22"/>
  <c r="CV85" i="13"/>
  <c r="CV88" i="13"/>
  <c r="CV76" i="13"/>
  <c r="CI148" i="22" s="1"/>
  <c r="CJ149" i="22"/>
  <c r="CW376" i="13"/>
  <c r="CW372" i="13"/>
  <c r="CV376" i="13"/>
  <c r="CV372" i="13"/>
  <c r="DA372" i="13"/>
  <c r="DA371" i="13"/>
  <c r="DA376" i="13"/>
  <c r="CZ88" i="13"/>
  <c r="CM79" i="22"/>
  <c r="CW10" i="6"/>
  <c r="CZ76" i="13"/>
  <c r="CM148" i="22" s="1"/>
  <c r="CZ82" i="13"/>
  <c r="CZ110" i="17"/>
  <c r="CT13" i="11"/>
  <c r="CM45" i="22"/>
  <c r="CZ133" i="13"/>
  <c r="CZ85" i="13"/>
  <c r="CZ371" i="13"/>
  <c r="CZ372" i="13"/>
  <c r="CZ376" i="13"/>
  <c r="CV124" i="22"/>
  <c r="CN376" i="13"/>
  <c r="CO372" i="13"/>
  <c r="CO376" i="13"/>
  <c r="CN372" i="13"/>
  <c r="CP339" i="13"/>
  <c r="CO338" i="13"/>
  <c r="Q338" i="13" s="1"/>
  <c r="Q339" i="13"/>
  <c r="DJ25" i="16"/>
  <c r="DF37" i="16"/>
  <c r="DA149" i="22"/>
  <c r="CF107" i="13"/>
  <c r="CF118" i="13" s="1"/>
  <c r="CK28" i="13"/>
  <c r="O131" i="13"/>
  <c r="CN58" i="17"/>
  <c r="CN53" i="17"/>
  <c r="CK51" i="6"/>
  <c r="CN34" i="17"/>
  <c r="CP28" i="17"/>
  <c r="DF30" i="16"/>
  <c r="DF33" i="16" s="1"/>
  <c r="DJ34" i="16" s="1"/>
  <c r="DF25" i="16"/>
  <c r="DG110" i="17"/>
  <c r="CT79" i="22"/>
  <c r="DG133" i="13"/>
  <c r="CU149" i="22"/>
  <c r="DG82" i="13"/>
  <c r="DA13" i="11"/>
  <c r="DG85" i="13"/>
  <c r="CT45" i="22"/>
  <c r="DG88" i="13"/>
  <c r="DD10" i="6"/>
  <c r="DD30" i="6" s="1"/>
  <c r="DK76" i="13"/>
  <c r="H28" i="37" s="1"/>
  <c r="CT50" i="22"/>
  <c r="CZ62" i="11"/>
  <c r="CZ71" i="11" s="1"/>
  <c r="CS59" i="22" s="1"/>
  <c r="CX124" i="22"/>
  <c r="CL343" i="13"/>
  <c r="CL345" i="13" s="1"/>
  <c r="CL347" i="13" s="1"/>
  <c r="BT262" i="13"/>
  <c r="CJ44" i="11"/>
  <c r="CJ45" i="11" s="1"/>
  <c r="CJ46" i="11" s="1"/>
  <c r="CP30" i="16"/>
  <c r="CP33" i="16" s="1"/>
  <c r="CT34" i="16" s="1"/>
  <c r="CP25" i="16"/>
  <c r="BW27" i="11"/>
  <c r="BW28" i="11" s="1"/>
  <c r="BW44" i="11"/>
  <c r="BW62" i="11" s="1"/>
  <c r="BW71" i="11" s="1"/>
  <c r="CY133" i="13"/>
  <c r="CY88" i="13"/>
  <c r="CS13" i="11"/>
  <c r="CL79" i="22"/>
  <c r="CY76" i="13"/>
  <c r="CL148" i="22" s="1"/>
  <c r="CL45" i="22"/>
  <c r="CY110" i="17"/>
  <c r="CY82" i="13"/>
  <c r="CL149" i="22"/>
  <c r="CY85" i="13"/>
  <c r="CV10" i="6"/>
  <c r="CZ11" i="6" s="1"/>
  <c r="CM149" i="22"/>
  <c r="BU258" i="13"/>
  <c r="BV216" i="13"/>
  <c r="BU217" i="13"/>
  <c r="BU218" i="13" s="1"/>
  <c r="L216" i="13"/>
  <c r="CF36" i="11"/>
  <c r="CF37" i="11" s="1"/>
  <c r="Q35" i="11"/>
  <c r="Q36" i="11" s="1"/>
  <c r="Q37" i="11" s="1"/>
  <c r="O124" i="22"/>
  <c r="O123" i="22"/>
  <c r="DH376" i="13"/>
  <c r="DH372" i="13"/>
  <c r="DH371" i="13"/>
  <c r="DL371" i="13"/>
  <c r="CL134" i="13"/>
  <c r="CL131" i="13" s="1"/>
  <c r="BY80" i="22"/>
  <c r="CL136" i="13"/>
  <c r="BY55" i="22"/>
  <c r="N40" i="11"/>
  <c r="DD371" i="13"/>
  <c r="DD372" i="13"/>
  <c r="DD376" i="13"/>
  <c r="CC37" i="16"/>
  <c r="CC30" i="16"/>
  <c r="CC33" i="16" s="1"/>
  <c r="CC57" i="17"/>
  <c r="CB57" i="17"/>
  <c r="CD45" i="22"/>
  <c r="CQ88" i="13"/>
  <c r="CE149" i="22"/>
  <c r="CQ85" i="13"/>
  <c r="CQ82" i="13"/>
  <c r="CD149" i="22"/>
  <c r="CQ110" i="17"/>
  <c r="CQ133" i="13"/>
  <c r="CD79" i="22"/>
  <c r="CN10" i="6"/>
  <c r="CK13" i="11"/>
  <c r="CQ76" i="13"/>
  <c r="CD148" i="22" s="1"/>
  <c r="M124" i="22"/>
  <c r="L123" i="22"/>
  <c r="L124" i="22"/>
  <c r="BT220" i="13"/>
  <c r="DI376" i="13"/>
  <c r="DI372" i="13"/>
  <c r="DJ376" i="13"/>
  <c r="DJ372" i="13"/>
  <c r="CR376" i="13"/>
  <c r="CR371" i="13"/>
  <c r="CR372" i="13"/>
  <c r="CV371" i="13"/>
  <c r="DN35" i="13"/>
  <c r="DN50" i="13" s="1"/>
  <c r="DR51" i="13" s="1"/>
  <c r="R319" i="13"/>
  <c r="DB41" i="16"/>
  <c r="DB30" i="16"/>
  <c r="DB33" i="16" s="1"/>
  <c r="U24" i="16"/>
  <c r="CV44" i="11"/>
  <c r="CV45" i="11" s="1"/>
  <c r="CV46" i="11" s="1"/>
  <c r="DB37" i="16"/>
  <c r="DB25" i="16"/>
  <c r="CU376" i="13"/>
  <c r="CU372" i="13"/>
  <c r="CX371" i="13"/>
  <c r="CO13" i="11"/>
  <c r="CO107" i="11" s="1"/>
  <c r="CU85" i="13"/>
  <c r="CH149" i="22"/>
  <c r="CR10" i="6"/>
  <c r="CR30" i="6" s="1"/>
  <c r="CU88" i="13"/>
  <c r="CU76" i="13"/>
  <c r="CH148" i="22" s="1"/>
  <c r="CU110" i="17"/>
  <c r="CH79" i="22"/>
  <c r="CU82" i="13"/>
  <c r="CH45" i="22"/>
  <c r="CH50" i="22" s="1"/>
  <c r="S76" i="13"/>
  <c r="N148" i="22" s="1"/>
  <c r="CU133" i="13"/>
  <c r="CI149" i="22"/>
  <c r="CT37" i="16"/>
  <c r="CN44" i="11"/>
  <c r="CX25" i="16"/>
  <c r="CT41" i="16"/>
  <c r="CT25" i="16"/>
  <c r="CX85" i="13"/>
  <c r="CX88" i="13"/>
  <c r="CU10" i="6"/>
  <c r="CX82" i="13"/>
  <c r="CX76" i="13"/>
  <c r="CK148" i="22" s="1"/>
  <c r="CK45" i="22"/>
  <c r="CX133" i="13"/>
  <c r="U76" i="13"/>
  <c r="P148" i="22" s="1"/>
  <c r="CR13" i="11"/>
  <c r="CX110" i="17"/>
  <c r="CK79" i="22"/>
  <c r="DB76" i="13"/>
  <c r="CO148" i="22" s="1"/>
  <c r="CK149" i="22"/>
  <c r="BT218" i="13"/>
  <c r="CQ336" i="13"/>
  <c r="R334" i="13"/>
  <c r="R336" i="13" s="1"/>
  <c r="CJ36" i="11"/>
  <c r="CJ37" i="11" s="1"/>
  <c r="R35" i="11"/>
  <c r="R36" i="11" s="1"/>
  <c r="R37" i="11" s="1"/>
  <c r="CV36" i="11"/>
  <c r="CV37" i="11" s="1"/>
  <c r="U35" i="11"/>
  <c r="U36" i="11" s="1"/>
  <c r="U37" i="11" s="1"/>
  <c r="DC126" i="22"/>
  <c r="CF44" i="11"/>
  <c r="CF45" i="11" s="1"/>
  <c r="CF46" i="11" s="1"/>
  <c r="CL30" i="16"/>
  <c r="CL33" i="16" s="1"/>
  <c r="CN36" i="11"/>
  <c r="CN37" i="11" s="1"/>
  <c r="S35" i="11"/>
  <c r="S36" i="11" s="1"/>
  <c r="S37" i="11" s="1"/>
  <c r="O28" i="13"/>
  <c r="P14" i="14"/>
  <c r="Q29" i="14" s="1"/>
  <c r="DD29" i="22"/>
  <c r="DC29" i="22"/>
  <c r="CA76" i="11"/>
  <c r="CP34" i="17"/>
  <c r="CM51" i="6"/>
  <c r="CO30" i="17"/>
  <c r="CP29" i="17"/>
  <c r="CP57" i="12"/>
  <c r="CO50" i="17"/>
  <c r="BV27" i="11"/>
  <c r="BV28" i="11" s="1"/>
  <c r="CA79" i="11"/>
  <c r="CP58" i="17"/>
  <c r="CP45" i="17"/>
  <c r="DC36" i="11"/>
  <c r="DC37" i="11" s="1"/>
  <c r="P153" i="12"/>
  <c r="CO154" i="12"/>
  <c r="W177" i="12"/>
  <c r="T32" i="22"/>
  <c r="Q41" i="13"/>
  <c r="CO44" i="13"/>
  <c r="CO43" i="13"/>
  <c r="O176" i="12"/>
  <c r="O223" i="12" s="1"/>
  <c r="K115" i="35"/>
  <c r="X120" i="6"/>
  <c r="X118" i="6"/>
  <c r="X110" i="6"/>
  <c r="J115" i="35"/>
  <c r="W120" i="6"/>
  <c r="CI76" i="8"/>
  <c r="CI79" i="8" s="1"/>
  <c r="CI35" i="8"/>
  <c r="P17" i="8"/>
  <c r="CO57" i="12"/>
  <c r="CO28" i="17"/>
  <c r="CD76" i="8"/>
  <c r="CD79" i="8" s="1"/>
  <c r="CD35" i="8"/>
  <c r="O17" i="8"/>
  <c r="CP30" i="17"/>
  <c r="CL51" i="6"/>
  <c r="CO58" i="17"/>
  <c r="CO53" i="17"/>
  <c r="CO45" i="17"/>
  <c r="S91" i="7"/>
  <c r="CE92" i="7"/>
  <c r="CE91" i="7"/>
  <c r="CE103" i="7"/>
  <c r="CE104" i="7" s="1"/>
  <c r="CX182" i="7"/>
  <c r="CX177" i="7"/>
  <c r="CX179" i="7" s="1"/>
  <c r="CX185" i="7" s="1"/>
  <c r="CW182" i="7"/>
  <c r="S103" i="7"/>
  <c r="S104" i="7" s="1"/>
  <c r="CY34" i="7"/>
  <c r="CW195" i="7"/>
  <c r="CW179" i="7"/>
  <c r="S201" i="7"/>
  <c r="W63" i="7"/>
  <c r="R201" i="7"/>
  <c r="O85" i="7"/>
  <c r="S62" i="7"/>
  <c r="DH63" i="7"/>
  <c r="CF108" i="7"/>
  <c r="DI77" i="7"/>
  <c r="CN77" i="7"/>
  <c r="M102" i="22"/>
  <c r="DE34" i="7"/>
  <c r="R85" i="7"/>
  <c r="CW63" i="7"/>
  <c r="DI112" i="7"/>
  <c r="DI119" i="7" s="1"/>
  <c r="V33" i="7"/>
  <c r="V63" i="7" s="1"/>
  <c r="R91" i="7"/>
  <c r="CN174" i="7"/>
  <c r="CN188" i="7"/>
  <c r="U85" i="7"/>
  <c r="R87" i="7"/>
  <c r="W76" i="7"/>
  <c r="DC63" i="7"/>
  <c r="W51" i="7"/>
  <c r="W62" i="7"/>
  <c r="U87" i="7"/>
  <c r="R33" i="7"/>
  <c r="R34" i="7" s="1"/>
  <c r="BZ112" i="7"/>
  <c r="BZ119" i="7" s="1"/>
  <c r="BZ77" i="7"/>
  <c r="CA77" i="7"/>
  <c r="CJ167" i="7"/>
  <c r="CJ169" i="7" s="1"/>
  <c r="CJ175" i="7" s="1"/>
  <c r="CI172" i="7"/>
  <c r="CI197" i="7"/>
  <c r="CJ172" i="7"/>
  <c r="CI169" i="7"/>
  <c r="CI175" i="7" s="1"/>
  <c r="CB179" i="7"/>
  <c r="CC177" i="7"/>
  <c r="CC179" i="7" s="1"/>
  <c r="CB182" i="7"/>
  <c r="CC182" i="7"/>
  <c r="CR167" i="7"/>
  <c r="CR169" i="7" s="1"/>
  <c r="CR175" i="7" s="1"/>
  <c r="CR172" i="7"/>
  <c r="CQ197" i="7"/>
  <c r="CQ172" i="7"/>
  <c r="CQ169" i="7"/>
  <c r="CQ175" i="7" s="1"/>
  <c r="T86" i="7"/>
  <c r="T85" i="7"/>
  <c r="CJ179" i="7"/>
  <c r="CJ182" i="7"/>
  <c r="CK177" i="7"/>
  <c r="CK179" i="7" s="1"/>
  <c r="CK182" i="7"/>
  <c r="V86" i="7"/>
  <c r="V85" i="7"/>
  <c r="CS177" i="7"/>
  <c r="CS179" i="7" s="1"/>
  <c r="CS182" i="7"/>
  <c r="CR182" i="7"/>
  <c r="DG197" i="7"/>
  <c r="DH167" i="7"/>
  <c r="DH169" i="7" s="1"/>
  <c r="DH175" i="7" s="1"/>
  <c r="DG172" i="7"/>
  <c r="DH172" i="7"/>
  <c r="DK184" i="7"/>
  <c r="DK188" i="7"/>
  <c r="DK174" i="7"/>
  <c r="CA63" i="7"/>
  <c r="CH63" i="7"/>
  <c r="DD174" i="7"/>
  <c r="DD184" i="7"/>
  <c r="DD188" i="7"/>
  <c r="CA118" i="7"/>
  <c r="CY197" i="7"/>
  <c r="CZ172" i="7"/>
  <c r="CY172" i="7"/>
  <c r="CZ167" i="7"/>
  <c r="CZ169" i="7" s="1"/>
  <c r="CZ175" i="7" s="1"/>
  <c r="CY169" i="7"/>
  <c r="CY175" i="7" s="1"/>
  <c r="DG169" i="7"/>
  <c r="DG175" i="7" s="1"/>
  <c r="CB172" i="7"/>
  <c r="CB167" i="7"/>
  <c r="CB169" i="7" s="1"/>
  <c r="CB175" i="7" s="1"/>
  <c r="CZ182" i="7"/>
  <c r="DA182" i="7"/>
  <c r="CZ195" i="7"/>
  <c r="CZ179" i="7"/>
  <c r="DA177" i="7"/>
  <c r="DA179" i="7" s="1"/>
  <c r="CF102" i="22"/>
  <c r="CS103" i="7"/>
  <c r="CS104" i="7" s="1"/>
  <c r="CS91" i="7"/>
  <c r="CS77" i="7"/>
  <c r="DI177" i="7"/>
  <c r="DI179" i="7" s="1"/>
  <c r="DI185" i="7" s="1"/>
  <c r="DH179" i="7"/>
  <c r="DH182" i="7"/>
  <c r="CR195" i="7"/>
  <c r="CR179" i="7"/>
  <c r="CT167" i="7"/>
  <c r="CT169" i="7" s="1"/>
  <c r="CS197" i="7"/>
  <c r="CT172" i="7"/>
  <c r="CS172" i="7"/>
  <c r="CS169" i="7"/>
  <c r="CS175" i="7" s="1"/>
  <c r="CP103" i="7"/>
  <c r="CP104" i="7" s="1"/>
  <c r="CC102" i="22"/>
  <c r="CP91" i="7"/>
  <c r="DI182" i="7"/>
  <c r="DJ177" i="7"/>
  <c r="DJ179" i="7" s="1"/>
  <c r="DJ182" i="7"/>
  <c r="CM91" i="7"/>
  <c r="CM103" i="7"/>
  <c r="CM104" i="7" s="1"/>
  <c r="BZ102" i="22"/>
  <c r="CT102" i="22"/>
  <c r="DG91" i="7"/>
  <c r="CK112" i="7"/>
  <c r="CK119" i="7" s="1"/>
  <c r="CK77" i="7"/>
  <c r="CL77" i="7"/>
  <c r="CJ112" i="7"/>
  <c r="CJ119" i="7" s="1"/>
  <c r="CJ77" i="7"/>
  <c r="DB34" i="7"/>
  <c r="DB63" i="7"/>
  <c r="CY77" i="7"/>
  <c r="CZ77" i="7"/>
  <c r="CY112" i="7"/>
  <c r="CY119" i="7" s="1"/>
  <c r="CN63" i="7"/>
  <c r="CN34" i="7"/>
  <c r="CG197" i="7"/>
  <c r="CH167" i="7"/>
  <c r="CH169" i="7" s="1"/>
  <c r="CG169" i="7"/>
  <c r="CG175" i="7" s="1"/>
  <c r="CG172" i="7"/>
  <c r="CH172" i="7"/>
  <c r="DI195" i="7"/>
  <c r="DC91" i="7"/>
  <c r="CP102" i="22"/>
  <c r="CO112" i="7"/>
  <c r="CO119" i="7" s="1"/>
  <c r="CO77" i="7"/>
  <c r="CP77" i="7"/>
  <c r="CH77" i="7"/>
  <c r="CH112" i="7"/>
  <c r="CI77" i="7"/>
  <c r="DE172" i="7"/>
  <c r="DE197" i="7"/>
  <c r="DF167" i="7"/>
  <c r="DF169" i="7" s="1"/>
  <c r="DF172" i="7"/>
  <c r="DE169" i="7"/>
  <c r="DE175" i="7" s="1"/>
  <c r="CL179" i="7"/>
  <c r="CL182" i="7"/>
  <c r="CM182" i="7"/>
  <c r="CM177" i="7"/>
  <c r="CM179" i="7" s="1"/>
  <c r="CM185" i="7" s="1"/>
  <c r="CL195" i="7"/>
  <c r="DC177" i="7"/>
  <c r="DC179" i="7" s="1"/>
  <c r="DC185" i="7" s="1"/>
  <c r="DB182" i="7"/>
  <c r="N111" i="7"/>
  <c r="N118" i="7" s="1"/>
  <c r="N33" i="7"/>
  <c r="BZ91" i="7"/>
  <c r="BZ103" i="7"/>
  <c r="BZ104" i="7" s="1"/>
  <c r="K102" i="22"/>
  <c r="P103" i="7"/>
  <c r="P104" i="7" s="1"/>
  <c r="P201" i="7"/>
  <c r="DG77" i="7"/>
  <c r="DH77" i="7"/>
  <c r="DG112" i="7"/>
  <c r="DG119" i="7" s="1"/>
  <c r="CK197" i="7"/>
  <c r="CL172" i="7"/>
  <c r="CL167" i="7"/>
  <c r="CL169" i="7" s="1"/>
  <c r="CK172" i="7"/>
  <c r="CL34" i="7"/>
  <c r="CL63" i="7"/>
  <c r="O50" i="7"/>
  <c r="O76" i="7"/>
  <c r="DA34" i="7"/>
  <c r="DA63" i="7"/>
  <c r="CC34" i="7"/>
  <c r="CC63" i="7"/>
  <c r="CS63" i="7"/>
  <c r="CO197" i="7"/>
  <c r="CP167" i="7"/>
  <c r="CP169" i="7" s="1"/>
  <c r="CO169" i="7"/>
  <c r="CO175" i="7" s="1"/>
  <c r="CO172" i="7"/>
  <c r="CP172" i="7"/>
  <c r="DF182" i="7"/>
  <c r="DF179" i="7"/>
  <c r="DG177" i="7"/>
  <c r="DG179" i="7" s="1"/>
  <c r="DF195" i="7"/>
  <c r="DG182" i="7"/>
  <c r="CA103" i="7"/>
  <c r="CA104" i="7" s="1"/>
  <c r="CA91" i="7"/>
  <c r="DC112" i="7"/>
  <c r="DC119" i="7" s="1"/>
  <c r="DC77" i="7"/>
  <c r="DB172" i="7"/>
  <c r="DB167" i="7"/>
  <c r="DB169" i="7" s="1"/>
  <c r="DA172" i="7"/>
  <c r="DA197" i="7"/>
  <c r="DA169" i="7"/>
  <c r="DI63" i="7"/>
  <c r="DI34" i="7"/>
  <c r="DG34" i="7"/>
  <c r="DG63" i="7"/>
  <c r="CD167" i="7"/>
  <c r="CD169" i="7" s="1"/>
  <c r="CC172" i="7"/>
  <c r="CD172" i="7"/>
  <c r="CD185" i="7" s="1"/>
  <c r="DJ91" i="7"/>
  <c r="CW102" i="22"/>
  <c r="CX103" i="7"/>
  <c r="CX104" i="7" s="1"/>
  <c r="CX91" i="7"/>
  <c r="CK102" i="22"/>
  <c r="CD102" i="22"/>
  <c r="CQ91" i="7"/>
  <c r="CQ103" i="7"/>
  <c r="CQ104" i="7" s="1"/>
  <c r="Q40" i="7"/>
  <c r="P42" i="7"/>
  <c r="DA77" i="7"/>
  <c r="DB77" i="7"/>
  <c r="DA112" i="7"/>
  <c r="DA119" i="7" s="1"/>
  <c r="CE182" i="7"/>
  <c r="CE177" i="7"/>
  <c r="CE179" i="7" s="1"/>
  <c r="CE185" i="7" s="1"/>
  <c r="CD195" i="7"/>
  <c r="CD182" i="7"/>
  <c r="CU177" i="7"/>
  <c r="CU179" i="7" s="1"/>
  <c r="CU185" i="7" s="1"/>
  <c r="CT182" i="7"/>
  <c r="CU182" i="7"/>
  <c r="CT179" i="7"/>
  <c r="CR77" i="7"/>
  <c r="CQ77" i="7"/>
  <c r="CQ112" i="7"/>
  <c r="CQ119" i="7" s="1"/>
  <c r="P91" i="7"/>
  <c r="CK63" i="7"/>
  <c r="CK34" i="7"/>
  <c r="CJ34" i="7"/>
  <c r="CJ63" i="7"/>
  <c r="U103" i="7"/>
  <c r="U104" i="7" s="1"/>
  <c r="U91" i="7"/>
  <c r="U201" i="7"/>
  <c r="P102" i="22"/>
  <c r="CT195" i="7"/>
  <c r="CH103" i="7"/>
  <c r="CH104" i="7" s="1"/>
  <c r="CH91" i="7"/>
  <c r="CH92" i="7"/>
  <c r="CO34" i="7"/>
  <c r="CO63" i="7"/>
  <c r="CG34" i="7"/>
  <c r="CG63" i="7"/>
  <c r="CF115" i="7"/>
  <c r="W73" i="6"/>
  <c r="CZ34" i="7"/>
  <c r="CZ63" i="7"/>
  <c r="P34" i="7"/>
  <c r="O33" i="7"/>
  <c r="X24" i="8"/>
  <c r="CP34" i="7"/>
  <c r="CP63" i="7"/>
  <c r="O102" i="22"/>
  <c r="T103" i="7"/>
  <c r="T104" i="7" s="1"/>
  <c r="T201" i="7"/>
  <c r="T91" i="7"/>
  <c r="BZ34" i="7"/>
  <c r="BZ63" i="7"/>
  <c r="CX63" i="7"/>
  <c r="CX34" i="7"/>
  <c r="DF34" i="7"/>
  <c r="DF63" i="7"/>
  <c r="CT63" i="7"/>
  <c r="CT34" i="7"/>
  <c r="CD63" i="7"/>
  <c r="CD34" i="7"/>
  <c r="T77" i="7"/>
  <c r="DL34" i="7"/>
  <c r="DL63" i="7"/>
  <c r="DM112" i="7"/>
  <c r="DM119" i="7" s="1"/>
  <c r="DM77" i="7"/>
  <c r="I102" i="22"/>
  <c r="N103" i="7"/>
  <c r="N104" i="7" s="1"/>
  <c r="N91" i="7"/>
  <c r="CI34" i="7"/>
  <c r="CI63" i="7"/>
  <c r="X38" i="7"/>
  <c r="X51" i="8"/>
  <c r="DM167" i="7"/>
  <c r="DL172" i="7"/>
  <c r="DL197" i="7"/>
  <c r="Q47" i="7"/>
  <c r="R46" i="7"/>
  <c r="CC119" i="7"/>
  <c r="O103" i="7"/>
  <c r="O104" i="7" s="1"/>
  <c r="J102" i="22"/>
  <c r="O91" i="7"/>
  <c r="L104" i="13"/>
  <c r="BR107" i="13"/>
  <c r="CP337" i="13"/>
  <c r="CP333" i="13"/>
  <c r="CR328" i="13"/>
  <c r="CR330" i="13" s="1"/>
  <c r="CR332" i="13"/>
  <c r="CQ332" i="13"/>
  <c r="CQ328" i="13"/>
  <c r="CQ330" i="13" s="1"/>
  <c r="BW107" i="13"/>
  <c r="M104" i="13"/>
  <c r="CI107" i="13"/>
  <c r="CI118" i="13" s="1"/>
  <c r="CM105" i="13"/>
  <c r="BZ107" i="13"/>
  <c r="N104" i="13"/>
  <c r="N102" i="13"/>
  <c r="M102" i="13"/>
  <c r="N103" i="13"/>
  <c r="M103" i="13"/>
  <c r="DN110" i="17"/>
  <c r="DD107" i="11"/>
  <c r="DD58" i="11"/>
  <c r="DD67" i="11"/>
  <c r="DJ134" i="13"/>
  <c r="DJ131" i="13" s="1"/>
  <c r="DJ136" i="13"/>
  <c r="CW55" i="22"/>
  <c r="CW80" i="22"/>
  <c r="Q42" i="17"/>
  <c r="Q43" i="17" s="1"/>
  <c r="CL87" i="12"/>
  <c r="CL92" i="12" s="1"/>
  <c r="CZ27" i="17"/>
  <c r="BE71" i="12"/>
  <c r="BI70" i="12"/>
  <c r="BE72" i="12"/>
  <c r="BE70" i="12"/>
  <c r="CM583" i="12"/>
  <c r="CN581" i="12" s="1"/>
  <c r="DB302" i="12"/>
  <c r="CX303" i="12"/>
  <c r="CX321" i="12"/>
  <c r="CX339" i="12"/>
  <c r="CR135" i="12"/>
  <c r="R153" i="12"/>
  <c r="CR154" i="12"/>
  <c r="CG200" i="12"/>
  <c r="CG122" i="12"/>
  <c r="CE28" i="17"/>
  <c r="V305" i="12"/>
  <c r="CX468" i="12"/>
  <c r="CV137" i="12"/>
  <c r="CZ138" i="12" s="1"/>
  <c r="CZ290" i="12"/>
  <c r="K166" i="12"/>
  <c r="DB468" i="12"/>
  <c r="DL50" i="12"/>
  <c r="CU57" i="17"/>
  <c r="CT26" i="17"/>
  <c r="CT57" i="17"/>
  <c r="S56" i="17"/>
  <c r="CT59" i="17"/>
  <c r="CT60" i="17" s="1"/>
  <c r="CI54" i="11"/>
  <c r="CI55" i="11" s="1"/>
  <c r="CA111" i="12"/>
  <c r="CB107" i="12"/>
  <c r="CA227" i="12"/>
  <c r="CN327" i="12"/>
  <c r="CN344" i="12"/>
  <c r="Q344" i="12" s="1"/>
  <c r="DF468" i="12"/>
  <c r="BH72" i="12"/>
  <c r="BH71" i="12"/>
  <c r="DI364" i="12"/>
  <c r="DI363" i="12"/>
  <c r="DI469" i="12" s="1"/>
  <c r="CR54" i="11"/>
  <c r="CR55" i="11" s="1"/>
  <c r="BS196" i="12"/>
  <c r="P143" i="12"/>
  <c r="P146" i="12" s="1"/>
  <c r="W434" i="12"/>
  <c r="CK144" i="12"/>
  <c r="W656" i="12"/>
  <c r="W681" i="12" s="1"/>
  <c r="W679" i="12" s="1"/>
  <c r="DC308" i="12"/>
  <c r="G69" i="12"/>
  <c r="G70" i="12" s="1"/>
  <c r="U742" i="12"/>
  <c r="U743" i="12" s="1"/>
  <c r="CQ54" i="11"/>
  <c r="CQ55" i="11" s="1"/>
  <c r="X763" i="12"/>
  <c r="CT750" i="12"/>
  <c r="CT752" i="12" s="1"/>
  <c r="DA753" i="12" s="1"/>
  <c r="CU750" i="12"/>
  <c r="CU752" i="12" s="1"/>
  <c r="CU754" i="12" s="1"/>
  <c r="CU757" i="12" s="1"/>
  <c r="DB365" i="12"/>
  <c r="DB469" i="12"/>
  <c r="DA282" i="12"/>
  <c r="DA283" i="12"/>
  <c r="CC42" i="17"/>
  <c r="CC43" i="17" s="1"/>
  <c r="CC41" i="17"/>
  <c r="CD42" i="17"/>
  <c r="CD43" i="17" s="1"/>
  <c r="CD57" i="17"/>
  <c r="CE57" i="17"/>
  <c r="CX53" i="17"/>
  <c r="CX50" i="17"/>
  <c r="CU51" i="6"/>
  <c r="CX57" i="12"/>
  <c r="CX34" i="17"/>
  <c r="CX29" i="17"/>
  <c r="CX58" i="17"/>
  <c r="BN211" i="12"/>
  <c r="BN208" i="12"/>
  <c r="BA116" i="22" s="1"/>
  <c r="BO196" i="12"/>
  <c r="BN196" i="12"/>
  <c r="CK358" i="12"/>
  <c r="CO258" i="12"/>
  <c r="DM162" i="15"/>
  <c r="CT363" i="12"/>
  <c r="R358" i="12"/>
  <c r="BS164" i="12"/>
  <c r="BO143" i="12"/>
  <c r="BO164" i="12"/>
  <c r="CD169" i="12"/>
  <c r="CD170" i="12"/>
  <c r="DB137" i="12"/>
  <c r="DF290" i="12"/>
  <c r="DB290" i="12"/>
  <c r="BX54" i="11"/>
  <c r="V177" i="12"/>
  <c r="CQ62" i="11"/>
  <c r="CQ71" i="11" s="1"/>
  <c r="CJ59" i="22" s="1"/>
  <c r="CQ671" i="12"/>
  <c r="DE282" i="12"/>
  <c r="CL678" i="12"/>
  <c r="U763" i="12"/>
  <c r="CP440" i="12"/>
  <c r="CA339" i="12"/>
  <c r="CE340" i="12" s="1"/>
  <c r="CB303" i="12"/>
  <c r="CE302" i="12"/>
  <c r="T327" i="12"/>
  <c r="T249" i="12"/>
  <c r="T247" i="12"/>
  <c r="N50" i="12"/>
  <c r="CA302" i="12"/>
  <c r="CQ344" i="12"/>
  <c r="CU345" i="12" s="1"/>
  <c r="CU247" i="12"/>
  <c r="CQ327" i="12"/>
  <c r="CQ284" i="12"/>
  <c r="R246" i="12"/>
  <c r="CJ289" i="12"/>
  <c r="CJ137" i="12" s="1"/>
  <c r="CJ139" i="12" s="1"/>
  <c r="CJ294" i="12"/>
  <c r="BW138" i="22" s="1"/>
  <c r="BE58" i="12"/>
  <c r="BD55" i="12"/>
  <c r="CB46" i="17"/>
  <c r="CB26" i="17" s="1"/>
  <c r="CB56" i="12"/>
  <c r="CF56" i="12"/>
  <c r="BU94" i="12"/>
  <c r="BU537" i="12"/>
  <c r="BU96" i="12"/>
  <c r="BU95" i="12"/>
  <c r="CX137" i="12"/>
  <c r="CX138" i="12" s="1"/>
  <c r="CX290" i="12"/>
  <c r="DF365" i="12"/>
  <c r="DF469" i="12"/>
  <c r="CP137" i="12"/>
  <c r="CT290" i="12"/>
  <c r="DN171" i="15"/>
  <c r="DN174" i="15" s="1"/>
  <c r="U306" i="12"/>
  <c r="CP671" i="12"/>
  <c r="CP291" i="12"/>
  <c r="DJ57" i="17"/>
  <c r="BK143" i="12"/>
  <c r="J163" i="12"/>
  <c r="BK164" i="12"/>
  <c r="CH170" i="12"/>
  <c r="P168" i="12"/>
  <c r="CH169" i="12"/>
  <c r="DA345" i="12"/>
  <c r="DE345" i="12"/>
  <c r="CC56" i="12"/>
  <c r="CG56" i="12"/>
  <c r="CC46" i="17"/>
  <c r="CC26" i="17" s="1"/>
  <c r="CR327" i="12"/>
  <c r="CR247" i="12"/>
  <c r="CR344" i="12"/>
  <c r="CR284" i="12"/>
  <c r="CV247" i="12"/>
  <c r="BX350" i="12"/>
  <c r="BX352" i="12"/>
  <c r="BY349" i="12"/>
  <c r="BC46" i="17"/>
  <c r="BC59" i="17" s="1"/>
  <c r="BG56" i="12"/>
  <c r="R116" i="17"/>
  <c r="R50" i="12"/>
  <c r="CB41" i="17"/>
  <c r="N40" i="17"/>
  <c r="CB42" i="17"/>
  <c r="CB43" i="17" s="1"/>
  <c r="CH186" i="12"/>
  <c r="BQ38" i="22"/>
  <c r="BQ40" i="22" s="1"/>
  <c r="O23" i="11"/>
  <c r="Q246" i="12"/>
  <c r="Q248" i="12" s="1"/>
  <c r="W763" i="12"/>
  <c r="Q648" i="12"/>
  <c r="CP646" i="12"/>
  <c r="CP648" i="12" s="1"/>
  <c r="CN92" i="12"/>
  <c r="CN90" i="12"/>
  <c r="BW15" i="6"/>
  <c r="BW16" i="6"/>
  <c r="BX16" i="6"/>
  <c r="N14" i="6"/>
  <c r="N15" i="6" s="1"/>
  <c r="U472" i="12"/>
  <c r="T472" i="12"/>
  <c r="CE30" i="17"/>
  <c r="T299" i="12"/>
  <c r="U299" i="12"/>
  <c r="T314" i="12"/>
  <c r="DF302" i="12"/>
  <c r="DF303" i="12"/>
  <c r="DF308" i="12"/>
  <c r="DF334" i="12"/>
  <c r="DF328" i="12"/>
  <c r="DG303" i="12"/>
  <c r="DJ302" i="12"/>
  <c r="DF321" i="12"/>
  <c r="V301" i="12"/>
  <c r="V302" i="12" s="1"/>
  <c r="DF339" i="12"/>
  <c r="Q17" i="16"/>
  <c r="CW54" i="11"/>
  <c r="CW55" i="11" s="1"/>
  <c r="CW62" i="11"/>
  <c r="CW71" i="11" s="1"/>
  <c r="CP59" i="22" s="1"/>
  <c r="CI62" i="11"/>
  <c r="CI71" i="11" s="1"/>
  <c r="BL71" i="12"/>
  <c r="BL72" i="12"/>
  <c r="BL70" i="12"/>
  <c r="M63" i="12"/>
  <c r="S54" i="11"/>
  <c r="CF70" i="12"/>
  <c r="CF71" i="12"/>
  <c r="BS56" i="22"/>
  <c r="CJ70" i="12"/>
  <c r="CF72" i="12"/>
  <c r="CF78" i="12"/>
  <c r="CT302" i="12"/>
  <c r="CP328" i="12"/>
  <c r="CP312" i="12"/>
  <c r="CP334" i="12"/>
  <c r="CQ303" i="12"/>
  <c r="CP302" i="12"/>
  <c r="CP339" i="12"/>
  <c r="CP308" i="12"/>
  <c r="CP321" i="12"/>
  <c r="R301" i="12"/>
  <c r="R334" i="12" s="1"/>
  <c r="CI68" i="11"/>
  <c r="CW26" i="17"/>
  <c r="CX47" i="17"/>
  <c r="CX48" i="17" s="1"/>
  <c r="CW59" i="17"/>
  <c r="CW60" i="17" s="1"/>
  <c r="CW47" i="17"/>
  <c r="CW48" i="17" s="1"/>
  <c r="S46" i="17"/>
  <c r="CT67" i="12"/>
  <c r="CT87" i="12"/>
  <c r="J302" i="12"/>
  <c r="K303" i="12"/>
  <c r="J303" i="12"/>
  <c r="K302" i="12"/>
  <c r="CB199" i="12"/>
  <c r="CC199" i="12"/>
  <c r="N199" i="12" s="1"/>
  <c r="N122" i="12" s="1"/>
  <c r="CB176" i="12"/>
  <c r="CB205" i="12"/>
  <c r="DI321" i="12"/>
  <c r="DI302" i="12"/>
  <c r="DI339" i="12"/>
  <c r="DJ303" i="12"/>
  <c r="DI303" i="12"/>
  <c r="DI308" i="12"/>
  <c r="DI334" i="12"/>
  <c r="DI328" i="12"/>
  <c r="CS54" i="11"/>
  <c r="CS55" i="11" s="1"/>
  <c r="T53" i="11"/>
  <c r="T54" i="11" s="1"/>
  <c r="CD339" i="12"/>
  <c r="CD303" i="12"/>
  <c r="O301" i="12"/>
  <c r="CE303" i="12"/>
  <c r="CD302" i="12"/>
  <c r="DF43" i="12"/>
  <c r="DF62" i="12"/>
  <c r="DF32" i="12"/>
  <c r="DF65" i="12"/>
  <c r="DJ66" i="12" s="1"/>
  <c r="DF54" i="12"/>
  <c r="CS46" i="22"/>
  <c r="CS50" i="22" s="1"/>
  <c r="DC14" i="6"/>
  <c r="DC35" i="6" s="1"/>
  <c r="DF40" i="12"/>
  <c r="CZ14" i="11"/>
  <c r="CZ59" i="11" s="1"/>
  <c r="CZ68" i="11" s="1"/>
  <c r="DF78" i="12"/>
  <c r="DF49" i="12"/>
  <c r="DF69" i="12"/>
  <c r="DJ70" i="12" s="1"/>
  <c r="CN30" i="16"/>
  <c r="CH44" i="11"/>
  <c r="CN25" i="16"/>
  <c r="CR25" i="16"/>
  <c r="CN37" i="16"/>
  <c r="CN41" i="16"/>
  <c r="Q24" i="16"/>
  <c r="Q41" i="16" s="1"/>
  <c r="CA51" i="6"/>
  <c r="CD58" i="17"/>
  <c r="CD50" i="17"/>
  <c r="CD29" i="17"/>
  <c r="CD53" i="17"/>
  <c r="CD34" i="17"/>
  <c r="CD57" i="12"/>
  <c r="CC17" i="6"/>
  <c r="CD16" i="6"/>
  <c r="CC15" i="6"/>
  <c r="AX69" i="12"/>
  <c r="AX67" i="12"/>
  <c r="BB66" i="12"/>
  <c r="AX66" i="12"/>
  <c r="BQ144" i="12"/>
  <c r="CC16" i="6"/>
  <c r="CZ53" i="17"/>
  <c r="CZ57" i="12"/>
  <c r="CW51" i="6"/>
  <c r="CZ34" i="17"/>
  <c r="CZ29" i="17"/>
  <c r="CZ50" i="17"/>
  <c r="CZ45" i="17"/>
  <c r="L10" i="12"/>
  <c r="L302" i="12"/>
  <c r="L303" i="12"/>
  <c r="BD66" i="12"/>
  <c r="BD69" i="12"/>
  <c r="BD67" i="12"/>
  <c r="BD92" i="12"/>
  <c r="BH66" i="12"/>
  <c r="R314" i="12"/>
  <c r="R315" i="12" s="1"/>
  <c r="R299" i="12"/>
  <c r="CH27" i="11"/>
  <c r="CH28" i="11" s="1"/>
  <c r="Q26" i="11"/>
  <c r="Q27" i="11" s="1"/>
  <c r="Q28" i="11" s="1"/>
  <c r="CS47" i="17"/>
  <c r="CS48" i="17" s="1"/>
  <c r="CT47" i="17"/>
  <c r="CT48" i="17" s="1"/>
  <c r="R46" i="17"/>
  <c r="R55" i="12" s="1"/>
  <c r="V56" i="17"/>
  <c r="DF57" i="17"/>
  <c r="DG57" i="17"/>
  <c r="Q46" i="17"/>
  <c r="CL26" i="17"/>
  <c r="CL50" i="17" s="1"/>
  <c r="CL59" i="17"/>
  <c r="CL60" i="17" s="1"/>
  <c r="CM47" i="17"/>
  <c r="CM48" i="17" s="1"/>
  <c r="CM59" i="17"/>
  <c r="CM60" i="17" s="1"/>
  <c r="CM26" i="17"/>
  <c r="CN47" i="17"/>
  <c r="CN48" i="17" s="1"/>
  <c r="BZ72" i="12"/>
  <c r="BZ78" i="12"/>
  <c r="BZ70" i="12"/>
  <c r="BM56" i="22"/>
  <c r="BZ71" i="12"/>
  <c r="O439" i="12"/>
  <c r="O437" i="12"/>
  <c r="O12" i="12"/>
  <c r="T31" i="12"/>
  <c r="T78" i="12" s="1"/>
  <c r="CY307" i="12"/>
  <c r="CU307" i="12"/>
  <c r="S306" i="12"/>
  <c r="S307" i="12" s="1"/>
  <c r="S449" i="12"/>
  <c r="S450" i="12" s="1"/>
  <c r="CV450" i="12"/>
  <c r="BE164" i="12"/>
  <c r="BE143" i="12"/>
  <c r="BE146" i="12" s="1"/>
  <c r="BI164" i="12"/>
  <c r="CE17" i="6"/>
  <c r="CE16" i="6"/>
  <c r="CF16" i="6"/>
  <c r="P14" i="6"/>
  <c r="BT441" i="12"/>
  <c r="BU442" i="12"/>
  <c r="BT442" i="12"/>
  <c r="DD432" i="12"/>
  <c r="U430" i="12"/>
  <c r="U432" i="12" s="1"/>
  <c r="CP27" i="11"/>
  <c r="CP28" i="11" s="1"/>
  <c r="S26" i="11"/>
  <c r="S27" i="11" s="1"/>
  <c r="S28" i="11" s="1"/>
  <c r="CY54" i="11"/>
  <c r="CY55" i="11" s="1"/>
  <c r="BK116" i="22"/>
  <c r="BX214" i="12"/>
  <c r="BY209" i="12"/>
  <c r="BX209" i="12"/>
  <c r="CB143" i="12"/>
  <c r="CF164" i="12"/>
  <c r="CB164" i="12"/>
  <c r="N163" i="12"/>
  <c r="DH87" i="12"/>
  <c r="DH89" i="12" s="1"/>
  <c r="DH111" i="8" s="1"/>
  <c r="BX66" i="12"/>
  <c r="BX67" i="12"/>
  <c r="BX87" i="12"/>
  <c r="S314" i="12"/>
  <c r="S299" i="12"/>
  <c r="DG307" i="12"/>
  <c r="DG308" i="12"/>
  <c r="V306" i="12"/>
  <c r="U17" i="16"/>
  <c r="T17" i="16"/>
  <c r="DI65" i="12"/>
  <c r="DI62" i="12"/>
  <c r="DI78" i="12"/>
  <c r="CV46" i="22"/>
  <c r="DI69" i="12"/>
  <c r="DI49" i="12"/>
  <c r="DI54" i="12"/>
  <c r="DC14" i="11"/>
  <c r="DI40" i="12"/>
  <c r="DI43" i="12"/>
  <c r="DF14" i="6"/>
  <c r="DI32" i="12"/>
  <c r="BL67" i="12"/>
  <c r="BL66" i="12"/>
  <c r="CV54" i="11"/>
  <c r="CV55" i="11" s="1"/>
  <c r="U53" i="11"/>
  <c r="U54" i="11" s="1"/>
  <c r="CP43" i="12"/>
  <c r="CM14" i="6"/>
  <c r="CN16" i="6" s="1"/>
  <c r="CP689" i="12"/>
  <c r="CP40" i="12"/>
  <c r="CC46" i="22"/>
  <c r="CP62" i="12"/>
  <c r="CP49" i="12"/>
  <c r="CP690" i="12"/>
  <c r="CP32" i="12"/>
  <c r="CP54" i="12"/>
  <c r="CP78" i="12"/>
  <c r="CP69" i="12"/>
  <c r="CT32" i="12"/>
  <c r="CP65" i="12"/>
  <c r="CV37" i="16"/>
  <c r="CV30" i="16"/>
  <c r="CP44" i="11"/>
  <c r="S24" i="16"/>
  <c r="S37" i="16" s="1"/>
  <c r="CV25" i="16"/>
  <c r="CV41" i="16"/>
  <c r="BZ57" i="17"/>
  <c r="N56" i="17"/>
  <c r="N57" i="17" s="1"/>
  <c r="CA57" i="17"/>
  <c r="BZ26" i="17"/>
  <c r="BZ59" i="17"/>
  <c r="BZ60" i="17" s="1"/>
  <c r="CG15" i="6"/>
  <c r="BX78" i="12"/>
  <c r="BX72" i="12"/>
  <c r="BX71" i="12"/>
  <c r="BX70" i="12"/>
  <c r="CR450" i="12"/>
  <c r="CR451" i="12" s="1"/>
  <c r="R449" i="12"/>
  <c r="R450" i="12" s="1"/>
  <c r="R451" i="12" s="1"/>
  <c r="T26" i="11"/>
  <c r="T27" i="11" s="1"/>
  <c r="T28" i="11" s="1"/>
  <c r="CT27" i="11"/>
  <c r="CT28" i="11" s="1"/>
  <c r="DA59" i="17"/>
  <c r="DA60" i="17" s="1"/>
  <c r="T46" i="17"/>
  <c r="DA26" i="17"/>
  <c r="DB47" i="17"/>
  <c r="DB48" i="17" s="1"/>
  <c r="DA47" i="17"/>
  <c r="DA48" i="17" s="1"/>
  <c r="CA15" i="6"/>
  <c r="CZ58" i="17"/>
  <c r="BF67" i="12"/>
  <c r="BF69" i="12"/>
  <c r="BF66" i="12"/>
  <c r="BJ66" i="12"/>
  <c r="CA303" i="12"/>
  <c r="BZ339" i="12"/>
  <c r="BZ303" i="12"/>
  <c r="N301" i="12"/>
  <c r="BZ302" i="12"/>
  <c r="CX283" i="12"/>
  <c r="T281" i="12"/>
  <c r="CX282" i="12"/>
  <c r="DB282" i="12"/>
  <c r="CJ37" i="16"/>
  <c r="CD44" i="11"/>
  <c r="CD45" i="11" s="1"/>
  <c r="CD46" i="11" s="1"/>
  <c r="CJ41" i="16"/>
  <c r="O41" i="17"/>
  <c r="P42" i="17"/>
  <c r="P43" i="17" s="1"/>
  <c r="CX62" i="12"/>
  <c r="CK46" i="22"/>
  <c r="CK50" i="22" s="1"/>
  <c r="CX32" i="12"/>
  <c r="CX65" i="12"/>
  <c r="CX78" i="12"/>
  <c r="CX49" i="12"/>
  <c r="CX69" i="12"/>
  <c r="CX43" i="12"/>
  <c r="DB32" i="12"/>
  <c r="CX54" i="12"/>
  <c r="CU14" i="6"/>
  <c r="CR14" i="11"/>
  <c r="CX40" i="12"/>
  <c r="DA67" i="12"/>
  <c r="DA87" i="12"/>
  <c r="BZ18" i="11"/>
  <c r="BZ19" i="11" s="1"/>
  <c r="BZ59" i="11"/>
  <c r="BZ68" i="11" s="1"/>
  <c r="U26" i="12"/>
  <c r="CL70" i="12"/>
  <c r="CH71" i="12"/>
  <c r="CH72" i="12"/>
  <c r="BU56" i="22"/>
  <c r="J437" i="12"/>
  <c r="J439" i="12"/>
  <c r="CJ107" i="8"/>
  <c r="CJ115" i="8" s="1"/>
  <c r="CJ95" i="8" s="1"/>
  <c r="CJ80" i="12"/>
  <c r="CN79" i="12"/>
  <c r="CJ52" i="12"/>
  <c r="CJ81" i="12"/>
  <c r="BX205" i="12"/>
  <c r="BX199" i="12"/>
  <c r="BY199" i="12"/>
  <c r="CG50" i="6"/>
  <c r="BZ453" i="21"/>
  <c r="BW51" i="22"/>
  <c r="BW52" i="22" s="1"/>
  <c r="CG69" i="6"/>
  <c r="CG13" i="6"/>
  <c r="CG47" i="6"/>
  <c r="CG71" i="6"/>
  <c r="CG44" i="6"/>
  <c r="CG75" i="6"/>
  <c r="CI71" i="7"/>
  <c r="CG59" i="6"/>
  <c r="CG17" i="6"/>
  <c r="CJ70" i="7"/>
  <c r="CJ19" i="17"/>
  <c r="CJ41" i="17"/>
  <c r="CG31" i="6"/>
  <c r="CJ143" i="17"/>
  <c r="CG86" i="6"/>
  <c r="CG41" i="6"/>
  <c r="CG56" i="6"/>
  <c r="BW76" i="22"/>
  <c r="CJ146" i="17"/>
  <c r="CG55" i="6"/>
  <c r="CT283" i="12"/>
  <c r="S281" i="12"/>
  <c r="CT285" i="12"/>
  <c r="DD25" i="16"/>
  <c r="CZ30" i="16"/>
  <c r="CZ33" i="16" s="1"/>
  <c r="CZ25" i="16"/>
  <c r="CT44" i="11"/>
  <c r="DE59" i="17"/>
  <c r="DE57" i="17"/>
  <c r="DE26" i="17"/>
  <c r="U56" i="17"/>
  <c r="S696" i="12"/>
  <c r="S697" i="12" s="1"/>
  <c r="S698" i="12" s="1"/>
  <c r="S568" i="12"/>
  <c r="J46" i="22"/>
  <c r="J50" i="22" s="1"/>
  <c r="J52" i="22" s="1"/>
  <c r="R54" i="12"/>
  <c r="H163" i="12"/>
  <c r="I164" i="12" s="1"/>
  <c r="CL504" i="12"/>
  <c r="CL505" i="12" s="1"/>
  <c r="DE468" i="12"/>
  <c r="S331" i="12"/>
  <c r="S346" i="12"/>
  <c r="T331" i="12"/>
  <c r="S289" i="12"/>
  <c r="CU290" i="12"/>
  <c r="CU137" i="12"/>
  <c r="BQ145" i="12"/>
  <c r="BU144" i="12"/>
  <c r="BQ440" i="12"/>
  <c r="BQ146" i="12"/>
  <c r="DJ80" i="12"/>
  <c r="DJ81" i="12"/>
  <c r="DJ107" i="8"/>
  <c r="DD18" i="11"/>
  <c r="DD59" i="11"/>
  <c r="DG35" i="6"/>
  <c r="DG30" i="6"/>
  <c r="S294" i="12"/>
  <c r="N138" i="22" s="1"/>
  <c r="T293" i="12"/>
  <c r="DC137" i="12"/>
  <c r="DG138" i="12" s="1"/>
  <c r="DC290" i="12"/>
  <c r="U289" i="12"/>
  <c r="CS566" i="12"/>
  <c r="DJ71" i="12"/>
  <c r="DJ72" i="12"/>
  <c r="CW56" i="22"/>
  <c r="U219" i="12"/>
  <c r="R566" i="12"/>
  <c r="CM199" i="12"/>
  <c r="CM200" i="12" s="1"/>
  <c r="CM178" i="12"/>
  <c r="BZ119" i="22"/>
  <c r="CD119" i="22"/>
  <c r="CQ178" i="12"/>
  <c r="BQ165" i="12"/>
  <c r="N168" i="12"/>
  <c r="CC170" i="12"/>
  <c r="BR208" i="12"/>
  <c r="BE116" i="22" s="1"/>
  <c r="BR211" i="12"/>
  <c r="CL119" i="22"/>
  <c r="L101" i="12"/>
  <c r="M99" i="12"/>
  <c r="L100" i="12"/>
  <c r="CY137" i="12"/>
  <c r="T289" i="12"/>
  <c r="CY290" i="12"/>
  <c r="DJ67" i="12"/>
  <c r="DE290" i="12"/>
  <c r="DI290" i="12"/>
  <c r="DE137" i="12"/>
  <c r="DI138" i="12" s="1"/>
  <c r="BR199" i="12"/>
  <c r="BS199" i="12"/>
  <c r="CQ662" i="12"/>
  <c r="Q85" i="12"/>
  <c r="CO87" i="12"/>
  <c r="CR587" i="12"/>
  <c r="CS585" i="12" s="1"/>
  <c r="CM676" i="12"/>
  <c r="CN642" i="12"/>
  <c r="CP663" i="12"/>
  <c r="CQ589" i="12"/>
  <c r="V728" i="12"/>
  <c r="V747" i="12" s="1"/>
  <c r="V749" i="12" s="1"/>
  <c r="W727" i="12"/>
  <c r="V727" i="12"/>
  <c r="CN665" i="12"/>
  <c r="CO597" i="12"/>
  <c r="W765" i="12"/>
  <c r="W767" i="12" s="1"/>
  <c r="DI750" i="12"/>
  <c r="DI752" i="12" s="1"/>
  <c r="DH750" i="12"/>
  <c r="DH752" i="12" s="1"/>
  <c r="CL631" i="12"/>
  <c r="Q631" i="12" s="1"/>
  <c r="Q586" i="12"/>
  <c r="W728" i="12"/>
  <c r="W747" i="12" s="1"/>
  <c r="W749" i="12" s="1"/>
  <c r="X750" i="12" s="1"/>
  <c r="X752" i="12" s="1"/>
  <c r="X727" i="12"/>
  <c r="CL653" i="12"/>
  <c r="CM650" i="12"/>
  <c r="CM640" i="12"/>
  <c r="CM675" i="12" s="1"/>
  <c r="X741" i="12"/>
  <c r="Y741" i="12" s="1"/>
  <c r="W740" i="12"/>
  <c r="W742" i="12" s="1"/>
  <c r="W743" i="12" s="1"/>
  <c r="CM499" i="12"/>
  <c r="CM685" i="12" s="1"/>
  <c r="S508" i="12"/>
  <c r="CW510" i="12"/>
  <c r="CW533" i="12" s="1"/>
  <c r="W657" i="12"/>
  <c r="V203" i="7"/>
  <c r="V205" i="7" s="1"/>
  <c r="V206" i="7" s="1"/>
  <c r="DG753" i="12"/>
  <c r="R331" i="12"/>
  <c r="R48" i="12"/>
  <c r="Q48" i="12"/>
  <c r="CN669" i="12"/>
  <c r="Q669" i="12" s="1"/>
  <c r="N287" i="12"/>
  <c r="F71" i="12"/>
  <c r="DF177" i="15"/>
  <c r="DF175" i="15"/>
  <c r="DF174" i="15"/>
  <c r="DF176" i="15"/>
  <c r="DF178" i="15"/>
  <c r="DL57" i="17"/>
  <c r="DK57" i="17"/>
  <c r="Q59" i="11"/>
  <c r="CH68" i="11"/>
  <c r="CU79" i="12"/>
  <c r="CU81" i="12"/>
  <c r="CU80" i="12"/>
  <c r="CU107" i="8"/>
  <c r="CY79" i="12"/>
  <c r="CH56" i="22"/>
  <c r="CU72" i="12"/>
  <c r="CU71" i="12"/>
  <c r="CU70" i="12"/>
  <c r="CF340" i="12"/>
  <c r="CJ340" i="12"/>
  <c r="CP162" i="15"/>
  <c r="CP163" i="15" s="1"/>
  <c r="CP170" i="15"/>
  <c r="CP155" i="15"/>
  <c r="CP171" i="15" s="1"/>
  <c r="CT170" i="15"/>
  <c r="DC66" i="12"/>
  <c r="DC87" i="12"/>
  <c r="DC89" i="12" s="1"/>
  <c r="DC67" i="12"/>
  <c r="DH345" i="12"/>
  <c r="DD345" i="12"/>
  <c r="CP157" i="12"/>
  <c r="CL292" i="12"/>
  <c r="DE84" i="12"/>
  <c r="U84" i="12" s="1"/>
  <c r="DD114" i="8"/>
  <c r="R335" i="12"/>
  <c r="S333" i="12"/>
  <c r="CO59" i="11"/>
  <c r="CQ67" i="12"/>
  <c r="CQ87" i="12"/>
  <c r="DC80" i="12"/>
  <c r="DC79" i="12"/>
  <c r="DC81" i="12"/>
  <c r="DC107" i="8"/>
  <c r="DC71" i="12"/>
  <c r="CP56" i="22"/>
  <c r="DC72" i="12"/>
  <c r="DC70" i="12"/>
  <c r="CW59" i="11"/>
  <c r="Q329" i="12"/>
  <c r="R326" i="12"/>
  <c r="BP55" i="12"/>
  <c r="BQ58" i="12"/>
  <c r="W102" i="7"/>
  <c r="X656" i="12"/>
  <c r="V137" i="12"/>
  <c r="DG340" i="12"/>
  <c r="U302" i="12"/>
  <c r="U321" i="12"/>
  <c r="U303" i="12"/>
  <c r="CQ162" i="15"/>
  <c r="CQ155" i="15"/>
  <c r="CQ171" i="15" s="1"/>
  <c r="CU170" i="15"/>
  <c r="CR162" i="15"/>
  <c r="CR163" i="15" s="1"/>
  <c r="CQ72" i="12"/>
  <c r="CQ71" i="12"/>
  <c r="CD56" i="22"/>
  <c r="P81" i="12"/>
  <c r="P107" i="8"/>
  <c r="P163" i="6" s="1"/>
  <c r="P80" i="12"/>
  <c r="S690" i="12"/>
  <c r="S40" i="12"/>
  <c r="S689" i="12"/>
  <c r="S69" i="12"/>
  <c r="S43" i="12"/>
  <c r="S54" i="12"/>
  <c r="S49" i="12"/>
  <c r="S14" i="6"/>
  <c r="S328" i="12"/>
  <c r="T335" i="12"/>
  <c r="T333" i="12"/>
  <c r="T248" i="12"/>
  <c r="T328" i="12"/>
  <c r="T303" i="12"/>
  <c r="T339" i="12"/>
  <c r="BO56" i="12"/>
  <c r="BS56" i="12"/>
  <c r="BO46" i="17"/>
  <c r="BO59" i="17" s="1"/>
  <c r="CU67" i="12"/>
  <c r="CU87" i="12"/>
  <c r="CU66" i="12"/>
  <c r="CR15" i="6"/>
  <c r="CR16" i="6"/>
  <c r="DH282" i="12"/>
  <c r="DD283" i="12"/>
  <c r="DD282" i="12"/>
  <c r="CO155" i="15"/>
  <c r="CS170" i="15"/>
  <c r="DK47" i="17"/>
  <c r="DK48" i="17" s="1"/>
  <c r="W46" i="17"/>
  <c r="W55" i="12" s="1"/>
  <c r="DL47" i="17"/>
  <c r="DL48" i="17" s="1"/>
  <c r="CQ81" i="12"/>
  <c r="CQ80" i="12"/>
  <c r="CQ107" i="8"/>
  <c r="CQ115" i="8" s="1"/>
  <c r="CQ95" i="8" s="1"/>
  <c r="CZ16" i="6"/>
  <c r="CL335" i="12"/>
  <c r="Q332" i="12"/>
  <c r="Q334" i="12" s="1"/>
  <c r="CP333" i="12"/>
  <c r="CL334" i="12"/>
  <c r="CL336" i="12"/>
  <c r="DE162" i="15"/>
  <c r="DD155" i="15"/>
  <c r="DD171" i="15" s="1"/>
  <c r="CH52" i="12"/>
  <c r="CH87" i="12"/>
  <c r="CH67" i="12"/>
  <c r="BP90" i="12"/>
  <c r="BP92" i="12"/>
  <c r="BC96" i="12"/>
  <c r="BC94" i="12"/>
  <c r="BC537" i="12"/>
  <c r="BC71" i="12"/>
  <c r="BC72" i="12"/>
  <c r="CK87" i="12"/>
  <c r="CK67" i="12"/>
  <c r="CK52" i="12"/>
  <c r="CO341" i="12"/>
  <c r="CO309" i="12"/>
  <c r="CK312" i="12"/>
  <c r="CL667" i="12"/>
  <c r="CP283" i="12"/>
  <c r="CT282" i="12"/>
  <c r="CS282" i="12"/>
  <c r="CS283" i="12"/>
  <c r="CW282" i="12"/>
  <c r="CP469" i="12"/>
  <c r="Q363" i="12"/>
  <c r="Q469" i="12" s="1"/>
  <c r="CM283" i="12"/>
  <c r="BD440" i="12"/>
  <c r="BD441" i="12" s="1"/>
  <c r="BD146" i="12"/>
  <c r="BD145" i="12"/>
  <c r="BD144" i="12"/>
  <c r="BX440" i="12"/>
  <c r="BX146" i="12"/>
  <c r="BX144" i="12"/>
  <c r="DD753" i="12"/>
  <c r="CL54" i="11"/>
  <c r="CL55" i="11" s="1"/>
  <c r="W363" i="12"/>
  <c r="W469" i="12" s="1"/>
  <c r="DJ469" i="12"/>
  <c r="DJ364" i="12"/>
  <c r="CP285" i="12"/>
  <c r="BX165" i="12"/>
  <c r="K14" i="12"/>
  <c r="K13" i="12"/>
  <c r="L13" i="12"/>
  <c r="BH165" i="12"/>
  <c r="BH440" i="12"/>
  <c r="BH146" i="12"/>
  <c r="BH145" i="12"/>
  <c r="BH144" i="12"/>
  <c r="BI145" i="12"/>
  <c r="BI146" i="12"/>
  <c r="CJ16" i="6"/>
  <c r="CK16" i="6"/>
  <c r="CN15" i="6"/>
  <c r="CJ15" i="6"/>
  <c r="DK321" i="12"/>
  <c r="DK303" i="12"/>
  <c r="DK339" i="12"/>
  <c r="DK302" i="12"/>
  <c r="DK334" i="12"/>
  <c r="DK308" i="12"/>
  <c r="DK328" i="12"/>
  <c r="CE442" i="12"/>
  <c r="CE441" i="12"/>
  <c r="CF442" i="12"/>
  <c r="DG107" i="8"/>
  <c r="DG80" i="12"/>
  <c r="DG81" i="12"/>
  <c r="DG79" i="12"/>
  <c r="CI441" i="12"/>
  <c r="DE421" i="12"/>
  <c r="U419" i="12"/>
  <c r="U421" i="12" s="1"/>
  <c r="BT38" i="22"/>
  <c r="BT40" i="22" s="1"/>
  <c r="CG186" i="12"/>
  <c r="CK186" i="12"/>
  <c r="M13" i="12"/>
  <c r="N13" i="12"/>
  <c r="T750" i="12"/>
  <c r="T752" i="12" s="1"/>
  <c r="T754" i="12" s="1"/>
  <c r="S750" i="12"/>
  <c r="DK32" i="12"/>
  <c r="DK54" i="12"/>
  <c r="DK49" i="12"/>
  <c r="DK43" i="12"/>
  <c r="DK78" i="12"/>
  <c r="CX46" i="22"/>
  <c r="DK40" i="12"/>
  <c r="DH14" i="6"/>
  <c r="DK69" i="12"/>
  <c r="DE14" i="11"/>
  <c r="DK62" i="12"/>
  <c r="DK65" i="12"/>
  <c r="DD15" i="6"/>
  <c r="DH365" i="12"/>
  <c r="DH469" i="12"/>
  <c r="Q302" i="12"/>
  <c r="Q328" i="12"/>
  <c r="Q339" i="12"/>
  <c r="Q340" i="12" s="1"/>
  <c r="Q303" i="12"/>
  <c r="V14" i="6"/>
  <c r="V15" i="6" s="1"/>
  <c r="V69" i="12"/>
  <c r="U396" i="12"/>
  <c r="DE398" i="12"/>
  <c r="U398" i="12" s="1"/>
  <c r="CG169" i="12"/>
  <c r="CK169" i="12"/>
  <c r="CG170" i="12"/>
  <c r="O168" i="12"/>
  <c r="CT56" i="22"/>
  <c r="DG71" i="12"/>
  <c r="DG72" i="12"/>
  <c r="DG70" i="12"/>
  <c r="BW441" i="12"/>
  <c r="CA441" i="12"/>
  <c r="BW442" i="12"/>
  <c r="CM341" i="12"/>
  <c r="CI312" i="12"/>
  <c r="CJ68" i="11"/>
  <c r="W445" i="12"/>
  <c r="Q689" i="12"/>
  <c r="Q43" i="12"/>
  <c r="Q32" i="12"/>
  <c r="Q690" i="12"/>
  <c r="Q54" i="12"/>
  <c r="Q49" i="12"/>
  <c r="Q40" i="12"/>
  <c r="Q69" i="12"/>
  <c r="I166" i="12"/>
  <c r="CQ66" i="12"/>
  <c r="CM67" i="12"/>
  <c r="CI65" i="12"/>
  <c r="CM87" i="12"/>
  <c r="BZ56" i="22"/>
  <c r="CM70" i="12"/>
  <c r="CM71" i="12"/>
  <c r="CQ70" i="12"/>
  <c r="CM72" i="12"/>
  <c r="CM81" i="12"/>
  <c r="CM80" i="12"/>
  <c r="CM107" i="8"/>
  <c r="CQ79" i="12"/>
  <c r="CM79" i="12"/>
  <c r="DK85" i="12"/>
  <c r="DL85" i="12" s="1"/>
  <c r="DM85" i="12" s="1"/>
  <c r="DN85" i="12" s="1"/>
  <c r="DO85" i="12" s="1"/>
  <c r="DP85" i="12" s="1"/>
  <c r="DQ85" i="12" s="1"/>
  <c r="DJ87" i="12"/>
  <c r="CI136" i="12"/>
  <c r="CE136" i="12"/>
  <c r="DA59" i="11"/>
  <c r="BG441" i="12"/>
  <c r="CK165" i="12"/>
  <c r="BX39" i="22"/>
  <c r="BX40" i="22" s="1"/>
  <c r="CK135" i="12"/>
  <c r="CK136" i="12" s="1"/>
  <c r="CK440" i="12"/>
  <c r="CK442" i="12" s="1"/>
  <c r="DF395" i="12"/>
  <c r="DF425" i="12" s="1"/>
  <c r="DF424" i="12" s="1"/>
  <c r="DF427" i="12" s="1"/>
  <c r="DF429" i="12"/>
  <c r="DF430" i="12" s="1"/>
  <c r="R547" i="12"/>
  <c r="R109" i="8"/>
  <c r="W137" i="12"/>
  <c r="S765" i="12"/>
  <c r="S767" i="12" s="1"/>
  <c r="R621" i="12"/>
  <c r="CS623" i="12"/>
  <c r="CX162" i="15"/>
  <c r="CX163" i="15" s="1"/>
  <c r="CX170" i="15"/>
  <c r="CX155" i="15"/>
  <c r="CX171" i="15" s="1"/>
  <c r="CS472" i="12"/>
  <c r="Q471" i="12"/>
  <c r="CO473" i="12"/>
  <c r="DG394" i="12"/>
  <c r="DC170" i="15"/>
  <c r="DD162" i="15"/>
  <c r="DC162" i="15"/>
  <c r="DC155" i="15"/>
  <c r="DG170" i="15"/>
  <c r="DH170" i="15"/>
  <c r="DH162" i="15"/>
  <c r="DL170" i="15"/>
  <c r="DH155" i="15"/>
  <c r="T345" i="12"/>
  <c r="DC282" i="12"/>
  <c r="DC283" i="12"/>
  <c r="DC285" i="12"/>
  <c r="U281" i="12"/>
  <c r="CM607" i="12"/>
  <c r="CN605" i="12" s="1"/>
  <c r="CX308" i="12"/>
  <c r="T306" i="12"/>
  <c r="DB307" i="12"/>
  <c r="CX307" i="12"/>
  <c r="CR671" i="12"/>
  <c r="CP619" i="12"/>
  <c r="CQ617" i="12" s="1"/>
  <c r="CY162" i="15"/>
  <c r="CY155" i="15"/>
  <c r="CY170" i="15"/>
  <c r="V335" i="12"/>
  <c r="V333" i="12"/>
  <c r="W333" i="12"/>
  <c r="BN59" i="17"/>
  <c r="BN47" i="17"/>
  <c r="BN48" i="17" s="1"/>
  <c r="CS463" i="12"/>
  <c r="CW463" i="12"/>
  <c r="U258" i="12"/>
  <c r="T258" i="12"/>
  <c r="T450" i="12"/>
  <c r="T451" i="12" s="1"/>
  <c r="DB170" i="15"/>
  <c r="DB162" i="15"/>
  <c r="DB163" i="15" s="1"/>
  <c r="DF170" i="15"/>
  <c r="DB155" i="15"/>
  <c r="DB171" i="15" s="1"/>
  <c r="DJ170" i="15"/>
  <c r="DJ162" i="15"/>
  <c r="DJ163" i="15" s="1"/>
  <c r="DN170" i="15"/>
  <c r="DC753" i="12"/>
  <c r="U249" i="12"/>
  <c r="U247" i="12"/>
  <c r="U248" i="12"/>
  <c r="DD170" i="15"/>
  <c r="CZ162" i="15"/>
  <c r="CZ163" i="15" s="1"/>
  <c r="CZ170" i="15"/>
  <c r="CZ155" i="15"/>
  <c r="CZ171" i="15" s="1"/>
  <c r="U333" i="12"/>
  <c r="U334" i="12"/>
  <c r="U335" i="12"/>
  <c r="DM750" i="12"/>
  <c r="DM752" i="12" s="1"/>
  <c r="DL750" i="12"/>
  <c r="DL752" i="12" s="1"/>
  <c r="Q466" i="12"/>
  <c r="Q467" i="12" s="1"/>
  <c r="R461" i="12"/>
  <c r="U327" i="12"/>
  <c r="DH429" i="12"/>
  <c r="DH430" i="12" s="1"/>
  <c r="DH395" i="12"/>
  <c r="DH425" i="12" s="1"/>
  <c r="DH424" i="12" s="1"/>
  <c r="DH427" i="12" s="1"/>
  <c r="DA138" i="12"/>
  <c r="DA363" i="12"/>
  <c r="T358" i="12"/>
  <c r="DI155" i="15"/>
  <c r="DI171" i="15" s="1"/>
  <c r="DI170" i="15"/>
  <c r="DI162" i="15"/>
  <c r="DM170" i="15"/>
  <c r="DC345" i="12"/>
  <c r="U344" i="12"/>
  <c r="U345" i="12" s="1"/>
  <c r="X764" i="12"/>
  <c r="Y765" i="12" s="1"/>
  <c r="Y767" i="12" s="1"/>
  <c r="CW162" i="15"/>
  <c r="CW155" i="15"/>
  <c r="CW170" i="15"/>
  <c r="U331" i="12"/>
  <c r="V331" i="12"/>
  <c r="DG421" i="12"/>
  <c r="CS109" i="8"/>
  <c r="CS547" i="12"/>
  <c r="DE170" i="15"/>
  <c r="DA170" i="15"/>
  <c r="DA162" i="15"/>
  <c r="DA163" i="15" s="1"/>
  <c r="DA155" i="15"/>
  <c r="DL162" i="15"/>
  <c r="DL163" i="15" s="1"/>
  <c r="DK162" i="15"/>
  <c r="DK163" i="15" s="1"/>
  <c r="DK155" i="15"/>
  <c r="DK171" i="15" s="1"/>
  <c r="DK170" i="15"/>
  <c r="R54" i="11"/>
  <c r="CQ119" i="22"/>
  <c r="CN199" i="12"/>
  <c r="CN200" i="12" s="1"/>
  <c r="CA119" i="22"/>
  <c r="CN178" i="12"/>
  <c r="CM119" i="22"/>
  <c r="DM432" i="12"/>
  <c r="BR136" i="1"/>
  <c r="BR153" i="1" s="1"/>
  <c r="BR154" i="1" s="1"/>
  <c r="N87" i="1"/>
  <c r="BR88" i="1"/>
  <c r="BR91" i="1"/>
  <c r="BR89" i="1"/>
  <c r="BR128" i="1"/>
  <c r="CG107" i="13"/>
  <c r="CG118" i="13" s="1"/>
  <c r="CK105" i="13"/>
  <c r="R66" i="22"/>
  <c r="CY148" i="22"/>
  <c r="DM51" i="13"/>
  <c r="R668" i="12"/>
  <c r="BJ78" i="1"/>
  <c r="BN77" i="1"/>
  <c r="BJ81" i="1"/>
  <c r="BJ77" i="1"/>
  <c r="BJ87" i="1"/>
  <c r="P17" i="16"/>
  <c r="O26" i="11"/>
  <c r="I8" i="19"/>
  <c r="I35" i="19"/>
  <c r="O66" i="1"/>
  <c r="O76" i="1"/>
  <c r="CI19" i="6"/>
  <c r="Q18" i="6"/>
  <c r="CK54" i="14"/>
  <c r="CN49" i="14"/>
  <c r="CJ54" i="14"/>
  <c r="CJ45" i="14"/>
  <c r="CO19" i="6"/>
  <c r="CS19" i="6"/>
  <c r="CW757" i="12"/>
  <c r="DE365" i="12"/>
  <c r="U363" i="12"/>
  <c r="DE469" i="12"/>
  <c r="Q350" i="13"/>
  <c r="DA26" i="11"/>
  <c r="DG17" i="16"/>
  <c r="V16" i="16"/>
  <c r="V17" i="16" s="1"/>
  <c r="DG24" i="16"/>
  <c r="DK17" i="16"/>
  <c r="F133" i="14"/>
  <c r="BR100" i="15"/>
  <c r="BQ99" i="15"/>
  <c r="BQ101" i="15" s="1"/>
  <c r="BQ102" i="15" s="1"/>
  <c r="U74" i="7"/>
  <c r="U46" i="6"/>
  <c r="U72" i="7"/>
  <c r="U73" i="7"/>
  <c r="CO330" i="13"/>
  <c r="Q328" i="13"/>
  <c r="Q330" i="13" s="1"/>
  <c r="DM304" i="12"/>
  <c r="DM25" i="12"/>
  <c r="J13" i="37" s="1"/>
  <c r="DM24" i="12"/>
  <c r="CB58" i="6"/>
  <c r="CE109" i="7"/>
  <c r="CB76" i="6"/>
  <c r="CB57" i="6"/>
  <c r="CU57" i="14"/>
  <c r="CU56" i="14"/>
  <c r="W247" i="12"/>
  <c r="W327" i="12"/>
  <c r="W249" i="12"/>
  <c r="AA24" i="37" s="1"/>
  <c r="DJ285" i="12"/>
  <c r="DJ283" i="12"/>
  <c r="DJ282" i="12"/>
  <c r="DL11" i="14"/>
  <c r="DM10" i="14"/>
  <c r="DM12" i="14"/>
  <c r="DM62" i="14" s="1"/>
  <c r="DL10" i="14"/>
  <c r="DL12" i="14"/>
  <c r="DL62" i="14" s="1"/>
  <c r="CY112" i="22"/>
  <c r="DL25" i="14"/>
  <c r="W56" i="17"/>
  <c r="DM57" i="17"/>
  <c r="CM342" i="13"/>
  <c r="CE6" i="6"/>
  <c r="BF116" i="22"/>
  <c r="BP81" i="1"/>
  <c r="BP87" i="1"/>
  <c r="BP78" i="1"/>
  <c r="BP77" i="1"/>
  <c r="CV19" i="6"/>
  <c r="CR35" i="6"/>
  <c r="BS100" i="1"/>
  <c r="BS106" i="1" s="1"/>
  <c r="BZ175" i="7"/>
  <c r="DL120" i="17"/>
  <c r="DL26" i="12"/>
  <c r="I14" i="37" s="1"/>
  <c r="DL136" i="17"/>
  <c r="DL116" i="17" s="1"/>
  <c r="CY84" i="22"/>
  <c r="DL301" i="12"/>
  <c r="DL31" i="12"/>
  <c r="CY85" i="22"/>
  <c r="J79" i="14"/>
  <c r="J77" i="14" s="1"/>
  <c r="J78" i="14" s="1"/>
  <c r="J144" i="14"/>
  <c r="J100" i="14"/>
  <c r="J116" i="14" s="1"/>
  <c r="J117" i="14" s="1"/>
  <c r="DG120" i="17"/>
  <c r="DK119" i="17"/>
  <c r="DG119" i="17"/>
  <c r="O190" i="7"/>
  <c r="P190" i="7"/>
  <c r="O186" i="7"/>
  <c r="H49" i="14"/>
  <c r="H54" i="14"/>
  <c r="G45" i="14"/>
  <c r="G52" i="14" s="1"/>
  <c r="DM188" i="7"/>
  <c r="DM184" i="7"/>
  <c r="W39" i="8"/>
  <c r="DL57" i="8"/>
  <c r="DL58" i="8" s="1"/>
  <c r="W50" i="8"/>
  <c r="W57" i="8" s="1"/>
  <c r="N76" i="8"/>
  <c r="N34" i="8"/>
  <c r="Q79" i="22"/>
  <c r="V76" i="13"/>
  <c r="Q148" i="22" s="1"/>
  <c r="Q45" i="22"/>
  <c r="Q50" i="22" s="1"/>
  <c r="V88" i="13"/>
  <c r="V10" i="6"/>
  <c r="V85" i="13"/>
  <c r="CZ67" i="11"/>
  <c r="CZ107" i="11"/>
  <c r="CZ58" i="11"/>
  <c r="O135" i="12"/>
  <c r="BA89" i="1"/>
  <c r="BA88" i="1"/>
  <c r="BA154" i="1"/>
  <c r="BA91" i="1"/>
  <c r="BA92" i="1" s="1"/>
  <c r="BA128" i="1"/>
  <c r="BQ118" i="1"/>
  <c r="BQ115" i="1" s="1"/>
  <c r="BP115" i="1"/>
  <c r="AV57" i="1"/>
  <c r="AR57" i="1"/>
  <c r="AR58" i="1"/>
  <c r="AY57" i="1"/>
  <c r="AU57" i="1"/>
  <c r="AU58" i="1"/>
  <c r="O49" i="22"/>
  <c r="T18" i="6"/>
  <c r="T12" i="16"/>
  <c r="U12" i="16"/>
  <c r="CW19" i="6"/>
  <c r="DA19" i="6"/>
  <c r="CX19" i="6"/>
  <c r="CT19" i="6"/>
  <c r="I102" i="15"/>
  <c r="J102" i="15"/>
  <c r="BS405" i="21"/>
  <c r="CC57" i="8"/>
  <c r="CN120" i="17"/>
  <c r="CN119" i="17"/>
  <c r="DM126" i="17"/>
  <c r="DQ127" i="17" s="1"/>
  <c r="DM142" i="17"/>
  <c r="DM145" i="17"/>
  <c r="DQ147" i="17" s="1"/>
  <c r="CZ69" i="22"/>
  <c r="CZ70" i="22" s="1"/>
  <c r="DC30" i="21"/>
  <c r="DJ45" i="6"/>
  <c r="DN46" i="6" s="1"/>
  <c r="Q35" i="8"/>
  <c r="CZ30" i="6"/>
  <c r="CZ35" i="6"/>
  <c r="CF219" i="13"/>
  <c r="BR28" i="22"/>
  <c r="AS57" i="1"/>
  <c r="AS58" i="1"/>
  <c r="AW57" i="1"/>
  <c r="BS78" i="1"/>
  <c r="BS79" i="1"/>
  <c r="BS80" i="1" s="1"/>
  <c r="BS77" i="1"/>
  <c r="L144" i="14"/>
  <c r="L79" i="14"/>
  <c r="L77" i="14" s="1"/>
  <c r="L78" i="14" s="1"/>
  <c r="L100" i="14"/>
  <c r="L116" i="14" s="1"/>
  <c r="L117" i="14" s="1"/>
  <c r="BT17" i="11"/>
  <c r="CD12" i="16"/>
  <c r="BW18" i="6"/>
  <c r="N11" i="16"/>
  <c r="BZ33" i="16"/>
  <c r="BZ12" i="16"/>
  <c r="BM49" i="22"/>
  <c r="BM50" i="22" s="1"/>
  <c r="DG283" i="12"/>
  <c r="DG282" i="12"/>
  <c r="V281" i="12"/>
  <c r="DK282" i="12"/>
  <c r="W219" i="12"/>
  <c r="DM63" i="7"/>
  <c r="DM34" i="7"/>
  <c r="DM48" i="12"/>
  <c r="DG41" i="11"/>
  <c r="DM57" i="14"/>
  <c r="DM56" i="14"/>
  <c r="CH107" i="13"/>
  <c r="CL105" i="13"/>
  <c r="CS135" i="13"/>
  <c r="CF80" i="22"/>
  <c r="CF55" i="22"/>
  <c r="CS136" i="13"/>
  <c r="CS134" i="13"/>
  <c r="CS131" i="13" s="1"/>
  <c r="BF205" i="12"/>
  <c r="BG198" i="12"/>
  <c r="BH199" i="12" s="1"/>
  <c r="N85" i="13"/>
  <c r="O76" i="13"/>
  <c r="N88" i="13"/>
  <c r="N82" i="13"/>
  <c r="CT601" i="12"/>
  <c r="R603" i="12"/>
  <c r="S601" i="12" s="1"/>
  <c r="S603" i="12" s="1"/>
  <c r="U141" i="17"/>
  <c r="U127" i="17"/>
  <c r="V127" i="17"/>
  <c r="DG757" i="12"/>
  <c r="BK113" i="15"/>
  <c r="BF77" i="1"/>
  <c r="BF87" i="1"/>
  <c r="BF78" i="1"/>
  <c r="BF81" i="1"/>
  <c r="CF37" i="16"/>
  <c r="CJ25" i="16"/>
  <c r="CF25" i="16"/>
  <c r="X445" i="12"/>
  <c r="AA444" i="12"/>
  <c r="AB444" i="12" s="1"/>
  <c r="AC444" i="12" s="1"/>
  <c r="AD444" i="12" s="1"/>
  <c r="AE444" i="12" s="1"/>
  <c r="AF444" i="12" s="1"/>
  <c r="AG444" i="12" s="1"/>
  <c r="J100" i="1"/>
  <c r="J115" i="1"/>
  <c r="J116" i="1" s="1"/>
  <c r="J107" i="1"/>
  <c r="K100" i="1"/>
  <c r="I81" i="1"/>
  <c r="BV76" i="1"/>
  <c r="I131" i="1"/>
  <c r="I78" i="1"/>
  <c r="I87" i="1"/>
  <c r="Q17" i="11"/>
  <c r="Q12" i="16"/>
  <c r="L49" i="22"/>
  <c r="Q312" i="13"/>
  <c r="Q358" i="13"/>
  <c r="Q315" i="13"/>
  <c r="Q318" i="13"/>
  <c r="DD255" i="21"/>
  <c r="DN21" i="12" s="1"/>
  <c r="DN23" i="12"/>
  <c r="CV56" i="14"/>
  <c r="CV57" i="14"/>
  <c r="CI30" i="21"/>
  <c r="CP45" i="6"/>
  <c r="DK62" i="14"/>
  <c r="DB26" i="22"/>
  <c r="DL92" i="8"/>
  <c r="DL77" i="8"/>
  <c r="DL168" i="7"/>
  <c r="W38" i="8"/>
  <c r="DD757" i="12"/>
  <c r="BU87" i="1"/>
  <c r="CW469" i="12"/>
  <c r="CW365" i="12"/>
  <c r="S363" i="12"/>
  <c r="BT126" i="1"/>
  <c r="BU105" i="1"/>
  <c r="BT108" i="1"/>
  <c r="BT99" i="1" s="1"/>
  <c r="CB37" i="16"/>
  <c r="CB30" i="16"/>
  <c r="CB33" i="16" s="1"/>
  <c r="BZ174" i="7"/>
  <c r="BZ188" i="7"/>
  <c r="BZ184" i="7"/>
  <c r="BZ185" i="7"/>
  <c r="BG47" i="15"/>
  <c r="BG46" i="15" s="1"/>
  <c r="BG30" i="15" s="1"/>
  <c r="BF44" i="15"/>
  <c r="BG43" i="15"/>
  <c r="BG20" i="15" s="1"/>
  <c r="BG11" i="15" s="1"/>
  <c r="CM19" i="6"/>
  <c r="V550" i="12"/>
  <c r="V115" i="17"/>
  <c r="V134" i="17"/>
  <c r="V118" i="17"/>
  <c r="V110" i="8"/>
  <c r="V116" i="17"/>
  <c r="DL147" i="17"/>
  <c r="DM166" i="15"/>
  <c r="DM156" i="15"/>
  <c r="DQ171" i="15" s="1"/>
  <c r="DM158" i="15"/>
  <c r="DM155" i="15"/>
  <c r="DM171" i="15" s="1"/>
  <c r="CC95" i="6"/>
  <c r="CC92" i="6"/>
  <c r="CC119" i="6"/>
  <c r="CC145" i="6"/>
  <c r="CC90" i="6"/>
  <c r="O182" i="12"/>
  <c r="O440" i="12"/>
  <c r="O232" i="12"/>
  <c r="CF232" i="12"/>
  <c r="CG254" i="12"/>
  <c r="CH239" i="12"/>
  <c r="CI233" i="12"/>
  <c r="CI228" i="12" s="1"/>
  <c r="CG233" i="12"/>
  <c r="CP595" i="12"/>
  <c r="CQ593" i="12" s="1"/>
  <c r="AW118" i="1"/>
  <c r="AW116" i="1"/>
  <c r="AJ81" i="1"/>
  <c r="AN77" i="1"/>
  <c r="AJ78" i="1"/>
  <c r="AJ87" i="1"/>
  <c r="BM78" i="1"/>
  <c r="BM81" i="1"/>
  <c r="BM87" i="1"/>
  <c r="BM77" i="1"/>
  <c r="BL78" i="1"/>
  <c r="BL81" i="1"/>
  <c r="BL77" i="1"/>
  <c r="BL87" i="1"/>
  <c r="AR77" i="1"/>
  <c r="AR87" i="1"/>
  <c r="AR81" i="1"/>
  <c r="AR78" i="1"/>
  <c r="AV77" i="1"/>
  <c r="AU81" i="1"/>
  <c r="AY77" i="1"/>
  <c r="AU78" i="1"/>
  <c r="AU87" i="1"/>
  <c r="AU77" i="1"/>
  <c r="V127" i="15"/>
  <c r="W125" i="15"/>
  <c r="T74" i="7"/>
  <c r="T73" i="7"/>
  <c r="T46" i="6"/>
  <c r="T72" i="7"/>
  <c r="W18" i="17"/>
  <c r="W128" i="17"/>
  <c r="J11" i="35" s="1"/>
  <c r="DK65" i="8"/>
  <c r="DK59" i="8"/>
  <c r="O144" i="14"/>
  <c r="O79" i="14"/>
  <c r="O77" i="14" s="1"/>
  <c r="O78" i="14" s="1"/>
  <c r="O100" i="14"/>
  <c r="DM18" i="17"/>
  <c r="DM21" i="17"/>
  <c r="DJ53" i="6"/>
  <c r="DN54" i="6" s="1"/>
  <c r="W39" i="6"/>
  <c r="DM16" i="16"/>
  <c r="DJ40" i="6"/>
  <c r="CA130" i="13"/>
  <c r="CA129" i="13"/>
  <c r="M59" i="17"/>
  <c r="CF18" i="11"/>
  <c r="BH115" i="1"/>
  <c r="BI118" i="1"/>
  <c r="BI115" i="1" s="1"/>
  <c r="BT87" i="1"/>
  <c r="K131" i="1"/>
  <c r="K81" i="1"/>
  <c r="K170" i="1" s="1"/>
  <c r="K78" i="1"/>
  <c r="BX76" i="1"/>
  <c r="K87" i="1"/>
  <c r="O52" i="14"/>
  <c r="O47" i="14"/>
  <c r="O57" i="14" s="1"/>
  <c r="R35" i="22"/>
  <c r="O46" i="14"/>
  <c r="F89" i="1"/>
  <c r="F88" i="1"/>
  <c r="P124" i="1"/>
  <c r="O130" i="1"/>
  <c r="O125" i="1"/>
  <c r="G37" i="19"/>
  <c r="H22" i="19"/>
  <c r="H28" i="19" s="1"/>
  <c r="G38" i="19"/>
  <c r="J77" i="15"/>
  <c r="CQ30" i="16"/>
  <c r="CQ25" i="16"/>
  <c r="CU25" i="16"/>
  <c r="CK44" i="11"/>
  <c r="BP13" i="21"/>
  <c r="BW30" i="6"/>
  <c r="BP41" i="21"/>
  <c r="BP47" i="21" s="1"/>
  <c r="BP52" i="21" s="1"/>
  <c r="BP54" i="21" s="1"/>
  <c r="BP56" i="21" s="1"/>
  <c r="V219" i="12"/>
  <c r="V126" i="12"/>
  <c r="V327" i="12"/>
  <c r="V249" i="12"/>
  <c r="V247" i="12"/>
  <c r="DK87" i="14"/>
  <c r="DK86" i="14"/>
  <c r="DM185" i="7"/>
  <c r="X18" i="15"/>
  <c r="DD8" i="22"/>
  <c r="DC390" i="21"/>
  <c r="DM44" i="8" s="1"/>
  <c r="O76" i="11"/>
  <c r="BH195" i="12"/>
  <c r="BI196" i="12" s="1"/>
  <c r="BV18" i="11"/>
  <c r="BV19" i="11" s="1"/>
  <c r="BV67" i="11"/>
  <c r="BV58" i="11"/>
  <c r="BY13" i="6"/>
  <c r="CC11" i="6"/>
  <c r="BY11" i="6"/>
  <c r="R45" i="22"/>
  <c r="R50" i="22" s="1"/>
  <c r="W85" i="13"/>
  <c r="W10" i="6"/>
  <c r="W76" i="13"/>
  <c r="R79" i="22"/>
  <c r="W13" i="11"/>
  <c r="W88" i="13"/>
  <c r="BK196" i="12"/>
  <c r="BJ196" i="12"/>
  <c r="DE757" i="12"/>
  <c r="CJ446" i="12"/>
  <c r="CJ136" i="12"/>
  <c r="CJ140" i="12"/>
  <c r="CJ142" i="12" s="1"/>
  <c r="CJ262" i="12"/>
  <c r="CW99" i="15"/>
  <c r="CW101" i="15" s="1"/>
  <c r="CW102" i="15" s="1"/>
  <c r="CX100" i="15"/>
  <c r="AR118" i="1"/>
  <c r="AR116" i="1"/>
  <c r="AV117" i="1" s="1"/>
  <c r="AS115" i="1"/>
  <c r="CK99" i="15"/>
  <c r="CK101" i="15" s="1"/>
  <c r="CK97" i="15"/>
  <c r="CL62" i="11"/>
  <c r="CL71" i="11" s="1"/>
  <c r="Q74" i="7"/>
  <c r="Q72" i="7"/>
  <c r="Q73" i="7"/>
  <c r="CX754" i="12"/>
  <c r="DE753" i="12"/>
  <c r="DD54" i="6"/>
  <c r="DH54" i="6"/>
  <c r="CW35" i="8"/>
  <c r="CW76" i="8"/>
  <c r="CW79" i="8" s="1"/>
  <c r="S17" i="8"/>
  <c r="CD49" i="22"/>
  <c r="CD50" i="22" s="1"/>
  <c r="CN18" i="6"/>
  <c r="CQ12" i="16"/>
  <c r="CK17" i="11"/>
  <c r="CQ41" i="16"/>
  <c r="CQ37" i="16"/>
  <c r="CQ38" i="16" s="1"/>
  <c r="T127" i="17"/>
  <c r="S108" i="17"/>
  <c r="S141" i="17"/>
  <c r="N69" i="22" s="1"/>
  <c r="S127" i="17"/>
  <c r="CP40" i="6"/>
  <c r="CT40" i="6"/>
  <c r="R39" i="6"/>
  <c r="CP53" i="6"/>
  <c r="DM57" i="8"/>
  <c r="DM58" i="8" s="1"/>
  <c r="W91" i="8"/>
  <c r="DM34" i="8"/>
  <c r="CN105" i="13"/>
  <c r="CJ107" i="13"/>
  <c r="CJ118" i="13" s="1"/>
  <c r="BN441" i="12"/>
  <c r="BN442" i="12"/>
  <c r="BD116" i="22"/>
  <c r="DI30" i="16"/>
  <c r="DI33" i="16" s="1"/>
  <c r="DI41" i="16"/>
  <c r="DI25" i="16"/>
  <c r="DC44" i="11"/>
  <c r="DI37" i="16"/>
  <c r="H56" i="1"/>
  <c r="I57" i="1" s="1"/>
  <c r="H76" i="1"/>
  <c r="H54" i="1"/>
  <c r="H55" i="1"/>
  <c r="AO78" i="1"/>
  <c r="AO81" i="1"/>
  <c r="AO87" i="1"/>
  <c r="AO77" i="1"/>
  <c r="BH78" i="1"/>
  <c r="BH87" i="1"/>
  <c r="BH81" i="1"/>
  <c r="BH77" i="1"/>
  <c r="BU124" i="1"/>
  <c r="BU125" i="1" s="1"/>
  <c r="BT125" i="1"/>
  <c r="BS129" i="1"/>
  <c r="BS127" i="1"/>
  <c r="P632" i="12"/>
  <c r="P633" i="12" s="1"/>
  <c r="P656" i="12" s="1"/>
  <c r="P657" i="12" s="1"/>
  <c r="P203" i="7" s="1"/>
  <c r="CK633" i="12"/>
  <c r="CK656" i="12" s="1"/>
  <c r="DB757" i="12"/>
  <c r="BV62" i="11"/>
  <c r="BV71" i="11" s="1"/>
  <c r="BO59" i="22" s="1"/>
  <c r="BV45" i="11"/>
  <c r="BV46" i="11" s="1"/>
  <c r="R11" i="16"/>
  <c r="S12" i="16" s="1"/>
  <c r="M303" i="12"/>
  <c r="M302" i="12"/>
  <c r="M10" i="12"/>
  <c r="DL306" i="12"/>
  <c r="DL305" i="12"/>
  <c r="DG129" i="17"/>
  <c r="DK129" i="17"/>
  <c r="DL127" i="17"/>
  <c r="DL128" i="17"/>
  <c r="I10" i="37" s="1"/>
  <c r="H130" i="14"/>
  <c r="Q96" i="15"/>
  <c r="Q115" i="17"/>
  <c r="P116" i="17"/>
  <c r="P49" i="17"/>
  <c r="P134" i="17"/>
  <c r="P135" i="17" s="1"/>
  <c r="P110" i="8"/>
  <c r="P550" i="12"/>
  <c r="P557" i="12" s="1"/>
  <c r="P108" i="17"/>
  <c r="DM71" i="15"/>
  <c r="DF134" i="13"/>
  <c r="DF131" i="13" s="1"/>
  <c r="CS55" i="22"/>
  <c r="DF136" i="13"/>
  <c r="DJ135" i="13"/>
  <c r="CS80" i="22"/>
  <c r="P68" i="14"/>
  <c r="P85" i="14"/>
  <c r="J39" i="22"/>
  <c r="J40" i="22" s="1"/>
  <c r="BM441" i="12"/>
  <c r="CH238" i="12"/>
  <c r="AN57" i="1"/>
  <c r="AJ58" i="1"/>
  <c r="CG17" i="16"/>
  <c r="CA26" i="11"/>
  <c r="CG24" i="16"/>
  <c r="CK17" i="16"/>
  <c r="BQ128" i="1"/>
  <c r="BQ91" i="1"/>
  <c r="BQ88" i="1"/>
  <c r="BQ89" i="1"/>
  <c r="BQ154" i="1"/>
  <c r="J56" i="1"/>
  <c r="J76" i="1"/>
  <c r="K77" i="1" s="1"/>
  <c r="J54" i="1"/>
  <c r="J55" i="1"/>
  <c r="DL284" i="12"/>
  <c r="DL299" i="12"/>
  <c r="K144" i="14"/>
  <c r="K79" i="14"/>
  <c r="K77" i="14" s="1"/>
  <c r="K78" i="14" s="1"/>
  <c r="K100" i="14"/>
  <c r="K116" i="14" s="1"/>
  <c r="K117" i="14" s="1"/>
  <c r="CF120" i="17"/>
  <c r="CF119" i="17"/>
  <c r="O118" i="17"/>
  <c r="P119" i="17" s="1"/>
  <c r="CJ119" i="17"/>
  <c r="Q110" i="8"/>
  <c r="Q134" i="17"/>
  <c r="Q116" i="17"/>
  <c r="Q49" i="17"/>
  <c r="R115" i="17"/>
  <c r="I29" i="17"/>
  <c r="I128" i="17"/>
  <c r="I18" i="17"/>
  <c r="J18" i="17"/>
  <c r="DA405" i="21"/>
  <c r="DL34" i="8"/>
  <c r="DB405" i="21"/>
  <c r="CA122" i="13"/>
  <c r="X102" i="11"/>
  <c r="X103" i="13"/>
  <c r="X102" i="13"/>
  <c r="S72" i="22"/>
  <c r="CP80" i="22"/>
  <c r="DC134" i="13"/>
  <c r="DC131" i="13" s="1"/>
  <c r="CP55" i="22"/>
  <c r="DC136" i="13"/>
  <c r="BI199" i="12"/>
  <c r="CR669" i="12"/>
  <c r="CP627" i="12"/>
  <c r="CQ625" i="12" s="1"/>
  <c r="CM129" i="17"/>
  <c r="CI129" i="17"/>
  <c r="AZ89" i="1"/>
  <c r="AZ91" i="1"/>
  <c r="AZ92" i="1" s="1"/>
  <c r="AZ154" i="1"/>
  <c r="AZ128" i="1"/>
  <c r="AZ88" i="1"/>
  <c r="AS78" i="1"/>
  <c r="AS81" i="1"/>
  <c r="AS87" i="1"/>
  <c r="AS77" i="1"/>
  <c r="AW77" i="1"/>
  <c r="O53" i="14"/>
  <c r="BO116" i="1"/>
  <c r="BO117" i="1" s="1"/>
  <c r="BO95" i="1"/>
  <c r="BO3" i="1"/>
  <c r="BO4" i="1" s="1"/>
  <c r="BL111" i="15"/>
  <c r="BK110" i="15"/>
  <c r="DD46" i="6"/>
  <c r="DF73" i="7"/>
  <c r="DH46" i="6"/>
  <c r="V45" i="6"/>
  <c r="DF74" i="7"/>
  <c r="DF72" i="7"/>
  <c r="CK27" i="11"/>
  <c r="CK28" i="11" s="1"/>
  <c r="CG103" i="7"/>
  <c r="CG104" i="7" s="1"/>
  <c r="CG92" i="7"/>
  <c r="CG91" i="7"/>
  <c r="V344" i="12"/>
  <c r="DG345" i="12"/>
  <c r="DK345" i="12"/>
  <c r="DI47" i="17"/>
  <c r="DI48" i="17" s="1"/>
  <c r="V46" i="17"/>
  <c r="DJ47" i="17"/>
  <c r="DJ48" i="17" s="1"/>
  <c r="CZ45" i="22"/>
  <c r="DM110" i="17"/>
  <c r="DM88" i="13"/>
  <c r="DM85" i="13"/>
  <c r="CZ149" i="22"/>
  <c r="DJ10" i="6"/>
  <c r="DN11" i="6" s="1"/>
  <c r="DG13" i="11"/>
  <c r="DM133" i="13"/>
  <c r="DM76" i="13"/>
  <c r="J28" i="37" s="1"/>
  <c r="DM82" i="13"/>
  <c r="CZ79" i="22"/>
  <c r="DM61" i="12"/>
  <c r="W19" i="15"/>
  <c r="R8" i="22"/>
  <c r="R9" i="22" s="1"/>
  <c r="R13" i="22" s="1"/>
  <c r="R22" i="22" s="1"/>
  <c r="R23" i="22" s="1"/>
  <c r="W472" i="12"/>
  <c r="DM77" i="8"/>
  <c r="DM168" i="7"/>
  <c r="DM92" i="8"/>
  <c r="BY71" i="11"/>
  <c r="P45" i="22"/>
  <c r="P50" i="22" s="1"/>
  <c r="P79" i="22"/>
  <c r="U10" i="6"/>
  <c r="U85" i="13"/>
  <c r="U88" i="13"/>
  <c r="CP11" i="6"/>
  <c r="CM107" i="11"/>
  <c r="CM67" i="11"/>
  <c r="CM58" i="11"/>
  <c r="M79" i="22"/>
  <c r="R82" i="13"/>
  <c r="R85" i="13"/>
  <c r="M45" i="22"/>
  <c r="R133" i="13"/>
  <c r="R88" i="13"/>
  <c r="DK432" i="12"/>
  <c r="CB134" i="13"/>
  <c r="CB131" i="13" s="1"/>
  <c r="BO55" i="22"/>
  <c r="CF135" i="13"/>
  <c r="BO80" i="22"/>
  <c r="CY55" i="22"/>
  <c r="DL134" i="13"/>
  <c r="DL131" i="13" s="1"/>
  <c r="DL136" i="13"/>
  <c r="CY80" i="22"/>
  <c r="DF107" i="11"/>
  <c r="DF67" i="11"/>
  <c r="DF58" i="11"/>
  <c r="CJ441" i="12"/>
  <c r="CJ442" i="12"/>
  <c r="K55" i="17"/>
  <c r="L55" i="17"/>
  <c r="BZ44" i="11"/>
  <c r="BZ27" i="11"/>
  <c r="BZ28" i="11" s="1"/>
  <c r="BG154" i="1"/>
  <c r="BG128" i="1"/>
  <c r="BG89" i="1"/>
  <c r="BK88" i="1"/>
  <c r="BG88" i="1"/>
  <c r="BG91" i="1"/>
  <c r="Q68" i="1"/>
  <c r="P65" i="1"/>
  <c r="I58" i="1"/>
  <c r="BV56" i="1"/>
  <c r="CK119" i="15"/>
  <c r="CJ119" i="15"/>
  <c r="CJ97" i="15"/>
  <c r="CJ96" i="15"/>
  <c r="CJ99" i="15"/>
  <c r="J139" i="14"/>
  <c r="J140" i="14" s="1"/>
  <c r="K138" i="14"/>
  <c r="CY754" i="12"/>
  <c r="DF753" i="12"/>
  <c r="V40" i="6"/>
  <c r="CS306" i="13"/>
  <c r="R302" i="13"/>
  <c r="CO333" i="13"/>
  <c r="CO337" i="13"/>
  <c r="CO342" i="13" s="1"/>
  <c r="DM22" i="12"/>
  <c r="DM298" i="12"/>
  <c r="DM314" i="12"/>
  <c r="DM315" i="12" s="1"/>
  <c r="DC119" i="17"/>
  <c r="CY119" i="17"/>
  <c r="CY120" i="17"/>
  <c r="DJ345" i="12"/>
  <c r="W344" i="12"/>
  <c r="W345" i="12" s="1"/>
  <c r="W78" i="8"/>
  <c r="W123" i="8"/>
  <c r="DM86" i="14"/>
  <c r="DM87" i="14"/>
  <c r="I12" i="5"/>
  <c r="DJ127" i="6"/>
  <c r="DJ144" i="6" s="1"/>
  <c r="DM73" i="8"/>
  <c r="Q332" i="13"/>
  <c r="Q333" i="13" s="1"/>
  <c r="R611" i="12"/>
  <c r="S609" i="12" s="1"/>
  <c r="S611" i="12" s="1"/>
  <c r="CT609" i="12"/>
  <c r="Q62" i="1"/>
  <c r="P64" i="1"/>
  <c r="AO57" i="1"/>
  <c r="AO58" i="1"/>
  <c r="CH24" i="16"/>
  <c r="CB35" i="11"/>
  <c r="CH21" i="16"/>
  <c r="CL21" i="16"/>
  <c r="P20" i="16"/>
  <c r="CU12" i="16"/>
  <c r="CO61" i="14"/>
  <c r="I59" i="14"/>
  <c r="CO60" i="14"/>
  <c r="CO71" i="14"/>
  <c r="CP59" i="14"/>
  <c r="Q34" i="7"/>
  <c r="CL630" i="12"/>
  <c r="Q630" i="12" s="1"/>
  <c r="CL579" i="12"/>
  <c r="CL660" i="12" s="1"/>
  <c r="CA60" i="8"/>
  <c r="CA61" i="8" s="1"/>
  <c r="CA63" i="8" s="1"/>
  <c r="BQ407" i="21"/>
  <c r="BR406" i="21" s="1"/>
  <c r="CA188" i="7"/>
  <c r="CA184" i="7"/>
  <c r="CA174" i="7"/>
  <c r="CA185" i="7"/>
  <c r="W23" i="12"/>
  <c r="W24" i="12" s="1"/>
  <c r="DC12" i="6"/>
  <c r="DG11" i="6"/>
  <c r="CW148" i="22"/>
  <c r="CG442" i="12"/>
  <c r="L78" i="1"/>
  <c r="BY76" i="1"/>
  <c r="L77" i="1"/>
  <c r="L81" i="1"/>
  <c r="L131" i="1"/>
  <c r="CJ232" i="12"/>
  <c r="N79" i="1"/>
  <c r="BR80" i="1"/>
  <c r="M77" i="1"/>
  <c r="BW76" i="1"/>
  <c r="M78" i="1"/>
  <c r="M131" i="1"/>
  <c r="M132" i="1" s="1"/>
  <c r="BI3" i="1"/>
  <c r="BI116" i="1"/>
  <c r="CA51" i="22"/>
  <c r="CA52" i="22" s="1"/>
  <c r="CK56" i="6"/>
  <c r="CA76" i="22"/>
  <c r="CD453" i="21"/>
  <c r="CK17" i="6"/>
  <c r="CN70" i="7"/>
  <c r="CN19" i="17"/>
  <c r="CN143" i="17"/>
  <c r="CM71" i="7"/>
  <c r="CN146" i="17"/>
  <c r="CN41" i="17"/>
  <c r="CK59" i="6"/>
  <c r="CK55" i="6"/>
  <c r="T17" i="11"/>
  <c r="S18" i="6"/>
  <c r="N49" i="22"/>
  <c r="W21" i="12"/>
  <c r="W22" i="12" s="1"/>
  <c r="CH129" i="17"/>
  <c r="CL129" i="17"/>
  <c r="BH18" i="17"/>
  <c r="BL18" i="17"/>
  <c r="DM40" i="14"/>
  <c r="DM39" i="14"/>
  <c r="DL73" i="8"/>
  <c r="DI127" i="6"/>
  <c r="DI144" i="6" s="1"/>
  <c r="W12" i="8"/>
  <c r="CW18" i="11"/>
  <c r="CW107" i="11"/>
  <c r="CW58" i="11"/>
  <c r="CW67" i="11"/>
  <c r="K22" i="20"/>
  <c r="K28" i="20" s="1"/>
  <c r="R613" i="12"/>
  <c r="CS615" i="12"/>
  <c r="N41" i="15"/>
  <c r="N59" i="15" s="1"/>
  <c r="M42" i="15"/>
  <c r="M41" i="15"/>
  <c r="M59" i="15" s="1"/>
  <c r="DG755" i="12"/>
  <c r="BD92" i="1"/>
  <c r="BD94" i="1"/>
  <c r="BT77" i="1"/>
  <c r="BE81" i="1"/>
  <c r="BI77" i="1"/>
  <c r="BE78" i="1"/>
  <c r="BE87" i="1"/>
  <c r="BE77" i="1"/>
  <c r="K54" i="1"/>
  <c r="W133" i="15"/>
  <c r="V135" i="15"/>
  <c r="S63" i="7"/>
  <c r="DC757" i="12"/>
  <c r="CO120" i="17"/>
  <c r="CS119" i="17"/>
  <c r="CO119" i="17"/>
  <c r="G8" i="20"/>
  <c r="G35" i="20"/>
  <c r="CX129" i="17"/>
  <c r="CT129" i="17"/>
  <c r="BF357" i="21"/>
  <c r="BF359" i="21"/>
  <c r="K356" i="21"/>
  <c r="CZ119" i="22"/>
  <c r="W35" i="11"/>
  <c r="W36" i="11" s="1"/>
  <c r="W37" i="11" s="1"/>
  <c r="S85" i="12"/>
  <c r="CJ129" i="17"/>
  <c r="P120" i="17"/>
  <c r="O111" i="17"/>
  <c r="O131" i="17"/>
  <c r="O142" i="17" s="1"/>
  <c r="P109" i="17"/>
  <c r="Q120" i="17"/>
  <c r="Q119" i="17"/>
  <c r="M65" i="22"/>
  <c r="CM697" i="12"/>
  <c r="CM698" i="12" s="1"/>
  <c r="CM702" i="12" s="1"/>
  <c r="CM703" i="12" s="1"/>
  <c r="CM704" i="12" s="1"/>
  <c r="T121" i="8"/>
  <c r="Q550" i="12"/>
  <c r="R119" i="17"/>
  <c r="S119" i="17"/>
  <c r="R120" i="17"/>
  <c r="J66" i="22"/>
  <c r="T135" i="17"/>
  <c r="O66" i="22"/>
  <c r="O70" i="22" s="1"/>
  <c r="T142" i="17"/>
  <c r="U135" i="17"/>
  <c r="T145" i="17"/>
  <c r="T136" i="17"/>
  <c r="T119" i="17"/>
  <c r="T120" i="17"/>
  <c r="P84" i="14"/>
  <c r="CB119" i="22"/>
  <c r="CO178" i="12"/>
  <c r="CO199" i="12"/>
  <c r="CO200" i="12" s="1"/>
  <c r="Q177" i="12"/>
  <c r="CN119" i="22"/>
  <c r="T177" i="12"/>
  <c r="CR119" i="22"/>
  <c r="CU222" i="12"/>
  <c r="CU221" i="12"/>
  <c r="CV105" i="12"/>
  <c r="CV176" i="12"/>
  <c r="CI37" i="22"/>
  <c r="CV104" i="12"/>
  <c r="CV131" i="12"/>
  <c r="CV218" i="12"/>
  <c r="CW103" i="12"/>
  <c r="CV130" i="12"/>
  <c r="CV473" i="12"/>
  <c r="CO119" i="22"/>
  <c r="U177" i="12"/>
  <c r="CG42" i="22"/>
  <c r="CU119" i="22"/>
  <c r="P20" i="12"/>
  <c r="CY119" i="22"/>
  <c r="X289" i="12"/>
  <c r="CM138" i="12"/>
  <c r="DN133" i="13"/>
  <c r="DN88" i="13"/>
  <c r="DA79" i="22"/>
  <c r="DH13" i="11"/>
  <c r="DH67" i="11" s="1"/>
  <c r="DA45" i="22"/>
  <c r="DN76" i="13"/>
  <c r="K28" i="37" s="1"/>
  <c r="DN82" i="13"/>
  <c r="DN85" i="13"/>
  <c r="DK10" i="6"/>
  <c r="DC49" i="22"/>
  <c r="DM18" i="6"/>
  <c r="DQ19" i="6" s="1"/>
  <c r="X11" i="16"/>
  <c r="Y12" i="16" s="1"/>
  <c r="DD30" i="21"/>
  <c r="DK45" i="6"/>
  <c r="DK40" i="6"/>
  <c r="DK53" i="6"/>
  <c r="DN188" i="7"/>
  <c r="DN184" i="7"/>
  <c r="DN174" i="7"/>
  <c r="DN63" i="7"/>
  <c r="DN34" i="7"/>
  <c r="DN77" i="7"/>
  <c r="DN112" i="7"/>
  <c r="X65" i="7"/>
  <c r="DN57" i="17"/>
  <c r="X60" i="7"/>
  <c r="DP78" i="8"/>
  <c r="DA23" i="22"/>
  <c r="DN87" i="14"/>
  <c r="DN86" i="14"/>
  <c r="DB7" i="22"/>
  <c r="DB9" i="22" s="1"/>
  <c r="DB13" i="22" s="1"/>
  <c r="DB22" i="22" s="1"/>
  <c r="DN424" i="12"/>
  <c r="DN394" i="12"/>
  <c r="DN754" i="12"/>
  <c r="H133" i="14" l="1"/>
  <c r="DJ178" i="15"/>
  <c r="CR174" i="15"/>
  <c r="BV215" i="13"/>
  <c r="BV257" i="13" s="1"/>
  <c r="BV118" i="15"/>
  <c r="BV119" i="15" s="1"/>
  <c r="BW90" i="15"/>
  <c r="BV91" i="15"/>
  <c r="BW98" i="15"/>
  <c r="BW101" i="15" s="1"/>
  <c r="L215" i="13"/>
  <c r="L257" i="13" s="1"/>
  <c r="BU257" i="13"/>
  <c r="BV98" i="15"/>
  <c r="BV112" i="15"/>
  <c r="L118" i="15"/>
  <c r="L91" i="15"/>
  <c r="L98" i="15"/>
  <c r="L92" i="15"/>
  <c r="CR175" i="15"/>
  <c r="J78" i="15"/>
  <c r="K65" i="15"/>
  <c r="K76" i="15"/>
  <c r="K77" i="15" s="1"/>
  <c r="CR177" i="15"/>
  <c r="K66" i="15"/>
  <c r="CR176" i="15"/>
  <c r="K111" i="17"/>
  <c r="K112" i="15"/>
  <c r="DP176" i="15"/>
  <c r="DP175" i="15"/>
  <c r="M56" i="14"/>
  <c r="M76" i="15"/>
  <c r="H24" i="22"/>
  <c r="BQ78" i="15"/>
  <c r="BM47" i="15"/>
  <c r="BM46" i="15" s="1"/>
  <c r="BN44" i="15"/>
  <c r="BM43" i="15"/>
  <c r="G81" i="15"/>
  <c r="BL30" i="15"/>
  <c r="BL48" i="15"/>
  <c r="CQ163" i="15"/>
  <c r="BL20" i="15"/>
  <c r="BL18" i="15" s="1"/>
  <c r="BL45" i="15"/>
  <c r="Y132" i="15"/>
  <c r="Z130" i="15"/>
  <c r="Z132" i="15" s="1"/>
  <c r="DC163" i="15"/>
  <c r="DC164" i="15" s="1"/>
  <c r="U51" i="13"/>
  <c r="U34" i="7"/>
  <c r="DG87" i="12"/>
  <c r="DG89" i="12" s="1"/>
  <c r="P72" i="12"/>
  <c r="N23" i="11"/>
  <c r="N27" i="11" s="1"/>
  <c r="N28" i="11" s="1"/>
  <c r="CL56" i="22"/>
  <c r="CY70" i="12"/>
  <c r="F70" i="12"/>
  <c r="K31" i="37"/>
  <c r="K32" i="37" s="1"/>
  <c r="DF135" i="13"/>
  <c r="DL135" i="13"/>
  <c r="J31" i="37"/>
  <c r="J32" i="37" s="1"/>
  <c r="R59" i="8"/>
  <c r="R61" i="8" s="1"/>
  <c r="R63" i="8" s="1"/>
  <c r="E111" i="35"/>
  <c r="DM163" i="15"/>
  <c r="DM164" i="15" s="1"/>
  <c r="V43" i="12"/>
  <c r="V40" i="12"/>
  <c r="R689" i="12"/>
  <c r="CL163" i="12"/>
  <c r="V49" i="12"/>
  <c r="V54" i="12"/>
  <c r="R69" i="12"/>
  <c r="R43" i="12"/>
  <c r="N45" i="11"/>
  <c r="N46" i="11" s="1"/>
  <c r="CL154" i="12"/>
  <c r="Q153" i="12"/>
  <c r="Q155" i="12" s="1"/>
  <c r="L135" i="22" s="1"/>
  <c r="CR337" i="12"/>
  <c r="CL15" i="6"/>
  <c r="V65" i="12"/>
  <c r="V32" i="12"/>
  <c r="V62" i="12"/>
  <c r="CU340" i="12"/>
  <c r="R690" i="12"/>
  <c r="R65" i="12"/>
  <c r="R67" i="12" s="1"/>
  <c r="CL341" i="12"/>
  <c r="CL18" i="11"/>
  <c r="DH66" i="12"/>
  <c r="DI285" i="12"/>
  <c r="CL107" i="8"/>
  <c r="CL115" i="8" s="1"/>
  <c r="CL95" i="8" s="1"/>
  <c r="CL79" i="12"/>
  <c r="CL80" i="12"/>
  <c r="CL81" i="12"/>
  <c r="DY755" i="12"/>
  <c r="DU755" i="12"/>
  <c r="Z54" i="17"/>
  <c r="AA54" i="17" s="1"/>
  <c r="AB54" i="17" s="1"/>
  <c r="AC54" i="17" s="1"/>
  <c r="AD54" i="17" s="1"/>
  <c r="AE54" i="17" s="1"/>
  <c r="AF54" i="17" s="1"/>
  <c r="AG54" i="17" s="1"/>
  <c r="AD60" i="13"/>
  <c r="X124" i="22"/>
  <c r="DL8" i="22"/>
  <c r="DL9" i="22" s="1"/>
  <c r="DL13" i="22" s="1"/>
  <c r="DL22" i="22" s="1"/>
  <c r="CU178" i="12"/>
  <c r="CR342" i="12"/>
  <c r="CM161" i="12"/>
  <c r="R336" i="12"/>
  <c r="DY267" i="12"/>
  <c r="DY265" i="12" s="1"/>
  <c r="DL137" i="22" s="1"/>
  <c r="AB763" i="12"/>
  <c r="AA763" i="12"/>
  <c r="CO72" i="12"/>
  <c r="CO70" i="12"/>
  <c r="J46" i="17"/>
  <c r="J59" i="17" s="1"/>
  <c r="BT55" i="12"/>
  <c r="BU58" i="12"/>
  <c r="BX51" i="22"/>
  <c r="BX52" i="22" s="1"/>
  <c r="CH47" i="6"/>
  <c r="CK41" i="17"/>
  <c r="CH31" i="6"/>
  <c r="CD200" i="12"/>
  <c r="CT323" i="12"/>
  <c r="CN311" i="12"/>
  <c r="CQ145" i="12"/>
  <c r="CK127" i="12"/>
  <c r="CK128" i="12" s="1"/>
  <c r="CQ442" i="12"/>
  <c r="CF122" i="12"/>
  <c r="BR144" i="12"/>
  <c r="BX119" i="22"/>
  <c r="CQ146" i="12"/>
  <c r="BS145" i="12"/>
  <c r="P440" i="12"/>
  <c r="P441" i="12" s="1"/>
  <c r="P205" i="12"/>
  <c r="CG441" i="12"/>
  <c r="P165" i="12"/>
  <c r="CT316" i="12"/>
  <c r="P322" i="12"/>
  <c r="P106" i="12"/>
  <c r="BY144" i="12"/>
  <c r="P155" i="12"/>
  <c r="K135" i="22" s="1"/>
  <c r="CU223" i="12"/>
  <c r="CF39" i="22"/>
  <c r="CF40" i="22" s="1"/>
  <c r="CN310" i="12"/>
  <c r="CS337" i="12"/>
  <c r="CU322" i="12"/>
  <c r="CU323" i="12" s="1"/>
  <c r="BF441" i="12"/>
  <c r="CQ317" i="12"/>
  <c r="CR310" i="12"/>
  <c r="CP317" i="12"/>
  <c r="CU50" i="17"/>
  <c r="CU57" i="12"/>
  <c r="CU53" i="17"/>
  <c r="R107" i="8"/>
  <c r="R163" i="6" s="1"/>
  <c r="R80" i="12"/>
  <c r="DR85" i="12"/>
  <c r="DS85" i="12" s="1"/>
  <c r="CY34" i="16"/>
  <c r="Q63" i="12"/>
  <c r="CE122" i="12"/>
  <c r="BR145" i="12"/>
  <c r="BR165" i="12"/>
  <c r="BV144" i="12"/>
  <c r="AA257" i="12"/>
  <c r="AB257" i="12" s="1"/>
  <c r="AC257" i="12" s="1"/>
  <c r="AC358" i="12" s="1"/>
  <c r="AD763" i="12"/>
  <c r="CU312" i="12"/>
  <c r="CU313" i="12" s="1"/>
  <c r="CU132" i="12"/>
  <c r="CU133" i="12" s="1"/>
  <c r="BY63" i="11"/>
  <c r="BY64" i="11" s="1"/>
  <c r="W304" i="12"/>
  <c r="W305" i="12" s="1"/>
  <c r="CT317" i="12"/>
  <c r="Q62" i="12"/>
  <c r="DG66" i="12"/>
  <c r="Q14" i="6"/>
  <c r="Q15" i="6" s="1"/>
  <c r="CP282" i="12"/>
  <c r="CS262" i="12"/>
  <c r="DE87" i="12"/>
  <c r="O39" i="12"/>
  <c r="K56" i="22"/>
  <c r="R135" i="12"/>
  <c r="R446" i="12" s="1"/>
  <c r="CV177" i="15"/>
  <c r="BR440" i="12"/>
  <c r="BS442" i="12" s="1"/>
  <c r="CS136" i="12"/>
  <c r="Q322" i="12"/>
  <c r="CL35" i="6"/>
  <c r="CL71" i="6" s="1"/>
  <c r="DR416" i="12"/>
  <c r="DR426" i="12" s="1"/>
  <c r="DR427" i="12" s="1"/>
  <c r="DT416" i="12"/>
  <c r="DT426" i="12" s="1"/>
  <c r="DT427" i="12" s="1"/>
  <c r="DS416" i="12"/>
  <c r="DS426" i="12" s="1"/>
  <c r="DS427" i="12" s="1"/>
  <c r="Z85" i="12"/>
  <c r="DN417" i="12"/>
  <c r="CK50" i="6"/>
  <c r="W25" i="12"/>
  <c r="AD30" i="37" s="1"/>
  <c r="R32" i="12"/>
  <c r="U755" i="12"/>
  <c r="U757" i="12" s="1"/>
  <c r="CL283" i="12"/>
  <c r="T321" i="12"/>
  <c r="S32" i="12"/>
  <c r="U339" i="12"/>
  <c r="T137" i="12"/>
  <c r="R40" i="12"/>
  <c r="R49" i="12"/>
  <c r="BR146" i="12"/>
  <c r="U308" i="12"/>
  <c r="R341" i="12"/>
  <c r="L143" i="12"/>
  <c r="M144" i="12" s="1"/>
  <c r="CJ71" i="7"/>
  <c r="CL30" i="6"/>
  <c r="CL59" i="6" s="1"/>
  <c r="CB61" i="22" s="1"/>
  <c r="DR174" i="15"/>
  <c r="K96" i="22"/>
  <c r="Q309" i="12"/>
  <c r="R310" i="12" s="1"/>
  <c r="Q312" i="12"/>
  <c r="Q106" i="12"/>
  <c r="Z137" i="12"/>
  <c r="DY289" i="12"/>
  <c r="Q316" i="12"/>
  <c r="CC144" i="12"/>
  <c r="BZ146" i="12"/>
  <c r="I165" i="12"/>
  <c r="BY145" i="12"/>
  <c r="BZ145" i="12"/>
  <c r="BY146" i="12"/>
  <c r="BY440" i="12"/>
  <c r="CC441" i="12" s="1"/>
  <c r="M164" i="12"/>
  <c r="H96" i="12"/>
  <c r="BE92" i="12"/>
  <c r="BE96" i="12" s="1"/>
  <c r="CD66" i="12"/>
  <c r="G66" i="12"/>
  <c r="AC763" i="12"/>
  <c r="AC765" i="12"/>
  <c r="AC767" i="12" s="1"/>
  <c r="DQ753" i="12"/>
  <c r="DW753" i="12"/>
  <c r="DS753" i="12"/>
  <c r="DK757" i="12"/>
  <c r="Z750" i="12"/>
  <c r="Z752" i="12" s="1"/>
  <c r="Z754" i="12" s="1"/>
  <c r="Z755" i="12" s="1"/>
  <c r="Z757" i="12" s="1"/>
  <c r="DM754" i="12"/>
  <c r="DX753" i="12"/>
  <c r="DT753" i="12"/>
  <c r="Y740" i="12"/>
  <c r="Y742" i="12" s="1"/>
  <c r="Y743" i="12" s="1"/>
  <c r="Z741" i="12"/>
  <c r="Z740" i="12" s="1"/>
  <c r="Z742" i="12" s="1"/>
  <c r="Z743" i="12" s="1"/>
  <c r="Z691" i="12"/>
  <c r="AA691" i="12" s="1"/>
  <c r="AB691" i="12" s="1"/>
  <c r="AC691" i="12" s="1"/>
  <c r="AD691" i="12" s="1"/>
  <c r="AE691" i="12" s="1"/>
  <c r="AF691" i="12" s="1"/>
  <c r="AG691" i="12" s="1"/>
  <c r="DR753" i="12"/>
  <c r="AF761" i="12"/>
  <c r="AE762" i="12"/>
  <c r="AE763" i="12" s="1"/>
  <c r="AE754" i="12"/>
  <c r="AE755" i="12" s="1"/>
  <c r="AE757" i="12" s="1"/>
  <c r="AD755" i="12"/>
  <c r="AD757" i="12" s="1"/>
  <c r="AG751" i="12"/>
  <c r="AG752" i="12" s="1"/>
  <c r="AG754" i="12" s="1"/>
  <c r="AF752" i="12"/>
  <c r="AE753" i="12"/>
  <c r="AC83" i="12"/>
  <c r="AD83" i="12" s="1"/>
  <c r="AE83" i="12" s="1"/>
  <c r="AF83" i="12" s="1"/>
  <c r="AG83" i="12" s="1"/>
  <c r="AB113" i="8"/>
  <c r="AD764" i="12"/>
  <c r="AE724" i="12"/>
  <c r="AD725" i="12"/>
  <c r="DY347" i="12"/>
  <c r="CU29" i="17"/>
  <c r="CR51" i="6"/>
  <c r="CU45" i="17"/>
  <c r="CV30" i="17"/>
  <c r="CU34" i="17"/>
  <c r="CV36" i="17" s="1"/>
  <c r="CV28" i="17"/>
  <c r="Y109" i="6"/>
  <c r="Y110" i="6" s="1"/>
  <c r="Z109" i="6"/>
  <c r="DV74" i="8"/>
  <c r="DT67" i="6"/>
  <c r="DV89" i="8"/>
  <c r="DV75" i="8"/>
  <c r="DT84" i="6"/>
  <c r="CI70" i="7"/>
  <c r="AA59" i="13"/>
  <c r="AB59" i="13" s="1"/>
  <c r="W123" i="22" s="1"/>
  <c r="DJ176" i="15"/>
  <c r="DR178" i="15"/>
  <c r="DE174" i="15"/>
  <c r="DJ175" i="15"/>
  <c r="DO176" i="15"/>
  <c r="DL171" i="15"/>
  <c r="DL175" i="15" s="1"/>
  <c r="H40" i="14"/>
  <c r="N135" i="14"/>
  <c r="DT42" i="14"/>
  <c r="DU42" i="14" s="1"/>
  <c r="CA95" i="12"/>
  <c r="P71" i="12"/>
  <c r="H69" i="12"/>
  <c r="H72" i="12" s="1"/>
  <c r="CE95" i="12"/>
  <c r="CA537" i="12"/>
  <c r="CA547" i="12" s="1"/>
  <c r="CA568" i="12" s="1"/>
  <c r="CA96" i="12"/>
  <c r="P68" i="11"/>
  <c r="P77" i="11" s="1"/>
  <c r="CA90" i="12"/>
  <c r="CM38" i="16"/>
  <c r="CE537" i="12"/>
  <c r="CE94" i="12"/>
  <c r="CE67" i="12"/>
  <c r="BY92" i="12"/>
  <c r="DX58" i="12"/>
  <c r="M61" i="12"/>
  <c r="H66" i="12"/>
  <c r="H95" i="12"/>
  <c r="CH135" i="12"/>
  <c r="CH136" i="12" s="1"/>
  <c r="CP136" i="12"/>
  <c r="CL143" i="12"/>
  <c r="CL145" i="12" s="1"/>
  <c r="CL446" i="12"/>
  <c r="U14" i="11"/>
  <c r="CS45" i="11"/>
  <c r="CS46" i="11" s="1"/>
  <c r="CK41" i="6"/>
  <c r="CK86" i="6"/>
  <c r="W126" i="17"/>
  <c r="DO177" i="15"/>
  <c r="BR82" i="15"/>
  <c r="BQ81" i="15"/>
  <c r="DO174" i="15"/>
  <c r="DG164" i="15"/>
  <c r="DN163" i="15"/>
  <c r="DO164" i="15" s="1"/>
  <c r="DJ174" i="15"/>
  <c r="DO175" i="15"/>
  <c r="O39" i="15"/>
  <c r="I133" i="14"/>
  <c r="BH82" i="15"/>
  <c r="DE177" i="15"/>
  <c r="DE175" i="15"/>
  <c r="CY163" i="15"/>
  <c r="CZ164" i="15" s="1"/>
  <c r="CV163" i="15"/>
  <c r="CV164" i="15" s="1"/>
  <c r="I40" i="14"/>
  <c r="J133" i="14"/>
  <c r="DR177" i="15"/>
  <c r="DE178" i="15"/>
  <c r="CH57" i="14"/>
  <c r="BI82" i="15"/>
  <c r="CG78" i="15"/>
  <c r="CF77" i="15"/>
  <c r="CJ77" i="15"/>
  <c r="P42" i="15"/>
  <c r="J57" i="14"/>
  <c r="J56" i="14"/>
  <c r="CV175" i="15"/>
  <c r="O37" i="13"/>
  <c r="CG41" i="13"/>
  <c r="CV174" i="15"/>
  <c r="I56" i="14"/>
  <c r="CV178" i="15"/>
  <c r="DR175" i="15"/>
  <c r="BV76" i="22"/>
  <c r="CF33" i="6"/>
  <c r="CF47" i="6"/>
  <c r="CI41" i="17"/>
  <c r="CF17" i="6"/>
  <c r="T21" i="16"/>
  <c r="P58" i="11"/>
  <c r="CL107" i="11"/>
  <c r="K80" i="22"/>
  <c r="CW35" i="6"/>
  <c r="CW63" i="6" s="1"/>
  <c r="DE45" i="11"/>
  <c r="DE46" i="11" s="1"/>
  <c r="CZ15" i="6"/>
  <c r="T302" i="12"/>
  <c r="S321" i="12"/>
  <c r="S334" i="12"/>
  <c r="S315" i="12"/>
  <c r="R307" i="12"/>
  <c r="S248" i="12"/>
  <c r="CN342" i="12"/>
  <c r="CH341" i="12"/>
  <c r="CL342" i="12" s="1"/>
  <c r="CW30" i="6"/>
  <c r="CX33" i="6" s="1"/>
  <c r="CT163" i="15"/>
  <c r="CM18" i="11"/>
  <c r="CM19" i="11" s="1"/>
  <c r="CG33" i="6"/>
  <c r="CF69" i="6"/>
  <c r="CF55" i="6"/>
  <c r="CF50" i="6"/>
  <c r="CI146" i="17"/>
  <c r="BY453" i="21"/>
  <c r="CH71" i="7"/>
  <c r="DE66" i="12"/>
  <c r="CS67" i="12"/>
  <c r="BZ87" i="12"/>
  <c r="BZ90" i="12" s="1"/>
  <c r="I67" i="12"/>
  <c r="S14" i="11"/>
  <c r="I66" i="12"/>
  <c r="CF59" i="6"/>
  <c r="CI88" i="7" s="1"/>
  <c r="CF41" i="6"/>
  <c r="CI19" i="17"/>
  <c r="CF75" i="6"/>
  <c r="CF31" i="6"/>
  <c r="CF44" i="6"/>
  <c r="BG70" i="12"/>
  <c r="DI66" i="12"/>
  <c r="CS87" i="12"/>
  <c r="CS89" i="12" s="1"/>
  <c r="CS92" i="12" s="1"/>
  <c r="BZ67" i="12"/>
  <c r="I69" i="12"/>
  <c r="I71" i="12" s="1"/>
  <c r="BG72" i="12"/>
  <c r="CU50" i="22"/>
  <c r="CC19" i="11"/>
  <c r="CG32" i="6"/>
  <c r="CI143" i="17"/>
  <c r="BV51" i="22"/>
  <c r="BV52" i="22" s="1"/>
  <c r="CF56" i="6"/>
  <c r="CI109" i="7" s="1"/>
  <c r="CF86" i="6"/>
  <c r="CF32" i="6"/>
  <c r="CF71" i="6"/>
  <c r="R14" i="11"/>
  <c r="DH80" i="12"/>
  <c r="E17" i="37"/>
  <c r="E18" i="37" s="1"/>
  <c r="DH107" i="8"/>
  <c r="DH81" i="12"/>
  <c r="CU56" i="22"/>
  <c r="DH72" i="12"/>
  <c r="DH71" i="12"/>
  <c r="DO248" i="12"/>
  <c r="DO281" i="12"/>
  <c r="DS22" i="12"/>
  <c r="T35" i="8"/>
  <c r="U18" i="8"/>
  <c r="T59" i="8"/>
  <c r="T61" i="8" s="1"/>
  <c r="T63" i="8" s="1"/>
  <c r="T65" i="8"/>
  <c r="T71" i="8" s="1"/>
  <c r="Q65" i="8"/>
  <c r="Q59" i="8"/>
  <c r="Q61" i="8" s="1"/>
  <c r="Q63" i="8" s="1"/>
  <c r="CW185" i="7"/>
  <c r="CU174" i="7"/>
  <c r="CU184" i="7"/>
  <c r="CU188" i="7"/>
  <c r="CW174" i="7"/>
  <c r="CW188" i="7"/>
  <c r="CW184" i="7"/>
  <c r="CV188" i="7"/>
  <c r="CV185" i="7"/>
  <c r="CV174" i="7"/>
  <c r="CV184" i="7"/>
  <c r="T63" i="7"/>
  <c r="CP35" i="6"/>
  <c r="CP41" i="6" s="1"/>
  <c r="CH32" i="6"/>
  <c r="CA453" i="21"/>
  <c r="CH59" i="6"/>
  <c r="CH60" i="6" s="1"/>
  <c r="CE19" i="11"/>
  <c r="CH86" i="6"/>
  <c r="CK70" i="7"/>
  <c r="CI35" i="6"/>
  <c r="CI75" i="6" s="1"/>
  <c r="DD35" i="6"/>
  <c r="DD71" i="6" s="1"/>
  <c r="CH17" i="6"/>
  <c r="CH71" i="6"/>
  <c r="CK146" i="17"/>
  <c r="CK19" i="17"/>
  <c r="CH75" i="6"/>
  <c r="CH50" i="6"/>
  <c r="CH33" i="6"/>
  <c r="BX76" i="22"/>
  <c r="CH55" i="6"/>
  <c r="CH44" i="6"/>
  <c r="CH13" i="6"/>
  <c r="CH56" i="6"/>
  <c r="CH57" i="6" s="1"/>
  <c r="CK143" i="17"/>
  <c r="BR34" i="22"/>
  <c r="CE90" i="14"/>
  <c r="CE91" i="14"/>
  <c r="CF88" i="14"/>
  <c r="CD142" i="14"/>
  <c r="BQ33" i="22"/>
  <c r="S65" i="12"/>
  <c r="S67" i="12" s="1"/>
  <c r="CF87" i="12"/>
  <c r="CF89" i="12" s="1"/>
  <c r="O89" i="12" s="1"/>
  <c r="P56" i="22"/>
  <c r="S62" i="12"/>
  <c r="T123" i="8"/>
  <c r="T120" i="6"/>
  <c r="BZ50" i="22"/>
  <c r="G142" i="17"/>
  <c r="CW51" i="13"/>
  <c r="DD34" i="16"/>
  <c r="CH442" i="12"/>
  <c r="CI442" i="12"/>
  <c r="U80" i="12"/>
  <c r="Q281" i="12"/>
  <c r="Q284" i="12" s="1"/>
  <c r="CN284" i="12"/>
  <c r="R344" i="12"/>
  <c r="R345" i="12" s="1"/>
  <c r="DN138" i="12"/>
  <c r="DR138" i="12"/>
  <c r="R18" i="5"/>
  <c r="Q19" i="5"/>
  <c r="AB765" i="12"/>
  <c r="AB767" i="12" s="1"/>
  <c r="R43" i="35"/>
  <c r="Q44" i="35"/>
  <c r="S44" i="35"/>
  <c r="S43" i="35"/>
  <c r="R44" i="35"/>
  <c r="R46" i="35" s="1"/>
  <c r="R47" i="35" s="1"/>
  <c r="P43" i="35"/>
  <c r="Q43" i="35"/>
  <c r="P44" i="35"/>
  <c r="T44" i="35"/>
  <c r="T43" i="35"/>
  <c r="R79" i="35"/>
  <c r="Q80" i="35"/>
  <c r="P89" i="35"/>
  <c r="T89" i="35"/>
  <c r="P79" i="35"/>
  <c r="R89" i="35"/>
  <c r="S79" i="35"/>
  <c r="R80" i="35"/>
  <c r="Q89" i="35"/>
  <c r="T79" i="35"/>
  <c r="Q79" i="35"/>
  <c r="P80" i="35"/>
  <c r="T80" i="35"/>
  <c r="S89" i="35"/>
  <c r="S80" i="35"/>
  <c r="P61" i="35"/>
  <c r="T61" i="35"/>
  <c r="S62" i="35"/>
  <c r="Q61" i="35"/>
  <c r="P62" i="35"/>
  <c r="T62" i="35"/>
  <c r="Q62" i="35"/>
  <c r="S61" i="35"/>
  <c r="S64" i="35" s="1"/>
  <c r="S65" i="35" s="1"/>
  <c r="R62" i="35"/>
  <c r="R61" i="35"/>
  <c r="S79" i="12"/>
  <c r="AA116" i="13"/>
  <c r="U23" i="20"/>
  <c r="V13" i="20"/>
  <c r="V8" i="20"/>
  <c r="W7" i="20"/>
  <c r="V23" i="19"/>
  <c r="W13" i="19"/>
  <c r="U8" i="19"/>
  <c r="V7" i="19"/>
  <c r="DE60" i="17"/>
  <c r="DD76" i="8"/>
  <c r="DD79" i="8" s="1"/>
  <c r="DD35" i="8"/>
  <c r="O44" i="35"/>
  <c r="O43" i="35"/>
  <c r="CQ557" i="12"/>
  <c r="CQ568" i="12" s="1"/>
  <c r="CQ696" i="12"/>
  <c r="CQ697" i="12" s="1"/>
  <c r="CQ698" i="12" s="1"/>
  <c r="CQ702" i="12" s="1"/>
  <c r="CQ703" i="12" s="1"/>
  <c r="CQ704" i="12" s="1"/>
  <c r="CR550" i="12"/>
  <c r="T66" i="8"/>
  <c r="T69" i="8" s="1"/>
  <c r="O80" i="35"/>
  <c r="O79" i="35"/>
  <c r="O89" i="35"/>
  <c r="O62" i="35"/>
  <c r="O61" i="35"/>
  <c r="DH163" i="15"/>
  <c r="DH164" i="15" s="1"/>
  <c r="CW163" i="15"/>
  <c r="CU178" i="15"/>
  <c r="CU176" i="15"/>
  <c r="O42" i="15"/>
  <c r="P37" i="15"/>
  <c r="P38" i="15"/>
  <c r="O51" i="15"/>
  <c r="O76" i="15"/>
  <c r="Y136" i="15"/>
  <c r="X138" i="15"/>
  <c r="J82" i="15"/>
  <c r="K81" i="15"/>
  <c r="K82" i="15"/>
  <c r="K96" i="15"/>
  <c r="CJ50" i="22"/>
  <c r="AI59" i="13"/>
  <c r="CS15" i="6"/>
  <c r="U61" i="12"/>
  <c r="CM571" i="12"/>
  <c r="U72" i="12"/>
  <c r="CM50" i="22"/>
  <c r="CQ57" i="12"/>
  <c r="CV340" i="12"/>
  <c r="CO16" i="6"/>
  <c r="O110" i="17"/>
  <c r="CT337" i="12"/>
  <c r="DC340" i="12"/>
  <c r="CQ53" i="17"/>
  <c r="CI50" i="22"/>
  <c r="T63" i="12"/>
  <c r="CZ87" i="12"/>
  <c r="CZ67" i="12"/>
  <c r="CZ66" i="12"/>
  <c r="DA15" i="6"/>
  <c r="DE15" i="6"/>
  <c r="DN175" i="15"/>
  <c r="W127" i="12"/>
  <c r="W128" i="12" s="1"/>
  <c r="R68" i="11"/>
  <c r="R77" i="11" s="1"/>
  <c r="U107" i="8"/>
  <c r="U163" i="6" s="1"/>
  <c r="DA16" i="6"/>
  <c r="CE50" i="22"/>
  <c r="CN446" i="12"/>
  <c r="CN262" i="12"/>
  <c r="CN143" i="12"/>
  <c r="CN146" i="12" s="1"/>
  <c r="DD67" i="12"/>
  <c r="DD66" i="12"/>
  <c r="DD87" i="12"/>
  <c r="U62" i="12"/>
  <c r="U63" i="12"/>
  <c r="V61" i="12"/>
  <c r="U65" i="12"/>
  <c r="U67" i="12" s="1"/>
  <c r="CQ309" i="12"/>
  <c r="CQ341" i="12"/>
  <c r="CQ342" i="12" s="1"/>
  <c r="CR71" i="12"/>
  <c r="CE56" i="22"/>
  <c r="CR72" i="12"/>
  <c r="CR70" i="12"/>
  <c r="DH171" i="15"/>
  <c r="DH177" i="15" s="1"/>
  <c r="U81" i="12"/>
  <c r="CL50" i="22"/>
  <c r="AA750" i="12"/>
  <c r="AA752" i="12" s="1"/>
  <c r="AB750" i="12"/>
  <c r="AB752" i="12" s="1"/>
  <c r="DH340" i="12"/>
  <c r="DD340" i="12"/>
  <c r="CZ80" i="12"/>
  <c r="CZ81" i="12"/>
  <c r="CZ79" i="12"/>
  <c r="CZ107" i="8"/>
  <c r="CQ56" i="22"/>
  <c r="DD72" i="12"/>
  <c r="DD71" i="12"/>
  <c r="DH70" i="12"/>
  <c r="DD70" i="12"/>
  <c r="CR67" i="12"/>
  <c r="CR66" i="12"/>
  <c r="CR87" i="12"/>
  <c r="CV70" i="12"/>
  <c r="CI56" i="22"/>
  <c r="CV72" i="12"/>
  <c r="CV71" i="12"/>
  <c r="CV79" i="12"/>
  <c r="CV80" i="12"/>
  <c r="CV81" i="12"/>
  <c r="CV107" i="8"/>
  <c r="DD81" i="12"/>
  <c r="DD107" i="8"/>
  <c r="DD80" i="12"/>
  <c r="DH79" i="12"/>
  <c r="DD79" i="12"/>
  <c r="CO446" i="12"/>
  <c r="CO143" i="12"/>
  <c r="CO262" i="12"/>
  <c r="CP146" i="12"/>
  <c r="CV67" i="12"/>
  <c r="CV66" i="12"/>
  <c r="CV87" i="12"/>
  <c r="CV89" i="12" s="1"/>
  <c r="CV92" i="12" s="1"/>
  <c r="CV537" i="12" s="1"/>
  <c r="CV547" i="12" s="1"/>
  <c r="CW15" i="6"/>
  <c r="CW16" i="6"/>
  <c r="CM56" i="22"/>
  <c r="CZ71" i="12"/>
  <c r="CZ72" i="12"/>
  <c r="CZ70" i="12"/>
  <c r="CR81" i="12"/>
  <c r="CR107" i="8"/>
  <c r="CR115" i="8" s="1"/>
  <c r="CR95" i="8" s="1"/>
  <c r="CR79" i="12"/>
  <c r="CR80" i="12"/>
  <c r="DA59" i="8"/>
  <c r="BX239" i="13"/>
  <c r="BX241" i="13" s="1"/>
  <c r="BX243" i="13" s="1"/>
  <c r="BX245" i="13" s="1"/>
  <c r="BX248" i="13" s="1"/>
  <c r="BX250" i="13" s="1"/>
  <c r="CK44" i="6"/>
  <c r="CK69" i="6"/>
  <c r="CK75" i="6"/>
  <c r="CK13" i="6"/>
  <c r="CK71" i="6"/>
  <c r="DC11" i="6"/>
  <c r="CK63" i="6"/>
  <c r="CG63" i="6" s="1"/>
  <c r="R81" i="12"/>
  <c r="CW66" i="12"/>
  <c r="CD537" i="12"/>
  <c r="CD95" i="12"/>
  <c r="R59" i="11"/>
  <c r="DL25" i="16"/>
  <c r="CD94" i="12"/>
  <c r="CN51" i="6"/>
  <c r="CQ29" i="17"/>
  <c r="CS27" i="17"/>
  <c r="T24" i="16"/>
  <c r="T41" i="16" s="1"/>
  <c r="DB44" i="11"/>
  <c r="DB62" i="11" s="1"/>
  <c r="BK70" i="12"/>
  <c r="CQ30" i="17"/>
  <c r="CQ28" i="17"/>
  <c r="CQ50" i="17"/>
  <c r="CU27" i="17"/>
  <c r="DA25" i="16"/>
  <c r="CS34" i="17"/>
  <c r="CS35" i="17" s="1"/>
  <c r="CY28" i="17"/>
  <c r="CQ36" i="17"/>
  <c r="CQ45" i="17"/>
  <c r="CQ58" i="17"/>
  <c r="CY50" i="17"/>
  <c r="J65" i="12"/>
  <c r="J61" i="12"/>
  <c r="J62" i="12"/>
  <c r="J63" i="12"/>
  <c r="CD34" i="16"/>
  <c r="CS29" i="17"/>
  <c r="CS58" i="17"/>
  <c r="DH30" i="16"/>
  <c r="DH33" i="16" s="1"/>
  <c r="DL34" i="16" s="1"/>
  <c r="CV38" i="16"/>
  <c r="CP51" i="6"/>
  <c r="CS57" i="12"/>
  <c r="DH25" i="16"/>
  <c r="DH41" i="16"/>
  <c r="CR38" i="16"/>
  <c r="CY45" i="11"/>
  <c r="CY46" i="11" s="1"/>
  <c r="CS50" i="17"/>
  <c r="CS53" i="17"/>
  <c r="CT30" i="17"/>
  <c r="CG62" i="11"/>
  <c r="CG71" i="11" s="1"/>
  <c r="CX38" i="16"/>
  <c r="CY171" i="15"/>
  <c r="CY177" i="15" s="1"/>
  <c r="CE144" i="14"/>
  <c r="CF143" i="14"/>
  <c r="F146" i="14"/>
  <c r="F153" i="14"/>
  <c r="F154" i="14" s="1"/>
  <c r="BJ228" i="21"/>
  <c r="BT49" i="15" s="1"/>
  <c r="BS49" i="15"/>
  <c r="M66" i="22"/>
  <c r="M70" i="22" s="1"/>
  <c r="R136" i="17"/>
  <c r="S135" i="17"/>
  <c r="CL164" i="12"/>
  <c r="CP164" i="12"/>
  <c r="BR51" i="15"/>
  <c r="BR43" i="15"/>
  <c r="BR46" i="15"/>
  <c r="BR40" i="15"/>
  <c r="BR50" i="15"/>
  <c r="K40" i="15"/>
  <c r="BQ42" i="15"/>
  <c r="BQ41" i="15"/>
  <c r="BQ59" i="15" s="1"/>
  <c r="Q163" i="12"/>
  <c r="Q166" i="12" s="1"/>
  <c r="L41" i="22" s="1"/>
  <c r="BY79" i="6"/>
  <c r="CB110" i="7" s="1"/>
  <c r="BY77" i="6"/>
  <c r="BY88" i="6"/>
  <c r="CB66" i="8"/>
  <c r="CB69" i="8" s="1"/>
  <c r="CB71" i="8"/>
  <c r="S72" i="7"/>
  <c r="S73" i="7"/>
  <c r="S74" i="7"/>
  <c r="K50" i="15"/>
  <c r="K51" i="15"/>
  <c r="L50" i="15"/>
  <c r="R142" i="17"/>
  <c r="E112" i="35" s="1"/>
  <c r="E113" i="35" s="1"/>
  <c r="R302" i="12"/>
  <c r="CR45" i="17"/>
  <c r="CZ35" i="17"/>
  <c r="DK54" i="6"/>
  <c r="DO54" i="6"/>
  <c r="CR34" i="17"/>
  <c r="CV35" i="17" s="1"/>
  <c r="H17" i="37"/>
  <c r="H18" i="37" s="1"/>
  <c r="CS171" i="15"/>
  <c r="CS178" i="15" s="1"/>
  <c r="DK46" i="6"/>
  <c r="DO46" i="6"/>
  <c r="CW171" i="15"/>
  <c r="CW174" i="15" s="1"/>
  <c r="DJ79" i="12"/>
  <c r="CX35" i="6"/>
  <c r="CX13" i="6" s="1"/>
  <c r="CY30" i="17"/>
  <c r="CR62" i="11"/>
  <c r="CR71" i="11" s="1"/>
  <c r="CK59" i="22" s="1"/>
  <c r="CY27" i="17"/>
  <c r="CY45" i="17"/>
  <c r="CE129" i="13"/>
  <c r="CV50" i="22"/>
  <c r="CZ28" i="17"/>
  <c r="CY53" i="17"/>
  <c r="CY57" i="12"/>
  <c r="CE128" i="13"/>
  <c r="T26" i="17"/>
  <c r="T58" i="17" s="1"/>
  <c r="CZ30" i="17"/>
  <c r="DB29" i="17"/>
  <c r="CY34" i="17"/>
  <c r="P131" i="13"/>
  <c r="CX50" i="22"/>
  <c r="P135" i="13"/>
  <c r="DI12" i="6"/>
  <c r="K55" i="22"/>
  <c r="DL51" i="13"/>
  <c r="DH51" i="13"/>
  <c r="Q340" i="13"/>
  <c r="DR135" i="13"/>
  <c r="H31" i="37"/>
  <c r="H32" i="37" s="1"/>
  <c r="DA135" i="13"/>
  <c r="G6" i="37"/>
  <c r="G11" i="37" s="1"/>
  <c r="DC13" i="6"/>
  <c r="CZ13" i="6"/>
  <c r="DF72" i="22"/>
  <c r="DE29" i="22"/>
  <c r="I57" i="12"/>
  <c r="DF26" i="17"/>
  <c r="DF58" i="17" s="1"/>
  <c r="DD34" i="17"/>
  <c r="DD35" i="17" s="1"/>
  <c r="T61" i="12"/>
  <c r="DQ174" i="15"/>
  <c r="DQ177" i="15"/>
  <c r="DQ176" i="15"/>
  <c r="DQ178" i="15"/>
  <c r="DQ175" i="15"/>
  <c r="CU51" i="13"/>
  <c r="CQ51" i="13"/>
  <c r="CX311" i="21"/>
  <c r="CX301" i="21" s="1"/>
  <c r="CY310" i="21"/>
  <c r="K56" i="14"/>
  <c r="K57" i="14"/>
  <c r="CW135" i="13"/>
  <c r="L132" i="1"/>
  <c r="K99" i="15"/>
  <c r="CT30" i="6"/>
  <c r="CT59" i="6" s="1"/>
  <c r="DN80" i="6"/>
  <c r="CK65" i="8"/>
  <c r="CK59" i="8"/>
  <c r="CK35" i="8"/>
  <c r="Y85" i="12"/>
  <c r="BW405" i="21"/>
  <c r="CG34" i="8"/>
  <c r="DA30" i="16"/>
  <c r="DA33" i="16" s="1"/>
  <c r="DA34" i="16" s="1"/>
  <c r="DA41" i="16"/>
  <c r="DA37" i="16"/>
  <c r="DA38" i="16" s="1"/>
  <c r="CU44" i="11"/>
  <c r="T44" i="11" s="1"/>
  <c r="T45" i="11" s="1"/>
  <c r="T46" i="11" s="1"/>
  <c r="R63" i="12"/>
  <c r="R61" i="12"/>
  <c r="S61" i="12"/>
  <c r="R62" i="12"/>
  <c r="CO59" i="8"/>
  <c r="CO58" i="8"/>
  <c r="DQ416" i="12"/>
  <c r="DQ426" i="12" s="1"/>
  <c r="DQ427" i="12" s="1"/>
  <c r="DA71" i="8"/>
  <c r="DA66" i="8"/>
  <c r="DA69" i="8" s="1"/>
  <c r="M44" i="15"/>
  <c r="BZ44" i="15"/>
  <c r="BY47" i="15"/>
  <c r="BY43" i="15"/>
  <c r="BY20" i="15" s="1"/>
  <c r="DQ44" i="8"/>
  <c r="DQ59" i="8" s="1"/>
  <c r="DG405" i="21"/>
  <c r="BW48" i="15"/>
  <c r="BW45" i="15" s="1"/>
  <c r="BW30" i="15"/>
  <c r="CC71" i="8"/>
  <c r="CC66" i="8"/>
  <c r="CC69" i="8" s="1"/>
  <c r="DO314" i="12"/>
  <c r="DO298" i="12"/>
  <c r="DS299" i="12" s="1"/>
  <c r="DO22" i="12"/>
  <c r="BV281" i="13"/>
  <c r="BV286" i="13" s="1"/>
  <c r="M94" i="1"/>
  <c r="M128" i="1"/>
  <c r="BW87" i="1"/>
  <c r="M89" i="1"/>
  <c r="M91" i="1"/>
  <c r="BW91" i="1" s="1"/>
  <c r="M168" i="1"/>
  <c r="M171" i="1" s="1"/>
  <c r="M174" i="1" s="1"/>
  <c r="CT11" i="6"/>
  <c r="N76" i="13"/>
  <c r="CT35" i="6"/>
  <c r="CT56" i="6" s="1"/>
  <c r="DD163" i="15"/>
  <c r="T28" i="37"/>
  <c r="CA108" i="7"/>
  <c r="CZ71" i="8"/>
  <c r="CZ66" i="8"/>
  <c r="CZ69" i="8" s="1"/>
  <c r="CY51" i="13"/>
  <c r="DC51" i="13"/>
  <c r="CO35" i="8"/>
  <c r="CO65" i="8"/>
  <c r="CN701" i="12"/>
  <c r="CN71" i="8"/>
  <c r="CN66" i="8"/>
  <c r="CN69" i="8" s="1"/>
  <c r="L57" i="14"/>
  <c r="L56" i="14"/>
  <c r="N77" i="8"/>
  <c r="N79" i="8" s="1"/>
  <c r="N44" i="8"/>
  <c r="N59" i="8" s="1"/>
  <c r="N61" i="8" s="1"/>
  <c r="N63" i="8" s="1"/>
  <c r="CS701" i="12"/>
  <c r="CS71" i="8"/>
  <c r="CS66" i="8"/>
  <c r="CS69" i="8" s="1"/>
  <c r="DO304" i="12"/>
  <c r="DS305" i="12" s="1"/>
  <c r="DO25" i="12"/>
  <c r="L13" i="37" s="1"/>
  <c r="DO24" i="12"/>
  <c r="J96" i="15"/>
  <c r="J100" i="15"/>
  <c r="R129" i="17"/>
  <c r="D11" i="35"/>
  <c r="Q129" i="17"/>
  <c r="K89" i="35"/>
  <c r="G89" i="35"/>
  <c r="N89" i="35"/>
  <c r="J89" i="35"/>
  <c r="F89" i="35"/>
  <c r="M89" i="35"/>
  <c r="I89" i="35"/>
  <c r="E89" i="35"/>
  <c r="L89" i="35"/>
  <c r="H89" i="35"/>
  <c r="D89" i="35"/>
  <c r="BV254" i="13"/>
  <c r="P99" i="15"/>
  <c r="P100" i="15" s="1"/>
  <c r="CO62" i="11"/>
  <c r="CO71" i="11" s="1"/>
  <c r="BW279" i="13"/>
  <c r="BW281" i="13" s="1"/>
  <c r="CE71" i="8"/>
  <c r="CE66" i="8"/>
  <c r="CE69" i="8" s="1"/>
  <c r="DE65" i="8"/>
  <c r="DE59" i="8"/>
  <c r="DN12" i="14"/>
  <c r="N149" i="14"/>
  <c r="M151" i="14"/>
  <c r="CR51" i="13"/>
  <c r="DI58" i="8"/>
  <c r="DI59" i="8"/>
  <c r="CC186" i="7"/>
  <c r="N168" i="7"/>
  <c r="N186" i="7" s="1"/>
  <c r="CF59" i="8"/>
  <c r="CF65" i="8"/>
  <c r="CF35" i="8"/>
  <c r="DF255" i="21"/>
  <c r="DP21" i="12" s="1"/>
  <c r="DG256" i="21"/>
  <c r="DH256" i="21" s="1"/>
  <c r="DP23" i="12"/>
  <c r="DT24" i="12" s="1"/>
  <c r="BW241" i="13"/>
  <c r="BW243" i="13" s="1"/>
  <c r="BW245" i="13" s="1"/>
  <c r="BW248" i="13" s="1"/>
  <c r="BW250" i="13" s="1"/>
  <c r="BV241" i="13"/>
  <c r="BV243" i="13" s="1"/>
  <c r="BX46" i="15"/>
  <c r="BX279" i="13" s="1"/>
  <c r="BN3" i="1"/>
  <c r="BN116" i="1"/>
  <c r="H143" i="12"/>
  <c r="I146" i="12" s="1"/>
  <c r="P124" i="17"/>
  <c r="K89" i="22"/>
  <c r="K88" i="22" s="1"/>
  <c r="CL90" i="12"/>
  <c r="G72" i="12"/>
  <c r="BM56" i="12"/>
  <c r="J56" i="12"/>
  <c r="BI46" i="17"/>
  <c r="BI59" i="17" s="1"/>
  <c r="DB34" i="16"/>
  <c r="W21" i="16"/>
  <c r="BX62" i="11"/>
  <c r="BX63" i="11" s="1"/>
  <c r="BX64" i="11" s="1"/>
  <c r="V35" i="11"/>
  <c r="V36" i="11" s="1"/>
  <c r="V37" i="11" s="1"/>
  <c r="CY58" i="17"/>
  <c r="CY29" i="17"/>
  <c r="T57" i="17"/>
  <c r="DD29" i="17"/>
  <c r="DB53" i="17"/>
  <c r="DB34" i="17"/>
  <c r="DB35" i="17" s="1"/>
  <c r="DB45" i="17"/>
  <c r="DF59" i="17"/>
  <c r="DB96" i="12"/>
  <c r="DB94" i="12"/>
  <c r="DB95" i="12"/>
  <c r="DQ135" i="13"/>
  <c r="CL47" i="6"/>
  <c r="Q68" i="14"/>
  <c r="Q85" i="14"/>
  <c r="R87" i="14" s="1"/>
  <c r="DE340" i="12"/>
  <c r="G96" i="12"/>
  <c r="G95" i="12"/>
  <c r="AX95" i="12" s="1"/>
  <c r="Y36" i="13"/>
  <c r="Y21" i="15"/>
  <c r="P66" i="22"/>
  <c r="U136" i="17"/>
  <c r="U119" i="17"/>
  <c r="R10" i="6"/>
  <c r="U179" i="7"/>
  <c r="K39" i="22"/>
  <c r="K40" i="22" s="1"/>
  <c r="P144" i="12"/>
  <c r="CE122" i="13"/>
  <c r="DC171" i="15"/>
  <c r="DC175" i="15" s="1"/>
  <c r="CL55" i="6"/>
  <c r="J56" i="22"/>
  <c r="R281" i="12"/>
  <c r="R284" i="12" s="1"/>
  <c r="DB27" i="17"/>
  <c r="DD50" i="17"/>
  <c r="DD53" i="17"/>
  <c r="DB58" i="17"/>
  <c r="DB57" i="12"/>
  <c r="R701" i="12"/>
  <c r="U117" i="6"/>
  <c r="U123" i="8" s="1"/>
  <c r="CQ67" i="11"/>
  <c r="CQ108" i="11" s="1"/>
  <c r="BU58" i="11"/>
  <c r="BU63" i="11" s="1"/>
  <c r="BU64" i="11" s="1"/>
  <c r="BU67" i="11"/>
  <c r="BU108" i="11" s="1"/>
  <c r="BU18" i="11"/>
  <c r="BU19" i="11" s="1"/>
  <c r="CF58" i="11"/>
  <c r="CF67" i="11"/>
  <c r="Y15" i="7"/>
  <c r="Y19" i="15"/>
  <c r="N131" i="17"/>
  <c r="N145" i="17" s="1"/>
  <c r="AN108" i="17"/>
  <c r="N109" i="17"/>
  <c r="CQ58" i="11"/>
  <c r="DE35" i="6"/>
  <c r="DE30" i="6"/>
  <c r="DE33" i="6" s="1"/>
  <c r="L44" i="35"/>
  <c r="M43" i="35"/>
  <c r="G43" i="35"/>
  <c r="C43" i="35"/>
  <c r="K43" i="35"/>
  <c r="J43" i="35"/>
  <c r="M44" i="35"/>
  <c r="E43" i="35"/>
  <c r="K44" i="35"/>
  <c r="D44" i="35"/>
  <c r="H43" i="35"/>
  <c r="N44" i="35"/>
  <c r="I43" i="35"/>
  <c r="I44" i="35"/>
  <c r="D43" i="35"/>
  <c r="F43" i="35"/>
  <c r="N43" i="35"/>
  <c r="C44" i="35"/>
  <c r="F44" i="35"/>
  <c r="L43" i="35"/>
  <c r="H44" i="35"/>
  <c r="J44" i="35"/>
  <c r="E44" i="35"/>
  <c r="G44" i="35"/>
  <c r="F61" i="35"/>
  <c r="J61" i="35"/>
  <c r="K62" i="35"/>
  <c r="I62" i="35"/>
  <c r="E62" i="35"/>
  <c r="K61" i="35"/>
  <c r="G61" i="35"/>
  <c r="M62" i="35"/>
  <c r="G62" i="35"/>
  <c r="C62" i="35"/>
  <c r="H61" i="35"/>
  <c r="D62" i="35"/>
  <c r="J62" i="35"/>
  <c r="L61" i="35"/>
  <c r="C61" i="35"/>
  <c r="N61" i="35"/>
  <c r="L62" i="35"/>
  <c r="H62" i="35"/>
  <c r="M61" i="35"/>
  <c r="N62" i="35"/>
  <c r="I61" i="35"/>
  <c r="F62" i="35"/>
  <c r="E61" i="35"/>
  <c r="D61" i="35"/>
  <c r="D64" i="35" s="1"/>
  <c r="D65" i="35" s="1"/>
  <c r="BB71" i="12"/>
  <c r="BB72" i="12"/>
  <c r="BX12" i="6"/>
  <c r="BX13" i="6"/>
  <c r="BX11" i="6"/>
  <c r="CB11" i="6"/>
  <c r="CA57" i="12"/>
  <c r="CA29" i="17"/>
  <c r="CA45" i="17"/>
  <c r="CA58" i="17"/>
  <c r="CA53" i="17"/>
  <c r="CA50" i="17"/>
  <c r="BX51" i="6"/>
  <c r="CA34" i="17"/>
  <c r="CE35" i="17" s="1"/>
  <c r="N135" i="17"/>
  <c r="I66" i="22"/>
  <c r="DB18" i="11"/>
  <c r="DB107" i="11"/>
  <c r="DB67" i="11"/>
  <c r="DB58" i="11"/>
  <c r="E31" i="37"/>
  <c r="E32" i="37" s="1"/>
  <c r="CU55" i="22"/>
  <c r="DH134" i="13"/>
  <c r="DH131" i="13" s="1"/>
  <c r="DH136" i="13"/>
  <c r="CU80" i="22"/>
  <c r="BY12" i="6"/>
  <c r="P182" i="12"/>
  <c r="P199" i="12" s="1"/>
  <c r="DA171" i="15"/>
  <c r="DA177" i="15" s="1"/>
  <c r="DI163" i="15"/>
  <c r="R303" i="12"/>
  <c r="DE163" i="15"/>
  <c r="DF164" i="15" s="1"/>
  <c r="CP337" i="12"/>
  <c r="DH185" i="7"/>
  <c r="CA115" i="7"/>
  <c r="CY51" i="6"/>
  <c r="M129" i="13"/>
  <c r="CE27" i="17"/>
  <c r="R66" i="8"/>
  <c r="R69" i="8" s="1"/>
  <c r="CW340" i="12"/>
  <c r="CA134" i="13"/>
  <c r="CA131" i="13" s="1"/>
  <c r="BN55" i="22"/>
  <c r="BN60" i="22" s="1"/>
  <c r="BN62" i="22" s="1"/>
  <c r="BN80" i="22"/>
  <c r="CE135" i="13"/>
  <c r="U557" i="12"/>
  <c r="U505" i="12"/>
  <c r="V505" i="12" s="1"/>
  <c r="W505" i="12" s="1"/>
  <c r="CJ55" i="22"/>
  <c r="CW134" i="13"/>
  <c r="CW131" i="13" s="1"/>
  <c r="CJ80" i="22"/>
  <c r="CW136" i="13"/>
  <c r="R316" i="12"/>
  <c r="CB87" i="12"/>
  <c r="CB67" i="12"/>
  <c r="CF66" i="12"/>
  <c r="CC67" i="12"/>
  <c r="CC87" i="12"/>
  <c r="CC66" i="12"/>
  <c r="BU87" i="12"/>
  <c r="BU90" i="12" s="1"/>
  <c r="BU67" i="12"/>
  <c r="BY66" i="12"/>
  <c r="K63" i="12"/>
  <c r="L61" i="12"/>
  <c r="K61" i="12"/>
  <c r="CE34" i="16"/>
  <c r="BD81" i="15"/>
  <c r="BH81" i="15"/>
  <c r="BN92" i="12"/>
  <c r="BN90" i="12"/>
  <c r="AY71" i="12"/>
  <c r="AY72" i="12"/>
  <c r="AY70" i="12"/>
  <c r="CK441" i="12"/>
  <c r="I56" i="22"/>
  <c r="X99" i="8"/>
  <c r="X100" i="8" s="1"/>
  <c r="U110" i="6"/>
  <c r="DE138" i="12"/>
  <c r="CJ291" i="12"/>
  <c r="DI38" i="16"/>
  <c r="CR57" i="12"/>
  <c r="CR50" i="17"/>
  <c r="CR28" i="17"/>
  <c r="CS30" i="17"/>
  <c r="CR58" i="17"/>
  <c r="X137" i="12"/>
  <c r="X138" i="12" s="1"/>
  <c r="CO143" i="17"/>
  <c r="BX90" i="6"/>
  <c r="BX95" i="6"/>
  <c r="BX92" i="6"/>
  <c r="BX93" i="6" s="1"/>
  <c r="BX89" i="6"/>
  <c r="BX119" i="6"/>
  <c r="BX145" i="6"/>
  <c r="DM19" i="6"/>
  <c r="DT99" i="8"/>
  <c r="DT100" i="8" s="1"/>
  <c r="CM11" i="6"/>
  <c r="BZ79" i="6"/>
  <c r="CC110" i="7" s="1"/>
  <c r="BZ88" i="6"/>
  <c r="BZ77" i="6"/>
  <c r="CU174" i="15"/>
  <c r="CU175" i="15"/>
  <c r="CL57" i="14"/>
  <c r="P37" i="13"/>
  <c r="CK41" i="13"/>
  <c r="DO51" i="13"/>
  <c r="DG128" i="22"/>
  <c r="DN51" i="13"/>
  <c r="DF18" i="8"/>
  <c r="DF17" i="8" s="1"/>
  <c r="DF76" i="8" s="1"/>
  <c r="DF79" i="8" s="1"/>
  <c r="DF14" i="17"/>
  <c r="U17" i="8"/>
  <c r="DE35" i="8"/>
  <c r="DE76" i="8"/>
  <c r="DE79" i="8" s="1"/>
  <c r="DG13" i="17"/>
  <c r="DH31" i="17"/>
  <c r="DG94" i="13"/>
  <c r="DG40" i="17" s="1"/>
  <c r="DG41" i="17" s="1"/>
  <c r="DD52" i="6"/>
  <c r="DG32" i="17"/>
  <c r="Y656" i="12"/>
  <c r="DJ757" i="12"/>
  <c r="DO753" i="12"/>
  <c r="DI754" i="12"/>
  <c r="DP753" i="12"/>
  <c r="Y289" i="12"/>
  <c r="Y290" i="12" s="1"/>
  <c r="DM102" i="11"/>
  <c r="DM103" i="11" s="1"/>
  <c r="DG72" i="22"/>
  <c r="CY108" i="11"/>
  <c r="DF29" i="22"/>
  <c r="CO18" i="11"/>
  <c r="CO19" i="11" s="1"/>
  <c r="CJ18" i="11"/>
  <c r="U71" i="15"/>
  <c r="DG174" i="15"/>
  <c r="DG176" i="15"/>
  <c r="DG175" i="15"/>
  <c r="DG178" i="15"/>
  <c r="DG177" i="15"/>
  <c r="BJ77" i="15"/>
  <c r="BJ78" i="15"/>
  <c r="BK78" i="15"/>
  <c r="CL77" i="15"/>
  <c r="CH77" i="15"/>
  <c r="CI78" i="15"/>
  <c r="CH78" i="15"/>
  <c r="BC82" i="15"/>
  <c r="BC81" i="15"/>
  <c r="BG81" i="15"/>
  <c r="BD82" i="15"/>
  <c r="BO78" i="15"/>
  <c r="BS77" i="15"/>
  <c r="BO77" i="15"/>
  <c r="BP78" i="15"/>
  <c r="BT82" i="15"/>
  <c r="BT81" i="15"/>
  <c r="BU82" i="15"/>
  <c r="BU81" i="15"/>
  <c r="BN81" i="15"/>
  <c r="BN82" i="15"/>
  <c r="L39" i="15"/>
  <c r="L57" i="15"/>
  <c r="BR81" i="15"/>
  <c r="H57" i="15"/>
  <c r="H39" i="15"/>
  <c r="BE81" i="15"/>
  <c r="BE82" i="15"/>
  <c r="BT77" i="15"/>
  <c r="BT78" i="15"/>
  <c r="BX77" i="15"/>
  <c r="BF82" i="15"/>
  <c r="BF81" i="15"/>
  <c r="BG82" i="15"/>
  <c r="CC77" i="15"/>
  <c r="CG77" i="15"/>
  <c r="CC78" i="15"/>
  <c r="L76" i="15"/>
  <c r="L111" i="17"/>
  <c r="L80" i="15"/>
  <c r="G24" i="22"/>
  <c r="M66" i="15"/>
  <c r="L65" i="15"/>
  <c r="L66" i="15"/>
  <c r="M65" i="15"/>
  <c r="L112" i="15"/>
  <c r="M39" i="15"/>
  <c r="M57" i="15"/>
  <c r="BJ82" i="15"/>
  <c r="BJ81" i="15"/>
  <c r="BK82" i="15"/>
  <c r="AZ63" i="15"/>
  <c r="AY63" i="15"/>
  <c r="AY66" i="15" s="1"/>
  <c r="BZ78" i="15"/>
  <c r="CA78" i="15"/>
  <c r="H65" i="15"/>
  <c r="H66" i="15"/>
  <c r="H80" i="15"/>
  <c r="H111" i="17"/>
  <c r="H76" i="15"/>
  <c r="I65" i="15"/>
  <c r="I66" i="15"/>
  <c r="O57" i="15"/>
  <c r="N57" i="15"/>
  <c r="N65" i="15"/>
  <c r="N66" i="15"/>
  <c r="N111" i="17"/>
  <c r="N109" i="11"/>
  <c r="I24" i="22"/>
  <c r="O66" i="15"/>
  <c r="O65" i="15"/>
  <c r="S71" i="15"/>
  <c r="Q42" i="15"/>
  <c r="Q51" i="15"/>
  <c r="Q38" i="15"/>
  <c r="Q37" i="15"/>
  <c r="CD77" i="15"/>
  <c r="CE78" i="15"/>
  <c r="CD78" i="15"/>
  <c r="BU77" i="15"/>
  <c r="BU78" i="15"/>
  <c r="BY77" i="15"/>
  <c r="BN78" i="15"/>
  <c r="BN77" i="15"/>
  <c r="BI81" i="15"/>
  <c r="AX81" i="15"/>
  <c r="AX82" i="15"/>
  <c r="AY82" i="15"/>
  <c r="BB81" i="15"/>
  <c r="BB82" i="15"/>
  <c r="I57" i="15"/>
  <c r="I39" i="15"/>
  <c r="BO82" i="15"/>
  <c r="BO81" i="15"/>
  <c r="BS81" i="15"/>
  <c r="BP82" i="15"/>
  <c r="H91" i="14"/>
  <c r="H144" i="14"/>
  <c r="H100" i="14"/>
  <c r="H116" i="14" s="1"/>
  <c r="H117" i="14" s="1"/>
  <c r="H79" i="14"/>
  <c r="H77" i="14" s="1"/>
  <c r="H78" i="14" s="1"/>
  <c r="U78" i="15"/>
  <c r="U77" i="15"/>
  <c r="L218" i="13"/>
  <c r="V78" i="15"/>
  <c r="U67" i="15"/>
  <c r="T67" i="15"/>
  <c r="T78" i="15"/>
  <c r="T77" i="15"/>
  <c r="S67" i="15"/>
  <c r="N37" i="15"/>
  <c r="O38" i="15"/>
  <c r="N38" i="15"/>
  <c r="O37" i="15"/>
  <c r="N51" i="15"/>
  <c r="N39" i="15"/>
  <c r="N76" i="15"/>
  <c r="R78" i="15"/>
  <c r="R77" i="15"/>
  <c r="N42" i="15"/>
  <c r="CM42" i="13"/>
  <c r="CI43" i="13"/>
  <c r="CI44" i="13"/>
  <c r="CI56" i="14"/>
  <c r="CI57" i="14"/>
  <c r="V71" i="15"/>
  <c r="T71" i="15"/>
  <c r="S77" i="15"/>
  <c r="S78" i="15"/>
  <c r="DN176" i="15"/>
  <c r="DN178" i="15"/>
  <c r="DN177" i="15"/>
  <c r="DC45" i="17"/>
  <c r="DC58" i="17"/>
  <c r="DC29" i="17"/>
  <c r="DC53" i="17"/>
  <c r="DC34" i="17"/>
  <c r="DC27" i="17"/>
  <c r="CZ51" i="6"/>
  <c r="DC57" i="12"/>
  <c r="DC50" i="17"/>
  <c r="DD28" i="17"/>
  <c r="DD58" i="17"/>
  <c r="DC28" i="17"/>
  <c r="CW63" i="11"/>
  <c r="CC50" i="22"/>
  <c r="DD27" i="17"/>
  <c r="DA51" i="6"/>
  <c r="DC30" i="17"/>
  <c r="DO135" i="13"/>
  <c r="DK134" i="13"/>
  <c r="DK131" i="13" s="1"/>
  <c r="CX55" i="22"/>
  <c r="CX80" i="22"/>
  <c r="DK136" i="13"/>
  <c r="DE107" i="11"/>
  <c r="DE67" i="11"/>
  <c r="DE108" i="11" s="1"/>
  <c r="DE58" i="11"/>
  <c r="DA143" i="17"/>
  <c r="CN51" i="22"/>
  <c r="CN52" i="22" s="1"/>
  <c r="DA19" i="17"/>
  <c r="CX47" i="6"/>
  <c r="CX59" i="6"/>
  <c r="DA20" i="17" s="1"/>
  <c r="CN76" i="22"/>
  <c r="DA70" i="7"/>
  <c r="CX17" i="6"/>
  <c r="DA41" i="17"/>
  <c r="CZ71" i="7"/>
  <c r="DA146" i="17"/>
  <c r="CX55" i="6"/>
  <c r="CW285" i="12"/>
  <c r="DA285" i="12"/>
  <c r="BQ90" i="12"/>
  <c r="BQ92" i="12"/>
  <c r="BL165" i="12"/>
  <c r="BM146" i="12"/>
  <c r="BL440" i="12"/>
  <c r="BP441" i="12" s="1"/>
  <c r="BP144" i="12"/>
  <c r="BM145" i="12"/>
  <c r="CW67" i="12"/>
  <c r="DA66" i="12"/>
  <c r="DA70" i="12"/>
  <c r="DA72" i="12"/>
  <c r="DA71" i="12"/>
  <c r="CN56" i="22"/>
  <c r="CU18" i="11"/>
  <c r="CU19" i="11" s="1"/>
  <c r="CU59" i="11"/>
  <c r="CU68" i="11" s="1"/>
  <c r="CW107" i="8"/>
  <c r="CW115" i="8" s="1"/>
  <c r="CW95" i="8" s="1"/>
  <c r="CW79" i="12"/>
  <c r="CW80" i="12"/>
  <c r="CW81" i="12"/>
  <c r="CP15" i="6"/>
  <c r="CQ16" i="6"/>
  <c r="CP16" i="6"/>
  <c r="CM291" i="12"/>
  <c r="CQ136" i="12"/>
  <c r="CM139" i="12"/>
  <c r="CM136" i="12"/>
  <c r="Q135" i="12"/>
  <c r="CM143" i="12"/>
  <c r="CM262" i="12"/>
  <c r="CM446" i="12"/>
  <c r="CM140" i="12"/>
  <c r="DE71" i="12"/>
  <c r="DE70" i="12"/>
  <c r="CR56" i="22"/>
  <c r="CR60" i="22" s="1"/>
  <c r="DE72" i="12"/>
  <c r="BO92" i="12"/>
  <c r="BO90" i="12"/>
  <c r="DE79" i="12"/>
  <c r="DA107" i="8"/>
  <c r="DA79" i="12"/>
  <c r="DA80" i="12"/>
  <c r="DA81" i="12"/>
  <c r="CG537" i="12"/>
  <c r="CG96" i="12"/>
  <c r="CG94" i="12"/>
  <c r="CG95" i="12"/>
  <c r="CW72" i="12"/>
  <c r="CJ56" i="22"/>
  <c r="CW71" i="12"/>
  <c r="CW70" i="12"/>
  <c r="CT16" i="6"/>
  <c r="CT15" i="6"/>
  <c r="CS80" i="12"/>
  <c r="CS81" i="12"/>
  <c r="CS107" i="8"/>
  <c r="CS79" i="12"/>
  <c r="CS309" i="12"/>
  <c r="CS310" i="12" s="1"/>
  <c r="CS341" i="12"/>
  <c r="CS342" i="12" s="1"/>
  <c r="CY16" i="6"/>
  <c r="CX16" i="6"/>
  <c r="CX15" i="6"/>
  <c r="CS71" i="12"/>
  <c r="CS72" i="12"/>
  <c r="CS70" i="12"/>
  <c r="CF56" i="22"/>
  <c r="DE107" i="8"/>
  <c r="DE80" i="12"/>
  <c r="DE81" i="12"/>
  <c r="CI341" i="12"/>
  <c r="CM342" i="12" s="1"/>
  <c r="CQ282" i="12"/>
  <c r="DI340" i="12"/>
  <c r="DA340" i="12"/>
  <c r="CQ59" i="11"/>
  <c r="CQ68" i="11" s="1"/>
  <c r="CQ18" i="11"/>
  <c r="AZ70" i="12"/>
  <c r="AZ71" i="12"/>
  <c r="AZ72" i="12"/>
  <c r="DB15" i="6"/>
  <c r="DB35" i="6"/>
  <c r="DB16" i="6"/>
  <c r="DB30" i="6"/>
  <c r="CY59" i="11"/>
  <c r="CY68" i="11" s="1"/>
  <c r="CY72" i="11" s="1"/>
  <c r="CY18" i="11"/>
  <c r="DP179" i="15"/>
  <c r="F115" i="35"/>
  <c r="D115" i="35"/>
  <c r="W110" i="6"/>
  <c r="V110" i="6"/>
  <c r="C115" i="35"/>
  <c r="E115" i="35"/>
  <c r="H115" i="35"/>
  <c r="V117" i="6"/>
  <c r="G115" i="35"/>
  <c r="DG185" i="7"/>
  <c r="CO51" i="6"/>
  <c r="CR29" i="17"/>
  <c r="CE36" i="17"/>
  <c r="CP60" i="22"/>
  <c r="O179" i="7"/>
  <c r="CS28" i="17"/>
  <c r="CR27" i="17"/>
  <c r="CR53" i="17"/>
  <c r="CR30" i="17"/>
  <c r="CO30" i="6"/>
  <c r="CO17" i="6" s="1"/>
  <c r="CP12" i="6"/>
  <c r="DI34" i="16"/>
  <c r="CO35" i="6"/>
  <c r="CO75" i="6" s="1"/>
  <c r="DD57" i="12"/>
  <c r="DD30" i="17"/>
  <c r="CA77" i="6"/>
  <c r="CA79" i="6"/>
  <c r="CD110" i="7" s="1"/>
  <c r="CD117" i="7" s="1"/>
  <c r="CD115" i="7" s="1"/>
  <c r="CA88" i="6"/>
  <c r="V127" i="12"/>
  <c r="V128" i="12" s="1"/>
  <c r="P461" i="12"/>
  <c r="S127" i="12"/>
  <c r="S128" i="12" s="1"/>
  <c r="CT179" i="15"/>
  <c r="BQ30" i="22"/>
  <c r="CD93" i="14"/>
  <c r="CE44" i="14"/>
  <c r="BR31" i="22"/>
  <c r="CF41" i="14"/>
  <c r="CE43" i="14"/>
  <c r="G71" i="12"/>
  <c r="CV62" i="11"/>
  <c r="CV71" i="11" s="1"/>
  <c r="O20" i="17"/>
  <c r="J61" i="22"/>
  <c r="O61" i="6"/>
  <c r="O95" i="7"/>
  <c r="O88" i="7"/>
  <c r="O94" i="7"/>
  <c r="CF55" i="17"/>
  <c r="DK340" i="12"/>
  <c r="BW81" i="15"/>
  <c r="BW82" i="15"/>
  <c r="CJ92" i="12"/>
  <c r="CJ90" i="12"/>
  <c r="DP129" i="17"/>
  <c r="CD79" i="6"/>
  <c r="CG110" i="7" s="1"/>
  <c r="CG117" i="7" s="1"/>
  <c r="CG115" i="7" s="1"/>
  <c r="CD88" i="6"/>
  <c r="CD77" i="6"/>
  <c r="O145" i="17"/>
  <c r="O146" i="17" s="1"/>
  <c r="O15" i="6"/>
  <c r="R13" i="11"/>
  <c r="R65" i="22"/>
  <c r="W132" i="17"/>
  <c r="BX80" i="15"/>
  <c r="BY84" i="15"/>
  <c r="BX85" i="15"/>
  <c r="CF56" i="17"/>
  <c r="CF26" i="17" s="1"/>
  <c r="CF28" i="16"/>
  <c r="CP36" i="17"/>
  <c r="DJ38" i="16"/>
  <c r="DF34" i="16"/>
  <c r="S57" i="17"/>
  <c r="CC127" i="13"/>
  <c r="DC135" i="13"/>
  <c r="DG135" i="13"/>
  <c r="CJ62" i="11"/>
  <c r="CJ71" i="11" s="1"/>
  <c r="CP34" i="16"/>
  <c r="CF62" i="11"/>
  <c r="CD127" i="13"/>
  <c r="CD129" i="13" s="1"/>
  <c r="CO36" i="17"/>
  <c r="CP67" i="11"/>
  <c r="CP58" i="11"/>
  <c r="CP18" i="11"/>
  <c r="CP107" i="11"/>
  <c r="AA43" i="37"/>
  <c r="R124" i="22"/>
  <c r="DF12" i="6"/>
  <c r="DF11" i="6"/>
  <c r="CC55" i="22"/>
  <c r="CC80" i="22"/>
  <c r="CP134" i="13"/>
  <c r="CP131" i="13" s="1"/>
  <c r="CP136" i="13"/>
  <c r="CX107" i="11"/>
  <c r="CX18" i="11"/>
  <c r="CX67" i="11"/>
  <c r="CX58" i="11"/>
  <c r="CX63" i="11" s="1"/>
  <c r="DB134" i="13"/>
  <c r="DB131" i="13" s="1"/>
  <c r="CO55" i="22"/>
  <c r="CO80" i="22"/>
  <c r="DB136" i="13"/>
  <c r="CY12" i="6"/>
  <c r="CY35" i="6"/>
  <c r="CY30" i="6"/>
  <c r="CZ32" i="6" s="1"/>
  <c r="U13" i="11"/>
  <c r="U107" i="11" s="1"/>
  <c r="BZ11" i="6"/>
  <c r="CD11" i="6"/>
  <c r="BZ13" i="6"/>
  <c r="N10" i="6"/>
  <c r="CA12" i="6"/>
  <c r="CQ11" i="6"/>
  <c r="CQ30" i="6"/>
  <c r="CQ32" i="6" s="1"/>
  <c r="CQ35" i="6"/>
  <c r="CT136" i="13"/>
  <c r="CT134" i="13"/>
  <c r="CT131" i="13" s="1"/>
  <c r="CG80" i="22"/>
  <c r="CG55" i="22"/>
  <c r="CT135" i="13"/>
  <c r="CN67" i="11"/>
  <c r="CN58" i="11"/>
  <c r="CN107" i="11"/>
  <c r="CN18" i="11"/>
  <c r="Q88" i="13"/>
  <c r="Q85" i="13"/>
  <c r="L45" i="22"/>
  <c r="L50" i="22" s="1"/>
  <c r="Q82" i="13"/>
  <c r="L79" i="22"/>
  <c r="CG58" i="11"/>
  <c r="CG67" i="11"/>
  <c r="CG18" i="11"/>
  <c r="Q13" i="11"/>
  <c r="CP338" i="13"/>
  <c r="CP342" i="13" s="1"/>
  <c r="CQ339" i="13"/>
  <c r="CZ136" i="13"/>
  <c r="CZ135" i="13"/>
  <c r="CM80" i="22"/>
  <c r="CM55" i="22"/>
  <c r="CZ134" i="13"/>
  <c r="CZ131" i="13" s="1"/>
  <c r="CV148" i="22"/>
  <c r="F28" i="37"/>
  <c r="DC107" i="11"/>
  <c r="DC58" i="11"/>
  <c r="DC67" i="11"/>
  <c r="DD134" i="13"/>
  <c r="DD131" i="13" s="1"/>
  <c r="DD136" i="13"/>
  <c r="DH135" i="13"/>
  <c r="CQ80" i="22"/>
  <c r="CQ55" i="22"/>
  <c r="DD135" i="13"/>
  <c r="CM134" i="13"/>
  <c r="CM131" i="13" s="1"/>
  <c r="BZ55" i="22"/>
  <c r="CM136" i="13"/>
  <c r="BZ80" i="22"/>
  <c r="CV135" i="13"/>
  <c r="CI55" i="22"/>
  <c r="CI80" i="22"/>
  <c r="CV136" i="13"/>
  <c r="CV134" i="13"/>
  <c r="CV131" i="13" s="1"/>
  <c r="E28" i="37"/>
  <c r="CU148" i="22"/>
  <c r="CL67" i="11"/>
  <c r="CL108" i="11" s="1"/>
  <c r="CL58" i="11"/>
  <c r="CL63" i="11" s="1"/>
  <c r="BW18" i="11"/>
  <c r="BW19" i="11" s="1"/>
  <c r="BW58" i="11"/>
  <c r="BW63" i="11" s="1"/>
  <c r="BW64" i="11" s="1"/>
  <c r="BW67" i="11"/>
  <c r="DD45" i="11"/>
  <c r="DD46" i="11" s="1"/>
  <c r="DD62" i="11"/>
  <c r="DD71" i="11" s="1"/>
  <c r="CW59" i="22" s="1"/>
  <c r="CW60" i="22" s="1"/>
  <c r="CJ30" i="6"/>
  <c r="CJ33" i="6" s="1"/>
  <c r="Q10" i="6"/>
  <c r="Q11" i="6" s="1"/>
  <c r="CJ12" i="6"/>
  <c r="CJ35" i="6"/>
  <c r="CK12" i="6"/>
  <c r="U44" i="11"/>
  <c r="U45" i="11" s="1"/>
  <c r="U46" i="11" s="1"/>
  <c r="Q133" i="13"/>
  <c r="L80" i="22" s="1"/>
  <c r="CT18" i="11"/>
  <c r="CT67" i="11"/>
  <c r="CT107" i="11"/>
  <c r="CT58" i="11"/>
  <c r="CW11" i="6"/>
  <c r="CX12" i="6"/>
  <c r="CS35" i="6"/>
  <c r="CS30" i="6"/>
  <c r="CS33" i="6" s="1"/>
  <c r="CT12" i="6"/>
  <c r="CS11" i="6"/>
  <c r="F31" i="37"/>
  <c r="F32" i="37" s="1"/>
  <c r="DI134" i="13"/>
  <c r="DI131" i="13" s="1"/>
  <c r="DI136" i="13"/>
  <c r="CV55" i="22"/>
  <c r="CV80" i="22"/>
  <c r="DI135" i="13"/>
  <c r="CJ67" i="11"/>
  <c r="CJ58" i="11"/>
  <c r="DA30" i="6"/>
  <c r="DA32" i="6" s="1"/>
  <c r="DA35" i="6"/>
  <c r="DE11" i="6"/>
  <c r="DA11" i="6"/>
  <c r="DB12" i="6"/>
  <c r="CV67" i="11"/>
  <c r="CV107" i="11"/>
  <c r="CV18" i="11"/>
  <c r="CV58" i="11"/>
  <c r="CR136" i="13"/>
  <c r="CR134" i="13"/>
  <c r="CR131" i="13" s="1"/>
  <c r="CE80" i="22"/>
  <c r="CE55" i="22"/>
  <c r="CR135" i="13"/>
  <c r="BP55" i="22"/>
  <c r="CC134" i="13"/>
  <c r="CC131" i="13" s="1"/>
  <c r="CG135" i="13"/>
  <c r="BP80" i="22"/>
  <c r="N133" i="13"/>
  <c r="N134" i="13" s="1"/>
  <c r="DD55" i="6"/>
  <c r="DD59" i="6"/>
  <c r="DG94" i="7" s="1"/>
  <c r="DA107" i="11"/>
  <c r="DA58" i="11"/>
  <c r="DA67" i="11"/>
  <c r="DH107" i="11"/>
  <c r="DD12" i="6"/>
  <c r="CZ38" i="16"/>
  <c r="V13" i="11"/>
  <c r="V107" i="11" s="1"/>
  <c r="BW45" i="11"/>
  <c r="BW46" i="11" s="1"/>
  <c r="CX148" i="22"/>
  <c r="CT55" i="22"/>
  <c r="DG136" i="13"/>
  <c r="DG134" i="13"/>
  <c r="DG131" i="13" s="1"/>
  <c r="CT80" i="22"/>
  <c r="DK135" i="13"/>
  <c r="DA18" i="11"/>
  <c r="DA19" i="11" s="1"/>
  <c r="DE12" i="6"/>
  <c r="DH11" i="6"/>
  <c r="CT38" i="16"/>
  <c r="DD11" i="6"/>
  <c r="CR107" i="11"/>
  <c r="CR67" i="11"/>
  <c r="CR58" i="11"/>
  <c r="T13" i="11"/>
  <c r="CN45" i="11"/>
  <c r="CN46" i="11" s="1"/>
  <c r="CN62" i="11"/>
  <c r="S10" i="6"/>
  <c r="S133" i="13"/>
  <c r="S135" i="13" s="1"/>
  <c r="S85" i="13"/>
  <c r="N79" i="22"/>
  <c r="S88" i="13"/>
  <c r="S82" i="13"/>
  <c r="N45" i="22"/>
  <c r="N50" i="22" s="1"/>
  <c r="BV258" i="13"/>
  <c r="BV259" i="13" s="1"/>
  <c r="BV217" i="13"/>
  <c r="BV218" i="13" s="1"/>
  <c r="BW216" i="13"/>
  <c r="T85" i="13"/>
  <c r="T88" i="13"/>
  <c r="T76" i="13"/>
  <c r="O148" i="22" s="1"/>
  <c r="O45" i="22"/>
  <c r="O50" i="22" s="1"/>
  <c r="T10" i="6"/>
  <c r="U11" i="6" s="1"/>
  <c r="O79" i="22"/>
  <c r="U37" i="16"/>
  <c r="P59" i="22" s="1"/>
  <c r="U41" i="16"/>
  <c r="CD55" i="22"/>
  <c r="CD80" i="22"/>
  <c r="CQ134" i="13"/>
  <c r="CQ131" i="13" s="1"/>
  <c r="CQ136" i="13"/>
  <c r="CQ135" i="13"/>
  <c r="L258" i="13"/>
  <c r="L259" i="13" s="1"/>
  <c r="BU259" i="13"/>
  <c r="CY134" i="13"/>
  <c r="CY131" i="13" s="1"/>
  <c r="CL55" i="22"/>
  <c r="CY136" i="13"/>
  <c r="CL80" i="22"/>
  <c r="CY135" i="13"/>
  <c r="CX135" i="13"/>
  <c r="CK80" i="22"/>
  <c r="CX136" i="13"/>
  <c r="CX134" i="13"/>
  <c r="CX131" i="13" s="1"/>
  <c r="CK55" i="22"/>
  <c r="DB135" i="13"/>
  <c r="CU11" i="6"/>
  <c r="CU12" i="6"/>
  <c r="CY11" i="6"/>
  <c r="CO67" i="11"/>
  <c r="CO58" i="11"/>
  <c r="S13" i="11"/>
  <c r="S107" i="11" s="1"/>
  <c r="CK67" i="11"/>
  <c r="CK58" i="11"/>
  <c r="DD126" i="22"/>
  <c r="CU135" i="13"/>
  <c r="CU136" i="13"/>
  <c r="CH80" i="22"/>
  <c r="CU134" i="13"/>
  <c r="CU131" i="13" s="1"/>
  <c r="CH55" i="22"/>
  <c r="CR12" i="6"/>
  <c r="CR11" i="6"/>
  <c r="CS12" i="6"/>
  <c r="DF38" i="16"/>
  <c r="DB38" i="16"/>
  <c r="U30" i="16"/>
  <c r="U33" i="16" s="1"/>
  <c r="CN12" i="6"/>
  <c r="CO12" i="6"/>
  <c r="CN11" i="6"/>
  <c r="BU220" i="13"/>
  <c r="L220" i="13" s="1"/>
  <c r="L217" i="13"/>
  <c r="CV12" i="6"/>
  <c r="CV11" i="6"/>
  <c r="CV30" i="6"/>
  <c r="CW12" i="6"/>
  <c r="CV35" i="6"/>
  <c r="CS67" i="11"/>
  <c r="CS58" i="11"/>
  <c r="CS63" i="11" s="1"/>
  <c r="CS107" i="11"/>
  <c r="CS18" i="11"/>
  <c r="BP59" i="22"/>
  <c r="DA148" i="22"/>
  <c r="DN136" i="13"/>
  <c r="P75" i="14"/>
  <c r="P16" i="14"/>
  <c r="P50" i="14"/>
  <c r="X115" i="15"/>
  <c r="X116" i="15" s="1"/>
  <c r="S29" i="22"/>
  <c r="P36" i="14"/>
  <c r="P17" i="14" s="1"/>
  <c r="CB59" i="17"/>
  <c r="CB60" i="17" s="1"/>
  <c r="Q37" i="16"/>
  <c r="L59" i="22" s="1"/>
  <c r="O107" i="13"/>
  <c r="O105" i="13" s="1"/>
  <c r="O177" i="12"/>
  <c r="P177" i="12"/>
  <c r="O34" i="8"/>
  <c r="O76" i="8"/>
  <c r="O79" i="8" s="1"/>
  <c r="P76" i="8"/>
  <c r="P79" i="8" s="1"/>
  <c r="P34" i="8"/>
  <c r="P35" i="8" s="1"/>
  <c r="V34" i="7"/>
  <c r="N169" i="7"/>
  <c r="W77" i="7"/>
  <c r="I15" i="5" s="1"/>
  <c r="W112" i="7"/>
  <c r="W119" i="7" s="1"/>
  <c r="CB174" i="7"/>
  <c r="CB184" i="7"/>
  <c r="CB188" i="7"/>
  <c r="CY184" i="7"/>
  <c r="CY188" i="7"/>
  <c r="CY185" i="7"/>
  <c r="CY174" i="7"/>
  <c r="CB185" i="7"/>
  <c r="CI188" i="7"/>
  <c r="CI174" i="7"/>
  <c r="CI184" i="7"/>
  <c r="CI185" i="7"/>
  <c r="CZ174" i="7"/>
  <c r="CZ184" i="7"/>
  <c r="CZ188" i="7"/>
  <c r="DH188" i="7"/>
  <c r="DH174" i="7"/>
  <c r="DH184" i="7"/>
  <c r="CQ188" i="7"/>
  <c r="CQ174" i="7"/>
  <c r="CQ184" i="7"/>
  <c r="CQ185" i="7"/>
  <c r="CR185" i="7"/>
  <c r="R179" i="7"/>
  <c r="DG188" i="7"/>
  <c r="DG174" i="7"/>
  <c r="DG184" i="7"/>
  <c r="CJ185" i="7"/>
  <c r="CJ188" i="7"/>
  <c r="CJ174" i="7"/>
  <c r="CJ184" i="7"/>
  <c r="CZ185" i="7"/>
  <c r="T179" i="7"/>
  <c r="P179" i="7"/>
  <c r="CR184" i="7"/>
  <c r="CR188" i="7"/>
  <c r="CR174" i="7"/>
  <c r="N179" i="7"/>
  <c r="N181" i="7" s="1"/>
  <c r="CD188" i="7"/>
  <c r="CD174" i="7"/>
  <c r="CD184" i="7"/>
  <c r="DB175" i="7"/>
  <c r="U169" i="7"/>
  <c r="CO188" i="7"/>
  <c r="CO174" i="7"/>
  <c r="CO184" i="7"/>
  <c r="CO185" i="7"/>
  <c r="DF174" i="7"/>
  <c r="DF184" i="7"/>
  <c r="DF188" i="7"/>
  <c r="CS174" i="7"/>
  <c r="CS184" i="7"/>
  <c r="CS188" i="7"/>
  <c r="CS185" i="7"/>
  <c r="P50" i="7"/>
  <c r="P76" i="7"/>
  <c r="CC184" i="7"/>
  <c r="CC174" i="7"/>
  <c r="CC188" i="7"/>
  <c r="CC185" i="7"/>
  <c r="DA175" i="7"/>
  <c r="T169" i="7"/>
  <c r="DB188" i="7"/>
  <c r="DB174" i="7"/>
  <c r="DB184" i="7"/>
  <c r="DF185" i="7"/>
  <c r="V179" i="7"/>
  <c r="O112" i="7"/>
  <c r="O119" i="7" s="1"/>
  <c r="O77" i="7"/>
  <c r="CK185" i="7"/>
  <c r="CK188" i="7"/>
  <c r="CK174" i="7"/>
  <c r="CK184" i="7"/>
  <c r="N63" i="7"/>
  <c r="N34" i="7"/>
  <c r="DF175" i="7"/>
  <c r="V169" i="7"/>
  <c r="CH119" i="7"/>
  <c r="CH115" i="7" s="1"/>
  <c r="CH108" i="7"/>
  <c r="DB185" i="7"/>
  <c r="CH175" i="7"/>
  <c r="P169" i="7"/>
  <c r="W179" i="7"/>
  <c r="DJ185" i="7"/>
  <c r="CT188" i="7"/>
  <c r="CT174" i="7"/>
  <c r="CT184" i="7"/>
  <c r="CT185" i="7"/>
  <c r="S179" i="7"/>
  <c r="R40" i="7"/>
  <c r="R42" i="7" s="1"/>
  <c r="Q42" i="7"/>
  <c r="O169" i="7"/>
  <c r="CD175" i="7"/>
  <c r="CP175" i="7"/>
  <c r="R169" i="7"/>
  <c r="O51" i="7"/>
  <c r="O62" i="7"/>
  <c r="CL175" i="7"/>
  <c r="Q169" i="7"/>
  <c r="Q179" i="7"/>
  <c r="CL185" i="7"/>
  <c r="CH188" i="7"/>
  <c r="CH184" i="7"/>
  <c r="CH174" i="7"/>
  <c r="CH185" i="7"/>
  <c r="DA188" i="7"/>
  <c r="DA174" i="7"/>
  <c r="DA184" i="7"/>
  <c r="DA185" i="7"/>
  <c r="CP184" i="7"/>
  <c r="CP188" i="7"/>
  <c r="CP174" i="7"/>
  <c r="CP185" i="7"/>
  <c r="CL174" i="7"/>
  <c r="CL188" i="7"/>
  <c r="CL184" i="7"/>
  <c r="DE188" i="7"/>
  <c r="DE184" i="7"/>
  <c r="DE174" i="7"/>
  <c r="DE185" i="7"/>
  <c r="CG188" i="7"/>
  <c r="CG174" i="7"/>
  <c r="CG184" i="7"/>
  <c r="CG185" i="7"/>
  <c r="CT175" i="7"/>
  <c r="S169" i="7"/>
  <c r="O63" i="7"/>
  <c r="O34" i="7"/>
  <c r="DL184" i="7"/>
  <c r="DL188" i="7"/>
  <c r="DL185" i="7"/>
  <c r="R47" i="7"/>
  <c r="S46" i="7"/>
  <c r="S47" i="7" s="1"/>
  <c r="BR118" i="13"/>
  <c r="BR121" i="13" s="1"/>
  <c r="BR122" i="13" s="1"/>
  <c r="L107" i="13"/>
  <c r="L105" i="13" s="1"/>
  <c r="CQ337" i="13"/>
  <c r="CQ333" i="13"/>
  <c r="CR337" i="13"/>
  <c r="CR333" i="13"/>
  <c r="CM107" i="13"/>
  <c r="CM118" i="13" s="1"/>
  <c r="CQ105" i="13"/>
  <c r="CI121" i="13"/>
  <c r="CI122" i="13" s="1"/>
  <c r="BZ118" i="13"/>
  <c r="N107" i="13"/>
  <c r="M107" i="13"/>
  <c r="BW118" i="13"/>
  <c r="BW121" i="13" s="1"/>
  <c r="DB340" i="12"/>
  <c r="CX340" i="12"/>
  <c r="CM661" i="12"/>
  <c r="CN583" i="12"/>
  <c r="CO581" i="12" s="1"/>
  <c r="CO583" i="12" s="1"/>
  <c r="R155" i="12"/>
  <c r="CE39" i="22"/>
  <c r="CE40" i="22" s="1"/>
  <c r="CR262" i="12"/>
  <c r="CR136" i="12"/>
  <c r="V248" i="12"/>
  <c r="V334" i="12"/>
  <c r="BE145" i="12"/>
  <c r="X290" i="12"/>
  <c r="BR209" i="12"/>
  <c r="BS209" i="12"/>
  <c r="CW19" i="11"/>
  <c r="S308" i="12"/>
  <c r="DM50" i="12"/>
  <c r="CT50" i="17"/>
  <c r="CU28" i="17"/>
  <c r="CQ51" i="6"/>
  <c r="CT27" i="17"/>
  <c r="CT45" i="17"/>
  <c r="CT34" i="17"/>
  <c r="CT57" i="12"/>
  <c r="CT29" i="17"/>
  <c r="CU30" i="17"/>
  <c r="CT53" i="17"/>
  <c r="CT58" i="17"/>
  <c r="V345" i="12"/>
  <c r="BQ441" i="12"/>
  <c r="S345" i="12"/>
  <c r="V14" i="11"/>
  <c r="Q68" i="11"/>
  <c r="Q77" i="11" s="1"/>
  <c r="DH92" i="12"/>
  <c r="DH96" i="12" s="1"/>
  <c r="CX27" i="17"/>
  <c r="CZ18" i="11"/>
  <c r="CT28" i="17"/>
  <c r="T290" i="12"/>
  <c r="CC59" i="17"/>
  <c r="CC60" i="17" s="1"/>
  <c r="CT138" i="12"/>
  <c r="CP139" i="12"/>
  <c r="BE55" i="12"/>
  <c r="CX753" i="12"/>
  <c r="W502" i="12"/>
  <c r="W50" i="12"/>
  <c r="W60" i="12"/>
  <c r="W63" i="12" s="1"/>
  <c r="CZ753" i="12"/>
  <c r="V363" i="12"/>
  <c r="P15" i="6"/>
  <c r="DB753" i="12"/>
  <c r="U753" i="12" s="1"/>
  <c r="N42" i="17"/>
  <c r="N43" i="17" s="1"/>
  <c r="O42" i="17"/>
  <c r="O43" i="17" s="1"/>
  <c r="M349" i="12"/>
  <c r="BY352" i="12"/>
  <c r="BY350" i="12"/>
  <c r="BZ349" i="12"/>
  <c r="CR283" i="12"/>
  <c r="CV285" i="12"/>
  <c r="CR282" i="12"/>
  <c r="CV282" i="12"/>
  <c r="CC47" i="17"/>
  <c r="CC48" i="17" s="1"/>
  <c r="CC50" i="17"/>
  <c r="CD47" i="17"/>
  <c r="CD48" i="17" s="1"/>
  <c r="CQ283" i="12"/>
  <c r="CU282" i="12"/>
  <c r="CK363" i="12"/>
  <c r="P358" i="12"/>
  <c r="CT753" i="12"/>
  <c r="CU753" i="12"/>
  <c r="CW753" i="12"/>
  <c r="CT754" i="12"/>
  <c r="CX755" i="12" s="1"/>
  <c r="CV753" i="12"/>
  <c r="DI365" i="12"/>
  <c r="V364" i="12"/>
  <c r="DI370" i="12"/>
  <c r="BX55" i="11"/>
  <c r="BX75" i="11"/>
  <c r="BX76" i="11"/>
  <c r="Q327" i="12"/>
  <c r="Q249" i="12"/>
  <c r="Q346" i="12" s="1"/>
  <c r="CB53" i="17"/>
  <c r="CB58" i="17"/>
  <c r="BY51" i="6"/>
  <c r="CB29" i="17"/>
  <c r="CB30" i="17"/>
  <c r="CB28" i="17"/>
  <c r="CB45" i="17"/>
  <c r="CB34" i="17"/>
  <c r="CR345" i="12"/>
  <c r="CV345" i="12"/>
  <c r="I72" i="12"/>
  <c r="J166" i="12"/>
  <c r="K164" i="12"/>
  <c r="CB47" i="17"/>
  <c r="CB48" i="17" s="1"/>
  <c r="N46" i="17"/>
  <c r="AN46" i="17" s="1"/>
  <c r="CB50" i="17"/>
  <c r="T250" i="12"/>
  <c r="T346" i="12"/>
  <c r="T347" i="12" s="1"/>
  <c r="CT364" i="12"/>
  <c r="CT469" i="12"/>
  <c r="R363" i="12"/>
  <c r="R469" i="12" s="1"/>
  <c r="DE285" i="12"/>
  <c r="CB111" i="12"/>
  <c r="CC107" i="12"/>
  <c r="CC111" i="12" s="1"/>
  <c r="CB227" i="12"/>
  <c r="S247" i="12"/>
  <c r="R327" i="12"/>
  <c r="R249" i="12"/>
  <c r="R247" i="12"/>
  <c r="CY753" i="12"/>
  <c r="W138" i="12"/>
  <c r="P188" i="12"/>
  <c r="P192" i="12" s="1"/>
  <c r="P170" i="12"/>
  <c r="P171" i="12"/>
  <c r="BK165" i="12"/>
  <c r="BK145" i="12"/>
  <c r="BK440" i="12"/>
  <c r="BK441" i="12" s="1"/>
  <c r="BK146" i="12"/>
  <c r="BL146" i="12"/>
  <c r="BL145" i="12"/>
  <c r="BK144" i="12"/>
  <c r="J143" i="12"/>
  <c r="CB57" i="12"/>
  <c r="BD46" i="17"/>
  <c r="BD59" i="17" s="1"/>
  <c r="BH56" i="12"/>
  <c r="J164" i="12"/>
  <c r="BX79" i="11"/>
  <c r="DB138" i="12"/>
  <c r="DF138" i="12"/>
  <c r="BO165" i="12"/>
  <c r="BO440" i="12"/>
  <c r="BO146" i="12"/>
  <c r="BO144" i="12"/>
  <c r="BP146" i="12"/>
  <c r="BP145" i="12"/>
  <c r="BS144" i="12"/>
  <c r="K143" i="12"/>
  <c r="BO145" i="12"/>
  <c r="CC45" i="17"/>
  <c r="CD28" i="17"/>
  <c r="CD30" i="17"/>
  <c r="CC53" i="17"/>
  <c r="CC58" i="17"/>
  <c r="CC28" i="17"/>
  <c r="CC30" i="17"/>
  <c r="CC34" i="17"/>
  <c r="CC57" i="12"/>
  <c r="BZ51" i="6"/>
  <c r="CC29" i="17"/>
  <c r="CQ345" i="12"/>
  <c r="CN283" i="12"/>
  <c r="CP677" i="12"/>
  <c r="CQ646" i="12"/>
  <c r="CN95" i="12"/>
  <c r="CN94" i="12"/>
  <c r="CN96" i="12"/>
  <c r="CT45" i="11"/>
  <c r="CT46" i="11" s="1"/>
  <c r="N10" i="12"/>
  <c r="N11" i="12" s="1"/>
  <c r="N302" i="12"/>
  <c r="N303" i="12"/>
  <c r="N339" i="12"/>
  <c r="CM15" i="6"/>
  <c r="R14" i="6"/>
  <c r="CQ15" i="6"/>
  <c r="CM16" i="6"/>
  <c r="F17" i="37"/>
  <c r="F18" i="37" s="1"/>
  <c r="DI80" i="12"/>
  <c r="DI79" i="12"/>
  <c r="DI107" i="8"/>
  <c r="DI81" i="12"/>
  <c r="DC15" i="6"/>
  <c r="DC16" i="6"/>
  <c r="CT51" i="6"/>
  <c r="CW29" i="17"/>
  <c r="CW53" i="17"/>
  <c r="CW45" i="17"/>
  <c r="CW34" i="17"/>
  <c r="CX30" i="17"/>
  <c r="CX28" i="17"/>
  <c r="CW58" i="17"/>
  <c r="CW57" i="12"/>
  <c r="CW30" i="17"/>
  <c r="CW28" i="17"/>
  <c r="CB59" i="22"/>
  <c r="CB60" i="22" s="1"/>
  <c r="CI108" i="11"/>
  <c r="DJ340" i="12"/>
  <c r="DF340" i="12"/>
  <c r="AA563" i="12"/>
  <c r="CT62" i="11"/>
  <c r="DC30" i="6"/>
  <c r="DD33" i="6" s="1"/>
  <c r="P30" i="6"/>
  <c r="P70" i="7" s="1"/>
  <c r="CM30" i="6"/>
  <c r="CM47" i="6" s="1"/>
  <c r="CW27" i="17"/>
  <c r="DD16" i="6"/>
  <c r="DG15" i="6"/>
  <c r="U57" i="17"/>
  <c r="U59" i="17"/>
  <c r="CG76" i="6"/>
  <c r="CG57" i="6"/>
  <c r="CG58" i="6"/>
  <c r="CJ109" i="7"/>
  <c r="CJ60" i="12"/>
  <c r="CJ54" i="12"/>
  <c r="CD50" i="11"/>
  <c r="CJ55" i="12"/>
  <c r="CN53" i="12"/>
  <c r="DA89" i="12"/>
  <c r="DA111" i="8" s="1"/>
  <c r="CY15" i="6"/>
  <c r="CU30" i="6"/>
  <c r="CU16" i="6"/>
  <c r="CV16" i="6"/>
  <c r="CU35" i="6"/>
  <c r="CU15" i="6"/>
  <c r="CX71" i="12"/>
  <c r="CX70" i="12"/>
  <c r="DB70" i="12"/>
  <c r="CK56" i="22"/>
  <c r="CX72" i="12"/>
  <c r="DA50" i="17"/>
  <c r="CP79" i="12"/>
  <c r="CP107" i="8"/>
  <c r="CP115" i="8" s="1"/>
  <c r="CP95" i="8" s="1"/>
  <c r="CT79" i="12"/>
  <c r="CP80" i="12"/>
  <c r="CP81" i="12"/>
  <c r="DC59" i="11"/>
  <c r="DC68" i="11" s="1"/>
  <c r="DC18" i="11"/>
  <c r="CB165" i="12"/>
  <c r="CC146" i="12"/>
  <c r="CB145" i="12"/>
  <c r="CF144" i="12"/>
  <c r="CC145" i="12"/>
  <c r="CB146" i="12"/>
  <c r="CB144" i="12"/>
  <c r="CB135" i="12"/>
  <c r="CB440" i="12"/>
  <c r="CB441" i="12" s="1"/>
  <c r="N143" i="12"/>
  <c r="N165" i="12" s="1"/>
  <c r="BO39" i="22"/>
  <c r="BE144" i="12"/>
  <c r="BE440" i="12"/>
  <c r="BI144" i="12"/>
  <c r="BF145" i="12"/>
  <c r="BF146" i="12"/>
  <c r="V57" i="17"/>
  <c r="CS56" i="22"/>
  <c r="CS60" i="22" s="1"/>
  <c r="DF71" i="12"/>
  <c r="DF72" i="12"/>
  <c r="DF70" i="12"/>
  <c r="DF67" i="12"/>
  <c r="DF66" i="12"/>
  <c r="DF87" i="12"/>
  <c r="CD340" i="12"/>
  <c r="CH340" i="12"/>
  <c r="S59" i="17"/>
  <c r="S55" i="12"/>
  <c r="S56" i="12" s="1"/>
  <c r="S303" i="12"/>
  <c r="R339" i="12"/>
  <c r="S340" i="12" s="1"/>
  <c r="R248" i="12"/>
  <c r="R321" i="12"/>
  <c r="R328" i="12"/>
  <c r="S302" i="12"/>
  <c r="R308" i="12"/>
  <c r="H164" i="12"/>
  <c r="H166" i="12"/>
  <c r="DE34" i="17"/>
  <c r="DE53" i="17"/>
  <c r="DE50" i="17"/>
  <c r="DB51" i="6"/>
  <c r="DE45" i="17"/>
  <c r="DE27" i="17"/>
  <c r="DE57" i="12"/>
  <c r="DE29" i="17"/>
  <c r="DE30" i="17"/>
  <c r="DE28" i="17"/>
  <c r="U26" i="17"/>
  <c r="DG16" i="6"/>
  <c r="DF15" i="6"/>
  <c r="DF35" i="6"/>
  <c r="DF16" i="6"/>
  <c r="DF30" i="6"/>
  <c r="DF17" i="6" s="1"/>
  <c r="N164" i="12"/>
  <c r="O164" i="12"/>
  <c r="CM58" i="17"/>
  <c r="CM29" i="17"/>
  <c r="CM53" i="17"/>
  <c r="CM45" i="17"/>
  <c r="CN30" i="17"/>
  <c r="CM34" i="17"/>
  <c r="CJ51" i="6"/>
  <c r="CN28" i="17"/>
  <c r="CM57" i="12"/>
  <c r="CM28" i="17"/>
  <c r="CM30" i="17"/>
  <c r="CQ27" i="17"/>
  <c r="CM35" i="6"/>
  <c r="CM75" i="6" s="1"/>
  <c r="DA164" i="15"/>
  <c r="R59" i="17"/>
  <c r="R87" i="12"/>
  <c r="R71" i="12"/>
  <c r="DE58" i="17"/>
  <c r="CJ20" i="17"/>
  <c r="CJ94" i="7"/>
  <c r="CG60" i="6"/>
  <c r="CG61" i="6"/>
  <c r="CJ95" i="7"/>
  <c r="BW77" i="22"/>
  <c r="BW61" i="22"/>
  <c r="DB79" i="12"/>
  <c r="CX80" i="12"/>
  <c r="CX107" i="8"/>
  <c r="CX81" i="12"/>
  <c r="CX79" i="12"/>
  <c r="T283" i="12"/>
  <c r="T284" i="12"/>
  <c r="T282" i="12"/>
  <c r="CP62" i="11"/>
  <c r="CP45" i="11"/>
  <c r="CP46" i="11" s="1"/>
  <c r="S44" i="11"/>
  <c r="S45" i="11" s="1"/>
  <c r="S46" i="11" s="1"/>
  <c r="V308" i="12"/>
  <c r="V307" i="12"/>
  <c r="CV451" i="12"/>
  <c r="CZ451" i="12"/>
  <c r="P13" i="12"/>
  <c r="O13" i="12"/>
  <c r="CL53" i="17"/>
  <c r="CI51" i="6"/>
  <c r="CL45" i="17"/>
  <c r="CL34" i="17"/>
  <c r="CL58" i="17"/>
  <c r="CL29" i="17"/>
  <c r="CP27" i="17"/>
  <c r="CL57" i="12"/>
  <c r="CH45" i="11"/>
  <c r="CH46" i="11" s="1"/>
  <c r="Q46" i="11" s="1"/>
  <c r="Q44" i="11"/>
  <c r="Q45" i="11" s="1"/>
  <c r="CH62" i="11"/>
  <c r="DF107" i="8"/>
  <c r="DF79" i="12"/>
  <c r="DF81" i="12"/>
  <c r="DF80" i="12"/>
  <c r="P302" i="12"/>
  <c r="O10" i="12"/>
  <c r="O339" i="12"/>
  <c r="P340" i="12" s="1"/>
  <c r="O302" i="12"/>
  <c r="CT89" i="12"/>
  <c r="CT111" i="8" s="1"/>
  <c r="CW50" i="17"/>
  <c r="CI63" i="11"/>
  <c r="V328" i="12"/>
  <c r="V339" i="12"/>
  <c r="V340" i="12" s="1"/>
  <c r="V321" i="12"/>
  <c r="V303" i="12"/>
  <c r="DB285" i="12"/>
  <c r="CX285" i="12"/>
  <c r="T55" i="12"/>
  <c r="T59" i="17"/>
  <c r="BZ45" i="17"/>
  <c r="N26" i="17"/>
  <c r="BZ29" i="17"/>
  <c r="BZ57" i="12"/>
  <c r="CA30" i="17"/>
  <c r="BZ30" i="17"/>
  <c r="BZ34" i="17"/>
  <c r="BZ53" i="17"/>
  <c r="CA28" i="17"/>
  <c r="BZ28" i="17"/>
  <c r="BW51" i="6"/>
  <c r="BZ50" i="17"/>
  <c r="CD27" i="17"/>
  <c r="CT66" i="12"/>
  <c r="CP66" i="12"/>
  <c r="CP67" i="12"/>
  <c r="CP87" i="12"/>
  <c r="BD537" i="12"/>
  <c r="BD96" i="12"/>
  <c r="BD94" i="12"/>
  <c r="S41" i="16"/>
  <c r="S284" i="12"/>
  <c r="S283" i="12"/>
  <c r="CR18" i="11"/>
  <c r="T14" i="11"/>
  <c r="CR59" i="11"/>
  <c r="CX87" i="12"/>
  <c r="CX66" i="12"/>
  <c r="CX67" i="12"/>
  <c r="DB66" i="12"/>
  <c r="BJ70" i="12"/>
  <c r="BF72" i="12"/>
  <c r="BF71" i="12"/>
  <c r="BF70" i="12"/>
  <c r="BZ58" i="17"/>
  <c r="DA29" i="17"/>
  <c r="DB30" i="17"/>
  <c r="DA27" i="17"/>
  <c r="DA53" i="17"/>
  <c r="DB28" i="17"/>
  <c r="DA28" i="17"/>
  <c r="DA45" i="17"/>
  <c r="DA58" i="17"/>
  <c r="CX51" i="6"/>
  <c r="T51" i="6" s="1"/>
  <c r="T48" i="6" s="1"/>
  <c r="T55" i="11" s="1"/>
  <c r="DA30" i="17"/>
  <c r="DA34" i="17"/>
  <c r="DA57" i="12"/>
  <c r="DH38" i="16"/>
  <c r="DL38" i="16"/>
  <c r="CV33" i="16"/>
  <c r="S30" i="16"/>
  <c r="S33" i="16" s="1"/>
  <c r="CT70" i="12"/>
  <c r="CC56" i="22"/>
  <c r="CP72" i="12"/>
  <c r="CP71" i="12"/>
  <c r="CP70" i="12"/>
  <c r="DI70" i="12"/>
  <c r="DI72" i="12"/>
  <c r="DI71" i="12"/>
  <c r="CV56" i="22"/>
  <c r="DI67" i="12"/>
  <c r="DI87" i="12"/>
  <c r="DI89" i="12" s="1"/>
  <c r="BX90" i="12"/>
  <c r="BX92" i="12"/>
  <c r="S451" i="12"/>
  <c r="T49" i="12"/>
  <c r="T69" i="12"/>
  <c r="T70" i="12" s="1"/>
  <c r="T14" i="6"/>
  <c r="U15" i="6" s="1"/>
  <c r="T689" i="12"/>
  <c r="U689" i="12" s="1"/>
  <c r="T43" i="12"/>
  <c r="T54" i="12"/>
  <c r="T40" i="12"/>
  <c r="T62" i="12"/>
  <c r="U32" i="12"/>
  <c r="T32" i="12"/>
  <c r="T65" i="12"/>
  <c r="T690" i="12"/>
  <c r="U690" i="12" s="1"/>
  <c r="V690" i="12" s="1"/>
  <c r="W690" i="12" s="1"/>
  <c r="X690" i="12" s="1"/>
  <c r="CM50" i="17"/>
  <c r="Q55" i="12"/>
  <c r="R56" i="12" s="1"/>
  <c r="Q59" i="17"/>
  <c r="DE89" i="12"/>
  <c r="DE111" i="8" s="1"/>
  <c r="BD71" i="12"/>
  <c r="BD72" i="12"/>
  <c r="BD70" i="12"/>
  <c r="BH70" i="12"/>
  <c r="L116" i="17"/>
  <c r="L14" i="12"/>
  <c r="L15" i="12" s="1"/>
  <c r="L11" i="12"/>
  <c r="AX72" i="12"/>
  <c r="AX70" i="12"/>
  <c r="AX71" i="12"/>
  <c r="BB70" i="12"/>
  <c r="CN33" i="16"/>
  <c r="CR34" i="16" s="1"/>
  <c r="Q30" i="16"/>
  <c r="Q33" i="16" s="1"/>
  <c r="CS71" i="11"/>
  <c r="CI72" i="11"/>
  <c r="CT340" i="12"/>
  <c r="CP340" i="12"/>
  <c r="CP309" i="12"/>
  <c r="CP311" i="12" s="1"/>
  <c r="CP341" i="12"/>
  <c r="CT313" i="12"/>
  <c r="CP313" i="12"/>
  <c r="U315" i="12"/>
  <c r="T315" i="12"/>
  <c r="CM678" i="12"/>
  <c r="L309" i="12"/>
  <c r="L310" i="12" s="1"/>
  <c r="L102" i="12"/>
  <c r="L166" i="12"/>
  <c r="U137" i="12"/>
  <c r="V138" i="12" s="1"/>
  <c r="DG56" i="6"/>
  <c r="DG58" i="6" s="1"/>
  <c r="DG13" i="6"/>
  <c r="DG69" i="6"/>
  <c r="DG50" i="6"/>
  <c r="DG44" i="6"/>
  <c r="DG41" i="6"/>
  <c r="DG63" i="6"/>
  <c r="DG71" i="6"/>
  <c r="DG86" i="6"/>
  <c r="DG75" i="6"/>
  <c r="DC138" i="12"/>
  <c r="CY138" i="12"/>
  <c r="N188" i="12"/>
  <c r="N192" i="12" s="1"/>
  <c r="N170" i="12"/>
  <c r="U290" i="12"/>
  <c r="V290" i="12"/>
  <c r="DD68" i="11"/>
  <c r="CU138" i="12"/>
  <c r="S137" i="12"/>
  <c r="M100" i="12"/>
  <c r="M101" i="12"/>
  <c r="M309" i="12" s="1"/>
  <c r="DJ70" i="7"/>
  <c r="CW51" i="22"/>
  <c r="CW52" i="22" s="1"/>
  <c r="DI71" i="7"/>
  <c r="DJ146" i="17"/>
  <c r="DJ19" i="17"/>
  <c r="DG47" i="6"/>
  <c r="CW76" i="22"/>
  <c r="DG17" i="6"/>
  <c r="DJ143" i="17"/>
  <c r="DG59" i="6"/>
  <c r="DG55" i="6"/>
  <c r="DD19" i="11"/>
  <c r="BU441" i="12"/>
  <c r="BQ442" i="12"/>
  <c r="T340" i="12"/>
  <c r="AA765" i="12"/>
  <c r="AA767" i="12" s="1"/>
  <c r="CS587" i="12"/>
  <c r="R585" i="12"/>
  <c r="CO599" i="12"/>
  <c r="CO665" i="12" s="1"/>
  <c r="Q665" i="12" s="1"/>
  <c r="W750" i="12"/>
  <c r="W752" i="12" s="1"/>
  <c r="W754" i="12" s="1"/>
  <c r="V750" i="12"/>
  <c r="V752" i="12" s="1"/>
  <c r="V754" i="12" s="1"/>
  <c r="CN643" i="12"/>
  <c r="CO92" i="12"/>
  <c r="CO90" i="12"/>
  <c r="DH754" i="12"/>
  <c r="DK753" i="12"/>
  <c r="DH753" i="12"/>
  <c r="DJ753" i="12"/>
  <c r="DI753" i="12"/>
  <c r="CQ591" i="12"/>
  <c r="CR589" i="12" s="1"/>
  <c r="CR662" i="12"/>
  <c r="CN638" i="12"/>
  <c r="CN640" i="12" s="1"/>
  <c r="CM652" i="12"/>
  <c r="DN753" i="12"/>
  <c r="X740" i="12"/>
  <c r="X742" i="12" s="1"/>
  <c r="X743" i="12" s="1"/>
  <c r="S510" i="12"/>
  <c r="S533" i="12" s="1"/>
  <c r="T508" i="12"/>
  <c r="X657" i="12"/>
  <c r="Y657" i="12" s="1"/>
  <c r="Z657" i="12" s="1"/>
  <c r="W203" i="7"/>
  <c r="W205" i="7" s="1"/>
  <c r="W206" i="7" s="1"/>
  <c r="P115" i="8"/>
  <c r="P95" i="8" s="1"/>
  <c r="CF19" i="11"/>
  <c r="BO47" i="17"/>
  <c r="BO48" i="17" s="1"/>
  <c r="W136" i="17"/>
  <c r="DD174" i="15"/>
  <c r="DD178" i="15"/>
  <c r="DD177" i="15"/>
  <c r="DD175" i="15"/>
  <c r="DD176" i="15"/>
  <c r="Q335" i="12"/>
  <c r="Q336" i="12"/>
  <c r="U340" i="12"/>
  <c r="CO68" i="11"/>
  <c r="DF84" i="12"/>
  <c r="DE114" i="8"/>
  <c r="CQ177" i="15"/>
  <c r="CQ174" i="15"/>
  <c r="CQ176" i="15"/>
  <c r="CQ178" i="15"/>
  <c r="CQ175" i="15"/>
  <c r="X102" i="7"/>
  <c r="X681" i="12"/>
  <c r="BQ55" i="12"/>
  <c r="K55" i="12" s="1"/>
  <c r="CQ92" i="12"/>
  <c r="CQ90" i="12"/>
  <c r="R333" i="12"/>
  <c r="CP293" i="12"/>
  <c r="CL294" i="12"/>
  <c r="BY138" i="22" s="1"/>
  <c r="CL289" i="12"/>
  <c r="CL160" i="12"/>
  <c r="CP174" i="15"/>
  <c r="CP178" i="15"/>
  <c r="CP176" i="15"/>
  <c r="CP177" i="15"/>
  <c r="CP175" i="15"/>
  <c r="AA739" i="12"/>
  <c r="DF179" i="15"/>
  <c r="CU89" i="12"/>
  <c r="CU111" i="8" s="1"/>
  <c r="S107" i="8"/>
  <c r="S163" i="6" s="1"/>
  <c r="S80" i="12"/>
  <c r="S81" i="12"/>
  <c r="BP56" i="12"/>
  <c r="BP46" i="17"/>
  <c r="BT56" i="12"/>
  <c r="CW68" i="11"/>
  <c r="CY94" i="12"/>
  <c r="CY95" i="12"/>
  <c r="CY96" i="12"/>
  <c r="U114" i="8"/>
  <c r="DC92" i="12"/>
  <c r="DC111" i="8"/>
  <c r="DH285" i="12"/>
  <c r="DD285" i="12"/>
  <c r="S72" i="12"/>
  <c r="S71" i="12"/>
  <c r="N56" i="22"/>
  <c r="S70" i="12"/>
  <c r="CY111" i="8"/>
  <c r="CY115" i="8" s="1"/>
  <c r="CY95" i="8" s="1"/>
  <c r="T79" i="12"/>
  <c r="CI238" i="12"/>
  <c r="DD47" i="6"/>
  <c r="BX442" i="12"/>
  <c r="CK341" i="12"/>
  <c r="CO342" i="12" s="1"/>
  <c r="CL94" i="12"/>
  <c r="CL96" i="12"/>
  <c r="CL95" i="12"/>
  <c r="CK90" i="12"/>
  <c r="CK92" i="12"/>
  <c r="BE537" i="12"/>
  <c r="BE95" i="12"/>
  <c r="DN134" i="13"/>
  <c r="DN131" i="13" s="1"/>
  <c r="DK164" i="15"/>
  <c r="X85" i="12"/>
  <c r="AA85" i="12" s="1"/>
  <c r="AB85" i="12" s="1"/>
  <c r="AC85" i="12" s="1"/>
  <c r="AD85" i="12" s="1"/>
  <c r="AE85" i="12" s="1"/>
  <c r="AF85" i="12" s="1"/>
  <c r="AG85" i="12" s="1"/>
  <c r="CS285" i="12"/>
  <c r="CB42" i="22"/>
  <c r="CO310" i="12"/>
  <c r="CO311" i="12"/>
  <c r="CH90" i="12"/>
  <c r="CH92" i="12"/>
  <c r="BP95" i="12"/>
  <c r="BP96" i="12"/>
  <c r="BP537" i="12"/>
  <c r="BP94" i="12"/>
  <c r="CO53" i="12"/>
  <c r="CK54" i="12"/>
  <c r="CK60" i="12"/>
  <c r="CK55" i="12"/>
  <c r="CE50" i="11"/>
  <c r="CH54" i="12"/>
  <c r="CH55" i="12"/>
  <c r="CL53" i="12"/>
  <c r="CB50" i="11"/>
  <c r="CH60" i="12"/>
  <c r="M165" i="12"/>
  <c r="M440" i="12"/>
  <c r="DJ370" i="12"/>
  <c r="W364" i="12"/>
  <c r="W365" i="12" s="1"/>
  <c r="BX441" i="12"/>
  <c r="CP670" i="12"/>
  <c r="CM90" i="12"/>
  <c r="CM92" i="12"/>
  <c r="O169" i="12"/>
  <c r="O188" i="12"/>
  <c r="O112" i="12" s="1"/>
  <c r="O170" i="12"/>
  <c r="P169" i="12"/>
  <c r="U394" i="12"/>
  <c r="V81" i="12"/>
  <c r="V107" i="8"/>
  <c r="V163" i="6" s="1"/>
  <c r="V80" i="12"/>
  <c r="V79" i="12"/>
  <c r="DK72" i="12"/>
  <c r="DK70" i="12"/>
  <c r="DK71" i="12"/>
  <c r="CX56" i="22"/>
  <c r="DK107" i="8"/>
  <c r="DK80" i="12"/>
  <c r="DK79" i="12"/>
  <c r="DK81" i="12"/>
  <c r="BH441" i="12"/>
  <c r="K43" i="12"/>
  <c r="K54" i="12"/>
  <c r="K69" i="12"/>
  <c r="K136" i="17"/>
  <c r="K15" i="12"/>
  <c r="K62" i="12"/>
  <c r="K40" i="12"/>
  <c r="K49" i="12"/>
  <c r="K65" i="12"/>
  <c r="CI52" i="12"/>
  <c r="CI87" i="12"/>
  <c r="CI67" i="12"/>
  <c r="Q67" i="12"/>
  <c r="Q87" i="12"/>
  <c r="DK67" i="12"/>
  <c r="DK66" i="12"/>
  <c r="DK87" i="12"/>
  <c r="DK89" i="12" s="1"/>
  <c r="DK92" i="12" s="1"/>
  <c r="DH15" i="6"/>
  <c r="DH16" i="6"/>
  <c r="DH35" i="6"/>
  <c r="DH30" i="6"/>
  <c r="DH17" i="6" s="1"/>
  <c r="DA68" i="11"/>
  <c r="V67" i="12"/>
  <c r="V365" i="12"/>
  <c r="V469" i="12"/>
  <c r="DG19" i="17"/>
  <c r="DG143" i="17"/>
  <c r="DG70" i="7"/>
  <c r="DG146" i="17"/>
  <c r="CT51" i="22"/>
  <c r="CT52" i="22" s="1"/>
  <c r="DF71" i="7"/>
  <c r="CT76" i="22"/>
  <c r="DF431" i="12"/>
  <c r="DF432" i="12"/>
  <c r="CK446" i="12"/>
  <c r="CK291" i="12"/>
  <c r="CK262" i="12"/>
  <c r="CK140" i="12"/>
  <c r="CK142" i="12" s="1"/>
  <c r="CK139" i="12"/>
  <c r="CO136" i="12"/>
  <c r="DJ89" i="12"/>
  <c r="Q72" i="12"/>
  <c r="Q71" i="12"/>
  <c r="L56" i="22"/>
  <c r="R70" i="12"/>
  <c r="Q70" i="12"/>
  <c r="R79" i="12"/>
  <c r="Q79" i="12"/>
  <c r="Q80" i="12"/>
  <c r="Q81" i="12"/>
  <c r="Q107" i="8"/>
  <c r="Q163" i="6" s="1"/>
  <c r="V72" i="12"/>
  <c r="V71" i="12"/>
  <c r="Q56" i="22"/>
  <c r="V70" i="12"/>
  <c r="DD17" i="6"/>
  <c r="DE18" i="11"/>
  <c r="DE59" i="11"/>
  <c r="DG92" i="12"/>
  <c r="DG111" i="8"/>
  <c r="DL164" i="15"/>
  <c r="CP672" i="12"/>
  <c r="DI177" i="15"/>
  <c r="DI174" i="15"/>
  <c r="DI176" i="15"/>
  <c r="DI178" i="15"/>
  <c r="DI175" i="15"/>
  <c r="CZ175" i="15"/>
  <c r="CZ174" i="15"/>
  <c r="CZ177" i="15"/>
  <c r="CZ178" i="15"/>
  <c r="CZ176" i="15"/>
  <c r="U250" i="12"/>
  <c r="U346" i="12"/>
  <c r="DB164" i="15"/>
  <c r="CQ619" i="12"/>
  <c r="CR617" i="12" s="1"/>
  <c r="CX178" i="15"/>
  <c r="CX177" i="15"/>
  <c r="CX174" i="15"/>
  <c r="CX176" i="15"/>
  <c r="CX175" i="15"/>
  <c r="CN607" i="12"/>
  <c r="CO605" i="12" s="1"/>
  <c r="X765" i="12"/>
  <c r="X767" i="12" s="1"/>
  <c r="DA365" i="12"/>
  <c r="DA469" i="12"/>
  <c r="T363" i="12"/>
  <c r="DL754" i="12"/>
  <c r="DM753" i="12"/>
  <c r="DL753" i="12"/>
  <c r="DB175" i="15"/>
  <c r="DB178" i="15"/>
  <c r="DB177" i="15"/>
  <c r="DB174" i="15"/>
  <c r="DB176" i="15"/>
  <c r="CM667" i="12"/>
  <c r="R472" i="12"/>
  <c r="Q472" i="12"/>
  <c r="Q473" i="12"/>
  <c r="DK176" i="15"/>
  <c r="DK177" i="15"/>
  <c r="DK178" i="15"/>
  <c r="DK175" i="15"/>
  <c r="DK174" i="15"/>
  <c r="DH432" i="12"/>
  <c r="DH431" i="12"/>
  <c r="T307" i="12"/>
  <c r="U307" i="12"/>
  <c r="T308" i="12"/>
  <c r="U282" i="12"/>
  <c r="U283" i="12"/>
  <c r="U284" i="12"/>
  <c r="DG395" i="12"/>
  <c r="DG425" i="12" s="1"/>
  <c r="DG424" i="12" s="1"/>
  <c r="DG429" i="12"/>
  <c r="DG430" i="12" s="1"/>
  <c r="CS671" i="12"/>
  <c r="R671" i="12" s="1"/>
  <c r="CT621" i="12"/>
  <c r="R623" i="12"/>
  <c r="S621" i="12" s="1"/>
  <c r="S623" i="12" s="1"/>
  <c r="R696" i="12"/>
  <c r="R568" i="12"/>
  <c r="BV63" i="11"/>
  <c r="BV64" i="11" s="1"/>
  <c r="CL673" i="12"/>
  <c r="CO102" i="15"/>
  <c r="N59" i="22"/>
  <c r="M81" i="1"/>
  <c r="L170" i="1"/>
  <c r="CB36" i="11"/>
  <c r="CB37" i="11" s="1"/>
  <c r="CB44" i="11"/>
  <c r="DH58" i="11"/>
  <c r="X133" i="15"/>
  <c r="W135" i="15"/>
  <c r="DL394" i="12"/>
  <c r="DL417" i="12"/>
  <c r="DL424" i="12"/>
  <c r="L22" i="20"/>
  <c r="L28" i="20" s="1"/>
  <c r="CB60" i="8"/>
  <c r="CB61" i="8" s="1"/>
  <c r="CB63" i="8" s="1"/>
  <c r="BR407" i="21"/>
  <c r="BS406" i="21" s="1"/>
  <c r="CC60" i="8" s="1"/>
  <c r="I61" i="14"/>
  <c r="I62" i="14"/>
  <c r="R62" i="1"/>
  <c r="Q64" i="1"/>
  <c r="CT611" i="12"/>
  <c r="CU609" i="12" s="1"/>
  <c r="CY757" i="12"/>
  <c r="DF755" i="12"/>
  <c r="CN120" i="15"/>
  <c r="CZ148" i="22"/>
  <c r="V74" i="7"/>
  <c r="V73" i="7"/>
  <c r="V72" i="7"/>
  <c r="V46" i="6"/>
  <c r="J129" i="17"/>
  <c r="I129" i="17"/>
  <c r="I108" i="17"/>
  <c r="Q131" i="17"/>
  <c r="Q142" i="17" s="1"/>
  <c r="Q111" i="17"/>
  <c r="R109" i="17"/>
  <c r="Q109" i="17"/>
  <c r="J57" i="1"/>
  <c r="J58" i="1"/>
  <c r="K57" i="1"/>
  <c r="BQ94" i="1"/>
  <c r="CA44" i="11"/>
  <c r="CA27" i="11"/>
  <c r="CA28" i="11" s="1"/>
  <c r="K66" i="22"/>
  <c r="P136" i="17"/>
  <c r="DL129" i="17"/>
  <c r="K100" i="15"/>
  <c r="K101" i="15"/>
  <c r="K102" i="15" s="1"/>
  <c r="H77" i="1"/>
  <c r="H81" i="1"/>
  <c r="H78" i="1"/>
  <c r="H131" i="1"/>
  <c r="H132" i="1" s="1"/>
  <c r="H87" i="1"/>
  <c r="DC45" i="11"/>
  <c r="DC46" i="11" s="1"/>
  <c r="DC62" i="11"/>
  <c r="CJ121" i="13"/>
  <c r="CJ122" i="13" s="1"/>
  <c r="R40" i="6"/>
  <c r="S40" i="6"/>
  <c r="CN19" i="6"/>
  <c r="CN35" i="6"/>
  <c r="CR36" i="6" s="1"/>
  <c r="CN30" i="6"/>
  <c r="CR31" i="6" s="1"/>
  <c r="S76" i="8"/>
  <c r="S34" i="8"/>
  <c r="CX757" i="12"/>
  <c r="DE755" i="12"/>
  <c r="CE59" i="22"/>
  <c r="AS118" i="1"/>
  <c r="AS116" i="1"/>
  <c r="W11" i="6"/>
  <c r="I22" i="19"/>
  <c r="I28" i="19" s="1"/>
  <c r="H37" i="19"/>
  <c r="H38" i="19"/>
  <c r="DJ54" i="6"/>
  <c r="AR89" i="1"/>
  <c r="AR91" i="1"/>
  <c r="AV92" i="1" s="1"/>
  <c r="AR88" i="1"/>
  <c r="AV88" i="1"/>
  <c r="BL91" i="1"/>
  <c r="BL88" i="1"/>
  <c r="BL89" i="1"/>
  <c r="BL128" i="1"/>
  <c r="BL154" i="1"/>
  <c r="CQ595" i="12"/>
  <c r="CR593" i="12" s="1"/>
  <c r="CI239" i="12"/>
  <c r="CJ233" i="12"/>
  <c r="CJ228" i="12" s="1"/>
  <c r="CE232" i="12"/>
  <c r="CF254" i="12"/>
  <c r="BS116" i="22" s="1"/>
  <c r="BT127" i="1"/>
  <c r="BT128" i="1"/>
  <c r="BT129" i="1"/>
  <c r="S365" i="12"/>
  <c r="S469" i="12"/>
  <c r="T107" i="11"/>
  <c r="DL169" i="7"/>
  <c r="DL174" i="7"/>
  <c r="DL186" i="7"/>
  <c r="W168" i="7"/>
  <c r="CP46" i="6"/>
  <c r="CR73" i="7"/>
  <c r="CR72" i="7"/>
  <c r="CR74" i="7"/>
  <c r="CP47" i="6"/>
  <c r="CT46" i="6"/>
  <c r="R45" i="6"/>
  <c r="I88" i="1"/>
  <c r="I154" i="1"/>
  <c r="I91" i="1"/>
  <c r="BV87" i="1"/>
  <c r="I128" i="1"/>
  <c r="I89" i="1"/>
  <c r="I94" i="1"/>
  <c r="CF34" i="16"/>
  <c r="U145" i="17"/>
  <c r="U147" i="17" s="1"/>
  <c r="U142" i="17"/>
  <c r="P69" i="22"/>
  <c r="BG195" i="12"/>
  <c r="BH196" i="12" s="1"/>
  <c r="CL107" i="13"/>
  <c r="CP105" i="13"/>
  <c r="V284" i="12"/>
  <c r="V283" i="12"/>
  <c r="V282" i="12"/>
  <c r="CA19" i="6"/>
  <c r="BW19" i="6"/>
  <c r="N18" i="6"/>
  <c r="DC70" i="7"/>
  <c r="DD31" i="6"/>
  <c r="CZ17" i="6"/>
  <c r="DC19" i="17"/>
  <c r="CZ47" i="6"/>
  <c r="DB71" i="7"/>
  <c r="CZ55" i="6"/>
  <c r="CP51" i="22"/>
  <c r="CP52" i="22" s="1"/>
  <c r="CP76" i="22"/>
  <c r="CZ59" i="6"/>
  <c r="DC41" i="17"/>
  <c r="DC143" i="17"/>
  <c r="DC146" i="17"/>
  <c r="DM127" i="17"/>
  <c r="DM128" i="17"/>
  <c r="J10" i="37" s="1"/>
  <c r="T19" i="6"/>
  <c r="U19" i="6"/>
  <c r="CZ63" i="11"/>
  <c r="CR19" i="6"/>
  <c r="DA27" i="11"/>
  <c r="DA28" i="11" s="1"/>
  <c r="V26" i="11"/>
  <c r="V27" i="11" s="1"/>
  <c r="V28" i="11" s="1"/>
  <c r="DD755" i="12"/>
  <c r="J30" i="19"/>
  <c r="I38" i="19"/>
  <c r="CK107" i="13"/>
  <c r="CK118" i="13" s="1"/>
  <c r="CO105" i="13"/>
  <c r="X60" i="13"/>
  <c r="S124" i="22" s="1"/>
  <c r="S123" i="22"/>
  <c r="CQ59" i="14"/>
  <c r="CP60" i="14"/>
  <c r="CP71" i="14"/>
  <c r="CP61" i="14"/>
  <c r="I59" i="17"/>
  <c r="DM299" i="12"/>
  <c r="L138" i="14"/>
  <c r="K139" i="14"/>
  <c r="K140" i="14" s="1"/>
  <c r="CO120" i="15"/>
  <c r="BZ62" i="11"/>
  <c r="BZ45" i="11"/>
  <c r="BZ46" i="11" s="1"/>
  <c r="DF108" i="11"/>
  <c r="U30" i="6"/>
  <c r="DM135" i="13"/>
  <c r="DM136" i="13"/>
  <c r="CZ80" i="22"/>
  <c r="CZ55" i="22"/>
  <c r="DM134" i="13"/>
  <c r="DM131" i="13" s="1"/>
  <c r="BM111" i="15"/>
  <c r="BL110" i="15"/>
  <c r="DL283" i="12"/>
  <c r="DL282" i="12"/>
  <c r="X754" i="12"/>
  <c r="Y755" i="12" s="1"/>
  <c r="Y757" i="12" s="1"/>
  <c r="DL308" i="12"/>
  <c r="DL307" i="12"/>
  <c r="BH91" i="1"/>
  <c r="BH89" i="1"/>
  <c r="BH154" i="1"/>
  <c r="BH128" i="1"/>
  <c r="BH88" i="1"/>
  <c r="H58" i="1"/>
  <c r="H57" i="1"/>
  <c r="CN107" i="13"/>
  <c r="CN118" i="13" s="1"/>
  <c r="CR105" i="13"/>
  <c r="S111" i="17"/>
  <c r="T109" i="17"/>
  <c r="S109" i="17"/>
  <c r="S131" i="17"/>
  <c r="W107" i="11"/>
  <c r="W58" i="11"/>
  <c r="W67" i="11"/>
  <c r="W516" i="12"/>
  <c r="W519" i="12" s="1"/>
  <c r="W524" i="12" s="1"/>
  <c r="W41" i="11"/>
  <c r="W48" i="12"/>
  <c r="V250" i="12"/>
  <c r="V346" i="12"/>
  <c r="G40" i="19"/>
  <c r="J105" i="22"/>
  <c r="P125" i="1"/>
  <c r="P130" i="1"/>
  <c r="Q124" i="1"/>
  <c r="K94" i="1"/>
  <c r="K168" i="1"/>
  <c r="K171" i="1" s="1"/>
  <c r="K174" i="1" s="1"/>
  <c r="K89" i="1"/>
  <c r="K91" i="1"/>
  <c r="K154" i="1"/>
  <c r="BX87" i="1"/>
  <c r="K128" i="1"/>
  <c r="DG26" i="11"/>
  <c r="DG27" i="11" s="1"/>
  <c r="DG28" i="11" s="1"/>
  <c r="DM17" i="16"/>
  <c r="W16" i="16"/>
  <c r="DM24" i="16"/>
  <c r="W129" i="17"/>
  <c r="I13" i="5"/>
  <c r="X125" i="15"/>
  <c r="W127" i="15"/>
  <c r="BM154" i="1"/>
  <c r="BM91" i="1"/>
  <c r="BM88" i="1"/>
  <c r="BM128" i="1"/>
  <c r="BM89" i="1"/>
  <c r="O254" i="12"/>
  <c r="CC6" i="6"/>
  <c r="BF43" i="15"/>
  <c r="BF20" i="15" s="1"/>
  <c r="BF11" i="15" s="1"/>
  <c r="BF47" i="15"/>
  <c r="BF46" i="15" s="1"/>
  <c r="BF30" i="15" s="1"/>
  <c r="BE44" i="15"/>
  <c r="BT100" i="1"/>
  <c r="BT106" i="1" s="1"/>
  <c r="BU89" i="1"/>
  <c r="BU88" i="1"/>
  <c r="BU136" i="1"/>
  <c r="BU153" i="1" s="1"/>
  <c r="BU154" i="1" s="1"/>
  <c r="N132" i="1"/>
  <c r="DC26" i="22"/>
  <c r="I77" i="1"/>
  <c r="BF88" i="1"/>
  <c r="BF89" i="1"/>
  <c r="BF91" i="1"/>
  <c r="BF128" i="1"/>
  <c r="BF154" i="1"/>
  <c r="BF198" i="12"/>
  <c r="BE205" i="12"/>
  <c r="BE198" i="12" s="1"/>
  <c r="BE195" i="12" s="1"/>
  <c r="CH118" i="13"/>
  <c r="Q71" i="8"/>
  <c r="Q701" i="12"/>
  <c r="N35" i="8"/>
  <c r="N65" i="8"/>
  <c r="W31" i="12"/>
  <c r="W26" i="12"/>
  <c r="W116" i="17"/>
  <c r="DI14" i="6"/>
  <c r="DL32" i="12"/>
  <c r="DL54" i="12"/>
  <c r="CY46" i="22"/>
  <c r="CY50" i="22" s="1"/>
  <c r="DF14" i="11"/>
  <c r="DL40" i="12"/>
  <c r="DL43" i="12"/>
  <c r="DL69" i="12"/>
  <c r="DL49" i="12"/>
  <c r="DL78" i="12"/>
  <c r="DL65" i="12"/>
  <c r="DL62" i="12"/>
  <c r="CT71" i="7"/>
  <c r="CU146" i="17"/>
  <c r="CR17" i="6"/>
  <c r="CR55" i="6"/>
  <c r="CU70" i="7"/>
  <c r="CH51" i="22"/>
  <c r="CH52" i="22" s="1"/>
  <c r="CR47" i="6"/>
  <c r="CU41" i="17"/>
  <c r="CU19" i="17"/>
  <c r="CU143" i="17"/>
  <c r="CH76" i="22"/>
  <c r="CR59" i="6"/>
  <c r="BP88" i="1"/>
  <c r="BP89" i="1"/>
  <c r="BP128" i="1"/>
  <c r="BP91" i="1"/>
  <c r="BP154" i="1"/>
  <c r="CB88" i="6"/>
  <c r="CB79" i="6"/>
  <c r="CE110" i="7" s="1"/>
  <c r="CE117" i="7" s="1"/>
  <c r="CB77" i="6"/>
  <c r="BS100" i="15"/>
  <c r="BR99" i="15"/>
  <c r="DG37" i="16"/>
  <c r="V24" i="16"/>
  <c r="DG41" i="16"/>
  <c r="DA44" i="11"/>
  <c r="DG25" i="16"/>
  <c r="DG30" i="16"/>
  <c r="DG33" i="16" s="1"/>
  <c r="DK25" i="16"/>
  <c r="DC755" i="12"/>
  <c r="CJ37" i="13"/>
  <c r="CJ41" i="13" s="1"/>
  <c r="CJ53" i="14"/>
  <c r="BW35" i="22"/>
  <c r="CJ47" i="14"/>
  <c r="CJ57" i="14" s="1"/>
  <c r="CN46" i="14"/>
  <c r="CK47" i="14"/>
  <c r="CK57" i="14" s="1"/>
  <c r="CG121" i="13"/>
  <c r="CG122" i="13" s="1"/>
  <c r="BR92" i="1"/>
  <c r="BR94" i="1"/>
  <c r="BE89" i="1"/>
  <c r="BE88" i="1"/>
  <c r="BE128" i="1"/>
  <c r="BE91" i="1"/>
  <c r="BI88" i="1"/>
  <c r="BE154" i="1"/>
  <c r="DC86" i="6"/>
  <c r="DC75" i="6"/>
  <c r="DC56" i="6"/>
  <c r="DC71" i="6"/>
  <c r="DC50" i="6"/>
  <c r="DC41" i="6"/>
  <c r="DC63" i="6"/>
  <c r="DC44" i="6"/>
  <c r="DG36" i="6"/>
  <c r="G7" i="37" s="1"/>
  <c r="DC69" i="6"/>
  <c r="K357" i="21"/>
  <c r="K359" i="21"/>
  <c r="CA77" i="22"/>
  <c r="CK61" i="6"/>
  <c r="CN20" i="17"/>
  <c r="CA61" i="22"/>
  <c r="CN94" i="7"/>
  <c r="CN95" i="7"/>
  <c r="CN109" i="7"/>
  <c r="CK58" i="6"/>
  <c r="N81" i="1"/>
  <c r="BZ79" i="1"/>
  <c r="CK232" i="12"/>
  <c r="P101" i="15"/>
  <c r="P21" i="16"/>
  <c r="P35" i="11"/>
  <c r="P36" i="11" s="1"/>
  <c r="P37" i="11" s="1"/>
  <c r="Q21" i="16"/>
  <c r="CH25" i="16"/>
  <c r="P24" i="16"/>
  <c r="CH41" i="16"/>
  <c r="CL25" i="16"/>
  <c r="CH37" i="16"/>
  <c r="CW92" i="12"/>
  <c r="CS349" i="13"/>
  <c r="R349" i="13" s="1"/>
  <c r="CS312" i="13"/>
  <c r="CS328" i="13"/>
  <c r="CS332" i="13"/>
  <c r="CS307" i="13"/>
  <c r="R306" i="13"/>
  <c r="P66" i="1"/>
  <c r="P76" i="1"/>
  <c r="BG94" i="1"/>
  <c r="BG92" i="1"/>
  <c r="BK92" i="1"/>
  <c r="M80" i="22"/>
  <c r="M55" i="22"/>
  <c r="R134" i="13"/>
  <c r="CF51" i="22"/>
  <c r="CF52" i="22" s="1"/>
  <c r="CS143" i="17"/>
  <c r="CS19" i="17"/>
  <c r="CR71" i="7"/>
  <c r="CF76" i="22"/>
  <c r="CS70" i="7"/>
  <c r="CP59" i="6"/>
  <c r="CS41" i="17"/>
  <c r="CS146" i="17"/>
  <c r="CP17" i="6"/>
  <c r="BY108" i="11"/>
  <c r="BR59" i="22"/>
  <c r="BY72" i="11"/>
  <c r="BY73" i="11" s="1"/>
  <c r="DM186" i="7"/>
  <c r="DM174" i="7"/>
  <c r="DM169" i="7"/>
  <c r="DM175" i="7" s="1"/>
  <c r="DG58" i="11"/>
  <c r="DG107" i="11"/>
  <c r="DG67" i="11"/>
  <c r="CQ627" i="12"/>
  <c r="CR625" i="12" s="1"/>
  <c r="X103" i="11"/>
  <c r="DL65" i="8"/>
  <c r="DL59" i="8"/>
  <c r="W298" i="12"/>
  <c r="P87" i="14"/>
  <c r="I131" i="14"/>
  <c r="H134" i="14"/>
  <c r="M14" i="12"/>
  <c r="M11" i="12"/>
  <c r="M116" i="17"/>
  <c r="R12" i="16"/>
  <c r="M49" i="22"/>
  <c r="M50" i="22" s="1"/>
  <c r="DC405" i="21"/>
  <c r="CP54" i="6"/>
  <c r="CP55" i="6"/>
  <c r="CT54" i="6"/>
  <c r="CK107" i="11"/>
  <c r="CK18" i="11"/>
  <c r="CK62" i="11"/>
  <c r="I58" i="22"/>
  <c r="BV108" i="11"/>
  <c r="BV72" i="11"/>
  <c r="BV73" i="11" s="1"/>
  <c r="CK45" i="11"/>
  <c r="CK46" i="11" s="1"/>
  <c r="O56" i="14"/>
  <c r="AU89" i="1"/>
  <c r="AU88" i="1"/>
  <c r="AU91" i="1"/>
  <c r="AY88" i="1"/>
  <c r="CG221" i="12"/>
  <c r="BT116" i="22"/>
  <c r="CH452" i="12"/>
  <c r="CH263" i="12"/>
  <c r="CH361" i="12"/>
  <c r="CH359" i="12" s="1"/>
  <c r="CH246" i="12"/>
  <c r="P246" i="12" s="1"/>
  <c r="DM178" i="15"/>
  <c r="DM176" i="15"/>
  <c r="DM175" i="15"/>
  <c r="DM177" i="15"/>
  <c r="DM174" i="15"/>
  <c r="V119" i="17"/>
  <c r="V120" i="17"/>
  <c r="V557" i="12"/>
  <c r="R18" i="6"/>
  <c r="S19" i="6" s="1"/>
  <c r="BT107" i="1"/>
  <c r="CF121" i="13"/>
  <c r="CF127" i="13" s="1"/>
  <c r="DN24" i="12"/>
  <c r="DN25" i="12"/>
  <c r="K13" i="37" s="1"/>
  <c r="DN304" i="12"/>
  <c r="X304" i="12" s="1"/>
  <c r="CF38" i="16"/>
  <c r="CJ38" i="16"/>
  <c r="CT603" i="12"/>
  <c r="CU601" i="12" s="1"/>
  <c r="J148" i="22"/>
  <c r="DG285" i="12"/>
  <c r="DK285" i="12"/>
  <c r="BT62" i="11"/>
  <c r="BT18" i="11"/>
  <c r="BT19" i="11" s="1"/>
  <c r="BS87" i="1"/>
  <c r="CZ86" i="6"/>
  <c r="CZ75" i="6"/>
  <c r="CZ63" i="6"/>
  <c r="CZ71" i="6"/>
  <c r="CZ41" i="6"/>
  <c r="CZ69" i="6"/>
  <c r="CZ56" i="6"/>
  <c r="CZ44" i="6"/>
  <c r="CZ50" i="6"/>
  <c r="DM147" i="17"/>
  <c r="CZ108" i="11"/>
  <c r="CZ72" i="11"/>
  <c r="V11" i="6"/>
  <c r="V30" i="6"/>
  <c r="V47" i="6" s="1"/>
  <c r="J35" i="22"/>
  <c r="H47" i="14"/>
  <c r="H57" i="14" s="1"/>
  <c r="G53" i="14"/>
  <c r="H46" i="14"/>
  <c r="DL334" i="12"/>
  <c r="DL303" i="12"/>
  <c r="DL302" i="12"/>
  <c r="DL321" i="12"/>
  <c r="DL339" i="12"/>
  <c r="DL328" i="12"/>
  <c r="R17" i="11"/>
  <c r="CR44" i="6"/>
  <c r="CR69" i="6"/>
  <c r="CR75" i="6"/>
  <c r="CR56" i="6"/>
  <c r="CR71" i="6"/>
  <c r="CR86" i="6"/>
  <c r="CR63" i="6"/>
  <c r="CR41" i="6"/>
  <c r="CR50" i="6"/>
  <c r="CR13" i="6"/>
  <c r="CB7" i="11"/>
  <c r="CH6" i="17"/>
  <c r="CH6" i="7"/>
  <c r="BU3" i="22"/>
  <c r="CH6" i="15"/>
  <c r="CH6" i="12"/>
  <c r="CH6" i="16"/>
  <c r="CH6" i="13"/>
  <c r="CH6" i="14"/>
  <c r="CH7" i="8"/>
  <c r="Q337" i="13"/>
  <c r="W57" i="17"/>
  <c r="W250" i="12"/>
  <c r="AA25" i="37" s="1"/>
  <c r="DM301" i="12"/>
  <c r="DM136" i="17"/>
  <c r="DM116" i="17" s="1"/>
  <c r="DM26" i="12"/>
  <c r="J14" i="37" s="1"/>
  <c r="CZ85" i="22"/>
  <c r="CZ84" i="22"/>
  <c r="DM31" i="12"/>
  <c r="DM120" i="17"/>
  <c r="U365" i="12"/>
  <c r="U469" i="12"/>
  <c r="CL143" i="17"/>
  <c r="CI47" i="6"/>
  <c r="CB453" i="21"/>
  <c r="CL70" i="7"/>
  <c r="CI55" i="6"/>
  <c r="BY76" i="22"/>
  <c r="CI17" i="6"/>
  <c r="CL146" i="17"/>
  <c r="CI59" i="6"/>
  <c r="BY51" i="22"/>
  <c r="BY52" i="22" s="1"/>
  <c r="CK71" i="7"/>
  <c r="CI33" i="6"/>
  <c r="CL41" i="17"/>
  <c r="CL19" i="17"/>
  <c r="CI56" i="6"/>
  <c r="O78" i="1"/>
  <c r="O77" i="1"/>
  <c r="O44" i="11"/>
  <c r="O27" i="11"/>
  <c r="O28" i="11" s="1"/>
  <c r="W119" i="17"/>
  <c r="R615" i="12"/>
  <c r="S613" i="12" s="1"/>
  <c r="S615" i="12" s="1"/>
  <c r="CT613" i="12"/>
  <c r="P76" i="11"/>
  <c r="BF360" i="21"/>
  <c r="BF362" i="21"/>
  <c r="BF363" i="21" s="1"/>
  <c r="H30" i="20"/>
  <c r="G38" i="20"/>
  <c r="G37" i="20"/>
  <c r="BD3" i="1"/>
  <c r="BD4" i="1" s="1"/>
  <c r="BD116" i="1"/>
  <c r="BD117" i="1" s="1"/>
  <c r="BD95" i="1"/>
  <c r="CS669" i="12"/>
  <c r="R669" i="12" s="1"/>
  <c r="CW108" i="11"/>
  <c r="CL632" i="12"/>
  <c r="CM577" i="12"/>
  <c r="CO343" i="13"/>
  <c r="CO345" i="13" s="1"/>
  <c r="CO347" i="13" s="1"/>
  <c r="Q65" i="1"/>
  <c r="Q66" i="1" s="1"/>
  <c r="R68" i="1"/>
  <c r="R65" i="1" s="1"/>
  <c r="BO60" i="22"/>
  <c r="BO62" i="22" s="1"/>
  <c r="DJ11" i="6"/>
  <c r="DJ12" i="6"/>
  <c r="V55" i="12"/>
  <c r="AS91" i="1"/>
  <c r="AW92" i="1" s="1"/>
  <c r="AS89" i="1"/>
  <c r="AS88" i="1"/>
  <c r="AW88" i="1"/>
  <c r="L66" i="22"/>
  <c r="Q136" i="17"/>
  <c r="Q135" i="17"/>
  <c r="R135" i="17"/>
  <c r="J77" i="1"/>
  <c r="J87" i="1"/>
  <c r="J78" i="1"/>
  <c r="J131" i="1"/>
  <c r="J132" i="1" s="1"/>
  <c r="J81" i="1"/>
  <c r="J170" i="1" s="1"/>
  <c r="CG25" i="16"/>
  <c r="CG37" i="16"/>
  <c r="CK25" i="16"/>
  <c r="P131" i="17"/>
  <c r="P132" i="17" s="1"/>
  <c r="W127" i="17"/>
  <c r="W141" i="17"/>
  <c r="AO89" i="1"/>
  <c r="AO88" i="1"/>
  <c r="DM65" i="8"/>
  <c r="DM59" i="8"/>
  <c r="CM26" i="11"/>
  <c r="CS24" i="16"/>
  <c r="CW17" i="16"/>
  <c r="CS17" i="16"/>
  <c r="R16" i="16"/>
  <c r="CQ33" i="16"/>
  <c r="CJ101" i="15"/>
  <c r="N70" i="11"/>
  <c r="N79" i="11" s="1"/>
  <c r="CX99" i="15"/>
  <c r="CX101" i="15" s="1"/>
  <c r="CX102" i="15" s="1"/>
  <c r="CY100" i="15"/>
  <c r="R148" i="22"/>
  <c r="X19" i="15"/>
  <c r="S8" i="22"/>
  <c r="BW31" i="6"/>
  <c r="BW44" i="6"/>
  <c r="BW47" i="6"/>
  <c r="N30" i="6"/>
  <c r="BW69" i="6"/>
  <c r="BW33" i="6"/>
  <c r="BW55" i="6"/>
  <c r="BW75" i="6"/>
  <c r="BW17" i="6"/>
  <c r="BM76" i="22"/>
  <c r="I76" i="22" s="1"/>
  <c r="I87" i="22" s="1"/>
  <c r="BZ143" i="17"/>
  <c r="BW32" i="6"/>
  <c r="BW56" i="6"/>
  <c r="BW35" i="6"/>
  <c r="N35" i="6" s="1"/>
  <c r="BW50" i="6"/>
  <c r="BZ70" i="7"/>
  <c r="BW41" i="6"/>
  <c r="BZ19" i="17"/>
  <c r="BM51" i="22"/>
  <c r="BM52" i="22" s="1"/>
  <c r="BX33" i="6"/>
  <c r="CA31" i="6"/>
  <c r="BZ41" i="17"/>
  <c r="BX32" i="6"/>
  <c r="BW86" i="6"/>
  <c r="BW59" i="6"/>
  <c r="BW71" i="6"/>
  <c r="BW13" i="6"/>
  <c r="BT91" i="1"/>
  <c r="BT88" i="1"/>
  <c r="BT89" i="1"/>
  <c r="BT136" i="1"/>
  <c r="BT153" i="1" s="1"/>
  <c r="BT154" i="1" s="1"/>
  <c r="W40" i="6"/>
  <c r="DK71" i="8"/>
  <c r="DK66" i="8"/>
  <c r="DK69" i="8" s="1"/>
  <c r="AJ89" i="1"/>
  <c r="AN88" i="1"/>
  <c r="AW117" i="1"/>
  <c r="BA117" i="1"/>
  <c r="CP664" i="12"/>
  <c r="O233" i="12"/>
  <c r="CF233" i="12"/>
  <c r="CG239" i="12"/>
  <c r="CG286" i="12"/>
  <c r="CH156" i="12" s="1"/>
  <c r="CG238" i="12"/>
  <c r="O199" i="12"/>
  <c r="V136" i="17"/>
  <c r="V145" i="17"/>
  <c r="W135" i="17"/>
  <c r="V135" i="17"/>
  <c r="V142" i="17"/>
  <c r="Q66" i="22"/>
  <c r="Q70" i="22" s="1"/>
  <c r="BU126" i="1"/>
  <c r="N105" i="1"/>
  <c r="BU108" i="1"/>
  <c r="BU99" i="1" s="1"/>
  <c r="BU91" i="1" s="1"/>
  <c r="CU38" i="16"/>
  <c r="W92" i="8"/>
  <c r="W44" i="8"/>
  <c r="W77" i="8"/>
  <c r="W121" i="8"/>
  <c r="DN22" i="12"/>
  <c r="DN298" i="12"/>
  <c r="DN314" i="12"/>
  <c r="DN315" i="12" s="1"/>
  <c r="I132" i="1"/>
  <c r="O24" i="16"/>
  <c r="N17" i="11"/>
  <c r="N62" i="11" s="1"/>
  <c r="N71" i="11" s="1"/>
  <c r="N80" i="11" s="1"/>
  <c r="O12" i="16"/>
  <c r="N12" i="16"/>
  <c r="BS28" i="22"/>
  <c r="CG219" i="13"/>
  <c r="DJ46" i="6"/>
  <c r="DL72" i="7"/>
  <c r="W45" i="6"/>
  <c r="DL73" i="7"/>
  <c r="DL74" i="7"/>
  <c r="CC58" i="8"/>
  <c r="CC59" i="8"/>
  <c r="CW86" i="6"/>
  <c r="CW69" i="6"/>
  <c r="CW13" i="6"/>
  <c r="CM343" i="13"/>
  <c r="Q343" i="13" s="1"/>
  <c r="Q342" i="13"/>
  <c r="CE116" i="7"/>
  <c r="DM305" i="12"/>
  <c r="DM306" i="12"/>
  <c r="CJ52" i="14"/>
  <c r="Q19" i="6"/>
  <c r="BJ128" i="1"/>
  <c r="BN88" i="1"/>
  <c r="BJ91" i="1"/>
  <c r="L87" i="1"/>
  <c r="BJ88" i="1"/>
  <c r="BJ89" i="1"/>
  <c r="BJ154" i="1"/>
  <c r="DB755" i="12"/>
  <c r="W120" i="17"/>
  <c r="BZ87" i="1"/>
  <c r="N88" i="1"/>
  <c r="N94" i="1"/>
  <c r="N136" i="1"/>
  <c r="N89" i="1"/>
  <c r="N168" i="1"/>
  <c r="N171" i="1" s="1"/>
  <c r="N91" i="1"/>
  <c r="O143" i="17"/>
  <c r="CO556" i="12"/>
  <c r="CO557" i="12" s="1"/>
  <c r="CN557" i="12"/>
  <c r="J65" i="22"/>
  <c r="J70" i="22" s="1"/>
  <c r="G112" i="35"/>
  <c r="G113" i="35" s="1"/>
  <c r="P144" i="14"/>
  <c r="P79" i="14"/>
  <c r="P77" i="14" s="1"/>
  <c r="P78" i="14" s="1"/>
  <c r="P100" i="14"/>
  <c r="CV178" i="12"/>
  <c r="CV132" i="12"/>
  <c r="CV133" i="12" s="1"/>
  <c r="CV223" i="12"/>
  <c r="CV179" i="12"/>
  <c r="CV336" i="12" s="1"/>
  <c r="CV337" i="12" s="1"/>
  <c r="CV312" i="12"/>
  <c r="CV106" i="12"/>
  <c r="CV322" i="12"/>
  <c r="CV222" i="12"/>
  <c r="CV221" i="12"/>
  <c r="CU336" i="12"/>
  <c r="CU337" i="12" s="1"/>
  <c r="CU316" i="12"/>
  <c r="CU317" i="12" s="1"/>
  <c r="CW105" i="12"/>
  <c r="CW131" i="12"/>
  <c r="CW176" i="12"/>
  <c r="CW218" i="12"/>
  <c r="CW130" i="12"/>
  <c r="CW104" i="12"/>
  <c r="S103" i="12"/>
  <c r="CJ37" i="22"/>
  <c r="CX103" i="12"/>
  <c r="CW473" i="12"/>
  <c r="T127" i="12"/>
  <c r="T128" i="12" s="1"/>
  <c r="U127" i="12"/>
  <c r="U128" i="12" s="1"/>
  <c r="Q127" i="12"/>
  <c r="Q128" i="12" s="1"/>
  <c r="K93" i="22"/>
  <c r="DN135" i="13"/>
  <c r="DK12" i="6"/>
  <c r="DK11" i="6"/>
  <c r="S49" i="22"/>
  <c r="X17" i="11"/>
  <c r="X12" i="16"/>
  <c r="X18" i="6"/>
  <c r="X19" i="6" s="1"/>
  <c r="DD49" i="22"/>
  <c r="DK17" i="11"/>
  <c r="X27" i="7"/>
  <c r="AA15" i="7"/>
  <c r="DN119" i="7"/>
  <c r="DQ78" i="8"/>
  <c r="X52" i="8"/>
  <c r="X101" i="7"/>
  <c r="DC7" i="22"/>
  <c r="DC9" i="22" s="1"/>
  <c r="DC13" i="22" s="1"/>
  <c r="DC22" i="22" s="1"/>
  <c r="DN757" i="12"/>
  <c r="DN429" i="12"/>
  <c r="DN430" i="12" s="1"/>
  <c r="DR431" i="12" s="1"/>
  <c r="CR179" i="15" l="1"/>
  <c r="BX90" i="15"/>
  <c r="BW118" i="15"/>
  <c r="BW119" i="15" s="1"/>
  <c r="BW215" i="13"/>
  <c r="BW257" i="13" s="1"/>
  <c r="BX98" i="15"/>
  <c r="BX101" i="15" s="1"/>
  <c r="BW91" i="15"/>
  <c r="BW112" i="15"/>
  <c r="L96" i="15"/>
  <c r="D130" i="14"/>
  <c r="K78" i="15"/>
  <c r="DD164" i="15"/>
  <c r="BL11" i="15"/>
  <c r="BL19" i="15"/>
  <c r="BN47" i="15"/>
  <c r="BN46" i="15" s="1"/>
  <c r="BO44" i="15"/>
  <c r="BN43" i="15"/>
  <c r="BM48" i="15"/>
  <c r="BM30" i="15"/>
  <c r="BM45" i="15"/>
  <c r="BM20" i="15"/>
  <c r="DL178" i="15"/>
  <c r="Y138" i="15"/>
  <c r="Z136" i="15"/>
  <c r="Z138" i="15" s="1"/>
  <c r="T701" i="12"/>
  <c r="T702" i="12" s="1"/>
  <c r="T703" i="12" s="1"/>
  <c r="T704" i="12" s="1"/>
  <c r="Q154" i="12"/>
  <c r="BV441" i="12"/>
  <c r="BR441" i="12"/>
  <c r="R154" i="12"/>
  <c r="R66" i="12"/>
  <c r="R72" i="12"/>
  <c r="M56" i="22"/>
  <c r="X305" i="12"/>
  <c r="CL165" i="12"/>
  <c r="CI50" i="6"/>
  <c r="Q283" i="12"/>
  <c r="R337" i="12"/>
  <c r="R15" i="6"/>
  <c r="CH76" i="6"/>
  <c r="CH79" i="6" s="1"/>
  <c r="CK110" i="7" s="1"/>
  <c r="BR442" i="12"/>
  <c r="CH35" i="6"/>
  <c r="CD35" i="6" s="1"/>
  <c r="CE145" i="14"/>
  <c r="CE146" i="14" s="1"/>
  <c r="AC59" i="13"/>
  <c r="X123" i="22" s="1"/>
  <c r="AE60" i="13"/>
  <c r="Y124" i="22"/>
  <c r="T138" i="12"/>
  <c r="U120" i="6"/>
  <c r="AA358" i="12"/>
  <c r="BT46" i="17"/>
  <c r="BX56" i="12"/>
  <c r="J47" i="17"/>
  <c r="J48" i="17" s="1"/>
  <c r="S87" i="12"/>
  <c r="BU55" i="12"/>
  <c r="L55" i="12" s="1"/>
  <c r="CO70" i="7"/>
  <c r="CL63" i="6"/>
  <c r="CL76" i="6" s="1"/>
  <c r="CO146" i="17"/>
  <c r="CI19" i="11"/>
  <c r="CL75" i="6"/>
  <c r="R136" i="12"/>
  <c r="I144" i="12"/>
  <c r="BZ442" i="12"/>
  <c r="CU341" i="12"/>
  <c r="CU342" i="12" s="1"/>
  <c r="CU309" i="12"/>
  <c r="CU311" i="12" s="1"/>
  <c r="CP31" i="6"/>
  <c r="CB51" i="22"/>
  <c r="CB52" i="22" s="1"/>
  <c r="CL33" i="6"/>
  <c r="CE453" i="21"/>
  <c r="CL17" i="6"/>
  <c r="CL69" i="6"/>
  <c r="CL86" i="6"/>
  <c r="Y103" i="6"/>
  <c r="CO41" i="17"/>
  <c r="CO19" i="17"/>
  <c r="CN71" i="7"/>
  <c r="DO80" i="6"/>
  <c r="DP80" i="6" s="1"/>
  <c r="DQ80" i="6" s="1"/>
  <c r="DT80" i="6" s="1"/>
  <c r="DU80" i="6" s="1"/>
  <c r="DV80" i="6" s="1"/>
  <c r="CU35" i="17"/>
  <c r="CL44" i="6"/>
  <c r="CL41" i="6"/>
  <c r="CL50" i="6"/>
  <c r="Z110" i="6"/>
  <c r="CI73" i="11"/>
  <c r="CB62" i="22"/>
  <c r="CB77" i="22"/>
  <c r="CL56" i="6"/>
  <c r="CO109" i="7" s="1"/>
  <c r="CO116" i="7" s="1"/>
  <c r="CO20" i="17"/>
  <c r="CL13" i="6"/>
  <c r="DL174" i="15"/>
  <c r="DL176" i="15"/>
  <c r="DL177" i="15"/>
  <c r="DO179" i="15"/>
  <c r="DT85" i="12"/>
  <c r="DU85" i="12" s="1"/>
  <c r="DU87" i="12" s="1"/>
  <c r="DU89" i="12" s="1"/>
  <c r="DU92" i="12" s="1"/>
  <c r="DS87" i="12"/>
  <c r="DS89" i="12" s="1"/>
  <c r="DS92" i="12" s="1"/>
  <c r="DJ111" i="8"/>
  <c r="CW56" i="6"/>
  <c r="CW41" i="6"/>
  <c r="CW50" i="6"/>
  <c r="BY442" i="12"/>
  <c r="S66" i="12"/>
  <c r="BY441" i="12"/>
  <c r="CY164" i="15"/>
  <c r="R262" i="12"/>
  <c r="AI257" i="12"/>
  <c r="AD257" i="12"/>
  <c r="AD358" i="12" s="1"/>
  <c r="L165" i="12"/>
  <c r="CW75" i="6"/>
  <c r="CW71" i="6"/>
  <c r="DA755" i="12"/>
  <c r="CZ755" i="12"/>
  <c r="M146" i="12"/>
  <c r="BE94" i="12"/>
  <c r="U87" i="12"/>
  <c r="P135" i="12"/>
  <c r="P446" i="12" s="1"/>
  <c r="T66" i="12"/>
  <c r="DN164" i="15"/>
  <c r="CL146" i="12"/>
  <c r="L440" i="12"/>
  <c r="M441" i="12" s="1"/>
  <c r="CL440" i="12"/>
  <c r="Q323" i="12"/>
  <c r="R323" i="12"/>
  <c r="CW44" i="6"/>
  <c r="CY755" i="12"/>
  <c r="CH446" i="12"/>
  <c r="V66" i="12"/>
  <c r="CS111" i="8"/>
  <c r="CS115" i="8" s="1"/>
  <c r="CS95" i="8" s="1"/>
  <c r="DA36" i="6"/>
  <c r="H70" i="12"/>
  <c r="CX86" i="6"/>
  <c r="CB76" i="22"/>
  <c r="CL32" i="6"/>
  <c r="CL61" i="6"/>
  <c r="CO95" i="7"/>
  <c r="CO94" i="7"/>
  <c r="R282" i="12"/>
  <c r="I70" i="12"/>
  <c r="CY35" i="17"/>
  <c r="AB358" i="12"/>
  <c r="L42" i="22"/>
  <c r="DJ179" i="15"/>
  <c r="CJ238" i="12"/>
  <c r="Q313" i="12"/>
  <c r="R313" i="12"/>
  <c r="Q341" i="12"/>
  <c r="Q342" i="12" s="1"/>
  <c r="H144" i="12"/>
  <c r="DY137" i="12"/>
  <c r="DY138" i="12" s="1"/>
  <c r="Z289" i="12"/>
  <c r="Z290" i="12" s="1"/>
  <c r="R317" i="12"/>
  <c r="H165" i="12"/>
  <c r="CK88" i="7"/>
  <c r="BZ92" i="12"/>
  <c r="BZ96" i="12" s="1"/>
  <c r="H71" i="12"/>
  <c r="DW755" i="12"/>
  <c r="DS755" i="12"/>
  <c r="Z753" i="12"/>
  <c r="Z656" i="12"/>
  <c r="AA753" i="12"/>
  <c r="DM757" i="12"/>
  <c r="DX755" i="12"/>
  <c r="DT755" i="12"/>
  <c r="DR755" i="12"/>
  <c r="AG753" i="12"/>
  <c r="AF754" i="12"/>
  <c r="AG755" i="12" s="1"/>
  <c r="AG757" i="12" s="1"/>
  <c r="AF724" i="12"/>
  <c r="AE725" i="12"/>
  <c r="AF753" i="12"/>
  <c r="AD765" i="12"/>
  <c r="AD767" i="12" s="1"/>
  <c r="AE764" i="12"/>
  <c r="AG761" i="12"/>
  <c r="AG762" i="12" s="1"/>
  <c r="AG764" i="12" s="1"/>
  <c r="AF762" i="12"/>
  <c r="AF763" i="12" s="1"/>
  <c r="DW75" i="8"/>
  <c r="DU84" i="6"/>
  <c r="DT85" i="6"/>
  <c r="DT109" i="6"/>
  <c r="DW74" i="8"/>
  <c r="DW89" i="8"/>
  <c r="DU67" i="6"/>
  <c r="DR179" i="15"/>
  <c r="DE179" i="15"/>
  <c r="DY58" i="12"/>
  <c r="BY96" i="12"/>
  <c r="BY537" i="12"/>
  <c r="BY547" i="12" s="1"/>
  <c r="BY95" i="12"/>
  <c r="BY94" i="12"/>
  <c r="BY39" i="22"/>
  <c r="BY40" i="22" s="1"/>
  <c r="CL144" i="12"/>
  <c r="CP144" i="12"/>
  <c r="CP75" i="6"/>
  <c r="CO86" i="8"/>
  <c r="CW32" i="6"/>
  <c r="CZ41" i="17"/>
  <c r="CF76" i="6"/>
  <c r="CF88" i="6" s="1"/>
  <c r="CW59" i="6"/>
  <c r="CZ20" i="17" s="1"/>
  <c r="CT19" i="11"/>
  <c r="DA31" i="6"/>
  <c r="T82" i="35"/>
  <c r="T83" i="35" s="1"/>
  <c r="R82" i="35"/>
  <c r="R83" i="35" s="1"/>
  <c r="T46" i="35"/>
  <c r="T47" i="35" s="1"/>
  <c r="CW164" i="15"/>
  <c r="CV179" i="15"/>
  <c r="CY175" i="15"/>
  <c r="O41" i="13"/>
  <c r="O43" i="13" s="1"/>
  <c r="CH43" i="13"/>
  <c r="CH44" i="13"/>
  <c r="CF58" i="6"/>
  <c r="CX32" i="6"/>
  <c r="CM76" i="22"/>
  <c r="CZ70" i="7"/>
  <c r="CZ146" i="17"/>
  <c r="CF57" i="6"/>
  <c r="CW47" i="6"/>
  <c r="CZ19" i="17"/>
  <c r="CM51" i="22"/>
  <c r="CM52" i="22" s="1"/>
  <c r="CW17" i="6"/>
  <c r="CW55" i="6"/>
  <c r="CY71" i="7"/>
  <c r="CZ143" i="17"/>
  <c r="CW33" i="6"/>
  <c r="BV61" i="22"/>
  <c r="CL64" i="6"/>
  <c r="CK92" i="7"/>
  <c r="CI41" i="6"/>
  <c r="CH63" i="6"/>
  <c r="CK86" i="8" s="1"/>
  <c r="CK97" i="8" s="1"/>
  <c r="CK95" i="7"/>
  <c r="CI95" i="7"/>
  <c r="V18" i="11"/>
  <c r="V19" i="11" s="1"/>
  <c r="BX103" i="22"/>
  <c r="BX104" i="22" s="1"/>
  <c r="CF61" i="6"/>
  <c r="CI94" i="7"/>
  <c r="CI44" i="6"/>
  <c r="CI63" i="6"/>
  <c r="CI76" i="6" s="1"/>
  <c r="CI71" i="6"/>
  <c r="CH61" i="6"/>
  <c r="CK94" i="7"/>
  <c r="CI92" i="7"/>
  <c r="BV77" i="22"/>
  <c r="CF60" i="6"/>
  <c r="CJ88" i="7"/>
  <c r="CI69" i="6"/>
  <c r="CI86" i="6"/>
  <c r="Q35" i="6"/>
  <c r="Q41" i="6" s="1"/>
  <c r="BX61" i="22"/>
  <c r="BX77" i="22"/>
  <c r="AD59" i="13"/>
  <c r="CJ92" i="7"/>
  <c r="CI20" i="17"/>
  <c r="CI13" i="6"/>
  <c r="CE35" i="6"/>
  <c r="CA35" i="6" s="1"/>
  <c r="CK20" i="17"/>
  <c r="P110" i="17"/>
  <c r="CO63" i="6"/>
  <c r="CO64" i="6" s="1"/>
  <c r="CT36" i="6"/>
  <c r="CP63" i="6"/>
  <c r="CP76" i="6" s="1"/>
  <c r="DC178" i="15"/>
  <c r="CP13" i="6"/>
  <c r="CP36" i="6"/>
  <c r="DD63" i="6"/>
  <c r="DD76" i="6" s="1"/>
  <c r="CS94" i="12"/>
  <c r="CO56" i="6"/>
  <c r="CL64" i="11" s="1"/>
  <c r="DC176" i="15"/>
  <c r="DD69" i="6"/>
  <c r="R89" i="12"/>
  <c r="R111" i="8" s="1"/>
  <c r="R115" i="8" s="1"/>
  <c r="R95" i="8" s="1"/>
  <c r="CS95" i="12"/>
  <c r="CS96" i="12"/>
  <c r="CP86" i="6"/>
  <c r="CP44" i="6"/>
  <c r="DA176" i="15"/>
  <c r="DD50" i="6"/>
  <c r="DD13" i="6"/>
  <c r="DD56" i="6"/>
  <c r="DD58" i="6" s="1"/>
  <c r="CK109" i="7"/>
  <c r="CK116" i="7" s="1"/>
  <c r="CR146" i="17"/>
  <c r="Y298" i="12"/>
  <c r="CP56" i="6"/>
  <c r="CT57" i="6" s="1"/>
  <c r="CP50" i="6"/>
  <c r="DA175" i="15"/>
  <c r="DD41" i="6"/>
  <c r="DD75" i="6"/>
  <c r="DD44" i="6"/>
  <c r="CH58" i="6"/>
  <c r="DD36" i="6"/>
  <c r="CP69" i="6"/>
  <c r="CP71" i="6"/>
  <c r="DA174" i="15"/>
  <c r="DD86" i="6"/>
  <c r="DT22" i="12"/>
  <c r="DP281" i="12"/>
  <c r="DT282" i="12" s="1"/>
  <c r="DP248" i="12"/>
  <c r="DS26" i="12"/>
  <c r="P14" i="37" s="1"/>
  <c r="DO315" i="12"/>
  <c r="DS315" i="12"/>
  <c r="CF91" i="14"/>
  <c r="CF90" i="14"/>
  <c r="CG88" i="14"/>
  <c r="BS34" i="22"/>
  <c r="CE142" i="14"/>
  <c r="BR33" i="22"/>
  <c r="CF92" i="12"/>
  <c r="CF96" i="12" s="1"/>
  <c r="DF30" i="17"/>
  <c r="CX164" i="15"/>
  <c r="W281" i="12"/>
  <c r="W283" i="12" s="1"/>
  <c r="DM284" i="12"/>
  <c r="R19" i="5"/>
  <c r="S18" i="5"/>
  <c r="S19" i="5" s="1"/>
  <c r="T30" i="16"/>
  <c r="T33" i="16" s="1"/>
  <c r="T25" i="16"/>
  <c r="T37" i="16"/>
  <c r="O59" i="22" s="1"/>
  <c r="U25" i="16"/>
  <c r="CQ60" i="22"/>
  <c r="P25" i="35"/>
  <c r="T25" i="35"/>
  <c r="S26" i="35"/>
  <c r="Q25" i="35"/>
  <c r="P26" i="35"/>
  <c r="T26" i="35"/>
  <c r="Q26" i="35"/>
  <c r="S25" i="35"/>
  <c r="R26" i="35"/>
  <c r="R25" i="35"/>
  <c r="R64" i="35"/>
  <c r="R65" i="35" s="1"/>
  <c r="P64" i="35"/>
  <c r="P65" i="35" s="1"/>
  <c r="S46" i="35"/>
  <c r="S47" i="35" s="1"/>
  <c r="S82" i="35"/>
  <c r="S83" i="35" s="1"/>
  <c r="Q64" i="35"/>
  <c r="Q65" i="35" s="1"/>
  <c r="Q82" i="35"/>
  <c r="Q83" i="35" s="1"/>
  <c r="P46" i="35"/>
  <c r="P47" i="35" s="1"/>
  <c r="Q46" i="35"/>
  <c r="Q47" i="35" s="1"/>
  <c r="T64" i="35"/>
  <c r="T65" i="35" s="1"/>
  <c r="P82" i="35"/>
  <c r="P83" i="35" s="1"/>
  <c r="O46" i="35"/>
  <c r="O47" i="35" s="1"/>
  <c r="AB754" i="12"/>
  <c r="AC755" i="12" s="1"/>
  <c r="AC757" i="12" s="1"/>
  <c r="AC753" i="12"/>
  <c r="W8" i="20"/>
  <c r="X7" i="20"/>
  <c r="W13" i="20"/>
  <c r="V23" i="20"/>
  <c r="V8" i="19"/>
  <c r="W7" i="19"/>
  <c r="X13" i="19"/>
  <c r="W23" i="19"/>
  <c r="O82" i="35"/>
  <c r="O83" i="35" s="1"/>
  <c r="O26" i="35"/>
  <c r="O25" i="35"/>
  <c r="O64" i="35"/>
  <c r="O65" i="35" s="1"/>
  <c r="CS550" i="12"/>
  <c r="CR696" i="12"/>
  <c r="CR697" i="12" s="1"/>
  <c r="CR698" i="12" s="1"/>
  <c r="CR702" i="12" s="1"/>
  <c r="CR703" i="12" s="1"/>
  <c r="CR704" i="12" s="1"/>
  <c r="CR557" i="12"/>
  <c r="CR568" i="12" s="1"/>
  <c r="DI164" i="15"/>
  <c r="CW176" i="15"/>
  <c r="CW177" i="15"/>
  <c r="L219" i="13"/>
  <c r="DH176" i="15"/>
  <c r="DH175" i="15"/>
  <c r="DJ164" i="15"/>
  <c r="DH178" i="15"/>
  <c r="CS175" i="15"/>
  <c r="CW175" i="15"/>
  <c r="CY174" i="15"/>
  <c r="CK76" i="6"/>
  <c r="CK88" i="6" s="1"/>
  <c r="CV94" i="12"/>
  <c r="CW178" i="15"/>
  <c r="CY178" i="15"/>
  <c r="CY176" i="15"/>
  <c r="DC35" i="17"/>
  <c r="V347" i="12"/>
  <c r="CN86" i="8"/>
  <c r="CV95" i="12"/>
  <c r="CY36" i="17"/>
  <c r="CO146" i="12"/>
  <c r="CB39" i="22"/>
  <c r="CB40" i="22" s="1"/>
  <c r="CO145" i="12"/>
  <c r="CO144" i="12"/>
  <c r="CO165" i="12"/>
  <c r="CP145" i="12"/>
  <c r="CO440" i="12"/>
  <c r="CV111" i="8"/>
  <c r="CV115" i="8" s="1"/>
  <c r="CV95" i="8" s="1"/>
  <c r="CO86" i="6"/>
  <c r="CO44" i="6"/>
  <c r="CT50" i="6"/>
  <c r="CK64" i="6"/>
  <c r="CW31" i="6"/>
  <c r="CT47" i="6"/>
  <c r="CV96" i="12"/>
  <c r="DA178" i="15"/>
  <c r="DC174" i="15"/>
  <c r="DC177" i="15"/>
  <c r="DH174" i="15"/>
  <c r="H440" i="12"/>
  <c r="H441" i="12" s="1"/>
  <c r="Q164" i="12"/>
  <c r="DD89" i="12"/>
  <c r="DD111" i="8" s="1"/>
  <c r="CA39" i="22"/>
  <c r="CA40" i="22" s="1"/>
  <c r="CN165" i="12"/>
  <c r="CN144" i="12"/>
  <c r="CN440" i="12"/>
  <c r="CN441" i="12" s="1"/>
  <c r="AA738" i="12"/>
  <c r="AB739" i="12"/>
  <c r="CR90" i="12"/>
  <c r="CR92" i="12"/>
  <c r="AB753" i="12"/>
  <c r="AA754" i="12"/>
  <c r="AA755" i="12" s="1"/>
  <c r="AA757" i="12" s="1"/>
  <c r="CO50" i="6"/>
  <c r="CT13" i="6"/>
  <c r="H146" i="12"/>
  <c r="CQ310" i="12"/>
  <c r="CD42" i="22"/>
  <c r="CR311" i="12"/>
  <c r="CZ89" i="12"/>
  <c r="CZ111" i="8" s="1"/>
  <c r="CZ115" i="8" s="1"/>
  <c r="CZ95" i="8" s="1"/>
  <c r="E117" i="35"/>
  <c r="AA566" i="12"/>
  <c r="AB563" i="12"/>
  <c r="AA42" i="8"/>
  <c r="AB15" i="7"/>
  <c r="U118" i="6"/>
  <c r="S11" i="6"/>
  <c r="CT71" i="6"/>
  <c r="CT44" i="6"/>
  <c r="CT69" i="6"/>
  <c r="CX41" i="6"/>
  <c r="CT86" i="6"/>
  <c r="CX36" i="6"/>
  <c r="CT63" i="6"/>
  <c r="CW86" i="8" s="1"/>
  <c r="CW97" i="8" s="1"/>
  <c r="DF29" i="17"/>
  <c r="CX69" i="6"/>
  <c r="CT41" i="6"/>
  <c r="CT75" i="6"/>
  <c r="DF53" i="17"/>
  <c r="CX63" i="6"/>
  <c r="CX64" i="6" s="1"/>
  <c r="DH34" i="16"/>
  <c r="DK96" i="12"/>
  <c r="T50" i="17"/>
  <c r="T45" i="17"/>
  <c r="CT36" i="17"/>
  <c r="DB45" i="11"/>
  <c r="DB46" i="11" s="1"/>
  <c r="T29" i="17"/>
  <c r="R51" i="6"/>
  <c r="R48" i="6" s="1"/>
  <c r="R192" i="7" s="1"/>
  <c r="R193" i="7" s="1"/>
  <c r="J67" i="12"/>
  <c r="J69" i="12"/>
  <c r="K70" i="12" s="1"/>
  <c r="J66" i="12"/>
  <c r="CS36" i="17"/>
  <c r="R34" i="17"/>
  <c r="R11" i="17" s="1"/>
  <c r="R14" i="17" s="1"/>
  <c r="R60" i="17" s="1"/>
  <c r="DF28" i="17"/>
  <c r="DF27" i="17"/>
  <c r="DC51" i="6"/>
  <c r="CR108" i="11"/>
  <c r="BU72" i="11"/>
  <c r="BU73" i="11" s="1"/>
  <c r="CR36" i="17"/>
  <c r="CZ36" i="17"/>
  <c r="DF50" i="17"/>
  <c r="DF57" i="12"/>
  <c r="DF45" i="17"/>
  <c r="CR35" i="17"/>
  <c r="DF34" i="17"/>
  <c r="DF36" i="17" s="1"/>
  <c r="CS176" i="15"/>
  <c r="CS174" i="15"/>
  <c r="CF144" i="14"/>
  <c r="CG143" i="14"/>
  <c r="CS177" i="15"/>
  <c r="DO12" i="14"/>
  <c r="N142" i="17"/>
  <c r="AN142" i="17" s="1"/>
  <c r="BR42" i="15"/>
  <c r="BR239" i="13"/>
  <c r="BR279" i="13"/>
  <c r="P70" i="22"/>
  <c r="DE164" i="15"/>
  <c r="N146" i="12"/>
  <c r="S282" i="12"/>
  <c r="CX44" i="6"/>
  <c r="CX56" i="6"/>
  <c r="DA109" i="7" s="1"/>
  <c r="DA116" i="7" s="1"/>
  <c r="CX71" i="6"/>
  <c r="CX50" i="6"/>
  <c r="CB117" i="7"/>
  <c r="CB115" i="7" s="1"/>
  <c r="CB108" i="7"/>
  <c r="K41" i="15"/>
  <c r="K59" i="15" s="1"/>
  <c r="K42" i="15"/>
  <c r="L41" i="15"/>
  <c r="L59" i="15" s="1"/>
  <c r="BR30" i="15"/>
  <c r="BS50" i="15"/>
  <c r="BS40" i="15"/>
  <c r="BS43" i="15"/>
  <c r="BS51" i="15"/>
  <c r="BS46" i="15"/>
  <c r="O132" i="17"/>
  <c r="BL441" i="12"/>
  <c r="R283" i="12"/>
  <c r="CX75" i="6"/>
  <c r="BR41" i="15"/>
  <c r="BR59" i="15" s="1"/>
  <c r="BR20" i="15"/>
  <c r="BU50" i="15"/>
  <c r="BT50" i="15"/>
  <c r="BT48" i="15" s="1"/>
  <c r="BT51" i="15"/>
  <c r="BT46" i="15"/>
  <c r="BT40" i="15"/>
  <c r="BT43" i="15"/>
  <c r="U285" i="12"/>
  <c r="R340" i="12"/>
  <c r="N171" i="7"/>
  <c r="N197" i="7" s="1"/>
  <c r="CO63" i="11"/>
  <c r="CO64" i="11" s="1"/>
  <c r="BY145" i="6"/>
  <c r="BY95" i="6"/>
  <c r="CC89" i="6"/>
  <c r="BY89" i="6"/>
  <c r="BY92" i="6"/>
  <c r="BY119" i="6"/>
  <c r="BY90" i="6"/>
  <c r="DH255" i="21"/>
  <c r="DR21" i="12" s="1"/>
  <c r="DR23" i="12"/>
  <c r="DV24" i="12" s="1"/>
  <c r="I17" i="37"/>
  <c r="I18" i="37" s="1"/>
  <c r="DH24" i="22"/>
  <c r="E64" i="35"/>
  <c r="E65" i="35" s="1"/>
  <c r="DF60" i="17"/>
  <c r="CR33" i="6"/>
  <c r="CW41" i="17"/>
  <c r="CU33" i="6"/>
  <c r="Q67" i="11"/>
  <c r="Q76" i="11" s="1"/>
  <c r="DB19" i="11"/>
  <c r="CQ33" i="6"/>
  <c r="CW146" i="17"/>
  <c r="CQ19" i="11"/>
  <c r="CT33" i="6"/>
  <c r="S30" i="6"/>
  <c r="S110" i="17" s="1"/>
  <c r="CV71" i="7"/>
  <c r="CT17" i="6"/>
  <c r="CT31" i="6"/>
  <c r="CJ51" i="22"/>
  <c r="CJ52" i="22" s="1"/>
  <c r="Q58" i="11"/>
  <c r="CF63" i="11"/>
  <c r="CF64" i="11" s="1"/>
  <c r="CT55" i="6"/>
  <c r="CJ76" i="22"/>
  <c r="CW19" i="17"/>
  <c r="CQ72" i="11"/>
  <c r="CQ73" i="11" s="1"/>
  <c r="CX31" i="6"/>
  <c r="CW70" i="7"/>
  <c r="CW143" i="17"/>
  <c r="DE34" i="16"/>
  <c r="Y69" i="13"/>
  <c r="Z70" i="13" s="1"/>
  <c r="DH125" i="22"/>
  <c r="DA13" i="6"/>
  <c r="DE13" i="6"/>
  <c r="CW36" i="6"/>
  <c r="H6" i="37"/>
  <c r="H11" i="37" s="1"/>
  <c r="V35" i="6"/>
  <c r="V44" i="6" s="1"/>
  <c r="G8" i="37"/>
  <c r="CZ36" i="6"/>
  <c r="DH128" i="22"/>
  <c r="DH127" i="22"/>
  <c r="DK95" i="12"/>
  <c r="DE38" i="16"/>
  <c r="BX71" i="11"/>
  <c r="BQ59" i="22" s="1"/>
  <c r="BQ60" i="22" s="1"/>
  <c r="BQ62" i="22" s="1"/>
  <c r="BW286" i="13"/>
  <c r="DQ129" i="17"/>
  <c r="Y304" i="12"/>
  <c r="Y305" i="12" s="1"/>
  <c r="M64" i="35"/>
  <c r="M65" i="35" s="1"/>
  <c r="N151" i="14"/>
  <c r="O149" i="14"/>
  <c r="DO299" i="12"/>
  <c r="DP12" i="14"/>
  <c r="BY239" i="13"/>
  <c r="N44" i="15"/>
  <c r="M43" i="15"/>
  <c r="CK71" i="8"/>
  <c r="CK66" i="8"/>
  <c r="CK69" i="8" s="1"/>
  <c r="BX48" i="15"/>
  <c r="BX45" i="15" s="1"/>
  <c r="BX30" i="15"/>
  <c r="DP304" i="12"/>
  <c r="DT305" i="12" s="1"/>
  <c r="DP25" i="12"/>
  <c r="M13" i="37" s="1"/>
  <c r="DP24" i="12"/>
  <c r="BV255" i="13"/>
  <c r="DO136" i="17"/>
  <c r="DO116" i="17" s="1"/>
  <c r="DO301" i="12"/>
  <c r="DS302" i="12" s="1"/>
  <c r="DO120" i="17"/>
  <c r="DO50" i="12"/>
  <c r="DO31" i="12"/>
  <c r="DS32" i="12" s="1"/>
  <c r="DO26" i="12"/>
  <c r="L14" i="37" s="1"/>
  <c r="M3" i="1"/>
  <c r="M116" i="1"/>
  <c r="BV289" i="13"/>
  <c r="BV292" i="13" s="1"/>
  <c r="BV294" i="13" s="1"/>
  <c r="CU45" i="11"/>
  <c r="CU46" i="11" s="1"/>
  <c r="CU62" i="11"/>
  <c r="CU71" i="11" s="1"/>
  <c r="CU72" i="11" s="1"/>
  <c r="CU73" i="11" s="1"/>
  <c r="CY311" i="21"/>
  <c r="CY301" i="21" s="1"/>
  <c r="CZ310" i="21"/>
  <c r="DQ755" i="12"/>
  <c r="Y681" i="12"/>
  <c r="Y679" i="12" s="1"/>
  <c r="Y102" i="7"/>
  <c r="DG255" i="21"/>
  <c r="DQ21" i="12" s="1"/>
  <c r="DU22" i="12" s="1"/>
  <c r="DQ23" i="12"/>
  <c r="DU24" i="12" s="1"/>
  <c r="BX281" i="13"/>
  <c r="BX286" i="13" s="1"/>
  <c r="CO66" i="8"/>
  <c r="CO69" i="8" s="1"/>
  <c r="CO701" i="12"/>
  <c r="CO71" i="8"/>
  <c r="M47" i="15"/>
  <c r="BY46" i="15"/>
  <c r="BY279" i="13" s="1"/>
  <c r="CG65" i="8"/>
  <c r="CG59" i="8"/>
  <c r="CG35" i="8"/>
  <c r="DQ179" i="15"/>
  <c r="X127" i="15"/>
  <c r="Y125" i="15"/>
  <c r="BS407" i="21"/>
  <c r="X135" i="15"/>
  <c r="Y133" i="15"/>
  <c r="T11" i="6"/>
  <c r="BV245" i="13"/>
  <c r="BV248" i="13" s="1"/>
  <c r="BV250" i="13" s="1"/>
  <c r="DP314" i="12"/>
  <c r="DP298" i="12"/>
  <c r="DT299" i="12" s="1"/>
  <c r="DP22" i="12"/>
  <c r="CF71" i="8"/>
  <c r="CF66" i="8"/>
  <c r="CF69" i="8" s="1"/>
  <c r="DE71" i="8"/>
  <c r="DE66" i="8"/>
  <c r="DE69" i="8" s="1"/>
  <c r="H25" i="35"/>
  <c r="I26" i="35"/>
  <c r="I25" i="35"/>
  <c r="D26" i="35"/>
  <c r="J25" i="35"/>
  <c r="K25" i="35"/>
  <c r="E25" i="35"/>
  <c r="D25" i="35"/>
  <c r="D28" i="35" s="1"/>
  <c r="D29" i="35" s="1"/>
  <c r="E104" i="35" s="1"/>
  <c r="E124" i="35" s="1"/>
  <c r="E126" i="35" s="1"/>
  <c r="H26" i="35"/>
  <c r="C26" i="35"/>
  <c r="J26" i="35"/>
  <c r="N25" i="35"/>
  <c r="K26" i="35"/>
  <c r="F26" i="35"/>
  <c r="C25" i="35"/>
  <c r="G26" i="35"/>
  <c r="M25" i="35"/>
  <c r="L26" i="35"/>
  <c r="F25" i="35"/>
  <c r="N26" i="35"/>
  <c r="L25" i="35"/>
  <c r="E26" i="35"/>
  <c r="G25" i="35"/>
  <c r="M26" i="35"/>
  <c r="DO306" i="12"/>
  <c r="DS307" i="12" s="1"/>
  <c r="DO305" i="12"/>
  <c r="BW254" i="13"/>
  <c r="BW255" i="13" s="1"/>
  <c r="CA44" i="15"/>
  <c r="BZ43" i="15"/>
  <c r="BZ239" i="13" s="1"/>
  <c r="BZ47" i="15"/>
  <c r="CX61" i="6"/>
  <c r="C64" i="35"/>
  <c r="C65" i="35" s="1"/>
  <c r="H64" i="35"/>
  <c r="H65" i="35" s="1"/>
  <c r="H46" i="35"/>
  <c r="H47" i="35" s="1"/>
  <c r="F64" i="35"/>
  <c r="F65" i="35" s="1"/>
  <c r="L64" i="35"/>
  <c r="L65" i="35" s="1"/>
  <c r="L46" i="35"/>
  <c r="L47" i="35" s="1"/>
  <c r="DB36" i="17"/>
  <c r="N67" i="11"/>
  <c r="N76" i="11" s="1"/>
  <c r="I80" i="22"/>
  <c r="W61" i="12"/>
  <c r="W62" i="12"/>
  <c r="CR19" i="17"/>
  <c r="CO36" i="6"/>
  <c r="CO41" i="6"/>
  <c r="CO13" i="6"/>
  <c r="CR41" i="17"/>
  <c r="CO69" i="6"/>
  <c r="CO71" i="6"/>
  <c r="CM55" i="6"/>
  <c r="Q87" i="14"/>
  <c r="T18" i="11"/>
  <c r="CJ60" i="22"/>
  <c r="Y54" i="7"/>
  <c r="Y53" i="8"/>
  <c r="Y58" i="7"/>
  <c r="Y54" i="8"/>
  <c r="N64" i="35"/>
  <c r="N65" i="35" s="1"/>
  <c r="G46" i="35"/>
  <c r="G47" i="35" s="1"/>
  <c r="F46" i="35"/>
  <c r="F47" i="35" s="1"/>
  <c r="E46" i="35"/>
  <c r="E47" i="35" s="1"/>
  <c r="Y42" i="8"/>
  <c r="N175" i="7"/>
  <c r="DK94" i="12"/>
  <c r="P183" i="12"/>
  <c r="DF35" i="8"/>
  <c r="I55" i="22"/>
  <c r="K64" i="35"/>
  <c r="K65" i="35" s="1"/>
  <c r="C46" i="35"/>
  <c r="C47" i="35" s="1"/>
  <c r="D46" i="35"/>
  <c r="D47" i="35" s="1"/>
  <c r="J46" i="35"/>
  <c r="J47" i="35" s="1"/>
  <c r="M46" i="35"/>
  <c r="M47" i="35" s="1"/>
  <c r="DE63" i="6"/>
  <c r="DE71" i="6"/>
  <c r="DE44" i="6"/>
  <c r="DE50" i="6"/>
  <c r="DE69" i="6"/>
  <c r="DE56" i="6"/>
  <c r="DE58" i="6" s="1"/>
  <c r="DE86" i="6"/>
  <c r="E6" i="37"/>
  <c r="E11" i="37" s="1"/>
  <c r="DE41" i="6"/>
  <c r="DE75" i="6"/>
  <c r="Y68" i="15"/>
  <c r="Y23" i="15" s="1"/>
  <c r="Y72" i="13"/>
  <c r="DH143" i="17"/>
  <c r="CU76" i="22"/>
  <c r="DH146" i="17"/>
  <c r="DG71" i="7"/>
  <c r="DH70" i="7"/>
  <c r="CU51" i="22"/>
  <c r="CU52" i="22" s="1"/>
  <c r="DH19" i="17"/>
  <c r="DE17" i="6"/>
  <c r="DE55" i="6"/>
  <c r="DE59" i="6"/>
  <c r="DE47" i="6"/>
  <c r="Q30" i="6"/>
  <c r="Q110" i="17" s="1"/>
  <c r="Q145" i="17"/>
  <c r="R147" i="17" s="1"/>
  <c r="P47" i="6"/>
  <c r="DE32" i="6"/>
  <c r="I64" i="35"/>
  <c r="I65" i="35" s="1"/>
  <c r="J64" i="35"/>
  <c r="J65" i="35" s="1"/>
  <c r="G64" i="35"/>
  <c r="G65" i="35" s="1"/>
  <c r="N46" i="35"/>
  <c r="N47" i="35" s="1"/>
  <c r="I46" i="35"/>
  <c r="I47" i="35" s="1"/>
  <c r="K46" i="35"/>
  <c r="K47" i="35" s="1"/>
  <c r="I65" i="22"/>
  <c r="I70" i="22" s="1"/>
  <c r="N132" i="17"/>
  <c r="AY95" i="12"/>
  <c r="AX92" i="12"/>
  <c r="CB90" i="12"/>
  <c r="CB92" i="12"/>
  <c r="CC92" i="12"/>
  <c r="CC90" i="12"/>
  <c r="DI92" i="12"/>
  <c r="DI95" i="12" s="1"/>
  <c r="DH94" i="12"/>
  <c r="U68" i="11"/>
  <c r="U77" i="11" s="1"/>
  <c r="BN94" i="12"/>
  <c r="BN96" i="12"/>
  <c r="BN95" i="12"/>
  <c r="BN537" i="12"/>
  <c r="N144" i="12"/>
  <c r="Y137" i="12"/>
  <c r="Y138" i="12" s="1"/>
  <c r="DI111" i="8"/>
  <c r="Y111" i="6"/>
  <c r="CN77" i="22"/>
  <c r="CT77" i="22"/>
  <c r="CN61" i="22"/>
  <c r="CT61" i="22"/>
  <c r="DF70" i="7"/>
  <c r="DA94" i="7"/>
  <c r="DA95" i="7"/>
  <c r="CM36" i="6"/>
  <c r="CI64" i="11"/>
  <c r="DR78" i="8"/>
  <c r="BX96" i="6"/>
  <c r="BX6" i="6"/>
  <c r="BZ119" i="6"/>
  <c r="BZ89" i="6"/>
  <c r="BZ92" i="6"/>
  <c r="BZ93" i="6" s="1"/>
  <c r="BZ145" i="6"/>
  <c r="BZ90" i="6"/>
  <c r="BZ95" i="6"/>
  <c r="CC117" i="7"/>
  <c r="CC115" i="7" s="1"/>
  <c r="CC108" i="7"/>
  <c r="DU99" i="8"/>
  <c r="DU100" i="8" s="1"/>
  <c r="CU179" i="15"/>
  <c r="DN179" i="15"/>
  <c r="H145" i="14"/>
  <c r="H153" i="14" s="1"/>
  <c r="H154" i="14" s="1"/>
  <c r="DG179" i="15"/>
  <c r="P41" i="13"/>
  <c r="CL44" i="13"/>
  <c r="CL43" i="13"/>
  <c r="CK42" i="13"/>
  <c r="CO42" i="13"/>
  <c r="DG18" i="8"/>
  <c r="DG17" i="8" s="1"/>
  <c r="DG14" i="17"/>
  <c r="U76" i="8"/>
  <c r="U34" i="8"/>
  <c r="U35" i="8" s="1"/>
  <c r="DG26" i="17"/>
  <c r="DG59" i="17"/>
  <c r="DG42" i="17"/>
  <c r="DG43" i="17" s="1"/>
  <c r="DH94" i="13"/>
  <c r="DH40" i="17" s="1"/>
  <c r="DH13" i="17"/>
  <c r="DI31" i="17"/>
  <c r="DE52" i="6"/>
  <c r="DH32" i="17"/>
  <c r="Y753" i="12"/>
  <c r="DO755" i="12"/>
  <c r="DI757" i="12"/>
  <c r="DP755" i="12"/>
  <c r="Y690" i="12"/>
  <c r="T753" i="12"/>
  <c r="U138" i="12"/>
  <c r="DN102" i="11"/>
  <c r="DN103" i="11" s="1"/>
  <c r="CE60" i="22"/>
  <c r="X27" i="16"/>
  <c r="X53" i="11" s="1"/>
  <c r="DE23" i="22"/>
  <c r="DG29" i="22"/>
  <c r="CQ63" i="11"/>
  <c r="CQ64" i="11" s="1"/>
  <c r="S59" i="11"/>
  <c r="S68" i="11"/>
  <c r="S77" i="11" s="1"/>
  <c r="CL72" i="11"/>
  <c r="R107" i="11"/>
  <c r="U51" i="6"/>
  <c r="U48" i="6" s="1"/>
  <c r="U55" i="11" s="1"/>
  <c r="H142" i="14"/>
  <c r="K33" i="22"/>
  <c r="L78" i="15"/>
  <c r="M77" i="15"/>
  <c r="M78" i="15"/>
  <c r="L77" i="15"/>
  <c r="BA66" i="15"/>
  <c r="AZ66" i="15"/>
  <c r="L81" i="15"/>
  <c r="L82" i="15"/>
  <c r="H81" i="15"/>
  <c r="H82" i="15"/>
  <c r="I81" i="15"/>
  <c r="I82" i="15"/>
  <c r="O77" i="15"/>
  <c r="N77" i="15"/>
  <c r="O78" i="15"/>
  <c r="N78" i="15"/>
  <c r="DC36" i="17"/>
  <c r="DD36" i="17"/>
  <c r="S35" i="6"/>
  <c r="CX60" i="22"/>
  <c r="DC47" i="6"/>
  <c r="CU32" i="6"/>
  <c r="U18" i="11"/>
  <c r="U19" i="11" s="1"/>
  <c r="CS31" i="6"/>
  <c r="CM56" i="6"/>
  <c r="CM57" i="6" s="1"/>
  <c r="DG31" i="6"/>
  <c r="DE71" i="7"/>
  <c r="CS32" i="6"/>
  <c r="CM50" i="6"/>
  <c r="DC17" i="6"/>
  <c r="CT32" i="6"/>
  <c r="U59" i="11"/>
  <c r="DA115" i="8"/>
  <c r="DA95" i="8" s="1"/>
  <c r="CY63" i="11"/>
  <c r="CY19" i="11"/>
  <c r="DB13" i="6"/>
  <c r="DB63" i="6"/>
  <c r="DB44" i="6"/>
  <c r="DB86" i="6"/>
  <c r="DB69" i="6"/>
  <c r="DB71" i="6"/>
  <c r="DB36" i="6"/>
  <c r="DB41" i="6"/>
  <c r="DB50" i="6"/>
  <c r="DB75" i="6"/>
  <c r="DB56" i="6"/>
  <c r="BO95" i="12"/>
  <c r="BO537" i="12"/>
  <c r="BO96" i="12"/>
  <c r="BO94" i="12"/>
  <c r="BQ94" i="12"/>
  <c r="BQ96" i="12"/>
  <c r="BQ537" i="12"/>
  <c r="BQ95" i="12"/>
  <c r="CF42" i="22"/>
  <c r="CS311" i="12"/>
  <c r="CT311" i="12"/>
  <c r="CQ144" i="12"/>
  <c r="CM146" i="12"/>
  <c r="CN145" i="12"/>
  <c r="CM144" i="12"/>
  <c r="CM145" i="12"/>
  <c r="BZ39" i="22"/>
  <c r="BZ40" i="22" s="1"/>
  <c r="Q143" i="12"/>
  <c r="CM440" i="12"/>
  <c r="CM165" i="12"/>
  <c r="DH95" i="12"/>
  <c r="CR51" i="22"/>
  <c r="CR52" i="22" s="1"/>
  <c r="DE146" i="17"/>
  <c r="DB17" i="6"/>
  <c r="DB31" i="6"/>
  <c r="DB55" i="6"/>
  <c r="DE143" i="17"/>
  <c r="DB59" i="6"/>
  <c r="DD71" i="7"/>
  <c r="CR76" i="22"/>
  <c r="DE19" i="17"/>
  <c r="DB47" i="6"/>
  <c r="DE41" i="17"/>
  <c r="DE70" i="7"/>
  <c r="CM142" i="12"/>
  <c r="CM141" i="12"/>
  <c r="CQ141" i="12"/>
  <c r="Q446" i="12"/>
  <c r="Q262" i="12"/>
  <c r="Q461" i="12"/>
  <c r="Q463" i="12" s="1"/>
  <c r="I115" i="35"/>
  <c r="V120" i="6"/>
  <c r="V118" i="6"/>
  <c r="W118" i="6"/>
  <c r="CC61" i="8"/>
  <c r="CC63" i="8" s="1"/>
  <c r="CQ71" i="7"/>
  <c r="CR143" i="17"/>
  <c r="CR70" i="7"/>
  <c r="DG95" i="7"/>
  <c r="DG20" i="17"/>
  <c r="CP32" i="6"/>
  <c r="CM32" i="6"/>
  <c r="DA33" i="6"/>
  <c r="CL19" i="11"/>
  <c r="CO31" i="6"/>
  <c r="CO59" i="6"/>
  <c r="CR94" i="7" s="1"/>
  <c r="CO55" i="6"/>
  <c r="DD61" i="6"/>
  <c r="CP33" i="6"/>
  <c r="CC51" i="22"/>
  <c r="CC52" i="22" s="1"/>
  <c r="CO47" i="6"/>
  <c r="CE76" i="22"/>
  <c r="CE51" i="22"/>
  <c r="CE52" i="22" s="1"/>
  <c r="CR32" i="6"/>
  <c r="CG108" i="7"/>
  <c r="CD108" i="7"/>
  <c r="CA95" i="6"/>
  <c r="CE89" i="6"/>
  <c r="CA90" i="6"/>
  <c r="CA145" i="6"/>
  <c r="CA92" i="6"/>
  <c r="CE93" i="6" s="1"/>
  <c r="CA119" i="6"/>
  <c r="P69" i="6"/>
  <c r="P71" i="6"/>
  <c r="P19" i="11"/>
  <c r="R11" i="6"/>
  <c r="P75" i="6"/>
  <c r="U62" i="11"/>
  <c r="DK111" i="8"/>
  <c r="CZ33" i="6"/>
  <c r="U35" i="6"/>
  <c r="CZ31" i="6"/>
  <c r="CQ31" i="6"/>
  <c r="CM41" i="6"/>
  <c r="CM69" i="6"/>
  <c r="DC59" i="6"/>
  <c r="DF94" i="7" s="1"/>
  <c r="CS76" i="22"/>
  <c r="CS51" i="22"/>
  <c r="CS52" i="22" s="1"/>
  <c r="DF19" i="17"/>
  <c r="DC36" i="6"/>
  <c r="CM71" i="6"/>
  <c r="CM13" i="6"/>
  <c r="CM86" i="6"/>
  <c r="DF41" i="17"/>
  <c r="DC31" i="6"/>
  <c r="DC33" i="6"/>
  <c r="DF143" i="17"/>
  <c r="DD32" i="6"/>
  <c r="CV36" i="6"/>
  <c r="CR19" i="11"/>
  <c r="S15" i="6"/>
  <c r="CZ19" i="11"/>
  <c r="T35" i="6"/>
  <c r="CM63" i="6"/>
  <c r="CM64" i="6" s="1"/>
  <c r="CM44" i="6"/>
  <c r="DC55" i="6"/>
  <c r="DC32" i="6"/>
  <c r="DF146" i="17"/>
  <c r="CE93" i="14"/>
  <c r="BR30" i="22"/>
  <c r="CF43" i="14"/>
  <c r="CG41" i="14"/>
  <c r="BS31" i="22"/>
  <c r="CF44" i="14"/>
  <c r="CD95" i="14"/>
  <c r="CD94" i="14"/>
  <c r="CV63" i="11"/>
  <c r="CJ63" i="11"/>
  <c r="CF50" i="17"/>
  <c r="CF53" i="17"/>
  <c r="CC51" i="6"/>
  <c r="CF57" i="12"/>
  <c r="CF29" i="17"/>
  <c r="CF28" i="17"/>
  <c r="CF45" i="17"/>
  <c r="CF30" i="17"/>
  <c r="CF34" i="17"/>
  <c r="CF36" i="17" s="1"/>
  <c r="DL340" i="12"/>
  <c r="V67" i="11"/>
  <c r="V76" i="11" s="1"/>
  <c r="CF57" i="17"/>
  <c r="CF58" i="17"/>
  <c r="BX81" i="15"/>
  <c r="BX82" i="15"/>
  <c r="CF59" i="17"/>
  <c r="CF60" i="17" s="1"/>
  <c r="R35" i="6"/>
  <c r="CF27" i="17"/>
  <c r="CJ95" i="12"/>
  <c r="CJ96" i="12"/>
  <c r="CJ94" i="12"/>
  <c r="BY80" i="15"/>
  <c r="BZ84" i="15"/>
  <c r="BY85" i="15"/>
  <c r="M84" i="15"/>
  <c r="CD95" i="6"/>
  <c r="CD145" i="6"/>
  <c r="CD92" i="6"/>
  <c r="CD90" i="6"/>
  <c r="CD119" i="6"/>
  <c r="CD89" i="6"/>
  <c r="DD63" i="11"/>
  <c r="DD64" i="11" s="1"/>
  <c r="DD72" i="11"/>
  <c r="DD73" i="11" s="1"/>
  <c r="CG63" i="11"/>
  <c r="O118" i="13"/>
  <c r="U67" i="11"/>
  <c r="U76" i="11" s="1"/>
  <c r="CJ56" i="14"/>
  <c r="H56" i="14"/>
  <c r="CC130" i="13"/>
  <c r="CC129" i="13"/>
  <c r="V58" i="11"/>
  <c r="BW108" i="11"/>
  <c r="R135" i="13"/>
  <c r="S62" i="11"/>
  <c r="L55" i="22"/>
  <c r="L60" i="22" s="1"/>
  <c r="R67" i="11"/>
  <c r="R76" i="11" s="1"/>
  <c r="BW72" i="11"/>
  <c r="BW73" i="11" s="1"/>
  <c r="Q62" i="11"/>
  <c r="CF71" i="11"/>
  <c r="CF72" i="11" s="1"/>
  <c r="CF73" i="11" s="1"/>
  <c r="CT63" i="11"/>
  <c r="CT64" i="11" s="1"/>
  <c r="CJ19" i="11"/>
  <c r="CP41" i="17"/>
  <c r="CP143" i="17"/>
  <c r="CM31" i="6"/>
  <c r="CQ36" i="6"/>
  <c r="CV31" i="6"/>
  <c r="CM33" i="6"/>
  <c r="CM17" i="6"/>
  <c r="CC76" i="22"/>
  <c r="CO71" i="7"/>
  <c r="CP19" i="11"/>
  <c r="CP19" i="17"/>
  <c r="CM59" i="6"/>
  <c r="CP95" i="7" s="1"/>
  <c r="CP70" i="7"/>
  <c r="CP146" i="17"/>
  <c r="CK60" i="22"/>
  <c r="CD130" i="13"/>
  <c r="U58" i="11"/>
  <c r="Q134" i="13"/>
  <c r="Q131" i="13" s="1"/>
  <c r="R58" i="11"/>
  <c r="S67" i="11"/>
  <c r="S76" i="11" s="1"/>
  <c r="N58" i="11"/>
  <c r="CP343" i="13"/>
  <c r="CP345" i="13" s="1"/>
  <c r="CP347" i="13" s="1"/>
  <c r="S58" i="11"/>
  <c r="CV19" i="11"/>
  <c r="DA47" i="6"/>
  <c r="DA59" i="6"/>
  <c r="CQ51" i="22"/>
  <c r="CQ52" i="22" s="1"/>
  <c r="DE31" i="6"/>
  <c r="DA17" i="6"/>
  <c r="DD41" i="17"/>
  <c r="DD70" i="7"/>
  <c r="CQ76" i="22"/>
  <c r="DD19" i="17"/>
  <c r="DC71" i="7"/>
  <c r="DA55" i="6"/>
  <c r="DD146" i="17"/>
  <c r="DD143" i="17"/>
  <c r="DB32" i="6"/>
  <c r="DB33" i="6"/>
  <c r="CS13" i="6"/>
  <c r="CS50" i="6"/>
  <c r="CS86" i="6"/>
  <c r="CS69" i="6"/>
  <c r="CS75" i="6"/>
  <c r="CS41" i="6"/>
  <c r="CS63" i="6"/>
  <c r="CS44" i="6"/>
  <c r="CS36" i="6"/>
  <c r="CS71" i="6"/>
  <c r="CS56" i="6"/>
  <c r="CJ69" i="6"/>
  <c r="CJ86" i="6"/>
  <c r="CJ41" i="6"/>
  <c r="CJ75" i="6"/>
  <c r="CF35" i="6"/>
  <c r="CB35" i="6" s="1"/>
  <c r="CJ63" i="6"/>
  <c r="CJ71" i="6"/>
  <c r="CJ50" i="6"/>
  <c r="CJ44" i="6"/>
  <c r="CJ47" i="6"/>
  <c r="CM41" i="17"/>
  <c r="BZ76" i="22"/>
  <c r="CJ59" i="6"/>
  <c r="CA103" i="22" s="1"/>
  <c r="CA104" i="22" s="1"/>
  <c r="CJ17" i="6"/>
  <c r="CM143" i="17"/>
  <c r="CL71" i="7"/>
  <c r="CM70" i="7"/>
  <c r="CM19" i="17"/>
  <c r="CJ56" i="6"/>
  <c r="CK33" i="6"/>
  <c r="CM146" i="17"/>
  <c r="CC453" i="21"/>
  <c r="CJ55" i="6"/>
  <c r="BZ51" i="22"/>
  <c r="BZ52" i="22" s="1"/>
  <c r="CK32" i="6"/>
  <c r="CQ86" i="6"/>
  <c r="CQ63" i="6"/>
  <c r="CQ75" i="6"/>
  <c r="CQ56" i="6"/>
  <c r="CQ41" i="6"/>
  <c r="CQ50" i="6"/>
  <c r="CQ13" i="6"/>
  <c r="CQ71" i="6"/>
  <c r="CQ44" i="6"/>
  <c r="CQ69" i="6"/>
  <c r="N11" i="6"/>
  <c r="O11" i="6"/>
  <c r="N131" i="13"/>
  <c r="CR339" i="13"/>
  <c r="CQ338" i="13"/>
  <c r="CT41" i="17"/>
  <c r="CQ55" i="6"/>
  <c r="CQ47" i="6"/>
  <c r="CT19" i="17"/>
  <c r="CS71" i="7"/>
  <c r="CT70" i="7"/>
  <c r="CQ59" i="6"/>
  <c r="CG76" i="22"/>
  <c r="CG51" i="22"/>
  <c r="CG52" i="22" s="1"/>
  <c r="CT143" i="17"/>
  <c r="CT146" i="17"/>
  <c r="CQ17" i="6"/>
  <c r="CY47" i="6"/>
  <c r="CY32" i="6"/>
  <c r="DB70" i="7"/>
  <c r="CY17" i="6"/>
  <c r="DA71" i="7"/>
  <c r="DB41" i="17"/>
  <c r="DB19" i="17"/>
  <c r="DB146" i="17"/>
  <c r="DB143" i="17"/>
  <c r="CY33" i="6"/>
  <c r="CY59" i="6"/>
  <c r="CQ103" i="22" s="1"/>
  <c r="CQ104" i="22" s="1"/>
  <c r="CY55" i="6"/>
  <c r="CO76" i="22"/>
  <c r="CO51" i="22"/>
  <c r="CO52" i="22" s="1"/>
  <c r="DD108" i="11"/>
  <c r="CQ342" i="13"/>
  <c r="CQ343" i="13" s="1"/>
  <c r="CQ345" i="13" s="1"/>
  <c r="CQ347" i="13" s="1"/>
  <c r="Q18" i="11"/>
  <c r="Q107" i="11"/>
  <c r="CY13" i="6"/>
  <c r="CY75" i="6"/>
  <c r="CY69" i="6"/>
  <c r="CY56" i="6"/>
  <c r="DC57" i="6" s="1"/>
  <c r="CY50" i="6"/>
  <c r="CY63" i="6"/>
  <c r="CY41" i="6"/>
  <c r="CY71" i="6"/>
  <c r="CY44" i="6"/>
  <c r="CY86" i="6"/>
  <c r="CX72" i="11"/>
  <c r="CX108" i="11"/>
  <c r="BP60" i="22"/>
  <c r="BP62" i="22" s="1"/>
  <c r="DA69" i="6"/>
  <c r="DA71" i="6"/>
  <c r="DA56" i="6"/>
  <c r="DA63" i="6"/>
  <c r="DA50" i="6"/>
  <c r="DA86" i="6"/>
  <c r="DA41" i="6"/>
  <c r="DA44" i="6"/>
  <c r="DA75" i="6"/>
  <c r="DE36" i="6"/>
  <c r="E7" i="37" s="1"/>
  <c r="CV143" i="17"/>
  <c r="CU71" i="7"/>
  <c r="CI51" i="22"/>
  <c r="CI52" i="22" s="1"/>
  <c r="CS17" i="6"/>
  <c r="CS59" i="6"/>
  <c r="CV41" i="17"/>
  <c r="CV19" i="17"/>
  <c r="CV146" i="17"/>
  <c r="CS55" i="6"/>
  <c r="CI76" i="22"/>
  <c r="CS47" i="6"/>
  <c r="CV70" i="7"/>
  <c r="CJ13" i="6"/>
  <c r="CJ32" i="6"/>
  <c r="CG19" i="11"/>
  <c r="CN19" i="11"/>
  <c r="CX19" i="11"/>
  <c r="S18" i="11"/>
  <c r="CV41" i="6"/>
  <c r="CV50" i="6"/>
  <c r="CV44" i="6"/>
  <c r="CV75" i="6"/>
  <c r="CV86" i="6"/>
  <c r="CV56" i="6"/>
  <c r="CS64" i="11" s="1"/>
  <c r="CV69" i="6"/>
  <c r="CV63" i="6"/>
  <c r="CV71" i="6"/>
  <c r="CV13" i="6"/>
  <c r="BX216" i="13"/>
  <c r="BW258" i="13"/>
  <c r="BW259" i="13" s="1"/>
  <c r="BW217" i="13"/>
  <c r="BW218" i="13" s="1"/>
  <c r="CN71" i="11"/>
  <c r="CN63" i="11"/>
  <c r="T67" i="11"/>
  <c r="T76" i="11" s="1"/>
  <c r="Q345" i="13"/>
  <c r="BV220" i="13"/>
  <c r="CS19" i="11"/>
  <c r="CV17" i="6"/>
  <c r="CV47" i="6"/>
  <c r="CV55" i="6"/>
  <c r="CL51" i="22"/>
  <c r="CL52" i="22" s="1"/>
  <c r="CY19" i="17"/>
  <c r="CL76" i="22"/>
  <c r="CY146" i="17"/>
  <c r="CV59" i="6"/>
  <c r="CZ60" i="6" s="1"/>
  <c r="CX71" i="7"/>
  <c r="CY143" i="17"/>
  <c r="CY70" i="7"/>
  <c r="CY41" i="17"/>
  <c r="BW260" i="13"/>
  <c r="BW262" i="13" s="1"/>
  <c r="S134" i="13"/>
  <c r="N80" i="22"/>
  <c r="N55" i="22"/>
  <c r="N60" i="22" s="1"/>
  <c r="BU260" i="13"/>
  <c r="BV260" i="13"/>
  <c r="T58" i="11"/>
  <c r="P55" i="14"/>
  <c r="P51" i="14"/>
  <c r="AA39" i="37"/>
  <c r="P38" i="14"/>
  <c r="P132" i="14"/>
  <c r="P22" i="14"/>
  <c r="P37" i="14"/>
  <c r="P32" i="14" s="1"/>
  <c r="P30" i="14" s="1"/>
  <c r="P31" i="14" s="1"/>
  <c r="P107" i="13"/>
  <c r="P105" i="13" s="1"/>
  <c r="P106" i="13" s="1"/>
  <c r="AA109" i="6"/>
  <c r="C111" i="35"/>
  <c r="P65" i="8"/>
  <c r="P71" i="8" s="1"/>
  <c r="P59" i="8"/>
  <c r="P61" i="8" s="1"/>
  <c r="P63" i="8" s="1"/>
  <c r="O59" i="8"/>
  <c r="O61" i="8" s="1"/>
  <c r="O63" i="8" s="1"/>
  <c r="O65" i="8"/>
  <c r="O71" i="8" s="1"/>
  <c r="O35" i="8"/>
  <c r="CE108" i="7"/>
  <c r="CE115" i="7"/>
  <c r="N195" i="7"/>
  <c r="N164" i="7"/>
  <c r="O177" i="7"/>
  <c r="O181" i="7" s="1"/>
  <c r="N182" i="7"/>
  <c r="R76" i="7"/>
  <c r="R50" i="7"/>
  <c r="P77" i="7"/>
  <c r="P112" i="7"/>
  <c r="P119" i="7" s="1"/>
  <c r="Q50" i="7"/>
  <c r="Q76" i="7"/>
  <c r="P51" i="7"/>
  <c r="P62" i="7"/>
  <c r="P63" i="7"/>
  <c r="P41" i="6"/>
  <c r="P59" i="6"/>
  <c r="P33" i="6"/>
  <c r="P17" i="6"/>
  <c r="P44" i="6"/>
  <c r="P86" i="6"/>
  <c r="P31" i="6"/>
  <c r="P71" i="7"/>
  <c r="S51" i="6"/>
  <c r="S48" i="6" s="1"/>
  <c r="S55" i="11" s="1"/>
  <c r="CG30" i="16"/>
  <c r="CG33" i="16" s="1"/>
  <c r="CG34" i="16" s="1"/>
  <c r="P41" i="17"/>
  <c r="P19" i="17"/>
  <c r="K76" i="22"/>
  <c r="K87" i="22" s="1"/>
  <c r="K51" i="22"/>
  <c r="K52" i="22" s="1"/>
  <c r="CM345" i="13"/>
  <c r="CM347" i="13" s="1"/>
  <c r="DG32" i="6"/>
  <c r="DG33" i="6"/>
  <c r="BW122" i="13"/>
  <c r="M121" i="13"/>
  <c r="M122" i="13" s="1"/>
  <c r="CI127" i="13"/>
  <c r="M118" i="13"/>
  <c r="M105" i="13"/>
  <c r="M106" i="13" s="1"/>
  <c r="N118" i="13"/>
  <c r="N105" i="13"/>
  <c r="CU105" i="13"/>
  <c r="CQ107" i="13"/>
  <c r="CQ118" i="13" s="1"/>
  <c r="BZ121" i="13"/>
  <c r="BZ127" i="13" s="1"/>
  <c r="CM121" i="13"/>
  <c r="CM122" i="13" s="1"/>
  <c r="R350" i="13"/>
  <c r="CW72" i="11"/>
  <c r="CW73" i="11" s="1"/>
  <c r="V59" i="11"/>
  <c r="BZ59" i="22"/>
  <c r="BZ60" i="22" s="1"/>
  <c r="CG108" i="11"/>
  <c r="CG72" i="11"/>
  <c r="CK117" i="7"/>
  <c r="CO661" i="12"/>
  <c r="CP581" i="12"/>
  <c r="CP583" i="12" s="1"/>
  <c r="CQ581" i="12" s="1"/>
  <c r="CQ583" i="12" s="1"/>
  <c r="CR581" i="12" s="1"/>
  <c r="Q583" i="12"/>
  <c r="CN661" i="12"/>
  <c r="M135" i="22"/>
  <c r="CX35" i="17"/>
  <c r="CU36" i="17"/>
  <c r="CT35" i="17"/>
  <c r="U89" i="12"/>
  <c r="U111" i="8" s="1"/>
  <c r="N51" i="6"/>
  <c r="N48" i="6" s="1"/>
  <c r="N53" i="6" s="1"/>
  <c r="N54" i="6" s="1"/>
  <c r="DN50" i="12"/>
  <c r="DE92" i="12"/>
  <c r="DE95" i="12" s="1"/>
  <c r="CH30" i="16"/>
  <c r="CH33" i="16" s="1"/>
  <c r="CH34" i="16" s="1"/>
  <c r="U347" i="12"/>
  <c r="CR285" i="12"/>
  <c r="S250" i="12"/>
  <c r="R250" i="12"/>
  <c r="R346" i="12"/>
  <c r="R364" i="12"/>
  <c r="R365" i="12" s="1"/>
  <c r="CT370" i="12"/>
  <c r="S753" i="12"/>
  <c r="S752" i="12" s="1"/>
  <c r="S754" i="12" s="1"/>
  <c r="T755" i="12" s="1"/>
  <c r="T757" i="12" s="1"/>
  <c r="M350" i="12"/>
  <c r="M352" i="12"/>
  <c r="H55" i="12"/>
  <c r="BE46" i="17"/>
  <c r="BE59" i="17" s="1"/>
  <c r="BI56" i="12"/>
  <c r="BP442" i="12"/>
  <c r="BO441" i="12"/>
  <c r="BO442" i="12"/>
  <c r="BS441" i="12"/>
  <c r="CB36" i="17"/>
  <c r="K165" i="12"/>
  <c r="K440" i="12"/>
  <c r="K144" i="12"/>
  <c r="L146" i="12"/>
  <c r="K146" i="12"/>
  <c r="L144" i="12"/>
  <c r="J144" i="12"/>
  <c r="J165" i="12"/>
  <c r="J440" i="12"/>
  <c r="J441" i="12" s="1"/>
  <c r="J146" i="12"/>
  <c r="CC227" i="12"/>
  <c r="N227" i="12" s="1"/>
  <c r="CD107" i="12"/>
  <c r="N107" i="12"/>
  <c r="CG108" i="12"/>
  <c r="N55" i="12"/>
  <c r="N57" i="12" s="1"/>
  <c r="N47" i="17"/>
  <c r="N48" i="17" s="1"/>
  <c r="O47" i="17"/>
  <c r="O48" i="17" s="1"/>
  <c r="N59" i="17"/>
  <c r="AN59" i="17" s="1"/>
  <c r="DI385" i="12"/>
  <c r="DI387" i="12" s="1"/>
  <c r="V370" i="12"/>
  <c r="CT755" i="12"/>
  <c r="CV755" i="12"/>
  <c r="CW755" i="12"/>
  <c r="CU755" i="12"/>
  <c r="CQ285" i="12"/>
  <c r="CU285" i="12"/>
  <c r="BZ354" i="12"/>
  <c r="BZ352" i="12"/>
  <c r="BZ350" i="12"/>
  <c r="CA349" i="12"/>
  <c r="P112" i="12"/>
  <c r="P186" i="12" s="1"/>
  <c r="W49" i="12"/>
  <c r="W78" i="12"/>
  <c r="CC36" i="17"/>
  <c r="CD36" i="17"/>
  <c r="CK469" i="12"/>
  <c r="P363" i="12"/>
  <c r="P469" i="12" s="1"/>
  <c r="CQ647" i="12"/>
  <c r="CZ34" i="16"/>
  <c r="CV34" i="16"/>
  <c r="T59" i="11"/>
  <c r="CR63" i="11"/>
  <c r="CR68" i="11"/>
  <c r="T34" i="17"/>
  <c r="BO40" i="22"/>
  <c r="I39" i="22"/>
  <c r="I40" i="22" s="1"/>
  <c r="CD53" i="11"/>
  <c r="CD62" i="11" s="1"/>
  <c r="CD71" i="11" s="1"/>
  <c r="CD59" i="11"/>
  <c r="DA35" i="17"/>
  <c r="CX36" i="17"/>
  <c r="CW36" i="17"/>
  <c r="S34" i="17"/>
  <c r="T30" i="6"/>
  <c r="O76" i="22" s="1"/>
  <c r="O87" i="22" s="1"/>
  <c r="V68" i="11"/>
  <c r="V77" i="11" s="1"/>
  <c r="T72" i="12"/>
  <c r="O56" i="22"/>
  <c r="T71" i="12"/>
  <c r="U70" i="12"/>
  <c r="CO59" i="22"/>
  <c r="CO60" i="22" s="1"/>
  <c r="U71" i="11"/>
  <c r="CV108" i="11"/>
  <c r="CV72" i="11"/>
  <c r="U56" i="12"/>
  <c r="T57" i="12"/>
  <c r="T56" i="12"/>
  <c r="CH63" i="11"/>
  <c r="CH64" i="11" s="1"/>
  <c r="CH71" i="11"/>
  <c r="CP71" i="11"/>
  <c r="CP63" i="11"/>
  <c r="CN36" i="17"/>
  <c r="CQ35" i="17"/>
  <c r="CM36" i="17"/>
  <c r="DF55" i="6"/>
  <c r="DI19" i="17"/>
  <c r="DF32" i="6"/>
  <c r="DF47" i="6"/>
  <c r="DI143" i="17"/>
  <c r="DF33" i="6"/>
  <c r="DI146" i="17"/>
  <c r="DH71" i="7"/>
  <c r="CV76" i="22"/>
  <c r="DF59" i="6"/>
  <c r="CV51" i="22"/>
  <c r="CV52" i="22" s="1"/>
  <c r="DF31" i="6"/>
  <c r="DI70" i="7"/>
  <c r="BZ94" i="12"/>
  <c r="DF89" i="12"/>
  <c r="DF92" i="12" s="1"/>
  <c r="N182" i="12"/>
  <c r="O144" i="12"/>
  <c r="N440" i="12"/>
  <c r="O441" i="12" s="1"/>
  <c r="O146" i="12"/>
  <c r="CU17" i="6"/>
  <c r="CU47" i="6"/>
  <c r="CU59" i="6"/>
  <c r="CX19" i="17"/>
  <c r="CX70" i="7"/>
  <c r="CV33" i="6"/>
  <c r="CU31" i="6"/>
  <c r="CW71" i="7"/>
  <c r="CX143" i="17"/>
  <c r="CK76" i="22"/>
  <c r="CU55" i="6"/>
  <c r="CY31" i="6"/>
  <c r="CX41" i="17"/>
  <c r="CK51" i="22"/>
  <c r="CK52" i="22" s="1"/>
  <c r="CX146" i="17"/>
  <c r="CV32" i="6"/>
  <c r="N116" i="17"/>
  <c r="N14" i="12"/>
  <c r="N15" i="12" s="1"/>
  <c r="CQ311" i="12"/>
  <c r="CP310" i="12"/>
  <c r="CC42" i="22"/>
  <c r="CT310" i="12"/>
  <c r="DB71" i="11"/>
  <c r="DB63" i="11"/>
  <c r="N53" i="17"/>
  <c r="N29" i="17"/>
  <c r="N45" i="17"/>
  <c r="N50" i="17"/>
  <c r="N34" i="17"/>
  <c r="N30" i="17"/>
  <c r="N58" i="17"/>
  <c r="Q34" i="17"/>
  <c r="CP35" i="17"/>
  <c r="DE35" i="17"/>
  <c r="DE36" i="17"/>
  <c r="U34" i="17"/>
  <c r="CJ116" i="7"/>
  <c r="CT71" i="11"/>
  <c r="CW35" i="17"/>
  <c r="T15" i="6"/>
  <c r="CT92" i="12"/>
  <c r="O116" i="17"/>
  <c r="O11" i="12"/>
  <c r="O14" i="12"/>
  <c r="P11" i="12"/>
  <c r="Q51" i="6"/>
  <c r="Q48" i="6" s="1"/>
  <c r="U50" i="17"/>
  <c r="U58" i="17"/>
  <c r="U29" i="17"/>
  <c r="U30" i="17"/>
  <c r="U45" i="17"/>
  <c r="U57" i="12"/>
  <c r="U27" i="17"/>
  <c r="DA36" i="17"/>
  <c r="BI441" i="12"/>
  <c r="BE441" i="12"/>
  <c r="CF441" i="12"/>
  <c r="CB442" i="12"/>
  <c r="CC442" i="12"/>
  <c r="CU56" i="6"/>
  <c r="CU75" i="6"/>
  <c r="CU86" i="6"/>
  <c r="CU41" i="6"/>
  <c r="CU13" i="6"/>
  <c r="CY36" i="6"/>
  <c r="CU36" i="6"/>
  <c r="CU63" i="6"/>
  <c r="CU69" i="6"/>
  <c r="CU50" i="6"/>
  <c r="CU44" i="6"/>
  <c r="CU71" i="6"/>
  <c r="CJ30" i="16"/>
  <c r="CJ33" i="16" s="1"/>
  <c r="CJ34" i="16" s="1"/>
  <c r="CJ28" i="16"/>
  <c r="CN28" i="16"/>
  <c r="CJ56" i="17"/>
  <c r="BX95" i="12"/>
  <c r="BX96" i="12"/>
  <c r="BX537" i="12"/>
  <c r="BX547" i="12" s="1"/>
  <c r="BX94" i="12"/>
  <c r="M92" i="12"/>
  <c r="M96" i="12" s="1"/>
  <c r="CO33" i="6"/>
  <c r="X89" i="12"/>
  <c r="X111" i="8" s="1"/>
  <c r="CP342" i="12"/>
  <c r="CT342" i="12"/>
  <c r="CS72" i="11"/>
  <c r="CL59" i="22"/>
  <c r="CL60" i="22" s="1"/>
  <c r="CS108" i="11"/>
  <c r="L49" i="12"/>
  <c r="L62" i="12"/>
  <c r="L40" i="12"/>
  <c r="L65" i="12"/>
  <c r="L66" i="12" s="1"/>
  <c r="L69" i="12"/>
  <c r="L70" i="12" s="1"/>
  <c r="L136" i="17"/>
  <c r="L43" i="12"/>
  <c r="L54" i="12"/>
  <c r="T87" i="12"/>
  <c r="T67" i="12"/>
  <c r="U66" i="12"/>
  <c r="T81" i="12"/>
  <c r="U79" i="12"/>
  <c r="T80" i="12"/>
  <c r="T107" i="8"/>
  <c r="T163" i="6" s="1"/>
  <c r="V689" i="12"/>
  <c r="U500" i="12"/>
  <c r="U545" i="12" s="1"/>
  <c r="U109" i="8" s="1"/>
  <c r="CX89" i="12"/>
  <c r="CX92" i="12" s="1"/>
  <c r="T192" i="7"/>
  <c r="T193" i="7" s="1"/>
  <c r="T53" i="6"/>
  <c r="CP90" i="12"/>
  <c r="CP92" i="12"/>
  <c r="CD35" i="17"/>
  <c r="CA36" i="17"/>
  <c r="BZ36" i="17"/>
  <c r="T285" i="12"/>
  <c r="DF56" i="6"/>
  <c r="DF71" i="6"/>
  <c r="DF44" i="6"/>
  <c r="DF75" i="6"/>
  <c r="DF50" i="6"/>
  <c r="DF69" i="6"/>
  <c r="DF41" i="6"/>
  <c r="DF63" i="6"/>
  <c r="F6" i="37"/>
  <c r="F11" i="37" s="1"/>
  <c r="DF86" i="6"/>
  <c r="DF36" i="6"/>
  <c r="F7" i="37" s="1"/>
  <c r="DF13" i="6"/>
  <c r="CF136" i="12"/>
  <c r="N135" i="12"/>
  <c r="O136" i="12" s="1"/>
  <c r="DC19" i="11"/>
  <c r="DA92" i="12"/>
  <c r="CN56" i="12"/>
  <c r="CJ46" i="17"/>
  <c r="CJ56" i="12"/>
  <c r="CN61" i="12"/>
  <c r="CJ62" i="12"/>
  <c r="CG88" i="6"/>
  <c r="CG79" i="6"/>
  <c r="CJ110" i="7" s="1"/>
  <c r="CJ117" i="7" s="1"/>
  <c r="CG77" i="6"/>
  <c r="S89" i="12"/>
  <c r="S90" i="12" s="1"/>
  <c r="M102" i="12"/>
  <c r="M166" i="12"/>
  <c r="DG64" i="6"/>
  <c r="G9" i="37" s="1"/>
  <c r="DJ86" i="8"/>
  <c r="DG76" i="6"/>
  <c r="DJ95" i="7"/>
  <c r="DG61" i="6"/>
  <c r="DJ94" i="7"/>
  <c r="CW61" i="22"/>
  <c r="CW62" i="22" s="1"/>
  <c r="CW77" i="22"/>
  <c r="DJ20" i="17"/>
  <c r="CQ663" i="12"/>
  <c r="CP179" i="15"/>
  <c r="X753" i="12"/>
  <c r="W753" i="12"/>
  <c r="W755" i="12"/>
  <c r="W757" i="12" s="1"/>
  <c r="V755" i="12"/>
  <c r="V757" i="12" s="1"/>
  <c r="CR591" i="12"/>
  <c r="CS589" i="12" s="1"/>
  <c r="V753" i="12"/>
  <c r="CO94" i="12"/>
  <c r="CO96" i="12"/>
  <c r="CO95" i="12"/>
  <c r="R587" i="12"/>
  <c r="S585" i="12" s="1"/>
  <c r="S587" i="12" s="1"/>
  <c r="CT585" i="12"/>
  <c r="DH757" i="12"/>
  <c r="DK755" i="12"/>
  <c r="DI755" i="12"/>
  <c r="DJ755" i="12"/>
  <c r="DH755" i="12"/>
  <c r="CN651" i="12"/>
  <c r="Q651" i="12" s="1"/>
  <c r="Q643" i="12"/>
  <c r="CN644" i="12"/>
  <c r="CN652" i="12" s="1"/>
  <c r="Q599" i="12"/>
  <c r="CP597" i="12"/>
  <c r="CS662" i="12"/>
  <c r="R662" i="12" s="1"/>
  <c r="CM653" i="12"/>
  <c r="CM521" i="12" s="1"/>
  <c r="CN650" i="12"/>
  <c r="CN675" i="12"/>
  <c r="CO638" i="12"/>
  <c r="CO640" i="12" s="1"/>
  <c r="Q640" i="12" s="1"/>
  <c r="U508" i="12"/>
  <c r="V508" i="12" s="1"/>
  <c r="W508" i="12" s="1"/>
  <c r="X508" i="12" s="1"/>
  <c r="T510" i="12"/>
  <c r="T533" i="12" s="1"/>
  <c r="X203" i="7"/>
  <c r="DN755" i="12"/>
  <c r="CQ179" i="15"/>
  <c r="K46" i="17"/>
  <c r="K56" i="12"/>
  <c r="DJ92" i="12"/>
  <c r="DJ95" i="12" s="1"/>
  <c r="DC96" i="12"/>
  <c r="DC94" i="12"/>
  <c r="DC95" i="12"/>
  <c r="CU92" i="12"/>
  <c r="CL162" i="12"/>
  <c r="CP161" i="12"/>
  <c r="CQ96" i="12"/>
  <c r="CQ95" i="12"/>
  <c r="CQ94" i="12"/>
  <c r="X679" i="12"/>
  <c r="CL291" i="12"/>
  <c r="CL140" i="12"/>
  <c r="CP290" i="12"/>
  <c r="CL137" i="12"/>
  <c r="DG84" i="12"/>
  <c r="DF114" i="8"/>
  <c r="BP47" i="17"/>
  <c r="BP48" i="17" s="1"/>
  <c r="BP59" i="17"/>
  <c r="BQ56" i="12"/>
  <c r="BQ46" i="17"/>
  <c r="DD179" i="15"/>
  <c r="DI179" i="15"/>
  <c r="CL61" i="12"/>
  <c r="CH62" i="12"/>
  <c r="CO56" i="12"/>
  <c r="CK56" i="12"/>
  <c r="CK46" i="17"/>
  <c r="CL79" i="6"/>
  <c r="CO110" i="7" s="1"/>
  <c r="CO117" i="7" s="1"/>
  <c r="CL77" i="6"/>
  <c r="CL88" i="6"/>
  <c r="CB53" i="11"/>
  <c r="CB54" i="11" s="1"/>
  <c r="CB59" i="11"/>
  <c r="CB68" i="11" s="1"/>
  <c r="CL28" i="16"/>
  <c r="CH56" i="17"/>
  <c r="CH28" i="16"/>
  <c r="CO61" i="12"/>
  <c r="CK62" i="12"/>
  <c r="CK94" i="12"/>
  <c r="CK95" i="12"/>
  <c r="CK96" i="12"/>
  <c r="CN667" i="12"/>
  <c r="CE59" i="11"/>
  <c r="CE53" i="11"/>
  <c r="CH537" i="12"/>
  <c r="CH94" i="12"/>
  <c r="CH95" i="12"/>
  <c r="CH96" i="12"/>
  <c r="CH46" i="17"/>
  <c r="CL56" i="12"/>
  <c r="CH56" i="12"/>
  <c r="CK30" i="16"/>
  <c r="CK33" i="16" s="1"/>
  <c r="CO34" i="16" s="1"/>
  <c r="CK56" i="17"/>
  <c r="CO28" i="16"/>
  <c r="R285" i="12"/>
  <c r="S285" i="12"/>
  <c r="DJ385" i="12"/>
  <c r="DJ387" i="12" s="1"/>
  <c r="W370" i="12"/>
  <c r="CQ664" i="12"/>
  <c r="DB179" i="15"/>
  <c r="DE19" i="11"/>
  <c r="DH50" i="6"/>
  <c r="DH36" i="6"/>
  <c r="H7" i="37" s="1"/>
  <c r="DH75" i="6"/>
  <c r="DH44" i="6"/>
  <c r="DH63" i="6"/>
  <c r="DH86" i="6"/>
  <c r="DH71" i="6"/>
  <c r="DH41" i="6"/>
  <c r="DH56" i="6"/>
  <c r="DH13" i="6"/>
  <c r="DH69" i="6"/>
  <c r="Q90" i="12"/>
  <c r="Q92" i="12"/>
  <c r="CC50" i="11"/>
  <c r="P52" i="12"/>
  <c r="P60" i="12" s="1"/>
  <c r="CI55" i="12"/>
  <c r="CI54" i="12"/>
  <c r="CI60" i="12"/>
  <c r="CM53" i="12"/>
  <c r="U429" i="12"/>
  <c r="U395" i="12"/>
  <c r="U425" i="12" s="1"/>
  <c r="CQ670" i="12"/>
  <c r="DG95" i="12"/>
  <c r="DG96" i="12"/>
  <c r="DG94" i="12"/>
  <c r="K72" i="12"/>
  <c r="K71" i="12"/>
  <c r="W89" i="12"/>
  <c r="W111" i="8" s="1"/>
  <c r="DE63" i="11"/>
  <c r="DE68" i="11"/>
  <c r="DE72" i="11" s="1"/>
  <c r="DH33" i="6"/>
  <c r="CX76" i="22"/>
  <c r="DK19" i="17"/>
  <c r="DK70" i="7"/>
  <c r="DJ71" i="7"/>
  <c r="DK146" i="17"/>
  <c r="DH31" i="6"/>
  <c r="DH55" i="6"/>
  <c r="DH32" i="6"/>
  <c r="DH59" i="6"/>
  <c r="DH47" i="6"/>
  <c r="CX51" i="22"/>
  <c r="CX52" i="22" s="1"/>
  <c r="DK143" i="17"/>
  <c r="CI92" i="12"/>
  <c r="CI90" i="12"/>
  <c r="K87" i="12"/>
  <c r="K67" i="12"/>
  <c r="K66" i="12"/>
  <c r="P189" i="12"/>
  <c r="O192" i="12"/>
  <c r="O189" i="12"/>
  <c r="CM96" i="12"/>
  <c r="CM94" i="12"/>
  <c r="CM537" i="12"/>
  <c r="CM95" i="12"/>
  <c r="R697" i="12"/>
  <c r="R698" i="12" s="1"/>
  <c r="R702" i="12" s="1"/>
  <c r="R703" i="12" s="1"/>
  <c r="R704" i="12" s="1"/>
  <c r="T469" i="12"/>
  <c r="T365" i="12"/>
  <c r="CO32" i="6"/>
  <c r="DN274" i="12"/>
  <c r="DN273" i="12"/>
  <c r="DN249" i="12"/>
  <c r="CT666" i="12"/>
  <c r="CG127" i="13"/>
  <c r="CG128" i="13" s="1"/>
  <c r="V285" i="12"/>
  <c r="CR619" i="12"/>
  <c r="CS617" i="12" s="1"/>
  <c r="CV316" i="12"/>
  <c r="CV317" i="12" s="1"/>
  <c r="CK19" i="11"/>
  <c r="CT623" i="12"/>
  <c r="CU621" i="12" s="1"/>
  <c r="CU623" i="12" s="1"/>
  <c r="CV621" i="12" s="1"/>
  <c r="CV623" i="12" s="1"/>
  <c r="CW621" i="12" s="1"/>
  <c r="DG431" i="12"/>
  <c r="DG432" i="12"/>
  <c r="DK431" i="12"/>
  <c r="CO607" i="12"/>
  <c r="CO667" i="12" s="1"/>
  <c r="CX179" i="15"/>
  <c r="DD60" i="6"/>
  <c r="V13" i="6"/>
  <c r="DM179" i="15"/>
  <c r="CQ672" i="12"/>
  <c r="DG427" i="12"/>
  <c r="DK179" i="15"/>
  <c r="DL757" i="12"/>
  <c r="DL755" i="12"/>
  <c r="DM755" i="12"/>
  <c r="CZ179" i="15"/>
  <c r="CH292" i="12"/>
  <c r="CH160" i="12" s="1"/>
  <c r="CL157" i="12"/>
  <c r="BU92" i="1"/>
  <c r="BU94" i="1"/>
  <c r="CW64" i="6"/>
  <c r="CW76" i="6"/>
  <c r="CZ86" i="8"/>
  <c r="BU127" i="1"/>
  <c r="BU129" i="1"/>
  <c r="BU128" i="1"/>
  <c r="CF286" i="12"/>
  <c r="CF239" i="12"/>
  <c r="CE233" i="12"/>
  <c r="CE228" i="12" s="1"/>
  <c r="CE117" i="12" s="1"/>
  <c r="N69" i="6"/>
  <c r="N71" i="7"/>
  <c r="N19" i="17"/>
  <c r="N70" i="7"/>
  <c r="O33" i="6"/>
  <c r="N75" i="6"/>
  <c r="N33" i="6"/>
  <c r="N86" i="6"/>
  <c r="N41" i="6"/>
  <c r="N47" i="6"/>
  <c r="N41" i="17"/>
  <c r="N17" i="6"/>
  <c r="N44" i="6"/>
  <c r="N59" i="6"/>
  <c r="N31" i="6"/>
  <c r="N71" i="6"/>
  <c r="N110" i="17"/>
  <c r="N146" i="17"/>
  <c r="N13" i="6"/>
  <c r="R69" i="22"/>
  <c r="R70" i="22" s="1"/>
  <c r="W145" i="17"/>
  <c r="W142" i="17"/>
  <c r="W56" i="12"/>
  <c r="V56" i="12"/>
  <c r="CM579" i="12"/>
  <c r="CM660" i="12" s="1"/>
  <c r="G40" i="20"/>
  <c r="J106" i="22"/>
  <c r="CT615" i="12"/>
  <c r="CU613" i="12" s="1"/>
  <c r="CL94" i="7"/>
  <c r="BY77" i="22"/>
  <c r="CI61" i="6"/>
  <c r="BY61" i="22"/>
  <c r="CL95" i="7"/>
  <c r="CL20" i="17"/>
  <c r="CU109" i="7"/>
  <c r="CR58" i="6"/>
  <c r="BS91" i="1"/>
  <c r="BS88" i="1"/>
  <c r="BS89" i="1"/>
  <c r="BS136" i="1"/>
  <c r="BS153" i="1" s="1"/>
  <c r="BS154" i="1" s="1"/>
  <c r="BS128" i="1"/>
  <c r="CU603" i="12"/>
  <c r="CV601" i="12" s="1"/>
  <c r="DN306" i="12"/>
  <c r="DN305" i="12"/>
  <c r="CL264" i="12"/>
  <c r="CH257" i="12"/>
  <c r="AU92" i="1"/>
  <c r="AY92" i="1"/>
  <c r="CK71" i="11"/>
  <c r="CK63" i="11"/>
  <c r="I135" i="14"/>
  <c r="R358" i="13"/>
  <c r="R307" i="13"/>
  <c r="R315" i="13"/>
  <c r="R318" i="13"/>
  <c r="R312" i="13"/>
  <c r="P232" i="12"/>
  <c r="T123" i="22"/>
  <c r="T124" i="22"/>
  <c r="BE92" i="1"/>
  <c r="BE94" i="1"/>
  <c r="BI92" i="1"/>
  <c r="BR95" i="1"/>
  <c r="BR3" i="1"/>
  <c r="BR4" i="1" s="1"/>
  <c r="CN42" i="13"/>
  <c r="CJ43" i="13"/>
  <c r="CK44" i="13"/>
  <c r="CK43" i="13"/>
  <c r="CJ44" i="13"/>
  <c r="CO76" i="6"/>
  <c r="DA45" i="11"/>
  <c r="DA46" i="11" s="1"/>
  <c r="DA62" i="11"/>
  <c r="V44" i="11"/>
  <c r="V45" i="11" s="1"/>
  <c r="V46" i="11" s="1"/>
  <c r="BR101" i="15"/>
  <c r="BR102" i="15" s="1"/>
  <c r="CB119" i="6"/>
  <c r="CB145" i="6"/>
  <c r="CB89" i="6"/>
  <c r="CB92" i="6"/>
  <c r="CB93" i="6" s="1"/>
  <c r="CB90" i="6"/>
  <c r="CB95" i="6"/>
  <c r="BP94" i="1"/>
  <c r="BP92" i="1"/>
  <c r="CC59" i="22"/>
  <c r="CC60" i="22" s="1"/>
  <c r="CJ108" i="11"/>
  <c r="CJ72" i="11"/>
  <c r="DF59" i="11"/>
  <c r="DF18" i="11"/>
  <c r="DI16" i="6"/>
  <c r="DI30" i="6"/>
  <c r="DI35" i="6"/>
  <c r="DI15" i="6"/>
  <c r="N71" i="8"/>
  <c r="CF6" i="14"/>
  <c r="CF7" i="8"/>
  <c r="CF6" i="13"/>
  <c r="BZ7" i="11"/>
  <c r="CF6" i="17"/>
  <c r="CF6" i="7"/>
  <c r="BS3" i="22"/>
  <c r="CF6" i="16"/>
  <c r="CF6" i="12"/>
  <c r="CF6" i="15"/>
  <c r="J97" i="22"/>
  <c r="P361" i="12"/>
  <c r="J116" i="22"/>
  <c r="O221" i="12"/>
  <c r="DM37" i="16"/>
  <c r="DM38" i="16" s="1"/>
  <c r="DM41" i="16"/>
  <c r="DM30" i="16"/>
  <c r="DM33" i="16" s="1"/>
  <c r="DM34" i="16" s="1"/>
  <c r="DM25" i="16"/>
  <c r="DG44" i="11"/>
  <c r="W24" i="16"/>
  <c r="BX154" i="1"/>
  <c r="CL92" i="7"/>
  <c r="BH92" i="1"/>
  <c r="BH94" i="1"/>
  <c r="X755" i="12"/>
  <c r="X757" i="12" s="1"/>
  <c r="BZ71" i="11"/>
  <c r="BZ63" i="11"/>
  <c r="BZ64" i="11" s="1"/>
  <c r="L139" i="14"/>
  <c r="L140" i="14" s="1"/>
  <c r="M138" i="14"/>
  <c r="CQ60" i="14"/>
  <c r="CR59" i="14"/>
  <c r="CQ71" i="14"/>
  <c r="CQ61" i="14"/>
  <c r="CS105" i="13"/>
  <c r="CO107" i="13"/>
  <c r="CO118" i="13" s="1"/>
  <c r="CG64" i="6"/>
  <c r="CJ86" i="8"/>
  <c r="CJ97" i="8" s="1"/>
  <c r="DM129" i="17"/>
  <c r="DC95" i="7"/>
  <c r="DC20" i="17"/>
  <c r="DC94" i="7"/>
  <c r="CZ61" i="6"/>
  <c r="CP77" i="22"/>
  <c r="CP61" i="22"/>
  <c r="CP62" i="22" s="1"/>
  <c r="N19" i="6"/>
  <c r="O19" i="6"/>
  <c r="CP107" i="13"/>
  <c r="CT105" i="13"/>
  <c r="U143" i="17"/>
  <c r="H112" i="35"/>
  <c r="W186" i="7"/>
  <c r="CD232" i="12"/>
  <c r="CE254" i="12"/>
  <c r="BR116" i="22" s="1"/>
  <c r="CR595" i="12"/>
  <c r="CS593" i="12" s="1"/>
  <c r="BL94" i="1"/>
  <c r="BL92" i="1"/>
  <c r="CN32" i="6"/>
  <c r="CN33" i="6"/>
  <c r="CP71" i="7"/>
  <c r="CN17" i="6"/>
  <c r="CD51" i="22"/>
  <c r="CD52" i="22" s="1"/>
  <c r="CQ70" i="7"/>
  <c r="CQ19" i="17"/>
  <c r="CD76" i="22"/>
  <c r="CQ143" i="17"/>
  <c r="CN55" i="6"/>
  <c r="CN31" i="6"/>
  <c r="CQ146" i="17"/>
  <c r="CQ41" i="17"/>
  <c r="CN59" i="6"/>
  <c r="CR60" i="6" s="1"/>
  <c r="CN47" i="6"/>
  <c r="BQ3" i="1"/>
  <c r="BQ116" i="1"/>
  <c r="L65" i="22"/>
  <c r="L70" i="22" s="1"/>
  <c r="Q132" i="17"/>
  <c r="R132" i="17"/>
  <c r="R18" i="11"/>
  <c r="M22" i="20"/>
  <c r="M28" i="20" s="1"/>
  <c r="DL429" i="12"/>
  <c r="DL430" i="12" s="1"/>
  <c r="DP431" i="12" s="1"/>
  <c r="CV696" i="12"/>
  <c r="N153" i="1"/>
  <c r="N154" i="1" s="1"/>
  <c r="BZ154" i="1" s="1"/>
  <c r="BZ136" i="1"/>
  <c r="CH59" i="22"/>
  <c r="CH60" i="22" s="1"/>
  <c r="CO72" i="11"/>
  <c r="CO73" i="11" s="1"/>
  <c r="CO108" i="11"/>
  <c r="CW58" i="6"/>
  <c r="CZ109" i="7"/>
  <c r="BT28" i="22"/>
  <c r="DN299" i="12"/>
  <c r="BU107" i="1"/>
  <c r="V146" i="17"/>
  <c r="V147" i="17"/>
  <c r="S186" i="12"/>
  <c r="O286" i="12"/>
  <c r="O222" i="12" s="1"/>
  <c r="O239" i="12"/>
  <c r="DM66" i="8"/>
  <c r="DM69" i="8" s="1"/>
  <c r="DM71" i="8"/>
  <c r="J168" i="1"/>
  <c r="J171" i="1" s="1"/>
  <c r="J174" i="1" s="1"/>
  <c r="J89" i="1"/>
  <c r="J88" i="1"/>
  <c r="J128" i="1"/>
  <c r="J154" i="1"/>
  <c r="D112" i="35"/>
  <c r="D113" i="35" s="1"/>
  <c r="AF65" i="1"/>
  <c r="R66" i="1"/>
  <c r="CM630" i="12"/>
  <c r="CL633" i="12"/>
  <c r="CL656" i="12" s="1"/>
  <c r="O45" i="11"/>
  <c r="O46" i="11" s="1"/>
  <c r="CU86" i="8"/>
  <c r="CR76" i="6"/>
  <c r="CR64" i="6"/>
  <c r="R19" i="6"/>
  <c r="R30" i="6"/>
  <c r="K132" i="1"/>
  <c r="CI116" i="7"/>
  <c r="M310" i="12"/>
  <c r="BG116" i="1"/>
  <c r="BK95" i="1"/>
  <c r="BG3" i="1"/>
  <c r="BG95" i="1"/>
  <c r="N170" i="1"/>
  <c r="O81" i="1"/>
  <c r="DC64" i="6"/>
  <c r="DC76" i="6"/>
  <c r="DF86" i="8"/>
  <c r="BS99" i="15"/>
  <c r="BS101" i="15" s="1"/>
  <c r="BT100" i="15"/>
  <c r="CY56" i="22"/>
  <c r="CY60" i="22" s="1"/>
  <c r="DL72" i="12"/>
  <c r="DL71" i="12"/>
  <c r="DL70" i="12"/>
  <c r="CG55" i="17"/>
  <c r="O54" i="17"/>
  <c r="CH55" i="17"/>
  <c r="CW109" i="7"/>
  <c r="CT58" i="6"/>
  <c r="CH121" i="13"/>
  <c r="CH127" i="13" s="1"/>
  <c r="BF199" i="12"/>
  <c r="BF195" i="12"/>
  <c r="BF196" i="12" s="1"/>
  <c r="O238" i="12"/>
  <c r="W26" i="11"/>
  <c r="W27" i="11" s="1"/>
  <c r="W28" i="11" s="1"/>
  <c r="W17" i="16"/>
  <c r="BX91" i="1"/>
  <c r="K92" i="1"/>
  <c r="K3" i="1"/>
  <c r="K95" i="1"/>
  <c r="K4" i="1" s="1"/>
  <c r="K116" i="1"/>
  <c r="K117" i="1" s="1"/>
  <c r="W76" i="11"/>
  <c r="S142" i="17"/>
  <c r="T132" i="17"/>
  <c r="N65" i="22"/>
  <c r="N70" i="22" s="1"/>
  <c r="S132" i="17"/>
  <c r="S145" i="17"/>
  <c r="CR107" i="13"/>
  <c r="CR118" i="13" s="1"/>
  <c r="CV105" i="13"/>
  <c r="DL285" i="12"/>
  <c r="J111" i="15"/>
  <c r="BM110" i="15"/>
  <c r="J110" i="15" s="1"/>
  <c r="U17" i="6"/>
  <c r="U70" i="7"/>
  <c r="U110" i="17"/>
  <c r="U59" i="6"/>
  <c r="U71" i="7"/>
  <c r="U19" i="17"/>
  <c r="P51" i="22"/>
  <c r="P52" i="22" s="1"/>
  <c r="P76" i="22"/>
  <c r="P87" i="22" s="1"/>
  <c r="U41" i="17"/>
  <c r="U47" i="6"/>
  <c r="CK121" i="13"/>
  <c r="CK122" i="13" s="1"/>
  <c r="J35" i="19"/>
  <c r="J8" i="19"/>
  <c r="CK56" i="14"/>
  <c r="CL118" i="13"/>
  <c r="U146" i="17"/>
  <c r="CF228" i="12"/>
  <c r="K105" i="22"/>
  <c r="H40" i="19"/>
  <c r="CN71" i="6"/>
  <c r="CN75" i="6"/>
  <c r="CN44" i="6"/>
  <c r="CN50" i="6"/>
  <c r="CN63" i="6"/>
  <c r="CN86" i="6"/>
  <c r="CN36" i="6"/>
  <c r="CN56" i="6"/>
  <c r="CR57" i="6" s="1"/>
  <c r="CN41" i="6"/>
  <c r="CN13" i="6"/>
  <c r="CN69" i="6"/>
  <c r="H89" i="1"/>
  <c r="H91" i="1"/>
  <c r="H92" i="1" s="1"/>
  <c r="H128" i="1"/>
  <c r="H88" i="1"/>
  <c r="AB10" i="37"/>
  <c r="I109" i="17"/>
  <c r="J109" i="17"/>
  <c r="I111" i="17"/>
  <c r="I106" i="17"/>
  <c r="I107" i="17" s="1"/>
  <c r="I44" i="17"/>
  <c r="R64" i="1"/>
  <c r="AF62" i="1"/>
  <c r="R76" i="1"/>
  <c r="M79" i="1"/>
  <c r="M170" i="1"/>
  <c r="BZ91" i="1"/>
  <c r="N92" i="1"/>
  <c r="N95" i="1"/>
  <c r="N4" i="1" s="1"/>
  <c r="N3" i="1"/>
  <c r="BZ3" i="1" s="1"/>
  <c r="N116" i="1"/>
  <c r="L128" i="1"/>
  <c r="L94" i="1"/>
  <c r="L88" i="1"/>
  <c r="L168" i="1"/>
  <c r="L171" i="1" s="1"/>
  <c r="L174" i="1" s="1"/>
  <c r="L89" i="1"/>
  <c r="BY87" i="1"/>
  <c r="M88" i="1"/>
  <c r="L91" i="1"/>
  <c r="L154" i="1"/>
  <c r="DM307" i="12"/>
  <c r="DM308" i="12"/>
  <c r="O37" i="16"/>
  <c r="BU100" i="1"/>
  <c r="BU106" i="1" s="1"/>
  <c r="I112" i="35"/>
  <c r="V143" i="17"/>
  <c r="O122" i="12"/>
  <c r="O200" i="12"/>
  <c r="CH287" i="12"/>
  <c r="CG222" i="12"/>
  <c r="BT92" i="1"/>
  <c r="BT94" i="1"/>
  <c r="CQ34" i="16"/>
  <c r="CU34" i="16"/>
  <c r="CS30" i="16"/>
  <c r="CM44" i="11"/>
  <c r="CS25" i="16"/>
  <c r="CW25" i="16"/>
  <c r="CS37" i="16"/>
  <c r="CS41" i="16"/>
  <c r="R24" i="16"/>
  <c r="P142" i="17"/>
  <c r="K65" i="22"/>
  <c r="K70" i="22" s="1"/>
  <c r="P145" i="17"/>
  <c r="H35" i="20"/>
  <c r="H8" i="20"/>
  <c r="CI58" i="6"/>
  <c r="CL109" i="7"/>
  <c r="DM339" i="12"/>
  <c r="DM340" i="12" s="1"/>
  <c r="DM328" i="12"/>
  <c r="DM303" i="12"/>
  <c r="DM321" i="12"/>
  <c r="DM334" i="12"/>
  <c r="DM302" i="12"/>
  <c r="DC109" i="7"/>
  <c r="CZ58" i="6"/>
  <c r="CW64" i="11"/>
  <c r="CZ76" i="6"/>
  <c r="CZ64" i="6"/>
  <c r="DC86" i="8"/>
  <c r="DN31" i="12"/>
  <c r="DN136" i="17"/>
  <c r="DN116" i="17" s="1"/>
  <c r="DN120" i="17"/>
  <c r="DN26" i="12"/>
  <c r="K14" i="37" s="1"/>
  <c r="DN301" i="12"/>
  <c r="CF128" i="13"/>
  <c r="CF129" i="13"/>
  <c r="CF130" i="13"/>
  <c r="M136" i="17"/>
  <c r="M49" i="12"/>
  <c r="M15" i="12"/>
  <c r="M62" i="12"/>
  <c r="M40" i="12"/>
  <c r="M65" i="12"/>
  <c r="M69" i="12"/>
  <c r="M43" i="12"/>
  <c r="M54" i="12"/>
  <c r="W299" i="12"/>
  <c r="W314" i="12"/>
  <c r="W315" i="12" s="1"/>
  <c r="DL71" i="8"/>
  <c r="DL66" i="8"/>
  <c r="DL69" i="8" s="1"/>
  <c r="CP61" i="6"/>
  <c r="CF61" i="22"/>
  <c r="CF77" i="22"/>
  <c r="CS94" i="7"/>
  <c r="CS20" i="17"/>
  <c r="CP60" i="6"/>
  <c r="CS95" i="7"/>
  <c r="R131" i="13"/>
  <c r="P78" i="1"/>
  <c r="P77" i="1"/>
  <c r="CS333" i="13"/>
  <c r="CS337" i="13"/>
  <c r="R332" i="13"/>
  <c r="R333" i="13" s="1"/>
  <c r="CW95" i="12"/>
  <c r="CW96" i="12"/>
  <c r="CW537" i="12"/>
  <c r="CW547" i="12" s="1"/>
  <c r="CW94" i="12"/>
  <c r="CN116" i="7"/>
  <c r="K362" i="21"/>
  <c r="K363" i="21" s="1"/>
  <c r="K360" i="21"/>
  <c r="DG57" i="6"/>
  <c r="DC58" i="6"/>
  <c r="CZ64" i="11"/>
  <c r="DF109" i="7"/>
  <c r="DG34" i="16"/>
  <c r="DK34" i="16"/>
  <c r="V37" i="16"/>
  <c r="V30" i="16"/>
  <c r="V41" i="16"/>
  <c r="V25" i="16"/>
  <c r="P200" i="12"/>
  <c r="P122" i="12"/>
  <c r="CU95" i="7"/>
  <c r="CU94" i="7"/>
  <c r="CH77" i="22"/>
  <c r="CU20" i="17"/>
  <c r="CR61" i="6"/>
  <c r="CH61" i="22"/>
  <c r="DL87" i="12"/>
  <c r="DL66" i="12"/>
  <c r="DL67" i="12"/>
  <c r="CG56" i="17"/>
  <c r="CG28" i="16"/>
  <c r="O27" i="16"/>
  <c r="CK28" i="16"/>
  <c r="BE47" i="15"/>
  <c r="BE46" i="15" s="1"/>
  <c r="BE30" i="15" s="1"/>
  <c r="BE43" i="15"/>
  <c r="BE20" i="15" s="1"/>
  <c r="BE11" i="15" s="1"/>
  <c r="G79" i="35"/>
  <c r="I80" i="35"/>
  <c r="M80" i="35"/>
  <c r="F80" i="35"/>
  <c r="C80" i="35"/>
  <c r="K80" i="35"/>
  <c r="D80" i="35"/>
  <c r="I79" i="35"/>
  <c r="M79" i="35"/>
  <c r="F79" i="35"/>
  <c r="C79" i="35"/>
  <c r="K79" i="35"/>
  <c r="D79" i="35"/>
  <c r="H80" i="35"/>
  <c r="L80" i="35"/>
  <c r="E80" i="35"/>
  <c r="J80" i="35"/>
  <c r="N80" i="35"/>
  <c r="G80" i="35"/>
  <c r="H79" i="35"/>
  <c r="L79" i="35"/>
  <c r="E79" i="35"/>
  <c r="J79" i="35"/>
  <c r="N79" i="35"/>
  <c r="K88" i="1"/>
  <c r="BY103" i="22"/>
  <c r="BY104" i="22" s="1"/>
  <c r="CL88" i="7"/>
  <c r="CN121" i="13"/>
  <c r="CN122" i="13" s="1"/>
  <c r="DM282" i="12"/>
  <c r="DM283" i="12"/>
  <c r="CT61" i="6"/>
  <c r="CX60" i="6"/>
  <c r="CJ61" i="22"/>
  <c r="CW95" i="7"/>
  <c r="CW94" i="7"/>
  <c r="CJ77" i="22"/>
  <c r="CT60" i="6"/>
  <c r="CW20" i="17"/>
  <c r="BS408" i="21"/>
  <c r="BT406" i="21"/>
  <c r="I95" i="1"/>
  <c r="I4" i="1" s="1"/>
  <c r="I116" i="1"/>
  <c r="J95" i="1"/>
  <c r="J4" i="1" s="1"/>
  <c r="I3" i="1"/>
  <c r="J92" i="1"/>
  <c r="BV91" i="1"/>
  <c r="I92" i="1"/>
  <c r="CJ239" i="12"/>
  <c r="CK233" i="12"/>
  <c r="J22" i="19"/>
  <c r="J28" i="19" s="1"/>
  <c r="I37" i="19"/>
  <c r="S65" i="8"/>
  <c r="S59" i="8"/>
  <c r="S61" i="8" s="1"/>
  <c r="S63" i="8" s="1"/>
  <c r="F111" i="35"/>
  <c r="S35" i="8"/>
  <c r="CU611" i="12"/>
  <c r="CV609" i="12" s="1"/>
  <c r="Q76" i="1"/>
  <c r="BJ92" i="1"/>
  <c r="BJ94" i="1"/>
  <c r="BN92" i="1"/>
  <c r="Q344" i="13"/>
  <c r="W74" i="7"/>
  <c r="W46" i="6"/>
  <c r="W73" i="7"/>
  <c r="W72" i="7"/>
  <c r="O105" i="1"/>
  <c r="N108" i="1"/>
  <c r="N173" i="1" s="1"/>
  <c r="N174" i="1" s="1"/>
  <c r="N106" i="1"/>
  <c r="N107" i="1"/>
  <c r="N126" i="1"/>
  <c r="N109" i="1"/>
  <c r="BW63" i="6"/>
  <c r="BZ92" i="7"/>
  <c r="CA60" i="6"/>
  <c r="BZ95" i="7"/>
  <c r="BZ94" i="7"/>
  <c r="BM77" i="22"/>
  <c r="I77" i="22" s="1"/>
  <c r="I92" i="22" s="1"/>
  <c r="CA88" i="7"/>
  <c r="CA92" i="7"/>
  <c r="BZ20" i="17"/>
  <c r="BW61" i="6"/>
  <c r="CC92" i="7"/>
  <c r="BZ88" i="7"/>
  <c r="BW60" i="6"/>
  <c r="BM61" i="22"/>
  <c r="CB88" i="7"/>
  <c r="CC88" i="7"/>
  <c r="CB92" i="7"/>
  <c r="BW76" i="6"/>
  <c r="BZ109" i="7"/>
  <c r="BW58" i="6"/>
  <c r="CA57" i="6"/>
  <c r="BW57" i="6"/>
  <c r="CZ100" i="15"/>
  <c r="CY99" i="15"/>
  <c r="CY101" i="15" s="1"/>
  <c r="CY102" i="15" s="1"/>
  <c r="CN102" i="15"/>
  <c r="R17" i="16"/>
  <c r="S17" i="16"/>
  <c r="CM27" i="11"/>
  <c r="CM28" i="11" s="1"/>
  <c r="R26" i="11"/>
  <c r="R27" i="11" s="1"/>
  <c r="R28" i="11" s="1"/>
  <c r="CG38" i="16"/>
  <c r="CK38" i="16"/>
  <c r="DG14" i="11"/>
  <c r="DM69" i="12"/>
  <c r="DM43" i="12"/>
  <c r="CZ46" i="22"/>
  <c r="CZ50" i="22" s="1"/>
  <c r="DM40" i="12"/>
  <c r="DM32" i="12"/>
  <c r="DJ14" i="6"/>
  <c r="DM54" i="12"/>
  <c r="DM78" i="12"/>
  <c r="DM65" i="12"/>
  <c r="DM49" i="12"/>
  <c r="DM62" i="12"/>
  <c r="W301" i="12"/>
  <c r="Q76" i="22"/>
  <c r="Q87" i="22" s="1"/>
  <c r="Q51" i="22"/>
  <c r="Q52" i="22" s="1"/>
  <c r="V33" i="6"/>
  <c r="V71" i="7"/>
  <c r="V17" i="6"/>
  <c r="V19" i="17"/>
  <c r="V31" i="6"/>
  <c r="V110" i="17"/>
  <c r="V59" i="6"/>
  <c r="V70" i="7"/>
  <c r="BT71" i="11"/>
  <c r="BT63" i="11"/>
  <c r="BT64" i="11" s="1"/>
  <c r="CF122" i="13"/>
  <c r="O121" i="13"/>
  <c r="O122" i="13" s="1"/>
  <c r="CR627" i="12"/>
  <c r="CS625" i="12" s="1"/>
  <c r="BR60" i="22"/>
  <c r="BR62" i="22" s="1"/>
  <c r="CS330" i="13"/>
  <c r="R328" i="13"/>
  <c r="CH38" i="16"/>
  <c r="CL38" i="16"/>
  <c r="P44" i="11"/>
  <c r="P25" i="16"/>
  <c r="P37" i="16"/>
  <c r="P41" i="16"/>
  <c r="Q25" i="16"/>
  <c r="Q102" i="15"/>
  <c r="DG38" i="16"/>
  <c r="DK38" i="16"/>
  <c r="DL81" i="12"/>
  <c r="DL80" i="12"/>
  <c r="DL107" i="8"/>
  <c r="DL79" i="12"/>
  <c r="W54" i="12"/>
  <c r="W40" i="12"/>
  <c r="W69" i="12"/>
  <c r="W14" i="6"/>
  <c r="W43" i="12"/>
  <c r="W14" i="11"/>
  <c r="W18" i="11" s="1"/>
  <c r="W65" i="12"/>
  <c r="W32" i="12"/>
  <c r="BF92" i="1"/>
  <c r="BF94" i="1"/>
  <c r="BX94" i="1" s="1"/>
  <c r="X90" i="15"/>
  <c r="DD26" i="22"/>
  <c r="BM92" i="1"/>
  <c r="BM94" i="1"/>
  <c r="BQ95" i="1" s="1"/>
  <c r="Q130" i="1"/>
  <c r="Q125" i="1"/>
  <c r="R124" i="1"/>
  <c r="W306" i="12"/>
  <c r="U13" i="6"/>
  <c r="DB69" i="22"/>
  <c r="BG199" i="12"/>
  <c r="R74" i="7"/>
  <c r="S46" i="6"/>
  <c r="R73" i="7"/>
  <c r="R72" i="7"/>
  <c r="R46" i="6"/>
  <c r="DB35" i="22"/>
  <c r="DL175" i="7"/>
  <c r="W169" i="7"/>
  <c r="CF238" i="12"/>
  <c r="CJ127" i="13"/>
  <c r="DC71" i="11"/>
  <c r="DC63" i="11"/>
  <c r="CA62" i="11"/>
  <c r="CA45" i="11"/>
  <c r="CA46" i="11" s="1"/>
  <c r="BQ92" i="1"/>
  <c r="CT668" i="12"/>
  <c r="CB45" i="11"/>
  <c r="CB46" i="11" s="1"/>
  <c r="G117" i="35"/>
  <c r="Q556" i="12"/>
  <c r="Q557" i="12" s="1"/>
  <c r="CX105" i="12"/>
  <c r="CY103" i="12"/>
  <c r="CX176" i="12"/>
  <c r="CX104" i="12"/>
  <c r="CX130" i="12"/>
  <c r="CX473" i="12"/>
  <c r="CK37" i="22"/>
  <c r="CX218" i="12"/>
  <c r="CX131" i="12"/>
  <c r="CW106" i="12"/>
  <c r="CW312" i="12"/>
  <c r="CW322" i="12"/>
  <c r="CV323" i="12"/>
  <c r="CW222" i="12"/>
  <c r="CW221" i="12"/>
  <c r="N95" i="22"/>
  <c r="N96" i="22" s="1"/>
  <c r="S105" i="12"/>
  <c r="S130" i="12"/>
  <c r="S104" i="12"/>
  <c r="S131" i="12"/>
  <c r="S218" i="12"/>
  <c r="S473" i="12"/>
  <c r="CW179" i="12"/>
  <c r="CW336" i="12" s="1"/>
  <c r="CW337" i="12" s="1"/>
  <c r="CW223" i="12"/>
  <c r="S176" i="12"/>
  <c r="CW132" i="12"/>
  <c r="CW133" i="12" s="1"/>
  <c r="CW178" i="12"/>
  <c r="CV309" i="12"/>
  <c r="CV313" i="12"/>
  <c r="CV341" i="12"/>
  <c r="T49" i="22"/>
  <c r="Y18" i="6"/>
  <c r="X113" i="7"/>
  <c r="X30" i="7"/>
  <c r="AA55" i="7"/>
  <c r="AB55" i="7" s="1"/>
  <c r="AC55" i="7" s="1"/>
  <c r="AD55" i="7" s="1"/>
  <c r="AE55" i="7" s="1"/>
  <c r="AF55" i="7" s="1"/>
  <c r="AG55" i="7" s="1"/>
  <c r="X123" i="8"/>
  <c r="X78" i="8"/>
  <c r="X14" i="15"/>
  <c r="X34" i="13"/>
  <c r="Y35" i="13" s="1"/>
  <c r="X11" i="15"/>
  <c r="DD7" i="22"/>
  <c r="DD9" i="22" s="1"/>
  <c r="DD13" i="22" s="1"/>
  <c r="DD22" i="22" s="1"/>
  <c r="DB24" i="22"/>
  <c r="DB23" i="22" s="1"/>
  <c r="DI109" i="11"/>
  <c r="DP36" i="13"/>
  <c r="DP35" i="13"/>
  <c r="DP50" i="13" s="1"/>
  <c r="DN432" i="12"/>
  <c r="AA70" i="13" l="1"/>
  <c r="AB70" i="13" s="1"/>
  <c r="W126" i="22" s="1"/>
  <c r="BX91" i="15"/>
  <c r="BY90" i="15"/>
  <c r="BY98" i="15" s="1"/>
  <c r="BY101" i="15" s="1"/>
  <c r="BX118" i="15"/>
  <c r="BX119" i="15" s="1"/>
  <c r="BX215" i="13"/>
  <c r="BX257" i="13" s="1"/>
  <c r="BX112" i="15"/>
  <c r="BO47" i="15"/>
  <c r="BO46" i="15" s="1"/>
  <c r="BP44" i="15"/>
  <c r="BO43" i="15"/>
  <c r="BN30" i="15"/>
  <c r="BN31" i="15" s="1"/>
  <c r="BN48" i="15"/>
  <c r="BM18" i="15"/>
  <c r="BM19" i="15" s="1"/>
  <c r="BN20" i="15"/>
  <c r="BN45" i="15"/>
  <c r="BL113" i="15"/>
  <c r="DP51" i="13"/>
  <c r="DT51" i="13"/>
  <c r="Y127" i="15"/>
  <c r="Z125" i="15"/>
  <c r="Z127" i="15" s="1"/>
  <c r="Y135" i="15"/>
  <c r="Z133" i="15"/>
  <c r="Z135" i="15" s="1"/>
  <c r="DV22" i="12"/>
  <c r="DR477" i="12"/>
  <c r="Z65" i="7"/>
  <c r="BU56" i="12"/>
  <c r="CH77" i="6"/>
  <c r="CH88" i="6"/>
  <c r="CH90" i="6" s="1"/>
  <c r="DU94" i="12"/>
  <c r="DU95" i="12"/>
  <c r="DU96" i="12"/>
  <c r="Z681" i="12"/>
  <c r="Z679" i="12" s="1"/>
  <c r="Z102" i="7"/>
  <c r="M56" i="12"/>
  <c r="L56" i="12"/>
  <c r="CF145" i="14"/>
  <c r="CF146" i="14" s="1"/>
  <c r="Y73" i="13"/>
  <c r="T128" i="22" s="1"/>
  <c r="Z73" i="13"/>
  <c r="U128" i="22" s="1"/>
  <c r="AC70" i="13"/>
  <c r="AF60" i="13"/>
  <c r="Z124" i="22"/>
  <c r="DL179" i="15"/>
  <c r="CH42" i="22"/>
  <c r="AE257" i="12"/>
  <c r="AE358" i="12" s="1"/>
  <c r="DI72" i="22"/>
  <c r="R90" i="12"/>
  <c r="BU46" i="17"/>
  <c r="L46" i="17" s="1"/>
  <c r="BY56" i="12"/>
  <c r="CF95" i="12"/>
  <c r="BT59" i="17"/>
  <c r="BT47" i="17"/>
  <c r="BT48" i="17" s="1"/>
  <c r="CL86" i="8"/>
  <c r="CL97" i="8" s="1"/>
  <c r="CL58" i="6"/>
  <c r="CU310" i="12"/>
  <c r="P136" i="12"/>
  <c r="Q136" i="12"/>
  <c r="Y19" i="6"/>
  <c r="Z19" i="6"/>
  <c r="Z111" i="6"/>
  <c r="DS389" i="12"/>
  <c r="DR389" i="12"/>
  <c r="DT389" i="12"/>
  <c r="Z58" i="12"/>
  <c r="W282" i="12"/>
  <c r="CP661" i="12"/>
  <c r="K24" i="37"/>
  <c r="DR250" i="12"/>
  <c r="O25" i="37" s="1"/>
  <c r="DS94" i="12"/>
  <c r="DS95" i="12"/>
  <c r="DS96" i="12"/>
  <c r="W284" i="12"/>
  <c r="W285" i="12" s="1"/>
  <c r="BZ537" i="12"/>
  <c r="BZ547" i="12" s="1"/>
  <c r="BZ568" i="12" s="1"/>
  <c r="BZ570" i="12" s="1"/>
  <c r="BZ571" i="12" s="1"/>
  <c r="DT87" i="12"/>
  <c r="DT89" i="12" s="1"/>
  <c r="DT92" i="12" s="1"/>
  <c r="DW85" i="12"/>
  <c r="DX85" i="12" s="1"/>
  <c r="DY85" i="12" s="1"/>
  <c r="CZ94" i="7"/>
  <c r="CH64" i="6"/>
  <c r="BZ95" i="12"/>
  <c r="DA57" i="6"/>
  <c r="R342" i="12"/>
  <c r="Z304" i="12"/>
  <c r="Z305" i="12" s="1"/>
  <c r="CL441" i="12"/>
  <c r="CL442" i="12"/>
  <c r="CP441" i="12"/>
  <c r="Z298" i="12"/>
  <c r="Z299" i="12" s="1"/>
  <c r="AA289" i="12"/>
  <c r="AB289" i="12" s="1"/>
  <c r="AC289" i="12" s="1"/>
  <c r="Z138" i="12"/>
  <c r="R126" i="8"/>
  <c r="R120" i="8" s="1"/>
  <c r="R122" i="8" s="1"/>
  <c r="R124" i="8" s="1"/>
  <c r="DY109" i="8"/>
  <c r="DV109" i="8"/>
  <c r="DW109" i="8"/>
  <c r="DX109" i="8"/>
  <c r="DW656" i="12"/>
  <c r="Z690" i="12"/>
  <c r="AA690" i="12" s="1"/>
  <c r="AB690" i="12" s="1"/>
  <c r="AC690" i="12" s="1"/>
  <c r="AD690" i="12" s="1"/>
  <c r="AE690" i="12" s="1"/>
  <c r="AF690" i="12" s="1"/>
  <c r="AG690" i="12" s="1"/>
  <c r="AG763" i="12"/>
  <c r="AF764" i="12"/>
  <c r="AG765" i="12" s="1"/>
  <c r="AG767" i="12" s="1"/>
  <c r="AF755" i="12"/>
  <c r="AF757" i="12" s="1"/>
  <c r="AB738" i="12"/>
  <c r="AC739" i="12"/>
  <c r="AF765" i="12"/>
  <c r="AF767" i="12" s="1"/>
  <c r="AG724" i="12"/>
  <c r="AG725" i="12" s="1"/>
  <c r="AF725" i="12"/>
  <c r="AE765" i="12"/>
  <c r="AE767" i="12" s="1"/>
  <c r="CM77" i="22"/>
  <c r="Q75" i="6"/>
  <c r="DW60" i="7"/>
  <c r="DX89" i="8"/>
  <c r="DX74" i="8"/>
  <c r="DV67" i="6"/>
  <c r="Z67" i="6" s="1"/>
  <c r="DT111" i="6"/>
  <c r="DT103" i="6" s="1"/>
  <c r="DU109" i="6"/>
  <c r="DU85" i="6"/>
  <c r="DX75" i="8"/>
  <c r="DV84" i="6"/>
  <c r="Z84" i="6" s="1"/>
  <c r="DV99" i="8"/>
  <c r="DV100" i="8" s="1"/>
  <c r="CP64" i="6"/>
  <c r="CF79" i="6"/>
  <c r="CI110" i="7" s="1"/>
  <c r="CI117" i="7" s="1"/>
  <c r="CI115" i="7" s="1"/>
  <c r="CF77" i="6"/>
  <c r="CW61" i="6"/>
  <c r="Q44" i="6"/>
  <c r="Q50" i="6"/>
  <c r="CM61" i="22"/>
  <c r="CZ95" i="7"/>
  <c r="Q28" i="35"/>
  <c r="Q29" i="35" s="1"/>
  <c r="CI64" i="6"/>
  <c r="V71" i="6"/>
  <c r="DD64" i="6"/>
  <c r="DG86" i="8"/>
  <c r="Q63" i="11"/>
  <c r="CE64" i="6"/>
  <c r="Q13" i="6"/>
  <c r="Q69" i="6"/>
  <c r="CR109" i="7"/>
  <c r="CR116" i="7" s="1"/>
  <c r="CP58" i="6"/>
  <c r="Q71" i="6"/>
  <c r="Q63" i="6"/>
  <c r="Q64" i="6" s="1"/>
  <c r="Q86" i="6"/>
  <c r="CS86" i="8"/>
  <c r="CS97" i="8" s="1"/>
  <c r="AE59" i="13"/>
  <c r="Y123" i="22"/>
  <c r="CR86" i="8"/>
  <c r="CR97" i="8" s="1"/>
  <c r="R92" i="12"/>
  <c r="R96" i="12" s="1"/>
  <c r="CS109" i="7"/>
  <c r="CS116" i="7" s="1"/>
  <c r="CO58" i="6"/>
  <c r="CS57" i="6"/>
  <c r="CP57" i="6"/>
  <c r="CO57" i="6"/>
  <c r="DG109" i="7"/>
  <c r="DG116" i="7" s="1"/>
  <c r="Y306" i="12"/>
  <c r="DD57" i="6"/>
  <c r="CK108" i="7"/>
  <c r="CF537" i="12"/>
  <c r="CF94" i="12"/>
  <c r="CK115" i="7"/>
  <c r="DA179" i="15"/>
  <c r="DT26" i="12"/>
  <c r="Q14" i="37" s="1"/>
  <c r="DP315" i="12"/>
  <c r="DT315" i="12"/>
  <c r="DQ281" i="12"/>
  <c r="DU282" i="12" s="1"/>
  <c r="DQ248" i="12"/>
  <c r="DR281" i="12"/>
  <c r="DV282" i="12" s="1"/>
  <c r="DR248" i="12"/>
  <c r="N172" i="7"/>
  <c r="N163" i="7"/>
  <c r="N165" i="7" s="1"/>
  <c r="O167" i="7"/>
  <c r="O171" i="7" s="1"/>
  <c r="CK79" i="6"/>
  <c r="CN110" i="7" s="1"/>
  <c r="CN117" i="7" s="1"/>
  <c r="CN115" i="7" s="1"/>
  <c r="CK77" i="6"/>
  <c r="S47" i="6"/>
  <c r="CT64" i="6"/>
  <c r="S19" i="17"/>
  <c r="U31" i="16"/>
  <c r="CG91" i="14"/>
  <c r="G91" i="14" s="1"/>
  <c r="BT34" i="22"/>
  <c r="CH88" i="14"/>
  <c r="CG90" i="14"/>
  <c r="CF142" i="14"/>
  <c r="BS33" i="22"/>
  <c r="T31" i="16"/>
  <c r="T38" i="16"/>
  <c r="N108" i="11"/>
  <c r="DO284" i="12"/>
  <c r="DS285" i="12" s="1"/>
  <c r="DS282" i="12"/>
  <c r="AB42" i="8"/>
  <c r="AC15" i="7"/>
  <c r="AB566" i="12"/>
  <c r="AC563" i="12"/>
  <c r="AA110" i="6"/>
  <c r="AB109" i="6"/>
  <c r="DR62" i="14"/>
  <c r="DS62" i="14"/>
  <c r="U38" i="16"/>
  <c r="J17" i="37"/>
  <c r="J18" i="37" s="1"/>
  <c r="CJ103" i="22"/>
  <c r="CJ104" i="22" s="1"/>
  <c r="S28" i="35"/>
  <c r="S29" i="35" s="1"/>
  <c r="T28" i="35"/>
  <c r="T29" i="35" s="1"/>
  <c r="O28" i="35"/>
  <c r="O29" i="35" s="1"/>
  <c r="R28" i="35"/>
  <c r="R29" i="35" s="1"/>
  <c r="P28" i="35"/>
  <c r="P29" i="35" s="1"/>
  <c r="AB755" i="12"/>
  <c r="AB757" i="12" s="1"/>
  <c r="X13" i="20"/>
  <c r="W23" i="20"/>
  <c r="Y7" i="20"/>
  <c r="Y8" i="20" s="1"/>
  <c r="X8" i="20"/>
  <c r="W8" i="19"/>
  <c r="X7" i="19"/>
  <c r="X23" i="19"/>
  <c r="Y13" i="19"/>
  <c r="CX57" i="6"/>
  <c r="CT76" i="6"/>
  <c r="CT88" i="6" s="1"/>
  <c r="CX58" i="6"/>
  <c r="CS557" i="12"/>
  <c r="CS568" i="12" s="1"/>
  <c r="CS696" i="12"/>
  <c r="CS697" i="12" s="1"/>
  <c r="CS698" i="12" s="1"/>
  <c r="CS702" i="12" s="1"/>
  <c r="CS703" i="12" s="1"/>
  <c r="CS704" i="12" s="1"/>
  <c r="N82" i="35"/>
  <c r="N83" i="35" s="1"/>
  <c r="H82" i="35"/>
  <c r="H83" i="35" s="1"/>
  <c r="K82" i="35"/>
  <c r="K83" i="35" s="1"/>
  <c r="R104" i="35" s="1"/>
  <c r="R124" i="35" s="1"/>
  <c r="I82" i="35"/>
  <c r="I83" i="35" s="1"/>
  <c r="R53" i="6"/>
  <c r="R55" i="6" s="1"/>
  <c r="R55" i="11"/>
  <c r="DH179" i="15"/>
  <c r="CW179" i="15"/>
  <c r="CY179" i="15"/>
  <c r="DD92" i="12"/>
  <c r="DD95" i="12" s="1"/>
  <c r="Q19" i="11"/>
  <c r="Q19" i="17"/>
  <c r="CM58" i="6"/>
  <c r="CS179" i="15"/>
  <c r="CZ92" i="12"/>
  <c r="CZ94" i="12" s="1"/>
  <c r="M94" i="12"/>
  <c r="I441" i="12"/>
  <c r="DC179" i="15"/>
  <c r="CP442" i="12"/>
  <c r="CO442" i="12"/>
  <c r="CO441" i="12"/>
  <c r="R36" i="17"/>
  <c r="R26" i="17"/>
  <c r="R45" i="17" s="1"/>
  <c r="DA86" i="8"/>
  <c r="CX76" i="6"/>
  <c r="CX79" i="6" s="1"/>
  <c r="DA110" i="7" s="1"/>
  <c r="Q41" i="17"/>
  <c r="DF35" i="17"/>
  <c r="CR96" i="12"/>
  <c r="CR94" i="12"/>
  <c r="CR95" i="12"/>
  <c r="DO303" i="12"/>
  <c r="R37" i="17"/>
  <c r="CG130" i="13"/>
  <c r="U192" i="7"/>
  <c r="U193" i="7" s="1"/>
  <c r="T71" i="11"/>
  <c r="T108" i="11" s="1"/>
  <c r="T62" i="11"/>
  <c r="T63" i="11" s="1"/>
  <c r="CU63" i="11"/>
  <c r="CU64" i="11" s="1"/>
  <c r="J70" i="12"/>
  <c r="J72" i="12"/>
  <c r="J71" i="12"/>
  <c r="CH143" i="14"/>
  <c r="CH144" i="14" s="1"/>
  <c r="CG144" i="14"/>
  <c r="S13" i="6"/>
  <c r="N51" i="22"/>
  <c r="N52" i="22" s="1"/>
  <c r="S70" i="7"/>
  <c r="H7" i="5"/>
  <c r="H14" i="5" s="1"/>
  <c r="V69" i="6"/>
  <c r="BT20" i="15"/>
  <c r="BS48" i="15"/>
  <c r="BS30" i="15"/>
  <c r="BR241" i="13"/>
  <c r="BV240" i="13"/>
  <c r="BR281" i="13"/>
  <c r="BV280" i="13"/>
  <c r="S59" i="6"/>
  <c r="S95" i="7" s="1"/>
  <c r="S17" i="6"/>
  <c r="T19" i="17"/>
  <c r="V86" i="6"/>
  <c r="V75" i="6"/>
  <c r="S19" i="11"/>
  <c r="BY6" i="6"/>
  <c r="CC96" i="6"/>
  <c r="BY96" i="6"/>
  <c r="BT239" i="13"/>
  <c r="BT279" i="13"/>
  <c r="BT41" i="15"/>
  <c r="BT59" i="15" s="1"/>
  <c r="BU41" i="15"/>
  <c r="BU59" i="15" s="1"/>
  <c r="BT42" i="15"/>
  <c r="BR254" i="13"/>
  <c r="BV31" i="15"/>
  <c r="BS42" i="15"/>
  <c r="BS41" i="15"/>
  <c r="BS59" i="15" s="1"/>
  <c r="BS279" i="13"/>
  <c r="S41" i="17"/>
  <c r="N76" i="22"/>
  <c r="N87" i="22" s="1"/>
  <c r="S71" i="7"/>
  <c r="V41" i="6"/>
  <c r="V63" i="6"/>
  <c r="H10" i="5" s="1"/>
  <c r="BY93" i="6"/>
  <c r="CC93" i="6"/>
  <c r="BU48" i="15"/>
  <c r="BU45" i="15" s="1"/>
  <c r="BT30" i="15"/>
  <c r="BT254" i="13" s="1"/>
  <c r="BU255" i="13" s="1"/>
  <c r="BS239" i="13"/>
  <c r="BW240" i="13" s="1"/>
  <c r="BS45" i="15"/>
  <c r="BS20" i="15"/>
  <c r="K28" i="35"/>
  <c r="K29" i="35" s="1"/>
  <c r="DR24" i="12"/>
  <c r="DR304" i="12"/>
  <c r="DV305" i="12" s="1"/>
  <c r="DR25" i="12"/>
  <c r="J28" i="35"/>
  <c r="J29" i="35" s="1"/>
  <c r="DR314" i="12"/>
  <c r="DR22" i="12"/>
  <c r="DR298" i="12"/>
  <c r="DV299" i="12" s="1"/>
  <c r="U127" i="22"/>
  <c r="K61" i="22"/>
  <c r="I6" i="37"/>
  <c r="I11" i="37" s="1"/>
  <c r="R41" i="6"/>
  <c r="T41" i="6"/>
  <c r="H8" i="37"/>
  <c r="U63" i="6"/>
  <c r="U64" i="6" s="1"/>
  <c r="S71" i="6"/>
  <c r="Y101" i="13"/>
  <c r="Y102" i="11" s="1"/>
  <c r="Y103" i="11" s="1"/>
  <c r="DH72" i="22"/>
  <c r="DE26" i="22"/>
  <c r="BX72" i="11"/>
  <c r="BX73" i="11" s="1"/>
  <c r="BX108" i="11"/>
  <c r="M279" i="13"/>
  <c r="M280" i="13" s="1"/>
  <c r="BY280" i="13"/>
  <c r="BY281" i="13"/>
  <c r="BY286" i="13" s="1"/>
  <c r="M286" i="13" s="1"/>
  <c r="BZ240" i="13"/>
  <c r="CU671" i="12"/>
  <c r="T50" i="6"/>
  <c r="G28" i="35"/>
  <c r="G29" i="35" s="1"/>
  <c r="H104" i="35" s="1"/>
  <c r="H124" i="35" s="1"/>
  <c r="F28" i="35"/>
  <c r="F29" i="35" s="1"/>
  <c r="G104" i="35" s="1"/>
  <c r="G124" i="35" s="1"/>
  <c r="G126" i="35" s="1"/>
  <c r="C28" i="35"/>
  <c r="C29" i="35" s="1"/>
  <c r="D104" i="35" s="1"/>
  <c r="D124" i="35" s="1"/>
  <c r="D126" i="35" s="1"/>
  <c r="E28" i="35"/>
  <c r="E29" i="35" s="1"/>
  <c r="F104" i="35" s="1"/>
  <c r="F124" i="35" s="1"/>
  <c r="I28" i="35"/>
  <c r="I29" i="35" s="1"/>
  <c r="N47" i="15"/>
  <c r="M46" i="15"/>
  <c r="M48" i="15" s="1"/>
  <c r="DO40" i="12"/>
  <c r="DO43" i="12"/>
  <c r="DO69" i="12"/>
  <c r="DS70" i="12" s="1"/>
  <c r="DO54" i="12"/>
  <c r="DO49" i="12"/>
  <c r="DO62" i="12"/>
  <c r="DO78" i="12"/>
  <c r="DO65" i="12"/>
  <c r="DS66" i="12" s="1"/>
  <c r="DO32" i="12"/>
  <c r="DP136" i="17"/>
  <c r="DP116" i="17" s="1"/>
  <c r="DP301" i="12"/>
  <c r="DT302" i="12" s="1"/>
  <c r="DP31" i="12"/>
  <c r="DT32" i="12" s="1"/>
  <c r="DP120" i="17"/>
  <c r="DP50" i="12"/>
  <c r="DP26" i="12"/>
  <c r="M14" i="37" s="1"/>
  <c r="M20" i="15"/>
  <c r="M45" i="15"/>
  <c r="DO283" i="12"/>
  <c r="DO282" i="12"/>
  <c r="BZ46" i="15"/>
  <c r="DP284" i="12"/>
  <c r="DT285" i="12" s="1"/>
  <c r="DP299" i="12"/>
  <c r="CG66" i="8"/>
  <c r="CG69" i="8" s="1"/>
  <c r="CG71" i="8"/>
  <c r="BX289" i="13"/>
  <c r="BX292" i="13" s="1"/>
  <c r="BX294" i="13" s="1"/>
  <c r="DP306" i="12"/>
  <c r="DT307" i="12" s="1"/>
  <c r="DP305" i="12"/>
  <c r="N43" i="15"/>
  <c r="O44" i="15"/>
  <c r="BW289" i="13"/>
  <c r="T33" i="6"/>
  <c r="T186" i="12"/>
  <c r="DQ389" i="12"/>
  <c r="DP389" i="12"/>
  <c r="DO389" i="12"/>
  <c r="BM15" i="22"/>
  <c r="BZ20" i="15"/>
  <c r="BZ18" i="15" s="1"/>
  <c r="DO308" i="12"/>
  <c r="DO307" i="12"/>
  <c r="L28" i="35"/>
  <c r="L29" i="35" s="1"/>
  <c r="M28" i="35"/>
  <c r="M29" i="35" s="1"/>
  <c r="H28" i="35"/>
  <c r="H29" i="35" s="1"/>
  <c r="I104" i="35" s="1"/>
  <c r="I124" i="35" s="1"/>
  <c r="DQ304" i="12"/>
  <c r="DU305" i="12" s="1"/>
  <c r="DQ24" i="12"/>
  <c r="DY23" i="12"/>
  <c r="DY304" i="12" s="1"/>
  <c r="X23" i="12"/>
  <c r="X24" i="12" s="1"/>
  <c r="DA310" i="21"/>
  <c r="CZ311" i="21"/>
  <c r="CZ301" i="21" s="1"/>
  <c r="M239" i="13"/>
  <c r="M240" i="13" s="1"/>
  <c r="BY240" i="13"/>
  <c r="BZ241" i="13"/>
  <c r="BY241" i="13"/>
  <c r="P149" i="14"/>
  <c r="O151" i="14"/>
  <c r="DP416" i="12"/>
  <c r="DP426" i="12" s="1"/>
  <c r="DP427" i="12" s="1"/>
  <c r="DO416" i="12"/>
  <c r="DO426" i="12" s="1"/>
  <c r="DO427" i="12" s="1"/>
  <c r="Q186" i="12"/>
  <c r="CW57" i="6"/>
  <c r="CB44" i="15"/>
  <c r="CA47" i="15"/>
  <c r="CA43" i="15"/>
  <c r="CA239" i="13" s="1"/>
  <c r="N28" i="35"/>
  <c r="N29" i="35" s="1"/>
  <c r="BY48" i="15"/>
  <c r="BY45" i="15" s="1"/>
  <c r="BY30" i="15"/>
  <c r="DQ25" i="12"/>
  <c r="N13" i="37" s="1"/>
  <c r="DQ22" i="12"/>
  <c r="DQ298" i="12"/>
  <c r="DU299" i="12" s="1"/>
  <c r="DQ314" i="12"/>
  <c r="CN59" i="22"/>
  <c r="CN60" i="22" s="1"/>
  <c r="CN62" i="22" s="1"/>
  <c r="CU108" i="11"/>
  <c r="DO334" i="12"/>
  <c r="DO321" i="12"/>
  <c r="DO328" i="12"/>
  <c r="DO339" i="12"/>
  <c r="DO302" i="12"/>
  <c r="BX254" i="13"/>
  <c r="BX255" i="13" s="1"/>
  <c r="CS61" i="22"/>
  <c r="CS62" i="22" s="1"/>
  <c r="CZ73" i="11"/>
  <c r="CO103" i="22"/>
  <c r="CO104" i="22" s="1"/>
  <c r="CS77" i="22"/>
  <c r="Q47" i="6"/>
  <c r="Q71" i="7"/>
  <c r="Q17" i="6"/>
  <c r="DF95" i="7"/>
  <c r="Q59" i="6"/>
  <c r="Q88" i="7" s="1"/>
  <c r="L51" i="22"/>
  <c r="L52" i="22" s="1"/>
  <c r="CZ57" i="6"/>
  <c r="Q143" i="17"/>
  <c r="Q146" i="17"/>
  <c r="DG60" i="6"/>
  <c r="Q33" i="6"/>
  <c r="Q70" i="7"/>
  <c r="L76" i="22"/>
  <c r="L87" i="22" s="1"/>
  <c r="DH92" i="7"/>
  <c r="CC77" i="22"/>
  <c r="CC61" i="22"/>
  <c r="CC62" i="22" s="1"/>
  <c r="DE88" i="7"/>
  <c r="Y12" i="15"/>
  <c r="Y13" i="15"/>
  <c r="DH94" i="7"/>
  <c r="DE61" i="6"/>
  <c r="CU61" i="22"/>
  <c r="CU77" i="22"/>
  <c r="DH95" i="7"/>
  <c r="DH20" i="17"/>
  <c r="AA58" i="7"/>
  <c r="CP109" i="7"/>
  <c r="CP116" i="7" s="1"/>
  <c r="DG88" i="7"/>
  <c r="DI94" i="12"/>
  <c r="Y65" i="7"/>
  <c r="Y41" i="7"/>
  <c r="Y31" i="8"/>
  <c r="Y301" i="12"/>
  <c r="CU103" i="22"/>
  <c r="CU104" i="22" s="1"/>
  <c r="CJ62" i="22"/>
  <c r="CV57" i="6"/>
  <c r="DB64" i="11"/>
  <c r="DH109" i="7"/>
  <c r="DH116" i="7" s="1"/>
  <c r="AX96" i="12"/>
  <c r="AX537" i="12"/>
  <c r="AX94" i="12"/>
  <c r="DE64" i="6"/>
  <c r="E9" i="37" s="1"/>
  <c r="DH86" i="8"/>
  <c r="DE76" i="6"/>
  <c r="E8" i="37"/>
  <c r="Y38" i="7"/>
  <c r="Y51" i="8"/>
  <c r="CQ57" i="6"/>
  <c r="DI96" i="12"/>
  <c r="AY92" i="12"/>
  <c r="AZ95" i="12"/>
  <c r="AZ92" i="12" s="1"/>
  <c r="Y60" i="7"/>
  <c r="CB537" i="12"/>
  <c r="CB547" i="12" s="1"/>
  <c r="CB568" i="12" s="1"/>
  <c r="CB94" i="12"/>
  <c r="CB96" i="12"/>
  <c r="CB95" i="12"/>
  <c r="CC96" i="12"/>
  <c r="CC95" i="12"/>
  <c r="CC94" i="12"/>
  <c r="CC537" i="12"/>
  <c r="Y104" i="6"/>
  <c r="Y99" i="8"/>
  <c r="Y100" i="8" s="1"/>
  <c r="CD93" i="6"/>
  <c r="U53" i="6"/>
  <c r="U55" i="6" s="1"/>
  <c r="U49" i="6"/>
  <c r="CQ60" i="6"/>
  <c r="P20" i="17"/>
  <c r="P95" i="7"/>
  <c r="CE77" i="22"/>
  <c r="S41" i="6"/>
  <c r="CR20" i="17"/>
  <c r="S44" i="6"/>
  <c r="S86" i="6"/>
  <c r="DG60" i="17"/>
  <c r="CP86" i="8"/>
  <c r="CP97" i="8" s="1"/>
  <c r="R36" i="6"/>
  <c r="CR95" i="7"/>
  <c r="S63" i="6"/>
  <c r="S86" i="8" s="1"/>
  <c r="S75" i="6"/>
  <c r="R44" i="6"/>
  <c r="S69" i="6"/>
  <c r="BZ6" i="6"/>
  <c r="BZ96" i="6"/>
  <c r="DS78" i="8"/>
  <c r="Y115" i="6"/>
  <c r="C25" i="5" s="1"/>
  <c r="CA6" i="15"/>
  <c r="CA6" i="13"/>
  <c r="BX7" i="6"/>
  <c r="CA6" i="14"/>
  <c r="CA6" i="12"/>
  <c r="CA6" i="7"/>
  <c r="BU7" i="11"/>
  <c r="CA6" i="16"/>
  <c r="CA7" i="8"/>
  <c r="BN3" i="22"/>
  <c r="BN4" i="22" s="1"/>
  <c r="CA6" i="17"/>
  <c r="H146" i="14"/>
  <c r="P43" i="13"/>
  <c r="P42" i="13"/>
  <c r="P44" i="13"/>
  <c r="Q43" i="13"/>
  <c r="Q44" i="13"/>
  <c r="Q42" i="13"/>
  <c r="T127" i="22"/>
  <c r="AA72" i="13"/>
  <c r="AB72" i="13" s="1"/>
  <c r="DI94" i="13"/>
  <c r="DI40" i="17" s="1"/>
  <c r="V40" i="17" s="1"/>
  <c r="DJ31" i="17"/>
  <c r="DI32" i="17"/>
  <c r="DF52" i="6"/>
  <c r="V52" i="6" s="1"/>
  <c r="DI13" i="17"/>
  <c r="U59" i="8"/>
  <c r="U61" i="8" s="1"/>
  <c r="U63" i="8" s="1"/>
  <c r="U65" i="8"/>
  <c r="H111" i="35"/>
  <c r="H113" i="35" s="1"/>
  <c r="DH14" i="17"/>
  <c r="DH18" i="8"/>
  <c r="DH59" i="17"/>
  <c r="DH26" i="17"/>
  <c r="DH42" i="17"/>
  <c r="DH43" i="17" s="1"/>
  <c r="DH41" i="17"/>
  <c r="DG45" i="17"/>
  <c r="DG50" i="17"/>
  <c r="DG53" i="17"/>
  <c r="DG27" i="17"/>
  <c r="DG57" i="12"/>
  <c r="DD51" i="6"/>
  <c r="DG34" i="17"/>
  <c r="DG29" i="17"/>
  <c r="DG58" i="17"/>
  <c r="DG28" i="17"/>
  <c r="DG30" i="17"/>
  <c r="DG76" i="8"/>
  <c r="DG79" i="8" s="1"/>
  <c r="DG35" i="8"/>
  <c r="DO109" i="8"/>
  <c r="DS109" i="8"/>
  <c r="DT109" i="8"/>
  <c r="DU109" i="8"/>
  <c r="DR109" i="8"/>
  <c r="Y508" i="12"/>
  <c r="CF35" i="17"/>
  <c r="DO102" i="11"/>
  <c r="Y104" i="13"/>
  <c r="DL109" i="11"/>
  <c r="CJ64" i="11"/>
  <c r="DF88" i="7"/>
  <c r="L82" i="35"/>
  <c r="L83" i="35" s="1"/>
  <c r="D82" i="35"/>
  <c r="D83" i="35" s="1"/>
  <c r="M82" i="35"/>
  <c r="M83" i="35" s="1"/>
  <c r="CU88" i="7"/>
  <c r="CM442" i="12"/>
  <c r="CM441" i="12"/>
  <c r="CQ441" i="12"/>
  <c r="CN442" i="12"/>
  <c r="DB57" i="6"/>
  <c r="CY64" i="11"/>
  <c r="DB58" i="6"/>
  <c r="DE109" i="7"/>
  <c r="DE116" i="7" s="1"/>
  <c r="L39" i="22"/>
  <c r="L40" i="22" s="1"/>
  <c r="Q165" i="12"/>
  <c r="Q146" i="12"/>
  <c r="Q182" i="12"/>
  <c r="Q144" i="12"/>
  <c r="Q440" i="12"/>
  <c r="Q441" i="12" s="1"/>
  <c r="DB64" i="6"/>
  <c r="DB76" i="6"/>
  <c r="DE86" i="8"/>
  <c r="CR61" i="22"/>
  <c r="CR62" i="22" s="1"/>
  <c r="CR77" i="22"/>
  <c r="DE20" i="17"/>
  <c r="DB61" i="6"/>
  <c r="DE94" i="7"/>
  <c r="DE95" i="7"/>
  <c r="DB60" i="6"/>
  <c r="CY73" i="11"/>
  <c r="T75" i="6"/>
  <c r="CP20" i="17"/>
  <c r="DF20" i="17"/>
  <c r="DH88" i="7"/>
  <c r="P60" i="6"/>
  <c r="CP103" i="22"/>
  <c r="CP104" i="22" s="1"/>
  <c r="T13" i="6"/>
  <c r="Q113" i="12"/>
  <c r="BY59" i="22"/>
  <c r="BY60" i="22" s="1"/>
  <c r="BY62" i="22" s="1"/>
  <c r="CM60" i="6"/>
  <c r="DC61" i="6"/>
  <c r="CV60" i="6"/>
  <c r="CV92" i="7"/>
  <c r="P92" i="7"/>
  <c r="U36" i="6"/>
  <c r="DB92" i="7"/>
  <c r="U33" i="6"/>
  <c r="CH103" i="22"/>
  <c r="CH104" i="22" s="1"/>
  <c r="CJ73" i="11"/>
  <c r="DE92" i="7"/>
  <c r="DA88" i="7"/>
  <c r="DI92" i="7"/>
  <c r="CV73" i="11"/>
  <c r="U63" i="11"/>
  <c r="CS60" i="6"/>
  <c r="DC60" i="6"/>
  <c r="P35" i="6"/>
  <c r="P13" i="6" s="1"/>
  <c r="CI103" i="22"/>
  <c r="CI104" i="22" s="1"/>
  <c r="P94" i="7"/>
  <c r="P88" i="7"/>
  <c r="K103" i="22"/>
  <c r="K104" i="22" s="1"/>
  <c r="DC88" i="7"/>
  <c r="DB88" i="7"/>
  <c r="DC92" i="7"/>
  <c r="CU92" i="7"/>
  <c r="CO61" i="6"/>
  <c r="CE61" i="22"/>
  <c r="CE62" i="22" s="1"/>
  <c r="CS103" i="22"/>
  <c r="CS104" i="22" s="1"/>
  <c r="U50" i="6"/>
  <c r="U44" i="6"/>
  <c r="CM61" i="6"/>
  <c r="CP94" i="7"/>
  <c r="CL73" i="11"/>
  <c r="CV88" i="7"/>
  <c r="K77" i="22"/>
  <c r="K92" i="22" s="1"/>
  <c r="P61" i="6"/>
  <c r="DA60" i="6"/>
  <c r="CW60" i="6"/>
  <c r="DG92" i="7"/>
  <c r="CO60" i="6"/>
  <c r="V36" i="6"/>
  <c r="H8" i="5" s="1"/>
  <c r="CN92" i="7"/>
  <c r="DD88" i="7"/>
  <c r="CS73" i="11"/>
  <c r="U69" i="6"/>
  <c r="U41" i="6"/>
  <c r="U75" i="6"/>
  <c r="CA6" i="6"/>
  <c r="CE96" i="6"/>
  <c r="CF108" i="11"/>
  <c r="CM76" i="6"/>
  <c r="CM79" i="6" s="1"/>
  <c r="CP110" i="7" s="1"/>
  <c r="CP117" i="7" s="1"/>
  <c r="R50" i="6"/>
  <c r="R69" i="6"/>
  <c r="T59" i="6"/>
  <c r="T20" i="17" s="1"/>
  <c r="T31" i="6"/>
  <c r="T70" i="7"/>
  <c r="U31" i="6"/>
  <c r="R13" i="6"/>
  <c r="R71" i="6"/>
  <c r="R63" i="6"/>
  <c r="R76" i="6" s="1"/>
  <c r="T41" i="17"/>
  <c r="O51" i="22"/>
  <c r="O52" i="22" s="1"/>
  <c r="T71" i="7"/>
  <c r="R75" i="6"/>
  <c r="R86" i="6"/>
  <c r="T47" i="6"/>
  <c r="T17" i="6"/>
  <c r="T110" i="17"/>
  <c r="U90" i="12"/>
  <c r="CB62" i="11"/>
  <c r="CB71" i="11" s="1"/>
  <c r="S111" i="8"/>
  <c r="S115" i="8" s="1"/>
  <c r="S124" i="6" s="1"/>
  <c r="CX73" i="11"/>
  <c r="U71" i="6"/>
  <c r="CX88" i="7"/>
  <c r="N441" i="12"/>
  <c r="CE238" i="12"/>
  <c r="CP64" i="11"/>
  <c r="CT103" i="22"/>
  <c r="CT104" i="22" s="1"/>
  <c r="DF92" i="7"/>
  <c r="S36" i="6"/>
  <c r="DD92" i="7"/>
  <c r="CR103" i="22"/>
  <c r="CR104" i="22" s="1"/>
  <c r="T63" i="6"/>
  <c r="T64" i="6" s="1"/>
  <c r="T71" i="6"/>
  <c r="CP88" i="7"/>
  <c r="T44" i="6"/>
  <c r="T69" i="6"/>
  <c r="T36" i="6"/>
  <c r="CH41" i="14"/>
  <c r="CG44" i="14"/>
  <c r="G44" i="14" s="1"/>
  <c r="BT31" i="22"/>
  <c r="CG43" i="14"/>
  <c r="BS30" i="22"/>
  <c r="CF93" i="14"/>
  <c r="CE94" i="14"/>
  <c r="CE95" i="14"/>
  <c r="U92" i="12"/>
  <c r="U95" i="12" s="1"/>
  <c r="CW88" i="7"/>
  <c r="CC103" i="22"/>
  <c r="CC104" i="22" s="1"/>
  <c r="CD6" i="6"/>
  <c r="CD96" i="6"/>
  <c r="BY82" i="15"/>
  <c r="BY81" i="15"/>
  <c r="M85" i="15"/>
  <c r="M80" i="15"/>
  <c r="M86" i="15"/>
  <c r="BZ80" i="15"/>
  <c r="CA84" i="15"/>
  <c r="BZ85" i="15"/>
  <c r="U34" i="37"/>
  <c r="Q71" i="11"/>
  <c r="Q108" i="11" s="1"/>
  <c r="P118" i="13"/>
  <c r="S63" i="11"/>
  <c r="O35" i="6"/>
  <c r="O36" i="6" s="1"/>
  <c r="CM88" i="7"/>
  <c r="CB103" i="22"/>
  <c r="CB104" i="22" s="1"/>
  <c r="BZ103" i="22"/>
  <c r="BZ104" i="22" s="1"/>
  <c r="CO88" i="7"/>
  <c r="CO92" i="7"/>
  <c r="CN88" i="7"/>
  <c r="CP92" i="7"/>
  <c r="CM92" i="7"/>
  <c r="CG73" i="11"/>
  <c r="CN64" i="11"/>
  <c r="G82" i="35"/>
  <c r="G83" i="35" s="1"/>
  <c r="CT72" i="11"/>
  <c r="CT73" i="11" s="1"/>
  <c r="S71" i="11"/>
  <c r="S108" i="11" s="1"/>
  <c r="DF109" i="8"/>
  <c r="DJ96" i="12"/>
  <c r="DD86" i="8"/>
  <c r="DA64" i="6"/>
  <c r="DA76" i="6"/>
  <c r="CV109" i="7"/>
  <c r="CV116" i="7" s="1"/>
  <c r="CS58" i="6"/>
  <c r="CS76" i="6"/>
  <c r="CV86" i="8"/>
  <c r="CV97" i="8" s="1"/>
  <c r="CS64" i="6"/>
  <c r="CQ61" i="22"/>
  <c r="CQ62" i="22" s="1"/>
  <c r="DD94" i="7"/>
  <c r="CQ77" i="22"/>
  <c r="DD20" i="17"/>
  <c r="DD95" i="7"/>
  <c r="DE60" i="6"/>
  <c r="DA61" i="6"/>
  <c r="CV94" i="7"/>
  <c r="CI77" i="22"/>
  <c r="CV95" i="7"/>
  <c r="CS61" i="6"/>
  <c r="CI61" i="22"/>
  <c r="CV20" i="17"/>
  <c r="DA58" i="6"/>
  <c r="DD109" i="7"/>
  <c r="DE57" i="6"/>
  <c r="CY64" i="6"/>
  <c r="DB86" i="8"/>
  <c r="CY76" i="6"/>
  <c r="CQ76" i="6"/>
  <c r="CT86" i="8"/>
  <c r="CQ64" i="6"/>
  <c r="CM109" i="7"/>
  <c r="CM116" i="7" s="1"/>
  <c r="CJ58" i="6"/>
  <c r="CG64" i="11"/>
  <c r="CM86" i="8"/>
  <c r="CJ64" i="6"/>
  <c r="CF63" i="6"/>
  <c r="CJ76" i="6"/>
  <c r="DB109" i="7"/>
  <c r="DB116" i="7" s="1"/>
  <c r="CY58" i="6"/>
  <c r="CV64" i="11"/>
  <c r="CX64" i="11"/>
  <c r="CO61" i="22"/>
  <c r="CO62" i="22" s="1"/>
  <c r="DB95" i="7"/>
  <c r="DB94" i="7"/>
  <c r="CO77" i="22"/>
  <c r="DB20" i="17"/>
  <c r="CY61" i="6"/>
  <c r="CT95" i="7"/>
  <c r="CT94" i="7"/>
  <c r="CW92" i="7"/>
  <c r="CG61" i="22"/>
  <c r="CQ61" i="6"/>
  <c r="CT20" i="17"/>
  <c r="CG77" i="22"/>
  <c r="CS339" i="13"/>
  <c r="CR338" i="13"/>
  <c r="CR342" i="13" s="1"/>
  <c r="CR343" i="13" s="1"/>
  <c r="CR345" i="13" s="1"/>
  <c r="CR347" i="13" s="1"/>
  <c r="CT109" i="7"/>
  <c r="CT116" i="7" s="1"/>
  <c r="CQ58" i="6"/>
  <c r="CM95" i="7"/>
  <c r="CM20" i="17"/>
  <c r="BZ77" i="22"/>
  <c r="BZ61" i="22"/>
  <c r="BZ62" i="22" s="1"/>
  <c r="CM94" i="7"/>
  <c r="CJ61" i="6"/>
  <c r="BV262" i="13"/>
  <c r="S131" i="13"/>
  <c r="CN108" i="11"/>
  <c r="CG59" i="22"/>
  <c r="CG60" i="22" s="1"/>
  <c r="CN72" i="11"/>
  <c r="CN73" i="11" s="1"/>
  <c r="BY216" i="13"/>
  <c r="BX258" i="13"/>
  <c r="BX259" i="13" s="1"/>
  <c r="BX260" i="13" s="1"/>
  <c r="BX217" i="13"/>
  <c r="BX218" i="13" s="1"/>
  <c r="BU262" i="13"/>
  <c r="L262" i="13" s="1"/>
  <c r="L260" i="13"/>
  <c r="BW263" i="13"/>
  <c r="BW270" i="13"/>
  <c r="BW273" i="13" s="1"/>
  <c r="BW275" i="13" s="1"/>
  <c r="BV230" i="13"/>
  <c r="BV221" i="13"/>
  <c r="CV58" i="6"/>
  <c r="CY109" i="7"/>
  <c r="CY116" i="7" s="1"/>
  <c r="CY94" i="7"/>
  <c r="CV61" i="6"/>
  <c r="CY95" i="7"/>
  <c r="CL61" i="22"/>
  <c r="CL62" i="22" s="1"/>
  <c r="CY20" i="17"/>
  <c r="CL77" i="22"/>
  <c r="BW220" i="13"/>
  <c r="CY86" i="8"/>
  <c r="CV64" i="6"/>
  <c r="CV76" i="6"/>
  <c r="S92" i="12"/>
  <c r="DI109" i="8"/>
  <c r="N192" i="7"/>
  <c r="N193" i="7" s="1"/>
  <c r="DE94" i="12"/>
  <c r="P40" i="14"/>
  <c r="P133" i="14"/>
  <c r="CM127" i="13"/>
  <c r="CM129" i="13" s="1"/>
  <c r="DE96" i="12"/>
  <c r="AA111" i="6"/>
  <c r="S50" i="6"/>
  <c r="S53" i="6"/>
  <c r="S49" i="6"/>
  <c r="S192" i="7"/>
  <c r="S193" i="7" s="1"/>
  <c r="T49" i="6"/>
  <c r="O182" i="7"/>
  <c r="O164" i="7"/>
  <c r="P177" i="7"/>
  <c r="P181" i="7" s="1"/>
  <c r="O195" i="7"/>
  <c r="Q51" i="7"/>
  <c r="Q62" i="7"/>
  <c r="Q63" i="7"/>
  <c r="R62" i="7"/>
  <c r="R51" i="7"/>
  <c r="R63" i="7"/>
  <c r="Q112" i="7"/>
  <c r="Q119" i="7" s="1"/>
  <c r="Q77" i="7"/>
  <c r="R112" i="7"/>
  <c r="R119" i="7" s="1"/>
  <c r="S77" i="7"/>
  <c r="R77" i="7"/>
  <c r="CM59" i="22"/>
  <c r="CM60" i="22" s="1"/>
  <c r="CZ88" i="7"/>
  <c r="CK103" i="22"/>
  <c r="CK104" i="22" s="1"/>
  <c r="CT108" i="11"/>
  <c r="CN103" i="22"/>
  <c r="CN104" i="22" s="1"/>
  <c r="DC64" i="11"/>
  <c r="CZ92" i="7"/>
  <c r="CM103" i="22"/>
  <c r="CM104" i="22" s="1"/>
  <c r="CX92" i="7"/>
  <c r="DA92" i="7"/>
  <c r="DC125" i="22"/>
  <c r="N106" i="13"/>
  <c r="DB125" i="22"/>
  <c r="N49" i="6"/>
  <c r="BZ122" i="13"/>
  <c r="N121" i="13"/>
  <c r="N122" i="13" s="1"/>
  <c r="CI129" i="13"/>
  <c r="CI130" i="13"/>
  <c r="CI128" i="13"/>
  <c r="BZ129" i="13"/>
  <c r="CD128" i="13"/>
  <c r="BZ130" i="13"/>
  <c r="Q107" i="13"/>
  <c r="Q118" i="13" s="1"/>
  <c r="CL34" i="16"/>
  <c r="N50" i="6"/>
  <c r="CQ121" i="13"/>
  <c r="CQ122" i="13" s="1"/>
  <c r="O106" i="13"/>
  <c r="CU107" i="13"/>
  <c r="CU118" i="13" s="1"/>
  <c r="CY105" i="13"/>
  <c r="DK109" i="8"/>
  <c r="DM109" i="8"/>
  <c r="U115" i="8"/>
  <c r="U126" i="8" s="1"/>
  <c r="U120" i="8" s="1"/>
  <c r="U122" i="8" s="1"/>
  <c r="U124" i="8" s="1"/>
  <c r="DN109" i="8"/>
  <c r="DP109" i="8"/>
  <c r="DG109" i="8"/>
  <c r="DH109" i="8"/>
  <c r="DL109" i="8"/>
  <c r="DJ109" i="8"/>
  <c r="DD109" i="8"/>
  <c r="DD115" i="8" s="1"/>
  <c r="DD95" i="8" s="1"/>
  <c r="DB109" i="8"/>
  <c r="DB115" i="8" s="1"/>
  <c r="DB95" i="8" s="1"/>
  <c r="DQ109" i="8"/>
  <c r="DC109" i="8"/>
  <c r="DC115" i="8" s="1"/>
  <c r="DC95" i="8" s="1"/>
  <c r="DE109" i="8"/>
  <c r="DE115" i="8" s="1"/>
  <c r="DE95" i="8" s="1"/>
  <c r="CD54" i="11"/>
  <c r="CD55" i="11" s="1"/>
  <c r="Q661" i="12"/>
  <c r="CP638" i="12"/>
  <c r="CP640" i="12" s="1"/>
  <c r="CO675" i="12"/>
  <c r="Q675" i="12" s="1"/>
  <c r="CS92" i="7"/>
  <c r="N55" i="6"/>
  <c r="N56" i="6"/>
  <c r="N58" i="6" s="1"/>
  <c r="CO108" i="7"/>
  <c r="S755" i="12"/>
  <c r="S757" i="12" s="1"/>
  <c r="CT757" i="12"/>
  <c r="O108" i="12"/>
  <c r="O111" i="12"/>
  <c r="O171" i="12" s="1"/>
  <c r="S347" i="12"/>
  <c r="R347" i="12"/>
  <c r="V385" i="12"/>
  <c r="V371" i="12"/>
  <c r="CD111" i="12"/>
  <c r="CD227" i="12"/>
  <c r="CH108" i="12"/>
  <c r="CE107" i="12"/>
  <c r="CJ108" i="7"/>
  <c r="DI394" i="12"/>
  <c r="DI429" i="12" s="1"/>
  <c r="DI430" i="12" s="1"/>
  <c r="V430" i="12" s="1"/>
  <c r="V432" i="12" s="1"/>
  <c r="DI424" i="12"/>
  <c r="V424" i="12" s="1"/>
  <c r="DI417" i="12"/>
  <c r="V417" i="12" s="1"/>
  <c r="V387" i="12"/>
  <c r="DI416" i="12"/>
  <c r="DI389" i="12"/>
  <c r="O56" i="12"/>
  <c r="N56" i="12"/>
  <c r="N52" i="12"/>
  <c r="K441" i="12"/>
  <c r="L441" i="12"/>
  <c r="I56" i="12"/>
  <c r="H46" i="17"/>
  <c r="H57" i="12"/>
  <c r="CT432" i="12"/>
  <c r="R370" i="12"/>
  <c r="R371" i="12" s="1"/>
  <c r="CA350" i="12"/>
  <c r="CA354" i="12"/>
  <c r="CA352" i="12"/>
  <c r="CB349" i="12"/>
  <c r="CQ651" i="12"/>
  <c r="CQ648" i="12"/>
  <c r="DF96" i="12"/>
  <c r="DF94" i="12"/>
  <c r="DF95" i="12"/>
  <c r="CG129" i="13"/>
  <c r="CJ26" i="17"/>
  <c r="CJ58" i="17" s="1"/>
  <c r="CJ59" i="17"/>
  <c r="CJ60" i="17" s="1"/>
  <c r="DF64" i="6"/>
  <c r="F9" i="37" s="1"/>
  <c r="DF76" i="6"/>
  <c r="F8" i="37"/>
  <c r="DI86" i="8"/>
  <c r="CU64" i="6"/>
  <c r="CX86" i="8"/>
  <c r="CU76" i="6"/>
  <c r="CJ115" i="7"/>
  <c r="N14" i="11"/>
  <c r="N18" i="11" s="1"/>
  <c r="N19" i="11" s="1"/>
  <c r="N40" i="12"/>
  <c r="N43" i="12"/>
  <c r="N49" i="12"/>
  <c r="N69" i="12"/>
  <c r="N136" i="17"/>
  <c r="N183" i="12"/>
  <c r="N200" i="12"/>
  <c r="N99" i="12"/>
  <c r="N112" i="12"/>
  <c r="O186" i="12" s="1"/>
  <c r="O183" i="12"/>
  <c r="S35" i="17"/>
  <c r="S26" i="17"/>
  <c r="S37" i="17"/>
  <c r="S11" i="17"/>
  <c r="S36" i="17"/>
  <c r="DF58" i="6"/>
  <c r="DF57" i="6"/>
  <c r="CX95" i="12"/>
  <c r="CX96" i="12"/>
  <c r="CX94" i="12"/>
  <c r="CX109" i="7"/>
  <c r="CX116" i="7" s="1"/>
  <c r="CU58" i="6"/>
  <c r="CY57" i="6"/>
  <c r="CU57" i="6"/>
  <c r="CR88" i="7"/>
  <c r="CF103" i="22"/>
  <c r="CF104" i="22" s="1"/>
  <c r="CE103" i="22"/>
  <c r="CE104" i="22" s="1"/>
  <c r="CS88" i="7"/>
  <c r="DI88" i="7"/>
  <c r="S31" i="6"/>
  <c r="T56" i="6"/>
  <c r="CP96" i="12"/>
  <c r="CP94" i="12"/>
  <c r="CP95" i="12"/>
  <c r="V500" i="12"/>
  <c r="V545" i="12" s="1"/>
  <c r="V109" i="8" s="1"/>
  <c r="W689" i="12"/>
  <c r="L72" i="12"/>
  <c r="L71" i="12"/>
  <c r="Q192" i="7"/>
  <c r="Q193" i="7" s="1"/>
  <c r="Q53" i="6"/>
  <c r="Q55" i="11"/>
  <c r="R49" i="6"/>
  <c r="N37" i="17"/>
  <c r="N11" i="17"/>
  <c r="N14" i="17" s="1"/>
  <c r="N60" i="17" s="1"/>
  <c r="N35" i="17"/>
  <c r="N36" i="17"/>
  <c r="CI59" i="22"/>
  <c r="CI60" i="22" s="1"/>
  <c r="CP108" i="11"/>
  <c r="CP72" i="11"/>
  <c r="CP73" i="11" s="1"/>
  <c r="U80" i="11"/>
  <c r="U108" i="11"/>
  <c r="U72" i="11"/>
  <c r="U81" i="11" s="1"/>
  <c r="T19" i="11"/>
  <c r="T146" i="17"/>
  <c r="T143" i="17"/>
  <c r="CD68" i="11"/>
  <c r="CD72" i="11" s="1"/>
  <c r="CD73" i="11" s="1"/>
  <c r="CD63" i="11"/>
  <c r="CD64" i="11" s="1"/>
  <c r="T11" i="17"/>
  <c r="T14" i="17" s="1"/>
  <c r="T37" i="17"/>
  <c r="T36" i="17"/>
  <c r="T35" i="17"/>
  <c r="CG145" i="6"/>
  <c r="CG92" i="6"/>
  <c r="CG93" i="6" s="1"/>
  <c r="CG119" i="6"/>
  <c r="CG89" i="6"/>
  <c r="CG90" i="6"/>
  <c r="CG95" i="6"/>
  <c r="O62" i="12"/>
  <c r="O49" i="12"/>
  <c r="O54" i="12"/>
  <c r="O15" i="12"/>
  <c r="O65" i="12"/>
  <c r="O43" i="12"/>
  <c r="O136" i="17"/>
  <c r="O69" i="12"/>
  <c r="O14" i="11"/>
  <c r="O18" i="11" s="1"/>
  <c r="O19" i="11" s="1"/>
  <c r="O40" i="12"/>
  <c r="P15" i="12"/>
  <c r="CU59" i="22"/>
  <c r="CU60" i="22" s="1"/>
  <c r="DB108" i="11"/>
  <c r="DB72" i="11"/>
  <c r="DB73" i="11" s="1"/>
  <c r="DI95" i="7"/>
  <c r="DF61" i="6"/>
  <c r="CW103" i="22"/>
  <c r="CW104" i="22" s="1"/>
  <c r="DJ92" i="7"/>
  <c r="CV61" i="22"/>
  <c r="DI20" i="17"/>
  <c r="CV77" i="22"/>
  <c r="DJ88" i="7"/>
  <c r="DI94" i="7"/>
  <c r="DF60" i="6"/>
  <c r="CR64" i="11"/>
  <c r="CV103" i="22"/>
  <c r="CV104" i="22" s="1"/>
  <c r="R47" i="6"/>
  <c r="CR92" i="7"/>
  <c r="T55" i="6"/>
  <c r="DA94" i="12"/>
  <c r="DA95" i="12"/>
  <c r="DA96" i="12"/>
  <c r="CX111" i="8"/>
  <c r="CX115" i="8" s="1"/>
  <c r="CX95" i="8" s="1"/>
  <c r="T89" i="12"/>
  <c r="L67" i="12"/>
  <c r="L87" i="12"/>
  <c r="CT537" i="12"/>
  <c r="CT528" i="12"/>
  <c r="CT531" i="12" s="1"/>
  <c r="CT94" i="12"/>
  <c r="CT95" i="12"/>
  <c r="CT96" i="12"/>
  <c r="U11" i="17"/>
  <c r="U37" i="17"/>
  <c r="U36" i="17"/>
  <c r="U35" i="17"/>
  <c r="Q36" i="17"/>
  <c r="Q37" i="17"/>
  <c r="Q11" i="17"/>
  <c r="Q26" i="17"/>
  <c r="R35" i="17"/>
  <c r="U34" i="16"/>
  <c r="T34" i="16"/>
  <c r="CX20" i="17"/>
  <c r="CK77" i="22"/>
  <c r="CX95" i="7"/>
  <c r="CK61" i="22"/>
  <c r="CK62" i="22" s="1"/>
  <c r="CU61" i="6"/>
  <c r="CX94" i="7"/>
  <c r="CY88" i="7"/>
  <c r="CY92" i="7"/>
  <c r="CY60" i="6"/>
  <c r="CL103" i="22"/>
  <c r="CL104" i="22" s="1"/>
  <c r="CU60" i="6"/>
  <c r="DF111" i="8"/>
  <c r="V89" i="12"/>
  <c r="V111" i="8" s="1"/>
  <c r="CH72" i="11"/>
  <c r="CH73" i="11" s="1"/>
  <c r="CA59" i="22"/>
  <c r="CA60" i="22" s="1"/>
  <c r="CA62" i="22" s="1"/>
  <c r="CH108" i="11"/>
  <c r="CD108" i="11"/>
  <c r="BW59" i="22"/>
  <c r="BW60" i="22" s="1"/>
  <c r="BW62" i="22" s="1"/>
  <c r="CR72" i="11"/>
  <c r="CR73" i="11" s="1"/>
  <c r="T68" i="11"/>
  <c r="T77" i="11" s="1"/>
  <c r="DJ94" i="12"/>
  <c r="CK34" i="16"/>
  <c r="S33" i="6"/>
  <c r="DG88" i="6"/>
  <c r="DG79" i="6"/>
  <c r="DG77" i="6"/>
  <c r="CP599" i="12"/>
  <c r="CQ597" i="12" s="1"/>
  <c r="CO642" i="12"/>
  <c r="CN676" i="12"/>
  <c r="CT587" i="12"/>
  <c r="CU585" i="12" s="1"/>
  <c r="CR663" i="12"/>
  <c r="CS591" i="12"/>
  <c r="R589" i="12"/>
  <c r="CO650" i="12"/>
  <c r="CN653" i="12"/>
  <c r="Q667" i="12"/>
  <c r="AA741" i="12"/>
  <c r="Y203" i="7"/>
  <c r="CP138" i="12"/>
  <c r="CL139" i="12"/>
  <c r="BR47" i="17"/>
  <c r="BR48" i="17" s="1"/>
  <c r="BQ59" i="17"/>
  <c r="BQ47" i="17"/>
  <c r="BQ48" i="17" s="1"/>
  <c r="DH84" i="12"/>
  <c r="DG114" i="8"/>
  <c r="AA656" i="12"/>
  <c r="CP141" i="12"/>
  <c r="CL142" i="12"/>
  <c r="CU537" i="12"/>
  <c r="CU96" i="12"/>
  <c r="CU95" i="12"/>
  <c r="CU94" i="12"/>
  <c r="K59" i="17"/>
  <c r="K47" i="17"/>
  <c r="K48" i="17" s="1"/>
  <c r="CB79" i="11"/>
  <c r="CB75" i="11"/>
  <c r="CB55" i="11"/>
  <c r="CB76" i="11"/>
  <c r="CO115" i="7"/>
  <c r="CE54" i="11"/>
  <c r="CE55" i="11" s="1"/>
  <c r="CE62" i="11"/>
  <c r="CE71" i="11" s="1"/>
  <c r="CL90" i="6"/>
  <c r="CL119" i="6"/>
  <c r="CL92" i="6"/>
  <c r="CL95" i="6"/>
  <c r="CK59" i="17"/>
  <c r="CK60" i="17" s="1"/>
  <c r="CL47" i="17"/>
  <c r="CL48" i="17" s="1"/>
  <c r="CK26" i="17"/>
  <c r="CK50" i="17" s="1"/>
  <c r="CK47" i="17"/>
  <c r="CK48" i="17" s="1"/>
  <c r="CK57" i="17"/>
  <c r="CL57" i="17"/>
  <c r="CE68" i="11"/>
  <c r="CH26" i="17"/>
  <c r="CH50" i="17" s="1"/>
  <c r="CH47" i="17"/>
  <c r="CH48" i="17" s="1"/>
  <c r="CH59" i="17"/>
  <c r="CH60" i="17" s="1"/>
  <c r="DE73" i="11"/>
  <c r="W371" i="12"/>
  <c r="W385" i="12"/>
  <c r="DJ417" i="12"/>
  <c r="W417" i="12" s="1"/>
  <c r="DN389" i="12"/>
  <c r="DN416" i="12"/>
  <c r="DN426" i="12" s="1"/>
  <c r="DN427" i="12" s="1"/>
  <c r="DK416" i="12"/>
  <c r="DK426" i="12" s="1"/>
  <c r="DK427" i="12" s="1"/>
  <c r="W387" i="12"/>
  <c r="DJ389" i="12"/>
  <c r="DM416" i="12"/>
  <c r="DJ416" i="12"/>
  <c r="DL416" i="12"/>
  <c r="DL426" i="12" s="1"/>
  <c r="DL427" i="12" s="1"/>
  <c r="DL389" i="12"/>
  <c r="DK389" i="12"/>
  <c r="DM389" i="12"/>
  <c r="CN127" i="13"/>
  <c r="CN130" i="13" s="1"/>
  <c r="CR664" i="12"/>
  <c r="CT671" i="12"/>
  <c r="CN537" i="12"/>
  <c r="CM545" i="12"/>
  <c r="DK20" i="17"/>
  <c r="CX61" i="22"/>
  <c r="CX62" i="22" s="1"/>
  <c r="DH60" i="6"/>
  <c r="CX103" i="22"/>
  <c r="CX104" i="22" s="1"/>
  <c r="DH61" i="6"/>
  <c r="DK95" i="7"/>
  <c r="DK88" i="7"/>
  <c r="CX77" i="22"/>
  <c r="DK94" i="7"/>
  <c r="DK92" i="7"/>
  <c r="CM61" i="12"/>
  <c r="CI62" i="12"/>
  <c r="K92" i="12"/>
  <c r="K90" i="12"/>
  <c r="CC59" i="11"/>
  <c r="CC53" i="11"/>
  <c r="CI56" i="12"/>
  <c r="CM56" i="12"/>
  <c r="CI46" i="17"/>
  <c r="CM28" i="16"/>
  <c r="CI56" i="17"/>
  <c r="CI30" i="16"/>
  <c r="CI33" i="16" s="1"/>
  <c r="CI28" i="16"/>
  <c r="P27" i="16"/>
  <c r="P28" i="16" s="1"/>
  <c r="DD88" i="6"/>
  <c r="DD77" i="6"/>
  <c r="DD79" i="6"/>
  <c r="DH57" i="6"/>
  <c r="DH58" i="6"/>
  <c r="DE64" i="11"/>
  <c r="DH76" i="6"/>
  <c r="DK86" i="8"/>
  <c r="DH64" i="6"/>
  <c r="H9" i="37" s="1"/>
  <c r="CI94" i="12"/>
  <c r="CI537" i="12"/>
  <c r="CI95" i="12"/>
  <c r="CI96" i="12"/>
  <c r="P539" i="12"/>
  <c r="P50" i="11"/>
  <c r="P54" i="12"/>
  <c r="Q53" i="12"/>
  <c r="P53" i="12"/>
  <c r="Q94" i="12"/>
  <c r="Q95" i="12"/>
  <c r="Q96" i="12"/>
  <c r="CR670" i="12"/>
  <c r="R617" i="12"/>
  <c r="CS619" i="12"/>
  <c r="CT669" i="12"/>
  <c r="CP605" i="12"/>
  <c r="Q607" i="12"/>
  <c r="DN346" i="12"/>
  <c r="DN250" i="12"/>
  <c r="K25" i="37" s="1"/>
  <c r="DN246" i="12"/>
  <c r="W79" i="12"/>
  <c r="W81" i="12"/>
  <c r="W80" i="12"/>
  <c r="W107" i="8"/>
  <c r="P38" i="16"/>
  <c r="K59" i="22"/>
  <c r="K60" i="22" s="1"/>
  <c r="K62" i="22" s="1"/>
  <c r="Q38" i="16"/>
  <c r="R329" i="13"/>
  <c r="R330" i="13"/>
  <c r="W302" i="12"/>
  <c r="W328" i="12"/>
  <c r="W303" i="12"/>
  <c r="W321" i="12"/>
  <c r="W339" i="12"/>
  <c r="W340" i="12" s="1"/>
  <c r="W334" i="12"/>
  <c r="W248" i="12"/>
  <c r="N184" i="7"/>
  <c r="N174" i="7"/>
  <c r="N188" i="7"/>
  <c r="N185" i="7"/>
  <c r="CP88" i="6"/>
  <c r="CP77" i="6"/>
  <c r="CP79" i="6"/>
  <c r="CA71" i="11"/>
  <c r="CA63" i="11"/>
  <c r="CA64" i="11" s="1"/>
  <c r="W67" i="12"/>
  <c r="W66" i="12"/>
  <c r="W59" i="11"/>
  <c r="R625" i="12"/>
  <c r="CS627" i="12"/>
  <c r="CS672" i="12" s="1"/>
  <c r="DG59" i="11"/>
  <c r="DG18" i="11"/>
  <c r="DA100" i="15"/>
  <c r="CZ99" i="15"/>
  <c r="CZ101" i="15" s="1"/>
  <c r="CZ102" i="15" s="1"/>
  <c r="N127" i="1"/>
  <c r="N129" i="1"/>
  <c r="N128" i="1"/>
  <c r="CV611" i="12"/>
  <c r="CW609" i="12" s="1"/>
  <c r="CV59" i="22"/>
  <c r="CV60" i="22" s="1"/>
  <c r="DC108" i="11"/>
  <c r="DC72" i="11"/>
  <c r="DC73" i="11" s="1"/>
  <c r="DC69" i="22"/>
  <c r="CK92" i="6"/>
  <c r="CK90" i="6"/>
  <c r="CK95" i="6"/>
  <c r="CK119" i="6"/>
  <c r="CK89" i="6"/>
  <c r="S26" i="22"/>
  <c r="X91" i="15"/>
  <c r="X92" i="15"/>
  <c r="AA38" i="37" s="1"/>
  <c r="X98" i="15"/>
  <c r="P48" i="14"/>
  <c r="X118" i="15"/>
  <c r="X119" i="15" s="1"/>
  <c r="V94" i="7"/>
  <c r="Q77" i="22"/>
  <c r="Q92" i="22" s="1"/>
  <c r="V88" i="7"/>
  <c r="V92" i="7"/>
  <c r="Q61" i="22"/>
  <c r="Q103" i="22"/>
  <c r="Q104" i="22" s="1"/>
  <c r="V60" i="6"/>
  <c r="V20" i="17"/>
  <c r="V61" i="6"/>
  <c r="V95" i="7"/>
  <c r="DJ15" i="6"/>
  <c r="DJ35" i="6"/>
  <c r="J6" i="37" s="1"/>
  <c r="J11" i="37" s="1"/>
  <c r="DJ30" i="6"/>
  <c r="DJ16" i="6"/>
  <c r="BZ116" i="7"/>
  <c r="BJ95" i="1"/>
  <c r="BJ116" i="1"/>
  <c r="BJ3" i="1"/>
  <c r="BN95" i="1"/>
  <c r="K22" i="19"/>
  <c r="K28" i="19" s="1"/>
  <c r="J37" i="19"/>
  <c r="CD60" i="8"/>
  <c r="CD61" i="8" s="1"/>
  <c r="CD63" i="8" s="1"/>
  <c r="BT407" i="21"/>
  <c r="BU406" i="21" s="1"/>
  <c r="E82" i="35"/>
  <c r="E83" i="35" s="1"/>
  <c r="F82" i="35"/>
  <c r="F83" i="35" s="1"/>
  <c r="DC35" i="22"/>
  <c r="O56" i="17"/>
  <c r="O59" i="17" s="1"/>
  <c r="CG57" i="17"/>
  <c r="CH57" i="17"/>
  <c r="DL89" i="12"/>
  <c r="V31" i="16"/>
  <c r="V33" i="16"/>
  <c r="V34" i="16" s="1"/>
  <c r="DF116" i="7"/>
  <c r="CQ661" i="12"/>
  <c r="CW696" i="12"/>
  <c r="CW697" i="12" s="1"/>
  <c r="CW698" i="12" s="1"/>
  <c r="CW702" i="12" s="1"/>
  <c r="CW703" i="12" s="1"/>
  <c r="CW704" i="12" s="1"/>
  <c r="M67" i="12"/>
  <c r="M66" i="12"/>
  <c r="M87" i="12"/>
  <c r="M90" i="12" s="1"/>
  <c r="DN62" i="12"/>
  <c r="DN43" i="12"/>
  <c r="DN54" i="12"/>
  <c r="DN49" i="12"/>
  <c r="DN32" i="12"/>
  <c r="DK14" i="6"/>
  <c r="DN78" i="12"/>
  <c r="DN40" i="12"/>
  <c r="DH14" i="11"/>
  <c r="DN69" i="12"/>
  <c r="DN65" i="12"/>
  <c r="H38" i="20"/>
  <c r="I30" i="20"/>
  <c r="H37" i="20"/>
  <c r="CM45" i="11"/>
  <c r="CM46" i="11" s="1"/>
  <c r="CM62" i="11"/>
  <c r="R44" i="11"/>
  <c r="R45" i="11" s="1"/>
  <c r="R46" i="11" s="1"/>
  <c r="BT95" i="1"/>
  <c r="BT3" i="1"/>
  <c r="P287" i="12"/>
  <c r="CH126" i="12"/>
  <c r="CH128" i="12" s="1"/>
  <c r="BU118" i="22"/>
  <c r="R77" i="1"/>
  <c r="R78" i="1"/>
  <c r="AF76" i="1"/>
  <c r="CK127" i="13"/>
  <c r="CR121" i="13"/>
  <c r="CR122" i="13" s="1"/>
  <c r="CH122" i="13"/>
  <c r="P121" i="13"/>
  <c r="P122" i="13" s="1"/>
  <c r="CG59" i="17"/>
  <c r="CG60" i="17" s="1"/>
  <c r="BS102" i="15"/>
  <c r="BW102" i="15"/>
  <c r="BK117" i="1"/>
  <c r="BG117" i="1"/>
  <c r="CR79" i="6"/>
  <c r="CR88" i="6"/>
  <c r="CR77" i="6"/>
  <c r="CH62" i="22"/>
  <c r="DL432" i="12"/>
  <c r="DL431" i="12"/>
  <c r="CT107" i="13"/>
  <c r="CX105" i="13"/>
  <c r="CR61" i="14"/>
  <c r="CR71" i="14"/>
  <c r="CR60" i="14"/>
  <c r="CS59" i="14"/>
  <c r="K98" i="22"/>
  <c r="DI63" i="6"/>
  <c r="DI41" i="6"/>
  <c r="DI69" i="6"/>
  <c r="DI44" i="6"/>
  <c r="DI71" i="6"/>
  <c r="DI86" i="6"/>
  <c r="DI50" i="6"/>
  <c r="DI56" i="6"/>
  <c r="DI36" i="6"/>
  <c r="I7" i="37" s="1"/>
  <c r="DI75" i="6"/>
  <c r="DI13" i="6"/>
  <c r="DF68" i="11"/>
  <c r="DF72" i="11" s="1"/>
  <c r="DF63" i="11"/>
  <c r="DA71" i="11"/>
  <c r="DA63" i="11"/>
  <c r="DA64" i="11" s="1"/>
  <c r="V62" i="11"/>
  <c r="V63" i="11" s="1"/>
  <c r="CO77" i="6"/>
  <c r="CO79" i="6"/>
  <c r="CO88" i="6"/>
  <c r="CL258" i="12"/>
  <c r="CH358" i="12"/>
  <c r="CH363" i="12" s="1"/>
  <c r="CH469" i="12" s="1"/>
  <c r="CH262" i="12"/>
  <c r="CH140" i="12"/>
  <c r="DN308" i="12"/>
  <c r="DN307" i="12"/>
  <c r="CU116" i="7"/>
  <c r="CV671" i="12"/>
  <c r="CU615" i="12"/>
  <c r="CV613" i="12" s="1"/>
  <c r="CM632" i="12"/>
  <c r="CN577" i="12"/>
  <c r="J112" i="35"/>
  <c r="CW88" i="6"/>
  <c r="CW79" i="6"/>
  <c r="CW77" i="6"/>
  <c r="BU3" i="1"/>
  <c r="BU4" i="1" s="1"/>
  <c r="BU95" i="1"/>
  <c r="Q78" i="1"/>
  <c r="Q77" i="1"/>
  <c r="S71" i="8"/>
  <c r="S66" i="8"/>
  <c r="S69" i="8" s="1"/>
  <c r="S701" i="12"/>
  <c r="S702" i="12" s="1"/>
  <c r="S703" i="12" s="1"/>
  <c r="S704" i="12" s="1"/>
  <c r="P233" i="12"/>
  <c r="P239" i="12" s="1"/>
  <c r="CK239" i="12"/>
  <c r="DM285" i="12"/>
  <c r="V38" i="16"/>
  <c r="Q59" i="22"/>
  <c r="R337" i="13"/>
  <c r="CZ77" i="6"/>
  <c r="CZ79" i="6"/>
  <c r="CZ88" i="6"/>
  <c r="DC116" i="7"/>
  <c r="CL116" i="7"/>
  <c r="C112" i="35"/>
  <c r="C113" i="35" s="1"/>
  <c r="P143" i="17"/>
  <c r="CS38" i="16"/>
  <c r="CW38" i="16"/>
  <c r="CS33" i="16"/>
  <c r="R30" i="16"/>
  <c r="L116" i="1"/>
  <c r="L95" i="1"/>
  <c r="L4" i="1" s="1"/>
  <c r="M95" i="1"/>
  <c r="M4" i="1" s="1"/>
  <c r="L3" i="1"/>
  <c r="BY3" i="1" s="1"/>
  <c r="BX105" i="22"/>
  <c r="S147" i="17"/>
  <c r="T147" i="17"/>
  <c r="S146" i="17"/>
  <c r="F112" i="35"/>
  <c r="F113" i="35" s="1"/>
  <c r="S143" i="17"/>
  <c r="CG26" i="17"/>
  <c r="CG58" i="17" s="1"/>
  <c r="U124" i="22"/>
  <c r="U123" i="22"/>
  <c r="R17" i="6"/>
  <c r="M51" i="22"/>
  <c r="M52" i="22" s="1"/>
  <c r="R41" i="17"/>
  <c r="R70" i="7"/>
  <c r="R31" i="6"/>
  <c r="M76" i="22"/>
  <c r="M87" i="22" s="1"/>
  <c r="R19" i="17"/>
  <c r="R71" i="7"/>
  <c r="R33" i="6"/>
  <c r="R59" i="6"/>
  <c r="R110" i="17"/>
  <c r="R143" i="17"/>
  <c r="R146" i="17"/>
  <c r="CD77" i="22"/>
  <c r="CQ94" i="7"/>
  <c r="CQ20" i="17"/>
  <c r="CN61" i="6"/>
  <c r="CD61" i="22"/>
  <c r="CQ95" i="7"/>
  <c r="CT92" i="7"/>
  <c r="CG103" i="22"/>
  <c r="CG104" i="22" s="1"/>
  <c r="CT88" i="7"/>
  <c r="CN60" i="6"/>
  <c r="CQ88" i="7"/>
  <c r="CD103" i="22"/>
  <c r="CD104" i="22" s="1"/>
  <c r="CQ92" i="7"/>
  <c r="BL116" i="1"/>
  <c r="BL3" i="1"/>
  <c r="BL95" i="1"/>
  <c r="CP118" i="13"/>
  <c r="CO121" i="13"/>
  <c r="CO122" i="13" s="1"/>
  <c r="BS59" i="22"/>
  <c r="BZ72" i="11"/>
  <c r="BZ73" i="11" s="1"/>
  <c r="BZ108" i="11"/>
  <c r="BH116" i="1"/>
  <c r="BH117" i="1" s="1"/>
  <c r="BH95" i="1"/>
  <c r="BH3" i="1"/>
  <c r="BH4" i="1" s="1"/>
  <c r="CY76" i="22"/>
  <c r="DK71" i="7"/>
  <c r="DI33" i="6"/>
  <c r="CY51" i="22"/>
  <c r="CY52" i="22" s="1"/>
  <c r="DI32" i="6"/>
  <c r="DI59" i="6"/>
  <c r="DI47" i="6"/>
  <c r="DI31" i="6"/>
  <c r="DL70" i="7"/>
  <c r="DI55" i="6"/>
  <c r="DL19" i="17"/>
  <c r="DL143" i="17"/>
  <c r="DL146" i="17"/>
  <c r="BP95" i="1"/>
  <c r="BP3" i="1"/>
  <c r="BP4" i="1" s="1"/>
  <c r="BP116" i="1"/>
  <c r="BP117" i="1" s="1"/>
  <c r="BE95" i="1"/>
  <c r="BE116" i="1"/>
  <c r="BE3" i="1"/>
  <c r="BI95" i="1"/>
  <c r="CD59" i="22"/>
  <c r="CD60" i="22" s="1"/>
  <c r="CK108" i="11"/>
  <c r="CK72" i="11"/>
  <c r="CK73" i="11" s="1"/>
  <c r="CU666" i="12"/>
  <c r="W147" i="17"/>
  <c r="M80" i="1"/>
  <c r="BW79" i="1"/>
  <c r="N80" i="1"/>
  <c r="CN76" i="6"/>
  <c r="CN64" i="6"/>
  <c r="CQ86" i="8"/>
  <c r="CQ97" i="8" s="1"/>
  <c r="CF117" i="12"/>
  <c r="CG228" i="12"/>
  <c r="U95" i="7"/>
  <c r="P103" i="22"/>
  <c r="P104" i="22" s="1"/>
  <c r="U92" i="7"/>
  <c r="U88" i="7"/>
  <c r="U61" i="6"/>
  <c r="U94" i="7"/>
  <c r="P77" i="22"/>
  <c r="P92" i="22" s="1"/>
  <c r="U20" i="17"/>
  <c r="P61" i="22"/>
  <c r="CW116" i="7"/>
  <c r="BG4" i="1"/>
  <c r="BK4" i="1"/>
  <c r="CL102" i="7"/>
  <c r="CL657" i="12"/>
  <c r="CL680" i="12"/>
  <c r="CL681" i="12" s="1"/>
  <c r="D117" i="35"/>
  <c r="CZ116" i="7"/>
  <c r="R19" i="11"/>
  <c r="CS107" i="13"/>
  <c r="CS118" i="13" s="1"/>
  <c r="CW105" i="13"/>
  <c r="N138" i="14"/>
  <c r="M139" i="14"/>
  <c r="M140" i="14" s="1"/>
  <c r="W25" i="16"/>
  <c r="W37" i="16"/>
  <c r="W30" i="16"/>
  <c r="W41" i="16"/>
  <c r="W44" i="11"/>
  <c r="CK238" i="12"/>
  <c r="CH162" i="12"/>
  <c r="CL161" i="12"/>
  <c r="CV603" i="12"/>
  <c r="CW601" i="12" s="1"/>
  <c r="CE286" i="12"/>
  <c r="CD233" i="12"/>
  <c r="CD228" i="12" s="1"/>
  <c r="CD117" i="12" s="1"/>
  <c r="CE239" i="12"/>
  <c r="CJ129" i="13"/>
  <c r="CJ128" i="13"/>
  <c r="CJ130" i="13"/>
  <c r="BM95" i="1"/>
  <c r="BM116" i="1"/>
  <c r="BM117" i="1" s="1"/>
  <c r="BM3" i="1"/>
  <c r="BM4" i="1" s="1"/>
  <c r="BM59" i="22"/>
  <c r="BT108" i="11"/>
  <c r="BT72" i="11"/>
  <c r="BT73" i="11" s="1"/>
  <c r="DM87" i="12"/>
  <c r="DM66" i="12"/>
  <c r="DM67" i="12"/>
  <c r="DM72" i="12"/>
  <c r="DM71" i="12"/>
  <c r="CZ56" i="22"/>
  <c r="DM70" i="12"/>
  <c r="BW79" i="6"/>
  <c r="BZ110" i="7" s="1"/>
  <c r="BZ117" i="7" s="1"/>
  <c r="BW77" i="6"/>
  <c r="BW88" i="6"/>
  <c r="O109" i="1"/>
  <c r="N110" i="1"/>
  <c r="W307" i="12"/>
  <c r="W308" i="12"/>
  <c r="R125" i="1"/>
  <c r="R130" i="1"/>
  <c r="AF124" i="1"/>
  <c r="W15" i="6"/>
  <c r="W30" i="6"/>
  <c r="W143" i="17" s="1"/>
  <c r="DM80" i="12"/>
  <c r="DM107" i="8"/>
  <c r="DM81" i="12"/>
  <c r="DM79" i="12"/>
  <c r="P105" i="1"/>
  <c r="O108" i="1"/>
  <c r="O126" i="1"/>
  <c r="O106" i="1"/>
  <c r="O53" i="11"/>
  <c r="N117" i="1"/>
  <c r="AF116" i="1"/>
  <c r="CI88" i="6"/>
  <c r="CI79" i="6"/>
  <c r="CL110" i="7" s="1"/>
  <c r="CL117" i="7" s="1"/>
  <c r="CI77" i="6"/>
  <c r="BF3" i="1"/>
  <c r="BF4" i="1" s="1"/>
  <c r="BF116" i="1"/>
  <c r="BF117" i="1" s="1"/>
  <c r="BF95" i="1"/>
  <c r="W71" i="12"/>
  <c r="W70" i="12"/>
  <c r="R56" i="22"/>
  <c r="W68" i="11"/>
  <c r="W72" i="12"/>
  <c r="P45" i="11"/>
  <c r="P46" i="11" s="1"/>
  <c r="CR672" i="12"/>
  <c r="CU668" i="12"/>
  <c r="L105" i="22"/>
  <c r="I40" i="19"/>
  <c r="I117" i="1"/>
  <c r="J117" i="1"/>
  <c r="J82" i="35"/>
  <c r="J83" i="35" s="1"/>
  <c r="C82" i="35"/>
  <c r="C83" i="35" s="1"/>
  <c r="CR583" i="12"/>
  <c r="CS581" i="12" s="1"/>
  <c r="M70" i="12"/>
  <c r="M71" i="12"/>
  <c r="M72" i="12"/>
  <c r="M95" i="12"/>
  <c r="CF92" i="6"/>
  <c r="CF93" i="6" s="1"/>
  <c r="CF119" i="6"/>
  <c r="CF90" i="6"/>
  <c r="CF95" i="6"/>
  <c r="CF145" i="6"/>
  <c r="CF89" i="6"/>
  <c r="DN303" i="12"/>
  <c r="DN302" i="12"/>
  <c r="DN328" i="12"/>
  <c r="DN334" i="12"/>
  <c r="DN321" i="12"/>
  <c r="DN339" i="12"/>
  <c r="DN340" i="12" s="1"/>
  <c r="Q147" i="17"/>
  <c r="P146" i="17"/>
  <c r="R25" i="16"/>
  <c r="S25" i="16"/>
  <c r="R41" i="16"/>
  <c r="R37" i="16"/>
  <c r="O30" i="16"/>
  <c r="O33" i="16" s="1"/>
  <c r="BY91" i="1"/>
  <c r="L92" i="1"/>
  <c r="M92" i="1"/>
  <c r="CN57" i="6"/>
  <c r="CK64" i="11"/>
  <c r="CN58" i="6"/>
  <c r="CQ109" i="7"/>
  <c r="CL121" i="13"/>
  <c r="CL127" i="13" s="1"/>
  <c r="K30" i="19"/>
  <c r="J38" i="19"/>
  <c r="CZ105" i="13"/>
  <c r="CV107" i="13"/>
  <c r="CV118" i="13" s="1"/>
  <c r="O127" i="13"/>
  <c r="CH128" i="13"/>
  <c r="CH130" i="13"/>
  <c r="CH129" i="13"/>
  <c r="BU100" i="15"/>
  <c r="BT99" i="15"/>
  <c r="BT101" i="15" s="1"/>
  <c r="DC88" i="6"/>
  <c r="DC77" i="6"/>
  <c r="DC79" i="6"/>
  <c r="P81" i="1"/>
  <c r="O170" i="1"/>
  <c r="O79" i="1"/>
  <c r="CV697" i="12"/>
  <c r="CV698" i="12" s="1"/>
  <c r="CV702" i="12" s="1"/>
  <c r="CV703" i="12" s="1"/>
  <c r="CV704" i="12" s="1"/>
  <c r="N22" i="20"/>
  <c r="N28" i="20" s="1"/>
  <c r="O22" i="20" s="1"/>
  <c r="O28" i="20" s="1"/>
  <c r="P22" i="20" s="1"/>
  <c r="P28" i="20" s="1"/>
  <c r="BQ4" i="1"/>
  <c r="CS595" i="12"/>
  <c r="CS664" i="12" s="1"/>
  <c r="R593" i="12"/>
  <c r="CD254" i="12"/>
  <c r="BQ116" i="22" s="1"/>
  <c r="CC232" i="12"/>
  <c r="BG196" i="12"/>
  <c r="DG62" i="11"/>
  <c r="DG71" i="11" s="1"/>
  <c r="DG45" i="11"/>
  <c r="DG46" i="11" s="1"/>
  <c r="DI17" i="6"/>
  <c r="DF19" i="11"/>
  <c r="CB6" i="6"/>
  <c r="O95" i="6"/>
  <c r="CB96" i="6"/>
  <c r="CK228" i="12"/>
  <c r="P228" i="12" s="1"/>
  <c r="BS94" i="1"/>
  <c r="BS92" i="1"/>
  <c r="CW623" i="12"/>
  <c r="CW671" i="12" s="1"/>
  <c r="CM673" i="12"/>
  <c r="T8" i="22"/>
  <c r="N88" i="7"/>
  <c r="O60" i="6"/>
  <c r="I61" i="22"/>
  <c r="N20" i="17"/>
  <c r="N60" i="6"/>
  <c r="N94" i="7"/>
  <c r="N92" i="7"/>
  <c r="N61" i="6"/>
  <c r="N95" i="7"/>
  <c r="CH294" i="12"/>
  <c r="BU138" i="22" s="1"/>
  <c r="CH289" i="12"/>
  <c r="CL293" i="12"/>
  <c r="CV342" i="12"/>
  <c r="S221" i="12"/>
  <c r="S222" i="12"/>
  <c r="CX222" i="12"/>
  <c r="CX221" i="12"/>
  <c r="S312" i="12"/>
  <c r="S322" i="12"/>
  <c r="S106" i="12"/>
  <c r="CW323" i="12"/>
  <c r="CX132" i="12"/>
  <c r="CX133" i="12" s="1"/>
  <c r="CX178" i="12"/>
  <c r="CX179" i="12"/>
  <c r="CX316" i="12" s="1"/>
  <c r="CX317" i="12" s="1"/>
  <c r="CX223" i="12"/>
  <c r="CV310" i="12"/>
  <c r="CI42" i="22"/>
  <c r="CV311" i="12"/>
  <c r="CW313" i="12"/>
  <c r="CW309" i="12"/>
  <c r="CW341" i="12"/>
  <c r="CY473" i="12"/>
  <c r="CY130" i="12"/>
  <c r="CY218" i="12"/>
  <c r="CZ103" i="12"/>
  <c r="CZ105" i="12" s="1"/>
  <c r="CY104" i="12"/>
  <c r="CL37" i="22"/>
  <c r="CL38" i="22" s="1"/>
  <c r="CY131" i="12"/>
  <c r="CY176" i="12"/>
  <c r="CW316" i="12"/>
  <c r="CW317" i="12" s="1"/>
  <c r="S223" i="12"/>
  <c r="S132" i="12"/>
  <c r="S133" i="12" s="1"/>
  <c r="S179" i="12"/>
  <c r="CY105" i="12"/>
  <c r="CX106" i="12"/>
  <c r="CX312" i="12"/>
  <c r="CX322" i="12"/>
  <c r="U49" i="22"/>
  <c r="X56" i="17"/>
  <c r="X15" i="15"/>
  <c r="X16" i="15"/>
  <c r="X17" i="15" s="1"/>
  <c r="X13" i="15"/>
  <c r="S7" i="22"/>
  <c r="S9" i="22" s="1"/>
  <c r="S13" i="22" s="1"/>
  <c r="S22" i="22" s="1"/>
  <c r="X113" i="15"/>
  <c r="X12" i="15"/>
  <c r="X21" i="15"/>
  <c r="X36" i="13"/>
  <c r="X35" i="13"/>
  <c r="U35" i="37"/>
  <c r="DC24" i="22"/>
  <c r="DC23" i="22" s="1"/>
  <c r="BY48" i="14" l="1"/>
  <c r="BY45" i="14" s="1"/>
  <c r="BZ90" i="15"/>
  <c r="BY215" i="13"/>
  <c r="BY112" i="15"/>
  <c r="BY91" i="15"/>
  <c r="BY118" i="15"/>
  <c r="BY119" i="15" s="1"/>
  <c r="M90" i="15"/>
  <c r="BR31" i="15"/>
  <c r="BM11" i="15"/>
  <c r="BN18" i="15"/>
  <c r="BN11" i="15" s="1"/>
  <c r="BO45" i="15"/>
  <c r="BO20" i="15"/>
  <c r="BP47" i="15"/>
  <c r="BP46" i="15" s="1"/>
  <c r="BP43" i="15"/>
  <c r="BQ44" i="15"/>
  <c r="BO48" i="15"/>
  <c r="BO30" i="15"/>
  <c r="BO31" i="15" s="1"/>
  <c r="BX31" i="15"/>
  <c r="DR315" i="12"/>
  <c r="DV315" i="12"/>
  <c r="DV26" i="12"/>
  <c r="O13" i="37"/>
  <c r="CH92" i="6"/>
  <c r="CH93" i="6" s="1"/>
  <c r="O175" i="7"/>
  <c r="L17" i="37"/>
  <c r="L18" i="37" s="1"/>
  <c r="K17" i="37"/>
  <c r="K18" i="37" s="1"/>
  <c r="CH89" i="6"/>
  <c r="CH145" i="6"/>
  <c r="CL89" i="6"/>
  <c r="CH95" i="6"/>
  <c r="CH96" i="6" s="1"/>
  <c r="CH119" i="6"/>
  <c r="Y308" i="12"/>
  <c r="CI108" i="7"/>
  <c r="DU26" i="12"/>
  <c r="R14" i="37" s="1"/>
  <c r="V14" i="37"/>
  <c r="DT391" i="12"/>
  <c r="DU419" i="12"/>
  <c r="DU421" i="12" s="1"/>
  <c r="DU396" i="12"/>
  <c r="DU398" i="12" s="1"/>
  <c r="DQ315" i="12"/>
  <c r="DU315" i="12"/>
  <c r="Z301" i="12"/>
  <c r="Z302" i="12" s="1"/>
  <c r="C28" i="5"/>
  <c r="C30" i="5"/>
  <c r="C36" i="5"/>
  <c r="C34" i="5"/>
  <c r="C29" i="5"/>
  <c r="C35" i="5"/>
  <c r="C27" i="5"/>
  <c r="C31" i="5"/>
  <c r="C32" i="5"/>
  <c r="C26" i="5"/>
  <c r="C33" i="5"/>
  <c r="X126" i="22"/>
  <c r="AD70" i="13"/>
  <c r="AG60" i="13"/>
  <c r="AB124" i="22" s="1"/>
  <c r="AA124" i="22"/>
  <c r="AF257" i="12"/>
  <c r="AG257" i="12" s="1"/>
  <c r="AA137" i="12"/>
  <c r="AI137" i="12" s="1"/>
  <c r="AI289" i="12"/>
  <c r="Z23" i="12"/>
  <c r="DO103" i="11"/>
  <c r="DW101" i="13"/>
  <c r="DJ72" i="22" s="1"/>
  <c r="DP102" i="11"/>
  <c r="L59" i="17"/>
  <c r="M47" i="17"/>
  <c r="M48" i="17" s="1"/>
  <c r="L47" i="17"/>
  <c r="L48" i="17" s="1"/>
  <c r="AA58" i="12"/>
  <c r="AB58" i="12" s="1"/>
  <c r="AC58" i="12" s="1"/>
  <c r="AD58" i="12" s="1"/>
  <c r="AE58" i="12" s="1"/>
  <c r="BV47" i="17"/>
  <c r="BV48" i="17" s="1"/>
  <c r="BU59" i="17"/>
  <c r="BU47" i="17"/>
  <c r="BU48" i="17" s="1"/>
  <c r="Q86" i="8"/>
  <c r="AB137" i="12"/>
  <c r="Z85" i="6"/>
  <c r="Z75" i="8"/>
  <c r="AA84" i="6"/>
  <c r="Z68" i="6"/>
  <c r="Z162" i="6"/>
  <c r="Z202" i="7" s="1"/>
  <c r="AA67" i="6"/>
  <c r="Z74" i="8"/>
  <c r="Z89" i="8"/>
  <c r="DR247" i="12"/>
  <c r="DN248" i="12"/>
  <c r="DN281" i="12"/>
  <c r="DN284" i="12" s="1"/>
  <c r="DR391" i="12"/>
  <c r="DS419" i="12"/>
  <c r="DS421" i="12" s="1"/>
  <c r="DS396" i="12"/>
  <c r="DS398" i="12" s="1"/>
  <c r="DS391" i="12"/>
  <c r="DT396" i="12"/>
  <c r="DT398" i="12" s="1"/>
  <c r="DT419" i="12"/>
  <c r="DT421" i="12" s="1"/>
  <c r="CA569" i="12"/>
  <c r="CA570" i="12" s="1"/>
  <c r="CB569" i="12" s="1"/>
  <c r="CB570" i="12" s="1"/>
  <c r="CB499" i="12" s="1"/>
  <c r="CB571" i="12" s="1"/>
  <c r="DT95" i="12"/>
  <c r="DT96" i="12"/>
  <c r="DT94" i="12"/>
  <c r="Z339" i="12"/>
  <c r="R94" i="12"/>
  <c r="Z306" i="12"/>
  <c r="DX656" i="12"/>
  <c r="DW102" i="7"/>
  <c r="Z508" i="12"/>
  <c r="AA508" i="12" s="1"/>
  <c r="AB508" i="12" s="1"/>
  <c r="AC508" i="12" s="1"/>
  <c r="AD508" i="12" s="1"/>
  <c r="AE508" i="12" s="1"/>
  <c r="AF508" i="12" s="1"/>
  <c r="AG508" i="12" s="1"/>
  <c r="AC738" i="12"/>
  <c r="AD739" i="12"/>
  <c r="DY89" i="8"/>
  <c r="DY74" i="8"/>
  <c r="DW26" i="7"/>
  <c r="DY75" i="8"/>
  <c r="DV85" i="6"/>
  <c r="DV109" i="6"/>
  <c r="DU111" i="6"/>
  <c r="DU103" i="6" s="1"/>
  <c r="DX60" i="7"/>
  <c r="DW101" i="7"/>
  <c r="DT104" i="6"/>
  <c r="DT110" i="6" s="1"/>
  <c r="DW99" i="8"/>
  <c r="DW100" i="8" s="1"/>
  <c r="DW768" i="12"/>
  <c r="DW745" i="12"/>
  <c r="DW758" i="12"/>
  <c r="DT115" i="6"/>
  <c r="DI29" i="22"/>
  <c r="CM62" i="22"/>
  <c r="J104" i="35"/>
  <c r="J124" i="35" s="1"/>
  <c r="O104" i="35"/>
  <c r="O124" i="35" s="1"/>
  <c r="L104" i="35"/>
  <c r="T80" i="11"/>
  <c r="Q76" i="6"/>
  <c r="D100" i="35" s="1"/>
  <c r="D103" i="35" s="1"/>
  <c r="Q161" i="6"/>
  <c r="AC72" i="13"/>
  <c r="W127" i="22"/>
  <c r="AF59" i="13"/>
  <c r="Z123" i="22"/>
  <c r="S64" i="6"/>
  <c r="R93" i="12"/>
  <c r="S93" i="12"/>
  <c r="R95" i="12"/>
  <c r="CN108" i="7"/>
  <c r="CT77" i="6"/>
  <c r="CT79" i="6"/>
  <c r="CW110" i="7" s="1"/>
  <c r="DI109" i="7"/>
  <c r="DI116" i="7" s="1"/>
  <c r="S20" i="17"/>
  <c r="G142" i="14"/>
  <c r="J33" i="22"/>
  <c r="CG145" i="14"/>
  <c r="CG146" i="14" s="1"/>
  <c r="CH90" i="14"/>
  <c r="BU34" i="22"/>
  <c r="CH91" i="14"/>
  <c r="CI88" i="14"/>
  <c r="CG142" i="14"/>
  <c r="BT33" i="22"/>
  <c r="CH6" i="6"/>
  <c r="CK6" i="7" s="1"/>
  <c r="DS79" i="12"/>
  <c r="CZ95" i="12"/>
  <c r="DO340" i="12"/>
  <c r="DS340" i="12"/>
  <c r="DN347" i="12"/>
  <c r="DR347" i="12"/>
  <c r="AD15" i="7"/>
  <c r="AD42" i="8" s="1"/>
  <c r="AC42" i="8"/>
  <c r="AC566" i="12"/>
  <c r="AD563" i="12"/>
  <c r="AA103" i="6"/>
  <c r="AA99" i="8" s="1"/>
  <c r="AA100" i="8" s="1"/>
  <c r="AB111" i="6"/>
  <c r="AC109" i="6"/>
  <c r="AB110" i="6"/>
  <c r="AC18" i="6"/>
  <c r="AC17" i="11"/>
  <c r="R58" i="17"/>
  <c r="AD289" i="12"/>
  <c r="AC137" i="12"/>
  <c r="P104" i="35"/>
  <c r="P124" i="35" s="1"/>
  <c r="Q104" i="35"/>
  <c r="Q124" i="35" s="1"/>
  <c r="S104" i="35"/>
  <c r="S124" i="35" s="1"/>
  <c r="T104" i="35"/>
  <c r="T124" i="35" s="1"/>
  <c r="X23" i="20"/>
  <c r="Y13" i="20"/>
  <c r="Y23" i="19"/>
  <c r="Y7" i="19"/>
  <c r="Y8" i="19" s="1"/>
  <c r="X8" i="19"/>
  <c r="Y102" i="13"/>
  <c r="AB17" i="11"/>
  <c r="AB18" i="6"/>
  <c r="M104" i="35"/>
  <c r="R56" i="6"/>
  <c r="R58" i="6" s="1"/>
  <c r="N104" i="35"/>
  <c r="N124" i="35" s="1"/>
  <c r="S54" i="6"/>
  <c r="AI72" i="13"/>
  <c r="DD96" i="12"/>
  <c r="DD94" i="12"/>
  <c r="DA744" i="12"/>
  <c r="DA758" i="12" s="1"/>
  <c r="CZ96" i="12"/>
  <c r="U86" i="8"/>
  <c r="CX77" i="6"/>
  <c r="N77" i="22"/>
  <c r="N92" i="22" s="1"/>
  <c r="V86" i="8"/>
  <c r="N62" i="22"/>
  <c r="CX88" i="6"/>
  <c r="CX119" i="6" s="1"/>
  <c r="V161" i="6"/>
  <c r="V165" i="6" s="1"/>
  <c r="V166" i="6" s="1"/>
  <c r="N61" i="22"/>
  <c r="S88" i="7"/>
  <c r="V64" i="6"/>
  <c r="S94" i="7"/>
  <c r="N103" i="22"/>
  <c r="N104" i="22" s="1"/>
  <c r="AA102" i="7"/>
  <c r="AB656" i="12"/>
  <c r="R50" i="17"/>
  <c r="R29" i="17"/>
  <c r="S92" i="7"/>
  <c r="S61" i="6"/>
  <c r="AA740" i="12"/>
  <c r="AA742" i="12" s="1"/>
  <c r="AA743" i="12" s="1"/>
  <c r="AB741" i="12"/>
  <c r="R57" i="12"/>
  <c r="AA54" i="8"/>
  <c r="AB58" i="7"/>
  <c r="K104" i="35"/>
  <c r="K124" i="35" s="1"/>
  <c r="S161" i="6"/>
  <c r="S76" i="6"/>
  <c r="F100" i="35" s="1"/>
  <c r="F103" i="35" s="1"/>
  <c r="Q92" i="7"/>
  <c r="DF23" i="22"/>
  <c r="T72" i="22"/>
  <c r="Y103" i="13"/>
  <c r="G144" i="14"/>
  <c r="BR255" i="13"/>
  <c r="BU281" i="13"/>
  <c r="BU286" i="13" s="1"/>
  <c r="BY287" i="13" s="1"/>
  <c r="BX280" i="13"/>
  <c r="CC7" i="6"/>
  <c r="CB6" i="13"/>
  <c r="CB6" i="7"/>
  <c r="CB6" i="14"/>
  <c r="BY7" i="6"/>
  <c r="CB6" i="15"/>
  <c r="CB6" i="12"/>
  <c r="CB6" i="16"/>
  <c r="CB6" i="17"/>
  <c r="BO3" i="22"/>
  <c r="CB7" i="8"/>
  <c r="BV7" i="11"/>
  <c r="BS254" i="13"/>
  <c r="BT255" i="13" s="1"/>
  <c r="BW31" i="15"/>
  <c r="CI62" i="22"/>
  <c r="BT241" i="13"/>
  <c r="BT243" i="13" s="1"/>
  <c r="BU241" i="13"/>
  <c r="BU243" i="13" s="1"/>
  <c r="BX240" i="13"/>
  <c r="BS241" i="13"/>
  <c r="BS243" i="13" s="1"/>
  <c r="BR286" i="13"/>
  <c r="BR243" i="13"/>
  <c r="BT281" i="13"/>
  <c r="BT286" i="13" s="1"/>
  <c r="BX287" i="13" s="1"/>
  <c r="BW280" i="13"/>
  <c r="BS281" i="13"/>
  <c r="BS286" i="13" s="1"/>
  <c r="BW287" i="13" s="1"/>
  <c r="DR284" i="12"/>
  <c r="DV285" i="12" s="1"/>
  <c r="DR299" i="12"/>
  <c r="DQ391" i="12"/>
  <c r="DR419" i="12"/>
  <c r="DR421" i="12" s="1"/>
  <c r="DR396" i="12"/>
  <c r="DR398" i="12" s="1"/>
  <c r="DR136" i="17"/>
  <c r="DR116" i="17" s="1"/>
  <c r="DR120" i="17"/>
  <c r="DR31" i="12"/>
  <c r="DV32" i="12" s="1"/>
  <c r="DR301" i="12"/>
  <c r="DR50" i="12"/>
  <c r="DR26" i="12"/>
  <c r="O14" i="37" s="1"/>
  <c r="DR305" i="12"/>
  <c r="DR306" i="12"/>
  <c r="DV307" i="12" s="1"/>
  <c r="Q94" i="7"/>
  <c r="Q20" i="17"/>
  <c r="L103" i="22"/>
  <c r="L104" i="22" s="1"/>
  <c r="L61" i="22"/>
  <c r="R64" i="6"/>
  <c r="L62" i="22"/>
  <c r="L77" i="22"/>
  <c r="L92" i="22" s="1"/>
  <c r="Q61" i="6"/>
  <c r="Q95" i="7"/>
  <c r="M281" i="13"/>
  <c r="M283" i="13" s="1"/>
  <c r="U161" i="6"/>
  <c r="T94" i="7"/>
  <c r="I8" i="37"/>
  <c r="U24" i="37"/>
  <c r="W24" i="37" s="1"/>
  <c r="Q14" i="14"/>
  <c r="DH29" i="22"/>
  <c r="DF26" i="22"/>
  <c r="AA38" i="7"/>
  <c r="DQ299" i="12"/>
  <c r="DQ284" i="12"/>
  <c r="CC44" i="15"/>
  <c r="CB43" i="15"/>
  <c r="CB239" i="13" s="1"/>
  <c r="CB241" i="13" s="1"/>
  <c r="CB243" i="13" s="1"/>
  <c r="CB245" i="13" s="1"/>
  <c r="CB47" i="15"/>
  <c r="BZ243" i="13"/>
  <c r="DB310" i="21"/>
  <c r="DA311" i="21"/>
  <c r="DA301" i="21" s="1"/>
  <c r="DQ306" i="12"/>
  <c r="DU307" i="12" s="1"/>
  <c r="DQ305" i="12"/>
  <c r="BM8" i="22"/>
  <c r="BM9" i="22" s="1"/>
  <c r="BM13" i="22" s="1"/>
  <c r="DQ419" i="12"/>
  <c r="DQ421" i="12" s="1"/>
  <c r="DQ396" i="12"/>
  <c r="DQ398" i="12" s="1"/>
  <c r="DP391" i="12"/>
  <c r="P44" i="15"/>
  <c r="O43" i="15"/>
  <c r="BZ30" i="15"/>
  <c r="BM16" i="22"/>
  <c r="BM17" i="22" s="1"/>
  <c r="BM19" i="22" s="1"/>
  <c r="BZ48" i="15"/>
  <c r="BZ45" i="15" s="1"/>
  <c r="DO285" i="12"/>
  <c r="DP321" i="12"/>
  <c r="DP339" i="12"/>
  <c r="DP328" i="12"/>
  <c r="DP334" i="12"/>
  <c r="DP303" i="12"/>
  <c r="DP302" i="12"/>
  <c r="DO81" i="12"/>
  <c r="DO80" i="12"/>
  <c r="DO79" i="12"/>
  <c r="DO71" i="12"/>
  <c r="DO72" i="12"/>
  <c r="DO70" i="12"/>
  <c r="N46" i="15"/>
  <c r="N48" i="15" s="1"/>
  <c r="O47" i="15"/>
  <c r="BY289" i="13"/>
  <c r="BY292" i="13" s="1"/>
  <c r="BY294" i="13" s="1"/>
  <c r="BY254" i="13"/>
  <c r="BY255" i="13" s="1"/>
  <c r="M255" i="13" s="1"/>
  <c r="M30" i="15"/>
  <c r="BY31" i="15"/>
  <c r="CA240" i="13"/>
  <c r="N20" i="15"/>
  <c r="N45" i="15"/>
  <c r="BZ279" i="13"/>
  <c r="BL117" i="1"/>
  <c r="DQ136" i="17"/>
  <c r="DQ116" i="17" s="1"/>
  <c r="DQ31" i="12"/>
  <c r="DU32" i="12" s="1"/>
  <c r="DQ50" i="12"/>
  <c r="DQ301" i="12"/>
  <c r="DU302" i="12" s="1"/>
  <c r="DQ26" i="12"/>
  <c r="N14" i="37" s="1"/>
  <c r="DQ120" i="17"/>
  <c r="BN15" i="22"/>
  <c r="CA20" i="15"/>
  <c r="CA18" i="15" s="1"/>
  <c r="P151" i="14"/>
  <c r="Q149" i="14"/>
  <c r="Q151" i="14" s="1"/>
  <c r="Y23" i="12"/>
  <c r="Z24" i="12" s="1"/>
  <c r="BW292" i="13"/>
  <c r="BW294" i="13" s="1"/>
  <c r="DJ14" i="11"/>
  <c r="DP65" i="12"/>
  <c r="DT66" i="12" s="1"/>
  <c r="DP78" i="12"/>
  <c r="M17" i="37" s="1"/>
  <c r="M18" i="37" s="1"/>
  <c r="DP43" i="12"/>
  <c r="DP69" i="12"/>
  <c r="DT70" i="12" s="1"/>
  <c r="DP54" i="12"/>
  <c r="DP40" i="12"/>
  <c r="DP49" i="12"/>
  <c r="DP62" i="12"/>
  <c r="DP32" i="12"/>
  <c r="CA241" i="13"/>
  <c r="CA243" i="13" s="1"/>
  <c r="CA245" i="13" s="1"/>
  <c r="DN391" i="12"/>
  <c r="DO419" i="12"/>
  <c r="DO421" i="12" s="1"/>
  <c r="DO396" i="12"/>
  <c r="DO398" i="12" s="1"/>
  <c r="CA46" i="15"/>
  <c r="CA279" i="13" s="1"/>
  <c r="CA280" i="13" s="1"/>
  <c r="BY243" i="13"/>
  <c r="M241" i="13"/>
  <c r="DP419" i="12"/>
  <c r="DP421" i="12" s="1"/>
  <c r="DO391" i="12"/>
  <c r="DP396" i="12"/>
  <c r="DP398" i="12" s="1"/>
  <c r="DP308" i="12"/>
  <c r="DP307" i="12"/>
  <c r="DP283" i="12"/>
  <c r="DP282" i="12"/>
  <c r="DO87" i="12"/>
  <c r="DO89" i="12" s="1"/>
  <c r="DO92" i="12" s="1"/>
  <c r="DO67" i="12"/>
  <c r="DO66" i="12"/>
  <c r="DJ17" i="6"/>
  <c r="Y24" i="15"/>
  <c r="Y22" i="15"/>
  <c r="U124" i="6"/>
  <c r="CU62" i="22"/>
  <c r="Y334" i="12"/>
  <c r="Y321" i="12"/>
  <c r="Y328" i="12"/>
  <c r="Y339" i="12"/>
  <c r="Y24" i="8"/>
  <c r="Y26" i="7"/>
  <c r="AZ94" i="12"/>
  <c r="AZ96" i="12"/>
  <c r="AZ537" i="12"/>
  <c r="DE88" i="6"/>
  <c r="DE79" i="6"/>
  <c r="DE77" i="6"/>
  <c r="AA41" i="7"/>
  <c r="AB41" i="7" s="1"/>
  <c r="AC41" i="7" s="1"/>
  <c r="BA92" i="12"/>
  <c r="AY94" i="12"/>
  <c r="AY537" i="12"/>
  <c r="AY96" i="12"/>
  <c r="AA54" i="7"/>
  <c r="AB54" i="7" s="1"/>
  <c r="AC54" i="7" s="1"/>
  <c r="Y101" i="7"/>
  <c r="S94" i="12"/>
  <c r="S96" i="12"/>
  <c r="U54" i="6"/>
  <c r="S95" i="12"/>
  <c r="U56" i="6"/>
  <c r="U64" i="11" s="1"/>
  <c r="DG26" i="22"/>
  <c r="DL111" i="8"/>
  <c r="Y89" i="12"/>
  <c r="O103" i="22"/>
  <c r="O104" i="22" s="1"/>
  <c r="DH60" i="17"/>
  <c r="DT78" i="8"/>
  <c r="Y116" i="6"/>
  <c r="Y121" i="6"/>
  <c r="Y117" i="6"/>
  <c r="CA7" i="7"/>
  <c r="CA7" i="16"/>
  <c r="BU8" i="11"/>
  <c r="CA7" i="17"/>
  <c r="CA7" i="15"/>
  <c r="CA7" i="12"/>
  <c r="CA7" i="14"/>
  <c r="CA7" i="13"/>
  <c r="CA8" i="8"/>
  <c r="BW7" i="11"/>
  <c r="BZ7" i="6"/>
  <c r="CC6" i="15"/>
  <c r="CC6" i="7"/>
  <c r="CC6" i="12"/>
  <c r="CC7" i="8"/>
  <c r="CC6" i="13"/>
  <c r="CC6" i="17"/>
  <c r="CC6" i="14"/>
  <c r="BP3" i="22"/>
  <c r="BP4" i="22" s="1"/>
  <c r="CC6" i="16"/>
  <c r="V127" i="22"/>
  <c r="X126" i="17"/>
  <c r="X127" i="17" s="1"/>
  <c r="H117" i="35"/>
  <c r="H126" i="35"/>
  <c r="V41" i="17"/>
  <c r="V59" i="17"/>
  <c r="DG35" i="17"/>
  <c r="DG36" i="17"/>
  <c r="U66" i="8"/>
  <c r="U69" i="8" s="1"/>
  <c r="U71" i="8"/>
  <c r="U701" i="12"/>
  <c r="DH17" i="8"/>
  <c r="DJ13" i="17"/>
  <c r="DG52" i="6"/>
  <c r="DJ109" i="7" s="1"/>
  <c r="DJ116" i="7" s="1"/>
  <c r="DK31" i="17"/>
  <c r="DJ32" i="17"/>
  <c r="DJ94" i="13"/>
  <c r="DJ40" i="17" s="1"/>
  <c r="DH45" i="17"/>
  <c r="DH27" i="17"/>
  <c r="DH57" i="12"/>
  <c r="DH29" i="17"/>
  <c r="DH28" i="17"/>
  <c r="DH50" i="17"/>
  <c r="DH34" i="17"/>
  <c r="DE51" i="6"/>
  <c r="DH58" i="17"/>
  <c r="DH53" i="17"/>
  <c r="DH30" i="17"/>
  <c r="DI18" i="8"/>
  <c r="DI17" i="8" s="1"/>
  <c r="DI14" i="17"/>
  <c r="DI59" i="17"/>
  <c r="DI42" i="17"/>
  <c r="DI43" i="17" s="1"/>
  <c r="DI26" i="17"/>
  <c r="V26" i="17" s="1"/>
  <c r="DI41" i="17"/>
  <c r="X57" i="17"/>
  <c r="Q105" i="13"/>
  <c r="Q106" i="13" s="1"/>
  <c r="DG23" i="22"/>
  <c r="DM109" i="11"/>
  <c r="R86" i="8"/>
  <c r="R161" i="6"/>
  <c r="L261" i="13"/>
  <c r="DB77" i="6"/>
  <c r="DB79" i="6"/>
  <c r="DB88" i="6"/>
  <c r="Q183" i="12"/>
  <c r="Q199" i="12"/>
  <c r="Q200" i="12" s="1"/>
  <c r="S126" i="8"/>
  <c r="S120" i="8" s="1"/>
  <c r="S122" i="8" s="1"/>
  <c r="S124" i="8" s="1"/>
  <c r="DM431" i="12"/>
  <c r="CM77" i="6"/>
  <c r="CM88" i="6"/>
  <c r="CM95" i="6" s="1"/>
  <c r="S204" i="7"/>
  <c r="CB63" i="11"/>
  <c r="CB64" i="11" s="1"/>
  <c r="U60" i="6"/>
  <c r="T161" i="6"/>
  <c r="T92" i="7"/>
  <c r="T88" i="7"/>
  <c r="T61" i="6"/>
  <c r="T86" i="8"/>
  <c r="O77" i="22"/>
  <c r="O92" i="22" s="1"/>
  <c r="T60" i="6"/>
  <c r="O61" i="22"/>
  <c r="T95" i="7"/>
  <c r="BX7" i="11"/>
  <c r="CD6" i="13"/>
  <c r="BQ3" i="22"/>
  <c r="BU4" i="22" s="1"/>
  <c r="CD6" i="16"/>
  <c r="CD6" i="17"/>
  <c r="CD6" i="15"/>
  <c r="CD6" i="14"/>
  <c r="CD7" i="8"/>
  <c r="CD6" i="12"/>
  <c r="CD6" i="7"/>
  <c r="CE7" i="6"/>
  <c r="U96" i="12"/>
  <c r="CU528" i="12"/>
  <c r="CV528" i="12" s="1"/>
  <c r="CV531" i="12" s="1"/>
  <c r="U94" i="12"/>
  <c r="T72" i="11"/>
  <c r="T81" i="11" s="1"/>
  <c r="U537" i="12"/>
  <c r="U547" i="12" s="1"/>
  <c r="U568" i="12" s="1"/>
  <c r="S95" i="8"/>
  <c r="U528" i="12"/>
  <c r="U531" i="12" s="1"/>
  <c r="U532" i="12" s="1"/>
  <c r="CD238" i="12"/>
  <c r="P36" i="6"/>
  <c r="CF94" i="14"/>
  <c r="CF95" i="14"/>
  <c r="CG93" i="14"/>
  <c r="BT30" i="22"/>
  <c r="G93" i="14"/>
  <c r="G95" i="14" s="1"/>
  <c r="G41" i="14"/>
  <c r="J31" i="22" s="1"/>
  <c r="J30" i="22"/>
  <c r="CH44" i="14"/>
  <c r="CH43" i="14"/>
  <c r="BU31" i="22"/>
  <c r="CI41" i="14"/>
  <c r="S80" i="11"/>
  <c r="Q80" i="11"/>
  <c r="Q72" i="11"/>
  <c r="Q81" i="11" s="1"/>
  <c r="S72" i="11"/>
  <c r="S81" i="11" s="1"/>
  <c r="U95" i="8"/>
  <c r="DG115" i="8"/>
  <c r="DG95" i="8" s="1"/>
  <c r="CA80" i="15"/>
  <c r="CB84" i="15"/>
  <c r="CA85" i="15"/>
  <c r="BZ82" i="15"/>
  <c r="BZ81" i="15"/>
  <c r="M81" i="15"/>
  <c r="M82" i="15"/>
  <c r="CG6" i="16"/>
  <c r="CD7" i="6"/>
  <c r="CG6" i="7"/>
  <c r="CG6" i="13"/>
  <c r="CG6" i="17"/>
  <c r="CG6" i="12"/>
  <c r="CA7" i="11"/>
  <c r="BT3" i="22"/>
  <c r="CG6" i="15"/>
  <c r="CG7" i="8"/>
  <c r="CG6" i="14"/>
  <c r="U36" i="37"/>
  <c r="DF115" i="8"/>
  <c r="DF95" i="8" s="1"/>
  <c r="CN129" i="13"/>
  <c r="CF64" i="6"/>
  <c r="O63" i="6"/>
  <c r="O64" i="6" s="1"/>
  <c r="P63" i="6"/>
  <c r="N63" i="6"/>
  <c r="N64" i="6" s="1"/>
  <c r="CY77" i="6"/>
  <c r="CY88" i="6"/>
  <c r="DC89" i="6" s="1"/>
  <c r="CY79" i="6"/>
  <c r="DD116" i="7"/>
  <c r="CS338" i="13"/>
  <c r="R339" i="13"/>
  <c r="CQ88" i="6"/>
  <c r="CQ79" i="6"/>
  <c r="CQ77" i="6"/>
  <c r="DA79" i="6"/>
  <c r="DA88" i="6"/>
  <c r="DA89" i="6" s="1"/>
  <c r="DA77" i="6"/>
  <c r="CS79" i="6"/>
  <c r="CS88" i="6"/>
  <c r="CS89" i="6" s="1"/>
  <c r="CS77" i="6"/>
  <c r="CG62" i="22"/>
  <c r="CJ77" i="6"/>
  <c r="CJ79" i="6"/>
  <c r="CM110" i="7" s="1"/>
  <c r="CM117" i="7" s="1"/>
  <c r="CM115" i="7" s="1"/>
  <c r="CJ88" i="6"/>
  <c r="BX262" i="13"/>
  <c r="CV79" i="6"/>
  <c r="CV77" i="6"/>
  <c r="CV88" i="6"/>
  <c r="CZ89" i="6" s="1"/>
  <c r="BX220" i="13"/>
  <c r="BW221" i="13"/>
  <c r="BW230" i="13"/>
  <c r="BW233" i="13" s="1"/>
  <c r="BW235" i="13" s="1"/>
  <c r="BV233" i="13"/>
  <c r="BV270" i="13"/>
  <c r="BV263" i="13"/>
  <c r="BZ216" i="13"/>
  <c r="M216" i="13"/>
  <c r="BY258" i="13"/>
  <c r="BY217" i="13"/>
  <c r="BY218" i="13" s="1"/>
  <c r="M218" i="13" s="1"/>
  <c r="N109" i="7"/>
  <c r="N116" i="7" s="1"/>
  <c r="CM130" i="13"/>
  <c r="T54" i="6"/>
  <c r="S56" i="6"/>
  <c r="S55" i="6"/>
  <c r="T109" i="7"/>
  <c r="T116" i="7" s="1"/>
  <c r="Q177" i="7"/>
  <c r="Q181" i="7" s="1"/>
  <c r="P195" i="7"/>
  <c r="P164" i="7"/>
  <c r="P182" i="7"/>
  <c r="BZ115" i="7"/>
  <c r="CV62" i="22"/>
  <c r="T58" i="6"/>
  <c r="T64" i="11"/>
  <c r="CQ127" i="13"/>
  <c r="CQ129" i="13" s="1"/>
  <c r="N127" i="13"/>
  <c r="O128" i="13" s="1"/>
  <c r="DC105" i="13"/>
  <c r="CY107" i="13"/>
  <c r="CY118" i="13" s="1"/>
  <c r="CU121" i="13"/>
  <c r="CU122" i="13" s="1"/>
  <c r="N76" i="6"/>
  <c r="N88" i="6" s="1"/>
  <c r="N57" i="6"/>
  <c r="R664" i="12"/>
  <c r="P238" i="12"/>
  <c r="N60" i="12"/>
  <c r="N53" i="12"/>
  <c r="N50" i="11"/>
  <c r="N54" i="11" s="1"/>
  <c r="N55" i="11" s="1"/>
  <c r="N54" i="12"/>
  <c r="N539" i="12"/>
  <c r="N547" i="12" s="1"/>
  <c r="N568" i="12" s="1"/>
  <c r="N570" i="12" s="1"/>
  <c r="O569" i="12" s="1"/>
  <c r="O53" i="12"/>
  <c r="DI431" i="12"/>
  <c r="CB354" i="12"/>
  <c r="CB350" i="12"/>
  <c r="CC349" i="12"/>
  <c r="CB352" i="12"/>
  <c r="V386" i="12"/>
  <c r="V389" i="12"/>
  <c r="V391" i="12" s="1"/>
  <c r="DI426" i="12"/>
  <c r="DI427" i="12" s="1"/>
  <c r="V416" i="12"/>
  <c r="V431" i="12"/>
  <c r="DI432" i="12"/>
  <c r="DA117" i="7"/>
  <c r="DA115" i="7" s="1"/>
  <c r="DA108" i="7"/>
  <c r="I47" i="17"/>
  <c r="I48" i="17" s="1"/>
  <c r="H47" i="17"/>
  <c r="H48" i="17" s="1"/>
  <c r="H59" i="17"/>
  <c r="CE111" i="12"/>
  <c r="CE227" i="12"/>
  <c r="CE108" i="12"/>
  <c r="CI108" i="12"/>
  <c r="CF107" i="12"/>
  <c r="DI391" i="12"/>
  <c r="DI396" i="12"/>
  <c r="V396" i="12" s="1"/>
  <c r="DI419" i="12"/>
  <c r="V419" i="12" s="1"/>
  <c r="CR646" i="12"/>
  <c r="CQ677" i="12"/>
  <c r="Q58" i="17"/>
  <c r="Q53" i="17"/>
  <c r="Q45" i="17"/>
  <c r="Q50" i="17"/>
  <c r="Q29" i="17"/>
  <c r="R27" i="17"/>
  <c r="R30" i="17"/>
  <c r="Q57" i="12"/>
  <c r="CG96" i="6"/>
  <c r="CG6" i="6"/>
  <c r="U73" i="11"/>
  <c r="O99" i="12"/>
  <c r="N101" i="12"/>
  <c r="N100" i="12"/>
  <c r="N72" i="12"/>
  <c r="N68" i="11"/>
  <c r="N71" i="12"/>
  <c r="AN69" i="12"/>
  <c r="Q14" i="17"/>
  <c r="R12" i="17"/>
  <c r="L90" i="12"/>
  <c r="L92" i="12"/>
  <c r="L93" i="12" s="1"/>
  <c r="O67" i="12"/>
  <c r="O59" i="11"/>
  <c r="O87" i="12"/>
  <c r="T60" i="17"/>
  <c r="T12" i="17"/>
  <c r="S12" i="17"/>
  <c r="S14" i="17"/>
  <c r="T15" i="17" s="1"/>
  <c r="CU77" i="6"/>
  <c r="CU88" i="6"/>
  <c r="CU79" i="6"/>
  <c r="O71" i="12"/>
  <c r="O68" i="11"/>
  <c r="O77" i="11" s="1"/>
  <c r="P70" i="12"/>
  <c r="O72" i="12"/>
  <c r="O70" i="12"/>
  <c r="R54" i="6"/>
  <c r="Q55" i="6"/>
  <c r="Q56" i="6"/>
  <c r="X689" i="12"/>
  <c r="W500" i="12"/>
  <c r="W545" i="12" s="1"/>
  <c r="W109" i="8" s="1"/>
  <c r="N70" i="12"/>
  <c r="CJ50" i="17"/>
  <c r="CJ34" i="17"/>
  <c r="CG51" i="6"/>
  <c r="CJ29" i="17"/>
  <c r="CN27" i="17"/>
  <c r="CJ27" i="17"/>
  <c r="CJ53" i="17"/>
  <c r="CJ45" i="17"/>
  <c r="CJ57" i="12"/>
  <c r="P127" i="13"/>
  <c r="P130" i="13" s="1"/>
  <c r="U12" i="17"/>
  <c r="U14" i="17"/>
  <c r="T92" i="12"/>
  <c r="T111" i="8"/>
  <c r="T115" i="8" s="1"/>
  <c r="T90" i="12"/>
  <c r="S58" i="17"/>
  <c r="T30" i="17"/>
  <c r="S57" i="12"/>
  <c r="S45" i="17"/>
  <c r="S29" i="17"/>
  <c r="S50" i="17"/>
  <c r="S27" i="17"/>
  <c r="T27" i="17"/>
  <c r="S30" i="17"/>
  <c r="DF88" i="6"/>
  <c r="DF77" i="6"/>
  <c r="DF79" i="6"/>
  <c r="DJ744" i="12"/>
  <c r="DJ110" i="7"/>
  <c r="DG92" i="6"/>
  <c r="DG145" i="6" s="1"/>
  <c r="DG90" i="6"/>
  <c r="DG119" i="6"/>
  <c r="DG95" i="6"/>
  <c r="CO644" i="12"/>
  <c r="CO676" i="12" s="1"/>
  <c r="CO678" i="12" s="1"/>
  <c r="CT662" i="12"/>
  <c r="CP665" i="12"/>
  <c r="CU587" i="12"/>
  <c r="CV585" i="12" s="1"/>
  <c r="CQ599" i="12"/>
  <c r="CR597" i="12" s="1"/>
  <c r="CS663" i="12"/>
  <c r="R663" i="12" s="1"/>
  <c r="R591" i="12"/>
  <c r="S589" i="12" s="1"/>
  <c r="S591" i="12" s="1"/>
  <c r="CT589" i="12"/>
  <c r="CT591" i="12" s="1"/>
  <c r="CU589" i="12" s="1"/>
  <c r="CU591" i="12" s="1"/>
  <c r="CV589" i="12" s="1"/>
  <c r="CN678" i="12"/>
  <c r="AA657" i="12"/>
  <c r="Z203" i="7"/>
  <c r="W19" i="11"/>
  <c r="CE72" i="11"/>
  <c r="CE73" i="11" s="1"/>
  <c r="DI84" i="12"/>
  <c r="DH114" i="8"/>
  <c r="DH115" i="8" s="1"/>
  <c r="DH95" i="8" s="1"/>
  <c r="AA681" i="12"/>
  <c r="CE63" i="11"/>
  <c r="CE64" i="11" s="1"/>
  <c r="CH58" i="17"/>
  <c r="CL6" i="6"/>
  <c r="CL96" i="6"/>
  <c r="CK58" i="17"/>
  <c r="CK29" i="17"/>
  <c r="CK34" i="17"/>
  <c r="CL28" i="17"/>
  <c r="CL30" i="17"/>
  <c r="CK53" i="17"/>
  <c r="CK45" i="17"/>
  <c r="CO27" i="17"/>
  <c r="CH51" i="6"/>
  <c r="CK28" i="17"/>
  <c r="CK30" i="17"/>
  <c r="CK57" i="12"/>
  <c r="CL145" i="6"/>
  <c r="CL93" i="6"/>
  <c r="BX59" i="22"/>
  <c r="BX60" i="22" s="1"/>
  <c r="BX62" i="22" s="1"/>
  <c r="CE108" i="11"/>
  <c r="CR661" i="12"/>
  <c r="CH45" i="17"/>
  <c r="CH27" i="17"/>
  <c r="CH34" i="17"/>
  <c r="CH53" i="17"/>
  <c r="CE51" i="6"/>
  <c r="CH29" i="17"/>
  <c r="CL27" i="17"/>
  <c r="CH57" i="12"/>
  <c r="W389" i="12"/>
  <c r="W391" i="12" s="1"/>
  <c r="W386" i="12"/>
  <c r="DM391" i="12"/>
  <c r="DN396" i="12"/>
  <c r="DN398" i="12" s="1"/>
  <c r="DN419" i="12"/>
  <c r="DN421" i="12" s="1"/>
  <c r="W416" i="12"/>
  <c r="DJ426" i="12"/>
  <c r="DK391" i="12"/>
  <c r="DL396" i="12"/>
  <c r="DL398" i="12" s="1"/>
  <c r="DL419" i="12"/>
  <c r="DM426" i="12"/>
  <c r="DM427" i="12" s="1"/>
  <c r="DM396" i="12"/>
  <c r="DM398" i="12" s="1"/>
  <c r="DL391" i="12"/>
  <c r="DM419" i="12"/>
  <c r="DM421" i="12" s="1"/>
  <c r="DJ396" i="12"/>
  <c r="DJ419" i="12"/>
  <c r="DJ421" i="12" s="1"/>
  <c r="DJ391" i="12"/>
  <c r="DK419" i="12"/>
  <c r="DK421" i="12" s="1"/>
  <c r="DK396" i="12"/>
  <c r="DK398" i="12" s="1"/>
  <c r="W17" i="6"/>
  <c r="CD62" i="22"/>
  <c r="DH79" i="6"/>
  <c r="DH77" i="6"/>
  <c r="DH88" i="6"/>
  <c r="DG110" i="7"/>
  <c r="DG744" i="12"/>
  <c r="K95" i="12"/>
  <c r="K96" i="12"/>
  <c r="K94" i="12"/>
  <c r="CO537" i="12"/>
  <c r="CI34" i="16"/>
  <c r="CM34" i="16"/>
  <c r="CI47" i="17"/>
  <c r="CI48" i="17" s="1"/>
  <c r="CJ47" i="17"/>
  <c r="CJ48" i="17" s="1"/>
  <c r="CI59" i="17"/>
  <c r="CI60" i="17" s="1"/>
  <c r="P46" i="17"/>
  <c r="CI26" i="17"/>
  <c r="CI50" i="17" s="1"/>
  <c r="CC54" i="11"/>
  <c r="CC55" i="11" s="1"/>
  <c r="CC62" i="11"/>
  <c r="CC71" i="11" s="1"/>
  <c r="DD92" i="6"/>
  <c r="DD145" i="6" s="1"/>
  <c r="DD95" i="6"/>
  <c r="DD119" i="6"/>
  <c r="DD90" i="6"/>
  <c r="P56" i="17"/>
  <c r="Q57" i="17" s="1"/>
  <c r="CI57" i="17"/>
  <c r="CJ57" i="17"/>
  <c r="CC68" i="11"/>
  <c r="CV668" i="12"/>
  <c r="P62" i="12"/>
  <c r="P65" i="12"/>
  <c r="P63" i="12"/>
  <c r="P61" i="12"/>
  <c r="Q61" i="12"/>
  <c r="Q28" i="16"/>
  <c r="P53" i="11"/>
  <c r="P62" i="11" s="1"/>
  <c r="P71" i="11" s="1"/>
  <c r="P30" i="16"/>
  <c r="P31" i="16" s="1"/>
  <c r="CM109" i="8"/>
  <c r="CM115" i="8" s="1"/>
  <c r="CM95" i="8" s="1"/>
  <c r="CM97" i="8" s="1"/>
  <c r="CN545" i="12"/>
  <c r="CN547" i="12" s="1"/>
  <c r="CN696" i="12" s="1"/>
  <c r="CN697" i="12" s="1"/>
  <c r="CN698" i="12" s="1"/>
  <c r="CN702" i="12" s="1"/>
  <c r="CN703" i="12" s="1"/>
  <c r="CN704" i="12" s="1"/>
  <c r="CL108" i="7"/>
  <c r="DF73" i="11"/>
  <c r="CR127" i="13"/>
  <c r="CR130" i="13" s="1"/>
  <c r="CP607" i="12"/>
  <c r="CQ605" i="12" s="1"/>
  <c r="CS670" i="12"/>
  <c r="R670" i="12" s="1"/>
  <c r="R619" i="12"/>
  <c r="S617" i="12" s="1"/>
  <c r="S619" i="12" s="1"/>
  <c r="CT617" i="12"/>
  <c r="DN344" i="12"/>
  <c r="DN327" i="12"/>
  <c r="DN247" i="12"/>
  <c r="CO127" i="13"/>
  <c r="CO129" i="13" s="1"/>
  <c r="CH137" i="12"/>
  <c r="CL290" i="12"/>
  <c r="CH291" i="12"/>
  <c r="R672" i="12"/>
  <c r="O228" i="12"/>
  <c r="O117" i="12" s="1"/>
  <c r="CG117" i="12"/>
  <c r="L117" i="1"/>
  <c r="M117" i="1"/>
  <c r="R31" i="16"/>
  <c r="S31" i="16"/>
  <c r="R33" i="16"/>
  <c r="CZ95" i="6"/>
  <c r="CZ92" i="6"/>
  <c r="CZ90" i="6"/>
  <c r="CZ119" i="6"/>
  <c r="DD89" i="6"/>
  <c r="CW119" i="6"/>
  <c r="CW95" i="6"/>
  <c r="CW90" i="6"/>
  <c r="CW92" i="6"/>
  <c r="CN579" i="12"/>
  <c r="CN660" i="12" s="1"/>
  <c r="DB113" i="22"/>
  <c r="H17" i="5"/>
  <c r="H11" i="5"/>
  <c r="CO92" i="6"/>
  <c r="CO93" i="6" s="1"/>
  <c r="CO90" i="6"/>
  <c r="CO95" i="6"/>
  <c r="CO89" i="6"/>
  <c r="CO119" i="6"/>
  <c r="DJ44" i="6"/>
  <c r="DJ63" i="6"/>
  <c r="J8" i="37" s="1"/>
  <c r="DJ71" i="6"/>
  <c r="DJ75" i="6"/>
  <c r="DJ56" i="6"/>
  <c r="DJ50" i="6"/>
  <c r="DJ86" i="6"/>
  <c r="DJ36" i="6"/>
  <c r="J7" i="37" s="1"/>
  <c r="DJ69" i="6"/>
  <c r="DJ41" i="6"/>
  <c r="DJ13" i="6"/>
  <c r="P49" i="14"/>
  <c r="P45" i="14"/>
  <c r="P54" i="14"/>
  <c r="CS110" i="7"/>
  <c r="CP164" i="6"/>
  <c r="CP165" i="6" s="1"/>
  <c r="U8" i="22"/>
  <c r="CB232" i="12"/>
  <c r="CC254" i="12"/>
  <c r="BP116" i="22" s="1"/>
  <c r="N232" i="12"/>
  <c r="P109" i="1"/>
  <c r="O110" i="1"/>
  <c r="W38" i="16"/>
  <c r="R59" i="22"/>
  <c r="CT593" i="12"/>
  <c r="R595" i="12"/>
  <c r="S593" i="12" s="1"/>
  <c r="S595" i="12" s="1"/>
  <c r="O80" i="1"/>
  <c r="O87" i="1"/>
  <c r="CV121" i="13"/>
  <c r="CV122" i="13" s="1"/>
  <c r="CL130" i="13"/>
  <c r="CL129" i="13"/>
  <c r="CF6" i="6"/>
  <c r="CF96" i="6"/>
  <c r="P95" i="6"/>
  <c r="O54" i="11"/>
  <c r="O62" i="11"/>
  <c r="P106" i="1"/>
  <c r="P126" i="1"/>
  <c r="Q105" i="1"/>
  <c r="P108" i="1"/>
  <c r="I59" i="22"/>
  <c r="I60" i="22" s="1"/>
  <c r="I62" i="22" s="1"/>
  <c r="BM60" i="22"/>
  <c r="BM62" i="22" s="1"/>
  <c r="CD239" i="12"/>
  <c r="CD286" i="12"/>
  <c r="CC233" i="12"/>
  <c r="CV666" i="12"/>
  <c r="W62" i="11"/>
  <c r="W71" i="11" s="1"/>
  <c r="W72" i="11" s="1"/>
  <c r="W45" i="11"/>
  <c r="W46" i="11" s="1"/>
  <c r="N139" i="14"/>
  <c r="N140" i="14" s="1"/>
  <c r="O138" i="14"/>
  <c r="CS121" i="13"/>
  <c r="CS122" i="13" s="1"/>
  <c r="CQ638" i="12"/>
  <c r="V123" i="22"/>
  <c r="V124" i="22"/>
  <c r="CN79" i="6"/>
  <c r="CQ110" i="7" s="1"/>
  <c r="CQ117" i="7" s="1"/>
  <c r="CN77" i="6"/>
  <c r="CN88" i="6"/>
  <c r="W146" i="17"/>
  <c r="CT90" i="6"/>
  <c r="CT119" i="6"/>
  <c r="CT92" i="6"/>
  <c r="CT95" i="6"/>
  <c r="CT89" i="6"/>
  <c r="CG50" i="17"/>
  <c r="CG30" i="17"/>
  <c r="CG57" i="12"/>
  <c r="CG34" i="17"/>
  <c r="CG28" i="17"/>
  <c r="CD51" i="6"/>
  <c r="O51" i="6" s="1"/>
  <c r="O48" i="6" s="1"/>
  <c r="O26" i="17"/>
  <c r="O58" i="17" s="1"/>
  <c r="CG29" i="17"/>
  <c r="CG53" i="17"/>
  <c r="CH28" i="17"/>
  <c r="CG27" i="17"/>
  <c r="CG45" i="17"/>
  <c r="CH30" i="17"/>
  <c r="CK27" i="17"/>
  <c r="F117" i="35"/>
  <c r="F126" i="35"/>
  <c r="CS34" i="16"/>
  <c r="CW34" i="16"/>
  <c r="CL115" i="7"/>
  <c r="DC110" i="7"/>
  <c r="DC744" i="12"/>
  <c r="CN630" i="12"/>
  <c r="CM633" i="12"/>
  <c r="CH142" i="12"/>
  <c r="CL141" i="12"/>
  <c r="CO133" i="6"/>
  <c r="CR110" i="7"/>
  <c r="DA108" i="11"/>
  <c r="DA72" i="11"/>
  <c r="DA73" i="11" s="1"/>
  <c r="CT59" i="22"/>
  <c r="CT60" i="22" s="1"/>
  <c r="CT62" i="22" s="1"/>
  <c r="V71" i="11"/>
  <c r="DI58" i="6"/>
  <c r="DF64" i="11"/>
  <c r="DI57" i="6"/>
  <c r="DI64" i="6"/>
  <c r="I9" i="37" s="1"/>
  <c r="DI76" i="6"/>
  <c r="DL86" i="8"/>
  <c r="CS60" i="14"/>
  <c r="J59" i="14"/>
  <c r="CS61" i="14"/>
  <c r="CT59" i="14"/>
  <c r="CS71" i="14"/>
  <c r="DB105" i="13"/>
  <c r="CX107" i="13"/>
  <c r="CM71" i="11"/>
  <c r="CM63" i="11"/>
  <c r="CM64" i="11" s="1"/>
  <c r="R62" i="11"/>
  <c r="R63" i="11" s="1"/>
  <c r="DN87" i="12"/>
  <c r="DN89" i="12" s="1"/>
  <c r="DN92" i="12" s="1"/>
  <c r="DN67" i="12"/>
  <c r="DN66" i="12"/>
  <c r="DN81" i="12"/>
  <c r="DN79" i="12"/>
  <c r="DN80" i="12"/>
  <c r="DL92" i="12"/>
  <c r="J40" i="19"/>
  <c r="M105" i="22"/>
  <c r="BJ4" i="1"/>
  <c r="BN4" i="1"/>
  <c r="O197" i="7"/>
  <c r="P167" i="7"/>
  <c r="O163" i="7"/>
  <c r="O165" i="7" s="1"/>
  <c r="O172" i="7"/>
  <c r="CK6" i="6"/>
  <c r="CK96" i="6"/>
  <c r="CW611" i="12"/>
  <c r="CW668" i="12" s="1"/>
  <c r="BR3" i="22"/>
  <c r="BR4" i="22" s="1"/>
  <c r="CE6" i="12"/>
  <c r="CE6" i="14"/>
  <c r="CE7" i="8"/>
  <c r="CE6" i="15"/>
  <c r="CE6" i="7"/>
  <c r="CE6" i="16"/>
  <c r="CE6" i="13"/>
  <c r="CE6" i="17"/>
  <c r="CB7" i="6"/>
  <c r="BY7" i="11"/>
  <c r="DF110" i="7"/>
  <c r="DF744" i="12"/>
  <c r="CQ116" i="7"/>
  <c r="CZ59" i="22"/>
  <c r="CZ60" i="22" s="1"/>
  <c r="DG108" i="11"/>
  <c r="DC119" i="6"/>
  <c r="DC90" i="6"/>
  <c r="DC95" i="6"/>
  <c r="DC92" i="6"/>
  <c r="DG89" i="6"/>
  <c r="O130" i="13"/>
  <c r="O129" i="13"/>
  <c r="CZ107" i="13"/>
  <c r="CZ118" i="13" s="1"/>
  <c r="DD105" i="13"/>
  <c r="K35" i="19"/>
  <c r="K8" i="19"/>
  <c r="CL122" i="13"/>
  <c r="Q121" i="13"/>
  <c r="Q122" i="13" s="1"/>
  <c r="CS583" i="12"/>
  <c r="CS661" i="12" s="1"/>
  <c r="R581" i="12"/>
  <c r="W77" i="11"/>
  <c r="O127" i="1"/>
  <c r="O128" i="1"/>
  <c r="O129" i="1"/>
  <c r="DM89" i="12"/>
  <c r="DM111" i="8" s="1"/>
  <c r="DD35" i="22"/>
  <c r="CP675" i="12"/>
  <c r="BE4" i="1"/>
  <c r="BI4" i="1"/>
  <c r="DL95" i="7"/>
  <c r="DL94" i="7"/>
  <c r="CY77" i="22"/>
  <c r="CY61" i="22"/>
  <c r="CY62" i="22" s="1"/>
  <c r="DI60" i="6"/>
  <c r="DI61" i="6"/>
  <c r="DL20" i="17"/>
  <c r="DL88" i="7"/>
  <c r="CY103" i="22"/>
  <c r="CY104" i="22" s="1"/>
  <c r="DL92" i="7"/>
  <c r="BS60" i="22"/>
  <c r="BS62" i="22" s="1"/>
  <c r="CP121" i="13"/>
  <c r="CP127" i="13" s="1"/>
  <c r="R61" i="6"/>
  <c r="R20" i="17"/>
  <c r="R60" i="6"/>
  <c r="R88" i="7"/>
  <c r="M61" i="22"/>
  <c r="R94" i="7"/>
  <c r="R92" i="7"/>
  <c r="M103" i="22"/>
  <c r="M104" i="22" s="1"/>
  <c r="R95" i="7"/>
  <c r="M77" i="22"/>
  <c r="M92" i="22" s="1"/>
  <c r="C126" i="35"/>
  <c r="C117" i="35"/>
  <c r="CU669" i="12"/>
  <c r="W35" i="6"/>
  <c r="CT118" i="13"/>
  <c r="CP108" i="7"/>
  <c r="CR119" i="6"/>
  <c r="CR90" i="6"/>
  <c r="CR92" i="6"/>
  <c r="CR95" i="6"/>
  <c r="CK128" i="13"/>
  <c r="CK129" i="13"/>
  <c r="CK130" i="13"/>
  <c r="BT4" i="1"/>
  <c r="H40" i="20"/>
  <c r="K106" i="22"/>
  <c r="DN70" i="12"/>
  <c r="DN71" i="12"/>
  <c r="DN72" i="12"/>
  <c r="DK15" i="6"/>
  <c r="DK16" i="6"/>
  <c r="DK35" i="6"/>
  <c r="K6" i="37" s="1"/>
  <c r="K11" i="37" s="1"/>
  <c r="O57" i="17"/>
  <c r="L22" i="19"/>
  <c r="L28" i="19" s="1"/>
  <c r="K37" i="19"/>
  <c r="BJ117" i="1"/>
  <c r="BN117" i="1"/>
  <c r="X96" i="15"/>
  <c r="P130" i="14"/>
  <c r="DG19" i="11"/>
  <c r="BT59" i="22"/>
  <c r="BT60" i="22" s="1"/>
  <c r="BT62" i="22" s="1"/>
  <c r="CA72" i="11"/>
  <c r="CA73" i="11" s="1"/>
  <c r="CA108" i="11"/>
  <c r="CP90" i="6"/>
  <c r="CP89" i="6"/>
  <c r="CP95" i="6"/>
  <c r="CP119" i="6"/>
  <c r="CP92" i="6"/>
  <c r="BU99" i="15"/>
  <c r="BU101" i="15" s="1"/>
  <c r="BV100" i="15"/>
  <c r="BV99" i="15" s="1"/>
  <c r="R38" i="16"/>
  <c r="M59" i="22"/>
  <c r="M60" i="22" s="1"/>
  <c r="M62" i="22" s="1"/>
  <c r="S38" i="16"/>
  <c r="O173" i="1"/>
  <c r="O99" i="1"/>
  <c r="CW603" i="12"/>
  <c r="CW666" i="12" s="1"/>
  <c r="DA105" i="13"/>
  <c r="CW107" i="13"/>
  <c r="CW118" i="13" s="1"/>
  <c r="BS3" i="1"/>
  <c r="BS4" i="1" s="1"/>
  <c r="BS95" i="1"/>
  <c r="O6" i="6"/>
  <c r="P79" i="1"/>
  <c r="Q81" i="1"/>
  <c r="P170" i="1"/>
  <c r="BT102" i="15"/>
  <c r="BX102" i="15"/>
  <c r="BY105" i="22"/>
  <c r="BZ105" i="22" s="1"/>
  <c r="CA105" i="22" s="1"/>
  <c r="CB105" i="22" s="1"/>
  <c r="CI90" i="6"/>
  <c r="CI95" i="6"/>
  <c r="CI119" i="6"/>
  <c r="CI92" i="6"/>
  <c r="CI89" i="6"/>
  <c r="CB108" i="11"/>
  <c r="BU59" i="22"/>
  <c r="BU60" i="22" s="1"/>
  <c r="BU62" i="22" s="1"/>
  <c r="CB72" i="11"/>
  <c r="CB73" i="11" s="1"/>
  <c r="R79" i="6"/>
  <c r="R77" i="6"/>
  <c r="E100" i="35"/>
  <c r="E103" i="35" s="1"/>
  <c r="E106" i="35" s="1"/>
  <c r="E107" i="35" s="1"/>
  <c r="R122" i="6"/>
  <c r="R88" i="6"/>
  <c r="W71" i="7"/>
  <c r="W33" i="6"/>
  <c r="R76" i="22"/>
  <c r="R87" i="22" s="1"/>
  <c r="R51" i="22"/>
  <c r="R52" i="22" s="1"/>
  <c r="W70" i="7"/>
  <c r="W59" i="6"/>
  <c r="W110" i="17"/>
  <c r="W31" i="6"/>
  <c r="W19" i="17"/>
  <c r="W13" i="6"/>
  <c r="W47" i="6"/>
  <c r="BW89" i="6"/>
  <c r="CA89" i="6"/>
  <c r="BW95" i="6"/>
  <c r="BW145" i="6"/>
  <c r="BW92" i="6"/>
  <c r="BW90" i="6"/>
  <c r="BW119" i="6"/>
  <c r="W33" i="16"/>
  <c r="W34" i="16" s="1"/>
  <c r="W31" i="16"/>
  <c r="BQ117" i="1"/>
  <c r="BE117" i="1"/>
  <c r="BI117" i="1"/>
  <c r="R107" i="13"/>
  <c r="BL4" i="1"/>
  <c r="CZ110" i="7"/>
  <c r="CZ744" i="12"/>
  <c r="CV615" i="12"/>
  <c r="CW613" i="12" s="1"/>
  <c r="CP115" i="7"/>
  <c r="CU744" i="12"/>
  <c r="CU110" i="7"/>
  <c r="S60" i="6"/>
  <c r="I35" i="20"/>
  <c r="I8" i="20"/>
  <c r="DH59" i="11"/>
  <c r="DH68" i="11" s="1"/>
  <c r="DH18" i="11"/>
  <c r="BU407" i="21"/>
  <c r="BV406" i="21" s="1"/>
  <c r="CE60" i="8"/>
  <c r="CE61" i="8" s="1"/>
  <c r="CE63" i="8" s="1"/>
  <c r="BZ108" i="7"/>
  <c r="DM70" i="7"/>
  <c r="CZ51" i="22"/>
  <c r="CZ52" i="22" s="1"/>
  <c r="DJ32" i="6"/>
  <c r="CZ76" i="22"/>
  <c r="DJ33" i="6"/>
  <c r="DJ59" i="6"/>
  <c r="DJ31" i="6"/>
  <c r="DL71" i="7"/>
  <c r="DM19" i="17"/>
  <c r="DM143" i="17"/>
  <c r="DM146" i="17"/>
  <c r="DJ47" i="6"/>
  <c r="DJ55" i="6"/>
  <c r="CK145" i="6"/>
  <c r="CK93" i="6"/>
  <c r="DD69" i="22"/>
  <c r="DB100" i="15"/>
  <c r="DA99" i="15"/>
  <c r="DA101" i="15" s="1"/>
  <c r="DA102" i="15" s="1"/>
  <c r="DG68" i="11"/>
  <c r="DG72" i="11" s="1"/>
  <c r="DG63" i="11"/>
  <c r="CT625" i="12"/>
  <c r="R627" i="12"/>
  <c r="S625" i="12" s="1"/>
  <c r="S627" i="12" s="1"/>
  <c r="W163" i="6"/>
  <c r="CX323" i="12"/>
  <c r="CY322" i="12"/>
  <c r="CY312" i="12"/>
  <c r="CY106" i="12"/>
  <c r="CY221" i="12"/>
  <c r="CY222" i="12"/>
  <c r="CW342" i="12"/>
  <c r="S323" i="12"/>
  <c r="CX309" i="12"/>
  <c r="CX341" i="12"/>
  <c r="CX313" i="12"/>
  <c r="CZ322" i="12"/>
  <c r="CZ312" i="12"/>
  <c r="CZ106" i="12"/>
  <c r="CJ42" i="22"/>
  <c r="CW311" i="12"/>
  <c r="CW310" i="12"/>
  <c r="S341" i="12"/>
  <c r="S313" i="12"/>
  <c r="S336" i="12"/>
  <c r="S337" i="12" s="1"/>
  <c r="S316" i="12"/>
  <c r="S317" i="12" s="1"/>
  <c r="CY132" i="12"/>
  <c r="CY133" i="12" s="1"/>
  <c r="CY179" i="12"/>
  <c r="CY336" i="12" s="1"/>
  <c r="CY337" i="12" s="1"/>
  <c r="CY223" i="12"/>
  <c r="CY178" i="12"/>
  <c r="CZ218" i="12"/>
  <c r="CZ473" i="12"/>
  <c r="DA103" i="12"/>
  <c r="CZ131" i="12"/>
  <c r="CZ130" i="12"/>
  <c r="CZ176" i="12"/>
  <c r="CM37" i="22"/>
  <c r="CM38" i="22" s="1"/>
  <c r="CZ104" i="12"/>
  <c r="CX336" i="12"/>
  <c r="CX337" i="12" s="1"/>
  <c r="V49" i="22"/>
  <c r="AA17" i="11"/>
  <c r="AA18" i="6"/>
  <c r="AA27" i="7"/>
  <c r="AB27" i="7" s="1"/>
  <c r="AC27" i="7" s="1"/>
  <c r="T7" i="22"/>
  <c r="T9" i="22" s="1"/>
  <c r="T13" i="22" s="1"/>
  <c r="T22" i="22" s="1"/>
  <c r="DK109" i="11"/>
  <c r="X22" i="15"/>
  <c r="X24" i="15"/>
  <c r="X68" i="15"/>
  <c r="X64" i="15"/>
  <c r="S23" i="22" s="1"/>
  <c r="DI13" i="11"/>
  <c r="DI107" i="11" s="1"/>
  <c r="DB149" i="22"/>
  <c r="DB45" i="22"/>
  <c r="DB79" i="22"/>
  <c r="DD24" i="22"/>
  <c r="DD23" i="22" s="1"/>
  <c r="AA138" i="12" l="1"/>
  <c r="BZ98" i="15"/>
  <c r="BZ101" i="15" s="1"/>
  <c r="BM26" i="22"/>
  <c r="BZ118" i="15"/>
  <c r="BZ119" i="15" s="1"/>
  <c r="CA90" i="15"/>
  <c r="BZ113" i="15"/>
  <c r="BZ91" i="15"/>
  <c r="BZ112" i="15"/>
  <c r="BZ215" i="13"/>
  <c r="BZ257" i="13" s="1"/>
  <c r="BZ48" i="14"/>
  <c r="M98" i="15"/>
  <c r="M92" i="15"/>
  <c r="E139" i="14"/>
  <c r="M118" i="15"/>
  <c r="M91" i="15"/>
  <c r="E48" i="14"/>
  <c r="E45" i="14" s="1"/>
  <c r="M112" i="15"/>
  <c r="M215" i="13"/>
  <c r="M257" i="13" s="1"/>
  <c r="BY257" i="13"/>
  <c r="BM113" i="15"/>
  <c r="BS31" i="15"/>
  <c r="BP45" i="15"/>
  <c r="BP20" i="15"/>
  <c r="BN12" i="15"/>
  <c r="BN113" i="15"/>
  <c r="BQ43" i="15"/>
  <c r="BQ47" i="15"/>
  <c r="BQ46" i="15" s="1"/>
  <c r="BP48" i="15"/>
  <c r="BP30" i="15"/>
  <c r="BN19" i="15"/>
  <c r="BO18" i="15"/>
  <c r="BP18" i="15" s="1"/>
  <c r="BQ18" i="15" s="1"/>
  <c r="M124" i="35"/>
  <c r="DW48" i="7"/>
  <c r="DX48" i="7" s="1"/>
  <c r="DY48" i="7" s="1"/>
  <c r="DS303" i="12"/>
  <c r="DV302" i="12"/>
  <c r="CA571" i="12"/>
  <c r="Z334" i="12"/>
  <c r="Z321" i="12"/>
  <c r="Z328" i="12"/>
  <c r="Z303" i="12"/>
  <c r="T14" i="37"/>
  <c r="DY284" i="12"/>
  <c r="DU285" i="12"/>
  <c r="AF358" i="12"/>
  <c r="AE70" i="13"/>
  <c r="Y126" i="22"/>
  <c r="AB138" i="12"/>
  <c r="AC138" i="12"/>
  <c r="Y115" i="15"/>
  <c r="Y116" i="15" s="1"/>
  <c r="R29" i="14"/>
  <c r="DQ102" i="11"/>
  <c r="DQ103" i="11" s="1"/>
  <c r="DX101" i="13"/>
  <c r="DK72" i="22" s="1"/>
  <c r="DW103" i="13"/>
  <c r="DW104" i="13"/>
  <c r="DP103" i="11"/>
  <c r="L124" i="35"/>
  <c r="AB84" i="6"/>
  <c r="AA75" i="8"/>
  <c r="AI84" i="6"/>
  <c r="AA85" i="6"/>
  <c r="AB67" i="6"/>
  <c r="AA162" i="6"/>
  <c r="AA202" i="7" s="1"/>
  <c r="AA74" i="8"/>
  <c r="AA89" i="8"/>
  <c r="Q37" i="14"/>
  <c r="Q32" i="14" s="1"/>
  <c r="DR345" i="12"/>
  <c r="Z344" i="12"/>
  <c r="Z307" i="12"/>
  <c r="Z308" i="12"/>
  <c r="Z340" i="12"/>
  <c r="DY305" i="12"/>
  <c r="Z89" i="12"/>
  <c r="DX102" i="7"/>
  <c r="DY656" i="12"/>
  <c r="DY102" i="7" s="1"/>
  <c r="AB102" i="7"/>
  <c r="AC656" i="12"/>
  <c r="AE739" i="12"/>
  <c r="AD738" i="12"/>
  <c r="AB740" i="12"/>
  <c r="AB742" i="12" s="1"/>
  <c r="AB743" i="12" s="1"/>
  <c r="AC741" i="12"/>
  <c r="DU115" i="6"/>
  <c r="AA115" i="6" s="1"/>
  <c r="E25" i="5" s="1"/>
  <c r="DT116" i="6"/>
  <c r="DT117" i="6"/>
  <c r="DU104" i="6"/>
  <c r="DU110" i="6" s="1"/>
  <c r="DX99" i="8"/>
  <c r="DX100" i="8" s="1"/>
  <c r="DX768" i="12"/>
  <c r="DX745" i="12"/>
  <c r="DX758" i="12"/>
  <c r="DV111" i="6"/>
  <c r="DV103" i="6" s="1"/>
  <c r="Z103" i="6" s="1"/>
  <c r="DW24" i="8"/>
  <c r="DX26" i="7"/>
  <c r="DY26" i="7" s="1"/>
  <c r="DY60" i="7"/>
  <c r="DX101" i="7"/>
  <c r="Y14" i="15"/>
  <c r="Y16" i="15" s="1"/>
  <c r="DW29" i="14"/>
  <c r="DW14" i="14"/>
  <c r="DJ29" i="22" s="1"/>
  <c r="CH7" i="6"/>
  <c r="CK7" i="7" s="1"/>
  <c r="Q79" i="6"/>
  <c r="Q110" i="7" s="1"/>
  <c r="Q117" i="7" s="1"/>
  <c r="Q88" i="6"/>
  <c r="Q92" i="6" s="1"/>
  <c r="X141" i="17"/>
  <c r="S69" i="22" s="1"/>
  <c r="Q77" i="6"/>
  <c r="BX3" i="22"/>
  <c r="BX4" i="22" s="1"/>
  <c r="AG59" i="13"/>
  <c r="AB123" i="22" s="1"/>
  <c r="AA123" i="22"/>
  <c r="AD72" i="13"/>
  <c r="X127" i="22"/>
  <c r="DP340" i="12"/>
  <c r="DT340" i="12"/>
  <c r="CW744" i="12"/>
  <c r="CW745" i="12" s="1"/>
  <c r="S88" i="6"/>
  <c r="S92" i="6" s="1"/>
  <c r="DA745" i="12"/>
  <c r="DA768" i="12"/>
  <c r="AI103" i="6"/>
  <c r="CK6" i="12"/>
  <c r="CK6" i="13"/>
  <c r="CE7" i="11"/>
  <c r="CK6" i="14"/>
  <c r="CK6" i="17"/>
  <c r="CK6" i="16"/>
  <c r="CK7" i="8"/>
  <c r="CK6" i="15"/>
  <c r="BU33" i="22"/>
  <c r="CH142" i="14"/>
  <c r="BV34" i="22"/>
  <c r="CJ88" i="14"/>
  <c r="CI91" i="14"/>
  <c r="BV33" i="22" s="1"/>
  <c r="CI90" i="14"/>
  <c r="CH145" i="14"/>
  <c r="CH146" i="14" s="1"/>
  <c r="DT79" i="12"/>
  <c r="AD54" i="7"/>
  <c r="AC53" i="8"/>
  <c r="AC31" i="8"/>
  <c r="AC80" i="7"/>
  <c r="AD41" i="7"/>
  <c r="AB54" i="8"/>
  <c r="AC58" i="7"/>
  <c r="AC30" i="7"/>
  <c r="AD27" i="7"/>
  <c r="AC113" i="7"/>
  <c r="AE15" i="7"/>
  <c r="AE42" i="8" s="1"/>
  <c r="AE563" i="12"/>
  <c r="AD566" i="12"/>
  <c r="AB103" i="6"/>
  <c r="AC111" i="6"/>
  <c r="AC110" i="6"/>
  <c r="AD109" i="6"/>
  <c r="AD18" i="6"/>
  <c r="AD19" i="6" s="1"/>
  <c r="AD17" i="11"/>
  <c r="AC19" i="6"/>
  <c r="AE289" i="12"/>
  <c r="AD137" i="12"/>
  <c r="AD138" i="12" s="1"/>
  <c r="R64" i="11"/>
  <c r="S79" i="6"/>
  <c r="S744" i="12" s="1"/>
  <c r="R109" i="7"/>
  <c r="R116" i="7" s="1"/>
  <c r="AG358" i="12"/>
  <c r="AF58" i="12"/>
  <c r="Y23" i="20"/>
  <c r="AB19" i="6"/>
  <c r="V8" i="22"/>
  <c r="CX89" i="6"/>
  <c r="CX95" i="6"/>
  <c r="CX98" i="6" s="1"/>
  <c r="CX90" i="6"/>
  <c r="CX92" i="6"/>
  <c r="CX145" i="6" s="1"/>
  <c r="S77" i="6"/>
  <c r="S122" i="6"/>
  <c r="S123" i="6" s="1"/>
  <c r="AA679" i="12"/>
  <c r="AB681" i="12"/>
  <c r="AA203" i="7"/>
  <c r="AB657" i="12"/>
  <c r="AB30" i="7"/>
  <c r="AB113" i="7"/>
  <c r="AB31" i="8"/>
  <c r="AB80" i="7"/>
  <c r="AA51" i="8"/>
  <c r="AB38" i="7"/>
  <c r="AB65" i="7"/>
  <c r="AB53" i="8"/>
  <c r="U57" i="6"/>
  <c r="U58" i="6"/>
  <c r="Q75" i="14"/>
  <c r="Q36" i="14"/>
  <c r="Q17" i="14" s="1"/>
  <c r="Q50" i="14"/>
  <c r="Q55" i="14" s="1"/>
  <c r="Q16" i="14"/>
  <c r="G143" i="14"/>
  <c r="G145" i="14"/>
  <c r="T29" i="22"/>
  <c r="L281" i="13"/>
  <c r="L286" i="13"/>
  <c r="BV287" i="13"/>
  <c r="BO4" i="22"/>
  <c r="BS4" i="22"/>
  <c r="L241" i="13"/>
  <c r="L243" i="13"/>
  <c r="CB7" i="15"/>
  <c r="CB7" i="7"/>
  <c r="CB7" i="14"/>
  <c r="CB8" i="8"/>
  <c r="CB7" i="13"/>
  <c r="CB7" i="16"/>
  <c r="BV8" i="11"/>
  <c r="CB7" i="12"/>
  <c r="CB7" i="17"/>
  <c r="CF7" i="16"/>
  <c r="CF7" i="15"/>
  <c r="CF7" i="7"/>
  <c r="BZ8" i="11"/>
  <c r="CF8" i="8"/>
  <c r="CF7" i="17"/>
  <c r="CF7" i="14"/>
  <c r="CF7" i="12"/>
  <c r="CF7" i="13"/>
  <c r="BS255" i="13"/>
  <c r="L255" i="13" s="1"/>
  <c r="DR32" i="12"/>
  <c r="DR54" i="12"/>
  <c r="DR62" i="12"/>
  <c r="DR78" i="12"/>
  <c r="DR49" i="12"/>
  <c r="DR43" i="12"/>
  <c r="DR69" i="12"/>
  <c r="DV70" i="12" s="1"/>
  <c r="DR65" i="12"/>
  <c r="DV66" i="12" s="1"/>
  <c r="DR40" i="12"/>
  <c r="DR308" i="12"/>
  <c r="DR307" i="12"/>
  <c r="DR321" i="12"/>
  <c r="DR339" i="12"/>
  <c r="DR303" i="12"/>
  <c r="DR302" i="12"/>
  <c r="DR328" i="12"/>
  <c r="DR334" i="12"/>
  <c r="DR283" i="12"/>
  <c r="DR282" i="12"/>
  <c r="M289" i="13"/>
  <c r="M292" i="13" s="1"/>
  <c r="M294" i="13" s="1"/>
  <c r="AD24" i="37"/>
  <c r="G5" i="37"/>
  <c r="DE35" i="22"/>
  <c r="L99" i="15"/>
  <c r="DP285" i="12"/>
  <c r="DP87" i="12"/>
  <c r="DP89" i="12" s="1"/>
  <c r="DP92" i="12" s="1"/>
  <c r="DP67" i="12"/>
  <c r="DP66" i="12"/>
  <c r="O20" i="15"/>
  <c r="O45" i="15"/>
  <c r="BZ245" i="13"/>
  <c r="BO15" i="22"/>
  <c r="CB20" i="15"/>
  <c r="CB18" i="15" s="1"/>
  <c r="DN345" i="12"/>
  <c r="Y344" i="12"/>
  <c r="DO94" i="12"/>
  <c r="DO95" i="12"/>
  <c r="DO96" i="12"/>
  <c r="BY245" i="13"/>
  <c r="M243" i="13"/>
  <c r="M242" i="13" s="1"/>
  <c r="DP72" i="12"/>
  <c r="DP71" i="12"/>
  <c r="DP70" i="12"/>
  <c r="DJ59" i="11"/>
  <c r="DJ18" i="11"/>
  <c r="BN8" i="22"/>
  <c r="BN9" i="22" s="1"/>
  <c r="BN13" i="22" s="1"/>
  <c r="DQ321" i="12"/>
  <c r="DQ339" i="12"/>
  <c r="DQ302" i="12"/>
  <c r="DQ303" i="12"/>
  <c r="DQ328" i="12"/>
  <c r="DQ334" i="12"/>
  <c r="CA281" i="13"/>
  <c r="CA286" i="13" s="1"/>
  <c r="BZ280" i="13"/>
  <c r="BZ281" i="13"/>
  <c r="Q44" i="15"/>
  <c r="Q43" i="15" s="1"/>
  <c r="P43" i="15"/>
  <c r="DQ308" i="12"/>
  <c r="DQ307" i="12"/>
  <c r="CC47" i="15"/>
  <c r="CC43" i="15"/>
  <c r="CD44" i="15"/>
  <c r="DQ283" i="12"/>
  <c r="DQ282" i="12"/>
  <c r="BN16" i="22"/>
  <c r="BN17" i="22" s="1"/>
  <c r="BN19" i="22" s="1"/>
  <c r="CA48" i="15"/>
  <c r="CA45" i="15" s="1"/>
  <c r="CA30" i="15"/>
  <c r="Y24" i="12"/>
  <c r="M31" i="15"/>
  <c r="M254" i="13"/>
  <c r="BZ254" i="13"/>
  <c r="BZ255" i="13" s="1"/>
  <c r="BZ31" i="15"/>
  <c r="BM22" i="22"/>
  <c r="BM23" i="22" s="1"/>
  <c r="CB46" i="15"/>
  <c r="CB279" i="13" s="1"/>
  <c r="CA248" i="13"/>
  <c r="CA246" i="13"/>
  <c r="DP81" i="12"/>
  <c r="DP80" i="12"/>
  <c r="DP79" i="12"/>
  <c r="DQ62" i="12"/>
  <c r="DN14" i="6"/>
  <c r="DR15" i="6" s="1"/>
  <c r="DQ43" i="12"/>
  <c r="DQ65" i="12"/>
  <c r="DU66" i="12" s="1"/>
  <c r="DQ49" i="12"/>
  <c r="DQ40" i="12"/>
  <c r="DQ32" i="12"/>
  <c r="DQ54" i="12"/>
  <c r="DQ78" i="12"/>
  <c r="N17" i="37" s="1"/>
  <c r="N18" i="37" s="1"/>
  <c r="DQ69" i="12"/>
  <c r="DU70" i="12" s="1"/>
  <c r="CB248" i="13"/>
  <c r="CB246" i="13"/>
  <c r="P47" i="15"/>
  <c r="O46" i="15"/>
  <c r="O48" i="15" s="1"/>
  <c r="DC310" i="21"/>
  <c r="DB311" i="21"/>
  <c r="DB301" i="21" s="1"/>
  <c r="CB240" i="13"/>
  <c r="DM92" i="7"/>
  <c r="Y52" i="8"/>
  <c r="Y57" i="8" s="1"/>
  <c r="AA53" i="8"/>
  <c r="AA65" i="7"/>
  <c r="DH744" i="12"/>
  <c r="DH110" i="7"/>
  <c r="AA31" i="8"/>
  <c r="AA80" i="7"/>
  <c r="U109" i="7"/>
  <c r="U116" i="7" s="1"/>
  <c r="DE92" i="6"/>
  <c r="DE145" i="6" s="1"/>
  <c r="DE119" i="6"/>
  <c r="DE90" i="6"/>
  <c r="DE95" i="6"/>
  <c r="Y70" i="15"/>
  <c r="Y69" i="15"/>
  <c r="BA537" i="12"/>
  <c r="BA94" i="12"/>
  <c r="BA95" i="12"/>
  <c r="BA96" i="12"/>
  <c r="CU531" i="12"/>
  <c r="U696" i="12"/>
  <c r="U697" i="12" s="1"/>
  <c r="U698" i="12" s="1"/>
  <c r="U702" i="12" s="1"/>
  <c r="U703" i="12" s="1"/>
  <c r="U704" i="12" s="1"/>
  <c r="DF35" i="22"/>
  <c r="BT4" i="22"/>
  <c r="CC7" i="17"/>
  <c r="CC7" i="14"/>
  <c r="CC7" i="15"/>
  <c r="CC8" i="8"/>
  <c r="CC7" i="12"/>
  <c r="BW8" i="11"/>
  <c r="CC7" i="16"/>
  <c r="CC7" i="7"/>
  <c r="CC7" i="13"/>
  <c r="Y118" i="6"/>
  <c r="Y120" i="6"/>
  <c r="L115" i="35"/>
  <c r="DI60" i="17"/>
  <c r="AB115" i="6"/>
  <c r="DU78" i="8"/>
  <c r="V50" i="17"/>
  <c r="V58" i="17"/>
  <c r="V27" i="17"/>
  <c r="V29" i="17"/>
  <c r="V30" i="17"/>
  <c r="V57" i="12"/>
  <c r="V45" i="17"/>
  <c r="DJ41" i="17"/>
  <c r="DJ42" i="17"/>
  <c r="DJ43" i="17" s="1"/>
  <c r="DJ26" i="17"/>
  <c r="DJ59" i="17"/>
  <c r="DJ18" i="8"/>
  <c r="DJ17" i="8" s="1"/>
  <c r="DJ14" i="17"/>
  <c r="DH36" i="17"/>
  <c r="DH35" i="17"/>
  <c r="V18" i="8"/>
  <c r="DK13" i="17"/>
  <c r="DK94" i="13"/>
  <c r="DK40" i="17" s="1"/>
  <c r="DL31" i="17"/>
  <c r="DK32" i="17"/>
  <c r="DH52" i="6"/>
  <c r="DK109" i="7" s="1"/>
  <c r="DK116" i="7" s="1"/>
  <c r="DH76" i="8"/>
  <c r="DH79" i="8" s="1"/>
  <c r="DH35" i="8"/>
  <c r="DI45" i="17"/>
  <c r="DI53" i="17"/>
  <c r="DF51" i="6"/>
  <c r="V51" i="6" s="1"/>
  <c r="V48" i="6" s="1"/>
  <c r="DI50" i="17"/>
  <c r="DI28" i="17"/>
  <c r="DI30" i="17"/>
  <c r="DI29" i="17"/>
  <c r="DI57" i="12"/>
  <c r="DI58" i="17"/>
  <c r="DI27" i="17"/>
  <c r="DI34" i="17"/>
  <c r="V34" i="17" s="1"/>
  <c r="V17" i="8"/>
  <c r="DI35" i="8"/>
  <c r="DI76" i="8"/>
  <c r="DI79" i="8" s="1"/>
  <c r="Y689" i="12"/>
  <c r="Y27" i="16"/>
  <c r="DN109" i="11"/>
  <c r="R97" i="8"/>
  <c r="R102" i="8" s="1"/>
  <c r="CM89" i="6"/>
  <c r="S73" i="11"/>
  <c r="T73" i="11"/>
  <c r="DB95" i="6"/>
  <c r="DB92" i="6"/>
  <c r="DB119" i="6"/>
  <c r="DB89" i="6"/>
  <c r="DB90" i="6"/>
  <c r="DE110" i="7"/>
  <c r="DE744" i="12"/>
  <c r="CM119" i="6"/>
  <c r="CM90" i="6"/>
  <c r="CM92" i="6"/>
  <c r="CM93" i="6" s="1"/>
  <c r="S97" i="8"/>
  <c r="S102" i="8" s="1"/>
  <c r="CW89" i="6"/>
  <c r="CQ89" i="6"/>
  <c r="CH7" i="16"/>
  <c r="CH8" i="8"/>
  <c r="CH7" i="15"/>
  <c r="CH7" i="14"/>
  <c r="CH7" i="12"/>
  <c r="CH7" i="7"/>
  <c r="CB8" i="11"/>
  <c r="CH7" i="13"/>
  <c r="CH7" i="17"/>
  <c r="U97" i="8"/>
  <c r="U102" i="8" s="1"/>
  <c r="CI43" i="14"/>
  <c r="CJ41" i="14"/>
  <c r="CI44" i="14"/>
  <c r="BV31" i="22"/>
  <c r="BU30" i="22"/>
  <c r="CH93" i="14"/>
  <c r="CG94" i="14"/>
  <c r="CG95" i="14"/>
  <c r="Q73" i="11"/>
  <c r="CG7" i="15"/>
  <c r="CG7" i="13"/>
  <c r="CG7" i="17"/>
  <c r="CG7" i="12"/>
  <c r="CA8" i="11"/>
  <c r="CG7" i="7"/>
  <c r="CG7" i="16"/>
  <c r="CG7" i="14"/>
  <c r="CG8" i="8"/>
  <c r="CA81" i="15"/>
  <c r="CA82" i="15"/>
  <c r="CB80" i="15"/>
  <c r="CB85" i="15"/>
  <c r="CC84" i="15"/>
  <c r="CR129" i="13"/>
  <c r="W63" i="11"/>
  <c r="X53" i="13"/>
  <c r="CV89" i="6"/>
  <c r="P57" i="17"/>
  <c r="CV744" i="12"/>
  <c r="CV110" i="7"/>
  <c r="DD110" i="7"/>
  <c r="DD744" i="12"/>
  <c r="DB110" i="7"/>
  <c r="DB744" i="12"/>
  <c r="P64" i="6"/>
  <c r="P161" i="6"/>
  <c r="P86" i="8"/>
  <c r="R338" i="13"/>
  <c r="R340" i="13" s="1"/>
  <c r="CS342" i="13"/>
  <c r="CY92" i="6"/>
  <c r="CY145" i="6" s="1"/>
  <c r="CY90" i="6"/>
  <c r="CY119" i="6"/>
  <c r="CY95" i="6"/>
  <c r="CJ89" i="6"/>
  <c r="CJ90" i="6"/>
  <c r="CJ95" i="6"/>
  <c r="Q95" i="6" s="1"/>
  <c r="CJ92" i="6"/>
  <c r="CJ119" i="6"/>
  <c r="CT744" i="12"/>
  <c r="CT110" i="7"/>
  <c r="CS95" i="6"/>
  <c r="CS119" i="6"/>
  <c r="CS92" i="6"/>
  <c r="CS145" i="6" s="1"/>
  <c r="CS90" i="6"/>
  <c r="DE89" i="6"/>
  <c r="DA95" i="6"/>
  <c r="DA92" i="6"/>
  <c r="DA93" i="6" s="1"/>
  <c r="DA90" i="6"/>
  <c r="DA119" i="6"/>
  <c r="CQ92" i="6"/>
  <c r="CQ145" i="6" s="1"/>
  <c r="CQ90" i="6"/>
  <c r="CQ95" i="6"/>
  <c r="CQ119" i="6"/>
  <c r="CM108" i="7"/>
  <c r="CA216" i="13"/>
  <c r="BZ225" i="13"/>
  <c r="BZ258" i="13"/>
  <c r="BZ223" i="13"/>
  <c r="BZ217" i="13"/>
  <c r="BV273" i="13"/>
  <c r="CY110" i="7"/>
  <c r="CY744" i="12"/>
  <c r="BY220" i="13"/>
  <c r="M220" i="13" s="1"/>
  <c r="M217" i="13"/>
  <c r="BX221" i="13"/>
  <c r="BX230" i="13"/>
  <c r="M258" i="13"/>
  <c r="M259" i="13" s="1"/>
  <c r="BY259" i="13"/>
  <c r="CV119" i="6"/>
  <c r="CV95" i="6"/>
  <c r="CV92" i="6"/>
  <c r="CV145" i="6" s="1"/>
  <c r="CV90" i="6"/>
  <c r="BV235" i="13"/>
  <c r="BX263" i="13"/>
  <c r="BX270" i="13"/>
  <c r="BX273" i="13" s="1"/>
  <c r="BX275" i="13" s="1"/>
  <c r="DB148" i="22"/>
  <c r="P128" i="13"/>
  <c r="P129" i="13"/>
  <c r="CQ128" i="13"/>
  <c r="S58" i="6"/>
  <c r="S57" i="6"/>
  <c r="S109" i="7"/>
  <c r="S116" i="7" s="1"/>
  <c r="S64" i="11"/>
  <c r="T57" i="6"/>
  <c r="R177" i="7"/>
  <c r="R181" i="7" s="1"/>
  <c r="Q164" i="7"/>
  <c r="Q182" i="7"/>
  <c r="Q195" i="7"/>
  <c r="X23" i="15"/>
  <c r="AA34" i="37"/>
  <c r="N77" i="6"/>
  <c r="CQ130" i="13"/>
  <c r="CI58" i="17"/>
  <c r="N79" i="6"/>
  <c r="N110" i="7" s="1"/>
  <c r="N117" i="7" s="1"/>
  <c r="N115" i="7" s="1"/>
  <c r="DD125" i="22"/>
  <c r="X69" i="13"/>
  <c r="Y70" i="13" s="1"/>
  <c r="CU127" i="13"/>
  <c r="CY121" i="13"/>
  <c r="CY122" i="13" s="1"/>
  <c r="DC107" i="13"/>
  <c r="DC118" i="13" s="1"/>
  <c r="DG105" i="13"/>
  <c r="N130" i="13"/>
  <c r="N129" i="13"/>
  <c r="V426" i="12"/>
  <c r="V427" i="12" s="1"/>
  <c r="V421" i="12"/>
  <c r="DI398" i="12"/>
  <c r="V398" i="12" s="1"/>
  <c r="V394" i="12" s="1"/>
  <c r="CC63" i="11"/>
  <c r="CC64" i="11" s="1"/>
  <c r="CF111" i="12"/>
  <c r="CG111" i="12"/>
  <c r="CJ108" i="12"/>
  <c r="CF227" i="12"/>
  <c r="CF108" i="12"/>
  <c r="DI421" i="12"/>
  <c r="CC354" i="12"/>
  <c r="CC352" i="12"/>
  <c r="CC350" i="12"/>
  <c r="CD349" i="12"/>
  <c r="N349" i="12"/>
  <c r="N61" i="12"/>
  <c r="O61" i="12"/>
  <c r="N62" i="12"/>
  <c r="N65" i="12"/>
  <c r="N63" i="12"/>
  <c r="CR647" i="12"/>
  <c r="R15" i="17"/>
  <c r="Q60" i="17"/>
  <c r="T96" i="12"/>
  <c r="T94" i="12"/>
  <c r="T95" i="12"/>
  <c r="U93" i="12"/>
  <c r="T93" i="12"/>
  <c r="M93" i="12"/>
  <c r="L96" i="12"/>
  <c r="L94" i="12"/>
  <c r="L95" i="12"/>
  <c r="N166" i="12"/>
  <c r="N309" i="12"/>
  <c r="N102" i="12"/>
  <c r="CR128" i="13"/>
  <c r="DF92" i="6"/>
  <c r="DF119" i="6"/>
  <c r="DF95" i="6"/>
  <c r="DF89" i="6"/>
  <c r="DF90" i="6"/>
  <c r="T124" i="6"/>
  <c r="T95" i="8"/>
  <c r="T126" i="8"/>
  <c r="T120" i="8" s="1"/>
  <c r="T122" i="8" s="1"/>
  <c r="T124" i="8" s="1"/>
  <c r="U15" i="17"/>
  <c r="U60" i="17"/>
  <c r="S60" i="17"/>
  <c r="S15" i="17"/>
  <c r="CX744" i="12"/>
  <c r="CX110" i="7"/>
  <c r="DI110" i="7"/>
  <c r="DI744" i="12"/>
  <c r="CJ35" i="17"/>
  <c r="CN35" i="17"/>
  <c r="Q64" i="11"/>
  <c r="Q58" i="6"/>
  <c r="R57" i="6"/>
  <c r="Q109" i="7"/>
  <c r="Q116" i="7" s="1"/>
  <c r="CU95" i="6"/>
  <c r="CY89" i="6"/>
  <c r="CU90" i="6"/>
  <c r="CU92" i="6"/>
  <c r="CU119" i="6"/>
  <c r="CU89" i="6"/>
  <c r="O92" i="12"/>
  <c r="O90" i="12"/>
  <c r="N72" i="11"/>
  <c r="N77" i="11"/>
  <c r="O101" i="12"/>
  <c r="O100" i="12"/>
  <c r="P101" i="12"/>
  <c r="P100" i="12"/>
  <c r="CJ6" i="16"/>
  <c r="CJ6" i="15"/>
  <c r="CJ6" i="12"/>
  <c r="CJ6" i="17"/>
  <c r="CD7" i="11"/>
  <c r="CJ6" i="14"/>
  <c r="CG7" i="6"/>
  <c r="CJ6" i="7"/>
  <c r="CJ7" i="8"/>
  <c r="CJ6" i="13"/>
  <c r="BW3" i="22"/>
  <c r="BW4" i="22" s="1"/>
  <c r="CQ665" i="12"/>
  <c r="DJ117" i="7"/>
  <c r="DJ115" i="7" s="1"/>
  <c r="DJ108" i="7"/>
  <c r="DJ768" i="12"/>
  <c r="DJ745" i="12"/>
  <c r="DJ758" i="12"/>
  <c r="CU662" i="12"/>
  <c r="DG98" i="6"/>
  <c r="DG6" i="6"/>
  <c r="CO130" i="13"/>
  <c r="R661" i="12"/>
  <c r="CQ115" i="7"/>
  <c r="CT663" i="12"/>
  <c r="CR599" i="12"/>
  <c r="CS597" i="12" s="1"/>
  <c r="Q676" i="12"/>
  <c r="Q678" i="12" s="1"/>
  <c r="CV587" i="12"/>
  <c r="CW585" i="12" s="1"/>
  <c r="CW587" i="12" s="1"/>
  <c r="CW662" i="12" s="1"/>
  <c r="CP642" i="12"/>
  <c r="Q644" i="12"/>
  <c r="CO652" i="12"/>
  <c r="CQ108" i="7"/>
  <c r="CU663" i="12"/>
  <c r="DJ84" i="12"/>
  <c r="DI114" i="8"/>
  <c r="DI115" i="8" s="1"/>
  <c r="DI95" i="8" s="1"/>
  <c r="V84" i="12"/>
  <c r="U204" i="7"/>
  <c r="U205" i="7" s="1"/>
  <c r="U206" i="7" s="1"/>
  <c r="U165" i="6"/>
  <c r="U166" i="6" s="1"/>
  <c r="CL35" i="17"/>
  <c r="CH35" i="17"/>
  <c r="CO6" i="14"/>
  <c r="CO6" i="13"/>
  <c r="CO6" i="7"/>
  <c r="CB3" i="22"/>
  <c r="CO6" i="15"/>
  <c r="CO6" i="17"/>
  <c r="CO6" i="16"/>
  <c r="CI7" i="11"/>
  <c r="CO7" i="8"/>
  <c r="CO6" i="12"/>
  <c r="CL36" i="17"/>
  <c r="CO35" i="17"/>
  <c r="CK36" i="17"/>
  <c r="CC72" i="11"/>
  <c r="CC73" i="11" s="1"/>
  <c r="W419" i="12"/>
  <c r="W421" i="12" s="1"/>
  <c r="DL421" i="12"/>
  <c r="W426" i="12"/>
  <c r="W396" i="12"/>
  <c r="CV591" i="12"/>
  <c r="CW589" i="12" s="1"/>
  <c r="P33" i="16"/>
  <c r="Q31" i="16"/>
  <c r="BV59" i="22"/>
  <c r="BV60" i="22" s="1"/>
  <c r="BV62" i="22" s="1"/>
  <c r="CC108" i="11"/>
  <c r="P55" i="12"/>
  <c r="P59" i="17"/>
  <c r="P47" i="17"/>
  <c r="P48" i="17" s="1"/>
  <c r="Q47" i="17"/>
  <c r="Q48" i="17" s="1"/>
  <c r="DG758" i="12"/>
  <c r="DG768" i="12"/>
  <c r="DG745" i="12"/>
  <c r="DK744" i="12"/>
  <c r="DK110" i="7"/>
  <c r="DG117" i="7"/>
  <c r="DG115" i="7" s="1"/>
  <c r="DG108" i="7"/>
  <c r="CN109" i="8"/>
  <c r="CN115" i="8" s="1"/>
  <c r="CN95" i="8" s="1"/>
  <c r="CN97" i="8" s="1"/>
  <c r="CO545" i="12"/>
  <c r="CO547" i="12" s="1"/>
  <c r="CO696" i="12" s="1"/>
  <c r="CO697" i="12" s="1"/>
  <c r="CO698" i="12" s="1"/>
  <c r="CO702" i="12" s="1"/>
  <c r="CO703" i="12" s="1"/>
  <c r="CO704" i="12" s="1"/>
  <c r="Q537" i="12"/>
  <c r="DH90" i="6"/>
  <c r="DH95" i="6"/>
  <c r="DH89" i="6"/>
  <c r="DH119" i="6"/>
  <c r="DH92" i="6"/>
  <c r="P54" i="11"/>
  <c r="P66" i="12"/>
  <c r="P87" i="12"/>
  <c r="P59" i="11"/>
  <c r="P63" i="11" s="1"/>
  <c r="Q66" i="12"/>
  <c r="P67" i="12"/>
  <c r="DD98" i="6"/>
  <c r="DD6" i="6"/>
  <c r="CJ30" i="17"/>
  <c r="CJ28" i="17"/>
  <c r="CI30" i="17"/>
  <c r="CI53" i="17"/>
  <c r="CI28" i="17"/>
  <c r="CI29" i="17"/>
  <c r="CI45" i="17"/>
  <c r="CF51" i="6"/>
  <c r="P51" i="6" s="1"/>
  <c r="P48" i="6" s="1"/>
  <c r="P49" i="6" s="1"/>
  <c r="CI27" i="17"/>
  <c r="CI34" i="17"/>
  <c r="CM27" i="17"/>
  <c r="CI57" i="12"/>
  <c r="Q127" i="13"/>
  <c r="Q130" i="13" s="1"/>
  <c r="DN282" i="12"/>
  <c r="DN283" i="12"/>
  <c r="CT619" i="12"/>
  <c r="CU617" i="12" s="1"/>
  <c r="CQ607" i="12"/>
  <c r="CR605" i="12" s="1"/>
  <c r="CV127" i="13"/>
  <c r="CV128" i="13" s="1"/>
  <c r="CP667" i="12"/>
  <c r="DM92" i="12"/>
  <c r="J59" i="22"/>
  <c r="J60" i="22" s="1"/>
  <c r="J62" i="22" s="1"/>
  <c r="CI145" i="6"/>
  <c r="CI93" i="6"/>
  <c r="P80" i="1"/>
  <c r="P87" i="1"/>
  <c r="CW121" i="13"/>
  <c r="CW122" i="13" s="1"/>
  <c r="O101" i="1"/>
  <c r="O115" i="1"/>
  <c r="O100" i="1"/>
  <c r="O131" i="1"/>
  <c r="O132" i="1" s="1"/>
  <c r="O107" i="1"/>
  <c r="M99" i="15"/>
  <c r="BV101" i="15"/>
  <c r="CR6" i="6"/>
  <c r="L100" i="15"/>
  <c r="L101" i="15"/>
  <c r="L102" i="15" s="1"/>
  <c r="D106" i="35"/>
  <c r="D107" i="35" s="1"/>
  <c r="DF745" i="12"/>
  <c r="DF768" i="12"/>
  <c r="DF758" i="12"/>
  <c r="CE7" i="17"/>
  <c r="CE7" i="13"/>
  <c r="CE7" i="7"/>
  <c r="CE7" i="15"/>
  <c r="CE7" i="16"/>
  <c r="CE7" i="14"/>
  <c r="BY8" i="11"/>
  <c r="CE8" i="8"/>
  <c r="CE7" i="12"/>
  <c r="CN6" i="16"/>
  <c r="CN6" i="17"/>
  <c r="CH7" i="11"/>
  <c r="CN6" i="12"/>
  <c r="CA3" i="22"/>
  <c r="CN6" i="13"/>
  <c r="CN6" i="7"/>
  <c r="CN6" i="15"/>
  <c r="CN7" i="8"/>
  <c r="CN6" i="14"/>
  <c r="DN95" i="12"/>
  <c r="DN94" i="12"/>
  <c r="DN96" i="12"/>
  <c r="DB107" i="13"/>
  <c r="DF105" i="13"/>
  <c r="R133" i="6"/>
  <c r="R146" i="6" s="1"/>
  <c r="CO144" i="6"/>
  <c r="CO145" i="6" s="1"/>
  <c r="CO146" i="6"/>
  <c r="CM520" i="12"/>
  <c r="CM524" i="12" s="1"/>
  <c r="CM532" i="12" s="1"/>
  <c r="CM562" i="12"/>
  <c r="CM656" i="12"/>
  <c r="DC745" i="12"/>
  <c r="DC768" i="12"/>
  <c r="DC758" i="12"/>
  <c r="O30" i="17"/>
  <c r="O29" i="17"/>
  <c r="O27" i="17"/>
  <c r="O50" i="17"/>
  <c r="O57" i="12"/>
  <c r="O53" i="17"/>
  <c r="O45" i="17"/>
  <c r="CT93" i="6"/>
  <c r="CT145" i="6"/>
  <c r="CN95" i="6"/>
  <c r="R95" i="6" s="1"/>
  <c r="CN92" i="6"/>
  <c r="CR93" i="6" s="1"/>
  <c r="CN89" i="6"/>
  <c r="CN90" i="6"/>
  <c r="CN119" i="6"/>
  <c r="CQ640" i="12"/>
  <c r="CQ675" i="12" s="1"/>
  <c r="P129" i="1"/>
  <c r="P128" i="1"/>
  <c r="P127" i="1"/>
  <c r="DJ57" i="6"/>
  <c r="DJ58" i="6"/>
  <c r="DG64" i="11"/>
  <c r="CN673" i="12"/>
  <c r="CW145" i="6"/>
  <c r="CZ145" i="6"/>
  <c r="DD93" i="6"/>
  <c r="CT627" i="12"/>
  <c r="CU625" i="12" s="1"/>
  <c r="DC100" i="15"/>
  <c r="DB99" i="15"/>
  <c r="DB101" i="15" s="1"/>
  <c r="DB102" i="15" s="1"/>
  <c r="CZ745" i="12"/>
  <c r="CZ758" i="12"/>
  <c r="CZ768" i="12"/>
  <c r="BW93" i="6"/>
  <c r="CA93" i="6"/>
  <c r="O6" i="16"/>
  <c r="G6" i="14"/>
  <c r="O7" i="8"/>
  <c r="O7" i="11"/>
  <c r="O6" i="7"/>
  <c r="O6" i="12"/>
  <c r="O6" i="13"/>
  <c r="O6" i="17"/>
  <c r="O6" i="15"/>
  <c r="J3" i="22"/>
  <c r="DA107" i="13"/>
  <c r="DA118" i="13" s="1"/>
  <c r="DE105" i="13"/>
  <c r="U105" i="13" s="1"/>
  <c r="BU102" i="15"/>
  <c r="BY102" i="15"/>
  <c r="CP6" i="6"/>
  <c r="CP96" i="6"/>
  <c r="P134" i="14"/>
  <c r="P131" i="14"/>
  <c r="BX106" i="22"/>
  <c r="BX107" i="22" s="1"/>
  <c r="K107" i="22"/>
  <c r="I7" i="5"/>
  <c r="I14" i="5" s="1"/>
  <c r="W71" i="6"/>
  <c r="W86" i="6"/>
  <c r="W63" i="6"/>
  <c r="W44" i="6"/>
  <c r="W75" i="6"/>
  <c r="W69" i="6"/>
  <c r="W36" i="6"/>
  <c r="W41" i="6"/>
  <c r="CP128" i="13"/>
  <c r="CP130" i="13"/>
  <c r="CP129" i="13"/>
  <c r="W73" i="11"/>
  <c r="W81" i="11"/>
  <c r="L30" i="19"/>
  <c r="K38" i="19"/>
  <c r="N89" i="6"/>
  <c r="N92" i="6"/>
  <c r="N93" i="6" s="1"/>
  <c r="N119" i="6"/>
  <c r="N145" i="6"/>
  <c r="N90" i="6"/>
  <c r="P80" i="11"/>
  <c r="P108" i="11"/>
  <c r="P72" i="11"/>
  <c r="DF117" i="7"/>
  <c r="DF115" i="7" s="1"/>
  <c r="DF108" i="7"/>
  <c r="P171" i="7"/>
  <c r="P175" i="7"/>
  <c r="DL94" i="12"/>
  <c r="DL96" i="12"/>
  <c r="DL95" i="12"/>
  <c r="J62" i="14"/>
  <c r="J61" i="14"/>
  <c r="DI88" i="6"/>
  <c r="DI79" i="6"/>
  <c r="DI77" i="6"/>
  <c r="DC117" i="7"/>
  <c r="DC115" i="7" s="1"/>
  <c r="DC108" i="7"/>
  <c r="O53" i="6"/>
  <c r="O49" i="6"/>
  <c r="O50" i="6"/>
  <c r="O192" i="7"/>
  <c r="O193" i="7" s="1"/>
  <c r="O71" i="11"/>
  <c r="O63" i="11"/>
  <c r="CI6" i="15"/>
  <c r="CF7" i="6"/>
  <c r="CI6" i="14"/>
  <c r="CI7" i="8"/>
  <c r="CI6" i="16"/>
  <c r="CI6" i="12"/>
  <c r="CI6" i="13"/>
  <c r="CI6" i="7"/>
  <c r="CI6" i="17"/>
  <c r="CC7" i="11"/>
  <c r="BV3" i="22"/>
  <c r="BV4" i="22" s="1"/>
  <c r="CT595" i="12"/>
  <c r="CU593" i="12" s="1"/>
  <c r="Q109" i="1"/>
  <c r="P110" i="1"/>
  <c r="CB254" i="12"/>
  <c r="BO116" i="22" s="1"/>
  <c r="CA232" i="12"/>
  <c r="CS117" i="7"/>
  <c r="CS115" i="7" s="1"/>
  <c r="CS108" i="7"/>
  <c r="P53" i="14"/>
  <c r="P46" i="14"/>
  <c r="P47" i="14"/>
  <c r="S35" i="22"/>
  <c r="CO6" i="6"/>
  <c r="CO96" i="6"/>
  <c r="CO577" i="12"/>
  <c r="CN632" i="12"/>
  <c r="DC113" i="22"/>
  <c r="DM94" i="7"/>
  <c r="DM95" i="7"/>
  <c r="DJ60" i="6"/>
  <c r="DJ61" i="6"/>
  <c r="CZ77" i="22"/>
  <c r="CZ61" i="22"/>
  <c r="CZ62" i="22" s="1"/>
  <c r="DM20" i="17"/>
  <c r="CF60" i="8"/>
  <c r="CF61" i="8" s="1"/>
  <c r="CF63" i="8" s="1"/>
  <c r="BV407" i="21"/>
  <c r="BW406" i="21" s="1"/>
  <c r="I38" i="20"/>
  <c r="J30" i="20"/>
  <c r="I37" i="20"/>
  <c r="CU117" i="7"/>
  <c r="CU115" i="7" s="1"/>
  <c r="CU108" i="7"/>
  <c r="CW615" i="12"/>
  <c r="CW669" i="12" s="1"/>
  <c r="CZ117" i="7"/>
  <c r="CZ115" i="7" s="1"/>
  <c r="CZ108" i="7"/>
  <c r="R105" i="13"/>
  <c r="R106" i="13" s="1"/>
  <c r="R118" i="13"/>
  <c r="R119" i="6"/>
  <c r="R90" i="6"/>
  <c r="R92" i="6"/>
  <c r="R110" i="7"/>
  <c r="CI6" i="6"/>
  <c r="CI96" i="6"/>
  <c r="K40" i="19"/>
  <c r="N105" i="22"/>
  <c r="CR145" i="6"/>
  <c r="CT121" i="13"/>
  <c r="CT127" i="13" s="1"/>
  <c r="R121" i="13"/>
  <c r="R122" i="13" s="1"/>
  <c r="CP122" i="13"/>
  <c r="DH105" i="13"/>
  <c r="DD107" i="13"/>
  <c r="DD118" i="13" s="1"/>
  <c r="DC145" i="6"/>
  <c r="DG93" i="6"/>
  <c r="O174" i="7"/>
  <c r="O188" i="7"/>
  <c r="O184" i="7"/>
  <c r="O185" i="7"/>
  <c r="F106" i="35"/>
  <c r="F107" i="35" s="1"/>
  <c r="CS127" i="13"/>
  <c r="W80" i="11"/>
  <c r="W108" i="11"/>
  <c r="CC286" i="12"/>
  <c r="CC239" i="12"/>
  <c r="N233" i="12"/>
  <c r="N238" i="12" s="1"/>
  <c r="CB233" i="12"/>
  <c r="CB228" i="12" s="1"/>
  <c r="P99" i="1"/>
  <c r="P173" i="1"/>
  <c r="O55" i="11"/>
  <c r="CW117" i="7"/>
  <c r="CW115" i="7" s="1"/>
  <c r="CW108" i="7"/>
  <c r="N254" i="12"/>
  <c r="P52" i="14"/>
  <c r="S165" i="6"/>
  <c r="S166" i="6" s="1"/>
  <c r="CZ6" i="6"/>
  <c r="CZ98" i="6"/>
  <c r="DD96" i="6"/>
  <c r="CL138" i="12"/>
  <c r="CH139" i="12"/>
  <c r="DG73" i="11"/>
  <c r="CU745" i="12"/>
  <c r="CU768" i="12"/>
  <c r="CU758" i="12"/>
  <c r="CV669" i="12"/>
  <c r="CA96" i="6"/>
  <c r="N95" i="6"/>
  <c r="BW96" i="6"/>
  <c r="BW6" i="6"/>
  <c r="R61" i="22"/>
  <c r="W92" i="7"/>
  <c r="W94" i="7"/>
  <c r="W95" i="7"/>
  <c r="W88" i="7"/>
  <c r="R77" i="22"/>
  <c r="R92" i="22" s="1"/>
  <c r="R103" i="22"/>
  <c r="R104" i="22" s="1"/>
  <c r="W61" i="6"/>
  <c r="W60" i="6"/>
  <c r="W20" i="17"/>
  <c r="R81" i="1"/>
  <c r="Q79" i="1"/>
  <c r="Q170" i="1"/>
  <c r="CP145" i="6"/>
  <c r="CP93" i="6"/>
  <c r="M22" i="19"/>
  <c r="M28" i="19" s="1"/>
  <c r="DK56" i="6"/>
  <c r="DK41" i="6"/>
  <c r="DK86" i="6"/>
  <c r="DK71" i="6"/>
  <c r="DK36" i="6"/>
  <c r="K7" i="37" s="1"/>
  <c r="DK69" i="6"/>
  <c r="DK75" i="6"/>
  <c r="DK44" i="6"/>
  <c r="DK13" i="6"/>
  <c r="DK63" i="6"/>
  <c r="K8" i="37" s="1"/>
  <c r="DK50" i="6"/>
  <c r="CR89" i="6"/>
  <c r="S107" i="13"/>
  <c r="CZ103" i="22"/>
  <c r="CZ104" i="22" s="1"/>
  <c r="DM88" i="7"/>
  <c r="CM6" i="6"/>
  <c r="CM96" i="6"/>
  <c r="R583" i="12"/>
  <c r="S581" i="12" s="1"/>
  <c r="S583" i="12" s="1"/>
  <c r="CT581" i="12"/>
  <c r="CZ121" i="13"/>
  <c r="CZ122" i="13" s="1"/>
  <c r="DC98" i="6"/>
  <c r="DC6" i="6"/>
  <c r="DG96" i="6"/>
  <c r="CF59" i="22"/>
  <c r="CF60" i="22" s="1"/>
  <c r="CF62" i="22" s="1"/>
  <c r="CM108" i="11"/>
  <c r="CM72" i="11"/>
  <c r="CM73" i="11" s="1"/>
  <c r="R71" i="11"/>
  <c r="CX118" i="13"/>
  <c r="CT71" i="14"/>
  <c r="CT61" i="14"/>
  <c r="CT60" i="14"/>
  <c r="CU59" i="14"/>
  <c r="V80" i="11"/>
  <c r="V108" i="11"/>
  <c r="V72" i="11"/>
  <c r="CR117" i="7"/>
  <c r="CR115" i="7" s="1"/>
  <c r="CR108" i="7"/>
  <c r="CG35" i="17"/>
  <c r="CG36" i="17"/>
  <c r="O34" i="17"/>
  <c r="CH36" i="17"/>
  <c r="CK35" i="17"/>
  <c r="CT6" i="6"/>
  <c r="CT98" i="6"/>
  <c r="CT96" i="6"/>
  <c r="P138" i="14"/>
  <c r="Q138" i="14" s="1"/>
  <c r="O139" i="14"/>
  <c r="O140" i="14" s="1"/>
  <c r="Q126" i="1"/>
  <c r="R105" i="1"/>
  <c r="Q108" i="1"/>
  <c r="Q106" i="1"/>
  <c r="P96" i="6"/>
  <c r="P6" i="6"/>
  <c r="O94" i="1"/>
  <c r="O136" i="1"/>
  <c r="O153" i="1" s="1"/>
  <c r="O154" i="1" s="1"/>
  <c r="O88" i="1"/>
  <c r="O89" i="1"/>
  <c r="O168" i="1"/>
  <c r="O171" i="1" s="1"/>
  <c r="O174" i="1" s="1"/>
  <c r="O91" i="1"/>
  <c r="O92" i="1" s="1"/>
  <c r="CC238" i="12"/>
  <c r="DJ64" i="6"/>
  <c r="J9" i="37" s="1"/>
  <c r="DM86" i="8"/>
  <c r="DJ76" i="6"/>
  <c r="CW6" i="6"/>
  <c r="CW98" i="6"/>
  <c r="R34" i="16"/>
  <c r="S34" i="16"/>
  <c r="CZ132" i="12"/>
  <c r="CZ133" i="12" s="1"/>
  <c r="CZ223" i="12"/>
  <c r="CZ179" i="12"/>
  <c r="CZ336" i="12" s="1"/>
  <c r="CZ337" i="12" s="1"/>
  <c r="CZ178" i="12"/>
  <c r="DA473" i="12"/>
  <c r="CN37" i="22"/>
  <c r="CN38" i="22" s="1"/>
  <c r="DA131" i="12"/>
  <c r="T103" i="12"/>
  <c r="DA176" i="12"/>
  <c r="DA218" i="12"/>
  <c r="DB103" i="12"/>
  <c r="DA104" i="12"/>
  <c r="DA130" i="12"/>
  <c r="CK42" i="22"/>
  <c r="CX311" i="12"/>
  <c r="CX310" i="12"/>
  <c r="CY309" i="12"/>
  <c r="CY313" i="12"/>
  <c r="CY341" i="12"/>
  <c r="DA105" i="12"/>
  <c r="CY323" i="12"/>
  <c r="CZ221" i="12"/>
  <c r="CZ222" i="12"/>
  <c r="S342" i="12"/>
  <c r="CZ309" i="12"/>
  <c r="CZ341" i="12"/>
  <c r="CZ313" i="12"/>
  <c r="CX342" i="12"/>
  <c r="CY316" i="12"/>
  <c r="CY317" i="12" s="1"/>
  <c r="CZ323" i="12"/>
  <c r="AI18" i="6"/>
  <c r="AA19" i="6"/>
  <c r="AA30" i="7"/>
  <c r="AA113" i="7"/>
  <c r="X70" i="15"/>
  <c r="X69" i="15"/>
  <c r="AA35" i="37" s="1"/>
  <c r="S24" i="22"/>
  <c r="U7" i="22"/>
  <c r="U9" i="22" s="1"/>
  <c r="U13" i="22" s="1"/>
  <c r="U22" i="22" s="1"/>
  <c r="DC79" i="22"/>
  <c r="DC45" i="22"/>
  <c r="DM10" i="6"/>
  <c r="DC149" i="22"/>
  <c r="DC148" i="22"/>
  <c r="DI31" i="11"/>
  <c r="DL11" i="6"/>
  <c r="DL12" i="6"/>
  <c r="X76" i="15"/>
  <c r="X112" i="15"/>
  <c r="X109" i="11"/>
  <c r="X66" i="15"/>
  <c r="X67" i="15" s="1"/>
  <c r="X65" i="15"/>
  <c r="M96" i="15" l="1"/>
  <c r="E130" i="14"/>
  <c r="E134" i="14" s="1"/>
  <c r="BZ54" i="14"/>
  <c r="BZ45" i="14"/>
  <c r="CA98" i="15"/>
  <c r="CA101" i="15" s="1"/>
  <c r="CA102" i="15" s="1"/>
  <c r="BN26" i="22"/>
  <c r="CA118" i="15"/>
  <c r="CA119" i="15" s="1"/>
  <c r="CA112" i="15"/>
  <c r="CB90" i="15"/>
  <c r="CA48" i="14"/>
  <c r="CA91" i="15"/>
  <c r="CA215" i="13"/>
  <c r="CA257" i="13" s="1"/>
  <c r="CA113" i="15"/>
  <c r="BO11" i="15"/>
  <c r="BP31" i="15"/>
  <c r="BT31" i="15"/>
  <c r="BP11" i="15"/>
  <c r="BR45" i="15"/>
  <c r="BQ20" i="15"/>
  <c r="BQ11" i="15" s="1"/>
  <c r="K43" i="15"/>
  <c r="BQ45" i="15"/>
  <c r="K18" i="15"/>
  <c r="K19" i="15" s="1"/>
  <c r="BR18" i="15"/>
  <c r="BQ48" i="15"/>
  <c r="K46" i="15"/>
  <c r="BQ30" i="15"/>
  <c r="BR48" i="15"/>
  <c r="DR340" i="12"/>
  <c r="DV340" i="12"/>
  <c r="DV79" i="12"/>
  <c r="O17" i="37"/>
  <c r="O18" i="37" s="1"/>
  <c r="DQ340" i="12"/>
  <c r="DU340" i="12"/>
  <c r="DU79" i="12"/>
  <c r="E30" i="5"/>
  <c r="E35" i="5"/>
  <c r="E27" i="5"/>
  <c r="E34" i="5"/>
  <c r="E28" i="5"/>
  <c r="E29" i="5"/>
  <c r="E36" i="5"/>
  <c r="AF70" i="13"/>
  <c r="Z126" i="22"/>
  <c r="Y15" i="15"/>
  <c r="Y64" i="15"/>
  <c r="T23" i="22" s="1"/>
  <c r="DX104" i="13"/>
  <c r="DR102" i="11"/>
  <c r="DR103" i="11" s="1"/>
  <c r="DX103" i="13"/>
  <c r="DY101" i="13"/>
  <c r="DL72" i="22" s="1"/>
  <c r="Z104" i="6"/>
  <c r="Z99" i="8"/>
  <c r="Z100" i="8" s="1"/>
  <c r="AA104" i="6"/>
  <c r="AB89" i="8"/>
  <c r="AB74" i="8"/>
  <c r="AC67" i="6"/>
  <c r="AB162" i="6"/>
  <c r="AB202" i="7" s="1"/>
  <c r="AB75" i="8"/>
  <c r="AB85" i="6"/>
  <c r="AC84" i="6"/>
  <c r="DY101" i="7"/>
  <c r="Z60" i="7"/>
  <c r="DY24" i="8"/>
  <c r="Z26" i="7"/>
  <c r="AA26" i="7" s="1"/>
  <c r="AB26" i="7" s="1"/>
  <c r="Z345" i="12"/>
  <c r="CW758" i="12"/>
  <c r="CK7" i="17"/>
  <c r="CK7" i="13"/>
  <c r="Z689" i="12"/>
  <c r="AA689" i="12" s="1"/>
  <c r="AB689" i="12" s="1"/>
  <c r="AC689" i="12" s="1"/>
  <c r="AD689" i="12" s="1"/>
  <c r="AE689" i="12" s="1"/>
  <c r="AF689" i="12" s="1"/>
  <c r="AG689" i="12" s="1"/>
  <c r="AB679" i="12"/>
  <c r="AC681" i="12"/>
  <c r="AE738" i="12"/>
  <c r="AF739" i="12"/>
  <c r="AB203" i="7"/>
  <c r="AC657" i="12"/>
  <c r="AD657" i="12" s="1"/>
  <c r="AE657" i="12" s="1"/>
  <c r="AF657" i="12" s="1"/>
  <c r="AG657" i="12" s="1"/>
  <c r="AD741" i="12"/>
  <c r="AC740" i="12"/>
  <c r="AC742" i="12" s="1"/>
  <c r="AC743" i="12" s="1"/>
  <c r="AD656" i="12"/>
  <c r="AC102" i="7"/>
  <c r="CW768" i="12"/>
  <c r="CB4" i="22"/>
  <c r="DX24" i="8"/>
  <c r="Q115" i="7"/>
  <c r="DR96" i="8"/>
  <c r="DW96" i="8"/>
  <c r="DX96" i="8"/>
  <c r="DY96" i="8"/>
  <c r="DV96" i="8"/>
  <c r="DW52" i="8"/>
  <c r="DT120" i="6"/>
  <c r="DT118" i="6"/>
  <c r="DV104" i="6"/>
  <c r="DV110" i="6" s="1"/>
  <c r="DY99" i="8"/>
  <c r="DY100" i="8" s="1"/>
  <c r="DY745" i="12"/>
  <c r="DY768" i="12"/>
  <c r="DY758" i="12"/>
  <c r="DV78" i="8"/>
  <c r="DU116" i="6"/>
  <c r="DV115" i="6"/>
  <c r="Z115" i="6" s="1"/>
  <c r="DU117" i="6"/>
  <c r="CK8" i="8"/>
  <c r="CK7" i="16"/>
  <c r="CK7" i="15"/>
  <c r="CK7" i="12"/>
  <c r="CE8" i="11"/>
  <c r="CK7" i="14"/>
  <c r="DW16" i="14"/>
  <c r="DW115" i="15"/>
  <c r="DW27" i="14"/>
  <c r="DW28" i="14" s="1"/>
  <c r="DX14" i="14"/>
  <c r="DK29" i="22" s="1"/>
  <c r="DX29" i="14"/>
  <c r="DW75" i="14"/>
  <c r="DW15" i="14"/>
  <c r="DW50" i="14"/>
  <c r="DW36" i="14"/>
  <c r="DW37" i="14" s="1"/>
  <c r="DW32" i="14" s="1"/>
  <c r="DW30" i="14" s="1"/>
  <c r="DW31" i="14" s="1"/>
  <c r="DH23" i="22"/>
  <c r="Q90" i="6"/>
  <c r="R89" i="6"/>
  <c r="Q119" i="6"/>
  <c r="W8" i="22"/>
  <c r="CX96" i="6"/>
  <c r="AE72" i="13"/>
  <c r="Y127" i="22"/>
  <c r="S119" i="6"/>
  <c r="S89" i="6"/>
  <c r="CX93" i="6"/>
  <c r="S90" i="6"/>
  <c r="DN12" i="6"/>
  <c r="DQ11" i="6"/>
  <c r="S110" i="7"/>
  <c r="S117" i="7" s="1"/>
  <c r="S115" i="7" s="1"/>
  <c r="CJ90" i="14"/>
  <c r="CJ91" i="14"/>
  <c r="BW33" i="22" s="1"/>
  <c r="CK88" i="14"/>
  <c r="BW34" i="22"/>
  <c r="Q22" i="14"/>
  <c r="S18" i="14"/>
  <c r="T18" i="14" s="1"/>
  <c r="U18" i="14" s="1"/>
  <c r="V18" i="14" s="1"/>
  <c r="W18" i="14" s="1"/>
  <c r="X18" i="14" s="1"/>
  <c r="Y18" i="14" s="1"/>
  <c r="AF15" i="7"/>
  <c r="AF42" i="8" s="1"/>
  <c r="AD58" i="7"/>
  <c r="AD65" i="7" s="1"/>
  <c r="AC54" i="8"/>
  <c r="AC65" i="7"/>
  <c r="AD30" i="7"/>
  <c r="AD113" i="7"/>
  <c r="AE27" i="7"/>
  <c r="AE41" i="7"/>
  <c r="AD31" i="8"/>
  <c r="AD80" i="7"/>
  <c r="AB51" i="8"/>
  <c r="AC38" i="7"/>
  <c r="AD53" i="8"/>
  <c r="AE54" i="7"/>
  <c r="AF563" i="12"/>
  <c r="AE566" i="12"/>
  <c r="AC115" i="6"/>
  <c r="AB116" i="6"/>
  <c r="AB121" i="6"/>
  <c r="AB117" i="6"/>
  <c r="AC103" i="6"/>
  <c r="AD111" i="6"/>
  <c r="AE109" i="6"/>
  <c r="AD110" i="6"/>
  <c r="AB104" i="6"/>
  <c r="AB99" i="8"/>
  <c r="AB100" i="8" s="1"/>
  <c r="AB769" i="12"/>
  <c r="AB759" i="12"/>
  <c r="AB745" i="12"/>
  <c r="AE18" i="6"/>
  <c r="AE19" i="6" s="1"/>
  <c r="AE17" i="11"/>
  <c r="AF289" i="12"/>
  <c r="AE137" i="12"/>
  <c r="AE138" i="12" s="1"/>
  <c r="DB96" i="8"/>
  <c r="DB97" i="8" s="1"/>
  <c r="CX6" i="6"/>
  <c r="DA6" i="12" s="1"/>
  <c r="AG58" i="12"/>
  <c r="AA34" i="13"/>
  <c r="W7" i="22"/>
  <c r="L242" i="13"/>
  <c r="L283" i="13"/>
  <c r="Q30" i="14"/>
  <c r="Q31" i="14" s="1"/>
  <c r="Q38" i="14"/>
  <c r="Q132" i="14"/>
  <c r="Y17" i="15"/>
  <c r="Q51" i="14"/>
  <c r="G153" i="14"/>
  <c r="G154" i="14" s="1"/>
  <c r="G146" i="14"/>
  <c r="DR285" i="12"/>
  <c r="DR67" i="12"/>
  <c r="DR87" i="12"/>
  <c r="DR66" i="12"/>
  <c r="DR79" i="12"/>
  <c r="DR81" i="12"/>
  <c r="DR80" i="12"/>
  <c r="DR70" i="12"/>
  <c r="DR72" i="12"/>
  <c r="DR71" i="12"/>
  <c r="CM145" i="6"/>
  <c r="DA7" i="8"/>
  <c r="CQ6" i="6"/>
  <c r="CT6" i="17" s="1"/>
  <c r="CV96" i="6"/>
  <c r="H5" i="37"/>
  <c r="CW96" i="6"/>
  <c r="DC96" i="6"/>
  <c r="DH26" i="22"/>
  <c r="DJ96" i="8"/>
  <c r="DS96" i="8"/>
  <c r="Q47" i="15"/>
  <c r="Q46" i="15" s="1"/>
  <c r="P46" i="15"/>
  <c r="CD43" i="15"/>
  <c r="CD239" i="13" s="1"/>
  <c r="CD47" i="15"/>
  <c r="CE44" i="15"/>
  <c r="CA289" i="13"/>
  <c r="CA287" i="13"/>
  <c r="DJ68" i="11"/>
  <c r="DJ72" i="11" s="1"/>
  <c r="DJ63" i="11"/>
  <c r="BO8" i="22"/>
  <c r="BO9" i="22" s="1"/>
  <c r="BO13" i="22" s="1"/>
  <c r="DQ71" i="12"/>
  <c r="DQ72" i="12"/>
  <c r="DQ70" i="12"/>
  <c r="DN15" i="6"/>
  <c r="DN35" i="6"/>
  <c r="N6" i="37" s="1"/>
  <c r="N11" i="37" s="1"/>
  <c r="DN30" i="6"/>
  <c r="DR31" i="6" s="1"/>
  <c r="CB281" i="13"/>
  <c r="CB286" i="13" s="1"/>
  <c r="CB280" i="13"/>
  <c r="AA23" i="12"/>
  <c r="AB23" i="12" s="1"/>
  <c r="CA254" i="13"/>
  <c r="CA31" i="15"/>
  <c r="DQ285" i="12"/>
  <c r="BP15" i="22"/>
  <c r="CC20" i="15"/>
  <c r="CC18" i="15" s="1"/>
  <c r="BY248" i="13"/>
  <c r="BY250" i="13" s="1"/>
  <c r="M245" i="13"/>
  <c r="M248" i="13" s="1"/>
  <c r="DH96" i="8"/>
  <c r="DH97" i="8" s="1"/>
  <c r="DD310" i="21"/>
  <c r="DC311" i="21"/>
  <c r="DC301" i="21" s="1"/>
  <c r="DQ80" i="12"/>
  <c r="DQ81" i="12"/>
  <c r="DQ79" i="12"/>
  <c r="CA250" i="13"/>
  <c r="CA249" i="13"/>
  <c r="BO16" i="22"/>
  <c r="BO17" i="22" s="1"/>
  <c r="BO19" i="22" s="1"/>
  <c r="CB30" i="15"/>
  <c r="CB48" i="15"/>
  <c r="CB45" i="15" s="1"/>
  <c r="CC46" i="15"/>
  <c r="CC279" i="13" s="1"/>
  <c r="CC281" i="13" s="1"/>
  <c r="K15" i="22"/>
  <c r="P45" i="15"/>
  <c r="P20" i="15"/>
  <c r="BZ286" i="13"/>
  <c r="BZ248" i="13"/>
  <c r="BZ246" i="13"/>
  <c r="DK96" i="8"/>
  <c r="CB249" i="13"/>
  <c r="CB250" i="13"/>
  <c r="DQ67" i="12"/>
  <c r="DQ87" i="12"/>
  <c r="DQ89" i="12" s="1"/>
  <c r="DQ92" i="12" s="1"/>
  <c r="DQ66" i="12"/>
  <c r="CC239" i="13"/>
  <c r="L15" i="22"/>
  <c r="Q45" i="15"/>
  <c r="Q20" i="15"/>
  <c r="BN22" i="22"/>
  <c r="BN23" i="22" s="1"/>
  <c r="DP96" i="12"/>
  <c r="DP94" i="12"/>
  <c r="DP95" i="12"/>
  <c r="DO96" i="8"/>
  <c r="DI96" i="8"/>
  <c r="DF96" i="8"/>
  <c r="DF97" i="8" s="1"/>
  <c r="DD96" i="8"/>
  <c r="DD97" i="8" s="1"/>
  <c r="DU96" i="8"/>
  <c r="DC96" i="8"/>
  <c r="DC97" i="8" s="1"/>
  <c r="DG96" i="8"/>
  <c r="DG97" i="8" s="1"/>
  <c r="DE96" i="8"/>
  <c r="DE97" i="8" s="1"/>
  <c r="DQ96" i="8"/>
  <c r="DP96" i="8"/>
  <c r="DL96" i="8"/>
  <c r="DN96" i="8"/>
  <c r="DM96" i="8"/>
  <c r="DT96" i="8"/>
  <c r="DH768" i="12"/>
  <c r="DH745" i="12"/>
  <c r="DH758" i="12"/>
  <c r="DH117" i="7"/>
  <c r="DH115" i="7" s="1"/>
  <c r="DH108" i="7"/>
  <c r="DE6" i="6"/>
  <c r="E5" i="37"/>
  <c r="DE98" i="6"/>
  <c r="Y71" i="15"/>
  <c r="Y90" i="15"/>
  <c r="DU151" i="15"/>
  <c r="AA121" i="6"/>
  <c r="AI115" i="6"/>
  <c r="AA117" i="6"/>
  <c r="Y123" i="8"/>
  <c r="Y78" i="8"/>
  <c r="Y66" i="15"/>
  <c r="Y67" i="15" s="1"/>
  <c r="Y65" i="15"/>
  <c r="X54" i="13"/>
  <c r="AA30" i="37" s="1"/>
  <c r="T126" i="22"/>
  <c r="Y53" i="11"/>
  <c r="DF69" i="22"/>
  <c r="V36" i="17"/>
  <c r="V11" i="17"/>
  <c r="V37" i="17"/>
  <c r="V35" i="17"/>
  <c r="V76" i="8"/>
  <c r="DL13" i="17"/>
  <c r="DM31" i="17"/>
  <c r="DL32" i="17"/>
  <c r="DL94" i="13"/>
  <c r="DL40" i="17" s="1"/>
  <c r="DI52" i="6"/>
  <c r="DJ35" i="8"/>
  <c r="DJ76" i="8"/>
  <c r="DJ79" i="8" s="1"/>
  <c r="DI35" i="17"/>
  <c r="DI36" i="17"/>
  <c r="V76" i="6"/>
  <c r="V192" i="7"/>
  <c r="V193" i="7" s="1"/>
  <c r="V55" i="11"/>
  <c r="V49" i="6"/>
  <c r="V53" i="6"/>
  <c r="V50" i="6"/>
  <c r="DK42" i="17"/>
  <c r="DK43" i="17" s="1"/>
  <c r="DK41" i="17"/>
  <c r="DK59" i="17"/>
  <c r="DK26" i="17"/>
  <c r="DK45" i="17" s="1"/>
  <c r="DJ60" i="17"/>
  <c r="DK18" i="8"/>
  <c r="DK17" i="8" s="1"/>
  <c r="DK14" i="17"/>
  <c r="DJ45" i="17"/>
  <c r="DJ27" i="17"/>
  <c r="DJ57" i="12"/>
  <c r="DJ50" i="17"/>
  <c r="DJ29" i="17"/>
  <c r="DJ30" i="17"/>
  <c r="DJ58" i="17"/>
  <c r="DG51" i="6"/>
  <c r="DJ34" i="17"/>
  <c r="DJ53" i="17"/>
  <c r="DJ28" i="17"/>
  <c r="V34" i="8"/>
  <c r="V35" i="8" s="1"/>
  <c r="DN285" i="12"/>
  <c r="DO109" i="11"/>
  <c r="CS96" i="6"/>
  <c r="DE768" i="12"/>
  <c r="DE758" i="12"/>
  <c r="DE745" i="12"/>
  <c r="DE108" i="7"/>
  <c r="DE117" i="7"/>
  <c r="DE115" i="7" s="1"/>
  <c r="DB145" i="6"/>
  <c r="DB93" i="6"/>
  <c r="DB98" i="6"/>
  <c r="DB99" i="6" s="1"/>
  <c r="DB6" i="6"/>
  <c r="DB96" i="6"/>
  <c r="CV93" i="6"/>
  <c r="CZ96" i="6"/>
  <c r="CS93" i="6"/>
  <c r="CW93" i="6"/>
  <c r="BV30" i="22"/>
  <c r="CI93" i="14"/>
  <c r="CH95" i="14"/>
  <c r="CH94" i="14"/>
  <c r="CJ43" i="14"/>
  <c r="BW31" i="22"/>
  <c r="CJ44" i="14"/>
  <c r="CK41" i="14"/>
  <c r="CB82" i="15"/>
  <c r="CB81" i="15"/>
  <c r="R204" i="7"/>
  <c r="R165" i="6"/>
  <c r="R166" i="6" s="1"/>
  <c r="CC85" i="15"/>
  <c r="CD84" i="15"/>
  <c r="N84" i="15"/>
  <c r="CC80" i="15"/>
  <c r="AA29" i="37"/>
  <c r="X50" i="13"/>
  <c r="CQ96" i="6"/>
  <c r="DE96" i="6"/>
  <c r="DA6" i="6"/>
  <c r="DA7" i="6" s="1"/>
  <c r="DA98" i="6"/>
  <c r="CQ93" i="6"/>
  <c r="CV117" i="7"/>
  <c r="CV115" i="7" s="1"/>
  <c r="CV108" i="7"/>
  <c r="CS98" i="6"/>
  <c r="CS99" i="6" s="1"/>
  <c r="CS6" i="6"/>
  <c r="CW7" i="6" s="1"/>
  <c r="DB117" i="7"/>
  <c r="DB115" i="7" s="1"/>
  <c r="DB108" i="7"/>
  <c r="CV768" i="12"/>
  <c r="CV758" i="12"/>
  <c r="CV745" i="12"/>
  <c r="DA96" i="6"/>
  <c r="CZ93" i="6"/>
  <c r="CT117" i="7"/>
  <c r="CT115" i="7" s="1"/>
  <c r="CT108" i="7"/>
  <c r="CJ6" i="6"/>
  <c r="CJ96" i="6"/>
  <c r="CY6" i="6"/>
  <c r="CY98" i="6"/>
  <c r="DC99" i="6" s="1"/>
  <c r="CS343" i="13"/>
  <c r="R342" i="13"/>
  <c r="DD758" i="12"/>
  <c r="DD745" i="12"/>
  <c r="DD768" i="12"/>
  <c r="DB745" i="12"/>
  <c r="DB768" i="12"/>
  <c r="DB758" i="12"/>
  <c r="CJ145" i="6"/>
  <c r="CJ93" i="6"/>
  <c r="S95" i="6"/>
  <c r="S96" i="6" s="1"/>
  <c r="DC93" i="6"/>
  <c r="DA145" i="6"/>
  <c r="DE93" i="6"/>
  <c r="CT745" i="12"/>
  <c r="CT768" i="12"/>
  <c r="CT769" i="12" s="1"/>
  <c r="CT758" i="12"/>
  <c r="CT759" i="12" s="1"/>
  <c r="DD117" i="7"/>
  <c r="DD115" i="7" s="1"/>
  <c r="DD108" i="7"/>
  <c r="BZ267" i="13"/>
  <c r="BZ265" i="13"/>
  <c r="BZ259" i="13"/>
  <c r="BZ260" i="13" s="1"/>
  <c r="CV6" i="6"/>
  <c r="CZ7" i="6" s="1"/>
  <c r="CV98" i="6"/>
  <c r="CV99" i="6" s="1"/>
  <c r="M219" i="13"/>
  <c r="M221" i="13"/>
  <c r="BY230" i="13"/>
  <c r="BY233" i="13" s="1"/>
  <c r="BY235" i="13" s="1"/>
  <c r="BY221" i="13"/>
  <c r="BV275" i="13"/>
  <c r="BX233" i="13"/>
  <c r="CY768" i="12"/>
  <c r="CY745" i="12"/>
  <c r="CY758" i="12"/>
  <c r="BZ218" i="13"/>
  <c r="BZ220" i="13"/>
  <c r="CA225" i="13"/>
  <c r="CA258" i="13"/>
  <c r="CA223" i="13"/>
  <c r="CB216" i="13"/>
  <c r="BY260" i="13"/>
  <c r="CY108" i="7"/>
  <c r="CY117" i="7"/>
  <c r="CY115" i="7" s="1"/>
  <c r="CY127" i="13"/>
  <c r="CY128" i="13" s="1"/>
  <c r="Q128" i="13"/>
  <c r="CV129" i="13"/>
  <c r="R195" i="7"/>
  <c r="R164" i="7"/>
  <c r="R182" i="7"/>
  <c r="S177" i="7"/>
  <c r="S181" i="7" s="1"/>
  <c r="X71" i="15"/>
  <c r="AA36" i="37"/>
  <c r="P57" i="14"/>
  <c r="AA37" i="37"/>
  <c r="N108" i="7"/>
  <c r="X70" i="13"/>
  <c r="S126" i="22" s="1"/>
  <c r="S125" i="22"/>
  <c r="DC121" i="13"/>
  <c r="DC122" i="13" s="1"/>
  <c r="DK105" i="13"/>
  <c r="DO105" i="13" s="1"/>
  <c r="DS105" i="13" s="1"/>
  <c r="DG107" i="13"/>
  <c r="DG118" i="13" s="1"/>
  <c r="CU128" i="13"/>
  <c r="CU130" i="13"/>
  <c r="CU129" i="13"/>
  <c r="CV130" i="13"/>
  <c r="Q129" i="13"/>
  <c r="CA4" i="22"/>
  <c r="N352" i="12"/>
  <c r="N350" i="12"/>
  <c r="V395" i="12"/>
  <c r="V425" i="12" s="1"/>
  <c r="V429" i="12"/>
  <c r="N66" i="12"/>
  <c r="N59" i="11"/>
  <c r="N63" i="11" s="1"/>
  <c r="N64" i="11" s="1"/>
  <c r="N87" i="12"/>
  <c r="N67" i="12"/>
  <c r="O66" i="12"/>
  <c r="AN65" i="12"/>
  <c r="CE349" i="12"/>
  <c r="CD354" i="12"/>
  <c r="CD355" i="12" s="1"/>
  <c r="CD352" i="12"/>
  <c r="CD350" i="12"/>
  <c r="Q108" i="7"/>
  <c r="CR651" i="12"/>
  <c r="R651" i="12" s="1"/>
  <c r="CR648" i="12"/>
  <c r="R647" i="12"/>
  <c r="DI758" i="12"/>
  <c r="DI768" i="12"/>
  <c r="DI745" i="12"/>
  <c r="CX117" i="7"/>
  <c r="CX115" i="7" s="1"/>
  <c r="CX108" i="7"/>
  <c r="DF145" i="6"/>
  <c r="DF93" i="6"/>
  <c r="I41" i="22"/>
  <c r="CJ7" i="16"/>
  <c r="CJ7" i="13"/>
  <c r="CJ7" i="15"/>
  <c r="CD8" i="11"/>
  <c r="CJ7" i="12"/>
  <c r="CJ7" i="7"/>
  <c r="CJ8" i="8"/>
  <c r="CJ7" i="14"/>
  <c r="CJ7" i="17"/>
  <c r="CU145" i="6"/>
  <c r="CY93" i="6"/>
  <c r="CU93" i="6"/>
  <c r="DF98" i="6"/>
  <c r="F5" i="37"/>
  <c r="DF6" i="6"/>
  <c r="DF96" i="6"/>
  <c r="O102" i="12"/>
  <c r="O309" i="12"/>
  <c r="O166" i="12"/>
  <c r="O96" i="12"/>
  <c r="O95" i="12"/>
  <c r="O537" i="12"/>
  <c r="O547" i="12" s="1"/>
  <c r="O568" i="12" s="1"/>
  <c r="O570" i="12" s="1"/>
  <c r="O94" i="12"/>
  <c r="CU6" i="6"/>
  <c r="CU96" i="6"/>
  <c r="CY96" i="6"/>
  <c r="CU98" i="6"/>
  <c r="DI108" i="7"/>
  <c r="DI117" i="7"/>
  <c r="DI115" i="7" s="1"/>
  <c r="CX745" i="12"/>
  <c r="CX768" i="12"/>
  <c r="CX758" i="12"/>
  <c r="P102" i="12"/>
  <c r="Q102" i="12"/>
  <c r="P166" i="12"/>
  <c r="P309" i="12"/>
  <c r="N81" i="11"/>
  <c r="N73" i="11"/>
  <c r="I42" i="22"/>
  <c r="N341" i="12"/>
  <c r="N310" i="12"/>
  <c r="DM96" i="12"/>
  <c r="DM95" i="12"/>
  <c r="CR665" i="12"/>
  <c r="DJ6" i="14"/>
  <c r="CW3" i="22"/>
  <c r="DJ6" i="13"/>
  <c r="DD7" i="11"/>
  <c r="DJ6" i="12"/>
  <c r="DJ7" i="8"/>
  <c r="DJ6" i="7"/>
  <c r="DJ6" i="15"/>
  <c r="DJ6" i="16"/>
  <c r="DJ6" i="17"/>
  <c r="CP644" i="12"/>
  <c r="CP676" i="12" s="1"/>
  <c r="CP678" i="12" s="1"/>
  <c r="CV662" i="12"/>
  <c r="R597" i="12"/>
  <c r="CS599" i="12"/>
  <c r="CO653" i="12"/>
  <c r="Q652" i="12"/>
  <c r="CP650" i="12"/>
  <c r="CV663" i="12"/>
  <c r="V114" i="8"/>
  <c r="V115" i="8" s="1"/>
  <c r="V95" i="8" s="1"/>
  <c r="V97" i="8" s="1"/>
  <c r="V102" i="8" s="1"/>
  <c r="V87" i="12"/>
  <c r="DI97" i="8"/>
  <c r="W84" i="12"/>
  <c r="DK84" i="12"/>
  <c r="DJ114" i="8"/>
  <c r="DJ115" i="8" s="1"/>
  <c r="DJ95" i="8" s="1"/>
  <c r="DJ97" i="8" s="1"/>
  <c r="U76" i="6"/>
  <c r="U86" i="6"/>
  <c r="V85" i="6"/>
  <c r="U75" i="8"/>
  <c r="DM94" i="12"/>
  <c r="CQ667" i="12"/>
  <c r="CT670" i="12"/>
  <c r="CT672" i="12"/>
  <c r="CW591" i="12"/>
  <c r="CW663" i="12" s="1"/>
  <c r="P55" i="11"/>
  <c r="P192" i="7"/>
  <c r="P193" i="7" s="1"/>
  <c r="P50" i="6"/>
  <c r="P53" i="6"/>
  <c r="P54" i="6" s="1"/>
  <c r="DG7" i="8"/>
  <c r="DG6" i="13"/>
  <c r="DG6" i="14"/>
  <c r="DG6" i="17"/>
  <c r="DG6" i="12"/>
  <c r="CT3" i="22"/>
  <c r="DG6" i="16"/>
  <c r="DG6" i="15"/>
  <c r="DG6" i="7"/>
  <c r="DA7" i="11"/>
  <c r="DH96" i="6"/>
  <c r="DH98" i="6"/>
  <c r="DH6" i="6"/>
  <c r="P97" i="8"/>
  <c r="DK117" i="7"/>
  <c r="DK115" i="7" s="1"/>
  <c r="DK108" i="7"/>
  <c r="P56" i="12"/>
  <c r="Q56" i="12"/>
  <c r="Q34" i="16"/>
  <c r="P34" i="16"/>
  <c r="P90" i="12"/>
  <c r="P92" i="12"/>
  <c r="DH145" i="6"/>
  <c r="DH93" i="6"/>
  <c r="DK745" i="12"/>
  <c r="DK768" i="12"/>
  <c r="DK758" i="12"/>
  <c r="CJ36" i="17"/>
  <c r="CI36" i="17"/>
  <c r="P34" i="17"/>
  <c r="P35" i="17" s="1"/>
  <c r="CI35" i="17"/>
  <c r="CM35" i="17"/>
  <c r="CO109" i="8"/>
  <c r="CO115" i="8" s="1"/>
  <c r="CO95" i="8" s="1"/>
  <c r="CO97" i="8" s="1"/>
  <c r="Q545" i="12"/>
  <c r="Q109" i="8" s="1"/>
  <c r="Q115" i="8" s="1"/>
  <c r="Q95" i="8" s="1"/>
  <c r="Q97" i="8" s="1"/>
  <c r="Q204" i="7"/>
  <c r="Q165" i="6"/>
  <c r="Q166" i="6" s="1"/>
  <c r="CZ127" i="13"/>
  <c r="CZ129" i="13" s="1"/>
  <c r="CR607" i="12"/>
  <c r="CS605" i="12" s="1"/>
  <c r="CU619" i="12"/>
  <c r="CV617" i="12" s="1"/>
  <c r="CB117" i="12"/>
  <c r="CC228" i="12"/>
  <c r="P7" i="11"/>
  <c r="P7" i="8"/>
  <c r="P6" i="17"/>
  <c r="P6" i="7"/>
  <c r="P6" i="12"/>
  <c r="P7" i="6"/>
  <c r="K3" i="22"/>
  <c r="K4" i="22" s="1"/>
  <c r="H6" i="14"/>
  <c r="P6" i="15"/>
  <c r="P6" i="13"/>
  <c r="P6" i="16"/>
  <c r="CL6" i="16"/>
  <c r="CL6" i="15"/>
  <c r="BY3" i="22"/>
  <c r="BY4" i="22" s="1"/>
  <c r="CL7" i="8"/>
  <c r="CF7" i="11"/>
  <c r="CL6" i="13"/>
  <c r="CL6" i="12"/>
  <c r="CL6" i="7"/>
  <c r="CL6" i="17"/>
  <c r="CL6" i="14"/>
  <c r="BZ232" i="12"/>
  <c r="CA254" i="12"/>
  <c r="BN116" i="22" s="1"/>
  <c r="CU595" i="12"/>
  <c r="CV593" i="12" s="1"/>
  <c r="O80" i="11"/>
  <c r="O108" i="11"/>
  <c r="O72" i="11"/>
  <c r="DA121" i="13"/>
  <c r="DA122" i="13" s="1"/>
  <c r="CU6" i="15"/>
  <c r="CU6" i="16"/>
  <c r="CH3" i="22"/>
  <c r="CU6" i="7"/>
  <c r="CO7" i="11"/>
  <c r="CU7" i="8"/>
  <c r="CU6" i="12"/>
  <c r="CU6" i="13"/>
  <c r="CU6" i="14"/>
  <c r="CU6" i="17"/>
  <c r="BV102" i="15"/>
  <c r="BZ102" i="15"/>
  <c r="CT99" i="6"/>
  <c r="CX99" i="6"/>
  <c r="O36" i="17"/>
  <c r="O37" i="17"/>
  <c r="O35" i="17"/>
  <c r="O11" i="17"/>
  <c r="S745" i="12"/>
  <c r="S769" i="12"/>
  <c r="DF6" i="14"/>
  <c r="CS3" i="22"/>
  <c r="DF6" i="12"/>
  <c r="DF6" i="13"/>
  <c r="DF6" i="15"/>
  <c r="DF6" i="16"/>
  <c r="DF7" i="8"/>
  <c r="DF6" i="7"/>
  <c r="DF6" i="17"/>
  <c r="CZ7" i="11"/>
  <c r="DG7" i="6"/>
  <c r="R96" i="6"/>
  <c r="R6" i="6"/>
  <c r="S105" i="13"/>
  <c r="S106" i="13" s="1"/>
  <c r="S118" i="13"/>
  <c r="DK76" i="6"/>
  <c r="DK64" i="6"/>
  <c r="K9" i="37" s="1"/>
  <c r="R79" i="1"/>
  <c r="R170" i="1"/>
  <c r="N6" i="6"/>
  <c r="N96" i="6"/>
  <c r="O96" i="6"/>
  <c r="DC6" i="16"/>
  <c r="CP3" i="22"/>
  <c r="DC6" i="13"/>
  <c r="DC6" i="12"/>
  <c r="DC6" i="7"/>
  <c r="CW7" i="11"/>
  <c r="DC6" i="15"/>
  <c r="DC7" i="8"/>
  <c r="DC6" i="17"/>
  <c r="DC6" i="14"/>
  <c r="DD7" i="6"/>
  <c r="CS129" i="13"/>
  <c r="CS128" i="13"/>
  <c r="CS130" i="13"/>
  <c r="DD121" i="13"/>
  <c r="DD122" i="13" s="1"/>
  <c r="CT122" i="13"/>
  <c r="S121" i="13"/>
  <c r="S122" i="13" s="1"/>
  <c r="R117" i="7"/>
  <c r="R115" i="7" s="1"/>
  <c r="R108" i="7"/>
  <c r="P23" i="14"/>
  <c r="DD113" i="22"/>
  <c r="J8" i="20"/>
  <c r="J35" i="20"/>
  <c r="CO579" i="12"/>
  <c r="Q110" i="1"/>
  <c r="R109" i="1"/>
  <c r="R110" i="1" s="1"/>
  <c r="DD100" i="15"/>
  <c r="DC99" i="15"/>
  <c r="DC101" i="15" s="1"/>
  <c r="DC102" i="15" s="1"/>
  <c r="CR638" i="12"/>
  <c r="CN145" i="6"/>
  <c r="CN93" i="6"/>
  <c r="M100" i="15"/>
  <c r="M101" i="15"/>
  <c r="Q129" i="1"/>
  <c r="Q127" i="1"/>
  <c r="Q80" i="1"/>
  <c r="Q87" i="1"/>
  <c r="DD99" i="6"/>
  <c r="P115" i="1"/>
  <c r="P100" i="1"/>
  <c r="P101" i="1"/>
  <c r="P131" i="1"/>
  <c r="P132" i="1" s="1"/>
  <c r="P107" i="1"/>
  <c r="CT128" i="13"/>
  <c r="CT130" i="13"/>
  <c r="CT129" i="13"/>
  <c r="L106" i="22"/>
  <c r="I40" i="20"/>
  <c r="CN633" i="12"/>
  <c r="CO630" i="12"/>
  <c r="Q145" i="6"/>
  <c r="L35" i="19"/>
  <c r="L8" i="19"/>
  <c r="CP7" i="6"/>
  <c r="CS6" i="13"/>
  <c r="CF3" i="22"/>
  <c r="CF4" i="22" s="1"/>
  <c r="CM7" i="11"/>
  <c r="CS6" i="17"/>
  <c r="CS6" i="7"/>
  <c r="CS6" i="15"/>
  <c r="CS6" i="16"/>
  <c r="CS6" i="12"/>
  <c r="CS7" i="8"/>
  <c r="CS6" i="14"/>
  <c r="DB118" i="13"/>
  <c r="CM3" i="22"/>
  <c r="CZ6" i="16"/>
  <c r="CT7" i="11"/>
  <c r="CZ6" i="12"/>
  <c r="CZ6" i="14"/>
  <c r="CZ7" i="8"/>
  <c r="CZ6" i="15"/>
  <c r="CZ6" i="7"/>
  <c r="CZ6" i="17"/>
  <c r="CZ6" i="13"/>
  <c r="Q173" i="1"/>
  <c r="Q99" i="1"/>
  <c r="P139" i="14"/>
  <c r="P140" i="14" s="1"/>
  <c r="CJ3" i="22"/>
  <c r="CW6" i="17"/>
  <c r="CW6" i="16"/>
  <c r="CW6" i="13"/>
  <c r="CW6" i="7"/>
  <c r="CQ7" i="11"/>
  <c r="CW6" i="12"/>
  <c r="CW7" i="8"/>
  <c r="CW6" i="15"/>
  <c r="CW6" i="14"/>
  <c r="CT7" i="6"/>
  <c r="S127" i="6"/>
  <c r="S144" i="6" s="1"/>
  <c r="S145" i="6" s="1"/>
  <c r="S73" i="8"/>
  <c r="S79" i="8" s="1"/>
  <c r="S93" i="6"/>
  <c r="V81" i="11"/>
  <c r="V73" i="11"/>
  <c r="CU71" i="14"/>
  <c r="CV59" i="14"/>
  <c r="CU60" i="14"/>
  <c r="CU61" i="14"/>
  <c r="T107" i="13"/>
  <c r="R80" i="11"/>
  <c r="R72" i="11"/>
  <c r="R108" i="11"/>
  <c r="DG99" i="6"/>
  <c r="CT583" i="12"/>
  <c r="CU581" i="12" s="1"/>
  <c r="CP6" i="16"/>
  <c r="CP6" i="13"/>
  <c r="CP7" i="8"/>
  <c r="CP6" i="7"/>
  <c r="CJ7" i="11"/>
  <c r="CP6" i="17"/>
  <c r="CC3" i="22"/>
  <c r="CP6" i="15"/>
  <c r="CM7" i="6"/>
  <c r="CP6" i="14"/>
  <c r="CP6" i="12"/>
  <c r="DK57" i="6"/>
  <c r="I116" i="22"/>
  <c r="I97" i="22"/>
  <c r="J98" i="22" s="1"/>
  <c r="DH107" i="13"/>
  <c r="DH118" i="13" s="1"/>
  <c r="DL105" i="13"/>
  <c r="DP105" i="13" s="1"/>
  <c r="DT105" i="13" s="1"/>
  <c r="Q96" i="6"/>
  <c r="Q6" i="6"/>
  <c r="R127" i="13"/>
  <c r="CI7" i="7"/>
  <c r="CI7" i="13"/>
  <c r="CC8" i="11"/>
  <c r="CI7" i="16"/>
  <c r="CI7" i="15"/>
  <c r="CI7" i="14"/>
  <c r="CI8" i="8"/>
  <c r="CI7" i="12"/>
  <c r="CI7" i="17"/>
  <c r="O54" i="6"/>
  <c r="O55" i="6"/>
  <c r="O56" i="6"/>
  <c r="P73" i="11"/>
  <c r="P81" i="11"/>
  <c r="Q103" i="6"/>
  <c r="I8" i="5"/>
  <c r="P135" i="14"/>
  <c r="CU627" i="12"/>
  <c r="CV625" i="12" s="1"/>
  <c r="P56" i="14"/>
  <c r="CN96" i="6"/>
  <c r="CN6" i="6"/>
  <c r="CR7" i="6" s="1"/>
  <c r="CM102" i="7"/>
  <c r="CM657" i="12"/>
  <c r="CM680" i="12"/>
  <c r="CM681" i="12" s="1"/>
  <c r="N22" i="19"/>
  <c r="N28" i="19" s="1"/>
  <c r="O22" i="19" s="1"/>
  <c r="O28" i="19" s="1"/>
  <c r="P22" i="19" s="1"/>
  <c r="P28" i="19" s="1"/>
  <c r="N286" i="12"/>
  <c r="N239" i="12"/>
  <c r="R127" i="6"/>
  <c r="R144" i="6" s="1"/>
  <c r="R145" i="6" s="1"/>
  <c r="R73" i="8"/>
  <c r="R79" i="8" s="1"/>
  <c r="R93" i="6"/>
  <c r="DI92" i="6"/>
  <c r="DI90" i="6"/>
  <c r="DI89" i="6"/>
  <c r="DI95" i="6"/>
  <c r="DI119" i="6"/>
  <c r="DJ77" i="6"/>
  <c r="DJ88" i="6"/>
  <c r="DJ79" i="6"/>
  <c r="O3" i="1"/>
  <c r="O95" i="1"/>
  <c r="O4" i="1" s="1"/>
  <c r="O116" i="1"/>
  <c r="O117" i="1" s="1"/>
  <c r="R106" i="1"/>
  <c r="R108" i="1"/>
  <c r="R126" i="1"/>
  <c r="CX121" i="13"/>
  <c r="BZ7" i="8"/>
  <c r="BZ6" i="7"/>
  <c r="BM3" i="22"/>
  <c r="CA7" i="6"/>
  <c r="BW7" i="6"/>
  <c r="BZ6" i="15"/>
  <c r="BZ6" i="17"/>
  <c r="BZ6" i="14"/>
  <c r="BT7" i="11"/>
  <c r="BZ6" i="12"/>
  <c r="BZ6" i="13"/>
  <c r="BZ6" i="16"/>
  <c r="CB286" i="12"/>
  <c r="CB239" i="12"/>
  <c r="CA233" i="12"/>
  <c r="CA228" i="12" s="1"/>
  <c r="CA117" i="12" s="1"/>
  <c r="BW407" i="21"/>
  <c r="BX406" i="21" s="1"/>
  <c r="CG60" i="8"/>
  <c r="CG61" i="8" s="1"/>
  <c r="CG63" i="8" s="1"/>
  <c r="CR7" i="8"/>
  <c r="CE3" i="22"/>
  <c r="CE4" i="22" s="1"/>
  <c r="CR6" i="13"/>
  <c r="CO7" i="6"/>
  <c r="CR6" i="17"/>
  <c r="CR6" i="14"/>
  <c r="CR6" i="12"/>
  <c r="CR6" i="16"/>
  <c r="CR6" i="7"/>
  <c r="CR6" i="15"/>
  <c r="CL7" i="11"/>
  <c r="CB238" i="12"/>
  <c r="CT664" i="12"/>
  <c r="DL744" i="12"/>
  <c r="DL110" i="7"/>
  <c r="P163" i="7"/>
  <c r="P165" i="7" s="1"/>
  <c r="P197" i="7"/>
  <c r="Q167" i="7"/>
  <c r="P172" i="7"/>
  <c r="N103" i="6"/>
  <c r="W86" i="8"/>
  <c r="I10" i="5"/>
  <c r="W64" i="6"/>
  <c r="W161" i="6"/>
  <c r="W165" i="6" s="1"/>
  <c r="W166" i="6" s="1"/>
  <c r="C47" i="5"/>
  <c r="DE107" i="13"/>
  <c r="DE118" i="13" s="1"/>
  <c r="DI105" i="13"/>
  <c r="V105" i="13" s="1"/>
  <c r="V106" i="13" s="1"/>
  <c r="CM565" i="12"/>
  <c r="CN562" i="12"/>
  <c r="DF107" i="13"/>
  <c r="DJ105" i="13"/>
  <c r="CR96" i="6"/>
  <c r="CW127" i="13"/>
  <c r="P136" i="1"/>
  <c r="P153" i="1" s="1"/>
  <c r="P154" i="1" s="1"/>
  <c r="P168" i="1"/>
  <c r="P171" i="1" s="1"/>
  <c r="P174" i="1" s="1"/>
  <c r="P94" i="1"/>
  <c r="P89" i="1"/>
  <c r="P91" i="1"/>
  <c r="P92" i="1" s="1"/>
  <c r="P88" i="1"/>
  <c r="DA322" i="12"/>
  <c r="DA312" i="12"/>
  <c r="DA106" i="12"/>
  <c r="CY310" i="12"/>
  <c r="CL42" i="22"/>
  <c r="CY311" i="12"/>
  <c r="DB105" i="12"/>
  <c r="DC103" i="12"/>
  <c r="DB218" i="12"/>
  <c r="DB130" i="12"/>
  <c r="DB176" i="12"/>
  <c r="DB104" i="12"/>
  <c r="DB131" i="12"/>
  <c r="CO37" i="22"/>
  <c r="CO38" i="22" s="1"/>
  <c r="DB473" i="12"/>
  <c r="CZ316" i="12"/>
  <c r="CZ317" i="12" s="1"/>
  <c r="CZ342" i="12"/>
  <c r="DA222" i="12"/>
  <c r="DA221" i="12"/>
  <c r="CZ311" i="12"/>
  <c r="CM42" i="22"/>
  <c r="CZ310" i="12"/>
  <c r="CY342" i="12"/>
  <c r="DA179" i="12"/>
  <c r="DA336" i="12" s="1"/>
  <c r="DA337" i="12" s="1"/>
  <c r="DA178" i="12"/>
  <c r="DA223" i="12"/>
  <c r="DA132" i="12"/>
  <c r="DA133" i="12" s="1"/>
  <c r="T176" i="12"/>
  <c r="T218" i="12"/>
  <c r="T104" i="12"/>
  <c r="T131" i="12"/>
  <c r="T130" i="12"/>
  <c r="O95" i="22"/>
  <c r="O96" i="22" s="1"/>
  <c r="T473" i="12"/>
  <c r="T105" i="12"/>
  <c r="DM11" i="6"/>
  <c r="DM12" i="6"/>
  <c r="X78" i="15"/>
  <c r="X77" i="15"/>
  <c r="T24" i="22"/>
  <c r="V7" i="22"/>
  <c r="V9" i="22" s="1"/>
  <c r="V13" i="22" s="1"/>
  <c r="V22" i="22" s="1"/>
  <c r="CA217" i="13" l="1"/>
  <c r="BZ52" i="14"/>
  <c r="BZ53" i="14"/>
  <c r="BM35" i="22"/>
  <c r="BZ47" i="14"/>
  <c r="BZ57" i="14" s="1"/>
  <c r="CA45" i="14"/>
  <c r="CA54" i="14"/>
  <c r="CB98" i="15"/>
  <c r="CB101" i="15" s="1"/>
  <c r="CB102" i="15" s="1"/>
  <c r="CB113" i="15"/>
  <c r="CC90" i="15"/>
  <c r="CB112" i="15"/>
  <c r="BO26" i="22"/>
  <c r="CB215" i="13"/>
  <c r="CB257" i="13" s="1"/>
  <c r="CB118" i="15"/>
  <c r="CB119" i="15" s="1"/>
  <c r="CB48" i="14"/>
  <c r="CB91" i="15"/>
  <c r="Y76" i="15"/>
  <c r="Y109" i="11"/>
  <c r="BO12" i="15"/>
  <c r="BO113" i="15"/>
  <c r="BS18" i="15"/>
  <c r="BR11" i="15"/>
  <c r="BQ113" i="15"/>
  <c r="BQ12" i="15"/>
  <c r="K11" i="15"/>
  <c r="K12" i="15" s="1"/>
  <c r="BU31" i="15"/>
  <c r="BQ31" i="15"/>
  <c r="K30" i="15"/>
  <c r="L48" i="15"/>
  <c r="K48" i="15"/>
  <c r="BP12" i="15"/>
  <c r="BP113" i="15"/>
  <c r="K20" i="15"/>
  <c r="K45" i="15"/>
  <c r="L45" i="15"/>
  <c r="Z24" i="8"/>
  <c r="DR36" i="6"/>
  <c r="R7" i="37" s="1"/>
  <c r="AA24" i="8"/>
  <c r="D25" i="5"/>
  <c r="AA116" i="6"/>
  <c r="AG70" i="13"/>
  <c r="AB126" i="22" s="1"/>
  <c r="AA126" i="22"/>
  <c r="DU159" i="15"/>
  <c r="DU163" i="15" s="1"/>
  <c r="DU164" i="15" s="1"/>
  <c r="DU167" i="15"/>
  <c r="DU155" i="15"/>
  <c r="DU171" i="15" s="1"/>
  <c r="DU156" i="15"/>
  <c r="DI26" i="22"/>
  <c r="DV151" i="15"/>
  <c r="DW90" i="15"/>
  <c r="DY103" i="13"/>
  <c r="Z101" i="13"/>
  <c r="DS102" i="11"/>
  <c r="DS103" i="11" s="1"/>
  <c r="DS107" i="13"/>
  <c r="DS118" i="13" s="1"/>
  <c r="DS121" i="13" s="1"/>
  <c r="DS122" i="13" s="1"/>
  <c r="DW123" i="13" s="1"/>
  <c r="DW105" i="13"/>
  <c r="DW107" i="13" s="1"/>
  <c r="DW118" i="13" s="1"/>
  <c r="DT107" i="13"/>
  <c r="DT118" i="13" s="1"/>
  <c r="DT119" i="13" s="1"/>
  <c r="DX105" i="13"/>
  <c r="DX107" i="13" s="1"/>
  <c r="DX118" i="13" s="1"/>
  <c r="DY104" i="13"/>
  <c r="Z104" i="13" s="1"/>
  <c r="DW22" i="8"/>
  <c r="AC162" i="6"/>
  <c r="AD67" i="6"/>
  <c r="Z121" i="6"/>
  <c r="Z116" i="6"/>
  <c r="Z117" i="6"/>
  <c r="AD84" i="6"/>
  <c r="AC85" i="6"/>
  <c r="Z101" i="7"/>
  <c r="AA60" i="7"/>
  <c r="Q133" i="14"/>
  <c r="Q40" i="14"/>
  <c r="AF738" i="12"/>
  <c r="AG739" i="12"/>
  <c r="AG738" i="12" s="1"/>
  <c r="AE741" i="12"/>
  <c r="AD740" i="12"/>
  <c r="AD742" i="12" s="1"/>
  <c r="AD743" i="12" s="1"/>
  <c r="AD681" i="12"/>
  <c r="AC679" i="12"/>
  <c r="AE656" i="12"/>
  <c r="AD102" i="7"/>
  <c r="DV116" i="6"/>
  <c r="DV117" i="6"/>
  <c r="DX52" i="8"/>
  <c r="DU120" i="6"/>
  <c r="DU118" i="6"/>
  <c r="DW78" i="8"/>
  <c r="DW57" i="8"/>
  <c r="DW116" i="15"/>
  <c r="DW117" i="15" s="1"/>
  <c r="DW55" i="14"/>
  <c r="DW152" i="15"/>
  <c r="DW51" i="14"/>
  <c r="DX15" i="14"/>
  <c r="DX115" i="15"/>
  <c r="DX36" i="14"/>
  <c r="DX37" i="14" s="1"/>
  <c r="DX32" i="14" s="1"/>
  <c r="DX30" i="14" s="1"/>
  <c r="DX31" i="14" s="1"/>
  <c r="DX16" i="14"/>
  <c r="DY14" i="14"/>
  <c r="DX75" i="14"/>
  <c r="DY29" i="14"/>
  <c r="DX50" i="14"/>
  <c r="DX27" i="14"/>
  <c r="DX28" i="14" s="1"/>
  <c r="W9" i="22"/>
  <c r="W13" i="22" s="1"/>
  <c r="W22" i="22" s="1"/>
  <c r="X8" i="22"/>
  <c r="AF72" i="13"/>
  <c r="Z127" i="22"/>
  <c r="S108" i="7"/>
  <c r="CX7" i="6"/>
  <c r="DA7" i="14" s="1"/>
  <c r="DA6" i="16"/>
  <c r="DA6" i="17"/>
  <c r="CK91" i="14"/>
  <c r="BX33" i="22" s="1"/>
  <c r="CK90" i="14"/>
  <c r="BX34" i="22"/>
  <c r="CL88" i="14"/>
  <c r="CN3" i="22"/>
  <c r="CN4" i="22" s="1"/>
  <c r="CU7" i="11"/>
  <c r="DA6" i="15"/>
  <c r="DA6" i="7"/>
  <c r="AB36" i="13"/>
  <c r="X7" i="22"/>
  <c r="AB34" i="13"/>
  <c r="AB770" i="12"/>
  <c r="Y112" i="15"/>
  <c r="AF54" i="7"/>
  <c r="AE53" i="8"/>
  <c r="AE113" i="7"/>
  <c r="AF27" i="7"/>
  <c r="AE30" i="7"/>
  <c r="AE58" i="7"/>
  <c r="AE65" i="7" s="1"/>
  <c r="AD54" i="8"/>
  <c r="AC51" i="8"/>
  <c r="AD38" i="7"/>
  <c r="AF41" i="7"/>
  <c r="AE31" i="8"/>
  <c r="AE80" i="7"/>
  <c r="AG15" i="7"/>
  <c r="AG42" i="8" s="1"/>
  <c r="AG563" i="12"/>
  <c r="AG566" i="12" s="1"/>
  <c r="AF566" i="12"/>
  <c r="AB24" i="8"/>
  <c r="AC26" i="7"/>
  <c r="AC24" i="8" s="1"/>
  <c r="AD103" i="6"/>
  <c r="AE111" i="6"/>
  <c r="AC104" i="6"/>
  <c r="AC745" i="12"/>
  <c r="AC769" i="12"/>
  <c r="AC759" i="12"/>
  <c r="AD115" i="6"/>
  <c r="AC121" i="6"/>
  <c r="AC116" i="6"/>
  <c r="AC117" i="6"/>
  <c r="AF109" i="6"/>
  <c r="AE110" i="6"/>
  <c r="AB120" i="6"/>
  <c r="AB52" i="8"/>
  <c r="AB118" i="6"/>
  <c r="O115" i="35"/>
  <c r="AF17" i="11"/>
  <c r="AF18" i="6"/>
  <c r="AF19" i="6" s="1"/>
  <c r="AB304" i="12"/>
  <c r="AC23" i="12"/>
  <c r="AG289" i="12"/>
  <c r="AG137" i="12" s="1"/>
  <c r="AF137" i="12"/>
  <c r="AF138" i="12" s="1"/>
  <c r="U37" i="37"/>
  <c r="W37" i="37"/>
  <c r="DA6" i="14"/>
  <c r="DA6" i="13"/>
  <c r="CT6" i="14"/>
  <c r="CT6" i="16"/>
  <c r="DR89" i="12"/>
  <c r="DR92" i="12" s="1"/>
  <c r="CT7" i="8"/>
  <c r="CT6" i="12"/>
  <c r="CN7" i="11"/>
  <c r="CT6" i="15"/>
  <c r="CT6" i="7"/>
  <c r="CT6" i="13"/>
  <c r="DE99" i="6"/>
  <c r="CQ7" i="6"/>
  <c r="CT7" i="14" s="1"/>
  <c r="CG3" i="22"/>
  <c r="CG4" i="22" s="1"/>
  <c r="I5" i="37"/>
  <c r="DG35" i="22"/>
  <c r="CC286" i="13"/>
  <c r="N286" i="13" s="1"/>
  <c r="N281" i="13"/>
  <c r="X84" i="12"/>
  <c r="X114" i="8" s="1"/>
  <c r="DN59" i="6"/>
  <c r="DR60" i="6" s="1"/>
  <c r="DN55" i="6"/>
  <c r="DQ70" i="7"/>
  <c r="DN47" i="6"/>
  <c r="DN31" i="6"/>
  <c r="DN17" i="6"/>
  <c r="CE43" i="15"/>
  <c r="CE239" i="13" s="1"/>
  <c r="CE241" i="13" s="1"/>
  <c r="CE243" i="13" s="1"/>
  <c r="CE245" i="13" s="1"/>
  <c r="CE47" i="15"/>
  <c r="CF44" i="15"/>
  <c r="L16" i="22"/>
  <c r="L17" i="22" s="1"/>
  <c r="L19" i="22" s="1"/>
  <c r="L22" i="22" s="1"/>
  <c r="Q48" i="15"/>
  <c r="CD241" i="13"/>
  <c r="N239" i="13"/>
  <c r="CC240" i="13"/>
  <c r="CC241" i="13"/>
  <c r="BZ289" i="13"/>
  <c r="BZ287" i="13"/>
  <c r="CB254" i="13"/>
  <c r="CB255" i="13" s="1"/>
  <c r="CB31" i="15"/>
  <c r="DD311" i="21"/>
  <c r="DD301" i="21" s="1"/>
  <c r="DE310" i="21"/>
  <c r="N18" i="15"/>
  <c r="BP8" i="22"/>
  <c r="DN41" i="6"/>
  <c r="DN86" i="6"/>
  <c r="DN56" i="6"/>
  <c r="DR57" i="6" s="1"/>
  <c r="DN69" i="6"/>
  <c r="DN71" i="6"/>
  <c r="DN75" i="6"/>
  <c r="DN50" i="6"/>
  <c r="DN44" i="6"/>
  <c r="DN63" i="6"/>
  <c r="N8" i="37" s="1"/>
  <c r="DN13" i="6"/>
  <c r="DN36" i="6"/>
  <c r="N7" i="37" s="1"/>
  <c r="BO22" i="22"/>
  <c r="BO23" i="22" s="1"/>
  <c r="CD46" i="15"/>
  <c r="CD279" i="13" s="1"/>
  <c r="CD281" i="13" s="1"/>
  <c r="CC280" i="13"/>
  <c r="N279" i="13"/>
  <c r="I15" i="22"/>
  <c r="CA255" i="13"/>
  <c r="CA292" i="13"/>
  <c r="CA290" i="13"/>
  <c r="CD20" i="15"/>
  <c r="CD18" i="15" s="1"/>
  <c r="BQ15" i="22"/>
  <c r="DQ96" i="12"/>
  <c r="DQ94" i="12"/>
  <c r="DQ95" i="12"/>
  <c r="BZ249" i="13"/>
  <c r="BZ250" i="13"/>
  <c r="CC48" i="15"/>
  <c r="CC45" i="15" s="1"/>
  <c r="BP16" i="22"/>
  <c r="I16" i="22" s="1"/>
  <c r="CC30" i="15"/>
  <c r="AI23" i="12"/>
  <c r="AA304" i="12"/>
  <c r="AA305" i="12" s="1"/>
  <c r="CB289" i="13"/>
  <c r="CB287" i="13"/>
  <c r="CD240" i="13"/>
  <c r="P48" i="15"/>
  <c r="K16" i="22"/>
  <c r="K17" i="22" s="1"/>
  <c r="K19" i="22" s="1"/>
  <c r="DH6" i="15"/>
  <c r="DH6" i="16"/>
  <c r="DH6" i="17"/>
  <c r="DH6" i="14"/>
  <c r="DB7" i="11"/>
  <c r="DH6" i="13"/>
  <c r="CU3" i="22"/>
  <c r="DH6" i="12"/>
  <c r="DH6" i="7"/>
  <c r="DH7" i="8"/>
  <c r="Q139" i="14"/>
  <c r="Q140" i="14" s="1"/>
  <c r="Y92" i="15"/>
  <c r="Q48" i="14"/>
  <c r="Y91" i="15"/>
  <c r="Y113" i="15"/>
  <c r="Y98" i="15"/>
  <c r="T26" i="22"/>
  <c r="Y118" i="15"/>
  <c r="Y119" i="15" s="1"/>
  <c r="DK60" i="17"/>
  <c r="AA118" i="6"/>
  <c r="AA52" i="8"/>
  <c r="AA57" i="8" s="1"/>
  <c r="AA120" i="6"/>
  <c r="N115" i="35"/>
  <c r="DL109" i="7"/>
  <c r="DL116" i="7" s="1"/>
  <c r="Y78" i="15"/>
  <c r="Y77" i="15"/>
  <c r="V126" i="22"/>
  <c r="U126" i="22"/>
  <c r="Y56" i="17"/>
  <c r="Y57" i="17" s="1"/>
  <c r="DH69" i="22"/>
  <c r="Y126" i="17"/>
  <c r="Z127" i="17" s="1"/>
  <c r="DG69" i="22"/>
  <c r="DK35" i="8"/>
  <c r="DK76" i="8"/>
  <c r="DK79" i="8" s="1"/>
  <c r="V56" i="6"/>
  <c r="V54" i="6"/>
  <c r="V55" i="6"/>
  <c r="V79" i="6"/>
  <c r="I100" i="35"/>
  <c r="I103" i="35" s="1"/>
  <c r="I106" i="35" s="1"/>
  <c r="I107" i="35" s="1"/>
  <c r="V122" i="6"/>
  <c r="V77" i="6"/>
  <c r="V88" i="6"/>
  <c r="DM13" i="17"/>
  <c r="DN31" i="17"/>
  <c r="DM94" i="13"/>
  <c r="DM40" i="17" s="1"/>
  <c r="DM32" i="17"/>
  <c r="DJ52" i="6"/>
  <c r="DL18" i="8"/>
  <c r="DL14" i="17"/>
  <c r="DJ35" i="17"/>
  <c r="DJ36" i="17"/>
  <c r="DL41" i="17"/>
  <c r="DL42" i="17"/>
  <c r="DL43" i="17" s="1"/>
  <c r="DL59" i="17"/>
  <c r="DL26" i="17"/>
  <c r="DL45" i="17" s="1"/>
  <c r="V12" i="17"/>
  <c r="V14" i="17"/>
  <c r="V120" i="8"/>
  <c r="V122" i="8" s="1"/>
  <c r="V124" i="8" s="1"/>
  <c r="V59" i="8"/>
  <c r="V61" i="8" s="1"/>
  <c r="V63" i="8" s="1"/>
  <c r="V124" i="6"/>
  <c r="I111" i="35"/>
  <c r="I113" i="35" s="1"/>
  <c r="I117" i="35" s="1"/>
  <c r="V65" i="8"/>
  <c r="DK28" i="17"/>
  <c r="DK29" i="17"/>
  <c r="DK34" i="17"/>
  <c r="DK30" i="17"/>
  <c r="DK27" i="17"/>
  <c r="DH51" i="6"/>
  <c r="DK57" i="12"/>
  <c r="DK50" i="17"/>
  <c r="DK53" i="17"/>
  <c r="DK58" i="17"/>
  <c r="DO107" i="13"/>
  <c r="DP107" i="13"/>
  <c r="DP118" i="13" s="1"/>
  <c r="DP119" i="13" s="1"/>
  <c r="DF99" i="6"/>
  <c r="DE6" i="12"/>
  <c r="DE6" i="17"/>
  <c r="CY7" i="11"/>
  <c r="DE6" i="14"/>
  <c r="DB7" i="6"/>
  <c r="DE6" i="15"/>
  <c r="DE7" i="8"/>
  <c r="DE6" i="13"/>
  <c r="DE6" i="16"/>
  <c r="DE6" i="7"/>
  <c r="CR3" i="22"/>
  <c r="CU759" i="12"/>
  <c r="CY129" i="13"/>
  <c r="DF769" i="12"/>
  <c r="DH769" i="12"/>
  <c r="S6" i="6"/>
  <c r="S7" i="11" s="1"/>
  <c r="CV7" i="6"/>
  <c r="CY7" i="17" s="1"/>
  <c r="DG759" i="12"/>
  <c r="DB759" i="12"/>
  <c r="DG769" i="12"/>
  <c r="CV759" i="12"/>
  <c r="DB769" i="12"/>
  <c r="BW30" i="22"/>
  <c r="CJ93" i="14"/>
  <c r="CI95" i="14"/>
  <c r="CI94" i="14"/>
  <c r="CK44" i="14"/>
  <c r="H44" i="14" s="1"/>
  <c r="CL41" i="14"/>
  <c r="CK43" i="14"/>
  <c r="BX31" i="22"/>
  <c r="CD80" i="15"/>
  <c r="CE84" i="15"/>
  <c r="CD85" i="15"/>
  <c r="N85" i="15"/>
  <c r="N80" i="15"/>
  <c r="N86" i="15"/>
  <c r="CC81" i="15"/>
  <c r="CC82" i="15"/>
  <c r="X51" i="13"/>
  <c r="CY130" i="13"/>
  <c r="DD759" i="12"/>
  <c r="DJ769" i="12"/>
  <c r="CY769" i="12"/>
  <c r="CZ769" i="12"/>
  <c r="DF759" i="12"/>
  <c r="CT770" i="12"/>
  <c r="CW99" i="6"/>
  <c r="S98" i="6"/>
  <c r="S99" i="6" s="1"/>
  <c r="DC769" i="12"/>
  <c r="DH759" i="12"/>
  <c r="DC759" i="12"/>
  <c r="DB6" i="15"/>
  <c r="DB6" i="14"/>
  <c r="DB7" i="8"/>
  <c r="DB6" i="7"/>
  <c r="CO3" i="22"/>
  <c r="CS4" i="22" s="1"/>
  <c r="DB6" i="17"/>
  <c r="CV7" i="11"/>
  <c r="DB6" i="13"/>
  <c r="DB6" i="16"/>
  <c r="DB6" i="12"/>
  <c r="CV6" i="13"/>
  <c r="CV6" i="16"/>
  <c r="CV6" i="7"/>
  <c r="CV6" i="12"/>
  <c r="CV6" i="17"/>
  <c r="CV6" i="14"/>
  <c r="CV6" i="15"/>
  <c r="CV7" i="8"/>
  <c r="CP7" i="11"/>
  <c r="CI3" i="22"/>
  <c r="CI4" i="22" s="1"/>
  <c r="CY759" i="12"/>
  <c r="CZ759" i="12"/>
  <c r="CW759" i="12"/>
  <c r="CS7" i="6"/>
  <c r="CV769" i="12"/>
  <c r="DA759" i="12"/>
  <c r="DE759" i="12"/>
  <c r="DA99" i="6"/>
  <c r="CC4" i="22"/>
  <c r="DA769" i="12"/>
  <c r="CZ99" i="6"/>
  <c r="DC7" i="6"/>
  <c r="DF7" i="17" s="1"/>
  <c r="CW769" i="12"/>
  <c r="CU769" i="12"/>
  <c r="R343" i="13"/>
  <c r="R344" i="13" s="1"/>
  <c r="CS345" i="13"/>
  <c r="CS347" i="13" s="1"/>
  <c r="CM6" i="7"/>
  <c r="CM7" i="8"/>
  <c r="CM6" i="13"/>
  <c r="CM6" i="17"/>
  <c r="BZ3" i="22"/>
  <c r="BZ4" i="22" s="1"/>
  <c r="CM6" i="15"/>
  <c r="CG7" i="11"/>
  <c r="CM6" i="12"/>
  <c r="CM6" i="16"/>
  <c r="CM6" i="14"/>
  <c r="CQ3" i="22"/>
  <c r="DD6" i="7"/>
  <c r="CX7" i="11"/>
  <c r="DD6" i="16"/>
  <c r="DD6" i="14"/>
  <c r="DD6" i="17"/>
  <c r="DD6" i="13"/>
  <c r="DD6" i="15"/>
  <c r="DD6" i="12"/>
  <c r="DD7" i="8"/>
  <c r="DE7" i="6"/>
  <c r="DK769" i="12"/>
  <c r="BZ262" i="13"/>
  <c r="CA265" i="13"/>
  <c r="CA267" i="13"/>
  <c r="CA259" i="13"/>
  <c r="CA260" i="13" s="1"/>
  <c r="CA262" i="13" s="1"/>
  <c r="M230" i="13"/>
  <c r="CA220" i="13"/>
  <c r="BX235" i="13"/>
  <c r="M233" i="13"/>
  <c r="CB258" i="13"/>
  <c r="CB223" i="13"/>
  <c r="CC216" i="13"/>
  <c r="CB225" i="13"/>
  <c r="CB217" i="13"/>
  <c r="CB220" i="13" s="1"/>
  <c r="CA218" i="13"/>
  <c r="CY6" i="13"/>
  <c r="CY6" i="17"/>
  <c r="CY6" i="7"/>
  <c r="CY6" i="16"/>
  <c r="CY7" i="8"/>
  <c r="CY6" i="12"/>
  <c r="CS7" i="11"/>
  <c r="CL3" i="22"/>
  <c r="CL4" i="22" s="1"/>
  <c r="CY6" i="14"/>
  <c r="CY6" i="15"/>
  <c r="BY262" i="13"/>
  <c r="M260" i="13"/>
  <c r="BZ221" i="13"/>
  <c r="BZ230" i="13"/>
  <c r="BM27" i="22"/>
  <c r="DJ759" i="12"/>
  <c r="DE769" i="12"/>
  <c r="DH99" i="6"/>
  <c r="DI769" i="12"/>
  <c r="CZ128" i="13"/>
  <c r="S195" i="7"/>
  <c r="S182" i="7"/>
  <c r="S164" i="7"/>
  <c r="T177" i="7"/>
  <c r="T181" i="7" s="1"/>
  <c r="DK759" i="12"/>
  <c r="DC127" i="13"/>
  <c r="DC128" i="13" s="1"/>
  <c r="T125" i="22"/>
  <c r="X75" i="13"/>
  <c r="DD79" i="22"/>
  <c r="DD148" i="22"/>
  <c r="DD149" i="22"/>
  <c r="DK13" i="11"/>
  <c r="DK107" i="11" s="1"/>
  <c r="DD45" i="22"/>
  <c r="DG121" i="13"/>
  <c r="DG122" i="13" s="1"/>
  <c r="DK107" i="13"/>
  <c r="DK118" i="13" s="1"/>
  <c r="DK119" i="13" s="1"/>
  <c r="CX759" i="12"/>
  <c r="CZ130" i="13"/>
  <c r="CX769" i="12"/>
  <c r="CE352" i="12"/>
  <c r="CE350" i="12"/>
  <c r="CE354" i="12"/>
  <c r="CE355" i="12" s="1"/>
  <c r="CF349" i="12"/>
  <c r="N90" i="12"/>
  <c r="N92" i="12"/>
  <c r="DI759" i="12"/>
  <c r="DD769" i="12"/>
  <c r="CS646" i="12"/>
  <c r="CR677" i="12"/>
  <c r="CU99" i="6"/>
  <c r="CY99" i="6"/>
  <c r="J41" i="22"/>
  <c r="Q310" i="12"/>
  <c r="K42" i="22"/>
  <c r="P310" i="12"/>
  <c r="T97" i="8"/>
  <c r="T102" i="8" s="1"/>
  <c r="DA96" i="8"/>
  <c r="DA97" i="8" s="1"/>
  <c r="CZ96" i="8"/>
  <c r="CZ97" i="8" s="1"/>
  <c r="CY96" i="8"/>
  <c r="CY97" i="8" s="1"/>
  <c r="CX96" i="8"/>
  <c r="CX97" i="8" s="1"/>
  <c r="P569" i="12"/>
  <c r="O571" i="12"/>
  <c r="O310" i="12"/>
  <c r="O341" i="12"/>
  <c r="J42" i="22"/>
  <c r="K41" i="22"/>
  <c r="T204" i="7"/>
  <c r="T205" i="7" s="1"/>
  <c r="T206" i="7" s="1"/>
  <c r="T165" i="6"/>
  <c r="T166" i="6" s="1"/>
  <c r="CR7" i="11"/>
  <c r="CK3" i="22"/>
  <c r="CX7" i="8"/>
  <c r="CX6" i="15"/>
  <c r="CX6" i="17"/>
  <c r="CX6" i="12"/>
  <c r="CX6" i="7"/>
  <c r="CX6" i="14"/>
  <c r="CY7" i="6"/>
  <c r="CX6" i="16"/>
  <c r="CX6" i="13"/>
  <c r="CU7" i="6"/>
  <c r="DI6" i="7"/>
  <c r="DI6" i="14"/>
  <c r="DF7" i="6"/>
  <c r="DI6" i="13"/>
  <c r="DI7" i="8"/>
  <c r="DI6" i="15"/>
  <c r="DI6" i="16"/>
  <c r="DI6" i="17"/>
  <c r="DC7" i="11"/>
  <c r="CV3" i="22"/>
  <c r="DI6" i="12"/>
  <c r="Q653" i="12"/>
  <c r="R650" i="12"/>
  <c r="CS665" i="12"/>
  <c r="R665" i="12" s="1"/>
  <c r="CT597" i="12"/>
  <c r="R599" i="12"/>
  <c r="S597" i="12" s="1"/>
  <c r="S599" i="12" s="1"/>
  <c r="CQ642" i="12"/>
  <c r="CP652" i="12"/>
  <c r="U77" i="6"/>
  <c r="U88" i="6"/>
  <c r="U79" i="6"/>
  <c r="U122" i="6"/>
  <c r="H100" i="35"/>
  <c r="H103" i="35" s="1"/>
  <c r="H106" i="35" s="1"/>
  <c r="H107" i="35" s="1"/>
  <c r="W114" i="8"/>
  <c r="W115" i="8" s="1"/>
  <c r="W95" i="8" s="1"/>
  <c r="W97" i="8" s="1"/>
  <c r="W102" i="8" s="1"/>
  <c r="W87" i="12"/>
  <c r="Q547" i="12"/>
  <c r="Q696" i="12" s="1"/>
  <c r="Q697" i="12" s="1"/>
  <c r="Q698" i="12" s="1"/>
  <c r="Q702" i="12" s="1"/>
  <c r="Q703" i="12" s="1"/>
  <c r="Q704" i="12" s="1"/>
  <c r="V90" i="12"/>
  <c r="V92" i="12"/>
  <c r="DK114" i="8"/>
  <c r="DK115" i="8" s="1"/>
  <c r="DK95" i="8" s="1"/>
  <c r="DK97" i="8" s="1"/>
  <c r="DL84" i="12"/>
  <c r="Y84" i="12" s="1"/>
  <c r="P36" i="17"/>
  <c r="P11" i="17"/>
  <c r="P12" i="17" s="1"/>
  <c r="P26" i="17"/>
  <c r="Q35" i="17"/>
  <c r="P37" i="17"/>
  <c r="P204" i="7"/>
  <c r="P205" i="7" s="1"/>
  <c r="P206" i="7" s="1"/>
  <c r="P165" i="6"/>
  <c r="P166" i="6" s="1"/>
  <c r="DK6" i="17"/>
  <c r="CX3" i="22"/>
  <c r="CX4" i="22" s="1"/>
  <c r="DH7" i="6"/>
  <c r="DK6" i="14"/>
  <c r="DK6" i="13"/>
  <c r="DE7" i="11"/>
  <c r="DK6" i="12"/>
  <c r="DK6" i="15"/>
  <c r="DK6" i="7"/>
  <c r="DK6" i="16"/>
  <c r="DK7" i="8"/>
  <c r="S127" i="13"/>
  <c r="S128" i="13" s="1"/>
  <c r="P94" i="12"/>
  <c r="P96" i="12"/>
  <c r="P95" i="12"/>
  <c r="P93" i="12"/>
  <c r="Q93" i="12"/>
  <c r="P537" i="12"/>
  <c r="P547" i="12" s="1"/>
  <c r="P568" i="12" s="1"/>
  <c r="P56" i="6"/>
  <c r="P57" i="6" s="1"/>
  <c r="P55" i="6"/>
  <c r="CV619" i="12"/>
  <c r="CW617" i="12" s="1"/>
  <c r="CW619" i="12" s="1"/>
  <c r="CW670" i="12" s="1"/>
  <c r="CR667" i="12"/>
  <c r="CS607" i="12"/>
  <c r="CS667" i="12" s="1"/>
  <c r="R605" i="12"/>
  <c r="DA127" i="13"/>
  <c r="DA129" i="13" s="1"/>
  <c r="CU670" i="12"/>
  <c r="DA316" i="12"/>
  <c r="DA317" i="12" s="1"/>
  <c r="CU8" i="8"/>
  <c r="CU7" i="13"/>
  <c r="CU7" i="17"/>
  <c r="CU7" i="16"/>
  <c r="CU7" i="12"/>
  <c r="CU7" i="15"/>
  <c r="CO8" i="11"/>
  <c r="CU7" i="7"/>
  <c r="CU7" i="14"/>
  <c r="DE121" i="13"/>
  <c r="DE122" i="13" s="1"/>
  <c r="CH60" i="8"/>
  <c r="CH61" i="8" s="1"/>
  <c r="CH63" i="8" s="1"/>
  <c r="BX407" i="21"/>
  <c r="BY406" i="21" s="1"/>
  <c r="CC117" i="12"/>
  <c r="N228" i="12"/>
  <c r="N117" i="12" s="1"/>
  <c r="DJ107" i="13"/>
  <c r="DN105" i="13"/>
  <c r="DR105" i="13" s="1"/>
  <c r="DV105" i="13" s="1"/>
  <c r="DV107" i="13" s="1"/>
  <c r="DV118" i="13" s="1"/>
  <c r="I17" i="5"/>
  <c r="I11" i="5"/>
  <c r="P188" i="7"/>
  <c r="P184" i="7"/>
  <c r="P174" i="7"/>
  <c r="P185" i="7"/>
  <c r="CD7" i="12"/>
  <c r="CD7" i="15"/>
  <c r="CD7" i="7"/>
  <c r="CD7" i="14"/>
  <c r="CD7" i="17"/>
  <c r="CD7" i="16"/>
  <c r="CD7" i="13"/>
  <c r="CD8" i="8"/>
  <c r="BX8" i="11"/>
  <c r="CX122" i="13"/>
  <c r="T121" i="13"/>
  <c r="T122" i="13" s="1"/>
  <c r="DM744" i="12"/>
  <c r="DM110" i="7"/>
  <c r="DI96" i="6"/>
  <c r="DI6" i="6"/>
  <c r="DI98" i="6"/>
  <c r="DI99" i="6" s="1"/>
  <c r="CV627" i="12"/>
  <c r="CW625" i="12" s="1"/>
  <c r="Q7" i="8"/>
  <c r="Q6" i="16"/>
  <c r="I6" i="14"/>
  <c r="Q6" i="17"/>
  <c r="Q6" i="7"/>
  <c r="Q6" i="15"/>
  <c r="Q6" i="12"/>
  <c r="Q6" i="13"/>
  <c r="Q7" i="11"/>
  <c r="L3" i="22"/>
  <c r="L4" i="22" s="1"/>
  <c r="CP7" i="17"/>
  <c r="CP7" i="7"/>
  <c r="CJ8" i="11"/>
  <c r="CP7" i="14"/>
  <c r="CP8" i="8"/>
  <c r="CP7" i="16"/>
  <c r="CP7" i="15"/>
  <c r="CP7" i="12"/>
  <c r="CP7" i="13"/>
  <c r="Q100" i="1"/>
  <c r="Q115" i="1"/>
  <c r="Q101" i="1"/>
  <c r="Q131" i="1"/>
  <c r="Q132" i="1" s="1"/>
  <c r="Q107" i="1"/>
  <c r="U107" i="13"/>
  <c r="U118" i="13" s="1"/>
  <c r="U119" i="13" s="1"/>
  <c r="CM8" i="11"/>
  <c r="CS7" i="14"/>
  <c r="CS7" i="7"/>
  <c r="CS7" i="15"/>
  <c r="CS7" i="17"/>
  <c r="CS7" i="12"/>
  <c r="CS7" i="13"/>
  <c r="CS7" i="16"/>
  <c r="CS8" i="8"/>
  <c r="X46" i="16"/>
  <c r="Q88" i="1"/>
  <c r="Q91" i="1"/>
  <c r="Q92" i="1" s="1"/>
  <c r="Q136" i="1"/>
  <c r="Q153" i="1" s="1"/>
  <c r="Q154" i="1" s="1"/>
  <c r="Q94" i="1"/>
  <c r="Q168" i="1"/>
  <c r="Q171" i="1" s="1"/>
  <c r="Q174" i="1" s="1"/>
  <c r="Q89" i="1"/>
  <c r="CO632" i="12"/>
  <c r="Q579" i="12"/>
  <c r="CP577" i="12"/>
  <c r="P26" i="14"/>
  <c r="P24" i="14"/>
  <c r="P27" i="14"/>
  <c r="S113" i="22"/>
  <c r="O81" i="11"/>
  <c r="O73" i="11"/>
  <c r="CV595" i="12"/>
  <c r="CW593" i="12" s="1"/>
  <c r="Q171" i="7"/>
  <c r="Q175" i="7"/>
  <c r="R173" i="1"/>
  <c r="R99" i="1"/>
  <c r="DL107" i="13"/>
  <c r="DL118" i="13" s="1"/>
  <c r="DL119" i="13" s="1"/>
  <c r="CZ7" i="13"/>
  <c r="CZ7" i="12"/>
  <c r="CZ7" i="14"/>
  <c r="CT8" i="11"/>
  <c r="CZ7" i="15"/>
  <c r="CZ7" i="7"/>
  <c r="CZ7" i="17"/>
  <c r="CZ8" i="8"/>
  <c r="CZ7" i="16"/>
  <c r="M102" i="15"/>
  <c r="CT4" i="22"/>
  <c r="CN563" i="12"/>
  <c r="CN566" i="12" s="1"/>
  <c r="CN568" i="12" s="1"/>
  <c r="CN570" i="12" s="1"/>
  <c r="Q565" i="12"/>
  <c r="DF118" i="13"/>
  <c r="DI107" i="13"/>
  <c r="DI118" i="13" s="1"/>
  <c r="DM105" i="13"/>
  <c r="DL117" i="7"/>
  <c r="CA239" i="12"/>
  <c r="CA286" i="12"/>
  <c r="BZ233" i="12"/>
  <c r="BZ228" i="12" s="1"/>
  <c r="BZ117" i="12" s="1"/>
  <c r="BM4" i="22"/>
  <c r="BQ4" i="22"/>
  <c r="R129" i="1"/>
  <c r="R127" i="1"/>
  <c r="DJ89" i="6"/>
  <c r="DJ95" i="6"/>
  <c r="J5" i="37" s="1"/>
  <c r="DJ92" i="6"/>
  <c r="DJ119" i="6"/>
  <c r="DJ90" i="6"/>
  <c r="CQ6" i="17"/>
  <c r="CQ6" i="16"/>
  <c r="CK7" i="11"/>
  <c r="CD3" i="22"/>
  <c r="CQ6" i="14"/>
  <c r="CQ6" i="15"/>
  <c r="CQ7" i="8"/>
  <c r="CN7" i="6"/>
  <c r="CQ6" i="7"/>
  <c r="CQ6" i="12"/>
  <c r="CQ6" i="13"/>
  <c r="Q112" i="6"/>
  <c r="R104" i="6"/>
  <c r="Q346" i="13"/>
  <c r="Q347" i="13" s="1"/>
  <c r="Q86" i="7"/>
  <c r="Q99" i="8"/>
  <c r="Q100" i="8" s="1"/>
  <c r="Q102" i="8" s="1"/>
  <c r="Q66" i="8"/>
  <c r="Q69" i="8" s="1"/>
  <c r="Q122" i="6"/>
  <c r="O57" i="6"/>
  <c r="O64" i="11"/>
  <c r="O58" i="6"/>
  <c r="O76" i="6"/>
  <c r="O109" i="7"/>
  <c r="R130" i="13"/>
  <c r="R129" i="13"/>
  <c r="R128" i="13"/>
  <c r="R73" i="11"/>
  <c r="R81" i="11"/>
  <c r="CJ4" i="22"/>
  <c r="DB121" i="13"/>
  <c r="CN520" i="12"/>
  <c r="CN524" i="12" s="1"/>
  <c r="CN532" i="12" s="1"/>
  <c r="CN656" i="12"/>
  <c r="Q128" i="1"/>
  <c r="DD127" i="13"/>
  <c r="AF79" i="1"/>
  <c r="R80" i="1"/>
  <c r="R87" i="1"/>
  <c r="R128" i="1" s="1"/>
  <c r="DK88" i="6"/>
  <c r="DK79" i="6"/>
  <c r="DK77" i="6"/>
  <c r="CW4" i="22"/>
  <c r="CA238" i="12"/>
  <c r="CW128" i="13"/>
  <c r="CW129" i="13"/>
  <c r="CW130" i="13"/>
  <c r="DL745" i="12"/>
  <c r="DL758" i="12"/>
  <c r="DL768" i="12"/>
  <c r="CU583" i="12"/>
  <c r="CV581" i="12" s="1"/>
  <c r="CV71" i="14"/>
  <c r="CV60" i="14"/>
  <c r="CW59" i="14"/>
  <c r="CV61" i="14"/>
  <c r="CW7" i="12"/>
  <c r="CW7" i="16"/>
  <c r="CW7" i="15"/>
  <c r="CW7" i="13"/>
  <c r="CW8" i="8"/>
  <c r="CW7" i="17"/>
  <c r="CW7" i="7"/>
  <c r="CW7" i="14"/>
  <c r="CQ8" i="11"/>
  <c r="L38" i="19"/>
  <c r="M30" i="19"/>
  <c r="L37" i="19"/>
  <c r="K30" i="20"/>
  <c r="J38" i="20"/>
  <c r="J37" i="20"/>
  <c r="P3" i="1"/>
  <c r="P116" i="1"/>
  <c r="P117" i="1" s="1"/>
  <c r="P95" i="1"/>
  <c r="P4" i="1" s="1"/>
  <c r="CO562" i="12"/>
  <c r="N112" i="6"/>
  <c r="N86" i="7"/>
  <c r="N104" i="6"/>
  <c r="N66" i="8"/>
  <c r="N69" i="8" s="1"/>
  <c r="N122" i="6"/>
  <c r="N123" i="6" s="1"/>
  <c r="CR7" i="12"/>
  <c r="CR7" i="14"/>
  <c r="CR7" i="17"/>
  <c r="CL8" i="11"/>
  <c r="CR8" i="8"/>
  <c r="CR7" i="16"/>
  <c r="CR7" i="7"/>
  <c r="CR7" i="15"/>
  <c r="CR7" i="13"/>
  <c r="BZ7" i="16"/>
  <c r="BT8" i="11"/>
  <c r="BZ7" i="14"/>
  <c r="BZ7" i="12"/>
  <c r="BZ7" i="17"/>
  <c r="BZ7" i="15"/>
  <c r="BZ7" i="7"/>
  <c r="BZ8" i="8"/>
  <c r="BZ7" i="13"/>
  <c r="CX127" i="13"/>
  <c r="DI93" i="6"/>
  <c r="DI145" i="6"/>
  <c r="CU672" i="12"/>
  <c r="DH121" i="13"/>
  <c r="DH122" i="13" s="1"/>
  <c r="CT661" i="12"/>
  <c r="T118" i="13"/>
  <c r="T105" i="13"/>
  <c r="DD8" i="8"/>
  <c r="DD7" i="12"/>
  <c r="DD7" i="16"/>
  <c r="CX8" i="11"/>
  <c r="DD7" i="13"/>
  <c r="DD7" i="7"/>
  <c r="DD7" i="17"/>
  <c r="DD7" i="15"/>
  <c r="DD7" i="14"/>
  <c r="BY106" i="22"/>
  <c r="BZ106" i="22" s="1"/>
  <c r="CA106" i="22" s="1"/>
  <c r="CB106" i="22" s="1"/>
  <c r="L107" i="22"/>
  <c r="CR640" i="12"/>
  <c r="CR675" i="12" s="1"/>
  <c r="DE100" i="15"/>
  <c r="DD99" i="15"/>
  <c r="DD101" i="15" s="1"/>
  <c r="DD102" i="15" s="1"/>
  <c r="CO660" i="12"/>
  <c r="DG7" i="15"/>
  <c r="DG7" i="7"/>
  <c r="DG7" i="16"/>
  <c r="DG7" i="14"/>
  <c r="DG8" i="8"/>
  <c r="DA8" i="11"/>
  <c r="DG7" i="17"/>
  <c r="DG7" i="12"/>
  <c r="DG7" i="13"/>
  <c r="CW8" i="11"/>
  <c r="DC7" i="16"/>
  <c r="DC7" i="7"/>
  <c r="DC8" i="8"/>
  <c r="DC7" i="13"/>
  <c r="DC7" i="15"/>
  <c r="DC7" i="12"/>
  <c r="DC7" i="14"/>
  <c r="DC7" i="17"/>
  <c r="N6" i="16"/>
  <c r="N6" i="12"/>
  <c r="N7" i="8"/>
  <c r="N6" i="13"/>
  <c r="N7" i="6"/>
  <c r="N6" i="17"/>
  <c r="N7" i="11"/>
  <c r="I3" i="22"/>
  <c r="N6" i="7"/>
  <c r="N6" i="15"/>
  <c r="F6" i="14"/>
  <c r="O7" i="6"/>
  <c r="R6" i="15"/>
  <c r="R6" i="12"/>
  <c r="R6" i="16"/>
  <c r="R6" i="13"/>
  <c r="M3" i="22"/>
  <c r="R7" i="8"/>
  <c r="R6" i="17"/>
  <c r="R7" i="6"/>
  <c r="J6" i="14"/>
  <c r="R6" i="7"/>
  <c r="R7" i="11"/>
  <c r="DJ7" i="12"/>
  <c r="DJ7" i="16"/>
  <c r="DJ7" i="13"/>
  <c r="DJ8" i="8"/>
  <c r="DJ7" i="7"/>
  <c r="DJ7" i="17"/>
  <c r="DJ7" i="15"/>
  <c r="DD8" i="11"/>
  <c r="DJ7" i="14"/>
  <c r="O14" i="17"/>
  <c r="O12" i="17"/>
  <c r="CU664" i="12"/>
  <c r="BZ254" i="12"/>
  <c r="BM116" i="22" s="1"/>
  <c r="P7" i="16"/>
  <c r="H7" i="14"/>
  <c r="P8" i="8"/>
  <c r="P7" i="15"/>
  <c r="P8" i="11"/>
  <c r="P7" i="12"/>
  <c r="P7" i="13"/>
  <c r="P7" i="7"/>
  <c r="P7" i="17"/>
  <c r="T312" i="12"/>
  <c r="T106" i="12"/>
  <c r="T322" i="12"/>
  <c r="T221" i="12"/>
  <c r="T222" i="12"/>
  <c r="DC105" i="12"/>
  <c r="DC131" i="12"/>
  <c r="DC218" i="12"/>
  <c r="DC104" i="12"/>
  <c r="DC130" i="12"/>
  <c r="DD103" i="12"/>
  <c r="DD105" i="12" s="1"/>
  <c r="DC473" i="12"/>
  <c r="DC176" i="12"/>
  <c r="CP37" i="22"/>
  <c r="CP38" i="22" s="1"/>
  <c r="DB179" i="12"/>
  <c r="DB336" i="12" s="1"/>
  <c r="DB337" i="12" s="1"/>
  <c r="DB132" i="12"/>
  <c r="DB133" i="12" s="1"/>
  <c r="DB223" i="12"/>
  <c r="DB178" i="12"/>
  <c r="DB322" i="12"/>
  <c r="DB312" i="12"/>
  <c r="DB106" i="12"/>
  <c r="T223" i="12"/>
  <c r="T132" i="12"/>
  <c r="T133" i="12" s="1"/>
  <c r="T179" i="12"/>
  <c r="DA309" i="12"/>
  <c r="DA341" i="12"/>
  <c r="DA313" i="12"/>
  <c r="DB222" i="12"/>
  <c r="DB221" i="12"/>
  <c r="DA323" i="12"/>
  <c r="AA36" i="13"/>
  <c r="DW104" i="15" l="1"/>
  <c r="DV121" i="13"/>
  <c r="DV122" i="13" s="1"/>
  <c r="DV119" i="13"/>
  <c r="BZ56" i="14"/>
  <c r="CC98" i="15"/>
  <c r="CC101" i="15" s="1"/>
  <c r="CC102" i="15" s="1"/>
  <c r="BP26" i="22"/>
  <c r="I26" i="22" s="1"/>
  <c r="CC215" i="13"/>
  <c r="CC91" i="15"/>
  <c r="CC113" i="15"/>
  <c r="CG91" i="15"/>
  <c r="N90" i="15"/>
  <c r="CC48" i="14"/>
  <c r="CD90" i="15"/>
  <c r="CD98" i="15" s="1"/>
  <c r="CD101" i="15" s="1"/>
  <c r="CC118" i="15"/>
  <c r="CC119" i="15" s="1"/>
  <c r="CC112" i="15"/>
  <c r="CB54" i="14"/>
  <c r="CB45" i="14"/>
  <c r="CA52" i="14"/>
  <c r="BN35" i="22"/>
  <c r="CA47" i="14"/>
  <c r="CA57" i="14" s="1"/>
  <c r="CA53" i="14"/>
  <c r="L31" i="15"/>
  <c r="K31" i="15"/>
  <c r="BR12" i="15"/>
  <c r="BR208" i="13"/>
  <c r="BR211" i="13" s="1"/>
  <c r="BR212" i="13" s="1"/>
  <c r="BR113" i="15"/>
  <c r="BT18" i="15"/>
  <c r="BS11" i="15"/>
  <c r="DV159" i="15"/>
  <c r="DV163" i="15" s="1"/>
  <c r="DV164" i="15" s="1"/>
  <c r="DV167" i="15"/>
  <c r="DV155" i="15"/>
  <c r="DV171" i="15" s="1"/>
  <c r="DV156" i="15"/>
  <c r="DW124" i="13"/>
  <c r="DW122" i="13"/>
  <c r="DW125" i="13"/>
  <c r="DS119" i="13"/>
  <c r="DT121" i="13"/>
  <c r="DT122" i="13" s="1"/>
  <c r="D29" i="5"/>
  <c r="D35" i="5"/>
  <c r="D27" i="5"/>
  <c r="D28" i="5"/>
  <c r="D36" i="5"/>
  <c r="D34" i="5"/>
  <c r="D30" i="5"/>
  <c r="D32" i="5"/>
  <c r="D26" i="5"/>
  <c r="D33" i="5"/>
  <c r="D31" i="5"/>
  <c r="R14" i="14"/>
  <c r="R50" i="14" s="1"/>
  <c r="DL29" i="22"/>
  <c r="DU175" i="15"/>
  <c r="DU177" i="15"/>
  <c r="DU178" i="15"/>
  <c r="DU174" i="15"/>
  <c r="DU176" i="15"/>
  <c r="DW118" i="15"/>
  <c r="DW119" i="15" s="1"/>
  <c r="DW120" i="15" s="1"/>
  <c r="DJ26" i="22"/>
  <c r="DW98" i="15"/>
  <c r="DW48" i="14"/>
  <c r="DX90" i="15"/>
  <c r="DW91" i="15"/>
  <c r="DI35" i="22"/>
  <c r="DR107" i="13"/>
  <c r="DR118" i="13" s="1"/>
  <c r="DR121" i="13" s="1"/>
  <c r="DR122" i="13" s="1"/>
  <c r="Z102" i="11"/>
  <c r="Z103" i="11" s="1"/>
  <c r="Z103" i="13"/>
  <c r="Z102" i="13"/>
  <c r="AA101" i="13"/>
  <c r="AA104" i="13" s="1"/>
  <c r="U72" i="22"/>
  <c r="DX22" i="8"/>
  <c r="E26" i="5"/>
  <c r="E33" i="5"/>
  <c r="E31" i="5"/>
  <c r="E32" i="5"/>
  <c r="AA101" i="7"/>
  <c r="AB60" i="7"/>
  <c r="AE84" i="6"/>
  <c r="AD85" i="6"/>
  <c r="AD162" i="6"/>
  <c r="AE67" i="6"/>
  <c r="Z57" i="17"/>
  <c r="Z120" i="6"/>
  <c r="Z118" i="6"/>
  <c r="M115" i="35"/>
  <c r="CR4" i="22"/>
  <c r="AF656" i="12"/>
  <c r="AE102" i="7"/>
  <c r="AF741" i="12"/>
  <c r="AE740" i="12"/>
  <c r="AE742" i="12" s="1"/>
  <c r="AE743" i="12" s="1"/>
  <c r="AD679" i="12"/>
  <c r="AE681" i="12"/>
  <c r="DX78" i="8"/>
  <c r="DX57" i="8"/>
  <c r="DY52" i="8"/>
  <c r="Z52" i="8" s="1"/>
  <c r="DV120" i="6"/>
  <c r="DV118" i="6"/>
  <c r="DY50" i="14"/>
  <c r="DY115" i="15"/>
  <c r="DY15" i="14"/>
  <c r="DY75" i="14"/>
  <c r="DY36" i="14"/>
  <c r="DY37" i="14" s="1"/>
  <c r="DY32" i="14" s="1"/>
  <c r="DY30" i="14" s="1"/>
  <c r="DY31" i="14" s="1"/>
  <c r="DY16" i="14"/>
  <c r="DY27" i="14"/>
  <c r="DY28" i="14" s="1"/>
  <c r="DX116" i="15"/>
  <c r="DX117" i="15" s="1"/>
  <c r="DW160" i="15"/>
  <c r="DW168" i="15"/>
  <c r="DX55" i="14"/>
  <c r="DX152" i="15"/>
  <c r="DX51" i="14"/>
  <c r="DH35" i="22"/>
  <c r="DY45" i="12"/>
  <c r="DY46" i="12"/>
  <c r="X9" i="22"/>
  <c r="X13" i="22" s="1"/>
  <c r="X22" i="22" s="1"/>
  <c r="Y8" i="22"/>
  <c r="DA7" i="15"/>
  <c r="AG72" i="13"/>
  <c r="AB127" i="22" s="1"/>
  <c r="AA127" i="22"/>
  <c r="DA7" i="7"/>
  <c r="DA7" i="17"/>
  <c r="DA7" i="16"/>
  <c r="DA7" i="13"/>
  <c r="CU8" i="11"/>
  <c r="DA7" i="12"/>
  <c r="DA8" i="8"/>
  <c r="BY34" i="22"/>
  <c r="CL91" i="14"/>
  <c r="BY33" i="22" s="1"/>
  <c r="CL90" i="14"/>
  <c r="CM88" i="14"/>
  <c r="DS127" i="13"/>
  <c r="DS130" i="13" s="1"/>
  <c r="AB35" i="13"/>
  <c r="Y7" i="22"/>
  <c r="AC34" i="13"/>
  <c r="AC35" i="13" s="1"/>
  <c r="AF80" i="7"/>
  <c r="AF31" i="8"/>
  <c r="AG41" i="7"/>
  <c r="AE54" i="8"/>
  <c r="AF58" i="7"/>
  <c r="AF65" i="7" s="1"/>
  <c r="AE38" i="7"/>
  <c r="AD51" i="8"/>
  <c r="AF53" i="8"/>
  <c r="AG54" i="7"/>
  <c r="AF113" i="7"/>
  <c r="AG27" i="7"/>
  <c r="AF30" i="7"/>
  <c r="AB78" i="8"/>
  <c r="AB123" i="8"/>
  <c r="AB57" i="8"/>
  <c r="AD104" i="6"/>
  <c r="AD745" i="12"/>
  <c r="AD769" i="12"/>
  <c r="AD759" i="12"/>
  <c r="AD116" i="6"/>
  <c r="AE115" i="6"/>
  <c r="AD121" i="6"/>
  <c r="AD117" i="6"/>
  <c r="AD26" i="7"/>
  <c r="AD24" i="8" s="1"/>
  <c r="AG109" i="6"/>
  <c r="AF110" i="6"/>
  <c r="AC118" i="6"/>
  <c r="P115" i="35"/>
  <c r="AC120" i="6"/>
  <c r="AC52" i="8"/>
  <c r="AC57" i="8" s="1"/>
  <c r="AC770" i="12"/>
  <c r="AF111" i="6"/>
  <c r="AE103" i="6"/>
  <c r="AG18" i="6"/>
  <c r="AG19" i="6" s="1"/>
  <c r="AG17" i="11"/>
  <c r="AG138" i="12"/>
  <c r="AC304" i="12"/>
  <c r="AC305" i="12" s="1"/>
  <c r="AD23" i="12"/>
  <c r="CD4" i="22"/>
  <c r="AB305" i="12"/>
  <c r="DL115" i="7"/>
  <c r="DR94" i="12"/>
  <c r="DR96" i="12"/>
  <c r="DR95" i="12"/>
  <c r="DL108" i="7"/>
  <c r="CN8" i="11"/>
  <c r="CT8" i="8"/>
  <c r="CT7" i="13"/>
  <c r="CT7" i="12"/>
  <c r="CT7" i="17"/>
  <c r="CT7" i="16"/>
  <c r="CT7" i="7"/>
  <c r="CT7" i="15"/>
  <c r="CU4" i="22"/>
  <c r="CE248" i="13"/>
  <c r="CE246" i="13"/>
  <c r="BP17" i="22"/>
  <c r="BP19" i="22" s="1"/>
  <c r="BQ16" i="22"/>
  <c r="BQ17" i="22" s="1"/>
  <c r="BQ19" i="22" s="1"/>
  <c r="CD48" i="15"/>
  <c r="CD45" i="15" s="1"/>
  <c r="CD30" i="15"/>
  <c r="N11" i="15"/>
  <c r="BZ292" i="13"/>
  <c r="BZ290" i="13"/>
  <c r="CD243" i="13"/>
  <c r="CF47" i="15"/>
  <c r="CG44" i="15"/>
  <c r="CF43" i="15"/>
  <c r="DQ95" i="7"/>
  <c r="DQ94" i="7"/>
  <c r="DN61" i="6"/>
  <c r="DN60" i="6"/>
  <c r="CA294" i="13"/>
  <c r="CA293" i="13"/>
  <c r="CD286" i="13"/>
  <c r="CD280" i="13"/>
  <c r="DN76" i="6"/>
  <c r="DN64" i="6"/>
  <c r="N9" i="37" s="1"/>
  <c r="DF310" i="21"/>
  <c r="DE311" i="21"/>
  <c r="DE301" i="21" s="1"/>
  <c r="CC243" i="13"/>
  <c r="N241" i="13"/>
  <c r="CE46" i="15"/>
  <c r="CE279" i="13" s="1"/>
  <c r="N30" i="15"/>
  <c r="CC254" i="13"/>
  <c r="CC31" i="15"/>
  <c r="N280" i="13"/>
  <c r="I8" i="22"/>
  <c r="I9" i="22" s="1"/>
  <c r="I13" i="22" s="1"/>
  <c r="BP9" i="22"/>
  <c r="BP13" i="22" s="1"/>
  <c r="BR15" i="22"/>
  <c r="CE20" i="15"/>
  <c r="CE18" i="15" s="1"/>
  <c r="CB292" i="13"/>
  <c r="CB290" i="13"/>
  <c r="I17" i="22"/>
  <c r="I19" i="22" s="1"/>
  <c r="BQ8" i="22"/>
  <c r="BQ9" i="22" s="1"/>
  <c r="BQ13" i="22" s="1"/>
  <c r="CD19" i="15"/>
  <c r="DN58" i="6"/>
  <c r="DN57" i="6"/>
  <c r="N283" i="13"/>
  <c r="N240" i="13"/>
  <c r="CE240" i="13"/>
  <c r="CC289" i="13"/>
  <c r="CC287" i="13"/>
  <c r="W105" i="13"/>
  <c r="W106" i="13" s="1"/>
  <c r="DQ105" i="13"/>
  <c r="CV770" i="12"/>
  <c r="DO118" i="13"/>
  <c r="BZ238" i="12"/>
  <c r="Q54" i="14"/>
  <c r="Q49" i="14"/>
  <c r="Q45" i="14"/>
  <c r="Q130" i="14"/>
  <c r="Y96" i="15"/>
  <c r="AA78" i="8"/>
  <c r="AA123" i="8"/>
  <c r="P28" i="14"/>
  <c r="AA27" i="37"/>
  <c r="Y141" i="17"/>
  <c r="T69" i="22" s="1"/>
  <c r="Y127" i="17"/>
  <c r="DL17" i="8"/>
  <c r="DO31" i="17"/>
  <c r="DN13" i="17"/>
  <c r="DN18" i="8" s="1"/>
  <c r="DN17" i="8" s="1"/>
  <c r="DN35" i="8" s="1"/>
  <c r="DN32" i="17"/>
  <c r="DK52" i="6"/>
  <c r="DN94" i="13"/>
  <c r="DN40" i="17" s="1"/>
  <c r="V701" i="12"/>
  <c r="V71" i="8"/>
  <c r="V66" i="8"/>
  <c r="V69" i="8" s="1"/>
  <c r="DL57" i="12"/>
  <c r="DL50" i="17"/>
  <c r="DL34" i="17"/>
  <c r="DL28" i="17"/>
  <c r="DL58" i="17"/>
  <c r="DL53" i="17"/>
  <c r="DI51" i="6"/>
  <c r="DL30" i="17"/>
  <c r="DL27" i="17"/>
  <c r="DL29" i="17"/>
  <c r="W52" i="6"/>
  <c r="DM109" i="7"/>
  <c r="DM116" i="7" s="1"/>
  <c r="DM18" i="8"/>
  <c r="DM17" i="8" s="1"/>
  <c r="DM14" i="17"/>
  <c r="V58" i="6"/>
  <c r="V64" i="11"/>
  <c r="V109" i="7"/>
  <c r="V57" i="6"/>
  <c r="DK35" i="17"/>
  <c r="DK36" i="17"/>
  <c r="V15" i="17"/>
  <c r="V60" i="17"/>
  <c r="DL60" i="17"/>
  <c r="V90" i="6"/>
  <c r="V119" i="6"/>
  <c r="V92" i="6"/>
  <c r="V95" i="6"/>
  <c r="V110" i="7"/>
  <c r="V117" i="7" s="1"/>
  <c r="V744" i="12"/>
  <c r="W40" i="17"/>
  <c r="DM26" i="17"/>
  <c r="DM59" i="17"/>
  <c r="DM41" i="17"/>
  <c r="DM42" i="17"/>
  <c r="DM43" i="17" s="1"/>
  <c r="DP121" i="13"/>
  <c r="DP122" i="13" s="1"/>
  <c r="S6" i="7"/>
  <c r="S6" i="12"/>
  <c r="CV4" i="22"/>
  <c r="R345" i="13"/>
  <c r="R347" i="13" s="1"/>
  <c r="DE7" i="7"/>
  <c r="DE7" i="15"/>
  <c r="DE7" i="12"/>
  <c r="DE7" i="17"/>
  <c r="DE7" i="16"/>
  <c r="DE7" i="13"/>
  <c r="CY8" i="11"/>
  <c r="DE8" i="8"/>
  <c r="DE7" i="14"/>
  <c r="S759" i="12"/>
  <c r="S770" i="12" s="1"/>
  <c r="CY7" i="13"/>
  <c r="CY770" i="12"/>
  <c r="DH770" i="12"/>
  <c r="CY7" i="12"/>
  <c r="CY8" i="8"/>
  <c r="CY7" i="14"/>
  <c r="DG770" i="12"/>
  <c r="S6" i="15"/>
  <c r="CS8" i="11"/>
  <c r="CY7" i="15"/>
  <c r="S7" i="6"/>
  <c r="S6" i="13"/>
  <c r="S7" i="8"/>
  <c r="CU770" i="12"/>
  <c r="N3" i="22"/>
  <c r="N4" i="22" s="1"/>
  <c r="S6" i="16"/>
  <c r="CY7" i="16"/>
  <c r="CY7" i="7"/>
  <c r="S6" i="17"/>
  <c r="K6" i="14"/>
  <c r="CM4" i="22"/>
  <c r="DF770" i="12"/>
  <c r="DA770" i="12"/>
  <c r="CW770" i="12"/>
  <c r="CZ770" i="12"/>
  <c r="DB770" i="12"/>
  <c r="DF8" i="8"/>
  <c r="CP4" i="22"/>
  <c r="DF7" i="15"/>
  <c r="DF7" i="12"/>
  <c r="CQ4" i="22"/>
  <c r="CZ8" i="11"/>
  <c r="DF7" i="13"/>
  <c r="DF7" i="16"/>
  <c r="DF7" i="14"/>
  <c r="DF7" i="7"/>
  <c r="K30" i="22"/>
  <c r="H41" i="14"/>
  <c r="H93" i="14"/>
  <c r="H95" i="14" s="1"/>
  <c r="CL44" i="14"/>
  <c r="BY31" i="22"/>
  <c r="CL43" i="14"/>
  <c r="CK93" i="14"/>
  <c r="BX30" i="22"/>
  <c r="CJ94" i="14"/>
  <c r="CJ95" i="14"/>
  <c r="CE80" i="15"/>
  <c r="CF84" i="15"/>
  <c r="CE85" i="15"/>
  <c r="N82" i="15"/>
  <c r="N81" i="15"/>
  <c r="CD82" i="15"/>
  <c r="CD81" i="15"/>
  <c r="S130" i="13"/>
  <c r="DJ770" i="12"/>
  <c r="DC770" i="12"/>
  <c r="T127" i="13"/>
  <c r="T129" i="13" s="1"/>
  <c r="DD770" i="12"/>
  <c r="DK770" i="12"/>
  <c r="DE770" i="12"/>
  <c r="DH8" i="8"/>
  <c r="DH7" i="16"/>
  <c r="DB8" i="11"/>
  <c r="DH7" i="15"/>
  <c r="DH7" i="14"/>
  <c r="DH7" i="12"/>
  <c r="DH7" i="17"/>
  <c r="DH7" i="7"/>
  <c r="DH7" i="13"/>
  <c r="CV7" i="13"/>
  <c r="CP8" i="11"/>
  <c r="CV7" i="15"/>
  <c r="CV7" i="17"/>
  <c r="CV7" i="16"/>
  <c r="CV7" i="14"/>
  <c r="CV8" i="8"/>
  <c r="CV7" i="12"/>
  <c r="CV7" i="7"/>
  <c r="CB218" i="13"/>
  <c r="DI770" i="12"/>
  <c r="BZ231" i="13"/>
  <c r="BZ233" i="13"/>
  <c r="BO27" i="22"/>
  <c r="CB230" i="13"/>
  <c r="CB221" i="13"/>
  <c r="CB267" i="13"/>
  <c r="CB265" i="13"/>
  <c r="CB259" i="13"/>
  <c r="CB260" i="13" s="1"/>
  <c r="CB262" i="13" s="1"/>
  <c r="CA263" i="13"/>
  <c r="CA270" i="13"/>
  <c r="CC223" i="13"/>
  <c r="N223" i="13" s="1"/>
  <c r="CD216" i="13"/>
  <c r="N216" i="13"/>
  <c r="CC225" i="13"/>
  <c r="N225" i="13" s="1"/>
  <c r="CC258" i="13"/>
  <c r="CC217" i="13"/>
  <c r="BN27" i="22"/>
  <c r="CA230" i="13"/>
  <c r="CA221" i="13"/>
  <c r="BZ270" i="13"/>
  <c r="BZ263" i="13"/>
  <c r="BY263" i="13"/>
  <c r="BY270" i="13"/>
  <c r="M262" i="13"/>
  <c r="U177" i="7"/>
  <c r="U181" i="7" s="1"/>
  <c r="T195" i="7"/>
  <c r="T164" i="7"/>
  <c r="T182" i="7"/>
  <c r="M4" i="22"/>
  <c r="DC130" i="13"/>
  <c r="DC129" i="13"/>
  <c r="DG127" i="13"/>
  <c r="DG129" i="13" s="1"/>
  <c r="DK31" i="11"/>
  <c r="X84" i="13"/>
  <c r="V107" i="13"/>
  <c r="V118" i="13" s="1"/>
  <c r="V119" i="13" s="1"/>
  <c r="X76" i="13"/>
  <c r="X13" i="11"/>
  <c r="X107" i="11" s="1"/>
  <c r="S45" i="22"/>
  <c r="S50" i="22" s="1"/>
  <c r="S79" i="22"/>
  <c r="X10" i="6"/>
  <c r="X11" i="6" s="1"/>
  <c r="AA69" i="13"/>
  <c r="AB69" i="13" s="1"/>
  <c r="U125" i="22"/>
  <c r="DK121" i="13"/>
  <c r="DK122" i="13" s="1"/>
  <c r="CX770" i="12"/>
  <c r="S129" i="13"/>
  <c r="P570" i="12"/>
  <c r="P571" i="12" s="1"/>
  <c r="CF352" i="12"/>
  <c r="CF354" i="12"/>
  <c r="CF355" i="12" s="1"/>
  <c r="CG349" i="12"/>
  <c r="CF350" i="12"/>
  <c r="N95" i="12"/>
  <c r="O93" i="12"/>
  <c r="N96" i="12"/>
  <c r="N94" i="12"/>
  <c r="N93" i="12"/>
  <c r="CS648" i="12"/>
  <c r="CS677" i="12" s="1"/>
  <c r="R677" i="12" s="1"/>
  <c r="R646" i="12"/>
  <c r="CX7" i="16"/>
  <c r="CX7" i="12"/>
  <c r="CX7" i="13"/>
  <c r="CX7" i="15"/>
  <c r="CX7" i="17"/>
  <c r="CX7" i="7"/>
  <c r="CR8" i="11"/>
  <c r="CX7" i="14"/>
  <c r="CX8" i="8"/>
  <c r="DB7" i="13"/>
  <c r="DB7" i="14"/>
  <c r="DB8" i="8"/>
  <c r="DB7" i="15"/>
  <c r="DB7" i="7"/>
  <c r="CV8" i="11"/>
  <c r="DB7" i="12"/>
  <c r="DB7" i="16"/>
  <c r="DB7" i="17"/>
  <c r="P342" i="12"/>
  <c r="O342" i="12"/>
  <c r="DI7" i="12"/>
  <c r="DI7" i="14"/>
  <c r="DC8" i="11"/>
  <c r="DI7" i="15"/>
  <c r="DI7" i="13"/>
  <c r="DI7" i="7"/>
  <c r="DI7" i="16"/>
  <c r="DI8" i="8"/>
  <c r="DI7" i="17"/>
  <c r="T76" i="6"/>
  <c r="T86" i="6"/>
  <c r="T75" i="8"/>
  <c r="T85" i="6"/>
  <c r="U85" i="6"/>
  <c r="CK4" i="22"/>
  <c r="CO4" i="22"/>
  <c r="CT599" i="12"/>
  <c r="CU597" i="12" s="1"/>
  <c r="CQ650" i="12"/>
  <c r="CP653" i="12"/>
  <c r="CQ644" i="12"/>
  <c r="CQ676" i="12" s="1"/>
  <c r="CQ678" i="12" s="1"/>
  <c r="V528" i="12"/>
  <c r="V537" i="12"/>
  <c r="V547" i="12" s="1"/>
  <c r="V94" i="12"/>
  <c r="V96" i="12"/>
  <c r="V95" i="12"/>
  <c r="V93" i="12"/>
  <c r="DM84" i="12"/>
  <c r="Z84" i="12" s="1"/>
  <c r="DL114" i="8"/>
  <c r="DL115" i="8" s="1"/>
  <c r="DL95" i="8" s="1"/>
  <c r="DL97" i="8" s="1"/>
  <c r="V123" i="6"/>
  <c r="W92" i="12"/>
  <c r="W90" i="12"/>
  <c r="U110" i="7"/>
  <c r="U744" i="12"/>
  <c r="Y114" i="8"/>
  <c r="U95" i="6"/>
  <c r="U90" i="6"/>
  <c r="U119" i="6"/>
  <c r="U92" i="6"/>
  <c r="V89" i="6"/>
  <c r="DA130" i="13"/>
  <c r="DA128" i="13"/>
  <c r="P109" i="7"/>
  <c r="P58" i="6"/>
  <c r="P76" i="6"/>
  <c r="P64" i="11"/>
  <c r="P58" i="17"/>
  <c r="P45" i="17"/>
  <c r="Q30" i="17"/>
  <c r="P53" i="17"/>
  <c r="P50" i="17"/>
  <c r="P29" i="17"/>
  <c r="Q27" i="17"/>
  <c r="P27" i="17"/>
  <c r="P30" i="17"/>
  <c r="P57" i="12"/>
  <c r="CV672" i="12"/>
  <c r="DK7" i="13"/>
  <c r="DK7" i="15"/>
  <c r="DK7" i="16"/>
  <c r="DK7" i="14"/>
  <c r="DK7" i="7"/>
  <c r="DE8" i="11"/>
  <c r="DK8" i="8"/>
  <c r="DK7" i="12"/>
  <c r="DK7" i="17"/>
  <c r="P14" i="17"/>
  <c r="P15" i="17" s="1"/>
  <c r="Q12" i="17"/>
  <c r="DH127" i="13"/>
  <c r="DH130" i="13" s="1"/>
  <c r="CU661" i="12"/>
  <c r="R667" i="12"/>
  <c r="CV670" i="12"/>
  <c r="CT605" i="12"/>
  <c r="R607" i="12"/>
  <c r="S605" i="12" s="1"/>
  <c r="S607" i="12" s="1"/>
  <c r="DB316" i="12"/>
  <c r="DB317" i="12" s="1"/>
  <c r="R8" i="8"/>
  <c r="R7" i="13"/>
  <c r="J7" i="14"/>
  <c r="R7" i="15"/>
  <c r="R7" i="12"/>
  <c r="R7" i="17"/>
  <c r="R8" i="11"/>
  <c r="R7" i="7"/>
  <c r="R7" i="16"/>
  <c r="S138" i="14"/>
  <c r="T138" i="14" s="1"/>
  <c r="U138" i="14" s="1"/>
  <c r="V138" i="14" s="1"/>
  <c r="W138" i="14" s="1"/>
  <c r="X138" i="14" s="1"/>
  <c r="Y138" i="14" s="1"/>
  <c r="CX130" i="13"/>
  <c r="CX128" i="13"/>
  <c r="CX129" i="13"/>
  <c r="CN499" i="12"/>
  <c r="CN657" i="12" s="1"/>
  <c r="CO569" i="12"/>
  <c r="K8" i="20"/>
  <c r="K35" i="20"/>
  <c r="DL769" i="12"/>
  <c r="DN110" i="7"/>
  <c r="DN744" i="12"/>
  <c r="O77" i="6"/>
  <c r="O79" i="6"/>
  <c r="O110" i="7" s="1"/>
  <c r="O117" i="7" s="1"/>
  <c r="O88" i="6"/>
  <c r="R101" i="1"/>
  <c r="AF99" i="1"/>
  <c r="R100" i="1"/>
  <c r="R115" i="1"/>
  <c r="R131" i="1"/>
  <c r="R132" i="1" s="1"/>
  <c r="R107" i="1"/>
  <c r="CH4" i="22"/>
  <c r="DM745" i="12"/>
  <c r="DM768" i="12"/>
  <c r="DM758" i="12"/>
  <c r="DN107" i="13"/>
  <c r="DE127" i="13"/>
  <c r="DF100" i="15"/>
  <c r="DE99" i="15"/>
  <c r="DE101" i="15" s="1"/>
  <c r="DE102" i="15" s="1"/>
  <c r="Q562" i="12"/>
  <c r="O105" i="22"/>
  <c r="L40" i="19"/>
  <c r="DL759" i="12"/>
  <c r="DK90" i="6"/>
  <c r="DK89" i="6"/>
  <c r="DK95" i="6"/>
  <c r="K5" i="37" s="1"/>
  <c r="DK92" i="6"/>
  <c r="DK119" i="6"/>
  <c r="Q22" i="20"/>
  <c r="Q15" i="20"/>
  <c r="Y46" i="16" s="1"/>
  <c r="Q25" i="20"/>
  <c r="DB122" i="13"/>
  <c r="U121" i="13"/>
  <c r="U122" i="13" s="1"/>
  <c r="R123" i="6"/>
  <c r="BZ239" i="12"/>
  <c r="BZ286" i="12"/>
  <c r="DF121" i="13"/>
  <c r="DF127" i="13" s="1"/>
  <c r="CW595" i="12"/>
  <c r="CW664" i="12" s="1"/>
  <c r="CP579" i="12"/>
  <c r="Q116" i="1"/>
  <c r="Q117" i="1" s="1"/>
  <c r="Q95" i="1"/>
  <c r="Q4" i="1" s="1"/>
  <c r="Q3" i="1"/>
  <c r="G7" i="14"/>
  <c r="O7" i="16"/>
  <c r="O8" i="8"/>
  <c r="O8" i="11"/>
  <c r="O7" i="15"/>
  <c r="O7" i="7"/>
  <c r="O7" i="12"/>
  <c r="O7" i="13"/>
  <c r="O7" i="17"/>
  <c r="N7" i="15"/>
  <c r="N8" i="8"/>
  <c r="N7" i="13"/>
  <c r="N7" i="12"/>
  <c r="N8" i="11"/>
  <c r="N7" i="16"/>
  <c r="N7" i="17"/>
  <c r="N7" i="7"/>
  <c r="F7" i="14"/>
  <c r="J40" i="20"/>
  <c r="M106" i="22"/>
  <c r="M107" i="22" s="1"/>
  <c r="M35" i="19"/>
  <c r="M8" i="19"/>
  <c r="R89" i="1"/>
  <c r="R88" i="1"/>
  <c r="R91" i="1"/>
  <c r="R94" i="1"/>
  <c r="R168" i="1"/>
  <c r="R171" i="1" s="1"/>
  <c r="R174" i="1" s="1"/>
  <c r="R136" i="1"/>
  <c r="R153" i="1" s="1"/>
  <c r="R154" i="1" s="1"/>
  <c r="AF87" i="1"/>
  <c r="DD129" i="13"/>
  <c r="DD130" i="13"/>
  <c r="DD128" i="13"/>
  <c r="DB127" i="13"/>
  <c r="DJ93" i="6"/>
  <c r="DJ145" i="6"/>
  <c r="DM107" i="13"/>
  <c r="DM118" i="13" s="1"/>
  <c r="DM119" i="13" s="1"/>
  <c r="CO563" i="12"/>
  <c r="CO566" i="12" s="1"/>
  <c r="CO568" i="12" s="1"/>
  <c r="DL121" i="13"/>
  <c r="DL122" i="13" s="1"/>
  <c r="Q197" i="7"/>
  <c r="R167" i="7"/>
  <c r="Q163" i="7"/>
  <c r="Q165" i="7" s="1"/>
  <c r="Q172" i="7"/>
  <c r="CV664" i="12"/>
  <c r="DJ118" i="13"/>
  <c r="DJ119" i="13" s="1"/>
  <c r="O15" i="17"/>
  <c r="O60" i="17"/>
  <c r="I4" i="22"/>
  <c r="J4" i="22"/>
  <c r="CO673" i="12"/>
  <c r="Q660" i="12"/>
  <c r="Q673" i="12" s="1"/>
  <c r="CS638" i="12"/>
  <c r="T106" i="13"/>
  <c r="U106" i="13"/>
  <c r="CW60" i="14"/>
  <c r="CW71" i="14"/>
  <c r="CX59" i="14"/>
  <c r="K59" i="14"/>
  <c r="CW61" i="14"/>
  <c r="CV583" i="12"/>
  <c r="CW581" i="12" s="1"/>
  <c r="CN102" i="7"/>
  <c r="CN680" i="12"/>
  <c r="CN681" i="12" s="1"/>
  <c r="O116" i="7"/>
  <c r="CQ7" i="17"/>
  <c r="CK8" i="11"/>
  <c r="CQ7" i="13"/>
  <c r="CQ7" i="7"/>
  <c r="CQ7" i="14"/>
  <c r="CQ7" i="12"/>
  <c r="CQ7" i="15"/>
  <c r="CQ7" i="16"/>
  <c r="CQ8" i="8"/>
  <c r="DJ6" i="6"/>
  <c r="DJ98" i="6"/>
  <c r="DJ96" i="6"/>
  <c r="DI121" i="13"/>
  <c r="DI122" i="13" s="1"/>
  <c r="Q632" i="12"/>
  <c r="CP630" i="12"/>
  <c r="CO633" i="12"/>
  <c r="CW627" i="12"/>
  <c r="CW672" i="12" s="1"/>
  <c r="DL7" i="8"/>
  <c r="DL6" i="15"/>
  <c r="DL6" i="17"/>
  <c r="DF7" i="11"/>
  <c r="DL6" i="16"/>
  <c r="DL6" i="13"/>
  <c r="DL6" i="7"/>
  <c r="DI7" i="6"/>
  <c r="DL6" i="14"/>
  <c r="DL6" i="12"/>
  <c r="CY3" i="22"/>
  <c r="CY4" i="22" s="1"/>
  <c r="DM117" i="7"/>
  <c r="CI60" i="8"/>
  <c r="CI61" i="8" s="1"/>
  <c r="CI63" i="8" s="1"/>
  <c r="BY407" i="21"/>
  <c r="BZ406" i="21" s="1"/>
  <c r="DA342" i="12"/>
  <c r="T336" i="12"/>
  <c r="T337" i="12" s="1"/>
  <c r="T316" i="12"/>
  <c r="T317" i="12" s="1"/>
  <c r="DD473" i="12"/>
  <c r="DE103" i="12"/>
  <c r="DE105" i="12" s="1"/>
  <c r="DD130" i="12"/>
  <c r="DD131" i="12"/>
  <c r="CQ37" i="22"/>
  <c r="CQ38" i="22" s="1"/>
  <c r="DD104" i="12"/>
  <c r="DD218" i="12"/>
  <c r="DD176" i="12"/>
  <c r="DC221" i="12"/>
  <c r="DC222" i="12"/>
  <c r="DB313" i="12"/>
  <c r="DB341" i="12"/>
  <c r="DC179" i="12"/>
  <c r="DC316" i="12" s="1"/>
  <c r="DC317" i="12" s="1"/>
  <c r="DC132" i="12"/>
  <c r="DC133" i="12" s="1"/>
  <c r="DC178" i="12"/>
  <c r="DC223" i="12"/>
  <c r="T323" i="12"/>
  <c r="DB323" i="12"/>
  <c r="DD106" i="12"/>
  <c r="DD312" i="12"/>
  <c r="DD322" i="12"/>
  <c r="DC322" i="12"/>
  <c r="DC106" i="12"/>
  <c r="DC312" i="12"/>
  <c r="DA311" i="12"/>
  <c r="CN42" i="22"/>
  <c r="DA310" i="12"/>
  <c r="T341" i="12"/>
  <c r="T313" i="12"/>
  <c r="V24" i="22"/>
  <c r="DX104" i="15" l="1"/>
  <c r="DV127" i="13"/>
  <c r="N112" i="15"/>
  <c r="F48" i="14"/>
  <c r="N91" i="15"/>
  <c r="N92" i="15"/>
  <c r="F139" i="14"/>
  <c r="O98" i="15"/>
  <c r="O91" i="15"/>
  <c r="N118" i="15"/>
  <c r="O92" i="15"/>
  <c r="N98" i="15"/>
  <c r="N101" i="15" s="1"/>
  <c r="N102" i="15" s="1"/>
  <c r="CB52" i="14"/>
  <c r="CB47" i="14"/>
  <c r="CB57" i="14" s="1"/>
  <c r="CB53" i="14"/>
  <c r="BO35" i="22"/>
  <c r="CA56" i="14"/>
  <c r="N215" i="13"/>
  <c r="N257" i="13" s="1"/>
  <c r="CC257" i="13"/>
  <c r="CH91" i="15"/>
  <c r="CE90" i="15"/>
  <c r="CD215" i="13"/>
  <c r="CD257" i="13" s="1"/>
  <c r="CD48" i="14"/>
  <c r="CD118" i="15"/>
  <c r="CD119" i="15" s="1"/>
  <c r="CD91" i="15"/>
  <c r="BQ26" i="22"/>
  <c r="CD113" i="15"/>
  <c r="CD112" i="15"/>
  <c r="CE98" i="15"/>
  <c r="CE101" i="15" s="1"/>
  <c r="CD102" i="15"/>
  <c r="CH102" i="15"/>
  <c r="CC45" i="14"/>
  <c r="CG49" i="14"/>
  <c r="CC54" i="14"/>
  <c r="BT11" i="15"/>
  <c r="BU18" i="15"/>
  <c r="BS113" i="15"/>
  <c r="BS208" i="13"/>
  <c r="BS211" i="13" s="1"/>
  <c r="BS212" i="13" s="1"/>
  <c r="BS12" i="15"/>
  <c r="R75" i="14"/>
  <c r="DV175" i="15"/>
  <c r="DV178" i="15"/>
  <c r="DV174" i="15"/>
  <c r="DV177" i="15"/>
  <c r="DV176" i="15"/>
  <c r="DR119" i="13"/>
  <c r="DS129" i="13"/>
  <c r="DX122" i="13"/>
  <c r="DX124" i="13"/>
  <c r="DX125" i="13"/>
  <c r="DT127" i="13"/>
  <c r="DT130" i="13" s="1"/>
  <c r="DQ107" i="13"/>
  <c r="DQ118" i="13" s="1"/>
  <c r="DQ121" i="13" s="1"/>
  <c r="DQ122" i="13" s="1"/>
  <c r="DU105" i="13"/>
  <c r="DU107" i="13" s="1"/>
  <c r="DU118" i="13" s="1"/>
  <c r="Z115" i="15"/>
  <c r="Z116" i="15" s="1"/>
  <c r="R27" i="14"/>
  <c r="R16" i="14"/>
  <c r="R36" i="14"/>
  <c r="R17" i="14" s="1"/>
  <c r="R38" i="14" s="1"/>
  <c r="R40" i="14" s="1"/>
  <c r="DU179" i="15"/>
  <c r="DX118" i="15"/>
  <c r="DX119" i="15" s="1"/>
  <c r="DX120" i="15" s="1"/>
  <c r="DK26" i="22"/>
  <c r="DY43" i="12"/>
  <c r="DX98" i="15"/>
  <c r="DW54" i="14"/>
  <c r="DW49" i="14"/>
  <c r="DW151" i="15"/>
  <c r="DW45" i="14"/>
  <c r="DJ35" i="22" s="1"/>
  <c r="DX48" i="14"/>
  <c r="DX91" i="15"/>
  <c r="DY90" i="15"/>
  <c r="DL26" i="22" s="1"/>
  <c r="R55" i="14"/>
  <c r="R51" i="14"/>
  <c r="AA102" i="13"/>
  <c r="V72" i="22"/>
  <c r="AB101" i="13"/>
  <c r="AA102" i="11"/>
  <c r="AA103" i="11" s="1"/>
  <c r="DY22" i="8"/>
  <c r="Z22" i="8" s="1"/>
  <c r="Z48" i="7"/>
  <c r="Z57" i="8"/>
  <c r="Z78" i="8"/>
  <c r="Z123" i="8"/>
  <c r="AE162" i="6"/>
  <c r="AF67" i="6"/>
  <c r="AB101" i="7"/>
  <c r="AC60" i="7"/>
  <c r="AE85" i="6"/>
  <c r="AF84" i="6"/>
  <c r="W24" i="22"/>
  <c r="Q52" i="14"/>
  <c r="R37" i="14"/>
  <c r="R32" i="14" s="1"/>
  <c r="AE679" i="12"/>
  <c r="AF681" i="12"/>
  <c r="AG741" i="12"/>
  <c r="AG740" i="12" s="1"/>
  <c r="AG742" i="12" s="1"/>
  <c r="AG743" i="12" s="1"/>
  <c r="AF740" i="12"/>
  <c r="AF742" i="12" s="1"/>
  <c r="AF743" i="12" s="1"/>
  <c r="AG656" i="12"/>
  <c r="AG102" i="7" s="1"/>
  <c r="AF102" i="7"/>
  <c r="DY78" i="8"/>
  <c r="DY57" i="8"/>
  <c r="DX160" i="15"/>
  <c r="DX168" i="15"/>
  <c r="DY116" i="15"/>
  <c r="DY117" i="15" s="1"/>
  <c r="DY152" i="15"/>
  <c r="DY51" i="14"/>
  <c r="DY55" i="14"/>
  <c r="AB70" i="15"/>
  <c r="Z8" i="22"/>
  <c r="Y9" i="22"/>
  <c r="Y13" i="22" s="1"/>
  <c r="Y22" i="22" s="1"/>
  <c r="AC69" i="13"/>
  <c r="W125" i="22"/>
  <c r="CN88" i="14"/>
  <c r="CM90" i="14"/>
  <c r="BZ34" i="22"/>
  <c r="DM759" i="12"/>
  <c r="AD34" i="13"/>
  <c r="AD35" i="13" s="1"/>
  <c r="Z7" i="22"/>
  <c r="AC36" i="13"/>
  <c r="X24" i="22"/>
  <c r="AD770" i="12"/>
  <c r="AG113" i="7"/>
  <c r="AG30" i="7"/>
  <c r="AG80" i="7"/>
  <c r="AG31" i="8"/>
  <c r="AG53" i="8"/>
  <c r="AE51" i="8"/>
  <c r="AF38" i="7"/>
  <c r="AG58" i="7"/>
  <c r="AG54" i="8" s="1"/>
  <c r="AF54" i="8"/>
  <c r="AG111" i="6"/>
  <c r="AG103" i="6" s="1"/>
  <c r="AF103" i="6"/>
  <c r="AE121" i="6"/>
  <c r="AE116" i="6"/>
  <c r="AF115" i="6"/>
  <c r="AE117" i="6"/>
  <c r="AE26" i="7"/>
  <c r="AE24" i="8" s="1"/>
  <c r="AE769" i="12"/>
  <c r="AE745" i="12"/>
  <c r="AE104" i="6"/>
  <c r="AE759" i="12"/>
  <c r="AG110" i="6"/>
  <c r="Q115" i="35"/>
  <c r="AD52" i="8"/>
  <c r="AD57" i="8" s="1"/>
  <c r="AD120" i="6"/>
  <c r="AD118" i="6"/>
  <c r="AD304" i="12"/>
  <c r="AD305" i="12" s="1"/>
  <c r="AE23" i="12"/>
  <c r="AI69" i="13"/>
  <c r="DM108" i="7"/>
  <c r="S7" i="13"/>
  <c r="DR127" i="13"/>
  <c r="DK93" i="6"/>
  <c r="BR8" i="22"/>
  <c r="BR9" i="22" s="1"/>
  <c r="BR13" i="22" s="1"/>
  <c r="CE19" i="15"/>
  <c r="CE30" i="15"/>
  <c r="CE48" i="15"/>
  <c r="CE45" i="15" s="1"/>
  <c r="BR16" i="22"/>
  <c r="BR17" i="22" s="1"/>
  <c r="BR19" i="22" s="1"/>
  <c r="DG310" i="21"/>
  <c r="DF311" i="21"/>
  <c r="DF301" i="21" s="1"/>
  <c r="CF46" i="15"/>
  <c r="CF279" i="13" s="1"/>
  <c r="CC290" i="13"/>
  <c r="BQ22" i="22"/>
  <c r="N254" i="13"/>
  <c r="N31" i="15"/>
  <c r="BS15" i="22"/>
  <c r="CF20" i="15"/>
  <c r="CF18" i="15" s="1"/>
  <c r="BZ294" i="13"/>
  <c r="BZ293" i="13"/>
  <c r="CD254" i="13"/>
  <c r="CD255" i="13" s="1"/>
  <c r="CD31" i="15"/>
  <c r="CB294" i="13"/>
  <c r="CB293" i="13"/>
  <c r="BP22" i="22"/>
  <c r="CC245" i="13"/>
  <c r="CC248" i="13" s="1"/>
  <c r="N243" i="13"/>
  <c r="N242" i="13" s="1"/>
  <c r="DN79" i="6"/>
  <c r="DN77" i="6"/>
  <c r="DN88" i="6"/>
  <c r="DR89" i="6" s="1"/>
  <c r="CD289" i="13"/>
  <c r="CD287" i="13"/>
  <c r="CH44" i="15"/>
  <c r="CG47" i="15"/>
  <c r="CG43" i="15"/>
  <c r="CD245" i="13"/>
  <c r="CD248" i="13" s="1"/>
  <c r="CC255" i="13"/>
  <c r="N255" i="13" s="1"/>
  <c r="CC292" i="13"/>
  <c r="CE280" i="13"/>
  <c r="CE281" i="13"/>
  <c r="CF239" i="13"/>
  <c r="N289" i="13"/>
  <c r="N113" i="15"/>
  <c r="F140" i="14"/>
  <c r="CE250" i="13"/>
  <c r="CE249" i="13"/>
  <c r="DJ99" i="6"/>
  <c r="DO121" i="13"/>
  <c r="DO119" i="13"/>
  <c r="DP127" i="13"/>
  <c r="Q47" i="14"/>
  <c r="Q57" i="14" s="1"/>
  <c r="Q46" i="14"/>
  <c r="T35" i="22"/>
  <c r="Q53" i="14"/>
  <c r="Q131" i="14"/>
  <c r="Q134" i="14"/>
  <c r="DM115" i="7"/>
  <c r="DM60" i="17"/>
  <c r="K7" i="14"/>
  <c r="S7" i="17"/>
  <c r="U69" i="22"/>
  <c r="AA126" i="17"/>
  <c r="AB126" i="17" s="1"/>
  <c r="AC126" i="17" s="1"/>
  <c r="V745" i="12"/>
  <c r="V759" i="12"/>
  <c r="V769" i="12"/>
  <c r="V116" i="7"/>
  <c r="V115" i="7" s="1"/>
  <c r="V108" i="7"/>
  <c r="DM76" i="8"/>
  <c r="DM79" i="8" s="1"/>
  <c r="DM35" i="8"/>
  <c r="DN59" i="17"/>
  <c r="DN26" i="17"/>
  <c r="DN42" i="17"/>
  <c r="DN43" i="17" s="1"/>
  <c r="DO94" i="13"/>
  <c r="DO40" i="17" s="1"/>
  <c r="DO32" i="17"/>
  <c r="DP31" i="17"/>
  <c r="DQ31" i="17" s="1"/>
  <c r="DR31" i="17" s="1"/>
  <c r="DS31" i="17" s="1"/>
  <c r="DL52" i="6"/>
  <c r="DO13" i="17"/>
  <c r="DO18" i="8" s="1"/>
  <c r="DO17" i="8" s="1"/>
  <c r="DO35" i="8" s="1"/>
  <c r="DM45" i="17"/>
  <c r="DM29" i="17"/>
  <c r="DJ51" i="6"/>
  <c r="W51" i="6" s="1"/>
  <c r="W48" i="6" s="1"/>
  <c r="DM57" i="12"/>
  <c r="DM50" i="17"/>
  <c r="DM34" i="17"/>
  <c r="DM53" i="17"/>
  <c r="DM28" i="17"/>
  <c r="DM27" i="17"/>
  <c r="DM30" i="17"/>
  <c r="DM58" i="17"/>
  <c r="V98" i="6"/>
  <c r="V6" i="6"/>
  <c r="DN109" i="7"/>
  <c r="DN116" i="7" s="1"/>
  <c r="W18" i="8"/>
  <c r="W59" i="17"/>
  <c r="W41" i="17"/>
  <c r="V73" i="8"/>
  <c r="V79" i="8" s="1"/>
  <c r="V127" i="6"/>
  <c r="V144" i="6" s="1"/>
  <c r="V145" i="6" s="1"/>
  <c r="W26" i="17"/>
  <c r="W45" i="17" s="1"/>
  <c r="DL35" i="17"/>
  <c r="DL36" i="17"/>
  <c r="DL76" i="8"/>
  <c r="DL79" i="8" s="1"/>
  <c r="DL35" i="8"/>
  <c r="W17" i="8"/>
  <c r="S7" i="12"/>
  <c r="S8" i="8"/>
  <c r="S7" i="15"/>
  <c r="S7" i="16"/>
  <c r="S8" i="11"/>
  <c r="S7" i="7"/>
  <c r="CK94" i="14"/>
  <c r="CK95" i="14"/>
  <c r="BY30" i="22"/>
  <c r="CL93" i="14"/>
  <c r="K31" i="22"/>
  <c r="H43" i="14"/>
  <c r="CF85" i="15"/>
  <c r="CG84" i="15"/>
  <c r="CF80" i="15"/>
  <c r="CE81" i="15"/>
  <c r="CE82" i="15"/>
  <c r="T128" i="13"/>
  <c r="T81" i="13"/>
  <c r="T82" i="13" s="1"/>
  <c r="W107" i="13"/>
  <c r="W118" i="13" s="1"/>
  <c r="W119" i="13" s="1"/>
  <c r="CA231" i="13"/>
  <c r="CA233" i="13"/>
  <c r="CA228" i="13"/>
  <c r="CB270" i="13"/>
  <c r="CB263" i="13"/>
  <c r="CB231" i="13"/>
  <c r="CB233" i="13"/>
  <c r="CB228" i="13"/>
  <c r="M261" i="13"/>
  <c r="M263" i="13"/>
  <c r="CA273" i="13"/>
  <c r="CA271" i="13"/>
  <c r="BY273" i="13"/>
  <c r="M270" i="13"/>
  <c r="BZ273" i="13"/>
  <c r="BZ271" i="13"/>
  <c r="CC218" i="13"/>
  <c r="N218" i="13" s="1"/>
  <c r="N217" i="13"/>
  <c r="CC220" i="13"/>
  <c r="CD258" i="13"/>
  <c r="CD225" i="13"/>
  <c r="CD223" i="13"/>
  <c r="CE216" i="13"/>
  <c r="CD217" i="13"/>
  <c r="CD218" i="13" s="1"/>
  <c r="CC265" i="13"/>
  <c r="N265" i="13" s="1"/>
  <c r="N258" i="13"/>
  <c r="CC267" i="13"/>
  <c r="N267" i="13" s="1"/>
  <c r="CC259" i="13"/>
  <c r="BZ235" i="13"/>
  <c r="BZ234" i="13"/>
  <c r="DG128" i="13"/>
  <c r="DG130" i="13"/>
  <c r="S148" i="22"/>
  <c r="AA28" i="37"/>
  <c r="V177" i="7"/>
  <c r="V181" i="7" s="1"/>
  <c r="U164" i="7"/>
  <c r="U195" i="7"/>
  <c r="U182" i="7"/>
  <c r="U127" i="13"/>
  <c r="U129" i="13" s="1"/>
  <c r="V125" i="22"/>
  <c r="DK127" i="13"/>
  <c r="DK130" i="13" s="1"/>
  <c r="X85" i="13"/>
  <c r="X31" i="11"/>
  <c r="CG350" i="12"/>
  <c r="CH349" i="12"/>
  <c r="CG354" i="12"/>
  <c r="CG355" i="12" s="1"/>
  <c r="CG352" i="12"/>
  <c r="O349" i="12"/>
  <c r="R648" i="12"/>
  <c r="S646" i="12" s="1"/>
  <c r="S648" i="12" s="1"/>
  <c r="T646" i="12" s="1"/>
  <c r="T648" i="12" s="1"/>
  <c r="CT646" i="12"/>
  <c r="T122" i="6"/>
  <c r="G100" i="35"/>
  <c r="G103" i="35" s="1"/>
  <c r="G106" i="35" s="1"/>
  <c r="G107" i="35" s="1"/>
  <c r="T77" i="6"/>
  <c r="T79" i="6"/>
  <c r="T88" i="6"/>
  <c r="CT665" i="12"/>
  <c r="CO570" i="12"/>
  <c r="CP569" i="12" s="1"/>
  <c r="CP570" i="12" s="1"/>
  <c r="O115" i="7"/>
  <c r="CR642" i="12"/>
  <c r="CQ652" i="12"/>
  <c r="CU599" i="12"/>
  <c r="CV597" i="12" s="1"/>
  <c r="O108" i="7"/>
  <c r="DH128" i="13"/>
  <c r="U117" i="7"/>
  <c r="U115" i="7" s="1"/>
  <c r="U108" i="7"/>
  <c r="V568" i="12"/>
  <c r="V696" i="12"/>
  <c r="V697" i="12" s="1"/>
  <c r="V698" i="12" s="1"/>
  <c r="V702" i="12" s="1"/>
  <c r="V703" i="12" s="1"/>
  <c r="V704" i="12" s="1"/>
  <c r="U6" i="6"/>
  <c r="U98" i="6"/>
  <c r="V96" i="6"/>
  <c r="V531" i="12"/>
  <c r="V532" i="12" s="1"/>
  <c r="W528" i="12"/>
  <c r="W531" i="12" s="1"/>
  <c r="W532" i="12" s="1"/>
  <c r="U73" i="8"/>
  <c r="U79" i="8" s="1"/>
  <c r="U127" i="6"/>
  <c r="U144" i="6" s="1"/>
  <c r="U145" i="6" s="1"/>
  <c r="V93" i="6"/>
  <c r="AA84" i="12"/>
  <c r="Z114" i="8"/>
  <c r="W95" i="12"/>
  <c r="W96" i="12"/>
  <c r="W94" i="12"/>
  <c r="W537" i="12"/>
  <c r="W547" i="12" s="1"/>
  <c r="W93" i="12"/>
  <c r="U759" i="12"/>
  <c r="U769" i="12"/>
  <c r="U745" i="12"/>
  <c r="DN84" i="12"/>
  <c r="DO84" i="12" s="1"/>
  <c r="DP84" i="12" s="1"/>
  <c r="DQ84" i="12" s="1"/>
  <c r="DR84" i="12" s="1"/>
  <c r="DS84" i="12" s="1"/>
  <c r="DT84" i="12" s="1"/>
  <c r="DU84" i="12" s="1"/>
  <c r="DM114" i="8"/>
  <c r="DM115" i="8" s="1"/>
  <c r="DM95" i="8" s="1"/>
  <c r="DM97" i="8" s="1"/>
  <c r="DH129" i="13"/>
  <c r="Q563" i="12"/>
  <c r="Q566" i="12" s="1"/>
  <c r="Q568" i="12" s="1"/>
  <c r="Q570" i="12" s="1"/>
  <c r="R569" i="12" s="1"/>
  <c r="R570" i="12" s="1"/>
  <c r="S569" i="12" s="1"/>
  <c r="S570" i="12" s="1"/>
  <c r="DL770" i="12"/>
  <c r="P77" i="6"/>
  <c r="P79" i="6"/>
  <c r="P110" i="7" s="1"/>
  <c r="P117" i="7" s="1"/>
  <c r="C100" i="35"/>
  <c r="C103" i="35" s="1"/>
  <c r="C106" i="35" s="1"/>
  <c r="C107" i="35" s="1"/>
  <c r="P88" i="6"/>
  <c r="P89" i="6" s="1"/>
  <c r="P60" i="17"/>
  <c r="Q15" i="17"/>
  <c r="P116" i="7"/>
  <c r="CT607" i="12"/>
  <c r="CU605" i="12" s="1"/>
  <c r="DI127" i="13"/>
  <c r="DI128" i="13" s="1"/>
  <c r="DF130" i="13"/>
  <c r="DF128" i="13"/>
  <c r="DF129" i="13"/>
  <c r="CW583" i="12"/>
  <c r="CW661" i="12" s="1"/>
  <c r="DE129" i="13"/>
  <c r="DE130" i="13"/>
  <c r="DE128" i="13"/>
  <c r="BZ407" i="21"/>
  <c r="CA406" i="21" s="1"/>
  <c r="CJ60" i="8"/>
  <c r="CJ61" i="8" s="1"/>
  <c r="CJ63" i="8" s="1"/>
  <c r="DL7" i="17"/>
  <c r="DL7" i="14"/>
  <c r="DL7" i="12"/>
  <c r="DL7" i="15"/>
  <c r="DL7" i="16"/>
  <c r="DL8" i="8"/>
  <c r="DL7" i="13"/>
  <c r="DF8" i="11"/>
  <c r="DL7" i="7"/>
  <c r="R630" i="12"/>
  <c r="Q633" i="12"/>
  <c r="Q656" i="12" s="1"/>
  <c r="R171" i="7"/>
  <c r="R175" i="7"/>
  <c r="DM121" i="13"/>
  <c r="DM122" i="13" s="1"/>
  <c r="DB128" i="13"/>
  <c r="DB129" i="13"/>
  <c r="DB130" i="13"/>
  <c r="DK98" i="6"/>
  <c r="DK96" i="6"/>
  <c r="X105" i="13"/>
  <c r="X106" i="13" s="1"/>
  <c r="DN758" i="12"/>
  <c r="DN768" i="12"/>
  <c r="DN745" i="12"/>
  <c r="K38" i="20"/>
  <c r="L30" i="20"/>
  <c r="K37" i="20"/>
  <c r="CQ577" i="12"/>
  <c r="CP632" i="12"/>
  <c r="CN685" i="12"/>
  <c r="CN571" i="12"/>
  <c r="DC336" i="12"/>
  <c r="DC337" i="12" s="1"/>
  <c r="K61" i="14"/>
  <c r="K62" i="14"/>
  <c r="Q188" i="7"/>
  <c r="Q174" i="7"/>
  <c r="Q184" i="7"/>
  <c r="Q185" i="7"/>
  <c r="R3" i="1"/>
  <c r="AF4" i="1" s="1"/>
  <c r="AF94" i="1"/>
  <c r="R116" i="1"/>
  <c r="R117" i="1" s="1"/>
  <c r="R95" i="1"/>
  <c r="R4" i="1" s="1"/>
  <c r="Q24" i="20"/>
  <c r="Q28" i="20" s="1"/>
  <c r="DN118" i="13"/>
  <c r="DN119" i="13" s="1"/>
  <c r="DN117" i="7"/>
  <c r="DM769" i="12"/>
  <c r="N30" i="19"/>
  <c r="M38" i="19"/>
  <c r="M37" i="19"/>
  <c r="CO520" i="12"/>
  <c r="CO656" i="12"/>
  <c r="DM6" i="13"/>
  <c r="DM6" i="14"/>
  <c r="DG7" i="11"/>
  <c r="CZ3" i="22"/>
  <c r="CZ4" i="22" s="1"/>
  <c r="DJ7" i="6"/>
  <c r="DM7" i="8"/>
  <c r="DM6" i="16"/>
  <c r="DM6" i="7"/>
  <c r="DM6" i="12"/>
  <c r="DM6" i="17"/>
  <c r="DM6" i="15"/>
  <c r="CV661" i="12"/>
  <c r="CX71" i="14"/>
  <c r="CY59" i="14"/>
  <c r="CX61" i="14"/>
  <c r="CX60" i="14"/>
  <c r="R638" i="12"/>
  <c r="CS640" i="12"/>
  <c r="CS675" i="12" s="1"/>
  <c r="DJ121" i="13"/>
  <c r="DJ127" i="13" s="1"/>
  <c r="DL127" i="13"/>
  <c r="AF91" i="1"/>
  <c r="R92" i="1"/>
  <c r="CP660" i="12"/>
  <c r="V121" i="13"/>
  <c r="DF122" i="13"/>
  <c r="DF99" i="15"/>
  <c r="DF101" i="15" s="1"/>
  <c r="DF102" i="15" s="1"/>
  <c r="DG100" i="15"/>
  <c r="O92" i="6"/>
  <c r="O103" i="6"/>
  <c r="O145" i="6"/>
  <c r="O89" i="6"/>
  <c r="O90" i="6"/>
  <c r="O119" i="6"/>
  <c r="DE322" i="12"/>
  <c r="DE312" i="12"/>
  <c r="DE106" i="12"/>
  <c r="DD323" i="12"/>
  <c r="DD313" i="12"/>
  <c r="DD341" i="12"/>
  <c r="DD132" i="12"/>
  <c r="DD133" i="12" s="1"/>
  <c r="DD179" i="12"/>
  <c r="DD316" i="12" s="1"/>
  <c r="DD317" i="12" s="1"/>
  <c r="DD178" i="12"/>
  <c r="DD223" i="12"/>
  <c r="T342" i="12"/>
  <c r="DC323" i="12"/>
  <c r="DD221" i="12"/>
  <c r="DD222" i="12"/>
  <c r="DE130" i="12"/>
  <c r="CR37" i="22"/>
  <c r="CR38" i="22" s="1"/>
  <c r="DE176" i="12"/>
  <c r="DE104" i="12"/>
  <c r="DE131" i="12"/>
  <c r="DE218" i="12"/>
  <c r="U103" i="12"/>
  <c r="DF103" i="12"/>
  <c r="DF105" i="12" s="1"/>
  <c r="DE473" i="12"/>
  <c r="DC313" i="12"/>
  <c r="DC341" i="12"/>
  <c r="DB342" i="12"/>
  <c r="DY104" i="15" l="1"/>
  <c r="Z104" i="15" s="1"/>
  <c r="DV129" i="13"/>
  <c r="DV130" i="13"/>
  <c r="DQ119" i="13"/>
  <c r="CB56" i="14"/>
  <c r="N259" i="13"/>
  <c r="CE102" i="15"/>
  <c r="CI102" i="15"/>
  <c r="CF90" i="15"/>
  <c r="CI91" i="15"/>
  <c r="CE48" i="14"/>
  <c r="CE112" i="15"/>
  <c r="BR26" i="22"/>
  <c r="CE113" i="15"/>
  <c r="CE215" i="13"/>
  <c r="CE257" i="13" s="1"/>
  <c r="CE91" i="15"/>
  <c r="CE118" i="15"/>
  <c r="CE119" i="15" s="1"/>
  <c r="F130" i="14"/>
  <c r="N100" i="15"/>
  <c r="N96" i="15"/>
  <c r="CD120" i="15"/>
  <c r="CH120" i="15"/>
  <c r="CC52" i="14"/>
  <c r="BP35" i="22"/>
  <c r="CC47" i="14"/>
  <c r="CC57" i="14" s="1"/>
  <c r="CG46" i="14"/>
  <c r="CC53" i="14"/>
  <c r="CH49" i="14"/>
  <c r="CD49" i="14"/>
  <c r="CD54" i="14"/>
  <c r="CD45" i="14"/>
  <c r="O96" i="15"/>
  <c r="P96" i="15"/>
  <c r="G130" i="14"/>
  <c r="F45" i="14"/>
  <c r="G54" i="14"/>
  <c r="G49" i="14"/>
  <c r="L18" i="15"/>
  <c r="L19" i="15" s="1"/>
  <c r="BU11" i="15"/>
  <c r="BV18" i="15"/>
  <c r="BT12" i="15"/>
  <c r="BT208" i="13"/>
  <c r="BT211" i="13" s="1"/>
  <c r="BT212" i="13" s="1"/>
  <c r="BT113" i="15"/>
  <c r="Z9" i="22"/>
  <c r="Z13" i="22" s="1"/>
  <c r="Z22" i="22" s="1"/>
  <c r="DR129" i="13"/>
  <c r="DV128" i="13"/>
  <c r="DV179" i="15"/>
  <c r="DT129" i="13"/>
  <c r="DT31" i="17"/>
  <c r="DU31" i="17" s="1"/>
  <c r="DV31" i="17" s="1"/>
  <c r="DS13" i="17"/>
  <c r="DS18" i="8" s="1"/>
  <c r="DS17" i="8" s="1"/>
  <c r="DS35" i="8" s="1"/>
  <c r="DP52" i="6"/>
  <c r="DS109" i="7" s="1"/>
  <c r="DS32" i="17"/>
  <c r="DS94" i="13"/>
  <c r="DS40" i="17" s="1"/>
  <c r="DU119" i="13"/>
  <c r="DU121" i="13"/>
  <c r="DU122" i="13" s="1"/>
  <c r="DY123" i="13" s="1"/>
  <c r="R132" i="14"/>
  <c r="R133" i="14" s="1"/>
  <c r="R30" i="14"/>
  <c r="R31" i="14" s="1"/>
  <c r="R22" i="14"/>
  <c r="DY48" i="14"/>
  <c r="Z90" i="15"/>
  <c r="DY91" i="15"/>
  <c r="DW159" i="15"/>
  <c r="DW167" i="15"/>
  <c r="DY118" i="15"/>
  <c r="DY119" i="15" s="1"/>
  <c r="DY120" i="15" s="1"/>
  <c r="DX54" i="14"/>
  <c r="DX49" i="14"/>
  <c r="DX151" i="15"/>
  <c r="DX45" i="14"/>
  <c r="DY98" i="15"/>
  <c r="DW46" i="14"/>
  <c r="DW53" i="14"/>
  <c r="DW47" i="14"/>
  <c r="DW52" i="14"/>
  <c r="Y105" i="13"/>
  <c r="DY105" i="13"/>
  <c r="AB102" i="11"/>
  <c r="AC101" i="13"/>
  <c r="W72" i="22"/>
  <c r="AB102" i="13"/>
  <c r="AB104" i="13"/>
  <c r="AD60" i="7"/>
  <c r="AC101" i="7"/>
  <c r="AG84" i="6"/>
  <c r="AG85" i="6" s="1"/>
  <c r="AF85" i="6"/>
  <c r="AF162" i="6"/>
  <c r="AG67" i="6"/>
  <c r="AG162" i="6" s="1"/>
  <c r="DM770" i="12"/>
  <c r="AF679" i="12"/>
  <c r="AG681" i="12"/>
  <c r="AG679" i="12" s="1"/>
  <c r="DY160" i="15"/>
  <c r="DY168" i="15"/>
  <c r="AA8" i="22"/>
  <c r="AB8" i="22"/>
  <c r="AD69" i="13"/>
  <c r="X125" i="22"/>
  <c r="CO88" i="14"/>
  <c r="CA34" i="22"/>
  <c r="CN91" i="14"/>
  <c r="CN90" i="14"/>
  <c r="DP130" i="13"/>
  <c r="DT128" i="13"/>
  <c r="AE34" i="13"/>
  <c r="AE35" i="13" s="1"/>
  <c r="AA7" i="22"/>
  <c r="AC70" i="15"/>
  <c r="AC71" i="15" s="1"/>
  <c r="AD36" i="13"/>
  <c r="Y24" i="22"/>
  <c r="AF51" i="8"/>
  <c r="AG38" i="7"/>
  <c r="AG51" i="8" s="1"/>
  <c r="AG65" i="7"/>
  <c r="AE770" i="12"/>
  <c r="R115" i="35"/>
  <c r="AE52" i="8"/>
  <c r="AE57" i="8" s="1"/>
  <c r="AE120" i="6"/>
  <c r="AE118" i="6"/>
  <c r="AF116" i="6"/>
  <c r="AG115" i="6"/>
  <c r="AF121" i="6"/>
  <c r="AF117" i="6"/>
  <c r="AF26" i="7"/>
  <c r="AF769" i="12"/>
  <c r="AF745" i="12"/>
  <c r="AF759" i="12"/>
  <c r="AF104" i="6"/>
  <c r="AG745" i="12"/>
  <c r="AG769" i="12"/>
  <c r="AG759" i="12"/>
  <c r="AG104" i="6"/>
  <c r="AC141" i="17"/>
  <c r="X69" i="22" s="1"/>
  <c r="AD126" i="17"/>
  <c r="AC127" i="17"/>
  <c r="AF23" i="12"/>
  <c r="AE304" i="12"/>
  <c r="AE305" i="12" s="1"/>
  <c r="DO52" i="6"/>
  <c r="DR94" i="13"/>
  <c r="DR40" i="17" s="1"/>
  <c r="DR32" i="17"/>
  <c r="AB127" i="17"/>
  <c r="AB141" i="17"/>
  <c r="W69" i="22" s="1"/>
  <c r="BR22" i="22"/>
  <c r="AA114" i="8"/>
  <c r="AB84" i="12"/>
  <c r="U29" i="22"/>
  <c r="S29" i="14"/>
  <c r="DG311" i="21"/>
  <c r="DG301" i="21" s="1"/>
  <c r="DH310" i="21"/>
  <c r="DH311" i="21" s="1"/>
  <c r="DH301" i="21" s="1"/>
  <c r="DP128" i="13"/>
  <c r="DR130" i="13"/>
  <c r="DN45" i="17"/>
  <c r="DK99" i="6"/>
  <c r="DR114" i="8"/>
  <c r="N290" i="13"/>
  <c r="N292" i="13"/>
  <c r="BT15" i="22"/>
  <c r="CG20" i="15"/>
  <c r="CG18" i="15" s="1"/>
  <c r="CC246" i="13"/>
  <c r="N245" i="13"/>
  <c r="DN52" i="6"/>
  <c r="DQ109" i="7" s="1"/>
  <c r="DQ13" i="17"/>
  <c r="DQ18" i="8" s="1"/>
  <c r="DQ17" i="8" s="1"/>
  <c r="DQ35" i="8" s="1"/>
  <c r="DQ32" i="17"/>
  <c r="DQ94" i="13"/>
  <c r="DQ40" i="17" s="1"/>
  <c r="CF240" i="13"/>
  <c r="CF241" i="13"/>
  <c r="CD249" i="13"/>
  <c r="CD250" i="13"/>
  <c r="CG46" i="15"/>
  <c r="CG279" i="13" s="1"/>
  <c r="DQ744" i="12"/>
  <c r="DQ110" i="7"/>
  <c r="DQ117" i="7" s="1"/>
  <c r="I22" i="22"/>
  <c r="I23" i="22" s="1"/>
  <c r="BP23" i="22"/>
  <c r="BS8" i="22"/>
  <c r="BS9" i="22" s="1"/>
  <c r="BS13" i="22" s="1"/>
  <c r="CF19" i="15"/>
  <c r="CF280" i="13"/>
  <c r="CE286" i="13"/>
  <c r="CG239" i="13"/>
  <c r="CD292" i="13"/>
  <c r="CD290" i="13"/>
  <c r="BS16" i="22"/>
  <c r="BS17" i="22" s="1"/>
  <c r="BS19" i="22" s="1"/>
  <c r="CF30" i="15"/>
  <c r="CF48" i="15"/>
  <c r="CF45" i="15" s="1"/>
  <c r="CF281" i="13"/>
  <c r="CF286" i="13" s="1"/>
  <c r="CC294" i="13"/>
  <c r="CC293" i="13"/>
  <c r="CD246" i="13"/>
  <c r="CH43" i="15"/>
  <c r="CH239" i="13" s="1"/>
  <c r="CH47" i="15"/>
  <c r="CI44" i="15"/>
  <c r="DN90" i="6"/>
  <c r="DN119" i="6"/>
  <c r="DN95" i="6"/>
  <c r="N5" i="37" s="1"/>
  <c r="DN92" i="6"/>
  <c r="DN89" i="6"/>
  <c r="CC250" i="13"/>
  <c r="CC249" i="13"/>
  <c r="CE254" i="13"/>
  <c r="CE255" i="13" s="1"/>
  <c r="CE31" i="15"/>
  <c r="DQ127" i="13"/>
  <c r="DQ130" i="13" s="1"/>
  <c r="DP129" i="13"/>
  <c r="W34" i="17"/>
  <c r="W35" i="17" s="1"/>
  <c r="DO122" i="13"/>
  <c r="DO127" i="13"/>
  <c r="DS128" i="13" s="1"/>
  <c r="Y106" i="13"/>
  <c r="Q56" i="14"/>
  <c r="Q135" i="14"/>
  <c r="DN108" i="7"/>
  <c r="DN115" i="7"/>
  <c r="X107" i="13"/>
  <c r="X118" i="13" s="1"/>
  <c r="X119" i="13" s="1"/>
  <c r="Y107" i="13"/>
  <c r="Y118" i="13" s="1"/>
  <c r="V770" i="12"/>
  <c r="AA141" i="17"/>
  <c r="V69" i="22" s="1"/>
  <c r="AA127" i="17"/>
  <c r="W192" i="7"/>
  <c r="W193" i="7" s="1"/>
  <c r="W53" i="6"/>
  <c r="W49" i="6"/>
  <c r="W76" i="6"/>
  <c r="W50" i="6"/>
  <c r="W55" i="11"/>
  <c r="DO59" i="17"/>
  <c r="DO26" i="17"/>
  <c r="DO42" i="17"/>
  <c r="DO43" i="17" s="1"/>
  <c r="W57" i="12"/>
  <c r="W29" i="17"/>
  <c r="W27" i="17"/>
  <c r="W58" i="17"/>
  <c r="W30" i="17"/>
  <c r="W50" i="17"/>
  <c r="DM36" i="17"/>
  <c r="DM35" i="17"/>
  <c r="V7" i="11"/>
  <c r="V6" i="15"/>
  <c r="V6" i="7"/>
  <c r="V6" i="13"/>
  <c r="N6" i="14"/>
  <c r="V7" i="8"/>
  <c r="Q3" i="22"/>
  <c r="V6" i="12"/>
  <c r="V6" i="16"/>
  <c r="V6" i="17"/>
  <c r="DM52" i="6"/>
  <c r="DP94" i="13"/>
  <c r="DP40" i="17" s="1"/>
  <c r="DP13" i="17"/>
  <c r="DP18" i="8" s="1"/>
  <c r="DP17" i="8" s="1"/>
  <c r="DP35" i="8" s="1"/>
  <c r="DP32" i="17"/>
  <c r="X31" i="17"/>
  <c r="W34" i="8"/>
  <c r="W76" i="8"/>
  <c r="DN50" i="17"/>
  <c r="DN34" i="17"/>
  <c r="DK51" i="6"/>
  <c r="DN27" i="17"/>
  <c r="DN29" i="17"/>
  <c r="DN53" i="17"/>
  <c r="DN28" i="17"/>
  <c r="DN58" i="17"/>
  <c r="DN30" i="17"/>
  <c r="CL94" i="14"/>
  <c r="CL95" i="14"/>
  <c r="CF81" i="15"/>
  <c r="CF82" i="15"/>
  <c r="O84" i="15"/>
  <c r="CG80" i="15"/>
  <c r="CH84" i="15"/>
  <c r="CG85" i="15"/>
  <c r="T130" i="13"/>
  <c r="U128" i="13"/>
  <c r="T133" i="13"/>
  <c r="O80" i="22" s="1"/>
  <c r="U81" i="13"/>
  <c r="U130" i="13" s="1"/>
  <c r="CD220" i="13"/>
  <c r="CD267" i="13"/>
  <c r="CD265" i="13"/>
  <c r="CD259" i="13"/>
  <c r="CD260" i="13" s="1"/>
  <c r="CA274" i="13"/>
  <c r="CA275" i="13"/>
  <c r="CB235" i="13"/>
  <c r="CB234" i="13"/>
  <c r="CF216" i="13"/>
  <c r="CE258" i="13"/>
  <c r="CE225" i="13"/>
  <c r="CE226" i="13" s="1"/>
  <c r="CE223" i="13"/>
  <c r="CE224" i="13" s="1"/>
  <c r="CE217" i="13"/>
  <c r="BY275" i="13"/>
  <c r="M273" i="13"/>
  <c r="CA234" i="13"/>
  <c r="CA235" i="13"/>
  <c r="CD224" i="13"/>
  <c r="BP27" i="22"/>
  <c r="I27" i="22" s="1"/>
  <c r="CC221" i="13"/>
  <c r="CC230" i="13"/>
  <c r="N220" i="13"/>
  <c r="CC260" i="13"/>
  <c r="CD226" i="13"/>
  <c r="BZ274" i="13"/>
  <c r="BZ275" i="13"/>
  <c r="CB271" i="13"/>
  <c r="CB273" i="13"/>
  <c r="V182" i="7"/>
  <c r="W177" i="7"/>
  <c r="W181" i="7" s="1"/>
  <c r="V164" i="7"/>
  <c r="V195" i="7"/>
  <c r="DK129" i="13"/>
  <c r="DN121" i="13"/>
  <c r="DN122" i="13" s="1"/>
  <c r="DK128" i="13"/>
  <c r="CO499" i="12"/>
  <c r="Q499" i="12" s="1"/>
  <c r="CH350" i="12"/>
  <c r="CI349" i="12"/>
  <c r="CH352" i="12"/>
  <c r="CH354" i="12"/>
  <c r="CH355" i="12" s="1"/>
  <c r="O354" i="12"/>
  <c r="O352" i="12"/>
  <c r="O350" i="12"/>
  <c r="CT648" i="12"/>
  <c r="CU646" i="12" s="1"/>
  <c r="T119" i="6"/>
  <c r="T92" i="6"/>
  <c r="T90" i="6"/>
  <c r="T89" i="6"/>
  <c r="T95" i="6"/>
  <c r="U89" i="6"/>
  <c r="T123" i="6"/>
  <c r="U123" i="6"/>
  <c r="T744" i="12"/>
  <c r="T110" i="7"/>
  <c r="CU665" i="12"/>
  <c r="DI130" i="13"/>
  <c r="CV599" i="12"/>
  <c r="CW597" i="12" s="1"/>
  <c r="CW599" i="12" s="1"/>
  <c r="CW665" i="12" s="1"/>
  <c r="CR650" i="12"/>
  <c r="CQ653" i="12"/>
  <c r="CR644" i="12"/>
  <c r="CR676" i="12" s="1"/>
  <c r="CR678" i="12" s="1"/>
  <c r="V99" i="6"/>
  <c r="U770" i="12"/>
  <c r="U7" i="8"/>
  <c r="U6" i="7"/>
  <c r="M6" i="14"/>
  <c r="U6" i="16"/>
  <c r="U6" i="15"/>
  <c r="U6" i="13"/>
  <c r="U7" i="11"/>
  <c r="U6" i="12"/>
  <c r="P3" i="22"/>
  <c r="U6" i="17"/>
  <c r="V7" i="6"/>
  <c r="DN114" i="8"/>
  <c r="W696" i="12"/>
  <c r="W697" i="12" s="1"/>
  <c r="W698" i="12" s="1"/>
  <c r="W568" i="12"/>
  <c r="DM127" i="13"/>
  <c r="DM129" i="13" s="1"/>
  <c r="P108" i="7"/>
  <c r="DI129" i="13"/>
  <c r="P115" i="7"/>
  <c r="Q89" i="6"/>
  <c r="P103" i="6"/>
  <c r="P104" i="6" s="1"/>
  <c r="P119" i="6"/>
  <c r="P90" i="6"/>
  <c r="P92" i="6"/>
  <c r="Q93" i="6" s="1"/>
  <c r="P145" i="6"/>
  <c r="CU607" i="12"/>
  <c r="CV605" i="12" s="1"/>
  <c r="CT667" i="12"/>
  <c r="DJ130" i="13"/>
  <c r="DJ128" i="13"/>
  <c r="DJ129" i="13"/>
  <c r="R675" i="12"/>
  <c r="V122" i="13"/>
  <c r="V127" i="13"/>
  <c r="M40" i="19"/>
  <c r="P105" i="22"/>
  <c r="Q680" i="12"/>
  <c r="R680" i="12" s="1"/>
  <c r="CP633" i="12"/>
  <c r="CQ630" i="12"/>
  <c r="N106" i="22"/>
  <c r="N107" i="22" s="1"/>
  <c r="K40" i="20"/>
  <c r="S167" i="7"/>
  <c r="R163" i="7"/>
  <c r="R165" i="7" s="1"/>
  <c r="R197" i="7"/>
  <c r="R172" i="7"/>
  <c r="DN769" i="12"/>
  <c r="R640" i="12"/>
  <c r="S638" i="12" s="1"/>
  <c r="S640" i="12" s="1"/>
  <c r="CT638" i="12"/>
  <c r="O93" i="6"/>
  <c r="CP673" i="12"/>
  <c r="CO102" i="7"/>
  <c r="Q102" i="7" s="1"/>
  <c r="CO680" i="12"/>
  <c r="CO681" i="12" s="1"/>
  <c r="N35" i="19"/>
  <c r="O30" i="19" s="1"/>
  <c r="N8" i="19"/>
  <c r="CQ579" i="12"/>
  <c r="CQ660" i="12" s="1"/>
  <c r="CQ673" i="12" s="1"/>
  <c r="L35" i="20"/>
  <c r="L8" i="20"/>
  <c r="DN759" i="12"/>
  <c r="CK60" i="8"/>
  <c r="CK61" i="8" s="1"/>
  <c r="CK63" i="8" s="1"/>
  <c r="CA407" i="21"/>
  <c r="CB406" i="21" s="1"/>
  <c r="O112" i="6"/>
  <c r="O104" i="6"/>
  <c r="O86" i="7"/>
  <c r="O66" i="8"/>
  <c r="O69" i="8" s="1"/>
  <c r="O122" i="6"/>
  <c r="DJ122" i="13"/>
  <c r="W121" i="13"/>
  <c r="R15" i="20"/>
  <c r="R25" i="20"/>
  <c r="R22" i="20"/>
  <c r="DH100" i="15"/>
  <c r="DG99" i="15"/>
  <c r="DG101" i="15" s="1"/>
  <c r="DG102" i="15" s="1"/>
  <c r="DL130" i="13"/>
  <c r="DL128" i="13"/>
  <c r="DL129" i="13"/>
  <c r="CY71" i="14"/>
  <c r="CY61" i="14"/>
  <c r="CY60" i="14"/>
  <c r="CZ59" i="14"/>
  <c r="DM7" i="15"/>
  <c r="DM8" i="8"/>
  <c r="DM7" i="17"/>
  <c r="DM7" i="16"/>
  <c r="DG8" i="11"/>
  <c r="DM7" i="14"/>
  <c r="DM7" i="7"/>
  <c r="DM7" i="12"/>
  <c r="DM7" i="13"/>
  <c r="CO524" i="12"/>
  <c r="CO532" i="12" s="1"/>
  <c r="Q520" i="12"/>
  <c r="Q524" i="12" s="1"/>
  <c r="Q532" i="12" s="1"/>
  <c r="X44" i="16"/>
  <c r="S571" i="12"/>
  <c r="T569" i="12"/>
  <c r="T570" i="12" s="1"/>
  <c r="CP499" i="12"/>
  <c r="CQ569" i="12"/>
  <c r="CQ570" i="12" s="1"/>
  <c r="DF312" i="12"/>
  <c r="DF322" i="12"/>
  <c r="DF106" i="12"/>
  <c r="DC342" i="12"/>
  <c r="U130" i="12"/>
  <c r="P95" i="22"/>
  <c r="P96" i="22" s="1"/>
  <c r="U104" i="12"/>
  <c r="U131" i="12"/>
  <c r="U218" i="12"/>
  <c r="U473" i="12"/>
  <c r="U105" i="12"/>
  <c r="DD336" i="12"/>
  <c r="DD337" i="12" s="1"/>
  <c r="DE221" i="12"/>
  <c r="DE222" i="12"/>
  <c r="DE178" i="12"/>
  <c r="DE132" i="12"/>
  <c r="DE133" i="12" s="1"/>
  <c r="U176" i="12"/>
  <c r="DE179" i="12"/>
  <c r="DE223" i="12"/>
  <c r="DD342" i="12"/>
  <c r="DE341" i="12"/>
  <c r="DE313" i="12"/>
  <c r="CS37" i="22"/>
  <c r="CS38" i="22" s="1"/>
  <c r="DF130" i="12"/>
  <c r="DF473" i="12"/>
  <c r="DF131" i="12"/>
  <c r="DF104" i="12"/>
  <c r="DG103" i="12"/>
  <c r="DF176" i="12"/>
  <c r="DF218" i="12"/>
  <c r="DE323" i="12"/>
  <c r="DV13" i="17" l="1"/>
  <c r="DV18" i="8" s="1"/>
  <c r="DV17" i="8" s="1"/>
  <c r="DV35" i="8" s="1"/>
  <c r="DV32" i="17"/>
  <c r="DS52" i="6"/>
  <c r="DV109" i="7" s="1"/>
  <c r="DV94" i="13"/>
  <c r="DV40" i="17" s="1"/>
  <c r="Z105" i="15"/>
  <c r="CC56" i="14"/>
  <c r="CI120" i="15"/>
  <c r="CE120" i="15"/>
  <c r="CF98" i="15"/>
  <c r="CF101" i="15" s="1"/>
  <c r="CF112" i="15"/>
  <c r="CG92" i="15"/>
  <c r="CJ91" i="15"/>
  <c r="CG98" i="15"/>
  <c r="CF118" i="15"/>
  <c r="BS26" i="22"/>
  <c r="CF113" i="15"/>
  <c r="CF91" i="15"/>
  <c r="CF215" i="13"/>
  <c r="CF257" i="13" s="1"/>
  <c r="CF48" i="14"/>
  <c r="CG146" i="15"/>
  <c r="I35" i="22"/>
  <c r="F47" i="14"/>
  <c r="G46" i="14"/>
  <c r="G47" i="14"/>
  <c r="G57" i="14" s="1"/>
  <c r="F131" i="14"/>
  <c r="F134" i="14"/>
  <c r="F135" i="14" s="1"/>
  <c r="CD52" i="14"/>
  <c r="CH46" i="14"/>
  <c r="CD47" i="14"/>
  <c r="CD57" i="14" s="1"/>
  <c r="CD37" i="13"/>
  <c r="CD41" i="13" s="1"/>
  <c r="CD53" i="14"/>
  <c r="CD46" i="14"/>
  <c r="BQ35" i="22"/>
  <c r="CI49" i="14"/>
  <c r="CE54" i="14"/>
  <c r="CE45" i="14"/>
  <c r="CE49" i="14"/>
  <c r="G134" i="14"/>
  <c r="H131" i="14"/>
  <c r="G131" i="14"/>
  <c r="BV11" i="15"/>
  <c r="BW18" i="15"/>
  <c r="BZ19" i="15"/>
  <c r="BU208" i="13"/>
  <c r="BU211" i="13" s="1"/>
  <c r="L11" i="15"/>
  <c r="BU113" i="15"/>
  <c r="BU12" i="15"/>
  <c r="BU10" i="15"/>
  <c r="DU13" i="17"/>
  <c r="DU32" i="17"/>
  <c r="DS42" i="17"/>
  <c r="DS43" i="17" s="1"/>
  <c r="DR96" i="6"/>
  <c r="DN93" i="6"/>
  <c r="DR93" i="6"/>
  <c r="DY122" i="13"/>
  <c r="DY124" i="13"/>
  <c r="DY125" i="13"/>
  <c r="DS116" i="7"/>
  <c r="DS115" i="7" s="1"/>
  <c r="DS108" i="7"/>
  <c r="DS59" i="17"/>
  <c r="DS26" i="17"/>
  <c r="DS45" i="17" s="1"/>
  <c r="DT13" i="17"/>
  <c r="DT18" i="8" s="1"/>
  <c r="DT17" i="8" s="1"/>
  <c r="DT35" i="8" s="1"/>
  <c r="DQ52" i="6"/>
  <c r="DT109" i="7" s="1"/>
  <c r="DT94" i="13"/>
  <c r="DT40" i="17" s="1"/>
  <c r="DT42" i="17" s="1"/>
  <c r="DT43" i="17" s="1"/>
  <c r="DT32" i="17"/>
  <c r="DU127" i="13"/>
  <c r="DX52" i="14"/>
  <c r="DK35" i="22"/>
  <c r="DW56" i="14"/>
  <c r="DW57" i="14"/>
  <c r="DX53" i="14"/>
  <c r="DX47" i="14"/>
  <c r="DX46" i="14"/>
  <c r="R48" i="14"/>
  <c r="Z91" i="15"/>
  <c r="Z92" i="15"/>
  <c r="Z98" i="15"/>
  <c r="R139" i="14"/>
  <c r="R140" i="14" s="1"/>
  <c r="Z118" i="15"/>
  <c r="Z119" i="15" s="1"/>
  <c r="DX159" i="15"/>
  <c r="DX167" i="15"/>
  <c r="DY151" i="15"/>
  <c r="DY54" i="14"/>
  <c r="DY49" i="14"/>
  <c r="DY45" i="14"/>
  <c r="DL35" i="22" s="1"/>
  <c r="DY107" i="13"/>
  <c r="Z105" i="13"/>
  <c r="Z106" i="13" s="1"/>
  <c r="AA106" i="13" s="1"/>
  <c r="AB106" i="13" s="1"/>
  <c r="AC106" i="13" s="1"/>
  <c r="AD106" i="13" s="1"/>
  <c r="AE106" i="13" s="1"/>
  <c r="AF106" i="13" s="1"/>
  <c r="AG106" i="13" s="1"/>
  <c r="AC102" i="11"/>
  <c r="AC103" i="11" s="1"/>
  <c r="AC102" i="13"/>
  <c r="X72" i="22"/>
  <c r="AD101" i="13"/>
  <c r="AD104" i="13" s="1"/>
  <c r="AC104" i="13"/>
  <c r="AB103" i="11"/>
  <c r="AE60" i="7"/>
  <c r="AD101" i="7"/>
  <c r="AB114" i="8"/>
  <c r="AC84" i="12"/>
  <c r="AD84" i="12" s="1"/>
  <c r="AE84" i="12" s="1"/>
  <c r="AF84" i="12" s="1"/>
  <c r="AG84" i="12" s="1"/>
  <c r="AA9" i="22"/>
  <c r="AA13" i="22" s="1"/>
  <c r="AA22" i="22" s="1"/>
  <c r="AE69" i="13"/>
  <c r="Y125" i="22"/>
  <c r="CA33" i="22"/>
  <c r="CN44" i="14"/>
  <c r="CB34" i="22"/>
  <c r="CO90" i="14"/>
  <c r="CO91" i="14"/>
  <c r="CP88" i="14"/>
  <c r="AE36" i="13"/>
  <c r="AF34" i="13"/>
  <c r="AF35" i="13" s="1"/>
  <c r="AB7" i="22"/>
  <c r="AB9" i="22" s="1"/>
  <c r="AB13" i="22" s="1"/>
  <c r="AB22" i="22" s="1"/>
  <c r="AD70" i="15"/>
  <c r="AD71" i="15" s="1"/>
  <c r="AF770" i="12"/>
  <c r="DO45" i="17"/>
  <c r="S19" i="14"/>
  <c r="S20" i="14"/>
  <c r="AG26" i="7"/>
  <c r="AG24" i="8" s="1"/>
  <c r="AG116" i="6"/>
  <c r="AG121" i="6"/>
  <c r="AG117" i="6"/>
  <c r="AG770" i="12"/>
  <c r="AF24" i="8"/>
  <c r="S115" i="35"/>
  <c r="AF52" i="8"/>
  <c r="AF57" i="8" s="1"/>
  <c r="AF120" i="6"/>
  <c r="AF118" i="6"/>
  <c r="AE126" i="17"/>
  <c r="AD141" i="17"/>
  <c r="Y69" i="22" s="1"/>
  <c r="AD127" i="17"/>
  <c r="AF304" i="12"/>
  <c r="AF305" i="12" s="1"/>
  <c r="AG23" i="12"/>
  <c r="AG304" i="12" s="1"/>
  <c r="DR42" i="17"/>
  <c r="DR43" i="17" s="1"/>
  <c r="DR26" i="17"/>
  <c r="DR59" i="17"/>
  <c r="DQ129" i="13"/>
  <c r="DQ42" i="17"/>
  <c r="DQ43" i="17" s="1"/>
  <c r="CH240" i="13"/>
  <c r="O279" i="13"/>
  <c r="O280" i="13" s="1"/>
  <c r="CG280" i="13"/>
  <c r="CG281" i="13"/>
  <c r="CG286" i="13" s="1"/>
  <c r="O286" i="13" s="1"/>
  <c r="CF289" i="13"/>
  <c r="CF290" i="13" s="1"/>
  <c r="CF287" i="13"/>
  <c r="CD294" i="13"/>
  <c r="CD293" i="13"/>
  <c r="CF243" i="13"/>
  <c r="DQ59" i="17"/>
  <c r="DQ26" i="17"/>
  <c r="N248" i="13"/>
  <c r="N249" i="13" s="1"/>
  <c r="N246" i="13"/>
  <c r="J15" i="22"/>
  <c r="DN98" i="6"/>
  <c r="DN96" i="6"/>
  <c r="CI47" i="15"/>
  <c r="CI46" i="15" s="1"/>
  <c r="CI43" i="15"/>
  <c r="CI239" i="13" s="1"/>
  <c r="CJ44" i="15"/>
  <c r="O239" i="13"/>
  <c r="O240" i="13" s="1"/>
  <c r="CH241" i="13"/>
  <c r="CG240" i="13"/>
  <c r="CG48" i="15"/>
  <c r="CG45" i="15" s="1"/>
  <c r="BT16" i="22"/>
  <c r="J16" i="22" s="1"/>
  <c r="CG30" i="15"/>
  <c r="CG241" i="13"/>
  <c r="CG243" i="13" s="1"/>
  <c r="O8" i="19"/>
  <c r="O35" i="19"/>
  <c r="P30" i="19" s="1"/>
  <c r="CH46" i="15"/>
  <c r="CH279" i="13" s="1"/>
  <c r="CH281" i="13" s="1"/>
  <c r="CF31" i="15"/>
  <c r="CF254" i="13"/>
  <c r="CF255" i="13" s="1"/>
  <c r="DS114" i="8"/>
  <c r="BU15" i="22"/>
  <c r="CH20" i="15"/>
  <c r="CH18" i="15" s="1"/>
  <c r="CE289" i="13"/>
  <c r="CE287" i="13"/>
  <c r="BS22" i="22"/>
  <c r="DQ745" i="12"/>
  <c r="DQ768" i="12"/>
  <c r="DQ758" i="12"/>
  <c r="DQ116" i="7"/>
  <c r="DQ115" i="7" s="1"/>
  <c r="DQ108" i="7"/>
  <c r="BT8" i="22"/>
  <c r="O18" i="15"/>
  <c r="CG19" i="15"/>
  <c r="N294" i="13"/>
  <c r="N293" i="13"/>
  <c r="W11" i="17"/>
  <c r="W14" i="17" s="1"/>
  <c r="W36" i="17"/>
  <c r="W37" i="17"/>
  <c r="DQ128" i="13"/>
  <c r="DO130" i="13"/>
  <c r="DO129" i="13"/>
  <c r="DO128" i="13"/>
  <c r="AA93" i="15"/>
  <c r="X52" i="6"/>
  <c r="X18" i="8"/>
  <c r="DP26" i="17"/>
  <c r="DP59" i="17"/>
  <c r="J110" i="35"/>
  <c r="W122" i="6"/>
  <c r="W123" i="6" s="1"/>
  <c r="J100" i="35"/>
  <c r="J103" i="35" s="1"/>
  <c r="J106" i="35" s="1"/>
  <c r="J107" i="35" s="1"/>
  <c r="W88" i="6"/>
  <c r="W77" i="6"/>
  <c r="W79" i="6"/>
  <c r="DN36" i="17"/>
  <c r="DN35" i="17"/>
  <c r="DP42" i="17"/>
  <c r="DP43" i="17" s="1"/>
  <c r="X94" i="13"/>
  <c r="X13" i="17"/>
  <c r="X32" i="17"/>
  <c r="DL51" i="6"/>
  <c r="DO50" i="17"/>
  <c r="DO28" i="17"/>
  <c r="DO58" i="17"/>
  <c r="DO27" i="17"/>
  <c r="DO29" i="17"/>
  <c r="DO53" i="17"/>
  <c r="DO30" i="17"/>
  <c r="DO34" i="17"/>
  <c r="W59" i="8"/>
  <c r="W61" i="8" s="1"/>
  <c r="W63" i="8" s="1"/>
  <c r="W65" i="8"/>
  <c r="W120" i="8"/>
  <c r="W122" i="8" s="1"/>
  <c r="W124" i="8" s="1"/>
  <c r="W35" i="8"/>
  <c r="W124" i="6"/>
  <c r="J111" i="35"/>
  <c r="J113" i="35" s="1"/>
  <c r="C55" i="5"/>
  <c r="W55" i="6"/>
  <c r="W56" i="6"/>
  <c r="W54" i="6"/>
  <c r="O85" i="15"/>
  <c r="O86" i="15"/>
  <c r="O80" i="15"/>
  <c r="O55" i="22"/>
  <c r="O60" i="22" s="1"/>
  <c r="O62" i="22" s="1"/>
  <c r="CI84" i="15"/>
  <c r="CH80" i="15"/>
  <c r="CH85" i="15"/>
  <c r="T135" i="13"/>
  <c r="CG82" i="15"/>
  <c r="CG81" i="15"/>
  <c r="T134" i="13"/>
  <c r="U82" i="13"/>
  <c r="U133" i="13"/>
  <c r="U135" i="13" s="1"/>
  <c r="DN127" i="13"/>
  <c r="DR128" i="13" s="1"/>
  <c r="CC233" i="13"/>
  <c r="CC228" i="13"/>
  <c r="CC231" i="13"/>
  <c r="N230" i="13"/>
  <c r="N231" i="13" s="1"/>
  <c r="CE265" i="13"/>
  <c r="CE266" i="13" s="1"/>
  <c r="CE267" i="13"/>
  <c r="CE268" i="13" s="1"/>
  <c r="CE259" i="13"/>
  <c r="CD262" i="13"/>
  <c r="CE220" i="13"/>
  <c r="CF258" i="13"/>
  <c r="CF225" i="13"/>
  <c r="CG216" i="13"/>
  <c r="CF223" i="13"/>
  <c r="CF224" i="13" s="1"/>
  <c r="CC262" i="13"/>
  <c r="N260" i="13"/>
  <c r="BQ27" i="22"/>
  <c r="CD221" i="13"/>
  <c r="CD230" i="13"/>
  <c r="CB275" i="13"/>
  <c r="CB274" i="13"/>
  <c r="N219" i="13"/>
  <c r="I28" i="22" s="1"/>
  <c r="N221" i="13"/>
  <c r="CE218" i="13"/>
  <c r="CO571" i="12"/>
  <c r="DM130" i="13"/>
  <c r="X177" i="7"/>
  <c r="W195" i="7"/>
  <c r="W164" i="7"/>
  <c r="W182" i="7"/>
  <c r="CO685" i="12"/>
  <c r="CO657" i="12"/>
  <c r="CI350" i="12"/>
  <c r="CI354" i="12"/>
  <c r="CI355" i="12" s="1"/>
  <c r="CI352" i="12"/>
  <c r="CJ349" i="12"/>
  <c r="CT677" i="12"/>
  <c r="CU648" i="12"/>
  <c r="CV646" i="12" s="1"/>
  <c r="T117" i="7"/>
  <c r="T115" i="7" s="1"/>
  <c r="T108" i="7"/>
  <c r="T93" i="6"/>
  <c r="T73" i="8"/>
  <c r="T79" i="8" s="1"/>
  <c r="T127" i="6"/>
  <c r="T144" i="6" s="1"/>
  <c r="T145" i="6" s="1"/>
  <c r="U93" i="6"/>
  <c r="T759" i="12"/>
  <c r="T745" i="12"/>
  <c r="T769" i="12"/>
  <c r="T6" i="6"/>
  <c r="T98" i="6"/>
  <c r="T96" i="6"/>
  <c r="U96" i="6"/>
  <c r="CV665" i="12"/>
  <c r="CS642" i="12"/>
  <c r="CR652" i="12"/>
  <c r="DM128" i="13"/>
  <c r="DO114" i="8"/>
  <c r="V7" i="13"/>
  <c r="V7" i="12"/>
  <c r="V8" i="8"/>
  <c r="V7" i="16"/>
  <c r="V8" i="11"/>
  <c r="V7" i="15"/>
  <c r="N7" i="14"/>
  <c r="V7" i="17"/>
  <c r="V7" i="7"/>
  <c r="Q4" i="22"/>
  <c r="DN770" i="12"/>
  <c r="P93" i="6"/>
  <c r="P99" i="8"/>
  <c r="P100" i="8" s="1"/>
  <c r="P66" i="8"/>
  <c r="P69" i="8" s="1"/>
  <c r="P112" i="6"/>
  <c r="Q104" i="6"/>
  <c r="P86" i="7"/>
  <c r="P122" i="6"/>
  <c r="Q123" i="6" s="1"/>
  <c r="CV607" i="12"/>
  <c r="CW605" i="12" s="1"/>
  <c r="CW607" i="12" s="1"/>
  <c r="CW667" i="12" s="1"/>
  <c r="X121" i="13"/>
  <c r="CU667" i="12"/>
  <c r="Q22" i="19"/>
  <c r="Q25" i="19"/>
  <c r="CZ61" i="14"/>
  <c r="CZ71" i="14"/>
  <c r="CZ60" i="14"/>
  <c r="DA59" i="14"/>
  <c r="O123" i="6"/>
  <c r="Q685" i="12"/>
  <c r="Q571" i="12"/>
  <c r="L38" i="20"/>
  <c r="M30" i="20"/>
  <c r="L37" i="20"/>
  <c r="CQ499" i="12"/>
  <c r="CQ685" i="12" s="1"/>
  <c r="CR569" i="12"/>
  <c r="CR570" i="12" s="1"/>
  <c r="R24" i="20"/>
  <c r="R28" i="20" s="1"/>
  <c r="R188" i="7"/>
  <c r="R174" i="7"/>
  <c r="R184" i="7"/>
  <c r="R185" i="7"/>
  <c r="S171" i="7"/>
  <c r="S175" i="7"/>
  <c r="CP685" i="12"/>
  <c r="CP571" i="12"/>
  <c r="T571" i="12"/>
  <c r="U569" i="12"/>
  <c r="U570" i="12" s="1"/>
  <c r="DI100" i="15"/>
  <c r="DH99" i="15"/>
  <c r="DH101" i="15" s="1"/>
  <c r="DH102" i="15" s="1"/>
  <c r="W122" i="13"/>
  <c r="W127" i="13"/>
  <c r="CQ632" i="12"/>
  <c r="CR577" i="12"/>
  <c r="N38" i="19"/>
  <c r="N37" i="19"/>
  <c r="CT640" i="12"/>
  <c r="CP520" i="12"/>
  <c r="CP524" i="12" s="1"/>
  <c r="CP532" i="12" s="1"/>
  <c r="CP656" i="12"/>
  <c r="Q657" i="12"/>
  <c r="Q203" i="7" s="1"/>
  <c r="Q205" i="7" s="1"/>
  <c r="Q206" i="7" s="1"/>
  <c r="V128" i="13"/>
  <c r="V81" i="13"/>
  <c r="V130" i="13" s="1"/>
  <c r="V129" i="13"/>
  <c r="CB407" i="21"/>
  <c r="CC406" i="21" s="1"/>
  <c r="CC407" i="21" s="1"/>
  <c r="CD406" i="21" s="1"/>
  <c r="CD407" i="21" s="1"/>
  <c r="CE406" i="21" s="1"/>
  <c r="CE407" i="21" s="1"/>
  <c r="CF406" i="21" s="1"/>
  <c r="CF407" i="21" s="1"/>
  <c r="CG406" i="21" s="1"/>
  <c r="CG407" i="21" s="1"/>
  <c r="CH406" i="21" s="1"/>
  <c r="CH407" i="21" s="1"/>
  <c r="CI406" i="21" s="1"/>
  <c r="CI407" i="21" s="1"/>
  <c r="CJ406" i="21" s="1"/>
  <c r="CJ407" i="21" s="1"/>
  <c r="CK406" i="21" s="1"/>
  <c r="CK407" i="21" s="1"/>
  <c r="CL406" i="21" s="1"/>
  <c r="CL407" i="21" s="1"/>
  <c r="CM406" i="21" s="1"/>
  <c r="CM407" i="21" s="1"/>
  <c r="CN406" i="21" s="1"/>
  <c r="CN407" i="21" s="1"/>
  <c r="CO406" i="21" s="1"/>
  <c r="CO407" i="21" s="1"/>
  <c r="CP406" i="21" s="1"/>
  <c r="CP407" i="21" s="1"/>
  <c r="CQ406" i="21" s="1"/>
  <c r="CQ407" i="21" s="1"/>
  <c r="CR406" i="21" s="1"/>
  <c r="CR407" i="21" s="1"/>
  <c r="CS406" i="21" s="1"/>
  <c r="CS407" i="21" s="1"/>
  <c r="CT406" i="21" s="1"/>
  <c r="CT407" i="21" s="1"/>
  <c r="CU406" i="21" s="1"/>
  <c r="CU407" i="21" s="1"/>
  <c r="CV406" i="21" s="1"/>
  <c r="CV407" i="21" s="1"/>
  <c r="CW406" i="21" s="1"/>
  <c r="CW407" i="21" s="1"/>
  <c r="CX406" i="21" s="1"/>
  <c r="CX407" i="21" s="1"/>
  <c r="CY406" i="21" s="1"/>
  <c r="CY407" i="21" s="1"/>
  <c r="CZ406" i="21" s="1"/>
  <c r="CZ407" i="21" s="1"/>
  <c r="DA406" i="21" s="1"/>
  <c r="DA407" i="21" s="1"/>
  <c r="DB406" i="21" s="1"/>
  <c r="DB407" i="21" s="1"/>
  <c r="DC406" i="21" s="1"/>
  <c r="DC407" i="21" s="1"/>
  <c r="DD406" i="21" s="1"/>
  <c r="DD407" i="21" s="1"/>
  <c r="DE406" i="21" s="1"/>
  <c r="DE407" i="21" s="1"/>
  <c r="DF406" i="21" s="1"/>
  <c r="DF407" i="21" s="1"/>
  <c r="DG406" i="21" s="1"/>
  <c r="DG407" i="21" s="1"/>
  <c r="DH406" i="21" s="1"/>
  <c r="DH407" i="21" s="1"/>
  <c r="CL60" i="8"/>
  <c r="CL61" i="8" s="1"/>
  <c r="T638" i="12"/>
  <c r="T640" i="12" s="1"/>
  <c r="S680" i="12"/>
  <c r="DF221" i="12"/>
  <c r="DF222" i="12"/>
  <c r="DF178" i="12"/>
  <c r="DF223" i="12"/>
  <c r="DF179" i="12"/>
  <c r="DF336" i="12" s="1"/>
  <c r="DF337" i="12" s="1"/>
  <c r="DF132" i="12"/>
  <c r="DF133" i="12" s="1"/>
  <c r="DG105" i="12"/>
  <c r="DG131" i="12"/>
  <c r="DG176" i="12"/>
  <c r="DG130" i="12"/>
  <c r="DH103" i="12"/>
  <c r="CT37" i="22"/>
  <c r="CT38" i="22" s="1"/>
  <c r="DG104" i="12"/>
  <c r="DG218" i="12"/>
  <c r="DG473" i="12"/>
  <c r="U132" i="12"/>
  <c r="U133" i="12" s="1"/>
  <c r="U179" i="12"/>
  <c r="U223" i="12"/>
  <c r="U221" i="12"/>
  <c r="U222" i="12"/>
  <c r="DE316" i="12"/>
  <c r="DE317" i="12" s="1"/>
  <c r="U312" i="12"/>
  <c r="U106" i="12"/>
  <c r="U322" i="12"/>
  <c r="DE336" i="12"/>
  <c r="DE337" i="12" s="1"/>
  <c r="DF323" i="12"/>
  <c r="DE342" i="12"/>
  <c r="DF341" i="12"/>
  <c r="DF313" i="12"/>
  <c r="DV59" i="17" l="1"/>
  <c r="DV41" i="17"/>
  <c r="DV26" i="17"/>
  <c r="DV116" i="7"/>
  <c r="DV115" i="7" s="1"/>
  <c r="DV108" i="7"/>
  <c r="CD56" i="14"/>
  <c r="CF217" i="13"/>
  <c r="CF218" i="13" s="1"/>
  <c r="G56" i="14"/>
  <c r="CE52" i="14"/>
  <c r="CE37" i="13"/>
  <c r="CE41" i="13" s="1"/>
  <c r="CE46" i="14"/>
  <c r="CI46" i="14"/>
  <c r="BR35" i="22"/>
  <c r="CE47" i="14"/>
  <c r="CE57" i="14" s="1"/>
  <c r="CE53" i="14"/>
  <c r="CD43" i="13"/>
  <c r="CH42" i="13"/>
  <c r="CF45" i="14"/>
  <c r="CF54" i="14"/>
  <c r="CF49" i="14"/>
  <c r="CJ49" i="14"/>
  <c r="CG54" i="14"/>
  <c r="CG96" i="15"/>
  <c r="CK96" i="15"/>
  <c r="CG99" i="15"/>
  <c r="O99" i="15" s="1"/>
  <c r="CG97" i="15"/>
  <c r="G135" i="14"/>
  <c r="H135" i="14"/>
  <c r="CF119" i="15"/>
  <c r="CG119" i="15"/>
  <c r="CF102" i="15"/>
  <c r="CJ102" i="15"/>
  <c r="BW11" i="15"/>
  <c r="CA19" i="15"/>
  <c r="BX18" i="15"/>
  <c r="L12" i="15"/>
  <c r="L113" i="15"/>
  <c r="BV208" i="13"/>
  <c r="BV211" i="13" s="1"/>
  <c r="BV212" i="13" s="1"/>
  <c r="BV113" i="15"/>
  <c r="BV12" i="15"/>
  <c r="BV10" i="15"/>
  <c r="BZ12" i="15"/>
  <c r="BU212" i="13"/>
  <c r="L212" i="13" s="1"/>
  <c r="L211" i="13"/>
  <c r="DS27" i="17"/>
  <c r="DN99" i="6"/>
  <c r="DR99" i="6"/>
  <c r="DT116" i="7"/>
  <c r="DT115" i="7" s="1"/>
  <c r="DT108" i="7"/>
  <c r="DT59" i="17"/>
  <c r="DT26" i="17"/>
  <c r="DT27" i="17" s="1"/>
  <c r="DP51" i="6"/>
  <c r="DS50" i="17"/>
  <c r="DS29" i="17"/>
  <c r="DS53" i="17"/>
  <c r="DS58" i="17"/>
  <c r="DS34" i="17"/>
  <c r="DS11" i="17" s="1"/>
  <c r="DS14" i="17" s="1"/>
  <c r="DS60" i="17" s="1"/>
  <c r="DU129" i="13"/>
  <c r="DU128" i="13"/>
  <c r="DU130" i="13"/>
  <c r="DY46" i="14"/>
  <c r="DY53" i="14"/>
  <c r="DY47" i="14"/>
  <c r="Z96" i="15"/>
  <c r="R130" i="14"/>
  <c r="R54" i="14"/>
  <c r="R49" i="14"/>
  <c r="R45" i="14"/>
  <c r="DX56" i="14"/>
  <c r="DX57" i="14"/>
  <c r="DY159" i="15"/>
  <c r="DY167" i="15"/>
  <c r="DY52" i="14"/>
  <c r="AD102" i="11"/>
  <c r="AD103" i="11" s="1"/>
  <c r="Y72" i="22"/>
  <c r="AE101" i="13"/>
  <c r="AD102" i="13"/>
  <c r="DY118" i="13"/>
  <c r="Z107" i="13"/>
  <c r="Z118" i="13" s="1"/>
  <c r="AE101" i="7"/>
  <c r="AF60" i="7"/>
  <c r="Z24" i="22"/>
  <c r="AF69" i="13"/>
  <c r="Z125" i="22"/>
  <c r="CC34" i="22"/>
  <c r="CP90" i="14"/>
  <c r="CP91" i="14"/>
  <c r="CQ88" i="14"/>
  <c r="CN41" i="14"/>
  <c r="CA30" i="22"/>
  <c r="CB33" i="22"/>
  <c r="CO44" i="14"/>
  <c r="AE70" i="15"/>
  <c r="AE71" i="15" s="1"/>
  <c r="AG34" i="13"/>
  <c r="AG35" i="13" s="1"/>
  <c r="AF36" i="13"/>
  <c r="AA24" i="22"/>
  <c r="S17" i="14"/>
  <c r="S14" i="14" s="1"/>
  <c r="DR45" i="17"/>
  <c r="DS30" i="17"/>
  <c r="DS28" i="17"/>
  <c r="T115" i="35"/>
  <c r="AG52" i="8"/>
  <c r="AG57" i="8" s="1"/>
  <c r="AG120" i="6"/>
  <c r="AG118" i="6"/>
  <c r="AE127" i="17"/>
  <c r="AE141" i="17"/>
  <c r="Z69" i="22" s="1"/>
  <c r="AF126" i="17"/>
  <c r="AG305" i="12"/>
  <c r="P8" i="19"/>
  <c r="P35" i="19"/>
  <c r="DR50" i="17"/>
  <c r="DO51" i="6"/>
  <c r="DR53" i="17"/>
  <c r="DR58" i="17"/>
  <c r="DR29" i="17"/>
  <c r="DR27" i="17"/>
  <c r="DR34" i="17"/>
  <c r="O281" i="13"/>
  <c r="O283" i="13" s="1"/>
  <c r="J17" i="22"/>
  <c r="J19" i="22" s="1"/>
  <c r="DQ45" i="17"/>
  <c r="DR30" i="17"/>
  <c r="DR28" i="17"/>
  <c r="CH19" i="15"/>
  <c r="BU8" i="22"/>
  <c r="BU9" i="22" s="1"/>
  <c r="BU13" i="22" s="1"/>
  <c r="CL19" i="15"/>
  <c r="CI240" i="13"/>
  <c r="O11" i="15"/>
  <c r="O19" i="15"/>
  <c r="DT114" i="8"/>
  <c r="CH280" i="13"/>
  <c r="CG245" i="13"/>
  <c r="CG246" i="13" s="1"/>
  <c r="CK44" i="15"/>
  <c r="CJ47" i="15"/>
  <c r="CJ43" i="15"/>
  <c r="O241" i="13"/>
  <c r="CF292" i="13"/>
  <c r="CG289" i="13"/>
  <c r="CG290" i="13" s="1"/>
  <c r="CG287" i="13"/>
  <c r="BT9" i="22"/>
  <c r="BT13" i="22" s="1"/>
  <c r="J8" i="22"/>
  <c r="J9" i="22" s="1"/>
  <c r="J13" i="22" s="1"/>
  <c r="BU16" i="22"/>
  <c r="BU17" i="22" s="1"/>
  <c r="BU19" i="22" s="1"/>
  <c r="CH30" i="15"/>
  <c r="CH48" i="15"/>
  <c r="CH45" i="15" s="1"/>
  <c r="O30" i="15"/>
  <c r="CG254" i="13"/>
  <c r="CG255" i="13" s="1"/>
  <c r="O255" i="13" s="1"/>
  <c r="CG31" i="15"/>
  <c r="CH243" i="13"/>
  <c r="CI20" i="15"/>
  <c r="CI18" i="15" s="1"/>
  <c r="BV15" i="22"/>
  <c r="BT17" i="22"/>
  <c r="BT19" i="22" s="1"/>
  <c r="CF245" i="13"/>
  <c r="CF248" i="13" s="1"/>
  <c r="O243" i="13"/>
  <c r="CI241" i="13"/>
  <c r="CI243" i="13" s="1"/>
  <c r="CE292" i="13"/>
  <c r="CE290" i="13"/>
  <c r="O38" i="19"/>
  <c r="O37" i="19"/>
  <c r="O40" i="19" s="1"/>
  <c r="CI279" i="13"/>
  <c r="CI281" i="13" s="1"/>
  <c r="CI30" i="15"/>
  <c r="CI48" i="15"/>
  <c r="CI45" i="15" s="1"/>
  <c r="BV16" i="22"/>
  <c r="BV17" i="22" s="1"/>
  <c r="BV19" i="22" s="1"/>
  <c r="DN51" i="6"/>
  <c r="DQ58" i="17"/>
  <c r="DQ29" i="17"/>
  <c r="DQ50" i="17"/>
  <c r="DQ53" i="17"/>
  <c r="DQ27" i="17"/>
  <c r="DQ34" i="17"/>
  <c r="CH286" i="13"/>
  <c r="W12" i="17"/>
  <c r="DP45" i="17"/>
  <c r="DQ28" i="17"/>
  <c r="DQ30" i="17"/>
  <c r="T131" i="13"/>
  <c r="U26" i="22"/>
  <c r="C59" i="5"/>
  <c r="C60" i="5"/>
  <c r="C57" i="5"/>
  <c r="C56" i="5"/>
  <c r="C58" i="5"/>
  <c r="DR13" i="17"/>
  <c r="DR18" i="8" s="1"/>
  <c r="DR17" i="8" s="1"/>
  <c r="DR35" i="8" s="1"/>
  <c r="DO36" i="17"/>
  <c r="DO35" i="17"/>
  <c r="W110" i="7"/>
  <c r="W117" i="7" s="1"/>
  <c r="W744" i="12"/>
  <c r="I126" i="35"/>
  <c r="J117" i="35"/>
  <c r="W66" i="8"/>
  <c r="W69" i="8" s="1"/>
  <c r="W71" i="8"/>
  <c r="W701" i="12"/>
  <c r="W702" i="12" s="1"/>
  <c r="W703" i="12" s="1"/>
  <c r="W704" i="12" s="1"/>
  <c r="W119" i="6"/>
  <c r="W95" i="6"/>
  <c r="W92" i="6"/>
  <c r="W89" i="6"/>
  <c r="W90" i="6"/>
  <c r="DP58" i="17"/>
  <c r="DP50" i="17"/>
  <c r="DP57" i="12"/>
  <c r="DP29" i="17"/>
  <c r="DP30" i="17"/>
  <c r="DP53" i="17"/>
  <c r="DP27" i="17"/>
  <c r="DP28" i="17"/>
  <c r="DP34" i="17"/>
  <c r="W58" i="6"/>
  <c r="W109" i="7"/>
  <c r="W64" i="11"/>
  <c r="W57" i="6"/>
  <c r="W15" i="17"/>
  <c r="W60" i="17"/>
  <c r="DN130" i="13"/>
  <c r="P55" i="22"/>
  <c r="P60" i="22" s="1"/>
  <c r="P62" i="22" s="1"/>
  <c r="P80" i="22"/>
  <c r="O82" i="15"/>
  <c r="O81" i="15"/>
  <c r="CI80" i="15"/>
  <c r="CJ84" i="15"/>
  <c r="CI85" i="15"/>
  <c r="CH82" i="15"/>
  <c r="CH81" i="15"/>
  <c r="U134" i="13"/>
  <c r="U131" i="13" s="1"/>
  <c r="DN128" i="13"/>
  <c r="DN129" i="13"/>
  <c r="CD233" i="13"/>
  <c r="CD231" i="13"/>
  <c r="CD228" i="13"/>
  <c r="N262" i="13"/>
  <c r="N263" i="13" s="1"/>
  <c r="CC270" i="13"/>
  <c r="CC263" i="13"/>
  <c r="CG225" i="13"/>
  <c r="CG226" i="13" s="1"/>
  <c r="CG217" i="13"/>
  <c r="CG218" i="13" s="1"/>
  <c r="O218" i="13" s="1"/>
  <c r="O216" i="13"/>
  <c r="P216" i="13" s="1"/>
  <c r="Q216" i="13" s="1"/>
  <c r="Q258" i="13" s="1"/>
  <c r="Q259" i="13" s="1"/>
  <c r="CH216" i="13"/>
  <c r="CG223" i="13"/>
  <c r="CG258" i="13"/>
  <c r="CE260" i="13"/>
  <c r="CF226" i="13"/>
  <c r="CF220" i="13"/>
  <c r="CF265" i="13"/>
  <c r="CF266" i="13" s="1"/>
  <c r="CF267" i="13"/>
  <c r="CF259" i="13"/>
  <c r="CF260" i="13" s="1"/>
  <c r="CF262" i="13" s="1"/>
  <c r="CD270" i="13"/>
  <c r="CD263" i="13"/>
  <c r="CC235" i="13"/>
  <c r="CC234" i="13"/>
  <c r="N233" i="13"/>
  <c r="N234" i="13" s="1"/>
  <c r="BR27" i="22"/>
  <c r="CE221" i="13"/>
  <c r="CE230" i="13"/>
  <c r="T770" i="12"/>
  <c r="CU677" i="12"/>
  <c r="CJ354" i="12"/>
  <c r="CJ355" i="12" s="1"/>
  <c r="CJ352" i="12"/>
  <c r="CJ350" i="12"/>
  <c r="CK349" i="12"/>
  <c r="P349" i="12" s="1"/>
  <c r="CV648" i="12"/>
  <c r="CW646" i="12" s="1"/>
  <c r="CW648" i="12" s="1"/>
  <c r="CW677" i="12" s="1"/>
  <c r="T99" i="6"/>
  <c r="U99" i="6"/>
  <c r="T7" i="6"/>
  <c r="T7" i="8"/>
  <c r="T7" i="11"/>
  <c r="T6" i="17"/>
  <c r="T6" i="12"/>
  <c r="T6" i="16"/>
  <c r="T6" i="15"/>
  <c r="T6" i="7"/>
  <c r="O3" i="22"/>
  <c r="T6" i="13"/>
  <c r="L6" i="14"/>
  <c r="U7" i="6"/>
  <c r="P123" i="6"/>
  <c r="CR653" i="12"/>
  <c r="CS650" i="12"/>
  <c r="CS644" i="12"/>
  <c r="R642" i="12"/>
  <c r="DP114" i="8"/>
  <c r="DQ114" i="8"/>
  <c r="CV667" i="12"/>
  <c r="X122" i="13"/>
  <c r="X127" i="13"/>
  <c r="X129" i="13" s="1"/>
  <c r="CM60" i="8"/>
  <c r="CM61" i="8" s="1"/>
  <c r="CL63" i="8"/>
  <c r="CP102" i="7"/>
  <c r="CP657" i="12"/>
  <c r="CP680" i="12"/>
  <c r="CP681" i="12" s="1"/>
  <c r="CU638" i="12"/>
  <c r="CR578" i="12"/>
  <c r="W128" i="13"/>
  <c r="W81" i="13"/>
  <c r="W129" i="13"/>
  <c r="DJ100" i="15"/>
  <c r="DI99" i="15"/>
  <c r="DI101" i="15" s="1"/>
  <c r="DI102" i="15" s="1"/>
  <c r="T680" i="12"/>
  <c r="Q105" i="22"/>
  <c r="N40" i="19"/>
  <c r="CR630" i="12"/>
  <c r="CQ633" i="12"/>
  <c r="CS569" i="12"/>
  <c r="CS570" i="12" s="1"/>
  <c r="CR499" i="12"/>
  <c r="S197" i="7"/>
  <c r="T167" i="7"/>
  <c r="S163" i="7"/>
  <c r="S165" i="7" s="1"/>
  <c r="S172" i="7"/>
  <c r="CQ571" i="12"/>
  <c r="O106" i="22"/>
  <c r="O107" i="22" s="1"/>
  <c r="L40" i="20"/>
  <c r="S25" i="20"/>
  <c r="S22" i="20"/>
  <c r="S15" i="20"/>
  <c r="U499" i="12"/>
  <c r="U504" i="12" s="1"/>
  <c r="U510" i="12" s="1"/>
  <c r="U533" i="12" s="1"/>
  <c r="V569" i="12"/>
  <c r="V570" i="12" s="1"/>
  <c r="V82" i="13"/>
  <c r="V133" i="13"/>
  <c r="CT675" i="12"/>
  <c r="M35" i="20"/>
  <c r="M8" i="20"/>
  <c r="DA71" i="14"/>
  <c r="L59" i="14"/>
  <c r="DB59" i="14"/>
  <c r="DA60" i="14"/>
  <c r="DA61" i="14"/>
  <c r="Q15" i="19"/>
  <c r="Y44" i="16" s="1"/>
  <c r="U341" i="12"/>
  <c r="U313" i="12"/>
  <c r="DG178" i="12"/>
  <c r="DG132" i="12"/>
  <c r="DG133" i="12" s="1"/>
  <c r="DG223" i="12"/>
  <c r="DG179" i="12"/>
  <c r="DG336" i="12" s="1"/>
  <c r="DG337" i="12" s="1"/>
  <c r="DF342" i="12"/>
  <c r="U323" i="12"/>
  <c r="DG222" i="12"/>
  <c r="DG221" i="12"/>
  <c r="DH105" i="12"/>
  <c r="DH131" i="12"/>
  <c r="DH218" i="12"/>
  <c r="DH473" i="12"/>
  <c r="DH104" i="12"/>
  <c r="DH176" i="12"/>
  <c r="DI103" i="12"/>
  <c r="DI105" i="12" s="1"/>
  <c r="CU37" i="22"/>
  <c r="CU38" i="22" s="1"/>
  <c r="DH130" i="12"/>
  <c r="DG322" i="12"/>
  <c r="DG106" i="12"/>
  <c r="DG312" i="12"/>
  <c r="DF316" i="12"/>
  <c r="DF317" i="12" s="1"/>
  <c r="U336" i="12"/>
  <c r="U337" i="12" s="1"/>
  <c r="U316" i="12"/>
  <c r="U317" i="12" s="1"/>
  <c r="DV58" i="17" l="1"/>
  <c r="DV29" i="17"/>
  <c r="DV53" i="17"/>
  <c r="DV27" i="17"/>
  <c r="DV50" i="17"/>
  <c r="DV34" i="17"/>
  <c r="DV45" i="17"/>
  <c r="CG101" i="15"/>
  <c r="CK102" i="15" s="1"/>
  <c r="CE56" i="14"/>
  <c r="CK120" i="15"/>
  <c r="CG120" i="15"/>
  <c r="O100" i="15"/>
  <c r="O101" i="15"/>
  <c r="CG102" i="15"/>
  <c r="CF120" i="15"/>
  <c r="CJ120" i="15"/>
  <c r="CE43" i="13"/>
  <c r="CE44" i="13"/>
  <c r="CI42" i="13"/>
  <c r="CF52" i="14"/>
  <c r="CF53" i="14"/>
  <c r="CF47" i="14"/>
  <c r="CF57" i="14" s="1"/>
  <c r="CF46" i="14"/>
  <c r="CG47" i="14"/>
  <c r="CG57" i="14" s="1"/>
  <c r="BS35" i="22"/>
  <c r="CF37" i="13"/>
  <c r="CF41" i="13" s="1"/>
  <c r="CJ46" i="14"/>
  <c r="BW10" i="15"/>
  <c r="BW113" i="15"/>
  <c r="BW12" i="15"/>
  <c r="CA12" i="15"/>
  <c r="BW208" i="13"/>
  <c r="BW211" i="13" s="1"/>
  <c r="BV228" i="13"/>
  <c r="BY18" i="15"/>
  <c r="BX11" i="15"/>
  <c r="CB19" i="15"/>
  <c r="DT45" i="17"/>
  <c r="DT53" i="17"/>
  <c r="DT58" i="17"/>
  <c r="DQ51" i="6"/>
  <c r="DT50" i="17"/>
  <c r="DT29" i="17"/>
  <c r="DT28" i="17"/>
  <c r="DT30" i="17"/>
  <c r="DT34" i="17"/>
  <c r="DS35" i="17"/>
  <c r="DY56" i="14"/>
  <c r="DY57" i="14"/>
  <c r="R131" i="14"/>
  <c r="R134" i="14"/>
  <c r="R135" i="14" s="1"/>
  <c r="R52" i="14"/>
  <c r="R46" i="14"/>
  <c r="R47" i="14"/>
  <c r="R57" i="14" s="1"/>
  <c r="R53" i="14"/>
  <c r="Z72" i="22"/>
  <c r="AE102" i="13"/>
  <c r="AF101" i="13"/>
  <c r="AF104" i="13" s="1"/>
  <c r="AE102" i="11"/>
  <c r="AE103" i="11" s="1"/>
  <c r="AE104" i="13"/>
  <c r="AF101" i="7"/>
  <c r="AG60" i="7"/>
  <c r="AG101" i="7" s="1"/>
  <c r="DU114" i="8"/>
  <c r="AG69" i="13"/>
  <c r="AB125" i="22" s="1"/>
  <c r="AA125" i="22"/>
  <c r="CB30" i="22"/>
  <c r="CO41" i="14"/>
  <c r="CQ91" i="14"/>
  <c r="CQ90" i="14"/>
  <c r="CR88" i="14"/>
  <c r="CD34" i="22"/>
  <c r="CC33" i="22"/>
  <c r="CP44" i="14"/>
  <c r="CA31" i="22"/>
  <c r="CN43" i="14"/>
  <c r="AF70" i="15"/>
  <c r="AF71" i="15" s="1"/>
  <c r="AG36" i="13"/>
  <c r="AB24" i="22"/>
  <c r="S132" i="14"/>
  <c r="S133" i="14" s="1"/>
  <c r="S22" i="14"/>
  <c r="S38" i="14"/>
  <c r="S40" i="14" s="1"/>
  <c r="DR35" i="17"/>
  <c r="DS36" i="17"/>
  <c r="V29" i="22"/>
  <c r="S16" i="14"/>
  <c r="AA115" i="15"/>
  <c r="AA116" i="15" s="1"/>
  <c r="S36" i="14"/>
  <c r="S37" i="14" s="1"/>
  <c r="S32" i="14" s="1"/>
  <c r="S30" i="14" s="1"/>
  <c r="S31" i="14" s="1"/>
  <c r="T29" i="14"/>
  <c r="S50" i="14"/>
  <c r="AA95" i="15"/>
  <c r="AA94" i="15"/>
  <c r="AF141" i="17"/>
  <c r="AA69" i="22" s="1"/>
  <c r="AG126" i="17"/>
  <c r="AF127" i="17"/>
  <c r="DR36" i="17"/>
  <c r="P38" i="19"/>
  <c r="P37" i="19"/>
  <c r="O289" i="13"/>
  <c r="O290" i="13" s="1"/>
  <c r="CG292" i="13"/>
  <c r="CG294" i="13" s="1"/>
  <c r="O242" i="13"/>
  <c r="DQ36" i="17"/>
  <c r="CI286" i="13"/>
  <c r="CF250" i="13"/>
  <c r="CF249" i="13"/>
  <c r="DQ11" i="17"/>
  <c r="DQ35" i="17"/>
  <c r="CE293" i="13"/>
  <c r="CE294" i="13"/>
  <c r="O254" i="13"/>
  <c r="O31" i="15"/>
  <c r="CJ46" i="15"/>
  <c r="CJ279" i="13" s="1"/>
  <c r="CJ280" i="13" s="1"/>
  <c r="CI254" i="13"/>
  <c r="CI31" i="15"/>
  <c r="CI245" i="13"/>
  <c r="CI248" i="13" s="1"/>
  <c r="CH245" i="13"/>
  <c r="CH248" i="13" s="1"/>
  <c r="BT22" i="22"/>
  <c r="J22" i="22" s="1"/>
  <c r="J23" i="22" s="1"/>
  <c r="CF294" i="13"/>
  <c r="CF293" i="13"/>
  <c r="CK43" i="15"/>
  <c r="CK239" i="13" s="1"/>
  <c r="CL44" i="15"/>
  <c r="CK47" i="15"/>
  <c r="O208" i="13"/>
  <c r="O211" i="13" s="1"/>
  <c r="O113" i="15"/>
  <c r="G140" i="14"/>
  <c r="O12" i="15"/>
  <c r="BU22" i="22"/>
  <c r="CI280" i="13"/>
  <c r="CH254" i="13"/>
  <c r="CH31" i="15"/>
  <c r="CG248" i="13"/>
  <c r="CH289" i="13"/>
  <c r="CH292" i="13" s="1"/>
  <c r="CH287" i="13"/>
  <c r="CF246" i="13"/>
  <c r="O245" i="13"/>
  <c r="CI19" i="15"/>
  <c r="BV8" i="22"/>
  <c r="BV9" i="22" s="1"/>
  <c r="BV13" i="22" s="1"/>
  <c r="BV22" i="22" s="1"/>
  <c r="CM19" i="15"/>
  <c r="CJ239" i="13"/>
  <c r="CJ20" i="15"/>
  <c r="CJ18" i="15" s="1"/>
  <c r="BW15" i="22"/>
  <c r="U35" i="22"/>
  <c r="W127" i="6"/>
  <c r="W144" i="6" s="1"/>
  <c r="W145" i="6" s="1"/>
  <c r="W73" i="8"/>
  <c r="W79" i="8" s="1"/>
  <c r="W93" i="6"/>
  <c r="W759" i="12"/>
  <c r="W769" i="12"/>
  <c r="W745" i="12"/>
  <c r="DP35" i="17"/>
  <c r="DP36" i="17"/>
  <c r="DP11" i="17"/>
  <c r="W98" i="6"/>
  <c r="W99" i="6" s="1"/>
  <c r="W96" i="6"/>
  <c r="W6" i="6"/>
  <c r="W116" i="7"/>
  <c r="W115" i="7" s="1"/>
  <c r="W108" i="7"/>
  <c r="CJ80" i="15"/>
  <c r="CJ85" i="15"/>
  <c r="CK84" i="15"/>
  <c r="CI81" i="15"/>
  <c r="CI82" i="15"/>
  <c r="N261" i="13"/>
  <c r="CF263" i="13"/>
  <c r="CF270" i="13"/>
  <c r="CG224" i="13"/>
  <c r="O223" i="13"/>
  <c r="O224" i="13" s="1"/>
  <c r="CE233" i="13"/>
  <c r="CE228" i="13"/>
  <c r="CE229" i="13" s="1"/>
  <c r="CE231" i="13"/>
  <c r="CD273" i="13"/>
  <c r="CD271" i="13"/>
  <c r="CF221" i="13"/>
  <c r="CF230" i="13"/>
  <c r="BS27" i="22"/>
  <c r="CH223" i="13"/>
  <c r="CI216" i="13"/>
  <c r="CH217" i="13"/>
  <c r="CH218" i="13" s="1"/>
  <c r="CH225" i="13"/>
  <c r="CH258" i="13"/>
  <c r="CC273" i="13"/>
  <c r="CC271" i="13"/>
  <c r="N270" i="13"/>
  <c r="N271" i="13" s="1"/>
  <c r="CE262" i="13"/>
  <c r="CF268" i="13"/>
  <c r="O225" i="13"/>
  <c r="O226" i="13" s="1"/>
  <c r="CG267" i="13"/>
  <c r="CG268" i="13" s="1"/>
  <c r="CG259" i="13"/>
  <c r="CG260" i="13" s="1"/>
  <c r="O258" i="13"/>
  <c r="O259" i="13" s="1"/>
  <c r="CG265" i="13"/>
  <c r="O217" i="13"/>
  <c r="CG220" i="13"/>
  <c r="CD234" i="13"/>
  <c r="CD235" i="13"/>
  <c r="P350" i="12"/>
  <c r="P354" i="12"/>
  <c r="P355" i="12" s="1"/>
  <c r="P352" i="12"/>
  <c r="CL349" i="12"/>
  <c r="CK354" i="12"/>
  <c r="CK355" i="12" s="1"/>
  <c r="CK350" i="12"/>
  <c r="CK352" i="12"/>
  <c r="CV677" i="12"/>
  <c r="U7" i="7"/>
  <c r="U7" i="17"/>
  <c r="M7" i="14"/>
  <c r="U8" i="8"/>
  <c r="U7" i="12"/>
  <c r="U8" i="11"/>
  <c r="U7" i="15"/>
  <c r="U7" i="13"/>
  <c r="U7" i="16"/>
  <c r="O4" i="22"/>
  <c r="P4" i="22"/>
  <c r="T7" i="16"/>
  <c r="T8" i="11"/>
  <c r="T7" i="7"/>
  <c r="T7" i="13"/>
  <c r="T7" i="12"/>
  <c r="T7" i="17"/>
  <c r="T7" i="15"/>
  <c r="L7" i="14"/>
  <c r="T8" i="8"/>
  <c r="CT642" i="12"/>
  <c r="R644" i="12"/>
  <c r="S642" i="12" s="1"/>
  <c r="S644" i="12" s="1"/>
  <c r="CS652" i="12"/>
  <c r="CS676" i="12"/>
  <c r="X128" i="13"/>
  <c r="DG316" i="12"/>
  <c r="DG317" i="12" s="1"/>
  <c r="Q24" i="19"/>
  <c r="Q28" i="19" s="1"/>
  <c r="DB71" i="14"/>
  <c r="DC59" i="14"/>
  <c r="DB61" i="14"/>
  <c r="DB60" i="14"/>
  <c r="M38" i="20"/>
  <c r="N30" i="20"/>
  <c r="M37" i="20"/>
  <c r="V499" i="12"/>
  <c r="V504" i="12" s="1"/>
  <c r="V510" i="12" s="1"/>
  <c r="V533" i="12" s="1"/>
  <c r="W569" i="12"/>
  <c r="W570" i="12" s="1"/>
  <c r="AA46" i="16"/>
  <c r="S24" i="20"/>
  <c r="S28" i="20" s="1"/>
  <c r="T171" i="7"/>
  <c r="T175" i="7"/>
  <c r="W82" i="13"/>
  <c r="W133" i="13"/>
  <c r="L61" i="14"/>
  <c r="L62" i="14"/>
  <c r="S174" i="7"/>
  <c r="S188" i="7"/>
  <c r="S184" i="7"/>
  <c r="S185" i="7"/>
  <c r="CR685" i="12"/>
  <c r="CR571" i="12"/>
  <c r="DK100" i="15"/>
  <c r="DJ99" i="15"/>
  <c r="DJ101" i="15" s="1"/>
  <c r="DJ102" i="15" s="1"/>
  <c r="CU640" i="12"/>
  <c r="CU675" i="12" s="1"/>
  <c r="V135" i="13"/>
  <c r="Q80" i="22"/>
  <c r="Q55" i="22"/>
  <c r="Q60" i="22" s="1"/>
  <c r="Q62" i="22" s="1"/>
  <c r="V134" i="13"/>
  <c r="V131" i="13" s="1"/>
  <c r="AA105" i="13"/>
  <c r="AB105" i="13" s="1"/>
  <c r="CT569" i="12"/>
  <c r="CS499" i="12"/>
  <c r="U571" i="12"/>
  <c r="CQ520" i="12"/>
  <c r="CQ524" i="12" s="1"/>
  <c r="CQ532" i="12" s="1"/>
  <c r="CQ656" i="12"/>
  <c r="W130" i="13"/>
  <c r="CR631" i="12"/>
  <c r="R631" i="12" s="1"/>
  <c r="CR579" i="12"/>
  <c r="R578" i="12"/>
  <c r="CN60" i="8"/>
  <c r="CN61" i="8" s="1"/>
  <c r="CM63" i="8"/>
  <c r="DH179" i="12"/>
  <c r="DH316" i="12" s="1"/>
  <c r="DH317" i="12" s="1"/>
  <c r="DH178" i="12"/>
  <c r="DH132" i="12"/>
  <c r="DH133" i="12" s="1"/>
  <c r="DH223" i="12"/>
  <c r="DH322" i="12"/>
  <c r="DH312" i="12"/>
  <c r="DH106" i="12"/>
  <c r="DG323" i="12"/>
  <c r="DI176" i="12"/>
  <c r="DI218" i="12"/>
  <c r="DJ103" i="12"/>
  <c r="V103" i="12"/>
  <c r="DI104" i="12"/>
  <c r="DI131" i="12"/>
  <c r="DI473" i="12"/>
  <c r="DI130" i="12"/>
  <c r="CV37" i="22"/>
  <c r="CV38" i="22" s="1"/>
  <c r="DH222" i="12"/>
  <c r="DH221" i="12"/>
  <c r="DI106" i="12"/>
  <c r="DI312" i="12"/>
  <c r="DI322" i="12"/>
  <c r="U342" i="12"/>
  <c r="DG341" i="12"/>
  <c r="DG313" i="12"/>
  <c r="DV11" i="17" l="1"/>
  <c r="DV35" i="17"/>
  <c r="CG56" i="14"/>
  <c r="CF43" i="13"/>
  <c r="CG43" i="13"/>
  <c r="CF44" i="13"/>
  <c r="CJ42" i="13"/>
  <c r="CG44" i="13"/>
  <c r="P102" i="15"/>
  <c r="O102" i="15"/>
  <c r="CF56" i="14"/>
  <c r="BX208" i="13"/>
  <c r="BX211" i="13" s="1"/>
  <c r="BX212" i="13" s="1"/>
  <c r="BX228" i="13" s="1"/>
  <c r="CB229" i="13" s="1"/>
  <c r="BX113" i="15"/>
  <c r="BX10" i="15"/>
  <c r="CB12" i="15"/>
  <c r="BX12" i="15"/>
  <c r="BW212" i="13"/>
  <c r="CC19" i="15"/>
  <c r="M18" i="15"/>
  <c r="BY11" i="15"/>
  <c r="DT11" i="17"/>
  <c r="DT14" i="17" s="1"/>
  <c r="DT60" i="17" s="1"/>
  <c r="DT36" i="17"/>
  <c r="DT35" i="17"/>
  <c r="R56" i="14"/>
  <c r="AF102" i="11"/>
  <c r="AF103" i="11" s="1"/>
  <c r="AA72" i="22"/>
  <c r="AG101" i="13"/>
  <c r="AF102" i="13"/>
  <c r="DW84" i="12"/>
  <c r="DV114" i="8"/>
  <c r="CC30" i="22"/>
  <c r="CP41" i="14"/>
  <c r="CD33" i="22"/>
  <c r="CQ44" i="14"/>
  <c r="CB31" i="22"/>
  <c r="CO43" i="14"/>
  <c r="CS88" i="14"/>
  <c r="CR91" i="14"/>
  <c r="CR90" i="14"/>
  <c r="CE34" i="22"/>
  <c r="AG70" i="15"/>
  <c r="AG71" i="15" s="1"/>
  <c r="AA92" i="15"/>
  <c r="AA99" i="15" s="1"/>
  <c r="T19" i="14"/>
  <c r="T20" i="14"/>
  <c r="S55" i="14"/>
  <c r="S51" i="14"/>
  <c r="DH336" i="12"/>
  <c r="DH337" i="12" s="1"/>
  <c r="AG127" i="17"/>
  <c r="AG141" i="17"/>
  <c r="AB69" i="22" s="1"/>
  <c r="AB107" i="13"/>
  <c r="AB118" i="13" s="1"/>
  <c r="AC105" i="13"/>
  <c r="T15" i="20"/>
  <c r="T22" i="20"/>
  <c r="T25" i="20"/>
  <c r="P40" i="19"/>
  <c r="AA107" i="13"/>
  <c r="AA118" i="13" s="1"/>
  <c r="O292" i="13"/>
  <c r="O294" i="13" s="1"/>
  <c r="CG293" i="13"/>
  <c r="CK240" i="13"/>
  <c r="P239" i="13"/>
  <c r="CH293" i="13"/>
  <c r="CH294" i="13"/>
  <c r="CJ240" i="13"/>
  <c r="CK241" i="13"/>
  <c r="CK243" i="13" s="1"/>
  <c r="CK245" i="13" s="1"/>
  <c r="CJ241" i="13"/>
  <c r="CL245" i="13"/>
  <c r="CP245" i="13" s="1"/>
  <c r="CH246" i="13"/>
  <c r="BW16" i="22"/>
  <c r="BW17" i="22" s="1"/>
  <c r="BW19" i="22" s="1"/>
  <c r="CJ30" i="15"/>
  <c r="CJ48" i="15"/>
  <c r="CJ45" i="15" s="1"/>
  <c r="CH255" i="13"/>
  <c r="CI255" i="13"/>
  <c r="CK46" i="15"/>
  <c r="CK279" i="13" s="1"/>
  <c r="CI250" i="13"/>
  <c r="CI249" i="13"/>
  <c r="O248" i="13"/>
  <c r="O249" i="13" s="1"/>
  <c r="O246" i="13"/>
  <c r="CJ281" i="13"/>
  <c r="CM44" i="15"/>
  <c r="CL43" i="15"/>
  <c r="CL47" i="15"/>
  <c r="CL46" i="15" s="1"/>
  <c r="CI246" i="13"/>
  <c r="CM245" i="13"/>
  <c r="CJ19" i="15"/>
  <c r="BW8" i="22"/>
  <c r="BW9" i="22" s="1"/>
  <c r="BW13" i="22" s="1"/>
  <c r="CN19" i="15"/>
  <c r="CH290" i="13"/>
  <c r="CL289" i="13"/>
  <c r="CP289" i="13" s="1"/>
  <c r="CG250" i="13"/>
  <c r="CG249" i="13"/>
  <c r="BX15" i="22"/>
  <c r="CK20" i="15"/>
  <c r="CK18" i="15" s="1"/>
  <c r="CH250" i="13"/>
  <c r="CH249" i="13"/>
  <c r="DQ14" i="17"/>
  <c r="DQ60" i="17" s="1"/>
  <c r="DQ12" i="17"/>
  <c r="CI287" i="13"/>
  <c r="CI289" i="13"/>
  <c r="W770" i="12"/>
  <c r="W6" i="15"/>
  <c r="W6" i="13"/>
  <c r="W6" i="17"/>
  <c r="W7" i="6"/>
  <c r="W6" i="16"/>
  <c r="W6" i="12"/>
  <c r="O6" i="14"/>
  <c r="W6" i="7"/>
  <c r="W7" i="8"/>
  <c r="W7" i="11"/>
  <c r="R3" i="22"/>
  <c r="R4" i="22" s="1"/>
  <c r="DP12" i="17"/>
  <c r="DP14" i="17"/>
  <c r="DP60" i="17" s="1"/>
  <c r="CK85" i="15"/>
  <c r="P84" i="15"/>
  <c r="CK80" i="15"/>
  <c r="CL84" i="15"/>
  <c r="CJ81" i="15"/>
  <c r="CJ82" i="15"/>
  <c r="CG262" i="13"/>
  <c r="O262" i="13" s="1"/>
  <c r="O260" i="13"/>
  <c r="CG230" i="13"/>
  <c r="O230" i="13" s="1"/>
  <c r="BT27" i="22"/>
  <c r="J27" i="22" s="1"/>
  <c r="CG221" i="13"/>
  <c r="O267" i="13"/>
  <c r="O268" i="13" s="1"/>
  <c r="CH259" i="13"/>
  <c r="CH260" i="13" s="1"/>
  <c r="CH267" i="13"/>
  <c r="CH265" i="13"/>
  <c r="CH224" i="13"/>
  <c r="O220" i="13"/>
  <c r="CH226" i="13"/>
  <c r="CF273" i="13"/>
  <c r="CF271" i="13"/>
  <c r="CH220" i="13"/>
  <c r="CF231" i="13"/>
  <c r="CF228" i="13"/>
  <c r="CF229" i="13" s="1"/>
  <c r="CF233" i="13"/>
  <c r="CE234" i="13"/>
  <c r="CE235" i="13"/>
  <c r="CG266" i="13"/>
  <c r="O265" i="13"/>
  <c r="O266" i="13" s="1"/>
  <c r="CE270" i="13"/>
  <c r="CE263" i="13"/>
  <c r="N273" i="13"/>
  <c r="N274" i="13" s="1"/>
  <c r="CC274" i="13"/>
  <c r="CC275" i="13"/>
  <c r="CI223" i="13"/>
  <c r="CI224" i="13" s="1"/>
  <c r="CJ216" i="13"/>
  <c r="CI225" i="13"/>
  <c r="CI226" i="13" s="1"/>
  <c r="CI258" i="13"/>
  <c r="CI217" i="13"/>
  <c r="CI218" i="13" s="1"/>
  <c r="CD275" i="13"/>
  <c r="CD274" i="13"/>
  <c r="CL352" i="12"/>
  <c r="CL350" i="12"/>
  <c r="CM349" i="12"/>
  <c r="CL354" i="12"/>
  <c r="CL355" i="12" s="1"/>
  <c r="R676" i="12"/>
  <c r="R678" i="12" s="1"/>
  <c r="CS678" i="12"/>
  <c r="R652" i="12"/>
  <c r="CS653" i="12"/>
  <c r="CS515" i="12" s="1"/>
  <c r="CT650" i="12"/>
  <c r="T642" i="12"/>
  <c r="T644" i="12" s="1"/>
  <c r="T652" i="12" s="1"/>
  <c r="T653" i="12" s="1"/>
  <c r="S652" i="12"/>
  <c r="CT644" i="12"/>
  <c r="CT676" i="12" s="1"/>
  <c r="CT678" i="12" s="1"/>
  <c r="CS685" i="12"/>
  <c r="R499" i="12"/>
  <c r="CS571" i="12"/>
  <c r="R80" i="22"/>
  <c r="W135" i="13"/>
  <c r="W134" i="13"/>
  <c r="W131" i="13" s="1"/>
  <c r="R55" i="22"/>
  <c r="R60" i="22" s="1"/>
  <c r="R62" i="22" s="1"/>
  <c r="V571" i="12"/>
  <c r="P106" i="22"/>
  <c r="P107" i="22" s="1"/>
  <c r="M40" i="20"/>
  <c r="CO60" i="8"/>
  <c r="CO61" i="8" s="1"/>
  <c r="CN63" i="8"/>
  <c r="CQ102" i="7"/>
  <c r="CQ657" i="12"/>
  <c r="CQ680" i="12"/>
  <c r="CV638" i="12"/>
  <c r="X569" i="12"/>
  <c r="W499" i="12"/>
  <c r="W504" i="12" s="1"/>
  <c r="W510" i="12" s="1"/>
  <c r="W533" i="12" s="1"/>
  <c r="N35" i="20"/>
  <c r="O30" i="20" s="1"/>
  <c r="N8" i="20"/>
  <c r="DC71" i="14"/>
  <c r="DD59" i="14"/>
  <c r="DC61" i="14"/>
  <c r="DC60" i="14"/>
  <c r="T163" i="7"/>
  <c r="T165" i="7" s="1"/>
  <c r="T197" i="7"/>
  <c r="U167" i="7"/>
  <c r="T172" i="7"/>
  <c r="CR632" i="12"/>
  <c r="CS577" i="12"/>
  <c r="CR660" i="12"/>
  <c r="DL100" i="15"/>
  <c r="DK99" i="15"/>
  <c r="DK101" i="15" s="1"/>
  <c r="DK102" i="15" s="1"/>
  <c r="R22" i="19"/>
  <c r="R25" i="19"/>
  <c r="DI221" i="12"/>
  <c r="DI222" i="12"/>
  <c r="V131" i="12"/>
  <c r="Q95" i="22"/>
  <c r="Q96" i="22" s="1"/>
  <c r="V104" i="12"/>
  <c r="V218" i="12"/>
  <c r="V473" i="12"/>
  <c r="V130" i="12"/>
  <c r="V105" i="12"/>
  <c r="DI178" i="12"/>
  <c r="DI223" i="12"/>
  <c r="DI179" i="12"/>
  <c r="DI316" i="12" s="1"/>
  <c r="DI317" i="12" s="1"/>
  <c r="V176" i="12"/>
  <c r="DI132" i="12"/>
  <c r="DI133" i="12" s="1"/>
  <c r="DH341" i="12"/>
  <c r="DH313" i="12"/>
  <c r="DG342" i="12"/>
  <c r="DI323" i="12"/>
  <c r="DJ105" i="12"/>
  <c r="DJ130" i="12"/>
  <c r="DK103" i="12"/>
  <c r="DJ473" i="12"/>
  <c r="CW37" i="22"/>
  <c r="CW38" i="22" s="1"/>
  <c r="DJ218" i="12"/>
  <c r="DJ131" i="12"/>
  <c r="DJ176" i="12"/>
  <c r="DJ104" i="12"/>
  <c r="DH323" i="12"/>
  <c r="DI341" i="12"/>
  <c r="DI313" i="12"/>
  <c r="DV14" i="17" l="1"/>
  <c r="DV60" i="17" s="1"/>
  <c r="M11" i="15"/>
  <c r="N19" i="15"/>
  <c r="M19" i="15"/>
  <c r="BW228" i="13"/>
  <c r="CA229" i="13" s="1"/>
  <c r="BY12" i="15"/>
  <c r="BY113" i="15"/>
  <c r="CC12" i="15"/>
  <c r="BY10" i="15"/>
  <c r="BY208" i="13"/>
  <c r="BY211" i="13" s="1"/>
  <c r="DT12" i="17"/>
  <c r="DR52" i="6"/>
  <c r="DU109" i="7" s="1"/>
  <c r="DU94" i="13"/>
  <c r="DU40" i="17" s="1"/>
  <c r="DV42" i="17" s="1"/>
  <c r="DV43" i="17" s="1"/>
  <c r="AB72" i="22"/>
  <c r="AG102" i="11"/>
  <c r="AG103" i="11" s="1"/>
  <c r="AG102" i="13"/>
  <c r="AG104" i="13"/>
  <c r="DX84" i="12"/>
  <c r="DW114" i="8"/>
  <c r="CS90" i="14"/>
  <c r="CT88" i="14"/>
  <c r="CS91" i="14"/>
  <c r="CF34" i="22"/>
  <c r="CD30" i="22"/>
  <c r="CQ41" i="14"/>
  <c r="CD31" i="22" s="1"/>
  <c r="CC31" i="22"/>
  <c r="CP43" i="14"/>
  <c r="CR44" i="14"/>
  <c r="CE33" i="22"/>
  <c r="J91" i="14"/>
  <c r="AA109" i="11"/>
  <c r="V23" i="22"/>
  <c r="T17" i="14"/>
  <c r="T22" i="14" s="1"/>
  <c r="AA90" i="15"/>
  <c r="AB93" i="15" s="1"/>
  <c r="S130" i="14"/>
  <c r="S131" i="14" s="1"/>
  <c r="AA96" i="15"/>
  <c r="AD105" i="13"/>
  <c r="AC107" i="13"/>
  <c r="AC118" i="13" s="1"/>
  <c r="T24" i="20"/>
  <c r="T28" i="20" s="1"/>
  <c r="O293" i="13"/>
  <c r="CL239" i="13"/>
  <c r="CL20" i="15"/>
  <c r="BY15" i="22"/>
  <c r="P240" i="13"/>
  <c r="CJ286" i="13"/>
  <c r="CK281" i="13"/>
  <c r="CK286" i="13" s="1"/>
  <c r="CK280" i="13"/>
  <c r="P279" i="13"/>
  <c r="P280" i="13" s="1"/>
  <c r="O35" i="20"/>
  <c r="P30" i="20" s="1"/>
  <c r="O8" i="20"/>
  <c r="CK19" i="15"/>
  <c r="CO19" i="15"/>
  <c r="P18" i="15"/>
  <c r="BX8" i="22"/>
  <c r="BX9" i="22" s="1"/>
  <c r="BX13" i="22" s="1"/>
  <c r="BW22" i="22"/>
  <c r="CL279" i="13"/>
  <c r="BY16" i="22"/>
  <c r="CL30" i="15"/>
  <c r="CL48" i="15"/>
  <c r="CL45" i="15" s="1"/>
  <c r="CJ243" i="13"/>
  <c r="P241" i="13"/>
  <c r="CK248" i="13"/>
  <c r="CK246" i="13"/>
  <c r="CO245" i="13"/>
  <c r="CI292" i="13"/>
  <c r="CM289" i="13"/>
  <c r="CI290" i="13"/>
  <c r="CM47" i="15"/>
  <c r="CM43" i="15"/>
  <c r="CN44" i="15"/>
  <c r="BX16" i="22"/>
  <c r="BX17" i="22" s="1"/>
  <c r="BX19" i="22" s="1"/>
  <c r="CK30" i="15"/>
  <c r="CK48" i="15"/>
  <c r="CK45" i="15" s="1"/>
  <c r="CJ31" i="15"/>
  <c r="CJ254" i="13"/>
  <c r="CJ255" i="13" s="1"/>
  <c r="W8" i="8"/>
  <c r="W7" i="12"/>
  <c r="W7" i="13"/>
  <c r="W7" i="7"/>
  <c r="W7" i="17"/>
  <c r="O7" i="14"/>
  <c r="W7" i="16"/>
  <c r="W8" i="11"/>
  <c r="W7" i="15"/>
  <c r="DU18" i="8"/>
  <c r="DU17" i="8" s="1"/>
  <c r="DU35" i="8" s="1"/>
  <c r="Y31" i="17"/>
  <c r="Y94" i="13" s="1"/>
  <c r="CK81" i="15"/>
  <c r="CK82" i="15"/>
  <c r="CM84" i="15"/>
  <c r="CL85" i="15"/>
  <c r="CL80" i="15"/>
  <c r="P85" i="15"/>
  <c r="P86" i="15"/>
  <c r="Q86" i="15" s="1"/>
  <c r="R86" i="15" s="1"/>
  <c r="S86" i="15" s="1"/>
  <c r="T86" i="15" s="1"/>
  <c r="U86" i="15" s="1"/>
  <c r="V86" i="15" s="1"/>
  <c r="W86" i="15" s="1"/>
  <c r="X86" i="15" s="1"/>
  <c r="Y86" i="15" s="1"/>
  <c r="Z86" i="15" s="1"/>
  <c r="O228" i="13"/>
  <c r="O231" i="13"/>
  <c r="CI220" i="13"/>
  <c r="CG233" i="13"/>
  <c r="CG228" i="13"/>
  <c r="CG229" i="13" s="1"/>
  <c r="CG231" i="13"/>
  <c r="CI259" i="13"/>
  <c r="CI265" i="13"/>
  <c r="CI266" i="13" s="1"/>
  <c r="CI267" i="13"/>
  <c r="CI268" i="13" s="1"/>
  <c r="CE271" i="13"/>
  <c r="CE273" i="13"/>
  <c r="CF275" i="13"/>
  <c r="CF274" i="13"/>
  <c r="O263" i="13"/>
  <c r="O261" i="13"/>
  <c r="CH262" i="13"/>
  <c r="CH266" i="13"/>
  <c r="CJ223" i="13"/>
  <c r="CJ224" i="13" s="1"/>
  <c r="CJ258" i="13"/>
  <c r="CJ217" i="13"/>
  <c r="CJ220" i="13" s="1"/>
  <c r="CJ225" i="13"/>
  <c r="CJ226" i="13" s="1"/>
  <c r="CK216" i="13"/>
  <c r="CF235" i="13"/>
  <c r="CF234" i="13"/>
  <c r="CH230" i="13"/>
  <c r="BU27" i="22"/>
  <c r="CH221" i="13"/>
  <c r="O221" i="13"/>
  <c r="O219" i="13"/>
  <c r="J28" i="22" s="1"/>
  <c r="CH268" i="13"/>
  <c r="CG263" i="13"/>
  <c r="CG270" i="13"/>
  <c r="CM354" i="12"/>
  <c r="CM355" i="12" s="1"/>
  <c r="CM352" i="12"/>
  <c r="CM350" i="12"/>
  <c r="CN349" i="12"/>
  <c r="CS519" i="12"/>
  <c r="R515" i="12"/>
  <c r="R519" i="12" s="1"/>
  <c r="S653" i="12"/>
  <c r="T650" i="12"/>
  <c r="S650" i="12"/>
  <c r="R653" i="12"/>
  <c r="CU642" i="12"/>
  <c r="CT652" i="12"/>
  <c r="W571" i="12"/>
  <c r="T174" i="7"/>
  <c r="T188" i="7"/>
  <c r="T184" i="7"/>
  <c r="T185" i="7"/>
  <c r="CO63" i="8"/>
  <c r="CP60" i="8"/>
  <c r="CP61" i="8" s="1"/>
  <c r="R15" i="19"/>
  <c r="DL99" i="15"/>
  <c r="DL101" i="15" s="1"/>
  <c r="DL102" i="15" s="1"/>
  <c r="DM100" i="15"/>
  <c r="CR673" i="12"/>
  <c r="N38" i="20"/>
  <c r="N37" i="20"/>
  <c r="R577" i="12"/>
  <c r="CS579" i="12"/>
  <c r="CS660" i="12" s="1"/>
  <c r="U171" i="7"/>
  <c r="U175" i="7"/>
  <c r="DE59" i="14"/>
  <c r="DD61" i="14"/>
  <c r="DD71" i="14"/>
  <c r="DD60" i="14"/>
  <c r="R105" i="22"/>
  <c r="S684" i="12"/>
  <c r="R571" i="12"/>
  <c r="R685" i="12"/>
  <c r="CS630" i="12"/>
  <c r="CR633" i="12"/>
  <c r="CV640" i="12"/>
  <c r="CV675" i="12" s="1"/>
  <c r="DJ221" i="12"/>
  <c r="DJ222" i="12"/>
  <c r="V179" i="12"/>
  <c r="V223" i="12"/>
  <c r="V132" i="12"/>
  <c r="V133" i="12" s="1"/>
  <c r="V322" i="12"/>
  <c r="V106" i="12"/>
  <c r="V312" i="12"/>
  <c r="V222" i="12"/>
  <c r="V221" i="12"/>
  <c r="DJ322" i="12"/>
  <c r="DJ312" i="12"/>
  <c r="DJ106" i="12"/>
  <c r="DH342" i="12"/>
  <c r="DI336" i="12"/>
  <c r="DI337" i="12" s="1"/>
  <c r="DJ179" i="12"/>
  <c r="DJ316" i="12" s="1"/>
  <c r="DJ317" i="12" s="1"/>
  <c r="DJ132" i="12"/>
  <c r="DJ133" i="12" s="1"/>
  <c r="DJ223" i="12"/>
  <c r="DJ178" i="12"/>
  <c r="DI342" i="12"/>
  <c r="DK105" i="12"/>
  <c r="CX37" i="22"/>
  <c r="CX38" i="22" s="1"/>
  <c r="DL103" i="12"/>
  <c r="DK104" i="12"/>
  <c r="DK176" i="12"/>
  <c r="DK218" i="12"/>
  <c r="DK131" i="12"/>
  <c r="DK473" i="12"/>
  <c r="DK130" i="12"/>
  <c r="E140" i="14" l="1"/>
  <c r="N12" i="15"/>
  <c r="M12" i="15"/>
  <c r="M113" i="15"/>
  <c r="BY212" i="13"/>
  <c r="BZ212" i="13"/>
  <c r="M211" i="13"/>
  <c r="Y52" i="6"/>
  <c r="DU41" i="17"/>
  <c r="DU59" i="17"/>
  <c r="DU42" i="17"/>
  <c r="DU43" i="17" s="1"/>
  <c r="DU26" i="17"/>
  <c r="Y18" i="8"/>
  <c r="DW31" i="17"/>
  <c r="DU116" i="7"/>
  <c r="DU115" i="7" s="1"/>
  <c r="DU108" i="7"/>
  <c r="DY84" i="12"/>
  <c r="DY114" i="8" s="1"/>
  <c r="DX114" i="8"/>
  <c r="J88" i="14"/>
  <c r="J142" i="14"/>
  <c r="M33" i="22"/>
  <c r="J145" i="14"/>
  <c r="CS44" i="14"/>
  <c r="CF33" i="22"/>
  <c r="CT91" i="14"/>
  <c r="CG34" i="22"/>
  <c r="CT90" i="14"/>
  <c r="CU88" i="14"/>
  <c r="CE30" i="22"/>
  <c r="CR41" i="14"/>
  <c r="S134" i="14"/>
  <c r="S135" i="14" s="1"/>
  <c r="T14" i="14"/>
  <c r="T38" i="14"/>
  <c r="T40" i="14" s="1"/>
  <c r="AA91" i="15"/>
  <c r="T132" i="14"/>
  <c r="T133" i="14" s="1"/>
  <c r="S139" i="14"/>
  <c r="S140" i="14" s="1"/>
  <c r="AA98" i="15"/>
  <c r="AA101" i="15" s="1"/>
  <c r="S48" i="14"/>
  <c r="S49" i="14" s="1"/>
  <c r="AA118" i="15"/>
  <c r="AA119" i="15" s="1"/>
  <c r="V26" i="22"/>
  <c r="AB94" i="15"/>
  <c r="AB95" i="15"/>
  <c r="AE105" i="13"/>
  <c r="AD107" i="13"/>
  <c r="AD118" i="13" s="1"/>
  <c r="P35" i="20"/>
  <c r="P8" i="20"/>
  <c r="U22" i="20"/>
  <c r="U15" i="20"/>
  <c r="U25" i="20"/>
  <c r="BX22" i="22"/>
  <c r="BY17" i="22"/>
  <c r="BY19" i="22" s="1"/>
  <c r="BY22" i="22" s="1"/>
  <c r="P281" i="13"/>
  <c r="CM46" i="15"/>
  <c r="CM279" i="13" s="1"/>
  <c r="CM239" i="13"/>
  <c r="BZ15" i="22"/>
  <c r="CM20" i="15"/>
  <c r="CI294" i="13"/>
  <c r="CI293" i="13"/>
  <c r="CJ289" i="13"/>
  <c r="CJ287" i="13"/>
  <c r="P286" i="13"/>
  <c r="CJ245" i="13"/>
  <c r="P243" i="13"/>
  <c r="CL31" i="15"/>
  <c r="CL254" i="13"/>
  <c r="P19" i="15"/>
  <c r="K8" i="22"/>
  <c r="Q19" i="15"/>
  <c r="P11" i="15"/>
  <c r="O38" i="20"/>
  <c r="O37" i="20"/>
  <c r="O40" i="20" s="1"/>
  <c r="CK289" i="13"/>
  <c r="CK287" i="13"/>
  <c r="CP240" i="13"/>
  <c r="CL240" i="13"/>
  <c r="CL241" i="13"/>
  <c r="CL243" i="13" s="1"/>
  <c r="CK31" i="15"/>
  <c r="P30" i="15"/>
  <c r="CK254" i="13"/>
  <c r="CK255" i="13" s="1"/>
  <c r="P255" i="13" s="1"/>
  <c r="CN43" i="15"/>
  <c r="CN47" i="15"/>
  <c r="CN46" i="15" s="1"/>
  <c r="CO44" i="15"/>
  <c r="CK249" i="13"/>
  <c r="CK250" i="13"/>
  <c r="CL280" i="13"/>
  <c r="CP280" i="13"/>
  <c r="CL281" i="13"/>
  <c r="Y32" i="17"/>
  <c r="Y13" i="17"/>
  <c r="Q84" i="15"/>
  <c r="Q80" i="15" s="1"/>
  <c r="CN84" i="15"/>
  <c r="CM80" i="15"/>
  <c r="CM85" i="15"/>
  <c r="CL81" i="15"/>
  <c r="CL82" i="15"/>
  <c r="CH233" i="13"/>
  <c r="CH228" i="13"/>
  <c r="CH231" i="13"/>
  <c r="CJ259" i="13"/>
  <c r="CJ260" i="13" s="1"/>
  <c r="CJ262" i="13" s="1"/>
  <c r="CJ267" i="13"/>
  <c r="CJ268" i="13" s="1"/>
  <c r="CJ265" i="13"/>
  <c r="CE275" i="13"/>
  <c r="CE274" i="13"/>
  <c r="CI260" i="13"/>
  <c r="CI230" i="13"/>
  <c r="BV27" i="22"/>
  <c r="CI221" i="13"/>
  <c r="CG271" i="13"/>
  <c r="CG273" i="13"/>
  <c r="O273" i="13" s="1"/>
  <c r="O274" i="13" s="1"/>
  <c r="CK223" i="13"/>
  <c r="CK224" i="13" s="1"/>
  <c r="CK258" i="13"/>
  <c r="CL216" i="13"/>
  <c r="CK217" i="13"/>
  <c r="CK225" i="13"/>
  <c r="CK226" i="13" s="1"/>
  <c r="CH270" i="13"/>
  <c r="CH263" i="13"/>
  <c r="CJ230" i="13"/>
  <c r="BW27" i="22"/>
  <c r="CJ221" i="13"/>
  <c r="O270" i="13"/>
  <c r="O271" i="13" s="1"/>
  <c r="CG235" i="13"/>
  <c r="CG234" i="13"/>
  <c r="CJ218" i="13"/>
  <c r="O233" i="13"/>
  <c r="O234" i="13" s="1"/>
  <c r="CN352" i="12"/>
  <c r="CN354" i="12"/>
  <c r="CN355" i="12" s="1"/>
  <c r="CO349" i="12"/>
  <c r="CN350" i="12"/>
  <c r="CT653" i="12"/>
  <c r="CT515" i="12" s="1"/>
  <c r="CT519" i="12" s="1"/>
  <c r="CU650" i="12"/>
  <c r="CU644" i="12"/>
  <c r="CU676" i="12" s="1"/>
  <c r="CU678" i="12" s="1"/>
  <c r="DJ336" i="12"/>
  <c r="DJ337" i="12" s="1"/>
  <c r="CS673" i="12"/>
  <c r="CS679" i="12" s="1"/>
  <c r="R660" i="12"/>
  <c r="R673" i="12" s="1"/>
  <c r="R679" i="12" s="1"/>
  <c r="CR520" i="12"/>
  <c r="CR524" i="12" s="1"/>
  <c r="CR532" i="12" s="1"/>
  <c r="CR656" i="12"/>
  <c r="U684" i="12"/>
  <c r="S685" i="12"/>
  <c r="V167" i="7"/>
  <c r="U197" i="7"/>
  <c r="U163" i="7"/>
  <c r="U165" i="7" s="1"/>
  <c r="U172" i="7"/>
  <c r="DN100" i="15"/>
  <c r="DO100" i="15" s="1"/>
  <c r="DM99" i="15"/>
  <c r="DM101" i="15" s="1"/>
  <c r="DM102" i="15" s="1"/>
  <c r="X45" i="16"/>
  <c r="CP63" i="8"/>
  <c r="CP68" i="8"/>
  <c r="CQ60" i="8"/>
  <c r="CQ61" i="8" s="1"/>
  <c r="DE71" i="14"/>
  <c r="DF59" i="14"/>
  <c r="DE61" i="14"/>
  <c r="M59" i="14"/>
  <c r="DE60" i="14"/>
  <c r="R579" i="12"/>
  <c r="S577" i="12" s="1"/>
  <c r="CS632" i="12"/>
  <c r="CT577" i="12"/>
  <c r="Q106" i="22"/>
  <c r="Q107" i="22" s="1"/>
  <c r="N40" i="20"/>
  <c r="R24" i="19"/>
  <c r="R28" i="19" s="1"/>
  <c r="CW638" i="12"/>
  <c r="DK106" i="12"/>
  <c r="DK312" i="12"/>
  <c r="DK322" i="12"/>
  <c r="V323" i="12"/>
  <c r="V336" i="12"/>
  <c r="V337" i="12" s="1"/>
  <c r="V316" i="12"/>
  <c r="V317" i="12" s="1"/>
  <c r="DK221" i="12"/>
  <c r="DK222" i="12"/>
  <c r="DL105" i="12"/>
  <c r="DL176" i="12"/>
  <c r="DL218" i="12"/>
  <c r="DL131" i="12"/>
  <c r="DM103" i="12"/>
  <c r="DM105" i="12" s="1"/>
  <c r="DL473" i="12"/>
  <c r="DL104" i="12"/>
  <c r="DL130" i="12"/>
  <c r="CY37" i="22"/>
  <c r="CY38" i="22" s="1"/>
  <c r="DJ313" i="12"/>
  <c r="DJ341" i="12"/>
  <c r="V313" i="12"/>
  <c r="V341" i="12"/>
  <c r="DK132" i="12"/>
  <c r="DK133" i="12" s="1"/>
  <c r="DK223" i="12"/>
  <c r="DK179" i="12"/>
  <c r="DK178" i="12"/>
  <c r="DJ323" i="12"/>
  <c r="DV30" i="17" l="1"/>
  <c r="DV28" i="17"/>
  <c r="BY228" i="13"/>
  <c r="CC229" i="13" s="1"/>
  <c r="M212" i="13"/>
  <c r="M228" i="13" s="1"/>
  <c r="BZ228" i="13"/>
  <c r="N212" i="13"/>
  <c r="N228" i="13" s="1"/>
  <c r="DU29" i="17"/>
  <c r="DU28" i="17"/>
  <c r="DU27" i="17"/>
  <c r="DU53" i="17"/>
  <c r="DW53" i="17" s="1"/>
  <c r="DX53" i="17" s="1"/>
  <c r="DY53" i="17" s="1"/>
  <c r="DU30" i="17"/>
  <c r="DU58" i="17"/>
  <c r="DU50" i="17"/>
  <c r="DW50" i="17" s="1"/>
  <c r="DX50" i="17" s="1"/>
  <c r="DY50" i="17" s="1"/>
  <c r="DU34" i="17"/>
  <c r="DV36" i="17" s="1"/>
  <c r="DU45" i="17"/>
  <c r="DW45" i="17" s="1"/>
  <c r="DX45" i="17" s="1"/>
  <c r="DY45" i="17" s="1"/>
  <c r="DW18" i="8"/>
  <c r="DT52" i="6"/>
  <c r="DW13" i="17"/>
  <c r="DX31" i="17"/>
  <c r="DW32" i="17"/>
  <c r="DW94" i="13"/>
  <c r="T16" i="14"/>
  <c r="W29" i="22"/>
  <c r="CR43" i="14"/>
  <c r="CE31" i="22"/>
  <c r="J153" i="14"/>
  <c r="J154" i="14" s="1"/>
  <c r="J146" i="14"/>
  <c r="CV88" i="14"/>
  <c r="CU90" i="14"/>
  <c r="CH34" i="22"/>
  <c r="CU91" i="14"/>
  <c r="CT44" i="14"/>
  <c r="CG33" i="22"/>
  <c r="CS41" i="14"/>
  <c r="CF30" i="22"/>
  <c r="M34" i="22"/>
  <c r="K88" i="14"/>
  <c r="T50" i="14"/>
  <c r="T55" i="14" s="1"/>
  <c r="T36" i="14"/>
  <c r="T37" i="14" s="1"/>
  <c r="T32" i="14" s="1"/>
  <c r="T30" i="14" s="1"/>
  <c r="T31" i="14" s="1"/>
  <c r="U29" i="14"/>
  <c r="AB115" i="15"/>
  <c r="AB116" i="15" s="1"/>
  <c r="S54" i="14"/>
  <c r="S45" i="14"/>
  <c r="S52" i="14" s="1"/>
  <c r="AB92" i="15"/>
  <c r="T130" i="14" s="1"/>
  <c r="U20" i="14"/>
  <c r="U19" i="14"/>
  <c r="AE107" i="13"/>
  <c r="AE118" i="13" s="1"/>
  <c r="AF105" i="13"/>
  <c r="U24" i="20"/>
  <c r="U28" i="20" s="1"/>
  <c r="P38" i="20"/>
  <c r="P37" i="20"/>
  <c r="CM280" i="13"/>
  <c r="CM281" i="13"/>
  <c r="CM286" i="13" s="1"/>
  <c r="DO99" i="15"/>
  <c r="DO101" i="15" s="1"/>
  <c r="DO102" i="15" s="1"/>
  <c r="DP100" i="15"/>
  <c r="CN279" i="13"/>
  <c r="CN281" i="13" s="1"/>
  <c r="CN48" i="15"/>
  <c r="CN45" i="15" s="1"/>
  <c r="CA16" i="22"/>
  <c r="CN30" i="15"/>
  <c r="CK292" i="13"/>
  <c r="CO289" i="13"/>
  <c r="CK290" i="13"/>
  <c r="CJ248" i="13"/>
  <c r="CJ246" i="13"/>
  <c r="CN245" i="13"/>
  <c r="Q245" i="13" s="1"/>
  <c r="P245" i="13"/>
  <c r="P246" i="13" s="1"/>
  <c r="CJ292" i="13"/>
  <c r="CN289" i="13"/>
  <c r="CJ290" i="13"/>
  <c r="P289" i="13"/>
  <c r="P290" i="13" s="1"/>
  <c r="CL286" i="13"/>
  <c r="CN239" i="13"/>
  <c r="CN241" i="13" s="1"/>
  <c r="CN243" i="13" s="1"/>
  <c r="CN20" i="15"/>
  <c r="CA15" i="22"/>
  <c r="CL248" i="13"/>
  <c r="CL255" i="13"/>
  <c r="CM240" i="13"/>
  <c r="CM241" i="13"/>
  <c r="CM243" i="13" s="1"/>
  <c r="CM248" i="13" s="1"/>
  <c r="P283" i="13"/>
  <c r="CO43" i="15"/>
  <c r="CO47" i="15"/>
  <c r="CO46" i="15" s="1"/>
  <c r="P32" i="15"/>
  <c r="P254" i="13"/>
  <c r="P31" i="15"/>
  <c r="Q12" i="15"/>
  <c r="P113" i="15"/>
  <c r="P208" i="13"/>
  <c r="P211" i="13" s="1"/>
  <c r="Q212" i="13" s="1"/>
  <c r="K7" i="22"/>
  <c r="K9" i="22" s="1"/>
  <c r="K13" i="22" s="1"/>
  <c r="K22" i="22" s="1"/>
  <c r="P12" i="15"/>
  <c r="H140" i="14"/>
  <c r="P242" i="13"/>
  <c r="CM30" i="15"/>
  <c r="CM48" i="15"/>
  <c r="CM45" i="15" s="1"/>
  <c r="BZ16" i="22"/>
  <c r="BZ17" i="22" s="1"/>
  <c r="BZ19" i="22" s="1"/>
  <c r="BZ22" i="22" s="1"/>
  <c r="R84" i="15"/>
  <c r="R85" i="15" s="1"/>
  <c r="Q85" i="15"/>
  <c r="X57" i="7"/>
  <c r="CM82" i="15"/>
  <c r="CM81" i="15"/>
  <c r="CO84" i="15"/>
  <c r="CN80" i="15"/>
  <c r="CN85" i="15"/>
  <c r="CJ233" i="13"/>
  <c r="CJ228" i="13"/>
  <c r="CJ231" i="13"/>
  <c r="CL258" i="13"/>
  <c r="CM216" i="13"/>
  <c r="CL217" i="13"/>
  <c r="CL223" i="13"/>
  <c r="CL224" i="13" s="1"/>
  <c r="CL225" i="13"/>
  <c r="CL226" i="13" s="1"/>
  <c r="CI262" i="13"/>
  <c r="P223" i="13"/>
  <c r="P224" i="13" s="1"/>
  <c r="P225" i="13"/>
  <c r="P226" i="13" s="1"/>
  <c r="CL270" i="13"/>
  <c r="CH273" i="13"/>
  <c r="CH271" i="13"/>
  <c r="P258" i="13"/>
  <c r="P259" i="13" s="1"/>
  <c r="CK267" i="13"/>
  <c r="CK268" i="13" s="1"/>
  <c r="CK259" i="13"/>
  <c r="CK260" i="13" s="1"/>
  <c r="CK262" i="13" s="1"/>
  <c r="CK265" i="13"/>
  <c r="CK266" i="13" s="1"/>
  <c r="CJ270" i="13"/>
  <c r="CJ263" i="13"/>
  <c r="CJ266" i="13"/>
  <c r="CL228" i="13"/>
  <c r="CH229" i="13"/>
  <c r="CK218" i="13"/>
  <c r="P217" i="13"/>
  <c r="P218" i="13" s="1"/>
  <c r="CK220" i="13"/>
  <c r="CG275" i="13"/>
  <c r="CG274" i="13"/>
  <c r="CI228" i="13"/>
  <c r="CI233" i="13"/>
  <c r="CI231" i="13"/>
  <c r="CH235" i="13"/>
  <c r="CH234" i="13"/>
  <c r="CO354" i="12"/>
  <c r="CO355" i="12" s="1"/>
  <c r="CO350" i="12"/>
  <c r="CO352" i="12"/>
  <c r="CP349" i="12"/>
  <c r="Q349" i="12"/>
  <c r="CV642" i="12"/>
  <c r="CU652" i="12"/>
  <c r="CT630" i="12"/>
  <c r="R632" i="12"/>
  <c r="CS633" i="12"/>
  <c r="CT579" i="12"/>
  <c r="CT660" i="12" s="1"/>
  <c r="CT673" i="12" s="1"/>
  <c r="CT679" i="12" s="1"/>
  <c r="M62" i="14"/>
  <c r="M61" i="14"/>
  <c r="CR60" i="8"/>
  <c r="CR61" i="8" s="1"/>
  <c r="CQ63" i="8"/>
  <c r="CQ68" i="8"/>
  <c r="DN99" i="15"/>
  <c r="DN101" i="15" s="1"/>
  <c r="DN102" i="15" s="1"/>
  <c r="U188" i="7"/>
  <c r="U184" i="7"/>
  <c r="U174" i="7"/>
  <c r="U185" i="7"/>
  <c r="V171" i="7"/>
  <c r="V175" i="7"/>
  <c r="CR102" i="7"/>
  <c r="CR657" i="12"/>
  <c r="CR680" i="12"/>
  <c r="CS680" i="12" s="1"/>
  <c r="Q30" i="19"/>
  <c r="V684" i="12"/>
  <c r="W684" i="12" s="1"/>
  <c r="CW640" i="12"/>
  <c r="S22" i="19"/>
  <c r="S25" i="19"/>
  <c r="S578" i="12"/>
  <c r="S631" i="12" s="1"/>
  <c r="DF71" i="14"/>
  <c r="DF61" i="14"/>
  <c r="DG59" i="14"/>
  <c r="DF60" i="14"/>
  <c r="DL322" i="12"/>
  <c r="DL106" i="12"/>
  <c r="DL312" i="12"/>
  <c r="DK316" i="12"/>
  <c r="DK336" i="12"/>
  <c r="DK323" i="12"/>
  <c r="DM322" i="12"/>
  <c r="DM106" i="12"/>
  <c r="DM312" i="12"/>
  <c r="DL222" i="12"/>
  <c r="DL221" i="12"/>
  <c r="DK341" i="12"/>
  <c r="DK313" i="12"/>
  <c r="V342" i="12"/>
  <c r="DJ342" i="12"/>
  <c r="DM104" i="12"/>
  <c r="DM218" i="12"/>
  <c r="CZ37" i="22"/>
  <c r="CZ38" i="22" s="1"/>
  <c r="DM176" i="12"/>
  <c r="DM473" i="12"/>
  <c r="DM131" i="12"/>
  <c r="DM130" i="12"/>
  <c r="W103" i="12"/>
  <c r="DN103" i="12"/>
  <c r="DL132" i="12"/>
  <c r="DL133" i="12" s="1"/>
  <c r="DL223" i="12"/>
  <c r="DL179" i="12"/>
  <c r="DL336" i="12" s="1"/>
  <c r="DL178" i="12"/>
  <c r="Z31" i="17" l="1"/>
  <c r="CD229" i="13"/>
  <c r="BZ229" i="13"/>
  <c r="N229" i="13"/>
  <c r="O229" i="13"/>
  <c r="DU11" i="17"/>
  <c r="DU36" i="17"/>
  <c r="DU35" i="17"/>
  <c r="DU52" i="6"/>
  <c r="DX18" i="8"/>
  <c r="DY31" i="17"/>
  <c r="DX13" i="17"/>
  <c r="DX32" i="17"/>
  <c r="DX94" i="13"/>
  <c r="AB109" i="11"/>
  <c r="W23" i="22"/>
  <c r="CH33" i="22"/>
  <c r="CU44" i="14"/>
  <c r="L88" i="14"/>
  <c r="N34" i="22"/>
  <c r="CS43" i="14"/>
  <c r="CF31" i="22"/>
  <c r="CG30" i="22"/>
  <c r="CT41" i="14"/>
  <c r="CV90" i="14"/>
  <c r="CI34" i="22"/>
  <c r="CW88" i="14"/>
  <c r="CV91" i="14"/>
  <c r="V35" i="22"/>
  <c r="T51" i="14"/>
  <c r="S53" i="14"/>
  <c r="S46" i="14"/>
  <c r="S47" i="14"/>
  <c r="S56" i="14" s="1"/>
  <c r="AB90" i="15"/>
  <c r="U17" i="14"/>
  <c r="AB96" i="15"/>
  <c r="AB99" i="15"/>
  <c r="T134" i="14"/>
  <c r="T135" i="14" s="1"/>
  <c r="T131" i="14"/>
  <c r="AG105" i="13"/>
  <c r="AG107" i="13" s="1"/>
  <c r="AG118" i="13" s="1"/>
  <c r="AF107" i="13"/>
  <c r="AF118" i="13" s="1"/>
  <c r="V22" i="20"/>
  <c r="V15" i="20"/>
  <c r="V25" i="20"/>
  <c r="P40" i="20"/>
  <c r="Q289" i="13"/>
  <c r="Q290" i="13" s="1"/>
  <c r="CN248" i="13"/>
  <c r="CN12" i="13" s="1"/>
  <c r="CN13" i="13" s="1"/>
  <c r="CN286" i="13"/>
  <c r="P248" i="13"/>
  <c r="CO279" i="13"/>
  <c r="CO281" i="13" s="1"/>
  <c r="CO286" i="13" s="1"/>
  <c r="CB16" i="22"/>
  <c r="CO30" i="15"/>
  <c r="CO48" i="15"/>
  <c r="CO45" i="15" s="1"/>
  <c r="CM249" i="13"/>
  <c r="CM12" i="13"/>
  <c r="CM13" i="13" s="1"/>
  <c r="CN240" i="13"/>
  <c r="Q246" i="13"/>
  <c r="CN31" i="15"/>
  <c r="CN254" i="13"/>
  <c r="CO239" i="13"/>
  <c r="CO241" i="13" s="1"/>
  <c r="CO243" i="13" s="1"/>
  <c r="CO20" i="15"/>
  <c r="CB15" i="22"/>
  <c r="CL12" i="13"/>
  <c r="CL13" i="13" s="1"/>
  <c r="CL249" i="13"/>
  <c r="CM292" i="13"/>
  <c r="CM287" i="13"/>
  <c r="P292" i="13"/>
  <c r="CA17" i="22"/>
  <c r="CA19" i="22" s="1"/>
  <c r="CA22" i="22" s="1"/>
  <c r="CL287" i="13"/>
  <c r="CL292" i="13"/>
  <c r="CJ294" i="13"/>
  <c r="CJ293" i="13"/>
  <c r="CJ250" i="13"/>
  <c r="CJ249" i="13"/>
  <c r="CM254" i="13"/>
  <c r="CM31" i="15"/>
  <c r="P35" i="15"/>
  <c r="P59" i="15" s="1"/>
  <c r="P52" i="15"/>
  <c r="P33" i="15"/>
  <c r="Q33" i="15"/>
  <c r="Q35" i="15"/>
  <c r="Q59" i="15" s="1"/>
  <c r="CK293" i="13"/>
  <c r="CK294" i="13"/>
  <c r="CN280" i="13"/>
  <c r="DP99" i="15"/>
  <c r="DP101" i="15" s="1"/>
  <c r="DP102" i="15" s="1"/>
  <c r="DQ100" i="15"/>
  <c r="DR100" i="15" s="1"/>
  <c r="R80" i="15"/>
  <c r="R82" i="15" s="1"/>
  <c r="S84" i="15"/>
  <c r="T84" i="15" s="1"/>
  <c r="P265" i="13"/>
  <c r="P266" i="13" s="1"/>
  <c r="CO85" i="15"/>
  <c r="CO80" i="15"/>
  <c r="CN82" i="15"/>
  <c r="CN81" i="15"/>
  <c r="P260" i="13"/>
  <c r="CL230" i="13"/>
  <c r="CP228" i="13"/>
  <c r="CP230" i="13" s="1"/>
  <c r="CL265" i="13"/>
  <c r="CL266" i="13" s="1"/>
  <c r="CL259" i="13"/>
  <c r="CL260" i="13" s="1"/>
  <c r="CL267" i="13"/>
  <c r="CL268" i="13" s="1"/>
  <c r="CJ273" i="13"/>
  <c r="CN270" i="13"/>
  <c r="CJ271" i="13"/>
  <c r="CL218" i="13"/>
  <c r="CL220" i="13"/>
  <c r="CI235" i="13"/>
  <c r="CI234" i="13"/>
  <c r="CH275" i="13"/>
  <c r="CH274" i="13"/>
  <c r="P267" i="13"/>
  <c r="P268" i="13" s="1"/>
  <c r="CM228" i="13"/>
  <c r="CM230" i="13" s="1"/>
  <c r="CM231" i="13" s="1"/>
  <c r="CI229" i="13"/>
  <c r="CP270" i="13"/>
  <c r="P220" i="13"/>
  <c r="P219" i="13" s="1"/>
  <c r="K28" i="22" s="1"/>
  <c r="BX27" i="22"/>
  <c r="CK221" i="13"/>
  <c r="CK230" i="13"/>
  <c r="CN228" i="13"/>
  <c r="CN230" i="13" s="1"/>
  <c r="CN231" i="13" s="1"/>
  <c r="CJ229" i="13"/>
  <c r="CK270" i="13"/>
  <c r="CK263" i="13"/>
  <c r="CI270" i="13"/>
  <c r="CI263" i="13"/>
  <c r="P262" i="13"/>
  <c r="CN216" i="13"/>
  <c r="CM217" i="13"/>
  <c r="CM218" i="13" s="1"/>
  <c r="CM258" i="13"/>
  <c r="CM259" i="13" s="1"/>
  <c r="CJ235" i="13"/>
  <c r="CJ234" i="13"/>
  <c r="DN105" i="12"/>
  <c r="DN322" i="12" s="1"/>
  <c r="DN323" i="12" s="1"/>
  <c r="DO103" i="12"/>
  <c r="Q350" i="12"/>
  <c r="Q352" i="12"/>
  <c r="Q354" i="12"/>
  <c r="Q355" i="12" s="1"/>
  <c r="CP354" i="12"/>
  <c r="CP355" i="12" s="1"/>
  <c r="CQ349" i="12"/>
  <c r="CP352" i="12"/>
  <c r="CP350" i="12"/>
  <c r="CU653" i="12"/>
  <c r="CU515" i="12" s="1"/>
  <c r="CU519" i="12" s="1"/>
  <c r="CV650" i="12"/>
  <c r="CV644" i="12"/>
  <c r="S579" i="12"/>
  <c r="S632" i="12" s="1"/>
  <c r="S633" i="12" s="1"/>
  <c r="S656" i="12" s="1"/>
  <c r="S102" i="7" s="1"/>
  <c r="CS520" i="12"/>
  <c r="CS656" i="12"/>
  <c r="CS681" i="12" s="1"/>
  <c r="CW675" i="12"/>
  <c r="S105" i="22"/>
  <c r="CU577" i="12"/>
  <c r="CT632" i="12"/>
  <c r="S15" i="19"/>
  <c r="Q16" i="19"/>
  <c r="Y45" i="16" s="1"/>
  <c r="Q17" i="19"/>
  <c r="DG60" i="14"/>
  <c r="DH59" i="14"/>
  <c r="DG71" i="14"/>
  <c r="DG61" i="14"/>
  <c r="CR63" i="8"/>
  <c r="CR68" i="8"/>
  <c r="CS60" i="8"/>
  <c r="CS61" i="8" s="1"/>
  <c r="X684" i="12"/>
  <c r="CT680" i="12"/>
  <c r="W167" i="7"/>
  <c r="V163" i="7"/>
  <c r="V165" i="7" s="1"/>
  <c r="V197" i="7"/>
  <c r="V172" i="7"/>
  <c r="S630" i="12"/>
  <c r="R633" i="12"/>
  <c r="R656" i="12" s="1"/>
  <c r="DL337" i="12"/>
  <c r="DK337" i="12"/>
  <c r="R95" i="22"/>
  <c r="R96" i="22" s="1"/>
  <c r="W218" i="12"/>
  <c r="W130" i="12"/>
  <c r="W131" i="12"/>
  <c r="W473" i="12"/>
  <c r="W104" i="12"/>
  <c r="W105" i="12"/>
  <c r="DM178" i="12"/>
  <c r="DM179" i="12"/>
  <c r="DM336" i="12" s="1"/>
  <c r="DM223" i="12"/>
  <c r="W176" i="12"/>
  <c r="DM132" i="12"/>
  <c r="DM133" i="12" s="1"/>
  <c r="DM323" i="12"/>
  <c r="DL313" i="12"/>
  <c r="DL341" i="12"/>
  <c r="DL316" i="12"/>
  <c r="DN218" i="12"/>
  <c r="DN473" i="12"/>
  <c r="DN176" i="12"/>
  <c r="DN104" i="12"/>
  <c r="DN131" i="12"/>
  <c r="DN130" i="12"/>
  <c r="DM221" i="12"/>
  <c r="DM222" i="12"/>
  <c r="DK342" i="12"/>
  <c r="DM313" i="12"/>
  <c r="DM341" i="12"/>
  <c r="DK317" i="12"/>
  <c r="DL323" i="12"/>
  <c r="Z94" i="13" l="1"/>
  <c r="Z13" i="17"/>
  <c r="Z32" i="17"/>
  <c r="AA31" i="17"/>
  <c r="DS100" i="15"/>
  <c r="DR99" i="15"/>
  <c r="DR101" i="15" s="1"/>
  <c r="DR102" i="15" s="1"/>
  <c r="S85" i="15"/>
  <c r="DU14" i="17"/>
  <c r="DU60" i="17" s="1"/>
  <c r="DU12" i="17"/>
  <c r="DY18" i="8"/>
  <c r="Z18" i="8" s="1"/>
  <c r="DV52" i="6"/>
  <c r="Z52" i="6" s="1"/>
  <c r="DY32" i="17"/>
  <c r="DY13" i="17"/>
  <c r="DY94" i="13"/>
  <c r="Y684" i="12"/>
  <c r="Z684" i="12" s="1"/>
  <c r="AC93" i="15"/>
  <c r="AC94" i="15" s="1"/>
  <c r="W26" i="22"/>
  <c r="CW91" i="14"/>
  <c r="CW90" i="14"/>
  <c r="CX88" i="14"/>
  <c r="CJ34" i="22"/>
  <c r="O34" i="22"/>
  <c r="M88" i="14"/>
  <c r="CH30" i="22"/>
  <c r="CU41" i="14"/>
  <c r="CV44" i="14"/>
  <c r="CI33" i="22"/>
  <c r="CT43" i="14"/>
  <c r="CG31" i="22"/>
  <c r="AB91" i="15"/>
  <c r="AB98" i="15"/>
  <c r="AB101" i="15" s="1"/>
  <c r="AB102" i="15" s="1"/>
  <c r="S57" i="14"/>
  <c r="T48" i="14"/>
  <c r="T54" i="14" s="1"/>
  <c r="AB118" i="15"/>
  <c r="AB119" i="15" s="1"/>
  <c r="T139" i="14"/>
  <c r="T140" i="14" s="1"/>
  <c r="U14" i="14"/>
  <c r="U132" i="14"/>
  <c r="U133" i="14" s="1"/>
  <c r="U22" i="14"/>
  <c r="U38" i="14"/>
  <c r="U40" i="14" s="1"/>
  <c r="X23" i="22"/>
  <c r="V24" i="20"/>
  <c r="V28" i="20" s="1"/>
  <c r="CN249" i="13"/>
  <c r="S80" i="15"/>
  <c r="S82" i="15" s="1"/>
  <c r="CL250" i="13"/>
  <c r="CO248" i="13"/>
  <c r="CO249" i="13" s="1"/>
  <c r="Q243" i="13"/>
  <c r="Q248" i="13" s="1"/>
  <c r="Q12" i="13" s="1"/>
  <c r="CM250" i="13"/>
  <c r="CO292" i="13"/>
  <c r="CO287" i="13"/>
  <c r="P34" i="15"/>
  <c r="P53" i="15"/>
  <c r="Q53" i="15"/>
  <c r="P64" i="15"/>
  <c r="Q56" i="15"/>
  <c r="P23" i="15"/>
  <c r="P56" i="15"/>
  <c r="Q55" i="15"/>
  <c r="P55" i="15"/>
  <c r="P108" i="15"/>
  <c r="P110" i="15" s="1"/>
  <c r="Q286" i="13"/>
  <c r="P294" i="13"/>
  <c r="P293" i="13"/>
  <c r="P249" i="13"/>
  <c r="P12" i="13"/>
  <c r="CL293" i="13"/>
  <c r="CL21" i="13"/>
  <c r="CM21" i="13"/>
  <c r="CM293" i="13"/>
  <c r="Q30" i="15"/>
  <c r="CO31" i="15"/>
  <c r="CO254" i="13"/>
  <c r="CP255" i="13" s="1"/>
  <c r="DQ99" i="15"/>
  <c r="DQ101" i="15" s="1"/>
  <c r="DQ102" i="15" s="1"/>
  <c r="CO240" i="13"/>
  <c r="CP241" i="13"/>
  <c r="CP243" i="13" s="1"/>
  <c r="CP248" i="13" s="1"/>
  <c r="Q239" i="13"/>
  <c r="CN250" i="13"/>
  <c r="CB17" i="22"/>
  <c r="CB19" i="22" s="1"/>
  <c r="CB22" i="22" s="1"/>
  <c r="Q281" i="13"/>
  <c r="CN255" i="13"/>
  <c r="CM255" i="13"/>
  <c r="CP281" i="13"/>
  <c r="CP286" i="13" s="1"/>
  <c r="CO280" i="13"/>
  <c r="Q279" i="13"/>
  <c r="Q280" i="13" s="1"/>
  <c r="CN292" i="13"/>
  <c r="CN287" i="13"/>
  <c r="R81" i="15"/>
  <c r="DN312" i="12"/>
  <c r="DN341" i="12" s="1"/>
  <c r="DO105" i="12"/>
  <c r="DO106" i="12" s="1"/>
  <c r="DN106" i="12"/>
  <c r="CO81" i="15"/>
  <c r="CO82" i="15"/>
  <c r="DP103" i="12"/>
  <c r="T80" i="15"/>
  <c r="U84" i="15"/>
  <c r="T85" i="15"/>
  <c r="CN217" i="13"/>
  <c r="CN218" i="13" s="1"/>
  <c r="CN223" i="13"/>
  <c r="CN224" i="13" s="1"/>
  <c r="CN258" i="13"/>
  <c r="CN225" i="13"/>
  <c r="CN226" i="13" s="1"/>
  <c r="CO216" i="13"/>
  <c r="K27" i="22"/>
  <c r="P221" i="13"/>
  <c r="CK271" i="13"/>
  <c r="CK273" i="13"/>
  <c r="CO270" i="13"/>
  <c r="P263" i="13"/>
  <c r="P261" i="13"/>
  <c r="P230" i="13"/>
  <c r="CK228" i="13"/>
  <c r="CK233" i="13"/>
  <c r="CK231" i="13"/>
  <c r="BY27" i="22"/>
  <c r="CL221" i="13"/>
  <c r="CJ275" i="13"/>
  <c r="CJ274" i="13"/>
  <c r="CL262" i="13"/>
  <c r="CP231" i="13"/>
  <c r="CM220" i="13"/>
  <c r="CI273" i="13"/>
  <c r="CM270" i="13"/>
  <c r="CI271" i="13"/>
  <c r="P270" i="13"/>
  <c r="P271" i="13" s="1"/>
  <c r="CM260" i="13"/>
  <c r="CM262" i="13" s="1"/>
  <c r="CM263" i="13" s="1"/>
  <c r="CL231" i="13"/>
  <c r="CL233" i="13"/>
  <c r="DO218" i="12"/>
  <c r="DO130" i="12"/>
  <c r="DO131" i="12"/>
  <c r="DO104" i="12"/>
  <c r="DO176" i="12"/>
  <c r="DO473" i="12"/>
  <c r="CR349" i="12"/>
  <c r="CQ352" i="12"/>
  <c r="CQ350" i="12"/>
  <c r="CQ354" i="12"/>
  <c r="CQ355" i="12" s="1"/>
  <c r="CW642" i="12"/>
  <c r="CW644" i="12" s="1"/>
  <c r="CV652" i="12"/>
  <c r="CV676" i="12"/>
  <c r="CV678" i="12" s="1"/>
  <c r="T681" i="12"/>
  <c r="T679" i="12" s="1"/>
  <c r="S657" i="12"/>
  <c r="S203" i="7" s="1"/>
  <c r="S205" i="7" s="1"/>
  <c r="S206" i="7" s="1"/>
  <c r="DM316" i="12"/>
  <c r="DM317" i="12" s="1"/>
  <c r="CT60" i="8"/>
  <c r="CT61" i="8" s="1"/>
  <c r="CS63" i="8"/>
  <c r="CS68" i="8"/>
  <c r="DI59" i="14"/>
  <c r="DH61" i="14"/>
  <c r="DH71" i="14"/>
  <c r="DH60" i="14"/>
  <c r="Q31" i="19"/>
  <c r="Q35" i="19" s="1"/>
  <c r="Q18" i="19"/>
  <c r="Q19" i="19"/>
  <c r="R520" i="12"/>
  <c r="R524" i="12" s="1"/>
  <c r="R532" i="12" s="1"/>
  <c r="CS524" i="12"/>
  <c r="CS532" i="12" s="1"/>
  <c r="R657" i="12"/>
  <c r="R203" i="7" s="1"/>
  <c r="R205" i="7" s="1"/>
  <c r="R206" i="7" s="1"/>
  <c r="R681" i="12"/>
  <c r="S681" i="12"/>
  <c r="S679" i="12" s="1"/>
  <c r="CT633" i="12"/>
  <c r="CU630" i="12"/>
  <c r="S24" i="19"/>
  <c r="S28" i="19" s="1"/>
  <c r="AA44" i="16"/>
  <c r="CU579" i="12"/>
  <c r="CU660" i="12" s="1"/>
  <c r="CU673" i="12" s="1"/>
  <c r="CU679" i="12" s="1"/>
  <c r="V184" i="7"/>
  <c r="V185" i="7"/>
  <c r="V174" i="7"/>
  <c r="V188" i="7"/>
  <c r="W171" i="7"/>
  <c r="W175" i="7"/>
  <c r="CU680" i="12"/>
  <c r="R106" i="22"/>
  <c r="R107" i="22" s="1"/>
  <c r="CS102" i="7"/>
  <c r="R102" i="7" s="1"/>
  <c r="CS657" i="12"/>
  <c r="DN223" i="12"/>
  <c r="DN179" i="12"/>
  <c r="DN178" i="12"/>
  <c r="DN132" i="12"/>
  <c r="DN133" i="12" s="1"/>
  <c r="DN221" i="12"/>
  <c r="DN222" i="12"/>
  <c r="DM337" i="12"/>
  <c r="DL317" i="12"/>
  <c r="W179" i="12"/>
  <c r="W223" i="12"/>
  <c r="W132" i="12"/>
  <c r="W133" i="12" s="1"/>
  <c r="W322" i="12"/>
  <c r="W312" i="12"/>
  <c r="W106" i="12"/>
  <c r="DM342" i="12"/>
  <c r="DL342" i="12"/>
  <c r="W222" i="12"/>
  <c r="W221" i="12"/>
  <c r="AB31" i="17" l="1"/>
  <c r="AA94" i="13"/>
  <c r="AA18" i="8"/>
  <c r="AA52" i="6"/>
  <c r="AA13" i="17"/>
  <c r="AA32" i="17"/>
  <c r="DT100" i="15"/>
  <c r="DS99" i="15"/>
  <c r="DS101" i="15" s="1"/>
  <c r="DS102" i="15" s="1"/>
  <c r="S81" i="15"/>
  <c r="AC95" i="15"/>
  <c r="U16" i="14"/>
  <c r="X29" i="22"/>
  <c r="CU43" i="14"/>
  <c r="CH31" i="22"/>
  <c r="P34" i="22"/>
  <c r="N88" i="14"/>
  <c r="CX90" i="14"/>
  <c r="CX91" i="14"/>
  <c r="CY88" i="14"/>
  <c r="CK34" i="22"/>
  <c r="CV41" i="14"/>
  <c r="CI30" i="22"/>
  <c r="CW44" i="14"/>
  <c r="CJ33" i="22"/>
  <c r="K91" i="14"/>
  <c r="T49" i="14"/>
  <c r="AC115" i="15"/>
  <c r="AC116" i="15" s="1"/>
  <c r="T45" i="14"/>
  <c r="U50" i="14"/>
  <c r="U55" i="14" s="1"/>
  <c r="U36" i="14"/>
  <c r="U37" i="14" s="1"/>
  <c r="U32" i="14" s="1"/>
  <c r="U30" i="14" s="1"/>
  <c r="U31" i="14" s="1"/>
  <c r="V29" i="14"/>
  <c r="AC92" i="15"/>
  <c r="AC99" i="15" s="1"/>
  <c r="V20" i="14"/>
  <c r="V19" i="14"/>
  <c r="AC109" i="11"/>
  <c r="W25" i="20"/>
  <c r="W22" i="20"/>
  <c r="W15" i="20"/>
  <c r="T22" i="19"/>
  <c r="T15" i="19" s="1"/>
  <c r="T25" i="19"/>
  <c r="Q249" i="13"/>
  <c r="CO12" i="13"/>
  <c r="CO13" i="13" s="1"/>
  <c r="Q13" i="13"/>
  <c r="CP292" i="13"/>
  <c r="CP287" i="13"/>
  <c r="P250" i="13"/>
  <c r="P16" i="13"/>
  <c r="P13" i="13"/>
  <c r="Q292" i="13"/>
  <c r="Q283" i="13"/>
  <c r="K24" i="22"/>
  <c r="P111" i="17"/>
  <c r="P65" i="15"/>
  <c r="Q66" i="15"/>
  <c r="Q65" i="15"/>
  <c r="P66" i="15"/>
  <c r="P112" i="15"/>
  <c r="P76" i="15"/>
  <c r="P109" i="11"/>
  <c r="P80" i="15"/>
  <c r="K23" i="22"/>
  <c r="CN293" i="13"/>
  <c r="CN21" i="13"/>
  <c r="CN22" i="13" s="1"/>
  <c r="P57" i="15"/>
  <c r="P39" i="15"/>
  <c r="Q240" i="13"/>
  <c r="Q241" i="13"/>
  <c r="Q242" i="13" s="1"/>
  <c r="Q31" i="15"/>
  <c r="Q254" i="13"/>
  <c r="CL294" i="13"/>
  <c r="CL22" i="13"/>
  <c r="CO255" i="13"/>
  <c r="Q255" i="13" s="1"/>
  <c r="CP249" i="13"/>
  <c r="CP12" i="13"/>
  <c r="CP13" i="13" s="1"/>
  <c r="Q250" i="13"/>
  <c r="CM294" i="13"/>
  <c r="CM22" i="13"/>
  <c r="Q39" i="15"/>
  <c r="Q57" i="15"/>
  <c r="CO21" i="13"/>
  <c r="CO22" i="13" s="1"/>
  <c r="CO293" i="13"/>
  <c r="DP105" i="12"/>
  <c r="DP312" i="12" s="1"/>
  <c r="DQ103" i="12"/>
  <c r="DQ105" i="12" s="1"/>
  <c r="DO312" i="12"/>
  <c r="Y57" i="7"/>
  <c r="DN313" i="12"/>
  <c r="DO322" i="12"/>
  <c r="DO323" i="12" s="1"/>
  <c r="U85" i="15"/>
  <c r="U80" i="15"/>
  <c r="V84" i="15"/>
  <c r="T82" i="15"/>
  <c r="T81" i="15"/>
  <c r="DP176" i="12"/>
  <c r="DP130" i="12"/>
  <c r="DP131" i="12"/>
  <c r="DP104" i="12"/>
  <c r="DP473" i="12"/>
  <c r="DP218" i="12"/>
  <c r="Q270" i="13"/>
  <c r="Q271" i="13" s="1"/>
  <c r="P228" i="13"/>
  <c r="P229" i="13" s="1"/>
  <c r="P231" i="13"/>
  <c r="CK275" i="13"/>
  <c r="CK274" i="13"/>
  <c r="P233" i="13"/>
  <c r="CN267" i="13"/>
  <c r="CN268" i="13" s="1"/>
  <c r="CN265" i="13"/>
  <c r="CN266" i="13" s="1"/>
  <c r="CN259" i="13"/>
  <c r="CN260" i="13" s="1"/>
  <c r="CI275" i="13"/>
  <c r="CI274" i="13"/>
  <c r="P273" i="13"/>
  <c r="P274" i="13" s="1"/>
  <c r="CL10" i="13"/>
  <c r="CL234" i="13"/>
  <c r="CK235" i="13"/>
  <c r="CK234" i="13"/>
  <c r="CO258" i="13"/>
  <c r="CO225" i="13"/>
  <c r="CO226" i="13" s="1"/>
  <c r="CO217" i="13"/>
  <c r="CO218" i="13" s="1"/>
  <c r="CO223" i="13"/>
  <c r="CO224" i="13" s="1"/>
  <c r="CP216" i="13"/>
  <c r="CN220" i="13"/>
  <c r="CM221" i="13"/>
  <c r="BZ27" i="22"/>
  <c r="CL263" i="13"/>
  <c r="CL273" i="13"/>
  <c r="CK229" i="13"/>
  <c r="CO228" i="13"/>
  <c r="CO230" i="13" s="1"/>
  <c r="DO132" i="12"/>
  <c r="DO133" i="12" s="1"/>
  <c r="DO223" i="12"/>
  <c r="DO179" i="12"/>
  <c r="DO178" i="12"/>
  <c r="DO221" i="12"/>
  <c r="DO222" i="12"/>
  <c r="DN336" i="12"/>
  <c r="CR350" i="12"/>
  <c r="CS349" i="12"/>
  <c r="CR354" i="12"/>
  <c r="CR355" i="12" s="1"/>
  <c r="CR352" i="12"/>
  <c r="CV653" i="12"/>
  <c r="CV515" i="12" s="1"/>
  <c r="CV519" i="12" s="1"/>
  <c r="CW650" i="12"/>
  <c r="CW676" i="12"/>
  <c r="CW678" i="12" s="1"/>
  <c r="CW652" i="12"/>
  <c r="CW653" i="12" s="1"/>
  <c r="DN316" i="12"/>
  <c r="Q54" i="19"/>
  <c r="CV680" i="12"/>
  <c r="CU632" i="12"/>
  <c r="CV577" i="12"/>
  <c r="R30" i="19"/>
  <c r="Q38" i="19"/>
  <c r="Q37" i="19"/>
  <c r="CT63" i="8"/>
  <c r="CT68" i="8"/>
  <c r="CU60" i="8"/>
  <c r="CU61" i="8" s="1"/>
  <c r="X47" i="16"/>
  <c r="X48" i="16" s="1"/>
  <c r="X23" i="16" s="1"/>
  <c r="X87" i="8"/>
  <c r="DI71" i="14"/>
  <c r="N59" i="14"/>
  <c r="DI60" i="14"/>
  <c r="DI61" i="14"/>
  <c r="DJ59" i="14"/>
  <c r="AA684" i="12"/>
  <c r="X167" i="7"/>
  <c r="W197" i="7"/>
  <c r="W163" i="7"/>
  <c r="W165" i="7" s="1"/>
  <c r="W172" i="7"/>
  <c r="CT520" i="12"/>
  <c r="CT524" i="12" s="1"/>
  <c r="CT532" i="12" s="1"/>
  <c r="CT562" i="12"/>
  <c r="CT566" i="12" s="1"/>
  <c r="CT656" i="12"/>
  <c r="Q55" i="19"/>
  <c r="W341" i="12"/>
  <c r="W313" i="12"/>
  <c r="W323" i="12"/>
  <c r="W336" i="12"/>
  <c r="W337" i="12" s="1"/>
  <c r="W316" i="12"/>
  <c r="W317" i="12" s="1"/>
  <c r="DN342" i="12"/>
  <c r="AB94" i="13" l="1"/>
  <c r="AB32" i="17"/>
  <c r="AC31" i="17"/>
  <c r="AB13" i="17"/>
  <c r="AB18" i="8"/>
  <c r="AB52" i="6"/>
  <c r="DT99" i="15"/>
  <c r="DT101" i="15" s="1"/>
  <c r="DT102" i="15" s="1"/>
  <c r="DU100" i="15"/>
  <c r="T52" i="14"/>
  <c r="W35" i="22"/>
  <c r="K145" i="14"/>
  <c r="N33" i="22"/>
  <c r="K142" i="14"/>
  <c r="O88" i="14"/>
  <c r="Q34" i="22"/>
  <c r="CW41" i="14"/>
  <c r="CJ30" i="22"/>
  <c r="CY90" i="14"/>
  <c r="CL34" i="22"/>
  <c r="CY91" i="14"/>
  <c r="CZ88" i="14"/>
  <c r="CX44" i="14"/>
  <c r="CK33" i="22"/>
  <c r="CI31" i="22"/>
  <c r="CV43" i="14"/>
  <c r="V17" i="14"/>
  <c r="T46" i="14"/>
  <c r="T47" i="14"/>
  <c r="T57" i="14" s="1"/>
  <c r="T53" i="14"/>
  <c r="U51" i="14"/>
  <c r="AC96" i="15"/>
  <c r="AC90" i="15"/>
  <c r="U130" i="14"/>
  <c r="U134" i="14" s="1"/>
  <c r="U135" i="14" s="1"/>
  <c r="AB684" i="12"/>
  <c r="AC684" i="12" s="1"/>
  <c r="W24" i="20"/>
  <c r="W28" i="20" s="1"/>
  <c r="T24" i="19"/>
  <c r="T28" i="19" s="1"/>
  <c r="DR103" i="12"/>
  <c r="CP250" i="13"/>
  <c r="Q21" i="13"/>
  <c r="Q22" i="13" s="1"/>
  <c r="CO250" i="13"/>
  <c r="CN294" i="13"/>
  <c r="P81" i="15"/>
  <c r="P82" i="15"/>
  <c r="Q82" i="15"/>
  <c r="Q81" i="15"/>
  <c r="Q78" i="15"/>
  <c r="P77" i="15"/>
  <c r="Q77" i="15"/>
  <c r="P78" i="15"/>
  <c r="R67" i="15"/>
  <c r="Q67" i="15"/>
  <c r="CO294" i="13"/>
  <c r="Q293" i="13"/>
  <c r="P17" i="13"/>
  <c r="P27" i="13"/>
  <c r="P28" i="13" s="1"/>
  <c r="P30" i="13"/>
  <c r="CP21" i="13"/>
  <c r="CP22" i="13" s="1"/>
  <c r="CP293" i="13"/>
  <c r="DO341" i="12"/>
  <c r="DO342" i="12" s="1"/>
  <c r="DP322" i="12"/>
  <c r="DP323" i="12" s="1"/>
  <c r="DO313" i="12"/>
  <c r="DP106" i="12"/>
  <c r="DQ322" i="12"/>
  <c r="DQ323" i="12" s="1"/>
  <c r="DQ106" i="12"/>
  <c r="DQ312" i="12"/>
  <c r="DQ218" i="12"/>
  <c r="DQ104" i="12"/>
  <c r="DQ176" i="12"/>
  <c r="DQ130" i="12"/>
  <c r="DQ473" i="12"/>
  <c r="DQ131" i="12"/>
  <c r="DN337" i="12"/>
  <c r="DN317" i="12"/>
  <c r="V85" i="15"/>
  <c r="V80" i="15"/>
  <c r="W84" i="15"/>
  <c r="DO336" i="12"/>
  <c r="DP221" i="12"/>
  <c r="DP222" i="12"/>
  <c r="DP313" i="12"/>
  <c r="U81" i="15"/>
  <c r="U82" i="15"/>
  <c r="DP179" i="12"/>
  <c r="DP223" i="12"/>
  <c r="DP178" i="12"/>
  <c r="DP132" i="12"/>
  <c r="DP133" i="12" s="1"/>
  <c r="CN233" i="13"/>
  <c r="CA27" i="22"/>
  <c r="CN221" i="13"/>
  <c r="CL19" i="13"/>
  <c r="CL274" i="13"/>
  <c r="CO231" i="13"/>
  <c r="Q230" i="13"/>
  <c r="Q231" i="13" s="1"/>
  <c r="CO220" i="13"/>
  <c r="Q220" i="13" s="1"/>
  <c r="Q217" i="13"/>
  <c r="Q218" i="13" s="1"/>
  <c r="P235" i="13"/>
  <c r="P234" i="13"/>
  <c r="CP225" i="13"/>
  <c r="CP226" i="13" s="1"/>
  <c r="CP258" i="13"/>
  <c r="CP223" i="13"/>
  <c r="CP224" i="13" s="1"/>
  <c r="CP217" i="13"/>
  <c r="CP220" i="13" s="1"/>
  <c r="CO267" i="13"/>
  <c r="CO268" i="13" s="1"/>
  <c r="CO265" i="13"/>
  <c r="CO266" i="13" s="1"/>
  <c r="CO259" i="13"/>
  <c r="CO260" i="13" s="1"/>
  <c r="CO262" i="13" s="1"/>
  <c r="CL235" i="13"/>
  <c r="CL16" i="13"/>
  <c r="CL11" i="13"/>
  <c r="CN262" i="13"/>
  <c r="DO316" i="12"/>
  <c r="R349" i="12"/>
  <c r="CS352" i="12"/>
  <c r="CT349" i="12"/>
  <c r="CS354" i="12"/>
  <c r="CS355" i="12" s="1"/>
  <c r="CS350" i="12"/>
  <c r="W184" i="7"/>
  <c r="W188" i="7"/>
  <c r="W185" i="7"/>
  <c r="W174" i="7"/>
  <c r="N62" i="14"/>
  <c r="N61" i="14"/>
  <c r="CU63" i="8"/>
  <c r="CV60" i="8"/>
  <c r="CV61" i="8" s="1"/>
  <c r="CU68" i="8"/>
  <c r="T105" i="22"/>
  <c r="Q53" i="19"/>
  <c r="Q56" i="19" s="1"/>
  <c r="Q40" i="19"/>
  <c r="Q49" i="19" s="1"/>
  <c r="CW680" i="12"/>
  <c r="CV579" i="12"/>
  <c r="R16" i="19"/>
  <c r="R17" i="19"/>
  <c r="CV630" i="12"/>
  <c r="CU633" i="12"/>
  <c r="CT102" i="7"/>
  <c r="CT681" i="12"/>
  <c r="DK59" i="14"/>
  <c r="DJ61" i="14"/>
  <c r="DJ60" i="14"/>
  <c r="DJ71" i="14"/>
  <c r="Q30" i="20"/>
  <c r="W342" i="12"/>
  <c r="AC94" i="13" l="1"/>
  <c r="AC32" i="17"/>
  <c r="AC13" i="17"/>
  <c r="AD31" i="17"/>
  <c r="AC18" i="8"/>
  <c r="AC52" i="6"/>
  <c r="DV100" i="15"/>
  <c r="DU99" i="15"/>
  <c r="DU101" i="15" s="1"/>
  <c r="DU102" i="15" s="1"/>
  <c r="AD93" i="15"/>
  <c r="AD94" i="15" s="1"/>
  <c r="X26" i="22"/>
  <c r="R34" i="22"/>
  <c r="P88" i="14"/>
  <c r="DA88" i="14"/>
  <c r="CZ91" i="14"/>
  <c r="CZ90" i="14"/>
  <c r="CM34" i="22"/>
  <c r="CK30" i="22"/>
  <c r="CX41" i="14"/>
  <c r="CY44" i="14"/>
  <c r="CL33" i="22"/>
  <c r="CW43" i="14"/>
  <c r="CJ31" i="22"/>
  <c r="K153" i="14"/>
  <c r="K154" i="14" s="1"/>
  <c r="K146" i="14"/>
  <c r="V38" i="14"/>
  <c r="V40" i="14" s="1"/>
  <c r="V132" i="14"/>
  <c r="V133" i="14" s="1"/>
  <c r="V22" i="14"/>
  <c r="V14" i="14"/>
  <c r="AC91" i="15"/>
  <c r="T56" i="14"/>
  <c r="U48" i="14"/>
  <c r="U49" i="14" s="1"/>
  <c r="AC98" i="15"/>
  <c r="AC101" i="15" s="1"/>
  <c r="AC102" i="15" s="1"/>
  <c r="AC118" i="15"/>
  <c r="AC119" i="15" s="1"/>
  <c r="U139" i="14"/>
  <c r="U140" i="14" s="1"/>
  <c r="U131" i="14"/>
  <c r="Y23" i="22"/>
  <c r="DS103" i="12"/>
  <c r="AD684" i="12"/>
  <c r="AE684" i="12" s="1"/>
  <c r="X15" i="20"/>
  <c r="X22" i="20"/>
  <c r="X25" i="20"/>
  <c r="U25" i="19"/>
  <c r="U22" i="19"/>
  <c r="DR218" i="12"/>
  <c r="DR130" i="12"/>
  <c r="DR176" i="12"/>
  <c r="DR104" i="12"/>
  <c r="DR131" i="12"/>
  <c r="DR473" i="12"/>
  <c r="DR105" i="12"/>
  <c r="Q294" i="13"/>
  <c r="CP294" i="13"/>
  <c r="Q50" i="19"/>
  <c r="Q57" i="19" s="1"/>
  <c r="DP316" i="12"/>
  <c r="DP317" i="12" s="1"/>
  <c r="DQ313" i="12"/>
  <c r="DQ341" i="12"/>
  <c r="DP341" i="12"/>
  <c r="DQ221" i="12"/>
  <c r="DQ222" i="12"/>
  <c r="DQ223" i="12"/>
  <c r="DQ179" i="12"/>
  <c r="DQ132" i="12"/>
  <c r="DQ133" i="12" s="1"/>
  <c r="DQ178" i="12"/>
  <c r="DO317" i="12"/>
  <c r="DO337" i="12"/>
  <c r="Q260" i="13"/>
  <c r="W80" i="15"/>
  <c r="X84" i="15"/>
  <c r="Y84" i="15" s="1"/>
  <c r="Z84" i="15" s="1"/>
  <c r="Z85" i="15" s="1"/>
  <c r="W85" i="15"/>
  <c r="DP336" i="12"/>
  <c r="V81" i="15"/>
  <c r="V82" i="15"/>
  <c r="H31" i="5"/>
  <c r="E7" i="5"/>
  <c r="E11" i="5" s="1"/>
  <c r="E17" i="5"/>
  <c r="E18" i="5" s="1"/>
  <c r="Q221" i="13"/>
  <c r="Q219" i="13"/>
  <c r="L28" i="22" s="1"/>
  <c r="L27" i="22"/>
  <c r="CP267" i="13"/>
  <c r="CP268" i="13" s="1"/>
  <c r="CP259" i="13"/>
  <c r="CP260" i="13" s="1"/>
  <c r="CP262" i="13" s="1"/>
  <c r="CP265" i="13"/>
  <c r="CP266" i="13" s="1"/>
  <c r="CP218" i="13"/>
  <c r="CO221" i="13"/>
  <c r="CB27" i="22"/>
  <c r="CL17" i="13"/>
  <c r="CO233" i="13"/>
  <c r="CC27" i="22"/>
  <c r="CP221" i="13"/>
  <c r="CP233" i="13"/>
  <c r="CN263" i="13"/>
  <c r="CN273" i="13"/>
  <c r="Q262" i="13"/>
  <c r="CO263" i="13"/>
  <c r="CO273" i="13"/>
  <c r="CL275" i="13"/>
  <c r="CL20" i="13"/>
  <c r="CL25" i="13"/>
  <c r="CL26" i="13" s="1"/>
  <c r="CN234" i="13"/>
  <c r="CN10" i="13"/>
  <c r="CT350" i="12"/>
  <c r="CU349" i="12"/>
  <c r="CT352" i="12"/>
  <c r="CT354" i="12"/>
  <c r="CT355" i="12" s="1"/>
  <c r="R352" i="12"/>
  <c r="R354" i="12"/>
  <c r="R355" i="12" s="1"/>
  <c r="R350" i="12"/>
  <c r="CW577" i="12"/>
  <c r="CV632" i="12"/>
  <c r="S106" i="22"/>
  <c r="Q16" i="20"/>
  <c r="Y47" i="16" s="1"/>
  <c r="Y48" i="16" s="1"/>
  <c r="Y23" i="16" s="1"/>
  <c r="Q17" i="20"/>
  <c r="DL59" i="14"/>
  <c r="DK71" i="14"/>
  <c r="DK60" i="14"/>
  <c r="DK61" i="14"/>
  <c r="CU520" i="12"/>
  <c r="CU524" i="12" s="1"/>
  <c r="CU532" i="12" s="1"/>
  <c r="CU562" i="12"/>
  <c r="CU566" i="12" s="1"/>
  <c r="CU656" i="12"/>
  <c r="R31" i="19"/>
  <c r="R35" i="19" s="1"/>
  <c r="R19" i="19"/>
  <c r="R18" i="19"/>
  <c r="CV68" i="8"/>
  <c r="CW60" i="8"/>
  <c r="CW61" i="8" s="1"/>
  <c r="CV63" i="8"/>
  <c r="CV660" i="12"/>
  <c r="CV673" i="12" s="1"/>
  <c r="CV679" i="12" s="1"/>
  <c r="X21" i="8"/>
  <c r="AD94" i="13" l="1"/>
  <c r="AD13" i="17"/>
  <c r="AE31" i="17"/>
  <c r="AD18" i="8"/>
  <c r="AD52" i="6"/>
  <c r="AD32" i="17"/>
  <c r="DV99" i="15"/>
  <c r="DV101" i="15" s="1"/>
  <c r="DV102" i="15" s="1"/>
  <c r="DW100" i="15"/>
  <c r="AD95" i="15"/>
  <c r="AD115" i="15"/>
  <c r="AD116" i="15" s="1"/>
  <c r="Y29" i="22"/>
  <c r="CK31" i="22"/>
  <c r="CX43" i="14"/>
  <c r="CM33" i="22"/>
  <c r="CZ44" i="14"/>
  <c r="DA91" i="14"/>
  <c r="DA90" i="14"/>
  <c r="CN34" i="22"/>
  <c r="DB88" i="14"/>
  <c r="Q88" i="14"/>
  <c r="S34" i="22"/>
  <c r="CY41" i="14"/>
  <c r="CL30" i="22"/>
  <c r="DT103" i="12"/>
  <c r="V50" i="14"/>
  <c r="V55" i="14" s="1"/>
  <c r="V16" i="14"/>
  <c r="W29" i="14"/>
  <c r="V36" i="14"/>
  <c r="V37" i="14" s="1"/>
  <c r="V32" i="14" s="1"/>
  <c r="V30" i="14" s="1"/>
  <c r="V31" i="14" s="1"/>
  <c r="AD92" i="15"/>
  <c r="AD90" i="15" s="1"/>
  <c r="U54" i="14"/>
  <c r="U45" i="14"/>
  <c r="AD109" i="11"/>
  <c r="W19" i="14"/>
  <c r="W20" i="14"/>
  <c r="DS176" i="12"/>
  <c r="DS104" i="12"/>
  <c r="DS218" i="12"/>
  <c r="DS131" i="12"/>
  <c r="DS130" i="12"/>
  <c r="DS473" i="12"/>
  <c r="DW473" i="12" s="1"/>
  <c r="DS105" i="12"/>
  <c r="AF684" i="12"/>
  <c r="AG684" i="12" s="1"/>
  <c r="X24" i="20"/>
  <c r="X28" i="20" s="1"/>
  <c r="U15" i="19"/>
  <c r="DR322" i="12"/>
  <c r="DR323" i="12" s="1"/>
  <c r="DR106" i="12"/>
  <c r="DR312" i="12"/>
  <c r="DR132" i="12"/>
  <c r="DR133" i="12" s="1"/>
  <c r="DR223" i="12"/>
  <c r="DR179" i="12"/>
  <c r="DR316" i="12" s="1"/>
  <c r="DR178" i="12"/>
  <c r="DQ336" i="12"/>
  <c r="DQ337" i="12" s="1"/>
  <c r="DR221" i="12"/>
  <c r="DR222" i="12"/>
  <c r="DP342" i="12"/>
  <c r="DQ316" i="12"/>
  <c r="DQ317" i="12" s="1"/>
  <c r="DQ342" i="12"/>
  <c r="Y85" i="15"/>
  <c r="Y80" i="15"/>
  <c r="DP337" i="12"/>
  <c r="X85" i="15"/>
  <c r="X80" i="15"/>
  <c r="W81" i="15"/>
  <c r="W82" i="15"/>
  <c r="C48" i="5"/>
  <c r="C49" i="5"/>
  <c r="C52" i="5"/>
  <c r="C51" i="5"/>
  <c r="C50" i="5"/>
  <c r="CN235" i="13"/>
  <c r="CN11" i="13"/>
  <c r="CN16" i="13"/>
  <c r="CP10" i="13"/>
  <c r="CP234" i="13"/>
  <c r="CL30" i="13"/>
  <c r="CL31" i="13" s="1"/>
  <c r="Q261" i="13"/>
  <c r="Q263" i="13"/>
  <c r="CL27" i="13"/>
  <c r="CL28" i="13" s="1"/>
  <c r="CN274" i="13"/>
  <c r="CN19" i="13"/>
  <c r="CN275" i="13" s="1"/>
  <c r="CO274" i="13"/>
  <c r="CO19" i="13"/>
  <c r="CO10" i="13"/>
  <c r="CO234" i="13"/>
  <c r="CP263" i="13"/>
  <c r="CP273" i="13"/>
  <c r="CU352" i="12"/>
  <c r="CU350" i="12"/>
  <c r="CV349" i="12"/>
  <c r="CU354" i="12"/>
  <c r="CU355" i="12" s="1"/>
  <c r="R38" i="19"/>
  <c r="S30" i="19"/>
  <c r="R37" i="19"/>
  <c r="X33" i="8"/>
  <c r="X44" i="7"/>
  <c r="R54" i="19"/>
  <c r="CW63" i="8"/>
  <c r="CW68" i="8"/>
  <c r="CX60" i="8"/>
  <c r="CX61" i="8" s="1"/>
  <c r="CU102" i="7"/>
  <c r="CU681" i="12"/>
  <c r="Q31" i="20"/>
  <c r="Q35" i="20" s="1"/>
  <c r="Q18" i="20"/>
  <c r="Q19" i="20"/>
  <c r="Y87" i="8"/>
  <c r="CW630" i="12"/>
  <c r="CV633" i="12"/>
  <c r="R55" i="19"/>
  <c r="DL60" i="14"/>
  <c r="DL71" i="14"/>
  <c r="DL61" i="14"/>
  <c r="DM59" i="14"/>
  <c r="CW579" i="12"/>
  <c r="CW632" i="12" s="1"/>
  <c r="CW633" i="12" s="1"/>
  <c r="AE94" i="13" l="1"/>
  <c r="AE52" i="6"/>
  <c r="AE13" i="17"/>
  <c r="AE18" i="8"/>
  <c r="AF31" i="17"/>
  <c r="AE32" i="17"/>
  <c r="DX100" i="15"/>
  <c r="DW99" i="15"/>
  <c r="DW101" i="15" s="1"/>
  <c r="DW102" i="15" s="1"/>
  <c r="DT105" i="12"/>
  <c r="DT322" i="12" s="1"/>
  <c r="DT323" i="12" s="1"/>
  <c r="DU103" i="12"/>
  <c r="DR317" i="12"/>
  <c r="AE93" i="15"/>
  <c r="Y26" i="22"/>
  <c r="U52" i="14"/>
  <c r="X35" i="22"/>
  <c r="DB90" i="14"/>
  <c r="CO34" i="22"/>
  <c r="DB91" i="14"/>
  <c r="DC88" i="14"/>
  <c r="CZ41" i="14"/>
  <c r="CM30" i="22"/>
  <c r="CY43" i="14"/>
  <c r="CL31" i="22"/>
  <c r="T34" i="22"/>
  <c r="CN33" i="22"/>
  <c r="DA44" i="14"/>
  <c r="L91" i="14"/>
  <c r="DT176" i="12"/>
  <c r="DT104" i="12"/>
  <c r="DT131" i="12"/>
  <c r="DT218" i="12"/>
  <c r="DT130" i="12"/>
  <c r="DT473" i="12"/>
  <c r="DX473" i="12" s="1"/>
  <c r="V51" i="14"/>
  <c r="AD96" i="15"/>
  <c r="V130" i="14"/>
  <c r="V131" i="14" s="1"/>
  <c r="AD99" i="15"/>
  <c r="U46" i="14"/>
  <c r="U53" i="14"/>
  <c r="U47" i="14"/>
  <c r="U57" i="14" s="1"/>
  <c r="W17" i="14"/>
  <c r="W38" i="14" s="1"/>
  <c r="W40" i="14" s="1"/>
  <c r="AD91" i="15"/>
  <c r="V139" i="14"/>
  <c r="V140" i="14" s="1"/>
  <c r="V48" i="14"/>
  <c r="AD118" i="15"/>
  <c r="AD119" i="15" s="1"/>
  <c r="AD98" i="15"/>
  <c r="DR336" i="12"/>
  <c r="DS179" i="12"/>
  <c r="DS132" i="12"/>
  <c r="DS133" i="12" s="1"/>
  <c r="DS223" i="12"/>
  <c r="DS178" i="12"/>
  <c r="DS312" i="12"/>
  <c r="DS322" i="12"/>
  <c r="DS323" i="12" s="1"/>
  <c r="DS106" i="12"/>
  <c r="DS221" i="12"/>
  <c r="DS222" i="12"/>
  <c r="Y25" i="20"/>
  <c r="Y22" i="20"/>
  <c r="Y15" i="20"/>
  <c r="U24" i="19"/>
  <c r="U28" i="19" s="1"/>
  <c r="DR341" i="12"/>
  <c r="DR313" i="12"/>
  <c r="Y81" i="15"/>
  <c r="Y82" i="15"/>
  <c r="X81" i="15"/>
  <c r="X82" i="15"/>
  <c r="Q55" i="20"/>
  <c r="CP235" i="13"/>
  <c r="CP11" i="13"/>
  <c r="CP16" i="13"/>
  <c r="CO235" i="13"/>
  <c r="CO16" i="13"/>
  <c r="CO11" i="13"/>
  <c r="CN25" i="13"/>
  <c r="CN26" i="13" s="1"/>
  <c r="CN20" i="13"/>
  <c r="CN17" i="13"/>
  <c r="CP274" i="13"/>
  <c r="CP19" i="13"/>
  <c r="CO275" i="13"/>
  <c r="CO20" i="13"/>
  <c r="CO25" i="13"/>
  <c r="CO26" i="13" s="1"/>
  <c r="CV350" i="12"/>
  <c r="CV352" i="12"/>
  <c r="CV354" i="12"/>
  <c r="CV355" i="12" s="1"/>
  <c r="CW349" i="12"/>
  <c r="DM60" i="14"/>
  <c r="DM71" i="14"/>
  <c r="DM61" i="14"/>
  <c r="O59" i="14"/>
  <c r="S16" i="19"/>
  <c r="S17" i="19"/>
  <c r="CW562" i="12"/>
  <c r="CW566" i="12" s="1"/>
  <c r="CW568" i="12" s="1"/>
  <c r="CW656" i="12"/>
  <c r="CW660" i="12"/>
  <c r="CW673" i="12" s="1"/>
  <c r="CW679" i="12" s="1"/>
  <c r="CV520" i="12"/>
  <c r="CV524" i="12" s="1"/>
  <c r="CV532" i="12" s="1"/>
  <c r="CV562" i="12"/>
  <c r="CV566" i="12" s="1"/>
  <c r="CV568" i="12" s="1"/>
  <c r="CV656" i="12"/>
  <c r="Q54" i="20"/>
  <c r="CX68" i="8"/>
  <c r="CY60" i="8"/>
  <c r="CY61" i="8" s="1"/>
  <c r="CX63" i="8"/>
  <c r="Y88" i="8"/>
  <c r="Q38" i="20"/>
  <c r="R30" i="20"/>
  <c r="Q37" i="20"/>
  <c r="R40" i="19"/>
  <c r="R49" i="19" s="1"/>
  <c r="R50" i="19" s="1"/>
  <c r="R53" i="19"/>
  <c r="R56" i="19" s="1"/>
  <c r="U105" i="22"/>
  <c r="AF94" i="13" l="1"/>
  <c r="AF32" i="17"/>
  <c r="AF13" i="17"/>
  <c r="AF52" i="6"/>
  <c r="AF18" i="8"/>
  <c r="AG31" i="17"/>
  <c r="DX99" i="15"/>
  <c r="DX101" i="15" s="1"/>
  <c r="DX102" i="15" s="1"/>
  <c r="DY100" i="15"/>
  <c r="DY99" i="15" s="1"/>
  <c r="DY101" i="15" s="1"/>
  <c r="DY102" i="15" s="1"/>
  <c r="DU105" i="12"/>
  <c r="DU106" i="12" s="1"/>
  <c r="DV103" i="12"/>
  <c r="DV105" i="12" s="1"/>
  <c r="DT106" i="12"/>
  <c r="DT312" i="12"/>
  <c r="DT341" i="12" s="1"/>
  <c r="DU176" i="12"/>
  <c r="DU104" i="12"/>
  <c r="DU131" i="12"/>
  <c r="DU218" i="12"/>
  <c r="DU130" i="12"/>
  <c r="DU473" i="12"/>
  <c r="DY473" i="12" s="1"/>
  <c r="DR337" i="12"/>
  <c r="CO33" i="22"/>
  <c r="DB44" i="14"/>
  <c r="CN30" i="22"/>
  <c r="DA41" i="14"/>
  <c r="CP34" i="22"/>
  <c r="DC90" i="14"/>
  <c r="DC91" i="14"/>
  <c r="DD88" i="14"/>
  <c r="L142" i="14"/>
  <c r="L145" i="14"/>
  <c r="O33" i="22"/>
  <c r="CZ43" i="14"/>
  <c r="CM31" i="22"/>
  <c r="DT221" i="12"/>
  <c r="DT222" i="12"/>
  <c r="DT313" i="12"/>
  <c r="DS316" i="12"/>
  <c r="DT179" i="12"/>
  <c r="DT132" i="12"/>
  <c r="DT133" i="12" s="1"/>
  <c r="DT223" i="12"/>
  <c r="DT178" i="12"/>
  <c r="U56" i="14"/>
  <c r="AD101" i="15"/>
  <c r="AD102" i="15" s="1"/>
  <c r="V134" i="14"/>
  <c r="V135" i="14" s="1"/>
  <c r="W14" i="14"/>
  <c r="W132" i="14"/>
  <c r="W133" i="14" s="1"/>
  <c r="W22" i="14"/>
  <c r="AE95" i="15"/>
  <c r="AE94" i="15"/>
  <c r="V54" i="14"/>
  <c r="V49" i="14"/>
  <c r="V45" i="14"/>
  <c r="DS336" i="12"/>
  <c r="DS313" i="12"/>
  <c r="DS341" i="12"/>
  <c r="Y24" i="20"/>
  <c r="Y28" i="20" s="1"/>
  <c r="V22" i="19"/>
  <c r="V25" i="19"/>
  <c r="DR342" i="12"/>
  <c r="Y21" i="8"/>
  <c r="CN30" i="13"/>
  <c r="CN31" i="13" s="1"/>
  <c r="CN27" i="13"/>
  <c r="CN28" i="13" s="1"/>
  <c r="CP17" i="13"/>
  <c r="CP275" i="13"/>
  <c r="CP20" i="13"/>
  <c r="CP25" i="13"/>
  <c r="CP26" i="13" s="1"/>
  <c r="CO17" i="13"/>
  <c r="CO30" i="13"/>
  <c r="CO31" i="13" s="1"/>
  <c r="CO27" i="13"/>
  <c r="CO28" i="13" s="1"/>
  <c r="CW354" i="12"/>
  <c r="CW355" i="12" s="1"/>
  <c r="CW352" i="12"/>
  <c r="CW350" i="12"/>
  <c r="CX349" i="12"/>
  <c r="S349" i="12"/>
  <c r="R16" i="20"/>
  <c r="R17" i="20"/>
  <c r="AA45" i="16"/>
  <c r="S31" i="19"/>
  <c r="S35" i="19" s="1"/>
  <c r="T30" i="19" s="1"/>
  <c r="S18" i="19"/>
  <c r="S19" i="19"/>
  <c r="O62" i="14"/>
  <c r="O61" i="14"/>
  <c r="Q40" i="20"/>
  <c r="Q49" i="20" s="1"/>
  <c r="T106" i="22"/>
  <c r="Q53" i="20"/>
  <c r="CZ60" i="8"/>
  <c r="CZ61" i="8" s="1"/>
  <c r="CY68" i="8"/>
  <c r="CY63" i="8"/>
  <c r="CV102" i="7"/>
  <c r="CW681" i="12"/>
  <c r="CV681" i="12"/>
  <c r="R57" i="19"/>
  <c r="CW657" i="12"/>
  <c r="CW102" i="7"/>
  <c r="AG94" i="13" l="1"/>
  <c r="AG52" i="6"/>
  <c r="AG18" i="8"/>
  <c r="AG13" i="17"/>
  <c r="AG32" i="17"/>
  <c r="DU322" i="12"/>
  <c r="DU323" i="12" s="1"/>
  <c r="DU312" i="12"/>
  <c r="DU313" i="12" s="1"/>
  <c r="DV106" i="12"/>
  <c r="DV322" i="12"/>
  <c r="DV323" i="12" s="1"/>
  <c r="DV312" i="12"/>
  <c r="DV176" i="12"/>
  <c r="DV218" i="12"/>
  <c r="DV104" i="12"/>
  <c r="DV473" i="12"/>
  <c r="DV131" i="12"/>
  <c r="DV130" i="12"/>
  <c r="DU221" i="12"/>
  <c r="DU222" i="12"/>
  <c r="DT316" i="12"/>
  <c r="DX316" i="12" s="1"/>
  <c r="DU132" i="12"/>
  <c r="DU133" i="12" s="1"/>
  <c r="DU179" i="12"/>
  <c r="DU223" i="12"/>
  <c r="DU178" i="12"/>
  <c r="DS317" i="12"/>
  <c r="DW316" i="12"/>
  <c r="DS337" i="12"/>
  <c r="DW336" i="12"/>
  <c r="V52" i="14"/>
  <c r="Y35" i="22"/>
  <c r="W36" i="14"/>
  <c r="W37" i="14" s="1"/>
  <c r="W32" i="14" s="1"/>
  <c r="W30" i="14" s="1"/>
  <c r="W31" i="14" s="1"/>
  <c r="Z29" i="22"/>
  <c r="DT336" i="12"/>
  <c r="CP33" i="22"/>
  <c r="DC44" i="14"/>
  <c r="L153" i="14"/>
  <c r="L154" i="14" s="1"/>
  <c r="L146" i="14"/>
  <c r="CQ34" i="22"/>
  <c r="DE88" i="14"/>
  <c r="DD90" i="14"/>
  <c r="DD91" i="14"/>
  <c r="DA43" i="14"/>
  <c r="CN31" i="22"/>
  <c r="CO30" i="22"/>
  <c r="DB41" i="14"/>
  <c r="DT342" i="12"/>
  <c r="W50" i="14"/>
  <c r="W55" i="14" s="1"/>
  <c r="W16" i="14"/>
  <c r="X29" i="14"/>
  <c r="AE115" i="15"/>
  <c r="AE116" i="15" s="1"/>
  <c r="AE92" i="15"/>
  <c r="W130" i="14" s="1"/>
  <c r="X19" i="14"/>
  <c r="X20" i="14"/>
  <c r="V47" i="14"/>
  <c r="V57" i="14" s="1"/>
  <c r="V53" i="14"/>
  <c r="V46" i="14"/>
  <c r="DS342" i="12"/>
  <c r="T16" i="19"/>
  <c r="T17" i="19"/>
  <c r="V15" i="19"/>
  <c r="Q50" i="20"/>
  <c r="S55" i="19"/>
  <c r="CP30" i="13"/>
  <c r="CP31" i="13" s="1"/>
  <c r="CP27" i="13"/>
  <c r="CP28" i="13" s="1"/>
  <c r="S352" i="12"/>
  <c r="S350" i="12"/>
  <c r="S354" i="12"/>
  <c r="S355" i="12" s="1"/>
  <c r="CX350" i="12"/>
  <c r="CY349" i="12"/>
  <c r="CX352" i="12"/>
  <c r="CX354" i="12"/>
  <c r="CX355" i="12" s="1"/>
  <c r="X48" i="7"/>
  <c r="X22" i="8"/>
  <c r="Q56" i="20"/>
  <c r="Q57" i="20" s="1"/>
  <c r="S38" i="19"/>
  <c r="S37" i="19"/>
  <c r="R31" i="20"/>
  <c r="R35" i="20" s="1"/>
  <c r="R19" i="20"/>
  <c r="R18" i="20"/>
  <c r="Z87" i="8"/>
  <c r="CZ63" i="8"/>
  <c r="CZ68" i="8"/>
  <c r="DA60" i="8"/>
  <c r="DA61" i="8" s="1"/>
  <c r="S54" i="19"/>
  <c r="DU341" i="12" l="1"/>
  <c r="DU342" i="12" s="1"/>
  <c r="DU316" i="12"/>
  <c r="DU317" i="12" s="1"/>
  <c r="DV179" i="12"/>
  <c r="DV316" i="12" s="1"/>
  <c r="DV317" i="12" s="1"/>
  <c r="DV178" i="12"/>
  <c r="DV132" i="12"/>
  <c r="DV223" i="12"/>
  <c r="DV341" i="12"/>
  <c r="DV313" i="12"/>
  <c r="DV133" i="12"/>
  <c r="DV221" i="12"/>
  <c r="DV222" i="12"/>
  <c r="DT317" i="12"/>
  <c r="DU336" i="12"/>
  <c r="DT337" i="12"/>
  <c r="DX336" i="12"/>
  <c r="Z23" i="22"/>
  <c r="CO31" i="22"/>
  <c r="DB43" i="14"/>
  <c r="CQ33" i="22"/>
  <c r="DD44" i="14"/>
  <c r="DF88" i="14"/>
  <c r="DE90" i="14"/>
  <c r="DE91" i="14"/>
  <c r="CR34" i="22"/>
  <c r="DC41" i="14"/>
  <c r="CP30" i="22"/>
  <c r="AE109" i="11"/>
  <c r="W51" i="14"/>
  <c r="AE96" i="15"/>
  <c r="AE99" i="15"/>
  <c r="AE90" i="15"/>
  <c r="X17" i="14"/>
  <c r="X132" i="14" s="1"/>
  <c r="X133" i="14" s="1"/>
  <c r="V56" i="14"/>
  <c r="W134" i="14"/>
  <c r="W135" i="14" s="1"/>
  <c r="W131" i="14"/>
  <c r="T31" i="19"/>
  <c r="T35" i="19" s="1"/>
  <c r="T19" i="19"/>
  <c r="T18" i="19"/>
  <c r="V24" i="19"/>
  <c r="V28" i="19" s="1"/>
  <c r="Y44" i="7"/>
  <c r="Z88" i="8" s="1"/>
  <c r="Y33" i="8"/>
  <c r="R55" i="20"/>
  <c r="CZ349" i="12"/>
  <c r="CY354" i="12"/>
  <c r="CY355" i="12" s="1"/>
  <c r="CY352" i="12"/>
  <c r="CY350" i="12"/>
  <c r="DB114" i="22"/>
  <c r="R38" i="20"/>
  <c r="S30" i="20"/>
  <c r="R37" i="20"/>
  <c r="DA68" i="8"/>
  <c r="DA63" i="8"/>
  <c r="DB60" i="8"/>
  <c r="DB61" i="8" s="1"/>
  <c r="R54" i="20"/>
  <c r="S40" i="19"/>
  <c r="S49" i="19" s="1"/>
  <c r="S50" i="19" s="1"/>
  <c r="V105" i="22"/>
  <c r="S53" i="19"/>
  <c r="S56" i="19" s="1"/>
  <c r="DU354" i="12" l="1"/>
  <c r="DV336" i="12"/>
  <c r="DV337" i="12" s="1"/>
  <c r="DY316" i="12"/>
  <c r="DV354" i="12"/>
  <c r="DV342" i="12"/>
  <c r="DU337" i="12"/>
  <c r="DY336" i="12"/>
  <c r="AF93" i="15"/>
  <c r="AF94" i="15" s="1"/>
  <c r="Z26" i="22"/>
  <c r="DD41" i="14"/>
  <c r="CQ30" i="22"/>
  <c r="M91" i="14"/>
  <c r="DE44" i="14"/>
  <c r="CR33" i="22"/>
  <c r="CP31" i="22"/>
  <c r="DC43" i="14"/>
  <c r="DF90" i="14"/>
  <c r="CS34" i="22"/>
  <c r="DF91" i="14"/>
  <c r="DG88" i="14"/>
  <c r="AE118" i="15"/>
  <c r="AE119" i="15" s="1"/>
  <c r="W48" i="14"/>
  <c r="W54" i="14" s="1"/>
  <c r="AE91" i="15"/>
  <c r="AE98" i="15"/>
  <c r="AE101" i="15" s="1"/>
  <c r="AE102" i="15" s="1"/>
  <c r="W139" i="14"/>
  <c r="W140" i="14" s="1"/>
  <c r="AA23" i="22"/>
  <c r="X22" i="14"/>
  <c r="X38" i="14"/>
  <c r="X40" i="14" s="1"/>
  <c r="X14" i="14"/>
  <c r="W25" i="19"/>
  <c r="W22" i="19"/>
  <c r="W15" i="19" s="1"/>
  <c r="T38" i="19"/>
  <c r="U30" i="19"/>
  <c r="T37" i="19"/>
  <c r="T54" i="19"/>
  <c r="T55" i="19"/>
  <c r="S57" i="19"/>
  <c r="DA349" i="12"/>
  <c r="CZ354" i="12"/>
  <c r="CZ355" i="12" s="1"/>
  <c r="CZ350" i="12"/>
  <c r="CZ352" i="12"/>
  <c r="DC60" i="8"/>
  <c r="DC61" i="8" s="1"/>
  <c r="DB63" i="8"/>
  <c r="DB68" i="8"/>
  <c r="DC114" i="22"/>
  <c r="R40" i="20"/>
  <c r="R49" i="20" s="1"/>
  <c r="U106" i="22"/>
  <c r="R53" i="20"/>
  <c r="S16" i="20"/>
  <c r="S17" i="20"/>
  <c r="AF95" i="15" l="1"/>
  <c r="Y29" i="14"/>
  <c r="AA29" i="22"/>
  <c r="CR30" i="22"/>
  <c r="DE41" i="14"/>
  <c r="CS33" i="22"/>
  <c r="DF44" i="14"/>
  <c r="DG90" i="14"/>
  <c r="DH88" i="14"/>
  <c r="CT34" i="22"/>
  <c r="DG91" i="14"/>
  <c r="M145" i="14"/>
  <c r="P33" i="22"/>
  <c r="M142" i="14"/>
  <c r="DD43" i="14"/>
  <c r="CQ31" i="22"/>
  <c r="W49" i="14"/>
  <c r="W45" i="14"/>
  <c r="W46" i="14" s="1"/>
  <c r="X50" i="14"/>
  <c r="X51" i="14" s="1"/>
  <c r="X36" i="14"/>
  <c r="X37" i="14" s="1"/>
  <c r="X32" i="14" s="1"/>
  <c r="X30" i="14" s="1"/>
  <c r="X31" i="14" s="1"/>
  <c r="AF115" i="15"/>
  <c r="AF116" i="15" s="1"/>
  <c r="X16" i="14"/>
  <c r="AF92" i="15"/>
  <c r="AF99" i="15" s="1"/>
  <c r="Y20" i="14"/>
  <c r="Y19" i="14"/>
  <c r="AF109" i="11"/>
  <c r="T53" i="19"/>
  <c r="T56" i="19" s="1"/>
  <c r="T40" i="19"/>
  <c r="T49" i="19" s="1"/>
  <c r="T50" i="19" s="1"/>
  <c r="T57" i="19" s="1"/>
  <c r="W24" i="19"/>
  <c r="W28" i="19" s="1"/>
  <c r="U16" i="19"/>
  <c r="U17" i="19"/>
  <c r="DA354" i="12"/>
  <c r="DA355" i="12" s="1"/>
  <c r="DB349" i="12"/>
  <c r="DA352" i="12"/>
  <c r="DA350" i="12"/>
  <c r="T349" i="12"/>
  <c r="AA47" i="16"/>
  <c r="AA48" i="16" s="1"/>
  <c r="AA23" i="16" s="1"/>
  <c r="S31" i="20"/>
  <c r="S35" i="20" s="1"/>
  <c r="T30" i="20" s="1"/>
  <c r="S19" i="20"/>
  <c r="S18" i="20"/>
  <c r="AA87" i="8"/>
  <c r="R50" i="20"/>
  <c r="DD114" i="22"/>
  <c r="P69" i="14"/>
  <c r="R56" i="20"/>
  <c r="DC68" i="8"/>
  <c r="DC63" i="8"/>
  <c r="DD60" i="8"/>
  <c r="DD61" i="8" s="1"/>
  <c r="W52" i="14" l="1"/>
  <c r="Z35" i="22"/>
  <c r="DE43" i="14"/>
  <c r="CR31" i="22"/>
  <c r="DG44" i="14"/>
  <c r="CT33" i="22"/>
  <c r="DF41" i="14"/>
  <c r="CS30" i="22"/>
  <c r="DH90" i="14"/>
  <c r="DH91" i="14"/>
  <c r="DI88" i="14"/>
  <c r="CU34" i="22"/>
  <c r="M146" i="14"/>
  <c r="M153" i="14"/>
  <c r="M154" i="14" s="1"/>
  <c r="X55" i="14"/>
  <c r="W53" i="14"/>
  <c r="W47" i="14"/>
  <c r="W57" i="14" s="1"/>
  <c r="Y17" i="14"/>
  <c r="Y22" i="14" s="1"/>
  <c r="X130" i="14"/>
  <c r="X131" i="14" s="1"/>
  <c r="AF90" i="15"/>
  <c r="AF96" i="15"/>
  <c r="T16" i="20"/>
  <c r="T17" i="20"/>
  <c r="T18" i="20" s="1"/>
  <c r="X25" i="19"/>
  <c r="X22" i="19"/>
  <c r="X15" i="19" s="1"/>
  <c r="U31" i="19"/>
  <c r="U18" i="19"/>
  <c r="U19" i="19"/>
  <c r="Y48" i="7"/>
  <c r="Y22" i="8"/>
  <c r="R57" i="20"/>
  <c r="DB352" i="12"/>
  <c r="DC349" i="12"/>
  <c r="DB354" i="12"/>
  <c r="DB355" i="12" s="1"/>
  <c r="DB350" i="12"/>
  <c r="T352" i="12"/>
  <c r="T350" i="12"/>
  <c r="T354" i="12"/>
  <c r="T355" i="12" s="1"/>
  <c r="P72" i="14"/>
  <c r="P73" i="14"/>
  <c r="S114" i="22"/>
  <c r="P70" i="14"/>
  <c r="S54" i="20"/>
  <c r="AA21" i="8"/>
  <c r="DE60" i="8"/>
  <c r="DE61" i="8" s="1"/>
  <c r="DD68" i="8"/>
  <c r="DD63" i="8"/>
  <c r="S38" i="20"/>
  <c r="S37" i="20"/>
  <c r="AA88" i="8"/>
  <c r="S55" i="20"/>
  <c r="AA57" i="7" s="1"/>
  <c r="AG93" i="15" l="1"/>
  <c r="AG94" i="15" s="1"/>
  <c r="AA26" i="22"/>
  <c r="DF43" i="14"/>
  <c r="CS31" i="22"/>
  <c r="CU33" i="22"/>
  <c r="DH44" i="14"/>
  <c r="DG41" i="14"/>
  <c r="CT30" i="22"/>
  <c r="DI90" i="14"/>
  <c r="CV34" i="22"/>
  <c r="DJ88" i="14"/>
  <c r="DI91" i="14"/>
  <c r="W56" i="14"/>
  <c r="X134" i="14"/>
  <c r="X135" i="14" s="1"/>
  <c r="X48" i="14"/>
  <c r="X49" i="14" s="1"/>
  <c r="AF118" i="15"/>
  <c r="AF119" i="15" s="1"/>
  <c r="AF98" i="15"/>
  <c r="AF101" i="15" s="1"/>
  <c r="AF102" i="15" s="1"/>
  <c r="AF91" i="15"/>
  <c r="X139" i="14"/>
  <c r="X140" i="14" s="1"/>
  <c r="Y38" i="14"/>
  <c r="Y40" i="14" s="1"/>
  <c r="Y14" i="14"/>
  <c r="Y132" i="14"/>
  <c r="Y133" i="14" s="1"/>
  <c r="T54" i="20"/>
  <c r="AB21" i="8"/>
  <c r="T55" i="20"/>
  <c r="AB57" i="7" s="1"/>
  <c r="T31" i="20"/>
  <c r="T35" i="20" s="1"/>
  <c r="T19" i="20"/>
  <c r="AB87" i="8"/>
  <c r="U55" i="19"/>
  <c r="U35" i="19"/>
  <c r="X24" i="19"/>
  <c r="X28" i="19" s="1"/>
  <c r="U54" i="19"/>
  <c r="P74" i="14"/>
  <c r="DD349" i="12"/>
  <c r="DC350" i="12"/>
  <c r="DC352" i="12"/>
  <c r="DC354" i="12"/>
  <c r="DC355" i="12" s="1"/>
  <c r="S53" i="20"/>
  <c r="V106" i="22"/>
  <c r="S40" i="20"/>
  <c r="S49" i="20" s="1"/>
  <c r="DE63" i="8"/>
  <c r="DF60" i="8"/>
  <c r="DF61" i="8" s="1"/>
  <c r="DE68" i="8"/>
  <c r="AG95" i="15" l="1"/>
  <c r="Y16" i="14"/>
  <c r="AB29" i="22"/>
  <c r="N91" i="14"/>
  <c r="DI44" i="14"/>
  <c r="CV33" i="22"/>
  <c r="DJ90" i="14"/>
  <c r="DK88" i="14"/>
  <c r="DJ91" i="14"/>
  <c r="CW34" i="22"/>
  <c r="CU30" i="22"/>
  <c r="DH41" i="14"/>
  <c r="DG43" i="14"/>
  <c r="CT31" i="22"/>
  <c r="X45" i="14"/>
  <c r="X54" i="14"/>
  <c r="AG92" i="15"/>
  <c r="AG99" i="15" s="1"/>
  <c r="Y36" i="14"/>
  <c r="Y37" i="14" s="1"/>
  <c r="Y32" i="14" s="1"/>
  <c r="Y30" i="14" s="1"/>
  <c r="Y31" i="14" s="1"/>
  <c r="AG115" i="15"/>
  <c r="AG116" i="15" s="1"/>
  <c r="Y50" i="14"/>
  <c r="Y51" i="14" s="1"/>
  <c r="U30" i="20"/>
  <c r="T38" i="20"/>
  <c r="T37" i="20"/>
  <c r="Y22" i="19"/>
  <c r="Y15" i="19" s="1"/>
  <c r="Y25" i="19"/>
  <c r="U38" i="19"/>
  <c r="V30" i="19"/>
  <c r="U37" i="19"/>
  <c r="DE349" i="12"/>
  <c r="DD352" i="12"/>
  <c r="DD354" i="12"/>
  <c r="DD355" i="12" s="1"/>
  <c r="DD350" i="12"/>
  <c r="DF63" i="8"/>
  <c r="DF68" i="8"/>
  <c r="DG60" i="8"/>
  <c r="DG61" i="8" s="1"/>
  <c r="S56" i="20"/>
  <c r="AA44" i="7"/>
  <c r="S50" i="20"/>
  <c r="AA48" i="7"/>
  <c r="X52" i="14" l="1"/>
  <c r="AA35" i="22"/>
  <c r="AB23" i="22"/>
  <c r="DI41" i="14"/>
  <c r="CV30" i="22"/>
  <c r="DH43" i="14"/>
  <c r="CU31" i="22"/>
  <c r="CX34" i="22"/>
  <c r="DK91" i="14"/>
  <c r="DK90" i="14"/>
  <c r="DL88" i="14"/>
  <c r="CW33" i="22"/>
  <c r="DJ44" i="14"/>
  <c r="N142" i="14"/>
  <c r="Q33" i="22"/>
  <c r="N145" i="14"/>
  <c r="X53" i="14"/>
  <c r="X46" i="14"/>
  <c r="X47" i="14"/>
  <c r="X57" i="14" s="1"/>
  <c r="AG96" i="15"/>
  <c r="Y55" i="14"/>
  <c r="Y130" i="14"/>
  <c r="Y134" i="14" s="1"/>
  <c r="Y135" i="14" s="1"/>
  <c r="AG90" i="15"/>
  <c r="AG109" i="11"/>
  <c r="U16" i="20"/>
  <c r="U17" i="20"/>
  <c r="T40" i="20"/>
  <c r="T49" i="20" s="1"/>
  <c r="T50" i="20" s="1"/>
  <c r="T53" i="20"/>
  <c r="T56" i="20" s="1"/>
  <c r="U40" i="19"/>
  <c r="U49" i="19" s="1"/>
  <c r="U50" i="19" s="1"/>
  <c r="U57" i="19" s="1"/>
  <c r="U53" i="19"/>
  <c r="U56" i="19" s="1"/>
  <c r="V16" i="19"/>
  <c r="V17" i="19"/>
  <c r="Y24" i="19"/>
  <c r="Y28" i="19" s="1"/>
  <c r="AA22" i="8"/>
  <c r="AA33" i="8"/>
  <c r="AB88" i="8"/>
  <c r="S57" i="20"/>
  <c r="DE352" i="12"/>
  <c r="DE350" i="12"/>
  <c r="DE354" i="12"/>
  <c r="DE355" i="12" s="1"/>
  <c r="DF349" i="12"/>
  <c r="U349" i="12"/>
  <c r="DH60" i="8"/>
  <c r="DH61" i="8" s="1"/>
  <c r="DG63" i="8"/>
  <c r="DG68" i="8"/>
  <c r="AB26" i="22" l="1"/>
  <c r="CW30" i="22"/>
  <c r="DJ41" i="14"/>
  <c r="CV31" i="22"/>
  <c r="DI43" i="14"/>
  <c r="DL91" i="14"/>
  <c r="DL90" i="14"/>
  <c r="CY34" i="22"/>
  <c r="DM88" i="14"/>
  <c r="N146" i="14"/>
  <c r="N153" i="14"/>
  <c r="N154" i="14" s="1"/>
  <c r="CX33" i="22"/>
  <c r="DK44" i="14"/>
  <c r="X56" i="14"/>
  <c r="Y139" i="14"/>
  <c r="Y140" i="14" s="1"/>
  <c r="Y48" i="14"/>
  <c r="Y49" i="14" s="1"/>
  <c r="AG98" i="15"/>
  <c r="AG101" i="15" s="1"/>
  <c r="AG102" i="15" s="1"/>
  <c r="AG91" i="15"/>
  <c r="AG118" i="15"/>
  <c r="AG119" i="15" s="1"/>
  <c r="Y131" i="14"/>
  <c r="AB48" i="7"/>
  <c r="AB22" i="8" s="1"/>
  <c r="T57" i="20"/>
  <c r="AB44" i="7"/>
  <c r="AB33" i="8" s="1"/>
  <c r="U31" i="20"/>
  <c r="U35" i="20" s="1"/>
  <c r="U18" i="20"/>
  <c r="U19" i="20"/>
  <c r="V31" i="19"/>
  <c r="V35" i="19" s="1"/>
  <c r="V18" i="19"/>
  <c r="V19" i="19"/>
  <c r="U354" i="12"/>
  <c r="U355" i="12" s="1"/>
  <c r="U352" i="12"/>
  <c r="U350" i="12"/>
  <c r="DF350" i="12"/>
  <c r="DF354" i="12"/>
  <c r="DF355" i="12" s="1"/>
  <c r="DF352" i="12"/>
  <c r="DG349" i="12"/>
  <c r="DH63" i="8"/>
  <c r="DH68" i="8"/>
  <c r="DI60" i="8"/>
  <c r="DI61" i="8" s="1"/>
  <c r="DJ43" i="14" l="1"/>
  <c r="CW31" i="22"/>
  <c r="DL44" i="14"/>
  <c r="CY33" i="22"/>
  <c r="DK41" i="14"/>
  <c r="CX30" i="22"/>
  <c r="DN88" i="14"/>
  <c r="CZ34" i="22"/>
  <c r="DM90" i="14"/>
  <c r="DM91" i="14"/>
  <c r="Y54" i="14"/>
  <c r="Y45" i="14"/>
  <c r="U38" i="20"/>
  <c r="V30" i="20"/>
  <c r="U37" i="20"/>
  <c r="U55" i="20"/>
  <c r="AC57" i="7" s="1"/>
  <c r="U54" i="20"/>
  <c r="AC21" i="8"/>
  <c r="V38" i="19"/>
  <c r="W30" i="19"/>
  <c r="V37" i="19"/>
  <c r="V54" i="19"/>
  <c r="V55" i="19"/>
  <c r="DG354" i="12"/>
  <c r="DG355" i="12" s="1"/>
  <c r="DG352" i="12"/>
  <c r="DH349" i="12"/>
  <c r="DG350" i="12"/>
  <c r="DJ60" i="8"/>
  <c r="DJ61" i="8" s="1"/>
  <c r="DI68" i="8"/>
  <c r="DI63" i="8"/>
  <c r="Y52" i="14" l="1"/>
  <c r="AB35" i="22"/>
  <c r="CZ33" i="22"/>
  <c r="DM44" i="14"/>
  <c r="O91" i="14"/>
  <c r="CX31" i="22"/>
  <c r="DK43" i="14"/>
  <c r="DN90" i="14"/>
  <c r="DO88" i="14"/>
  <c r="DA34" i="22"/>
  <c r="DN91" i="14"/>
  <c r="DL41" i="14"/>
  <c r="CY30" i="22"/>
  <c r="Y46" i="14"/>
  <c r="Y47" i="14"/>
  <c r="Y57" i="14" s="1"/>
  <c r="Y53" i="14"/>
  <c r="U53" i="20"/>
  <c r="U40" i="20"/>
  <c r="U49" i="20" s="1"/>
  <c r="V16" i="20"/>
  <c r="V17" i="20"/>
  <c r="W16" i="19"/>
  <c r="W17" i="19"/>
  <c r="V40" i="19"/>
  <c r="V49" i="19" s="1"/>
  <c r="V53" i="19"/>
  <c r="DH354" i="12"/>
  <c r="DH355" i="12" s="1"/>
  <c r="DH352" i="12"/>
  <c r="DH350" i="12"/>
  <c r="DI349" i="12"/>
  <c r="DK60" i="8"/>
  <c r="DK61" i="8" s="1"/>
  <c r="DJ63" i="8"/>
  <c r="DJ68" i="8"/>
  <c r="DA33" i="22" l="1"/>
  <c r="DN44" i="14"/>
  <c r="DO91" i="14"/>
  <c r="DP88" i="14"/>
  <c r="DO90" i="14"/>
  <c r="DB34" i="22"/>
  <c r="O145" i="14"/>
  <c r="R33" i="22"/>
  <c r="O142" i="14"/>
  <c r="CY31" i="22"/>
  <c r="DL43" i="14"/>
  <c r="DM41" i="14"/>
  <c r="CZ30" i="22"/>
  <c r="Y56" i="14"/>
  <c r="V31" i="20"/>
  <c r="V35" i="20" s="1"/>
  <c r="V19" i="20"/>
  <c r="V18" i="20"/>
  <c r="U50" i="20"/>
  <c r="AC48" i="7"/>
  <c r="AC22" i="8" s="1"/>
  <c r="U56" i="20"/>
  <c r="AC44" i="7"/>
  <c r="AC33" i="8" s="1"/>
  <c r="V50" i="19"/>
  <c r="V56" i="19"/>
  <c r="W31" i="19"/>
  <c r="W35" i="19" s="1"/>
  <c r="W19" i="19"/>
  <c r="W18" i="19"/>
  <c r="DJ349" i="12"/>
  <c r="DI354" i="12"/>
  <c r="DI355" i="12" s="1"/>
  <c r="DI350" i="12"/>
  <c r="DI352" i="12"/>
  <c r="V349" i="12"/>
  <c r="DL60" i="8"/>
  <c r="DL61" i="8" s="1"/>
  <c r="DK63" i="8"/>
  <c r="DK68" i="8"/>
  <c r="DM43" i="14" l="1"/>
  <c r="CZ31" i="22"/>
  <c r="DQ88" i="14"/>
  <c r="DP91" i="14"/>
  <c r="DP90" i="14"/>
  <c r="DC34" i="22"/>
  <c r="O153" i="14"/>
  <c r="O154" i="14" s="1"/>
  <c r="O146" i="14"/>
  <c r="DO44" i="14"/>
  <c r="DB33" i="22"/>
  <c r="DN41" i="14"/>
  <c r="DA30" i="22"/>
  <c r="V54" i="20"/>
  <c r="AD21" i="8"/>
  <c r="W30" i="20"/>
  <c r="V38" i="20"/>
  <c r="V37" i="20"/>
  <c r="U57" i="20"/>
  <c r="V55" i="20"/>
  <c r="AD57" i="7" s="1"/>
  <c r="W54" i="19"/>
  <c r="W38" i="19"/>
  <c r="X30" i="19"/>
  <c r="W37" i="19"/>
  <c r="W55" i="19"/>
  <c r="V57" i="19"/>
  <c r="V350" i="12"/>
  <c r="V354" i="12"/>
  <c r="V355" i="12" s="1"/>
  <c r="V352" i="12"/>
  <c r="DJ354" i="12"/>
  <c r="DJ355" i="12" s="1"/>
  <c r="DJ350" i="12"/>
  <c r="DK349" i="12"/>
  <c r="DJ352" i="12"/>
  <c r="DM60" i="8"/>
  <c r="DM61" i="8" s="1"/>
  <c r="DL68" i="8"/>
  <c r="DL63" i="8"/>
  <c r="DN43" i="14" l="1"/>
  <c r="DA31" i="22"/>
  <c r="DO41" i="14"/>
  <c r="DB30" i="22"/>
  <c r="DC33" i="22"/>
  <c r="DP44" i="14"/>
  <c r="DR88" i="14"/>
  <c r="DQ91" i="14"/>
  <c r="DQ90" i="14"/>
  <c r="DD34" i="22"/>
  <c r="V53" i="20"/>
  <c r="V40" i="20"/>
  <c r="V49" i="20" s="1"/>
  <c r="W16" i="20"/>
  <c r="W17" i="20"/>
  <c r="W53" i="19"/>
  <c r="W40" i="19"/>
  <c r="W49" i="19" s="1"/>
  <c r="X16" i="19"/>
  <c r="X17" i="19"/>
  <c r="DK354" i="12"/>
  <c r="DK350" i="12"/>
  <c r="DL349" i="12"/>
  <c r="DK352" i="12"/>
  <c r="DN60" i="8"/>
  <c r="DN61" i="8" s="1"/>
  <c r="DM63" i="8"/>
  <c r="DM68" i="8"/>
  <c r="DD33" i="22" l="1"/>
  <c r="DQ44" i="14"/>
  <c r="P91" i="14"/>
  <c r="DS88" i="14"/>
  <c r="DE34" i="22"/>
  <c r="DR90" i="14"/>
  <c r="DR91" i="14"/>
  <c r="DB31" i="22"/>
  <c r="DO43" i="14"/>
  <c r="DP41" i="14"/>
  <c r="DC30" i="22"/>
  <c r="V56" i="20"/>
  <c r="AD44" i="7"/>
  <c r="AD33" i="8" s="1"/>
  <c r="W31" i="20"/>
  <c r="W35" i="20" s="1"/>
  <c r="W18" i="20"/>
  <c r="W19" i="20"/>
  <c r="V50" i="20"/>
  <c r="AD48" i="7"/>
  <c r="AD22" i="8" s="1"/>
  <c r="W50" i="19"/>
  <c r="X31" i="19"/>
  <c r="X35" i="19" s="1"/>
  <c r="X19" i="19"/>
  <c r="X18" i="19"/>
  <c r="W56" i="19"/>
  <c r="DN63" i="8"/>
  <c r="DO60" i="8"/>
  <c r="DO61" i="8" s="1"/>
  <c r="DP60" i="8" s="1"/>
  <c r="DP61" i="8" s="1"/>
  <c r="DK355" i="12"/>
  <c r="DL350" i="12"/>
  <c r="DL354" i="12"/>
  <c r="DL352" i="12"/>
  <c r="DM349" i="12"/>
  <c r="W349" i="12" l="1"/>
  <c r="DS90" i="14"/>
  <c r="DS91" i="14"/>
  <c r="DT88" i="14"/>
  <c r="DU88" i="14" s="1"/>
  <c r="DF34" i="22"/>
  <c r="DP43" i="14"/>
  <c r="DC31" i="22"/>
  <c r="DR44" i="14"/>
  <c r="DE33" i="22"/>
  <c r="Q91" i="14"/>
  <c r="S33" i="22"/>
  <c r="P145" i="14"/>
  <c r="P142" i="14"/>
  <c r="DQ41" i="14"/>
  <c r="DD30" i="22"/>
  <c r="X30" i="20"/>
  <c r="W38" i="20"/>
  <c r="W37" i="20"/>
  <c r="V57" i="20"/>
  <c r="W55" i="20"/>
  <c r="AE57" i="7" s="1"/>
  <c r="W54" i="20"/>
  <c r="AE21" i="8"/>
  <c r="Y30" i="19"/>
  <c r="X38" i="19"/>
  <c r="X37" i="19"/>
  <c r="X55" i="19"/>
  <c r="X54" i="19"/>
  <c r="W57" i="19"/>
  <c r="DP63" i="8"/>
  <c r="DQ60" i="8"/>
  <c r="DQ61" i="8" s="1"/>
  <c r="DR60" i="8" s="1"/>
  <c r="DR61" i="8" s="1"/>
  <c r="DS60" i="8" s="1"/>
  <c r="DS61" i="8" s="1"/>
  <c r="DT60" i="8" s="1"/>
  <c r="DT61" i="8" s="1"/>
  <c r="DU60" i="8" s="1"/>
  <c r="DU61" i="8" s="1"/>
  <c r="DV60" i="8" s="1"/>
  <c r="DV61" i="8" s="1"/>
  <c r="DL355" i="12"/>
  <c r="W354" i="12"/>
  <c r="W355" i="12" s="1"/>
  <c r="W352" i="12"/>
  <c r="W350" i="12"/>
  <c r="DM354" i="12"/>
  <c r="DM352" i="12"/>
  <c r="DM350" i="12"/>
  <c r="DN349" i="12"/>
  <c r="DO349" i="12" s="1"/>
  <c r="DV90" i="14" l="1"/>
  <c r="DV91" i="14"/>
  <c r="DU90" i="14"/>
  <c r="DU91" i="14"/>
  <c r="DU44" i="14" s="1"/>
  <c r="DU41" i="14" s="1"/>
  <c r="DU43" i="14" s="1"/>
  <c r="DQ43" i="14"/>
  <c r="DD31" i="22"/>
  <c r="Q142" i="14"/>
  <c r="Q145" i="14"/>
  <c r="T33" i="22"/>
  <c r="P153" i="14"/>
  <c r="P154" i="14" s="1"/>
  <c r="P146" i="14"/>
  <c r="DR41" i="14"/>
  <c r="DE30" i="22"/>
  <c r="DT90" i="14"/>
  <c r="DT91" i="14"/>
  <c r="DG34" i="22"/>
  <c r="DI34" i="22"/>
  <c r="DS44" i="14"/>
  <c r="DF33" i="22"/>
  <c r="Y349" i="12"/>
  <c r="W40" i="20"/>
  <c r="W49" i="20" s="1"/>
  <c r="W53" i="20"/>
  <c r="X16" i="20"/>
  <c r="X17" i="20"/>
  <c r="X40" i="19"/>
  <c r="X49" i="19" s="1"/>
  <c r="X53" i="19"/>
  <c r="Y16" i="19"/>
  <c r="Y17" i="19"/>
  <c r="DO350" i="12"/>
  <c r="DO352" i="12"/>
  <c r="DP349" i="12"/>
  <c r="Z349" i="12" s="1"/>
  <c r="DO354" i="12"/>
  <c r="DM355" i="12"/>
  <c r="X349" i="12"/>
  <c r="DN354" i="12"/>
  <c r="DN350" i="12"/>
  <c r="DN352" i="12"/>
  <c r="DV44" i="14" l="1"/>
  <c r="DV41" i="14" s="1"/>
  <c r="DV43" i="14" s="1"/>
  <c r="DW88" i="14"/>
  <c r="DJ34" i="22" s="1"/>
  <c r="DI33" i="22"/>
  <c r="Z350" i="12"/>
  <c r="Z352" i="12"/>
  <c r="Y352" i="12"/>
  <c r="DH34" i="22"/>
  <c r="DH33" i="22"/>
  <c r="DE31" i="22"/>
  <c r="DR43" i="14"/>
  <c r="Q153" i="14"/>
  <c r="Q154" i="14" s="1"/>
  <c r="Q146" i="14"/>
  <c r="DT44" i="14"/>
  <c r="DG33" i="22"/>
  <c r="DS41" i="14"/>
  <c r="DF30" i="22"/>
  <c r="DO355" i="12"/>
  <c r="X31" i="20"/>
  <c r="X35" i="20" s="1"/>
  <c r="X19" i="20"/>
  <c r="X18" i="20"/>
  <c r="W56" i="20"/>
  <c r="AE44" i="7"/>
  <c r="AE33" i="8" s="1"/>
  <c r="W50" i="20"/>
  <c r="AE48" i="7"/>
  <c r="AE22" i="8" s="1"/>
  <c r="X56" i="19"/>
  <c r="Y55" i="19"/>
  <c r="Y31" i="19"/>
  <c r="Y35" i="19" s="1"/>
  <c r="Y18" i="19"/>
  <c r="Y19" i="19"/>
  <c r="X50" i="19"/>
  <c r="X57" i="19" s="1"/>
  <c r="DN355" i="12"/>
  <c r="Y350" i="12"/>
  <c r="DP350" i="12"/>
  <c r="DP352" i="12"/>
  <c r="DQ349" i="12"/>
  <c r="DR349" i="12" s="1"/>
  <c r="DP354" i="12"/>
  <c r="X352" i="12"/>
  <c r="X350" i="12"/>
  <c r="DX88" i="14" l="1"/>
  <c r="DK34" i="22" s="1"/>
  <c r="DW90" i="14"/>
  <c r="DW91" i="14"/>
  <c r="DJ33" i="22" s="1"/>
  <c r="DT41" i="14"/>
  <c r="DG30" i="22"/>
  <c r="DF31" i="22"/>
  <c r="DS43" i="14"/>
  <c r="DP355" i="12"/>
  <c r="DR350" i="12"/>
  <c r="DR352" i="12"/>
  <c r="DS349" i="12"/>
  <c r="DT349" i="12" s="1"/>
  <c r="DR354" i="12"/>
  <c r="X54" i="20"/>
  <c r="AF21" i="8"/>
  <c r="W57" i="20"/>
  <c r="Y30" i="20"/>
  <c r="X38" i="20"/>
  <c r="X37" i="20"/>
  <c r="X55" i="20"/>
  <c r="AF57" i="7" s="1"/>
  <c r="Y38" i="19"/>
  <c r="Y37" i="19"/>
  <c r="Y54" i="19"/>
  <c r="DQ352" i="12"/>
  <c r="DQ350" i="12"/>
  <c r="DQ354" i="12"/>
  <c r="DR355" i="12" l="1"/>
  <c r="DV355" i="12"/>
  <c r="DQ355" i="12"/>
  <c r="DU355" i="12"/>
  <c r="DY88" i="14"/>
  <c r="DL34" i="22" s="1"/>
  <c r="DX90" i="14"/>
  <c r="DX91" i="14"/>
  <c r="DK33" i="22" s="1"/>
  <c r="DT352" i="12"/>
  <c r="DT350" i="12"/>
  <c r="DT354" i="12"/>
  <c r="DT355" i="12" s="1"/>
  <c r="DT43" i="14"/>
  <c r="DG31" i="22"/>
  <c r="DI31" i="22"/>
  <c r="DS350" i="12"/>
  <c r="DS352" i="12"/>
  <c r="DS354" i="12"/>
  <c r="DS355" i="12" s="1"/>
  <c r="X40" i="20"/>
  <c r="X49" i="20" s="1"/>
  <c r="X53" i="20"/>
  <c r="Y16" i="20"/>
  <c r="Y17" i="20"/>
  <c r="Y53" i="19"/>
  <c r="Y40" i="19"/>
  <c r="Y49" i="19" s="1"/>
  <c r="AA349" i="12"/>
  <c r="AB349" i="12" s="1"/>
  <c r="DY90" i="14" l="1"/>
  <c r="DY91" i="14"/>
  <c r="DL33" i="22" s="1"/>
  <c r="DW41" i="14"/>
  <c r="DJ31" i="22" s="1"/>
  <c r="DH31" i="22"/>
  <c r="AC349" i="12"/>
  <c r="AB352" i="12"/>
  <c r="Y31" i="20"/>
  <c r="Y35" i="20" s="1"/>
  <c r="Y19" i="20"/>
  <c r="Y18" i="20"/>
  <c r="X56" i="20"/>
  <c r="AF44" i="7"/>
  <c r="AF33" i="8" s="1"/>
  <c r="X50" i="20"/>
  <c r="X57" i="20" s="1"/>
  <c r="AF48" i="7"/>
  <c r="AF22" i="8" s="1"/>
  <c r="Y50" i="19"/>
  <c r="Y56" i="19"/>
  <c r="AA352" i="12"/>
  <c r="DI30" i="22" l="1"/>
  <c r="R91" i="14"/>
  <c r="DX41" i="14"/>
  <c r="DK31" i="22" s="1"/>
  <c r="DW43" i="14"/>
  <c r="DW44" i="14"/>
  <c r="DH30" i="22"/>
  <c r="AD349" i="12"/>
  <c r="AC352" i="12"/>
  <c r="Y54" i="20"/>
  <c r="AG21" i="8"/>
  <c r="Y38" i="20"/>
  <c r="Y37" i="20"/>
  <c r="Y55" i="20"/>
  <c r="AG57" i="7" s="1"/>
  <c r="Y57" i="19"/>
  <c r="DN107" i="8"/>
  <c r="DN110" i="8"/>
  <c r="DN111" i="8"/>
  <c r="DK30" i="6"/>
  <c r="DN70" i="7" s="1"/>
  <c r="DA37" i="22"/>
  <c r="DA38" i="22" s="1"/>
  <c r="DA46" i="22"/>
  <c r="DA50" i="22" s="1"/>
  <c r="DA56" i="22"/>
  <c r="DA66" i="22"/>
  <c r="DA84" i="22"/>
  <c r="DA85" i="22"/>
  <c r="DA116" i="22"/>
  <c r="DA117" i="22"/>
  <c r="DA118" i="22"/>
  <c r="DA119" i="22"/>
  <c r="DA133" i="22"/>
  <c r="DA136" i="22"/>
  <c r="DA141" i="22"/>
  <c r="X103" i="12"/>
  <c r="X298" i="12"/>
  <c r="X301" i="12"/>
  <c r="X306" i="12"/>
  <c r="X319" i="12"/>
  <c r="X325" i="12"/>
  <c r="X332" i="12"/>
  <c r="Y333" i="12" s="1"/>
  <c r="X344" i="12"/>
  <c r="R142" i="14" l="1"/>
  <c r="R88" i="14"/>
  <c r="R145" i="14"/>
  <c r="R146" i="14" s="1"/>
  <c r="DW93" i="14"/>
  <c r="DW94" i="14" s="1"/>
  <c r="DJ30" i="22"/>
  <c r="DW349" i="12"/>
  <c r="DX43" i="14"/>
  <c r="DY41" i="14"/>
  <c r="DL31" i="22" s="1"/>
  <c r="DX44" i="14"/>
  <c r="AE349" i="12"/>
  <c r="AD352" i="12"/>
  <c r="Y53" i="20"/>
  <c r="Y40" i="20"/>
  <c r="Y49" i="20" s="1"/>
  <c r="X326" i="12"/>
  <c r="Y326" i="12"/>
  <c r="S133" i="22"/>
  <c r="Y320" i="12"/>
  <c r="X345" i="12"/>
  <c r="Y345" i="12"/>
  <c r="X299" i="12"/>
  <c r="Y299" i="12"/>
  <c r="X307" i="12"/>
  <c r="Y307" i="12"/>
  <c r="X303" i="12"/>
  <c r="Y302" i="12"/>
  <c r="Y303" i="12"/>
  <c r="X104" i="12"/>
  <c r="X218" i="12"/>
  <c r="X320" i="12"/>
  <c r="X105" i="12"/>
  <c r="X106" i="12" s="1"/>
  <c r="X339" i="12"/>
  <c r="X329" i="12"/>
  <c r="X328" i="12"/>
  <c r="X321" i="12"/>
  <c r="X308" i="12"/>
  <c r="X302" i="12"/>
  <c r="DN115" i="8"/>
  <c r="DN95" i="8" s="1"/>
  <c r="DH19" i="11"/>
  <c r="DK59" i="6"/>
  <c r="DK55" i="6"/>
  <c r="DK47" i="6"/>
  <c r="DK17" i="6"/>
  <c r="DK58" i="6"/>
  <c r="DK32" i="6"/>
  <c r="DN19" i="17"/>
  <c r="DN143" i="17"/>
  <c r="DN41" i="17"/>
  <c r="DN146" i="17"/>
  <c r="DK31" i="6"/>
  <c r="DK33" i="6"/>
  <c r="X335" i="12"/>
  <c r="X334" i="12"/>
  <c r="X333" i="12"/>
  <c r="S95" i="22"/>
  <c r="S96" i="22" s="1"/>
  <c r="DM71" i="7"/>
  <c r="DA51" i="22"/>
  <c r="DA52" i="22" s="1"/>
  <c r="DA76" i="22"/>
  <c r="S88" i="14" l="1"/>
  <c r="T88" i="14" s="1"/>
  <c r="U88" i="14" s="1"/>
  <c r="V88" i="14" s="1"/>
  <c r="W88" i="14" s="1"/>
  <c r="X88" i="14" s="1"/>
  <c r="Y88" i="14" s="1"/>
  <c r="U34" i="22"/>
  <c r="DW95" i="14"/>
  <c r="R153" i="14"/>
  <c r="R154" i="14" s="1"/>
  <c r="DX93" i="14"/>
  <c r="DX94" i="14" s="1"/>
  <c r="DK30" i="22"/>
  <c r="DX349" i="12"/>
  <c r="DW350" i="12"/>
  <c r="DW352" i="12"/>
  <c r="DY44" i="14"/>
  <c r="R44" i="14" s="1"/>
  <c r="R41" i="14" s="1"/>
  <c r="DY43" i="14"/>
  <c r="AF349" i="12"/>
  <c r="AE352" i="12"/>
  <c r="Y50" i="20"/>
  <c r="AG48" i="7"/>
  <c r="AG22" i="8" s="1"/>
  <c r="Y56" i="20"/>
  <c r="AG44" i="7"/>
  <c r="AG33" i="8" s="1"/>
  <c r="X340" i="12"/>
  <c r="Y340" i="12"/>
  <c r="X322" i="12"/>
  <c r="X312" i="12"/>
  <c r="DN95" i="7"/>
  <c r="DN94" i="7"/>
  <c r="DN88" i="7"/>
  <c r="DN92" i="7"/>
  <c r="DK61" i="6"/>
  <c r="DK60" i="6"/>
  <c r="DX95" i="14" l="1"/>
  <c r="DY93" i="14"/>
  <c r="DY95" i="14" s="1"/>
  <c r="DL30" i="22"/>
  <c r="DX352" i="12"/>
  <c r="DX350" i="12"/>
  <c r="DY349" i="12"/>
  <c r="AF352" i="12"/>
  <c r="AG349" i="12"/>
  <c r="Y57" i="20"/>
  <c r="X323" i="12"/>
  <c r="X341" i="12"/>
  <c r="X313" i="12"/>
  <c r="DN77" i="8"/>
  <c r="DN92" i="8"/>
  <c r="DY94" i="14" l="1"/>
  <c r="DY350" i="12"/>
  <c r="DY352" i="12"/>
  <c r="AG352" i="12"/>
  <c r="X342" i="12"/>
  <c r="X354" i="12"/>
  <c r="X355" i="12" s="1"/>
  <c r="DA65" i="22" l="1"/>
  <c r="DA70" i="22" s="1"/>
  <c r="DN196" i="7" l="1"/>
  <c r="DN197" i="7" s="1"/>
  <c r="DN91" i="13"/>
  <c r="DN193" i="7" l="1"/>
  <c r="DN11" i="17"/>
  <c r="DN57" i="12" l="1"/>
  <c r="DN12" i="17"/>
  <c r="DN14" i="17"/>
  <c r="DN60" i="17" s="1"/>
  <c r="DN76" i="8" l="1"/>
  <c r="DN194" i="7"/>
  <c r="DN195" i="7" s="1"/>
  <c r="DA55" i="22" l="1"/>
  <c r="DA80" i="22"/>
  <c r="DM72" i="7" l="1"/>
  <c r="DM73" i="7"/>
  <c r="DM74" i="7"/>
  <c r="DN20" i="17"/>
  <c r="DK127" i="6"/>
  <c r="DK144" i="6" s="1"/>
  <c r="DK145" i="6" s="1"/>
  <c r="DN73" i="8"/>
  <c r="DN79" i="8" s="1"/>
  <c r="DN86" i="8"/>
  <c r="DN93" i="8"/>
  <c r="DK6" i="6"/>
  <c r="DN6" i="14" s="1"/>
  <c r="DA61" i="22"/>
  <c r="DA77" i="22"/>
  <c r="DA103" i="22"/>
  <c r="DN16" i="16"/>
  <c r="DN18" i="16" s="1"/>
  <c r="DN20" i="16"/>
  <c r="DH35" i="11" l="1"/>
  <c r="DH36" i="11" s="1"/>
  <c r="DH37" i="11" s="1"/>
  <c r="DN22" i="16"/>
  <c r="DN17" i="16"/>
  <c r="DH26" i="11"/>
  <c r="DH27" i="11" s="1"/>
  <c r="DH28" i="11" s="1"/>
  <c r="DN6" i="12"/>
  <c r="DN6" i="13"/>
  <c r="DA3" i="22"/>
  <c r="DA4" i="22" s="1"/>
  <c r="DN6" i="16"/>
  <c r="DH7" i="11"/>
  <c r="DN6" i="15"/>
  <c r="DN24" i="16"/>
  <c r="DN21" i="16"/>
  <c r="DK7" i="6"/>
  <c r="DN8" i="8" s="1"/>
  <c r="DN6" i="7"/>
  <c r="DN6" i="17"/>
  <c r="DN7" i="8"/>
  <c r="DN7" i="17" l="1"/>
  <c r="DN30" i="16"/>
  <c r="DN33" i="16" s="1"/>
  <c r="DN34" i="16" s="1"/>
  <c r="DN25" i="16"/>
  <c r="DN37" i="16"/>
  <c r="DN38" i="16" s="1"/>
  <c r="DN41" i="16"/>
  <c r="DH44" i="11"/>
  <c r="DN7" i="14"/>
  <c r="DH8" i="11"/>
  <c r="DN7" i="12"/>
  <c r="DN7" i="16"/>
  <c r="DN7" i="15"/>
  <c r="DN7" i="13"/>
  <c r="DN7" i="7"/>
  <c r="DH45" i="11" l="1"/>
  <c r="DH46" i="11" s="1"/>
  <c r="DH62" i="11"/>
  <c r="DH71" i="11" l="1"/>
  <c r="DH63" i="11"/>
  <c r="DH64" i="11" s="1"/>
  <c r="DN91" i="8"/>
  <c r="DN97" i="8" s="1"/>
  <c r="DN68" i="8"/>
  <c r="DA59" i="22" l="1"/>
  <c r="DA60" i="22" s="1"/>
  <c r="DA62" i="22" s="1"/>
  <c r="DH108" i="11"/>
  <c r="DH72" i="11"/>
  <c r="DH73" i="11" s="1"/>
  <c r="DN71" i="8" l="1"/>
  <c r="DN69" i="8"/>
  <c r="DA102" i="22"/>
  <c r="DA104" i="22" s="1"/>
  <c r="DN26" i="14" l="1"/>
  <c r="DN28" i="14"/>
  <c r="DA113" i="22"/>
  <c r="DN24" i="14" l="1"/>
  <c r="DO107" i="8" l="1"/>
  <c r="DO115" i="8" s="1"/>
  <c r="DO95" i="8" s="1"/>
  <c r="DO110" i="8"/>
  <c r="DO111" i="8"/>
  <c r="DL14" i="6"/>
  <c r="DP15" i="6" s="1"/>
  <c r="DB37" i="22"/>
  <c r="DB38" i="22" s="1"/>
  <c r="DB46" i="22"/>
  <c r="DB50" i="22" s="1"/>
  <c r="DB56" i="22"/>
  <c r="DB84" i="22"/>
  <c r="DB85" i="22"/>
  <c r="DB116" i="22"/>
  <c r="DB117" i="22"/>
  <c r="DB118" i="22"/>
  <c r="DB119" i="22"/>
  <c r="DB133" i="22"/>
  <c r="DB136" i="22"/>
  <c r="DB141" i="22"/>
  <c r="DI14" i="11"/>
  <c r="DI18" i="11" s="1"/>
  <c r="DI23" i="11"/>
  <c r="DI32" i="11"/>
  <c r="DI41" i="11"/>
  <c r="DI50" i="11"/>
  <c r="DL30" i="6" l="1"/>
  <c r="DL35" i="6"/>
  <c r="L6" i="37" s="1"/>
  <c r="L11" i="37" s="1"/>
  <c r="DL16" i="6"/>
  <c r="DL15" i="6"/>
  <c r="DI59" i="11"/>
  <c r="DI68" i="11" s="1"/>
  <c r="DP36" i="6" l="1"/>
  <c r="P7" i="37" s="1"/>
  <c r="DO70" i="7"/>
  <c r="DP31" i="6"/>
  <c r="DL13" i="6"/>
  <c r="DL32" i="6"/>
  <c r="DO41" i="17"/>
  <c r="DI19" i="11"/>
  <c r="DL17" i="6"/>
  <c r="DB51" i="22"/>
  <c r="DB52" i="22" s="1"/>
  <c r="DO146" i="17"/>
  <c r="DL47" i="6"/>
  <c r="DN71" i="7"/>
  <c r="DB76" i="22"/>
  <c r="DO143" i="17"/>
  <c r="DL55" i="6"/>
  <c r="DL33" i="6"/>
  <c r="DL31" i="6"/>
  <c r="DO19" i="17"/>
  <c r="DL59" i="6"/>
  <c r="DP60" i="6" s="1"/>
  <c r="DL69" i="6"/>
  <c r="DL56" i="6"/>
  <c r="DP57" i="6" s="1"/>
  <c r="DL75" i="6"/>
  <c r="DL71" i="6"/>
  <c r="DL50" i="6"/>
  <c r="DL41" i="6"/>
  <c r="DL63" i="6"/>
  <c r="L8" i="37" s="1"/>
  <c r="DL86" i="6"/>
  <c r="DL44" i="6"/>
  <c r="DL36" i="6"/>
  <c r="L7" i="37" s="1"/>
  <c r="DB66" i="22"/>
  <c r="DO92" i="7" l="1"/>
  <c r="DO95" i="7"/>
  <c r="DL60" i="6"/>
  <c r="DO88" i="7"/>
  <c r="DL61" i="6"/>
  <c r="DO94" i="7"/>
  <c r="DL57" i="6"/>
  <c r="DO109" i="7"/>
  <c r="DL58" i="6"/>
  <c r="DL76" i="6"/>
  <c r="DL64" i="6"/>
  <c r="L9" i="37" s="1"/>
  <c r="DO77" i="8"/>
  <c r="DO92" i="8"/>
  <c r="DL77" i="6" l="1"/>
  <c r="DL79" i="6"/>
  <c r="DL88" i="6"/>
  <c r="DP89" i="6" s="1"/>
  <c r="DO116" i="7"/>
  <c r="DL95" i="6" l="1"/>
  <c r="L5" i="37" s="1"/>
  <c r="DL119" i="6"/>
  <c r="DL92" i="6"/>
  <c r="DL90" i="6"/>
  <c r="DL89" i="6"/>
  <c r="DO744" i="12"/>
  <c r="DO110" i="7"/>
  <c r="DB65" i="22"/>
  <c r="DB70" i="22" s="1"/>
  <c r="DP96" i="6" l="1"/>
  <c r="DL93" i="6"/>
  <c r="DP93" i="6"/>
  <c r="DL98" i="6"/>
  <c r="DL96" i="6"/>
  <c r="DO768" i="12"/>
  <c r="DO758" i="12"/>
  <c r="DO745" i="12"/>
  <c r="DO117" i="7"/>
  <c r="DO115" i="7" s="1"/>
  <c r="DO108" i="7"/>
  <c r="DL99" i="6" l="1"/>
  <c r="DP99" i="6"/>
  <c r="DO759" i="12"/>
  <c r="DO769" i="12"/>
  <c r="DO91" i="13"/>
  <c r="DO196" i="7"/>
  <c r="DO197" i="7" s="1"/>
  <c r="DO770" i="12" l="1"/>
  <c r="DO193" i="7"/>
  <c r="DO11" i="17"/>
  <c r="DS12" i="17" s="1"/>
  <c r="DO57" i="12" l="1"/>
  <c r="DO14" i="17"/>
  <c r="DO60" i="17" s="1"/>
  <c r="DO12" i="17"/>
  <c r="DO194" i="7" l="1"/>
  <c r="DO195" i="7" s="1"/>
  <c r="DO76" i="8"/>
  <c r="DI49" i="11" l="1"/>
  <c r="DI53" i="11" l="1"/>
  <c r="DB55" i="22" l="1"/>
  <c r="DB80" i="22"/>
  <c r="DI22" i="11"/>
  <c r="DI54" i="11"/>
  <c r="DI55" i="11" s="1"/>
  <c r="DI40" i="11" l="1"/>
  <c r="DI67" i="11" l="1"/>
  <c r="DI58" i="11"/>
  <c r="DN72" i="7"/>
  <c r="DN73" i="7"/>
  <c r="DN74" i="7"/>
  <c r="DO20" i="17"/>
  <c r="DL127" i="6"/>
  <c r="DL144" i="6" s="1"/>
  <c r="DL145" i="6" s="1"/>
  <c r="DO86" i="8"/>
  <c r="DO93" i="8"/>
  <c r="DL6" i="6"/>
  <c r="DB61" i="22"/>
  <c r="DB77" i="22"/>
  <c r="DB103" i="22"/>
  <c r="DO16" i="16"/>
  <c r="DO20" i="16"/>
  <c r="DO22" i="16" s="1"/>
  <c r="DO17" i="16" l="1"/>
  <c r="DO18" i="16"/>
  <c r="DI35" i="11"/>
  <c r="DI36" i="11" s="1"/>
  <c r="DI37" i="11" s="1"/>
  <c r="DO24" i="16"/>
  <c r="DL7" i="6"/>
  <c r="DO7" i="13" s="1"/>
  <c r="DO6" i="13"/>
  <c r="DI26" i="11"/>
  <c r="DI27" i="11" s="1"/>
  <c r="DI28" i="11" s="1"/>
  <c r="DO6" i="12"/>
  <c r="DB3" i="22"/>
  <c r="DB4" i="22" s="1"/>
  <c r="DI7" i="11"/>
  <c r="DO6" i="15"/>
  <c r="DO73" i="8"/>
  <c r="DO79" i="8" s="1"/>
  <c r="DO6" i="16"/>
  <c r="DO21" i="16"/>
  <c r="DO6" i="7"/>
  <c r="DO6" i="17"/>
  <c r="DO7" i="8"/>
  <c r="DO6" i="14"/>
  <c r="DI8" i="11" l="1"/>
  <c r="DO8" i="8"/>
  <c r="DO7" i="7"/>
  <c r="DO7" i="15"/>
  <c r="DO7" i="14"/>
  <c r="DO7" i="16"/>
  <c r="DO7" i="17"/>
  <c r="DO7" i="12"/>
  <c r="DO25" i="16"/>
  <c r="DO30" i="16"/>
  <c r="DO33" i="16" s="1"/>
  <c r="DO34" i="16" s="1"/>
  <c r="DO37" i="16"/>
  <c r="DO38" i="16" s="1"/>
  <c r="DI44" i="11"/>
  <c r="DO41" i="16"/>
  <c r="DI62" i="11" l="1"/>
  <c r="DI45" i="11"/>
  <c r="DI46" i="11" s="1"/>
  <c r="DI71" i="11" l="1"/>
  <c r="DI63" i="11"/>
  <c r="DI64" i="11" s="1"/>
  <c r="DO91" i="8"/>
  <c r="DO97" i="8" s="1"/>
  <c r="DB59" i="22" l="1"/>
  <c r="DB60" i="22" s="1"/>
  <c r="DB62" i="22" s="1"/>
  <c r="DI72" i="11"/>
  <c r="DI73" i="11" s="1"/>
  <c r="DI108" i="11"/>
  <c r="DO69" i="8" l="1"/>
  <c r="DO71" i="8"/>
  <c r="DO62" i="8"/>
  <c r="DO63" i="8" s="1"/>
  <c r="DO68" i="8" l="1"/>
  <c r="DB102" i="22" l="1"/>
  <c r="DB104" i="22" s="1"/>
  <c r="X48" i="8" l="1"/>
  <c r="X57" i="8" s="1"/>
  <c r="X43" i="7" l="1"/>
  <c r="X82" i="7" s="1"/>
  <c r="Y43" i="7"/>
  <c r="Y82" i="7" s="1"/>
  <c r="Z83" i="7" s="1"/>
  <c r="X81" i="7"/>
  <c r="Y83" i="7" l="1"/>
  <c r="AA43" i="7"/>
  <c r="AB43" i="7" s="1"/>
  <c r="DQ94" i="8"/>
  <c r="X74" i="6"/>
  <c r="X83" i="7"/>
  <c r="AB82" i="7" l="1"/>
  <c r="AC43" i="7"/>
  <c r="DS94" i="8"/>
  <c r="DR94" i="8"/>
  <c r="X84" i="7"/>
  <c r="X94" i="8"/>
  <c r="AA82" i="7"/>
  <c r="AB83" i="7" l="1"/>
  <c r="AD43" i="7"/>
  <c r="AC82" i="7"/>
  <c r="DT94" i="8"/>
  <c r="X86" i="7"/>
  <c r="X85" i="7"/>
  <c r="AA83" i="7"/>
  <c r="DU94" i="8" l="1"/>
  <c r="AD82" i="7"/>
  <c r="AD83" i="7" s="1"/>
  <c r="AE43" i="7"/>
  <c r="AC83" i="7"/>
  <c r="Y74" i="6" l="1"/>
  <c r="Y84" i="7" s="1"/>
  <c r="Y86" i="7" s="1"/>
  <c r="DW80" i="7"/>
  <c r="DW82" i="7" s="1"/>
  <c r="DW83" i="7" s="1"/>
  <c r="AF43" i="7"/>
  <c r="AE82" i="7"/>
  <c r="AE83" i="7" s="1"/>
  <c r="Y94" i="8" l="1"/>
  <c r="Y85" i="7"/>
  <c r="DV94" i="8"/>
  <c r="DX80" i="7"/>
  <c r="DX82" i="7" s="1"/>
  <c r="DX83" i="7" s="1"/>
  <c r="DW84" i="7"/>
  <c r="DT74" i="6" s="1"/>
  <c r="DW94" i="8" s="1"/>
  <c r="AG43" i="7"/>
  <c r="AG82" i="7" s="1"/>
  <c r="AF82" i="7"/>
  <c r="AF83" i="7" s="1"/>
  <c r="DO72" i="7"/>
  <c r="DO73" i="7"/>
  <c r="DO74" i="7"/>
  <c r="DP93" i="8"/>
  <c r="DY80" i="7" l="1"/>
  <c r="DY82" i="7" s="1"/>
  <c r="DY84" i="7" s="1"/>
  <c r="DV74" i="6" s="1"/>
  <c r="DY94" i="8" s="1"/>
  <c r="DX84" i="7"/>
  <c r="DU74" i="6" s="1"/>
  <c r="AG83" i="7"/>
  <c r="X97" i="7"/>
  <c r="X179" i="7"/>
  <c r="DP193" i="7"/>
  <c r="DP194" i="7"/>
  <c r="DP195" i="7" s="1"/>
  <c r="DP196" i="7"/>
  <c r="DP197" i="7" s="1"/>
  <c r="DP91" i="8"/>
  <c r="DM51" i="6"/>
  <c r="DC102" i="22"/>
  <c r="Z74" i="6" l="1"/>
  <c r="Z84" i="7" s="1"/>
  <c r="Z86" i="7" s="1"/>
  <c r="DY83" i="7"/>
  <c r="DX94" i="8"/>
  <c r="X72" i="6"/>
  <c r="X70" i="6"/>
  <c r="Z94" i="8" l="1"/>
  <c r="Z85" i="7"/>
  <c r="AA85" i="7" s="1"/>
  <c r="AA84" i="7" s="1"/>
  <c r="X90" i="8"/>
  <c r="AB85" i="7" l="1"/>
  <c r="AC85" i="7" s="1"/>
  <c r="AA86" i="7"/>
  <c r="AA74" i="6"/>
  <c r="DP76" i="8"/>
  <c r="AB84" i="7" l="1"/>
  <c r="AB74" i="6" s="1"/>
  <c r="AB94" i="8" s="1"/>
  <c r="AA94" i="8"/>
  <c r="AI74" i="6"/>
  <c r="AC84" i="7"/>
  <c r="AD85" i="7"/>
  <c r="DC59" i="22"/>
  <c r="AB86" i="7" l="1"/>
  <c r="AE85" i="7"/>
  <c r="AD84" i="7"/>
  <c r="AC86" i="7"/>
  <c r="AC74" i="6"/>
  <c r="DC55" i="22"/>
  <c r="DC80" i="22"/>
  <c r="AD86" i="7" l="1"/>
  <c r="AD74" i="6"/>
  <c r="AF85" i="7"/>
  <c r="AE84" i="7"/>
  <c r="DP168" i="7"/>
  <c r="DP174" i="7" s="1"/>
  <c r="DP68" i="8"/>
  <c r="DP69" i="8"/>
  <c r="DP71" i="8"/>
  <c r="DP73" i="8"/>
  <c r="DP77" i="8"/>
  <c r="DP92" i="8"/>
  <c r="DM127" i="6"/>
  <c r="DM144" i="6" s="1"/>
  <c r="AG85" i="7" l="1"/>
  <c r="AG84" i="7" s="1"/>
  <c r="AF84" i="7"/>
  <c r="AE86" i="7"/>
  <c r="AE74" i="6"/>
  <c r="DP79" i="8"/>
  <c r="DP186" i="7"/>
  <c r="DP169" i="7"/>
  <c r="AF86" i="7" l="1"/>
  <c r="AF74" i="6"/>
  <c r="AG74" i="6"/>
  <c r="AG86" i="7"/>
  <c r="X169" i="7"/>
  <c r="X175" i="7" s="1"/>
  <c r="DP175" i="7"/>
  <c r="DP107" i="8"/>
  <c r="DP115" i="8" s="1"/>
  <c r="DP95" i="8" s="1"/>
  <c r="DP110" i="8"/>
  <c r="DP111" i="8"/>
  <c r="DM14" i="6"/>
  <c r="DQ15" i="6" s="1"/>
  <c r="DC37" i="22"/>
  <c r="DC38" i="22" s="1"/>
  <c r="DC46" i="22"/>
  <c r="DC50" i="22" s="1"/>
  <c r="DC56" i="22"/>
  <c r="DC60" i="22" s="1"/>
  <c r="DC84" i="22"/>
  <c r="DC85" i="22"/>
  <c r="DC116" i="22"/>
  <c r="DC117" i="22"/>
  <c r="DC118" i="22"/>
  <c r="DC119" i="22"/>
  <c r="DC133" i="22"/>
  <c r="DC136" i="22"/>
  <c r="DC141" i="22"/>
  <c r="DM15" i="6" l="1"/>
  <c r="DN16" i="6"/>
  <c r="DM35" i="6"/>
  <c r="M6" i="37" s="1"/>
  <c r="M11" i="37" s="1"/>
  <c r="DM30" i="6"/>
  <c r="DQ31" i="6" s="1"/>
  <c r="DM16" i="6"/>
  <c r="X359" i="12"/>
  <c r="DQ36" i="6" l="1"/>
  <c r="Q7" i="37" s="1"/>
  <c r="DM32" i="6"/>
  <c r="DN33" i="6"/>
  <c r="DN32" i="6"/>
  <c r="DM47" i="6"/>
  <c r="DM63" i="6"/>
  <c r="M8" i="37" s="1"/>
  <c r="DM59" i="6"/>
  <c r="DQ60" i="6" s="1"/>
  <c r="DP41" i="17"/>
  <c r="DC51" i="22"/>
  <c r="DC52" i="22" s="1"/>
  <c r="DO71" i="7"/>
  <c r="DM33" i="6"/>
  <c r="DM31" i="6"/>
  <c r="DP19" i="17"/>
  <c r="DP70" i="7"/>
  <c r="DM55" i="6"/>
  <c r="DP143" i="17"/>
  <c r="DM86" i="6"/>
  <c r="DM75" i="6"/>
  <c r="DM69" i="6"/>
  <c r="DM71" i="6"/>
  <c r="DM56" i="6"/>
  <c r="DM50" i="6"/>
  <c r="DM41" i="6"/>
  <c r="DM36" i="6"/>
  <c r="M7" i="37" s="1"/>
  <c r="DM13" i="6"/>
  <c r="DM44" i="6"/>
  <c r="DJ19" i="11"/>
  <c r="DM17" i="6"/>
  <c r="DC76" i="22"/>
  <c r="DP146" i="17"/>
  <c r="X363" i="12"/>
  <c r="DC66" i="22"/>
  <c r="DJ64" i="11" l="1"/>
  <c r="DQ57" i="6"/>
  <c r="DC103" i="22"/>
  <c r="DC104" i="22" s="1"/>
  <c r="DM76" i="6"/>
  <c r="DM79" i="6" s="1"/>
  <c r="DP744" i="12" s="1"/>
  <c r="DM64" i="6"/>
  <c r="M9" i="37" s="1"/>
  <c r="DP92" i="7"/>
  <c r="DC77" i="22"/>
  <c r="DQ92" i="7"/>
  <c r="DQ88" i="7"/>
  <c r="DJ73" i="11"/>
  <c r="DP88" i="7"/>
  <c r="DC61" i="22"/>
  <c r="DC62" i="22" s="1"/>
  <c r="DP94" i="7"/>
  <c r="DP109" i="7"/>
  <c r="DP116" i="7" s="1"/>
  <c r="DM60" i="6"/>
  <c r="DP20" i="17"/>
  <c r="DP95" i="7"/>
  <c r="DM61" i="6"/>
  <c r="DP86" i="8"/>
  <c r="DP97" i="8" s="1"/>
  <c r="DM57" i="6"/>
  <c r="DM58" i="6"/>
  <c r="X364" i="12"/>
  <c r="X365" i="12" s="1"/>
  <c r="X460" i="12"/>
  <c r="DM77" i="6" l="1"/>
  <c r="DP110" i="7"/>
  <c r="DP117" i="7" s="1"/>
  <c r="DP115" i="7" s="1"/>
  <c r="DM88" i="6"/>
  <c r="DP745" i="12"/>
  <c r="DP768" i="12"/>
  <c r="DP758" i="12"/>
  <c r="X370" i="12"/>
  <c r="X469" i="12"/>
  <c r="X461" i="12"/>
  <c r="DM90" i="6" l="1"/>
  <c r="DQ89" i="6"/>
  <c r="DM119" i="6"/>
  <c r="DM92" i="6"/>
  <c r="DM145" i="6" s="1"/>
  <c r="DP108" i="7"/>
  <c r="DM95" i="6"/>
  <c r="M5" i="37" s="1"/>
  <c r="DM89" i="6"/>
  <c r="DQ769" i="12"/>
  <c r="DQ759" i="12"/>
  <c r="X385" i="12"/>
  <c r="X371" i="12"/>
  <c r="DC65" i="22"/>
  <c r="DC70" i="22" s="1"/>
  <c r="X430" i="12"/>
  <c r="DP769" i="12"/>
  <c r="DP759" i="12"/>
  <c r="X387" i="12"/>
  <c r="X417" i="12"/>
  <c r="DM93" i="6" l="1"/>
  <c r="DQ93" i="6"/>
  <c r="DQ96" i="6"/>
  <c r="DM96" i="6"/>
  <c r="DM6" i="6"/>
  <c r="DJ7" i="11" s="1"/>
  <c r="DM98" i="6"/>
  <c r="DQ770" i="12"/>
  <c r="DP770" i="12"/>
  <c r="X433" i="12"/>
  <c r="X434" i="12" s="1"/>
  <c r="X416" i="12"/>
  <c r="X432" i="12"/>
  <c r="X386" i="12"/>
  <c r="X424" i="12"/>
  <c r="DM99" i="6" l="1"/>
  <c r="DQ99" i="6"/>
  <c r="DP6" i="12"/>
  <c r="DM7" i="6"/>
  <c r="DJ8" i="11" s="1"/>
  <c r="DP6" i="13"/>
  <c r="DP6" i="17"/>
  <c r="DP6" i="16"/>
  <c r="DP6" i="7"/>
  <c r="DP6" i="15"/>
  <c r="DP6" i="14"/>
  <c r="DC3" i="22"/>
  <c r="DC4" i="22" s="1"/>
  <c r="DP7" i="8"/>
  <c r="X426" i="12"/>
  <c r="X427" i="12" s="1"/>
  <c r="X27" i="12"/>
  <c r="DP7" i="14" l="1"/>
  <c r="DP7" i="15"/>
  <c r="DP7" i="7"/>
  <c r="DP8" i="8"/>
  <c r="DP7" i="17"/>
  <c r="DP7" i="16"/>
  <c r="DP7" i="13"/>
  <c r="DP7" i="12"/>
  <c r="AA15" i="37"/>
  <c r="X28" i="12"/>
  <c r="AA16" i="37" s="1"/>
  <c r="Y111" i="8" l="1"/>
  <c r="T133" i="22"/>
  <c r="X114" i="17" l="1"/>
  <c r="X134" i="17" s="1"/>
  <c r="S66" i="22" s="1"/>
  <c r="DD66" i="22"/>
  <c r="DQ107" i="8"/>
  <c r="DQ115" i="8" s="1"/>
  <c r="DQ95" i="8" s="1"/>
  <c r="DQ110" i="8"/>
  <c r="DQ111" i="8"/>
  <c r="DD37" i="22"/>
  <c r="DD38" i="22" s="1"/>
  <c r="DD46" i="22"/>
  <c r="DD50" i="22" s="1"/>
  <c r="DD56" i="22"/>
  <c r="DD84" i="22"/>
  <c r="DD85" i="22"/>
  <c r="DD116" i="22"/>
  <c r="DD117" i="22"/>
  <c r="DD118" i="22"/>
  <c r="DD119" i="22"/>
  <c r="DD133" i="22"/>
  <c r="DD136" i="22"/>
  <c r="DD141" i="22"/>
  <c r="DK14" i="11"/>
  <c r="DK18" i="11" s="1"/>
  <c r="DK23" i="11"/>
  <c r="DK32" i="11"/>
  <c r="DK41" i="11"/>
  <c r="DK50" i="11"/>
  <c r="X21" i="12"/>
  <c r="X22" i="12" s="1"/>
  <c r="X25" i="12"/>
  <c r="X38" i="12"/>
  <c r="X23" i="11" s="1"/>
  <c r="X41" i="12"/>
  <c r="X32" i="11" s="1"/>
  <c r="X47" i="12"/>
  <c r="X52" i="12"/>
  <c r="X50" i="11" s="1"/>
  <c r="X117" i="12"/>
  <c r="X118" i="12"/>
  <c r="X119" i="12"/>
  <c r="AA20" i="37" s="1"/>
  <c r="X120" i="12"/>
  <c r="AA21" i="37" s="1"/>
  <c r="X122" i="12"/>
  <c r="X156" i="12"/>
  <c r="X157" i="12" s="1"/>
  <c r="X176" i="12"/>
  <c r="X223" i="12" s="1"/>
  <c r="X177" i="12"/>
  <c r="X246" i="12"/>
  <c r="X247" i="12" s="1"/>
  <c r="X254" i="12"/>
  <c r="X221" i="12" s="1"/>
  <c r="X255" i="12"/>
  <c r="X263" i="12"/>
  <c r="X281" i="12"/>
  <c r="X282" i="12" s="1"/>
  <c r="X286" i="12"/>
  <c r="X287" i="12"/>
  <c r="X292" i="12"/>
  <c r="X293" i="12" s="1"/>
  <c r="X314" i="12"/>
  <c r="X315" i="12" s="1"/>
  <c r="X360" i="12"/>
  <c r="X368" i="12"/>
  <c r="X380" i="12"/>
  <c r="X396" i="12"/>
  <c r="X398" i="12"/>
  <c r="X419" i="12"/>
  <c r="X421" i="12" s="1"/>
  <c r="X471" i="12"/>
  <c r="X473" i="12" s="1"/>
  <c r="X26" i="12" l="1"/>
  <c r="AA14" i="37" s="1"/>
  <c r="X381" i="12"/>
  <c r="X390" i="12" s="1"/>
  <c r="X453" i="12"/>
  <c r="Y361" i="12"/>
  <c r="X550" i="12"/>
  <c r="X505" i="12" s="1"/>
  <c r="AA19" i="37"/>
  <c r="X327" i="12"/>
  <c r="X294" i="12"/>
  <c r="S138" i="22" s="1"/>
  <c r="X502" i="12"/>
  <c r="X539" i="12"/>
  <c r="X179" i="12"/>
  <c r="X316" i="12" s="1"/>
  <c r="X317" i="12" s="1"/>
  <c r="X516" i="12"/>
  <c r="X519" i="12" s="1"/>
  <c r="X524" i="12" s="1"/>
  <c r="X472" i="12"/>
  <c r="X50" i="12"/>
  <c r="X39" i="12"/>
  <c r="X60" i="12"/>
  <c r="X53" i="12"/>
  <c r="X42" i="12"/>
  <c r="X248" i="12"/>
  <c r="X249" i="12"/>
  <c r="X250" i="12" s="1"/>
  <c r="X394" i="12"/>
  <c r="X395" i="12" s="1"/>
  <c r="X425" i="12" s="1"/>
  <c r="X284" i="12"/>
  <c r="X285" i="12" s="1"/>
  <c r="X31" i="12"/>
  <c r="X54" i="12" s="1"/>
  <c r="X557" i="12"/>
  <c r="DD51" i="22"/>
  <c r="DD52" i="22" s="1"/>
  <c r="X283" i="12"/>
  <c r="DD76" i="22"/>
  <c r="X264" i="12"/>
  <c r="X265" i="12"/>
  <c r="X389" i="12"/>
  <c r="X126" i="12"/>
  <c r="S117" i="22"/>
  <c r="X125" i="12"/>
  <c r="X219" i="12"/>
  <c r="S141" i="22"/>
  <c r="X131" i="12"/>
  <c r="S116" i="22"/>
  <c r="S97" i="22"/>
  <c r="S98" i="22" s="1"/>
  <c r="X158" i="12"/>
  <c r="S136" i="22" s="1"/>
  <c r="X130" i="12"/>
  <c r="X222" i="12"/>
  <c r="X181" i="12"/>
  <c r="X180" i="12"/>
  <c r="X127" i="12"/>
  <c r="X132" i="12"/>
  <c r="AA13" i="37"/>
  <c r="X48" i="12"/>
  <c r="DK59" i="11"/>
  <c r="DK68" i="11" s="1"/>
  <c r="X41" i="11"/>
  <c r="X35" i="6"/>
  <c r="DP71" i="7"/>
  <c r="X136" i="17"/>
  <c r="X135" i="17"/>
  <c r="X115" i="17"/>
  <c r="X110" i="8"/>
  <c r="X116" i="17"/>
  <c r="X118" i="17"/>
  <c r="X391" i="12" l="1"/>
  <c r="X379" i="12"/>
  <c r="X336" i="12"/>
  <c r="X337" i="12" s="1"/>
  <c r="X14" i="6"/>
  <c r="X15" i="6" s="1"/>
  <c r="X61" i="12"/>
  <c r="X63" i="12"/>
  <c r="DQ19" i="17"/>
  <c r="DQ41" i="17"/>
  <c r="DQ143" i="17"/>
  <c r="DQ146" i="17"/>
  <c r="X429" i="12"/>
  <c r="X65" i="12"/>
  <c r="X40" i="12"/>
  <c r="X62" i="12"/>
  <c r="X69" i="12"/>
  <c r="X72" i="12" s="1"/>
  <c r="X43" i="12"/>
  <c r="X32" i="12"/>
  <c r="X78" i="12"/>
  <c r="X19" i="7"/>
  <c r="X14" i="11"/>
  <c r="X18" i="11" s="1"/>
  <c r="X49" i="12"/>
  <c r="X500" i="12"/>
  <c r="X545" i="12" s="1"/>
  <c r="X109" i="8" s="1"/>
  <c r="DK19" i="11"/>
  <c r="X119" i="17"/>
  <c r="X120" i="17"/>
  <c r="X16" i="7"/>
  <c r="W330" i="12"/>
  <c r="X128" i="12"/>
  <c r="X17" i="17"/>
  <c r="X133" i="12"/>
  <c r="AA23" i="37"/>
  <c r="S137" i="22"/>
  <c r="X69" i="6"/>
  <c r="X71" i="6"/>
  <c r="X75" i="6"/>
  <c r="X36" i="6"/>
  <c r="AA6" i="37"/>
  <c r="X86" i="6"/>
  <c r="J7" i="5"/>
  <c r="X30" i="6" l="1"/>
  <c r="X17" i="6" s="1"/>
  <c r="X79" i="12"/>
  <c r="X71" i="12"/>
  <c r="X70" i="12"/>
  <c r="X81" i="12"/>
  <c r="X28" i="8"/>
  <c r="X68" i="11"/>
  <c r="X77" i="11" s="1"/>
  <c r="S56" i="22"/>
  <c r="AA17" i="37"/>
  <c r="AA18" i="37" s="1"/>
  <c r="X107" i="8"/>
  <c r="X80" i="12"/>
  <c r="X67" i="12"/>
  <c r="X66" i="12"/>
  <c r="X87" i="12"/>
  <c r="X59" i="11"/>
  <c r="AA7" i="37"/>
  <c r="J8" i="5"/>
  <c r="X38" i="8"/>
  <c r="DQ92" i="8"/>
  <c r="DQ77" i="8"/>
  <c r="X18" i="17"/>
  <c r="X128" i="17"/>
  <c r="W331" i="12"/>
  <c r="W346" i="12"/>
  <c r="W347" i="12" s="1"/>
  <c r="X27" i="8"/>
  <c r="S51" i="22" l="1"/>
  <c r="S52" i="22" s="1"/>
  <c r="X70" i="7"/>
  <c r="X13" i="6"/>
  <c r="S76" i="22"/>
  <c r="S87" i="22" s="1"/>
  <c r="X31" i="6"/>
  <c r="X19" i="17"/>
  <c r="X71" i="7"/>
  <c r="X33" i="6"/>
  <c r="X19" i="11"/>
  <c r="X163" i="6"/>
  <c r="X115" i="8"/>
  <c r="X95" i="8" s="1"/>
  <c r="X90" i="12"/>
  <c r="X92" i="12"/>
  <c r="X108" i="17"/>
  <c r="X92" i="8"/>
  <c r="X121" i="8"/>
  <c r="X77" i="8"/>
  <c r="X129" i="17"/>
  <c r="K11" i="35"/>
  <c r="AA10" i="37"/>
  <c r="AA11" i="37" s="1"/>
  <c r="J13" i="5"/>
  <c r="J14" i="5" s="1"/>
  <c r="X168" i="7"/>
  <c r="O88" i="35" l="1"/>
  <c r="O91" i="35" s="1"/>
  <c r="O92" i="35" s="1"/>
  <c r="Q88" i="35"/>
  <c r="Q91" i="35" s="1"/>
  <c r="Q92" i="35" s="1"/>
  <c r="R88" i="35"/>
  <c r="R91" i="35" s="1"/>
  <c r="R92" i="35" s="1"/>
  <c r="S88" i="35"/>
  <c r="S91" i="35" s="1"/>
  <c r="S92" i="35" s="1"/>
  <c r="P88" i="35"/>
  <c r="P91" i="35" s="1"/>
  <c r="P92" i="35" s="1"/>
  <c r="T88" i="35"/>
  <c r="T91" i="35" s="1"/>
  <c r="T92" i="35" s="1"/>
  <c r="N88" i="35"/>
  <c r="N91" i="35" s="1"/>
  <c r="N92" i="35" s="1"/>
  <c r="F88" i="35"/>
  <c r="F91" i="35" s="1"/>
  <c r="F92" i="35" s="1"/>
  <c r="M88" i="35"/>
  <c r="M91" i="35" s="1"/>
  <c r="M92" i="35" s="1"/>
  <c r="I88" i="35"/>
  <c r="I91" i="35" s="1"/>
  <c r="I92" i="35" s="1"/>
  <c r="E88" i="35"/>
  <c r="E91" i="35" s="1"/>
  <c r="E92" i="35" s="1"/>
  <c r="L88" i="35"/>
  <c r="L91" i="35" s="1"/>
  <c r="L92" i="35" s="1"/>
  <c r="H88" i="35"/>
  <c r="H91" i="35" s="1"/>
  <c r="H92" i="35" s="1"/>
  <c r="D88" i="35"/>
  <c r="D91" i="35" s="1"/>
  <c r="D92" i="35" s="1"/>
  <c r="K88" i="35"/>
  <c r="K91" i="35" s="1"/>
  <c r="K92" i="35" s="1"/>
  <c r="G88" i="35"/>
  <c r="G91" i="35" s="1"/>
  <c r="G92" i="35" s="1"/>
  <c r="C89" i="35"/>
  <c r="J88" i="35"/>
  <c r="J91" i="35" s="1"/>
  <c r="J92" i="35" s="1"/>
  <c r="C88" i="35"/>
  <c r="X93" i="12"/>
  <c r="X94" i="12"/>
  <c r="X537" i="12"/>
  <c r="X547" i="12" s="1"/>
  <c r="X95" i="12"/>
  <c r="X96" i="12"/>
  <c r="X528" i="12"/>
  <c r="X531" i="12" s="1"/>
  <c r="X532" i="12" s="1"/>
  <c r="X131" i="17"/>
  <c r="X109" i="17"/>
  <c r="X111" i="17"/>
  <c r="X110" i="17"/>
  <c r="AA33" i="37"/>
  <c r="X171" i="7"/>
  <c r="DD65" i="22"/>
  <c r="DD70" i="22" s="1"/>
  <c r="C91" i="35" l="1"/>
  <c r="C92" i="35" s="1"/>
  <c r="X696" i="12"/>
  <c r="X697" i="12" s="1"/>
  <c r="X698" i="12" s="1"/>
  <c r="X568" i="12"/>
  <c r="X570" i="12" s="1"/>
  <c r="X163" i="7"/>
  <c r="Y167" i="7"/>
  <c r="X172" i="7"/>
  <c r="X132" i="17"/>
  <c r="S65" i="22"/>
  <c r="S70" i="22" s="1"/>
  <c r="X142" i="17"/>
  <c r="X145" i="17"/>
  <c r="Y569" i="12" l="1"/>
  <c r="X499" i="12"/>
  <c r="X504" i="12" s="1"/>
  <c r="X510" i="12" s="1"/>
  <c r="X533" i="12" s="1"/>
  <c r="X143" i="17"/>
  <c r="K112" i="35"/>
  <c r="X185" i="7"/>
  <c r="X174" i="7"/>
  <c r="X146" i="17"/>
  <c r="X147" i="17"/>
  <c r="X21" i="7"/>
  <c r="DQ196" i="7"/>
  <c r="DQ197" i="7" s="1"/>
  <c r="X178" i="7"/>
  <c r="X188" i="7" s="1"/>
  <c r="DQ91" i="13"/>
  <c r="X571" i="12" l="1"/>
  <c r="DQ193" i="7"/>
  <c r="X34" i="17"/>
  <c r="X181" i="7"/>
  <c r="X186" i="7"/>
  <c r="X184" i="7"/>
  <c r="X190" i="7"/>
  <c r="X196" i="7"/>
  <c r="X197" i="7" s="1"/>
  <c r="X164" i="7" l="1"/>
  <c r="X165" i="7" s="1"/>
  <c r="Y177" i="7"/>
  <c r="X182" i="7"/>
  <c r="DQ57" i="12"/>
  <c r="X26" i="17"/>
  <c r="X46" i="17"/>
  <c r="X51" i="6"/>
  <c r="X48" i="6" s="1"/>
  <c r="X11" i="17"/>
  <c r="X36" i="17"/>
  <c r="X35" i="17"/>
  <c r="X192" i="7" l="1"/>
  <c r="X193" i="7" s="1"/>
  <c r="X50" i="6"/>
  <c r="X49" i="6"/>
  <c r="X50" i="17"/>
  <c r="X55" i="12"/>
  <c r="X12" i="17"/>
  <c r="X14" i="17"/>
  <c r="X15" i="17" s="1"/>
  <c r="X29" i="17"/>
  <c r="X30" i="17"/>
  <c r="X27" i="17"/>
  <c r="X58" i="17"/>
  <c r="X37" i="17"/>
  <c r="X40" i="17"/>
  <c r="X17" i="8"/>
  <c r="X76" i="8" s="1"/>
  <c r="DQ76" i="8"/>
  <c r="X22" i="7"/>
  <c r="DQ194" i="7"/>
  <c r="DQ195" i="7" s="1"/>
  <c r="X56" i="12" l="1"/>
  <c r="X57" i="12"/>
  <c r="X194" i="7"/>
  <c r="X195" i="7" s="1"/>
  <c r="X23" i="7"/>
  <c r="DK49" i="11"/>
  <c r="X93" i="13"/>
  <c r="X41" i="17"/>
  <c r="X45" i="17"/>
  <c r="X59" i="17"/>
  <c r="X60" i="17" s="1"/>
  <c r="X111" i="7" l="1"/>
  <c r="X118" i="7" s="1"/>
  <c r="DK53" i="11"/>
  <c r="X49" i="11"/>
  <c r="X54" i="11" s="1"/>
  <c r="X55" i="11" s="1"/>
  <c r="X81" i="13"/>
  <c r="DD55" i="22" l="1"/>
  <c r="DD80" i="22"/>
  <c r="X87" i="13"/>
  <c r="DK22" i="11"/>
  <c r="DK54" i="11"/>
  <c r="DK55" i="11" s="1"/>
  <c r="X130" i="13"/>
  <c r="X82" i="13"/>
  <c r="X133" i="13"/>
  <c r="DK40" i="11" l="1"/>
  <c r="S55" i="22"/>
  <c r="AA31" i="37"/>
  <c r="AA32" i="37" s="1"/>
  <c r="S80" i="22"/>
  <c r="X134" i="13"/>
  <c r="X131" i="13" s="1"/>
  <c r="X135" i="13"/>
  <c r="X22" i="11"/>
  <c r="X88" i="13"/>
  <c r="X40" i="11" l="1"/>
  <c r="DK58" i="11"/>
  <c r="DK67" i="11"/>
  <c r="X58" i="11" l="1"/>
  <c r="X67" i="11"/>
  <c r="X76" i="11" l="1"/>
  <c r="DN9" i="14" l="1"/>
  <c r="DA112" i="22" s="1"/>
  <c r="DN62" i="14"/>
  <c r="DN59" i="14" s="1"/>
  <c r="DP62" i="14"/>
  <c r="DQ62" i="14"/>
  <c r="DN25" i="14" l="1"/>
  <c r="DN11" i="14"/>
  <c r="DO59" i="14"/>
  <c r="DN60" i="14"/>
  <c r="DN71" i="14"/>
  <c r="DN61" i="14"/>
  <c r="DO9" i="14"/>
  <c r="DN10" i="14"/>
  <c r="DO10" i="14" l="1"/>
  <c r="DO11" i="14"/>
  <c r="DO25" i="14"/>
  <c r="DP9" i="14"/>
  <c r="DB112" i="22"/>
  <c r="DO60" i="14"/>
  <c r="DO61" i="14"/>
  <c r="DO71" i="14"/>
  <c r="DP59" i="14"/>
  <c r="DR9" i="14" l="1"/>
  <c r="DS9" i="14" s="1"/>
  <c r="DP11" i="14"/>
  <c r="DP10" i="14"/>
  <c r="DC112" i="22"/>
  <c r="DP25" i="14"/>
  <c r="DQ59" i="14"/>
  <c r="DR59" i="14" s="1"/>
  <c r="DS59" i="14" s="1"/>
  <c r="DP71" i="14"/>
  <c r="DP61" i="14"/>
  <c r="DP60" i="14"/>
  <c r="DS71" i="14" l="1"/>
  <c r="DS60" i="14"/>
  <c r="DS61" i="14"/>
  <c r="DS11" i="14"/>
  <c r="DS10" i="14"/>
  <c r="DS25" i="14"/>
  <c r="DR71" i="14"/>
  <c r="DR60" i="14"/>
  <c r="DR61" i="14"/>
  <c r="DR10" i="14"/>
  <c r="DR25" i="14"/>
  <c r="DR11" i="14"/>
  <c r="DE112" i="22"/>
  <c r="DQ60" i="14"/>
  <c r="DQ61" i="14"/>
  <c r="DQ71" i="14"/>
  <c r="P59" i="14"/>
  <c r="P9" i="14"/>
  <c r="DQ10" i="14"/>
  <c r="DQ25" i="14"/>
  <c r="DQ11" i="14"/>
  <c r="DD112" i="22"/>
  <c r="P61" i="14" l="1"/>
  <c r="P62" i="14"/>
  <c r="DF112" i="22"/>
  <c r="P25" i="14"/>
  <c r="S112" i="22"/>
  <c r="P11" i="14"/>
  <c r="P12" i="14"/>
  <c r="P71" i="14"/>
  <c r="DT9" i="14" l="1"/>
  <c r="DG112" i="22" s="1"/>
  <c r="DF113" i="22"/>
  <c r="DF114" i="22" l="1"/>
  <c r="DT10" i="14"/>
  <c r="DH112" i="22"/>
  <c r="DT11" i="14"/>
  <c r="DG113" i="22" l="1"/>
  <c r="DG114" i="22"/>
  <c r="Q59" i="14"/>
  <c r="DH113" i="22"/>
  <c r="DH114" i="22"/>
  <c r="Q9" i="14"/>
  <c r="R61" i="14" l="1"/>
  <c r="R62" i="14"/>
  <c r="R11" i="14"/>
  <c r="R12" i="14"/>
  <c r="S12" i="14" s="1"/>
  <c r="Q23" i="14"/>
  <c r="Q11" i="14"/>
  <c r="Q12" i="14"/>
  <c r="T112" i="22"/>
  <c r="Q69" i="14"/>
  <c r="Q61" i="14"/>
  <c r="Q62" i="14"/>
  <c r="T12" i="14" l="1"/>
  <c r="S62" i="14"/>
  <c r="S59" i="14" s="1"/>
  <c r="R72" i="14"/>
  <c r="R70" i="14"/>
  <c r="R26" i="14"/>
  <c r="R24" i="14"/>
  <c r="Q70" i="14"/>
  <c r="Q71" i="14"/>
  <c r="Q73" i="14"/>
  <c r="Q72" i="14"/>
  <c r="T114" i="22"/>
  <c r="S9" i="14"/>
  <c r="U112" i="22"/>
  <c r="Q24" i="14"/>
  <c r="Q25" i="14"/>
  <c r="Q26" i="14"/>
  <c r="T113" i="22"/>
  <c r="Q27" i="14"/>
  <c r="T62" i="14" l="1"/>
  <c r="T59" i="14" s="1"/>
  <c r="U12" i="14"/>
  <c r="T9" i="14"/>
  <c r="W112" i="22" s="1"/>
  <c r="Q74" i="14"/>
  <c r="R74" i="14"/>
  <c r="Q28" i="14"/>
  <c r="R28" i="14"/>
  <c r="S61" i="14"/>
  <c r="S11" i="14"/>
  <c r="V112" i="22"/>
  <c r="S71" i="14"/>
  <c r="S25" i="14"/>
  <c r="T11" i="14" l="1"/>
  <c r="U9" i="14"/>
  <c r="X112" i="22" s="1"/>
  <c r="V12" i="14"/>
  <c r="U62" i="14"/>
  <c r="U59" i="14" s="1"/>
  <c r="T61" i="14"/>
  <c r="S23" i="14"/>
  <c r="S27" i="14" s="1"/>
  <c r="T25" i="14"/>
  <c r="S69" i="14"/>
  <c r="T71" i="14"/>
  <c r="U114" i="22"/>
  <c r="U113" i="22"/>
  <c r="U11" i="14" l="1"/>
  <c r="V9" i="14"/>
  <c r="Y112" i="22" s="1"/>
  <c r="V62" i="14"/>
  <c r="V59" i="14" s="1"/>
  <c r="W12" i="14"/>
  <c r="S26" i="14"/>
  <c r="S24" i="14"/>
  <c r="V113" i="22"/>
  <c r="U25" i="14"/>
  <c r="T23" i="14"/>
  <c r="T69" i="14"/>
  <c r="U71" i="14"/>
  <c r="U61" i="14"/>
  <c r="S72" i="14"/>
  <c r="V114" i="22"/>
  <c r="S70" i="14"/>
  <c r="S28" i="14"/>
  <c r="X56" i="7"/>
  <c r="X61" i="7" s="1"/>
  <c r="DP72" i="7"/>
  <c r="DP73" i="7"/>
  <c r="DP74" i="7"/>
  <c r="DQ20" i="17"/>
  <c r="DN127" i="6"/>
  <c r="DN144" i="6" s="1"/>
  <c r="DN145" i="6" s="1"/>
  <c r="DQ86" i="8"/>
  <c r="DQ93" i="8"/>
  <c r="DN6" i="6"/>
  <c r="DN7" i="6" s="1"/>
  <c r="X39" i="6"/>
  <c r="X41" i="6" s="1"/>
  <c r="X42" i="6"/>
  <c r="X43" i="6" s="1"/>
  <c r="X45" i="6"/>
  <c r="X46" i="6" s="1"/>
  <c r="X78" i="6"/>
  <c r="DD61" i="22"/>
  <c r="DD77" i="22"/>
  <c r="DD103" i="22"/>
  <c r="DQ16" i="16"/>
  <c r="DU17" i="16" s="1"/>
  <c r="DQ20" i="16"/>
  <c r="DU21" i="16" s="1"/>
  <c r="V11" i="14" l="1"/>
  <c r="W9" i="14"/>
  <c r="Z112" i="22" s="1"/>
  <c r="X12" i="14"/>
  <c r="X9" i="14" s="1"/>
  <c r="AA112" i="22" s="1"/>
  <c r="W62" i="14"/>
  <c r="T72" i="14"/>
  <c r="W114" i="22"/>
  <c r="T26" i="14"/>
  <c r="W113" i="22"/>
  <c r="X20" i="16"/>
  <c r="X21" i="16" s="1"/>
  <c r="DQ22" i="16"/>
  <c r="X16" i="16"/>
  <c r="X26" i="11" s="1"/>
  <c r="X27" i="11" s="1"/>
  <c r="X28" i="11" s="1"/>
  <c r="DQ18" i="16"/>
  <c r="T70" i="14"/>
  <c r="W11" i="14"/>
  <c r="V71" i="14"/>
  <c r="U69" i="14"/>
  <c r="X114" i="22" s="1"/>
  <c r="T24" i="14"/>
  <c r="T27" i="14"/>
  <c r="T28" i="14" s="1"/>
  <c r="W59" i="14"/>
  <c r="V61" i="14"/>
  <c r="V25" i="14"/>
  <c r="U23" i="14"/>
  <c r="X113" i="22" s="1"/>
  <c r="X40" i="6"/>
  <c r="DQ6" i="15"/>
  <c r="X53" i="6"/>
  <c r="X56" i="6" s="1"/>
  <c r="X57" i="6" s="1"/>
  <c r="X44" i="6"/>
  <c r="X63" i="6"/>
  <c r="X64" i="6" s="1"/>
  <c r="AA9" i="37" s="1"/>
  <c r="DQ7" i="15"/>
  <c r="DQ7" i="12"/>
  <c r="DQ6" i="12"/>
  <c r="DQ6" i="13"/>
  <c r="DK7" i="11"/>
  <c r="DQ6" i="16"/>
  <c r="DD3" i="22"/>
  <c r="DD4" i="22" s="1"/>
  <c r="X59" i="6"/>
  <c r="X61" i="6" s="1"/>
  <c r="DK26" i="11"/>
  <c r="DK27" i="11" s="1"/>
  <c r="DK28" i="11" s="1"/>
  <c r="DK35" i="11"/>
  <c r="DK36" i="11" s="1"/>
  <c r="DK37" i="11" s="1"/>
  <c r="DQ24" i="16"/>
  <c r="DK8" i="11"/>
  <c r="DQ73" i="8"/>
  <c r="DQ79" i="8" s="1"/>
  <c r="DQ7" i="13"/>
  <c r="DQ7" i="16"/>
  <c r="X76" i="6"/>
  <c r="K100" i="35" s="1"/>
  <c r="K103" i="35" s="1"/>
  <c r="DQ21" i="16"/>
  <c r="DQ17" i="16"/>
  <c r="DQ6" i="7"/>
  <c r="DQ6" i="17"/>
  <c r="DQ7" i="8"/>
  <c r="DQ6" i="14"/>
  <c r="K109" i="35"/>
  <c r="X93" i="8"/>
  <c r="X47" i="6"/>
  <c r="DQ7" i="7"/>
  <c r="DQ7" i="17"/>
  <c r="DQ8" i="8"/>
  <c r="DQ7" i="14"/>
  <c r="X12" i="8"/>
  <c r="X87" i="7"/>
  <c r="X17" i="16" l="1"/>
  <c r="DQ25" i="16"/>
  <c r="DU25" i="16"/>
  <c r="X62" i="14"/>
  <c r="X59" i="14" s="1"/>
  <c r="Y12" i="14"/>
  <c r="Y62" i="14" s="1"/>
  <c r="X35" i="11"/>
  <c r="X36" i="11" s="1"/>
  <c r="X37" i="11" s="1"/>
  <c r="U72" i="14"/>
  <c r="U70" i="14"/>
  <c r="W61" i="14"/>
  <c r="W71" i="14"/>
  <c r="V69" i="14"/>
  <c r="Y114" i="22" s="1"/>
  <c r="U26" i="14"/>
  <c r="U24" i="14"/>
  <c r="U27" i="14"/>
  <c r="U28" i="14" s="1"/>
  <c r="Y9" i="14"/>
  <c r="X11" i="14"/>
  <c r="W25" i="14"/>
  <c r="V23" i="14"/>
  <c r="Y113" i="22" s="1"/>
  <c r="X161" i="6"/>
  <c r="X165" i="6" s="1"/>
  <c r="X166" i="6" s="1"/>
  <c r="X20" i="17"/>
  <c r="X94" i="7"/>
  <c r="X109" i="7"/>
  <c r="X116" i="7" s="1"/>
  <c r="X58" i="6"/>
  <c r="X54" i="6"/>
  <c r="X55" i="6"/>
  <c r="X86" i="8"/>
  <c r="AA8" i="37"/>
  <c r="J10" i="5"/>
  <c r="J11" i="5" s="1"/>
  <c r="D47" i="5"/>
  <c r="X88" i="7"/>
  <c r="X95" i="7"/>
  <c r="X60" i="6"/>
  <c r="S61" i="22"/>
  <c r="S103" i="22"/>
  <c r="S77" i="22"/>
  <c r="S92" i="22" s="1"/>
  <c r="X24" i="16"/>
  <c r="DQ41" i="16"/>
  <c r="DK44" i="11"/>
  <c r="DQ30" i="16"/>
  <c r="DQ33" i="16" s="1"/>
  <c r="DQ37" i="16"/>
  <c r="X77" i="6"/>
  <c r="X79" i="6"/>
  <c r="X110" i="7" s="1"/>
  <c r="X117" i="7" s="1"/>
  <c r="X88" i="6"/>
  <c r="X95" i="6" s="1"/>
  <c r="X122" i="6"/>
  <c r="X123" i="6" s="1"/>
  <c r="K106" i="35"/>
  <c r="K107" i="35" s="1"/>
  <c r="K110" i="35"/>
  <c r="J12" i="5"/>
  <c r="X49" i="7"/>
  <c r="X17" i="7"/>
  <c r="X39" i="7"/>
  <c r="X30" i="8"/>
  <c r="C39" i="5" l="1"/>
  <c r="C41" i="5" s="1"/>
  <c r="DQ34" i="16"/>
  <c r="DU34" i="16"/>
  <c r="DQ38" i="16"/>
  <c r="DU38" i="16"/>
  <c r="Y11" i="14"/>
  <c r="AB112" i="22"/>
  <c r="V24" i="14"/>
  <c r="V27" i="14"/>
  <c r="V28" i="14" s="1"/>
  <c r="V70" i="14"/>
  <c r="W23" i="14"/>
  <c r="Z113" i="22" s="1"/>
  <c r="X25" i="14"/>
  <c r="V26" i="14"/>
  <c r="W69" i="14"/>
  <c r="X71" i="14"/>
  <c r="V72" i="14"/>
  <c r="X61" i="14"/>
  <c r="Y59" i="14"/>
  <c r="Y61" i="14" s="1"/>
  <c r="D48" i="5"/>
  <c r="D51" i="5"/>
  <c r="D52" i="5"/>
  <c r="D49" i="5"/>
  <c r="D50" i="5"/>
  <c r="X44" i="11"/>
  <c r="X37" i="16"/>
  <c r="X25" i="16"/>
  <c r="X41" i="16"/>
  <c r="X30" i="16"/>
  <c r="DK45" i="11"/>
  <c r="DK46" i="11" s="1"/>
  <c r="DK62" i="11"/>
  <c r="X92" i="6"/>
  <c r="X73" i="8" s="1"/>
  <c r="X79" i="8" s="1"/>
  <c r="X744" i="12"/>
  <c r="X745" i="12" s="1"/>
  <c r="X90" i="6"/>
  <c r="X89" i="6"/>
  <c r="X119" i="6"/>
  <c r="X6" i="6"/>
  <c r="X96" i="6"/>
  <c r="X98" i="6"/>
  <c r="X99" i="6" s="1"/>
  <c r="AA5" i="37"/>
  <c r="X72" i="7"/>
  <c r="X43" i="8"/>
  <c r="X44" i="8" s="1"/>
  <c r="X29" i="8"/>
  <c r="X42" i="7"/>
  <c r="X50" i="7" s="1"/>
  <c r="X62" i="7" s="1"/>
  <c r="X73" i="7"/>
  <c r="X74" i="7"/>
  <c r="C43" i="5" l="1"/>
  <c r="C40" i="5"/>
  <c r="C44" i="5"/>
  <c r="C42" i="5"/>
  <c r="W72" i="14"/>
  <c r="Z114" i="22"/>
  <c r="Y25" i="14"/>
  <c r="Y23" i="14" s="1"/>
  <c r="AB113" i="22" s="1"/>
  <c r="X23" i="14"/>
  <c r="X69" i="14"/>
  <c r="Y71" i="14"/>
  <c r="Y69" i="14" s="1"/>
  <c r="AB114" i="22" s="1"/>
  <c r="W24" i="14"/>
  <c r="W27" i="14"/>
  <c r="W28" i="14" s="1"/>
  <c r="W70" i="14"/>
  <c r="W26" i="14"/>
  <c r="X759" i="12"/>
  <c r="X93" i="6"/>
  <c r="X45" i="11"/>
  <c r="X46" i="11" s="1"/>
  <c r="X62" i="11"/>
  <c r="X33" i="16"/>
  <c r="X34" i="16" s="1"/>
  <c r="X31" i="16"/>
  <c r="X769" i="12"/>
  <c r="DK63" i="11"/>
  <c r="DK64" i="11" s="1"/>
  <c r="DK71" i="11"/>
  <c r="X38" i="16"/>
  <c r="S59" i="22"/>
  <c r="S60" i="22" s="1"/>
  <c r="S62" i="22" s="1"/>
  <c r="X127" i="6"/>
  <c r="X144" i="6" s="1"/>
  <c r="X145" i="6" s="1"/>
  <c r="X6" i="16"/>
  <c r="X7" i="11"/>
  <c r="X6" i="13"/>
  <c r="X6" i="12"/>
  <c r="X7" i="8"/>
  <c r="X6" i="15"/>
  <c r="P6" i="14"/>
  <c r="X6" i="7"/>
  <c r="X7" i="6"/>
  <c r="X6" i="17"/>
  <c r="S3" i="22"/>
  <c r="S4" i="22" s="1"/>
  <c r="X51" i="7"/>
  <c r="X32" i="8"/>
  <c r="DQ91" i="8"/>
  <c r="DQ97" i="8" s="1"/>
  <c r="X72" i="14" l="1"/>
  <c r="AA114" i="22"/>
  <c r="X26" i="14"/>
  <c r="AA113" i="22"/>
  <c r="Y70" i="14"/>
  <c r="Y72" i="14"/>
  <c r="X70" i="14"/>
  <c r="X24" i="14"/>
  <c r="Y26" i="14"/>
  <c r="X27" i="14"/>
  <c r="X28" i="14" s="1"/>
  <c r="Y24" i="14"/>
  <c r="Y27" i="14"/>
  <c r="X770" i="12"/>
  <c r="DD59" i="22"/>
  <c r="DD60" i="22" s="1"/>
  <c r="DD62" i="22" s="1"/>
  <c r="DK108" i="11"/>
  <c r="DK72" i="11"/>
  <c r="DK73" i="11" s="1"/>
  <c r="X63" i="11"/>
  <c r="X64" i="11" s="1"/>
  <c r="X71" i="11"/>
  <c r="X7" i="7"/>
  <c r="X8" i="8"/>
  <c r="X7" i="16"/>
  <c r="X7" i="15"/>
  <c r="X7" i="13"/>
  <c r="X7" i="12"/>
  <c r="P7" i="14"/>
  <c r="X8" i="11"/>
  <c r="X7" i="17"/>
  <c r="X91" i="8"/>
  <c r="X97" i="8" s="1"/>
  <c r="X102" i="8" s="1"/>
  <c r="X34" i="8"/>
  <c r="Y28" i="14" l="1"/>
  <c r="X108" i="11"/>
  <c r="X72" i="11"/>
  <c r="X80" i="11"/>
  <c r="K111" i="35"/>
  <c r="K113" i="35" s="1"/>
  <c r="X65" i="8"/>
  <c r="X120" i="8"/>
  <c r="X122" i="8" s="1"/>
  <c r="X124" i="8" s="1"/>
  <c r="X59" i="8"/>
  <c r="X61" i="8" s="1"/>
  <c r="X124" i="6"/>
  <c r="D55" i="5"/>
  <c r="X35" i="8"/>
  <c r="DQ71" i="8"/>
  <c r="DQ69" i="8"/>
  <c r="X81" i="11" l="1"/>
  <c r="X73" i="11"/>
  <c r="DQ68" i="8"/>
  <c r="DQ62" i="8"/>
  <c r="DQ63" i="8" s="1"/>
  <c r="K117" i="35"/>
  <c r="J126" i="35"/>
  <c r="X13" i="7"/>
  <c r="D57" i="5"/>
  <c r="D59" i="5"/>
  <c r="D56" i="5"/>
  <c r="D58" i="5"/>
  <c r="D60" i="5"/>
  <c r="X71" i="8"/>
  <c r="X66" i="8"/>
  <c r="X69" i="8" s="1"/>
  <c r="X701" i="12"/>
  <c r="X702" i="12" s="1"/>
  <c r="X703" i="12" s="1"/>
  <c r="X704" i="12" s="1"/>
  <c r="DD102" i="22" l="1"/>
  <c r="DD104" i="22" s="1"/>
  <c r="X90" i="7"/>
  <c r="X98" i="7"/>
  <c r="Y60" i="8"/>
  <c r="X62" i="8"/>
  <c r="X63" i="8" s="1"/>
  <c r="X20" i="7"/>
  <c r="X33" i="7" l="1"/>
  <c r="X76" i="7"/>
  <c r="X91" i="7"/>
  <c r="X92" i="7"/>
  <c r="X103" i="7"/>
  <c r="X104" i="7" s="1"/>
  <c r="X201" i="7"/>
  <c r="X205" i="7" s="1"/>
  <c r="X206" i="7" s="1"/>
  <c r="S102" i="22"/>
  <c r="X34" i="7" l="1"/>
  <c r="X63" i="7"/>
  <c r="S104" i="22"/>
  <c r="S107" i="22"/>
  <c r="X77" i="7"/>
  <c r="J15" i="5" s="1"/>
  <c r="J17" i="5" s="1"/>
  <c r="J21" i="5" s="1"/>
  <c r="X112" i="7"/>
  <c r="X119" i="7" l="1"/>
  <c r="X115" i="7" s="1"/>
  <c r="X108" i="7"/>
  <c r="DR107" i="8" l="1"/>
  <c r="DR115" i="8" s="1"/>
  <c r="DR95" i="8" s="1"/>
  <c r="DR110" i="8"/>
  <c r="DR111" i="8"/>
  <c r="DO14" i="6"/>
  <c r="DS15" i="6" s="1"/>
  <c r="DE37" i="22"/>
  <c r="DE38" i="22" s="1"/>
  <c r="DE46" i="22"/>
  <c r="DE56" i="22"/>
  <c r="DE66" i="22"/>
  <c r="DE84" i="22"/>
  <c r="DE85" i="22"/>
  <c r="DE116" i="22"/>
  <c r="DE117" i="22"/>
  <c r="DE118" i="22"/>
  <c r="DE119" i="22"/>
  <c r="DE133" i="22"/>
  <c r="DE136" i="22"/>
  <c r="DE141" i="22"/>
  <c r="DL14" i="11"/>
  <c r="DL23" i="11"/>
  <c r="DL32" i="11"/>
  <c r="DL41" i="11"/>
  <c r="DL50" i="11"/>
  <c r="DO16" i="6" l="1"/>
  <c r="DP16" i="6"/>
  <c r="DO15" i="6"/>
  <c r="DL59" i="11"/>
  <c r="DL68" i="11" s="1"/>
  <c r="DO10" i="6" l="1"/>
  <c r="DS11" i="6" s="1"/>
  <c r="DE45" i="22"/>
  <c r="DE50" i="22" s="1"/>
  <c r="DE55" i="22"/>
  <c r="DE79" i="22"/>
  <c r="DE80" i="22"/>
  <c r="DE148" i="22"/>
  <c r="DE149" i="22"/>
  <c r="DL13" i="11"/>
  <c r="DL18" i="11" s="1"/>
  <c r="DL22" i="11"/>
  <c r="DL31" i="11"/>
  <c r="DL49" i="11"/>
  <c r="DO35" i="6" l="1"/>
  <c r="DP12" i="6"/>
  <c r="DO30" i="6"/>
  <c r="DS31" i="6" s="1"/>
  <c r="DO12" i="6"/>
  <c r="DO11" i="6"/>
  <c r="DL107" i="11"/>
  <c r="DL40" i="11"/>
  <c r="DL67" i="11" s="1"/>
  <c r="DS36" i="6" l="1"/>
  <c r="O6" i="37"/>
  <c r="DO13" i="6"/>
  <c r="DO50" i="6"/>
  <c r="DO44" i="6"/>
  <c r="DO71" i="6"/>
  <c r="DO36" i="6"/>
  <c r="O7" i="37" s="1"/>
  <c r="DO75" i="6"/>
  <c r="DO41" i="6"/>
  <c r="DO56" i="6"/>
  <c r="DO86" i="6"/>
  <c r="AB6" i="37"/>
  <c r="AB11" i="37" s="1"/>
  <c r="DO63" i="6"/>
  <c r="O8" i="37" s="1"/>
  <c r="DO69" i="6"/>
  <c r="DO31" i="6"/>
  <c r="DP32" i="6"/>
  <c r="DP33" i="6"/>
  <c r="DL58" i="11"/>
  <c r="DQ71" i="7"/>
  <c r="DR143" i="17"/>
  <c r="DO55" i="6"/>
  <c r="DR70" i="7"/>
  <c r="DW70" i="7" s="1"/>
  <c r="DX70" i="7" s="1"/>
  <c r="DY70" i="7" s="1"/>
  <c r="DO33" i="6"/>
  <c r="DR19" i="17"/>
  <c r="DO59" i="6"/>
  <c r="DS60" i="6" s="1"/>
  <c r="DO32" i="6"/>
  <c r="DL19" i="11"/>
  <c r="DR146" i="17"/>
  <c r="DO47" i="6"/>
  <c r="DE51" i="22"/>
  <c r="DE52" i="22" s="1"/>
  <c r="DO17" i="6"/>
  <c r="DR41" i="17"/>
  <c r="DE76" i="22"/>
  <c r="DR109" i="7" l="1"/>
  <c r="DR116" i="7" s="1"/>
  <c r="DS57" i="6"/>
  <c r="O11" i="37"/>
  <c r="T7" i="37"/>
  <c r="V7" i="37"/>
  <c r="AB8" i="37"/>
  <c r="AB9" i="37" s="1"/>
  <c r="DU88" i="7"/>
  <c r="DU92" i="7"/>
  <c r="DO58" i="6"/>
  <c r="DO57" i="6"/>
  <c r="AB7" i="37"/>
  <c r="DO64" i="6"/>
  <c r="O9" i="37" s="1"/>
  <c r="DO76" i="6"/>
  <c r="DO88" i="6" s="1"/>
  <c r="DS89" i="6" s="1"/>
  <c r="DR88" i="7"/>
  <c r="DT88" i="7"/>
  <c r="DT92" i="7"/>
  <c r="DR94" i="7"/>
  <c r="DS92" i="7"/>
  <c r="DS88" i="7"/>
  <c r="DO60" i="6"/>
  <c r="DO61" i="6"/>
  <c r="DR95" i="7"/>
  <c r="DR92" i="7"/>
  <c r="DR77" i="8"/>
  <c r="DR92" i="8"/>
  <c r="DO79" i="6" l="1"/>
  <c r="DR110" i="7" s="1"/>
  <c r="DR117" i="7" s="1"/>
  <c r="DR115" i="7" s="1"/>
  <c r="DO77" i="6"/>
  <c r="DO92" i="6"/>
  <c r="DO119" i="6"/>
  <c r="DO90" i="6"/>
  <c r="DO95" i="6"/>
  <c r="DO89" i="6"/>
  <c r="O5" i="37" l="1"/>
  <c r="DS96" i="6"/>
  <c r="DO93" i="6"/>
  <c r="DS93" i="6"/>
  <c r="AB5" i="37"/>
  <c r="DR744" i="12"/>
  <c r="DR758" i="12" s="1"/>
  <c r="DV759" i="12" s="1"/>
  <c r="DR108" i="7"/>
  <c r="DO98" i="6"/>
  <c r="DO96" i="6"/>
  <c r="DE65" i="22"/>
  <c r="DE70" i="22" s="1"/>
  <c r="DV770" i="12" l="1"/>
  <c r="DO99" i="6"/>
  <c r="DS99" i="6"/>
  <c r="DU759" i="12"/>
  <c r="DR745" i="12"/>
  <c r="DR768" i="12"/>
  <c r="DV769" i="12" s="1"/>
  <c r="DW759" i="12"/>
  <c r="DX759" i="12"/>
  <c r="DY759" i="12"/>
  <c r="DS759" i="12"/>
  <c r="DT759" i="12"/>
  <c r="DR759" i="12"/>
  <c r="DU769" i="12" l="1"/>
  <c r="DU770" i="12" s="1"/>
  <c r="DR769" i="12"/>
  <c r="DR770" i="12" s="1"/>
  <c r="DT769" i="12"/>
  <c r="DT770" i="12" s="1"/>
  <c r="DS769" i="12"/>
  <c r="DY769" i="12"/>
  <c r="DY770" i="12" s="1"/>
  <c r="DW769" i="12"/>
  <c r="DW770" i="12" s="1"/>
  <c r="DX769" i="12"/>
  <c r="DX770" i="12" s="1"/>
  <c r="DS770" i="12"/>
  <c r="DR196" i="7"/>
  <c r="DR197" i="7" s="1"/>
  <c r="DR91" i="13" l="1"/>
  <c r="DR193" i="7"/>
  <c r="DL53" i="11"/>
  <c r="DR11" i="17"/>
  <c r="DV12" i="17" s="1"/>
  <c r="DR12" i="17" l="1"/>
  <c r="DR14" i="17"/>
  <c r="DR60" i="17" s="1"/>
  <c r="DL54" i="11"/>
  <c r="DL55" i="11" s="1"/>
  <c r="DR57" i="12"/>
  <c r="DR76" i="8" l="1"/>
  <c r="DR194" i="7"/>
  <c r="DR195" i="7" s="1"/>
  <c r="DQ72" i="7"/>
  <c r="DQ73" i="7"/>
  <c r="DQ74" i="7"/>
  <c r="DR20" i="17"/>
  <c r="DO127" i="6"/>
  <c r="DO144" i="6" s="1"/>
  <c r="DO145" i="6" s="1"/>
  <c r="DR73" i="8"/>
  <c r="DR86" i="8"/>
  <c r="DR93" i="8"/>
  <c r="DO6" i="6"/>
  <c r="DR6" i="14" s="1"/>
  <c r="DE61" i="22"/>
  <c r="DE77" i="22"/>
  <c r="DE103" i="22"/>
  <c r="DR16" i="16"/>
  <c r="DV17" i="16" s="1"/>
  <c r="DR20" i="16"/>
  <c r="DV21" i="16" s="1"/>
  <c r="DR17" i="16" l="1"/>
  <c r="DR18" i="16"/>
  <c r="DR21" i="16"/>
  <c r="DR22" i="16"/>
  <c r="DR79" i="8"/>
  <c r="DR6" i="13"/>
  <c r="DL26" i="11"/>
  <c r="DL27" i="11" s="1"/>
  <c r="DL28" i="11" s="1"/>
  <c r="DL35" i="11"/>
  <c r="DL36" i="11" s="1"/>
  <c r="DL37" i="11" s="1"/>
  <c r="DO7" i="6"/>
  <c r="DR7" i="16" s="1"/>
  <c r="DR24" i="16"/>
  <c r="DR6" i="16"/>
  <c r="DE3" i="22"/>
  <c r="DE4" i="22" s="1"/>
  <c r="DR6" i="12"/>
  <c r="DL7" i="11"/>
  <c r="DR6" i="15"/>
  <c r="DR6" i="7"/>
  <c r="DR6" i="17"/>
  <c r="DR7" i="8"/>
  <c r="DR37" i="16" l="1"/>
  <c r="DV25" i="16"/>
  <c r="DR7" i="7"/>
  <c r="DR7" i="14"/>
  <c r="DR7" i="13"/>
  <c r="DR8" i="8"/>
  <c r="DL8" i="11"/>
  <c r="DR7" i="15"/>
  <c r="DR7" i="17"/>
  <c r="DR7" i="12"/>
  <c r="DR25" i="16"/>
  <c r="DL44" i="11"/>
  <c r="DR30" i="16"/>
  <c r="DR33" i="16" s="1"/>
  <c r="DR41" i="16"/>
  <c r="DR42" i="16" s="1"/>
  <c r="DR38" i="16" l="1"/>
  <c r="DV38" i="16"/>
  <c r="DR34" i="16"/>
  <c r="DV34" i="16"/>
  <c r="DL62" i="11"/>
  <c r="DL45" i="11"/>
  <c r="DL46" i="11" s="1"/>
  <c r="DL71" i="11" l="1"/>
  <c r="DL63" i="11"/>
  <c r="DL64" i="11" s="1"/>
  <c r="DR91" i="8"/>
  <c r="DR97" i="8" s="1"/>
  <c r="DL72" i="11" l="1"/>
  <c r="DL73" i="11" s="1"/>
  <c r="DL108" i="11"/>
  <c r="DE59" i="22"/>
  <c r="DE60" i="22" s="1"/>
  <c r="DE62" i="22" s="1"/>
  <c r="DR69" i="8" l="1"/>
  <c r="DR71" i="8"/>
  <c r="DR68" i="8" l="1"/>
  <c r="DR62" i="8"/>
  <c r="DR63" i="8" s="1"/>
  <c r="DE102" i="22" l="1"/>
  <c r="DE104" i="22" s="1"/>
  <c r="Y56" i="13" l="1"/>
  <c r="Z57" i="13" s="1"/>
  <c r="AB57" i="13" l="1"/>
  <c r="AC57" i="13" s="1"/>
  <c r="AD57" i="13" s="1"/>
  <c r="AE57" i="13" s="1"/>
  <c r="AF57" i="13" s="1"/>
  <c r="AG57" i="13" s="1"/>
  <c r="AA56" i="13"/>
  <c r="AB56" i="13" s="1"/>
  <c r="AC56" i="13" s="1"/>
  <c r="AD56" i="13" s="1"/>
  <c r="AE56" i="13" s="1"/>
  <c r="AF56" i="13" s="1"/>
  <c r="AG56" i="13" s="1"/>
  <c r="Y57" i="13"/>
  <c r="AI56" i="13" l="1"/>
  <c r="DF149" i="22"/>
  <c r="DM13" i="11"/>
  <c r="DM107" i="11" s="1"/>
  <c r="DM31" i="11"/>
  <c r="DF45" i="22"/>
  <c r="DF79" i="22"/>
  <c r="DF148" i="22" l="1"/>
  <c r="AA110" i="7"/>
  <c r="AA117" i="7" s="1"/>
  <c r="AA744" i="12"/>
  <c r="AA745" i="12" s="1"/>
  <c r="AA769" i="12" l="1"/>
  <c r="AA759" i="12"/>
  <c r="AA770" i="12" l="1"/>
  <c r="DS107" i="8" l="1"/>
  <c r="DS115" i="8" s="1"/>
  <c r="DS95" i="8" s="1"/>
  <c r="DS110" i="8"/>
  <c r="DS111" i="8"/>
  <c r="DF37" i="22"/>
  <c r="DF38" i="22" s="1"/>
  <c r="DF46" i="22"/>
  <c r="DF50" i="22" s="1"/>
  <c r="DF51" i="22"/>
  <c r="DF56" i="22"/>
  <c r="DF66" i="22"/>
  <c r="DF76" i="22"/>
  <c r="DF84" i="22"/>
  <c r="DF85" i="22"/>
  <c r="DF116" i="22"/>
  <c r="DF117" i="22"/>
  <c r="DF118" i="22"/>
  <c r="DF119" i="22"/>
  <c r="DF133" i="22"/>
  <c r="DF136" i="22"/>
  <c r="DF141" i="22"/>
  <c r="DM14" i="11"/>
  <c r="DM18" i="11" s="1"/>
  <c r="DM19" i="11" s="1"/>
  <c r="DM23" i="11"/>
  <c r="DM32" i="11"/>
  <c r="DM41" i="11"/>
  <c r="DM50" i="11"/>
  <c r="DM59" i="11" l="1"/>
  <c r="DM68" i="11" s="1"/>
  <c r="DS19" i="17"/>
  <c r="DS146" i="17"/>
  <c r="DS143" i="17"/>
  <c r="DS41" i="17"/>
  <c r="DF52" i="22"/>
  <c r="DR71" i="7"/>
  <c r="DS77" i="8" l="1"/>
  <c r="DS92" i="8"/>
  <c r="DF65" i="22" l="1"/>
  <c r="DF70" i="22" s="1"/>
  <c r="DS196" i="7" l="1"/>
  <c r="DS197" i="7" s="1"/>
  <c r="DS91" i="13"/>
  <c r="DS193" i="7" l="1"/>
  <c r="DS57" i="12" l="1"/>
  <c r="DS194" i="7" l="1"/>
  <c r="DS195" i="7" s="1"/>
  <c r="DS76" i="8"/>
  <c r="DM49" i="11" l="1"/>
  <c r="DM53" i="11" l="1"/>
  <c r="DM22" i="11" l="1"/>
  <c r="DF55" i="22"/>
  <c r="DF80" i="22"/>
  <c r="DM54" i="11"/>
  <c r="DM55" i="11" s="1"/>
  <c r="DM40" i="11" l="1"/>
  <c r="DM67" i="11" l="1"/>
  <c r="DM58" i="11"/>
  <c r="DR72" i="7"/>
  <c r="DR73" i="7"/>
  <c r="DR74" i="7"/>
  <c r="DS20" i="17"/>
  <c r="DP127" i="6"/>
  <c r="DP144" i="6" s="1"/>
  <c r="DP145" i="6" s="1"/>
  <c r="DS73" i="8"/>
  <c r="DS79" i="8"/>
  <c r="DS86" i="8"/>
  <c r="DS93" i="8"/>
  <c r="DP6" i="6"/>
  <c r="DS7" i="8" s="1"/>
  <c r="DF61" i="22"/>
  <c r="DF77" i="22"/>
  <c r="DF103" i="22"/>
  <c r="DS16" i="16"/>
  <c r="DS18" i="16" s="1"/>
  <c r="DS20" i="16"/>
  <c r="DS22" i="16" l="1"/>
  <c r="DW21" i="16"/>
  <c r="DM7" i="11"/>
  <c r="DS6" i="13"/>
  <c r="DS6" i="16"/>
  <c r="DF3" i="22"/>
  <c r="DF4" i="22" s="1"/>
  <c r="DS6" i="12"/>
  <c r="DP7" i="6"/>
  <c r="DS8" i="8" s="1"/>
  <c r="DS6" i="15"/>
  <c r="DM35" i="11"/>
  <c r="DM36" i="11" s="1"/>
  <c r="DM37" i="11" s="1"/>
  <c r="DS21" i="16"/>
  <c r="DM26" i="11"/>
  <c r="DM27" i="11" s="1"/>
  <c r="DM28" i="11" s="1"/>
  <c r="DS17" i="16"/>
  <c r="DS24" i="16"/>
  <c r="DS6" i="14"/>
  <c r="DS6" i="7"/>
  <c r="DS6" i="17"/>
  <c r="DS7" i="17" l="1"/>
  <c r="DS7" i="16"/>
  <c r="DM8" i="11"/>
  <c r="DS7" i="7"/>
  <c r="DS7" i="13"/>
  <c r="DS7" i="14"/>
  <c r="DS7" i="12"/>
  <c r="DS7" i="15"/>
  <c r="DS25" i="16"/>
  <c r="DS37" i="16"/>
  <c r="DS38" i="16" s="1"/>
  <c r="DS30" i="16"/>
  <c r="DS33" i="16" s="1"/>
  <c r="DS34" i="16" s="1"/>
  <c r="DS41" i="16"/>
  <c r="DS42" i="16" s="1"/>
  <c r="DM44" i="11"/>
  <c r="DM45" i="11" l="1"/>
  <c r="DM46" i="11" s="1"/>
  <c r="DM62" i="11"/>
  <c r="DM71" i="11" l="1"/>
  <c r="DM63" i="11"/>
  <c r="DM64" i="11" s="1"/>
  <c r="DS91" i="8"/>
  <c r="DS97" i="8" s="1"/>
  <c r="DF59" i="22" l="1"/>
  <c r="DF60" i="22" s="1"/>
  <c r="DF62" i="22" s="1"/>
  <c r="DM108" i="11"/>
  <c r="DM72" i="11"/>
  <c r="DM73" i="11" s="1"/>
  <c r="DS62" i="8" l="1"/>
  <c r="DS63" i="8" s="1"/>
  <c r="DS69" i="8"/>
  <c r="DS71" i="8"/>
  <c r="DS68" i="8" l="1"/>
  <c r="DF102" i="22" l="1"/>
  <c r="DF104" i="22" s="1"/>
  <c r="S66" i="14" l="1"/>
  <c r="S68" i="14" s="1"/>
  <c r="S76" i="14" l="1"/>
  <c r="U32" i="22"/>
  <c r="S85" i="14"/>
  <c r="S87" i="14" s="1"/>
  <c r="S63" i="14"/>
  <c r="T66" i="14" l="1"/>
  <c r="T63" i="14" s="1"/>
  <c r="W32" i="22" s="1"/>
  <c r="V32" i="22"/>
  <c r="S83" i="14"/>
  <c r="S73" i="14"/>
  <c r="S74" i="14" s="1"/>
  <c r="T76" i="14"/>
  <c r="U33" i="22" l="1"/>
  <c r="U66" i="14"/>
  <c r="U63" i="14" s="1"/>
  <c r="X32" i="22" s="1"/>
  <c r="T73" i="14"/>
  <c r="T74" i="14" s="1"/>
  <c r="U76" i="14"/>
  <c r="T83" i="14"/>
  <c r="S84" i="14"/>
  <c r="S75" i="14"/>
  <c r="T68" i="14"/>
  <c r="T85" i="14"/>
  <c r="T87" i="14" s="1"/>
  <c r="S144" i="14" l="1"/>
  <c r="S79" i="14"/>
  <c r="S77" i="14" s="1"/>
  <c r="S78" i="14" s="1"/>
  <c r="V66" i="14"/>
  <c r="U83" i="14"/>
  <c r="U73" i="14"/>
  <c r="U74" i="14" s="1"/>
  <c r="V76" i="14"/>
  <c r="T75" i="14"/>
  <c r="T84" i="14"/>
  <c r="U85" i="14"/>
  <c r="U87" i="14" s="1"/>
  <c r="U68" i="14"/>
  <c r="V85" i="14" l="1"/>
  <c r="V87" i="14" s="1"/>
  <c r="V68" i="14"/>
  <c r="V63" i="14"/>
  <c r="Y32" i="22" s="1"/>
  <c r="T144" i="14"/>
  <c r="T79" i="14"/>
  <c r="T77" i="14" s="1"/>
  <c r="T78" i="14" s="1"/>
  <c r="U84" i="14"/>
  <c r="U75" i="14"/>
  <c r="W66" i="14" l="1"/>
  <c r="V83" i="14"/>
  <c r="V73" i="14"/>
  <c r="V74" i="14" s="1"/>
  <c r="W76" i="14"/>
  <c r="U79" i="14"/>
  <c r="U77" i="14" s="1"/>
  <c r="U78" i="14" s="1"/>
  <c r="U144" i="14"/>
  <c r="W85" i="14" l="1"/>
  <c r="W87" i="14" s="1"/>
  <c r="W68" i="14"/>
  <c r="V84" i="14"/>
  <c r="V75" i="14"/>
  <c r="W63" i="14"/>
  <c r="Z32" i="22" s="1"/>
  <c r="V79" i="14" l="1"/>
  <c r="V77" i="14" s="1"/>
  <c r="V78" i="14" s="1"/>
  <c r="V144" i="14"/>
  <c r="X66" i="14"/>
  <c r="W83" i="14"/>
  <c r="W73" i="14"/>
  <c r="W74" i="14" s="1"/>
  <c r="X76" i="14"/>
  <c r="X68" i="14" l="1"/>
  <c r="X85" i="14"/>
  <c r="X87" i="14" s="1"/>
  <c r="W84" i="14"/>
  <c r="W75" i="14"/>
  <c r="X63" i="14"/>
  <c r="AA32" i="22" s="1"/>
  <c r="W144" i="14" l="1"/>
  <c r="W79" i="14"/>
  <c r="W77" i="14" s="1"/>
  <c r="W78" i="14" s="1"/>
  <c r="Y66" i="14"/>
  <c r="Y63" i="14" s="1"/>
  <c r="AB32" i="22" s="1"/>
  <c r="X73" i="14"/>
  <c r="X74" i="14" s="1"/>
  <c r="Y76" i="14"/>
  <c r="X83" i="14"/>
  <c r="Y83" i="14" l="1"/>
  <c r="Y73" i="14"/>
  <c r="Y74" i="14" s="1"/>
  <c r="X75" i="14"/>
  <c r="X84" i="14"/>
  <c r="Y85" i="14"/>
  <c r="Y87" i="14" s="1"/>
  <c r="Y68" i="14"/>
  <c r="X144" i="14" l="1"/>
  <c r="X79" i="14"/>
  <c r="X77" i="14" s="1"/>
  <c r="X78" i="14" s="1"/>
  <c r="Y84" i="14"/>
  <c r="Y75" i="14"/>
  <c r="Y79" i="14" l="1"/>
  <c r="Y77" i="14" s="1"/>
  <c r="Y78" i="14" s="1"/>
  <c r="Y144" i="14"/>
  <c r="DT107" i="8" l="1"/>
  <c r="DT115" i="8" s="1"/>
  <c r="DT95" i="8" s="1"/>
  <c r="DT110" i="8"/>
  <c r="DT111" i="8"/>
  <c r="DG37" i="22"/>
  <c r="DG38" i="22" s="1"/>
  <c r="DG46" i="22"/>
  <c r="DG56" i="22"/>
  <c r="DG66" i="22"/>
  <c r="DG84" i="22"/>
  <c r="DG85" i="22"/>
  <c r="DG116" i="22"/>
  <c r="DG117" i="22"/>
  <c r="DG118" i="22"/>
  <c r="DG119" i="22"/>
  <c r="DG133" i="22"/>
  <c r="DG136" i="22"/>
  <c r="DG141" i="22"/>
  <c r="DN14" i="11"/>
  <c r="DN23" i="11"/>
  <c r="DN32" i="11"/>
  <c r="DN41" i="11"/>
  <c r="DN50" i="11"/>
  <c r="DN59" i="11" l="1"/>
  <c r="DN68" i="11" s="1"/>
  <c r="Y359" i="12"/>
  <c r="Y363" i="12" l="1"/>
  <c r="Y460" i="12" l="1"/>
  <c r="Y364" i="12"/>
  <c r="Y365" i="12" s="1"/>
  <c r="Y370" i="12" l="1"/>
  <c r="Y461" i="12"/>
  <c r="Y469" i="12"/>
  <c r="Y385" i="12" l="1"/>
  <c r="Y371" i="12"/>
  <c r="Y430" i="12"/>
  <c r="Y387" i="12"/>
  <c r="Y417" i="12"/>
  <c r="Y424" i="12" l="1"/>
  <c r="Y416" i="12"/>
  <c r="Y432" i="12"/>
  <c r="Y431" i="12"/>
  <c r="Y386" i="12"/>
  <c r="Y433" i="12" l="1"/>
  <c r="Y434" i="12" s="1"/>
  <c r="Y426" i="12"/>
  <c r="Y427" i="12" s="1"/>
  <c r="Y27" i="12" l="1"/>
  <c r="AI31" i="37" l="1"/>
  <c r="AI32" i="37" s="1"/>
  <c r="Y28" i="12"/>
  <c r="DG45" i="22" l="1"/>
  <c r="DG50" i="22" s="1"/>
  <c r="DG51" i="22"/>
  <c r="DG55" i="22"/>
  <c r="DG79" i="22"/>
  <c r="DG80" i="22"/>
  <c r="DG148" i="22"/>
  <c r="DG149" i="22"/>
  <c r="DN13" i="11"/>
  <c r="DN107" i="11" s="1"/>
  <c r="DN22" i="11"/>
  <c r="DN31" i="11"/>
  <c r="DN49" i="11"/>
  <c r="DN40" i="11" l="1"/>
  <c r="DN58" i="11" s="1"/>
  <c r="DN18" i="11"/>
  <c r="DN19" i="11" s="1"/>
  <c r="DG52" i="22"/>
  <c r="DG76" i="22"/>
  <c r="DT19" i="17"/>
  <c r="DT146" i="17"/>
  <c r="DT143" i="17"/>
  <c r="DT41" i="17"/>
  <c r="DS71" i="7"/>
  <c r="DN67" i="11" l="1"/>
  <c r="DT77" i="8" l="1"/>
  <c r="DT92" i="8"/>
  <c r="DG65" i="22" l="1"/>
  <c r="DG70" i="22" s="1"/>
  <c r="Y169" i="7" l="1"/>
  <c r="Y175" i="7" s="1"/>
  <c r="DT196" i="7"/>
  <c r="DT197" i="7" s="1"/>
  <c r="Y179" i="7" l="1"/>
  <c r="DT91" i="13"/>
  <c r="DT193" i="7"/>
  <c r="DN53" i="11"/>
  <c r="DN54" i="11" l="1"/>
  <c r="DN55" i="11" s="1"/>
  <c r="DT57" i="12"/>
  <c r="DT76" i="8" l="1"/>
  <c r="DT194" i="7"/>
  <c r="DT195" i="7" s="1"/>
  <c r="DS72" i="7"/>
  <c r="DS73" i="7"/>
  <c r="DS74" i="7"/>
  <c r="DT20" i="17"/>
  <c r="DQ127" i="6"/>
  <c r="DQ144" i="6" s="1"/>
  <c r="DQ145" i="6" s="1"/>
  <c r="DT73" i="8"/>
  <c r="DT86" i="8"/>
  <c r="DT93" i="8"/>
  <c r="DQ6" i="6"/>
  <c r="DT7" i="8" s="1"/>
  <c r="DG61" i="22"/>
  <c r="DG77" i="22"/>
  <c r="DG103" i="22"/>
  <c r="DT16" i="16"/>
  <c r="DT18" i="16" s="1"/>
  <c r="DT20" i="16"/>
  <c r="DX21" i="16" s="1"/>
  <c r="DT79" i="8" l="1"/>
  <c r="DN26" i="11"/>
  <c r="DN27" i="11" s="1"/>
  <c r="DN28" i="11" s="1"/>
  <c r="DN35" i="11"/>
  <c r="DN36" i="11" s="1"/>
  <c r="DN37" i="11" s="1"/>
  <c r="DT22" i="16"/>
  <c r="DT6" i="13"/>
  <c r="DG3" i="22"/>
  <c r="DG4" i="22" s="1"/>
  <c r="DT6" i="16"/>
  <c r="DQ7" i="6"/>
  <c r="DT7" i="14" s="1"/>
  <c r="DT6" i="12"/>
  <c r="DN7" i="11"/>
  <c r="DT6" i="15"/>
  <c r="DT24" i="16"/>
  <c r="DT41" i="16" s="1"/>
  <c r="DT42" i="16" s="1"/>
  <c r="Y20" i="16"/>
  <c r="Z21" i="16" s="1"/>
  <c r="DT17" i="16"/>
  <c r="DT21" i="16"/>
  <c r="DT6" i="7"/>
  <c r="DT6" i="17"/>
  <c r="DT6" i="14"/>
  <c r="DT8" i="8" l="1"/>
  <c r="DT7" i="7"/>
  <c r="AB18" i="16"/>
  <c r="AA16" i="16"/>
  <c r="DT7" i="16"/>
  <c r="DT7" i="13"/>
  <c r="DT7" i="12"/>
  <c r="DT7" i="15"/>
  <c r="DN8" i="11"/>
  <c r="DT7" i="17"/>
  <c r="DT30" i="16"/>
  <c r="DT33" i="16" s="1"/>
  <c r="DT34" i="16" s="1"/>
  <c r="DT37" i="16"/>
  <c r="DT38" i="16" s="1"/>
  <c r="DN44" i="11"/>
  <c r="DT25" i="16"/>
  <c r="Y21" i="16"/>
  <c r="Y35" i="11"/>
  <c r="DO35" i="11"/>
  <c r="DO26" i="11" l="1"/>
  <c r="Y16" i="16"/>
  <c r="AC18" i="16"/>
  <c r="AB16" i="16"/>
  <c r="AA21" i="16"/>
  <c r="DN62" i="11"/>
  <c r="DN45" i="11"/>
  <c r="DN46" i="11" s="1"/>
  <c r="DO44" i="11" l="1"/>
  <c r="Y24" i="16"/>
  <c r="Y44" i="11" s="1"/>
  <c r="Y62" i="11" s="1"/>
  <c r="Y71" i="11" s="1"/>
  <c r="Y80" i="11" s="1"/>
  <c r="Y17" i="16"/>
  <c r="Y26" i="11"/>
  <c r="DW16" i="16"/>
  <c r="DP26" i="11"/>
  <c r="AD18" i="16"/>
  <c r="AC16" i="16"/>
  <c r="AB17" i="16"/>
  <c r="AB21" i="16"/>
  <c r="DN71" i="11"/>
  <c r="DN63" i="11"/>
  <c r="DN64" i="11" s="1"/>
  <c r="AA35" i="11"/>
  <c r="DT91" i="8"/>
  <c r="DT97" i="8" s="1"/>
  <c r="AA24" i="16"/>
  <c r="AA26" i="11"/>
  <c r="Y41" i="16" l="1"/>
  <c r="Y30" i="16"/>
  <c r="Y33" i="16" s="1"/>
  <c r="Y34" i="16" s="1"/>
  <c r="Y37" i="16"/>
  <c r="T59" i="22" s="1"/>
  <c r="Y25" i="16"/>
  <c r="DP44" i="11"/>
  <c r="DW17" i="16"/>
  <c r="DW24" i="16"/>
  <c r="DQ26" i="11"/>
  <c r="DX16" i="16"/>
  <c r="DY16" i="16"/>
  <c r="AE18" i="16"/>
  <c r="AD16" i="16"/>
  <c r="AC21" i="16"/>
  <c r="AC17" i="16"/>
  <c r="DG59" i="22"/>
  <c r="DG60" i="22" s="1"/>
  <c r="DG62" i="22" s="1"/>
  <c r="DN108" i="11"/>
  <c r="DN72" i="11"/>
  <c r="DN73" i="11" s="1"/>
  <c r="Y31" i="16"/>
  <c r="AB35" i="11"/>
  <c r="AB24" i="16"/>
  <c r="AB26" i="11"/>
  <c r="AA37" i="16"/>
  <c r="AA41" i="16"/>
  <c r="AA44" i="11"/>
  <c r="Y38" i="16" l="1"/>
  <c r="Z16" i="16"/>
  <c r="Z26" i="11" s="1"/>
  <c r="DW41" i="16"/>
  <c r="DW25" i="16"/>
  <c r="DW37" i="16"/>
  <c r="DW38" i="16" s="1"/>
  <c r="DW30" i="16"/>
  <c r="DW33" i="16" s="1"/>
  <c r="DW34" i="16" s="1"/>
  <c r="DQ44" i="11"/>
  <c r="DS26" i="11"/>
  <c r="DY17" i="16"/>
  <c r="DY24" i="16"/>
  <c r="DX24" i="16"/>
  <c r="DR26" i="11"/>
  <c r="DX17" i="16"/>
  <c r="AF18" i="16"/>
  <c r="AE16" i="16"/>
  <c r="AD17" i="16"/>
  <c r="AD21" i="16"/>
  <c r="DT69" i="8"/>
  <c r="DT71" i="8"/>
  <c r="DT62" i="8"/>
  <c r="DT63" i="8" s="1"/>
  <c r="V59" i="22"/>
  <c r="AB41" i="16"/>
  <c r="AB44" i="11"/>
  <c r="AB25" i="16"/>
  <c r="AB37" i="16"/>
  <c r="AC35" i="11"/>
  <c r="AC24" i="16"/>
  <c r="AC26" i="11"/>
  <c r="DW42" i="16" l="1"/>
  <c r="AA17" i="16"/>
  <c r="Z17" i="16"/>
  <c r="Z24" i="16"/>
  <c r="Z25" i="16" s="1"/>
  <c r="DY30" i="16"/>
  <c r="DY33" i="16" s="1"/>
  <c r="DY34" i="16" s="1"/>
  <c r="DS44" i="11"/>
  <c r="DY25" i="16"/>
  <c r="DY41" i="16"/>
  <c r="DY42" i="16" s="1"/>
  <c r="DY37" i="16"/>
  <c r="DY38" i="16" s="1"/>
  <c r="DR44" i="11"/>
  <c r="DX25" i="16"/>
  <c r="DX37" i="16"/>
  <c r="DX38" i="16" s="1"/>
  <c r="DX41" i="16"/>
  <c r="DX42" i="16" s="1"/>
  <c r="DX30" i="16"/>
  <c r="DX33" i="16" s="1"/>
  <c r="DX34" i="16" s="1"/>
  <c r="AB38" i="16"/>
  <c r="W59" i="22"/>
  <c r="AG18" i="16"/>
  <c r="AG16" i="16" s="1"/>
  <c r="AF16" i="16"/>
  <c r="AE17" i="16"/>
  <c r="AE21" i="16"/>
  <c r="AC41" i="16"/>
  <c r="AC44" i="11"/>
  <c r="AC25" i="16"/>
  <c r="AC37" i="16"/>
  <c r="AD35" i="11"/>
  <c r="AD24" i="16"/>
  <c r="AD26" i="11"/>
  <c r="DT68" i="8"/>
  <c r="Z37" i="16" l="1"/>
  <c r="Z38" i="16" s="1"/>
  <c r="Z44" i="11"/>
  <c r="Z62" i="11" s="1"/>
  <c r="Z71" i="11" s="1"/>
  <c r="Z80" i="11" s="1"/>
  <c r="AA25" i="16"/>
  <c r="Z41" i="16"/>
  <c r="Z30" i="16"/>
  <c r="Z33" i="16" s="1"/>
  <c r="Z34" i="16" s="1"/>
  <c r="AC38" i="16"/>
  <c r="X59" i="22"/>
  <c r="AF21" i="16"/>
  <c r="AG21" i="16"/>
  <c r="AG17" i="16"/>
  <c r="AF17" i="16"/>
  <c r="AE35" i="11"/>
  <c r="Y97" i="7"/>
  <c r="AE24" i="16"/>
  <c r="AE26" i="11"/>
  <c r="AD37" i="16"/>
  <c r="AD41" i="16"/>
  <c r="AD44" i="11"/>
  <c r="AD25" i="16"/>
  <c r="DG102" i="22"/>
  <c r="DG104" i="22" s="1"/>
  <c r="Z31" i="16" l="1"/>
  <c r="U59" i="22"/>
  <c r="AA38" i="16"/>
  <c r="AD38" i="16"/>
  <c r="Y59" i="22"/>
  <c r="AF24" i="16"/>
  <c r="AF26" i="11"/>
  <c r="AF35" i="11"/>
  <c r="Y72" i="6"/>
  <c r="AE25" i="16"/>
  <c r="AE37" i="16"/>
  <c r="AE41" i="16"/>
  <c r="AE44" i="11"/>
  <c r="AE38" i="16" l="1"/>
  <c r="Z59" i="22"/>
  <c r="AG24" i="16"/>
  <c r="AG26" i="11"/>
  <c r="AG35" i="11"/>
  <c r="Y70" i="6"/>
  <c r="AF41" i="16"/>
  <c r="AF44" i="11"/>
  <c r="AF25" i="16"/>
  <c r="AF37" i="16"/>
  <c r="AF38" i="16" l="1"/>
  <c r="AA59" i="22"/>
  <c r="Y90" i="8"/>
  <c r="AG41" i="16"/>
  <c r="AG44" i="11"/>
  <c r="AG25" i="16"/>
  <c r="AG37" i="16"/>
  <c r="AG38" i="16" l="1"/>
  <c r="AB59" i="22"/>
  <c r="DI24" i="22" l="1"/>
  <c r="DI23" i="22" s="1"/>
  <c r="DP109" i="11"/>
  <c r="DW34" i="13"/>
  <c r="DW35" i="13" s="1"/>
  <c r="DX34" i="13"/>
  <c r="DY34" i="13"/>
  <c r="Z34" i="13" s="1"/>
  <c r="DX36" i="13"/>
  <c r="DY36" i="13"/>
  <c r="Z36" i="13" s="1"/>
  <c r="DX35" i="13" l="1"/>
  <c r="Z35" i="13"/>
  <c r="AA35" i="13"/>
  <c r="DW150" i="15"/>
  <c r="DW158" i="15" s="1"/>
  <c r="DJ24" i="22"/>
  <c r="DY35" i="13"/>
  <c r="DW36" i="13"/>
  <c r="DS109" i="11"/>
  <c r="DW70" i="15"/>
  <c r="DQ109" i="11"/>
  <c r="DW71" i="15" l="1"/>
  <c r="DW166" i="15"/>
  <c r="DL24" i="22"/>
  <c r="DL23" i="22" s="1"/>
  <c r="DX70" i="15"/>
  <c r="DX71" i="15" s="1"/>
  <c r="DK24" i="22"/>
  <c r="DK23" i="22" s="1"/>
  <c r="DJ23" i="22"/>
  <c r="DR109" i="11"/>
  <c r="DX150" i="15"/>
  <c r="DY70" i="15"/>
  <c r="DY71" i="15" s="1"/>
  <c r="DY150" i="15"/>
  <c r="Z70" i="15" l="1"/>
  <c r="Z69" i="15"/>
  <c r="U24" i="22"/>
  <c r="AA70" i="15"/>
  <c r="Z76" i="15"/>
  <c r="Z80" i="15"/>
  <c r="Z109" i="11"/>
  <c r="U23" i="22"/>
  <c r="DX166" i="15"/>
  <c r="DX158" i="15"/>
  <c r="DY158" i="15"/>
  <c r="DY166" i="15"/>
  <c r="Z111" i="8"/>
  <c r="U133" i="22"/>
  <c r="Z71" i="15" l="1"/>
  <c r="Z78" i="15"/>
  <c r="Z77" i="15"/>
  <c r="Z82" i="15"/>
  <c r="Z81" i="15"/>
  <c r="AA71" i="15"/>
  <c r="AB71" i="15"/>
  <c r="Y114" i="17" l="1"/>
  <c r="Y550" i="12" s="1"/>
  <c r="DU107" i="8"/>
  <c r="DU115" i="8" s="1"/>
  <c r="DU95" i="8" s="1"/>
  <c r="DU110" i="8"/>
  <c r="DU111" i="8"/>
  <c r="DH37" i="22"/>
  <c r="DH38" i="22" s="1"/>
  <c r="DH46" i="22"/>
  <c r="DH56" i="22"/>
  <c r="DH66" i="22"/>
  <c r="DH84" i="22"/>
  <c r="DH85" i="22"/>
  <c r="DH116" i="22"/>
  <c r="DH117" i="22"/>
  <c r="DH118" i="22"/>
  <c r="DH119" i="22"/>
  <c r="DH133" i="22"/>
  <c r="DH136" i="22"/>
  <c r="DH141" i="22"/>
  <c r="DO14" i="11"/>
  <c r="DO23" i="11"/>
  <c r="DO32" i="11"/>
  <c r="DO41" i="11"/>
  <c r="DO50" i="11"/>
  <c r="Y21" i="12"/>
  <c r="Y22" i="12" s="1"/>
  <c r="Y25" i="12"/>
  <c r="AI29" i="37" s="1"/>
  <c r="AI30" i="37" s="1"/>
  <c r="Y38" i="12"/>
  <c r="Y23" i="11" s="1"/>
  <c r="Y41" i="12"/>
  <c r="Y32" i="11" s="1"/>
  <c r="Y47" i="12"/>
  <c r="Y41" i="11" s="1"/>
  <c r="Y52" i="12"/>
  <c r="Y50" i="11" s="1"/>
  <c r="Y103" i="12"/>
  <c r="T95" i="22" s="1"/>
  <c r="T96" i="22" s="1"/>
  <c r="Y112" i="12"/>
  <c r="Y117" i="12"/>
  <c r="Y118" i="12"/>
  <c r="Y119" i="12"/>
  <c r="Y120" i="12"/>
  <c r="Y122" i="12"/>
  <c r="Y156" i="12"/>
  <c r="Y157" i="12" s="1"/>
  <c r="Y176" i="12"/>
  <c r="Y179" i="12" s="1"/>
  <c r="Y316" i="12" s="1"/>
  <c r="Y317" i="12" s="1"/>
  <c r="Y177" i="12"/>
  <c r="Y246" i="12"/>
  <c r="Y247" i="12" s="1"/>
  <c r="Y254" i="12"/>
  <c r="Z361" i="12" s="1"/>
  <c r="Y255" i="12"/>
  <c r="T117" i="22" s="1"/>
  <c r="Y263" i="12"/>
  <c r="Y264" i="12" s="1"/>
  <c r="Y281" i="12"/>
  <c r="Y283" i="12" s="1"/>
  <c r="Y286" i="12"/>
  <c r="Y287" i="12"/>
  <c r="Y292" i="12"/>
  <c r="Y293" i="12" s="1"/>
  <c r="Y314" i="12"/>
  <c r="Y315" i="12" s="1"/>
  <c r="Y368" i="12"/>
  <c r="Y380" i="12"/>
  <c r="Y389" i="12" s="1"/>
  <c r="Y396" i="12"/>
  <c r="Y398" i="12"/>
  <c r="Y419" i="12"/>
  <c r="Y421" i="12" s="1"/>
  <c r="Y471" i="12"/>
  <c r="Y472" i="12" s="1"/>
  <c r="Y539" i="12"/>
  <c r="Y516" i="12" l="1"/>
  <c r="Y519" i="12" s="1"/>
  <c r="Y524" i="12" s="1"/>
  <c r="Y502" i="12"/>
  <c r="Y48" i="12"/>
  <c r="Y218" i="12"/>
  <c r="Y222" i="12" s="1"/>
  <c r="Y105" i="12"/>
  <c r="Y453" i="12"/>
  <c r="Y360" i="12"/>
  <c r="Y327" i="12"/>
  <c r="Y322" i="12"/>
  <c r="Y31" i="12"/>
  <c r="Y54" i="12" s="1"/>
  <c r="Y26" i="12"/>
  <c r="DO59" i="11"/>
  <c r="DO68" i="11" s="1"/>
  <c r="Y53" i="12"/>
  <c r="Y381" i="12"/>
  <c r="Y390" i="12" s="1"/>
  <c r="Y391" i="12" s="1"/>
  <c r="Y127" i="12"/>
  <c r="Y42" i="12"/>
  <c r="Y505" i="12"/>
  <c r="Y557" i="12"/>
  <c r="Y110" i="8"/>
  <c r="Y60" i="12"/>
  <c r="Y50" i="12"/>
  <c r="Y39" i="12"/>
  <c r="Y186" i="12"/>
  <c r="Y113" i="12"/>
  <c r="Y104" i="12"/>
  <c r="Y473" i="12"/>
  <c r="Y248" i="12"/>
  <c r="Y282" i="12"/>
  <c r="Y294" i="12"/>
  <c r="T138" i="22" s="1"/>
  <c r="Y265" i="12"/>
  <c r="T137" i="22" s="1"/>
  <c r="Y394" i="12"/>
  <c r="Y395" i="12" s="1"/>
  <c r="Y425" i="12" s="1"/>
  <c r="T141" i="22"/>
  <c r="Y131" i="12"/>
  <c r="Y180" i="12"/>
  <c r="Y336" i="12" s="1"/>
  <c r="Y337" i="12" s="1"/>
  <c r="Y284" i="12"/>
  <c r="Y285" i="12" s="1"/>
  <c r="Y126" i="12"/>
  <c r="T116" i="22"/>
  <c r="T97" i="22"/>
  <c r="T98" i="22" s="1"/>
  <c r="Y249" i="12"/>
  <c r="Y219" i="12"/>
  <c r="Y181" i="12"/>
  <c r="Y132" i="12"/>
  <c r="Y223" i="12"/>
  <c r="Y158" i="12"/>
  <c r="T136" i="22" s="1"/>
  <c r="Y130" i="12"/>
  <c r="Y125" i="12"/>
  <c r="Y116" i="17"/>
  <c r="Y134" i="17"/>
  <c r="Y115" i="17"/>
  <c r="Y118" i="17"/>
  <c r="Y221" i="12" l="1"/>
  <c r="Y323" i="12"/>
  <c r="Y128" i="12"/>
  <c r="Y40" i="12"/>
  <c r="Y14" i="11"/>
  <c r="Y14" i="6"/>
  <c r="Y15" i="6" s="1"/>
  <c r="Y43" i="12"/>
  <c r="Y106" i="12"/>
  <c r="Y312" i="12"/>
  <c r="Y32" i="12"/>
  <c r="Y69" i="12"/>
  <c r="Y500" i="12"/>
  <c r="Y545" i="12" s="1"/>
  <c r="Y109" i="8" s="1"/>
  <c r="Y78" i="12"/>
  <c r="Y429" i="12"/>
  <c r="Y49" i="12"/>
  <c r="Y379" i="12"/>
  <c r="Y65" i="12"/>
  <c r="Y63" i="12"/>
  <c r="Y61" i="12"/>
  <c r="Y62" i="12"/>
  <c r="Y119" i="17"/>
  <c r="Y120" i="17"/>
  <c r="Y133" i="12"/>
  <c r="Y250" i="12"/>
  <c r="Y136" i="17"/>
  <c r="Y135" i="17"/>
  <c r="T66" i="22"/>
  <c r="X330" i="12"/>
  <c r="Y313" i="12" l="1"/>
  <c r="Y341" i="12"/>
  <c r="Y107" i="8"/>
  <c r="Y81" i="12"/>
  <c r="Y79" i="12"/>
  <c r="Y80" i="12"/>
  <c r="T56" i="22"/>
  <c r="Y71" i="12"/>
  <c r="Y72" i="12"/>
  <c r="Y70" i="12"/>
  <c r="Y68" i="11"/>
  <c r="Y77" i="11" s="1"/>
  <c r="Y59" i="11"/>
  <c r="Y87" i="12"/>
  <c r="Y66" i="12"/>
  <c r="Y67" i="12"/>
  <c r="X331" i="12"/>
  <c r="X346" i="12"/>
  <c r="X347" i="12" s="1"/>
  <c r="Y342" i="12" l="1"/>
  <c r="Y354" i="12"/>
  <c r="Y355" i="12" s="1"/>
  <c r="Y115" i="8"/>
  <c r="Y95" i="8" s="1"/>
  <c r="Y163" i="6"/>
  <c r="Y90" i="12"/>
  <c r="Y92" i="12"/>
  <c r="Y95" i="12" l="1"/>
  <c r="Y537" i="12"/>
  <c r="Y547" i="12" s="1"/>
  <c r="Y528" i="12"/>
  <c r="Y531" i="12" s="1"/>
  <c r="Y532" i="12" s="1"/>
  <c r="Y96" i="12"/>
  <c r="Y94" i="12"/>
  <c r="Y93" i="12"/>
  <c r="Y568" i="12" l="1"/>
  <c r="Y570" i="12" s="1"/>
  <c r="Y696" i="12"/>
  <c r="Y697" i="12" l="1"/>
  <c r="Y698" i="12" s="1"/>
  <c r="Y499" i="12"/>
  <c r="Y504" i="12" s="1"/>
  <c r="Y510" i="12" s="1"/>
  <c r="Y533" i="12" s="1"/>
  <c r="Z569" i="12"/>
  <c r="Y571" i="12" l="1"/>
  <c r="DH45" i="22"/>
  <c r="DH50" i="22"/>
  <c r="DH51" i="22"/>
  <c r="DH55" i="22"/>
  <c r="DH76" i="22"/>
  <c r="DH79" i="22"/>
  <c r="DH80" i="22"/>
  <c r="DH148" i="22"/>
  <c r="DH149" i="22"/>
  <c r="DO13" i="11"/>
  <c r="DO18" i="11" s="1"/>
  <c r="DO19" i="11" s="1"/>
  <c r="DO22" i="11"/>
  <c r="DO27" i="11" s="1"/>
  <c r="DO28" i="11" s="1"/>
  <c r="DO31" i="11"/>
  <c r="DO36" i="11" s="1"/>
  <c r="DO49" i="11"/>
  <c r="Y53" i="13"/>
  <c r="Y50" i="13" s="1"/>
  <c r="Y51" i="13" s="1"/>
  <c r="Y54" i="13"/>
  <c r="Y75" i="13"/>
  <c r="Y84" i="13"/>
  <c r="Y31" i="11" s="1"/>
  <c r="Y36" i="11" s="1"/>
  <c r="Y87" i="13"/>
  <c r="Y22" i="11" s="1"/>
  <c r="Y93" i="13"/>
  <c r="Y49" i="11" s="1"/>
  <c r="Y54" i="11" s="1"/>
  <c r="Y121" i="13"/>
  <c r="Y122" i="13" s="1"/>
  <c r="DO107" i="11" l="1"/>
  <c r="DO40" i="11"/>
  <c r="DO67" i="11" s="1"/>
  <c r="DH52" i="22"/>
  <c r="Y127" i="13"/>
  <c r="Y81" i="13" s="1"/>
  <c r="Y133" i="13" s="1"/>
  <c r="Y135" i="13" s="1"/>
  <c r="Y85" i="13"/>
  <c r="Y10" i="6"/>
  <c r="Y76" i="13"/>
  <c r="T148" i="22" s="1"/>
  <c r="Y119" i="13"/>
  <c r="Y88" i="13"/>
  <c r="T79" i="22"/>
  <c r="Y13" i="11"/>
  <c r="T45" i="22"/>
  <c r="T50" i="22" s="1"/>
  <c r="Y40" i="11"/>
  <c r="Y45" i="11" s="1"/>
  <c r="Y27" i="11"/>
  <c r="Y39" i="6"/>
  <c r="DT71" i="7"/>
  <c r="DU95" i="7"/>
  <c r="Y35" i="6"/>
  <c r="AH8" i="37" s="1"/>
  <c r="DO45" i="11" l="1"/>
  <c r="DO46" i="11" s="1"/>
  <c r="DO58" i="11"/>
  <c r="Y82" i="13"/>
  <c r="Y134" i="13"/>
  <c r="Y131" i="13" s="1"/>
  <c r="T80" i="22"/>
  <c r="Y130" i="13"/>
  <c r="T55" i="22"/>
  <c r="T60" i="22" s="1"/>
  <c r="Y128" i="13"/>
  <c r="Y129" i="13"/>
  <c r="Y40" i="6"/>
  <c r="Y41" i="6"/>
  <c r="Y42" i="6"/>
  <c r="Y18" i="11"/>
  <c r="Y58" i="11"/>
  <c r="Y63" i="11" s="1"/>
  <c r="Y67" i="11"/>
  <c r="Y107" i="11"/>
  <c r="DU86" i="8"/>
  <c r="Y11" i="6"/>
  <c r="Y30" i="6"/>
  <c r="Y13" i="6" s="1"/>
  <c r="Y28" i="11"/>
  <c r="Y36" i="6"/>
  <c r="K8" i="5" s="1"/>
  <c r="Y71" i="6"/>
  <c r="Y63" i="6"/>
  <c r="Y69" i="6"/>
  <c r="Y75" i="6"/>
  <c r="Y86" i="6"/>
  <c r="AI23" i="37"/>
  <c r="AI24" i="37" s="1"/>
  <c r="K7" i="5"/>
  <c r="Y16" i="7"/>
  <c r="DO37" i="11"/>
  <c r="Y17" i="17"/>
  <c r="Y70" i="7" l="1"/>
  <c r="Y19" i="11"/>
  <c r="Y38" i="8"/>
  <c r="DU92" i="8"/>
  <c r="DU77" i="8"/>
  <c r="Y64" i="6"/>
  <c r="Y86" i="8"/>
  <c r="Y161" i="6"/>
  <c r="Y165" i="6" s="1"/>
  <c r="Y166" i="6" s="1"/>
  <c r="AI25" i="37"/>
  <c r="AI26" i="37" s="1"/>
  <c r="K10" i="5"/>
  <c r="E47" i="5"/>
  <c r="DT74" i="7"/>
  <c r="DT73" i="7"/>
  <c r="DT72" i="7"/>
  <c r="Y45" i="6"/>
  <c r="Y59" i="6" s="1"/>
  <c r="Y20" i="17" s="1"/>
  <c r="Y43" i="6"/>
  <c r="Y44" i="6"/>
  <c r="Y37" i="11"/>
  <c r="Y19" i="7"/>
  <c r="Y27" i="8"/>
  <c r="Y19" i="17"/>
  <c r="Y128" i="17"/>
  <c r="Y18" i="17"/>
  <c r="Y31" i="6"/>
  <c r="Y17" i="6"/>
  <c r="Y33" i="6"/>
  <c r="T76" i="22"/>
  <c r="T87" i="22" s="1"/>
  <c r="T51" i="22"/>
  <c r="T52" i="22" s="1"/>
  <c r="Y108" i="11"/>
  <c r="Y72" i="11"/>
  <c r="Y76" i="11"/>
  <c r="Y168" i="7" l="1"/>
  <c r="Y108" i="17"/>
  <c r="E51" i="5"/>
  <c r="E48" i="5"/>
  <c r="E52" i="5"/>
  <c r="E50" i="5"/>
  <c r="E49" i="5"/>
  <c r="DH61" i="22"/>
  <c r="DH103" i="22"/>
  <c r="DH77" i="22"/>
  <c r="Y81" i="11"/>
  <c r="Y73" i="11"/>
  <c r="Y28" i="8"/>
  <c r="Y47" i="6"/>
  <c r="Y46" i="6"/>
  <c r="Y46" i="11"/>
  <c r="K11" i="5"/>
  <c r="Y92" i="8"/>
  <c r="Y121" i="8"/>
  <c r="Y77" i="8"/>
  <c r="Y88" i="7"/>
  <c r="Y94" i="7"/>
  <c r="Y95" i="7"/>
  <c r="Y60" i="6"/>
  <c r="Y61" i="6"/>
  <c r="T77" i="22"/>
  <c r="T92" i="22" s="1"/>
  <c r="T61" i="22"/>
  <c r="T103" i="22"/>
  <c r="T62" i="22"/>
  <c r="Y129" i="17"/>
  <c r="L11" i="35"/>
  <c r="K13" i="5"/>
  <c r="K14" i="5" s="1"/>
  <c r="AI27" i="37"/>
  <c r="AI28" i="37" s="1"/>
  <c r="Y71" i="7"/>
  <c r="Y49" i="7" l="1"/>
  <c r="DH65" i="22"/>
  <c r="DH70" i="22" s="1"/>
  <c r="Y171" i="7"/>
  <c r="Y39" i="7"/>
  <c r="Y17" i="7"/>
  <c r="Y110" i="17"/>
  <c r="Y131" i="17"/>
  <c r="Y109" i="17"/>
  <c r="Y111" i="17"/>
  <c r="Y74" i="7" l="1"/>
  <c r="Y30" i="8"/>
  <c r="Y163" i="7"/>
  <c r="Z167" i="7"/>
  <c r="Y172" i="7"/>
  <c r="Y72" i="7"/>
  <c r="Y43" i="8"/>
  <c r="Y44" i="8" s="1"/>
  <c r="Y142" i="17"/>
  <c r="Y145" i="17"/>
  <c r="Y132" i="17"/>
  <c r="T65" i="22"/>
  <c r="T70" i="22" s="1"/>
  <c r="Y29" i="8"/>
  <c r="Y73" i="7"/>
  <c r="Y42" i="7"/>
  <c r="Y50" i="7" s="1"/>
  <c r="Y51" i="7" s="1"/>
  <c r="Y178" i="7" l="1"/>
  <c r="Y32" i="8"/>
  <c r="Y91" i="8" s="1"/>
  <c r="DU91" i="8"/>
  <c r="Y185" i="7"/>
  <c r="Y174" i="7"/>
  <c r="Y21" i="7"/>
  <c r="DU196" i="7"/>
  <c r="DU197" i="7" s="1"/>
  <c r="Y143" i="17"/>
  <c r="L112" i="35"/>
  <c r="Y147" i="17"/>
  <c r="Y146" i="17"/>
  <c r="Y190" i="7" l="1"/>
  <c r="Y181" i="7"/>
  <c r="Y184" i="7"/>
  <c r="Y186" i="7"/>
  <c r="DU91" i="13"/>
  <c r="DU193" i="7"/>
  <c r="DO53" i="11"/>
  <c r="DR51" i="6"/>
  <c r="Y34" i="17"/>
  <c r="Y188" i="7"/>
  <c r="Y196" i="7"/>
  <c r="Y197" i="7" s="1"/>
  <c r="DO54" i="11" l="1"/>
  <c r="DO55" i="11" s="1"/>
  <c r="DO62" i="11"/>
  <c r="Y26" i="17"/>
  <c r="Y51" i="6"/>
  <c r="Y48" i="6" s="1"/>
  <c r="DU57" i="12"/>
  <c r="Y36" i="17"/>
  <c r="Y11" i="17"/>
  <c r="Y35" i="17"/>
  <c r="Z177" i="7"/>
  <c r="Y182" i="7"/>
  <c r="Y164" i="7"/>
  <c r="Y165" i="7" s="1"/>
  <c r="Y78" i="6" l="1"/>
  <c r="DU93" i="8"/>
  <c r="DU97" i="8" s="1"/>
  <c r="Y46" i="17"/>
  <c r="Y12" i="17"/>
  <c r="Y14" i="17"/>
  <c r="Y15" i="17" s="1"/>
  <c r="Y22" i="7"/>
  <c r="DU194" i="7"/>
  <c r="DU195" i="7" s="1"/>
  <c r="Y192" i="7"/>
  <c r="Y193" i="7" s="1"/>
  <c r="Y50" i="6"/>
  <c r="Y49" i="6"/>
  <c r="Y55" i="11"/>
  <c r="Y53" i="6"/>
  <c r="Y76" i="6"/>
  <c r="Y40" i="17"/>
  <c r="Y17" i="8"/>
  <c r="Y76" i="8" s="1"/>
  <c r="DU76" i="8"/>
  <c r="Y37" i="17"/>
  <c r="Y29" i="17"/>
  <c r="Y27" i="17"/>
  <c r="Y30" i="17"/>
  <c r="Y58" i="17"/>
  <c r="DO71" i="11"/>
  <c r="DO63" i="11"/>
  <c r="DO64" i="11" s="1"/>
  <c r="L109" i="35" l="1"/>
  <c r="Y79" i="6"/>
  <c r="Y93" i="8"/>
  <c r="Y97" i="8" s="1"/>
  <c r="Y102" i="8" s="1"/>
  <c r="L100" i="35"/>
  <c r="L103" i="35" s="1"/>
  <c r="Y88" i="6"/>
  <c r="Y122" i="6"/>
  <c r="Y123" i="6" s="1"/>
  <c r="Y77" i="6"/>
  <c r="Y194" i="7"/>
  <c r="Y195" i="7" s="1"/>
  <c r="Y23" i="7"/>
  <c r="Y55" i="6"/>
  <c r="Y54" i="6"/>
  <c r="Y56" i="6"/>
  <c r="Y50" i="17"/>
  <c r="Y55" i="12"/>
  <c r="DH59" i="22"/>
  <c r="DH60" i="22" s="1"/>
  <c r="DH62" i="22" s="1"/>
  <c r="DO72" i="11"/>
  <c r="DO73" i="11" s="1"/>
  <c r="DO108" i="11"/>
  <c r="Y45" i="17"/>
  <c r="Y59" i="17"/>
  <c r="Y60" i="17" s="1"/>
  <c r="Y41" i="17"/>
  <c r="DR6" i="6" l="1"/>
  <c r="Y109" i="7"/>
  <c r="Y58" i="6"/>
  <c r="Y57" i="6"/>
  <c r="Y64" i="11"/>
  <c r="Y110" i="7"/>
  <c r="Y117" i="7" s="1"/>
  <c r="AI33" i="37"/>
  <c r="Y744" i="12"/>
  <c r="Y111" i="7"/>
  <c r="Y118" i="7" s="1"/>
  <c r="Y95" i="6"/>
  <c r="Y90" i="6"/>
  <c r="Y119" i="6"/>
  <c r="Y89" i="6"/>
  <c r="Y92" i="6"/>
  <c r="L110" i="35"/>
  <c r="L106" i="35"/>
  <c r="L107" i="35" s="1"/>
  <c r="K12" i="5"/>
  <c r="DR127" i="6"/>
  <c r="DR144" i="6" s="1"/>
  <c r="DR145" i="6" s="1"/>
  <c r="Y56" i="7"/>
  <c r="Y61" i="7" s="1"/>
  <c r="Y57" i="12"/>
  <c r="Y56" i="12"/>
  <c r="Y116" i="7" l="1"/>
  <c r="Y759" i="12"/>
  <c r="Y745" i="12"/>
  <c r="Y769" i="12"/>
  <c r="DU6" i="7"/>
  <c r="DU7" i="8"/>
  <c r="DU6" i="17"/>
  <c r="DR7" i="6"/>
  <c r="DU6" i="15"/>
  <c r="DU6" i="14"/>
  <c r="DH3" i="22"/>
  <c r="DH4" i="22" s="1"/>
  <c r="DO7" i="11"/>
  <c r="DU6" i="13"/>
  <c r="DU6" i="12"/>
  <c r="DU6" i="16"/>
  <c r="Y62" i="7"/>
  <c r="Y87" i="7"/>
  <c r="Y12" i="8"/>
  <c r="DU73" i="8"/>
  <c r="DU79" i="8" s="1"/>
  <c r="Y127" i="6"/>
  <c r="Y144" i="6" s="1"/>
  <c r="Y145" i="6" s="1"/>
  <c r="Y73" i="8"/>
  <c r="Y79" i="8" s="1"/>
  <c r="Y93" i="6"/>
  <c r="Y6" i="6"/>
  <c r="Y98" i="6"/>
  <c r="Y99" i="6" s="1"/>
  <c r="Y96" i="6"/>
  <c r="D39" i="5"/>
  <c r="AI22" i="37"/>
  <c r="Y770" i="12" l="1"/>
  <c r="D41" i="5"/>
  <c r="D43" i="5"/>
  <c r="D40" i="5"/>
  <c r="D42" i="5"/>
  <c r="D44" i="5"/>
  <c r="Y6" i="7"/>
  <c r="Y7" i="8"/>
  <c r="Y6" i="17"/>
  <c r="Y7" i="6"/>
  <c r="Y6" i="15"/>
  <c r="Q6" i="14"/>
  <c r="T3" i="22"/>
  <c r="T4" i="22" s="1"/>
  <c r="Y7" i="11"/>
  <c r="Y6" i="13"/>
  <c r="Y6" i="12"/>
  <c r="Y6" i="16"/>
  <c r="Y34" i="8"/>
  <c r="DU7" i="7"/>
  <c r="DU8" i="8"/>
  <c r="DU7" i="17"/>
  <c r="DU7" i="15"/>
  <c r="DU7" i="14"/>
  <c r="DU7" i="16"/>
  <c r="DO8" i="11"/>
  <c r="DU7" i="13"/>
  <c r="DU7" i="12"/>
  <c r="Y7" i="7" l="1"/>
  <c r="Y7" i="17"/>
  <c r="Y8" i="8"/>
  <c r="Q7" i="14"/>
  <c r="Y7" i="15"/>
  <c r="Y7" i="16"/>
  <c r="Y8" i="11"/>
  <c r="Y7" i="13"/>
  <c r="Y7" i="12"/>
  <c r="Y59" i="8"/>
  <c r="Y61" i="8" s="1"/>
  <c r="L111" i="35"/>
  <c r="L113" i="35" s="1"/>
  <c r="Y65" i="8"/>
  <c r="Y120" i="8"/>
  <c r="Y122" i="8" s="1"/>
  <c r="Y124" i="8" s="1"/>
  <c r="Y124" i="6"/>
  <c r="E55" i="5"/>
  <c r="DU71" i="8"/>
  <c r="DU69" i="8"/>
  <c r="Y35" i="8"/>
  <c r="DU68" i="8" l="1"/>
  <c r="DU62" i="8"/>
  <c r="DU63" i="8" s="1"/>
  <c r="Y66" i="8"/>
  <c r="Y69" i="8" s="1"/>
  <c r="Y71" i="8"/>
  <c r="Y701" i="12"/>
  <c r="Y702" i="12" s="1"/>
  <c r="Y703" i="12" s="1"/>
  <c r="Y704" i="12" s="1"/>
  <c r="E57" i="5"/>
  <c r="E58" i="5"/>
  <c r="E56" i="5"/>
  <c r="E60" i="5"/>
  <c r="E59" i="5"/>
  <c r="L117" i="35"/>
  <c r="K126" i="35"/>
  <c r="Y13" i="7"/>
  <c r="Y20" i="7" s="1"/>
  <c r="Y98" i="7" l="1"/>
  <c r="Y90" i="7"/>
  <c r="Y62" i="8"/>
  <c r="Y63" i="8" s="1"/>
  <c r="Z60" i="8"/>
  <c r="DH102" i="22"/>
  <c r="DH104" i="22" s="1"/>
  <c r="Y76" i="7" l="1"/>
  <c r="Y33" i="7"/>
  <c r="Y91" i="7"/>
  <c r="Y92" i="7"/>
  <c r="Y103" i="7"/>
  <c r="Y104" i="7" s="1"/>
  <c r="Y201" i="7"/>
  <c r="Y205" i="7" s="1"/>
  <c r="Y206" i="7" s="1"/>
  <c r="T102" i="22"/>
  <c r="Z72" i="6"/>
  <c r="Y34" i="7" l="1"/>
  <c r="Y63" i="7"/>
  <c r="T104" i="22"/>
  <c r="T107" i="22"/>
  <c r="Y77" i="7"/>
  <c r="K15" i="5" s="1"/>
  <c r="K17" i="5" s="1"/>
  <c r="K21" i="5" s="1"/>
  <c r="Y112" i="7"/>
  <c r="Y119" i="7" l="1"/>
  <c r="Y115" i="7" s="1"/>
  <c r="Y108" i="7"/>
  <c r="U5" i="37" l="1"/>
  <c r="W5" i="37"/>
  <c r="U6" i="37"/>
  <c r="W6" i="37"/>
  <c r="U7" i="37"/>
  <c r="W7" i="37"/>
  <c r="U8" i="37"/>
  <c r="W8" i="37"/>
  <c r="U9" i="37"/>
  <c r="W9" i="37"/>
  <c r="U10" i="37"/>
  <c r="W10" i="37"/>
  <c r="U11" i="37"/>
  <c r="W11" i="37"/>
  <c r="U13" i="37"/>
  <c r="W13" i="37"/>
  <c r="U14" i="37"/>
  <c r="W14" i="37"/>
  <c r="U15" i="37"/>
  <c r="W15" i="37"/>
  <c r="U16" i="37"/>
  <c r="W16" i="37"/>
  <c r="U17" i="37"/>
  <c r="W17" i="37"/>
  <c r="U18" i="37"/>
  <c r="W18" i="37"/>
  <c r="U19" i="37"/>
  <c r="W19" i="37"/>
  <c r="U20" i="37"/>
  <c r="W20" i="37"/>
  <c r="U21" i="37"/>
  <c r="W21" i="37"/>
  <c r="U22" i="37"/>
  <c r="W22" i="37"/>
  <c r="U27" i="37"/>
  <c r="W27" i="37"/>
  <c r="U28" i="37"/>
  <c r="W28" i="37"/>
  <c r="U29" i="37"/>
  <c r="U30" i="37"/>
  <c r="U31" i="37"/>
  <c r="W31" i="37"/>
  <c r="U32" i="37"/>
  <c r="W32" i="37"/>
  <c r="U33" i="37"/>
  <c r="W33" i="37"/>
  <c r="U42" i="37"/>
  <c r="U43" i="37"/>
  <c r="Z367" i="12" l="1"/>
  <c r="AA367" i="12" s="1"/>
  <c r="AB367" i="12" s="1"/>
  <c r="AC367" i="12" s="1"/>
  <c r="AD367" i="12" s="1"/>
  <c r="AE367" i="12" s="1"/>
  <c r="AF367" i="12" s="1"/>
  <c r="AG367" i="12" s="1"/>
  <c r="DV107" i="8"/>
  <c r="DV115" i="8" s="1"/>
  <c r="DV95" i="8" s="1"/>
  <c r="DV111" i="8"/>
  <c r="DI37" i="22"/>
  <c r="DI38" i="22" s="1"/>
  <c r="DI46" i="22"/>
  <c r="DI56" i="22"/>
  <c r="DI84" i="22"/>
  <c r="DI85" i="22"/>
  <c r="DI116" i="22"/>
  <c r="DI117" i="22"/>
  <c r="DI118" i="22"/>
  <c r="DI119" i="22"/>
  <c r="DI133" i="22"/>
  <c r="DI136" i="22"/>
  <c r="DI141" i="22"/>
  <c r="DP14" i="11"/>
  <c r="DP23" i="11"/>
  <c r="DP32" i="11"/>
  <c r="DP41" i="11"/>
  <c r="DP59" i="11" s="1"/>
  <c r="DP68" i="11" s="1"/>
  <c r="DP50" i="11"/>
  <c r="Z156" i="12"/>
  <c r="Z157" i="12" s="1"/>
  <c r="Z176" i="12"/>
  <c r="Z177" i="12"/>
  <c r="DW361" i="12"/>
  <c r="DW359" i="12" s="1"/>
  <c r="DW452" i="12"/>
  <c r="DV110" i="8" l="1"/>
  <c r="DW363" i="12"/>
  <c r="Z179" i="12"/>
  <c r="DI66" i="22" l="1"/>
  <c r="Z316" i="12"/>
  <c r="DW460" i="12"/>
  <c r="DW364" i="12"/>
  <c r="AA316" i="12" l="1"/>
  <c r="Z317" i="12"/>
  <c r="DW370" i="12"/>
  <c r="DW454" i="12"/>
  <c r="DW461" i="12"/>
  <c r="DW430" i="12" l="1"/>
  <c r="DW385" i="12"/>
  <c r="DW387" i="12" s="1"/>
  <c r="AI316" i="12"/>
  <c r="AB316" i="12"/>
  <c r="DW431" i="12" l="1"/>
  <c r="AC316" i="12"/>
  <c r="DW417" i="12"/>
  <c r="DW416" i="12"/>
  <c r="DW426" i="12" l="1"/>
  <c r="AD316" i="12"/>
  <c r="AE316" i="12" l="1"/>
  <c r="AF316" i="12" l="1"/>
  <c r="AG316" i="12" l="1"/>
  <c r="DJ394" i="12"/>
  <c r="DJ398" i="12"/>
  <c r="W398" i="12" s="1"/>
  <c r="W394" i="12" s="1"/>
  <c r="DJ425" i="12"/>
  <c r="DJ424" i="12" s="1"/>
  <c r="DJ429" i="12"/>
  <c r="DJ430" i="12"/>
  <c r="W430" i="12" s="1"/>
  <c r="DJ431" i="12"/>
  <c r="DN431" i="12"/>
  <c r="DJ432" i="12" l="1"/>
  <c r="DJ427" i="12"/>
  <c r="W424" i="12"/>
  <c r="W427" i="12" s="1"/>
  <c r="W395" i="12"/>
  <c r="W425" i="12" s="1"/>
  <c r="W429" i="12"/>
  <c r="X431" i="12"/>
  <c r="W432" i="12"/>
  <c r="W431" i="12"/>
  <c r="DV394" i="12"/>
  <c r="DW395" i="12"/>
  <c r="DW394" i="12" s="1"/>
  <c r="DV398" i="12"/>
  <c r="DV424" i="12"/>
  <c r="DV425" i="12"/>
  <c r="DW425" i="12"/>
  <c r="DW424" i="12" s="1"/>
  <c r="DW427" i="12" s="1"/>
  <c r="DV427" i="12"/>
  <c r="DV429" i="12"/>
  <c r="DV430" i="12" s="1"/>
  <c r="DV431" i="12" s="1"/>
  <c r="DW433" i="12" l="1"/>
  <c r="DW27" i="12" s="1"/>
  <c r="DW429" i="12"/>
  <c r="DV432" i="12"/>
  <c r="DX395" i="12"/>
  <c r="DX425" i="12" l="1"/>
  <c r="DY395" i="12"/>
  <c r="DY425" i="12" s="1"/>
  <c r="DW479" i="12"/>
  <c r="DW434" i="12"/>
  <c r="DW480" i="12" l="1"/>
  <c r="DI45" i="22"/>
  <c r="DI50" i="22" s="1"/>
  <c r="DI51" i="22"/>
  <c r="DI55" i="22"/>
  <c r="DI76" i="22"/>
  <c r="DI79" i="22"/>
  <c r="DI80" i="22"/>
  <c r="DI148" i="22"/>
  <c r="DI149" i="22"/>
  <c r="DP13" i="11"/>
  <c r="DP18" i="11"/>
  <c r="DP19" i="11" s="1"/>
  <c r="DP22" i="11"/>
  <c r="DP27" i="11" s="1"/>
  <c r="DP28" i="11" s="1"/>
  <c r="DP31" i="11"/>
  <c r="DP40" i="11" s="1"/>
  <c r="DP49" i="11"/>
  <c r="DP107" i="11"/>
  <c r="DP36" i="11" l="1"/>
  <c r="DP37" i="11" s="1"/>
  <c r="DP58" i="11"/>
  <c r="DP67" i="11"/>
  <c r="DP45" i="11"/>
  <c r="DI52" i="22"/>
  <c r="DV95" i="7"/>
  <c r="DU71" i="7"/>
  <c r="Z28" i="8" l="1"/>
  <c r="Z27" i="8"/>
  <c r="DU72" i="7"/>
  <c r="DU73" i="7"/>
  <c r="DU74" i="7"/>
  <c r="DP46" i="11"/>
  <c r="DV86" i="8"/>
  <c r="DV92" i="8" l="1"/>
  <c r="DV77" i="8"/>
  <c r="DI103" i="22"/>
  <c r="DI77" i="22"/>
  <c r="DI61" i="22"/>
  <c r="Z30" i="8"/>
  <c r="DI65" i="22" l="1"/>
  <c r="DI70" i="22" s="1"/>
  <c r="Z29" i="8"/>
  <c r="DW167" i="7"/>
  <c r="DV91" i="8" l="1"/>
  <c r="DW169" i="7"/>
  <c r="DV196" i="7" l="1"/>
  <c r="DV197" i="7" s="1"/>
  <c r="DW179" i="7"/>
  <c r="DW177" i="7" l="1"/>
  <c r="DV91" i="13"/>
  <c r="DV193" i="7"/>
  <c r="DP53" i="11"/>
  <c r="DS51" i="6"/>
  <c r="DP54" i="11" l="1"/>
  <c r="DP55" i="11" s="1"/>
  <c r="DP62" i="11"/>
  <c r="DV57" i="12"/>
  <c r="DP71" i="11" l="1"/>
  <c r="DP63" i="11"/>
  <c r="DP64" i="11" s="1"/>
  <c r="DV76" i="8"/>
  <c r="DV194" i="7"/>
  <c r="DV195" i="7" s="1"/>
  <c r="DV93" i="8"/>
  <c r="DV97" i="8" s="1"/>
  <c r="DP108" i="11" l="1"/>
  <c r="DP72" i="11"/>
  <c r="DP73" i="11" s="1"/>
  <c r="DI59" i="22"/>
  <c r="DI60" i="22" s="1"/>
  <c r="DI62" i="22" s="1"/>
  <c r="DS6" i="6"/>
  <c r="DS127" i="6"/>
  <c r="DS144" i="6" s="1"/>
  <c r="DS145" i="6" s="1"/>
  <c r="DV6" i="7" l="1"/>
  <c r="DV6" i="17"/>
  <c r="DV7" i="8"/>
  <c r="DV6" i="14"/>
  <c r="DS7" i="6"/>
  <c r="DI3" i="22"/>
  <c r="DI4" i="22" s="1"/>
  <c r="DV6" i="15"/>
  <c r="DV6" i="16"/>
  <c r="DP7" i="11"/>
  <c r="DV6" i="13"/>
  <c r="DV6" i="12"/>
  <c r="DV73" i="8"/>
  <c r="DV79" i="8" s="1"/>
  <c r="DV7" i="7" l="1"/>
  <c r="DV7" i="17"/>
  <c r="DV8" i="8"/>
  <c r="DV7" i="14"/>
  <c r="DV7" i="15"/>
  <c r="DV7" i="16"/>
  <c r="DP8" i="11"/>
  <c r="DV7" i="13"/>
  <c r="DV7" i="12"/>
  <c r="DV69" i="8" l="1"/>
  <c r="DV71" i="8"/>
  <c r="DV62" i="8"/>
  <c r="DV63" i="8" s="1"/>
  <c r="DW60" i="8"/>
  <c r="DW97" i="7" l="1"/>
  <c r="DV68" i="8"/>
  <c r="DI102" i="22" l="1"/>
  <c r="DI104" i="22" s="1"/>
  <c r="DT72" i="6"/>
  <c r="DT70" i="6" s="1"/>
  <c r="Z73" i="15" l="1"/>
  <c r="Z74" i="15" s="1"/>
  <c r="AA74" i="15" s="1"/>
  <c r="DW53" i="13"/>
  <c r="DX53" i="13"/>
  <c r="DX54" i="13" s="1"/>
  <c r="DY53" i="13"/>
  <c r="DY75" i="13" s="1"/>
  <c r="DY76" i="13" s="1"/>
  <c r="DL148" i="22" s="1"/>
  <c r="DX75" i="13" l="1"/>
  <c r="DX84" i="13" s="1"/>
  <c r="DR31" i="11" s="1"/>
  <c r="DY54" i="13"/>
  <c r="Z53" i="13"/>
  <c r="Z50" i="13" s="1"/>
  <c r="DY121" i="13"/>
  <c r="DY127" i="13" s="1"/>
  <c r="DY128" i="13" s="1"/>
  <c r="DY119" i="13"/>
  <c r="DY84" i="13"/>
  <c r="DS31" i="11" s="1"/>
  <c r="AA73" i="15"/>
  <c r="AB74" i="15"/>
  <c r="DW75" i="13"/>
  <c r="DW54" i="13"/>
  <c r="DS13" i="11"/>
  <c r="DV10" i="6"/>
  <c r="DL45" i="22"/>
  <c r="DL79" i="22"/>
  <c r="DX119" i="13" l="1"/>
  <c r="DK45" i="22"/>
  <c r="DT10" i="6"/>
  <c r="DT11" i="6" s="1"/>
  <c r="DR13" i="11"/>
  <c r="DX76" i="13"/>
  <c r="DK148" i="22" s="1"/>
  <c r="DK79" i="22"/>
  <c r="DL149" i="22"/>
  <c r="DU10" i="6"/>
  <c r="DV12" i="6" s="1"/>
  <c r="DX121" i="13"/>
  <c r="DX127" i="13" s="1"/>
  <c r="DX128" i="13" s="1"/>
  <c r="DJ79" i="22"/>
  <c r="Z54" i="13"/>
  <c r="DY129" i="13"/>
  <c r="DK149" i="22"/>
  <c r="DJ149" i="22"/>
  <c r="DJ45" i="22"/>
  <c r="DQ13" i="11"/>
  <c r="DQ107" i="11" s="1"/>
  <c r="AC74" i="15"/>
  <c r="AB73" i="15"/>
  <c r="Z75" i="13"/>
  <c r="DW84" i="13"/>
  <c r="DW76" i="13"/>
  <c r="DW121" i="13"/>
  <c r="DW119" i="13"/>
  <c r="DR107" i="11"/>
  <c r="DS107" i="11"/>
  <c r="DV11" i="6"/>
  <c r="Z51" i="13"/>
  <c r="AA51" i="13" s="1"/>
  <c r="AB51" i="13" s="1"/>
  <c r="AC51" i="13" s="1"/>
  <c r="AD51" i="13" s="1"/>
  <c r="AE51" i="13" s="1"/>
  <c r="AF51" i="13" s="1"/>
  <c r="AG51" i="13" s="1"/>
  <c r="DT12" i="6" l="1"/>
  <c r="DU11" i="6"/>
  <c r="DJ148" i="22"/>
  <c r="DU12" i="6"/>
  <c r="DX129" i="13"/>
  <c r="AC73" i="15"/>
  <c r="AD74" i="15"/>
  <c r="U45" i="22"/>
  <c r="U50" i="22" s="1"/>
  <c r="Z119" i="13"/>
  <c r="U79" i="22"/>
  <c r="Z13" i="11"/>
  <c r="Z107" i="11" s="1"/>
  <c r="Z10" i="6"/>
  <c r="Z11" i="6" s="1"/>
  <c r="Z76" i="13"/>
  <c r="Z121" i="13"/>
  <c r="DW127" i="13"/>
  <c r="DQ31" i="11"/>
  <c r="Z84" i="13"/>
  <c r="AA50" i="13"/>
  <c r="AB50" i="13" s="1"/>
  <c r="AC50" i="13" s="1"/>
  <c r="AD50" i="13" s="1"/>
  <c r="AE50" i="13" s="1"/>
  <c r="AF50" i="13" s="1"/>
  <c r="AG50" i="13" s="1"/>
  <c r="U148" i="22" l="1"/>
  <c r="AD73" i="15"/>
  <c r="AE74" i="15"/>
  <c r="DW128" i="13"/>
  <c r="DW129" i="13"/>
  <c r="Z122" i="13"/>
  <c r="AA123" i="13" s="1"/>
  <c r="Z127" i="13"/>
  <c r="Z31" i="11"/>
  <c r="Z85" i="13"/>
  <c r="AA85" i="13" s="1"/>
  <c r="AB85" i="13" s="1"/>
  <c r="AC85" i="13" s="1"/>
  <c r="AE73" i="15" l="1"/>
  <c r="AF74" i="15"/>
  <c r="AA122" i="13"/>
  <c r="AB123" i="13"/>
  <c r="AA125" i="13"/>
  <c r="AA124" i="13"/>
  <c r="Z128" i="13"/>
  <c r="Z129" i="13"/>
  <c r="AD85" i="13"/>
  <c r="AG74" i="15" l="1"/>
  <c r="AG73" i="15" s="1"/>
  <c r="AF73" i="15"/>
  <c r="AB124" i="13"/>
  <c r="AB125" i="13"/>
  <c r="AB122" i="13"/>
  <c r="AC123" i="13"/>
  <c r="AE85" i="13"/>
  <c r="AC124" i="13" l="1"/>
  <c r="AC122" i="13"/>
  <c r="AD123" i="13"/>
  <c r="AC125" i="13"/>
  <c r="AF85" i="13"/>
  <c r="AE123" i="13" l="1"/>
  <c r="AD124" i="13"/>
  <c r="AD125" i="13"/>
  <c r="AD122" i="13"/>
  <c r="AG85" i="13"/>
  <c r="AE122" i="13" l="1"/>
  <c r="AF123" i="13"/>
  <c r="AE125" i="13"/>
  <c r="AE124" i="13"/>
  <c r="AG123" i="13" l="1"/>
  <c r="AF124" i="13"/>
  <c r="AF122" i="13"/>
  <c r="AF125" i="13"/>
  <c r="AG125" i="13" l="1"/>
  <c r="AG124" i="13"/>
  <c r="AG122" i="13"/>
  <c r="AA105" i="15"/>
  <c r="AA104" i="15" s="1"/>
  <c r="AB105" i="15" l="1"/>
  <c r="AB104" i="15" s="1"/>
  <c r="AC105" i="15" l="1"/>
  <c r="AC104" i="15" s="1"/>
  <c r="AD105" i="15" l="1"/>
  <c r="AD104" i="15" s="1"/>
  <c r="AE105" i="15" l="1"/>
  <c r="AE104" i="15" s="1"/>
  <c r="AF105" i="15" l="1"/>
  <c r="AF104" i="15" s="1"/>
  <c r="AG105" i="15" l="1"/>
  <c r="AG104" i="15" s="1"/>
  <c r="S91" i="14" l="1"/>
  <c r="V33" i="22" s="1"/>
  <c r="T91" i="14"/>
  <c r="T142" i="14" s="1"/>
  <c r="U91" i="14"/>
  <c r="U142" i="14" s="1"/>
  <c r="V91" i="14"/>
  <c r="V145" i="14" s="1"/>
  <c r="V146" i="14" s="1"/>
  <c r="W91" i="14"/>
  <c r="Z33" i="22" s="1"/>
  <c r="X91" i="14"/>
  <c r="X142" i="14" s="1"/>
  <c r="Y91" i="14"/>
  <c r="Y142" i="14" s="1"/>
  <c r="T145" i="14"/>
  <c r="T146" i="14" s="1"/>
  <c r="V34" i="22"/>
  <c r="W34" i="22"/>
  <c r="X34" i="22"/>
  <c r="Y34" i="22"/>
  <c r="Z34" i="22"/>
  <c r="AA34" i="22"/>
  <c r="AB34" i="22"/>
  <c r="S41" i="14"/>
  <c r="V31" i="22" s="1"/>
  <c r="R93" i="14"/>
  <c r="U30" i="22"/>
  <c r="U31" i="22"/>
  <c r="AB33" i="22" l="1"/>
  <c r="Y33" i="22"/>
  <c r="X33" i="22"/>
  <c r="S145" i="14"/>
  <c r="S146" i="14" s="1"/>
  <c r="U145" i="14"/>
  <c r="U146" i="14" s="1"/>
  <c r="W142" i="14"/>
  <c r="Y145" i="14"/>
  <c r="Y146" i="14" s="1"/>
  <c r="X145" i="14"/>
  <c r="X146" i="14" s="1"/>
  <c r="AA33" i="22"/>
  <c r="W33" i="22"/>
  <c r="W145" i="14"/>
  <c r="W146" i="14" s="1"/>
  <c r="S142" i="14"/>
  <c r="V142" i="14"/>
  <c r="T41" i="14"/>
  <c r="S44" i="14"/>
  <c r="S93" i="14" l="1"/>
  <c r="V30" i="22"/>
  <c r="T44" i="14"/>
  <c r="U41" i="14"/>
  <c r="W31" i="22"/>
  <c r="V41" i="14" l="1"/>
  <c r="U44" i="14"/>
  <c r="X31" i="22"/>
  <c r="T93" i="14"/>
  <c r="W30" i="22"/>
  <c r="S95" i="14"/>
  <c r="AA53" i="13"/>
  <c r="T95" i="14" l="1"/>
  <c r="AB53" i="13"/>
  <c r="AB75" i="13" s="1"/>
  <c r="U93" i="14"/>
  <c r="X30" i="22"/>
  <c r="W41" i="14"/>
  <c r="V44" i="14"/>
  <c r="Y31" i="22"/>
  <c r="AA75" i="13"/>
  <c r="AI53" i="13"/>
  <c r="AA54" i="13"/>
  <c r="AB10" i="6" l="1"/>
  <c r="W45" i="22"/>
  <c r="W50" i="22" s="1"/>
  <c r="W79" i="22"/>
  <c r="AB84" i="13"/>
  <c r="AB31" i="11" s="1"/>
  <c r="AB119" i="13"/>
  <c r="AB121" i="13"/>
  <c r="AB127" i="13" s="1"/>
  <c r="AB129" i="13" s="1"/>
  <c r="AB13" i="11"/>
  <c r="AB107" i="11" s="1"/>
  <c r="AB54" i="13"/>
  <c r="U95" i="14"/>
  <c r="AC53" i="13"/>
  <c r="V93" i="14"/>
  <c r="Y30" i="22"/>
  <c r="X41" i="14"/>
  <c r="W44" i="14"/>
  <c r="Z31" i="22"/>
  <c r="AA10" i="6"/>
  <c r="AA119" i="13"/>
  <c r="AI75" i="13"/>
  <c r="AA121" i="13"/>
  <c r="AA127" i="13" s="1"/>
  <c r="V79" i="22"/>
  <c r="AA13" i="11"/>
  <c r="AA76" i="13"/>
  <c r="V148" i="22" s="1"/>
  <c r="V45" i="22"/>
  <c r="V50" i="22" s="1"/>
  <c r="AB76" i="13"/>
  <c r="W148" i="22" s="1"/>
  <c r="AA84" i="13"/>
  <c r="V95" i="14" l="1"/>
  <c r="AD53" i="13"/>
  <c r="AC75" i="13"/>
  <c r="AC54" i="13"/>
  <c r="W93" i="14"/>
  <c r="Z30" i="22"/>
  <c r="AA107" i="11"/>
  <c r="X44" i="14"/>
  <c r="Y41" i="14"/>
  <c r="AA31" i="22"/>
  <c r="AA128" i="13"/>
  <c r="AB128" i="13"/>
  <c r="AA129" i="13"/>
  <c r="AI127" i="13"/>
  <c r="AA31" i="11"/>
  <c r="AI84" i="13"/>
  <c r="AI10" i="6"/>
  <c r="AA11" i="6"/>
  <c r="AB11" i="6"/>
  <c r="AD54" i="13" l="1"/>
  <c r="AD75" i="13"/>
  <c r="W95" i="14"/>
  <c r="AE53" i="13"/>
  <c r="AC10" i="6"/>
  <c r="AC11" i="6" s="1"/>
  <c r="AC76" i="13"/>
  <c r="X148" i="22" s="1"/>
  <c r="AC121" i="13"/>
  <c r="AC127" i="13" s="1"/>
  <c r="X79" i="22"/>
  <c r="AC13" i="11"/>
  <c r="AC107" i="11" s="1"/>
  <c r="AC119" i="13"/>
  <c r="X45" i="22"/>
  <c r="X50" i="22" s="1"/>
  <c r="AC84" i="13"/>
  <c r="AC31" i="11" s="1"/>
  <c r="Y44" i="14"/>
  <c r="AB31" i="22"/>
  <c r="X93" i="14"/>
  <c r="AA30" i="22"/>
  <c r="AE54" i="13" l="1"/>
  <c r="AE75" i="13"/>
  <c r="X95" i="14"/>
  <c r="AF53" i="13"/>
  <c r="AC129" i="13"/>
  <c r="AC128" i="13"/>
  <c r="AD121" i="13"/>
  <c r="AD127" i="13" s="1"/>
  <c r="AD10" i="6"/>
  <c r="AD11" i="6" s="1"/>
  <c r="Y79" i="22"/>
  <c r="Y45" i="22"/>
  <c r="Y50" i="22" s="1"/>
  <c r="AD84" i="13"/>
  <c r="AD31" i="11" s="1"/>
  <c r="AD13" i="11"/>
  <c r="AD107" i="11" s="1"/>
  <c r="AD119" i="13"/>
  <c r="AD76" i="13"/>
  <c r="Y148" i="22" s="1"/>
  <c r="Y93" i="14"/>
  <c r="AB30" i="22"/>
  <c r="AF54" i="13" l="1"/>
  <c r="AF75" i="13"/>
  <c r="Y95" i="14"/>
  <c r="AG53" i="13"/>
  <c r="AD129" i="13"/>
  <c r="AD128" i="13"/>
  <c r="AE121" i="13"/>
  <c r="AE127" i="13" s="1"/>
  <c r="AE84" i="13"/>
  <c r="AE31" i="11" s="1"/>
  <c r="AE13" i="11"/>
  <c r="Z45" i="22"/>
  <c r="Z50" i="22" s="1"/>
  <c r="AE119" i="13"/>
  <c r="AE76" i="13"/>
  <c r="Z148" i="22" s="1"/>
  <c r="AE10" i="6"/>
  <c r="Z79" i="22"/>
  <c r="AG75" i="13" l="1"/>
  <c r="AG54" i="13"/>
  <c r="AE129" i="13"/>
  <c r="AE128" i="13"/>
  <c r="AF76" i="13"/>
  <c r="AA148" i="22" s="1"/>
  <c r="AA79" i="22"/>
  <c r="AF121" i="13"/>
  <c r="AF127" i="13" s="1"/>
  <c r="AF84" i="13"/>
  <c r="AF31" i="11" s="1"/>
  <c r="AF119" i="13"/>
  <c r="AF10" i="6"/>
  <c r="AF13" i="11"/>
  <c r="AA45" i="22"/>
  <c r="AA50" i="22" s="1"/>
  <c r="AE11" i="6"/>
  <c r="AE107" i="11"/>
  <c r="AF128" i="13" l="1"/>
  <c r="AF129" i="13"/>
  <c r="AF11" i="6"/>
  <c r="AG10" i="6"/>
  <c r="AG76" i="13"/>
  <c r="AB148" i="22" s="1"/>
  <c r="AB45" i="22"/>
  <c r="AB50" i="22" s="1"/>
  <c r="AG121" i="13"/>
  <c r="AG127" i="13" s="1"/>
  <c r="AG13" i="11"/>
  <c r="AG119" i="13"/>
  <c r="AB79" i="22"/>
  <c r="AG84" i="13"/>
  <c r="AG31" i="11" s="1"/>
  <c r="AF107" i="11"/>
  <c r="AG129" i="13" l="1"/>
  <c r="AG128" i="13"/>
  <c r="AG107" i="11"/>
  <c r="AG11" i="6"/>
  <c r="DW28" i="12" l="1"/>
  <c r="AB432" i="12" l="1"/>
  <c r="AC432" i="12" l="1"/>
  <c r="AD432" i="12" l="1"/>
  <c r="AE432" i="12" l="1"/>
  <c r="AF432" i="12" l="1"/>
  <c r="AG432" i="12" l="1"/>
  <c r="Z7" i="8" l="1"/>
  <c r="AI6" i="6"/>
  <c r="Z7" i="11"/>
  <c r="Z6" i="16"/>
  <c r="Z6" i="12"/>
  <c r="Z6" i="15"/>
  <c r="Z6" i="7"/>
  <c r="Z6" i="13"/>
  <c r="R6" i="14"/>
  <c r="Z6" i="17"/>
  <c r="AB6" i="7"/>
  <c r="T6" i="14"/>
  <c r="AB7" i="11"/>
  <c r="AB6" i="15"/>
  <c r="AB6" i="16"/>
  <c r="AB7" i="8"/>
  <c r="AB6" i="13"/>
  <c r="AB6" i="17"/>
  <c r="AB6" i="12"/>
  <c r="AD6" i="17"/>
  <c r="V6" i="14"/>
  <c r="AD7" i="11"/>
  <c r="AD7" i="8"/>
  <c r="AD6" i="12"/>
  <c r="AD6" i="16"/>
  <c r="AD6" i="7"/>
  <c r="AD6" i="13"/>
  <c r="AD6" i="15"/>
  <c r="AF6" i="7"/>
  <c r="AF6" i="17"/>
  <c r="X6" i="14"/>
  <c r="AF6" i="13"/>
  <c r="AF7" i="8"/>
  <c r="AF6" i="12"/>
  <c r="AF6" i="16"/>
  <c r="AF7" i="11"/>
  <c r="AF6" i="15"/>
  <c r="DW6" i="14"/>
  <c r="DW6" i="12"/>
  <c r="DQ7" i="11"/>
  <c r="DW6" i="16"/>
  <c r="DW6" i="17"/>
  <c r="DW6" i="13"/>
  <c r="DW6" i="15"/>
  <c r="DW6" i="7"/>
  <c r="DW7" i="8"/>
  <c r="DY6" i="17"/>
  <c r="DY6" i="15"/>
  <c r="DY6" i="13"/>
  <c r="DY6" i="14"/>
  <c r="DY7" i="8"/>
  <c r="DY6" i="7"/>
  <c r="DS7" i="11"/>
  <c r="DY6" i="16"/>
  <c r="DY6" i="12"/>
  <c r="AA8" i="11"/>
  <c r="AA7" i="16"/>
  <c r="AA8" i="8"/>
  <c r="AA7" i="7"/>
  <c r="AA7" i="12"/>
  <c r="AA7" i="17"/>
  <c r="AA7" i="15"/>
  <c r="S7" i="14"/>
  <c r="AA7" i="13"/>
  <c r="AC7" i="16"/>
  <c r="AC7" i="15"/>
  <c r="AC8" i="8"/>
  <c r="AC7" i="12"/>
  <c r="AC7" i="13"/>
  <c r="AC7" i="7"/>
  <c r="AC7" i="17"/>
  <c r="AC8" i="11"/>
  <c r="U7" i="14"/>
  <c r="W7" i="14"/>
  <c r="AE8" i="8"/>
  <c r="AE8" i="11"/>
  <c r="AE7" i="7"/>
  <c r="AE7" i="16"/>
  <c r="AE7" i="13"/>
  <c r="AE7" i="15"/>
  <c r="AE7" i="12"/>
  <c r="AE7" i="17"/>
  <c r="AG7" i="16"/>
  <c r="AG7" i="15"/>
  <c r="AG7" i="13"/>
  <c r="AG7" i="7"/>
  <c r="AG7" i="17"/>
  <c r="Y7" i="14"/>
  <c r="AG8" i="11"/>
  <c r="AG7" i="12"/>
  <c r="AG8" i="8"/>
  <c r="DX7" i="12"/>
  <c r="DX7" i="16"/>
  <c r="DR8" i="11"/>
  <c r="DX7" i="14"/>
  <c r="DX7" i="15"/>
  <c r="DX7" i="17"/>
  <c r="DX7" i="13"/>
  <c r="DX7" i="7"/>
  <c r="DX8" i="8"/>
  <c r="DW68" i="8"/>
  <c r="DX60" i="8"/>
  <c r="DW63" i="8"/>
  <c r="DY63" i="8"/>
  <c r="DY68" i="8"/>
  <c r="AA33" i="6"/>
  <c r="AA13" i="6"/>
  <c r="AI30" i="6"/>
  <c r="AA31" i="6"/>
  <c r="AC13" i="6"/>
  <c r="AC31" i="6"/>
  <c r="AC33" i="6"/>
  <c r="AE13" i="6"/>
  <c r="AE33" i="6"/>
  <c r="AE31" i="6"/>
  <c r="AG31" i="6"/>
  <c r="AG16" i="7"/>
  <c r="AG33" i="6"/>
  <c r="AG13" i="6"/>
  <c r="DK51" i="22"/>
  <c r="DK76" i="22"/>
  <c r="DU33" i="6"/>
  <c r="DU31" i="6"/>
  <c r="DU32" i="6"/>
  <c r="AB47" i="6"/>
  <c r="AB46" i="6"/>
  <c r="AD47" i="6"/>
  <c r="AD46" i="6"/>
  <c r="AF46" i="6"/>
  <c r="AF47" i="6"/>
  <c r="DT46" i="6"/>
  <c r="DT47" i="6"/>
  <c r="DV46" i="6"/>
  <c r="DV47" i="6"/>
  <c r="DX28" i="8"/>
  <c r="DW28" i="8"/>
  <c r="AA34" i="7"/>
  <c r="AA63" i="7"/>
  <c r="AC34" i="7"/>
  <c r="AC63" i="7"/>
  <c r="AE34" i="7"/>
  <c r="AE63" i="7"/>
  <c r="AG34" i="7"/>
  <c r="AG63" i="7"/>
  <c r="DX34" i="7"/>
  <c r="DX63" i="7"/>
  <c r="DY42" i="7"/>
  <c r="DY30" i="8"/>
  <c r="AA30" i="8"/>
  <c r="AA51" i="7"/>
  <c r="AA42" i="7"/>
  <c r="AC30" i="8"/>
  <c r="AC51" i="7"/>
  <c r="AC42" i="7"/>
  <c r="AE42" i="7"/>
  <c r="AE30" i="8"/>
  <c r="AE51" i="7"/>
  <c r="AG51" i="7"/>
  <c r="AG42" i="7"/>
  <c r="AG30" i="8"/>
  <c r="DX42" i="7"/>
  <c r="DX30" i="8"/>
  <c r="DY50" i="7"/>
  <c r="DY43" i="8"/>
  <c r="AA50" i="7"/>
  <c r="AA43" i="8"/>
  <c r="AC43" i="8"/>
  <c r="AC50" i="7"/>
  <c r="AE50" i="7"/>
  <c r="AE43" i="8"/>
  <c r="AA7" i="6"/>
  <c r="AA6" i="15"/>
  <c r="AA6" i="16"/>
  <c r="AA6" i="17"/>
  <c r="AA6" i="7"/>
  <c r="AA6" i="12"/>
  <c r="AA7" i="8"/>
  <c r="AA7" i="11"/>
  <c r="AA6" i="13"/>
  <c r="S6" i="14"/>
  <c r="AC7" i="8"/>
  <c r="AC6" i="7"/>
  <c r="AC6" i="12"/>
  <c r="AC7" i="11"/>
  <c r="AC6" i="13"/>
  <c r="U6" i="14"/>
  <c r="AC6" i="15"/>
  <c r="AC7" i="6"/>
  <c r="AC6" i="16"/>
  <c r="AC6" i="17"/>
  <c r="AE7" i="6"/>
  <c r="AE6" i="15"/>
  <c r="W6" i="14"/>
  <c r="AE6" i="17"/>
  <c r="AE7" i="11"/>
  <c r="AE6" i="12"/>
  <c r="AE6" i="16"/>
  <c r="AE6" i="7"/>
  <c r="AE6" i="13"/>
  <c r="AE7" i="8"/>
  <c r="AG7" i="8"/>
  <c r="AG6" i="7"/>
  <c r="AG6" i="12"/>
  <c r="AG6" i="15"/>
  <c r="Y6" i="14"/>
  <c r="AG7" i="11"/>
  <c r="AG6" i="17"/>
  <c r="AG6" i="13"/>
  <c r="AG6" i="16"/>
  <c r="AG7" i="6"/>
  <c r="DU7" i="6"/>
  <c r="DX6" i="15"/>
  <c r="DX6" i="16"/>
  <c r="DX6" i="17"/>
  <c r="DX6" i="12"/>
  <c r="DX6" i="7"/>
  <c r="DX7" i="8"/>
  <c r="DR7" i="11"/>
  <c r="DX6" i="13"/>
  <c r="DX6" i="14"/>
  <c r="Z7" i="17"/>
  <c r="Z7" i="16"/>
  <c r="Z7" i="12"/>
  <c r="Z7" i="7"/>
  <c r="R7" i="14"/>
  <c r="Z8" i="8"/>
  <c r="Z8" i="11"/>
  <c r="Z7" i="13"/>
  <c r="Z7" i="6"/>
  <c r="Z7" i="15"/>
  <c r="AB7" i="13"/>
  <c r="AB7" i="16"/>
  <c r="AB7" i="12"/>
  <c r="AB7" i="17"/>
  <c r="AB8" i="11"/>
  <c r="AB7" i="7"/>
  <c r="AB7" i="15"/>
  <c r="T7" i="14"/>
  <c r="AB7" i="6"/>
  <c r="AB8" i="8"/>
  <c r="AD7" i="16"/>
  <c r="AD7" i="17"/>
  <c r="AD7" i="12"/>
  <c r="AD7" i="15"/>
  <c r="AD8" i="8"/>
  <c r="AD8" i="11"/>
  <c r="AD7" i="7"/>
  <c r="V7" i="14"/>
  <c r="AD7" i="6"/>
  <c r="AD7" i="13"/>
  <c r="AF7" i="13"/>
  <c r="AF7" i="15"/>
  <c r="AF8" i="8"/>
  <c r="X7" i="14"/>
  <c r="AF7" i="17"/>
  <c r="AF8" i="11"/>
  <c r="AF7" i="7"/>
  <c r="AF7" i="16"/>
  <c r="AF7" i="6"/>
  <c r="AF7" i="12"/>
  <c r="DQ8" i="11"/>
  <c r="DW7" i="13"/>
  <c r="DW7" i="7"/>
  <c r="DW7" i="14"/>
  <c r="DW7" i="16"/>
  <c r="DW7" i="15"/>
  <c r="DW8" i="8"/>
  <c r="DW7" i="17"/>
  <c r="DT7" i="6"/>
  <c r="DW7" i="12"/>
  <c r="DY7" i="16"/>
  <c r="DS8" i="11"/>
  <c r="DY8" i="8"/>
  <c r="DY7" i="17"/>
  <c r="DY7" i="14"/>
  <c r="DY7" i="15"/>
  <c r="DY7" i="7"/>
  <c r="DY7" i="12"/>
  <c r="DV7" i="6"/>
  <c r="DY7" i="13"/>
  <c r="DX68" i="8"/>
  <c r="DX63" i="8"/>
  <c r="DY60" i="8"/>
  <c r="AB13" i="6"/>
  <c r="AB31" i="6"/>
  <c r="AB33" i="6"/>
  <c r="AD33" i="6"/>
  <c r="AD13" i="6"/>
  <c r="AD31" i="6"/>
  <c r="AF31" i="6"/>
  <c r="AF13" i="6"/>
  <c r="AF33" i="6"/>
  <c r="DT32" i="6"/>
  <c r="DT31" i="6"/>
  <c r="DT33" i="6"/>
  <c r="DJ76" i="22"/>
  <c r="DJ51" i="22"/>
  <c r="DL51" i="22"/>
  <c r="DV33" i="6"/>
  <c r="DV32" i="6"/>
  <c r="DL76" i="22"/>
  <c r="DV31" i="6"/>
  <c r="AI45" i="6"/>
  <c r="AA39" i="7"/>
  <c r="AA47" i="6"/>
  <c r="AA46" i="6"/>
  <c r="AC46" i="6"/>
  <c r="AC39" i="7"/>
  <c r="AC47" i="6"/>
  <c r="AE39" i="7"/>
  <c r="AE46" i="6"/>
  <c r="AE47" i="6"/>
  <c r="AG47" i="6"/>
  <c r="AG17" i="7"/>
  <c r="AG46" i="6"/>
  <c r="AG39" i="7"/>
  <c r="DX39" i="7"/>
  <c r="DU47" i="6"/>
  <c r="DU46" i="6"/>
  <c r="AB63" i="8"/>
  <c r="Z34" i="7"/>
  <c r="Z63" i="7"/>
  <c r="AD63" i="7"/>
  <c r="AD34" i="7"/>
  <c r="DW63" i="7"/>
  <c r="DW34" i="7"/>
  <c r="Z51" i="7"/>
  <c r="Z42" i="7"/>
  <c r="AB51" i="7"/>
  <c r="AB42" i="7"/>
  <c r="AB39" i="7"/>
  <c r="AB30" i="8"/>
  <c r="AD42" i="7"/>
  <c r="AD51" i="7"/>
  <c r="AD39" i="7"/>
  <c r="AD30" i="8"/>
  <c r="AF42" i="7"/>
  <c r="AF51" i="7"/>
  <c r="AF39" i="7"/>
  <c r="AF30" i="8"/>
  <c r="AB43" i="8"/>
  <c r="AB50" i="7"/>
  <c r="AD43" i="8"/>
  <c r="AD50" i="7"/>
  <c r="AF43" i="8"/>
  <c r="AF50" i="7"/>
  <c r="AA87" i="7"/>
  <c r="AA62" i="7"/>
  <c r="AC87" i="7"/>
  <c r="AC62" i="7"/>
  <c r="AE87" i="7"/>
  <c r="AE62" i="7"/>
  <c r="AG87" i="7"/>
  <c r="AG62" i="7"/>
  <c r="DX87" i="7"/>
  <c r="DX62" i="7"/>
  <c r="Z60" i="6"/>
  <c r="Z94" i="7"/>
  <c r="U103" i="22"/>
  <c r="U61" i="22"/>
  <c r="Z95" i="7"/>
  <c r="Z88" i="7"/>
  <c r="Z61" i="6"/>
  <c r="AB60" i="6"/>
  <c r="AB95" i="7"/>
  <c r="W103" i="22"/>
  <c r="W61" i="22"/>
  <c r="AB94" i="7"/>
  <c r="AB88" i="7"/>
  <c r="AB61" i="6"/>
  <c r="Y103" i="22"/>
  <c r="AD95" i="7"/>
  <c r="AD94" i="7"/>
  <c r="Y61" i="22"/>
  <c r="AD61" i="6"/>
  <c r="AD60" i="6"/>
  <c r="AD88" i="7"/>
  <c r="AF94" i="7"/>
  <c r="AA103" i="22"/>
  <c r="AF88" i="7"/>
  <c r="AF60" i="6"/>
  <c r="AA61" i="22"/>
  <c r="AF61" i="6"/>
  <c r="AF95" i="7"/>
  <c r="DK103" i="22"/>
  <c r="DL103" i="22"/>
  <c r="DX88" i="7"/>
  <c r="DW94" i="7"/>
  <c r="DW88" i="7"/>
  <c r="DY88" i="7"/>
  <c r="DJ103" i="22"/>
  <c r="DW95" i="7"/>
  <c r="DT61" i="6"/>
  <c r="DT60" i="6"/>
  <c r="DJ77" i="22"/>
  <c r="DT59" i="6"/>
  <c r="DJ61" i="22"/>
  <c r="AB60" i="8"/>
  <c r="AA62" i="8"/>
  <c r="AC62" i="8"/>
  <c r="AD60" i="8"/>
  <c r="AE62" i="8"/>
  <c r="AF60" i="8"/>
  <c r="DT90" i="6"/>
  <c r="DT89" i="6"/>
  <c r="DT119" i="6"/>
  <c r="Z87" i="7"/>
  <c r="Z62" i="7"/>
  <c r="AD87" i="7"/>
  <c r="AD62" i="7"/>
  <c r="DY87" i="7"/>
  <c r="DY62" i="7"/>
  <c r="AB63" i="7"/>
  <c r="AB34" i="7"/>
  <c r="AF63" i="7"/>
  <c r="AF34" i="7"/>
  <c r="DY63" i="7"/>
  <c r="DY34" i="7"/>
  <c r="AG50" i="7"/>
  <c r="AB49" i="7"/>
  <c r="AC49" i="7"/>
  <c r="AD49" i="7"/>
  <c r="AE49" i="7"/>
  <c r="AF49" i="7"/>
  <c r="AG49" i="7"/>
  <c r="AG43" i="8"/>
  <c r="AB62" i="7"/>
  <c r="AB87" i="7"/>
  <c r="DW87" i="7"/>
  <c r="DW62" i="7"/>
  <c r="AA95" i="7"/>
  <c r="AA94" i="7"/>
  <c r="AA88" i="7"/>
  <c r="AI59" i="6"/>
  <c r="V61" i="22"/>
  <c r="AA61" i="6"/>
  <c r="V103" i="22"/>
  <c r="AA60" i="6"/>
  <c r="AC95" i="7"/>
  <c r="AC94" i="7"/>
  <c r="X61" i="22"/>
  <c r="AC60" i="6"/>
  <c r="AC88" i="7"/>
  <c r="X103" i="22"/>
  <c r="AC61" i="6"/>
  <c r="Z103" i="22"/>
  <c r="AE94" i="7"/>
  <c r="Z61" i="22"/>
  <c r="AE61" i="6"/>
  <c r="AE95" i="7"/>
  <c r="AE60" i="6"/>
  <c r="AE88" i="7"/>
  <c r="AB61" i="22"/>
  <c r="AG61" i="6"/>
  <c r="AG88" i="7"/>
  <c r="AG94" i="7"/>
  <c r="AB103" i="22"/>
  <c r="AG95" i="7"/>
  <c r="AG60" i="6"/>
  <c r="AA60" i="8"/>
  <c r="Z62" i="8"/>
  <c r="AC60" i="8"/>
  <c r="AB62" i="8"/>
  <c r="AE60" i="8"/>
  <c r="AD62" i="8"/>
  <c r="AG60" i="8"/>
  <c r="AF62" i="8"/>
  <c r="AA92" i="7"/>
  <c r="AA91" i="7"/>
  <c r="AC92" i="7"/>
  <c r="AC91" i="7"/>
  <c r="AE92" i="7"/>
  <c r="AE91" i="7"/>
  <c r="AG92" i="7"/>
  <c r="AG91" i="7"/>
  <c r="DX92" i="7"/>
  <c r="DX91" i="7"/>
  <c r="Z91" i="7"/>
  <c r="Z92" i="7"/>
  <c r="AB91" i="7"/>
  <c r="AB92" i="7"/>
  <c r="AD91" i="7"/>
  <c r="AD92" i="7"/>
  <c r="DW92" i="7"/>
  <c r="DW91" i="7"/>
  <c r="DV60" i="6"/>
  <c r="DL61" i="22"/>
  <c r="DY94" i="7"/>
  <c r="DV61" i="6"/>
  <c r="DY95" i="7"/>
  <c r="DV59" i="6"/>
  <c r="DL77" i="22"/>
  <c r="DU60" i="6"/>
  <c r="DX95" i="7"/>
  <c r="DK77" i="22"/>
  <c r="DU61" i="6"/>
  <c r="DX94" i="7"/>
  <c r="DU59" i="6"/>
  <c r="DK61" i="22"/>
  <c r="Z58" i="6"/>
  <c r="Z64" i="11"/>
  <c r="Z57" i="6"/>
  <c r="AB64" i="11"/>
  <c r="AB58" i="6"/>
  <c r="AB57" i="6"/>
  <c r="AD58" i="6"/>
  <c r="AD64" i="11"/>
  <c r="AD57" i="6"/>
  <c r="AF64" i="11"/>
  <c r="AF58" i="6"/>
  <c r="AF57" i="6"/>
  <c r="DT57" i="6"/>
  <c r="DQ64" i="11"/>
  <c r="DT58" i="6"/>
  <c r="DS64" i="11"/>
  <c r="DV58" i="6"/>
  <c r="DV57" i="6"/>
  <c r="Z50" i="7"/>
  <c r="AA49" i="7"/>
  <c r="AF62" i="7"/>
  <c r="AF87" i="7"/>
  <c r="Z182" i="7"/>
  <c r="AA182" i="7"/>
  <c r="Z164" i="7"/>
  <c r="DW182" i="7"/>
  <c r="DX182" i="7"/>
  <c r="AA92" i="8"/>
  <c r="AA77" i="8"/>
  <c r="AA121" i="8"/>
  <c r="AA44" i="8"/>
  <c r="DX44" i="8"/>
  <c r="DX77" i="8"/>
  <c r="DX92" i="8"/>
  <c r="Z190" i="7"/>
  <c r="Z193" i="7"/>
  <c r="Z186" i="7"/>
  <c r="Z184" i="7"/>
  <c r="DW193" i="7"/>
  <c r="DW190" i="7"/>
  <c r="DW186" i="7"/>
  <c r="DW184" i="7"/>
  <c r="AB190" i="7"/>
  <c r="AB193" i="7"/>
  <c r="AB186" i="7"/>
  <c r="AB184" i="7"/>
  <c r="AD186" i="7"/>
  <c r="AD184" i="7"/>
  <c r="AD190" i="7"/>
  <c r="AF190" i="7"/>
  <c r="AF184" i="7"/>
  <c r="AF186" i="7"/>
  <c r="DY190" i="7"/>
  <c r="DY186" i="7"/>
  <c r="DY193" i="7"/>
  <c r="DY184" i="7"/>
  <c r="AF91" i="7"/>
  <c r="AF92" i="7"/>
  <c r="DY92" i="7"/>
  <c r="DY91" i="7"/>
  <c r="AI56" i="6"/>
  <c r="AA64" i="11"/>
  <c r="AA58" i="6"/>
  <c r="AA57" i="6"/>
  <c r="AC57" i="6"/>
  <c r="AC58" i="6"/>
  <c r="AC64" i="11"/>
  <c r="AE64" i="11"/>
  <c r="AE57" i="6"/>
  <c r="AE58" i="6"/>
  <c r="AG58" i="6"/>
  <c r="AG64" i="11"/>
  <c r="AG57" i="6"/>
  <c r="DU58" i="6"/>
  <c r="DU57" i="6"/>
  <c r="DR64" i="11"/>
  <c r="AB92" i="8"/>
  <c r="AB77" i="8"/>
  <c r="AB44" i="8"/>
  <c r="AB121" i="8"/>
  <c r="DW92" i="8"/>
  <c r="DW44" i="8"/>
  <c r="DW77" i="8"/>
  <c r="DY92" i="8"/>
  <c r="DY44" i="8"/>
  <c r="DY77" i="8"/>
  <c r="AA184" i="7"/>
  <c r="AA193" i="7"/>
  <c r="AA186" i="7"/>
  <c r="AA190" i="7"/>
  <c r="AC190" i="7"/>
  <c r="AC184" i="7"/>
  <c r="AC186" i="7"/>
  <c r="AE190" i="7"/>
  <c r="AE184" i="7"/>
  <c r="AE186" i="7"/>
  <c r="AG190" i="7"/>
  <c r="AG186" i="7"/>
  <c r="AG184" i="7"/>
  <c r="DX190" i="7"/>
  <c r="DX184" i="7"/>
  <c r="DX193" i="7"/>
  <c r="DX186" i="7"/>
  <c r="Z192" i="7"/>
  <c r="Z50" i="6"/>
  <c r="Z49" i="6"/>
  <c r="AB192" i="7"/>
  <c r="AB50" i="6"/>
  <c r="AB49" i="6"/>
  <c r="AD49" i="6"/>
  <c r="AD192" i="7"/>
  <c r="AD50" i="6"/>
  <c r="AF50" i="6"/>
  <c r="AF192" i="7"/>
  <c r="AF49" i="6"/>
  <c r="DW192" i="7"/>
  <c r="DT49" i="6"/>
  <c r="DT50" i="6"/>
  <c r="DV49" i="6"/>
  <c r="DY192" i="7"/>
  <c r="DV50" i="6"/>
  <c r="Z35" i="17"/>
  <c r="Z36" i="17"/>
  <c r="Z37" i="17"/>
  <c r="AB36" i="17"/>
  <c r="AB37" i="17"/>
  <c r="AB35" i="17"/>
  <c r="AD36" i="17"/>
  <c r="AD37" i="17"/>
  <c r="AD35" i="17"/>
  <c r="AF35" i="17"/>
  <c r="AF36" i="17"/>
  <c r="AF37" i="17"/>
  <c r="DW35" i="17"/>
  <c r="DW36" i="17"/>
  <c r="DY35" i="17"/>
  <c r="DY36" i="17"/>
  <c r="AC17" i="8"/>
  <c r="AC12" i="17"/>
  <c r="AE17" i="8"/>
  <c r="AE12" i="17"/>
  <c r="AG12" i="17"/>
  <c r="AG17" i="8"/>
  <c r="DX12" i="17"/>
  <c r="DX14" i="17"/>
  <c r="AD12" i="17"/>
  <c r="AD17" i="8"/>
  <c r="AF12" i="17"/>
  <c r="AF17" i="8"/>
  <c r="DW14" i="17"/>
  <c r="DW12" i="17"/>
  <c r="DY14" i="17"/>
  <c r="DY12" i="17"/>
  <c r="Z20" i="17"/>
  <c r="Z18" i="17"/>
  <c r="AB20" i="17"/>
  <c r="AB18" i="17"/>
  <c r="AD18" i="17"/>
  <c r="AD20" i="17"/>
  <c r="AF20" i="17"/>
  <c r="AF18" i="17"/>
  <c r="DW21" i="17"/>
  <c r="DW20" i="17"/>
  <c r="DW18" i="17"/>
  <c r="DY18" i="17"/>
  <c r="DY21" i="17"/>
  <c r="DY20" i="17"/>
  <c r="DX21" i="17"/>
  <c r="DX20" i="17"/>
  <c r="DX18" i="17"/>
  <c r="DW29" i="17"/>
  <c r="DW27" i="17"/>
  <c r="DW28" i="17"/>
  <c r="DW58" i="17"/>
  <c r="DW30" i="17"/>
  <c r="DW42" i="7"/>
  <c r="DW39" i="7"/>
  <c r="DW30" i="8"/>
  <c r="AA27" i="17"/>
  <c r="AA29" i="17"/>
  <c r="AA30" i="17"/>
  <c r="AC27" i="17"/>
  <c r="AC30" i="17"/>
  <c r="AC29" i="17"/>
  <c r="AE27" i="17"/>
  <c r="AE29" i="17"/>
  <c r="AE30" i="17"/>
  <c r="AG27" i="17"/>
  <c r="AG29" i="17"/>
  <c r="AG30" i="17"/>
  <c r="DX58" i="17"/>
  <c r="DX30" i="17"/>
  <c r="DX28" i="17"/>
  <c r="DX27" i="17"/>
  <c r="DU51" i="6"/>
  <c r="DX29" i="17"/>
  <c r="AF22" i="7"/>
  <c r="Z197" i="7"/>
  <c r="DY30" i="17"/>
  <c r="DY27" i="17"/>
  <c r="DY28" i="17"/>
  <c r="DV51" i="6"/>
  <c r="DY29" i="17"/>
  <c r="DY58" i="17"/>
  <c r="Z27" i="17"/>
  <c r="Z30" i="17"/>
  <c r="Z58" i="17"/>
  <c r="Z26" i="17"/>
  <c r="Z29" i="17"/>
  <c r="AB30" i="17"/>
  <c r="AB27" i="17"/>
  <c r="AB29" i="17"/>
  <c r="AD30" i="17"/>
  <c r="AD27" i="17"/>
  <c r="AD29" i="17"/>
  <c r="AF27" i="17"/>
  <c r="AF30" i="17"/>
  <c r="AF29" i="17"/>
  <c r="AA37" i="17"/>
  <c r="AA36" i="17"/>
  <c r="AA35" i="17"/>
  <c r="AC37" i="17"/>
  <c r="AC35" i="17"/>
  <c r="AC36" i="17"/>
  <c r="AE36" i="17"/>
  <c r="AE35" i="17"/>
  <c r="AE37" i="17"/>
  <c r="AG35" i="17"/>
  <c r="AG37" i="17"/>
  <c r="AG36" i="17"/>
  <c r="DX36" i="17"/>
  <c r="DX35" i="17"/>
  <c r="AI48" i="6"/>
  <c r="AA49" i="6"/>
  <c r="AA50" i="6"/>
  <c r="AA192" i="7"/>
  <c r="AC50" i="6"/>
  <c r="AC192" i="7"/>
  <c r="AC49" i="6"/>
  <c r="AE49" i="6"/>
  <c r="AE50" i="6"/>
  <c r="AE192" i="7"/>
  <c r="AG49" i="6"/>
  <c r="AG50" i="6"/>
  <c r="AG192" i="7"/>
  <c r="DU49" i="6"/>
  <c r="DX192" i="7"/>
  <c r="DU50" i="6"/>
  <c r="AA20" i="17"/>
  <c r="AA18" i="17"/>
  <c r="AC20" i="17"/>
  <c r="AC18" i="17"/>
  <c r="AE18" i="17"/>
  <c r="AE20" i="17"/>
  <c r="AG20" i="17"/>
  <c r="AG18" i="17"/>
  <c r="DW110" i="17"/>
  <c r="DW109" i="17"/>
  <c r="AB129" i="17"/>
  <c r="O11" i="35"/>
  <c r="AD129" i="17"/>
  <c r="Q11" i="35"/>
  <c r="AF129" i="17"/>
  <c r="S11" i="35"/>
  <c r="AA109" i="17"/>
  <c r="AA110" i="17"/>
  <c r="AC109" i="17"/>
  <c r="AC110" i="17"/>
  <c r="AE109" i="17"/>
  <c r="AE110" i="17"/>
  <c r="AG109" i="17"/>
  <c r="AG110" i="17"/>
  <c r="DX109" i="17"/>
  <c r="DX110" i="17"/>
  <c r="Z110" i="17"/>
  <c r="Z109" i="17"/>
  <c r="AB110" i="17"/>
  <c r="AB109" i="17"/>
  <c r="AD110" i="17"/>
  <c r="AD109" i="17"/>
  <c r="AF110" i="17"/>
  <c r="AF109" i="17"/>
  <c r="DY110" i="17"/>
  <c r="DY109" i="17"/>
  <c r="AI25" i="12"/>
  <c r="AA500" i="12"/>
  <c r="AA26" i="12"/>
  <c r="AC500" i="12"/>
  <c r="AC26" i="12"/>
  <c r="AE500" i="12"/>
  <c r="AE26" i="12"/>
  <c r="AG500" i="12"/>
  <c r="AG26" i="12"/>
  <c r="DK85" i="22"/>
  <c r="DX26" i="12"/>
  <c r="DK84" i="22"/>
  <c r="Z110" i="8"/>
  <c r="Z116" i="17"/>
  <c r="Z115" i="17"/>
  <c r="AB110" i="8"/>
  <c r="AB115" i="17"/>
  <c r="DW110" i="8"/>
  <c r="DW115" i="17"/>
  <c r="DY110" i="8"/>
  <c r="DY115" i="17"/>
  <c r="AA120" i="17"/>
  <c r="AA119" i="17"/>
  <c r="AC120" i="17"/>
  <c r="AC119" i="17"/>
  <c r="AE120" i="17"/>
  <c r="AE119" i="17"/>
  <c r="AG120" i="17"/>
  <c r="AG119" i="17"/>
  <c r="DX120" i="17"/>
  <c r="DX119" i="17"/>
  <c r="AG73" i="7"/>
  <c r="Z129" i="17"/>
  <c r="M11" i="35"/>
  <c r="AA110" i="8"/>
  <c r="AA118" i="17"/>
  <c r="AA115" i="17"/>
  <c r="AC118" i="17"/>
  <c r="AC115" i="17"/>
  <c r="AE118" i="17"/>
  <c r="AE115" i="17"/>
  <c r="AG118" i="17"/>
  <c r="AG115" i="17"/>
  <c r="DX110" i="8"/>
  <c r="DX115" i="17"/>
  <c r="DX118" i="17"/>
  <c r="U66" i="22"/>
  <c r="Z136" i="17"/>
  <c r="Z135" i="17"/>
  <c r="W66" i="22"/>
  <c r="AB136" i="17"/>
  <c r="AB135" i="17"/>
  <c r="AD135" i="17"/>
  <c r="AD136" i="17"/>
  <c r="Y66" i="22"/>
  <c r="AF135" i="17"/>
  <c r="AF136" i="17"/>
  <c r="AA66" i="22"/>
  <c r="DJ66" i="22"/>
  <c r="DW136" i="17"/>
  <c r="DW135" i="17"/>
  <c r="DL66" i="22"/>
  <c r="DY136" i="17"/>
  <c r="DY135" i="17"/>
  <c r="AA136" i="17"/>
  <c r="V66" i="22"/>
  <c r="AA135" i="17"/>
  <c r="AC136" i="17"/>
  <c r="X66" i="22"/>
  <c r="AC135" i="17"/>
  <c r="Z66" i="22"/>
  <c r="AE135" i="17"/>
  <c r="AE136" i="17"/>
  <c r="AG136" i="17"/>
  <c r="AB66" i="22"/>
  <c r="AG135" i="17"/>
  <c r="DK66" i="22"/>
  <c r="DX135" i="17"/>
  <c r="DX136" i="17"/>
  <c r="AA129" i="17"/>
  <c r="N11" i="35"/>
  <c r="AC129" i="17"/>
  <c r="P11" i="35"/>
  <c r="AD44" i="8"/>
  <c r="R11" i="35"/>
  <c r="AE129" i="17"/>
  <c r="T11" i="35"/>
  <c r="AG129" i="17"/>
  <c r="AA77" i="6"/>
  <c r="AI76" i="6"/>
  <c r="N110" i="35"/>
  <c r="M12" i="5"/>
  <c r="N106" i="35"/>
  <c r="P110" i="35"/>
  <c r="O12" i="5"/>
  <c r="P106" i="35"/>
  <c r="R110" i="35"/>
  <c r="Q12" i="5"/>
  <c r="R106" i="35"/>
  <c r="T106" i="35"/>
  <c r="T110" i="35"/>
  <c r="S12" i="5"/>
  <c r="AI78" i="6"/>
  <c r="N109" i="35"/>
  <c r="AA78" i="6"/>
  <c r="AA93" i="8"/>
  <c r="M126" i="35"/>
  <c r="N117" i="35"/>
  <c r="AA93" i="6"/>
  <c r="AI92" i="6"/>
  <c r="DW118" i="7"/>
  <c r="Z121" i="8"/>
  <c r="Z44" i="8"/>
  <c r="Z77" i="8"/>
  <c r="Z38" i="8"/>
  <c r="Z92" i="8"/>
  <c r="AA64" i="6"/>
  <c r="AI63" i="6"/>
  <c r="AA71" i="6"/>
  <c r="AA90" i="8"/>
  <c r="AI78" i="12"/>
  <c r="AA81" i="12"/>
  <c r="AA80" i="12"/>
  <c r="AA79" i="12"/>
  <c r="DW81" i="12"/>
  <c r="DW80" i="12"/>
  <c r="DW79" i="12"/>
  <c r="DY80" i="12"/>
  <c r="DY81" i="12"/>
  <c r="DY79" i="12"/>
  <c r="AB26" i="12"/>
  <c r="AB500" i="12"/>
  <c r="AD26" i="12"/>
  <c r="AD500" i="12"/>
  <c r="AF26" i="12"/>
  <c r="AF500" i="12"/>
  <c r="DJ84" i="22"/>
  <c r="DJ85" i="22"/>
  <c r="DW26" i="12"/>
  <c r="DY26" i="12"/>
  <c r="DL84" i="22"/>
  <c r="DL85" i="22"/>
  <c r="L12" i="5"/>
  <c r="M110" i="35"/>
  <c r="M106" i="35"/>
  <c r="DY72" i="7"/>
  <c r="AD182" i="7"/>
  <c r="AB115" i="7"/>
  <c r="M109" i="35"/>
  <c r="Z93" i="8"/>
  <c r="N12" i="5"/>
  <c r="O106" i="35"/>
  <c r="O110" i="35"/>
  <c r="Q106" i="35"/>
  <c r="P12" i="5"/>
  <c r="Q110" i="35"/>
  <c r="R12" i="5"/>
  <c r="S110" i="35"/>
  <c r="S106" i="35"/>
  <c r="L126" i="35"/>
  <c r="M117" i="35"/>
  <c r="AF182" i="7"/>
  <c r="AG182" i="7"/>
  <c r="AF164" i="7"/>
  <c r="AA185" i="7"/>
  <c r="DX72" i="7"/>
  <c r="Z71" i="6"/>
  <c r="Z90" i="8"/>
  <c r="AB71" i="6"/>
  <c r="AB90" i="8"/>
  <c r="AD63" i="8"/>
  <c r="DX50" i="7"/>
  <c r="DX49" i="7"/>
  <c r="DX43" i="8"/>
  <c r="AC164" i="7"/>
  <c r="AC22" i="7"/>
  <c r="AF165" i="7"/>
  <c r="AF44" i="8"/>
  <c r="AB197" i="7"/>
  <c r="AC44" i="8"/>
  <c r="AB196" i="7"/>
  <c r="Z80" i="12"/>
  <c r="Z81" i="12"/>
  <c r="Z79" i="12"/>
  <c r="AB79" i="12"/>
  <c r="AB81" i="12"/>
  <c r="AB80" i="12"/>
  <c r="DX81" i="12"/>
  <c r="DX80" i="12"/>
  <c r="DX79" i="12"/>
  <c r="I43" i="14"/>
  <c r="L31" i="22"/>
  <c r="K43" i="14"/>
  <c r="N31" i="22"/>
  <c r="M43" i="14"/>
  <c r="P31" i="22"/>
  <c r="O43" i="14"/>
  <c r="R31" i="22"/>
  <c r="J43" i="14"/>
  <c r="M31" i="22"/>
  <c r="BZ43" i="14"/>
  <c r="O31" i="22"/>
  <c r="L43" i="14"/>
  <c r="Q31" i="22"/>
  <c r="N43" i="14"/>
  <c r="S31" i="22"/>
  <c r="P43" i="14"/>
  <c r="Q43" i="14"/>
  <c r="T31" i="22"/>
  <c r="R43" i="14"/>
  <c r="CM43" i="14"/>
  <c r="CQ43" i="14"/>
  <c r="BZ31" i="22"/>
  <c r="AB61" i="7"/>
  <c r="AB165" i="7"/>
  <c r="DT64" i="6"/>
  <c r="BZ30" i="22"/>
  <c r="CM41" i="14"/>
  <c r="L33" i="22"/>
  <c r="I142" i="14"/>
  <c r="Q95" i="14"/>
  <c r="R95" i="14"/>
  <c r="AA96" i="6"/>
  <c r="AI95" i="6"/>
  <c r="Z13" i="6"/>
  <c r="Z31" i="6"/>
  <c r="Z33" i="6"/>
  <c r="DT36" i="6"/>
  <c r="DT69" i="6"/>
  <c r="DT86" i="6"/>
  <c r="DT71" i="6"/>
  <c r="DT13" i="6"/>
  <c r="DT75" i="6"/>
  <c r="AF63" i="8"/>
  <c r="Q112" i="35"/>
  <c r="AD142" i="17"/>
  <c r="AD143" i="17"/>
  <c r="DV69" i="6"/>
  <c r="DV13" i="6"/>
  <c r="DV36" i="6"/>
  <c r="DV86" i="6"/>
  <c r="DV75" i="6"/>
  <c r="AA32" i="12"/>
  <c r="AI31" i="12"/>
  <c r="AA15" i="6"/>
  <c r="AI14" i="6"/>
  <c r="AA17" i="6"/>
  <c r="AE119" i="7"/>
  <c r="DX108" i="7"/>
  <c r="DW77" i="7"/>
  <c r="AC17" i="6"/>
  <c r="AC15" i="6"/>
  <c r="AE17" i="6"/>
  <c r="AE15" i="6"/>
  <c r="AG17" i="6"/>
  <c r="AG15" i="6"/>
  <c r="DU16" i="6"/>
  <c r="DU15" i="6"/>
  <c r="DU17" i="6"/>
  <c r="DT16" i="6"/>
  <c r="DT17" i="6"/>
  <c r="DT15" i="6"/>
  <c r="DV17" i="6"/>
  <c r="DV16" i="6"/>
  <c r="DV15" i="6"/>
  <c r="Z15" i="6"/>
  <c r="Z17" i="6"/>
  <c r="AB15" i="6"/>
  <c r="AB17" i="6"/>
  <c r="AD15" i="6"/>
  <c r="AD17" i="6"/>
  <c r="AF15" i="6"/>
  <c r="AF17" i="6"/>
  <c r="AA86" i="6"/>
  <c r="AA69" i="6"/>
  <c r="AA75" i="6"/>
  <c r="M7" i="5"/>
  <c r="AI35" i="6"/>
  <c r="AC75" i="6"/>
  <c r="AC69" i="6"/>
  <c r="O7" i="5"/>
  <c r="AC86" i="6"/>
  <c r="AE75" i="6"/>
  <c r="Q7" i="5"/>
  <c r="AE69" i="6"/>
  <c r="AE86" i="6"/>
  <c r="S7" i="5"/>
  <c r="AG86" i="6"/>
  <c r="AG75" i="6"/>
  <c r="AG69" i="6"/>
  <c r="DU13" i="6"/>
  <c r="DU86" i="6"/>
  <c r="DU36" i="6"/>
  <c r="DU69" i="6"/>
  <c r="DU75" i="6"/>
  <c r="DT41" i="6"/>
  <c r="DT40" i="6"/>
  <c r="AI39" i="6"/>
  <c r="AA40" i="6"/>
  <c r="AA41" i="6"/>
  <c r="Z41" i="6"/>
  <c r="Z40" i="6"/>
  <c r="AB41" i="6"/>
  <c r="AB40" i="6"/>
  <c r="AD41" i="6"/>
  <c r="AD40" i="6"/>
  <c r="AF41" i="6"/>
  <c r="AF40" i="6"/>
  <c r="DV40" i="6"/>
  <c r="DV41" i="6"/>
  <c r="AC41" i="6"/>
  <c r="AC40" i="6"/>
  <c r="AE41" i="6"/>
  <c r="AE40" i="6"/>
  <c r="AG45" i="6"/>
  <c r="AG40" i="6"/>
  <c r="AG41" i="6"/>
  <c r="DU41" i="6"/>
  <c r="DU40" i="6"/>
  <c r="DT44" i="6"/>
  <c r="DT43" i="6"/>
  <c r="AA43" i="6"/>
  <c r="AI42" i="6"/>
  <c r="AA44" i="6"/>
  <c r="DW33" i="7"/>
  <c r="AG63" i="8"/>
  <c r="AG33" i="7"/>
  <c r="AG165" i="7"/>
  <c r="DX165" i="7"/>
  <c r="AE164" i="7"/>
  <c r="AE22" i="7"/>
  <c r="AF115" i="7"/>
  <c r="AA179" i="7"/>
  <c r="DV43" i="6"/>
  <c r="DV44" i="6"/>
  <c r="AC44" i="6"/>
  <c r="AC43" i="6"/>
  <c r="AE44" i="6"/>
  <c r="AE43" i="6"/>
  <c r="AG44" i="6"/>
  <c r="AG43" i="6"/>
  <c r="AA55" i="6"/>
  <c r="AI53" i="6"/>
  <c r="AA53" i="6"/>
  <c r="AA54" i="6"/>
  <c r="Z55" i="6"/>
  <c r="Z39" i="6"/>
  <c r="Z53" i="6"/>
  <c r="Z54" i="6"/>
  <c r="L7" i="5"/>
  <c r="Z69" i="6"/>
  <c r="Z75" i="6"/>
  <c r="AG7" i="37"/>
  <c r="Z86" i="6"/>
  <c r="AB86" i="6"/>
  <c r="AB75" i="6"/>
  <c r="N7" i="5"/>
  <c r="AB69" i="6"/>
  <c r="P7" i="5"/>
  <c r="AD75" i="6"/>
  <c r="AD86" i="6"/>
  <c r="AD69" i="6"/>
  <c r="AF75" i="6"/>
  <c r="R7" i="5"/>
  <c r="AF69" i="6"/>
  <c r="AF86" i="6"/>
  <c r="Z70" i="6"/>
  <c r="DU71" i="6"/>
  <c r="AI88" i="6"/>
  <c r="AA89" i="6"/>
  <c r="AA90" i="6"/>
  <c r="AA119" i="6"/>
  <c r="AC119" i="6"/>
  <c r="AC90" i="6"/>
  <c r="AC89" i="6"/>
  <c r="AE119" i="6"/>
  <c r="AE90" i="6"/>
  <c r="AE89" i="6"/>
  <c r="AG119" i="6"/>
  <c r="AG90" i="6"/>
  <c r="AG89" i="6"/>
  <c r="DU90" i="6"/>
  <c r="DU89" i="6"/>
  <c r="DU119" i="6"/>
  <c r="Z89" i="6"/>
  <c r="Z119" i="6"/>
  <c r="Z90" i="6"/>
  <c r="AB89" i="6"/>
  <c r="AB119" i="6"/>
  <c r="AB90" i="6"/>
  <c r="AD89" i="6"/>
  <c r="AD119" i="6"/>
  <c r="AD90" i="6"/>
  <c r="AF119" i="6"/>
  <c r="AF90" i="6"/>
  <c r="AF89" i="6"/>
  <c r="DV89" i="6"/>
  <c r="DV119" i="6"/>
  <c r="DV90" i="6"/>
  <c r="Z96" i="6"/>
  <c r="AG6" i="37"/>
  <c r="AA102" i="15"/>
  <c r="Z102" i="15"/>
  <c r="DX452" i="12"/>
  <c r="DW221" i="12"/>
  <c r="DW117" i="12"/>
  <c r="DW181" i="12"/>
  <c r="DJ116" i="22"/>
  <c r="DY181" i="12"/>
  <c r="DY221" i="12"/>
  <c r="DL116" i="22"/>
  <c r="DX221" i="12"/>
  <c r="DX181" i="12"/>
  <c r="DY452" i="12"/>
  <c r="DX117" i="12"/>
  <c r="DK116" i="22"/>
  <c r="DW175" i="15"/>
  <c r="DW176" i="15"/>
  <c r="DW179" i="15"/>
  <c r="DW177" i="15"/>
  <c r="DW174" i="15"/>
  <c r="DW178" i="15"/>
  <c r="DY177" i="15"/>
  <c r="DY175" i="15"/>
  <c r="DY174" i="15"/>
  <c r="DY179" i="15"/>
  <c r="DY176" i="15"/>
  <c r="DY178" i="15"/>
  <c r="DX176" i="15"/>
  <c r="DX177" i="15"/>
  <c r="DX179" i="15"/>
  <c r="DX178" i="15"/>
  <c r="DX175" i="15"/>
  <c r="DX174" i="15"/>
  <c r="T30" i="22"/>
  <c r="Q41" i="14"/>
  <c r="Q44" i="14"/>
  <c r="Q93" i="14"/>
  <c r="DX104" i="12"/>
  <c r="DX218" i="12"/>
  <c r="CU136" i="12"/>
  <c r="CU291" i="12"/>
  <c r="CU262" i="12"/>
  <c r="CU139" i="12"/>
  <c r="CW136" i="12"/>
  <c r="CW291" i="12"/>
  <c r="CW262" i="12"/>
  <c r="CW139" i="12"/>
  <c r="CY136" i="12"/>
  <c r="CY291" i="12"/>
  <c r="CY262" i="12"/>
  <c r="CY139" i="12"/>
  <c r="DA136" i="12"/>
  <c r="DA291" i="12"/>
  <c r="DA262" i="12"/>
  <c r="DA139" i="12"/>
  <c r="DC136" i="12"/>
  <c r="DC291" i="12"/>
  <c r="DC262" i="12"/>
  <c r="DC139" i="12"/>
  <c r="DE136" i="12"/>
  <c r="DE291" i="12"/>
  <c r="DE262" i="12"/>
  <c r="DE139" i="12"/>
  <c r="DG136" i="12"/>
  <c r="DG291" i="12"/>
  <c r="DG262" i="12"/>
  <c r="DG139" i="12"/>
  <c r="DI136" i="12"/>
  <c r="DI262" i="12"/>
  <c r="DI291" i="12"/>
  <c r="DI139" i="12"/>
  <c r="DY108" i="7"/>
  <c r="DK136" i="12"/>
  <c r="DK291" i="12"/>
  <c r="DK139" i="12"/>
  <c r="DK262" i="12"/>
  <c r="DM262" i="12"/>
  <c r="DM136" i="12"/>
  <c r="DM291" i="12"/>
  <c r="DM139" i="12"/>
  <c r="DO262" i="12"/>
  <c r="DO136" i="12"/>
  <c r="DO291" i="12"/>
  <c r="DO139" i="12"/>
  <c r="DQ262" i="12"/>
  <c r="DQ136" i="12"/>
  <c r="DQ291" i="12"/>
  <c r="DQ139" i="12"/>
  <c r="DS262" i="12"/>
  <c r="DS136" i="12"/>
  <c r="DS291" i="12"/>
  <c r="DS139" i="12"/>
  <c r="DU262" i="12"/>
  <c r="DU139" i="12"/>
  <c r="DU291" i="12"/>
  <c r="DU136" i="12"/>
  <c r="AB43" i="6"/>
  <c r="AB44" i="6"/>
  <c r="AD44" i="6"/>
  <c r="AD43" i="6"/>
  <c r="DW136" i="12"/>
  <c r="DW139" i="12"/>
  <c r="DW291" i="12"/>
  <c r="DW262" i="12"/>
  <c r="DY136" i="12"/>
  <c r="DY139" i="12"/>
  <c r="DY291" i="12"/>
  <c r="DY262" i="12"/>
  <c r="CH135" i="22"/>
  <c r="CH41" i="22"/>
  <c r="CJ135" i="22"/>
  <c r="CJ41" i="22"/>
  <c r="CL135" i="22"/>
  <c r="CL41" i="22"/>
  <c r="CN135" i="22"/>
  <c r="CN41" i="22"/>
  <c r="CP135" i="22"/>
  <c r="CP41" i="22"/>
  <c r="CR135" i="22"/>
  <c r="CR41" i="22"/>
  <c r="CT135" i="22"/>
  <c r="CT41" i="22"/>
  <c r="AD42" i="6"/>
  <c r="AD37" i="11"/>
  <c r="CV135" i="22"/>
  <c r="CV41" i="22"/>
  <c r="CX135" i="22"/>
  <c r="CX41" i="22"/>
  <c r="CZ135" i="22"/>
  <c r="CZ41" i="22"/>
  <c r="DB135" i="22"/>
  <c r="DB41" i="22"/>
  <c r="DD135" i="22"/>
  <c r="DD41" i="22"/>
  <c r="DF135" i="22"/>
  <c r="DF41" i="22"/>
  <c r="DH135" i="22"/>
  <c r="DH41" i="22"/>
  <c r="DJ135" i="22"/>
  <c r="DJ41" i="22"/>
  <c r="DL135" i="22"/>
  <c r="DL41" i="22"/>
  <c r="V80" i="22"/>
  <c r="AA135" i="13"/>
  <c r="AI133" i="13"/>
  <c r="X80" i="22"/>
  <c r="AC135" i="13"/>
  <c r="Z80" i="22"/>
  <c r="AE135" i="13"/>
  <c r="AB80" i="22"/>
  <c r="AG135" i="13"/>
  <c r="DK80" i="22"/>
  <c r="DX135" i="13"/>
  <c r="DX136" i="13"/>
  <c r="Z71" i="12"/>
  <c r="U56" i="22"/>
  <c r="Z72" i="12"/>
  <c r="Z70" i="12"/>
  <c r="AB71" i="12"/>
  <c r="W56" i="22"/>
  <c r="AB72" i="12"/>
  <c r="AB70" i="12"/>
  <c r="AD71" i="12"/>
  <c r="Y56" i="22"/>
  <c r="AD72" i="12"/>
  <c r="AD70" i="12"/>
  <c r="AE143" i="17"/>
  <c r="AE142" i="17"/>
  <c r="R112" i="35"/>
  <c r="AF70" i="12"/>
  <c r="AF72" i="12"/>
  <c r="AA56" i="22"/>
  <c r="AF71" i="12"/>
  <c r="DW72" i="12"/>
  <c r="DW70" i="12"/>
  <c r="DW71" i="12"/>
  <c r="DJ56" i="22"/>
  <c r="DW69" i="12"/>
  <c r="DW32" i="12"/>
  <c r="DY71" i="12"/>
  <c r="DY70" i="12"/>
  <c r="DL56" i="22"/>
  <c r="DY72" i="12"/>
  <c r="U80" i="22"/>
  <c r="Z135" i="13"/>
  <c r="W80" i="22"/>
  <c r="AB135" i="13"/>
  <c r="Y80" i="22"/>
  <c r="AD135" i="13"/>
  <c r="AF135" i="13"/>
  <c r="AA80" i="22"/>
  <c r="DJ80" i="22"/>
  <c r="DW136" i="13"/>
  <c r="DW135" i="13"/>
  <c r="DY135" i="13"/>
  <c r="DL80" i="22"/>
  <c r="DY136" i="13"/>
  <c r="AI254" i="12"/>
  <c r="AA181" i="12"/>
  <c r="V116" i="22"/>
  <c r="AB361" i="12"/>
  <c r="AA452" i="12"/>
  <c r="AC452" i="12"/>
  <c r="AD361" i="12"/>
  <c r="AC181" i="12"/>
  <c r="AC117" i="12"/>
  <c r="X116" i="22"/>
  <c r="AF361" i="12"/>
  <c r="AE181" i="12"/>
  <c r="AE452" i="12"/>
  <c r="AE117" i="12"/>
  <c r="Z116" i="22"/>
  <c r="AG181" i="12"/>
  <c r="AB116" i="22"/>
  <c r="AG452" i="12"/>
  <c r="AG117" i="12"/>
  <c r="Z221" i="12"/>
  <c r="U116" i="22"/>
  <c r="AA361" i="12"/>
  <c r="Z453" i="12"/>
  <c r="W116" i="22"/>
  <c r="AC361" i="12"/>
  <c r="AB117" i="12"/>
  <c r="AB181" i="12"/>
  <c r="AB452" i="12"/>
  <c r="AD452" i="12"/>
  <c r="AD117" i="12"/>
  <c r="Y116" i="22"/>
  <c r="AE361" i="12"/>
  <c r="AD181" i="12"/>
  <c r="AF181" i="12"/>
  <c r="AF117" i="12"/>
  <c r="AG361" i="12"/>
  <c r="AF452" i="12"/>
  <c r="AA116" i="22"/>
  <c r="V117" i="22"/>
  <c r="AA368" i="12"/>
  <c r="X117" i="22"/>
  <c r="AC368" i="12"/>
  <c r="Z117" i="22"/>
  <c r="AE368" i="12"/>
  <c r="AB117" i="22"/>
  <c r="AG368" i="12"/>
  <c r="DX368" i="12"/>
  <c r="DK117" i="22"/>
  <c r="DX219" i="12"/>
  <c r="V133" i="22"/>
  <c r="AA321" i="12"/>
  <c r="AA320" i="12"/>
  <c r="AC320" i="12"/>
  <c r="AC321" i="12"/>
  <c r="X133" i="22"/>
  <c r="Z133" i="22"/>
  <c r="AE321" i="12"/>
  <c r="AE320" i="12"/>
  <c r="AG320" i="12"/>
  <c r="AG321" i="12"/>
  <c r="AB133" i="22"/>
  <c r="DK133" i="22"/>
  <c r="DX321" i="12"/>
  <c r="DX320" i="12"/>
  <c r="AA42" i="6"/>
  <c r="AA37" i="11"/>
  <c r="AC42" i="6"/>
  <c r="AC37" i="11"/>
  <c r="AE42" i="6"/>
  <c r="AE37" i="11"/>
  <c r="AG42" i="6"/>
  <c r="AG37" i="11"/>
  <c r="DS37" i="11"/>
  <c r="DV42" i="6"/>
  <c r="DW104" i="12"/>
  <c r="DW218" i="12"/>
  <c r="DY218" i="12"/>
  <c r="DY104" i="12"/>
  <c r="CT139" i="12"/>
  <c r="CT262" i="12"/>
  <c r="CT291" i="12"/>
  <c r="CT136" i="12"/>
  <c r="CV139" i="12"/>
  <c r="CV262" i="12"/>
  <c r="CV291" i="12"/>
  <c r="CV136" i="12"/>
  <c r="CX139" i="12"/>
  <c r="CX262" i="12"/>
  <c r="CX291" i="12"/>
  <c r="CX136" i="12"/>
  <c r="CZ139" i="12"/>
  <c r="CZ262" i="12"/>
  <c r="CZ291" i="12"/>
  <c r="CZ136" i="12"/>
  <c r="AD146" i="17"/>
  <c r="AD145" i="17"/>
  <c r="AD147" i="17"/>
  <c r="DB262" i="12"/>
  <c r="DB139" i="12"/>
  <c r="DB136" i="12"/>
  <c r="DB291" i="12"/>
  <c r="DD262" i="12"/>
  <c r="DD139" i="12"/>
  <c r="DD136" i="12"/>
  <c r="DD291" i="12"/>
  <c r="DF262" i="12"/>
  <c r="DF139" i="12"/>
  <c r="DF136" i="12"/>
  <c r="DF291" i="12"/>
  <c r="DH262" i="12"/>
  <c r="DH139" i="12"/>
  <c r="DH136" i="12"/>
  <c r="DH291" i="12"/>
  <c r="DJ262" i="12"/>
  <c r="DJ139" i="12"/>
  <c r="DJ136" i="12"/>
  <c r="DJ291" i="12"/>
  <c r="DL262" i="12"/>
  <c r="DL139" i="12"/>
  <c r="DL136" i="12"/>
  <c r="DL291" i="12"/>
  <c r="DN262" i="12"/>
  <c r="DN139" i="12"/>
  <c r="DN136" i="12"/>
  <c r="DN291" i="12"/>
  <c r="DP262" i="12"/>
  <c r="DP139" i="12"/>
  <c r="DP136" i="12"/>
  <c r="DP291" i="12"/>
  <c r="DR136" i="12"/>
  <c r="DR139" i="12"/>
  <c r="DR262" i="12"/>
  <c r="DR291" i="12"/>
  <c r="S107" i="35"/>
  <c r="AB108" i="7"/>
  <c r="AB56" i="6"/>
  <c r="AB109" i="7"/>
  <c r="AB116" i="7"/>
  <c r="DY33" i="7"/>
  <c r="AE146" i="17"/>
  <c r="AE134" i="17"/>
  <c r="AE145" i="17"/>
  <c r="AE147" i="17"/>
  <c r="AD134" i="17"/>
  <c r="AD115" i="17"/>
  <c r="AG111" i="7"/>
  <c r="AG118" i="7"/>
  <c r="DW108" i="7"/>
  <c r="DV56" i="6"/>
  <c r="DY109" i="7"/>
  <c r="DY116" i="7"/>
  <c r="DY115" i="7"/>
  <c r="AA196" i="7"/>
  <c r="AF103" i="7"/>
  <c r="AF104" i="7"/>
  <c r="AA33" i="7"/>
  <c r="Z163" i="7"/>
  <c r="Z165" i="7"/>
  <c r="AA165" i="7"/>
  <c r="AF28" i="8"/>
  <c r="DX196" i="7"/>
  <c r="DV93" i="6"/>
  <c r="AE108" i="7"/>
  <c r="AA132" i="17"/>
  <c r="DY61" i="7"/>
  <c r="AC108" i="7"/>
  <c r="AB79" i="8"/>
  <c r="DT139" i="12"/>
  <c r="DT291" i="12"/>
  <c r="DT136" i="12"/>
  <c r="DT262" i="12"/>
  <c r="DV139" i="12"/>
  <c r="DV291" i="12"/>
  <c r="DV136" i="12"/>
  <c r="DV262" i="12"/>
  <c r="DX139" i="12"/>
  <c r="DX291" i="12"/>
  <c r="DX136" i="12"/>
  <c r="DX262" i="12"/>
  <c r="CG41" i="22"/>
  <c r="CG135" i="22"/>
  <c r="CI41" i="22"/>
  <c r="CI135" i="22"/>
  <c r="Z143" i="17"/>
  <c r="Z142" i="17"/>
  <c r="M112" i="35"/>
  <c r="DX119" i="7"/>
  <c r="CK41" i="22"/>
  <c r="CK135" i="22"/>
  <c r="CM41" i="22"/>
  <c r="CM135" i="22"/>
  <c r="CO41" i="22"/>
  <c r="CO135" i="22"/>
  <c r="CQ41" i="22"/>
  <c r="CQ135" i="22"/>
  <c r="CS41" i="22"/>
  <c r="CS135" i="22"/>
  <c r="CU41" i="22"/>
  <c r="CU135" i="22"/>
  <c r="CW41" i="22"/>
  <c r="CW135" i="22"/>
  <c r="CY41" i="22"/>
  <c r="CY135" i="22"/>
  <c r="DA41" i="22"/>
  <c r="DA135" i="22"/>
  <c r="DC41" i="22"/>
  <c r="DC135" i="22"/>
  <c r="DE41" i="22"/>
  <c r="DE135" i="22"/>
  <c r="DG41" i="22"/>
  <c r="DG135" i="22"/>
  <c r="DI41" i="22"/>
  <c r="DI135" i="22"/>
  <c r="DK41" i="22"/>
  <c r="DK135" i="22"/>
  <c r="AA70" i="12"/>
  <c r="AA71" i="12"/>
  <c r="AA72" i="12"/>
  <c r="V56" i="22"/>
  <c r="AC70" i="12"/>
  <c r="AC71" i="12"/>
  <c r="AC72" i="12"/>
  <c r="X56" i="22"/>
  <c r="AE70" i="12"/>
  <c r="AE71" i="12"/>
  <c r="AE72" i="12"/>
  <c r="Z56" i="22"/>
  <c r="AG70" i="12"/>
  <c r="AG71" i="12"/>
  <c r="AG72" i="12"/>
  <c r="AB56" i="22"/>
  <c r="DX70" i="12"/>
  <c r="DX71" i="12"/>
  <c r="DX72" i="12"/>
  <c r="DK56" i="22"/>
  <c r="AG147" i="17"/>
  <c r="AG145" i="17"/>
  <c r="AG146" i="17"/>
  <c r="AG66" i="8"/>
  <c r="AG72" i="7"/>
  <c r="AB185" i="7"/>
  <c r="DY60" i="17"/>
  <c r="AC146" i="17"/>
  <c r="AC145" i="17"/>
  <c r="AC147" i="17"/>
  <c r="AD115" i="7"/>
  <c r="Z119" i="7"/>
  <c r="Z132" i="12"/>
  <c r="Z104" i="12"/>
  <c r="U117" i="22"/>
  <c r="Z219" i="12"/>
  <c r="W117" i="22"/>
  <c r="AB368" i="12"/>
  <c r="Y117" i="22"/>
  <c r="AD368" i="12"/>
  <c r="AA117" i="22"/>
  <c r="AF368" i="12"/>
  <c r="DJ117" i="22"/>
  <c r="DW219" i="12"/>
  <c r="DY368" i="12"/>
  <c r="DY219" i="12"/>
  <c r="DL117" i="22"/>
  <c r="AB321" i="12"/>
  <c r="AB320" i="12"/>
  <c r="W133" i="22"/>
  <c r="AD321" i="12"/>
  <c r="AD320" i="12"/>
  <c r="Y133" i="22"/>
  <c r="AF320" i="12"/>
  <c r="AF321" i="12"/>
  <c r="AA133" i="22"/>
  <c r="DW321" i="12"/>
  <c r="DW320" i="12"/>
  <c r="DJ133" i="22"/>
  <c r="DY321" i="12"/>
  <c r="DY320" i="12"/>
  <c r="DL133" i="22"/>
  <c r="U141" i="22"/>
  <c r="Z131" i="12"/>
  <c r="Z222" i="12"/>
  <c r="AB180" i="12"/>
  <c r="AB131" i="12"/>
  <c r="W141" i="22"/>
  <c r="AD131" i="12"/>
  <c r="AD180" i="12"/>
  <c r="Y141" i="22"/>
  <c r="AB119" i="7"/>
  <c r="DY120" i="17"/>
  <c r="DY118" i="17"/>
  <c r="DY119" i="17"/>
  <c r="AA41" i="17"/>
  <c r="AA12" i="17"/>
  <c r="AC143" i="17"/>
  <c r="AC134" i="17"/>
  <c r="AC142" i="17"/>
  <c r="P112" i="35"/>
  <c r="AC61" i="7"/>
  <c r="AA141" i="22"/>
  <c r="AF131" i="12"/>
  <c r="AF180" i="12"/>
  <c r="DW180" i="12"/>
  <c r="DW131" i="12"/>
  <c r="DW222" i="12"/>
  <c r="DJ141" i="22"/>
  <c r="DY180" i="12"/>
  <c r="DY131" i="12"/>
  <c r="DY222" i="12"/>
  <c r="DL141" i="22"/>
  <c r="AI87" i="13"/>
  <c r="AA88" i="13"/>
  <c r="Z39" i="12"/>
  <c r="Z40" i="12"/>
  <c r="Z23" i="11"/>
  <c r="AB23" i="11"/>
  <c r="AB40" i="12"/>
  <c r="AB39" i="12"/>
  <c r="AD23" i="11"/>
  <c r="AD39" i="12"/>
  <c r="AD40" i="12"/>
  <c r="AF40" i="12"/>
  <c r="AF39" i="12"/>
  <c r="AF23" i="11"/>
  <c r="DW40" i="12"/>
  <c r="DQ23" i="11"/>
  <c r="DW39" i="12"/>
  <c r="Z38" i="12"/>
  <c r="DY39" i="12"/>
  <c r="DY40" i="12"/>
  <c r="DS23" i="11"/>
  <c r="AA42" i="12"/>
  <c r="AI41" i="12"/>
  <c r="AA41" i="11"/>
  <c r="AA49" i="12"/>
  <c r="AA48" i="12"/>
  <c r="AA502" i="12"/>
  <c r="AI47" i="12"/>
  <c r="AA50" i="12"/>
  <c r="DX185" i="7"/>
  <c r="AC48" i="12"/>
  <c r="AC50" i="12"/>
  <c r="AC502" i="12"/>
  <c r="AC49" i="12"/>
  <c r="AC41" i="11"/>
  <c r="AE502" i="12"/>
  <c r="AE41" i="11"/>
  <c r="AE50" i="12"/>
  <c r="AE48" i="12"/>
  <c r="AE49" i="12"/>
  <c r="AG41" i="11"/>
  <c r="AG50" i="12"/>
  <c r="AG49" i="12"/>
  <c r="AG48" i="12"/>
  <c r="AG502" i="12"/>
  <c r="DX50" i="12"/>
  <c r="DX49" i="12"/>
  <c r="DX48" i="12"/>
  <c r="DR41" i="11"/>
  <c r="AA53" i="12"/>
  <c r="AA50" i="11"/>
  <c r="AA539" i="12"/>
  <c r="AA54" i="12"/>
  <c r="AC53" i="12"/>
  <c r="AC50" i="11"/>
  <c r="AC539" i="12"/>
  <c r="AC54" i="12"/>
  <c r="AE53" i="12"/>
  <c r="AE50" i="11"/>
  <c r="AE539" i="12"/>
  <c r="AE54" i="12"/>
  <c r="Z71" i="8"/>
  <c r="AA28" i="8"/>
  <c r="AC28" i="8"/>
  <c r="AG96" i="6"/>
  <c r="DY77" i="7"/>
  <c r="AE182" i="7"/>
  <c r="AC103" i="7"/>
  <c r="AC104" i="7"/>
  <c r="T112" i="35"/>
  <c r="AG134" i="17"/>
  <c r="AG142" i="17"/>
  <c r="AG143" i="17"/>
  <c r="AC58" i="17"/>
  <c r="DT96" i="6"/>
  <c r="Z175" i="7"/>
  <c r="DT55" i="6"/>
  <c r="DT53" i="6"/>
  <c r="DT54" i="6"/>
  <c r="AD116" i="7"/>
  <c r="AD56" i="6"/>
  <c r="AD109" i="7"/>
  <c r="AD108" i="7"/>
  <c r="AB119" i="17"/>
  <c r="AB118" i="17"/>
  <c r="AB120" i="17"/>
  <c r="AC165" i="7"/>
  <c r="AF41" i="17"/>
  <c r="AG54" i="12"/>
  <c r="AG539" i="12"/>
  <c r="AG50" i="11"/>
  <c r="AG53" i="12"/>
  <c r="DX53" i="12"/>
  <c r="DX54" i="12"/>
  <c r="DR50" i="11"/>
  <c r="AA66" i="12"/>
  <c r="AA59" i="11"/>
  <c r="AA67" i="12"/>
  <c r="AC67" i="12"/>
  <c r="AC66" i="12"/>
  <c r="AC59" i="11"/>
  <c r="AE67" i="12"/>
  <c r="AE59" i="11"/>
  <c r="AE66" i="12"/>
  <c r="AG66" i="12"/>
  <c r="AG59" i="11"/>
  <c r="AG67" i="12"/>
  <c r="Z76" i="11"/>
  <c r="Z108" i="11"/>
  <c r="AB76" i="11"/>
  <c r="AB108" i="11"/>
  <c r="AD76" i="11"/>
  <c r="AD108" i="11"/>
  <c r="AF76" i="11"/>
  <c r="AF108" i="11"/>
  <c r="AA81" i="11"/>
  <c r="AA73" i="11"/>
  <c r="AC81" i="11"/>
  <c r="AC73" i="11"/>
  <c r="Z147" i="17"/>
  <c r="Z134" i="17"/>
  <c r="Z145" i="17"/>
  <c r="Z146" i="17"/>
  <c r="AE77" i="6"/>
  <c r="AE81" i="11"/>
  <c r="AE73" i="11"/>
  <c r="AG81" i="11"/>
  <c r="AG73" i="11"/>
  <c r="AA108" i="11"/>
  <c r="AA76" i="11"/>
  <c r="AA72" i="11"/>
  <c r="DX62" i="8"/>
  <c r="AC72" i="11"/>
  <c r="AC108" i="11"/>
  <c r="AC76" i="11"/>
  <c r="AE108" i="11"/>
  <c r="AE76" i="11"/>
  <c r="AE72" i="11"/>
  <c r="AG72" i="11"/>
  <c r="AG76" i="11"/>
  <c r="AG108" i="11"/>
  <c r="H36" i="5"/>
  <c r="H37" i="5"/>
  <c r="H38" i="5"/>
  <c r="E44" i="5"/>
  <c r="E41" i="5"/>
  <c r="E42" i="5"/>
  <c r="E40" i="5"/>
  <c r="E39" i="5"/>
  <c r="E43" i="5"/>
  <c r="AA130" i="13"/>
  <c r="AA82" i="13"/>
  <c r="AI81" i="13"/>
  <c r="Z82" i="13"/>
  <c r="Z130" i="13"/>
  <c r="AB82" i="13"/>
  <c r="AB130" i="13"/>
  <c r="AD82" i="13"/>
  <c r="AD130" i="13"/>
  <c r="AF82" i="13"/>
  <c r="AF130" i="13"/>
  <c r="DW82" i="13"/>
  <c r="DW130" i="13"/>
  <c r="AB93" i="6"/>
  <c r="AB73" i="8"/>
  <c r="DY82" i="13"/>
  <c r="DY130" i="13"/>
  <c r="AC82" i="13"/>
  <c r="AC130" i="13"/>
  <c r="AE82" i="13"/>
  <c r="AE130" i="13"/>
  <c r="AG82" i="13"/>
  <c r="AG130" i="13"/>
  <c r="DX82" i="13"/>
  <c r="DX130" i="13"/>
  <c r="CM234" i="13"/>
  <c r="CM235" i="13"/>
  <c r="CM274" i="13"/>
  <c r="CM275" i="13"/>
  <c r="AB248" i="12"/>
  <c r="AB247" i="12"/>
  <c r="AD248" i="12"/>
  <c r="AD247" i="12"/>
  <c r="AF248" i="12"/>
  <c r="AF247" i="12"/>
  <c r="AI21" i="12"/>
  <c r="AA22" i="12"/>
  <c r="DX247" i="12"/>
  <c r="DX248" i="12"/>
  <c r="DQ37" i="11"/>
  <c r="CJ39" i="22"/>
  <c r="CJ40" i="22"/>
  <c r="CZ39" i="22"/>
  <c r="CZ40" i="22"/>
  <c r="U51" i="22"/>
  <c r="U52" i="22"/>
  <c r="Z44" i="6"/>
  <c r="DT42" i="6"/>
  <c r="Z42" i="6"/>
  <c r="Z43" i="6"/>
  <c r="DY32" i="12"/>
  <c r="DY69" i="12"/>
  <c r="AI27" i="12"/>
  <c r="AA28" i="12"/>
  <c r="AA40" i="12"/>
  <c r="AA39" i="12"/>
  <c r="AI38" i="12"/>
  <c r="AA23" i="11"/>
  <c r="DX461" i="12"/>
  <c r="DX454" i="12"/>
  <c r="AC23" i="11"/>
  <c r="AC40" i="12"/>
  <c r="AC39" i="12"/>
  <c r="AE23" i="11"/>
  <c r="AE40" i="12"/>
  <c r="AE39" i="12"/>
  <c r="AG40" i="12"/>
  <c r="AG39" i="12"/>
  <c r="AG23" i="11"/>
  <c r="DX40" i="12"/>
  <c r="DR23" i="11"/>
  <c r="DX38" i="12"/>
  <c r="DX39" i="12"/>
  <c r="AE46" i="12"/>
  <c r="AE43" i="12"/>
  <c r="AE45" i="12"/>
  <c r="AB43" i="12"/>
  <c r="AB45" i="12"/>
  <c r="AB46" i="12"/>
  <c r="AF46" i="12"/>
  <c r="AF45" i="12"/>
  <c r="AF43" i="12"/>
  <c r="DW50" i="12"/>
  <c r="DQ41" i="11"/>
  <c r="DW48" i="12"/>
  <c r="DW49" i="12"/>
  <c r="Z48" i="12"/>
  <c r="Z50" i="12"/>
  <c r="Z49" i="12"/>
  <c r="Z502" i="12"/>
  <c r="Z41" i="11"/>
  <c r="AB48" i="12"/>
  <c r="AB41" i="11"/>
  <c r="AB502" i="12"/>
  <c r="AB50" i="12"/>
  <c r="AB49" i="12"/>
  <c r="AD48" i="12"/>
  <c r="AD49" i="12"/>
  <c r="AD50" i="12"/>
  <c r="AD41" i="11"/>
  <c r="AD502" i="12"/>
  <c r="AF49" i="12"/>
  <c r="AF41" i="11"/>
  <c r="AF502" i="12"/>
  <c r="AF50" i="12"/>
  <c r="AF48" i="12"/>
  <c r="DY48" i="12"/>
  <c r="DY50" i="12"/>
  <c r="DS41" i="11"/>
  <c r="DY49" i="12"/>
  <c r="DY42" i="12"/>
  <c r="DY47" i="12"/>
  <c r="AA57" i="12"/>
  <c r="AA56" i="12"/>
  <c r="AC57" i="12"/>
  <c r="AC56" i="12"/>
  <c r="AE57" i="12"/>
  <c r="AE56" i="12"/>
  <c r="AG57" i="12"/>
  <c r="AG56" i="12"/>
  <c r="DX57" i="12"/>
  <c r="DX56" i="12"/>
  <c r="Z539" i="12"/>
  <c r="Z50" i="11"/>
  <c r="Z54" i="12"/>
  <c r="Z53" i="12"/>
  <c r="AB539" i="12"/>
  <c r="AB50" i="11"/>
  <c r="AB54" i="12"/>
  <c r="AB53" i="12"/>
  <c r="AD539" i="12"/>
  <c r="AD50" i="11"/>
  <c r="AD54" i="12"/>
  <c r="AD53" i="12"/>
  <c r="AF539" i="12"/>
  <c r="AF50" i="11"/>
  <c r="AF54" i="12"/>
  <c r="AF53" i="12"/>
  <c r="DW54" i="12"/>
  <c r="DW53" i="12"/>
  <c r="DQ50" i="11"/>
  <c r="DY53" i="12"/>
  <c r="DY54" i="12"/>
  <c r="DS50" i="11"/>
  <c r="AB57" i="12"/>
  <c r="AB56" i="12"/>
  <c r="AD57" i="12"/>
  <c r="AD56" i="12"/>
  <c r="AF57" i="12"/>
  <c r="AF56" i="12"/>
  <c r="DW57" i="12"/>
  <c r="DW56" i="12"/>
  <c r="DY57" i="12"/>
  <c r="DY56" i="12"/>
  <c r="Z63" i="12"/>
  <c r="Z62" i="12"/>
  <c r="Z52" i="12"/>
  <c r="Z60" i="12"/>
  <c r="Z61" i="12"/>
  <c r="AB63" i="12"/>
  <c r="AB61" i="12"/>
  <c r="AB52" i="12"/>
  <c r="AB60" i="12"/>
  <c r="AB62" i="12"/>
  <c r="AD63" i="12"/>
  <c r="AD61" i="12"/>
  <c r="AD52" i="12"/>
  <c r="AD60" i="12"/>
  <c r="AD62" i="12"/>
  <c r="AF62" i="12"/>
  <c r="AF63" i="12"/>
  <c r="AF52" i="12"/>
  <c r="AF60" i="12"/>
  <c r="AF61" i="12"/>
  <c r="DW61" i="12"/>
  <c r="DW52" i="12"/>
  <c r="DW60" i="12"/>
  <c r="DW62" i="12"/>
  <c r="DY62" i="12"/>
  <c r="DY52" i="12"/>
  <c r="DY60" i="12"/>
  <c r="DY61" i="12"/>
  <c r="AA62" i="12"/>
  <c r="AA63" i="12"/>
  <c r="AA52" i="12"/>
  <c r="AA60" i="12"/>
  <c r="AA61" i="12"/>
  <c r="AA107" i="22"/>
  <c r="AF90" i="7"/>
  <c r="AA102" i="22"/>
  <c r="AA104" i="22"/>
  <c r="DX47" i="12"/>
  <c r="DX42" i="12"/>
  <c r="AC61" i="12"/>
  <c r="AC62" i="12"/>
  <c r="AC52" i="12"/>
  <c r="AC60" i="12"/>
  <c r="AC63" i="12"/>
  <c r="AE63" i="12"/>
  <c r="AE61" i="12"/>
  <c r="AE52" i="12"/>
  <c r="AE60" i="12"/>
  <c r="AE62" i="12"/>
  <c r="AG61" i="12"/>
  <c r="AG62" i="12"/>
  <c r="AG52" i="12"/>
  <c r="AG60" i="12"/>
  <c r="AG63" i="12"/>
  <c r="DX61" i="12"/>
  <c r="DX52" i="12"/>
  <c r="DX60" i="12"/>
  <c r="DX62" i="12"/>
  <c r="DX67" i="12"/>
  <c r="DX66" i="12"/>
  <c r="Z66" i="12"/>
  <c r="Z67" i="12"/>
  <c r="Z59" i="11"/>
  <c r="AB59" i="11"/>
  <c r="AB66" i="12"/>
  <c r="AB67" i="12"/>
  <c r="AD67" i="12"/>
  <c r="AD59" i="11"/>
  <c r="AD66" i="12"/>
  <c r="AF59" i="11"/>
  <c r="AF67" i="12"/>
  <c r="AF66" i="12"/>
  <c r="DW66" i="12"/>
  <c r="DW67" i="12"/>
  <c r="DY66" i="12"/>
  <c r="DY67" i="12"/>
  <c r="AC80" i="12"/>
  <c r="AC81" i="12"/>
  <c r="AC79" i="12"/>
  <c r="AE80" i="12"/>
  <c r="AE79" i="12"/>
  <c r="AE81" i="12"/>
  <c r="AE78" i="12"/>
  <c r="AE32" i="12"/>
  <c r="AG79" i="12"/>
  <c r="AG81" i="12"/>
  <c r="AG80" i="12"/>
  <c r="AG78" i="12"/>
  <c r="AG32" i="12"/>
  <c r="AD80" i="12"/>
  <c r="AD79" i="12"/>
  <c r="AD81" i="12"/>
  <c r="AD78" i="12"/>
  <c r="AD32" i="12"/>
  <c r="AF80" i="12"/>
  <c r="AF79" i="12"/>
  <c r="AF81" i="12"/>
  <c r="AF32" i="12"/>
  <c r="AF78" i="12"/>
  <c r="J96" i="12"/>
  <c r="J94" i="12"/>
  <c r="K93" i="12"/>
  <c r="J93" i="12"/>
  <c r="AA96" i="12"/>
  <c r="AA93" i="12"/>
  <c r="AA94" i="12"/>
  <c r="AA95" i="12"/>
  <c r="AA28" i="11"/>
  <c r="AC93" i="12"/>
  <c r="AC94" i="12"/>
  <c r="AC96" i="12"/>
  <c r="AC95" i="12"/>
  <c r="AE93" i="12"/>
  <c r="AE94" i="12"/>
  <c r="AE96" i="12"/>
  <c r="AE95" i="12"/>
  <c r="AG93" i="12"/>
  <c r="AG94" i="12"/>
  <c r="AG96" i="12"/>
  <c r="AG95" i="12"/>
  <c r="Z94" i="12"/>
  <c r="Z96" i="12"/>
  <c r="Z95" i="12"/>
  <c r="Z93" i="12"/>
  <c r="DW197" i="7"/>
  <c r="AC33" i="7"/>
  <c r="DU93" i="6"/>
  <c r="AC45" i="12"/>
  <c r="AC43" i="12"/>
  <c r="AC46" i="12"/>
  <c r="AD43" i="12"/>
  <c r="AD45" i="12"/>
  <c r="AD46" i="12"/>
  <c r="DW174" i="7"/>
  <c r="AG46" i="12"/>
  <c r="AG45" i="12"/>
  <c r="AC44" i="12"/>
  <c r="AD44" i="12"/>
  <c r="AE44" i="12"/>
  <c r="AF44" i="12"/>
  <c r="AG44" i="12"/>
  <c r="AG43" i="12"/>
  <c r="DY170" i="15"/>
  <c r="AB146" i="17"/>
  <c r="AB145" i="17"/>
  <c r="AB147" i="17"/>
  <c r="AA45" i="12"/>
  <c r="AA43" i="12"/>
  <c r="AB44" i="12"/>
  <c r="AA46" i="12"/>
  <c r="M95" i="14"/>
  <c r="AC32" i="12"/>
  <c r="AC78" i="12"/>
  <c r="AB96" i="12"/>
  <c r="AB94" i="12"/>
  <c r="AB95" i="12"/>
  <c r="AB93" i="12"/>
  <c r="AD95" i="12"/>
  <c r="AD94" i="12"/>
  <c r="AD93" i="12"/>
  <c r="AD96" i="12"/>
  <c r="AF93" i="12"/>
  <c r="AF94" i="12"/>
  <c r="AF95" i="12"/>
  <c r="AF96" i="12"/>
  <c r="BF96" i="12"/>
  <c r="BF94" i="12"/>
  <c r="BF537" i="12"/>
  <c r="BH96" i="12"/>
  <c r="BH537" i="12"/>
  <c r="BH94" i="12"/>
  <c r="BJ537" i="12"/>
  <c r="BJ94" i="12"/>
  <c r="BJ96" i="12"/>
  <c r="BL94" i="12"/>
  <c r="BL96" i="12"/>
  <c r="BL537" i="12"/>
  <c r="DW95" i="12"/>
  <c r="DW94" i="12"/>
  <c r="DW96" i="12"/>
  <c r="AG17" i="37"/>
  <c r="AE63" i="8"/>
  <c r="AB41" i="17"/>
  <c r="AA143" i="17"/>
  <c r="AA142" i="17"/>
  <c r="N112" i="35"/>
  <c r="AF119" i="7"/>
  <c r="R117" i="35"/>
  <c r="Z101" i="15"/>
  <c r="AG6" i="6"/>
  <c r="AB3" i="22"/>
  <c r="AB4" i="22"/>
  <c r="Z46" i="6"/>
  <c r="Z45" i="6"/>
  <c r="Z47" i="6"/>
  <c r="AD77" i="6"/>
  <c r="AA146" i="17"/>
  <c r="AA134" i="17"/>
  <c r="AA145" i="17"/>
  <c r="AA147" i="17"/>
  <c r="AG60" i="17"/>
  <c r="AG93" i="6"/>
  <c r="CU97" i="8"/>
  <c r="AA95" i="8"/>
  <c r="DU44" i="6"/>
  <c r="DU43" i="6"/>
  <c r="DX11" i="17"/>
  <c r="DX17" i="8"/>
  <c r="DX76" i="8"/>
  <c r="Z196" i="7"/>
  <c r="DY96" i="12"/>
  <c r="DY95" i="12"/>
  <c r="DY94" i="12"/>
  <c r="AA131" i="12"/>
  <c r="V141" i="22"/>
  <c r="AI286" i="12"/>
  <c r="AA180" i="12"/>
  <c r="AC131" i="12"/>
  <c r="X141" i="22"/>
  <c r="AC180" i="12"/>
  <c r="AE131" i="12"/>
  <c r="AE180" i="12"/>
  <c r="Z141" i="22"/>
  <c r="DW165" i="7"/>
  <c r="AF61" i="7"/>
  <c r="X104" i="22"/>
  <c r="AC90" i="7"/>
  <c r="X102" i="22"/>
  <c r="X107" i="22"/>
  <c r="AG185" i="7"/>
  <c r="AB33" i="7"/>
  <c r="AC38" i="8"/>
  <c r="AC168" i="7"/>
  <c r="AC174" i="7"/>
  <c r="AA197" i="7"/>
  <c r="DW195" i="7"/>
  <c r="AA163" i="7"/>
  <c r="AA21" i="7"/>
  <c r="AA23" i="7"/>
  <c r="AA111" i="7"/>
  <c r="AA118" i="7"/>
  <c r="M30" i="22"/>
  <c r="AF185" i="7"/>
  <c r="AB54" i="6"/>
  <c r="AB53" i="6"/>
  <c r="AB55" i="6"/>
  <c r="O112" i="35"/>
  <c r="AB134" i="17"/>
  <c r="AB142" i="17"/>
  <c r="AB143" i="17"/>
  <c r="Z108" i="7"/>
  <c r="AD185" i="7"/>
  <c r="AF11" i="17"/>
  <c r="AF14" i="17"/>
  <c r="AF15" i="17"/>
  <c r="DX147" i="17"/>
  <c r="DX145" i="17"/>
  <c r="DX146" i="17"/>
  <c r="AG28" i="11"/>
  <c r="AB76" i="8"/>
  <c r="S112" i="35"/>
  <c r="AF142" i="17"/>
  <c r="AF143" i="17"/>
  <c r="AE33" i="7"/>
  <c r="DY185" i="7"/>
  <c r="Z118" i="7"/>
  <c r="AG131" i="12"/>
  <c r="AB141" i="22"/>
  <c r="AA286" i="12"/>
  <c r="AB286" i="12"/>
  <c r="AC286" i="12"/>
  <c r="AD286" i="12"/>
  <c r="AE286" i="12"/>
  <c r="AF286" i="12"/>
  <c r="AG286" i="12"/>
  <c r="AG180" i="12"/>
  <c r="DX222" i="12"/>
  <c r="DX180" i="12"/>
  <c r="DX131" i="12"/>
  <c r="DK141" i="22"/>
  <c r="AA247" i="12"/>
  <c r="AA248" i="12"/>
  <c r="AI246" i="12"/>
  <c r="AC248" i="12"/>
  <c r="AC247" i="12"/>
  <c r="AE248" i="12"/>
  <c r="AE247" i="12"/>
  <c r="AG248" i="12"/>
  <c r="AG247" i="12"/>
  <c r="DW247" i="12"/>
  <c r="DW248" i="12"/>
  <c r="DY247" i="12"/>
  <c r="DY248" i="12"/>
  <c r="DW38" i="12"/>
  <c r="DW472" i="12"/>
  <c r="DY461" i="12"/>
  <c r="DY38" i="12"/>
  <c r="DY454" i="12"/>
  <c r="Z12" i="17"/>
  <c r="I146" i="14"/>
  <c r="DU64" i="6"/>
  <c r="BG94" i="12"/>
  <c r="BG537" i="12"/>
  <c r="BG96" i="12"/>
  <c r="BI96" i="12"/>
  <c r="BI95" i="12"/>
  <c r="BI94" i="12"/>
  <c r="BI92" i="12"/>
  <c r="BI537" i="12"/>
  <c r="BK94" i="12"/>
  <c r="BK537" i="12"/>
  <c r="BK96" i="12"/>
  <c r="BM96" i="12"/>
  <c r="BM95" i="12"/>
  <c r="BM94" i="12"/>
  <c r="BM92" i="12"/>
  <c r="BM537" i="12"/>
  <c r="DX94" i="12"/>
  <c r="DX96" i="12"/>
  <c r="DX95" i="12"/>
  <c r="DW114" i="12"/>
  <c r="DW113" i="12"/>
  <c r="DW186" i="12"/>
  <c r="AB139" i="12"/>
  <c r="AB291" i="12"/>
  <c r="AB262" i="12"/>
  <c r="AB136" i="12"/>
  <c r="AD139" i="12"/>
  <c r="AD291" i="12"/>
  <c r="AD262" i="12"/>
  <c r="AD136" i="12"/>
  <c r="AF136" i="12"/>
  <c r="AF291" i="12"/>
  <c r="AF139" i="12"/>
  <c r="AF262" i="12"/>
  <c r="BZ33" i="22"/>
  <c r="DD39" i="22"/>
  <c r="DD40" i="22"/>
  <c r="DX186" i="12"/>
  <c r="DX114" i="12"/>
  <c r="DX112" i="12"/>
  <c r="DX113" i="12"/>
  <c r="DY113" i="12"/>
  <c r="DY186" i="12"/>
  <c r="DY112" i="12"/>
  <c r="DY114" i="12"/>
  <c r="AA120" i="12"/>
  <c r="AA126" i="12"/>
  <c r="AC120" i="12"/>
  <c r="AC126" i="12"/>
  <c r="AE120" i="12"/>
  <c r="AE126" i="12"/>
  <c r="AG120" i="12"/>
  <c r="AG126" i="12"/>
  <c r="AB127" i="12"/>
  <c r="AB122" i="12"/>
  <c r="AD127" i="12"/>
  <c r="AD122" i="12"/>
  <c r="AF127" i="12"/>
  <c r="AF122" i="12"/>
  <c r="AB120" i="12"/>
  <c r="AB126" i="12"/>
  <c r="AD120" i="12"/>
  <c r="AD126" i="12"/>
  <c r="AF120" i="12"/>
  <c r="AF126" i="12"/>
  <c r="AA127" i="12"/>
  <c r="AA122" i="12"/>
  <c r="AC127" i="12"/>
  <c r="AC122" i="12"/>
  <c r="AE127" i="12"/>
  <c r="AE122" i="12"/>
  <c r="AG127" i="12"/>
  <c r="AG122" i="12"/>
  <c r="AG179" i="12"/>
  <c r="AG132" i="12"/>
  <c r="DX223" i="12"/>
  <c r="DX132" i="12"/>
  <c r="AB177" i="12"/>
  <c r="AB142" i="12"/>
  <c r="AD177" i="12"/>
  <c r="AD142" i="12"/>
  <c r="AF177" i="12"/>
  <c r="AF142" i="12"/>
  <c r="AA262" i="12"/>
  <c r="AA136" i="12"/>
  <c r="AA139" i="12"/>
  <c r="AA291" i="12"/>
  <c r="AI135" i="12"/>
  <c r="CU154" i="12"/>
  <c r="CU155" i="12"/>
  <c r="CW154" i="12"/>
  <c r="CW155" i="12"/>
  <c r="CY154" i="12"/>
  <c r="CY155" i="12"/>
  <c r="DA154" i="12"/>
  <c r="DA155" i="12"/>
  <c r="DC154" i="12"/>
  <c r="DC155" i="12"/>
  <c r="DE154" i="12"/>
  <c r="DE155" i="12"/>
  <c r="DG154" i="12"/>
  <c r="DG155" i="12"/>
  <c r="DI154" i="12"/>
  <c r="DI155" i="12"/>
  <c r="DK154" i="12"/>
  <c r="DK155" i="12"/>
  <c r="DM154" i="12"/>
  <c r="DM155" i="12"/>
  <c r="DO154" i="12"/>
  <c r="DO155" i="12"/>
  <c r="DQ154" i="12"/>
  <c r="DQ155" i="12"/>
  <c r="DS154" i="12"/>
  <c r="DS155" i="12"/>
  <c r="DU154" i="12"/>
  <c r="DU155" i="12"/>
  <c r="T262" i="12"/>
  <c r="T446" i="12"/>
  <c r="T291" i="12"/>
  <c r="T139" i="12"/>
  <c r="T135" i="12"/>
  <c r="T136" i="12"/>
  <c r="V291" i="12"/>
  <c r="V139" i="12"/>
  <c r="V136" i="12"/>
  <c r="V135" i="12"/>
  <c r="V262" i="12"/>
  <c r="X136" i="12"/>
  <c r="X139" i="12"/>
  <c r="X262" i="12"/>
  <c r="X135" i="12"/>
  <c r="X291" i="12"/>
  <c r="Z291" i="12"/>
  <c r="Z136" i="12"/>
  <c r="Z262" i="12"/>
  <c r="Z135" i="12"/>
  <c r="Z139" i="12"/>
  <c r="CN139" i="12"/>
  <c r="CN138" i="12"/>
  <c r="CN291" i="12"/>
  <c r="CN290" i="12"/>
  <c r="CR291" i="12"/>
  <c r="CV290" i="12"/>
  <c r="CR290" i="12"/>
  <c r="R138" i="12"/>
  <c r="R139" i="12"/>
  <c r="S138" i="12"/>
  <c r="CR138" i="12"/>
  <c r="R137" i="12"/>
  <c r="CV138" i="12"/>
  <c r="CR137" i="12"/>
  <c r="CR139" i="12"/>
  <c r="S262" i="12"/>
  <c r="S446" i="12"/>
  <c r="S136" i="12"/>
  <c r="S291" i="12"/>
  <c r="S135" i="12"/>
  <c r="S139" i="12"/>
  <c r="U136" i="12"/>
  <c r="U139" i="12"/>
  <c r="U291" i="12"/>
  <c r="U135" i="12"/>
  <c r="U262" i="12"/>
  <c r="W262" i="12"/>
  <c r="W139" i="12"/>
  <c r="W291" i="12"/>
  <c r="W135" i="12"/>
  <c r="W136" i="12"/>
  <c r="Y136" i="12"/>
  <c r="Y291" i="12"/>
  <c r="Y262" i="12"/>
  <c r="Y135" i="12"/>
  <c r="Y139" i="12"/>
  <c r="AC291" i="12"/>
  <c r="AC139" i="12"/>
  <c r="AC262" i="12"/>
  <c r="AC136" i="12"/>
  <c r="AE139" i="12"/>
  <c r="AE262" i="12"/>
  <c r="AE136" i="12"/>
  <c r="AE291" i="12"/>
  <c r="AG291" i="12"/>
  <c r="AG136" i="12"/>
  <c r="AG262" i="12"/>
  <c r="AG139" i="12"/>
  <c r="CO139" i="12"/>
  <c r="CO138" i="12"/>
  <c r="CS138" i="12"/>
  <c r="CS139" i="12"/>
  <c r="CW138" i="12"/>
  <c r="CR142" i="12"/>
  <c r="CR141" i="12"/>
  <c r="CX142" i="12"/>
  <c r="CX141" i="12"/>
  <c r="DF142" i="12"/>
  <c r="DF141" i="12"/>
  <c r="DK142" i="12"/>
  <c r="DK141" i="12"/>
  <c r="DM142" i="12"/>
  <c r="DM141" i="12"/>
  <c r="AA142" i="12"/>
  <c r="AI140" i="12"/>
  <c r="AC142" i="12"/>
  <c r="AC177" i="12"/>
  <c r="AE142" i="12"/>
  <c r="AE177" i="12"/>
  <c r="CO291" i="12"/>
  <c r="CO290" i="12"/>
  <c r="CO137" i="12"/>
  <c r="CS290" i="12"/>
  <c r="CS137" i="12"/>
  <c r="CW290" i="12"/>
  <c r="CS291" i="12"/>
  <c r="DS142" i="12"/>
  <c r="DS141" i="12"/>
  <c r="DU142" i="12"/>
  <c r="DU141" i="12"/>
  <c r="S142" i="12"/>
  <c r="S141" i="12"/>
  <c r="U142" i="12"/>
  <c r="U141" i="12"/>
  <c r="W142" i="12"/>
  <c r="W141" i="12"/>
  <c r="Y142" i="12"/>
  <c r="Y141" i="12"/>
  <c r="CN142" i="12"/>
  <c r="CN141" i="12"/>
  <c r="AF116" i="7"/>
  <c r="AF56" i="6"/>
  <c r="AF109" i="7"/>
  <c r="AF108" i="7"/>
  <c r="AG59" i="17"/>
  <c r="AG41" i="17"/>
  <c r="DY41" i="17"/>
  <c r="DY59" i="17"/>
  <c r="AB37" i="11"/>
  <c r="AB42" i="6"/>
  <c r="CT142" i="12"/>
  <c r="S140" i="12"/>
  <c r="CT140" i="12"/>
  <c r="CT141" i="12"/>
  <c r="DB141" i="12"/>
  <c r="U140" i="12"/>
  <c r="DB140" i="12"/>
  <c r="DB142" i="12"/>
  <c r="W140" i="12"/>
  <c r="DJ142" i="12"/>
  <c r="DJ140" i="12"/>
  <c r="DJ141" i="12"/>
  <c r="Y140" i="12"/>
  <c r="DL142" i="12"/>
  <c r="DL140" i="12"/>
  <c r="DL141" i="12"/>
  <c r="DT142" i="12"/>
  <c r="DT141" i="12"/>
  <c r="R142" i="12"/>
  <c r="CR140" i="12"/>
  <c r="R140" i="12"/>
  <c r="R141" i="12"/>
  <c r="T142" i="12"/>
  <c r="CX140" i="12"/>
  <c r="T140" i="12"/>
  <c r="T141" i="12"/>
  <c r="V142" i="12"/>
  <c r="DF140" i="12"/>
  <c r="V140" i="12"/>
  <c r="V141" i="12"/>
  <c r="Z142" i="12"/>
  <c r="Z141" i="12"/>
  <c r="CT154" i="12"/>
  <c r="CT155" i="12"/>
  <c r="DB154" i="12"/>
  <c r="DB155" i="12"/>
  <c r="DJ154" i="12"/>
  <c r="DJ155" i="12"/>
  <c r="DR155" i="12"/>
  <c r="DR154" i="12"/>
  <c r="AI156" i="12"/>
  <c r="AA157" i="12"/>
  <c r="CT162" i="12"/>
  <c r="CT161" i="12"/>
  <c r="CV162" i="12"/>
  <c r="CV161" i="12"/>
  <c r="CX162" i="12"/>
  <c r="CX161" i="12"/>
  <c r="CZ162" i="12"/>
  <c r="CZ161" i="12"/>
  <c r="DB162" i="12"/>
  <c r="DB161" i="12"/>
  <c r="DD162" i="12"/>
  <c r="DD161" i="12"/>
  <c r="DF162" i="12"/>
  <c r="DF161" i="12"/>
  <c r="DH162" i="12"/>
  <c r="DH161" i="12"/>
  <c r="DJ162" i="12"/>
  <c r="DJ161" i="12"/>
  <c r="DL162" i="12"/>
  <c r="DL161" i="12"/>
  <c r="DN162" i="12"/>
  <c r="DN161" i="12"/>
  <c r="DP162" i="12"/>
  <c r="DP161" i="12"/>
  <c r="DR162" i="12"/>
  <c r="DR161" i="12"/>
  <c r="DT162" i="12"/>
  <c r="DT161" i="12"/>
  <c r="DV162" i="12"/>
  <c r="DV161" i="12"/>
  <c r="AA154" i="12"/>
  <c r="AI153" i="12"/>
  <c r="DW154" i="12"/>
  <c r="DW155" i="12"/>
  <c r="DY154" i="12"/>
  <c r="DY155" i="12"/>
  <c r="CV155" i="12"/>
  <c r="CV154" i="12"/>
  <c r="CX155" i="12"/>
  <c r="CX154" i="12"/>
  <c r="CZ155" i="12"/>
  <c r="CZ154" i="12"/>
  <c r="DD155" i="12"/>
  <c r="DD154" i="12"/>
  <c r="DF155" i="12"/>
  <c r="DF154" i="12"/>
  <c r="DH155" i="12"/>
  <c r="DH154" i="12"/>
  <c r="DL154" i="12"/>
  <c r="DL155" i="12"/>
  <c r="DN154" i="12"/>
  <c r="DN155" i="12"/>
  <c r="DP155" i="12"/>
  <c r="DP154" i="12"/>
  <c r="DT155" i="12"/>
  <c r="DT154" i="12"/>
  <c r="DV155" i="12"/>
  <c r="DV154" i="12"/>
  <c r="Z57" i="12"/>
  <c r="Z56" i="12"/>
  <c r="CN157" i="12"/>
  <c r="Q156" i="12"/>
  <c r="AA264" i="12"/>
  <c r="AI263" i="12"/>
  <c r="CN293" i="12"/>
  <c r="Q292" i="12"/>
  <c r="CR293" i="12"/>
  <c r="CV293" i="12"/>
  <c r="S157" i="12"/>
  <c r="R157" i="12"/>
  <c r="AB12" i="17"/>
  <c r="AB17" i="8"/>
  <c r="DX32" i="12"/>
  <c r="DX69" i="12"/>
  <c r="Z120" i="12"/>
  <c r="DW126" i="12"/>
  <c r="DW120" i="12"/>
  <c r="DJ118" i="22"/>
  <c r="AD96" i="6"/>
  <c r="AD6" i="6"/>
  <c r="Y3" i="22"/>
  <c r="Y4" i="22"/>
  <c r="DW127" i="12"/>
  <c r="Z122" i="12"/>
  <c r="CR157" i="12"/>
  <c r="CV157" i="12"/>
  <c r="DW157" i="12"/>
  <c r="DW153" i="12"/>
  <c r="DY157" i="12"/>
  <c r="DY153" i="12"/>
  <c r="CR161" i="12"/>
  <c r="CR162" i="12"/>
  <c r="DS162" i="12"/>
  <c r="DS161" i="12"/>
  <c r="CW293" i="12"/>
  <c r="CS293" i="12"/>
  <c r="DW132" i="12"/>
  <c r="DW223" i="12"/>
  <c r="CU162" i="12"/>
  <c r="CU161" i="12"/>
  <c r="CW162" i="12"/>
  <c r="CW161" i="12"/>
  <c r="CY162" i="12"/>
  <c r="CY161" i="12"/>
  <c r="DA162" i="12"/>
  <c r="DA161" i="12"/>
  <c r="DC162" i="12"/>
  <c r="DC161" i="12"/>
  <c r="DE162" i="12"/>
  <c r="DE161" i="12"/>
  <c r="DG162" i="12"/>
  <c r="DG161" i="12"/>
  <c r="DI162" i="12"/>
  <c r="DI161" i="12"/>
  <c r="DK162" i="12"/>
  <c r="DK161" i="12"/>
  <c r="DM162" i="12"/>
  <c r="DM161" i="12"/>
  <c r="DO162" i="12"/>
  <c r="DO161" i="12"/>
  <c r="DQ162" i="12"/>
  <c r="DQ161" i="12"/>
  <c r="DU162" i="12"/>
  <c r="DU161" i="12"/>
  <c r="CN162" i="12"/>
  <c r="Q160" i="12"/>
  <c r="CN160" i="12"/>
  <c r="CN161" i="12"/>
  <c r="AF132" i="12"/>
  <c r="AG176" i="12"/>
  <c r="DY179" i="12"/>
  <c r="DY223" i="12"/>
  <c r="DY176" i="12"/>
  <c r="DY132" i="12"/>
  <c r="Z247" i="12"/>
  <c r="Z327" i="12"/>
  <c r="Z248" i="12"/>
  <c r="AF268" i="12"/>
  <c r="AF267" i="12"/>
  <c r="AG268" i="12"/>
  <c r="AG267" i="12"/>
  <c r="AA282" i="12"/>
  <c r="AA283" i="12"/>
  <c r="AI281" i="12"/>
  <c r="AA281" i="12"/>
  <c r="AI284" i="12"/>
  <c r="AC282" i="12"/>
  <c r="AC283" i="12"/>
  <c r="AG282" i="12"/>
  <c r="AG283" i="12"/>
  <c r="Z283" i="12"/>
  <c r="Z282" i="12"/>
  <c r="AB283" i="12"/>
  <c r="AB282" i="12"/>
  <c r="AD283" i="12"/>
  <c r="AD282" i="12"/>
  <c r="AF283" i="12"/>
  <c r="AF282" i="12"/>
  <c r="DW283" i="12"/>
  <c r="DW282" i="12"/>
  <c r="AI292" i="12"/>
  <c r="AA293" i="12"/>
  <c r="AA287" i="12"/>
  <c r="AA292" i="12"/>
  <c r="V138" i="22"/>
  <c r="AG287" i="12"/>
  <c r="AG293" i="12"/>
  <c r="R290" i="12"/>
  <c r="R291" i="12"/>
  <c r="CR289" i="12"/>
  <c r="R289" i="12"/>
  <c r="S290" i="12"/>
  <c r="S293" i="12"/>
  <c r="R293" i="12"/>
  <c r="AB303" i="12"/>
  <c r="AB302" i="12"/>
  <c r="AD303" i="12"/>
  <c r="AD302" i="12"/>
  <c r="AF303" i="12"/>
  <c r="AF302" i="12"/>
  <c r="DW303" i="12"/>
  <c r="DW302" i="12"/>
  <c r="DY303" i="12"/>
  <c r="DY302" i="12"/>
  <c r="AB308" i="12"/>
  <c r="AB307" i="12"/>
  <c r="AD307" i="12"/>
  <c r="AD308" i="12"/>
  <c r="AF307" i="12"/>
  <c r="AF308" i="12"/>
  <c r="DY308" i="12"/>
  <c r="DY307" i="12"/>
  <c r="AA302" i="12"/>
  <c r="AA303" i="12"/>
  <c r="AC302" i="12"/>
  <c r="AC303" i="12"/>
  <c r="AE302" i="12"/>
  <c r="AE303" i="12"/>
  <c r="AG302" i="12"/>
  <c r="AG303" i="12"/>
  <c r="AA313" i="12"/>
  <c r="AI312" i="12"/>
  <c r="AA315" i="12"/>
  <c r="AI314" i="12"/>
  <c r="AB329" i="12"/>
  <c r="AB326" i="12"/>
  <c r="AB328" i="12"/>
  <c r="AB327" i="12"/>
  <c r="AD329" i="12"/>
  <c r="AD326" i="12"/>
  <c r="AD328" i="12"/>
  <c r="AD327" i="12"/>
  <c r="AF329" i="12"/>
  <c r="AF326" i="12"/>
  <c r="AF328" i="12"/>
  <c r="AF327" i="12"/>
  <c r="DW329" i="12"/>
  <c r="DW326" i="12"/>
  <c r="DW328" i="12"/>
  <c r="DW327" i="12"/>
  <c r="DY329" i="12"/>
  <c r="DY326" i="12"/>
  <c r="DY328" i="12"/>
  <c r="DY327" i="12"/>
  <c r="AA326" i="12"/>
  <c r="AA327" i="12"/>
  <c r="AA329" i="12"/>
  <c r="AA328" i="12"/>
  <c r="AC326" i="12"/>
  <c r="AC327" i="12"/>
  <c r="AC329" i="12"/>
  <c r="AC328" i="12"/>
  <c r="AE326" i="12"/>
  <c r="AE327" i="12"/>
  <c r="AE329" i="12"/>
  <c r="AE328" i="12"/>
  <c r="AG326" i="12"/>
  <c r="AG328" i="12"/>
  <c r="AG327" i="12"/>
  <c r="AG329" i="12"/>
  <c r="DJ119" i="22"/>
  <c r="DW122" i="12"/>
  <c r="DX329" i="12"/>
  <c r="DX328" i="12"/>
  <c r="DX327" i="12"/>
  <c r="DX326" i="12"/>
  <c r="AB334" i="12"/>
  <c r="AB335" i="12"/>
  <c r="AB333" i="12"/>
  <c r="AD333" i="12"/>
  <c r="AD334" i="12"/>
  <c r="AD335" i="12"/>
  <c r="AF335" i="12"/>
  <c r="AF333" i="12"/>
  <c r="AF334" i="12"/>
  <c r="DW333" i="12"/>
  <c r="DW334" i="12"/>
  <c r="DW335" i="12"/>
  <c r="DY335" i="12"/>
  <c r="DY334" i="12"/>
  <c r="DY333" i="12"/>
  <c r="DX302" i="12"/>
  <c r="DX303" i="12"/>
  <c r="Z391" i="12"/>
  <c r="AA396" i="12"/>
  <c r="AA419" i="12"/>
  <c r="Z386" i="12"/>
  <c r="Z389" i="12"/>
  <c r="AC396" i="12"/>
  <c r="AB391" i="12"/>
  <c r="AB389" i="12"/>
  <c r="AC419" i="12"/>
  <c r="AE396" i="12"/>
  <c r="AD391" i="12"/>
  <c r="AD389" i="12"/>
  <c r="AE419" i="12"/>
  <c r="AG396" i="12"/>
  <c r="AF391" i="12"/>
  <c r="AF389" i="12"/>
  <c r="AG419" i="12"/>
  <c r="DW391" i="12"/>
  <c r="DX419" i="12"/>
  <c r="DX396" i="12"/>
  <c r="AB419" i="12"/>
  <c r="AA391" i="12"/>
  <c r="AA389" i="12"/>
  <c r="AB396" i="12"/>
  <c r="AD396" i="12"/>
  <c r="AD419" i="12"/>
  <c r="AC389" i="12"/>
  <c r="AC391" i="12"/>
  <c r="AF419" i="12"/>
  <c r="AE391" i="12"/>
  <c r="AE389" i="12"/>
  <c r="AF396" i="12"/>
  <c r="DY419" i="12"/>
  <c r="DY396" i="12"/>
  <c r="DX391" i="12"/>
  <c r="AC429" i="12"/>
  <c r="AC398" i="12"/>
  <c r="DX421" i="12"/>
  <c r="DX426" i="12"/>
  <c r="AE426" i="12"/>
  <c r="AE421" i="12"/>
  <c r="DY421" i="12"/>
  <c r="DY426" i="12"/>
  <c r="AC394" i="12"/>
  <c r="AC417" i="12"/>
  <c r="AE416" i="12"/>
  <c r="AE417" i="12"/>
  <c r="DY417" i="12"/>
  <c r="DY416" i="12"/>
  <c r="DW484" i="12"/>
  <c r="DW489" i="12"/>
  <c r="DW478" i="12"/>
  <c r="DY484" i="12"/>
  <c r="DY478" i="12"/>
  <c r="DY489" i="12"/>
  <c r="AA489" i="12"/>
  <c r="AA484" i="12"/>
  <c r="AC489" i="12"/>
  <c r="AC484" i="12"/>
  <c r="AE489" i="12"/>
  <c r="AE484" i="12"/>
  <c r="AG489" i="12"/>
  <c r="AG484" i="12"/>
  <c r="DX484" i="12"/>
  <c r="DX478" i="12"/>
  <c r="DX489" i="12"/>
  <c r="CU685" i="12"/>
  <c r="CT571" i="12"/>
  <c r="CT657" i="12"/>
  <c r="CT685" i="12"/>
  <c r="CW685" i="12"/>
  <c r="CV657" i="12"/>
  <c r="CV571" i="12"/>
  <c r="Z113" i="12"/>
  <c r="Z127" i="12"/>
  <c r="Z112" i="12"/>
  <c r="Z186" i="12"/>
  <c r="AG177" i="12"/>
  <c r="AG142" i="12"/>
  <c r="CS141" i="12"/>
  <c r="CS289" i="12"/>
  <c r="CS140" i="12"/>
  <c r="CS142" i="12"/>
  <c r="CW141" i="12"/>
  <c r="CW160" i="12"/>
  <c r="CW153" i="12"/>
  <c r="CW135" i="12"/>
  <c r="CW140" i="12"/>
  <c r="CW142" i="12"/>
  <c r="DQ142" i="12"/>
  <c r="DQ160" i="12"/>
  <c r="DQ153" i="12"/>
  <c r="DQ135" i="12"/>
  <c r="DQ140" i="12"/>
  <c r="DQ141" i="12"/>
  <c r="CW157" i="12"/>
  <c r="CS157" i="12"/>
  <c r="R162" i="12"/>
  <c r="CR160" i="12"/>
  <c r="R160" i="12"/>
  <c r="R161" i="12"/>
  <c r="AA299" i="12"/>
  <c r="AA314" i="12"/>
  <c r="AA308" i="12"/>
  <c r="AA307" i="12"/>
  <c r="AC307" i="12"/>
  <c r="AC308" i="12"/>
  <c r="AE307" i="12"/>
  <c r="AE308" i="12"/>
  <c r="AG307" i="12"/>
  <c r="AG308" i="12"/>
  <c r="AA334" i="12"/>
  <c r="AA335" i="12"/>
  <c r="AA333" i="12"/>
  <c r="AC335" i="12"/>
  <c r="AC333" i="12"/>
  <c r="AC334" i="12"/>
  <c r="AE333" i="12"/>
  <c r="AE335" i="12"/>
  <c r="AE334" i="12"/>
  <c r="AG334" i="12"/>
  <c r="AG333" i="12"/>
  <c r="AG335" i="12"/>
  <c r="DX333" i="12"/>
  <c r="DX335" i="12"/>
  <c r="DX334" i="12"/>
  <c r="AD429" i="12"/>
  <c r="AD398" i="12"/>
  <c r="AB426" i="12"/>
  <c r="AB421" i="12"/>
  <c r="AD417" i="12"/>
  <c r="AD394" i="12"/>
  <c r="AB484" i="12"/>
  <c r="AB489" i="12"/>
  <c r="AD484" i="12"/>
  <c r="AD489" i="12"/>
  <c r="AF484" i="12"/>
  <c r="AF489" i="12"/>
  <c r="CU657" i="12"/>
  <c r="CV685" i="12"/>
  <c r="CU571" i="12"/>
  <c r="AA698" i="12"/>
  <c r="AA697" i="12"/>
  <c r="AE697" i="12"/>
  <c r="AE698" i="12"/>
  <c r="AE696" i="12"/>
  <c r="AE568" i="12"/>
  <c r="T731" i="12"/>
  <c r="T734" i="12"/>
  <c r="S734" i="12"/>
  <c r="V731" i="12"/>
  <c r="V734" i="12"/>
  <c r="X731" i="12"/>
  <c r="X734" i="12"/>
  <c r="Z731" i="12"/>
  <c r="Z734" i="12"/>
  <c r="AB731" i="12"/>
  <c r="AB734" i="12"/>
  <c r="AD731" i="12"/>
  <c r="AD734" i="12"/>
  <c r="AF731" i="12"/>
  <c r="AF734" i="12"/>
  <c r="CU734" i="12"/>
  <c r="CT734" i="12"/>
  <c r="CU731" i="12"/>
  <c r="CV734" i="12"/>
  <c r="CV731" i="12"/>
  <c r="CX734" i="12"/>
  <c r="CX731" i="12"/>
  <c r="CZ734" i="12"/>
  <c r="CZ731" i="12"/>
  <c r="DB734" i="12"/>
  <c r="DB731" i="12"/>
  <c r="DD734" i="12"/>
  <c r="DD731" i="12"/>
  <c r="DF734" i="12"/>
  <c r="DF731" i="12"/>
  <c r="DH734" i="12"/>
  <c r="DH731" i="12"/>
  <c r="DJ734" i="12"/>
  <c r="DJ731" i="12"/>
  <c r="DL734" i="12"/>
  <c r="DL731" i="12"/>
  <c r="DN734" i="12"/>
  <c r="DN731" i="12"/>
  <c r="DP734" i="12"/>
  <c r="DP731" i="12"/>
  <c r="DR734" i="12"/>
  <c r="DR731" i="12"/>
  <c r="DT734" i="12"/>
  <c r="DT731" i="12"/>
  <c r="DV734" i="12"/>
  <c r="DV731" i="12"/>
  <c r="DX734" i="12"/>
  <c r="DX731" i="12"/>
  <c r="U731" i="12"/>
  <c r="U734" i="12"/>
  <c r="AE32" i="8"/>
  <c r="AA102" i="8"/>
  <c r="AF146" i="17"/>
  <c r="AF145" i="17"/>
  <c r="AF147" i="17"/>
  <c r="AF134" i="17"/>
  <c r="AF115" i="17"/>
  <c r="DY38" i="8"/>
  <c r="DY168" i="7"/>
  <c r="DY174" i="7"/>
  <c r="AG54" i="6"/>
  <c r="AG39" i="6"/>
  <c r="AG53" i="6"/>
  <c r="AG55" i="6"/>
  <c r="Z33" i="7"/>
  <c r="Z23" i="7"/>
  <c r="Z111" i="7"/>
  <c r="AE165" i="7"/>
  <c r="DV77" i="6"/>
  <c r="Z195" i="7"/>
  <c r="DX114" i="17"/>
  <c r="DX134" i="17"/>
  <c r="DX142" i="17"/>
  <c r="DX143" i="17"/>
  <c r="Z41" i="17"/>
  <c r="S117" i="35"/>
  <c r="AD179" i="7"/>
  <c r="AB104" i="12"/>
  <c r="DR37" i="11"/>
  <c r="DU42" i="6"/>
  <c r="P117" i="35"/>
  <c r="AE111" i="7"/>
  <c r="AE118" i="7"/>
  <c r="AC111" i="7"/>
  <c r="AC118" i="7"/>
  <c r="AB28" i="8"/>
  <c r="DU96" i="6"/>
  <c r="AD28" i="11"/>
  <c r="AA111" i="8"/>
  <c r="AB45" i="6"/>
  <c r="AB17" i="7"/>
  <c r="AC29" i="8"/>
  <c r="AD66" i="8"/>
  <c r="L11" i="5"/>
  <c r="AC134" i="13"/>
  <c r="AC131" i="13"/>
  <c r="AI98" i="6"/>
  <c r="AA98" i="6"/>
  <c r="AA99" i="6"/>
  <c r="DX41" i="17"/>
  <c r="AB77" i="6"/>
  <c r="AC41" i="17"/>
  <c r="W734" i="12"/>
  <c r="W731" i="12"/>
  <c r="Y731" i="12"/>
  <c r="Y734" i="12"/>
  <c r="AA734" i="12"/>
  <c r="AA731" i="12"/>
  <c r="AC731" i="12"/>
  <c r="AC734" i="12"/>
  <c r="AE734" i="12"/>
  <c r="AE731" i="12"/>
  <c r="AG734" i="12"/>
  <c r="AG733" i="12"/>
  <c r="T733" i="12"/>
  <c r="U733" i="12"/>
  <c r="V733" i="12"/>
  <c r="W733" i="12"/>
  <c r="X733" i="12"/>
  <c r="Y733" i="12"/>
  <c r="Z733" i="12"/>
  <c r="AA733" i="12"/>
  <c r="AB733" i="12"/>
  <c r="AC733" i="12"/>
  <c r="AD733" i="12"/>
  <c r="AE733" i="12"/>
  <c r="AF733" i="12"/>
  <c r="AG731" i="12"/>
  <c r="CW731" i="12"/>
  <c r="CW734" i="12"/>
  <c r="CY734" i="12"/>
  <c r="CY731" i="12"/>
  <c r="DA731" i="12"/>
  <c r="DA734" i="12"/>
  <c r="DC734" i="12"/>
  <c r="DC731" i="12"/>
  <c r="DE731" i="12"/>
  <c r="DE734" i="12"/>
  <c r="DG734" i="12"/>
  <c r="DG731" i="12"/>
  <c r="DI731" i="12"/>
  <c r="DI734" i="12"/>
  <c r="DK734" i="12"/>
  <c r="DK731" i="12"/>
  <c r="DM731" i="12"/>
  <c r="DM734" i="12"/>
  <c r="DO734" i="12"/>
  <c r="DO731" i="12"/>
  <c r="DQ731" i="12"/>
  <c r="DQ734" i="12"/>
  <c r="DS734" i="12"/>
  <c r="DS731" i="12"/>
  <c r="DU731" i="12"/>
  <c r="DU734" i="12"/>
  <c r="DW734" i="12"/>
  <c r="DW731" i="12"/>
  <c r="AD104" i="12"/>
  <c r="AA108" i="7"/>
  <c r="AB102" i="8"/>
  <c r="AA268" i="12"/>
  <c r="AA267" i="12"/>
  <c r="DY142" i="12"/>
  <c r="DY734" i="12"/>
  <c r="DY733" i="12"/>
  <c r="CU733" i="12"/>
  <c r="CV733" i="12"/>
  <c r="CW733" i="12"/>
  <c r="CX733" i="12"/>
  <c r="CY733" i="12"/>
  <c r="CZ733" i="12"/>
  <c r="DA733" i="12"/>
  <c r="DB733" i="12"/>
  <c r="DC733" i="12"/>
  <c r="DD733" i="12"/>
  <c r="DE733" i="12"/>
  <c r="DF733" i="12"/>
  <c r="DG733" i="12"/>
  <c r="DH733" i="12"/>
  <c r="DI733" i="12"/>
  <c r="DJ733" i="12"/>
  <c r="DK733" i="12"/>
  <c r="DL733" i="12"/>
  <c r="DM733" i="12"/>
  <c r="DN733" i="12"/>
  <c r="DO733" i="12"/>
  <c r="DP733" i="12"/>
  <c r="DQ733" i="12"/>
  <c r="DR733" i="12"/>
  <c r="DS733" i="12"/>
  <c r="DT733" i="12"/>
  <c r="DU733" i="12"/>
  <c r="DV733" i="12"/>
  <c r="DW733" i="12"/>
  <c r="DX733" i="12"/>
  <c r="DY731" i="12"/>
  <c r="Z759" i="12"/>
  <c r="Z769" i="12"/>
  <c r="Z697" i="12"/>
  <c r="Z698" i="12"/>
  <c r="AA398" i="12"/>
  <c r="AA429" i="12"/>
  <c r="AB417" i="12"/>
  <c r="AB416" i="12"/>
  <c r="AA568" i="12"/>
  <c r="AA696" i="12"/>
  <c r="Z73" i="11"/>
  <c r="Z72" i="11"/>
  <c r="Z81" i="11"/>
  <c r="AB32" i="12"/>
  <c r="DD142" i="12"/>
  <c r="DD140" i="12"/>
  <c r="DD141" i="12"/>
  <c r="DE141" i="12"/>
  <c r="DE140" i="12"/>
  <c r="DE142" i="12"/>
  <c r="AC77" i="6"/>
  <c r="W104" i="22"/>
  <c r="W102" i="22"/>
  <c r="W107" i="22"/>
  <c r="AC54" i="6"/>
  <c r="AC53" i="6"/>
  <c r="AC55" i="6"/>
  <c r="AB138" i="22"/>
  <c r="AG292" i="12"/>
  <c r="DY196" i="7"/>
  <c r="Z21" i="7"/>
  <c r="DY194" i="7"/>
  <c r="DY195" i="7"/>
  <c r="DY165" i="7"/>
  <c r="DV72" i="7"/>
  <c r="DW72" i="7"/>
  <c r="AG103" i="7"/>
  <c r="AG104" i="7"/>
  <c r="AA61" i="7"/>
  <c r="AE41" i="17"/>
  <c r="DW19" i="7"/>
  <c r="DW20" i="7"/>
  <c r="DW76" i="7"/>
  <c r="DW112" i="7"/>
  <c r="DW119" i="7"/>
  <c r="AD33" i="7"/>
  <c r="AD165" i="7"/>
  <c r="DY76" i="7"/>
  <c r="DY112" i="7"/>
  <c r="DY119" i="7"/>
  <c r="AB28" i="11"/>
  <c r="AB39" i="6"/>
  <c r="AB163" i="6"/>
  <c r="AA38" i="8"/>
  <c r="AA168" i="7"/>
  <c r="AA174" i="7"/>
  <c r="DU56" i="6"/>
  <c r="DX109" i="7"/>
  <c r="DX116" i="7"/>
  <c r="DX115" i="7"/>
  <c r="AC66" i="8"/>
  <c r="DW41" i="17"/>
  <c r="DW185" i="7"/>
  <c r="AC11" i="17"/>
  <c r="AC14" i="17"/>
  <c r="AC15" i="17"/>
  <c r="AF59" i="17"/>
  <c r="AF60" i="17"/>
  <c r="AC32" i="8"/>
  <c r="AB16" i="7"/>
  <c r="AC27" i="8"/>
  <c r="DX61" i="7"/>
  <c r="Y95" i="22"/>
  <c r="Y96" i="22"/>
  <c r="AG115" i="7"/>
  <c r="AD55" i="6"/>
  <c r="AD53" i="6"/>
  <c r="AD54" i="6"/>
  <c r="AC182" i="7"/>
  <c r="Z120" i="17"/>
  <c r="Z118" i="17"/>
  <c r="Z119" i="17"/>
  <c r="DV78" i="6"/>
  <c r="DY93" i="8"/>
  <c r="Z22" i="7"/>
  <c r="Z194" i="7"/>
  <c r="AE54" i="6"/>
  <c r="AE53" i="6"/>
  <c r="AE55" i="6"/>
  <c r="DX33" i="7"/>
  <c r="AE44" i="8"/>
  <c r="Z104" i="22"/>
  <c r="Z102" i="22"/>
  <c r="Z107" i="22"/>
  <c r="AB107" i="22"/>
  <c r="AB102" i="22"/>
  <c r="AB104" i="22"/>
  <c r="S113" i="35"/>
  <c r="AC119" i="7"/>
  <c r="AC96" i="6"/>
  <c r="Z169" i="7"/>
  <c r="AF132" i="17"/>
  <c r="AD61" i="7"/>
  <c r="DX147" i="15"/>
  <c r="DX156" i="15"/>
  <c r="AB206" i="7"/>
  <c r="Z34" i="17"/>
  <c r="Z11" i="17"/>
  <c r="Z14" i="17"/>
  <c r="Z15" i="17"/>
  <c r="AF37" i="11"/>
  <c r="O109" i="35"/>
  <c r="AB78" i="6"/>
  <c r="AB93" i="8"/>
  <c r="AA17" i="8"/>
  <c r="AA76" i="8"/>
  <c r="AC59" i="17"/>
  <c r="AC60" i="17"/>
  <c r="DW158" i="12"/>
  <c r="DJ136" i="22"/>
  <c r="AE28" i="8"/>
  <c r="Z103" i="7"/>
  <c r="Z104" i="7"/>
  <c r="AD103" i="7"/>
  <c r="AD104" i="7"/>
  <c r="T154" i="12"/>
  <c r="DV96" i="6"/>
  <c r="AF31" i="16"/>
  <c r="DQ46" i="11"/>
  <c r="AB76" i="22"/>
  <c r="AB87" i="22"/>
  <c r="AB698" i="12"/>
  <c r="AB697" i="12"/>
  <c r="AF698" i="12"/>
  <c r="AF697" i="12"/>
  <c r="AF568" i="12"/>
  <c r="AF696" i="12"/>
  <c r="AD698" i="12"/>
  <c r="AD697" i="12"/>
  <c r="AD568" i="12"/>
  <c r="AD696" i="12"/>
  <c r="DX155" i="12"/>
  <c r="DX154" i="12"/>
  <c r="DW308" i="12"/>
  <c r="DW307" i="12"/>
  <c r="AA421" i="12"/>
  <c r="AA426" i="12"/>
  <c r="AA417" i="12"/>
  <c r="AA394" i="12"/>
  <c r="AA416" i="12"/>
  <c r="AF287" i="12"/>
  <c r="AF293" i="12"/>
  <c r="AA138" i="22"/>
  <c r="AF292" i="12"/>
  <c r="AG294" i="12"/>
  <c r="AB568" i="12"/>
  <c r="AB696" i="12"/>
  <c r="DX486" i="12"/>
  <c r="DX480" i="12"/>
  <c r="DW156" i="12"/>
  <c r="DW264" i="12"/>
  <c r="Q235" i="13"/>
  <c r="Q234" i="13"/>
  <c r="DX307" i="12"/>
  <c r="DX308" i="12"/>
  <c r="AE283" i="12"/>
  <c r="AE282" i="12"/>
  <c r="AG698" i="12"/>
  <c r="AG697" i="12"/>
  <c r="AG116" i="7"/>
  <c r="AG56" i="6"/>
  <c r="AG109" i="7"/>
  <c r="AG108" i="7"/>
  <c r="AA115" i="8"/>
  <c r="AA78" i="12"/>
  <c r="AA107" i="8"/>
  <c r="AA163" i="6"/>
  <c r="AF64" i="6"/>
  <c r="X142" i="12"/>
  <c r="DK140" i="12"/>
  <c r="X140" i="12"/>
  <c r="X141" i="12"/>
  <c r="DX332" i="12"/>
  <c r="DW306" i="12"/>
  <c r="DW332" i="12"/>
  <c r="DW179" i="12"/>
  <c r="DX306" i="12"/>
  <c r="CO293" i="12"/>
  <c r="AB293" i="12"/>
  <c r="AB287" i="12"/>
  <c r="AB292" i="12"/>
  <c r="W138" i="22"/>
  <c r="AC293" i="12"/>
  <c r="AC287" i="12"/>
  <c r="DX157" i="12"/>
  <c r="DX153" i="12"/>
  <c r="AA332" i="12"/>
  <c r="L30" i="22"/>
  <c r="AB268" i="12"/>
  <c r="AB267" i="12"/>
  <c r="AC268" i="12"/>
  <c r="AC267" i="12"/>
  <c r="AE45" i="6"/>
  <c r="AE17" i="7"/>
  <c r="AF29" i="8"/>
  <c r="AB64" i="6"/>
  <c r="AC89" i="12"/>
  <c r="AD267" i="12"/>
  <c r="AD268" i="12"/>
  <c r="AE267" i="12"/>
  <c r="AE268" i="12"/>
  <c r="DW196" i="7"/>
  <c r="AD58" i="17"/>
  <c r="CO141" i="12"/>
  <c r="CO289" i="12"/>
  <c r="CO140" i="12"/>
  <c r="CO142" i="12"/>
  <c r="Z32" i="12"/>
  <c r="DT6" i="6"/>
  <c r="DJ3" i="22"/>
  <c r="DJ4" i="22"/>
  <c r="T153" i="12"/>
  <c r="T155" i="12"/>
  <c r="O135" i="22"/>
  <c r="AF54" i="6"/>
  <c r="AF53" i="6"/>
  <c r="AF55" i="6"/>
  <c r="DX38" i="8"/>
  <c r="DX168" i="7"/>
  <c r="DX174" i="7"/>
  <c r="DW35" i="8"/>
  <c r="AF294" i="12"/>
  <c r="Z138" i="22"/>
  <c r="AF104" i="12"/>
  <c r="AE163" i="7"/>
  <c r="AE21" i="7"/>
  <c r="AE23" i="7"/>
  <c r="AA169" i="7"/>
  <c r="AC6" i="6"/>
  <c r="X3" i="22"/>
  <c r="X4" i="22"/>
  <c r="Z66" i="8"/>
  <c r="Z69" i="8"/>
  <c r="DW170" i="15"/>
  <c r="AG62" i="8"/>
  <c r="AG13" i="7"/>
  <c r="AG90" i="7"/>
  <c r="DX179" i="7"/>
  <c r="Z179" i="7"/>
  <c r="Z185" i="7"/>
  <c r="AA71" i="8"/>
  <c r="U138" i="22"/>
  <c r="AB78" i="12"/>
  <c r="AB107" i="8"/>
  <c r="AB115" i="8"/>
  <c r="AB95" i="8"/>
  <c r="AE28" i="11"/>
  <c r="AE39" i="6"/>
  <c r="DV64" i="6"/>
  <c r="DW147" i="17"/>
  <c r="DW145" i="17"/>
  <c r="DW146" i="17"/>
  <c r="AD71" i="6"/>
  <c r="DX389" i="12"/>
  <c r="DG142" i="12"/>
  <c r="DG140" i="12"/>
  <c r="DG141" i="12"/>
  <c r="AC112" i="7"/>
  <c r="DX197" i="7"/>
  <c r="AG8" i="37"/>
  <c r="Z36" i="6"/>
  <c r="L8" i="5"/>
  <c r="DX118" i="12"/>
  <c r="DI142" i="12"/>
  <c r="DI140" i="12"/>
  <c r="DI141" i="12"/>
  <c r="DW61" i="7"/>
  <c r="Z56" i="6"/>
  <c r="Z109" i="7"/>
  <c r="Z116" i="7"/>
  <c r="Z115" i="7"/>
  <c r="AB86" i="8"/>
  <c r="AB97" i="8"/>
  <c r="Z166" i="6"/>
  <c r="Z93" i="6"/>
  <c r="AA95" i="6"/>
  <c r="AA6" i="6"/>
  <c r="V3" i="22"/>
  <c r="V4" i="22"/>
  <c r="DY103" i="7"/>
  <c r="DY104" i="7"/>
  <c r="AA56" i="6"/>
  <c r="AA109" i="7"/>
  <c r="AA116" i="7"/>
  <c r="AA115" i="7"/>
  <c r="AD119" i="17"/>
  <c r="AD118" i="17"/>
  <c r="AD120" i="17"/>
  <c r="DW120" i="17"/>
  <c r="DW118" i="17"/>
  <c r="DW119" i="17"/>
  <c r="AD93" i="6"/>
  <c r="AE55" i="11"/>
  <c r="AB132" i="17"/>
  <c r="Q21" i="5"/>
  <c r="AG88" i="13"/>
  <c r="AG398" i="12"/>
  <c r="AG429" i="12"/>
  <c r="DX434" i="12"/>
  <c r="DX479" i="12"/>
  <c r="AC292" i="12"/>
  <c r="X138" i="22"/>
  <c r="Y107" i="22"/>
  <c r="AD90" i="7"/>
  <c r="Y102" i="22"/>
  <c r="Y104" i="22"/>
  <c r="AG696" i="12"/>
  <c r="AG568" i="12"/>
  <c r="CO533" i="12"/>
  <c r="AD332" i="12"/>
  <c r="AD293" i="12"/>
  <c r="AD287" i="12"/>
  <c r="AF88" i="13"/>
  <c r="CM266" i="13"/>
  <c r="CU142" i="12"/>
  <c r="CU140" i="12"/>
  <c r="CU141" i="12"/>
  <c r="AE132" i="12"/>
  <c r="AC104" i="12"/>
  <c r="Z431" i="12"/>
  <c r="Z432" i="12"/>
  <c r="Q11" i="5"/>
  <c r="Q17" i="5"/>
  <c r="AF398" i="12"/>
  <c r="AF429" i="12"/>
  <c r="AG426" i="12"/>
  <c r="AG421" i="12"/>
  <c r="Z425" i="12"/>
  <c r="Y138" i="22"/>
  <c r="AD292" i="12"/>
  <c r="V96" i="22"/>
  <c r="AA51" i="6"/>
  <c r="AA48" i="6"/>
  <c r="U97" i="22"/>
  <c r="U98" i="22"/>
  <c r="Y97" i="22"/>
  <c r="Y98" i="22"/>
  <c r="AF417" i="12"/>
  <c r="AF394" i="12"/>
  <c r="AG394" i="12"/>
  <c r="AG417" i="12"/>
  <c r="AG416" i="12"/>
  <c r="Z132" i="17"/>
  <c r="Q10" i="5"/>
  <c r="AE64" i="6"/>
  <c r="Z430" i="12"/>
  <c r="DX431" i="12"/>
  <c r="AE299" i="12"/>
  <c r="Z395" i="12"/>
  <c r="Z429" i="12"/>
  <c r="AC315" i="12"/>
  <c r="AC59" i="6"/>
  <c r="X77" i="22"/>
  <c r="X92" i="22"/>
  <c r="AB127" i="6"/>
  <c r="AB144" i="6"/>
  <c r="Z97" i="22"/>
  <c r="Z98" i="22"/>
  <c r="Z67" i="11"/>
  <c r="AC434" i="12"/>
  <c r="Y51" i="22"/>
  <c r="Y52" i="22"/>
  <c r="AA104" i="12"/>
  <c r="V95" i="22"/>
  <c r="AC63" i="8"/>
  <c r="AE293" i="12"/>
  <c r="AA294" i="12"/>
  <c r="AB294" i="12"/>
  <c r="AC294" i="12"/>
  <c r="AD294" i="12"/>
  <c r="AE294" i="12"/>
  <c r="AE292" i="12"/>
  <c r="AE287" i="12"/>
  <c r="DX129" i="17"/>
  <c r="DT77" i="6"/>
  <c r="DX93" i="8"/>
  <c r="AF154" i="12"/>
  <c r="AA67" i="11"/>
  <c r="Q11" i="13"/>
  <c r="T161" i="12"/>
  <c r="T160" i="12"/>
  <c r="T162" i="12"/>
  <c r="AF93" i="6"/>
  <c r="DY35" i="8"/>
  <c r="AG13" i="37"/>
  <c r="AG174" i="7"/>
  <c r="AB73" i="11"/>
  <c r="AB72" i="11"/>
  <c r="AB81" i="11"/>
  <c r="AC299" i="12"/>
  <c r="AC314" i="12"/>
  <c r="Z510" i="12"/>
  <c r="CU39" i="22"/>
  <c r="CU40" i="22"/>
  <c r="L13" i="5"/>
  <c r="L14" i="5"/>
  <c r="DO142" i="12"/>
  <c r="DO140" i="12"/>
  <c r="DO141" i="12"/>
  <c r="AG342" i="12"/>
  <c r="DX170" i="15"/>
  <c r="AD390" i="12"/>
  <c r="AD381" i="12"/>
  <c r="AD380" i="12"/>
  <c r="AC31" i="16"/>
  <c r="DT145" i="6"/>
  <c r="DN142" i="12"/>
  <c r="DN140" i="12"/>
  <c r="DN141" i="12"/>
  <c r="DX91" i="8"/>
  <c r="AA342" i="12"/>
  <c r="AF380" i="12"/>
  <c r="AF381" i="12"/>
  <c r="AF390" i="12"/>
  <c r="DW299" i="12"/>
  <c r="AB332" i="12"/>
  <c r="M13" i="5"/>
  <c r="M14" i="5"/>
  <c r="AG132" i="17"/>
  <c r="Z119" i="12"/>
  <c r="AC135" i="12"/>
  <c r="AC112" i="12"/>
  <c r="AC113" i="12"/>
  <c r="Z206" i="7"/>
  <c r="AG44" i="8"/>
  <c r="AG38" i="8"/>
  <c r="AG168" i="7"/>
  <c r="DL119" i="22"/>
  <c r="AD55" i="11"/>
  <c r="AD281" i="12"/>
  <c r="Z91" i="8"/>
  <c r="DY62" i="8"/>
  <c r="AG77" i="6"/>
  <c r="AF332" i="12"/>
  <c r="AB135" i="22"/>
  <c r="AG63" i="11"/>
  <c r="R113" i="35"/>
  <c r="AC80" i="11"/>
  <c r="DW71" i="8"/>
  <c r="AF77" i="6"/>
  <c r="AB135" i="12"/>
  <c r="AB112" i="12"/>
  <c r="AB113" i="12"/>
  <c r="AG58" i="17"/>
  <c r="AA73" i="8"/>
  <c r="AA79" i="8"/>
  <c r="CM224" i="13"/>
  <c r="AD46" i="11"/>
  <c r="DY389" i="12"/>
  <c r="DY391" i="12"/>
  <c r="DS108" i="11"/>
  <c r="Z163" i="6"/>
  <c r="CM20" i="13"/>
  <c r="DR108" i="11"/>
  <c r="AC132" i="12"/>
  <c r="Z387" i="12"/>
  <c r="AG389" i="12"/>
  <c r="AG391" i="12"/>
  <c r="Z76" i="8"/>
  <c r="AE69" i="12"/>
  <c r="AE68" i="11"/>
  <c r="AE77" i="11"/>
  <c r="Z524" i="12"/>
  <c r="DW342" i="12"/>
  <c r="Z472" i="12"/>
  <c r="DX41" i="12"/>
  <c r="DR32" i="11"/>
  <c r="DR36" i="11"/>
  <c r="AF32" i="8"/>
  <c r="DK119" i="22"/>
  <c r="AB69" i="8"/>
  <c r="AF45" i="6"/>
  <c r="AF17" i="7"/>
  <c r="AG29" i="8"/>
  <c r="U62" i="22"/>
  <c r="L15" i="5"/>
  <c r="AD45" i="11"/>
  <c r="DY118" i="12"/>
  <c r="AF524" i="12"/>
  <c r="Z42" i="12"/>
  <c r="DX293" i="12"/>
  <c r="DJ70" i="22"/>
  <c r="AF179" i="7"/>
  <c r="AE16" i="7"/>
  <c r="AF27" i="8"/>
  <c r="DY118" i="7"/>
  <c r="DX71" i="8"/>
  <c r="AE157" i="12"/>
  <c r="AE31" i="16"/>
  <c r="AE104" i="12"/>
  <c r="AF313" i="12"/>
  <c r="AC163" i="7"/>
  <c r="AC21" i="7"/>
  <c r="AC23" i="7"/>
  <c r="DA141" i="12"/>
  <c r="DA140" i="12"/>
  <c r="DA142" i="12"/>
  <c r="S30" i="22"/>
  <c r="DV55" i="6"/>
  <c r="DV53" i="6"/>
  <c r="DV54" i="6"/>
  <c r="AC51" i="6"/>
  <c r="AC48" i="6"/>
  <c r="AE96" i="6"/>
  <c r="CV141" i="12"/>
  <c r="CV140" i="12"/>
  <c r="CV142" i="12"/>
  <c r="AF44" i="6"/>
  <c r="AF42" i="6"/>
  <c r="AF43" i="6"/>
  <c r="AD36" i="11"/>
  <c r="AB154" i="12"/>
  <c r="AB35" i="8"/>
  <c r="AE185" i="7"/>
  <c r="DX112" i="7"/>
  <c r="DX76" i="7"/>
  <c r="DX77" i="7"/>
  <c r="DX59" i="17"/>
  <c r="DX60" i="17"/>
  <c r="AG21" i="7"/>
  <c r="AG23" i="7"/>
  <c r="X135" i="22"/>
  <c r="AB157" i="12"/>
  <c r="Z32" i="11"/>
  <c r="Z36" i="11"/>
  <c r="Z37" i="11"/>
  <c r="P13" i="5"/>
  <c r="P14" i="5"/>
  <c r="U135" i="22"/>
  <c r="DR28" i="11"/>
  <c r="AA158" i="12"/>
  <c r="V136" i="22"/>
  <c r="AC571" i="12"/>
  <c r="DW162" i="15"/>
  <c r="DW163" i="15"/>
  <c r="DY162" i="15"/>
  <c r="DY163" i="15"/>
  <c r="Z421" i="12"/>
  <c r="DX416" i="12"/>
  <c r="Z416" i="12"/>
  <c r="Z426" i="12"/>
  <c r="AE90" i="7"/>
  <c r="AE103" i="7"/>
  <c r="AE104" i="7"/>
  <c r="Z77" i="6"/>
  <c r="DY135" i="12"/>
  <c r="DL39" i="22"/>
  <c r="DL40" i="22"/>
  <c r="Z112" i="7"/>
  <c r="Z20" i="7"/>
  <c r="Z76" i="7"/>
  <c r="Z77" i="7"/>
  <c r="DT95" i="6"/>
  <c r="DT98" i="6"/>
  <c r="DT99" i="6"/>
  <c r="Z100" i="15"/>
  <c r="Z99" i="15"/>
  <c r="AB120" i="8"/>
  <c r="AB122" i="8"/>
  <c r="AB124" i="8"/>
  <c r="M93" i="14"/>
  <c r="M44" i="14"/>
  <c r="P30" i="22"/>
  <c r="DH142" i="12"/>
  <c r="DH160" i="12"/>
  <c r="DH153" i="12"/>
  <c r="DH135" i="12"/>
  <c r="DH140" i="12"/>
  <c r="DH141" i="12"/>
  <c r="Z64" i="6"/>
  <c r="V107" i="22"/>
  <c r="V102" i="22"/>
  <c r="V104" i="22"/>
  <c r="AD132" i="17"/>
  <c r="P107" i="35"/>
  <c r="Z61" i="7"/>
  <c r="DU54" i="6"/>
  <c r="DU53" i="6"/>
  <c r="DU55" i="6"/>
  <c r="Z124" i="6"/>
  <c r="DY197" i="7"/>
  <c r="DR68" i="11"/>
  <c r="AC132" i="17"/>
  <c r="DX118" i="7"/>
  <c r="AE166" i="6"/>
  <c r="AC95" i="6"/>
  <c r="AC98" i="6"/>
  <c r="AC99" i="6"/>
  <c r="AE58" i="17"/>
  <c r="AG70" i="7"/>
  <c r="P113" i="35"/>
  <c r="AD41" i="17"/>
  <c r="V154" i="12"/>
  <c r="AA461" i="12"/>
  <c r="AF33" i="7"/>
  <c r="AF71" i="6"/>
  <c r="AD38" i="8"/>
  <c r="AD168" i="7"/>
  <c r="AD174" i="7"/>
  <c r="AD35" i="8"/>
  <c r="AC46" i="11"/>
  <c r="AB108" i="17"/>
  <c r="AB131" i="17"/>
  <c r="W65" i="22"/>
  <c r="W70" i="22"/>
  <c r="W62" i="22"/>
  <c r="Q265" i="13"/>
  <c r="Q266" i="13"/>
  <c r="DW42" i="12"/>
  <c r="Z461" i="12"/>
  <c r="DU77" i="6"/>
  <c r="DU78" i="6"/>
  <c r="DL59" i="22"/>
  <c r="AE71" i="6"/>
  <c r="R107" i="35"/>
  <c r="BK95" i="12"/>
  <c r="BK92" i="12"/>
  <c r="AD73" i="11"/>
  <c r="AD67" i="11"/>
  <c r="AD72" i="11"/>
  <c r="AD81" i="11"/>
  <c r="DY73" i="8"/>
  <c r="DY79" i="8"/>
  <c r="AD135" i="12"/>
  <c r="AD112" i="12"/>
  <c r="AD113" i="12"/>
  <c r="AA125" i="12"/>
  <c r="AA128" i="12"/>
  <c r="DW293" i="12"/>
  <c r="DS28" i="11"/>
  <c r="DH39" i="22"/>
  <c r="DH40" i="22"/>
  <c r="DL37" i="22"/>
  <c r="DL38" i="22"/>
  <c r="AB96" i="6"/>
  <c r="DU6" i="6"/>
  <c r="DK3" i="22"/>
  <c r="DK4" i="22"/>
  <c r="DO160" i="12"/>
  <c r="DO153" i="12"/>
  <c r="DO135" i="12"/>
  <c r="DB39" i="22"/>
  <c r="DB40" i="22"/>
  <c r="DJ39" i="22"/>
  <c r="DJ40" i="22"/>
  <c r="AA51" i="22"/>
  <c r="AA52" i="22"/>
  <c r="AG32" i="8"/>
  <c r="DW86" i="8"/>
  <c r="DW97" i="8"/>
  <c r="AD157" i="12"/>
  <c r="DW88" i="13"/>
  <c r="AB264" i="12"/>
  <c r="AF19" i="11"/>
  <c r="Z313" i="12"/>
  <c r="Q31" i="13"/>
  <c r="AC461" i="12"/>
  <c r="Z106" i="12"/>
  <c r="DK102" i="22"/>
  <c r="DK104" i="22"/>
  <c r="DG160" i="12"/>
  <c r="DG153" i="12"/>
  <c r="DG135" i="12"/>
  <c r="CT39" i="22"/>
  <c r="CT40" i="22"/>
  <c r="Z385" i="12"/>
  <c r="DL160" i="12"/>
  <c r="DL153" i="12"/>
  <c r="DL135" i="12"/>
  <c r="CY39" i="22"/>
  <c r="CY40" i="22"/>
  <c r="DG39" i="22"/>
  <c r="DG40" i="22"/>
  <c r="X51" i="22"/>
  <c r="X52" i="22"/>
  <c r="DY119" i="12"/>
  <c r="DY125" i="12"/>
  <c r="DY128" i="12"/>
  <c r="AD169" i="7"/>
  <c r="AA477" i="12"/>
  <c r="AA485" i="12"/>
  <c r="AA487" i="12"/>
  <c r="DX155" i="15"/>
  <c r="DX171" i="15"/>
  <c r="DW62" i="8"/>
  <c r="DW103" i="7"/>
  <c r="DW104" i="7"/>
  <c r="Z110" i="7"/>
  <c r="Z117" i="7"/>
  <c r="P135" i="22"/>
  <c r="DW132" i="17"/>
  <c r="DW131" i="17"/>
  <c r="DJ65" i="22"/>
  <c r="AB524" i="12"/>
  <c r="AC431" i="12"/>
  <c r="AF510" i="12"/>
  <c r="DY92" i="12"/>
  <c r="AC76" i="7"/>
  <c r="AC77" i="7"/>
  <c r="O15" i="5"/>
  <c r="DY293" i="12"/>
  <c r="AG31" i="16"/>
  <c r="Q13" i="5"/>
  <c r="Q14" i="5"/>
  <c r="DW390" i="12"/>
  <c r="DW50" i="7"/>
  <c r="AA55" i="11"/>
  <c r="Z59" i="17"/>
  <c r="Z60" i="17"/>
  <c r="AE67" i="11"/>
  <c r="AG11" i="17"/>
  <c r="AG14" i="17"/>
  <c r="AG15" i="17"/>
  <c r="DX299" i="12"/>
  <c r="AD342" i="12"/>
  <c r="DX264" i="12"/>
  <c r="DY90" i="7"/>
  <c r="DL102" i="22"/>
  <c r="DL104" i="22"/>
  <c r="AE158" i="12"/>
  <c r="Z136" i="22"/>
  <c r="DV142" i="12"/>
  <c r="DV140" i="12"/>
  <c r="DV141" i="12"/>
  <c r="AF135" i="12"/>
  <c r="AF112" i="12"/>
  <c r="AF113" i="12"/>
  <c r="DT93" i="6"/>
  <c r="DI160" i="12"/>
  <c r="DI153" i="12"/>
  <c r="DI135" i="12"/>
  <c r="CV39" i="22"/>
  <c r="CV40" i="22"/>
  <c r="CU95" i="8"/>
  <c r="AE93" i="6"/>
  <c r="M107" i="35"/>
  <c r="AF78" i="6"/>
  <c r="S109" i="35"/>
  <c r="AD132" i="12"/>
  <c r="AB704" i="12"/>
  <c r="Z95" i="22"/>
  <c r="Z96" i="22"/>
  <c r="DS67" i="11"/>
  <c r="DS72" i="11"/>
  <c r="DS73" i="11"/>
  <c r="DA160" i="12"/>
  <c r="DA153" i="12"/>
  <c r="DA135" i="12"/>
  <c r="CN39" i="22"/>
  <c r="CN40" i="22"/>
  <c r="AE264" i="12"/>
  <c r="AE59" i="6"/>
  <c r="Z77" i="22"/>
  <c r="Z92" i="22"/>
  <c r="AC421" i="12"/>
  <c r="AC416" i="12"/>
  <c r="AC426" i="12"/>
  <c r="CM17" i="13"/>
  <c r="AC64" i="6"/>
  <c r="AB398" i="12"/>
  <c r="AB394" i="12"/>
  <c r="AB429" i="12"/>
  <c r="DX342" i="12"/>
  <c r="DY477" i="12"/>
  <c r="DY485" i="12"/>
  <c r="DY487" i="12"/>
  <c r="Z381" i="12"/>
  <c r="Z390" i="12"/>
  <c r="AB161" i="12"/>
  <c r="AD89" i="12"/>
  <c r="DK70" i="22"/>
  <c r="AC42" i="12"/>
  <c r="AD64" i="6"/>
  <c r="DX79" i="8"/>
  <c r="R15" i="5"/>
  <c r="DY126" i="12"/>
  <c r="DY264" i="12"/>
  <c r="DY255" i="12"/>
  <c r="AB38" i="8"/>
  <c r="AB168" i="7"/>
  <c r="AB174" i="7"/>
  <c r="DX126" i="12"/>
  <c r="S154" i="12"/>
  <c r="V51" i="22"/>
  <c r="V52" i="22"/>
  <c r="DW65" i="8"/>
  <c r="DW66" i="8"/>
  <c r="DW69" i="8"/>
  <c r="Z98" i="7"/>
  <c r="AC63" i="11"/>
  <c r="AB182" i="7"/>
  <c r="DW134" i="17"/>
  <c r="DW142" i="17"/>
  <c r="DW143" i="17"/>
  <c r="DU160" i="12"/>
  <c r="DU153" i="12"/>
  <c r="DU135" i="12"/>
  <c r="DU140" i="12"/>
  <c r="DY140" i="12"/>
  <c r="DY177" i="12"/>
  <c r="DY122" i="12"/>
  <c r="DY127" i="12"/>
  <c r="AG157" i="12"/>
  <c r="DY147" i="17"/>
  <c r="DY145" i="17"/>
  <c r="DY146" i="17"/>
  <c r="DE160" i="12"/>
  <c r="DE153" i="12"/>
  <c r="DE135" i="12"/>
  <c r="CR39" i="22"/>
  <c r="CR40" i="22"/>
  <c r="AF22" i="12"/>
  <c r="DY46" i="17"/>
  <c r="DY55" i="12"/>
  <c r="AB70" i="6"/>
  <c r="AG71" i="7"/>
  <c r="V102" i="15"/>
  <c r="AA39" i="6"/>
  <c r="AA45" i="6"/>
  <c r="AA17" i="7"/>
  <c r="AB29" i="8"/>
  <c r="AB153" i="12"/>
  <c r="AB155" i="12"/>
  <c r="W135" i="22"/>
  <c r="AE179" i="7"/>
  <c r="AB88" i="13"/>
  <c r="U104" i="22"/>
  <c r="U102" i="22"/>
  <c r="U107" i="22"/>
  <c r="AC93" i="6"/>
  <c r="DW91" i="8"/>
  <c r="Z32" i="8"/>
  <c r="Z122" i="6"/>
  <c r="Z123" i="6"/>
  <c r="AD122" i="6"/>
  <c r="AD123" i="6"/>
  <c r="DK65" i="22"/>
  <c r="DX17" i="17"/>
  <c r="DX128" i="17"/>
  <c r="DX108" i="17"/>
  <c r="DX131" i="17"/>
  <c r="DX132" i="17"/>
  <c r="AD78" i="6"/>
  <c r="Q109" i="35"/>
  <c r="DY22" i="12"/>
  <c r="DY21" i="12"/>
  <c r="DY25" i="12"/>
  <c r="DY114" i="17"/>
  <c r="DY134" i="17"/>
  <c r="DY142" i="17"/>
  <c r="DY143" i="17"/>
  <c r="AE154" i="12"/>
  <c r="DP142" i="12"/>
  <c r="DP140" i="12"/>
  <c r="DP141" i="12"/>
  <c r="DX88" i="13"/>
  <c r="AF80" i="11"/>
  <c r="AC36" i="6"/>
  <c r="O8" i="5"/>
  <c r="AG36" i="6"/>
  <c r="S8" i="5"/>
  <c r="DW73" i="8"/>
  <c r="DW79" i="8"/>
  <c r="AC45" i="11"/>
  <c r="AC58" i="11"/>
  <c r="AC67" i="11"/>
  <c r="Q117" i="35"/>
  <c r="AE38" i="8"/>
  <c r="AE168" i="7"/>
  <c r="AE174" i="7"/>
  <c r="DY22" i="7"/>
  <c r="DX73" i="8"/>
  <c r="DX35" i="8"/>
  <c r="Q107" i="35"/>
  <c r="AD31" i="16"/>
  <c r="DX163" i="7"/>
  <c r="DX21" i="7"/>
  <c r="DX23" i="7"/>
  <c r="DX111" i="7"/>
  <c r="DD160" i="12"/>
  <c r="DD153" i="12"/>
  <c r="DD135" i="12"/>
  <c r="CQ39" i="22"/>
  <c r="CQ40" i="22"/>
  <c r="DV145" i="6"/>
  <c r="AF28" i="11"/>
  <c r="AF39" i="6"/>
  <c r="DW142" i="12"/>
  <c r="DW92" i="12"/>
  <c r="AC78" i="6"/>
  <c r="P109" i="35"/>
  <c r="AF112" i="7"/>
  <c r="AF77" i="7"/>
  <c r="AG28" i="8"/>
  <c r="I93" i="14"/>
  <c r="I95" i="14"/>
  <c r="R292" i="12"/>
  <c r="R294" i="12"/>
  <c r="M138" i="22"/>
  <c r="AC69" i="12"/>
  <c r="AC68" i="11"/>
  <c r="AC77" i="11"/>
  <c r="AG188" i="7"/>
  <c r="DX29" i="8"/>
  <c r="DW17" i="7"/>
  <c r="DW29" i="8"/>
  <c r="DR19" i="11"/>
  <c r="AG74" i="7"/>
  <c r="CM11" i="13"/>
  <c r="DJ62" i="22"/>
  <c r="AF157" i="12"/>
  <c r="AB42" i="12"/>
  <c r="AB461" i="12"/>
  <c r="AC45" i="6"/>
  <c r="AC17" i="7"/>
  <c r="AD29" i="8"/>
  <c r="Z17" i="8"/>
  <c r="DW11" i="17"/>
  <c r="DW17" i="8"/>
  <c r="DW76" i="8"/>
  <c r="AF38" i="8"/>
  <c r="AF168" i="7"/>
  <c r="AF174" i="7"/>
  <c r="AG545" i="12"/>
  <c r="AG505" i="12"/>
  <c r="AG510" i="12"/>
  <c r="AA134" i="13"/>
  <c r="AA131" i="13"/>
  <c r="Z322" i="12"/>
  <c r="Z323" i="12"/>
  <c r="AF35" i="8"/>
  <c r="AB132" i="12"/>
  <c r="Q30" i="13"/>
  <c r="Q17" i="13"/>
  <c r="AG434" i="12"/>
  <c r="S15" i="5"/>
  <c r="AF130" i="12"/>
  <c r="AF133" i="12"/>
  <c r="DY130" i="12"/>
  <c r="DY133" i="12"/>
  <c r="AF179" i="12"/>
  <c r="AG306" i="12"/>
  <c r="AB195" i="7"/>
  <c r="AB6" i="6"/>
  <c r="W3" i="22"/>
  <c r="W4" i="22"/>
  <c r="Z45" i="11"/>
  <c r="Z46" i="11"/>
  <c r="AB103" i="7"/>
  <c r="AB104" i="7"/>
  <c r="AB66" i="8"/>
  <c r="AB71" i="8"/>
  <c r="DW194" i="7"/>
  <c r="AF704" i="12"/>
  <c r="DX90" i="7"/>
  <c r="DX103" i="7"/>
  <c r="DX104" i="7"/>
  <c r="DX354" i="12"/>
  <c r="DX355" i="12"/>
  <c r="AB160" i="12"/>
  <c r="AA132" i="12"/>
  <c r="AB19" i="11"/>
  <c r="DL118" i="22"/>
  <c r="DY292" i="12"/>
  <c r="DY287" i="12"/>
  <c r="DY120" i="12"/>
  <c r="N107" i="35"/>
  <c r="DW314" i="12"/>
  <c r="DW315" i="12"/>
  <c r="AD164" i="7"/>
  <c r="AD22" i="7"/>
  <c r="AF127" i="6"/>
  <c r="AF144" i="6"/>
  <c r="AB51" i="22"/>
  <c r="AB52" i="22"/>
  <c r="AB36" i="6"/>
  <c r="N8" i="5"/>
  <c r="Y102" i="15"/>
  <c r="CN294" i="12"/>
  <c r="CA138" i="22"/>
  <c r="AE45" i="11"/>
  <c r="AE46" i="11"/>
  <c r="AG431" i="12"/>
  <c r="DK62" i="22"/>
  <c r="Y331" i="12"/>
  <c r="AF342" i="12"/>
  <c r="AD299" i="12"/>
  <c r="DQ55" i="11"/>
  <c r="AB34" i="16"/>
  <c r="AE429" i="12"/>
  <c r="AE394" i="12"/>
  <c r="AE398" i="12"/>
  <c r="AB130" i="12"/>
  <c r="AB133" i="12"/>
  <c r="AC105" i="12"/>
  <c r="AC106" i="12"/>
  <c r="AD27" i="11"/>
  <c r="AD39" i="6"/>
  <c r="AD45" i="6"/>
  <c r="AD17" i="7"/>
  <c r="AE29" i="8"/>
  <c r="AG28" i="12"/>
  <c r="DQ32" i="11"/>
  <c r="DQ36" i="11"/>
  <c r="AB27" i="11"/>
  <c r="Z35" i="8"/>
  <c r="DK118" i="22"/>
  <c r="DX292" i="12"/>
  <c r="DX287" i="12"/>
  <c r="DX120" i="12"/>
  <c r="AG55" i="11"/>
  <c r="X95" i="22"/>
  <c r="X96" i="22"/>
  <c r="X97" i="22"/>
  <c r="X98" i="22"/>
  <c r="DS45" i="11"/>
  <c r="DS46" i="11"/>
  <c r="DW49" i="7"/>
  <c r="DW43" i="8"/>
  <c r="Z43" i="8"/>
  <c r="X102" i="15"/>
  <c r="DJ37" i="22"/>
  <c r="DJ38" i="22"/>
  <c r="AC71" i="6"/>
  <c r="DY11" i="17"/>
  <c r="DY17" i="8"/>
  <c r="DY76" i="8"/>
  <c r="Z161" i="12"/>
  <c r="Z160" i="12"/>
  <c r="Z162" i="12"/>
  <c r="Z128" i="17"/>
  <c r="AG11" i="37"/>
  <c r="AG12" i="37"/>
  <c r="CS294" i="12"/>
  <c r="CF138" i="22"/>
  <c r="W55" i="22"/>
  <c r="W60" i="22"/>
  <c r="AG95" i="6"/>
  <c r="AG98" i="6"/>
  <c r="AG99" i="6"/>
  <c r="AG78" i="6"/>
  <c r="T109" i="35"/>
  <c r="AA431" i="12"/>
  <c r="U137" i="22"/>
  <c r="DY154" i="15"/>
  <c r="DY155" i="15"/>
  <c r="DY171" i="15"/>
  <c r="AB122" i="6"/>
  <c r="AB123" i="6"/>
  <c r="AG35" i="8"/>
  <c r="DW22" i="12"/>
  <c r="AB342" i="12"/>
  <c r="AG59" i="6"/>
  <c r="AB77" i="22"/>
  <c r="AB92" i="22"/>
  <c r="AE160" i="12"/>
  <c r="AE161" i="12"/>
  <c r="Z98" i="6"/>
  <c r="Z99" i="6"/>
  <c r="Q224" i="13"/>
  <c r="Q223" i="13"/>
  <c r="Q233" i="13"/>
  <c r="AI93" i="13"/>
  <c r="DW95" i="8"/>
  <c r="Z78" i="12"/>
  <c r="Z107" i="8"/>
  <c r="Z115" i="8"/>
  <c r="Z95" i="8"/>
  <c r="AA36" i="6"/>
  <c r="M8" i="5"/>
  <c r="AE36" i="6"/>
  <c r="Q8" i="5"/>
  <c r="DR59" i="11"/>
  <c r="DR14" i="11"/>
  <c r="DR18" i="11"/>
  <c r="AA70" i="6"/>
  <c r="DQ19" i="11"/>
  <c r="CM27" i="13"/>
  <c r="CM28" i="13"/>
  <c r="AF134" i="13"/>
  <c r="AF131" i="13"/>
  <c r="V137" i="22"/>
  <c r="AA103" i="7"/>
  <c r="AA104" i="7"/>
  <c r="AE78" i="6"/>
  <c r="R109" i="35"/>
  <c r="AF461" i="12"/>
  <c r="AD127" i="6"/>
  <c r="AD144" i="6"/>
  <c r="E22" i="5"/>
  <c r="V101" i="15"/>
  <c r="AD119" i="7"/>
  <c r="AF96" i="6"/>
  <c r="AF6" i="6"/>
  <c r="AA3" i="22"/>
  <c r="AA4" i="22"/>
  <c r="CX160" i="12"/>
  <c r="CX153" i="12"/>
  <c r="CX135" i="12"/>
  <c r="CK39" i="22"/>
  <c r="CK40" i="22"/>
  <c r="Z51" i="22"/>
  <c r="Z52" i="22"/>
  <c r="AF59" i="6"/>
  <c r="AA77" i="22"/>
  <c r="AA92" i="22"/>
  <c r="DR72" i="11"/>
  <c r="DR73" i="11"/>
  <c r="AB97" i="22"/>
  <c r="AB98" i="22"/>
  <c r="AF66" i="8"/>
  <c r="AD69" i="12"/>
  <c r="AD68" i="11"/>
  <c r="AD77" i="11"/>
  <c r="AF166" i="6"/>
  <c r="AF70" i="7"/>
  <c r="W102" i="15"/>
  <c r="AG27" i="11"/>
  <c r="AG51" i="6"/>
  <c r="AG48" i="6"/>
  <c r="CY141" i="12"/>
  <c r="CY140" i="12"/>
  <c r="CY142" i="12"/>
  <c r="DY434" i="12"/>
  <c r="DX46" i="17"/>
  <c r="DX55" i="12"/>
  <c r="DX429" i="12"/>
  <c r="DX394" i="12"/>
  <c r="DX398" i="12"/>
  <c r="AG158" i="12"/>
  <c r="AB136" i="22"/>
  <c r="CT97" i="8"/>
  <c r="AG264" i="12"/>
  <c r="AG155" i="12"/>
  <c r="AG156" i="12"/>
  <c r="AG153" i="12"/>
  <c r="AG154" i="12"/>
  <c r="AF477" i="12"/>
  <c r="AF485" i="12"/>
  <c r="AF487" i="12"/>
  <c r="AG67" i="11"/>
  <c r="AG58" i="11"/>
  <c r="AB67" i="11"/>
  <c r="CT697" i="12"/>
  <c r="R102" i="15"/>
  <c r="DL52" i="22"/>
  <c r="AA137" i="22"/>
  <c r="DY132" i="17"/>
  <c r="AF161" i="6"/>
  <c r="AF165" i="6"/>
  <c r="AC281" i="12"/>
  <c r="DX20" i="7"/>
  <c r="DX19" i="7"/>
  <c r="DY28" i="8"/>
  <c r="Z21" i="12"/>
  <c r="Z22" i="12"/>
  <c r="AE89" i="12"/>
  <c r="DX314" i="12"/>
  <c r="DX315" i="12"/>
  <c r="AE130" i="12"/>
  <c r="AE133" i="12"/>
  <c r="AF339" i="12"/>
  <c r="AF340" i="12"/>
  <c r="AE88" i="13"/>
  <c r="AA91" i="8"/>
  <c r="DY65" i="12"/>
  <c r="DY87" i="12"/>
  <c r="DY89" i="12"/>
  <c r="DY111" i="8"/>
  <c r="P11" i="5"/>
  <c r="Z137" i="22"/>
  <c r="DW118" i="12"/>
  <c r="Z118" i="12"/>
  <c r="AB471" i="12"/>
  <c r="AB472" i="12"/>
  <c r="AC332" i="12"/>
  <c r="AE314" i="12"/>
  <c r="AE315" i="12"/>
  <c r="DT56" i="6"/>
  <c r="DW109" i="7"/>
  <c r="DW116" i="7"/>
  <c r="DW115" i="7"/>
  <c r="AG22" i="12"/>
  <c r="DW32" i="8"/>
  <c r="J44" i="14"/>
  <c r="J93" i="14"/>
  <c r="J95" i="14"/>
  <c r="DW163" i="7"/>
  <c r="DW21" i="7"/>
  <c r="DW23" i="7"/>
  <c r="DW111" i="7"/>
  <c r="AG71" i="6"/>
  <c r="M111" i="35"/>
  <c r="M113" i="35"/>
  <c r="AC40" i="11"/>
  <c r="DW129" i="17"/>
  <c r="AE28" i="12"/>
  <c r="AG64" i="6"/>
  <c r="AE6" i="6"/>
  <c r="Z3" i="22"/>
  <c r="Z4" i="22"/>
  <c r="BH95" i="12"/>
  <c r="BH92" i="12"/>
  <c r="Z158" i="12"/>
  <c r="U136" i="22"/>
  <c r="W154" i="12"/>
  <c r="AF19" i="7"/>
  <c r="AF20" i="7"/>
  <c r="AF76" i="7"/>
  <c r="AE27" i="11"/>
  <c r="AD166" i="6"/>
  <c r="DJ59" i="22"/>
  <c r="S135" i="22"/>
  <c r="AE51" i="6"/>
  <c r="AE48" i="6"/>
  <c r="W51" i="22"/>
  <c r="W52" i="22"/>
  <c r="AF28" i="12"/>
  <c r="AG571" i="12"/>
  <c r="DW90" i="7"/>
  <c r="DJ102" i="22"/>
  <c r="DJ104" i="22"/>
  <c r="AG108" i="17"/>
  <c r="AG131" i="17"/>
  <c r="AB65" i="22"/>
  <c r="AB70" i="22"/>
  <c r="AF122" i="6"/>
  <c r="AF123" i="6"/>
  <c r="AC22" i="12"/>
  <c r="AB163" i="7"/>
  <c r="AB21" i="7"/>
  <c r="AB23" i="7"/>
  <c r="AB111" i="7"/>
  <c r="AB118" i="7"/>
  <c r="DX92" i="12"/>
  <c r="DX134" i="13"/>
  <c r="DX131" i="13"/>
  <c r="Z25" i="12"/>
  <c r="Z26" i="12"/>
  <c r="AG14" i="37"/>
  <c r="AF299" i="12"/>
  <c r="AD264" i="12"/>
  <c r="AC166" i="6"/>
  <c r="AE319" i="12"/>
  <c r="AE322" i="12"/>
  <c r="AE323" i="12"/>
  <c r="AG77" i="7"/>
  <c r="AE36" i="11"/>
  <c r="Z255" i="12"/>
  <c r="Z125" i="12"/>
  <c r="Z128" i="12"/>
  <c r="AG380" i="12"/>
  <c r="AG381" i="12"/>
  <c r="AG390" i="12"/>
  <c r="CO294" i="12"/>
  <c r="CB138" i="22"/>
  <c r="AF73" i="11"/>
  <c r="AF72" i="11"/>
  <c r="AF81" i="11"/>
  <c r="AD19" i="11"/>
  <c r="DY179" i="7"/>
  <c r="DY398" i="12"/>
  <c r="DY394" i="12"/>
  <c r="DY429" i="12"/>
  <c r="DX169" i="7"/>
  <c r="U95" i="22"/>
  <c r="U96" i="22"/>
  <c r="CW571" i="12"/>
  <c r="Z48" i="6"/>
  <c r="AB31" i="16"/>
  <c r="AB30" i="16"/>
  <c r="AB33" i="16"/>
  <c r="AE281" i="12"/>
  <c r="AD130" i="12"/>
  <c r="AD133" i="12"/>
  <c r="AG179" i="7"/>
  <c r="AF119" i="17"/>
  <c r="AF118" i="17"/>
  <c r="AF120" i="17"/>
  <c r="CO161" i="12"/>
  <c r="CO160" i="12"/>
  <c r="CO162" i="12"/>
  <c r="CM268" i="13"/>
  <c r="AE70" i="7"/>
  <c r="Z97" i="7"/>
  <c r="DY332" i="12"/>
  <c r="DX179" i="12"/>
  <c r="DY306" i="12"/>
  <c r="Z120" i="8"/>
  <c r="Z122" i="8"/>
  <c r="Z124" i="8"/>
  <c r="DY88" i="13"/>
  <c r="AB571" i="12"/>
  <c r="AD537" i="12"/>
  <c r="AD547" i="12"/>
  <c r="DY74" i="7"/>
  <c r="M11" i="5"/>
  <c r="AE342" i="12"/>
  <c r="AC344" i="12"/>
  <c r="AC345" i="12"/>
  <c r="AG344" i="12"/>
  <c r="AG345" i="12"/>
  <c r="X101" i="15"/>
  <c r="AD510" i="12"/>
  <c r="AE161" i="6"/>
  <c r="AE165" i="6"/>
  <c r="CR294" i="12"/>
  <c r="CE138" i="22"/>
  <c r="AE313" i="12"/>
  <c r="AE112" i="7"/>
  <c r="T135" i="22"/>
  <c r="AB431" i="12"/>
  <c r="DQ108" i="11"/>
  <c r="AC28" i="11"/>
  <c r="AC27" i="11"/>
  <c r="AC39" i="6"/>
  <c r="CU115" i="8"/>
  <c r="AD347" i="12"/>
  <c r="AA424" i="12"/>
  <c r="AA427" i="12"/>
  <c r="DR67" i="11"/>
  <c r="Z250" i="12"/>
  <c r="AC342" i="12"/>
  <c r="X62" i="22"/>
  <c r="AE19" i="11"/>
  <c r="DY134" i="13"/>
  <c r="DY131" i="13"/>
  <c r="AD112" i="7"/>
  <c r="AC88" i="13"/>
  <c r="AC87" i="13"/>
  <c r="AC22" i="11"/>
  <c r="AC21" i="12"/>
  <c r="AC25" i="12"/>
  <c r="AC114" i="17"/>
  <c r="AC550" i="12"/>
  <c r="AC557" i="12"/>
  <c r="AA62" i="22"/>
  <c r="DV6" i="6"/>
  <c r="DL3" i="22"/>
  <c r="DL4" i="22"/>
  <c r="AE380" i="12"/>
  <c r="AE381" i="12"/>
  <c r="AE390" i="12"/>
  <c r="DW78" i="12"/>
  <c r="DW107" i="8"/>
  <c r="DW115" i="8"/>
  <c r="N15" i="5"/>
  <c r="AF42" i="12"/>
  <c r="BJ95" i="12"/>
  <c r="BJ92" i="12"/>
  <c r="R101" i="15"/>
  <c r="AA59" i="6"/>
  <c r="V77" i="22"/>
  <c r="V92" i="22"/>
  <c r="AC119" i="12"/>
  <c r="AC118" i="12"/>
  <c r="AB28" i="12"/>
  <c r="AA21" i="12"/>
  <c r="AA25" i="12"/>
  <c r="AA114" i="17"/>
  <c r="AA550" i="12"/>
  <c r="AA557" i="12"/>
  <c r="AE533" i="12"/>
  <c r="DR55" i="11"/>
  <c r="AE70" i="6"/>
  <c r="AD32" i="11"/>
  <c r="AD41" i="12"/>
  <c r="AD42" i="12"/>
  <c r="R13" i="5"/>
  <c r="R14" i="5"/>
  <c r="AB69" i="12"/>
  <c r="AB68" i="11"/>
  <c r="AB77" i="11"/>
  <c r="DQ54" i="11"/>
  <c r="AC35" i="8"/>
  <c r="AA504" i="12"/>
  <c r="DX142" i="12"/>
  <c r="DX177" i="12"/>
  <c r="DX122" i="12"/>
  <c r="DX127" i="12"/>
  <c r="Q289" i="12"/>
  <c r="Q291" i="12"/>
  <c r="AD344" i="12"/>
  <c r="AD345" i="12"/>
  <c r="AF460" i="12"/>
  <c r="AF38" i="12"/>
  <c r="AF47" i="12"/>
  <c r="AF516" i="12"/>
  <c r="AF519" i="12"/>
  <c r="DY71" i="8"/>
  <c r="AE80" i="11"/>
  <c r="AC510" i="12"/>
  <c r="AE510" i="12"/>
  <c r="AD505" i="12"/>
  <c r="AE505" i="12"/>
  <c r="AF505" i="12"/>
  <c r="CM267" i="13"/>
  <c r="Q267" i="13"/>
  <c r="Q268" i="13"/>
  <c r="AB313" i="12"/>
  <c r="DX28" i="12"/>
  <c r="AD434" i="12"/>
  <c r="CU569" i="12"/>
  <c r="CU109" i="8"/>
  <c r="Y101" i="15"/>
  <c r="Z19" i="11"/>
  <c r="W161" i="12"/>
  <c r="W160" i="12"/>
  <c r="W162" i="12"/>
  <c r="AC697" i="12"/>
  <c r="AC698" i="12"/>
  <c r="DY390" i="12"/>
  <c r="AF55" i="12"/>
  <c r="AG472" i="12"/>
  <c r="AB510" i="12"/>
  <c r="AC505" i="12"/>
  <c r="Z696" i="12"/>
  <c r="AG36" i="11"/>
  <c r="DX339" i="12"/>
  <c r="DX340" i="12"/>
  <c r="AC30" i="16"/>
  <c r="AC33" i="16"/>
  <c r="AC34" i="16"/>
  <c r="DY344" i="12"/>
  <c r="DY345" i="12"/>
  <c r="DY431" i="12"/>
  <c r="P10" i="5"/>
  <c r="P17" i="5"/>
  <c r="P21" i="5"/>
  <c r="AA434" i="12"/>
  <c r="AF128" i="17"/>
  <c r="AF108" i="17"/>
  <c r="AF131" i="17"/>
  <c r="AA65" i="22"/>
  <c r="AA70" i="22"/>
  <c r="X161" i="12"/>
  <c r="X160" i="12"/>
  <c r="X162" i="12"/>
  <c r="X137" i="22"/>
  <c r="W137" i="22"/>
  <c r="AB179" i="12"/>
  <c r="AC306" i="12"/>
  <c r="CS162" i="12"/>
  <c r="CS156" i="12"/>
  <c r="CS292" i="12"/>
  <c r="CS160" i="12"/>
  <c r="CS161" i="12"/>
  <c r="DS71" i="11"/>
  <c r="CU704" i="12"/>
  <c r="S731" i="12"/>
  <c r="S733" i="12"/>
  <c r="AA117" i="12"/>
  <c r="AI117" i="12"/>
  <c r="AB109" i="8"/>
  <c r="AC19" i="11"/>
  <c r="CQ533" i="12"/>
  <c r="AB477" i="12"/>
  <c r="AB485" i="12"/>
  <c r="AB487" i="12"/>
  <c r="AG315" i="12"/>
  <c r="AD313" i="12"/>
  <c r="AD312" i="12"/>
  <c r="AD341" i="12"/>
  <c r="AD354" i="12"/>
  <c r="AD355" i="12"/>
  <c r="AA704" i="12"/>
  <c r="AD134" i="13"/>
  <c r="AD131" i="13"/>
  <c r="AB58" i="17"/>
  <c r="DW130" i="12"/>
  <c r="DW133" i="12"/>
  <c r="AG469" i="12"/>
  <c r="AG9" i="37"/>
  <c r="AG10" i="37"/>
  <c r="AG570" i="12"/>
  <c r="AG499" i="12"/>
  <c r="AG504" i="12"/>
  <c r="AF160" i="12"/>
  <c r="AF161" i="12"/>
  <c r="Z218" i="12"/>
  <c r="Z223" i="12"/>
  <c r="AD160" i="12"/>
  <c r="AD161" i="12"/>
  <c r="S100" i="35"/>
  <c r="S103" i="35"/>
  <c r="AE19" i="7"/>
  <c r="AE20" i="7"/>
  <c r="AE76" i="7"/>
  <c r="AE77" i="7"/>
  <c r="Q15" i="5"/>
  <c r="AE66" i="8"/>
  <c r="AG339" i="12"/>
  <c r="AG340" i="12"/>
  <c r="CU703" i="12"/>
  <c r="AC568" i="12"/>
  <c r="AC696" i="12"/>
  <c r="AA58" i="17"/>
  <c r="AE55" i="12"/>
  <c r="O95" i="14"/>
  <c r="AE332" i="12"/>
  <c r="AB336" i="12"/>
  <c r="AC336" i="12"/>
  <c r="AD336" i="12"/>
  <c r="AE336" i="12"/>
  <c r="AF336" i="12"/>
  <c r="AG336" i="12"/>
  <c r="AG332" i="12"/>
  <c r="Q533" i="12"/>
  <c r="DT160" i="12"/>
  <c r="DT153" i="12"/>
  <c r="DT135" i="12"/>
  <c r="DT140" i="12"/>
  <c r="DX140" i="12"/>
  <c r="DX135" i="12"/>
  <c r="DK39" i="22"/>
  <c r="DK40" i="22"/>
  <c r="DY71" i="7"/>
  <c r="S111" i="35"/>
  <c r="AF426" i="12"/>
  <c r="AF416" i="12"/>
  <c r="AF421" i="12"/>
  <c r="AF140" i="12"/>
  <c r="AG140" i="12"/>
  <c r="AG135" i="12"/>
  <c r="AG112" i="12"/>
  <c r="AG113" i="12"/>
  <c r="Z704" i="12"/>
  <c r="AG15" i="37"/>
  <c r="AE65" i="12"/>
  <c r="AE87" i="12"/>
  <c r="AE92" i="12"/>
  <c r="AE537" i="12"/>
  <c r="AE547" i="12"/>
  <c r="AD426" i="12"/>
  <c r="AD416" i="12"/>
  <c r="AD421" i="12"/>
  <c r="AE95" i="6"/>
  <c r="AE98" i="6"/>
  <c r="AE99" i="6"/>
  <c r="AF264" i="12"/>
  <c r="AD704" i="12"/>
  <c r="AA471" i="12"/>
  <c r="AA472" i="12"/>
  <c r="AC479" i="12"/>
  <c r="AC486" i="12"/>
  <c r="AF67" i="11"/>
  <c r="AE704" i="12"/>
  <c r="AG299" i="12"/>
  <c r="AG314" i="12"/>
  <c r="AF347" i="12"/>
  <c r="N21" i="5"/>
  <c r="DX156" i="12"/>
  <c r="DX158" i="12"/>
  <c r="DK136" i="22"/>
  <c r="AD36" i="6"/>
  <c r="P8" i="5"/>
  <c r="AD22" i="12"/>
  <c r="AC387" i="12"/>
  <c r="AC424" i="12"/>
  <c r="AC427" i="12"/>
  <c r="AD461" i="12"/>
  <c r="DJ135" i="12"/>
  <c r="CW39" i="22"/>
  <c r="CW40" i="22"/>
  <c r="Z130" i="12"/>
  <c r="Z133" i="12"/>
  <c r="AB59" i="6"/>
  <c r="W77" i="22"/>
  <c r="W92" i="22"/>
  <c r="AB460" i="12"/>
  <c r="AB38" i="12"/>
  <c r="AB47" i="12"/>
  <c r="AB516" i="12"/>
  <c r="AB519" i="12"/>
  <c r="CN137" i="12"/>
  <c r="Q137" i="12"/>
  <c r="Q139" i="12"/>
  <c r="AD179" i="12"/>
  <c r="AE306" i="12"/>
  <c r="AG87" i="13"/>
  <c r="AG22" i="11"/>
  <c r="AG40" i="11"/>
  <c r="AG45" i="11"/>
  <c r="AG46" i="11"/>
  <c r="AG30" i="16"/>
  <c r="AG33" i="16"/>
  <c r="AG34" i="16"/>
  <c r="AD80" i="11"/>
  <c r="AB281" i="12"/>
  <c r="AD71" i="11"/>
  <c r="DY342" i="12"/>
  <c r="AG169" i="7"/>
  <c r="DY20" i="7"/>
  <c r="AE461" i="12"/>
  <c r="DY147" i="15"/>
  <c r="DY156" i="15"/>
  <c r="CN533" i="12"/>
  <c r="AA63" i="8"/>
  <c r="DQ49" i="11"/>
  <c r="AF176" i="12"/>
  <c r="AG160" i="12"/>
  <c r="AG161" i="12"/>
  <c r="DQ63" i="11"/>
  <c r="AG80" i="11"/>
  <c r="Z14" i="11"/>
  <c r="Z18" i="11"/>
  <c r="AB179" i="7"/>
  <c r="CQ510" i="12"/>
  <c r="S21" i="5"/>
  <c r="DY460" i="12"/>
  <c r="AB434" i="12"/>
  <c r="CM39" i="22"/>
  <c r="CM40" i="22"/>
  <c r="AD346" i="12"/>
  <c r="AD431" i="12"/>
  <c r="AB114" i="17"/>
  <c r="AB550" i="12"/>
  <c r="AB557" i="12"/>
  <c r="DQ28" i="11"/>
  <c r="AF46" i="17"/>
  <c r="AC28" i="12"/>
  <c r="AF74" i="7"/>
  <c r="CT95" i="8"/>
  <c r="DJ52" i="22"/>
  <c r="AB46" i="17"/>
  <c r="AB55" i="12"/>
  <c r="AG254" i="12"/>
  <c r="AG130" i="12"/>
  <c r="AG133" i="12"/>
  <c r="DX130" i="12"/>
  <c r="DX133" i="12"/>
  <c r="AA499" i="12"/>
  <c r="AA571" i="12"/>
  <c r="AB112" i="7"/>
  <c r="AB77" i="7"/>
  <c r="AB19" i="7"/>
  <c r="AB20" i="7"/>
  <c r="AB76" i="7"/>
  <c r="AE22" i="12"/>
  <c r="Z571" i="12"/>
  <c r="AD88" i="13"/>
  <c r="AB299" i="12"/>
  <c r="DW55" i="12"/>
  <c r="AG69" i="12"/>
  <c r="AG68" i="11"/>
  <c r="AG77" i="11"/>
  <c r="DW34" i="8"/>
  <c r="DW59" i="8"/>
  <c r="DW61" i="8"/>
  <c r="DW13" i="7"/>
  <c r="DX97" i="7"/>
  <c r="DU72" i="6"/>
  <c r="DU70" i="6"/>
  <c r="W95" i="22"/>
  <c r="W96" i="22"/>
  <c r="U76" i="22"/>
  <c r="U87" i="22"/>
  <c r="CT533" i="12"/>
  <c r="O13" i="5"/>
  <c r="O14" i="5"/>
  <c r="AD477" i="12"/>
  <c r="AD485" i="12"/>
  <c r="AD487" i="12"/>
  <c r="DW134" i="13"/>
  <c r="DW131" i="13"/>
  <c r="AE59" i="17"/>
  <c r="AE60" i="17"/>
  <c r="DS19" i="11"/>
  <c r="AF95" i="6"/>
  <c r="AF98" i="6"/>
  <c r="AF99" i="6"/>
  <c r="AE61" i="7"/>
  <c r="AB59" i="17"/>
  <c r="AB60" i="17"/>
  <c r="AB140" i="12"/>
  <c r="AC140" i="12"/>
  <c r="AD140" i="12"/>
  <c r="AE140" i="12"/>
  <c r="AE135" i="12"/>
  <c r="AE112" i="12"/>
  <c r="AE113" i="12"/>
  <c r="Y62" i="22"/>
  <c r="AE30" i="6"/>
  <c r="Z76" i="22"/>
  <c r="Z87" i="22"/>
  <c r="DW47" i="12"/>
  <c r="Z47" i="12"/>
  <c r="Z516" i="12"/>
  <c r="Z519" i="12"/>
  <c r="DX25" i="12"/>
  <c r="DX21" i="12"/>
  <c r="DX22" i="12"/>
  <c r="AE571" i="12"/>
  <c r="N30" i="22"/>
  <c r="AD133" i="13"/>
  <c r="Y55" i="22"/>
  <c r="Y60" i="22"/>
  <c r="Z95" i="6"/>
  <c r="Z6" i="6"/>
  <c r="U3" i="22"/>
  <c r="U4" i="22"/>
  <c r="Z419" i="12"/>
  <c r="DW419" i="12"/>
  <c r="DW421" i="12"/>
  <c r="AG461" i="12"/>
  <c r="DW41" i="12"/>
  <c r="Z41" i="12"/>
  <c r="Z43" i="12"/>
  <c r="AA44" i="12"/>
  <c r="AF281" i="12"/>
  <c r="Z285" i="12"/>
  <c r="DQ18" i="11"/>
  <c r="CZ142" i="12"/>
  <c r="CZ160" i="12"/>
  <c r="CZ153" i="12"/>
  <c r="CZ135" i="12"/>
  <c r="CZ140" i="12"/>
  <c r="CZ141" i="12"/>
  <c r="AG365" i="12"/>
  <c r="AF571" i="12"/>
  <c r="AG569" i="12"/>
  <c r="AF71" i="7"/>
  <c r="AC380" i="12"/>
  <c r="AC381" i="12"/>
  <c r="AC390" i="12"/>
  <c r="AF125" i="12"/>
  <c r="AF128" i="12"/>
  <c r="AD571" i="12"/>
  <c r="AD70" i="6"/>
  <c r="AF58" i="17"/>
  <c r="DY387" i="12"/>
  <c r="DY424" i="12"/>
  <c r="DY427" i="12"/>
  <c r="AF471" i="12"/>
  <c r="AF472" i="12"/>
  <c r="Z109" i="8"/>
  <c r="AA86" i="8"/>
  <c r="AA97" i="8"/>
  <c r="DS55" i="11"/>
  <c r="AB58" i="11"/>
  <c r="AB63" i="11"/>
  <c r="DX133" i="13"/>
  <c r="DK55" i="22"/>
  <c r="DK60" i="22"/>
  <c r="AA533" i="12"/>
  <c r="DY315" i="12"/>
  <c r="DX477" i="12"/>
  <c r="DX485" i="12"/>
  <c r="DX487" i="12"/>
  <c r="O30" i="22"/>
  <c r="AD254" i="12"/>
  <c r="AE254" i="12"/>
  <c r="AF254" i="12"/>
  <c r="AA97" i="22"/>
  <c r="AA98" i="22"/>
  <c r="Z69" i="12"/>
  <c r="Z68" i="11"/>
  <c r="Z77" i="11"/>
  <c r="DW105" i="12"/>
  <c r="DW106" i="12"/>
  <c r="X76" i="22"/>
  <c r="X87" i="22"/>
  <c r="AF344" i="12"/>
  <c r="AF345" i="12"/>
  <c r="S102" i="15"/>
  <c r="AB90" i="7"/>
  <c r="AB201" i="7"/>
  <c r="AB205" i="7"/>
  <c r="AI249" i="12"/>
  <c r="AA339" i="12"/>
  <c r="AA340" i="12"/>
  <c r="AD30" i="16"/>
  <c r="AD33" i="16"/>
  <c r="AD34" i="16"/>
  <c r="AG70" i="6"/>
  <c r="DY86" i="8"/>
  <c r="DY97" i="8"/>
  <c r="AC161" i="6"/>
  <c r="AC165" i="6"/>
  <c r="AA346" i="12"/>
  <c r="AA347" i="12"/>
  <c r="DX427" i="12"/>
  <c r="AF365" i="12"/>
  <c r="AA32" i="8"/>
  <c r="DQ71" i="11"/>
  <c r="DW344" i="12"/>
  <c r="DW345" i="12"/>
  <c r="DT48" i="6"/>
  <c r="DQ53" i="11"/>
  <c r="DQ62" i="11"/>
  <c r="AD154" i="12"/>
  <c r="AD301" i="12"/>
  <c r="AD339" i="12"/>
  <c r="AD340" i="12"/>
  <c r="DW339" i="12"/>
  <c r="DW340" i="12"/>
  <c r="AD32" i="8"/>
  <c r="DX65" i="12"/>
  <c r="DX87" i="12"/>
  <c r="DX89" i="12"/>
  <c r="DX111" i="8"/>
  <c r="I145" i="14"/>
  <c r="I153" i="14"/>
  <c r="I154" i="14"/>
  <c r="DY131" i="17"/>
  <c r="DL65" i="22"/>
  <c r="DL70" i="22"/>
  <c r="AC55" i="11"/>
  <c r="DW160" i="12"/>
  <c r="DW161" i="12"/>
  <c r="AC339" i="12"/>
  <c r="AC340" i="12"/>
  <c r="AF27" i="11"/>
  <c r="AF58" i="11"/>
  <c r="AF63" i="11"/>
  <c r="AA255" i="12"/>
  <c r="AA119" i="12"/>
  <c r="AA118" i="12"/>
  <c r="AD176" i="12"/>
  <c r="AE176" i="12"/>
  <c r="AE179" i="12"/>
  <c r="AF306" i="12"/>
  <c r="AE119" i="12"/>
  <c r="AE118" i="12"/>
  <c r="DY105" i="12"/>
  <c r="DY106" i="12"/>
  <c r="Z70" i="22"/>
  <c r="AC49" i="11"/>
  <c r="AC54" i="11"/>
  <c r="AE54" i="11"/>
  <c r="DS18" i="11"/>
  <c r="AB194" i="7"/>
  <c r="Z14" i="6"/>
  <c r="Z30" i="6"/>
  <c r="Z59" i="6"/>
  <c r="U77" i="22"/>
  <c r="U92" i="22"/>
  <c r="AE87" i="13"/>
  <c r="AE22" i="11"/>
  <c r="AE40" i="11"/>
  <c r="AE58" i="11"/>
  <c r="AE63" i="11"/>
  <c r="DY282" i="12"/>
  <c r="DY281" i="12"/>
  <c r="DY283" i="12"/>
  <c r="AD119" i="12"/>
  <c r="AD118" i="12"/>
  <c r="AG347" i="12"/>
  <c r="AE471" i="12"/>
  <c r="AE472" i="12"/>
  <c r="AE49" i="11"/>
  <c r="CM533" i="12"/>
  <c r="AF13" i="7"/>
  <c r="AG97" i="7"/>
  <c r="AG72" i="6"/>
  <c r="DK37" i="22"/>
  <c r="DK38" i="22"/>
  <c r="AB96" i="22"/>
  <c r="AB344" i="12"/>
  <c r="AB345" i="12"/>
  <c r="AA112" i="7"/>
  <c r="AA119" i="7"/>
  <c r="U102" i="15"/>
  <c r="Z396" i="12"/>
  <c r="R100" i="35"/>
  <c r="R103" i="35"/>
  <c r="DY471" i="12"/>
  <c r="DY472" i="12"/>
  <c r="BG95" i="12"/>
  <c r="BG92" i="12"/>
  <c r="DX105" i="12"/>
  <c r="DX106" i="12"/>
  <c r="AE431" i="12"/>
  <c r="DV48" i="6"/>
  <c r="DS53" i="11"/>
  <c r="DS62" i="11"/>
  <c r="CU697" i="12"/>
  <c r="DX154" i="15"/>
  <c r="DX162" i="15"/>
  <c r="DX163" i="15"/>
  <c r="DX95" i="8"/>
  <c r="AD298" i="12"/>
  <c r="AD314" i="12"/>
  <c r="AD315" i="12"/>
  <c r="AA27" i="8"/>
  <c r="AA89" i="12"/>
  <c r="CU160" i="12"/>
  <c r="CU153" i="12"/>
  <c r="CU135" i="12"/>
  <c r="CH39" i="22"/>
  <c r="CH40" i="22"/>
  <c r="Q691" i="12"/>
  <c r="U154" i="12"/>
  <c r="U153" i="12"/>
  <c r="U155" i="12"/>
  <c r="Y137" i="22"/>
  <c r="AA65" i="12"/>
  <c r="AA87" i="12"/>
  <c r="AA92" i="12"/>
  <c r="AA537" i="12"/>
  <c r="AA547" i="12"/>
  <c r="DW93" i="8"/>
  <c r="DT78" i="6"/>
  <c r="Z78" i="6"/>
  <c r="Z79" i="6"/>
  <c r="Z744" i="12"/>
  <c r="Z745" i="12"/>
  <c r="Z770" i="12"/>
  <c r="Z703" i="12"/>
  <c r="AC128" i="17"/>
  <c r="AC108" i="17"/>
  <c r="AC131" i="17"/>
  <c r="X65" i="22"/>
  <c r="X70" i="22"/>
  <c r="V97" i="22"/>
  <c r="V98" i="22"/>
  <c r="AB62" i="22"/>
  <c r="AF16" i="7"/>
  <c r="AG27" i="8"/>
  <c r="Y330" i="12"/>
  <c r="Y346" i="12"/>
  <c r="Y347" i="12"/>
  <c r="AC155" i="12"/>
  <c r="AC154" i="12"/>
  <c r="AG21" i="12"/>
  <c r="AG25" i="12"/>
  <c r="AG114" i="17"/>
  <c r="AG550" i="12"/>
  <c r="AG557" i="12"/>
  <c r="AB105" i="12"/>
  <c r="AB106" i="12"/>
  <c r="AD105" i="12"/>
  <c r="AD106" i="12"/>
  <c r="U55" i="22"/>
  <c r="U60" i="22"/>
  <c r="AC70" i="6"/>
  <c r="AE347" i="12"/>
  <c r="Z63" i="8"/>
  <c r="AB51" i="6"/>
  <c r="AB48" i="6"/>
  <c r="AF51" i="6"/>
  <c r="AF48" i="6"/>
  <c r="AD387" i="12"/>
  <c r="AD424" i="12"/>
  <c r="AD427" i="12"/>
  <c r="AA80" i="11"/>
  <c r="DQ45" i="11"/>
  <c r="DQ58" i="11"/>
  <c r="DQ67" i="11"/>
  <c r="DQ72" i="11"/>
  <c r="DQ73" i="11"/>
  <c r="AD14" i="11"/>
  <c r="AD18" i="11"/>
  <c r="AF346" i="12"/>
  <c r="CS533" i="12"/>
  <c r="AC704" i="12"/>
  <c r="DY339" i="12"/>
  <c r="DY340" i="12"/>
  <c r="AF486" i="12"/>
  <c r="Z342" i="12"/>
  <c r="DX65" i="8"/>
  <c r="DX66" i="8"/>
  <c r="DX69" i="8"/>
  <c r="V100" i="15"/>
  <c r="V99" i="15"/>
  <c r="Q20" i="13"/>
  <c r="AG524" i="12"/>
  <c r="AE434" i="12"/>
  <c r="R111" i="35"/>
  <c r="AC16" i="7"/>
  <c r="AD27" i="8"/>
  <c r="AE346" i="12"/>
  <c r="AE312" i="12"/>
  <c r="AE341" i="12"/>
  <c r="AE354" i="12"/>
  <c r="AE355" i="12"/>
  <c r="AA59" i="17"/>
  <c r="AA60" i="17"/>
  <c r="AC319" i="12"/>
  <c r="AC322" i="12"/>
  <c r="AC323" i="12"/>
  <c r="AF17" i="17"/>
  <c r="O11" i="5"/>
  <c r="AC157" i="12"/>
  <c r="AC153" i="12"/>
  <c r="AC160" i="12"/>
  <c r="AC161" i="12"/>
  <c r="DE39" i="22"/>
  <c r="DE40" i="22"/>
  <c r="AD56" i="17"/>
  <c r="AD27" i="16"/>
  <c r="AD53" i="11"/>
  <c r="AD62" i="11"/>
  <c r="DX74" i="7"/>
  <c r="AG119" i="12"/>
  <c r="AG118" i="12"/>
  <c r="DY299" i="12"/>
  <c r="DY314" i="12"/>
  <c r="DY313" i="12"/>
  <c r="DY246" i="12"/>
  <c r="DY298" i="12"/>
  <c r="DY301" i="12"/>
  <c r="DY312" i="12"/>
  <c r="DY341" i="12"/>
  <c r="DY354" i="12"/>
  <c r="DY355" i="12"/>
  <c r="AB533" i="12"/>
  <c r="N95" i="14"/>
  <c r="DS54" i="11"/>
  <c r="AD16" i="7"/>
  <c r="AE27" i="8"/>
  <c r="CN510" i="12"/>
  <c r="DU145" i="6"/>
  <c r="AC14" i="11"/>
  <c r="AC18" i="11"/>
  <c r="DW27" i="8"/>
  <c r="AF434" i="12"/>
  <c r="AF479" i="12"/>
  <c r="Z533" i="12"/>
  <c r="DF135" i="12"/>
  <c r="CS39" i="22"/>
  <c r="CS40" i="22"/>
  <c r="AA319" i="12"/>
  <c r="AA322" i="12"/>
  <c r="AA323" i="12"/>
  <c r="AE169" i="7"/>
  <c r="AF169" i="7"/>
  <c r="DW56" i="7"/>
  <c r="DX56" i="7"/>
  <c r="DY56" i="7"/>
  <c r="Z56" i="7"/>
  <c r="AA56" i="7"/>
  <c r="AB56" i="7"/>
  <c r="AC56" i="7"/>
  <c r="AD56" i="7"/>
  <c r="AE56" i="7"/>
  <c r="AF56" i="7"/>
  <c r="AG56" i="7"/>
  <c r="AG61" i="7"/>
  <c r="AB169" i="7"/>
  <c r="P111" i="35"/>
  <c r="AA29" i="8"/>
  <c r="DY28" i="12"/>
  <c r="AA105" i="12"/>
  <c r="AA106" i="12"/>
  <c r="CM510" i="12"/>
  <c r="S101" i="15"/>
  <c r="AB137" i="22"/>
  <c r="Z174" i="7"/>
  <c r="AC385" i="12"/>
  <c r="AA127" i="6"/>
  <c r="AA144" i="6"/>
  <c r="Z331" i="12"/>
  <c r="DW59" i="17"/>
  <c r="DW60" i="17"/>
  <c r="AE72" i="7"/>
  <c r="AF72" i="7"/>
  <c r="AA66" i="8"/>
  <c r="AA69" i="8"/>
  <c r="DR27" i="11"/>
  <c r="DU39" i="6"/>
  <c r="DU45" i="6"/>
  <c r="DX17" i="7"/>
  <c r="DY29" i="8"/>
  <c r="AE56" i="6"/>
  <c r="AE109" i="7"/>
  <c r="AE116" i="7"/>
  <c r="AE115" i="7"/>
  <c r="AF62" i="11"/>
  <c r="AF71" i="11"/>
  <c r="Q111" i="35"/>
  <c r="Q113" i="35"/>
  <c r="Q100" i="35"/>
  <c r="Q103" i="35"/>
  <c r="S11" i="5"/>
  <c r="BL95" i="12"/>
  <c r="BL92" i="12"/>
  <c r="AA90" i="7"/>
  <c r="AA201" i="7"/>
  <c r="AA205" i="7"/>
  <c r="AA206" i="7"/>
  <c r="O10" i="5"/>
  <c r="O17" i="5"/>
  <c r="O21" i="5"/>
  <c r="AD11" i="17"/>
  <c r="AD14" i="17"/>
  <c r="AD15" i="17"/>
  <c r="AE35" i="8"/>
  <c r="AD188" i="7"/>
  <c r="AE188" i="7"/>
  <c r="AF188" i="7"/>
  <c r="AF33" i="16"/>
  <c r="AF34" i="16"/>
  <c r="Z102" i="8"/>
  <c r="Z127" i="6"/>
  <c r="Z144" i="6"/>
  <c r="Z145" i="6"/>
  <c r="Z557" i="12"/>
  <c r="DK160" i="12"/>
  <c r="DK153" i="12"/>
  <c r="DK135" i="12"/>
  <c r="CX39" i="22"/>
  <c r="CX40" i="22"/>
  <c r="DV95" i="6"/>
  <c r="DV98" i="6"/>
  <c r="DV99" i="6"/>
  <c r="DW281" i="12"/>
  <c r="Z281" i="12"/>
  <c r="Z284" i="12"/>
  <c r="AA284" i="12"/>
  <c r="AB284" i="12"/>
  <c r="AC284" i="12"/>
  <c r="AD284" i="12"/>
  <c r="AE284" i="12"/>
  <c r="AF284" i="12"/>
  <c r="AG284" i="12"/>
  <c r="AG281" i="12"/>
  <c r="AG104" i="12"/>
  <c r="AG471" i="12"/>
  <c r="AG103" i="12"/>
  <c r="AB95" i="22"/>
  <c r="AE11" i="17"/>
  <c r="AE14" i="17"/>
  <c r="AE15" i="17"/>
  <c r="AC169" i="7"/>
  <c r="AC179" i="7"/>
  <c r="AC185" i="7"/>
  <c r="AF153" i="12"/>
  <c r="AF155" i="12"/>
  <c r="AA135" i="22"/>
  <c r="R21" i="5"/>
  <c r="AC264" i="12"/>
  <c r="AD471" i="12"/>
  <c r="AD472" i="12"/>
  <c r="Z379" i="12"/>
  <c r="AG532" i="12"/>
  <c r="AG533" i="12"/>
  <c r="AB17" i="17"/>
  <c r="AB128" i="17"/>
  <c r="N13" i="5"/>
  <c r="N14" i="5"/>
  <c r="AG473" i="12"/>
  <c r="AD163" i="7"/>
  <c r="AD21" i="7"/>
  <c r="AD23" i="7"/>
  <c r="AD111" i="7"/>
  <c r="AD118" i="7"/>
  <c r="CO157" i="12"/>
  <c r="CO156" i="12"/>
  <c r="CO292" i="12"/>
  <c r="CT731" i="12"/>
  <c r="CT733" i="12"/>
  <c r="AA41" i="12"/>
  <c r="AA32" i="11"/>
  <c r="AA36" i="11"/>
  <c r="AD246" i="12"/>
  <c r="AD21" i="12"/>
  <c r="AD25" i="12"/>
  <c r="AD114" i="17"/>
  <c r="AD550" i="12"/>
  <c r="AD557" i="12"/>
  <c r="DX13" i="7"/>
  <c r="DY97" i="7"/>
  <c r="DV72" i="6"/>
  <c r="DV70" i="6"/>
  <c r="DV71" i="6"/>
  <c r="DW164" i="7"/>
  <c r="DW22" i="7"/>
  <c r="DR45" i="11"/>
  <c r="DR46" i="11"/>
  <c r="Q30" i="22"/>
  <c r="N44" i="14"/>
  <c r="N93" i="14"/>
  <c r="AD81" i="13"/>
  <c r="AD87" i="13"/>
  <c r="AD22" i="11"/>
  <c r="AD40" i="11"/>
  <c r="AD58" i="11"/>
  <c r="AD63" i="11"/>
  <c r="R30" i="22"/>
  <c r="O44" i="14"/>
  <c r="O93" i="14"/>
  <c r="DT51" i="6"/>
  <c r="Z51" i="6"/>
  <c r="AA27" i="11"/>
  <c r="DS40" i="11"/>
  <c r="DS58" i="11"/>
  <c r="DS63" i="11"/>
  <c r="AG19" i="11"/>
  <c r="AA19" i="11"/>
  <c r="O111" i="35"/>
  <c r="O113" i="35"/>
  <c r="O117" i="35"/>
  <c r="AB156" i="12"/>
  <c r="AB158" i="12"/>
  <c r="W136" i="22"/>
  <c r="AA135" i="12"/>
  <c r="AA112" i="12"/>
  <c r="AA113" i="12"/>
  <c r="AG371" i="12"/>
  <c r="AA194" i="7"/>
  <c r="AA195" i="7"/>
  <c r="Z337" i="12"/>
  <c r="DX286" i="12"/>
  <c r="DY286" i="12"/>
  <c r="Z286" i="12"/>
  <c r="Z180" i="12"/>
  <c r="Z336" i="12"/>
  <c r="AA336" i="12"/>
  <c r="AD65" i="12"/>
  <c r="AD87" i="12"/>
  <c r="AD92" i="12"/>
  <c r="T101" i="15"/>
  <c r="T102" i="15"/>
  <c r="Q19" i="13"/>
  <c r="Q25" i="13"/>
  <c r="Q26" i="13"/>
  <c r="AA69" i="12"/>
  <c r="AA68" i="11"/>
  <c r="AA77" i="11"/>
  <c r="AA298" i="12"/>
  <c r="AA301" i="12"/>
  <c r="AA312" i="12"/>
  <c r="AA341" i="12"/>
  <c r="AA354" i="12"/>
  <c r="AA355" i="12"/>
  <c r="K44" i="14"/>
  <c r="K93" i="14"/>
  <c r="K95" i="14"/>
  <c r="AA246" i="12"/>
  <c r="AA344" i="12"/>
  <c r="AA345" i="12"/>
  <c r="AE344" i="12"/>
  <c r="AE345" i="12"/>
  <c r="DX344" i="12"/>
  <c r="DX345" i="12"/>
  <c r="R11" i="5"/>
  <c r="R10" i="5"/>
  <c r="R17" i="5"/>
  <c r="DC141" i="12"/>
  <c r="DC140" i="12"/>
  <c r="DC142" i="12"/>
  <c r="Q10" i="13"/>
  <c r="Q16" i="13"/>
  <c r="Q27" i="13"/>
  <c r="Q28" i="13"/>
  <c r="CP533" i="12"/>
  <c r="DR141" i="12"/>
  <c r="DR135" i="12"/>
  <c r="DR140" i="12"/>
  <c r="DR142" i="12"/>
  <c r="DX263" i="12"/>
  <c r="DX255" i="12"/>
  <c r="DX119" i="12"/>
  <c r="DX125" i="12"/>
  <c r="DX128" i="12"/>
  <c r="AA130" i="12"/>
  <c r="AA133" i="12"/>
  <c r="AC254" i="12"/>
  <c r="AC130" i="12"/>
  <c r="AC133" i="12"/>
  <c r="DW128" i="17"/>
  <c r="DW108" i="17"/>
  <c r="Z108" i="17"/>
  <c r="Z131" i="17"/>
  <c r="U65" i="22"/>
  <c r="U70" i="22"/>
  <c r="AA17" i="17"/>
  <c r="AA128" i="17"/>
  <c r="AA108" i="17"/>
  <c r="AA131" i="17"/>
  <c r="V65" i="22"/>
  <c r="V70" i="22"/>
  <c r="Z28" i="11"/>
  <c r="AC499" i="12"/>
  <c r="AC504" i="12"/>
  <c r="AC71" i="11"/>
  <c r="CU533" i="12"/>
  <c r="R691" i="12"/>
  <c r="Z293" i="12"/>
  <c r="Z292" i="12"/>
  <c r="Z294" i="12"/>
  <c r="DK46" i="22"/>
  <c r="DK50" i="22"/>
  <c r="DK52" i="22"/>
  <c r="AG134" i="13"/>
  <c r="AG131" i="13"/>
  <c r="T117" i="35"/>
  <c r="AE156" i="12"/>
  <c r="AE153" i="12"/>
  <c r="AE155" i="12"/>
  <c r="Z135" i="22"/>
  <c r="AB380" i="12"/>
  <c r="AB381" i="12"/>
  <c r="AB390" i="12"/>
  <c r="AD19" i="7"/>
  <c r="AD20" i="7"/>
  <c r="AD76" i="7"/>
  <c r="AD77" i="7"/>
  <c r="P15" i="5"/>
  <c r="AA97" i="7"/>
  <c r="AA72" i="6"/>
  <c r="AG313" i="12"/>
  <c r="AG298" i="12"/>
  <c r="AG301" i="12"/>
  <c r="AG312" i="12"/>
  <c r="AG341" i="12"/>
  <c r="AG354" i="12"/>
  <c r="AG355" i="12"/>
  <c r="AG479" i="12"/>
  <c r="AG486" i="12"/>
  <c r="J95" i="12"/>
  <c r="J92" i="12"/>
  <c r="AG105" i="12"/>
  <c r="AG106" i="12"/>
  <c r="W101" i="15"/>
  <c r="W99" i="15"/>
  <c r="W100" i="15"/>
  <c r="AG89" i="12"/>
  <c r="AA46" i="17"/>
  <c r="AA55" i="12"/>
  <c r="AG19" i="7"/>
  <c r="AG20" i="7"/>
  <c r="AG76" i="7"/>
  <c r="AG112" i="7"/>
  <c r="AG119" i="7"/>
  <c r="AC56" i="6"/>
  <c r="AC109" i="7"/>
  <c r="AC116" i="7"/>
  <c r="AC115" i="7"/>
  <c r="R100" i="15"/>
  <c r="R99" i="15"/>
  <c r="Z499" i="12"/>
  <c r="Z504" i="12"/>
  <c r="AE265" i="12"/>
  <c r="AE263" i="12"/>
  <c r="AE255" i="12"/>
  <c r="AE125" i="12"/>
  <c r="AE128" i="12"/>
  <c r="AB479" i="12"/>
  <c r="AB486" i="12"/>
  <c r="X155" i="12"/>
  <c r="X153" i="12"/>
  <c r="X154" i="12"/>
  <c r="Y155" i="12"/>
  <c r="Y153" i="12"/>
  <c r="Y154" i="12"/>
  <c r="DX471" i="12"/>
  <c r="DX472" i="12"/>
  <c r="AE13" i="7"/>
  <c r="AF97" i="7"/>
  <c r="AF72" i="6"/>
  <c r="AF70" i="6"/>
  <c r="AC346" i="12"/>
  <c r="AC347" i="12"/>
  <c r="DL62" i="22"/>
  <c r="AB11" i="17"/>
  <c r="AB14" i="17"/>
  <c r="AB15" i="17"/>
  <c r="AD499" i="12"/>
  <c r="AD504" i="12"/>
  <c r="AF30" i="16"/>
  <c r="AF172" i="7"/>
  <c r="AF178" i="7"/>
  <c r="AF34" i="17"/>
  <c r="AF26" i="17"/>
  <c r="AF56" i="17"/>
  <c r="AF27" i="16"/>
  <c r="AF53" i="11"/>
  <c r="AE122" i="6"/>
  <c r="AE123" i="6"/>
  <c r="AE127" i="6"/>
  <c r="AE144" i="6"/>
  <c r="AF314" i="12"/>
  <c r="AF315" i="12"/>
  <c r="AB91" i="8"/>
  <c r="DW65" i="12"/>
  <c r="DW87" i="12"/>
  <c r="DW89" i="12"/>
  <c r="DW111" i="8"/>
  <c r="AD172" i="7"/>
  <c r="AD178" i="7"/>
  <c r="AD34" i="17"/>
  <c r="AD26" i="17"/>
  <c r="AD51" i="6"/>
  <c r="AD48" i="6"/>
  <c r="DY91" i="8"/>
  <c r="CR533" i="12"/>
  <c r="DL46" i="22"/>
  <c r="DL50" i="22"/>
  <c r="DX380" i="12"/>
  <c r="DX381" i="12"/>
  <c r="DX390" i="12"/>
  <c r="AA16" i="7"/>
  <c r="AB27" i="8"/>
  <c r="AB32" i="8"/>
  <c r="AD479" i="12"/>
  <c r="AD486" i="12"/>
  <c r="AE499" i="12"/>
  <c r="AE504" i="12"/>
  <c r="AA34" i="16"/>
  <c r="AA460" i="12"/>
  <c r="AA38" i="12"/>
  <c r="AA47" i="12"/>
  <c r="AA516" i="12"/>
  <c r="AA519" i="12"/>
  <c r="AA524" i="12"/>
  <c r="Z133" i="13"/>
  <c r="Z134" i="13"/>
  <c r="Z131" i="13"/>
  <c r="AD46" i="17"/>
  <c r="AD55" i="12"/>
  <c r="AF424" i="12"/>
  <c r="AF427" i="12"/>
  <c r="V153" i="12"/>
  <c r="V155" i="12"/>
  <c r="Q135" i="22"/>
  <c r="AF55" i="11"/>
  <c r="Z27" i="11"/>
  <c r="AG385" i="12"/>
  <c r="AG387" i="12"/>
  <c r="AG424" i="12"/>
  <c r="AG427" i="12"/>
  <c r="AB41" i="12"/>
  <c r="AB32" i="11"/>
  <c r="AB36" i="11"/>
  <c r="DY129" i="17"/>
  <c r="DY17" i="17"/>
  <c r="DY128" i="17"/>
  <c r="DY108" i="17"/>
  <c r="AE325" i="12"/>
  <c r="AA14" i="11"/>
  <c r="AA18" i="11"/>
  <c r="U161" i="12"/>
  <c r="U160" i="12"/>
  <c r="U162" i="12"/>
  <c r="AC41" i="12"/>
  <c r="AC32" i="11"/>
  <c r="AC36" i="11"/>
  <c r="AF533" i="12"/>
  <c r="AE132" i="17"/>
  <c r="AE128" i="17"/>
  <c r="AE108" i="17"/>
  <c r="AE131" i="17"/>
  <c r="Z65" i="22"/>
  <c r="AF65" i="8"/>
  <c r="AF701" i="12"/>
  <c r="AF702" i="12"/>
  <c r="AF703" i="12"/>
  <c r="M100" i="35"/>
  <c r="M103" i="35"/>
  <c r="N11" i="5"/>
  <c r="N10" i="5"/>
  <c r="N17" i="5"/>
  <c r="AB166" i="6"/>
  <c r="AE524" i="12"/>
  <c r="AC46" i="17"/>
  <c r="AC55" i="12"/>
  <c r="AE105" i="12"/>
  <c r="AE106" i="12"/>
  <c r="DY480" i="12"/>
  <c r="DY479" i="12"/>
  <c r="DY486" i="12"/>
  <c r="AA161" i="12"/>
  <c r="AA160" i="12"/>
  <c r="AI160" i="12"/>
  <c r="DY182" i="7"/>
  <c r="AB22" i="12"/>
  <c r="AB21" i="12"/>
  <c r="AB25" i="12"/>
  <c r="AD531" i="12"/>
  <c r="AD532" i="12"/>
  <c r="AD533" i="12"/>
  <c r="AB312" i="12"/>
  <c r="AB341" i="12"/>
  <c r="AB354" i="12"/>
  <c r="AB355" i="12"/>
  <c r="CR292" i="12"/>
  <c r="CR156" i="12"/>
  <c r="R156" i="12"/>
  <c r="R158" i="12"/>
  <c r="M136" i="22"/>
  <c r="DW133" i="13"/>
  <c r="DJ55" i="22"/>
  <c r="DJ60" i="22"/>
  <c r="AG55" i="12"/>
  <c r="Z394" i="12"/>
  <c r="DX417" i="12"/>
  <c r="Z417" i="12"/>
  <c r="Z363" i="12"/>
  <c r="AB133" i="13"/>
  <c r="AB134" i="13"/>
  <c r="AB131" i="13"/>
  <c r="AF41" i="12"/>
  <c r="AF32" i="11"/>
  <c r="AF36" i="11"/>
  <c r="AG477" i="12"/>
  <c r="AG485" i="12"/>
  <c r="AG487" i="12"/>
  <c r="AE14" i="11"/>
  <c r="AE18" i="11"/>
  <c r="Z55" i="12"/>
  <c r="DX164" i="7"/>
  <c r="DX22" i="7"/>
  <c r="DX194" i="7"/>
  <c r="DX195" i="7"/>
  <c r="AB385" i="12"/>
  <c r="AB387" i="12"/>
  <c r="AB424" i="12"/>
  <c r="AB427" i="12"/>
  <c r="DQ14" i="11"/>
  <c r="DQ59" i="11"/>
  <c r="DQ68" i="11"/>
  <c r="DY65" i="8"/>
  <c r="DY66" i="8"/>
  <c r="DY69" i="8"/>
  <c r="AF385" i="12"/>
  <c r="AF387" i="12"/>
  <c r="CO504" i="12"/>
  <c r="CO510" i="12"/>
  <c r="AG704" i="12"/>
  <c r="DW154" i="15"/>
  <c r="DW155" i="15"/>
  <c r="DW171" i="15"/>
  <c r="AD13" i="7"/>
  <c r="AE97" i="7"/>
  <c r="AE72" i="6"/>
  <c r="DP160" i="12"/>
  <c r="DP153" i="12"/>
  <c r="DP135" i="12"/>
  <c r="DC39" i="22"/>
  <c r="DC40" i="22"/>
  <c r="AF156" i="12"/>
  <c r="AF158" i="12"/>
  <c r="AA136" i="22"/>
  <c r="AF87" i="13"/>
  <c r="AF22" i="11"/>
  <c r="AF40" i="11"/>
  <c r="AF45" i="11"/>
  <c r="AF46" i="11"/>
  <c r="V161" i="12"/>
  <c r="DF153" i="12"/>
  <c r="DF160" i="12"/>
  <c r="V160" i="12"/>
  <c r="V162" i="12"/>
  <c r="Q226" i="13"/>
  <c r="AG703" i="12"/>
  <c r="CV533" i="12"/>
  <c r="AB14" i="11"/>
  <c r="AB18" i="11"/>
  <c r="Y161" i="12"/>
  <c r="DR153" i="12"/>
  <c r="DR160" i="12"/>
  <c r="Y160" i="12"/>
  <c r="Y162" i="12"/>
  <c r="Z346" i="12"/>
  <c r="Z347" i="12"/>
  <c r="DX71" i="7"/>
  <c r="AE703" i="12"/>
  <c r="M10" i="5"/>
  <c r="M17" i="5"/>
  <c r="M21" i="5"/>
  <c r="AB30" i="6"/>
  <c r="W76" i="22"/>
  <c r="W87" i="22"/>
  <c r="AA479" i="12"/>
  <c r="AA486" i="12"/>
  <c r="H34" i="5"/>
  <c r="H35" i="5"/>
  <c r="AF69" i="12"/>
  <c r="AF68" i="11"/>
  <c r="AF77" i="11"/>
  <c r="AF105" i="12"/>
  <c r="AF106" i="12"/>
  <c r="AB499" i="12"/>
  <c r="AB504" i="12"/>
  <c r="CW569" i="12"/>
  <c r="CW570" i="12"/>
  <c r="AF473" i="12"/>
  <c r="AD473" i="12"/>
  <c r="AE473" i="12"/>
  <c r="AF532" i="12"/>
  <c r="AF21" i="12"/>
  <c r="AF25" i="12"/>
  <c r="AF114" i="17"/>
  <c r="AF550" i="12"/>
  <c r="AF557" i="12"/>
  <c r="DY133" i="13"/>
  <c r="DL55" i="22"/>
  <c r="DL60" i="22"/>
  <c r="Z76" i="6"/>
  <c r="Z88" i="6"/>
  <c r="Z92" i="6"/>
  <c r="Z73" i="8"/>
  <c r="Z79" i="8"/>
  <c r="DB160" i="12"/>
  <c r="DB153" i="12"/>
  <c r="DB135" i="12"/>
  <c r="CO39" i="22"/>
  <c r="CO40" i="22"/>
  <c r="DY381" i="12"/>
  <c r="DY380" i="12"/>
  <c r="Z380" i="12"/>
  <c r="Z40" i="11"/>
  <c r="Z58" i="11"/>
  <c r="Z63" i="11"/>
  <c r="DT127" i="6"/>
  <c r="DT144" i="6"/>
  <c r="AD59" i="8"/>
  <c r="AD61" i="8"/>
  <c r="AE545" i="12"/>
  <c r="AF545" i="12"/>
  <c r="AA19" i="7"/>
  <c r="AA20" i="7"/>
  <c r="AA76" i="7"/>
  <c r="AA77" i="7"/>
  <c r="M15" i="5"/>
  <c r="AA109" i="8"/>
  <c r="AA59" i="8"/>
  <c r="AA61" i="8"/>
  <c r="AA13" i="7"/>
  <c r="AB97" i="7"/>
  <c r="AB72" i="6"/>
  <c r="AF431" i="12"/>
  <c r="AF14" i="11"/>
  <c r="AF18" i="11"/>
  <c r="DX387" i="12"/>
  <c r="DX424" i="12"/>
  <c r="Z424" i="12"/>
  <c r="Z427" i="12"/>
  <c r="DW368" i="12"/>
  <c r="Z368" i="12"/>
  <c r="DX160" i="12"/>
  <c r="DX161" i="12"/>
  <c r="DU30" i="6"/>
  <c r="DX16" i="7"/>
  <c r="DY27" i="8"/>
  <c r="DY32" i="8"/>
  <c r="AG161" i="6"/>
  <c r="AG165" i="6"/>
  <c r="AG166" i="6"/>
  <c r="CM19" i="13"/>
  <c r="CM25" i="13"/>
  <c r="CM26" i="13"/>
  <c r="CQ504" i="12"/>
  <c r="CQ502" i="12"/>
  <c r="CQ691" i="12"/>
  <c r="AE21" i="12"/>
  <c r="AE25" i="12"/>
  <c r="AE114" i="17"/>
  <c r="AE550" i="12"/>
  <c r="AE557" i="12"/>
  <c r="AD28" i="12"/>
  <c r="T107" i="35"/>
  <c r="CM265" i="13"/>
  <c r="CM273" i="13"/>
  <c r="Q273" i="13"/>
  <c r="Q274" i="13"/>
  <c r="AC313" i="12"/>
  <c r="AC298" i="12"/>
  <c r="AC301" i="12"/>
  <c r="AC312" i="12"/>
  <c r="AC341" i="12"/>
  <c r="AC354" i="12"/>
  <c r="AC355" i="12"/>
  <c r="AE46" i="17"/>
  <c r="AB50" i="17"/>
  <c r="AC50" i="17"/>
  <c r="AD50" i="17"/>
  <c r="AE50" i="17"/>
  <c r="AF50" i="17"/>
  <c r="AG50" i="17"/>
  <c r="AG46" i="17"/>
  <c r="CT135" i="12"/>
  <c r="CG39" i="22"/>
  <c r="CG40" i="22"/>
  <c r="DW396" i="12"/>
  <c r="DW398" i="12"/>
  <c r="Z398" i="12"/>
  <c r="AC471" i="12"/>
  <c r="AC472" i="12"/>
  <c r="DV71" i="7"/>
  <c r="DW71" i="7"/>
  <c r="AF265" i="12"/>
  <c r="AF263" i="12"/>
  <c r="AF255" i="12"/>
  <c r="AF119" i="12"/>
  <c r="AF118" i="12"/>
  <c r="AB81" i="13"/>
  <c r="AB87" i="13"/>
  <c r="AB22" i="11"/>
  <c r="AB40" i="11"/>
  <c r="AB45" i="11"/>
  <c r="AB46" i="11"/>
  <c r="Y76" i="22"/>
  <c r="Y87" i="22"/>
  <c r="CT109" i="8"/>
  <c r="CT115" i="8"/>
  <c r="AB95" i="6"/>
  <c r="AB98" i="6"/>
  <c r="AB99" i="6"/>
  <c r="DJ46" i="22"/>
  <c r="DJ50" i="22"/>
  <c r="S161" i="12"/>
  <c r="S160" i="12"/>
  <c r="S162" i="12"/>
  <c r="CY160" i="12"/>
  <c r="CY153" i="12"/>
  <c r="CY135" i="12"/>
  <c r="CL39" i="22"/>
  <c r="CL40" i="22"/>
  <c r="AC460" i="12"/>
  <c r="AC38" i="12"/>
  <c r="AC47" i="12"/>
  <c r="AC516" i="12"/>
  <c r="AC519" i="12"/>
  <c r="AC524" i="12"/>
  <c r="AG14" i="11"/>
  <c r="AG18" i="11"/>
  <c r="DJ160" i="12"/>
  <c r="DJ153" i="12"/>
  <c r="W153" i="12"/>
  <c r="W155" i="12"/>
  <c r="R135" i="22"/>
  <c r="Z264" i="12"/>
  <c r="AE73" i="7"/>
  <c r="AF73" i="7"/>
  <c r="AB314" i="12"/>
  <c r="AB315" i="12"/>
  <c r="DR71" i="11"/>
  <c r="DK59" i="22"/>
  <c r="DY12" i="8"/>
  <c r="DY34" i="8"/>
  <c r="DY59" i="8"/>
  <c r="DY61" i="8"/>
  <c r="DY13" i="7"/>
  <c r="Z13" i="7"/>
  <c r="Z90" i="7"/>
  <c r="Z201" i="7"/>
  <c r="Z205" i="7"/>
  <c r="DW119" i="12"/>
  <c r="DW125" i="12"/>
  <c r="DW128" i="12"/>
  <c r="CT568" i="12"/>
  <c r="CT570" i="12"/>
  <c r="CT499" i="12"/>
  <c r="CT504" i="12"/>
  <c r="CT510" i="12"/>
  <c r="AA31" i="16"/>
  <c r="AA30" i="16"/>
  <c r="AA33" i="16"/>
  <c r="DW147" i="15"/>
  <c r="DW156" i="15"/>
  <c r="AF36" i="6"/>
  <c r="R8" i="5"/>
  <c r="AG30" i="6"/>
  <c r="AG17" i="17"/>
  <c r="AG128" i="17"/>
  <c r="S13" i="5"/>
  <c r="S14" i="5"/>
  <c r="DY169" i="7"/>
  <c r="AF163" i="7"/>
  <c r="AF21" i="7"/>
  <c r="AF23" i="7"/>
  <c r="AF111" i="7"/>
  <c r="AF118" i="7"/>
  <c r="DY167" i="7"/>
  <c r="DY171" i="7"/>
  <c r="DY163" i="7"/>
  <c r="DY21" i="7"/>
  <c r="DY23" i="7"/>
  <c r="DY111" i="7"/>
  <c r="DC160" i="12"/>
  <c r="DC153" i="12"/>
  <c r="DC135" i="12"/>
  <c r="CP39" i="22"/>
  <c r="CP40" i="22"/>
  <c r="DF39" i="22"/>
  <c r="DF40" i="22"/>
  <c r="CU499" i="12"/>
  <c r="CU504" i="12"/>
  <c r="CU510" i="12"/>
  <c r="Z155" i="12"/>
  <c r="Z153" i="12"/>
  <c r="Z154" i="12"/>
  <c r="AE42" i="12"/>
  <c r="AE41" i="12"/>
  <c r="AE32" i="11"/>
  <c r="AG42" i="12"/>
  <c r="AG41" i="12"/>
  <c r="AG32" i="11"/>
  <c r="AC40" i="17"/>
  <c r="AC93" i="13"/>
  <c r="AC81" i="13"/>
  <c r="AC133" i="13"/>
  <c r="X55" i="22"/>
  <c r="X60" i="22"/>
  <c r="T111" i="35"/>
  <c r="T113" i="35"/>
  <c r="CV160" i="12"/>
  <c r="CV153" i="12"/>
  <c r="CV135" i="12"/>
  <c r="CI39" i="22"/>
  <c r="CI40" i="22"/>
  <c r="AB72" i="7"/>
  <c r="AC72" i="7"/>
  <c r="AD72" i="7"/>
  <c r="AF81" i="13"/>
  <c r="AF133" i="13"/>
  <c r="AA55" i="22"/>
  <c r="AA60" i="22"/>
  <c r="AF246" i="12"/>
  <c r="AF298" i="12"/>
  <c r="AF301" i="12"/>
  <c r="AF312" i="12"/>
  <c r="AF341" i="12"/>
  <c r="AF354" i="12"/>
  <c r="AF355" i="12"/>
  <c r="AD28" i="8"/>
  <c r="AC30" i="6"/>
  <c r="AC19" i="7"/>
  <c r="AC20" i="7"/>
  <c r="I91" i="14"/>
  <c r="I88" i="14"/>
  <c r="L34" i="22"/>
  <c r="AB70" i="7"/>
  <c r="AC70" i="7"/>
  <c r="AD70" i="7"/>
  <c r="DU95" i="6"/>
  <c r="DU98" i="6"/>
  <c r="DU99" i="6"/>
  <c r="AC122" i="6"/>
  <c r="AC123" i="6"/>
  <c r="AG122" i="6"/>
  <c r="AG123" i="6"/>
  <c r="AC127" i="6"/>
  <c r="AC144" i="6"/>
  <c r="AG127" i="6"/>
  <c r="AG144" i="6"/>
  <c r="CM223" i="13"/>
  <c r="CM233" i="13"/>
  <c r="CM10" i="13"/>
  <c r="CM16" i="13"/>
  <c r="CM30" i="13"/>
  <c r="CM31" i="13"/>
  <c r="AA133" i="13"/>
  <c r="V55" i="22"/>
  <c r="V60" i="22"/>
  <c r="V62" i="22"/>
  <c r="AB254" i="12"/>
  <c r="W97" i="22"/>
  <c r="W98" i="22"/>
  <c r="R502" i="12"/>
  <c r="R504" i="12"/>
  <c r="R510" i="12"/>
  <c r="R533" i="12"/>
  <c r="AE569" i="12"/>
  <c r="AE570" i="12"/>
  <c r="AF569" i="12"/>
  <c r="AF570" i="12"/>
  <c r="AF499" i="12"/>
  <c r="AF504" i="12"/>
  <c r="AB119" i="12"/>
  <c r="AB118" i="12"/>
  <c r="AA11" i="17"/>
  <c r="AA14" i="17"/>
  <c r="AA15" i="17"/>
  <c r="DR49" i="11"/>
  <c r="DR54" i="11"/>
  <c r="AC71" i="7"/>
  <c r="AD71" i="7"/>
  <c r="AE71" i="7"/>
  <c r="AB65" i="12"/>
  <c r="AB87" i="12"/>
  <c r="AB92" i="12"/>
  <c r="AB537" i="12"/>
  <c r="AB547" i="12"/>
  <c r="Z81" i="13"/>
  <c r="Z93" i="13"/>
  <c r="Z49" i="11"/>
  <c r="Z54" i="11"/>
  <c r="Z55" i="11"/>
  <c r="DY19" i="7"/>
  <c r="Z19" i="7"/>
  <c r="Z71" i="7"/>
  <c r="AA71" i="7"/>
  <c r="AB71" i="7"/>
  <c r="DX341" i="12"/>
  <c r="DX246" i="12"/>
  <c r="DX298" i="12"/>
  <c r="DX301" i="12"/>
  <c r="DX312" i="12"/>
  <c r="DX313" i="12"/>
  <c r="Z537" i="12"/>
  <c r="Z547" i="12"/>
  <c r="Z568" i="12"/>
  <c r="Z570" i="12"/>
  <c r="AA569" i="12"/>
  <c r="AA570" i="12"/>
  <c r="AB569" i="12"/>
  <c r="AB570" i="12"/>
  <c r="AC569" i="12"/>
  <c r="AC570" i="12"/>
  <c r="AD569" i="12"/>
  <c r="AD570" i="12"/>
  <c r="AC13" i="7"/>
  <c r="AD97" i="7"/>
  <c r="AD72" i="6"/>
  <c r="AG49" i="11"/>
  <c r="AG54" i="11"/>
  <c r="AB246" i="12"/>
  <c r="AB298" i="12"/>
  <c r="AB301" i="12"/>
  <c r="AB339" i="12"/>
  <c r="AB340" i="12"/>
  <c r="DY385" i="12"/>
  <c r="AD17" i="17"/>
  <c r="AD128" i="17"/>
  <c r="AD108" i="17"/>
  <c r="AD131" i="17"/>
  <c r="Y65" i="22"/>
  <c r="Y70" i="22"/>
  <c r="AB89" i="12"/>
  <c r="AB111" i="8"/>
  <c r="Z88" i="13"/>
  <c r="Z87" i="13"/>
  <c r="Z22" i="11"/>
  <c r="AD460" i="12"/>
  <c r="AD38" i="12"/>
  <c r="AD47" i="12"/>
  <c r="AD516" i="12"/>
  <c r="AD519" i="12"/>
  <c r="AD524" i="12"/>
  <c r="AA58" i="11"/>
  <c r="AA63" i="11"/>
  <c r="CM226" i="13"/>
  <c r="CM225" i="13"/>
  <c r="Q225" i="13"/>
  <c r="AA531" i="12"/>
  <c r="AA532" i="12"/>
  <c r="L44" i="14"/>
  <c r="L93" i="14"/>
  <c r="L95" i="14"/>
  <c r="DV160" i="12"/>
  <c r="DV153" i="12"/>
  <c r="DV135" i="12"/>
  <c r="DI39" i="22"/>
  <c r="DI40" i="22"/>
  <c r="AA30" i="6"/>
  <c r="V76" i="22"/>
  <c r="V87" i="22"/>
  <c r="Z161" i="6"/>
  <c r="Z165" i="6"/>
  <c r="CN156" i="12"/>
  <c r="CN292" i="12"/>
  <c r="CN289" i="12"/>
  <c r="CN140" i="12"/>
  <c r="Q140" i="12"/>
  <c r="Q142" i="12"/>
  <c r="DY78" i="12"/>
  <c r="DY107" i="8"/>
  <c r="DY115" i="8"/>
  <c r="DY95" i="8"/>
  <c r="AG330" i="12"/>
  <c r="AG325" i="12"/>
  <c r="AG319" i="12"/>
  <c r="AG322" i="12"/>
  <c r="AG323" i="12"/>
  <c r="DX325" i="12"/>
  <c r="DX319" i="12"/>
  <c r="DX322" i="12"/>
  <c r="DX323" i="12"/>
  <c r="AA385" i="12"/>
  <c r="AA387" i="12"/>
  <c r="DW181" i="7"/>
  <c r="DX177" i="7"/>
  <c r="DX181" i="7"/>
  <c r="DY177" i="7"/>
  <c r="DY181" i="7"/>
  <c r="DY164" i="7"/>
  <c r="AA166" i="6"/>
  <c r="Z433" i="12"/>
  <c r="Z434" i="12"/>
  <c r="AA380" i="12"/>
  <c r="AA254" i="12"/>
  <c r="AA381" i="12"/>
  <c r="AA390" i="12"/>
  <c r="AB265" i="12"/>
  <c r="AB263" i="12"/>
  <c r="AB255" i="12"/>
  <c r="AB125" i="12"/>
  <c r="AB128" i="12"/>
  <c r="AB505" i="12"/>
  <c r="DW114" i="17"/>
  <c r="Z114" i="17"/>
  <c r="Z550" i="12"/>
  <c r="Z505" i="12"/>
  <c r="AA505" i="12"/>
  <c r="AA510" i="12"/>
  <c r="O100" i="35"/>
  <c r="O103" i="35"/>
  <c r="O107" i="35"/>
  <c r="DW177" i="12"/>
  <c r="DW176" i="12"/>
  <c r="DX176" i="12"/>
  <c r="DY160" i="12"/>
  <c r="DY161" i="12"/>
  <c r="Z62" i="22"/>
  <c r="AG531" i="12"/>
  <c r="AD153" i="12"/>
  <c r="AD155" i="12"/>
  <c r="Y135" i="22"/>
  <c r="AB346" i="12"/>
  <c r="AB347" i="12"/>
  <c r="AD255" i="12"/>
  <c r="AD125" i="12"/>
  <c r="AD128" i="12"/>
  <c r="AD95" i="6"/>
  <c r="AD98" i="6"/>
  <c r="AD99" i="6"/>
  <c r="CT703" i="12"/>
  <c r="CT704" i="12"/>
  <c r="DX282" i="12"/>
  <c r="DX281" i="12"/>
  <c r="DX283" i="12"/>
  <c r="AE134" i="13"/>
  <c r="AE131" i="13"/>
  <c r="AE30" i="16"/>
  <c r="AE33" i="16"/>
  <c r="AE34" i="16"/>
  <c r="AE298" i="12"/>
  <c r="AE301" i="12"/>
  <c r="AE339" i="12"/>
  <c r="AE340" i="12"/>
  <c r="AE17" i="17"/>
  <c r="AE19" i="17"/>
  <c r="AF19" i="17"/>
  <c r="AB55" i="11"/>
  <c r="AE385" i="12"/>
  <c r="AE387" i="12"/>
  <c r="AE424" i="12"/>
  <c r="AE427" i="12"/>
  <c r="DS14" i="11"/>
  <c r="DS59" i="11"/>
  <c r="DS68" i="11"/>
  <c r="CP504" i="12"/>
  <c r="CP510" i="12"/>
  <c r="Z314" i="12"/>
  <c r="Z315" i="12"/>
  <c r="AG59" i="8"/>
  <c r="AG61" i="8"/>
  <c r="AB172" i="7"/>
  <c r="AB178" i="7"/>
  <c r="AB34" i="17"/>
  <c r="AB26" i="17"/>
  <c r="AB56" i="17"/>
  <c r="AB27" i="16"/>
  <c r="AB53" i="11"/>
  <c r="AB62" i="11"/>
  <c r="AB71" i="11"/>
  <c r="AB80" i="11"/>
  <c r="AC177" i="7"/>
  <c r="AC181" i="7"/>
  <c r="AD177" i="7"/>
  <c r="AD181" i="7"/>
  <c r="AE177" i="7"/>
  <c r="AE181" i="7"/>
  <c r="AF177" i="7"/>
  <c r="AF181" i="7"/>
  <c r="AG177" i="7"/>
  <c r="AG181" i="7"/>
  <c r="AG164" i="7"/>
  <c r="AG22" i="7"/>
  <c r="AA265" i="12"/>
  <c r="AA263" i="12"/>
  <c r="AA156" i="12"/>
  <c r="AA153" i="12"/>
  <c r="AA155" i="12"/>
  <c r="V135" i="22"/>
  <c r="AB65" i="8"/>
  <c r="AB701" i="12"/>
  <c r="AB702" i="12"/>
  <c r="AB703" i="12"/>
  <c r="AA306" i="12"/>
  <c r="AA179" i="12"/>
  <c r="AB306" i="12"/>
  <c r="DM160" i="12"/>
  <c r="DM153" i="12"/>
  <c r="DM135" i="12"/>
  <c r="DM140" i="12"/>
  <c r="Z140" i="12"/>
  <c r="AA140" i="12"/>
  <c r="AA177" i="12"/>
  <c r="AA176" i="12"/>
  <c r="AB176" i="12"/>
  <c r="AC176" i="12"/>
  <c r="AC179" i="12"/>
  <c r="AD306" i="12"/>
  <c r="AF40" i="17"/>
  <c r="AF93" i="13"/>
  <c r="AF49" i="11"/>
  <c r="AF54" i="11"/>
  <c r="N100" i="35"/>
  <c r="N103" i="35"/>
  <c r="AG346" i="12"/>
  <c r="AF249" i="12"/>
  <c r="AG249" i="12"/>
  <c r="AG246" i="12"/>
  <c r="AE93" i="13"/>
  <c r="AE81" i="13"/>
  <c r="AE133" i="13"/>
  <c r="Z55" i="22"/>
  <c r="Z60" i="22"/>
  <c r="AF35" i="6"/>
  <c r="AF63" i="6"/>
  <c r="AF76" i="6"/>
  <c r="AF88" i="6"/>
  <c r="AF92" i="6"/>
  <c r="AF12" i="8"/>
  <c r="AF34" i="8"/>
  <c r="AF59" i="8"/>
  <c r="AF61" i="8"/>
  <c r="AG65" i="12"/>
  <c r="AG87" i="12"/>
  <c r="AG92" i="12"/>
  <c r="AG537" i="12"/>
  <c r="AG547" i="12"/>
  <c r="AA161" i="6"/>
  <c r="AA165" i="6"/>
  <c r="P100" i="35"/>
  <c r="P103" i="35"/>
  <c r="U101" i="15"/>
  <c r="U99" i="15"/>
  <c r="U100" i="15"/>
  <c r="AE365" i="12"/>
  <c r="AF65" i="12"/>
  <c r="AF87" i="12"/>
  <c r="AF92" i="12"/>
  <c r="AF537" i="12"/>
  <c r="AF547" i="12"/>
  <c r="AA81" i="13"/>
  <c r="AA87" i="13"/>
  <c r="AA22" i="11"/>
  <c r="AA40" i="11"/>
  <c r="AA45" i="11"/>
  <c r="AA46" i="11"/>
  <c r="CU696" i="12"/>
  <c r="CU698" i="12"/>
  <c r="CU702" i="12"/>
  <c r="DX78" i="12"/>
  <c r="DX107" i="8"/>
  <c r="DX115" i="8"/>
  <c r="DV30" i="6"/>
  <c r="DY16" i="7"/>
  <c r="Z16" i="7"/>
  <c r="Z70" i="7"/>
  <c r="AA70" i="7"/>
  <c r="DX86" i="8"/>
  <c r="DX97" i="8"/>
  <c r="AD161" i="6"/>
  <c r="AD165" i="6"/>
  <c r="AG90" i="12"/>
  <c r="AB90" i="12"/>
  <c r="AC90" i="12"/>
  <c r="AD90" i="12"/>
  <c r="AE90" i="12"/>
  <c r="AF90" i="12"/>
  <c r="AF89" i="12"/>
  <c r="Z90" i="12"/>
  <c r="AA90" i="12"/>
  <c r="X100" i="15"/>
  <c r="X99" i="15"/>
  <c r="T100" i="15"/>
  <c r="T99" i="15"/>
  <c r="DV14" i="6"/>
  <c r="DV35" i="6"/>
  <c r="DV63" i="6"/>
  <c r="DV76" i="6"/>
  <c r="DV88" i="6"/>
  <c r="DV92" i="6"/>
  <c r="DV127" i="6"/>
  <c r="DV144" i="6"/>
  <c r="CM91" i="14"/>
  <c r="CM44" i="14"/>
  <c r="I44" i="14"/>
  <c r="I41" i="14"/>
  <c r="J41" i="14"/>
  <c r="K41" i="14"/>
  <c r="L41" i="14"/>
  <c r="M41" i="14"/>
  <c r="N41" i="14"/>
  <c r="O41" i="14"/>
  <c r="P41" i="14"/>
  <c r="P44" i="14"/>
  <c r="P93" i="14"/>
  <c r="P95" i="14"/>
  <c r="CO691" i="12"/>
  <c r="CO502" i="12"/>
  <c r="Q502" i="12"/>
  <c r="Q504" i="12"/>
  <c r="Q510" i="12"/>
  <c r="AD265" i="12"/>
  <c r="AD263" i="12"/>
  <c r="AD156" i="12"/>
  <c r="AD158" i="12"/>
  <c r="Y136" i="22"/>
  <c r="CT160" i="12"/>
  <c r="CT153" i="12"/>
  <c r="S153" i="12"/>
  <c r="S155" i="12"/>
  <c r="N135" i="22"/>
  <c r="DN160" i="12"/>
  <c r="DN153" i="12"/>
  <c r="DN135" i="12"/>
  <c r="DA39" i="22"/>
  <c r="DA40" i="22"/>
  <c r="AC17" i="17"/>
  <c r="AB19" i="17"/>
  <c r="AC19" i="17"/>
  <c r="AD19" i="17"/>
  <c r="AC255" i="12"/>
  <c r="AC125" i="12"/>
  <c r="AC128" i="12"/>
  <c r="AE330" i="12"/>
  <c r="AF330" i="12"/>
  <c r="AF325" i="12"/>
  <c r="AF319" i="12"/>
  <c r="AF322" i="12"/>
  <c r="AF323" i="12"/>
  <c r="DW325" i="12"/>
  <c r="DW319" i="12"/>
  <c r="DW322" i="12"/>
  <c r="DW323" i="12"/>
  <c r="DY325" i="12"/>
  <c r="DY319" i="12"/>
  <c r="DY322" i="12"/>
  <c r="DY323" i="12"/>
  <c r="Z28" i="12"/>
  <c r="AG16" i="37"/>
  <c r="AE531" i="12"/>
  <c r="AE532" i="12"/>
  <c r="AG93" i="13"/>
  <c r="AG81" i="13"/>
  <c r="AG133" i="13"/>
  <c r="AB55" i="22"/>
  <c r="AB60" i="22"/>
  <c r="AA35" i="8"/>
  <c r="AC172" i="7"/>
  <c r="AC178" i="7"/>
  <c r="AC34" i="17"/>
  <c r="AC26" i="17"/>
  <c r="AC56" i="17"/>
  <c r="AC27" i="16"/>
  <c r="AC53" i="11"/>
  <c r="AC62" i="11"/>
  <c r="DX34" i="17"/>
  <c r="DX26" i="17"/>
  <c r="DX40" i="17"/>
  <c r="DX93" i="13"/>
  <c r="DX81" i="13"/>
  <c r="DX87" i="13"/>
  <c r="DR22" i="11"/>
  <c r="DR40" i="11"/>
  <c r="DR58" i="11"/>
  <c r="DR63" i="11"/>
  <c r="AD93" i="13"/>
  <c r="AD49" i="11"/>
  <c r="AD54" i="11"/>
  <c r="AA164" i="7"/>
  <c r="AA22" i="7"/>
  <c r="AD73" i="7"/>
  <c r="DW313" i="12"/>
  <c r="DW298" i="12"/>
  <c r="DW301" i="12"/>
  <c r="DW312" i="12"/>
  <c r="DW341" i="12"/>
  <c r="DW354" i="12"/>
  <c r="DW355" i="12"/>
  <c r="AB76" i="6"/>
  <c r="AB88" i="6"/>
  <c r="AB92" i="6"/>
  <c r="AB12" i="8"/>
  <c r="AB34" i="8"/>
  <c r="AB59" i="8"/>
  <c r="AB61" i="8"/>
  <c r="AB13" i="7"/>
  <c r="AC97" i="7"/>
  <c r="AC72" i="6"/>
  <c r="AD35" i="6"/>
  <c r="AD63" i="6"/>
  <c r="AD76" i="6"/>
  <c r="AD88" i="6"/>
  <c r="AD92" i="6"/>
  <c r="AD12" i="8"/>
  <c r="AD34" i="8"/>
  <c r="AD65" i="8"/>
  <c r="AD701" i="12"/>
  <c r="AD702" i="12"/>
  <c r="AD703" i="12"/>
  <c r="AD385" i="12"/>
  <c r="AA172" i="7"/>
  <c r="AA178" i="7"/>
  <c r="AA34" i="17"/>
  <c r="AA26" i="17"/>
  <c r="AA56" i="17"/>
  <c r="AA27" i="16"/>
  <c r="AA53" i="11"/>
  <c r="AA62" i="11"/>
  <c r="AA71" i="11"/>
  <c r="DQ40" i="11"/>
  <c r="H28" i="5"/>
  <c r="CS504" i="12"/>
  <c r="CS510" i="12"/>
  <c r="AC703" i="12"/>
  <c r="DX12" i="8"/>
  <c r="DX34" i="8"/>
  <c r="DX59" i="8"/>
  <c r="DX61" i="8"/>
  <c r="Z105" i="12"/>
  <c r="Z312" i="12"/>
  <c r="Z341" i="12"/>
  <c r="Z354" i="12"/>
  <c r="Z355" i="12"/>
  <c r="CV569" i="12"/>
  <c r="CV570" i="12"/>
  <c r="CV499" i="12"/>
  <c r="CV504" i="12"/>
  <c r="CV510" i="12"/>
  <c r="AD371" i="12"/>
  <c r="AE371" i="12"/>
  <c r="AF371" i="12"/>
  <c r="Z59" i="8"/>
  <c r="Z61" i="8"/>
  <c r="AG460" i="12"/>
  <c r="AG38" i="12"/>
  <c r="AG47" i="12"/>
  <c r="AG516" i="12"/>
  <c r="AG519" i="12"/>
  <c r="AE65" i="8"/>
  <c r="AE701" i="12"/>
  <c r="AE702" i="12"/>
  <c r="AE27" i="12"/>
  <c r="AE31" i="12"/>
  <c r="AE14" i="6"/>
  <c r="AE35" i="6"/>
  <c r="AE63" i="6"/>
  <c r="AE76" i="6"/>
  <c r="AE88" i="6"/>
  <c r="AE92" i="6"/>
  <c r="AE12" i="8"/>
  <c r="AE34" i="8"/>
  <c r="AE59" i="8"/>
  <c r="AE61" i="8"/>
  <c r="AD249" i="12"/>
  <c r="AE249" i="12"/>
  <c r="AE246" i="12"/>
  <c r="AE477" i="12"/>
  <c r="AE485" i="12"/>
  <c r="AE487" i="12"/>
  <c r="AE370" i="12"/>
  <c r="AE430" i="12"/>
  <c r="AE433" i="12"/>
  <c r="AE479" i="12"/>
  <c r="AE486" i="12"/>
  <c r="AA40" i="17"/>
  <c r="AA93" i="13"/>
  <c r="AA49" i="11"/>
  <c r="AA54" i="11"/>
  <c r="BF95" i="12"/>
  <c r="BF92" i="12"/>
  <c r="DW286" i="12"/>
  <c r="DW292" i="12"/>
  <c r="DW287" i="12"/>
  <c r="Z287" i="12"/>
  <c r="Z126" i="12"/>
  <c r="AC325" i="12"/>
  <c r="AA120" i="8"/>
  <c r="AA122" i="8"/>
  <c r="AA124" i="8"/>
  <c r="AC531" i="12"/>
  <c r="AC532" i="12"/>
  <c r="AC533" i="12"/>
  <c r="DW471" i="12"/>
  <c r="Z471" i="12"/>
  <c r="Z473" i="12"/>
  <c r="AA473" i="12"/>
  <c r="AB473" i="12"/>
  <c r="AC473" i="12"/>
  <c r="AC265" i="12"/>
  <c r="AC263" i="12"/>
  <c r="AC156" i="12"/>
  <c r="AC158" i="12"/>
  <c r="X136" i="22"/>
  <c r="DY263" i="12"/>
  <c r="DY156" i="12"/>
  <c r="DY158" i="12"/>
  <c r="DL136" i="22"/>
  <c r="DW477" i="12"/>
  <c r="DW485" i="12"/>
  <c r="DW487" i="12"/>
  <c r="DW486" i="12"/>
  <c r="AF531" i="12"/>
  <c r="AC528" i="12"/>
  <c r="AD528" i="12"/>
  <c r="AE528" i="12"/>
  <c r="AF528" i="12"/>
  <c r="AG528" i="12"/>
  <c r="AD40" i="17"/>
  <c r="AD59" i="17"/>
  <c r="AD60" i="17"/>
  <c r="AB40" i="17"/>
  <c r="AB93" i="13"/>
  <c r="AB49" i="11"/>
  <c r="AB54" i="11"/>
  <c r="DV74" i="7"/>
  <c r="DW74" i="7"/>
  <c r="AE40" i="17"/>
  <c r="AE364" i="12"/>
  <c r="AG167" i="7"/>
  <c r="AG171" i="7"/>
  <c r="AG163" i="7"/>
  <c r="Z86" i="8"/>
  <c r="Z97" i="8"/>
  <c r="AB364" i="12"/>
  <c r="AB370" i="12"/>
  <c r="AB430" i="12"/>
  <c r="AB433" i="12"/>
  <c r="AB27" i="12"/>
  <c r="AB31" i="12"/>
  <c r="AB14" i="6"/>
  <c r="AB35" i="6"/>
  <c r="AB63" i="6"/>
  <c r="AB161" i="6"/>
  <c r="AB165" i="6"/>
  <c r="AA528" i="12"/>
  <c r="AB528" i="12"/>
  <c r="AB531" i="12"/>
  <c r="AB532" i="12"/>
  <c r="DS49" i="11"/>
  <c r="DT63" i="6"/>
  <c r="DT76" i="6"/>
  <c r="DT88" i="6"/>
  <c r="DT92" i="6"/>
  <c r="DW12" i="8"/>
  <c r="Z12" i="8"/>
  <c r="Z34" i="8"/>
  <c r="Z65" i="8"/>
  <c r="Z701" i="12"/>
  <c r="Z702" i="12"/>
  <c r="CS502" i="12"/>
  <c r="CT545" i="12"/>
  <c r="CT547" i="12"/>
  <c r="CT696" i="12"/>
  <c r="CT698" i="12"/>
  <c r="CT702" i="12"/>
  <c r="DS160" i="12"/>
  <c r="DS153" i="12"/>
  <c r="DS135" i="12"/>
  <c r="DS140" i="12"/>
  <c r="DW140" i="12"/>
  <c r="DW135" i="12"/>
  <c r="DW112" i="12"/>
  <c r="DW103" i="12"/>
  <c r="DX103" i="12"/>
  <c r="DY103" i="12"/>
  <c r="Z103" i="12"/>
  <c r="AA103" i="12"/>
  <c r="AB103" i="12"/>
  <c r="AC103" i="12"/>
  <c r="AD103" i="12"/>
  <c r="AE103" i="12"/>
  <c r="AF103" i="12"/>
  <c r="AA95" i="22"/>
  <c r="AA96" i="22"/>
  <c r="Z178" i="7"/>
  <c r="Z181" i="7"/>
  <c r="AA177" i="7"/>
  <c r="AA181" i="7"/>
  <c r="AB177" i="7"/>
  <c r="AB181" i="7"/>
  <c r="AB164" i="7"/>
  <c r="AB22" i="7"/>
  <c r="CP691" i="12"/>
  <c r="CP502" i="12"/>
  <c r="AE359" i="12"/>
  <c r="AE363" i="12"/>
  <c r="AE460" i="12"/>
  <c r="AE38" i="12"/>
  <c r="AE47" i="12"/>
  <c r="AE516" i="12"/>
  <c r="AE519" i="12"/>
  <c r="Z500" i="12"/>
  <c r="Z545" i="12"/>
  <c r="AA545" i="12"/>
  <c r="AB545" i="12"/>
  <c r="AC545" i="12"/>
  <c r="AD545" i="12"/>
  <c r="CN504" i="12"/>
  <c r="CN502" i="12"/>
  <c r="CN691" i="12"/>
  <c r="DX31" i="12"/>
  <c r="DU14" i="6"/>
  <c r="DU35" i="6"/>
  <c r="DU63" i="6"/>
  <c r="DU76" i="6"/>
  <c r="DU88" i="6"/>
  <c r="DU92" i="6"/>
  <c r="DU127" i="6"/>
  <c r="DU144" i="6"/>
  <c r="DW16" i="7"/>
  <c r="DX27" i="8"/>
  <c r="DX32" i="8"/>
  <c r="DY39" i="7"/>
  <c r="Z39" i="7"/>
  <c r="Z73" i="7"/>
  <c r="AA73" i="7"/>
  <c r="AB73" i="7"/>
  <c r="AC73" i="7"/>
  <c r="AF430" i="12"/>
  <c r="AF433" i="12"/>
  <c r="AF27" i="12"/>
  <c r="AF31" i="12"/>
  <c r="AF14" i="6"/>
  <c r="AF30" i="6"/>
  <c r="AA76" i="22"/>
  <c r="AA87" i="22"/>
  <c r="Y100" i="15"/>
  <c r="Y99" i="15"/>
  <c r="DX433" i="12"/>
  <c r="DX27" i="12"/>
  <c r="Z27" i="12"/>
  <c r="Z31" i="12"/>
  <c r="Z65" i="12"/>
  <c r="Z87" i="12"/>
  <c r="Z92" i="12"/>
  <c r="Z528" i="12"/>
  <c r="Z531" i="12"/>
  <c r="Z532" i="12"/>
  <c r="Z246" i="12"/>
  <c r="Z249" i="12"/>
  <c r="AA249" i="12"/>
  <c r="AB249" i="12"/>
  <c r="AC249" i="12"/>
  <c r="AC246" i="12"/>
  <c r="AC477" i="12"/>
  <c r="AC485" i="12"/>
  <c r="AC487" i="12"/>
  <c r="AA122" i="6"/>
  <c r="AA123" i="6"/>
  <c r="N111" i="35"/>
  <c r="N113" i="35"/>
  <c r="AA325" i="12"/>
  <c r="AC65" i="12"/>
  <c r="AC87" i="12"/>
  <c r="AC92" i="12"/>
  <c r="AC537" i="12"/>
  <c r="AC547" i="12"/>
  <c r="AB188" i="7"/>
  <c r="AC188" i="7"/>
  <c r="AE167" i="7"/>
  <c r="AE171" i="7"/>
  <c r="AF167" i="7"/>
  <c r="AF171" i="7"/>
  <c r="AG172" i="7"/>
  <c r="AG178" i="7"/>
  <c r="AG34" i="17"/>
  <c r="AG26" i="17"/>
  <c r="AG56" i="17"/>
  <c r="AG27" i="16"/>
  <c r="AG53" i="11"/>
  <c r="AG62" i="11"/>
  <c r="AG71" i="11"/>
  <c r="DX385" i="12"/>
  <c r="DX430" i="12"/>
  <c r="AA167" i="7"/>
  <c r="AA171" i="7"/>
  <c r="AB167" i="7"/>
  <c r="AB171" i="7"/>
  <c r="AC167" i="7"/>
  <c r="AC171" i="7"/>
  <c r="AD167" i="7"/>
  <c r="AD171" i="7"/>
  <c r="AE172" i="7"/>
  <c r="AE178" i="7"/>
  <c r="AE34" i="17"/>
  <c r="AE26" i="17"/>
  <c r="AE56" i="17"/>
  <c r="AE27" i="16"/>
  <c r="AE53" i="11"/>
  <c r="AE62" i="11"/>
  <c r="AE71" i="11"/>
  <c r="AG88" i="6"/>
  <c r="AG92" i="6"/>
  <c r="AG12" i="8"/>
  <c r="AG34" i="8"/>
  <c r="AG65" i="8"/>
  <c r="AG701" i="12"/>
  <c r="AG702" i="12"/>
  <c r="AC59" i="8"/>
  <c r="AC61" i="8"/>
  <c r="CR504" i="12"/>
  <c r="CR510" i="12"/>
  <c r="AA430" i="12"/>
  <c r="AA433" i="12"/>
  <c r="AA27" i="12"/>
  <c r="AA31" i="12"/>
  <c r="AA14" i="6"/>
  <c r="AA35" i="6"/>
  <c r="AA63" i="6"/>
  <c r="AA76" i="6"/>
  <c r="AA88" i="6"/>
  <c r="AA92" i="6"/>
  <c r="AA12" i="8"/>
  <c r="AA34" i="8"/>
  <c r="AA65" i="8"/>
  <c r="AA701" i="12"/>
  <c r="AA702" i="12"/>
  <c r="AA703" i="12"/>
  <c r="DY17" i="7"/>
  <c r="Z17" i="7"/>
  <c r="Z72" i="7"/>
  <c r="AA72" i="7"/>
  <c r="DY363" i="12"/>
  <c r="DY364" i="12"/>
  <c r="DY370" i="12"/>
  <c r="DY430" i="12"/>
  <c r="DY433" i="12"/>
  <c r="DY27" i="12"/>
  <c r="DY31" i="12"/>
  <c r="DY41" i="12"/>
  <c r="DS32" i="11"/>
  <c r="DS36" i="11"/>
  <c r="CM691" i="12"/>
  <c r="CM502" i="12"/>
  <c r="CM504" i="12"/>
  <c r="Z17" i="17"/>
  <c r="Z19" i="17"/>
  <c r="AA19" i="17"/>
  <c r="AC330" i="12"/>
  <c r="AD330" i="12"/>
  <c r="AD325" i="12"/>
  <c r="AD319" i="12"/>
  <c r="AD322" i="12"/>
  <c r="AD323" i="12"/>
  <c r="S100" i="15"/>
  <c r="S99" i="15"/>
  <c r="S10" i="5"/>
  <c r="S17" i="5"/>
  <c r="S23" i="5"/>
  <c r="S24" i="5"/>
  <c r="Z263" i="12"/>
  <c r="Z265" i="12"/>
  <c r="AA266" i="12"/>
  <c r="AB266" i="12"/>
  <c r="AC266" i="12"/>
  <c r="AD266" i="12"/>
  <c r="AE266" i="12"/>
  <c r="AF266" i="12"/>
  <c r="AG266" i="12"/>
  <c r="AG265" i="12"/>
  <c r="AG263" i="12"/>
  <c r="AG255" i="12"/>
  <c r="AG125" i="12"/>
  <c r="AG128" i="12"/>
  <c r="DY361" i="12"/>
  <c r="DY359" i="12"/>
  <c r="Z168" i="7"/>
  <c r="Z171" i="7"/>
  <c r="Z172" i="7"/>
  <c r="Z188" i="7"/>
  <c r="AA188" i="7"/>
  <c r="Z254" i="12"/>
  <c r="Z181" i="12"/>
  <c r="Z330" i="12"/>
  <c r="AA330" i="12"/>
  <c r="AB330" i="12"/>
  <c r="AB325" i="12"/>
  <c r="AB319" i="12"/>
  <c r="AB322" i="12"/>
  <c r="AB323" i="12"/>
  <c r="DX254" i="12"/>
  <c r="DY254" i="12"/>
  <c r="DY117" i="12"/>
  <c r="Z117" i="12"/>
  <c r="DY73" i="7"/>
  <c r="AA363" i="12"/>
  <c r="AA364" i="12"/>
  <c r="AA370" i="12"/>
  <c r="AC430" i="12"/>
  <c r="AC433" i="12"/>
  <c r="AC27" i="12"/>
  <c r="AC31" i="12"/>
  <c r="AC14" i="6"/>
  <c r="AC35" i="6"/>
  <c r="AC63" i="6"/>
  <c r="AC76" i="6"/>
  <c r="AC88" i="6"/>
  <c r="AC92" i="6"/>
  <c r="AC12" i="8"/>
  <c r="AC34" i="8"/>
  <c r="AC65" i="8"/>
  <c r="AC701" i="12"/>
  <c r="AC702" i="12"/>
  <c r="AD365" i="12"/>
  <c r="H27" i="5"/>
  <c r="H29" i="5"/>
  <c r="H32" i="5"/>
  <c r="AE74" i="7"/>
  <c r="CU547" i="12"/>
  <c r="CU568" i="12"/>
  <c r="CU570" i="12"/>
  <c r="AC371" i="12"/>
  <c r="AF359" i="12"/>
  <c r="AF363" i="12"/>
  <c r="AF364" i="12"/>
  <c r="AF370" i="12"/>
  <c r="AA359" i="12"/>
  <c r="AB363" i="12"/>
  <c r="AD359" i="12"/>
  <c r="AD363" i="12"/>
  <c r="AD364" i="12"/>
  <c r="AD370" i="12"/>
  <c r="AD430" i="12"/>
  <c r="AD433" i="12"/>
  <c r="AD27" i="12"/>
  <c r="AD31" i="12"/>
  <c r="AD14" i="6"/>
  <c r="AD30" i="6"/>
  <c r="AD59" i="6"/>
  <c r="Y77" i="22"/>
  <c r="Y92" i="22"/>
  <c r="DW93" i="13"/>
  <c r="DW81" i="13"/>
  <c r="DW87" i="13"/>
  <c r="DQ22" i="11"/>
  <c r="DQ27" i="11"/>
  <c r="DT39" i="6"/>
  <c r="DT45" i="6"/>
  <c r="DV73" i="7"/>
  <c r="DW73" i="7"/>
  <c r="DX73" i="7"/>
  <c r="DX172" i="7"/>
  <c r="DX178" i="7"/>
  <c r="DU48" i="6"/>
  <c r="DR53" i="11"/>
  <c r="DR62" i="11"/>
  <c r="DT35" i="6"/>
  <c r="Z35" i="6"/>
  <c r="Z63" i="6"/>
  <c r="L10" i="5"/>
  <c r="L17" i="5"/>
  <c r="L21" i="5"/>
  <c r="AC74" i="7"/>
  <c r="AD74" i="7"/>
  <c r="DW381" i="12"/>
  <c r="DW380" i="12"/>
  <c r="DW389" i="12"/>
  <c r="DX370" i="12"/>
  <c r="Z370" i="12"/>
  <c r="Z371" i="12"/>
  <c r="AA371" i="12"/>
  <c r="AB371" i="12"/>
  <c r="AB359" i="12"/>
  <c r="DX364" i="12"/>
  <c r="Z364" i="12"/>
  <c r="Z365" i="12"/>
  <c r="AA365" i="12"/>
  <c r="AB365" i="12"/>
  <c r="AC365" i="12"/>
  <c r="DX167" i="7"/>
  <c r="DX171" i="7"/>
  <c r="DY172" i="7"/>
  <c r="DY178" i="7"/>
  <c r="DY34" i="17"/>
  <c r="DY26" i="17"/>
  <c r="DY40" i="17"/>
  <c r="DY93" i="13"/>
  <c r="DY81" i="13"/>
  <c r="DY87" i="13"/>
  <c r="DS22" i="11"/>
  <c r="DS27" i="11"/>
  <c r="DV39" i="6"/>
  <c r="DV45" i="6"/>
  <c r="DY49" i="7"/>
  <c r="Z49" i="7"/>
  <c r="Z74" i="7"/>
  <c r="AA74" i="7"/>
  <c r="AB74" i="7"/>
  <c r="CR502" i="12"/>
  <c r="CR691" i="12"/>
  <c r="CS691" i="12"/>
  <c r="CT691" i="12"/>
  <c r="CT502" i="12"/>
  <c r="CU545" i="12"/>
  <c r="DW40" i="17"/>
  <c r="Z40" i="17"/>
  <c r="Z45" i="17"/>
  <c r="AA45" i="17"/>
  <c r="AB45" i="17"/>
  <c r="AC45" i="17"/>
  <c r="AD45" i="17"/>
  <c r="AE45" i="17"/>
  <c r="AF45" i="17"/>
  <c r="AG45" i="17"/>
  <c r="AG40" i="17"/>
  <c r="AD360" i="12"/>
  <c r="AE360" i="12"/>
  <c r="AF360" i="12"/>
  <c r="AG360" i="12"/>
  <c r="AG359" i="12"/>
  <c r="AG363" i="12"/>
  <c r="AG364" i="12"/>
  <c r="AG370" i="12"/>
  <c r="AG430" i="12"/>
  <c r="AG433" i="12"/>
  <c r="AG27" i="12"/>
  <c r="AG31" i="12"/>
  <c r="AG14" i="6"/>
  <c r="AG35" i="6"/>
  <c r="AG63" i="6"/>
  <c r="AG76" i="6"/>
  <c r="T100" i="35"/>
  <c r="T103" i="35"/>
  <c r="DX363" i="12"/>
  <c r="DX460" i="12"/>
  <c r="Z460" i="12"/>
  <c r="Z469" i="12"/>
  <c r="AA469" i="12"/>
  <c r="AB469" i="12"/>
  <c r="AC469" i="12"/>
  <c r="AD469" i="12"/>
  <c r="AE469" i="12"/>
  <c r="AF469" i="12"/>
  <c r="DW246" i="12"/>
  <c r="DW21" i="12"/>
  <c r="DW25" i="12"/>
  <c r="DW31" i="12"/>
  <c r="DT14" i="6"/>
  <c r="DT30" i="6"/>
  <c r="DW17" i="17"/>
  <c r="DW38" i="8"/>
  <c r="DW168" i="7"/>
  <c r="DW171" i="7"/>
  <c r="DW172" i="7"/>
  <c r="DW178" i="7"/>
  <c r="DW34" i="17"/>
  <c r="DW26" i="17"/>
  <c r="DW46" i="17"/>
  <c r="Z46" i="17"/>
  <c r="Z50" i="17"/>
  <c r="AA50" i="17"/>
  <c r="DW263" i="12"/>
  <c r="DW255" i="12"/>
  <c r="DW254" i="12"/>
  <c r="DX361" i="12"/>
  <c r="DX359" i="12"/>
  <c r="Z359" i="12"/>
  <c r="Z360" i="12"/>
  <c r="AA360" i="12"/>
  <c r="AB360" i="12"/>
  <c r="AC360" i="12"/>
  <c r="AC359" i="12"/>
  <c r="AC363" i="12"/>
  <c r="AC364" i="12"/>
  <c r="AC370" i="12"/>
  <c r="Q228" i="13"/>
  <c r="Q229" i="13"/>
</calcChain>
</file>

<file path=xl/comments1.xml><?xml version="1.0" encoding="utf-8"?>
<comments xmlns="http://schemas.openxmlformats.org/spreadsheetml/2006/main">
  <authors>
    <author>haydenn</author>
    <author>enright</author>
    <author>smythra</author>
    <author>berghmeg</author>
    <author>Smythra</author>
    <author>agarwalp</author>
    <author>atalwar</author>
  </authors>
  <commentList>
    <comment ref="I3" authorId="0">
      <text>
        <r>
          <rPr>
            <b/>
            <sz val="8"/>
            <color indexed="8"/>
            <rFont val="Tahoma"/>
            <family val="2"/>
          </rPr>
          <t>haydenn:</t>
        </r>
        <r>
          <rPr>
            <sz val="8"/>
            <color indexed="8"/>
            <rFont val="Tahoma"/>
            <family val="2"/>
          </rPr>
          <t xml:space="preserve">
reported $0.06 per share hit due to sept 11. (3 cents in 3q01 and 3 cents in 4q01)
3q01 call: 3.00-3.03, including $0.06 per share in costs related to WTC disaster.
2q01 call: 3.07-3.12</t>
        </r>
      </text>
    </comment>
    <comment ref="J3" authorId="0">
      <text>
        <r>
          <rPr>
            <b/>
            <sz val="8"/>
            <color indexed="8"/>
            <rFont val="Tahoma"/>
            <family val="2"/>
          </rPr>
          <t>haydenn:</t>
        </r>
        <r>
          <rPr>
            <sz val="8"/>
            <color indexed="8"/>
            <rFont val="Tahoma"/>
            <family val="2"/>
          </rPr>
          <t xml:space="preserve">
2q02 call: new guidance of 3.05-3.09
1Q02 call: new guidance of $3.12-3.17
4Q01 call: Guidance of $3.20-3.30. This includes:
$0.07 lift from FAS 142
$0.09 hit from pension income decline
</t>
        </r>
      </text>
    </comment>
    <comment ref="K3" authorId="1">
      <text>
        <r>
          <rPr>
            <b/>
            <sz val="8"/>
            <color indexed="8"/>
            <rFont val="Tahoma"/>
            <family val="2"/>
          </rPr>
          <t>enright:</t>
        </r>
        <r>
          <rPr>
            <sz val="8"/>
            <color indexed="8"/>
            <rFont val="Tahoma"/>
            <family val="2"/>
          </rPr>
          <t xml:space="preserve">
4Q02  - 2.70 - 2.80</t>
        </r>
      </text>
    </comment>
    <comment ref="AZ3" authorId="0">
      <text>
        <r>
          <rPr>
            <b/>
            <sz val="8"/>
            <color indexed="8"/>
            <rFont val="Tahoma"/>
            <family val="2"/>
          </rPr>
          <t>haydenn:</t>
        </r>
        <r>
          <rPr>
            <sz val="8"/>
            <color indexed="8"/>
            <rFont val="Tahoma"/>
            <family val="2"/>
          </rPr>
          <t xml:space="preserve">
note that this includes $0.03 per share in costs and lost revenue related to Sept 11 WTC attacks
2q01 call: 0.77-0.80 </t>
        </r>
      </text>
    </comment>
    <comment ref="BA3" authorId="0">
      <text>
        <r>
          <rPr>
            <b/>
            <sz val="8"/>
            <color indexed="8"/>
            <rFont val="Tahoma"/>
            <family val="2"/>
          </rPr>
          <t>haydenn:</t>
        </r>
        <r>
          <rPr>
            <sz val="8"/>
            <color indexed="8"/>
            <rFont val="Tahoma"/>
            <family val="2"/>
          </rPr>
          <t xml:space="preserve">
3q01 call: guidance of 77-80 cents, including 3 cents from WTC
2q01 call: 0.81-0.83</t>
        </r>
      </text>
    </comment>
    <comment ref="BI3" authorId="1">
      <text>
        <r>
          <rPr>
            <b/>
            <sz val="8"/>
            <color indexed="8"/>
            <rFont val="Tahoma"/>
            <family val="2"/>
          </rPr>
          <t>enright:</t>
        </r>
        <r>
          <rPr>
            <sz val="8"/>
            <color indexed="8"/>
            <rFont val="Tahoma"/>
            <family val="2"/>
          </rPr>
          <t xml:space="preserve">
Below is a press release issued by Verizon Communications Inc. in connection with a presentation by Vice Chairman and President Lawrence T. Babbio Jr. on November 17, 2003 at the UBS Eighth Annual Global Communications Conference. Mr. Babbio reviewed the longer-term strategies on network upgrades as well as future service offerings, and he described near-term revenue plans and cost savings aimed at preserving current margins. </t>
        </r>
        <r>
          <rPr>
            <b/>
            <sz val="8"/>
            <color indexed="8"/>
            <rFont val="Tahoma"/>
            <family val="2"/>
          </rPr>
          <t xml:space="preserve">He indicated that, excluding the impact of a one-time lump-sum payment to union employees and the impact of lower pension income net of other post-retirement benefit costs and other adjustments, the Company expects fourth quarter Domestic Telecom margins to improve compared to the third quarter 2003. </t>
        </r>
      </text>
    </comment>
    <comment ref="I4" authorId="0">
      <text>
        <r>
          <rPr>
            <b/>
            <sz val="8"/>
            <color indexed="8"/>
            <rFont val="Tahoma"/>
            <family val="2"/>
          </rPr>
          <t>haydenn:</t>
        </r>
        <r>
          <rPr>
            <sz val="8"/>
            <color indexed="8"/>
            <rFont val="Tahoma"/>
            <family val="2"/>
          </rPr>
          <t xml:space="preserve">
guidance of 8%+ feb00 guidance (3.13-3.17)</t>
        </r>
      </text>
    </comment>
    <comment ref="J4" authorId="0">
      <text>
        <r>
          <rPr>
            <b/>
            <sz val="8"/>
            <color indexed="8"/>
            <rFont val="Tahoma"/>
            <family val="2"/>
          </rPr>
          <t>haydenn:</t>
        </r>
        <r>
          <rPr>
            <sz val="8"/>
            <color indexed="8"/>
            <rFont val="Tahoma"/>
            <family val="2"/>
          </rPr>
          <t xml:space="preserve">
guidance at feb00 analyst mtg of 12%+ (3.49-3.54)</t>
        </r>
      </text>
    </comment>
    <comment ref="I11" authorId="0">
      <text>
        <r>
          <rPr>
            <b/>
            <sz val="8"/>
            <color indexed="8"/>
            <rFont val="Tahoma"/>
            <family val="2"/>
          </rPr>
          <t>haydenn:</t>
        </r>
        <r>
          <rPr>
            <sz val="8"/>
            <color indexed="8"/>
            <rFont val="Tahoma"/>
            <family val="2"/>
          </rPr>
          <t xml:space="preserve">
2q01 call: 1-1.5%
feb 00 analyst mtg target 3-4%</t>
        </r>
      </text>
    </comment>
    <comment ref="AV11" authorId="0">
      <text>
        <r>
          <rPr>
            <b/>
            <sz val="8"/>
            <color indexed="8"/>
            <rFont val="Tahoma"/>
            <family val="2"/>
          </rPr>
          <t>haydenn:</t>
        </r>
        <r>
          <rPr>
            <sz val="8"/>
            <color indexed="8"/>
            <rFont val="Tahoma"/>
            <family val="2"/>
          </rPr>
          <t xml:space="preserve">
3.3% normalized for line sales</t>
        </r>
      </text>
    </comment>
    <comment ref="BB11" authorId="0">
      <text>
        <r>
          <rPr>
            <b/>
            <sz val="8"/>
            <color indexed="8"/>
            <rFont val="Tahoma"/>
            <family val="2"/>
          </rPr>
          <t>haydenn:</t>
        </r>
        <r>
          <rPr>
            <sz val="8"/>
            <color indexed="8"/>
            <rFont val="Tahoma"/>
            <family val="2"/>
          </rPr>
          <t xml:space="preserve">
4q01 call: expect 1q02 domtelco revenues to be "down" with 2q02 revenues "down less than that"</t>
        </r>
      </text>
    </comment>
    <comment ref="BC11" authorId="0">
      <text>
        <r>
          <rPr>
            <b/>
            <sz val="8"/>
            <color indexed="8"/>
            <rFont val="Tahoma"/>
            <family val="2"/>
          </rPr>
          <t>haydenn:</t>
        </r>
        <r>
          <rPr>
            <sz val="8"/>
            <color indexed="8"/>
            <rFont val="Tahoma"/>
            <family val="2"/>
          </rPr>
          <t xml:space="preserve">
4q01 call: expect 1q02 domtelco revenues to be "down" with 2q02 revenues "down less than that"</t>
        </r>
      </text>
    </comment>
    <comment ref="H14" authorId="0">
      <text>
        <r>
          <rPr>
            <b/>
            <sz val="8"/>
            <color indexed="8"/>
            <rFont val="Tahoma"/>
            <family val="2"/>
          </rPr>
          <t>haydenn:</t>
        </r>
        <r>
          <rPr>
            <sz val="8"/>
            <color indexed="8"/>
            <rFont val="Tahoma"/>
            <family val="2"/>
          </rPr>
          <t xml:space="preserve">
restated for gte wireless overlapps</t>
        </r>
      </text>
    </comment>
    <comment ref="BD15" authorId="0">
      <text>
        <r>
          <rPr>
            <b/>
            <sz val="8"/>
            <color indexed="8"/>
            <rFont val="Tahoma"/>
            <family val="2"/>
          </rPr>
          <t>haydenn:</t>
        </r>
        <r>
          <rPr>
            <sz val="8"/>
            <color indexed="8"/>
            <rFont val="Tahoma"/>
            <family val="2"/>
          </rPr>
          <t xml:space="preserve">
4q01 call - should see stronger 2h02 for wless/directory</t>
        </r>
      </text>
    </comment>
    <comment ref="BE15" authorId="0">
      <text>
        <r>
          <rPr>
            <b/>
            <sz val="8"/>
            <color indexed="8"/>
            <rFont val="Tahoma"/>
            <family val="2"/>
          </rPr>
          <t>haydenn:</t>
        </r>
        <r>
          <rPr>
            <sz val="8"/>
            <color indexed="8"/>
            <rFont val="Tahoma"/>
            <family val="2"/>
          </rPr>
          <t xml:space="preserve">
4q01 call - should see stronger 2h02 for wless/directory</t>
        </r>
      </text>
    </comment>
    <comment ref="AR18" authorId="0">
      <text>
        <r>
          <rPr>
            <b/>
            <sz val="8"/>
            <color indexed="8"/>
            <rFont val="Tahoma"/>
            <family val="2"/>
          </rPr>
          <t>haydenn:</t>
        </r>
        <r>
          <rPr>
            <sz val="8"/>
            <color indexed="8"/>
            <rFont val="Tahoma"/>
            <family val="2"/>
          </rPr>
          <t xml:space="preserve">
454 normalized</t>
        </r>
      </text>
    </comment>
    <comment ref="H19" authorId="0">
      <text>
        <r>
          <rPr>
            <b/>
            <sz val="8"/>
            <color indexed="8"/>
            <rFont val="Tahoma"/>
            <family val="2"/>
          </rPr>
          <t>haydenn:</t>
        </r>
        <r>
          <rPr>
            <sz val="8"/>
            <color indexed="8"/>
            <rFont val="Tahoma"/>
            <family val="2"/>
          </rPr>
          <t xml:space="preserve">
deconsolidation of Telus</t>
        </r>
      </text>
    </comment>
    <comment ref="I19" authorId="0">
      <text>
        <r>
          <rPr>
            <b/>
            <sz val="8"/>
            <color indexed="8"/>
            <rFont val="Tahoma"/>
            <family val="2"/>
          </rPr>
          <t>haydenn:</t>
        </r>
        <r>
          <rPr>
            <sz val="8"/>
            <color indexed="8"/>
            <rFont val="Tahoma"/>
            <family val="2"/>
          </rPr>
          <t xml:space="preserve">
2q01 call: 23-25%
2001 guidance:
15%+ proportionate revenue growth
15%+ proport net income growth
</t>
        </r>
      </text>
    </comment>
    <comment ref="AV19" authorId="0">
      <text>
        <r>
          <rPr>
            <b/>
            <sz val="8"/>
            <color indexed="8"/>
            <rFont val="Tahoma"/>
            <family val="2"/>
          </rPr>
          <t>haydenn:</t>
        </r>
        <r>
          <rPr>
            <sz val="8"/>
            <color indexed="8"/>
            <rFont val="Tahoma"/>
            <family val="2"/>
          </rPr>
          <t xml:space="preserve">
12.8% normalized for TELUS deconsolidation</t>
        </r>
      </text>
    </comment>
    <comment ref="AW19" authorId="0">
      <text>
        <r>
          <rPr>
            <b/>
            <sz val="8"/>
            <color indexed="8"/>
            <rFont val="Tahoma"/>
            <family val="2"/>
          </rPr>
          <t>haydenn:</t>
        </r>
        <r>
          <rPr>
            <sz val="8"/>
            <color indexed="8"/>
            <rFont val="Tahoma"/>
            <family val="2"/>
          </rPr>
          <t xml:space="preserve">
assumed $60 mm in Telus revenue removed from 4Q99 for normalized 13% growth (in line with 3Q)</t>
        </r>
      </text>
    </comment>
    <comment ref="I22" authorId="0">
      <text>
        <r>
          <rPr>
            <b/>
            <sz val="8"/>
            <color indexed="8"/>
            <rFont val="Tahoma"/>
            <family val="2"/>
          </rPr>
          <t>haydenn:</t>
        </r>
        <r>
          <rPr>
            <sz val="8"/>
            <color indexed="8"/>
            <rFont val="Tahoma"/>
            <family val="2"/>
          </rPr>
          <t xml:space="preserve">
includes ~$100 mm from Telus Directory, which was purchased in 3q01 (announced on July 31, 2001),  Telus has about $200-230 mm in annual revenues</t>
        </r>
      </text>
    </comment>
    <comment ref="J22" authorId="0">
      <text>
        <r>
          <rPr>
            <b/>
            <sz val="8"/>
            <color indexed="8"/>
            <rFont val="Tahoma"/>
            <family val="2"/>
          </rPr>
          <t>haydenn:</t>
        </r>
        <r>
          <rPr>
            <sz val="8"/>
            <color indexed="8"/>
            <rFont val="Tahoma"/>
            <family val="2"/>
          </rPr>
          <t xml:space="preserve">
have excluded Telus revs from 2001 base and used underlying growth rate, then added back the Telus full year revenue estimate</t>
        </r>
      </text>
    </comment>
    <comment ref="AZ22" authorId="0">
      <text>
        <r>
          <rPr>
            <b/>
            <sz val="8"/>
            <color indexed="8"/>
            <rFont val="Tahoma"/>
            <family val="2"/>
          </rPr>
          <t>haydenn:</t>
        </r>
        <r>
          <rPr>
            <sz val="8"/>
            <color indexed="8"/>
            <rFont val="Tahoma"/>
            <family val="2"/>
          </rPr>
          <t xml:space="preserve">
includes Telus Directory (purchased in 3q01, 2000 quarters not restated), which has about $200-230 mm in annual revs</t>
        </r>
      </text>
    </comment>
    <comment ref="BA22" authorId="0">
      <text>
        <r>
          <rPr>
            <b/>
            <sz val="8"/>
            <color indexed="8"/>
            <rFont val="Tahoma"/>
            <family val="2"/>
          </rPr>
          <t>haydenn:</t>
        </r>
        <r>
          <rPr>
            <sz val="8"/>
            <color indexed="8"/>
            <rFont val="Tahoma"/>
            <family val="2"/>
          </rPr>
          <t xml:space="preserve">
includes Telus Directory (purchased in 3q01, 2000 quarters not restated), which has about $200-230 mm in annual revs</t>
        </r>
      </text>
    </comment>
    <comment ref="H23" authorId="0">
      <text>
        <r>
          <rPr>
            <b/>
            <sz val="8"/>
            <color indexed="8"/>
            <rFont val="Tahoma"/>
            <family val="2"/>
          </rPr>
          <t>haydenn:</t>
        </r>
        <r>
          <rPr>
            <sz val="8"/>
            <color indexed="8"/>
            <rFont val="Tahoma"/>
            <family val="2"/>
          </rPr>
          <t xml:space="preserve">
Guidance as of Sept00</t>
        </r>
      </text>
    </comment>
    <comment ref="I23" authorId="0">
      <text>
        <r>
          <rPr>
            <b/>
            <sz val="8"/>
            <color indexed="8"/>
            <rFont val="Tahoma"/>
            <family val="2"/>
          </rPr>
          <t>haydenn:</t>
        </r>
        <r>
          <rPr>
            <sz val="8"/>
            <color indexed="8"/>
            <rFont val="Tahoma"/>
            <family val="2"/>
          </rPr>
          <t xml:space="preserve">
2q01 call: 4-5%
feb 00 guiance of 4-6%</t>
        </r>
      </text>
    </comment>
    <comment ref="AY23" authorId="0">
      <text>
        <r>
          <rPr>
            <b/>
            <sz val="8"/>
            <color indexed="8"/>
            <rFont val="Tahoma"/>
            <family val="2"/>
          </rPr>
          <t>haydenn:</t>
        </r>
        <r>
          <rPr>
            <sz val="8"/>
            <color indexed="8"/>
            <rFont val="Tahoma"/>
            <family val="2"/>
          </rPr>
          <t xml:space="preserve">
directory delays until 3q01 for manhattan and other areas</t>
        </r>
      </text>
    </comment>
    <comment ref="BB23" authorId="0">
      <text>
        <r>
          <rPr>
            <b/>
            <sz val="8"/>
            <color indexed="8"/>
            <rFont val="Tahoma"/>
            <family val="2"/>
          </rPr>
          <t>haydenn:</t>
        </r>
        <r>
          <rPr>
            <sz val="8"/>
            <color indexed="8"/>
            <rFont val="Tahoma"/>
            <family val="2"/>
          </rPr>
          <t xml:space="preserve">
Telus inflates growth rate for 1q02-2q02
</t>
        </r>
      </text>
    </comment>
    <comment ref="BC23" authorId="0">
      <text>
        <r>
          <rPr>
            <b/>
            <sz val="8"/>
            <color indexed="8"/>
            <rFont val="Tahoma"/>
            <family val="2"/>
          </rPr>
          <t>haydenn:</t>
        </r>
        <r>
          <rPr>
            <sz val="8"/>
            <color indexed="8"/>
            <rFont val="Tahoma"/>
            <family val="2"/>
          </rPr>
          <t xml:space="preserve">
Telus inflates growth rate for 1q02-2q02
</t>
        </r>
      </text>
    </comment>
    <comment ref="BD23" authorId="0">
      <text>
        <r>
          <rPr>
            <b/>
            <sz val="8"/>
            <color indexed="8"/>
            <rFont val="Tahoma"/>
            <family val="2"/>
          </rPr>
          <t>haydenn:</t>
        </r>
        <r>
          <rPr>
            <sz val="8"/>
            <color indexed="8"/>
            <rFont val="Tahoma"/>
            <family val="2"/>
          </rPr>
          <t xml:space="preserve">
4q01 call - should see stronger 2h02 for wless/directory</t>
        </r>
      </text>
    </comment>
    <comment ref="BE23" authorId="0">
      <text>
        <r>
          <rPr>
            <b/>
            <sz val="8"/>
            <color indexed="8"/>
            <rFont val="Tahoma"/>
            <family val="2"/>
          </rPr>
          <t>haydenn:</t>
        </r>
        <r>
          <rPr>
            <sz val="8"/>
            <color indexed="8"/>
            <rFont val="Tahoma"/>
            <family val="2"/>
          </rPr>
          <t xml:space="preserve">
4q01 call - should see stronger 2h02 for wless/directory</t>
        </r>
      </text>
    </comment>
    <comment ref="I26" authorId="0">
      <text>
        <r>
          <rPr>
            <b/>
            <sz val="8"/>
            <color indexed="8"/>
            <rFont val="Tahoma"/>
            <family val="2"/>
          </rPr>
          <t>haydenn:</t>
        </r>
        <r>
          <rPr>
            <sz val="8"/>
            <color indexed="8"/>
            <rFont val="Tahoma"/>
            <family val="2"/>
          </rPr>
          <t xml:space="preserve">
we've kept this constant as a % of gross revenues based on 1q01 actual reported results</t>
        </r>
      </text>
    </comment>
    <comment ref="A29" authorId="0">
      <text>
        <r>
          <rPr>
            <b/>
            <sz val="8"/>
            <color indexed="8"/>
            <rFont val="Tahoma"/>
            <family val="2"/>
          </rPr>
          <t>haydenn:</t>
        </r>
        <r>
          <rPr>
            <sz val="8"/>
            <color indexed="8"/>
            <rFont val="Tahoma"/>
            <family val="2"/>
          </rPr>
          <t xml:space="preserve">
includes One Point</t>
        </r>
      </text>
    </comment>
    <comment ref="G29" authorId="0">
      <text>
        <r>
          <rPr>
            <b/>
            <sz val="8"/>
            <color indexed="8"/>
            <rFont val="Tahoma"/>
            <family val="2"/>
          </rPr>
          <t>haydenn:</t>
        </r>
        <r>
          <rPr>
            <sz val="8"/>
            <color indexed="8"/>
            <rFont val="Tahoma"/>
            <family val="2"/>
          </rPr>
          <t xml:space="preserve">
note that our revenue figure does not match reported number because we use pro forma results for VZ wireless</t>
        </r>
      </text>
    </comment>
    <comment ref="H29" authorId="0">
      <text>
        <r>
          <rPr>
            <b/>
            <sz val="8"/>
            <color indexed="8"/>
            <rFont val="Tahoma"/>
            <family val="2"/>
          </rPr>
          <t>haydenn:</t>
        </r>
        <r>
          <rPr>
            <sz val="8"/>
            <color indexed="8"/>
            <rFont val="Tahoma"/>
            <family val="2"/>
          </rPr>
          <t xml:space="preserve">
note that our revenue figure does not match reported number because we use pro forma results for VZ wireless</t>
        </r>
      </text>
    </comment>
    <comment ref="I29" authorId="0">
      <text>
        <r>
          <rPr>
            <b/>
            <sz val="8"/>
            <color indexed="8"/>
            <rFont val="Tahoma"/>
            <family val="2"/>
          </rPr>
          <t>haydenn:</t>
        </r>
        <r>
          <rPr>
            <sz val="8"/>
            <color indexed="8"/>
            <rFont val="Tahoma"/>
            <family val="2"/>
          </rPr>
          <t xml:space="preserve">
guidance of range of 68,497-69,765</t>
        </r>
      </text>
    </comment>
    <comment ref="S29" authorId="0">
      <text>
        <r>
          <rPr>
            <b/>
            <sz val="8"/>
            <color indexed="8"/>
            <rFont val="Tahoma"/>
            <family val="2"/>
          </rPr>
          <t>haydenn:</t>
        </r>
        <r>
          <rPr>
            <sz val="8"/>
            <color indexed="8"/>
            <rFont val="Tahoma"/>
            <family val="2"/>
          </rPr>
          <t xml:space="preserve">
Long term target of 8-10%</t>
        </r>
      </text>
    </comment>
    <comment ref="BN29" authorId="2">
      <text>
        <r>
          <rPr>
            <b/>
            <sz val="8"/>
            <color indexed="8"/>
            <rFont val="Tahoma"/>
            <family val="2"/>
          </rPr>
          <t>smythra:</t>
        </r>
        <r>
          <rPr>
            <sz val="8"/>
            <color indexed="8"/>
            <rFont val="Tahoma"/>
            <family val="2"/>
          </rPr>
          <t xml:space="preserve">
Restated Jul 2006</t>
        </r>
      </text>
    </comment>
    <comment ref="BO29" authorId="2">
      <text>
        <r>
          <rPr>
            <b/>
            <sz val="8"/>
            <color indexed="8"/>
            <rFont val="Tahoma"/>
            <family val="2"/>
          </rPr>
          <t>smythra:</t>
        </r>
        <r>
          <rPr>
            <sz val="8"/>
            <color indexed="8"/>
            <rFont val="Tahoma"/>
            <family val="2"/>
          </rPr>
          <t xml:space="preserve">
Restated Jul 2006</t>
        </r>
      </text>
    </comment>
    <comment ref="BP29" authorId="2">
      <text>
        <r>
          <rPr>
            <b/>
            <sz val="8"/>
            <color indexed="8"/>
            <rFont val="Tahoma"/>
            <family val="2"/>
          </rPr>
          <t>smythra:</t>
        </r>
        <r>
          <rPr>
            <sz val="8"/>
            <color indexed="8"/>
            <rFont val="Tahoma"/>
            <family val="2"/>
          </rPr>
          <t xml:space="preserve">
Restated Jul 2006</t>
        </r>
      </text>
    </comment>
    <comment ref="BQ29" authorId="2">
      <text>
        <r>
          <rPr>
            <b/>
            <sz val="8"/>
            <color indexed="8"/>
            <rFont val="Tahoma"/>
            <family val="2"/>
          </rPr>
          <t>smythra:</t>
        </r>
        <r>
          <rPr>
            <sz val="8"/>
            <color indexed="8"/>
            <rFont val="Tahoma"/>
            <family val="2"/>
          </rPr>
          <t xml:space="preserve">
Restated Jul 2006</t>
        </r>
      </text>
    </comment>
    <comment ref="G30" authorId="3">
      <text>
        <r>
          <rPr>
            <b/>
            <sz val="8"/>
            <color indexed="8"/>
            <rFont val="Tahoma"/>
            <family val="2"/>
          </rPr>
          <t>berghmeg:</t>
        </r>
        <r>
          <rPr>
            <sz val="8"/>
            <color indexed="8"/>
            <rFont val="Tahoma"/>
            <family val="2"/>
          </rPr>
          <t xml:space="preserve">
The high growth is due to the pro-forma effect of adding in the Vodafone wireless transaction, and not adjusting 1998 for it</t>
        </r>
      </text>
    </comment>
    <comment ref="I30" authorId="0">
      <text>
        <r>
          <rPr>
            <b/>
            <sz val="8"/>
            <color indexed="8"/>
            <rFont val="Tahoma"/>
            <family val="2"/>
          </rPr>
          <t>haydenn:</t>
        </r>
        <r>
          <rPr>
            <sz val="8"/>
            <color indexed="8"/>
            <rFont val="Tahoma"/>
            <family val="2"/>
          </rPr>
          <t xml:space="preserve">
3q01 call: 4-5%
2q01 call: 5-6% (off 63.4 bn base -- we believe this base is incorrect and that the growth rate is supposed to represent a normalized growth rate figure off the base shown in our model)
feb00 analyst meeting guidance of 8-10% -- note that this is off the reported base of 63423 for 2000 (which is not pro forma for VZ Wireless)
</t>
        </r>
      </text>
    </comment>
    <comment ref="J30" authorId="0">
      <text>
        <r>
          <rPr>
            <b/>
            <sz val="8"/>
            <color indexed="8"/>
            <rFont val="Tahoma"/>
            <family val="2"/>
          </rPr>
          <t>haydenn:</t>
        </r>
        <r>
          <rPr>
            <sz val="8"/>
            <color indexed="8"/>
            <rFont val="Tahoma"/>
            <family val="2"/>
          </rPr>
          <t xml:space="preserve">
2Q02 new guidance 0-1% -- the growth rate shown here does not reflect restated 2001 data for PRT consolidation (and CTI deconsolidation)
1Q02 call: New guidance of 0-1%, but this is off restated base which includes PRT
Jan02 guid on 4q01 call of 3-5%, but this excludes consolidation of PRT</t>
        </r>
      </text>
    </comment>
    <comment ref="K30" authorId="1">
      <text>
        <r>
          <rPr>
            <b/>
            <sz val="8"/>
            <color indexed="8"/>
            <rFont val="Tahoma"/>
            <family val="2"/>
          </rPr>
          <t>enright:</t>
        </r>
        <r>
          <rPr>
            <sz val="8"/>
            <color indexed="8"/>
            <rFont val="Tahoma"/>
            <family val="2"/>
          </rPr>
          <t xml:space="preserve">
4Q02 - 0 - 2% revenue growth</t>
        </r>
      </text>
    </comment>
    <comment ref="L30" authorId="1">
      <text>
        <r>
          <rPr>
            <b/>
            <sz val="8"/>
            <color indexed="8"/>
            <rFont val="Tahoma"/>
            <family val="2"/>
          </rPr>
          <t>enright:</t>
        </r>
        <r>
          <rPr>
            <sz val="8"/>
            <color indexed="8"/>
            <rFont val="Tahoma"/>
            <family val="2"/>
          </rPr>
          <t xml:space="preserve">
1/29/04 - low single digit growth</t>
        </r>
      </text>
    </comment>
    <comment ref="M30" authorId="2">
      <text>
        <r>
          <rPr>
            <b/>
            <sz val="10"/>
            <color indexed="8"/>
            <rFont val="Tahoma"/>
            <family val="2"/>
          </rPr>
          <t>smythra:</t>
        </r>
        <r>
          <rPr>
            <sz val="10"/>
            <color indexed="8"/>
            <rFont val="Tahoma"/>
            <family val="2"/>
          </rPr>
          <t xml:space="preserve">
Oct. 05 guidance 5.5-5.8% revenue growth</t>
        </r>
      </text>
    </comment>
    <comment ref="AV30" authorId="0">
      <text>
        <r>
          <rPr>
            <b/>
            <sz val="8"/>
            <color indexed="8"/>
            <rFont val="Tahoma"/>
            <family val="2"/>
          </rPr>
          <t>haydenn:</t>
        </r>
        <r>
          <rPr>
            <sz val="8"/>
            <color indexed="8"/>
            <rFont val="Tahoma"/>
            <family val="2"/>
          </rPr>
          <t xml:space="preserve">
7.2% based on 15365 comparable revenues in 3Q99</t>
        </r>
      </text>
    </comment>
    <comment ref="AW30" authorId="0">
      <text>
        <r>
          <rPr>
            <b/>
            <sz val="8"/>
            <color indexed="8"/>
            <rFont val="Tahoma"/>
            <family val="2"/>
          </rPr>
          <t>haydenn:</t>
        </r>
        <r>
          <rPr>
            <sz val="8"/>
            <color indexed="8"/>
            <rFont val="Tahoma"/>
            <family val="2"/>
          </rPr>
          <t xml:space="preserve">
if assume $300 mm removed from 4Q99, implies 8.7% normalized growth rate</t>
        </r>
      </text>
    </comment>
    <comment ref="AX30" authorId="0">
      <text>
        <r>
          <rPr>
            <b/>
            <sz val="8"/>
            <color indexed="8"/>
            <rFont val="Tahoma"/>
            <family val="2"/>
          </rPr>
          <t>haydenn:</t>
        </r>
        <r>
          <rPr>
            <sz val="8"/>
            <color indexed="8"/>
            <rFont val="Tahoma"/>
            <family val="2"/>
          </rPr>
          <t xml:space="preserve">
march00 expect 7%</t>
        </r>
      </text>
    </comment>
    <comment ref="BA30" authorId="0">
      <text>
        <r>
          <rPr>
            <b/>
            <sz val="8"/>
            <color indexed="8"/>
            <rFont val="Tahoma"/>
            <family val="2"/>
          </rPr>
          <t>haydenn:</t>
        </r>
        <r>
          <rPr>
            <sz val="8"/>
            <color indexed="8"/>
            <rFont val="Tahoma"/>
            <family val="2"/>
          </rPr>
          <t xml:space="preserve">
3q01 call guidance of 3% growth in 4q01</t>
        </r>
      </text>
    </comment>
    <comment ref="BL39" authorId="4">
      <text>
        <r>
          <rPr>
            <b/>
            <sz val="8"/>
            <color indexed="8"/>
            <rFont val="Tahoma"/>
            <family val="2"/>
          </rPr>
          <t>Smythra:</t>
        </r>
        <r>
          <rPr>
            <sz val="8"/>
            <color indexed="8"/>
            <rFont val="Tahoma"/>
            <family val="2"/>
          </rPr>
          <t xml:space="preserve">
excludes $33 m in pension/opeb costs</t>
        </r>
      </text>
    </comment>
    <comment ref="G42" authorId="0">
      <text>
        <r>
          <rPr>
            <b/>
            <sz val="8"/>
            <color indexed="8"/>
            <rFont val="Tahoma"/>
            <family val="2"/>
          </rPr>
          <t>haydenn:</t>
        </r>
        <r>
          <rPr>
            <sz val="8"/>
            <color indexed="8"/>
            <rFont val="Tahoma"/>
            <family val="2"/>
          </rPr>
          <t xml:space="preserve">
Note: BEL spent 379mm in advertising expense in 1999</t>
        </r>
      </text>
    </comment>
    <comment ref="I42" authorId="0">
      <text>
        <r>
          <rPr>
            <b/>
            <sz val="8"/>
            <color indexed="8"/>
            <rFont val="Tahoma"/>
            <family val="2"/>
          </rPr>
          <t>haydenn:</t>
        </r>
        <r>
          <rPr>
            <sz val="8"/>
            <color indexed="8"/>
            <rFont val="Tahoma"/>
            <family val="2"/>
          </rPr>
          <t xml:space="preserve">
includes $0.06 per share (after tax) in WTC-related costs</t>
        </r>
      </text>
    </comment>
    <comment ref="J42" authorId="0">
      <text>
        <r>
          <rPr>
            <b/>
            <sz val="8"/>
            <color indexed="8"/>
            <rFont val="Tahoma"/>
            <family val="2"/>
          </rPr>
          <t>haydenn:</t>
        </r>
        <r>
          <rPr>
            <sz val="8"/>
            <color indexed="8"/>
            <rFont val="Tahoma"/>
            <family val="2"/>
          </rPr>
          <t xml:space="preserve">
4q01 call: expect 0.09 per share drag from pension income impact -- telco will absorb this hit, but overall cash expenses (at telco only) would decline 2.5-3.5% excluding this impact</t>
        </r>
      </text>
    </comment>
    <comment ref="BB45" authorId="0">
      <text>
        <r>
          <rPr>
            <b/>
            <sz val="8"/>
            <color indexed="8"/>
            <rFont val="Tahoma"/>
            <family val="2"/>
          </rPr>
          <t>haydenn:</t>
        </r>
        <r>
          <rPr>
            <sz val="8"/>
            <color indexed="8"/>
            <rFont val="Tahoma"/>
            <family val="2"/>
          </rPr>
          <t xml:space="preserve">
@@ 4/4/02 3480 is roughly okay for fully pro forma adjusted d&amp;a (includes CTI, TSI, and PRT impacts)</t>
        </r>
      </text>
    </comment>
    <comment ref="I50" authorId="0">
      <text>
        <r>
          <rPr>
            <b/>
            <sz val="8"/>
            <color indexed="8"/>
            <rFont val="Tahoma"/>
            <family val="2"/>
          </rPr>
          <t>haydenn:</t>
        </r>
        <r>
          <rPr>
            <sz val="8"/>
            <color indexed="8"/>
            <rFont val="Tahoma"/>
            <family val="2"/>
          </rPr>
          <t xml:space="preserve">
2q01 call implied guidance of 50,715
implied guidance of 52,404 at feb00 analyst meeting</t>
        </r>
      </text>
    </comment>
    <comment ref="AW50" authorId="0">
      <text>
        <r>
          <rPr>
            <b/>
            <sz val="8"/>
            <color indexed="8"/>
            <rFont val="Tahoma"/>
            <family val="2"/>
          </rPr>
          <t>haydenn:</t>
        </r>
        <r>
          <rPr>
            <sz val="8"/>
            <color indexed="8"/>
            <rFont val="Tahoma"/>
            <family val="2"/>
          </rPr>
          <t xml:space="preserve">
beat by $50 mm in 3q99</t>
        </r>
      </text>
    </comment>
    <comment ref="BH50" authorId="5">
      <text>
        <r>
          <rPr>
            <b/>
            <sz val="8"/>
            <color indexed="8"/>
            <rFont val="Tahoma"/>
            <family val="2"/>
          </rPr>
          <t>agarwalp:</t>
        </r>
        <r>
          <rPr>
            <sz val="8"/>
            <color indexed="8"/>
            <rFont val="Tahoma"/>
            <family val="2"/>
          </rPr>
          <t xml:space="preserve">
Incl (141) for 'sale of business,net'</t>
        </r>
      </text>
    </comment>
    <comment ref="I51" authorId="0">
      <text>
        <r>
          <rPr>
            <b/>
            <sz val="8"/>
            <color indexed="8"/>
            <rFont val="Tahoma"/>
            <family val="2"/>
          </rPr>
          <t>haydenn:</t>
        </r>
        <r>
          <rPr>
            <sz val="8"/>
            <color indexed="8"/>
            <rFont val="Tahoma"/>
            <family val="2"/>
          </rPr>
          <t xml:space="preserve">
2q01 call: expect 3-4% growth off 49bn base
guidance of 7% growth at feb00 analyst meeting -- this is off reported base of 48.98bn</t>
        </r>
      </text>
    </comment>
    <comment ref="I53" authorId="0">
      <text>
        <r>
          <rPr>
            <b/>
            <sz val="8"/>
            <color indexed="8"/>
            <rFont val="Tahoma"/>
            <family val="2"/>
          </rPr>
          <t>haydenn:</t>
        </r>
        <r>
          <rPr>
            <sz val="8"/>
            <color indexed="8"/>
            <rFont val="Tahoma"/>
            <family val="2"/>
          </rPr>
          <t xml:space="preserve">
guidance range of 15,892-16,181</t>
        </r>
      </text>
    </comment>
    <comment ref="I54" authorId="0">
      <text>
        <r>
          <rPr>
            <b/>
            <sz val="8"/>
            <color indexed="8"/>
            <rFont val="Tahoma"/>
            <family val="2"/>
          </rPr>
          <t>haydenn:</t>
        </r>
        <r>
          <rPr>
            <sz val="8"/>
            <color indexed="8"/>
            <rFont val="Tahoma"/>
            <family val="2"/>
          </rPr>
          <t xml:space="preserve">
guidance on feb00 of 10-12% growth off base of 14447</t>
        </r>
      </text>
    </comment>
    <comment ref="L55" authorId="1">
      <text>
        <r>
          <rPr>
            <b/>
            <sz val="8"/>
            <color indexed="8"/>
            <rFont val="Tahoma"/>
            <family val="2"/>
          </rPr>
          <t>enright:</t>
        </r>
        <r>
          <rPr>
            <sz val="8"/>
            <color indexed="8"/>
            <rFont val="Tahoma"/>
            <family val="2"/>
          </rPr>
          <t xml:space="preserve">
stabilizing from 4Q03 levels - excluding pension and opebs</t>
        </r>
      </text>
    </comment>
    <comment ref="J57" authorId="0">
      <text>
        <r>
          <rPr>
            <b/>
            <sz val="8"/>
            <color indexed="8"/>
            <rFont val="Tahoma"/>
            <family val="2"/>
          </rPr>
          <t>haydenn:</t>
        </r>
        <r>
          <rPr>
            <sz val="8"/>
            <color indexed="8"/>
            <rFont val="Tahoma"/>
            <family val="2"/>
          </rPr>
          <t xml:space="preserve">
Jan 02 guid on 4q01 call of 7-9%, but this excludes consolidation of PRT</t>
        </r>
      </text>
    </comment>
    <comment ref="BA57" authorId="0">
      <text>
        <r>
          <rPr>
            <b/>
            <sz val="8"/>
            <color indexed="8"/>
            <rFont val="Tahoma"/>
            <family val="2"/>
          </rPr>
          <t>haydenn:</t>
        </r>
        <r>
          <rPr>
            <sz val="8"/>
            <color indexed="8"/>
            <rFont val="Tahoma"/>
            <family val="2"/>
          </rPr>
          <t xml:space="preserve">
co said would have been 4.8% excluding 9/11 impacts</t>
        </r>
      </text>
    </comment>
    <comment ref="BB58" authorId="0">
      <text>
        <r>
          <rPr>
            <b/>
            <sz val="8"/>
            <color indexed="8"/>
            <rFont val="Tahoma"/>
            <family val="2"/>
          </rPr>
          <t>haydenn:</t>
        </r>
        <r>
          <rPr>
            <sz val="8"/>
            <color indexed="8"/>
            <rFont val="Tahoma"/>
            <family val="2"/>
          </rPr>
          <t xml:space="preserve">
consolidation of PRT begins in 1q02, which is a 40% margin business</t>
        </r>
      </text>
    </comment>
    <comment ref="BB60" authorId="1">
      <text>
        <r>
          <rPr>
            <b/>
            <sz val="8"/>
            <color indexed="8"/>
            <rFont val="Tahoma"/>
            <family val="2"/>
          </rPr>
          <t>enright:</t>
        </r>
        <r>
          <rPr>
            <sz val="8"/>
            <color indexed="8"/>
            <rFont val="Tahoma"/>
            <family val="2"/>
          </rPr>
          <t xml:space="preserve">
Access Lines Sales to CTL and AT
</t>
        </r>
      </text>
    </comment>
    <comment ref="BC60" authorId="1">
      <text>
        <r>
          <rPr>
            <b/>
            <sz val="8"/>
            <color indexed="8"/>
            <rFont val="Tahoma"/>
            <family val="2"/>
          </rPr>
          <t>enright:</t>
        </r>
        <r>
          <rPr>
            <sz val="8"/>
            <color indexed="8"/>
            <rFont val="Tahoma"/>
            <family val="2"/>
          </rPr>
          <t xml:space="preserve">
Access Lines Sales to CTL and AT
</t>
        </r>
      </text>
    </comment>
    <comment ref="BD60" authorId="1">
      <text>
        <r>
          <rPr>
            <b/>
            <sz val="8"/>
            <color indexed="8"/>
            <rFont val="Tahoma"/>
            <family val="2"/>
          </rPr>
          <t>enright:</t>
        </r>
        <r>
          <rPr>
            <sz val="8"/>
            <color indexed="8"/>
            <rFont val="Tahoma"/>
            <family val="2"/>
          </rPr>
          <t xml:space="preserve">
Access Lines Sales to CTL and AT
</t>
        </r>
      </text>
    </comment>
    <comment ref="BH60" authorId="1">
      <text>
        <r>
          <rPr>
            <b/>
            <sz val="8"/>
            <color indexed="8"/>
            <rFont val="Tahoma"/>
            <family val="2"/>
          </rPr>
          <t>enright:</t>
        </r>
        <r>
          <rPr>
            <sz val="8"/>
            <color indexed="8"/>
            <rFont val="Tahoma"/>
            <family val="2"/>
          </rPr>
          <t xml:space="preserve">
Expense reductions from selling directory businesses in Europe.</t>
        </r>
      </text>
    </comment>
    <comment ref="A62" authorId="3">
      <text>
        <r>
          <rPr>
            <b/>
            <sz val="8"/>
            <color indexed="8"/>
            <rFont val="Tahoma"/>
            <family val="2"/>
          </rPr>
          <t>enright:</t>
        </r>
        <r>
          <rPr>
            <sz val="8"/>
            <color indexed="8"/>
            <rFont val="Tahoma"/>
            <family val="2"/>
          </rPr>
          <t xml:space="preserve">
This includes (among other things?) Taiwan
Cellular Corporation, Omnitel, Telecomunicaciones de Puerto Rico (TELPRI).  VZ no longer records
equity losses from its investment in BayanTel, a Philippines-based
telecommunications company, since its investment in BayanTel has been
written-down to zero. It also includes CANTV as well as equity losses from its investment in Cable &amp; Wireless Communications plc (CWC), an international cable television and telecommunications operation in the
United Kingdom. Due to the restructuring that occurred during May 2000, VZ no longer records equity losses for CWC.</t>
        </r>
      </text>
    </comment>
    <comment ref="M62" authorId="4">
      <text>
        <r>
          <rPr>
            <b/>
            <sz val="10"/>
            <color indexed="8"/>
            <rFont val="Tahoma"/>
            <family val="2"/>
          </rPr>
          <t>Smythra:</t>
        </r>
        <r>
          <rPr>
            <sz val="10"/>
            <color indexed="8"/>
            <rFont val="Tahoma"/>
            <family val="2"/>
          </rPr>
          <t xml:space="preserve">
Jan 05 guided that income from equity would be down $0.08 in 2005 reflecting sale of Telus, Canadian directory biz, VZ Hawaii, etc. About $327 pretax.</t>
        </r>
      </text>
    </comment>
    <comment ref="AR62" authorId="0">
      <text>
        <r>
          <rPr>
            <b/>
            <sz val="8"/>
            <color indexed="8"/>
            <rFont val="Tahoma"/>
            <family val="2"/>
          </rPr>
          <t>haydenn:</t>
        </r>
        <r>
          <rPr>
            <sz val="8"/>
            <color indexed="8"/>
            <rFont val="Tahoma"/>
            <family val="2"/>
          </rPr>
          <t xml:space="preserve">
143 from international</t>
        </r>
      </text>
    </comment>
    <comment ref="AV62" authorId="0">
      <text>
        <r>
          <rPr>
            <b/>
            <sz val="8"/>
            <color indexed="8"/>
            <rFont val="Tahoma"/>
            <family val="2"/>
          </rPr>
          <t>haydenn:</t>
        </r>
        <r>
          <rPr>
            <sz val="8"/>
            <color indexed="8"/>
            <rFont val="Tahoma"/>
            <family val="2"/>
          </rPr>
          <t xml:space="preserve">
204 from international</t>
        </r>
      </text>
    </comment>
    <comment ref="BB62" authorId="0">
      <text>
        <r>
          <rPr>
            <b/>
            <sz val="8"/>
            <color indexed="8"/>
            <rFont val="Tahoma"/>
            <family val="2"/>
          </rPr>
          <t>haydenn:</t>
        </r>
        <r>
          <rPr>
            <sz val="8"/>
            <color indexed="8"/>
            <rFont val="Tahoma"/>
            <family val="2"/>
          </rPr>
          <t xml:space="preserve">
PRT is consolidated as of 1Q02 and CTI is deconsolidated as of 1Q02…
We have assumed a run rate of about 200mm, took out the 2001 ownership level of PRT net income and then added in losses related to CTI, which is now deconsolidated</t>
        </r>
      </text>
    </comment>
    <comment ref="BC62" authorId="0">
      <text>
        <r>
          <rPr>
            <b/>
            <sz val="8"/>
            <color indexed="8"/>
            <rFont val="Tahoma"/>
            <family val="2"/>
          </rPr>
          <t>haydenn:</t>
        </r>
        <r>
          <rPr>
            <sz val="8"/>
            <color indexed="8"/>
            <rFont val="Tahoma"/>
            <family val="2"/>
          </rPr>
          <t xml:space="preserve">
PRT is consolidated as of 1Q02 and CTI is deconsolidated as of 1Q02…
We have assumed a run rate of about 200mm, took out the 2001 ownership level of PRT net income and then added in losses related to CTI, which is now deconsolidated</t>
        </r>
      </text>
    </comment>
    <comment ref="BH62" authorId="1">
      <text>
        <r>
          <rPr>
            <b/>
            <sz val="8"/>
            <color indexed="8"/>
            <rFont val="Tahoma"/>
            <family val="2"/>
          </rPr>
          <t>enright:</t>
        </r>
        <r>
          <rPr>
            <sz val="8"/>
            <color indexed="8"/>
            <rFont val="Tahoma"/>
            <family val="2"/>
          </rPr>
          <t xml:space="preserve">
Omnitel tax benefit from change in amortization of intangibles</t>
        </r>
      </text>
    </comment>
    <comment ref="I63" authorId="0">
      <text>
        <r>
          <rPr>
            <b/>
            <sz val="8"/>
            <color indexed="8"/>
            <rFont val="Tahoma"/>
            <family val="2"/>
          </rPr>
          <t>haydenn:</t>
        </r>
        <r>
          <rPr>
            <sz val="8"/>
            <color indexed="8"/>
            <rFont val="Tahoma"/>
            <family val="2"/>
          </rPr>
          <t xml:space="preserve">
said 15% growth in proportionate net income in intl at feb00 analyst day</t>
        </r>
      </text>
    </comment>
    <comment ref="A65" authorId="3">
      <text>
        <r>
          <rPr>
            <b/>
            <sz val="8"/>
            <color indexed="8"/>
            <rFont val="Tahoma"/>
            <family val="2"/>
          </rPr>
          <t>enright:</t>
        </r>
        <r>
          <rPr>
            <sz val="8"/>
            <color indexed="8"/>
            <rFont val="Tahoma"/>
            <family val="2"/>
          </rPr>
          <t xml:space="preserve">
This includes foreign currency gains and losses, interest income, and other</t>
        </r>
      </text>
    </comment>
    <comment ref="J65" authorId="1">
      <text>
        <r>
          <rPr>
            <b/>
            <sz val="8"/>
            <color indexed="8"/>
            <rFont val="Tahoma"/>
            <family val="2"/>
          </rPr>
          <t>enright:</t>
        </r>
        <r>
          <rPr>
            <sz val="8"/>
            <color indexed="8"/>
            <rFont val="Tahoma"/>
            <family val="2"/>
          </rPr>
          <t xml:space="preserve">
includes the $382 million of income associated with the lines sold to CTL and AT.</t>
        </r>
      </text>
    </comment>
    <comment ref="K65" authorId="1">
      <text>
        <r>
          <rPr>
            <b/>
            <sz val="8"/>
            <color indexed="8"/>
            <rFont val="Tahoma"/>
            <family val="2"/>
          </rPr>
          <t>enright:</t>
        </r>
        <r>
          <rPr>
            <sz val="8"/>
            <color indexed="8"/>
            <rFont val="Tahoma"/>
            <family val="2"/>
          </rPr>
          <t xml:space="preserve">
$0.09 impact from decreased access lines due to the sale of access lines is embedded in below the line items.</t>
        </r>
      </text>
    </comment>
    <comment ref="AV65" authorId="0">
      <text>
        <r>
          <rPr>
            <b/>
            <sz val="8"/>
            <color indexed="8"/>
            <rFont val="Tahoma"/>
            <family val="2"/>
          </rPr>
          <t>haydenn:</t>
        </r>
        <r>
          <rPr>
            <sz val="8"/>
            <color indexed="8"/>
            <rFont val="Tahoma"/>
            <family val="2"/>
          </rPr>
          <t xml:space="preserve">
foreign currency gains, interest income
higher interest income due to higher levels of short-term investments,  income from investment in Metromedia debt securities</t>
        </r>
      </text>
    </comment>
    <comment ref="AP70" authorId="0">
      <text>
        <r>
          <rPr>
            <b/>
            <sz val="8"/>
            <color indexed="8"/>
            <rFont val="Tahoma"/>
            <family val="2"/>
          </rPr>
          <t>haydenn:</t>
        </r>
        <r>
          <rPr>
            <sz val="8"/>
            <color indexed="8"/>
            <rFont val="Tahoma"/>
            <family val="2"/>
          </rPr>
          <t xml:space="preserve">
This has been estimated. VZ reported number (of 638 mm) is only pro forma in 1Q99 for Vodafone JV down to the operating income line. We have attempted to estimate the impact of the JV below the operating line to get fully pro forma EPS.</t>
        </r>
      </text>
    </comment>
    <comment ref="AT70" authorId="0">
      <text>
        <r>
          <rPr>
            <b/>
            <sz val="8"/>
            <color indexed="8"/>
            <rFont val="Tahoma"/>
            <family val="2"/>
          </rPr>
          <t>haydenn:</t>
        </r>
        <r>
          <rPr>
            <sz val="8"/>
            <color indexed="8"/>
            <rFont val="Tahoma"/>
            <family val="2"/>
          </rPr>
          <t xml:space="preserve">
This has been estimated. VZ reported number (of 780 mm) is only pro forma in 1Q99 for Vodafone JV down to the operating income line. We have attempted to estimate the impact of the JV below the operating line to get fully pro forma EPS.</t>
        </r>
      </text>
    </comment>
    <comment ref="A73" authorId="3">
      <text>
        <r>
          <rPr>
            <b/>
            <sz val="8"/>
            <color indexed="8"/>
            <rFont val="Tahoma"/>
            <family val="2"/>
          </rPr>
          <t>enright:</t>
        </r>
        <r>
          <rPr>
            <sz val="8"/>
            <color indexed="8"/>
            <rFont val="Tahoma"/>
            <family val="2"/>
          </rPr>
          <t xml:space="preserve">
This reflects VZ Wireless, Iusacell, and CTI (Argentina)</t>
        </r>
      </text>
    </comment>
    <comment ref="I73" authorId="0">
      <text>
        <r>
          <rPr>
            <b/>
            <sz val="8"/>
            <color indexed="8"/>
            <rFont val="Tahoma"/>
            <family val="2"/>
          </rPr>
          <t>haydenn:</t>
        </r>
        <r>
          <rPr>
            <sz val="8"/>
            <color indexed="8"/>
            <rFont val="Tahoma"/>
            <family val="2"/>
          </rPr>
          <t xml:space="preserve">
we've assumed same ratio to operating income earned by verizon wireless and applied a growth rate to op income</t>
        </r>
      </text>
    </comment>
    <comment ref="AP73" authorId="0">
      <text>
        <r>
          <rPr>
            <b/>
            <sz val="8"/>
            <color indexed="8"/>
            <rFont val="Tahoma"/>
            <family val="2"/>
          </rPr>
          <t>haydenn:</t>
        </r>
        <r>
          <rPr>
            <sz val="8"/>
            <color indexed="8"/>
            <rFont val="Tahoma"/>
            <family val="2"/>
          </rPr>
          <t xml:space="preserve">
This has been estimated. VZ reported number (of 48 mm - negative) is only pro forma in 1Q99 for Vodafone JV down to the operating income line. We have attempted to estimate the impact of the JV below the operating line to get fully pro forma EPS.</t>
        </r>
      </text>
    </comment>
    <comment ref="AT73" authorId="0">
      <text>
        <r>
          <rPr>
            <b/>
            <sz val="8"/>
            <color indexed="8"/>
            <rFont val="Tahoma"/>
            <family val="2"/>
          </rPr>
          <t>haydenn:</t>
        </r>
        <r>
          <rPr>
            <sz val="8"/>
            <color indexed="8"/>
            <rFont val="Tahoma"/>
            <family val="2"/>
          </rPr>
          <t xml:space="preserve">
This has been estimated. VZ reported number (of 26 mm - negative) is only pro forma in 1Q00 for Vodafone JV down to the operating income line. We have attempted to estimate the impact of the JV below the operating line to get fully pro forma EPS.</t>
        </r>
      </text>
    </comment>
    <comment ref="BB73" authorId="0">
      <text>
        <r>
          <rPr>
            <b/>
            <sz val="8"/>
            <color indexed="8"/>
            <rFont val="Tahoma"/>
            <family val="2"/>
          </rPr>
          <t>haydenn:</t>
        </r>
        <r>
          <rPr>
            <sz val="8"/>
            <color indexed="8"/>
            <rFont val="Tahoma"/>
            <family val="2"/>
          </rPr>
          <t xml:space="preserve">
@@ range of 200-300</t>
        </r>
      </text>
    </comment>
    <comment ref="AP81" authorId="0">
      <text>
        <r>
          <rPr>
            <b/>
            <sz val="8"/>
            <color indexed="8"/>
            <rFont val="Tahoma"/>
            <family val="2"/>
          </rPr>
          <t>haydenn:</t>
        </r>
        <r>
          <rPr>
            <sz val="8"/>
            <color indexed="8"/>
            <rFont val="Tahoma"/>
            <family val="2"/>
          </rPr>
          <t xml:space="preserve">
We have used the reported tax rate and adjusted the taxes paid accordingly, given the adjusted net income due to below operating line results of Vod JV</t>
        </r>
      </text>
    </comment>
    <comment ref="AT81" authorId="0">
      <text>
        <r>
          <rPr>
            <b/>
            <sz val="8"/>
            <color indexed="8"/>
            <rFont val="Tahoma"/>
            <family val="2"/>
          </rPr>
          <t>haydenn:</t>
        </r>
        <r>
          <rPr>
            <sz val="8"/>
            <color indexed="8"/>
            <rFont val="Tahoma"/>
            <family val="2"/>
          </rPr>
          <t xml:space="preserve">
We have used the reported tax rate and adjusted the taxes paid accordingly, given the adjusted net income due to below operating line results of Vod JV</t>
        </r>
      </text>
    </comment>
    <comment ref="BB85" authorId="1">
      <text>
        <r>
          <rPr>
            <b/>
            <sz val="8"/>
            <color indexed="8"/>
            <rFont val="Tahoma"/>
            <family val="2"/>
          </rPr>
          <t>enright:</t>
        </r>
        <r>
          <rPr>
            <sz val="8"/>
            <color indexed="8"/>
            <rFont val="Tahoma"/>
            <family val="2"/>
          </rPr>
          <t xml:space="preserve">
Iusacell
</t>
        </r>
      </text>
    </comment>
    <comment ref="BC85" authorId="1">
      <text>
        <r>
          <rPr>
            <b/>
            <sz val="8"/>
            <color indexed="8"/>
            <rFont val="Tahoma"/>
            <family val="2"/>
          </rPr>
          <t>enright:</t>
        </r>
        <r>
          <rPr>
            <sz val="8"/>
            <color indexed="8"/>
            <rFont val="Tahoma"/>
            <family val="2"/>
          </rPr>
          <t xml:space="preserve">
Iusacell
</t>
        </r>
      </text>
    </comment>
    <comment ref="BD85" authorId="1">
      <text>
        <r>
          <rPr>
            <b/>
            <sz val="8"/>
            <color indexed="8"/>
            <rFont val="Tahoma"/>
            <family val="2"/>
          </rPr>
          <t>enright:</t>
        </r>
        <r>
          <rPr>
            <sz val="8"/>
            <color indexed="8"/>
            <rFont val="Tahoma"/>
            <family val="2"/>
          </rPr>
          <t xml:space="preserve">
Iusacell
</t>
        </r>
      </text>
    </comment>
    <comment ref="BE85" authorId="1">
      <text>
        <r>
          <rPr>
            <b/>
            <sz val="8"/>
            <color indexed="8"/>
            <rFont val="Tahoma"/>
            <family val="2"/>
          </rPr>
          <t>enright:</t>
        </r>
        <r>
          <rPr>
            <sz val="8"/>
            <color indexed="8"/>
            <rFont val="Tahoma"/>
            <family val="2"/>
          </rPr>
          <t xml:space="preserve">
Iusacell
</t>
        </r>
      </text>
    </comment>
    <comment ref="AX91" authorId="0">
      <text>
        <r>
          <rPr>
            <b/>
            <sz val="8"/>
            <color indexed="8"/>
            <rFont val="Tahoma"/>
            <family val="2"/>
          </rPr>
          <t>haydenn:</t>
        </r>
        <r>
          <rPr>
            <sz val="8"/>
            <color indexed="8"/>
            <rFont val="Tahoma"/>
            <family val="2"/>
          </rPr>
          <t xml:space="preserve">
March00 expect 70-72</t>
        </r>
      </text>
    </comment>
    <comment ref="K94" authorId="1">
      <text>
        <r>
          <rPr>
            <b/>
            <sz val="8"/>
            <color indexed="8"/>
            <rFont val="Tahoma"/>
            <family val="2"/>
          </rPr>
          <t>enright:</t>
        </r>
        <r>
          <rPr>
            <sz val="8"/>
            <color indexed="8"/>
            <rFont val="Tahoma"/>
            <family val="2"/>
          </rPr>
          <t xml:space="preserve">
numbers were not footing due to rounding!!</t>
        </r>
      </text>
    </comment>
    <comment ref="I95" authorId="0">
      <text>
        <r>
          <rPr>
            <b/>
            <sz val="8"/>
            <color indexed="8"/>
            <rFont val="Tahoma"/>
            <family val="2"/>
          </rPr>
          <t>haydenn:</t>
        </r>
        <r>
          <rPr>
            <sz val="8"/>
            <color indexed="8"/>
            <rFont val="Tahoma"/>
            <family val="2"/>
          </rPr>
          <t xml:space="preserve">
guidance of 10.5%, august meeting
</t>
        </r>
      </text>
    </comment>
    <comment ref="J95" authorId="0">
      <text>
        <r>
          <rPr>
            <b/>
            <sz val="8"/>
            <color indexed="8"/>
            <rFont val="Tahoma"/>
            <family val="2"/>
          </rPr>
          <t>haydenn:</t>
        </r>
        <r>
          <rPr>
            <sz val="8"/>
            <color indexed="8"/>
            <rFont val="Tahoma"/>
            <family val="2"/>
          </rPr>
          <t xml:space="preserve">
guidance of 12%+, august meeting</t>
        </r>
      </text>
    </comment>
    <comment ref="K95" authorId="0">
      <text>
        <r>
          <rPr>
            <b/>
            <sz val="8"/>
            <color indexed="8"/>
            <rFont val="Tahoma"/>
            <family val="2"/>
          </rPr>
          <t>haydenn:</t>
        </r>
        <r>
          <rPr>
            <sz val="8"/>
            <color indexed="8"/>
            <rFont val="Tahoma"/>
            <family val="2"/>
          </rPr>
          <t xml:space="preserve">
guidance of 12% + at august meeting`</t>
        </r>
      </text>
    </comment>
    <comment ref="A97" authorId="2">
      <text>
        <r>
          <rPr>
            <b/>
            <sz val="10"/>
            <color indexed="8"/>
            <rFont val="Tahoma"/>
            <family val="2"/>
          </rPr>
          <t>smythra:</t>
        </r>
        <r>
          <rPr>
            <sz val="10"/>
            <color indexed="8"/>
            <rFont val="Tahoma"/>
            <family val="2"/>
          </rPr>
          <t xml:space="preserve">
ModelWare adds this to to EPS to make calculated EPS equal the company's EPS</t>
        </r>
      </text>
    </comment>
    <comment ref="AV99" authorId="0">
      <text>
        <r>
          <rPr>
            <b/>
            <sz val="8"/>
            <color indexed="8"/>
            <rFont val="Tahoma"/>
            <family val="2"/>
          </rPr>
          <t>haydenn:</t>
        </r>
        <r>
          <rPr>
            <sz val="8"/>
            <color indexed="8"/>
            <rFont val="Tahoma"/>
            <family val="2"/>
          </rPr>
          <t xml:space="preserve">
VZ authorized on 3/1/00 a share buyback program of up to 80 million shares of common stock. As of 9/30/00, VZ had repurchased 31.5462 million shares.
Stock options for 107 mm shares for the 3 mos. ended 9/30/00 were not included in the computation of diluted earnings per share because the options' exercise price was greater than the average market price of the common stock.</t>
        </r>
      </text>
    </comment>
    <comment ref="G115" authorId="0">
      <text>
        <r>
          <rPr>
            <b/>
            <sz val="8"/>
            <color indexed="8"/>
            <rFont val="Tahoma"/>
            <family val="2"/>
          </rPr>
          <t>haydenn:</t>
        </r>
        <r>
          <rPr>
            <sz val="8"/>
            <color indexed="8"/>
            <rFont val="Tahoma"/>
            <family val="2"/>
          </rPr>
          <t xml:space="preserve">
pre-vodafone, 0.10 in goodwill</t>
        </r>
      </text>
    </comment>
    <comment ref="H115" authorId="0">
      <text>
        <r>
          <rPr>
            <b/>
            <sz val="8"/>
            <color indexed="8"/>
            <rFont val="Tahoma"/>
            <family val="2"/>
          </rPr>
          <t>haydenn:</t>
        </r>
        <r>
          <rPr>
            <sz val="8"/>
            <color indexed="8"/>
            <rFont val="Tahoma"/>
            <family val="2"/>
          </rPr>
          <t xml:space="preserve">
@@ 22-23, but our IS has full year domestic wireless JV, so have grossed up amortiz to 0.26</t>
        </r>
      </text>
    </comment>
    <comment ref="I115" authorId="0">
      <text>
        <r>
          <rPr>
            <b/>
            <sz val="8"/>
            <color indexed="8"/>
            <rFont val="Tahoma"/>
            <family val="2"/>
          </rPr>
          <t>haydenn:</t>
        </r>
        <r>
          <rPr>
            <sz val="8"/>
            <color indexed="8"/>
            <rFont val="Tahoma"/>
            <family val="2"/>
          </rPr>
          <t xml:space="preserve">
NEW (3/2/01): we have now added in impact from spectrum auctions
NEW: @@ 26 in 2001
OLD: @@ 27-28; increases b/c full year of wireless
</t>
        </r>
      </text>
    </comment>
    <comment ref="K118" authorId="1">
      <text>
        <r>
          <rPr>
            <b/>
            <sz val="8"/>
            <color indexed="8"/>
            <rFont val="Tahoma"/>
            <family val="2"/>
          </rPr>
          <t>enright:</t>
        </r>
        <r>
          <rPr>
            <sz val="8"/>
            <color indexed="8"/>
            <rFont val="Tahoma"/>
            <family val="2"/>
          </rPr>
          <t xml:space="preserve">
2002 10K</t>
        </r>
      </text>
    </comment>
    <comment ref="L118" authorId="1">
      <text>
        <r>
          <rPr>
            <b/>
            <sz val="8"/>
            <color indexed="8"/>
            <rFont val="Tahoma"/>
            <family val="2"/>
          </rPr>
          <t>enright:</t>
        </r>
        <r>
          <rPr>
            <sz val="8"/>
            <color indexed="8"/>
            <rFont val="Tahoma"/>
            <family val="2"/>
          </rPr>
          <t xml:space="preserve">
2002 10K</t>
        </r>
      </text>
    </comment>
    <comment ref="M118" authorId="1">
      <text>
        <r>
          <rPr>
            <b/>
            <sz val="8"/>
            <color indexed="8"/>
            <rFont val="Tahoma"/>
            <family val="2"/>
          </rPr>
          <t>enright:</t>
        </r>
        <r>
          <rPr>
            <sz val="8"/>
            <color indexed="8"/>
            <rFont val="Tahoma"/>
            <family val="2"/>
          </rPr>
          <t xml:space="preserve">
2002 10K</t>
        </r>
      </text>
    </comment>
    <comment ref="N118" authorId="1">
      <text>
        <r>
          <rPr>
            <b/>
            <sz val="8"/>
            <color indexed="8"/>
            <rFont val="Tahoma"/>
            <family val="2"/>
          </rPr>
          <t>enright:</t>
        </r>
        <r>
          <rPr>
            <sz val="8"/>
            <color indexed="8"/>
            <rFont val="Tahoma"/>
            <family val="2"/>
          </rPr>
          <t xml:space="preserve">
2002 10K</t>
        </r>
      </text>
    </comment>
    <comment ref="O118" authorId="1">
      <text>
        <r>
          <rPr>
            <b/>
            <sz val="8"/>
            <color indexed="8"/>
            <rFont val="Tahoma"/>
            <family val="2"/>
          </rPr>
          <t>enright:</t>
        </r>
        <r>
          <rPr>
            <sz val="8"/>
            <color indexed="8"/>
            <rFont val="Tahoma"/>
            <family val="2"/>
          </rPr>
          <t xml:space="preserve">
2002 10K</t>
        </r>
      </text>
    </comment>
    <comment ref="P118" authorId="1">
      <text>
        <r>
          <rPr>
            <b/>
            <sz val="8"/>
            <color indexed="8"/>
            <rFont val="Tahoma"/>
            <family val="2"/>
          </rPr>
          <t>enright:</t>
        </r>
        <r>
          <rPr>
            <sz val="8"/>
            <color indexed="8"/>
            <rFont val="Tahoma"/>
            <family val="2"/>
          </rPr>
          <t xml:space="preserve">
2002 10K</t>
        </r>
      </text>
    </comment>
    <comment ref="AX118" authorId="0">
      <text>
        <r>
          <rPr>
            <b/>
            <sz val="8"/>
            <color indexed="8"/>
            <rFont val="Tahoma"/>
            <family val="2"/>
          </rPr>
          <t>haydenn:</t>
        </r>
        <r>
          <rPr>
            <sz val="8"/>
            <color indexed="8"/>
            <rFont val="Tahoma"/>
            <family val="2"/>
          </rPr>
          <t xml:space="preserve">
assume that incremental impact of wireless licenses does not hit until 2002</t>
        </r>
      </text>
    </comment>
    <comment ref="BO124" authorId="6">
      <text>
        <r>
          <rPr>
            <b/>
            <sz val="8"/>
            <color indexed="8"/>
            <rFont val="Tahoma"/>
            <family val="2"/>
          </rPr>
          <t>atalwar:</t>
        </r>
        <r>
          <rPr>
            <sz val="8"/>
            <color indexed="8"/>
            <rFont val="Tahoma"/>
            <family val="2"/>
          </rPr>
          <t xml:space="preserve">
Dividend increased on March 4, 2005</t>
        </r>
      </text>
    </comment>
    <comment ref="A130" authorId="2">
      <text>
        <r>
          <rPr>
            <b/>
            <sz val="10"/>
            <color indexed="8"/>
            <rFont val="Tahoma"/>
            <family val="2"/>
          </rPr>
          <t>smythra:</t>
        </r>
        <r>
          <rPr>
            <sz val="10"/>
            <color indexed="8"/>
            <rFont val="Tahoma"/>
            <family val="2"/>
          </rPr>
          <t xml:space="preserve">
this is a next 12-months dividend</t>
        </r>
      </text>
    </comment>
    <comment ref="BP140" authorId="5">
      <text>
        <r>
          <rPr>
            <b/>
            <sz val="8"/>
            <color indexed="8"/>
            <rFont val="Tahoma"/>
            <family val="2"/>
          </rPr>
          <t>agarwalp:</t>
        </r>
        <r>
          <rPr>
            <sz val="8"/>
            <color indexed="8"/>
            <rFont val="Tahoma"/>
            <family val="2"/>
          </rPr>
          <t xml:space="preserve">
Asset impairment charge &amp; other special charges</t>
        </r>
      </text>
    </comment>
    <comment ref="BM144" authorId="4">
      <text>
        <r>
          <rPr>
            <b/>
            <sz val="10"/>
            <color indexed="8"/>
            <rFont val="Tahoma"/>
            <family val="2"/>
          </rPr>
          <t>Smythra:</t>
        </r>
        <r>
          <rPr>
            <sz val="10"/>
            <color indexed="8"/>
            <rFont val="Tahoma"/>
            <family val="2"/>
          </rPr>
          <t xml:space="preserve">
impact of sales of businesses and investments, net of tax</t>
        </r>
      </text>
    </comment>
    <comment ref="BN145" authorId="2">
      <text>
        <r>
          <rPr>
            <b/>
            <sz val="10"/>
            <color indexed="8"/>
            <rFont val="Tahoma"/>
            <family val="2"/>
          </rPr>
          <t>smythra:</t>
        </r>
        <r>
          <rPr>
            <sz val="10"/>
            <color indexed="8"/>
            <rFont val="Tahoma"/>
            <family val="2"/>
          </rPr>
          <t xml:space="preserve">
reported diluted EPS of $0.64 includes "income related to share dilution (exchangeable equity interests and zero coupon convertible debt) of $14 mn"</t>
        </r>
      </text>
    </comment>
    <comment ref="BQ145" authorId="5">
      <text>
        <r>
          <rPr>
            <b/>
            <sz val="8"/>
            <color indexed="8"/>
            <rFont val="Tahoma"/>
            <family val="2"/>
          </rPr>
          <t>agarwalp:</t>
        </r>
        <r>
          <rPr>
            <sz val="8"/>
            <color indexed="8"/>
            <rFont val="Tahoma"/>
            <family val="2"/>
          </rPr>
          <t xml:space="preserve">
VZ center relocation costs</t>
        </r>
      </text>
    </comment>
    <comment ref="BP146" authorId="5">
      <text>
        <r>
          <rPr>
            <b/>
            <sz val="8"/>
            <color indexed="8"/>
            <rFont val="Tahoma"/>
            <family val="2"/>
          </rPr>
          <t>agarwalp:</t>
        </r>
        <r>
          <rPr>
            <sz val="8"/>
            <color indexed="8"/>
            <rFont val="Tahoma"/>
            <family val="2"/>
          </rPr>
          <t xml:space="preserve">
NY Office sold &amp; relocation exps</t>
        </r>
      </text>
    </comment>
    <comment ref="BM151" authorId="4">
      <text>
        <r>
          <rPr>
            <b/>
            <sz val="10"/>
            <color indexed="8"/>
            <rFont val="Tahoma"/>
            <family val="2"/>
          </rPr>
          <t>Smythra:</t>
        </r>
        <r>
          <rPr>
            <sz val="10"/>
            <color indexed="8"/>
            <rFont val="Tahoma"/>
            <family val="2"/>
          </rPr>
          <t xml:space="preserve">
tax benefit</t>
        </r>
      </text>
    </comment>
    <comment ref="BP151" authorId="5">
      <text>
        <r>
          <rPr>
            <b/>
            <sz val="8"/>
            <color indexed="8"/>
            <rFont val="Tahoma"/>
            <family val="2"/>
          </rPr>
          <t>agarwalp:</t>
        </r>
        <r>
          <rPr>
            <sz val="8"/>
            <color indexed="8"/>
            <rFont val="Tahoma"/>
            <family val="2"/>
          </rPr>
          <t xml:space="preserve">
tax benefits &amp; tax on repatriated earnings</t>
        </r>
      </text>
    </comment>
  </commentList>
</comments>
</file>

<file path=xl/comments2.xml><?xml version="1.0" encoding="utf-8"?>
<comments xmlns="http://schemas.openxmlformats.org/spreadsheetml/2006/main">
  <authors>
    <author>Sinkevicius, Armintas (Research)</author>
    <author>Armintas Sinkevicius</author>
  </authors>
  <commentList>
    <comment ref="H3" authorId="0">
      <text>
        <r>
          <rPr>
            <b/>
            <sz val="9"/>
            <color indexed="81"/>
            <rFont val="Tahoma"/>
            <family val="2"/>
          </rPr>
          <t>Sinkevicius, Armintas (Research):</t>
        </r>
        <r>
          <rPr>
            <sz val="9"/>
            <color indexed="81"/>
            <rFont val="Tahoma"/>
            <family val="2"/>
          </rPr>
          <t xml:space="preserve">
~12.0x 2017e EPS
Historical Average</t>
        </r>
      </text>
    </comment>
    <comment ref="I3" authorId="0">
      <text>
        <r>
          <rPr>
            <b/>
            <sz val="9"/>
            <color indexed="81"/>
            <rFont val="Tahoma"/>
            <family val="2"/>
          </rPr>
          <t>Sinkevicius, Armintas (Research):</t>
        </r>
        <r>
          <rPr>
            <sz val="9"/>
            <color indexed="81"/>
            <rFont val="Tahoma"/>
            <family val="2"/>
          </rPr>
          <t xml:space="preserve">
~14.0x 2017e EPS
5 Year Average</t>
        </r>
      </text>
    </comment>
    <comment ref="J3" authorId="0">
      <text>
        <r>
          <rPr>
            <b/>
            <sz val="9"/>
            <color indexed="81"/>
            <rFont val="Tahoma"/>
            <family val="2"/>
          </rPr>
          <t>Sinkevicius, Armintas (Research):</t>
        </r>
        <r>
          <rPr>
            <sz val="9"/>
            <color indexed="81"/>
            <rFont val="Tahoma"/>
            <family val="2"/>
          </rPr>
          <t xml:space="preserve">
~10.7x 2017e EPS
2 + 5 Year Minimum</t>
        </r>
      </text>
    </comment>
    <comment ref="E6" authorId="0">
      <text>
        <r>
          <rPr>
            <sz val="9"/>
            <color indexed="81"/>
            <rFont val="Tahoma"/>
            <family val="2"/>
          </rPr>
          <t>Add: Pension (after tax)
Add: 50% of OPEB (after tax)
Less: Investments
Add: Noncontrolling</t>
        </r>
      </text>
    </comment>
    <comment ref="B55" authorId="1">
      <text>
        <r>
          <rPr>
            <b/>
            <sz val="8"/>
            <color indexed="81"/>
            <rFont val="Tahoma"/>
            <family val="2"/>
          </rPr>
          <t>Armintas Sinkevicius:</t>
        </r>
        <r>
          <rPr>
            <sz val="8"/>
            <color indexed="81"/>
            <rFont val="Tahoma"/>
            <family val="2"/>
          </rPr>
          <t xml:space="preserve">
OCF - Capex</t>
        </r>
      </text>
    </comment>
  </commentList>
</comments>
</file>

<file path=xl/comments3.xml><?xml version="1.0" encoding="utf-8"?>
<comments xmlns="http://schemas.openxmlformats.org/spreadsheetml/2006/main">
  <authors>
    <author>Sinkevicius, Armintas (Research)</author>
  </authors>
  <commentList>
    <comment ref="V15" authorId="0">
      <text>
        <r>
          <rPr>
            <b/>
            <sz val="9"/>
            <color indexed="81"/>
            <rFont val="Tahoma"/>
            <family val="2"/>
          </rPr>
          <t>Sinkevicius, Armintas (Research):</t>
        </r>
        <r>
          <rPr>
            <sz val="9"/>
            <color indexed="81"/>
            <rFont val="Tahoma"/>
            <family val="2"/>
          </rPr>
          <t xml:space="preserve">
exclude other</t>
        </r>
      </text>
    </comment>
  </commentList>
</comments>
</file>

<file path=xl/comments4.xml><?xml version="1.0" encoding="utf-8"?>
<comments xmlns="http://schemas.openxmlformats.org/spreadsheetml/2006/main">
  <authors>
    <author>agarwalp</author>
    <author>Daniel Gaviria</author>
    <author>haydenn</author>
    <author>philna</author>
    <author>Smythra</author>
    <author>enright</author>
    <author>berghmeg</author>
    <author>Lam, Lisa (Research)</author>
    <author>smythra</author>
    <author>Armintas Sinkevicius</author>
    <author>atalwar</author>
  </authors>
  <commentList>
    <comment ref="BG6" authorId="0">
      <text>
        <r>
          <rPr>
            <b/>
            <sz val="8"/>
            <color indexed="8"/>
            <rFont val="Tahoma"/>
            <family val="2"/>
          </rPr>
          <t>agarwalp:</t>
        </r>
        <r>
          <rPr>
            <sz val="8"/>
            <color indexed="8"/>
            <rFont val="Tahoma"/>
            <family val="2"/>
          </rPr>
          <t xml:space="preserve">
EPS is for VZ Standalone</t>
        </r>
      </text>
    </comment>
    <comment ref="BH6" authorId="0">
      <text>
        <r>
          <rPr>
            <b/>
            <sz val="8"/>
            <color indexed="8"/>
            <rFont val="Tahoma"/>
            <family val="2"/>
          </rPr>
          <t>agarwalp:</t>
        </r>
        <r>
          <rPr>
            <sz val="8"/>
            <color indexed="8"/>
            <rFont val="Tahoma"/>
            <family val="2"/>
          </rPr>
          <t xml:space="preserve">
EPS is for VZ Standalone</t>
        </r>
      </text>
    </comment>
    <comment ref="BI6" authorId="0">
      <text>
        <r>
          <rPr>
            <b/>
            <sz val="8"/>
            <color indexed="8"/>
            <rFont val="Tahoma"/>
            <family val="2"/>
          </rPr>
          <t>agarwalp:</t>
        </r>
        <r>
          <rPr>
            <sz val="8"/>
            <color indexed="8"/>
            <rFont val="Tahoma"/>
            <family val="2"/>
          </rPr>
          <t xml:space="preserve">
EPS is for VZ Standalone</t>
        </r>
      </text>
    </comment>
    <comment ref="BJ6" authorId="0">
      <text>
        <r>
          <rPr>
            <b/>
            <sz val="8"/>
            <color indexed="8"/>
            <rFont val="Tahoma"/>
            <family val="2"/>
          </rPr>
          <t>agarwalp:</t>
        </r>
        <r>
          <rPr>
            <sz val="8"/>
            <color indexed="8"/>
            <rFont val="Tahoma"/>
            <family val="2"/>
          </rPr>
          <t xml:space="preserve">
EPS is for VZ Standalone</t>
        </r>
      </text>
    </comment>
    <comment ref="BK6" authorId="0">
      <text>
        <r>
          <rPr>
            <b/>
            <sz val="8"/>
            <color indexed="8"/>
            <rFont val="Tahoma"/>
            <family val="2"/>
          </rPr>
          <t>agarwalp:</t>
        </r>
        <r>
          <rPr>
            <sz val="8"/>
            <color indexed="8"/>
            <rFont val="Tahoma"/>
            <family val="2"/>
          </rPr>
          <t xml:space="preserve">
EPS is for VZ Standalone</t>
        </r>
      </text>
    </comment>
    <comment ref="BL6" authorId="0">
      <text>
        <r>
          <rPr>
            <b/>
            <sz val="8"/>
            <color indexed="8"/>
            <rFont val="Tahoma"/>
            <family val="2"/>
          </rPr>
          <t>agarwalp:</t>
        </r>
        <r>
          <rPr>
            <sz val="8"/>
            <color indexed="8"/>
            <rFont val="Tahoma"/>
            <family val="2"/>
          </rPr>
          <t xml:space="preserve">
EPS is for VZ Standalone</t>
        </r>
      </text>
    </comment>
    <comment ref="BM6" authorId="0">
      <text>
        <r>
          <rPr>
            <b/>
            <sz val="8"/>
            <color indexed="8"/>
            <rFont val="Tahoma"/>
            <family val="2"/>
          </rPr>
          <t>agarwalp:</t>
        </r>
        <r>
          <rPr>
            <sz val="8"/>
            <color indexed="8"/>
            <rFont val="Tahoma"/>
            <family val="2"/>
          </rPr>
          <t xml:space="preserve">
EPS is for VZ Standalone</t>
        </r>
      </text>
    </comment>
    <comment ref="BN6" authorId="0">
      <text>
        <r>
          <rPr>
            <b/>
            <sz val="8"/>
            <color indexed="8"/>
            <rFont val="Tahoma"/>
            <family val="2"/>
          </rPr>
          <t>agarwalp:</t>
        </r>
        <r>
          <rPr>
            <sz val="8"/>
            <color indexed="8"/>
            <rFont val="Tahoma"/>
            <family val="2"/>
          </rPr>
          <t xml:space="preserve">
EPS is for VZ Standalone</t>
        </r>
      </text>
    </comment>
    <comment ref="S7" authorId="1">
      <text>
        <r>
          <rPr>
            <b/>
            <sz val="10"/>
            <color indexed="8"/>
            <rFont val="Tahoma"/>
            <family val="2"/>
          </rPr>
          <t>Daniel Gaviria:</t>
        </r>
        <r>
          <rPr>
            <sz val="10"/>
            <color indexed="8"/>
            <rFont val="Tahoma"/>
            <family val="2"/>
          </rPr>
          <t xml:space="preserve">
GUIDANCE:
5% to 8% Y/Y GROWTH</t>
        </r>
      </text>
    </comment>
    <comment ref="BG26" authorId="2">
      <text>
        <r>
          <rPr>
            <b/>
            <sz val="8"/>
            <color indexed="8"/>
            <rFont val="Tahoma"/>
            <family val="2"/>
          </rPr>
          <t>haydenn:</t>
        </r>
        <r>
          <rPr>
            <sz val="8"/>
            <color indexed="8"/>
            <rFont val="Tahoma"/>
            <family val="2"/>
          </rPr>
          <t xml:space="preserve">
Telus inflates growth rate for 1q02-2q02
</t>
        </r>
      </text>
    </comment>
    <comment ref="O31" authorId="1">
      <text>
        <r>
          <rPr>
            <b/>
            <sz val="8"/>
            <color indexed="8"/>
            <rFont val="Tahoma"/>
            <family val="2"/>
          </rPr>
          <t>Daniel Gaviria:</t>
        </r>
        <r>
          <rPr>
            <sz val="8"/>
            <color indexed="8"/>
            <rFont val="Tahoma"/>
            <family val="2"/>
          </rPr>
          <t xml:space="preserve">
Adjusted for Idearc spinoff.
Total revs in 2006 wld have been  $88,305</t>
        </r>
      </text>
    </comment>
    <comment ref="S35" authorId="1">
      <text>
        <r>
          <rPr>
            <b/>
            <sz val="10"/>
            <color indexed="8"/>
            <rFont val="Tahoma"/>
            <family val="2"/>
          </rPr>
          <t>Daniel Gaviria:</t>
        </r>
        <r>
          <rPr>
            <sz val="10"/>
            <color indexed="8"/>
            <rFont val="Tahoma"/>
            <family val="2"/>
          </rPr>
          <t xml:space="preserve">
GUIDANCE:
4% to 8% GROWTH</t>
        </r>
      </text>
    </comment>
    <comment ref="BZ35" authorId="3">
      <text>
        <r>
          <rPr>
            <b/>
            <sz val="8"/>
            <color indexed="8"/>
            <rFont val="Tahoma"/>
            <family val="2"/>
          </rPr>
          <t>philna:</t>
        </r>
        <r>
          <rPr>
            <sz val="8"/>
            <color indexed="8"/>
            <rFont val="Tahoma"/>
            <family val="2"/>
          </rPr>
          <t xml:space="preserve">
1Q05-4Q06 Pf revenues found by adding Alltel revenues to Verizon revenues</t>
        </r>
      </text>
    </comment>
    <comment ref="BQ42" authorId="4">
      <text>
        <r>
          <rPr>
            <b/>
            <sz val="8"/>
            <color indexed="8"/>
            <rFont val="Tahoma"/>
            <family val="2"/>
          </rPr>
          <t>Smythra:</t>
        </r>
        <r>
          <rPr>
            <sz val="8"/>
            <color indexed="8"/>
            <rFont val="Tahoma"/>
            <family val="2"/>
          </rPr>
          <t xml:space="preserve">
excludes $33 m in pension/opeb costs</t>
        </r>
      </text>
    </comment>
    <comment ref="I53" authorId="2">
      <text>
        <r>
          <rPr>
            <b/>
            <sz val="8"/>
            <color indexed="8"/>
            <rFont val="Tahoma"/>
            <family val="2"/>
          </rPr>
          <t>haydenn:</t>
        </r>
        <r>
          <rPr>
            <sz val="8"/>
            <color indexed="8"/>
            <rFont val="Tahoma"/>
            <family val="2"/>
          </rPr>
          <t xml:space="preserve">
2q01 call implied guidance of 50,715
implied guidance of 52,404 at feb00 analyst meeting</t>
        </r>
      </text>
    </comment>
    <comment ref="BM53" authorId="0">
      <text>
        <r>
          <rPr>
            <b/>
            <sz val="8"/>
            <color indexed="8"/>
            <rFont val="Tahoma"/>
            <family val="2"/>
          </rPr>
          <t>agarwalp:</t>
        </r>
        <r>
          <rPr>
            <sz val="8"/>
            <color indexed="8"/>
            <rFont val="Tahoma"/>
            <family val="2"/>
          </rPr>
          <t xml:space="preserve">
Incl (141) for 'sale of business,net'</t>
        </r>
      </text>
    </comment>
    <comment ref="I54" authorId="2">
      <text>
        <r>
          <rPr>
            <b/>
            <sz val="8"/>
            <color indexed="8"/>
            <rFont val="Tahoma"/>
            <family val="2"/>
          </rPr>
          <t>haydenn:</t>
        </r>
        <r>
          <rPr>
            <sz val="8"/>
            <color indexed="8"/>
            <rFont val="Tahoma"/>
            <family val="2"/>
          </rPr>
          <t xml:space="preserve">
2q01 call: expect 3-4% growth off 49bn base
guidance of 7% growth at feb00 analyst meeting -- this is off reported base of 48.98bn</t>
        </r>
      </text>
    </comment>
    <comment ref="I56" authorId="2">
      <text>
        <r>
          <rPr>
            <b/>
            <sz val="8"/>
            <color indexed="8"/>
            <rFont val="Tahoma"/>
            <family val="2"/>
          </rPr>
          <t>haydenn:</t>
        </r>
        <r>
          <rPr>
            <sz val="8"/>
            <color indexed="8"/>
            <rFont val="Tahoma"/>
            <family val="2"/>
          </rPr>
          <t xml:space="preserve">
guidance range of 15,892-16,181</t>
        </r>
      </text>
    </comment>
    <comment ref="I57" authorId="2">
      <text>
        <r>
          <rPr>
            <b/>
            <sz val="8"/>
            <color indexed="8"/>
            <rFont val="Tahoma"/>
            <family val="2"/>
          </rPr>
          <t>haydenn:</t>
        </r>
        <r>
          <rPr>
            <sz val="8"/>
            <color indexed="8"/>
            <rFont val="Tahoma"/>
            <family val="2"/>
          </rPr>
          <t xml:space="preserve">
guidance on feb00 of 10-12% growth off base of 14447</t>
        </r>
      </text>
    </comment>
    <comment ref="L58" authorId="5">
      <text>
        <r>
          <rPr>
            <b/>
            <sz val="8"/>
            <color indexed="8"/>
            <rFont val="Tahoma"/>
            <family val="2"/>
          </rPr>
          <t>enright:</t>
        </r>
        <r>
          <rPr>
            <sz val="8"/>
            <color indexed="8"/>
            <rFont val="Tahoma"/>
            <family val="2"/>
          </rPr>
          <t xml:space="preserve">
stabilizing from 4Q03 levels - excluding pension and opebs</t>
        </r>
      </text>
    </comment>
    <comment ref="J60" authorId="2">
      <text>
        <r>
          <rPr>
            <b/>
            <sz val="8"/>
            <color indexed="8"/>
            <rFont val="Tahoma"/>
            <family val="2"/>
          </rPr>
          <t>haydenn:</t>
        </r>
        <r>
          <rPr>
            <sz val="8"/>
            <color indexed="8"/>
            <rFont val="Tahoma"/>
            <family val="2"/>
          </rPr>
          <t xml:space="preserve">
Jan 02 guid on 4q01 call of 7-9%, but this excludes consolidation of PRT</t>
        </r>
      </text>
    </comment>
    <comment ref="BG61" authorId="2">
      <text>
        <r>
          <rPr>
            <b/>
            <sz val="8"/>
            <color indexed="8"/>
            <rFont val="Tahoma"/>
            <family val="2"/>
          </rPr>
          <t>haydenn:</t>
        </r>
        <r>
          <rPr>
            <sz val="8"/>
            <color indexed="8"/>
            <rFont val="Tahoma"/>
            <family val="2"/>
          </rPr>
          <t xml:space="preserve">
consolidation of PRT begins in 1q02, which is a 40% margin business</t>
        </r>
      </text>
    </comment>
    <comment ref="BS63" authorId="3">
      <text>
        <r>
          <rPr>
            <b/>
            <sz val="8"/>
            <color indexed="8"/>
            <rFont val="Tahoma"/>
            <family val="2"/>
          </rPr>
          <t>philna:</t>
        </r>
        <r>
          <rPr>
            <sz val="8"/>
            <color indexed="8"/>
            <rFont val="Tahoma"/>
            <family val="2"/>
          </rPr>
          <t xml:space="preserve">
1Q05-4Q07 estimate pf EBITDA by adding AT EBITDA to VZ EBITDA</t>
        </r>
      </text>
    </comment>
    <comment ref="BG65" authorId="5">
      <text>
        <r>
          <rPr>
            <b/>
            <sz val="8"/>
            <color indexed="8"/>
            <rFont val="Tahoma"/>
            <family val="2"/>
          </rPr>
          <t>enright:</t>
        </r>
        <r>
          <rPr>
            <sz val="8"/>
            <color indexed="8"/>
            <rFont val="Tahoma"/>
            <family val="2"/>
          </rPr>
          <t xml:space="preserve">
Access Lines Sales to CTL and AT
</t>
        </r>
      </text>
    </comment>
    <comment ref="BH65" authorId="5">
      <text>
        <r>
          <rPr>
            <b/>
            <sz val="8"/>
            <color indexed="8"/>
            <rFont val="Tahoma"/>
            <family val="2"/>
          </rPr>
          <t>enright:</t>
        </r>
        <r>
          <rPr>
            <sz val="8"/>
            <color indexed="8"/>
            <rFont val="Tahoma"/>
            <family val="2"/>
          </rPr>
          <t xml:space="preserve">
Access Lines Sales to CTL and AT
</t>
        </r>
      </text>
    </comment>
    <comment ref="BI65" authorId="5">
      <text>
        <r>
          <rPr>
            <b/>
            <sz val="8"/>
            <color indexed="8"/>
            <rFont val="Tahoma"/>
            <family val="2"/>
          </rPr>
          <t>enright:</t>
        </r>
        <r>
          <rPr>
            <sz val="8"/>
            <color indexed="8"/>
            <rFont val="Tahoma"/>
            <family val="2"/>
          </rPr>
          <t xml:space="preserve">
Access Lines Sales to CTL and AT
</t>
        </r>
      </text>
    </comment>
    <comment ref="BM65" authorId="5">
      <text>
        <r>
          <rPr>
            <b/>
            <sz val="8"/>
            <color indexed="8"/>
            <rFont val="Tahoma"/>
            <family val="2"/>
          </rPr>
          <t>enright:</t>
        </r>
        <r>
          <rPr>
            <sz val="8"/>
            <color indexed="8"/>
            <rFont val="Tahoma"/>
            <family val="2"/>
          </rPr>
          <t xml:space="preserve">
Expense reductions from selling directory businesses in Europe.</t>
        </r>
      </text>
    </comment>
    <comment ref="A67" authorId="6">
      <text>
        <r>
          <rPr>
            <b/>
            <sz val="8"/>
            <color indexed="8"/>
            <rFont val="Tahoma"/>
            <family val="2"/>
          </rPr>
          <t>As of 2006 this includes Omnitel and CANTV
Prior:</t>
        </r>
        <r>
          <rPr>
            <sz val="8"/>
            <color indexed="8"/>
            <rFont val="Tahoma"/>
            <family val="2"/>
          </rPr>
          <t xml:space="preserve">
This includes (among other things?) Taiwan
Cellular Corporation, Omnitel, Telecomunicaciones de Puerto Rico (TELPRI).  VZ no longer records
equity losses from its investment in BayanTel, a Philippines-based
telecommunications company, since its investment in BayanTel has been
written-down to zero. It also includes CANTV as well as equity losses from its investment in Cable &amp; Wireless Communications plc (CWC), an international cable television and telecommunications operation in the
United Kingdom. Due to the restructuring that occurred during May 2000, VZ no longer records equity losses for CWC.</t>
        </r>
      </text>
    </comment>
    <comment ref="M67" authorId="4">
      <text>
        <r>
          <rPr>
            <b/>
            <sz val="10"/>
            <color indexed="8"/>
            <rFont val="Tahoma"/>
            <family val="2"/>
          </rPr>
          <t>Smythra:</t>
        </r>
        <r>
          <rPr>
            <sz val="10"/>
            <color indexed="8"/>
            <rFont val="Tahoma"/>
            <family val="2"/>
          </rPr>
          <t xml:space="preserve">
Jan 05 guided that income from equity would be down $0.08 in 2005 reflecting sale of Telus, Canadian directory biz, VZ Hawaii, etc. About $327 pretax.</t>
        </r>
      </text>
    </comment>
    <comment ref="BG67" authorId="2">
      <text>
        <r>
          <rPr>
            <b/>
            <sz val="8"/>
            <color indexed="8"/>
            <rFont val="Tahoma"/>
            <family val="2"/>
          </rPr>
          <t>haydenn:</t>
        </r>
        <r>
          <rPr>
            <sz val="8"/>
            <color indexed="8"/>
            <rFont val="Tahoma"/>
            <family val="2"/>
          </rPr>
          <t xml:space="preserve">
PRT is consolidated as of 1Q02 and CTI is deconsolidated as of 1Q02…
We have assumed a run rate of about 200mm, took out the 2001 ownership level of PRT net income and then added in losses related to CTI, which is now deconsolidated</t>
        </r>
      </text>
    </comment>
    <comment ref="BM67" authorId="5">
      <text>
        <r>
          <rPr>
            <b/>
            <sz val="8"/>
            <color indexed="8"/>
            <rFont val="Tahoma"/>
            <family val="2"/>
          </rPr>
          <t>enright:</t>
        </r>
        <r>
          <rPr>
            <sz val="8"/>
            <color indexed="8"/>
            <rFont val="Tahoma"/>
            <family val="2"/>
          </rPr>
          <t xml:space="preserve">
Omnitel tax benefit from change in amortization of intangibles</t>
        </r>
      </text>
    </comment>
    <comment ref="I68" authorId="2">
      <text>
        <r>
          <rPr>
            <b/>
            <sz val="8"/>
            <color indexed="8"/>
            <rFont val="Tahoma"/>
            <family val="2"/>
          </rPr>
          <t>haydenn:</t>
        </r>
        <r>
          <rPr>
            <sz val="8"/>
            <color indexed="8"/>
            <rFont val="Tahoma"/>
            <family val="2"/>
          </rPr>
          <t xml:space="preserve">
said 15% growth in proportionate net income in intl at feb00 analyst day</t>
        </r>
      </text>
    </comment>
    <comment ref="A70" authorId="6">
      <text>
        <r>
          <rPr>
            <sz val="8"/>
            <color indexed="8"/>
            <rFont val="Tahoma"/>
            <family val="2"/>
          </rPr>
          <t>foreign currency gains and losses, interest income, and other</t>
        </r>
      </text>
    </comment>
    <comment ref="J70" authorId="5">
      <text>
        <r>
          <rPr>
            <b/>
            <sz val="8"/>
            <color indexed="8"/>
            <rFont val="Tahoma"/>
            <family val="2"/>
          </rPr>
          <t>enright:</t>
        </r>
        <r>
          <rPr>
            <sz val="8"/>
            <color indexed="8"/>
            <rFont val="Tahoma"/>
            <family val="2"/>
          </rPr>
          <t xml:space="preserve">
includes the $382 million of income associated with the lines sold to CTL and AT.</t>
        </r>
      </text>
    </comment>
    <comment ref="K70" authorId="5">
      <text>
        <r>
          <rPr>
            <b/>
            <sz val="8"/>
            <color indexed="8"/>
            <rFont val="Tahoma"/>
            <family val="2"/>
          </rPr>
          <t>enright:</t>
        </r>
        <r>
          <rPr>
            <sz val="8"/>
            <color indexed="8"/>
            <rFont val="Tahoma"/>
            <family val="2"/>
          </rPr>
          <t xml:space="preserve">
$0.09 impact from decreased access lines due to the sale of access lines is embedded in below the line items.</t>
        </r>
      </text>
    </comment>
    <comment ref="AA73" authorId="7">
      <text>
        <r>
          <rPr>
            <sz val="9"/>
            <color indexed="81"/>
            <rFont val="Tahoma"/>
            <family val="2"/>
          </rPr>
          <t>$200-300M to Verizon Foundation over 2018-2019</t>
        </r>
      </text>
    </comment>
    <comment ref="DT73" authorId="7">
      <text>
        <r>
          <rPr>
            <sz val="9"/>
            <color indexed="81"/>
            <rFont val="Tahoma"/>
            <family val="2"/>
          </rPr>
          <t>$200-300M to Verizon Foundation over 2018-2019</t>
        </r>
      </text>
    </comment>
    <comment ref="DU73" authorId="7">
      <text>
        <r>
          <rPr>
            <sz val="9"/>
            <color indexed="81"/>
            <rFont val="Tahoma"/>
            <family val="2"/>
          </rPr>
          <t>$200-300M to Verizon Foundation over 2018-2019</t>
        </r>
      </text>
    </comment>
    <comment ref="DV73" authorId="7">
      <text>
        <r>
          <rPr>
            <sz val="9"/>
            <color indexed="81"/>
            <rFont val="Tahoma"/>
            <family val="2"/>
          </rPr>
          <t>$200-300M to Verizon Foundation over 2018-2019</t>
        </r>
      </text>
    </comment>
    <comment ref="BG82" authorId="5">
      <text>
        <r>
          <rPr>
            <b/>
            <sz val="8"/>
            <color indexed="8"/>
            <rFont val="Tahoma"/>
            <family val="2"/>
          </rPr>
          <t>enright:</t>
        </r>
        <r>
          <rPr>
            <sz val="8"/>
            <color indexed="8"/>
            <rFont val="Tahoma"/>
            <family val="2"/>
          </rPr>
          <t xml:space="preserve">
Iusacell
</t>
        </r>
      </text>
    </comment>
    <comment ref="BH82" authorId="5">
      <text>
        <r>
          <rPr>
            <b/>
            <sz val="8"/>
            <color indexed="8"/>
            <rFont val="Tahoma"/>
            <family val="2"/>
          </rPr>
          <t>enright:</t>
        </r>
        <r>
          <rPr>
            <sz val="8"/>
            <color indexed="8"/>
            <rFont val="Tahoma"/>
            <family val="2"/>
          </rPr>
          <t xml:space="preserve">
Iusacell
</t>
        </r>
      </text>
    </comment>
    <comment ref="BI82" authorId="5">
      <text>
        <r>
          <rPr>
            <b/>
            <sz val="8"/>
            <color indexed="8"/>
            <rFont val="Tahoma"/>
            <family val="2"/>
          </rPr>
          <t>enright:</t>
        </r>
        <r>
          <rPr>
            <sz val="8"/>
            <color indexed="8"/>
            <rFont val="Tahoma"/>
            <family val="2"/>
          </rPr>
          <t xml:space="preserve">
Iusacell
</t>
        </r>
      </text>
    </comment>
    <comment ref="BJ82" authorId="5">
      <text>
        <r>
          <rPr>
            <b/>
            <sz val="8"/>
            <color indexed="8"/>
            <rFont val="Tahoma"/>
            <family val="2"/>
          </rPr>
          <t>enright:</t>
        </r>
        <r>
          <rPr>
            <sz val="8"/>
            <color indexed="8"/>
            <rFont val="Tahoma"/>
            <family val="2"/>
          </rPr>
          <t xml:space="preserve">
Iusacell
</t>
        </r>
      </text>
    </comment>
    <comment ref="A101" authorId="8">
      <text>
        <r>
          <rPr>
            <b/>
            <sz val="10"/>
            <color indexed="8"/>
            <rFont val="Tahoma"/>
            <family val="2"/>
          </rPr>
          <t>smythra:</t>
        </r>
        <r>
          <rPr>
            <sz val="10"/>
            <color indexed="8"/>
            <rFont val="Tahoma"/>
            <family val="2"/>
          </rPr>
          <t xml:space="preserve">
ModelWare adds this to to EPS to make calculated EPS equal the company's EPS</t>
        </r>
      </text>
    </comment>
    <comment ref="N111" authorId="8">
      <text>
        <r>
          <rPr>
            <b/>
            <sz val="8"/>
            <color indexed="8"/>
            <rFont val="Tahoma"/>
            <family val="2"/>
          </rPr>
          <t>smythra:</t>
        </r>
        <r>
          <rPr>
            <sz val="8"/>
            <color indexed="8"/>
            <rFont val="Tahoma"/>
            <family val="2"/>
          </rPr>
          <t xml:space="preserve">
increase in shares occurs at start of year so avg equals period end</t>
        </r>
      </text>
    </comment>
    <comment ref="DC111" authorId="9">
      <text>
        <r>
          <rPr>
            <b/>
            <sz val="8"/>
            <color indexed="81"/>
            <rFont val="Tahoma"/>
            <family val="2"/>
          </rPr>
          <t>Armintas Sinkevicius:</t>
        </r>
        <r>
          <rPr>
            <sz val="8"/>
            <color indexed="81"/>
            <rFont val="Tahoma"/>
            <family val="2"/>
          </rPr>
          <t xml:space="preserve">
Dilutive Effect of Share Issuance</t>
        </r>
      </text>
    </comment>
    <comment ref="BT115" authorId="10">
      <text>
        <r>
          <rPr>
            <b/>
            <sz val="8"/>
            <color indexed="8"/>
            <rFont val="Tahoma"/>
            <family val="2"/>
          </rPr>
          <t>atalwar:</t>
        </r>
        <r>
          <rPr>
            <sz val="8"/>
            <color indexed="8"/>
            <rFont val="Tahoma"/>
            <family val="2"/>
          </rPr>
          <t xml:space="preserve">
Dividend increased on March 4, 2005</t>
        </r>
      </text>
    </comment>
    <comment ref="A121" authorId="8">
      <text>
        <r>
          <rPr>
            <b/>
            <sz val="10"/>
            <color indexed="8"/>
            <rFont val="Tahoma"/>
            <family val="2"/>
          </rPr>
          <t>smythra:</t>
        </r>
        <r>
          <rPr>
            <sz val="10"/>
            <color indexed="8"/>
            <rFont val="Tahoma"/>
            <family val="2"/>
          </rPr>
          <t xml:space="preserve">
this is a next 12-months dividend</t>
        </r>
      </text>
    </comment>
    <comment ref="BZ130" authorId="8">
      <text>
        <r>
          <rPr>
            <b/>
            <sz val="8"/>
            <color indexed="8"/>
            <rFont val="Tahoma"/>
            <family val="2"/>
          </rPr>
          <t>smythra:</t>
        </r>
        <r>
          <rPr>
            <sz val="8"/>
            <color indexed="8"/>
            <rFont val="Tahoma"/>
            <family val="2"/>
          </rPr>
          <t xml:space="preserve">
severance, pension, and benefits changes</t>
        </r>
      </text>
    </comment>
    <comment ref="CD130" authorId="1">
      <text>
        <r>
          <rPr>
            <b/>
            <sz val="8"/>
            <color indexed="8"/>
            <rFont val="Tahoma"/>
            <family val="2"/>
          </rPr>
          <t>Daniel Gaviria:</t>
        </r>
        <r>
          <rPr>
            <sz val="8"/>
            <color indexed="8"/>
            <rFont val="Tahoma"/>
            <family val="2"/>
          </rPr>
          <t xml:space="preserve">
Severance and other related charges</t>
        </r>
      </text>
    </comment>
    <comment ref="BZ135" authorId="8">
      <text>
        <r>
          <rPr>
            <b/>
            <sz val="8"/>
            <color indexed="8"/>
            <rFont val="Tahoma"/>
            <family val="2"/>
          </rPr>
          <t>smythra:</t>
        </r>
        <r>
          <rPr>
            <sz val="8"/>
            <color indexed="8"/>
            <rFont val="Tahoma"/>
            <family val="2"/>
          </rPr>
          <t xml:space="preserve">
$541 loss on sale of Dominicana, $101 M Idearc spin-off related charges</t>
        </r>
      </text>
    </comment>
    <comment ref="CC135" authorId="1">
      <text>
        <r>
          <rPr>
            <b/>
            <sz val="8"/>
            <color indexed="8"/>
            <rFont val="Tahoma"/>
            <family val="2"/>
          </rPr>
          <t>Daniel Gaviria:</t>
        </r>
        <r>
          <rPr>
            <sz val="8"/>
            <color indexed="8"/>
            <rFont val="Tahoma"/>
            <family val="2"/>
          </rPr>
          <t xml:space="preserve">
Access line spin-off related charges</t>
        </r>
      </text>
    </comment>
    <comment ref="CD135" authorId="1">
      <text>
        <r>
          <rPr>
            <b/>
            <sz val="8"/>
            <color indexed="8"/>
            <rFont val="Tahoma"/>
            <family val="2"/>
          </rPr>
          <t>Daniel Gaviria:</t>
        </r>
        <r>
          <rPr>
            <sz val="8"/>
            <color indexed="8"/>
            <rFont val="Tahoma"/>
            <family val="2"/>
          </rPr>
          <t xml:space="preserve">
Access Line Spinoff related charges</t>
        </r>
      </text>
    </comment>
    <comment ref="BZ136" authorId="8">
      <text>
        <r>
          <rPr>
            <b/>
            <sz val="8"/>
            <color indexed="8"/>
            <rFont val="Tahoma"/>
            <family val="2"/>
          </rPr>
          <t>smythra:
$47 M merger integration costs, $30 VZ center relocation</t>
        </r>
      </text>
    </comment>
    <comment ref="CB136" authorId="1">
      <text>
        <r>
          <rPr>
            <b/>
            <sz val="8"/>
            <color indexed="8"/>
            <rFont val="Tahoma"/>
            <family val="2"/>
          </rPr>
          <t>Daniel Gaviria:</t>
        </r>
        <r>
          <rPr>
            <sz val="8"/>
            <color indexed="8"/>
            <rFont val="Tahoma"/>
            <family val="2"/>
          </rPr>
          <t xml:space="preserve">
Merger Integration costs</t>
        </r>
      </text>
    </comment>
    <comment ref="CC136" authorId="1">
      <text>
        <r>
          <rPr>
            <b/>
            <sz val="8"/>
            <color indexed="8"/>
            <rFont val="Tahoma"/>
            <family val="2"/>
          </rPr>
          <t>Daniel Gaviria:</t>
        </r>
        <r>
          <rPr>
            <sz val="8"/>
            <color indexed="8"/>
            <rFont val="Tahoma"/>
            <family val="2"/>
          </rPr>
          <t xml:space="preserve">
Merger Integration costs</t>
        </r>
      </text>
    </comment>
    <comment ref="CD136" authorId="1">
      <text>
        <r>
          <rPr>
            <b/>
            <sz val="8"/>
            <color indexed="8"/>
            <rFont val="Tahoma"/>
            <family val="2"/>
          </rPr>
          <t>Daniel Gaviria:</t>
        </r>
        <r>
          <rPr>
            <sz val="8"/>
            <color indexed="8"/>
            <rFont val="Tahoma"/>
            <family val="2"/>
          </rPr>
          <t xml:space="preserve">
Merger Integration Costs</t>
        </r>
      </text>
    </comment>
    <comment ref="CF136" authorId="1">
      <text>
        <r>
          <rPr>
            <b/>
            <sz val="8"/>
            <color indexed="8"/>
            <rFont val="Tahoma"/>
            <family val="2"/>
          </rPr>
          <t>Daniel Gaviria:</t>
        </r>
        <r>
          <rPr>
            <sz val="8"/>
            <color indexed="8"/>
            <rFont val="Tahoma"/>
            <family val="2"/>
          </rPr>
          <t xml:space="preserve">
Merger Integration costs</t>
        </r>
      </text>
    </comment>
    <comment ref="CC142" authorId="1">
      <text>
        <r>
          <rPr>
            <b/>
            <sz val="8"/>
            <color indexed="8"/>
            <rFont val="Tahoma"/>
            <family val="2"/>
          </rPr>
          <t>Daniel Gaviria:</t>
        </r>
        <r>
          <rPr>
            <sz val="8"/>
            <color indexed="8"/>
            <rFont val="Tahoma"/>
            <family val="2"/>
          </rPr>
          <t xml:space="preserve">
International taxes</t>
        </r>
      </text>
    </comment>
    <comment ref="CD142" authorId="1">
      <text>
        <r>
          <rPr>
            <b/>
            <sz val="8"/>
            <color indexed="8"/>
            <rFont val="Tahoma"/>
            <family val="2"/>
          </rPr>
          <t>Daniel Gaviria:</t>
        </r>
        <r>
          <rPr>
            <sz val="8"/>
            <color indexed="8"/>
            <rFont val="Tahoma"/>
            <family val="2"/>
          </rPr>
          <t xml:space="preserve">
Taxes on Foreign Distributions</t>
        </r>
      </text>
    </comment>
  </commentList>
</comments>
</file>

<file path=xl/comments5.xml><?xml version="1.0" encoding="utf-8"?>
<comments xmlns="http://schemas.openxmlformats.org/spreadsheetml/2006/main">
  <authors>
    <author>enright</author>
    <author>haydenn</author>
    <author>Daniel Gaviria</author>
    <author>Raina Smyth</author>
    <author>smythra</author>
    <author>atalwar</author>
    <author>Smythra</author>
    <author>Sinkevicius, Armintas (Research)</author>
    <author>urgiles</author>
  </authors>
  <commentList>
    <comment ref="L15" authorId="0">
      <text>
        <r>
          <rPr>
            <b/>
            <sz val="8"/>
            <color indexed="8"/>
            <rFont val="Tahoma"/>
            <family val="2"/>
          </rPr>
          <t>enright:</t>
        </r>
        <r>
          <rPr>
            <sz val="8"/>
            <color indexed="8"/>
            <rFont val="Tahoma"/>
            <family val="2"/>
          </rPr>
          <t xml:space="preserve">
VEBA trust </t>
        </r>
      </text>
    </comment>
    <comment ref="M15" authorId="0">
      <text>
        <r>
          <rPr>
            <b/>
            <sz val="8"/>
            <color indexed="8"/>
            <rFont val="Tahoma"/>
            <family val="2"/>
          </rPr>
          <t>enright:</t>
        </r>
        <r>
          <rPr>
            <sz val="8"/>
            <color indexed="8"/>
            <rFont val="Tahoma"/>
            <family val="2"/>
          </rPr>
          <t xml:space="preserve">
VEBA trust </t>
        </r>
      </text>
    </comment>
    <comment ref="BJ15" authorId="0">
      <text>
        <r>
          <rPr>
            <b/>
            <sz val="8"/>
            <color indexed="8"/>
            <rFont val="Tahoma"/>
            <family val="2"/>
          </rPr>
          <t>enright:</t>
        </r>
        <r>
          <rPr>
            <sz val="8"/>
            <color indexed="8"/>
            <rFont val="Tahoma"/>
            <family val="2"/>
          </rPr>
          <t xml:space="preserve">
VEBA trust </t>
        </r>
      </text>
    </comment>
    <comment ref="BK15" authorId="0">
      <text>
        <r>
          <rPr>
            <b/>
            <sz val="8"/>
            <color indexed="8"/>
            <rFont val="Tahoma"/>
            <family val="2"/>
          </rPr>
          <t>enright:</t>
        </r>
        <r>
          <rPr>
            <sz val="8"/>
            <color indexed="8"/>
            <rFont val="Tahoma"/>
            <family val="2"/>
          </rPr>
          <t xml:space="preserve">
VEBA trust </t>
        </r>
      </text>
    </comment>
    <comment ref="BL15" authorId="0">
      <text>
        <r>
          <rPr>
            <b/>
            <sz val="8"/>
            <color indexed="8"/>
            <rFont val="Tahoma"/>
            <family val="2"/>
          </rPr>
          <t>enright:</t>
        </r>
        <r>
          <rPr>
            <sz val="8"/>
            <color indexed="8"/>
            <rFont val="Tahoma"/>
            <family val="2"/>
          </rPr>
          <t xml:space="preserve">
VEBA trust </t>
        </r>
      </text>
    </comment>
    <comment ref="BM15" authorId="0">
      <text>
        <r>
          <rPr>
            <b/>
            <sz val="8"/>
            <color indexed="8"/>
            <rFont val="Tahoma"/>
            <family val="2"/>
          </rPr>
          <t>enright:</t>
        </r>
        <r>
          <rPr>
            <sz val="8"/>
            <color indexed="8"/>
            <rFont val="Tahoma"/>
            <family val="2"/>
          </rPr>
          <t xml:space="preserve">
VEBA trust </t>
        </r>
      </text>
    </comment>
    <comment ref="BN15" authorId="0">
      <text>
        <r>
          <rPr>
            <b/>
            <sz val="8"/>
            <color indexed="8"/>
            <rFont val="Tahoma"/>
            <family val="2"/>
          </rPr>
          <t>enright:</t>
        </r>
        <r>
          <rPr>
            <sz val="8"/>
            <color indexed="8"/>
            <rFont val="Tahoma"/>
            <family val="2"/>
          </rPr>
          <t xml:space="preserve">
VEBA trust </t>
        </r>
      </text>
    </comment>
    <comment ref="BO15" authorId="0">
      <text>
        <r>
          <rPr>
            <b/>
            <sz val="8"/>
            <color indexed="8"/>
            <rFont val="Tahoma"/>
            <family val="2"/>
          </rPr>
          <t>enright:</t>
        </r>
        <r>
          <rPr>
            <sz val="8"/>
            <color indexed="8"/>
            <rFont val="Tahoma"/>
            <family val="2"/>
          </rPr>
          <t xml:space="preserve">
VEBA trust </t>
        </r>
      </text>
    </comment>
    <comment ref="BP15" authorId="0">
      <text>
        <r>
          <rPr>
            <b/>
            <sz val="8"/>
            <color indexed="8"/>
            <rFont val="Tahoma"/>
            <family val="2"/>
          </rPr>
          <t>enright:</t>
        </r>
        <r>
          <rPr>
            <sz val="8"/>
            <color indexed="8"/>
            <rFont val="Tahoma"/>
            <family val="2"/>
          </rPr>
          <t xml:space="preserve">
VEBA trust </t>
        </r>
      </text>
    </comment>
    <comment ref="BQ15" authorId="0">
      <text>
        <r>
          <rPr>
            <b/>
            <sz val="8"/>
            <color indexed="8"/>
            <rFont val="Tahoma"/>
            <family val="2"/>
          </rPr>
          <t>enright:</t>
        </r>
        <r>
          <rPr>
            <sz val="8"/>
            <color indexed="8"/>
            <rFont val="Tahoma"/>
            <family val="2"/>
          </rPr>
          <t xml:space="preserve">
VEBA trust </t>
        </r>
      </text>
    </comment>
    <comment ref="BR15" authorId="0">
      <text>
        <r>
          <rPr>
            <b/>
            <sz val="8"/>
            <color indexed="8"/>
            <rFont val="Tahoma"/>
            <family val="2"/>
          </rPr>
          <t>enright:</t>
        </r>
        <r>
          <rPr>
            <sz val="8"/>
            <color indexed="8"/>
            <rFont val="Tahoma"/>
            <family val="2"/>
          </rPr>
          <t xml:space="preserve">
VEBA trust </t>
        </r>
      </text>
    </comment>
    <comment ref="BU15" authorId="0">
      <text>
        <r>
          <rPr>
            <b/>
            <sz val="8"/>
            <color indexed="8"/>
            <rFont val="Tahoma"/>
            <family val="2"/>
          </rPr>
          <t>enright:</t>
        </r>
        <r>
          <rPr>
            <sz val="8"/>
            <color indexed="8"/>
            <rFont val="Tahoma"/>
            <family val="2"/>
          </rPr>
          <t xml:space="preserve">
VEBA trust </t>
        </r>
      </text>
    </comment>
    <comment ref="BB21" authorId="1">
      <text>
        <r>
          <rPr>
            <b/>
            <sz val="8"/>
            <color indexed="8"/>
            <rFont val="Tahoma"/>
            <family val="2"/>
          </rPr>
          <t>haydenn:</t>
        </r>
        <r>
          <rPr>
            <sz val="8"/>
            <color indexed="8"/>
            <rFont val="Tahoma"/>
            <family val="2"/>
          </rPr>
          <t xml:space="preserve">
estimated</t>
        </r>
      </text>
    </comment>
    <comment ref="BH21" authorId="1">
      <text>
        <r>
          <rPr>
            <b/>
            <sz val="8"/>
            <color indexed="8"/>
            <rFont val="Tahoma"/>
            <family val="2"/>
          </rPr>
          <t>haydenn:</t>
        </r>
        <r>
          <rPr>
            <sz val="8"/>
            <color indexed="8"/>
            <rFont val="Tahoma"/>
            <family val="2"/>
          </rPr>
          <t xml:space="preserve">
CTL line sale</t>
        </r>
      </text>
    </comment>
    <comment ref="BJ26" authorId="1">
      <text>
        <r>
          <rPr>
            <b/>
            <sz val="8"/>
            <color indexed="8"/>
            <rFont val="Tahoma"/>
            <family val="2"/>
          </rPr>
          <t>haydenn:</t>
        </r>
        <r>
          <rPr>
            <sz val="8"/>
            <color indexed="8"/>
            <rFont val="Tahoma"/>
            <family val="2"/>
          </rPr>
          <t xml:space="preserve">
PRT now consolidated.  CTI now deconsolidated.</t>
        </r>
      </text>
    </comment>
    <comment ref="CI28" authorId="2">
      <text>
        <r>
          <rPr>
            <b/>
            <sz val="8"/>
            <color indexed="8"/>
            <rFont val="Tahoma"/>
            <family val="2"/>
          </rPr>
          <t>Daniel Gaviria:</t>
        </r>
        <r>
          <rPr>
            <sz val="8"/>
            <color indexed="8"/>
            <rFont val="Tahoma"/>
            <family val="2"/>
          </rPr>
          <t xml:space="preserve">
From VZ's 10Q
On January 4, 2008, Verizon Wireless paid to the FCC an $885 million refundable deposit in order to obtain the right to participate in the auction of spectrum in the 700 MHz band. On March 20, 2008, the FCC announced that Verizon Wireless was the successful bidder for twenty-five 12 MHz licenses in the A-Block frequency, seventy-seven 12 MHz licenses in the B-Block frequency and seven 22 MHZ licenses (nationwide with the exception of Alaska) in the C-Block frequency, with an aggregate bid price of $9.4 billion. Verizon Wireless paid the balance owed to the FCC with respect to these licenses in April 2008 as required by the FCC rules for the auction and expects to receive these licenses, pending FCC approval, late in the second quarter of 2008.
</t>
        </r>
      </text>
    </comment>
    <comment ref="O32" authorId="3">
      <text>
        <r>
          <rPr>
            <b/>
            <sz val="8"/>
            <color indexed="8"/>
            <rFont val="Tahoma"/>
            <family val="2"/>
          </rPr>
          <t>Raina Smyth:</t>
        </r>
        <r>
          <rPr>
            <sz val="8"/>
            <color indexed="8"/>
            <rFont val="Tahoma"/>
            <family val="2"/>
          </rPr>
          <t xml:space="preserve">
this is the difference between the combined pension and OPEB deficit and the benefit obligation on row 40</t>
        </r>
      </text>
    </comment>
    <comment ref="BJ38" authorId="1">
      <text>
        <r>
          <rPr>
            <b/>
            <sz val="8"/>
            <color indexed="8"/>
            <rFont val="Tahoma"/>
            <family val="2"/>
          </rPr>
          <t>haydenn:</t>
        </r>
        <r>
          <rPr>
            <sz val="8"/>
            <color indexed="8"/>
            <rFont val="Tahoma"/>
            <family val="2"/>
          </rPr>
          <t xml:space="preserve">
assume have termed out $2bn</t>
        </r>
      </text>
    </comment>
    <comment ref="CC38" authorId="4">
      <text>
        <r>
          <rPr>
            <b/>
            <sz val="8"/>
            <color indexed="8"/>
            <rFont val="Tahoma"/>
            <family val="2"/>
          </rPr>
          <t>smythra:</t>
        </r>
        <r>
          <rPr>
            <sz val="8"/>
            <color indexed="8"/>
            <rFont val="Tahoma"/>
            <family val="2"/>
          </rPr>
          <t xml:space="preserve">
debt swap from Idearc</t>
        </r>
      </text>
    </comment>
    <comment ref="BQ39" authorId="0">
      <text>
        <r>
          <rPr>
            <b/>
            <sz val="8"/>
            <color indexed="8"/>
            <rFont val="Tahoma"/>
            <family val="2"/>
          </rPr>
          <t>enright:</t>
        </r>
        <r>
          <rPr>
            <sz val="8"/>
            <color indexed="8"/>
            <rFont val="Tahoma"/>
            <family val="2"/>
          </rPr>
          <t xml:space="preserve">
21.6 k employee contract separations should increase accounts payable by a significant amount</t>
        </r>
      </text>
    </comment>
    <comment ref="BO43" authorId="0">
      <text>
        <r>
          <rPr>
            <b/>
            <sz val="8"/>
            <color indexed="8"/>
            <rFont val="Tahoma"/>
            <family val="2"/>
          </rPr>
          <t>enright:</t>
        </r>
        <r>
          <rPr>
            <sz val="8"/>
            <color indexed="8"/>
            <rFont val="Tahoma"/>
            <family val="2"/>
          </rPr>
          <t xml:space="preserve">
$800 mn due to deconolisdation of Iusacell</t>
        </r>
      </text>
    </comment>
    <comment ref="CI43" authorId="2">
      <text>
        <r>
          <rPr>
            <b/>
            <sz val="8"/>
            <color indexed="8"/>
            <rFont val="Tahoma"/>
            <family val="2"/>
          </rPr>
          <t>Daniel Gaviria:</t>
        </r>
        <r>
          <rPr>
            <sz val="8"/>
            <color indexed="8"/>
            <rFont val="Tahoma"/>
            <family val="2"/>
          </rPr>
          <t xml:space="preserve">
From VZ 10Q
In April 2008, we issued $4,000 million of fixed rate notes, with varying maturities, that resulted in cash proceeds of $3,950 million, net of discounts and issuance costs.</t>
        </r>
      </text>
    </comment>
    <comment ref="A45" authorId="5">
      <text>
        <r>
          <rPr>
            <sz val="8"/>
            <color indexed="8"/>
            <rFont val="Tahoma"/>
            <family val="2"/>
          </rPr>
          <t>Includes the following components:
Employee Benefit Obligation
Minority Interest
Accumulated Other Comprehensive Loss</t>
        </r>
      </text>
    </comment>
    <comment ref="H45" authorId="5">
      <text>
        <r>
          <rPr>
            <b/>
            <sz val="8"/>
            <color indexed="8"/>
            <rFont val="Tahoma"/>
            <family val="2"/>
          </rPr>
          <t>atalwar:</t>
        </r>
        <r>
          <rPr>
            <sz val="8"/>
            <color indexed="8"/>
            <rFont val="Tahoma"/>
            <family val="2"/>
          </rPr>
          <t xml:space="preserve">
Includes the following components:
Employee Benefit Obligation
Minority Interest
Accumulated Other Comprehensive Loss</t>
        </r>
      </text>
    </comment>
    <comment ref="I45" authorId="5">
      <text>
        <r>
          <rPr>
            <b/>
            <sz val="8"/>
            <color indexed="8"/>
            <rFont val="Tahoma"/>
            <family val="2"/>
          </rPr>
          <t>atalwar:</t>
        </r>
        <r>
          <rPr>
            <sz val="8"/>
            <color indexed="8"/>
            <rFont val="Tahoma"/>
            <family val="2"/>
          </rPr>
          <t xml:space="preserve">
Includes the following components:
Employee Benefit Obligation
Minority Interest
Accumulated Other Comprehensive Loss</t>
        </r>
      </text>
    </comment>
    <comment ref="M48" authorId="6">
      <text>
        <r>
          <rPr>
            <b/>
            <sz val="10"/>
            <color indexed="8"/>
            <rFont val="Tahoma"/>
            <family val="2"/>
          </rPr>
          <t>Smythra:</t>
        </r>
        <r>
          <rPr>
            <sz val="10"/>
            <color indexed="8"/>
            <rFont val="Tahoma"/>
            <family val="2"/>
          </rPr>
          <t xml:space="preserve">
VZ commented Jan 05 that deferred taxes would change by about $1.8 bn, which I assume is the cash flow delta, suggesting that the balance sheet DTL won't change much</t>
        </r>
      </text>
    </comment>
    <comment ref="AA48" authorId="7">
      <text>
        <r>
          <rPr>
            <b/>
            <sz val="9"/>
            <color indexed="81"/>
            <rFont val="Tahoma"/>
            <family val="2"/>
          </rPr>
          <t>Sinkevicius, Armintas (Research):</t>
        </r>
        <r>
          <rPr>
            <sz val="9"/>
            <color indexed="81"/>
            <rFont val="Tahoma"/>
            <family val="2"/>
          </rPr>
          <t xml:space="preserve">
2014 extension of bonus depreciation</t>
        </r>
      </text>
    </comment>
    <comment ref="BB56" authorId="1">
      <text>
        <r>
          <rPr>
            <b/>
            <sz val="8"/>
            <color indexed="8"/>
            <rFont val="Tahoma"/>
            <family val="2"/>
          </rPr>
          <t>haydenn:</t>
        </r>
        <r>
          <rPr>
            <sz val="8"/>
            <color indexed="8"/>
            <rFont val="Tahoma"/>
            <family val="2"/>
          </rPr>
          <t xml:space="preserve">
not reported</t>
        </r>
      </text>
    </comment>
    <comment ref="O58" authorId="3">
      <text>
        <r>
          <rPr>
            <b/>
            <sz val="8"/>
            <color indexed="8"/>
            <rFont val="Tahoma"/>
            <family val="2"/>
          </rPr>
          <t>Raina Smyth:</t>
        </r>
        <r>
          <rPr>
            <sz val="8"/>
            <color indexed="8"/>
            <rFont val="Tahoma"/>
            <family val="2"/>
          </rPr>
          <t xml:space="preserve">
Jan 2007 exp $2.0 B repurchase in 2007</t>
        </r>
      </text>
    </comment>
    <comment ref="GC71" authorId="8">
      <text>
        <r>
          <rPr>
            <sz val="8"/>
            <color indexed="8"/>
            <rFont val="Tahoma"/>
            <family val="2"/>
          </rPr>
          <t>Jeannette Baez:
not comparable due to inclusion of assets held for sale.</t>
        </r>
      </text>
    </comment>
    <comment ref="N85" authorId="4">
      <text>
        <r>
          <rPr>
            <b/>
            <sz val="10"/>
            <color indexed="8"/>
            <rFont val="Tahoma"/>
            <family val="2"/>
          </rPr>
          <t>smythra:</t>
        </r>
        <r>
          <rPr>
            <sz val="10"/>
            <color indexed="8"/>
            <rFont val="Tahoma"/>
            <family val="2"/>
          </rPr>
          <t xml:space="preserve">
May 06: redeemed or refinanced MCI debt in 1Q-6 resulting in expected $190M savings in 2006.
Prior: VZ debt has a blended rate of mid-5%, MCI mid-7%. On a weighted avg basis, MCI adds 20-30 bps to blended rate.</t>
        </r>
      </text>
    </comment>
    <comment ref="BW102" authorId="4">
      <text>
        <r>
          <rPr>
            <b/>
            <sz val="10"/>
            <color indexed="8"/>
            <rFont val="Tahoma"/>
            <family val="2"/>
          </rPr>
          <t>smythra:</t>
        </r>
        <r>
          <rPr>
            <sz val="10"/>
            <color indexed="8"/>
            <rFont val="Tahoma"/>
            <family val="2"/>
          </rPr>
          <t xml:space="preserve">
from VZW 2Q05 10Q</t>
        </r>
      </text>
    </comment>
    <comment ref="BX102" authorId="4">
      <text>
        <r>
          <rPr>
            <b/>
            <sz val="10"/>
            <color indexed="8"/>
            <rFont val="Tahoma"/>
            <family val="2"/>
          </rPr>
          <t>smythra:</t>
        </r>
        <r>
          <rPr>
            <sz val="10"/>
            <color indexed="8"/>
            <rFont val="Tahoma"/>
            <family val="2"/>
          </rPr>
          <t xml:space="preserve">
from VZW 2Q05 10Q</t>
        </r>
      </text>
    </comment>
    <comment ref="A159" authorId="5">
      <text>
        <r>
          <rPr>
            <b/>
            <sz val="10"/>
            <color indexed="8"/>
            <rFont val="Tahoma"/>
            <family val="2"/>
          </rPr>
          <t>atalwar:</t>
        </r>
        <r>
          <rPr>
            <sz val="10"/>
            <color indexed="8"/>
            <rFont val="Tahoma"/>
            <family val="2"/>
          </rPr>
          <t xml:space="preserve">
Bell Atlantic Corporation acquired GTE Corporation and the resulting entity was named Verizon</t>
        </r>
      </text>
    </comment>
  </commentList>
</comments>
</file>

<file path=xl/comments6.xml><?xml version="1.0" encoding="utf-8"?>
<comments xmlns="http://schemas.openxmlformats.org/spreadsheetml/2006/main">
  <authors>
    <author>agarwalp</author>
    <author>haydenn</author>
    <author>enright</author>
    <author>smythra</author>
    <author>warjohn</author>
  </authors>
  <commentList>
    <comment ref="K18" authorId="0">
      <text>
        <r>
          <rPr>
            <b/>
            <sz val="8"/>
            <color indexed="8"/>
            <rFont val="Tahoma"/>
            <family val="2"/>
          </rPr>
          <t>agarwalp:</t>
        </r>
        <r>
          <rPr>
            <sz val="8"/>
            <color indexed="8"/>
            <rFont val="Tahoma"/>
            <family val="2"/>
          </rPr>
          <t xml:space="preserve">
To reconcile difference b/w opening restated cash balance of 2003 and closing balance of prev. year</t>
        </r>
      </text>
    </comment>
    <comment ref="BE33" authorId="1">
      <text>
        <r>
          <rPr>
            <b/>
            <sz val="8"/>
            <color indexed="8"/>
            <rFont val="Tahoma"/>
            <family val="2"/>
          </rPr>
          <t>haydenn:</t>
        </r>
        <r>
          <rPr>
            <sz val="8"/>
            <color indexed="8"/>
            <rFont val="Tahoma"/>
            <family val="2"/>
          </rPr>
          <t xml:space="preserve">
1- non-plant, non-current assets
2- other liabilities
3- minority interest</t>
        </r>
      </text>
    </comment>
    <comment ref="BO39" authorId="2">
      <text>
        <r>
          <rPr>
            <b/>
            <sz val="8"/>
            <color indexed="8"/>
            <rFont val="Tahoma"/>
            <family val="2"/>
          </rPr>
          <t>enright:</t>
        </r>
        <r>
          <rPr>
            <sz val="8"/>
            <color indexed="8"/>
            <rFont val="Tahoma"/>
            <family val="2"/>
          </rPr>
          <t xml:space="preserve">
Northcoast Spectrum payment</t>
        </r>
      </text>
    </comment>
    <comment ref="CC39" authorId="3">
      <text>
        <r>
          <rPr>
            <b/>
            <sz val="8"/>
            <color indexed="8"/>
            <rFont val="Tahoma"/>
            <family val="2"/>
          </rPr>
          <t>smythra:</t>
        </r>
        <r>
          <rPr>
            <sz val="8"/>
            <color indexed="8"/>
            <rFont val="Tahoma"/>
            <family val="2"/>
          </rPr>
          <t xml:space="preserve">
$2500 Special dividend from Idearc, $6600 neutralizes cash impact of debt swap, $2800 assumed spectrum purchase</t>
        </r>
      </text>
    </comment>
    <comment ref="BI42" authorId="2">
      <text>
        <r>
          <rPr>
            <b/>
            <sz val="8"/>
            <color indexed="8"/>
            <rFont val="Tahoma"/>
            <family val="2"/>
          </rPr>
          <t>enright:</t>
        </r>
        <r>
          <rPr>
            <sz val="8"/>
            <color indexed="8"/>
            <rFont val="Tahoma"/>
            <family val="2"/>
          </rPr>
          <t xml:space="preserve">
reflects payment to VEBA trust</t>
        </r>
      </text>
    </comment>
    <comment ref="BM42" authorId="2">
      <text>
        <r>
          <rPr>
            <b/>
            <sz val="8"/>
            <color indexed="8"/>
            <rFont val="Tahoma"/>
            <family val="2"/>
          </rPr>
          <t>enright:</t>
        </r>
        <r>
          <rPr>
            <sz val="8"/>
            <color indexed="8"/>
            <rFont val="Tahoma"/>
            <family val="2"/>
          </rPr>
          <t xml:space="preserve">
reflects payments to VEBA trust</t>
        </r>
      </text>
    </comment>
    <comment ref="BQ42" authorId="2">
      <text>
        <r>
          <rPr>
            <b/>
            <sz val="8"/>
            <color indexed="8"/>
            <rFont val="Tahoma"/>
            <family val="2"/>
          </rPr>
          <t>enright:</t>
        </r>
        <r>
          <rPr>
            <sz val="8"/>
            <color indexed="8"/>
            <rFont val="Tahoma"/>
            <family val="2"/>
          </rPr>
          <t xml:space="preserve">
veba trust payment</t>
        </r>
      </text>
    </comment>
    <comment ref="BR42" authorId="2">
      <text>
        <r>
          <rPr>
            <b/>
            <sz val="8"/>
            <color indexed="8"/>
            <rFont val="Tahoma"/>
            <family val="2"/>
          </rPr>
          <t>enright:</t>
        </r>
        <r>
          <rPr>
            <sz val="8"/>
            <color indexed="8"/>
            <rFont val="Tahoma"/>
            <family val="2"/>
          </rPr>
          <t xml:space="preserve">
veba trust payment</t>
        </r>
      </text>
    </comment>
    <comment ref="BE43" authorId="1">
      <text>
        <r>
          <rPr>
            <b/>
            <sz val="8"/>
            <color indexed="8"/>
            <rFont val="Tahoma"/>
            <family val="2"/>
          </rPr>
          <t>haydenn:</t>
        </r>
        <r>
          <rPr>
            <sz val="8"/>
            <color indexed="8"/>
            <rFont val="Tahoma"/>
            <family val="2"/>
          </rPr>
          <t xml:space="preserve">
retired PP&amp;E, D&amp;A</t>
        </r>
      </text>
    </comment>
    <comment ref="BM43" authorId="3">
      <text>
        <r>
          <rPr>
            <b/>
            <sz val="10"/>
            <color indexed="8"/>
            <rFont val="Tahoma"/>
            <family val="2"/>
          </rPr>
          <t>smythra:</t>
        </r>
        <r>
          <rPr>
            <sz val="10"/>
            <color indexed="8"/>
            <rFont val="Tahoma"/>
            <family val="2"/>
          </rPr>
          <t xml:space="preserve">
adj. 47 mn lower when historicals added</t>
        </r>
      </text>
    </comment>
    <comment ref="J60" authorId="3">
      <text>
        <r>
          <rPr>
            <b/>
            <sz val="10"/>
            <color indexed="8"/>
            <rFont val="Tahoma"/>
            <family val="2"/>
          </rPr>
          <t>smythra:</t>
        </r>
        <r>
          <rPr>
            <sz val="10"/>
            <color indexed="8"/>
            <rFont val="Tahoma"/>
            <family val="2"/>
          </rPr>
          <t xml:space="preserve">
adj 47mn higher when historicals added</t>
        </r>
      </text>
    </comment>
    <comment ref="BJ60" authorId="3">
      <text>
        <r>
          <rPr>
            <b/>
            <sz val="10"/>
            <color indexed="8"/>
            <rFont val="Tahoma"/>
            <family val="2"/>
          </rPr>
          <t>smythra:</t>
        </r>
        <r>
          <rPr>
            <sz val="10"/>
            <color indexed="8"/>
            <rFont val="Tahoma"/>
            <family val="2"/>
          </rPr>
          <t xml:space="preserve">
adj 47 mn higher when historicals added</t>
        </r>
      </text>
    </comment>
    <comment ref="I61" authorId="3">
      <text>
        <r>
          <rPr>
            <b/>
            <sz val="10"/>
            <color indexed="8"/>
            <rFont val="Tahoma"/>
            <family val="2"/>
          </rPr>
          <t>smythra:</t>
        </r>
        <r>
          <rPr>
            <sz val="10"/>
            <color indexed="8"/>
            <rFont val="Tahoma"/>
            <family val="2"/>
          </rPr>
          <t xml:space="preserve">
adj 47mn higher when historicals added</t>
        </r>
      </text>
    </comment>
    <comment ref="A126" authorId="4">
      <text>
        <r>
          <rPr>
            <b/>
            <sz val="8"/>
            <color indexed="8"/>
            <rFont val="Tahoma"/>
            <family val="2"/>
          </rPr>
          <t>warjohn:</t>
        </r>
        <r>
          <rPr>
            <sz val="8"/>
            <color indexed="8"/>
            <rFont val="Tahoma"/>
            <family val="2"/>
          </rPr>
          <t xml:space="preserve">
MSe</t>
        </r>
      </text>
    </comment>
  </commentList>
</comments>
</file>

<file path=xl/comments7.xml><?xml version="1.0" encoding="utf-8"?>
<comments xmlns="http://schemas.openxmlformats.org/spreadsheetml/2006/main">
  <authors>
    <author>Daniel Gaviria</author>
    <author>dgaviria</author>
    <author>smythra</author>
    <author>haydenn</author>
    <author>Raina Smyth</author>
    <author>Jessica Yau</author>
    <author>warjohn</author>
    <author>selttel</author>
    <author>enright</author>
    <author>wlsuch</author>
    <author>agarwalp</author>
    <author>Lam, Lisa (Research)</author>
    <author>atalwar</author>
    <author>Smythra</author>
    <author>katzedwa</author>
    <author>Armintas Sinkevicius</author>
    <author>Sinkevicius, Armintas (Research)</author>
    <author>armintas</author>
  </authors>
  <commentList>
    <comment ref="E14" authorId="0">
      <text>
        <r>
          <rPr>
            <sz val="8"/>
            <color indexed="8"/>
            <rFont val="Tahoma"/>
            <family val="2"/>
          </rPr>
          <t>includes 'incollectroaming revenues'</t>
        </r>
      </text>
    </comment>
    <comment ref="F14" authorId="0">
      <text>
        <r>
          <rPr>
            <sz val="8"/>
            <color indexed="8"/>
            <rFont val="Tahoma"/>
            <family val="2"/>
          </rPr>
          <t>includes 'incollectroaming revenues'</t>
        </r>
      </text>
    </comment>
    <comment ref="CK18" authorId="0">
      <text>
        <r>
          <rPr>
            <b/>
            <sz val="8"/>
            <color indexed="8"/>
            <rFont val="Tahoma"/>
            <family val="2"/>
          </rPr>
          <t>Daniel Gaviria:</t>
        </r>
        <r>
          <rPr>
            <sz val="8"/>
            <color indexed="8"/>
            <rFont val="Tahoma"/>
            <family val="2"/>
          </rPr>
          <t xml:space="preserve">
Assuming 7% growth</t>
        </r>
      </text>
    </comment>
    <comment ref="CG25" authorId="1">
      <text>
        <r>
          <rPr>
            <b/>
            <sz val="8"/>
            <color indexed="8"/>
            <rFont val="Tahoma"/>
            <family val="2"/>
          </rPr>
          <t>dgaviria:</t>
        </r>
        <r>
          <rPr>
            <sz val="8"/>
            <color indexed="8"/>
            <rFont val="Tahoma"/>
            <family val="2"/>
          </rPr>
          <t xml:space="preserve">
MS Calculation, assuming an elimination of $300M in roaming revs between the two carriers 
</t>
        </r>
        <r>
          <rPr>
            <b/>
            <sz val="8"/>
            <color indexed="8"/>
            <rFont val="Tahoma"/>
            <family val="2"/>
          </rPr>
          <t>NOTE:</t>
        </r>
        <r>
          <rPr>
            <sz val="8"/>
            <color indexed="8"/>
            <rFont val="Tahoma"/>
            <family val="2"/>
          </rPr>
          <t xml:space="preserve"> Company has nopt provided proforma details for periods prior to 1Q08 </t>
        </r>
      </text>
    </comment>
    <comment ref="Q38" authorId="1">
      <text>
        <r>
          <rPr>
            <b/>
            <sz val="8"/>
            <color indexed="8"/>
            <rFont val="Tahoma"/>
            <family val="2"/>
          </rPr>
          <t>dgaviria:</t>
        </r>
        <r>
          <rPr>
            <sz val="8"/>
            <color indexed="8"/>
            <rFont val="Tahoma"/>
            <family val="2"/>
          </rPr>
          <t xml:space="preserve">
Excludes $195M in Alltel related merger integration costs</t>
        </r>
      </text>
    </comment>
    <comment ref="CR38" authorId="1">
      <text>
        <r>
          <rPr>
            <b/>
            <sz val="8"/>
            <color indexed="8"/>
            <rFont val="Tahoma"/>
            <family val="2"/>
          </rPr>
          <t>dgaviria:</t>
        </r>
        <r>
          <rPr>
            <sz val="8"/>
            <color indexed="8"/>
            <rFont val="Tahoma"/>
            <family val="2"/>
          </rPr>
          <t xml:space="preserve">
excludes $92M in merger integration expenses
</t>
        </r>
      </text>
    </comment>
    <comment ref="Q41" authorId="1">
      <text>
        <r>
          <rPr>
            <b/>
            <sz val="8"/>
            <color indexed="8"/>
            <rFont val="Tahoma"/>
            <family val="2"/>
          </rPr>
          <t>dgaviria:</t>
        </r>
        <r>
          <rPr>
            <sz val="8"/>
            <color indexed="8"/>
            <rFont val="Tahoma"/>
            <family val="2"/>
          </rPr>
          <t xml:space="preserve">
Excludes $442M in Alltel merger integration expenses</t>
        </r>
      </text>
    </comment>
    <comment ref="CR41" authorId="1">
      <text>
        <r>
          <rPr>
            <b/>
            <sz val="8"/>
            <color indexed="8"/>
            <rFont val="Tahoma"/>
            <family val="2"/>
          </rPr>
          <t>dgaviria:</t>
        </r>
        <r>
          <rPr>
            <sz val="8"/>
            <color indexed="8"/>
            <rFont val="Tahoma"/>
            <family val="2"/>
          </rPr>
          <t xml:space="preserve">
excludes $42M in merger integration expenses
</t>
        </r>
      </text>
    </comment>
    <comment ref="Q52" authorId="1">
      <text>
        <r>
          <rPr>
            <b/>
            <sz val="8"/>
            <color indexed="8"/>
            <rFont val="Tahoma"/>
            <family val="2"/>
          </rPr>
          <t>dgaviria:</t>
        </r>
        <r>
          <rPr>
            <sz val="8"/>
            <color indexed="8"/>
            <rFont val="Tahoma"/>
            <family val="2"/>
          </rPr>
          <t xml:space="preserve">
Excludes $317M in Alltel merger related items</t>
        </r>
      </text>
    </comment>
    <comment ref="CR52" authorId="1">
      <text>
        <r>
          <rPr>
            <b/>
            <sz val="8"/>
            <color indexed="8"/>
            <rFont val="Tahoma"/>
            <family val="2"/>
          </rPr>
          <t>dgaviria:</t>
        </r>
        <r>
          <rPr>
            <sz val="8"/>
            <color indexed="8"/>
            <rFont val="Tahoma"/>
            <family val="2"/>
          </rPr>
          <t xml:space="preserve">
excludes $25M in merger integration expenses
</t>
        </r>
      </text>
    </comment>
    <comment ref="J58" authorId="2">
      <text>
        <r>
          <rPr>
            <b/>
            <sz val="10"/>
            <color indexed="8"/>
            <rFont val="Tahoma"/>
            <family val="2"/>
          </rPr>
          <t>smythra:</t>
        </r>
        <r>
          <rPr>
            <sz val="10"/>
            <color indexed="8"/>
            <rFont val="Tahoma"/>
            <family val="2"/>
          </rPr>
          <t xml:space="preserve">
reported 2004 10K</t>
        </r>
      </text>
    </comment>
    <comment ref="K58" authorId="2">
      <text>
        <r>
          <rPr>
            <b/>
            <sz val="10"/>
            <color indexed="8"/>
            <rFont val="Tahoma"/>
            <family val="2"/>
          </rPr>
          <t>smythra:</t>
        </r>
        <r>
          <rPr>
            <sz val="10"/>
            <color indexed="8"/>
            <rFont val="Tahoma"/>
            <family val="2"/>
          </rPr>
          <t xml:space="preserve">
reported 2004 10K</t>
        </r>
      </text>
    </comment>
    <comment ref="L58" authorId="2">
      <text>
        <r>
          <rPr>
            <b/>
            <sz val="10"/>
            <color indexed="8"/>
            <rFont val="Tahoma"/>
            <family val="2"/>
          </rPr>
          <t>smythra:</t>
        </r>
        <r>
          <rPr>
            <sz val="10"/>
            <color indexed="8"/>
            <rFont val="Tahoma"/>
            <family val="2"/>
          </rPr>
          <t xml:space="preserve">
reported 2004 10K</t>
        </r>
      </text>
    </comment>
    <comment ref="M58" authorId="2">
      <text>
        <r>
          <rPr>
            <b/>
            <sz val="10"/>
            <color indexed="8"/>
            <rFont val="Tahoma"/>
            <family val="2"/>
          </rPr>
          <t>smythra:</t>
        </r>
        <r>
          <rPr>
            <sz val="10"/>
            <color indexed="8"/>
            <rFont val="Tahoma"/>
            <family val="2"/>
          </rPr>
          <t xml:space="preserve">
Reported 2005 10K</t>
        </r>
      </text>
    </comment>
    <comment ref="N58" authorId="2">
      <text>
        <r>
          <rPr>
            <b/>
            <sz val="8"/>
            <color indexed="8"/>
            <rFont val="Tahoma"/>
            <family val="2"/>
          </rPr>
          <t>smythra:</t>
        </r>
        <r>
          <rPr>
            <sz val="8"/>
            <color indexed="8"/>
            <rFont val="Tahoma"/>
            <family val="2"/>
          </rPr>
          <t xml:space="preserve">
VZ provides estimates for 2006-2010 amort. related to customer lists. In addition, we assume $70 M per year in amort. of deferred charges etc.</t>
        </r>
      </text>
    </comment>
    <comment ref="BB58" authorId="3">
      <text>
        <r>
          <rPr>
            <b/>
            <sz val="8"/>
            <color indexed="8"/>
            <rFont val="Tahoma"/>
            <family val="2"/>
          </rPr>
          <t>haydenn:</t>
        </r>
        <r>
          <rPr>
            <sz val="8"/>
            <color indexed="8"/>
            <rFont val="Tahoma"/>
            <family val="2"/>
          </rPr>
          <t xml:space="preserve">
we have assumed a portion of total amortization relates to wireless</t>
        </r>
      </text>
    </comment>
    <comment ref="BC58" authorId="3">
      <text>
        <r>
          <rPr>
            <b/>
            <sz val="8"/>
            <color indexed="8"/>
            <rFont val="Tahoma"/>
            <family val="2"/>
          </rPr>
          <t>haydenn:</t>
        </r>
        <r>
          <rPr>
            <sz val="8"/>
            <color indexed="8"/>
            <rFont val="Tahoma"/>
            <family val="2"/>
          </rPr>
          <t xml:space="preserve">
we have assumed a portion of total amortization relates to wireless</t>
        </r>
      </text>
    </comment>
    <comment ref="BD58" authorId="3">
      <text>
        <r>
          <rPr>
            <b/>
            <sz val="8"/>
            <color indexed="8"/>
            <rFont val="Tahoma"/>
            <family val="2"/>
          </rPr>
          <t>haydenn:</t>
        </r>
        <r>
          <rPr>
            <sz val="8"/>
            <color indexed="8"/>
            <rFont val="Tahoma"/>
            <family val="2"/>
          </rPr>
          <t xml:space="preserve">
we have assumed a portion of total amortization relates to wireless</t>
        </r>
      </text>
    </comment>
    <comment ref="BE58" authorId="3">
      <text>
        <r>
          <rPr>
            <b/>
            <sz val="8"/>
            <color indexed="8"/>
            <rFont val="Tahoma"/>
            <family val="2"/>
          </rPr>
          <t>haydenn:</t>
        </r>
        <r>
          <rPr>
            <sz val="8"/>
            <color indexed="8"/>
            <rFont val="Tahoma"/>
            <family val="2"/>
          </rPr>
          <t xml:space="preserve">
we have assumed a portion of total amortization relates to wireless</t>
        </r>
      </text>
    </comment>
    <comment ref="BF58" authorId="3">
      <text>
        <r>
          <rPr>
            <b/>
            <sz val="8"/>
            <color indexed="8"/>
            <rFont val="Tahoma"/>
            <family val="2"/>
          </rPr>
          <t>haydenn:</t>
        </r>
        <r>
          <rPr>
            <sz val="8"/>
            <color indexed="8"/>
            <rFont val="Tahoma"/>
            <family val="2"/>
          </rPr>
          <t xml:space="preserve">
we have assumed a portion of total amortization relates to wireless</t>
        </r>
      </text>
    </comment>
    <comment ref="BG58" authorId="3">
      <text>
        <r>
          <rPr>
            <b/>
            <sz val="8"/>
            <color indexed="8"/>
            <rFont val="Tahoma"/>
            <family val="2"/>
          </rPr>
          <t>haydenn:</t>
        </r>
        <r>
          <rPr>
            <sz val="8"/>
            <color indexed="8"/>
            <rFont val="Tahoma"/>
            <family val="2"/>
          </rPr>
          <t xml:space="preserve">
we have assumed a portion of total amortization relates to wireless</t>
        </r>
      </text>
    </comment>
    <comment ref="BH58" authorId="3">
      <text>
        <r>
          <rPr>
            <b/>
            <sz val="8"/>
            <color indexed="8"/>
            <rFont val="Tahoma"/>
            <family val="2"/>
          </rPr>
          <t>haydenn:</t>
        </r>
        <r>
          <rPr>
            <sz val="8"/>
            <color indexed="8"/>
            <rFont val="Tahoma"/>
            <family val="2"/>
          </rPr>
          <t xml:space="preserve">
we have assumed a portion of total amortization relates to wireless</t>
        </r>
      </text>
    </comment>
    <comment ref="BI58" authorId="3">
      <text>
        <r>
          <rPr>
            <b/>
            <sz val="8"/>
            <color indexed="8"/>
            <rFont val="Tahoma"/>
            <family val="2"/>
          </rPr>
          <t>haydenn:</t>
        </r>
        <r>
          <rPr>
            <sz val="8"/>
            <color indexed="8"/>
            <rFont val="Tahoma"/>
            <family val="2"/>
          </rPr>
          <t xml:space="preserve">
we have assumed a portion of total amortization relates to wireless</t>
        </r>
      </text>
    </comment>
    <comment ref="CL65" authorId="1">
      <text>
        <r>
          <rPr>
            <b/>
            <sz val="8"/>
            <color indexed="8"/>
            <rFont val="Tahoma"/>
            <family val="2"/>
          </rPr>
          <t>dgaviria:</t>
        </r>
        <r>
          <rPr>
            <sz val="8"/>
            <color indexed="8"/>
            <rFont val="Tahoma"/>
            <family val="2"/>
          </rPr>
          <t xml:space="preserve">
There's a $245 M diff in VZW operating income  reported in 1Q09 and the July S4
REASON: MERGER INTEGRATION COSTS
</t>
        </r>
      </text>
    </comment>
    <comment ref="J71" authorId="3">
      <text>
        <r>
          <rPr>
            <b/>
            <sz val="8"/>
            <color indexed="8"/>
            <rFont val="Tahoma"/>
            <family val="2"/>
          </rPr>
          <t>haydenn:</t>
        </r>
        <r>
          <rPr>
            <sz val="8"/>
            <color indexed="8"/>
            <rFont val="Tahoma"/>
            <family val="2"/>
          </rPr>
          <t xml:space="preserve">
took 1800 out of headcount in 1q02</t>
        </r>
      </text>
    </comment>
    <comment ref="O72" authorId="4">
      <text>
        <r>
          <rPr>
            <b/>
            <sz val="8"/>
            <color indexed="8"/>
            <rFont val="Tahoma"/>
            <family val="2"/>
          </rPr>
          <t xml:space="preserve">Daniel Gaviria:
</t>
        </r>
        <r>
          <rPr>
            <sz val="8"/>
            <color indexed="8"/>
            <rFont val="Tahoma"/>
            <family val="2"/>
          </rPr>
          <t>July 30</t>
        </r>
        <r>
          <rPr>
            <sz val="8"/>
            <color indexed="8"/>
            <rFont val="Tahoma"/>
            <family val="2"/>
          </rPr>
          <t xml:space="preserve"> 07 reiterated guidance of 43-45% wireless EBITDA margins</t>
        </r>
      </text>
    </comment>
    <comment ref="BZ72" authorId="5">
      <text>
        <r>
          <rPr>
            <b/>
            <sz val="8"/>
            <color indexed="8"/>
            <rFont val="Tahoma"/>
            <family val="2"/>
          </rPr>
          <t>Jessica Yau:</t>
        </r>
        <r>
          <rPr>
            <sz val="8"/>
            <color indexed="8"/>
            <rFont val="Tahoma"/>
            <family val="2"/>
          </rPr>
          <t xml:space="preserve">
From Q4 call:  target mid to low 40s - depending on amount of sub growth</t>
        </r>
      </text>
    </comment>
    <comment ref="Q83" authorId="1">
      <text>
        <r>
          <rPr>
            <b/>
            <sz val="8"/>
            <color indexed="8"/>
            <rFont val="Tahoma"/>
            <family val="2"/>
          </rPr>
          <t>dgaviria:</t>
        </r>
        <r>
          <rPr>
            <sz val="8"/>
            <color indexed="8"/>
            <rFont val="Tahoma"/>
            <family val="2"/>
          </rPr>
          <t xml:space="preserve">
Difference of $255M w/ VZW 10K due to Alltel merger-related interest expense</t>
        </r>
      </text>
    </comment>
    <comment ref="R83" authorId="6">
      <text>
        <r>
          <rPr>
            <b/>
            <sz val="8"/>
            <color indexed="8"/>
            <rFont val="Tahoma"/>
            <family val="2"/>
          </rPr>
          <t>warjohn:</t>
        </r>
        <r>
          <rPr>
            <sz val="8"/>
            <color indexed="8"/>
            <rFont val="Tahoma"/>
            <family val="2"/>
          </rPr>
          <t xml:space="preserve">
From 2012 CellCo Financials</t>
        </r>
      </text>
    </comment>
    <comment ref="S83" authorId="6">
      <text>
        <r>
          <rPr>
            <b/>
            <sz val="8"/>
            <color indexed="8"/>
            <rFont val="Tahoma"/>
            <family val="2"/>
          </rPr>
          <t>warjohn:</t>
        </r>
        <r>
          <rPr>
            <sz val="8"/>
            <color indexed="8"/>
            <rFont val="Tahoma"/>
            <family val="2"/>
          </rPr>
          <t xml:space="preserve">
From 2012 CellCo Financials</t>
        </r>
      </text>
    </comment>
    <comment ref="T83" authorId="6">
      <text>
        <r>
          <rPr>
            <b/>
            <sz val="8"/>
            <color indexed="8"/>
            <rFont val="Tahoma"/>
            <family val="2"/>
          </rPr>
          <t>warjohn:</t>
        </r>
        <r>
          <rPr>
            <sz val="8"/>
            <color indexed="8"/>
            <rFont val="Tahoma"/>
            <family val="2"/>
          </rPr>
          <t xml:space="preserve">
From 2012 CellCo Financials</t>
        </r>
      </text>
    </comment>
    <comment ref="CL83" authorId="1">
      <text>
        <r>
          <rPr>
            <b/>
            <sz val="8"/>
            <color indexed="8"/>
            <rFont val="Tahoma"/>
            <family val="2"/>
          </rPr>
          <t>dgaviria:</t>
        </r>
        <r>
          <rPr>
            <sz val="8"/>
            <color indexed="8"/>
            <rFont val="Tahoma"/>
            <family val="2"/>
          </rPr>
          <t xml:space="preserve">
EXCLUDING $208M in ALLTEL ACQ RELATED CHARGES [1Q Briefing]
</t>
        </r>
      </text>
    </comment>
    <comment ref="R84" authorId="6">
      <text>
        <r>
          <rPr>
            <b/>
            <sz val="8"/>
            <color indexed="8"/>
            <rFont val="Tahoma"/>
            <family val="2"/>
          </rPr>
          <t>warjohn:</t>
        </r>
        <r>
          <rPr>
            <sz val="8"/>
            <color indexed="8"/>
            <rFont val="Tahoma"/>
            <family val="2"/>
          </rPr>
          <t xml:space="preserve">
From 2012 CellCo Financials</t>
        </r>
      </text>
    </comment>
    <comment ref="S84" authorId="6">
      <text>
        <r>
          <rPr>
            <b/>
            <sz val="8"/>
            <color indexed="8"/>
            <rFont val="Tahoma"/>
            <family val="2"/>
          </rPr>
          <t>warjohn:</t>
        </r>
        <r>
          <rPr>
            <sz val="8"/>
            <color indexed="8"/>
            <rFont val="Tahoma"/>
            <family val="2"/>
          </rPr>
          <t xml:space="preserve">
From 2012 CellCo Financials</t>
        </r>
      </text>
    </comment>
    <comment ref="T84" authorId="6">
      <text>
        <r>
          <rPr>
            <b/>
            <sz val="8"/>
            <color indexed="8"/>
            <rFont val="Tahoma"/>
            <family val="2"/>
          </rPr>
          <t>warjohn:</t>
        </r>
        <r>
          <rPr>
            <sz val="8"/>
            <color indexed="8"/>
            <rFont val="Tahoma"/>
            <family val="2"/>
          </rPr>
          <t xml:space="preserve">
From 2012 CellCo Financials</t>
        </r>
      </text>
    </comment>
    <comment ref="CC84" authorId="4">
      <text>
        <r>
          <rPr>
            <b/>
            <sz val="8"/>
            <color indexed="8"/>
            <rFont val="Tahoma"/>
            <family val="2"/>
          </rPr>
          <t>Raina Smyth:</t>
        </r>
        <r>
          <rPr>
            <sz val="8"/>
            <color indexed="8"/>
            <rFont val="Tahoma"/>
            <family val="2"/>
          </rPr>
          <t xml:space="preserve">
only given on consolidated level in 2006 10K</t>
        </r>
      </text>
    </comment>
    <comment ref="R85" authorId="6">
      <text>
        <r>
          <rPr>
            <b/>
            <sz val="8"/>
            <color indexed="8"/>
            <rFont val="Tahoma"/>
            <family val="2"/>
          </rPr>
          <t>warjohn:</t>
        </r>
        <r>
          <rPr>
            <sz val="8"/>
            <color indexed="8"/>
            <rFont val="Tahoma"/>
            <family val="2"/>
          </rPr>
          <t xml:space="preserve">
From 2012 CellCo Financials</t>
        </r>
      </text>
    </comment>
    <comment ref="S85" authorId="6">
      <text>
        <r>
          <rPr>
            <b/>
            <sz val="8"/>
            <color indexed="8"/>
            <rFont val="Tahoma"/>
            <family val="2"/>
          </rPr>
          <t>warjohn:</t>
        </r>
        <r>
          <rPr>
            <sz val="8"/>
            <color indexed="8"/>
            <rFont val="Tahoma"/>
            <family val="2"/>
          </rPr>
          <t xml:space="preserve">
From 2012 CellCo Financials</t>
        </r>
      </text>
    </comment>
    <comment ref="T85" authorId="6">
      <text>
        <r>
          <rPr>
            <b/>
            <sz val="8"/>
            <color indexed="8"/>
            <rFont val="Tahoma"/>
            <family val="2"/>
          </rPr>
          <t>warjohn:</t>
        </r>
        <r>
          <rPr>
            <sz val="8"/>
            <color indexed="8"/>
            <rFont val="Tahoma"/>
            <family val="2"/>
          </rPr>
          <t xml:space="preserve">
From 2012 CellCo Financials</t>
        </r>
      </text>
    </comment>
    <comment ref="Q89" authorId="1">
      <text>
        <r>
          <rPr>
            <b/>
            <sz val="8"/>
            <color indexed="8"/>
            <rFont val="Tahoma"/>
            <family val="2"/>
          </rPr>
          <t>dgaviria:</t>
        </r>
        <r>
          <rPr>
            <sz val="8"/>
            <color indexed="8"/>
            <rFont val="Tahoma"/>
            <family val="2"/>
          </rPr>
          <t xml:space="preserve">
Adds $432M after normalizing for Alltel merger-related items</t>
        </r>
      </text>
    </comment>
    <comment ref="CL89" authorId="1">
      <text>
        <r>
          <rPr>
            <b/>
            <sz val="8"/>
            <color indexed="8"/>
            <rFont val="Tahoma"/>
            <family val="2"/>
          </rPr>
          <t>dgaviria:</t>
        </r>
        <r>
          <rPr>
            <sz val="8"/>
            <color indexed="8"/>
            <rFont val="Tahoma"/>
            <family val="2"/>
          </rPr>
          <t xml:space="preserve">
ADDS BACK $64M and $113M in ALLTEL MERGER INT COSTS AND ACQUISITION RELATED CHARGES</t>
        </r>
      </text>
    </comment>
    <comment ref="CM89" authorId="1">
      <text>
        <r>
          <rPr>
            <b/>
            <sz val="8"/>
            <color indexed="8"/>
            <rFont val="Tahoma"/>
            <family val="2"/>
          </rPr>
          <t>dgaviria:</t>
        </r>
        <r>
          <rPr>
            <sz val="8"/>
            <color indexed="8"/>
            <rFont val="Tahoma"/>
            <family val="2"/>
          </rPr>
          <t xml:space="preserve">
$442M for first 6 months…
adds back from:
2Q)  $91M+$41M in Alltel related items
and from 
1Q)  $64M+113M</t>
        </r>
      </text>
    </comment>
    <comment ref="CO89" authorId="1">
      <text>
        <r>
          <rPr>
            <b/>
            <sz val="8"/>
            <color indexed="8"/>
            <rFont val="Tahoma"/>
            <family val="2"/>
          </rPr>
          <t>dgaviria:</t>
        </r>
        <r>
          <rPr>
            <sz val="8"/>
            <color indexed="8"/>
            <rFont val="Tahoma"/>
            <family val="2"/>
          </rPr>
          <t xml:space="preserve">
$797M reported by VZW for full year we add back from:
4Q $123M in Alltel related items
3Q $0
2Q  $91M+$41M in Alltel related items
and from 
1Q  $64M+113M</t>
        </r>
      </text>
    </comment>
    <comment ref="CC90" authorId="4">
      <text>
        <r>
          <rPr>
            <b/>
            <sz val="8"/>
            <color indexed="8"/>
            <rFont val="Tahoma"/>
            <family val="2"/>
          </rPr>
          <t>Raina Smyth:</t>
        </r>
        <r>
          <rPr>
            <sz val="8"/>
            <color indexed="8"/>
            <rFont val="Tahoma"/>
            <family val="2"/>
          </rPr>
          <t xml:space="preserve">
according to 10K reported numbers it appears VZW has 42% effective tax rate on the consolidated level</t>
        </r>
      </text>
    </comment>
    <comment ref="BX92" authorId="2">
      <text>
        <r>
          <rPr>
            <b/>
            <sz val="10"/>
            <color indexed="8"/>
            <rFont val="Tahoma"/>
            <family val="2"/>
          </rPr>
          <t>smythra:</t>
        </r>
        <r>
          <rPr>
            <sz val="10"/>
            <color indexed="8"/>
            <rFont val="Tahoma"/>
            <family val="2"/>
          </rPr>
          <t xml:space="preserve">
from the Cellco 10Q</t>
        </r>
      </text>
    </comment>
    <comment ref="CF99" authorId="0">
      <text>
        <r>
          <rPr>
            <b/>
            <sz val="8"/>
            <color indexed="8"/>
            <rFont val="Tahoma"/>
            <family val="2"/>
          </rPr>
          <t>Daniel Gaviria:</t>
        </r>
        <r>
          <rPr>
            <sz val="8"/>
            <color indexed="8"/>
            <rFont val="Tahoma"/>
            <family val="2"/>
          </rPr>
          <t xml:space="preserve">
Approx 50% 3G</t>
        </r>
      </text>
    </comment>
    <comment ref="CJ123" authorId="0">
      <text>
        <r>
          <rPr>
            <b/>
            <sz val="8"/>
            <color indexed="8"/>
            <rFont val="Tahoma"/>
            <family val="2"/>
          </rPr>
          <t>Daniel Gaviria:</t>
        </r>
        <r>
          <rPr>
            <sz val="8"/>
            <color indexed="8"/>
            <rFont val="Tahoma"/>
            <family val="2"/>
          </rPr>
          <t xml:space="preserve">
Investor Qtrly Release:
Total growth was 2.1 million retail net additions. This included 630,000 retail
customers from the Rural Cellular Corp. acquisition, and Verizon expects to have a net loss of approximately 120,000 of these customers under an exchange agreement with another carrier.</t>
        </r>
      </text>
    </comment>
    <comment ref="CK123" authorId="7">
      <text>
        <r>
          <rPr>
            <b/>
            <sz val="8"/>
            <color indexed="8"/>
            <rFont val="Tahoma"/>
            <family val="2"/>
          </rPr>
          <t>Divestitures related to Rural acq</t>
        </r>
        <r>
          <rPr>
            <sz val="8"/>
            <color indexed="8"/>
            <rFont val="Tahoma"/>
            <family val="2"/>
          </rPr>
          <t xml:space="preserve">
</t>
        </r>
      </text>
    </comment>
    <comment ref="CM135" authorId="1">
      <text>
        <r>
          <rPr>
            <b/>
            <sz val="8"/>
            <color indexed="8"/>
            <rFont val="Tahoma"/>
            <family val="2"/>
          </rPr>
          <t>dgaviria:</t>
        </r>
        <r>
          <rPr>
            <sz val="8"/>
            <color indexed="8"/>
            <rFont val="Tahoma"/>
            <family val="2"/>
          </rPr>
          <t xml:space="preserve">
4.7M gross adds according to bulletin</t>
        </r>
      </text>
    </comment>
    <comment ref="CN135" authorId="1">
      <text>
        <r>
          <rPr>
            <b/>
            <sz val="8"/>
            <color indexed="8"/>
            <rFont val="Tahoma"/>
            <family val="2"/>
          </rPr>
          <t>dgaviria:</t>
        </r>
        <r>
          <rPr>
            <sz val="8"/>
            <color indexed="8"/>
            <rFont val="Tahoma"/>
            <family val="2"/>
          </rPr>
          <t xml:space="preserve">
Wireless retail (non-wholesale) gross customer additions were up 15.0 percent
over the prior year. On a pro forma basis, retail gross customer additions decreased
by 8.3 percent.</t>
        </r>
      </text>
    </comment>
    <comment ref="CL136" authorId="1">
      <text>
        <r>
          <rPr>
            <b/>
            <sz val="8"/>
            <color indexed="8"/>
            <rFont val="Tahoma"/>
            <family val="2"/>
          </rPr>
          <t>dgaviria:
1Q09 Bulletin said proforma gross adds up 4.3% Y/Y</t>
        </r>
      </text>
    </comment>
    <comment ref="BZ143" authorId="4">
      <text>
        <r>
          <rPr>
            <b/>
            <sz val="8"/>
            <color indexed="8"/>
            <rFont val="Tahoma"/>
            <family val="2"/>
          </rPr>
          <t>Raina Smyth:</t>
        </r>
        <r>
          <rPr>
            <sz val="8"/>
            <color indexed="8"/>
            <rFont val="Tahoma"/>
            <family val="2"/>
          </rPr>
          <t xml:space="preserve">
from the company Apr 2007</t>
        </r>
      </text>
    </comment>
    <comment ref="CD143" authorId="4">
      <text>
        <r>
          <rPr>
            <b/>
            <sz val="8"/>
            <color indexed="8"/>
            <rFont val="Tahoma"/>
            <family val="2"/>
          </rPr>
          <t>Raina Smyth:</t>
        </r>
        <r>
          <rPr>
            <sz val="8"/>
            <color indexed="8"/>
            <rFont val="Tahoma"/>
            <family val="2"/>
          </rPr>
          <t xml:space="preserve">
from the company Apr 2007</t>
        </r>
      </text>
    </comment>
    <comment ref="BP144" authorId="8">
      <text>
        <r>
          <rPr>
            <b/>
            <sz val="8"/>
            <color indexed="8"/>
            <rFont val="Tahoma"/>
            <family val="2"/>
          </rPr>
          <t>enright:</t>
        </r>
        <r>
          <rPr>
            <sz val="8"/>
            <color indexed="8"/>
            <rFont val="Tahoma"/>
            <family val="2"/>
          </rPr>
          <t xml:space="preserve">
reported retail gross adds up 8.8%</t>
        </r>
      </text>
    </comment>
    <comment ref="BZ163" authorId="9">
      <text>
        <r>
          <rPr>
            <b/>
            <sz val="8"/>
            <color indexed="8"/>
            <rFont val="Tahoma"/>
            <family val="2"/>
          </rPr>
          <t>wlsuch:</t>
        </r>
        <r>
          <rPr>
            <sz val="8"/>
            <color indexed="8"/>
            <rFont val="Tahoma"/>
            <family val="2"/>
          </rPr>
          <t xml:space="preserve">
Calculated as Gross Adds - Net Adds</t>
        </r>
      </text>
    </comment>
    <comment ref="CD163" authorId="9">
      <text>
        <r>
          <rPr>
            <b/>
            <sz val="8"/>
            <color indexed="8"/>
            <rFont val="Tahoma"/>
            <family val="2"/>
          </rPr>
          <t>wlsuch:</t>
        </r>
        <r>
          <rPr>
            <sz val="8"/>
            <color indexed="8"/>
            <rFont val="Tahoma"/>
            <family val="2"/>
          </rPr>
          <t xml:space="preserve">
Calculated as Gross Adds - Net Adds</t>
        </r>
      </text>
    </comment>
    <comment ref="BU166" authorId="2">
      <text>
        <r>
          <rPr>
            <b/>
            <sz val="8"/>
            <color indexed="8"/>
            <rFont val="Tahoma"/>
            <family val="2"/>
          </rPr>
          <t>smythra:</t>
        </r>
        <r>
          <rPr>
            <sz val="8"/>
            <color indexed="8"/>
            <rFont val="Tahoma"/>
            <family val="2"/>
          </rPr>
          <t xml:space="preserve">
Oct 04 said churn could tick up</t>
        </r>
      </text>
    </comment>
    <comment ref="CK176" authorId="1">
      <text>
        <r>
          <rPr>
            <b/>
            <sz val="8"/>
            <color indexed="8"/>
            <rFont val="Tahoma"/>
            <family val="2"/>
          </rPr>
          <t>dgaviria:</t>
        </r>
        <r>
          <rPr>
            <sz val="8"/>
            <color indexed="8"/>
            <rFont val="Tahoma"/>
            <family val="2"/>
          </rPr>
          <t xml:space="preserve">
Manually adjusted to reflect divestitures</t>
        </r>
      </text>
    </comment>
    <comment ref="K182" authorId="8">
      <text>
        <r>
          <rPr>
            <b/>
            <sz val="8"/>
            <color indexed="8"/>
            <rFont val="Tahoma"/>
            <family val="2"/>
          </rPr>
          <t>enright:</t>
        </r>
        <r>
          <rPr>
            <sz val="8"/>
            <color indexed="8"/>
            <rFont val="Tahoma"/>
            <family val="2"/>
          </rPr>
          <t xml:space="preserve">
new gudance 9/23/03 - greater than 4.5 mn net adds
</t>
        </r>
      </text>
    </comment>
    <comment ref="BL182" authorId="8">
      <text>
        <r>
          <rPr>
            <b/>
            <sz val="8"/>
            <color indexed="8"/>
            <rFont val="Tahoma"/>
            <family val="2"/>
          </rPr>
          <t>enright:</t>
        </r>
        <r>
          <rPr>
            <sz val="8"/>
            <color indexed="8"/>
            <rFont val="Tahoma"/>
            <family val="2"/>
          </rPr>
          <t xml:space="preserve">
includes the 411k from Price</t>
        </r>
      </text>
    </comment>
    <comment ref="BM182" authorId="8">
      <text>
        <r>
          <rPr>
            <b/>
            <sz val="8"/>
            <color indexed="8"/>
            <rFont val="Tahoma"/>
            <family val="2"/>
          </rPr>
          <t>enright:</t>
        </r>
        <r>
          <rPr>
            <sz val="8"/>
            <color indexed="8"/>
            <rFont val="Tahoma"/>
            <family val="2"/>
          </rPr>
          <t xml:space="preserve">
based upon VOD results, VZW net adds look like 970K</t>
        </r>
      </text>
    </comment>
    <comment ref="BJ185" authorId="3">
      <text>
        <r>
          <rPr>
            <b/>
            <sz val="8"/>
            <color indexed="8"/>
            <rFont val="Tahoma"/>
            <family val="2"/>
          </rPr>
          <t>haydenn:</t>
        </r>
        <r>
          <rPr>
            <sz val="8"/>
            <color indexed="8"/>
            <rFont val="Tahoma"/>
            <family val="2"/>
          </rPr>
          <t xml:space="preserve">
from Dobson</t>
        </r>
      </text>
    </comment>
    <comment ref="BL185" authorId="8">
      <text>
        <r>
          <rPr>
            <b/>
            <sz val="8"/>
            <color indexed="8"/>
            <rFont val="Tahoma"/>
            <family val="2"/>
          </rPr>
          <t>enright:</t>
        </r>
        <r>
          <rPr>
            <sz val="8"/>
            <color indexed="8"/>
            <rFont val="Tahoma"/>
            <family val="2"/>
          </rPr>
          <t xml:space="preserve">
Price acquisition</t>
        </r>
      </text>
    </comment>
    <comment ref="BM185" authorId="8">
      <text>
        <r>
          <rPr>
            <b/>
            <sz val="8"/>
            <color indexed="8"/>
            <rFont val="Tahoma"/>
            <family val="2"/>
          </rPr>
          <t>enright:</t>
        </r>
        <r>
          <rPr>
            <sz val="8"/>
            <color indexed="8"/>
            <rFont val="Tahoma"/>
            <family val="2"/>
          </rPr>
          <t xml:space="preserve">
reported acquired 6</t>
        </r>
      </text>
    </comment>
    <comment ref="BY185" authorId="10">
      <text>
        <r>
          <rPr>
            <b/>
            <sz val="8"/>
            <color indexed="8"/>
            <rFont val="Tahoma"/>
            <family val="2"/>
          </rPr>
          <t>agarwalp:</t>
        </r>
        <r>
          <rPr>
            <sz val="8"/>
            <color indexed="8"/>
            <rFont val="Tahoma"/>
            <family val="2"/>
          </rPr>
          <t xml:space="preserve">
assumption</t>
        </r>
      </text>
    </comment>
    <comment ref="BZ185" authorId="2">
      <text>
        <r>
          <rPr>
            <b/>
            <sz val="8"/>
            <color indexed="8"/>
            <rFont val="Tahoma"/>
            <family val="2"/>
          </rPr>
          <t>smythra:</t>
        </r>
        <r>
          <rPr>
            <sz val="8"/>
            <color indexed="8"/>
            <rFont val="Tahoma"/>
            <family val="2"/>
          </rPr>
          <t xml:space="preserve">
reported in footnote of investor quarterly</t>
        </r>
      </text>
    </comment>
    <comment ref="CA185" authorId="2">
      <text>
        <r>
          <rPr>
            <b/>
            <sz val="8"/>
            <color indexed="8"/>
            <rFont val="Tahoma"/>
            <family val="2"/>
          </rPr>
          <t>smythra:</t>
        </r>
        <r>
          <rPr>
            <sz val="8"/>
            <color indexed="8"/>
            <rFont val="Tahoma"/>
            <family val="2"/>
          </rPr>
          <t xml:space="preserve">
reported in footnote of investor quarterly</t>
        </r>
      </text>
    </comment>
    <comment ref="CB185" authorId="2">
      <text>
        <r>
          <rPr>
            <b/>
            <sz val="8"/>
            <color indexed="8"/>
            <rFont val="Tahoma"/>
            <family val="2"/>
          </rPr>
          <t>smythra:</t>
        </r>
        <r>
          <rPr>
            <sz val="8"/>
            <color indexed="8"/>
            <rFont val="Tahoma"/>
            <family val="2"/>
          </rPr>
          <t xml:space="preserve">
reported in footnote of investor quarterly</t>
        </r>
      </text>
    </comment>
    <comment ref="CD185" authorId="4">
      <text>
        <r>
          <rPr>
            <b/>
            <sz val="8"/>
            <color indexed="8"/>
            <rFont val="Tahoma"/>
            <family val="2"/>
          </rPr>
          <t>Raina Smyth:</t>
        </r>
        <r>
          <rPr>
            <sz val="8"/>
            <color indexed="8"/>
            <rFont val="Tahoma"/>
            <family val="2"/>
          </rPr>
          <t xml:space="preserve">
reported in footnote of investor quarterly</t>
        </r>
      </text>
    </comment>
    <comment ref="CJ185" authorId="0">
      <text>
        <r>
          <rPr>
            <b/>
            <sz val="8"/>
            <color indexed="8"/>
            <rFont val="Tahoma"/>
            <family val="2"/>
          </rPr>
          <t>Daniel Gaviria:</t>
        </r>
        <r>
          <rPr>
            <sz val="8"/>
            <color indexed="8"/>
            <rFont val="Tahoma"/>
            <family val="2"/>
          </rPr>
          <t xml:space="preserve">
Investor Qtrly Release:
Total growth was 2.1 million retail net additions. This included 630,000 retail
customers from the Rural Cellular Corp. acquisition, and Verizon expects to have a net loss of approximately 120,000 of these customers under an exchange agreement with another carrier.</t>
        </r>
      </text>
    </comment>
    <comment ref="CK185" authorId="7">
      <text>
        <r>
          <rPr>
            <b/>
            <sz val="8"/>
            <color indexed="8"/>
            <rFont val="Tahoma"/>
            <family val="2"/>
          </rPr>
          <t>Divestitures related to Rural acq</t>
        </r>
        <r>
          <rPr>
            <sz val="8"/>
            <color indexed="8"/>
            <rFont val="Tahoma"/>
            <family val="2"/>
          </rPr>
          <t xml:space="preserve">
</t>
        </r>
      </text>
    </comment>
    <comment ref="CJ198" authorId="0">
      <text>
        <r>
          <rPr>
            <b/>
            <sz val="8"/>
            <color indexed="8"/>
            <rFont val="Tahoma"/>
            <family val="2"/>
          </rPr>
          <t>Daniel Gaviria:</t>
        </r>
        <r>
          <rPr>
            <sz val="8"/>
            <color indexed="8"/>
            <rFont val="Tahoma"/>
            <family val="2"/>
          </rPr>
          <t xml:space="preserve">
Includes 111.391 Rural Cellular resale subs</t>
        </r>
      </text>
    </comment>
    <comment ref="CL199" authorId="1">
      <text>
        <r>
          <rPr>
            <b/>
            <sz val="8"/>
            <color indexed="8"/>
            <rFont val="Tahoma"/>
            <family val="2"/>
          </rPr>
          <t>dgaviria:</t>
        </r>
        <r>
          <rPr>
            <sz val="8"/>
            <color indexed="8"/>
            <rFont val="Tahoma"/>
            <family val="2"/>
          </rPr>
          <t xml:space="preserve">
excludes 406k resale subs acquired from Alltel</t>
        </r>
      </text>
    </comment>
    <comment ref="CZ249" authorId="6">
      <text>
        <r>
          <rPr>
            <b/>
            <sz val="8"/>
            <color indexed="8"/>
            <rFont val="Tahoma"/>
            <family val="2"/>
          </rPr>
          <t>warjohn:</t>
        </r>
        <r>
          <rPr>
            <sz val="8"/>
            <color indexed="8"/>
            <rFont val="Tahoma"/>
            <family val="2"/>
          </rPr>
          <t xml:space="preserve">
Derived</t>
        </r>
      </text>
    </comment>
    <comment ref="DA249" authorId="6">
      <text>
        <r>
          <rPr>
            <b/>
            <sz val="8"/>
            <color indexed="8"/>
            <rFont val="Tahoma"/>
            <family val="2"/>
          </rPr>
          <t>warjohn:</t>
        </r>
        <r>
          <rPr>
            <sz val="8"/>
            <color indexed="8"/>
            <rFont val="Tahoma"/>
            <family val="2"/>
          </rPr>
          <t xml:space="preserve">
Derived</t>
        </r>
      </text>
    </comment>
    <comment ref="DB249" authorId="6">
      <text>
        <r>
          <rPr>
            <b/>
            <sz val="8"/>
            <color indexed="8"/>
            <rFont val="Tahoma"/>
            <family val="2"/>
          </rPr>
          <t>warjohn:</t>
        </r>
        <r>
          <rPr>
            <sz val="8"/>
            <color indexed="8"/>
            <rFont val="Tahoma"/>
            <family val="2"/>
          </rPr>
          <t xml:space="preserve">
Derived</t>
        </r>
      </text>
    </comment>
    <comment ref="DC249" authorId="6">
      <text>
        <r>
          <rPr>
            <b/>
            <sz val="8"/>
            <color indexed="8"/>
            <rFont val="Tahoma"/>
            <family val="2"/>
          </rPr>
          <t>warjohn:</t>
        </r>
        <r>
          <rPr>
            <sz val="8"/>
            <color indexed="8"/>
            <rFont val="Tahoma"/>
            <family val="2"/>
          </rPr>
          <t xml:space="preserve">
Derived</t>
        </r>
      </text>
    </comment>
    <comment ref="DD249" authorId="6">
      <text>
        <r>
          <rPr>
            <b/>
            <sz val="8"/>
            <color indexed="8"/>
            <rFont val="Tahoma"/>
            <family val="2"/>
          </rPr>
          <t>warjohn:</t>
        </r>
        <r>
          <rPr>
            <sz val="8"/>
            <color indexed="8"/>
            <rFont val="Tahoma"/>
            <family val="2"/>
          </rPr>
          <t xml:space="preserve">
Derived</t>
        </r>
      </text>
    </comment>
    <comment ref="DE249" authorId="6">
      <text>
        <r>
          <rPr>
            <b/>
            <sz val="8"/>
            <color indexed="8"/>
            <rFont val="Tahoma"/>
            <family val="2"/>
          </rPr>
          <t>warjohn:</t>
        </r>
        <r>
          <rPr>
            <sz val="8"/>
            <color indexed="8"/>
            <rFont val="Tahoma"/>
            <family val="2"/>
          </rPr>
          <t xml:space="preserve">
Derived</t>
        </r>
      </text>
    </comment>
    <comment ref="DN249" authorId="11">
      <text>
        <r>
          <rPr>
            <sz val="9"/>
            <color indexed="81"/>
            <rFont val="Tahoma"/>
            <family val="2"/>
          </rPr>
          <t>VZ stopped providing.  
Assume growth rate slightly worst than service revenues</t>
        </r>
      </text>
    </comment>
    <comment ref="CI255" authorId="1">
      <text>
        <r>
          <rPr>
            <b/>
            <sz val="8"/>
            <color indexed="8"/>
            <rFont val="Tahoma"/>
            <family val="2"/>
          </rPr>
          <t>dgaviria:</t>
        </r>
        <r>
          <rPr>
            <sz val="8"/>
            <color indexed="8"/>
            <rFont val="Tahoma"/>
            <family val="2"/>
          </rPr>
          <t xml:space="preserve">
Includes acquisitions and adjustments of 46,000, 606,000 and (130,000) in the second, third and fourth quarter of 2008, respectively.</t>
        </r>
      </text>
    </comment>
    <comment ref="CJ255" authorId="1">
      <text>
        <r>
          <rPr>
            <b/>
            <sz val="8"/>
            <color indexed="8"/>
            <rFont val="Tahoma"/>
            <family val="2"/>
          </rPr>
          <t>dgaviria:</t>
        </r>
        <r>
          <rPr>
            <sz val="8"/>
            <color indexed="8"/>
            <rFont val="Tahoma"/>
            <family val="2"/>
          </rPr>
          <t xml:space="preserve">
Includes acquisitions and adjustments of 46,000, 606,000 and (130,000) in the second, third and fourth quarter of 2008, respectively.</t>
        </r>
      </text>
    </comment>
    <comment ref="CK255" authorId="1">
      <text>
        <r>
          <rPr>
            <b/>
            <sz val="8"/>
            <color indexed="8"/>
            <rFont val="Tahoma"/>
            <family val="2"/>
          </rPr>
          <t>dgaviria:</t>
        </r>
        <r>
          <rPr>
            <sz val="8"/>
            <color indexed="8"/>
            <rFont val="Tahoma"/>
            <family val="2"/>
          </rPr>
          <t xml:space="preserve">
Includes acquisitions and adjustments of 46,000, 606,000 and (130,000) in the second, third and fourth quarter of 2008, respectively.</t>
        </r>
      </text>
    </comment>
    <comment ref="BK309" authorId="8">
      <text>
        <r>
          <rPr>
            <b/>
            <sz val="8"/>
            <color indexed="8"/>
            <rFont val="Tahoma"/>
            <family val="2"/>
          </rPr>
          <t>enright:</t>
        </r>
        <r>
          <rPr>
            <sz val="8"/>
            <color indexed="8"/>
            <rFont val="Tahoma"/>
            <family val="2"/>
          </rPr>
          <t xml:space="preserve">
reported arpu $48.66</t>
        </r>
      </text>
    </comment>
    <comment ref="BL309" authorId="8">
      <text>
        <r>
          <rPr>
            <b/>
            <sz val="8"/>
            <color indexed="8"/>
            <rFont val="Tahoma"/>
            <family val="2"/>
          </rPr>
          <t>enright:</t>
        </r>
        <r>
          <rPr>
            <sz val="8"/>
            <color indexed="8"/>
            <rFont val="Tahoma"/>
            <family val="2"/>
          </rPr>
          <t xml:space="preserve">
reported 49.57</t>
        </r>
      </text>
    </comment>
    <comment ref="BM309" authorId="8">
      <text>
        <r>
          <rPr>
            <b/>
            <sz val="8"/>
            <color indexed="8"/>
            <rFont val="Tahoma"/>
            <family val="2"/>
          </rPr>
          <t>enright:</t>
        </r>
        <r>
          <rPr>
            <sz val="8"/>
            <color indexed="8"/>
            <rFont val="Tahoma"/>
            <family val="2"/>
          </rPr>
          <t xml:space="preserve">
reported 49.23</t>
        </r>
      </text>
    </comment>
    <comment ref="BP309" authorId="8">
      <text>
        <r>
          <rPr>
            <b/>
            <sz val="8"/>
            <color indexed="8"/>
            <rFont val="Tahoma"/>
            <family val="2"/>
          </rPr>
          <t>enright:</t>
        </r>
        <r>
          <rPr>
            <sz val="8"/>
            <color indexed="8"/>
            <rFont val="Tahoma"/>
            <family val="2"/>
          </rPr>
          <t xml:space="preserve">
reported 50.03</t>
        </r>
      </text>
    </comment>
    <comment ref="BQ309" authorId="8">
      <text>
        <r>
          <rPr>
            <b/>
            <sz val="8"/>
            <color indexed="8"/>
            <rFont val="Tahoma"/>
            <family val="2"/>
          </rPr>
          <t>enright:</t>
        </r>
        <r>
          <rPr>
            <sz val="8"/>
            <color indexed="8"/>
            <rFont val="Tahoma"/>
            <family val="2"/>
          </rPr>
          <t xml:space="preserve">
reported 48.85</t>
        </r>
      </text>
    </comment>
    <comment ref="BR309" authorId="12">
      <text>
        <r>
          <rPr>
            <b/>
            <sz val="8"/>
            <color indexed="8"/>
            <rFont val="Tahoma"/>
            <family val="2"/>
          </rPr>
          <t>atalwar:</t>
        </r>
        <r>
          <rPr>
            <sz val="8"/>
            <color indexed="8"/>
            <rFont val="Tahoma"/>
            <family val="2"/>
          </rPr>
          <t xml:space="preserve">
reported 48.04</t>
        </r>
      </text>
    </comment>
    <comment ref="BS309" authorId="13">
      <text>
        <r>
          <rPr>
            <b/>
            <sz val="8"/>
            <color indexed="8"/>
            <rFont val="Tahoma"/>
            <family val="2"/>
          </rPr>
          <t>Smythra:</t>
        </r>
        <r>
          <rPr>
            <sz val="8"/>
            <color indexed="8"/>
            <rFont val="Tahoma"/>
            <family val="2"/>
          </rPr>
          <t xml:space="preserve">
reported at $50.80</t>
        </r>
      </text>
    </comment>
    <comment ref="BT309" authorId="13">
      <text>
        <r>
          <rPr>
            <b/>
            <sz val="8"/>
            <color indexed="8"/>
            <rFont val="Tahoma"/>
            <family val="2"/>
          </rPr>
          <t>Smythra:</t>
        </r>
        <r>
          <rPr>
            <sz val="8"/>
            <color indexed="8"/>
            <rFont val="Tahoma"/>
            <family val="2"/>
          </rPr>
          <t xml:space="preserve">
reported</t>
        </r>
      </text>
    </comment>
    <comment ref="CB309" authorId="2">
      <text>
        <r>
          <rPr>
            <b/>
            <sz val="8"/>
            <color indexed="8"/>
            <rFont val="Tahoma"/>
            <family val="2"/>
          </rPr>
          <t>smythra:</t>
        </r>
        <r>
          <rPr>
            <sz val="8"/>
            <color indexed="8"/>
            <rFont val="Tahoma"/>
            <family val="2"/>
          </rPr>
          <t xml:space="preserve">
data svs arpu 14.1% of total service arpu</t>
        </r>
      </text>
    </comment>
    <comment ref="CC309" authorId="2">
      <text>
        <r>
          <rPr>
            <b/>
            <sz val="8"/>
            <color indexed="8"/>
            <rFont val="Tahoma"/>
            <family val="2"/>
          </rPr>
          <t>smythra:</t>
        </r>
        <r>
          <rPr>
            <sz val="8"/>
            <color indexed="8"/>
            <rFont val="Tahoma"/>
            <family val="2"/>
          </rPr>
          <t xml:space="preserve">
data ARPU is $7.91</t>
        </r>
      </text>
    </comment>
    <comment ref="CD309" authorId="4">
      <text>
        <r>
          <rPr>
            <b/>
            <sz val="8"/>
            <color indexed="8"/>
            <rFont val="Tahoma"/>
            <family val="2"/>
          </rPr>
          <t>Raina Smyth:</t>
        </r>
        <r>
          <rPr>
            <sz val="8"/>
            <color indexed="8"/>
            <rFont val="Tahoma"/>
            <family val="2"/>
          </rPr>
          <t xml:space="preserve">
data ARPU $8.95; this is total ARPU not retail (found in suplemental file on VZ IR web site)</t>
        </r>
      </text>
    </comment>
    <comment ref="CE309" authorId="4">
      <text>
        <r>
          <rPr>
            <sz val="8"/>
            <color indexed="8"/>
            <rFont val="Tahoma"/>
            <family val="2"/>
          </rPr>
          <t xml:space="preserve">Retail ARPU $51.84
Retail Data ARPU $9.84; 
</t>
        </r>
      </text>
    </comment>
    <comment ref="CF309" authorId="4">
      <text>
        <r>
          <rPr>
            <sz val="8"/>
            <color indexed="8"/>
            <rFont val="Tahoma"/>
            <family val="2"/>
          </rPr>
          <t xml:space="preserve">Retail ARPU $52.17
Retail Data ARPU $10.59; 
</t>
        </r>
      </text>
    </comment>
    <comment ref="CG309" authorId="4">
      <text>
        <r>
          <rPr>
            <sz val="8"/>
            <color indexed="8"/>
            <rFont val="Tahoma"/>
            <family val="2"/>
          </rPr>
          <t xml:space="preserve">Retail ARPU $51.49
Retail Data ARPU $11.06 
</t>
        </r>
      </text>
    </comment>
    <comment ref="CH309" authorId="4">
      <text>
        <r>
          <rPr>
            <sz val="8"/>
            <color indexed="8"/>
            <rFont val="Tahoma"/>
            <family val="2"/>
          </rPr>
          <t xml:space="preserve">Retail ARPU $51.40
Retail Data ARPU $11.94 
</t>
        </r>
      </text>
    </comment>
    <comment ref="CI309" authorId="4">
      <text>
        <r>
          <rPr>
            <sz val="8"/>
            <color indexed="8"/>
            <rFont val="Tahoma"/>
            <family val="2"/>
          </rPr>
          <t xml:space="preserve">Retail ARPU $51.93
Retail Data ARPU $12.78 
</t>
        </r>
      </text>
    </comment>
    <comment ref="CJ309" authorId="4">
      <text>
        <r>
          <rPr>
            <sz val="8"/>
            <color indexed="8"/>
            <rFont val="Tahoma"/>
            <family val="2"/>
          </rPr>
          <t xml:space="preserve">Retail ARPU $52.29
Retail Data ARPU $13.45 
</t>
        </r>
      </text>
    </comment>
    <comment ref="CK309" authorId="14">
      <text>
        <r>
          <rPr>
            <b/>
            <sz val="8"/>
            <color indexed="8"/>
            <rFont val="Tahoma"/>
            <family val="2"/>
          </rPr>
          <t>katzedwa:</t>
        </r>
        <r>
          <rPr>
            <sz val="8"/>
            <color indexed="8"/>
            <rFont val="Tahoma"/>
            <family val="2"/>
          </rPr>
          <t xml:space="preserve">
Retail Service ARPU: $51.87; Retail Data ARPU: $13.99</t>
        </r>
      </text>
    </comment>
    <comment ref="BL311" authorId="3">
      <text>
        <r>
          <rPr>
            <b/>
            <sz val="8"/>
            <color indexed="8"/>
            <rFont val="Tahoma"/>
            <family val="2"/>
          </rPr>
          <t>haydenn:</t>
        </r>
        <r>
          <rPr>
            <sz val="8"/>
            <color indexed="8"/>
            <rFont val="Tahoma"/>
            <family val="2"/>
          </rPr>
          <t xml:space="preserve">
assume ARPU slightly declines as shift of WorldCom subs to retail</t>
        </r>
      </text>
    </comment>
    <comment ref="CZ314" authorId="6">
      <text>
        <r>
          <rPr>
            <b/>
            <sz val="8"/>
            <color indexed="8"/>
            <rFont val="Tahoma"/>
            <family val="2"/>
          </rPr>
          <t>warjohn:</t>
        </r>
        <r>
          <rPr>
            <sz val="8"/>
            <color indexed="8"/>
            <rFont val="Tahoma"/>
            <family val="2"/>
          </rPr>
          <t xml:space="preserve">
Assumed</t>
        </r>
      </text>
    </comment>
    <comment ref="DA314" authorId="6">
      <text>
        <r>
          <rPr>
            <b/>
            <sz val="8"/>
            <color indexed="8"/>
            <rFont val="Tahoma"/>
            <family val="2"/>
          </rPr>
          <t>warjohn:</t>
        </r>
        <r>
          <rPr>
            <sz val="8"/>
            <color indexed="8"/>
            <rFont val="Tahoma"/>
            <family val="2"/>
          </rPr>
          <t xml:space="preserve">
Assumed</t>
        </r>
      </text>
    </comment>
    <comment ref="DB314" authorId="6">
      <text>
        <r>
          <rPr>
            <b/>
            <sz val="8"/>
            <color indexed="8"/>
            <rFont val="Tahoma"/>
            <family val="2"/>
          </rPr>
          <t>warjohn:</t>
        </r>
        <r>
          <rPr>
            <sz val="8"/>
            <color indexed="8"/>
            <rFont val="Tahoma"/>
            <family val="2"/>
          </rPr>
          <t xml:space="preserve">
Assumed</t>
        </r>
      </text>
    </comment>
    <comment ref="DC314" authorId="6">
      <text>
        <r>
          <rPr>
            <b/>
            <sz val="8"/>
            <color indexed="8"/>
            <rFont val="Tahoma"/>
            <family val="2"/>
          </rPr>
          <t>warjohn:</t>
        </r>
        <r>
          <rPr>
            <sz val="8"/>
            <color indexed="8"/>
            <rFont val="Tahoma"/>
            <family val="2"/>
          </rPr>
          <t xml:space="preserve">
Assumed</t>
        </r>
      </text>
    </comment>
    <comment ref="DD314" authorId="6">
      <text>
        <r>
          <rPr>
            <b/>
            <sz val="8"/>
            <color indexed="8"/>
            <rFont val="Tahoma"/>
            <family val="2"/>
          </rPr>
          <t>warjohn:</t>
        </r>
        <r>
          <rPr>
            <sz val="8"/>
            <color indexed="8"/>
            <rFont val="Tahoma"/>
            <family val="2"/>
          </rPr>
          <t xml:space="preserve">
Assumed</t>
        </r>
      </text>
    </comment>
    <comment ref="DE314" authorId="6">
      <text>
        <r>
          <rPr>
            <b/>
            <sz val="8"/>
            <color indexed="8"/>
            <rFont val="Tahoma"/>
            <family val="2"/>
          </rPr>
          <t>warjohn:</t>
        </r>
        <r>
          <rPr>
            <sz val="8"/>
            <color indexed="8"/>
            <rFont val="Tahoma"/>
            <family val="2"/>
          </rPr>
          <t xml:space="preserve">
Assumed</t>
        </r>
      </text>
    </comment>
    <comment ref="CZ319" authorId="6">
      <text>
        <r>
          <rPr>
            <b/>
            <sz val="8"/>
            <color indexed="8"/>
            <rFont val="Tahoma"/>
            <family val="2"/>
          </rPr>
          <t>warjohn:</t>
        </r>
        <r>
          <rPr>
            <sz val="8"/>
            <color indexed="8"/>
            <rFont val="Tahoma"/>
            <family val="2"/>
          </rPr>
          <t xml:space="preserve">
Assumed</t>
        </r>
      </text>
    </comment>
    <comment ref="DA319" authorId="6">
      <text>
        <r>
          <rPr>
            <b/>
            <sz val="8"/>
            <color indexed="8"/>
            <rFont val="Tahoma"/>
            <family val="2"/>
          </rPr>
          <t>warjohn:</t>
        </r>
        <r>
          <rPr>
            <sz val="8"/>
            <color indexed="8"/>
            <rFont val="Tahoma"/>
            <family val="2"/>
          </rPr>
          <t xml:space="preserve">
Assumed</t>
        </r>
      </text>
    </comment>
    <comment ref="DB319" authorId="6">
      <text>
        <r>
          <rPr>
            <b/>
            <sz val="8"/>
            <color indexed="8"/>
            <rFont val="Tahoma"/>
            <family val="2"/>
          </rPr>
          <t>warjohn:</t>
        </r>
        <r>
          <rPr>
            <sz val="8"/>
            <color indexed="8"/>
            <rFont val="Tahoma"/>
            <family val="2"/>
          </rPr>
          <t xml:space="preserve">
Assumed</t>
        </r>
      </text>
    </comment>
    <comment ref="DC319" authorId="6">
      <text>
        <r>
          <rPr>
            <b/>
            <sz val="8"/>
            <color indexed="8"/>
            <rFont val="Tahoma"/>
            <family val="2"/>
          </rPr>
          <t>warjohn:</t>
        </r>
        <r>
          <rPr>
            <sz val="8"/>
            <color indexed="8"/>
            <rFont val="Tahoma"/>
            <family val="2"/>
          </rPr>
          <t xml:space="preserve">
Assumed</t>
        </r>
      </text>
    </comment>
    <comment ref="DD319" authorId="6">
      <text>
        <r>
          <rPr>
            <b/>
            <sz val="8"/>
            <color indexed="8"/>
            <rFont val="Tahoma"/>
            <family val="2"/>
          </rPr>
          <t>warjohn:</t>
        </r>
        <r>
          <rPr>
            <sz val="8"/>
            <color indexed="8"/>
            <rFont val="Tahoma"/>
            <family val="2"/>
          </rPr>
          <t xml:space="preserve">
Assumed</t>
        </r>
      </text>
    </comment>
    <comment ref="DE319" authorId="6">
      <text>
        <r>
          <rPr>
            <b/>
            <sz val="8"/>
            <color indexed="8"/>
            <rFont val="Tahoma"/>
            <family val="2"/>
          </rPr>
          <t>warjohn:</t>
        </r>
        <r>
          <rPr>
            <sz val="8"/>
            <color indexed="8"/>
            <rFont val="Tahoma"/>
            <family val="2"/>
          </rPr>
          <t xml:space="preserve">
Assumed</t>
        </r>
      </text>
    </comment>
    <comment ref="DF319" authorId="15">
      <text>
        <r>
          <rPr>
            <b/>
            <sz val="8"/>
            <color indexed="81"/>
            <rFont val="Tahoma"/>
            <family val="2"/>
          </rPr>
          <t>Armintas Sinkevicius:</t>
        </r>
        <r>
          <rPr>
            <sz val="8"/>
            <color indexed="81"/>
            <rFont val="Tahoma"/>
            <family val="2"/>
          </rPr>
          <t xml:space="preserve">
Assumed</t>
        </r>
      </text>
    </comment>
    <comment ref="DG319" authorId="15">
      <text>
        <r>
          <rPr>
            <b/>
            <sz val="8"/>
            <color indexed="81"/>
            <rFont val="Tahoma"/>
            <family val="2"/>
          </rPr>
          <t>Armintas Sinkevicius:</t>
        </r>
        <r>
          <rPr>
            <sz val="8"/>
            <color indexed="81"/>
            <rFont val="Tahoma"/>
            <family val="2"/>
          </rPr>
          <t xml:space="preserve">
Assumed</t>
        </r>
      </text>
    </comment>
    <comment ref="DH319" authorId="15">
      <text>
        <r>
          <rPr>
            <b/>
            <sz val="8"/>
            <color indexed="81"/>
            <rFont val="Tahoma"/>
            <family val="2"/>
          </rPr>
          <t>Armintas Sinkevicius:</t>
        </r>
        <r>
          <rPr>
            <sz val="8"/>
            <color indexed="81"/>
            <rFont val="Tahoma"/>
            <family val="2"/>
          </rPr>
          <t xml:space="preserve">
Assumed</t>
        </r>
      </text>
    </comment>
    <comment ref="CZ330" authorId="6">
      <text>
        <r>
          <rPr>
            <b/>
            <sz val="8"/>
            <color indexed="8"/>
            <rFont val="Tahoma"/>
            <family val="2"/>
          </rPr>
          <t>warjohn:</t>
        </r>
        <r>
          <rPr>
            <sz val="8"/>
            <color indexed="8"/>
            <rFont val="Tahoma"/>
            <family val="2"/>
          </rPr>
          <t xml:space="preserve">
Assumed</t>
        </r>
      </text>
    </comment>
    <comment ref="DA330" authorId="6">
      <text>
        <r>
          <rPr>
            <b/>
            <sz val="8"/>
            <color indexed="8"/>
            <rFont val="Tahoma"/>
            <family val="2"/>
          </rPr>
          <t>warjohn:</t>
        </r>
        <r>
          <rPr>
            <sz val="8"/>
            <color indexed="8"/>
            <rFont val="Tahoma"/>
            <family val="2"/>
          </rPr>
          <t xml:space="preserve">
Assumed</t>
        </r>
      </text>
    </comment>
    <comment ref="DB330" authorId="6">
      <text>
        <r>
          <rPr>
            <b/>
            <sz val="8"/>
            <color indexed="8"/>
            <rFont val="Tahoma"/>
            <family val="2"/>
          </rPr>
          <t>warjohn:</t>
        </r>
        <r>
          <rPr>
            <sz val="8"/>
            <color indexed="8"/>
            <rFont val="Tahoma"/>
            <family val="2"/>
          </rPr>
          <t xml:space="preserve">
Assumed</t>
        </r>
      </text>
    </comment>
    <comment ref="DC330" authorId="6">
      <text>
        <r>
          <rPr>
            <b/>
            <sz val="8"/>
            <color indexed="8"/>
            <rFont val="Tahoma"/>
            <family val="2"/>
          </rPr>
          <t>warjohn:</t>
        </r>
        <r>
          <rPr>
            <sz val="8"/>
            <color indexed="8"/>
            <rFont val="Tahoma"/>
            <family val="2"/>
          </rPr>
          <t xml:space="preserve">
Assumed</t>
        </r>
      </text>
    </comment>
    <comment ref="DD330" authorId="6">
      <text>
        <r>
          <rPr>
            <b/>
            <sz val="8"/>
            <color indexed="8"/>
            <rFont val="Tahoma"/>
            <family val="2"/>
          </rPr>
          <t>warjohn:</t>
        </r>
        <r>
          <rPr>
            <sz val="8"/>
            <color indexed="8"/>
            <rFont val="Tahoma"/>
            <family val="2"/>
          </rPr>
          <t xml:space="preserve">
Assumed</t>
        </r>
      </text>
    </comment>
    <comment ref="DE330" authorId="6">
      <text>
        <r>
          <rPr>
            <b/>
            <sz val="8"/>
            <color indexed="8"/>
            <rFont val="Tahoma"/>
            <family val="2"/>
          </rPr>
          <t>warjohn:</t>
        </r>
        <r>
          <rPr>
            <sz val="8"/>
            <color indexed="8"/>
            <rFont val="Tahoma"/>
            <family val="2"/>
          </rPr>
          <t xml:space="preserve">
Assumed</t>
        </r>
      </text>
    </comment>
    <comment ref="DF330" authorId="15">
      <text>
        <r>
          <rPr>
            <b/>
            <sz val="8"/>
            <color indexed="81"/>
            <rFont val="Tahoma"/>
            <family val="2"/>
          </rPr>
          <t>Armintas Sinkevicius:</t>
        </r>
        <r>
          <rPr>
            <sz val="8"/>
            <color indexed="81"/>
            <rFont val="Tahoma"/>
            <family val="2"/>
          </rPr>
          <t xml:space="preserve">
Assumed</t>
        </r>
      </text>
    </comment>
    <comment ref="DG330" authorId="15">
      <text>
        <r>
          <rPr>
            <b/>
            <sz val="8"/>
            <color indexed="81"/>
            <rFont val="Tahoma"/>
            <family val="2"/>
          </rPr>
          <t>Armintas Sinkevicius:</t>
        </r>
        <r>
          <rPr>
            <sz val="8"/>
            <color indexed="81"/>
            <rFont val="Tahoma"/>
            <family val="2"/>
          </rPr>
          <t xml:space="preserve">
Assumed</t>
        </r>
      </text>
    </comment>
    <comment ref="DH330" authorId="15">
      <text>
        <r>
          <rPr>
            <b/>
            <sz val="8"/>
            <color indexed="81"/>
            <rFont val="Tahoma"/>
            <family val="2"/>
          </rPr>
          <t>Armintas Sinkevicius:</t>
        </r>
        <r>
          <rPr>
            <sz val="8"/>
            <color indexed="81"/>
            <rFont val="Tahoma"/>
            <family val="2"/>
          </rPr>
          <t xml:space="preserve">
Assumed</t>
        </r>
      </text>
    </comment>
    <comment ref="BQ349" authorId="8">
      <text>
        <r>
          <rPr>
            <b/>
            <sz val="8"/>
            <color indexed="8"/>
            <rFont val="Tahoma"/>
            <family val="2"/>
          </rPr>
          <t>enright:</t>
        </r>
        <r>
          <rPr>
            <sz val="8"/>
            <color indexed="8"/>
            <rFont val="Tahoma"/>
            <family val="2"/>
          </rPr>
          <t xml:space="preserve">
</t>
        </r>
      </text>
    </comment>
    <comment ref="BR349" authorId="12">
      <text>
        <r>
          <rPr>
            <b/>
            <sz val="8"/>
            <color indexed="8"/>
            <rFont val="Tahoma"/>
            <family val="2"/>
          </rPr>
          <t>atalwar:</t>
        </r>
        <r>
          <rPr>
            <sz val="8"/>
            <color indexed="8"/>
            <rFont val="Tahoma"/>
            <family val="2"/>
          </rPr>
          <t xml:space="preserve">
as reported in 1Q04 conf. call</t>
        </r>
      </text>
    </comment>
    <comment ref="BS349" authorId="13">
      <text>
        <r>
          <rPr>
            <b/>
            <sz val="8"/>
            <color indexed="8"/>
            <rFont val="Tahoma"/>
            <family val="2"/>
          </rPr>
          <t>Smythra:</t>
        </r>
        <r>
          <rPr>
            <sz val="8"/>
            <color indexed="8"/>
            <rFont val="Tahoma"/>
            <family val="2"/>
          </rPr>
          <t xml:space="preserve">
NOT REPORTED</t>
        </r>
      </text>
    </comment>
    <comment ref="BT349" authorId="13">
      <text>
        <r>
          <rPr>
            <b/>
            <sz val="8"/>
            <color indexed="8"/>
            <rFont val="Tahoma"/>
            <family val="2"/>
          </rPr>
          <t>Smythra:</t>
        </r>
        <r>
          <rPr>
            <sz val="8"/>
            <color indexed="8"/>
            <rFont val="Tahoma"/>
            <family val="2"/>
          </rPr>
          <t xml:space="preserve">
NOT REPORTED</t>
        </r>
      </text>
    </comment>
    <comment ref="BU349" authorId="13">
      <text>
        <r>
          <rPr>
            <b/>
            <sz val="10"/>
            <color indexed="8"/>
            <rFont val="Tahoma"/>
            <family val="2"/>
          </rPr>
          <t>Smythra:</t>
        </r>
        <r>
          <rPr>
            <sz val="10"/>
            <color indexed="8"/>
            <rFont val="Tahoma"/>
            <family val="2"/>
          </rPr>
          <t xml:space="preserve">
not reported, just said 2004 total MOU (note per sub) up 111% since 2002</t>
        </r>
      </text>
    </comment>
    <comment ref="BV349" authorId="13">
      <text>
        <r>
          <rPr>
            <b/>
            <sz val="10"/>
            <color indexed="8"/>
            <rFont val="Tahoma"/>
            <family val="2"/>
          </rPr>
          <t>Smythra:</t>
        </r>
        <r>
          <rPr>
            <sz val="10"/>
            <color indexed="8"/>
            <rFont val="Tahoma"/>
            <family val="2"/>
          </rPr>
          <t xml:space="preserve">
not reported, said up 34.2% y/y in 1Q05 call slides</t>
        </r>
      </text>
    </comment>
    <comment ref="BW349" authorId="2">
      <text>
        <r>
          <rPr>
            <b/>
            <sz val="10"/>
            <color indexed="8"/>
            <rFont val="Tahoma"/>
            <family val="2"/>
          </rPr>
          <t>smythra:</t>
        </r>
        <r>
          <rPr>
            <sz val="10"/>
            <color indexed="8"/>
            <rFont val="Tahoma"/>
            <family val="2"/>
          </rPr>
          <t xml:space="preserve">
not reported </t>
        </r>
      </text>
    </comment>
    <comment ref="BX349" authorId="10">
      <text>
        <r>
          <rPr>
            <b/>
            <sz val="8"/>
            <color indexed="8"/>
            <rFont val="Tahoma"/>
            <family val="2"/>
          </rPr>
          <t>agarwalp:</t>
        </r>
        <r>
          <rPr>
            <sz val="8"/>
            <color indexed="8"/>
            <rFont val="Tahoma"/>
            <family val="2"/>
          </rPr>
          <t xml:space="preserve">
estimate</t>
        </r>
      </text>
    </comment>
    <comment ref="DM360" authorId="11">
      <text>
        <r>
          <rPr>
            <sz val="9"/>
            <color indexed="81"/>
            <rFont val="Tahoma"/>
            <family val="2"/>
          </rPr>
          <t>Investor quarterly</t>
        </r>
      </text>
    </comment>
    <comment ref="DN360" authorId="11">
      <text>
        <r>
          <rPr>
            <sz val="9"/>
            <color indexed="81"/>
            <rFont val="Tahoma"/>
            <family val="2"/>
          </rPr>
          <t>earnings call</t>
        </r>
      </text>
    </comment>
    <comment ref="DO360" authorId="11">
      <text>
        <r>
          <rPr>
            <sz val="9"/>
            <color indexed="81"/>
            <rFont val="Tahoma"/>
            <family val="2"/>
          </rPr>
          <t>VZ</t>
        </r>
      </text>
    </comment>
    <comment ref="DP360" authorId="11">
      <text>
        <r>
          <rPr>
            <sz val="9"/>
            <color indexed="81"/>
            <rFont val="Tahoma"/>
            <family val="2"/>
          </rPr>
          <t>earnings call</t>
        </r>
      </text>
    </comment>
    <comment ref="DQ360" authorId="11">
      <text>
        <r>
          <rPr>
            <sz val="9"/>
            <color indexed="81"/>
            <rFont val="Tahoma"/>
            <family val="2"/>
          </rPr>
          <t>earnings call</t>
        </r>
      </text>
    </comment>
    <comment ref="DR360" authorId="11">
      <text>
        <r>
          <rPr>
            <sz val="9"/>
            <color indexed="81"/>
            <rFont val="Tahoma"/>
            <family val="2"/>
          </rPr>
          <t>earnings call</t>
        </r>
      </text>
    </comment>
    <comment ref="DS360" authorId="11">
      <text>
        <r>
          <rPr>
            <sz val="9"/>
            <color indexed="81"/>
            <rFont val="Tahoma"/>
            <family val="2"/>
          </rPr>
          <t>earnings call</t>
        </r>
      </text>
    </comment>
    <comment ref="DT360" authorId="11">
      <text>
        <r>
          <rPr>
            <sz val="9"/>
            <color indexed="81"/>
            <rFont val="Tahoma"/>
            <family val="2"/>
          </rPr>
          <t>earnings call</t>
        </r>
      </text>
    </comment>
    <comment ref="DU360" authorId="11">
      <text>
        <r>
          <rPr>
            <sz val="9"/>
            <color indexed="81"/>
            <rFont val="Tahoma"/>
            <family val="2"/>
          </rPr>
          <t>earnings call</t>
        </r>
      </text>
    </comment>
    <comment ref="DV360" authorId="11">
      <text>
        <r>
          <rPr>
            <sz val="9"/>
            <color indexed="81"/>
            <rFont val="Tahoma"/>
            <family val="2"/>
          </rPr>
          <t>earnings call</t>
        </r>
      </text>
    </comment>
    <comment ref="DI364" authorId="16">
      <text>
        <r>
          <rPr>
            <b/>
            <sz val="9"/>
            <color indexed="81"/>
            <rFont val="Tahoma"/>
            <family val="2"/>
          </rPr>
          <t>Sinkevicius, Armintas (Research):</t>
        </r>
        <r>
          <rPr>
            <sz val="9"/>
            <color indexed="81"/>
            <rFont val="Tahoma"/>
            <family val="2"/>
          </rPr>
          <t xml:space="preserve">
55% gross adds smartphones
6% gross adds basic phones
93% upgrades smartphones</t>
        </r>
      </text>
    </comment>
    <comment ref="DM365" authorId="11">
      <text>
        <r>
          <rPr>
            <sz val="9"/>
            <color indexed="81"/>
            <rFont val="Tahoma"/>
            <family val="2"/>
          </rPr>
          <t>per company:
13.4M total 
11.3M phones
   10.6M smartphones
   0.7M basic phone
1.4M tablets
0.6M non-tablets</t>
        </r>
      </text>
    </comment>
    <comment ref="DN365" authorId="11">
      <text>
        <r>
          <rPr>
            <sz val="9"/>
            <color indexed="81"/>
            <rFont val="Tahoma"/>
            <family val="2"/>
          </rPr>
          <t>earnings call</t>
        </r>
      </text>
    </comment>
    <comment ref="DO365" authorId="11">
      <text>
        <r>
          <rPr>
            <sz val="9"/>
            <color indexed="81"/>
            <rFont val="Tahoma"/>
            <family val="2"/>
          </rPr>
          <t>earnings call</t>
        </r>
      </text>
    </comment>
    <comment ref="DP365" authorId="11">
      <text>
        <r>
          <rPr>
            <sz val="9"/>
            <color indexed="81"/>
            <rFont val="Tahoma"/>
            <family val="2"/>
          </rPr>
          <t>earnings call</t>
        </r>
      </text>
    </comment>
    <comment ref="DQ365" authorId="11">
      <text>
        <r>
          <rPr>
            <sz val="9"/>
            <color indexed="81"/>
            <rFont val="Tahoma"/>
            <family val="2"/>
          </rPr>
          <t>earnings call</t>
        </r>
      </text>
    </comment>
    <comment ref="DR365" authorId="11">
      <text>
        <r>
          <rPr>
            <sz val="9"/>
            <color indexed="81"/>
            <rFont val="Tahoma"/>
            <family val="2"/>
          </rPr>
          <t>earnings call</t>
        </r>
      </text>
    </comment>
    <comment ref="DS365" authorId="11">
      <text>
        <r>
          <rPr>
            <sz val="9"/>
            <color indexed="81"/>
            <rFont val="Tahoma"/>
            <family val="2"/>
          </rPr>
          <t>earnings call</t>
        </r>
      </text>
    </comment>
    <comment ref="DT365" authorId="11">
      <text>
        <r>
          <rPr>
            <sz val="9"/>
            <color indexed="81"/>
            <rFont val="Tahoma"/>
            <family val="2"/>
          </rPr>
          <t>earnings call</t>
        </r>
      </text>
    </comment>
    <comment ref="DU365" authorId="11">
      <text>
        <r>
          <rPr>
            <sz val="9"/>
            <color indexed="81"/>
            <rFont val="Tahoma"/>
            <family val="2"/>
          </rPr>
          <t>earnings call</t>
        </r>
      </text>
    </comment>
    <comment ref="DV365" authorId="11">
      <text>
        <r>
          <rPr>
            <sz val="9"/>
            <color indexed="81"/>
            <rFont val="Tahoma"/>
            <family val="2"/>
          </rPr>
          <t>earnings call</t>
        </r>
      </text>
    </comment>
    <comment ref="DQ367" authorId="11">
      <text>
        <r>
          <rPr>
            <sz val="9"/>
            <color indexed="81"/>
            <rFont val="Tahoma"/>
            <family val="2"/>
          </rPr>
          <t>earnings call</t>
        </r>
      </text>
    </comment>
    <comment ref="DR367" authorId="11">
      <text>
        <r>
          <rPr>
            <sz val="9"/>
            <color indexed="81"/>
            <rFont val="Tahoma"/>
            <family val="2"/>
          </rPr>
          <t>earnings call</t>
        </r>
      </text>
    </comment>
    <comment ref="DS367" authorId="11">
      <text>
        <r>
          <rPr>
            <sz val="9"/>
            <color indexed="81"/>
            <rFont val="Tahoma"/>
            <family val="2"/>
          </rPr>
          <t>earnings call</t>
        </r>
      </text>
    </comment>
    <comment ref="DT367" authorId="11">
      <text>
        <r>
          <rPr>
            <sz val="9"/>
            <color indexed="81"/>
            <rFont val="Tahoma"/>
            <family val="2"/>
          </rPr>
          <t>earnings call</t>
        </r>
      </text>
    </comment>
    <comment ref="DU367" authorId="11">
      <text>
        <r>
          <rPr>
            <sz val="9"/>
            <color indexed="81"/>
            <rFont val="Tahoma"/>
            <family val="2"/>
          </rPr>
          <t>earnings call</t>
        </r>
      </text>
    </comment>
    <comment ref="DV367" authorId="11">
      <text>
        <r>
          <rPr>
            <sz val="9"/>
            <color indexed="81"/>
            <rFont val="Tahoma"/>
            <family val="2"/>
          </rPr>
          <t>earnings call</t>
        </r>
      </text>
    </comment>
    <comment ref="DS368" authorId="11">
      <text>
        <r>
          <rPr>
            <sz val="9"/>
            <color indexed="81"/>
            <rFont val="Tahoma"/>
            <family val="2"/>
          </rPr>
          <t>presentation</t>
        </r>
      </text>
    </comment>
    <comment ref="DT368" authorId="11">
      <text>
        <r>
          <rPr>
            <sz val="9"/>
            <color indexed="81"/>
            <rFont val="Tahoma"/>
            <family val="2"/>
          </rPr>
          <t>presentation</t>
        </r>
      </text>
    </comment>
    <comment ref="DU368" authorId="11">
      <text>
        <r>
          <rPr>
            <sz val="9"/>
            <color indexed="81"/>
            <rFont val="Tahoma"/>
            <family val="2"/>
          </rPr>
          <t>presentation</t>
        </r>
      </text>
    </comment>
    <comment ref="DV368" authorId="11">
      <text>
        <r>
          <rPr>
            <sz val="9"/>
            <color indexed="81"/>
            <rFont val="Tahoma"/>
            <family val="2"/>
          </rPr>
          <t>presentation</t>
        </r>
      </text>
    </comment>
    <comment ref="DN371" authorId="11">
      <text>
        <r>
          <rPr>
            <sz val="9"/>
            <color indexed="81"/>
            <rFont val="Tahoma"/>
            <family val="2"/>
          </rPr>
          <t>investor quarterly financials</t>
        </r>
      </text>
    </comment>
    <comment ref="DO371" authorId="11">
      <text>
        <r>
          <rPr>
            <sz val="9"/>
            <color indexed="81"/>
            <rFont val="Tahoma"/>
            <family val="2"/>
          </rPr>
          <t>investor quarterly financials</t>
        </r>
      </text>
    </comment>
    <comment ref="DP371" authorId="11">
      <text>
        <r>
          <rPr>
            <sz val="9"/>
            <color indexed="81"/>
            <rFont val="Tahoma"/>
            <family val="2"/>
          </rPr>
          <t>investor quarterly financials</t>
        </r>
      </text>
    </comment>
    <comment ref="DQ371" authorId="11">
      <text>
        <r>
          <rPr>
            <sz val="9"/>
            <color indexed="81"/>
            <rFont val="Tahoma"/>
            <family val="2"/>
          </rPr>
          <t>financials</t>
        </r>
      </text>
    </comment>
    <comment ref="DR371" authorId="11">
      <text>
        <r>
          <rPr>
            <sz val="9"/>
            <color indexed="81"/>
            <rFont val="Tahoma"/>
            <family val="2"/>
          </rPr>
          <t>financials</t>
        </r>
      </text>
    </comment>
    <comment ref="DS371" authorId="11">
      <text>
        <r>
          <rPr>
            <sz val="9"/>
            <color indexed="81"/>
            <rFont val="Tahoma"/>
            <family val="2"/>
          </rPr>
          <t>financials</t>
        </r>
      </text>
    </comment>
    <comment ref="DT371" authorId="11">
      <text>
        <r>
          <rPr>
            <sz val="9"/>
            <color indexed="81"/>
            <rFont val="Tahoma"/>
            <family val="2"/>
          </rPr>
          <t>financials</t>
        </r>
      </text>
    </comment>
    <comment ref="DU371" authorId="11">
      <text>
        <r>
          <rPr>
            <sz val="9"/>
            <color indexed="81"/>
            <rFont val="Tahoma"/>
            <family val="2"/>
          </rPr>
          <t>financials</t>
        </r>
      </text>
    </comment>
    <comment ref="DV371" authorId="11">
      <text>
        <r>
          <rPr>
            <sz val="9"/>
            <color indexed="81"/>
            <rFont val="Tahoma"/>
            <family val="2"/>
          </rPr>
          <t>stopped providing in 1Q18</t>
        </r>
      </text>
    </comment>
    <comment ref="DE373" authorId="16">
      <text>
        <r>
          <rPr>
            <b/>
            <sz val="9"/>
            <color indexed="81"/>
            <rFont val="Tahoma"/>
            <family val="2"/>
          </rPr>
          <t>Sinkevicius, Armintas (Research):</t>
        </r>
        <r>
          <rPr>
            <sz val="9"/>
            <color indexed="81"/>
            <rFont val="Tahoma"/>
            <family val="2"/>
          </rPr>
          <t xml:space="preserve">
MS Estimate</t>
        </r>
      </text>
    </comment>
    <comment ref="DN379" authorId="11">
      <text>
        <r>
          <rPr>
            <sz val="9"/>
            <color indexed="81"/>
            <rFont val="Tahoma"/>
            <family val="2"/>
          </rPr>
          <t>investor quarterly financials</t>
        </r>
      </text>
    </comment>
    <comment ref="DO379" authorId="11">
      <text>
        <r>
          <rPr>
            <sz val="9"/>
            <color indexed="81"/>
            <rFont val="Tahoma"/>
            <family val="2"/>
          </rPr>
          <t>investor quarterly financials</t>
        </r>
      </text>
    </comment>
    <comment ref="DP379" authorId="11">
      <text>
        <r>
          <rPr>
            <sz val="9"/>
            <color indexed="81"/>
            <rFont val="Tahoma"/>
            <family val="2"/>
          </rPr>
          <t>investor quarterly financials</t>
        </r>
      </text>
    </comment>
    <comment ref="DQ379" authorId="11">
      <text>
        <r>
          <rPr>
            <sz val="9"/>
            <color indexed="81"/>
            <rFont val="Tahoma"/>
            <family val="2"/>
          </rPr>
          <t>financials</t>
        </r>
      </text>
    </comment>
    <comment ref="DR379" authorId="11">
      <text>
        <r>
          <rPr>
            <sz val="9"/>
            <color indexed="81"/>
            <rFont val="Tahoma"/>
            <family val="2"/>
          </rPr>
          <t>financials</t>
        </r>
      </text>
    </comment>
    <comment ref="DS379" authorId="11">
      <text>
        <r>
          <rPr>
            <sz val="9"/>
            <color indexed="81"/>
            <rFont val="Tahoma"/>
            <family val="2"/>
          </rPr>
          <t>financials</t>
        </r>
      </text>
    </comment>
    <comment ref="DT379" authorId="11">
      <text>
        <r>
          <rPr>
            <sz val="9"/>
            <color indexed="81"/>
            <rFont val="Tahoma"/>
            <family val="2"/>
          </rPr>
          <t>financials</t>
        </r>
      </text>
    </comment>
    <comment ref="DU379" authorId="11">
      <text>
        <r>
          <rPr>
            <sz val="9"/>
            <color indexed="81"/>
            <rFont val="Tahoma"/>
            <family val="2"/>
          </rPr>
          <t>financials</t>
        </r>
      </text>
    </comment>
    <comment ref="DV379" authorId="11">
      <text>
        <r>
          <rPr>
            <sz val="9"/>
            <color indexed="81"/>
            <rFont val="Tahoma"/>
            <family val="2"/>
          </rPr>
          <t>financials</t>
        </r>
      </text>
    </comment>
    <comment ref="DP386" authorId="11">
      <text>
        <r>
          <rPr>
            <sz val="9"/>
            <color indexed="81"/>
            <rFont val="Tahoma"/>
            <family val="2"/>
          </rPr>
          <t>investor quarterly</t>
        </r>
      </text>
    </comment>
    <comment ref="DQ386" authorId="11">
      <text>
        <r>
          <rPr>
            <sz val="9"/>
            <color indexed="81"/>
            <rFont val="Tahoma"/>
            <family val="2"/>
          </rPr>
          <t>earnings call</t>
        </r>
      </text>
    </comment>
    <comment ref="DR386" authorId="11">
      <text>
        <r>
          <rPr>
            <sz val="9"/>
            <color indexed="81"/>
            <rFont val="Tahoma"/>
            <family val="2"/>
          </rPr>
          <t>earnings call</t>
        </r>
      </text>
    </comment>
    <comment ref="DS386" authorId="11">
      <text>
        <r>
          <rPr>
            <sz val="9"/>
            <color indexed="81"/>
            <rFont val="Tahoma"/>
            <family val="2"/>
          </rPr>
          <t>presentation</t>
        </r>
      </text>
    </comment>
    <comment ref="DT386" authorId="11">
      <text>
        <r>
          <rPr>
            <sz val="9"/>
            <color indexed="81"/>
            <rFont val="Tahoma"/>
            <family val="2"/>
          </rPr>
          <t>presentation</t>
        </r>
      </text>
    </comment>
    <comment ref="DU386" authorId="11">
      <text>
        <r>
          <rPr>
            <sz val="9"/>
            <color indexed="81"/>
            <rFont val="Tahoma"/>
            <family val="2"/>
          </rPr>
          <t>presentation</t>
        </r>
      </text>
    </comment>
    <comment ref="DV386" authorId="11">
      <text>
        <r>
          <rPr>
            <sz val="9"/>
            <color indexed="81"/>
            <rFont val="Tahoma"/>
            <family val="2"/>
          </rPr>
          <t>earnings call</t>
        </r>
      </text>
    </comment>
    <comment ref="A395" authorId="15">
      <text>
        <r>
          <rPr>
            <b/>
            <sz val="8"/>
            <color indexed="81"/>
            <rFont val="Tahoma"/>
            <family val="2"/>
          </rPr>
          <t>Armintas Sinkevicius:</t>
        </r>
        <r>
          <rPr>
            <sz val="8"/>
            <color indexed="81"/>
            <rFont val="Tahoma"/>
            <family val="2"/>
          </rPr>
          <t xml:space="preserve">
Less imputed interest + assumed loss on the trade-in</t>
        </r>
      </text>
    </comment>
    <comment ref="DE395" authorId="16">
      <text>
        <r>
          <rPr>
            <b/>
            <sz val="9"/>
            <color indexed="81"/>
            <rFont val="Tahoma"/>
            <family val="2"/>
          </rPr>
          <t>Sinkevicius, Armintas (Research):</t>
        </r>
        <r>
          <rPr>
            <sz val="9"/>
            <color indexed="81"/>
            <rFont val="Tahoma"/>
            <family val="2"/>
          </rPr>
          <t xml:space="preserve">
50% of the retail cost</t>
        </r>
      </text>
    </comment>
    <comment ref="DI395" authorId="16">
      <text>
        <r>
          <rPr>
            <b/>
            <sz val="9"/>
            <color indexed="81"/>
            <rFont val="Tahoma"/>
            <family val="2"/>
          </rPr>
          <t>Sinkevicius, Armintas (Research):</t>
        </r>
        <r>
          <rPr>
            <sz val="9"/>
            <color indexed="81"/>
            <rFont val="Tahoma"/>
            <family val="2"/>
          </rPr>
          <t xml:space="preserve">
60% of the retail to 75% of the retail on October 16, 2014</t>
        </r>
      </text>
    </comment>
    <comment ref="DF397" authorId="16">
      <text>
        <r>
          <rPr>
            <b/>
            <sz val="9"/>
            <color indexed="81"/>
            <rFont val="Tahoma"/>
            <family val="2"/>
          </rPr>
          <t>Sinkevicius, Armintas (Research):</t>
        </r>
        <r>
          <rPr>
            <sz val="9"/>
            <color indexed="81"/>
            <rFont val="Tahoma"/>
            <family val="2"/>
          </rPr>
          <t xml:space="preserve">
Verizon introduces More Everything plans on February 13, 2014</t>
        </r>
      </text>
    </comment>
    <comment ref="DF398" authorId="16">
      <text>
        <r>
          <rPr>
            <b/>
            <sz val="9"/>
            <color indexed="81"/>
            <rFont val="Tahoma"/>
            <family val="2"/>
          </rPr>
          <t>Sinkevicius, Armintas (Research):</t>
        </r>
        <r>
          <rPr>
            <sz val="9"/>
            <color indexed="81"/>
            <rFont val="Tahoma"/>
            <family val="2"/>
          </rPr>
          <t xml:space="preserve">
~$165m benefit to EBITDA</t>
        </r>
      </text>
    </comment>
    <comment ref="DG398" authorId="16">
      <text>
        <r>
          <rPr>
            <b/>
            <sz val="9"/>
            <color indexed="81"/>
            <rFont val="Tahoma"/>
            <family val="2"/>
          </rPr>
          <t>Sinkevicius, Armintas (Research):</t>
        </r>
        <r>
          <rPr>
            <sz val="9"/>
            <color indexed="81"/>
            <rFont val="Tahoma"/>
            <family val="2"/>
          </rPr>
          <t xml:space="preserve">
estimated benefit to EBITDA was not significantly different</t>
        </r>
      </text>
    </comment>
    <comment ref="DH398" authorId="16">
      <text>
        <r>
          <rPr>
            <b/>
            <sz val="9"/>
            <color indexed="81"/>
            <rFont val="Tahoma"/>
            <family val="2"/>
          </rPr>
          <t>Sinkevicius, Armintas (Research):</t>
        </r>
        <r>
          <rPr>
            <sz val="9"/>
            <color indexed="81"/>
            <rFont val="Tahoma"/>
            <family val="2"/>
          </rPr>
          <t xml:space="preserve">
~$115m benefit to EBITDA</t>
        </r>
      </text>
    </comment>
    <comment ref="W426" authorId="16">
      <text>
        <r>
          <rPr>
            <b/>
            <sz val="9"/>
            <color indexed="81"/>
            <rFont val="Tahoma"/>
            <family val="2"/>
          </rPr>
          <t>Sinkevicius, Armintas (Research):</t>
        </r>
        <r>
          <rPr>
            <sz val="9"/>
            <color indexed="81"/>
            <rFont val="Tahoma"/>
            <family val="2"/>
          </rPr>
          <t xml:space="preserve">
Ongoing program to securitize receivables</t>
        </r>
      </text>
    </comment>
    <comment ref="X426" authorId="16">
      <text>
        <r>
          <rPr>
            <b/>
            <sz val="9"/>
            <color indexed="81"/>
            <rFont val="Tahoma"/>
            <family val="2"/>
          </rPr>
          <t>Sinkevicius, Armintas (Research):</t>
        </r>
        <r>
          <rPr>
            <sz val="9"/>
            <color indexed="81"/>
            <rFont val="Tahoma"/>
            <family val="2"/>
          </rPr>
          <t xml:space="preserve">
Ongoing program to securitize receivables</t>
        </r>
      </text>
    </comment>
    <comment ref="Y426" authorId="16">
      <text>
        <r>
          <rPr>
            <b/>
            <sz val="9"/>
            <color indexed="81"/>
            <rFont val="Tahoma"/>
            <family val="2"/>
          </rPr>
          <t>Sinkevicius, Armintas (Research):</t>
        </r>
        <r>
          <rPr>
            <sz val="9"/>
            <color indexed="81"/>
            <rFont val="Tahoma"/>
            <family val="2"/>
          </rPr>
          <t xml:space="preserve">
Ongoing program to securitize receivables</t>
        </r>
      </text>
    </comment>
    <comment ref="Z426" authorId="16">
      <text>
        <r>
          <rPr>
            <b/>
            <sz val="9"/>
            <color indexed="81"/>
            <rFont val="Tahoma"/>
            <family val="2"/>
          </rPr>
          <t>Sinkevicius, Armintas (Research):</t>
        </r>
        <r>
          <rPr>
            <sz val="9"/>
            <color indexed="81"/>
            <rFont val="Tahoma"/>
            <family val="2"/>
          </rPr>
          <t xml:space="preserve">
Ongoing program to securitize receivables</t>
        </r>
      </text>
    </comment>
    <comment ref="DJ426" authorId="16">
      <text>
        <r>
          <rPr>
            <b/>
            <sz val="9"/>
            <color indexed="81"/>
            <rFont val="Tahoma"/>
            <family val="2"/>
          </rPr>
          <t>Sinkevicius, Armintas (Research):</t>
        </r>
        <r>
          <rPr>
            <sz val="9"/>
            <color indexed="81"/>
            <rFont val="Tahoma"/>
            <family val="2"/>
          </rPr>
          <t xml:space="preserve">
Securitized $1.3b receivables</t>
        </r>
      </text>
    </comment>
    <comment ref="DK426" authorId="16">
      <text>
        <r>
          <rPr>
            <b/>
            <sz val="9"/>
            <color indexed="81"/>
            <rFont val="Tahoma"/>
            <family val="2"/>
          </rPr>
          <t>Sinkevicius, Armintas (Research):</t>
        </r>
        <r>
          <rPr>
            <sz val="9"/>
            <color indexed="81"/>
            <rFont val="Tahoma"/>
            <family val="2"/>
          </rPr>
          <t xml:space="preserve">
Securitized $1.2b receivables</t>
        </r>
      </text>
    </comment>
    <comment ref="DL426" authorId="16">
      <text>
        <r>
          <rPr>
            <b/>
            <sz val="9"/>
            <color indexed="81"/>
            <rFont val="Tahoma"/>
            <family val="2"/>
          </rPr>
          <t>Sinkevicius, Armintas (Research):</t>
        </r>
        <r>
          <rPr>
            <sz val="9"/>
            <color indexed="81"/>
            <rFont val="Tahoma"/>
            <family val="2"/>
          </rPr>
          <t xml:space="preserve">
Securitized $2.0b receivables</t>
        </r>
      </text>
    </comment>
    <comment ref="DM426" authorId="16">
      <text>
        <r>
          <rPr>
            <sz val="9"/>
            <color indexed="81"/>
            <rFont val="Tahoma"/>
            <family val="2"/>
          </rPr>
          <t>Securitized $2.7b receivables</t>
        </r>
      </text>
    </comment>
    <comment ref="DN426" authorId="16">
      <text>
        <r>
          <rPr>
            <sz val="9"/>
            <color indexed="81"/>
            <rFont val="Tahoma"/>
            <family val="2"/>
          </rPr>
          <t>Securitized $2.0b net receivables</t>
        </r>
      </text>
    </comment>
    <comment ref="DO426" authorId="16">
      <text>
        <r>
          <rPr>
            <sz val="9"/>
            <color indexed="81"/>
            <rFont val="Tahoma"/>
            <family val="2"/>
          </rPr>
          <t>most not securitized given plans for ABS</t>
        </r>
      </text>
    </comment>
    <comment ref="DP426" authorId="16">
      <text>
        <r>
          <rPr>
            <sz val="9"/>
            <color indexed="81"/>
            <rFont val="Tahoma"/>
            <family val="2"/>
          </rPr>
          <t>most not securitized given plans for ABS</t>
        </r>
      </text>
    </comment>
    <comment ref="DQ426" authorId="16">
      <text>
        <r>
          <rPr>
            <sz val="9"/>
            <color indexed="81"/>
            <rFont val="Tahoma"/>
            <family val="2"/>
          </rPr>
          <t>most not securitized given plans for ABS</t>
        </r>
      </text>
    </comment>
    <comment ref="DR426" authorId="16">
      <text>
        <r>
          <rPr>
            <sz val="9"/>
            <color indexed="81"/>
            <rFont val="Tahoma"/>
            <family val="2"/>
          </rPr>
          <t>most not securitized given plans for ABS</t>
        </r>
      </text>
    </comment>
    <comment ref="DS426" authorId="16">
      <text>
        <r>
          <rPr>
            <sz val="9"/>
            <color indexed="81"/>
            <rFont val="Tahoma"/>
            <family val="2"/>
          </rPr>
          <t>most not securitized given plans for ABS</t>
        </r>
      </text>
    </comment>
    <comment ref="DT426" authorId="16">
      <text>
        <r>
          <rPr>
            <sz val="9"/>
            <color indexed="81"/>
            <rFont val="Tahoma"/>
            <family val="2"/>
          </rPr>
          <t>most not securitized given plans for ABS</t>
        </r>
      </text>
    </comment>
    <comment ref="DU426" authorId="16">
      <text>
        <r>
          <rPr>
            <sz val="9"/>
            <color indexed="81"/>
            <rFont val="Tahoma"/>
            <family val="2"/>
          </rPr>
          <t>most not securitized given plans for ABS</t>
        </r>
      </text>
    </comment>
    <comment ref="DV426" authorId="16">
      <text>
        <r>
          <rPr>
            <sz val="9"/>
            <color indexed="81"/>
            <rFont val="Tahoma"/>
            <family val="2"/>
          </rPr>
          <t>most not securitized given plans for ABS</t>
        </r>
      </text>
    </comment>
    <comment ref="BU460" authorId="1">
      <text>
        <r>
          <rPr>
            <b/>
            <sz val="8"/>
            <color indexed="8"/>
            <rFont val="Tahoma"/>
            <family val="2"/>
          </rPr>
          <t>dgaviria:</t>
        </r>
        <r>
          <rPr>
            <sz val="8"/>
            <color indexed="8"/>
            <rFont val="Tahoma"/>
            <family val="2"/>
          </rPr>
          <t xml:space="preserve">
Only annual provided in July 2009 S4:
$4,258
</t>
        </r>
      </text>
    </comment>
    <comment ref="BY460" authorId="1">
      <text>
        <r>
          <rPr>
            <b/>
            <sz val="8"/>
            <color indexed="8"/>
            <rFont val="Tahoma"/>
            <family val="2"/>
          </rPr>
          <t>dgaviria:</t>
        </r>
        <r>
          <rPr>
            <sz val="8"/>
            <color indexed="8"/>
            <rFont val="Tahoma"/>
            <family val="2"/>
          </rPr>
          <t xml:space="preserve">
Only annual provided in July 2009 S4:
$5,239
</t>
        </r>
      </text>
    </comment>
    <comment ref="CC460" authorId="1">
      <text>
        <r>
          <rPr>
            <b/>
            <sz val="8"/>
            <color indexed="8"/>
            <rFont val="Tahoma"/>
            <family val="2"/>
          </rPr>
          <t>dgaviria:</t>
        </r>
        <r>
          <rPr>
            <sz val="8"/>
            <color indexed="8"/>
            <rFont val="Tahoma"/>
            <family val="2"/>
          </rPr>
          <t xml:space="preserve">
Only annual provided in July 2009 S4:
$6,793
</t>
        </r>
      </text>
    </comment>
    <comment ref="CG460" authorId="1">
      <text>
        <r>
          <rPr>
            <b/>
            <sz val="8"/>
            <color indexed="8"/>
            <rFont val="Tahoma"/>
            <family val="2"/>
          </rPr>
          <t>dgaviria:</t>
        </r>
        <r>
          <rPr>
            <sz val="8"/>
            <color indexed="8"/>
            <rFont val="Tahoma"/>
            <family val="2"/>
          </rPr>
          <t xml:space="preserve">
Only annual provided in July 2009 S4:
$8,162
</t>
        </r>
      </text>
    </comment>
    <comment ref="CH460" authorId="1">
      <text>
        <r>
          <rPr>
            <b/>
            <sz val="8"/>
            <color indexed="8"/>
            <rFont val="Tahoma"/>
            <family val="2"/>
          </rPr>
          <t>dgaviria:</t>
        </r>
        <r>
          <rPr>
            <sz val="8"/>
            <color indexed="8"/>
            <rFont val="Tahoma"/>
            <family val="2"/>
          </rPr>
          <t xml:space="preserve">
Source: July 2009 S4</t>
        </r>
      </text>
    </comment>
    <comment ref="CK460" authorId="1">
      <text>
        <r>
          <rPr>
            <b/>
            <sz val="8"/>
            <color indexed="8"/>
            <rFont val="Tahoma"/>
            <family val="2"/>
          </rPr>
          <t>dgaviria:</t>
        </r>
        <r>
          <rPr>
            <sz val="8"/>
            <color indexed="8"/>
            <rFont val="Tahoma"/>
            <family val="2"/>
          </rPr>
          <t xml:space="preserve">
2008 total $9702 according to July 2009 S4</t>
        </r>
      </text>
    </comment>
    <comment ref="DB460" authorId="16">
      <text>
        <r>
          <rPr>
            <b/>
            <sz val="9"/>
            <color indexed="81"/>
            <rFont val="Tahoma"/>
            <family val="2"/>
          </rPr>
          <t>Sinkevicius, Armintas (Research):</t>
        </r>
        <r>
          <rPr>
            <sz val="9"/>
            <color indexed="81"/>
            <rFont val="Tahoma"/>
            <family val="2"/>
          </rPr>
          <t xml:space="preserve">
MS Estimate</t>
        </r>
      </text>
    </comment>
    <comment ref="DC460" authorId="16">
      <text>
        <r>
          <rPr>
            <b/>
            <sz val="9"/>
            <color indexed="81"/>
            <rFont val="Tahoma"/>
            <family val="2"/>
          </rPr>
          <t>Sinkevicius, Armintas (Research):</t>
        </r>
        <r>
          <rPr>
            <sz val="9"/>
            <color indexed="81"/>
            <rFont val="Tahoma"/>
            <family val="2"/>
          </rPr>
          <t xml:space="preserve">
MS Estimate</t>
        </r>
      </text>
    </comment>
    <comment ref="BU471" authorId="1">
      <text>
        <r>
          <rPr>
            <b/>
            <sz val="8"/>
            <color indexed="8"/>
            <rFont val="Tahoma"/>
            <family val="2"/>
          </rPr>
          <t>dgaviria:</t>
        </r>
        <r>
          <rPr>
            <sz val="8"/>
            <color indexed="8"/>
            <rFont val="Tahoma"/>
            <family val="2"/>
          </rPr>
          <t xml:space="preserve">
Only annual provided in July 2009 S4:
$3,489
</t>
        </r>
      </text>
    </comment>
    <comment ref="BY471" authorId="1">
      <text>
        <r>
          <rPr>
            <b/>
            <sz val="8"/>
            <color indexed="8"/>
            <rFont val="Tahoma"/>
            <family val="2"/>
          </rPr>
          <t>dgaviria:</t>
        </r>
        <r>
          <rPr>
            <sz val="8"/>
            <color indexed="8"/>
            <rFont val="Tahoma"/>
            <family val="2"/>
          </rPr>
          <t xml:space="preserve">
Only annual provided in July 2009 S4:
$4,154
</t>
        </r>
      </text>
    </comment>
    <comment ref="CC471" authorId="1">
      <text>
        <r>
          <rPr>
            <b/>
            <sz val="8"/>
            <color indexed="8"/>
            <rFont val="Tahoma"/>
            <family val="2"/>
          </rPr>
          <t>dgaviria:</t>
        </r>
        <r>
          <rPr>
            <sz val="8"/>
            <color indexed="8"/>
            <rFont val="Tahoma"/>
            <family val="2"/>
          </rPr>
          <t xml:space="preserve">
Only annual provided in July 2009 S4:
$4,698
</t>
        </r>
      </text>
    </comment>
    <comment ref="CG471" authorId="1">
      <text>
        <r>
          <rPr>
            <b/>
            <sz val="8"/>
            <color indexed="8"/>
            <rFont val="Tahoma"/>
            <family val="2"/>
          </rPr>
          <t>dgaviria:</t>
        </r>
        <r>
          <rPr>
            <sz val="8"/>
            <color indexed="8"/>
            <rFont val="Tahoma"/>
            <family val="2"/>
          </rPr>
          <t xml:space="preserve">
Only annual provided in July 2009 S4:
$5,294
</t>
        </r>
      </text>
    </comment>
    <comment ref="CH471" authorId="1">
      <text>
        <r>
          <rPr>
            <b/>
            <sz val="8"/>
            <color indexed="8"/>
            <rFont val="Tahoma"/>
            <family val="2"/>
          </rPr>
          <t>dgaviria:</t>
        </r>
        <r>
          <rPr>
            <sz val="8"/>
            <color indexed="8"/>
            <rFont val="Tahoma"/>
            <family val="2"/>
          </rPr>
          <t xml:space="preserve">
Source: July 2009 S4</t>
        </r>
      </text>
    </comment>
    <comment ref="CK471" authorId="1">
      <text>
        <r>
          <rPr>
            <b/>
            <sz val="8"/>
            <color indexed="8"/>
            <rFont val="Tahoma"/>
            <family val="2"/>
          </rPr>
          <t>dgaviria:</t>
        </r>
        <r>
          <rPr>
            <sz val="8"/>
            <color indexed="8"/>
            <rFont val="Tahoma"/>
            <family val="2"/>
          </rPr>
          <t xml:space="preserve">
2008 total $6015 according to July 2009 S4</t>
        </r>
      </text>
    </comment>
    <comment ref="BU477" authorId="1">
      <text>
        <r>
          <rPr>
            <b/>
            <sz val="8"/>
            <color indexed="8"/>
            <rFont val="Tahoma"/>
            <family val="2"/>
          </rPr>
          <t>dgaviria:</t>
        </r>
        <r>
          <rPr>
            <sz val="8"/>
            <color indexed="8"/>
            <rFont val="Tahoma"/>
            <family val="2"/>
          </rPr>
          <t xml:space="preserve">
Only annual provided in July 2009 S4:
$4,258
</t>
        </r>
      </text>
    </comment>
    <comment ref="BY477" authorId="1">
      <text>
        <r>
          <rPr>
            <b/>
            <sz val="8"/>
            <color indexed="8"/>
            <rFont val="Tahoma"/>
            <family val="2"/>
          </rPr>
          <t>dgaviria:</t>
        </r>
        <r>
          <rPr>
            <sz val="8"/>
            <color indexed="8"/>
            <rFont val="Tahoma"/>
            <family val="2"/>
          </rPr>
          <t xml:space="preserve">
Only annual provided in July 2009 S4:
$5,239
</t>
        </r>
      </text>
    </comment>
    <comment ref="CC477" authorId="1">
      <text>
        <r>
          <rPr>
            <b/>
            <sz val="8"/>
            <color indexed="8"/>
            <rFont val="Tahoma"/>
            <family val="2"/>
          </rPr>
          <t>dgaviria:</t>
        </r>
        <r>
          <rPr>
            <sz val="8"/>
            <color indexed="8"/>
            <rFont val="Tahoma"/>
            <family val="2"/>
          </rPr>
          <t xml:space="preserve">
Only annual provided in July 2009 S4:
$6,793
</t>
        </r>
      </text>
    </comment>
    <comment ref="CG477" authorId="1">
      <text>
        <r>
          <rPr>
            <b/>
            <sz val="8"/>
            <color indexed="8"/>
            <rFont val="Tahoma"/>
            <family val="2"/>
          </rPr>
          <t>dgaviria:</t>
        </r>
        <r>
          <rPr>
            <sz val="8"/>
            <color indexed="8"/>
            <rFont val="Tahoma"/>
            <family val="2"/>
          </rPr>
          <t xml:space="preserve">
Only annual provided in July 2009 S4:
$8,162
</t>
        </r>
      </text>
    </comment>
    <comment ref="CH477" authorId="1">
      <text>
        <r>
          <rPr>
            <b/>
            <sz val="8"/>
            <color indexed="8"/>
            <rFont val="Tahoma"/>
            <family val="2"/>
          </rPr>
          <t>dgaviria:</t>
        </r>
        <r>
          <rPr>
            <sz val="8"/>
            <color indexed="8"/>
            <rFont val="Tahoma"/>
            <family val="2"/>
          </rPr>
          <t xml:space="preserve">
Source: July 2009 S4</t>
        </r>
      </text>
    </comment>
    <comment ref="CK477" authorId="1">
      <text>
        <r>
          <rPr>
            <b/>
            <sz val="8"/>
            <color indexed="8"/>
            <rFont val="Tahoma"/>
            <family val="2"/>
          </rPr>
          <t>dgaviria:</t>
        </r>
        <r>
          <rPr>
            <sz val="8"/>
            <color indexed="8"/>
            <rFont val="Tahoma"/>
            <family val="2"/>
          </rPr>
          <t xml:space="preserve">
2008 total $9702 according to July 2009 S4</t>
        </r>
      </text>
    </comment>
    <comment ref="DB477" authorId="16">
      <text>
        <r>
          <rPr>
            <b/>
            <sz val="9"/>
            <color indexed="81"/>
            <rFont val="Tahoma"/>
            <family val="2"/>
          </rPr>
          <t>Sinkevicius, Armintas (Research):</t>
        </r>
        <r>
          <rPr>
            <sz val="9"/>
            <color indexed="81"/>
            <rFont val="Tahoma"/>
            <family val="2"/>
          </rPr>
          <t xml:space="preserve">
MS Estimate</t>
        </r>
      </text>
    </comment>
    <comment ref="DC477" authorId="16">
      <text>
        <r>
          <rPr>
            <b/>
            <sz val="9"/>
            <color indexed="81"/>
            <rFont val="Tahoma"/>
            <family val="2"/>
          </rPr>
          <t>Sinkevicius, Armintas (Research):</t>
        </r>
        <r>
          <rPr>
            <sz val="9"/>
            <color indexed="81"/>
            <rFont val="Tahoma"/>
            <family val="2"/>
          </rPr>
          <t xml:space="preserve">
MS Estimate</t>
        </r>
      </text>
    </comment>
    <comment ref="DW491" authorId="11">
      <text>
        <r>
          <rPr>
            <sz val="9"/>
            <color indexed="81"/>
            <rFont val="Tahoma"/>
            <family val="2"/>
          </rPr>
          <t>ASC 606
$0.9-1.2B benefit to EBITDA, per 8-K</t>
        </r>
      </text>
    </comment>
    <comment ref="DX491" authorId="11">
      <text>
        <r>
          <rPr>
            <sz val="9"/>
            <color indexed="81"/>
            <rFont val="Tahoma"/>
            <family val="2"/>
          </rPr>
          <t>ASC 606
$0.9-1.2B benefit to EBITDA, per 8-K</t>
        </r>
      </text>
    </comment>
    <comment ref="DY491" authorId="11">
      <text>
        <r>
          <rPr>
            <sz val="9"/>
            <color indexed="81"/>
            <rFont val="Tahoma"/>
            <family val="2"/>
          </rPr>
          <t>ASC 606
$0.9-1.2B benefit to EBITDA, per 8-K</t>
        </r>
      </text>
    </comment>
    <comment ref="CN514" authorId="1">
      <text>
        <r>
          <rPr>
            <b/>
            <sz val="8"/>
            <color indexed="8"/>
            <rFont val="Tahoma"/>
            <family val="2"/>
          </rPr>
          <t>dgaviria:</t>
        </r>
        <r>
          <rPr>
            <sz val="8"/>
            <color indexed="8"/>
            <rFont val="Tahoma"/>
            <family val="2"/>
          </rPr>
          <t xml:space="preserve">
$2998M in ST debt
</t>
        </r>
      </text>
    </comment>
    <comment ref="CO514" authorId="1">
      <text>
        <r>
          <rPr>
            <b/>
            <sz val="8"/>
            <color indexed="8"/>
            <rFont val="Tahoma"/>
            <family val="2"/>
          </rPr>
          <t>dgaviria:</t>
        </r>
        <r>
          <rPr>
            <sz val="8"/>
            <color indexed="8"/>
            <rFont val="Tahoma"/>
            <family val="2"/>
          </rPr>
          <t xml:space="preserve">
$2998M in ST debt
</t>
        </r>
      </text>
    </comment>
    <comment ref="CP514" authorId="1">
      <text>
        <r>
          <rPr>
            <b/>
            <sz val="8"/>
            <color indexed="8"/>
            <rFont val="Tahoma"/>
            <family val="2"/>
          </rPr>
          <t>dgaviria:</t>
        </r>
        <r>
          <rPr>
            <sz val="8"/>
            <color indexed="8"/>
            <rFont val="Tahoma"/>
            <family val="2"/>
          </rPr>
          <t xml:space="preserve">
$2998M in ST debt
</t>
        </r>
      </text>
    </comment>
    <comment ref="CQ514" authorId="1">
      <text>
        <r>
          <rPr>
            <b/>
            <sz val="8"/>
            <color indexed="8"/>
            <rFont val="Tahoma"/>
            <family val="2"/>
          </rPr>
          <t>dgaviria:</t>
        </r>
        <r>
          <rPr>
            <sz val="8"/>
            <color indexed="8"/>
            <rFont val="Tahoma"/>
            <family val="2"/>
          </rPr>
          <t xml:space="preserve">
$3999 in ST Debt</t>
        </r>
      </text>
    </comment>
    <comment ref="CR514" authorId="1">
      <text>
        <r>
          <rPr>
            <b/>
            <sz val="8"/>
            <color indexed="8"/>
            <rFont val="Tahoma"/>
            <family val="2"/>
          </rPr>
          <t>dgaviria:</t>
        </r>
        <r>
          <rPr>
            <sz val="8"/>
            <color indexed="8"/>
            <rFont val="Tahoma"/>
            <family val="2"/>
          </rPr>
          <t xml:space="preserve">
$3999 in ST Debt</t>
        </r>
      </text>
    </comment>
    <comment ref="CM520" authorId="1">
      <text>
        <r>
          <rPr>
            <b/>
            <sz val="8"/>
            <color indexed="8"/>
            <rFont val="Tahoma"/>
            <family val="2"/>
          </rPr>
          <t>dgaviria:</t>
        </r>
        <r>
          <rPr>
            <sz val="8"/>
            <color indexed="8"/>
            <rFont val="Tahoma"/>
            <family val="2"/>
          </rPr>
          <t xml:space="preserve">
debt maturity commentary puts total debt at $21.9B…but excel file from SEC puts it at $22.087…a 219 difference</t>
        </r>
      </text>
    </comment>
    <comment ref="CO520" authorId="1">
      <text>
        <r>
          <rPr>
            <b/>
            <sz val="8"/>
            <color indexed="8"/>
            <rFont val="Tahoma"/>
            <family val="2"/>
          </rPr>
          <t>dgaviria:</t>
        </r>
        <r>
          <rPr>
            <sz val="8"/>
            <color indexed="8"/>
            <rFont val="Tahoma"/>
            <family val="2"/>
          </rPr>
          <t xml:space="preserve">
$2.998M are classified as ST</t>
        </r>
      </text>
    </comment>
    <comment ref="CP520" authorId="1">
      <text>
        <r>
          <rPr>
            <b/>
            <sz val="8"/>
            <color indexed="8"/>
            <rFont val="Tahoma"/>
            <family val="2"/>
          </rPr>
          <t>dgaviria:</t>
        </r>
        <r>
          <rPr>
            <sz val="8"/>
            <color indexed="8"/>
            <rFont val="Tahoma"/>
            <family val="2"/>
          </rPr>
          <t xml:space="preserve">
debt maturity commentary puts total debt at $21.9B…but excel file from SEC puts it at $22.087…a 219 difference</t>
        </r>
      </text>
    </comment>
    <comment ref="P537" authorId="1">
      <text>
        <r>
          <rPr>
            <b/>
            <sz val="8"/>
            <color indexed="8"/>
            <rFont val="Tahoma"/>
            <family val="2"/>
          </rPr>
          <t>dgaviria:</t>
        </r>
        <r>
          <rPr>
            <sz val="8"/>
            <color indexed="8"/>
            <rFont val="Tahoma"/>
            <family val="2"/>
          </rPr>
          <t xml:space="preserve">
s</t>
        </r>
      </text>
    </comment>
    <comment ref="BZ537" authorId="2">
      <text>
        <r>
          <rPr>
            <b/>
            <sz val="8"/>
            <color indexed="8"/>
            <rFont val="Tahoma"/>
            <family val="2"/>
          </rPr>
          <t>smythra:</t>
        </r>
        <r>
          <rPr>
            <sz val="8"/>
            <color indexed="8"/>
            <rFont val="Tahoma"/>
            <family val="2"/>
          </rPr>
          <t xml:space="preserve">
$1660 NI plus $124 MM cum effect of acctg change</t>
        </r>
      </text>
    </comment>
    <comment ref="CA537" authorId="2">
      <text>
        <r>
          <rPr>
            <b/>
            <sz val="8"/>
            <color indexed="8"/>
            <rFont val="Tahoma"/>
            <family val="2"/>
          </rPr>
          <t>smythra:</t>
        </r>
        <r>
          <rPr>
            <sz val="8"/>
            <color indexed="8"/>
            <rFont val="Tahoma"/>
            <family val="2"/>
          </rPr>
          <t xml:space="preserve">
incl. $3701 NI plus $124 M cum effect of actg change</t>
        </r>
      </text>
    </comment>
    <comment ref="CB537" authorId="2">
      <text>
        <r>
          <rPr>
            <b/>
            <sz val="8"/>
            <color indexed="8"/>
            <rFont val="Tahoma"/>
            <family val="2"/>
          </rPr>
          <t>smythra:</t>
        </r>
        <r>
          <rPr>
            <sz val="8"/>
            <color indexed="8"/>
            <rFont val="Tahoma"/>
            <family val="2"/>
          </rPr>
          <t xml:space="preserve">
incl. $5977 NI plus $124 M cum effect of actg change</t>
        </r>
      </text>
    </comment>
    <comment ref="N545" authorId="1">
      <text>
        <r>
          <rPr>
            <b/>
            <sz val="8"/>
            <color indexed="8"/>
            <rFont val="Tahoma"/>
            <family val="2"/>
          </rPr>
          <t>dgaviria:</t>
        </r>
        <r>
          <rPr>
            <sz val="8"/>
            <color indexed="8"/>
            <rFont val="Tahoma"/>
            <family val="2"/>
          </rPr>
          <t xml:space="preserve">
S4 July 2009</t>
        </r>
      </text>
    </comment>
    <comment ref="O545" authorId="1">
      <text>
        <r>
          <rPr>
            <b/>
            <sz val="8"/>
            <color indexed="8"/>
            <rFont val="Tahoma"/>
            <family val="2"/>
          </rPr>
          <t>dgaviria:</t>
        </r>
        <r>
          <rPr>
            <sz val="8"/>
            <color indexed="8"/>
            <rFont val="Tahoma"/>
            <family val="2"/>
          </rPr>
          <t xml:space="preserve">
S4 July 2009</t>
        </r>
      </text>
    </comment>
    <comment ref="P552" authorId="1">
      <text>
        <r>
          <rPr>
            <b/>
            <sz val="8"/>
            <color indexed="8"/>
            <rFont val="Tahoma"/>
            <family val="2"/>
          </rPr>
          <t>dgaviria:</t>
        </r>
        <r>
          <rPr>
            <sz val="8"/>
            <color indexed="8"/>
            <rFont val="Tahoma"/>
            <family val="2"/>
          </rPr>
          <t xml:space="preserve">
Rural Cellular + 700MHz</t>
        </r>
      </text>
    </comment>
    <comment ref="CL552" authorId="1">
      <text>
        <r>
          <rPr>
            <b/>
            <sz val="8"/>
            <color indexed="8"/>
            <rFont val="Tahoma"/>
            <family val="2"/>
          </rPr>
          <t>dgaviria:</t>
        </r>
        <r>
          <rPr>
            <sz val="8"/>
            <color indexed="8"/>
            <rFont val="Tahoma"/>
            <family val="2"/>
          </rPr>
          <t xml:space="preserve">
For the three months ended March 31, 2009, our primary use of cash in investing activities was our acquisition of the equity of Alltel for cash consideration of $4,881 million, net of cash acquired from Alltel</t>
        </r>
      </text>
    </comment>
    <comment ref="CB553" authorId="2">
      <text>
        <r>
          <rPr>
            <b/>
            <sz val="8"/>
            <color indexed="8"/>
            <rFont val="Tahoma"/>
            <family val="2"/>
          </rPr>
          <t>smythra:</t>
        </r>
        <r>
          <rPr>
            <sz val="8"/>
            <color indexed="8"/>
            <rFont val="Tahoma"/>
            <family val="2"/>
          </rPr>
          <t xml:space="preserve">
wireless license deposit</t>
        </r>
      </text>
    </comment>
    <comment ref="CL560" authorId="1">
      <text>
        <r>
          <rPr>
            <b/>
            <sz val="8"/>
            <color indexed="8"/>
            <rFont val="Tahoma"/>
            <family val="2"/>
          </rPr>
          <t>dgaviria:</t>
        </r>
        <r>
          <rPr>
            <sz val="8"/>
            <color indexed="8"/>
            <rFont val="Tahoma"/>
            <family val="2"/>
          </rPr>
          <t xml:space="preserve">
repayments of existing intercompany debt of $464 </t>
        </r>
      </text>
    </comment>
    <comment ref="CM560" authorId="1">
      <text>
        <r>
          <rPr>
            <b/>
            <sz val="8"/>
            <color indexed="8"/>
            <rFont val="Tahoma"/>
            <family val="2"/>
          </rPr>
          <t>dgaviria:</t>
        </r>
        <r>
          <rPr>
            <sz val="8"/>
            <color indexed="8"/>
            <rFont val="Tahoma"/>
            <family val="2"/>
          </rPr>
          <t xml:space="preserve">
Does not match affiliate debt schedule by $8M</t>
        </r>
      </text>
    </comment>
    <comment ref="CN560" authorId="1">
      <text>
        <r>
          <rPr>
            <b/>
            <sz val="8"/>
            <color indexed="8"/>
            <rFont val="Tahoma"/>
            <family val="2"/>
          </rPr>
          <t>dgaviria:</t>
        </r>
        <r>
          <rPr>
            <sz val="8"/>
            <color indexed="8"/>
            <rFont val="Tahoma"/>
            <family val="2"/>
          </rPr>
          <t xml:space="preserve">
Does not match affiliate debt schedule by $5M</t>
        </r>
      </text>
    </comment>
    <comment ref="CL562" authorId="1">
      <text>
        <r>
          <rPr>
            <b/>
            <sz val="8"/>
            <color indexed="8"/>
            <rFont val="Tahoma"/>
            <family val="2"/>
          </rPr>
          <t>dgaviria:</t>
        </r>
        <r>
          <rPr>
            <sz val="8"/>
            <color indexed="8"/>
            <rFont val="Tahoma"/>
            <family val="2"/>
          </rPr>
          <t xml:space="preserve">
Net cash used in financing activities for the three months ended March 31, 2009 was $6,468 million. The proceeds from borrowings during the three months ended March 31, 2009 net of discounts and issuance costs were approximately $12,102 million from borrowings under the Acquisition Bridge Facility and $4,211 million from the issuance of the February 2009 Notes. Cash flows used in financing activities during the three months ended March 31, 2009 primarily included repayments of $16,398 million of assumed Alltel debt, the repayment of $5,111 million of borrowings under the Acquisition Bridge Facility using proceeds from the issuance of the February 2009 Notes and $900 million from operating cash flows, </t>
        </r>
      </text>
    </comment>
    <comment ref="R563" authorId="1">
      <text>
        <r>
          <rPr>
            <b/>
            <sz val="8"/>
            <color indexed="8"/>
            <rFont val="Tahoma"/>
            <family val="2"/>
          </rPr>
          <t>dgaviria:</t>
        </r>
        <r>
          <rPr>
            <sz val="8"/>
            <color indexed="8"/>
            <rFont val="Tahoma"/>
            <family val="2"/>
          </rPr>
          <t xml:space="preserve">
</t>
        </r>
        <r>
          <rPr>
            <b/>
            <sz val="8"/>
            <color indexed="8"/>
            <rFont val="Tahoma"/>
            <family val="2"/>
          </rPr>
          <t>On May 15, 2009, we made an aggregate tax distribution to our Partners of $535 million for the quarter ending March 31, 2009.</t>
        </r>
        <r>
          <rPr>
            <sz val="8"/>
            <color indexed="8"/>
            <rFont val="Tahoma"/>
            <family val="2"/>
          </rPr>
          <t xml:space="preserve">  
</t>
        </r>
        <r>
          <rPr>
            <b/>
            <sz val="8"/>
            <color indexed="8"/>
            <rFont val="Tahoma"/>
            <family val="2"/>
          </rPr>
          <t>Additionally,</t>
        </r>
        <r>
          <rPr>
            <sz val="8"/>
            <color indexed="8"/>
            <rFont val="Tahoma"/>
            <family val="2"/>
          </rPr>
          <t xml:space="preserve"> our Partners have directed us to make the following supplemental tax distributions to them following the closing of the Alltel Acquisition, subject to our board of representatives’ right to reconsider these distributions based on significant changes in overall business and financial conditions: 
The first supplemental tax distribution in the amount of $250 million to Vodafone and $306 million to Verizon Communications will be paid on the November 2009 established tax distribution date, or, if the Acquisition Bridge Facility is repaid prior to the August 2009 established tax distribution date, one-half of the applicable amount of the first supplemental tax distribution will be paid to Vodafone and Verizon Communications on the August 2009 established tax distribution date (which would be in the amount of $125 million to Vodafone and $153 million to Verizon Communications) and the other one-half will be paid to them on the November 2009 established tax distribution date.
</t>
        </r>
        <r>
          <rPr>
            <b/>
            <sz val="8"/>
            <color indexed="8"/>
            <rFont val="Tahoma"/>
            <family val="2"/>
          </rPr>
          <t>Three subsequent annual supplemental tax distributions in the amount of $300 million to Vodafone and $367 million to Verizon Communications in each of 2010, 2011 and 2012 will be paid in equal quarterly installments during each of those years on the same dates that the established tax distributions are made—that is, $75 million to Vodafone and $92 million to Verizon Communications on the established tax distribution date in February, May, August and November of 2010, 2011 and 2012.</t>
        </r>
      </text>
    </comment>
    <comment ref="S563" authorId="1">
      <text>
        <r>
          <rPr>
            <b/>
            <sz val="8"/>
            <color indexed="8"/>
            <rFont val="Tahoma"/>
            <family val="2"/>
          </rPr>
          <t>dgaviria:</t>
        </r>
        <r>
          <rPr>
            <sz val="8"/>
            <color indexed="8"/>
            <rFont val="Tahoma"/>
            <family val="2"/>
          </rPr>
          <t xml:space="preserve">
</t>
        </r>
        <r>
          <rPr>
            <b/>
            <sz val="8"/>
            <color indexed="8"/>
            <rFont val="Tahoma"/>
            <family val="2"/>
          </rPr>
          <t>On May 15, 2009, we made an aggregate tax distribution to our Partners of $535 million for the quarter ending March 31, 2009.</t>
        </r>
        <r>
          <rPr>
            <sz val="8"/>
            <color indexed="8"/>
            <rFont val="Tahoma"/>
            <family val="2"/>
          </rPr>
          <t xml:space="preserve">  
</t>
        </r>
        <r>
          <rPr>
            <b/>
            <sz val="8"/>
            <color indexed="8"/>
            <rFont val="Tahoma"/>
            <family val="2"/>
          </rPr>
          <t>Additionally,</t>
        </r>
        <r>
          <rPr>
            <sz val="8"/>
            <color indexed="8"/>
            <rFont val="Tahoma"/>
            <family val="2"/>
          </rPr>
          <t xml:space="preserve"> our Partners have directed us to make the following supplemental tax distributions to them following the closing of the Alltel Acquisition, subject to our board of representatives’ right to reconsider these distributions based on significant changes in overall business and financial conditions: 
The first supplemental tax distribution in the amount of $250 million to Vodafone and $306 million to Verizon Communications will be paid on the November 2009 established tax distribution date, or, if the Acquisition Bridge Facility is repaid prior to the August 2009 established tax distribution date, one-half of the applicable amount of the first supplemental tax distribution will be paid to Vodafone and Verizon Communications on the August 2009 established tax distribution date (which would be in the amount of $125 million to Vodafone and $153 million to Verizon Communications) and the other one-half will be paid to them on the November 2009 established tax distribution date.
</t>
        </r>
        <r>
          <rPr>
            <b/>
            <sz val="8"/>
            <color indexed="8"/>
            <rFont val="Tahoma"/>
            <family val="2"/>
          </rPr>
          <t>Three subsequent annual supplemental tax distributions in the amount of $300 million to Vodafone and $367 million to Verizon Communications in each of 2010, 2011 and 2012 will be paid in equal quarterly installments during each of those years on the same dates that the established tax distributions are made—that is, $75 million to Vodafone and $92 million to Verizon Communications on the established tax distribution date in February, May, August and November of 2010, 2011 and 2012.</t>
        </r>
      </text>
    </comment>
    <comment ref="T563" authorId="1">
      <text>
        <r>
          <rPr>
            <b/>
            <sz val="8"/>
            <color indexed="8"/>
            <rFont val="Tahoma"/>
            <family val="2"/>
          </rPr>
          <t>dgaviria:</t>
        </r>
        <r>
          <rPr>
            <sz val="8"/>
            <color indexed="8"/>
            <rFont val="Tahoma"/>
            <family val="2"/>
          </rPr>
          <t xml:space="preserve">
</t>
        </r>
        <r>
          <rPr>
            <b/>
            <sz val="8"/>
            <color indexed="8"/>
            <rFont val="Tahoma"/>
            <family val="2"/>
          </rPr>
          <t>On May 15, 2009, we made an aggregate tax distribution to our Partners of $535 million for the quarter ending March 31, 2009.</t>
        </r>
        <r>
          <rPr>
            <sz val="8"/>
            <color indexed="8"/>
            <rFont val="Tahoma"/>
            <family val="2"/>
          </rPr>
          <t xml:space="preserve">  
</t>
        </r>
        <r>
          <rPr>
            <b/>
            <sz val="8"/>
            <color indexed="8"/>
            <rFont val="Tahoma"/>
            <family val="2"/>
          </rPr>
          <t>Additionally,</t>
        </r>
        <r>
          <rPr>
            <sz val="8"/>
            <color indexed="8"/>
            <rFont val="Tahoma"/>
            <family val="2"/>
          </rPr>
          <t xml:space="preserve"> our Partners have directed us to make the following supplemental tax distributions to them following the closing of the Alltel Acquisition, subject to our board of representatives’ right to reconsider these distributions based on significant changes in overall business and financial conditions: 
The first supplemental tax distribution in the amount of $250 million to Vodafone and $306 million to Verizon Communications will be paid on the November 2009 established tax distribution date, or, if the Acquisition Bridge Facility is repaid prior to the August 2009 established tax distribution date, one-half of the applicable amount of the first supplemental tax distribution will be paid to Vodafone and Verizon Communications on the August 2009 established tax distribution date (which would be in the amount of $125 million to Vodafone and $153 million to Verizon Communications) and the other one-half will be paid to them on the November 2009 established tax distribution date.
</t>
        </r>
        <r>
          <rPr>
            <b/>
            <sz val="8"/>
            <color indexed="8"/>
            <rFont val="Tahoma"/>
            <family val="2"/>
          </rPr>
          <t>Three subsequent annual supplemental tax distributions in the amount of $300 million to Vodafone and $367 million to Verizon Communications in each of 2010, 2011 and 2012 will be paid in equal quarterly installments during each of those years on the same dates that the established tax distributions are made—that is, $75 million to Vodafone and $92 million to Verizon Communications on the established tax distribution date in February, May, August and November of 2010, 2011 and 2012.</t>
        </r>
      </text>
    </comment>
    <comment ref="CL563" authorId="1">
      <text>
        <r>
          <rPr>
            <b/>
            <sz val="8"/>
            <color indexed="8"/>
            <rFont val="Tahoma"/>
            <family val="2"/>
          </rPr>
          <t>dgaviria:</t>
        </r>
        <r>
          <rPr>
            <sz val="8"/>
            <color indexed="8"/>
            <rFont val="Tahoma"/>
            <family val="2"/>
          </rPr>
          <t xml:space="preserve">
distributions to our Partners of $336 million</t>
        </r>
      </text>
    </comment>
    <comment ref="CM563" authorId="1">
      <text>
        <r>
          <rPr>
            <b/>
            <sz val="8"/>
            <color indexed="8"/>
            <rFont val="Tahoma"/>
            <family val="2"/>
          </rPr>
          <t>dgaviria:</t>
        </r>
        <r>
          <rPr>
            <sz val="8"/>
            <color indexed="8"/>
            <rFont val="Tahoma"/>
            <family val="2"/>
          </rPr>
          <t xml:space="preserve">
</t>
        </r>
        <r>
          <rPr>
            <b/>
            <sz val="8"/>
            <color indexed="8"/>
            <rFont val="Tahoma"/>
            <family val="2"/>
          </rPr>
          <t>On May 15, 2009, we made an aggregate tax distribution to our Partners of $535 million for the quarter ending March 31, 2009.</t>
        </r>
        <r>
          <rPr>
            <sz val="8"/>
            <color indexed="8"/>
            <rFont val="Tahoma"/>
            <family val="2"/>
          </rPr>
          <t xml:space="preserve">  
</t>
        </r>
        <r>
          <rPr>
            <b/>
            <sz val="8"/>
            <color indexed="8"/>
            <rFont val="Tahoma"/>
            <family val="2"/>
          </rPr>
          <t>Additionally,</t>
        </r>
        <r>
          <rPr>
            <sz val="8"/>
            <color indexed="8"/>
            <rFont val="Tahoma"/>
            <family val="2"/>
          </rPr>
          <t xml:space="preserve"> our Partners have directed us to make the following supplemental tax distributions to them following the closing of the Alltel Acquisition, subject to our board of representatives’ right to reconsider these distributions based on significant changes in overall business and financial conditions: 
The first supplemental tax distribution in the amount of $250 million to Vodafone and $306 million to Verizon Communications will be paid on the November 2009 established tax distribution date, or, if the Acquisition Bridge Facility is repaid prior to the August 2009 established tax distribution date, one-half of the applicable amount of the first supplemental tax distribution will be paid to Vodafone and Verizon Communications on the August 2009 established tax distribution date (which would be in the amount of $125 million to Vodafone and $153 million to Verizon Communications) and the other one-half will be paid to them on the November 2009 established tax distribution date.
</t>
        </r>
        <r>
          <rPr>
            <b/>
            <sz val="8"/>
            <color indexed="8"/>
            <rFont val="Tahoma"/>
            <family val="2"/>
          </rPr>
          <t>Three subsequent annual supplemental tax distributions in the amount of $300 million to Vodafone and $367 million to Verizon Communications in each of 2010, 2011 and 2012 will be paid in equal quarterly installments during each of those years on the same dates that the established tax distributions are made—that is, $75 million to Vodafone and $92 million to Verizon Communications on the established tax distribution date in February, May, August and November of 2010, 2011 and 2012.</t>
        </r>
      </text>
    </comment>
    <comment ref="CP563" authorId="1">
      <text>
        <r>
          <rPr>
            <b/>
            <sz val="8"/>
            <color indexed="8"/>
            <rFont val="Tahoma"/>
            <family val="2"/>
          </rPr>
          <t>dgaviria:</t>
        </r>
        <r>
          <rPr>
            <sz val="8"/>
            <color indexed="8"/>
            <rFont val="Tahoma"/>
            <family val="2"/>
          </rPr>
          <t xml:space="preserve">
Three subsequent annual supplemental tax distributions in the amount of $300 million to Vodafone and $367 million to Verizon Communications in each of 2010, 2011 and 2012 will be paid in equal quarterly installments during each of those years on the same dates that the established tax distributions are made—that is, $75 million to Vodafone and $92 million to Verizon Communications on the established tax distribution date in February, May, August and November of 2010, 2011 and 2012.</t>
        </r>
      </text>
    </comment>
    <comment ref="CQ563" authorId="1">
      <text>
        <r>
          <rPr>
            <b/>
            <sz val="8"/>
            <color indexed="8"/>
            <rFont val="Tahoma"/>
            <family val="2"/>
          </rPr>
          <t>dgaviria:</t>
        </r>
        <r>
          <rPr>
            <sz val="8"/>
            <color indexed="8"/>
            <rFont val="Tahoma"/>
            <family val="2"/>
          </rPr>
          <t xml:space="preserve">
VZW 2Q10Q
On May 14, 2010, we paid tax distributions to our Partners of $1,247 million, including an aggregate tax distribution of  $1,080 million for the quarter ended March 31, 2010 as well as a $167 million supplemental tax distribution.
</t>
        </r>
        <r>
          <rPr>
            <sz val="8"/>
            <color indexed="10"/>
            <rFont val="Tahoma"/>
            <family val="2"/>
          </rPr>
          <t xml:space="preserve">Three subsequent annual supplemental tax distributions in the amount of $300 million to Vodafone and $367 million to Verizon Communications in each of 2010, 2011 and 2012 will be paid in equal quarterly installments during each of those years on the same dates that the established tax distributions are made—that is, $75 million to Vodafone and $92 million to Verizon Communications on the established tax distribution date in February, May, August and November of 2010, 2011 and 2012.
</t>
        </r>
        <r>
          <rPr>
            <sz val="8"/>
            <color indexed="8"/>
            <rFont val="Tahoma"/>
            <family val="2"/>
          </rPr>
          <t xml:space="preserve">
</t>
        </r>
      </text>
    </comment>
    <comment ref="CR563" authorId="1">
      <text>
        <r>
          <rPr>
            <b/>
            <sz val="8"/>
            <color indexed="8"/>
            <rFont val="Tahoma"/>
            <family val="2"/>
          </rPr>
          <t>dgaviria:</t>
        </r>
        <r>
          <rPr>
            <sz val="8"/>
            <color indexed="8"/>
            <rFont val="Tahoma"/>
            <family val="2"/>
          </rPr>
          <t xml:space="preserve">
Three subsequent annual supplemental tax distributions in the amount of $300 million to Vodafone and $367 million to Verizon Communications in each of 2010, 2011 and 2012 will be paid in equal quarterly installments during each of those years on the same dates that the established tax distributions are made—that is, $75 million to Vodafone and $92 million to Verizon Communications on the established tax distribution date in February, May, August and November of 2010, 2011 and 2012.</t>
        </r>
      </text>
    </comment>
    <comment ref="CS563" authorId="1">
      <text>
        <r>
          <rPr>
            <b/>
            <sz val="8"/>
            <color indexed="8"/>
            <rFont val="Tahoma"/>
            <family val="2"/>
          </rPr>
          <t>dgaviria:</t>
        </r>
        <r>
          <rPr>
            <sz val="8"/>
            <color indexed="8"/>
            <rFont val="Tahoma"/>
            <family val="2"/>
          </rPr>
          <t xml:space="preserve">
Three subsequent annual supplemental tax distributions in the amount of $300 million to Vodafone and $367 million to Verizon Communications in each of 2010, 2011 and 2012 will be paid in equal quarterly installments during each of those years on the same dates that the established tax distributions are made—that is, $75 million to Vodafone and $92 million to Verizon Communications on the established tax distribution date in February, May, August and November of 2010, 2011 and 2012.</t>
        </r>
      </text>
    </comment>
    <comment ref="CL564" authorId="1">
      <text>
        <r>
          <rPr>
            <b/>
            <sz val="8"/>
            <color indexed="8"/>
            <rFont val="Tahoma"/>
            <family val="2"/>
          </rPr>
          <t>dgaviria:</t>
        </r>
        <r>
          <rPr>
            <sz val="8"/>
            <color indexed="8"/>
            <rFont val="Tahoma"/>
            <family val="2"/>
          </rPr>
          <t xml:space="preserve">
Other, net financing activities for the three months ended March 31, 2009 primarily included approximately $237 million to increase our ownership interest in several non-wholly-owned partnerships acquired in connection with the Alltel Acquisition and $248 million of issuance costs related to the Acquisition Bridge Facility.</t>
        </r>
      </text>
    </comment>
    <comment ref="S578" authorId="1">
      <text>
        <r>
          <rPr>
            <b/>
            <sz val="8"/>
            <color indexed="8"/>
            <rFont val="Tahoma"/>
            <family val="2"/>
          </rPr>
          <t>dgaviria:</t>
        </r>
        <r>
          <rPr>
            <sz val="8"/>
            <color indexed="8"/>
            <rFont val="Tahoma"/>
            <family val="2"/>
          </rPr>
          <t xml:space="preserve">
on the maturity date, the remaining aggregate outstanding principal</t>
        </r>
      </text>
    </comment>
    <comment ref="CJ578" authorId="1">
      <text>
        <r>
          <rPr>
            <b/>
            <sz val="8"/>
            <color indexed="8"/>
            <rFont val="Tahoma"/>
            <family val="2"/>
          </rPr>
          <t>dgaviria:</t>
        </r>
        <r>
          <rPr>
            <sz val="8"/>
            <color indexed="8"/>
            <rFont val="Tahoma"/>
            <family val="2"/>
          </rPr>
          <t xml:space="preserve">
Three-Year Term Facility. On September 30, 2008, we and Verizon Wireless Capital LLC, as the borrowers, entered into the $4,440 million Three-Year Term Facility with Citibank, N.A., as Administrative Agent. The Three-Year Term Facility has a maturity date of September 30, 2011. We borrowed $4,440 million under the Three-Year Term Facility in order to repay a portion of the Credit Agreement, which is described below. Of the $4,440 million, $444 million must be repaid at the end of the first year, $1,998 million at the end of the second year, and $1,998 million upon final maturity. Interest on borrowings under the Three-Year Term Facility is calculated based on LIBOR for the applicable period and a margin that is determined by reference to our long-term credit rating issued by S&amp;P and Moody’s, if Moody’s subsequently determines to provide a credit rating for the Three-Year Term Facility. Borrowings under the Three-Year Term Facility currently bear interest at a variable rate based on LIBOR plus 1.0%. Outstanding borrowings under the Three-Year Term Facility as of March 31, 2009 were $4,440 million.</t>
        </r>
      </text>
    </comment>
    <comment ref="CN578" authorId="1">
      <text>
        <r>
          <rPr>
            <b/>
            <sz val="8"/>
            <color indexed="8"/>
            <rFont val="Tahoma"/>
            <family val="2"/>
          </rPr>
          <t>dgaviria:</t>
        </r>
        <r>
          <rPr>
            <sz val="8"/>
            <color indexed="8"/>
            <rFont val="Tahoma"/>
            <family val="2"/>
          </rPr>
          <t xml:space="preserve">
September 30, 2009, 10% of the original aggregate outstanding principal amount plus amounts borrowed in connection with any additional commitments (the “Total Borrowed Amount”)</t>
        </r>
      </text>
    </comment>
    <comment ref="CQ578" authorId="1">
      <text>
        <r>
          <rPr>
            <b/>
            <sz val="8"/>
            <color indexed="8"/>
            <rFont val="Tahoma"/>
            <family val="2"/>
          </rPr>
          <t>dgaviria:</t>
        </r>
        <r>
          <rPr>
            <sz val="8"/>
            <color indexed="8"/>
            <rFont val="Tahoma"/>
            <family val="2"/>
          </rPr>
          <t xml:space="preserve">
During the first half of 2010, the Partnership repaid $2,770 million of borrowings under a three-year term loan facility, reducing the outstanding borrowings under this facility to $1,226 million. During July 2010, the Partnership repaid an additional $700 million of borrowings under this facility reducing the outstanding borrowings under this facility to $526 million.
</t>
        </r>
      </text>
    </comment>
    <comment ref="CR578" authorId="1">
      <text>
        <r>
          <rPr>
            <b/>
            <sz val="8"/>
            <color indexed="8"/>
            <rFont val="Tahoma"/>
            <family val="2"/>
          </rPr>
          <t>dgaviria:</t>
        </r>
        <r>
          <rPr>
            <sz val="8"/>
            <color indexed="8"/>
            <rFont val="Tahoma"/>
            <family val="2"/>
          </rPr>
          <t xml:space="preserve">
on September 30, 2010, 45% of the Total Borrowed Amount</t>
        </r>
      </text>
    </comment>
    <comment ref="CL582" authorId="1">
      <text>
        <r>
          <rPr>
            <b/>
            <sz val="8"/>
            <color indexed="8"/>
            <rFont val="Tahoma"/>
            <family val="2"/>
          </rPr>
          <t>dgaviria:</t>
        </r>
        <r>
          <rPr>
            <sz val="8"/>
            <color indexed="8"/>
            <rFont val="Tahoma"/>
            <family val="2"/>
          </rPr>
          <t xml:space="preserve">
</t>
        </r>
        <r>
          <rPr>
            <b/>
            <sz val="8"/>
            <color indexed="8"/>
            <rFont val="Tahoma"/>
            <family val="2"/>
          </rPr>
          <t xml:space="preserve">1) 
</t>
        </r>
        <r>
          <rPr>
            <sz val="8"/>
            <color indexed="8"/>
            <rFont val="Tahoma"/>
            <family val="2"/>
          </rPr>
          <t xml:space="preserve">On January 9, 2009, immediately prior to the consummation of the acquisition of Alltel, we borrowed $12,350 million under the Acquisition Bridge Facility in order to complete the acquisition of Alltel and repay certain of Alltel’s outstanding debt, and the remaining commitments under the Acquisition Bridge Facility were terminated. The Acquisition Bridge Facility has a maturity date of January 8, 2010. Interest on borrowings under the Acquisition Bridge Facility is calculated based on LIBOR for the applicable period, the level of borrowings on specified dates and a margin that is determined by reference to our long-term credit rating issued by S&amp;P. The Acquisition Bridge Facility includes a requirement to maintain a certain leverage ratio. We are required to prepay indebtedness under the Acquisition Bridge Facility with 100% of the net cash proceeds of specified asset sales, issuances and sales of equity and incurrences of borrowed money indebtedness, subject to certain exceptions.
</t>
        </r>
        <r>
          <rPr>
            <b/>
            <sz val="8"/>
            <color indexed="8"/>
            <rFont val="Tahoma"/>
            <family val="2"/>
          </rPr>
          <t xml:space="preserve">2)
</t>
        </r>
        <r>
          <rPr>
            <sz val="8"/>
            <color indexed="8"/>
            <rFont val="Tahoma"/>
            <family val="2"/>
          </rPr>
          <t xml:space="preserve">On February 4, 2009, we and Verizon Wireless Capital LLC co-issued $750 million 5.25% notes due 2012 and $3,500 million 5.55% notes due 2014, resulting in cash proceeds of $4,211, net of discounts and direct issuance costs. We used the net proceeds from the sale of these notes to repay a portion of the borrowings outstanding under the Acquisition Bridge Facility
</t>
        </r>
        <r>
          <rPr>
            <b/>
            <sz val="8"/>
            <color indexed="8"/>
            <rFont val="Tahoma"/>
            <family val="2"/>
          </rPr>
          <t>3)</t>
        </r>
        <r>
          <rPr>
            <sz val="8"/>
            <color indexed="8"/>
            <rFont val="Tahoma"/>
            <family val="2"/>
          </rPr>
          <t xml:space="preserve"> Repayment of $5,111 million of borrowings under the Acquisition Bridge Facility using proceeds from the issuance of the February 2009 Notes [see above, $4211M] and $900 million from operating cash flows</t>
        </r>
      </text>
    </comment>
    <comment ref="CM582" authorId="1">
      <text>
        <r>
          <rPr>
            <b/>
            <sz val="8"/>
            <color indexed="8"/>
            <rFont val="Tahoma"/>
            <family val="2"/>
          </rPr>
          <t>dgaviria: [from July 2009 S4]</t>
        </r>
        <r>
          <rPr>
            <sz val="8"/>
            <color indexed="8"/>
            <rFont val="Tahoma"/>
            <family val="2"/>
          </rPr>
          <t xml:space="preserve">
</t>
        </r>
        <r>
          <rPr>
            <b/>
            <sz val="8"/>
            <color indexed="8"/>
            <rFont val="Tahoma"/>
            <family val="2"/>
          </rPr>
          <t xml:space="preserve">1) </t>
        </r>
        <r>
          <rPr>
            <sz val="8"/>
            <color indexed="8"/>
            <rFont val="Tahoma"/>
            <family val="2"/>
          </rPr>
          <t xml:space="preserve">On April 8, 2009, we repaid approximately $1.3 billion of the Acquisition Bridge Facility, reducing the outstanding balance to approximately $5.9 billion.
</t>
        </r>
        <r>
          <rPr>
            <b/>
            <sz val="8"/>
            <color indexed="8"/>
            <rFont val="Tahoma"/>
            <family val="2"/>
          </rPr>
          <t xml:space="preserve">2) </t>
        </r>
        <r>
          <rPr>
            <sz val="8"/>
            <color indexed="8"/>
            <rFont val="Tahoma"/>
            <family val="2"/>
          </rPr>
          <t xml:space="preserve">On May 19, 2009, we and Verizon Wireless Capital LLC co-issued $1,250 million floating rate notes due 2011 and $2,750 million 3.75% fixed rate notes due 2011, resulting in cash proceeds of $3,989 million, net of discounts and direct issuance costs. We used the net proceeds from the sale of these notes to repay a portion of the borrowings outstanding under the Acquisition Bridge Facility.
</t>
        </r>
        <r>
          <rPr>
            <b/>
            <sz val="8"/>
            <color indexed="8"/>
            <rFont val="Tahoma"/>
            <family val="2"/>
          </rPr>
          <t xml:space="preserve">3) </t>
        </r>
        <r>
          <rPr>
            <sz val="8"/>
            <color indexed="8"/>
            <rFont val="Tahoma"/>
            <family val="2"/>
          </rPr>
          <t>On June 25, 2009, we issued $1,000 million in aggregate principal amount of Put/Call Floating Rate Notes due 2011 in a private placement transaction, resulting in net cash proceeds of $1,000 million. We used the proceeds from the sale of the Put/Call Notes, together with cash generated from operations, to repay all remaining amounts outstanding under the Acquisition Bridge Facility.</t>
        </r>
      </text>
    </comment>
    <comment ref="CL583" authorId="1">
      <text>
        <r>
          <rPr>
            <b/>
            <sz val="8"/>
            <color indexed="8"/>
            <rFont val="Tahoma"/>
            <family val="2"/>
          </rPr>
          <t>dgaviria:</t>
        </r>
        <r>
          <rPr>
            <sz val="8"/>
            <color indexed="8"/>
            <rFont val="Tahoma"/>
            <family val="2"/>
          </rPr>
          <t xml:space="preserve">
Outstanding borrowings as of March 31, 2009 were $7,239 million and, as of the date of this prospectus, no borrowings remain outstanding under the Acquisition Bridge Facility</t>
        </r>
      </text>
    </comment>
    <comment ref="CK586" authorId="1">
      <text>
        <r>
          <rPr>
            <b/>
            <sz val="8"/>
            <color indexed="8"/>
            <rFont val="Tahoma"/>
            <family val="2"/>
          </rPr>
          <t>dgaviria:</t>
        </r>
        <r>
          <rPr>
            <sz val="8"/>
            <color indexed="8"/>
            <rFont val="Tahoma"/>
            <family val="2"/>
          </rPr>
          <t xml:space="preserve">
The December 2008 Notes . On December 18, 2008, we and Verizon Wireless Capital LLC co-issued €650 million aggregate principal amount of 7.625% notes due 2011, €500 million aggregate principal amount of 8.750% notes due 2015 and £600 million aggregate principal amount of 8.875% notes due 2018, or approximately $2.4 billion aggregate principal amount. Proceeds from the sale of the December 2008 Notes were used to pay a portion of the Alltel Purchase Price. We issued the December 2008 Notes pursuant to the same indenture under which we will issue the new notes. Concurrent with the offering of the December 2008 Notes, we entered into cross-currency swaps to fix our future interest and principal payments in U.S. dollars and exchanged the proceeds of the December 2008 Notes from pounds sterling and euro into $2,425 million in U.S. dollars. See “—Qualitative and Quantitative Disclosures about Market Risks—Foreign Currency Risk.” The outstanding principal amounts of these notes as of March 31, 2009 were €1,150 million and £600 million.</t>
        </r>
      </text>
    </comment>
    <comment ref="CW586" authorId="17">
      <text>
        <r>
          <rPr>
            <b/>
            <sz val="8"/>
            <color indexed="8"/>
            <rFont val="Tahoma"/>
            <family val="2"/>
          </rPr>
          <t>armintas:</t>
        </r>
        <r>
          <rPr>
            <sz val="8"/>
            <color indexed="8"/>
            <rFont val="Tahoma"/>
            <family val="2"/>
          </rPr>
          <t xml:space="preserve">
Matures December 19
"During December 2011, we repaid 0.9 billion Euro upon maturity for the 0.7 billion Euro of 7.625% Verizon Wireless Notes and the related cross currency swap was settled." - 2011 10K</t>
        </r>
      </text>
    </comment>
    <comment ref="A588" authorId="1">
      <text>
        <r>
          <rPr>
            <b/>
            <sz val="8"/>
            <color indexed="8"/>
            <rFont val="Tahoma"/>
            <family val="2"/>
          </rPr>
          <t>dgaviria:</t>
        </r>
        <r>
          <rPr>
            <sz val="8"/>
            <color indexed="8"/>
            <rFont val="Tahoma"/>
            <family val="2"/>
          </rPr>
          <t xml:space="preserve">
The 5.25% notes due 2012 will mature on February 1, 2012. As of the date of this prospectus, $750 million aggregate principal amount of the old 5.25% notes due 2012 is outstanding.
The 5.25% notes due 2012 bear interest at the rate of 5.25% per annum. Interest due on the 5.25% notes due 2012 is paid on February 1 of each year to holders of record on the preceding January 15, and on August 1 of each year to holders of record on the preceding July 15. If principal or interest on the 5.25% notes due 2012 is payable on a Saturday, a Sunday or any other day when banks are not open for business in The City of New York, we will make the payment on the next business day, and no interest will accrue as a result of the delay in payment. The first interest payment date on the old 5.25% notes due 2012 is August 1, 2009. The first interest payment date on the new 5.25% notes due 2012 will be the first interest payment date following the date on which the new 5.25% notes due 2012 are issued pursuant to the exchange offer. Interest on the old 5.25% notes due 2012 is accruing from February 4, 2009 and accrues on the basis of a 360-day year consisting of 12 months of 30 days. Interest on the new 5.25% notes due 2012 will accrue from the last payment date on which interest was paid on the old 5.25% notes due 2012 or, if no interest has been paid on the old 5.25% notes due 2012, from the date of original issue of the old 5.25% notes due 2012, also on the basis of a 360-day year consisting of 12 months of 30 days.
</t>
        </r>
      </text>
    </comment>
    <comment ref="CL590" authorId="1">
      <text>
        <r>
          <rPr>
            <b/>
            <sz val="8"/>
            <color indexed="8"/>
            <rFont val="Tahoma"/>
            <family val="2"/>
          </rPr>
          <t>dgaviria:</t>
        </r>
        <r>
          <rPr>
            <sz val="8"/>
            <color indexed="8"/>
            <rFont val="Tahoma"/>
            <family val="2"/>
          </rPr>
          <t xml:space="preserve">
February 2009 Notes . On February 4, 2009, we and Verizon Wireless Capital LLC co-issued $750 million aggregate principal amount of old 5.25% notes due 2012 and $3,500 million aggregate principal amount of old 5.55% notes due 2014. We used the net proceeds from the sale of these notes to repay a portion of the borrowings then outstanding under the Acquisition Bridge Facility. We issued the February 2009 Notes under the same indenture under which we will issue the new notes. The outstanding principal amount of the February 2009 Notes as of March 31, 2009 was $4,250 million.</t>
        </r>
      </text>
    </comment>
    <comment ref="A592" authorId="1">
      <text>
        <r>
          <rPr>
            <b/>
            <sz val="8"/>
            <color indexed="8"/>
            <rFont val="Tahoma"/>
            <family val="2"/>
          </rPr>
          <t>dgaviria:</t>
        </r>
        <r>
          <rPr>
            <sz val="8"/>
            <color indexed="8"/>
            <rFont val="Tahoma"/>
            <family val="2"/>
          </rPr>
          <t xml:space="preserve">
The 7.375% notes due 2013 will mature on November 15, 2013. As of the date of this prospectus, $1.25 billion aggregate principal amount of the old 7.375% notes due 2013 is outstanding.
The 7.375% notes due 2013 bear interest at the rate of 7.375% per annum. Interest due on the 7.375% notes due 2013 is paid on May 15 of each year to holders of record on the preceding May 1, and on November 15 of each year to holders of record on the preceding November 1. If principal or interest on the notes is payable on a Saturday, a Sunday or any other day when banks are not open for business in The City of New York, we will make the payment on the next business day, and no interest will accrue as a result of the delay in payment. The first interest payment date on the 7.375% notes due 2013 was May 15, 2009 and the next interest payment date will be November 15, 2009. The first interest payment date on the new 7.375% notes due 2013 will be the first interest payment date following the date on which the new 7.375% notes due 2013 are issued pursuant to the exchange offer. Interest on the old 7.375% notes due 2013 is accruing from the last interest payment date on May 15, 2009 and accrues on the basis of a 360-day year consisting of 12 months of 30 days. Interest on the new 7.375% notes due 2013 will accrue from the last payment date on which interest was paid on the old 7.375% notes due 2013, also on the basis of a 360-day year consisting of 12 months of 30 days
</t>
        </r>
      </text>
    </comment>
    <comment ref="U594" authorId="0">
      <text>
        <r>
          <rPr>
            <b/>
            <sz val="8"/>
            <color indexed="8"/>
            <rFont val="Tahoma"/>
            <family val="2"/>
          </rPr>
          <t>Daniel Gaviria:</t>
        </r>
        <r>
          <rPr>
            <sz val="8"/>
            <color indexed="8"/>
            <rFont val="Tahoma"/>
            <family val="2"/>
          </rPr>
          <t xml:space="preserve">
MATURES NIV 13 2013</t>
        </r>
      </text>
    </comment>
    <comment ref="V594" authorId="0">
      <text>
        <r>
          <rPr>
            <b/>
            <sz val="8"/>
            <color indexed="8"/>
            <rFont val="Tahoma"/>
            <family val="2"/>
          </rPr>
          <t>Daniel Gaviria:</t>
        </r>
        <r>
          <rPr>
            <sz val="8"/>
            <color indexed="8"/>
            <rFont val="Tahoma"/>
            <family val="2"/>
          </rPr>
          <t xml:space="preserve">
MATURES NIV 13 2013</t>
        </r>
      </text>
    </comment>
    <comment ref="CK594" authorId="1">
      <text>
        <r>
          <rPr>
            <b/>
            <sz val="8"/>
            <color indexed="8"/>
            <rFont val="Tahoma"/>
            <family val="2"/>
          </rPr>
          <t>dgaviria:</t>
        </r>
        <r>
          <rPr>
            <sz val="8"/>
            <color indexed="8"/>
            <rFont val="Tahoma"/>
            <family val="2"/>
          </rPr>
          <t xml:space="preserve">
The November 2008 Notes . On November 21, 2008, we and Verizon Wireless Capital LLC co-issued $1,250 million aggregate principal amount of old 7.375% notes due 2013 and $2,250 million aggregate principal amount of old 8.50% notes due 2018. Proceeds from the sale of the November 2008 Notes were used to pay a portion of the Alltel Purchase Price. We issued the November 2008 Notes pursuant to the same indenture under which we will issue the new notes. The outstanding principal amount of the November 2008 Notes as of March 31, 2009 was $3,500 million.</t>
        </r>
      </text>
    </comment>
    <comment ref="A596" authorId="1">
      <text>
        <r>
          <rPr>
            <b/>
            <sz val="8"/>
            <color indexed="8"/>
            <rFont val="Tahoma"/>
            <family val="2"/>
          </rPr>
          <t>dgaviria:</t>
        </r>
        <r>
          <rPr>
            <sz val="8"/>
            <color indexed="8"/>
            <rFont val="Tahoma"/>
            <family val="2"/>
          </rPr>
          <t xml:space="preserve">
The 5.55% notes due 2014 will mature on February 1, 2014. As of the date of this prospectus, $3.5 billion aggregate principal amount of the old 5.55% notes due 2014 is outstanding.
The 5.55% notes due 2014 bear interest at the rate of 5.55% per annum. Interest due on the 5.55% notes due 2014 is paid on February 1 of each year to holders of record on the preceding January 15, and on August 1 of each year to holders of record on the preceding July 15. If principal or interest on the notes is payable on a Saturday, a Sunday or any other day when banks are not open for business in The City of New York, we will make the payment on the next business day, and no interest will accrue as a result of the delay in payment. The first interest payment date on the 5.55% notes due 2014 is August 1, 2009. The first interest payment date on the new 5.55% notes due 2014 will be the first interest payment date following the date on which the new 5.55% notes due 2014 are issued pursuant to the exchange offer. Interest on the old 5.55% notes due 2014 is accruing from February 4, 2009 and accrues on the basis of a 360-day year consisting of 12 months of 30 days. Interest on the new 5.55% notes due 2014 will accrue from the last payment date on which interest was paid on the old 5.55% notes due 2014 or, if no interest has been paid on the old 5.55% notes due 2014, from the date of original issue of the old 5.55% notes due 2014, also on the basis of a 360-day year consisting of 12 months of 30 days
</t>
        </r>
      </text>
    </comment>
    <comment ref="CL598" authorId="1">
      <text>
        <r>
          <rPr>
            <b/>
            <sz val="8"/>
            <color indexed="8"/>
            <rFont val="Tahoma"/>
            <family val="2"/>
          </rPr>
          <t>dgaviria:</t>
        </r>
        <r>
          <rPr>
            <sz val="8"/>
            <color indexed="8"/>
            <rFont val="Tahoma"/>
            <family val="2"/>
          </rPr>
          <t xml:space="preserve">
February 2009 Notes . On February 4, 2009, we and Verizon Wireless Capital LLC co-issued $750 million aggregate principal amount of old 5.25% notes due 2012 and $3,500 million aggregate principal amount of old 5.55% notes due 2014. We used the net proceeds from the sale of these notes to repay a portion of the borrowings then outstanding under the Acquisition Bridge Facility. We issued the February 2009 Notes under the same indenture under which we will issue the new notes. The outstanding principal amount of the February 2009 Notes as of March 31, 2009 was $4,250 million.</t>
        </r>
      </text>
    </comment>
    <comment ref="A600" authorId="1">
      <text>
        <r>
          <rPr>
            <b/>
            <sz val="8"/>
            <color indexed="8"/>
            <rFont val="Tahoma"/>
            <family val="2"/>
          </rPr>
          <t>dgaviria:</t>
        </r>
        <r>
          <rPr>
            <sz val="8"/>
            <color indexed="8"/>
            <rFont val="Tahoma"/>
            <family val="2"/>
          </rPr>
          <t xml:space="preserve">
On December 18, 2008, we and Verizon Wireless Capital LLC co-issued, in an offshore transaction, the December 2008 Notes. The 7.625% notes due 2011 will mature on December 19, 2011, the 8.750% notes due 2015 will mature on December 18, 2015 and the 8.875% notes due 2018 will mature on December 18, 2018. The interest on the notes due 2011 is 7.625% and is payable annually in arrears on each December 19, beginning December 19, 2009. The interest on the notes due 2015 is 8.750% and is payable annually in arrears on each December 18, beginning December 18, 2009. The interest on the notes due 2018 is 8.875% and is payable annually in arrears on each December 18, beginning December 18, 2009. We issued the December 2008 Notes pursuant to the same indenture under which we issued the old notes and will issue the new notes in the exchange as set forth in this prospectus. As of March 31, 2009, the outstanding principal amount of the 7.625% notes due 2011, the 8.750% notes due 2015 and the 8.875% notes due 2018 was €650 million, €500 million and £600 million, respectively. The December 2008 Notes are not subject to the exchange offer.</t>
        </r>
      </text>
    </comment>
    <comment ref="CK602" authorId="1">
      <text>
        <r>
          <rPr>
            <b/>
            <sz val="8"/>
            <color indexed="8"/>
            <rFont val="Tahoma"/>
            <family val="2"/>
          </rPr>
          <t>dgaviria:</t>
        </r>
        <r>
          <rPr>
            <sz val="8"/>
            <color indexed="8"/>
            <rFont val="Tahoma"/>
            <family val="2"/>
          </rPr>
          <t xml:space="preserve">
The December 2008 Notes . On December 18, 2008, we and Verizon Wireless Capital LLC co-issued €650 million aggregate principal amount of 7.625% notes due 2011, €500 million aggregate principal amount of 8.750% notes due 2015 and £600 million aggregate principal amount of 8.875% notes due 2018, or approximately $2.4 billion aggregate principal amount. Proceeds from the sale of the December 2008 Notes were used to pay a portion of the Alltel Purchase Price. We issued the December 2008 Notes pursuant to the same indenture under which we will issue the new notes. Concurrent with the offering of the December 2008 Notes, we entered into cross-currency swaps to fix our future interest and principal payments in U.S. dollars and exchanged the proceeds of the December 2008 Notes from pounds sterling and euro into $2,425 million in U.S. dollars. See “—Qualitative and Quantitative Disclosures about Market Risks—Foreign Currency Risk.” The outstanding principal amounts of these notes as of March 31, 2009 were €1,150 million and £600 million.</t>
        </r>
      </text>
    </comment>
    <comment ref="A604" authorId="1">
      <text>
        <r>
          <rPr>
            <b/>
            <sz val="8"/>
            <color indexed="8"/>
            <rFont val="Tahoma"/>
            <family val="2"/>
          </rPr>
          <t>dgaviria:</t>
        </r>
        <r>
          <rPr>
            <sz val="8"/>
            <color indexed="8"/>
            <rFont val="Tahoma"/>
            <family val="2"/>
          </rPr>
          <t xml:space="preserve">
The 8.50% notes due 2018 will mature on November 15, 2018. As of the date of this prospectus, $2.25 billion aggregate principal amount of the old 8.50% notes due 2018 is outstanding.
The 8.50% notes due 2018 bear interest at a rate of 8.50% per annum. Interest due on the 8.50% notes due 2018 is paid on May 15 of each year to holders of record on the preceding May 1, and on November 15 of each year to holders of record on the preceding November 1. If principal or interest on the notes is payable on a Saturday, a Sunday or any other day when banks are not open for business in The City of New York, we will make the payment on the next business day, and no interest will accrue as a result of the delay in payment. The first interest payment date on the 8.50% notes due 2018 was May 15, 2009 and the next interest payment date will be November 15, 2009. The first interest payment date on the new 8.50% notes due 2018 will be the first interest payment date following the date on which the new 8.50% notes due 2018 are issued pursuant to the exchange offer. Interest on the old 8.50% notes due 2018 is accruing from the last interest payment date on May 15, 2009 and accrues on the basis of a 360-day year consisting of 12 months of 30 days. Interest on the new 8.50% notes due 2018 will accrue from the last payment date on which interest was paid on the old 8.50% notes due 2018, also on the basis of a 360-day year consisting of 12 months of 30 days.
</t>
        </r>
      </text>
    </comment>
    <comment ref="CK606" authorId="1">
      <text>
        <r>
          <rPr>
            <b/>
            <sz val="8"/>
            <color indexed="8"/>
            <rFont val="Tahoma"/>
            <family val="2"/>
          </rPr>
          <t>dgaviria:</t>
        </r>
        <r>
          <rPr>
            <sz val="8"/>
            <color indexed="8"/>
            <rFont val="Tahoma"/>
            <family val="2"/>
          </rPr>
          <t xml:space="preserve">
The November 2008 Notes . On November 21, 2008, we and Verizon Wireless Capital LLC co-issued $1,250 million aggregate principal amount of old 7.375% notes due 2013 and $2,250 million aggregate principal amount of old 8.50% notes due 2018. Proceeds from the sale of the November 2008 Notes were used to pay a portion of the Alltel Purchase Price. We issued the November 2008 Notes pursuant to the same indenture under which we will issue the new notes. The outstanding principal amount of the November 2008 Notes as of March 31, 2009 was $3,500 million.</t>
        </r>
      </text>
    </comment>
    <comment ref="CK610" authorId="1">
      <text>
        <r>
          <rPr>
            <b/>
            <sz val="8"/>
            <color indexed="8"/>
            <rFont val="Tahoma"/>
            <family val="2"/>
          </rPr>
          <t>dgaviria:</t>
        </r>
        <r>
          <rPr>
            <sz val="8"/>
            <color indexed="8"/>
            <rFont val="Tahoma"/>
            <family val="2"/>
          </rPr>
          <t xml:space="preserve">
The December 2008 Notes . On December 18, 2008, we and Verizon Wireless Capital LLC co-issued €650 million aggregate principal amount of 7.625% notes due 2011, €500 million aggregate principal amount of 8.750% notes due 2015 and £600 million aggregate principal amount of 8.875% notes due 2018, or approximately $2.4 billion aggregate principal amount. Proceeds from the sale of the December 2008 Notes were used to pay a portion of the Alltel Purchase Price. We issued the December 2008 Notes pursuant to the same indenture under which we will issue the new notes. Concurrent with the offering of the December 2008 Notes, we entered into cross-currency swaps to fix our future interest and principal payments in U.S. dollars and exchanged the proceeds of the December 2008 Notes from pounds sterling and euro into $2,425 million in U.S. dollars. See “—Qualitative and Quantitative Disclosures about Market Risks—Foreign Currency Risk.” The outstanding principal amounts of these notes as of March 31, 2009 were €1,150 million and £600 million.</t>
        </r>
      </text>
    </comment>
    <comment ref="T614" authorId="1">
      <text>
        <r>
          <rPr>
            <b/>
            <sz val="8"/>
            <color indexed="8"/>
            <rFont val="Tahoma"/>
            <family val="2"/>
          </rPr>
          <t>dgaviria:</t>
        </r>
        <r>
          <rPr>
            <sz val="8"/>
            <color indexed="8"/>
            <rFont val="Tahoma"/>
            <family val="2"/>
          </rPr>
          <t xml:space="preserve">
Alltel Corporation Notes . Pursuant to an indenture dated January 1, 1987 between Alltel and Ameritrust Company National Association as trustee, Alltel issued the following series of notes to third parties: in 1993, </t>
        </r>
        <r>
          <rPr>
            <sz val="8"/>
            <color indexed="8"/>
            <rFont val="Tahoma"/>
            <family val="2"/>
          </rPr>
          <t>$200 million aggregate principal amount of 6.50% notes due 2013; in 1</t>
        </r>
        <r>
          <rPr>
            <sz val="8"/>
            <color indexed="8"/>
            <rFont val="Tahoma"/>
            <family val="2"/>
          </rPr>
          <t xml:space="preserve">996, $300 million aggregate principal amount of 7.00% notes due 2016; in 1999, $300 million aggregate principal amount of 6.80% notes due 2029; </t>
        </r>
        <r>
          <rPr>
            <b/>
            <sz val="8"/>
            <color indexed="8"/>
            <rFont val="Tahoma"/>
            <family val="2"/>
          </rPr>
          <t xml:space="preserve">in 2002, $800 million aggregate principal amount of 7.00% notes due 2012 </t>
        </r>
        <r>
          <rPr>
            <sz val="8"/>
            <color indexed="8"/>
            <rFont val="Tahoma"/>
            <family val="2"/>
          </rPr>
          <t xml:space="preserve">and $700 million aggregate principal amount of 7.875% notes due 2032 (collectively, the “Alltel Corporation Notes”). The Alltel Corporation Notes are not guaranteed by any subsidiary of Alltel and are unsecured.
</t>
        </r>
      </text>
    </comment>
    <comment ref="U614" authorId="1">
      <text>
        <r>
          <rPr>
            <b/>
            <sz val="8"/>
            <color indexed="8"/>
            <rFont val="Tahoma"/>
            <family val="2"/>
          </rPr>
          <t>dgaviria:</t>
        </r>
        <r>
          <rPr>
            <sz val="8"/>
            <color indexed="8"/>
            <rFont val="Tahoma"/>
            <family val="2"/>
          </rPr>
          <t xml:space="preserve">
Alltel Corporation Notes . Pursuant to an indenture dated January 1, 1987 between Alltel and Ameritrust Company National Association as trustee, Alltel issued the following series of notes to third parties: in 1993, </t>
        </r>
        <r>
          <rPr>
            <b/>
            <sz val="8"/>
            <color indexed="8"/>
            <rFont val="Tahoma"/>
            <family val="2"/>
          </rPr>
          <t>$200 million aggregate principal amount of 6.50% notes due 2013;</t>
        </r>
        <r>
          <rPr>
            <sz val="8"/>
            <color indexed="8"/>
            <rFont val="Tahoma"/>
            <family val="2"/>
          </rPr>
          <t xml:space="preserve"> in 1996, $300 million aggregate principal amount of 7.00% notes due 2016; in 1999, $300 million aggregate principal amount of 6.80% notes due 202</t>
        </r>
        <r>
          <rPr>
            <sz val="8"/>
            <color indexed="8"/>
            <rFont val="Tahoma"/>
            <family val="2"/>
          </rPr>
          <t>9; in 2002, $800 million aggregate principal amount of 7.00% notes due 2012 and $700 million aggregate principal amount of 7.875% notes due 2032 (collectively, the “Alltel Corporation Notes”). The Alltel Corporation Notes are not guaranteed by any subsidiary of Alltel and are unsecured.</t>
        </r>
        <r>
          <rPr>
            <sz val="8"/>
            <color indexed="8"/>
            <rFont val="Tahoma"/>
            <family val="2"/>
          </rPr>
          <t xml:space="preserve">
</t>
        </r>
      </text>
    </comment>
    <comment ref="V614" authorId="1">
      <text>
        <r>
          <rPr>
            <b/>
            <sz val="8"/>
            <color indexed="8"/>
            <rFont val="Tahoma"/>
            <family val="2"/>
          </rPr>
          <t>dgaviria:</t>
        </r>
        <r>
          <rPr>
            <sz val="8"/>
            <color indexed="8"/>
            <rFont val="Tahoma"/>
            <family val="2"/>
          </rPr>
          <t xml:space="preserve">
Alltel Corporation Notes . Pursuant to an indenture dated January 1, 1987 between Alltel and Ameritrust Company National Association as trustee, Alltel issued the following series of notes to third parties: in 1993, </t>
        </r>
        <r>
          <rPr>
            <b/>
            <sz val="8"/>
            <color indexed="8"/>
            <rFont val="Tahoma"/>
            <family val="2"/>
          </rPr>
          <t>$200 million aggregate principal amount of 6.50% notes due 2013;</t>
        </r>
        <r>
          <rPr>
            <sz val="8"/>
            <color indexed="8"/>
            <rFont val="Tahoma"/>
            <family val="2"/>
          </rPr>
          <t xml:space="preserve"> in 1996, $300 million aggregate principal amount of 7.00% notes due 2016; in 1999, $300 million aggregate principal amount of 6.80% notes due 202</t>
        </r>
        <r>
          <rPr>
            <sz val="8"/>
            <color indexed="8"/>
            <rFont val="Tahoma"/>
            <family val="2"/>
          </rPr>
          <t>9; in 2002, $800 million aggregate principal amount of 7.00% notes due 2012 and $700 million aggregate principal amount of 7.875% notes due 2032 (collectively, the “Alltel Corporation Notes”). The Alltel Corporation Notes are not guaranteed by any subsidiary of Alltel and are unsecured.</t>
        </r>
        <r>
          <rPr>
            <sz val="8"/>
            <color indexed="8"/>
            <rFont val="Tahoma"/>
            <family val="2"/>
          </rPr>
          <t xml:space="preserve">
</t>
        </r>
      </text>
    </comment>
    <comment ref="CL614" authorId="1">
      <text>
        <r>
          <rPr>
            <b/>
            <sz val="8"/>
            <color indexed="8"/>
            <rFont val="Tahoma"/>
            <family val="2"/>
          </rPr>
          <t>dgaviria:</t>
        </r>
        <r>
          <rPr>
            <sz val="8"/>
            <color indexed="8"/>
            <rFont val="Tahoma"/>
            <family val="2"/>
          </rPr>
          <t xml:space="preserve">
Alltel Corporation Notes . Pursuant to an indenture dated January 1, 1987 between Alltel and Ameritrust Company National Association as trustee, Alltel issued the following series of notes to third parties: in 1993, $200 million aggregate principal amount of 6.50% notes due 2013; in 1996, $300 million aggregate principal amount of 7.00% notes due 2016; in 1999, $300 million aggregate principal amount of 6.80% notes due 2029; in 2002, $800 million aggregate principal amount of 7.00% notes due 2012 and $700 million aggregate principal amount of 7.875% notes due 2032 (collectively, the “Alltel Corporation Notes”). The Alltel Corporation Notes are not guaranteed by any subsidiary of Alltel and are unsecured.</t>
        </r>
        <r>
          <rPr>
            <b/>
            <sz val="8"/>
            <color indexed="8"/>
            <rFont val="Tahoma"/>
            <family val="2"/>
          </rPr>
          <t xml:space="preserve"> As of March 31, 2009, $2,300 million aggregate principal amount of Alltel Corporation Notes was outstanding and held by third parties.</t>
        </r>
        <r>
          <rPr>
            <sz val="8"/>
            <color indexed="8"/>
            <rFont val="Tahoma"/>
            <family val="2"/>
          </rPr>
          <t xml:space="preserve">
Senior PIK Toggle Notes . On December 3, 2007, Alltel Communications and Alltel Communications Finance co-issued $1,000 million aggregate principal amount of Senior PIK Toggle Notes under an indenture dated December 3, 2007 among Alltel Communications, Alltel Communications Finance, Alltel, as guarantor, the other guarantors party thereto and Wells Fargo Bank, National Association, as trustee. The Senior PIK Toggle Notes are no longer guaranteed by Alltel or any subsidiary of Alltel, and are unsecured. Upon the closing of the Alltel Acquisition, we acquired $810 million aggregate principal amount of the Senior PIK Toggle Notes at a price of $827 million, which is equal to 101% of the aggregate principal amount of such debt plus accrued interest. These notes continued to be held by Alltel, our consolidated subsidiary, and were eliminated for accounting purposes when we prepared our condensed consolidated financial statements as of March 31, 2009. These notes were subsequently cancelled on April 3, 2009. Of the remaining amounts outstanding to third parties, $155 million aggregate principal amount of Senior PIK Toggle Notes was tendered and redeemed under the terms of a tender offer that was completed on March 20, 2009 for total consideration of $191 million paid to tendering noteholders, which is equal to 120% of the aggregate principal amount of such debt plus accrued interest. </t>
        </r>
        <r>
          <rPr>
            <b/>
            <sz val="8"/>
            <color indexed="8"/>
            <rFont val="Tahoma"/>
            <family val="2"/>
          </rPr>
          <t>As of March 31, 2009, $35 million aggregate principal amount of Senior PIK Toggle Notes was held by third parties.</t>
        </r>
        <r>
          <rPr>
            <sz val="8"/>
            <color indexed="8"/>
            <rFont val="Tahoma"/>
            <family val="2"/>
          </rPr>
          <t xml:space="preserve">
</t>
        </r>
      </text>
    </comment>
    <comment ref="A616" authorId="1">
      <text>
        <r>
          <rPr>
            <b/>
            <sz val="8"/>
            <color indexed="8"/>
            <rFont val="Tahoma"/>
            <family val="2"/>
          </rPr>
          <t>dgaviria:</t>
        </r>
        <r>
          <rPr>
            <sz val="8"/>
            <color indexed="8"/>
            <rFont val="Tahoma"/>
            <family val="2"/>
          </rPr>
          <t xml:space="preserve">
On June 25, 2009, the Partnership issued $1,000 million in aggregate principal amount of our Put/Call Floating Rate Notes due 2011 (“Put/Call Notes”). The interest on the Put/Call Notes will be equal to the three-month LIBOR plus an applicable margin ranging from 50 to 80 basis points that will be reset quarterly. Commencing on December 27, 2009 and on each quarterly interest payment date thereafter, both the noteholders and the Partnership have the right to require settlement of all or a portion of these notes at par.</t>
        </r>
        <r>
          <rPr>
            <b/>
            <sz val="11"/>
            <color indexed="8"/>
            <rFont val="Tahoma"/>
            <family val="2"/>
          </rPr>
          <t xml:space="preserve"> Accordingly, the Put/Call Notes are classified as current maturities in the consolidated balance sheet</t>
        </r>
        <r>
          <rPr>
            <sz val="8"/>
            <color indexed="8"/>
            <rFont val="Tahoma"/>
            <family val="2"/>
          </rPr>
          <t>. As of December 31, 2009, neither the Partnership nor the note holders have exercised their right to require settlement of any portion of the Put/Call Notes.</t>
        </r>
      </text>
    </comment>
    <comment ref="CQ618" authorId="1">
      <text>
        <r>
          <rPr>
            <b/>
            <sz val="8"/>
            <color indexed="8"/>
            <rFont val="Tahoma"/>
            <family val="2"/>
          </rPr>
          <t>dgaviria:</t>
        </r>
        <r>
          <rPr>
            <sz val="8"/>
            <color indexed="8"/>
            <rFont val="Tahoma"/>
            <family val="2"/>
          </rPr>
          <t xml:space="preserve">
On June 28, 2010, the Partnership exercised its right to redeem all of its outstanding $1,000 million Put/Call Floating Rate Notes due June 2011 at a redemption price of 100% of the principal amount of the notes, plus accrued and unpaid interest through the date of redemption.</t>
        </r>
      </text>
    </comment>
    <comment ref="A620" authorId="1">
      <text>
        <r>
          <rPr>
            <b/>
            <sz val="8"/>
            <color indexed="8"/>
            <rFont val="Tahoma"/>
            <family val="2"/>
          </rPr>
          <t>dgaviria:</t>
        </r>
        <r>
          <rPr>
            <sz val="8"/>
            <color indexed="8"/>
            <rFont val="Tahoma"/>
            <family val="2"/>
          </rPr>
          <t xml:space="preserve">
The floating rate notes due 2011 will mature on May 20, 2011. As of the date of this prospectus, $1.25 billion aggregate principal amount of the old floating rate notes due 2011 is outstanding.
The floating rate notes due 2011 bear interest at a rate per annum equal to three-month LIBOR plus 2.60%, which rate is reset quarterly as described below. Interest on the floating rate notes due 2011 is paid quarterly in arrears on each May 20, August 20, November 20 and February 20, each an “interest payment date.” The first interest payment date on the old floating rate notes due 2011 is August 20, 2009. The first interest payment date on the new floating rate notes due 2011 will be the first interest payment date following the date on which the new floating rate notes due 2011 are issued pursuant to the exchange offer.
</t>
        </r>
      </text>
    </comment>
    <comment ref="CM622" authorId="1">
      <text>
        <r>
          <rPr>
            <b/>
            <sz val="8"/>
            <color indexed="8"/>
            <rFont val="Tahoma"/>
            <family val="2"/>
          </rPr>
          <t>dgaviria:</t>
        </r>
        <r>
          <rPr>
            <sz val="8"/>
            <color indexed="8"/>
            <rFont val="Tahoma"/>
            <family val="2"/>
          </rPr>
          <t xml:space="preserve">
May 2009 Notes . On May 22, 2009, we and Verizon Wireless Capital LLC co-issued $1,250 million aggregate principal amount of old floating rate notes due 2011 and $2,750 million aggregate principal amount of old 3.75% notes due 2011. We used the net proceeds from the sale of these notes to repay a portion of the borrowings then outstanding under the Acquisition Bridge Facility. We issued the May 2009 Notes under the same indenture under which we will issue the new notes.</t>
        </r>
      </text>
    </comment>
    <comment ref="A624" authorId="1">
      <text>
        <r>
          <rPr>
            <b/>
            <sz val="8"/>
            <color indexed="8"/>
            <rFont val="Tahoma"/>
            <family val="2"/>
          </rPr>
          <t>dgaviria:</t>
        </r>
        <r>
          <rPr>
            <sz val="8"/>
            <color indexed="8"/>
            <rFont val="Tahoma"/>
            <family val="2"/>
          </rPr>
          <t xml:space="preserve">
The 3.75% notes due 2011 will mature on May 20, 2011. As of the date of this prospectus, $2.75 billion aggregate principal amount of the old 3.75% notes due 2011 is outstanding.
The 3.75% notes due 2011 bear interest at the rate of 3.75% per annum. Interest due on the 3.75% notes due 2011 is paid semiannually in arrears on May 20 of each year to holders of record on the preceding May 5, and on November 20 of each year to holders of record on the preceding November 5. If principal or interest on the 3.75% notes due 2011 is payable on a Saturday, a Sunday or any other day when banks are not open for business in The City of New York, we will make the payment on the next business day, and no interest will accrue as a result of the delay in payment. The first interest payment date on the old 3.75% notes due 2011 is November 20, 2009. The first interest payment date on the new 3.75% notes due 2011 will be the first interest payment date following the date on which the new 3.75% notes due 2011 are issued pursuant to the exchange offer. Interest on the old 3.75% notes due 2011 is accruing from May 22, 2009 and accrues on the basis of a 360-day year consisting of 12 months of 30 days. Interest on the new 3.75% notes due 2011 will accrue from the last payment date on which interest was paid on the old 3.75% notes due 2011 or, if no interest has been paid on the old 3.75% notes due 2011, from the date of original issue of the old 3.75% notes due 2011, also on the basis of a 360-day year consisting of 12 months of 30 days.
</t>
        </r>
      </text>
    </comment>
    <comment ref="CM626" authorId="1">
      <text>
        <r>
          <rPr>
            <b/>
            <sz val="8"/>
            <color indexed="8"/>
            <rFont val="Tahoma"/>
            <family val="2"/>
          </rPr>
          <t>dgaviria:</t>
        </r>
        <r>
          <rPr>
            <sz val="8"/>
            <color indexed="8"/>
            <rFont val="Tahoma"/>
            <family val="2"/>
          </rPr>
          <t xml:space="preserve">
May 2009 Notes . On May 22, 2009, we and Verizon Wireless Capital LLC co-issued $1,250 million aggregate principal amount of old floating rate notes due 2011 and $2,750 million aggregate principal amount of old 3.75% notes due 2011. We used the net proceeds from the sale of these notes to repay a portion of the borrowings then outstanding under the Acquisition Bridge Facility. We issued the May 2009 Notes under the same indenture under which we will issue the new notes.</t>
        </r>
      </text>
    </comment>
    <comment ref="CU626" authorId="17">
      <text>
        <r>
          <rPr>
            <b/>
            <sz val="8"/>
            <color indexed="8"/>
            <rFont val="Tahoma"/>
            <family val="2"/>
          </rPr>
          <t>armintas:</t>
        </r>
        <r>
          <rPr>
            <sz val="8"/>
            <color indexed="8"/>
            <rFont val="Tahoma"/>
            <family val="2"/>
          </rPr>
          <t xml:space="preserve">
"During May 2011, $4.0 billion aggregate principal amount of Verizon Wireless two-year fixed and floating rate notes matured and were repaid." - 2011 10K</t>
        </r>
      </text>
    </comment>
    <comment ref="R631" authorId="1">
      <text>
        <r>
          <rPr>
            <b/>
            <sz val="8"/>
            <color indexed="8"/>
            <rFont val="Tahoma"/>
            <family val="2"/>
          </rPr>
          <t>dgaviria:</t>
        </r>
        <r>
          <rPr>
            <sz val="8"/>
            <color indexed="8"/>
            <rFont val="Tahoma"/>
            <family val="2"/>
          </rPr>
          <t xml:space="preserve">
Diff of $1B is b/c VZW classifies the $1B put notes as current maturities:
</t>
        </r>
        <r>
          <rPr>
            <b/>
            <sz val="8"/>
            <color indexed="8"/>
            <rFont val="Tahoma"/>
            <family val="2"/>
          </rPr>
          <t>VZW 10K</t>
        </r>
        <r>
          <rPr>
            <sz val="8"/>
            <color indexed="8"/>
            <rFont val="Tahoma"/>
            <family val="2"/>
          </rPr>
          <t xml:space="preserve">
On June 25, 2009, the Partnership issued $1,000 million in aggregate principal amount of our Put/Call Floating Rate Notes due 2011 (“Put/Call Notes”). The interest on the Put/Call Notes will be equal to the three-month LIBOR plus an applicable margin ranging from 50 to 80 basis points that will be reset quarterly. </t>
        </r>
        <r>
          <rPr>
            <b/>
            <sz val="10"/>
            <color indexed="8"/>
            <rFont val="Tahoma"/>
            <family val="2"/>
          </rPr>
          <t xml:space="preserve">Commencing on December 27, 2009 and on each quarterly interest payment date thereafter, both the noteholders and the Partnership have the right to require settlement of all or a portion of these notes at par. Accordingly, the Put/Call Notes are classified as current maturities in the consolidated balance sheet. </t>
        </r>
        <r>
          <rPr>
            <sz val="8"/>
            <color indexed="8"/>
            <rFont val="Tahoma"/>
            <family val="2"/>
          </rPr>
          <t xml:space="preserve">As of December 31, 2009, neither the Partnership nor the note holders have exercised their right to require settlement of any portion of the Put/Call Notes.
</t>
        </r>
      </text>
    </comment>
    <comment ref="S631" authorId="1">
      <text>
        <r>
          <rPr>
            <b/>
            <sz val="8"/>
            <color indexed="8"/>
            <rFont val="Tahoma"/>
            <family val="2"/>
          </rPr>
          <t>dgaviria:</t>
        </r>
        <r>
          <rPr>
            <sz val="8"/>
            <color indexed="8"/>
            <rFont val="Tahoma"/>
            <family val="2"/>
          </rPr>
          <t xml:space="preserve">
Diff of $1B is b/c VZW classifies the $1B put notes as current maturities:
</t>
        </r>
        <r>
          <rPr>
            <b/>
            <sz val="8"/>
            <color indexed="8"/>
            <rFont val="Tahoma"/>
            <family val="2"/>
          </rPr>
          <t>VZW 10K</t>
        </r>
        <r>
          <rPr>
            <sz val="8"/>
            <color indexed="8"/>
            <rFont val="Tahoma"/>
            <family val="2"/>
          </rPr>
          <t xml:space="preserve">
On June 25, 2009, the Partnership issued $1,000 million in aggregate principal amount of our Put/Call Floating Rate Notes due 2011 (“Put/Call Notes”). The interest on the Put/Call Notes will be equal to the three-month LIBOR plus an applicable margin ranging from 50 to 80 basis points that will be reset quarterly. </t>
        </r>
        <r>
          <rPr>
            <b/>
            <sz val="10"/>
            <color indexed="8"/>
            <rFont val="Tahoma"/>
            <family val="2"/>
          </rPr>
          <t xml:space="preserve">Commencing on December 27, 2009 and on each quarterly interest payment date thereafter, both the noteholders and the Partnership have the right to require settlement of all or a portion of these notes at par. Accordingly, the Put/Call Notes are classified as current maturities in the consolidated balance sheet. </t>
        </r>
        <r>
          <rPr>
            <sz val="8"/>
            <color indexed="8"/>
            <rFont val="Tahoma"/>
            <family val="2"/>
          </rPr>
          <t xml:space="preserve">As of December 31, 2009, neither the Partnership nor the note holders have exercised their right to require settlement of any portion of the Put/Call Notes.
</t>
        </r>
      </text>
    </comment>
    <comment ref="CM632" authorId="1">
      <text>
        <r>
          <rPr>
            <b/>
            <sz val="8"/>
            <color indexed="8"/>
            <rFont val="Tahoma"/>
            <family val="2"/>
          </rPr>
          <t>dgaviria:</t>
        </r>
        <r>
          <rPr>
            <sz val="8"/>
            <color indexed="8"/>
            <rFont val="Tahoma"/>
            <family val="2"/>
          </rPr>
          <t xml:space="preserve">
</t>
        </r>
        <r>
          <rPr>
            <b/>
            <sz val="8"/>
            <color indexed="8"/>
            <rFont val="Tahoma"/>
            <family val="2"/>
          </rPr>
          <t xml:space="preserve">As of the date of this prospectus, we have indebtedness to third parties of approximately $21.9 billion. </t>
        </r>
        <r>
          <rPr>
            <sz val="8"/>
            <color indexed="8"/>
            <rFont val="Tahoma"/>
            <family val="2"/>
          </rPr>
          <t>In addition, we have a number of fixed and floating rate note borrowing arrange</t>
        </r>
        <r>
          <rPr>
            <sz val="8"/>
            <color indexed="8"/>
            <rFont val="Tahoma"/>
            <family val="2"/>
          </rPr>
          <t>ments with Verizon Communications and its affiliates pursuant to which we have total outstanding borrowings of approximately $10.5 billion as of June 30, 2009, including a fixed rate promissory note that permits us to borrow, repay and re-borrow from time to time up to a maximum principal amou</t>
        </r>
        <r>
          <rPr>
            <sz val="8"/>
            <color indexed="8"/>
            <rFont val="Tahoma"/>
            <family val="2"/>
          </rPr>
          <t>nt of $9 billion. See “Management’s Discussion and Analysis of Financial Condition and Results of Operations—Liquidity and Capital Resources” and “Description of Certain Indebtedness.”</t>
        </r>
      </text>
    </comment>
    <comment ref="CM633" authorId="1">
      <text>
        <r>
          <rPr>
            <b/>
            <sz val="8"/>
            <color indexed="8"/>
            <rFont val="Tahoma"/>
            <family val="2"/>
          </rPr>
          <t>dgaviria:</t>
        </r>
        <r>
          <rPr>
            <sz val="8"/>
            <color indexed="8"/>
            <rFont val="Tahoma"/>
            <family val="2"/>
          </rPr>
          <t xml:space="preserve">
</t>
        </r>
        <r>
          <rPr>
            <b/>
            <sz val="8"/>
            <color indexed="8"/>
            <rFont val="Tahoma"/>
            <family val="2"/>
          </rPr>
          <t xml:space="preserve">As of the date of this prospectus, we have indebtedness to third parties of approximately $21.9 billion. </t>
        </r>
        <r>
          <rPr>
            <sz val="8"/>
            <color indexed="8"/>
            <rFont val="Tahoma"/>
            <family val="2"/>
          </rPr>
          <t>In addition, we have a number of fixed and floating rate note borrowing arrange</t>
        </r>
        <r>
          <rPr>
            <sz val="8"/>
            <color indexed="8"/>
            <rFont val="Tahoma"/>
            <family val="2"/>
          </rPr>
          <t>ments with Verizon Communications and its affiliates pursuant to which we have total outstanding borrowings of approximately $10.5 billion as of June 30, 2009, including a fixed rate promissory note that permits us to borrow, repay and re-borrow from time to time up to a maximum principal amou</t>
        </r>
        <r>
          <rPr>
            <sz val="8"/>
            <color indexed="8"/>
            <rFont val="Tahoma"/>
            <family val="2"/>
          </rPr>
          <t>nt of $9 billion. See “Management’s Discussion and Analysis of Financial Condition and Results of Operations—Liquidity and Capital Resources” and “Description of Certain Indebtedness.”</t>
        </r>
      </text>
    </comment>
    <comment ref="CN633" authorId="1">
      <text>
        <r>
          <rPr>
            <b/>
            <sz val="8"/>
            <color indexed="8"/>
            <rFont val="Tahoma"/>
            <family val="2"/>
          </rPr>
          <t>dgaviria:</t>
        </r>
        <r>
          <rPr>
            <sz val="8"/>
            <color indexed="8"/>
            <rFont val="Tahoma"/>
            <family val="2"/>
          </rPr>
          <t xml:space="preserve">
</t>
        </r>
        <r>
          <rPr>
            <b/>
            <sz val="8"/>
            <color indexed="8"/>
            <rFont val="Tahoma"/>
            <family val="2"/>
          </rPr>
          <t>S4 Amended on Oct 13 2009 -</t>
        </r>
        <r>
          <rPr>
            <sz val="8"/>
            <color indexed="8"/>
            <rFont val="Tahoma"/>
            <family val="2"/>
          </rPr>
          <t xml:space="preserve">
As of September 30, 2009, we have indebtedness to third parties of approximately $21.7 billion. This indebtedness includes $1,000 million aggregate principal amount of our floating rate Put/Call Notes due 2011. Commencing on December 27, 2009 and on each quarterly interest payment date thereafter, the holders of our Put/Call Notes have the right to require us to purchase all or a portion of these notes at par. In addition, we have a number of fixed and floating rate note borrowing arrangements with Verizon Communications and its affiliates pursuant to which we have total outstanding borrowings of approximately $7.7 billion as of September 30, 2009. See “Management’s Discussion and Analysis of Financial Condition and Results of Operations—Liquidity and Capital Resources” and “Description of Certain Indebtedness.”</t>
        </r>
      </text>
    </comment>
    <comment ref="CM639" authorId="1">
      <text>
        <r>
          <rPr>
            <b/>
            <sz val="8"/>
            <color indexed="8"/>
            <rFont val="Tahoma"/>
            <family val="2"/>
          </rPr>
          <t>dgaviria:</t>
        </r>
        <r>
          <rPr>
            <sz val="8"/>
            <color indexed="8"/>
            <rFont val="Tahoma"/>
            <family val="2"/>
          </rPr>
          <t xml:space="preserve">
Borrowings under this note as of March 31, 2009 were $1,931 million. During the second quarter of 2009, we repaid $1,014 million of the borrowings thereunder using cash flows from operations, reducing outstanding borrowings as of the date of this prospectus to $917 million. We intend to repay this note by the maturity date using cash flows from operations.</t>
        </r>
      </text>
    </comment>
    <comment ref="A641" authorId="1">
      <text>
        <r>
          <rPr>
            <b/>
            <sz val="8"/>
            <color indexed="8"/>
            <rFont val="Tahoma"/>
            <family val="2"/>
          </rPr>
          <t>dgaviria:</t>
        </r>
        <r>
          <rPr>
            <sz val="8"/>
            <color indexed="8"/>
            <rFont val="Tahoma"/>
            <family val="2"/>
          </rPr>
          <t xml:space="preserve">
$9,000 Million Fixed Rate Note . On September 1, 2005, we signed a fixed rate promissory note that permits us to borrow, repay, and re-borrow from time to time up to a maximum principal amount of $9,000 million, with a maturity date of August 1, 2009. Amounts borrowed under this note bear interest at a rate of 5.8% per annum. This note was effective as of July 1, 2005, and replaced a prior demand note. There were no borrowings under this note as of March 31, 2009. Outstanding borrowings under this note were $182 million as of June 30, 2009.</t>
        </r>
      </text>
    </comment>
    <comment ref="CM643" authorId="1">
      <text>
        <r>
          <rPr>
            <b/>
            <sz val="8"/>
            <color indexed="8"/>
            <rFont val="Tahoma"/>
            <family val="2"/>
          </rPr>
          <t>dgaviria:</t>
        </r>
        <r>
          <rPr>
            <sz val="8"/>
            <color indexed="8"/>
            <rFont val="Tahoma"/>
            <family val="2"/>
          </rPr>
          <t xml:space="preserve">
$9,000 Million Fixed Rate Note . On September 1, 2005, we signed a fixed rate promissory note that permits us to borrow, repay, and re-borrow from time to time up to a maximum principal amount of $9,000 million, with a maturity date of August 1, 2009. Amounts borrowed under this note bear interest at a rate of 5.8% per annum. This note was effective as of July 1, 2005, and replaced a prior demand note. There were no borrowings under this note as of March 31, 2009. Outstanding borrowings under this note were $182 million as of June 30, 2009.</t>
        </r>
      </text>
    </comment>
    <comment ref="CN643" authorId="1">
      <text>
        <r>
          <rPr>
            <b/>
            <sz val="8"/>
            <color indexed="8"/>
            <rFont val="Tahoma"/>
            <family val="2"/>
          </rPr>
          <t>dgaviria:</t>
        </r>
        <r>
          <rPr>
            <sz val="8"/>
            <color indexed="8"/>
            <rFont val="Tahoma"/>
            <family val="2"/>
          </rPr>
          <t xml:space="preserve">
</t>
        </r>
        <r>
          <rPr>
            <b/>
            <sz val="8"/>
            <color indexed="8"/>
            <rFont val="Tahoma"/>
            <family val="2"/>
          </rPr>
          <t xml:space="preserve">S4 Amended on Oct 13 ,2009 </t>
        </r>
        <r>
          <rPr>
            <sz val="8"/>
            <color indexed="8"/>
            <rFont val="Tahoma"/>
            <family val="2"/>
          </rPr>
          <t xml:space="preserve">
$750 Million Fixed Rate Note. On September 1, 2005, we signed a fixed rate promissory note that permitted us to borrow, repay and re-borrow from time to time up to a maximum principal amount of $9,000 million, with a maturity date of August 1, 2009. This note was effective as of July 1, 2005, and replaced a prior demand note. Outstanding borrowings under this note were $182 million as of June 30, 2009. On July 30, 2009, we and VFSL amended certain provisions of this note, including changing the maximum principal amount that we can borrow, repay and re-borrow from time to time to $750 million and extending the term to August 1, 2010. Amounts borrowed under this note bear interest at a rate of 5.8% per annum. There were no borrowings outstanding under this note as of September 30, 2009. </t>
        </r>
      </text>
    </comment>
    <comment ref="CN647" authorId="1">
      <text>
        <r>
          <rPr>
            <b/>
            <sz val="8"/>
            <color indexed="8"/>
            <rFont val="Tahoma"/>
            <family val="2"/>
          </rPr>
          <t>dgaviria:</t>
        </r>
        <r>
          <rPr>
            <sz val="8"/>
            <color indexed="8"/>
            <rFont val="Tahoma"/>
            <family val="2"/>
          </rPr>
          <t xml:space="preserve">
</t>
        </r>
      </text>
    </comment>
    <comment ref="CP647" authorId="1">
      <text>
        <r>
          <rPr>
            <b/>
            <sz val="8"/>
            <color indexed="8"/>
            <rFont val="Tahoma"/>
            <family val="2"/>
          </rPr>
          <t>dgaviria:
VZW 1Q 10Q</t>
        </r>
        <r>
          <rPr>
            <sz val="8"/>
            <color indexed="8"/>
            <rFont val="Tahoma"/>
            <family val="2"/>
          </rPr>
          <t xml:space="preserve">
Term Notes Payable to Affiliate
Through March 31, 2010, the Partnership repaid $3,203 million of our $9,363 million Auction 73 floating rate note due to a wholly owned subsidiary of Verizon, Verizon Financial Services LLC (“VFSL”), reducing the outstanding borrowings under this note to $1,800 million. On March 12, 2010, the Partnership and VFSL amended certain provisions of this note to extend the term of this note to October 31, 2010. The amendment also requires the repayment of any unpaid principal, plus accrued interest, with the cash proceeds received from the sale of any Alltel Divestiture Markets within five business days of receipt of such cash proceeds. Amounts outstanding under the amended note will bear interest at a rate of LIBOR plus 1.10% for each interest period.
</t>
        </r>
        <r>
          <rPr>
            <b/>
            <sz val="8"/>
            <color indexed="8"/>
            <rFont val="Tahoma"/>
            <family val="2"/>
          </rPr>
          <t>VZW 10K:</t>
        </r>
        <r>
          <rPr>
            <sz val="8"/>
            <color indexed="8"/>
            <rFont val="Tahoma"/>
            <family val="2"/>
          </rPr>
          <t xml:space="preserve">
Through the date these consolidated financial statements were filed with the SEC, the Partnership used cash generated from operations to repay $1,760 million of our $9,363 million Auction 73 floating rate note, reducing the outstanding borrowings under this note to $3,243 million. On March 12, 2010, the Partnership and VFSL amended certain provisions of this note to extend the term of this note to October 31, 2010. The amendment also requires the repayment of any unpaid principal, plus accrued interest, with the cash proceeds received from the sale of any Alltel Divestiture Markets within 5 business days of receipt of such cash proceeds. Amounts outstanding under the amended note will bear interest at a rate of LIBOR plus 1.10% for each interest period.</t>
        </r>
      </text>
    </comment>
    <comment ref="CQ647" authorId="1">
      <text>
        <r>
          <rPr>
            <b/>
            <sz val="8"/>
            <color indexed="8"/>
            <rFont val="Tahoma"/>
            <family val="2"/>
          </rPr>
          <t>dgaviria:</t>
        </r>
        <r>
          <rPr>
            <sz val="8"/>
            <color indexed="8"/>
            <rFont val="Tahoma"/>
            <family val="2"/>
          </rPr>
          <t xml:space="preserve">
Through June 30, 2010, the Partnership repaid $5,003 million of its $9,363 million floating rate promissory note. No borrowings remain outstanding under this note as of June 30, 2010.</t>
        </r>
      </text>
    </comment>
    <comment ref="CR647" authorId="1">
      <text>
        <r>
          <rPr>
            <b/>
            <sz val="8"/>
            <color indexed="8"/>
            <rFont val="Tahoma"/>
            <family val="2"/>
          </rPr>
          <t>dgaviria:</t>
        </r>
        <r>
          <rPr>
            <sz val="8"/>
            <color indexed="8"/>
            <rFont val="Tahoma"/>
            <family val="2"/>
          </rPr>
          <t xml:space="preserve">
</t>
        </r>
        <r>
          <rPr>
            <b/>
            <sz val="8"/>
            <color indexed="8"/>
            <rFont val="Tahoma"/>
            <family val="2"/>
          </rPr>
          <t>VZW 10K:</t>
        </r>
        <r>
          <rPr>
            <sz val="8"/>
            <color indexed="8"/>
            <rFont val="Tahoma"/>
            <family val="2"/>
          </rPr>
          <t xml:space="preserve">
Through the date these consolidated financial statements were filed with the SEC, the Partnership used cash generated from operations to repay $1,760 million of our $9,363 million Auction 73 floating rate note, reducing the outstanding borrowings under this note to $3,243 million. On March 12, 2010, the Partnership and VFSL amended certain provisions of this note to extend the term of this note to October 31, 2010. The amendment also requires the repayment of any unpaid principal, plus accrued interest, with the cash proceeds received from the sale of any Alltel Divestiture Markets within 5 business days of receipt of such cash proceeds. Amounts outstanding under the amended note will bear interest at a rate of LIBOR plus 1.10% for each interest period.</t>
        </r>
      </text>
    </comment>
    <comment ref="CM652" authorId="1">
      <text>
        <r>
          <rPr>
            <b/>
            <sz val="8"/>
            <color indexed="8"/>
            <rFont val="Tahoma"/>
            <family val="2"/>
          </rPr>
          <t>dgaviria:</t>
        </r>
        <r>
          <rPr>
            <sz val="8"/>
            <color indexed="8"/>
            <rFont val="Tahoma"/>
            <family val="2"/>
          </rPr>
          <t xml:space="preserve">
As of the date of this prospectus, we have indebtedness to third parties of approximately $21.9 billion. In addition, we have a number of fixed and floating rate note borrowing arrangements with V</t>
        </r>
        <r>
          <rPr>
            <b/>
            <sz val="8"/>
            <color indexed="8"/>
            <rFont val="Tahoma"/>
            <family val="2"/>
          </rPr>
          <t xml:space="preserve">erizon Communications and its affiliates pursuant to which we have total outstanding borrowings of approximately $10.5 billion as of June 30, 2009, </t>
        </r>
        <r>
          <rPr>
            <sz val="8"/>
            <color indexed="8"/>
            <rFont val="Tahoma"/>
            <family val="2"/>
          </rPr>
          <t>including a fixed rate promissory note that permits us to borrow, repay and re-borrow from time to time up to a maximum principal amount of $9 billion. See “Management’s Discussion and Analysis of Financial Condition and Results of Operations—Liquidity and Capital Resources” and “Description of Certain Indebtedness.”</t>
        </r>
      </text>
    </comment>
    <comment ref="CM653" authorId="1">
      <text>
        <r>
          <rPr>
            <b/>
            <sz val="8"/>
            <color indexed="8"/>
            <rFont val="Tahoma"/>
            <family val="2"/>
          </rPr>
          <t>dgaviria:</t>
        </r>
        <r>
          <rPr>
            <sz val="8"/>
            <color indexed="8"/>
            <rFont val="Tahoma"/>
            <family val="2"/>
          </rPr>
          <t xml:space="preserve">
As of the date of this prospectus, we have indebtedness to third parties of approximately $21.9 billion. In addition, we have a number of fixed and floating rate note borrowing arrangements with V</t>
        </r>
        <r>
          <rPr>
            <b/>
            <sz val="8"/>
            <color indexed="8"/>
            <rFont val="Tahoma"/>
            <family val="2"/>
          </rPr>
          <t xml:space="preserve">erizon Communications and its affiliates pursuant to which we have total outstanding borrowings of approximately $10.5 billion as of June 30, 2009, </t>
        </r>
        <r>
          <rPr>
            <sz val="8"/>
            <color indexed="8"/>
            <rFont val="Tahoma"/>
            <family val="2"/>
          </rPr>
          <t>including a fixed rate promissory note that permits us to borrow, repay and re-borrow from time to time up to a maximum principal amount of $9 billion. See “Management’s Discussion and Analysis of Financial Condition and Results of Operations—Liquidity and Capital Resources” and “Description of Certain Indebtedness.”</t>
        </r>
      </text>
    </comment>
    <comment ref="CN653" authorId="1">
      <text>
        <r>
          <rPr>
            <b/>
            <sz val="8"/>
            <color indexed="8"/>
            <rFont val="Tahoma"/>
            <family val="2"/>
          </rPr>
          <t>dgaviria:</t>
        </r>
        <r>
          <rPr>
            <sz val="8"/>
            <color indexed="8"/>
            <rFont val="Tahoma"/>
            <family val="2"/>
          </rPr>
          <t xml:space="preserve">
</t>
        </r>
        <r>
          <rPr>
            <b/>
            <sz val="8"/>
            <color indexed="8"/>
            <rFont val="Tahoma"/>
            <family val="2"/>
          </rPr>
          <t>S4 Amended on Oct 13 2009 -</t>
        </r>
        <r>
          <rPr>
            <sz val="8"/>
            <color indexed="8"/>
            <rFont val="Tahoma"/>
            <family val="2"/>
          </rPr>
          <t xml:space="preserve">
As of September 30, 2009, we have indebtedness to third parties of approximately $21.7 billion. This indebtedness includes $1,000 million aggregate principal amount of our floating rate Put/Call Notes due 2011. Commencing on December 27, 2009 and on each quarterly interest payment date thereafter, the holders of our Put/Call Notes have the right to require us to purchase all or a portion of these notes at par. In addition, we have a number of fixed and floating rate note borrowing arrangements with Verizon Communications and its affiliates pursuant to which we have total outstanding borrowings of approximately $7.7 billion as of September 30, 2009. See “Management’s Discussion and Analysis of Financial Condition and Results of Operations—Liquidity and Capital Resources” and “Description of Certain Indebtedness.”</t>
        </r>
      </text>
    </comment>
    <comment ref="DA657" authorId="6">
      <text>
        <r>
          <rPr>
            <b/>
            <sz val="8"/>
            <color indexed="8"/>
            <rFont val="Tahoma"/>
            <family val="2"/>
          </rPr>
          <t>warjohn:</t>
        </r>
        <r>
          <rPr>
            <sz val="8"/>
            <color indexed="8"/>
            <rFont val="Tahoma"/>
            <family val="2"/>
          </rPr>
          <t xml:space="preserve">
VZ disclosed VZW has $9.3B in net debt as of 4Q12</t>
        </r>
      </text>
    </comment>
    <comment ref="DB657" authorId="6">
      <text>
        <r>
          <rPr>
            <b/>
            <sz val="8"/>
            <color indexed="8"/>
            <rFont val="Tahoma"/>
            <family val="2"/>
          </rPr>
          <t>warjohn:</t>
        </r>
        <r>
          <rPr>
            <sz val="8"/>
            <color indexed="8"/>
            <rFont val="Tahoma"/>
            <family val="2"/>
          </rPr>
          <t xml:space="preserve">
VZ disclosed VZW has $6.2B in net debt as of 1Q13</t>
        </r>
      </text>
    </comment>
    <comment ref="DC657" authorId="6">
      <text>
        <r>
          <rPr>
            <b/>
            <sz val="8"/>
            <color indexed="8"/>
            <rFont val="Tahoma"/>
            <family val="2"/>
          </rPr>
          <t>warjohn:</t>
        </r>
        <r>
          <rPr>
            <sz val="8"/>
            <color indexed="8"/>
            <rFont val="Tahoma"/>
            <family val="2"/>
          </rPr>
          <t xml:space="preserve">
VZ disclosed VZW has $6.2B in net debt as of 1Q13</t>
        </r>
      </text>
    </comment>
    <comment ref="DD657" authorId="6">
      <text>
        <r>
          <rPr>
            <b/>
            <sz val="8"/>
            <color indexed="8"/>
            <rFont val="Tahoma"/>
            <family val="2"/>
          </rPr>
          <t>warjohn:</t>
        </r>
        <r>
          <rPr>
            <sz val="8"/>
            <color indexed="8"/>
            <rFont val="Tahoma"/>
            <family val="2"/>
          </rPr>
          <t xml:space="preserve">
VZ disclosed VZW has $6.2B in net debt as of 1Q13</t>
        </r>
      </text>
    </comment>
    <comment ref="DE657" authorId="6">
      <text>
        <r>
          <rPr>
            <b/>
            <sz val="8"/>
            <color indexed="8"/>
            <rFont val="Tahoma"/>
            <family val="2"/>
          </rPr>
          <t>warjohn:</t>
        </r>
        <r>
          <rPr>
            <sz val="8"/>
            <color indexed="8"/>
            <rFont val="Tahoma"/>
            <family val="2"/>
          </rPr>
          <t xml:space="preserve">
VZ disclosed VZW has $6.2B in net debt as of 1Q13</t>
        </r>
      </text>
    </comment>
    <comment ref="CL679" authorId="1">
      <text>
        <r>
          <rPr>
            <b/>
            <sz val="8"/>
            <color indexed="8"/>
            <rFont val="Tahoma"/>
            <family val="2"/>
          </rPr>
          <t>dgaviria:</t>
        </r>
        <r>
          <rPr>
            <sz val="8"/>
            <color indexed="8"/>
            <rFont val="Tahoma"/>
            <family val="2"/>
          </rPr>
          <t xml:space="preserve">
EXCLUDING $208M in ALLTEL ACQ RELATED CHARGES
</t>
        </r>
      </text>
    </comment>
    <comment ref="CM679" authorId="1">
      <text>
        <r>
          <rPr>
            <b/>
            <sz val="8"/>
            <color indexed="8"/>
            <rFont val="Tahoma"/>
            <family val="2"/>
          </rPr>
          <t>dgaviria:</t>
        </r>
        <r>
          <rPr>
            <sz val="8"/>
            <color indexed="8"/>
            <rFont val="Tahoma"/>
            <family val="2"/>
          </rPr>
          <t xml:space="preserve">
$732M for first six months…to this we subtract $20M and $47M in ALLTEL ACQ RELATED CHARGES in 1Q and 2Q
</t>
        </r>
      </text>
    </comment>
    <comment ref="CN679" authorId="1">
      <text>
        <r>
          <rPr>
            <b/>
            <sz val="8"/>
            <color indexed="8"/>
            <rFont val="Tahoma"/>
            <family val="2"/>
          </rPr>
          <t>dgaviria:</t>
        </r>
        <r>
          <rPr>
            <sz val="8"/>
            <color indexed="8"/>
            <rFont val="Tahoma"/>
            <family val="2"/>
          </rPr>
          <t xml:space="preserve">
$958M for first nine months…to this we subtract $20M and $47M in ALLTEL ACQ RELATED CHARGES in 1Q and 2Q
</t>
        </r>
      </text>
    </comment>
    <comment ref="CO679" authorId="1">
      <text>
        <r>
          <rPr>
            <b/>
            <sz val="8"/>
            <color indexed="8"/>
            <rFont val="Tahoma"/>
            <family val="2"/>
          </rPr>
          <t>dgaviria:</t>
        </r>
        <r>
          <rPr>
            <sz val="8"/>
            <color indexed="8"/>
            <rFont val="Tahoma"/>
            <family val="2"/>
          </rPr>
          <t xml:space="preserve">
$1.141M for the year…to this we subtract $20M and $47M in ALLTEL ACQ RELATED CHARGES in 1Q and 2Q
</t>
        </r>
      </text>
    </comment>
    <comment ref="DE719" authorId="6">
      <text>
        <r>
          <rPr>
            <b/>
            <sz val="8"/>
            <color indexed="8"/>
            <rFont val="Tahoma"/>
            <family val="2"/>
          </rPr>
          <t xml:space="preserve">warjohn:
</t>
        </r>
        <r>
          <rPr>
            <sz val="8"/>
            <color indexed="8"/>
            <rFont val="Tahoma"/>
            <family val="2"/>
          </rPr>
          <t>MS Assumption</t>
        </r>
      </text>
    </comment>
    <comment ref="A740" authorId="1">
      <text>
        <r>
          <rPr>
            <b/>
            <sz val="8"/>
            <color indexed="8"/>
            <rFont val="Tahoma"/>
            <family val="2"/>
          </rPr>
          <t>dgaviria:</t>
        </r>
        <r>
          <rPr>
            <sz val="8"/>
            <color indexed="8"/>
            <rFont val="Tahoma"/>
            <family val="2"/>
          </rPr>
          <t xml:space="preserve">
ASSUMES SUBS WLD HAVE UPGRADED ANYWAY, SO THIS IS THE AMOUNT THAT WOULD HAVE BEEN SPENT </t>
        </r>
      </text>
    </comment>
    <comment ref="CT752" authorId="1">
      <text>
        <r>
          <rPr>
            <b/>
            <sz val="8"/>
            <color indexed="8"/>
            <rFont val="Tahoma"/>
            <family val="2"/>
          </rPr>
          <t>dgaviria:</t>
        </r>
        <r>
          <rPr>
            <sz val="8"/>
            <color indexed="8"/>
            <rFont val="Tahoma"/>
            <family val="2"/>
          </rPr>
          <t xml:space="preserve">
ASSUMES 2 MONTHS IN THE QTR</t>
        </r>
      </text>
    </comment>
    <comment ref="CT762" authorId="1">
      <text>
        <r>
          <rPr>
            <b/>
            <sz val="8"/>
            <color indexed="8"/>
            <rFont val="Tahoma"/>
            <family val="2"/>
          </rPr>
          <t>dgaviria:</t>
        </r>
        <r>
          <rPr>
            <sz val="8"/>
            <color indexed="8"/>
            <rFont val="Tahoma"/>
            <family val="2"/>
          </rPr>
          <t xml:space="preserve">
ASSUMES 2 MONTHS IN THE QTR</t>
        </r>
      </text>
    </comment>
  </commentList>
</comments>
</file>

<file path=xl/comments8.xml><?xml version="1.0" encoding="utf-8"?>
<comments xmlns="http://schemas.openxmlformats.org/spreadsheetml/2006/main">
  <authors>
    <author>smythra</author>
    <author>Daniel Gaviria</author>
    <author>Jessica Yau</author>
    <author>dgaviria</author>
  </authors>
  <commentList>
    <comment ref="BU27" authorId="0">
      <text>
        <r>
          <rPr>
            <b/>
            <sz val="8"/>
            <color indexed="8"/>
            <rFont val="Tahoma"/>
            <family val="2"/>
          </rPr>
          <t>smythra:</t>
        </r>
        <r>
          <rPr>
            <sz val="8"/>
            <color indexed="8"/>
            <rFont val="Tahoma"/>
            <family val="2"/>
          </rPr>
          <t xml:space="preserve">
DomTelco plus MCI</t>
        </r>
      </text>
    </comment>
    <comment ref="BU29" authorId="0">
      <text>
        <r>
          <rPr>
            <b/>
            <sz val="8"/>
            <color indexed="8"/>
            <rFont val="Tahoma"/>
            <family val="2"/>
          </rPr>
          <t>smythra:</t>
        </r>
        <r>
          <rPr>
            <sz val="8"/>
            <color indexed="8"/>
            <rFont val="Tahoma"/>
            <family val="2"/>
          </rPr>
          <t xml:space="preserve">
assumed</t>
        </r>
      </text>
    </comment>
    <comment ref="CT63" authorId="1">
      <text>
        <r>
          <rPr>
            <b/>
            <sz val="11"/>
            <color indexed="8"/>
            <rFont val="Tahoma"/>
            <family val="2"/>
          </rPr>
          <t>Daniel Gaviria:</t>
        </r>
        <r>
          <rPr>
            <sz val="11"/>
            <color indexed="8"/>
            <rFont val="Tahoma"/>
            <family val="2"/>
          </rPr>
          <t xml:space="preserve">
FY11 Guidance (year ends in 1Q) Revenue: $352 million to $355 million…ALSO from VZ call:
Terremark continued to grow at
their steady pace of </t>
        </r>
        <r>
          <rPr>
            <b/>
            <sz val="11"/>
            <color indexed="8"/>
            <rFont val="Tahoma"/>
            <family val="2"/>
          </rPr>
          <t xml:space="preserve">20% </t>
        </r>
        <r>
          <rPr>
            <sz val="11"/>
            <color indexed="8"/>
            <rFont val="Tahoma"/>
            <family val="2"/>
          </rPr>
          <t>through the first quarter</t>
        </r>
      </text>
    </comment>
    <comment ref="CU63" authorId="1">
      <text>
        <r>
          <rPr>
            <b/>
            <sz val="8"/>
            <color indexed="8"/>
            <rFont val="Tahoma"/>
            <family val="2"/>
          </rPr>
          <t>Daniel Gaviria:</t>
        </r>
        <r>
          <rPr>
            <sz val="8"/>
            <color indexed="8"/>
            <rFont val="Tahoma"/>
            <family val="2"/>
          </rPr>
          <t xml:space="preserve">
Provided by Veriozn in 2Q call</t>
        </r>
      </text>
    </comment>
    <comment ref="CT65" authorId="1">
      <text>
        <r>
          <rPr>
            <b/>
            <sz val="11"/>
            <color indexed="8"/>
            <rFont val="Tahoma"/>
            <family val="2"/>
          </rPr>
          <t>Daniel Gaviria:</t>
        </r>
        <r>
          <rPr>
            <sz val="11"/>
            <color indexed="8"/>
            <rFont val="Tahoma"/>
            <family val="2"/>
          </rPr>
          <t xml:space="preserve">
FY11 Guidance (year ends in 1Q) EBITDA: $100 million to $102 million</t>
        </r>
      </text>
    </comment>
    <comment ref="BU81" authorId="0">
      <text>
        <r>
          <rPr>
            <b/>
            <sz val="8"/>
            <color indexed="8"/>
            <rFont val="Tahoma"/>
            <family val="2"/>
          </rPr>
          <t>smythra:</t>
        </r>
        <r>
          <rPr>
            <sz val="8"/>
            <color indexed="8"/>
            <rFont val="Tahoma"/>
            <family val="2"/>
          </rPr>
          <t xml:space="preserve">
DomTelco plus MCI</t>
        </r>
      </text>
    </comment>
    <comment ref="BU93" authorId="0">
      <text>
        <r>
          <rPr>
            <b/>
            <sz val="8"/>
            <color indexed="8"/>
            <rFont val="Tahoma"/>
            <family val="2"/>
          </rPr>
          <t>smythra:</t>
        </r>
        <r>
          <rPr>
            <sz val="8"/>
            <color indexed="8"/>
            <rFont val="Tahoma"/>
            <family val="2"/>
          </rPr>
          <t xml:space="preserve">
DomTelco plus MCI</t>
        </r>
      </text>
    </comment>
    <comment ref="BT100" authorId="0">
      <text>
        <r>
          <rPr>
            <b/>
            <sz val="8"/>
            <color indexed="8"/>
            <rFont val="Tahoma"/>
            <family val="2"/>
          </rPr>
          <t>smythra:</t>
        </r>
        <r>
          <rPr>
            <sz val="8"/>
            <color indexed="8"/>
            <rFont val="Tahoma"/>
            <family val="2"/>
          </rPr>
          <t xml:space="preserve">
from MCI model</t>
        </r>
      </text>
    </comment>
    <comment ref="CA102" authorId="2">
      <text>
        <r>
          <rPr>
            <b/>
            <sz val="8"/>
            <color indexed="8"/>
            <rFont val="Tahoma"/>
            <family val="2"/>
          </rPr>
          <t>Jessica Yau:</t>
        </r>
        <r>
          <rPr>
            <sz val="8"/>
            <color indexed="8"/>
            <rFont val="Tahoma"/>
            <family val="2"/>
          </rPr>
          <t xml:space="preserve">
Q405 call:  Anticipate achieving a workforce reduction of about 7,000 people within a 3-year period. More than half of this reduction will be from eliminating duplicate corporate staff and from the mass market business area.</t>
        </r>
      </text>
    </comment>
    <comment ref="CB102" authorId="0">
      <text>
        <r>
          <rPr>
            <b/>
            <sz val="8"/>
            <color indexed="8"/>
            <rFont val="Tahoma"/>
            <family val="2"/>
          </rPr>
          <t>smythra:</t>
        </r>
        <r>
          <rPr>
            <sz val="8"/>
            <color indexed="8"/>
            <rFont val="Tahoma"/>
            <family val="2"/>
          </rPr>
          <t xml:space="preserve">
severance in 2Q was for 3,200 employees who would be laid off by year end</t>
        </r>
      </text>
    </comment>
    <comment ref="CR102" authorId="3">
      <text>
        <r>
          <rPr>
            <b/>
            <sz val="8"/>
            <color indexed="8"/>
            <rFont val="Tahoma"/>
            <family val="2"/>
          </rPr>
          <t>dgaviria:</t>
        </r>
        <r>
          <rPr>
            <sz val="8"/>
            <color indexed="8"/>
            <rFont val="Tahoma"/>
            <family val="2"/>
          </rPr>
          <t xml:space="preserve">
2Q10 Bulletin:
More than 9,200 employees were
subsequently transferred to Frontier as part of the July 1 spinoff.</t>
        </r>
      </text>
    </comment>
    <comment ref="CR104" authorId="3">
      <text>
        <r>
          <rPr>
            <b/>
            <sz val="8"/>
            <color indexed="8"/>
            <rFont val="Tahoma"/>
            <family val="2"/>
          </rPr>
          <t>dgaviria:</t>
        </r>
        <r>
          <rPr>
            <sz val="8"/>
            <color indexed="8"/>
            <rFont val="Tahoma"/>
            <family val="2"/>
          </rPr>
          <t xml:space="preserve">
2Q10 Bulletin:
More than 9,200 employees were
subsequently transferred to Frontier as part of the July 1 spinoff.</t>
        </r>
      </text>
    </comment>
    <comment ref="BU133" authorId="0">
      <text>
        <r>
          <rPr>
            <b/>
            <sz val="8"/>
            <color indexed="8"/>
            <rFont val="Tahoma"/>
            <family val="2"/>
          </rPr>
          <t>smythra:</t>
        </r>
        <r>
          <rPr>
            <sz val="8"/>
            <color indexed="8"/>
            <rFont val="Tahoma"/>
            <family val="2"/>
          </rPr>
          <t xml:space="preserve">
DomTelco plus MCI</t>
        </r>
      </text>
    </comment>
    <comment ref="BZ209" authorId="0">
      <text>
        <r>
          <rPr>
            <b/>
            <sz val="8"/>
            <color indexed="8"/>
            <rFont val="Tahoma"/>
            <family val="2"/>
          </rPr>
          <t>smythra:</t>
        </r>
        <r>
          <rPr>
            <sz val="8"/>
            <color indexed="8"/>
            <rFont val="Tahoma"/>
            <family val="2"/>
          </rPr>
          <t xml:space="preserve">
1.2 MM MCI res lines were reclassified as retail (from wholesale) in 1Q06</t>
        </r>
      </text>
    </comment>
    <comment ref="BS210" authorId="0">
      <text>
        <r>
          <rPr>
            <b/>
            <sz val="8"/>
            <color indexed="8"/>
            <rFont val="Tahoma"/>
            <family val="2"/>
          </rPr>
          <t>smythra:</t>
        </r>
        <r>
          <rPr>
            <sz val="8"/>
            <color indexed="8"/>
            <rFont val="Tahoma"/>
            <family val="2"/>
          </rPr>
          <t xml:space="preserve">
q/q change in total MCI local voice subs</t>
        </r>
      </text>
    </comment>
    <comment ref="BT210" authorId="0">
      <text>
        <r>
          <rPr>
            <b/>
            <sz val="8"/>
            <color indexed="8"/>
            <rFont val="Tahoma"/>
            <family val="2"/>
          </rPr>
          <t>smythra:</t>
        </r>
        <r>
          <rPr>
            <sz val="8"/>
            <color indexed="8"/>
            <rFont val="Tahoma"/>
            <family val="2"/>
          </rPr>
          <t xml:space="preserve">
q/q change in total MCI local voice subs</t>
        </r>
      </text>
    </comment>
    <comment ref="BU210" authorId="0">
      <text>
        <r>
          <rPr>
            <b/>
            <sz val="8"/>
            <color indexed="8"/>
            <rFont val="Tahoma"/>
            <family val="2"/>
          </rPr>
          <t>smythra:</t>
        </r>
        <r>
          <rPr>
            <sz val="8"/>
            <color indexed="8"/>
            <rFont val="Tahoma"/>
            <family val="2"/>
          </rPr>
          <t xml:space="preserve">
q/q change in total MCI local voice subs</t>
        </r>
      </text>
    </comment>
    <comment ref="BV210" authorId="0">
      <text>
        <r>
          <rPr>
            <b/>
            <sz val="8"/>
            <color indexed="8"/>
            <rFont val="Tahoma"/>
            <family val="2"/>
          </rPr>
          <t>smythra:</t>
        </r>
        <r>
          <rPr>
            <sz val="8"/>
            <color indexed="8"/>
            <rFont val="Tahoma"/>
            <family val="2"/>
          </rPr>
          <t xml:space="preserve">
q/q change in total MCI local voice subs</t>
        </r>
      </text>
    </comment>
    <comment ref="BW210" authorId="0">
      <text>
        <r>
          <rPr>
            <b/>
            <sz val="8"/>
            <color indexed="8"/>
            <rFont val="Tahoma"/>
            <family val="2"/>
          </rPr>
          <t>smythra:</t>
        </r>
        <r>
          <rPr>
            <sz val="8"/>
            <color indexed="8"/>
            <rFont val="Tahoma"/>
            <family val="2"/>
          </rPr>
          <t xml:space="preserve">
q/q change in total MCI local voice subs</t>
        </r>
      </text>
    </comment>
    <comment ref="BX210" authorId="0">
      <text>
        <r>
          <rPr>
            <b/>
            <sz val="8"/>
            <color indexed="8"/>
            <rFont val="Tahoma"/>
            <family val="2"/>
          </rPr>
          <t>smythra:</t>
        </r>
        <r>
          <rPr>
            <sz val="8"/>
            <color indexed="8"/>
            <rFont val="Tahoma"/>
            <family val="2"/>
          </rPr>
          <t xml:space="preserve">
q/q change in total MCI local voice subs</t>
        </r>
      </text>
    </comment>
    <comment ref="BY210" authorId="0">
      <text>
        <r>
          <rPr>
            <b/>
            <sz val="8"/>
            <color indexed="8"/>
            <rFont val="Tahoma"/>
            <family val="2"/>
          </rPr>
          <t>smythra:</t>
        </r>
        <r>
          <rPr>
            <sz val="8"/>
            <color indexed="8"/>
            <rFont val="Tahoma"/>
            <family val="2"/>
          </rPr>
          <t xml:space="preserve">
assumed</t>
        </r>
      </text>
    </comment>
    <comment ref="CL306" authorId="3">
      <text>
        <r>
          <rPr>
            <b/>
            <sz val="8"/>
            <color indexed="8"/>
            <rFont val="Tahoma"/>
            <family val="2"/>
          </rPr>
          <t>dgaviria:</t>
        </r>
        <r>
          <rPr>
            <sz val="8"/>
            <color indexed="8"/>
            <rFont val="Tahoma"/>
            <family val="2"/>
          </rPr>
          <t xml:space="preserve">
From July 24 S4:
+ $4 : This adjustment reflects results of operations related to the transfer of approximately 24,000 California access lines, representing a portion of the Spinco business not included in Verizon’s Separate Telephone Operations, to the combined company
-$11M: This adjustment reflects results of operations of wireless directory assistance, long distance revenues from calling cards and discontinued services, and customer premises equipment contracts that will not be transferred in the transaction
-$12M: This adjustment conforms the classification of bad debt expenses by Verizon’s Separate Telephone Operations to the classification policy of Frontier
</t>
        </r>
      </text>
    </comment>
    <comment ref="CM306" authorId="3">
      <text>
        <r>
          <rPr>
            <b/>
            <sz val="8"/>
            <color indexed="8"/>
            <rFont val="Tahoma"/>
            <family val="2"/>
          </rPr>
          <t>dgaviria:</t>
        </r>
        <r>
          <rPr>
            <sz val="8"/>
            <color indexed="8"/>
            <rFont val="Tahoma"/>
            <family val="2"/>
          </rPr>
          <t xml:space="preserve">
From Sep 14 2009 S4:
Figures available for six months; we can subtract 1Q to get 2Q. Below the adjsutments:
+ $4 : This adjustment reflects results of operations related to the transfer of approximately 24,000 California access lines, representing a portion of the Spinco business not included in Verizon’s Separate Telephone Operations, to the combined company
-$10M: This adjustment reflects results of operations of wireless directory assistance, long distance revenues from calling cards and discontinued services, and customer premises equipment contracts that will not be transferred in the transaction
-$16M: This adjustment conforms the classification of bad debt expenses by Verizon’s Separate Telephone Operations to the classification policy of Frontier
</t>
        </r>
      </text>
    </comment>
    <comment ref="CO306" authorId="3">
      <text>
        <r>
          <rPr>
            <b/>
            <sz val="8"/>
            <color indexed="8"/>
            <rFont val="Tahoma"/>
            <family val="2"/>
          </rPr>
          <t>dgaviria:</t>
        </r>
        <r>
          <rPr>
            <sz val="8"/>
            <color indexed="8"/>
            <rFont val="Tahoma"/>
            <family val="2"/>
          </rPr>
          <t xml:space="preserve">
From 8K:
+ $16M : This adjustment reflects results of operations related to the transfer of approximately 23,000 California access lines, representing a portion of the Spinco business not included in Verizon’s Separate Telephone Operations, to the combined company
-$66M: This adjustment reflects results of operations of wireless directory assistance, long distance revenues from calling cards and discontinued services, and customer premises equipment contracts that will not be transferred in the transaction
-$62M: This adjustment conforms the classification of bad debt expenses by Verizon’s Separate Telephone Operations to the classification policy of Frontier
</t>
        </r>
      </text>
    </comment>
    <comment ref="CP306" authorId="3">
      <text>
        <r>
          <rPr>
            <b/>
            <sz val="8"/>
            <color indexed="8"/>
            <rFont val="Tahoma"/>
            <family val="2"/>
          </rPr>
          <t>dgaviria:</t>
        </r>
        <r>
          <rPr>
            <sz val="8"/>
            <color indexed="8"/>
            <rFont val="Tahoma"/>
            <family val="2"/>
          </rPr>
          <t xml:space="preserve">
+4M This adjustment reflects results of operations related to the transfer of approximately 22,000 California access lines, representing a portion of the Spinco business not included in Verizon’s Separate Telephone Operations, to the combined company. 
-14M This adjustment reflects results of operations of wireless directory assistance, long distance revenues from calling cards and discontinued services, and customer premises equipment contracts that will not be transferred in the transactions
-18M This adjustment conforms the classification of bad debt expenses by Verizon’s Separate Telephone Operations to the classification policy of Frontier. 
</t>
        </r>
      </text>
    </comment>
    <comment ref="CM319" authorId="3">
      <text>
        <r>
          <rPr>
            <b/>
            <sz val="8"/>
            <color indexed="8"/>
            <rFont val="Tahoma"/>
            <family val="2"/>
          </rPr>
          <t xml:space="preserve">dgaviria:
From Sep 14 2009 S4:
</t>
        </r>
        <r>
          <rPr>
            <sz val="8"/>
            <color indexed="8"/>
            <rFont val="Tahoma"/>
            <family val="2"/>
          </rPr>
          <t xml:space="preserve">
</t>
        </r>
        <r>
          <rPr>
            <b/>
            <sz val="8"/>
            <color indexed="8"/>
            <rFont val="Tahoma"/>
            <family val="2"/>
          </rPr>
          <t xml:space="preserve">$3M  </t>
        </r>
        <r>
          <rPr>
            <sz val="8"/>
            <color indexed="8"/>
            <rFont val="Tahoma"/>
            <family val="2"/>
          </rPr>
          <t xml:space="preserve"> This adjustment reflects results of operations related to the transfer of approximately 24,000 California access lines, representing a portion of the Spinco business not included in Verizon’s Separate Telephone Operations, to the combined company.
</t>
        </r>
        <r>
          <rPr>
            <b/>
            <sz val="8"/>
            <color indexed="8"/>
            <rFont val="Tahoma"/>
            <family val="2"/>
          </rPr>
          <t xml:space="preserve">-$9M   </t>
        </r>
        <r>
          <rPr>
            <sz val="8"/>
            <color indexed="8"/>
            <rFont val="Tahoma"/>
            <family val="2"/>
          </rPr>
          <t>This adjustment reflects results of operations of wireless directory assistance, long distance revenues from calling cards and discontinued services, and customer premises equipment contracts that will not be transferred in the transactions.
-</t>
        </r>
        <r>
          <rPr>
            <b/>
            <sz val="8"/>
            <color indexed="8"/>
            <rFont val="Tahoma"/>
            <family val="2"/>
          </rPr>
          <t>$137M:</t>
        </r>
        <r>
          <rPr>
            <sz val="8"/>
            <color indexed="8"/>
            <rFont val="Tahoma"/>
            <family val="2"/>
          </rPr>
          <t xml:space="preserve">   This adjustment reflects pension, other postretirement employee benefits of retirees and postemployment benefits retained by Verizon.
</t>
        </r>
        <r>
          <rPr>
            <b/>
            <sz val="8"/>
            <color indexed="8"/>
            <rFont val="Tahoma"/>
            <family val="2"/>
          </rPr>
          <t xml:space="preserve">-$16M </t>
        </r>
        <r>
          <rPr>
            <sz val="8"/>
            <color indexed="8"/>
            <rFont val="Tahoma"/>
            <family val="2"/>
          </rPr>
          <t xml:space="preserve">   This adjustment conforms the classification of bad debt expenses by Verizon’s Separate Telephone Operations to the classification policy of Frontier
</t>
        </r>
      </text>
    </comment>
    <comment ref="CN319" authorId="3">
      <text>
        <r>
          <rPr>
            <b/>
            <sz val="8"/>
            <color indexed="8"/>
            <rFont val="Tahoma"/>
            <family val="2"/>
          </rPr>
          <t>dgaviria:</t>
        </r>
        <r>
          <rPr>
            <sz val="8"/>
            <color indexed="8"/>
            <rFont val="Tahoma"/>
            <family val="2"/>
          </rPr>
          <t xml:space="preserve">
Pension settlement losses of </t>
        </r>
        <r>
          <rPr>
            <b/>
            <sz val="8"/>
            <color indexed="8"/>
            <rFont val="Tahoma"/>
            <family val="2"/>
          </rPr>
          <t>$154 million</t>
        </r>
        <r>
          <rPr>
            <sz val="8"/>
            <color indexed="8"/>
            <rFont val="Tahoma"/>
            <family val="2"/>
          </rPr>
          <t xml:space="preserve"> and $293 million were recorded during the three and nine months ended September 30, 2009, respectively, related to employees that received lump-sum distributions primarily resulting from previous separation plans in which prescribed payment thresholds have been reached. </t>
        </r>
      </text>
    </comment>
    <comment ref="CO319" authorId="3">
      <text>
        <r>
          <rPr>
            <b/>
            <sz val="8"/>
            <color indexed="8"/>
            <rFont val="Tahoma"/>
            <family val="2"/>
          </rPr>
          <t>dgaviria:</t>
        </r>
        <r>
          <rPr>
            <sz val="8"/>
            <color indexed="8"/>
            <rFont val="Tahoma"/>
            <family val="2"/>
          </rPr>
          <t xml:space="preserve">
</t>
        </r>
        <r>
          <rPr>
            <b/>
            <sz val="8"/>
            <color indexed="8"/>
            <rFont val="Tahoma"/>
            <family val="2"/>
          </rPr>
          <t xml:space="preserve">$10M  </t>
        </r>
        <r>
          <rPr>
            <sz val="8"/>
            <color indexed="8"/>
            <rFont val="Tahoma"/>
            <family val="2"/>
          </rPr>
          <t xml:space="preserve"> This adjustment reflects results of operations related to the transfer of approximately 23,000 California access lines, representing a portion of the Spinco business not included in Verizon’s Separate Telephone Operations, to the combined company.
</t>
        </r>
        <r>
          <rPr>
            <b/>
            <sz val="8"/>
            <color indexed="8"/>
            <rFont val="Tahoma"/>
            <family val="2"/>
          </rPr>
          <t xml:space="preserve">-$63M   </t>
        </r>
        <r>
          <rPr>
            <sz val="8"/>
            <color indexed="8"/>
            <rFont val="Tahoma"/>
            <family val="2"/>
          </rPr>
          <t xml:space="preserve">This adjustment reflects results of operations of wireless directory assistance, long distance revenues from calling cards and discontinued services, and customer premises equipment contracts that will not be transferred in the transactions.
</t>
        </r>
        <r>
          <rPr>
            <b/>
            <sz val="8"/>
            <color indexed="8"/>
            <rFont val="Tahoma"/>
            <family val="2"/>
          </rPr>
          <t>-$412M:</t>
        </r>
        <r>
          <rPr>
            <sz val="8"/>
            <color indexed="8"/>
            <rFont val="Tahoma"/>
            <family val="2"/>
          </rPr>
          <t xml:space="preserve">   This adjustment reflects pension, other postretirement employee benefits of retirees and postemployment benefits retained by Verizon.
</t>
        </r>
        <r>
          <rPr>
            <b/>
            <sz val="8"/>
            <color indexed="8"/>
            <rFont val="Tahoma"/>
            <family val="2"/>
          </rPr>
          <t xml:space="preserve">-$62M </t>
        </r>
        <r>
          <rPr>
            <sz val="8"/>
            <color indexed="8"/>
            <rFont val="Tahoma"/>
            <family val="2"/>
          </rPr>
          <t xml:space="preserve">   This adjustment conforms the classification of bad debt expenses by Verizon’s Separate Telephone Operations to the classification policy of Frontier
</t>
        </r>
        <r>
          <rPr>
            <b/>
            <sz val="8"/>
            <color indexed="8"/>
            <rFont val="Tahoma"/>
            <family val="2"/>
          </rPr>
          <t xml:space="preserve">-$26M </t>
        </r>
        <r>
          <rPr>
            <sz val="8"/>
            <color indexed="8"/>
            <rFont val="Tahoma"/>
            <family val="2"/>
          </rPr>
          <t xml:space="preserve">This adjustment reflects the removal of acquisition, integration and realignment expenses related to activities to enable Spinco to operate on a stand-alone basis in connection with the proposed business combination with Frontier.
</t>
        </r>
        <r>
          <rPr>
            <b/>
            <sz val="8"/>
            <color indexed="8"/>
            <rFont val="Tahoma"/>
            <family val="2"/>
          </rPr>
          <t xml:space="preserve">-$1M   </t>
        </r>
        <r>
          <rPr>
            <sz val="8"/>
            <color indexed="8"/>
            <rFont val="Tahoma"/>
            <family val="2"/>
          </rPr>
          <t xml:space="preserve"> This adjustment reflects the removal of transactions between Verizon’s Separate Telephone Operations and Frontier
</t>
        </r>
        <r>
          <rPr>
            <b/>
            <sz val="8"/>
            <color indexed="8"/>
            <rFont val="Tahoma"/>
            <family val="2"/>
          </rPr>
          <t xml:space="preserve">-$2M </t>
        </r>
        <r>
          <rPr>
            <sz val="8"/>
            <color indexed="8"/>
            <rFont val="Tahoma"/>
            <family val="2"/>
          </rPr>
          <t xml:space="preserve">  This adjustment reflects depreciation on Verizon corporate real estate in the Spinco territory transferred to Spinco, net of depreciation in fixed assets related to Verizon national operations to be retained by Verizon and related rent expense allocated to Verizon’s Separate Telephone Operations
</t>
        </r>
      </text>
    </comment>
    <comment ref="CL320" authorId="3">
      <text>
        <r>
          <rPr>
            <b/>
            <sz val="8"/>
            <color indexed="8"/>
            <rFont val="Tahoma"/>
            <family val="2"/>
          </rPr>
          <t xml:space="preserve">dgaviria:
From July 24 2009 S4:
</t>
        </r>
        <r>
          <rPr>
            <sz val="8"/>
            <color indexed="8"/>
            <rFont val="Tahoma"/>
            <family val="2"/>
          </rPr>
          <t xml:space="preserve">
</t>
        </r>
        <r>
          <rPr>
            <b/>
            <sz val="8"/>
            <color indexed="8"/>
            <rFont val="Tahoma"/>
            <family val="2"/>
          </rPr>
          <t xml:space="preserve">$2M  </t>
        </r>
        <r>
          <rPr>
            <sz val="8"/>
            <color indexed="8"/>
            <rFont val="Tahoma"/>
            <family val="2"/>
          </rPr>
          <t xml:space="preserve"> This adjustment reflects results of operations related to the transfer of approximately 24,000 California access lines, representing a portion of the Spinco business not included in Verizon’s Separate Telephone Operations, to the combined company.
</t>
        </r>
        <r>
          <rPr>
            <b/>
            <sz val="8"/>
            <color indexed="8"/>
            <rFont val="Tahoma"/>
            <family val="2"/>
          </rPr>
          <t xml:space="preserve">-$9M   </t>
        </r>
        <r>
          <rPr>
            <sz val="8"/>
            <color indexed="8"/>
            <rFont val="Tahoma"/>
            <family val="2"/>
          </rPr>
          <t>This adjustment reflects results of operations of wireless directory assistance, long distance revenues from calling cards and discontinued services, and customer premises equipment contracts that will not be transferred in the transactions.
+</t>
        </r>
        <r>
          <rPr>
            <b/>
            <sz val="8"/>
            <color indexed="8"/>
            <rFont val="Tahoma"/>
            <family val="2"/>
          </rPr>
          <t>$3M:</t>
        </r>
        <r>
          <rPr>
            <sz val="8"/>
            <color indexed="8"/>
            <rFont val="Tahoma"/>
            <family val="2"/>
          </rPr>
          <t xml:space="preserve">   This adjustment reflects pension, other postretirement employee benefits of retirees and postemployment benefits retained by Verizon.
</t>
        </r>
        <r>
          <rPr>
            <b/>
            <sz val="8"/>
            <color indexed="8"/>
            <rFont val="Tahoma"/>
            <family val="2"/>
          </rPr>
          <t xml:space="preserve">-$12M </t>
        </r>
        <r>
          <rPr>
            <sz val="8"/>
            <color indexed="8"/>
            <rFont val="Tahoma"/>
            <family val="2"/>
          </rPr>
          <t xml:space="preserve">   This adjustment conforms the classification of bad debt expenses by Verizon’s Separate Telephone Operations to the classification policy of Frontier
</t>
        </r>
      </text>
    </comment>
    <comment ref="CP320" authorId="3">
      <text>
        <r>
          <rPr>
            <b/>
            <sz val="8"/>
            <color indexed="8"/>
            <rFont val="Tahoma"/>
            <family val="2"/>
          </rPr>
          <t xml:space="preserve">dgaviria:
From Sep 14 2009 S4:
</t>
        </r>
        <r>
          <rPr>
            <sz val="8"/>
            <color indexed="8"/>
            <rFont val="Tahoma"/>
            <family val="2"/>
          </rPr>
          <t xml:space="preserve">
</t>
        </r>
        <r>
          <rPr>
            <b/>
            <sz val="8"/>
            <color indexed="8"/>
            <rFont val="Tahoma"/>
            <family val="2"/>
          </rPr>
          <t xml:space="preserve">$2M  </t>
        </r>
        <r>
          <rPr>
            <sz val="8"/>
            <color indexed="8"/>
            <rFont val="Tahoma"/>
            <family val="2"/>
          </rPr>
          <t xml:space="preserve"> This adjustment reflects results of operations related to the transfer of approximately 22,000 California access lines, representing a portion of the Spinco business not included in Verizon’s Separate Telephone Operations, to the combined company.
</t>
        </r>
      </text>
    </comment>
    <comment ref="CL321" authorId="3">
      <text>
        <r>
          <rPr>
            <b/>
            <sz val="8"/>
            <color indexed="8"/>
            <rFont val="Tahoma"/>
            <family val="2"/>
          </rPr>
          <t xml:space="preserve">dgaviria:
From July 24 2009 S4:
</t>
        </r>
        <r>
          <rPr>
            <sz val="8"/>
            <color indexed="8"/>
            <rFont val="Tahoma"/>
            <family val="2"/>
          </rPr>
          <t xml:space="preserve">
</t>
        </r>
        <r>
          <rPr>
            <b/>
            <sz val="8"/>
            <color indexed="8"/>
            <rFont val="Tahoma"/>
            <family val="2"/>
          </rPr>
          <t xml:space="preserve">$2M  </t>
        </r>
        <r>
          <rPr>
            <sz val="8"/>
            <color indexed="8"/>
            <rFont val="Tahoma"/>
            <family val="2"/>
          </rPr>
          <t xml:space="preserve"> This adjustment reflects results of operations related to the transfer of approximately 24,000 California access lines, representing a portion of the Spinco business not included in Verizon’s Separate Telephone Operations, to the combined company.
</t>
        </r>
        <r>
          <rPr>
            <b/>
            <sz val="8"/>
            <color indexed="8"/>
            <rFont val="Tahoma"/>
            <family val="2"/>
          </rPr>
          <t xml:space="preserve">-$9M   </t>
        </r>
        <r>
          <rPr>
            <sz val="8"/>
            <color indexed="8"/>
            <rFont val="Tahoma"/>
            <family val="2"/>
          </rPr>
          <t>This adjustment reflects results of operations of wireless directory assistance, long distance revenues from calling cards and discontinued services, and customer premises equipment contracts that will not be transferred in the transactions.
+</t>
        </r>
        <r>
          <rPr>
            <b/>
            <sz val="8"/>
            <color indexed="8"/>
            <rFont val="Tahoma"/>
            <family val="2"/>
          </rPr>
          <t>$3M:</t>
        </r>
        <r>
          <rPr>
            <sz val="8"/>
            <color indexed="8"/>
            <rFont val="Tahoma"/>
            <family val="2"/>
          </rPr>
          <t xml:space="preserve">   This adjustment reflects pension, other postretirement employee benefits of retirees and postemployment benefits retained by Verizon.
</t>
        </r>
        <r>
          <rPr>
            <b/>
            <sz val="8"/>
            <color indexed="8"/>
            <rFont val="Tahoma"/>
            <family val="2"/>
          </rPr>
          <t xml:space="preserve">-$12M </t>
        </r>
        <r>
          <rPr>
            <sz val="8"/>
            <color indexed="8"/>
            <rFont val="Tahoma"/>
            <family val="2"/>
          </rPr>
          <t xml:space="preserve">   This adjustment conforms the classification of bad debt expenses by Verizon’s Separate Telephone Operations to the classification policy of Frontier
</t>
        </r>
      </text>
    </comment>
    <comment ref="CP321" authorId="3">
      <text>
        <r>
          <rPr>
            <b/>
            <sz val="8"/>
            <color indexed="8"/>
            <rFont val="Tahoma"/>
            <family val="2"/>
          </rPr>
          <t xml:space="preserve">dgaviria:
From Sep 14 2009 S4:
</t>
        </r>
        <r>
          <rPr>
            <sz val="8"/>
            <color indexed="8"/>
            <rFont val="Tahoma"/>
            <family val="2"/>
          </rPr>
          <t xml:space="preserve">
</t>
        </r>
        <r>
          <rPr>
            <b/>
            <sz val="8"/>
            <color indexed="8"/>
            <rFont val="Tahoma"/>
            <family val="2"/>
          </rPr>
          <t xml:space="preserve">-$14M   </t>
        </r>
        <r>
          <rPr>
            <sz val="8"/>
            <color indexed="8"/>
            <rFont val="Tahoma"/>
            <family val="2"/>
          </rPr>
          <t xml:space="preserve">This adjustment reflects results of operations of wireless directory assistance, long distance revenues from calling cards and discontinued services, and customer premises equipment contracts that will not be transferred in the transactions.
</t>
        </r>
      </text>
    </comment>
    <comment ref="CL322" authorId="3">
      <text>
        <r>
          <rPr>
            <b/>
            <sz val="8"/>
            <color indexed="8"/>
            <rFont val="Tahoma"/>
            <family val="2"/>
          </rPr>
          <t xml:space="preserve">dgaviria:
From July 24 2009 S4:
</t>
        </r>
        <r>
          <rPr>
            <sz val="8"/>
            <color indexed="8"/>
            <rFont val="Tahoma"/>
            <family val="2"/>
          </rPr>
          <t xml:space="preserve">
</t>
        </r>
        <r>
          <rPr>
            <b/>
            <sz val="8"/>
            <color indexed="8"/>
            <rFont val="Tahoma"/>
            <family val="2"/>
          </rPr>
          <t xml:space="preserve">$2M  </t>
        </r>
        <r>
          <rPr>
            <sz val="8"/>
            <color indexed="8"/>
            <rFont val="Tahoma"/>
            <family val="2"/>
          </rPr>
          <t xml:space="preserve"> This adjustment reflects results of operations related to the transfer of approximately 24,000 California access lines, representing a portion of the Spinco business not included in Verizon’s Separate Telephone Operations, to the combined company.
</t>
        </r>
        <r>
          <rPr>
            <b/>
            <sz val="8"/>
            <color indexed="8"/>
            <rFont val="Tahoma"/>
            <family val="2"/>
          </rPr>
          <t xml:space="preserve">-$9M   </t>
        </r>
        <r>
          <rPr>
            <sz val="8"/>
            <color indexed="8"/>
            <rFont val="Tahoma"/>
            <family val="2"/>
          </rPr>
          <t>This adjustment reflects results of operations of wireless directory assistance, long distance revenues from calling cards and discontinued services, and customer premises equipment contracts that will not be transferred in the transactions.
+</t>
        </r>
        <r>
          <rPr>
            <b/>
            <sz val="8"/>
            <color indexed="8"/>
            <rFont val="Tahoma"/>
            <family val="2"/>
          </rPr>
          <t>$3M:</t>
        </r>
        <r>
          <rPr>
            <sz val="8"/>
            <color indexed="8"/>
            <rFont val="Tahoma"/>
            <family val="2"/>
          </rPr>
          <t xml:space="preserve">   This adjustment reflects pension, other postretirement employee benefits of retirees and postemployment benefits retained by Verizon.
</t>
        </r>
        <r>
          <rPr>
            <b/>
            <sz val="8"/>
            <color indexed="8"/>
            <rFont val="Tahoma"/>
            <family val="2"/>
          </rPr>
          <t xml:space="preserve">-$12M </t>
        </r>
        <r>
          <rPr>
            <sz val="8"/>
            <color indexed="8"/>
            <rFont val="Tahoma"/>
            <family val="2"/>
          </rPr>
          <t xml:space="preserve">   This adjustment conforms the classification of bad debt expenses by Verizon’s Separate Telephone Operations to the classification policy of Frontier
</t>
        </r>
      </text>
    </comment>
    <comment ref="CP322" authorId="3">
      <text>
        <r>
          <rPr>
            <b/>
            <sz val="8"/>
            <color indexed="8"/>
            <rFont val="Tahoma"/>
            <family val="2"/>
          </rPr>
          <t xml:space="preserve">dgaviria:
From Sep 14 2009 S4:
</t>
        </r>
        <r>
          <rPr>
            <sz val="8"/>
            <color indexed="8"/>
            <rFont val="Tahoma"/>
            <family val="2"/>
          </rPr>
          <t>-</t>
        </r>
        <r>
          <rPr>
            <b/>
            <sz val="8"/>
            <color indexed="8"/>
            <rFont val="Tahoma"/>
            <family val="2"/>
          </rPr>
          <t>$130M:</t>
        </r>
        <r>
          <rPr>
            <sz val="8"/>
            <color indexed="8"/>
            <rFont val="Tahoma"/>
            <family val="2"/>
          </rPr>
          <t xml:space="preserve">   This adjustment reflects pension, other postretirement employee benefits of retirees and postemployment benefits retained by Verizon.
</t>
        </r>
      </text>
    </comment>
    <comment ref="CP323" authorId="3">
      <text>
        <r>
          <rPr>
            <b/>
            <sz val="8"/>
            <color indexed="8"/>
            <rFont val="Tahoma"/>
            <family val="2"/>
          </rPr>
          <t xml:space="preserve">dgaviria:
From Sep 14 2009 S4:
</t>
        </r>
        <r>
          <rPr>
            <b/>
            <sz val="8"/>
            <color indexed="8"/>
            <rFont val="Tahoma"/>
            <family val="2"/>
          </rPr>
          <t xml:space="preserve">-$18M </t>
        </r>
        <r>
          <rPr>
            <sz val="8"/>
            <color indexed="8"/>
            <rFont val="Tahoma"/>
            <family val="2"/>
          </rPr>
          <t xml:space="preserve">   This adjustment conforms the classification of bad debt expenses by Verizon’s Separate Telephone Operations to the classification policy of Frontier
</t>
        </r>
      </text>
    </comment>
    <comment ref="CP324" authorId="3">
      <text>
        <r>
          <rPr>
            <b/>
            <sz val="8"/>
            <color indexed="8"/>
            <rFont val="Tahoma"/>
            <family val="2"/>
          </rPr>
          <t xml:space="preserve">dgaviria:
From Sep 14 2009 S4:
</t>
        </r>
        <r>
          <rPr>
            <sz val="8"/>
            <color indexed="8"/>
            <rFont val="Tahoma"/>
            <family val="2"/>
          </rPr>
          <t xml:space="preserve">
</t>
        </r>
        <r>
          <rPr>
            <b/>
            <sz val="8"/>
            <color indexed="8"/>
            <rFont val="Tahoma"/>
            <family val="2"/>
          </rPr>
          <t xml:space="preserve">-$9M  </t>
        </r>
        <r>
          <rPr>
            <sz val="8"/>
            <color indexed="8"/>
            <rFont val="Tahoma"/>
            <family val="2"/>
          </rPr>
          <t xml:space="preserve">  This adjustment reflects the removal of acquisition, integration and realignment expenses related to activities to enable Spinco to operate on a stand-alone basis in connection with the proposed business combination with Frontier. 
</t>
        </r>
      </text>
    </comment>
    <comment ref="CP325" authorId="3">
      <text>
        <r>
          <rPr>
            <b/>
            <sz val="8"/>
            <color indexed="8"/>
            <rFont val="Tahoma"/>
            <family val="2"/>
          </rPr>
          <t xml:space="preserve">dgaviria:
From Sep 14 2009 S4:
</t>
        </r>
        <r>
          <rPr>
            <sz val="8"/>
            <color indexed="8"/>
            <rFont val="Tahoma"/>
            <family val="2"/>
          </rPr>
          <t xml:space="preserve">
</t>
        </r>
        <r>
          <rPr>
            <b/>
            <sz val="8"/>
            <color indexed="8"/>
            <rFont val="Tahoma"/>
            <family val="2"/>
          </rPr>
          <t xml:space="preserve">-$1M </t>
        </r>
        <r>
          <rPr>
            <sz val="8"/>
            <color indexed="8"/>
            <rFont val="Tahoma"/>
            <family val="2"/>
          </rPr>
          <t xml:space="preserve">   This adjustment reflects depreciation on Verizon corporate real estate in the Spinco territory transferred to Spinco, net of depreciation in fixed assets related to Verizon national operations to be retained by Verizon and related rent expense allocated to Verizon’s Separate Telephone Operations.  </t>
        </r>
      </text>
    </comment>
    <comment ref="CP334" authorId="3">
      <text>
        <r>
          <rPr>
            <b/>
            <sz val="8"/>
            <color indexed="8"/>
            <rFont val="Tahoma"/>
            <family val="2"/>
          </rPr>
          <t>dgaviria:</t>
        </r>
        <r>
          <rPr>
            <sz val="8"/>
            <color indexed="8"/>
            <rFont val="Tahoma"/>
            <family val="2"/>
          </rPr>
          <t xml:space="preserve">
</t>
        </r>
        <r>
          <rPr>
            <b/>
            <sz val="8"/>
            <color indexed="8"/>
            <rFont val="Tahoma"/>
            <family val="2"/>
          </rPr>
          <t xml:space="preserve">+1M </t>
        </r>
        <r>
          <rPr>
            <sz val="8"/>
            <color indexed="8"/>
            <rFont val="Tahoma"/>
            <family val="2"/>
          </rPr>
          <t xml:space="preserve">This adjustment reflects results of operations related to the transfer of approximately 22,000 California access lines, representing a portion of the Spinco business not included in Verizon’s Separate Telephone Operations, to the combined company. 
</t>
        </r>
        <r>
          <rPr>
            <b/>
            <sz val="8"/>
            <color indexed="8"/>
            <rFont val="Tahoma"/>
            <family val="2"/>
          </rPr>
          <t xml:space="preserve">+58M </t>
        </r>
        <r>
          <rPr>
            <sz val="8"/>
            <color indexed="8"/>
            <rFont val="Tahoma"/>
            <family val="2"/>
          </rPr>
          <t xml:space="preserve"> This adjustment reflects amortization expense associated with the customer list asset estimated in note 4(d) above assuming an estimated useful life of five years which corresponds to an increase in depreciation and amortization of $58 million and $230 million for the three months ended March 31, 2010 and the year ended December 31, 2009, respectively.  
The actual depreciation and amortization expense will be based on the final fair value attributed to the identifiable tangible and intangible assets based upon the results of the third-party valuation of the acquired assets. The depreciation and amortization rates may also change based on the results of this third-party valuation. There can be no assurance that the actual depreciation and amortization expense will not differ significantly from the pro forma adjustment presented. 
</t>
        </r>
        <r>
          <rPr>
            <b/>
            <sz val="8"/>
            <color indexed="8"/>
            <rFont val="Tahoma"/>
            <family val="2"/>
          </rPr>
          <t xml:space="preserve">+4M  </t>
        </r>
        <r>
          <rPr>
            <sz val="8"/>
            <color indexed="8"/>
            <rFont val="Tahoma"/>
            <family val="2"/>
          </rPr>
          <t xml:space="preserve">This adjustment reflects depreciation on Verizon corporate real estate in the Spinco territory transferred to Spinco, net of depreciation in fixed assets related to Verizon national operations to be retained by Verizon and related rent expense allocated to Verizon’s Separate Telephone Operations. </t>
        </r>
      </text>
    </comment>
  </commentList>
</comments>
</file>

<file path=xl/comments9.xml><?xml version="1.0" encoding="utf-8"?>
<comments xmlns="http://schemas.openxmlformats.org/spreadsheetml/2006/main">
  <authors>
    <author>Raina Smyth</author>
    <author>Daniel Gaviria</author>
    <author>Sinkevicius, Armintas (Research)</author>
    <author>dgaviria</author>
    <author>armintas</author>
    <author>Lam, Lisa (Research)</author>
    <author>smythra</author>
  </authors>
  <commentList>
    <comment ref="F9" authorId="0">
      <text>
        <r>
          <rPr>
            <b/>
            <sz val="8"/>
            <color indexed="8"/>
            <rFont val="Tahoma"/>
            <family val="2"/>
          </rPr>
          <t>Raina Smyth:</t>
        </r>
        <r>
          <rPr>
            <sz val="8"/>
            <color indexed="8"/>
            <rFont val="Tahoma"/>
            <family val="2"/>
          </rPr>
          <t xml:space="preserve">
Jan 07 4Q06 results: Fios network passed more than 6 M premises ending 2006</t>
        </r>
      </text>
    </comment>
    <comment ref="G9" authorId="0">
      <text>
        <r>
          <rPr>
            <b/>
            <sz val="8"/>
            <color indexed="8"/>
            <rFont val="Tahoma"/>
            <family val="2"/>
          </rPr>
          <t>Raina Smyth:</t>
        </r>
        <r>
          <rPr>
            <sz val="8"/>
            <color indexed="8"/>
            <rFont val="Tahoma"/>
            <family val="2"/>
          </rPr>
          <t xml:space="preserve">
Apr 07: reiterated w/1Q07 results
Jan 07: reiterated '07 target with 4Q06 results</t>
        </r>
      </text>
    </comment>
    <comment ref="J9" authorId="1">
      <text>
        <r>
          <rPr>
            <b/>
            <sz val="8"/>
            <color indexed="8"/>
            <rFont val="Tahoma"/>
            <family val="2"/>
          </rPr>
          <t>Company target is 
18 mm but in 2010 incremental is 1M plus or minus 200k</t>
        </r>
      </text>
    </comment>
    <comment ref="S9" authorId="2">
      <text>
        <r>
          <rPr>
            <b/>
            <sz val="9"/>
            <color indexed="81"/>
            <rFont val="Tahoma"/>
            <family val="2"/>
          </rPr>
          <t>Sinkevicius, Armintas (Research):</t>
        </r>
        <r>
          <rPr>
            <sz val="9"/>
            <color indexed="81"/>
            <rFont val="Tahoma"/>
            <family val="2"/>
          </rPr>
          <t xml:space="preserve">
Remaining 23m HH after Frontier
Pass 17m, 75%+</t>
        </r>
      </text>
    </comment>
    <comment ref="BZ9" authorId="1">
      <text>
        <r>
          <rPr>
            <b/>
            <sz val="8"/>
            <color indexed="8"/>
            <rFont val="Tahoma"/>
            <family val="2"/>
          </rPr>
          <t>Daniel Gaviria:</t>
        </r>
        <r>
          <rPr>
            <sz val="8"/>
            <color indexed="8"/>
            <rFont val="Tahoma"/>
            <family val="2"/>
          </rPr>
          <t xml:space="preserve">
Estimate
</t>
        </r>
      </text>
    </comment>
    <comment ref="CE9" authorId="1">
      <text>
        <r>
          <rPr>
            <b/>
            <sz val="8"/>
            <color indexed="8"/>
            <rFont val="Tahoma"/>
            <family val="2"/>
          </rPr>
          <t>Daniel Gaviria:</t>
        </r>
        <r>
          <rPr>
            <sz val="8"/>
            <color indexed="8"/>
            <rFont val="Tahoma"/>
            <family val="2"/>
          </rPr>
          <t xml:space="preserve">
According to press release "nearly 7.6 million"</t>
        </r>
      </text>
    </comment>
    <comment ref="CF9" authorId="1">
      <text>
        <r>
          <rPr>
            <b/>
            <sz val="8"/>
            <color indexed="8"/>
            <rFont val="Tahoma"/>
            <family val="2"/>
          </rPr>
          <t>Daniel Gaviria:</t>
        </r>
        <r>
          <rPr>
            <sz val="8"/>
            <color indexed="8"/>
            <rFont val="Tahoma"/>
            <family val="2"/>
          </rPr>
          <t xml:space="preserve">
3Q07 Press Release</t>
        </r>
      </text>
    </comment>
    <comment ref="CG9" authorId="0">
      <text>
        <r>
          <rPr>
            <sz val="8"/>
            <color indexed="8"/>
            <rFont val="Tahoma"/>
            <family val="2"/>
          </rPr>
          <t>+ Number revised upwards from 9.3 MM passed by YE2007</t>
        </r>
      </text>
    </comment>
    <comment ref="CH9" authorId="1">
      <text>
        <r>
          <rPr>
            <b/>
            <sz val="8"/>
            <color indexed="8"/>
            <rFont val="Tahoma"/>
            <family val="2"/>
          </rPr>
          <t>Daniel Gaviria:</t>
        </r>
        <r>
          <rPr>
            <sz val="8"/>
            <color indexed="8"/>
            <rFont val="Tahoma"/>
            <family val="2"/>
          </rPr>
          <t xml:space="preserve">
Updated on 7/15/10 - pf for spicno (750k)Investor Bulletin</t>
        </r>
      </text>
    </comment>
    <comment ref="CM9" authorId="3">
      <text>
        <r>
          <rPr>
            <b/>
            <sz val="8"/>
            <color indexed="8"/>
            <rFont val="Tahoma"/>
            <family val="2"/>
          </rPr>
          <t>dgaviria:</t>
        </r>
        <r>
          <rPr>
            <sz val="8"/>
            <color indexed="8"/>
            <rFont val="Tahoma"/>
            <family val="2"/>
          </rPr>
          <t xml:space="preserve">
Approx…company said 13.8M homes passed, an   "incremental 650k homes"
Equivalent to 43% of VZ's footprint</t>
        </r>
      </text>
    </comment>
    <comment ref="CO9" authorId="3">
      <text>
        <r>
          <rPr>
            <b/>
            <sz val="10"/>
            <color indexed="8"/>
            <rFont val="Tahoma"/>
            <family val="2"/>
          </rPr>
          <t>dgaviria:</t>
        </r>
        <r>
          <rPr>
            <sz val="10"/>
            <color indexed="8"/>
            <rFont val="Tahoma"/>
            <family val="2"/>
          </rPr>
          <t xml:space="preserve">
As of the end of 2009, the FiOS network
passed 15.4 million premises,
or approximately 48 percent of total
households in areas currently covered by
Verizon’s wireline network.</t>
        </r>
      </text>
    </comment>
    <comment ref="CQ9" authorId="3">
      <text>
        <r>
          <rPr>
            <b/>
            <sz val="8"/>
            <color indexed="8"/>
            <rFont val="Tahoma"/>
            <family val="2"/>
          </rPr>
          <t>dgaviria:</t>
        </r>
        <r>
          <rPr>
            <sz val="8"/>
            <color indexed="8"/>
            <rFont val="Tahoma"/>
            <family val="2"/>
          </rPr>
          <t xml:space="preserve">
As of the end of second-quarter 2010, the
FiOS network passed 15.9 million premises.</t>
        </r>
      </text>
    </comment>
    <comment ref="CR9" authorId="3">
      <text>
        <r>
          <rPr>
            <b/>
            <sz val="8"/>
            <color indexed="8"/>
            <rFont val="Tahoma"/>
            <family val="2"/>
          </rPr>
          <t>dgaviria:</t>
        </r>
        <r>
          <rPr>
            <sz val="8"/>
            <color indexed="8"/>
            <rFont val="Tahoma"/>
            <family val="2"/>
          </rPr>
          <t xml:space="preserve">
Bulletin:
As of the end of third-quarter 2010, the FiOS network passed 15.4 million premises, or approximately 60 percent of Verizon’s domestic wireline footprint following the close of the Frontier transaction.</t>
        </r>
      </text>
    </comment>
    <comment ref="CS9" authorId="3">
      <text>
        <r>
          <rPr>
            <b/>
            <sz val="10"/>
            <color indexed="8"/>
            <rFont val="Tahoma"/>
            <family val="2"/>
          </rPr>
          <t>dgaviria:</t>
        </r>
        <r>
          <rPr>
            <sz val="10"/>
            <color indexed="8"/>
            <rFont val="Tahoma"/>
            <family val="2"/>
          </rPr>
          <t xml:space="preserve">
Bulletin:
As of year-end 2010, the FiOS network
passed 15.6 million premises, or approximately
60 percent of Verizon’s domestic
wireline footprint following the close of the
Frontier transaction on July 1, 2010.</t>
        </r>
      </text>
    </comment>
    <comment ref="CT9" authorId="4">
      <text>
        <r>
          <rPr>
            <b/>
            <sz val="8"/>
            <color indexed="8"/>
            <rFont val="Tahoma"/>
            <family val="2"/>
          </rPr>
          <t>armintas:</t>
        </r>
        <r>
          <rPr>
            <sz val="8"/>
            <color indexed="8"/>
            <rFont val="Tahoma"/>
            <family val="2"/>
          </rPr>
          <t xml:space="preserve">
From Verizon FiOS newscenter; data no longer made available.</t>
        </r>
      </text>
    </comment>
    <comment ref="DM9" authorId="5">
      <text>
        <r>
          <rPr>
            <sz val="9"/>
            <color indexed="81"/>
            <rFont val="Tahoma"/>
            <family val="2"/>
          </rPr>
          <t>10-K</t>
        </r>
      </text>
    </comment>
    <comment ref="DQ9" authorId="5">
      <text>
        <r>
          <rPr>
            <sz val="9"/>
            <color indexed="81"/>
            <rFont val="Tahoma"/>
            <family val="2"/>
          </rPr>
          <t>10-K</t>
        </r>
      </text>
    </comment>
    <comment ref="H12" authorId="1">
      <text>
        <r>
          <rPr>
            <b/>
            <sz val="8"/>
            <color indexed="8"/>
            <rFont val="Tahoma"/>
            <family val="2"/>
          </rPr>
          <t>Daniel Gaviria:</t>
        </r>
        <r>
          <rPr>
            <sz val="8"/>
            <color indexed="8"/>
            <rFont val="Tahoma"/>
            <family val="2"/>
          </rPr>
          <t xml:space="preserve">
3mm  4Q07 conf call</t>
        </r>
      </text>
    </comment>
    <comment ref="CH12" authorId="3">
      <text>
        <r>
          <rPr>
            <b/>
            <sz val="8"/>
            <color indexed="8"/>
            <rFont val="Tahoma"/>
            <family val="2"/>
          </rPr>
          <t>dgaviria:</t>
        </r>
        <r>
          <rPr>
            <sz val="8"/>
            <color indexed="8"/>
            <rFont val="Tahoma"/>
            <family val="2"/>
          </rPr>
          <t xml:space="preserve">
pf for Spinco)</t>
        </r>
      </text>
    </comment>
    <comment ref="DO12" authorId="5">
      <text>
        <r>
          <rPr>
            <sz val="9"/>
            <color indexed="81"/>
            <rFont val="Tahoma"/>
            <family val="2"/>
          </rPr>
          <t>assume 4.5M homes sold to FTR</t>
        </r>
      </text>
    </comment>
    <comment ref="E14" authorId="6">
      <text>
        <r>
          <rPr>
            <b/>
            <sz val="8"/>
            <color indexed="8"/>
            <rFont val="Tahoma"/>
            <family val="2"/>
          </rPr>
          <t>smythra:</t>
        </r>
        <r>
          <rPr>
            <sz val="8"/>
            <color indexed="8"/>
            <rFont val="Tahoma"/>
            <family val="2"/>
          </rPr>
          <t xml:space="preserve">
Jan 06 VZ said at conf. passed 3 MM homes.
In Oct. VZ commented marketing to 1.2 MM of 2.5 MM homes passed at that point. </t>
        </r>
      </text>
    </comment>
    <comment ref="F14" authorId="0">
      <text>
        <r>
          <rPr>
            <b/>
            <sz val="8"/>
            <color indexed="8"/>
            <rFont val="Tahoma"/>
            <family val="2"/>
          </rPr>
          <t>Raina Smyth:</t>
        </r>
        <r>
          <rPr>
            <sz val="8"/>
            <color indexed="8"/>
            <rFont val="Tahoma"/>
            <family val="2"/>
          </rPr>
          <t xml:space="preserve">
missed target of .725</t>
        </r>
      </text>
    </comment>
    <comment ref="BY14" authorId="0">
      <text>
        <r>
          <rPr>
            <b/>
            <sz val="8"/>
            <color indexed="8"/>
            <rFont val="Tahoma"/>
            <family val="2"/>
          </rPr>
          <t>Raina Smyth:</t>
        </r>
        <r>
          <rPr>
            <sz val="8"/>
            <color indexed="8"/>
            <rFont val="Tahoma"/>
            <family val="2"/>
          </rPr>
          <t xml:space="preserve">
from the company</t>
        </r>
      </text>
    </comment>
    <comment ref="CC14" authorId="0">
      <text>
        <r>
          <rPr>
            <b/>
            <sz val="8"/>
            <color indexed="8"/>
            <rFont val="Tahoma"/>
            <family val="2"/>
          </rPr>
          <t>Raina Smyth:</t>
        </r>
        <r>
          <rPr>
            <sz val="8"/>
            <color indexed="8"/>
            <rFont val="Tahoma"/>
            <family val="2"/>
          </rPr>
          <t xml:space="preserve">
missed target of .725</t>
        </r>
      </text>
    </comment>
    <comment ref="CG14" authorId="3">
      <text>
        <r>
          <rPr>
            <b/>
            <sz val="8"/>
            <color indexed="8"/>
            <rFont val="Tahoma"/>
            <family val="2"/>
          </rPr>
          <t>dgaviria:</t>
        </r>
        <r>
          <rPr>
            <sz val="8"/>
            <color indexed="8"/>
            <rFont val="Tahoma"/>
            <family val="2"/>
          </rPr>
          <t xml:space="preserve">
ex Spinco</t>
        </r>
      </text>
    </comment>
    <comment ref="CG17" authorId="3">
      <text>
        <r>
          <rPr>
            <b/>
            <sz val="8"/>
            <color indexed="8"/>
            <rFont val="Tahoma"/>
            <family val="2"/>
          </rPr>
          <t>dgaviria:</t>
        </r>
        <r>
          <rPr>
            <sz val="8"/>
            <color indexed="8"/>
            <rFont val="Tahoma"/>
            <family val="2"/>
          </rPr>
          <t xml:space="preserve">
ex Spinco</t>
        </r>
      </text>
    </comment>
    <comment ref="E23" authorId="6">
      <text>
        <r>
          <rPr>
            <b/>
            <sz val="8"/>
            <color indexed="8"/>
            <rFont val="Tahoma"/>
            <family val="2"/>
          </rPr>
          <t>smythra:</t>
        </r>
        <r>
          <rPr>
            <sz val="8"/>
            <color indexed="8"/>
            <rFont val="Tahoma"/>
            <family val="2"/>
          </rPr>
          <t xml:space="preserve">
Jan 06 VZ said at conf. passed 3 MM homes.
In Oct. VZ commented marketing to 1.2 MM of 2.5 MM homes passed at that point. </t>
        </r>
      </text>
    </comment>
    <comment ref="F23" authorId="6">
      <text>
        <r>
          <rPr>
            <b/>
            <sz val="8"/>
            <color indexed="8"/>
            <rFont val="Tahoma"/>
            <family val="2"/>
          </rPr>
          <t>smythra:</t>
        </r>
        <r>
          <rPr>
            <sz val="8"/>
            <color indexed="8"/>
            <rFont val="Tahoma"/>
            <family val="2"/>
          </rPr>
          <t xml:space="preserve">
Jan 07 4Q06 results: available for sale to 4.8 M premises ending 2006
Sep 06 guidance targeting 5 M homes for sale of 6 M passed target</t>
        </r>
      </text>
    </comment>
    <comment ref="CC23" authorId="6">
      <text>
        <r>
          <rPr>
            <b/>
            <sz val="8"/>
            <color indexed="8"/>
            <rFont val="Tahoma"/>
            <family val="2"/>
          </rPr>
          <t>smythra:</t>
        </r>
        <r>
          <rPr>
            <sz val="8"/>
            <color indexed="8"/>
            <rFont val="Tahoma"/>
            <family val="2"/>
          </rPr>
          <t xml:space="preserve">
Jan 07 4Q06 results: available for sale to 4.8 M premises ending 2006
Sep 06 guidance targeting 5 M homes for sale of 6 M passed target</t>
        </r>
      </text>
    </comment>
    <comment ref="CD23" authorId="1">
      <text>
        <r>
          <rPr>
            <b/>
            <sz val="8"/>
            <color indexed="8"/>
            <rFont val="Tahoma"/>
            <family val="2"/>
          </rPr>
          <t>Daniel Gaviria:</t>
        </r>
        <r>
          <rPr>
            <sz val="8"/>
            <color indexed="8"/>
            <rFont val="Tahoma"/>
            <family val="2"/>
          </rPr>
          <t xml:space="preserve">
Mentioned by IR</t>
        </r>
      </text>
    </comment>
    <comment ref="CE23" authorId="1">
      <text>
        <r>
          <rPr>
            <b/>
            <sz val="8"/>
            <color indexed="8"/>
            <rFont val="Tahoma"/>
            <family val="2"/>
          </rPr>
          <t>Daniel Gaviria:</t>
        </r>
        <r>
          <rPr>
            <sz val="8"/>
            <color indexed="8"/>
            <rFont val="Tahoma"/>
            <family val="2"/>
          </rPr>
          <t xml:space="preserve">
2Q07 Press Release "Available for sale to 5.7 mn premises"</t>
        </r>
      </text>
    </comment>
    <comment ref="CF23" authorId="1">
      <text>
        <r>
          <rPr>
            <b/>
            <sz val="8"/>
            <color indexed="8"/>
            <rFont val="Tahoma"/>
            <family val="2"/>
          </rPr>
          <t>Daniel Gaviria:</t>
        </r>
        <r>
          <rPr>
            <sz val="8"/>
            <color indexed="8"/>
            <rFont val="Tahoma"/>
            <family val="2"/>
          </rPr>
          <t xml:space="preserve">
3Q07 Press Release "Available for sale to 6.5 mn premises"</t>
        </r>
      </text>
    </comment>
    <comment ref="CG23" authorId="1">
      <text>
        <r>
          <rPr>
            <b/>
            <sz val="8"/>
            <color indexed="8"/>
            <rFont val="Tahoma"/>
            <family val="2"/>
          </rPr>
          <t>Daniel Gaviria:</t>
        </r>
        <r>
          <rPr>
            <sz val="8"/>
            <color indexed="8"/>
            <rFont val="Tahoma"/>
            <family val="2"/>
          </rPr>
          <t xml:space="preserve">
4Q07 Press Release "Available for sale to 7.5mn premises in 17 states"</t>
        </r>
      </text>
    </comment>
    <comment ref="CH23" authorId="1">
      <text>
        <r>
          <rPr>
            <b/>
            <sz val="8"/>
            <color indexed="8"/>
            <rFont val="Tahoma"/>
            <family val="2"/>
          </rPr>
          <t>Daniel Gaviria:</t>
        </r>
        <r>
          <rPr>
            <sz val="8"/>
            <color indexed="8"/>
            <rFont val="Tahoma"/>
            <family val="2"/>
          </rPr>
          <t xml:space="preserve">
According to Investor Bulletin, 
(1) FiOS Data penetration is averaging 23% across all markets
</t>
        </r>
      </text>
    </comment>
    <comment ref="CI23" authorId="1">
      <text>
        <r>
          <rPr>
            <b/>
            <sz val="8"/>
            <color indexed="8"/>
            <rFont val="Tahoma"/>
            <family val="2"/>
          </rPr>
          <t>Daniel Gaviria:</t>
        </r>
        <r>
          <rPr>
            <sz val="8"/>
            <color indexed="8"/>
            <rFont val="Tahoma"/>
            <family val="2"/>
          </rPr>
          <t xml:space="preserve">
According to Investor Bulletin, FiOS  Data penetration is averaging 24% across all markets
IR: ~8.4M</t>
        </r>
      </text>
    </comment>
    <comment ref="CJ23" authorId="1">
      <text>
        <r>
          <rPr>
            <b/>
            <sz val="8"/>
            <color indexed="8"/>
            <rFont val="Tahoma"/>
            <family val="2"/>
          </rPr>
          <t>Daniel Gaviria:</t>
        </r>
        <r>
          <rPr>
            <sz val="8"/>
            <color indexed="8"/>
            <rFont val="Tahoma"/>
            <family val="2"/>
          </rPr>
          <t xml:space="preserve">
According to Investor Bulletin, FiOS  Data penetration is averaging 24.2% across all markets
Bulletin: ~9.1M</t>
        </r>
      </text>
    </comment>
    <comment ref="CK23" authorId="1">
      <text>
        <r>
          <rPr>
            <b/>
            <sz val="8"/>
            <color indexed="8"/>
            <rFont val="Tahoma"/>
            <family val="2"/>
          </rPr>
          <t>Edward Katz:</t>
        </r>
        <r>
          <rPr>
            <sz val="8"/>
            <color indexed="8"/>
            <rFont val="Tahoma"/>
            <family val="2"/>
          </rPr>
          <t xml:space="preserve">
According to Investor Bulletin, FiOS  Data penetration is averaging 24.9% across all markets
Bulletin: ~10M</t>
        </r>
      </text>
    </comment>
    <comment ref="DM23" authorId="5">
      <text>
        <r>
          <rPr>
            <sz val="9"/>
            <color indexed="81"/>
            <rFont val="Tahoma"/>
            <family val="2"/>
          </rPr>
          <t xml:space="preserve">41.8% Fios internet penetration </t>
        </r>
      </text>
    </comment>
    <comment ref="J27" authorId="1">
      <text>
        <r>
          <rPr>
            <b/>
            <sz val="8"/>
            <color indexed="8"/>
            <rFont val="Tahoma"/>
            <family val="2"/>
          </rPr>
          <t>Daniel Gaviria:</t>
        </r>
        <r>
          <rPr>
            <sz val="8"/>
            <color indexed="8"/>
            <rFont val="Tahoma"/>
            <family val="2"/>
          </rPr>
          <t xml:space="preserve">
35-40% Target, 1Q08 earnings</t>
        </r>
      </text>
    </comment>
    <comment ref="CE27" authorId="1">
      <text>
        <r>
          <rPr>
            <b/>
            <sz val="8"/>
            <color indexed="8"/>
            <rFont val="Tahoma"/>
            <family val="2"/>
          </rPr>
          <t>Daniel Gaviria:</t>
        </r>
        <r>
          <rPr>
            <sz val="8"/>
            <color indexed="8"/>
            <rFont val="Tahoma"/>
            <family val="2"/>
          </rPr>
          <t xml:space="preserve">
2Q07 Press Release: 19% penetration across all market</t>
        </r>
      </text>
    </comment>
    <comment ref="CF27" authorId="1">
      <text>
        <r>
          <rPr>
            <b/>
            <sz val="8"/>
            <color indexed="8"/>
            <rFont val="Tahoma"/>
            <family val="2"/>
          </rPr>
          <t>Daniel Gaviria:</t>
        </r>
        <r>
          <rPr>
            <sz val="8"/>
            <color indexed="8"/>
            <rFont val="Tahoma"/>
            <family val="2"/>
          </rPr>
          <t xml:space="preserve">
3Q07 Press Release: 20% penetration across all markets</t>
        </r>
      </text>
    </comment>
    <comment ref="CG27" authorId="1">
      <text>
        <r>
          <rPr>
            <b/>
            <sz val="8"/>
            <color indexed="8"/>
            <rFont val="Tahoma"/>
            <family val="2"/>
          </rPr>
          <t>Daniel Gaviria:</t>
        </r>
        <r>
          <rPr>
            <sz val="8"/>
            <color indexed="8"/>
            <rFont val="Tahoma"/>
            <family val="2"/>
          </rPr>
          <t xml:space="preserve">
4Q07 Press Release: 20.6% penetration across all markets</t>
        </r>
      </text>
    </comment>
    <comment ref="CH27" authorId="1">
      <text>
        <r>
          <rPr>
            <b/>
            <sz val="8"/>
            <color indexed="8"/>
            <rFont val="Tahoma"/>
            <family val="2"/>
          </rPr>
          <t>Daniel Gaviria:</t>
        </r>
        <r>
          <rPr>
            <sz val="8"/>
            <color indexed="8"/>
            <rFont val="Tahoma"/>
            <family val="2"/>
          </rPr>
          <t xml:space="preserve">
According to Investor Bulletin, FiOS  Data penetration is averaging 23% across all markets</t>
        </r>
      </text>
    </comment>
    <comment ref="CI27" authorId="1">
      <text>
        <r>
          <rPr>
            <b/>
            <sz val="8"/>
            <color indexed="8"/>
            <rFont val="Tahoma"/>
            <family val="2"/>
          </rPr>
          <t>Daniel Gaviria:</t>
        </r>
        <r>
          <rPr>
            <sz val="8"/>
            <color indexed="8"/>
            <rFont val="Tahoma"/>
            <family val="2"/>
          </rPr>
          <t xml:space="preserve">
According to Investor Bulletin, FiOS  Data penetration is averaging 24% across all markets</t>
        </r>
      </text>
    </comment>
    <comment ref="CJ27" authorId="1">
      <text>
        <r>
          <rPr>
            <b/>
            <sz val="8"/>
            <color indexed="8"/>
            <rFont val="Tahoma"/>
            <family val="2"/>
          </rPr>
          <t>Daniel Gaviria:</t>
        </r>
        <r>
          <rPr>
            <sz val="8"/>
            <color indexed="8"/>
            <rFont val="Tahoma"/>
            <family val="2"/>
          </rPr>
          <t xml:space="preserve">
According to Investor Bulletin, FiOS  Data penetration is averaging 24.2% across all markets</t>
        </r>
      </text>
    </comment>
    <comment ref="CK27" authorId="1">
      <text>
        <r>
          <rPr>
            <b/>
            <sz val="8"/>
            <color indexed="8"/>
            <rFont val="Tahoma"/>
            <family val="2"/>
          </rPr>
          <t>Edward Katz:</t>
        </r>
        <r>
          <rPr>
            <sz val="8"/>
            <color indexed="8"/>
            <rFont val="Tahoma"/>
            <family val="2"/>
          </rPr>
          <t xml:space="preserve">
According to Investor Bulletin, FiOS  Data penetration is averaging 24.9% across all markets</t>
        </r>
      </text>
    </comment>
    <comment ref="DP27" authorId="5">
      <text>
        <r>
          <rPr>
            <sz val="9"/>
            <color indexed="81"/>
            <rFont val="Tahoma"/>
            <family val="2"/>
          </rPr>
          <t>financials</t>
        </r>
      </text>
    </comment>
    <comment ref="DQ27" authorId="5">
      <text>
        <r>
          <rPr>
            <sz val="9"/>
            <color indexed="81"/>
            <rFont val="Tahoma"/>
            <family val="2"/>
          </rPr>
          <t>financials</t>
        </r>
      </text>
    </comment>
    <comment ref="DR27" authorId="5">
      <text>
        <r>
          <rPr>
            <sz val="9"/>
            <color indexed="81"/>
            <rFont val="Tahoma"/>
            <family val="2"/>
          </rPr>
          <t>financials</t>
        </r>
      </text>
    </comment>
    <comment ref="DS27" authorId="5">
      <text>
        <r>
          <rPr>
            <sz val="9"/>
            <color indexed="81"/>
            <rFont val="Tahoma"/>
            <family val="2"/>
          </rPr>
          <t>financials</t>
        </r>
      </text>
    </comment>
    <comment ref="DT27" authorId="5">
      <text>
        <r>
          <rPr>
            <sz val="9"/>
            <color indexed="81"/>
            <rFont val="Tahoma"/>
            <family val="2"/>
          </rPr>
          <t>financials</t>
        </r>
      </text>
    </comment>
    <comment ref="DU27" authorId="5">
      <text>
        <r>
          <rPr>
            <sz val="9"/>
            <color indexed="81"/>
            <rFont val="Tahoma"/>
            <family val="2"/>
          </rPr>
          <t>financials</t>
        </r>
      </text>
    </comment>
    <comment ref="DV27" authorId="5">
      <text>
        <r>
          <rPr>
            <sz val="9"/>
            <color indexed="81"/>
            <rFont val="Tahoma"/>
            <family val="2"/>
          </rPr>
          <t>1Q18 - stopped providing</t>
        </r>
      </text>
    </comment>
    <comment ref="J58" authorId="0">
      <text>
        <r>
          <rPr>
            <b/>
            <sz val="8"/>
            <color indexed="8"/>
            <rFont val="Tahoma"/>
            <family val="2"/>
          </rPr>
          <t>Raina Smyth:</t>
        </r>
        <r>
          <rPr>
            <sz val="8"/>
            <color indexed="8"/>
            <rFont val="Tahoma"/>
            <family val="2"/>
          </rPr>
          <t xml:space="preserve">
company target: 3.5</t>
        </r>
      </text>
    </comment>
    <comment ref="CH59" authorId="3">
      <text>
        <r>
          <rPr>
            <b/>
            <sz val="8"/>
            <color indexed="8"/>
            <rFont val="Tahoma"/>
            <family val="2"/>
          </rPr>
          <t>dgaviria:</t>
        </r>
        <r>
          <rPr>
            <sz val="8"/>
            <color indexed="8"/>
            <rFont val="Tahoma"/>
            <family val="2"/>
          </rPr>
          <t xml:space="preserve">
pf for Spinco)</t>
        </r>
      </text>
    </comment>
    <comment ref="CM59" authorId="3">
      <text>
        <r>
          <rPr>
            <b/>
            <sz val="8"/>
            <color indexed="8"/>
            <rFont val="Tahoma"/>
            <family val="2"/>
          </rPr>
          <t>dgaviria:</t>
        </r>
        <r>
          <rPr>
            <sz val="8"/>
            <color indexed="8"/>
            <rFont val="Tahoma"/>
            <family val="2"/>
          </rPr>
          <t xml:space="preserve">
Company stopped disclosing Video Homes Passed</t>
        </r>
      </text>
    </comment>
    <comment ref="CH62" authorId="3">
      <text>
        <r>
          <rPr>
            <b/>
            <sz val="8"/>
            <color indexed="8"/>
            <rFont val="Tahoma"/>
            <family val="2"/>
          </rPr>
          <t>dgaviria:</t>
        </r>
        <r>
          <rPr>
            <sz val="8"/>
            <color indexed="8"/>
            <rFont val="Tahoma"/>
            <family val="2"/>
          </rPr>
          <t xml:space="preserve">
pf for Spinco)</t>
        </r>
      </text>
    </comment>
    <comment ref="F63" authorId="0">
      <text>
        <r>
          <rPr>
            <b/>
            <sz val="8"/>
            <color indexed="8"/>
            <rFont val="Tahoma"/>
            <family val="2"/>
          </rPr>
          <t>Raina Smyth:</t>
        </r>
        <r>
          <rPr>
            <sz val="8"/>
            <color indexed="8"/>
            <rFont val="Tahoma"/>
            <family val="2"/>
          </rPr>
          <t xml:space="preserve">
reported Jan 07 w/4Q06 results</t>
        </r>
      </text>
    </comment>
    <comment ref="CC63" authorId="0">
      <text>
        <r>
          <rPr>
            <b/>
            <sz val="8"/>
            <color indexed="8"/>
            <rFont val="Tahoma"/>
            <family val="2"/>
          </rPr>
          <t>Raina Smyth:</t>
        </r>
        <r>
          <rPr>
            <sz val="8"/>
            <color indexed="8"/>
            <rFont val="Tahoma"/>
            <family val="2"/>
          </rPr>
          <t xml:space="preserve">
reported Jan 07 w/4Q06 results</t>
        </r>
      </text>
    </comment>
    <comment ref="CG63" authorId="3">
      <text>
        <r>
          <rPr>
            <b/>
            <sz val="8"/>
            <color indexed="8"/>
            <rFont val="Tahoma"/>
            <family val="2"/>
          </rPr>
          <t>dgaviria:</t>
        </r>
        <r>
          <rPr>
            <sz val="8"/>
            <color indexed="8"/>
            <rFont val="Tahoma"/>
            <family val="2"/>
          </rPr>
          <t xml:space="preserve">
ex Spinco</t>
        </r>
      </text>
    </comment>
    <comment ref="CG66" authorId="3">
      <text>
        <r>
          <rPr>
            <b/>
            <sz val="8"/>
            <color indexed="8"/>
            <rFont val="Tahoma"/>
            <family val="2"/>
          </rPr>
          <t>dgaviria:</t>
        </r>
        <r>
          <rPr>
            <sz val="8"/>
            <color indexed="8"/>
            <rFont val="Tahoma"/>
            <family val="2"/>
          </rPr>
          <t xml:space="preserve">
ex Spinco</t>
        </r>
      </text>
    </comment>
    <comment ref="F69" authorId="0">
      <text>
        <r>
          <rPr>
            <b/>
            <sz val="8"/>
            <color indexed="8"/>
            <rFont val="Tahoma"/>
            <family val="2"/>
          </rPr>
          <t>Raina Smyth:</t>
        </r>
        <r>
          <rPr>
            <sz val="8"/>
            <color indexed="8"/>
            <rFont val="Tahoma"/>
            <family val="2"/>
          </rPr>
          <t xml:space="preserve">
Jan 07 4Q06 results: Fios TV available for sale to 2.4 MM prems</t>
        </r>
      </text>
    </comment>
    <comment ref="J69" authorId="0">
      <text>
        <r>
          <rPr>
            <b/>
            <sz val="8"/>
            <color indexed="8"/>
            <rFont val="Tahoma"/>
            <family val="2"/>
          </rPr>
          <t>Raina Smyth:</t>
        </r>
        <r>
          <rPr>
            <sz val="8"/>
            <color indexed="8"/>
            <rFont val="Tahoma"/>
            <family val="2"/>
          </rPr>
          <t xml:space="preserve">
company target 15 million</t>
        </r>
      </text>
    </comment>
    <comment ref="CC69" authorId="0">
      <text>
        <r>
          <rPr>
            <b/>
            <sz val="8"/>
            <color indexed="8"/>
            <rFont val="Tahoma"/>
            <family val="2"/>
          </rPr>
          <t>Raina Smyth:</t>
        </r>
        <r>
          <rPr>
            <sz val="8"/>
            <color indexed="8"/>
            <rFont val="Tahoma"/>
            <family val="2"/>
          </rPr>
          <t xml:space="preserve">
Jan 07 4Q06 results: Fios TV available for sale to 2.4 MM prems</t>
        </r>
      </text>
    </comment>
    <comment ref="CD69" authorId="1">
      <text>
        <r>
          <rPr>
            <b/>
            <sz val="8"/>
            <color indexed="8"/>
            <rFont val="Tahoma"/>
            <family val="2"/>
          </rPr>
          <t>Daniel Gaviria:</t>
        </r>
        <r>
          <rPr>
            <sz val="8"/>
            <color indexed="8"/>
            <rFont val="Tahoma"/>
            <family val="2"/>
          </rPr>
          <t xml:space="preserve">
3.1 mn for 1Q07 mentioned in 2Q07 release</t>
        </r>
      </text>
    </comment>
    <comment ref="CE69" authorId="1">
      <text>
        <r>
          <rPr>
            <b/>
            <sz val="8"/>
            <color indexed="8"/>
            <rFont val="Tahoma"/>
            <family val="2"/>
          </rPr>
          <t>Daniel Gaviria:</t>
        </r>
        <r>
          <rPr>
            <sz val="8"/>
            <color indexed="8"/>
            <rFont val="Tahoma"/>
            <family val="2"/>
          </rPr>
          <t xml:space="preserve">
2Q07 Press Release "Available for sale to nearly 3.9 mn premises"</t>
        </r>
      </text>
    </comment>
    <comment ref="CF69" authorId="1">
      <text>
        <r>
          <rPr>
            <b/>
            <sz val="8"/>
            <color indexed="8"/>
            <rFont val="Tahoma"/>
            <family val="2"/>
          </rPr>
          <t>Daniel Gaviria:</t>
        </r>
        <r>
          <rPr>
            <sz val="8"/>
            <color indexed="8"/>
            <rFont val="Tahoma"/>
            <family val="2"/>
          </rPr>
          <t xml:space="preserve">
3Q07 Press Release "Available for sale to 4.7 mn premises"</t>
        </r>
      </text>
    </comment>
    <comment ref="CG69" authorId="1">
      <text>
        <r>
          <rPr>
            <b/>
            <sz val="8"/>
            <color indexed="8"/>
            <rFont val="Tahoma"/>
            <family val="2"/>
          </rPr>
          <t>Daniel Gaviria:</t>
        </r>
        <r>
          <rPr>
            <sz val="8"/>
            <color indexed="8"/>
            <rFont val="Tahoma"/>
            <family val="2"/>
          </rPr>
          <t xml:space="preserve">
4Q07 Press Release "Available for sale to 5.9 mn premises in 13 states"</t>
        </r>
      </text>
    </comment>
    <comment ref="CH69" authorId="1">
      <text>
        <r>
          <rPr>
            <b/>
            <sz val="8"/>
            <color indexed="8"/>
            <rFont val="Tahoma"/>
            <family val="2"/>
          </rPr>
          <t>Daniel Gaviria:</t>
        </r>
        <r>
          <rPr>
            <sz val="8"/>
            <color indexed="8"/>
            <rFont val="Tahoma"/>
            <family val="2"/>
          </rPr>
          <t xml:space="preserve">
According to Investor Bulletin, FiOS TV penetration is averaging 18.7% across all markets</t>
        </r>
      </text>
    </comment>
    <comment ref="CI69" authorId="1">
      <text>
        <r>
          <rPr>
            <b/>
            <sz val="8"/>
            <color indexed="8"/>
            <rFont val="Tahoma"/>
            <family val="2"/>
          </rPr>
          <t>Daniel Gaviria:</t>
        </r>
        <r>
          <rPr>
            <sz val="8"/>
            <color indexed="8"/>
            <rFont val="Tahoma"/>
            <family val="2"/>
          </rPr>
          <t xml:space="preserve">
According to Investor Bulletin, FiOS TV penetration is averaging 20% across all markets
IR: 7M</t>
        </r>
      </text>
    </comment>
    <comment ref="CJ69" authorId="1">
      <text>
        <r>
          <rPr>
            <b/>
            <sz val="8"/>
            <color indexed="8"/>
            <rFont val="Tahoma"/>
            <family val="2"/>
          </rPr>
          <t>Daniel Gaviria:</t>
        </r>
        <r>
          <rPr>
            <sz val="8"/>
            <color indexed="8"/>
            <rFont val="Tahoma"/>
            <family val="2"/>
          </rPr>
          <t xml:space="preserve">
According to Investor Bulletin, FiOS TV penetration is averaging 20% across all markets
Homes available 8.2M
</t>
        </r>
      </text>
    </comment>
    <comment ref="CK69" authorId="1">
      <text>
        <r>
          <rPr>
            <b/>
            <sz val="8"/>
            <color indexed="8"/>
            <rFont val="Tahoma"/>
            <family val="2"/>
          </rPr>
          <t>Edward Katz:</t>
        </r>
        <r>
          <rPr>
            <sz val="8"/>
            <color indexed="8"/>
            <rFont val="Tahoma"/>
            <family val="2"/>
          </rPr>
          <t xml:space="preserve">
According to Investor Bulletin, FiOS TV penetration is averaging 20.8% across all markets
Homes available 9.2M
</t>
        </r>
      </text>
    </comment>
    <comment ref="J73" authorId="1">
      <text>
        <r>
          <rPr>
            <b/>
            <sz val="10"/>
            <color indexed="8"/>
            <rFont val="Tahoma"/>
            <family val="2"/>
          </rPr>
          <t>Daniel Gaviria:</t>
        </r>
        <r>
          <rPr>
            <sz val="10"/>
            <color indexed="8"/>
            <rFont val="Tahoma"/>
            <family val="2"/>
          </rPr>
          <t xml:space="preserve">
at least 25% Target, Doreen  Toben (CFO) at an analyst conference in march 2008</t>
        </r>
      </text>
    </comment>
    <comment ref="CE73" authorId="1">
      <text>
        <r>
          <rPr>
            <b/>
            <sz val="8"/>
            <color indexed="8"/>
            <rFont val="Tahoma"/>
            <family val="2"/>
          </rPr>
          <t>Daniel Gaviria:</t>
        </r>
        <r>
          <rPr>
            <sz val="8"/>
            <color indexed="8"/>
            <rFont val="Tahoma"/>
            <family val="2"/>
          </rPr>
          <t xml:space="preserve">
2Q07 Press Release: 13% penetration across all market</t>
        </r>
      </text>
    </comment>
    <comment ref="CF73" authorId="1">
      <text>
        <r>
          <rPr>
            <b/>
            <sz val="8"/>
            <color indexed="8"/>
            <rFont val="Tahoma"/>
            <family val="2"/>
          </rPr>
          <t>Daniel Gaviria:</t>
        </r>
        <r>
          <rPr>
            <sz val="8"/>
            <color indexed="8"/>
            <rFont val="Tahoma"/>
            <family val="2"/>
          </rPr>
          <t xml:space="preserve">
3Q07 Press Release: 15.2% penetration across all markets</t>
        </r>
      </text>
    </comment>
    <comment ref="CG73" authorId="1">
      <text>
        <r>
          <rPr>
            <b/>
            <sz val="8"/>
            <color indexed="8"/>
            <rFont val="Tahoma"/>
            <family val="2"/>
          </rPr>
          <t>Daniel Gaviria:</t>
        </r>
        <r>
          <rPr>
            <sz val="8"/>
            <color indexed="8"/>
            <rFont val="Tahoma"/>
            <family val="2"/>
          </rPr>
          <t xml:space="preserve">
4Q07 Press Release: 16.0% penetration across all markets</t>
        </r>
      </text>
    </comment>
    <comment ref="CH73" authorId="1">
      <text>
        <r>
          <rPr>
            <b/>
            <sz val="8"/>
            <color indexed="8"/>
            <rFont val="Tahoma"/>
            <family val="2"/>
          </rPr>
          <t>Daniel Gaviria:</t>
        </r>
        <r>
          <rPr>
            <sz val="8"/>
            <color indexed="8"/>
            <rFont val="Tahoma"/>
            <family val="2"/>
          </rPr>
          <t xml:space="preserve">
According to Investor Bulletin, FiOS TV penetration is averaging 18.7% across all markets</t>
        </r>
      </text>
    </comment>
    <comment ref="CI73" authorId="1">
      <text>
        <r>
          <rPr>
            <b/>
            <sz val="8"/>
            <color indexed="8"/>
            <rFont val="Tahoma"/>
            <family val="2"/>
          </rPr>
          <t>Daniel Gaviria:</t>
        </r>
        <r>
          <rPr>
            <sz val="8"/>
            <color indexed="8"/>
            <rFont val="Tahoma"/>
            <family val="2"/>
          </rPr>
          <t xml:space="preserve">
According to Investor Bulletin, FiOS TV penetration is averaging 20% across all markets</t>
        </r>
      </text>
    </comment>
    <comment ref="CJ73" authorId="1">
      <text>
        <r>
          <rPr>
            <b/>
            <sz val="8"/>
            <color indexed="8"/>
            <rFont val="Tahoma"/>
            <family val="2"/>
          </rPr>
          <t>Daniel Gaviria:</t>
        </r>
        <r>
          <rPr>
            <sz val="8"/>
            <color indexed="8"/>
            <rFont val="Tahoma"/>
            <family val="2"/>
          </rPr>
          <t xml:space="preserve">
According to Investor Bulletin, FiOS TV penetration is averaging 19.7% across all markets</t>
        </r>
      </text>
    </comment>
    <comment ref="CK73" authorId="1">
      <text>
        <r>
          <rPr>
            <b/>
            <sz val="8"/>
            <color indexed="8"/>
            <rFont val="Tahoma"/>
            <family val="2"/>
          </rPr>
          <t>Daniel Gaviria:</t>
        </r>
        <r>
          <rPr>
            <sz val="8"/>
            <color indexed="8"/>
            <rFont val="Tahoma"/>
            <family val="2"/>
          </rPr>
          <t xml:space="preserve">
According to Investor Bulletin, FiOS TV penetration is averaging 20.8% across all markets</t>
        </r>
      </text>
    </comment>
    <comment ref="CL73" authorId="1">
      <text>
        <r>
          <rPr>
            <b/>
            <sz val="8"/>
            <color indexed="8"/>
            <rFont val="Tahoma"/>
            <family val="2"/>
          </rPr>
          <t>Daniel Gaviria:</t>
        </r>
        <r>
          <rPr>
            <sz val="8"/>
            <color indexed="8"/>
            <rFont val="Tahoma"/>
            <family val="2"/>
          </rPr>
          <t xml:space="preserve">
According to Investor Bulletin, FiOS TV penetration is averaging 22.9% across all markets</t>
        </r>
      </text>
    </comment>
    <comment ref="DP73" authorId="5">
      <text>
        <r>
          <rPr>
            <sz val="9"/>
            <color indexed="81"/>
            <rFont val="Tahoma"/>
            <family val="2"/>
          </rPr>
          <t>financials</t>
        </r>
      </text>
    </comment>
    <comment ref="DQ73" authorId="5">
      <text>
        <r>
          <rPr>
            <sz val="9"/>
            <color indexed="81"/>
            <rFont val="Tahoma"/>
            <family val="2"/>
          </rPr>
          <t>financials</t>
        </r>
      </text>
    </comment>
    <comment ref="DR73" authorId="5">
      <text>
        <r>
          <rPr>
            <sz val="9"/>
            <color indexed="81"/>
            <rFont val="Tahoma"/>
            <family val="2"/>
          </rPr>
          <t>financials</t>
        </r>
      </text>
    </comment>
    <comment ref="DS73" authorId="5">
      <text>
        <r>
          <rPr>
            <sz val="9"/>
            <color indexed="81"/>
            <rFont val="Tahoma"/>
            <family val="2"/>
          </rPr>
          <t>financials</t>
        </r>
      </text>
    </comment>
    <comment ref="DT73" authorId="5">
      <text>
        <r>
          <rPr>
            <sz val="9"/>
            <color indexed="81"/>
            <rFont val="Tahoma"/>
            <family val="2"/>
          </rPr>
          <t>financials</t>
        </r>
      </text>
    </comment>
    <comment ref="DU73" authorId="5">
      <text>
        <r>
          <rPr>
            <sz val="9"/>
            <color indexed="81"/>
            <rFont val="Tahoma"/>
            <family val="2"/>
          </rPr>
          <t>financials</t>
        </r>
      </text>
    </comment>
    <comment ref="DV73" authorId="5">
      <text>
        <r>
          <rPr>
            <sz val="9"/>
            <color indexed="81"/>
            <rFont val="Tahoma"/>
            <family val="2"/>
          </rPr>
          <t>1Q18 - stopped providing</t>
        </r>
      </text>
    </comment>
    <comment ref="A151" authorId="0">
      <text>
        <r>
          <rPr>
            <b/>
            <sz val="8"/>
            <color indexed="8"/>
            <rFont val="Tahoma"/>
            <family val="2"/>
          </rPr>
          <t>Raina Smyth:</t>
        </r>
        <r>
          <rPr>
            <sz val="8"/>
            <color indexed="8"/>
            <rFont val="Tahoma"/>
            <family val="2"/>
          </rPr>
          <t xml:space="preserve">
theoretically you would amortize the CPGA of a given sub add over the life of that sub. For simplicity we're assuming a 10 year life (less conservative) </t>
        </r>
      </text>
    </comment>
  </commentList>
</comments>
</file>

<file path=xl/comments10.xml><?xml version="1.0" encoding="utf-8"?>
<comments xmlns="http://schemas.openxmlformats.org/spreadsheetml/2006/main">
  <authors>
    <author>Smythra</author>
    <author>dgaviria</author>
    <author>smythra</author>
    <author>enright</author>
    <author>haydenn</author>
    <author>Lam, Lisa (Research)</author>
    <author>atalwar</author>
    <author>Daniel Gaviria</author>
  </authors>
  <commentList>
    <comment ref="BO19" authorId="0">
      <text>
        <r>
          <rPr>
            <b/>
            <sz val="8"/>
            <color indexed="8"/>
            <rFont val="Tahoma"/>
            <family val="2"/>
          </rPr>
          <t>Smythra:</t>
        </r>
        <r>
          <rPr>
            <sz val="8"/>
            <color indexed="8"/>
            <rFont val="Tahoma"/>
            <family val="2"/>
          </rPr>
          <t xml:space="preserve">
these are average sequential declines in Bell 2nd lines, calculated in another file</t>
        </r>
      </text>
    </comment>
    <comment ref="A21" authorId="0">
      <text>
        <r>
          <rPr>
            <b/>
            <sz val="8"/>
            <color indexed="8"/>
            <rFont val="Tahoma"/>
            <family val="2"/>
          </rPr>
          <t>Smythra:</t>
        </r>
        <r>
          <rPr>
            <sz val="8"/>
            <color indexed="8"/>
            <rFont val="Tahoma"/>
            <family val="2"/>
          </rPr>
          <t xml:space="preserve">
Verizon reports residence lines, which combines primary, secondary, and consumer wholesale</t>
        </r>
      </text>
    </comment>
    <comment ref="CG21" authorId="1">
      <text>
        <r>
          <rPr>
            <b/>
            <sz val="8"/>
            <color indexed="8"/>
            <rFont val="Tahoma"/>
            <family val="2"/>
          </rPr>
          <t>dgaviria:</t>
        </r>
        <r>
          <rPr>
            <sz val="8"/>
            <color indexed="8"/>
            <rFont val="Tahoma"/>
            <family val="2"/>
          </rPr>
          <t xml:space="preserve">
Pf (excludes Spinco lines)</t>
        </r>
      </text>
    </comment>
    <comment ref="A32" authorId="0">
      <text>
        <r>
          <rPr>
            <b/>
            <sz val="8"/>
            <color indexed="8"/>
            <rFont val="Tahoma"/>
            <family val="2"/>
          </rPr>
          <t>Smythra:</t>
        </r>
        <r>
          <rPr>
            <sz val="8"/>
            <color indexed="8"/>
            <rFont val="Tahoma"/>
            <family val="2"/>
          </rPr>
          <t xml:space="preserve">
VZ reports this number including business wholesale</t>
        </r>
      </text>
    </comment>
    <comment ref="BT45" authorId="0">
      <text>
        <r>
          <rPr>
            <b/>
            <sz val="8"/>
            <color indexed="8"/>
            <rFont val="Tahoma"/>
            <family val="2"/>
          </rPr>
          <t>Smythra:</t>
        </r>
        <r>
          <rPr>
            <sz val="8"/>
            <color indexed="8"/>
            <rFont val="Tahoma"/>
            <family val="2"/>
          </rPr>
          <t xml:space="preserve">
reported in slide comments that only 7K of une-p adds were residential</t>
        </r>
      </text>
    </comment>
    <comment ref="BU45" authorId="0">
      <text>
        <r>
          <rPr>
            <b/>
            <sz val="10"/>
            <color indexed="8"/>
            <rFont val="Tahoma"/>
            <family val="2"/>
          </rPr>
          <t>Smythra:</t>
        </r>
        <r>
          <rPr>
            <sz val="10"/>
            <color indexed="8"/>
            <rFont val="Tahoma"/>
            <family val="2"/>
          </rPr>
          <t xml:space="preserve">
I estimate that nearly all of the net losses were to Consumer.</t>
        </r>
      </text>
    </comment>
    <comment ref="BV50" authorId="2">
      <text>
        <r>
          <rPr>
            <b/>
            <sz val="10"/>
            <color indexed="8"/>
            <rFont val="Tahoma"/>
            <family val="2"/>
          </rPr>
          <t>smythra:</t>
        </r>
        <r>
          <rPr>
            <sz val="10"/>
            <color indexed="8"/>
            <rFont val="Tahoma"/>
            <family val="2"/>
          </rPr>
          <t xml:space="preserve">
une-p is now reported together with resale as wholesale. This q/q change is my assumption.</t>
        </r>
      </text>
    </comment>
    <comment ref="BW50" authorId="2">
      <text>
        <r>
          <rPr>
            <b/>
            <sz val="10"/>
            <color indexed="8"/>
            <rFont val="Tahoma"/>
            <family val="2"/>
          </rPr>
          <t>smythra:</t>
        </r>
        <r>
          <rPr>
            <sz val="10"/>
            <color indexed="8"/>
            <rFont val="Tahoma"/>
            <family val="2"/>
          </rPr>
          <t xml:space="preserve">
une-p is now reported together with resale as wholesale. This q/q change is my assumption.</t>
        </r>
      </text>
    </comment>
    <comment ref="BX50" authorId="2">
      <text>
        <r>
          <rPr>
            <b/>
            <sz val="10"/>
            <color indexed="8"/>
            <rFont val="Tahoma"/>
            <family val="2"/>
          </rPr>
          <t>smythra:</t>
        </r>
        <r>
          <rPr>
            <sz val="10"/>
            <color indexed="8"/>
            <rFont val="Tahoma"/>
            <family val="2"/>
          </rPr>
          <t xml:space="preserve">
une-p is now reported together with resale as wholesale. This est. given by mgt. on conf. call.</t>
        </r>
      </text>
    </comment>
    <comment ref="A52" authorId="3">
      <text>
        <r>
          <rPr>
            <b/>
            <sz val="8"/>
            <color indexed="8"/>
            <rFont val="Tahoma"/>
            <family val="2"/>
          </rPr>
          <t>enright:</t>
        </r>
        <r>
          <rPr>
            <sz val="8"/>
            <color indexed="8"/>
            <rFont val="Tahoma"/>
            <family val="2"/>
          </rPr>
          <t xml:space="preserve">
note numbers do not add due to non-wholesale or retail business lines</t>
        </r>
      </text>
    </comment>
    <comment ref="AZ52" authorId="4">
      <text>
        <r>
          <rPr>
            <b/>
            <sz val="8"/>
            <color indexed="8"/>
            <rFont val="Tahoma"/>
            <family val="2"/>
          </rPr>
          <t>haydenn:</t>
        </r>
        <r>
          <rPr>
            <sz val="8"/>
            <color indexed="8"/>
            <rFont val="Tahoma"/>
            <family val="2"/>
          </rPr>
          <t xml:space="preserve">
61207 normalized</t>
        </r>
      </text>
    </comment>
    <comment ref="BE52" authorId="4">
      <text>
        <r>
          <rPr>
            <b/>
            <sz val="8"/>
            <color indexed="8"/>
            <rFont val="Tahoma"/>
            <family val="2"/>
          </rPr>
          <t>haydenn:</t>
        </r>
        <r>
          <rPr>
            <sz val="8"/>
            <color indexed="8"/>
            <rFont val="Tahoma"/>
            <family val="2"/>
          </rPr>
          <t xml:space="preserve">
old:Based on normalized 3Q99 lines of 61207, with 400 sequential adds on 2.9% growth</t>
        </r>
      </text>
    </comment>
    <comment ref="AZ61" authorId="4">
      <text>
        <r>
          <rPr>
            <b/>
            <sz val="8"/>
            <color indexed="8"/>
            <rFont val="Tahoma"/>
            <family val="2"/>
          </rPr>
          <t>haydenn:</t>
        </r>
        <r>
          <rPr>
            <sz val="8"/>
            <color indexed="8"/>
            <rFont val="Tahoma"/>
            <family val="2"/>
          </rPr>
          <t xml:space="preserve">
708 normalized</t>
        </r>
      </text>
    </comment>
    <comment ref="A90" authorId="5">
      <text>
        <r>
          <rPr>
            <sz val="9"/>
            <color indexed="81"/>
            <rFont val="Tahoma"/>
            <family val="2"/>
          </rPr>
          <t>Investor Quarterly - HSI</t>
        </r>
      </text>
    </comment>
    <comment ref="I90" authorId="4">
      <text>
        <r>
          <rPr>
            <b/>
            <sz val="8"/>
            <color indexed="8"/>
            <rFont val="Tahoma"/>
            <family val="2"/>
          </rPr>
          <t>haydenn:</t>
        </r>
        <r>
          <rPr>
            <sz val="8"/>
            <color indexed="8"/>
            <rFont val="Tahoma"/>
            <family val="2"/>
          </rPr>
          <t xml:space="preserve">
guidance at Feb00 meeting of 1.2-1.3 mm</t>
        </r>
      </text>
    </comment>
    <comment ref="J90" authorId="4">
      <text>
        <r>
          <rPr>
            <b/>
            <sz val="8"/>
            <color indexed="8"/>
            <rFont val="Tahoma"/>
            <family val="2"/>
          </rPr>
          <t>haydenn:</t>
        </r>
        <r>
          <rPr>
            <sz val="8"/>
            <color indexed="8"/>
            <rFont val="Tahoma"/>
            <family val="2"/>
          </rPr>
          <t xml:space="preserve">
guid on 4q01 call (Jan2002) of 1.8-2.0mm</t>
        </r>
      </text>
    </comment>
    <comment ref="K90" authorId="4">
      <text>
        <r>
          <rPr>
            <b/>
            <sz val="8"/>
            <color indexed="8"/>
            <rFont val="Tahoma"/>
            <family val="2"/>
          </rPr>
          <t>haydenn:</t>
        </r>
        <r>
          <rPr>
            <sz val="8"/>
            <color indexed="8"/>
            <rFont val="Tahoma"/>
            <family val="2"/>
          </rPr>
          <t xml:space="preserve">
guid on 4q01 call (Jan2002) of 1.8-2.0mm</t>
        </r>
      </text>
    </comment>
    <comment ref="BI90" authorId="4">
      <text>
        <r>
          <rPr>
            <b/>
            <sz val="8"/>
            <color indexed="8"/>
            <rFont val="Tahoma"/>
            <family val="2"/>
          </rPr>
          <t>haydenn:</t>
        </r>
        <r>
          <rPr>
            <sz val="8"/>
            <color indexed="8"/>
            <rFont val="Tahoma"/>
            <family val="2"/>
          </rPr>
          <t xml:space="preserve">
target  of 1.2-1.3mm reiterated on 3q01 call</t>
        </r>
      </text>
    </comment>
    <comment ref="BN90" authorId="6">
      <text>
        <r>
          <rPr>
            <b/>
            <sz val="8"/>
            <color indexed="8"/>
            <rFont val="Tahoma"/>
            <family val="2"/>
          </rPr>
          <t>atalwar:</t>
        </r>
        <r>
          <rPr>
            <sz val="8"/>
            <color indexed="8"/>
            <rFont val="Tahoma"/>
            <family val="2"/>
          </rPr>
          <t xml:space="preserve">
Restated in 1Q04 earnings release that DSL lines in 1Q03 were 1,830</t>
        </r>
      </text>
    </comment>
    <comment ref="CG90" authorId="1">
      <text>
        <r>
          <rPr>
            <b/>
            <sz val="8"/>
            <color indexed="8"/>
            <rFont val="Tahoma"/>
            <family val="2"/>
          </rPr>
          <t>dgaviria:</t>
        </r>
        <r>
          <rPr>
            <sz val="8"/>
            <color indexed="8"/>
            <rFont val="Tahoma"/>
            <family val="2"/>
          </rPr>
          <t xml:space="preserve">
ex Spinco</t>
        </r>
      </text>
    </comment>
    <comment ref="BW92" authorId="2">
      <text>
        <r>
          <rPr>
            <b/>
            <sz val="10"/>
            <color indexed="8"/>
            <rFont val="Tahoma"/>
            <family val="2"/>
          </rPr>
          <t>smythra:</t>
        </r>
        <r>
          <rPr>
            <sz val="10"/>
            <color indexed="8"/>
            <rFont val="Tahoma"/>
            <family val="2"/>
          </rPr>
          <t xml:space="preserve">
includes FiOs adds too</t>
        </r>
      </text>
    </comment>
    <comment ref="BX92" authorId="2">
      <text>
        <r>
          <rPr>
            <sz val="10"/>
            <color indexed="8"/>
            <rFont val="Tahoma"/>
            <family val="2"/>
          </rPr>
          <t>includes FiOs data adds too. Taken from press release</t>
        </r>
      </text>
    </comment>
    <comment ref="BY92" authorId="2">
      <text>
        <r>
          <rPr>
            <sz val="10"/>
            <color indexed="8"/>
            <rFont val="Tahoma"/>
            <family val="2"/>
          </rPr>
          <t>includes FiOs data adds too. Taken from press release</t>
        </r>
      </text>
    </comment>
    <comment ref="K111" authorId="3">
      <text>
        <r>
          <rPr>
            <b/>
            <sz val="8"/>
            <color indexed="8"/>
            <rFont val="Tahoma"/>
            <family val="2"/>
          </rPr>
          <t>enright:</t>
        </r>
        <r>
          <rPr>
            <sz val="8"/>
            <color indexed="8"/>
            <rFont val="Tahoma"/>
            <family val="2"/>
          </rPr>
          <t xml:space="preserve">
targeting 80% by year-end</t>
        </r>
      </text>
    </comment>
    <comment ref="BN111" authorId="3">
      <text>
        <r>
          <rPr>
            <b/>
            <sz val="8"/>
            <color indexed="8"/>
            <rFont val="Tahoma"/>
            <family val="2"/>
          </rPr>
          <t>enright:</t>
        </r>
        <r>
          <rPr>
            <sz val="8"/>
            <color indexed="8"/>
            <rFont val="Tahoma"/>
            <family val="2"/>
          </rPr>
          <t xml:space="preserve">
reported 63%</t>
        </r>
      </text>
    </comment>
    <comment ref="BP111" authorId="3">
      <text>
        <r>
          <rPr>
            <b/>
            <sz val="8"/>
            <color indexed="8"/>
            <rFont val="Tahoma"/>
            <family val="2"/>
          </rPr>
          <t>enright:</t>
        </r>
        <r>
          <rPr>
            <sz val="8"/>
            <color indexed="8"/>
            <rFont val="Tahoma"/>
            <family val="2"/>
          </rPr>
          <t xml:space="preserve">
reported 74% qualified</t>
        </r>
      </text>
    </comment>
    <comment ref="BQ111" authorId="3">
      <text>
        <r>
          <rPr>
            <b/>
            <sz val="8"/>
            <color indexed="8"/>
            <rFont val="Tahoma"/>
            <family val="2"/>
          </rPr>
          <t>enright:</t>
        </r>
        <r>
          <rPr>
            <sz val="8"/>
            <color indexed="8"/>
            <rFont val="Tahoma"/>
            <family val="2"/>
          </rPr>
          <t xml:space="preserve">
targeting 80% by year-end</t>
        </r>
      </text>
    </comment>
    <comment ref="BR111" authorId="3">
      <text>
        <r>
          <rPr>
            <b/>
            <sz val="8"/>
            <color indexed="8"/>
            <rFont val="Tahoma"/>
            <family val="2"/>
          </rPr>
          <t>enright:</t>
        </r>
        <r>
          <rPr>
            <sz val="8"/>
            <color indexed="8"/>
            <rFont val="Tahoma"/>
            <family val="2"/>
          </rPr>
          <t xml:space="preserve">
targeting 80% by year-end</t>
        </r>
      </text>
    </comment>
    <comment ref="BS111" authorId="3">
      <text>
        <r>
          <rPr>
            <b/>
            <sz val="8"/>
            <color indexed="8"/>
            <rFont val="Tahoma"/>
            <family val="2"/>
          </rPr>
          <t>enright:</t>
        </r>
        <r>
          <rPr>
            <sz val="8"/>
            <color indexed="8"/>
            <rFont val="Tahoma"/>
            <family val="2"/>
          </rPr>
          <t xml:space="preserve">
targeting 80% by year-end</t>
        </r>
      </text>
    </comment>
    <comment ref="BT111" authorId="3">
      <text>
        <r>
          <rPr>
            <b/>
            <sz val="8"/>
            <color indexed="8"/>
            <rFont val="Tahoma"/>
            <family val="2"/>
          </rPr>
          <t>enright:</t>
        </r>
        <r>
          <rPr>
            <sz val="8"/>
            <color indexed="8"/>
            <rFont val="Tahoma"/>
            <family val="2"/>
          </rPr>
          <t xml:space="preserve">
targeting 80% by year-end</t>
        </r>
      </text>
    </comment>
    <comment ref="BU111" authorId="3">
      <text>
        <r>
          <rPr>
            <b/>
            <sz val="8"/>
            <color indexed="8"/>
            <rFont val="Tahoma"/>
            <family val="2"/>
          </rPr>
          <t>enright:</t>
        </r>
        <r>
          <rPr>
            <sz val="8"/>
            <color indexed="8"/>
            <rFont val="Tahoma"/>
            <family val="2"/>
          </rPr>
          <t xml:space="preserve">
targeting 80% by year-end</t>
        </r>
      </text>
    </comment>
    <comment ref="BY115" authorId="7">
      <text>
        <r>
          <rPr>
            <b/>
            <sz val="8"/>
            <color indexed="8"/>
            <rFont val="Tahoma"/>
            <family val="2"/>
          </rPr>
          <t>Daniel Gaviria:</t>
        </r>
        <r>
          <rPr>
            <sz val="8"/>
            <color indexed="8"/>
            <rFont val="Tahoma"/>
            <family val="2"/>
          </rPr>
          <t xml:space="preserve">
VZ began disclosing FiOS subscriber numbers</t>
        </r>
      </text>
    </comment>
    <comment ref="CJ130" authorId="1">
      <text>
        <r>
          <rPr>
            <b/>
            <sz val="8"/>
            <color indexed="8"/>
            <rFont val="Tahoma"/>
            <family val="2"/>
          </rPr>
          <t>dgaviria:</t>
        </r>
        <r>
          <rPr>
            <sz val="8"/>
            <color indexed="8"/>
            <rFont val="Tahoma"/>
            <family val="2"/>
          </rPr>
          <t xml:space="preserve">
assumed;
number was not disclosed
</t>
        </r>
      </text>
    </comment>
    <comment ref="CN131" authorId="1">
      <text>
        <r>
          <rPr>
            <b/>
            <sz val="8"/>
            <color indexed="8"/>
            <rFont val="Tahoma"/>
            <family val="2"/>
          </rPr>
          <t>dgaviria:</t>
        </r>
        <r>
          <rPr>
            <sz val="8"/>
            <color indexed="8"/>
            <rFont val="Tahoma"/>
            <family val="2"/>
          </rPr>
          <t xml:space="preserve">
assumed;
number was not disclosed
</t>
        </r>
      </text>
    </comment>
    <comment ref="CJ140" authorId="1">
      <text>
        <r>
          <rPr>
            <b/>
            <sz val="8"/>
            <color indexed="8"/>
            <rFont val="Tahoma"/>
            <family val="2"/>
          </rPr>
          <t>dgaviria:</t>
        </r>
        <r>
          <rPr>
            <sz val="8"/>
            <color indexed="8"/>
            <rFont val="Tahoma"/>
            <family val="2"/>
          </rPr>
          <t xml:space="preserve">
assumed;
number was not disclosed
</t>
        </r>
      </text>
    </comment>
  </commentList>
</comments>
</file>

<file path=xl/comments11.xml><?xml version="1.0" encoding="utf-8"?>
<comments xmlns="http://schemas.openxmlformats.org/spreadsheetml/2006/main">
  <authors>
    <author>enright</author>
    <author>haydenn</author>
    <author>Smythra</author>
    <author>smythra</author>
    <author>Raina Smyth</author>
    <author>armintas</author>
    <author>warjohn</author>
    <author>Jessica Yau</author>
    <author>Daniel Gaviria</author>
    <author>atalwar</author>
    <author>selttel</author>
  </authors>
  <commentList>
    <comment ref="H17" authorId="0">
      <text>
        <r>
          <rPr>
            <b/>
            <sz val="8"/>
            <color indexed="8"/>
            <rFont val="Tahoma"/>
            <family val="2"/>
          </rPr>
          <t>enright:</t>
        </r>
        <r>
          <rPr>
            <sz val="8"/>
            <color indexed="8"/>
            <rFont val="Tahoma"/>
            <family val="2"/>
          </rPr>
          <t xml:space="preserve">
we have added back $1.2 bn of capitalized software that VZ previously excluded from capex</t>
        </r>
      </text>
    </comment>
    <comment ref="I17" authorId="0">
      <text>
        <r>
          <rPr>
            <b/>
            <sz val="8"/>
            <color indexed="8"/>
            <rFont val="Tahoma"/>
            <family val="2"/>
          </rPr>
          <t>enright:</t>
        </r>
        <r>
          <rPr>
            <sz val="8"/>
            <color indexed="8"/>
            <rFont val="Tahoma"/>
            <family val="2"/>
          </rPr>
          <t xml:space="preserve">
we have added back $1.2 bn of capitalized software that VZ previously excluded from capex</t>
        </r>
      </text>
    </comment>
    <comment ref="J17" authorId="1">
      <text>
        <r>
          <rPr>
            <b/>
            <sz val="8"/>
            <color indexed="8"/>
            <rFont val="Tahoma"/>
            <family val="2"/>
          </rPr>
          <t xml:space="preserve">enright:
</t>
        </r>
        <r>
          <rPr>
            <sz val="8"/>
            <color indexed="8"/>
            <rFont val="Tahoma"/>
            <family val="2"/>
          </rPr>
          <t>we have added back $1.2 bn of capitalized software that VZ previously excluded from capex</t>
        </r>
        <r>
          <rPr>
            <b/>
            <sz val="8"/>
            <color indexed="8"/>
            <rFont val="Tahoma"/>
            <family val="2"/>
          </rPr>
          <t xml:space="preserve">
2Q02 $13 -13.5 b new guidance</t>
        </r>
        <r>
          <rPr>
            <sz val="8"/>
            <color indexed="8"/>
            <rFont val="Tahoma"/>
            <family val="2"/>
          </rPr>
          <t xml:space="preserve">
1Q02 call: new guidance of 14-15bn
Jan 2002: guid on 4q01 call of 15-16bn in capex, w/ wless y/y flat, and telco down by about $2bn
no official guidance as of 3q01 call, but expect wireless capex to be flat to up</t>
        </r>
      </text>
    </comment>
    <comment ref="K17" authorId="0">
      <text>
        <r>
          <rPr>
            <b/>
            <sz val="8"/>
            <color indexed="8"/>
            <rFont val="Tahoma"/>
            <family val="2"/>
          </rPr>
          <t>enright:</t>
        </r>
        <r>
          <rPr>
            <sz val="8"/>
            <color indexed="8"/>
            <rFont val="Tahoma"/>
            <family val="2"/>
          </rPr>
          <t xml:space="preserve">
9/23/03 - 12 - 12.5 reiterated wireless 4.4 - 4.7
4Q02 Call - 12.5 - 13.5 - which includes 1.0 - 1.2 billion of cap software</t>
        </r>
      </text>
    </comment>
    <comment ref="L17" authorId="2">
      <text>
        <r>
          <rPr>
            <b/>
            <sz val="8"/>
            <color indexed="8"/>
            <rFont val="Tahoma"/>
            <family val="2"/>
          </rPr>
          <t>Smythra:</t>
        </r>
        <r>
          <rPr>
            <sz val="8"/>
            <color indexed="8"/>
            <rFont val="Tahoma"/>
            <family val="2"/>
          </rPr>
          <t xml:space="preserve">
Jul 04 guidance upper end of $12-13B</t>
        </r>
      </text>
    </comment>
    <comment ref="M17" authorId="2">
      <text>
        <r>
          <rPr>
            <b/>
            <sz val="10"/>
            <color indexed="8"/>
            <rFont val="Tahoma"/>
            <family val="2"/>
          </rPr>
          <t>Smythra:</t>
        </r>
        <r>
          <rPr>
            <sz val="10"/>
            <color indexed="8"/>
            <rFont val="Tahoma"/>
            <family val="2"/>
          </rPr>
          <t xml:space="preserve">
Oct 05 guidance $15.3 MM
Jul 05 guiance up 15%
Jan 05 guidance: exp total capex to grow 10% y/y</t>
        </r>
      </text>
    </comment>
    <comment ref="N17" authorId="3">
      <text>
        <r>
          <rPr>
            <b/>
            <sz val="10"/>
            <color indexed="8"/>
            <rFont val="Tahoma"/>
            <family val="2"/>
          </rPr>
          <t>smythra:</t>
        </r>
        <r>
          <rPr>
            <sz val="10"/>
            <color indexed="8"/>
            <rFont val="Tahoma"/>
            <family val="2"/>
          </rPr>
          <t xml:space="preserve">
Q4 call:
W/ MCI-$17.0-17.4bn; W/O MCI-$15.4-15.7
Oct 05 exp $15.4-15.7, we were at $15.77 before MCI capex</t>
        </r>
      </text>
    </comment>
    <comment ref="O17" authorId="4">
      <text>
        <r>
          <rPr>
            <b/>
            <sz val="8"/>
            <color indexed="8"/>
            <rFont val="Tahoma"/>
            <family val="2"/>
          </rPr>
          <t>Raina Smyth:</t>
        </r>
        <r>
          <rPr>
            <sz val="8"/>
            <color indexed="8"/>
            <rFont val="Tahoma"/>
            <family val="2"/>
          </rPr>
          <t xml:space="preserve">
2006 10K: 2007 capex $17.5-17.9 B</t>
        </r>
      </text>
    </comment>
    <comment ref="BI17" authorId="1">
      <text>
        <r>
          <rPr>
            <b/>
            <sz val="8"/>
            <color indexed="8"/>
            <rFont val="Tahoma"/>
            <family val="2"/>
          </rPr>
          <t>haydenn:</t>
        </r>
        <r>
          <rPr>
            <sz val="8"/>
            <color indexed="8"/>
            <rFont val="Tahoma"/>
            <family val="2"/>
          </rPr>
          <t xml:space="preserve">
3q01 call: guided to 4.5-4.7bn for 4q01</t>
        </r>
      </text>
    </comment>
    <comment ref="BJ17" authorId="1">
      <text>
        <r>
          <rPr>
            <b/>
            <sz val="8"/>
            <color indexed="8"/>
            <rFont val="Tahoma"/>
            <family val="2"/>
          </rPr>
          <t>haydenn:</t>
        </r>
        <r>
          <rPr>
            <sz val="8"/>
            <color indexed="8"/>
            <rFont val="Tahoma"/>
            <family val="2"/>
          </rPr>
          <t xml:space="preserve">
begin consolidation of capex for PRT, discontinue consolidation of CTI</t>
        </r>
      </text>
    </comment>
    <comment ref="BZ17" authorId="3">
      <text>
        <r>
          <rPr>
            <b/>
            <sz val="10"/>
            <color indexed="8"/>
            <rFont val="Tahoma"/>
            <family val="2"/>
          </rPr>
          <t>smythra:</t>
        </r>
        <r>
          <rPr>
            <sz val="10"/>
            <color indexed="8"/>
            <rFont val="Tahoma"/>
            <family val="2"/>
          </rPr>
          <t xml:space="preserve">
Q4 call: Same
Oct 05 exp $15.4-$15.7, we were at $15.77 before MCI capex</t>
        </r>
      </text>
    </comment>
    <comment ref="J26" authorId="1">
      <text>
        <r>
          <rPr>
            <b/>
            <sz val="8"/>
            <color indexed="8"/>
            <rFont val="Tahoma"/>
            <family val="2"/>
          </rPr>
          <t>haydenn:</t>
        </r>
        <r>
          <rPr>
            <sz val="8"/>
            <color indexed="8"/>
            <rFont val="Tahoma"/>
            <family val="2"/>
          </rPr>
          <t xml:space="preserve">
We have assumed:
1) deconsolidation of assumed 108mm in CTI related D&amp;A (annual basis)
2) sale of TSI, which had about 15mm in annual D&amp;A
3) consolidation of PRT, which has about 270mm in D&amp;A</t>
        </r>
      </text>
    </comment>
    <comment ref="BJ26" authorId="1">
      <text>
        <r>
          <rPr>
            <b/>
            <sz val="8"/>
            <color indexed="8"/>
            <rFont val="Tahoma"/>
            <family val="2"/>
          </rPr>
          <t>haydenn:</t>
        </r>
        <r>
          <rPr>
            <sz val="8"/>
            <color indexed="8"/>
            <rFont val="Tahoma"/>
            <family val="2"/>
          </rPr>
          <t xml:space="preserve">
We have assumed:
1) deconsolidation of assumed 108mm in CTI related D&amp;A (annual basis)
2) sale of TSI, which had about 15mm in annual D&amp;A
3) consolidation of PRT, which has about 270mm in D&amp;A</t>
        </r>
      </text>
    </comment>
    <comment ref="I31" authorId="1">
      <text>
        <r>
          <rPr>
            <b/>
            <sz val="8"/>
            <color indexed="8"/>
            <rFont val="Tahoma"/>
            <family val="2"/>
          </rPr>
          <t>haydenn:</t>
        </r>
        <r>
          <rPr>
            <sz val="8"/>
            <color indexed="8"/>
            <rFont val="Tahoma"/>
            <family val="2"/>
          </rPr>
          <t xml:space="preserve">
OLD:  we assume amortization of C&amp;F block auctions does not begin until 2002</t>
        </r>
      </text>
    </comment>
    <comment ref="K31" authorId="2">
      <text>
        <r>
          <rPr>
            <b/>
            <sz val="8"/>
            <color indexed="8"/>
            <rFont val="Tahoma"/>
            <family val="2"/>
          </rPr>
          <t>Smythra:</t>
        </r>
        <r>
          <rPr>
            <sz val="8"/>
            <color indexed="8"/>
            <rFont val="Tahoma"/>
            <family val="2"/>
          </rPr>
          <t xml:space="preserve">
2004 10 K</t>
        </r>
      </text>
    </comment>
    <comment ref="L31" authorId="2">
      <text>
        <r>
          <rPr>
            <b/>
            <sz val="8"/>
            <color indexed="8"/>
            <rFont val="Tahoma"/>
            <family val="2"/>
          </rPr>
          <t>Smythra:</t>
        </r>
        <r>
          <rPr>
            <sz val="8"/>
            <color indexed="8"/>
            <rFont val="Tahoma"/>
            <family val="2"/>
          </rPr>
          <t xml:space="preserve">
2006 10 K</t>
        </r>
      </text>
    </comment>
    <comment ref="M31" authorId="2">
      <text>
        <r>
          <rPr>
            <b/>
            <sz val="8"/>
            <color indexed="8"/>
            <rFont val="Tahoma"/>
            <family val="2"/>
          </rPr>
          <t>Smythra:</t>
        </r>
        <r>
          <rPr>
            <sz val="8"/>
            <color indexed="8"/>
            <rFont val="Tahoma"/>
            <family val="2"/>
          </rPr>
          <t xml:space="preserve">
2006 10 K</t>
        </r>
      </text>
    </comment>
    <comment ref="N31" authorId="2">
      <text>
        <r>
          <rPr>
            <b/>
            <sz val="8"/>
            <color indexed="8"/>
            <rFont val="Tahoma"/>
            <family val="2"/>
          </rPr>
          <t>Smythra:</t>
        </r>
        <r>
          <rPr>
            <sz val="8"/>
            <color indexed="8"/>
            <rFont val="Tahoma"/>
            <family val="2"/>
          </rPr>
          <t xml:space="preserve">
2006 10 K</t>
        </r>
      </text>
    </comment>
    <comment ref="O31" authorId="2">
      <text>
        <r>
          <rPr>
            <b/>
            <sz val="8"/>
            <color indexed="8"/>
            <rFont val="Tahoma"/>
            <family val="2"/>
          </rPr>
          <t>wlsuch:</t>
        </r>
        <r>
          <rPr>
            <sz val="8"/>
            <color indexed="8"/>
            <rFont val="Tahoma"/>
            <family val="2"/>
          </rPr>
          <t xml:space="preserve">
2007 10 K</t>
        </r>
      </text>
    </comment>
    <comment ref="P31" authorId="2">
      <text>
        <r>
          <rPr>
            <sz val="8"/>
            <color indexed="8"/>
            <rFont val="Tahoma"/>
            <family val="2"/>
          </rPr>
          <t xml:space="preserve">
2008 10 K</t>
        </r>
      </text>
    </comment>
    <comment ref="S31" authorId="5">
      <text>
        <r>
          <rPr>
            <b/>
            <sz val="8"/>
            <color indexed="8"/>
            <rFont val="Tahoma"/>
            <family val="2"/>
          </rPr>
          <t>armintas:</t>
        </r>
        <r>
          <rPr>
            <sz val="8"/>
            <color indexed="8"/>
            <rFont val="Tahoma"/>
            <family val="2"/>
          </rPr>
          <t xml:space="preserve">
2011 10-K</t>
        </r>
      </text>
    </comment>
    <comment ref="T31" authorId="6">
      <text>
        <r>
          <rPr>
            <b/>
            <sz val="8"/>
            <color indexed="8"/>
            <rFont val="Tahoma"/>
            <family val="2"/>
          </rPr>
          <t>warjohn:</t>
        </r>
        <r>
          <rPr>
            <sz val="8"/>
            <color indexed="8"/>
            <rFont val="Tahoma"/>
            <family val="2"/>
          </rPr>
          <t xml:space="preserve">
2012 10K</t>
        </r>
      </text>
    </comment>
    <comment ref="BH34" authorId="1">
      <text>
        <r>
          <rPr>
            <b/>
            <sz val="8"/>
            <color indexed="8"/>
            <rFont val="Tahoma"/>
            <family val="2"/>
          </rPr>
          <t>haydenn:</t>
        </r>
        <r>
          <rPr>
            <sz val="8"/>
            <color indexed="8"/>
            <rFont val="Tahoma"/>
            <family val="2"/>
          </rPr>
          <t xml:space="preserve">
some retirement due to CTL sales</t>
        </r>
      </text>
    </comment>
    <comment ref="BJ34" authorId="1">
      <text>
        <r>
          <rPr>
            <b/>
            <sz val="8"/>
            <color indexed="8"/>
            <rFont val="Tahoma"/>
            <family val="2"/>
          </rPr>
          <t>haydenn:</t>
        </r>
        <r>
          <rPr>
            <sz val="8"/>
            <color indexed="8"/>
            <rFont val="Tahoma"/>
            <family val="2"/>
          </rPr>
          <t xml:space="preserve">
@@ (3/2002) Orig estimate of 3487 too high by 100mm (this was not adjusted for TSI, PRT, and CTI).  This implies that absent these transactions, D&amp;A expense should be approximately 3400.  Adding in the estimated net impact of these three transactions, we estimate D&amp;A should be about 3430.  This assumes -- annually -- 108mm out for CTI deconsolidation, 15mm out for TSI sale, and 270mm in for consolidation of PRT.</t>
        </r>
      </text>
    </comment>
    <comment ref="G102" authorId="1">
      <text>
        <r>
          <rPr>
            <b/>
            <sz val="8"/>
            <color indexed="8"/>
            <rFont val="Tahoma"/>
            <family val="2"/>
          </rPr>
          <t>haydenn:</t>
        </r>
        <r>
          <rPr>
            <sz val="8"/>
            <color indexed="8"/>
            <rFont val="Tahoma"/>
            <family val="2"/>
          </rPr>
          <t xml:space="preserve">
analyst meeting Feb00</t>
        </r>
      </text>
    </comment>
    <comment ref="H102" authorId="1">
      <text>
        <r>
          <rPr>
            <b/>
            <sz val="8"/>
            <color indexed="8"/>
            <rFont val="Tahoma"/>
            <family val="2"/>
          </rPr>
          <t>haydenn:</t>
        </r>
        <r>
          <rPr>
            <sz val="8"/>
            <color indexed="8"/>
            <rFont val="Tahoma"/>
            <family val="2"/>
          </rPr>
          <t xml:space="preserve">
analyst meeting Feb00</t>
        </r>
      </text>
    </comment>
    <comment ref="I102" authorId="1">
      <text>
        <r>
          <rPr>
            <b/>
            <sz val="8"/>
            <color indexed="8"/>
            <rFont val="Tahoma"/>
            <family val="2"/>
          </rPr>
          <t>haydenn:</t>
        </r>
        <r>
          <rPr>
            <sz val="8"/>
            <color indexed="8"/>
            <rFont val="Tahoma"/>
            <family val="2"/>
          </rPr>
          <t xml:space="preserve">
analyst meeting Feb00 said 4700</t>
        </r>
      </text>
    </comment>
    <comment ref="G104" authorId="1">
      <text>
        <r>
          <rPr>
            <b/>
            <sz val="8"/>
            <color indexed="8"/>
            <rFont val="Tahoma"/>
            <family val="2"/>
          </rPr>
          <t>haydenn:</t>
        </r>
        <r>
          <rPr>
            <sz val="8"/>
            <color indexed="8"/>
            <rFont val="Tahoma"/>
            <family val="2"/>
          </rPr>
          <t xml:space="preserve">
analyst meeting Feb00</t>
        </r>
      </text>
    </comment>
    <comment ref="H104" authorId="1">
      <text>
        <r>
          <rPr>
            <b/>
            <sz val="8"/>
            <color indexed="8"/>
            <rFont val="Tahoma"/>
            <family val="2"/>
          </rPr>
          <t>haydenn:</t>
        </r>
        <r>
          <rPr>
            <sz val="8"/>
            <color indexed="8"/>
            <rFont val="Tahoma"/>
            <family val="2"/>
          </rPr>
          <t xml:space="preserve">
analyst meeting Feb00</t>
        </r>
      </text>
    </comment>
    <comment ref="I104" authorId="1">
      <text>
        <r>
          <rPr>
            <b/>
            <sz val="8"/>
            <color indexed="8"/>
            <rFont val="Tahoma"/>
            <family val="2"/>
          </rPr>
          <t>haydenn:</t>
        </r>
        <r>
          <rPr>
            <sz val="8"/>
            <color indexed="8"/>
            <rFont val="Tahoma"/>
            <family val="2"/>
          </rPr>
          <t xml:space="preserve">
analyst meeting Feb00 said 5500</t>
        </r>
      </text>
    </comment>
    <comment ref="G106" authorId="1">
      <text>
        <r>
          <rPr>
            <b/>
            <sz val="8"/>
            <color indexed="8"/>
            <rFont val="Tahoma"/>
            <family val="2"/>
          </rPr>
          <t>haydenn:</t>
        </r>
        <r>
          <rPr>
            <sz val="8"/>
            <color indexed="8"/>
            <rFont val="Tahoma"/>
            <family val="2"/>
          </rPr>
          <t xml:space="preserve">
analyst meeting Feb00</t>
        </r>
      </text>
    </comment>
    <comment ref="H106" authorId="1">
      <text>
        <r>
          <rPr>
            <b/>
            <sz val="8"/>
            <color indexed="8"/>
            <rFont val="Tahoma"/>
            <family val="2"/>
          </rPr>
          <t>haydenn:</t>
        </r>
        <r>
          <rPr>
            <sz val="8"/>
            <color indexed="8"/>
            <rFont val="Tahoma"/>
            <family val="2"/>
          </rPr>
          <t xml:space="preserve">
analyst meeting Feb00</t>
        </r>
      </text>
    </comment>
    <comment ref="I106" authorId="1">
      <text>
        <r>
          <rPr>
            <b/>
            <sz val="8"/>
            <color indexed="8"/>
            <rFont val="Tahoma"/>
            <family val="2"/>
          </rPr>
          <t>haydenn:</t>
        </r>
        <r>
          <rPr>
            <sz val="8"/>
            <color indexed="8"/>
            <rFont val="Tahoma"/>
            <family val="2"/>
          </rPr>
          <t xml:space="preserve">
analyst meeting Feb00 said 2400</t>
        </r>
      </text>
    </comment>
    <comment ref="J108" authorId="1">
      <text>
        <r>
          <rPr>
            <b/>
            <sz val="8"/>
            <color indexed="8"/>
            <rFont val="Tahoma"/>
            <family val="2"/>
          </rPr>
          <t>haydenn:</t>
        </r>
        <r>
          <rPr>
            <sz val="8"/>
            <color indexed="8"/>
            <rFont val="Tahoma"/>
            <family val="2"/>
          </rPr>
          <t xml:space="preserve">
guid on 1q02 call of 8.8-1.0bn
guid on 4q01 call of $2bn lower spending in wireline</t>
        </r>
      </text>
    </comment>
    <comment ref="K108" authorId="0">
      <text>
        <r>
          <rPr>
            <b/>
            <sz val="8"/>
            <color indexed="8"/>
            <rFont val="Tahoma"/>
            <family val="2"/>
          </rPr>
          <t>enright:</t>
        </r>
        <r>
          <rPr>
            <sz val="8"/>
            <color indexed="8"/>
            <rFont val="Tahoma"/>
            <family val="2"/>
          </rPr>
          <t xml:space="preserve">
4Q02 call - 7.3 bn - 7.8 bn</t>
        </r>
      </text>
    </comment>
    <comment ref="L108" authorId="0">
      <text>
        <r>
          <rPr>
            <b/>
            <sz val="8"/>
            <color indexed="8"/>
            <rFont val="Tahoma"/>
            <family val="2"/>
          </rPr>
          <t>Oct 04 exp total caex at very high end of $12-13 B guidance range
enright:</t>
        </r>
        <r>
          <rPr>
            <sz val="8"/>
            <color indexed="8"/>
            <rFont val="Tahoma"/>
            <family val="2"/>
          </rPr>
          <t xml:space="preserve">
He said wireline capital expense will be approximately $7 billion this year, and the company expects it to remain at approximately the same level in 2004. </t>
        </r>
      </text>
    </comment>
    <comment ref="M108" authorId="3">
      <text>
        <r>
          <rPr>
            <b/>
            <sz val="10"/>
            <color indexed="8"/>
            <rFont val="Tahoma"/>
            <family val="2"/>
          </rPr>
          <t>smythra:</t>
        </r>
        <r>
          <rPr>
            <sz val="10"/>
            <color indexed="8"/>
            <rFont val="Tahoma"/>
            <family val="2"/>
          </rPr>
          <t xml:space="preserve">
Oct 05 exp $8.3 B wireline capex for 2005</t>
        </r>
      </text>
    </comment>
    <comment ref="N108" authorId="7">
      <text>
        <r>
          <rPr>
            <b/>
            <sz val="8"/>
            <color indexed="8"/>
            <rFont val="Tahoma"/>
            <family val="2"/>
          </rPr>
          <t>Jessica Yau:</t>
        </r>
        <r>
          <rPr>
            <sz val="8"/>
            <color indexed="8"/>
            <rFont val="Tahoma"/>
            <family val="2"/>
          </rPr>
          <t xml:space="preserve">
Q3 call: 8.5bn</t>
        </r>
      </text>
    </comment>
    <comment ref="O108" authorId="3">
      <text>
        <r>
          <rPr>
            <b/>
            <sz val="8"/>
            <color indexed="8"/>
            <rFont val="Tahoma"/>
            <family val="2"/>
          </rPr>
          <t>smythra:</t>
        </r>
        <r>
          <rPr>
            <sz val="8"/>
            <color indexed="8"/>
            <rFont val="Tahoma"/>
            <family val="2"/>
          </rPr>
          <t xml:space="preserve">
Jan 07 2007 guidance: from Investor Quarterly exp wireline capex $10.7-10.9 B
Prior: MCI synergies call for $300M incremental integraiton spend in 2007 vs. 2006</t>
        </r>
      </text>
    </comment>
    <comment ref="P108" authorId="3">
      <text>
        <r>
          <rPr>
            <b/>
            <sz val="8"/>
            <color indexed="8"/>
            <rFont val="Tahoma"/>
            <family val="2"/>
          </rPr>
          <t>smythra:</t>
        </r>
        <r>
          <rPr>
            <sz val="8"/>
            <color indexed="8"/>
            <rFont val="Tahoma"/>
            <family val="2"/>
          </rPr>
          <t xml:space="preserve">
MCI synergies call for $550M LOWER incremental integraiton spend in 2008 vs. 2007</t>
        </r>
      </text>
    </comment>
    <comment ref="Q108" authorId="3">
      <text>
        <r>
          <rPr>
            <b/>
            <sz val="8"/>
            <color indexed="8"/>
            <rFont val="Tahoma"/>
            <family val="2"/>
          </rPr>
          <t>smythra:</t>
        </r>
        <r>
          <rPr>
            <sz val="8"/>
            <color indexed="8"/>
            <rFont val="Tahoma"/>
            <family val="2"/>
          </rPr>
          <t xml:space="preserve">
MCI synergies call for $300M LOWER incremental integraiton spend in 2009 vs. 2008</t>
        </r>
      </text>
    </comment>
    <comment ref="S108" authorId="8">
      <text>
        <r>
          <rPr>
            <b/>
            <sz val="8"/>
            <color indexed="8"/>
            <rFont val="Tahoma"/>
            <family val="2"/>
          </rPr>
          <t>Daniel Gaviria:</t>
        </r>
        <r>
          <rPr>
            <sz val="8"/>
            <color indexed="8"/>
            <rFont val="Tahoma"/>
            <family val="2"/>
          </rPr>
          <t xml:space="preserve">
GUIDANCE:
DECREASE OF 26%</t>
        </r>
      </text>
    </comment>
    <comment ref="H114" authorId="1">
      <text>
        <r>
          <rPr>
            <b/>
            <sz val="8"/>
            <color indexed="8"/>
            <rFont val="Tahoma"/>
            <family val="2"/>
          </rPr>
          <t>haydenn:</t>
        </r>
        <r>
          <rPr>
            <sz val="8"/>
            <color indexed="8"/>
            <rFont val="Tahoma"/>
            <family val="2"/>
          </rPr>
          <t xml:space="preserve">
feb00 mtg: 4.5bn in 2000 capex</t>
        </r>
      </text>
    </comment>
    <comment ref="I114" authorId="1">
      <text>
        <r>
          <rPr>
            <b/>
            <sz val="8"/>
            <color indexed="8"/>
            <rFont val="Tahoma"/>
            <family val="2"/>
          </rPr>
          <t>haydenn:</t>
        </r>
        <r>
          <rPr>
            <sz val="8"/>
            <color indexed="8"/>
            <rFont val="Tahoma"/>
            <family val="2"/>
          </rPr>
          <t xml:space="preserve">
feb00 mtg: 4.7bn in 2001
 capex</t>
        </r>
      </text>
    </comment>
    <comment ref="J114" authorId="1">
      <text>
        <r>
          <rPr>
            <b/>
            <sz val="8"/>
            <color indexed="8"/>
            <rFont val="Tahoma"/>
            <family val="2"/>
          </rPr>
          <t>haydenn:</t>
        </r>
        <r>
          <rPr>
            <sz val="8"/>
            <color indexed="8"/>
            <rFont val="Tahoma"/>
            <family val="2"/>
          </rPr>
          <t xml:space="preserve">
guidance on 1q02 call of 4.4-4.7bn</t>
        </r>
      </text>
    </comment>
    <comment ref="K114" authorId="0">
      <text>
        <r>
          <rPr>
            <b/>
            <sz val="8"/>
            <color indexed="8"/>
            <rFont val="Tahoma"/>
            <family val="2"/>
          </rPr>
          <t>enright:</t>
        </r>
        <r>
          <rPr>
            <sz val="8"/>
            <color indexed="8"/>
            <rFont val="Tahoma"/>
            <family val="2"/>
          </rPr>
          <t xml:space="preserve">
4Q02 call - 4.4 to 4.7</t>
        </r>
      </text>
    </comment>
    <comment ref="L114" authorId="9">
      <text>
        <r>
          <rPr>
            <b/>
            <sz val="10"/>
            <color indexed="8"/>
            <rFont val="Tahoma"/>
            <family val="2"/>
          </rPr>
          <t>atalwar:</t>
        </r>
        <r>
          <rPr>
            <sz val="10"/>
            <color indexed="8"/>
            <rFont val="Tahoma"/>
            <family val="2"/>
          </rPr>
          <t xml:space="preserve">
2Q04 call: guidance of $5.5 bn</t>
        </r>
      </text>
    </comment>
    <comment ref="M114" authorId="3">
      <text>
        <r>
          <rPr>
            <b/>
            <sz val="10"/>
            <color indexed="8"/>
            <rFont val="Tahoma"/>
            <family val="2"/>
          </rPr>
          <t>smythra:</t>
        </r>
        <r>
          <rPr>
            <sz val="10"/>
            <color indexed="8"/>
            <rFont val="Tahoma"/>
            <family val="2"/>
          </rPr>
          <t xml:space="preserve">
Oct 05 exp $6.5 B wireless capex incl. about $600 MM for EVDO</t>
        </r>
      </text>
    </comment>
    <comment ref="N114" authorId="7">
      <text>
        <r>
          <rPr>
            <b/>
            <sz val="8"/>
            <color indexed="8"/>
            <rFont val="Tahoma"/>
            <family val="2"/>
          </rPr>
          <t>Jessica Yau:</t>
        </r>
        <r>
          <rPr>
            <sz val="8"/>
            <color indexed="8"/>
            <rFont val="Tahoma"/>
            <family val="2"/>
          </rPr>
          <t xml:space="preserve">
Q3 call: 6.3 bn</t>
        </r>
      </text>
    </comment>
    <comment ref="O114" authorId="4">
      <text>
        <r>
          <rPr>
            <b/>
            <sz val="8"/>
            <color indexed="8"/>
            <rFont val="Tahoma"/>
            <family val="2"/>
          </rPr>
          <t>Raina Smyth:</t>
        </r>
        <r>
          <rPr>
            <sz val="8"/>
            <color indexed="8"/>
            <rFont val="Tahoma"/>
            <family val="2"/>
          </rPr>
          <t xml:space="preserve">
Jan 07 2007 guidance from Investor Quarterly: exp wireless capex $6.6-6.8 B</t>
        </r>
      </text>
    </comment>
    <comment ref="P114" authorId="8">
      <text>
        <r>
          <rPr>
            <b/>
            <sz val="8"/>
            <color indexed="8"/>
            <rFont val="Tahoma"/>
            <family val="2"/>
          </rPr>
          <t>Daniel Gaviria:</t>
        </r>
        <r>
          <rPr>
            <sz val="8"/>
            <color indexed="8"/>
            <rFont val="Tahoma"/>
            <family val="2"/>
          </rPr>
          <t xml:space="preserve">
Guidance: 
Below 2007</t>
        </r>
      </text>
    </comment>
    <comment ref="S114" authorId="8">
      <text>
        <r>
          <rPr>
            <b/>
            <sz val="8"/>
            <color indexed="8"/>
            <rFont val="Tahoma"/>
            <family val="2"/>
          </rPr>
          <t>Daniel Gaviria:</t>
        </r>
        <r>
          <rPr>
            <sz val="8"/>
            <color indexed="8"/>
            <rFont val="Tahoma"/>
            <family val="2"/>
          </rPr>
          <t xml:space="preserve">
GUIDANCE:
INCREASE OF 30%</t>
        </r>
      </text>
    </comment>
    <comment ref="J115" authorId="1">
      <text>
        <r>
          <rPr>
            <b/>
            <sz val="8"/>
            <color indexed="8"/>
            <rFont val="Tahoma"/>
            <family val="2"/>
          </rPr>
          <t>haydenn:</t>
        </r>
        <r>
          <rPr>
            <sz val="8"/>
            <color indexed="8"/>
            <rFont val="Tahoma"/>
            <family val="2"/>
          </rPr>
          <t xml:space="preserve">
OLD: guid on 4q01 call of flat to slightly up wless</t>
        </r>
      </text>
    </comment>
    <comment ref="Q118" authorId="8">
      <text>
        <r>
          <rPr>
            <b/>
            <sz val="8"/>
            <color indexed="8"/>
            <rFont val="Tahoma"/>
            <family val="2"/>
          </rPr>
          <t>Daniel Gaviria:</t>
        </r>
        <r>
          <rPr>
            <sz val="8"/>
            <color indexed="8"/>
            <rFont val="Tahoma"/>
            <family val="2"/>
          </rPr>
          <t xml:space="preserve">
From Alltel acqusition call:
In addition to these operating expense synergies, we have also identified potential savings in
capital expenditures of 3 to 400 million in the first year, growing to nearly 500 million by the end of
year three. Essentially, these synergies should be the result of limiting redundant capacity and
eliminating duplicate network spending.</t>
        </r>
      </text>
    </comment>
    <comment ref="P122" authorId="10">
      <text>
        <r>
          <rPr>
            <b/>
            <sz val="8"/>
            <color indexed="8"/>
            <rFont val="Tahoma"/>
            <family val="2"/>
          </rPr>
          <t>$950-$1.05 bn</t>
        </r>
        <r>
          <rPr>
            <sz val="8"/>
            <color indexed="8"/>
            <rFont val="Tahoma"/>
            <family val="2"/>
          </rPr>
          <t xml:space="preserve">
</t>
        </r>
      </text>
    </comment>
    <comment ref="J126" authorId="1">
      <text>
        <r>
          <rPr>
            <b/>
            <sz val="8"/>
            <color indexed="8"/>
            <rFont val="Tahoma"/>
            <family val="2"/>
          </rPr>
          <t>haydenn:</t>
        </r>
        <r>
          <rPr>
            <sz val="8"/>
            <color indexed="8"/>
            <rFont val="Tahoma"/>
            <family val="2"/>
          </rPr>
          <t xml:space="preserve">
guidance on 1q02 call: 0.8-1.0bn</t>
        </r>
      </text>
    </comment>
    <comment ref="BZ126" authorId="4">
      <text>
        <r>
          <rPr>
            <b/>
            <sz val="8"/>
            <color indexed="8"/>
            <rFont val="Tahoma"/>
            <family val="2"/>
          </rPr>
          <t>Raina Smyth:</t>
        </r>
        <r>
          <rPr>
            <sz val="8"/>
            <color indexed="8"/>
            <rFont val="Tahoma"/>
            <family val="2"/>
          </rPr>
          <t xml:space="preserve">
restated with 1Q07 results to exclude international and info svs capex</t>
        </r>
      </text>
    </comment>
    <comment ref="N128" authorId="7">
      <text>
        <r>
          <rPr>
            <b/>
            <sz val="8"/>
            <color indexed="8"/>
            <rFont val="Tahoma"/>
            <family val="2"/>
          </rPr>
          <t>Jessica Yau:</t>
        </r>
        <r>
          <rPr>
            <sz val="8"/>
            <color indexed="8"/>
            <rFont val="Tahoma"/>
            <family val="2"/>
          </rPr>
          <t xml:space="preserve">
Q4 call:  WITH MCI.  $17.0-17.4bn  Incl. $550mn in integration capital in 2006</t>
        </r>
      </text>
    </comment>
    <comment ref="O128" authorId="4">
      <text>
        <r>
          <rPr>
            <b/>
            <sz val="8"/>
            <color indexed="8"/>
            <rFont val="Tahoma"/>
            <family val="2"/>
          </rPr>
          <t>Raina Smyth:</t>
        </r>
        <r>
          <rPr>
            <sz val="8"/>
            <color indexed="8"/>
            <rFont val="Tahoma"/>
            <family val="2"/>
          </rPr>
          <t xml:space="preserve">
2006 10K: 2007 capex $17.5-17.9 B</t>
        </r>
      </text>
    </comment>
    <comment ref="P128" authorId="8">
      <text>
        <r>
          <rPr>
            <b/>
            <sz val="8"/>
            <color indexed="8"/>
            <rFont val="Tahoma"/>
            <family val="2"/>
          </rPr>
          <t>Daniel Gaviria:</t>
        </r>
        <r>
          <rPr>
            <sz val="8"/>
            <color indexed="8"/>
            <rFont val="Tahoma"/>
            <family val="2"/>
          </rPr>
          <t xml:space="preserve">
Guidance: 
Below 2007</t>
        </r>
      </text>
    </comment>
    <comment ref="S128" authorId="8">
      <text>
        <r>
          <rPr>
            <b/>
            <sz val="8"/>
            <color indexed="8"/>
            <rFont val="Tahoma"/>
            <family val="2"/>
          </rPr>
          <t>Daniel Gaviria:</t>
        </r>
        <r>
          <rPr>
            <sz val="8"/>
            <color indexed="8"/>
            <rFont val="Tahoma"/>
            <family val="2"/>
          </rPr>
          <t xml:space="preserve">
GUIDANCE:
"FLAT TO DOWN"</t>
        </r>
      </text>
    </comment>
    <comment ref="CT151" authorId="8">
      <text>
        <r>
          <rPr>
            <b/>
            <sz val="12"/>
            <color indexed="8"/>
            <rFont val="Tahoma"/>
            <family val="2"/>
          </rPr>
          <t>Daniel Gaviria:</t>
        </r>
        <r>
          <rPr>
            <sz val="12"/>
            <color indexed="8"/>
            <rFont val="Tahoma"/>
            <family val="2"/>
          </rPr>
          <t xml:space="preserve">
FY11: GUIDANCE: ~$115M - $120M
FY12: GUIDANCE: ~$125M - $135M</t>
        </r>
      </text>
    </comment>
  </commentList>
</comments>
</file>

<file path=xl/comments12.xml><?xml version="1.0" encoding="utf-8"?>
<comments xmlns="http://schemas.openxmlformats.org/spreadsheetml/2006/main">
  <authors>
    <author>haydenn</author>
  </authors>
  <commentList>
    <comment ref="K11" authorId="0">
      <text>
        <r>
          <rPr>
            <b/>
            <sz val="8"/>
            <color indexed="8"/>
            <rFont val="Tahoma"/>
            <family val="2"/>
          </rPr>
          <t>haydenn:</t>
        </r>
        <r>
          <rPr>
            <sz val="8"/>
            <color indexed="8"/>
            <rFont val="Tahoma"/>
            <family val="2"/>
          </rPr>
          <t xml:space="preserve">
sold TSI in Feb2002 which we are assuming had 250mm in annual revenues</t>
        </r>
      </text>
    </comment>
    <comment ref="BJ11" authorId="0">
      <text>
        <r>
          <rPr>
            <b/>
            <sz val="8"/>
            <color indexed="8"/>
            <rFont val="Tahoma"/>
            <family val="2"/>
          </rPr>
          <t>haydenn:</t>
        </r>
        <r>
          <rPr>
            <sz val="8"/>
            <color indexed="8"/>
            <rFont val="Tahoma"/>
            <family val="2"/>
          </rPr>
          <t xml:space="preserve">
We have assumed 250mm in annual revenues for TSI, and have removed it from all 2002 revenue figures
In December 2001, we agreed to sell Telecommunication Services Inc. (TSI), for
approximately $800 million. The transaction closed on February 14, 2002.
</t>
        </r>
      </text>
    </comment>
    <comment ref="BL11" authorId="0">
      <text>
        <r>
          <rPr>
            <b/>
            <sz val="8"/>
            <color indexed="8"/>
            <rFont val="Tahoma"/>
            <family val="2"/>
          </rPr>
          <t>haydenn:</t>
        </r>
        <r>
          <rPr>
            <sz val="8"/>
            <color indexed="8"/>
            <rFont val="Tahoma"/>
            <family val="2"/>
          </rPr>
          <t xml:space="preserve">
historically, 3q has tended to be less negative </t>
        </r>
      </text>
    </comment>
    <comment ref="BM11" authorId="0">
      <text>
        <r>
          <rPr>
            <b/>
            <sz val="8"/>
            <color indexed="8"/>
            <rFont val="Tahoma"/>
            <family val="2"/>
          </rPr>
          <t>haydenn:</t>
        </r>
        <r>
          <rPr>
            <sz val="8"/>
            <color indexed="8"/>
            <rFont val="Tahoma"/>
            <family val="2"/>
          </rPr>
          <t xml:space="preserve">
historically, 3q has tended to be less negative </t>
        </r>
      </text>
    </comment>
    <comment ref="BJ24" authorId="0">
      <text>
        <r>
          <rPr>
            <b/>
            <sz val="8"/>
            <color indexed="8"/>
            <rFont val="Tahoma"/>
            <family val="2"/>
          </rPr>
          <t>haydenn:</t>
        </r>
        <r>
          <rPr>
            <sz val="8"/>
            <color indexed="8"/>
            <rFont val="Tahoma"/>
            <family val="2"/>
          </rPr>
          <t xml:space="preserve">
TSI was sold for $800mm.  Assume a 5x EBITDA multiple, so $160mm in annual EBITDA off $250mm in annual revenues implies 90mm in cash expenses, or 23mm a quarter</t>
        </r>
      </text>
    </comment>
  </commentList>
</comments>
</file>

<file path=xl/comments13.xml><?xml version="1.0" encoding="utf-8"?>
<comments xmlns="http://schemas.openxmlformats.org/spreadsheetml/2006/main">
  <authors>
    <author>dgaviria</author>
  </authors>
  <commentList>
    <comment ref="R45" authorId="0">
      <text>
        <r>
          <rPr>
            <b/>
            <sz val="8"/>
            <color indexed="8"/>
            <rFont val="Tahoma"/>
            <family val="2"/>
          </rPr>
          <t>dgaviria:</t>
        </r>
        <r>
          <rPr>
            <sz val="8"/>
            <color indexed="8"/>
            <rFont val="Tahoma"/>
            <family val="2"/>
          </rPr>
          <t xml:space="preserve">
pf for Spinco
</t>
        </r>
      </text>
    </comment>
  </commentList>
</comments>
</file>

<file path=xl/comments14.xml><?xml version="1.0" encoding="utf-8"?>
<comments xmlns="http://schemas.openxmlformats.org/spreadsheetml/2006/main">
  <authors>
    <author>mogres</author>
    <author>Sinkevicius, Armintas (Research)</author>
    <author>warjohn</author>
  </authors>
  <commentList>
    <comment ref="A5" authorId="0">
      <text>
        <r>
          <rPr>
            <sz val="8"/>
            <color indexed="8"/>
            <rFont val="Tahoma"/>
            <family val="2"/>
          </rPr>
          <t xml:space="preserve">
</t>
        </r>
        <r>
          <rPr>
            <b/>
            <sz val="8"/>
            <color indexed="8"/>
            <rFont val="Tahoma"/>
            <family val="2"/>
          </rPr>
          <t xml:space="preserve">Discount rate </t>
        </r>
        <r>
          <rPr>
            <sz val="8"/>
            <color indexed="8"/>
            <rFont val="Tahoma"/>
            <family val="2"/>
          </rPr>
          <t>is based on the Corporate AA bond rate and is used to calculate the present value of pension benefit obligations.
Because companies have some discretion over how they estimate the rate and the duration of future benefit payments varies from company to company, rates will differ slightly from company to company.</t>
        </r>
        <r>
          <rPr>
            <b/>
            <sz val="8"/>
            <color indexed="8"/>
            <rFont val="Tahoma"/>
            <family val="2"/>
          </rPr>
          <t xml:space="preserve">
How to forecast this line item if Pension is material for my company?</t>
        </r>
        <r>
          <rPr>
            <sz val="8"/>
            <color indexed="8"/>
            <rFont val="Tahoma"/>
            <family val="2"/>
          </rPr>
          <t xml:space="preserve">
Assuming you wouldn't want to forecast the interest rates, set this equal to prior period's discount rate. If you are in the middle of FY1, you could attempt to use the latest available rate using the appropriate bond index yield. Contact AST if you wish to do so. However, from FY2 onwards, you should set it equal to prior period's discount rate.
</t>
        </r>
        <r>
          <rPr>
            <b/>
            <sz val="8"/>
            <color indexed="8"/>
            <rFont val="Tahoma"/>
            <family val="2"/>
          </rPr>
          <t xml:space="preserve">How does the template forecast it?
</t>
        </r>
        <r>
          <rPr>
            <sz val="8"/>
            <color indexed="8"/>
            <rFont val="Tahoma"/>
            <family val="2"/>
          </rPr>
          <t>The template does not attempt to forecast the interest rates and flat lines it.</t>
        </r>
      </text>
    </comment>
    <comment ref="A7" authorId="0">
      <text>
        <r>
          <rPr>
            <b/>
            <sz val="8"/>
            <color indexed="8"/>
            <rFont val="Tahoma"/>
            <family val="2"/>
          </rPr>
          <t xml:space="preserve">
EROA</t>
        </r>
        <r>
          <rPr>
            <sz val="8"/>
            <color indexed="8"/>
            <rFont val="Tahoma"/>
            <family val="2"/>
          </rPr>
          <t xml:space="preserve"> is management’s estimate of the long-term rate of return for plan assets and is used to calculate a component of pension expense. This will vary widely from company to company depending on asset mix and other assumptions.</t>
        </r>
        <r>
          <rPr>
            <b/>
            <sz val="8"/>
            <color indexed="8"/>
            <rFont val="Tahoma"/>
            <family val="2"/>
          </rPr>
          <t xml:space="preserve">
How to forecast this line item if Pension is material for my company?</t>
        </r>
        <r>
          <rPr>
            <sz val="8"/>
            <color indexed="8"/>
            <rFont val="Tahoma"/>
            <family val="2"/>
          </rPr>
          <t xml:space="preserve">
It should be flat lined unless the management provides guidance around changing it in future year/s.
</t>
        </r>
        <r>
          <rPr>
            <b/>
            <sz val="8"/>
            <color indexed="8"/>
            <rFont val="Tahoma"/>
            <family val="2"/>
          </rPr>
          <t xml:space="preserve">How does the template forecast it?
</t>
        </r>
        <r>
          <rPr>
            <sz val="8"/>
            <color indexed="8"/>
            <rFont val="Tahoma"/>
            <family val="2"/>
          </rPr>
          <t>The template flat lines the management disclosed estimate of the long-term rate of return on plan assets.</t>
        </r>
      </text>
    </comment>
    <comment ref="A8" authorId="0">
      <text>
        <r>
          <rPr>
            <b/>
            <sz val="8"/>
            <color indexed="8"/>
            <rFont val="Tahoma"/>
            <family val="2"/>
          </rPr>
          <t xml:space="preserve">
Actual Rate of Return </t>
        </r>
        <r>
          <rPr>
            <sz val="8"/>
            <color indexed="8"/>
            <rFont val="Tahoma"/>
            <family val="2"/>
          </rPr>
          <t>is the actual return generated on pension plan assets.</t>
        </r>
        <r>
          <rPr>
            <b/>
            <sz val="8"/>
            <color indexed="8"/>
            <rFont val="Tahoma"/>
            <family val="2"/>
          </rPr>
          <t xml:space="preserve">
How to forecast this line item if Pension is material for my company?</t>
        </r>
        <r>
          <rPr>
            <sz val="8"/>
            <color indexed="8"/>
            <rFont val="Tahoma"/>
            <family val="2"/>
          </rPr>
          <t xml:space="preserve">
You should set it equal to management's EROA assuming you wouldn't want to forecast the returns on underlying plan assets. If you are in the middle of FY1, you could attempt to use the actual return (YTD) using underlying asset index return. Contact AST if you wish to do so. However, from FY2 onwards, you should set it equal to management's EROA.
</t>
        </r>
        <r>
          <rPr>
            <b/>
            <sz val="8"/>
            <color indexed="8"/>
            <rFont val="Tahoma"/>
            <family val="2"/>
          </rPr>
          <t xml:space="preserve">How does the template forecast it?
</t>
        </r>
        <r>
          <rPr>
            <sz val="8"/>
            <color indexed="8"/>
            <rFont val="Tahoma"/>
            <family val="2"/>
          </rPr>
          <t xml:space="preserve">The template does not attempt to forecast the actual rate of return and sets it equal to management's EROA. </t>
        </r>
      </text>
    </comment>
    <comment ref="A9" authorId="0">
      <text>
        <r>
          <rPr>
            <sz val="8"/>
            <color indexed="8"/>
            <rFont val="Tahoma"/>
            <family val="2"/>
          </rPr>
          <t xml:space="preserve">
Since PBOs are tax-deductible, there is a deferred tax asset related to the DB plan(s). </t>
        </r>
        <r>
          <rPr>
            <b/>
            <sz val="8"/>
            <color indexed="8"/>
            <rFont val="Tahoma"/>
            <family val="2"/>
          </rPr>
          <t>Statutory tax rate</t>
        </r>
        <r>
          <rPr>
            <sz val="8"/>
            <color indexed="8"/>
            <rFont val="Tahoma"/>
            <family val="2"/>
          </rPr>
          <t xml:space="preserve"> is thus used to compute the tax benefits associated with pensions.</t>
        </r>
        <r>
          <rPr>
            <b/>
            <sz val="8"/>
            <color indexed="8"/>
            <rFont val="Tahoma"/>
            <family val="2"/>
          </rPr>
          <t xml:space="preserve">
How to forecast this line item if Pension is material for my company?</t>
        </r>
        <r>
          <rPr>
            <sz val="8"/>
            <color indexed="8"/>
            <rFont val="Tahoma"/>
            <family val="2"/>
          </rPr>
          <t xml:space="preserve">
You should set it equal to the corporate tax rate of 35% for the US plan or a blended rate if the company has pension plans in other countries as well.
</t>
        </r>
        <r>
          <rPr>
            <b/>
            <sz val="8"/>
            <color indexed="8"/>
            <rFont val="Tahoma"/>
            <family val="2"/>
          </rPr>
          <t xml:space="preserve">How does the template forecast it?
</t>
        </r>
        <r>
          <rPr>
            <sz val="8"/>
            <color indexed="8"/>
            <rFont val="Tahoma"/>
            <family val="2"/>
          </rPr>
          <t>The template sets it equal to the US corporate tax rate of 35%.</t>
        </r>
      </text>
    </comment>
    <comment ref="A13" authorId="0">
      <text>
        <r>
          <rPr>
            <b/>
            <sz val="8"/>
            <color indexed="8"/>
            <rFont val="Tahoma"/>
            <family val="2"/>
          </rPr>
          <t xml:space="preserve">
Service cost</t>
        </r>
        <r>
          <rPr>
            <sz val="8"/>
            <color indexed="8"/>
            <rFont val="Tahoma"/>
            <family val="2"/>
          </rPr>
          <t xml:space="preserve"> is the 'present value' of new benefits earned during the period and represents the economic operating cost of the ongoing plan. When a company reduces benefits, future service costs decline. If they freeze the plans, service costs are eliminated.</t>
        </r>
        <r>
          <rPr>
            <b/>
            <sz val="8"/>
            <color indexed="8"/>
            <rFont val="Tahoma"/>
            <family val="2"/>
          </rPr>
          <t xml:space="preserve">
How to forecast this line item if Pension is material for my company?</t>
        </r>
        <r>
          <rPr>
            <sz val="8"/>
            <color indexed="8"/>
            <rFont val="Tahoma"/>
            <family val="2"/>
          </rPr>
          <t xml:space="preserve">
For an active plan, service cost </t>
        </r>
        <r>
          <rPr>
            <u/>
            <sz val="8"/>
            <color indexed="8"/>
            <rFont val="Tahoma"/>
            <family val="2"/>
          </rPr>
          <t>usually</t>
        </r>
        <r>
          <rPr>
            <sz val="8"/>
            <color indexed="8"/>
            <rFont val="Tahoma"/>
            <family val="2"/>
          </rPr>
          <t xml:space="preserve"> remains steady in</t>
        </r>
        <r>
          <rPr>
            <u/>
            <sz val="8"/>
            <color indexed="8"/>
            <rFont val="Tahoma"/>
            <family val="2"/>
          </rPr>
          <t xml:space="preserve"> real</t>
        </r>
        <r>
          <rPr>
            <sz val="8"/>
            <color indexed="8"/>
            <rFont val="Tahoma"/>
            <family val="2"/>
          </rPr>
          <t xml:space="preserve"> terms and thus changes only to the extent of changes in interest (discount) rates. It should thus be forecasted after considering the changes in interest rates (if forecasted) for the period and using a rule of thumb which states that -- every 100 bps change in discount rate results in about 10% change in service cost.
If the plan is frozen, set this equal to zero.
</t>
        </r>
        <r>
          <rPr>
            <b/>
            <sz val="8"/>
            <color indexed="8"/>
            <rFont val="Tahoma"/>
            <family val="2"/>
          </rPr>
          <t xml:space="preserve">How does the template forecast it?
</t>
        </r>
        <r>
          <rPr>
            <sz val="8"/>
            <color indexed="8"/>
            <rFont val="Tahoma"/>
            <family val="2"/>
          </rPr>
          <t>The template uses a rule of thumb and forecasts the service cost by considering the changes in discount rates on row 8.</t>
        </r>
      </text>
    </comment>
    <comment ref="A14" authorId="0">
      <text>
        <r>
          <rPr>
            <b/>
            <sz val="8"/>
            <color indexed="8"/>
            <rFont val="Tahoma"/>
            <family val="2"/>
          </rPr>
          <t xml:space="preserve">
Prior service cost</t>
        </r>
        <r>
          <rPr>
            <sz val="8"/>
            <color indexed="8"/>
            <rFont val="Tahoma"/>
            <family val="2"/>
          </rPr>
          <t xml:space="preserve"> is the change in the present value of defined benefit obligations caused by employee service in prior periods. This cost arises from amendments to DB benefits. The change in this cost may either be positive or negative.</t>
        </r>
        <r>
          <rPr>
            <b/>
            <sz val="8"/>
            <color indexed="8"/>
            <rFont val="Tahoma"/>
            <family val="2"/>
          </rPr>
          <t xml:space="preserve">
How to forecast this line item if Pension is material for my company?</t>
        </r>
        <r>
          <rPr>
            <sz val="8"/>
            <color indexed="8"/>
            <rFont val="Tahoma"/>
            <family val="2"/>
          </rPr>
          <t xml:space="preserve">
Prior service cost is not very important from an economic standpoint and thus should just be flat lined in forecast years.
</t>
        </r>
        <r>
          <rPr>
            <b/>
            <sz val="8"/>
            <color indexed="8"/>
            <rFont val="Tahoma"/>
            <family val="2"/>
          </rPr>
          <t>How does the template forecast it?</t>
        </r>
        <r>
          <rPr>
            <sz val="8"/>
            <color indexed="8"/>
            <rFont val="Tahoma"/>
            <family val="2"/>
          </rPr>
          <t xml:space="preserve">
The template does not attempt to forecast this line item and flat lines it in forecast years.</t>
        </r>
      </text>
    </comment>
    <comment ref="A15" authorId="0">
      <text>
        <r>
          <rPr>
            <b/>
            <sz val="8"/>
            <color indexed="8"/>
            <rFont val="Tahoma"/>
            <family val="2"/>
          </rPr>
          <t xml:space="preserve">
Interest cost</t>
        </r>
        <r>
          <rPr>
            <sz val="8"/>
            <color indexed="8"/>
            <rFont val="Tahoma"/>
            <family val="2"/>
          </rPr>
          <t xml:space="preserve"> is the corporate AA bond yield multiplied by the PBO. It represents the financing cost of the gross liability i.e. PBO.</t>
        </r>
        <r>
          <rPr>
            <b/>
            <sz val="8"/>
            <color indexed="8"/>
            <rFont val="Tahoma"/>
            <family val="2"/>
          </rPr>
          <t xml:space="preserve">
How to forecast this line item if Pension is material for my company?</t>
        </r>
        <r>
          <rPr>
            <sz val="8"/>
            <color indexed="8"/>
            <rFont val="Tahoma"/>
            <family val="2"/>
          </rPr>
          <t xml:space="preserve">
Interest cost should be calculated as discount rate (BOP) (row 8) times the projected benefit obligation (BOP).
</t>
        </r>
        <r>
          <rPr>
            <b/>
            <sz val="8"/>
            <color indexed="8"/>
            <rFont val="Tahoma"/>
            <family val="2"/>
          </rPr>
          <t xml:space="preserve">How does the template forecast it?
</t>
        </r>
        <r>
          <rPr>
            <sz val="8"/>
            <color indexed="8"/>
            <rFont val="Tahoma"/>
            <family val="2"/>
          </rPr>
          <t>Interest cost is calculated as discount rate (BOP) times the projected benefit obligation (BOP).</t>
        </r>
      </text>
    </comment>
    <comment ref="A16" authorId="0">
      <text>
        <r>
          <rPr>
            <b/>
            <sz val="8"/>
            <color indexed="8"/>
            <rFont val="Tahoma"/>
            <family val="2"/>
          </rPr>
          <t xml:space="preserve">
EROA</t>
        </r>
        <r>
          <rPr>
            <sz val="8"/>
            <color indexed="8"/>
            <rFont val="Tahoma"/>
            <family val="2"/>
          </rPr>
          <t xml:space="preserve"> is management’s estimate of the long-term rate of return for plan assets and is used to calculate a component of pension expense. This will vary widely from company to company depending on asset mix and other assumptions.</t>
        </r>
        <r>
          <rPr>
            <b/>
            <sz val="8"/>
            <color indexed="8"/>
            <rFont val="Tahoma"/>
            <family val="2"/>
          </rPr>
          <t xml:space="preserve">
How to forecast this line item if Pension is material for my company?</t>
        </r>
        <r>
          <rPr>
            <sz val="8"/>
            <color indexed="8"/>
            <rFont val="Tahoma"/>
            <family val="2"/>
          </rPr>
          <t xml:space="preserve">
EROA should be calculated as management’s assumption of the long-term return times the FV of plan assets (BOP).
</t>
        </r>
        <r>
          <rPr>
            <b/>
            <sz val="8"/>
            <color indexed="8"/>
            <rFont val="Tahoma"/>
            <family val="2"/>
          </rPr>
          <t xml:space="preserve">How does the template forecast it?
</t>
        </r>
        <r>
          <rPr>
            <sz val="8"/>
            <color indexed="8"/>
            <rFont val="Tahoma"/>
            <family val="2"/>
          </rPr>
          <t>EROA is calculated as  management’s assumption of the long-term return times the FV of plan assets (BOP).</t>
        </r>
      </text>
    </comment>
    <comment ref="A17" authorId="0">
      <text>
        <r>
          <rPr>
            <sz val="8"/>
            <color indexed="8"/>
            <rFont val="Tahoma"/>
            <family val="2"/>
          </rPr>
          <t xml:space="preserve">
Companies that have voluntarily changed their GAAP pension accounting recognize all actuarial gains/losses that occurred during the year in the 4th quarter, instead of amortizing them over time. </t>
        </r>
        <r>
          <rPr>
            <b/>
            <sz val="8"/>
            <color indexed="8"/>
            <rFont val="Tahoma"/>
            <family val="2"/>
          </rPr>
          <t xml:space="preserve">
How to forecast this line item if Pension is material for my company?</t>
        </r>
        <r>
          <rPr>
            <sz val="8"/>
            <color indexed="8"/>
            <rFont val="Tahoma"/>
            <family val="2"/>
          </rPr>
          <t xml:space="preserve">
This line item is not important from an economic standpoint and is also impossible to forecast. You should set this line item equal to zero for the forecast years.
</t>
        </r>
        <r>
          <rPr>
            <b/>
            <sz val="8"/>
            <color indexed="8"/>
            <rFont val="Tahoma"/>
            <family val="2"/>
          </rPr>
          <t>How does the template forecast it?</t>
        </r>
        <r>
          <rPr>
            <sz val="8"/>
            <color indexed="8"/>
            <rFont val="Tahoma"/>
            <family val="2"/>
          </rPr>
          <t xml:space="preserve">
The template does not attempt to forecast this line item and sets it equal to zero for the forecast years.</t>
        </r>
      </text>
    </comment>
    <comment ref="A18" authorId="0">
      <text>
        <r>
          <rPr>
            <b/>
            <sz val="8"/>
            <color indexed="8"/>
            <rFont val="Tahoma"/>
            <family val="2"/>
          </rPr>
          <t xml:space="preserve">
Pension expense</t>
        </r>
        <r>
          <rPr>
            <sz val="8"/>
            <color indexed="8"/>
            <rFont val="Tahoma"/>
            <family val="2"/>
          </rPr>
          <t xml:space="preserve"> is an accrued expense and 
is entirely non-cash. It is added back in cash flow from operations as a non-cash item.</t>
        </r>
      </text>
    </comment>
    <comment ref="A22" authorId="0">
      <text>
        <r>
          <rPr>
            <b/>
            <sz val="8"/>
            <color indexed="8"/>
            <rFont val="Tahoma"/>
            <family val="2"/>
          </rPr>
          <t xml:space="preserve">
PBO</t>
        </r>
        <r>
          <rPr>
            <sz val="8"/>
            <color indexed="8"/>
            <rFont val="Tahoma"/>
            <family val="2"/>
          </rPr>
          <t xml:space="preserve"> is the present value of the projected benefit obligations earned to date. Employees earn benefits as they accumulate years of service. The obligations are measured at present value using the corporate AA bond rate and are re-measured each year to account for interest rate changes, assumption changes, new benefits earned (represented by service cost) and passage of time (represented by interest cost) which increases PBO.
PBOs are tax-deductible. The tax-deductibility of PBO is an important difference as compared to traditional debt. When a company takes on traditional debt, interest is deductible, but the debt principal payments are not.
When looking at metrics that include PBO (such as net debt) analysts should subtract the corresponding DTA to capture the true liability.</t>
        </r>
      </text>
    </comment>
    <comment ref="A23" authorId="0">
      <text>
        <r>
          <rPr>
            <b/>
            <sz val="8"/>
            <color indexed="8"/>
            <rFont val="Tahoma"/>
            <family val="2"/>
          </rPr>
          <t xml:space="preserve">
Service cost</t>
        </r>
        <r>
          <rPr>
            <sz val="8"/>
            <color indexed="8"/>
            <rFont val="Tahoma"/>
            <family val="2"/>
          </rPr>
          <t xml:space="preserve"> is incurred each period as employees earn new benefits for increased time of service and is thus added to PBO, which is the PV of the projected benefit obligations </t>
        </r>
        <r>
          <rPr>
            <u/>
            <sz val="8"/>
            <color indexed="8"/>
            <rFont val="Tahoma"/>
            <family val="2"/>
          </rPr>
          <t>earned to date.</t>
        </r>
        <r>
          <rPr>
            <b/>
            <sz val="8"/>
            <color indexed="8"/>
            <rFont val="Tahoma"/>
            <family val="2"/>
          </rPr>
          <t xml:space="preserve">
How to forecast this line item if Pension is material for my company?
</t>
        </r>
        <r>
          <rPr>
            <sz val="8"/>
            <color indexed="8"/>
            <rFont val="Tahoma"/>
            <family val="2"/>
          </rPr>
          <t>It should be linked to service cost for the year already forecasted on the income statement.</t>
        </r>
        <r>
          <rPr>
            <b/>
            <sz val="8"/>
            <color indexed="8"/>
            <rFont val="Tahoma"/>
            <family val="2"/>
          </rPr>
          <t xml:space="preserve">
How does the template forecast it?
</t>
        </r>
        <r>
          <rPr>
            <sz val="8"/>
            <color indexed="8"/>
            <rFont val="Tahoma"/>
            <family val="2"/>
          </rPr>
          <t>It is linked to service cost for the year already forecasted on the income statement.</t>
        </r>
      </text>
    </comment>
    <comment ref="A24" authorId="0">
      <text>
        <r>
          <rPr>
            <b/>
            <sz val="8"/>
            <color indexed="8"/>
            <rFont val="Tahoma"/>
            <family val="2"/>
          </rPr>
          <t xml:space="preserve">
Interest cost is</t>
        </r>
        <r>
          <rPr>
            <sz val="8"/>
            <color indexed="8"/>
            <rFont val="Tahoma"/>
            <family val="2"/>
          </rPr>
          <t xml:space="preserve"> the financing cost of the gross liability and is thus added to PBO.</t>
        </r>
        <r>
          <rPr>
            <b/>
            <sz val="8"/>
            <color indexed="8"/>
            <rFont val="Tahoma"/>
            <family val="2"/>
          </rPr>
          <t xml:space="preserve">
How to forecast this line item if Pension is material for my company?</t>
        </r>
        <r>
          <rPr>
            <sz val="8"/>
            <color indexed="8"/>
            <rFont val="Tahoma"/>
            <family val="2"/>
          </rPr>
          <t xml:space="preserve">
It should be linked to interest cost for the year already forecasted on the income statement.
</t>
        </r>
        <r>
          <rPr>
            <b/>
            <sz val="8"/>
            <color indexed="8"/>
            <rFont val="Tahoma"/>
            <family val="2"/>
          </rPr>
          <t>How does the template forecast it?</t>
        </r>
        <r>
          <rPr>
            <sz val="8"/>
            <color indexed="8"/>
            <rFont val="Tahoma"/>
            <family val="2"/>
          </rPr>
          <t xml:space="preserve">
It is linked to interest cost for the year already forecasted on the income statement.
</t>
        </r>
      </text>
    </comment>
    <comment ref="A25" authorId="0">
      <text>
        <r>
          <rPr>
            <b/>
            <sz val="8"/>
            <color indexed="8"/>
            <rFont val="Tahoma"/>
            <family val="2"/>
          </rPr>
          <t xml:space="preserve">
Actuarial loss (gain)</t>
        </r>
        <r>
          <rPr>
            <sz val="8"/>
            <color indexed="8"/>
            <rFont val="Tahoma"/>
            <family val="2"/>
          </rPr>
          <t xml:space="preserve"> is the magnitude of disconnect between actuarial estimates and actual experience in a company's pension plan. For example, if the interest (discount) rate used to compute the PV of benefit obligations declines, it results in increase in the obligations and the change in liability is accounted as an actuarial loss for the year.</t>
        </r>
        <r>
          <rPr>
            <b/>
            <sz val="8"/>
            <color indexed="8"/>
            <rFont val="Tahoma"/>
            <family val="2"/>
          </rPr>
          <t xml:space="preserve">
How to forecast this line item if Pension is material for my company?
</t>
        </r>
        <r>
          <rPr>
            <sz val="8"/>
            <color indexed="8"/>
            <rFont val="Tahoma"/>
            <family val="2"/>
          </rPr>
          <t>It should be forecasted by considering the changes in interest rates (if forecasted) for the period (row 8) and using a rule of thumb which states that -- every 100 bps change in discount rate results in about 10% change in PBO.</t>
        </r>
        <r>
          <rPr>
            <b/>
            <sz val="8"/>
            <color indexed="8"/>
            <rFont val="Tahoma"/>
            <family val="2"/>
          </rPr>
          <t xml:space="preserve">
How does the template forecast it?
</t>
        </r>
        <r>
          <rPr>
            <sz val="8"/>
            <color indexed="8"/>
            <rFont val="Tahoma"/>
            <family val="2"/>
          </rPr>
          <t>The template uses a rule of thumb and forecasts this number after considering the changes in discount rates on row 8.</t>
        </r>
      </text>
    </comment>
    <comment ref="A26" authorId="0">
      <text>
        <r>
          <rPr>
            <b/>
            <sz val="8"/>
            <color indexed="8"/>
            <rFont val="Tahoma"/>
            <family val="2"/>
          </rPr>
          <t xml:space="preserve">
Benefits payments </t>
        </r>
        <r>
          <rPr>
            <sz val="8"/>
            <color indexed="8"/>
            <rFont val="Tahoma"/>
            <family val="2"/>
          </rPr>
          <t>are the actual pension benefit payments made to the employees during the year. It reduces the pension liability by the amount of the benefits paid.</t>
        </r>
        <r>
          <rPr>
            <b/>
            <sz val="8"/>
            <color indexed="8"/>
            <rFont val="Tahoma"/>
            <family val="2"/>
          </rPr>
          <t xml:space="preserve">
How to forecast this line item if Pension is material for my company?</t>
        </r>
        <r>
          <rPr>
            <sz val="8"/>
            <color indexed="8"/>
            <rFont val="Tahoma"/>
            <family val="2"/>
          </rPr>
          <t xml:space="preserve">
The pension footnote discloses the expected benefit payments to retirees for the next 5 years, and the aggregate payment for the following 5 years which should be used in the template to forecast future benefit payments.
</t>
        </r>
        <r>
          <rPr>
            <b/>
            <sz val="8"/>
            <color indexed="8"/>
            <rFont val="Tahoma"/>
            <family val="2"/>
          </rPr>
          <t xml:space="preserve">How does the template forecast it?
</t>
        </r>
        <r>
          <rPr>
            <sz val="8"/>
            <color indexed="8"/>
            <rFont val="Tahoma"/>
            <family val="2"/>
          </rPr>
          <t>Since benefit payments are usually steady in nature, the template flat lines it.</t>
        </r>
      </text>
    </comment>
    <comment ref="Q26" authorId="1">
      <text>
        <r>
          <rPr>
            <sz val="9"/>
            <color indexed="81"/>
            <rFont val="Tahoma"/>
            <family val="2"/>
          </rPr>
          <t>2015 10-K</t>
        </r>
      </text>
    </comment>
    <comment ref="R26" authorId="1">
      <text>
        <r>
          <rPr>
            <sz val="9"/>
            <color indexed="81"/>
            <rFont val="Tahoma"/>
            <family val="2"/>
          </rPr>
          <t>2015 10-K</t>
        </r>
      </text>
    </comment>
    <comment ref="S26" authorId="1">
      <text>
        <r>
          <rPr>
            <sz val="9"/>
            <color indexed="81"/>
            <rFont val="Tahoma"/>
            <family val="2"/>
          </rPr>
          <t>2015 10-K</t>
        </r>
      </text>
    </comment>
    <comment ref="A27" authorId="0">
      <text>
        <r>
          <rPr>
            <b/>
            <sz val="8"/>
            <color indexed="8"/>
            <rFont val="Tahoma"/>
            <family val="2"/>
          </rPr>
          <t xml:space="preserve">
In the template, this line item may include the total of:</t>
        </r>
        <r>
          <rPr>
            <sz val="8"/>
            <color indexed="8"/>
            <rFont val="Tahoma"/>
            <family val="2"/>
          </rPr>
          <t xml:space="preserve">
1. Plan Amendments
2. Actuarial Adjustments
3. Exchange gains/losses
4. Settlements and curtailments
5. Acquisitions and Divestures
6. Other adjustments to PBO</t>
        </r>
        <r>
          <rPr>
            <b/>
            <sz val="8"/>
            <color indexed="8"/>
            <rFont val="Tahoma"/>
            <family val="2"/>
          </rPr>
          <t xml:space="preserve">
How to forecast this line item if Pension is material for my company?</t>
        </r>
        <r>
          <rPr>
            <sz val="8"/>
            <color indexed="8"/>
            <rFont val="Tahoma"/>
            <family val="2"/>
          </rPr>
          <t xml:space="preserve">
This line item includes a set of miscellaneous items that are not important from an economic standpoint and are also impossible to forecast. You should set it equal to zero for the forecast years.
</t>
        </r>
        <r>
          <rPr>
            <b/>
            <sz val="8"/>
            <color indexed="8"/>
            <rFont val="Tahoma"/>
            <family val="2"/>
          </rPr>
          <t xml:space="preserve">How does the template forecast it?
</t>
        </r>
        <r>
          <rPr>
            <sz val="8"/>
            <color indexed="8"/>
            <rFont val="Tahoma"/>
            <family val="2"/>
          </rPr>
          <t>The template does not attempt to forecast this line item and sets it equal to zero for the forecast years.</t>
        </r>
      </text>
    </comment>
    <comment ref="A30" authorId="0">
      <text>
        <r>
          <rPr>
            <b/>
            <sz val="8"/>
            <color indexed="8"/>
            <rFont val="Tahoma"/>
            <family val="2"/>
          </rPr>
          <t xml:space="preserve">
Pension plan assets</t>
        </r>
        <r>
          <rPr>
            <sz val="8"/>
            <color indexed="8"/>
            <rFont val="Tahoma"/>
            <family val="2"/>
          </rPr>
          <t xml:space="preserve"> are measured at the current fair value. Similar to other assets and liabilities measured at fair value, the company provides details about how it measured the fair value of its pension assets in the disclosures.</t>
        </r>
      </text>
    </comment>
    <comment ref="A31" authorId="0">
      <text>
        <r>
          <rPr>
            <b/>
            <sz val="8"/>
            <color indexed="8"/>
            <rFont val="Tahoma"/>
            <family val="2"/>
          </rPr>
          <t xml:space="preserve">
Actual return </t>
        </r>
        <r>
          <rPr>
            <sz val="8"/>
            <color indexed="8"/>
            <rFont val="Tahoma"/>
            <family val="2"/>
          </rPr>
          <t xml:space="preserve">is the return generared on pension plan assets .
</t>
        </r>
        <r>
          <rPr>
            <b/>
            <sz val="8"/>
            <color indexed="8"/>
            <rFont val="Tahoma"/>
            <family val="2"/>
          </rPr>
          <t>How to forecast this line item if Pension is material for my company?</t>
        </r>
        <r>
          <rPr>
            <sz val="8"/>
            <color indexed="8"/>
            <rFont val="Tahoma"/>
            <family val="2"/>
          </rPr>
          <t xml:space="preserve">
Actual return could be calculated as actual rate of return (row12) times the FV of plan assets (BOP) + 0.5*contributions assuming that the contributions were made in the middle of the year. Contact AST if the company makes steady contributions throughout the year OR if you are unsure how to consider them when calculating actual return.
</t>
        </r>
        <r>
          <rPr>
            <b/>
            <sz val="8"/>
            <color indexed="8"/>
            <rFont val="Tahoma"/>
            <family val="2"/>
          </rPr>
          <t>How does the template forecast it?</t>
        </r>
        <r>
          <rPr>
            <sz val="8"/>
            <color indexed="8"/>
            <rFont val="Tahoma"/>
            <family val="2"/>
          </rPr>
          <t xml:space="preserve">
Actual return is calculated as actual rate of return (row12) times the FV of plan assets (BOP) + 0.5*contributions assuming that the contributions were made in the middle of the year.</t>
        </r>
      </text>
    </comment>
    <comment ref="A32" authorId="0">
      <text>
        <r>
          <rPr>
            <b/>
            <sz val="8"/>
            <color indexed="8"/>
            <rFont val="Tahoma"/>
            <family val="2"/>
          </rPr>
          <t xml:space="preserve">
Contributions</t>
        </r>
        <r>
          <rPr>
            <sz val="8"/>
            <color indexed="8"/>
            <rFont val="Tahoma"/>
            <family val="2"/>
          </rPr>
          <t xml:space="preserve"> are the payments that the company makes into the pension trust, for future benefit payments. These contributions may be the minimum required based on ERISA requirements, or may be discretionary. The companies are awarded credits whenever they make contributions in excess of minimum requirements. These credits, which are not
disclosed, can then be used to offset future required contributions. Therefore they tend to be very lumpy, and difficult to estimate.</t>
        </r>
        <r>
          <rPr>
            <b/>
            <sz val="8"/>
            <color indexed="8"/>
            <rFont val="Tahoma"/>
            <family val="2"/>
          </rPr>
          <t xml:space="preserve">
How to forecast this line item if Pension is material for my company?
</t>
        </r>
        <r>
          <rPr>
            <sz val="8"/>
            <color indexed="8"/>
            <rFont val="Tahoma"/>
            <family val="2"/>
          </rPr>
          <t>Companies disclose expected contributions for the 'next' fiscal year in their pension footnote which should be used in the template to forecast next year's contributions. Some companies also disclose it for 'future years' in their contractual obligations footnote, which could be used to forecast it for the rest of the years. If they don't, contact AST to better estimate this number for future years.</t>
        </r>
        <r>
          <rPr>
            <sz val="8"/>
            <color indexed="8"/>
            <rFont val="Tahoma"/>
            <family val="2"/>
          </rPr>
          <t xml:space="preserve">
</t>
        </r>
        <r>
          <rPr>
            <b/>
            <sz val="8"/>
            <color indexed="8"/>
            <rFont val="Tahoma"/>
            <family val="2"/>
          </rPr>
          <t xml:space="preserve">How does the template forecast it?
</t>
        </r>
        <r>
          <rPr>
            <sz val="8"/>
            <color indexed="8"/>
            <rFont val="Tahoma"/>
            <family val="2"/>
          </rPr>
          <t>The template uses the average contributions of last three actual years. You should use this approach if liquidity is not a major concern for the company.</t>
        </r>
      </text>
    </comment>
    <comment ref="L32" authorId="2">
      <text>
        <r>
          <rPr>
            <b/>
            <sz val="8"/>
            <color indexed="8"/>
            <rFont val="Tahoma"/>
            <family val="2"/>
          </rPr>
          <t>warjohn:</t>
        </r>
        <r>
          <rPr>
            <sz val="8"/>
            <color indexed="8"/>
            <rFont val="Tahoma"/>
            <family val="2"/>
          </rPr>
          <t xml:space="preserve">
Per 2012 10K: $2.6B related to Prudential transaction
Verizon will fully fund then transfer ~$7.5B in pension assets and liabilities to Prudential in 4Q12.  Premium was not disclosed, but Verizon has said it will contribute roughly $3.4B to the plan to fully fund the transferred liablilities and keep funded status near 2011 levels.</t>
        </r>
      </text>
    </comment>
    <comment ref="A33" authorId="0">
      <text>
        <r>
          <rPr>
            <b/>
            <sz val="8"/>
            <color indexed="8"/>
            <rFont val="Tahoma"/>
            <family val="2"/>
          </rPr>
          <t xml:space="preserve">
Benefits payments </t>
        </r>
        <r>
          <rPr>
            <sz val="8"/>
            <color indexed="8"/>
            <rFont val="Tahoma"/>
            <family val="2"/>
          </rPr>
          <t>are the actual pension benefit payments made to the employees during the year. These payments are paid out of pension plan assets and are thus reduced from plan assets.</t>
        </r>
        <r>
          <rPr>
            <b/>
            <sz val="8"/>
            <color indexed="8"/>
            <rFont val="Tahoma"/>
            <family val="2"/>
          </rPr>
          <t xml:space="preserve">
How to forecast this line item if Pension is material for my company?</t>
        </r>
        <r>
          <rPr>
            <sz val="8"/>
            <color indexed="8"/>
            <rFont val="Tahoma"/>
            <family val="2"/>
          </rPr>
          <t xml:space="preserve">
The pension footnote discloses the schedule of expected benefit payments to retirees for the next 5 years, and the aggregate payment for the following 5 years, which should be used in the template to forecast future benefit payments. (i.e. you can just link this to row 33 of the template)
</t>
        </r>
        <r>
          <rPr>
            <b/>
            <sz val="8"/>
            <color indexed="8"/>
            <rFont val="Tahoma"/>
            <family val="2"/>
          </rPr>
          <t xml:space="preserve">How does the template forecast it?
</t>
        </r>
        <r>
          <rPr>
            <sz val="8"/>
            <color indexed="8"/>
            <rFont val="Tahoma"/>
            <family val="2"/>
          </rPr>
          <t>Since benefit payments are usually steady in nature, the template flat lines it. (i.e. links it to row 33 of the template)</t>
        </r>
      </text>
    </comment>
    <comment ref="A34" authorId="0">
      <text>
        <r>
          <rPr>
            <b/>
            <sz val="8"/>
            <color indexed="8"/>
            <rFont val="Tahoma"/>
            <family val="2"/>
          </rPr>
          <t xml:space="preserve">
In the template, this line item may include the total of:</t>
        </r>
        <r>
          <rPr>
            <sz val="8"/>
            <color indexed="8"/>
            <rFont val="Tahoma"/>
            <family val="2"/>
          </rPr>
          <t xml:space="preserve">
1. Acquisitions and Divestitures 
2. Settlements and curtailments
3. Exchange rate changes 
4. Other adjustments to plan assets
</t>
        </r>
        <r>
          <rPr>
            <b/>
            <sz val="8"/>
            <color indexed="8"/>
            <rFont val="Tahoma"/>
            <family val="2"/>
          </rPr>
          <t xml:space="preserve">How to forecast this line item if Pension is material for my company?
</t>
        </r>
        <r>
          <rPr>
            <sz val="8"/>
            <color indexed="8"/>
            <rFont val="Tahoma"/>
            <family val="2"/>
          </rPr>
          <t>This line item includes a set of miscellaneous items that are not important from an economic standpoint and are also impossible to forecast. You should set this line item equal to zero for the forecast years.</t>
        </r>
        <r>
          <rPr>
            <b/>
            <sz val="8"/>
            <color indexed="8"/>
            <rFont val="Tahoma"/>
            <family val="2"/>
          </rPr>
          <t xml:space="preserve">
How does the template forecast it?
</t>
        </r>
        <r>
          <rPr>
            <sz val="8"/>
            <color indexed="8"/>
            <rFont val="Tahoma"/>
            <family val="2"/>
          </rPr>
          <t>The template does not attempt to forecast this line item and sets it equal to zero for the forecast years.</t>
        </r>
      </text>
    </comment>
    <comment ref="L34" authorId="2">
      <text>
        <r>
          <rPr>
            <b/>
            <sz val="8"/>
            <color indexed="8"/>
            <rFont val="Tahoma"/>
            <family val="2"/>
          </rPr>
          <t>warjohn:</t>
        </r>
        <r>
          <rPr>
            <sz val="8"/>
            <color indexed="8"/>
            <rFont val="Tahoma"/>
            <family val="2"/>
          </rPr>
          <t xml:space="preserve">
Verizon will fully fund then transfer ~$7.5B in pension assets and liabilities to Prudential in 4Q12.  Premium was not disclosed, but Verizon has said it will contribute roughly $3.4B to the plan to fully fund the transferred liablilities and keep funded status near 2011 levels.</t>
        </r>
      </text>
    </comment>
    <comment ref="A37" authorId="0">
      <text>
        <r>
          <rPr>
            <b/>
            <sz val="8"/>
            <color indexed="8"/>
            <rFont val="Tahoma"/>
            <family val="2"/>
          </rPr>
          <t xml:space="preserve">
Funded status </t>
        </r>
        <r>
          <rPr>
            <sz val="8"/>
            <color indexed="8"/>
            <rFont val="Tahoma"/>
            <family val="2"/>
          </rPr>
          <t>of the plan is the difference between the PBO and the FV of plan assets. It is recorded on the balance sheet and may be split between the current and non-current portions.
It fully measures the debt-like liability of the plan to date and incurs interest like any financial liability.</t>
        </r>
      </text>
    </comment>
    <comment ref="A40" authorId="0">
      <text>
        <r>
          <rPr>
            <b/>
            <sz val="8"/>
            <color indexed="8"/>
            <rFont val="Tahoma"/>
            <family val="2"/>
          </rPr>
          <t xml:space="preserve">
DTAs: </t>
        </r>
        <r>
          <rPr>
            <sz val="8"/>
            <color indexed="8"/>
            <rFont val="Tahoma"/>
            <family val="2"/>
          </rPr>
          <t xml:space="preserve">Since PBOs are tax-deductible, there is a deferred tax asset related to the DB plan(s). They are tax-deductible when the company makes contributions. The obligation on the balance sheet is reported gross of tax, and the corresponding tax benefits are part of DTA. When looking at metrics that include PBO (such as net debt) analysts should subtract the corresponding DTA to capture the true liability.
</t>
        </r>
        <r>
          <rPr>
            <b/>
            <sz val="8"/>
            <color indexed="8"/>
            <rFont val="Tahoma"/>
            <family val="2"/>
          </rPr>
          <t>How to forecast this line item if Pension is material for my company?</t>
        </r>
        <r>
          <rPr>
            <sz val="8"/>
            <color indexed="8"/>
            <rFont val="Tahoma"/>
            <family val="2"/>
          </rPr>
          <t xml:space="preserve">
DTA's should be = tax rate x forecasted funded status.
</t>
        </r>
        <r>
          <rPr>
            <b/>
            <sz val="8"/>
            <color indexed="8"/>
            <rFont val="Tahoma"/>
            <family val="2"/>
          </rPr>
          <t xml:space="preserve">How does the template forecast it?
</t>
        </r>
        <r>
          <rPr>
            <sz val="8"/>
            <color indexed="8"/>
            <rFont val="Tahoma"/>
            <family val="2"/>
          </rPr>
          <t>It is calculated as tax rate times forecasted funded status.</t>
        </r>
      </text>
    </comment>
    <comment ref="A43" authorId="0">
      <text>
        <r>
          <rPr>
            <b/>
            <sz val="8"/>
            <color indexed="8"/>
            <rFont val="Tahoma"/>
            <family val="2"/>
          </rPr>
          <t xml:space="preserve">
Contributions</t>
        </r>
        <r>
          <rPr>
            <sz val="8"/>
            <color indexed="8"/>
            <rFont val="Tahoma"/>
            <family val="2"/>
          </rPr>
          <t xml:space="preserve"> are the companies’ payments to the pension trust. These are thus the cash flows on a companies cash flow
statement.</t>
        </r>
      </text>
    </comment>
    <comment ref="A48" authorId="0">
      <text>
        <r>
          <rPr>
            <b/>
            <sz val="8"/>
            <color indexed="8"/>
            <rFont val="Tahoma"/>
            <family val="2"/>
          </rPr>
          <t xml:space="preserve">
Why?
</t>
        </r>
        <r>
          <rPr>
            <sz val="8"/>
            <color indexed="8"/>
            <rFont val="Tahoma"/>
            <family val="2"/>
          </rPr>
          <t>Contributions are companies’ payments to the pension trust. They thus represent a reduction in operating cash flow of the company in the year in which they are made.</t>
        </r>
      </text>
    </comment>
    <comment ref="A49" authorId="0">
      <text>
        <r>
          <rPr>
            <b/>
            <sz val="8"/>
            <color indexed="8"/>
            <rFont val="Tahoma"/>
            <family val="2"/>
          </rPr>
          <t xml:space="preserve">
Why?
</t>
        </r>
        <r>
          <rPr>
            <sz val="8"/>
            <color indexed="8"/>
            <rFont val="Tahoma"/>
            <family val="2"/>
          </rPr>
          <t>DB obligations on the balance sheet are tax-deductible when the company makes contributions. The obligation on the balance sheet is reported gross of tax, and the corresponding tax benefits are part of deferred tax assets (DTA).</t>
        </r>
      </text>
    </comment>
    <comment ref="A53" authorId="0">
      <text>
        <r>
          <rPr>
            <b/>
            <sz val="8"/>
            <color indexed="8"/>
            <rFont val="Tahoma"/>
            <family val="2"/>
          </rPr>
          <t xml:space="preserve">
Why?
</t>
        </r>
        <r>
          <rPr>
            <sz val="8"/>
            <color indexed="8"/>
            <rFont val="Tahoma"/>
            <family val="2"/>
          </rPr>
          <t>Improvement/deterioration in funded status during the year will decrease /increase the net pension liability for the year and thus needs to be captured in this line item.</t>
        </r>
        <r>
          <rPr>
            <b/>
            <sz val="8"/>
            <color indexed="8"/>
            <rFont val="Tahoma"/>
            <family val="2"/>
          </rPr>
          <t xml:space="preserve">
</t>
        </r>
      </text>
    </comment>
    <comment ref="A54" authorId="0">
      <text>
        <r>
          <rPr>
            <b/>
            <sz val="8"/>
            <color indexed="8"/>
            <rFont val="Tahoma"/>
            <family val="2"/>
          </rPr>
          <t xml:space="preserve">
Why?</t>
        </r>
        <r>
          <rPr>
            <sz val="8"/>
            <color indexed="8"/>
            <rFont val="Tahoma"/>
            <family val="2"/>
          </rPr>
          <t xml:space="preserve">
Pension expense/ (income) is a non-cash number and thus needs to be added back on the cash flow statement. Contributions are the only cash flows on a companies cash flow statement.</t>
        </r>
      </text>
    </comment>
    <comment ref="A55" authorId="0">
      <text>
        <r>
          <rPr>
            <b/>
            <sz val="8"/>
            <color indexed="8"/>
            <rFont val="Tahoma"/>
            <family val="2"/>
          </rPr>
          <t xml:space="preserve">
Why?
</t>
        </r>
        <r>
          <rPr>
            <sz val="8"/>
            <color indexed="8"/>
            <rFont val="Tahoma"/>
            <family val="2"/>
          </rPr>
          <t xml:space="preserve">While the funded status on the balance sheet is based on actual results (i.e. actual return on assets, year-end discount rate, etc), the accounting for the pension/OPEB plan on the income statement is heavily influenced by management estimates and various smoothing features (i.e. EROA, amortization of prior service costs and actuarial G/L, etc.)
To keep the balance sheet in balance, the disconnect between estimated and actual results (known as unrecognized actuarial gains/losses) is captured in </t>
        </r>
        <r>
          <rPr>
            <b/>
            <sz val="8"/>
            <color indexed="8"/>
            <rFont val="Tahoma"/>
            <family val="2"/>
          </rPr>
          <t>Accumulated other comprehensive income (AOCI).</t>
        </r>
      </text>
    </comment>
  </commentList>
</comments>
</file>

<file path=xl/comments15.xml><?xml version="1.0" encoding="utf-8"?>
<comments xmlns="http://schemas.openxmlformats.org/spreadsheetml/2006/main">
  <authors>
    <author>Sinkevicius, Armintas (Research)</author>
  </authors>
  <commentList>
    <comment ref="Q26" authorId="0">
      <text>
        <r>
          <rPr>
            <sz val="9"/>
            <color indexed="81"/>
            <rFont val="Tahoma"/>
            <family val="2"/>
          </rPr>
          <t>2015 10-K</t>
        </r>
      </text>
    </comment>
    <comment ref="R26" authorId="0">
      <text>
        <r>
          <rPr>
            <sz val="9"/>
            <color indexed="81"/>
            <rFont val="Tahoma"/>
            <family val="2"/>
          </rPr>
          <t>2015 10-K</t>
        </r>
      </text>
    </comment>
    <comment ref="S26" authorId="0">
      <text>
        <r>
          <rPr>
            <sz val="9"/>
            <color indexed="81"/>
            <rFont val="Tahoma"/>
            <family val="2"/>
          </rPr>
          <t>2015 10-K</t>
        </r>
      </text>
    </comment>
  </commentList>
</comments>
</file>

<file path=xl/comments16.xml><?xml version="1.0" encoding="utf-8"?>
<comments xmlns="http://schemas.openxmlformats.org/spreadsheetml/2006/main">
  <authors>
    <author>Armintas Sinkevicius</author>
    <author>Sinkevicius, Armintas (Research)</author>
  </authors>
  <commentList>
    <comment ref="C34" authorId="0">
      <text>
        <r>
          <rPr>
            <b/>
            <sz val="8"/>
            <color indexed="81"/>
            <rFont val="Tahoma"/>
            <family val="2"/>
          </rPr>
          <t>Armintas Sinkevicius:</t>
        </r>
        <r>
          <rPr>
            <sz val="8"/>
            <color indexed="81"/>
            <rFont val="Tahoma"/>
            <family val="2"/>
          </rPr>
          <t xml:space="preserve">
4Q10 at 100%
H.R. 4853</t>
        </r>
      </text>
    </comment>
    <comment ref="V101" authorId="0">
      <text>
        <r>
          <rPr>
            <b/>
            <sz val="8"/>
            <color indexed="81"/>
            <rFont val="Tahoma"/>
            <family val="2"/>
          </rPr>
          <t>Armintas Sinkevicius:</t>
        </r>
        <r>
          <rPr>
            <sz val="8"/>
            <color indexed="81"/>
            <rFont val="Tahoma"/>
            <family val="2"/>
          </rPr>
          <t xml:space="preserve">
1 if 50% bonus depreciation is extended for 2015</t>
        </r>
      </text>
    </comment>
    <comment ref="C115" authorId="0">
      <text>
        <r>
          <rPr>
            <b/>
            <sz val="8"/>
            <color indexed="81"/>
            <rFont val="Tahoma"/>
            <family val="2"/>
          </rPr>
          <t>Armintas Sinkevicius:</t>
        </r>
        <r>
          <rPr>
            <sz val="8"/>
            <color indexed="81"/>
            <rFont val="Tahoma"/>
            <family val="2"/>
          </rPr>
          <t xml:space="preserve">
2008 dividend x 2014E shares</t>
        </r>
      </text>
    </comment>
    <comment ref="D115" authorId="0">
      <text>
        <r>
          <rPr>
            <b/>
            <sz val="8"/>
            <color indexed="81"/>
            <rFont val="Tahoma"/>
            <family val="2"/>
          </rPr>
          <t>Armintas Sinkevicius:</t>
        </r>
        <r>
          <rPr>
            <sz val="8"/>
            <color indexed="81"/>
            <rFont val="Tahoma"/>
            <family val="2"/>
          </rPr>
          <t xml:space="preserve">
2009 dividend x 2014E shares</t>
        </r>
      </text>
    </comment>
    <comment ref="E115" authorId="0">
      <text>
        <r>
          <rPr>
            <b/>
            <sz val="8"/>
            <color indexed="81"/>
            <rFont val="Tahoma"/>
            <family val="2"/>
          </rPr>
          <t>Armintas Sinkevicius:</t>
        </r>
        <r>
          <rPr>
            <sz val="8"/>
            <color indexed="81"/>
            <rFont val="Tahoma"/>
            <family val="2"/>
          </rPr>
          <t xml:space="preserve">
2010 dividend x 2014E shares</t>
        </r>
      </text>
    </comment>
    <comment ref="F115" authorId="0">
      <text>
        <r>
          <rPr>
            <b/>
            <sz val="8"/>
            <color indexed="81"/>
            <rFont val="Tahoma"/>
            <family val="2"/>
          </rPr>
          <t>Armintas Sinkevicius:</t>
        </r>
        <r>
          <rPr>
            <sz val="8"/>
            <color indexed="81"/>
            <rFont val="Tahoma"/>
            <family val="2"/>
          </rPr>
          <t xml:space="preserve">
2011 dividend x 2014E shares</t>
        </r>
      </text>
    </comment>
    <comment ref="G115" authorId="0">
      <text>
        <r>
          <rPr>
            <b/>
            <sz val="8"/>
            <color indexed="81"/>
            <rFont val="Tahoma"/>
            <family val="2"/>
          </rPr>
          <t>Armintas Sinkevicius:</t>
        </r>
        <r>
          <rPr>
            <sz val="8"/>
            <color indexed="81"/>
            <rFont val="Tahoma"/>
            <family val="2"/>
          </rPr>
          <t xml:space="preserve">
2012 dividend x 2014E shares</t>
        </r>
      </text>
    </comment>
    <comment ref="H115" authorId="0">
      <text>
        <r>
          <rPr>
            <b/>
            <sz val="8"/>
            <color indexed="81"/>
            <rFont val="Tahoma"/>
            <family val="2"/>
          </rPr>
          <t>Armintas Sinkevicius:</t>
        </r>
        <r>
          <rPr>
            <sz val="8"/>
            <color indexed="81"/>
            <rFont val="Tahoma"/>
            <family val="2"/>
          </rPr>
          <t xml:space="preserve">
2013 dividend x 2014E shares</t>
        </r>
      </text>
    </comment>
    <comment ref="I129" authorId="1">
      <text>
        <r>
          <rPr>
            <b/>
            <sz val="9"/>
            <color indexed="81"/>
            <rFont val="Tahoma"/>
            <family val="2"/>
          </rPr>
          <t>Sinkevicius, Armintas (Research):</t>
        </r>
        <r>
          <rPr>
            <sz val="9"/>
            <color indexed="81"/>
            <rFont val="Tahoma"/>
            <family val="2"/>
          </rPr>
          <t xml:space="preserve">
$25M savings @ CenturyLink in 2014E, at $3b capex v. $17b at VZ</t>
        </r>
      </text>
    </comment>
  </commentList>
</comments>
</file>

<file path=xl/comments17.xml><?xml version="1.0" encoding="utf-8"?>
<comments xmlns="http://schemas.openxmlformats.org/spreadsheetml/2006/main">
  <authors>
    <author>haydenn</author>
    <author>smythra</author>
    <author>Sinkevicius, Armintas (Research)</author>
    <author>Smythra</author>
    <author>dgaviria</author>
    <author>warjohn</author>
    <author>Daniel Gaviria</author>
    <author>Lam, Lisa (Research)</author>
    <author>enright</author>
    <author>Armintas Sinkevicius</author>
    <author>agarwalp</author>
    <author>wlsuch</author>
    <author>atalwar</author>
    <author>Raina Smyth</author>
    <author>katzedwa</author>
    <author>armintas</author>
  </authors>
  <commentList>
    <comment ref="G2" authorId="0">
      <text>
        <r>
          <rPr>
            <b/>
            <sz val="8"/>
            <color indexed="8"/>
            <rFont val="Tahoma"/>
            <family val="2"/>
          </rPr>
          <t>haydenn:</t>
        </r>
        <r>
          <rPr>
            <sz val="8"/>
            <color indexed="8"/>
            <rFont val="Tahoma"/>
            <family val="2"/>
          </rPr>
          <t xml:space="preserve">
normalized for wireless in 1Q</t>
        </r>
      </text>
    </comment>
    <comment ref="H2" authorId="0">
      <text>
        <r>
          <rPr>
            <b/>
            <sz val="8"/>
            <color indexed="8"/>
            <rFont val="Tahoma"/>
            <family val="2"/>
          </rPr>
          <t>haydenn:</t>
        </r>
        <r>
          <rPr>
            <sz val="8"/>
            <color indexed="8"/>
            <rFont val="Tahoma"/>
            <family val="2"/>
          </rPr>
          <t xml:space="preserve">
normalized for wireless in 1Q
</t>
        </r>
      </text>
    </comment>
    <comment ref="AN2" authorId="0">
      <text>
        <r>
          <rPr>
            <b/>
            <sz val="8"/>
            <color indexed="8"/>
            <rFont val="Tahoma"/>
            <family val="2"/>
          </rPr>
          <t>haydenn:</t>
        </r>
        <r>
          <rPr>
            <sz val="8"/>
            <color indexed="8"/>
            <rFont val="Tahoma"/>
            <family val="2"/>
          </rPr>
          <t xml:space="preserve">
normalized for wireless</t>
        </r>
      </text>
    </comment>
    <comment ref="AR2" authorId="0">
      <text>
        <r>
          <rPr>
            <b/>
            <sz val="8"/>
            <color indexed="8"/>
            <rFont val="Tahoma"/>
            <family val="2"/>
          </rPr>
          <t xml:space="preserve">enright:
</t>
        </r>
        <r>
          <rPr>
            <sz val="8"/>
            <color indexed="8"/>
            <rFont val="Tahoma"/>
            <family val="2"/>
          </rPr>
          <t>Due to the recently completed sales of access lines in Alabama,
Kentucky, and Missouri, we have restated our historical Income
Statements at the consolidated and Domestic Telecom segment level for
purposes of comparability.  All relevant financial information has been
adjusted by quarter and year back to the 1st quarter of 2000.</t>
        </r>
        <r>
          <rPr>
            <b/>
            <sz val="8"/>
            <color indexed="8"/>
            <rFont val="Tahoma"/>
            <family val="2"/>
          </rPr>
          <t xml:space="preserve">
haydenn:</t>
        </r>
        <r>
          <rPr>
            <sz val="8"/>
            <color indexed="8"/>
            <rFont val="Tahoma"/>
            <family val="2"/>
          </rPr>
          <t xml:space="preserve">
normalized for wireless (reported inputs do not reflect Verizon Wireless AirTouch portion until April 2000)</t>
        </r>
      </text>
    </comment>
    <comment ref="AS5" authorId="0">
      <text>
        <r>
          <rPr>
            <b/>
            <sz val="8"/>
            <color indexed="8"/>
            <rFont val="Tahoma"/>
            <family val="2"/>
          </rPr>
          <t>haydenn:</t>
        </r>
        <r>
          <rPr>
            <sz val="8"/>
            <color indexed="8"/>
            <rFont val="Tahoma"/>
            <family val="2"/>
          </rPr>
          <t xml:space="preserve">
results are not restated to  exclude impact of line sales and deconsolidation of TELUS</t>
        </r>
      </text>
    </comment>
    <comment ref="AS7" authorId="0">
      <text>
        <r>
          <rPr>
            <b/>
            <sz val="8"/>
            <color indexed="8"/>
            <rFont val="Tahoma"/>
            <family val="2"/>
          </rPr>
          <t>haydenn:</t>
        </r>
        <r>
          <rPr>
            <sz val="8"/>
            <color indexed="8"/>
            <rFont val="Tahoma"/>
            <family val="2"/>
          </rPr>
          <t xml:space="preserve">
restated from 3952 for GTE overlapping properties</t>
        </r>
      </text>
    </comment>
    <comment ref="BL11" authorId="1">
      <text>
        <r>
          <rPr>
            <b/>
            <sz val="8"/>
            <color indexed="8"/>
            <rFont val="Tahoma"/>
            <family val="2"/>
          </rPr>
          <t>smythra:</t>
        </r>
        <r>
          <rPr>
            <sz val="8"/>
            <color indexed="8"/>
            <rFont val="Tahoma"/>
            <family val="2"/>
          </rPr>
          <t xml:space="preserve">
July 06 VZ restated historicals back thru 1Q05 for discontinued international ops</t>
        </r>
      </text>
    </comment>
    <comment ref="BM11" authorId="1">
      <text>
        <r>
          <rPr>
            <b/>
            <sz val="8"/>
            <color indexed="8"/>
            <rFont val="Tahoma"/>
            <family val="2"/>
          </rPr>
          <t>smythra:</t>
        </r>
        <r>
          <rPr>
            <sz val="8"/>
            <color indexed="8"/>
            <rFont val="Tahoma"/>
            <family val="2"/>
          </rPr>
          <t xml:space="preserve">
July 06 VZ restated historicals back thru 1Q05 for discontinued international ops</t>
        </r>
      </text>
    </comment>
    <comment ref="BN11" authorId="1">
      <text>
        <r>
          <rPr>
            <b/>
            <sz val="8"/>
            <color indexed="8"/>
            <rFont val="Tahoma"/>
            <family val="2"/>
          </rPr>
          <t>smythra:</t>
        </r>
        <r>
          <rPr>
            <sz val="8"/>
            <color indexed="8"/>
            <rFont val="Tahoma"/>
            <family val="2"/>
          </rPr>
          <t xml:space="preserve">
July 06 VZ restated historicals back thru 1Q05 for discontinued international ops</t>
        </r>
      </text>
    </comment>
    <comment ref="BO11" authorId="1">
      <text>
        <r>
          <rPr>
            <b/>
            <sz val="8"/>
            <color indexed="8"/>
            <rFont val="Tahoma"/>
            <family val="2"/>
          </rPr>
          <t>smythra:</t>
        </r>
        <r>
          <rPr>
            <sz val="8"/>
            <color indexed="8"/>
            <rFont val="Tahoma"/>
            <family val="2"/>
          </rPr>
          <t xml:space="preserve">
July 06 VZ restated historicals back thru 1Q05 for discontinued international ops</t>
        </r>
      </text>
    </comment>
    <comment ref="CQ21" authorId="2">
      <text>
        <r>
          <rPr>
            <b/>
            <sz val="9"/>
            <color indexed="81"/>
            <rFont val="Tahoma"/>
            <family val="2"/>
          </rPr>
          <t>Sinkevicius, Armintas (Research):</t>
        </r>
        <r>
          <rPr>
            <sz val="9"/>
            <color indexed="81"/>
            <rFont val="Tahoma"/>
            <family val="2"/>
          </rPr>
          <t xml:space="preserve">
3Q14 - sale of non strategic wireline business</t>
        </r>
      </text>
    </comment>
    <comment ref="CR21" authorId="2">
      <text>
        <r>
          <rPr>
            <b/>
            <sz val="9"/>
            <color indexed="81"/>
            <rFont val="Tahoma"/>
            <family val="2"/>
          </rPr>
          <t>Sinkevicius, Armintas (Research):</t>
        </r>
        <r>
          <rPr>
            <sz val="9"/>
            <color indexed="81"/>
            <rFont val="Tahoma"/>
            <family val="2"/>
          </rPr>
          <t xml:space="preserve">
3Q14 - sale of non strategic wireline business</t>
        </r>
      </text>
    </comment>
    <comment ref="CS21" authorId="2">
      <text>
        <r>
          <rPr>
            <b/>
            <sz val="9"/>
            <color indexed="81"/>
            <rFont val="Tahoma"/>
            <family val="2"/>
          </rPr>
          <t>Sinkevicius, Armintas (Research):</t>
        </r>
        <r>
          <rPr>
            <sz val="9"/>
            <color indexed="81"/>
            <rFont val="Tahoma"/>
            <family val="2"/>
          </rPr>
          <t xml:space="preserve">
3Q14 - sale of non strategic wireline business</t>
        </r>
      </text>
    </comment>
    <comment ref="CT21" authorId="2">
      <text>
        <r>
          <rPr>
            <b/>
            <sz val="9"/>
            <color indexed="81"/>
            <rFont val="Tahoma"/>
            <family val="2"/>
          </rPr>
          <t>Sinkevicius, Armintas (Research):</t>
        </r>
        <r>
          <rPr>
            <sz val="9"/>
            <color indexed="81"/>
            <rFont val="Tahoma"/>
            <family val="2"/>
          </rPr>
          <t xml:space="preserve">
3Q14 - sale of non strategic wireline business</t>
        </r>
      </text>
    </comment>
    <comment ref="CU21" authorId="2">
      <text>
        <r>
          <rPr>
            <b/>
            <sz val="9"/>
            <color indexed="81"/>
            <rFont val="Tahoma"/>
            <family val="2"/>
          </rPr>
          <t>Sinkevicius, Armintas (Research):</t>
        </r>
        <r>
          <rPr>
            <sz val="9"/>
            <color indexed="81"/>
            <rFont val="Tahoma"/>
            <family val="2"/>
          </rPr>
          <t xml:space="preserve">
3Q14 - sale of non strategic wireline business</t>
        </r>
      </text>
    </comment>
    <comment ref="CV21" authorId="2">
      <text>
        <r>
          <rPr>
            <b/>
            <sz val="9"/>
            <color indexed="81"/>
            <rFont val="Tahoma"/>
            <family val="2"/>
          </rPr>
          <t>Sinkevicius, Armintas (Research):</t>
        </r>
        <r>
          <rPr>
            <sz val="9"/>
            <color indexed="81"/>
            <rFont val="Tahoma"/>
            <family val="2"/>
          </rPr>
          <t xml:space="preserve">
3Q14 - sale of non strategic wireline business</t>
        </r>
      </text>
    </comment>
    <comment ref="CW21" authorId="2">
      <text>
        <r>
          <rPr>
            <b/>
            <sz val="9"/>
            <color indexed="81"/>
            <rFont val="Tahoma"/>
            <family val="2"/>
          </rPr>
          <t>Sinkevicius, Armintas (Research):</t>
        </r>
        <r>
          <rPr>
            <sz val="9"/>
            <color indexed="81"/>
            <rFont val="Tahoma"/>
            <family val="2"/>
          </rPr>
          <t xml:space="preserve">
3Q14 - sale of non strategic wireline business</t>
        </r>
      </text>
    </comment>
    <comment ref="BK27" authorId="3">
      <text>
        <r>
          <rPr>
            <b/>
            <sz val="10"/>
            <color indexed="8"/>
            <rFont val="Tahoma"/>
            <family val="2"/>
          </rPr>
          <t>Smythra:</t>
        </r>
        <r>
          <rPr>
            <sz val="10"/>
            <color indexed="8"/>
            <rFont val="Tahoma"/>
            <family val="2"/>
          </rPr>
          <t xml:space="preserve">
restated 2Q05
prior: excludes $23 m in severance and pension charges  and $100 m impact of sales of businesses</t>
        </r>
      </text>
    </comment>
    <comment ref="AN28" authorId="0">
      <text>
        <r>
          <rPr>
            <b/>
            <sz val="8"/>
            <color indexed="8"/>
            <rFont val="Tahoma"/>
            <family val="2"/>
          </rPr>
          <t>haydenn:</t>
        </r>
        <r>
          <rPr>
            <sz val="8"/>
            <color indexed="8"/>
            <rFont val="Tahoma"/>
            <family val="2"/>
          </rPr>
          <t xml:space="preserve">
adjusted to include VZ Wireless</t>
        </r>
      </text>
    </comment>
    <comment ref="AR28" authorId="0">
      <text>
        <r>
          <rPr>
            <b/>
            <sz val="8"/>
            <color indexed="8"/>
            <rFont val="Tahoma"/>
            <family val="2"/>
          </rPr>
          <t>haydenn:</t>
        </r>
        <r>
          <rPr>
            <sz val="8"/>
            <color indexed="8"/>
            <rFont val="Tahoma"/>
            <family val="2"/>
          </rPr>
          <t xml:space="preserve">
adjusted to include VZ Wireless</t>
        </r>
      </text>
    </comment>
    <comment ref="AS28" authorId="0">
      <text>
        <r>
          <rPr>
            <b/>
            <sz val="8"/>
            <color indexed="8"/>
            <rFont val="Tahoma"/>
            <family val="2"/>
          </rPr>
          <t>haydenn:</t>
        </r>
        <r>
          <rPr>
            <sz val="8"/>
            <color indexed="8"/>
            <rFont val="Tahoma"/>
            <family val="2"/>
          </rPr>
          <t xml:space="preserve">
restated from 9446 for gte overlap wireless props</t>
        </r>
      </text>
    </comment>
    <comment ref="AU28" authorId="0">
      <text>
        <r>
          <rPr>
            <b/>
            <sz val="8"/>
            <color indexed="8"/>
            <rFont val="Tahoma"/>
            <family val="2"/>
          </rPr>
          <t>haydenn:</t>
        </r>
        <r>
          <rPr>
            <sz val="8"/>
            <color indexed="8"/>
            <rFont val="Tahoma"/>
            <family val="2"/>
          </rPr>
          <t xml:space="preserve">
restated in 4q01</t>
        </r>
      </text>
    </comment>
    <comment ref="AN29" authorId="0">
      <text>
        <r>
          <rPr>
            <b/>
            <sz val="8"/>
            <color indexed="8"/>
            <rFont val="Tahoma"/>
            <family val="2"/>
          </rPr>
          <t>haydenn:</t>
        </r>
        <r>
          <rPr>
            <sz val="8"/>
            <color indexed="8"/>
            <rFont val="Tahoma"/>
            <family val="2"/>
          </rPr>
          <t xml:space="preserve">
adjusted to include VZ wireless</t>
        </r>
      </text>
    </comment>
    <comment ref="AR29" authorId="0">
      <text>
        <r>
          <rPr>
            <b/>
            <sz val="8"/>
            <color indexed="8"/>
            <rFont val="Tahoma"/>
            <family val="2"/>
          </rPr>
          <t>haydenn:</t>
        </r>
        <r>
          <rPr>
            <sz val="8"/>
            <color indexed="8"/>
            <rFont val="Tahoma"/>
            <family val="2"/>
          </rPr>
          <t xml:space="preserve">
adjusted to include VZ wireless</t>
        </r>
      </text>
    </comment>
    <comment ref="AS29" authorId="0">
      <text>
        <r>
          <rPr>
            <b/>
            <sz val="8"/>
            <color indexed="8"/>
            <rFont val="Tahoma"/>
            <family val="2"/>
          </rPr>
          <t>haydenn:</t>
        </r>
        <r>
          <rPr>
            <sz val="8"/>
            <color indexed="8"/>
            <rFont val="Tahoma"/>
            <family val="2"/>
          </rPr>
          <t xml:space="preserve">
restated from 3148 for gte wireless properties</t>
        </r>
      </text>
    </comment>
    <comment ref="AU29" authorId="0">
      <text>
        <r>
          <rPr>
            <b/>
            <sz val="8"/>
            <color indexed="8"/>
            <rFont val="Tahoma"/>
            <family val="2"/>
          </rPr>
          <t>haydenn:</t>
        </r>
        <r>
          <rPr>
            <sz val="8"/>
            <color indexed="8"/>
            <rFont val="Tahoma"/>
            <family val="2"/>
          </rPr>
          <t xml:space="preserve">
restated in 4q01</t>
        </r>
      </text>
    </comment>
    <comment ref="CH34" authorId="4">
      <text>
        <r>
          <rPr>
            <b/>
            <sz val="10"/>
            <color indexed="8"/>
            <rFont val="Tahoma"/>
            <family val="2"/>
          </rPr>
          <t>dgaviria:</t>
        </r>
        <r>
          <rPr>
            <sz val="10"/>
            <color indexed="8"/>
            <rFont val="Tahoma"/>
            <family val="2"/>
          </rPr>
          <t xml:space="preserve">
Excludes
1) one-timers per 8K from Jan 21 2011 [in said filing see EPS reconciliations and adjust to before tax impact]
</t>
        </r>
      </text>
    </comment>
    <comment ref="CQ34" authorId="5">
      <text>
        <r>
          <rPr>
            <b/>
            <sz val="8"/>
            <color indexed="8"/>
            <rFont val="Tahoma"/>
            <family val="2"/>
          </rPr>
          <t>warjohn:</t>
        </r>
        <r>
          <rPr>
            <sz val="8"/>
            <color indexed="8"/>
            <rFont val="Tahoma"/>
            <family val="2"/>
          </rPr>
          <t xml:space="preserve">
Excludes 40M in debt restructuring costs</t>
        </r>
      </text>
    </comment>
    <comment ref="CY34" authorId="2">
      <text>
        <r>
          <rPr>
            <b/>
            <sz val="9"/>
            <color indexed="81"/>
            <rFont val="Tahoma"/>
            <family val="2"/>
          </rPr>
          <t>Sinkevicius, Armintas (Research):</t>
        </r>
        <r>
          <rPr>
            <sz val="9"/>
            <color indexed="81"/>
            <rFont val="Tahoma"/>
            <family val="2"/>
          </rPr>
          <t xml:space="preserve">
less $27m early debt</t>
        </r>
      </text>
    </comment>
    <comment ref="DB34" authorId="2">
      <text>
        <r>
          <rPr>
            <b/>
            <sz val="9"/>
            <color indexed="81"/>
            <rFont val="Tahoma"/>
            <family val="2"/>
          </rPr>
          <t>Sinkevicius, Armintas (Research):</t>
        </r>
        <r>
          <rPr>
            <sz val="9"/>
            <color indexed="81"/>
            <rFont val="Tahoma"/>
            <family val="2"/>
          </rPr>
          <t xml:space="preserve">
$342M Severance, Pension &amp; Benefit Charge</t>
        </r>
      </text>
    </comment>
    <comment ref="CL35" authorId="6">
      <text>
        <r>
          <rPr>
            <b/>
            <sz val="8"/>
            <color indexed="8"/>
            <rFont val="Tahoma"/>
            <family val="2"/>
          </rPr>
          <t>Daniel Gaviria:</t>
        </r>
        <r>
          <rPr>
            <sz val="8"/>
            <color indexed="8"/>
            <rFont val="Tahoma"/>
            <family val="2"/>
          </rPr>
          <t xml:space="preserve">
EXCLUDES ONE TIME PENSION ADJUSTMENT</t>
        </r>
      </text>
    </comment>
    <comment ref="CM35" authorId="6">
      <text>
        <r>
          <rPr>
            <b/>
            <sz val="8"/>
            <color indexed="8"/>
            <rFont val="Tahoma"/>
            <family val="2"/>
          </rPr>
          <t>Daniel Gaviria:</t>
        </r>
        <r>
          <rPr>
            <sz val="8"/>
            <color indexed="8"/>
            <rFont val="Tahoma"/>
            <family val="2"/>
          </rPr>
          <t xml:space="preserve">
EXCLUDES ONE TIME PENSION ADJUSTMENT &amp; EXTINGUISHMENT OF DEBT</t>
        </r>
      </text>
    </comment>
    <comment ref="CP35" authorId="6">
      <text>
        <r>
          <rPr>
            <sz val="8"/>
            <color indexed="8"/>
            <rFont val="Tahoma"/>
            <family val="2"/>
          </rPr>
          <t>JMW:
EXCLUDES ONE TIME Litigation Expense</t>
        </r>
      </text>
    </comment>
    <comment ref="CQ35" authorId="6">
      <text>
        <r>
          <rPr>
            <sz val="8"/>
            <color indexed="8"/>
            <rFont val="Tahoma"/>
            <family val="2"/>
          </rPr>
          <t>JMW:
Excludes 7,186M in 
pension MTM adjustment and 236M in debt restructuring costs.</t>
        </r>
      </text>
    </comment>
    <comment ref="CU35" authorId="5">
      <text>
        <r>
          <rPr>
            <b/>
            <sz val="8"/>
            <color indexed="8"/>
            <rFont val="Tahoma"/>
            <family val="2"/>
          </rPr>
          <t>warjohn:</t>
        </r>
        <r>
          <rPr>
            <sz val="8"/>
            <color indexed="8"/>
            <rFont val="Tahoma"/>
            <family val="2"/>
          </rPr>
          <t xml:space="preserve">
Added $5.995B pension/opeb actuarial gain</t>
        </r>
      </text>
    </comment>
    <comment ref="CW35" authorId="2">
      <text>
        <r>
          <rPr>
            <b/>
            <sz val="9"/>
            <color indexed="81"/>
            <rFont val="Tahoma"/>
            <family val="2"/>
          </rPr>
          <t>Sinkevicius, Armintas (Research):</t>
        </r>
        <r>
          <rPr>
            <sz val="9"/>
            <color indexed="81"/>
            <rFont val="Tahoma"/>
            <family val="2"/>
          </rPr>
          <t xml:space="preserve">
Adj. for $707m gain on spectrum license transactions</t>
        </r>
      </text>
    </comment>
    <comment ref="CY35" authorId="2">
      <text>
        <r>
          <rPr>
            <b/>
            <sz val="9"/>
            <color indexed="81"/>
            <rFont val="Tahoma"/>
            <family val="2"/>
          </rPr>
          <t>Sinkevicius, Armintas (Research):</t>
        </r>
        <r>
          <rPr>
            <sz val="9"/>
            <color indexed="81"/>
            <rFont val="Tahoma"/>
            <family val="2"/>
          </rPr>
          <t xml:space="preserve">
less $7,507m pension/opeb
less $307m early debt</t>
        </r>
      </text>
    </comment>
    <comment ref="DC35" authorId="7">
      <text>
        <r>
          <rPr>
            <sz val="9"/>
            <color indexed="81"/>
            <rFont val="Tahoma"/>
            <family val="2"/>
          </rPr>
          <t>$254M gain on spectrum license transactions
$2598M Severance, Pension &amp; Benefit benefit</t>
        </r>
      </text>
    </comment>
    <comment ref="DD35" authorId="7">
      <text>
        <r>
          <rPr>
            <sz val="9"/>
            <color indexed="81"/>
            <rFont val="Tahoma"/>
            <family val="2"/>
          </rPr>
          <t>$142M gain on spectrum license transactions
$165M Severance, Pension &amp; Benefit charge</t>
        </r>
      </text>
    </comment>
    <comment ref="DE35" authorId="7">
      <text>
        <r>
          <rPr>
            <sz val="9"/>
            <color indexed="81"/>
            <rFont val="Tahoma"/>
            <family val="2"/>
          </rPr>
          <t>$1007M gain on FTR asset sale
$3550M Severance, Pension &amp; Benefit benefit</t>
        </r>
      </text>
    </comment>
    <comment ref="DF35" authorId="7">
      <text>
        <r>
          <rPr>
            <sz val="9"/>
            <color indexed="81"/>
            <rFont val="Tahoma"/>
            <family val="2"/>
          </rPr>
          <t>$797M Severance, Pension &amp; Benefit benefit</t>
        </r>
      </text>
    </comment>
    <comment ref="DG35" authorId="7">
      <text>
        <r>
          <rPr>
            <sz val="9"/>
            <color indexed="81"/>
            <rFont val="Tahoma"/>
            <family val="2"/>
          </rPr>
          <t>$183M Severance
$1772M Pension &amp; Benefit credit</t>
        </r>
      </text>
    </comment>
    <comment ref="DH35" authorId="7">
      <text>
        <r>
          <rPr>
            <sz val="9"/>
            <color indexed="81"/>
            <rFont val="Tahoma"/>
            <family val="2"/>
          </rPr>
          <t xml:space="preserve">$126M Gain on spectrum license transactions
</t>
        </r>
      </text>
    </comment>
    <comment ref="DI35" authorId="7">
      <text>
        <r>
          <rPr>
            <sz val="10"/>
            <color indexed="81"/>
            <rFont val="Tahoma"/>
            <family val="2"/>
          </rPr>
          <t>Severance, pension, and benefit charges
Net gain on sale of divested businesses
acquisition / integration costs</t>
        </r>
      </text>
    </comment>
    <comment ref="DJ35" authorId="7">
      <text>
        <r>
          <rPr>
            <sz val="10"/>
            <color indexed="81"/>
            <rFont val="Tahoma"/>
            <family val="2"/>
          </rPr>
          <t>early debt redemption costs
acquisition / integration costs</t>
        </r>
      </text>
    </comment>
    <comment ref="DK35" authorId="7">
      <text>
        <r>
          <rPr>
            <sz val="10"/>
            <color indexed="81"/>
            <rFont val="Tahoma"/>
            <family val="2"/>
          </rPr>
          <t>-Severance, pension, and benefit charges (credits)
-early debt redemption costs
-product realignment
-acquisition / integration costs
+gain on spectrum license transactions</t>
        </r>
      </text>
    </comment>
    <comment ref="DL35" authorId="7">
      <text>
        <r>
          <rPr>
            <sz val="10"/>
            <color indexed="81"/>
            <rFont val="Tahoma"/>
            <family val="2"/>
          </rPr>
          <t xml:space="preserve">-early debt redemption costs
-acquisition / integration costs
</t>
        </r>
      </text>
    </comment>
    <comment ref="BJ41" authorId="3">
      <text>
        <r>
          <rPr>
            <b/>
            <sz val="8"/>
            <color indexed="8"/>
            <rFont val="Tahoma"/>
            <family val="2"/>
          </rPr>
          <t>Smythra:</t>
        </r>
        <r>
          <rPr>
            <sz val="8"/>
            <color indexed="8"/>
            <rFont val="Tahoma"/>
            <family val="2"/>
          </rPr>
          <t xml:space="preserve">
excludes $33 m in pension/OPEB costs ($20 m is the net of tax number, so tax impact was $13 m)</t>
        </r>
      </text>
    </comment>
    <comment ref="BB43" authorId="8">
      <text>
        <r>
          <rPr>
            <b/>
            <sz val="8"/>
            <color indexed="8"/>
            <rFont val="Tahoma"/>
            <family val="2"/>
          </rPr>
          <t>enright:</t>
        </r>
        <r>
          <rPr>
            <sz val="8"/>
            <color indexed="8"/>
            <rFont val="Tahoma"/>
            <family val="2"/>
          </rPr>
          <t xml:space="preserve">
includes 55 of operaring income impact from operations sold</t>
        </r>
      </text>
    </comment>
    <comment ref="BK43" authorId="3">
      <text>
        <r>
          <rPr>
            <b/>
            <sz val="10"/>
            <color indexed="8"/>
            <rFont val="Tahoma"/>
            <family val="2"/>
          </rPr>
          <t>Smythra:</t>
        </r>
        <r>
          <rPr>
            <sz val="10"/>
            <color indexed="8"/>
            <rFont val="Tahoma"/>
            <family val="2"/>
          </rPr>
          <t xml:space="preserve">
excludes $787 impact from sales of businesses and investments</t>
        </r>
      </text>
    </comment>
    <comment ref="AN44" authorId="0">
      <text>
        <r>
          <rPr>
            <b/>
            <sz val="8"/>
            <color indexed="8"/>
            <rFont val="Tahoma"/>
            <family val="2"/>
          </rPr>
          <t>haydenn:</t>
        </r>
        <r>
          <rPr>
            <sz val="8"/>
            <color indexed="8"/>
            <rFont val="Tahoma"/>
            <family val="2"/>
          </rPr>
          <t xml:space="preserve">
includes impact from operations sold</t>
        </r>
      </text>
    </comment>
    <comment ref="AO44" authorId="0">
      <text>
        <r>
          <rPr>
            <b/>
            <sz val="8"/>
            <color indexed="8"/>
            <rFont val="Tahoma"/>
            <family val="2"/>
          </rPr>
          <t>haydenn:</t>
        </r>
        <r>
          <rPr>
            <sz val="8"/>
            <color indexed="8"/>
            <rFont val="Tahoma"/>
            <family val="2"/>
          </rPr>
          <t xml:space="preserve">
includes impact from operations sold</t>
        </r>
      </text>
    </comment>
    <comment ref="AP44" authorId="0">
      <text>
        <r>
          <rPr>
            <b/>
            <sz val="8"/>
            <color indexed="8"/>
            <rFont val="Tahoma"/>
            <family val="2"/>
          </rPr>
          <t>haydenn:</t>
        </r>
        <r>
          <rPr>
            <sz val="8"/>
            <color indexed="8"/>
            <rFont val="Tahoma"/>
            <family val="2"/>
          </rPr>
          <t xml:space="preserve">
includes impact from operations sold</t>
        </r>
      </text>
    </comment>
    <comment ref="AQ44" authorId="0">
      <text>
        <r>
          <rPr>
            <b/>
            <sz val="8"/>
            <color indexed="8"/>
            <rFont val="Tahoma"/>
            <family val="2"/>
          </rPr>
          <t>haydenn:</t>
        </r>
        <r>
          <rPr>
            <sz val="8"/>
            <color indexed="8"/>
            <rFont val="Tahoma"/>
            <family val="2"/>
          </rPr>
          <t xml:space="preserve">
includes impact from operations sold</t>
        </r>
      </text>
    </comment>
    <comment ref="AR44" authorId="0">
      <text>
        <r>
          <rPr>
            <b/>
            <sz val="8"/>
            <color indexed="8"/>
            <rFont val="Tahoma"/>
            <family val="2"/>
          </rPr>
          <t>haydenn:</t>
        </r>
        <r>
          <rPr>
            <sz val="8"/>
            <color indexed="8"/>
            <rFont val="Tahoma"/>
            <family val="2"/>
          </rPr>
          <t xml:space="preserve">
includes impact from operations sold</t>
        </r>
      </text>
    </comment>
    <comment ref="AS44" authorId="0">
      <text>
        <r>
          <rPr>
            <b/>
            <sz val="8"/>
            <color indexed="8"/>
            <rFont val="Tahoma"/>
            <family val="2"/>
          </rPr>
          <t>haydenn:</t>
        </r>
        <r>
          <rPr>
            <sz val="8"/>
            <color indexed="8"/>
            <rFont val="Tahoma"/>
            <family val="2"/>
          </rPr>
          <t xml:space="preserve">
includes impact from operations sold</t>
        </r>
      </text>
    </comment>
    <comment ref="AT44" authorId="0">
      <text>
        <r>
          <rPr>
            <b/>
            <sz val="8"/>
            <color indexed="8"/>
            <rFont val="Tahoma"/>
            <family val="2"/>
          </rPr>
          <t>haydenn:</t>
        </r>
        <r>
          <rPr>
            <sz val="8"/>
            <color indexed="8"/>
            <rFont val="Tahoma"/>
            <family val="2"/>
          </rPr>
          <t xml:space="preserve">
includes impact from operations sold</t>
        </r>
      </text>
    </comment>
    <comment ref="AU44" authorId="0">
      <text>
        <r>
          <rPr>
            <b/>
            <sz val="8"/>
            <color indexed="8"/>
            <rFont val="Tahoma"/>
            <family val="2"/>
          </rPr>
          <t>haydenn:</t>
        </r>
        <r>
          <rPr>
            <sz val="8"/>
            <color indexed="8"/>
            <rFont val="Tahoma"/>
            <family val="2"/>
          </rPr>
          <t xml:space="preserve">
includes impact from operations sold</t>
        </r>
      </text>
    </comment>
    <comment ref="CQ44" authorId="5">
      <text>
        <r>
          <rPr>
            <b/>
            <sz val="8"/>
            <color indexed="8"/>
            <rFont val="Tahoma"/>
            <family val="2"/>
          </rPr>
          <t>warjohn:</t>
        </r>
        <r>
          <rPr>
            <sz val="8"/>
            <color indexed="8"/>
            <rFont val="Tahoma"/>
            <family val="2"/>
          </rPr>
          <t xml:space="preserve">
Excludes 1.097 in debt restructuring costs</t>
        </r>
      </text>
    </comment>
    <comment ref="CV44" authorId="9">
      <text>
        <r>
          <rPr>
            <b/>
            <sz val="8"/>
            <color indexed="81"/>
            <rFont val="Tahoma"/>
            <family val="2"/>
          </rPr>
          <t>Armintas Sinkevicius:</t>
        </r>
        <r>
          <rPr>
            <sz val="8"/>
            <color indexed="81"/>
            <rFont val="Tahoma"/>
            <family val="2"/>
          </rPr>
          <t xml:space="preserve">
Adjustments for Illustrative Net Income</t>
        </r>
      </text>
    </comment>
    <comment ref="CY44" authorId="2">
      <text>
        <r>
          <rPr>
            <b/>
            <sz val="9"/>
            <color indexed="81"/>
            <rFont val="Tahoma"/>
            <family val="2"/>
          </rPr>
          <t>Sinkevicius, Armintas (Research):</t>
        </r>
        <r>
          <rPr>
            <sz val="9"/>
            <color indexed="81"/>
            <rFont val="Tahoma"/>
            <family val="2"/>
          </rPr>
          <t xml:space="preserve">
less $538m early debt</t>
        </r>
      </text>
    </comment>
    <comment ref="DE44" authorId="7">
      <text>
        <r>
          <rPr>
            <sz val="10"/>
            <color indexed="81"/>
            <rFont val="Tahoma"/>
            <family val="2"/>
          </rPr>
          <t>early debt redemption costs</t>
        </r>
      </text>
    </comment>
    <comment ref="DF44" authorId="7">
      <text>
        <r>
          <rPr>
            <sz val="10"/>
            <color indexed="81"/>
            <rFont val="Tahoma"/>
            <family val="2"/>
          </rPr>
          <t>early debt redemption costs</t>
        </r>
      </text>
    </comment>
    <comment ref="AN45" authorId="0">
      <text>
        <r>
          <rPr>
            <b/>
            <sz val="8"/>
            <color indexed="8"/>
            <rFont val="Tahoma"/>
            <family val="2"/>
          </rPr>
          <t>haydenn:</t>
        </r>
        <r>
          <rPr>
            <sz val="8"/>
            <color indexed="8"/>
            <rFont val="Tahoma"/>
            <family val="2"/>
          </rPr>
          <t xml:space="preserve">
added estimated 30mm for wireless</t>
        </r>
      </text>
    </comment>
    <comment ref="AR45" authorId="0">
      <text>
        <r>
          <rPr>
            <b/>
            <sz val="8"/>
            <color indexed="8"/>
            <rFont val="Tahoma"/>
            <family val="2"/>
          </rPr>
          <t>haydenn:</t>
        </r>
        <r>
          <rPr>
            <sz val="8"/>
            <color indexed="8"/>
            <rFont val="Tahoma"/>
            <family val="2"/>
          </rPr>
          <t xml:space="preserve">
added estimated 50mm for wireless interest</t>
        </r>
      </text>
    </comment>
    <comment ref="AN46" authorId="0">
      <text>
        <r>
          <rPr>
            <b/>
            <sz val="8"/>
            <color indexed="8"/>
            <rFont val="Tahoma"/>
            <family val="2"/>
          </rPr>
          <t>haydenn:</t>
        </r>
        <r>
          <rPr>
            <sz val="8"/>
            <color indexed="8"/>
            <rFont val="Tahoma"/>
            <family val="2"/>
          </rPr>
          <t xml:space="preserve">
estimated for VZ wireless</t>
        </r>
      </text>
    </comment>
    <comment ref="AR46" authorId="0">
      <text>
        <r>
          <rPr>
            <b/>
            <sz val="8"/>
            <color indexed="8"/>
            <rFont val="Tahoma"/>
            <family val="2"/>
          </rPr>
          <t>haydenn:</t>
        </r>
        <r>
          <rPr>
            <sz val="8"/>
            <color indexed="8"/>
            <rFont val="Tahoma"/>
            <family val="2"/>
          </rPr>
          <t xml:space="preserve">
estimated for VZ wireless</t>
        </r>
      </text>
    </comment>
    <comment ref="BD48" authorId="8">
      <text>
        <r>
          <rPr>
            <b/>
            <sz val="8"/>
            <color indexed="8"/>
            <rFont val="Tahoma"/>
            <family val="2"/>
          </rPr>
          <t>enright:</t>
        </r>
        <r>
          <rPr>
            <sz val="8"/>
            <color indexed="8"/>
            <rFont val="Tahoma"/>
            <family val="2"/>
          </rPr>
          <t xml:space="preserve">
reflects tax impact of directories accounting change</t>
        </r>
      </text>
    </comment>
    <comment ref="BK48" authorId="3">
      <text>
        <r>
          <rPr>
            <b/>
            <sz val="10"/>
            <color indexed="8"/>
            <rFont val="Tahoma"/>
            <family val="2"/>
          </rPr>
          <t>Smythra:</t>
        </r>
        <r>
          <rPr>
            <sz val="10"/>
            <color indexed="8"/>
            <rFont val="Tahoma"/>
            <family val="2"/>
          </rPr>
          <t xml:space="preserve">
excludes $187 million positive impact to taxes from the sale of businesses and investments, and $9 negative impact from severance and pension charges</t>
        </r>
      </text>
    </comment>
    <comment ref="CL48" authorId="6">
      <text>
        <r>
          <rPr>
            <b/>
            <sz val="8"/>
            <color indexed="8"/>
            <rFont val="Tahoma"/>
            <family val="2"/>
          </rPr>
          <t>Daniel Gaviria:</t>
        </r>
        <r>
          <rPr>
            <sz val="8"/>
            <color indexed="8"/>
            <rFont val="Tahoma"/>
            <family val="2"/>
          </rPr>
          <t xml:space="preserve">
EXCLUDES ONE TIME PENSION ADJUSTMENT</t>
        </r>
      </text>
    </comment>
    <comment ref="CW48" authorId="2">
      <text>
        <r>
          <rPr>
            <b/>
            <sz val="9"/>
            <color indexed="81"/>
            <rFont val="Tahoma"/>
            <family val="2"/>
          </rPr>
          <t>Sinkevicius, Armintas (Research):</t>
        </r>
        <r>
          <rPr>
            <sz val="9"/>
            <color indexed="81"/>
            <rFont val="Tahoma"/>
            <family val="2"/>
          </rPr>
          <t xml:space="preserve">
Adj. for $707m gain on spectrum license transactions</t>
        </r>
      </text>
    </comment>
    <comment ref="CY48" authorId="2">
      <text>
        <r>
          <rPr>
            <b/>
            <sz val="9"/>
            <color indexed="81"/>
            <rFont val="Tahoma"/>
            <family val="2"/>
          </rPr>
          <t>Sinkevicius, Armintas (Research):</t>
        </r>
        <r>
          <rPr>
            <sz val="9"/>
            <color indexed="81"/>
            <rFont val="Tahoma"/>
            <family val="2"/>
          </rPr>
          <t xml:space="preserve">
tax effect of pension / opeb + early debt</t>
        </r>
      </text>
    </comment>
    <comment ref="DB48" authorId="2">
      <text>
        <r>
          <rPr>
            <b/>
            <sz val="9"/>
            <color indexed="81"/>
            <rFont val="Tahoma"/>
            <family val="2"/>
          </rPr>
          <t>Sinkevicius, Armintas (Research):</t>
        </r>
        <r>
          <rPr>
            <sz val="9"/>
            <color indexed="81"/>
            <rFont val="Tahoma"/>
            <family val="2"/>
          </rPr>
          <t xml:space="preserve">
Tax adj. for $342M Severance, Pension &amp; Benefit Charge</t>
        </r>
      </text>
    </comment>
    <comment ref="DC48" authorId="2">
      <text>
        <r>
          <rPr>
            <sz val="9"/>
            <color indexed="81"/>
            <rFont val="Tahoma"/>
            <family val="2"/>
          </rPr>
          <t>Tax adjustment for
$254M gain on spectrum license transactions
$2598M Severance, Pension &amp; Benefit Benefit</t>
        </r>
      </text>
    </comment>
    <comment ref="DE48" authorId="7">
      <text>
        <r>
          <rPr>
            <sz val="10"/>
            <color indexed="81"/>
            <rFont val="Tahoma"/>
            <family val="2"/>
          </rPr>
          <t xml:space="preserve">per Financial and Operations doc
tax impact of adjustments </t>
        </r>
      </text>
    </comment>
    <comment ref="DF48" authorId="7">
      <text>
        <r>
          <rPr>
            <sz val="10"/>
            <color indexed="81"/>
            <rFont val="Tahoma"/>
            <family val="2"/>
          </rPr>
          <t xml:space="preserve">per Financial and Operations doc
tax impact of adjustments </t>
        </r>
      </text>
    </comment>
    <comment ref="DG48" authorId="7">
      <text>
        <r>
          <rPr>
            <sz val="10"/>
            <color indexed="81"/>
            <rFont val="Tahoma"/>
            <family val="2"/>
          </rPr>
          <t xml:space="preserve">per Financial and Operations doc
tax impact of adjustments </t>
        </r>
      </text>
    </comment>
    <comment ref="DH48" authorId="7">
      <text>
        <r>
          <rPr>
            <sz val="9"/>
            <color indexed="81"/>
            <rFont val="Tahoma"/>
            <family val="2"/>
          </rPr>
          <t>early debt redemption
gain on spectrum license transactions</t>
        </r>
      </text>
    </comment>
    <comment ref="DI48" authorId="7">
      <text>
        <r>
          <rPr>
            <sz val="10"/>
            <color indexed="81"/>
            <rFont val="Tahoma"/>
            <family val="2"/>
          </rPr>
          <t>Severance, pension, and benefit charges
Net gain on sale of divested businesses
acquisition / integration costs</t>
        </r>
      </text>
    </comment>
    <comment ref="DJ48" authorId="7">
      <text>
        <r>
          <rPr>
            <sz val="10"/>
            <color indexed="81"/>
            <rFont val="Tahoma"/>
            <family val="2"/>
          </rPr>
          <t>Severance, pension, and benefit charges
Net gain on sale of divested businesses
acquisition / integration costs</t>
        </r>
      </text>
    </comment>
    <comment ref="DK48" authorId="7">
      <text>
        <r>
          <rPr>
            <sz val="10"/>
            <color indexed="81"/>
            <rFont val="Tahoma"/>
            <family val="2"/>
          </rPr>
          <t>Severance, pension, and benefit charges (credits)
early debt redemption costs
product realignment
acquisition / integration costs
gain on spectrum license transactions
impact of tax reform</t>
        </r>
      </text>
    </comment>
    <comment ref="DL48" authorId="7">
      <text>
        <r>
          <rPr>
            <sz val="10"/>
            <color indexed="81"/>
            <rFont val="Tahoma"/>
            <family val="2"/>
          </rPr>
          <t xml:space="preserve">early debt redemption 
acquisition / integration
</t>
        </r>
      </text>
    </comment>
    <comment ref="BK50" authorId="3">
      <text>
        <r>
          <rPr>
            <b/>
            <sz val="10"/>
            <color indexed="8"/>
            <rFont val="Tahoma"/>
            <family val="2"/>
          </rPr>
          <t>Smythra:</t>
        </r>
        <r>
          <rPr>
            <sz val="10"/>
            <color indexed="8"/>
            <rFont val="Tahoma"/>
            <family val="2"/>
          </rPr>
          <t xml:space="preserve">
excludes $516 (net of tax) from sales of businesses</t>
        </r>
      </text>
    </comment>
    <comment ref="BL52" authorId="3">
      <text>
        <r>
          <rPr>
            <b/>
            <sz val="10"/>
            <color indexed="8"/>
            <rFont val="Tahoma"/>
            <family val="2"/>
          </rPr>
          <t>Smythra:</t>
        </r>
        <r>
          <rPr>
            <sz val="10"/>
            <color indexed="8"/>
            <rFont val="Tahoma"/>
            <family val="2"/>
          </rPr>
          <t xml:space="preserve">
Restated 2Q05, the below no longer applies
1Q05: reported diluted EPS of $0.64 includes "income related to share dilution (exchangeable equity interests and zero coupon convertible debt) of $14 mn"</t>
        </r>
      </text>
    </comment>
    <comment ref="BI54" authorId="3">
      <text>
        <r>
          <rPr>
            <b/>
            <sz val="8"/>
            <color indexed="8"/>
            <rFont val="Tahoma"/>
            <family val="2"/>
          </rPr>
          <t>Smythra:</t>
        </r>
        <r>
          <rPr>
            <sz val="8"/>
            <color indexed="8"/>
            <rFont val="Tahoma"/>
            <family val="2"/>
          </rPr>
          <t xml:space="preserve">
excludes one cent of special items</t>
        </r>
      </text>
    </comment>
    <comment ref="BJ54" authorId="3">
      <text>
        <r>
          <rPr>
            <b/>
            <sz val="8"/>
            <color indexed="8"/>
            <rFont val="Tahoma"/>
            <family val="2"/>
          </rPr>
          <t>Smythra:</t>
        </r>
        <r>
          <rPr>
            <sz val="8"/>
            <color indexed="8"/>
            <rFont val="Tahoma"/>
            <family val="2"/>
          </rPr>
          <t xml:space="preserve">
2Q05 restated
prior: excludes $0.01 in pension and OPEB costs</t>
        </r>
      </text>
    </comment>
    <comment ref="BL54" authorId="10">
      <text>
        <r>
          <rPr>
            <b/>
            <sz val="8"/>
            <color indexed="8"/>
            <rFont val="Tahoma"/>
            <family val="2"/>
          </rPr>
          <t>agarwalp:</t>
        </r>
        <r>
          <rPr>
            <sz val="8"/>
            <color indexed="8"/>
            <rFont val="Tahoma"/>
            <family val="2"/>
          </rPr>
          <t xml:space="preserve">
Excludingincome related to share dilution</t>
        </r>
      </text>
    </comment>
    <comment ref="CV55" authorId="9">
      <text>
        <r>
          <rPr>
            <b/>
            <sz val="8"/>
            <color indexed="81"/>
            <rFont val="Tahoma"/>
            <family val="2"/>
          </rPr>
          <t>Armintas Sinkevicius:</t>
        </r>
        <r>
          <rPr>
            <sz val="8"/>
            <color indexed="81"/>
            <rFont val="Tahoma"/>
            <family val="2"/>
          </rPr>
          <t xml:space="preserve">
Dilutive Effect of Share Issuance</t>
        </r>
      </text>
    </comment>
    <comment ref="AV57" authorId="0">
      <text>
        <r>
          <rPr>
            <b/>
            <sz val="8"/>
            <color indexed="8"/>
            <rFont val="Tahoma"/>
            <family val="2"/>
          </rPr>
          <t>haydenn:</t>
        </r>
        <r>
          <rPr>
            <sz val="8"/>
            <color indexed="8"/>
            <rFont val="Tahoma"/>
            <family val="2"/>
          </rPr>
          <t xml:space="preserve">
includes merger charges and mark to market for MFN</t>
        </r>
      </text>
    </comment>
    <comment ref="AW57" authorId="0">
      <text>
        <r>
          <rPr>
            <b/>
            <sz val="8"/>
            <color indexed="8"/>
            <rFont val="Tahoma"/>
            <family val="2"/>
          </rPr>
          <t>haydenn:</t>
        </r>
        <r>
          <rPr>
            <sz val="8"/>
            <color indexed="8"/>
            <rFont val="Tahoma"/>
            <family val="2"/>
          </rPr>
          <t xml:space="preserve">
$3.1 bn in charges:
$2.9 bn write-down on investments,
$162 mm in merger transition costs,
$37 mm in mark-to-market adjustments</t>
        </r>
      </text>
    </comment>
    <comment ref="AY63" authorId="8">
      <text>
        <r>
          <rPr>
            <b/>
            <sz val="8"/>
            <color indexed="8"/>
            <rFont val="Tahoma"/>
            <family val="2"/>
          </rPr>
          <t>enright:</t>
        </r>
        <r>
          <rPr>
            <sz val="8"/>
            <color indexed="8"/>
            <rFont val="Tahoma"/>
            <family val="2"/>
          </rPr>
          <t xml:space="preserve">
temporary fix because VZ restated 2001 balance sheet and has not provided updated financials</t>
        </r>
      </text>
    </comment>
    <comment ref="DL69" authorId="7">
      <text>
        <r>
          <rPr>
            <sz val="9"/>
            <color indexed="81"/>
            <rFont val="Tahoma"/>
            <family val="2"/>
          </rPr>
          <t>to match balance sheet cash to CFS</t>
        </r>
      </text>
    </comment>
    <comment ref="DI79" authorId="7">
      <text>
        <r>
          <rPr>
            <sz val="9"/>
            <color indexed="81"/>
            <rFont val="Tahoma"/>
            <family val="2"/>
          </rPr>
          <t>balance sheet as reported off by 11M</t>
        </r>
      </text>
    </comment>
    <comment ref="F113" authorId="0">
      <text>
        <r>
          <rPr>
            <b/>
            <sz val="8"/>
            <color indexed="8"/>
            <rFont val="Tahoma"/>
            <family val="2"/>
          </rPr>
          <t>haydenn:</t>
        </r>
        <r>
          <rPr>
            <sz val="8"/>
            <color indexed="8"/>
            <rFont val="Tahoma"/>
            <family val="2"/>
          </rPr>
          <t xml:space="preserve">
3401 from BEL is just accounts payable.
GTE does not breakout, so 4138 reflects reported "accounts payable and accrued expenses"</t>
        </r>
      </text>
    </comment>
    <comment ref="G113" authorId="0">
      <text>
        <r>
          <rPr>
            <b/>
            <sz val="8"/>
            <color indexed="8"/>
            <rFont val="Tahoma"/>
            <family val="2"/>
          </rPr>
          <t>haydenn:</t>
        </r>
        <r>
          <rPr>
            <sz val="8"/>
            <color indexed="8"/>
            <rFont val="Tahoma"/>
            <family val="2"/>
          </rPr>
          <t xml:space="preserve">
3753 from BEL</t>
        </r>
      </text>
    </comment>
    <comment ref="CB130" authorId="6">
      <text>
        <r>
          <rPr>
            <b/>
            <sz val="10"/>
            <color indexed="8"/>
            <rFont val="Tahoma"/>
            <family val="2"/>
          </rPr>
          <t>Daniel Gaviria:</t>
        </r>
        <r>
          <rPr>
            <sz val="10"/>
            <color indexed="8"/>
            <rFont val="Tahoma"/>
            <family val="2"/>
          </rPr>
          <t xml:space="preserve">
assumed to match proforma data published w/ 1Q11</t>
        </r>
      </text>
    </comment>
    <comment ref="CC130" authorId="6">
      <text>
        <r>
          <rPr>
            <b/>
            <sz val="10"/>
            <color indexed="8"/>
            <rFont val="Tahoma"/>
            <family val="2"/>
          </rPr>
          <t>Daniel Gaviria:</t>
        </r>
        <r>
          <rPr>
            <sz val="10"/>
            <color indexed="8"/>
            <rFont val="Tahoma"/>
            <family val="2"/>
          </rPr>
          <t xml:space="preserve">
assumed to match proforma data published w/ 1Q11</t>
        </r>
      </text>
    </comment>
    <comment ref="CD130" authorId="6">
      <text>
        <r>
          <rPr>
            <b/>
            <sz val="10"/>
            <color indexed="8"/>
            <rFont val="Tahoma"/>
            <family val="2"/>
          </rPr>
          <t>Daniel Gaviria:</t>
        </r>
        <r>
          <rPr>
            <sz val="10"/>
            <color indexed="8"/>
            <rFont val="Tahoma"/>
            <family val="2"/>
          </rPr>
          <t xml:space="preserve">
assumed to match proforma data published w/ 1Q11</t>
        </r>
      </text>
    </comment>
    <comment ref="BD133" authorId="10">
      <text>
        <r>
          <rPr>
            <b/>
            <sz val="8"/>
            <color indexed="8"/>
            <rFont val="Tahoma"/>
            <family val="2"/>
          </rPr>
          <t>agarwalp:</t>
        </r>
        <r>
          <rPr>
            <sz val="8"/>
            <color indexed="8"/>
            <rFont val="Tahoma"/>
            <family val="2"/>
          </rPr>
          <t xml:space="preserve">
Employees restated from this qtr till 2Q05 to make comparable with resttaed numbers published in 2Q05</t>
        </r>
      </text>
    </comment>
    <comment ref="BL133" authorId="11">
      <text>
        <r>
          <rPr>
            <b/>
            <sz val="8"/>
            <color indexed="8"/>
            <rFont val="Tahoma"/>
            <family val="2"/>
          </rPr>
          <t>wlsuch:</t>
        </r>
        <r>
          <rPr>
            <sz val="8"/>
            <color indexed="8"/>
            <rFont val="Tahoma"/>
            <family val="2"/>
          </rPr>
          <t xml:space="preserve">
restated with 1Q07 results for divested ops </t>
        </r>
      </text>
    </comment>
    <comment ref="BP133" authorId="6">
      <text>
        <r>
          <rPr>
            <b/>
            <sz val="8"/>
            <color indexed="8"/>
            <rFont val="Tahoma"/>
            <family val="2"/>
          </rPr>
          <t>Daniel Gaviria:</t>
        </r>
        <r>
          <rPr>
            <sz val="8"/>
            <color indexed="8"/>
            <rFont val="Tahoma"/>
            <family val="2"/>
          </rPr>
          <t xml:space="preserve">
Restated for NortherNewEngland Spinoff</t>
        </r>
      </text>
    </comment>
    <comment ref="CZ154" authorId="7">
      <text>
        <r>
          <rPr>
            <sz val="9"/>
            <color indexed="81"/>
            <rFont val="Tahoma"/>
            <family val="2"/>
          </rPr>
          <t xml:space="preserve">includes FTR assets
</t>
        </r>
      </text>
    </comment>
    <comment ref="DA154" authorId="7">
      <text>
        <r>
          <rPr>
            <sz val="9"/>
            <color indexed="81"/>
            <rFont val="Tahoma"/>
            <family val="2"/>
          </rPr>
          <t xml:space="preserve">includes FTR assets
</t>
        </r>
      </text>
    </comment>
    <comment ref="DB154" authorId="7">
      <text>
        <r>
          <rPr>
            <sz val="9"/>
            <color indexed="81"/>
            <rFont val="Tahoma"/>
            <family val="2"/>
          </rPr>
          <t xml:space="preserve">includes FTR assets
</t>
        </r>
      </text>
    </comment>
    <comment ref="DC154" authorId="7">
      <text>
        <r>
          <rPr>
            <sz val="9"/>
            <color indexed="81"/>
            <rFont val="Tahoma"/>
            <family val="2"/>
          </rPr>
          <t xml:space="preserve">includes FTR assets
</t>
        </r>
      </text>
    </comment>
    <comment ref="DD154" authorId="7">
      <text>
        <r>
          <rPr>
            <sz val="9"/>
            <color indexed="81"/>
            <rFont val="Tahoma"/>
            <family val="2"/>
          </rPr>
          <t xml:space="preserve">includes FTR assets
</t>
        </r>
      </text>
    </comment>
    <comment ref="CS157" authorId="2">
      <text>
        <r>
          <rPr>
            <b/>
            <sz val="9"/>
            <color indexed="81"/>
            <rFont val="Tahoma"/>
            <family val="2"/>
          </rPr>
          <t>Sinkevicius, Armintas (Research):</t>
        </r>
        <r>
          <rPr>
            <sz val="9"/>
            <color indexed="81"/>
            <rFont val="Tahoma"/>
            <family val="2"/>
          </rPr>
          <t xml:space="preserve">
Re-stated 1Q15</t>
        </r>
      </text>
    </comment>
    <comment ref="CS158" authorId="2">
      <text>
        <r>
          <rPr>
            <b/>
            <sz val="9"/>
            <color indexed="81"/>
            <rFont val="Tahoma"/>
            <family val="2"/>
          </rPr>
          <t>Sinkevicius, Armintas (Research):</t>
        </r>
        <r>
          <rPr>
            <sz val="9"/>
            <color indexed="81"/>
            <rFont val="Tahoma"/>
            <family val="2"/>
          </rPr>
          <t xml:space="preserve">
Re-stated 1Q15</t>
        </r>
      </text>
    </comment>
    <comment ref="CJ171" authorId="6">
      <text>
        <r>
          <rPr>
            <b/>
            <sz val="8"/>
            <color indexed="8"/>
            <rFont val="Tahoma"/>
            <family val="2"/>
          </rPr>
          <t>Daniel Gaviria:</t>
        </r>
        <r>
          <rPr>
            <sz val="8"/>
            <color indexed="8"/>
            <rFont val="Tahoma"/>
            <family val="2"/>
          </rPr>
          <t xml:space="preserve">
Not disclosed any longer</t>
        </r>
      </text>
    </comment>
    <comment ref="AU175" authorId="0">
      <text>
        <r>
          <rPr>
            <b/>
            <sz val="8"/>
            <color indexed="8"/>
            <rFont val="Tahoma"/>
            <family val="2"/>
          </rPr>
          <t>haydenn:</t>
        </r>
        <r>
          <rPr>
            <sz val="8"/>
            <color indexed="8"/>
            <rFont val="Tahoma"/>
            <family val="2"/>
          </rPr>
          <t xml:space="preserve">
restated in 4q01</t>
        </r>
      </text>
    </comment>
    <comment ref="AU178" authorId="0">
      <text>
        <r>
          <rPr>
            <b/>
            <sz val="8"/>
            <color indexed="8"/>
            <rFont val="Tahoma"/>
            <family val="2"/>
          </rPr>
          <t>haydenn:</t>
        </r>
        <r>
          <rPr>
            <sz val="8"/>
            <color indexed="8"/>
            <rFont val="Tahoma"/>
            <family val="2"/>
          </rPr>
          <t xml:space="preserve">
restated in 4q01</t>
        </r>
      </text>
    </comment>
    <comment ref="CQ198" authorId="5">
      <text>
        <r>
          <rPr>
            <b/>
            <sz val="8"/>
            <color indexed="8"/>
            <rFont val="Tahoma"/>
            <family val="2"/>
          </rPr>
          <t>warjohn:</t>
        </r>
        <r>
          <rPr>
            <sz val="8"/>
            <color indexed="8"/>
            <rFont val="Tahoma"/>
            <family val="2"/>
          </rPr>
          <t xml:space="preserve">
Excludes 319M in Superstorm Sandy costs</t>
        </r>
      </text>
    </comment>
    <comment ref="AU199" authorId="0">
      <text>
        <r>
          <rPr>
            <b/>
            <sz val="8"/>
            <color indexed="8"/>
            <rFont val="Tahoma"/>
            <family val="2"/>
          </rPr>
          <t>haydenn:</t>
        </r>
        <r>
          <rPr>
            <sz val="8"/>
            <color indexed="8"/>
            <rFont val="Tahoma"/>
            <family val="2"/>
          </rPr>
          <t xml:space="preserve">
restated in 4q01</t>
        </r>
      </text>
    </comment>
    <comment ref="CQ204" authorId="5">
      <text>
        <r>
          <rPr>
            <b/>
            <sz val="8"/>
            <color indexed="8"/>
            <rFont val="Tahoma"/>
            <family val="2"/>
          </rPr>
          <t>warjohn:</t>
        </r>
        <r>
          <rPr>
            <sz val="8"/>
            <color indexed="8"/>
            <rFont val="Tahoma"/>
            <family val="2"/>
          </rPr>
          <t xml:space="preserve">
Excludes 319M in Superstorm Sandy costs</t>
        </r>
      </text>
    </comment>
    <comment ref="AT217" authorId="0">
      <text>
        <r>
          <rPr>
            <b/>
            <sz val="8"/>
            <color indexed="8"/>
            <rFont val="Tahoma"/>
            <family val="2"/>
          </rPr>
          <t>haydenn:</t>
        </r>
        <r>
          <rPr>
            <sz val="8"/>
            <color indexed="8"/>
            <rFont val="Tahoma"/>
            <family val="2"/>
          </rPr>
          <t xml:space="preserve">
restated in 3q01</t>
        </r>
      </text>
    </comment>
    <comment ref="AU217" authorId="0">
      <text>
        <r>
          <rPr>
            <b/>
            <sz val="8"/>
            <color indexed="8"/>
            <rFont val="Tahoma"/>
            <family val="2"/>
          </rPr>
          <t>haydenn:</t>
        </r>
        <r>
          <rPr>
            <sz val="8"/>
            <color indexed="8"/>
            <rFont val="Tahoma"/>
            <family val="2"/>
          </rPr>
          <t xml:space="preserve">
restated in 4q01</t>
        </r>
      </text>
    </comment>
    <comment ref="AZ217" authorId="8">
      <text>
        <r>
          <rPr>
            <b/>
            <sz val="8"/>
            <color indexed="8"/>
            <rFont val="Tahoma"/>
            <family val="2"/>
          </rPr>
          <t>enright:</t>
        </r>
        <r>
          <rPr>
            <sz val="8"/>
            <color indexed="8"/>
            <rFont val="Tahoma"/>
            <family val="2"/>
          </rPr>
          <t xml:space="preserve">
restated at 1Q03 results</t>
        </r>
      </text>
    </comment>
    <comment ref="BA217" authorId="8">
      <text>
        <r>
          <rPr>
            <b/>
            <sz val="8"/>
            <color indexed="8"/>
            <rFont val="Tahoma"/>
            <family val="2"/>
          </rPr>
          <t>enright:</t>
        </r>
        <r>
          <rPr>
            <sz val="8"/>
            <color indexed="8"/>
            <rFont val="Tahoma"/>
            <family val="2"/>
          </rPr>
          <t xml:space="preserve">
restated at 1Q03 results</t>
        </r>
      </text>
    </comment>
    <comment ref="BB217" authorId="8">
      <text>
        <r>
          <rPr>
            <b/>
            <sz val="8"/>
            <color indexed="8"/>
            <rFont val="Tahoma"/>
            <family val="2"/>
          </rPr>
          <t>enright:</t>
        </r>
        <r>
          <rPr>
            <sz val="8"/>
            <color indexed="8"/>
            <rFont val="Tahoma"/>
            <family val="2"/>
          </rPr>
          <t xml:space="preserve">
restated at 1Q03 results</t>
        </r>
      </text>
    </comment>
    <comment ref="BC217" authorId="8">
      <text>
        <r>
          <rPr>
            <b/>
            <sz val="8"/>
            <color indexed="8"/>
            <rFont val="Tahoma"/>
            <family val="2"/>
          </rPr>
          <t>enright:</t>
        </r>
        <r>
          <rPr>
            <sz val="8"/>
            <color indexed="8"/>
            <rFont val="Tahoma"/>
            <family val="2"/>
          </rPr>
          <t xml:space="preserve">
restated at 1Q03 results</t>
        </r>
      </text>
    </comment>
    <comment ref="AT218" authorId="0">
      <text>
        <r>
          <rPr>
            <b/>
            <sz val="8"/>
            <color indexed="8"/>
            <rFont val="Tahoma"/>
            <family val="2"/>
          </rPr>
          <t>haydenn:</t>
        </r>
        <r>
          <rPr>
            <sz val="8"/>
            <color indexed="8"/>
            <rFont val="Tahoma"/>
            <family val="2"/>
          </rPr>
          <t xml:space="preserve">
restated in 3q01</t>
        </r>
      </text>
    </comment>
    <comment ref="AU218" authorId="0">
      <text>
        <r>
          <rPr>
            <b/>
            <sz val="8"/>
            <color indexed="8"/>
            <rFont val="Tahoma"/>
            <family val="2"/>
          </rPr>
          <t>haydenn:</t>
        </r>
        <r>
          <rPr>
            <sz val="8"/>
            <color indexed="8"/>
            <rFont val="Tahoma"/>
            <family val="2"/>
          </rPr>
          <t xml:space="preserve">
restated in 4q01</t>
        </r>
      </text>
    </comment>
    <comment ref="AZ218" authorId="8">
      <text>
        <r>
          <rPr>
            <b/>
            <sz val="8"/>
            <color indexed="8"/>
            <rFont val="Tahoma"/>
            <family val="2"/>
          </rPr>
          <t>enright:</t>
        </r>
        <r>
          <rPr>
            <sz val="8"/>
            <color indexed="8"/>
            <rFont val="Tahoma"/>
            <family val="2"/>
          </rPr>
          <t xml:space="preserve">
restated at 1Q03 results</t>
        </r>
      </text>
    </comment>
    <comment ref="BA218" authorId="8">
      <text>
        <r>
          <rPr>
            <b/>
            <sz val="8"/>
            <color indexed="8"/>
            <rFont val="Tahoma"/>
            <family val="2"/>
          </rPr>
          <t>enright:</t>
        </r>
        <r>
          <rPr>
            <sz val="8"/>
            <color indexed="8"/>
            <rFont val="Tahoma"/>
            <family val="2"/>
          </rPr>
          <t xml:space="preserve">
restated at 1Q03 results</t>
        </r>
      </text>
    </comment>
    <comment ref="BB218" authorId="8">
      <text>
        <r>
          <rPr>
            <b/>
            <sz val="8"/>
            <color indexed="8"/>
            <rFont val="Tahoma"/>
            <family val="2"/>
          </rPr>
          <t>enright:</t>
        </r>
        <r>
          <rPr>
            <sz val="8"/>
            <color indexed="8"/>
            <rFont val="Tahoma"/>
            <family val="2"/>
          </rPr>
          <t xml:space="preserve">
restated at 1Q03 results</t>
        </r>
      </text>
    </comment>
    <comment ref="BC218" authorId="8">
      <text>
        <r>
          <rPr>
            <b/>
            <sz val="8"/>
            <color indexed="8"/>
            <rFont val="Tahoma"/>
            <family val="2"/>
          </rPr>
          <t>enright:</t>
        </r>
        <r>
          <rPr>
            <sz val="8"/>
            <color indexed="8"/>
            <rFont val="Tahoma"/>
            <family val="2"/>
          </rPr>
          <t xml:space="preserve">
restated at 1Q03 results</t>
        </r>
      </text>
    </comment>
    <comment ref="AU219" authorId="0">
      <text>
        <r>
          <rPr>
            <b/>
            <sz val="8"/>
            <color indexed="8"/>
            <rFont val="Tahoma"/>
            <family val="2"/>
          </rPr>
          <t>haydenn:</t>
        </r>
        <r>
          <rPr>
            <sz val="8"/>
            <color indexed="8"/>
            <rFont val="Tahoma"/>
            <family val="2"/>
          </rPr>
          <t xml:space="preserve">
restated in 4q01</t>
        </r>
      </text>
    </comment>
    <comment ref="AZ219" authorId="8">
      <text>
        <r>
          <rPr>
            <b/>
            <sz val="8"/>
            <color indexed="8"/>
            <rFont val="Tahoma"/>
            <family val="2"/>
          </rPr>
          <t>enright:</t>
        </r>
        <r>
          <rPr>
            <sz val="8"/>
            <color indexed="8"/>
            <rFont val="Tahoma"/>
            <family val="2"/>
          </rPr>
          <t xml:space="preserve">
restated at 1Q03 results</t>
        </r>
      </text>
    </comment>
    <comment ref="BA219" authorId="8">
      <text>
        <r>
          <rPr>
            <b/>
            <sz val="8"/>
            <color indexed="8"/>
            <rFont val="Tahoma"/>
            <family val="2"/>
          </rPr>
          <t>enright:</t>
        </r>
        <r>
          <rPr>
            <sz val="8"/>
            <color indexed="8"/>
            <rFont val="Tahoma"/>
            <family val="2"/>
          </rPr>
          <t xml:space="preserve">
restated at 1Q03 results</t>
        </r>
      </text>
    </comment>
    <comment ref="BB219" authorId="8">
      <text>
        <r>
          <rPr>
            <b/>
            <sz val="8"/>
            <color indexed="8"/>
            <rFont val="Tahoma"/>
            <family val="2"/>
          </rPr>
          <t>enright:</t>
        </r>
        <r>
          <rPr>
            <sz val="8"/>
            <color indexed="8"/>
            <rFont val="Tahoma"/>
            <family val="2"/>
          </rPr>
          <t xml:space="preserve">
restated at 1Q03 results</t>
        </r>
      </text>
    </comment>
    <comment ref="BC219" authorId="8">
      <text>
        <r>
          <rPr>
            <b/>
            <sz val="8"/>
            <color indexed="8"/>
            <rFont val="Tahoma"/>
            <family val="2"/>
          </rPr>
          <t>enright:</t>
        </r>
        <r>
          <rPr>
            <sz val="8"/>
            <color indexed="8"/>
            <rFont val="Tahoma"/>
            <family val="2"/>
          </rPr>
          <t xml:space="preserve">
restated at 1Q03 results</t>
        </r>
      </text>
    </comment>
    <comment ref="AU221" authorId="0">
      <text>
        <r>
          <rPr>
            <b/>
            <sz val="8"/>
            <color indexed="8"/>
            <rFont val="Tahoma"/>
            <family val="2"/>
          </rPr>
          <t>haydenn:</t>
        </r>
        <r>
          <rPr>
            <sz val="8"/>
            <color indexed="8"/>
            <rFont val="Tahoma"/>
            <family val="2"/>
          </rPr>
          <t xml:space="preserve">
restated in 4q01</t>
        </r>
      </text>
    </comment>
    <comment ref="AZ221" authorId="8">
      <text>
        <r>
          <rPr>
            <b/>
            <sz val="8"/>
            <color indexed="8"/>
            <rFont val="Tahoma"/>
            <family val="2"/>
          </rPr>
          <t>enright:</t>
        </r>
        <r>
          <rPr>
            <sz val="8"/>
            <color indexed="8"/>
            <rFont val="Tahoma"/>
            <family val="2"/>
          </rPr>
          <t xml:space="preserve">
restated at 1Q03 results</t>
        </r>
      </text>
    </comment>
    <comment ref="BA221" authorId="8">
      <text>
        <r>
          <rPr>
            <b/>
            <sz val="8"/>
            <color indexed="8"/>
            <rFont val="Tahoma"/>
            <family val="2"/>
          </rPr>
          <t>enright:</t>
        </r>
        <r>
          <rPr>
            <sz val="8"/>
            <color indexed="8"/>
            <rFont val="Tahoma"/>
            <family val="2"/>
          </rPr>
          <t xml:space="preserve">
restated at 1Q03 results</t>
        </r>
      </text>
    </comment>
    <comment ref="BB221" authorId="8">
      <text>
        <r>
          <rPr>
            <b/>
            <sz val="8"/>
            <color indexed="8"/>
            <rFont val="Tahoma"/>
            <family val="2"/>
          </rPr>
          <t>enright:</t>
        </r>
        <r>
          <rPr>
            <sz val="8"/>
            <color indexed="8"/>
            <rFont val="Tahoma"/>
            <family val="2"/>
          </rPr>
          <t xml:space="preserve">
restated at 1Q03 results</t>
        </r>
      </text>
    </comment>
    <comment ref="BC221" authorId="8">
      <text>
        <r>
          <rPr>
            <b/>
            <sz val="8"/>
            <color indexed="8"/>
            <rFont val="Tahoma"/>
            <family val="2"/>
          </rPr>
          <t>enright:</t>
        </r>
        <r>
          <rPr>
            <sz val="8"/>
            <color indexed="8"/>
            <rFont val="Tahoma"/>
            <family val="2"/>
          </rPr>
          <t xml:space="preserve">
restated at 1Q03 results</t>
        </r>
      </text>
    </comment>
    <comment ref="BZ221" authorId="6">
      <text>
        <r>
          <rPr>
            <b/>
            <sz val="8"/>
            <color indexed="8"/>
            <rFont val="Tahoma"/>
            <family val="2"/>
          </rPr>
          <t>Daniel Gaviria:</t>
        </r>
        <r>
          <rPr>
            <sz val="8"/>
            <color indexed="8"/>
            <rFont val="Tahoma"/>
            <family val="2"/>
          </rPr>
          <t xml:space="preserve">
Company re-stated line numbers in 3Q08</t>
        </r>
      </text>
    </comment>
    <comment ref="AN222" authorId="0">
      <text>
        <r>
          <rPr>
            <b/>
            <sz val="8"/>
            <color indexed="8"/>
            <rFont val="Tahoma"/>
            <family val="2"/>
          </rPr>
          <t>haydenn:</t>
        </r>
        <r>
          <rPr>
            <sz val="8"/>
            <color indexed="8"/>
            <rFont val="Tahoma"/>
            <family val="2"/>
          </rPr>
          <t xml:space="preserve">
restated in 2q01</t>
        </r>
      </text>
    </comment>
    <comment ref="AO222" authorId="0">
      <text>
        <r>
          <rPr>
            <b/>
            <sz val="8"/>
            <color indexed="8"/>
            <rFont val="Tahoma"/>
            <family val="2"/>
          </rPr>
          <t>haydenn:</t>
        </r>
        <r>
          <rPr>
            <sz val="8"/>
            <color indexed="8"/>
            <rFont val="Tahoma"/>
            <family val="2"/>
          </rPr>
          <t xml:space="preserve">
restated in 2q01</t>
        </r>
      </text>
    </comment>
    <comment ref="AP222" authorId="0">
      <text>
        <r>
          <rPr>
            <b/>
            <sz val="8"/>
            <color indexed="8"/>
            <rFont val="Tahoma"/>
            <family val="2"/>
          </rPr>
          <t>haydenn:</t>
        </r>
        <r>
          <rPr>
            <sz val="8"/>
            <color indexed="8"/>
            <rFont val="Tahoma"/>
            <family val="2"/>
          </rPr>
          <t xml:space="preserve">
restated in 2q01</t>
        </r>
      </text>
    </comment>
    <comment ref="AQ222" authorId="0">
      <text>
        <r>
          <rPr>
            <b/>
            <sz val="8"/>
            <color indexed="8"/>
            <rFont val="Tahoma"/>
            <family val="2"/>
          </rPr>
          <t>haydenn:</t>
        </r>
        <r>
          <rPr>
            <sz val="8"/>
            <color indexed="8"/>
            <rFont val="Tahoma"/>
            <family val="2"/>
          </rPr>
          <t xml:space="preserve">
restated in 2q01</t>
        </r>
      </text>
    </comment>
    <comment ref="AR222" authorId="0">
      <text>
        <r>
          <rPr>
            <b/>
            <sz val="8"/>
            <color indexed="8"/>
            <rFont val="Tahoma"/>
            <family val="2"/>
          </rPr>
          <t>haydenn:</t>
        </r>
        <r>
          <rPr>
            <sz val="8"/>
            <color indexed="8"/>
            <rFont val="Tahoma"/>
            <family val="2"/>
          </rPr>
          <t xml:space="preserve">
restated in 2q01</t>
        </r>
      </text>
    </comment>
    <comment ref="AS222" authorId="0">
      <text>
        <r>
          <rPr>
            <b/>
            <sz val="8"/>
            <color indexed="8"/>
            <rFont val="Tahoma"/>
            <family val="2"/>
          </rPr>
          <t>haydenn:</t>
        </r>
        <r>
          <rPr>
            <sz val="8"/>
            <color indexed="8"/>
            <rFont val="Tahoma"/>
            <family val="2"/>
          </rPr>
          <t xml:space="preserve">
restated in 2q01</t>
        </r>
      </text>
    </comment>
    <comment ref="AT222" authorId="0">
      <text>
        <r>
          <rPr>
            <b/>
            <sz val="8"/>
            <color indexed="8"/>
            <rFont val="Tahoma"/>
            <family val="2"/>
          </rPr>
          <t>haydenn:</t>
        </r>
        <r>
          <rPr>
            <sz val="8"/>
            <color indexed="8"/>
            <rFont val="Tahoma"/>
            <family val="2"/>
          </rPr>
          <t xml:space="preserve">
restated in 3q01</t>
        </r>
      </text>
    </comment>
    <comment ref="AU222" authorId="0">
      <text>
        <r>
          <rPr>
            <b/>
            <sz val="8"/>
            <color indexed="8"/>
            <rFont val="Tahoma"/>
            <family val="2"/>
          </rPr>
          <t>haydenn:</t>
        </r>
        <r>
          <rPr>
            <sz val="8"/>
            <color indexed="8"/>
            <rFont val="Tahoma"/>
            <family val="2"/>
          </rPr>
          <t xml:space="preserve">
restated in 2q01</t>
        </r>
      </text>
    </comment>
    <comment ref="AV222" authorId="0">
      <text>
        <r>
          <rPr>
            <b/>
            <sz val="8"/>
            <color indexed="8"/>
            <rFont val="Tahoma"/>
            <family val="2"/>
          </rPr>
          <t>haydenn:</t>
        </r>
        <r>
          <rPr>
            <sz val="8"/>
            <color indexed="8"/>
            <rFont val="Tahoma"/>
            <family val="2"/>
          </rPr>
          <t xml:space="preserve">
restated in 2q01</t>
        </r>
      </text>
    </comment>
    <comment ref="BD222" authorId="10">
      <text>
        <r>
          <rPr>
            <b/>
            <sz val="8"/>
            <color indexed="8"/>
            <rFont val="Tahoma"/>
            <family val="2"/>
          </rPr>
          <t>agarwalp:</t>
        </r>
        <r>
          <rPr>
            <sz val="8"/>
            <color indexed="8"/>
            <rFont val="Tahoma"/>
            <family val="2"/>
          </rPr>
          <t xml:space="preserve">
Not given in restated results released in 2Q05</t>
        </r>
      </text>
    </comment>
    <comment ref="AT225" authorId="0">
      <text>
        <r>
          <rPr>
            <b/>
            <sz val="8"/>
            <color indexed="8"/>
            <rFont val="Tahoma"/>
            <family val="2"/>
          </rPr>
          <t>haydenn:</t>
        </r>
        <r>
          <rPr>
            <sz val="8"/>
            <color indexed="8"/>
            <rFont val="Tahoma"/>
            <family val="2"/>
          </rPr>
          <t xml:space="preserve">
restated in 3q01</t>
        </r>
      </text>
    </comment>
    <comment ref="AU225" authorId="0">
      <text>
        <r>
          <rPr>
            <b/>
            <sz val="8"/>
            <color indexed="8"/>
            <rFont val="Tahoma"/>
            <family val="2"/>
          </rPr>
          <t>haydenn:</t>
        </r>
        <r>
          <rPr>
            <sz val="8"/>
            <color indexed="8"/>
            <rFont val="Tahoma"/>
            <family val="2"/>
          </rPr>
          <t xml:space="preserve">
restated in 4q01</t>
        </r>
      </text>
    </comment>
    <comment ref="AT226" authorId="0">
      <text>
        <r>
          <rPr>
            <b/>
            <sz val="8"/>
            <color indexed="8"/>
            <rFont val="Tahoma"/>
            <family val="2"/>
          </rPr>
          <t>haydenn:</t>
        </r>
        <r>
          <rPr>
            <sz val="8"/>
            <color indexed="8"/>
            <rFont val="Tahoma"/>
            <family val="2"/>
          </rPr>
          <t xml:space="preserve">
restated in 3q01</t>
        </r>
      </text>
    </comment>
    <comment ref="AT227" authorId="0">
      <text>
        <r>
          <rPr>
            <b/>
            <sz val="8"/>
            <color indexed="8"/>
            <rFont val="Tahoma"/>
            <family val="2"/>
          </rPr>
          <t>haydenn:</t>
        </r>
        <r>
          <rPr>
            <sz val="8"/>
            <color indexed="8"/>
            <rFont val="Tahoma"/>
            <family val="2"/>
          </rPr>
          <t xml:space="preserve">
restated in 3q01</t>
        </r>
      </text>
    </comment>
    <comment ref="AU227" authorId="0">
      <text>
        <r>
          <rPr>
            <b/>
            <sz val="8"/>
            <color indexed="8"/>
            <rFont val="Tahoma"/>
            <family val="2"/>
          </rPr>
          <t>haydenn:</t>
        </r>
        <r>
          <rPr>
            <sz val="8"/>
            <color indexed="8"/>
            <rFont val="Tahoma"/>
            <family val="2"/>
          </rPr>
          <t xml:space="preserve">
restated in 4q01</t>
        </r>
      </text>
    </comment>
    <comment ref="CB227" authorId="4">
      <text>
        <r>
          <rPr>
            <b/>
            <sz val="8"/>
            <color indexed="8"/>
            <rFont val="Tahoma"/>
            <family val="2"/>
          </rPr>
          <t>dgaviria:</t>
        </r>
        <r>
          <rPr>
            <sz val="8"/>
            <color indexed="8"/>
            <rFont val="Tahoma"/>
            <family val="2"/>
          </rPr>
          <t xml:space="preserve">
Not provided any longer</t>
        </r>
      </text>
    </comment>
    <comment ref="BE228" authorId="12">
      <text>
        <r>
          <rPr>
            <b/>
            <sz val="8"/>
            <color indexed="8"/>
            <rFont val="Tahoma"/>
            <family val="2"/>
          </rPr>
          <t>atalwar:</t>
        </r>
        <r>
          <rPr>
            <sz val="8"/>
            <color indexed="8"/>
            <rFont val="Tahoma"/>
            <family val="2"/>
          </rPr>
          <t xml:space="preserve">
given in 1Q04 conf. call presentation, that UNE-P net adds in quarter were 518k</t>
        </r>
      </text>
    </comment>
    <comment ref="BF228" authorId="12">
      <text>
        <r>
          <rPr>
            <b/>
            <sz val="8"/>
            <color indexed="8"/>
            <rFont val="Tahoma"/>
            <family val="2"/>
          </rPr>
          <t>atalwar:</t>
        </r>
        <r>
          <rPr>
            <sz val="8"/>
            <color indexed="8"/>
            <rFont val="Tahoma"/>
            <family val="2"/>
          </rPr>
          <t xml:space="preserve">
given in 1Q04 conf. call presentation, that UNE-P net adds in quarter were 479k</t>
        </r>
      </text>
    </comment>
    <comment ref="BG228" authorId="12">
      <text>
        <r>
          <rPr>
            <b/>
            <sz val="8"/>
            <color indexed="8"/>
            <rFont val="Tahoma"/>
            <family val="2"/>
          </rPr>
          <t>atalwar:</t>
        </r>
        <r>
          <rPr>
            <sz val="8"/>
            <color indexed="8"/>
            <rFont val="Tahoma"/>
            <family val="2"/>
          </rPr>
          <t xml:space="preserve">
given in 1Q04 conf. call presentation, that UNE-P net adds in quarter were 450k</t>
        </r>
      </text>
    </comment>
    <comment ref="BH228" authorId="12">
      <text>
        <r>
          <rPr>
            <b/>
            <sz val="8"/>
            <color indexed="8"/>
            <rFont val="Tahoma"/>
            <family val="2"/>
          </rPr>
          <t>atalwar:</t>
        </r>
        <r>
          <rPr>
            <sz val="8"/>
            <color indexed="8"/>
            <rFont val="Tahoma"/>
            <family val="2"/>
          </rPr>
          <t xml:space="preserve">
given in 1Q04 conf. call presentation, that UNE-P net adds in quarter were 508k</t>
        </r>
      </text>
    </comment>
    <comment ref="BK228" authorId="3">
      <text>
        <r>
          <rPr>
            <b/>
            <sz val="10"/>
            <color indexed="8"/>
            <rFont val="Tahoma"/>
            <family val="2"/>
          </rPr>
          <t>Smythra:</t>
        </r>
        <r>
          <rPr>
            <sz val="10"/>
            <color indexed="8"/>
            <rFont val="Tahoma"/>
            <family val="2"/>
          </rPr>
          <t xml:space="preserve">
numbers restated 2Q05, UNE-P not given
prior: they didn't report this number, I had to take 3Q04 UNE-P and subtract the reported 93,000 lines lost</t>
        </r>
      </text>
    </comment>
    <comment ref="BM228" authorId="1">
      <text>
        <r>
          <rPr>
            <b/>
            <sz val="10"/>
            <color indexed="8"/>
            <rFont val="Tahoma"/>
            <family val="2"/>
          </rPr>
          <t>smythra:</t>
        </r>
        <r>
          <rPr>
            <sz val="10"/>
            <color indexed="8"/>
            <rFont val="Tahoma"/>
            <family val="2"/>
          </rPr>
          <t xml:space="preserve">
guessing, not reported</t>
        </r>
      </text>
    </comment>
    <comment ref="BN228" authorId="10">
      <text>
        <r>
          <rPr>
            <b/>
            <sz val="8"/>
            <color indexed="8"/>
            <rFont val="Tahoma"/>
            <family val="2"/>
          </rPr>
          <t>not reported, given in conf. call Q&amp;A</t>
        </r>
      </text>
    </comment>
    <comment ref="BO228" authorId="10">
      <text>
        <r>
          <rPr>
            <b/>
            <sz val="8"/>
            <color indexed="8"/>
            <rFont val="Tahoma"/>
            <family val="2"/>
          </rPr>
          <t>agarwalp:</t>
        </r>
        <r>
          <rPr>
            <sz val="8"/>
            <color indexed="8"/>
            <rFont val="Tahoma"/>
            <family val="2"/>
          </rPr>
          <t xml:space="preserve">
not reported</t>
        </r>
      </text>
    </comment>
    <comment ref="AT229" authorId="0">
      <text>
        <r>
          <rPr>
            <b/>
            <sz val="8"/>
            <color indexed="8"/>
            <rFont val="Tahoma"/>
            <family val="2"/>
          </rPr>
          <t>haydenn:</t>
        </r>
        <r>
          <rPr>
            <sz val="8"/>
            <color indexed="8"/>
            <rFont val="Tahoma"/>
            <family val="2"/>
          </rPr>
          <t xml:space="preserve">
restated in 3q01</t>
        </r>
      </text>
    </comment>
    <comment ref="AU229" authorId="0">
      <text>
        <r>
          <rPr>
            <b/>
            <sz val="8"/>
            <color indexed="8"/>
            <rFont val="Tahoma"/>
            <family val="2"/>
          </rPr>
          <t>haydenn:</t>
        </r>
        <r>
          <rPr>
            <sz val="8"/>
            <color indexed="8"/>
            <rFont val="Tahoma"/>
            <family val="2"/>
          </rPr>
          <t xml:space="preserve">
restated in 4q01</t>
        </r>
      </text>
    </comment>
    <comment ref="AT230" authorId="0">
      <text>
        <r>
          <rPr>
            <b/>
            <sz val="8"/>
            <color indexed="8"/>
            <rFont val="Tahoma"/>
            <family val="2"/>
          </rPr>
          <t>haydenn:</t>
        </r>
        <r>
          <rPr>
            <sz val="8"/>
            <color indexed="8"/>
            <rFont val="Tahoma"/>
            <family val="2"/>
          </rPr>
          <t xml:space="preserve">
restated in 3q01 (to include Hawaii)</t>
        </r>
      </text>
    </comment>
    <comment ref="AZ230" authorId="8">
      <text>
        <r>
          <rPr>
            <b/>
            <sz val="8"/>
            <color indexed="8"/>
            <rFont val="Tahoma"/>
            <family val="2"/>
          </rPr>
          <t>enright:</t>
        </r>
        <r>
          <rPr>
            <sz val="8"/>
            <color indexed="8"/>
            <rFont val="Tahoma"/>
            <family val="2"/>
          </rPr>
          <t xml:space="preserve">
restated beginning in 1Q03 - now provide LD lines vs LD subs</t>
        </r>
      </text>
    </comment>
    <comment ref="BA230" authorId="3">
      <text>
        <r>
          <rPr>
            <b/>
            <sz val="8"/>
            <color indexed="8"/>
            <rFont val="Tahoma"/>
            <family val="2"/>
          </rPr>
          <t>Smythra:</t>
        </r>
        <r>
          <rPr>
            <sz val="8"/>
            <color indexed="8"/>
            <rFont val="Tahoma"/>
            <family val="2"/>
          </rPr>
          <t xml:space="preserve">
adjusted by 1,500 per 2Q04 restatement</t>
        </r>
      </text>
    </comment>
    <comment ref="BB230" authorId="3">
      <text>
        <r>
          <rPr>
            <b/>
            <sz val="8"/>
            <color indexed="8"/>
            <rFont val="Tahoma"/>
            <family val="2"/>
          </rPr>
          <t>Smythra:</t>
        </r>
        <r>
          <rPr>
            <sz val="8"/>
            <color indexed="8"/>
            <rFont val="Tahoma"/>
            <family val="2"/>
          </rPr>
          <t xml:space="preserve">
adjusted by 1,500 per 2Q04 restatement</t>
        </r>
      </text>
    </comment>
    <comment ref="BC230" authorId="3">
      <text>
        <r>
          <rPr>
            <b/>
            <sz val="8"/>
            <color indexed="8"/>
            <rFont val="Tahoma"/>
            <family val="2"/>
          </rPr>
          <t>Smythra:</t>
        </r>
        <r>
          <rPr>
            <sz val="8"/>
            <color indexed="8"/>
            <rFont val="Tahoma"/>
            <family val="2"/>
          </rPr>
          <t xml:space="preserve">
adjusted by 1,500 per 2Q04 restatement</t>
        </r>
      </text>
    </comment>
    <comment ref="BP230" authorId="1">
      <text>
        <r>
          <rPr>
            <b/>
            <sz val="8"/>
            <color indexed="8"/>
            <rFont val="Tahoma"/>
            <family val="2"/>
          </rPr>
          <t>smythra:</t>
        </r>
        <r>
          <rPr>
            <sz val="8"/>
            <color indexed="8"/>
            <rFont val="Tahoma"/>
            <family val="2"/>
          </rPr>
          <t xml:space="preserve">
NOT REPORTED, from mgt comments</t>
        </r>
      </text>
    </comment>
    <comment ref="AT248" authorId="0">
      <text>
        <r>
          <rPr>
            <b/>
            <sz val="8"/>
            <color indexed="8"/>
            <rFont val="Tahoma"/>
            <family val="2"/>
          </rPr>
          <t>haydenn:</t>
        </r>
        <r>
          <rPr>
            <sz val="8"/>
            <color indexed="8"/>
            <rFont val="Tahoma"/>
            <family val="2"/>
          </rPr>
          <t xml:space="preserve">
restated in 3q01</t>
        </r>
      </text>
    </comment>
    <comment ref="AS250" authorId="0">
      <text>
        <r>
          <rPr>
            <b/>
            <sz val="8"/>
            <color indexed="8"/>
            <rFont val="Tahoma"/>
            <family val="2"/>
          </rPr>
          <t>haydenn:</t>
        </r>
        <r>
          <rPr>
            <sz val="8"/>
            <color indexed="8"/>
            <rFont val="Tahoma"/>
            <family val="2"/>
          </rPr>
          <t xml:space="preserve">
restated in 2q01</t>
        </r>
      </text>
    </comment>
    <comment ref="AT250" authorId="0">
      <text>
        <r>
          <rPr>
            <b/>
            <sz val="8"/>
            <color indexed="8"/>
            <rFont val="Tahoma"/>
            <family val="2"/>
          </rPr>
          <t>haydenn:</t>
        </r>
        <r>
          <rPr>
            <sz val="8"/>
            <color indexed="8"/>
            <rFont val="Tahoma"/>
            <family val="2"/>
          </rPr>
          <t xml:space="preserve">
restated in 3q01</t>
        </r>
      </text>
    </comment>
    <comment ref="AU250" authorId="0">
      <text>
        <r>
          <rPr>
            <b/>
            <sz val="8"/>
            <color indexed="8"/>
            <rFont val="Tahoma"/>
            <family val="2"/>
          </rPr>
          <t>haydenn:</t>
        </r>
        <r>
          <rPr>
            <sz val="8"/>
            <color indexed="8"/>
            <rFont val="Tahoma"/>
            <family val="2"/>
          </rPr>
          <t xml:space="preserve">
restated in 4q01</t>
        </r>
      </text>
    </comment>
    <comment ref="AT295" authorId="0">
      <text>
        <r>
          <rPr>
            <b/>
            <sz val="8"/>
            <color indexed="8"/>
            <rFont val="Tahoma"/>
            <family val="2"/>
          </rPr>
          <t>haydenn:</t>
        </r>
        <r>
          <rPr>
            <sz val="8"/>
            <color indexed="8"/>
            <rFont val="Tahoma"/>
            <family val="2"/>
          </rPr>
          <t xml:space="preserve">
restated in 3q01 for database adjustment made in 1q01</t>
        </r>
      </text>
    </comment>
    <comment ref="AU295" authorId="0">
      <text>
        <r>
          <rPr>
            <b/>
            <sz val="8"/>
            <color indexed="8"/>
            <rFont val="Tahoma"/>
            <family val="2"/>
          </rPr>
          <t>haydenn:</t>
        </r>
        <r>
          <rPr>
            <sz val="8"/>
            <color indexed="8"/>
            <rFont val="Tahoma"/>
            <family val="2"/>
          </rPr>
          <t xml:space="preserve">
restated in 4q01</t>
        </r>
      </text>
    </comment>
    <comment ref="AV295" authorId="0">
      <text>
        <r>
          <rPr>
            <b/>
            <sz val="8"/>
            <color indexed="8"/>
            <rFont val="Tahoma"/>
            <family val="2"/>
          </rPr>
          <t>haydenn:</t>
        </r>
        <r>
          <rPr>
            <sz val="8"/>
            <color indexed="8"/>
            <rFont val="Tahoma"/>
            <family val="2"/>
          </rPr>
          <t xml:space="preserve">
churned off 900K subscribers due to billing system integration</t>
        </r>
      </text>
    </comment>
    <comment ref="AT297" authorId="0">
      <text>
        <r>
          <rPr>
            <b/>
            <sz val="8"/>
            <color indexed="8"/>
            <rFont val="Tahoma"/>
            <family val="2"/>
          </rPr>
          <t>haydenn:</t>
        </r>
        <r>
          <rPr>
            <sz val="8"/>
            <color indexed="8"/>
            <rFont val="Tahoma"/>
            <family val="2"/>
          </rPr>
          <t xml:space="preserve">
restated in 3q01 for database adjustment made in 1q01</t>
        </r>
      </text>
    </comment>
    <comment ref="AZ297" authorId="0">
      <text>
        <r>
          <rPr>
            <b/>
            <sz val="8"/>
            <color indexed="8"/>
            <rFont val="Tahoma"/>
            <family val="2"/>
          </rPr>
          <t>haydenn:</t>
        </r>
        <r>
          <rPr>
            <sz val="8"/>
            <color indexed="8"/>
            <rFont val="Tahoma"/>
            <family val="2"/>
          </rPr>
          <t xml:space="preserve">
includes 68K acquired subs from Dobson</t>
        </r>
      </text>
    </comment>
    <comment ref="BB297" authorId="8">
      <text>
        <r>
          <rPr>
            <b/>
            <sz val="8"/>
            <color indexed="8"/>
            <rFont val="Tahoma"/>
            <family val="2"/>
          </rPr>
          <t>enright:</t>
        </r>
        <r>
          <rPr>
            <sz val="8"/>
            <color indexed="8"/>
            <rFont val="Tahoma"/>
            <family val="2"/>
          </rPr>
          <t xml:space="preserve">
includes the 411k Price acquisition </t>
        </r>
      </text>
    </comment>
    <comment ref="BL297" authorId="3">
      <text>
        <r>
          <rPr>
            <b/>
            <sz val="10"/>
            <color indexed="8"/>
            <rFont val="Tahoma"/>
            <family val="2"/>
          </rPr>
          <t>Smythra:</t>
        </r>
        <r>
          <rPr>
            <sz val="10"/>
            <color indexed="8"/>
            <rFont val="Tahoma"/>
            <family val="2"/>
          </rPr>
          <t xml:space="preserve">
includes acquisition of 32,000 subs in 1Q05</t>
        </r>
      </text>
    </comment>
    <comment ref="BT298" authorId="13">
      <text>
        <r>
          <rPr>
            <b/>
            <sz val="8"/>
            <color indexed="8"/>
            <rFont val="Tahoma"/>
            <family val="2"/>
          </rPr>
          <t>Raina Smyth:</t>
        </r>
        <r>
          <rPr>
            <sz val="8"/>
            <color indexed="8"/>
            <rFont val="Tahoma"/>
            <family val="2"/>
          </rPr>
          <t xml:space="preserve">
total churn was 1.10%, retail churn 1.08%</t>
        </r>
      </text>
    </comment>
    <comment ref="BU298" authorId="6">
      <text>
        <r>
          <rPr>
            <b/>
            <sz val="8"/>
            <color indexed="8"/>
            <rFont val="Tahoma"/>
            <family val="2"/>
          </rPr>
          <t>Daniel Gaviria:</t>
        </r>
        <r>
          <rPr>
            <sz val="8"/>
            <color indexed="8"/>
            <rFont val="Tahoma"/>
            <family val="2"/>
          </rPr>
          <t xml:space="preserve">
Total Churn: 1.30%
Retail Churn: 1.08%</t>
        </r>
      </text>
    </comment>
    <comment ref="BV298" authorId="6">
      <text>
        <r>
          <rPr>
            <b/>
            <sz val="8"/>
            <color indexed="8"/>
            <rFont val="Tahoma"/>
            <family val="2"/>
          </rPr>
          <t>Daniel Gaviria:</t>
        </r>
        <r>
          <rPr>
            <sz val="8"/>
            <color indexed="8"/>
            <rFont val="Tahoma"/>
            <family val="2"/>
          </rPr>
          <t xml:space="preserve">
Total Churn: 1.27%
Retail Churn: 1.21%</t>
        </r>
      </text>
    </comment>
    <comment ref="BW298" authorId="6">
      <text>
        <r>
          <rPr>
            <b/>
            <sz val="8"/>
            <color indexed="8"/>
            <rFont val="Tahoma"/>
            <family val="2"/>
          </rPr>
          <t>Daniel Gaviria:</t>
        </r>
        <r>
          <rPr>
            <sz val="8"/>
            <color indexed="8"/>
            <rFont val="Tahoma"/>
            <family val="2"/>
          </rPr>
          <t xml:space="preserve">
Total Churn: 1.20%
Retail Churn: 1.21%</t>
        </r>
      </text>
    </comment>
    <comment ref="BX298" authorId="6">
      <text>
        <r>
          <rPr>
            <b/>
            <sz val="8"/>
            <color indexed="8"/>
            <rFont val="Tahoma"/>
            <family val="2"/>
          </rPr>
          <t>Daniel Gaviria:</t>
        </r>
        <r>
          <rPr>
            <sz val="8"/>
            <color indexed="8"/>
            <rFont val="Tahoma"/>
            <family val="2"/>
          </rPr>
          <t xml:space="preserve">
Total Churn: 1.19%
Retail Churn: 1.18%</t>
        </r>
      </text>
    </comment>
    <comment ref="BY298" authorId="6">
      <text>
        <r>
          <rPr>
            <b/>
            <sz val="8"/>
            <color indexed="8"/>
            <rFont val="Tahoma"/>
            <family val="2"/>
          </rPr>
          <t>Daniel Gaviria:</t>
        </r>
        <r>
          <rPr>
            <sz val="8"/>
            <color indexed="8"/>
            <rFont val="Tahoma"/>
            <family val="2"/>
          </rPr>
          <t xml:space="preserve">
Total Churn: 1.12%
Retail Churn: 1.11%</t>
        </r>
      </text>
    </comment>
    <comment ref="BZ298" authorId="6">
      <text>
        <r>
          <rPr>
            <b/>
            <sz val="8"/>
            <color indexed="8"/>
            <rFont val="Tahoma"/>
            <family val="2"/>
          </rPr>
          <t>Daniel Gaviria:</t>
        </r>
        <r>
          <rPr>
            <sz val="8"/>
            <color indexed="8"/>
            <rFont val="Tahoma"/>
            <family val="2"/>
          </rPr>
          <t xml:space="preserve">
Total Churn: 1.33%
Retail Churn: 1.32%</t>
        </r>
      </text>
    </comment>
    <comment ref="CA298" authorId="14">
      <text>
        <r>
          <rPr>
            <b/>
            <sz val="8"/>
            <color indexed="8"/>
            <rFont val="Tahoma"/>
            <family val="2"/>
          </rPr>
          <t>katzedwa:</t>
        </r>
        <r>
          <rPr>
            <sz val="8"/>
            <color indexed="8"/>
            <rFont val="Tahoma"/>
            <family val="2"/>
          </rPr>
          <t xml:space="preserve">
Total churn: 1.35%, Retail churn: 1.34%</t>
        </r>
      </text>
    </comment>
    <comment ref="CN303" authorId="15">
      <text>
        <r>
          <rPr>
            <b/>
            <sz val="8"/>
            <color indexed="8"/>
            <rFont val="Tahoma"/>
            <family val="2"/>
          </rPr>
          <t>armintas:</t>
        </r>
        <r>
          <rPr>
            <sz val="8"/>
            <color indexed="8"/>
            <rFont val="Tahoma"/>
            <family val="2"/>
          </rPr>
          <t xml:space="preserve">
468K  wholesale adds in the quarter provided by the company</t>
        </r>
      </text>
    </comment>
    <comment ref="CO303" authorId="15">
      <text>
        <r>
          <rPr>
            <b/>
            <sz val="8"/>
            <color indexed="8"/>
            <rFont val="Tahoma"/>
            <family val="2"/>
          </rPr>
          <t>jmwarren:  assume wholesale adds remain constant from 1Q12</t>
        </r>
      </text>
    </comment>
    <comment ref="CP303" authorId="15">
      <text>
        <r>
          <rPr>
            <b/>
            <sz val="8"/>
            <color indexed="8"/>
            <rFont val="Tahoma"/>
            <family val="2"/>
          </rPr>
          <t>jmwarren:  assume wholesale adds remain constant from 1Q12</t>
        </r>
      </text>
    </comment>
    <comment ref="CQ303" authorId="15">
      <text>
        <r>
          <rPr>
            <b/>
            <sz val="8"/>
            <color indexed="8"/>
            <rFont val="Tahoma"/>
            <family val="2"/>
          </rPr>
          <t>jmwarren:  assume wholesale adds remain constant from 1Q12</t>
        </r>
      </text>
    </comment>
    <comment ref="CR303" authorId="5">
      <text>
        <r>
          <rPr>
            <b/>
            <sz val="8"/>
            <color indexed="8"/>
            <rFont val="Tahoma"/>
            <family val="2"/>
          </rPr>
          <t>warjohn:</t>
        </r>
        <r>
          <rPr>
            <sz val="8"/>
            <color indexed="8"/>
            <rFont val="Tahoma"/>
            <family val="2"/>
          </rPr>
          <t xml:space="preserve">
Fran highlighted 1M reseller net adds on 1Q13 call</t>
        </r>
      </text>
    </comment>
    <comment ref="CS303" authorId="5">
      <text>
        <r>
          <rPr>
            <b/>
            <sz val="8"/>
            <color indexed="8"/>
            <rFont val="Tahoma"/>
            <family val="2"/>
          </rPr>
          <t>warjohn:</t>
        </r>
        <r>
          <rPr>
            <sz val="8"/>
            <color indexed="8"/>
            <rFont val="Tahoma"/>
            <family val="2"/>
          </rPr>
          <t xml:space="preserve">
Assume ~1/2 of 1Q reseller adds.</t>
        </r>
      </text>
    </comment>
    <comment ref="CT303" authorId="5">
      <text>
        <r>
          <rPr>
            <b/>
            <sz val="8"/>
            <color indexed="8"/>
            <rFont val="Tahoma"/>
            <family val="2"/>
          </rPr>
          <t>warjohn:</t>
        </r>
        <r>
          <rPr>
            <sz val="8"/>
            <color indexed="8"/>
            <rFont val="Tahoma"/>
            <family val="2"/>
          </rPr>
          <t xml:space="preserve">
Assume ~1/2 of 1Q reseller adds.</t>
        </r>
      </text>
    </comment>
    <comment ref="CU303" authorId="5">
      <text>
        <r>
          <rPr>
            <b/>
            <sz val="8"/>
            <color indexed="8"/>
            <rFont val="Tahoma"/>
            <family val="2"/>
          </rPr>
          <t>warjohn:</t>
        </r>
        <r>
          <rPr>
            <sz val="8"/>
            <color indexed="8"/>
            <rFont val="Tahoma"/>
            <family val="2"/>
          </rPr>
          <t xml:space="preserve">
Assume ~1/2 of 1Q reseller adds.</t>
        </r>
      </text>
    </comment>
    <comment ref="CV303" authorId="9">
      <text>
        <r>
          <rPr>
            <b/>
            <sz val="8"/>
            <color indexed="81"/>
            <rFont val="Tahoma"/>
            <family val="2"/>
          </rPr>
          <t>Armintas Sinkevicius:</t>
        </r>
        <r>
          <rPr>
            <sz val="8"/>
            <color indexed="81"/>
            <rFont val="Tahoma"/>
            <family val="2"/>
          </rPr>
          <t xml:space="preserve">
Assume ~1/2 of 1Q reseller adds.</t>
        </r>
      </text>
    </comment>
    <comment ref="CW303" authorId="9">
      <text>
        <r>
          <rPr>
            <b/>
            <sz val="8"/>
            <color indexed="81"/>
            <rFont val="Tahoma"/>
            <family val="2"/>
          </rPr>
          <t>Armintas Sinkevicius:</t>
        </r>
        <r>
          <rPr>
            <sz val="8"/>
            <color indexed="81"/>
            <rFont val="Tahoma"/>
            <family val="2"/>
          </rPr>
          <t xml:space="preserve">
Assume ~1/2 of 1Q reseller adds.</t>
        </r>
      </text>
    </comment>
    <comment ref="CX303" authorId="9">
      <text>
        <r>
          <rPr>
            <b/>
            <sz val="8"/>
            <color indexed="81"/>
            <rFont val="Tahoma"/>
            <family val="2"/>
          </rPr>
          <t>Armintas Sinkevicius:</t>
        </r>
        <r>
          <rPr>
            <sz val="8"/>
            <color indexed="81"/>
            <rFont val="Tahoma"/>
            <family val="2"/>
          </rPr>
          <t xml:space="preserve">
Assume ~1/2 of 1Q reseller adds.</t>
        </r>
      </text>
    </comment>
    <comment ref="CY303" authorId="9">
      <text>
        <r>
          <rPr>
            <b/>
            <sz val="8"/>
            <color indexed="81"/>
            <rFont val="Tahoma"/>
            <family val="2"/>
          </rPr>
          <t>Armintas Sinkevicius:</t>
        </r>
        <r>
          <rPr>
            <sz val="8"/>
            <color indexed="81"/>
            <rFont val="Tahoma"/>
            <family val="2"/>
          </rPr>
          <t xml:space="preserve">
Assume ~1/2 of 1Q reseller adds.</t>
        </r>
      </text>
    </comment>
    <comment ref="CZ303" authorId="9">
      <text>
        <r>
          <rPr>
            <b/>
            <sz val="8"/>
            <color indexed="81"/>
            <rFont val="Tahoma"/>
            <family val="2"/>
          </rPr>
          <t>Armintas Sinkevicius:</t>
        </r>
        <r>
          <rPr>
            <sz val="8"/>
            <color indexed="81"/>
            <rFont val="Tahoma"/>
            <family val="2"/>
          </rPr>
          <t xml:space="preserve">
Assume ~1/2 of 1Q reseller adds.</t>
        </r>
      </text>
    </comment>
    <comment ref="DA303" authorId="9">
      <text>
        <r>
          <rPr>
            <b/>
            <sz val="8"/>
            <color indexed="81"/>
            <rFont val="Tahoma"/>
            <family val="2"/>
          </rPr>
          <t>Armintas Sinkevicius:</t>
        </r>
        <r>
          <rPr>
            <sz val="8"/>
            <color indexed="81"/>
            <rFont val="Tahoma"/>
            <family val="2"/>
          </rPr>
          <t xml:space="preserve">
Assume ~1/2 of 1Q reseller adds.</t>
        </r>
      </text>
    </comment>
    <comment ref="CO310" authorId="5">
      <text>
        <r>
          <rPr>
            <b/>
            <sz val="8"/>
            <color indexed="8"/>
            <rFont val="Tahoma"/>
            <family val="2"/>
          </rPr>
          <t>warjohn:</t>
        </r>
        <r>
          <rPr>
            <sz val="8"/>
            <color indexed="8"/>
            <rFont val="Tahoma"/>
            <family val="2"/>
          </rPr>
          <t xml:space="preserve">
includes 468 assumed wholesale adds and 12 assumed acquired adds</t>
        </r>
      </text>
    </comment>
    <comment ref="CP310" authorId="5">
      <text>
        <r>
          <rPr>
            <b/>
            <sz val="8"/>
            <color indexed="8"/>
            <rFont val="Tahoma"/>
            <family val="2"/>
          </rPr>
          <t>warjohn:</t>
        </r>
        <r>
          <rPr>
            <sz val="8"/>
            <color indexed="8"/>
            <rFont val="Tahoma"/>
            <family val="2"/>
          </rPr>
          <t xml:space="preserve">
includes 468 assumed wholesale adds and 12 assumed acquired adds</t>
        </r>
      </text>
    </comment>
    <comment ref="CQ310" authorId="5">
      <text>
        <r>
          <rPr>
            <b/>
            <sz val="8"/>
            <color indexed="8"/>
            <rFont val="Tahoma"/>
            <family val="2"/>
          </rPr>
          <t>warjohn:</t>
        </r>
        <r>
          <rPr>
            <sz val="8"/>
            <color indexed="8"/>
            <rFont val="Tahoma"/>
            <family val="2"/>
          </rPr>
          <t xml:space="preserve">
includes 468 assumed wholesale adds and 12 assumed acquired adds</t>
        </r>
      </text>
    </comment>
    <comment ref="CR310" authorId="5">
      <text>
        <r>
          <rPr>
            <b/>
            <sz val="8"/>
            <color indexed="8"/>
            <rFont val="Tahoma"/>
            <family val="2"/>
          </rPr>
          <t>warjohn:</t>
        </r>
        <r>
          <rPr>
            <sz val="8"/>
            <color indexed="8"/>
            <rFont val="Tahoma"/>
            <family val="2"/>
          </rPr>
          <t xml:space="preserve">
Fran highlighted 1M reseller net adds on 1Q13 call</t>
        </r>
      </text>
    </comment>
    <comment ref="CS310" authorId="5">
      <text>
        <r>
          <rPr>
            <b/>
            <sz val="8"/>
            <color indexed="8"/>
            <rFont val="Tahoma"/>
            <family val="2"/>
          </rPr>
          <t>warjohn:</t>
        </r>
        <r>
          <rPr>
            <sz val="8"/>
            <color indexed="8"/>
            <rFont val="Tahoma"/>
            <family val="2"/>
          </rPr>
          <t xml:space="preserve">
Assume ~1/2 of 1Q reseller adds.</t>
        </r>
      </text>
    </comment>
    <comment ref="CT310" authorId="5">
      <text>
        <r>
          <rPr>
            <b/>
            <sz val="8"/>
            <color indexed="8"/>
            <rFont val="Tahoma"/>
            <family val="2"/>
          </rPr>
          <t>warjohn:</t>
        </r>
        <r>
          <rPr>
            <sz val="8"/>
            <color indexed="8"/>
            <rFont val="Tahoma"/>
            <family val="2"/>
          </rPr>
          <t xml:space="preserve">
Assume ~1/2 of 1Q reseller adds.</t>
        </r>
      </text>
    </comment>
    <comment ref="CU310" authorId="5">
      <text>
        <r>
          <rPr>
            <b/>
            <sz val="8"/>
            <color indexed="8"/>
            <rFont val="Tahoma"/>
            <family val="2"/>
          </rPr>
          <t>warjohn:</t>
        </r>
        <r>
          <rPr>
            <sz val="8"/>
            <color indexed="8"/>
            <rFont val="Tahoma"/>
            <family val="2"/>
          </rPr>
          <t xml:space="preserve">
Assume ~1/2 of 1Q reseller adds.</t>
        </r>
      </text>
    </comment>
    <comment ref="CV310" authorId="9">
      <text>
        <r>
          <rPr>
            <b/>
            <sz val="8"/>
            <color indexed="81"/>
            <rFont val="Tahoma"/>
            <family val="2"/>
          </rPr>
          <t>Armintas Sinkevicius:</t>
        </r>
        <r>
          <rPr>
            <sz val="8"/>
            <color indexed="81"/>
            <rFont val="Tahoma"/>
            <family val="2"/>
          </rPr>
          <t xml:space="preserve">
Assume ~1/2 of 1Q reseller adds.</t>
        </r>
      </text>
    </comment>
    <comment ref="CW310" authorId="9">
      <text>
        <r>
          <rPr>
            <b/>
            <sz val="8"/>
            <color indexed="81"/>
            <rFont val="Tahoma"/>
            <family val="2"/>
          </rPr>
          <t>Armintas Sinkevicius:</t>
        </r>
        <r>
          <rPr>
            <sz val="8"/>
            <color indexed="81"/>
            <rFont val="Tahoma"/>
            <family val="2"/>
          </rPr>
          <t xml:space="preserve">
Assume ~1/2 of 1Q reseller adds.</t>
        </r>
      </text>
    </comment>
    <comment ref="CX310" authorId="9">
      <text>
        <r>
          <rPr>
            <b/>
            <sz val="8"/>
            <color indexed="81"/>
            <rFont val="Tahoma"/>
            <family val="2"/>
          </rPr>
          <t>Armintas Sinkevicius:</t>
        </r>
        <r>
          <rPr>
            <sz val="8"/>
            <color indexed="81"/>
            <rFont val="Tahoma"/>
            <family val="2"/>
          </rPr>
          <t xml:space="preserve">
Assume ~1/2 of 1Q reseller adds.</t>
        </r>
      </text>
    </comment>
    <comment ref="CY310" authorId="9">
      <text>
        <r>
          <rPr>
            <b/>
            <sz val="8"/>
            <color indexed="81"/>
            <rFont val="Tahoma"/>
            <family val="2"/>
          </rPr>
          <t>Armintas Sinkevicius:</t>
        </r>
        <r>
          <rPr>
            <sz val="8"/>
            <color indexed="81"/>
            <rFont val="Tahoma"/>
            <family val="2"/>
          </rPr>
          <t xml:space="preserve">
Assume ~1/2 of 1Q reseller adds.</t>
        </r>
      </text>
    </comment>
    <comment ref="CZ310" authorId="9">
      <text>
        <r>
          <rPr>
            <b/>
            <sz val="8"/>
            <color indexed="81"/>
            <rFont val="Tahoma"/>
            <family val="2"/>
          </rPr>
          <t>Armintas Sinkevicius:</t>
        </r>
        <r>
          <rPr>
            <sz val="8"/>
            <color indexed="81"/>
            <rFont val="Tahoma"/>
            <family val="2"/>
          </rPr>
          <t xml:space="preserve">
Assume ~1/2 of 1Q reseller adds.</t>
        </r>
      </text>
    </comment>
    <comment ref="DA310" authorId="9">
      <text>
        <r>
          <rPr>
            <b/>
            <sz val="8"/>
            <color indexed="81"/>
            <rFont val="Tahoma"/>
            <family val="2"/>
          </rPr>
          <t>Armintas Sinkevicius:</t>
        </r>
        <r>
          <rPr>
            <sz val="8"/>
            <color indexed="81"/>
            <rFont val="Tahoma"/>
            <family val="2"/>
          </rPr>
          <t xml:space="preserve">
Assume ~1/2 of 1Q reseller adds.</t>
        </r>
      </text>
    </comment>
    <comment ref="AU340" authorId="0">
      <text>
        <r>
          <rPr>
            <b/>
            <sz val="8"/>
            <color indexed="8"/>
            <rFont val="Tahoma"/>
            <family val="2"/>
          </rPr>
          <t>haydenn:</t>
        </r>
        <r>
          <rPr>
            <sz val="8"/>
            <color indexed="8"/>
            <rFont val="Tahoma"/>
            <family val="2"/>
          </rPr>
          <t xml:space="preserve">
restated in 4q01</t>
        </r>
      </text>
    </comment>
    <comment ref="AU341" authorId="0">
      <text>
        <r>
          <rPr>
            <b/>
            <sz val="8"/>
            <color indexed="8"/>
            <rFont val="Tahoma"/>
            <family val="2"/>
          </rPr>
          <t>haydenn:</t>
        </r>
        <r>
          <rPr>
            <sz val="8"/>
            <color indexed="8"/>
            <rFont val="Tahoma"/>
            <family val="2"/>
          </rPr>
          <t xml:space="preserve">
restated in 4q01</t>
        </r>
      </text>
    </comment>
    <comment ref="AU342" authorId="0">
      <text>
        <r>
          <rPr>
            <b/>
            <sz val="8"/>
            <color indexed="8"/>
            <rFont val="Tahoma"/>
            <family val="2"/>
          </rPr>
          <t>haydenn:</t>
        </r>
        <r>
          <rPr>
            <sz val="8"/>
            <color indexed="8"/>
            <rFont val="Tahoma"/>
            <family val="2"/>
          </rPr>
          <t xml:space="preserve">
restated in 4q01</t>
        </r>
      </text>
    </comment>
    <comment ref="AU344" authorId="0">
      <text>
        <r>
          <rPr>
            <b/>
            <sz val="8"/>
            <color indexed="8"/>
            <rFont val="Tahoma"/>
            <family val="2"/>
          </rPr>
          <t>haydenn:</t>
        </r>
        <r>
          <rPr>
            <sz val="8"/>
            <color indexed="8"/>
            <rFont val="Tahoma"/>
            <family val="2"/>
          </rPr>
          <t xml:space="preserve">
restated in 4q01</t>
        </r>
      </text>
    </comment>
    <comment ref="AU345" authorId="0">
      <text>
        <r>
          <rPr>
            <b/>
            <sz val="8"/>
            <color indexed="8"/>
            <rFont val="Tahoma"/>
            <family val="2"/>
          </rPr>
          <t>haydenn:</t>
        </r>
        <r>
          <rPr>
            <sz val="8"/>
            <color indexed="8"/>
            <rFont val="Tahoma"/>
            <family val="2"/>
          </rPr>
          <t xml:space="preserve">
restated in 4q01</t>
        </r>
      </text>
    </comment>
    <comment ref="BF353" authorId="10">
      <text>
        <r>
          <rPr>
            <b/>
            <sz val="8"/>
            <color indexed="8"/>
            <rFont val="Tahoma"/>
            <family val="2"/>
          </rPr>
          <t>agarwalp:</t>
        </r>
        <r>
          <rPr>
            <sz val="8"/>
            <color indexed="8"/>
            <rFont val="Tahoma"/>
            <family val="2"/>
          </rPr>
          <t xml:space="preserve">
SG&amp;A was 327, and 'sales of businesses' was (141)
</t>
        </r>
      </text>
    </comment>
    <comment ref="BD369" authorId="10">
      <text>
        <r>
          <rPr>
            <sz val="8"/>
            <color indexed="8"/>
            <rFont val="Tahoma"/>
            <family val="2"/>
          </rPr>
          <t>Income before discontinued operations &amp; cumulative effect of accounting change</t>
        </r>
      </text>
    </comment>
    <comment ref="BQ380" authorId="1">
      <text>
        <r>
          <rPr>
            <b/>
            <sz val="8"/>
            <color indexed="8"/>
            <rFont val="Tahoma"/>
            <family val="2"/>
          </rPr>
          <t>smythra:</t>
        </r>
        <r>
          <rPr>
            <sz val="8"/>
            <color indexed="8"/>
            <rFont val="Tahoma"/>
            <family val="2"/>
          </rPr>
          <t xml:space="preserve">
I'm including the $252 MM CFO from discontinued here</t>
        </r>
      </text>
    </comment>
    <comment ref="DH380" authorId="7">
      <text>
        <r>
          <rPr>
            <sz val="9"/>
            <color indexed="81"/>
            <rFont val="Tahoma"/>
            <family val="2"/>
          </rPr>
          <t>$3,411M contribution to pension</t>
        </r>
      </text>
    </comment>
    <comment ref="DL380" authorId="7">
      <text>
        <r>
          <rPr>
            <sz val="9"/>
            <color indexed="81"/>
            <rFont val="Tahoma"/>
            <family val="2"/>
          </rPr>
          <t>1Q18 - CFS includes restricted cash
Plug to match beginning cash balance</t>
        </r>
      </text>
    </comment>
    <comment ref="CB384" authorId="15">
      <text>
        <r>
          <rPr>
            <b/>
            <sz val="8"/>
            <color indexed="8"/>
            <rFont val="Tahoma"/>
            <family val="2"/>
          </rPr>
          <t>armintas:</t>
        </r>
        <r>
          <rPr>
            <sz val="8"/>
            <color indexed="8"/>
            <rFont val="Tahoma"/>
            <family val="2"/>
          </rPr>
          <t xml:space="preserve">
Capex assumed to match proforma data published w/ 1Q11</t>
        </r>
      </text>
    </comment>
    <comment ref="CC384" authorId="15">
      <text>
        <r>
          <rPr>
            <b/>
            <sz val="8"/>
            <color indexed="8"/>
            <rFont val="Tahoma"/>
            <family val="2"/>
          </rPr>
          <t>armintas:</t>
        </r>
        <r>
          <rPr>
            <sz val="8"/>
            <color indexed="8"/>
            <rFont val="Tahoma"/>
            <family val="2"/>
          </rPr>
          <t xml:space="preserve">
Capex assumed to match proforma data published w/ 1Q11</t>
        </r>
      </text>
    </comment>
    <comment ref="CD384" authorId="15">
      <text>
        <r>
          <rPr>
            <b/>
            <sz val="8"/>
            <color indexed="8"/>
            <rFont val="Tahoma"/>
            <family val="2"/>
          </rPr>
          <t>armintas:</t>
        </r>
        <r>
          <rPr>
            <sz val="8"/>
            <color indexed="8"/>
            <rFont val="Tahoma"/>
            <family val="2"/>
          </rPr>
          <t xml:space="preserve">
Capex assumed to match proforma data published w/ 1Q11</t>
        </r>
      </text>
    </comment>
    <comment ref="CE384" authorId="15">
      <text>
        <r>
          <rPr>
            <b/>
            <sz val="8"/>
            <color indexed="8"/>
            <rFont val="Tahoma"/>
            <family val="2"/>
          </rPr>
          <t>armintas:</t>
        </r>
        <r>
          <rPr>
            <sz val="8"/>
            <color indexed="8"/>
            <rFont val="Tahoma"/>
            <family val="2"/>
          </rPr>
          <t xml:space="preserve">
Capex assumed to match proforma data published w/ 1Q11</t>
        </r>
      </text>
    </comment>
    <comment ref="DE389" authorId="7">
      <text>
        <r>
          <rPr>
            <sz val="10"/>
            <color indexed="81"/>
            <rFont val="Tahoma"/>
            <family val="2"/>
          </rPr>
          <t>$9,882M  = Frontier asset sale</t>
        </r>
      </text>
    </comment>
    <comment ref="DF389" authorId="7">
      <text>
        <r>
          <rPr>
            <sz val="10"/>
            <color indexed="81"/>
            <rFont val="Tahoma"/>
            <family val="2"/>
          </rPr>
          <t>$9,882M  = Frontier asset sale</t>
        </r>
      </text>
    </comment>
    <comment ref="DI389" authorId="7">
      <text>
        <r>
          <rPr>
            <sz val="9"/>
            <color indexed="81"/>
            <rFont val="Tahoma"/>
            <family val="2"/>
          </rPr>
          <t>3,512M data center sale to EQIX</t>
        </r>
      </text>
    </comment>
    <comment ref="CB401" authorId="15">
      <text>
        <r>
          <rPr>
            <b/>
            <sz val="8"/>
            <color indexed="8"/>
            <rFont val="Tahoma"/>
            <family val="2"/>
          </rPr>
          <t>armintas:</t>
        </r>
        <r>
          <rPr>
            <sz val="8"/>
            <color indexed="8"/>
            <rFont val="Tahoma"/>
            <family val="2"/>
          </rPr>
          <t xml:space="preserve">
Capex assumed to match proforma data published w/ 1Q11</t>
        </r>
      </text>
    </comment>
    <comment ref="CC401" authorId="15">
      <text>
        <r>
          <rPr>
            <b/>
            <sz val="8"/>
            <color indexed="8"/>
            <rFont val="Tahoma"/>
            <family val="2"/>
          </rPr>
          <t>armintas:</t>
        </r>
        <r>
          <rPr>
            <sz val="8"/>
            <color indexed="8"/>
            <rFont val="Tahoma"/>
            <family val="2"/>
          </rPr>
          <t xml:space="preserve">
Capex assumed to match proforma data published w/ 1Q11</t>
        </r>
      </text>
    </comment>
    <comment ref="CD401" authorId="15">
      <text>
        <r>
          <rPr>
            <b/>
            <sz val="8"/>
            <color indexed="8"/>
            <rFont val="Tahoma"/>
            <family val="2"/>
          </rPr>
          <t>armintas:</t>
        </r>
        <r>
          <rPr>
            <sz val="8"/>
            <color indexed="8"/>
            <rFont val="Tahoma"/>
            <family val="2"/>
          </rPr>
          <t xml:space="preserve">
Capex assumed to match proforma data published w/ 1Q11</t>
        </r>
      </text>
    </comment>
    <comment ref="CE401" authorId="15">
      <text>
        <r>
          <rPr>
            <b/>
            <sz val="8"/>
            <color indexed="8"/>
            <rFont val="Tahoma"/>
            <family val="2"/>
          </rPr>
          <t>armintas:</t>
        </r>
        <r>
          <rPr>
            <sz val="8"/>
            <color indexed="8"/>
            <rFont val="Tahoma"/>
            <family val="2"/>
          </rPr>
          <t xml:space="preserve">
Capex assumed to match proforma data published w/ 1Q11</t>
        </r>
      </text>
    </comment>
    <comment ref="BP453" authorId="6">
      <text>
        <r>
          <rPr>
            <b/>
            <sz val="8"/>
            <color indexed="8"/>
            <rFont val="Tahoma"/>
            <family val="2"/>
          </rPr>
          <t>Daniel Gaviria:</t>
        </r>
        <r>
          <rPr>
            <sz val="8"/>
            <color indexed="8"/>
            <rFont val="Tahoma"/>
            <family val="2"/>
          </rPr>
          <t xml:space="preserve">
Adjusted for Idearc spinoff.
Total revs in 1Q06 wld have been  $21,429</t>
        </r>
      </text>
    </comment>
    <comment ref="BQ453" authorId="6">
      <text>
        <r>
          <rPr>
            <b/>
            <sz val="8"/>
            <color indexed="8"/>
            <rFont val="Tahoma"/>
            <family val="2"/>
          </rPr>
          <t>Daniel Gaviria:</t>
        </r>
        <r>
          <rPr>
            <sz val="8"/>
            <color indexed="8"/>
            <rFont val="Tahoma"/>
            <family val="2"/>
          </rPr>
          <t xml:space="preserve">
Adjusted for Idearc spinoff.
Total revs in 2Q06 wld have been  $21,859</t>
        </r>
      </text>
    </comment>
    <comment ref="BR453" authorId="6">
      <text>
        <r>
          <rPr>
            <b/>
            <sz val="8"/>
            <color indexed="8"/>
            <rFont val="Tahoma"/>
            <family val="2"/>
          </rPr>
          <t>Daniel Gaviria:</t>
        </r>
        <r>
          <rPr>
            <sz val="8"/>
            <color indexed="8"/>
            <rFont val="Tahoma"/>
            <family val="2"/>
          </rPr>
          <t xml:space="preserve">
Adjusted for Idearc spinoff.
Total revs in 3Q06 wld have been  $22,434</t>
        </r>
      </text>
    </comment>
    <comment ref="BS453" authorId="6">
      <text>
        <r>
          <rPr>
            <b/>
            <sz val="8"/>
            <color indexed="8"/>
            <rFont val="Tahoma"/>
            <family val="2"/>
          </rPr>
          <t>Daniel Gaviria:</t>
        </r>
        <r>
          <rPr>
            <sz val="8"/>
            <color indexed="8"/>
            <rFont val="Tahoma"/>
            <family val="2"/>
          </rPr>
          <t xml:space="preserve">
Adjusted 4Q06 total revs were $22,583
</t>
        </r>
      </text>
    </comment>
  </commentList>
</comments>
</file>

<file path=xl/comments18.xml><?xml version="1.0" encoding="utf-8"?>
<comments xmlns="http://schemas.openxmlformats.org/spreadsheetml/2006/main">
  <authors>
    <author>agarwalp</author>
    <author>Daniel Gaviria</author>
    <author>wlsuch</author>
    <author>borbonma</author>
    <author>dgaviria</author>
  </authors>
  <commentList>
    <comment ref="AW3" authorId="0">
      <text>
        <r>
          <rPr>
            <b/>
            <sz val="8"/>
            <color indexed="8"/>
            <rFont val="Tahoma"/>
            <family val="2"/>
          </rPr>
          <t>agarwalp:</t>
        </r>
        <r>
          <rPr>
            <sz val="8"/>
            <color indexed="8"/>
            <rFont val="Tahoma"/>
            <family val="2"/>
          </rPr>
          <t xml:space="preserve">
EPS is for VZ Standalone</t>
        </r>
      </text>
    </comment>
    <comment ref="AX3" authorId="0">
      <text>
        <r>
          <rPr>
            <b/>
            <sz val="8"/>
            <color indexed="8"/>
            <rFont val="Tahoma"/>
            <family val="2"/>
          </rPr>
          <t>agarwalp:</t>
        </r>
        <r>
          <rPr>
            <sz val="8"/>
            <color indexed="8"/>
            <rFont val="Tahoma"/>
            <family val="2"/>
          </rPr>
          <t xml:space="preserve">
EPS is for VZ Standalone</t>
        </r>
      </text>
    </comment>
    <comment ref="AY3" authorId="0">
      <text>
        <r>
          <rPr>
            <b/>
            <sz val="8"/>
            <color indexed="8"/>
            <rFont val="Tahoma"/>
            <family val="2"/>
          </rPr>
          <t>agarwalp:</t>
        </r>
        <r>
          <rPr>
            <sz val="8"/>
            <color indexed="8"/>
            <rFont val="Tahoma"/>
            <family val="2"/>
          </rPr>
          <t xml:space="preserve">
EPS is for VZ Standalone</t>
        </r>
      </text>
    </comment>
    <comment ref="AZ3" authorId="0">
      <text>
        <r>
          <rPr>
            <b/>
            <sz val="8"/>
            <color indexed="8"/>
            <rFont val="Tahoma"/>
            <family val="2"/>
          </rPr>
          <t>agarwalp:</t>
        </r>
        <r>
          <rPr>
            <sz val="8"/>
            <color indexed="8"/>
            <rFont val="Tahoma"/>
            <family val="2"/>
          </rPr>
          <t xml:space="preserve">
EPS is for VZ Standalone</t>
        </r>
      </text>
    </comment>
    <comment ref="BA3" authorId="0">
      <text>
        <r>
          <rPr>
            <b/>
            <sz val="8"/>
            <color indexed="8"/>
            <rFont val="Tahoma"/>
            <family val="2"/>
          </rPr>
          <t>agarwalp:</t>
        </r>
        <r>
          <rPr>
            <sz val="8"/>
            <color indexed="8"/>
            <rFont val="Tahoma"/>
            <family val="2"/>
          </rPr>
          <t xml:space="preserve">
EPS is for VZ Standalone</t>
        </r>
      </text>
    </comment>
    <comment ref="BB3" authorId="0">
      <text>
        <r>
          <rPr>
            <b/>
            <sz val="8"/>
            <color indexed="8"/>
            <rFont val="Tahoma"/>
            <family val="2"/>
          </rPr>
          <t>agarwalp:</t>
        </r>
        <r>
          <rPr>
            <sz val="8"/>
            <color indexed="8"/>
            <rFont val="Tahoma"/>
            <family val="2"/>
          </rPr>
          <t xml:space="preserve">
EPS is for VZ Standalone</t>
        </r>
      </text>
    </comment>
    <comment ref="BC3" authorId="0">
      <text>
        <r>
          <rPr>
            <b/>
            <sz val="8"/>
            <color indexed="8"/>
            <rFont val="Tahoma"/>
            <family val="2"/>
          </rPr>
          <t>agarwalp:</t>
        </r>
        <r>
          <rPr>
            <sz val="8"/>
            <color indexed="8"/>
            <rFont val="Tahoma"/>
            <family val="2"/>
          </rPr>
          <t xml:space="preserve">
EPS is for VZ Standalone</t>
        </r>
      </text>
    </comment>
    <comment ref="BD3" authorId="0">
      <text>
        <r>
          <rPr>
            <b/>
            <sz val="8"/>
            <color indexed="8"/>
            <rFont val="Tahoma"/>
            <family val="2"/>
          </rPr>
          <t>agarwalp:</t>
        </r>
        <r>
          <rPr>
            <sz val="8"/>
            <color indexed="8"/>
            <rFont val="Tahoma"/>
            <family val="2"/>
          </rPr>
          <t xml:space="preserve">
EPS is for VZ Standalone</t>
        </r>
      </text>
    </comment>
    <comment ref="BY24" authorId="1">
      <text>
        <r>
          <rPr>
            <b/>
            <sz val="8"/>
            <color indexed="8"/>
            <rFont val="Tahoma"/>
            <family val="2"/>
          </rPr>
          <t>Daniel Gaviria:</t>
        </r>
        <r>
          <rPr>
            <sz val="8"/>
            <color indexed="8"/>
            <rFont val="Tahoma"/>
            <family val="2"/>
          </rPr>
          <t xml:space="preserve">
INCLUDES VOIP</t>
        </r>
      </text>
    </comment>
    <comment ref="H52" authorId="2">
      <text>
        <r>
          <rPr>
            <b/>
            <sz val="8"/>
            <color indexed="8"/>
            <rFont val="Tahoma"/>
            <family val="2"/>
          </rPr>
          <t>wlsuch:</t>
        </r>
        <r>
          <rPr>
            <sz val="8"/>
            <color indexed="8"/>
            <rFont val="Tahoma"/>
            <family val="2"/>
          </rPr>
          <t xml:space="preserve">
In Jul 06 VZ restated Total Revenues through 1Q05 for discountinuation of International Segment; So does not match sum of Segment Revenues</t>
        </r>
      </text>
    </comment>
    <comment ref="I52" authorId="2">
      <text>
        <r>
          <rPr>
            <b/>
            <sz val="8"/>
            <color indexed="8"/>
            <rFont val="Tahoma"/>
            <family val="2"/>
          </rPr>
          <t>wlsuch:</t>
        </r>
        <r>
          <rPr>
            <sz val="8"/>
            <color indexed="8"/>
            <rFont val="Tahoma"/>
            <family val="2"/>
          </rPr>
          <t xml:space="preserve">
In Jul 06 VZ restated Total Revenues through 1Q05 for discountinuation of International Segment; So does not match sum of Segment Revenues</t>
        </r>
      </text>
    </comment>
    <comment ref="H62" authorId="2">
      <text>
        <r>
          <rPr>
            <b/>
            <sz val="8"/>
            <color indexed="8"/>
            <rFont val="Tahoma"/>
            <family val="2"/>
          </rPr>
          <t>wlsuch:</t>
        </r>
        <r>
          <rPr>
            <sz val="8"/>
            <color indexed="8"/>
            <rFont val="Tahoma"/>
            <family val="2"/>
          </rPr>
          <t xml:space="preserve">
In Jul 06 VZ restated Total Revenues through 1Q05 for discountinuation of International Segment; So does not match sum of Segment EBITDA</t>
        </r>
      </text>
    </comment>
    <comment ref="I62" authorId="2">
      <text>
        <r>
          <rPr>
            <b/>
            <sz val="8"/>
            <color indexed="8"/>
            <rFont val="Tahoma"/>
            <family val="2"/>
          </rPr>
          <t>wlsuch:</t>
        </r>
        <r>
          <rPr>
            <sz val="8"/>
            <color indexed="8"/>
            <rFont val="Tahoma"/>
            <family val="2"/>
          </rPr>
          <t xml:space="preserve">
In Jul 06 VZ restated Total Revenues through 1Q05 for discountinuation of International Segment; So does not match sum of Segment EBITDA</t>
        </r>
      </text>
    </comment>
    <comment ref="BM70" authorId="3">
      <text>
        <r>
          <rPr>
            <b/>
            <sz val="8"/>
            <color indexed="8"/>
            <rFont val="Tahoma"/>
            <family val="2"/>
          </rPr>
          <t>borbonma:</t>
        </r>
        <r>
          <rPr>
            <sz val="8"/>
            <color indexed="8"/>
            <rFont val="Tahoma"/>
            <family val="2"/>
          </rPr>
          <t xml:space="preserve">
since 1Q06 Proforma for alltel</t>
        </r>
      </text>
    </comment>
    <comment ref="BX70" authorId="3">
      <text>
        <r>
          <rPr>
            <b/>
            <sz val="8"/>
            <color indexed="8"/>
            <rFont val="Tahoma"/>
            <family val="2"/>
          </rPr>
          <t>borbonma:</t>
        </r>
        <r>
          <rPr>
            <sz val="8"/>
            <color indexed="8"/>
            <rFont val="Tahoma"/>
            <family val="2"/>
          </rPr>
          <t xml:space="preserve">
Pro-forma for Alltel</t>
        </r>
      </text>
    </comment>
    <comment ref="A72" authorId="2">
      <text>
        <r>
          <rPr>
            <b/>
            <sz val="8"/>
            <color indexed="8"/>
            <rFont val="Tahoma"/>
            <family val="2"/>
          </rPr>
          <t>wlsuch:</t>
        </r>
        <r>
          <rPr>
            <sz val="8"/>
            <color indexed="8"/>
            <rFont val="Tahoma"/>
            <family val="2"/>
          </rPr>
          <t xml:space="preserve">
Proforma for VZ/MCI</t>
        </r>
      </text>
    </comment>
    <comment ref="BT85" authorId="4">
      <text>
        <r>
          <rPr>
            <b/>
            <sz val="8"/>
            <color indexed="8"/>
            <rFont val="Tahoma"/>
            <family val="2"/>
          </rPr>
          <t>dgaviria:</t>
        </r>
        <r>
          <rPr>
            <sz val="8"/>
            <color indexed="8"/>
            <rFont val="Tahoma"/>
            <family val="2"/>
          </rPr>
          <t xml:space="preserve">
MS Calculation, assuming an elimination of $300M in roaming revs between the two carriers 
</t>
        </r>
        <r>
          <rPr>
            <b/>
            <sz val="8"/>
            <color indexed="8"/>
            <rFont val="Tahoma"/>
            <family val="2"/>
          </rPr>
          <t>NOTE:</t>
        </r>
        <r>
          <rPr>
            <sz val="8"/>
            <color indexed="8"/>
            <rFont val="Tahoma"/>
            <family val="2"/>
          </rPr>
          <t xml:space="preserve"> Company has nopt provided proforma details for periods prior to 1Q08 </t>
        </r>
      </text>
    </comment>
    <comment ref="BM116" authorId="3">
      <text>
        <r>
          <rPr>
            <b/>
            <sz val="8"/>
            <color indexed="8"/>
            <rFont val="Tahoma"/>
            <family val="2"/>
          </rPr>
          <t>borbonma:</t>
        </r>
        <r>
          <rPr>
            <sz val="8"/>
            <color indexed="8"/>
            <rFont val="Tahoma"/>
            <family val="2"/>
          </rPr>
          <t xml:space="preserve">
Proforma for Alltel</t>
        </r>
      </text>
    </comment>
  </commentList>
</comments>
</file>

<file path=xl/sharedStrings.xml><?xml version="1.0" encoding="utf-8"?>
<sst xmlns="http://schemas.openxmlformats.org/spreadsheetml/2006/main" count="4381" uniqueCount="2110">
  <si>
    <t>Total Churn</t>
  </si>
  <si>
    <t>Retail Churn</t>
  </si>
  <si>
    <t>Postpaid Disconnects</t>
  </si>
  <si>
    <t>Postpaid Churn</t>
  </si>
  <si>
    <t>Prepaid Disconnects</t>
  </si>
  <si>
    <t>Prepaid Churn</t>
  </si>
  <si>
    <t>Other Churn</t>
  </si>
  <si>
    <t>Disconnects (000s)</t>
  </si>
  <si>
    <t>% of gross adds</t>
  </si>
  <si>
    <t>Churn rate</t>
  </si>
  <si>
    <t>Alltel Disconnects (000s)</t>
  </si>
  <si>
    <t xml:space="preserve">Total churn </t>
  </si>
  <si>
    <t>Data Subscribers (000)</t>
  </si>
  <si>
    <t>Subscriber Split</t>
  </si>
  <si>
    <t xml:space="preserve">   Retail Subs</t>
  </si>
  <si>
    <t xml:space="preserve">   Retail Postpaid Subs</t>
  </si>
  <si>
    <t xml:space="preserve">   Net Adds</t>
  </si>
  <si>
    <t>Acquired</t>
  </si>
  <si>
    <t xml:space="preserve">   Retail Prepaid Subs</t>
  </si>
  <si>
    <t xml:space="preserve">   Reseller/Connected dev Subs</t>
  </si>
  <si>
    <t>Net Adds</t>
  </si>
  <si>
    <t>Acquired resale</t>
  </si>
  <si>
    <t>Total Reseller/Connected</t>
  </si>
  <si>
    <t>Total Retail Prepaid</t>
  </si>
  <si>
    <t>Reseller/Connected Disconnects</t>
  </si>
  <si>
    <t>Simon Flannery / simon.flannery@morganstanley.com / 212-761-6432</t>
  </si>
  <si>
    <t>Mode:</t>
  </si>
  <si>
    <t>Cash Balance</t>
  </si>
  <si>
    <t>For The Year Ended December 31,</t>
  </si>
  <si>
    <t>Total Debt + Pension / OPEB</t>
  </si>
  <si>
    <t>Diluted Shares</t>
  </si>
  <si>
    <t>Current Market Capitalization</t>
  </si>
  <si>
    <t>Equity Beta</t>
  </si>
  <si>
    <t>Less: Capital Expenditures</t>
  </si>
  <si>
    <t>Debt Cost of Capital</t>
  </si>
  <si>
    <t>Change in Working Capital</t>
  </si>
  <si>
    <t>Unlevered Free Cash Flow</t>
  </si>
  <si>
    <t>Debt / Total Capital (Current)</t>
  </si>
  <si>
    <t>Period Count</t>
  </si>
  <si>
    <t>Debt / Total Capital (Target)</t>
  </si>
  <si>
    <t>Weighted Average Cost of Capital</t>
  </si>
  <si>
    <t>NPV of Future Cash Flows</t>
  </si>
  <si>
    <t>DISCOUNTED CASH FLOW ANALYSIS</t>
  </si>
  <si>
    <t>Plus: NPV of Terminal Value</t>
  </si>
  <si>
    <t>Plus: Cash Balance</t>
  </si>
  <si>
    <t>Less: Total Debt + Pension / OPEB</t>
  </si>
  <si>
    <t>Diluted Shares Outstanding</t>
  </si>
  <si>
    <t>Equity Value Per Share</t>
  </si>
  <si>
    <t>Upside to Current Share Price</t>
  </si>
  <si>
    <t>Morgan Stanley Valuation for Verizon (VZ)</t>
  </si>
  <si>
    <t>…</t>
  </si>
  <si>
    <t>Bonus Depreciation Benefit / (Payment)</t>
  </si>
  <si>
    <t>Pension / OPEB Tax Benefit</t>
  </si>
  <si>
    <t>Adjustments (Incl. Tax Planning)</t>
  </si>
  <si>
    <t>Cash Tax (Payment) / Refund</t>
  </si>
  <si>
    <t>Actual Cash Taxes</t>
  </si>
  <si>
    <t>Pension: Contributions</t>
  </si>
  <si>
    <t>OPEB: Benefits Paid</t>
  </si>
  <si>
    <t>Pension / OPEB Tax Deduction</t>
  </si>
  <si>
    <t>w/ Bonus Depreciation</t>
  </si>
  <si>
    <t>Difference</t>
  </si>
  <si>
    <t>Implied Terminal Growth Rate</t>
  </si>
  <si>
    <t>Primary Lines</t>
  </si>
  <si>
    <t>Additional Lines</t>
  </si>
  <si>
    <t>Residence Retail</t>
  </si>
  <si>
    <t>Business Retail</t>
  </si>
  <si>
    <t>Total Broadband Subs</t>
  </si>
  <si>
    <t>Total Revenues from Income Statement</t>
  </si>
  <si>
    <t>Total Retail Postpaid</t>
  </si>
  <si>
    <t>Net Adds in Period (000)</t>
  </si>
  <si>
    <t>Equity Value Per Share (in 12 months)</t>
  </si>
  <si>
    <t xml:space="preserve"> % Resale of total adds</t>
  </si>
  <si>
    <t>Alltel Net customer additions:</t>
  </si>
  <si>
    <t xml:space="preserve">   Retail adds</t>
  </si>
  <si>
    <t xml:space="preserve"> % Resale of total</t>
  </si>
  <si>
    <t>Retail/Resale Split</t>
  </si>
  <si>
    <t xml:space="preserve">   Total Wireless Subs</t>
  </si>
  <si>
    <t xml:space="preserve">   Resale Subs</t>
  </si>
  <si>
    <t>Retail Subs / Total Subs</t>
  </si>
  <si>
    <t>Postpaid Subs / Total Subs</t>
  </si>
  <si>
    <t>Prepaid / Total Subs</t>
  </si>
  <si>
    <t>Reseller/ Total Subs</t>
  </si>
  <si>
    <t xml:space="preserve">  Postpaid/Prepaid Split</t>
  </si>
  <si>
    <t xml:space="preserve">   Postpaid Subs</t>
  </si>
  <si>
    <t xml:space="preserve">   Postpaid Net Adds</t>
  </si>
  <si>
    <t xml:space="preserve">   Prepaid Subs</t>
  </si>
  <si>
    <t xml:space="preserve">   Prepaid Net Adds</t>
  </si>
  <si>
    <t xml:space="preserve">    Postpaid / Total Retail</t>
  </si>
  <si>
    <t xml:space="preserve">    Prepaid / Total Retail</t>
  </si>
  <si>
    <t>Proforma Splits</t>
  </si>
  <si>
    <t>Retail Prepaid/Total Subs</t>
  </si>
  <si>
    <t>Reseller/Total Subs</t>
  </si>
  <si>
    <t>Alltel Retail/Resale Split</t>
  </si>
  <si>
    <t xml:space="preserve">  Alltel Postpaid/Prepaid Split</t>
  </si>
  <si>
    <t xml:space="preserve">   Retail Postpaid Net Adds</t>
  </si>
  <si>
    <t xml:space="preserve">   Retail Prepaid Net Adds</t>
  </si>
  <si>
    <t xml:space="preserve">    Retail Postpaid / Retail</t>
  </si>
  <si>
    <t xml:space="preserve">    Retail Prepaid / Retail</t>
  </si>
  <si>
    <t xml:space="preserve">    Retail Postpaid Adds / Retail adds</t>
  </si>
  <si>
    <t xml:space="preserve">    Retail Prepaid Adds / Retail adds</t>
  </si>
  <si>
    <t>% total retail service revenues</t>
  </si>
  <si>
    <t>% total service revenues</t>
  </si>
  <si>
    <t>ARPU</t>
  </si>
  <si>
    <t>Blended ARPU</t>
  </si>
  <si>
    <t>Retail ARPU</t>
  </si>
  <si>
    <t>Postpaid ARPU</t>
  </si>
  <si>
    <t>Prepaid ARPU</t>
  </si>
  <si>
    <t>Reseller/Connected ARPU</t>
  </si>
  <si>
    <t>Retail Postpaid Accounts</t>
  </si>
  <si>
    <t>Retail Postpaid ARPA</t>
  </si>
  <si>
    <t xml:space="preserve">        Total current assets </t>
  </si>
  <si>
    <t xml:space="preserve">PPE, net </t>
  </si>
  <si>
    <t xml:space="preserve">Wireless licenses, net </t>
  </si>
  <si>
    <t xml:space="preserve">Other intangibles, net </t>
  </si>
  <si>
    <t xml:space="preserve">Inv in unconsolidated entities </t>
  </si>
  <si>
    <t xml:space="preserve">        Total assets </t>
  </si>
  <si>
    <t xml:space="preserve">Liabilities and Partners’ Capital </t>
  </si>
  <si>
    <t xml:space="preserve">Current liabilities </t>
  </si>
  <si>
    <t xml:space="preserve"> Short-term obligations, including current maturities </t>
  </si>
  <si>
    <t xml:space="preserve"> Due to affiliates, net </t>
  </si>
  <si>
    <t xml:space="preserve"> Acc payable and acc liabilities </t>
  </si>
  <si>
    <t>CASH FLOW STATEMENT</t>
  </si>
  <si>
    <t xml:space="preserve">Cash Flows from Operating Activities </t>
  </si>
  <si>
    <t xml:space="preserve">Net income </t>
  </si>
  <si>
    <t xml:space="preserve">Adj: </t>
  </si>
  <si>
    <t xml:space="preserve">    Depreciation and amortization </t>
  </si>
  <si>
    <t xml:space="preserve">    Equity in income of unconsolidated entities </t>
  </si>
  <si>
    <t xml:space="preserve">    Minority interests </t>
  </si>
  <si>
    <t>    Net loss on disposal of PP&amp;E</t>
  </si>
  <si>
    <t xml:space="preserve">    Net gain on sale of other assets </t>
  </si>
  <si>
    <t xml:space="preserve">    Mark-to-market adjustment – financial instruments </t>
  </si>
  <si>
    <t xml:space="preserve">    Changes in certain assets and liabilities (net of the effects of purchased and </t>
  </si>
  <si>
    <t xml:space="preserve">Net cash provided by operating activities </t>
  </si>
  <si>
    <t xml:space="preserve">Cash Flows from Investing Activities </t>
  </si>
  <si>
    <t xml:space="preserve">Capital expenditures </t>
  </si>
  <si>
    <t>Proceeds from sale of PP&amp;E</t>
  </si>
  <si>
    <t xml:space="preserve">Acquisitions of businesses and licenses, net of cash acquired </t>
  </si>
  <si>
    <t xml:space="preserve">Wireless licenses refund </t>
  </si>
  <si>
    <t>Investment in debt obligations</t>
  </si>
  <si>
    <t xml:space="preserve">Distributions from unconsolidated entities </t>
  </si>
  <si>
    <t xml:space="preserve">Net cash used in investing activities </t>
  </si>
  <si>
    <t xml:space="preserve">Cash Flows from Financing Activities </t>
  </si>
  <si>
    <t>VZW Interest Expense / Income</t>
  </si>
  <si>
    <t>Sub Total</t>
  </si>
  <si>
    <t>New Int calc</t>
  </si>
  <si>
    <t>Interest income</t>
  </si>
  <si>
    <t xml:space="preserve"> % interest rate on cash (assumed)</t>
  </si>
  <si>
    <t>FCF (OCF - capex)</t>
  </si>
  <si>
    <t>VZ's proportionate FCF</t>
  </si>
  <si>
    <t>VOD's proportional FCF</t>
  </si>
  <si>
    <t>VZ consolidated FCF</t>
  </si>
  <si>
    <t>VZ's proportionate FCF/share</t>
  </si>
  <si>
    <t>VZ FCF Yld</t>
  </si>
  <si>
    <t>Share price</t>
  </si>
  <si>
    <t>VZ iPhone estimates</t>
  </si>
  <si>
    <t xml:space="preserve">iPhone Global Units </t>
  </si>
  <si>
    <t>y/y growth</t>
  </si>
  <si>
    <t>Verizon share</t>
  </si>
  <si>
    <t>VZW iPhone activations</t>
  </si>
  <si>
    <t>New to VZ</t>
  </si>
  <si>
    <t>Avg New to VZ</t>
  </si>
  <si>
    <t>New to VZ %</t>
  </si>
  <si>
    <t>Avg upgrades</t>
  </si>
  <si>
    <t>Upgrades from non-iphone</t>
  </si>
  <si>
    <t>Upgrade (or replacements)%</t>
  </si>
  <si>
    <t>Upgrade (replacements) from non-iphone</t>
  </si>
  <si>
    <t>Churn</t>
  </si>
  <si>
    <t>VZW iPhone SUBS</t>
  </si>
  <si>
    <t xml:space="preserve">average </t>
  </si>
  <si>
    <t>DILUTION/ACCRETION ANALYSIS</t>
  </si>
  <si>
    <t>SUBSIDY</t>
  </si>
  <si>
    <t>Cost per handset</t>
  </si>
  <si>
    <t>Total subsidy $M</t>
  </si>
  <si>
    <t>per gross add $</t>
  </si>
  <si>
    <t>Less $$ on upgrade differential</t>
  </si>
  <si>
    <t>per upgrade $</t>
  </si>
  <si>
    <t>Subsidy dilution</t>
  </si>
  <si>
    <t>Proportional Subsidy dilution</t>
  </si>
  <si>
    <t>Tax</t>
  </si>
  <si>
    <t>Dilution</t>
  </si>
  <si>
    <t>UPGRADE ACCRETION</t>
  </si>
  <si>
    <t>New to data</t>
  </si>
  <si>
    <t>Upgrades new to data</t>
  </si>
  <si>
    <t>Incremental ARPU</t>
  </si>
  <si>
    <t>Revenue</t>
  </si>
  <si>
    <t>Recurring revenue</t>
  </si>
  <si>
    <t>EBITDA Impact</t>
  </si>
  <si>
    <t>Recurring EBITDA</t>
  </si>
  <si>
    <t>Margin (assumed)</t>
  </si>
  <si>
    <t>PBT proportional</t>
  </si>
  <si>
    <t>first year accretion (EPS)</t>
  </si>
  <si>
    <t>recurring accretion</t>
  </si>
  <si>
    <t>NEW TO VZW ACCRETION</t>
  </si>
  <si>
    <t>iPhone ARPU</t>
  </si>
  <si>
    <t>one time accretion</t>
  </si>
  <si>
    <t>Total dilution/accretion</t>
  </si>
  <si>
    <t>Do not remove</t>
  </si>
  <si>
    <t>Pf for Spinco</t>
  </si>
  <si>
    <t>Wireline operating revenues</t>
  </si>
  <si>
    <t>Pro forma for MCI</t>
  </si>
  <si>
    <t>Pro forma for Fairpoint Deal</t>
  </si>
  <si>
    <t xml:space="preserve">    Mass Markets</t>
  </si>
  <si>
    <t xml:space="preserve">     % y/y growth</t>
  </si>
  <si>
    <t xml:space="preserve">    Wholesale</t>
  </si>
  <si>
    <t xml:space="preserve">    Other</t>
  </si>
  <si>
    <t xml:space="preserve">    Total</t>
  </si>
  <si>
    <t xml:space="preserve"> Verizon Business</t>
  </si>
  <si>
    <t xml:space="preserve">    Business</t>
  </si>
  <si>
    <t xml:space="preserve">    International and Other</t>
  </si>
  <si>
    <t xml:space="preserve"> Total before eliminations</t>
  </si>
  <si>
    <t xml:space="preserve"> Eliminations</t>
  </si>
  <si>
    <t>Total Wireline Operating Revenues</t>
  </si>
  <si>
    <t xml:space="preserve">Pro forma for MCI </t>
  </si>
  <si>
    <t xml:space="preserve"> Consolidated operating expenses</t>
  </si>
  <si>
    <t xml:space="preserve">  less VZW, VIS, Other</t>
  </si>
  <si>
    <t xml:space="preserve"> SG&amp;A</t>
  </si>
  <si>
    <t>Depreciation and Amort.</t>
  </si>
  <si>
    <t xml:space="preserve"> Consolidated D&amp;A</t>
  </si>
  <si>
    <t xml:space="preserve">  Amort.</t>
  </si>
  <si>
    <t xml:space="preserve"> % margin</t>
  </si>
  <si>
    <t>Operating Income Margin</t>
  </si>
  <si>
    <t>SEGMENT OPERATING EXPENSES</t>
  </si>
  <si>
    <t xml:space="preserve"> Employees</t>
  </si>
  <si>
    <t xml:space="preserve">   VZ employees</t>
  </si>
  <si>
    <t xml:space="preserve">   MCI employees</t>
  </si>
  <si>
    <t>Wireline employees</t>
  </si>
  <si>
    <t>Total Personnel Expense</t>
  </si>
  <si>
    <t>Total Cash Operating Expense</t>
  </si>
  <si>
    <t xml:space="preserve"> check</t>
  </si>
  <si>
    <t xml:space="preserve"> EBITDA margin (from above)</t>
  </si>
  <si>
    <t>Mass Markets</t>
  </si>
  <si>
    <t>o-----------------------------------Pf for Spinco</t>
  </si>
  <si>
    <t>Primary Residential</t>
  </si>
  <si>
    <t>Consumer B'band</t>
  </si>
  <si>
    <t>% Residential</t>
  </si>
  <si>
    <t>FiOS Video Connections</t>
  </si>
  <si>
    <t>Total connections</t>
  </si>
  <si>
    <t>Avg conenctions</t>
  </si>
  <si>
    <t>Consumer ARPU</t>
  </si>
  <si>
    <t>Consumer Retail</t>
  </si>
  <si>
    <t>Terremark</t>
  </si>
  <si>
    <t>Growth</t>
  </si>
  <si>
    <t>Margin</t>
  </si>
  <si>
    <t>VZ TELECOM: MASS MARKETS</t>
  </si>
  <si>
    <t>Lines: Primary residential retail lines</t>
  </si>
  <si>
    <t xml:space="preserve"> In-region MCI lines</t>
  </si>
  <si>
    <t xml:space="preserve">  % q/q change</t>
  </si>
  <si>
    <t xml:space="preserve">  Total pro forma primary res lines</t>
  </si>
  <si>
    <t xml:space="preserve"> average lines</t>
  </si>
  <si>
    <t>Broadband</t>
  </si>
  <si>
    <t>Total DSL Subs</t>
  </si>
  <si>
    <t xml:space="preserve"> Consumer/Biz DSL split (assumed)</t>
  </si>
  <si>
    <t xml:space="preserve"> Implied consumer DSL subs</t>
  </si>
  <si>
    <t xml:space="preserve"> Avg. consumer DSL subs</t>
  </si>
  <si>
    <t xml:space="preserve"> DSL ARPU (assumed)</t>
  </si>
  <si>
    <t>DSL Revenue (calculated)</t>
  </si>
  <si>
    <t>FiOs Data revenue</t>
  </si>
  <si>
    <t>FiOs Video revenue</t>
  </si>
  <si>
    <t>Revenue per primary line ex broadband</t>
  </si>
  <si>
    <t>Consumer Voice Revenue</t>
  </si>
  <si>
    <t>Total Mass Markets Revenue</t>
  </si>
  <si>
    <t>VZ TELECOM: WHOLESALE</t>
  </si>
  <si>
    <t>Consumer Wholesale Lines</t>
  </si>
  <si>
    <t xml:space="preserve"> Average consumer wholesale lines</t>
  </si>
  <si>
    <t>Wholesale ARPU (assumed)</t>
  </si>
  <si>
    <t>Switched Wholesale Revenue</t>
  </si>
  <si>
    <t>Non-switched Consumer Wholesale Revenue</t>
  </si>
  <si>
    <t>Total Consumer Wholesale Revenue</t>
  </si>
  <si>
    <t>VZ BUSINESS: BUSINESS</t>
  </si>
  <si>
    <t>Retail business lines</t>
  </si>
  <si>
    <t xml:space="preserve"> Average business lines</t>
  </si>
  <si>
    <t xml:space="preserve"> Implied business DSL subs</t>
  </si>
  <si>
    <t xml:space="preserve"> Avg. business DSL subs</t>
  </si>
  <si>
    <t>Business voice revenue</t>
  </si>
  <si>
    <t>Total Business In-Region Revenue</t>
  </si>
  <si>
    <t>VZ BUSINESS: WHOLESALE</t>
  </si>
  <si>
    <t>Wholesale lines</t>
  </si>
  <si>
    <t xml:space="preserve"> Average wholesale lines</t>
  </si>
  <si>
    <t>Implied switched wholesale revenue</t>
  </si>
  <si>
    <t>Other wholesale revenue</t>
  </si>
  <si>
    <t>Total Wholesale Revenue</t>
  </si>
  <si>
    <t>WIRELINE EMPLOYEES (000)</t>
  </si>
  <si>
    <t xml:space="preserve">Change </t>
  </si>
  <si>
    <t>SPINCO</t>
  </si>
  <si>
    <t>Spinco</t>
  </si>
  <si>
    <t>California results</t>
  </si>
  <si>
    <t>Results of non-transferred assets</t>
  </si>
  <si>
    <t>Bad debt classification adjustment</t>
  </si>
  <si>
    <t>growth Y/Y</t>
  </si>
  <si>
    <t>Spinco Cash Opex</t>
  </si>
  <si>
    <t>% of revenue</t>
  </si>
  <si>
    <t>Pension/OPEB of retirees retained by VZ</t>
  </si>
  <si>
    <t>FTR/Spinco transactions</t>
  </si>
  <si>
    <t>Other adjustments</t>
  </si>
  <si>
    <t>Total Cash Opex</t>
  </si>
  <si>
    <t>Adj EBITDA</t>
  </si>
  <si>
    <t>Adj Margin</t>
  </si>
  <si>
    <t>D&amp;A</t>
  </si>
  <si>
    <t>Interest %</t>
  </si>
  <si>
    <t>PBT</t>
  </si>
  <si>
    <t>Income Tax Provison</t>
  </si>
  <si>
    <t>Effective tax rate</t>
  </si>
  <si>
    <t>% of rev</t>
  </si>
  <si>
    <t>RGUs</t>
  </si>
  <si>
    <t>Access line</t>
  </si>
  <si>
    <t>TV</t>
  </si>
  <si>
    <t>Average</t>
  </si>
  <si>
    <t>Avg Rev per RGU</t>
  </si>
  <si>
    <t>TOTAL EMPLOYEES (000)</t>
  </si>
  <si>
    <t xml:space="preserve">Change Y/Y </t>
  </si>
  <si>
    <t xml:space="preserve">Change Q/Q </t>
  </si>
  <si>
    <t>WIRELINE</t>
  </si>
  <si>
    <t>WIRELESS</t>
  </si>
  <si>
    <t>EMPLOYEE REDUCTIONS (000)</t>
  </si>
  <si>
    <t>VZ FiOS</t>
  </si>
  <si>
    <t>Data</t>
  </si>
  <si>
    <t>o--------------------------------Pf for Spinco by MS ----o</t>
  </si>
  <si>
    <t>o-------------Pf for Spinco by VZ (except homes passed)</t>
  </si>
  <si>
    <t>Data Homes Passed</t>
  </si>
  <si>
    <t xml:space="preserve"> % growth q/q</t>
  </si>
  <si>
    <t xml:space="preserve"> % growth y/y</t>
  </si>
  <si>
    <t>Data Subs</t>
  </si>
  <si>
    <t xml:space="preserve">Homes data "marketed to" </t>
  </si>
  <si>
    <t xml:space="preserve"> % of homes passed</t>
  </si>
  <si>
    <t>Beginning Data Subs</t>
  </si>
  <si>
    <t>Gross Installations</t>
  </si>
  <si>
    <t>Weekly installs</t>
  </si>
  <si>
    <t>Total Churn %</t>
  </si>
  <si>
    <t>Voluntary Churn</t>
  </si>
  <si>
    <t>Involuntary Churn %</t>
  </si>
  <si>
    <t>Ending Data Subs</t>
  </si>
  <si>
    <t>Average Data Subs</t>
  </si>
  <si>
    <t>Weekly net adds</t>
  </si>
  <si>
    <t xml:space="preserve">    Base</t>
  </si>
  <si>
    <t xml:space="preserve">    Bull</t>
  </si>
  <si>
    <t xml:space="preserve">    Bear</t>
  </si>
  <si>
    <t>Data ARPU ($)</t>
  </si>
  <si>
    <t>Data Revenue ($ mm)</t>
  </si>
  <si>
    <t>DSL Subscribers</t>
  </si>
  <si>
    <t>FiOS Data</t>
  </si>
  <si>
    <t>Video</t>
  </si>
  <si>
    <t>Video Homes Passed</t>
  </si>
  <si>
    <t>Video Subs</t>
  </si>
  <si>
    <t xml:space="preserve">Homes video "marketed to" </t>
  </si>
  <si>
    <t xml:space="preserve"> % data homes</t>
  </si>
  <si>
    <t>Beginning Video Subs</t>
  </si>
  <si>
    <t>Ending Video Subs</t>
  </si>
  <si>
    <t>Average Video Subs</t>
  </si>
  <si>
    <t>Video ARPU ($)</t>
  </si>
  <si>
    <t>Video Revenue ($ mm)</t>
  </si>
  <si>
    <t>FiOS  Data + Video</t>
  </si>
  <si>
    <t>Total Revenue ($ mm)</t>
  </si>
  <si>
    <t>Industry Flow Share Implications</t>
  </si>
  <si>
    <t>VZ churn</t>
  </si>
  <si>
    <t>VZ video disconnects</t>
  </si>
  <si>
    <t>Cable Sub Model</t>
  </si>
  <si>
    <t>Subscribers - BOP</t>
  </si>
  <si>
    <t>Gross Adds</t>
  </si>
  <si>
    <t>Churn (monthly)</t>
  </si>
  <si>
    <t>Subscribers - EOP</t>
  </si>
  <si>
    <t>DBS Sub Model</t>
  </si>
  <si>
    <t>Industry video disconnects</t>
  </si>
  <si>
    <t xml:space="preserve">implied VZ share of industry flow </t>
  </si>
  <si>
    <t>VZ market % US</t>
  </si>
  <si>
    <t>FiOS video subs % total video subs</t>
  </si>
  <si>
    <t>FiOS video adjusted for reach % total</t>
  </si>
  <si>
    <t>Total TV HH</t>
  </si>
  <si>
    <t>Total US HH</t>
  </si>
  <si>
    <t>FiOS area % total US HH</t>
  </si>
  <si>
    <t>FiOS subs % TV HH</t>
  </si>
  <si>
    <t>Retail Service Revenue</t>
  </si>
  <si>
    <t>Other Service Revenue</t>
  </si>
  <si>
    <t>Total Service Revenue</t>
  </si>
  <si>
    <t>Other Revenue</t>
  </si>
  <si>
    <t>Cash Operating Expense</t>
  </si>
  <si>
    <t>Total Subscribers (000s)</t>
  </si>
  <si>
    <t>Net Internal Adds (000s)</t>
  </si>
  <si>
    <t xml:space="preserve">   Resale net adds</t>
  </si>
  <si>
    <t>Cost of Equipment</t>
  </si>
  <si>
    <t>Total Broadband Subscribers</t>
  </si>
  <si>
    <t>DSL as % of total access lines</t>
  </si>
  <si>
    <t>DSL as % of primary access lines</t>
  </si>
  <si>
    <t>incremental homes passed (q/q)</t>
  </si>
  <si>
    <t>Homes Data "Marketed"</t>
  </si>
  <si>
    <t>incremental homes marketed (q/q)</t>
  </si>
  <si>
    <t>Average Homes Marketed</t>
  </si>
  <si>
    <t xml:space="preserve"> % Penetration FiOS Data</t>
  </si>
  <si>
    <t>incremental penetration</t>
  </si>
  <si>
    <t>DSL net adds</t>
  </si>
  <si>
    <t>FiOS Data net adds</t>
  </si>
  <si>
    <t>DSL adds / Total Broadband adds</t>
  </si>
  <si>
    <t>FiOS Data adds / Total Broadband adds</t>
  </si>
  <si>
    <t>DSL subscribers / Total Broadband</t>
  </si>
  <si>
    <t>FiOS Data / Total Broadband</t>
  </si>
  <si>
    <t xml:space="preserve"> % Penetration FiOS Video</t>
  </si>
  <si>
    <t>Homes Video "Marketed"</t>
  </si>
  <si>
    <t>FiOS share in its region</t>
  </si>
  <si>
    <t>Implications for Other Parts of the Model</t>
  </si>
  <si>
    <t>DSL adds</t>
  </si>
  <si>
    <t>FiOS data adds</t>
  </si>
  <si>
    <t>Total BB adds incl. FiOS adds</t>
  </si>
  <si>
    <t>Penetration</t>
  </si>
  <si>
    <t xml:space="preserve"> Assumed Res/Biz Mix</t>
  </si>
  <si>
    <t xml:space="preserve"> Residential BB</t>
  </si>
  <si>
    <t xml:space="preserve"> % penetration of primary res lines</t>
  </si>
  <si>
    <t>Programming costs</t>
  </si>
  <si>
    <t xml:space="preserve"> Cost per video sub (avg)</t>
  </si>
  <si>
    <t xml:space="preserve"> Programming costs</t>
  </si>
  <si>
    <t xml:space="preserve"> Video gross margin</t>
  </si>
  <si>
    <t xml:space="preserve">  % gross margin</t>
  </si>
  <si>
    <t>Customer acquisition costs (video only)</t>
  </si>
  <si>
    <t xml:space="preserve"> CPGA (video only)</t>
  </si>
  <si>
    <t xml:space="preserve"> Customer life</t>
  </si>
  <si>
    <t xml:space="preserve"> Cost per year </t>
  </si>
  <si>
    <t>Profit including programming and CPGA</t>
  </si>
  <si>
    <t>ACCESS LINE STATS</t>
  </si>
  <si>
    <t>Pf for Spinco by VZ</t>
  </si>
  <si>
    <t xml:space="preserve">   Primary</t>
  </si>
  <si>
    <t xml:space="preserve">   % growth</t>
  </si>
  <si>
    <t>sequential increase</t>
  </si>
  <si>
    <t>VoIP</t>
  </si>
  <si>
    <t>NM</t>
  </si>
  <si>
    <t>FiOS VoIP adds</t>
  </si>
  <si>
    <t>FiOS VoIP attach rate</t>
  </si>
  <si>
    <t xml:space="preserve">   Secondary (estimate)</t>
  </si>
  <si>
    <t xml:space="preserve">  Residential Excl. UNE-P (estimate)</t>
  </si>
  <si>
    <r>
      <t xml:space="preserve">Residence lines </t>
    </r>
    <r>
      <rPr>
        <sz val="10"/>
        <rFont val="Arial"/>
        <family val="2"/>
      </rPr>
      <t>(as reported by VZ)</t>
    </r>
  </si>
  <si>
    <t>% total lines</t>
  </si>
  <si>
    <t>Business + Wholesale + Public + Other</t>
  </si>
  <si>
    <t xml:space="preserve">  Retail Business (estimate, ex UNE-P)</t>
  </si>
  <si>
    <r>
      <t xml:space="preserve">Business lines </t>
    </r>
    <r>
      <rPr>
        <sz val="10"/>
        <rFont val="Arial"/>
        <family val="2"/>
      </rPr>
      <t>(as reported by VZ)</t>
    </r>
  </si>
  <si>
    <t>Wholesale Lines</t>
  </si>
  <si>
    <t>% growth rate</t>
  </si>
  <si>
    <t>sequential increase in lines</t>
  </si>
  <si>
    <t>implied market share loss (ex-facilities loss)</t>
  </si>
  <si>
    <t>Resale</t>
  </si>
  <si>
    <t>Incremental Resale Lines Lost</t>
  </si>
  <si>
    <t>% of wholesale</t>
  </si>
  <si>
    <r>
      <t xml:space="preserve">   Consumer UNE-P </t>
    </r>
    <r>
      <rPr>
        <sz val="10"/>
        <color indexed="47"/>
        <rFont val="Arial"/>
        <family val="2"/>
      </rPr>
      <t>(estimate as % total)</t>
    </r>
  </si>
  <si>
    <t xml:space="preserve">    % of total</t>
  </si>
  <si>
    <t xml:space="preserve">    UNE-P adds</t>
  </si>
  <si>
    <r>
      <t xml:space="preserve">   Business UNE-P </t>
    </r>
    <r>
      <rPr>
        <sz val="10"/>
        <color indexed="47"/>
        <rFont val="Arial"/>
        <family val="2"/>
      </rPr>
      <t>(estimate as % total)</t>
    </r>
  </si>
  <si>
    <t>UNE-P</t>
  </si>
  <si>
    <t>Incremental UNE-P Lines Lost</t>
  </si>
  <si>
    <t>% lines lost</t>
  </si>
  <si>
    <t xml:space="preserve">Non-public Switched Access lines </t>
  </si>
  <si>
    <t>% internal growth rate</t>
  </si>
  <si>
    <t>Average non-public access lines</t>
  </si>
  <si>
    <t xml:space="preserve">Assumed Lines Lost to Economy/Broadband </t>
  </si>
  <si>
    <t>Public lines</t>
  </si>
  <si>
    <t>Total Switched Access Lines</t>
  </si>
  <si>
    <t>Incremental line loss</t>
  </si>
  <si>
    <t>Switched + VoIP</t>
  </si>
  <si>
    <t>Total Retail Access Lines</t>
  </si>
  <si>
    <t>DSO Equivalents</t>
  </si>
  <si>
    <t>Total Voice Grade Equivalents</t>
  </si>
  <si>
    <t>DSL SUBSCRIBERS</t>
  </si>
  <si>
    <t xml:space="preserve">  Base</t>
  </si>
  <si>
    <t xml:space="preserve">  Bull</t>
  </si>
  <si>
    <t xml:space="preserve">  Bear</t>
  </si>
  <si>
    <t>Average Daily installs</t>
  </si>
  <si>
    <t>Average DSL subs</t>
  </si>
  <si>
    <t>DSL disconnects</t>
  </si>
  <si>
    <t>% monthly churn (assumed)</t>
  </si>
  <si>
    <t>Total Non-Public Switched Access lines</t>
  </si>
  <si>
    <t>Total Residential access lines</t>
  </si>
  <si>
    <t>Qualified lines passed</t>
  </si>
  <si>
    <t>Qualified lines as % lines passed (qualification rate)</t>
  </si>
  <si>
    <t>FiOS subscribers</t>
  </si>
  <si>
    <t>Access lines</t>
  </si>
  <si>
    <t>Line loss %</t>
  </si>
  <si>
    <t>Absolute Line loss</t>
  </si>
  <si>
    <t>Growth %</t>
  </si>
  <si>
    <t>Adds</t>
  </si>
  <si>
    <t>FiOS</t>
  </si>
  <si>
    <t>DSL</t>
  </si>
  <si>
    <t>FiOS TV</t>
  </si>
  <si>
    <t>POSTPAID WIRELESS (as reported)</t>
  </si>
  <si>
    <t>RGUs [ADJUSTED] (in millions)</t>
  </si>
  <si>
    <t>ACCESS LINES</t>
  </si>
  <si>
    <t>FiOS DATA</t>
  </si>
  <si>
    <t>FiOS VIDEO</t>
  </si>
  <si>
    <t>POSTPAID WIRELESS (ex VOD)</t>
  </si>
  <si>
    <t>TOTAL</t>
  </si>
  <si>
    <t>TOTAL reported</t>
  </si>
  <si>
    <t>RGU Net adds</t>
  </si>
  <si>
    <t>RGU GROWTH</t>
  </si>
  <si>
    <t>POSTPAID WIRELESS</t>
  </si>
  <si>
    <t>RGU GROWTH COMPONENTS</t>
  </si>
  <si>
    <t>OTHER/INTERSEGMENT</t>
  </si>
  <si>
    <t>Pension/OPEB</t>
  </si>
  <si>
    <t>Operating Cash Flow</t>
  </si>
  <si>
    <t>Pension interest cost</t>
  </si>
  <si>
    <t>Pension expected ROA</t>
  </si>
  <si>
    <t>OPEB interest cost</t>
  </si>
  <si>
    <t>OPEB expected ROA</t>
  </si>
  <si>
    <t>DEPRECIATION, AMORTIZATION, and CAPEX</t>
  </si>
  <si>
    <t>Less: Amortization</t>
  </si>
  <si>
    <t>Total capital expenditures</t>
  </si>
  <si>
    <t>% sales</t>
  </si>
  <si>
    <t>% cash flow</t>
  </si>
  <si>
    <t>% total capex budget</t>
  </si>
  <si>
    <t>PP&amp;E Retirements</t>
  </si>
  <si>
    <t>% capex</t>
  </si>
  <si>
    <t>incremental</t>
  </si>
  <si>
    <t>Depreciation Only</t>
  </si>
  <si>
    <t xml:space="preserve">Dom Telco </t>
  </si>
  <si>
    <t>% of revenues</t>
  </si>
  <si>
    <t xml:space="preserve">incremental </t>
  </si>
  <si>
    <t xml:space="preserve">Retired </t>
  </si>
  <si>
    <t>New</t>
  </si>
  <si>
    <t xml:space="preserve"> % total depreciation</t>
  </si>
  <si>
    <t xml:space="preserve">Wireless </t>
  </si>
  <si>
    <t xml:space="preserve">International </t>
  </si>
  <si>
    <t xml:space="preserve">Info Services </t>
  </si>
  <si>
    <t>WIRELINE CAPEX REGIONAL BREAKDOWN - as reported</t>
  </si>
  <si>
    <t>Verizon New York</t>
  </si>
  <si>
    <t>Verizon South</t>
  </si>
  <si>
    <t>Verizon New Jersey</t>
  </si>
  <si>
    <t>Verizon California</t>
  </si>
  <si>
    <t>Verizon Delaware</t>
  </si>
  <si>
    <t>Verizon Florida</t>
  </si>
  <si>
    <t>Verizon Hawaii</t>
  </si>
  <si>
    <t>Verizon Maryland</t>
  </si>
  <si>
    <t>Verizon New England</t>
  </si>
  <si>
    <t>Verizon North</t>
  </si>
  <si>
    <t>Verizon Northwest</t>
  </si>
  <si>
    <t>Verizon Pennsylvania</t>
  </si>
  <si>
    <t>Verizon Virginia</t>
  </si>
  <si>
    <t>Verizon DC</t>
  </si>
  <si>
    <t>Verizon West Virginia</t>
  </si>
  <si>
    <t>Total wireline capex (as reported regionally - may not sum to total reported capex)</t>
  </si>
  <si>
    <t>Percent breakdown of total wireline capex</t>
  </si>
  <si>
    <t>CAPEX BREAKDOWN</t>
  </si>
  <si>
    <t>Voice</t>
  </si>
  <si>
    <t>Other wireline</t>
  </si>
  <si>
    <t>capex per line</t>
  </si>
  <si>
    <t>MCI Capex Incl. Integration Costs</t>
  </si>
  <si>
    <t>Wireless</t>
  </si>
  <si>
    <t>% serv rev</t>
  </si>
  <si>
    <t>Proforma Capex (Alltel acquisition)</t>
  </si>
  <si>
    <t>Alltel capex</t>
  </si>
  <si>
    <t>Other capex</t>
  </si>
  <si>
    <t>Total capex</t>
  </si>
  <si>
    <t>% revs</t>
  </si>
  <si>
    <t>Total capex proforma (Alltel acquisition)</t>
  </si>
  <si>
    <t>TERREMARK</t>
  </si>
  <si>
    <t>Pension Worksheet</t>
  </si>
  <si>
    <t>Assumptions</t>
  </si>
  <si>
    <t>% Δ in PBO for each 100bps Δ in Interest Rate</t>
  </si>
  <si>
    <t>Expected Return on Plan Assets (EROA)</t>
  </si>
  <si>
    <t>Actual Return on Plan Assets</t>
  </si>
  <si>
    <t>Statutory Tax Rate</t>
  </si>
  <si>
    <t>Financial Statement Impact</t>
  </si>
  <si>
    <t>Income Statement</t>
  </si>
  <si>
    <t xml:space="preserve">  Service Cost</t>
  </si>
  <si>
    <t xml:space="preserve">  Prior Service Costs</t>
  </si>
  <si>
    <t xml:space="preserve">  Interest Cost</t>
  </si>
  <si>
    <t xml:space="preserve">  Expected Return on Plan Assets</t>
  </si>
  <si>
    <t xml:space="preserve">  Recognized Actuarial (Gains) / Loss</t>
  </si>
  <si>
    <t>GAAP Pension Expense / (Benefit)</t>
  </si>
  <si>
    <t>Non-GAAP Pension Expense (ex. Actuarial G/L)</t>
  </si>
  <si>
    <t>Projected Benefit Obligations (PBO) - BOP</t>
  </si>
  <si>
    <t xml:space="preserve">  Actuarial Losses / (Gains)</t>
  </si>
  <si>
    <t xml:space="preserve">  Benefits Paid</t>
  </si>
  <si>
    <t xml:space="preserve">  Other </t>
  </si>
  <si>
    <t>Projected Benefit Obligations (PBO) - EOP</t>
  </si>
  <si>
    <t>Plan Assets - BOP</t>
  </si>
  <si>
    <t xml:space="preserve">  Actual Return</t>
  </si>
  <si>
    <t xml:space="preserve">  Company Contributions</t>
  </si>
  <si>
    <t xml:space="preserve">  Other</t>
  </si>
  <si>
    <t>Fair Value of Plan Assets - EOP</t>
  </si>
  <si>
    <t>Funded Status</t>
  </si>
  <si>
    <t>Funding Level (%)</t>
  </si>
  <si>
    <t>Deferred Tax Asset/(Liability) on Pensions</t>
  </si>
  <si>
    <t>Cash Flow Statement</t>
  </si>
  <si>
    <t>Pension Contributions, Net of Tax</t>
  </si>
  <si>
    <t>Model Links</t>
  </si>
  <si>
    <t>Change in Assets</t>
  </si>
  <si>
    <t>(Decrease) in cash from contributions, after tax</t>
  </si>
  <si>
    <t>Increase (Decrease) in DTA from higher/lower funded status</t>
  </si>
  <si>
    <t>Total change in Assets</t>
  </si>
  <si>
    <t>Change in Liabilities &amp; Equity</t>
  </si>
  <si>
    <t>1Q14</t>
  </si>
  <si>
    <t>Re-stated in 1Q14</t>
  </si>
  <si>
    <t>Plan Asset Allocation (%)</t>
  </si>
  <si>
    <t>Increase / (Decrease) in Pension Funded Status</t>
  </si>
  <si>
    <t xml:space="preserve">   Equity</t>
  </si>
  <si>
    <t>Increase (Decrease) in retained earnings from pension expense</t>
  </si>
  <si>
    <t xml:space="preserve">   Fixed Income</t>
  </si>
  <si>
    <t>Increase / (Decrease) in AOCI from actuarial gains/losses</t>
  </si>
  <si>
    <t xml:space="preserve">   Real Estate</t>
  </si>
  <si>
    <t>Total Change in Liabilities &amp; Equity</t>
  </si>
  <si>
    <t xml:space="preserve">   Other</t>
  </si>
  <si>
    <t>OPEB Worksheet</t>
  </si>
  <si>
    <t>Discount Rate (Liability Rate)</t>
  </si>
  <si>
    <t>GAAP OPEB Expense / (Benefit)</t>
  </si>
  <si>
    <t>Non-GAAP OPEB Expense (ex. Actuarial G/L)</t>
  </si>
  <si>
    <t>Deferred Tax Asset/(Liability)</t>
  </si>
  <si>
    <t>OPEB Contributions, Net of Tax</t>
  </si>
  <si>
    <t>Benefits Paid from OCF, after tax</t>
  </si>
  <si>
    <t>(Decrease) in cash from contributions and benefits paid from OCF, after tax</t>
  </si>
  <si>
    <t>Increase (decrease) in DTA from higher/lower funded status</t>
  </si>
  <si>
    <t>Increase/(Decrease) in OPEB Funded Status</t>
  </si>
  <si>
    <t>Increase (decrease) in retained earnings from OPEB expense</t>
  </si>
  <si>
    <t>Increase/(Decrease) in AOCI from actuarial gains/losses</t>
  </si>
  <si>
    <t>still needs to be restated</t>
  </si>
  <si>
    <t>in 2Q05 VZ restated prior results back thru 1Q03</t>
  </si>
  <si>
    <t>Jul 06 VZ restated through 1Q05 for discontinuation of intl.</t>
  </si>
  <si>
    <t>Wireless is not restated for 4Q restatements and 1Q99/00 includes Verizon Wireless</t>
  </si>
  <si>
    <t>Adjusted</t>
  </si>
  <si>
    <t>Elimination</t>
  </si>
  <si>
    <t>Impact of operations sold</t>
  </si>
  <si>
    <t>Pro Forma for Alltel</t>
  </si>
  <si>
    <t>Pro Forma for divestitures/spin-off</t>
  </si>
  <si>
    <t>Income from discontinued ops</t>
  </si>
  <si>
    <t>Discontinued Operations</t>
  </si>
  <si>
    <t>Adj. to net income for dilutive items</t>
  </si>
  <si>
    <t>Reported</t>
  </si>
  <si>
    <t>Plant, property and equipment, gross</t>
  </si>
  <si>
    <t>Investments in unconsolidated businesses</t>
  </si>
  <si>
    <t>Other Intangible assets</t>
  </si>
  <si>
    <t>LIABILITIES AND SHAREOWNERS' INVESTMENT</t>
  </si>
  <si>
    <t>Accounts payable and accrued liabilities</t>
  </si>
  <si>
    <t>Liabilities of discontinued/held for sale</t>
  </si>
  <si>
    <t>Minority interest, including a portion subject to redemption requirements</t>
  </si>
  <si>
    <t>Accumulated other comprehensive income (loss)</t>
  </si>
  <si>
    <t>Less common stock in treasury, at cost</t>
  </si>
  <si>
    <t>Less deferred compensation - employee stock ownership plans</t>
  </si>
  <si>
    <t>Total Liabilities and Shareowners' Investment</t>
  </si>
  <si>
    <t>Breakdown of accounts payable and accrued liabilities (from 10K)</t>
  </si>
  <si>
    <t>Accounts payable</t>
  </si>
  <si>
    <t>Accrued expenses</t>
  </si>
  <si>
    <t>Accrued vacation pay</t>
  </si>
  <si>
    <t>Accrued salaries and wages</t>
  </si>
  <si>
    <t>Interest payable</t>
  </si>
  <si>
    <t>Accrued taxes</t>
  </si>
  <si>
    <t>Cash dividends declared per common share</t>
  </si>
  <si>
    <t>Common shares outstanding</t>
  </si>
  <si>
    <t>Total employees</t>
  </si>
  <si>
    <t xml:space="preserve"> Verizon Telecom</t>
  </si>
  <si>
    <t>Pro Forma for MCI Merger, Idearc and Intl</t>
  </si>
  <si>
    <t>New Segment Reporting</t>
  </si>
  <si>
    <t>Numbers restated in 1Q11</t>
  </si>
  <si>
    <t xml:space="preserve">Within Wireline: </t>
  </si>
  <si>
    <t xml:space="preserve"> High capacity and digital data revenues</t>
  </si>
  <si>
    <t xml:space="preserve">   Data transport</t>
  </si>
  <si>
    <t xml:space="preserve">   Data solutions</t>
  </si>
  <si>
    <t xml:space="preserve">  Total</t>
  </si>
  <si>
    <t>%y/y growth</t>
  </si>
  <si>
    <t>Consumer Retail Revenues</t>
  </si>
  <si>
    <t>Former MCI Mass Markets Revnues</t>
  </si>
  <si>
    <t>Local Services</t>
  </si>
  <si>
    <t>Network access services</t>
  </si>
  <si>
    <t>Long distance services</t>
  </si>
  <si>
    <t>Other services</t>
  </si>
  <si>
    <t>Operating Cash Flow Margin</t>
  </si>
  <si>
    <t>Segment Income</t>
  </si>
  <si>
    <t>DOMESTIC TELECOM: SELECTED OPERATING STATISTICS, Historical Inputs</t>
  </si>
  <si>
    <t>Line counts were restated in 1Q11, going back to 1Q09</t>
  </si>
  <si>
    <t>FiOS VoIP</t>
  </si>
  <si>
    <t>Business</t>
  </si>
  <si>
    <t>Public</t>
  </si>
  <si>
    <t>Total voice grade equivalents</t>
  </si>
  <si>
    <t>BRI ISDN lines (000s)</t>
  </si>
  <si>
    <t>PRI ISDN lines (000s)</t>
  </si>
  <si>
    <t>Resale and UNE-P lines (000s)</t>
  </si>
  <si>
    <t>UNE-P lines only (000s)</t>
  </si>
  <si>
    <t>Access minutes of use (in millions)</t>
  </si>
  <si>
    <t>NR</t>
  </si>
  <si>
    <t>Long distance subscribers (000s)</t>
  </si>
  <si>
    <t>High Capacity and Digital Data</t>
  </si>
  <si>
    <t>Data Revenue ($ in millions)</t>
  </si>
  <si>
    <t>Wideband transport</t>
  </si>
  <si>
    <t>Fast packet and other</t>
  </si>
  <si>
    <t>Total data transport revenues</t>
  </si>
  <si>
    <t>Data solutions</t>
  </si>
  <si>
    <t>Data Volumes (000s)</t>
  </si>
  <si>
    <t>PRI ISDN</t>
  </si>
  <si>
    <t>Frame Relay</t>
  </si>
  <si>
    <t>ATM Cell Relay</t>
  </si>
  <si>
    <t>Adjusted to include Verizon Wireless in 1Q99 and 1Q00</t>
  </si>
  <si>
    <t>Incollect roaming revenues</t>
  </si>
  <si>
    <t>EBITDA Margin</t>
  </si>
  <si>
    <t>DOMESTIC WIRELESS: SELECTED OPERATING STATISTICS, Historical Inputs</t>
  </si>
  <si>
    <t>Subscribers (000)</t>
  </si>
  <si>
    <t>Subscriber net adds in period (000)</t>
  </si>
  <si>
    <t>Sub metrics now include connected devices</t>
  </si>
  <si>
    <t>INTERNATIONAL: SELECTED FINANCIAL RESULTS AND OPERATING STATS, Historical Inputs</t>
  </si>
  <si>
    <t>Wireline</t>
  </si>
  <si>
    <t>Proportionate Information:</t>
  </si>
  <si>
    <t>Operating income</t>
  </si>
  <si>
    <t>Operating cash flow</t>
  </si>
  <si>
    <t>Access lines (000)</t>
  </si>
  <si>
    <t>Wireless subscribers (000)</t>
  </si>
  <si>
    <t>INFORMATION SERVICES: SELECTED FINANCIAL RESULTS AND OPERATING STATS, Historical Inputs</t>
  </si>
  <si>
    <t>Dividends received from unconsolidated businesses</t>
  </si>
  <si>
    <t>Changes in current assets and liabilities, net of acquis/dispos of businesses</t>
  </si>
  <si>
    <t>Investments in notes receivable</t>
  </si>
  <si>
    <t>Net change in short-term investments</t>
  </si>
  <si>
    <t>Repayments of long-term borrowings and capital lease obligations</t>
  </si>
  <si>
    <t>Increase (decrease) in short-term obligations, excluding current maturities</t>
  </si>
  <si>
    <t>Special distribution to noncontrolling interest</t>
  </si>
  <si>
    <t>Decrease in cash and cash equivalents</t>
  </si>
  <si>
    <t>VZ Business</t>
  </si>
  <si>
    <t>Enterprise Business Revenues</t>
  </si>
  <si>
    <t>Wholesale Revenues</t>
  </si>
  <si>
    <t>International and Other Revenues</t>
  </si>
  <si>
    <t>Total VZ Business Revenues</t>
  </si>
  <si>
    <t>Alternative View</t>
  </si>
  <si>
    <t>Global Enterprise Revenues**</t>
  </si>
  <si>
    <t>Global Wholesale Revenues</t>
  </si>
  <si>
    <t>Other Revenues</t>
  </si>
  <si>
    <t>*</t>
  </si>
  <si>
    <t xml:space="preserve">Strategic Services Revenues </t>
  </si>
  <si>
    <t>Enterprise International</t>
  </si>
  <si>
    <t>%  of enterprise</t>
  </si>
  <si>
    <t>Wholesale International</t>
  </si>
  <si>
    <t>Domestic</t>
  </si>
  <si>
    <t>% international/ total</t>
  </si>
  <si>
    <t>% domestic/ total</t>
  </si>
  <si>
    <t>Global revenues</t>
  </si>
  <si>
    <t>% of Total VZ revenue</t>
  </si>
  <si>
    <t>Footnotes:</t>
  </si>
  <si>
    <t>-   Prior-period amounts have been reclassified to reflect comparable results.</t>
  </si>
  <si>
    <t>**  Retail domestic &amp; retail international</t>
  </si>
  <si>
    <t>*   not meaningfull</t>
  </si>
  <si>
    <t>OPERATIONAL DATA</t>
  </si>
  <si>
    <t>Switched Access Lines</t>
  </si>
  <si>
    <t>ISDN</t>
  </si>
  <si>
    <t>Total Retail</t>
  </si>
  <si>
    <t>Residential UNE-P</t>
  </si>
  <si>
    <t>Business UNE-P</t>
  </si>
  <si>
    <t>Total Wholesale</t>
  </si>
  <si>
    <t xml:space="preserve">Other    </t>
  </si>
  <si>
    <t>VOIP</t>
  </si>
  <si>
    <t xml:space="preserve">Lines </t>
  </si>
  <si>
    <t>DSL Subs</t>
  </si>
  <si>
    <t>DSL Revenues</t>
  </si>
  <si>
    <t>DSL ARPU</t>
  </si>
  <si>
    <t>FiOS Data Subs</t>
  </si>
  <si>
    <t>FiOS Data Revenues</t>
  </si>
  <si>
    <t>FiOS Data ARPU</t>
  </si>
  <si>
    <t>FiOS Video Subs</t>
  </si>
  <si>
    <t>FiOS Video Revenues</t>
  </si>
  <si>
    <t>FiOS Video ARPU</t>
  </si>
  <si>
    <t>Customers</t>
  </si>
  <si>
    <t xml:space="preserve">Churn </t>
  </si>
  <si>
    <t>FINANCIAL DATA</t>
  </si>
  <si>
    <t>Wireline EBITDA</t>
  </si>
  <si>
    <t>Wireless EBITDA</t>
  </si>
  <si>
    <t>International EBITDA</t>
  </si>
  <si>
    <t>Information Services EBITDA</t>
  </si>
  <si>
    <t>Other EBITDA</t>
  </si>
  <si>
    <t>Total EBITDA from Income Statement</t>
  </si>
  <si>
    <t>Wireline Capex</t>
  </si>
  <si>
    <t>Wireless Capex</t>
  </si>
  <si>
    <t>International Capex</t>
  </si>
  <si>
    <t>Information Services Capex</t>
  </si>
  <si>
    <t>Other Capex</t>
  </si>
  <si>
    <t>Total Capex</t>
  </si>
  <si>
    <t>Employees</t>
  </si>
  <si>
    <t>Proforma for VZ/MCI</t>
  </si>
  <si>
    <t>Total EBITDA</t>
  </si>
  <si>
    <t>Wireline Revenues</t>
  </si>
  <si>
    <t>Long Distance Connections</t>
  </si>
  <si>
    <t>Wireless Service Revenues</t>
  </si>
  <si>
    <t>Wless Service Rev proforma for Alltel</t>
  </si>
  <si>
    <t>Total Revs Proforma Alltel</t>
  </si>
  <si>
    <t>Alltel Total Revs</t>
  </si>
  <si>
    <t>Alltel serv revs</t>
  </si>
  <si>
    <t>Alltel equip revs</t>
  </si>
  <si>
    <t>Total EBITDA Proforma Alltel</t>
  </si>
  <si>
    <t>Subs ProForma Alltel</t>
  </si>
  <si>
    <t>Net adds</t>
  </si>
  <si>
    <t>Postpaid subs</t>
  </si>
  <si>
    <t>Postpaid Net adds</t>
  </si>
  <si>
    <t>LEVERAGE</t>
  </si>
  <si>
    <t>Net Debt / EBITDA</t>
  </si>
  <si>
    <t>Pension Deficit</t>
  </si>
  <si>
    <t>OPEB Deficit</t>
  </si>
  <si>
    <t>Net Debt / EBITDA including pension/opeb deficit</t>
  </si>
  <si>
    <t>Wireless - Retail Postpaid Subs</t>
  </si>
  <si>
    <t>POSTPAID ADDS</t>
  </si>
  <si>
    <t>PREPAID</t>
  </si>
  <si>
    <t>RESELLER</t>
  </si>
  <si>
    <t>Global enterprise</t>
  </si>
  <si>
    <t>Global wholesale service</t>
  </si>
  <si>
    <t>WIRELESS DATA REV</t>
  </si>
  <si>
    <t>TOTAL CHURN</t>
  </si>
  <si>
    <t>RETAIL CHURN</t>
  </si>
  <si>
    <t>POSTPAID CHURN</t>
  </si>
  <si>
    <t>PREPAID CHURN</t>
  </si>
  <si>
    <t>WIRELINE REV GROWTH Y/Y</t>
  </si>
  <si>
    <t>WIRELINE REV GROWTH Q/Q</t>
  </si>
  <si>
    <t>SPINCO CAPEX</t>
  </si>
  <si>
    <t>POSTPAID ADDS WIRELESS ACQUIRED</t>
  </si>
  <si>
    <t>Service Revenues</t>
  </si>
  <si>
    <t>Equipment Revenue</t>
  </si>
  <si>
    <t>+</t>
  </si>
  <si>
    <t>=</t>
  </si>
  <si>
    <t>Total Revenue</t>
  </si>
  <si>
    <t>% revenue</t>
  </si>
  <si>
    <t>Data Revenue</t>
  </si>
  <si>
    <t>% of service revenue</t>
  </si>
  <si>
    <t>Data ARPU</t>
  </si>
  <si>
    <t>Postpaid Data Revenue</t>
  </si>
  <si>
    <t>% of postpaid service revenue</t>
  </si>
  <si>
    <t>% of total service revenue</t>
  </si>
  <si>
    <t>% of total data revenue</t>
  </si>
  <si>
    <t>Postpaid Data ARPU</t>
  </si>
  <si>
    <t>Prepaid + Reseller Data Revenue</t>
  </si>
  <si>
    <t>Prepaid/Reseller Data ARPU</t>
  </si>
  <si>
    <t>Voice revenue</t>
  </si>
  <si>
    <t>Voice ARPU (implied)</t>
  </si>
  <si>
    <t>Postpaid Voice revenue</t>
  </si>
  <si>
    <t>Consolidated EBITDA</t>
  </si>
  <si>
    <t>EBITDA due to VW minorities</t>
  </si>
  <si>
    <t>Income from discontinued</t>
  </si>
  <si>
    <t>Pro Forma for Northern New England Spinoff (Fairpoint)</t>
  </si>
  <si>
    <t>Pro-forma for 100% VZW</t>
  </si>
  <si>
    <t>ARPU (implied)</t>
  </si>
  <si>
    <t>MOU</t>
  </si>
  <si>
    <t>Price per MOU</t>
  </si>
  <si>
    <t>Equipment reveue breakdown as of 1Q11</t>
  </si>
  <si>
    <t>Equipment/other revenue per gross add</t>
  </si>
  <si>
    <t>Equipment revenue</t>
  </si>
  <si>
    <t>Equipment/other revenue per gross add/upgrade</t>
  </si>
  <si>
    <t>iPhone (gross + upgrades)</t>
  </si>
  <si>
    <t>iPhone rev per gross+upgrade</t>
  </si>
  <si>
    <t>Other handset revenues</t>
  </si>
  <si>
    <t>rev per gross add/upgrade</t>
  </si>
  <si>
    <t>Upgrades</t>
  </si>
  <si>
    <t>Upgrades %</t>
  </si>
  <si>
    <t xml:space="preserve"> % y/y growth</t>
  </si>
  <si>
    <t>Cost of services</t>
  </si>
  <si>
    <t>HANDSETS</t>
  </si>
  <si>
    <t>Balance Sheet</t>
  </si>
  <si>
    <t xml:space="preserve">Assets </t>
  </si>
  <si>
    <t xml:space="preserve"> Cash </t>
  </si>
  <si>
    <t xml:space="preserve"> Receivables, net of allowances </t>
  </si>
  <si>
    <t>Due from affiliates, net</t>
  </si>
  <si>
    <t xml:space="preserve"> Inventories, net </t>
  </si>
  <si>
    <t> Prepaid expenses and other</t>
  </si>
  <si>
    <t>net adds</t>
  </si>
  <si>
    <t xml:space="preserve"> Advance billings </t>
  </si>
  <si>
    <t xml:space="preserve"> Other current liabilities </t>
  </si>
  <si>
    <t xml:space="preserve">        Total current liabilities </t>
  </si>
  <si>
    <t xml:space="preserve">Long-term debt </t>
  </si>
  <si>
    <t xml:space="preserve">Due to affiliates </t>
  </si>
  <si>
    <t xml:space="preserve">Deferred tax liabilities, net </t>
  </si>
  <si>
    <t xml:space="preserve">Other non-current liabilities </t>
  </si>
  <si>
    <t xml:space="preserve">        Total liabilities </t>
  </si>
  <si>
    <t xml:space="preserve">Minority int. </t>
  </si>
  <si>
    <t xml:space="preserve">Partner’s K subject to redemption </t>
  </si>
  <si>
    <t>Commitments and contingencies</t>
  </si>
  <si>
    <t xml:space="preserve">Partners’ capital </t>
  </si>
  <si>
    <t xml:space="preserve"> Capital </t>
  </si>
  <si>
    <t xml:space="preserve"> Accum other compr gain (loss) </t>
  </si>
  <si>
    <t xml:space="preserve">        Total partners’ capital </t>
  </si>
  <si>
    <t xml:space="preserve">        Total liabilitiescapital </t>
  </si>
  <si>
    <t xml:space="preserve">Net proceeds from (payments to) affiliates </t>
  </si>
  <si>
    <t xml:space="preserve">Net change in short-term obligations </t>
  </si>
  <si>
    <t xml:space="preserve">Repayment of long-term debt </t>
  </si>
  <si>
    <t xml:space="preserve">Distribution to partners </t>
  </si>
  <si>
    <t xml:space="preserve">Distributions to minority investors </t>
  </si>
  <si>
    <t xml:space="preserve">Net cash used in financing activities </t>
  </si>
  <si>
    <t xml:space="preserve">Increase (decrease) in cash </t>
  </si>
  <si>
    <t xml:space="preserve">Cash, beginning of period </t>
  </si>
  <si>
    <t xml:space="preserve">Cash, end of period </t>
  </si>
  <si>
    <t xml:space="preserve"> check </t>
  </si>
  <si>
    <t>Total  Debt</t>
  </si>
  <si>
    <t>Three-year term loan facility</t>
  </si>
  <si>
    <t>2009-2011</t>
  </si>
  <si>
    <t>Beginning Balance</t>
  </si>
  <si>
    <t>Additions (Redemptions)</t>
  </si>
  <si>
    <t>Ending Balance</t>
  </si>
  <si>
    <t>364-Day bridge loan facility</t>
  </si>
  <si>
    <t>€650 million 7.625% notes</t>
  </si>
  <si>
    <t>$750 million 5.25% notes</t>
  </si>
  <si>
    <t>$1,250 million 7.375% notes</t>
  </si>
  <si>
    <t>$3,500 million 5.55% notes</t>
  </si>
  <si>
    <t>€500 million 8.750% notes</t>
  </si>
  <si>
    <t>$2,250 million 8.500% notes</t>
  </si>
  <si>
    <t>£600 million 8.875% notes</t>
  </si>
  <si>
    <t>Assumed Alltel notes</t>
  </si>
  <si>
    <t>2010-2032</t>
  </si>
  <si>
    <t>$1000M  Put Notes</t>
  </si>
  <si>
    <t>$1,250M floating rate notes</t>
  </si>
  <si>
    <t xml:space="preserve">$2,750M 3.75% fixed rate </t>
  </si>
  <si>
    <t>Unamortized discount, and other</t>
  </si>
  <si>
    <t>Total debt (incl. current mat, ex affiliates)</t>
  </si>
  <si>
    <t xml:space="preserve"> current maturities</t>
  </si>
  <si>
    <t>Term notes payable to Affiliates:</t>
  </si>
  <si>
    <t>$2,43M floating rate</t>
  </si>
  <si>
    <t xml:space="preserve">$9,000M fixed rate </t>
  </si>
  <si>
    <t>$9,363M floating rate</t>
  </si>
  <si>
    <t>Total due to affiliates, including current maturities</t>
  </si>
  <si>
    <t>Less: current maturities</t>
  </si>
  <si>
    <t>Total Debt (including affiliates)</t>
  </si>
  <si>
    <t>VERIZON COMMUNICATIONS</t>
  </si>
  <si>
    <t>CAGR</t>
  </si>
  <si>
    <t>1Q97</t>
  </si>
  <si>
    <t>2Q97</t>
  </si>
  <si>
    <t>3Q97</t>
  </si>
  <si>
    <t>4Q97</t>
  </si>
  <si>
    <t>1Q98</t>
  </si>
  <si>
    <t>2Q98</t>
  </si>
  <si>
    <t>3Q98</t>
  </si>
  <si>
    <t>4Q98</t>
  </si>
  <si>
    <t>1Q99</t>
  </si>
  <si>
    <t>2Q99</t>
  </si>
  <si>
    <t>3Q99</t>
  </si>
  <si>
    <t>4Q99</t>
  </si>
  <si>
    <t>1Q00</t>
  </si>
  <si>
    <t>2Q00</t>
  </si>
  <si>
    <t>3Q00</t>
  </si>
  <si>
    <t>4Q00</t>
  </si>
  <si>
    <t>1Q01</t>
  </si>
  <si>
    <t>2Q01</t>
  </si>
  <si>
    <t>3Q01</t>
  </si>
  <si>
    <t>4Q01</t>
  </si>
  <si>
    <t>1Q02</t>
  </si>
  <si>
    <t>2Q02</t>
  </si>
  <si>
    <t>3Q02</t>
  </si>
  <si>
    <t>4Q02</t>
  </si>
  <si>
    <t>1Q03</t>
  </si>
  <si>
    <t>2Q03</t>
  </si>
  <si>
    <t>3Q03</t>
  </si>
  <si>
    <t>4Q03</t>
  </si>
  <si>
    <t>1Q04</t>
  </si>
  <si>
    <t>2Q04</t>
  </si>
  <si>
    <t>3Q04</t>
  </si>
  <si>
    <t>4Q04</t>
  </si>
  <si>
    <t>1Q05</t>
  </si>
  <si>
    <t>2Q05</t>
  </si>
  <si>
    <t>3Q05</t>
  </si>
  <si>
    <t>4Q05</t>
  </si>
  <si>
    <t>check 2001</t>
  </si>
  <si>
    <t>check 2005</t>
  </si>
  <si>
    <t>check 2003</t>
  </si>
  <si>
    <t>check 2004</t>
  </si>
  <si>
    <t>check 2006</t>
  </si>
  <si>
    <r>
      <t xml:space="preserve">EPS </t>
    </r>
    <r>
      <rPr>
        <sz val="8"/>
        <rFont val="Arial"/>
        <family val="2"/>
      </rPr>
      <t xml:space="preserve">(at right </t>
    </r>
    <r>
      <rPr>
        <b/>
        <u/>
        <sz val="8"/>
        <rFont val="Arial"/>
        <family val="2"/>
      </rPr>
      <t>as reported</t>
    </r>
    <r>
      <rPr>
        <b/>
        <sz val="8"/>
        <rFont val="Arial"/>
        <family val="2"/>
      </rPr>
      <t xml:space="preserve"> </t>
    </r>
    <r>
      <rPr>
        <sz val="8"/>
        <rFont val="Arial"/>
        <family val="2"/>
      </rPr>
      <t>for MCI acquisition)</t>
    </r>
  </si>
  <si>
    <t>'05-'10</t>
  </si>
  <si>
    <t>% y/y Growth</t>
  </si>
  <si>
    <t>INCOME STATEMENT</t>
  </si>
  <si>
    <t>Operating Revenues</t>
  </si>
  <si>
    <t>Domestic Telecom</t>
  </si>
  <si>
    <t>% q/q growth</t>
  </si>
  <si>
    <t>% Revenues</t>
  </si>
  <si>
    <t>Domestic Wireless</t>
  </si>
  <si>
    <t>% Growth</t>
  </si>
  <si>
    <t>International</t>
  </si>
  <si>
    <t>Information Services (Directory)</t>
  </si>
  <si>
    <t>Other</t>
  </si>
  <si>
    <t>Total Operating Revenues</t>
  </si>
  <si>
    <t>% q/q Growth</t>
  </si>
  <si>
    <t>incremental revenues</t>
  </si>
  <si>
    <t>Revenue growth (55% Verizon Wireless)</t>
  </si>
  <si>
    <t>Operating Expenses</t>
  </si>
  <si>
    <t>Cost of Services</t>
  </si>
  <si>
    <t>% Segment Revenues</t>
  </si>
  <si>
    <t>SG&amp;A</t>
  </si>
  <si>
    <t>Operations and support</t>
  </si>
  <si>
    <t>Depreciation and amortization</t>
  </si>
  <si>
    <t>Depreciation</t>
  </si>
  <si>
    <t>Amortization</t>
  </si>
  <si>
    <t>Total Operating Expenses</t>
  </si>
  <si>
    <t>EBIT</t>
  </si>
  <si>
    <t>% Margin</t>
  </si>
  <si>
    <t>EBITDA</t>
  </si>
  <si>
    <t>Income (Expense) from Operations Sold</t>
  </si>
  <si>
    <t>Income from unconsolidated businesses</t>
  </si>
  <si>
    <t>Other income and (expense), net</t>
  </si>
  <si>
    <t>Interest Income</t>
  </si>
  <si>
    <t xml:space="preserve">Other income </t>
  </si>
  <si>
    <t>Interest Expense</t>
  </si>
  <si>
    <t>Minority interest</t>
  </si>
  <si>
    <t>Pretax income</t>
  </si>
  <si>
    <t>Provision for income taxes</t>
  </si>
  <si>
    <t>% Tax Rate</t>
  </si>
  <si>
    <t>% Statutory tax rate</t>
  </si>
  <si>
    <t>Income from Discontinued Ops</t>
  </si>
  <si>
    <t>Net Income</t>
  </si>
  <si>
    <t>Diluted EPS (fully pro forma)</t>
  </si>
  <si>
    <t>Rptd norm EPS (3Q's Vod JV for 99/00)</t>
  </si>
  <si>
    <t>Adj. to Net Income for Dilutive Items</t>
  </si>
  <si>
    <t>Weighted average diluted shares</t>
  </si>
  <si>
    <t>End of period diluted shares</t>
  </si>
  <si>
    <t>Issuances/(Repurchases)</t>
  </si>
  <si>
    <t>% growth</t>
  </si>
  <si>
    <t>Period End Basic Shares Outstanding</t>
  </si>
  <si>
    <t>% difference b/w diluted</t>
  </si>
  <si>
    <t>Average Common Shares Outstanding</t>
  </si>
  <si>
    <t>Stock options</t>
  </si>
  <si>
    <t>Other stock-based compensation</t>
  </si>
  <si>
    <t>Per share amortization impact</t>
  </si>
  <si>
    <t>Cash earnings per share</t>
  </si>
  <si>
    <t>Goodwill amortization</t>
  </si>
  <si>
    <t>End of Period Common shares outstanding</t>
  </si>
  <si>
    <t>Dividend per common share</t>
  </si>
  <si>
    <t>Dividends paid</t>
  </si>
  <si>
    <t>% payout ratio</t>
  </si>
  <si>
    <t>Common Dividends</t>
  </si>
  <si>
    <t>Dividends for Dividend Yield</t>
  </si>
  <si>
    <t>EPS - pre D&amp;A</t>
  </si>
  <si>
    <t>GAAP vs NON-GAAP RECONCILIATIONS</t>
  </si>
  <si>
    <t>Reported Net Income</t>
  </si>
  <si>
    <t xml:space="preserve">   Income from discontinued</t>
  </si>
  <si>
    <t>Iusacell Charge</t>
  </si>
  <si>
    <t>Enhanced Pension Benefits and Severance</t>
  </si>
  <si>
    <t>Accounting Change</t>
  </si>
  <si>
    <t xml:space="preserve">Lease Impairment </t>
  </si>
  <si>
    <t>FAS 142</t>
  </si>
  <si>
    <t>FAS 143</t>
  </si>
  <si>
    <t>Sales of Assets</t>
  </si>
  <si>
    <t>Transition Costs</t>
  </si>
  <si>
    <t>Operations Sold</t>
  </si>
  <si>
    <t>Investment Related Charges</t>
  </si>
  <si>
    <t>WorldCom Exposure</t>
  </si>
  <si>
    <t>NorthPoint</t>
  </si>
  <si>
    <t>Tax Benefits</t>
  </si>
  <si>
    <t>Early retirement of debt</t>
  </si>
  <si>
    <t>Normalized Net Income</t>
  </si>
  <si>
    <t xml:space="preserve">check </t>
  </si>
  <si>
    <t>Total Adjustments</t>
  </si>
  <si>
    <t>Restructuring Charges</t>
  </si>
  <si>
    <t>Cumulative Effect of Accounting Changes</t>
  </si>
  <si>
    <t>Extraordinary Items</t>
  </si>
  <si>
    <t>Unrecorded Goodwill</t>
  </si>
  <si>
    <t>Acquisition</t>
  </si>
  <si>
    <t>Value</t>
  </si>
  <si>
    <t>Book Value</t>
  </si>
  <si>
    <t>Multiple of Book</t>
  </si>
  <si>
    <t>Bell Atlantic - 6/30/00</t>
  </si>
  <si>
    <t>For Hani:</t>
  </si>
  <si>
    <t>Net Income (Loss)</t>
  </si>
  <si>
    <t>Goodwill Amortization</t>
  </si>
  <si>
    <t>One-time Charges (net of tax)</t>
  </si>
  <si>
    <t>Total</t>
  </si>
  <si>
    <t>Per Share</t>
  </si>
  <si>
    <t>2002-FY</t>
  </si>
  <si>
    <t>2003-FY</t>
  </si>
  <si>
    <t>2004-FY</t>
  </si>
  <si>
    <t>2005-FY</t>
  </si>
  <si>
    <t>2003-Q1</t>
  </si>
  <si>
    <t>2003-Q2</t>
  </si>
  <si>
    <t>2003-Q3</t>
  </si>
  <si>
    <t>2003-Q4</t>
  </si>
  <si>
    <t>2004-Q1</t>
  </si>
  <si>
    <t>2004-Q2</t>
  </si>
  <si>
    <t>2004-Q3</t>
  </si>
  <si>
    <t>2004-Q4</t>
  </si>
  <si>
    <t>2005-Q1</t>
  </si>
  <si>
    <t>2005-Q2</t>
  </si>
  <si>
    <t>2005-Q3</t>
  </si>
  <si>
    <t>2005-Q4</t>
  </si>
  <si>
    <t>Assumptions:</t>
  </si>
  <si>
    <t>Enter % Elgible Capex, Tax Rate, WACC, and Growth Rate.</t>
  </si>
  <si>
    <t>CAPEX:</t>
  </si>
  <si>
    <t>Eligible</t>
  </si>
  <si>
    <t>Tax Rate</t>
  </si>
  <si>
    <t>Note:  All estimates assume a half-year tax convention</t>
  </si>
  <si>
    <t>Enter Capital Expenditures</t>
  </si>
  <si>
    <t>Capital Expenditures</t>
  </si>
  <si>
    <t>2015</t>
  </si>
  <si>
    <t>Verizon</t>
  </si>
  <si>
    <t>2014 50% Bonus Depreciation</t>
  </si>
  <si>
    <t>2015 50% Bonus Depreciation</t>
  </si>
  <si>
    <t>Impact to Cash Tax Estimates</t>
  </si>
  <si>
    <t>MACRS Depreciation Factor</t>
  </si>
  <si>
    <t>MACRS Depreciation + 50% Bonus</t>
  </si>
  <si>
    <t>MACRS Depreciation</t>
  </si>
  <si>
    <t>Depr. Variance</t>
  </si>
  <si>
    <t>Tax adjusted Variance (Cash Flows)</t>
  </si>
  <si>
    <t>MACRS Depreciation + 100% Bonus</t>
  </si>
  <si>
    <t>Enter Pre-Tax Income</t>
  </si>
  <si>
    <t>2015E</t>
  </si>
  <si>
    <t>2016E</t>
  </si>
  <si>
    <t>2017E</t>
  </si>
  <si>
    <t>2018E</t>
  </si>
  <si>
    <t>Pre-Tax Income</t>
  </si>
  <si>
    <t>Tax Expense (@ 35% Pre-Tax Income)</t>
  </si>
  <si>
    <t>Less: Cash Taxes</t>
  </si>
  <si>
    <t>Less: Capex</t>
  </si>
  <si>
    <t>Adjustments</t>
  </si>
  <si>
    <t>Free Cash Flow</t>
  </si>
  <si>
    <t>Dividend</t>
  </si>
  <si>
    <t>% FCF Payout</t>
  </si>
  <si>
    <t>NA</t>
  </si>
  <si>
    <t>USD</t>
  </si>
  <si>
    <t>1 = Base</t>
  </si>
  <si>
    <t>FCF Yield</t>
  </si>
  <si>
    <t>2 = Bull</t>
  </si>
  <si>
    <t>3 = Bear</t>
  </si>
  <si>
    <t>Discount Rate</t>
  </si>
  <si>
    <t>Beta</t>
  </si>
  <si>
    <t>Equity Risk Premium</t>
  </si>
  <si>
    <t>Total Debt</t>
  </si>
  <si>
    <t>Discount Factor</t>
  </si>
  <si>
    <t>Terminal Value</t>
  </si>
  <si>
    <t>Total Capital</t>
  </si>
  <si>
    <t>NPV of Terminal Value</t>
  </si>
  <si>
    <t>Enterprise Value</t>
  </si>
  <si>
    <t>Terminal Growth Rate</t>
  </si>
  <si>
    <t>Base</t>
  </si>
  <si>
    <t>Bull</t>
  </si>
  <si>
    <t>Equity Value</t>
  </si>
  <si>
    <t>Bear</t>
  </si>
  <si>
    <t>Current Share Price</t>
  </si>
  <si>
    <t>Verizon Communications</t>
  </si>
  <si>
    <t>Morgan Stanley Research</t>
  </si>
  <si>
    <t>Simon Flannery 212-761-6432</t>
  </si>
  <si>
    <t>VALUED OUT</t>
  </si>
  <si>
    <t>Pf for Spinco &amp; Divestitures</t>
  </si>
  <si>
    <t>1Q06</t>
  </si>
  <si>
    <t>2Q06</t>
  </si>
  <si>
    <t>3Q06</t>
  </si>
  <si>
    <t>4Q06</t>
  </si>
  <si>
    <t>1Q07</t>
  </si>
  <si>
    <t>2Q07</t>
  </si>
  <si>
    <t>3Q07</t>
  </si>
  <si>
    <t>4Q07</t>
  </si>
  <si>
    <t>1Q08</t>
  </si>
  <si>
    <t>2Q08</t>
  </si>
  <si>
    <t>3Q08</t>
  </si>
  <si>
    <t>4Q08</t>
  </si>
  <si>
    <t>1Q09</t>
  </si>
  <si>
    <t>2Q09</t>
  </si>
  <si>
    <t>3Q09</t>
  </si>
  <si>
    <t>4Q09</t>
  </si>
  <si>
    <t>1Q10</t>
  </si>
  <si>
    <t>2Q10</t>
  </si>
  <si>
    <t>3Q10</t>
  </si>
  <si>
    <t>4Q10</t>
  </si>
  <si>
    <t>1Q11</t>
  </si>
  <si>
    <t>2Q11</t>
  </si>
  <si>
    <t>3Q11</t>
  </si>
  <si>
    <t>4Q11</t>
  </si>
  <si>
    <t>1Q12</t>
  </si>
  <si>
    <t>2Q12</t>
  </si>
  <si>
    <t>3Q12</t>
  </si>
  <si>
    <t>4Q12</t>
  </si>
  <si>
    <t>1Q13</t>
  </si>
  <si>
    <t>2Q13</t>
  </si>
  <si>
    <t>3Q13</t>
  </si>
  <si>
    <t>4Q13</t>
  </si>
  <si>
    <t>EPS</t>
  </si>
  <si>
    <t>na</t>
  </si>
  <si>
    <t>Pro Forma for Northern New England Spinoff (Fairpoint deal)</t>
  </si>
  <si>
    <t>Wireline/Domestic Telecom</t>
  </si>
  <si>
    <t>Total  Revenues</t>
  </si>
  <si>
    <t xml:space="preserve">EBITDA </t>
  </si>
  <si>
    <t>Income from uncons. biz</t>
  </si>
  <si>
    <t>nm</t>
  </si>
  <si>
    <t>Other income and (expense)</t>
  </si>
  <si>
    <t>Noncontrolling Interest</t>
  </si>
  <si>
    <t>Net Income Attributable To VZ</t>
  </si>
  <si>
    <t>NI Before Special Items</t>
  </si>
  <si>
    <t xml:space="preserve">Diluted EPS </t>
  </si>
  <si>
    <t xml:space="preserve">GAAP EPS </t>
  </si>
  <si>
    <t>Wghtd avg diluted shares</t>
  </si>
  <si>
    <t>Stock options/other</t>
  </si>
  <si>
    <t>DIVIDENDS</t>
  </si>
  <si>
    <t>EBITDA from associates (proxy as income)</t>
  </si>
  <si>
    <t>EBITDA due to all other minorities (proxy as income charge)</t>
  </si>
  <si>
    <t>Ppt EBITDA</t>
  </si>
  <si>
    <t>Adjustment for global comps</t>
  </si>
  <si>
    <t>2006-FY</t>
  </si>
  <si>
    <t>2007-FY</t>
  </si>
  <si>
    <t>2008-FY</t>
  </si>
  <si>
    <t>2009-FY</t>
  </si>
  <si>
    <t>2010-FY</t>
  </si>
  <si>
    <t>2011-FY</t>
  </si>
  <si>
    <t>2012-FY</t>
  </si>
  <si>
    <t>2013-FY</t>
  </si>
  <si>
    <t>2014-FY</t>
  </si>
  <si>
    <t>2018-FY</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</si>
  <si>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</si>
  <si>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</si>
  <si>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</si>
  <si>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</si>
  <si>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</si>
  <si>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</si>
  <si>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</si>
  <si>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</si>
  <si>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</si>
  <si>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</si>
  <si>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</si>
  <si>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</si>
  <si>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</si>
  <si>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</si>
  <si>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</si>
  <si>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</si>
  <si>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</si>
  <si>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</si>
  <si>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</si>
  <si>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</si>
  <si>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</si>
  <si>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</si>
  <si>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</si>
  <si>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</si>
  <si>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</si>
  <si>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</si>
  <si>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</si>
  <si>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</si>
  <si>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</si>
  <si>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</si>
  <si>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</si>
  <si>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2014-Q4</t>
  </si>
  <si>
    <t xml:space="preserve">Pro-Forma for 100% VZW </t>
  </si>
  <si>
    <r>
      <t xml:space="preserve">EPS </t>
    </r>
    <r>
      <rPr>
        <sz val="10"/>
        <rFont val="Arial"/>
        <family val="2"/>
      </rPr>
      <t xml:space="preserve">(at right </t>
    </r>
    <r>
      <rPr>
        <b/>
        <u/>
        <sz val="10"/>
        <rFont val="Arial"/>
        <family val="2"/>
      </rPr>
      <t>as reported</t>
    </r>
    <r>
      <rPr>
        <b/>
        <sz val="10"/>
        <rFont val="Arial"/>
        <family val="2"/>
      </rPr>
      <t xml:space="preserve"> </t>
    </r>
    <r>
      <rPr>
        <sz val="10"/>
        <rFont val="Arial"/>
        <family val="2"/>
      </rPr>
      <t>for MCI acquisition)</t>
    </r>
  </si>
  <si>
    <t>y/y growth %</t>
  </si>
  <si>
    <t>BALANCE SHEET</t>
  </si>
  <si>
    <t>ASSETS</t>
  </si>
  <si>
    <t>Current assets</t>
  </si>
  <si>
    <t>Cash and cash equivalents</t>
  </si>
  <si>
    <t>Short-term investments</t>
  </si>
  <si>
    <t>Accounts receivable, net</t>
  </si>
  <si>
    <t>Inventories</t>
  </si>
  <si>
    <t>Net assets held for sale</t>
  </si>
  <si>
    <t>Prepaid expenses and other</t>
  </si>
  <si>
    <t>Total current assets</t>
  </si>
  <si>
    <t>PPE  gross</t>
  </si>
  <si>
    <t>Less accumulated depreciation</t>
  </si>
  <si>
    <t>Plant, property and equipment, net</t>
  </si>
  <si>
    <t xml:space="preserve">    Accumulated Amortization</t>
  </si>
  <si>
    <t xml:space="preserve">    Unrecorded Goodwill</t>
  </si>
  <si>
    <t>Investments in unconsolidated biz</t>
  </si>
  <si>
    <t>Intangible assets</t>
  </si>
  <si>
    <t>Wireless Licenses</t>
  </si>
  <si>
    <t>Goodwill</t>
  </si>
  <si>
    <t>Other Intangible Assets</t>
  </si>
  <si>
    <t>Other assets</t>
  </si>
  <si>
    <t>Prepaid Pension Credit</t>
  </si>
  <si>
    <t>Total Assets</t>
  </si>
  <si>
    <t>check</t>
  </si>
  <si>
    <t>LIABILITIES</t>
  </si>
  <si>
    <t>Current liabilities</t>
  </si>
  <si>
    <t>Debt maturing within one year</t>
  </si>
  <si>
    <t>A/P and accrued liabilities</t>
  </si>
  <si>
    <t>Liabilities of Discontinued Ops</t>
  </si>
  <si>
    <t>Total current liabilities</t>
  </si>
  <si>
    <t>Long-term debt</t>
  </si>
  <si>
    <t>Employee benefit obligations</t>
  </si>
  <si>
    <t>Accrued Pension Liability</t>
  </si>
  <si>
    <t>Accrued OPEB Liability</t>
  </si>
  <si>
    <t>Deferred income taxes</t>
  </si>
  <si>
    <t>Other liabilities</t>
  </si>
  <si>
    <t>Total Liabilities</t>
  </si>
  <si>
    <t>Shareowners</t>
  </si>
  <si>
    <t>Common stock</t>
  </si>
  <si>
    <t>Contributed capital</t>
  </si>
  <si>
    <t>Reinvested earnings</t>
  </si>
  <si>
    <t>Acc. other compr. income (loss)</t>
  </si>
  <si>
    <t>Less common stock in treasury</t>
  </si>
  <si>
    <t xml:space="preserve">Less deferred compensation </t>
  </si>
  <si>
    <t>Noncontrolling interest</t>
  </si>
  <si>
    <t>Total shareowners' investment</t>
  </si>
  <si>
    <t>Total Liabilities + SE</t>
  </si>
  <si>
    <t>Net Issuance/Repurchases</t>
  </si>
  <si>
    <t>BALANCE SHEET ASSUMPTIONS AND RATIOS</t>
  </si>
  <si>
    <t>Working capital assumptions</t>
  </si>
  <si>
    <t>\</t>
  </si>
  <si>
    <t>Receivable days (based on revenues)</t>
  </si>
  <si>
    <t>Prepaid Expenses and Other assets (based on revenues)</t>
  </si>
  <si>
    <t>Inventory Days (based on operating expenses)</t>
  </si>
  <si>
    <t>Payable days (based on operating expenses)</t>
  </si>
  <si>
    <t>Other long term liabilities (based on operating expenses)</t>
  </si>
  <si>
    <t>Net working capital (CA-CL)</t>
  </si>
  <si>
    <t xml:space="preserve">   Increase (Decrease) in net working capital</t>
  </si>
  <si>
    <t>Financial ratios</t>
  </si>
  <si>
    <t xml:space="preserve">Total debt calculation </t>
  </si>
  <si>
    <t xml:space="preserve">   Average total debt calculation</t>
  </si>
  <si>
    <t>Interest rate (period average)</t>
  </si>
  <si>
    <t>per share</t>
  </si>
  <si>
    <t>Total debt/total cap</t>
  </si>
  <si>
    <t>Total debt/EBITDA</t>
  </si>
  <si>
    <t>Net debt calculation</t>
  </si>
  <si>
    <t>Net debt/net total cap</t>
  </si>
  <si>
    <t>Net debt/EBITDA</t>
  </si>
  <si>
    <t>EBITDA/Interest expense</t>
  </si>
  <si>
    <t>(EBITDA-capex)/interest expense</t>
  </si>
  <si>
    <t>Interest Income on Cash Balance</t>
  </si>
  <si>
    <t>Implied Interest Rate</t>
  </si>
  <si>
    <t>Minority Interest (EV Analysis)</t>
  </si>
  <si>
    <t>Minority Interest</t>
  </si>
  <si>
    <t>45% of Verizon Wireless Debt (assuming cash is 100% operating cash)</t>
  </si>
  <si>
    <t>Net Debt</t>
  </si>
  <si>
    <t xml:space="preserve">Total </t>
  </si>
  <si>
    <t>ROIC</t>
  </si>
  <si>
    <t xml:space="preserve">   EBITA</t>
  </si>
  <si>
    <t xml:space="preserve">   Tax rate</t>
  </si>
  <si>
    <t xml:space="preserve">   Net PPE</t>
  </si>
  <si>
    <t xml:space="preserve">   Net working capital  (CA-CL)</t>
  </si>
  <si>
    <t xml:space="preserve">   Net intangible assets (Goodwill)</t>
  </si>
  <si>
    <t>RONTA</t>
  </si>
  <si>
    <t>Taxes</t>
  </si>
  <si>
    <t>Current Taxes Paid</t>
  </si>
  <si>
    <t>Deferred Taxes, Net</t>
  </si>
  <si>
    <t>Investment Tax Credits</t>
  </si>
  <si>
    <t>Provision for Taxes</t>
  </si>
  <si>
    <t>% cash to book tax ratio</t>
  </si>
  <si>
    <t>Deferred Tax Assets - Temporary Differences</t>
  </si>
  <si>
    <t>Employee Benefits</t>
  </si>
  <si>
    <t>Net Unrealized losses on marketable securities</t>
  </si>
  <si>
    <t>Uncollectible accounts receivable</t>
  </si>
  <si>
    <t>Other - net</t>
  </si>
  <si>
    <t>Valuation allowance</t>
  </si>
  <si>
    <t xml:space="preserve"> Gross Deferred tax assets</t>
  </si>
  <si>
    <t>Deferred Tax Liabilities - Temporary Differences</t>
  </si>
  <si>
    <t>Leasing Activity</t>
  </si>
  <si>
    <t>Wireless joint venture</t>
  </si>
  <si>
    <t>Exchange of CWC Stock</t>
  </si>
  <si>
    <t>Gross Deferred tax liabilities</t>
  </si>
  <si>
    <t>Unamortized tax liabilities</t>
  </si>
  <si>
    <t>Net Deferred Tax Asset (Liability)</t>
  </si>
  <si>
    <t>Reported income tax expense</t>
  </si>
  <si>
    <t>Less: Increase in deferred taxes</t>
  </si>
  <si>
    <t>% of pre-tax income</t>
  </si>
  <si>
    <t>Estimated cash-out income taxes</t>
  </si>
  <si>
    <t xml:space="preserve">   diff from reported value in 10K/10Q</t>
  </si>
  <si>
    <t>Feed to FCF model:</t>
  </si>
  <si>
    <t>Reported cash income taxes, net of refunds (from 10K)</t>
  </si>
  <si>
    <t xml:space="preserve">   diff from reported tax expense</t>
  </si>
  <si>
    <t>GTE Corporation - 6/30/00</t>
  </si>
  <si>
    <t>Depreciation Forecast</t>
  </si>
  <si>
    <t>Gross PP&amp;E</t>
  </si>
  <si>
    <t>Accumulated Depreciation</t>
  </si>
  <si>
    <t xml:space="preserve">Net Prop., Plant, &amp; Equip. </t>
  </si>
  <si>
    <t>Beginning Gross PP&amp;E</t>
  </si>
  <si>
    <t>Additions (capex)</t>
  </si>
  <si>
    <t>Retirements</t>
  </si>
  <si>
    <t>Acquisitions and Other (Sales)</t>
  </si>
  <si>
    <t>Ending Gross PP&amp;E</t>
  </si>
  <si>
    <t>Average Gross PP&amp;E</t>
  </si>
  <si>
    <t>Additions as % Average Gross PP&amp;E</t>
  </si>
  <si>
    <t>Retirements as % Beg. Gross PP&amp;E</t>
  </si>
  <si>
    <t>Beginning Acc. Depreciation</t>
  </si>
  <si>
    <t>Additions - Depreciation Expense</t>
  </si>
  <si>
    <t>Acquisitions and Other</t>
  </si>
  <si>
    <t>Ending Acc. Depreciation</t>
  </si>
  <si>
    <t>Average Acc. Depreciation</t>
  </si>
  <si>
    <t>Additions as % Avg. Gross PP&amp;E</t>
  </si>
  <si>
    <t>Retire. as % Avg. Gross PP&amp;E</t>
  </si>
  <si>
    <t>Depreciation. as % Cap Ex.</t>
  </si>
  <si>
    <t>Acc. Dep. Retire. as % Gross Retire.</t>
  </si>
  <si>
    <t>Average Life of Gross PP&amp;E</t>
  </si>
  <si>
    <t>Growth in Depreciation</t>
  </si>
  <si>
    <t>Depreciation Expense</t>
  </si>
  <si>
    <t>Check</t>
  </si>
  <si>
    <t>Acc Dep</t>
  </si>
  <si>
    <t>Ending Gross PPE</t>
  </si>
  <si>
    <r>
      <t>C</t>
    </r>
    <r>
      <rPr>
        <sz val="10"/>
        <rFont val="Arial"/>
        <family val="2"/>
      </rPr>
      <t>onsolidated Net Debt</t>
    </r>
  </si>
  <si>
    <r>
      <t>N</t>
    </r>
    <r>
      <rPr>
        <sz val="10"/>
        <rFont val="Arial"/>
        <family val="2"/>
      </rPr>
      <t>et Debt</t>
    </r>
    <r>
      <rPr>
        <sz val="10"/>
        <rFont val="Arial"/>
        <family val="2"/>
      </rPr>
      <t xml:space="preserve"> from associates (proxy as </t>
    </r>
    <r>
      <rPr>
        <sz val="10"/>
        <rFont val="Arial"/>
        <family val="2"/>
      </rPr>
      <t>1.5x EBITDA</t>
    </r>
    <r>
      <rPr>
        <sz val="10"/>
        <rFont val="Arial"/>
        <family val="2"/>
      </rPr>
      <t>)</t>
    </r>
  </si>
  <si>
    <t>Net debt re VW minorities</t>
  </si>
  <si>
    <r>
      <t>Net debt</t>
    </r>
    <r>
      <rPr>
        <sz val="10"/>
        <rFont val="Arial"/>
        <family val="2"/>
      </rPr>
      <t xml:space="preserve"> </t>
    </r>
    <r>
      <rPr>
        <sz val="10"/>
        <rFont val="Arial"/>
        <family val="2"/>
      </rPr>
      <t xml:space="preserve">re; </t>
    </r>
    <r>
      <rPr>
        <sz val="10"/>
        <rFont val="Arial"/>
        <family val="2"/>
      </rPr>
      <t xml:space="preserve"> all other minorities (proxy as </t>
    </r>
    <r>
      <rPr>
        <sz val="10"/>
        <rFont val="Arial"/>
        <family val="2"/>
      </rPr>
      <t>1.5x EBITDA</t>
    </r>
    <r>
      <rPr>
        <sz val="10"/>
        <rFont val="Arial"/>
        <family val="2"/>
      </rPr>
      <t>)</t>
    </r>
  </si>
  <si>
    <t>Ppt Net Debt</t>
  </si>
  <si>
    <t>Quarterly Cash Flow Statement</t>
  </si>
  <si>
    <t>Income before extraordinary items</t>
  </si>
  <si>
    <t>Adjustments for operating activities</t>
  </si>
  <si>
    <t>Cumulative Impact of Accounting Change</t>
  </si>
  <si>
    <t>Income from Discontinued Operations</t>
  </si>
  <si>
    <t>Sales of assets, net</t>
  </si>
  <si>
    <t>Mark to market adjustment for exch notes</t>
  </si>
  <si>
    <t>Employee retirement benefits</t>
  </si>
  <si>
    <t>Deferred income taxes, net</t>
  </si>
  <si>
    <t>Provision for uncollectible accounts</t>
  </si>
  <si>
    <t>Charges reported in income from unconsolidated biz</t>
  </si>
  <si>
    <t>Dividends (reported in income from unconsolidated biz)</t>
  </si>
  <si>
    <t xml:space="preserve">   Change in accounts receivable</t>
  </si>
  <si>
    <t xml:space="preserve">   Change in prepaid expenses</t>
  </si>
  <si>
    <t xml:space="preserve">   Change in inventories</t>
  </si>
  <si>
    <t xml:space="preserve">   Change in accounts payable</t>
  </si>
  <si>
    <t xml:space="preserve">   Change in current liabilities</t>
  </si>
  <si>
    <t>Total Changes in current assets and liabilities</t>
  </si>
  <si>
    <t>Other, net</t>
  </si>
  <si>
    <t>Net cash provided by operating activities</t>
  </si>
  <si>
    <t>Cash flows from Investing Activities</t>
  </si>
  <si>
    <t>Capex</t>
  </si>
  <si>
    <t>Acquisitions and investments</t>
  </si>
  <si>
    <t>Proceeds from disposition of businesses</t>
  </si>
  <si>
    <t>Proceeds from Spectrum refund</t>
  </si>
  <si>
    <t>Net change in short-term and other current investments</t>
  </si>
  <si>
    <t>Net cash used in investing activities</t>
  </si>
  <si>
    <t>Cash flows from Financing Activities</t>
  </si>
  <si>
    <t>Proceeds from long-term borrowings</t>
  </si>
  <si>
    <t xml:space="preserve">Repayments of LTD </t>
  </si>
  <si>
    <t>Increase (decrease) in ST debt , ex current maturities</t>
  </si>
  <si>
    <t>Proceeds from sale of common stock</t>
  </si>
  <si>
    <t>Purchase of common stock for treasury</t>
  </si>
  <si>
    <t>Dividend to VOD</t>
  </si>
  <si>
    <t>Other, Net</t>
  </si>
  <si>
    <t>Net cash used in financing activities</t>
  </si>
  <si>
    <t>Increase in cash and cash equivalents</t>
  </si>
  <si>
    <t>Cash and cash equivalents, beginning of period</t>
  </si>
  <si>
    <t>Cash and cash equivalents, end of period</t>
  </si>
  <si>
    <t>compare to model</t>
  </si>
  <si>
    <t>difference</t>
  </si>
  <si>
    <t xml:space="preserve">Levered FCF (OCF - capex) </t>
  </si>
  <si>
    <t xml:space="preserve">   per share </t>
  </si>
  <si>
    <t>Current VZ price - US$</t>
  </si>
  <si>
    <t>FCF yield [NOT ADJ FOR VOD]</t>
  </si>
  <si>
    <t>Levered OFCF, less dividends</t>
  </si>
  <si>
    <t>Flow Adjusted For Consensus [For comps]</t>
  </si>
  <si>
    <r>
      <t xml:space="preserve"> - </t>
    </r>
    <r>
      <rPr>
        <sz val="10"/>
        <rFont val="Arial"/>
        <family val="2"/>
      </rPr>
      <t>A</t>
    </r>
    <r>
      <rPr>
        <sz val="10"/>
        <rFont val="Arial"/>
        <family val="2"/>
      </rPr>
      <t>dd back: pension financing within EBITDA</t>
    </r>
  </si>
  <si>
    <t xml:space="preserve"> - Funding the net pension deficit at3.5% est.</t>
  </si>
  <si>
    <r>
      <t xml:space="preserve"> - Net Income from associates </t>
    </r>
    <r>
      <rPr>
        <sz val="10"/>
        <rFont val="Arial"/>
        <family val="2"/>
      </rPr>
      <t>(proxy for FCF)</t>
    </r>
  </si>
  <si>
    <r>
      <t xml:space="preserve"> </t>
    </r>
    <r>
      <rPr>
        <sz val="10"/>
        <rFont val="Arial"/>
        <family val="2"/>
      </rPr>
      <t>- Other Income / expense</t>
    </r>
  </si>
  <si>
    <t xml:space="preserve"> - Change in WC </t>
  </si>
  <si>
    <t xml:space="preserve"> - Capex (ex spectrum spend)</t>
  </si>
  <si>
    <t xml:space="preserve"> - Normalised Tax  </t>
  </si>
  <si>
    <t xml:space="preserve"> - P&amp;L Net interest - </t>
  </si>
  <si>
    <t xml:space="preserve"> - FCF due to minorities </t>
  </si>
  <si>
    <r>
      <t xml:space="preserve"> </t>
    </r>
    <r>
      <rPr>
        <sz val="10"/>
        <rFont val="Arial"/>
        <family val="2"/>
      </rPr>
      <t>- FCF due to other minorities</t>
    </r>
  </si>
  <si>
    <t xml:space="preserve">= Flow Adjusted For Consensus </t>
  </si>
  <si>
    <t>Shares</t>
  </si>
  <si>
    <t>Mkt Cap</t>
  </si>
  <si>
    <t>VZ stake in VZW</t>
  </si>
  <si>
    <t>VZW FCF</t>
  </si>
  <si>
    <t xml:space="preserve"> - Net Income from associates </t>
  </si>
  <si>
    <t xml:space="preserve"> + FCF from operating associates </t>
  </si>
  <si>
    <t>FCF Payout Ratio</t>
  </si>
  <si>
    <t>VZ CFO (Proportional pre-2014)</t>
  </si>
  <si>
    <t>VZ Capex (Proportional pre-2014)</t>
  </si>
  <si>
    <t>FCF</t>
  </si>
  <si>
    <t>VZW CFO</t>
  </si>
  <si>
    <t>VZ.N</t>
  </si>
  <si>
    <t>ND</t>
  </si>
  <si>
    <t>-</t>
  </si>
  <si>
    <t/>
  </si>
  <si>
    <t>SEGMENT SUMMARIES</t>
  </si>
  <si>
    <t>Revenues</t>
  </si>
  <si>
    <t>Information Services</t>
  </si>
  <si>
    <t>Operations and support expense</t>
  </si>
  <si>
    <t xml:space="preserve"> % EBITDA Margin</t>
  </si>
  <si>
    <t>STATS</t>
  </si>
  <si>
    <t>Operations and support expense/employee</t>
  </si>
  <si>
    <t>EBITDA Less Capex</t>
  </si>
  <si>
    <t>Total Employees</t>
  </si>
  <si>
    <t>Average employees</t>
  </si>
  <si>
    <t>Risk Free Rate</t>
  </si>
  <si>
    <t>Non Wireless Revenue</t>
  </si>
  <si>
    <t>Non Wireless EBITDA</t>
  </si>
  <si>
    <t>Total switched access lines</t>
  </si>
  <si>
    <t>Pf for Divestitures</t>
  </si>
  <si>
    <t>Service revenues</t>
  </si>
  <si>
    <t>Equipment and other revenues</t>
  </si>
  <si>
    <t>Total Revenues</t>
  </si>
  <si>
    <t>Alltel service rev</t>
  </si>
  <si>
    <t>Alltel seqipment rev rev</t>
  </si>
  <si>
    <t>Alltel total rev rev</t>
  </si>
  <si>
    <t>% y/y growth</t>
  </si>
  <si>
    <t>% revenues</t>
  </si>
  <si>
    <t>Alltel Total Cash Opex</t>
  </si>
  <si>
    <t>% serv revenues</t>
  </si>
  <si>
    <t xml:space="preserve">Depreciation </t>
  </si>
  <si>
    <t>% total company depreciation</t>
  </si>
  <si>
    <t xml:space="preserve">Amortization </t>
  </si>
  <si>
    <t>Operating Income</t>
  </si>
  <si>
    <t>% of service revenues</t>
  </si>
  <si>
    <t>Alltel EBITDA</t>
  </si>
  <si>
    <t>Margin of serv revs</t>
  </si>
  <si>
    <t>Minority Interests</t>
  </si>
  <si>
    <t>.</t>
  </si>
  <si>
    <t>Pretax Income</t>
  </si>
  <si>
    <t>Provision for income tax</t>
  </si>
  <si>
    <t>Effective Tax Rate</t>
  </si>
  <si>
    <t>Net income (Normalized)</t>
  </si>
  <si>
    <t>% of wless sales</t>
  </si>
  <si>
    <t>% of EBITDA</t>
  </si>
  <si>
    <t>VOD's stake</t>
  </si>
  <si>
    <t>SUBSCRIBER FORECAST</t>
  </si>
  <si>
    <t>Total subscribers (000s) [prior to Alltel]</t>
  </si>
  <si>
    <t xml:space="preserve"> Average total subscribers</t>
  </si>
  <si>
    <t>Alltel Total Wireless Subs</t>
  </si>
  <si>
    <t>Divested subs</t>
  </si>
  <si>
    <t>Postpaid</t>
  </si>
  <si>
    <t>Prepaid</t>
  </si>
  <si>
    <t xml:space="preserve">   Resale adds</t>
  </si>
  <si>
    <t xml:space="preserve">  Aquired net adds</t>
  </si>
  <si>
    <t>Net Adds Split</t>
  </si>
  <si>
    <t>Reseller/Connected</t>
  </si>
  <si>
    <t>Total Subs Split</t>
  </si>
  <si>
    <t>Retail Postpaid Subs/Total Subs</t>
  </si>
  <si>
    <t>Retail Prepaid Subs/Total Subs</t>
  </si>
  <si>
    <t>Reseller+Connected/Total Subs</t>
  </si>
  <si>
    <t xml:space="preserve">% of total </t>
  </si>
  <si>
    <t>Postpaid Gross Adds</t>
  </si>
  <si>
    <t>Prepaid Gross Adds</t>
  </si>
  <si>
    <t>Reseller Gross Adds</t>
  </si>
  <si>
    <t>Gross adds</t>
  </si>
  <si>
    <t>sequential increase (decrease)</t>
  </si>
  <si>
    <t>Alltel gross customer additions:</t>
  </si>
  <si>
    <t>Reseller</t>
  </si>
  <si>
    <t>Disconnects</t>
  </si>
  <si>
    <t>CASH FLOW STATEMENT ($MM)</t>
  </si>
  <si>
    <t>BALANCE SHEET ($MM)</t>
  </si>
  <si>
    <t>INCOME STATEMENT ($MM)</t>
  </si>
  <si>
    <t>SMARTPHONE MODEL</t>
  </si>
  <si>
    <t>Handset Upgrades</t>
  </si>
  <si>
    <t>Qtr. Upgrade Rate</t>
  </si>
  <si>
    <t>Prior Qtr. Postpaid Subscribers</t>
  </si>
  <si>
    <t>Total Postpaid Device Sales</t>
  </si>
  <si>
    <t>Total Postpaid Phone Sales</t>
  </si>
  <si>
    <t>% of Total Postpaid Device Sales</t>
  </si>
  <si>
    <t>Phone, net adds (ex. tablets)</t>
  </si>
  <si>
    <t>Postpaid Smartphone Sales</t>
  </si>
  <si>
    <t>% of Postpaid Phone Sales</t>
  </si>
  <si>
    <t>iPhone Activations</t>
  </si>
  <si>
    <t xml:space="preserve">  Percentage of Smartphone Sales</t>
  </si>
  <si>
    <t>Non-iPhone Sales</t>
  </si>
  <si>
    <t>Postpaid Smartphone Penetration</t>
  </si>
  <si>
    <t>Postpaid Smartphone Subscribers</t>
  </si>
  <si>
    <t>Postpaid Subscribers</t>
  </si>
  <si>
    <t>GAAP:</t>
  </si>
  <si>
    <t>Incremental Equipment Revenue</t>
  </si>
  <si>
    <t>Service Revenue</t>
  </si>
  <si>
    <t>Lower Service Rev. per Month</t>
  </si>
  <si>
    <t>Total Revenue / EBITDA Impact</t>
  </si>
  <si>
    <t>CASH:</t>
  </si>
  <si>
    <t>Cash Receipt for Equipment</t>
  </si>
  <si>
    <t>2Q14</t>
  </si>
  <si>
    <t>3Q14</t>
  </si>
  <si>
    <t>4Q14</t>
  </si>
  <si>
    <t>Cash Collected for Equipment</t>
  </si>
  <si>
    <t>Less: Down Payment for Equip.</t>
  </si>
  <si>
    <t>Down Payment for Equipment</t>
  </si>
  <si>
    <t>Less: Lower Service Rev.</t>
  </si>
  <si>
    <t>Total Cash Flow Impact</t>
  </si>
  <si>
    <t>ACCOUNTS RECEIVABLE:</t>
  </si>
  <si>
    <t>Accounts Receivable Impact</t>
  </si>
  <si>
    <t>Other Equipment Revenue</t>
  </si>
  <si>
    <t>Equipment Revenues</t>
  </si>
  <si>
    <r>
      <t xml:space="preserve">EPS </t>
    </r>
    <r>
      <rPr>
        <sz val="10"/>
        <rFont val="Arial"/>
        <family val="2"/>
      </rPr>
      <t xml:space="preserve">(at right </t>
    </r>
    <r>
      <rPr>
        <b/>
        <u/>
        <sz val="10"/>
        <rFont val="Arial"/>
        <family val="2"/>
      </rPr>
      <t>as reported</t>
    </r>
    <r>
      <rPr>
        <b/>
        <sz val="10"/>
        <rFont val="Arial"/>
        <family val="2"/>
      </rPr>
      <t xml:space="preserve"> </t>
    </r>
    <r>
      <rPr>
        <sz val="10"/>
        <rFont val="Arial"/>
        <family val="2"/>
      </rPr>
      <t>for MCI acquisition)</t>
    </r>
  </si>
  <si>
    <t>EDGE PROGRAM</t>
  </si>
  <si>
    <t>% of Smartphones Sold w/ Edge</t>
  </si>
  <si>
    <t>Smartphones on Edge Program</t>
  </si>
  <si>
    <t>Subscribers on Edge Program</t>
  </si>
  <si>
    <t>% of Postpaid Subs w/ Edge</t>
  </si>
  <si>
    <t>Equipment Revenue from Edge</t>
  </si>
  <si>
    <t>% new to Verizon</t>
  </si>
  <si>
    <t>1Q15</t>
  </si>
  <si>
    <t>2Q15</t>
  </si>
  <si>
    <t>3Q15</t>
  </si>
  <si>
    <t>4Q15</t>
  </si>
  <si>
    <t>2019E</t>
  </si>
  <si>
    <t>2019</t>
  </si>
  <si>
    <t>Re-stated in 3Q14 to exclude sale of public sector business in wireline.</t>
  </si>
  <si>
    <t>cost per subscriber</t>
  </si>
  <si>
    <t xml:space="preserve">Flow Adjusted For Consensus </t>
  </si>
  <si>
    <t>Less: Equity earnings in unconsolidated partnerships</t>
  </si>
  <si>
    <t>Plus: Minority interest in consolidated partnerships</t>
  </si>
  <si>
    <t>Plus: D&amp;A</t>
  </si>
  <si>
    <t>Less: Dividends</t>
  </si>
  <si>
    <t>Profitability Metrics</t>
  </si>
  <si>
    <t>Wireline Operating Revenues</t>
  </si>
  <si>
    <t>Small Business</t>
  </si>
  <si>
    <t>Mass Market Revenues</t>
  </si>
  <si>
    <t>Consumer ARPU (calculated by VZ)</t>
  </si>
  <si>
    <t>Average Primary</t>
  </si>
  <si>
    <t>Strategic Services</t>
  </si>
  <si>
    <t>Core</t>
  </si>
  <si>
    <t>Global Enterprise Revenues</t>
  </si>
  <si>
    <t>Primary Residential Access Lines</t>
  </si>
  <si>
    <t>Total Residential Access Lines</t>
  </si>
  <si>
    <t>Total Employess</t>
  </si>
  <si>
    <t>q/q change</t>
  </si>
  <si>
    <t>avg. employees</t>
  </si>
  <si>
    <t>compensation (000s)</t>
  </si>
  <si>
    <t>Employee Compensation</t>
  </si>
  <si>
    <t>Wireline Employees</t>
  </si>
  <si>
    <t>Pension Cost</t>
  </si>
  <si>
    <t>OPEB Cost</t>
  </si>
  <si>
    <t>Other Cash Expense</t>
  </si>
  <si>
    <t>CAGR
'14 - '19</t>
  </si>
  <si>
    <t>Adjusted EPS</t>
  </si>
  <si>
    <t>Depreciation &amp; Amortization</t>
  </si>
  <si>
    <t>Other Income (Expense)</t>
  </si>
  <si>
    <t>Mintority Interest</t>
  </si>
  <si>
    <t>Provision (Benefit) for Income Taxes</t>
  </si>
  <si>
    <t>Income for Unconsolidated Businesses</t>
  </si>
  <si>
    <t>FINANCIAL / OPERATING STATISTICS</t>
  </si>
  <si>
    <t>Weighted Average Diluted Shares</t>
  </si>
  <si>
    <t>Adjusted EPS (as reported)</t>
  </si>
  <si>
    <t>Employees (Q/Q)</t>
  </si>
  <si>
    <t>Switched Access Lines (000s)</t>
  </si>
  <si>
    <t>Primary</t>
  </si>
  <si>
    <t>Primary Residence</t>
  </si>
  <si>
    <t>Total Retail Residence Voice Connections</t>
  </si>
  <si>
    <t>Secondary Residence</t>
  </si>
  <si>
    <t>Business + Public + Wholesale</t>
  </si>
  <si>
    <t>Total Voice Connections</t>
  </si>
  <si>
    <t>Retail Service</t>
  </si>
  <si>
    <t>Other Service</t>
  </si>
  <si>
    <t>Depreciation &amp; Amrotization</t>
  </si>
  <si>
    <t>Retail Postpaid</t>
  </si>
  <si>
    <t>Retail Prepaid</t>
  </si>
  <si>
    <t>Retail</t>
  </si>
  <si>
    <t>Wholesale &amp; Other</t>
  </si>
  <si>
    <t>Total Connections</t>
  </si>
  <si>
    <t>Cash Flows from Financing Activities</t>
  </si>
  <si>
    <t>Cash Flows from Investing Activities</t>
  </si>
  <si>
    <t>Cash Flows from Operating Activities</t>
  </si>
  <si>
    <t>cost per postpaid device sale</t>
  </si>
  <si>
    <t>cost per smartphone sold</t>
  </si>
  <si>
    <t>2014</t>
  </si>
  <si>
    <t>2013</t>
  </si>
  <si>
    <t>Postpaid Service Revenue</t>
  </si>
  <si>
    <t>Retail Subscribers (000s)</t>
  </si>
  <si>
    <t>Gross Adds (000s)</t>
  </si>
  <si>
    <t>Retail Gross Adds (000s)</t>
  </si>
  <si>
    <t>Retail Disconnects (000s)</t>
  </si>
  <si>
    <t>Cost of Services &amp; Sales</t>
  </si>
  <si>
    <t>% of total revenue</t>
  </si>
  <si>
    <t>Retail Postpaid Subscribers</t>
  </si>
  <si>
    <t>acquired</t>
  </si>
  <si>
    <t>Connects per Account</t>
  </si>
  <si>
    <t>Prepaid Service Revenue</t>
  </si>
  <si>
    <t>POSTPAID SERVICE REVENUE</t>
  </si>
  <si>
    <t>PREPAID SERVICE REVENUE</t>
  </si>
  <si>
    <t>TOTAL SERVICE REVENUE</t>
  </si>
  <si>
    <t>Retail Prepaid Subscribers</t>
  </si>
  <si>
    <t>Cost of Service &amp; Sales</t>
  </si>
  <si>
    <t>% of Revenues</t>
  </si>
  <si>
    <t>Source</t>
  </si>
  <si>
    <t>MSe</t>
  </si>
  <si>
    <t>Actual</t>
  </si>
  <si>
    <t>Diff. Pos./</t>
  </si>
  <si>
    <t>Cons.</t>
  </si>
  <si>
    <t>+ / -</t>
  </si>
  <si>
    <t>Notes</t>
  </si>
  <si>
    <t>(Neg.)</t>
  </si>
  <si>
    <t>CONSOLIDATED</t>
  </si>
  <si>
    <t>StreetAccount</t>
  </si>
  <si>
    <t>Adjusted EBITDA</t>
  </si>
  <si>
    <t>Thomson</t>
  </si>
  <si>
    <t xml:space="preserve">Total Capex </t>
  </si>
  <si>
    <t>% margin</t>
  </si>
  <si>
    <t>Prepaid Net adds</t>
  </si>
  <si>
    <t>Bloomberg</t>
  </si>
  <si>
    <t>Implied Postpaid ARPU</t>
  </si>
  <si>
    <t>Consumer Revenues</t>
  </si>
  <si>
    <t xml:space="preserve">Capex </t>
  </si>
  <si>
    <t>Switched + VoIP (000)</t>
  </si>
  <si>
    <t>Change</t>
  </si>
  <si>
    <t>Broadband Adds (000)</t>
  </si>
  <si>
    <t>fios data adds</t>
  </si>
  <si>
    <t>fios video adds</t>
  </si>
  <si>
    <t>ENTERPRISE</t>
  </si>
  <si>
    <t>2016</t>
  </si>
  <si>
    <t>Prepaid Subs</t>
  </si>
  <si>
    <t>% service margin</t>
  </si>
  <si>
    <t>1Q16</t>
  </si>
  <si>
    <t>Cash Operating Expenses</t>
  </si>
  <si>
    <t>Debt paydown</t>
  </si>
  <si>
    <t>2Q16</t>
  </si>
  <si>
    <t>3Q16</t>
  </si>
  <si>
    <t>4Q16</t>
  </si>
  <si>
    <t>2017 GUIDANCE</t>
  </si>
  <si>
    <t>Consensus</t>
  </si>
  <si>
    <t>"improvement in [ ] service revenue [ ] trends"</t>
  </si>
  <si>
    <t>$16.8 - 17.5B</t>
  </si>
  <si>
    <t>" similar to consolidated revenue trends" Base:  $3.87</t>
  </si>
  <si>
    <t>"on an organic basis, [ ] fairly consistent with 2016" Base:  $121.8B</t>
  </si>
  <si>
    <t>2016:  -5.4% Y/Y</t>
  </si>
  <si>
    <t>2016:  +3.5% Y/Y</t>
  </si>
  <si>
    <t>2016 reported:  -4.3% Y/Y</t>
  </si>
  <si>
    <t>2016 reported:  13.5%</t>
  </si>
  <si>
    <t>Proceeds from asset-backed LT borrowings</t>
  </si>
  <si>
    <t>34 - 36%</t>
  </si>
  <si>
    <t>1Q17</t>
  </si>
  <si>
    <t>"improvement in [ ] equipment revenue trends"</t>
  </si>
  <si>
    <t>Phone net adds</t>
  </si>
  <si>
    <t>LEGACY REVENUE SEGMENTS</t>
  </si>
  <si>
    <t>2Q16 - EXCLUDES FTR ASSETS</t>
  </si>
  <si>
    <t>Consumer Markets</t>
  </si>
  <si>
    <t>Enterprise Solutions</t>
  </si>
  <si>
    <t>Business Markets</t>
  </si>
  <si>
    <t>Partner Solutions</t>
  </si>
  <si>
    <t>Business Solutions</t>
  </si>
  <si>
    <t>CAGR
'15 -  19</t>
  </si>
  <si>
    <t>Tablets and other</t>
  </si>
  <si>
    <t>2020E</t>
  </si>
  <si>
    <t>2021E</t>
  </si>
  <si>
    <t>2022E</t>
  </si>
  <si>
    <t>2023E</t>
  </si>
  <si>
    <t>2024E</t>
  </si>
  <si>
    <t>2025E</t>
  </si>
  <si>
    <t>Dividend Yield</t>
  </si>
  <si>
    <t>2018E P / E</t>
  </si>
  <si>
    <t>2Q17</t>
  </si>
  <si>
    <t>"lower end of the 34 - 36% range"</t>
  </si>
  <si>
    <t>3Q17</t>
  </si>
  <si>
    <t>Current (3Q17)</t>
  </si>
  <si>
    <t>"lower end of range of $16.8 - 17.5B"</t>
  </si>
  <si>
    <t>"~34 percent, excluding impacts from potential tax reform"</t>
  </si>
  <si>
    <t>2Q18E</t>
  </si>
  <si>
    <t>3Q18E</t>
  </si>
  <si>
    <t>4Q18E</t>
  </si>
  <si>
    <t>4Q17</t>
  </si>
  <si>
    <t>VZ (1/23/18)</t>
  </si>
  <si>
    <t>2018 GUIDANCE</t>
  </si>
  <si>
    <t>$17.0 - 17.8B [incl 5G]</t>
  </si>
  <si>
    <t>Tax reform impact</t>
  </si>
  <si>
    <t>24-26%</t>
  </si>
  <si>
    <t>[ex ASC 606] "grow at low-single-digit percentage rates on a GAAP basis"</t>
  </si>
  <si>
    <t>[ex revenue recognition impacts] "growth by the middle part of 2018"</t>
  </si>
  <si>
    <t>"Low single-digit percentage growth" [incl Straight Path] [before tax reform, ASC 606]</t>
  </si>
  <si>
    <t>ASC 606</t>
  </si>
  <si>
    <t>Impact to expenses</t>
  </si>
  <si>
    <t>Equipment revenues (legacy)</t>
  </si>
  <si>
    <t>Impact to revenues</t>
  </si>
  <si>
    <t>Equipment revenues (new)</t>
  </si>
  <si>
    <t>Equipment rev change</t>
  </si>
  <si>
    <t>Retail service revenues (legacy)</t>
  </si>
  <si>
    <t>Retail service revenues (new)</t>
  </si>
  <si>
    <t>Retail service % change</t>
  </si>
  <si>
    <t>Retail service rev change</t>
  </si>
  <si>
    <t>OCF:  +$3.5-4.0B; EPS:  +55-65c</t>
  </si>
  <si>
    <t>2017</t>
  </si>
  <si>
    <t>1Q18</t>
  </si>
  <si>
    <t>[GAAP basis] "turn positive by the end of 2018"</t>
  </si>
  <si>
    <t>Restricted cash</t>
  </si>
  <si>
    <t>DSL revenues</t>
  </si>
  <si>
    <t>Revenue - Switched + VoIP</t>
  </si>
  <si>
    <t>Currency</t>
  </si>
  <si>
    <t>Current Stock Price</t>
  </si>
  <si>
    <t>Count</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</si>
  <si>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</si>
  <si>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</si>
  <si>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</si>
  <si>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</si>
  <si>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</si>
  <si>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</si>
  <si>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</si>
  <si>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</si>
  <si>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Simon Flannery, Lisa Lam</t>
  </si>
  <si>
    <t>Date: 25 Apr 2018</t>
  </si>
  <si>
    <t>Ticker: VZ.N</t>
  </si>
  <si>
    <t>Stock Rating: Overweight</t>
  </si>
  <si>
    <t>Industry: Telecom Services</t>
  </si>
  <si>
    <t>Industry View: Cautious</t>
  </si>
  <si>
    <t>Price as of 25 Apr 2018: 49.67</t>
  </si>
  <si>
    <t>Target Price: 56</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</si>
  <si>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</si>
  <si>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</si>
  <si>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</si>
  <si>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</si>
  <si>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Verizon Communications.</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</si>
  <si>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</si>
  <si>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</si>
  <si>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</si>
  <si>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</si>
  <si>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</si>
  <si>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</si>
  <si>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</si>
  <si>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</si>
  <si>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</si>
  <si>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</si>
  <si>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</si>
  <si>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</si>
  <si>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</si>
  <si>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</si>
  <si>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</si>
  <si>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</si>
  <si>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</si>
  <si>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</si>
  <si>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</si>
  <si>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</si>
  <si>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</si>
  <si>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</si>
  <si>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</si>
  <si>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</si>
  <si>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</si>
  <si>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</si>
  <si>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</si>
  <si>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</si>
  <si>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</si>
  <si>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</si>
  <si>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</si>
  <si>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</si>
  <si>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</si>
  <si>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</si>
  <si>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</si>
  <si>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</si>
  <si>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</si>
  <si>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</si>
  <si>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</si>
  <si>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</si>
  <si>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</si>
  <si>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</si>
  <si>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</si>
  <si>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</si>
  <si>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</si>
  <si>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</si>
  <si>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</si>
  <si>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</si>
  <si>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</si>
  <si>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</si>
  <si>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</si>
  <si>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</si>
  <si>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</si>
  <si>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</si>
  <si>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</si>
  <si>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</si>
  <si>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</si>
  <si>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</si>
  <si>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</si>
  <si>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</si>
  <si>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</si>
  <si>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</si>
  <si>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</si>
  <si>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</si>
  <si>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</si>
  <si>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</si>
  <si>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</si>
  <si>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</si>
  <si>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</si>
  <si>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</si>
  <si>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</si>
  <si>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</si>
  <si>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</si>
  <si>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</si>
  <si>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</si>
  <si>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</si>
  <si>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</si>
  <si>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</si>
  <si>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</si>
  <si>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</si>
  <si>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</si>
  <si>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</si>
  <si>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</si>
  <si>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</si>
  <si>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</si>
  <si>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</si>
  <si>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</si>
  <si>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</si>
  <si>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</si>
  <si>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</si>
  <si>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</si>
  <si>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</si>
  <si>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</si>
  <si>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</si>
  <si>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</si>
  <si>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</si>
  <si>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</si>
  <si>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</si>
  <si>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</si>
  <si>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</si>
  <si>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</si>
  <si>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</si>
  <si>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</si>
  <si>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</si>
  <si>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</si>
  <si>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</si>
  <si>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</si>
  <si>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</si>
  <si>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</si>
  <si>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</si>
  <si>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</si>
  <si>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</si>
  <si>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</si>
  <si>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</si>
  <si>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</si>
  <si>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</si>
  <si>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</si>
  <si>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</si>
  <si>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</si>
  <si>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</si>
  <si>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</si>
  <si>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</si>
  <si>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</si>
  <si>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</si>
  <si>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</si>
  <si>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</si>
  <si>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</si>
  <si>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</si>
  <si>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</si>
  <si>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</si>
  <si>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</si>
  <si>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</si>
  <si>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</si>
  <si>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</si>
  <si>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</si>
  <si>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</si>
  <si>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</si>
  <si>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</si>
  <si>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</si>
  <si>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</si>
  <si>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</si>
  <si>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</si>
  <si>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</si>
  <si>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</si>
  <si>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</si>
  <si>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</si>
  <si>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</si>
  <si>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</si>
  <si>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</si>
  <si>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</si>
  <si>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</si>
  <si>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</si>
  <si>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</si>
  <si>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</si>
  <si>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</si>
  <si>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</si>
  <si>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</si>
  <si>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</si>
  <si>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</si>
  <si>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</si>
  <si>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</si>
  <si>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</si>
  <si>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</si>
  <si>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</si>
  <si>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</si>
  <si>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</si>
  <si>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</si>
  <si>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</si>
  <si>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</si>
  <si>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</si>
  <si>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</si>
  <si>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</si>
  <si>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</si>
  <si>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</si>
  <si>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</si>
  <si>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Verizon Communications.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</si>
  <si>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</si>
  <si>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</si>
  <si>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</si>
  <si>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</si>
  <si>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</si>
  <si>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</si>
  <si>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</si>
  <si>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</si>
  <si>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</si>
  <si>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</si>
  <si>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</si>
  <si>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</si>
  <si>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</si>
  <si>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</si>
  <si>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</si>
  <si>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</si>
  <si>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</si>
  <si>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</si>
  <si>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</si>
  <si>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</si>
  <si>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</si>
  <si>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</si>
  <si>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</si>
  <si>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</si>
  <si>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</si>
  <si>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</si>
  <si>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</si>
  <si>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</si>
  <si>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</si>
  <si>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</si>
  <si>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</si>
  <si>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</si>
  <si>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</si>
  <si>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</si>
  <si>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</si>
  <si>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</si>
  <si>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</si>
  <si>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</si>
  <si>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</si>
  <si>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</si>
  <si>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</si>
  <si>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</si>
  <si>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</si>
  <si>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</si>
  <si>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</si>
  <si>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</si>
  <si>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</si>
  <si>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</si>
  <si>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</si>
  <si>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</si>
  <si>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</si>
  <si>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</si>
  <si>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</si>
  <si>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</si>
  <si>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</si>
  <si>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</si>
  <si>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</si>
  <si>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</si>
  <si>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</si>
  <si>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</si>
  <si>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</si>
  <si>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</si>
  <si>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</si>
  <si>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</si>
  <si>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</si>
  <si>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</si>
  <si>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</si>
  <si>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</si>
  <si>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Verizon Communications.</t>
  </si>
  <si>
    <t>Within the last 12 months, Morgan Stanley has provided or is providing investment banking services to,</t>
  </si>
  <si>
    <t>or has an investment banking client relationship with, the following company: Verizon Communications.</t>
  </si>
  <si>
    <t>Within the last 12 months, Morgan Stanley has received compensation for products and services other than</t>
  </si>
  <si>
    <t>investment banking services from Verizon Communications.</t>
  </si>
  <si>
    <t>In the next 3 months, Morgan Stanley expects to receive or intends to seek compensation for investment</t>
  </si>
  <si>
    <t>banking services from Verizon Communications.</t>
  </si>
  <si>
    <t>Within the last 12 months, Morgan Stanley has received compensation for investment banking services from</t>
  </si>
  <si>
    <t>Verizon Communications.</t>
  </si>
  <si>
    <t>Within the last 12 months, Morgan Stanley managed or co-managed a public offering (or 144A offering) of</t>
  </si>
  <si>
    <t>securities of Verizon Communications.</t>
  </si>
  <si>
    <t>As of March 29, 2018, Morgan Stanley beneficially owned 1% or more of a class of common equity</t>
  </si>
  <si>
    <t>securities of the following companies covered in Morgan Stanley Research: Verizon Communications.</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</si>
  <si>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</si>
  <si>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</si>
  <si>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</si>
  <si>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</si>
  <si>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</si>
  <si>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Simon Flannery.</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</si>
  <si>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</si>
  <si>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</si>
  <si>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</si>
  <si>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</si>
  <si>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</si>
  <si>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</si>
  <si>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</si>
  <si>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</si>
  <si>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</si>
  <si>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</si>
  <si>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</si>
  <si>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</si>
  <si>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</si>
  <si>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</si>
  <si>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</si>
  <si>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</si>
  <si>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</si>
  <si>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</si>
  <si>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</si>
  <si>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</si>
  <si>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</si>
  <si>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</si>
  <si>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</si>
  <si>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</si>
  <si>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</si>
  <si>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</si>
  <si>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</si>
  <si>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</si>
  <si>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</si>
  <si>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</si>
  <si>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</si>
  <si>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</si>
  <si>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</si>
  <si>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</si>
  <si>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</si>
  <si>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</si>
  <si>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</si>
  <si>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</si>
  <si>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</si>
  <si>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</si>
  <si>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</si>
  <si>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</si>
  <si>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</si>
  <si>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</si>
  <si>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</si>
  <si>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</si>
  <si>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</si>
  <si>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</si>
  <si>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</si>
  <si>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</si>
  <si>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</si>
  <si>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</si>
  <si>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</si>
  <si>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</si>
  <si>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</si>
  <si>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</si>
  <si>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</si>
  <si>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</si>
  <si>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</si>
  <si>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</si>
  <si>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</si>
  <si>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</si>
  <si>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</si>
  <si>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</si>
  <si>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</si>
  <si>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</si>
  <si>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</si>
  <si>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</si>
  <si>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</si>
  <si>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Cautious</t>
  </si>
  <si>
    <t>Quarterly Update</t>
  </si>
  <si>
    <t>NorthAmerica</t>
  </si>
  <si>
    <t>laml</t>
  </si>
  <si>
    <t>MSA10787, MSA79FGL</t>
  </si>
  <si>
    <t>92343V104</t>
  </si>
  <si>
    <t>L:\ER13\Large Cap Telco\VZ\Models\VZ - v10.xlsm</t>
  </si>
  <si>
    <t>[BRO MSA]</t>
  </si>
  <si>
    <t>[PRODUCT MODEL]</t>
  </si>
  <si>
    <t>[EMAIL_ALERT YES]</t>
  </si>
  <si>
    <t>[DISCIPLINE Company]</t>
  </si>
  <si>
    <t>[SUPPRESSED NO]</t>
  </si>
  <si>
    <t>[DOCDAT 2018-04-25]</t>
  </si>
  <si>
    <t>[DOCTIME 10:56]</t>
  </si>
  <si>
    <t>[PSYM VZ.N(S&amp;P) (None)]</t>
  </si>
  <si>
    <t>[COU 1]</t>
  </si>
  <si>
    <t>[ANA MSA79FGL]</t>
  </si>
  <si>
    <t>[HL VZ.N Model]</t>
  </si>
  <si>
    <t>[IND UTITEL DIVTEC TELEPH]</t>
  </si>
  <si>
    <t>[PANA MSA10787]</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</si>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</sst>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0.0%"/>
    <numFmt numFmtId="166" formatCode="0.0"/>
    <numFmt numFmtId="167" formatCode="&quot;$&quot;#,##0.00"/>
    <numFmt numFmtId="168" formatCode="0.000%"/>
    <numFmt numFmtId="169" formatCode="#,##0.0_);\(#,##0.0\)"/>
    <numFmt numFmtId="170" formatCode="_(* #,##0.0_);_(* \(#,##0.0\);_(* &quot;-&quot;??_);_(@_)"/>
    <numFmt numFmtId="171" formatCode="#,##0.000_);\(#,##0.000\)"/>
    <numFmt numFmtId="172" formatCode="0.0\x"/>
    <numFmt numFmtId="173" formatCode="_ * #,##0_ ;_ * \-#,##0_ ;_ * &quot;-&quot;_ ;_ @_ "/>
    <numFmt numFmtId="174" formatCode="0&quot;E&quot;"/>
    <numFmt numFmtId="175" formatCode="&quot;$&quot;#,##0"/>
    <numFmt numFmtId="176" formatCode="#,##0.0"/>
    <numFmt numFmtId="177" formatCode="_(* #,##0.00_);_(* \(#,##0.00\);_(* &quot;-&quot;_);_(@_)"/>
    <numFmt numFmtId="178" formatCode="0_);\(0\)"/>
    <numFmt numFmtId="179" formatCode="0.0%_);\(0.0%\);&quot;–&quot;_)"/>
    <numFmt numFmtId="180" formatCode="mm/dd/yy\ hh:mm"/>
  </numFmts>
  <fonts count="199">
    <font>
      <sz val="12"/>
      <name val="Arial"/>
    </font>
    <font>
      <sz val="10"/>
      <name val="Arial"/>
      <family val="2"/>
    </font>
    <font>
      <sz val="10"/>
      <name val="Arial"/>
      <family val="2"/>
    </font>
    <font>
      <sz val="12"/>
      <name val="Arial"/>
      <family val="2"/>
    </font>
    <font>
      <b/>
      <sz val="8"/>
      <name val="Arial"/>
      <family val="2"/>
    </font>
    <font>
      <sz val="8"/>
      <name val="Arial"/>
      <family val="2"/>
    </font>
    <font>
      <sz val="8"/>
      <color indexed="55"/>
      <name val="Arial"/>
      <family val="2"/>
    </font>
    <font>
      <i/>
      <sz val="8"/>
      <name val="Arial"/>
      <family val="2"/>
    </font>
    <font>
      <sz val="8"/>
      <color indexed="9"/>
      <name val="Arial"/>
      <family val="2"/>
    </font>
    <font>
      <b/>
      <sz val="8"/>
      <color indexed="9"/>
      <name val="Arial"/>
      <family val="2"/>
    </font>
    <font>
      <b/>
      <u/>
      <sz val="8"/>
      <name val="Arial"/>
      <family val="2"/>
    </font>
    <font>
      <b/>
      <sz val="8"/>
      <color indexed="55"/>
      <name val="Arial"/>
      <family val="2"/>
    </font>
    <font>
      <b/>
      <sz val="8"/>
      <color indexed="23"/>
      <name val="Arial"/>
      <family val="2"/>
    </font>
    <font>
      <b/>
      <i/>
      <sz val="8"/>
      <name val="Arial"/>
      <family val="2"/>
    </font>
    <font>
      <i/>
      <sz val="8"/>
      <color indexed="55"/>
      <name val="Arial"/>
      <family val="2"/>
    </font>
    <font>
      <i/>
      <sz val="8"/>
      <color indexed="23"/>
      <name val="Arial"/>
      <family val="2"/>
    </font>
    <font>
      <b/>
      <sz val="8"/>
      <color indexed="10"/>
      <name val="Arial"/>
      <family val="2"/>
    </font>
    <font>
      <sz val="8"/>
      <color indexed="10"/>
      <name val="Arial"/>
      <family val="2"/>
    </font>
    <font>
      <i/>
      <sz val="8"/>
      <color indexed="9"/>
      <name val="Arial"/>
      <family val="2"/>
    </font>
    <font>
      <sz val="8"/>
      <color indexed="18"/>
      <name val="Arial"/>
      <family val="2"/>
    </font>
    <font>
      <i/>
      <sz val="8"/>
      <color indexed="12"/>
      <name val="Arial"/>
      <family val="2"/>
    </font>
    <font>
      <i/>
      <sz val="8"/>
      <color indexed="10"/>
      <name val="Arial"/>
      <family val="2"/>
    </font>
    <font>
      <sz val="8"/>
      <color indexed="12"/>
      <name val="Arial"/>
      <family val="2"/>
    </font>
    <font>
      <b/>
      <sz val="8"/>
      <color indexed="8"/>
      <name val="Tahoma"/>
      <family val="2"/>
    </font>
    <font>
      <sz val="8"/>
      <color indexed="8"/>
      <name val="Tahoma"/>
      <family val="2"/>
    </font>
    <font>
      <b/>
      <sz val="10"/>
      <color indexed="8"/>
      <name val="Tahoma"/>
      <family val="2"/>
    </font>
    <font>
      <sz val="10"/>
      <color indexed="8"/>
      <name val="Tahoma"/>
      <family val="2"/>
    </font>
    <font>
      <sz val="10"/>
      <color indexed="9"/>
      <name val="Arial"/>
      <family val="2"/>
    </font>
    <font>
      <sz val="10"/>
      <name val="Arial"/>
      <family val="2"/>
    </font>
    <font>
      <b/>
      <sz val="10"/>
      <name val="Arial"/>
      <family val="2"/>
    </font>
    <font>
      <sz val="10"/>
      <color indexed="9"/>
      <name val="Arial"/>
      <family val="2"/>
    </font>
    <font>
      <b/>
      <sz val="10"/>
      <color indexed="22"/>
      <name val="Arial"/>
      <family val="2"/>
    </font>
    <font>
      <sz val="10"/>
      <color indexed="22"/>
      <name val="Arial"/>
      <family val="2"/>
    </font>
    <font>
      <sz val="10"/>
      <color indexed="12"/>
      <name val="Arial"/>
      <family val="2"/>
    </font>
    <font>
      <i/>
      <sz val="10"/>
      <name val="Arial"/>
      <family val="2"/>
    </font>
    <font>
      <sz val="10"/>
      <color indexed="8"/>
      <name val="Arial"/>
      <family val="2"/>
    </font>
    <font>
      <sz val="10"/>
      <color indexed="10"/>
      <name val="Arial"/>
      <family val="2"/>
    </font>
    <font>
      <b/>
      <sz val="10"/>
      <color indexed="10"/>
      <name val="Arial"/>
      <family val="2"/>
    </font>
    <font>
      <b/>
      <sz val="12"/>
      <name val="Arial"/>
      <family val="2"/>
    </font>
    <font>
      <b/>
      <i/>
      <sz val="10"/>
      <name val="Arial"/>
      <family val="2"/>
    </font>
    <font>
      <b/>
      <sz val="10"/>
      <color indexed="9"/>
      <name val="Arial"/>
      <family val="2"/>
    </font>
    <font>
      <b/>
      <sz val="10"/>
      <color indexed="12"/>
      <name val="Arial"/>
      <family val="2"/>
    </font>
    <font>
      <b/>
      <sz val="10"/>
      <color indexed="8"/>
      <name val="Arial"/>
      <family val="2"/>
    </font>
    <font>
      <sz val="10"/>
      <color indexed="18"/>
      <name val="Arial"/>
      <family val="2"/>
    </font>
    <font>
      <b/>
      <sz val="10"/>
      <color indexed="55"/>
      <name val="Arial"/>
      <family val="2"/>
    </font>
    <font>
      <sz val="10"/>
      <color indexed="55"/>
      <name val="Arial"/>
      <family val="2"/>
    </font>
    <font>
      <b/>
      <sz val="10"/>
      <color indexed="20"/>
      <name val="Arial"/>
      <family val="2"/>
    </font>
    <font>
      <b/>
      <sz val="10"/>
      <color indexed="17"/>
      <name val="Arial"/>
      <family val="2"/>
    </font>
    <font>
      <sz val="10"/>
      <color indexed="17"/>
      <name val="Arial"/>
      <family val="2"/>
    </font>
    <font>
      <b/>
      <sz val="8"/>
      <color indexed="12"/>
      <name val="Arial"/>
      <family val="2"/>
    </font>
    <font>
      <b/>
      <u/>
      <sz val="10"/>
      <name val="Arial"/>
      <family val="2"/>
    </font>
    <font>
      <sz val="10"/>
      <color indexed="47"/>
      <name val="Arial"/>
      <family val="2"/>
    </font>
    <font>
      <i/>
      <sz val="10"/>
      <color indexed="10"/>
      <name val="Arial"/>
      <family val="2"/>
    </font>
    <font>
      <i/>
      <sz val="10"/>
      <color indexed="12"/>
      <name val="Arial"/>
      <family val="2"/>
    </font>
    <font>
      <b/>
      <i/>
      <sz val="10"/>
      <color indexed="12"/>
      <name val="Arial"/>
      <family val="2"/>
    </font>
    <font>
      <sz val="10"/>
      <color indexed="48"/>
      <name val="Arial"/>
      <family val="2"/>
    </font>
    <font>
      <b/>
      <i/>
      <sz val="10"/>
      <color indexed="9"/>
      <name val="Arial"/>
      <family val="2"/>
    </font>
    <font>
      <sz val="8"/>
      <color indexed="12"/>
      <name val="Arial"/>
      <family val="2"/>
    </font>
    <font>
      <b/>
      <sz val="8"/>
      <color indexed="12"/>
      <name val="Arial"/>
      <family val="2"/>
    </font>
    <font>
      <b/>
      <sz val="9"/>
      <name val="Arial"/>
      <family val="2"/>
    </font>
    <font>
      <u/>
      <sz val="10"/>
      <name val="Arial"/>
      <family val="2"/>
    </font>
    <font>
      <b/>
      <sz val="10"/>
      <color indexed="47"/>
      <name val="Arial"/>
      <family val="2"/>
    </font>
    <font>
      <sz val="10"/>
      <color indexed="57"/>
      <name val="Arial"/>
      <family val="2"/>
    </font>
    <font>
      <b/>
      <sz val="10"/>
      <color indexed="59"/>
      <name val="Arial"/>
      <family val="2"/>
    </font>
    <font>
      <sz val="10"/>
      <color indexed="23"/>
      <name val="Arial"/>
      <family val="2"/>
    </font>
    <font>
      <b/>
      <sz val="10"/>
      <color indexed="23"/>
      <name val="Arial"/>
      <family val="2"/>
    </font>
    <font>
      <sz val="10"/>
      <color indexed="21"/>
      <name val="Arial"/>
      <family val="2"/>
    </font>
    <font>
      <sz val="8"/>
      <color indexed="10"/>
      <name val="Arial"/>
      <family val="2"/>
    </font>
    <font>
      <sz val="8"/>
      <color indexed="10"/>
      <name val="Tahoma"/>
      <family val="2"/>
    </font>
    <font>
      <b/>
      <sz val="11"/>
      <color indexed="8"/>
      <name val="Tahoma"/>
      <family val="2"/>
    </font>
    <font>
      <sz val="10"/>
      <color indexed="14"/>
      <name val="Times New Roman"/>
      <family val="1"/>
    </font>
    <font>
      <sz val="10"/>
      <color indexed="50"/>
      <name val="Arial"/>
      <family val="2"/>
    </font>
    <font>
      <b/>
      <sz val="12"/>
      <color indexed="8"/>
      <name val="Tahoma"/>
      <family val="2"/>
    </font>
    <font>
      <sz val="12"/>
      <color indexed="8"/>
      <name val="Tahoma"/>
      <family val="2"/>
    </font>
    <font>
      <sz val="11"/>
      <color indexed="8"/>
      <name val="Tahoma"/>
      <family val="2"/>
    </font>
    <font>
      <sz val="12"/>
      <color indexed="10"/>
      <name val="Arial"/>
      <family val="2"/>
    </font>
    <font>
      <sz val="8"/>
      <name val="Arial"/>
      <family val="2"/>
    </font>
    <font>
      <u/>
      <sz val="8"/>
      <color indexed="8"/>
      <name val="Tahoma"/>
      <family val="2"/>
    </font>
    <font>
      <b/>
      <sz val="10"/>
      <color indexed="18"/>
      <name val="Arial"/>
      <family val="2"/>
    </font>
    <font>
      <strike/>
      <sz val="10"/>
      <color indexed="22"/>
      <name val="Arial"/>
      <family val="2"/>
    </font>
    <font>
      <b/>
      <sz val="8"/>
      <name val="Arial"/>
      <family val="2"/>
    </font>
    <font>
      <sz val="11"/>
      <name val="Arial"/>
      <family val="2"/>
    </font>
    <font>
      <b/>
      <sz val="8"/>
      <color indexed="81"/>
      <name val="Tahoma"/>
      <family val="2"/>
    </font>
    <font>
      <sz val="8"/>
      <color indexed="81"/>
      <name val="Tahoma"/>
      <family val="2"/>
    </font>
    <font>
      <sz val="10"/>
      <name val="MS Sans Serif"/>
      <family val="2"/>
    </font>
    <font>
      <sz val="11"/>
      <color indexed="8"/>
      <name val="Calibri"/>
      <family val="2"/>
    </font>
    <font>
      <sz val="11"/>
      <color indexed="9"/>
      <name val="Calibri"/>
      <family val="2"/>
    </font>
    <font>
      <sz val="11"/>
      <color indexed="20"/>
      <name val="Calibri"/>
      <family val="2"/>
    </font>
    <font>
      <b/>
      <sz val="10"/>
      <color indexed="8"/>
      <name val="Times New Roman"/>
      <family val="1"/>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9"/>
      <name val="Times New Roman"/>
      <family val="1"/>
    </font>
    <font>
      <sz val="10"/>
      <color indexed="8"/>
      <name val="Times New Roman"/>
      <family val="1"/>
    </font>
    <font>
      <i/>
      <sz val="8"/>
      <name val="Times New Roman"/>
      <family val="1"/>
    </font>
    <font>
      <b/>
      <sz val="18"/>
      <color indexed="62"/>
      <name val="Cambria"/>
      <family val="2"/>
    </font>
    <font>
      <b/>
      <sz val="11"/>
      <color indexed="8"/>
      <name val="Calibri"/>
      <family val="2"/>
    </font>
    <font>
      <sz val="11"/>
      <color indexed="10"/>
      <name val="Calibri"/>
      <family val="2"/>
    </font>
    <font>
      <sz val="12"/>
      <name val="바탕체"/>
      <family val="1"/>
      <charset val="129"/>
    </font>
    <font>
      <sz val="8"/>
      <name val="Calibri"/>
      <family val="2"/>
    </font>
    <font>
      <sz val="8"/>
      <color indexed="48"/>
      <name val="Arial"/>
      <family val="2"/>
    </font>
    <font>
      <i/>
      <sz val="8"/>
      <color indexed="12"/>
      <name val="Arial"/>
      <family val="2"/>
    </font>
    <font>
      <sz val="8"/>
      <color indexed="57"/>
      <name val="Arial"/>
      <family val="2"/>
    </font>
    <font>
      <sz val="8"/>
      <color indexed="54"/>
      <name val="Arial"/>
      <family val="2"/>
    </font>
    <font>
      <b/>
      <i/>
      <sz val="8"/>
      <color indexed="12"/>
      <name val="Arial"/>
      <family val="2"/>
    </font>
    <font>
      <b/>
      <sz val="8"/>
      <color indexed="48"/>
      <name val="Arial"/>
      <family val="2"/>
    </font>
    <font>
      <i/>
      <sz val="8"/>
      <color indexed="54"/>
      <name val="Arial"/>
      <family val="2"/>
    </font>
    <font>
      <sz val="8"/>
      <color indexed="54"/>
      <name val="Arial"/>
      <family val="2"/>
    </font>
    <font>
      <i/>
      <sz val="8"/>
      <color indexed="54"/>
      <name val="Arial"/>
      <family val="2"/>
    </font>
    <font>
      <b/>
      <sz val="8"/>
      <color indexed="54"/>
      <name val="Arial"/>
      <family val="2"/>
    </font>
    <font>
      <b/>
      <sz val="8"/>
      <color indexed="9"/>
      <name val="Arial"/>
      <family val="2"/>
    </font>
    <font>
      <b/>
      <sz val="8"/>
      <color indexed="54"/>
      <name val="Arial"/>
      <family val="2"/>
    </font>
    <font>
      <b/>
      <sz val="8"/>
      <color indexed="17"/>
      <name val="Arial"/>
      <family val="2"/>
    </font>
    <font>
      <sz val="8"/>
      <color indexed="17"/>
      <name val="Arial"/>
      <family val="2"/>
    </font>
    <font>
      <b/>
      <sz val="10"/>
      <name val="Calibri"/>
      <family val="2"/>
    </font>
    <font>
      <sz val="10"/>
      <name val="Calibri"/>
      <family val="2"/>
    </font>
    <font>
      <sz val="10"/>
      <color indexed="10"/>
      <name val="Calibri"/>
      <family val="2"/>
    </font>
    <font>
      <sz val="10"/>
      <color indexed="48"/>
      <name val="Calibri"/>
      <family val="2"/>
    </font>
    <font>
      <b/>
      <sz val="10"/>
      <color indexed="48"/>
      <name val="Arial"/>
      <family val="2"/>
    </font>
    <font>
      <sz val="12"/>
      <name val="Arial"/>
      <family val="2"/>
    </font>
    <font>
      <sz val="9"/>
      <color indexed="81"/>
      <name val="Tahoma"/>
      <family val="2"/>
    </font>
    <font>
      <b/>
      <sz val="9"/>
      <color indexed="81"/>
      <name val="Tahoma"/>
      <family val="2"/>
    </font>
    <font>
      <i/>
      <sz val="10"/>
      <color indexed="22"/>
      <name val="Arial"/>
      <family val="2"/>
    </font>
    <font>
      <sz val="6"/>
      <name val="Arial"/>
      <family val="2"/>
    </font>
    <font>
      <i/>
      <sz val="12"/>
      <name val="Arial"/>
      <family val="2"/>
    </font>
    <font>
      <i/>
      <sz val="10"/>
      <color indexed="48"/>
      <name val="Arial"/>
      <family val="2"/>
    </font>
    <font>
      <b/>
      <i/>
      <sz val="10"/>
      <color indexed="23"/>
      <name val="Arial"/>
      <family val="2"/>
    </font>
    <font>
      <i/>
      <sz val="10"/>
      <color indexed="23"/>
      <name val="Arial"/>
      <family val="2"/>
    </font>
    <font>
      <i/>
      <sz val="10"/>
      <color indexed="8"/>
      <name val="Arial"/>
      <family val="2"/>
    </font>
    <font>
      <sz val="10"/>
      <color indexed="60"/>
      <name val="Arial"/>
      <family val="2"/>
    </font>
    <font>
      <b/>
      <sz val="10"/>
      <color indexed="60"/>
      <name val="Arial"/>
      <family val="2"/>
    </font>
    <font>
      <sz val="18"/>
      <name val="Arial"/>
      <family val="2"/>
    </font>
    <font>
      <b/>
      <sz val="18"/>
      <name val="Helvetica"/>
      <family val="2"/>
    </font>
    <font>
      <b/>
      <sz val="10"/>
      <name val="Helvetica"/>
      <family val="2"/>
    </font>
    <font>
      <b/>
      <sz val="9"/>
      <color indexed="9"/>
      <name val="Arial"/>
      <family val="2"/>
    </font>
    <font>
      <sz val="9"/>
      <color indexed="17"/>
      <name val="Arial"/>
      <family val="2"/>
    </font>
    <font>
      <b/>
      <sz val="12"/>
      <name val="Helvetica"/>
      <family val="2"/>
    </font>
    <font>
      <b/>
      <sz val="12"/>
      <color indexed="9"/>
      <name val="Helvetica"/>
      <family val="2"/>
    </font>
    <font>
      <b/>
      <sz val="10"/>
      <color indexed="19"/>
      <name val="Arial"/>
      <family val="2"/>
    </font>
    <font>
      <sz val="9"/>
      <name val="AGaramond"/>
    </font>
    <font>
      <i/>
      <sz val="10"/>
      <color indexed="17"/>
      <name val="Arial"/>
      <family val="2"/>
    </font>
    <font>
      <sz val="8"/>
      <color indexed="60"/>
      <name val="Arial"/>
      <family val="2"/>
    </font>
    <font>
      <sz val="10"/>
      <color indexed="19"/>
      <name val="Arial"/>
      <family val="2"/>
    </font>
    <font>
      <sz val="10"/>
      <color indexed="58"/>
      <name val="Arial"/>
      <family val="2"/>
    </font>
    <font>
      <sz val="10"/>
      <color indexed="40"/>
      <name val="Arial"/>
      <family val="2"/>
    </font>
    <font>
      <sz val="10"/>
      <color indexed="24"/>
      <name val="Arial"/>
      <family val="2"/>
    </font>
    <font>
      <b/>
      <sz val="10"/>
      <color indexed="24"/>
      <name val="Arial"/>
      <family val="2"/>
    </font>
    <font>
      <sz val="10"/>
      <color indexed="60"/>
      <name val="Arial"/>
      <family val="2"/>
    </font>
    <font>
      <b/>
      <sz val="10"/>
      <color indexed="60"/>
      <name val="Arial"/>
      <family val="2"/>
    </font>
    <font>
      <sz val="12"/>
      <color indexed="22"/>
      <name val="Arial"/>
      <family val="2"/>
    </font>
    <font>
      <sz val="10"/>
      <color indexed="22"/>
      <name val="Arial"/>
      <family val="2"/>
    </font>
    <font>
      <b/>
      <sz val="10"/>
      <color indexed="58"/>
      <name val="Arial"/>
      <family val="2"/>
    </font>
    <font>
      <b/>
      <sz val="8"/>
      <color indexed="58"/>
      <name val="Arial"/>
      <family val="2"/>
    </font>
    <font>
      <sz val="8"/>
      <color indexed="58"/>
      <name val="Arial"/>
      <family val="2"/>
    </font>
    <font>
      <i/>
      <sz val="10"/>
      <color indexed="58"/>
      <name val="Arial"/>
      <family val="2"/>
    </font>
    <font>
      <sz val="10"/>
      <color indexed="58"/>
      <name val="Arial"/>
      <family val="2"/>
    </font>
    <font>
      <b/>
      <sz val="10"/>
      <color indexed="58"/>
      <name val="Arial"/>
      <family val="2"/>
    </font>
    <font>
      <i/>
      <sz val="10"/>
      <color indexed="58"/>
      <name val="Arial"/>
      <family val="2"/>
    </font>
    <font>
      <b/>
      <sz val="8"/>
      <color indexed="58"/>
      <name val="Arial"/>
      <family val="2"/>
    </font>
    <font>
      <sz val="8"/>
      <color indexed="58"/>
      <name val="Arial"/>
      <family val="2"/>
    </font>
    <font>
      <sz val="10"/>
      <color rgb="FF0070C0"/>
      <name val="Arial"/>
      <family val="2"/>
    </font>
    <font>
      <b/>
      <sz val="10"/>
      <color rgb="FF0070C0"/>
      <name val="Arial"/>
      <family val="2"/>
    </font>
    <font>
      <b/>
      <sz val="8"/>
      <color rgb="FF00B050"/>
      <name val="Arial"/>
      <family val="2"/>
    </font>
    <font>
      <b/>
      <sz val="10"/>
      <color rgb="FFFF0000"/>
      <name val="Arial"/>
      <family val="2"/>
    </font>
    <font>
      <sz val="10"/>
      <color rgb="FF00B050"/>
      <name val="Arial"/>
      <family val="2"/>
    </font>
    <font>
      <b/>
      <sz val="10"/>
      <color rgb="FF00B050"/>
      <name val="Arial"/>
      <family val="2"/>
    </font>
    <font>
      <b/>
      <sz val="10"/>
      <color theme="0" tint="-0.499984740745262"/>
      <name val="Arial"/>
      <family val="2"/>
    </font>
    <font>
      <sz val="10"/>
      <color theme="0" tint="-0.499984740745262"/>
      <name val="Arial"/>
      <family val="2"/>
    </font>
    <font>
      <sz val="10"/>
      <color rgb="FFFF0000"/>
      <name val="Arial"/>
      <family val="2"/>
    </font>
    <font>
      <sz val="8"/>
      <color rgb="FF00B050"/>
      <name val="Arial"/>
      <family val="2"/>
    </font>
    <font>
      <sz val="8"/>
      <color rgb="FF0070C0"/>
      <name val="Arial"/>
      <family val="2"/>
    </font>
    <font>
      <sz val="10"/>
      <color indexed="81"/>
      <name val="Tahoma"/>
      <family val="2"/>
    </font>
    <font>
      <b/>
      <sz val="10"/>
      <color rgb="FFFFFFFF"/>
      <name val="Arial"/>
      <family val="2"/>
    </font>
    <font>
      <b/>
      <i/>
      <sz val="10"/>
      <color rgb="FFFFFFFF"/>
      <name val="Arial"/>
      <family val="2"/>
    </font>
    <font>
      <i/>
      <sz val="10"/>
      <color rgb="FF0070C0"/>
      <name val="Arial"/>
      <family val="2"/>
    </font>
    <font>
      <i/>
      <sz val="8"/>
      <color indexed="58"/>
      <name val="Arial"/>
      <family val="2"/>
    </font>
    <font>
      <b/>
      <sz val="8"/>
      <color rgb="FF0070C0"/>
      <name val="Arial"/>
      <family val="2"/>
    </font>
    <font>
      <sz val="12"/>
      <name val="Helvetica"/>
      <family val="2"/>
    </font>
    <font>
      <sz val="12"/>
      <color indexed="9"/>
      <name val="Helvetica"/>
      <family val="2"/>
    </font>
    <font>
      <sz val="18"/>
      <color indexed="9"/>
      <name val="Helvetica"/>
      <family val="2"/>
    </font>
    <font>
      <sz val="12"/>
      <color indexed="58"/>
      <name val="Helvetica"/>
      <family val="2"/>
    </font>
    <font>
      <b/>
      <sz val="8"/>
      <color rgb="FFFF0000"/>
      <name val="Arial"/>
      <family val="2"/>
    </font>
    <font>
      <sz val="8"/>
      <color rgb="FFFF0000"/>
      <name val="Arial"/>
      <family val="2"/>
    </font>
    <font>
      <sz val="12"/>
      <color rgb="FF0070C0"/>
      <name val="Arial"/>
      <family val="2"/>
    </font>
    <font>
      <sz val="10"/>
      <name val="Arial"/>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s>
  <fills count="40">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56"/>
        <bgColor indexed="64"/>
      </patternFill>
    </fill>
    <fill>
      <patternFill patternType="solid">
        <fgColor indexed="9"/>
        <bgColor indexed="64"/>
      </patternFill>
    </fill>
    <fill>
      <patternFill patternType="solid">
        <fgColor indexed="44"/>
        <bgColor indexed="64"/>
      </patternFill>
    </fill>
    <fill>
      <patternFill patternType="solid">
        <fgColor indexed="8"/>
        <bgColor indexed="64"/>
      </patternFill>
    </fill>
    <fill>
      <patternFill patternType="solid">
        <fgColor indexed="47"/>
        <bgColor indexed="64"/>
      </patternFill>
    </fill>
    <fill>
      <patternFill patternType="solid">
        <fgColor indexed="13"/>
        <bgColor indexed="64"/>
      </patternFill>
    </fill>
    <fill>
      <patternFill patternType="solid">
        <fgColor indexed="27"/>
        <bgColor indexed="64"/>
      </patternFill>
    </fill>
    <fill>
      <patternFill patternType="solid">
        <fgColor indexed="51"/>
        <bgColor indexed="64"/>
      </patternFill>
    </fill>
    <fill>
      <patternFill patternType="solid">
        <fgColor indexed="23"/>
        <bgColor indexed="64"/>
      </patternFill>
    </fill>
    <fill>
      <patternFill patternType="solid">
        <fgColor indexed="14"/>
        <bgColor indexed="64"/>
      </patternFill>
    </fill>
    <fill>
      <patternFill patternType="solid">
        <fgColor indexed="12"/>
        <bgColor indexed="64"/>
      </patternFill>
    </fill>
    <fill>
      <patternFill patternType="solid">
        <fgColor indexed="60"/>
        <bgColor indexed="64"/>
      </patternFill>
    </fill>
    <fill>
      <patternFill patternType="solid">
        <fgColor indexed="41"/>
        <bgColor indexed="64"/>
      </patternFill>
    </fill>
    <fill>
      <patternFill patternType="solid">
        <fgColor indexed="24"/>
        <bgColor indexed="64"/>
      </patternFill>
    </fill>
    <fill>
      <patternFill patternType="solid">
        <fgColor indexed="17"/>
        <bgColor indexed="64"/>
      </patternFill>
    </fill>
    <fill>
      <patternFill patternType="solid">
        <fgColor indexed="5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0" tint="-9.9978637043366805E-2"/>
        <bgColor indexed="64"/>
      </patternFill>
    </fill>
    <fill>
      <patternFill patternType="solid">
        <fgColor theme="0" tint="-0.499984740745262"/>
        <bgColor indexed="64"/>
      </patternFill>
    </fill>
    <fill>
      <patternFill patternType="solid">
        <fgColor indexed="65"/>
        <bgColor indexed="64"/>
      </patternFill>
    </fill>
  </fills>
  <borders count="88">
    <border>
      <left/>
      <right/>
      <top/>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style="medium">
        <color indexed="64"/>
      </left>
      <right/>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18"/>
      </left>
      <right/>
      <top/>
      <bottom style="thin">
        <color indexed="64"/>
      </bottom>
      <diagonal/>
    </border>
    <border>
      <left/>
      <right/>
      <top style="thin">
        <color indexed="18"/>
      </top>
      <bottom style="thin">
        <color indexed="18"/>
      </bottom>
      <diagonal/>
    </border>
    <border>
      <left/>
      <right style="thin">
        <color indexed="18"/>
      </right>
      <top style="thin">
        <color indexed="18"/>
      </top>
      <bottom style="thin">
        <color indexed="18"/>
      </bottom>
      <diagonal/>
    </border>
    <border>
      <left/>
      <right style="thin">
        <color indexed="64"/>
      </right>
      <top style="thin">
        <color indexed="64"/>
      </top>
      <bottom/>
      <diagonal/>
    </border>
    <border>
      <left/>
      <right style="thin">
        <color indexed="8"/>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8"/>
      </right>
      <top/>
      <bottom/>
      <diagonal/>
    </border>
    <border>
      <left/>
      <right/>
      <top style="thin">
        <color indexed="64"/>
      </top>
      <bottom style="double">
        <color indexed="64"/>
      </bottom>
      <diagonal/>
    </border>
    <border>
      <left style="thin">
        <color indexed="22"/>
      </left>
      <right/>
      <top style="thin">
        <color indexed="22"/>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style="thin">
        <color indexed="22"/>
      </right>
      <top style="thin">
        <color indexed="22"/>
      </top>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8"/>
      </right>
      <top style="medium">
        <color indexed="64"/>
      </top>
      <bottom style="medium">
        <color indexed="64"/>
      </bottom>
      <diagonal/>
    </border>
    <border>
      <left style="medium">
        <color indexed="64"/>
      </left>
      <right style="medium">
        <color indexed="64"/>
      </right>
      <top/>
      <bottom/>
      <diagonal/>
    </border>
    <border>
      <left style="thin">
        <color indexed="64"/>
      </left>
      <right/>
      <top/>
      <bottom style="thin">
        <color indexed="23"/>
      </bottom>
      <diagonal/>
    </border>
    <border>
      <left/>
      <right/>
      <top/>
      <bottom style="thin">
        <color indexed="23"/>
      </bottom>
      <diagonal/>
    </border>
    <border>
      <left/>
      <right style="thin">
        <color indexed="64"/>
      </right>
      <top/>
      <bottom style="thin">
        <color indexed="55"/>
      </bottom>
      <diagonal/>
    </border>
    <border>
      <left style="thin">
        <color indexed="64"/>
      </left>
      <right style="thin">
        <color indexed="64"/>
      </right>
      <top/>
      <bottom style="thin">
        <color indexed="23"/>
      </bottom>
      <diagonal/>
    </border>
    <border>
      <left/>
      <right style="thin">
        <color indexed="64"/>
      </right>
      <top/>
      <bottom style="thin">
        <color indexed="23"/>
      </bottom>
      <diagonal/>
    </border>
    <border>
      <left style="thin">
        <color indexed="64"/>
      </left>
      <right/>
      <top style="thin">
        <color indexed="23"/>
      </top>
      <bottom style="thin">
        <color indexed="23"/>
      </bottom>
      <diagonal/>
    </border>
    <border>
      <left style="thin">
        <color indexed="64"/>
      </left>
      <right style="thin">
        <color indexed="64"/>
      </right>
      <top style="thin">
        <color indexed="23"/>
      </top>
      <bottom style="thin">
        <color indexed="23"/>
      </bottom>
      <diagonal/>
    </border>
    <border>
      <left/>
      <right/>
      <top style="thin">
        <color indexed="23"/>
      </top>
      <bottom style="thin">
        <color indexed="23"/>
      </bottom>
      <diagonal/>
    </border>
    <border>
      <left style="thin">
        <color indexed="64"/>
      </left>
      <right style="thin">
        <color indexed="64"/>
      </right>
      <top style="thin">
        <color indexed="23"/>
      </top>
      <bottom/>
      <diagonal/>
    </border>
    <border>
      <left/>
      <right/>
      <top style="thin">
        <color indexed="23"/>
      </top>
      <bottom/>
      <diagonal/>
    </border>
    <border>
      <left style="thin">
        <color indexed="64"/>
      </left>
      <right style="thin">
        <color indexed="64"/>
      </right>
      <top style="thin">
        <color indexed="23"/>
      </top>
      <bottom style="thin">
        <color indexed="64"/>
      </bottom>
      <diagonal/>
    </border>
    <border>
      <left style="thin">
        <color indexed="64"/>
      </left>
      <right style="thin">
        <color indexed="64"/>
      </right>
      <top/>
      <bottom style="thin">
        <color indexed="55"/>
      </bottom>
      <diagonal/>
    </border>
    <border>
      <left style="thin">
        <color indexed="64"/>
      </left>
      <right/>
      <top style="thin">
        <color indexed="23"/>
      </top>
      <bottom/>
      <diagonal/>
    </border>
    <border>
      <left/>
      <right style="thin">
        <color indexed="64"/>
      </right>
      <top style="thin">
        <color indexed="23"/>
      </top>
      <bottom style="thin">
        <color indexed="23"/>
      </bottom>
      <diagonal/>
    </border>
    <border>
      <left/>
      <right style="thin">
        <color indexed="64"/>
      </right>
      <top style="thin">
        <color indexed="23"/>
      </top>
      <bottom/>
      <diagonal/>
    </border>
    <border>
      <left style="thin">
        <color indexed="64"/>
      </left>
      <right style="thin">
        <color indexed="64"/>
      </right>
      <top style="thin">
        <color indexed="55"/>
      </top>
      <bottom/>
      <diagonal/>
    </border>
    <border>
      <left/>
      <right style="thin">
        <color indexed="64"/>
      </right>
      <top style="thin">
        <color indexed="55"/>
      </top>
      <bottom/>
      <diagonal/>
    </border>
    <border>
      <left/>
      <right style="thin">
        <color auto="1"/>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23"/>
      </bottom>
      <diagonal/>
    </border>
    <border>
      <left/>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indexed="64"/>
      </top>
      <bottom/>
      <diagonal/>
    </border>
    <border>
      <left/>
      <right style="thin">
        <color indexed="64"/>
      </right>
      <top style="thin">
        <color auto="1"/>
      </top>
      <bottom style="thin">
        <color auto="1"/>
      </bottom>
      <diagonal/>
    </border>
    <border>
      <left/>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70">
    <xf numFmtId="0" fontId="0" fillId="0" borderId="0"/>
    <xf numFmtId="0" fontId="1" fillId="0" borderId="0"/>
    <xf numFmtId="0" fontId="1" fillId="0" borderId="0"/>
    <xf numFmtId="0" fontId="1" fillId="0" borderId="0"/>
    <xf numFmtId="0" fontId="1" fillId="17" borderId="0" applyNumberFormat="0" applyFont="0" applyBorder="0" applyAlignment="0" applyProtection="0"/>
    <xf numFmtId="0" fontId="84" fillId="0" borderId="0"/>
    <xf numFmtId="0" fontId="84" fillId="0" borderId="0"/>
    <xf numFmtId="0" fontId="85" fillId="2" borderId="0" applyNumberFormat="0" applyBorder="0" applyAlignment="0" applyProtection="0"/>
    <xf numFmtId="0" fontId="85" fillId="3" borderId="0" applyNumberFormat="0" applyBorder="0" applyAlignment="0" applyProtection="0"/>
    <xf numFmtId="0" fontId="85" fillId="4" borderId="0" applyNumberFormat="0" applyBorder="0" applyAlignment="0" applyProtection="0"/>
    <xf numFmtId="0" fontId="85" fillId="2" borderId="0" applyNumberFormat="0" applyBorder="0" applyAlignment="0" applyProtection="0"/>
    <xf numFmtId="0" fontId="85" fillId="5" borderId="0" applyNumberFormat="0" applyBorder="0" applyAlignment="0" applyProtection="0"/>
    <xf numFmtId="0" fontId="85" fillId="4" borderId="0" applyNumberFormat="0" applyBorder="0" applyAlignment="0" applyProtection="0"/>
    <xf numFmtId="0" fontId="85" fillId="6" borderId="0" applyNumberFormat="0" applyBorder="0" applyAlignment="0" applyProtection="0"/>
    <xf numFmtId="0" fontId="85" fillId="3" borderId="0" applyNumberFormat="0" applyBorder="0" applyAlignment="0" applyProtection="0"/>
    <xf numFmtId="0" fontId="85" fillId="4" borderId="0" applyNumberFormat="0" applyBorder="0" applyAlignment="0" applyProtection="0"/>
    <xf numFmtId="0" fontId="85" fillId="6" borderId="0" applyNumberFormat="0" applyBorder="0" applyAlignment="0" applyProtection="0"/>
    <xf numFmtId="0" fontId="85" fillId="7" borderId="0" applyNumberFormat="0" applyBorder="0" applyAlignment="0" applyProtection="0"/>
    <xf numFmtId="0" fontId="85" fillId="4" borderId="0" applyNumberFormat="0" applyBorder="0" applyAlignment="0" applyProtection="0"/>
    <xf numFmtId="0" fontId="86" fillId="8" borderId="0" applyNumberFormat="0" applyBorder="0" applyAlignment="0" applyProtection="0"/>
    <xf numFmtId="0" fontId="86" fillId="3" borderId="0" applyNumberFormat="0" applyBorder="0" applyAlignment="0" applyProtection="0"/>
    <xf numFmtId="0" fontId="86" fillId="9" borderId="0" applyNumberFormat="0" applyBorder="0" applyAlignment="0" applyProtection="0"/>
    <xf numFmtId="0" fontId="86" fillId="6" borderId="0" applyNumberFormat="0" applyBorder="0" applyAlignment="0" applyProtection="0"/>
    <xf numFmtId="0" fontId="86" fillId="8" borderId="0" applyNumberFormat="0" applyBorder="0" applyAlignment="0" applyProtection="0"/>
    <xf numFmtId="0" fontId="86" fillId="4" borderId="0" applyNumberFormat="0" applyBorder="0" applyAlignment="0" applyProtection="0"/>
    <xf numFmtId="0" fontId="86" fillId="8" borderId="0" applyNumberFormat="0" applyBorder="0" applyAlignment="0" applyProtection="0"/>
    <xf numFmtId="0" fontId="86" fillId="3" borderId="0" applyNumberFormat="0" applyBorder="0" applyAlignment="0" applyProtection="0"/>
    <xf numFmtId="0" fontId="86" fillId="9" borderId="0" applyNumberFormat="0" applyBorder="0" applyAlignment="0" applyProtection="0"/>
    <xf numFmtId="0" fontId="86" fillId="10" borderId="0" applyNumberFormat="0" applyBorder="0" applyAlignment="0" applyProtection="0"/>
    <xf numFmtId="0" fontId="86" fillId="8" borderId="0" applyNumberFormat="0" applyBorder="0" applyAlignment="0" applyProtection="0"/>
    <xf numFmtId="0" fontId="86" fillId="3" borderId="0" applyNumberFormat="0" applyBorder="0" applyAlignment="0" applyProtection="0"/>
    <xf numFmtId="0" fontId="87" fillId="11" borderId="0" applyNumberFormat="0" applyBorder="0" applyAlignment="0" applyProtection="0"/>
    <xf numFmtId="0" fontId="88" fillId="0" borderId="0"/>
    <xf numFmtId="0" fontId="89" fillId="12" borderId="3" applyNumberFormat="0" applyAlignment="0" applyProtection="0"/>
    <xf numFmtId="0" fontId="90" fillId="13" borderId="4" applyNumberFormat="0" applyAlignment="0" applyProtection="0"/>
    <xf numFmtId="43" fontId="127" fillId="0" borderId="0" applyFont="0" applyFill="0" applyBorder="0" applyAlignment="0" applyProtection="0"/>
    <xf numFmtId="43" fontId="2" fillId="0" borderId="0" applyFont="0" applyFill="0" applyBorder="0" applyAlignment="0" applyProtection="0"/>
    <xf numFmtId="44" fontId="127"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0" fontId="91" fillId="0" borderId="0" applyNumberFormat="0" applyFill="0" applyBorder="0" applyAlignment="0" applyProtection="0"/>
    <xf numFmtId="0" fontId="92" fillId="14" borderId="0" applyNumberFormat="0" applyBorder="0" applyAlignment="0" applyProtection="0"/>
    <xf numFmtId="0" fontId="93" fillId="0" borderId="10" applyNumberFormat="0" applyFill="0" applyAlignment="0" applyProtection="0"/>
    <xf numFmtId="0" fontId="94" fillId="0" borderId="11" applyNumberFormat="0" applyFill="0" applyAlignment="0" applyProtection="0"/>
    <xf numFmtId="0" fontId="95" fillId="0" borderId="12" applyNumberFormat="0" applyFill="0" applyAlignment="0" applyProtection="0"/>
    <xf numFmtId="0" fontId="95" fillId="0" borderId="0" applyNumberFormat="0" applyFill="0" applyBorder="0" applyAlignment="0" applyProtection="0"/>
    <xf numFmtId="0" fontId="96" fillId="4" borderId="3" applyNumberFormat="0" applyAlignment="0" applyProtection="0"/>
    <xf numFmtId="0" fontId="97" fillId="0" borderId="13" applyNumberFormat="0" applyFill="0" applyAlignment="0" applyProtection="0"/>
    <xf numFmtId="0" fontId="98" fillId="4" borderId="0" applyNumberFormat="0" applyBorder="0" applyAlignment="0" applyProtection="0"/>
    <xf numFmtId="0" fontId="2" fillId="0" borderId="0"/>
    <xf numFmtId="0" fontId="123" fillId="0" borderId="0"/>
    <xf numFmtId="0" fontId="147" fillId="0" borderId="0"/>
    <xf numFmtId="0" fontId="1" fillId="4" borderId="14" applyNumberFormat="0" applyFont="0" applyAlignment="0" applyProtection="0"/>
    <xf numFmtId="166" fontId="1" fillId="0" borderId="0"/>
    <xf numFmtId="0" fontId="99" fillId="12" borderId="15" applyNumberFormat="0" applyAlignment="0" applyProtection="0"/>
    <xf numFmtId="0" fontId="100" fillId="0" borderId="0">
      <alignment vertical="center"/>
    </xf>
    <xf numFmtId="9" fontId="127" fillId="0" borderId="0" applyFont="0" applyFill="0" applyBorder="0" applyAlignment="0" applyProtection="0"/>
    <xf numFmtId="9" fontId="2" fillId="0" borderId="0" applyFont="0" applyFill="0" applyBorder="0" applyAlignment="0" applyProtection="0"/>
    <xf numFmtId="0" fontId="101" fillId="0" borderId="0"/>
    <xf numFmtId="0" fontId="101" fillId="0" borderId="16">
      <alignment horizontal="centerContinuous"/>
    </xf>
    <xf numFmtId="0" fontId="102" fillId="0" borderId="16"/>
    <xf numFmtId="0" fontId="1" fillId="0" borderId="0">
      <alignment vertical="top"/>
    </xf>
    <xf numFmtId="0" fontId="103" fillId="0" borderId="0" applyNumberFormat="0" applyFill="0" applyBorder="0" applyAlignment="0" applyProtection="0"/>
    <xf numFmtId="0" fontId="104" fillId="0" borderId="17" applyNumberFormat="0" applyFill="0" applyAlignment="0" applyProtection="0"/>
    <xf numFmtId="0" fontId="105" fillId="0" borderId="0" applyNumberFormat="0" applyFill="0" applyBorder="0" applyAlignment="0" applyProtection="0"/>
    <xf numFmtId="173" fontId="106" fillId="0" borderId="0" applyFont="0" applyFill="0" applyBorder="0" applyAlignment="0" applyProtection="0"/>
    <xf numFmtId="0" fontId="106" fillId="0" borderId="0" applyFont="0" applyFill="0" applyBorder="0" applyAlignment="0" applyProtection="0"/>
    <xf numFmtId="0" fontId="192" fillId="0" borderId="0"/>
    <xf numFmtId="44" fontId="192" fillId="0" borderId="0" applyFont="0" applyFill="0" applyBorder="0" applyAlignment="0" applyProtection="0"/>
    <xf numFmtId="0" fontId="193" fillId="0" borderId="0"/>
  </cellStyleXfs>
  <cellXfs count="3489">
    <xf numFmtId="0" fontId="0" fillId="0" borderId="0" xfId="0"/>
    <xf numFmtId="0" fontId="4" fillId="0" borderId="0" xfId="0" applyFont="1"/>
    <xf numFmtId="0" fontId="5" fillId="0" borderId="0" xfId="0" applyFont="1"/>
    <xf numFmtId="2" fontId="5" fillId="0" borderId="0" xfId="0" applyNumberFormat="1" applyFont="1"/>
    <xf numFmtId="0" fontId="6" fillId="0" borderId="0" xfId="0" applyFont="1"/>
    <xf numFmtId="2" fontId="6" fillId="0" borderId="0" xfId="0" applyNumberFormat="1" applyFont="1"/>
    <xf numFmtId="0" fontId="7" fillId="0" borderId="0" xfId="0" applyFont="1"/>
    <xf numFmtId="0" fontId="5" fillId="15" borderId="0" xfId="0" applyFont="1" applyFill="1"/>
    <xf numFmtId="0" fontId="8" fillId="18" borderId="6" xfId="0" applyFont="1" applyFill="1" applyBorder="1"/>
    <xf numFmtId="0" fontId="9" fillId="18" borderId="6" xfId="0" applyFont="1" applyFill="1" applyBorder="1" applyAlignment="1">
      <alignment horizontal="center"/>
    </xf>
    <xf numFmtId="0" fontId="9" fillId="18" borderId="8" xfId="0" applyFont="1" applyFill="1" applyBorder="1" applyAlignment="1">
      <alignment horizontal="center"/>
    </xf>
    <xf numFmtId="0" fontId="9" fillId="18" borderId="18" xfId="0" applyFont="1" applyFill="1" applyBorder="1" applyAlignment="1">
      <alignment horizontal="center"/>
    </xf>
    <xf numFmtId="0" fontId="5" fillId="0" borderId="6" xfId="0" applyFont="1" applyBorder="1"/>
    <xf numFmtId="0" fontId="4" fillId="0" borderId="0" xfId="0" applyFont="1" applyAlignment="1">
      <alignment horizontal="center"/>
    </xf>
    <xf numFmtId="7" fontId="4" fillId="0" borderId="0" xfId="0" applyNumberFormat="1" applyFont="1" applyAlignment="1">
      <alignment horizontal="center"/>
    </xf>
    <xf numFmtId="7" fontId="4" fillId="15" borderId="0" xfId="0" applyNumberFormat="1" applyFont="1" applyFill="1" applyAlignment="1">
      <alignment horizontal="center"/>
    </xf>
    <xf numFmtId="0" fontId="11" fillId="0" borderId="0" xfId="0" applyFont="1"/>
    <xf numFmtId="7" fontId="11" fillId="15" borderId="0" xfId="0" applyNumberFormat="1" applyFont="1" applyFill="1" applyAlignment="1">
      <alignment horizontal="center"/>
    </xf>
    <xf numFmtId="0" fontId="4" fillId="15" borderId="19" xfId="0" quotePrefix="1" applyFont="1" applyFill="1" applyBorder="1" applyAlignment="1">
      <alignment horizontal="center"/>
    </xf>
    <xf numFmtId="7" fontId="4" fillId="15" borderId="1" xfId="0" applyNumberFormat="1" applyFont="1" applyFill="1" applyBorder="1" applyAlignment="1">
      <alignment horizontal="center"/>
    </xf>
    <xf numFmtId="0" fontId="4" fillId="15" borderId="0" xfId="0" applyFont="1" applyFill="1" applyAlignment="1">
      <alignment horizontal="center"/>
    </xf>
    <xf numFmtId="0" fontId="12" fillId="15" borderId="1" xfId="0" applyFont="1" applyFill="1" applyBorder="1" applyAlignment="1">
      <alignment horizontal="center"/>
    </xf>
    <xf numFmtId="0" fontId="12" fillId="15" borderId="0" xfId="0" applyFont="1" applyFill="1" applyAlignment="1">
      <alignment horizontal="center"/>
    </xf>
    <xf numFmtId="7" fontId="5" fillId="0" borderId="0" xfId="0" applyNumberFormat="1" applyFont="1"/>
    <xf numFmtId="0" fontId="7" fillId="0" borderId="0" xfId="0" applyFont="1" applyAlignment="1">
      <alignment horizontal="left" indent="2"/>
    </xf>
    <xf numFmtId="0" fontId="13" fillId="0" borderId="0" xfId="0" applyFont="1" applyAlignment="1">
      <alignment horizontal="center"/>
    </xf>
    <xf numFmtId="0" fontId="7" fillId="0" borderId="0" xfId="0" applyFont="1" applyAlignment="1">
      <alignment horizontal="center"/>
    </xf>
    <xf numFmtId="0" fontId="7" fillId="15" borderId="0" xfId="0" applyFont="1" applyFill="1" applyAlignment="1">
      <alignment horizontal="center"/>
    </xf>
    <xf numFmtId="0" fontId="14" fillId="0" borderId="0" xfId="0" applyFont="1"/>
    <xf numFmtId="0" fontId="14" fillId="15" borderId="0" xfId="0" applyFont="1" applyFill="1" applyAlignment="1">
      <alignment horizontal="center"/>
    </xf>
    <xf numFmtId="0" fontId="13" fillId="15" borderId="0" xfId="0" applyFont="1" applyFill="1" applyAlignment="1">
      <alignment horizontal="center"/>
    </xf>
    <xf numFmtId="0" fontId="7" fillId="15" borderId="0" xfId="0" applyFont="1" applyFill="1"/>
    <xf numFmtId="0" fontId="7" fillId="15" borderId="19" xfId="0" applyFont="1" applyFill="1" applyBorder="1" applyAlignment="1">
      <alignment horizontal="center"/>
    </xf>
    <xf numFmtId="0" fontId="7" fillId="15" borderId="1" xfId="0" applyFont="1" applyFill="1" applyBorder="1" applyAlignment="1">
      <alignment horizontal="center"/>
    </xf>
    <xf numFmtId="0" fontId="15" fillId="15" borderId="1" xfId="0" applyFont="1" applyFill="1" applyBorder="1" applyAlignment="1">
      <alignment horizontal="center"/>
    </xf>
    <xf numFmtId="0" fontId="15" fillId="15" borderId="0" xfId="0" applyFont="1" applyFill="1" applyAlignment="1">
      <alignment horizontal="center"/>
    </xf>
    <xf numFmtId="7" fontId="16" fillId="0" borderId="0" xfId="0" applyNumberFormat="1" applyFont="1" applyAlignment="1">
      <alignment horizontal="center"/>
    </xf>
    <xf numFmtId="7" fontId="11" fillId="0" borderId="0" xfId="0" applyNumberFormat="1" applyFont="1" applyAlignment="1">
      <alignment horizontal="center"/>
    </xf>
    <xf numFmtId="0" fontId="13" fillId="0" borderId="19" xfId="0" applyFont="1" applyBorder="1" applyAlignment="1">
      <alignment horizontal="center"/>
    </xf>
    <xf numFmtId="7" fontId="16" fillId="0" borderId="1" xfId="0" applyNumberFormat="1" applyFont="1" applyBorder="1" applyAlignment="1">
      <alignment horizontal="center"/>
    </xf>
    <xf numFmtId="0" fontId="5" fillId="0" borderId="2" xfId="0" applyFont="1" applyBorder="1"/>
    <xf numFmtId="0" fontId="4" fillId="0" borderId="2" xfId="0" applyFont="1" applyBorder="1" applyAlignment="1">
      <alignment horizontal="center"/>
    </xf>
    <xf numFmtId="0" fontId="5" fillId="0" borderId="2" xfId="0" applyFont="1" applyBorder="1" applyAlignment="1">
      <alignment horizontal="center"/>
    </xf>
    <xf numFmtId="0" fontId="6" fillId="0" borderId="2" xfId="0" applyFont="1" applyBorder="1" applyAlignment="1">
      <alignment horizontal="center"/>
    </xf>
    <xf numFmtId="0" fontId="7" fillId="0" borderId="20" xfId="0" applyFont="1" applyBorder="1" applyAlignment="1">
      <alignment horizontal="center"/>
    </xf>
    <xf numFmtId="0" fontId="5" fillId="0" borderId="21" xfId="0" applyFont="1" applyBorder="1" applyAlignment="1">
      <alignment horizontal="center"/>
    </xf>
    <xf numFmtId="0" fontId="17" fillId="0" borderId="0" xfId="0" applyFont="1"/>
    <xf numFmtId="0" fontId="7" fillId="0" borderId="19" xfId="0" applyFont="1" applyBorder="1"/>
    <xf numFmtId="0" fontId="5" fillId="0" borderId="1" xfId="0" applyFont="1" applyBorder="1"/>
    <xf numFmtId="0" fontId="9" fillId="18" borderId="0" xfId="0" applyFont="1" applyFill="1"/>
    <xf numFmtId="0" fontId="8" fillId="18" borderId="0" xfId="0" applyFont="1" applyFill="1"/>
    <xf numFmtId="0" fontId="18" fillId="18" borderId="19" xfId="0" applyFont="1" applyFill="1" applyBorder="1"/>
    <xf numFmtId="43" fontId="8" fillId="18" borderId="0" xfId="0" applyNumberFormat="1" applyFont="1" applyFill="1"/>
    <xf numFmtId="41" fontId="8" fillId="18" borderId="0" xfId="0" applyNumberFormat="1" applyFont="1" applyFill="1"/>
    <xf numFmtId="0" fontId="8" fillId="18" borderId="1" xfId="0" applyFont="1" applyFill="1" applyBorder="1"/>
    <xf numFmtId="0" fontId="19" fillId="15" borderId="0" xfId="0" applyFont="1" applyFill="1"/>
    <xf numFmtId="41" fontId="5" fillId="0" borderId="0" xfId="0" applyNumberFormat="1" applyFont="1"/>
    <xf numFmtId="0" fontId="4" fillId="0" borderId="0" xfId="0" applyFont="1" applyAlignment="1">
      <alignment horizontal="left" indent="1"/>
    </xf>
    <xf numFmtId="41" fontId="4" fillId="0" borderId="0" xfId="0" applyNumberFormat="1" applyFont="1"/>
    <xf numFmtId="0" fontId="7" fillId="0" borderId="19" xfId="0" applyFont="1" applyBorder="1" applyAlignment="1">
      <alignment horizontal="center"/>
    </xf>
    <xf numFmtId="41" fontId="4" fillId="0" borderId="1" xfId="0" applyNumberFormat="1" applyFont="1" applyBorder="1"/>
    <xf numFmtId="41" fontId="11" fillId="0" borderId="1" xfId="0" applyNumberFormat="1" applyFont="1" applyBorder="1"/>
    <xf numFmtId="41" fontId="11" fillId="0" borderId="0" xfId="0" applyNumberFormat="1" applyFont="1"/>
    <xf numFmtId="0" fontId="7" fillId="0" borderId="1" xfId="0" applyFont="1" applyBorder="1"/>
    <xf numFmtId="0" fontId="14" fillId="0" borderId="1" xfId="0" applyFont="1" applyBorder="1"/>
    <xf numFmtId="0" fontId="20" fillId="0" borderId="0" xfId="0" applyFont="1"/>
    <xf numFmtId="0" fontId="4" fillId="0" borderId="1" xfId="0" applyFont="1" applyBorder="1"/>
    <xf numFmtId="0" fontId="11" fillId="0" borderId="1" xfId="0" applyFont="1" applyBorder="1"/>
    <xf numFmtId="0" fontId="7" fillId="0" borderId="0" xfId="0" applyFont="1" applyAlignment="1">
      <alignment horizontal="left" indent="1"/>
    </xf>
    <xf numFmtId="41" fontId="5" fillId="0" borderId="1" xfId="0" applyNumberFormat="1" applyFont="1" applyBorder="1"/>
    <xf numFmtId="41" fontId="6" fillId="0" borderId="1" xfId="0" applyNumberFormat="1" applyFont="1" applyBorder="1"/>
    <xf numFmtId="41" fontId="6" fillId="0" borderId="0" xfId="0" applyNumberFormat="1" applyFont="1"/>
    <xf numFmtId="0" fontId="13" fillId="0" borderId="19" xfId="0" applyFont="1" applyBorder="1"/>
    <xf numFmtId="0" fontId="5" fillId="0" borderId="0" xfId="0" applyFont="1" applyAlignment="1">
      <alignment horizontal="left" indent="2"/>
    </xf>
    <xf numFmtId="0" fontId="6" fillId="0" borderId="1" xfId="0" applyFont="1" applyBorder="1"/>
    <xf numFmtId="0" fontId="21" fillId="0" borderId="0" xfId="0" applyFont="1"/>
    <xf numFmtId="41" fontId="13" fillId="0" borderId="19" xfId="0" applyNumberFormat="1" applyFont="1" applyBorder="1"/>
    <xf numFmtId="43" fontId="4" fillId="0" borderId="0" xfId="0" applyNumberFormat="1" applyFont="1"/>
    <xf numFmtId="0" fontId="5" fillId="0" borderId="0" xfId="0" applyFont="1" applyAlignment="1">
      <alignment horizontal="left" indent="1"/>
    </xf>
    <xf numFmtId="41" fontId="22" fillId="0" borderId="0" xfId="0" applyNumberFormat="1" applyFont="1"/>
    <xf numFmtId="0" fontId="7" fillId="0" borderId="1" xfId="0" applyFont="1" applyBorder="1" applyAlignment="1">
      <alignment horizontal="left" indent="1"/>
    </xf>
    <xf numFmtId="41" fontId="7" fillId="0" borderId="19" xfId="0" applyNumberFormat="1" applyFont="1" applyBorder="1"/>
    <xf numFmtId="7" fontId="4" fillId="0" borderId="0" xfId="0" applyNumberFormat="1" applyFont="1"/>
    <xf numFmtId="7" fontId="11" fillId="0" borderId="0" xfId="0" applyNumberFormat="1" applyFont="1"/>
    <xf numFmtId="7" fontId="4" fillId="0" borderId="1" xfId="0" applyNumberFormat="1" applyFont="1" applyBorder="1"/>
    <xf numFmtId="9" fontId="0" fillId="0" borderId="0" xfId="56" applyFont="1"/>
    <xf numFmtId="0" fontId="2" fillId="0" borderId="0" xfId="0" applyFont="1"/>
    <xf numFmtId="0" fontId="28" fillId="0" borderId="0" xfId="0" applyFont="1"/>
    <xf numFmtId="0" fontId="28" fillId="0" borderId="1" xfId="0" applyFont="1" applyBorder="1"/>
    <xf numFmtId="49" fontId="0" fillId="0" borderId="0" xfId="0" applyNumberFormat="1"/>
    <xf numFmtId="0" fontId="28" fillId="0" borderId="0" xfId="0" applyFont="1" applyAlignment="1">
      <alignment horizontal="right"/>
    </xf>
    <xf numFmtId="0" fontId="29" fillId="0" borderId="0" xfId="0" applyFont="1"/>
    <xf numFmtId="0" fontId="28" fillId="0" borderId="1" xfId="0" applyFont="1" applyBorder="1" applyAlignment="1">
      <alignment horizontal="left" indent="2"/>
    </xf>
    <xf numFmtId="0" fontId="29" fillId="0" borderId="22" xfId="0" applyFont="1" applyBorder="1"/>
    <xf numFmtId="165" fontId="28" fillId="0" borderId="0" xfId="0" applyNumberFormat="1" applyFont="1"/>
    <xf numFmtId="9" fontId="28" fillId="0" borderId="0" xfId="56" applyFont="1"/>
    <xf numFmtId="0" fontId="29" fillId="0" borderId="1" xfId="0" applyFont="1" applyBorder="1" applyAlignment="1">
      <alignment horizontal="left" indent="1"/>
    </xf>
    <xf numFmtId="0" fontId="29" fillId="0" borderId="22" xfId="0" applyFont="1" applyBorder="1" applyAlignment="1">
      <alignment horizontal="right"/>
    </xf>
    <xf numFmtId="0" fontId="28" fillId="0" borderId="2" xfId="0" applyFont="1" applyBorder="1"/>
    <xf numFmtId="0" fontId="32" fillId="0" borderId="0" xfId="0" applyFont="1"/>
    <xf numFmtId="0" fontId="28" fillId="0" borderId="1" xfId="0" applyFont="1" applyBorder="1" applyAlignment="1">
      <alignment horizontal="left" indent="1"/>
    </xf>
    <xf numFmtId="165" fontId="28" fillId="0" borderId="22" xfId="0" applyNumberFormat="1" applyFont="1" applyBorder="1"/>
    <xf numFmtId="0" fontId="28" fillId="0" borderId="0" xfId="0" applyFont="1" applyAlignment="1">
      <alignment horizontal="left" indent="1"/>
    </xf>
    <xf numFmtId="0" fontId="33" fillId="0" borderId="0" xfId="0" applyFont="1"/>
    <xf numFmtId="0" fontId="28" fillId="0" borderId="23" xfId="0" applyFont="1" applyBorder="1"/>
    <xf numFmtId="0" fontId="34" fillId="0" borderId="0" xfId="0" applyFont="1"/>
    <xf numFmtId="0" fontId="34" fillId="0" borderId="0" xfId="0" applyFont="1" applyAlignment="1">
      <alignment horizontal="left" indent="1"/>
    </xf>
    <xf numFmtId="7" fontId="28" fillId="0" borderId="0" xfId="0" applyNumberFormat="1" applyFont="1"/>
    <xf numFmtId="0" fontId="2" fillId="0" borderId="2" xfId="0" applyFont="1" applyBorder="1"/>
    <xf numFmtId="37" fontId="28" fillId="0" borderId="0" xfId="0" applyNumberFormat="1" applyFont="1"/>
    <xf numFmtId="165" fontId="33" fillId="0" borderId="0" xfId="0" applyNumberFormat="1" applyFont="1"/>
    <xf numFmtId="0" fontId="29" fillId="19" borderId="0" xfId="0" applyFont="1" applyFill="1"/>
    <xf numFmtId="0" fontId="35" fillId="0" borderId="0" xfId="0" applyFont="1"/>
    <xf numFmtId="0" fontId="36" fillId="0" borderId="0" xfId="0" applyFont="1"/>
    <xf numFmtId="0" fontId="0" fillId="0" borderId="6" xfId="0" applyBorder="1"/>
    <xf numFmtId="9" fontId="28" fillId="0" borderId="22" xfId="0" applyNumberFormat="1" applyFont="1" applyBorder="1"/>
    <xf numFmtId="9" fontId="33" fillId="0" borderId="22" xfId="0" applyNumberFormat="1" applyFont="1" applyBorder="1"/>
    <xf numFmtId="2" fontId="33" fillId="0" borderId="0" xfId="0" applyNumberFormat="1" applyFont="1"/>
    <xf numFmtId="0" fontId="37" fillId="0" borderId="0" xfId="0" applyFont="1"/>
    <xf numFmtId="7" fontId="37" fillId="0" borderId="0" xfId="0" applyNumberFormat="1" applyFont="1" applyAlignment="1">
      <alignment horizontal="center"/>
    </xf>
    <xf numFmtId="165" fontId="0" fillId="0" borderId="0" xfId="0" applyNumberFormat="1"/>
    <xf numFmtId="0" fontId="28" fillId="15" borderId="0" xfId="0" applyFont="1" applyFill="1"/>
    <xf numFmtId="0" fontId="38" fillId="0" borderId="0" xfId="0" applyFont="1"/>
    <xf numFmtId="7" fontId="29" fillId="0" borderId="0" xfId="0" applyNumberFormat="1" applyFont="1" applyAlignment="1">
      <alignment horizontal="center"/>
    </xf>
    <xf numFmtId="43" fontId="29" fillId="0" borderId="0" xfId="35" applyFont="1" applyBorder="1"/>
    <xf numFmtId="44" fontId="39" fillId="20" borderId="0" xfId="37" applyFont="1" applyFill="1" applyBorder="1" applyAlignment="1">
      <alignment horizontal="centerContinuous" wrapText="1"/>
    </xf>
    <xf numFmtId="44" fontId="29" fillId="0" borderId="0" xfId="37" applyFont="1" applyBorder="1"/>
    <xf numFmtId="0" fontId="40" fillId="21" borderId="2" xfId="0" applyFont="1" applyFill="1" applyBorder="1" applyAlignment="1">
      <alignment horizontal="center"/>
    </xf>
    <xf numFmtId="0" fontId="29" fillId="15" borderId="0" xfId="0" applyFont="1" applyFill="1"/>
    <xf numFmtId="0" fontId="41" fillId="0" borderId="0" xfId="0" applyFont="1"/>
    <xf numFmtId="7" fontId="29" fillId="15" borderId="0" xfId="0" applyNumberFormat="1" applyFont="1" applyFill="1" applyAlignment="1">
      <alignment horizontal="center"/>
    </xf>
    <xf numFmtId="7" fontId="29" fillId="15" borderId="1" xfId="0" applyNumberFormat="1" applyFont="1" applyFill="1" applyBorder="1" applyAlignment="1">
      <alignment horizontal="center"/>
    </xf>
    <xf numFmtId="7" fontId="29" fillId="15" borderId="22" xfId="0" applyNumberFormat="1" applyFont="1" applyFill="1" applyBorder="1" applyAlignment="1">
      <alignment horizontal="center"/>
    </xf>
    <xf numFmtId="165" fontId="28" fillId="15" borderId="0" xfId="0" applyNumberFormat="1" applyFont="1" applyFill="1"/>
    <xf numFmtId="165" fontId="29" fillId="15" borderId="0" xfId="0" applyNumberFormat="1" applyFont="1" applyFill="1" applyAlignment="1">
      <alignment horizontal="center"/>
    </xf>
    <xf numFmtId="165" fontId="28" fillId="15" borderId="0" xfId="0" applyNumberFormat="1" applyFont="1" applyFill="1" applyAlignment="1">
      <alignment horizontal="center"/>
    </xf>
    <xf numFmtId="165" fontId="28" fillId="15" borderId="1" xfId="0" applyNumberFormat="1" applyFont="1" applyFill="1" applyBorder="1" applyAlignment="1">
      <alignment horizontal="center"/>
    </xf>
    <xf numFmtId="165" fontId="28" fillId="15" borderId="22" xfId="0" applyNumberFormat="1" applyFont="1" applyFill="1" applyBorder="1" applyAlignment="1">
      <alignment horizontal="center"/>
    </xf>
    <xf numFmtId="165" fontId="28" fillId="0" borderId="19" xfId="0" applyNumberFormat="1" applyFont="1" applyBorder="1"/>
    <xf numFmtId="0" fontId="40" fillId="18" borderId="0" xfId="0" applyFont="1" applyFill="1"/>
    <xf numFmtId="0" fontId="30" fillId="18" borderId="0" xfId="0" applyFont="1" applyFill="1"/>
    <xf numFmtId="0" fontId="30" fillId="18" borderId="1" xfId="0" applyFont="1" applyFill="1" applyBorder="1"/>
    <xf numFmtId="0" fontId="30" fillId="18" borderId="22" xfId="0" applyFont="1" applyFill="1" applyBorder="1"/>
    <xf numFmtId="41" fontId="28" fillId="0" borderId="0" xfId="0" applyNumberFormat="1" applyFont="1"/>
    <xf numFmtId="0" fontId="28" fillId="0" borderId="22" xfId="0" applyFont="1" applyBorder="1"/>
    <xf numFmtId="3" fontId="29" fillId="0" borderId="0" xfId="0" applyNumberFormat="1" applyFont="1"/>
    <xf numFmtId="3" fontId="29" fillId="0" borderId="1" xfId="0" applyNumberFormat="1" applyFont="1" applyBorder="1"/>
    <xf numFmtId="165" fontId="28" fillId="0" borderId="1" xfId="0" applyNumberFormat="1" applyFont="1" applyBorder="1"/>
    <xf numFmtId="41" fontId="41" fillId="0" borderId="0" xfId="0" applyNumberFormat="1" applyFont="1"/>
    <xf numFmtId="41" fontId="29" fillId="0" borderId="0" xfId="0" applyNumberFormat="1" applyFont="1"/>
    <xf numFmtId="41" fontId="29" fillId="0" borderId="1" xfId="0" applyNumberFormat="1" applyFont="1" applyBorder="1"/>
    <xf numFmtId="0" fontId="29" fillId="0" borderId="1" xfId="0" applyFont="1" applyBorder="1"/>
    <xf numFmtId="0" fontId="28" fillId="0" borderId="0" xfId="0" applyFont="1" applyAlignment="1">
      <alignment horizontal="left" indent="2"/>
    </xf>
    <xf numFmtId="0" fontId="35" fillId="0" borderId="1" xfId="0" applyFont="1" applyBorder="1"/>
    <xf numFmtId="41" fontId="46" fillId="0" borderId="1" xfId="0" applyNumberFormat="1" applyFont="1" applyBorder="1"/>
    <xf numFmtId="41" fontId="29" fillId="0" borderId="22" xfId="0" applyNumberFormat="1" applyFont="1" applyBorder="1"/>
    <xf numFmtId="165" fontId="33" fillId="0" borderId="1" xfId="0" applyNumberFormat="1" applyFont="1" applyBorder="1" applyAlignment="1">
      <alignment horizontal="right"/>
    </xf>
    <xf numFmtId="165" fontId="41" fillId="0" borderId="0" xfId="0" applyNumberFormat="1" applyFont="1"/>
    <xf numFmtId="165" fontId="28" fillId="0" borderId="0" xfId="0" applyNumberFormat="1" applyFont="1" applyAlignment="1">
      <alignment horizontal="right"/>
    </xf>
    <xf numFmtId="41" fontId="28" fillId="0" borderId="1" xfId="0" applyNumberFormat="1" applyFont="1" applyBorder="1"/>
    <xf numFmtId="3" fontId="29" fillId="0" borderId="22" xfId="0" applyNumberFormat="1" applyFont="1" applyBorder="1"/>
    <xf numFmtId="165" fontId="28" fillId="0" borderId="0" xfId="0" applyNumberFormat="1" applyFont="1" applyAlignment="1">
      <alignment horizontal="left" indent="1"/>
    </xf>
    <xf numFmtId="165" fontId="36" fillId="0" borderId="1" xfId="0" applyNumberFormat="1" applyFont="1" applyBorder="1"/>
    <xf numFmtId="0" fontId="33" fillId="0" borderId="0" xfId="0" applyFont="1" applyAlignment="1">
      <alignment horizontal="right"/>
    </xf>
    <xf numFmtId="0" fontId="33" fillId="0" borderId="1" xfId="0" applyFont="1" applyBorder="1" applyAlignment="1">
      <alignment horizontal="right"/>
    </xf>
    <xf numFmtId="165" fontId="33" fillId="0" borderId="1" xfId="0" applyNumberFormat="1" applyFont="1" applyBorder="1"/>
    <xf numFmtId="165" fontId="33" fillId="0" borderId="22" xfId="0" applyNumberFormat="1" applyFont="1" applyBorder="1"/>
    <xf numFmtId="37" fontId="28" fillId="0" borderId="0" xfId="0" applyNumberFormat="1" applyFont="1" applyAlignment="1">
      <alignment horizontal="left" indent="1"/>
    </xf>
    <xf numFmtId="37" fontId="33" fillId="0" borderId="0" xfId="0" applyNumberFormat="1" applyFont="1"/>
    <xf numFmtId="37" fontId="29" fillId="0" borderId="0" xfId="0" applyNumberFormat="1" applyFont="1"/>
    <xf numFmtId="37" fontId="0" fillId="0" borderId="0" xfId="0" applyNumberFormat="1"/>
    <xf numFmtId="37" fontId="28" fillId="0" borderId="1" xfId="0" applyNumberFormat="1" applyFont="1" applyBorder="1"/>
    <xf numFmtId="37" fontId="28" fillId="0" borderId="22" xfId="0" applyNumberFormat="1" applyFont="1" applyBorder="1"/>
    <xf numFmtId="37" fontId="33" fillId="0" borderId="1" xfId="0" applyNumberFormat="1" applyFont="1" applyBorder="1"/>
    <xf numFmtId="37" fontId="33" fillId="0" borderId="22" xfId="0" applyNumberFormat="1" applyFont="1" applyBorder="1"/>
    <xf numFmtId="37" fontId="28" fillId="15" borderId="0" xfId="0" applyNumberFormat="1" applyFont="1" applyFill="1"/>
    <xf numFmtId="165" fontId="28" fillId="0" borderId="1" xfId="0" applyNumberFormat="1" applyFont="1" applyBorder="1" applyAlignment="1">
      <alignment horizontal="left" indent="1"/>
    </xf>
    <xf numFmtId="37" fontId="41" fillId="0" borderId="0" xfId="0" applyNumberFormat="1" applyFont="1"/>
    <xf numFmtId="37" fontId="29" fillId="0" borderId="1" xfId="0" applyNumberFormat="1" applyFont="1" applyBorder="1"/>
    <xf numFmtId="37" fontId="29" fillId="0" borderId="22" xfId="0" applyNumberFormat="1" applyFont="1" applyBorder="1"/>
    <xf numFmtId="37" fontId="35" fillId="0" borderId="0" xfId="0" applyNumberFormat="1" applyFont="1"/>
    <xf numFmtId="37" fontId="36" fillId="0" borderId="0" xfId="0" applyNumberFormat="1" applyFont="1"/>
    <xf numFmtId="165" fontId="29" fillId="0" borderId="1" xfId="0" applyNumberFormat="1" applyFont="1" applyBorder="1"/>
    <xf numFmtId="41" fontId="33" fillId="0" borderId="0" xfId="0" applyNumberFormat="1" applyFont="1"/>
    <xf numFmtId="41" fontId="36" fillId="0" borderId="0" xfId="0" applyNumberFormat="1" applyFont="1"/>
    <xf numFmtId="41" fontId="35" fillId="0" borderId="0" xfId="0" applyNumberFormat="1" applyFont="1"/>
    <xf numFmtId="0" fontId="36" fillId="0" borderId="1" xfId="0" applyFont="1" applyBorder="1"/>
    <xf numFmtId="0" fontId="35" fillId="0" borderId="22" xfId="0" applyFont="1" applyBorder="1"/>
    <xf numFmtId="7" fontId="29" fillId="15" borderId="0" xfId="0" applyNumberFormat="1" applyFont="1" applyFill="1"/>
    <xf numFmtId="41" fontId="28" fillId="0" borderId="22" xfId="0" applyNumberFormat="1" applyFont="1" applyBorder="1"/>
    <xf numFmtId="0" fontId="41" fillId="0" borderId="1" xfId="0" applyFont="1" applyBorder="1"/>
    <xf numFmtId="0" fontId="41" fillId="0" borderId="22" xfId="0" applyFont="1" applyBorder="1"/>
    <xf numFmtId="164" fontId="28" fillId="0" borderId="0" xfId="35" applyNumberFormat="1" applyFont="1"/>
    <xf numFmtId="165" fontId="29" fillId="0" borderId="19" xfId="0" applyNumberFormat="1" applyFont="1" applyBorder="1"/>
    <xf numFmtId="43" fontId="29" fillId="0" borderId="0" xfId="0" applyNumberFormat="1" applyFont="1"/>
    <xf numFmtId="165" fontId="29" fillId="0" borderId="0" xfId="0" applyNumberFormat="1" applyFont="1"/>
    <xf numFmtId="165" fontId="29" fillId="0" borderId="22" xfId="0" applyNumberFormat="1" applyFont="1" applyBorder="1"/>
    <xf numFmtId="41" fontId="40" fillId="18" borderId="0" xfId="0" applyNumberFormat="1" applyFont="1" applyFill="1"/>
    <xf numFmtId="0" fontId="40" fillId="18" borderId="1" xfId="0" applyFont="1" applyFill="1" applyBorder="1"/>
    <xf numFmtId="0" fontId="40" fillId="18" borderId="22" xfId="0" applyFont="1" applyFill="1" applyBorder="1"/>
    <xf numFmtId="7" fontId="28" fillId="0" borderId="1" xfId="0" applyNumberFormat="1" applyFont="1" applyBorder="1"/>
    <xf numFmtId="7" fontId="28" fillId="0" borderId="22" xfId="0" applyNumberFormat="1" applyFont="1" applyBorder="1"/>
    <xf numFmtId="41" fontId="36" fillId="0" borderId="22" xfId="0" applyNumberFormat="1" applyFont="1" applyBorder="1"/>
    <xf numFmtId="41" fontId="36" fillId="0" borderId="1" xfId="0" applyNumberFormat="1" applyFont="1" applyBorder="1"/>
    <xf numFmtId="41" fontId="30" fillId="0" borderId="0" xfId="0" applyNumberFormat="1" applyFont="1"/>
    <xf numFmtId="37" fontId="28" fillId="15" borderId="1" xfId="0" applyNumberFormat="1" applyFont="1" applyFill="1" applyBorder="1"/>
    <xf numFmtId="39" fontId="28" fillId="0" borderId="0" xfId="0" applyNumberFormat="1" applyFont="1"/>
    <xf numFmtId="0" fontId="33" fillId="15" borderId="0" xfId="0" applyFont="1" applyFill="1"/>
    <xf numFmtId="37" fontId="36" fillId="0" borderId="1" xfId="0" applyNumberFormat="1" applyFont="1" applyBorder="1"/>
    <xf numFmtId="41" fontId="29" fillId="0" borderId="2" xfId="0" applyNumberFormat="1" applyFont="1" applyBorder="1"/>
    <xf numFmtId="41" fontId="28" fillId="0" borderId="2" xfId="0" applyNumberFormat="1" applyFont="1" applyBorder="1"/>
    <xf numFmtId="37" fontId="28" fillId="0" borderId="21" xfId="0" applyNumberFormat="1" applyFont="1" applyBorder="1"/>
    <xf numFmtId="37" fontId="28" fillId="0" borderId="2" xfId="0" applyNumberFormat="1" applyFont="1" applyBorder="1"/>
    <xf numFmtId="37" fontId="28" fillId="0" borderId="23" xfId="0" applyNumberFormat="1" applyFont="1" applyBorder="1"/>
    <xf numFmtId="0" fontId="29" fillId="0" borderId="2" xfId="0" applyFont="1" applyBorder="1"/>
    <xf numFmtId="37" fontId="33" fillId="15" borderId="0" xfId="0" applyNumberFormat="1" applyFont="1" applyFill="1"/>
    <xf numFmtId="0" fontId="29" fillId="0" borderId="0" xfId="0" applyFont="1" applyAlignment="1">
      <alignment horizontal="center"/>
    </xf>
    <xf numFmtId="41" fontId="2" fillId="0" borderId="0" xfId="0" applyNumberFormat="1" applyFont="1"/>
    <xf numFmtId="37" fontId="28" fillId="16" borderId="7" xfId="0" applyNumberFormat="1" applyFont="1" applyFill="1" applyBorder="1"/>
    <xf numFmtId="37" fontId="28" fillId="16" borderId="24" xfId="0" applyNumberFormat="1" applyFont="1" applyFill="1" applyBorder="1"/>
    <xf numFmtId="37" fontId="2" fillId="0" borderId="0" xfId="0" applyNumberFormat="1" applyFont="1"/>
    <xf numFmtId="37" fontId="28" fillId="16" borderId="0" xfId="0" applyNumberFormat="1" applyFont="1" applyFill="1"/>
    <xf numFmtId="37" fontId="28" fillId="16" borderId="1" xfId="0" applyNumberFormat="1" applyFont="1" applyFill="1" applyBorder="1"/>
    <xf numFmtId="37" fontId="29" fillId="16" borderId="0" xfId="0" applyNumberFormat="1" applyFont="1" applyFill="1"/>
    <xf numFmtId="37" fontId="29" fillId="16" borderId="21" xfId="0" applyNumberFormat="1" applyFont="1" applyFill="1" applyBorder="1" applyAlignment="1">
      <alignment horizontal="left" indent="1"/>
    </xf>
    <xf numFmtId="37" fontId="28" fillId="16" borderId="2" xfId="0" applyNumberFormat="1" applyFont="1" applyFill="1" applyBorder="1"/>
    <xf numFmtId="37" fontId="29" fillId="16" borderId="2" xfId="0" applyNumberFormat="1" applyFont="1" applyFill="1" applyBorder="1"/>
    <xf numFmtId="37" fontId="29" fillId="16" borderId="21" xfId="0" applyNumberFormat="1" applyFont="1" applyFill="1" applyBorder="1"/>
    <xf numFmtId="41" fontId="29" fillId="0" borderId="0" xfId="0" applyNumberFormat="1" applyFont="1" applyAlignment="1">
      <alignment horizontal="center"/>
    </xf>
    <xf numFmtId="0" fontId="30" fillId="21" borderId="6" xfId="0" applyFont="1" applyFill="1" applyBorder="1" applyAlignment="1">
      <alignment horizontal="right"/>
    </xf>
    <xf numFmtId="0" fontId="40" fillId="21" borderId="6" xfId="0" applyFont="1" applyFill="1" applyBorder="1" applyAlignment="1">
      <alignment horizontal="right"/>
    </xf>
    <xf numFmtId="0" fontId="40" fillId="21" borderId="6" xfId="0" applyFont="1" applyFill="1" applyBorder="1" applyAlignment="1">
      <alignment horizontal="center"/>
    </xf>
    <xf numFmtId="0" fontId="40" fillId="21" borderId="25" xfId="0" applyFont="1" applyFill="1" applyBorder="1" applyAlignment="1">
      <alignment horizontal="center"/>
    </xf>
    <xf numFmtId="0" fontId="40" fillId="21" borderId="24" xfId="0" applyFont="1" applyFill="1" applyBorder="1" applyAlignment="1">
      <alignment horizontal="center"/>
    </xf>
    <xf numFmtId="0" fontId="40" fillId="21" borderId="18" xfId="0" applyFont="1" applyFill="1" applyBorder="1" applyAlignment="1">
      <alignment horizontal="center"/>
    </xf>
    <xf numFmtId="0" fontId="40" fillId="21" borderId="18" xfId="0" applyFont="1" applyFill="1" applyBorder="1" applyAlignment="1">
      <alignment horizontal="right"/>
    </xf>
    <xf numFmtId="0" fontId="40" fillId="21" borderId="8" xfId="0" applyFont="1" applyFill="1" applyBorder="1" applyAlignment="1">
      <alignment horizontal="center"/>
    </xf>
    <xf numFmtId="165" fontId="28" fillId="15" borderId="2" xfId="0" applyNumberFormat="1" applyFont="1" applyFill="1" applyBorder="1"/>
    <xf numFmtId="165" fontId="29" fillId="15" borderId="2" xfId="0" applyNumberFormat="1" applyFont="1" applyFill="1" applyBorder="1" applyAlignment="1">
      <alignment horizontal="center"/>
    </xf>
    <xf numFmtId="165" fontId="28" fillId="15" borderId="2" xfId="0" applyNumberFormat="1" applyFont="1" applyFill="1" applyBorder="1" applyAlignment="1">
      <alignment horizontal="center"/>
    </xf>
    <xf numFmtId="165" fontId="29" fillId="0" borderId="0" xfId="0" applyNumberFormat="1" applyFont="1" applyAlignment="1">
      <alignment horizontal="center"/>
    </xf>
    <xf numFmtId="165" fontId="28" fillId="15" borderId="21" xfId="0" applyNumberFormat="1" applyFont="1" applyFill="1" applyBorder="1" applyAlignment="1">
      <alignment horizontal="center"/>
    </xf>
    <xf numFmtId="165" fontId="28" fillId="15" borderId="23" xfId="0" applyNumberFormat="1" applyFont="1" applyFill="1" applyBorder="1" applyAlignment="1">
      <alignment horizontal="center"/>
    </xf>
    <xf numFmtId="165" fontId="28" fillId="0" borderId="2" xfId="0" applyNumberFormat="1" applyFont="1" applyBorder="1"/>
    <xf numFmtId="0" fontId="30" fillId="18" borderId="0" xfId="0" applyFont="1" applyFill="1" applyAlignment="1">
      <alignment horizontal="right"/>
    </xf>
    <xf numFmtId="0" fontId="30" fillId="18" borderId="1" xfId="0" applyFont="1" applyFill="1" applyBorder="1" applyAlignment="1">
      <alignment horizontal="right"/>
    </xf>
    <xf numFmtId="0" fontId="30" fillId="18" borderId="22" xfId="0" applyFont="1" applyFill="1" applyBorder="1" applyAlignment="1">
      <alignment horizontal="right"/>
    </xf>
    <xf numFmtId="1" fontId="28" fillId="0" borderId="0" xfId="0" applyNumberFormat="1" applyFont="1"/>
    <xf numFmtId="41" fontId="28" fillId="0" borderId="0" xfId="0" applyNumberFormat="1" applyFont="1" applyAlignment="1">
      <alignment horizontal="center"/>
    </xf>
    <xf numFmtId="41" fontId="35" fillId="0" borderId="22" xfId="0" applyNumberFormat="1" applyFont="1" applyBorder="1"/>
    <xf numFmtId="0" fontId="33" fillId="0" borderId="0" xfId="0" applyFont="1" applyAlignment="1">
      <alignment horizontal="left" indent="1"/>
    </xf>
    <xf numFmtId="41" fontId="33" fillId="0" borderId="1" xfId="0" applyNumberFormat="1" applyFont="1" applyBorder="1"/>
    <xf numFmtId="41" fontId="35" fillId="0" borderId="1" xfId="0" applyNumberFormat="1" applyFont="1" applyBorder="1"/>
    <xf numFmtId="41" fontId="33" fillId="0" borderId="22" xfId="0" applyNumberFormat="1" applyFont="1" applyBorder="1"/>
    <xf numFmtId="0" fontId="33" fillId="0" borderId="0" xfId="0" applyFont="1" applyAlignment="1">
      <alignment horizontal="left" indent="2"/>
    </xf>
    <xf numFmtId="41" fontId="34" fillId="0" borderId="0" xfId="0" applyNumberFormat="1" applyFont="1" applyAlignment="1">
      <alignment horizontal="left" indent="1"/>
    </xf>
    <xf numFmtId="41" fontId="34" fillId="0" borderId="0" xfId="0" applyNumberFormat="1" applyFont="1"/>
    <xf numFmtId="41" fontId="34" fillId="0" borderId="1" xfId="0" applyNumberFormat="1" applyFont="1" applyBorder="1"/>
    <xf numFmtId="41" fontId="34" fillId="0" borderId="22" xfId="0" applyNumberFormat="1" applyFont="1" applyBorder="1"/>
    <xf numFmtId="0" fontId="51" fillId="0" borderId="0" xfId="0" applyFont="1"/>
    <xf numFmtId="0" fontId="51" fillId="0" borderId="0" xfId="0" applyFont="1" applyAlignment="1">
      <alignment horizontal="left" indent="2"/>
    </xf>
    <xf numFmtId="41" fontId="51" fillId="0" borderId="0" xfId="0" applyNumberFormat="1" applyFont="1"/>
    <xf numFmtId="41" fontId="52" fillId="0" borderId="0" xfId="0" applyNumberFormat="1" applyFont="1" applyAlignment="1">
      <alignment horizontal="left" indent="1"/>
    </xf>
    <xf numFmtId="41" fontId="52" fillId="0" borderId="0" xfId="0" applyNumberFormat="1" applyFont="1"/>
    <xf numFmtId="41" fontId="52" fillId="0" borderId="1" xfId="0" applyNumberFormat="1" applyFont="1" applyBorder="1"/>
    <xf numFmtId="41" fontId="52" fillId="0" borderId="22" xfId="0" applyNumberFormat="1" applyFont="1" applyBorder="1"/>
    <xf numFmtId="43" fontId="28" fillId="0" borderId="0" xfId="0" applyNumberFormat="1" applyFont="1"/>
    <xf numFmtId="41" fontId="42" fillId="0" borderId="0" xfId="0" applyNumberFormat="1" applyFont="1"/>
    <xf numFmtId="43" fontId="28" fillId="0" borderId="1" xfId="0" applyNumberFormat="1" applyFont="1" applyBorder="1"/>
    <xf numFmtId="43" fontId="28" fillId="0" borderId="22" xfId="0" applyNumberFormat="1" applyFont="1" applyBorder="1"/>
    <xf numFmtId="2" fontId="28" fillId="0" borderId="0" xfId="0" applyNumberFormat="1" applyFont="1"/>
    <xf numFmtId="39" fontId="41" fillId="0" borderId="0" xfId="0" applyNumberFormat="1" applyFont="1"/>
    <xf numFmtId="39" fontId="29" fillId="0" borderId="0" xfId="0" applyNumberFormat="1" applyFont="1" applyAlignment="1">
      <alignment horizontal="center"/>
    </xf>
    <xf numFmtId="39" fontId="28" fillId="0" borderId="1" xfId="0" applyNumberFormat="1" applyFont="1" applyBorder="1"/>
    <xf numFmtId="39" fontId="28" fillId="0" borderId="22" xfId="0" applyNumberFormat="1" applyFont="1" applyBorder="1"/>
    <xf numFmtId="39" fontId="33" fillId="0" borderId="22" xfId="0" applyNumberFormat="1" applyFont="1" applyBorder="1"/>
    <xf numFmtId="37" fontId="29" fillId="0" borderId="0" xfId="0" applyNumberFormat="1" applyFont="1" applyAlignment="1">
      <alignment horizontal="center"/>
    </xf>
    <xf numFmtId="10" fontId="28" fillId="0" borderId="0" xfId="0" applyNumberFormat="1" applyFont="1"/>
    <xf numFmtId="10" fontId="28" fillId="0" borderId="1" xfId="0" applyNumberFormat="1" applyFont="1" applyBorder="1"/>
    <xf numFmtId="39" fontId="34" fillId="0" borderId="0" xfId="0" applyNumberFormat="1" applyFont="1" applyAlignment="1">
      <alignment horizontal="left" indent="1"/>
    </xf>
    <xf numFmtId="39" fontId="34" fillId="0" borderId="0" xfId="0" applyNumberFormat="1" applyFont="1"/>
    <xf numFmtId="0" fontId="53" fillId="0" borderId="0" xfId="0" applyFont="1"/>
    <xf numFmtId="39" fontId="53" fillId="0" borderId="0" xfId="0" applyNumberFormat="1" applyFont="1"/>
    <xf numFmtId="39" fontId="34" fillId="0" borderId="1" xfId="0" applyNumberFormat="1" applyFont="1" applyBorder="1"/>
    <xf numFmtId="39" fontId="54" fillId="0" borderId="0" xfId="0" applyNumberFormat="1" applyFont="1"/>
    <xf numFmtId="39" fontId="54" fillId="0" borderId="1" xfId="0" applyNumberFormat="1" applyFont="1" applyBorder="1"/>
    <xf numFmtId="39" fontId="54" fillId="0" borderId="22" xfId="0" applyNumberFormat="1" applyFont="1" applyBorder="1"/>
    <xf numFmtId="169" fontId="28" fillId="0" borderId="0" xfId="0" quotePrefix="1" applyNumberFormat="1" applyFont="1" applyAlignment="1">
      <alignment horizontal="left"/>
    </xf>
    <xf numFmtId="169" fontId="28" fillId="0" borderId="0" xfId="0" applyNumberFormat="1" applyFont="1"/>
    <xf numFmtId="169" fontId="29" fillId="0" borderId="0" xfId="0" applyNumberFormat="1" applyFont="1" applyAlignment="1">
      <alignment horizontal="center"/>
    </xf>
    <xf numFmtId="169" fontId="28" fillId="0" borderId="1" xfId="0" applyNumberFormat="1" applyFont="1" applyBorder="1"/>
    <xf numFmtId="169" fontId="28" fillId="0" borderId="22" xfId="0" applyNumberFormat="1" applyFont="1" applyBorder="1"/>
    <xf numFmtId="2" fontId="28" fillId="0" borderId="1" xfId="0" applyNumberFormat="1" applyFont="1" applyBorder="1"/>
    <xf numFmtId="2" fontId="28" fillId="0" borderId="22" xfId="0" applyNumberFormat="1" applyFont="1" applyBorder="1"/>
    <xf numFmtId="165" fontId="34" fillId="0" borderId="0" xfId="0" applyNumberFormat="1" applyFont="1" applyAlignment="1">
      <alignment horizontal="left" indent="1"/>
    </xf>
    <xf numFmtId="165" fontId="34" fillId="0" borderId="0" xfId="0" applyNumberFormat="1" applyFont="1"/>
    <xf numFmtId="165" fontId="53" fillId="0" borderId="0" xfId="0" applyNumberFormat="1" applyFont="1"/>
    <xf numFmtId="165" fontId="54" fillId="0" borderId="0" xfId="0" applyNumberFormat="1" applyFont="1"/>
    <xf numFmtId="165" fontId="34" fillId="0" borderId="1" xfId="0" applyNumberFormat="1" applyFont="1" applyBorder="1"/>
    <xf numFmtId="165" fontId="34" fillId="0" borderId="22" xfId="0" applyNumberFormat="1" applyFont="1" applyBorder="1"/>
    <xf numFmtId="165" fontId="53" fillId="0" borderId="1" xfId="0" applyNumberFormat="1" applyFont="1" applyBorder="1"/>
    <xf numFmtId="165" fontId="53" fillId="0" borderId="22" xfId="0" applyNumberFormat="1" applyFont="1" applyBorder="1"/>
    <xf numFmtId="2" fontId="28" fillId="0" borderId="2" xfId="0" applyNumberFormat="1" applyFont="1" applyBorder="1"/>
    <xf numFmtId="0" fontId="28" fillId="0" borderId="21" xfId="0" applyFont="1" applyBorder="1"/>
    <xf numFmtId="0" fontId="28" fillId="0" borderId="26" xfId="0" applyFont="1" applyBorder="1" applyAlignment="1">
      <alignment horizontal="left" indent="1"/>
    </xf>
    <xf numFmtId="0" fontId="29" fillId="0" borderId="26" xfId="0" applyFont="1" applyBorder="1" applyAlignment="1">
      <alignment horizontal="left"/>
    </xf>
    <xf numFmtId="0" fontId="34" fillId="0" borderId="1" xfId="0" applyFont="1" applyBorder="1"/>
    <xf numFmtId="0" fontId="34" fillId="0" borderId="22" xfId="0" applyFont="1" applyBorder="1"/>
    <xf numFmtId="0" fontId="29" fillId="0" borderId="0" xfId="0" applyFont="1" applyAlignment="1">
      <alignment horizontal="left"/>
    </xf>
    <xf numFmtId="49" fontId="40" fillId="18" borderId="18" xfId="0" applyNumberFormat="1" applyFont="1" applyFill="1" applyBorder="1" applyAlignment="1">
      <alignment horizontal="left"/>
    </xf>
    <xf numFmtId="0" fontId="30" fillId="18" borderId="6" xfId="0" applyFont="1" applyFill="1" applyBorder="1"/>
    <xf numFmtId="0" fontId="30" fillId="18" borderId="24" xfId="0" applyFont="1" applyFill="1" applyBorder="1"/>
    <xf numFmtId="0" fontId="30" fillId="18" borderId="18" xfId="0" applyFont="1" applyFill="1" applyBorder="1"/>
    <xf numFmtId="0" fontId="30" fillId="18" borderId="25" xfId="0" applyFont="1" applyFill="1" applyBorder="1"/>
    <xf numFmtId="37" fontId="28" fillId="0" borderId="0" xfId="0" applyNumberFormat="1" applyFont="1" applyAlignment="1">
      <alignment horizontal="left"/>
    </xf>
    <xf numFmtId="37" fontId="29" fillId="0" borderId="0" xfId="0" applyNumberFormat="1" applyFont="1" applyAlignment="1">
      <alignment horizontal="left"/>
    </xf>
    <xf numFmtId="37" fontId="28" fillId="0" borderId="0" xfId="0" quotePrefix="1" applyNumberFormat="1" applyFont="1" applyAlignment="1">
      <alignment horizontal="left"/>
    </xf>
    <xf numFmtId="37" fontId="34" fillId="0" borderId="0" xfId="0" applyNumberFormat="1" applyFont="1"/>
    <xf numFmtId="37" fontId="34" fillId="0" borderId="22" xfId="0" applyNumberFormat="1" applyFont="1" applyBorder="1"/>
    <xf numFmtId="165" fontId="28" fillId="0" borderId="0" xfId="0" quotePrefix="1" applyNumberFormat="1" applyFont="1" applyAlignment="1">
      <alignment horizontal="left"/>
    </xf>
    <xf numFmtId="165" fontId="28" fillId="0" borderId="0" xfId="0" applyNumberFormat="1" applyFont="1" applyAlignment="1">
      <alignment horizontal="left"/>
    </xf>
    <xf numFmtId="165" fontId="41" fillId="0" borderId="1" xfId="0" applyNumberFormat="1" applyFont="1" applyBorder="1"/>
    <xf numFmtId="165" fontId="41" fillId="0" borderId="22" xfId="0" applyNumberFormat="1" applyFont="1" applyBorder="1"/>
    <xf numFmtId="49" fontId="28" fillId="0" borderId="0" xfId="0" applyNumberFormat="1" applyFont="1" applyAlignment="1">
      <alignment horizontal="left"/>
    </xf>
    <xf numFmtId="164" fontId="28" fillId="0" borderId="0" xfId="35" quotePrefix="1" applyNumberFormat="1" applyFont="1" applyAlignment="1">
      <alignment horizontal="left"/>
    </xf>
    <xf numFmtId="164" fontId="28" fillId="0" borderId="0" xfId="35" applyNumberFormat="1" applyFont="1" applyBorder="1"/>
    <xf numFmtId="164" fontId="28" fillId="0" borderId="22" xfId="35" applyNumberFormat="1" applyFont="1" applyBorder="1"/>
    <xf numFmtId="164" fontId="29" fillId="0" borderId="0" xfId="35" applyNumberFormat="1" applyFont="1" applyBorder="1" applyAlignment="1">
      <alignment horizontal="center"/>
    </xf>
    <xf numFmtId="164" fontId="28" fillId="0" borderId="1" xfId="35" applyNumberFormat="1" applyFont="1" applyBorder="1"/>
    <xf numFmtId="0" fontId="29" fillId="0" borderId="0" xfId="0" quotePrefix="1" applyFont="1" applyAlignment="1">
      <alignment horizontal="left"/>
    </xf>
    <xf numFmtId="0" fontId="55" fillId="0" borderId="21" xfId="0" applyFont="1" applyBorder="1"/>
    <xf numFmtId="0" fontId="55" fillId="0" borderId="2" xfId="0" applyFont="1" applyBorder="1"/>
    <xf numFmtId="0" fontId="55" fillId="0" borderId="23" xfId="0" applyFont="1" applyBorder="1"/>
    <xf numFmtId="165" fontId="29" fillId="0" borderId="0" xfId="0" quotePrefix="1" applyNumberFormat="1" applyFont="1" applyAlignment="1">
      <alignment horizontal="left"/>
    </xf>
    <xf numFmtId="169" fontId="33" fillId="0" borderId="0" xfId="0" applyNumberFormat="1" applyFont="1"/>
    <xf numFmtId="169" fontId="33" fillId="0" borderId="22" xfId="0" applyNumberFormat="1" applyFont="1" applyBorder="1"/>
    <xf numFmtId="165" fontId="39" fillId="0" borderId="0" xfId="0" applyNumberFormat="1" applyFont="1"/>
    <xf numFmtId="41" fontId="28" fillId="15" borderId="0" xfId="0" applyNumberFormat="1" applyFont="1" applyFill="1"/>
    <xf numFmtId="37" fontId="28" fillId="0" borderId="5" xfId="0" applyNumberFormat="1" applyFont="1" applyBorder="1"/>
    <xf numFmtId="37" fontId="28" fillId="0" borderId="27" xfId="0" applyNumberFormat="1" applyFont="1" applyBorder="1"/>
    <xf numFmtId="37" fontId="28" fillId="0" borderId="28" xfId="0" applyNumberFormat="1" applyFont="1" applyBorder="1"/>
    <xf numFmtId="37" fontId="2" fillId="16" borderId="1" xfId="0" applyNumberFormat="1" applyFont="1" applyFill="1" applyBorder="1"/>
    <xf numFmtId="37" fontId="2" fillId="16" borderId="0" xfId="0" applyNumberFormat="1" applyFont="1" applyFill="1"/>
    <xf numFmtId="0" fontId="29" fillId="15" borderId="22" xfId="0" applyFont="1" applyFill="1" applyBorder="1"/>
    <xf numFmtId="4" fontId="29" fillId="0" borderId="0" xfId="0" applyNumberFormat="1" applyFont="1" applyAlignment="1">
      <alignment horizontal="center"/>
    </xf>
    <xf numFmtId="43" fontId="29" fillId="0" borderId="0" xfId="35" applyFont="1" applyBorder="1" applyAlignment="1">
      <alignment horizontal="center"/>
    </xf>
    <xf numFmtId="0" fontId="30" fillId="21" borderId="6" xfId="0" applyFont="1" applyFill="1" applyBorder="1"/>
    <xf numFmtId="0" fontId="40" fillId="21" borderId="21" xfId="0" applyFont="1" applyFill="1" applyBorder="1" applyAlignment="1">
      <alignment horizontal="center"/>
    </xf>
    <xf numFmtId="0" fontId="40" fillId="21" borderId="0" xfId="0" applyFont="1" applyFill="1" applyAlignment="1">
      <alignment horizontal="center"/>
    </xf>
    <xf numFmtId="165" fontId="34" fillId="15" borderId="2" xfId="0" applyNumberFormat="1" applyFont="1" applyFill="1" applyBorder="1"/>
    <xf numFmtId="165" fontId="39" fillId="15" borderId="2" xfId="0" applyNumberFormat="1" applyFont="1" applyFill="1" applyBorder="1" applyAlignment="1">
      <alignment horizontal="center"/>
    </xf>
    <xf numFmtId="165" fontId="34" fillId="15" borderId="2" xfId="0" applyNumberFormat="1" applyFont="1" applyFill="1" applyBorder="1" applyAlignment="1">
      <alignment horizontal="center"/>
    </xf>
    <xf numFmtId="165" fontId="34" fillId="0" borderId="2" xfId="0" applyNumberFormat="1" applyFont="1" applyBorder="1"/>
    <xf numFmtId="37" fontId="40" fillId="18" borderId="0" xfId="0" applyNumberFormat="1" applyFont="1" applyFill="1"/>
    <xf numFmtId="37" fontId="30" fillId="18" borderId="0" xfId="0" applyNumberFormat="1" applyFont="1" applyFill="1"/>
    <xf numFmtId="37" fontId="30" fillId="18" borderId="22" xfId="0" applyNumberFormat="1" applyFont="1" applyFill="1" applyBorder="1"/>
    <xf numFmtId="37" fontId="30" fillId="18" borderId="1" xfId="0" applyNumberFormat="1" applyFont="1" applyFill="1" applyBorder="1"/>
    <xf numFmtId="37" fontId="43" fillId="0" borderId="0" xfId="0" applyNumberFormat="1" applyFont="1"/>
    <xf numFmtId="37" fontId="43" fillId="0" borderId="1" xfId="0" applyNumberFormat="1" applyFont="1" applyBorder="1"/>
    <xf numFmtId="37" fontId="35" fillId="0" borderId="1" xfId="0" applyNumberFormat="1" applyFont="1" applyBorder="1"/>
    <xf numFmtId="37" fontId="35" fillId="0" borderId="22" xfId="0" applyNumberFormat="1" applyFont="1" applyBorder="1"/>
    <xf numFmtId="37" fontId="36" fillId="23" borderId="1" xfId="0" applyNumberFormat="1" applyFont="1" applyFill="1" applyBorder="1"/>
    <xf numFmtId="37" fontId="36" fillId="23" borderId="0" xfId="0" applyNumberFormat="1" applyFont="1" applyFill="1"/>
    <xf numFmtId="37" fontId="46" fillId="0" borderId="0" xfId="0" applyNumberFormat="1" applyFont="1"/>
    <xf numFmtId="9" fontId="28" fillId="0" borderId="0" xfId="56" applyFont="1" applyBorder="1"/>
    <xf numFmtId="37" fontId="37" fillId="0" borderId="0" xfId="0" applyNumberFormat="1" applyFont="1"/>
    <xf numFmtId="37" fontId="46" fillId="24" borderId="1" xfId="0" applyNumberFormat="1" applyFont="1" applyFill="1" applyBorder="1"/>
    <xf numFmtId="43" fontId="29" fillId="0" borderId="2" xfId="0" applyNumberFormat="1" applyFont="1" applyBorder="1"/>
    <xf numFmtId="43" fontId="29" fillId="0" borderId="1" xfId="0" applyNumberFormat="1" applyFont="1" applyBorder="1"/>
    <xf numFmtId="43" fontId="29" fillId="0" borderId="22" xfId="0" applyNumberFormat="1" applyFont="1" applyBorder="1"/>
    <xf numFmtId="43" fontId="29" fillId="15" borderId="0" xfId="0" applyNumberFormat="1" applyFont="1" applyFill="1"/>
    <xf numFmtId="165" fontId="40" fillId="18" borderId="29" xfId="0" applyNumberFormat="1" applyFont="1" applyFill="1" applyBorder="1"/>
    <xf numFmtId="165" fontId="40" fillId="18" borderId="6" xfId="0" applyNumberFormat="1" applyFont="1" applyFill="1" applyBorder="1"/>
    <xf numFmtId="165" fontId="56" fillId="18" borderId="6" xfId="0" applyNumberFormat="1" applyFont="1" applyFill="1" applyBorder="1"/>
    <xf numFmtId="165" fontId="56" fillId="18" borderId="2" xfId="0" applyNumberFormat="1" applyFont="1" applyFill="1" applyBorder="1"/>
    <xf numFmtId="165" fontId="56" fillId="18" borderId="0" xfId="0" applyNumberFormat="1" applyFont="1" applyFill="1"/>
    <xf numFmtId="165" fontId="40" fillId="18" borderId="0" xfId="0" applyNumberFormat="1" applyFont="1" applyFill="1"/>
    <xf numFmtId="165" fontId="40" fillId="18" borderId="30" xfId="0" applyNumberFormat="1" applyFont="1" applyFill="1" applyBorder="1"/>
    <xf numFmtId="165" fontId="40" fillId="18" borderId="31" xfId="0" applyNumberFormat="1" applyFont="1" applyFill="1" applyBorder="1"/>
    <xf numFmtId="165" fontId="56" fillId="18" borderId="18" xfId="0" applyNumberFormat="1" applyFont="1" applyFill="1" applyBorder="1"/>
    <xf numFmtId="165" fontId="56" fillId="18" borderId="25" xfId="0" applyNumberFormat="1" applyFont="1" applyFill="1" applyBorder="1"/>
    <xf numFmtId="37" fontId="28" fillId="0" borderId="1" xfId="0" applyNumberFormat="1" applyFont="1" applyBorder="1" applyAlignment="1">
      <alignment horizontal="left"/>
    </xf>
    <xf numFmtId="37" fontId="29" fillId="0" borderId="0" xfId="0" applyNumberFormat="1" applyFont="1" applyAlignment="1">
      <alignment horizontal="right"/>
    </xf>
    <xf numFmtId="37" fontId="29" fillId="0" borderId="1" xfId="0" applyNumberFormat="1" applyFont="1" applyBorder="1" applyAlignment="1">
      <alignment horizontal="right"/>
    </xf>
    <xf numFmtId="37" fontId="29" fillId="0" borderId="22" xfId="0" applyNumberFormat="1" applyFont="1" applyBorder="1" applyAlignment="1">
      <alignment horizontal="right"/>
    </xf>
    <xf numFmtId="37" fontId="28" fillId="0" borderId="0" xfId="0" applyNumberFormat="1" applyFont="1" applyAlignment="1">
      <alignment horizontal="right"/>
    </xf>
    <xf numFmtId="37" fontId="28" fillId="0" borderId="1" xfId="0" applyNumberFormat="1" applyFont="1" applyBorder="1" applyAlignment="1">
      <alignment horizontal="right"/>
    </xf>
    <xf numFmtId="37" fontId="28" fillId="0" borderId="22" xfId="0" applyNumberFormat="1" applyFont="1" applyBorder="1" applyAlignment="1">
      <alignment horizontal="right"/>
    </xf>
    <xf numFmtId="37" fontId="29" fillId="16" borderId="7" xfId="61" quotePrefix="1" applyNumberFormat="1" applyFont="1" applyFill="1" applyBorder="1" applyAlignment="1"/>
    <xf numFmtId="37" fontId="28" fillId="16" borderId="24" xfId="61" applyNumberFormat="1" applyFont="1" applyFill="1" applyBorder="1" applyAlignment="1"/>
    <xf numFmtId="37" fontId="28" fillId="16" borderId="0" xfId="61" applyNumberFormat="1" applyFont="1" applyFill="1" applyAlignment="1"/>
    <xf numFmtId="37" fontId="28" fillId="16" borderId="0" xfId="61" applyNumberFormat="1" applyFont="1" applyFill="1" applyBorder="1" applyAlignment="1"/>
    <xf numFmtId="37" fontId="28" fillId="0" borderId="0" xfId="61" applyNumberFormat="1" applyFont="1" applyBorder="1" applyAlignment="1"/>
    <xf numFmtId="37" fontId="28" fillId="0" borderId="1" xfId="61" applyNumberFormat="1" applyFont="1" applyBorder="1" applyAlignment="1"/>
    <xf numFmtId="37" fontId="28" fillId="0" borderId="22" xfId="61" applyNumberFormat="1" applyFont="1" applyBorder="1" applyAlignment="1"/>
    <xf numFmtId="37" fontId="28" fillId="16" borderId="1" xfId="61" applyNumberFormat="1" applyFont="1" applyFill="1" applyBorder="1" applyAlignment="1"/>
    <xf numFmtId="37" fontId="28" fillId="0" borderId="0" xfId="61" applyNumberFormat="1" applyFont="1" applyAlignment="1"/>
    <xf numFmtId="37" fontId="2" fillId="16" borderId="1" xfId="61" applyNumberFormat="1" applyFont="1" applyFill="1" applyBorder="1" applyAlignment="1"/>
    <xf numFmtId="37" fontId="36" fillId="16" borderId="0" xfId="61" applyNumberFormat="1" applyFont="1" applyFill="1" applyAlignment="1"/>
    <xf numFmtId="37" fontId="36" fillId="16" borderId="0" xfId="61" applyNumberFormat="1" applyFont="1" applyFill="1" applyBorder="1" applyAlignment="1"/>
    <xf numFmtId="37" fontId="36" fillId="0" borderId="0" xfId="61" applyNumberFormat="1" applyFont="1" applyAlignment="1"/>
    <xf numFmtId="37" fontId="28" fillId="16" borderId="1" xfId="61" quotePrefix="1" applyNumberFormat="1" applyFont="1" applyFill="1" applyBorder="1" applyAlignment="1"/>
    <xf numFmtId="37" fontId="29" fillId="0" borderId="0" xfId="61" applyNumberFormat="1" applyFont="1" applyBorder="1" applyAlignment="1"/>
    <xf numFmtId="37" fontId="29" fillId="0" borderId="0" xfId="61" applyNumberFormat="1" applyFont="1" applyAlignment="1"/>
    <xf numFmtId="37" fontId="29" fillId="0" borderId="1" xfId="61" applyNumberFormat="1" applyFont="1" applyBorder="1" applyAlignment="1"/>
    <xf numFmtId="37" fontId="29" fillId="0" borderId="22" xfId="61" applyNumberFormat="1" applyFont="1" applyBorder="1" applyAlignment="1"/>
    <xf numFmtId="37" fontId="28" fillId="0" borderId="0" xfId="61" applyNumberFormat="1" applyFont="1" applyAlignment="1">
      <alignment horizontal="right"/>
    </xf>
    <xf numFmtId="165" fontId="29" fillId="0" borderId="0" xfId="61" applyNumberFormat="1" applyFont="1" applyAlignment="1"/>
    <xf numFmtId="165" fontId="28" fillId="0" borderId="0" xfId="61" applyNumberFormat="1" applyFont="1" applyBorder="1" applyAlignment="1"/>
    <xf numFmtId="165" fontId="28" fillId="0" borderId="0" xfId="61" applyNumberFormat="1" applyFont="1" applyAlignment="1"/>
    <xf numFmtId="165" fontId="28" fillId="0" borderId="22" xfId="61" applyNumberFormat="1" applyFont="1" applyBorder="1" applyAlignment="1"/>
    <xf numFmtId="165" fontId="28" fillId="0" borderId="1" xfId="61" applyNumberFormat="1" applyFont="1" applyBorder="1" applyAlignment="1"/>
    <xf numFmtId="9" fontId="28" fillId="0" borderId="0" xfId="61" applyNumberFormat="1" applyFont="1" applyAlignment="1"/>
    <xf numFmtId="9" fontId="28" fillId="0" borderId="0" xfId="61" applyNumberFormat="1" applyFont="1" applyBorder="1" applyAlignment="1"/>
    <xf numFmtId="9" fontId="33" fillId="0" borderId="0" xfId="61" applyNumberFormat="1" applyFont="1" applyAlignment="1"/>
    <xf numFmtId="9" fontId="33" fillId="0" borderId="22" xfId="61" applyNumberFormat="1" applyFont="1" applyBorder="1" applyAlignment="1"/>
    <xf numFmtId="9" fontId="33" fillId="0" borderId="1" xfId="61" applyNumberFormat="1" applyFont="1" applyBorder="1" applyAlignment="1"/>
    <xf numFmtId="9" fontId="28" fillId="15" borderId="0" xfId="0" applyNumberFormat="1" applyFont="1" applyFill="1"/>
    <xf numFmtId="37" fontId="33" fillId="0" borderId="0" xfId="61" applyNumberFormat="1" applyFont="1" applyBorder="1" applyAlignment="1"/>
    <xf numFmtId="37" fontId="33" fillId="0" borderId="22" xfId="61" applyNumberFormat="1" applyFont="1" applyBorder="1" applyAlignment="1"/>
    <xf numFmtId="37" fontId="33" fillId="0" borderId="1" xfId="61" applyNumberFormat="1" applyFont="1" applyBorder="1" applyAlignment="1"/>
    <xf numFmtId="41" fontId="28" fillId="0" borderId="0" xfId="61" applyNumberFormat="1" applyFont="1" applyAlignment="1"/>
    <xf numFmtId="41" fontId="28" fillId="0" borderId="0" xfId="61" applyNumberFormat="1" applyFont="1" applyBorder="1" applyAlignment="1"/>
    <xf numFmtId="41" fontId="22" fillId="0" borderId="0" xfId="0" applyNumberFormat="1" applyFont="1" applyAlignment="1">
      <alignment horizontal="right"/>
    </xf>
    <xf numFmtId="41" fontId="22" fillId="0" borderId="22" xfId="0" applyNumberFormat="1" applyFont="1" applyBorder="1" applyAlignment="1">
      <alignment horizontal="right"/>
    </xf>
    <xf numFmtId="41" fontId="22" fillId="0" borderId="1" xfId="0" applyNumberFormat="1" applyFont="1" applyBorder="1" applyAlignment="1">
      <alignment horizontal="right"/>
    </xf>
    <xf numFmtId="37" fontId="28" fillId="0" borderId="0" xfId="61" quotePrefix="1" applyNumberFormat="1" applyFont="1" applyAlignment="1"/>
    <xf numFmtId="37" fontId="29" fillId="0" borderId="0" xfId="61" quotePrefix="1" applyNumberFormat="1" applyFont="1" applyAlignment="1"/>
    <xf numFmtId="0" fontId="28" fillId="15" borderId="0" xfId="0" applyFont="1" applyFill="1" applyAlignment="1">
      <alignment horizontal="center"/>
    </xf>
    <xf numFmtId="164" fontId="2" fillId="0" borderId="0" xfId="35" applyNumberFormat="1" applyFont="1"/>
    <xf numFmtId="43" fontId="2" fillId="0" borderId="0" xfId="0" applyNumberFormat="1" applyFont="1"/>
    <xf numFmtId="9" fontId="29" fillId="0" borderId="0" xfId="0" applyNumberFormat="1" applyFont="1" applyAlignment="1">
      <alignment horizontal="center"/>
    </xf>
    <xf numFmtId="0" fontId="40" fillId="21" borderId="32" xfId="0" applyFont="1" applyFill="1" applyBorder="1" applyAlignment="1">
      <alignment horizontal="center"/>
    </xf>
    <xf numFmtId="37" fontId="34" fillId="0" borderId="1" xfId="0" applyNumberFormat="1" applyFont="1" applyBorder="1"/>
    <xf numFmtId="9" fontId="28" fillId="0" borderId="0" xfId="0" applyNumberFormat="1" applyFont="1" applyAlignment="1">
      <alignment horizontal="left" indent="1"/>
    </xf>
    <xf numFmtId="9" fontId="34" fillId="0" borderId="0" xfId="0" applyNumberFormat="1" applyFont="1"/>
    <xf numFmtId="9" fontId="28" fillId="0" borderId="0" xfId="0" applyNumberFormat="1" applyFont="1"/>
    <xf numFmtId="9" fontId="34" fillId="0" borderId="1" xfId="0" applyNumberFormat="1" applyFont="1" applyBorder="1"/>
    <xf numFmtId="9" fontId="28" fillId="0" borderId="1" xfId="0" applyNumberFormat="1" applyFont="1" applyBorder="1"/>
    <xf numFmtId="9" fontId="34" fillId="0" borderId="2" xfId="0" applyNumberFormat="1" applyFont="1" applyBorder="1"/>
    <xf numFmtId="37" fontId="34" fillId="0" borderId="0" xfId="0" applyNumberFormat="1" applyFont="1" applyAlignment="1">
      <alignment horizontal="left" indent="1"/>
    </xf>
    <xf numFmtId="37" fontId="60" fillId="0" borderId="0" xfId="0" applyNumberFormat="1" applyFont="1"/>
    <xf numFmtId="10" fontId="28" fillId="0" borderId="22" xfId="0" applyNumberFormat="1" applyFont="1" applyBorder="1"/>
    <xf numFmtId="37" fontId="28" fillId="23" borderId="0" xfId="0" applyNumberFormat="1" applyFont="1" applyFill="1"/>
    <xf numFmtId="0" fontId="36" fillId="0" borderId="18" xfId="0" applyFont="1" applyBorder="1"/>
    <xf numFmtId="0" fontId="36" fillId="0" borderId="33" xfId="0" applyFont="1" applyBorder="1"/>
    <xf numFmtId="0" fontId="30" fillId="21" borderId="0" xfId="0" applyFont="1" applyFill="1"/>
    <xf numFmtId="0" fontId="40" fillId="21" borderId="22" xfId="0" applyFont="1" applyFill="1" applyBorder="1" applyAlignment="1">
      <alignment horizontal="center"/>
    </xf>
    <xf numFmtId="0" fontId="40" fillId="21" borderId="1" xfId="0" applyFont="1" applyFill="1" applyBorder="1" applyAlignment="1">
      <alignment horizontal="center"/>
    </xf>
    <xf numFmtId="41" fontId="28" fillId="15" borderId="1" xfId="0" applyNumberFormat="1" applyFont="1" applyFill="1" applyBorder="1"/>
    <xf numFmtId="41" fontId="33" fillId="15" borderId="1" xfId="0" applyNumberFormat="1" applyFont="1" applyFill="1" applyBorder="1"/>
    <xf numFmtId="0" fontId="28" fillId="15" borderId="1" xfId="0" applyFont="1" applyFill="1" applyBorder="1"/>
    <xf numFmtId="37" fontId="47" fillId="0" borderId="1" xfId="0" applyNumberFormat="1" applyFont="1" applyBorder="1"/>
    <xf numFmtId="165" fontId="28" fillId="0" borderId="1" xfId="0" applyNumberFormat="1" applyFont="1" applyBorder="1" applyAlignment="1">
      <alignment horizontal="right"/>
    </xf>
    <xf numFmtId="165" fontId="35" fillId="0" borderId="0" xfId="0" applyNumberFormat="1" applyFont="1"/>
    <xf numFmtId="165" fontId="35" fillId="0" borderId="1" xfId="0" applyNumberFormat="1" applyFont="1" applyBorder="1"/>
    <xf numFmtId="165" fontId="35" fillId="0" borderId="22" xfId="0" applyNumberFormat="1" applyFont="1" applyBorder="1"/>
    <xf numFmtId="41" fontId="47" fillId="0" borderId="1" xfId="0" applyNumberFormat="1" applyFont="1" applyBorder="1"/>
    <xf numFmtId="0" fontId="61" fillId="0" borderId="0" xfId="0" applyFont="1"/>
    <xf numFmtId="41" fontId="61" fillId="0" borderId="1" xfId="0" applyNumberFormat="1" applyFont="1" applyBorder="1"/>
    <xf numFmtId="41" fontId="61" fillId="0" borderId="0" xfId="0" applyNumberFormat="1" applyFont="1"/>
    <xf numFmtId="41" fontId="61" fillId="0" borderId="22" xfId="0" applyNumberFormat="1" applyFont="1" applyBorder="1"/>
    <xf numFmtId="165" fontId="51" fillId="0" borderId="1" xfId="0" applyNumberFormat="1" applyFont="1" applyBorder="1"/>
    <xf numFmtId="165" fontId="51" fillId="0" borderId="0" xfId="0" applyNumberFormat="1" applyFont="1"/>
    <xf numFmtId="165" fontId="51" fillId="0" borderId="22" xfId="0" applyNumberFormat="1" applyFont="1" applyBorder="1"/>
    <xf numFmtId="41" fontId="29" fillId="15" borderId="0" xfId="0" applyNumberFormat="1" applyFont="1" applyFill="1"/>
    <xf numFmtId="41" fontId="29" fillId="15" borderId="1" xfId="0" applyNumberFormat="1" applyFont="1" applyFill="1" applyBorder="1"/>
    <xf numFmtId="0" fontId="51" fillId="0" borderId="1" xfId="0" applyFont="1" applyBorder="1"/>
    <xf numFmtId="0" fontId="51" fillId="0" borderId="22" xfId="0" applyFont="1" applyBorder="1"/>
    <xf numFmtId="165" fontId="28" fillId="15" borderId="1" xfId="0" applyNumberFormat="1" applyFont="1" applyFill="1" applyBorder="1"/>
    <xf numFmtId="0" fontId="28" fillId="22" borderId="0" xfId="0" applyFont="1" applyFill="1"/>
    <xf numFmtId="0" fontId="28" fillId="22" borderId="1" xfId="0" applyFont="1" applyFill="1" applyBorder="1"/>
    <xf numFmtId="169" fontId="28" fillId="0" borderId="19" xfId="0" applyNumberFormat="1" applyFont="1" applyBorder="1"/>
    <xf numFmtId="165" fontId="48" fillId="0" borderId="1" xfId="0" applyNumberFormat="1" applyFont="1" applyBorder="1"/>
    <xf numFmtId="0" fontId="30" fillId="21" borderId="1" xfId="0" applyFont="1" applyFill="1" applyBorder="1"/>
    <xf numFmtId="165" fontId="32" fillId="0" borderId="19" xfId="0" applyNumberFormat="1" applyFont="1" applyBorder="1"/>
    <xf numFmtId="41" fontId="31" fillId="0" borderId="1" xfId="0" applyNumberFormat="1" applyFont="1" applyBorder="1"/>
    <xf numFmtId="41" fontId="31" fillId="0" borderId="22" xfId="0" applyNumberFormat="1" applyFont="1" applyBorder="1"/>
    <xf numFmtId="41" fontId="32" fillId="0" borderId="0" xfId="0" applyNumberFormat="1" applyFont="1"/>
    <xf numFmtId="0" fontId="32" fillId="0" borderId="1" xfId="0" applyFont="1" applyBorder="1"/>
    <xf numFmtId="0" fontId="32" fillId="0" borderId="22" xfId="0" applyFont="1" applyBorder="1"/>
    <xf numFmtId="41" fontId="32" fillId="0" borderId="1" xfId="0" applyNumberFormat="1" applyFont="1" applyBorder="1"/>
    <xf numFmtId="41" fontId="32" fillId="0" borderId="22" xfId="0" applyNumberFormat="1" applyFont="1" applyBorder="1"/>
    <xf numFmtId="0" fontId="29" fillId="17" borderId="1" xfId="0" applyFont="1" applyFill="1" applyBorder="1"/>
    <xf numFmtId="41" fontId="29" fillId="17" borderId="1" xfId="0" applyNumberFormat="1" applyFont="1" applyFill="1" applyBorder="1"/>
    <xf numFmtId="165" fontId="28" fillId="17" borderId="0" xfId="0" applyNumberFormat="1" applyFont="1" applyFill="1"/>
    <xf numFmtId="165" fontId="28" fillId="17" borderId="1" xfId="0" applyNumberFormat="1" applyFont="1" applyFill="1" applyBorder="1"/>
    <xf numFmtId="165" fontId="28" fillId="0" borderId="2" xfId="0" applyNumberFormat="1" applyFont="1" applyBorder="1" applyAlignment="1">
      <alignment horizontal="right"/>
    </xf>
    <xf numFmtId="165" fontId="28" fillId="0" borderId="20" xfId="0" applyNumberFormat="1" applyFont="1" applyBorder="1"/>
    <xf numFmtId="165" fontId="28" fillId="0" borderId="21" xfId="0" applyNumberFormat="1" applyFont="1" applyBorder="1" applyAlignment="1">
      <alignment horizontal="right"/>
    </xf>
    <xf numFmtId="165" fontId="28" fillId="0" borderId="21" xfId="0" applyNumberFormat="1" applyFont="1" applyBorder="1"/>
    <xf numFmtId="165" fontId="28" fillId="0" borderId="23" xfId="0" applyNumberFormat="1" applyFont="1" applyBorder="1"/>
    <xf numFmtId="0" fontId="28" fillId="15" borderId="1" xfId="0" applyFont="1" applyFill="1" applyBorder="1" applyAlignment="1">
      <alignment horizontal="left" indent="1"/>
    </xf>
    <xf numFmtId="41" fontId="41" fillId="0" borderId="1" xfId="0" applyNumberFormat="1" applyFont="1" applyBorder="1"/>
    <xf numFmtId="165" fontId="33" fillId="17" borderId="1" xfId="0" applyNumberFormat="1" applyFont="1" applyFill="1" applyBorder="1"/>
    <xf numFmtId="41" fontId="33" fillId="17" borderId="1" xfId="0" applyNumberFormat="1" applyFont="1" applyFill="1" applyBorder="1"/>
    <xf numFmtId="0" fontId="33" fillId="0" borderId="1" xfId="0" applyFont="1" applyBorder="1"/>
    <xf numFmtId="0" fontId="33" fillId="0" borderId="22" xfId="0" applyFont="1" applyBorder="1"/>
    <xf numFmtId="10" fontId="33" fillId="0" borderId="0" xfId="0" applyNumberFormat="1" applyFont="1"/>
    <xf numFmtId="10" fontId="33" fillId="0" borderId="1" xfId="0" applyNumberFormat="1" applyFont="1" applyBorder="1"/>
    <xf numFmtId="10" fontId="33" fillId="0" borderId="22" xfId="0" applyNumberFormat="1" applyFont="1" applyBorder="1"/>
    <xf numFmtId="0" fontId="33" fillId="17" borderId="1" xfId="0" applyFont="1" applyFill="1" applyBorder="1"/>
    <xf numFmtId="0" fontId="29" fillId="0" borderId="0" xfId="61" applyFont="1" applyBorder="1" applyAlignment="1">
      <alignment horizontal="left"/>
    </xf>
    <xf numFmtId="41" fontId="28" fillId="0" borderId="23" xfId="0" applyNumberFormat="1" applyFont="1" applyBorder="1"/>
    <xf numFmtId="41" fontId="48" fillId="0" borderId="0" xfId="0" applyNumberFormat="1" applyFont="1"/>
    <xf numFmtId="3" fontId="34" fillId="0" borderId="1" xfId="0" applyNumberFormat="1" applyFont="1" applyBorder="1"/>
    <xf numFmtId="41" fontId="34" fillId="0" borderId="1" xfId="61" applyNumberFormat="1" applyFont="1" applyBorder="1" applyAlignment="1"/>
    <xf numFmtId="41" fontId="34" fillId="0" borderId="22" xfId="61" applyNumberFormat="1" applyFont="1" applyBorder="1" applyAlignment="1"/>
    <xf numFmtId="41" fontId="34" fillId="0" borderId="0" xfId="61" applyNumberFormat="1" applyFont="1" applyBorder="1" applyAlignment="1"/>
    <xf numFmtId="9" fontId="33" fillId="0" borderId="0" xfId="0" applyNumberFormat="1" applyFont="1"/>
    <xf numFmtId="9" fontId="33" fillId="17" borderId="22" xfId="0" applyNumberFormat="1" applyFont="1" applyFill="1" applyBorder="1"/>
    <xf numFmtId="9" fontId="33" fillId="0" borderId="1" xfId="0" applyNumberFormat="1" applyFont="1" applyBorder="1"/>
    <xf numFmtId="0" fontId="33" fillId="15" borderId="1" xfId="0" applyFont="1" applyFill="1" applyBorder="1"/>
    <xf numFmtId="37" fontId="36" fillId="0" borderId="22" xfId="0" applyNumberFormat="1" applyFont="1" applyBorder="1"/>
    <xf numFmtId="37" fontId="48" fillId="0" borderId="1" xfId="0" applyNumberFormat="1" applyFont="1" applyBorder="1"/>
    <xf numFmtId="0" fontId="33" fillId="25" borderId="1" xfId="0" applyFont="1" applyFill="1" applyBorder="1"/>
    <xf numFmtId="43" fontId="33" fillId="0" borderId="1" xfId="0" applyNumberFormat="1" applyFont="1" applyBorder="1"/>
    <xf numFmtId="7" fontId="33" fillId="0" borderId="1" xfId="0" applyNumberFormat="1" applyFont="1" applyBorder="1"/>
    <xf numFmtId="43" fontId="51" fillId="15" borderId="1" xfId="0" applyNumberFormat="1" applyFont="1" applyFill="1" applyBorder="1"/>
    <xf numFmtId="7" fontId="62" fillId="0" borderId="1" xfId="0" applyNumberFormat="1" applyFont="1" applyBorder="1"/>
    <xf numFmtId="44" fontId="33" fillId="0" borderId="0" xfId="0" applyNumberFormat="1" applyFont="1"/>
    <xf numFmtId="0" fontId="63" fillId="0" borderId="1" xfId="0" applyFont="1" applyBorder="1"/>
    <xf numFmtId="41" fontId="41" fillId="0" borderId="1" xfId="0" applyNumberFormat="1" applyFont="1" applyBorder="1" applyAlignment="1">
      <alignment horizontal="right"/>
    </xf>
    <xf numFmtId="41" fontId="29" fillId="0" borderId="22" xfId="0" applyNumberFormat="1" applyFont="1" applyBorder="1" applyAlignment="1">
      <alignment horizontal="right"/>
    </xf>
    <xf numFmtId="0" fontId="33" fillId="0" borderId="22" xfId="0" applyFont="1" applyBorder="1" applyAlignment="1">
      <alignment horizontal="right"/>
    </xf>
    <xf numFmtId="165" fontId="33" fillId="0" borderId="22" xfId="0" applyNumberFormat="1" applyFont="1" applyBorder="1" applyAlignment="1">
      <alignment horizontal="right"/>
    </xf>
    <xf numFmtId="41" fontId="28" fillId="0" borderId="0" xfId="0" applyNumberFormat="1" applyFont="1" applyAlignment="1">
      <alignment horizontal="right"/>
    </xf>
    <xf numFmtId="41" fontId="33" fillId="0" borderId="1" xfId="0" applyNumberFormat="1" applyFont="1" applyBorder="1" applyAlignment="1">
      <alignment horizontal="right"/>
    </xf>
    <xf numFmtId="41" fontId="33" fillId="0" borderId="0" xfId="0" applyNumberFormat="1" applyFont="1" applyAlignment="1">
      <alignment horizontal="right"/>
    </xf>
    <xf numFmtId="41" fontId="28" fillId="0" borderId="1" xfId="0" applyNumberFormat="1" applyFont="1" applyBorder="1" applyAlignment="1">
      <alignment horizontal="right"/>
    </xf>
    <xf numFmtId="41" fontId="29" fillId="23" borderId="1" xfId="0" applyNumberFormat="1" applyFont="1" applyFill="1" applyBorder="1"/>
    <xf numFmtId="37" fontId="29" fillId="17" borderId="0" xfId="0" applyNumberFormat="1" applyFont="1" applyFill="1"/>
    <xf numFmtId="37" fontId="29" fillId="0" borderId="19" xfId="0" applyNumberFormat="1" applyFont="1" applyBorder="1"/>
    <xf numFmtId="37" fontId="28" fillId="17" borderId="0" xfId="0" applyNumberFormat="1" applyFont="1" applyFill="1"/>
    <xf numFmtId="37" fontId="28" fillId="17" borderId="1" xfId="0" applyNumberFormat="1" applyFont="1" applyFill="1" applyBorder="1"/>
    <xf numFmtId="37" fontId="28" fillId="17" borderId="22" xfId="0" applyNumberFormat="1" applyFont="1" applyFill="1" applyBorder="1"/>
    <xf numFmtId="37" fontId="28" fillId="0" borderId="19" xfId="0" applyNumberFormat="1" applyFont="1" applyBorder="1"/>
    <xf numFmtId="165" fontId="28" fillId="17" borderId="22" xfId="0" applyNumberFormat="1" applyFont="1" applyFill="1" applyBorder="1"/>
    <xf numFmtId="41" fontId="48" fillId="0" borderId="1" xfId="0" applyNumberFormat="1" applyFont="1" applyBorder="1" applyAlignment="1">
      <alignment horizontal="right"/>
    </xf>
    <xf numFmtId="41" fontId="48" fillId="0" borderId="0" xfId="0" applyNumberFormat="1" applyFont="1" applyAlignment="1">
      <alignment horizontal="right"/>
    </xf>
    <xf numFmtId="165" fontId="32" fillId="0" borderId="0" xfId="0" applyNumberFormat="1" applyFont="1"/>
    <xf numFmtId="165" fontId="32" fillId="0" borderId="1" xfId="0" applyNumberFormat="1" applyFont="1" applyBorder="1"/>
    <xf numFmtId="165" fontId="32" fillId="0" borderId="1" xfId="0" applyNumberFormat="1" applyFont="1" applyBorder="1" applyAlignment="1">
      <alignment horizontal="right"/>
    </xf>
    <xf numFmtId="165" fontId="32" fillId="0" borderId="22" xfId="0" applyNumberFormat="1" applyFont="1" applyBorder="1"/>
    <xf numFmtId="0" fontId="64" fillId="0" borderId="0" xfId="0" applyFont="1"/>
    <xf numFmtId="37" fontId="32" fillId="0" borderId="0" xfId="0" applyNumberFormat="1" applyFont="1"/>
    <xf numFmtId="37" fontId="32" fillId="0" borderId="19" xfId="0" applyNumberFormat="1" applyFont="1" applyBorder="1"/>
    <xf numFmtId="37" fontId="32" fillId="0" borderId="1" xfId="0" applyNumberFormat="1" applyFont="1" applyBorder="1"/>
    <xf numFmtId="37" fontId="32" fillId="0" borderId="22" xfId="0" applyNumberFormat="1" applyFont="1" applyBorder="1"/>
    <xf numFmtId="37" fontId="31" fillId="0" borderId="0" xfId="0" applyNumberFormat="1" applyFont="1"/>
    <xf numFmtId="37" fontId="31" fillId="0" borderId="1" xfId="0" applyNumberFormat="1" applyFont="1" applyBorder="1"/>
    <xf numFmtId="37" fontId="41" fillId="0" borderId="22" xfId="0" applyNumberFormat="1" applyFont="1" applyBorder="1"/>
    <xf numFmtId="37" fontId="31" fillId="0" borderId="22" xfId="0" applyNumberFormat="1" applyFont="1" applyBorder="1"/>
    <xf numFmtId="41" fontId="45" fillId="0" borderId="1" xfId="0" applyNumberFormat="1" applyFont="1" applyBorder="1"/>
    <xf numFmtId="0" fontId="0" fillId="0" borderId="1" xfId="0" applyBorder="1"/>
    <xf numFmtId="0" fontId="0" fillId="0" borderId="22" xfId="0" applyBorder="1"/>
    <xf numFmtId="169" fontId="0" fillId="0" borderId="0" xfId="0" applyNumberFormat="1"/>
    <xf numFmtId="169" fontId="29" fillId="0" borderId="1" xfId="0" applyNumberFormat="1" applyFont="1" applyBorder="1"/>
    <xf numFmtId="169" fontId="29" fillId="0" borderId="0" xfId="0" applyNumberFormat="1" applyFont="1"/>
    <xf numFmtId="169" fontId="29" fillId="0" borderId="22" xfId="0" applyNumberFormat="1" applyFont="1" applyBorder="1"/>
    <xf numFmtId="169" fontId="0" fillId="0" borderId="1" xfId="0" applyNumberFormat="1" applyBorder="1"/>
    <xf numFmtId="169" fontId="0" fillId="0" borderId="22" xfId="0" applyNumberFormat="1" applyBorder="1"/>
    <xf numFmtId="165" fontId="2" fillId="0" borderId="0" xfId="0" applyNumberFormat="1" applyFont="1"/>
    <xf numFmtId="165" fontId="2" fillId="0" borderId="1" xfId="0" applyNumberFormat="1" applyFont="1" applyBorder="1"/>
    <xf numFmtId="165" fontId="2" fillId="0" borderId="22" xfId="0" applyNumberFormat="1" applyFont="1" applyBorder="1"/>
    <xf numFmtId="9" fontId="2" fillId="0" borderId="0" xfId="56" applyFont="1" applyBorder="1"/>
    <xf numFmtId="39" fontId="28" fillId="0" borderId="19" xfId="0" applyNumberFormat="1" applyFont="1" applyBorder="1"/>
    <xf numFmtId="43" fontId="0" fillId="0" borderId="0" xfId="0" applyNumberFormat="1"/>
    <xf numFmtId="0" fontId="2" fillId="0" borderId="22" xfId="0" applyFont="1" applyBorder="1"/>
    <xf numFmtId="0" fontId="2" fillId="0" borderId="1" xfId="0" applyFont="1" applyBorder="1"/>
    <xf numFmtId="0" fontId="2" fillId="21" borderId="1" xfId="0" applyFont="1" applyFill="1" applyBorder="1"/>
    <xf numFmtId="0" fontId="2" fillId="0" borderId="21" xfId="0" applyFont="1" applyBorder="1"/>
    <xf numFmtId="9" fontId="2" fillId="0" borderId="0" xfId="0" applyNumberFormat="1" applyFont="1"/>
    <xf numFmtId="9" fontId="0" fillId="0" borderId="0" xfId="0" applyNumberFormat="1"/>
    <xf numFmtId="9" fontId="2" fillId="0" borderId="1" xfId="0" applyNumberFormat="1" applyFont="1" applyBorder="1"/>
    <xf numFmtId="9" fontId="2" fillId="0" borderId="22" xfId="0" applyNumberFormat="1" applyFont="1" applyBorder="1"/>
    <xf numFmtId="165" fontId="2" fillId="0" borderId="1" xfId="61" applyNumberFormat="1" applyFont="1" applyBorder="1" applyAlignment="1"/>
    <xf numFmtId="165" fontId="2" fillId="0" borderId="22" xfId="61" applyNumberFormat="1" applyFont="1" applyBorder="1" applyAlignment="1"/>
    <xf numFmtId="41" fontId="2" fillId="0" borderId="1" xfId="61" applyNumberFormat="1" applyFont="1" applyBorder="1" applyAlignment="1"/>
    <xf numFmtId="41" fontId="2" fillId="0" borderId="22" xfId="61" applyNumberFormat="1" applyFont="1" applyBorder="1" applyAlignment="1"/>
    <xf numFmtId="39" fontId="2" fillId="0" borderId="0" xfId="0" applyNumberFormat="1" applyFont="1"/>
    <xf numFmtId="8" fontId="70" fillId="0" borderId="0" xfId="0" applyNumberFormat="1" applyFont="1"/>
    <xf numFmtId="7" fontId="29" fillId="0" borderId="0" xfId="0" applyNumberFormat="1" applyFont="1" applyAlignment="1">
      <alignment horizontal="right"/>
    </xf>
    <xf numFmtId="165" fontId="40" fillId="21" borderId="19" xfId="0" applyNumberFormat="1" applyFont="1" applyFill="1" applyBorder="1" applyAlignment="1">
      <alignment horizontal="center" wrapText="1"/>
    </xf>
    <xf numFmtId="0" fontId="29" fillId="15" borderId="1" xfId="0" applyFont="1" applyFill="1" applyBorder="1"/>
    <xf numFmtId="9" fontId="32" fillId="0" borderId="0" xfId="0" applyNumberFormat="1" applyFont="1"/>
    <xf numFmtId="41" fontId="64" fillId="0" borderId="0" xfId="0" applyNumberFormat="1" applyFont="1"/>
    <xf numFmtId="41" fontId="64" fillId="0" borderId="1" xfId="0" applyNumberFormat="1" applyFont="1" applyBorder="1"/>
    <xf numFmtId="169" fontId="2" fillId="0" borderId="0" xfId="0" applyNumberFormat="1" applyFont="1"/>
    <xf numFmtId="0" fontId="36" fillId="18" borderId="0" xfId="0" applyFont="1" applyFill="1"/>
    <xf numFmtId="0" fontId="36" fillId="18" borderId="1" xfId="0" applyFont="1" applyFill="1" applyBorder="1"/>
    <xf numFmtId="0" fontId="36" fillId="18" borderId="0" xfId="0" quotePrefix="1" applyFont="1" applyFill="1" applyAlignment="1">
      <alignment horizontal="right"/>
    </xf>
    <xf numFmtId="43" fontId="32" fillId="0" borderId="0" xfId="0" applyNumberFormat="1" applyFont="1"/>
    <xf numFmtId="43" fontId="32" fillId="0" borderId="1" xfId="0" applyNumberFormat="1" applyFont="1" applyBorder="1"/>
    <xf numFmtId="43" fontId="32" fillId="0" borderId="22" xfId="0" applyNumberFormat="1" applyFont="1" applyBorder="1"/>
    <xf numFmtId="4" fontId="33" fillId="0" borderId="1" xfId="0" applyNumberFormat="1" applyFont="1" applyBorder="1"/>
    <xf numFmtId="4" fontId="33" fillId="0" borderId="22" xfId="0" applyNumberFormat="1" applyFont="1" applyBorder="1"/>
    <xf numFmtId="0" fontId="40" fillId="0" borderId="1" xfId="0" applyFont="1" applyBorder="1"/>
    <xf numFmtId="0" fontId="40" fillId="0" borderId="22" xfId="0" applyFont="1" applyBorder="1"/>
    <xf numFmtId="8" fontId="33" fillId="0" borderId="0" xfId="0" applyNumberFormat="1" applyFont="1"/>
    <xf numFmtId="6" fontId="33" fillId="0" borderId="0" xfId="0" applyNumberFormat="1" applyFont="1"/>
    <xf numFmtId="7" fontId="2" fillId="0" borderId="0" xfId="0" applyNumberFormat="1" applyFont="1"/>
    <xf numFmtId="3" fontId="2" fillId="0" borderId="0" xfId="0" applyNumberFormat="1" applyFont="1"/>
    <xf numFmtId="6" fontId="28" fillId="0" borderId="0" xfId="0" applyNumberFormat="1" applyFont="1"/>
    <xf numFmtId="6" fontId="29" fillId="0" borderId="0" xfId="0" applyNumberFormat="1" applyFont="1"/>
    <xf numFmtId="6" fontId="29" fillId="0" borderId="1" xfId="0" applyNumberFormat="1" applyFont="1" applyBorder="1"/>
    <xf numFmtId="165" fontId="2" fillId="0" borderId="19" xfId="0" applyNumberFormat="1" applyFont="1" applyBorder="1"/>
    <xf numFmtId="41" fontId="2" fillId="0" borderId="1" xfId="0" applyNumberFormat="1" applyFont="1" applyBorder="1"/>
    <xf numFmtId="41" fontId="2" fillId="0" borderId="22" xfId="0" applyNumberFormat="1" applyFont="1" applyBorder="1"/>
    <xf numFmtId="0" fontId="2" fillId="15" borderId="0" xfId="0" applyFont="1" applyFill="1"/>
    <xf numFmtId="0" fontId="29" fillId="15" borderId="1" xfId="0" applyFont="1" applyFill="1" applyBorder="1" applyAlignment="1">
      <alignment horizontal="right"/>
    </xf>
    <xf numFmtId="0" fontId="29" fillId="15" borderId="0" xfId="0" applyFont="1" applyFill="1" applyAlignment="1">
      <alignment horizontal="right"/>
    </xf>
    <xf numFmtId="0" fontId="29" fillId="15" borderId="22" xfId="0" applyFont="1" applyFill="1" applyBorder="1" applyAlignment="1">
      <alignment horizontal="right"/>
    </xf>
    <xf numFmtId="0" fontId="29" fillId="0" borderId="0" xfId="0" applyFont="1" applyAlignment="1">
      <alignment horizontal="right"/>
    </xf>
    <xf numFmtId="0" fontId="2" fillId="20" borderId="22" xfId="0" applyFont="1" applyFill="1" applyBorder="1"/>
    <xf numFmtId="0" fontId="2" fillId="20" borderId="1" xfId="0" applyFont="1" applyFill="1" applyBorder="1"/>
    <xf numFmtId="3" fontId="2" fillId="0" borderId="22" xfId="61" applyNumberFormat="1" applyFont="1" applyBorder="1" applyAlignment="1">
      <alignment horizontal="right"/>
    </xf>
    <xf numFmtId="3" fontId="2" fillId="0" borderId="0" xfId="61" applyNumberFormat="1" applyFont="1" applyBorder="1" applyAlignment="1">
      <alignment horizontal="right"/>
    </xf>
    <xf numFmtId="3" fontId="2" fillId="0" borderId="1" xfId="61" applyNumberFormat="1" applyFont="1" applyBorder="1" applyAlignment="1">
      <alignment horizontal="right"/>
    </xf>
    <xf numFmtId="165" fontId="2" fillId="0" borderId="0" xfId="61" applyNumberFormat="1" applyFont="1" applyBorder="1" applyAlignment="1">
      <alignment horizontal="right"/>
    </xf>
    <xf numFmtId="165" fontId="2" fillId="0" borderId="1" xfId="61" applyNumberFormat="1" applyFont="1" applyBorder="1" applyAlignment="1">
      <alignment horizontal="right"/>
    </xf>
    <xf numFmtId="165" fontId="2" fillId="0" borderId="22" xfId="61" applyNumberFormat="1" applyFont="1" applyBorder="1" applyAlignment="1">
      <alignment horizontal="right"/>
    </xf>
    <xf numFmtId="165" fontId="28" fillId="0" borderId="22" xfId="0" applyNumberFormat="1" applyFont="1" applyBorder="1" applyAlignment="1">
      <alignment horizontal="right"/>
    </xf>
    <xf numFmtId="165" fontId="2" fillId="0" borderId="1" xfId="0" applyNumberFormat="1" applyFont="1" applyBorder="1" applyAlignment="1">
      <alignment horizontal="right"/>
    </xf>
    <xf numFmtId="165" fontId="2" fillId="0" borderId="22" xfId="0" applyNumberFormat="1" applyFont="1" applyBorder="1" applyAlignment="1">
      <alignment horizontal="right"/>
    </xf>
    <xf numFmtId="39" fontId="2" fillId="0" borderId="1" xfId="0" applyNumberFormat="1" applyFont="1" applyBorder="1"/>
    <xf numFmtId="39" fontId="2" fillId="0" borderId="22" xfId="0" applyNumberFormat="1" applyFont="1" applyBorder="1"/>
    <xf numFmtId="1" fontId="2" fillId="0" borderId="22" xfId="0" applyNumberFormat="1" applyFont="1" applyBorder="1"/>
    <xf numFmtId="1" fontId="2" fillId="0" borderId="1" xfId="0" applyNumberFormat="1" applyFont="1" applyBorder="1"/>
    <xf numFmtId="169" fontId="2" fillId="0" borderId="1" xfId="0" applyNumberFormat="1" applyFont="1" applyBorder="1"/>
    <xf numFmtId="169" fontId="2" fillId="0" borderId="22" xfId="0" applyNumberFormat="1" applyFont="1" applyBorder="1"/>
    <xf numFmtId="43" fontId="2" fillId="0" borderId="1" xfId="0" applyNumberFormat="1" applyFont="1" applyBorder="1"/>
    <xf numFmtId="43" fontId="2" fillId="0" borderId="22" xfId="0" applyNumberFormat="1" applyFont="1" applyBorder="1"/>
    <xf numFmtId="0" fontId="2" fillId="0" borderId="23" xfId="0" applyFont="1" applyBorder="1"/>
    <xf numFmtId="165" fontId="2" fillId="0" borderId="20" xfId="0" applyNumberFormat="1" applyFont="1" applyBorder="1"/>
    <xf numFmtId="43" fontId="2" fillId="0" borderId="2" xfId="0" applyNumberFormat="1" applyFont="1" applyBorder="1"/>
    <xf numFmtId="43" fontId="2" fillId="0" borderId="21" xfId="0" applyNumberFormat="1" applyFont="1" applyBorder="1"/>
    <xf numFmtId="43" fontId="2" fillId="0" borderId="23" xfId="0" applyNumberFormat="1" applyFont="1" applyBorder="1"/>
    <xf numFmtId="43" fontId="36" fillId="0" borderId="0" xfId="0" applyNumberFormat="1" applyFont="1" applyAlignment="1">
      <alignment horizontal="center"/>
    </xf>
    <xf numFmtId="0" fontId="75" fillId="0" borderId="0" xfId="0" applyFont="1"/>
    <xf numFmtId="0" fontId="40" fillId="18" borderId="1" xfId="0" applyFont="1" applyFill="1" applyBorder="1" applyAlignment="1">
      <alignment horizontal="center"/>
    </xf>
    <xf numFmtId="0" fontId="40" fillId="18" borderId="22" xfId="0" applyFont="1" applyFill="1" applyBorder="1" applyAlignment="1">
      <alignment horizontal="center"/>
    </xf>
    <xf numFmtId="0" fontId="40" fillId="18" borderId="24" xfId="0" applyFont="1" applyFill="1" applyBorder="1" applyAlignment="1">
      <alignment horizontal="center"/>
    </xf>
    <xf numFmtId="0" fontId="40" fillId="18" borderId="32" xfId="0" applyFont="1" applyFill="1" applyBorder="1" applyAlignment="1">
      <alignment horizontal="center"/>
    </xf>
    <xf numFmtId="7" fontId="29" fillId="15" borderId="19" xfId="0" applyNumberFormat="1" applyFont="1" applyFill="1" applyBorder="1" applyAlignment="1">
      <alignment horizontal="center"/>
    </xf>
    <xf numFmtId="165" fontId="28" fillId="15" borderId="1" xfId="0" applyNumberFormat="1" applyFont="1" applyFill="1" applyBorder="1" applyAlignment="1">
      <alignment horizontal="left" indent="2"/>
    </xf>
    <xf numFmtId="165" fontId="29" fillId="15" borderId="19" xfId="0" applyNumberFormat="1" applyFont="1" applyFill="1" applyBorder="1" applyAlignment="1">
      <alignment horizontal="center"/>
    </xf>
    <xf numFmtId="165" fontId="29" fillId="15" borderId="22" xfId="0" applyNumberFormat="1" applyFont="1" applyFill="1" applyBorder="1" applyAlignment="1">
      <alignment horizontal="center"/>
    </xf>
    <xf numFmtId="165" fontId="29" fillId="15" borderId="1" xfId="0" applyNumberFormat="1" applyFont="1" applyFill="1" applyBorder="1" applyAlignment="1">
      <alignment horizontal="center"/>
    </xf>
    <xf numFmtId="0" fontId="30" fillId="18" borderId="19" xfId="0" applyFont="1" applyFill="1" applyBorder="1"/>
    <xf numFmtId="37" fontId="41" fillId="0" borderId="19" xfId="0" applyNumberFormat="1" applyFont="1" applyBorder="1"/>
    <xf numFmtId="37" fontId="41" fillId="0" borderId="1" xfId="0" applyNumberFormat="1" applyFont="1" applyBorder="1"/>
    <xf numFmtId="37" fontId="29" fillId="0" borderId="1" xfId="0" applyNumberFormat="1" applyFont="1" applyBorder="1" applyAlignment="1">
      <alignment horizontal="left"/>
    </xf>
    <xf numFmtId="165" fontId="28" fillId="0" borderId="21" xfId="0" applyNumberFormat="1" applyFont="1" applyBorder="1" applyAlignment="1">
      <alignment horizontal="left" indent="1"/>
    </xf>
    <xf numFmtId="165" fontId="28" fillId="0" borderId="23" xfId="0" applyNumberFormat="1" applyFont="1" applyBorder="1" applyAlignment="1">
      <alignment horizontal="right"/>
    </xf>
    <xf numFmtId="37" fontId="29" fillId="20" borderId="1" xfId="0" applyNumberFormat="1" applyFont="1" applyFill="1" applyBorder="1" applyAlignment="1">
      <alignment horizontal="left"/>
    </xf>
    <xf numFmtId="37" fontId="29" fillId="20" borderId="0" xfId="0" applyNumberFormat="1" applyFont="1" applyFill="1"/>
    <xf numFmtId="37" fontId="29" fillId="20" borderId="22" xfId="0" applyNumberFormat="1" applyFont="1" applyFill="1" applyBorder="1"/>
    <xf numFmtId="37" fontId="29" fillId="20" borderId="1" xfId="0" applyNumberFormat="1" applyFont="1" applyFill="1" applyBorder="1"/>
    <xf numFmtId="0" fontId="29" fillId="22" borderId="0" xfId="0" applyFont="1" applyFill="1" applyAlignment="1">
      <alignment horizontal="right"/>
    </xf>
    <xf numFmtId="0" fontId="29" fillId="22" borderId="1" xfId="0" applyFont="1" applyFill="1" applyBorder="1" applyAlignment="1">
      <alignment horizontal="right"/>
    </xf>
    <xf numFmtId="0" fontId="29" fillId="22" borderId="22" xfId="0" applyFont="1" applyFill="1" applyBorder="1" applyAlignment="1">
      <alignment horizontal="right"/>
    </xf>
    <xf numFmtId="0" fontId="29" fillId="22" borderId="1" xfId="0" applyFont="1" applyFill="1" applyBorder="1"/>
    <xf numFmtId="165" fontId="29" fillId="20" borderId="1" xfId="0" applyNumberFormat="1" applyFont="1" applyFill="1" applyBorder="1" applyAlignment="1">
      <alignment horizontal="left" indent="1"/>
    </xf>
    <xf numFmtId="165" fontId="29" fillId="20" borderId="0" xfId="0" applyNumberFormat="1" applyFont="1" applyFill="1"/>
    <xf numFmtId="165" fontId="29" fillId="20" borderId="0" xfId="0" applyNumberFormat="1" applyFont="1" applyFill="1" applyAlignment="1">
      <alignment horizontal="right"/>
    </xf>
    <xf numFmtId="165" fontId="29" fillId="20" borderId="1" xfId="0" applyNumberFormat="1" applyFont="1" applyFill="1" applyBorder="1" applyAlignment="1">
      <alignment horizontal="right"/>
    </xf>
    <xf numFmtId="165" fontId="28" fillId="20" borderId="19" xfId="0" applyNumberFormat="1" applyFont="1" applyFill="1" applyBorder="1"/>
    <xf numFmtId="165" fontId="29" fillId="20" borderId="22" xfId="0" applyNumberFormat="1" applyFont="1" applyFill="1" applyBorder="1"/>
    <xf numFmtId="165" fontId="29" fillId="20" borderId="1" xfId="0" applyNumberFormat="1" applyFont="1" applyFill="1" applyBorder="1"/>
    <xf numFmtId="37" fontId="28" fillId="0" borderId="1" xfId="0" quotePrefix="1" applyNumberFormat="1" applyFont="1" applyBorder="1" applyAlignment="1">
      <alignment horizontal="left"/>
    </xf>
    <xf numFmtId="165" fontId="28" fillId="0" borderId="1" xfId="0" applyNumberFormat="1" applyFont="1" applyBorder="1" applyAlignment="1">
      <alignment horizontal="left"/>
    </xf>
    <xf numFmtId="165" fontId="28" fillId="0" borderId="1" xfId="0" quotePrefix="1" applyNumberFormat="1" applyFont="1" applyBorder="1" applyAlignment="1">
      <alignment horizontal="left" indent="1"/>
    </xf>
    <xf numFmtId="165" fontId="48" fillId="0" borderId="22" xfId="0" applyNumberFormat="1" applyFont="1" applyBorder="1"/>
    <xf numFmtId="37" fontId="28" fillId="0" borderId="21" xfId="0" quotePrefix="1" applyNumberFormat="1" applyFont="1" applyBorder="1" applyAlignment="1">
      <alignment horizontal="left"/>
    </xf>
    <xf numFmtId="37" fontId="28" fillId="0" borderId="2" xfId="0" applyNumberFormat="1" applyFont="1" applyBorder="1" applyAlignment="1">
      <alignment horizontal="right"/>
    </xf>
    <xf numFmtId="37" fontId="28" fillId="0" borderId="20" xfId="0" applyNumberFormat="1" applyFont="1" applyBorder="1"/>
    <xf numFmtId="0" fontId="28" fillId="0" borderId="1" xfId="0" applyFont="1" applyBorder="1" applyAlignment="1">
      <alignment horizontal="left"/>
    </xf>
    <xf numFmtId="0" fontId="28" fillId="0" borderId="19" xfId="0" applyFont="1" applyBorder="1"/>
    <xf numFmtId="170" fontId="28" fillId="0" borderId="1" xfId="35" applyNumberFormat="1" applyFont="1" applyBorder="1"/>
    <xf numFmtId="170" fontId="28" fillId="0" borderId="22" xfId="35" applyNumberFormat="1" applyFont="1" applyBorder="1"/>
    <xf numFmtId="37" fontId="28" fillId="15" borderId="22" xfId="0" applyNumberFormat="1" applyFont="1" applyFill="1" applyBorder="1"/>
    <xf numFmtId="37" fontId="33" fillId="0" borderId="2" xfId="0" applyNumberFormat="1" applyFont="1" applyBorder="1" applyAlignment="1">
      <alignment horizontal="right"/>
    </xf>
    <xf numFmtId="37" fontId="47" fillId="0" borderId="22" xfId="0" applyNumberFormat="1" applyFont="1" applyBorder="1"/>
    <xf numFmtId="165" fontId="34" fillId="0" borderId="0" xfId="0" applyNumberFormat="1" applyFont="1" applyAlignment="1">
      <alignment horizontal="right"/>
    </xf>
    <xf numFmtId="165" fontId="28" fillId="20" borderId="1" xfId="0" applyNumberFormat="1" applyFont="1" applyFill="1" applyBorder="1" applyAlignment="1">
      <alignment horizontal="left" indent="2"/>
    </xf>
    <xf numFmtId="165" fontId="28" fillId="20" borderId="0" xfId="0" applyNumberFormat="1" applyFont="1" applyFill="1"/>
    <xf numFmtId="165" fontId="28" fillId="20" borderId="1" xfId="0" applyNumberFormat="1" applyFont="1" applyFill="1" applyBorder="1" applyAlignment="1">
      <alignment horizontal="right"/>
    </xf>
    <xf numFmtId="165" fontId="28" fillId="20" borderId="1" xfId="0" applyNumberFormat="1" applyFont="1" applyFill="1" applyBorder="1"/>
    <xf numFmtId="165" fontId="28" fillId="20" borderId="22" xfId="0" applyNumberFormat="1" applyFont="1" applyFill="1" applyBorder="1"/>
    <xf numFmtId="165" fontId="33" fillId="0" borderId="2" xfId="0" applyNumberFormat="1" applyFont="1" applyBorder="1" applyAlignment="1">
      <alignment horizontal="right"/>
    </xf>
    <xf numFmtId="0" fontId="34" fillId="0" borderId="0" xfId="0" applyFont="1" applyAlignment="1">
      <alignment horizontal="right"/>
    </xf>
    <xf numFmtId="9" fontId="33" fillId="0" borderId="0" xfId="0" applyNumberFormat="1" applyFont="1" applyAlignment="1">
      <alignment horizontal="right"/>
    </xf>
    <xf numFmtId="6" fontId="33" fillId="0" borderId="0" xfId="0" applyNumberFormat="1" applyFont="1" applyAlignment="1">
      <alignment horizontal="right"/>
    </xf>
    <xf numFmtId="6" fontId="28" fillId="0" borderId="0" xfId="0" applyNumberFormat="1" applyFont="1" applyAlignment="1">
      <alignment horizontal="right"/>
    </xf>
    <xf numFmtId="9" fontId="28" fillId="0" borderId="0" xfId="0" applyNumberFormat="1" applyFont="1" applyAlignment="1">
      <alignment horizontal="center"/>
    </xf>
    <xf numFmtId="164" fontId="29" fillId="0" borderId="0" xfId="35" applyNumberFormat="1" applyFont="1" applyAlignment="1">
      <alignment horizontal="center"/>
    </xf>
    <xf numFmtId="7" fontId="29" fillId="15" borderId="32" xfId="0" applyNumberFormat="1" applyFont="1" applyFill="1" applyBorder="1" applyAlignment="1">
      <alignment horizontal="center"/>
    </xf>
    <xf numFmtId="44" fontId="36" fillId="0" borderId="0" xfId="0" applyNumberFormat="1" applyFont="1"/>
    <xf numFmtId="37" fontId="28" fillId="0" borderId="1" xfId="0" applyNumberFormat="1" applyFont="1" applyBorder="1" applyAlignment="1">
      <alignment horizontal="left" indent="2"/>
    </xf>
    <xf numFmtId="37" fontId="28" fillId="0" borderId="1" xfId="0" applyNumberFormat="1" applyFont="1" applyBorder="1" applyAlignment="1">
      <alignment horizontal="left" indent="3"/>
    </xf>
    <xf numFmtId="165" fontId="28" fillId="0" borderId="1" xfId="0" applyNumberFormat="1" applyFont="1" applyBorder="1" applyAlignment="1">
      <alignment horizontal="left" indent="4"/>
    </xf>
    <xf numFmtId="37" fontId="28" fillId="0" borderId="1" xfId="0" applyNumberFormat="1" applyFont="1" applyBorder="1" applyAlignment="1">
      <alignment horizontal="left" indent="4"/>
    </xf>
    <xf numFmtId="0" fontId="32" fillId="0" borderId="1" xfId="0" applyFont="1" applyBorder="1" applyAlignment="1">
      <alignment horizontal="left" indent="1"/>
    </xf>
    <xf numFmtId="0" fontId="61" fillId="0" borderId="1" xfId="0" applyFont="1" applyBorder="1"/>
    <xf numFmtId="0" fontId="51" fillId="0" borderId="1" xfId="0" applyFont="1" applyBorder="1" applyAlignment="1">
      <alignment horizontal="left" indent="1"/>
    </xf>
    <xf numFmtId="41" fontId="51" fillId="0" borderId="1" xfId="0" applyNumberFormat="1" applyFont="1" applyBorder="1"/>
    <xf numFmtId="41" fontId="51" fillId="0" borderId="22" xfId="0" applyNumberFormat="1" applyFont="1" applyBorder="1"/>
    <xf numFmtId="0" fontId="61" fillId="0" borderId="1" xfId="0" applyFont="1" applyBorder="1" applyAlignment="1">
      <alignment horizontal="left" indent="1"/>
    </xf>
    <xf numFmtId="0" fontId="61" fillId="0" borderId="0" xfId="0" applyFont="1" applyAlignment="1">
      <alignment horizontal="left" indent="1"/>
    </xf>
    <xf numFmtId="0" fontId="61" fillId="0" borderId="22" xfId="0" applyFont="1" applyBorder="1"/>
    <xf numFmtId="0" fontId="29" fillId="0" borderId="1" xfId="0" applyFont="1" applyBorder="1" applyAlignment="1">
      <alignment horizontal="left"/>
    </xf>
    <xf numFmtId="165" fontId="28" fillId="20" borderId="1" xfId="0" applyNumberFormat="1" applyFont="1" applyFill="1" applyBorder="1" applyAlignment="1">
      <alignment horizontal="left" indent="1"/>
    </xf>
    <xf numFmtId="165" fontId="33" fillId="20" borderId="0" xfId="0" applyNumberFormat="1" applyFont="1" applyFill="1" applyAlignment="1">
      <alignment horizontal="right"/>
    </xf>
    <xf numFmtId="165" fontId="33" fillId="20" borderId="1" xfId="0" applyNumberFormat="1" applyFont="1" applyFill="1" applyBorder="1" applyAlignment="1">
      <alignment horizontal="right"/>
    </xf>
    <xf numFmtId="37" fontId="28" fillId="20" borderId="1" xfId="0" applyNumberFormat="1" applyFont="1" applyFill="1" applyBorder="1" applyAlignment="1">
      <alignment horizontal="left" indent="1"/>
    </xf>
    <xf numFmtId="37" fontId="28" fillId="20" borderId="0" xfId="0" applyNumberFormat="1" applyFont="1" applyFill="1"/>
    <xf numFmtId="37" fontId="28" fillId="20" borderId="1" xfId="0" applyNumberFormat="1" applyFont="1" applyFill="1" applyBorder="1"/>
    <xf numFmtId="37" fontId="28" fillId="20" borderId="22" xfId="0" applyNumberFormat="1" applyFont="1" applyFill="1" applyBorder="1"/>
    <xf numFmtId="0" fontId="29" fillId="18" borderId="0" xfId="0" applyFont="1" applyFill="1"/>
    <xf numFmtId="0" fontId="29" fillId="18" borderId="1" xfId="0" applyFont="1" applyFill="1" applyBorder="1"/>
    <xf numFmtId="0" fontId="29" fillId="15" borderId="1" xfId="0" applyFont="1" applyFill="1" applyBorder="1" applyAlignment="1">
      <alignment horizontal="left"/>
    </xf>
    <xf numFmtId="41" fontId="29" fillId="15" borderId="22" xfId="0" applyNumberFormat="1" applyFont="1" applyFill="1" applyBorder="1"/>
    <xf numFmtId="41" fontId="37" fillId="15" borderId="1" xfId="0" applyNumberFormat="1" applyFont="1" applyFill="1" applyBorder="1"/>
    <xf numFmtId="41" fontId="37" fillId="15" borderId="0" xfId="0" applyNumberFormat="1" applyFont="1" applyFill="1"/>
    <xf numFmtId="41" fontId="47" fillId="15" borderId="1" xfId="0" applyNumberFormat="1" applyFont="1" applyFill="1" applyBorder="1"/>
    <xf numFmtId="41" fontId="47" fillId="15" borderId="0" xfId="0" applyNumberFormat="1" applyFont="1" applyFill="1"/>
    <xf numFmtId="0" fontId="33" fillId="15" borderId="1" xfId="61" applyFont="1" applyFill="1" applyBorder="1" applyAlignment="1">
      <alignment horizontal="left" indent="1"/>
    </xf>
    <xf numFmtId="41" fontId="41" fillId="15" borderId="0" xfId="0" applyNumberFormat="1" applyFont="1" applyFill="1"/>
    <xf numFmtId="41" fontId="41" fillId="15" borderId="1" xfId="0" applyNumberFormat="1" applyFont="1" applyFill="1" applyBorder="1"/>
    <xf numFmtId="41" fontId="41" fillId="15" borderId="22" xfId="0" applyNumberFormat="1" applyFont="1" applyFill="1" applyBorder="1"/>
    <xf numFmtId="37" fontId="32" fillId="0" borderId="1" xfId="0" applyNumberFormat="1" applyFont="1" applyBorder="1" applyAlignment="1">
      <alignment horizontal="left" indent="1"/>
    </xf>
    <xf numFmtId="37" fontId="31" fillId="0" borderId="1" xfId="0" applyNumberFormat="1" applyFont="1" applyBorder="1" applyAlignment="1">
      <alignment horizontal="left" indent="1"/>
    </xf>
    <xf numFmtId="165" fontId="32" fillId="0" borderId="1" xfId="0" applyNumberFormat="1" applyFont="1" applyBorder="1" applyAlignment="1">
      <alignment horizontal="left" indent="1"/>
    </xf>
    <xf numFmtId="9" fontId="28" fillId="15" borderId="1" xfId="0" applyNumberFormat="1" applyFont="1" applyFill="1" applyBorder="1"/>
    <xf numFmtId="9" fontId="28" fillId="15" borderId="22" xfId="0" applyNumberFormat="1" applyFont="1" applyFill="1" applyBorder="1"/>
    <xf numFmtId="0" fontId="48" fillId="0" borderId="0" xfId="0" applyFont="1" applyAlignment="1">
      <alignment horizontal="right"/>
    </xf>
    <xf numFmtId="41" fontId="48" fillId="0" borderId="22" xfId="0" applyNumberFormat="1" applyFont="1" applyBorder="1" applyAlignment="1">
      <alignment horizontal="right"/>
    </xf>
    <xf numFmtId="9" fontId="48" fillId="0" borderId="0" xfId="0" applyNumberFormat="1" applyFont="1" applyAlignment="1">
      <alignment horizontal="right"/>
    </xf>
    <xf numFmtId="169" fontId="28" fillId="19" borderId="1" xfId="61" applyNumberFormat="1" applyFont="1" applyFill="1" applyBorder="1" applyAlignment="1"/>
    <xf numFmtId="169" fontId="29" fillId="19" borderId="1" xfId="61" applyNumberFormat="1" applyFont="1" applyFill="1" applyBorder="1" applyAlignment="1"/>
    <xf numFmtId="169" fontId="5" fillId="19" borderId="1" xfId="61" applyNumberFormat="1" applyFont="1" applyFill="1" applyBorder="1" applyAlignment="1"/>
    <xf numFmtId="165" fontId="28" fillId="19" borderId="1" xfId="61" applyNumberFormat="1" applyFont="1" applyFill="1" applyBorder="1" applyAlignment="1"/>
    <xf numFmtId="165" fontId="29" fillId="19" borderId="1" xfId="61" applyNumberFormat="1" applyFont="1" applyFill="1" applyBorder="1" applyAlignment="1"/>
    <xf numFmtId="165" fontId="39" fillId="19" borderId="21" xfId="61" applyNumberFormat="1" applyFont="1" applyFill="1" applyBorder="1" applyAlignment="1"/>
    <xf numFmtId="12" fontId="28" fillId="0" borderId="0" xfId="0" applyNumberFormat="1" applyFont="1"/>
    <xf numFmtId="12" fontId="28" fillId="0" borderId="1" xfId="0" applyNumberFormat="1" applyFont="1" applyBorder="1"/>
    <xf numFmtId="41" fontId="41" fillId="0" borderId="22" xfId="0" applyNumberFormat="1" applyFont="1" applyBorder="1"/>
    <xf numFmtId="165" fontId="34" fillId="0" borderId="1" xfId="0" applyNumberFormat="1" applyFont="1" applyBorder="1" applyAlignment="1">
      <alignment horizontal="left" indent="1"/>
    </xf>
    <xf numFmtId="0" fontId="34" fillId="0" borderId="1" xfId="0" applyFont="1" applyBorder="1" applyAlignment="1">
      <alignment horizontal="left" indent="1"/>
    </xf>
    <xf numFmtId="43" fontId="34" fillId="0" borderId="0" xfId="0" applyNumberFormat="1" applyFont="1"/>
    <xf numFmtId="164" fontId="29" fillId="0" borderId="0" xfId="35" applyNumberFormat="1" applyFont="1"/>
    <xf numFmtId="0" fontId="28" fillId="16" borderId="1" xfId="0" applyFont="1" applyFill="1" applyBorder="1"/>
    <xf numFmtId="0" fontId="28" fillId="16" borderId="0" xfId="0" applyFont="1" applyFill="1"/>
    <xf numFmtId="41" fontId="28" fillId="16" borderId="0" xfId="0" applyNumberFormat="1" applyFont="1" applyFill="1"/>
    <xf numFmtId="41" fontId="28" fillId="16" borderId="1" xfId="0" applyNumberFormat="1" applyFont="1" applyFill="1" applyBorder="1"/>
    <xf numFmtId="41" fontId="28" fillId="16" borderId="22" xfId="0" applyNumberFormat="1" applyFont="1" applyFill="1" applyBorder="1"/>
    <xf numFmtId="0" fontId="0" fillId="0" borderId="18" xfId="0" applyBorder="1"/>
    <xf numFmtId="41" fontId="28" fillId="0" borderId="18" xfId="0" applyNumberFormat="1" applyFont="1" applyBorder="1"/>
    <xf numFmtId="41" fontId="28" fillId="0" borderId="6" xfId="0" applyNumberFormat="1" applyFont="1" applyBorder="1"/>
    <xf numFmtId="41" fontId="28" fillId="0" borderId="25" xfId="0" applyNumberFormat="1" applyFont="1" applyBorder="1"/>
    <xf numFmtId="37" fontId="39" fillId="0" borderId="0" xfId="0" applyNumberFormat="1" applyFont="1"/>
    <xf numFmtId="37" fontId="28" fillId="0" borderId="1" xfId="0" applyNumberFormat="1" applyFont="1" applyBorder="1" applyAlignment="1">
      <alignment horizontal="left" indent="1"/>
    </xf>
    <xf numFmtId="37" fontId="29" fillId="0" borderId="1" xfId="0" applyNumberFormat="1" applyFont="1" applyBorder="1" applyAlignment="1">
      <alignment horizontal="left" indent="1"/>
    </xf>
    <xf numFmtId="165" fontId="52" fillId="0" borderId="0" xfId="0" applyNumberFormat="1" applyFont="1"/>
    <xf numFmtId="165" fontId="52" fillId="0" borderId="1" xfId="0" applyNumberFormat="1" applyFont="1" applyBorder="1"/>
    <xf numFmtId="165" fontId="52" fillId="0" borderId="22" xfId="0" applyNumberFormat="1" applyFont="1" applyBorder="1"/>
    <xf numFmtId="41" fontId="39" fillId="0" borderId="0" xfId="0" applyNumberFormat="1" applyFont="1"/>
    <xf numFmtId="37" fontId="39" fillId="0" borderId="1" xfId="0" applyNumberFormat="1" applyFont="1" applyBorder="1"/>
    <xf numFmtId="0" fontId="56" fillId="18" borderId="0" xfId="0" applyFont="1" applyFill="1"/>
    <xf numFmtId="41" fontId="40" fillId="18" borderId="1" xfId="0" applyNumberFormat="1" applyFont="1" applyFill="1" applyBorder="1"/>
    <xf numFmtId="41" fontId="56" fillId="18" borderId="0" xfId="0" applyNumberFormat="1" applyFont="1" applyFill="1"/>
    <xf numFmtId="0" fontId="56" fillId="18" borderId="1" xfId="0" applyFont="1" applyFill="1" applyBorder="1"/>
    <xf numFmtId="0" fontId="56" fillId="18" borderId="22" xfId="0" applyFont="1" applyFill="1" applyBorder="1"/>
    <xf numFmtId="37" fontId="34" fillId="0" borderId="1" xfId="0" applyNumberFormat="1" applyFont="1" applyBorder="1" applyAlignment="1">
      <alignment horizontal="left" indent="1"/>
    </xf>
    <xf numFmtId="9" fontId="41" fillId="0" borderId="0" xfId="0" applyNumberFormat="1" applyFont="1"/>
    <xf numFmtId="9" fontId="41" fillId="0" borderId="1" xfId="0" applyNumberFormat="1" applyFont="1" applyBorder="1"/>
    <xf numFmtId="37" fontId="28" fillId="17" borderId="0" xfId="0" applyNumberFormat="1" applyFont="1" applyFill="1" applyAlignment="1">
      <alignment horizontal="left" indent="1"/>
    </xf>
    <xf numFmtId="37" fontId="28" fillId="17" borderId="1" xfId="0" applyNumberFormat="1" applyFont="1" applyFill="1" applyBorder="1" applyAlignment="1">
      <alignment horizontal="left" indent="1"/>
    </xf>
    <xf numFmtId="165" fontId="28" fillId="17" borderId="1" xfId="0" applyNumberFormat="1" applyFont="1" applyFill="1" applyBorder="1" applyAlignment="1">
      <alignment horizontal="left" indent="1"/>
    </xf>
    <xf numFmtId="37" fontId="28" fillId="15" borderId="1" xfId="0" applyNumberFormat="1" applyFont="1" applyFill="1" applyBorder="1" applyAlignment="1">
      <alignment horizontal="left" indent="1"/>
    </xf>
    <xf numFmtId="37" fontId="33" fillId="15" borderId="1" xfId="0" applyNumberFormat="1" applyFont="1" applyFill="1" applyBorder="1"/>
    <xf numFmtId="37" fontId="29" fillId="15" borderId="1" xfId="0" applyNumberFormat="1" applyFont="1" applyFill="1" applyBorder="1"/>
    <xf numFmtId="37" fontId="29" fillId="17" borderId="1" xfId="0" applyNumberFormat="1" applyFont="1" applyFill="1" applyBorder="1"/>
    <xf numFmtId="165" fontId="29" fillId="17" borderId="0" xfId="0" applyNumberFormat="1" applyFont="1" applyFill="1"/>
    <xf numFmtId="165" fontId="29" fillId="17" borderId="1" xfId="0" applyNumberFormat="1" applyFont="1" applyFill="1" applyBorder="1"/>
    <xf numFmtId="42" fontId="29" fillId="0" borderId="1" xfId="0" applyNumberFormat="1" applyFont="1" applyBorder="1"/>
    <xf numFmtId="41" fontId="33" fillId="0" borderId="0" xfId="0" applyNumberFormat="1" applyFont="1" applyAlignment="1">
      <alignment horizontal="center"/>
    </xf>
    <xf numFmtId="41" fontId="33" fillId="0" borderId="1" xfId="0" applyNumberFormat="1" applyFont="1" applyBorder="1" applyAlignment="1">
      <alignment horizontal="center"/>
    </xf>
    <xf numFmtId="41" fontId="29" fillId="0" borderId="21" xfId="0" applyNumberFormat="1" applyFont="1" applyBorder="1"/>
    <xf numFmtId="37" fontId="29" fillId="0" borderId="2" xfId="0" applyNumberFormat="1" applyFont="1" applyBorder="1" applyAlignment="1">
      <alignment horizontal="center"/>
    </xf>
    <xf numFmtId="37" fontId="0" fillId="0" borderId="1" xfId="0" applyNumberFormat="1" applyBorder="1"/>
    <xf numFmtId="37" fontId="33" fillId="0" borderId="19" xfId="0" applyNumberFormat="1" applyFont="1" applyBorder="1"/>
    <xf numFmtId="0" fontId="4" fillId="0" borderId="0" xfId="0" applyFont="1" applyAlignment="1">
      <alignment horizontal="right"/>
    </xf>
    <xf numFmtId="0" fontId="2" fillId="19" borderId="1" xfId="0" applyFont="1" applyFill="1" applyBorder="1"/>
    <xf numFmtId="0" fontId="2" fillId="19" borderId="0" xfId="0" applyFont="1" applyFill="1"/>
    <xf numFmtId="0" fontId="27" fillId="18" borderId="0" xfId="0" applyFont="1" applyFill="1"/>
    <xf numFmtId="44" fontId="2" fillId="0" borderId="0" xfId="0" applyNumberFormat="1" applyFont="1"/>
    <xf numFmtId="0" fontId="27" fillId="18" borderId="1" xfId="0" applyFont="1" applyFill="1" applyBorder="1"/>
    <xf numFmtId="0" fontId="5" fillId="0" borderId="0" xfId="0" applyFont="1" applyAlignment="1">
      <alignment horizontal="right"/>
    </xf>
    <xf numFmtId="37" fontId="5" fillId="0" borderId="0" xfId="0" applyNumberFormat="1" applyFont="1"/>
    <xf numFmtId="0" fontId="76" fillId="0" borderId="0" xfId="0" applyFont="1"/>
    <xf numFmtId="0" fontId="4" fillId="0" borderId="0" xfId="0" applyFont="1" applyAlignment="1">
      <alignment horizontal="left"/>
    </xf>
    <xf numFmtId="0" fontId="76" fillId="0" borderId="0" xfId="0" applyFont="1" applyAlignment="1">
      <alignment horizontal="right"/>
    </xf>
    <xf numFmtId="37" fontId="76" fillId="0" borderId="0" xfId="0" applyNumberFormat="1" applyFont="1" applyAlignment="1">
      <alignment horizontal="center"/>
    </xf>
    <xf numFmtId="0" fontId="76" fillId="0" borderId="2" xfId="0" applyFont="1" applyBorder="1"/>
    <xf numFmtId="0" fontId="76" fillId="0" borderId="23" xfId="0" applyFont="1" applyBorder="1"/>
    <xf numFmtId="0" fontId="76" fillId="0" borderId="21" xfId="0" applyFont="1" applyBorder="1"/>
    <xf numFmtId="37" fontId="76" fillId="0" borderId="0" xfId="0" applyNumberFormat="1" applyFont="1" applyAlignment="1">
      <alignment horizontal="right"/>
    </xf>
    <xf numFmtId="0" fontId="76" fillId="0" borderId="32" xfId="0" applyFont="1" applyBorder="1"/>
    <xf numFmtId="37" fontId="76" fillId="0" borderId="24" xfId="0" applyNumberFormat="1" applyFont="1" applyBorder="1"/>
    <xf numFmtId="37" fontId="76" fillId="0" borderId="2" xfId="0" applyNumberFormat="1" applyFont="1" applyBorder="1"/>
    <xf numFmtId="37" fontId="76" fillId="0" borderId="0" xfId="0" applyNumberFormat="1" applyFont="1"/>
    <xf numFmtId="37" fontId="76" fillId="0" borderId="22" xfId="0" applyNumberFormat="1" applyFont="1" applyBorder="1"/>
    <xf numFmtId="7" fontId="76" fillId="0" borderId="0" xfId="0" applyNumberFormat="1" applyFont="1"/>
    <xf numFmtId="37" fontId="5" fillId="0" borderId="0" xfId="0" applyNumberFormat="1" applyFont="1" applyAlignment="1">
      <alignment horizontal="right"/>
    </xf>
    <xf numFmtId="37" fontId="4" fillId="0" borderId="0" xfId="0" applyNumberFormat="1" applyFont="1" applyAlignment="1">
      <alignment horizontal="right"/>
    </xf>
    <xf numFmtId="0" fontId="76" fillId="0" borderId="0" xfId="0" applyFont="1" applyAlignment="1">
      <alignment horizontal="center"/>
    </xf>
    <xf numFmtId="9" fontId="76" fillId="0" borderId="0" xfId="0" applyNumberFormat="1" applyFont="1"/>
    <xf numFmtId="10" fontId="76" fillId="0" borderId="0" xfId="0" applyNumberFormat="1" applyFont="1"/>
    <xf numFmtId="37" fontId="4" fillId="0" borderId="0" xfId="0" applyNumberFormat="1" applyFont="1"/>
    <xf numFmtId="165" fontId="76" fillId="0" borderId="0" xfId="0" applyNumberFormat="1" applyFont="1"/>
    <xf numFmtId="39" fontId="76" fillId="0" borderId="0" xfId="0" applyNumberFormat="1" applyFont="1"/>
    <xf numFmtId="37" fontId="108" fillId="0" borderId="0" xfId="0" applyNumberFormat="1" applyFont="1"/>
    <xf numFmtId="0" fontId="76" fillId="0" borderId="0" xfId="0" applyFont="1" applyBorder="1"/>
    <xf numFmtId="0" fontId="9" fillId="21" borderId="0" xfId="0" applyFont="1" applyFill="1" applyAlignment="1">
      <alignment horizontal="center"/>
    </xf>
    <xf numFmtId="37" fontId="9" fillId="28" borderId="0" xfId="0" applyNumberFormat="1" applyFont="1" applyFill="1"/>
    <xf numFmtId="37" fontId="10" fillId="0" borderId="0" xfId="0" applyNumberFormat="1" applyFont="1"/>
    <xf numFmtId="37" fontId="7" fillId="0" borderId="0" xfId="0" applyNumberFormat="1" applyFont="1"/>
    <xf numFmtId="7" fontId="76" fillId="0" borderId="0" xfId="0" applyNumberFormat="1" applyFont="1" applyAlignment="1">
      <alignment horizontal="right"/>
    </xf>
    <xf numFmtId="37" fontId="9" fillId="28" borderId="0" xfId="0" applyNumberFormat="1" applyFont="1" applyFill="1" applyAlignment="1">
      <alignment horizontal="right"/>
    </xf>
    <xf numFmtId="37" fontId="7" fillId="0" borderId="0" xfId="0" applyNumberFormat="1" applyFont="1" applyAlignment="1">
      <alignment horizontal="right"/>
    </xf>
    <xf numFmtId="165" fontId="76" fillId="0" borderId="0" xfId="0" applyNumberFormat="1" applyFont="1" applyAlignment="1">
      <alignment horizontal="right"/>
    </xf>
    <xf numFmtId="10" fontId="76" fillId="0" borderId="0" xfId="0" applyNumberFormat="1" applyFont="1" applyAlignment="1">
      <alignment horizontal="right"/>
    </xf>
    <xf numFmtId="165" fontId="7" fillId="29" borderId="0" xfId="0" applyNumberFormat="1" applyFont="1" applyFill="1" applyAlignment="1">
      <alignment horizontal="center"/>
    </xf>
    <xf numFmtId="165" fontId="7" fillId="0" borderId="0" xfId="0" applyNumberFormat="1" applyFont="1" applyAlignment="1">
      <alignment horizontal="center"/>
    </xf>
    <xf numFmtId="169" fontId="76" fillId="0" borderId="0" xfId="0" applyNumberFormat="1" applyFont="1"/>
    <xf numFmtId="169" fontId="76" fillId="0" borderId="0" xfId="0" applyNumberFormat="1" applyFont="1" applyAlignment="1">
      <alignment horizontal="right"/>
    </xf>
    <xf numFmtId="0" fontId="49" fillId="29" borderId="0" xfId="0" applyFont="1" applyFill="1" applyAlignment="1">
      <alignment horizontal="left"/>
    </xf>
    <xf numFmtId="0" fontId="76" fillId="29" borderId="0" xfId="0" applyFont="1" applyFill="1" applyAlignment="1">
      <alignment horizontal="right"/>
    </xf>
    <xf numFmtId="37" fontId="7" fillId="29" borderId="0" xfId="0" applyNumberFormat="1" applyFont="1" applyFill="1"/>
    <xf numFmtId="37" fontId="7" fillId="29" borderId="0" xfId="0" applyNumberFormat="1" applyFont="1" applyFill="1" applyAlignment="1">
      <alignment horizontal="right"/>
    </xf>
    <xf numFmtId="37" fontId="57" fillId="0" borderId="0" xfId="0" applyNumberFormat="1" applyFont="1" applyAlignment="1">
      <alignment horizontal="right"/>
    </xf>
    <xf numFmtId="37" fontId="58" fillId="0" borderId="0" xfId="0" applyNumberFormat="1" applyFont="1" applyAlignment="1">
      <alignment horizontal="right"/>
    </xf>
    <xf numFmtId="37" fontId="109" fillId="0" borderId="0" xfId="0" applyNumberFormat="1" applyFont="1" applyAlignment="1">
      <alignment horizontal="right"/>
    </xf>
    <xf numFmtId="37" fontId="22" fillId="0" borderId="0" xfId="0" applyNumberFormat="1" applyFont="1" applyAlignment="1">
      <alignment horizontal="right"/>
    </xf>
    <xf numFmtId="7" fontId="22" fillId="0" borderId="0" xfId="0" applyNumberFormat="1" applyFont="1" applyAlignment="1">
      <alignment horizontal="right"/>
    </xf>
    <xf numFmtId="37" fontId="49" fillId="0" borderId="0" xfId="0" applyNumberFormat="1" applyFont="1" applyAlignment="1">
      <alignment horizontal="right"/>
    </xf>
    <xf numFmtId="10" fontId="22" fillId="0" borderId="0" xfId="0" applyNumberFormat="1" applyFont="1" applyAlignment="1">
      <alignment horizontal="right"/>
    </xf>
    <xf numFmtId="37" fontId="4" fillId="0" borderId="5" xfId="0" applyNumberFormat="1" applyFont="1" applyBorder="1"/>
    <xf numFmtId="37" fontId="76" fillId="0" borderId="5" xfId="0" applyNumberFormat="1" applyFont="1" applyBorder="1"/>
    <xf numFmtId="37" fontId="76" fillId="0" borderId="5" xfId="0" applyNumberFormat="1" applyFont="1" applyBorder="1" applyAlignment="1">
      <alignment horizontal="right"/>
    </xf>
    <xf numFmtId="37" fontId="76" fillId="0" borderId="2" xfId="0" applyNumberFormat="1" applyFont="1" applyBorder="1" applyAlignment="1">
      <alignment horizontal="right"/>
    </xf>
    <xf numFmtId="0" fontId="9" fillId="21" borderId="1" xfId="0" applyFont="1" applyFill="1" applyBorder="1" applyAlignment="1">
      <alignment horizontal="center"/>
    </xf>
    <xf numFmtId="0" fontId="9" fillId="21" borderId="0" xfId="0" applyFont="1" applyFill="1" applyBorder="1" applyAlignment="1">
      <alignment horizontal="center"/>
    </xf>
    <xf numFmtId="0" fontId="9" fillId="21" borderId="22" xfId="0" applyFont="1" applyFill="1" applyBorder="1" applyAlignment="1">
      <alignment horizontal="center"/>
    </xf>
    <xf numFmtId="165" fontId="7" fillId="29" borderId="1" xfId="0" applyNumberFormat="1" applyFont="1" applyFill="1" applyBorder="1" applyAlignment="1">
      <alignment horizontal="center"/>
    </xf>
    <xf numFmtId="165" fontId="7" fillId="29" borderId="0" xfId="0" applyNumberFormat="1" applyFont="1" applyFill="1" applyBorder="1" applyAlignment="1">
      <alignment horizontal="center"/>
    </xf>
    <xf numFmtId="165" fontId="7" fillId="29" borderId="22" xfId="0" applyNumberFormat="1" applyFont="1" applyFill="1" applyBorder="1" applyAlignment="1">
      <alignment horizontal="center"/>
    </xf>
    <xf numFmtId="37" fontId="9" fillId="28" borderId="1" xfId="0" applyNumberFormat="1" applyFont="1" applyFill="1" applyBorder="1" applyAlignment="1">
      <alignment horizontal="right"/>
    </xf>
    <xf numFmtId="37" fontId="9" fillId="28" borderId="0" xfId="0" applyNumberFormat="1" applyFont="1" applyFill="1" applyBorder="1" applyAlignment="1">
      <alignment horizontal="right"/>
    </xf>
    <xf numFmtId="37" fontId="9" fillId="28" borderId="22" xfId="0" applyNumberFormat="1" applyFont="1" applyFill="1" applyBorder="1" applyAlignment="1">
      <alignment horizontal="right"/>
    </xf>
    <xf numFmtId="37" fontId="76" fillId="0" borderId="1" xfId="0" applyNumberFormat="1" applyFont="1" applyBorder="1" applyAlignment="1">
      <alignment horizontal="right"/>
    </xf>
    <xf numFmtId="37" fontId="76" fillId="0" borderId="0" xfId="0" applyNumberFormat="1" applyFont="1" applyBorder="1" applyAlignment="1">
      <alignment horizontal="right"/>
    </xf>
    <xf numFmtId="37" fontId="76" fillId="0" borderId="22" xfId="0" applyNumberFormat="1" applyFont="1" applyBorder="1" applyAlignment="1">
      <alignment horizontal="right"/>
    </xf>
    <xf numFmtId="37" fontId="4" fillId="0" borderId="1" xfId="0" applyNumberFormat="1" applyFont="1" applyBorder="1" applyAlignment="1">
      <alignment horizontal="right"/>
    </xf>
    <xf numFmtId="37" fontId="4" fillId="0" borderId="0" xfId="0" applyNumberFormat="1" applyFont="1" applyBorder="1" applyAlignment="1">
      <alignment horizontal="right"/>
    </xf>
    <xf numFmtId="37" fontId="4" fillId="0" borderId="22" xfId="0" applyNumberFormat="1" applyFont="1" applyBorder="1" applyAlignment="1">
      <alignment horizontal="right"/>
    </xf>
    <xf numFmtId="37" fontId="7" fillId="0" borderId="1" xfId="0" applyNumberFormat="1" applyFont="1" applyBorder="1" applyAlignment="1">
      <alignment horizontal="right"/>
    </xf>
    <xf numFmtId="37" fontId="7" fillId="0" borderId="0" xfId="0" applyNumberFormat="1" applyFont="1" applyBorder="1" applyAlignment="1">
      <alignment horizontal="right"/>
    </xf>
    <xf numFmtId="37" fontId="7" fillId="0" borderId="22" xfId="0" applyNumberFormat="1" applyFont="1" applyBorder="1" applyAlignment="1">
      <alignment horizontal="right"/>
    </xf>
    <xf numFmtId="37" fontId="7" fillId="29" borderId="1" xfId="0" applyNumberFormat="1" applyFont="1" applyFill="1" applyBorder="1" applyAlignment="1">
      <alignment horizontal="right"/>
    </xf>
    <xf numFmtId="37" fontId="7" fillId="29" borderId="0" xfId="0" applyNumberFormat="1" applyFont="1" applyFill="1" applyBorder="1" applyAlignment="1">
      <alignment horizontal="right"/>
    </xf>
    <xf numFmtId="37" fontId="7" fillId="29" borderId="22" xfId="0" applyNumberFormat="1" applyFont="1" applyFill="1" applyBorder="1" applyAlignment="1">
      <alignment horizontal="right"/>
    </xf>
    <xf numFmtId="37" fontId="5" fillId="0" borderId="1" xfId="0" applyNumberFormat="1" applyFont="1" applyBorder="1" applyAlignment="1">
      <alignment horizontal="right"/>
    </xf>
    <xf numFmtId="37" fontId="5" fillId="0" borderId="0" xfId="0" applyNumberFormat="1" applyFont="1" applyBorder="1" applyAlignment="1">
      <alignment horizontal="right"/>
    </xf>
    <xf numFmtId="37" fontId="5" fillId="0" borderId="22" xfId="0" applyNumberFormat="1" applyFont="1" applyBorder="1" applyAlignment="1">
      <alignment horizontal="right"/>
    </xf>
    <xf numFmtId="7" fontId="76" fillId="0" borderId="1" xfId="0" applyNumberFormat="1" applyFont="1" applyBorder="1" applyAlignment="1">
      <alignment horizontal="right"/>
    </xf>
    <xf numFmtId="7" fontId="76" fillId="0" borderId="0" xfId="0" applyNumberFormat="1" applyFont="1" applyBorder="1" applyAlignment="1">
      <alignment horizontal="right"/>
    </xf>
    <xf numFmtId="7" fontId="76" fillId="0" borderId="22" xfId="0" applyNumberFormat="1" applyFont="1" applyBorder="1" applyAlignment="1">
      <alignment horizontal="right"/>
    </xf>
    <xf numFmtId="10" fontId="76" fillId="0" borderId="1" xfId="0" applyNumberFormat="1" applyFont="1" applyBorder="1" applyAlignment="1">
      <alignment horizontal="right"/>
    </xf>
    <xf numFmtId="10" fontId="76" fillId="0" borderId="0" xfId="0" applyNumberFormat="1" applyFont="1" applyBorder="1" applyAlignment="1">
      <alignment horizontal="right"/>
    </xf>
    <xf numFmtId="10" fontId="76" fillId="0" borderId="22" xfId="0" applyNumberFormat="1" applyFont="1" applyBorder="1" applyAlignment="1">
      <alignment horizontal="right"/>
    </xf>
    <xf numFmtId="37" fontId="76" fillId="0" borderId="28" xfId="0" applyNumberFormat="1" applyFont="1" applyBorder="1" applyAlignment="1">
      <alignment horizontal="right"/>
    </xf>
    <xf numFmtId="37" fontId="76" fillId="0" borderId="27" xfId="0" applyNumberFormat="1" applyFont="1" applyBorder="1" applyAlignment="1">
      <alignment horizontal="right"/>
    </xf>
    <xf numFmtId="169" fontId="76" fillId="0" borderId="1" xfId="0" applyNumberFormat="1" applyFont="1" applyBorder="1" applyAlignment="1">
      <alignment horizontal="right"/>
    </xf>
    <xf numFmtId="169" fontId="76" fillId="0" borderId="0" xfId="0" applyNumberFormat="1" applyFont="1" applyBorder="1" applyAlignment="1">
      <alignment horizontal="right"/>
    </xf>
    <xf numFmtId="169" fontId="76" fillId="0" borderId="22" xfId="0" applyNumberFormat="1" applyFont="1" applyBorder="1" applyAlignment="1">
      <alignment horizontal="right"/>
    </xf>
    <xf numFmtId="165" fontId="76" fillId="0" borderId="1" xfId="0" applyNumberFormat="1" applyFont="1" applyBorder="1" applyAlignment="1">
      <alignment horizontal="right"/>
    </xf>
    <xf numFmtId="165" fontId="76" fillId="0" borderId="0" xfId="0" applyNumberFormat="1" applyFont="1" applyBorder="1" applyAlignment="1">
      <alignment horizontal="right"/>
    </xf>
    <xf numFmtId="165" fontId="76" fillId="0" borderId="22" xfId="0" applyNumberFormat="1" applyFont="1" applyBorder="1" applyAlignment="1">
      <alignment horizontal="right"/>
    </xf>
    <xf numFmtId="37" fontId="76" fillId="0" borderId="21" xfId="0" applyNumberFormat="1" applyFont="1" applyBorder="1" applyAlignment="1">
      <alignment horizontal="right"/>
    </xf>
    <xf numFmtId="37" fontId="76" fillId="0" borderId="23" xfId="0" applyNumberFormat="1" applyFont="1" applyBorder="1" applyAlignment="1">
      <alignment horizontal="right"/>
    </xf>
    <xf numFmtId="0" fontId="76" fillId="0" borderId="1" xfId="0" applyFont="1" applyBorder="1" applyAlignment="1">
      <alignment horizontal="right"/>
    </xf>
    <xf numFmtId="0" fontId="76" fillId="0" borderId="0" xfId="0" applyFont="1" applyBorder="1" applyAlignment="1">
      <alignment horizontal="right"/>
    </xf>
    <xf numFmtId="37" fontId="109" fillId="29" borderId="0" xfId="0" applyNumberFormat="1" applyFont="1" applyFill="1" applyAlignment="1">
      <alignment horizontal="right"/>
    </xf>
    <xf numFmtId="7" fontId="57" fillId="0" borderId="0" xfId="0" applyNumberFormat="1" applyFont="1" applyAlignment="1">
      <alignment horizontal="right"/>
    </xf>
    <xf numFmtId="10" fontId="57" fillId="0" borderId="0" xfId="0" applyNumberFormat="1" applyFont="1" applyAlignment="1">
      <alignment horizontal="right"/>
    </xf>
    <xf numFmtId="37" fontId="58" fillId="28" borderId="0" xfId="0" applyNumberFormat="1" applyFont="1" applyFill="1" applyAlignment="1">
      <alignment horizontal="right"/>
    </xf>
    <xf numFmtId="37" fontId="57" fillId="0" borderId="5" xfId="0" applyNumberFormat="1" applyFont="1" applyBorder="1" applyAlignment="1">
      <alignment horizontal="right"/>
    </xf>
    <xf numFmtId="37" fontId="110" fillId="0" borderId="1" xfId="0" applyNumberFormat="1" applyFont="1" applyBorder="1" applyAlignment="1">
      <alignment horizontal="right"/>
    </xf>
    <xf numFmtId="37" fontId="110" fillId="0" borderId="0" xfId="0" applyNumberFormat="1" applyFont="1" applyBorder="1" applyAlignment="1">
      <alignment horizontal="right"/>
    </xf>
    <xf numFmtId="37" fontId="57" fillId="0" borderId="0" xfId="0" applyNumberFormat="1" applyFont="1" applyBorder="1" applyAlignment="1">
      <alignment horizontal="right"/>
    </xf>
    <xf numFmtId="37" fontId="76" fillId="22" borderId="0" xfId="0" applyNumberFormat="1" applyFont="1" applyFill="1" applyBorder="1" applyAlignment="1">
      <alignment horizontal="right"/>
    </xf>
    <xf numFmtId="10" fontId="76" fillId="22" borderId="1" xfId="0" applyNumberFormat="1" applyFont="1" applyFill="1" applyBorder="1" applyAlignment="1">
      <alignment horizontal="right"/>
    </xf>
    <xf numFmtId="165" fontId="7" fillId="29" borderId="0" xfId="0" applyNumberFormat="1" applyFont="1" applyFill="1" applyAlignment="1">
      <alignment horizontal="left"/>
    </xf>
    <xf numFmtId="7" fontId="4" fillId="29" borderId="0" xfId="0" applyNumberFormat="1" applyFont="1" applyFill="1" applyAlignment="1">
      <alignment horizontal="left"/>
    </xf>
    <xf numFmtId="7" fontId="4" fillId="29" borderId="0" xfId="0" applyNumberFormat="1" applyFont="1" applyFill="1" applyAlignment="1">
      <alignment horizontal="center"/>
    </xf>
    <xf numFmtId="7" fontId="4" fillId="29" borderId="1" xfId="0" applyNumberFormat="1" applyFont="1" applyFill="1" applyBorder="1" applyAlignment="1">
      <alignment horizontal="center"/>
    </xf>
    <xf numFmtId="7" fontId="4" fillId="29" borderId="0" xfId="0" applyNumberFormat="1" applyFont="1" applyFill="1" applyBorder="1" applyAlignment="1">
      <alignment horizontal="center"/>
    </xf>
    <xf numFmtId="7" fontId="4" fillId="29" borderId="22" xfId="0" applyNumberFormat="1" applyFont="1" applyFill="1" applyBorder="1" applyAlignment="1">
      <alignment horizontal="center"/>
    </xf>
    <xf numFmtId="37" fontId="76" fillId="0" borderId="7" xfId="0" applyNumberFormat="1" applyFont="1" applyBorder="1"/>
    <xf numFmtId="49" fontId="76" fillId="0" borderId="24" xfId="0" applyNumberFormat="1" applyFont="1" applyBorder="1" applyAlignment="1">
      <alignment horizontal="right"/>
    </xf>
    <xf numFmtId="37" fontId="76" fillId="0" borderId="21" xfId="0" applyNumberFormat="1" applyFont="1" applyBorder="1"/>
    <xf numFmtId="37" fontId="49" fillId="29" borderId="2" xfId="0" applyNumberFormat="1" applyFont="1" applyFill="1" applyBorder="1"/>
    <xf numFmtId="9" fontId="49" fillId="29" borderId="32" xfId="0" applyNumberFormat="1" applyFont="1" applyFill="1" applyBorder="1"/>
    <xf numFmtId="165" fontId="49" fillId="29" borderId="23" xfId="0" applyNumberFormat="1" applyFont="1" applyFill="1" applyBorder="1"/>
    <xf numFmtId="37" fontId="21" fillId="0" borderId="0" xfId="0" applyNumberFormat="1" applyFont="1"/>
    <xf numFmtId="49" fontId="9" fillId="28" borderId="0" xfId="0" applyNumberFormat="1" applyFont="1" applyFill="1"/>
    <xf numFmtId="37" fontId="76" fillId="17" borderId="8" xfId="0" applyNumberFormat="1" applyFont="1" applyFill="1" applyBorder="1"/>
    <xf numFmtId="37" fontId="16" fillId="0" borderId="0" xfId="0" applyNumberFormat="1" applyFont="1"/>
    <xf numFmtId="37" fontId="76" fillId="29" borderId="0" xfId="0" applyNumberFormat="1" applyFont="1" applyFill="1"/>
    <xf numFmtId="37" fontId="76" fillId="0" borderId="18" xfId="0" applyNumberFormat="1" applyFont="1" applyBorder="1"/>
    <xf numFmtId="37" fontId="76" fillId="0" borderId="6" xfId="0" applyNumberFormat="1" applyFont="1" applyBorder="1"/>
    <xf numFmtId="37" fontId="76" fillId="0" borderId="25" xfId="0" applyNumberFormat="1" applyFont="1" applyBorder="1"/>
    <xf numFmtId="37" fontId="76" fillId="29" borderId="6" xfId="0" applyNumberFormat="1" applyFont="1" applyFill="1" applyBorder="1"/>
    <xf numFmtId="37" fontId="76" fillId="29" borderId="25" xfId="0" applyNumberFormat="1" applyFont="1" applyFill="1" applyBorder="1"/>
    <xf numFmtId="37" fontId="49" fillId="29" borderId="6" xfId="0" applyNumberFormat="1" applyFont="1" applyFill="1" applyBorder="1"/>
    <xf numFmtId="37" fontId="16" fillId="17" borderId="35" xfId="0" applyNumberFormat="1" applyFont="1" applyFill="1" applyBorder="1" applyAlignment="1">
      <alignment horizontal="center"/>
    </xf>
    <xf numFmtId="37" fontId="111" fillId="0" borderId="0" xfId="0" applyNumberFormat="1" applyFont="1"/>
    <xf numFmtId="37" fontId="76" fillId="0" borderId="37" xfId="0" applyNumberFormat="1" applyFont="1" applyBorder="1"/>
    <xf numFmtId="9" fontId="7" fillId="0" borderId="0" xfId="0" applyNumberFormat="1" applyFont="1"/>
    <xf numFmtId="37" fontId="76" fillId="0" borderId="0" xfId="0" applyNumberFormat="1" applyFont="1" applyBorder="1"/>
    <xf numFmtId="49" fontId="4" fillId="0" borderId="18" xfId="0" applyNumberFormat="1" applyFont="1" applyBorder="1" applyAlignment="1">
      <alignment horizontal="center"/>
    </xf>
    <xf numFmtId="49" fontId="4" fillId="0" borderId="6" xfId="0" applyNumberFormat="1" applyFont="1" applyBorder="1" applyAlignment="1">
      <alignment horizontal="center"/>
    </xf>
    <xf numFmtId="49" fontId="4" fillId="0" borderId="25" xfId="0" applyNumberFormat="1" applyFont="1" applyBorder="1" applyAlignment="1">
      <alignment horizontal="center"/>
    </xf>
    <xf numFmtId="0" fontId="13" fillId="0" borderId="0" xfId="0" applyFont="1"/>
    <xf numFmtId="0" fontId="76" fillId="29" borderId="0" xfId="0" applyFont="1" applyFill="1"/>
    <xf numFmtId="0" fontId="4" fillId="29" borderId="0" xfId="0" applyFont="1" applyFill="1"/>
    <xf numFmtId="0" fontId="7" fillId="29" borderId="0" xfId="0" applyFont="1" applyFill="1"/>
    <xf numFmtId="9" fontId="76" fillId="29" borderId="0" xfId="0" applyNumberFormat="1" applyFont="1" applyFill="1"/>
    <xf numFmtId="9" fontId="4" fillId="0" borderId="0" xfId="0" applyNumberFormat="1" applyFont="1"/>
    <xf numFmtId="49" fontId="9" fillId="28" borderId="0" xfId="0" applyNumberFormat="1" applyFont="1" applyFill="1" applyAlignment="1">
      <alignment horizontal="center"/>
    </xf>
    <xf numFmtId="49" fontId="49" fillId="29" borderId="0" xfId="0" applyNumberFormat="1" applyFont="1" applyFill="1" applyAlignment="1">
      <alignment horizontal="center"/>
    </xf>
    <xf numFmtId="0" fontId="112" fillId="0" borderId="0" xfId="0" applyFont="1"/>
    <xf numFmtId="0" fontId="29" fillId="30" borderId="0" xfId="0" applyFont="1" applyFill="1"/>
    <xf numFmtId="0" fontId="4" fillId="30" borderId="0" xfId="0" applyFont="1" applyFill="1"/>
    <xf numFmtId="0" fontId="76" fillId="30" borderId="0" xfId="0" applyFont="1" applyFill="1"/>
    <xf numFmtId="37" fontId="76" fillId="30" borderId="0" xfId="0" applyNumberFormat="1" applyFont="1" applyFill="1"/>
    <xf numFmtId="0" fontId="7" fillId="30" borderId="0" xfId="0" applyFont="1" applyFill="1"/>
    <xf numFmtId="0" fontId="67" fillId="30" borderId="0" xfId="0" applyFont="1" applyFill="1"/>
    <xf numFmtId="37" fontId="4" fillId="30" borderId="0" xfId="0" applyNumberFormat="1" applyFont="1" applyFill="1"/>
    <xf numFmtId="37" fontId="4" fillId="29" borderId="0" xfId="0" applyNumberFormat="1" applyFont="1" applyFill="1"/>
    <xf numFmtId="9" fontId="57" fillId="29" borderId="0" xfId="0" applyNumberFormat="1" applyFont="1" applyFill="1"/>
    <xf numFmtId="37" fontId="29" fillId="29" borderId="1" xfId="0" applyNumberFormat="1" applyFont="1" applyFill="1" applyBorder="1"/>
    <xf numFmtId="37" fontId="29" fillId="29" borderId="0" xfId="0" applyNumberFormat="1" applyFont="1" applyFill="1"/>
    <xf numFmtId="37" fontId="29" fillId="29" borderId="22" xfId="0" applyNumberFormat="1" applyFont="1" applyFill="1" applyBorder="1"/>
    <xf numFmtId="165" fontId="28" fillId="29" borderId="1" xfId="0" applyNumberFormat="1" applyFont="1" applyFill="1" applyBorder="1" applyAlignment="1">
      <alignment horizontal="left" indent="1"/>
    </xf>
    <xf numFmtId="165" fontId="28" fillId="29" borderId="0" xfId="0" applyNumberFormat="1" applyFont="1" applyFill="1"/>
    <xf numFmtId="165" fontId="28" fillId="29" borderId="1" xfId="0" applyNumberFormat="1" applyFont="1" applyFill="1" applyBorder="1"/>
    <xf numFmtId="165" fontId="28" fillId="29" borderId="22" xfId="0" applyNumberFormat="1" applyFont="1" applyFill="1" applyBorder="1"/>
    <xf numFmtId="165" fontId="28" fillId="29" borderId="0" xfId="0" applyNumberFormat="1" applyFont="1" applyFill="1" applyAlignment="1">
      <alignment horizontal="right"/>
    </xf>
    <xf numFmtId="165" fontId="28" fillId="29" borderId="1" xfId="0" applyNumberFormat="1" applyFont="1" applyFill="1" applyBorder="1" applyAlignment="1">
      <alignment horizontal="right"/>
    </xf>
    <xf numFmtId="37" fontId="28" fillId="29" borderId="1" xfId="0" applyNumberFormat="1" applyFont="1" applyFill="1" applyBorder="1" applyAlignment="1">
      <alignment horizontal="left" indent="2"/>
    </xf>
    <xf numFmtId="37" fontId="28" fillId="29" borderId="0" xfId="0" applyNumberFormat="1" applyFont="1" applyFill="1"/>
    <xf numFmtId="37" fontId="28" fillId="29" borderId="1" xfId="0" applyNumberFormat="1" applyFont="1" applyFill="1" applyBorder="1"/>
    <xf numFmtId="37" fontId="28" fillId="29" borderId="22" xfId="0" applyNumberFormat="1" applyFont="1" applyFill="1" applyBorder="1"/>
    <xf numFmtId="9" fontId="34" fillId="0" borderId="0" xfId="0" applyNumberFormat="1" applyFont="1" applyAlignment="1">
      <alignment horizontal="right"/>
    </xf>
    <xf numFmtId="37" fontId="41" fillId="29" borderId="1" xfId="0" applyNumberFormat="1" applyFont="1" applyFill="1" applyBorder="1"/>
    <xf numFmtId="37" fontId="48" fillId="29" borderId="1" xfId="0" applyNumberFormat="1" applyFont="1" applyFill="1" applyBorder="1"/>
    <xf numFmtId="165" fontId="33" fillId="29" borderId="1" xfId="0" applyNumberFormat="1" applyFont="1" applyFill="1" applyBorder="1" applyAlignment="1">
      <alignment horizontal="right"/>
    </xf>
    <xf numFmtId="165" fontId="2" fillId="19" borderId="0" xfId="0" applyNumberFormat="1" applyFont="1" applyFill="1"/>
    <xf numFmtId="165" fontId="33" fillId="29" borderId="22" xfId="0" applyNumberFormat="1" applyFont="1" applyFill="1" applyBorder="1"/>
    <xf numFmtId="41" fontId="29" fillId="29" borderId="22" xfId="0" applyNumberFormat="1" applyFont="1" applyFill="1" applyBorder="1"/>
    <xf numFmtId="41" fontId="29" fillId="29" borderId="1" xfId="0" applyNumberFormat="1" applyFont="1" applyFill="1" applyBorder="1"/>
    <xf numFmtId="10" fontId="33" fillId="29" borderId="22" xfId="0" applyNumberFormat="1" applyFont="1" applyFill="1" applyBorder="1"/>
    <xf numFmtId="0" fontId="4" fillId="0" borderId="7" xfId="0" applyFont="1" applyBorder="1"/>
    <xf numFmtId="0" fontId="76" fillId="0" borderId="38" xfId="0" applyFont="1" applyBorder="1"/>
    <xf numFmtId="0" fontId="76" fillId="0" borderId="39" xfId="0" applyFont="1" applyBorder="1"/>
    <xf numFmtId="37" fontId="76" fillId="0" borderId="40" xfId="0" applyNumberFormat="1" applyFont="1" applyBorder="1"/>
    <xf numFmtId="37" fontId="76" fillId="0" borderId="41" xfId="0" applyNumberFormat="1" applyFont="1" applyBorder="1"/>
    <xf numFmtId="37" fontId="76" fillId="0" borderId="42" xfId="0" applyNumberFormat="1" applyFont="1" applyBorder="1"/>
    <xf numFmtId="37" fontId="76" fillId="0" borderId="43" xfId="0" applyNumberFormat="1" applyFont="1" applyBorder="1"/>
    <xf numFmtId="37" fontId="76" fillId="0" borderId="44" xfId="0" applyNumberFormat="1" applyFont="1" applyBorder="1"/>
    <xf numFmtId="37" fontId="4" fillId="0" borderId="40" xfId="0" applyNumberFormat="1" applyFont="1" applyBorder="1"/>
    <xf numFmtId="37" fontId="4" fillId="0" borderId="0" xfId="0" applyNumberFormat="1" applyFont="1" applyBorder="1"/>
    <xf numFmtId="37" fontId="4" fillId="0" borderId="42" xfId="0" applyNumberFormat="1" applyFont="1" applyBorder="1"/>
    <xf numFmtId="37" fontId="4" fillId="0" borderId="43" xfId="0" applyNumberFormat="1" applyFont="1" applyBorder="1"/>
    <xf numFmtId="0" fontId="4" fillId="0" borderId="45" xfId="0" applyFont="1" applyBorder="1"/>
    <xf numFmtId="174" fontId="4" fillId="0" borderId="46" xfId="0" applyNumberFormat="1" applyFont="1" applyBorder="1"/>
    <xf numFmtId="174" fontId="4" fillId="0" borderId="47" xfId="0" applyNumberFormat="1" applyFont="1" applyBorder="1"/>
    <xf numFmtId="37" fontId="4" fillId="0" borderId="45" xfId="0" applyNumberFormat="1" applyFont="1" applyBorder="1"/>
    <xf numFmtId="37" fontId="4" fillId="0" borderId="47" xfId="0" applyNumberFormat="1" applyFont="1" applyBorder="1"/>
    <xf numFmtId="37" fontId="4" fillId="0" borderId="48" xfId="0" applyNumberFormat="1" applyFont="1" applyBorder="1"/>
    <xf numFmtId="37" fontId="4" fillId="0" borderId="14" xfId="0" applyNumberFormat="1" applyFont="1" applyBorder="1"/>
    <xf numFmtId="7" fontId="108" fillId="0" borderId="41" xfId="0" applyNumberFormat="1" applyFont="1" applyBorder="1"/>
    <xf numFmtId="39" fontId="108" fillId="0" borderId="41" xfId="0" applyNumberFormat="1" applyFont="1" applyBorder="1"/>
    <xf numFmtId="165" fontId="108" fillId="0" borderId="41" xfId="0" applyNumberFormat="1" applyFont="1" applyBorder="1"/>
    <xf numFmtId="165" fontId="76" fillId="0" borderId="41" xfId="0" applyNumberFormat="1" applyFont="1" applyBorder="1"/>
    <xf numFmtId="165" fontId="4" fillId="0" borderId="41" xfId="0" applyNumberFormat="1" applyFont="1" applyBorder="1"/>
    <xf numFmtId="39" fontId="108" fillId="0" borderId="0" xfId="0" applyNumberFormat="1" applyFont="1" applyBorder="1"/>
    <xf numFmtId="37" fontId="7" fillId="0" borderId="40" xfId="0" applyNumberFormat="1" applyFont="1" applyBorder="1"/>
    <xf numFmtId="9" fontId="7" fillId="0" borderId="0" xfId="0" applyNumberFormat="1" applyFont="1" applyBorder="1"/>
    <xf numFmtId="9" fontId="7" fillId="0" borderId="41" xfId="0" applyNumberFormat="1" applyFont="1" applyBorder="1"/>
    <xf numFmtId="175" fontId="76" fillId="0" borderId="41" xfId="0" applyNumberFormat="1" applyFont="1" applyBorder="1"/>
    <xf numFmtId="175" fontId="76" fillId="0" borderId="0" xfId="0" applyNumberFormat="1" applyFont="1" applyBorder="1"/>
    <xf numFmtId="175" fontId="4" fillId="0" borderId="0" xfId="0" applyNumberFormat="1" applyFont="1" applyBorder="1"/>
    <xf numFmtId="175" fontId="4" fillId="0" borderId="41" xfId="0" applyNumberFormat="1" applyFont="1" applyBorder="1"/>
    <xf numFmtId="175" fontId="4" fillId="0" borderId="44" xfId="0" applyNumberFormat="1" applyFont="1" applyBorder="1"/>
    <xf numFmtId="175" fontId="76" fillId="0" borderId="44" xfId="0" applyNumberFormat="1" applyFont="1" applyBorder="1"/>
    <xf numFmtId="9" fontId="76" fillId="0" borderId="44" xfId="0" applyNumberFormat="1" applyFont="1" applyBorder="1"/>
    <xf numFmtId="172" fontId="76" fillId="0" borderId="41" xfId="0" applyNumberFormat="1" applyFont="1" applyBorder="1"/>
    <xf numFmtId="165" fontId="76" fillId="0" borderId="44" xfId="0" applyNumberFormat="1" applyFont="1" applyBorder="1"/>
    <xf numFmtId="37" fontId="4" fillId="30" borderId="42" xfId="0" applyNumberFormat="1" applyFont="1" applyFill="1" applyBorder="1"/>
    <xf numFmtId="175" fontId="4" fillId="30" borderId="44" xfId="0" applyNumberFormat="1" applyFont="1" applyFill="1" applyBorder="1"/>
    <xf numFmtId="37" fontId="4" fillId="0" borderId="39" xfId="0" applyNumberFormat="1" applyFont="1" applyBorder="1" applyAlignment="1">
      <alignment horizontal="center"/>
    </xf>
    <xf numFmtId="37" fontId="4" fillId="0" borderId="49" xfId="0" applyNumberFormat="1" applyFont="1" applyBorder="1" applyAlignment="1">
      <alignment horizontal="center"/>
    </xf>
    <xf numFmtId="37" fontId="4" fillId="0" borderId="46" xfId="0" applyNumberFormat="1" applyFont="1" applyBorder="1" applyAlignment="1">
      <alignment horizontal="center"/>
    </xf>
    <xf numFmtId="37" fontId="4" fillId="0" borderId="47" xfId="0" applyNumberFormat="1" applyFont="1" applyBorder="1" applyAlignment="1">
      <alignment horizontal="center"/>
    </xf>
    <xf numFmtId="165" fontId="76" fillId="0" borderId="50" xfId="0" applyNumberFormat="1" applyFont="1" applyBorder="1"/>
    <xf numFmtId="165" fontId="76" fillId="0" borderId="51" xfId="0" applyNumberFormat="1" applyFont="1" applyBorder="1"/>
    <xf numFmtId="172" fontId="76" fillId="0" borderId="50" xfId="0" applyNumberFormat="1" applyFont="1" applyBorder="1"/>
    <xf numFmtId="172" fontId="76" fillId="0" borderId="51" xfId="0" applyNumberFormat="1" applyFont="1" applyBorder="1"/>
    <xf numFmtId="7" fontId="4" fillId="0" borderId="46" xfId="0" applyNumberFormat="1" applyFont="1" applyBorder="1" applyAlignment="1">
      <alignment horizontal="center"/>
    </xf>
    <xf numFmtId="7" fontId="4" fillId="0" borderId="47" xfId="0" applyNumberFormat="1" applyFont="1" applyBorder="1" applyAlignment="1">
      <alignment horizontal="center"/>
    </xf>
    <xf numFmtId="5" fontId="76" fillId="0" borderId="0" xfId="0" applyNumberFormat="1" applyFont="1" applyBorder="1" applyAlignment="1">
      <alignment horizontal="center"/>
    </xf>
    <xf numFmtId="5" fontId="76" fillId="0" borderId="41" xfId="0" applyNumberFormat="1" applyFont="1" applyBorder="1" applyAlignment="1">
      <alignment horizontal="center"/>
    </xf>
    <xf numFmtId="5" fontId="76" fillId="0" borderId="43" xfId="0" applyNumberFormat="1" applyFont="1" applyBorder="1" applyAlignment="1">
      <alignment horizontal="center"/>
    </xf>
    <xf numFmtId="5" fontId="76" fillId="0" borderId="44" xfId="0" applyNumberFormat="1" applyFont="1" applyBorder="1" applyAlignment="1">
      <alignment horizontal="center"/>
    </xf>
    <xf numFmtId="0" fontId="113" fillId="0" borderId="24" xfId="0" applyFont="1" applyBorder="1" applyAlignment="1">
      <alignment horizontal="center"/>
    </xf>
    <xf numFmtId="165" fontId="111" fillId="0" borderId="0" xfId="0" applyNumberFormat="1" applyFont="1"/>
    <xf numFmtId="10" fontId="111" fillId="0" borderId="0" xfId="0" applyNumberFormat="1" applyFont="1"/>
    <xf numFmtId="9" fontId="111" fillId="0" borderId="0" xfId="0" applyNumberFormat="1" applyFont="1"/>
    <xf numFmtId="37" fontId="115" fillId="0" borderId="0" xfId="0" applyNumberFormat="1" applyFont="1"/>
    <xf numFmtId="37" fontId="116" fillId="0" borderId="0" xfId="0" applyNumberFormat="1" applyFont="1"/>
    <xf numFmtId="37" fontId="80" fillId="29" borderId="0" xfId="0" applyNumberFormat="1" applyFont="1" applyFill="1"/>
    <xf numFmtId="7" fontId="29" fillId="15" borderId="0" xfId="0" applyNumberFormat="1" applyFont="1" applyFill="1" applyBorder="1" applyAlignment="1">
      <alignment horizontal="center"/>
    </xf>
    <xf numFmtId="165" fontId="28" fillId="15" borderId="0" xfId="0" applyNumberFormat="1" applyFont="1" applyFill="1" applyBorder="1" applyAlignment="1">
      <alignment horizontal="center"/>
    </xf>
    <xf numFmtId="0" fontId="30" fillId="18" borderId="0" xfId="0" applyFont="1" applyFill="1" applyBorder="1"/>
    <xf numFmtId="0" fontId="35" fillId="0" borderId="0" xfId="0" applyFont="1" applyBorder="1"/>
    <xf numFmtId="0" fontId="32" fillId="0" borderId="0" xfId="0" applyFont="1" applyBorder="1"/>
    <xf numFmtId="0" fontId="28" fillId="0" borderId="0" xfId="0" applyFont="1" applyBorder="1"/>
    <xf numFmtId="37" fontId="29" fillId="29" borderId="0" xfId="0" applyNumberFormat="1" applyFont="1" applyFill="1" applyBorder="1"/>
    <xf numFmtId="0" fontId="33" fillId="0" borderId="0" xfId="0" applyFont="1" applyBorder="1"/>
    <xf numFmtId="37" fontId="28" fillId="0" borderId="0" xfId="0" applyNumberFormat="1" applyFont="1" applyBorder="1"/>
    <xf numFmtId="165" fontId="28" fillId="0" borderId="0" xfId="0" applyNumberFormat="1" applyFont="1" applyBorder="1"/>
    <xf numFmtId="165" fontId="35" fillId="0" borderId="0" xfId="0" applyNumberFormat="1" applyFont="1" applyBorder="1"/>
    <xf numFmtId="41" fontId="28" fillId="0" borderId="0" xfId="0" applyNumberFormat="1" applyFont="1" applyBorder="1"/>
    <xf numFmtId="0" fontId="40" fillId="18" borderId="0" xfId="0" applyFont="1" applyFill="1" applyBorder="1"/>
    <xf numFmtId="169" fontId="28" fillId="0" borderId="0" xfId="0" applyNumberFormat="1" applyFont="1" applyBorder="1"/>
    <xf numFmtId="37" fontId="33" fillId="0" borderId="0" xfId="0" applyNumberFormat="1" applyFont="1" applyBorder="1"/>
    <xf numFmtId="37" fontId="29" fillId="0" borderId="0" xfId="0" applyNumberFormat="1" applyFont="1" applyBorder="1"/>
    <xf numFmtId="41" fontId="36" fillId="0" borderId="0" xfId="0" applyNumberFormat="1" applyFont="1" applyBorder="1"/>
    <xf numFmtId="41" fontId="32" fillId="0" borderId="0" xfId="0" applyNumberFormat="1" applyFont="1" applyBorder="1"/>
    <xf numFmtId="43" fontId="32" fillId="0" borderId="0" xfId="0" applyNumberFormat="1" applyFont="1" applyBorder="1"/>
    <xf numFmtId="37" fontId="28" fillId="29" borderId="0" xfId="0" applyNumberFormat="1" applyFont="1" applyFill="1" applyBorder="1"/>
    <xf numFmtId="165" fontId="32" fillId="0" borderId="0" xfId="0" applyNumberFormat="1" applyFont="1" applyBorder="1"/>
    <xf numFmtId="9" fontId="33" fillId="0" borderId="0" xfId="0" applyNumberFormat="1" applyFont="1" applyBorder="1"/>
    <xf numFmtId="7" fontId="28" fillId="0" borderId="0" xfId="0" applyNumberFormat="1" applyFont="1" applyBorder="1"/>
    <xf numFmtId="165" fontId="33" fillId="0" borderId="0" xfId="0" applyNumberFormat="1" applyFont="1" applyBorder="1"/>
    <xf numFmtId="44" fontId="33" fillId="0" borderId="0" xfId="0" applyNumberFormat="1" applyFont="1" applyBorder="1"/>
    <xf numFmtId="6" fontId="29" fillId="0" borderId="0" xfId="0" applyNumberFormat="1" applyFont="1" applyBorder="1"/>
    <xf numFmtId="9" fontId="28" fillId="0" borderId="0" xfId="0" applyNumberFormat="1" applyFont="1" applyBorder="1"/>
    <xf numFmtId="3" fontId="29" fillId="0" borderId="0" xfId="0" applyNumberFormat="1" applyFont="1" applyBorder="1"/>
    <xf numFmtId="0" fontId="2" fillId="0" borderId="0" xfId="0" applyFont="1" applyBorder="1"/>
    <xf numFmtId="165" fontId="2" fillId="0" borderId="0" xfId="0" applyNumberFormat="1" applyFont="1" applyBorder="1"/>
    <xf numFmtId="0" fontId="29" fillId="15" borderId="0" xfId="0" applyFont="1" applyFill="1" applyBorder="1" applyAlignment="1">
      <alignment horizontal="right"/>
    </xf>
    <xf numFmtId="0" fontId="2" fillId="20" borderId="0" xfId="0" applyFont="1" applyFill="1" applyBorder="1"/>
    <xf numFmtId="0" fontId="29" fillId="0" borderId="0" xfId="0" applyFont="1" applyBorder="1"/>
    <xf numFmtId="165" fontId="28" fillId="0" borderId="0" xfId="0" applyNumberFormat="1" applyFont="1" applyBorder="1" applyAlignment="1">
      <alignment horizontal="right"/>
    </xf>
    <xf numFmtId="41" fontId="2" fillId="0" borderId="0" xfId="0" applyNumberFormat="1" applyFont="1" applyBorder="1"/>
    <xf numFmtId="39" fontId="28" fillId="0" borderId="0" xfId="0" applyNumberFormat="1" applyFont="1" applyBorder="1"/>
    <xf numFmtId="1" fontId="2" fillId="0" borderId="0" xfId="0" applyNumberFormat="1" applyFont="1" applyBorder="1"/>
    <xf numFmtId="0" fontId="40" fillId="21" borderId="0" xfId="0" applyFont="1" applyFill="1" applyBorder="1" applyAlignment="1">
      <alignment horizontal="center"/>
    </xf>
    <xf numFmtId="0" fontId="0" fillId="0" borderId="0" xfId="0" applyBorder="1"/>
    <xf numFmtId="165" fontId="117" fillId="0" borderId="41" xfId="0" applyNumberFormat="1" applyFont="1" applyBorder="1"/>
    <xf numFmtId="37" fontId="4" fillId="19" borderId="42" xfId="0" applyNumberFormat="1" applyFont="1" applyFill="1" applyBorder="1"/>
    <xf numFmtId="175" fontId="4" fillId="19" borderId="44" xfId="0" applyNumberFormat="1" applyFont="1" applyFill="1" applyBorder="1"/>
    <xf numFmtId="165" fontId="76" fillId="0" borderId="0" xfId="56" applyNumberFormat="1" applyFont="1"/>
    <xf numFmtId="0" fontId="29" fillId="19" borderId="1" xfId="0" applyFont="1" applyFill="1" applyBorder="1"/>
    <xf numFmtId="41" fontId="29" fillId="19" borderId="1" xfId="0" applyNumberFormat="1" applyFont="1" applyFill="1" applyBorder="1"/>
    <xf numFmtId="0" fontId="33" fillId="19" borderId="1" xfId="0" applyFont="1" applyFill="1" applyBorder="1"/>
    <xf numFmtId="41" fontId="34" fillId="0" borderId="0" xfId="0" applyNumberFormat="1" applyFont="1" applyBorder="1"/>
    <xf numFmtId="37" fontId="34" fillId="0" borderId="0" xfId="0" applyNumberFormat="1" applyFont="1" applyBorder="1"/>
    <xf numFmtId="9" fontId="34" fillId="0" borderId="0" xfId="0" applyNumberFormat="1" applyFont="1" applyBorder="1"/>
    <xf numFmtId="10" fontId="28" fillId="0" borderId="0" xfId="0" applyNumberFormat="1" applyFont="1" applyBorder="1"/>
    <xf numFmtId="0" fontId="29" fillId="0" borderId="0" xfId="0" applyFont="1" applyBorder="1" applyAlignment="1">
      <alignment horizontal="center"/>
    </xf>
    <xf numFmtId="37" fontId="30" fillId="18" borderId="0" xfId="0" applyNumberFormat="1" applyFont="1" applyFill="1" applyBorder="1"/>
    <xf numFmtId="0" fontId="29" fillId="15" borderId="0" xfId="0" applyFont="1" applyFill="1" applyBorder="1"/>
    <xf numFmtId="0" fontId="40" fillId="18" borderId="0" xfId="0" applyFont="1" applyFill="1" applyBorder="1" applyAlignment="1">
      <alignment horizontal="center"/>
    </xf>
    <xf numFmtId="7" fontId="29" fillId="15" borderId="0" xfId="0" applyNumberFormat="1" applyFont="1" applyFill="1" applyBorder="1" applyAlignment="1">
      <alignment horizontal="right"/>
    </xf>
    <xf numFmtId="165" fontId="28" fillId="15" borderId="0" xfId="0" applyNumberFormat="1" applyFont="1" applyFill="1" applyBorder="1" applyAlignment="1">
      <alignment horizontal="right"/>
    </xf>
    <xf numFmtId="0" fontId="30" fillId="18" borderId="0" xfId="0" applyFont="1" applyFill="1" applyBorder="1" applyAlignment="1">
      <alignment horizontal="right"/>
    </xf>
    <xf numFmtId="37" fontId="29" fillId="0" borderId="0" xfId="0" applyNumberFormat="1" applyFont="1" applyBorder="1" applyAlignment="1">
      <alignment horizontal="right"/>
    </xf>
    <xf numFmtId="37" fontId="28" fillId="0" borderId="0" xfId="0" applyNumberFormat="1" applyFont="1" applyBorder="1" applyAlignment="1">
      <alignment horizontal="right"/>
    </xf>
    <xf numFmtId="165" fontId="33" fillId="0" borderId="0" xfId="0" applyNumberFormat="1" applyFont="1" applyBorder="1" applyAlignment="1">
      <alignment horizontal="right"/>
    </xf>
    <xf numFmtId="0" fontId="29" fillId="22" borderId="0" xfId="0" applyFont="1" applyFill="1" applyBorder="1" applyAlignment="1">
      <alignment horizontal="right"/>
    </xf>
    <xf numFmtId="165" fontId="29" fillId="20" borderId="0" xfId="0" applyNumberFormat="1" applyFont="1" applyFill="1" applyBorder="1" applyAlignment="1">
      <alignment horizontal="right"/>
    </xf>
    <xf numFmtId="165" fontId="48" fillId="0" borderId="0" xfId="0" applyNumberFormat="1" applyFont="1" applyBorder="1" applyAlignment="1">
      <alignment horizontal="right"/>
    </xf>
    <xf numFmtId="0" fontId="28" fillId="0" borderId="0" xfId="0" applyFont="1" applyBorder="1" applyAlignment="1">
      <alignment horizontal="right"/>
    </xf>
    <xf numFmtId="165" fontId="34" fillId="0" borderId="0" xfId="0" applyNumberFormat="1" applyFont="1" applyBorder="1" applyAlignment="1">
      <alignment horizontal="right"/>
    </xf>
    <xf numFmtId="165" fontId="28" fillId="20" borderId="0" xfId="0" applyNumberFormat="1" applyFont="1" applyFill="1" applyBorder="1" applyAlignment="1">
      <alignment horizontal="right"/>
    </xf>
    <xf numFmtId="165" fontId="53" fillId="0" borderId="0" xfId="0" applyNumberFormat="1" applyFont="1" applyBorder="1" applyAlignment="1">
      <alignment horizontal="right"/>
    </xf>
    <xf numFmtId="0" fontId="33" fillId="0" borderId="0" xfId="0" applyFont="1" applyBorder="1" applyAlignment="1">
      <alignment horizontal="right"/>
    </xf>
    <xf numFmtId="0" fontId="34" fillId="0" borderId="0" xfId="0" applyFont="1" applyBorder="1" applyAlignment="1">
      <alignment horizontal="right"/>
    </xf>
    <xf numFmtId="41" fontId="28" fillId="0" borderId="0" xfId="0" applyNumberFormat="1" applyFont="1" applyBorder="1" applyAlignment="1">
      <alignment horizontal="right"/>
    </xf>
    <xf numFmtId="9" fontId="33" fillId="0" borderId="0" xfId="0" applyNumberFormat="1" applyFont="1" applyBorder="1" applyAlignment="1">
      <alignment horizontal="right"/>
    </xf>
    <xf numFmtId="9" fontId="34" fillId="0" borderId="0" xfId="0" applyNumberFormat="1" applyFont="1" applyBorder="1" applyAlignment="1">
      <alignment horizontal="right"/>
    </xf>
    <xf numFmtId="6" fontId="33" fillId="0" borderId="0" xfId="0" applyNumberFormat="1" applyFont="1" applyBorder="1" applyAlignment="1">
      <alignment horizontal="right"/>
    </xf>
    <xf numFmtId="6" fontId="28" fillId="0" borderId="0" xfId="0" applyNumberFormat="1" applyFont="1" applyBorder="1" applyAlignment="1">
      <alignment horizontal="right"/>
    </xf>
    <xf numFmtId="7" fontId="29" fillId="0" borderId="0" xfId="0" applyNumberFormat="1" applyFont="1" applyBorder="1" applyAlignment="1">
      <alignment horizontal="center"/>
    </xf>
    <xf numFmtId="44" fontId="36" fillId="0" borderId="0" xfId="0" applyNumberFormat="1" applyFont="1" applyBorder="1"/>
    <xf numFmtId="165" fontId="28" fillId="29" borderId="0" xfId="0" applyNumberFormat="1" applyFont="1" applyFill="1" applyBorder="1"/>
    <xf numFmtId="41" fontId="29" fillId="0" borderId="0" xfId="0" applyNumberFormat="1" applyFont="1" applyBorder="1"/>
    <xf numFmtId="41" fontId="61" fillId="0" borderId="0" xfId="0" applyNumberFormat="1" applyFont="1" applyBorder="1"/>
    <xf numFmtId="0" fontId="51" fillId="0" borderId="0" xfId="0" applyFont="1" applyBorder="1"/>
    <xf numFmtId="41" fontId="51" fillId="0" borderId="0" xfId="0" applyNumberFormat="1" applyFont="1" applyBorder="1"/>
    <xf numFmtId="0" fontId="61" fillId="0" borderId="0" xfId="0" applyFont="1" applyBorder="1"/>
    <xf numFmtId="37" fontId="29" fillId="20" borderId="0" xfId="0" applyNumberFormat="1" applyFont="1" applyFill="1" applyBorder="1"/>
    <xf numFmtId="165" fontId="28" fillId="20" borderId="0" xfId="0" applyNumberFormat="1" applyFont="1" applyFill="1" applyBorder="1"/>
    <xf numFmtId="37" fontId="28" fillId="20" borderId="0" xfId="0" applyNumberFormat="1" applyFont="1" applyFill="1" applyBorder="1"/>
    <xf numFmtId="165" fontId="29" fillId="20" borderId="0" xfId="0" applyNumberFormat="1" applyFont="1" applyFill="1" applyBorder="1"/>
    <xf numFmtId="0" fontId="29" fillId="18" borderId="0" xfId="0" applyFont="1" applyFill="1" applyBorder="1"/>
    <xf numFmtId="41" fontId="29" fillId="15" borderId="0" xfId="0" applyNumberFormat="1" applyFont="1" applyFill="1" applyBorder="1"/>
    <xf numFmtId="37" fontId="32" fillId="0" borderId="0" xfId="0" applyNumberFormat="1" applyFont="1" applyBorder="1"/>
    <xf numFmtId="37" fontId="31" fillId="0" borderId="0" xfId="0" applyNumberFormat="1" applyFont="1" applyBorder="1"/>
    <xf numFmtId="37" fontId="28" fillId="15" borderId="0" xfId="0" applyNumberFormat="1" applyFont="1" applyFill="1" applyBorder="1"/>
    <xf numFmtId="9" fontId="28" fillId="15" borderId="0" xfId="0" applyNumberFormat="1" applyFont="1" applyFill="1" applyBorder="1"/>
    <xf numFmtId="169" fontId="0" fillId="0" borderId="0" xfId="0" applyNumberFormat="1" applyBorder="1"/>
    <xf numFmtId="169" fontId="29" fillId="0" borderId="0" xfId="0" applyNumberFormat="1" applyFont="1" applyBorder="1"/>
    <xf numFmtId="165" fontId="34" fillId="0" borderId="0" xfId="0" applyNumberFormat="1" applyFont="1" applyBorder="1"/>
    <xf numFmtId="41" fontId="33" fillId="0" borderId="0" xfId="0" applyNumberFormat="1" applyFont="1" applyBorder="1"/>
    <xf numFmtId="0" fontId="34" fillId="0" borderId="0" xfId="0" applyFont="1" applyBorder="1"/>
    <xf numFmtId="41" fontId="28" fillId="16" borderId="0" xfId="0" applyNumberFormat="1" applyFont="1" applyFill="1" applyBorder="1"/>
    <xf numFmtId="41" fontId="29" fillId="0" borderId="0" xfId="0" applyNumberFormat="1" applyFont="1" applyBorder="1" applyAlignment="1">
      <alignment horizontal="center"/>
    </xf>
    <xf numFmtId="37" fontId="41" fillId="0" borderId="0" xfId="0" applyNumberFormat="1" applyFont="1" applyBorder="1"/>
    <xf numFmtId="41" fontId="40" fillId="18" borderId="0" xfId="0" applyNumberFormat="1" applyFont="1" applyFill="1" applyBorder="1"/>
    <xf numFmtId="37" fontId="28" fillId="17" borderId="0" xfId="0" applyNumberFormat="1" applyFont="1" applyFill="1" applyBorder="1"/>
    <xf numFmtId="165" fontId="28" fillId="17" borderId="0" xfId="0" applyNumberFormat="1" applyFont="1" applyFill="1" applyBorder="1"/>
    <xf numFmtId="0" fontId="37" fillId="0" borderId="0" xfId="0" applyFont="1" applyBorder="1"/>
    <xf numFmtId="165" fontId="33" fillId="29" borderId="0" xfId="0" applyNumberFormat="1" applyFont="1" applyFill="1" applyBorder="1"/>
    <xf numFmtId="41" fontId="28" fillId="0" borderId="0" xfId="0" applyNumberFormat="1" applyFont="1" applyBorder="1" applyAlignment="1">
      <alignment horizontal="center"/>
    </xf>
    <xf numFmtId="165" fontId="76" fillId="29" borderId="0" xfId="0" applyNumberFormat="1" applyFont="1" applyFill="1"/>
    <xf numFmtId="37" fontId="4" fillId="0" borderId="0" xfId="0" applyNumberFormat="1" applyFont="1" applyAlignment="1">
      <alignment horizontal="left" indent="1"/>
    </xf>
    <xf numFmtId="37" fontId="111" fillId="29" borderId="0" xfId="0" applyNumberFormat="1" applyFont="1" applyFill="1"/>
    <xf numFmtId="37" fontId="117" fillId="0" borderId="0" xfId="0" applyNumberFormat="1" applyFont="1"/>
    <xf numFmtId="165" fontId="115" fillId="0" borderId="0" xfId="0" applyNumberFormat="1" applyFont="1"/>
    <xf numFmtId="7" fontId="4" fillId="29" borderId="0" xfId="0" applyNumberFormat="1" applyFont="1" applyFill="1"/>
    <xf numFmtId="37" fontId="118" fillId="28" borderId="0" xfId="0" applyNumberFormat="1" applyFont="1" applyFill="1"/>
    <xf numFmtId="165" fontId="5" fillId="0" borderId="0" xfId="0" applyNumberFormat="1" applyFont="1" applyAlignment="1">
      <alignment horizontal="center"/>
    </xf>
    <xf numFmtId="49" fontId="9" fillId="21" borderId="0" xfId="0" applyNumberFormat="1" applyFont="1" applyFill="1" applyAlignment="1">
      <alignment horizontal="center"/>
    </xf>
    <xf numFmtId="49" fontId="4" fillId="0" borderId="0" xfId="0" applyNumberFormat="1" applyFont="1"/>
    <xf numFmtId="165" fontId="111" fillId="29" borderId="0" xfId="0" applyNumberFormat="1" applyFont="1" applyFill="1"/>
    <xf numFmtId="37" fontId="119" fillId="28" borderId="0" xfId="0" applyNumberFormat="1" applyFont="1" applyFill="1"/>
    <xf numFmtId="37" fontId="119" fillId="0" borderId="0" xfId="0" applyNumberFormat="1" applyFont="1"/>
    <xf numFmtId="7" fontId="117" fillId="29" borderId="0" xfId="0" applyNumberFormat="1" applyFont="1" applyFill="1"/>
    <xf numFmtId="7" fontId="117" fillId="0" borderId="0" xfId="0" applyNumberFormat="1" applyFont="1"/>
    <xf numFmtId="165" fontId="9" fillId="21" borderId="34" xfId="0" applyNumberFormat="1" applyFont="1" applyFill="1" applyBorder="1" applyAlignment="1">
      <alignment horizontal="center" wrapText="1"/>
    </xf>
    <xf numFmtId="165" fontId="4" fillId="29" borderId="19" xfId="0" applyNumberFormat="1" applyFont="1" applyFill="1" applyBorder="1" applyAlignment="1">
      <alignment horizontal="center"/>
    </xf>
    <xf numFmtId="165" fontId="5" fillId="29" borderId="19" xfId="0" applyNumberFormat="1" applyFont="1" applyFill="1" applyBorder="1" applyAlignment="1">
      <alignment horizontal="center"/>
    </xf>
    <xf numFmtId="165" fontId="8" fillId="28" borderId="19" xfId="0" applyNumberFormat="1" applyFont="1" applyFill="1" applyBorder="1" applyAlignment="1">
      <alignment horizontal="center"/>
    </xf>
    <xf numFmtId="165" fontId="5" fillId="0" borderId="19" xfId="0" applyNumberFormat="1" applyFont="1" applyBorder="1" applyAlignment="1">
      <alignment horizontal="center"/>
    </xf>
    <xf numFmtId="165" fontId="5" fillId="0" borderId="20" xfId="0" applyNumberFormat="1" applyFont="1" applyBorder="1" applyAlignment="1">
      <alignment horizontal="center"/>
    </xf>
    <xf numFmtId="165" fontId="111" fillId="0" borderId="0" xfId="0" applyNumberFormat="1" applyFont="1" applyAlignment="1">
      <alignment horizontal="right"/>
    </xf>
    <xf numFmtId="37" fontId="117" fillId="0" borderId="0" xfId="0" applyNumberFormat="1" applyFont="1" applyAlignment="1">
      <alignment horizontal="right"/>
    </xf>
    <xf numFmtId="37" fontId="4" fillId="0" borderId="18" xfId="0" applyNumberFormat="1" applyFont="1" applyBorder="1"/>
    <xf numFmtId="37" fontId="4" fillId="0" borderId="6" xfId="0" applyNumberFormat="1" applyFont="1" applyBorder="1"/>
    <xf numFmtId="165" fontId="5" fillId="0" borderId="6" xfId="0" applyNumberFormat="1" applyFont="1" applyBorder="1" applyAlignment="1">
      <alignment horizontal="center"/>
    </xf>
    <xf numFmtId="37" fontId="4" fillId="0" borderId="25" xfId="0" applyNumberFormat="1" applyFont="1" applyBorder="1"/>
    <xf numFmtId="37" fontId="117" fillId="0" borderId="0" xfId="0" applyNumberFormat="1" applyFont="1" applyAlignment="1">
      <alignment horizontal="center"/>
    </xf>
    <xf numFmtId="49" fontId="9" fillId="21" borderId="7" xfId="0" applyNumberFormat="1" applyFont="1" applyFill="1" applyBorder="1" applyAlignment="1">
      <alignment horizontal="center"/>
    </xf>
    <xf numFmtId="49" fontId="9" fillId="21" borderId="24" xfId="0" applyNumberFormat="1" applyFont="1" applyFill="1" applyBorder="1" applyAlignment="1">
      <alignment horizontal="center"/>
    </xf>
    <xf numFmtId="49" fontId="9" fillId="21" borderId="32" xfId="0" applyNumberFormat="1" applyFont="1" applyFill="1" applyBorder="1" applyAlignment="1">
      <alignment horizontal="center"/>
    </xf>
    <xf numFmtId="7" fontId="4" fillId="29" borderId="1" xfId="0" applyNumberFormat="1" applyFont="1" applyFill="1" applyBorder="1"/>
    <xf numFmtId="7" fontId="4" fillId="29" borderId="0" xfId="0" applyNumberFormat="1" applyFont="1" applyFill="1" applyBorder="1"/>
    <xf numFmtId="7" fontId="4" fillId="29" borderId="22" xfId="0" applyNumberFormat="1" applyFont="1" applyFill="1" applyBorder="1"/>
    <xf numFmtId="37" fontId="9" fillId="28" borderId="1" xfId="0" applyNumberFormat="1" applyFont="1" applyFill="1" applyBorder="1"/>
    <xf numFmtId="37" fontId="9" fillId="28" borderId="0" xfId="0" applyNumberFormat="1" applyFont="1" applyFill="1" applyBorder="1"/>
    <xf numFmtId="37" fontId="9" fillId="28" borderId="22" xfId="0" applyNumberFormat="1" applyFont="1" applyFill="1" applyBorder="1"/>
    <xf numFmtId="37" fontId="4" fillId="0" borderId="1" xfId="0" applyNumberFormat="1" applyFont="1" applyBorder="1"/>
    <xf numFmtId="37" fontId="4" fillId="0" borderId="22" xfId="0" applyNumberFormat="1" applyFont="1" applyBorder="1"/>
    <xf numFmtId="37" fontId="117" fillId="0" borderId="1" xfId="0" applyNumberFormat="1" applyFont="1" applyBorder="1"/>
    <xf numFmtId="37" fontId="117" fillId="0" borderId="0" xfId="0" applyNumberFormat="1" applyFont="1" applyBorder="1"/>
    <xf numFmtId="37" fontId="117" fillId="0" borderId="22" xfId="0" applyNumberFormat="1" applyFont="1" applyBorder="1"/>
    <xf numFmtId="37" fontId="111" fillId="0" borderId="0" xfId="0" applyNumberFormat="1" applyFont="1" applyBorder="1"/>
    <xf numFmtId="7" fontId="4" fillId="0" borderId="0" xfId="0" applyNumberFormat="1" applyFont="1" applyBorder="1"/>
    <xf numFmtId="7" fontId="117" fillId="0" borderId="0" xfId="0" applyNumberFormat="1" applyFont="1" applyBorder="1"/>
    <xf numFmtId="7" fontId="4" fillId="0" borderId="22" xfId="0" applyNumberFormat="1" applyFont="1" applyBorder="1"/>
    <xf numFmtId="165" fontId="111" fillId="29" borderId="1" xfId="0" applyNumberFormat="1" applyFont="1" applyFill="1" applyBorder="1" applyAlignment="1">
      <alignment horizontal="right"/>
    </xf>
    <xf numFmtId="165" fontId="111" fillId="29" borderId="0" xfId="0" applyNumberFormat="1" applyFont="1" applyFill="1" applyBorder="1" applyAlignment="1">
      <alignment horizontal="right"/>
    </xf>
    <xf numFmtId="37" fontId="117" fillId="28" borderId="1" xfId="0" applyNumberFormat="1" applyFont="1" applyFill="1" applyBorder="1"/>
    <xf numFmtId="37" fontId="117" fillId="28" borderId="0" xfId="0" applyNumberFormat="1" applyFont="1" applyFill="1" applyBorder="1"/>
    <xf numFmtId="37" fontId="117" fillId="28" borderId="22" xfId="0" applyNumberFormat="1" applyFont="1" applyFill="1" applyBorder="1"/>
    <xf numFmtId="7" fontId="117" fillId="0" borderId="1" xfId="0" applyNumberFormat="1" applyFont="1" applyBorder="1"/>
    <xf numFmtId="7" fontId="117" fillId="0" borderId="22" xfId="0" applyNumberFormat="1" applyFont="1" applyBorder="1"/>
    <xf numFmtId="37" fontId="5" fillId="30" borderId="2" xfId="0" applyNumberFormat="1" applyFont="1" applyFill="1" applyBorder="1"/>
    <xf numFmtId="37" fontId="5" fillId="19" borderId="1" xfId="0" applyNumberFormat="1" applyFont="1" applyFill="1" applyBorder="1"/>
    <xf numFmtId="37" fontId="5" fillId="19" borderId="0" xfId="0" applyNumberFormat="1" applyFont="1" applyFill="1" applyBorder="1"/>
    <xf numFmtId="10" fontId="76" fillId="0" borderId="0" xfId="56" applyNumberFormat="1" applyFont="1"/>
    <xf numFmtId="49" fontId="122" fillId="0" borderId="0" xfId="50" applyNumberFormat="1" applyFont="1" applyAlignment="1">
      <alignment horizontal="center"/>
    </xf>
    <xf numFmtId="0" fontId="124" fillId="0" borderId="0" xfId="50" applyFont="1" applyAlignment="1">
      <alignment horizontal="left"/>
    </xf>
    <xf numFmtId="0" fontId="122" fillId="0" borderId="0" xfId="50" applyFont="1" applyAlignment="1">
      <alignment horizontal="center"/>
    </xf>
    <xf numFmtId="0" fontId="123" fillId="0" borderId="0" xfId="50"/>
    <xf numFmtId="0" fontId="122" fillId="19" borderId="18" xfId="50" applyFont="1" applyFill="1" applyBorder="1"/>
    <xf numFmtId="0" fontId="123" fillId="19" borderId="6" xfId="50" applyFill="1" applyBorder="1"/>
    <xf numFmtId="0" fontId="122" fillId="19" borderId="6" xfId="50" applyFont="1" applyFill="1" applyBorder="1" applyAlignment="1">
      <alignment horizontal="center"/>
    </xf>
    <xf numFmtId="0" fontId="122" fillId="19" borderId="25" xfId="50" applyFont="1" applyFill="1" applyBorder="1" applyAlignment="1">
      <alignment horizontal="center"/>
    </xf>
    <xf numFmtId="0" fontId="123" fillId="19" borderId="0" xfId="50" applyFont="1" applyFill="1" applyBorder="1"/>
    <xf numFmtId="37" fontId="125" fillId="19" borderId="0" xfId="50" applyNumberFormat="1" applyFont="1" applyFill="1" applyBorder="1" applyAlignment="1">
      <alignment horizontal="right"/>
    </xf>
    <xf numFmtId="0" fontId="123" fillId="19" borderId="45" xfId="50" applyFont="1" applyFill="1" applyBorder="1"/>
    <xf numFmtId="0" fontId="123" fillId="19" borderId="46" xfId="50" applyFill="1" applyBorder="1"/>
    <xf numFmtId="37" fontId="123" fillId="19" borderId="46" xfId="50" applyNumberFormat="1" applyFill="1" applyBorder="1"/>
    <xf numFmtId="37" fontId="123" fillId="19" borderId="47" xfId="50" applyNumberFormat="1" applyFill="1" applyBorder="1"/>
    <xf numFmtId="37" fontId="76" fillId="17" borderId="7" xfId="0" applyNumberFormat="1" applyFont="1" applyFill="1" applyBorder="1"/>
    <xf numFmtId="37" fontId="57" fillId="17" borderId="24" xfId="0" applyNumberFormat="1" applyFont="1" applyFill="1" applyBorder="1"/>
    <xf numFmtId="37" fontId="57" fillId="17" borderId="32" xfId="0" applyNumberFormat="1" applyFont="1" applyFill="1" applyBorder="1"/>
    <xf numFmtId="37" fontId="76" fillId="17" borderId="1" xfId="0" applyNumberFormat="1" applyFont="1" applyFill="1" applyBorder="1"/>
    <xf numFmtId="37" fontId="76" fillId="17" borderId="0" xfId="0" applyNumberFormat="1" applyFont="1" applyFill="1" applyBorder="1"/>
    <xf numFmtId="37" fontId="76" fillId="17" borderId="22" xfId="0" applyNumberFormat="1" applyFont="1" applyFill="1" applyBorder="1"/>
    <xf numFmtId="9" fontId="7" fillId="17" borderId="21" xfId="0" applyNumberFormat="1" applyFont="1" applyFill="1" applyBorder="1"/>
    <xf numFmtId="9" fontId="7" fillId="17" borderId="2" xfId="0" applyNumberFormat="1" applyFont="1" applyFill="1" applyBorder="1"/>
    <xf numFmtId="9" fontId="7" fillId="17" borderId="23" xfId="0" applyNumberFormat="1" applyFont="1" applyFill="1" applyBorder="1"/>
    <xf numFmtId="49" fontId="4" fillId="29" borderId="0" xfId="0" applyNumberFormat="1" applyFont="1" applyFill="1" applyAlignment="1">
      <alignment horizontal="right"/>
    </xf>
    <xf numFmtId="9" fontId="76" fillId="29" borderId="0" xfId="56" applyFont="1" applyFill="1"/>
    <xf numFmtId="3" fontId="32" fillId="0" borderId="0" xfId="0" applyNumberFormat="1" applyFont="1" applyBorder="1"/>
    <xf numFmtId="41" fontId="45" fillId="0" borderId="0" xfId="0" applyNumberFormat="1" applyFont="1" applyBorder="1"/>
    <xf numFmtId="165" fontId="0" fillId="0" borderId="0" xfId="0" applyNumberFormat="1" applyBorder="1"/>
    <xf numFmtId="9" fontId="2" fillId="0" borderId="0" xfId="0" applyNumberFormat="1" applyFont="1" applyBorder="1"/>
    <xf numFmtId="39" fontId="2" fillId="0" borderId="0" xfId="0" applyNumberFormat="1" applyFont="1" applyBorder="1"/>
    <xf numFmtId="43" fontId="2" fillId="0" borderId="0" xfId="0" applyNumberFormat="1" applyFont="1" applyBorder="1"/>
    <xf numFmtId="0" fontId="29" fillId="15" borderId="0" xfId="0" applyFont="1" applyFill="1" applyBorder="1" applyAlignment="1">
      <alignment horizontal="center"/>
    </xf>
    <xf numFmtId="0" fontId="30" fillId="21" borderId="18" xfId="0" applyFont="1" applyFill="1" applyBorder="1"/>
    <xf numFmtId="10" fontId="33" fillId="19" borderId="1" xfId="0" applyNumberFormat="1" applyFont="1" applyFill="1" applyBorder="1"/>
    <xf numFmtId="41" fontId="33" fillId="19" borderId="1" xfId="0" applyNumberFormat="1" applyFont="1" applyFill="1" applyBorder="1"/>
    <xf numFmtId="0" fontId="29" fillId="0" borderId="19" xfId="0" applyFont="1" applyBorder="1" applyAlignment="1">
      <alignment horizontal="center"/>
    </xf>
    <xf numFmtId="165" fontId="29" fillId="0" borderId="19" xfId="0" applyNumberFormat="1" applyFont="1" applyBorder="1" applyAlignment="1">
      <alignment horizontal="center"/>
    </xf>
    <xf numFmtId="37" fontId="29" fillId="0" borderId="19" xfId="0" applyNumberFormat="1" applyFont="1" applyBorder="1" applyAlignment="1">
      <alignment horizontal="center"/>
    </xf>
    <xf numFmtId="41" fontId="28" fillId="0" borderId="19" xfId="0" applyNumberFormat="1" applyFont="1" applyBorder="1"/>
    <xf numFmtId="0" fontId="29" fillId="0" borderId="19" xfId="0" applyFont="1" applyBorder="1"/>
    <xf numFmtId="165" fontId="33" fillId="19" borderId="0" xfId="0" applyNumberFormat="1" applyFont="1" applyFill="1" applyBorder="1"/>
    <xf numFmtId="165" fontId="28" fillId="15" borderId="0" xfId="0" applyNumberFormat="1" applyFont="1" applyFill="1" applyBorder="1"/>
    <xf numFmtId="165" fontId="29" fillId="0" borderId="0" xfId="0" applyNumberFormat="1" applyFont="1" applyBorder="1"/>
    <xf numFmtId="0" fontId="30" fillId="0" borderId="19" xfId="0" applyFont="1" applyBorder="1"/>
    <xf numFmtId="165" fontId="34" fillId="0" borderId="19" xfId="0" applyNumberFormat="1" applyFont="1" applyBorder="1"/>
    <xf numFmtId="0" fontId="34" fillId="0" borderId="19" xfId="0" applyFont="1" applyBorder="1"/>
    <xf numFmtId="37" fontId="28" fillId="19" borderId="0" xfId="0" applyNumberFormat="1" applyFont="1" applyFill="1"/>
    <xf numFmtId="165" fontId="33" fillId="19" borderId="0" xfId="0" applyNumberFormat="1" applyFont="1" applyFill="1"/>
    <xf numFmtId="0" fontId="0" fillId="19" borderId="0" xfId="0" applyFill="1"/>
    <xf numFmtId="165" fontId="28" fillId="29" borderId="22" xfId="0" applyNumberFormat="1" applyFont="1" applyFill="1" applyBorder="1" applyAlignment="1">
      <alignment horizontal="right"/>
    </xf>
    <xf numFmtId="165" fontId="51" fillId="0" borderId="1" xfId="0" applyNumberFormat="1" applyFont="1" applyBorder="1" applyAlignment="1">
      <alignment horizontal="left" indent="1"/>
    </xf>
    <xf numFmtId="165" fontId="51" fillId="0" borderId="0" xfId="0" applyNumberFormat="1" applyFont="1" applyAlignment="1">
      <alignment horizontal="left" indent="1"/>
    </xf>
    <xf numFmtId="165" fontId="51" fillId="0" borderId="0" xfId="0" applyNumberFormat="1" applyFont="1" applyBorder="1"/>
    <xf numFmtId="165" fontId="32" fillId="29" borderId="0" xfId="0" applyNumberFormat="1" applyFont="1" applyFill="1"/>
    <xf numFmtId="165" fontId="32" fillId="29" borderId="0" xfId="0" applyNumberFormat="1" applyFont="1" applyFill="1" applyBorder="1"/>
    <xf numFmtId="9" fontId="28" fillId="0" borderId="1" xfId="0" applyNumberFormat="1" applyFont="1" applyBorder="1" applyAlignment="1">
      <alignment horizontal="left" indent="1"/>
    </xf>
    <xf numFmtId="9" fontId="28" fillId="0" borderId="0" xfId="56" applyNumberFormat="1" applyFont="1"/>
    <xf numFmtId="9" fontId="28" fillId="0" borderId="0" xfId="56" applyNumberFormat="1" applyFont="1" applyBorder="1"/>
    <xf numFmtId="9" fontId="28" fillId="0" borderId="0" xfId="0" applyNumberFormat="1" applyFont="1" applyAlignment="1">
      <alignment horizontal="right"/>
    </xf>
    <xf numFmtId="9" fontId="28" fillId="0" borderId="1" xfId="0" applyNumberFormat="1" applyFont="1" applyBorder="1" applyAlignment="1">
      <alignment horizontal="right"/>
    </xf>
    <xf numFmtId="9" fontId="28" fillId="0" borderId="22" xfId="0" applyNumberFormat="1" applyFont="1" applyBorder="1" applyAlignment="1">
      <alignment horizontal="right"/>
    </xf>
    <xf numFmtId="9" fontId="28" fillId="15" borderId="1" xfId="0" applyNumberFormat="1" applyFont="1" applyFill="1" applyBorder="1" applyAlignment="1">
      <alignment horizontal="left" indent="2"/>
    </xf>
    <xf numFmtId="7" fontId="29" fillId="0" borderId="0" xfId="0" applyNumberFormat="1" applyFont="1" applyBorder="1" applyAlignment="1">
      <alignment horizontal="right"/>
    </xf>
    <xf numFmtId="7" fontId="29" fillId="0" borderId="19" xfId="0" applyNumberFormat="1" applyFont="1" applyBorder="1" applyAlignment="1">
      <alignment horizontal="center"/>
    </xf>
    <xf numFmtId="37" fontId="28" fillId="19" borderId="1" xfId="0" applyNumberFormat="1" applyFont="1" applyFill="1" applyBorder="1"/>
    <xf numFmtId="37" fontId="126" fillId="29" borderId="22" xfId="0" applyNumberFormat="1" applyFont="1" applyFill="1" applyBorder="1"/>
    <xf numFmtId="165" fontId="28" fillId="0" borderId="1" xfId="0" applyNumberFormat="1" applyFont="1" applyBorder="1" applyAlignment="1">
      <alignment horizontal="left" indent="2"/>
    </xf>
    <xf numFmtId="37" fontId="33" fillId="29" borderId="1" xfId="61" applyNumberFormat="1" applyFont="1" applyFill="1" applyBorder="1" applyAlignment="1">
      <alignment horizontal="left" indent="1"/>
    </xf>
    <xf numFmtId="37" fontId="29" fillId="29" borderId="0" xfId="0" applyNumberFormat="1" applyFont="1" applyFill="1" applyBorder="1" applyAlignment="1">
      <alignment horizontal="right"/>
    </xf>
    <xf numFmtId="37" fontId="29" fillId="29" borderId="19" xfId="0" applyNumberFormat="1" applyFont="1" applyFill="1" applyBorder="1"/>
    <xf numFmtId="0" fontId="33" fillId="19" borderId="0" xfId="0" applyFont="1" applyFill="1" applyBorder="1"/>
    <xf numFmtId="0" fontId="40" fillId="18" borderId="7" xfId="0" applyFont="1" applyFill="1" applyBorder="1" applyAlignment="1">
      <alignment horizontal="center"/>
    </xf>
    <xf numFmtId="165" fontId="29" fillId="15" borderId="0" xfId="0" applyNumberFormat="1" applyFont="1" applyFill="1" applyBorder="1" applyAlignment="1">
      <alignment horizontal="center"/>
    </xf>
    <xf numFmtId="165" fontId="48" fillId="0" borderId="0" xfId="0" applyNumberFormat="1" applyFont="1" applyBorder="1"/>
    <xf numFmtId="170" fontId="28" fillId="0" borderId="0" xfId="35" applyNumberFormat="1" applyFont="1" applyBorder="1"/>
    <xf numFmtId="37" fontId="41" fillId="29" borderId="0" xfId="0" applyNumberFormat="1" applyFont="1" applyFill="1" applyBorder="1"/>
    <xf numFmtId="37" fontId="47" fillId="0" borderId="0" xfId="0" applyNumberFormat="1" applyFont="1" applyBorder="1"/>
    <xf numFmtId="0" fontId="36" fillId="18" borderId="0" xfId="0" applyFont="1" applyFill="1" applyBorder="1" applyAlignment="1">
      <alignment horizontal="right"/>
    </xf>
    <xf numFmtId="0" fontId="36" fillId="18" borderId="0" xfId="0" quotePrefix="1" applyFont="1" applyFill="1" applyBorder="1" applyAlignment="1">
      <alignment horizontal="right"/>
    </xf>
    <xf numFmtId="37" fontId="29" fillId="27" borderId="0" xfId="0" applyNumberFormat="1" applyFont="1" applyFill="1" applyBorder="1"/>
    <xf numFmtId="165" fontId="28" fillId="27" borderId="0" xfId="0" applyNumberFormat="1" applyFont="1" applyFill="1" applyBorder="1"/>
    <xf numFmtId="37" fontId="48" fillId="29" borderId="0" xfId="0" applyNumberFormat="1" applyFont="1" applyFill="1" applyBorder="1"/>
    <xf numFmtId="0" fontId="40" fillId="18" borderId="34" xfId="0" applyFont="1" applyFill="1" applyBorder="1" applyAlignment="1">
      <alignment horizontal="center"/>
    </xf>
    <xf numFmtId="0" fontId="40" fillId="18" borderId="7" xfId="0" applyFont="1" applyFill="1" applyBorder="1" applyAlignment="1">
      <alignment horizontal="left"/>
    </xf>
    <xf numFmtId="0" fontId="30" fillId="18" borderId="24" xfId="0" applyFont="1" applyFill="1" applyBorder="1" applyAlignment="1">
      <alignment horizontal="center"/>
    </xf>
    <xf numFmtId="165" fontId="41" fillId="0" borderId="0" xfId="0" applyNumberFormat="1" applyFont="1" applyBorder="1"/>
    <xf numFmtId="37" fontId="126" fillId="29" borderId="0" xfId="0" applyNumberFormat="1" applyFont="1" applyFill="1" applyBorder="1" applyAlignment="1">
      <alignment horizontal="right"/>
    </xf>
    <xf numFmtId="37" fontId="28" fillId="0" borderId="0" xfId="0" applyNumberFormat="1" applyFont="1" applyBorder="1" applyAlignment="1">
      <alignment horizontal="left"/>
    </xf>
    <xf numFmtId="170" fontId="28" fillId="0" borderId="0" xfId="35" applyNumberFormat="1" applyFont="1" applyBorder="1" applyAlignment="1">
      <alignment horizontal="right"/>
    </xf>
    <xf numFmtId="37" fontId="48" fillId="0" borderId="0" xfId="0" applyNumberFormat="1" applyFont="1" applyBorder="1"/>
    <xf numFmtId="37" fontId="28" fillId="29" borderId="21" xfId="0" applyNumberFormat="1" applyFont="1" applyFill="1" applyBorder="1"/>
    <xf numFmtId="37" fontId="28" fillId="0" borderId="21" xfId="0" applyNumberFormat="1" applyFont="1" applyBorder="1" applyAlignment="1">
      <alignment horizontal="left" indent="1"/>
    </xf>
    <xf numFmtId="165" fontId="33" fillId="29" borderId="0" xfId="0" applyNumberFormat="1" applyFont="1" applyFill="1" applyBorder="1" applyAlignment="1">
      <alignment horizontal="right"/>
    </xf>
    <xf numFmtId="0" fontId="36" fillId="18" borderId="0" xfId="0" applyFont="1" applyFill="1" applyBorder="1"/>
    <xf numFmtId="9" fontId="32" fillId="0" borderId="0" xfId="0" applyNumberFormat="1" applyFont="1" applyBorder="1"/>
    <xf numFmtId="3" fontId="2" fillId="0" borderId="0" xfId="0" applyNumberFormat="1" applyFont="1" applyBorder="1"/>
    <xf numFmtId="169" fontId="2" fillId="0" borderId="0" xfId="0" applyNumberFormat="1" applyFont="1" applyBorder="1"/>
    <xf numFmtId="0" fontId="40" fillId="21" borderId="7" xfId="0" applyFont="1" applyFill="1" applyBorder="1" applyAlignment="1">
      <alignment horizontal="center"/>
    </xf>
    <xf numFmtId="4" fontId="33" fillId="0" borderId="0" xfId="0" applyNumberFormat="1" applyFont="1" applyBorder="1"/>
    <xf numFmtId="43" fontId="28" fillId="0" borderId="0" xfId="0" applyNumberFormat="1" applyFont="1" applyBorder="1"/>
    <xf numFmtId="0" fontId="40" fillId="0" borderId="0" xfId="0" applyFont="1" applyBorder="1"/>
    <xf numFmtId="165" fontId="2" fillId="0" borderId="0" xfId="0" applyNumberFormat="1" applyFont="1" applyBorder="1" applyAlignment="1">
      <alignment horizontal="right"/>
    </xf>
    <xf numFmtId="43" fontId="29" fillId="0" borderId="0" xfId="0" applyNumberFormat="1" applyFont="1" applyBorder="1"/>
    <xf numFmtId="37" fontId="2" fillId="0" borderId="0" xfId="0" applyNumberFormat="1" applyFont="1" applyBorder="1"/>
    <xf numFmtId="7" fontId="2" fillId="0" borderId="0" xfId="0" applyNumberFormat="1" applyFont="1" applyBorder="1"/>
    <xf numFmtId="0" fontId="41" fillId="0" borderId="0" xfId="0" applyFont="1" applyBorder="1"/>
    <xf numFmtId="165" fontId="32" fillId="0" borderId="0" xfId="0" applyNumberFormat="1" applyFont="1" applyBorder="1" applyAlignment="1">
      <alignment horizontal="right"/>
    </xf>
    <xf numFmtId="0" fontId="36" fillId="0" borderId="0" xfId="0" applyFont="1" applyBorder="1"/>
    <xf numFmtId="9" fontId="2" fillId="0" borderId="1" xfId="61" applyNumberFormat="1" applyFont="1" applyBorder="1" applyAlignment="1">
      <alignment horizontal="right"/>
    </xf>
    <xf numFmtId="9" fontId="2" fillId="0" borderId="0" xfId="61" applyNumberFormat="1" applyFont="1" applyBorder="1" applyAlignment="1">
      <alignment horizontal="right"/>
    </xf>
    <xf numFmtId="6" fontId="29" fillId="0" borderId="22" xfId="0" applyNumberFormat="1" applyFont="1" applyBorder="1"/>
    <xf numFmtId="3" fontId="41" fillId="0" borderId="1" xfId="61" applyNumberFormat="1" applyFont="1" applyBorder="1" applyAlignment="1">
      <alignment horizontal="right"/>
    </xf>
    <xf numFmtId="3" fontId="41" fillId="0" borderId="0" xfId="61" applyNumberFormat="1" applyFont="1" applyBorder="1" applyAlignment="1">
      <alignment horizontal="right"/>
    </xf>
    <xf numFmtId="2" fontId="29" fillId="0" borderId="0" xfId="0" applyNumberFormat="1" applyFont="1" applyBorder="1" applyAlignment="1">
      <alignment horizontal="right"/>
    </xf>
    <xf numFmtId="165" fontId="36" fillId="0" borderId="0" xfId="0" applyNumberFormat="1" applyFont="1" applyBorder="1"/>
    <xf numFmtId="41" fontId="64" fillId="0" borderId="0" xfId="0" applyNumberFormat="1" applyFont="1" applyBorder="1"/>
    <xf numFmtId="165" fontId="2" fillId="19" borderId="19" xfId="0" applyNumberFormat="1" applyFont="1" applyFill="1" applyBorder="1"/>
    <xf numFmtId="37" fontId="2" fillId="0" borderId="19" xfId="0" applyNumberFormat="1" applyFont="1" applyBorder="1"/>
    <xf numFmtId="0" fontId="40" fillId="0" borderId="19" xfId="0" applyFont="1" applyBorder="1"/>
    <xf numFmtId="7" fontId="28" fillId="0" borderId="19" xfId="0" applyNumberFormat="1" applyFont="1" applyBorder="1"/>
    <xf numFmtId="0" fontId="2" fillId="19" borderId="0" xfId="0" applyFont="1" applyFill="1" applyBorder="1"/>
    <xf numFmtId="0" fontId="2" fillId="19" borderId="22" xfId="0" applyFont="1" applyFill="1" applyBorder="1"/>
    <xf numFmtId="1" fontId="29" fillId="19" borderId="1" xfId="61" applyNumberFormat="1" applyFont="1" applyFill="1" applyBorder="1" applyAlignment="1">
      <alignment horizontal="right"/>
    </xf>
    <xf numFmtId="1" fontId="29" fillId="19" borderId="0" xfId="61" applyNumberFormat="1" applyFont="1" applyFill="1" applyBorder="1" applyAlignment="1">
      <alignment horizontal="right"/>
    </xf>
    <xf numFmtId="1" fontId="29" fillId="19" borderId="22" xfId="61" applyNumberFormat="1" applyFont="1" applyFill="1" applyBorder="1" applyAlignment="1">
      <alignment horizontal="right"/>
    </xf>
    <xf numFmtId="165" fontId="2" fillId="19" borderId="0" xfId="0" applyNumberFormat="1" applyFont="1" applyFill="1" applyBorder="1"/>
    <xf numFmtId="165" fontId="2" fillId="19" borderId="1" xfId="0" applyNumberFormat="1" applyFont="1" applyFill="1" applyBorder="1"/>
    <xf numFmtId="165" fontId="2" fillId="19" borderId="22" xfId="0" applyNumberFormat="1" applyFont="1" applyFill="1" applyBorder="1"/>
    <xf numFmtId="165" fontId="2" fillId="19" borderId="1" xfId="61" applyNumberFormat="1" applyFont="1" applyFill="1" applyBorder="1" applyAlignment="1">
      <alignment horizontal="right"/>
    </xf>
    <xf numFmtId="165" fontId="2" fillId="19" borderId="0" xfId="61" applyNumberFormat="1" applyFont="1" applyFill="1" applyBorder="1" applyAlignment="1">
      <alignment horizontal="right"/>
    </xf>
    <xf numFmtId="165" fontId="2" fillId="19" borderId="22" xfId="61" applyNumberFormat="1" applyFont="1" applyFill="1" applyBorder="1" applyAlignment="1">
      <alignment horizontal="right"/>
    </xf>
    <xf numFmtId="0" fontId="29" fillId="19" borderId="0" xfId="0" applyFont="1" applyFill="1" applyBorder="1"/>
    <xf numFmtId="3" fontId="2" fillId="19" borderId="0" xfId="61" applyNumberFormat="1" applyFont="1" applyFill="1" applyAlignment="1">
      <alignment horizontal="right"/>
    </xf>
    <xf numFmtId="3" fontId="2" fillId="19" borderId="0" xfId="61" applyNumberFormat="1" applyFont="1" applyFill="1" applyBorder="1" applyAlignment="1">
      <alignment horizontal="right"/>
    </xf>
    <xf numFmtId="41" fontId="2" fillId="19" borderId="0" xfId="0" applyNumberFormat="1" applyFont="1" applyFill="1"/>
    <xf numFmtId="41" fontId="2" fillId="19" borderId="0" xfId="0" applyNumberFormat="1" applyFont="1" applyFill="1" applyBorder="1"/>
    <xf numFmtId="1" fontId="2" fillId="19" borderId="0" xfId="0" applyNumberFormat="1" applyFont="1" applyFill="1"/>
    <xf numFmtId="1" fontId="2" fillId="19" borderId="0" xfId="0" applyNumberFormat="1" applyFont="1" applyFill="1" applyBorder="1"/>
    <xf numFmtId="167" fontId="33" fillId="0" borderId="0" xfId="0" applyNumberFormat="1" applyFont="1"/>
    <xf numFmtId="167" fontId="33" fillId="0" borderId="0" xfId="0" applyNumberFormat="1" applyFont="1" applyBorder="1"/>
    <xf numFmtId="167" fontId="33" fillId="0" borderId="1" xfId="0" applyNumberFormat="1" applyFont="1" applyBorder="1"/>
    <xf numFmtId="167" fontId="33" fillId="0" borderId="22" xfId="0" applyNumberFormat="1" applyFont="1" applyBorder="1"/>
    <xf numFmtId="167" fontId="2" fillId="0" borderId="0" xfId="0" applyNumberFormat="1" applyFont="1" applyBorder="1"/>
    <xf numFmtId="167" fontId="0" fillId="0" borderId="0" xfId="0" applyNumberFormat="1"/>
    <xf numFmtId="165" fontId="36" fillId="0" borderId="22" xfId="0" applyNumberFormat="1" applyFont="1" applyBorder="1"/>
    <xf numFmtId="176" fontId="2" fillId="0" borderId="0" xfId="0" applyNumberFormat="1" applyFont="1"/>
    <xf numFmtId="176" fontId="2" fillId="0" borderId="0" xfId="0" applyNumberFormat="1" applyFont="1" applyBorder="1"/>
    <xf numFmtId="176" fontId="2" fillId="0" borderId="19" xfId="0" applyNumberFormat="1" applyFont="1" applyBorder="1"/>
    <xf numFmtId="176" fontId="2" fillId="0" borderId="1" xfId="0" applyNumberFormat="1" applyFont="1" applyBorder="1"/>
    <xf numFmtId="176" fontId="2" fillId="0" borderId="22" xfId="0" applyNumberFormat="1" applyFont="1" applyBorder="1"/>
    <xf numFmtId="176" fontId="0" fillId="0" borderId="0" xfId="0" applyNumberFormat="1"/>
    <xf numFmtId="167" fontId="33" fillId="0" borderId="1" xfId="0" applyNumberFormat="1" applyFont="1" applyBorder="1" applyAlignment="1">
      <alignment horizontal="left" indent="1"/>
    </xf>
    <xf numFmtId="167" fontId="33" fillId="0" borderId="0" xfId="0" applyNumberFormat="1" applyFont="1" applyBorder="1" applyAlignment="1">
      <alignment horizontal="left" indent="1"/>
    </xf>
    <xf numFmtId="167" fontId="33" fillId="0" borderId="22" xfId="0" applyNumberFormat="1" applyFont="1" applyBorder="1" applyAlignment="1">
      <alignment horizontal="left" indent="1"/>
    </xf>
    <xf numFmtId="165" fontId="33" fillId="0" borderId="21" xfId="0" applyNumberFormat="1" applyFont="1" applyBorder="1" applyAlignment="1">
      <alignment horizontal="right"/>
    </xf>
    <xf numFmtId="41" fontId="29" fillId="29" borderId="0" xfId="0" applyNumberFormat="1" applyFont="1" applyFill="1" applyBorder="1"/>
    <xf numFmtId="41" fontId="31" fillId="0" borderId="0" xfId="0" applyNumberFormat="1" applyFont="1" applyBorder="1"/>
    <xf numFmtId="10" fontId="33" fillId="29" borderId="0" xfId="0" applyNumberFormat="1" applyFont="1" applyFill="1" applyBorder="1"/>
    <xf numFmtId="10" fontId="33" fillId="0" borderId="0" xfId="0" applyNumberFormat="1" applyFont="1" applyBorder="1"/>
    <xf numFmtId="37" fontId="36" fillId="0" borderId="0" xfId="0" applyNumberFormat="1" applyFont="1" applyBorder="1"/>
    <xf numFmtId="0" fontId="63" fillId="0" borderId="0" xfId="0" applyFont="1" applyBorder="1"/>
    <xf numFmtId="41" fontId="29" fillId="0" borderId="0" xfId="0" applyNumberFormat="1" applyFont="1" applyBorder="1" applyAlignment="1">
      <alignment horizontal="right"/>
    </xf>
    <xf numFmtId="0" fontId="33" fillId="15" borderId="0" xfId="0" applyFont="1" applyFill="1" applyBorder="1"/>
    <xf numFmtId="41" fontId="29" fillId="0" borderId="23" xfId="0" applyNumberFormat="1" applyFont="1" applyBorder="1"/>
    <xf numFmtId="41" fontId="33" fillId="15" borderId="0" xfId="0" applyNumberFormat="1" applyFont="1" applyFill="1" applyBorder="1"/>
    <xf numFmtId="7" fontId="62" fillId="0" borderId="0" xfId="0" applyNumberFormat="1" applyFont="1" applyBorder="1"/>
    <xf numFmtId="41" fontId="41" fillId="0" borderId="0" xfId="0" applyNumberFormat="1" applyFont="1" applyBorder="1" applyAlignment="1">
      <alignment horizontal="right"/>
    </xf>
    <xf numFmtId="43" fontId="33" fillId="0" borderId="0" xfId="0" applyNumberFormat="1" applyFont="1" applyBorder="1"/>
    <xf numFmtId="43" fontId="51" fillId="15" borderId="0" xfId="0" applyNumberFormat="1" applyFont="1" applyFill="1" applyBorder="1"/>
    <xf numFmtId="7" fontId="33" fillId="0" borderId="0" xfId="0" applyNumberFormat="1" applyFont="1" applyBorder="1"/>
    <xf numFmtId="41" fontId="35" fillId="0" borderId="0" xfId="0" applyNumberFormat="1" applyFont="1" applyBorder="1"/>
    <xf numFmtId="37" fontId="35" fillId="0" borderId="0" xfId="0" applyNumberFormat="1" applyFont="1" applyBorder="1"/>
    <xf numFmtId="41" fontId="47" fillId="0" borderId="0" xfId="0" applyNumberFormat="1" applyFont="1" applyBorder="1"/>
    <xf numFmtId="41" fontId="48" fillId="15" borderId="0" xfId="0" applyNumberFormat="1" applyFont="1" applyFill="1" applyBorder="1"/>
    <xf numFmtId="10" fontId="33" fillId="19" borderId="0" xfId="0" applyNumberFormat="1" applyFont="1" applyFill="1" applyBorder="1"/>
    <xf numFmtId="41" fontId="33" fillId="19" borderId="0" xfId="0" applyNumberFormat="1" applyFont="1" applyFill="1" applyBorder="1"/>
    <xf numFmtId="41" fontId="33" fillId="17" borderId="0" xfId="0" applyNumberFormat="1" applyFont="1" applyFill="1" applyBorder="1"/>
    <xf numFmtId="37" fontId="33" fillId="17" borderId="0" xfId="0" applyNumberFormat="1" applyFont="1" applyFill="1" applyBorder="1"/>
    <xf numFmtId="41" fontId="36" fillId="15" borderId="0" xfId="0" applyNumberFormat="1" applyFont="1" applyFill="1" applyBorder="1"/>
    <xf numFmtId="41" fontId="33" fillId="0" borderId="0" xfId="0" applyNumberFormat="1" applyFont="1" applyBorder="1" applyAlignment="1">
      <alignment horizontal="right"/>
    </xf>
    <xf numFmtId="41" fontId="29" fillId="17" borderId="0" xfId="0" applyNumberFormat="1" applyFont="1" applyFill="1" applyBorder="1"/>
    <xf numFmtId="41" fontId="48" fillId="0" borderId="0" xfId="0" applyNumberFormat="1" applyFont="1" applyBorder="1" applyAlignment="1">
      <alignment horizontal="right"/>
    </xf>
    <xf numFmtId="41" fontId="29" fillId="19" borderId="0" xfId="0" applyNumberFormat="1" applyFont="1" applyFill="1" applyBorder="1"/>
    <xf numFmtId="3" fontId="34" fillId="0" borderId="0" xfId="0" applyNumberFormat="1" applyFont="1" applyBorder="1"/>
    <xf numFmtId="0" fontId="29" fillId="17" borderId="0" xfId="0" applyFont="1" applyFill="1" applyBorder="1"/>
    <xf numFmtId="165" fontId="33" fillId="17" borderId="0" xfId="0" applyNumberFormat="1" applyFont="1" applyFill="1" applyBorder="1"/>
    <xf numFmtId="0" fontId="48" fillId="0" borderId="0" xfId="0" applyFont="1" applyBorder="1"/>
    <xf numFmtId="0" fontId="33" fillId="25" borderId="0" xfId="0" applyFont="1" applyFill="1" applyBorder="1"/>
    <xf numFmtId="41" fontId="41" fillId="0" borderId="0" xfId="0" applyNumberFormat="1" applyFont="1" applyBorder="1"/>
    <xf numFmtId="0" fontId="33" fillId="17" borderId="0" xfId="0" applyFont="1" applyFill="1" applyBorder="1"/>
    <xf numFmtId="41" fontId="29" fillId="23" borderId="0" xfId="0" applyNumberFormat="1" applyFont="1" applyFill="1" applyBorder="1"/>
    <xf numFmtId="37" fontId="29" fillId="29" borderId="1" xfId="0" applyNumberFormat="1" applyFont="1" applyFill="1" applyBorder="1" applyAlignment="1">
      <alignment horizontal="left" indent="1"/>
    </xf>
    <xf numFmtId="165" fontId="2" fillId="29" borderId="1" xfId="0" applyNumberFormat="1" applyFont="1" applyFill="1" applyBorder="1"/>
    <xf numFmtId="0" fontId="31" fillId="0" borderId="1" xfId="0" applyFont="1" applyBorder="1"/>
    <xf numFmtId="0" fontId="31" fillId="0" borderId="0" xfId="0" applyFont="1" applyBorder="1"/>
    <xf numFmtId="41" fontId="31" fillId="0" borderId="0" xfId="0" quotePrefix="1" applyNumberFormat="1" applyFont="1" applyBorder="1"/>
    <xf numFmtId="0" fontId="29" fillId="0" borderId="1" xfId="61" applyFont="1" applyBorder="1" applyAlignment="1"/>
    <xf numFmtId="43" fontId="29" fillId="17" borderId="0" xfId="0" applyNumberFormat="1" applyFont="1" applyFill="1" applyBorder="1"/>
    <xf numFmtId="0" fontId="29" fillId="0" borderId="1" xfId="61" applyFont="1" applyBorder="1" applyAlignment="1">
      <alignment horizontal="left"/>
    </xf>
    <xf numFmtId="0" fontId="2" fillId="29" borderId="1" xfId="0" applyFont="1" applyFill="1" applyBorder="1"/>
    <xf numFmtId="3" fontId="34" fillId="19" borderId="0" xfId="0" applyNumberFormat="1" applyFont="1" applyFill="1" applyBorder="1"/>
    <xf numFmtId="0" fontId="34" fillId="0" borderId="1" xfId="61" applyFont="1" applyBorder="1" applyAlignment="1">
      <alignment horizontal="left" indent="2"/>
    </xf>
    <xf numFmtId="9" fontId="33" fillId="17" borderId="0" xfId="0" applyNumberFormat="1" applyFont="1" applyFill="1" applyBorder="1"/>
    <xf numFmtId="0" fontId="29" fillId="0" borderId="0" xfId="0" applyFont="1" applyBorder="1" applyAlignment="1">
      <alignment horizontal="left" indent="2"/>
    </xf>
    <xf numFmtId="43" fontId="29" fillId="0" borderId="19" xfId="0" applyNumberFormat="1" applyFont="1" applyBorder="1" applyAlignment="1">
      <alignment horizontal="center"/>
    </xf>
    <xf numFmtId="37" fontId="29" fillId="0" borderId="19" xfId="61" applyNumberFormat="1" applyFont="1" applyBorder="1" applyAlignment="1">
      <alignment horizontal="center"/>
    </xf>
    <xf numFmtId="37" fontId="28" fillId="0" borderId="19" xfId="61" applyNumberFormat="1" applyFont="1" applyBorder="1" applyAlignment="1"/>
    <xf numFmtId="165" fontId="29" fillId="0" borderId="19" xfId="61" applyNumberFormat="1" applyFont="1" applyBorder="1" applyAlignment="1">
      <alignment horizontal="center"/>
    </xf>
    <xf numFmtId="9" fontId="28" fillId="0" borderId="19" xfId="61" applyNumberFormat="1" applyFont="1" applyBorder="1" applyAlignment="1"/>
    <xf numFmtId="41" fontId="28" fillId="0" borderId="19" xfId="61" applyNumberFormat="1" applyFont="1" applyBorder="1" applyAlignment="1"/>
    <xf numFmtId="41" fontId="52" fillId="0" borderId="0" xfId="0" applyNumberFormat="1" applyFont="1" applyBorder="1"/>
    <xf numFmtId="39" fontId="34" fillId="0" borderId="0" xfId="0" applyNumberFormat="1" applyFont="1" applyBorder="1"/>
    <xf numFmtId="41" fontId="28" fillId="0" borderId="19" xfId="0" applyNumberFormat="1" applyFont="1" applyBorder="1" applyAlignment="1">
      <alignment horizontal="center"/>
    </xf>
    <xf numFmtId="41" fontId="36" fillId="0" borderId="19" xfId="0" applyNumberFormat="1" applyFont="1" applyBorder="1"/>
    <xf numFmtId="39" fontId="34" fillId="0" borderId="19" xfId="0" applyNumberFormat="1" applyFont="1" applyBorder="1"/>
    <xf numFmtId="0" fontId="28" fillId="0" borderId="20" xfId="0" applyFont="1" applyBorder="1"/>
    <xf numFmtId="0" fontId="30" fillId="0" borderId="8" xfId="0" applyFont="1" applyBorder="1"/>
    <xf numFmtId="164" fontId="28" fillId="0" borderId="19" xfId="35" applyNumberFormat="1" applyFont="1" applyBorder="1"/>
    <xf numFmtId="37" fontId="28" fillId="16" borderId="0" xfId="0" applyNumberFormat="1" applyFont="1" applyFill="1" applyBorder="1"/>
    <xf numFmtId="37" fontId="76" fillId="19" borderId="0" xfId="0" applyNumberFormat="1" applyFont="1" applyFill="1"/>
    <xf numFmtId="7" fontId="4" fillId="19" borderId="0" xfId="0" applyNumberFormat="1" applyFont="1" applyFill="1"/>
    <xf numFmtId="165" fontId="76" fillId="19" borderId="0" xfId="0" applyNumberFormat="1" applyFont="1" applyFill="1"/>
    <xf numFmtId="37" fontId="4" fillId="19" borderId="0" xfId="0" applyNumberFormat="1" applyFont="1" applyFill="1"/>
    <xf numFmtId="37" fontId="118" fillId="19" borderId="0" xfId="0" applyNumberFormat="1" applyFont="1" applyFill="1"/>
    <xf numFmtId="37" fontId="4" fillId="19" borderId="6" xfId="0" applyNumberFormat="1" applyFont="1" applyFill="1" applyBorder="1"/>
    <xf numFmtId="0" fontId="30" fillId="0" borderId="1" xfId="0" applyFont="1" applyBorder="1"/>
    <xf numFmtId="37" fontId="0" fillId="0" borderId="0" xfId="0" applyNumberFormat="1" applyBorder="1"/>
    <xf numFmtId="9" fontId="33" fillId="0" borderId="0" xfId="61" applyNumberFormat="1" applyFont="1" applyBorder="1" applyAlignment="1"/>
    <xf numFmtId="41" fontId="22" fillId="0" borderId="0" xfId="0" applyNumberFormat="1" applyFont="1" applyBorder="1" applyAlignment="1">
      <alignment horizontal="right"/>
    </xf>
    <xf numFmtId="37" fontId="29" fillId="0" borderId="0" xfId="0" applyNumberFormat="1" applyFont="1" applyBorder="1" applyAlignment="1">
      <alignment horizontal="center"/>
    </xf>
    <xf numFmtId="165" fontId="56" fillId="18" borderId="0" xfId="0" applyNumberFormat="1" applyFont="1" applyFill="1" applyBorder="1"/>
    <xf numFmtId="164" fontId="2" fillId="0" borderId="0" xfId="35" applyNumberFormat="1" applyFont="1" applyBorder="1"/>
    <xf numFmtId="9" fontId="0" fillId="0" borderId="0" xfId="56" applyFont="1" applyBorder="1"/>
    <xf numFmtId="37" fontId="28" fillId="19" borderId="22" xfId="0" applyNumberFormat="1" applyFont="1" applyFill="1" applyBorder="1"/>
    <xf numFmtId="172" fontId="28" fillId="0" borderId="0" xfId="0" quotePrefix="1" applyNumberFormat="1" applyFont="1" applyAlignment="1">
      <alignment horizontal="left"/>
    </xf>
    <xf numFmtId="172" fontId="28" fillId="0" borderId="0" xfId="0" applyNumberFormat="1" applyFont="1"/>
    <xf numFmtId="172" fontId="28" fillId="0" borderId="19" xfId="0" applyNumberFormat="1" applyFont="1" applyBorder="1"/>
    <xf numFmtId="172" fontId="29" fillId="0" borderId="0" xfId="0" applyNumberFormat="1" applyFont="1" applyAlignment="1">
      <alignment horizontal="center"/>
    </xf>
    <xf numFmtId="172" fontId="28" fillId="0" borderId="1" xfId="0" applyNumberFormat="1" applyFont="1" applyBorder="1"/>
    <xf numFmtId="172" fontId="28" fillId="0" borderId="22" xfId="0" applyNumberFormat="1" applyFont="1" applyBorder="1"/>
    <xf numFmtId="172" fontId="28" fillId="0" borderId="0" xfId="0" applyNumberFormat="1" applyFont="1" applyBorder="1"/>
    <xf numFmtId="172" fontId="0" fillId="0" borderId="0" xfId="0" applyNumberFormat="1"/>
    <xf numFmtId="170" fontId="33" fillId="0" borderId="0" xfId="35" applyNumberFormat="1" applyFont="1" applyBorder="1" applyAlignment="1">
      <alignment horizontal="right"/>
    </xf>
    <xf numFmtId="165" fontId="0" fillId="0" borderId="0" xfId="56" applyNumberFormat="1" applyFont="1"/>
    <xf numFmtId="41" fontId="0" fillId="0" borderId="0" xfId="0" applyNumberFormat="1"/>
    <xf numFmtId="9" fontId="76" fillId="0" borderId="0" xfId="56" applyFont="1"/>
    <xf numFmtId="9" fontId="29" fillId="0" borderId="0" xfId="56" applyFont="1" applyAlignment="1">
      <alignment horizontal="center"/>
    </xf>
    <xf numFmtId="0" fontId="40" fillId="21" borderId="6" xfId="0" applyFont="1" applyFill="1" applyBorder="1" applyAlignment="1">
      <alignment horizontal="left"/>
    </xf>
    <xf numFmtId="0" fontId="40" fillId="21" borderId="6" xfId="0" applyFont="1" applyFill="1" applyBorder="1"/>
    <xf numFmtId="165" fontId="2" fillId="0" borderId="1" xfId="0" applyNumberFormat="1" applyFont="1" applyBorder="1" applyAlignment="1">
      <alignment horizontal="left" indent="1"/>
    </xf>
    <xf numFmtId="0" fontId="2" fillId="0" borderId="1" xfId="0" applyFont="1" applyBorder="1" applyAlignment="1">
      <alignment horizontal="left" indent="1"/>
    </xf>
    <xf numFmtId="0" fontId="2" fillId="15" borderId="1" xfId="0" applyFont="1" applyFill="1" applyBorder="1" applyAlignment="1">
      <alignment horizontal="left" indent="1"/>
    </xf>
    <xf numFmtId="165" fontId="2" fillId="15" borderId="1" xfId="0" applyNumberFormat="1" applyFont="1" applyFill="1" applyBorder="1" applyAlignment="1">
      <alignment horizontal="left" indent="1"/>
    </xf>
    <xf numFmtId="37" fontId="2" fillId="0" borderId="1" xfId="0" applyNumberFormat="1" applyFont="1" applyBorder="1"/>
    <xf numFmtId="165" fontId="2" fillId="0" borderId="1" xfId="0" applyNumberFormat="1" applyFont="1" applyBorder="1" applyAlignment="1">
      <alignment horizontal="left" indent="2"/>
    </xf>
    <xf numFmtId="0" fontId="2" fillId="15" borderId="1" xfId="0" applyFont="1" applyFill="1" applyBorder="1"/>
    <xf numFmtId="0" fontId="2" fillId="0" borderId="1" xfId="61" applyFont="1" applyBorder="1" applyAlignment="1">
      <alignment horizontal="left" indent="1"/>
    </xf>
    <xf numFmtId="0" fontId="2" fillId="15" borderId="1" xfId="61" applyFont="1" applyFill="1" applyBorder="1" applyAlignment="1">
      <alignment horizontal="left"/>
    </xf>
    <xf numFmtId="165" fontId="2" fillId="0" borderId="1" xfId="61" applyNumberFormat="1" applyFont="1" applyBorder="1" applyAlignment="1">
      <alignment horizontal="left" indent="1"/>
    </xf>
    <xf numFmtId="0" fontId="2" fillId="15" borderId="1" xfId="0" applyFont="1" applyFill="1" applyBorder="1" applyAlignment="1">
      <alignment horizontal="left" indent="2"/>
    </xf>
    <xf numFmtId="165" fontId="2" fillId="0" borderId="1" xfId="61" applyNumberFormat="1" applyFont="1" applyBorder="1" applyAlignment="1">
      <alignment horizontal="left" indent="2"/>
    </xf>
    <xf numFmtId="0" fontId="2" fillId="29" borderId="1" xfId="61" applyFont="1" applyFill="1" applyBorder="1" applyAlignment="1">
      <alignment horizontal="left" indent="1"/>
    </xf>
    <xf numFmtId="0" fontId="2" fillId="29" borderId="1" xfId="61" applyFont="1" applyFill="1" applyBorder="1" applyAlignment="1">
      <alignment horizontal="left"/>
    </xf>
    <xf numFmtId="0" fontId="2" fillId="17" borderId="1" xfId="0" applyFont="1" applyFill="1" applyBorder="1" applyAlignment="1">
      <alignment horizontal="left" indent="1"/>
    </xf>
    <xf numFmtId="0" fontId="2" fillId="17" borderId="1" xfId="0" applyFont="1" applyFill="1" applyBorder="1" applyAlignment="1">
      <alignment horizontal="left" indent="2"/>
    </xf>
    <xf numFmtId="0" fontId="2" fillId="0" borderId="1" xfId="0" applyFont="1" applyBorder="1" applyAlignment="1">
      <alignment horizontal="left" indent="2"/>
    </xf>
    <xf numFmtId="0" fontId="2" fillId="0" borderId="1" xfId="0" applyFont="1" applyBorder="1" applyAlignment="1">
      <alignment horizontal="left" indent="3"/>
    </xf>
    <xf numFmtId="0" fontId="2" fillId="0" borderId="1" xfId="0" applyFont="1" applyBorder="1" applyAlignment="1">
      <alignment horizontal="left"/>
    </xf>
    <xf numFmtId="0" fontId="2" fillId="17" borderId="1" xfId="0" applyFont="1" applyFill="1" applyBorder="1"/>
    <xf numFmtId="0" fontId="2" fillId="17" borderId="1" xfId="0" applyFont="1" applyFill="1" applyBorder="1" applyAlignment="1">
      <alignment horizontal="left" indent="3"/>
    </xf>
    <xf numFmtId="0" fontId="2" fillId="0" borderId="1" xfId="61" applyFont="1" applyBorder="1" applyAlignment="1"/>
    <xf numFmtId="37" fontId="2" fillId="0" borderId="0" xfId="0" applyNumberFormat="1" applyFont="1" applyAlignment="1">
      <alignment horizontal="left" indent="1"/>
    </xf>
    <xf numFmtId="165" fontId="2" fillId="15" borderId="19" xfId="0" applyNumberFormat="1" applyFont="1" applyFill="1" applyBorder="1"/>
    <xf numFmtId="0" fontId="2" fillId="15" borderId="0" xfId="0" applyFont="1" applyFill="1" applyBorder="1"/>
    <xf numFmtId="165" fontId="2" fillId="15" borderId="0" xfId="0" applyNumberFormat="1" applyFont="1" applyFill="1" applyBorder="1"/>
    <xf numFmtId="165" fontId="2" fillId="15" borderId="0" xfId="0" applyNumberFormat="1" applyFont="1" applyFill="1" applyBorder="1" applyAlignment="1">
      <alignment horizontal="center"/>
    </xf>
    <xf numFmtId="165" fontId="2" fillId="15" borderId="22" xfId="0" applyNumberFormat="1" applyFont="1" applyFill="1" applyBorder="1" applyAlignment="1">
      <alignment horizontal="center"/>
    </xf>
    <xf numFmtId="0" fontId="27" fillId="18" borderId="0" xfId="0" applyFont="1" applyFill="1" applyBorder="1"/>
    <xf numFmtId="0" fontId="27" fillId="18" borderId="22" xfId="0" applyFont="1" applyFill="1" applyBorder="1"/>
    <xf numFmtId="165" fontId="27" fillId="18" borderId="19" xfId="0" applyNumberFormat="1" applyFont="1" applyFill="1" applyBorder="1"/>
    <xf numFmtId="41" fontId="2" fillId="15" borderId="0" xfId="0" applyNumberFormat="1" applyFont="1" applyFill="1" applyBorder="1"/>
    <xf numFmtId="41" fontId="2" fillId="15" borderId="1" xfId="0" applyNumberFormat="1" applyFont="1" applyFill="1" applyBorder="1"/>
    <xf numFmtId="165" fontId="2" fillId="15" borderId="1" xfId="0" applyNumberFormat="1" applyFont="1" applyFill="1" applyBorder="1"/>
    <xf numFmtId="37" fontId="2" fillId="0" borderId="22" xfId="0" applyNumberFormat="1" applyFont="1" applyBorder="1"/>
    <xf numFmtId="165" fontId="2" fillId="29" borderId="0" xfId="0" applyNumberFormat="1" applyFont="1" applyFill="1" applyBorder="1"/>
    <xf numFmtId="165" fontId="2" fillId="29" borderId="0" xfId="0" applyNumberFormat="1" applyFont="1" applyFill="1" applyBorder="1" applyAlignment="1">
      <alignment horizontal="right"/>
    </xf>
    <xf numFmtId="165" fontId="2" fillId="29" borderId="22" xfId="0" applyNumberFormat="1" applyFont="1" applyFill="1" applyBorder="1"/>
    <xf numFmtId="37" fontId="2" fillId="29" borderId="0" xfId="0" applyNumberFormat="1" applyFont="1" applyFill="1" applyBorder="1"/>
    <xf numFmtId="165" fontId="2" fillId="0" borderId="0" xfId="0" applyNumberFormat="1" applyFont="1" applyBorder="1" applyAlignment="1">
      <alignment horizontal="left" indent="2"/>
    </xf>
    <xf numFmtId="10" fontId="2" fillId="0" borderId="0" xfId="0" applyNumberFormat="1" applyFont="1" applyBorder="1"/>
    <xf numFmtId="10" fontId="2" fillId="0" borderId="1" xfId="0" applyNumberFormat="1" applyFont="1" applyBorder="1"/>
    <xf numFmtId="10" fontId="2" fillId="0" borderId="22" xfId="0" applyNumberFormat="1" applyFont="1" applyBorder="1"/>
    <xf numFmtId="0" fontId="2" fillId="29" borderId="0" xfId="0" applyFont="1" applyFill="1" applyBorder="1"/>
    <xf numFmtId="41" fontId="2" fillId="29" borderId="0" xfId="0" applyNumberFormat="1" applyFont="1" applyFill="1" applyBorder="1"/>
    <xf numFmtId="41" fontId="2" fillId="29" borderId="1" xfId="0" applyNumberFormat="1" applyFont="1" applyFill="1" applyBorder="1"/>
    <xf numFmtId="0" fontId="27" fillId="21" borderId="0" xfId="0" applyFont="1" applyFill="1" applyBorder="1"/>
    <xf numFmtId="165" fontId="2" fillId="17" borderId="0" xfId="0" applyNumberFormat="1" applyFont="1" applyFill="1" applyBorder="1"/>
    <xf numFmtId="41" fontId="2" fillId="19" borderId="1" xfId="0" applyNumberFormat="1" applyFont="1" applyFill="1" applyBorder="1"/>
    <xf numFmtId="41" fontId="2" fillId="17" borderId="0" xfId="0" applyNumberFormat="1" applyFont="1" applyFill="1" applyBorder="1"/>
    <xf numFmtId="0" fontId="41" fillId="15" borderId="0" xfId="0" applyFont="1" applyFill="1" applyBorder="1" applyAlignment="1">
      <alignment horizontal="right"/>
    </xf>
    <xf numFmtId="41" fontId="2" fillId="15" borderId="22" xfId="0" applyNumberFormat="1" applyFont="1" applyFill="1" applyBorder="1"/>
    <xf numFmtId="165" fontId="2" fillId="0" borderId="0" xfId="61" applyNumberFormat="1" applyFont="1" applyBorder="1" applyAlignment="1"/>
    <xf numFmtId="165" fontId="2" fillId="17" borderId="1" xfId="0" applyNumberFormat="1" applyFont="1" applyFill="1" applyBorder="1"/>
    <xf numFmtId="0" fontId="2" fillId="17" borderId="0" xfId="0" applyFont="1" applyFill="1" applyBorder="1"/>
    <xf numFmtId="43" fontId="2" fillId="17" borderId="0" xfId="0" applyNumberFormat="1" applyFont="1" applyFill="1" applyBorder="1"/>
    <xf numFmtId="41" fontId="2" fillId="0" borderId="0" xfId="61" applyNumberFormat="1" applyFont="1" applyBorder="1" applyAlignment="1"/>
    <xf numFmtId="0" fontId="2" fillId="0" borderId="0" xfId="0" applyFont="1" applyBorder="1" applyAlignment="1">
      <alignment horizontal="left" indent="1"/>
    </xf>
    <xf numFmtId="43" fontId="2" fillId="15" borderId="0" xfId="0" applyNumberFormat="1" applyFont="1" applyFill="1" applyBorder="1"/>
    <xf numFmtId="165" fontId="2" fillId="19" borderId="1" xfId="0" applyNumberFormat="1" applyFont="1" applyFill="1" applyBorder="1" applyAlignment="1">
      <alignment horizontal="right"/>
    </xf>
    <xf numFmtId="165" fontId="2" fillId="19" borderId="0" xfId="0" applyNumberFormat="1" applyFont="1" applyFill="1" applyBorder="1" applyAlignment="1">
      <alignment horizontal="right"/>
    </xf>
    <xf numFmtId="43" fontId="2" fillId="19" borderId="0" xfId="0" applyNumberFormat="1" applyFont="1" applyFill="1" applyBorder="1"/>
    <xf numFmtId="10" fontId="2" fillId="19" borderId="0" xfId="0" applyNumberFormat="1" applyFont="1" applyFill="1" applyBorder="1"/>
    <xf numFmtId="43" fontId="2" fillId="19" borderId="1" xfId="0" applyNumberFormat="1" applyFont="1" applyFill="1" applyBorder="1"/>
    <xf numFmtId="10" fontId="2" fillId="19" borderId="1" xfId="0" applyNumberFormat="1" applyFont="1" applyFill="1" applyBorder="1"/>
    <xf numFmtId="41" fontId="2" fillId="19" borderId="1" xfId="61" applyNumberFormat="1" applyFont="1" applyFill="1" applyBorder="1" applyAlignment="1"/>
    <xf numFmtId="41" fontId="2" fillId="19" borderId="0" xfId="61" applyNumberFormat="1" applyFont="1" applyFill="1" applyBorder="1" applyAlignment="1"/>
    <xf numFmtId="0" fontId="2" fillId="0" borderId="0" xfId="0" applyFont="1" applyBorder="1" applyAlignment="1">
      <alignment horizontal="right"/>
    </xf>
    <xf numFmtId="41" fontId="2" fillId="23" borderId="0" xfId="0" applyNumberFormat="1" applyFont="1" applyFill="1" applyBorder="1"/>
    <xf numFmtId="41" fontId="2" fillId="17" borderId="1" xfId="0" applyNumberFormat="1" applyFont="1" applyFill="1" applyBorder="1"/>
    <xf numFmtId="9" fontId="2" fillId="17" borderId="0" xfId="0" applyNumberFormat="1" applyFont="1" applyFill="1" applyBorder="1"/>
    <xf numFmtId="4" fontId="2" fillId="0" borderId="0" xfId="0" applyNumberFormat="1" applyFont="1" applyBorder="1"/>
    <xf numFmtId="0" fontId="2" fillId="17" borderId="0" xfId="0" applyFont="1" applyFill="1" applyBorder="1" applyAlignment="1">
      <alignment horizontal="left" indent="1"/>
    </xf>
    <xf numFmtId="3" fontId="2" fillId="0" borderId="22" xfId="0" applyNumberFormat="1" applyFont="1" applyBorder="1"/>
    <xf numFmtId="41" fontId="2" fillId="0" borderId="0" xfId="61" applyNumberFormat="1" applyFont="1" applyBorder="1" applyAlignment="1">
      <alignment horizontal="right"/>
    </xf>
    <xf numFmtId="4" fontId="2" fillId="0" borderId="22" xfId="0" applyNumberFormat="1" applyFont="1" applyBorder="1"/>
    <xf numFmtId="4" fontId="2" fillId="19" borderId="1" xfId="0" applyNumberFormat="1" applyFont="1" applyFill="1" applyBorder="1"/>
    <xf numFmtId="4" fontId="2" fillId="19" borderId="0" xfId="0" applyNumberFormat="1" applyFont="1" applyFill="1" applyBorder="1"/>
    <xf numFmtId="7" fontId="2" fillId="0" borderId="1" xfId="0" applyNumberFormat="1" applyFont="1" applyBorder="1"/>
    <xf numFmtId="4" fontId="2" fillId="0" borderId="1" xfId="0" applyNumberFormat="1" applyFont="1" applyBorder="1"/>
    <xf numFmtId="41" fontId="2" fillId="0" borderId="0" xfId="0" applyNumberFormat="1" applyFont="1" applyBorder="1" applyAlignment="1">
      <alignment horizontal="right"/>
    </xf>
    <xf numFmtId="41" fontId="2" fillId="0" borderId="22" xfId="0" applyNumberFormat="1" applyFont="1" applyBorder="1" applyAlignment="1">
      <alignment horizontal="right"/>
    </xf>
    <xf numFmtId="41" fontId="2" fillId="0" borderId="1" xfId="0" applyNumberFormat="1" applyFont="1" applyBorder="1" applyAlignment="1">
      <alignment horizontal="right"/>
    </xf>
    <xf numFmtId="41" fontId="2" fillId="17" borderId="0" xfId="0" applyNumberFormat="1" applyFont="1" applyFill="1" applyBorder="1" applyAlignment="1">
      <alignment horizontal="right"/>
    </xf>
    <xf numFmtId="7" fontId="2" fillId="0" borderId="22" xfId="0" applyNumberFormat="1" applyFont="1" applyBorder="1"/>
    <xf numFmtId="165" fontId="2" fillId="0" borderId="0" xfId="56" applyNumberFormat="1" applyFont="1" applyBorder="1"/>
    <xf numFmtId="165" fontId="27" fillId="0" borderId="19" xfId="0" applyNumberFormat="1" applyFont="1" applyBorder="1"/>
    <xf numFmtId="41" fontId="33" fillId="29" borderId="1" xfId="0" applyNumberFormat="1" applyFont="1" applyFill="1" applyBorder="1"/>
    <xf numFmtId="41" fontId="33" fillId="29" borderId="0" xfId="0" applyNumberFormat="1" applyFont="1" applyFill="1" applyBorder="1"/>
    <xf numFmtId="165" fontId="151" fillId="0" borderId="0" xfId="0" applyNumberFormat="1" applyFont="1" applyBorder="1"/>
    <xf numFmtId="165" fontId="151" fillId="0" borderId="1" xfId="0" applyNumberFormat="1" applyFont="1" applyBorder="1"/>
    <xf numFmtId="37" fontId="2" fillId="29" borderId="1" xfId="0" applyNumberFormat="1" applyFont="1" applyFill="1" applyBorder="1"/>
    <xf numFmtId="164" fontId="131" fillId="0" borderId="0" xfId="35" applyNumberFormat="1" applyFont="1"/>
    <xf numFmtId="164" fontId="131" fillId="0" borderId="0" xfId="35" applyNumberFormat="1" applyFont="1" applyBorder="1"/>
    <xf numFmtId="10" fontId="131" fillId="0" borderId="0" xfId="56" applyNumberFormat="1" applyFont="1"/>
    <xf numFmtId="0" fontId="3" fillId="0" borderId="0" xfId="0" applyFont="1"/>
    <xf numFmtId="2" fontId="28" fillId="0" borderId="0" xfId="0" applyNumberFormat="1" applyFont="1" applyBorder="1"/>
    <xf numFmtId="165" fontId="52" fillId="0" borderId="0" xfId="0" applyNumberFormat="1" applyFont="1" applyBorder="1"/>
    <xf numFmtId="0" fontId="56" fillId="18" borderId="0" xfId="0" applyFont="1" applyFill="1" applyBorder="1"/>
    <xf numFmtId="9" fontId="28" fillId="0" borderId="0" xfId="0" applyNumberFormat="1" applyFont="1" applyBorder="1" applyAlignment="1">
      <alignment horizontal="right"/>
    </xf>
    <xf numFmtId="165" fontId="28" fillId="29" borderId="0" xfId="0" applyNumberFormat="1" applyFont="1" applyFill="1" applyBorder="1" applyAlignment="1">
      <alignment horizontal="right"/>
    </xf>
    <xf numFmtId="0" fontId="75" fillId="0" borderId="0" xfId="0" applyFont="1" applyBorder="1"/>
    <xf numFmtId="165" fontId="0" fillId="0" borderId="0" xfId="56" applyNumberFormat="1" applyFont="1" applyBorder="1"/>
    <xf numFmtId="9" fontId="0" fillId="0" borderId="0" xfId="0" applyNumberFormat="1" applyBorder="1"/>
    <xf numFmtId="49" fontId="40" fillId="21" borderId="6" xfId="0" applyNumberFormat="1" applyFont="1" applyFill="1" applyBorder="1" applyAlignment="1">
      <alignment horizontal="center"/>
    </xf>
    <xf numFmtId="37" fontId="33" fillId="29" borderId="22" xfId="0" applyNumberFormat="1" applyFont="1" applyFill="1" applyBorder="1"/>
    <xf numFmtId="39" fontId="54" fillId="0" borderId="0" xfId="0" applyNumberFormat="1" applyFont="1" applyBorder="1"/>
    <xf numFmtId="165" fontId="53" fillId="0" borderId="0" xfId="0" applyNumberFormat="1" applyFont="1" applyBorder="1"/>
    <xf numFmtId="164" fontId="29" fillId="0" borderId="0" xfId="35" applyNumberFormat="1" applyFont="1" applyBorder="1"/>
    <xf numFmtId="41" fontId="41" fillId="15" borderId="0" xfId="0" applyNumberFormat="1" applyFont="1" applyFill="1" applyBorder="1"/>
    <xf numFmtId="164" fontId="0" fillId="0" borderId="0" xfId="35" applyNumberFormat="1" applyFont="1" applyBorder="1"/>
    <xf numFmtId="37" fontId="75" fillId="0" borderId="0" xfId="0" applyNumberFormat="1" applyFont="1" applyBorder="1"/>
    <xf numFmtId="165" fontId="56" fillId="18" borderId="22" xfId="0" applyNumberFormat="1" applyFont="1" applyFill="1" applyBorder="1"/>
    <xf numFmtId="0" fontId="0" fillId="0" borderId="0" xfId="0" applyFill="1" applyBorder="1"/>
    <xf numFmtId="41" fontId="0" fillId="0" borderId="0" xfId="0" applyNumberFormat="1" applyBorder="1"/>
    <xf numFmtId="49" fontId="40" fillId="21" borderId="0" xfId="0" applyNumberFormat="1" applyFont="1" applyFill="1" applyAlignment="1">
      <alignment horizontal="center"/>
    </xf>
    <xf numFmtId="0" fontId="0" fillId="29" borderId="0" xfId="0" applyFill="1" applyBorder="1"/>
    <xf numFmtId="0" fontId="30" fillId="29" borderId="0" xfId="0" applyFont="1" applyFill="1" applyBorder="1"/>
    <xf numFmtId="0" fontId="28" fillId="29" borderId="0" xfId="0" applyFont="1" applyFill="1" applyBorder="1"/>
    <xf numFmtId="41" fontId="28" fillId="29" borderId="0" xfId="0" applyNumberFormat="1" applyFont="1" applyFill="1" applyBorder="1"/>
    <xf numFmtId="37" fontId="21" fillId="0" borderId="0" xfId="0" applyNumberFormat="1" applyFont="1" applyBorder="1"/>
    <xf numFmtId="10" fontId="76" fillId="0" borderId="0" xfId="56" applyNumberFormat="1" applyFont="1" applyBorder="1"/>
    <xf numFmtId="0" fontId="123" fillId="0" borderId="0" xfId="50" applyBorder="1"/>
    <xf numFmtId="49" fontId="5" fillId="0" borderId="32" xfId="0" applyNumberFormat="1" applyFont="1" applyBorder="1" applyAlignment="1">
      <alignment horizontal="right"/>
    </xf>
    <xf numFmtId="175" fontId="4" fillId="0" borderId="43" xfId="0" applyNumberFormat="1" applyFont="1" applyBorder="1"/>
    <xf numFmtId="41" fontId="153" fillId="0" borderId="22" xfId="0" applyNumberFormat="1" applyFont="1" applyBorder="1"/>
    <xf numFmtId="37" fontId="33" fillId="29" borderId="0" xfId="0" applyNumberFormat="1" applyFont="1" applyFill="1" applyBorder="1"/>
    <xf numFmtId="12" fontId="0" fillId="0" borderId="0" xfId="35" applyNumberFormat="1" applyFont="1" applyBorder="1"/>
    <xf numFmtId="165" fontId="29" fillId="0" borderId="0" xfId="35" applyNumberFormat="1" applyFont="1" applyBorder="1"/>
    <xf numFmtId="41" fontId="153" fillId="0" borderId="0" xfId="0" applyNumberFormat="1" applyFont="1"/>
    <xf numFmtId="165" fontId="5" fillId="0" borderId="0" xfId="0" applyNumberFormat="1" applyFont="1"/>
    <xf numFmtId="5" fontId="2" fillId="29" borderId="0" xfId="0" applyNumberFormat="1" applyFont="1" applyFill="1" applyBorder="1"/>
    <xf numFmtId="5" fontId="153" fillId="15" borderId="22" xfId="0" applyNumberFormat="1" applyFont="1" applyFill="1" applyBorder="1"/>
    <xf numFmtId="5" fontId="153" fillId="15" borderId="0" xfId="0" applyNumberFormat="1" applyFont="1" applyFill="1" applyBorder="1"/>
    <xf numFmtId="7" fontId="41" fillId="25" borderId="25" xfId="0" applyNumberFormat="1" applyFont="1" applyFill="1" applyBorder="1"/>
    <xf numFmtId="37" fontId="2" fillId="29" borderId="21" xfId="61" quotePrefix="1" applyNumberFormat="1" applyFont="1" applyFill="1" applyBorder="1" applyAlignment="1"/>
    <xf numFmtId="37" fontId="2" fillId="29" borderId="2" xfId="61" applyNumberFormat="1" applyFont="1" applyFill="1" applyBorder="1" applyAlignment="1"/>
    <xf numFmtId="37" fontId="2" fillId="29" borderId="19" xfId="61" applyNumberFormat="1" applyFont="1" applyFill="1" applyBorder="1" applyAlignment="1">
      <alignment horizontal="center"/>
    </xf>
    <xf numFmtId="37" fontId="2" fillId="29" borderId="0" xfId="61" applyNumberFormat="1" applyFont="1" applyFill="1" applyBorder="1" applyAlignment="1"/>
    <xf numFmtId="37" fontId="2" fillId="29" borderId="0" xfId="61" applyNumberFormat="1" applyFont="1" applyFill="1" applyAlignment="1"/>
    <xf numFmtId="37" fontId="2" fillId="29" borderId="1" xfId="61" applyNumberFormat="1" applyFont="1" applyFill="1" applyBorder="1" applyAlignment="1"/>
    <xf numFmtId="37" fontId="2" fillId="29" borderId="22" xfId="61" applyNumberFormat="1" applyFont="1" applyFill="1" applyBorder="1" applyAlignment="1"/>
    <xf numFmtId="0" fontId="3" fillId="29" borderId="0" xfId="0" applyFont="1" applyFill="1"/>
    <xf numFmtId="37" fontId="29" fillId="0" borderId="24" xfId="0" applyNumberFormat="1" applyFont="1" applyBorder="1"/>
    <xf numFmtId="37" fontId="29" fillId="0" borderId="34" xfId="0" applyNumberFormat="1" applyFont="1" applyBorder="1"/>
    <xf numFmtId="37" fontId="29" fillId="0" borderId="7" xfId="0" applyNumberFormat="1" applyFont="1" applyBorder="1"/>
    <xf numFmtId="37" fontId="29" fillId="0" borderId="32" xfId="0" applyNumberFormat="1" applyFont="1" applyBorder="1"/>
    <xf numFmtId="49" fontId="29" fillId="0" borderId="0" xfId="0" applyNumberFormat="1" applyFont="1"/>
    <xf numFmtId="49" fontId="29" fillId="15" borderId="1" xfId="0" applyNumberFormat="1" applyFont="1" applyFill="1" applyBorder="1"/>
    <xf numFmtId="49" fontId="40" fillId="18" borderId="1" xfId="0" applyNumberFormat="1" applyFont="1" applyFill="1" applyBorder="1"/>
    <xf numFmtId="49" fontId="42" fillId="0" borderId="0" xfId="0" applyNumberFormat="1" applyFont="1"/>
    <xf numFmtId="49" fontId="32" fillId="0" borderId="0" xfId="0" applyNumberFormat="1" applyFont="1"/>
    <xf numFmtId="49" fontId="31" fillId="0" borderId="0" xfId="0" applyNumberFormat="1" applyFont="1"/>
    <xf numFmtId="49" fontId="32" fillId="0" borderId="0" xfId="0" applyNumberFormat="1" applyFont="1" applyAlignment="1">
      <alignment horizontal="left" indent="1"/>
    </xf>
    <xf numFmtId="49" fontId="32" fillId="0" borderId="0" xfId="0" applyNumberFormat="1" applyFont="1" applyAlignment="1">
      <alignment horizontal="left" vertical="center"/>
    </xf>
    <xf numFmtId="49" fontId="2" fillId="0" borderId="0" xfId="0" applyNumberFormat="1" applyFont="1"/>
    <xf numFmtId="49" fontId="40" fillId="18" borderId="0" xfId="0" applyNumberFormat="1" applyFont="1" applyFill="1"/>
    <xf numFmtId="49" fontId="36" fillId="0" borderId="0" xfId="0" applyNumberFormat="1" applyFont="1"/>
    <xf numFmtId="49" fontId="29" fillId="15" borderId="0" xfId="0" applyNumberFormat="1" applyFont="1" applyFill="1"/>
    <xf numFmtId="49" fontId="2" fillId="0" borderId="0" xfId="61" applyNumberFormat="1" applyFont="1" applyAlignment="1">
      <alignment horizontal="left" indent="1"/>
    </xf>
    <xf numFmtId="49" fontId="2" fillId="0" borderId="0" xfId="61" applyNumberFormat="1" applyFont="1" applyAlignment="1">
      <alignment horizontal="left" indent="2"/>
    </xf>
    <xf numFmtId="49" fontId="29" fillId="19" borderId="0" xfId="61" applyNumberFormat="1" applyFont="1" applyFill="1" applyAlignment="1"/>
    <xf numFmtId="49" fontId="29" fillId="19" borderId="0" xfId="61" applyNumberFormat="1" applyFont="1" applyFill="1" applyAlignment="1">
      <alignment horizontal="left" indent="1"/>
    </xf>
    <xf numFmtId="49" fontId="2" fillId="0" borderId="0" xfId="61" applyNumberFormat="1" applyFont="1" applyAlignment="1"/>
    <xf numFmtId="49" fontId="2" fillId="0" borderId="0" xfId="0" applyNumberFormat="1" applyFont="1" applyAlignment="1">
      <alignment horizontal="left" indent="1"/>
    </xf>
    <xf numFmtId="49" fontId="2" fillId="0" borderId="2" xfId="0" applyNumberFormat="1" applyFont="1" applyBorder="1"/>
    <xf numFmtId="49" fontId="34" fillId="0" borderId="0" xfId="0" applyNumberFormat="1" applyFont="1" applyAlignment="1">
      <alignment horizontal="left" indent="1"/>
    </xf>
    <xf numFmtId="0" fontId="132" fillId="0" borderId="0" xfId="0" applyFont="1"/>
    <xf numFmtId="165" fontId="53" fillId="0" borderId="1" xfId="0" applyNumberFormat="1" applyFont="1" applyBorder="1" applyAlignment="1">
      <alignment horizontal="right"/>
    </xf>
    <xf numFmtId="165" fontId="53" fillId="29" borderId="22" xfId="0" applyNumberFormat="1" applyFont="1" applyFill="1" applyBorder="1"/>
    <xf numFmtId="165" fontId="53" fillId="29" borderId="0" xfId="0" applyNumberFormat="1" applyFont="1" applyFill="1" applyBorder="1"/>
    <xf numFmtId="165" fontId="34" fillId="29" borderId="1" xfId="0" applyNumberFormat="1" applyFont="1" applyFill="1" applyBorder="1"/>
    <xf numFmtId="165" fontId="5" fillId="29" borderId="0" xfId="0" applyNumberFormat="1" applyFont="1" applyFill="1"/>
    <xf numFmtId="7" fontId="62" fillId="0" borderId="22" xfId="0" applyNumberFormat="1" applyFont="1" applyBorder="1"/>
    <xf numFmtId="0" fontId="63" fillId="0" borderId="22" xfId="0" applyFont="1" applyBorder="1"/>
    <xf numFmtId="41" fontId="41" fillId="0" borderId="22" xfId="0" applyNumberFormat="1" applyFont="1" applyBorder="1" applyAlignment="1">
      <alignment horizontal="right"/>
    </xf>
    <xf numFmtId="43" fontId="33" fillId="0" borderId="22" xfId="0" applyNumberFormat="1" applyFont="1" applyBorder="1"/>
    <xf numFmtId="37" fontId="2" fillId="29" borderId="52" xfId="0" applyNumberFormat="1" applyFont="1" applyFill="1" applyBorder="1" applyAlignment="1">
      <alignment horizontal="right"/>
    </xf>
    <xf numFmtId="0" fontId="2" fillId="29" borderId="0" xfId="0" applyFont="1" applyFill="1"/>
    <xf numFmtId="37" fontId="78" fillId="29" borderId="1" xfId="0" applyNumberFormat="1" applyFont="1" applyFill="1" applyBorder="1"/>
    <xf numFmtId="37" fontId="2" fillId="29" borderId="1" xfId="0" applyNumberFormat="1" applyFont="1" applyFill="1" applyBorder="1" applyAlignment="1">
      <alignment horizontal="left" indent="1"/>
    </xf>
    <xf numFmtId="37" fontId="34" fillId="29" borderId="1" xfId="0" applyNumberFormat="1" applyFont="1" applyFill="1" applyBorder="1" applyAlignment="1">
      <alignment horizontal="left" indent="1"/>
    </xf>
    <xf numFmtId="37" fontId="34" fillId="29" borderId="1" xfId="0" applyNumberFormat="1" applyFont="1" applyFill="1" applyBorder="1"/>
    <xf numFmtId="37" fontId="2" fillId="29" borderId="1" xfId="0" applyNumberFormat="1" applyFont="1" applyFill="1" applyBorder="1" applyAlignment="1">
      <alignment horizontal="right" vertical="center"/>
    </xf>
    <xf numFmtId="37" fontId="2" fillId="29" borderId="0" xfId="0" applyNumberFormat="1" applyFont="1" applyFill="1" applyAlignment="1">
      <alignment horizontal="right" vertical="center"/>
    </xf>
    <xf numFmtId="37" fontId="33" fillId="29" borderId="1" xfId="0" applyNumberFormat="1" applyFont="1" applyFill="1" applyBorder="1" applyAlignment="1">
      <alignment horizontal="right"/>
    </xf>
    <xf numFmtId="37" fontId="33" fillId="29" borderId="0" xfId="0" applyNumberFormat="1" applyFont="1" applyFill="1" applyAlignment="1">
      <alignment horizontal="right"/>
    </xf>
    <xf numFmtId="37" fontId="33" fillId="29" borderId="1" xfId="0" applyNumberFormat="1" applyFont="1" applyFill="1" applyBorder="1" applyAlignment="1">
      <alignment horizontal="right" vertical="center"/>
    </xf>
    <xf numFmtId="39" fontId="34" fillId="29" borderId="1" xfId="0" applyNumberFormat="1" applyFont="1" applyFill="1" applyBorder="1" applyAlignment="1">
      <alignment horizontal="left" indent="1"/>
    </xf>
    <xf numFmtId="39" fontId="33" fillId="29" borderId="1" xfId="0" applyNumberFormat="1" applyFont="1" applyFill="1" applyBorder="1" applyAlignment="1">
      <alignment horizontal="right"/>
    </xf>
    <xf numFmtId="37" fontId="27" fillId="29" borderId="1" xfId="0" applyNumberFormat="1" applyFont="1" applyFill="1" applyBorder="1"/>
    <xf numFmtId="41" fontId="34" fillId="29" borderId="1" xfId="0" applyNumberFormat="1" applyFont="1" applyFill="1" applyBorder="1" applyAlignment="1">
      <alignment horizontal="left" indent="1"/>
    </xf>
    <xf numFmtId="171" fontId="2" fillId="29" borderId="1" xfId="0" applyNumberFormat="1" applyFont="1" applyFill="1" applyBorder="1"/>
    <xf numFmtId="37" fontId="2" fillId="29" borderId="1" xfId="0" applyNumberFormat="1" applyFont="1" applyFill="1" applyBorder="1" applyAlignment="1">
      <alignment horizontal="right"/>
    </xf>
    <xf numFmtId="37" fontId="2" fillId="29" borderId="0" xfId="0" applyNumberFormat="1" applyFont="1" applyFill="1" applyAlignment="1">
      <alignment horizontal="right"/>
    </xf>
    <xf numFmtId="37" fontId="2" fillId="29" borderId="1" xfId="0" applyNumberFormat="1" applyFont="1" applyFill="1" applyBorder="1" applyAlignment="1">
      <alignment horizontal="left" vertical="center" indent="1"/>
    </xf>
    <xf numFmtId="37" fontId="2" fillId="29" borderId="1" xfId="0" applyNumberFormat="1" applyFont="1" applyFill="1" applyBorder="1" applyAlignment="1">
      <alignment horizontal="left" indent="2"/>
    </xf>
    <xf numFmtId="165" fontId="2" fillId="29" borderId="0" xfId="0" applyNumberFormat="1" applyFont="1" applyFill="1" applyAlignment="1">
      <alignment horizontal="right"/>
    </xf>
    <xf numFmtId="165" fontId="33" fillId="29" borderId="0" xfId="0" applyNumberFormat="1" applyFont="1" applyFill="1" applyAlignment="1">
      <alignment horizontal="right"/>
    </xf>
    <xf numFmtId="165" fontId="33" fillId="29" borderId="22" xfId="0" applyNumberFormat="1" applyFont="1" applyFill="1" applyBorder="1" applyAlignment="1">
      <alignment horizontal="right"/>
    </xf>
    <xf numFmtId="37" fontId="33" fillId="29" borderId="22" xfId="0" applyNumberFormat="1" applyFont="1" applyFill="1" applyBorder="1" applyAlignment="1">
      <alignment horizontal="right"/>
    </xf>
    <xf numFmtId="37" fontId="33" fillId="29" borderId="0" xfId="0" applyNumberFormat="1" applyFont="1" applyFill="1" applyBorder="1" applyAlignment="1">
      <alignment horizontal="right"/>
    </xf>
    <xf numFmtId="37" fontId="36" fillId="29" borderId="1" xfId="0" applyNumberFormat="1" applyFont="1" applyFill="1" applyBorder="1" applyAlignment="1">
      <alignment horizontal="right"/>
    </xf>
    <xf numFmtId="37" fontId="36" fillId="29" borderId="0" xfId="0" applyNumberFormat="1" applyFont="1" applyFill="1" applyAlignment="1">
      <alignment horizontal="right"/>
    </xf>
    <xf numFmtId="37" fontId="36" fillId="29" borderId="22" xfId="0" applyNumberFormat="1" applyFont="1" applyFill="1" applyBorder="1" applyAlignment="1">
      <alignment horizontal="right"/>
    </xf>
    <xf numFmtId="37" fontId="36" fillId="29" borderId="0" xfId="0" applyNumberFormat="1" applyFont="1" applyFill="1" applyBorder="1" applyAlignment="1">
      <alignment horizontal="right"/>
    </xf>
    <xf numFmtId="37" fontId="29" fillId="29" borderId="0" xfId="0" applyNumberFormat="1" applyFont="1" applyFill="1" applyAlignment="1">
      <alignment horizontal="right" vertical="center"/>
    </xf>
    <xf numFmtId="37" fontId="29" fillId="29" borderId="21" xfId="0" applyNumberFormat="1" applyFont="1" applyFill="1" applyBorder="1"/>
    <xf numFmtId="37" fontId="29" fillId="29" borderId="2" xfId="0" applyNumberFormat="1" applyFont="1" applyFill="1" applyBorder="1" applyAlignment="1">
      <alignment horizontal="right" vertical="center"/>
    </xf>
    <xf numFmtId="37" fontId="50" fillId="29" borderId="1" xfId="0" applyNumberFormat="1" applyFont="1" applyFill="1" applyBorder="1"/>
    <xf numFmtId="37" fontId="34" fillId="29" borderId="0" xfId="0" applyNumberFormat="1" applyFont="1" applyFill="1" applyAlignment="1">
      <alignment horizontal="right"/>
    </xf>
    <xf numFmtId="37" fontId="34" fillId="29" borderId="1" xfId="0" applyNumberFormat="1" applyFont="1" applyFill="1" applyBorder="1" applyAlignment="1">
      <alignment horizontal="right"/>
    </xf>
    <xf numFmtId="37" fontId="2" fillId="29" borderId="1" xfId="0" applyNumberFormat="1" applyFont="1" applyFill="1" applyBorder="1" applyAlignment="1">
      <alignment vertical="top" wrapText="1"/>
    </xf>
    <xf numFmtId="37" fontId="2" fillId="29" borderId="1" xfId="0" applyNumberFormat="1" applyFont="1" applyFill="1" applyBorder="1" applyAlignment="1">
      <alignment horizontal="left"/>
    </xf>
    <xf numFmtId="37" fontId="29" fillId="29" borderId="1" xfId="0" applyNumberFormat="1" applyFont="1" applyFill="1" applyBorder="1" applyAlignment="1">
      <alignment horizontal="left"/>
    </xf>
    <xf numFmtId="37" fontId="2" fillId="29" borderId="21" xfId="0" quotePrefix="1" applyNumberFormat="1" applyFont="1" applyFill="1" applyBorder="1"/>
    <xf numFmtId="37" fontId="154" fillId="15" borderId="1" xfId="0" applyNumberFormat="1" applyFont="1" applyFill="1" applyBorder="1"/>
    <xf numFmtId="37" fontId="155" fillId="31" borderId="18" xfId="0" applyNumberFormat="1" applyFont="1" applyFill="1" applyBorder="1"/>
    <xf numFmtId="39" fontId="33" fillId="29" borderId="1" xfId="0" applyNumberFormat="1" applyFont="1" applyFill="1" applyBorder="1" applyAlignment="1">
      <alignment horizontal="left"/>
    </xf>
    <xf numFmtId="39" fontId="2" fillId="29" borderId="1" xfId="0" applyNumberFormat="1" applyFont="1" applyFill="1" applyBorder="1"/>
    <xf numFmtId="37" fontId="2" fillId="29" borderId="53" xfId="0" applyNumberFormat="1" applyFont="1" applyFill="1" applyBorder="1" applyAlignment="1">
      <alignment horizontal="right"/>
    </xf>
    <xf numFmtId="37" fontId="2" fillId="29" borderId="9" xfId="0" applyNumberFormat="1" applyFont="1" applyFill="1" applyBorder="1" applyAlignment="1">
      <alignment horizontal="right"/>
    </xf>
    <xf numFmtId="37" fontId="2" fillId="29" borderId="54" xfId="0" applyNumberFormat="1" applyFont="1" applyFill="1" applyBorder="1" applyAlignment="1">
      <alignment horizontal="right"/>
    </xf>
    <xf numFmtId="37" fontId="2" fillId="29" borderId="2" xfId="0" applyNumberFormat="1" applyFont="1" applyFill="1" applyBorder="1" applyAlignment="1">
      <alignment horizontal="right"/>
    </xf>
    <xf numFmtId="37" fontId="2" fillId="29" borderId="0" xfId="0" applyNumberFormat="1" applyFont="1" applyFill="1" applyBorder="1" applyAlignment="1">
      <alignment horizontal="right"/>
    </xf>
    <xf numFmtId="0" fontId="2" fillId="29" borderId="0" xfId="0" applyFont="1" applyFill="1" applyAlignment="1">
      <alignment horizontal="right"/>
    </xf>
    <xf numFmtId="37" fontId="155" fillId="31" borderId="6" xfId="0" applyNumberFormat="1" applyFont="1" applyFill="1" applyBorder="1" applyAlignment="1">
      <alignment horizontal="right"/>
    </xf>
    <xf numFmtId="37" fontId="156" fillId="31" borderId="6" xfId="0" applyNumberFormat="1" applyFont="1" applyFill="1" applyBorder="1" applyAlignment="1">
      <alignment horizontal="right"/>
    </xf>
    <xf numFmtId="37" fontId="156" fillId="31" borderId="18" xfId="0" applyNumberFormat="1" applyFont="1" applyFill="1" applyBorder="1" applyAlignment="1">
      <alignment horizontal="right"/>
    </xf>
    <xf numFmtId="37" fontId="156" fillId="31" borderId="25" xfId="0" applyNumberFormat="1" applyFont="1" applyFill="1" applyBorder="1" applyAlignment="1">
      <alignment horizontal="right"/>
    </xf>
    <xf numFmtId="37" fontId="156" fillId="31" borderId="21" xfId="0" applyNumberFormat="1" applyFont="1" applyFill="1" applyBorder="1" applyAlignment="1">
      <alignment horizontal="right"/>
    </xf>
    <xf numFmtId="37" fontId="156" fillId="31" borderId="2" xfId="0" applyNumberFormat="1" applyFont="1" applyFill="1" applyBorder="1" applyAlignment="1">
      <alignment horizontal="right"/>
    </xf>
    <xf numFmtId="37" fontId="156" fillId="31" borderId="23" xfId="0" applyNumberFormat="1" applyFont="1" applyFill="1" applyBorder="1" applyAlignment="1">
      <alignment horizontal="right"/>
    </xf>
    <xf numFmtId="37" fontId="2" fillId="29" borderId="22" xfId="0" applyNumberFormat="1" applyFont="1" applyFill="1" applyBorder="1" applyAlignment="1">
      <alignment horizontal="right"/>
    </xf>
    <xf numFmtId="37" fontId="78" fillId="15" borderId="0" xfId="0" applyNumberFormat="1" applyFont="1" applyFill="1" applyAlignment="1">
      <alignment horizontal="right"/>
    </xf>
    <xf numFmtId="37" fontId="43" fillId="15" borderId="0" xfId="0" applyNumberFormat="1" applyFont="1" applyFill="1" applyAlignment="1">
      <alignment horizontal="right"/>
    </xf>
    <xf numFmtId="37" fontId="43" fillId="15" borderId="1" xfId="0" applyNumberFormat="1" applyFont="1" applyFill="1" applyBorder="1" applyAlignment="1">
      <alignment horizontal="right"/>
    </xf>
    <xf numFmtId="37" fontId="43" fillId="15" borderId="22" xfId="0" applyNumberFormat="1" applyFont="1" applyFill="1" applyBorder="1" applyAlignment="1">
      <alignment horizontal="right"/>
    </xf>
    <xf numFmtId="37" fontId="43" fillId="15" borderId="0" xfId="0" applyNumberFormat="1" applyFont="1" applyFill="1" applyBorder="1" applyAlignment="1">
      <alignment horizontal="right"/>
    </xf>
    <xf numFmtId="37" fontId="64" fillId="29" borderId="1" xfId="0" applyNumberFormat="1" applyFont="1" applyFill="1" applyBorder="1" applyAlignment="1">
      <alignment horizontal="right"/>
    </xf>
    <xf numFmtId="37" fontId="64" fillId="29" borderId="0" xfId="0" applyNumberFormat="1" applyFont="1" applyFill="1" applyAlignment="1">
      <alignment horizontal="right"/>
    </xf>
    <xf numFmtId="37" fontId="64" fillId="29" borderId="22" xfId="0" applyNumberFormat="1" applyFont="1" applyFill="1" applyBorder="1" applyAlignment="1">
      <alignment horizontal="right"/>
    </xf>
    <xf numFmtId="37" fontId="64" fillId="29" borderId="0" xfId="0" applyNumberFormat="1" applyFont="1" applyFill="1" applyBorder="1" applyAlignment="1">
      <alignment horizontal="right"/>
    </xf>
    <xf numFmtId="37" fontId="79" fillId="29" borderId="1" xfId="0" applyNumberFormat="1" applyFont="1" applyFill="1" applyBorder="1" applyAlignment="1">
      <alignment horizontal="right"/>
    </xf>
    <xf numFmtId="37" fontId="79" fillId="29" borderId="0" xfId="0" applyNumberFormat="1" applyFont="1" applyFill="1" applyAlignment="1">
      <alignment horizontal="right"/>
    </xf>
    <xf numFmtId="37" fontId="29" fillId="29" borderId="0" xfId="0" applyNumberFormat="1" applyFont="1" applyFill="1" applyAlignment="1">
      <alignment horizontal="right"/>
    </xf>
    <xf numFmtId="37" fontId="29" fillId="29" borderId="1" xfId="0" applyNumberFormat="1" applyFont="1" applyFill="1" applyBorder="1" applyAlignment="1">
      <alignment horizontal="right"/>
    </xf>
    <xf numFmtId="37" fontId="29" fillId="29" borderId="22" xfId="0" applyNumberFormat="1" applyFont="1" applyFill="1" applyBorder="1" applyAlignment="1">
      <alignment horizontal="right"/>
    </xf>
    <xf numFmtId="37" fontId="34" fillId="29" borderId="22" xfId="0" applyNumberFormat="1" applyFont="1" applyFill="1" applyBorder="1" applyAlignment="1">
      <alignment horizontal="right"/>
    </xf>
    <xf numFmtId="37" fontId="41" fillId="29" borderId="1" xfId="0" applyNumberFormat="1" applyFont="1" applyFill="1" applyBorder="1" applyAlignment="1">
      <alignment horizontal="right"/>
    </xf>
    <xf numFmtId="37" fontId="41" fillId="29" borderId="0" xfId="0" applyNumberFormat="1" applyFont="1" applyFill="1" applyAlignment="1">
      <alignment horizontal="right"/>
    </xf>
    <xf numFmtId="165" fontId="2" fillId="29" borderId="1" xfId="0" applyNumberFormat="1" applyFont="1" applyFill="1" applyBorder="1" applyAlignment="1">
      <alignment horizontal="right"/>
    </xf>
    <xf numFmtId="165" fontId="2" fillId="29" borderId="22" xfId="0" applyNumberFormat="1" applyFont="1" applyFill="1" applyBorder="1" applyAlignment="1">
      <alignment horizontal="right"/>
    </xf>
    <xf numFmtId="37" fontId="33" fillId="29" borderId="0" xfId="0" applyNumberFormat="1" applyFont="1" applyFill="1" applyAlignment="1">
      <alignment horizontal="right" vertical="center"/>
    </xf>
    <xf numFmtId="37" fontId="64" fillId="29" borderId="1" xfId="0" applyNumberFormat="1" applyFont="1" applyFill="1" applyBorder="1" applyAlignment="1">
      <alignment horizontal="right" vertical="center"/>
    </xf>
    <xf numFmtId="37" fontId="64" fillId="29" borderId="0" xfId="0" applyNumberFormat="1" applyFont="1" applyFill="1" applyAlignment="1">
      <alignment horizontal="right" vertical="center"/>
    </xf>
    <xf numFmtId="37" fontId="64" fillId="29" borderId="22" xfId="0" applyNumberFormat="1" applyFont="1" applyFill="1" applyBorder="1" applyAlignment="1">
      <alignment horizontal="right" vertical="center"/>
    </xf>
    <xf numFmtId="37" fontId="64" fillId="29" borderId="0" xfId="0" applyNumberFormat="1" applyFont="1" applyFill="1" applyBorder="1" applyAlignment="1">
      <alignment horizontal="right" vertical="center"/>
    </xf>
    <xf numFmtId="37" fontId="65" fillId="29" borderId="1" xfId="0" applyNumberFormat="1" applyFont="1" applyFill="1" applyBorder="1" applyAlignment="1">
      <alignment horizontal="right"/>
    </xf>
    <xf numFmtId="37" fontId="65" fillId="29" borderId="0" xfId="0" applyNumberFormat="1" applyFont="1" applyFill="1" applyAlignment="1">
      <alignment horizontal="right"/>
    </xf>
    <xf numFmtId="37" fontId="65" fillId="29" borderId="22" xfId="0" applyNumberFormat="1" applyFont="1" applyFill="1" applyBorder="1" applyAlignment="1">
      <alignment horizontal="right"/>
    </xf>
    <xf numFmtId="37" fontId="65" fillId="29" borderId="0" xfId="0" applyNumberFormat="1" applyFont="1" applyFill="1" applyBorder="1" applyAlignment="1">
      <alignment horizontal="right"/>
    </xf>
    <xf numFmtId="37" fontId="33" fillId="29" borderId="22" xfId="0" applyNumberFormat="1" applyFont="1" applyFill="1" applyBorder="1" applyAlignment="1">
      <alignment horizontal="right" vertical="center"/>
    </xf>
    <xf numFmtId="37" fontId="33" fillId="29" borderId="0" xfId="0" applyNumberFormat="1" applyFont="1" applyFill="1" applyBorder="1" applyAlignment="1">
      <alignment horizontal="right" vertical="center"/>
    </xf>
    <xf numFmtId="39" fontId="2" fillId="29" borderId="0" xfId="0" applyNumberFormat="1" applyFont="1" applyFill="1" applyAlignment="1">
      <alignment horizontal="right"/>
    </xf>
    <xf numFmtId="39" fontId="2" fillId="29" borderId="1" xfId="0" applyNumberFormat="1" applyFont="1" applyFill="1" applyBorder="1" applyAlignment="1">
      <alignment horizontal="right"/>
    </xf>
    <xf numFmtId="39" fontId="2" fillId="29" borderId="22" xfId="0" applyNumberFormat="1" applyFont="1" applyFill="1" applyBorder="1" applyAlignment="1">
      <alignment horizontal="right"/>
    </xf>
    <xf numFmtId="39" fontId="2" fillId="29" borderId="0" xfId="0" applyNumberFormat="1" applyFont="1" applyFill="1" applyBorder="1" applyAlignment="1">
      <alignment horizontal="right"/>
    </xf>
    <xf numFmtId="39" fontId="34" fillId="29" borderId="0" xfId="0" applyNumberFormat="1" applyFont="1" applyFill="1" applyAlignment="1">
      <alignment horizontal="right"/>
    </xf>
    <xf numFmtId="39" fontId="34" fillId="29" borderId="1" xfId="0" applyNumberFormat="1" applyFont="1" applyFill="1" applyBorder="1" applyAlignment="1">
      <alignment horizontal="right"/>
    </xf>
    <xf numFmtId="39" fontId="34" fillId="29" borderId="22" xfId="0" applyNumberFormat="1" applyFont="1" applyFill="1" applyBorder="1" applyAlignment="1">
      <alignment horizontal="right"/>
    </xf>
    <xf numFmtId="39" fontId="34" fillId="29" borderId="0" xfId="0" applyNumberFormat="1" applyFont="1" applyFill="1" applyBorder="1" applyAlignment="1">
      <alignment horizontal="right"/>
    </xf>
    <xf numFmtId="39" fontId="27" fillId="29" borderId="0" xfId="0" applyNumberFormat="1" applyFont="1" applyFill="1" applyAlignment="1">
      <alignment horizontal="right"/>
    </xf>
    <xf numFmtId="39" fontId="27" fillId="29" borderId="1" xfId="0" applyNumberFormat="1" applyFont="1" applyFill="1" applyBorder="1" applyAlignment="1">
      <alignment horizontal="right"/>
    </xf>
    <xf numFmtId="39" fontId="27" fillId="29" borderId="22" xfId="0" applyNumberFormat="1" applyFont="1" applyFill="1" applyBorder="1" applyAlignment="1">
      <alignment horizontal="right"/>
    </xf>
    <xf numFmtId="39" fontId="33" fillId="29" borderId="0" xfId="0" applyNumberFormat="1" applyFont="1" applyFill="1" applyAlignment="1">
      <alignment horizontal="right"/>
    </xf>
    <xf numFmtId="39" fontId="33" fillId="29" borderId="22" xfId="0" applyNumberFormat="1" applyFont="1" applyFill="1" applyBorder="1" applyAlignment="1">
      <alignment horizontal="right"/>
    </xf>
    <xf numFmtId="39" fontId="33" fillId="29" borderId="0" xfId="0" applyNumberFormat="1" applyFont="1" applyFill="1" applyBorder="1" applyAlignment="1">
      <alignment horizontal="right"/>
    </xf>
    <xf numFmtId="37" fontId="27" fillId="29" borderId="0" xfId="0" applyNumberFormat="1" applyFont="1" applyFill="1" applyAlignment="1">
      <alignment horizontal="right"/>
    </xf>
    <xf numFmtId="37" fontId="27" fillId="29" borderId="1" xfId="0" applyNumberFormat="1" applyFont="1" applyFill="1" applyBorder="1" applyAlignment="1">
      <alignment horizontal="right"/>
    </xf>
    <xf numFmtId="37" fontId="27" fillId="29" borderId="22" xfId="0" applyNumberFormat="1" applyFont="1" applyFill="1" applyBorder="1" applyAlignment="1">
      <alignment horizontal="right"/>
    </xf>
    <xf numFmtId="37" fontId="154" fillId="15" borderId="0" xfId="0" applyNumberFormat="1" applyFont="1" applyFill="1" applyAlignment="1">
      <alignment horizontal="right"/>
    </xf>
    <xf numFmtId="37" fontId="153" fillId="15" borderId="0" xfId="0" applyNumberFormat="1" applyFont="1" applyFill="1" applyAlignment="1">
      <alignment horizontal="right"/>
    </xf>
    <xf numFmtId="37" fontId="153" fillId="15" borderId="1" xfId="0" applyNumberFormat="1" applyFont="1" applyFill="1" applyBorder="1" applyAlignment="1">
      <alignment horizontal="right"/>
    </xf>
    <xf numFmtId="37" fontId="153" fillId="15" borderId="22" xfId="0" applyNumberFormat="1" applyFont="1" applyFill="1" applyBorder="1" applyAlignment="1">
      <alignment horizontal="right"/>
    </xf>
    <xf numFmtId="37" fontId="153" fillId="15" borderId="0" xfId="0" applyNumberFormat="1" applyFont="1" applyFill="1" applyBorder="1" applyAlignment="1">
      <alignment horizontal="right"/>
    </xf>
    <xf numFmtId="37" fontId="2" fillId="29" borderId="0" xfId="0" applyNumberFormat="1" applyFont="1" applyFill="1" applyAlignment="1">
      <alignment horizontal="right" indent="1"/>
    </xf>
    <xf numFmtId="41" fontId="34" fillId="29" borderId="0" xfId="0" applyNumberFormat="1" applyFont="1" applyFill="1" applyAlignment="1">
      <alignment horizontal="right"/>
    </xf>
    <xf numFmtId="41" fontId="34" fillId="29" borderId="1" xfId="0" applyNumberFormat="1" applyFont="1" applyFill="1" applyBorder="1" applyAlignment="1">
      <alignment horizontal="right"/>
    </xf>
    <xf numFmtId="41" fontId="2" fillId="29" borderId="22" xfId="0" applyNumberFormat="1" applyFont="1" applyFill="1" applyBorder="1" applyAlignment="1">
      <alignment horizontal="right"/>
    </xf>
    <xf numFmtId="41" fontId="34" fillId="29" borderId="22" xfId="0" applyNumberFormat="1" applyFont="1" applyFill="1" applyBorder="1" applyAlignment="1">
      <alignment horizontal="right"/>
    </xf>
    <xf numFmtId="41" fontId="34" fillId="29" borderId="0" xfId="0" applyNumberFormat="1" applyFont="1" applyFill="1" applyBorder="1" applyAlignment="1">
      <alignment horizontal="right"/>
    </xf>
    <xf numFmtId="37" fontId="154" fillId="15" borderId="1" xfId="0" applyNumberFormat="1" applyFont="1" applyFill="1" applyBorder="1" applyAlignment="1">
      <alignment horizontal="right"/>
    </xf>
    <xf numFmtId="171" fontId="2" fillId="29" borderId="0" xfId="0" applyNumberFormat="1" applyFont="1" applyFill="1" applyAlignment="1">
      <alignment horizontal="right"/>
    </xf>
    <xf numFmtId="171" fontId="2" fillId="29" borderId="1" xfId="0" applyNumberFormat="1" applyFont="1" applyFill="1" applyBorder="1" applyAlignment="1">
      <alignment horizontal="right"/>
    </xf>
    <xf numFmtId="171" fontId="2" fillId="29" borderId="22" xfId="0" applyNumberFormat="1" applyFont="1" applyFill="1" applyBorder="1" applyAlignment="1">
      <alignment horizontal="right"/>
    </xf>
    <xf numFmtId="171" fontId="33" fillId="29" borderId="0" xfId="0" applyNumberFormat="1" applyFont="1" applyFill="1" applyAlignment="1">
      <alignment horizontal="right"/>
    </xf>
    <xf numFmtId="171" fontId="33" fillId="29" borderId="1" xfId="0" applyNumberFormat="1" applyFont="1" applyFill="1" applyBorder="1" applyAlignment="1">
      <alignment horizontal="right"/>
    </xf>
    <xf numFmtId="171" fontId="33" fillId="29" borderId="22" xfId="0" applyNumberFormat="1" applyFont="1" applyFill="1" applyBorder="1" applyAlignment="1">
      <alignment horizontal="right"/>
    </xf>
    <xf numFmtId="171" fontId="33" fillId="29" borderId="0" xfId="0" applyNumberFormat="1" applyFont="1" applyFill="1" applyBorder="1" applyAlignment="1">
      <alignment horizontal="right"/>
    </xf>
    <xf numFmtId="37" fontId="66" fillId="29" borderId="1" xfId="0" applyNumberFormat="1" applyFont="1" applyFill="1" applyBorder="1" applyAlignment="1">
      <alignment horizontal="right"/>
    </xf>
    <xf numFmtId="37" fontId="66" fillId="29" borderId="0" xfId="0" applyNumberFormat="1" applyFont="1" applyFill="1" applyAlignment="1">
      <alignment horizontal="right"/>
    </xf>
    <xf numFmtId="37" fontId="41" fillId="29" borderId="0" xfId="0" applyNumberFormat="1" applyFont="1" applyFill="1" applyBorder="1" applyAlignment="1">
      <alignment horizontal="right"/>
    </xf>
    <xf numFmtId="37" fontId="41" fillId="29" borderId="22" xfId="0" applyNumberFormat="1" applyFont="1" applyFill="1" applyBorder="1" applyAlignment="1">
      <alignment horizontal="right"/>
    </xf>
    <xf numFmtId="37" fontId="34" fillId="29" borderId="0" xfId="0" applyNumberFormat="1" applyFont="1" applyFill="1" applyBorder="1" applyAlignment="1">
      <alignment horizontal="right"/>
    </xf>
    <xf numFmtId="37" fontId="39" fillId="29" borderId="0" xfId="0" applyNumberFormat="1" applyFont="1" applyFill="1" applyAlignment="1">
      <alignment horizontal="right"/>
    </xf>
    <xf numFmtId="37" fontId="39" fillId="29" borderId="1" xfId="0" applyNumberFormat="1" applyFont="1" applyFill="1" applyBorder="1" applyAlignment="1">
      <alignment horizontal="right"/>
    </xf>
    <xf numFmtId="165" fontId="34" fillId="29" borderId="1" xfId="0" applyNumberFormat="1" applyFont="1" applyFill="1" applyBorder="1" applyAlignment="1">
      <alignment horizontal="right"/>
    </xf>
    <xf numFmtId="165" fontId="34" fillId="29" borderId="0" xfId="0" applyNumberFormat="1" applyFont="1" applyFill="1" applyAlignment="1">
      <alignment horizontal="right"/>
    </xf>
    <xf numFmtId="165" fontId="34" fillId="29" borderId="22" xfId="0" applyNumberFormat="1" applyFont="1" applyFill="1" applyBorder="1" applyAlignment="1">
      <alignment horizontal="right"/>
    </xf>
    <xf numFmtId="165" fontId="34" fillId="29" borderId="0" xfId="0" applyNumberFormat="1" applyFont="1" applyFill="1" applyBorder="1" applyAlignment="1">
      <alignment horizontal="right"/>
    </xf>
    <xf numFmtId="37" fontId="78" fillId="29" borderId="0" xfId="0" applyNumberFormat="1" applyFont="1" applyFill="1" applyAlignment="1">
      <alignment horizontal="right"/>
    </xf>
    <xf numFmtId="37" fontId="78" fillId="29" borderId="1" xfId="0" applyNumberFormat="1" applyFont="1" applyFill="1" applyBorder="1" applyAlignment="1">
      <alignment horizontal="right"/>
    </xf>
    <xf numFmtId="37" fontId="32" fillId="29" borderId="1" xfId="0" applyNumberFormat="1" applyFont="1" applyFill="1" applyBorder="1" applyAlignment="1">
      <alignment horizontal="right"/>
    </xf>
    <xf numFmtId="37" fontId="32" fillId="29" borderId="0" xfId="0" applyNumberFormat="1" applyFont="1" applyFill="1" applyAlignment="1">
      <alignment horizontal="right"/>
    </xf>
    <xf numFmtId="37" fontId="48" fillId="29" borderId="1" xfId="0" applyNumberFormat="1" applyFont="1" applyFill="1" applyBorder="1" applyAlignment="1">
      <alignment horizontal="right"/>
    </xf>
    <xf numFmtId="37" fontId="48" fillId="29" borderId="0" xfId="0" applyNumberFormat="1" applyFont="1" applyFill="1" applyAlignment="1">
      <alignment horizontal="right"/>
    </xf>
    <xf numFmtId="37" fontId="48" fillId="29" borderId="22" xfId="0" applyNumberFormat="1" applyFont="1" applyFill="1" applyBorder="1" applyAlignment="1">
      <alignment horizontal="right"/>
    </xf>
    <xf numFmtId="37" fontId="48" fillId="29" borderId="0" xfId="0" applyNumberFormat="1" applyFont="1" applyFill="1" applyBorder="1" applyAlignment="1">
      <alignment horizontal="right"/>
    </xf>
    <xf numFmtId="37" fontId="35" fillId="29" borderId="1" xfId="0" applyNumberFormat="1" applyFont="1" applyFill="1" applyBorder="1" applyAlignment="1">
      <alignment horizontal="right"/>
    </xf>
    <xf numFmtId="37" fontId="32" fillId="29" borderId="22" xfId="0" applyNumberFormat="1" applyFont="1" applyFill="1" applyBorder="1" applyAlignment="1">
      <alignment horizontal="right"/>
    </xf>
    <xf numFmtId="37" fontId="32" fillId="29" borderId="0" xfId="0" applyNumberFormat="1" applyFont="1" applyFill="1" applyBorder="1" applyAlignment="1">
      <alignment horizontal="right"/>
    </xf>
    <xf numFmtId="37" fontId="2" fillId="29" borderId="0" xfId="0" quotePrefix="1" applyNumberFormat="1" applyFont="1" applyFill="1" applyAlignment="1">
      <alignment horizontal="right"/>
    </xf>
    <xf numFmtId="37" fontId="2" fillId="29" borderId="1" xfId="0" applyNumberFormat="1" applyFont="1" applyFill="1" applyBorder="1" applyAlignment="1">
      <alignment horizontal="right" indent="1"/>
    </xf>
    <xf numFmtId="37" fontId="29" fillId="29" borderId="2" xfId="0" applyNumberFormat="1" applyFont="1" applyFill="1" applyBorder="1" applyAlignment="1">
      <alignment horizontal="right"/>
    </xf>
    <xf numFmtId="37" fontId="29" fillId="29" borderId="21" xfId="0" applyNumberFormat="1" applyFont="1" applyFill="1" applyBorder="1" applyAlignment="1">
      <alignment horizontal="right"/>
    </xf>
    <xf numFmtId="37" fontId="29" fillId="29" borderId="23" xfId="0" applyNumberFormat="1" applyFont="1" applyFill="1" applyBorder="1" applyAlignment="1">
      <alignment horizontal="right"/>
    </xf>
    <xf numFmtId="37" fontId="2" fillId="29" borderId="21" xfId="0" applyNumberFormat="1" applyFont="1" applyFill="1" applyBorder="1" applyAlignment="1">
      <alignment horizontal="right"/>
    </xf>
    <xf numFmtId="37" fontId="2" fillId="29" borderId="23" xfId="0" applyNumberFormat="1" applyFont="1" applyFill="1" applyBorder="1" applyAlignment="1">
      <alignment horizontal="right"/>
    </xf>
    <xf numFmtId="37" fontId="53" fillId="29" borderId="0" xfId="0" applyNumberFormat="1" applyFont="1" applyFill="1" applyAlignment="1">
      <alignment horizontal="right"/>
    </xf>
    <xf numFmtId="37" fontId="53" fillId="29" borderId="1" xfId="0" applyNumberFormat="1" applyFont="1" applyFill="1" applyBorder="1" applyAlignment="1">
      <alignment horizontal="right"/>
    </xf>
    <xf numFmtId="37" fontId="2" fillId="29" borderId="0" xfId="0" applyNumberFormat="1" applyFont="1" applyFill="1" applyAlignment="1">
      <alignment horizontal="right" vertical="top" wrapText="1"/>
    </xf>
    <xf numFmtId="37" fontId="2" fillId="29" borderId="1" xfId="0" applyNumberFormat="1" applyFont="1" applyFill="1" applyBorder="1" applyAlignment="1">
      <alignment horizontal="right" vertical="top" wrapText="1"/>
    </xf>
    <xf numFmtId="0" fontId="2" fillId="29" borderId="0" xfId="0" applyFont="1" applyFill="1" applyBorder="1" applyAlignment="1">
      <alignment horizontal="right"/>
    </xf>
    <xf numFmtId="0" fontId="34" fillId="29" borderId="0" xfId="0" applyFont="1" applyFill="1" applyAlignment="1">
      <alignment horizontal="right"/>
    </xf>
    <xf numFmtId="0" fontId="2" fillId="29" borderId="1" xfId="0" applyFont="1" applyFill="1" applyBorder="1" applyAlignment="1">
      <alignment horizontal="right"/>
    </xf>
    <xf numFmtId="0" fontId="2" fillId="29" borderId="22" xfId="0" applyFont="1" applyFill="1" applyBorder="1" applyAlignment="1">
      <alignment horizontal="right"/>
    </xf>
    <xf numFmtId="0" fontId="29" fillId="29" borderId="0" xfId="0" applyFont="1" applyFill="1" applyAlignment="1">
      <alignment horizontal="right"/>
    </xf>
    <xf numFmtId="37" fontId="42" fillId="29" borderId="1" xfId="0" applyNumberFormat="1" applyFont="1" applyFill="1" applyBorder="1" applyAlignment="1">
      <alignment horizontal="right"/>
    </xf>
    <xf numFmtId="37" fontId="42" fillId="29" borderId="0" xfId="0" applyNumberFormat="1" applyFont="1" applyFill="1" applyAlignment="1">
      <alignment horizontal="right"/>
    </xf>
    <xf numFmtId="37" fontId="42" fillId="29" borderId="22" xfId="0" applyNumberFormat="1" applyFont="1" applyFill="1" applyBorder="1" applyAlignment="1">
      <alignment horizontal="right"/>
    </xf>
    <xf numFmtId="37" fontId="42" fillId="29" borderId="0" xfId="0" applyNumberFormat="1" applyFont="1" applyFill="1" applyBorder="1" applyAlignment="1">
      <alignment horizontal="right"/>
    </xf>
    <xf numFmtId="43" fontId="76" fillId="0" borderId="0" xfId="35" applyFont="1"/>
    <xf numFmtId="1" fontId="4" fillId="0" borderId="46" xfId="0" applyNumberFormat="1" applyFont="1" applyBorder="1"/>
    <xf numFmtId="49" fontId="9" fillId="28" borderId="0" xfId="0" applyNumberFormat="1" applyFont="1" applyFill="1" applyAlignment="1">
      <alignment horizontal="right"/>
    </xf>
    <xf numFmtId="165" fontId="5" fillId="0" borderId="0" xfId="0" applyNumberFormat="1" applyFont="1" applyAlignment="1">
      <alignment horizontal="right"/>
    </xf>
    <xf numFmtId="9" fontId="111" fillId="0" borderId="0" xfId="0" applyNumberFormat="1" applyFont="1" applyAlignment="1">
      <alignment horizontal="right"/>
    </xf>
    <xf numFmtId="9" fontId="5" fillId="0" borderId="0" xfId="0" applyNumberFormat="1" applyFont="1" applyAlignment="1">
      <alignment horizontal="right"/>
    </xf>
    <xf numFmtId="37" fontId="111" fillId="0" borderId="0" xfId="0" applyNumberFormat="1" applyFont="1" applyAlignment="1">
      <alignment horizontal="right"/>
    </xf>
    <xf numFmtId="37" fontId="4" fillId="29" borderId="0" xfId="0" applyNumberFormat="1" applyFont="1" applyFill="1" applyAlignment="1">
      <alignment horizontal="right"/>
    </xf>
    <xf numFmtId="37" fontId="4" fillId="30" borderId="0" xfId="0" applyNumberFormat="1" applyFont="1" applyFill="1" applyAlignment="1">
      <alignment horizontal="right"/>
    </xf>
    <xf numFmtId="9" fontId="4" fillId="0" borderId="0" xfId="0" applyNumberFormat="1" applyFont="1" applyAlignment="1">
      <alignment horizontal="right"/>
    </xf>
    <xf numFmtId="49" fontId="5" fillId="0" borderId="24" xfId="0" applyNumberFormat="1" applyFont="1" applyBorder="1" applyAlignment="1">
      <alignment horizontal="right"/>
    </xf>
    <xf numFmtId="165" fontId="28" fillId="0" borderId="22" xfId="56" applyNumberFormat="1" applyFont="1" applyBorder="1"/>
    <xf numFmtId="37" fontId="131" fillId="0" borderId="0" xfId="0" applyNumberFormat="1" applyFont="1"/>
    <xf numFmtId="37" fontId="131" fillId="0" borderId="0" xfId="0" applyNumberFormat="1" applyFont="1" applyBorder="1"/>
    <xf numFmtId="168" fontId="131" fillId="0" borderId="0" xfId="0" applyNumberFormat="1" applyFont="1" applyBorder="1"/>
    <xf numFmtId="168" fontId="131" fillId="0" borderId="0" xfId="0" applyNumberFormat="1" applyFont="1"/>
    <xf numFmtId="168" fontId="76" fillId="0" borderId="0" xfId="56" applyNumberFormat="1" applyFont="1"/>
    <xf numFmtId="1" fontId="4" fillId="0" borderId="39" xfId="0" applyNumberFormat="1" applyFont="1" applyBorder="1" applyAlignment="1">
      <alignment horizontal="center"/>
    </xf>
    <xf numFmtId="49" fontId="40" fillId="21" borderId="18" xfId="0" applyNumberFormat="1" applyFont="1" applyFill="1" applyBorder="1" applyAlignment="1">
      <alignment horizontal="center"/>
    </xf>
    <xf numFmtId="165" fontId="28" fillId="0" borderId="1" xfId="56" applyNumberFormat="1" applyFont="1" applyBorder="1"/>
    <xf numFmtId="165" fontId="33" fillId="29" borderId="1" xfId="0" applyNumberFormat="1" applyFont="1" applyFill="1" applyBorder="1"/>
    <xf numFmtId="43" fontId="2" fillId="29" borderId="0" xfId="0" applyNumberFormat="1" applyFont="1" applyFill="1" applyBorder="1"/>
    <xf numFmtId="41" fontId="2" fillId="29" borderId="22" xfId="0" applyNumberFormat="1" applyFont="1" applyFill="1" applyBorder="1"/>
    <xf numFmtId="0" fontId="33" fillId="29" borderId="1" xfId="0" applyFont="1" applyFill="1" applyBorder="1"/>
    <xf numFmtId="0" fontId="33" fillId="29" borderId="0" xfId="0" applyFont="1" applyFill="1" applyBorder="1"/>
    <xf numFmtId="0" fontId="2" fillId="29" borderId="1" xfId="61" applyFont="1" applyFill="1" applyBorder="1" applyAlignment="1">
      <alignment horizontal="left" indent="2"/>
    </xf>
    <xf numFmtId="10" fontId="2" fillId="29" borderId="0" xfId="0" applyNumberFormat="1" applyFont="1" applyFill="1" applyBorder="1"/>
    <xf numFmtId="0" fontId="2" fillId="29" borderId="1" xfId="0" applyFont="1" applyFill="1" applyBorder="1" applyAlignment="1">
      <alignment horizontal="left" indent="2"/>
    </xf>
    <xf numFmtId="0" fontId="33" fillId="29" borderId="22" xfId="0" applyFont="1" applyFill="1" applyBorder="1"/>
    <xf numFmtId="3" fontId="37" fillId="0" borderId="0" xfId="0" applyNumberFormat="1" applyFont="1" applyBorder="1" applyAlignment="1">
      <alignment horizontal="center"/>
    </xf>
    <xf numFmtId="7" fontId="37" fillId="0" borderId="0" xfId="0" applyNumberFormat="1" applyFont="1" applyBorder="1" applyAlignment="1">
      <alignment horizontal="center"/>
    </xf>
    <xf numFmtId="7" fontId="37" fillId="0" borderId="0" xfId="0" applyNumberFormat="1" applyFont="1" applyBorder="1" applyAlignment="1">
      <alignment horizontal="right"/>
    </xf>
    <xf numFmtId="7" fontId="29" fillId="0" borderId="0" xfId="0" applyNumberFormat="1" applyFont="1" applyBorder="1"/>
    <xf numFmtId="10" fontId="29" fillId="0" borderId="0" xfId="0" applyNumberFormat="1" applyFont="1" applyBorder="1"/>
    <xf numFmtId="4" fontId="29" fillId="0" borderId="0" xfId="0" applyNumberFormat="1" applyFont="1" applyBorder="1" applyAlignment="1">
      <alignment horizontal="center"/>
    </xf>
    <xf numFmtId="0" fontId="36" fillId="0" borderId="36" xfId="0" applyFont="1" applyBorder="1"/>
    <xf numFmtId="7" fontId="40" fillId="21" borderId="0" xfId="0" applyNumberFormat="1" applyFont="1" applyFill="1" applyBorder="1" applyAlignment="1">
      <alignment horizontal="center"/>
    </xf>
    <xf numFmtId="7" fontId="40" fillId="21" borderId="1" xfId="0" applyNumberFormat="1" applyFont="1" applyFill="1" applyBorder="1" applyAlignment="1">
      <alignment horizontal="center"/>
    </xf>
    <xf numFmtId="7" fontId="40" fillId="21" borderId="22" xfId="0" applyNumberFormat="1" applyFont="1" applyFill="1" applyBorder="1" applyAlignment="1">
      <alignment horizontal="center"/>
    </xf>
    <xf numFmtId="165" fontId="2" fillId="15" borderId="1" xfId="0" applyNumberFormat="1" applyFont="1" applyFill="1" applyBorder="1" applyAlignment="1">
      <alignment horizontal="center"/>
    </xf>
    <xf numFmtId="37" fontId="33" fillId="29" borderId="1" xfId="0" applyNumberFormat="1" applyFont="1" applyFill="1" applyBorder="1"/>
    <xf numFmtId="43" fontId="29" fillId="19" borderId="0" xfId="0" applyNumberFormat="1" applyFont="1" applyFill="1" applyBorder="1"/>
    <xf numFmtId="43" fontId="29" fillId="19" borderId="1" xfId="0" applyNumberFormat="1" applyFont="1" applyFill="1" applyBorder="1"/>
    <xf numFmtId="10" fontId="2" fillId="0" borderId="1" xfId="61" applyNumberFormat="1" applyFont="1" applyBorder="1" applyAlignment="1">
      <alignment horizontal="left"/>
    </xf>
    <xf numFmtId="41" fontId="29" fillId="0" borderId="0" xfId="61" applyNumberFormat="1" applyFont="1" applyBorder="1" applyAlignment="1"/>
    <xf numFmtId="41" fontId="29" fillId="0" borderId="22" xfId="61" applyNumberFormat="1" applyFont="1" applyBorder="1" applyAlignment="1"/>
    <xf numFmtId="41" fontId="41" fillId="17" borderId="1" xfId="0" applyNumberFormat="1" applyFont="1" applyFill="1" applyBorder="1"/>
    <xf numFmtId="41" fontId="41" fillId="17" borderId="0" xfId="0" applyNumberFormat="1" applyFont="1" applyFill="1" applyBorder="1"/>
    <xf numFmtId="41" fontId="29" fillId="0" borderId="1" xfId="61" applyNumberFormat="1" applyFont="1" applyBorder="1" applyAlignment="1"/>
    <xf numFmtId="165" fontId="2" fillId="29" borderId="1" xfId="0" applyNumberFormat="1" applyFont="1" applyFill="1" applyBorder="1" applyAlignment="1">
      <alignment horizontal="left" indent="2"/>
    </xf>
    <xf numFmtId="0" fontId="29" fillId="29" borderId="0" xfId="0" applyFont="1" applyFill="1" applyBorder="1"/>
    <xf numFmtId="165" fontId="2" fillId="15" borderId="1" xfId="61" applyNumberFormat="1" applyFont="1" applyFill="1" applyBorder="1" applyAlignment="1">
      <alignment horizontal="left" indent="2"/>
    </xf>
    <xf numFmtId="165" fontId="33" fillId="15" borderId="0" xfId="0" applyNumberFormat="1" applyFont="1" applyFill="1" applyBorder="1"/>
    <xf numFmtId="165" fontId="33" fillId="15" borderId="22" xfId="0" applyNumberFormat="1" applyFont="1" applyFill="1" applyBorder="1"/>
    <xf numFmtId="165" fontId="33" fillId="15" borderId="1" xfId="0" applyNumberFormat="1" applyFont="1" applyFill="1" applyBorder="1" applyAlignment="1">
      <alignment horizontal="right"/>
    </xf>
    <xf numFmtId="165" fontId="33" fillId="15" borderId="0" xfId="0" applyNumberFormat="1" applyFont="1" applyFill="1" applyBorder="1" applyAlignment="1">
      <alignment horizontal="right"/>
    </xf>
    <xf numFmtId="165" fontId="48" fillId="15" borderId="1" xfId="0" applyNumberFormat="1" applyFont="1" applyFill="1" applyBorder="1"/>
    <xf numFmtId="165" fontId="48" fillId="15" borderId="0" xfId="0" applyNumberFormat="1" applyFont="1" applyFill="1" applyBorder="1"/>
    <xf numFmtId="165" fontId="2" fillId="15" borderId="22" xfId="0" applyNumberFormat="1" applyFont="1" applyFill="1" applyBorder="1"/>
    <xf numFmtId="165" fontId="33" fillId="15" borderId="1" xfId="0" applyNumberFormat="1" applyFont="1" applyFill="1" applyBorder="1"/>
    <xf numFmtId="43" fontId="29" fillId="29" borderId="0" xfId="0" applyNumberFormat="1" applyFont="1" applyFill="1" applyBorder="1"/>
    <xf numFmtId="165" fontId="2" fillId="15" borderId="1" xfId="0" applyNumberFormat="1" applyFont="1" applyFill="1" applyBorder="1" applyAlignment="1">
      <alignment horizontal="left" indent="3"/>
    </xf>
    <xf numFmtId="0" fontId="29" fillId="15" borderId="1" xfId="61" applyFont="1" applyFill="1" applyBorder="1" applyAlignment="1">
      <alignment horizontal="left" indent="1"/>
    </xf>
    <xf numFmtId="43" fontId="29" fillId="15" borderId="0" xfId="0" applyNumberFormat="1" applyFont="1" applyFill="1" applyBorder="1"/>
    <xf numFmtId="10" fontId="29" fillId="15" borderId="0" xfId="0" applyNumberFormat="1" applyFont="1" applyFill="1" applyBorder="1"/>
    <xf numFmtId="10" fontId="41" fillId="15" borderId="0" xfId="0" applyNumberFormat="1" applyFont="1" applyFill="1" applyBorder="1"/>
    <xf numFmtId="10" fontId="41" fillId="15" borderId="22" xfId="0" applyNumberFormat="1" applyFont="1" applyFill="1" applyBorder="1"/>
    <xf numFmtId="0" fontId="41" fillId="15" borderId="1" xfId="0" applyFont="1" applyFill="1" applyBorder="1"/>
    <xf numFmtId="0" fontId="41" fillId="15" borderId="0" xfId="0" applyFont="1" applyFill="1" applyBorder="1"/>
    <xf numFmtId="10" fontId="41" fillId="15" borderId="1" xfId="0" applyNumberFormat="1" applyFont="1" applyFill="1" applyBorder="1"/>
    <xf numFmtId="10" fontId="33" fillId="15" borderId="0" xfId="0" applyNumberFormat="1" applyFont="1" applyFill="1" applyBorder="1"/>
    <xf numFmtId="10" fontId="33" fillId="15" borderId="22" xfId="0" applyNumberFormat="1" applyFont="1" applyFill="1" applyBorder="1"/>
    <xf numFmtId="41" fontId="2" fillId="15" borderId="1" xfId="61" applyNumberFormat="1" applyFont="1" applyFill="1" applyBorder="1" applyAlignment="1"/>
    <xf numFmtId="41" fontId="2" fillId="15" borderId="0" xfId="61" applyNumberFormat="1" applyFont="1" applyFill="1" applyBorder="1" applyAlignment="1"/>
    <xf numFmtId="0" fontId="2" fillId="15" borderId="1" xfId="0" applyFont="1" applyFill="1" applyBorder="1" applyAlignment="1">
      <alignment horizontal="left" indent="3"/>
    </xf>
    <xf numFmtId="165" fontId="2" fillId="15" borderId="2" xfId="0" applyNumberFormat="1" applyFont="1" applyFill="1" applyBorder="1"/>
    <xf numFmtId="165" fontId="33" fillId="15" borderId="2" xfId="0" applyNumberFormat="1" applyFont="1" applyFill="1" applyBorder="1"/>
    <xf numFmtId="165" fontId="33" fillId="15" borderId="23" xfId="0" applyNumberFormat="1" applyFont="1" applyFill="1" applyBorder="1"/>
    <xf numFmtId="165" fontId="2" fillId="15" borderId="21" xfId="0" applyNumberFormat="1" applyFont="1" applyFill="1" applyBorder="1"/>
    <xf numFmtId="165" fontId="33" fillId="15" borderId="21" xfId="0" applyNumberFormat="1" applyFont="1" applyFill="1" applyBorder="1"/>
    <xf numFmtId="0" fontId="29" fillId="15" borderId="1" xfId="61" applyFont="1" applyFill="1" applyBorder="1" applyAlignment="1">
      <alignment horizontal="left" indent="2"/>
    </xf>
    <xf numFmtId="0" fontId="29" fillId="29" borderId="1" xfId="61" applyFont="1" applyFill="1" applyBorder="1" applyAlignment="1"/>
    <xf numFmtId="10" fontId="2" fillId="29" borderId="1" xfId="61" applyNumberFormat="1" applyFont="1" applyFill="1" applyBorder="1" applyAlignment="1">
      <alignment horizontal="left" indent="1"/>
    </xf>
    <xf numFmtId="10" fontId="2" fillId="29" borderId="1" xfId="0" applyNumberFormat="1" applyFont="1" applyFill="1" applyBorder="1"/>
    <xf numFmtId="10" fontId="2" fillId="29" borderId="1" xfId="61" applyNumberFormat="1" applyFont="1" applyFill="1" applyBorder="1" applyAlignment="1"/>
    <xf numFmtId="10" fontId="2" fillId="29" borderId="0" xfId="61" applyNumberFormat="1" applyFont="1" applyFill="1" applyBorder="1" applyAlignment="1"/>
    <xf numFmtId="10" fontId="2" fillId="29" borderId="22" xfId="61" applyNumberFormat="1" applyFont="1" applyFill="1" applyBorder="1" applyAlignment="1"/>
    <xf numFmtId="165" fontId="29" fillId="29" borderId="0" xfId="0" applyNumberFormat="1" applyFont="1" applyFill="1" applyBorder="1"/>
    <xf numFmtId="165" fontId="29" fillId="29" borderId="1" xfId="0" applyNumberFormat="1" applyFont="1" applyFill="1" applyBorder="1"/>
    <xf numFmtId="165" fontId="2" fillId="15" borderId="21" xfId="61" applyNumberFormat="1" applyFont="1" applyFill="1" applyBorder="1" applyAlignment="1">
      <alignment horizontal="left" indent="2"/>
    </xf>
    <xf numFmtId="165" fontId="2" fillId="15" borderId="23" xfId="0" applyNumberFormat="1" applyFont="1" applyFill="1" applyBorder="1"/>
    <xf numFmtId="165" fontId="2" fillId="15" borderId="1" xfId="61" applyNumberFormat="1" applyFont="1" applyFill="1" applyBorder="1" applyAlignment="1">
      <alignment horizontal="left" indent="1"/>
    </xf>
    <xf numFmtId="10" fontId="29" fillId="15" borderId="1" xfId="61" applyNumberFormat="1" applyFont="1" applyFill="1" applyBorder="1" applyAlignment="1">
      <alignment horizontal="left" indent="1"/>
    </xf>
    <xf numFmtId="10" fontId="29" fillId="15" borderId="1" xfId="0" applyNumberFormat="1" applyFont="1" applyFill="1" applyBorder="1"/>
    <xf numFmtId="10" fontId="29" fillId="15" borderId="1" xfId="61" applyNumberFormat="1" applyFont="1" applyFill="1" applyBorder="1" applyAlignment="1"/>
    <xf numFmtId="10" fontId="29" fillId="15" borderId="0" xfId="61" applyNumberFormat="1" applyFont="1" applyFill="1" applyBorder="1" applyAlignment="1"/>
    <xf numFmtId="10" fontId="29" fillId="15" borderId="22" xfId="61" applyNumberFormat="1" applyFont="1" applyFill="1" applyBorder="1" applyAlignment="1"/>
    <xf numFmtId="0" fontId="158" fillId="29" borderId="0" xfId="0" applyFont="1" applyFill="1" applyBorder="1"/>
    <xf numFmtId="165" fontId="158" fillId="29" borderId="1" xfId="61" applyNumberFormat="1" applyFont="1" applyFill="1" applyBorder="1" applyAlignment="1">
      <alignment horizontal="left" indent="1"/>
    </xf>
    <xf numFmtId="165" fontId="158" fillId="29" borderId="0" xfId="0" applyNumberFormat="1" applyFont="1" applyFill="1" applyBorder="1"/>
    <xf numFmtId="165" fontId="158" fillId="29" borderId="1" xfId="0" applyNumberFormat="1" applyFont="1" applyFill="1" applyBorder="1"/>
    <xf numFmtId="165" fontId="158" fillId="29" borderId="22" xfId="0" applyNumberFormat="1" applyFont="1" applyFill="1" applyBorder="1"/>
    <xf numFmtId="177" fontId="29" fillId="0" borderId="0" xfId="0" applyNumberFormat="1" applyFont="1" applyBorder="1"/>
    <xf numFmtId="0" fontId="5" fillId="30" borderId="0" xfId="0" applyFont="1" applyFill="1"/>
    <xf numFmtId="37" fontId="5" fillId="30" borderId="0" xfId="0" applyNumberFormat="1" applyFont="1" applyFill="1" applyAlignment="1">
      <alignment horizontal="right"/>
    </xf>
    <xf numFmtId="49" fontId="49" fillId="29" borderId="0" xfId="0" applyNumberFormat="1" applyFont="1" applyFill="1" applyAlignment="1">
      <alignment horizontal="right"/>
    </xf>
    <xf numFmtId="10" fontId="111" fillId="0" borderId="0" xfId="0" applyNumberFormat="1" applyFont="1" applyAlignment="1">
      <alignment horizontal="right"/>
    </xf>
    <xf numFmtId="37" fontId="114" fillId="0" borderId="0" xfId="0" applyNumberFormat="1" applyFont="1" applyAlignment="1">
      <alignment horizontal="right"/>
    </xf>
    <xf numFmtId="0" fontId="17" fillId="30" borderId="0" xfId="0" applyFont="1" applyFill="1"/>
    <xf numFmtId="39" fontId="5" fillId="0" borderId="0" xfId="0" applyNumberFormat="1" applyFont="1" applyBorder="1"/>
    <xf numFmtId="39" fontId="5" fillId="0" borderId="41" xfId="0" applyNumberFormat="1" applyFont="1" applyBorder="1"/>
    <xf numFmtId="37" fontId="5" fillId="0" borderId="40" xfId="0" applyNumberFormat="1" applyFont="1" applyBorder="1"/>
    <xf numFmtId="165" fontId="28" fillId="0" borderId="0" xfId="56" applyNumberFormat="1" applyFont="1" applyBorder="1"/>
    <xf numFmtId="0" fontId="2" fillId="0" borderId="0" xfId="0" applyFont="1" applyFill="1" applyBorder="1"/>
    <xf numFmtId="9" fontId="2" fillId="0" borderId="0" xfId="56" applyFont="1"/>
    <xf numFmtId="10" fontId="29" fillId="0" borderId="0" xfId="37" applyNumberFormat="1" applyFont="1" applyBorder="1"/>
    <xf numFmtId="165" fontId="29" fillId="0" borderId="0" xfId="56" applyNumberFormat="1" applyFont="1" applyBorder="1"/>
    <xf numFmtId="44" fontId="76" fillId="0" borderId="0" xfId="37" applyFont="1"/>
    <xf numFmtId="0" fontId="2" fillId="0" borderId="0" xfId="49" applyFont="1" applyFill="1" applyBorder="1" applyAlignment="1">
      <alignment horizontal="right"/>
    </xf>
    <xf numFmtId="0" fontId="2" fillId="0" borderId="0" xfId="49" applyFont="1" applyFill="1" applyBorder="1"/>
    <xf numFmtId="0" fontId="5" fillId="0" borderId="0" xfId="49" applyFont="1" applyFill="1" applyBorder="1"/>
    <xf numFmtId="0" fontId="2" fillId="0" borderId="0" xfId="49" applyFill="1" applyBorder="1"/>
    <xf numFmtId="0" fontId="5" fillId="0" borderId="0" xfId="49" applyFont="1" applyFill="1"/>
    <xf numFmtId="164" fontId="76" fillId="0" borderId="0" xfId="35" applyNumberFormat="1" applyFont="1"/>
    <xf numFmtId="172" fontId="76" fillId="29" borderId="50" xfId="0" applyNumberFormat="1" applyFont="1" applyFill="1" applyBorder="1"/>
    <xf numFmtId="5" fontId="76" fillId="29" borderId="0" xfId="0" applyNumberFormat="1" applyFont="1" applyFill="1" applyBorder="1" applyAlignment="1">
      <alignment horizontal="center"/>
    </xf>
    <xf numFmtId="5" fontId="76" fillId="29" borderId="41" xfId="0" applyNumberFormat="1" applyFont="1" applyFill="1" applyBorder="1" applyAlignment="1">
      <alignment horizontal="center"/>
    </xf>
    <xf numFmtId="171" fontId="2" fillId="29" borderId="0" xfId="0" applyNumberFormat="1" applyFont="1" applyFill="1" applyBorder="1" applyAlignment="1">
      <alignment horizontal="right"/>
    </xf>
    <xf numFmtId="37" fontId="76" fillId="0" borderId="0" xfId="0" applyNumberFormat="1" applyFont="1" applyFill="1"/>
    <xf numFmtId="49" fontId="9" fillId="0" borderId="0" xfId="0" applyNumberFormat="1" applyFont="1" applyFill="1" applyAlignment="1">
      <alignment horizontal="center"/>
    </xf>
    <xf numFmtId="7" fontId="4" fillId="0" borderId="0" xfId="0" applyNumberFormat="1" applyFont="1" applyFill="1"/>
    <xf numFmtId="165" fontId="76" fillId="0" borderId="0" xfId="0" applyNumberFormat="1" applyFont="1" applyFill="1"/>
    <xf numFmtId="37" fontId="9" fillId="0" borderId="0" xfId="0" applyNumberFormat="1" applyFont="1" applyFill="1"/>
    <xf numFmtId="37" fontId="4" fillId="0" borderId="0" xfId="0" applyNumberFormat="1" applyFont="1" applyFill="1"/>
    <xf numFmtId="165" fontId="5" fillId="0" borderId="0" xfId="0" applyNumberFormat="1" applyFont="1" applyFill="1"/>
    <xf numFmtId="37" fontId="118" fillId="0" borderId="0" xfId="0" applyNumberFormat="1" applyFont="1" applyFill="1"/>
    <xf numFmtId="37" fontId="4" fillId="0" borderId="6" xfId="0" applyNumberFormat="1" applyFont="1" applyFill="1" applyBorder="1"/>
    <xf numFmtId="165" fontId="2" fillId="0" borderId="19" xfId="0" applyNumberFormat="1" applyFont="1" applyFill="1" applyBorder="1"/>
    <xf numFmtId="165" fontId="29" fillId="0" borderId="19" xfId="0" applyNumberFormat="1" applyFont="1" applyFill="1" applyBorder="1" applyAlignment="1">
      <alignment horizontal="center"/>
    </xf>
    <xf numFmtId="9" fontId="2" fillId="0" borderId="0" xfId="0" applyNumberFormat="1" applyFont="1" applyFill="1" applyBorder="1" applyAlignment="1">
      <alignment horizontal="left" indent="1"/>
    </xf>
    <xf numFmtId="0" fontId="40" fillId="0" borderId="0" xfId="0" applyFont="1" applyFill="1" applyBorder="1" applyAlignment="1">
      <alignment horizontal="left"/>
    </xf>
    <xf numFmtId="37" fontId="2" fillId="0" borderId="1" xfId="0" applyNumberFormat="1" applyFont="1" applyFill="1" applyBorder="1" applyAlignment="1">
      <alignment horizontal="left"/>
    </xf>
    <xf numFmtId="9" fontId="2" fillId="0" borderId="1" xfId="0" applyNumberFormat="1" applyFont="1" applyFill="1" applyBorder="1" applyAlignment="1">
      <alignment horizontal="left" indent="1"/>
    </xf>
    <xf numFmtId="0" fontId="29" fillId="0" borderId="1" xfId="0" applyFont="1" applyFill="1" applyBorder="1"/>
    <xf numFmtId="37" fontId="29" fillId="0" borderId="1" xfId="0" applyNumberFormat="1" applyFont="1" applyFill="1" applyBorder="1" applyAlignment="1">
      <alignment horizontal="left"/>
    </xf>
    <xf numFmtId="175" fontId="2" fillId="0" borderId="1" xfId="0" applyNumberFormat="1" applyFont="1" applyFill="1" applyBorder="1" applyAlignment="1">
      <alignment horizontal="left" indent="1"/>
    </xf>
    <xf numFmtId="37" fontId="2" fillId="0" borderId="1" xfId="0" applyNumberFormat="1" applyFont="1" applyFill="1" applyBorder="1"/>
    <xf numFmtId="37" fontId="29" fillId="0" borderId="1" xfId="0" applyNumberFormat="1" applyFont="1" applyFill="1" applyBorder="1"/>
    <xf numFmtId="175" fontId="2" fillId="0" borderId="1" xfId="0" applyNumberFormat="1" applyFont="1" applyFill="1" applyBorder="1"/>
    <xf numFmtId="169" fontId="2" fillId="0" borderId="1" xfId="0" applyNumberFormat="1" applyFont="1" applyFill="1" applyBorder="1"/>
    <xf numFmtId="49" fontId="2" fillId="0" borderId="1" xfId="0" applyNumberFormat="1" applyFont="1" applyFill="1" applyBorder="1"/>
    <xf numFmtId="5" fontId="2" fillId="0" borderId="1" xfId="0" applyNumberFormat="1" applyFont="1" applyFill="1" applyBorder="1" applyAlignment="1">
      <alignment horizontal="left" indent="1"/>
    </xf>
    <xf numFmtId="0" fontId="2" fillId="0" borderId="1" xfId="0" applyFont="1" applyFill="1" applyBorder="1"/>
    <xf numFmtId="37" fontId="2" fillId="0" borderId="0" xfId="0" applyNumberFormat="1" applyFont="1" applyFill="1" applyBorder="1" applyAlignment="1">
      <alignment horizontal="left"/>
    </xf>
    <xf numFmtId="165" fontId="2" fillId="0" borderId="0" xfId="0" applyNumberFormat="1" applyFont="1" applyFill="1" applyBorder="1" applyAlignment="1">
      <alignment horizontal="left" indent="1"/>
    </xf>
    <xf numFmtId="37" fontId="29" fillId="0" borderId="0" xfId="0" applyNumberFormat="1" applyFont="1" applyFill="1" applyBorder="1" applyAlignment="1">
      <alignment horizontal="left"/>
    </xf>
    <xf numFmtId="0" fontId="2" fillId="0" borderId="0" xfId="0" applyFont="1" applyFill="1"/>
    <xf numFmtId="0" fontId="2" fillId="0" borderId="19" xfId="0" applyFont="1" applyFill="1" applyBorder="1"/>
    <xf numFmtId="0" fontId="35" fillId="0" borderId="19" xfId="0" applyFont="1" applyFill="1" applyBorder="1"/>
    <xf numFmtId="37" fontId="32" fillId="0" borderId="19" xfId="0" applyNumberFormat="1" applyFont="1" applyFill="1" applyBorder="1"/>
    <xf numFmtId="165" fontId="32" fillId="0" borderId="19" xfId="0" applyNumberFormat="1" applyFont="1" applyFill="1" applyBorder="1"/>
    <xf numFmtId="0" fontId="32" fillId="0" borderId="19" xfId="0" applyFont="1" applyFill="1" applyBorder="1"/>
    <xf numFmtId="37" fontId="2" fillId="0" borderId="19" xfId="0" applyNumberFormat="1" applyFont="1" applyFill="1" applyBorder="1"/>
    <xf numFmtId="165" fontId="34" fillId="0" borderId="19" xfId="0" applyNumberFormat="1" applyFont="1" applyFill="1" applyBorder="1"/>
    <xf numFmtId="37" fontId="34" fillId="0" borderId="19" xfId="0" applyNumberFormat="1" applyFont="1" applyFill="1" applyBorder="1"/>
    <xf numFmtId="37" fontId="29" fillId="0" borderId="19" xfId="0" applyNumberFormat="1" applyFont="1" applyFill="1" applyBorder="1"/>
    <xf numFmtId="169" fontId="2" fillId="0" borderId="19" xfId="0" applyNumberFormat="1" applyFont="1" applyFill="1" applyBorder="1"/>
    <xf numFmtId="165" fontId="2" fillId="0" borderId="20" xfId="0" applyNumberFormat="1" applyFont="1" applyFill="1" applyBorder="1"/>
    <xf numFmtId="0" fontId="0" fillId="0" borderId="0" xfId="0" applyFill="1"/>
    <xf numFmtId="0" fontId="28" fillId="0" borderId="19" xfId="0" applyFont="1" applyFill="1" applyBorder="1"/>
    <xf numFmtId="0" fontId="40" fillId="0" borderId="19" xfId="0" applyFont="1" applyFill="1" applyBorder="1"/>
    <xf numFmtId="41" fontId="28" fillId="0" borderId="19" xfId="0" applyNumberFormat="1" applyFont="1" applyFill="1" applyBorder="1"/>
    <xf numFmtId="165" fontId="28" fillId="0" borderId="19" xfId="0" applyNumberFormat="1" applyFont="1" applyFill="1" applyBorder="1"/>
    <xf numFmtId="9" fontId="28" fillId="0" borderId="19" xfId="0" applyNumberFormat="1" applyFont="1" applyFill="1" applyBorder="1"/>
    <xf numFmtId="37" fontId="28" fillId="0" borderId="19" xfId="0" applyNumberFormat="1" applyFont="1" applyFill="1" applyBorder="1"/>
    <xf numFmtId="176" fontId="2" fillId="0" borderId="19" xfId="0" applyNumberFormat="1" applyFont="1" applyFill="1" applyBorder="1"/>
    <xf numFmtId="0" fontId="29" fillId="0" borderId="19" xfId="0" applyFont="1" applyFill="1" applyBorder="1"/>
    <xf numFmtId="169" fontId="28" fillId="0" borderId="19" xfId="0" applyNumberFormat="1" applyFont="1" applyFill="1" applyBorder="1"/>
    <xf numFmtId="0" fontId="2" fillId="0" borderId="20" xfId="0" applyFont="1" applyFill="1" applyBorder="1"/>
    <xf numFmtId="0" fontId="34" fillId="0" borderId="19" xfId="0" applyFont="1" applyFill="1" applyBorder="1"/>
    <xf numFmtId="167" fontId="2" fillId="0" borderId="19" xfId="0" applyNumberFormat="1" applyFont="1" applyFill="1" applyBorder="1"/>
    <xf numFmtId="7" fontId="2" fillId="0" borderId="19" xfId="0" applyNumberFormat="1" applyFont="1" applyFill="1" applyBorder="1"/>
    <xf numFmtId="3" fontId="2" fillId="0" borderId="19" xfId="0" applyNumberFormat="1" applyFont="1" applyFill="1" applyBorder="1"/>
    <xf numFmtId="9" fontId="2" fillId="0" borderId="19" xfId="0" applyNumberFormat="1" applyFont="1" applyFill="1" applyBorder="1"/>
    <xf numFmtId="41" fontId="2" fillId="0" borderId="19" xfId="0" applyNumberFormat="1" applyFont="1" applyFill="1" applyBorder="1"/>
    <xf numFmtId="39" fontId="2" fillId="0" borderId="19" xfId="0" applyNumberFormat="1" applyFont="1" applyFill="1" applyBorder="1"/>
    <xf numFmtId="165" fontId="39" fillId="0" borderId="19" xfId="0" applyNumberFormat="1" applyFont="1" applyFill="1" applyBorder="1"/>
    <xf numFmtId="165" fontId="29" fillId="0" borderId="19" xfId="0" applyNumberFormat="1" applyFont="1" applyFill="1" applyBorder="1"/>
    <xf numFmtId="165" fontId="28" fillId="0" borderId="20" xfId="0" applyNumberFormat="1" applyFont="1" applyFill="1" applyBorder="1"/>
    <xf numFmtId="165" fontId="34" fillId="0" borderId="19" xfId="0" applyNumberFormat="1" applyFont="1" applyFill="1" applyBorder="1" applyAlignment="1">
      <alignment horizontal="center"/>
    </xf>
    <xf numFmtId="165" fontId="34" fillId="0" borderId="20" xfId="0" applyNumberFormat="1" applyFont="1" applyFill="1" applyBorder="1" applyAlignment="1">
      <alignment horizontal="center"/>
    </xf>
    <xf numFmtId="37" fontId="28" fillId="0" borderId="1" xfId="0" applyNumberFormat="1" applyFont="1" applyFill="1" applyBorder="1"/>
    <xf numFmtId="37" fontId="28" fillId="0" borderId="0" xfId="0" applyNumberFormat="1" applyFont="1" applyFill="1" applyBorder="1"/>
    <xf numFmtId="37" fontId="28" fillId="0" borderId="22" xfId="0" applyNumberFormat="1" applyFont="1" applyFill="1" applyBorder="1"/>
    <xf numFmtId="165" fontId="28" fillId="0" borderId="1" xfId="0" applyNumberFormat="1" applyFont="1" applyFill="1" applyBorder="1" applyAlignment="1">
      <alignment horizontal="left" indent="1"/>
    </xf>
    <xf numFmtId="165" fontId="28" fillId="0" borderId="0" xfId="0" applyNumberFormat="1" applyFont="1" applyFill="1" applyBorder="1"/>
    <xf numFmtId="165" fontId="33" fillId="0" borderId="0" xfId="0" applyNumberFormat="1" applyFont="1" applyFill="1" applyBorder="1" applyAlignment="1">
      <alignment horizontal="right"/>
    </xf>
    <xf numFmtId="165" fontId="28" fillId="0" borderId="1" xfId="0" applyNumberFormat="1" applyFont="1" applyFill="1" applyBorder="1"/>
    <xf numFmtId="165" fontId="28" fillId="0" borderId="22" xfId="0" applyNumberFormat="1" applyFont="1" applyFill="1" applyBorder="1"/>
    <xf numFmtId="0" fontId="28" fillId="0" borderId="0" xfId="0" applyFont="1" applyFill="1"/>
    <xf numFmtId="0" fontId="41" fillId="0" borderId="0" xfId="0" applyFont="1" applyFill="1"/>
    <xf numFmtId="41" fontId="29" fillId="0" borderId="0" xfId="0" applyNumberFormat="1" applyFont="1" applyFill="1"/>
    <xf numFmtId="41" fontId="29" fillId="0" borderId="0" xfId="0" applyNumberFormat="1" applyFont="1" applyFill="1" applyBorder="1"/>
    <xf numFmtId="41" fontId="29" fillId="0" borderId="1" xfId="0" applyNumberFormat="1" applyFont="1" applyFill="1" applyBorder="1"/>
    <xf numFmtId="41" fontId="41" fillId="0" borderId="0" xfId="0" applyNumberFormat="1" applyFont="1" applyFill="1"/>
    <xf numFmtId="41" fontId="41" fillId="0" borderId="1" xfId="0" applyNumberFormat="1" applyFont="1" applyFill="1" applyBorder="1"/>
    <xf numFmtId="41" fontId="41" fillId="0" borderId="22" xfId="0" applyNumberFormat="1" applyFont="1" applyFill="1" applyBorder="1"/>
    <xf numFmtId="41" fontId="41" fillId="0" borderId="0" xfId="0" applyNumberFormat="1" applyFont="1" applyFill="1" applyBorder="1"/>
    <xf numFmtId="41" fontId="29" fillId="0" borderId="22" xfId="0" applyNumberFormat="1" applyFont="1" applyFill="1" applyBorder="1"/>
    <xf numFmtId="0" fontId="4" fillId="0" borderId="0" xfId="49" applyFont="1" applyFill="1" applyBorder="1" applyAlignment="1">
      <alignment horizontal="center"/>
    </xf>
    <xf numFmtId="0" fontId="29" fillId="0" borderId="7" xfId="49" applyFont="1" applyFill="1" applyBorder="1" applyAlignment="1">
      <alignment horizontal="center" vertical="center"/>
    </xf>
    <xf numFmtId="0" fontId="29" fillId="0" borderId="32" xfId="49" applyFont="1" applyFill="1" applyBorder="1" applyAlignment="1">
      <alignment horizontal="center" vertical="center"/>
    </xf>
    <xf numFmtId="0" fontId="29" fillId="0" borderId="24" xfId="49" applyFont="1" applyFill="1" applyBorder="1" applyAlignment="1">
      <alignment horizontal="center" vertical="center"/>
    </xf>
    <xf numFmtId="0" fontId="29" fillId="0" borderId="34" xfId="49" applyFont="1" applyFill="1" applyBorder="1" applyAlignment="1">
      <alignment horizontal="center" vertical="center"/>
    </xf>
    <xf numFmtId="0" fontId="142" fillId="0" borderId="0" xfId="49" applyFont="1" applyFill="1" applyBorder="1" applyAlignment="1">
      <alignment horizontal="center" vertical="center"/>
    </xf>
    <xf numFmtId="0" fontId="29" fillId="0" borderId="21" xfId="49" applyFont="1" applyFill="1" applyBorder="1" applyAlignment="1">
      <alignment horizontal="center" vertical="center"/>
    </xf>
    <xf numFmtId="44" fontId="29" fillId="0" borderId="23" xfId="49" applyNumberFormat="1" applyFont="1" applyFill="1" applyBorder="1" applyAlignment="1">
      <alignment horizontal="center" vertical="center"/>
    </xf>
    <xf numFmtId="0" fontId="29" fillId="0" borderId="2" xfId="49" applyFont="1" applyFill="1" applyBorder="1" applyAlignment="1">
      <alignment horizontal="center" vertical="center"/>
    </xf>
    <xf numFmtId="44" fontId="29" fillId="0" borderId="20" xfId="49" applyNumberFormat="1" applyFont="1" applyFill="1" applyBorder="1" applyAlignment="1">
      <alignment horizontal="center" vertical="center"/>
    </xf>
    <xf numFmtId="0" fontId="59" fillId="0" borderId="0" xfId="49" applyFont="1" applyFill="1" applyBorder="1" applyAlignment="1">
      <alignment horizontal="center" vertical="center"/>
    </xf>
    <xf numFmtId="49" fontId="29" fillId="0" borderId="20" xfId="49" applyNumberFormat="1" applyFont="1" applyFill="1" applyBorder="1" applyAlignment="1">
      <alignment horizontal="center" vertical="center"/>
    </xf>
    <xf numFmtId="44" fontId="4" fillId="0" borderId="0" xfId="38" applyFont="1" applyFill="1" applyBorder="1" applyAlignment="1">
      <alignment horizontal="left"/>
    </xf>
    <xf numFmtId="7" fontId="29" fillId="0" borderId="56" xfId="49" applyNumberFormat="1" applyFont="1" applyFill="1" applyBorder="1" applyAlignment="1">
      <alignment vertical="center"/>
    </xf>
    <xf numFmtId="7" fontId="5" fillId="0" borderId="0" xfId="38" applyNumberFormat="1" applyFont="1" applyFill="1" applyBorder="1" applyAlignment="1">
      <alignment horizontal="left"/>
    </xf>
    <xf numFmtId="37" fontId="146" fillId="0" borderId="19" xfId="36" applyNumberFormat="1" applyFont="1" applyFill="1" applyBorder="1" applyAlignment="1">
      <alignment vertical="center"/>
    </xf>
    <xf numFmtId="37" fontId="5" fillId="0" borderId="0" xfId="38" applyNumberFormat="1" applyFont="1" applyFill="1" applyBorder="1" applyAlignment="1">
      <alignment horizontal="left"/>
    </xf>
    <xf numFmtId="165" fontId="2" fillId="0" borderId="59" xfId="36" applyNumberFormat="1" applyFont="1" applyFill="1" applyBorder="1" applyAlignment="1">
      <alignment vertical="center"/>
    </xf>
    <xf numFmtId="165" fontId="5" fillId="0" borderId="0" xfId="38" applyNumberFormat="1" applyFont="1" applyFill="1" applyBorder="1" applyAlignment="1">
      <alignment horizontal="left"/>
    </xf>
    <xf numFmtId="165" fontId="2" fillId="0" borderId="59" xfId="57" applyNumberFormat="1" applyFont="1" applyFill="1" applyBorder="1" applyAlignment="1">
      <alignment vertical="center"/>
    </xf>
    <xf numFmtId="165" fontId="2" fillId="0" borderId="19" xfId="57" applyNumberFormat="1" applyFont="1" applyFill="1" applyBorder="1" applyAlignment="1">
      <alignment vertical="center"/>
    </xf>
    <xf numFmtId="164" fontId="8" fillId="0" borderId="0" xfId="49" applyNumberFormat="1" applyFont="1" applyFill="1" applyBorder="1" applyAlignment="1">
      <alignment horizontal="left"/>
    </xf>
    <xf numFmtId="165" fontId="5" fillId="0" borderId="0" xfId="36" applyNumberFormat="1" applyFont="1" applyFill="1" applyBorder="1" applyAlignment="1">
      <alignment horizontal="left"/>
    </xf>
    <xf numFmtId="165" fontId="5" fillId="0" borderId="0" xfId="57" applyNumberFormat="1" applyFont="1" applyFill="1" applyBorder="1" applyAlignment="1">
      <alignment horizontal="left"/>
    </xf>
    <xf numFmtId="37" fontId="29" fillId="0" borderId="61" xfId="49" applyNumberFormat="1" applyFont="1" applyFill="1" applyBorder="1" applyAlignment="1">
      <alignment vertical="center"/>
    </xf>
    <xf numFmtId="37" fontId="146" fillId="0" borderId="62" xfId="49" applyNumberFormat="1" applyFont="1" applyFill="1" applyBorder="1" applyAlignment="1">
      <alignment vertical="center"/>
    </xf>
    <xf numFmtId="10" fontId="5" fillId="0" borderId="0" xfId="38" applyNumberFormat="1" applyFont="1" applyFill="1" applyBorder="1" applyAlignment="1">
      <alignment horizontal="left"/>
    </xf>
    <xf numFmtId="7" fontId="146" fillId="0" borderId="19" xfId="38" applyNumberFormat="1" applyFont="1" applyFill="1" applyBorder="1" applyAlignment="1">
      <alignment vertical="center"/>
    </xf>
    <xf numFmtId="44" fontId="5" fillId="0" borderId="0" xfId="38" applyFont="1" applyFill="1" applyBorder="1" applyAlignment="1">
      <alignment horizontal="left"/>
    </xf>
    <xf numFmtId="37" fontId="29" fillId="0" borderId="0" xfId="36" applyNumberFormat="1" applyFont="1" applyFill="1" applyBorder="1" applyAlignment="1">
      <alignment horizontal="right" vertical="center"/>
    </xf>
    <xf numFmtId="37" fontId="146" fillId="0" borderId="34" xfId="36" applyNumberFormat="1" applyFont="1" applyFill="1" applyBorder="1" applyAlignment="1">
      <alignment vertical="center"/>
    </xf>
    <xf numFmtId="165" fontId="150" fillId="0" borderId="59" xfId="36" applyNumberFormat="1" applyFont="1" applyFill="1" applyBorder="1" applyAlignment="1">
      <alignment vertical="center"/>
    </xf>
    <xf numFmtId="37" fontId="29" fillId="0" borderId="63" xfId="36" applyNumberFormat="1" applyFont="1" applyFill="1" applyBorder="1" applyAlignment="1">
      <alignment horizontal="right" vertical="center"/>
    </xf>
    <xf numFmtId="37" fontId="146" fillId="0" borderId="64" xfId="36" applyNumberFormat="1" applyFont="1" applyFill="1" applyBorder="1" applyAlignment="1">
      <alignment horizontal="right" vertical="center"/>
    </xf>
    <xf numFmtId="165" fontId="2" fillId="0" borderId="19" xfId="36" applyNumberFormat="1" applyFont="1" applyFill="1" applyBorder="1" applyAlignment="1">
      <alignment horizontal="right" vertical="center"/>
    </xf>
    <xf numFmtId="37" fontId="2" fillId="0" borderId="19" xfId="36" applyNumberFormat="1" applyFont="1" applyFill="1" applyBorder="1" applyAlignment="1">
      <alignment horizontal="right" vertical="center"/>
    </xf>
    <xf numFmtId="37" fontId="29" fillId="0" borderId="64" xfId="36" applyNumberFormat="1" applyFont="1" applyFill="1" applyBorder="1" applyAlignment="1">
      <alignment vertical="center"/>
    </xf>
    <xf numFmtId="37" fontId="29" fillId="0" borderId="65" xfId="36" applyNumberFormat="1" applyFont="1" applyFill="1" applyBorder="1" applyAlignment="1">
      <alignment horizontal="right" vertical="center"/>
    </xf>
    <xf numFmtId="37" fontId="150" fillId="0" borderId="19" xfId="36" applyNumberFormat="1" applyFont="1" applyFill="1" applyBorder="1" applyAlignment="1">
      <alignment vertical="center"/>
    </xf>
    <xf numFmtId="37" fontId="150" fillId="0" borderId="59" xfId="36" applyNumberFormat="1" applyFont="1" applyFill="1" applyBorder="1" applyAlignment="1">
      <alignment vertical="center"/>
    </xf>
    <xf numFmtId="37" fontId="146" fillId="0" borderId="66" xfId="49" applyNumberFormat="1" applyFont="1" applyFill="1" applyBorder="1" applyAlignment="1">
      <alignment vertical="center"/>
    </xf>
    <xf numFmtId="37" fontId="4" fillId="0" borderId="0" xfId="38" applyNumberFormat="1" applyFont="1" applyFill="1" applyBorder="1" applyAlignment="1">
      <alignment horizontal="left"/>
    </xf>
    <xf numFmtId="37" fontId="5" fillId="0" borderId="0" xfId="49" applyNumberFormat="1" applyFont="1" applyFill="1" applyBorder="1" applyAlignment="1">
      <alignment horizontal="center"/>
    </xf>
    <xf numFmtId="37" fontId="146" fillId="0" borderId="19" xfId="36" applyNumberFormat="1" applyFont="1" applyFill="1" applyBorder="1" applyAlignment="1">
      <alignment horizontal="right" vertical="center"/>
    </xf>
    <xf numFmtId="165" fontId="150" fillId="0" borderId="59" xfId="36" applyNumberFormat="1" applyFont="1" applyFill="1" applyBorder="1" applyAlignment="1">
      <alignment horizontal="right" vertical="center"/>
    </xf>
    <xf numFmtId="165" fontId="5" fillId="0" borderId="0" xfId="49" applyNumberFormat="1" applyFont="1" applyFill="1" applyBorder="1" applyAlignment="1">
      <alignment horizontal="center"/>
    </xf>
    <xf numFmtId="165" fontId="150" fillId="0" borderId="20" xfId="36" applyNumberFormat="1" applyFont="1" applyFill="1" applyBorder="1" applyAlignment="1">
      <alignment horizontal="right" vertical="center"/>
    </xf>
    <xf numFmtId="165" fontId="2" fillId="0" borderId="0" xfId="36" applyNumberFormat="1" applyFont="1" applyFill="1" applyBorder="1" applyAlignment="1">
      <alignment vertical="center"/>
    </xf>
    <xf numFmtId="165" fontId="150" fillId="0" borderId="0" xfId="36" applyNumberFormat="1" applyFont="1" applyFill="1" applyBorder="1" applyAlignment="1">
      <alignment vertical="center"/>
    </xf>
    <xf numFmtId="165" fontId="150" fillId="0" borderId="0" xfId="36" applyNumberFormat="1" applyFont="1" applyFill="1" applyBorder="1" applyAlignment="1">
      <alignment horizontal="right" vertical="center"/>
    </xf>
    <xf numFmtId="41" fontId="2" fillId="0" borderId="0" xfId="49" applyNumberFormat="1" applyFont="1" applyFill="1" applyBorder="1"/>
    <xf numFmtId="165" fontId="2" fillId="0" borderId="0" xfId="57" applyNumberFormat="1" applyFont="1" applyFill="1" applyBorder="1"/>
    <xf numFmtId="0" fontId="139" fillId="0" borderId="0" xfId="49" applyFont="1" applyFill="1" applyAlignment="1">
      <alignment horizontal="center"/>
    </xf>
    <xf numFmtId="0" fontId="5" fillId="0" borderId="0" xfId="49" applyFont="1" applyFill="1" applyBorder="1" applyAlignment="1">
      <alignment horizontal="center"/>
    </xf>
    <xf numFmtId="0" fontId="48" fillId="0" borderId="0" xfId="49" applyFont="1" applyFill="1" applyAlignment="1">
      <alignment horizontal="center"/>
    </xf>
    <xf numFmtId="4" fontId="2" fillId="0" borderId="0" xfId="57" applyNumberFormat="1" applyFont="1" applyFill="1" applyBorder="1"/>
    <xf numFmtId="165" fontId="2" fillId="0" borderId="0" xfId="57" applyNumberFormat="1" applyFont="1" applyFill="1"/>
    <xf numFmtId="165" fontId="2" fillId="0" borderId="0" xfId="49" applyNumberFormat="1" applyFont="1" applyFill="1" applyAlignment="1">
      <alignment horizontal="right"/>
    </xf>
    <xf numFmtId="0" fontId="29" fillId="0" borderId="0" xfId="49" applyFont="1" applyFill="1" applyBorder="1" applyAlignment="1"/>
    <xf numFmtId="0" fontId="2" fillId="0" borderId="0" xfId="49" applyFont="1" applyFill="1"/>
    <xf numFmtId="0" fontId="59" fillId="0" borderId="0" xfId="49" applyFont="1" applyFill="1" applyAlignment="1">
      <alignment horizontal="center" vertical="center"/>
    </xf>
    <xf numFmtId="0" fontId="47" fillId="0" borderId="0" xfId="49" applyFont="1" applyFill="1" applyAlignment="1">
      <alignment horizontal="center" vertical="center"/>
    </xf>
    <xf numFmtId="0" fontId="143" fillId="0" borderId="0" xfId="49" applyFont="1" applyFill="1" applyAlignment="1">
      <alignment horizontal="center" vertical="center"/>
    </xf>
    <xf numFmtId="0" fontId="48" fillId="0" borderId="0" xfId="49" applyFont="1" applyFill="1" applyBorder="1" applyAlignment="1">
      <alignment horizontal="center"/>
    </xf>
    <xf numFmtId="166" fontId="144" fillId="0" borderId="6" xfId="38" applyNumberFormat="1" applyFont="1" applyFill="1" applyBorder="1" applyAlignment="1">
      <alignment horizontal="left" vertical="center"/>
    </xf>
    <xf numFmtId="166" fontId="145" fillId="0" borderId="6" xfId="38" applyNumberFormat="1" applyFont="1" applyFill="1" applyBorder="1" applyAlignment="1">
      <alignment horizontal="left" vertical="center"/>
    </xf>
    <xf numFmtId="0" fontId="2" fillId="0" borderId="25" xfId="49" applyFont="1" applyFill="1" applyBorder="1" applyAlignment="1">
      <alignment vertical="center"/>
    </xf>
    <xf numFmtId="7" fontId="2" fillId="0" borderId="0" xfId="49" applyNumberFormat="1" applyFont="1" applyFill="1"/>
    <xf numFmtId="7" fontId="48" fillId="0" borderId="0" xfId="49" applyNumberFormat="1" applyFont="1" applyFill="1" applyAlignment="1">
      <alignment horizontal="center"/>
    </xf>
    <xf numFmtId="7" fontId="2" fillId="0" borderId="67" xfId="49" quotePrefix="1" applyNumberFormat="1" applyFont="1" applyFill="1" applyBorder="1" applyAlignment="1">
      <alignment vertical="center" wrapText="1"/>
    </xf>
    <xf numFmtId="37" fontId="2" fillId="0" borderId="0" xfId="49" applyNumberFormat="1" applyFont="1" applyFill="1"/>
    <xf numFmtId="37" fontId="29" fillId="0" borderId="1" xfId="49" applyNumberFormat="1" applyFont="1" applyFill="1" applyBorder="1" applyAlignment="1">
      <alignment vertical="center"/>
    </xf>
    <xf numFmtId="165" fontId="2" fillId="0" borderId="0" xfId="49" applyNumberFormat="1" applyFont="1" applyFill="1"/>
    <xf numFmtId="165" fontId="48" fillId="0" borderId="0" xfId="49" applyNumberFormat="1" applyFont="1" applyFill="1" applyAlignment="1">
      <alignment horizontal="center"/>
    </xf>
    <xf numFmtId="37" fontId="34" fillId="0" borderId="0" xfId="49" applyNumberFormat="1" applyFont="1" applyFill="1"/>
    <xf numFmtId="0" fontId="2" fillId="0" borderId="19" xfId="49" applyFont="1" applyFill="1" applyBorder="1" applyAlignment="1">
      <alignment horizontal="left" vertical="center" wrapText="1"/>
    </xf>
    <xf numFmtId="0" fontId="34" fillId="0" borderId="0" xfId="49" applyFont="1" applyFill="1" applyBorder="1"/>
    <xf numFmtId="0" fontId="148" fillId="0" borderId="0" xfId="49" applyFont="1" applyFill="1" applyBorder="1" applyAlignment="1">
      <alignment horizontal="center"/>
    </xf>
    <xf numFmtId="165" fontId="5" fillId="0" borderId="0" xfId="49" applyNumberFormat="1" applyFont="1" applyFill="1"/>
    <xf numFmtId="37" fontId="149" fillId="0" borderId="0" xfId="49" applyNumberFormat="1" applyFont="1" applyFill="1" applyAlignment="1">
      <alignment horizontal="left"/>
    </xf>
    <xf numFmtId="37" fontId="2" fillId="0" borderId="67" xfId="49" applyNumberFormat="1" applyFont="1" applyFill="1" applyBorder="1" applyAlignment="1">
      <alignment vertical="center" wrapText="1"/>
    </xf>
    <xf numFmtId="37" fontId="29" fillId="0" borderId="1" xfId="49" applyNumberFormat="1" applyFont="1" applyFill="1" applyBorder="1" applyAlignment="1">
      <alignment horizontal="left" vertical="center"/>
    </xf>
    <xf numFmtId="37" fontId="2" fillId="0" borderId="19" xfId="49" quotePrefix="1" applyNumberFormat="1" applyFont="1" applyFill="1" applyBorder="1" applyAlignment="1">
      <alignment vertical="center" wrapText="1"/>
    </xf>
    <xf numFmtId="10" fontId="2" fillId="0" borderId="0" xfId="49" applyNumberFormat="1" applyFont="1" applyFill="1"/>
    <xf numFmtId="10" fontId="150" fillId="0" borderId="59" xfId="36" applyNumberFormat="1" applyFont="1" applyFill="1" applyBorder="1" applyAlignment="1">
      <alignment vertical="center"/>
    </xf>
    <xf numFmtId="10" fontId="2" fillId="0" borderId="67" xfId="49" applyNumberFormat="1" applyFont="1" applyFill="1" applyBorder="1" applyAlignment="1">
      <alignment vertical="center" wrapText="1"/>
    </xf>
    <xf numFmtId="164" fontId="34" fillId="0" borderId="0" xfId="36" applyNumberFormat="1" applyFont="1" applyFill="1"/>
    <xf numFmtId="164" fontId="34" fillId="0" borderId="0" xfId="49" applyNumberFormat="1" applyFont="1" applyFill="1"/>
    <xf numFmtId="7" fontId="34" fillId="0" borderId="0" xfId="49" applyNumberFormat="1" applyFont="1" applyFill="1"/>
    <xf numFmtId="165" fontId="148" fillId="0" borderId="0" xfId="49" applyNumberFormat="1" applyFont="1" applyFill="1" applyAlignment="1">
      <alignment horizontal="center"/>
    </xf>
    <xf numFmtId="165" fontId="2" fillId="0" borderId="0" xfId="36" applyNumberFormat="1" applyFont="1" applyFill="1" applyBorder="1" applyAlignment="1">
      <alignment horizontal="right" vertical="center"/>
    </xf>
    <xf numFmtId="165" fontId="34" fillId="0" borderId="0" xfId="49" applyNumberFormat="1" applyFont="1" applyFill="1"/>
    <xf numFmtId="37" fontId="148" fillId="0" borderId="0" xfId="49" applyNumberFormat="1" applyFont="1" applyFill="1" applyAlignment="1">
      <alignment horizontal="center"/>
    </xf>
    <xf numFmtId="37" fontId="137" fillId="0" borderId="0" xfId="49" applyNumberFormat="1" applyFont="1" applyFill="1" applyAlignment="1">
      <alignment horizontal="left"/>
    </xf>
    <xf numFmtId="37" fontId="48" fillId="0" borderId="0" xfId="49" applyNumberFormat="1" applyFont="1" applyFill="1" applyAlignment="1">
      <alignment horizontal="center"/>
    </xf>
    <xf numFmtId="37" fontId="29" fillId="0" borderId="68" xfId="49" applyNumberFormat="1" applyFont="1" applyFill="1" applyBorder="1" applyAlignment="1">
      <alignment vertical="center"/>
    </xf>
    <xf numFmtId="37" fontId="138" fillId="0" borderId="0" xfId="49" applyNumberFormat="1" applyFont="1" applyFill="1" applyAlignment="1">
      <alignment horizontal="left"/>
    </xf>
    <xf numFmtId="37" fontId="2" fillId="0" borderId="67" xfId="49" applyNumberFormat="1" applyFont="1" applyFill="1" applyBorder="1" applyAlignment="1">
      <alignment horizontal="left" vertical="center" wrapText="1"/>
    </xf>
    <xf numFmtId="37" fontId="39" fillId="0" borderId="0" xfId="49" applyNumberFormat="1" applyFont="1" applyFill="1"/>
    <xf numFmtId="37" fontId="5" fillId="0" borderId="0" xfId="49" applyNumberFormat="1" applyFont="1" applyFill="1"/>
    <xf numFmtId="37" fontId="5" fillId="0" borderId="0" xfId="49" applyNumberFormat="1" applyFont="1" applyFill="1" applyBorder="1" applyAlignment="1"/>
    <xf numFmtId="165" fontId="5" fillId="0" borderId="0" xfId="49" applyNumberFormat="1" applyFont="1" applyFill="1" applyBorder="1" applyAlignment="1"/>
    <xf numFmtId="165" fontId="2" fillId="0" borderId="0" xfId="49" applyNumberFormat="1" applyFont="1" applyFill="1" applyBorder="1" applyAlignment="1">
      <alignment horizontal="left" vertical="center"/>
    </xf>
    <xf numFmtId="0" fontId="150" fillId="0" borderId="0" xfId="49" applyFont="1" applyFill="1" applyBorder="1" applyAlignment="1"/>
    <xf numFmtId="0" fontId="2" fillId="0" borderId="0" xfId="49" applyFont="1" applyFill="1" applyAlignment="1">
      <alignment horizontal="right"/>
    </xf>
    <xf numFmtId="0" fontId="2" fillId="0" borderId="0" xfId="49" applyFont="1" applyFill="1" applyAlignment="1"/>
    <xf numFmtId="44" fontId="29" fillId="0" borderId="34" xfId="49" applyNumberFormat="1" applyFont="1" applyFill="1" applyBorder="1" applyAlignment="1">
      <alignment horizontal="center" vertical="center"/>
    </xf>
    <xf numFmtId="49" fontId="159" fillId="0" borderId="34" xfId="49" applyNumberFormat="1" applyFont="1" applyFill="1" applyBorder="1" applyAlignment="1">
      <alignment horizontal="center" vertical="center"/>
    </xf>
    <xf numFmtId="49" fontId="159" fillId="0" borderId="20" xfId="49" applyNumberFormat="1" applyFont="1" applyFill="1" applyBorder="1" applyAlignment="1">
      <alignment horizontal="center" vertical="center"/>
    </xf>
    <xf numFmtId="7" fontId="154" fillId="0" borderId="60" xfId="38" applyNumberFormat="1" applyFont="1" applyFill="1" applyBorder="1" applyAlignment="1">
      <alignment vertical="center"/>
    </xf>
    <xf numFmtId="37" fontId="154" fillId="0" borderId="22" xfId="36" applyNumberFormat="1" applyFont="1" applyFill="1" applyBorder="1" applyAlignment="1">
      <alignment vertical="center"/>
    </xf>
    <xf numFmtId="37" fontId="154" fillId="0" borderId="69" xfId="49" applyNumberFormat="1" applyFont="1" applyFill="1" applyBorder="1" applyAlignment="1">
      <alignment vertical="center"/>
    </xf>
    <xf numFmtId="37" fontId="153" fillId="0" borderId="60" xfId="36" applyNumberFormat="1" applyFont="1" applyFill="1" applyBorder="1" applyAlignment="1">
      <alignment vertical="center"/>
    </xf>
    <xf numFmtId="37" fontId="154" fillId="0" borderId="69" xfId="36" applyNumberFormat="1" applyFont="1" applyFill="1" applyBorder="1" applyAlignment="1">
      <alignment horizontal="right" vertical="center"/>
    </xf>
    <xf numFmtId="37" fontId="154" fillId="0" borderId="70" xfId="36" applyNumberFormat="1" applyFont="1" applyFill="1" applyBorder="1" applyAlignment="1">
      <alignment vertical="center"/>
    </xf>
    <xf numFmtId="37" fontId="153" fillId="0" borderId="22" xfId="49" applyNumberFormat="1" applyFont="1" applyFill="1" applyBorder="1" applyAlignment="1">
      <alignment vertical="center"/>
    </xf>
    <xf numFmtId="7" fontId="154" fillId="0" borderId="59" xfId="38" applyNumberFormat="1" applyFont="1" applyFill="1" applyBorder="1" applyAlignment="1">
      <alignment vertical="center"/>
    </xf>
    <xf numFmtId="37" fontId="154" fillId="0" borderId="19" xfId="36" applyNumberFormat="1" applyFont="1" applyFill="1" applyBorder="1" applyAlignment="1">
      <alignment vertical="center"/>
    </xf>
    <xf numFmtId="37" fontId="154" fillId="0" borderId="62" xfId="49" applyNumberFormat="1" applyFont="1" applyFill="1" applyBorder="1" applyAlignment="1">
      <alignment vertical="center"/>
    </xf>
    <xf numFmtId="37" fontId="153" fillId="0" borderId="59" xfId="36" applyNumberFormat="1" applyFont="1" applyFill="1" applyBorder="1" applyAlignment="1">
      <alignment vertical="center"/>
    </xf>
    <xf numFmtId="37" fontId="154" fillId="0" borderId="34" xfId="36" applyNumberFormat="1" applyFont="1" applyFill="1" applyBorder="1" applyAlignment="1">
      <alignment vertical="center"/>
    </xf>
    <xf numFmtId="37" fontId="154" fillId="0" borderId="64" xfId="36" applyNumberFormat="1" applyFont="1" applyFill="1" applyBorder="1" applyAlignment="1">
      <alignment horizontal="right" vertical="center"/>
    </xf>
    <xf numFmtId="37" fontId="153" fillId="0" borderId="19" xfId="36" applyNumberFormat="1" applyFont="1" applyFill="1" applyBorder="1" applyAlignment="1">
      <alignment vertical="center"/>
    </xf>
    <xf numFmtId="37" fontId="154" fillId="0" borderId="66" xfId="49" applyNumberFormat="1" applyFont="1" applyFill="1" applyBorder="1" applyAlignment="1">
      <alignment vertical="center"/>
    </xf>
    <xf numFmtId="7" fontId="154" fillId="0" borderId="19" xfId="38" applyNumberFormat="1" applyFont="1" applyFill="1" applyBorder="1" applyAlignment="1">
      <alignment vertical="center"/>
    </xf>
    <xf numFmtId="165" fontId="153" fillId="0" borderId="19" xfId="38" applyNumberFormat="1" applyFont="1" applyFill="1" applyBorder="1" applyAlignment="1">
      <alignment vertical="center"/>
    </xf>
    <xf numFmtId="165" fontId="2" fillId="0" borderId="19" xfId="0" applyNumberFormat="1" applyFont="1" applyFill="1" applyBorder="1" applyAlignment="1">
      <alignment horizontal="center"/>
    </xf>
    <xf numFmtId="165" fontId="33" fillId="0" borderId="19" xfId="0" applyNumberFormat="1" applyFont="1" applyFill="1" applyBorder="1"/>
    <xf numFmtId="0" fontId="30" fillId="0" borderId="19" xfId="0" applyFont="1" applyFill="1" applyBorder="1"/>
    <xf numFmtId="41" fontId="32" fillId="0" borderId="19" xfId="0" applyNumberFormat="1" applyFont="1" applyFill="1" applyBorder="1"/>
    <xf numFmtId="41" fontId="29" fillId="0" borderId="19" xfId="0" applyNumberFormat="1" applyFont="1" applyFill="1" applyBorder="1"/>
    <xf numFmtId="41" fontId="61" fillId="0" borderId="19" xfId="0" applyNumberFormat="1" applyFont="1" applyFill="1" applyBorder="1"/>
    <xf numFmtId="165" fontId="51" fillId="0" borderId="19" xfId="0" applyNumberFormat="1" applyFont="1" applyFill="1" applyBorder="1"/>
    <xf numFmtId="41" fontId="51" fillId="0" borderId="19" xfId="0" applyNumberFormat="1" applyFont="1" applyFill="1" applyBorder="1"/>
    <xf numFmtId="0" fontId="51" fillId="0" borderId="19" xfId="0" applyFont="1" applyFill="1" applyBorder="1"/>
    <xf numFmtId="0" fontId="61" fillId="0" borderId="19" xfId="0" applyFont="1" applyFill="1" applyBorder="1"/>
    <xf numFmtId="37" fontId="31" fillId="0" borderId="19" xfId="0" applyNumberFormat="1" applyFont="1" applyFill="1" applyBorder="1"/>
    <xf numFmtId="0" fontId="0" fillId="0" borderId="19" xfId="0" applyFill="1" applyBorder="1"/>
    <xf numFmtId="169" fontId="0" fillId="0" borderId="19" xfId="0" applyNumberFormat="1" applyFill="1" applyBorder="1"/>
    <xf numFmtId="169" fontId="29" fillId="0" borderId="19" xfId="0" applyNumberFormat="1" applyFont="1" applyFill="1" applyBorder="1"/>
    <xf numFmtId="165" fontId="56" fillId="18" borderId="1" xfId="0" applyNumberFormat="1" applyFont="1" applyFill="1" applyBorder="1"/>
    <xf numFmtId="10" fontId="29" fillId="15" borderId="22" xfId="0" applyNumberFormat="1" applyFont="1" applyFill="1" applyBorder="1"/>
    <xf numFmtId="37" fontId="2" fillId="0" borderId="0" xfId="0" applyNumberFormat="1" applyFont="1" applyFill="1" applyBorder="1"/>
    <xf numFmtId="0" fontId="3" fillId="0" borderId="0" xfId="0" applyFont="1" applyBorder="1"/>
    <xf numFmtId="37" fontId="3" fillId="0" borderId="0" xfId="0" applyNumberFormat="1" applyFont="1" applyBorder="1"/>
    <xf numFmtId="167" fontId="2" fillId="0" borderId="0" xfId="0" applyNumberFormat="1" applyFont="1"/>
    <xf numFmtId="166" fontId="2" fillId="0" borderId="0" xfId="56" applyNumberFormat="1" applyFont="1" applyBorder="1"/>
    <xf numFmtId="37" fontId="41" fillId="15" borderId="22" xfId="0" applyNumberFormat="1" applyFont="1" applyFill="1" applyBorder="1"/>
    <xf numFmtId="165" fontId="153" fillId="0" borderId="22" xfId="0" applyNumberFormat="1" applyFont="1" applyBorder="1"/>
    <xf numFmtId="7" fontId="160" fillId="0" borderId="0" xfId="0" applyNumberFormat="1" applyFont="1" applyBorder="1"/>
    <xf numFmtId="41" fontId="151" fillId="0" borderId="0" xfId="0" applyNumberFormat="1" applyFont="1" applyBorder="1"/>
    <xf numFmtId="41" fontId="159" fillId="0" borderId="0" xfId="0" applyNumberFormat="1" applyFont="1" applyBorder="1"/>
    <xf numFmtId="37" fontId="151" fillId="0" borderId="0" xfId="0" applyNumberFormat="1" applyFont="1" applyBorder="1"/>
    <xf numFmtId="169" fontId="151" fillId="0" borderId="0" xfId="0" applyNumberFormat="1" applyFont="1" applyBorder="1"/>
    <xf numFmtId="37" fontId="151" fillId="0" borderId="2" xfId="0" applyNumberFormat="1" applyFont="1" applyBorder="1"/>
    <xf numFmtId="37" fontId="159" fillId="0" borderId="0" xfId="0" applyNumberFormat="1" applyFont="1" applyBorder="1"/>
    <xf numFmtId="37" fontId="159" fillId="29" borderId="0" xfId="0" applyNumberFormat="1" applyFont="1" applyFill="1" applyBorder="1"/>
    <xf numFmtId="7" fontId="159" fillId="15" borderId="0" xfId="0" applyNumberFormat="1" applyFont="1" applyFill="1" applyBorder="1" applyAlignment="1">
      <alignment horizontal="center"/>
    </xf>
    <xf numFmtId="165" fontId="151" fillId="15" borderId="0" xfId="0" applyNumberFormat="1" applyFont="1" applyFill="1" applyBorder="1" applyAlignment="1">
      <alignment horizontal="center"/>
    </xf>
    <xf numFmtId="41" fontId="162" fillId="0" borderId="0" xfId="0" applyNumberFormat="1" applyFont="1" applyBorder="1"/>
    <xf numFmtId="165" fontId="28" fillId="0" borderId="0" xfId="0" applyNumberFormat="1" applyFont="1" applyFill="1"/>
    <xf numFmtId="37" fontId="28" fillId="0" borderId="0" xfId="0" applyNumberFormat="1" applyFont="1" applyFill="1"/>
    <xf numFmtId="41" fontId="32" fillId="0" borderId="0" xfId="0" applyNumberFormat="1" applyFont="1" applyFill="1"/>
    <xf numFmtId="37" fontId="29" fillId="0" borderId="0" xfId="0" applyNumberFormat="1" applyFont="1" applyFill="1"/>
    <xf numFmtId="41" fontId="28" fillId="0" borderId="0" xfId="0" applyNumberFormat="1" applyFont="1" applyFill="1"/>
    <xf numFmtId="37" fontId="163" fillId="0" borderId="0" xfId="0" applyNumberFormat="1" applyFont="1" applyBorder="1"/>
    <xf numFmtId="37" fontId="163" fillId="0" borderId="22" xfId="0" applyNumberFormat="1" applyFont="1" applyBorder="1"/>
    <xf numFmtId="7" fontId="164" fillId="15" borderId="7" xfId="0" applyNumberFormat="1" applyFont="1" applyFill="1" applyBorder="1" applyAlignment="1">
      <alignment horizontal="center"/>
    </xf>
    <xf numFmtId="7" fontId="164" fillId="15" borderId="24" xfId="0" applyNumberFormat="1" applyFont="1" applyFill="1" applyBorder="1" applyAlignment="1">
      <alignment horizontal="center"/>
    </xf>
    <xf numFmtId="7" fontId="164" fillId="15" borderId="32" xfId="0" applyNumberFormat="1" applyFont="1" applyFill="1" applyBorder="1" applyAlignment="1">
      <alignment horizontal="center"/>
    </xf>
    <xf numFmtId="165" fontId="163" fillId="15" borderId="1" xfId="0" applyNumberFormat="1" applyFont="1" applyFill="1" applyBorder="1" applyAlignment="1">
      <alignment horizontal="center"/>
    </xf>
    <xf numFmtId="165" fontId="163" fillId="15" borderId="0" xfId="0" applyNumberFormat="1" applyFont="1" applyFill="1" applyBorder="1" applyAlignment="1">
      <alignment horizontal="center"/>
    </xf>
    <xf numFmtId="165" fontId="163" fillId="15" borderId="22" xfId="0" applyNumberFormat="1" applyFont="1" applyFill="1" applyBorder="1" applyAlignment="1">
      <alignment horizontal="center"/>
    </xf>
    <xf numFmtId="37" fontId="164" fillId="0" borderId="22" xfId="0" applyNumberFormat="1" applyFont="1" applyBorder="1"/>
    <xf numFmtId="41" fontId="165" fillId="0" borderId="0" xfId="0" applyNumberFormat="1" applyFont="1" applyBorder="1"/>
    <xf numFmtId="41" fontId="165" fillId="0" borderId="22" xfId="0" applyNumberFormat="1" applyFont="1" applyBorder="1"/>
    <xf numFmtId="41" fontId="163" fillId="0" borderId="22" xfId="0" applyNumberFormat="1" applyFont="1" applyBorder="1"/>
    <xf numFmtId="169" fontId="163" fillId="0" borderId="22" xfId="0" applyNumberFormat="1" applyFont="1" applyBorder="1"/>
    <xf numFmtId="165" fontId="163" fillId="0" borderId="22" xfId="0" applyNumberFormat="1" applyFont="1" applyBorder="1"/>
    <xf numFmtId="37" fontId="163" fillId="0" borderId="2" xfId="0" applyNumberFormat="1" applyFont="1" applyBorder="1"/>
    <xf numFmtId="37" fontId="163" fillId="0" borderId="23" xfId="0" applyNumberFormat="1" applyFont="1" applyBorder="1"/>
    <xf numFmtId="175" fontId="167" fillId="0" borderId="0" xfId="0" applyNumberFormat="1" applyFont="1" applyBorder="1"/>
    <xf numFmtId="175" fontId="167" fillId="0" borderId="41" xfId="0" applyNumberFormat="1" applyFont="1" applyBorder="1"/>
    <xf numFmtId="37" fontId="166" fillId="0" borderId="0" xfId="0" applyNumberFormat="1" applyFont="1"/>
    <xf numFmtId="37" fontId="163" fillId="0" borderId="0" xfId="0" applyNumberFormat="1" applyFont="1"/>
    <xf numFmtId="37" fontId="76" fillId="0" borderId="43" xfId="0" applyNumberFormat="1" applyFont="1" applyFill="1" applyBorder="1"/>
    <xf numFmtId="37" fontId="76" fillId="0" borderId="44" xfId="0" applyNumberFormat="1" applyFont="1" applyFill="1" applyBorder="1"/>
    <xf numFmtId="41" fontId="163" fillId="0" borderId="0" xfId="0" applyNumberFormat="1" applyFont="1"/>
    <xf numFmtId="169" fontId="163" fillId="0" borderId="0" xfId="0" applyNumberFormat="1" applyFont="1"/>
    <xf numFmtId="165" fontId="163" fillId="0" borderId="0" xfId="0" applyNumberFormat="1" applyFont="1"/>
    <xf numFmtId="0" fontId="29" fillId="0" borderId="0" xfId="0" applyFont="1" applyFill="1"/>
    <xf numFmtId="44" fontId="29" fillId="0" borderId="0" xfId="37" applyFont="1" applyFill="1" applyBorder="1" applyAlignment="1">
      <alignment horizontal="right"/>
    </xf>
    <xf numFmtId="41" fontId="0" fillId="0" borderId="0" xfId="0" applyNumberFormat="1" applyFill="1" applyBorder="1"/>
    <xf numFmtId="7" fontId="29" fillId="0" borderId="0" xfId="0" applyNumberFormat="1" applyFont="1" applyFill="1" applyAlignment="1">
      <alignment horizontal="center"/>
    </xf>
    <xf numFmtId="44" fontId="39" fillId="0" borderId="0" xfId="37" applyFont="1" applyFill="1" applyBorder="1" applyAlignment="1">
      <alignment horizontal="centerContinuous" wrapText="1"/>
    </xf>
    <xf numFmtId="7" fontId="29" fillId="0" borderId="0" xfId="37" applyNumberFormat="1" applyFont="1" applyFill="1" applyBorder="1" applyAlignment="1">
      <alignment horizontal="right"/>
    </xf>
    <xf numFmtId="0" fontId="29" fillId="0" borderId="0" xfId="0" applyFont="1" applyFill="1" applyAlignment="1">
      <alignment horizontal="center"/>
    </xf>
    <xf numFmtId="43" fontId="29" fillId="0" borderId="0" xfId="35" applyFont="1" applyFill="1" applyAlignment="1">
      <alignment horizontal="center"/>
    </xf>
    <xf numFmtId="43" fontId="28" fillId="0" borderId="0" xfId="35" applyFont="1" applyFill="1" applyBorder="1"/>
    <xf numFmtId="43" fontId="29" fillId="0" borderId="0" xfId="35" applyFont="1" applyFill="1" applyBorder="1" applyAlignment="1">
      <alignment horizontal="center"/>
    </xf>
    <xf numFmtId="0" fontId="28" fillId="0" borderId="0" xfId="0" applyFont="1" applyFill="1" applyBorder="1"/>
    <xf numFmtId="41" fontId="2" fillId="0" borderId="0" xfId="0" applyNumberFormat="1" applyFont="1" applyFill="1" applyBorder="1"/>
    <xf numFmtId="0" fontId="0" fillId="0" borderId="1" xfId="0" applyFill="1" applyBorder="1"/>
    <xf numFmtId="41" fontId="2" fillId="0" borderId="1" xfId="0" applyNumberFormat="1" applyFont="1" applyFill="1" applyBorder="1"/>
    <xf numFmtId="41" fontId="2" fillId="0" borderId="22" xfId="0" applyNumberFormat="1" applyFont="1" applyFill="1" applyBorder="1"/>
    <xf numFmtId="0" fontId="29" fillId="0" borderId="1" xfId="0" applyFont="1" applyFill="1" applyBorder="1" applyAlignment="1">
      <alignment horizontal="left" indent="1"/>
    </xf>
    <xf numFmtId="0" fontId="29" fillId="0" borderId="0" xfId="0" applyFont="1" applyFill="1" applyBorder="1"/>
    <xf numFmtId="165" fontId="2" fillId="0" borderId="1" xfId="0" applyNumberFormat="1" applyFont="1" applyFill="1" applyBorder="1" applyAlignment="1">
      <alignment horizontal="left" indent="1"/>
    </xf>
    <xf numFmtId="165" fontId="2" fillId="0" borderId="0" xfId="0" applyNumberFormat="1" applyFont="1" applyFill="1" applyBorder="1"/>
    <xf numFmtId="165" fontId="2" fillId="0" borderId="1" xfId="0" applyNumberFormat="1" applyFont="1" applyFill="1" applyBorder="1"/>
    <xf numFmtId="165" fontId="2" fillId="0" borderId="22" xfId="0" applyNumberFormat="1" applyFont="1" applyFill="1" applyBorder="1"/>
    <xf numFmtId="0" fontId="29" fillId="0" borderId="0" xfId="0" applyFont="1" applyFill="1" applyBorder="1" applyAlignment="1">
      <alignment horizontal="left" indent="1"/>
    </xf>
    <xf numFmtId="0" fontId="2" fillId="0" borderId="1" xfId="0" applyFont="1" applyFill="1" applyBorder="1" applyAlignment="1">
      <alignment horizontal="left" indent="1"/>
    </xf>
    <xf numFmtId="9" fontId="2" fillId="0" borderId="1" xfId="0" applyNumberFormat="1" applyFont="1" applyFill="1" applyBorder="1"/>
    <xf numFmtId="9" fontId="2" fillId="0" borderId="0" xfId="0" applyNumberFormat="1" applyFont="1" applyFill="1" applyBorder="1"/>
    <xf numFmtId="41" fontId="33" fillId="0" borderId="1" xfId="0" applyNumberFormat="1" applyFont="1" applyFill="1" applyBorder="1"/>
    <xf numFmtId="41" fontId="33" fillId="0" borderId="0" xfId="0" applyNumberFormat="1" applyFont="1" applyFill="1" applyBorder="1"/>
    <xf numFmtId="37" fontId="29" fillId="0" borderId="0" xfId="0" applyNumberFormat="1" applyFont="1" applyFill="1" applyBorder="1"/>
    <xf numFmtId="37" fontId="38" fillId="0" borderId="1" xfId="0" applyNumberFormat="1" applyFont="1" applyFill="1" applyBorder="1"/>
    <xf numFmtId="37" fontId="38" fillId="0" borderId="0" xfId="0" applyNumberFormat="1" applyFont="1" applyFill="1" applyBorder="1"/>
    <xf numFmtId="37" fontId="29" fillId="0" borderId="22" xfId="0" applyNumberFormat="1" applyFont="1" applyFill="1" applyBorder="1"/>
    <xf numFmtId="0" fontId="38" fillId="0" borderId="1" xfId="0" applyFont="1" applyFill="1" applyBorder="1"/>
    <xf numFmtId="0" fontId="38" fillId="0" borderId="0" xfId="0" applyFont="1" applyFill="1" applyBorder="1"/>
    <xf numFmtId="165" fontId="33" fillId="0" borderId="0" xfId="0" applyNumberFormat="1" applyFont="1" applyFill="1" applyBorder="1"/>
    <xf numFmtId="165" fontId="33" fillId="0" borderId="22" xfId="0" applyNumberFormat="1" applyFont="1" applyFill="1" applyBorder="1"/>
    <xf numFmtId="37" fontId="29" fillId="0" borderId="1" xfId="0" applyNumberFormat="1" applyFont="1" applyFill="1" applyBorder="1" applyAlignment="1">
      <alignment horizontal="left" indent="1"/>
    </xf>
    <xf numFmtId="37" fontId="47" fillId="0" borderId="1" xfId="0" applyNumberFormat="1" applyFont="1" applyFill="1" applyBorder="1"/>
    <xf numFmtId="37" fontId="47" fillId="0" borderId="0" xfId="0" applyNumberFormat="1" applyFont="1" applyFill="1" applyBorder="1"/>
    <xf numFmtId="165" fontId="2" fillId="0" borderId="1" xfId="0" applyNumberFormat="1" applyFont="1" applyFill="1" applyBorder="1" applyAlignment="1">
      <alignment horizontal="left" indent="2"/>
    </xf>
    <xf numFmtId="165" fontId="2" fillId="0" borderId="0" xfId="0" applyNumberFormat="1" applyFont="1" applyFill="1" applyBorder="1" applyAlignment="1">
      <alignment horizontal="right"/>
    </xf>
    <xf numFmtId="165" fontId="33" fillId="0" borderId="1" xfId="0" applyNumberFormat="1" applyFont="1" applyFill="1" applyBorder="1" applyAlignment="1">
      <alignment horizontal="right"/>
    </xf>
    <xf numFmtId="165" fontId="2" fillId="0" borderId="1" xfId="0" applyNumberFormat="1" applyFont="1" applyFill="1" applyBorder="1" applyAlignment="1">
      <alignment horizontal="right"/>
    </xf>
    <xf numFmtId="37" fontId="29" fillId="0" borderId="0" xfId="0" applyNumberFormat="1" applyFont="1" applyFill="1" applyBorder="1" applyAlignment="1">
      <alignment horizontal="right"/>
    </xf>
    <xf numFmtId="37" fontId="29" fillId="0" borderId="1" xfId="0" applyNumberFormat="1" applyFont="1" applyFill="1" applyBorder="1" applyAlignment="1">
      <alignment horizontal="right"/>
    </xf>
    <xf numFmtId="165" fontId="35" fillId="0" borderId="0" xfId="0" applyNumberFormat="1" applyFont="1" applyFill="1" applyBorder="1"/>
    <xf numFmtId="165" fontId="35" fillId="0" borderId="1" xfId="0" applyNumberFormat="1" applyFont="1" applyFill="1" applyBorder="1"/>
    <xf numFmtId="165" fontId="35" fillId="0" borderId="22" xfId="0" applyNumberFormat="1" applyFont="1" applyFill="1" applyBorder="1"/>
    <xf numFmtId="0" fontId="2" fillId="0" borderId="22" xfId="0" applyFont="1" applyFill="1" applyBorder="1"/>
    <xf numFmtId="0" fontId="32" fillId="0" borderId="0" xfId="0" applyFont="1" applyFill="1" applyBorder="1"/>
    <xf numFmtId="41" fontId="32" fillId="0" borderId="0" xfId="0" applyNumberFormat="1" applyFont="1" applyFill="1" applyBorder="1"/>
    <xf numFmtId="0" fontId="32" fillId="0" borderId="1" xfId="0" applyFont="1" applyFill="1" applyBorder="1"/>
    <xf numFmtId="41" fontId="32" fillId="0" borderId="1" xfId="0" applyNumberFormat="1" applyFont="1" applyFill="1" applyBorder="1"/>
    <xf numFmtId="0" fontId="32" fillId="0" borderId="22" xfId="0" applyFont="1" applyFill="1" applyBorder="1"/>
    <xf numFmtId="165" fontId="32" fillId="0" borderId="0" xfId="0" applyNumberFormat="1" applyFont="1" applyFill="1" applyBorder="1"/>
    <xf numFmtId="165" fontId="32" fillId="0" borderId="1" xfId="0" applyNumberFormat="1" applyFont="1" applyFill="1" applyBorder="1"/>
    <xf numFmtId="165" fontId="32" fillId="0" borderId="22" xfId="0" applyNumberFormat="1" applyFont="1" applyFill="1" applyBorder="1"/>
    <xf numFmtId="0" fontId="29" fillId="0" borderId="1" xfId="0" applyFont="1" applyFill="1" applyBorder="1" applyAlignment="1">
      <alignment horizontal="left"/>
    </xf>
    <xf numFmtId="0" fontId="29" fillId="0" borderId="0" xfId="0" applyFont="1" applyFill="1" applyBorder="1" applyAlignment="1">
      <alignment horizontal="left"/>
    </xf>
    <xf numFmtId="41" fontId="47" fillId="0" borderId="1" xfId="0" applyNumberFormat="1" applyFont="1" applyFill="1" applyBorder="1"/>
    <xf numFmtId="41" fontId="47" fillId="0" borderId="0" xfId="0" applyNumberFormat="1" applyFont="1" applyFill="1" applyBorder="1"/>
    <xf numFmtId="165" fontId="2" fillId="0" borderId="0" xfId="0" applyNumberFormat="1" applyFont="1" applyFill="1" applyBorder="1" applyAlignment="1">
      <alignment horizontal="left" indent="2"/>
    </xf>
    <xf numFmtId="3" fontId="33" fillId="0" borderId="1" xfId="0" applyNumberFormat="1" applyFont="1" applyFill="1" applyBorder="1"/>
    <xf numFmtId="3" fontId="33" fillId="0" borderId="0" xfId="0" applyNumberFormat="1" applyFont="1" applyFill="1" applyBorder="1"/>
    <xf numFmtId="3" fontId="33" fillId="0" borderId="22" xfId="0" applyNumberFormat="1" applyFont="1" applyFill="1" applyBorder="1"/>
    <xf numFmtId="165" fontId="33" fillId="0" borderId="1" xfId="0" applyNumberFormat="1" applyFont="1" applyFill="1" applyBorder="1"/>
    <xf numFmtId="37" fontId="0" fillId="0" borderId="1" xfId="0" applyNumberFormat="1" applyFill="1" applyBorder="1"/>
    <xf numFmtId="37" fontId="0" fillId="0" borderId="0" xfId="0" applyNumberFormat="1" applyFill="1" applyBorder="1"/>
    <xf numFmtId="165" fontId="51" fillId="0" borderId="1" xfId="0" applyNumberFormat="1" applyFont="1" applyFill="1" applyBorder="1"/>
    <xf numFmtId="165" fontId="51" fillId="0" borderId="0" xfId="0" applyNumberFormat="1" applyFont="1" applyFill="1" applyBorder="1"/>
    <xf numFmtId="165" fontId="51" fillId="0" borderId="22" xfId="0" applyNumberFormat="1" applyFont="1" applyFill="1" applyBorder="1"/>
    <xf numFmtId="1" fontId="2" fillId="0" borderId="1" xfId="0" applyNumberFormat="1" applyFont="1" applyFill="1" applyBorder="1"/>
    <xf numFmtId="1" fontId="2" fillId="0" borderId="0" xfId="0" applyNumberFormat="1" applyFont="1" applyFill="1" applyBorder="1"/>
    <xf numFmtId="0" fontId="51" fillId="0" borderId="1" xfId="0" applyFont="1" applyFill="1" applyBorder="1"/>
    <xf numFmtId="0" fontId="51" fillId="0" borderId="0" xfId="0" applyFont="1" applyFill="1" applyBorder="1"/>
    <xf numFmtId="0" fontId="51" fillId="0" borderId="22" xfId="0" applyFont="1" applyFill="1" applyBorder="1"/>
    <xf numFmtId="10" fontId="2" fillId="0" borderId="0" xfId="0" applyNumberFormat="1" applyFont="1" applyFill="1" applyBorder="1"/>
    <xf numFmtId="10" fontId="2" fillId="0" borderId="1" xfId="0" applyNumberFormat="1" applyFont="1" applyFill="1" applyBorder="1"/>
    <xf numFmtId="10" fontId="2" fillId="0" borderId="22" xfId="0" applyNumberFormat="1" applyFont="1" applyFill="1" applyBorder="1"/>
    <xf numFmtId="169" fontId="2" fillId="0" borderId="1" xfId="0" applyNumberFormat="1" applyFont="1" applyFill="1" applyBorder="1" applyAlignment="1">
      <alignment horizontal="left" indent="1"/>
    </xf>
    <xf numFmtId="169" fontId="2" fillId="0" borderId="0" xfId="0" applyNumberFormat="1" applyFont="1" applyFill="1" applyBorder="1"/>
    <xf numFmtId="169" fontId="33" fillId="0" borderId="1" xfId="0" applyNumberFormat="1" applyFont="1" applyFill="1" applyBorder="1"/>
    <xf numFmtId="169" fontId="33" fillId="0" borderId="0" xfId="0" applyNumberFormat="1" applyFont="1" applyFill="1" applyBorder="1"/>
    <xf numFmtId="169" fontId="48" fillId="0" borderId="1" xfId="0" applyNumberFormat="1" applyFont="1" applyFill="1" applyBorder="1"/>
    <xf numFmtId="169" fontId="48" fillId="0" borderId="0" xfId="0" applyNumberFormat="1" applyFont="1" applyFill="1" applyBorder="1"/>
    <xf numFmtId="169" fontId="2" fillId="0" borderId="22" xfId="0" applyNumberFormat="1" applyFont="1" applyFill="1" applyBorder="1"/>
    <xf numFmtId="169" fontId="36" fillId="0" borderId="0" xfId="0" applyNumberFormat="1" applyFont="1" applyFill="1" applyBorder="1"/>
    <xf numFmtId="165" fontId="48" fillId="0" borderId="1" xfId="0" applyNumberFormat="1" applyFont="1" applyFill="1" applyBorder="1"/>
    <xf numFmtId="0" fontId="29" fillId="0" borderId="1" xfId="61" applyFont="1" applyFill="1" applyBorder="1" applyAlignment="1"/>
    <xf numFmtId="43" fontId="2" fillId="0" borderId="0" xfId="0" applyNumberFormat="1" applyFont="1" applyFill="1" applyBorder="1"/>
    <xf numFmtId="0" fontId="35" fillId="0" borderId="0" xfId="0" applyFont="1" applyFill="1" applyBorder="1"/>
    <xf numFmtId="0" fontId="33" fillId="0" borderId="1" xfId="0" applyFont="1" applyFill="1" applyBorder="1"/>
    <xf numFmtId="0" fontId="33" fillId="0" borderId="0" xfId="0" applyFont="1" applyFill="1" applyBorder="1"/>
    <xf numFmtId="0" fontId="35" fillId="0" borderId="1" xfId="0" applyFont="1" applyFill="1" applyBorder="1"/>
    <xf numFmtId="0" fontId="35" fillId="0" borderId="22" xfId="0" applyFont="1" applyFill="1" applyBorder="1"/>
    <xf numFmtId="41" fontId="33" fillId="0" borderId="22" xfId="0" applyNumberFormat="1" applyFont="1" applyFill="1" applyBorder="1"/>
    <xf numFmtId="0" fontId="2" fillId="0" borderId="1" xfId="61" applyFont="1" applyFill="1" applyBorder="1" applyAlignment="1">
      <alignment horizontal="left" indent="1"/>
    </xf>
    <xf numFmtId="10" fontId="2" fillId="0" borderId="19" xfId="0" applyNumberFormat="1" applyFont="1" applyFill="1" applyBorder="1"/>
    <xf numFmtId="0" fontId="33" fillId="0" borderId="0" xfId="0" applyFont="1" applyFill="1" applyBorder="1" applyAlignment="1">
      <alignment horizontal="right"/>
    </xf>
    <xf numFmtId="0" fontId="33" fillId="0" borderId="0" xfId="0" applyFont="1" applyFill="1"/>
    <xf numFmtId="0" fontId="33" fillId="0" borderId="1" xfId="0" applyFont="1" applyFill="1" applyBorder="1" applyAlignment="1">
      <alignment horizontal="right"/>
    </xf>
    <xf numFmtId="0" fontId="33" fillId="0" borderId="22" xfId="0" applyFont="1" applyFill="1" applyBorder="1"/>
    <xf numFmtId="49" fontId="34" fillId="0" borderId="0" xfId="0" applyNumberFormat="1" applyFont="1" applyFill="1" applyAlignment="1">
      <alignment horizontal="left" indent="1"/>
    </xf>
    <xf numFmtId="165" fontId="34" fillId="0" borderId="0" xfId="0" applyNumberFormat="1" applyFont="1" applyFill="1"/>
    <xf numFmtId="165" fontId="53" fillId="0" borderId="0" xfId="0" applyNumberFormat="1" applyFont="1" applyFill="1" applyBorder="1" applyAlignment="1">
      <alignment horizontal="right"/>
    </xf>
    <xf numFmtId="165" fontId="34" fillId="0" borderId="0" xfId="0" applyNumberFormat="1" applyFont="1" applyFill="1" applyBorder="1"/>
    <xf numFmtId="165" fontId="34" fillId="0" borderId="1" xfId="0" applyNumberFormat="1" applyFont="1" applyFill="1" applyBorder="1"/>
    <xf numFmtId="165" fontId="34" fillId="0" borderId="22" xfId="0" applyNumberFormat="1" applyFont="1" applyFill="1" applyBorder="1"/>
    <xf numFmtId="49" fontId="2" fillId="0" borderId="0" xfId="0" applyNumberFormat="1" applyFont="1" applyFill="1" applyAlignment="1">
      <alignment horizontal="left" vertical="center"/>
    </xf>
    <xf numFmtId="165" fontId="53" fillId="0" borderId="0" xfId="0" applyNumberFormat="1" applyFont="1" applyFill="1"/>
    <xf numFmtId="165" fontId="53" fillId="0" borderId="0" xfId="0" applyNumberFormat="1" applyFont="1" applyFill="1" applyBorder="1"/>
    <xf numFmtId="165" fontId="53" fillId="0" borderId="1" xfId="0" applyNumberFormat="1" applyFont="1" applyFill="1" applyBorder="1"/>
    <xf numFmtId="165" fontId="53" fillId="0" borderId="22" xfId="0" applyNumberFormat="1" applyFont="1" applyFill="1" applyBorder="1"/>
    <xf numFmtId="49" fontId="29" fillId="0" borderId="0" xfId="0" applyNumberFormat="1" applyFont="1" applyFill="1" applyAlignment="1">
      <alignment horizontal="left" vertical="center"/>
    </xf>
    <xf numFmtId="37" fontId="41" fillId="0" borderId="1" xfId="0" applyNumberFormat="1" applyFont="1" applyFill="1" applyBorder="1"/>
    <xf numFmtId="37" fontId="41" fillId="0" borderId="0" xfId="0" applyNumberFormat="1" applyFont="1" applyFill="1" applyBorder="1"/>
    <xf numFmtId="37" fontId="41" fillId="0" borderId="22" xfId="0" applyNumberFormat="1" applyFont="1" applyFill="1" applyBorder="1"/>
    <xf numFmtId="165" fontId="53" fillId="0" borderId="1" xfId="0" applyNumberFormat="1" applyFont="1" applyFill="1" applyBorder="1" applyAlignment="1">
      <alignment horizontal="right"/>
    </xf>
    <xf numFmtId="0" fontId="36" fillId="0" borderId="1" xfId="0" quotePrefix="1" applyFont="1" applyFill="1" applyBorder="1"/>
    <xf numFmtId="0" fontId="36" fillId="0" borderId="0" xfId="0" applyFont="1" applyFill="1" applyBorder="1"/>
    <xf numFmtId="0" fontId="36" fillId="0" borderId="22" xfId="0" quotePrefix="1" applyFont="1" applyFill="1" applyBorder="1" applyAlignment="1">
      <alignment horizontal="right"/>
    </xf>
    <xf numFmtId="0" fontId="36" fillId="0" borderId="1" xfId="0" applyFont="1" applyFill="1" applyBorder="1"/>
    <xf numFmtId="0" fontId="36" fillId="0" borderId="0" xfId="0" quotePrefix="1" applyFont="1" applyFill="1" applyBorder="1" applyAlignment="1">
      <alignment horizontal="right"/>
    </xf>
    <xf numFmtId="0" fontId="36" fillId="0" borderId="1" xfId="0" applyFont="1" applyFill="1" applyBorder="1" applyAlignment="1">
      <alignment horizontal="right"/>
    </xf>
    <xf numFmtId="37" fontId="33" fillId="0" borderId="1" xfId="0" applyNumberFormat="1" applyFont="1" applyFill="1" applyBorder="1"/>
    <xf numFmtId="37" fontId="33" fillId="0" borderId="0" xfId="0" applyNumberFormat="1" applyFont="1" applyFill="1" applyBorder="1"/>
    <xf numFmtId="37" fontId="33" fillId="0" borderId="22" xfId="0" applyNumberFormat="1" applyFont="1" applyFill="1" applyBorder="1"/>
    <xf numFmtId="165" fontId="55" fillId="0" borderId="0" xfId="0" applyNumberFormat="1" applyFont="1" applyFill="1" applyBorder="1" applyAlignment="1">
      <alignment horizontal="right"/>
    </xf>
    <xf numFmtId="49" fontId="32" fillId="0" borderId="0" xfId="0" applyNumberFormat="1" applyFont="1" applyFill="1"/>
    <xf numFmtId="0" fontId="32" fillId="0" borderId="0" xfId="0" applyFont="1" applyFill="1"/>
    <xf numFmtId="37" fontId="32" fillId="0" borderId="1" xfId="0" applyNumberFormat="1" applyFont="1" applyFill="1" applyBorder="1"/>
    <xf numFmtId="49" fontId="32" fillId="0" borderId="0" xfId="0" applyNumberFormat="1" applyFont="1" applyFill="1" applyAlignment="1">
      <alignment horizontal="left" indent="1"/>
    </xf>
    <xf numFmtId="165" fontId="32" fillId="0" borderId="0" xfId="0" applyNumberFormat="1" applyFont="1" applyFill="1"/>
    <xf numFmtId="165" fontId="32" fillId="0" borderId="0" xfId="0" applyNumberFormat="1" applyFont="1" applyFill="1" applyBorder="1" applyAlignment="1">
      <alignment horizontal="right"/>
    </xf>
    <xf numFmtId="165" fontId="32" fillId="0" borderId="1" xfId="0" applyNumberFormat="1" applyFont="1" applyFill="1" applyBorder="1" applyAlignment="1">
      <alignment horizontal="right"/>
    </xf>
    <xf numFmtId="49" fontId="32" fillId="0" borderId="0" xfId="0" applyNumberFormat="1" applyFont="1" applyFill="1" applyAlignment="1">
      <alignment horizontal="left" vertical="center" indent="1"/>
    </xf>
    <xf numFmtId="165" fontId="71" fillId="0" borderId="0" xfId="0" applyNumberFormat="1" applyFont="1" applyFill="1" applyBorder="1"/>
    <xf numFmtId="165" fontId="71" fillId="0" borderId="22" xfId="0" applyNumberFormat="1" applyFont="1" applyFill="1" applyBorder="1"/>
    <xf numFmtId="165" fontId="71" fillId="0" borderId="1" xfId="0" applyNumberFormat="1" applyFont="1" applyFill="1" applyBorder="1"/>
    <xf numFmtId="49" fontId="27" fillId="0" borderId="0" xfId="0" applyNumberFormat="1" applyFont="1" applyFill="1" applyAlignment="1">
      <alignment horizontal="left" vertical="center"/>
    </xf>
    <xf numFmtId="37" fontId="41" fillId="0" borderId="0" xfId="0" applyNumberFormat="1" applyFont="1" applyFill="1"/>
    <xf numFmtId="0" fontId="36" fillId="0" borderId="1" xfId="0" quotePrefix="1" applyFont="1" applyFill="1" applyBorder="1" applyAlignment="1">
      <alignment horizontal="right"/>
    </xf>
    <xf numFmtId="49" fontId="29" fillId="0" borderId="0" xfId="0" applyNumberFormat="1" applyFont="1" applyFill="1" applyBorder="1" applyAlignment="1">
      <alignment horizontal="left" vertical="center"/>
    </xf>
    <xf numFmtId="49" fontId="34" fillId="0" borderId="0" xfId="0" applyNumberFormat="1" applyFont="1" applyFill="1" applyBorder="1" applyAlignment="1">
      <alignment horizontal="left" indent="1"/>
    </xf>
    <xf numFmtId="0" fontId="64" fillId="0" borderId="0" xfId="0" applyFont="1" applyFill="1"/>
    <xf numFmtId="41" fontId="64" fillId="0" borderId="0" xfId="0" applyNumberFormat="1" applyFont="1" applyFill="1"/>
    <xf numFmtId="41" fontId="64" fillId="0" borderId="1" xfId="0" applyNumberFormat="1" applyFont="1" applyFill="1" applyBorder="1"/>
    <xf numFmtId="41" fontId="64" fillId="0" borderId="0" xfId="0" applyNumberFormat="1" applyFont="1" applyFill="1" applyBorder="1"/>
    <xf numFmtId="49" fontId="29" fillId="0" borderId="0" xfId="0" applyNumberFormat="1" applyFont="1" applyFill="1"/>
    <xf numFmtId="37" fontId="65" fillId="0" borderId="0" xfId="0" applyNumberFormat="1" applyFont="1" applyFill="1"/>
    <xf numFmtId="49" fontId="39" fillId="0" borderId="0" xfId="0" applyNumberFormat="1" applyFont="1" applyFill="1" applyAlignment="1">
      <alignment horizontal="left" indent="1"/>
    </xf>
    <xf numFmtId="165" fontId="39" fillId="0" borderId="0" xfId="0" applyNumberFormat="1" applyFont="1" applyFill="1"/>
    <xf numFmtId="165" fontId="134" fillId="0" borderId="0" xfId="0" applyNumberFormat="1" applyFont="1" applyFill="1"/>
    <xf numFmtId="165" fontId="39" fillId="0" borderId="0" xfId="0" applyNumberFormat="1" applyFont="1" applyFill="1" applyBorder="1"/>
    <xf numFmtId="165" fontId="134" fillId="0" borderId="1" xfId="0" applyNumberFormat="1" applyFont="1" applyFill="1" applyBorder="1"/>
    <xf numFmtId="165" fontId="134" fillId="0" borderId="0" xfId="0" applyNumberFormat="1" applyFont="1" applyFill="1" applyBorder="1"/>
    <xf numFmtId="165" fontId="39" fillId="0" borderId="1" xfId="0" applyNumberFormat="1" applyFont="1" applyFill="1" applyBorder="1"/>
    <xf numFmtId="165" fontId="39" fillId="0" borderId="22" xfId="0" applyNumberFormat="1" applyFont="1" applyFill="1" applyBorder="1"/>
    <xf numFmtId="0" fontId="64" fillId="0" borderId="1" xfId="0" applyFont="1" applyFill="1" applyBorder="1"/>
    <xf numFmtId="0" fontId="64" fillId="0" borderId="0" xfId="0" applyFont="1" applyFill="1" applyBorder="1"/>
    <xf numFmtId="0" fontId="36" fillId="0" borderId="1" xfId="0" applyFont="1" applyFill="1" applyBorder="1" applyAlignment="1"/>
    <xf numFmtId="0" fontId="36" fillId="0" borderId="0" xfId="0" applyFont="1" applyFill="1" applyBorder="1" applyAlignment="1"/>
    <xf numFmtId="0" fontId="36" fillId="0" borderId="22" xfId="0" applyFont="1" applyFill="1" applyBorder="1" applyAlignment="1"/>
    <xf numFmtId="37" fontId="65" fillId="0" borderId="1" xfId="0" applyNumberFormat="1" applyFont="1" applyFill="1" applyBorder="1"/>
    <xf numFmtId="37" fontId="65" fillId="0" borderId="0" xfId="0" applyNumberFormat="1" applyFont="1" applyFill="1" applyBorder="1"/>
    <xf numFmtId="165" fontId="135" fillId="0" borderId="0" xfId="0" applyNumberFormat="1" applyFont="1" applyFill="1"/>
    <xf numFmtId="165" fontId="135" fillId="0" borderId="1" xfId="0" applyNumberFormat="1" applyFont="1" applyFill="1" applyBorder="1"/>
    <xf numFmtId="165" fontId="135" fillId="0" borderId="0" xfId="0" applyNumberFormat="1" applyFont="1" applyFill="1" applyBorder="1"/>
    <xf numFmtId="165" fontId="136" fillId="0" borderId="0" xfId="0" applyNumberFormat="1" applyFont="1" applyFill="1" applyBorder="1"/>
    <xf numFmtId="165" fontId="136" fillId="0" borderId="0" xfId="0" applyNumberFormat="1" applyFont="1" applyFill="1"/>
    <xf numFmtId="165" fontId="133" fillId="0" borderId="0" xfId="0" applyNumberFormat="1" applyFont="1" applyFill="1" applyBorder="1"/>
    <xf numFmtId="165" fontId="52" fillId="0" borderId="1" xfId="0" applyNumberFormat="1" applyFont="1" applyFill="1" applyBorder="1"/>
    <xf numFmtId="165" fontId="52" fillId="0" borderId="0" xfId="0" applyNumberFormat="1" applyFont="1" applyFill="1" applyBorder="1"/>
    <xf numFmtId="165" fontId="133" fillId="0" borderId="22" xfId="0" applyNumberFormat="1" applyFont="1" applyFill="1" applyBorder="1"/>
    <xf numFmtId="165" fontId="136" fillId="0" borderId="22" xfId="0" applyNumberFormat="1" applyFont="1" applyFill="1" applyBorder="1"/>
    <xf numFmtId="49" fontId="40" fillId="0" borderId="0" xfId="0" applyNumberFormat="1" applyFont="1" applyFill="1"/>
    <xf numFmtId="0" fontId="40" fillId="0" borderId="0" xfId="0" applyFont="1" applyFill="1"/>
    <xf numFmtId="0" fontId="40" fillId="0" borderId="0" xfId="0" applyFont="1" applyFill="1" applyBorder="1"/>
    <xf numFmtId="0" fontId="40" fillId="0" borderId="1" xfId="0" applyFont="1" applyFill="1" applyBorder="1"/>
    <xf numFmtId="0" fontId="40" fillId="0" borderId="22" xfId="0" applyFont="1" applyFill="1" applyBorder="1"/>
    <xf numFmtId="41" fontId="36" fillId="0" borderId="0" xfId="0" applyNumberFormat="1" applyFont="1" applyFill="1" applyBorder="1"/>
    <xf numFmtId="41" fontId="36" fillId="0" borderId="1" xfId="0" applyNumberFormat="1" applyFont="1" applyFill="1" applyBorder="1"/>
    <xf numFmtId="41" fontId="36" fillId="0" borderId="22" xfId="0" applyNumberFormat="1" applyFont="1" applyFill="1" applyBorder="1"/>
    <xf numFmtId="49" fontId="2" fillId="0" borderId="0" xfId="0" applyNumberFormat="1" applyFont="1" applyFill="1"/>
    <xf numFmtId="49" fontId="2" fillId="0" borderId="0" xfId="0" applyNumberFormat="1" applyFont="1" applyFill="1" applyAlignment="1">
      <alignment horizontal="left" indent="1"/>
    </xf>
    <xf numFmtId="10" fontId="33" fillId="0" borderId="0" xfId="0" applyNumberFormat="1" applyFont="1" applyFill="1"/>
    <xf numFmtId="4" fontId="33" fillId="0" borderId="0" xfId="0" applyNumberFormat="1" applyFont="1" applyFill="1" applyBorder="1"/>
    <xf numFmtId="41" fontId="36" fillId="0" borderId="0" xfId="0" applyNumberFormat="1" applyFont="1" applyFill="1"/>
    <xf numFmtId="165" fontId="54" fillId="0" borderId="1" xfId="0" applyNumberFormat="1" applyFont="1" applyFill="1" applyBorder="1"/>
    <xf numFmtId="165" fontId="54" fillId="0" borderId="0" xfId="0" applyNumberFormat="1" applyFont="1" applyFill="1" applyBorder="1"/>
    <xf numFmtId="49" fontId="34" fillId="0" borderId="2" xfId="0" applyNumberFormat="1" applyFont="1" applyFill="1" applyBorder="1" applyAlignment="1">
      <alignment horizontal="left" indent="1"/>
    </xf>
    <xf numFmtId="165" fontId="34" fillId="0" borderId="2" xfId="0" applyNumberFormat="1" applyFont="1" applyFill="1" applyBorder="1"/>
    <xf numFmtId="165" fontId="135" fillId="0" borderId="2" xfId="0" applyNumberFormat="1" applyFont="1" applyFill="1" applyBorder="1"/>
    <xf numFmtId="165" fontId="135" fillId="0" borderId="21" xfId="0" applyNumberFormat="1" applyFont="1" applyFill="1" applyBorder="1"/>
    <xf numFmtId="165" fontId="34" fillId="0" borderId="21" xfId="0" applyNumberFormat="1" applyFont="1" applyFill="1" applyBorder="1"/>
    <xf numFmtId="165" fontId="53" fillId="0" borderId="21" xfId="0" applyNumberFormat="1" applyFont="1" applyFill="1" applyBorder="1"/>
    <xf numFmtId="165" fontId="53" fillId="0" borderId="2" xfId="0" applyNumberFormat="1" applyFont="1" applyFill="1" applyBorder="1"/>
    <xf numFmtId="165" fontId="34" fillId="0" borderId="23" xfId="0" applyNumberFormat="1" applyFont="1" applyFill="1" applyBorder="1"/>
    <xf numFmtId="165" fontId="5" fillId="0" borderId="19" xfId="0" applyNumberFormat="1" applyFont="1" applyFill="1" applyBorder="1" applyAlignment="1">
      <alignment horizontal="center"/>
    </xf>
    <xf numFmtId="37" fontId="4" fillId="0" borderId="0" xfId="0" applyNumberFormat="1" applyFont="1" applyFill="1" applyAlignment="1">
      <alignment horizontal="left" indent="1"/>
    </xf>
    <xf numFmtId="37" fontId="117" fillId="0" borderId="1" xfId="0" applyNumberFormat="1" applyFont="1" applyFill="1" applyBorder="1"/>
    <xf numFmtId="37" fontId="117" fillId="0" borderId="0" xfId="0" applyNumberFormat="1" applyFont="1" applyFill="1" applyBorder="1"/>
    <xf numFmtId="37" fontId="117" fillId="0" borderId="22" xfId="0" applyNumberFormat="1" applyFont="1" applyFill="1" applyBorder="1"/>
    <xf numFmtId="37" fontId="4" fillId="0" borderId="1" xfId="0" applyNumberFormat="1" applyFont="1" applyFill="1" applyBorder="1"/>
    <xf numFmtId="37" fontId="4" fillId="0" borderId="0" xfId="0" applyNumberFormat="1" applyFont="1" applyFill="1" applyBorder="1"/>
    <xf numFmtId="37" fontId="4" fillId="0" borderId="22" xfId="0" applyNumberFormat="1" applyFont="1" applyFill="1" applyBorder="1"/>
    <xf numFmtId="165" fontId="111" fillId="0" borderId="1" xfId="0" applyNumberFormat="1" applyFont="1" applyFill="1" applyBorder="1" applyAlignment="1">
      <alignment horizontal="right"/>
    </xf>
    <xf numFmtId="165" fontId="111" fillId="0" borderId="0" xfId="0" applyNumberFormat="1" applyFont="1" applyFill="1" applyBorder="1" applyAlignment="1">
      <alignment horizontal="right"/>
    </xf>
    <xf numFmtId="165" fontId="5" fillId="0" borderId="0" xfId="0" applyNumberFormat="1" applyFont="1" applyFill="1" applyAlignment="1">
      <alignment horizontal="left" indent="1"/>
    </xf>
    <xf numFmtId="165" fontId="111" fillId="0" borderId="1" xfId="0" applyNumberFormat="1" applyFont="1" applyFill="1" applyBorder="1"/>
    <xf numFmtId="165" fontId="111" fillId="0" borderId="0" xfId="0" applyNumberFormat="1" applyFont="1" applyFill="1" applyBorder="1"/>
    <xf numFmtId="165" fontId="111" fillId="0" borderId="22" xfId="0" applyNumberFormat="1" applyFont="1" applyFill="1" applyBorder="1"/>
    <xf numFmtId="165" fontId="5" fillId="0" borderId="1" xfId="0" applyNumberFormat="1" applyFont="1" applyFill="1" applyBorder="1"/>
    <xf numFmtId="165" fontId="5" fillId="0" borderId="0" xfId="0" applyNumberFormat="1" applyFont="1" applyFill="1" applyBorder="1"/>
    <xf numFmtId="165" fontId="5" fillId="0" borderId="22" xfId="0" applyNumberFormat="1" applyFont="1" applyFill="1" applyBorder="1"/>
    <xf numFmtId="37" fontId="120" fillId="0" borderId="1" xfId="0" applyNumberFormat="1" applyFont="1" applyFill="1" applyBorder="1"/>
    <xf numFmtId="37" fontId="120" fillId="0" borderId="0" xfId="0" applyNumberFormat="1" applyFont="1" applyFill="1" applyBorder="1"/>
    <xf numFmtId="165" fontId="121" fillId="0" borderId="1" xfId="0" applyNumberFormat="1" applyFont="1" applyFill="1" applyBorder="1"/>
    <xf numFmtId="165" fontId="121" fillId="0" borderId="0" xfId="0" applyNumberFormat="1" applyFont="1" applyFill="1" applyBorder="1"/>
    <xf numFmtId="37" fontId="160" fillId="0" borderId="0" xfId="0" applyNumberFormat="1" applyFont="1" applyFill="1" applyBorder="1"/>
    <xf numFmtId="37" fontId="5" fillId="0" borderId="0" xfId="0" applyNumberFormat="1" applyFont="1" applyFill="1" applyAlignment="1">
      <alignment horizontal="left" indent="1"/>
    </xf>
    <xf numFmtId="37" fontId="111" fillId="0" borderId="1" xfId="0" applyNumberFormat="1" applyFont="1" applyFill="1" applyBorder="1"/>
    <xf numFmtId="37" fontId="111" fillId="0" borderId="0" xfId="0" applyNumberFormat="1" applyFont="1" applyFill="1" applyBorder="1"/>
    <xf numFmtId="37" fontId="111" fillId="0" borderId="22" xfId="0" applyNumberFormat="1" applyFont="1" applyFill="1" applyBorder="1"/>
    <xf numFmtId="7" fontId="117" fillId="0" borderId="1" xfId="0" applyNumberFormat="1" applyFont="1" applyFill="1" applyBorder="1"/>
    <xf numFmtId="7" fontId="117" fillId="0" borderId="0" xfId="0" applyNumberFormat="1" applyFont="1" applyFill="1" applyBorder="1"/>
    <xf numFmtId="7" fontId="117" fillId="0" borderId="22" xfId="0" applyNumberFormat="1" applyFont="1" applyFill="1" applyBorder="1"/>
    <xf numFmtId="7" fontId="4" fillId="0" borderId="1" xfId="0" applyNumberFormat="1" applyFont="1" applyFill="1" applyBorder="1"/>
    <xf numFmtId="7" fontId="4" fillId="0" borderId="0" xfId="0" applyNumberFormat="1" applyFont="1" applyFill="1" applyBorder="1"/>
    <xf numFmtId="7" fontId="4" fillId="0" borderId="22" xfId="0" applyNumberFormat="1" applyFont="1" applyFill="1" applyBorder="1"/>
    <xf numFmtId="37" fontId="161" fillId="0" borderId="0" xfId="0" applyNumberFormat="1" applyFont="1" applyFill="1" applyBorder="1"/>
    <xf numFmtId="37" fontId="5" fillId="0" borderId="0" xfId="0" applyNumberFormat="1" applyFont="1" applyFill="1"/>
    <xf numFmtId="37" fontId="5" fillId="0" borderId="0" xfId="0" applyNumberFormat="1" applyFont="1" applyBorder="1"/>
    <xf numFmtId="44" fontId="5" fillId="0" borderId="0" xfId="37" applyFont="1" applyBorder="1"/>
    <xf numFmtId="37" fontId="5" fillId="29" borderId="0" xfId="0" applyNumberFormat="1" applyFont="1" applyFill="1"/>
    <xf numFmtId="37" fontId="5" fillId="30" borderId="0" xfId="0" applyNumberFormat="1" applyFont="1" applyFill="1"/>
    <xf numFmtId="37" fontId="5" fillId="30" borderId="0" xfId="0" applyNumberFormat="1" applyFont="1" applyFill="1" applyBorder="1"/>
    <xf numFmtId="165" fontId="5" fillId="29" borderId="1" xfId="0" applyNumberFormat="1" applyFont="1" applyFill="1" applyBorder="1"/>
    <xf numFmtId="165" fontId="5" fillId="29" borderId="0" xfId="0" applyNumberFormat="1" applyFont="1" applyFill="1" applyBorder="1"/>
    <xf numFmtId="165" fontId="5" fillId="29" borderId="22" xfId="0" applyNumberFormat="1" applyFont="1" applyFill="1" applyBorder="1"/>
    <xf numFmtId="165" fontId="111" fillId="0" borderId="1" xfId="0" applyNumberFormat="1" applyFont="1" applyBorder="1"/>
    <xf numFmtId="165" fontId="111" fillId="0" borderId="0" xfId="0" applyNumberFormat="1" applyFont="1" applyBorder="1"/>
    <xf numFmtId="165" fontId="111" fillId="0" borderId="22" xfId="0" applyNumberFormat="1" applyFont="1" applyBorder="1"/>
    <xf numFmtId="165" fontId="5" fillId="0" borderId="1" xfId="0" applyNumberFormat="1" applyFont="1" applyBorder="1"/>
    <xf numFmtId="165" fontId="5" fillId="0" borderId="0" xfId="0" applyNumberFormat="1" applyFont="1" applyBorder="1"/>
    <xf numFmtId="165" fontId="5" fillId="0" borderId="22" xfId="0" applyNumberFormat="1" applyFont="1" applyBorder="1"/>
    <xf numFmtId="37" fontId="111" fillId="0" borderId="1" xfId="0" applyNumberFormat="1" applyFont="1" applyBorder="1"/>
    <xf numFmtId="37" fontId="111" fillId="0" borderId="22" xfId="0" applyNumberFormat="1" applyFont="1" applyBorder="1"/>
    <xf numFmtId="37" fontId="5" fillId="0" borderId="1" xfId="0" applyNumberFormat="1" applyFont="1" applyBorder="1"/>
    <xf numFmtId="37" fontId="5" fillId="0" borderId="22" xfId="0" applyNumberFormat="1" applyFont="1" applyBorder="1"/>
    <xf numFmtId="10" fontId="5" fillId="0" borderId="0" xfId="56" applyNumberFormat="1" applyFont="1" applyBorder="1"/>
    <xf numFmtId="165" fontId="5" fillId="0" borderId="0" xfId="0" applyNumberFormat="1" applyFont="1" applyAlignment="1">
      <alignment horizontal="left" indent="2"/>
    </xf>
    <xf numFmtId="37" fontId="5" fillId="0" borderId="0" xfId="0" applyNumberFormat="1" applyFont="1" applyAlignment="1">
      <alignment horizontal="left" indent="1"/>
    </xf>
    <xf numFmtId="49" fontId="27" fillId="21" borderId="1" xfId="0" applyNumberFormat="1" applyFont="1" applyFill="1" applyBorder="1"/>
    <xf numFmtId="0" fontId="27" fillId="21" borderId="0" xfId="0" applyFont="1" applyFill="1"/>
    <xf numFmtId="49" fontId="2" fillId="15" borderId="1" xfId="0" applyNumberFormat="1" applyFont="1" applyFill="1" applyBorder="1"/>
    <xf numFmtId="165" fontId="2" fillId="15" borderId="0" xfId="0" applyNumberFormat="1" applyFont="1" applyFill="1"/>
    <xf numFmtId="165" fontId="2" fillId="15" borderId="0" xfId="0" applyNumberFormat="1" applyFont="1" applyFill="1" applyAlignment="1">
      <alignment horizontal="center"/>
    </xf>
    <xf numFmtId="0" fontId="27" fillId="18" borderId="20" xfId="0" applyFont="1" applyFill="1" applyBorder="1"/>
    <xf numFmtId="0" fontId="27" fillId="33" borderId="1" xfId="0" applyFont="1" applyFill="1" applyBorder="1"/>
    <xf numFmtId="0" fontId="27" fillId="33" borderId="0" xfId="0" applyFont="1" applyFill="1" applyBorder="1"/>
    <xf numFmtId="0" fontId="27" fillId="32" borderId="1" xfId="0" applyFont="1" applyFill="1" applyBorder="1"/>
    <xf numFmtId="0" fontId="27" fillId="32" borderId="0" xfId="0" applyFont="1" applyFill="1" applyBorder="1"/>
    <xf numFmtId="0" fontId="27" fillId="32" borderId="22" xfId="0" applyFont="1" applyFill="1" applyBorder="1"/>
    <xf numFmtId="49" fontId="27" fillId="18" borderId="0" xfId="0" applyNumberFormat="1" applyFont="1" applyFill="1" applyAlignment="1">
      <alignment horizontal="left" vertical="center"/>
    </xf>
    <xf numFmtId="41" fontId="27" fillId="18" borderId="0" xfId="0" applyNumberFormat="1" applyFont="1" applyFill="1"/>
    <xf numFmtId="41" fontId="27" fillId="18" borderId="1" xfId="0" applyNumberFormat="1" applyFont="1" applyFill="1" applyBorder="1"/>
    <xf numFmtId="4" fontId="2" fillId="0" borderId="0" xfId="0" applyNumberFormat="1" applyFont="1"/>
    <xf numFmtId="165" fontId="27" fillId="0" borderId="19" xfId="0" applyNumberFormat="1" applyFont="1" applyFill="1" applyBorder="1"/>
    <xf numFmtId="0" fontId="27" fillId="0" borderId="20" xfId="0" applyFont="1" applyFill="1" applyBorder="1"/>
    <xf numFmtId="167" fontId="2" fillId="0" borderId="19" xfId="0" applyNumberFormat="1" applyFont="1" applyBorder="1"/>
    <xf numFmtId="167" fontId="2" fillId="0" borderId="1" xfId="0" applyNumberFormat="1" applyFont="1" applyBorder="1"/>
    <xf numFmtId="167" fontId="2" fillId="0" borderId="22" xfId="0" applyNumberFormat="1" applyFont="1" applyBorder="1"/>
    <xf numFmtId="3" fontId="2" fillId="0" borderId="1" xfId="0" applyNumberFormat="1" applyFont="1" applyBorder="1"/>
    <xf numFmtId="6" fontId="2" fillId="0" borderId="0" xfId="0" applyNumberFormat="1" applyFont="1"/>
    <xf numFmtId="6" fontId="2" fillId="0" borderId="0" xfId="0" applyNumberFormat="1" applyFont="1" applyBorder="1"/>
    <xf numFmtId="6" fontId="2" fillId="0" borderId="19" xfId="0" applyNumberFormat="1" applyFont="1" applyFill="1" applyBorder="1"/>
    <xf numFmtId="6" fontId="2" fillId="0" borderId="1" xfId="0" applyNumberFormat="1" applyFont="1" applyBorder="1"/>
    <xf numFmtId="6" fontId="2" fillId="0" borderId="22" xfId="0" applyNumberFormat="1" applyFont="1" applyBorder="1"/>
    <xf numFmtId="44" fontId="2" fillId="0" borderId="0" xfId="0" applyNumberFormat="1" applyFont="1" applyBorder="1"/>
    <xf numFmtId="44" fontId="2" fillId="0" borderId="19" xfId="0" applyNumberFormat="1" applyFont="1" applyFill="1" applyBorder="1"/>
    <xf numFmtId="44" fontId="2" fillId="0" borderId="1" xfId="0" applyNumberFormat="1" applyFont="1" applyBorder="1"/>
    <xf numFmtId="44" fontId="2" fillId="0" borderId="22" xfId="0" applyNumberFormat="1" applyFont="1" applyBorder="1"/>
    <xf numFmtId="0" fontId="0" fillId="0" borderId="0" xfId="0"/>
    <xf numFmtId="37" fontId="2" fillId="0" borderId="22" xfId="0" applyNumberFormat="1" applyFont="1" applyFill="1" applyBorder="1"/>
    <xf numFmtId="37" fontId="151" fillId="0" borderId="22" xfId="0" applyNumberFormat="1" applyFont="1" applyBorder="1"/>
    <xf numFmtId="37" fontId="159" fillId="29" borderId="22" xfId="0" applyNumberFormat="1" applyFont="1" applyFill="1" applyBorder="1"/>
    <xf numFmtId="37" fontId="159" fillId="0" borderId="22" xfId="0" applyNumberFormat="1" applyFont="1" applyBorder="1"/>
    <xf numFmtId="165" fontId="151" fillId="0" borderId="22" xfId="0" applyNumberFormat="1" applyFont="1" applyBorder="1"/>
    <xf numFmtId="41" fontId="159" fillId="0" borderId="22" xfId="0" applyNumberFormat="1" applyFont="1" applyBorder="1"/>
    <xf numFmtId="7" fontId="159" fillId="15" borderId="32" xfId="0" applyNumberFormat="1" applyFont="1" applyFill="1" applyBorder="1" applyAlignment="1">
      <alignment horizontal="center"/>
    </xf>
    <xf numFmtId="165" fontId="151" fillId="15" borderId="22" xfId="0" applyNumberFormat="1" applyFont="1" applyFill="1" applyBorder="1" applyAlignment="1">
      <alignment horizontal="center"/>
    </xf>
    <xf numFmtId="41" fontId="162" fillId="0" borderId="22" xfId="0" applyNumberFormat="1" applyFont="1" applyBorder="1"/>
    <xf numFmtId="37" fontId="160" fillId="0" borderId="22" xfId="0" applyNumberFormat="1" applyFont="1" applyFill="1" applyBorder="1"/>
    <xf numFmtId="37" fontId="161" fillId="0" borderId="22" xfId="0" applyNumberFormat="1" applyFont="1" applyFill="1" applyBorder="1"/>
    <xf numFmtId="7" fontId="160" fillId="0" borderId="22" xfId="0" applyNumberFormat="1" applyFont="1" applyBorder="1"/>
    <xf numFmtId="37" fontId="161" fillId="0" borderId="1" xfId="0" applyNumberFormat="1" applyFont="1" applyFill="1" applyBorder="1"/>
    <xf numFmtId="41" fontId="151" fillId="0" borderId="22" xfId="0" applyNumberFormat="1" applyFont="1" applyBorder="1"/>
    <xf numFmtId="169" fontId="151" fillId="0" borderId="22" xfId="0" applyNumberFormat="1" applyFont="1" applyBorder="1"/>
    <xf numFmtId="37" fontId="151" fillId="0" borderId="23" xfId="0" applyNumberFormat="1" applyFont="1" applyBorder="1"/>
    <xf numFmtId="41" fontId="151" fillId="0" borderId="1" xfId="0" applyNumberFormat="1" applyFont="1" applyBorder="1"/>
    <xf numFmtId="41" fontId="159" fillId="0" borderId="1" xfId="0" applyNumberFormat="1" applyFont="1" applyBorder="1"/>
    <xf numFmtId="37" fontId="151" fillId="0" borderId="1" xfId="0" applyNumberFormat="1" applyFont="1" applyBorder="1"/>
    <xf numFmtId="169" fontId="151" fillId="0" borderId="1" xfId="0" applyNumberFormat="1" applyFont="1" applyBorder="1"/>
    <xf numFmtId="37" fontId="151" fillId="0" borderId="21" xfId="0" applyNumberFormat="1" applyFont="1" applyBorder="1"/>
    <xf numFmtId="37" fontId="138" fillId="31" borderId="6" xfId="0" applyNumberFormat="1" applyFont="1" applyFill="1" applyBorder="1" applyAlignment="1">
      <alignment horizontal="right"/>
    </xf>
    <xf numFmtId="37" fontId="2" fillId="29" borderId="0" xfId="0" applyNumberFormat="1" applyFont="1" applyFill="1" applyBorder="1" applyAlignment="1">
      <alignment horizontal="right" vertical="center"/>
    </xf>
    <xf numFmtId="165" fontId="169" fillId="20" borderId="0" xfId="0" applyNumberFormat="1" applyFont="1" applyFill="1" applyBorder="1"/>
    <xf numFmtId="37" fontId="170" fillId="0" borderId="1" xfId="0" applyNumberFormat="1" applyFont="1" applyFill="1" applyBorder="1"/>
    <xf numFmtId="7" fontId="170" fillId="0" borderId="1" xfId="0" applyNumberFormat="1" applyFont="1" applyBorder="1"/>
    <xf numFmtId="37" fontId="168" fillId="0" borderId="22" xfId="0" applyNumberFormat="1" applyFont="1" applyBorder="1"/>
    <xf numFmtId="7" fontId="171" fillId="0" borderId="24" xfId="0" applyNumberFormat="1" applyFont="1" applyFill="1" applyBorder="1"/>
    <xf numFmtId="37" fontId="168" fillId="0" borderId="0" xfId="0" applyNumberFormat="1" applyFont="1" applyFill="1" applyBorder="1"/>
    <xf numFmtId="37" fontId="172" fillId="0" borderId="1" xfId="0" applyNumberFormat="1" applyFont="1" applyFill="1" applyBorder="1"/>
    <xf numFmtId="37" fontId="172" fillId="0" borderId="0" xfId="0" applyNumberFormat="1" applyFont="1" applyFill="1" applyBorder="1"/>
    <xf numFmtId="37" fontId="172" fillId="0" borderId="22" xfId="0" applyNumberFormat="1" applyFont="1" applyFill="1" applyBorder="1"/>
    <xf numFmtId="37" fontId="173" fillId="0" borderId="1" xfId="0" applyNumberFormat="1" applyFont="1" applyFill="1" applyBorder="1"/>
    <xf numFmtId="37" fontId="173" fillId="0" borderId="0" xfId="0" applyNumberFormat="1" applyFont="1" applyFill="1" applyBorder="1"/>
    <xf numFmtId="37" fontId="173" fillId="0" borderId="22" xfId="0" applyNumberFormat="1" applyFont="1" applyFill="1" applyBorder="1"/>
    <xf numFmtId="41" fontId="173" fillId="0" borderId="1" xfId="0" applyNumberFormat="1" applyFont="1" applyFill="1" applyBorder="1"/>
    <xf numFmtId="41" fontId="173" fillId="0" borderId="0" xfId="0" applyNumberFormat="1" applyFont="1" applyFill="1" applyBorder="1"/>
    <xf numFmtId="41" fontId="173" fillId="0" borderId="22" xfId="0" applyNumberFormat="1" applyFont="1" applyFill="1" applyBorder="1"/>
    <xf numFmtId="43" fontId="29" fillId="0" borderId="0" xfId="0" applyNumberFormat="1" applyFont="1" applyFill="1" applyBorder="1"/>
    <xf numFmtId="165" fontId="1" fillId="0" borderId="0" xfId="0" applyNumberFormat="1" applyFont="1" applyFill="1" applyBorder="1"/>
    <xf numFmtId="165" fontId="1" fillId="0" borderId="1" xfId="0" applyNumberFormat="1" applyFont="1" applyFill="1" applyBorder="1"/>
    <xf numFmtId="0" fontId="174" fillId="0" borderId="1" xfId="0" applyFont="1" applyFill="1" applyBorder="1" applyAlignment="1">
      <alignment horizontal="left" indent="1"/>
    </xf>
    <xf numFmtId="0" fontId="175" fillId="0" borderId="0" xfId="0" applyFont="1" applyFill="1" applyBorder="1"/>
    <xf numFmtId="41" fontId="175" fillId="0" borderId="0" xfId="0" applyNumberFormat="1" applyFont="1" applyFill="1" applyBorder="1"/>
    <xf numFmtId="41" fontId="174" fillId="0" borderId="0" xfId="0" applyNumberFormat="1" applyFont="1" applyFill="1" applyBorder="1"/>
    <xf numFmtId="0" fontId="175" fillId="0" borderId="1" xfId="0" applyFont="1" applyFill="1" applyBorder="1"/>
    <xf numFmtId="165" fontId="175" fillId="0" borderId="19" xfId="0" applyNumberFormat="1" applyFont="1" applyFill="1" applyBorder="1"/>
    <xf numFmtId="41" fontId="175" fillId="0" borderId="1" xfId="0" applyNumberFormat="1" applyFont="1" applyFill="1" applyBorder="1"/>
    <xf numFmtId="0" fontId="175" fillId="0" borderId="22" xfId="0" applyFont="1" applyFill="1" applyBorder="1"/>
    <xf numFmtId="0" fontId="175" fillId="29" borderId="0" xfId="0" applyFont="1" applyFill="1" applyBorder="1"/>
    <xf numFmtId="165" fontId="175" fillId="0" borderId="1" xfId="0" applyNumberFormat="1" applyFont="1" applyFill="1" applyBorder="1" applyAlignment="1">
      <alignment horizontal="left" indent="1"/>
    </xf>
    <xf numFmtId="165" fontId="175" fillId="0" borderId="0" xfId="0" applyNumberFormat="1" applyFont="1" applyFill="1" applyBorder="1"/>
    <xf numFmtId="165" fontId="175" fillId="0" borderId="1" xfId="0" applyNumberFormat="1" applyFont="1" applyFill="1" applyBorder="1"/>
    <xf numFmtId="165" fontId="175" fillId="0" borderId="22" xfId="0" applyNumberFormat="1" applyFont="1" applyFill="1" applyBorder="1"/>
    <xf numFmtId="165" fontId="168" fillId="0" borderId="0" xfId="0" applyNumberFormat="1" applyFont="1" applyFill="1" applyBorder="1"/>
    <xf numFmtId="37" fontId="172" fillId="34" borderId="0" xfId="0" applyNumberFormat="1" applyFont="1" applyFill="1" applyBorder="1"/>
    <xf numFmtId="37" fontId="2" fillId="34" borderId="0" xfId="0" applyNumberFormat="1" applyFont="1" applyFill="1" applyBorder="1"/>
    <xf numFmtId="165" fontId="2" fillId="34" borderId="0" xfId="0" applyNumberFormat="1" applyFont="1" applyFill="1" applyBorder="1"/>
    <xf numFmtId="7" fontId="173" fillId="0" borderId="59" xfId="38" applyNumberFormat="1" applyFont="1" applyFill="1" applyBorder="1" applyAlignment="1">
      <alignment vertical="center"/>
    </xf>
    <xf numFmtId="37" fontId="173" fillId="0" borderId="19" xfId="36" applyNumberFormat="1" applyFont="1" applyFill="1" applyBorder="1" applyAlignment="1">
      <alignment vertical="center"/>
    </xf>
    <xf numFmtId="165" fontId="172" fillId="0" borderId="59" xfId="36" applyNumberFormat="1" applyFont="1" applyFill="1" applyBorder="1" applyAlignment="1">
      <alignment horizontal="right" vertical="center"/>
    </xf>
    <xf numFmtId="165" fontId="172" fillId="0" borderId="59" xfId="57" applyNumberFormat="1" applyFont="1" applyFill="1" applyBorder="1" applyAlignment="1">
      <alignment vertical="center"/>
    </xf>
    <xf numFmtId="165" fontId="172" fillId="0" borderId="59" xfId="36" applyNumberFormat="1" applyFont="1" applyFill="1" applyBorder="1" applyAlignment="1">
      <alignment vertical="center"/>
    </xf>
    <xf numFmtId="37" fontId="173" fillId="0" borderId="62" xfId="49" applyNumberFormat="1" applyFont="1" applyFill="1" applyBorder="1" applyAlignment="1">
      <alignment vertical="center"/>
    </xf>
    <xf numFmtId="37" fontId="172" fillId="0" borderId="59" xfId="36" applyNumberFormat="1" applyFont="1" applyFill="1" applyBorder="1" applyAlignment="1">
      <alignment vertical="center"/>
    </xf>
    <xf numFmtId="10" fontId="172" fillId="0" borderId="59" xfId="36" applyNumberFormat="1" applyFont="1" applyFill="1" applyBorder="1" applyAlignment="1">
      <alignment vertical="center"/>
    </xf>
    <xf numFmtId="37" fontId="173" fillId="0" borderId="19" xfId="36" applyNumberFormat="1" applyFont="1" applyFill="1" applyBorder="1" applyAlignment="1">
      <alignment horizontal="right" vertical="center"/>
    </xf>
    <xf numFmtId="37" fontId="173" fillId="0" borderId="62" xfId="36" applyNumberFormat="1" applyFont="1" applyFill="1" applyBorder="1" applyAlignment="1">
      <alignment horizontal="right" vertical="center"/>
    </xf>
    <xf numFmtId="165" fontId="172" fillId="0" borderId="19" xfId="57" applyNumberFormat="1" applyFont="1" applyFill="1" applyBorder="1" applyAlignment="1">
      <alignment vertical="center"/>
    </xf>
    <xf numFmtId="37" fontId="172" fillId="0" borderId="19" xfId="36" applyNumberFormat="1" applyFont="1" applyFill="1" applyBorder="1" applyAlignment="1">
      <alignment vertical="center"/>
    </xf>
    <xf numFmtId="37" fontId="173" fillId="0" borderId="64" xfId="36" applyNumberFormat="1" applyFont="1" applyFill="1" applyBorder="1" applyAlignment="1">
      <alignment vertical="center"/>
    </xf>
    <xf numFmtId="37" fontId="172" fillId="0" borderId="19" xfId="49" applyNumberFormat="1" applyFont="1" applyFill="1" applyBorder="1" applyAlignment="1">
      <alignment vertical="center"/>
    </xf>
    <xf numFmtId="165" fontId="172" fillId="0" borderId="20" xfId="36" applyNumberFormat="1" applyFont="1" applyFill="1" applyBorder="1" applyAlignment="1">
      <alignment vertical="center"/>
    </xf>
    <xf numFmtId="10" fontId="0" fillId="0" borderId="0" xfId="0" applyNumberFormat="1"/>
    <xf numFmtId="165" fontId="172" fillId="0" borderId="1" xfId="0" applyNumberFormat="1" applyFont="1" applyFill="1" applyBorder="1"/>
    <xf numFmtId="165" fontId="172" fillId="0" borderId="0" xfId="0" applyNumberFormat="1" applyFont="1" applyFill="1" applyBorder="1"/>
    <xf numFmtId="165" fontId="172" fillId="0" borderId="22" xfId="0" applyNumberFormat="1" applyFont="1" applyFill="1" applyBorder="1"/>
    <xf numFmtId="37" fontId="1" fillId="0" borderId="0" xfId="0" applyNumberFormat="1" applyFont="1" applyAlignment="1">
      <alignment horizontal="left" indent="1"/>
    </xf>
    <xf numFmtId="37" fontId="172" fillId="0" borderId="0" xfId="0" applyNumberFormat="1" applyFont="1" applyBorder="1"/>
    <xf numFmtId="37" fontId="172" fillId="0" borderId="22" xfId="0" applyNumberFormat="1" applyFont="1" applyBorder="1"/>
    <xf numFmtId="37" fontId="172" fillId="0" borderId="0" xfId="0" applyNumberFormat="1" applyFont="1"/>
    <xf numFmtId="41" fontId="28" fillId="0" borderId="0" xfId="0" applyNumberFormat="1" applyFont="1" applyFill="1" applyBorder="1"/>
    <xf numFmtId="10" fontId="168" fillId="35" borderId="22" xfId="0" applyNumberFormat="1" applyFont="1" applyFill="1" applyBorder="1"/>
    <xf numFmtId="165" fontId="33" fillId="35" borderId="0" xfId="0" applyNumberFormat="1" applyFont="1" applyFill="1"/>
    <xf numFmtId="37" fontId="5" fillId="0" borderId="1" xfId="0" applyNumberFormat="1" applyFont="1" applyFill="1" applyBorder="1"/>
    <xf numFmtId="37" fontId="5" fillId="0" borderId="0" xfId="0" applyNumberFormat="1" applyFont="1" applyFill="1" applyBorder="1"/>
    <xf numFmtId="37" fontId="5" fillId="0" borderId="22" xfId="0" applyNumberFormat="1" applyFont="1" applyFill="1" applyBorder="1"/>
    <xf numFmtId="37" fontId="177" fillId="0" borderId="0" xfId="0" applyNumberFormat="1" applyFont="1" applyFill="1"/>
    <xf numFmtId="37" fontId="177" fillId="0" borderId="1" xfId="0" applyNumberFormat="1" applyFont="1" applyFill="1" applyBorder="1"/>
    <xf numFmtId="37" fontId="177" fillId="0" borderId="0" xfId="0" applyNumberFormat="1" applyFont="1" applyFill="1" applyBorder="1"/>
    <xf numFmtId="37" fontId="177" fillId="0" borderId="22" xfId="0" applyNumberFormat="1" applyFont="1" applyFill="1" applyBorder="1"/>
    <xf numFmtId="37" fontId="170" fillId="0" borderId="0" xfId="0" applyNumberFormat="1" applyFont="1" applyFill="1" applyBorder="1"/>
    <xf numFmtId="37" fontId="170" fillId="0" borderId="22" xfId="0" applyNumberFormat="1" applyFont="1" applyFill="1" applyBorder="1"/>
    <xf numFmtId="37" fontId="178" fillId="0" borderId="0" xfId="0" applyNumberFormat="1" applyFont="1" applyFill="1" applyBorder="1"/>
    <xf numFmtId="37" fontId="178" fillId="0" borderId="22" xfId="0" applyNumberFormat="1" applyFont="1" applyFill="1" applyBorder="1"/>
    <xf numFmtId="37" fontId="178" fillId="0" borderId="1" xfId="0" applyNumberFormat="1" applyFont="1" applyFill="1" applyBorder="1"/>
    <xf numFmtId="165" fontId="1" fillId="15" borderId="0" xfId="0" applyNumberFormat="1" applyFont="1" applyFill="1" applyBorder="1"/>
    <xf numFmtId="37" fontId="76" fillId="0" borderId="19" xfId="0" applyNumberFormat="1" applyFont="1" applyFill="1" applyBorder="1"/>
    <xf numFmtId="37" fontId="4" fillId="0" borderId="19" xfId="0" applyNumberFormat="1" applyFont="1" applyFill="1" applyBorder="1"/>
    <xf numFmtId="165" fontId="76" fillId="0" borderId="19" xfId="0" applyNumberFormat="1" applyFont="1" applyFill="1" applyBorder="1"/>
    <xf numFmtId="7" fontId="4" fillId="0" borderId="19" xfId="0" applyNumberFormat="1" applyFont="1" applyFill="1" applyBorder="1"/>
    <xf numFmtId="0" fontId="32" fillId="0" borderId="0" xfId="0" applyFont="1" applyFill="1" applyBorder="1" applyAlignment="1">
      <alignment horizontal="left" indent="1"/>
    </xf>
    <xf numFmtId="165" fontId="151" fillId="0" borderId="0" xfId="0" applyNumberFormat="1" applyFont="1" applyFill="1" applyBorder="1"/>
    <xf numFmtId="165" fontId="151" fillId="0" borderId="1" xfId="0" applyNumberFormat="1" applyFont="1" applyFill="1" applyBorder="1"/>
    <xf numFmtId="165" fontId="152" fillId="0" borderId="1" xfId="0" applyNumberFormat="1" applyFont="1" applyFill="1" applyBorder="1"/>
    <xf numFmtId="165" fontId="152" fillId="0" borderId="0" xfId="0" applyNumberFormat="1" applyFont="1" applyFill="1" applyBorder="1"/>
    <xf numFmtId="165" fontId="152" fillId="0" borderId="22" xfId="0" applyNumberFormat="1" applyFont="1" applyFill="1" applyBorder="1"/>
    <xf numFmtId="165" fontId="168" fillId="0" borderId="1" xfId="0" applyNumberFormat="1" applyFont="1" applyFill="1" applyBorder="1"/>
    <xf numFmtId="165" fontId="168" fillId="0" borderId="22" xfId="0" applyNumberFormat="1" applyFont="1" applyFill="1" applyBorder="1"/>
    <xf numFmtId="37" fontId="2" fillId="0" borderId="0" xfId="0" applyNumberFormat="1" applyFont="1" applyFill="1" applyBorder="1" applyAlignment="1">
      <alignment horizontal="left" indent="1"/>
    </xf>
    <xf numFmtId="0" fontId="2" fillId="0" borderId="0" xfId="0" applyFont="1" applyFill="1" applyBorder="1" applyAlignment="1">
      <alignment horizontal="left"/>
    </xf>
    <xf numFmtId="37" fontId="153" fillId="0" borderId="22" xfId="0" applyNumberFormat="1" applyFont="1" applyFill="1" applyBorder="1"/>
    <xf numFmtId="9" fontId="168" fillId="0" borderId="0" xfId="0" applyNumberFormat="1" applyFont="1" applyFill="1" applyBorder="1"/>
    <xf numFmtId="9" fontId="151" fillId="0" borderId="1" xfId="0" applyNumberFormat="1" applyFont="1" applyFill="1" applyBorder="1"/>
    <xf numFmtId="9" fontId="152" fillId="0" borderId="0" xfId="0" applyNumberFormat="1" applyFont="1" applyFill="1" applyBorder="1"/>
    <xf numFmtId="9" fontId="2" fillId="0" borderId="22" xfId="0" applyNumberFormat="1" applyFont="1" applyFill="1" applyBorder="1"/>
    <xf numFmtId="9" fontId="168" fillId="0" borderId="1" xfId="0" applyNumberFormat="1" applyFont="1" applyFill="1" applyBorder="1"/>
    <xf numFmtId="9" fontId="168" fillId="0" borderId="22" xfId="0" applyNumberFormat="1" applyFont="1" applyFill="1" applyBorder="1"/>
    <xf numFmtId="37" fontId="152" fillId="0" borderId="1" xfId="0" applyNumberFormat="1" applyFont="1" applyFill="1" applyBorder="1"/>
    <xf numFmtId="37" fontId="152" fillId="0" borderId="0" xfId="0" applyNumberFormat="1" applyFont="1" applyFill="1" applyBorder="1"/>
    <xf numFmtId="37" fontId="152" fillId="0" borderId="22" xfId="0" applyNumberFormat="1" applyFont="1" applyFill="1" applyBorder="1"/>
    <xf numFmtId="37" fontId="168" fillId="0" borderId="1" xfId="0" applyNumberFormat="1" applyFont="1" applyFill="1" applyBorder="1"/>
    <xf numFmtId="37" fontId="168" fillId="0" borderId="22" xfId="0" applyNumberFormat="1" applyFont="1" applyFill="1" applyBorder="1"/>
    <xf numFmtId="9" fontId="152" fillId="0" borderId="1" xfId="0" applyNumberFormat="1" applyFont="1" applyFill="1" applyBorder="1"/>
    <xf numFmtId="9" fontId="153" fillId="0" borderId="1" xfId="0" applyNumberFormat="1" applyFont="1" applyFill="1" applyBorder="1"/>
    <xf numFmtId="9" fontId="153" fillId="0" borderId="0" xfId="0" applyNumberFormat="1" applyFont="1" applyFill="1" applyBorder="1"/>
    <xf numFmtId="9" fontId="152" fillId="0" borderId="22" xfId="0" applyNumberFormat="1" applyFont="1" applyFill="1" applyBorder="1"/>
    <xf numFmtId="41" fontId="152" fillId="0" borderId="1" xfId="0" applyNumberFormat="1" applyFont="1" applyFill="1" applyBorder="1"/>
    <xf numFmtId="3" fontId="152" fillId="0" borderId="0" xfId="61" applyNumberFormat="1" applyFont="1" applyFill="1" applyBorder="1" applyAlignment="1"/>
    <xf numFmtId="3" fontId="152" fillId="0" borderId="22" xfId="61" applyNumberFormat="1" applyFont="1" applyFill="1" applyBorder="1" applyAlignment="1"/>
    <xf numFmtId="3" fontId="152" fillId="0" borderId="1" xfId="61" applyNumberFormat="1" applyFont="1" applyFill="1" applyBorder="1" applyAlignment="1"/>
    <xf numFmtId="9" fontId="2" fillId="0" borderId="0" xfId="0" applyNumberFormat="1" applyFont="1" applyFill="1" applyBorder="1" applyAlignment="1">
      <alignment horizontal="left"/>
    </xf>
    <xf numFmtId="7" fontId="38" fillId="0" borderId="1" xfId="0" applyNumberFormat="1" applyFont="1" applyFill="1" applyBorder="1"/>
    <xf numFmtId="7" fontId="38" fillId="0" borderId="0" xfId="0" applyNumberFormat="1" applyFont="1" applyFill="1" applyBorder="1"/>
    <xf numFmtId="0" fontId="157" fillId="0" borderId="1" xfId="0" applyFont="1" applyFill="1" applyBorder="1"/>
    <xf numFmtId="165" fontId="158" fillId="0" borderId="19" xfId="0" applyNumberFormat="1" applyFont="1" applyFill="1" applyBorder="1"/>
    <xf numFmtId="0" fontId="157" fillId="0" borderId="0" xfId="0" applyFont="1" applyFill="1" applyBorder="1"/>
    <xf numFmtId="10" fontId="29" fillId="0" borderId="19" xfId="0" applyNumberFormat="1" applyFont="1" applyFill="1" applyBorder="1"/>
    <xf numFmtId="175" fontId="2" fillId="0" borderId="19" xfId="0" applyNumberFormat="1" applyFont="1" applyFill="1" applyBorder="1"/>
    <xf numFmtId="175" fontId="2" fillId="0" borderId="0" xfId="0" applyNumberFormat="1" applyFont="1" applyFill="1" applyBorder="1"/>
    <xf numFmtId="5" fontId="2" fillId="0" borderId="1" xfId="0" applyNumberFormat="1" applyFont="1" applyFill="1" applyBorder="1"/>
    <xf numFmtId="5" fontId="2" fillId="0" borderId="19" xfId="0" applyNumberFormat="1" applyFont="1" applyFill="1" applyBorder="1"/>
    <xf numFmtId="5" fontId="2" fillId="0" borderId="0" xfId="0" applyNumberFormat="1" applyFont="1" applyFill="1" applyBorder="1"/>
    <xf numFmtId="5" fontId="3" fillId="0" borderId="1" xfId="0" applyNumberFormat="1" applyFont="1" applyFill="1" applyBorder="1"/>
    <xf numFmtId="5" fontId="3" fillId="0" borderId="0" xfId="0" applyNumberFormat="1" applyFont="1" applyFill="1" applyBorder="1"/>
    <xf numFmtId="165" fontId="45" fillId="0" borderId="19" xfId="0" applyNumberFormat="1" applyFont="1" applyFill="1" applyBorder="1"/>
    <xf numFmtId="37" fontId="45" fillId="0" borderId="19" xfId="0" applyNumberFormat="1" applyFont="1" applyFill="1" applyBorder="1"/>
    <xf numFmtId="41" fontId="45" fillId="0" borderId="19" xfId="0" applyNumberFormat="1" applyFont="1" applyFill="1" applyBorder="1"/>
    <xf numFmtId="39" fontId="2" fillId="0" borderId="22" xfId="0" applyNumberFormat="1" applyFont="1" applyFill="1" applyBorder="1"/>
    <xf numFmtId="39" fontId="2" fillId="0" borderId="0" xfId="0" applyNumberFormat="1" applyFont="1" applyFill="1" applyBorder="1"/>
    <xf numFmtId="39" fontId="2" fillId="0" borderId="0" xfId="0" applyNumberFormat="1" applyFont="1" applyFill="1" applyBorder="1" applyAlignment="1">
      <alignment horizontal="right"/>
    </xf>
    <xf numFmtId="5" fontId="2" fillId="0" borderId="24" xfId="0" applyNumberFormat="1" applyFont="1" applyFill="1" applyBorder="1" applyAlignment="1">
      <alignment horizontal="left" indent="2"/>
    </xf>
    <xf numFmtId="5" fontId="2" fillId="0" borderId="24" xfId="0" applyNumberFormat="1" applyFont="1" applyFill="1" applyBorder="1"/>
    <xf numFmtId="5" fontId="2" fillId="0" borderId="0" xfId="0" applyNumberFormat="1" applyFont="1" applyFill="1" applyBorder="1" applyAlignment="1">
      <alignment horizontal="right"/>
    </xf>
    <xf numFmtId="5" fontId="153" fillId="0" borderId="24" xfId="56" applyNumberFormat="1" applyFont="1" applyFill="1" applyBorder="1"/>
    <xf numFmtId="0" fontId="27" fillId="0" borderId="0" xfId="0" applyFont="1" applyFill="1" applyBorder="1"/>
    <xf numFmtId="0" fontId="27" fillId="0" borderId="22" xfId="0" applyFont="1" applyFill="1" applyBorder="1"/>
    <xf numFmtId="0" fontId="27" fillId="0" borderId="1" xfId="0" applyFont="1" applyFill="1" applyBorder="1"/>
    <xf numFmtId="0" fontId="31" fillId="0" borderId="0" xfId="0" applyFont="1" applyFill="1" applyBorder="1" applyAlignment="1">
      <alignment vertical="top" wrapText="1"/>
    </xf>
    <xf numFmtId="0" fontId="32" fillId="0" borderId="0" xfId="0" applyFont="1" applyFill="1" applyBorder="1" applyAlignment="1">
      <alignment vertical="top" wrapText="1"/>
    </xf>
    <xf numFmtId="0" fontId="32" fillId="0" borderId="0" xfId="0" applyFont="1" applyFill="1" applyBorder="1" applyAlignment="1">
      <alignment horizontal="right" vertical="top" wrapText="1"/>
    </xf>
    <xf numFmtId="37" fontId="32" fillId="0" borderId="0" xfId="0" applyNumberFormat="1" applyFont="1" applyFill="1" applyBorder="1" applyAlignment="1">
      <alignment vertical="top" wrapText="1"/>
    </xf>
    <xf numFmtId="37" fontId="32" fillId="0" borderId="0" xfId="0" applyNumberFormat="1" applyFont="1" applyFill="1" applyBorder="1" applyAlignment="1">
      <alignment horizontal="right" vertical="top"/>
    </xf>
    <xf numFmtId="37" fontId="32" fillId="0" borderId="0" xfId="0" applyNumberFormat="1" applyFont="1" applyFill="1" applyBorder="1"/>
    <xf numFmtId="37" fontId="32" fillId="0" borderId="0" xfId="0" applyNumberFormat="1" applyFont="1" applyFill="1" applyBorder="1" applyAlignment="1">
      <alignment vertical="top"/>
    </xf>
    <xf numFmtId="37" fontId="32" fillId="0" borderId="22" xfId="0" applyNumberFormat="1" applyFont="1" applyFill="1" applyBorder="1"/>
    <xf numFmtId="37" fontId="31" fillId="0" borderId="0" xfId="0" applyNumberFormat="1" applyFont="1" applyFill="1" applyBorder="1" applyAlignment="1">
      <alignment vertical="top" wrapText="1"/>
    </xf>
    <xf numFmtId="37" fontId="31" fillId="0" borderId="0" xfId="0" applyNumberFormat="1" applyFont="1" applyFill="1" applyBorder="1" applyAlignment="1">
      <alignment horizontal="right" vertical="top"/>
    </xf>
    <xf numFmtId="37" fontId="31" fillId="0" borderId="0" xfId="0" applyNumberFormat="1" applyFont="1" applyFill="1" applyBorder="1"/>
    <xf numFmtId="37" fontId="31" fillId="0" borderId="0" xfId="0" applyNumberFormat="1" applyFont="1" applyFill="1" applyBorder="1" applyAlignment="1">
      <alignment vertical="top"/>
    </xf>
    <xf numFmtId="37" fontId="31" fillId="0" borderId="1" xfId="0" applyNumberFormat="1" applyFont="1" applyFill="1" applyBorder="1"/>
    <xf numFmtId="37" fontId="31" fillId="0" borderId="22" xfId="0" applyNumberFormat="1" applyFont="1" applyFill="1" applyBorder="1"/>
    <xf numFmtId="37" fontId="32" fillId="0" borderId="1" xfId="0" applyNumberFormat="1" applyFont="1" applyFill="1" applyBorder="1" applyAlignment="1">
      <alignment horizontal="right" vertical="top"/>
    </xf>
    <xf numFmtId="37" fontId="31" fillId="0" borderId="1" xfId="0" applyNumberFormat="1" applyFont="1" applyFill="1" applyBorder="1" applyAlignment="1">
      <alignment horizontal="right" vertical="top"/>
    </xf>
    <xf numFmtId="41" fontId="130" fillId="0" borderId="0" xfId="0" applyNumberFormat="1" applyFont="1" applyFill="1" applyBorder="1"/>
    <xf numFmtId="41" fontId="53" fillId="0" borderId="22" xfId="0" applyNumberFormat="1" applyFont="1" applyFill="1" applyBorder="1"/>
    <xf numFmtId="41" fontId="130" fillId="0" borderId="1" xfId="0" applyNumberFormat="1" applyFont="1" applyFill="1" applyBorder="1"/>
    <xf numFmtId="41" fontId="53" fillId="0" borderId="0" xfId="0" applyNumberFormat="1" applyFont="1" applyFill="1" applyBorder="1"/>
    <xf numFmtId="41" fontId="130" fillId="0" borderId="22" xfId="0" applyNumberFormat="1" applyFont="1" applyFill="1" applyBorder="1"/>
    <xf numFmtId="0" fontId="45" fillId="0" borderId="0" xfId="0" applyFont="1" applyFill="1" applyBorder="1"/>
    <xf numFmtId="0" fontId="45" fillId="0" borderId="22" xfId="0" applyFont="1" applyFill="1" applyBorder="1"/>
    <xf numFmtId="0" fontId="45" fillId="0" borderId="1" xfId="0" applyFont="1" applyFill="1" applyBorder="1"/>
    <xf numFmtId="0" fontId="44" fillId="0" borderId="0" xfId="0" applyFont="1" applyFill="1" applyBorder="1" applyAlignment="1">
      <alignment vertical="top"/>
    </xf>
    <xf numFmtId="0" fontId="45" fillId="0" borderId="0" xfId="0" applyFont="1" applyFill="1" applyBorder="1" applyAlignment="1">
      <alignment horizontal="right" vertical="top"/>
    </xf>
    <xf numFmtId="0" fontId="45" fillId="0" borderId="0" xfId="0" applyFont="1" applyFill="1" applyBorder="1" applyAlignment="1">
      <alignment vertical="top"/>
    </xf>
    <xf numFmtId="37" fontId="45" fillId="0" borderId="0" xfId="0" applyNumberFormat="1" applyFont="1" applyFill="1" applyBorder="1" applyAlignment="1">
      <alignment vertical="top"/>
    </xf>
    <xf numFmtId="37" fontId="45" fillId="0" borderId="0" xfId="0" applyNumberFormat="1" applyFont="1" applyFill="1" applyBorder="1" applyAlignment="1">
      <alignment horizontal="right" vertical="top"/>
    </xf>
    <xf numFmtId="37" fontId="45" fillId="0" borderId="0" xfId="0" applyNumberFormat="1" applyFont="1" applyFill="1" applyBorder="1"/>
    <xf numFmtId="37" fontId="45" fillId="0" borderId="1" xfId="0" applyNumberFormat="1" applyFont="1" applyFill="1" applyBorder="1"/>
    <xf numFmtId="37" fontId="44" fillId="0" borderId="0" xfId="0" applyNumberFormat="1" applyFont="1" applyFill="1" applyBorder="1"/>
    <xf numFmtId="37" fontId="44" fillId="0" borderId="1" xfId="0" applyNumberFormat="1" applyFont="1" applyFill="1" applyBorder="1"/>
    <xf numFmtId="37" fontId="44" fillId="0" borderId="22" xfId="0" applyNumberFormat="1" applyFont="1" applyFill="1" applyBorder="1"/>
    <xf numFmtId="37" fontId="45" fillId="0" borderId="22" xfId="0" applyNumberFormat="1" applyFont="1" applyFill="1" applyBorder="1"/>
    <xf numFmtId="37" fontId="44" fillId="0" borderId="0" xfId="0" applyNumberFormat="1" applyFont="1" applyFill="1" applyBorder="1" applyAlignment="1">
      <alignment vertical="top"/>
    </xf>
    <xf numFmtId="37" fontId="44" fillId="0" borderId="0" xfId="0" applyNumberFormat="1" applyFont="1" applyFill="1" applyBorder="1" applyAlignment="1">
      <alignment horizontal="right" vertical="top"/>
    </xf>
    <xf numFmtId="164" fontId="45" fillId="0" borderId="0" xfId="35" applyNumberFormat="1" applyFont="1" applyFill="1" applyBorder="1"/>
    <xf numFmtId="41" fontId="45" fillId="0" borderId="0" xfId="0" applyNumberFormat="1" applyFont="1" applyFill="1" applyBorder="1"/>
    <xf numFmtId="41" fontId="45" fillId="0" borderId="1" xfId="0" applyNumberFormat="1" applyFont="1" applyFill="1" applyBorder="1"/>
    <xf numFmtId="41" fontId="45" fillId="0" borderId="22" xfId="0" applyNumberFormat="1" applyFont="1" applyFill="1" applyBorder="1"/>
    <xf numFmtId="0" fontId="45" fillId="0" borderId="0" xfId="0" applyFont="1" applyFill="1" applyBorder="1" applyAlignment="1">
      <alignment horizontal="center"/>
    </xf>
    <xf numFmtId="0" fontId="44" fillId="0" borderId="0" xfId="0" applyFont="1" applyFill="1" applyBorder="1" applyAlignment="1">
      <alignment horizontal="left" vertical="top" wrapText="1"/>
    </xf>
    <xf numFmtId="3" fontId="2" fillId="0" borderId="1" xfId="0" applyNumberFormat="1" applyFont="1" applyFill="1" applyBorder="1"/>
    <xf numFmtId="0" fontId="2" fillId="0" borderId="0" xfId="0" applyFont="1" applyFill="1" applyBorder="1" applyAlignment="1">
      <alignment horizontal="left" vertical="top" wrapText="1"/>
    </xf>
    <xf numFmtId="0" fontId="2" fillId="0" borderId="0" xfId="0" quotePrefix="1" applyFont="1" applyFill="1" applyBorder="1" applyAlignment="1">
      <alignment horizontal="right" wrapText="1"/>
    </xf>
    <xf numFmtId="0" fontId="27" fillId="0" borderId="0" xfId="0" applyFont="1" applyFill="1" applyBorder="1" applyAlignment="1">
      <alignment horizontal="left" vertical="top" wrapText="1" indent="1"/>
    </xf>
    <xf numFmtId="3" fontId="27" fillId="0" borderId="0" xfId="0" applyNumberFormat="1" applyFont="1" applyFill="1" applyBorder="1" applyAlignment="1">
      <alignment horizontal="right" wrapText="1"/>
    </xf>
    <xf numFmtId="3" fontId="27" fillId="0" borderId="0" xfId="0" applyNumberFormat="1" applyFont="1" applyFill="1" applyBorder="1"/>
    <xf numFmtId="3" fontId="27" fillId="0" borderId="1" xfId="0" applyNumberFormat="1" applyFont="1" applyFill="1" applyBorder="1" applyAlignment="1">
      <alignment horizontal="right" wrapText="1"/>
    </xf>
    <xf numFmtId="3" fontId="27" fillId="0" borderId="22" xfId="0" applyNumberFormat="1" applyFont="1" applyFill="1" applyBorder="1" applyAlignment="1">
      <alignment horizontal="right" wrapText="1"/>
    </xf>
    <xf numFmtId="0" fontId="27" fillId="0" borderId="0" xfId="0" applyFont="1" applyFill="1" applyBorder="1" applyAlignment="1">
      <alignment horizontal="right" wrapText="1"/>
    </xf>
    <xf numFmtId="38" fontId="27" fillId="0" borderId="0" xfId="0" applyNumberFormat="1" applyFont="1" applyFill="1" applyBorder="1" applyAlignment="1">
      <alignment horizontal="right" wrapText="1"/>
    </xf>
    <xf numFmtId="38" fontId="27" fillId="0" borderId="1" xfId="0" applyNumberFormat="1" applyFont="1" applyFill="1" applyBorder="1" applyAlignment="1">
      <alignment horizontal="right" wrapText="1"/>
    </xf>
    <xf numFmtId="38" fontId="27" fillId="0" borderId="22" xfId="0" applyNumberFormat="1" applyFont="1" applyFill="1" applyBorder="1" applyAlignment="1">
      <alignment horizontal="right" wrapText="1"/>
    </xf>
    <xf numFmtId="0" fontId="27" fillId="0" borderId="0" xfId="0" applyFont="1" applyFill="1" applyBorder="1" applyAlignment="1">
      <alignment horizontal="left" vertical="top" wrapText="1"/>
    </xf>
    <xf numFmtId="0" fontId="27" fillId="0" borderId="1" xfId="0" applyFont="1" applyFill="1" applyBorder="1" applyAlignment="1">
      <alignment horizontal="right" wrapText="1"/>
    </xf>
    <xf numFmtId="38" fontId="2" fillId="0" borderId="0" xfId="0" applyNumberFormat="1" applyFont="1" applyFill="1" applyBorder="1" applyAlignment="1">
      <alignment horizontal="right" wrapText="1"/>
    </xf>
    <xf numFmtId="38" fontId="2" fillId="0" borderId="1" xfId="0" applyNumberFormat="1" applyFont="1" applyFill="1" applyBorder="1" applyAlignment="1">
      <alignment horizontal="right" wrapText="1"/>
    </xf>
    <xf numFmtId="38" fontId="66" fillId="0" borderId="0" xfId="0" applyNumberFormat="1" applyFont="1" applyFill="1" applyBorder="1" applyAlignment="1">
      <alignment horizontal="right" wrapText="1"/>
    </xf>
    <xf numFmtId="38" fontId="48" fillId="0" borderId="1" xfId="0" applyNumberFormat="1" applyFont="1" applyFill="1" applyBorder="1" applyAlignment="1">
      <alignment horizontal="right" wrapText="1"/>
    </xf>
    <xf numFmtId="38" fontId="2" fillId="0" borderId="22" xfId="0" applyNumberFormat="1" applyFont="1" applyFill="1" applyBorder="1" applyAlignment="1">
      <alignment horizontal="right" wrapText="1"/>
    </xf>
    <xf numFmtId="3" fontId="2" fillId="0" borderId="0" xfId="0" applyNumberFormat="1" applyFont="1" applyFill="1" applyBorder="1" applyAlignment="1">
      <alignment horizontal="right" wrapText="1"/>
    </xf>
    <xf numFmtId="0" fontId="40" fillId="0" borderId="0" xfId="0" applyFont="1" applyFill="1" applyBorder="1" applyAlignment="1">
      <alignment horizontal="right"/>
    </xf>
    <xf numFmtId="0" fontId="40" fillId="0" borderId="22" xfId="0" applyFont="1" applyFill="1" applyBorder="1" applyAlignment="1">
      <alignment horizontal="right"/>
    </xf>
    <xf numFmtId="0" fontId="40" fillId="0" borderId="1" xfId="0" applyFont="1" applyFill="1" applyBorder="1" applyAlignment="1">
      <alignment horizontal="right"/>
    </xf>
    <xf numFmtId="3" fontId="29" fillId="0" borderId="0" xfId="0" applyNumberFormat="1" applyFont="1" applyFill="1" applyBorder="1" applyAlignment="1">
      <alignment horizontal="right" wrapText="1"/>
    </xf>
    <xf numFmtId="3" fontId="29" fillId="0" borderId="22" xfId="0" applyNumberFormat="1" applyFont="1" applyFill="1" applyBorder="1" applyAlignment="1">
      <alignment horizontal="right" wrapText="1"/>
    </xf>
    <xf numFmtId="3" fontId="29" fillId="0" borderId="1" xfId="0" applyNumberFormat="1" applyFont="1" applyFill="1" applyBorder="1" applyAlignment="1">
      <alignment horizontal="right" wrapText="1"/>
    </xf>
    <xf numFmtId="3" fontId="33" fillId="0" borderId="22" xfId="0" applyNumberFormat="1" applyFont="1" applyFill="1" applyBorder="1" applyAlignment="1">
      <alignment horizontal="right" wrapText="1"/>
    </xf>
    <xf numFmtId="3" fontId="33" fillId="0" borderId="0" xfId="0" applyNumberFormat="1" applyFont="1" applyFill="1" applyBorder="1" applyAlignment="1">
      <alignment horizontal="right" wrapText="1"/>
    </xf>
    <xf numFmtId="0" fontId="29" fillId="0" borderId="22" xfId="0" applyFont="1" applyFill="1" applyBorder="1"/>
    <xf numFmtId="3" fontId="2" fillId="0" borderId="0" xfId="0" applyNumberFormat="1" applyFont="1" applyFill="1" applyBorder="1"/>
    <xf numFmtId="0" fontId="2" fillId="0" borderId="0" xfId="0" applyFont="1" applyFill="1" applyBorder="1" applyAlignment="1">
      <alignment horizontal="right" wrapText="1"/>
    </xf>
    <xf numFmtId="0" fontId="29" fillId="0" borderId="0" xfId="0" applyFont="1" applyFill="1" applyBorder="1" applyAlignment="1">
      <alignment horizontal="left" vertical="top" wrapText="1"/>
    </xf>
    <xf numFmtId="0" fontId="2" fillId="0" borderId="0" xfId="0" applyFont="1" applyFill="1" applyBorder="1" applyAlignment="1">
      <alignment horizontal="left" vertical="top" wrapText="1" indent="1"/>
    </xf>
    <xf numFmtId="3" fontId="2" fillId="0" borderId="1" xfId="0" applyNumberFormat="1" applyFont="1" applyFill="1" applyBorder="1" applyAlignment="1">
      <alignment horizontal="right" wrapText="1"/>
    </xf>
    <xf numFmtId="3" fontId="2" fillId="0" borderId="22" xfId="0" applyNumberFormat="1" applyFont="1" applyFill="1" applyBorder="1" applyAlignment="1">
      <alignment horizontal="right" wrapText="1"/>
    </xf>
    <xf numFmtId="38" fontId="33" fillId="0" borderId="0" xfId="0" applyNumberFormat="1" applyFont="1" applyFill="1" applyBorder="1" applyAlignment="1">
      <alignment horizontal="right" wrapText="1"/>
    </xf>
    <xf numFmtId="3" fontId="29" fillId="0" borderId="0" xfId="0" applyNumberFormat="1" applyFont="1" applyFill="1" applyBorder="1"/>
    <xf numFmtId="3" fontId="29" fillId="0" borderId="1" xfId="0" applyNumberFormat="1" applyFont="1" applyFill="1" applyBorder="1"/>
    <xf numFmtId="3" fontId="29" fillId="0" borderId="22" xfId="0" applyNumberFormat="1" applyFont="1" applyFill="1" applyBorder="1"/>
    <xf numFmtId="3" fontId="33" fillId="0" borderId="1" xfId="0" applyNumberFormat="1" applyFont="1" applyFill="1" applyBorder="1" applyAlignment="1">
      <alignment horizontal="right" wrapText="1"/>
    </xf>
    <xf numFmtId="3" fontId="41" fillId="0" borderId="0" xfId="0" applyNumberFormat="1" applyFont="1" applyFill="1" applyBorder="1"/>
    <xf numFmtId="3" fontId="41" fillId="0" borderId="1" xfId="0" applyNumberFormat="1" applyFont="1" applyFill="1" applyBorder="1"/>
    <xf numFmtId="169" fontId="27" fillId="0" borderId="0" xfId="0" applyNumberFormat="1" applyFont="1" applyFill="1" applyBorder="1" applyAlignment="1">
      <alignment horizontal="left" vertical="top" wrapText="1"/>
    </xf>
    <xf numFmtId="169" fontId="27" fillId="0" borderId="0" xfId="0" applyNumberFormat="1" applyFont="1" applyFill="1" applyBorder="1"/>
    <xf numFmtId="169" fontId="40" fillId="0" borderId="0" xfId="0" applyNumberFormat="1" applyFont="1" applyFill="1" applyBorder="1" applyAlignment="1">
      <alignment horizontal="left" vertical="top" wrapText="1"/>
    </xf>
    <xf numFmtId="169" fontId="40" fillId="0" borderId="0" xfId="0" applyNumberFormat="1" applyFont="1" applyFill="1" applyBorder="1"/>
    <xf numFmtId="169" fontId="29" fillId="0" borderId="1" xfId="0" applyNumberFormat="1" applyFont="1" applyFill="1" applyBorder="1"/>
    <xf numFmtId="169" fontId="29" fillId="0" borderId="0" xfId="0" applyNumberFormat="1" applyFont="1" applyFill="1" applyBorder="1"/>
    <xf numFmtId="169" fontId="29" fillId="0" borderId="22" xfId="0" applyNumberFormat="1" applyFont="1" applyFill="1" applyBorder="1"/>
    <xf numFmtId="169" fontId="29" fillId="0" borderId="0" xfId="0" applyNumberFormat="1" applyFont="1" applyFill="1" applyBorder="1" applyAlignment="1">
      <alignment horizontal="left" vertical="top" wrapText="1"/>
    </xf>
    <xf numFmtId="169" fontId="47" fillId="0" borderId="0" xfId="0" applyNumberFormat="1" applyFont="1" applyFill="1" applyBorder="1"/>
    <xf numFmtId="169" fontId="41" fillId="0" borderId="0" xfId="0" applyNumberFormat="1" applyFont="1" applyFill="1" applyBorder="1"/>
    <xf numFmtId="169" fontId="41" fillId="0" borderId="1" xfId="0" applyNumberFormat="1" applyFont="1" applyFill="1" applyBorder="1"/>
    <xf numFmtId="165" fontId="29" fillId="0" borderId="0" xfId="0" applyNumberFormat="1" applyFont="1" applyFill="1" applyBorder="1" applyAlignment="1">
      <alignment horizontal="left" vertical="top" wrapText="1"/>
    </xf>
    <xf numFmtId="165" fontId="29" fillId="0" borderId="0" xfId="0" applyNumberFormat="1" applyFont="1" applyFill="1" applyBorder="1"/>
    <xf numFmtId="165" fontId="29" fillId="0" borderId="1" xfId="0" applyNumberFormat="1" applyFont="1" applyFill="1" applyBorder="1"/>
    <xf numFmtId="165" fontId="29" fillId="0" borderId="22" xfId="0" applyNumberFormat="1" applyFont="1" applyFill="1" applyBorder="1"/>
    <xf numFmtId="9" fontId="2" fillId="0" borderId="22" xfId="56" applyFont="1" applyFill="1" applyBorder="1"/>
    <xf numFmtId="9" fontId="2" fillId="0" borderId="0" xfId="56" applyFont="1" applyFill="1" applyBorder="1"/>
    <xf numFmtId="9" fontId="2" fillId="0" borderId="1" xfId="56" applyFont="1" applyFill="1" applyBorder="1"/>
    <xf numFmtId="39" fontId="33" fillId="0" borderId="0" xfId="0" applyNumberFormat="1" applyFont="1" applyFill="1" applyBorder="1"/>
    <xf numFmtId="39" fontId="48" fillId="0" borderId="1" xfId="0" applyNumberFormat="1" applyFont="1" applyFill="1" applyBorder="1"/>
    <xf numFmtId="39" fontId="2" fillId="0" borderId="1" xfId="0" applyNumberFormat="1" applyFont="1" applyFill="1" applyBorder="1"/>
    <xf numFmtId="39" fontId="33" fillId="0" borderId="1" xfId="0" applyNumberFormat="1" applyFont="1" applyFill="1" applyBorder="1"/>
    <xf numFmtId="39" fontId="33" fillId="0" borderId="22" xfId="0" applyNumberFormat="1" applyFont="1" applyFill="1" applyBorder="1"/>
    <xf numFmtId="0" fontId="40" fillId="0" borderId="0" xfId="0" applyFont="1" applyFill="1" applyBorder="1" applyAlignment="1">
      <alignment horizontal="center"/>
    </xf>
    <xf numFmtId="0" fontId="40" fillId="0" borderId="1" xfId="0" applyFont="1" applyFill="1" applyBorder="1" applyAlignment="1">
      <alignment horizontal="center"/>
    </xf>
    <xf numFmtId="0" fontId="40" fillId="0" borderId="22" xfId="0" applyFont="1" applyFill="1" applyBorder="1" applyAlignment="1">
      <alignment horizontal="center"/>
    </xf>
    <xf numFmtId="0" fontId="2" fillId="0" borderId="0" xfId="0" applyFont="1" applyFill="1" applyBorder="1" applyAlignment="1">
      <alignment horizontal="right"/>
    </xf>
    <xf numFmtId="39" fontId="35" fillId="0" borderId="0" xfId="0" applyNumberFormat="1" applyFont="1" applyFill="1" applyBorder="1"/>
    <xf numFmtId="0" fontId="27" fillId="0" borderId="55" xfId="0" applyFont="1" applyFill="1" applyBorder="1"/>
    <xf numFmtId="8" fontId="27" fillId="0" borderId="55" xfId="0" applyNumberFormat="1" applyFont="1" applyFill="1" applyBorder="1" applyAlignment="1">
      <alignment horizontal="left"/>
    </xf>
    <xf numFmtId="0" fontId="2" fillId="0" borderId="0" xfId="61" applyFont="1" applyFill="1" applyBorder="1" applyAlignment="1"/>
    <xf numFmtId="3" fontId="2" fillId="0" borderId="0" xfId="61" applyNumberFormat="1" applyFont="1" applyFill="1" applyBorder="1" applyAlignment="1"/>
    <xf numFmtId="41" fontId="2" fillId="0" borderId="0" xfId="61" applyNumberFormat="1" applyFont="1" applyFill="1" applyBorder="1" applyAlignment="1">
      <alignment horizontal="center"/>
    </xf>
    <xf numFmtId="3" fontId="33" fillId="0" borderId="1" xfId="61" applyNumberFormat="1" applyFont="1" applyFill="1" applyBorder="1" applyAlignment="1"/>
    <xf numFmtId="3" fontId="33" fillId="0" borderId="0" xfId="61" applyNumberFormat="1" applyFont="1" applyFill="1" applyBorder="1" applyAlignment="1"/>
    <xf numFmtId="3" fontId="33" fillId="0" borderId="22" xfId="61" applyNumberFormat="1" applyFont="1" applyFill="1" applyBorder="1" applyAlignment="1"/>
    <xf numFmtId="9" fontId="33" fillId="0" borderId="0" xfId="0" applyNumberFormat="1" applyFont="1" applyFill="1" applyBorder="1"/>
    <xf numFmtId="165" fontId="2" fillId="0" borderId="0" xfId="61" applyNumberFormat="1" applyFont="1" applyFill="1" applyBorder="1" applyAlignment="1"/>
    <xf numFmtId="165" fontId="33" fillId="0" borderId="0" xfId="61" applyNumberFormat="1" applyFont="1" applyFill="1" applyBorder="1" applyAlignment="1"/>
    <xf numFmtId="9" fontId="33" fillId="0" borderId="0" xfId="61" applyNumberFormat="1" applyFont="1" applyFill="1" applyBorder="1" applyAlignment="1"/>
    <xf numFmtId="9" fontId="33" fillId="0" borderId="22" xfId="61" applyNumberFormat="1" applyFont="1" applyFill="1" applyBorder="1" applyAlignment="1"/>
    <xf numFmtId="0" fontId="29" fillId="0" borderId="0" xfId="61" applyFont="1" applyFill="1" applyBorder="1" applyAlignment="1"/>
    <xf numFmtId="3" fontId="2" fillId="0" borderId="22" xfId="61" applyNumberFormat="1" applyFont="1" applyFill="1" applyBorder="1" applyAlignment="1"/>
    <xf numFmtId="3" fontId="2" fillId="0" borderId="1" xfId="61" applyNumberFormat="1" applyFont="1" applyFill="1" applyBorder="1" applyAlignment="1"/>
    <xf numFmtId="0" fontId="2" fillId="0" borderId="0" xfId="0" applyFont="1" applyFill="1" applyBorder="1" applyAlignment="1">
      <alignment horizontal="left" indent="1"/>
    </xf>
    <xf numFmtId="9" fontId="33" fillId="0" borderId="1" xfId="61" applyNumberFormat="1" applyFont="1" applyFill="1" applyBorder="1" applyAlignment="1"/>
    <xf numFmtId="9" fontId="33" fillId="0" borderId="22" xfId="0" applyNumberFormat="1" applyFont="1" applyFill="1" applyBorder="1"/>
    <xf numFmtId="9" fontId="33" fillId="0" borderId="1" xfId="0" applyNumberFormat="1" applyFont="1" applyFill="1" applyBorder="1"/>
    <xf numFmtId="0" fontId="2" fillId="0" borderId="0" xfId="61" applyFont="1" applyFill="1" applyBorder="1" applyAlignment="1">
      <alignment horizontal="left" indent="1"/>
    </xf>
    <xf numFmtId="165" fontId="2" fillId="0" borderId="1" xfId="61" applyNumberFormat="1" applyFont="1" applyFill="1" applyBorder="1" applyAlignment="1"/>
    <xf numFmtId="165" fontId="2" fillId="0" borderId="22" xfId="61" applyNumberFormat="1" applyFont="1" applyFill="1" applyBorder="1" applyAlignment="1"/>
    <xf numFmtId="165" fontId="2" fillId="0" borderId="0" xfId="61" applyNumberFormat="1" applyFont="1" applyFill="1" applyBorder="1" applyAlignment="1">
      <alignment horizontal="left" indent="1"/>
    </xf>
    <xf numFmtId="165" fontId="62" fillId="0" borderId="0" xfId="61" applyNumberFormat="1" applyFont="1" applyFill="1" applyBorder="1" applyAlignment="1"/>
    <xf numFmtId="165" fontId="62" fillId="0" borderId="1" xfId="61" applyNumberFormat="1" applyFont="1" applyFill="1" applyBorder="1" applyAlignment="1"/>
    <xf numFmtId="165" fontId="62" fillId="0" borderId="22" xfId="61" applyNumberFormat="1" applyFont="1" applyFill="1" applyBorder="1" applyAlignment="1"/>
    <xf numFmtId="3" fontId="29" fillId="0" borderId="0" xfId="61" applyNumberFormat="1" applyFont="1" applyFill="1" applyBorder="1" applyAlignment="1"/>
    <xf numFmtId="3" fontId="29" fillId="0" borderId="1" xfId="61" applyNumberFormat="1" applyFont="1" applyFill="1" applyBorder="1" applyAlignment="1"/>
    <xf numFmtId="3" fontId="29" fillId="0" borderId="22" xfId="61" applyNumberFormat="1" applyFont="1" applyFill="1" applyBorder="1" applyAlignment="1"/>
    <xf numFmtId="0" fontId="27" fillId="0" borderId="0" xfId="61" applyFont="1" applyFill="1" applyBorder="1" applyAlignment="1">
      <alignment horizontal="left"/>
    </xf>
    <xf numFmtId="5" fontId="2" fillId="0" borderId="0" xfId="61" applyNumberFormat="1" applyFont="1" applyFill="1" applyBorder="1" applyAlignment="1"/>
    <xf numFmtId="5" fontId="33" fillId="0" borderId="0" xfId="0" applyNumberFormat="1" applyFont="1" applyFill="1" applyBorder="1"/>
    <xf numFmtId="5" fontId="33" fillId="0" borderId="1" xfId="0" applyNumberFormat="1" applyFont="1" applyFill="1" applyBorder="1"/>
    <xf numFmtId="5" fontId="33" fillId="0" borderId="22" xfId="0" applyNumberFormat="1" applyFont="1" applyFill="1" applyBorder="1"/>
    <xf numFmtId="5" fontId="2" fillId="0" borderId="0" xfId="61" applyNumberFormat="1" applyFont="1" applyFill="1" applyBorder="1" applyAlignment="1">
      <alignment horizontal="left" indent="1"/>
    </xf>
    <xf numFmtId="41" fontId="2" fillId="0" borderId="0" xfId="61" applyNumberFormat="1" applyFont="1" applyFill="1" applyBorder="1" applyAlignment="1"/>
    <xf numFmtId="41" fontId="2" fillId="0" borderId="1" xfId="61" applyNumberFormat="1" applyFont="1" applyFill="1" applyBorder="1" applyAlignment="1"/>
    <xf numFmtId="41" fontId="2" fillId="0" borderId="22" xfId="61" applyNumberFormat="1" applyFont="1" applyFill="1" applyBorder="1" applyAlignment="1"/>
    <xf numFmtId="9" fontId="2" fillId="0" borderId="0" xfId="61" applyNumberFormat="1" applyFont="1" applyFill="1" applyBorder="1" applyAlignment="1"/>
    <xf numFmtId="9" fontId="2" fillId="0" borderId="1" xfId="61" applyNumberFormat="1" applyFont="1" applyFill="1" applyBorder="1" applyAlignment="1"/>
    <xf numFmtId="9" fontId="2" fillId="0" borderId="22" xfId="61" applyNumberFormat="1" applyFont="1" applyFill="1" applyBorder="1" applyAlignment="1"/>
    <xf numFmtId="39" fontId="2" fillId="0" borderId="0" xfId="61" applyNumberFormat="1" applyFont="1" applyFill="1" applyBorder="1" applyAlignment="1">
      <alignment horizontal="center"/>
    </xf>
    <xf numFmtId="39" fontId="2" fillId="0" borderId="1" xfId="61" applyNumberFormat="1" applyFont="1" applyFill="1" applyBorder="1" applyAlignment="1">
      <alignment horizontal="right"/>
    </xf>
    <xf numFmtId="39" fontId="2" fillId="0" borderId="0" xfId="61" applyNumberFormat="1" applyFont="1" applyFill="1" applyBorder="1" applyAlignment="1">
      <alignment horizontal="right"/>
    </xf>
    <xf numFmtId="39" fontId="2" fillId="0" borderId="22" xfId="61" applyNumberFormat="1" applyFont="1" applyFill="1" applyBorder="1" applyAlignment="1">
      <alignment horizontal="right"/>
    </xf>
    <xf numFmtId="41" fontId="33" fillId="0" borderId="0" xfId="61" applyNumberFormat="1" applyFont="1" applyFill="1" applyBorder="1" applyAlignment="1">
      <alignment horizontal="center"/>
    </xf>
    <xf numFmtId="41" fontId="33" fillId="0" borderId="1" xfId="61" applyNumberFormat="1" applyFont="1" applyFill="1" applyBorder="1" applyAlignment="1">
      <alignment horizontal="center"/>
    </xf>
    <xf numFmtId="41" fontId="33" fillId="0" borderId="22" xfId="61" applyNumberFormat="1" applyFont="1" applyFill="1" applyBorder="1" applyAlignment="1">
      <alignment horizontal="center"/>
    </xf>
    <xf numFmtId="41" fontId="2" fillId="0" borderId="1" xfId="61" applyNumberFormat="1" applyFont="1" applyFill="1" applyBorder="1" applyAlignment="1">
      <alignment horizontal="center"/>
    </xf>
    <xf numFmtId="41" fontId="2" fillId="0" borderId="22" xfId="61" applyNumberFormat="1" applyFont="1" applyFill="1" applyBorder="1" applyAlignment="1">
      <alignment horizontal="center"/>
    </xf>
    <xf numFmtId="39" fontId="2" fillId="0" borderId="1" xfId="0" applyNumberFormat="1" applyFont="1" applyFill="1" applyBorder="1" applyAlignment="1">
      <alignment horizontal="right"/>
    </xf>
    <xf numFmtId="39" fontId="29" fillId="0" borderId="0" xfId="0" applyNumberFormat="1" applyFont="1" applyFill="1" applyBorder="1"/>
    <xf numFmtId="39" fontId="29" fillId="0" borderId="1" xfId="0" applyNumberFormat="1" applyFont="1" applyFill="1" applyBorder="1"/>
    <xf numFmtId="39" fontId="29" fillId="0" borderId="22" xfId="0" applyNumberFormat="1" applyFont="1" applyFill="1" applyBorder="1"/>
    <xf numFmtId="4" fontId="2" fillId="0" borderId="0" xfId="0" applyNumberFormat="1" applyFont="1" applyFill="1" applyBorder="1"/>
    <xf numFmtId="165" fontId="2" fillId="0" borderId="0" xfId="56" applyNumberFormat="1" applyFont="1" applyFill="1" applyBorder="1"/>
    <xf numFmtId="7" fontId="2" fillId="0" borderId="0" xfId="0" applyNumberFormat="1" applyFont="1" applyFill="1" applyBorder="1"/>
    <xf numFmtId="10" fontId="33" fillId="0" borderId="1" xfId="0" applyNumberFormat="1" applyFont="1" applyFill="1" applyBorder="1"/>
    <xf numFmtId="10" fontId="33" fillId="0" borderId="0" xfId="0" applyNumberFormat="1" applyFont="1" applyFill="1" applyBorder="1"/>
    <xf numFmtId="44" fontId="2" fillId="0" borderId="1" xfId="37" applyFont="1" applyFill="1" applyBorder="1"/>
    <xf numFmtId="44" fontId="2" fillId="0" borderId="0" xfId="37" applyFont="1" applyFill="1" applyBorder="1"/>
    <xf numFmtId="44" fontId="2" fillId="0" borderId="22" xfId="37" applyFont="1" applyFill="1" applyBorder="1"/>
    <xf numFmtId="37" fontId="29" fillId="0" borderId="1" xfId="61" applyNumberFormat="1" applyFont="1" applyFill="1" applyBorder="1" applyAlignment="1"/>
    <xf numFmtId="165" fontId="2" fillId="0" borderId="1" xfId="61" applyNumberFormat="1" applyFont="1" applyFill="1" applyBorder="1" applyAlignment="1">
      <alignment horizontal="left" indent="1"/>
    </xf>
    <xf numFmtId="7" fontId="29" fillId="0" borderId="7" xfId="61" applyNumberFormat="1" applyFont="1" applyFill="1" applyBorder="1" applyAlignment="1">
      <alignment horizontal="left" indent="1"/>
    </xf>
    <xf numFmtId="7" fontId="29" fillId="0" borderId="24" xfId="0" applyNumberFormat="1" applyFont="1" applyFill="1" applyBorder="1"/>
    <xf numFmtId="7" fontId="41" fillId="0" borderId="24" xfId="0" applyNumberFormat="1" applyFont="1" applyFill="1" applyBorder="1"/>
    <xf numFmtId="7" fontId="29" fillId="0" borderId="7" xfId="0" applyNumberFormat="1" applyFont="1" applyFill="1" applyBorder="1"/>
    <xf numFmtId="7" fontId="47" fillId="0" borderId="7" xfId="0" applyNumberFormat="1" applyFont="1" applyFill="1" applyBorder="1"/>
    <xf numFmtId="7" fontId="47" fillId="0" borderId="24" xfId="0" applyNumberFormat="1" applyFont="1" applyFill="1" applyBorder="1"/>
    <xf numFmtId="7" fontId="41" fillId="0" borderId="7" xfId="0" applyNumberFormat="1" applyFont="1" applyFill="1" applyBorder="1"/>
    <xf numFmtId="7" fontId="154" fillId="0" borderId="24" xfId="0" applyNumberFormat="1" applyFont="1" applyFill="1" applyBorder="1"/>
    <xf numFmtId="7" fontId="154" fillId="0" borderId="7" xfId="0" applyNumberFormat="1" applyFont="1" applyFill="1" applyBorder="1"/>
    <xf numFmtId="7" fontId="154" fillId="0" borderId="32" xfId="0" applyNumberFormat="1" applyFont="1" applyFill="1" applyBorder="1"/>
    <xf numFmtId="7" fontId="29" fillId="0" borderId="32" xfId="0" applyNumberFormat="1" applyFont="1" applyFill="1" applyBorder="1"/>
    <xf numFmtId="7" fontId="29" fillId="0" borderId="0" xfId="0" applyNumberFormat="1" applyFont="1" applyFill="1" applyBorder="1"/>
    <xf numFmtId="0" fontId="29" fillId="0" borderId="7" xfId="61" applyFont="1" applyFill="1" applyBorder="1" applyAlignment="1">
      <alignment horizontal="left" indent="1"/>
    </xf>
    <xf numFmtId="0" fontId="29" fillId="0" borderId="24" xfId="0" applyFont="1" applyFill="1" applyBorder="1"/>
    <xf numFmtId="41" fontId="29" fillId="0" borderId="24" xfId="0" applyNumberFormat="1" applyFont="1" applyFill="1" applyBorder="1"/>
    <xf numFmtId="43" fontId="29" fillId="0" borderId="24" xfId="0" applyNumberFormat="1" applyFont="1" applyFill="1" applyBorder="1"/>
    <xf numFmtId="41" fontId="29" fillId="0" borderId="7" xfId="0" applyNumberFormat="1" applyFont="1" applyFill="1" applyBorder="1"/>
    <xf numFmtId="0" fontId="41" fillId="0" borderId="7" xfId="0" applyFont="1" applyFill="1" applyBorder="1"/>
    <xf numFmtId="0" fontId="41" fillId="0" borderId="24" xfId="0" applyFont="1" applyFill="1" applyBorder="1"/>
    <xf numFmtId="41" fontId="47" fillId="0" borderId="24" xfId="0" applyNumberFormat="1" applyFont="1" applyFill="1" applyBorder="1"/>
    <xf numFmtId="41" fontId="47" fillId="0" borderId="7" xfId="0" applyNumberFormat="1" applyFont="1" applyFill="1" applyBorder="1"/>
    <xf numFmtId="41" fontId="41" fillId="0" borderId="7" xfId="0" applyNumberFormat="1" applyFont="1" applyFill="1" applyBorder="1"/>
    <xf numFmtId="41" fontId="41" fillId="0" borderId="24" xfId="0" applyNumberFormat="1" applyFont="1" applyFill="1" applyBorder="1"/>
    <xf numFmtId="41" fontId="41" fillId="0" borderId="32" xfId="0" applyNumberFormat="1" applyFont="1" applyFill="1" applyBorder="1"/>
    <xf numFmtId="41" fontId="29" fillId="0" borderId="32" xfId="0" applyNumberFormat="1" applyFont="1" applyFill="1" applyBorder="1"/>
    <xf numFmtId="0" fontId="29" fillId="0" borderId="1" xfId="61" applyFont="1" applyFill="1" applyBorder="1" applyAlignment="1">
      <alignment horizontal="left" indent="2"/>
    </xf>
    <xf numFmtId="0" fontId="41" fillId="0" borderId="1" xfId="0" applyFont="1" applyFill="1" applyBorder="1"/>
    <xf numFmtId="0" fontId="41" fillId="0" borderId="0" xfId="0" applyFont="1" applyFill="1" applyBorder="1"/>
    <xf numFmtId="0" fontId="2" fillId="0" borderId="21" xfId="61" applyFont="1" applyFill="1" applyBorder="1" applyAlignment="1">
      <alignment horizontal="left" indent="2"/>
    </xf>
    <xf numFmtId="0" fontId="2" fillId="0" borderId="2" xfId="0" applyFont="1" applyFill="1" applyBorder="1"/>
    <xf numFmtId="41" fontId="2" fillId="0" borderId="2" xfId="0" applyNumberFormat="1" applyFont="1" applyFill="1" applyBorder="1"/>
    <xf numFmtId="37" fontId="36" fillId="0" borderId="2" xfId="0" applyNumberFormat="1" applyFont="1" applyFill="1" applyBorder="1"/>
    <xf numFmtId="0" fontId="2" fillId="0" borderId="21" xfId="0" applyFont="1" applyFill="1" applyBorder="1"/>
    <xf numFmtId="37" fontId="33" fillId="0" borderId="2" xfId="0" applyNumberFormat="1" applyFont="1" applyFill="1" applyBorder="1"/>
    <xf numFmtId="37" fontId="33" fillId="0" borderId="21" xfId="0" applyNumberFormat="1" applyFont="1" applyFill="1" applyBorder="1"/>
    <xf numFmtId="37" fontId="2" fillId="0" borderId="2" xfId="0" applyNumberFormat="1" applyFont="1" applyFill="1" applyBorder="1"/>
    <xf numFmtId="37" fontId="2" fillId="0" borderId="21" xfId="0" applyNumberFormat="1" applyFont="1" applyFill="1" applyBorder="1"/>
    <xf numFmtId="37" fontId="2" fillId="0" borderId="23" xfId="0" applyNumberFormat="1" applyFont="1" applyFill="1" applyBorder="1"/>
    <xf numFmtId="0" fontId="29" fillId="0" borderId="1" xfId="61" applyFont="1" applyFill="1" applyBorder="1" applyAlignment="1">
      <alignment horizontal="left" indent="1"/>
    </xf>
    <xf numFmtId="41" fontId="29" fillId="0" borderId="0" xfId="61" applyNumberFormat="1" applyFont="1" applyFill="1" applyBorder="1" applyAlignment="1"/>
    <xf numFmtId="41" fontId="29" fillId="0" borderId="1" xfId="61" applyNumberFormat="1" applyFont="1" applyFill="1" applyBorder="1" applyAlignment="1"/>
    <xf numFmtId="41" fontId="29" fillId="0" borderId="22" xfId="61" applyNumberFormat="1" applyFont="1" applyFill="1" applyBorder="1" applyAlignment="1"/>
    <xf numFmtId="165" fontId="158" fillId="0" borderId="1" xfId="61" applyNumberFormat="1" applyFont="1" applyFill="1" applyBorder="1" applyAlignment="1">
      <alignment horizontal="left" indent="1"/>
    </xf>
    <xf numFmtId="165" fontId="158" fillId="0" borderId="0" xfId="0" applyNumberFormat="1" applyFont="1" applyFill="1" applyBorder="1"/>
    <xf numFmtId="165" fontId="158" fillId="0" borderId="1" xfId="0" applyNumberFormat="1" applyFont="1" applyFill="1" applyBorder="1"/>
    <xf numFmtId="165" fontId="158" fillId="0" borderId="22" xfId="0" applyNumberFormat="1" applyFont="1" applyFill="1" applyBorder="1"/>
    <xf numFmtId="165" fontId="1" fillId="0" borderId="22" xfId="0" applyNumberFormat="1" applyFont="1" applyFill="1" applyBorder="1"/>
    <xf numFmtId="0" fontId="158" fillId="0" borderId="0" xfId="0" applyFont="1" applyFill="1" applyBorder="1"/>
    <xf numFmtId="41" fontId="29" fillId="0" borderId="24" xfId="61" applyNumberFormat="1" applyFont="1" applyFill="1" applyBorder="1" applyAlignment="1"/>
    <xf numFmtId="0" fontId="29" fillId="0" borderId="7" xfId="0" applyFont="1" applyFill="1" applyBorder="1"/>
    <xf numFmtId="41" fontId="29" fillId="0" borderId="7" xfId="61" applyNumberFormat="1" applyFont="1" applyFill="1" applyBorder="1" applyAlignment="1"/>
    <xf numFmtId="41" fontId="29" fillId="0" borderId="32" xfId="61" applyNumberFormat="1" applyFont="1" applyFill="1" applyBorder="1" applyAlignment="1"/>
    <xf numFmtId="165" fontId="2" fillId="0" borderId="1" xfId="61" applyNumberFormat="1" applyFont="1" applyFill="1" applyBorder="1" applyAlignment="1">
      <alignment horizontal="left" indent="2"/>
    </xf>
    <xf numFmtId="0" fontId="2" fillId="0" borderId="24" xfId="0" applyFont="1" applyFill="1" applyBorder="1"/>
    <xf numFmtId="41" fontId="2" fillId="0" borderId="24" xfId="0" applyNumberFormat="1" applyFont="1" applyFill="1" applyBorder="1"/>
    <xf numFmtId="41" fontId="2" fillId="0" borderId="24" xfId="0" applyNumberFormat="1" applyFont="1" applyFill="1" applyBorder="1" applyAlignment="1">
      <alignment horizontal="right"/>
    </xf>
    <xf numFmtId="0" fontId="2" fillId="0" borderId="7" xfId="0" applyFont="1" applyFill="1" applyBorder="1"/>
    <xf numFmtId="0" fontId="33" fillId="0" borderId="7" xfId="0" applyFont="1" applyFill="1" applyBorder="1"/>
    <xf numFmtId="0" fontId="33" fillId="0" borderId="24" xfId="0" applyFont="1" applyFill="1" applyBorder="1"/>
    <xf numFmtId="41" fontId="33" fillId="0" borderId="7" xfId="0" applyNumberFormat="1" applyFont="1" applyFill="1" applyBorder="1" applyAlignment="1">
      <alignment horizontal="right"/>
    </xf>
    <xf numFmtId="41" fontId="33" fillId="0" borderId="24" xfId="0" applyNumberFormat="1" applyFont="1" applyFill="1" applyBorder="1" applyAlignment="1">
      <alignment horizontal="right"/>
    </xf>
    <xf numFmtId="41" fontId="2" fillId="0" borderId="7" xfId="0" applyNumberFormat="1" applyFont="1" applyFill="1" applyBorder="1" applyAlignment="1">
      <alignment horizontal="right"/>
    </xf>
    <xf numFmtId="41" fontId="51" fillId="0" borderId="24" xfId="0" applyNumberFormat="1" applyFont="1" applyFill="1" applyBorder="1" applyAlignment="1">
      <alignment horizontal="right"/>
    </xf>
    <xf numFmtId="164" fontId="41" fillId="0" borderId="7" xfId="35" applyNumberFormat="1" applyFont="1" applyFill="1" applyBorder="1"/>
    <xf numFmtId="164" fontId="41" fillId="0" borderId="24" xfId="35" applyNumberFormat="1" applyFont="1" applyFill="1" applyBorder="1"/>
    <xf numFmtId="164" fontId="41" fillId="0" borderId="32" xfId="35" applyNumberFormat="1" applyFont="1" applyFill="1" applyBorder="1"/>
    <xf numFmtId="41" fontId="2" fillId="0" borderId="32" xfId="0" applyNumberFormat="1" applyFont="1" applyFill="1" applyBorder="1" applyAlignment="1">
      <alignment horizontal="right"/>
    </xf>
    <xf numFmtId="0" fontId="2" fillId="0" borderId="0" xfId="0" applyFont="1" applyFill="1" applyBorder="1" applyAlignment="1">
      <alignment horizontal="left" indent="2"/>
    </xf>
    <xf numFmtId="165" fontId="34" fillId="0" borderId="1" xfId="56" applyNumberFormat="1" applyFont="1" applyFill="1" applyBorder="1"/>
    <xf numFmtId="165" fontId="34" fillId="0" borderId="0" xfId="56" applyNumberFormat="1" applyFont="1" applyFill="1" applyBorder="1"/>
    <xf numFmtId="165" fontId="34" fillId="0" borderId="22" xfId="56" applyNumberFormat="1" applyFont="1" applyFill="1" applyBorder="1"/>
    <xf numFmtId="43" fontId="33" fillId="0" borderId="1" xfId="0" applyNumberFormat="1" applyFont="1" applyFill="1" applyBorder="1"/>
    <xf numFmtId="43" fontId="33" fillId="0" borderId="0" xfId="0" applyNumberFormat="1" applyFont="1" applyFill="1" applyBorder="1"/>
    <xf numFmtId="43" fontId="51" fillId="0" borderId="0" xfId="0" applyNumberFormat="1" applyFont="1" applyFill="1" applyBorder="1"/>
    <xf numFmtId="44" fontId="41" fillId="0" borderId="1" xfId="37" applyFont="1" applyFill="1" applyBorder="1"/>
    <xf numFmtId="44" fontId="41" fillId="0" borderId="0" xfId="37" applyFont="1" applyFill="1" applyBorder="1"/>
    <xf numFmtId="44" fontId="41" fillId="0" borderId="22" xfId="37" applyFont="1" applyFill="1" applyBorder="1"/>
    <xf numFmtId="43" fontId="2" fillId="0" borderId="22" xfId="0" applyNumberFormat="1" applyFont="1" applyFill="1" applyBorder="1"/>
    <xf numFmtId="0" fontId="2" fillId="0" borderId="1" xfId="0" applyFont="1" applyFill="1" applyBorder="1" applyAlignment="1">
      <alignment horizontal="right"/>
    </xf>
    <xf numFmtId="0" fontId="51" fillId="0" borderId="0" xfId="0" applyFont="1" applyFill="1" applyBorder="1" applyAlignment="1">
      <alignment horizontal="right"/>
    </xf>
    <xf numFmtId="0" fontId="2" fillId="0" borderId="22" xfId="0" applyFont="1" applyFill="1" applyBorder="1" applyAlignment="1">
      <alignment horizontal="right"/>
    </xf>
    <xf numFmtId="43" fontId="41" fillId="0" borderId="1" xfId="35" applyFont="1" applyFill="1" applyBorder="1"/>
    <xf numFmtId="43" fontId="41" fillId="0" borderId="0" xfId="35" applyFont="1" applyFill="1" applyBorder="1"/>
    <xf numFmtId="43" fontId="41" fillId="0" borderId="22" xfId="35" applyFont="1" applyFill="1" applyBorder="1"/>
    <xf numFmtId="43" fontId="2" fillId="0" borderId="2" xfId="0" applyNumberFormat="1" applyFont="1" applyFill="1" applyBorder="1"/>
    <xf numFmtId="41" fontId="2" fillId="0" borderId="21" xfId="0" applyNumberFormat="1" applyFont="1" applyFill="1" applyBorder="1"/>
    <xf numFmtId="0" fontId="33" fillId="0" borderId="21" xfId="0" applyFont="1" applyFill="1" applyBorder="1"/>
    <xf numFmtId="0" fontId="33" fillId="0" borderId="2" xfId="0" applyFont="1" applyFill="1" applyBorder="1"/>
    <xf numFmtId="41" fontId="2" fillId="0" borderId="21" xfId="61" applyNumberFormat="1" applyFont="1" applyFill="1" applyBorder="1" applyAlignment="1"/>
    <xf numFmtId="41" fontId="2" fillId="0" borderId="2" xfId="61" applyNumberFormat="1" applyFont="1" applyFill="1" applyBorder="1" applyAlignment="1"/>
    <xf numFmtId="41" fontId="2" fillId="0" borderId="24" xfId="61" applyNumberFormat="1" applyFont="1" applyFill="1" applyBorder="1" applyAlignment="1"/>
    <xf numFmtId="41" fontId="2" fillId="0" borderId="7" xfId="0" applyNumberFormat="1" applyFont="1" applyFill="1" applyBorder="1"/>
    <xf numFmtId="41" fontId="2" fillId="0" borderId="7" xfId="61" applyNumberFormat="1" applyFont="1" applyFill="1" applyBorder="1" applyAlignment="1"/>
    <xf numFmtId="41" fontId="2" fillId="0" borderId="32" xfId="61" applyNumberFormat="1" applyFont="1" applyFill="1" applyBorder="1" applyAlignment="1"/>
    <xf numFmtId="10" fontId="2" fillId="0" borderId="1" xfId="61" applyNumberFormat="1" applyFont="1" applyFill="1" applyBorder="1" applyAlignment="1">
      <alignment horizontal="left" indent="1"/>
    </xf>
    <xf numFmtId="10" fontId="2" fillId="0" borderId="1" xfId="61" applyNumberFormat="1" applyFont="1" applyFill="1" applyBorder="1" applyAlignment="1"/>
    <xf numFmtId="10" fontId="2" fillId="0" borderId="0" xfId="61" applyNumberFormat="1" applyFont="1" applyFill="1" applyBorder="1" applyAlignment="1"/>
    <xf numFmtId="10" fontId="2" fillId="0" borderId="22" xfId="61" applyNumberFormat="1" applyFont="1" applyFill="1" applyBorder="1" applyAlignment="1"/>
    <xf numFmtId="10" fontId="33" fillId="0" borderId="22" xfId="0" applyNumberFormat="1" applyFont="1" applyFill="1" applyBorder="1"/>
    <xf numFmtId="43" fontId="2" fillId="0" borderId="0" xfId="35" applyFont="1" applyFill="1" applyBorder="1"/>
    <xf numFmtId="43" fontId="2" fillId="0" borderId="1" xfId="35" applyFont="1" applyFill="1" applyBorder="1"/>
    <xf numFmtId="175" fontId="168" fillId="0" borderId="0" xfId="0" applyNumberFormat="1" applyFont="1" applyFill="1" applyBorder="1"/>
    <xf numFmtId="175" fontId="152" fillId="0" borderId="0" xfId="0" applyNumberFormat="1" applyFont="1" applyFill="1" applyBorder="1"/>
    <xf numFmtId="175" fontId="152" fillId="0" borderId="22" xfId="0" applyNumberFormat="1" applyFont="1" applyFill="1" applyBorder="1"/>
    <xf numFmtId="175" fontId="168" fillId="0" borderId="1" xfId="0" applyNumberFormat="1" applyFont="1" applyFill="1" applyBorder="1"/>
    <xf numFmtId="175" fontId="168" fillId="0" borderId="22" xfId="0" applyNumberFormat="1" applyFont="1" applyFill="1" applyBorder="1"/>
    <xf numFmtId="175" fontId="1" fillId="0" borderId="0" xfId="0" applyNumberFormat="1" applyFont="1" applyFill="1" applyBorder="1"/>
    <xf numFmtId="175" fontId="152" fillId="0" borderId="1" xfId="0" applyNumberFormat="1" applyFont="1" applyFill="1" applyBorder="1"/>
    <xf numFmtId="37" fontId="154" fillId="0" borderId="1" xfId="0" applyNumberFormat="1" applyFont="1" applyFill="1" applyBorder="1"/>
    <xf numFmtId="37" fontId="154" fillId="0" borderId="0" xfId="0" applyNumberFormat="1" applyFont="1" applyFill="1" applyBorder="1"/>
    <xf numFmtId="169" fontId="152" fillId="0" borderId="0" xfId="0" applyNumberFormat="1" applyFont="1" applyFill="1" applyBorder="1"/>
    <xf numFmtId="169" fontId="152" fillId="0" borderId="1" xfId="0" applyNumberFormat="1" applyFont="1" applyFill="1" applyBorder="1"/>
    <xf numFmtId="169" fontId="152" fillId="0" borderId="22" xfId="0" applyNumberFormat="1" applyFont="1" applyFill="1" applyBorder="1"/>
    <xf numFmtId="5" fontId="152" fillId="0" borderId="0" xfId="0" applyNumberFormat="1" applyFont="1" applyFill="1" applyBorder="1"/>
    <xf numFmtId="5" fontId="152" fillId="0" borderId="1" xfId="0" applyNumberFormat="1" applyFont="1" applyFill="1" applyBorder="1"/>
    <xf numFmtId="5" fontId="152" fillId="0" borderId="22" xfId="0" applyNumberFormat="1" applyFont="1" applyFill="1" applyBorder="1"/>
    <xf numFmtId="5" fontId="168" fillId="0" borderId="0" xfId="0" applyNumberFormat="1" applyFont="1" applyFill="1" applyBorder="1"/>
    <xf numFmtId="5" fontId="168" fillId="0" borderId="1" xfId="0" applyNumberFormat="1" applyFont="1" applyFill="1" applyBorder="1"/>
    <xf numFmtId="5" fontId="168" fillId="0" borderId="22" xfId="0" applyNumberFormat="1" applyFont="1" applyFill="1" applyBorder="1"/>
    <xf numFmtId="37" fontId="153" fillId="0" borderId="0" xfId="0" applyNumberFormat="1" applyFont="1" applyFill="1" applyBorder="1"/>
    <xf numFmtId="5" fontId="2" fillId="0" borderId="1" xfId="0" applyNumberFormat="1" applyFont="1" applyFill="1" applyBorder="1" applyAlignment="1">
      <alignment horizontal="left" indent="2"/>
    </xf>
    <xf numFmtId="37" fontId="2" fillId="0" borderId="1" xfId="0" applyNumberFormat="1" applyFont="1" applyFill="1" applyBorder="1" applyAlignment="1">
      <alignment horizontal="left" indent="1"/>
    </xf>
    <xf numFmtId="37" fontId="2" fillId="0" borderId="1" xfId="0" applyNumberFormat="1" applyFont="1" applyFill="1" applyBorder="1" applyAlignment="1">
      <alignment horizontal="left" indent="2"/>
    </xf>
    <xf numFmtId="5" fontId="2" fillId="0" borderId="22" xfId="0" applyNumberFormat="1" applyFont="1" applyFill="1" applyBorder="1"/>
    <xf numFmtId="165" fontId="48" fillId="0" borderId="0" xfId="0" applyNumberFormat="1" applyFont="1" applyFill="1" applyBorder="1"/>
    <xf numFmtId="9" fontId="48" fillId="0" borderId="1" xfId="0" applyNumberFormat="1" applyFont="1" applyFill="1" applyBorder="1"/>
    <xf numFmtId="9" fontId="48" fillId="0" borderId="0" xfId="0" applyNumberFormat="1" applyFont="1" applyFill="1" applyBorder="1"/>
    <xf numFmtId="41" fontId="47" fillId="0" borderId="1" xfId="0" applyNumberFormat="1" applyFont="1" applyFill="1" applyBorder="1" applyAlignment="1">
      <alignment horizontal="right"/>
    </xf>
    <xf numFmtId="41" fontId="47" fillId="0" borderId="0" xfId="0" applyNumberFormat="1" applyFont="1" applyFill="1" applyBorder="1" applyAlignment="1">
      <alignment horizontal="right"/>
    </xf>
    <xf numFmtId="41" fontId="154" fillId="0" borderId="0" xfId="0" applyNumberFormat="1" applyFont="1" applyFill="1" applyBorder="1"/>
    <xf numFmtId="41" fontId="154" fillId="0" borderId="1" xfId="0" applyNumberFormat="1" applyFont="1" applyFill="1" applyBorder="1"/>
    <xf numFmtId="41" fontId="154" fillId="0" borderId="22" xfId="0" applyNumberFormat="1" applyFont="1" applyFill="1" applyBorder="1"/>
    <xf numFmtId="165" fontId="2" fillId="0" borderId="1" xfId="56" applyNumberFormat="1" applyFont="1" applyFill="1" applyBorder="1"/>
    <xf numFmtId="165" fontId="2" fillId="0" borderId="22" xfId="56" applyNumberFormat="1" applyFont="1" applyFill="1" applyBorder="1"/>
    <xf numFmtId="0" fontId="32" fillId="0" borderId="1" xfId="0" applyFont="1" applyFill="1" applyBorder="1" applyAlignment="1">
      <alignment horizontal="left" indent="1"/>
    </xf>
    <xf numFmtId="3" fontId="32" fillId="0" borderId="0" xfId="0" applyNumberFormat="1" applyFont="1" applyFill="1" applyBorder="1"/>
    <xf numFmtId="165" fontId="32" fillId="0" borderId="1" xfId="0" applyNumberFormat="1" applyFont="1" applyFill="1" applyBorder="1" applyAlignment="1">
      <alignment horizontal="left" indent="2"/>
    </xf>
    <xf numFmtId="0" fontId="32" fillId="0" borderId="1" xfId="0" applyFont="1" applyFill="1" applyBorder="1" applyAlignment="1">
      <alignment horizontal="left" indent="2"/>
    </xf>
    <xf numFmtId="0" fontId="32" fillId="0" borderId="1" xfId="0" applyFont="1" applyFill="1" applyBorder="1" applyAlignment="1">
      <alignment horizontal="left" indent="3"/>
    </xf>
    <xf numFmtId="3" fontId="32" fillId="0" borderId="1" xfId="0" applyNumberFormat="1" applyFont="1" applyFill="1" applyBorder="1"/>
    <xf numFmtId="3" fontId="32" fillId="0" borderId="22" xfId="0" applyNumberFormat="1" applyFont="1" applyFill="1" applyBorder="1"/>
    <xf numFmtId="41" fontId="32" fillId="0" borderId="1" xfId="0" applyNumberFormat="1" applyFont="1" applyFill="1" applyBorder="1" applyAlignment="1">
      <alignment horizontal="right"/>
    </xf>
    <xf numFmtId="41" fontId="32" fillId="0" borderId="0" xfId="0" applyNumberFormat="1" applyFont="1" applyFill="1" applyBorder="1" applyAlignment="1">
      <alignment horizontal="right"/>
    </xf>
    <xf numFmtId="41" fontId="32" fillId="0" borderId="22" xfId="0" applyNumberFormat="1" applyFont="1" applyFill="1" applyBorder="1"/>
    <xf numFmtId="5" fontId="2" fillId="0" borderId="1" xfId="0" applyNumberFormat="1" applyFont="1" applyFill="1" applyBorder="1" applyAlignment="1">
      <alignment horizontal="right"/>
    </xf>
    <xf numFmtId="7" fontId="2" fillId="0" borderId="1" xfId="0" applyNumberFormat="1" applyFont="1" applyFill="1" applyBorder="1"/>
    <xf numFmtId="7" fontId="2" fillId="0" borderId="1" xfId="0" applyNumberFormat="1" applyFont="1" applyFill="1" applyBorder="1" applyAlignment="1">
      <alignment horizontal="right"/>
    </xf>
    <xf numFmtId="7" fontId="2" fillId="0" borderId="0" xfId="0" applyNumberFormat="1" applyFont="1" applyFill="1" applyBorder="1" applyAlignment="1">
      <alignment horizontal="right"/>
    </xf>
    <xf numFmtId="7" fontId="2" fillId="0" borderId="22" xfId="0" applyNumberFormat="1" applyFont="1" applyFill="1" applyBorder="1"/>
    <xf numFmtId="5" fontId="153" fillId="0" borderId="22" xfId="0" applyNumberFormat="1" applyFont="1" applyFill="1" applyBorder="1"/>
    <xf numFmtId="7" fontId="153" fillId="0" borderId="0" xfId="0" applyNumberFormat="1" applyFont="1" applyFill="1" applyBorder="1"/>
    <xf numFmtId="0" fontId="132" fillId="0" borderId="0" xfId="0" applyFont="1" applyFill="1"/>
    <xf numFmtId="0" fontId="38" fillId="0" borderId="0" xfId="0" applyFont="1" applyFill="1"/>
    <xf numFmtId="0" fontId="0" fillId="0" borderId="22" xfId="0" applyFill="1" applyBorder="1"/>
    <xf numFmtId="0" fontId="132" fillId="0" borderId="0" xfId="0" applyFont="1" applyFill="1" applyBorder="1"/>
    <xf numFmtId="165" fontId="132" fillId="0" borderId="0" xfId="0" applyNumberFormat="1" applyFont="1" applyFill="1"/>
    <xf numFmtId="0" fontId="0" fillId="0" borderId="0" xfId="0" applyFill="1"/>
    <xf numFmtId="37" fontId="0" fillId="0" borderId="0" xfId="0" applyNumberFormat="1" applyFill="1"/>
    <xf numFmtId="37" fontId="36" fillId="29" borderId="0" xfId="0" applyNumberFormat="1" applyFont="1" applyFill="1" applyBorder="1" applyAlignment="1">
      <alignment horizontal="right"/>
    </xf>
    <xf numFmtId="0" fontId="0" fillId="0" borderId="0" xfId="0"/>
    <xf numFmtId="7" fontId="170" fillId="0" borderId="0" xfId="0" applyNumberFormat="1" applyFont="1" applyBorder="1"/>
    <xf numFmtId="37" fontId="170" fillId="0" borderId="1" xfId="0" applyNumberFormat="1" applyFont="1" applyBorder="1"/>
    <xf numFmtId="37" fontId="170" fillId="0" borderId="0" xfId="0" applyNumberFormat="1" applyFont="1" applyBorder="1"/>
    <xf numFmtId="37" fontId="170" fillId="0" borderId="22" xfId="0" applyNumberFormat="1" applyFont="1" applyBorder="1"/>
    <xf numFmtId="37" fontId="172" fillId="0" borderId="1" xfId="0" applyNumberFormat="1" applyFont="1" applyBorder="1"/>
    <xf numFmtId="37" fontId="1" fillId="0" borderId="22" xfId="0" applyNumberFormat="1" applyFont="1" applyFill="1" applyBorder="1"/>
    <xf numFmtId="41" fontId="172" fillId="0" borderId="0" xfId="0" applyNumberFormat="1" applyFont="1" applyFill="1" applyBorder="1"/>
    <xf numFmtId="41" fontId="172" fillId="0" borderId="22" xfId="0" applyNumberFormat="1" applyFont="1" applyFill="1" applyBorder="1"/>
    <xf numFmtId="41" fontId="172" fillId="0" borderId="1" xfId="0" applyNumberFormat="1" applyFont="1" applyFill="1" applyBorder="1"/>
    <xf numFmtId="37" fontId="177" fillId="0" borderId="41" xfId="0" applyNumberFormat="1" applyFont="1" applyBorder="1"/>
    <xf numFmtId="175" fontId="177" fillId="0" borderId="41" xfId="0" applyNumberFormat="1" applyFont="1" applyBorder="1"/>
    <xf numFmtId="165" fontId="111" fillId="0" borderId="0" xfId="0" applyNumberFormat="1" applyFont="1" applyFill="1"/>
    <xf numFmtId="37" fontId="111" fillId="0" borderId="0" xfId="0" applyNumberFormat="1" applyFont="1" applyFill="1"/>
    <xf numFmtId="37" fontId="108" fillId="0" borderId="0" xfId="0" applyNumberFormat="1" applyFont="1" applyFill="1"/>
    <xf numFmtId="178" fontId="4" fillId="29" borderId="0" xfId="0" applyNumberFormat="1" applyFont="1" applyFill="1" applyAlignment="1">
      <alignment horizontal="right"/>
    </xf>
    <xf numFmtId="9" fontId="5" fillId="29" borderId="0" xfId="0" applyNumberFormat="1" applyFont="1" applyFill="1"/>
    <xf numFmtId="49" fontId="4" fillId="29" borderId="0" xfId="0" applyNumberFormat="1" applyFont="1" applyFill="1" applyAlignment="1">
      <alignment horizontal="center"/>
    </xf>
    <xf numFmtId="37" fontId="170" fillId="29" borderId="2" xfId="0" applyNumberFormat="1" applyFont="1" applyFill="1" applyBorder="1"/>
    <xf numFmtId="37" fontId="170" fillId="29" borderId="23" xfId="0" applyNumberFormat="1" applyFont="1" applyFill="1" applyBorder="1"/>
    <xf numFmtId="37" fontId="168" fillId="0" borderId="0" xfId="0" applyNumberFormat="1" applyFont="1"/>
    <xf numFmtId="37" fontId="176" fillId="0" borderId="0" xfId="0" applyNumberFormat="1" applyFont="1" applyBorder="1"/>
    <xf numFmtId="37" fontId="36" fillId="29" borderId="0" xfId="0" applyNumberFormat="1" applyFont="1" applyFill="1" applyBorder="1" applyAlignment="1">
      <alignment horizontal="right"/>
    </xf>
    <xf numFmtId="0" fontId="0" fillId="0" borderId="0" xfId="0"/>
    <xf numFmtId="41" fontId="173" fillId="0" borderId="24" xfId="0" applyNumberFormat="1" applyFont="1" applyFill="1" applyBorder="1"/>
    <xf numFmtId="165" fontId="0" fillId="0" borderId="0" xfId="0" applyNumberFormat="1" applyFill="1" applyBorder="1"/>
    <xf numFmtId="0" fontId="0" fillId="0" borderId="0" xfId="0"/>
    <xf numFmtId="0" fontId="0" fillId="0" borderId="0" xfId="0" applyFill="1"/>
    <xf numFmtId="0" fontId="0" fillId="0" borderId="0" xfId="0"/>
    <xf numFmtId="7" fontId="153" fillId="0" borderId="23" xfId="56" applyNumberFormat="1" applyFont="1" applyFill="1" applyBorder="1"/>
    <xf numFmtId="165" fontId="1" fillId="35" borderId="0" xfId="0" applyNumberFormat="1" applyFont="1" applyFill="1"/>
    <xf numFmtId="165" fontId="1" fillId="35" borderId="22" xfId="0" applyNumberFormat="1" applyFont="1" applyFill="1" applyBorder="1"/>
    <xf numFmtId="41" fontId="29" fillId="35" borderId="22" xfId="0" applyNumberFormat="1" applyFont="1" applyFill="1" applyBorder="1"/>
    <xf numFmtId="37" fontId="4" fillId="0" borderId="22" xfId="0" applyNumberFormat="1" applyFont="1" applyFill="1" applyBorder="1" applyAlignment="1">
      <alignment horizontal="right"/>
    </xf>
    <xf numFmtId="37" fontId="1" fillId="0" borderId="2" xfId="0" applyNumberFormat="1" applyFont="1" applyFill="1" applyBorder="1"/>
    <xf numFmtId="37" fontId="168" fillId="0" borderId="2" xfId="0" applyNumberFormat="1" applyFont="1" applyFill="1" applyBorder="1"/>
    <xf numFmtId="41" fontId="41" fillId="29" borderId="22" xfId="0" applyNumberFormat="1" applyFont="1" applyFill="1" applyBorder="1"/>
    <xf numFmtId="165" fontId="34" fillId="29" borderId="22" xfId="0" applyNumberFormat="1" applyFont="1" applyFill="1" applyBorder="1"/>
    <xf numFmtId="41" fontId="34" fillId="29" borderId="22" xfId="0" applyNumberFormat="1" applyFont="1" applyFill="1" applyBorder="1"/>
    <xf numFmtId="41" fontId="28" fillId="29" borderId="22" xfId="0" applyNumberFormat="1" applyFont="1" applyFill="1" applyBorder="1"/>
    <xf numFmtId="0" fontId="34" fillId="29" borderId="22" xfId="0" applyFont="1" applyFill="1" applyBorder="1"/>
    <xf numFmtId="0" fontId="28" fillId="29" borderId="22" xfId="0" applyFont="1" applyFill="1" applyBorder="1"/>
    <xf numFmtId="0" fontId="0" fillId="29" borderId="22" xfId="0" applyFill="1" applyBorder="1"/>
    <xf numFmtId="10" fontId="172" fillId="0" borderId="22" xfId="0" applyNumberFormat="1" applyFont="1" applyBorder="1"/>
    <xf numFmtId="10" fontId="172" fillId="0" borderId="0" xfId="0" applyNumberFormat="1" applyFont="1" applyBorder="1"/>
    <xf numFmtId="10" fontId="172" fillId="0" borderId="0" xfId="0" applyNumberFormat="1" applyFont="1"/>
    <xf numFmtId="0" fontId="28" fillId="0" borderId="0" xfId="0" applyFont="1" applyBorder="1" applyAlignment="1">
      <alignment horizontal="center"/>
    </xf>
    <xf numFmtId="0" fontId="28" fillId="0" borderId="19" xfId="0" applyFont="1" applyBorder="1" applyAlignment="1">
      <alignment horizontal="center"/>
    </xf>
    <xf numFmtId="49" fontId="9" fillId="21" borderId="22" xfId="0" applyNumberFormat="1" applyFont="1" applyFill="1" applyBorder="1" applyAlignment="1">
      <alignment horizontal="center"/>
    </xf>
    <xf numFmtId="165" fontId="76" fillId="29" borderId="22" xfId="0" applyNumberFormat="1" applyFont="1" applyFill="1" applyBorder="1"/>
    <xf numFmtId="37" fontId="76" fillId="0" borderId="22" xfId="0" applyNumberFormat="1" applyFont="1" applyFill="1" applyBorder="1"/>
    <xf numFmtId="37" fontId="4" fillId="0" borderId="73" xfId="0" applyNumberFormat="1" applyFont="1" applyBorder="1"/>
    <xf numFmtId="37" fontId="4" fillId="19" borderId="74" xfId="0" applyNumberFormat="1" applyFont="1" applyFill="1" applyBorder="1"/>
    <xf numFmtId="37" fontId="170" fillId="0" borderId="0" xfId="0" applyNumberFormat="1" applyFont="1"/>
    <xf numFmtId="169" fontId="172" fillId="0" borderId="0" xfId="0" applyNumberFormat="1" applyFont="1"/>
    <xf numFmtId="165" fontId="172" fillId="0" borderId="0" xfId="0" applyNumberFormat="1" applyFont="1"/>
    <xf numFmtId="41" fontId="1" fillId="0" borderId="0" xfId="0" applyNumberFormat="1" applyFont="1" applyFill="1" applyBorder="1"/>
    <xf numFmtId="9" fontId="29" fillId="0" borderId="0" xfId="56" applyFont="1" applyFill="1" applyAlignment="1">
      <alignment horizontal="center"/>
    </xf>
    <xf numFmtId="9" fontId="29" fillId="0" borderId="0" xfId="56" applyFont="1" applyFill="1" applyBorder="1" applyAlignment="1">
      <alignment horizontal="center"/>
    </xf>
    <xf numFmtId="37" fontId="29" fillId="0" borderId="0" xfId="0" applyNumberFormat="1" applyFont="1" applyFill="1" applyAlignment="1">
      <alignment horizontal="center"/>
    </xf>
    <xf numFmtId="37" fontId="36" fillId="29" borderId="0" xfId="0" applyNumberFormat="1" applyFont="1" applyFill="1" applyBorder="1" applyAlignment="1">
      <alignment horizontal="right"/>
    </xf>
    <xf numFmtId="0" fontId="0" fillId="0" borderId="0" xfId="0"/>
    <xf numFmtId="166" fontId="40" fillId="26" borderId="0" xfId="38" applyNumberFormat="1" applyFont="1" applyFill="1" applyBorder="1" applyAlignment="1">
      <alignment horizontal="left" vertical="center"/>
    </xf>
    <xf numFmtId="166" fontId="144" fillId="26" borderId="0" xfId="38" applyNumberFormat="1" applyFont="1" applyFill="1" applyBorder="1" applyAlignment="1">
      <alignment horizontal="left" vertical="center"/>
    </xf>
    <xf numFmtId="7" fontId="172" fillId="0" borderId="0" xfId="49" applyNumberFormat="1" applyFont="1" applyFill="1"/>
    <xf numFmtId="37" fontId="172" fillId="0" borderId="0" xfId="49" applyNumberFormat="1" applyFont="1" applyFill="1"/>
    <xf numFmtId="7" fontId="168" fillId="0" borderId="0" xfId="49" applyNumberFormat="1" applyFont="1" applyFill="1"/>
    <xf numFmtId="37" fontId="168" fillId="0" borderId="0" xfId="49" applyNumberFormat="1" applyFont="1" applyFill="1"/>
    <xf numFmtId="7" fontId="60" fillId="0" borderId="0" xfId="49" applyNumberFormat="1" applyFont="1" applyFill="1"/>
    <xf numFmtId="7" fontId="60" fillId="0" borderId="0" xfId="49" applyNumberFormat="1" applyFont="1" applyFill="1" applyAlignment="1">
      <alignment horizontal="center"/>
    </xf>
    <xf numFmtId="37" fontId="1" fillId="0" borderId="0" xfId="49" applyNumberFormat="1" applyFont="1" applyFill="1"/>
    <xf numFmtId="37" fontId="168" fillId="0" borderId="0" xfId="49" applyNumberFormat="1" applyFont="1" applyFill="1" applyAlignment="1">
      <alignment horizontal="center"/>
    </xf>
    <xf numFmtId="165" fontId="2" fillId="0" borderId="0" xfId="49" applyNumberFormat="1" applyFont="1" applyFill="1" applyAlignment="1">
      <alignment horizontal="center"/>
    </xf>
    <xf numFmtId="0" fontId="60" fillId="0" borderId="0" xfId="49" applyFont="1" applyFill="1" applyBorder="1"/>
    <xf numFmtId="37" fontId="33" fillId="0" borderId="0" xfId="0" applyNumberFormat="1" applyFont="1" applyFill="1" applyBorder="1" applyAlignment="1">
      <alignment horizontal="right" vertical="center"/>
    </xf>
    <xf numFmtId="41" fontId="173" fillId="0" borderId="32" xfId="0" applyNumberFormat="1" applyFont="1" applyFill="1" applyBorder="1"/>
    <xf numFmtId="7" fontId="2" fillId="0" borderId="23" xfId="0" applyNumberFormat="1" applyFont="1" applyFill="1" applyBorder="1"/>
    <xf numFmtId="37" fontId="172" fillId="34" borderId="22" xfId="0" applyNumberFormat="1" applyFont="1" applyFill="1" applyBorder="1"/>
    <xf numFmtId="165" fontId="2" fillId="34" borderId="22" xfId="0" applyNumberFormat="1" applyFont="1" applyFill="1" applyBorder="1"/>
    <xf numFmtId="37" fontId="39" fillId="0" borderId="19" xfId="0" applyNumberFormat="1" applyFont="1" applyBorder="1"/>
    <xf numFmtId="0" fontId="56" fillId="0" borderId="19" xfId="0" applyFont="1" applyBorder="1"/>
    <xf numFmtId="165" fontId="33" fillId="0" borderId="19" xfId="0" applyNumberFormat="1" applyFont="1" applyBorder="1"/>
    <xf numFmtId="37" fontId="34" fillId="0" borderId="19" xfId="0" applyNumberFormat="1" applyFont="1" applyBorder="1"/>
    <xf numFmtId="41" fontId="29" fillId="0" borderId="19" xfId="0" applyNumberFormat="1" applyFont="1" applyBorder="1"/>
    <xf numFmtId="41" fontId="29" fillId="0" borderId="20" xfId="0" applyNumberFormat="1" applyFont="1" applyBorder="1"/>
    <xf numFmtId="37" fontId="0" fillId="0" borderId="22" xfId="0" applyNumberFormat="1" applyBorder="1"/>
    <xf numFmtId="7" fontId="170" fillId="0" borderId="22" xfId="0" applyNumberFormat="1" applyFont="1" applyBorder="1"/>
    <xf numFmtId="165" fontId="1" fillId="0" borderId="0" xfId="49" applyNumberFormat="1" applyFont="1" applyFill="1"/>
    <xf numFmtId="165" fontId="172" fillId="0" borderId="0" xfId="49" applyNumberFormat="1" applyFont="1" applyFill="1"/>
    <xf numFmtId="37" fontId="172" fillId="0" borderId="2" xfId="0" applyNumberFormat="1" applyFont="1" applyBorder="1"/>
    <xf numFmtId="37" fontId="172" fillId="0" borderId="23" xfId="0" applyNumberFormat="1" applyFont="1" applyBorder="1"/>
    <xf numFmtId="37" fontId="76" fillId="0" borderId="0" xfId="0" applyNumberFormat="1" applyFont="1" applyFill="1" applyBorder="1"/>
    <xf numFmtId="10" fontId="178" fillId="0" borderId="0" xfId="56" applyNumberFormat="1" applyFont="1"/>
    <xf numFmtId="10" fontId="178" fillId="0" borderId="0" xfId="56" applyNumberFormat="1" applyFont="1" applyBorder="1"/>
    <xf numFmtId="0" fontId="0" fillId="0" borderId="0" xfId="0" applyFill="1"/>
    <xf numFmtId="37" fontId="36" fillId="29" borderId="0" xfId="0" applyNumberFormat="1" applyFont="1" applyFill="1" applyBorder="1" applyAlignment="1">
      <alignment horizontal="right"/>
    </xf>
    <xf numFmtId="165" fontId="2" fillId="0" borderId="0" xfId="49" applyNumberFormat="1" applyFont="1" applyFill="1" applyAlignment="1">
      <alignment horizontal="left" indent="1"/>
    </xf>
    <xf numFmtId="37" fontId="1" fillId="0" borderId="56" xfId="49" applyNumberFormat="1" applyFont="1" applyFill="1" applyBorder="1" applyAlignment="1">
      <alignment horizontal="left" vertical="center"/>
    </xf>
    <xf numFmtId="41" fontId="173" fillId="0" borderId="7" xfId="0" applyNumberFormat="1" applyFont="1" applyFill="1" applyBorder="1"/>
    <xf numFmtId="37" fontId="1" fillId="0" borderId="1" xfId="0" applyNumberFormat="1" applyFont="1" applyFill="1" applyBorder="1"/>
    <xf numFmtId="7" fontId="2" fillId="0" borderId="21" xfId="0" applyNumberFormat="1" applyFont="1" applyFill="1" applyBorder="1"/>
    <xf numFmtId="165" fontId="169" fillId="20" borderId="22" xfId="0" applyNumberFormat="1" applyFont="1" applyFill="1" applyBorder="1"/>
    <xf numFmtId="41" fontId="28" fillId="0" borderId="73" xfId="0" applyNumberFormat="1" applyFont="1" applyBorder="1"/>
    <xf numFmtId="37" fontId="76" fillId="0" borderId="1" xfId="0" applyNumberFormat="1" applyFont="1" applyFill="1" applyBorder="1"/>
    <xf numFmtId="0" fontId="30" fillId="18" borderId="73" xfId="0" applyFont="1" applyFill="1" applyBorder="1"/>
    <xf numFmtId="175" fontId="177" fillId="0" borderId="49" xfId="0" applyNumberFormat="1" applyFont="1" applyBorder="1"/>
    <xf numFmtId="37" fontId="180" fillId="38" borderId="0" xfId="0" applyNumberFormat="1" applyFont="1" applyFill="1" applyBorder="1"/>
    <xf numFmtId="37" fontId="180" fillId="38" borderId="0" xfId="0" applyNumberFormat="1" applyFont="1" applyFill="1" applyBorder="1" applyAlignment="1">
      <alignment horizontal="center"/>
    </xf>
    <xf numFmtId="165" fontId="181" fillId="38" borderId="0" xfId="0" applyNumberFormat="1" applyFont="1" applyFill="1"/>
    <xf numFmtId="0" fontId="2" fillId="38" borderId="0" xfId="0" applyFont="1" applyFill="1" applyBorder="1"/>
    <xf numFmtId="0" fontId="2" fillId="38" borderId="1" xfId="0" applyFont="1" applyFill="1" applyBorder="1"/>
    <xf numFmtId="0" fontId="2" fillId="38" borderId="22" xfId="0" applyFont="1" applyFill="1" applyBorder="1"/>
    <xf numFmtId="0" fontId="33" fillId="38" borderId="1" xfId="0" applyFont="1" applyFill="1" applyBorder="1" applyAlignment="1">
      <alignment horizontal="right"/>
    </xf>
    <xf numFmtId="0" fontId="33" fillId="38" borderId="0" xfId="0" applyFont="1" applyFill="1" applyBorder="1" applyAlignment="1">
      <alignment horizontal="right"/>
    </xf>
    <xf numFmtId="0" fontId="33" fillId="38" borderId="1" xfId="0" applyFont="1" applyFill="1" applyBorder="1"/>
    <xf numFmtId="0" fontId="33" fillId="38" borderId="0" xfId="0" applyFont="1" applyFill="1" applyBorder="1"/>
    <xf numFmtId="0" fontId="33" fillId="38" borderId="22" xfId="0" applyFont="1" applyFill="1" applyBorder="1"/>
    <xf numFmtId="41" fontId="180" fillId="38" borderId="1" xfId="0" applyNumberFormat="1" applyFont="1" applyFill="1" applyBorder="1"/>
    <xf numFmtId="37" fontId="180" fillId="0" borderId="0" xfId="0" applyNumberFormat="1" applyFont="1" applyFill="1" applyBorder="1"/>
    <xf numFmtId="37" fontId="180" fillId="0" borderId="0" xfId="0" applyNumberFormat="1" applyFont="1" applyFill="1" applyBorder="1" applyAlignment="1">
      <alignment horizontal="center"/>
    </xf>
    <xf numFmtId="165" fontId="181" fillId="0" borderId="0" xfId="0" applyNumberFormat="1" applyFont="1" applyFill="1"/>
    <xf numFmtId="37" fontId="3" fillId="0" borderId="0" xfId="0" applyNumberFormat="1" applyFont="1" applyFill="1" applyBorder="1"/>
    <xf numFmtId="165" fontId="171" fillId="0" borderId="0" xfId="0" applyNumberFormat="1" applyFont="1" applyFill="1"/>
    <xf numFmtId="1" fontId="32" fillId="0" borderId="0" xfId="0" applyNumberFormat="1" applyFont="1" applyFill="1" applyBorder="1"/>
    <xf numFmtId="37" fontId="1" fillId="29" borderId="1" xfId="0" applyNumberFormat="1" applyFont="1" applyFill="1" applyBorder="1" applyAlignment="1">
      <alignment horizontal="left" vertical="center" indent="1"/>
    </xf>
    <xf numFmtId="165" fontId="182" fillId="0" borderId="0" xfId="0" applyNumberFormat="1" applyFont="1" applyFill="1" applyBorder="1" applyAlignment="1">
      <alignment horizontal="right"/>
    </xf>
    <xf numFmtId="165" fontId="182" fillId="0" borderId="1" xfId="0" applyNumberFormat="1" applyFont="1" applyFill="1" applyBorder="1" applyAlignment="1">
      <alignment horizontal="right"/>
    </xf>
    <xf numFmtId="165" fontId="182" fillId="0" borderId="22" xfId="0" applyNumberFormat="1" applyFont="1" applyFill="1" applyBorder="1" applyAlignment="1">
      <alignment horizontal="right"/>
    </xf>
    <xf numFmtId="37" fontId="28" fillId="0" borderId="32" xfId="0" applyNumberFormat="1" applyFont="1" applyBorder="1"/>
    <xf numFmtId="37" fontId="41" fillId="0" borderId="19" xfId="0" applyNumberFormat="1" applyFont="1" applyFill="1" applyBorder="1"/>
    <xf numFmtId="37" fontId="48" fillId="0" borderId="1" xfId="0" applyNumberFormat="1" applyFont="1" applyFill="1" applyBorder="1"/>
    <xf numFmtId="165" fontId="41" fillId="0" borderId="0" xfId="0" applyNumberFormat="1" applyFont="1" applyFill="1" applyBorder="1"/>
    <xf numFmtId="165" fontId="28" fillId="0" borderId="0" xfId="0" applyNumberFormat="1" applyFont="1" applyFill="1" applyBorder="1" applyAlignment="1">
      <alignment horizontal="right"/>
    </xf>
    <xf numFmtId="37" fontId="28" fillId="0" borderId="1" xfId="0" applyNumberFormat="1" applyFont="1" applyFill="1" applyBorder="1" applyAlignment="1">
      <alignment horizontal="left" indent="1"/>
    </xf>
    <xf numFmtId="37" fontId="28" fillId="0" borderId="0" xfId="0" applyNumberFormat="1" applyFont="1" applyFill="1" applyBorder="1" applyAlignment="1">
      <alignment horizontal="right"/>
    </xf>
    <xf numFmtId="37" fontId="55" fillId="0" borderId="0" xfId="0" applyNumberFormat="1" applyFont="1" applyFill="1" applyBorder="1" applyAlignment="1">
      <alignment horizontal="right"/>
    </xf>
    <xf numFmtId="37" fontId="55" fillId="0" borderId="0" xfId="0" applyNumberFormat="1" applyFont="1" applyFill="1" applyBorder="1"/>
    <xf numFmtId="37" fontId="55" fillId="0" borderId="22" xfId="0" applyNumberFormat="1" applyFont="1" applyFill="1" applyBorder="1"/>
    <xf numFmtId="37" fontId="29" fillId="0" borderId="19" xfId="0" applyNumberFormat="1" applyFont="1" applyFill="1" applyBorder="1" applyAlignment="1">
      <alignment horizontal="right"/>
    </xf>
    <xf numFmtId="37" fontId="29" fillId="0" borderId="22" xfId="0" applyNumberFormat="1" applyFont="1" applyFill="1" applyBorder="1" applyAlignment="1">
      <alignment horizontal="right"/>
    </xf>
    <xf numFmtId="165" fontId="28" fillId="0" borderId="1" xfId="0" applyNumberFormat="1" applyFont="1" applyFill="1" applyBorder="1" applyAlignment="1">
      <alignment horizontal="right"/>
    </xf>
    <xf numFmtId="165" fontId="28" fillId="0" borderId="22" xfId="0" applyNumberFormat="1" applyFont="1" applyFill="1" applyBorder="1" applyAlignment="1">
      <alignment horizontal="right"/>
    </xf>
    <xf numFmtId="37" fontId="29" fillId="0" borderId="21" xfId="0" applyNumberFormat="1" applyFont="1" applyFill="1" applyBorder="1" applyAlignment="1">
      <alignment horizontal="left"/>
    </xf>
    <xf numFmtId="37" fontId="29" fillId="0" borderId="2" xfId="0" applyNumberFormat="1" applyFont="1" applyFill="1" applyBorder="1"/>
    <xf numFmtId="37" fontId="29" fillId="0" borderId="2" xfId="0" applyNumberFormat="1" applyFont="1" applyFill="1" applyBorder="1" applyAlignment="1">
      <alignment horizontal="right"/>
    </xf>
    <xf numFmtId="37" fontId="29" fillId="0" borderId="20" xfId="0" applyNumberFormat="1" applyFont="1" applyFill="1" applyBorder="1"/>
    <xf numFmtId="37" fontId="29" fillId="0" borderId="21" xfId="0" applyNumberFormat="1" applyFont="1" applyFill="1" applyBorder="1"/>
    <xf numFmtId="37" fontId="29" fillId="0" borderId="23" xfId="0" applyNumberFormat="1" applyFont="1" applyFill="1" applyBorder="1"/>
    <xf numFmtId="37" fontId="28" fillId="0" borderId="1" xfId="0" applyNumberFormat="1" applyFont="1" applyFill="1" applyBorder="1" applyAlignment="1">
      <alignment horizontal="left"/>
    </xf>
    <xf numFmtId="37" fontId="172" fillId="0" borderId="0" xfId="0" applyNumberFormat="1" applyFont="1" applyFill="1" applyBorder="1" applyAlignment="1">
      <alignment horizontal="right"/>
    </xf>
    <xf numFmtId="37" fontId="28" fillId="0" borderId="1" xfId="0" applyNumberFormat="1" applyFont="1" applyFill="1" applyBorder="1" applyAlignment="1">
      <alignment horizontal="right"/>
    </xf>
    <xf numFmtId="37" fontId="28" fillId="0" borderId="22" xfId="0" applyNumberFormat="1" applyFont="1" applyFill="1" applyBorder="1" applyAlignment="1">
      <alignment horizontal="right"/>
    </xf>
    <xf numFmtId="37" fontId="151" fillId="0" borderId="0" xfId="0" applyNumberFormat="1" applyFont="1" applyFill="1" applyBorder="1" applyAlignment="1">
      <alignment horizontal="right"/>
    </xf>
    <xf numFmtId="37" fontId="151" fillId="0" borderId="22" xfId="0" applyNumberFormat="1" applyFont="1" applyFill="1" applyBorder="1" applyAlignment="1">
      <alignment horizontal="right"/>
    </xf>
    <xf numFmtId="37" fontId="163" fillId="0" borderId="22" xfId="0" applyNumberFormat="1" applyFont="1" applyFill="1" applyBorder="1" applyAlignment="1">
      <alignment horizontal="right"/>
    </xf>
    <xf numFmtId="165" fontId="28" fillId="0" borderId="21" xfId="0" applyNumberFormat="1" applyFont="1" applyFill="1" applyBorder="1" applyAlignment="1">
      <alignment horizontal="left" indent="1"/>
    </xf>
    <xf numFmtId="165" fontId="28" fillId="0" borderId="2" xfId="0" applyNumberFormat="1" applyFont="1" applyFill="1" applyBorder="1"/>
    <xf numFmtId="165" fontId="28" fillId="0" borderId="2" xfId="0" applyNumberFormat="1" applyFont="1" applyFill="1" applyBorder="1" applyAlignment="1">
      <alignment horizontal="right"/>
    </xf>
    <xf numFmtId="165" fontId="28" fillId="0" borderId="21" xfId="0" applyNumberFormat="1" applyFont="1" applyFill="1" applyBorder="1"/>
    <xf numFmtId="165" fontId="28" fillId="0" borderId="23" xfId="0" applyNumberFormat="1" applyFont="1" applyFill="1" applyBorder="1"/>
    <xf numFmtId="165" fontId="28" fillId="0" borderId="21" xfId="0" applyNumberFormat="1" applyFont="1" applyFill="1" applyBorder="1" applyAlignment="1">
      <alignment horizontal="right"/>
    </xf>
    <xf numFmtId="165" fontId="28" fillId="0" borderId="23" xfId="0" applyNumberFormat="1" applyFont="1" applyFill="1" applyBorder="1" applyAlignment="1">
      <alignment horizontal="right"/>
    </xf>
    <xf numFmtId="165" fontId="28" fillId="0" borderId="1" xfId="0" applyNumberFormat="1" applyFont="1" applyFill="1" applyBorder="1" applyAlignment="1">
      <alignment horizontal="left"/>
    </xf>
    <xf numFmtId="165" fontId="28" fillId="0" borderId="21" xfId="0" applyNumberFormat="1" applyFont="1" applyFill="1" applyBorder="1" applyAlignment="1">
      <alignment horizontal="left"/>
    </xf>
    <xf numFmtId="165" fontId="28" fillId="0" borderId="0" xfId="0" applyNumberFormat="1" applyFont="1" applyFill="1" applyBorder="1" applyAlignment="1">
      <alignment horizontal="left"/>
    </xf>
    <xf numFmtId="37" fontId="126" fillId="37" borderId="22" xfId="0" applyNumberFormat="1" applyFont="1" applyFill="1" applyBorder="1"/>
    <xf numFmtId="37" fontId="28" fillId="0" borderId="1" xfId="0" quotePrefix="1" applyNumberFormat="1" applyFont="1" applyFill="1" applyBorder="1" applyAlignment="1">
      <alignment horizontal="left"/>
    </xf>
    <xf numFmtId="165" fontId="41" fillId="0" borderId="2" xfId="0" applyNumberFormat="1" applyFont="1" applyFill="1" applyBorder="1"/>
    <xf numFmtId="165" fontId="41" fillId="0" borderId="23" xfId="0" applyNumberFormat="1" applyFont="1" applyFill="1" applyBorder="1"/>
    <xf numFmtId="165" fontId="29" fillId="0" borderId="1" xfId="0" applyNumberFormat="1" applyFont="1" applyFill="1" applyBorder="1" applyAlignment="1">
      <alignment horizontal="left" indent="1"/>
    </xf>
    <xf numFmtId="165" fontId="29" fillId="0" borderId="0" xfId="0" applyNumberFormat="1" applyFont="1" applyFill="1" applyBorder="1" applyAlignment="1">
      <alignment horizontal="right"/>
    </xf>
    <xf numFmtId="165" fontId="169" fillId="0" borderId="0" xfId="0" applyNumberFormat="1" applyFont="1" applyFill="1" applyBorder="1"/>
    <xf numFmtId="165" fontId="169" fillId="0" borderId="22" xfId="0" applyNumberFormat="1" applyFont="1" applyFill="1" applyBorder="1"/>
    <xf numFmtId="165" fontId="28" fillId="0" borderId="21" xfId="0" applyNumberFormat="1" applyFont="1" applyFill="1" applyBorder="1" applyAlignment="1">
      <alignment horizontal="left" indent="2"/>
    </xf>
    <xf numFmtId="37" fontId="29" fillId="37" borderId="22" xfId="0" applyNumberFormat="1" applyFont="1" applyFill="1" applyBorder="1"/>
    <xf numFmtId="165" fontId="178" fillId="0" borderId="0" xfId="0" applyNumberFormat="1" applyFont="1" applyFill="1"/>
    <xf numFmtId="9" fontId="57" fillId="36" borderId="0" xfId="0" applyNumberFormat="1" applyFont="1" applyFill="1"/>
    <xf numFmtId="0" fontId="0" fillId="0" borderId="0" xfId="0"/>
    <xf numFmtId="0" fontId="0" fillId="0" borderId="0" xfId="0" applyFill="1"/>
    <xf numFmtId="0" fontId="0" fillId="0" borderId="0" xfId="0"/>
    <xf numFmtId="37" fontId="1" fillId="0" borderId="0" xfId="0" applyNumberFormat="1" applyFont="1" applyFill="1" applyBorder="1" applyAlignment="1">
      <alignment horizontal="left"/>
    </xf>
    <xf numFmtId="37" fontId="4" fillId="0" borderId="74" xfId="0" applyNumberFormat="1" applyFont="1" applyBorder="1"/>
    <xf numFmtId="37" fontId="29" fillId="16" borderId="0" xfId="0" applyNumberFormat="1" applyFont="1" applyFill="1" applyBorder="1"/>
    <xf numFmtId="49" fontId="4" fillId="0" borderId="74" xfId="0" applyNumberFormat="1" applyFont="1" applyBorder="1" applyAlignment="1">
      <alignment horizontal="center"/>
    </xf>
    <xf numFmtId="37" fontId="76" fillId="0" borderId="74" xfId="0" applyNumberFormat="1" applyFont="1" applyBorder="1"/>
    <xf numFmtId="37" fontId="76" fillId="29" borderId="74" xfId="0" applyNumberFormat="1" applyFont="1" applyFill="1" applyBorder="1"/>
    <xf numFmtId="165" fontId="183" fillId="0" borderId="0" xfId="0" applyNumberFormat="1" applyFont="1" applyBorder="1"/>
    <xf numFmtId="165" fontId="183" fillId="0" borderId="41" xfId="0" applyNumberFormat="1" applyFont="1" applyBorder="1"/>
    <xf numFmtId="1" fontId="184" fillId="0" borderId="39" xfId="0" applyNumberFormat="1" applyFont="1" applyBorder="1" applyAlignment="1">
      <alignment horizontal="center"/>
    </xf>
    <xf numFmtId="37" fontId="184" fillId="0" borderId="39" xfId="0" applyNumberFormat="1" applyFont="1" applyBorder="1" applyAlignment="1">
      <alignment horizontal="center"/>
    </xf>
    <xf numFmtId="37" fontId="184" fillId="0" borderId="49" xfId="0" applyNumberFormat="1" applyFont="1" applyBorder="1" applyAlignment="1">
      <alignment horizontal="center"/>
    </xf>
    <xf numFmtId="7" fontId="170" fillId="0" borderId="46" xfId="0" applyNumberFormat="1" applyFont="1" applyBorder="1" applyAlignment="1">
      <alignment horizontal="center"/>
    </xf>
    <xf numFmtId="7" fontId="170" fillId="0" borderId="47" xfId="0" applyNumberFormat="1" applyFont="1" applyBorder="1" applyAlignment="1">
      <alignment horizontal="center"/>
    </xf>
    <xf numFmtId="37" fontId="170" fillId="0" borderId="0" xfId="0" applyNumberFormat="1" applyFont="1" applyFill="1"/>
    <xf numFmtId="37" fontId="36" fillId="29" borderId="0" xfId="0" applyNumberFormat="1" applyFont="1" applyFill="1" applyBorder="1" applyAlignment="1">
      <alignment horizontal="right"/>
    </xf>
    <xf numFmtId="0" fontId="29" fillId="0" borderId="20" xfId="49" applyFont="1" applyFill="1" applyBorder="1" applyAlignment="1">
      <alignment horizontal="center" vertical="center"/>
    </xf>
    <xf numFmtId="7" fontId="29" fillId="0" borderId="57" xfId="38" applyNumberFormat="1" applyFont="1" applyFill="1" applyBorder="1" applyAlignment="1">
      <alignment vertical="center"/>
    </xf>
    <xf numFmtId="37" fontId="29" fillId="0" borderId="22" xfId="36" applyNumberFormat="1" applyFont="1" applyFill="1" applyBorder="1" applyAlignment="1">
      <alignment vertical="center"/>
    </xf>
    <xf numFmtId="37" fontId="146" fillId="0" borderId="22" xfId="36" applyNumberFormat="1" applyFont="1" applyFill="1" applyBorder="1" applyAlignment="1">
      <alignment horizontal="right" vertical="center"/>
    </xf>
    <xf numFmtId="165" fontId="150" fillId="0" borderId="60" xfId="36" applyNumberFormat="1" applyFont="1" applyFill="1" applyBorder="1" applyAlignment="1">
      <alignment horizontal="right" vertical="center"/>
    </xf>
    <xf numFmtId="165" fontId="150" fillId="0" borderId="23" xfId="36" applyNumberFormat="1" applyFont="1" applyFill="1" applyBorder="1" applyAlignment="1">
      <alignment horizontal="right" vertical="center"/>
    </xf>
    <xf numFmtId="165" fontId="172" fillId="0" borderId="20" xfId="36" applyNumberFormat="1" applyFont="1" applyFill="1" applyBorder="1" applyAlignment="1">
      <alignment horizontal="right" vertical="center"/>
    </xf>
    <xf numFmtId="166" fontId="27" fillId="26" borderId="18" xfId="38" applyNumberFormat="1" applyFont="1" applyFill="1" applyBorder="1" applyAlignment="1">
      <alignment horizontal="left" vertical="center"/>
    </xf>
    <xf numFmtId="166" fontId="185" fillId="26" borderId="74" xfId="38" applyNumberFormat="1" applyFont="1" applyFill="1" applyBorder="1" applyAlignment="1">
      <alignment horizontal="left" vertical="center"/>
    </xf>
    <xf numFmtId="166" fontId="186" fillId="26" borderId="74" xfId="38" applyNumberFormat="1" applyFont="1" applyFill="1" applyBorder="1" applyAlignment="1">
      <alignment horizontal="left" vertical="center"/>
    </xf>
    <xf numFmtId="166" fontId="187" fillId="26" borderId="25" xfId="38" applyNumberFormat="1" applyFont="1" applyFill="1" applyBorder="1" applyAlignment="1">
      <alignment horizontal="center" vertical="center"/>
    </xf>
    <xf numFmtId="7" fontId="1" fillId="0" borderId="75" xfId="38" applyNumberFormat="1" applyFont="1" applyFill="1" applyBorder="1" applyAlignment="1">
      <alignment vertical="center"/>
    </xf>
    <xf numFmtId="7" fontId="139" fillId="0" borderId="58" xfId="51" applyNumberFormat="1" applyFont="1" applyFill="1" applyBorder="1" applyAlignment="1">
      <alignment horizontal="center" vertical="center"/>
    </xf>
    <xf numFmtId="37" fontId="153" fillId="0" borderId="22" xfId="36" applyNumberFormat="1" applyFont="1" applyFill="1" applyBorder="1" applyAlignment="1">
      <alignment vertical="center"/>
    </xf>
    <xf numFmtId="37" fontId="1" fillId="0" borderId="0" xfId="36" applyNumberFormat="1" applyFont="1" applyFill="1" applyBorder="1" applyAlignment="1">
      <alignment horizontal="right" vertical="center"/>
    </xf>
    <xf numFmtId="37" fontId="1" fillId="0" borderId="19" xfId="36" applyNumberFormat="1" applyFont="1" applyFill="1" applyBorder="1" applyAlignment="1">
      <alignment horizontal="right" vertical="center"/>
    </xf>
    <xf numFmtId="165" fontId="1" fillId="0" borderId="56" xfId="49" applyNumberFormat="1" applyFont="1" applyFill="1" applyBorder="1" applyAlignment="1">
      <alignment horizontal="left" vertical="center"/>
    </xf>
    <xf numFmtId="165" fontId="1" fillId="0" borderId="60" xfId="36" applyNumberFormat="1" applyFont="1" applyFill="1" applyBorder="1" applyAlignment="1">
      <alignment vertical="center"/>
    </xf>
    <xf numFmtId="165" fontId="1" fillId="0" borderId="57" xfId="36" applyNumberFormat="1" applyFont="1" applyFill="1" applyBorder="1" applyAlignment="1">
      <alignment horizontal="right" vertical="center"/>
    </xf>
    <xf numFmtId="165" fontId="1" fillId="0" borderId="59" xfId="36" applyNumberFormat="1" applyFont="1" applyFill="1" applyBorder="1" applyAlignment="1">
      <alignment vertical="center"/>
    </xf>
    <xf numFmtId="165" fontId="1" fillId="0" borderId="59" xfId="36" applyNumberFormat="1" applyFont="1" applyFill="1" applyBorder="1" applyAlignment="1">
      <alignment horizontal="right" vertical="center"/>
    </xf>
    <xf numFmtId="165" fontId="1" fillId="0" borderId="60" xfId="57" applyNumberFormat="1" applyFont="1" applyFill="1" applyBorder="1" applyAlignment="1">
      <alignment vertical="center"/>
    </xf>
    <xf numFmtId="165" fontId="1" fillId="0" borderId="59" xfId="57" applyNumberFormat="1" applyFont="1" applyFill="1" applyBorder="1" applyAlignment="1">
      <alignment vertical="center"/>
    </xf>
    <xf numFmtId="165" fontId="1" fillId="0" borderId="19" xfId="57" applyNumberFormat="1" applyFont="1" applyFill="1" applyBorder="1" applyAlignment="1">
      <alignment vertical="center"/>
    </xf>
    <xf numFmtId="165" fontId="1" fillId="0" borderId="20" xfId="36" applyNumberFormat="1" applyFont="1" applyFill="1" applyBorder="1" applyAlignment="1">
      <alignment horizontal="right" vertical="center"/>
    </xf>
    <xf numFmtId="37" fontId="1" fillId="0" borderId="34" xfId="36" applyNumberFormat="1" applyFont="1" applyFill="1" applyBorder="1" applyAlignment="1">
      <alignment horizontal="right" vertical="center"/>
    </xf>
    <xf numFmtId="165" fontId="1" fillId="0" borderId="57" xfId="57" applyNumberFormat="1" applyFont="1" applyFill="1" applyBorder="1" applyAlignment="1">
      <alignment horizontal="right" vertical="center"/>
    </xf>
    <xf numFmtId="165" fontId="1" fillId="0" borderId="59" xfId="57" applyNumberFormat="1" applyFont="1" applyFill="1" applyBorder="1" applyAlignment="1">
      <alignment horizontal="right" vertical="center"/>
    </xf>
    <xf numFmtId="37" fontId="1" fillId="0" borderId="62" xfId="36" applyNumberFormat="1" applyFont="1" applyFill="1" applyBorder="1" applyAlignment="1">
      <alignment horizontal="right" vertical="center"/>
    </xf>
    <xf numFmtId="37" fontId="139" fillId="0" borderId="58" xfId="51" applyNumberFormat="1" applyFont="1" applyFill="1" applyBorder="1" applyAlignment="1">
      <alignment horizontal="center" vertical="center"/>
    </xf>
    <xf numFmtId="37" fontId="1" fillId="0" borderId="1" xfId="49" applyNumberFormat="1" applyFont="1" applyFill="1" applyBorder="1" applyAlignment="1">
      <alignment horizontal="left" vertical="center"/>
    </xf>
    <xf numFmtId="37" fontId="139" fillId="0" borderId="22" xfId="51" applyNumberFormat="1" applyFont="1" applyFill="1" applyBorder="1" applyAlignment="1">
      <alignment horizontal="center" vertical="center" wrapText="1"/>
    </xf>
    <xf numFmtId="37" fontId="1" fillId="0" borderId="57" xfId="36" applyNumberFormat="1" applyFont="1" applyFill="1" applyBorder="1" applyAlignment="1">
      <alignment horizontal="right" vertical="center"/>
    </xf>
    <xf numFmtId="37" fontId="1" fillId="0" borderId="59" xfId="36" applyNumberFormat="1" applyFont="1" applyFill="1" applyBorder="1" applyAlignment="1">
      <alignment horizontal="right" vertical="center"/>
    </xf>
    <xf numFmtId="10" fontId="1" fillId="0" borderId="59" xfId="36" applyNumberFormat="1" applyFont="1" applyFill="1" applyBorder="1" applyAlignment="1">
      <alignment horizontal="right" vertical="center"/>
    </xf>
    <xf numFmtId="10" fontId="139" fillId="0" borderId="58" xfId="51" applyNumberFormat="1" applyFont="1" applyFill="1" applyBorder="1" applyAlignment="1">
      <alignment horizontal="center" vertical="center"/>
    </xf>
    <xf numFmtId="7" fontId="1" fillId="0" borderId="1" xfId="49" applyNumberFormat="1" applyFont="1" applyFill="1" applyBorder="1" applyAlignment="1">
      <alignment vertical="center"/>
    </xf>
    <xf numFmtId="7" fontId="151" fillId="0" borderId="19" xfId="38" applyNumberFormat="1" applyFont="1" applyFill="1" applyBorder="1" applyAlignment="1">
      <alignment vertical="center"/>
    </xf>
    <xf numFmtId="7" fontId="153" fillId="0" borderId="22" xfId="38" applyNumberFormat="1" applyFont="1" applyFill="1" applyBorder="1" applyAlignment="1">
      <alignment vertical="center"/>
    </xf>
    <xf numFmtId="7" fontId="1" fillId="0" borderId="0" xfId="49" applyNumberFormat="1" applyFont="1" applyFill="1" applyBorder="1" applyAlignment="1">
      <alignment horizontal="right" vertical="center"/>
    </xf>
    <xf numFmtId="7" fontId="150" fillId="0" borderId="19" xfId="38" applyNumberFormat="1" applyFont="1" applyFill="1" applyBorder="1" applyAlignment="1">
      <alignment vertical="center"/>
    </xf>
    <xf numFmtId="165" fontId="1" fillId="0" borderId="1" xfId="49" applyNumberFormat="1" applyFont="1" applyFill="1" applyBorder="1" applyAlignment="1">
      <alignment horizontal="left" vertical="center"/>
    </xf>
    <xf numFmtId="165" fontId="151" fillId="0" borderId="19" xfId="38" applyNumberFormat="1" applyFont="1" applyFill="1" applyBorder="1" applyAlignment="1">
      <alignment vertical="center"/>
    </xf>
    <xf numFmtId="165" fontId="1" fillId="0" borderId="22" xfId="38" applyNumberFormat="1" applyFont="1" applyFill="1" applyBorder="1" applyAlignment="1">
      <alignment vertical="center"/>
    </xf>
    <xf numFmtId="165" fontId="1" fillId="0" borderId="0" xfId="36" applyNumberFormat="1" applyFont="1" applyFill="1" applyBorder="1" applyAlignment="1">
      <alignment horizontal="right" vertical="center"/>
    </xf>
    <xf numFmtId="37" fontId="153" fillId="0" borderId="34" xfId="36" applyNumberFormat="1" applyFont="1" applyFill="1" applyBorder="1" applyAlignment="1">
      <alignment vertical="center"/>
    </xf>
    <xf numFmtId="37" fontId="1" fillId="0" borderId="22" xfId="36" applyNumberFormat="1" applyFont="1" applyFill="1" applyBorder="1" applyAlignment="1">
      <alignment vertical="center"/>
    </xf>
    <xf numFmtId="165" fontId="1" fillId="0" borderId="22" xfId="57" applyNumberFormat="1" applyFont="1" applyFill="1" applyBorder="1" applyAlignment="1">
      <alignment vertical="center"/>
    </xf>
    <xf numFmtId="165" fontId="1" fillId="0" borderId="0" xfId="57" applyNumberFormat="1" applyFont="1" applyFill="1" applyBorder="1" applyAlignment="1">
      <alignment horizontal="right" vertical="center"/>
    </xf>
    <xf numFmtId="165" fontId="1" fillId="0" borderId="19" xfId="36" applyNumberFormat="1" applyFont="1" applyFill="1" applyBorder="1" applyAlignment="1">
      <alignment horizontal="right" vertical="center"/>
    </xf>
    <xf numFmtId="165" fontId="1" fillId="0" borderId="19" xfId="57" applyNumberFormat="1" applyFont="1" applyFill="1" applyBorder="1" applyAlignment="1">
      <alignment horizontal="right" vertical="center"/>
    </xf>
    <xf numFmtId="37" fontId="1" fillId="0" borderId="64" xfId="36" applyNumberFormat="1" applyFont="1" applyFill="1" applyBorder="1" applyAlignment="1">
      <alignment horizontal="right" vertical="center"/>
    </xf>
    <xf numFmtId="37" fontId="1" fillId="0" borderId="0" xfId="49" applyNumberFormat="1" applyFont="1" applyFill="1" applyBorder="1" applyAlignment="1">
      <alignment horizontal="right" vertical="center"/>
    </xf>
    <xf numFmtId="37" fontId="1" fillId="0" borderId="19" xfId="49" applyNumberFormat="1" applyFont="1" applyFill="1" applyBorder="1" applyAlignment="1">
      <alignment horizontal="right" vertical="center"/>
    </xf>
    <xf numFmtId="37" fontId="1" fillId="0" borderId="66" xfId="36" applyNumberFormat="1" applyFont="1" applyFill="1" applyBorder="1" applyAlignment="1">
      <alignment horizontal="right" vertical="center"/>
    </xf>
    <xf numFmtId="166" fontId="188" fillId="26" borderId="74" xfId="38" applyNumberFormat="1" applyFont="1" applyFill="1" applyBorder="1" applyAlignment="1">
      <alignment horizontal="left" vertical="center"/>
    </xf>
    <xf numFmtId="37" fontId="1" fillId="0" borderId="7" xfId="36" applyNumberFormat="1" applyFont="1" applyFill="1" applyBorder="1" applyAlignment="1">
      <alignment horizontal="right" vertical="center"/>
    </xf>
    <xf numFmtId="165" fontId="1" fillId="0" borderId="56" xfId="36" applyNumberFormat="1" applyFont="1" applyFill="1" applyBorder="1" applyAlignment="1">
      <alignment horizontal="right" vertical="center"/>
    </xf>
    <xf numFmtId="37" fontId="1" fillId="0" borderId="1" xfId="36" applyNumberFormat="1" applyFont="1" applyFill="1" applyBorder="1" applyAlignment="1">
      <alignment horizontal="right" vertical="center"/>
    </xf>
    <xf numFmtId="165" fontId="1" fillId="0" borderId="21" xfId="36" applyNumberFormat="1" applyFont="1" applyFill="1" applyBorder="1" applyAlignment="1">
      <alignment horizontal="right" vertical="center"/>
    </xf>
    <xf numFmtId="165" fontId="1" fillId="0" borderId="21" xfId="49" applyNumberFormat="1" applyFont="1" applyFill="1" applyBorder="1" applyAlignment="1">
      <alignment horizontal="left" vertical="center"/>
    </xf>
    <xf numFmtId="165" fontId="1" fillId="0" borderId="23" xfId="36" applyNumberFormat="1" applyFont="1" applyFill="1" applyBorder="1" applyAlignment="1">
      <alignment vertical="center"/>
    </xf>
    <xf numFmtId="165" fontId="1" fillId="0" borderId="2" xfId="36" applyNumberFormat="1" applyFont="1" applyFill="1" applyBorder="1" applyAlignment="1">
      <alignment horizontal="right" vertical="center"/>
    </xf>
    <xf numFmtId="165" fontId="1" fillId="0" borderId="20" xfId="36" applyNumberFormat="1" applyFont="1" applyFill="1" applyBorder="1" applyAlignment="1">
      <alignment vertical="center"/>
    </xf>
    <xf numFmtId="0" fontId="1" fillId="0" borderId="2" xfId="49" applyFont="1" applyFill="1" applyBorder="1" applyAlignment="1">
      <alignment horizontal="right"/>
    </xf>
    <xf numFmtId="37" fontId="1" fillId="0" borderId="0" xfId="0" applyNumberFormat="1" applyFont="1" applyFill="1" applyBorder="1"/>
    <xf numFmtId="7" fontId="2" fillId="0" borderId="2" xfId="0" applyNumberFormat="1" applyFont="1" applyFill="1" applyBorder="1"/>
    <xf numFmtId="37" fontId="4" fillId="0" borderId="76" xfId="0" applyNumberFormat="1" applyFont="1" applyBorder="1"/>
    <xf numFmtId="37" fontId="4" fillId="0" borderId="77" xfId="0" applyNumberFormat="1" applyFont="1" applyBorder="1"/>
    <xf numFmtId="43" fontId="51" fillId="0" borderId="1" xfId="0" applyNumberFormat="1" applyFont="1" applyFill="1" applyBorder="1"/>
    <xf numFmtId="43" fontId="51" fillId="0" borderId="22" xfId="0" applyNumberFormat="1" applyFont="1" applyFill="1" applyBorder="1"/>
    <xf numFmtId="165" fontId="168" fillId="0" borderId="2" xfId="0" applyNumberFormat="1" applyFont="1" applyBorder="1" applyAlignment="1">
      <alignment horizontal="right"/>
    </xf>
    <xf numFmtId="165" fontId="4" fillId="0" borderId="44" xfId="0" applyNumberFormat="1" applyFont="1" applyBorder="1"/>
    <xf numFmtId="10" fontId="29" fillId="0" borderId="56" xfId="49" applyNumberFormat="1" applyFont="1" applyFill="1" applyBorder="1" applyAlignment="1">
      <alignment vertical="center"/>
    </xf>
    <xf numFmtId="10" fontId="173" fillId="0" borderId="59" xfId="36" applyNumberFormat="1" applyFont="1" applyFill="1" applyBorder="1" applyAlignment="1">
      <alignment vertical="center"/>
    </xf>
    <xf numFmtId="10" fontId="154" fillId="0" borderId="60" xfId="36" applyNumberFormat="1" applyFont="1" applyFill="1" applyBorder="1" applyAlignment="1">
      <alignment vertical="center"/>
    </xf>
    <xf numFmtId="10" fontId="29" fillId="0" borderId="57" xfId="36" applyNumberFormat="1" applyFont="1" applyFill="1" applyBorder="1" applyAlignment="1">
      <alignment horizontal="right" vertical="center"/>
    </xf>
    <xf numFmtId="10" fontId="154" fillId="0" borderId="59" xfId="36" applyNumberFormat="1" applyFont="1" applyFill="1" applyBorder="1" applyAlignment="1">
      <alignment vertical="center"/>
    </xf>
    <xf numFmtId="165" fontId="5" fillId="0" borderId="0" xfId="0" applyNumberFormat="1" applyFont="1" applyBorder="1" applyAlignment="1">
      <alignment horizontal="right"/>
    </xf>
    <xf numFmtId="37" fontId="36" fillId="29" borderId="0" xfId="0" applyNumberFormat="1" applyFont="1" applyFill="1" applyBorder="1" applyAlignment="1">
      <alignment horizontal="right"/>
    </xf>
    <xf numFmtId="0" fontId="0" fillId="0" borderId="0" xfId="0"/>
    <xf numFmtId="166" fontId="185" fillId="26" borderId="76" xfId="38" applyNumberFormat="1" applyFont="1" applyFill="1" applyBorder="1" applyAlignment="1">
      <alignment horizontal="left" vertical="center"/>
    </xf>
    <xf numFmtId="49" fontId="169" fillId="0" borderId="20" xfId="49" applyNumberFormat="1" applyFont="1" applyFill="1" applyBorder="1" applyAlignment="1">
      <alignment horizontal="center" vertical="center"/>
    </xf>
    <xf numFmtId="37" fontId="33" fillId="0" borderId="0" xfId="0" applyNumberFormat="1" applyFont="1" applyFill="1" applyBorder="1" applyAlignment="1">
      <alignment horizontal="right"/>
    </xf>
    <xf numFmtId="165" fontId="182" fillId="37" borderId="0" xfId="0" applyNumberFormat="1" applyFont="1" applyFill="1"/>
    <xf numFmtId="165" fontId="34" fillId="37" borderId="0" xfId="0" applyNumberFormat="1" applyFont="1" applyFill="1" applyBorder="1"/>
    <xf numFmtId="165" fontId="182" fillId="37" borderId="22" xfId="0" applyNumberFormat="1" applyFont="1" applyFill="1" applyBorder="1"/>
    <xf numFmtId="0" fontId="0" fillId="0" borderId="0" xfId="0" applyFill="1"/>
    <xf numFmtId="0" fontId="0" fillId="0" borderId="0" xfId="0"/>
    <xf numFmtId="37" fontId="4" fillId="0" borderId="0" xfId="0" applyNumberFormat="1" applyFont="1" applyFill="1" applyBorder="1" applyAlignment="1">
      <alignment horizontal="right"/>
    </xf>
    <xf numFmtId="41" fontId="163" fillId="0" borderId="0" xfId="0" applyNumberFormat="1" applyFont="1" applyBorder="1"/>
    <xf numFmtId="41" fontId="153" fillId="0" borderId="0" xfId="0" applyNumberFormat="1" applyFont="1" applyBorder="1"/>
    <xf numFmtId="39" fontId="33" fillId="0" borderId="0" xfId="0" applyNumberFormat="1" applyFont="1" applyBorder="1"/>
    <xf numFmtId="10" fontId="168" fillId="35" borderId="0" xfId="0" applyNumberFormat="1" applyFont="1" applyFill="1" applyBorder="1"/>
    <xf numFmtId="169" fontId="163" fillId="0" borderId="0" xfId="0" applyNumberFormat="1" applyFont="1" applyBorder="1"/>
    <xf numFmtId="165" fontId="163" fillId="0" borderId="0" xfId="0" applyNumberFormat="1" applyFont="1" applyBorder="1"/>
    <xf numFmtId="169" fontId="33" fillId="0" borderId="0" xfId="0" applyNumberFormat="1" applyFont="1" applyBorder="1"/>
    <xf numFmtId="37" fontId="168" fillId="0" borderId="0" xfId="0" applyNumberFormat="1" applyFont="1" applyBorder="1"/>
    <xf numFmtId="5" fontId="153" fillId="0" borderId="0" xfId="0" applyNumberFormat="1" applyFont="1" applyFill="1" applyBorder="1"/>
    <xf numFmtId="37" fontId="29" fillId="37" borderId="0" xfId="0" applyNumberFormat="1" applyFont="1" applyFill="1" applyBorder="1"/>
    <xf numFmtId="37" fontId="126" fillId="29" borderId="0" xfId="0" applyNumberFormat="1" applyFont="1" applyFill="1" applyBorder="1"/>
    <xf numFmtId="37" fontId="163" fillId="0" borderId="0" xfId="0" applyNumberFormat="1" applyFont="1" applyFill="1" applyBorder="1" applyAlignment="1">
      <alignment horizontal="right"/>
    </xf>
    <xf numFmtId="37" fontId="126" fillId="37" borderId="0" xfId="0" applyNumberFormat="1" applyFont="1" applyFill="1" applyBorder="1"/>
    <xf numFmtId="37" fontId="41" fillId="15" borderId="0" xfId="0" applyNumberFormat="1" applyFont="1" applyFill="1" applyBorder="1"/>
    <xf numFmtId="37" fontId="164" fillId="0" borderId="0" xfId="0" applyNumberFormat="1" applyFont="1" applyBorder="1"/>
    <xf numFmtId="165" fontId="1" fillId="35" borderId="0" xfId="0" applyNumberFormat="1" applyFont="1" applyFill="1" applyBorder="1"/>
    <xf numFmtId="165" fontId="153" fillId="0" borderId="0" xfId="0" applyNumberFormat="1" applyFont="1" applyBorder="1"/>
    <xf numFmtId="165" fontId="182" fillId="37" borderId="0" xfId="0" applyNumberFormat="1" applyFont="1" applyFill="1" applyBorder="1"/>
    <xf numFmtId="41" fontId="29" fillId="35" borderId="0" xfId="0" applyNumberFormat="1" applyFont="1" applyFill="1" applyBorder="1"/>
    <xf numFmtId="7" fontId="153" fillId="0" borderId="2" xfId="56" applyNumberFormat="1" applyFont="1" applyFill="1" applyBorder="1"/>
    <xf numFmtId="7" fontId="29" fillId="15" borderId="24" xfId="0" applyNumberFormat="1" applyFont="1" applyFill="1" applyBorder="1" applyAlignment="1">
      <alignment horizontal="center"/>
    </xf>
    <xf numFmtId="179" fontId="29" fillId="0" borderId="0" xfId="0" applyNumberFormat="1" applyFont="1" applyFill="1" applyBorder="1"/>
    <xf numFmtId="7" fontId="189" fillId="0" borderId="0" xfId="0" applyNumberFormat="1" applyFont="1" applyBorder="1"/>
    <xf numFmtId="41" fontId="28" fillId="0" borderId="74" xfId="0" applyNumberFormat="1" applyFont="1" applyBorder="1"/>
    <xf numFmtId="7" fontId="173" fillId="15" borderId="0" xfId="0" applyNumberFormat="1" applyFont="1" applyFill="1" applyAlignment="1">
      <alignment horizontal="center"/>
    </xf>
    <xf numFmtId="165" fontId="172" fillId="15" borderId="0" xfId="0" applyNumberFormat="1" applyFont="1" applyFill="1" applyAlignment="1">
      <alignment horizontal="center"/>
    </xf>
    <xf numFmtId="0" fontId="28" fillId="0" borderId="24" xfId="0" applyFont="1" applyBorder="1"/>
    <xf numFmtId="41" fontId="28" fillId="0" borderId="24" xfId="0" applyNumberFormat="1" applyFont="1" applyBorder="1"/>
    <xf numFmtId="7" fontId="189" fillId="0" borderId="0" xfId="0" applyNumberFormat="1" applyFont="1"/>
    <xf numFmtId="49" fontId="4" fillId="0" borderId="0" xfId="0" applyNumberFormat="1" applyFont="1" applyFill="1"/>
    <xf numFmtId="175" fontId="167" fillId="0" borderId="0" xfId="0" applyNumberFormat="1" applyFont="1" applyFill="1" applyBorder="1"/>
    <xf numFmtId="165" fontId="178" fillId="0" borderId="50" xfId="0" applyNumberFormat="1" applyFont="1" applyBorder="1"/>
    <xf numFmtId="165" fontId="5" fillId="0" borderId="50" xfId="0" applyNumberFormat="1" applyFont="1" applyBorder="1"/>
    <xf numFmtId="165" fontId="5" fillId="0" borderId="51" xfId="0" applyNumberFormat="1" applyFont="1" applyBorder="1"/>
    <xf numFmtId="37" fontId="36" fillId="29" borderId="0" xfId="0" applyNumberFormat="1" applyFont="1" applyFill="1" applyBorder="1" applyAlignment="1">
      <alignment horizontal="right"/>
    </xf>
    <xf numFmtId="7" fontId="59" fillId="0" borderId="0" xfId="49" applyNumberFormat="1" applyFont="1" applyFill="1" applyAlignment="1">
      <alignment horizontal="center" vertical="center"/>
    </xf>
    <xf numFmtId="7" fontId="29" fillId="0" borderId="78" xfId="0" applyNumberFormat="1" applyFont="1" applyFill="1" applyBorder="1"/>
    <xf numFmtId="41" fontId="173" fillId="0" borderId="78" xfId="0" applyNumberFormat="1" applyFont="1" applyFill="1" applyBorder="1"/>
    <xf numFmtId="41" fontId="29" fillId="0" borderId="78" xfId="61" applyNumberFormat="1" applyFont="1" applyFill="1" applyBorder="1" applyAlignment="1"/>
    <xf numFmtId="164" fontId="41" fillId="0" borderId="78" xfId="35" applyNumberFormat="1" applyFont="1" applyFill="1" applyBorder="1"/>
    <xf numFmtId="41" fontId="2" fillId="0" borderId="78" xfId="61" applyNumberFormat="1" applyFont="1" applyFill="1" applyBorder="1" applyAlignment="1"/>
    <xf numFmtId="37" fontId="55" fillId="36" borderId="22" xfId="0" applyNumberFormat="1" applyFont="1" applyFill="1" applyBorder="1"/>
    <xf numFmtId="37" fontId="4" fillId="0" borderId="79" xfId="0" applyNumberFormat="1" applyFont="1" applyBorder="1"/>
    <xf numFmtId="37" fontId="29" fillId="0" borderId="78" xfId="0" applyNumberFormat="1" applyFont="1" applyBorder="1"/>
    <xf numFmtId="41" fontId="171" fillId="0" borderId="0" xfId="0" applyNumberFormat="1" applyFont="1" applyBorder="1"/>
    <xf numFmtId="179" fontId="1" fillId="0" borderId="0" xfId="0" applyNumberFormat="1" applyFont="1" applyFill="1" applyBorder="1"/>
    <xf numFmtId="179" fontId="1" fillId="0" borderId="1" xfId="0" applyNumberFormat="1" applyFont="1" applyFill="1" applyBorder="1"/>
    <xf numFmtId="5" fontId="2" fillId="0" borderId="0" xfId="0" applyNumberFormat="1" applyFont="1" applyFill="1" applyBorder="1" applyAlignment="1">
      <alignment horizontal="left" indent="2"/>
    </xf>
    <xf numFmtId="5" fontId="153" fillId="0" borderId="0" xfId="56" applyNumberFormat="1" applyFont="1" applyFill="1" applyBorder="1"/>
    <xf numFmtId="0" fontId="1" fillId="0" borderId="1" xfId="0" applyFont="1" applyFill="1" applyBorder="1" applyAlignment="1">
      <alignment horizontal="left" indent="1"/>
    </xf>
    <xf numFmtId="0" fontId="50" fillId="0" borderId="1" xfId="0" applyFont="1" applyFill="1" applyBorder="1"/>
    <xf numFmtId="0" fontId="34" fillId="0" borderId="1" xfId="0" applyFont="1" applyFill="1" applyBorder="1" applyAlignment="1">
      <alignment horizontal="left" indent="1"/>
    </xf>
    <xf numFmtId="0" fontId="34" fillId="0" borderId="0" xfId="0" applyFont="1" applyFill="1" applyBorder="1"/>
    <xf numFmtId="3" fontId="34" fillId="0" borderId="0" xfId="0" applyNumberFormat="1" applyFont="1" applyFill="1" applyBorder="1"/>
    <xf numFmtId="9" fontId="34" fillId="0" borderId="0" xfId="56" applyFont="1" applyFill="1" applyBorder="1"/>
    <xf numFmtId="37" fontId="34" fillId="0" borderId="0" xfId="56" applyNumberFormat="1" applyFont="1" applyFill="1" applyBorder="1"/>
    <xf numFmtId="37" fontId="34" fillId="0" borderId="22" xfId="56" applyNumberFormat="1" applyFont="1" applyFill="1" applyBorder="1"/>
    <xf numFmtId="37" fontId="169" fillId="0" borderId="0" xfId="0" applyNumberFormat="1" applyFont="1" applyFill="1" applyBorder="1"/>
    <xf numFmtId="37" fontId="169" fillId="0" borderId="22" xfId="0" applyNumberFormat="1" applyFont="1" applyFill="1" applyBorder="1"/>
    <xf numFmtId="37" fontId="171" fillId="0" borderId="0" xfId="0" applyNumberFormat="1" applyFont="1" applyFill="1" applyBorder="1"/>
    <xf numFmtId="37" fontId="171" fillId="0" borderId="22" xfId="0" applyNumberFormat="1" applyFont="1" applyFill="1" applyBorder="1"/>
    <xf numFmtId="7" fontId="189" fillId="0" borderId="0" xfId="0" applyNumberFormat="1" applyFont="1" applyFill="1"/>
    <xf numFmtId="37" fontId="190" fillId="0" borderId="0" xfId="0" applyNumberFormat="1" applyFont="1" applyFill="1" applyBorder="1"/>
    <xf numFmtId="37" fontId="190" fillId="0" borderId="22" xfId="0" applyNumberFormat="1" applyFont="1" applyFill="1" applyBorder="1"/>
    <xf numFmtId="0" fontId="0" fillId="0" borderId="0" xfId="0" applyFill="1"/>
    <xf numFmtId="37" fontId="36" fillId="29" borderId="0" xfId="0" applyNumberFormat="1" applyFont="1" applyFill="1" applyBorder="1" applyAlignment="1">
      <alignment horizontal="right"/>
    </xf>
    <xf numFmtId="0" fontId="0" fillId="0" borderId="0" xfId="0"/>
    <xf numFmtId="5" fontId="2" fillId="0" borderId="80" xfId="0" applyNumberFormat="1" applyFont="1" applyFill="1" applyBorder="1"/>
    <xf numFmtId="7" fontId="29" fillId="0" borderId="80" xfId="0" applyNumberFormat="1" applyFont="1" applyFill="1" applyBorder="1"/>
    <xf numFmtId="41" fontId="173" fillId="0" borderId="80" xfId="0" applyNumberFormat="1" applyFont="1" applyFill="1" applyBorder="1"/>
    <xf numFmtId="41" fontId="29" fillId="0" borderId="80" xfId="61" applyNumberFormat="1" applyFont="1" applyFill="1" applyBorder="1" applyAlignment="1"/>
    <xf numFmtId="164" fontId="41" fillId="0" borderId="80" xfId="35" applyNumberFormat="1" applyFont="1" applyFill="1" applyBorder="1"/>
    <xf numFmtId="41" fontId="2" fillId="0" borderId="80" xfId="61" applyNumberFormat="1" applyFont="1" applyFill="1" applyBorder="1" applyAlignment="1"/>
    <xf numFmtId="37" fontId="1" fillId="36" borderId="0" xfId="0" applyNumberFormat="1" applyFont="1" applyFill="1" applyBorder="1" applyAlignment="1">
      <alignment horizontal="right"/>
    </xf>
    <xf numFmtId="37" fontId="2" fillId="37" borderId="0" xfId="0" applyNumberFormat="1" applyFont="1" applyFill="1" applyBorder="1" applyAlignment="1">
      <alignment horizontal="right"/>
    </xf>
    <xf numFmtId="37" fontId="33" fillId="37" borderId="0" xfId="0" applyNumberFormat="1" applyFont="1" applyFill="1" applyBorder="1" applyAlignment="1">
      <alignment horizontal="right"/>
    </xf>
    <xf numFmtId="9" fontId="176" fillId="37" borderId="0" xfId="0" applyNumberFormat="1" applyFont="1" applyFill="1" applyBorder="1"/>
    <xf numFmtId="37" fontId="151" fillId="37" borderId="0" xfId="0" applyNumberFormat="1" applyFont="1" applyFill="1" applyBorder="1"/>
    <xf numFmtId="37" fontId="1" fillId="37" borderId="0" xfId="0" applyNumberFormat="1" applyFont="1" applyFill="1" applyBorder="1"/>
    <xf numFmtId="37" fontId="1" fillId="37" borderId="22" xfId="0" applyNumberFormat="1" applyFont="1" applyFill="1" applyBorder="1"/>
    <xf numFmtId="37" fontId="173" fillId="20" borderId="0" xfId="0" applyNumberFormat="1" applyFont="1" applyFill="1" applyBorder="1"/>
    <xf numFmtId="37" fontId="55" fillId="36" borderId="0" xfId="0" applyNumberFormat="1" applyFont="1" applyFill="1" applyBorder="1"/>
    <xf numFmtId="165" fontId="171" fillId="0" borderId="0" xfId="0" applyNumberFormat="1" applyFont="1" applyFill="1" applyBorder="1"/>
    <xf numFmtId="165" fontId="171" fillId="20" borderId="0" xfId="0" applyNumberFormat="1" applyFont="1" applyFill="1" applyBorder="1"/>
    <xf numFmtId="7" fontId="164" fillId="15" borderId="80" xfId="0" applyNumberFormat="1" applyFont="1" applyFill="1" applyBorder="1" applyAlignment="1">
      <alignment horizontal="center"/>
    </xf>
    <xf numFmtId="37" fontId="159" fillId="0" borderId="1" xfId="0" applyNumberFormat="1" applyFont="1" applyBorder="1"/>
    <xf numFmtId="37" fontId="29" fillId="0" borderId="81" xfId="0" applyNumberFormat="1" applyFont="1" applyBorder="1"/>
    <xf numFmtId="0" fontId="30" fillId="18" borderId="74" xfId="0" applyFont="1" applyFill="1" applyBorder="1"/>
    <xf numFmtId="37" fontId="176" fillId="29" borderId="0" xfId="0" applyNumberFormat="1" applyFont="1" applyFill="1" applyBorder="1" applyAlignment="1">
      <alignment horizontal="right"/>
    </xf>
    <xf numFmtId="0" fontId="1" fillId="0" borderId="0" xfId="0" applyFont="1" applyFill="1" applyAlignment="1">
      <alignment horizontal="left" indent="1"/>
    </xf>
    <xf numFmtId="41" fontId="163" fillId="0" borderId="0" xfId="0" applyNumberFormat="1" applyFont="1" applyFill="1"/>
    <xf numFmtId="41" fontId="28" fillId="0" borderId="19" xfId="0" applyNumberFormat="1" applyFont="1" applyFill="1" applyBorder="1" applyAlignment="1">
      <alignment horizontal="center"/>
    </xf>
    <xf numFmtId="41" fontId="28" fillId="0" borderId="1" xfId="0" applyNumberFormat="1" applyFont="1" applyFill="1" applyBorder="1"/>
    <xf numFmtId="41" fontId="28" fillId="0" borderId="22" xfId="0" applyNumberFormat="1" applyFont="1" applyFill="1" applyBorder="1"/>
    <xf numFmtId="41" fontId="151" fillId="0" borderId="0" xfId="0" applyNumberFormat="1" applyFont="1" applyFill="1" applyBorder="1"/>
    <xf numFmtId="41" fontId="151" fillId="0" borderId="22" xfId="0" applyNumberFormat="1" applyFont="1" applyFill="1" applyBorder="1"/>
    <xf numFmtId="41" fontId="151" fillId="0" borderId="1" xfId="0" applyNumberFormat="1" applyFont="1" applyFill="1" applyBorder="1"/>
    <xf numFmtId="41" fontId="163" fillId="0" borderId="0" xfId="0" applyNumberFormat="1" applyFont="1" applyFill="1" applyBorder="1"/>
    <xf numFmtId="41" fontId="163" fillId="0" borderId="22" xfId="0" applyNumberFormat="1" applyFont="1" applyFill="1" applyBorder="1"/>
    <xf numFmtId="37" fontId="2" fillId="0" borderId="0" xfId="0" applyNumberFormat="1" applyFont="1" applyFill="1" applyAlignment="1">
      <alignment horizontal="right"/>
    </xf>
    <xf numFmtId="37" fontId="2" fillId="0" borderId="1" xfId="0" applyNumberFormat="1" applyFont="1" applyFill="1" applyBorder="1" applyAlignment="1">
      <alignment horizontal="right"/>
    </xf>
    <xf numFmtId="37" fontId="2" fillId="0" borderId="22" xfId="0" applyNumberFormat="1" applyFont="1" applyFill="1" applyBorder="1" applyAlignment="1">
      <alignment horizontal="right"/>
    </xf>
    <xf numFmtId="37" fontId="33" fillId="0" borderId="0" xfId="0" applyNumberFormat="1" applyFont="1" applyFill="1" applyAlignment="1">
      <alignment horizontal="right"/>
    </xf>
    <xf numFmtId="37" fontId="33" fillId="0" borderId="1" xfId="0" applyNumberFormat="1" applyFont="1" applyFill="1" applyBorder="1" applyAlignment="1">
      <alignment horizontal="right"/>
    </xf>
    <xf numFmtId="37" fontId="33" fillId="0" borderId="22" xfId="0" applyNumberFormat="1" applyFont="1" applyFill="1" applyBorder="1" applyAlignment="1">
      <alignment horizontal="right"/>
    </xf>
    <xf numFmtId="37" fontId="1" fillId="0" borderId="0" xfId="0" applyNumberFormat="1" applyFont="1" applyFill="1" applyBorder="1" applyAlignment="1">
      <alignment horizontal="right"/>
    </xf>
    <xf numFmtId="0" fontId="2" fillId="0" borderId="0" xfId="0" applyFont="1" applyFill="1" applyAlignment="1">
      <alignment horizontal="right"/>
    </xf>
    <xf numFmtId="37" fontId="1" fillId="0" borderId="1" xfId="0" applyNumberFormat="1" applyFont="1" applyFill="1" applyBorder="1" applyAlignment="1">
      <alignment horizontal="left" indent="1"/>
    </xf>
    <xf numFmtId="165" fontId="28" fillId="37" borderId="0" xfId="0" applyNumberFormat="1" applyFont="1" applyFill="1" applyBorder="1"/>
    <xf numFmtId="165" fontId="1" fillId="37" borderId="0" xfId="0" applyNumberFormat="1" applyFont="1" applyFill="1" applyBorder="1"/>
    <xf numFmtId="165" fontId="1" fillId="37" borderId="22" xfId="0" applyNumberFormat="1" applyFont="1" applyFill="1" applyBorder="1"/>
    <xf numFmtId="37" fontId="28" fillId="37" borderId="0" xfId="0" applyNumberFormat="1" applyFont="1" applyFill="1" applyBorder="1"/>
    <xf numFmtId="37" fontId="28" fillId="37" borderId="22" xfId="0" applyNumberFormat="1" applyFont="1" applyFill="1" applyBorder="1"/>
    <xf numFmtId="165" fontId="28" fillId="37" borderId="0" xfId="0" applyNumberFormat="1" applyFont="1" applyFill="1" applyBorder="1" applyAlignment="1">
      <alignment horizontal="right"/>
    </xf>
    <xf numFmtId="165" fontId="28" fillId="37" borderId="22" xfId="0" applyNumberFormat="1" applyFont="1" applyFill="1" applyBorder="1"/>
    <xf numFmtId="37" fontId="163" fillId="37" borderId="0" xfId="0" applyNumberFormat="1" applyFont="1" applyFill="1" applyBorder="1"/>
    <xf numFmtId="37" fontId="163" fillId="37" borderId="22" xfId="0" applyNumberFormat="1" applyFont="1" applyFill="1" applyBorder="1"/>
    <xf numFmtId="165" fontId="33" fillId="37" borderId="0" xfId="0" applyNumberFormat="1" applyFont="1" applyFill="1" applyBorder="1" applyAlignment="1">
      <alignment horizontal="right"/>
    </xf>
    <xf numFmtId="165" fontId="33" fillId="37" borderId="0" xfId="0" applyNumberFormat="1" applyFont="1" applyFill="1" applyBorder="1"/>
    <xf numFmtId="165" fontId="33" fillId="37" borderId="22" xfId="0" applyNumberFormat="1" applyFont="1" applyFill="1" applyBorder="1"/>
    <xf numFmtId="165" fontId="35" fillId="37" borderId="0" xfId="0" applyNumberFormat="1" applyFont="1" applyFill="1" applyBorder="1"/>
    <xf numFmtId="41" fontId="32" fillId="37" borderId="0" xfId="0" applyNumberFormat="1" applyFont="1" applyFill="1" applyBorder="1"/>
    <xf numFmtId="41" fontId="32" fillId="37" borderId="22" xfId="0" applyNumberFormat="1" applyFont="1" applyFill="1" applyBorder="1"/>
    <xf numFmtId="37" fontId="159" fillId="37" borderId="0" xfId="0" applyNumberFormat="1" applyFont="1" applyFill="1" applyBorder="1"/>
    <xf numFmtId="0" fontId="28" fillId="37" borderId="0" xfId="0" applyFont="1" applyFill="1" applyBorder="1"/>
    <xf numFmtId="0" fontId="28" fillId="37" borderId="22" xfId="0" applyFont="1" applyFill="1" applyBorder="1"/>
    <xf numFmtId="165" fontId="32" fillId="37" borderId="0" xfId="0" applyNumberFormat="1" applyFont="1" applyFill="1" applyBorder="1"/>
    <xf numFmtId="165" fontId="32" fillId="37" borderId="22" xfId="0" applyNumberFormat="1" applyFont="1" applyFill="1" applyBorder="1"/>
    <xf numFmtId="41" fontId="29" fillId="37" borderId="0" xfId="0" applyNumberFormat="1" applyFont="1" applyFill="1" applyBorder="1"/>
    <xf numFmtId="41" fontId="29" fillId="37" borderId="22" xfId="0" applyNumberFormat="1" applyFont="1" applyFill="1" applyBorder="1"/>
    <xf numFmtId="41" fontId="28" fillId="37" borderId="0" xfId="0" applyNumberFormat="1" applyFont="1" applyFill="1" applyBorder="1"/>
    <xf numFmtId="41" fontId="28" fillId="37" borderId="22" xfId="0" applyNumberFormat="1" applyFont="1" applyFill="1" applyBorder="1"/>
    <xf numFmtId="41" fontId="61" fillId="37" borderId="0" xfId="0" applyNumberFormat="1" applyFont="1" applyFill="1" applyBorder="1"/>
    <xf numFmtId="41" fontId="61" fillId="37" borderId="22" xfId="0" applyNumberFormat="1" applyFont="1" applyFill="1" applyBorder="1"/>
    <xf numFmtId="165" fontId="51" fillId="37" borderId="0" xfId="0" applyNumberFormat="1" applyFont="1" applyFill="1" applyBorder="1"/>
    <xf numFmtId="165" fontId="51" fillId="37" borderId="22" xfId="0" applyNumberFormat="1" applyFont="1" applyFill="1" applyBorder="1"/>
    <xf numFmtId="0" fontId="51" fillId="37" borderId="0" xfId="0" applyFont="1" applyFill="1" applyBorder="1"/>
    <xf numFmtId="0" fontId="51" fillId="37" borderId="22" xfId="0" applyFont="1" applyFill="1" applyBorder="1"/>
    <xf numFmtId="0" fontId="61" fillId="37" borderId="0" xfId="0" applyFont="1" applyFill="1" applyBorder="1"/>
    <xf numFmtId="0" fontId="61" fillId="37" borderId="22" xfId="0" applyFont="1" applyFill="1" applyBorder="1"/>
    <xf numFmtId="41" fontId="33" fillId="37" borderId="0" xfId="0" applyNumberFormat="1" applyFont="1" applyFill="1" applyBorder="1"/>
    <xf numFmtId="41" fontId="33" fillId="37" borderId="22" xfId="0" applyNumberFormat="1" applyFont="1" applyFill="1" applyBorder="1"/>
    <xf numFmtId="37" fontId="28" fillId="37" borderId="0" xfId="0" applyNumberFormat="1" applyFont="1" applyFill="1"/>
    <xf numFmtId="165" fontId="28" fillId="37" borderId="0" xfId="0" applyNumberFormat="1" applyFont="1" applyFill="1"/>
    <xf numFmtId="41" fontId="32" fillId="37" borderId="0" xfId="0" applyNumberFormat="1" applyFont="1" applyFill="1"/>
    <xf numFmtId="37" fontId="29" fillId="37" borderId="0" xfId="0" applyNumberFormat="1" applyFont="1" applyFill="1"/>
    <xf numFmtId="41" fontId="28" fillId="37" borderId="0" xfId="0" applyNumberFormat="1" applyFont="1" applyFill="1"/>
    <xf numFmtId="165" fontId="32" fillId="37" borderId="0" xfId="0" applyNumberFormat="1" applyFont="1" applyFill="1"/>
    <xf numFmtId="41" fontId="29" fillId="37" borderId="0" xfId="0" applyNumberFormat="1" applyFont="1" applyFill="1"/>
    <xf numFmtId="41" fontId="61" fillId="37" borderId="0" xfId="0" applyNumberFormat="1" applyFont="1" applyFill="1"/>
    <xf numFmtId="165" fontId="51" fillId="37" borderId="0" xfId="0" applyNumberFormat="1" applyFont="1" applyFill="1"/>
    <xf numFmtId="41" fontId="51" fillId="37" borderId="0" xfId="0" applyNumberFormat="1" applyFont="1" applyFill="1"/>
    <xf numFmtId="41" fontId="51" fillId="37" borderId="0" xfId="0" applyNumberFormat="1" applyFont="1" applyFill="1" applyBorder="1"/>
    <xf numFmtId="0" fontId="51" fillId="37" borderId="0" xfId="0" applyFont="1" applyFill="1"/>
    <xf numFmtId="0" fontId="61" fillId="37" borderId="0" xfId="0" applyFont="1" applyFill="1"/>
    <xf numFmtId="0" fontId="28" fillId="37" borderId="0" xfId="0" applyFont="1" applyFill="1"/>
    <xf numFmtId="165" fontId="168" fillId="0" borderId="0" xfId="0" applyNumberFormat="1" applyFont="1"/>
    <xf numFmtId="165" fontId="168" fillId="0" borderId="0" xfId="0" applyNumberFormat="1" applyFont="1" applyBorder="1"/>
    <xf numFmtId="165" fontId="168" fillId="0" borderId="19" xfId="0" applyNumberFormat="1" applyFont="1" applyFill="1" applyBorder="1"/>
    <xf numFmtId="0" fontId="191" fillId="0" borderId="0" xfId="0" applyFont="1"/>
    <xf numFmtId="165" fontId="168" fillId="0" borderId="1" xfId="0" applyNumberFormat="1" applyFont="1" applyBorder="1"/>
    <xf numFmtId="165" fontId="168" fillId="0" borderId="22" xfId="0" applyNumberFormat="1" applyFont="1" applyBorder="1"/>
    <xf numFmtId="5" fontId="168" fillId="0" borderId="0" xfId="0" applyNumberFormat="1" applyFont="1"/>
    <xf numFmtId="5" fontId="168" fillId="0" borderId="0" xfId="0" applyNumberFormat="1" applyFont="1" applyBorder="1"/>
    <xf numFmtId="5" fontId="168" fillId="0" borderId="19" xfId="0" applyNumberFormat="1" applyFont="1" applyFill="1" applyBorder="1"/>
    <xf numFmtId="5" fontId="191" fillId="0" borderId="0" xfId="0" applyNumberFormat="1" applyFont="1"/>
    <xf numFmtId="5" fontId="168" fillId="0" borderId="1" xfId="0" applyNumberFormat="1" applyFont="1" applyBorder="1"/>
    <xf numFmtId="5" fontId="168" fillId="0" borderId="22" xfId="0" applyNumberFormat="1" applyFont="1" applyBorder="1"/>
    <xf numFmtId="5" fontId="1" fillId="0" borderId="0" xfId="0" applyNumberFormat="1" applyFont="1" applyBorder="1"/>
    <xf numFmtId="5" fontId="1" fillId="0" borderId="22" xfId="0" applyNumberFormat="1" applyFont="1" applyBorder="1"/>
    <xf numFmtId="165" fontId="168" fillId="20" borderId="0" xfId="0" applyNumberFormat="1" applyFont="1" applyFill="1" applyBorder="1"/>
    <xf numFmtId="165" fontId="168" fillId="20" borderId="22" xfId="0" applyNumberFormat="1" applyFont="1" applyFill="1" applyBorder="1"/>
    <xf numFmtId="5" fontId="28" fillId="20" borderId="0" xfId="0" applyNumberFormat="1" applyFont="1" applyFill="1" applyBorder="1"/>
    <xf numFmtId="5" fontId="28" fillId="20" borderId="22" xfId="0" applyNumberFormat="1" applyFont="1" applyFill="1" applyBorder="1"/>
    <xf numFmtId="43" fontId="2" fillId="37" borderId="0" xfId="0" applyNumberFormat="1" applyFont="1" applyFill="1" applyBorder="1"/>
    <xf numFmtId="43" fontId="2" fillId="37" borderId="22" xfId="0" applyNumberFormat="1" applyFont="1" applyFill="1" applyBorder="1"/>
    <xf numFmtId="165" fontId="53" fillId="37" borderId="0" xfId="0" applyNumberFormat="1" applyFont="1" applyFill="1" applyBorder="1"/>
    <xf numFmtId="165" fontId="53" fillId="37" borderId="22" xfId="0" applyNumberFormat="1" applyFont="1" applyFill="1" applyBorder="1"/>
    <xf numFmtId="37" fontId="176" fillId="0" borderId="0" xfId="0" applyNumberFormat="1" applyFont="1" applyBorder="1" applyAlignment="1">
      <alignment horizontal="right"/>
    </xf>
    <xf numFmtId="0" fontId="1" fillId="0" borderId="0" xfId="1"/>
    <xf numFmtId="0" fontId="1" fillId="39" borderId="0" xfId="69" applyFont="1" applyFill="1" applyAlignment="1">
      <alignment vertical="top"/>
    </xf>
    <xf numFmtId="0" fontId="1" fillId="39" borderId="0" xfId="1" applyFill="1" applyAlignment="1">
      <alignment vertical="top"/>
    </xf>
    <xf numFmtId="0" fontId="1" fillId="39" borderId="0" xfId="1" applyFill="1"/>
    <xf numFmtId="0" fontId="81" fillId="39" borderId="0" xfId="69" applyFont="1" applyFill="1" applyAlignment="1">
      <alignment horizontal="left" vertical="top"/>
    </xf>
    <xf numFmtId="0" fontId="1" fillId="39" borderId="0" xfId="1" applyFont="1" applyFill="1" applyAlignment="1">
      <alignment vertical="top"/>
    </xf>
    <xf numFmtId="0" fontId="34" fillId="39" borderId="0" xfId="69" applyFont="1" applyFill="1" applyAlignment="1">
      <alignment vertical="top"/>
    </xf>
    <xf numFmtId="0" fontId="0" fillId="39" borderId="0" xfId="0" applyFill="1" applyAlignment="1">
      <alignment vertical="top"/>
    </xf>
    <xf numFmtId="0" fontId="194" fillId="39" borderId="0" xfId="0" applyFont="1" applyFill="1" applyAlignment="1">
      <alignment vertical="top"/>
    </xf>
    <xf numFmtId="0" fontId="195" fillId="39" borderId="0" xfId="0" applyFont="1" applyFill="1" applyAlignment="1">
      <alignment vertical="top"/>
    </xf>
    <xf numFmtId="0" fontId="194" fillId="39" borderId="82" xfId="0" applyFont="1" applyFill="1" applyBorder="1" applyAlignment="1">
      <alignment vertical="top"/>
    </xf>
    <xf numFmtId="9" fontId="194" fillId="39" borderId="82" xfId="0" applyNumberFormat="1" applyFont="1" applyFill="1" applyBorder="1" applyAlignment="1">
      <alignment vertical="top"/>
    </xf>
    <xf numFmtId="3" fontId="194" fillId="39" borderId="82" xfId="0" applyNumberFormat="1" applyFont="1" applyFill="1" applyBorder="1" applyAlignment="1">
      <alignment vertical="top"/>
    </xf>
    <xf numFmtId="2" fontId="1" fillId="0" borderId="0" xfId="1" applyNumberFormat="1" applyAlignment="1">
      <alignment horizontal="left"/>
    </xf>
    <xf numFmtId="0" fontId="1" fillId="0" borderId="0" xfId="1" applyNumberFormat="1" applyAlignment="1">
      <alignment horizontal="left"/>
    </xf>
    <xf numFmtId="1" fontId="1" fillId="0" borderId="0" xfId="1" applyNumberFormat="1" applyAlignment="1">
      <alignment horizontal="left"/>
    </xf>
    <xf numFmtId="0" fontId="1" fillId="0" borderId="0" xfId="1" applyFont="1"/>
    <xf numFmtId="180" fontId="1" fillId="0" borderId="0" xfId="1" applyNumberFormat="1" applyAlignment="1">
      <alignment horizontal="left"/>
    </xf>
    <xf numFmtId="49" fontId="1" fillId="0" borderId="0" xfId="1" applyNumberFormat="1"/>
    <xf numFmtId="0" fontId="196" fillId="0" borderId="0" xfId="1" applyFont="1" applyAlignment="1">
      <alignment wrapText="1"/>
    </xf>
    <xf numFmtId="0" fontId="196" fillId="0" borderId="0" xfId="1" applyFont="1" applyAlignment="1">
      <alignment horizontal="left" wrapText="1" indent="3"/>
    </xf>
    <xf numFmtId="0" fontId="196" fillId="0" borderId="0" xfId="1" applyFont="1" applyAlignment="1">
      <alignment horizontal="left" wrapText="1" indent="1"/>
    </xf>
    <xf numFmtId="0" fontId="198" fillId="0" borderId="0" xfId="1" applyFont="1" applyAlignment="1">
      <alignment wrapText="1"/>
    </xf>
    <xf numFmtId="0" fontId="0" fillId="39" borderId="87" xfId="0" applyFill="1" applyBorder="1" applyAlignment="1">
      <alignment vertical="top"/>
    </xf>
    <xf numFmtId="0" fontId="194" fillId="39" borderId="0" xfId="0" applyFont="1" applyFill="1" applyAlignment="1">
      <alignment vertical="top"/>
    </xf>
    <xf numFmtId="0" fontId="194" fillId="39" borderId="83" xfId="0" applyFont="1" applyFill="1" applyBorder="1" applyAlignment="1">
      <alignment vertical="top"/>
    </xf>
    <xf numFmtId="0" fontId="194" fillId="39" borderId="84" xfId="0" applyFont="1" applyFill="1" applyBorder="1" applyAlignment="1">
      <alignment vertical="top"/>
    </xf>
    <xf numFmtId="0" fontId="194" fillId="39" borderId="85" xfId="0" applyFont="1" applyFill="1" applyBorder="1" applyAlignment="1">
      <alignment vertical="top"/>
    </xf>
    <xf numFmtId="0" fontId="195" fillId="39" borderId="0" xfId="0" applyFont="1" applyFill="1" applyAlignment="1">
      <alignment vertical="top"/>
    </xf>
    <xf numFmtId="0" fontId="0" fillId="39" borderId="0" xfId="0" applyFill="1" applyAlignment="1">
      <alignment vertical="top"/>
    </xf>
    <xf numFmtId="0" fontId="0" fillId="39" borderId="86" xfId="0" applyFill="1" applyBorder="1" applyAlignment="1">
      <alignment vertical="top"/>
    </xf>
    <xf numFmtId="9" fontId="139" fillId="0" borderId="72" xfId="51" quotePrefix="1" applyNumberFormat="1" applyFont="1" applyFill="1" applyBorder="1" applyAlignment="1">
      <alignment horizontal="center" vertical="center"/>
    </xf>
    <xf numFmtId="9" fontId="139" fillId="0" borderId="58" xfId="51" applyNumberFormat="1" applyFont="1" applyFill="1" applyBorder="1" applyAlignment="1">
      <alignment horizontal="center" vertical="center"/>
    </xf>
    <xf numFmtId="0" fontId="2" fillId="0" borderId="71" xfId="49" applyFont="1" applyFill="1" applyBorder="1" applyAlignment="1">
      <alignment horizontal="left" vertical="center" wrapText="1"/>
    </xf>
    <xf numFmtId="0" fontId="2" fillId="0" borderId="19" xfId="49" applyFont="1" applyFill="1" applyBorder="1" applyAlignment="1">
      <alignment horizontal="left" vertical="center" wrapText="1"/>
    </xf>
    <xf numFmtId="9" fontId="139" fillId="0" borderId="72" xfId="51" applyNumberFormat="1" applyFont="1" applyFill="1" applyBorder="1" applyAlignment="1">
      <alignment horizontal="center" vertical="center"/>
    </xf>
    <xf numFmtId="0" fontId="2" fillId="0" borderId="67" xfId="49" applyFont="1" applyFill="1" applyBorder="1" applyAlignment="1">
      <alignment horizontal="left" vertical="center" wrapText="1"/>
    </xf>
    <xf numFmtId="0" fontId="2" fillId="0" borderId="67" xfId="49" applyFont="1" applyFill="1" applyBorder="1"/>
    <xf numFmtId="9" fontId="139" fillId="0" borderId="22" xfId="51" applyNumberFormat="1" applyFont="1" applyFill="1" applyBorder="1" applyAlignment="1">
      <alignment horizontal="center" vertical="center"/>
    </xf>
    <xf numFmtId="166" fontId="140" fillId="0" borderId="32" xfId="38" quotePrefix="1" applyNumberFormat="1" applyFont="1" applyFill="1" applyBorder="1" applyAlignment="1">
      <alignment horizontal="center" vertical="center"/>
    </xf>
    <xf numFmtId="166" fontId="140" fillId="0" borderId="23" xfId="38" quotePrefix="1" applyNumberFormat="1" applyFont="1" applyFill="1" applyBorder="1" applyAlignment="1">
      <alignment horizontal="center" vertical="center"/>
    </xf>
    <xf numFmtId="166" fontId="141" fillId="0" borderId="34" xfId="38" applyNumberFormat="1" applyFont="1" applyFill="1" applyBorder="1" applyAlignment="1">
      <alignment horizontal="center" vertical="center"/>
    </xf>
    <xf numFmtId="166" fontId="141" fillId="0" borderId="20" xfId="38" applyNumberFormat="1" applyFont="1" applyFill="1" applyBorder="1" applyAlignment="1">
      <alignment horizontal="center" vertical="center"/>
    </xf>
    <xf numFmtId="37" fontId="139" fillId="0" borderId="70" xfId="36" applyNumberFormat="1" applyFont="1" applyFill="1" applyBorder="1" applyAlignment="1">
      <alignment horizontal="center" vertical="center"/>
    </xf>
    <xf numFmtId="37" fontId="139" fillId="0" borderId="22" xfId="36" applyNumberFormat="1" applyFont="1" applyFill="1" applyBorder="1" applyAlignment="1">
      <alignment horizontal="center" vertical="center"/>
    </xf>
    <xf numFmtId="37" fontId="139" fillId="0" borderId="60" xfId="36" applyNumberFormat="1" applyFont="1" applyFill="1" applyBorder="1" applyAlignment="1">
      <alignment horizontal="center" vertical="center"/>
    </xf>
    <xf numFmtId="37" fontId="2" fillId="0" borderId="64" xfId="36" applyNumberFormat="1" applyFont="1" applyFill="1" applyBorder="1" applyAlignment="1">
      <alignment horizontal="left" vertical="center" wrapText="1"/>
    </xf>
    <xf numFmtId="37" fontId="2" fillId="0" borderId="19" xfId="36" applyNumberFormat="1" applyFont="1" applyFill="1" applyBorder="1" applyAlignment="1">
      <alignment horizontal="left" vertical="center" wrapText="1"/>
    </xf>
    <xf numFmtId="37" fontId="2" fillId="0" borderId="59" xfId="36" applyNumberFormat="1" applyFont="1" applyFill="1" applyBorder="1" applyAlignment="1">
      <alignment horizontal="left" vertical="center" wrapText="1"/>
    </xf>
    <xf numFmtId="9" fontId="139" fillId="0" borderId="34" xfId="51" applyNumberFormat="1" applyFont="1" applyFill="1" applyBorder="1" applyAlignment="1">
      <alignment horizontal="center" vertical="center"/>
    </xf>
    <xf numFmtId="0" fontId="139" fillId="0" borderId="19" xfId="49" applyFont="1" applyFill="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0" fillId="0" borderId="0" xfId="0" applyFill="1"/>
    <xf numFmtId="0" fontId="36" fillId="20" borderId="0" xfId="0" applyFont="1" applyFill="1" applyAlignment="1">
      <alignment horizontal="center"/>
    </xf>
    <xf numFmtId="37" fontId="36" fillId="29" borderId="1" xfId="0" applyNumberFormat="1" applyFont="1" applyFill="1" applyBorder="1" applyAlignment="1">
      <alignment horizontal="right"/>
    </xf>
    <xf numFmtId="37" fontId="36" fillId="29" borderId="0" xfId="0" applyNumberFormat="1" applyFont="1" applyFill="1" applyBorder="1" applyAlignment="1">
      <alignment horizontal="right"/>
    </xf>
    <xf numFmtId="37" fontId="36" fillId="29" borderId="22" xfId="0" applyNumberFormat="1" applyFont="1" applyFill="1" applyBorder="1" applyAlignment="1">
      <alignment horizontal="right"/>
    </xf>
  </cellXfs>
  <cellStyles count="70">
    <cellStyle name=" 1" xfId="2"/>
    <cellStyle name="_SUMMARY " xfId="3"/>
    <cellStyle name="0_Capex &amp; Depreciation " xfId="5"/>
    <cellStyle name="0_Valuing BP " xfId="6"/>
    <cellStyle name="20% - Accent1" xfId="7" builtinId="30" customBuiltin="1"/>
    <cellStyle name="20% - Accent2" xfId="8" builtinId="34" customBuiltin="1"/>
    <cellStyle name="20% - Accent3" xfId="9" builtinId="38" customBuiltin="1"/>
    <cellStyle name="20% - Accent4" xfId="10" builtinId="42" customBuiltin="1"/>
    <cellStyle name="20% - Accent5" xfId="11" builtinId="46" customBuiltin="1"/>
    <cellStyle name="20% - Accent6" xfId="12" builtinId="50" customBuiltin="1"/>
    <cellStyle name="40% - Accent1" xfId="13" builtinId="31" customBuiltin="1"/>
    <cellStyle name="40% - Accent2" xfId="14" builtinId="35" customBuiltin="1"/>
    <cellStyle name="40% - Accent3" xfId="15" builtinId="39" customBuiltin="1"/>
    <cellStyle name="40% - Accent4" xfId="16" builtinId="43" customBuiltin="1"/>
    <cellStyle name="40% - Accent5" xfId="17" builtinId="47" customBuiltin="1"/>
    <cellStyle name="40% - Accent6" xfId="18" builtinId="51" customBuiltin="1"/>
    <cellStyle name="60% - Accent1" xfId="19" builtinId="32" customBuiltin="1"/>
    <cellStyle name="60% - Accent2" xfId="20" builtinId="36" customBuiltin="1"/>
    <cellStyle name="60% - Accent3" xfId="21" builtinId="40" customBuiltin="1"/>
    <cellStyle name="60% - Accent4" xfId="22" builtinId="44" customBuiltin="1"/>
    <cellStyle name="60% - Accent5" xfId="23" builtinId="48" customBuiltin="1"/>
    <cellStyle name="60% - Accent6" xfId="24" builtinId="52" customBuiltin="1"/>
    <cellStyle name="Accent1" xfId="25" builtinId="29" customBuiltin="1"/>
    <cellStyle name="Accent2" xfId="26" builtinId="33" customBuiltin="1"/>
    <cellStyle name="Accent3" xfId="27" builtinId="37" customBuiltin="1"/>
    <cellStyle name="Accent4" xfId="28" builtinId="41" customBuiltin="1"/>
    <cellStyle name="Accent5" xfId="29" builtinId="45" customBuiltin="1"/>
    <cellStyle name="Accent6" xfId="30" builtinId="49" customBuiltin="1"/>
    <cellStyle name="Bad" xfId="31" builtinId="27" customBuiltin="1"/>
    <cellStyle name="c_HardInc " xfId="32"/>
    <cellStyle name="Calculation" xfId="33" builtinId="22" customBuiltin="1"/>
    <cellStyle name="Check Cell" xfId="34" builtinId="23" customBuiltin="1"/>
    <cellStyle name="Comma" xfId="35" builtinId="3"/>
    <cellStyle name="Comma 2" xfId="36"/>
    <cellStyle name="Currency" xfId="37" builtinId="4"/>
    <cellStyle name="Currency 2" xfId="38"/>
    <cellStyle name="Currency 3" xfId="39"/>
    <cellStyle name="Currency 4" xfId="68"/>
    <cellStyle name="Explanatory Text" xfId="40" builtinId="53" customBuiltin="1"/>
    <cellStyle name="Good" xfId="41" builtinId="26" customBuiltin="1"/>
    <cellStyle name="Heading 1" xfId="42" builtinId="16" customBuiltin="1"/>
    <cellStyle name="Heading 2" xfId="43" builtinId="17" customBuiltin="1"/>
    <cellStyle name="Heading 3" xfId="44" builtinId="18" customBuiltin="1"/>
    <cellStyle name="Heading 4" xfId="45" builtinId="19" customBuiltin="1"/>
    <cellStyle name="Input" xfId="46" builtinId="20" customBuiltin="1"/>
    <cellStyle name="Linked Cell" xfId="47" builtinId="24" customBuiltin="1"/>
    <cellStyle name="Neutral" xfId="48" builtinId="28" customBuiltin="1"/>
    <cellStyle name="Normal" xfId="0" builtinId="0"/>
    <cellStyle name="Normal 2" xfId="49"/>
    <cellStyle name="Normal 3" xfId="1"/>
    <cellStyle name="Normal 4" xfId="67"/>
    <cellStyle name="Normal_Bonus Depreciation Worksheets - 2013" xfId="50"/>
    <cellStyle name="Normal_DisclaimerSheet Samples" xfId="69"/>
    <cellStyle name="Normal_theHUNTER32" xfId="51"/>
    <cellStyle name="Note" xfId="52" builtinId="10" customBuiltin="1"/>
    <cellStyle name="Onedec_FT Valuation " xfId="53"/>
    <cellStyle name="Output" xfId="54" builtinId="21" customBuiltin="1"/>
    <cellStyle name="p " xfId="55"/>
    <cellStyle name="Percent" xfId="56" builtinId="5"/>
    <cellStyle name="Percent 2" xfId="57"/>
    <cellStyle name="RRSInstruction" xfId="4"/>
    <cellStyle name="s_HardInc " xfId="58"/>
    <cellStyle name="s_Valuation " xfId="59"/>
    <cellStyle name="ssp " xfId="60"/>
    <cellStyle name="Style 1" xfId="61"/>
    <cellStyle name="Title" xfId="62" builtinId="15" customBuiltin="1"/>
    <cellStyle name="Total" xfId="63" builtinId="25" customBuiltin="1"/>
    <cellStyle name="Warning Text" xfId="64" builtinId="11" customBuiltin="1"/>
    <cellStyle name="콤마 [0]_#3이설 견적_준공내역총괄표 " xfId="65"/>
    <cellStyle name="콤마_#3이설 견적_준공내역총괄표 " xfId="66"/>
  </cellStyles>
  <dxfs count="6">
    <dxf>
      <font>
        <i val="0"/>
        <condense val="0"/>
        <extend val="0"/>
        <color indexed="10"/>
      </font>
    </dxf>
    <dxf>
      <font>
        <i val="0"/>
        <condense val="0"/>
        <extend val="0"/>
        <color indexed="10"/>
      </font>
    </dxf>
    <dxf>
      <font>
        <i val="0"/>
        <condense val="0"/>
        <extend val="0"/>
        <color indexed="10"/>
      </font>
    </dxf>
    <dxf>
      <font>
        <i val="0"/>
        <condense val="0"/>
        <extend val="0"/>
        <color indexed="10"/>
      </font>
    </dxf>
    <dxf>
      <font>
        <i val="0"/>
        <condense val="0"/>
        <extend val="0"/>
        <color indexed="10"/>
      </font>
    </dxf>
    <dxf>
      <font>
        <i val="0"/>
        <condense val="0"/>
        <extend val="0"/>
        <color indexed="1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externalLinks/externalLink1.xml" Type="http://schemas.openxmlformats.org/officeDocument/2006/relationships/externalLink"/>
<Relationship Id="rId24" Target="externalLinks/externalLink2.xml" Type="http://schemas.openxmlformats.org/officeDocument/2006/relationships/externalLink"/>
<Relationship Id="rId25" Target="externalLinks/externalLink3.xml" Type="http://schemas.openxmlformats.org/officeDocument/2006/relationships/externalLink"/>
<Relationship Id="rId26" Target="externalLinks/externalLink4.xml" Type="http://schemas.openxmlformats.org/officeDocument/2006/relationships/externalLink"/>
<Relationship Id="rId27" Target="externalLinks/externalLink5.xml" Type="http://schemas.openxmlformats.org/officeDocument/2006/relationships/externalLink"/>
<Relationship Id="rId28" Target="externalLinks/externalLink6.xml" Type="http://schemas.openxmlformats.org/officeDocument/2006/relationships/externalLink"/>
<Relationship Id="rId29" Target="externalLinks/externalLink7.xml" Type="http://schemas.openxmlformats.org/officeDocument/2006/relationships/externalLink"/>
<Relationship Id="rId3" Target="worksheets/sheet3.xml" Type="http://schemas.openxmlformats.org/officeDocument/2006/relationships/worksheet"/>
<Relationship Id="rId30" Target="externalLinks/externalLink8.xml" Type="http://schemas.openxmlformats.org/officeDocument/2006/relationships/externalLink"/>
<Relationship Id="rId31" Target="externalLinks/externalLink9.xml" Type="http://schemas.openxmlformats.org/officeDocument/2006/relationships/externalLink"/>
<Relationship Id="rId32" Target="externalLinks/externalLink10.xml" Type="http://schemas.openxmlformats.org/officeDocument/2006/relationships/externalLink"/>
<Relationship Id="rId33" Target="externalLinks/externalLink11.xml" Type="http://schemas.openxmlformats.org/officeDocument/2006/relationships/externalLink"/>
<Relationship Id="rId34" Target="externalLinks/externalLink12.xml" Type="http://schemas.openxmlformats.org/officeDocument/2006/relationships/externalLink"/>
<Relationship Id="rId35" Target="externalLinks/externalLink13.xml" Type="http://schemas.openxmlformats.org/officeDocument/2006/relationships/externalLink"/>
<Relationship Id="rId36" Target="externalLinks/externalLink14.xml" Type="http://schemas.openxmlformats.org/officeDocument/2006/relationships/externalLink"/>
<Relationship Id="rId37" Target="externalLinks/externalLink15.xml" Type="http://schemas.openxmlformats.org/officeDocument/2006/relationships/externalLink"/>
<Relationship Id="rId38" Target="theme/theme1.xml" Type="http://schemas.openxmlformats.org/officeDocument/2006/relationships/theme"/>
<Relationship Id="rId39" Target="styles.xml" Type="http://schemas.openxmlformats.org/officeDocument/2006/relationships/styles"/>
<Relationship Id="rId4" Target="worksheets/sheet4.xml" Type="http://schemas.openxmlformats.org/officeDocument/2006/relationships/worksheet"/>
<Relationship Id="rId40" Target="sharedStrings.xml" Type="http://schemas.openxmlformats.org/officeDocument/2006/relationships/sharedStrings"/>
<Relationship Id="rId41" Target="calcChain.xml" Type="http://schemas.openxmlformats.org/officeDocument/2006/relationships/calcChain"/>
<Relationship Id="rId42" Target="../customXml/item1.xml" Type="http://schemas.openxmlformats.org/officeDocument/2006/relationships/customXml"/>
<Relationship Id="rId43" Target="../customXml/item2.xml" Type="http://schemas.openxmlformats.org/officeDocument/2006/relationships/customXml"/>
<Relationship Id="rId44"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28575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183</xdr:row>
      <xdr:rowOff>0</xdr:rowOff>
    </xdr:from>
    <xdr:to>
      <xdr:col>5</xdr:col>
      <xdr:colOff>1143000</xdr:colOff>
      <xdr:row>203</xdr:row>
      <xdr:rowOff>19050</xdr:rowOff>
    </xdr:to>
    <xdr:pic>
      <xdr:nvPicPr>
        <xdr:cNvPr id="7885825" name="Picture 1" descr="C:\Users\laml\AppData\Local\Temp\MercuryPriceRatingHistoryChart\VZ.N_2018_04_24_18_43_26.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91750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ER13/Independent_Rural%20Telcos/WIN/Models/WIN_Pending.xls" TargetMode="External" Type="http://schemas.microsoft.com/office/2006/relationships/xlExternalLinkPath/xlAlternateStartup"/>
</Relationships>

</file>

<file path=xl/externalLinks/_rels/externalLink4.xml.rels><?xml version="1.0" encoding="UTF-8" standalone="yes"?>
<Relationships xmlns="http://schemas.openxmlformats.org/package/2006/relationships">
<Relationship Id="rId1" Target="https://ny.matrix.ms.com/ER13/wireless/Towers/MODEL/AMT%20Morgan%20Stanley.xls" TargetMode="External" Type="http://schemas.openxmlformats.org/officeDocument/2006/relationships/externalLinkPath"/>
</Relationships>

</file>

<file path=xl/externalLinks/_rels/externalLink5.xml.rels><?xml version="1.0" encoding="UTF-8" standalone="yes"?>
<Relationships xmlns="http://schemas.openxmlformats.org/package/2006/relationships">
<Relationship Id="rId1" Target="ER13/wireless/Towers/MODEL/CCI%20Morgan%20Stanley_Pending.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https://ny.matrix.ms.com/Documents%20and%20Settings/warjohn/Local%20Settings/Temporary%20Internet%20Files/OLK1DA/Funded%20status%20Chart.xls" TargetMode="External" Type="http://schemas.openxmlformats.org/officeDocument/2006/relationships/externalLinkPath"/>
</Relationships>

</file>

<file path=xl/externalLinks/_rels/externalLink7.xml.rels><?xml version="1.0" encoding="UTF-8" standalone="yes"?>
<Relationships xmlns="http://schemas.openxmlformats.org/package/2006/relationships">
<Relationship Id="rId1" Target="/Documents%20and%20Settings/warjohn/Local%20Settings/Temporary%20Internet%20Files/OLK1DA/Funded%20status%20Chart.xls" TargetMode="External" Type="http://schemas.openxmlformats.org/officeDocument/2006/relationships/externalLinkPath"/>
</Relationships>

</file>

<file path=xl/externalLinks/_rels/externalLink8.xml.rels><?xml version="1.0" encoding="UTF-8" standalone="yes"?>
<Relationships xmlns="http://schemas.openxmlformats.org/package/2006/relationships">
<Relationship Id="rId1" Target="/Documents%20and%20Settings/agarwalp/Desktop/SBC%20Estimates%20Table.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ER13/Large%20Cap%20Telco/Cingular/Models/Cingular%20Estimates%20Table.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1.xml.rels><?xml version="1.0" encoding="UTF-8" standalone="yes"?>
<Relationships xmlns="http://schemas.openxmlformats.org/package/2006/relationships">
<Relationship Id="rId1" Target="https://ny.matrix.ms.com/Documents%20and%20Settings/warjohn/Desktop/Pension%20Analyzer_VZ.xls" TargetMode="External" Type="http://schemas.openxmlformats.org/officeDocument/2006/relationships/externalLinkPath"/>
</Relationships>

</file>

<file path=xl/externalLinks/_rels/externalLink12.xml.rels><?xml version="1.0" encoding="UTF-8" standalone="yes"?>
<Relationships xmlns="http://schemas.openxmlformats.org/package/2006/relationships">
<Relationship Id="rId1" Target="/Documents%20and%20Settings/warjohn/Desktop/Pension%20Analyzer_VZ.xls" TargetMode="External" Type="http://schemas.openxmlformats.org/officeDocument/2006/relationships/externalLinkPath"/>
</Relationships>

</file>

<file path=xl/externalLinks/_rels/externalLink13.xml.rels><?xml version="1.0" encoding="UTF-8" standalone="yes"?>
<Relationships xmlns="http://schemas.openxmlformats.org/package/2006/relationships">
<Relationship Id="rId1" Target="er13/Large%20Cap%20Telco/AIT/MODELS/AIT.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er13/Large%20Cap%20Telco/FON/MODELS/AITDATA.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er13/Large%20Cap%20Telco/FON/MODELS/GTEDATA.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Operating Leases tagged"/>
      <sheetName val="Good 12-00 (2)"/>
      <sheetName val="Good 11-36"/>
      <sheetName val="Good 11-50"/>
      <sheetName val="Sheet3 (5)"/>
      <sheetName val="WACC"/>
      <sheetName val="Sheet1"/>
      <sheetName val="Fixed Line Mkt"/>
      <sheetName val="Cash Flow"/>
      <sheetName val="upside_downside"/>
      <sheetName val="Income Statement"/>
      <sheetName val="Balance Sheet"/>
      <sheetName val="Valsum"/>
      <sheetName val="Risk-Reward_View_Chart"/>
      <sheetName val="variables"/>
      <sheetName val="DCF"/>
      <sheetName val="OP"/>
      <sheetName val="Inputs"/>
      <sheetName val="MWA RR"/>
      <sheetName val="Summary"/>
      <sheetName val="IS"/>
      <sheetName val="exh 11"/>
      <sheetName val="exh 14"/>
      <sheetName val="exh 12"/>
      <sheetName val="exh 10"/>
      <sheetName val="exh 1 and 5"/>
      <sheetName val="exh 15"/>
      <sheetName val="exh 3"/>
      <sheetName val="exh 9"/>
      <sheetName val="Total_Production"/>
      <sheetName val="RFS"/>
      <sheetName val="Corn_Uses"/>
      <sheetName val="US_Production"/>
      <sheetName val="IS Quarterly"/>
      <sheetName val="Sheet1 (2)"/>
      <sheetName val="1Q11 Preview"/>
      <sheetName val="2Q11 Preview"/>
      <sheetName val="Model"/>
      <sheetName val="Intrinsic Value"/>
      <sheetName val="Rev by Geo"/>
      <sheetName val="Exclusion List"/>
      <sheetName val="fin"/>
      <sheetName val="Report template"/>
      <sheetName val="Model (WIP)"/>
      <sheetName val="sales bkd"/>
      <sheetName val="Presentation"/>
      <sheetName val="Valuation"/>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Good 12-00 (2)"/>
      <sheetName val="Good 11-36"/>
      <sheetName val="Good 11-50"/>
      <sheetName val="Sheet3 (5)"/>
      <sheetName val="Inputs"/>
      <sheetName val="Interims"/>
      <sheetName val="Financial Statements"/>
      <sheetName val="FX"/>
      <sheetName val="CPB"/>
      <sheetName val="Total_Food_Promo"/>
      <sheetName val="CPB_2yr"/>
      <sheetName val="Summary"/>
      <sheetName val="Floater Demand"/>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WP Detail "/>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Sheet4"/>
      <sheetName val="ForeignStake"/>
      <sheetName val="Model"/>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 val="Charts"/>
      <sheetName val="Pension"/>
      <sheetName val="Walk"/>
      <sheetName val="Chart 6"/>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W-Cache"/>
      <sheetName val="__FDSCACHE__"/>
      <sheetName val="Valuation"/>
      <sheetName val="IS"/>
      <sheetName val="CFS"/>
      <sheetName val="BS"/>
      <sheetName val="Segments"/>
      <sheetName val="Segments (OLD)"/>
      <sheetName val="Segments OLD"/>
      <sheetName val="Value"/>
      <sheetName val="Deal Impact"/>
      <sheetName val="Global links"/>
      <sheetName val="As Reported 06"/>
      <sheetName val="Old Links"/>
      <sheetName val="Segments bef CT"/>
      <sheetName val="Valor IS"/>
      <sheetName val="OLD Segments"/>
      <sheetName val="AT Comm Sppt Svs"/>
      <sheetName val="AT Wireline"/>
      <sheetName val="VCG Wireline"/>
      <sheetName val="Pension"/>
      <sheetName val="OPEB"/>
      <sheetName val="Cash Taxes"/>
      <sheetName val="Sheet1"/>
      <sheetName val="Charts"/>
      <sheetName val="Links"/>
      <sheetName val="Inputs"/>
      <sheetName val="MW Valuation"/>
      <sheetName val="mwareDates"/>
      <sheetName val="MWA RR"/>
      <sheetName val="mwareSettings"/>
      <sheetName val="IS (PF for REIT)"/>
      <sheetName val="ImportantDisclosures"/>
      <sheetName val="IndexInformation"/>
      <sheetName val="ModPubIndex"/>
      <sheetName val="WIN_Pending"/>
      <sheetName val="IS (2)"/>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__FDSCACHE__"/>
      <sheetName val="IS"/>
      <sheetName val="BS"/>
      <sheetName val="CF"/>
      <sheetName val="DCFOld"/>
      <sheetName val="Lease"/>
      <sheetName val="Valuation"/>
      <sheetName val="Markets"/>
      <sheetName val="Estimates"/>
      <sheetName val="Core Growth Analysis"/>
      <sheetName val="Exhibits"/>
      <sheetName val="Links"/>
      <sheetName val="mwareSettings"/>
      <sheetName val="mwareDates"/>
      <sheetName val="MWA RR"/>
      <sheetName val="__APW_ACTIVE_FIELD_RESTORE__"/>
      <sheetName val="MW-Cache"/>
      <sheetName val="NY UPLOAD shadow"/>
      <sheetName val="mStartup"/>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IS"/>
      <sheetName val="BS"/>
      <sheetName val="MW-Cache"/>
      <sheetName val="__FDSCACHE__"/>
      <sheetName val="Links"/>
      <sheetName val="CF"/>
      <sheetName val="Valuation"/>
      <sheetName val="2Q10"/>
      <sheetName val="Lease"/>
      <sheetName val="Exhibits"/>
      <sheetName val="mwareDates"/>
      <sheetName val="MWA RR"/>
      <sheetName val="mwareSettings"/>
      <sheetName val="NY UPLOAD shadow"/>
      <sheetName val="mStartup"/>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500"/>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500"/>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ick Comment"/>
      <sheetName val="Table for note"/>
      <sheetName val="Data for charts"/>
      <sheetName val="Charts"/>
      <sheetName val="PF IS"/>
      <sheetName val="Guidance"/>
      <sheetName val="Pro Forma"/>
      <sheetName val="BLS vs SBC"/>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Wireless"/>
      <sheetName val="Quick Comment"/>
      <sheetName val="Data for Charts Wireless"/>
      <sheetName val="Charts Wireless"/>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GWP"/>
      <sheetName val="Sheet1"/>
      <sheetName val="Scenario"/>
      <sheetName val="ImportantDisclosures"/>
      <sheetName val="IndexInformation"/>
      <sheetName val="Income"/>
      <sheetName val="Euro vs. PM"/>
      <sheetName val="Ruble"/>
      <sheetName val="MS_IRI_Methodology"/>
      <sheetName val="MARKET_SHARE ($)_RAW_DATA"/>
      <sheetName val="NEXXUS_RAW_DATA"/>
      <sheetName val="HAIR_CARE_MARKET SHARE ROLL-UP"/>
      <sheetName val="TOTAL_ACV_DOLLAR_SALES"/>
      <sheetName val="TimeSeries"/>
      <sheetName val="Valuation Analyzer"/>
      <sheetName val="Income Statement"/>
      <sheetName val="Margins"/>
      <sheetName val="Comps"/>
      <sheetName val="Switches"/>
      <sheetName val="SSB Nielsen Sales"/>
      <sheetName val="EBITDA"/>
      <sheetName val="GWP-WLine"/>
      <sheetName val="TS_Stnd_Dev_Band"/>
      <sheetName val="Print "/>
      <sheetName val="Lookup"/>
      <sheetName val="Input"/>
      <sheetName val="99 cons YTD"/>
      <sheetName val="KPN"/>
      <sheetName val="Realizations vs Average"/>
      <sheetName val="summary"/>
      <sheetName val="B"/>
      <sheetName val="Ratios"/>
      <sheetName val="C"/>
      <sheetName val="Oil Consumption – barrels"/>
      <sheetName val="rev change analysis"/>
      <sheetName val="SOP"/>
      <sheetName val="O1000"/>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Pension"/>
      <sheetName val="OPEB"/>
      <sheetName val="mwareSettings"/>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Pension"/>
      <sheetName val="OPEB"/>
      <sheetName val="mwareSettings"/>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ITDATA"/>
      <sheetName val="Summary Stats"/>
      <sheetName val="EBS Strip"/>
      <sheetName val="Output"/>
      <sheetName val="EPS Calcs"/>
      <sheetName val="Cash Flow Statement"/>
      <sheetName val="SoftwareAccountingChange"/>
      <sheetName val="ModelBook IS A's"/>
      <sheetName val="ModelBook IS Q's"/>
      <sheetName val="ModelBook CF"/>
      <sheetName val="FASSTEST"/>
      <sheetName val="Annual"/>
      <sheetName val="INTEGRATION BREAKDOWN"/>
      <sheetName val="Calendarized"/>
      <sheetName val="PRODUCTS"/>
      <sheetName val="Data"/>
      <sheetName val="BLSDATA"/>
      <sheetName val="Consolidated"/>
      <sheetName val="FX"/>
      <sheetName val="Fam"/>
      <sheetName val="Transaction Summary"/>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ITDATA"/>
      <sheetName val="Financials"/>
      <sheetName val="WACC"/>
      <sheetName val="GAAP Financial Statements"/>
      <sheetName val="MultipleSecurities"/>
      <sheetName val="Analysis"/>
      <sheetName val="#REF"/>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TEDATA"/>
      <sheetName val="AITDATA"/>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4.vml" Type="http://schemas.openxmlformats.org/officeDocument/2006/relationships/vmlDrawing"/>
<Relationship Id="rId3" Target="../comments14.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15.vml" Type="http://schemas.openxmlformats.org/officeDocument/2006/relationships/vmlDrawing"/>
<Relationship Id="rId3" Target="../comments15.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16.vml" Type="http://schemas.openxmlformats.org/officeDocument/2006/relationships/vmlDrawing"/>
<Relationship Id="rId3" Target="../comments16.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vmlDrawing17.vml" Type="http://schemas.openxmlformats.org/officeDocument/2006/relationships/vmlDrawing"/>
<Relationship Id="rId3" Target="../comments17.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vmlDrawing18.vml" Type="http://schemas.openxmlformats.org/officeDocument/2006/relationships/vmlDrawing"/>
<Relationship Id="rId3" Target="../comments18.xml" Type="http://schemas.openxmlformats.org/officeDocument/2006/relationships/comments"/>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CP236"/>
  <sheetViews>
    <sheetView showGridLines="0" workbookViewId="0">
      <pane xSplit="9" ySplit="4" topLeftCell="J28" activePane="bottomRight" state="frozen"/>
      <selection activeCell="N43" sqref="N43"/>
      <selection pane="topRight" activeCell="N43" sqref="N43"/>
      <selection pane="bottomLeft" activeCell="N43" sqref="N43"/>
      <selection pane="bottomRight" activeCell="Q59" sqref="Q59"/>
    </sheetView>
  </sheetViews>
  <sheetFormatPr defaultColWidth="11.44140625" defaultRowHeight="15" outlineLevelRow="1" outlineLevelCol="1"/>
  <cols>
    <col min="1" max="1" width="50.88671875" customWidth="1"/>
    <col min="2" max="2" width="3.109375" customWidth="1"/>
    <col min="3" max="3" width="11.6640625" customWidth="1" outlineLevel="1"/>
    <col min="4" max="4" width="14.109375" customWidth="1" outlineLevel="1"/>
    <col min="5" max="6" width="9.109375" customWidth="1" outlineLevel="1"/>
    <col min="7" max="7" width="12.88671875" customWidth="1" outlineLevel="1"/>
    <col min="8" max="9" width="12.6640625" customWidth="1" outlineLevel="1"/>
    <col min="10" max="18" width="11.109375" customWidth="1"/>
    <col min="19" max="30" width="11.6640625" customWidth="1" outlineLevel="1"/>
    <col min="31" max="31" width="9.88671875" customWidth="1" collapsed="1"/>
    <col min="32" max="32" width="8.44140625" customWidth="1"/>
    <col min="33" max="33" width="6.33203125" customWidth="1"/>
    <col min="34" max="41" width="11.6640625" customWidth="1" outlineLevel="1"/>
    <col min="42" max="42" width="11.6640625" customWidth="1" outlineLevel="1" collapsed="1"/>
    <col min="43" max="45" width="11.6640625" customWidth="1" outlineLevel="1"/>
    <col min="46" max="46" width="11.6640625" customWidth="1" outlineLevel="1" collapsed="1"/>
    <col min="47" max="51" width="11.6640625" customWidth="1" outlineLevel="1"/>
    <col min="52" max="52" width="12.6640625" customWidth="1" outlineLevel="1"/>
    <col min="53" max="53" width="12.109375" customWidth="1" outlineLevel="1"/>
    <col min="54" max="54" width="11.109375" customWidth="1" outlineLevel="1" collapsed="1"/>
    <col min="55" max="57" width="11.109375" customWidth="1" outlineLevel="1"/>
    <col min="58" max="58" width="11.109375" customWidth="1" collapsed="1"/>
    <col min="59" max="68" width="11.109375" customWidth="1"/>
    <col min="69" max="69" width="10.6640625" customWidth="1"/>
    <col min="70" max="71" width="11.109375" customWidth="1"/>
    <col min="72" max="72" width="12.44140625" customWidth="1"/>
    <col min="73" max="73" width="11.109375" customWidth="1"/>
    <col min="74" max="75" width="12.6640625" customWidth="1" outlineLevel="1"/>
    <col min="76" max="76" width="15" customWidth="1" outlineLevel="1"/>
    <col min="77" max="77" width="12" customWidth="1" outlineLevel="1"/>
    <col min="78" max="78" width="13.33203125" customWidth="1" collapsed="1"/>
    <col min="79" max="94" width="11.44140625" customWidth="1"/>
    <col min="95" max="95" width="56.109375" customWidth="1"/>
    <col min="96" max="96" width="11.44140625" customWidth="1"/>
    <col min="97" max="97" width="29.5546875" customWidth="1"/>
  </cols>
  <sheetData>
    <row r="1" spans="1:94">
      <c r="A1" s="1" t="s">
        <v>900</v>
      </c>
      <c r="B1" s="2"/>
      <c r="C1" s="2"/>
      <c r="D1" s="2"/>
      <c r="E1" s="2"/>
      <c r="F1" s="2"/>
      <c r="G1" s="2"/>
      <c r="H1" s="2"/>
      <c r="I1" s="3"/>
      <c r="J1" s="3"/>
      <c r="K1" s="3"/>
      <c r="L1" s="3"/>
      <c r="M1" s="3"/>
      <c r="N1" s="5"/>
      <c r="O1" s="5"/>
      <c r="P1" s="5"/>
      <c r="Q1" s="5"/>
      <c r="R1" s="5"/>
      <c r="S1" s="2"/>
      <c r="T1" s="2"/>
      <c r="U1" s="2"/>
      <c r="V1" s="2"/>
      <c r="W1" s="2"/>
      <c r="X1" s="2"/>
      <c r="Y1" s="2"/>
      <c r="Z1" s="2"/>
      <c r="AA1" s="2"/>
      <c r="AB1" s="2"/>
      <c r="AC1" s="2"/>
      <c r="AD1" s="2"/>
      <c r="AE1" s="2"/>
      <c r="AF1" s="6"/>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row>
    <row r="2" spans="1:94">
      <c r="A2" s="8"/>
      <c r="B2" s="8"/>
      <c r="C2" s="8"/>
      <c r="D2" s="9">
        <v>1996</v>
      </c>
      <c r="E2" s="9">
        <v>1997</v>
      </c>
      <c r="F2" s="9">
        <v>1998</v>
      </c>
      <c r="G2" s="9">
        <v>1999</v>
      </c>
      <c r="H2" s="9">
        <v>2000</v>
      </c>
      <c r="I2" s="9">
        <v>2001</v>
      </c>
      <c r="J2" s="9">
        <v>2002</v>
      </c>
      <c r="K2" s="9">
        <v>2003</v>
      </c>
      <c r="L2" s="9">
        <v>2004</v>
      </c>
      <c r="M2" s="9">
        <v>2005</v>
      </c>
      <c r="N2" s="9">
        <v>2006</v>
      </c>
      <c r="O2" s="9" t="str">
        <f>$G2+COUNTA($G2:N2)&amp;"E"</f>
        <v>2007E</v>
      </c>
      <c r="P2" s="9" t="str">
        <f>$G2+COUNTA($G2:O2)&amp;"E"</f>
        <v>2008E</v>
      </c>
      <c r="Q2" s="9" t="str">
        <f>$G2+COUNTA($G2:P2)&amp;"E"</f>
        <v>2009E</v>
      </c>
      <c r="R2" s="9" t="str">
        <f>$G2+COUNTA($G2:Q2)&amp;"E"</f>
        <v>2010E</v>
      </c>
      <c r="S2" s="9"/>
      <c r="T2" s="8"/>
      <c r="U2" s="8"/>
      <c r="V2" s="8"/>
      <c r="W2" s="8"/>
      <c r="X2" s="8"/>
      <c r="Y2" s="8"/>
      <c r="Z2" s="8"/>
      <c r="AA2" s="8"/>
      <c r="AB2" s="8"/>
      <c r="AC2" s="8"/>
      <c r="AD2" s="8"/>
      <c r="AE2" s="8"/>
      <c r="AF2" s="10" t="s">
        <v>901</v>
      </c>
      <c r="AG2" s="2"/>
      <c r="AH2" s="9" t="s">
        <v>902</v>
      </c>
      <c r="AI2" s="9" t="s">
        <v>903</v>
      </c>
      <c r="AJ2" s="9" t="s">
        <v>904</v>
      </c>
      <c r="AK2" s="9" t="s">
        <v>905</v>
      </c>
      <c r="AL2" s="9" t="s">
        <v>906</v>
      </c>
      <c r="AM2" s="9" t="s">
        <v>907</v>
      </c>
      <c r="AN2" s="9" t="s">
        <v>908</v>
      </c>
      <c r="AO2" s="9" t="s">
        <v>909</v>
      </c>
      <c r="AP2" s="9" t="s">
        <v>910</v>
      </c>
      <c r="AQ2" s="9" t="s">
        <v>911</v>
      </c>
      <c r="AR2" s="9" t="s">
        <v>912</v>
      </c>
      <c r="AS2" s="9" t="s">
        <v>913</v>
      </c>
      <c r="AT2" s="9" t="s">
        <v>914</v>
      </c>
      <c r="AU2" s="9" t="s">
        <v>915</v>
      </c>
      <c r="AV2" s="9" t="s">
        <v>916</v>
      </c>
      <c r="AW2" s="9" t="s">
        <v>917</v>
      </c>
      <c r="AX2" s="9" t="s">
        <v>918</v>
      </c>
      <c r="AY2" s="9" t="s">
        <v>919</v>
      </c>
      <c r="AZ2" s="9" t="s">
        <v>920</v>
      </c>
      <c r="BA2" s="9" t="s">
        <v>921</v>
      </c>
      <c r="BB2" s="9" t="s">
        <v>922</v>
      </c>
      <c r="BC2" s="9" t="s">
        <v>923</v>
      </c>
      <c r="BD2" s="9" t="s">
        <v>924</v>
      </c>
      <c r="BE2" s="9" t="s">
        <v>925</v>
      </c>
      <c r="BF2" s="11" t="s">
        <v>926</v>
      </c>
      <c r="BG2" s="9" t="s">
        <v>927</v>
      </c>
      <c r="BH2" s="9" t="s">
        <v>928</v>
      </c>
      <c r="BI2" s="9" t="s">
        <v>929</v>
      </c>
      <c r="BJ2" s="11" t="s">
        <v>930</v>
      </c>
      <c r="BK2" s="9" t="s">
        <v>931</v>
      </c>
      <c r="BL2" s="9" t="s">
        <v>932</v>
      </c>
      <c r="BM2" s="9" t="s">
        <v>933</v>
      </c>
      <c r="BN2" s="11" t="s">
        <v>934</v>
      </c>
      <c r="BO2" s="9" t="s">
        <v>935</v>
      </c>
      <c r="BP2" s="9" t="s">
        <v>936</v>
      </c>
      <c r="BQ2" s="9" t="s">
        <v>937</v>
      </c>
      <c r="BR2" s="11" t="e">
        <v>#REF!</v>
      </c>
      <c r="BS2" s="9" t="e">
        <v>#REF!</v>
      </c>
      <c r="BT2" s="9" t="e">
        <v>#REF!</v>
      </c>
      <c r="BU2" s="9" t="e">
        <v>#REF!</v>
      </c>
      <c r="BV2" s="12" t="s">
        <v>938</v>
      </c>
      <c r="BW2" s="12" t="s">
        <v>939</v>
      </c>
      <c r="BX2" s="12" t="s">
        <v>940</v>
      </c>
      <c r="BY2" s="12" t="s">
        <v>941</v>
      </c>
      <c r="BZ2" s="12" t="s">
        <v>942</v>
      </c>
      <c r="CA2" s="12"/>
      <c r="CB2" s="12"/>
      <c r="CC2" s="12"/>
      <c r="CD2" s="12"/>
      <c r="CE2" s="12"/>
      <c r="CF2" s="12"/>
      <c r="CG2" s="12"/>
      <c r="CH2" s="12"/>
      <c r="CI2" s="12"/>
      <c r="CJ2" s="12"/>
      <c r="CK2" s="12"/>
      <c r="CL2" s="12"/>
      <c r="CM2" s="12"/>
      <c r="CN2" s="12"/>
      <c r="CO2" s="12"/>
      <c r="CP2" s="12"/>
    </row>
    <row r="3" spans="1:94">
      <c r="A3" s="1" t="s">
        <v>943</v>
      </c>
      <c r="B3" s="2"/>
      <c r="C3" s="2"/>
      <c r="D3" s="13"/>
      <c r="E3" s="14" t="e">
        <f>ROUND(E94,2)</f>
        <v>#REF!</v>
      </c>
      <c r="F3" s="14" t="e">
        <f>ROUND(F94,2)</f>
        <v>#REF!</v>
      </c>
      <c r="G3" s="14" t="e">
        <f t="shared" ref="G3:R3" si="0">G94</f>
        <v>#REF!</v>
      </c>
      <c r="H3" s="14" t="e">
        <f t="shared" si="0"/>
        <v>#REF!</v>
      </c>
      <c r="I3" s="14" t="e">
        <f t="shared" si="0"/>
        <v>#REF!</v>
      </c>
      <c r="J3" s="15" t="e">
        <f t="shared" si="0"/>
        <v>#REF!</v>
      </c>
      <c r="K3" s="15" t="e">
        <f t="shared" si="0"/>
        <v>#REF!</v>
      </c>
      <c r="L3" s="15" t="e">
        <f t="shared" si="0"/>
        <v>#REF!</v>
      </c>
      <c r="M3" s="15" t="e">
        <f t="shared" si="0"/>
        <v>#REF!</v>
      </c>
      <c r="N3" s="17" t="e">
        <f t="shared" si="0"/>
        <v>#REF!</v>
      </c>
      <c r="O3" s="17" t="e">
        <f t="shared" si="0"/>
        <v>#REF!</v>
      </c>
      <c r="P3" s="17" t="e">
        <f t="shared" si="0"/>
        <v>#REF!</v>
      </c>
      <c r="Q3" s="17" t="e">
        <f t="shared" si="0"/>
        <v>#REF!</v>
      </c>
      <c r="R3" s="17" t="e">
        <f t="shared" si="0"/>
        <v>#REF!</v>
      </c>
      <c r="S3" s="7"/>
      <c r="T3" s="7"/>
      <c r="U3" s="7"/>
      <c r="V3" s="7"/>
      <c r="W3" s="7"/>
      <c r="X3" s="7"/>
      <c r="Y3" s="7"/>
      <c r="Z3" s="7"/>
      <c r="AA3" s="7"/>
      <c r="AB3" s="7"/>
      <c r="AC3" s="7"/>
      <c r="AD3" s="7"/>
      <c r="AE3" s="7"/>
      <c r="AF3" s="18" t="s">
        <v>944</v>
      </c>
      <c r="AG3" s="2"/>
      <c r="AH3" s="15" t="e">
        <f t="shared" ref="AH3:BI3" si="1">ROUND(AH94,2)</f>
        <v>#REF!</v>
      </c>
      <c r="AI3" s="15" t="e">
        <f t="shared" si="1"/>
        <v>#REF!</v>
      </c>
      <c r="AJ3" s="15" t="e">
        <f t="shared" si="1"/>
        <v>#REF!</v>
      </c>
      <c r="AK3" s="15" t="e">
        <f t="shared" si="1"/>
        <v>#REF!</v>
      </c>
      <c r="AL3" s="15" t="e">
        <f t="shared" si="1"/>
        <v>#REF!</v>
      </c>
      <c r="AM3" s="15" t="e">
        <f t="shared" si="1"/>
        <v>#REF!</v>
      </c>
      <c r="AN3" s="15" t="e">
        <f t="shared" si="1"/>
        <v>#REF!</v>
      </c>
      <c r="AO3" s="15" t="e">
        <f t="shared" si="1"/>
        <v>#REF!</v>
      </c>
      <c r="AP3" s="15" t="e">
        <f t="shared" si="1"/>
        <v>#REF!</v>
      </c>
      <c r="AQ3" s="15" t="e">
        <f t="shared" si="1"/>
        <v>#REF!</v>
      </c>
      <c r="AR3" s="15" t="e">
        <f t="shared" si="1"/>
        <v>#REF!</v>
      </c>
      <c r="AS3" s="15" t="e">
        <f t="shared" si="1"/>
        <v>#REF!</v>
      </c>
      <c r="AT3" s="15" t="e">
        <f t="shared" si="1"/>
        <v>#REF!</v>
      </c>
      <c r="AU3" s="15" t="e">
        <f t="shared" si="1"/>
        <v>#REF!</v>
      </c>
      <c r="AV3" s="15" t="e">
        <f t="shared" si="1"/>
        <v>#REF!</v>
      </c>
      <c r="AW3" s="15" t="e">
        <f t="shared" si="1"/>
        <v>#REF!</v>
      </c>
      <c r="AX3" s="15" t="e">
        <f t="shared" si="1"/>
        <v>#REF!</v>
      </c>
      <c r="AY3" s="15" t="e">
        <f t="shared" si="1"/>
        <v>#REF!</v>
      </c>
      <c r="AZ3" s="15" t="e">
        <f t="shared" si="1"/>
        <v>#REF!</v>
      </c>
      <c r="BA3" s="15" t="e">
        <f t="shared" si="1"/>
        <v>#REF!</v>
      </c>
      <c r="BB3" s="15" t="e">
        <f t="shared" si="1"/>
        <v>#REF!</v>
      </c>
      <c r="BC3" s="15" t="e">
        <f t="shared" si="1"/>
        <v>#REF!</v>
      </c>
      <c r="BD3" s="15" t="e">
        <f t="shared" si="1"/>
        <v>#REF!</v>
      </c>
      <c r="BE3" s="15" t="e">
        <f t="shared" si="1"/>
        <v>#REF!</v>
      </c>
      <c r="BF3" s="19" t="e">
        <f t="shared" si="1"/>
        <v>#REF!</v>
      </c>
      <c r="BG3" s="15" t="e">
        <f t="shared" si="1"/>
        <v>#REF!</v>
      </c>
      <c r="BH3" s="15" t="e">
        <f t="shared" si="1"/>
        <v>#REF!</v>
      </c>
      <c r="BI3" s="15" t="e">
        <f t="shared" si="1"/>
        <v>#REF!</v>
      </c>
      <c r="BJ3" s="19" t="e">
        <f t="shared" ref="BJ3:BU3" si="2">BJ94</f>
        <v>#REF!</v>
      </c>
      <c r="BK3" s="15" t="e">
        <f t="shared" si="2"/>
        <v>#REF!</v>
      </c>
      <c r="BL3" s="15" t="e">
        <f t="shared" si="2"/>
        <v>#REF!</v>
      </c>
      <c r="BM3" s="15" t="e">
        <f t="shared" si="2"/>
        <v>#REF!</v>
      </c>
      <c r="BN3" s="19" t="e">
        <f t="shared" si="2"/>
        <v>#REF!</v>
      </c>
      <c r="BO3" s="15" t="e">
        <f t="shared" si="2"/>
        <v>#REF!</v>
      </c>
      <c r="BP3" s="20" t="e">
        <f t="shared" si="2"/>
        <v>#REF!</v>
      </c>
      <c r="BQ3" s="20" t="e">
        <f t="shared" si="2"/>
        <v>#REF!</v>
      </c>
      <c r="BR3" s="21" t="e">
        <f t="shared" si="2"/>
        <v>#REF!</v>
      </c>
      <c r="BS3" s="22" t="e">
        <f t="shared" si="2"/>
        <v>#REF!</v>
      </c>
      <c r="BT3" s="22" t="e">
        <f t="shared" si="2"/>
        <v>#REF!</v>
      </c>
      <c r="BU3" s="22" t="e">
        <f t="shared" si="2"/>
        <v>#REF!</v>
      </c>
      <c r="BV3" s="2"/>
      <c r="BW3" s="2"/>
      <c r="BX3" s="2"/>
      <c r="BY3" s="23" t="e">
        <f>L3-SUM(BJ3:BM3)</f>
        <v>#REF!</v>
      </c>
      <c r="BZ3" s="23" t="e">
        <f>N3-SUM(BR3:BU3)</f>
        <v>#REF!</v>
      </c>
      <c r="CA3" s="2"/>
      <c r="CB3" s="2"/>
      <c r="CC3" s="2"/>
      <c r="CD3" s="2"/>
      <c r="CE3" s="2"/>
      <c r="CF3" s="2"/>
      <c r="CG3" s="2"/>
      <c r="CH3" s="2"/>
      <c r="CI3" s="2"/>
      <c r="CJ3" s="2"/>
      <c r="CK3" s="2"/>
      <c r="CL3" s="2"/>
      <c r="CM3" s="2"/>
      <c r="CN3" s="2"/>
      <c r="CO3" s="2"/>
      <c r="CP3" s="2"/>
    </row>
    <row r="4" spans="1:94">
      <c r="A4" s="24" t="s">
        <v>945</v>
      </c>
      <c r="B4" s="6"/>
      <c r="C4" s="6"/>
      <c r="D4" s="25"/>
      <c r="E4" s="25"/>
      <c r="F4" s="26" t="e">
        <f>F3/E3-1</f>
        <v>#REF!</v>
      </c>
      <c r="G4" s="26" t="e">
        <f t="shared" ref="G4:R4" si="3">G95</f>
        <v>#REF!</v>
      </c>
      <c r="H4" s="26" t="e">
        <f t="shared" si="3"/>
        <v>#REF!</v>
      </c>
      <c r="I4" s="26" t="e">
        <f t="shared" si="3"/>
        <v>#REF!</v>
      </c>
      <c r="J4" s="27" t="e">
        <f t="shared" si="3"/>
        <v>#REF!</v>
      </c>
      <c r="K4" s="27" t="e">
        <f t="shared" si="3"/>
        <v>#REF!</v>
      </c>
      <c r="L4" s="27" t="e">
        <f t="shared" si="3"/>
        <v>#REF!</v>
      </c>
      <c r="M4" s="27" t="e">
        <f t="shared" si="3"/>
        <v>#REF!</v>
      </c>
      <c r="N4" s="29" t="e">
        <f t="shared" si="3"/>
        <v>#REF!</v>
      </c>
      <c r="O4" s="29" t="e">
        <f t="shared" si="3"/>
        <v>#REF!</v>
      </c>
      <c r="P4" s="29" t="e">
        <f t="shared" si="3"/>
        <v>#REF!</v>
      </c>
      <c r="Q4" s="29" t="e">
        <f t="shared" si="3"/>
        <v>#REF!</v>
      </c>
      <c r="R4" s="29" t="e">
        <f t="shared" si="3"/>
        <v>#REF!</v>
      </c>
      <c r="S4" s="30"/>
      <c r="T4" s="31"/>
      <c r="U4" s="31"/>
      <c r="V4" s="31"/>
      <c r="W4" s="31"/>
      <c r="X4" s="31"/>
      <c r="Y4" s="31"/>
      <c r="Z4" s="31"/>
      <c r="AA4" s="31"/>
      <c r="AB4" s="31"/>
      <c r="AC4" s="31"/>
      <c r="AD4" s="31"/>
      <c r="AE4" s="31"/>
      <c r="AF4" s="32" t="e">
        <f>(R3/M3)^(1/5)-1</f>
        <v>#REF!</v>
      </c>
      <c r="AG4" s="2"/>
      <c r="AH4" s="30"/>
      <c r="AI4" s="30"/>
      <c r="AJ4" s="30"/>
      <c r="AK4" s="30"/>
      <c r="AL4" s="30" t="e">
        <f t="shared" ref="AL4:BU4" si="4">AL3/AH3-1</f>
        <v>#REF!</v>
      </c>
      <c r="AM4" s="30" t="e">
        <f t="shared" si="4"/>
        <v>#REF!</v>
      </c>
      <c r="AN4" s="30" t="e">
        <f t="shared" si="4"/>
        <v>#REF!</v>
      </c>
      <c r="AO4" s="30" t="e">
        <f t="shared" si="4"/>
        <v>#REF!</v>
      </c>
      <c r="AP4" s="27" t="e">
        <f t="shared" si="4"/>
        <v>#REF!</v>
      </c>
      <c r="AQ4" s="27" t="e">
        <f t="shared" si="4"/>
        <v>#REF!</v>
      </c>
      <c r="AR4" s="27" t="e">
        <f t="shared" si="4"/>
        <v>#REF!</v>
      </c>
      <c r="AS4" s="27" t="e">
        <f t="shared" si="4"/>
        <v>#REF!</v>
      </c>
      <c r="AT4" s="27" t="e">
        <f t="shared" si="4"/>
        <v>#REF!</v>
      </c>
      <c r="AU4" s="27" t="e">
        <f t="shared" si="4"/>
        <v>#REF!</v>
      </c>
      <c r="AV4" s="27" t="e">
        <f t="shared" si="4"/>
        <v>#REF!</v>
      </c>
      <c r="AW4" s="27" t="e">
        <f t="shared" si="4"/>
        <v>#REF!</v>
      </c>
      <c r="AX4" s="27" t="e">
        <f t="shared" si="4"/>
        <v>#REF!</v>
      </c>
      <c r="AY4" s="27" t="e">
        <f t="shared" si="4"/>
        <v>#REF!</v>
      </c>
      <c r="AZ4" s="27" t="e">
        <f t="shared" si="4"/>
        <v>#REF!</v>
      </c>
      <c r="BA4" s="27" t="e">
        <f t="shared" si="4"/>
        <v>#REF!</v>
      </c>
      <c r="BB4" s="27" t="e">
        <f t="shared" si="4"/>
        <v>#REF!</v>
      </c>
      <c r="BC4" s="27" t="e">
        <f t="shared" si="4"/>
        <v>#REF!</v>
      </c>
      <c r="BD4" s="27" t="e">
        <f t="shared" si="4"/>
        <v>#REF!</v>
      </c>
      <c r="BE4" s="27" t="e">
        <f t="shared" si="4"/>
        <v>#REF!</v>
      </c>
      <c r="BF4" s="33" t="e">
        <f t="shared" si="4"/>
        <v>#REF!</v>
      </c>
      <c r="BG4" s="27" t="e">
        <f t="shared" si="4"/>
        <v>#REF!</v>
      </c>
      <c r="BH4" s="27" t="e">
        <f t="shared" si="4"/>
        <v>#REF!</v>
      </c>
      <c r="BI4" s="27" t="e">
        <f t="shared" si="4"/>
        <v>#REF!</v>
      </c>
      <c r="BJ4" s="33" t="e">
        <f t="shared" si="4"/>
        <v>#REF!</v>
      </c>
      <c r="BK4" s="27" t="e">
        <f t="shared" si="4"/>
        <v>#REF!</v>
      </c>
      <c r="BL4" s="27" t="e">
        <f t="shared" si="4"/>
        <v>#REF!</v>
      </c>
      <c r="BM4" s="27" t="e">
        <f t="shared" si="4"/>
        <v>#REF!</v>
      </c>
      <c r="BN4" s="33" t="e">
        <f t="shared" si="4"/>
        <v>#REF!</v>
      </c>
      <c r="BO4" s="27" t="e">
        <f t="shared" si="4"/>
        <v>#REF!</v>
      </c>
      <c r="BP4" s="27" t="e">
        <f t="shared" si="4"/>
        <v>#REF!</v>
      </c>
      <c r="BQ4" s="27" t="e">
        <f t="shared" si="4"/>
        <v>#REF!</v>
      </c>
      <c r="BR4" s="34" t="e">
        <f t="shared" si="4"/>
        <v>#REF!</v>
      </c>
      <c r="BS4" s="35" t="e">
        <f t="shared" si="4"/>
        <v>#REF!</v>
      </c>
      <c r="BT4" s="35" t="e">
        <f t="shared" si="4"/>
        <v>#REF!</v>
      </c>
      <c r="BU4" s="35" t="e">
        <f t="shared" si="4"/>
        <v>#REF!</v>
      </c>
      <c r="BV4" s="6"/>
      <c r="BW4" s="6"/>
      <c r="BX4" s="6"/>
      <c r="BY4" s="6"/>
      <c r="BZ4" s="6"/>
      <c r="CA4" s="6"/>
      <c r="CB4" s="6"/>
      <c r="CC4" s="6"/>
      <c r="CD4" s="6"/>
      <c r="CE4" s="6"/>
      <c r="CF4" s="6"/>
      <c r="CG4" s="6"/>
      <c r="CH4" s="6"/>
      <c r="CI4" s="6"/>
      <c r="CJ4" s="6"/>
      <c r="CK4" s="6"/>
      <c r="CL4" s="6"/>
      <c r="CM4" s="6"/>
      <c r="CN4" s="6"/>
      <c r="CO4" s="6"/>
      <c r="CP4" s="6"/>
    </row>
    <row r="5" spans="1:94">
      <c r="A5" s="1"/>
      <c r="B5" s="2"/>
      <c r="C5" s="2"/>
      <c r="D5" s="13"/>
      <c r="E5" s="14"/>
      <c r="F5" s="14"/>
      <c r="G5" s="14"/>
      <c r="H5" s="14"/>
      <c r="I5" s="14"/>
      <c r="J5" s="14"/>
      <c r="K5" s="36"/>
      <c r="L5" s="36"/>
      <c r="M5" s="36"/>
      <c r="N5" s="37"/>
      <c r="O5" s="37"/>
      <c r="P5" s="37"/>
      <c r="Q5" s="37"/>
      <c r="R5" s="37"/>
      <c r="S5" s="2"/>
      <c r="T5" s="2"/>
      <c r="U5" s="2"/>
      <c r="V5" s="2"/>
      <c r="W5" s="2"/>
      <c r="X5" s="2"/>
      <c r="Y5" s="2"/>
      <c r="Z5" s="2"/>
      <c r="AA5" s="2"/>
      <c r="AB5" s="2"/>
      <c r="AC5" s="2"/>
      <c r="AD5" s="2"/>
      <c r="AE5" s="2"/>
      <c r="AF5" s="38"/>
      <c r="AG5" s="2"/>
      <c r="AH5" s="14"/>
      <c r="AI5" s="14"/>
      <c r="AJ5" s="14"/>
      <c r="AK5" s="14"/>
      <c r="AL5" s="14"/>
      <c r="AM5" s="14"/>
      <c r="AN5" s="14"/>
      <c r="AO5" s="14"/>
      <c r="AP5" s="14"/>
      <c r="AQ5" s="14"/>
      <c r="AR5" s="14"/>
      <c r="AS5" s="14"/>
      <c r="AT5" s="14"/>
      <c r="AU5" s="14"/>
      <c r="AV5" s="14"/>
      <c r="AW5" s="14"/>
      <c r="AX5" s="14"/>
      <c r="AY5" s="14"/>
      <c r="AZ5" s="14"/>
      <c r="BA5" s="14"/>
      <c r="BB5" s="36"/>
      <c r="BC5" s="36"/>
      <c r="BD5" s="36"/>
      <c r="BE5" s="36"/>
      <c r="BF5" s="39"/>
      <c r="BG5" s="36"/>
      <c r="BH5" s="36"/>
      <c r="BI5" s="36"/>
      <c r="BJ5" s="39"/>
      <c r="BK5" s="36"/>
      <c r="BL5" s="36"/>
      <c r="BM5" s="36"/>
      <c r="BN5" s="39"/>
      <c r="BO5" s="36"/>
      <c r="BP5" s="36"/>
      <c r="BQ5" s="36"/>
      <c r="BR5" s="39"/>
      <c r="BS5" s="36"/>
      <c r="BT5" s="36"/>
      <c r="BU5" s="36"/>
      <c r="BV5" s="2"/>
      <c r="BW5" s="2"/>
      <c r="BX5" s="2"/>
      <c r="BY5" s="2"/>
      <c r="BZ5" s="2"/>
      <c r="CA5" s="2"/>
      <c r="CB5" s="2"/>
      <c r="CC5" s="2"/>
      <c r="CD5" s="2"/>
      <c r="CE5" s="2"/>
      <c r="CF5" s="2"/>
      <c r="CG5" s="2"/>
      <c r="CH5" s="2"/>
      <c r="CI5" s="2"/>
      <c r="CJ5" s="2"/>
      <c r="CK5" s="2"/>
      <c r="CL5" s="2"/>
      <c r="CM5" s="2"/>
      <c r="CN5" s="2"/>
      <c r="CO5" s="2"/>
      <c r="CP5" s="2"/>
    </row>
    <row r="6" spans="1:94">
      <c r="A6" s="40"/>
      <c r="B6" s="40"/>
      <c r="C6" s="40"/>
      <c r="D6" s="41"/>
      <c r="E6" s="41"/>
      <c r="F6" s="42"/>
      <c r="G6" s="42"/>
      <c r="H6" s="42"/>
      <c r="I6" s="42"/>
      <c r="J6" s="42"/>
      <c r="K6" s="42"/>
      <c r="L6" s="42"/>
      <c r="M6" s="42"/>
      <c r="N6" s="43"/>
      <c r="O6" s="43"/>
      <c r="P6" s="43"/>
      <c r="Q6" s="43"/>
      <c r="R6" s="43"/>
      <c r="S6" s="41"/>
      <c r="T6" s="40"/>
      <c r="U6" s="40"/>
      <c r="V6" s="40"/>
      <c r="W6" s="40"/>
      <c r="X6" s="40"/>
      <c r="Y6" s="40"/>
      <c r="Z6" s="40"/>
      <c r="AA6" s="40"/>
      <c r="AB6" s="40"/>
      <c r="AC6" s="40"/>
      <c r="AD6" s="40"/>
      <c r="AE6" s="40"/>
      <c r="AF6" s="44"/>
      <c r="AG6" s="2"/>
      <c r="AH6" s="41"/>
      <c r="AI6" s="41"/>
      <c r="AJ6" s="41"/>
      <c r="AK6" s="41"/>
      <c r="AL6" s="41"/>
      <c r="AM6" s="41"/>
      <c r="AN6" s="41"/>
      <c r="AO6" s="41"/>
      <c r="AP6" s="42"/>
      <c r="AQ6" s="42"/>
      <c r="AR6" s="42"/>
      <c r="AS6" s="42"/>
      <c r="AT6" s="42"/>
      <c r="AU6" s="42"/>
      <c r="AV6" s="42"/>
      <c r="AW6" s="42"/>
      <c r="AX6" s="42"/>
      <c r="AY6" s="42"/>
      <c r="AZ6" s="42"/>
      <c r="BA6" s="42"/>
      <c r="BB6" s="42"/>
      <c r="BC6" s="42"/>
      <c r="BD6" s="42"/>
      <c r="BE6" s="42"/>
      <c r="BF6" s="45"/>
      <c r="BG6" s="42"/>
      <c r="BH6" s="42"/>
      <c r="BI6" s="42"/>
      <c r="BJ6" s="45"/>
      <c r="BK6" s="42"/>
      <c r="BL6" s="42"/>
      <c r="BM6" s="42"/>
      <c r="BN6" s="45"/>
      <c r="BO6" s="42"/>
      <c r="BP6" s="42"/>
      <c r="BQ6" s="42"/>
      <c r="BR6" s="45"/>
      <c r="BS6" s="42"/>
      <c r="BT6" s="42"/>
      <c r="BU6" s="42"/>
      <c r="BV6" s="40"/>
      <c r="BW6" s="40"/>
      <c r="BX6" s="40"/>
      <c r="BY6" s="40"/>
      <c r="BZ6" s="40"/>
      <c r="CA6" s="40"/>
      <c r="CB6" s="40"/>
      <c r="CC6" s="40"/>
      <c r="CD6" s="40"/>
      <c r="CE6" s="40"/>
      <c r="CF6" s="40"/>
      <c r="CG6" s="40"/>
      <c r="CH6" s="40"/>
      <c r="CI6" s="40"/>
      <c r="CJ6" s="40"/>
      <c r="CK6" s="40"/>
      <c r="CL6" s="40"/>
      <c r="CM6" s="40"/>
      <c r="CN6" s="40"/>
      <c r="CO6" s="40"/>
      <c r="CP6" s="40"/>
    </row>
    <row r="7" spans="1:94">
      <c r="A7" s="2"/>
      <c r="B7" s="2"/>
      <c r="C7" s="2"/>
      <c r="D7" s="2"/>
      <c r="E7" s="2"/>
      <c r="F7" s="2"/>
      <c r="G7" s="2"/>
      <c r="H7" s="2"/>
      <c r="I7" s="2"/>
      <c r="J7" s="2"/>
      <c r="K7" s="2"/>
      <c r="L7" s="2"/>
      <c r="M7" s="46"/>
      <c r="N7" s="4"/>
      <c r="O7" s="4"/>
      <c r="P7" s="4"/>
      <c r="Q7" s="4"/>
      <c r="R7" s="4"/>
      <c r="S7" s="2"/>
      <c r="T7" s="2"/>
      <c r="U7" s="2"/>
      <c r="V7" s="2"/>
      <c r="W7" s="2"/>
      <c r="X7" s="2"/>
      <c r="Y7" s="2"/>
      <c r="Z7" s="2"/>
      <c r="AA7" s="2"/>
      <c r="AB7" s="2"/>
      <c r="AC7" s="2"/>
      <c r="AD7" s="2"/>
      <c r="AE7" s="2"/>
      <c r="AF7" s="47"/>
      <c r="AG7" s="2"/>
      <c r="AH7" s="2"/>
      <c r="AI7" s="2"/>
      <c r="AJ7" s="2"/>
      <c r="AK7" s="2"/>
      <c r="AL7" s="2"/>
      <c r="AM7" s="2"/>
      <c r="AN7" s="2"/>
      <c r="AO7" s="2"/>
      <c r="AP7" s="2"/>
      <c r="AQ7" s="2"/>
      <c r="AR7" s="2"/>
      <c r="AS7" s="2"/>
      <c r="AT7" s="2"/>
      <c r="AU7" s="2"/>
      <c r="AV7" s="2"/>
      <c r="AW7" s="2"/>
      <c r="AX7" s="2"/>
      <c r="AY7" s="2"/>
      <c r="AZ7" s="2"/>
      <c r="BA7" s="2"/>
      <c r="BB7" s="2"/>
      <c r="BC7" s="2"/>
      <c r="BD7" s="2"/>
      <c r="BE7" s="2"/>
      <c r="BF7" s="48"/>
      <c r="BG7" s="2"/>
      <c r="BH7" s="2"/>
      <c r="BI7" s="2"/>
      <c r="BJ7" s="48"/>
      <c r="BK7" s="2"/>
      <c r="BL7" s="2"/>
      <c r="BM7" s="2"/>
      <c r="BN7" s="48"/>
      <c r="BO7" s="2"/>
      <c r="BP7" s="2"/>
      <c r="BQ7" s="2"/>
      <c r="BR7" s="48"/>
      <c r="BS7" s="2"/>
      <c r="BT7" s="2"/>
      <c r="BU7" s="2"/>
      <c r="BV7" s="2"/>
      <c r="BW7" s="2"/>
      <c r="BX7" s="2"/>
      <c r="BY7" s="2"/>
      <c r="BZ7" s="2"/>
      <c r="CA7" s="2"/>
      <c r="CB7" s="2"/>
      <c r="CC7" s="2"/>
      <c r="CD7" s="2"/>
      <c r="CE7" s="2"/>
      <c r="CF7" s="2"/>
      <c r="CG7" s="2"/>
      <c r="CH7" s="2"/>
      <c r="CI7" s="2"/>
      <c r="CJ7" s="2"/>
      <c r="CK7" s="2"/>
      <c r="CL7" s="2"/>
      <c r="CM7" s="2"/>
      <c r="CN7" s="2"/>
      <c r="CO7" s="2"/>
      <c r="CP7" s="2"/>
    </row>
    <row r="8" spans="1:94">
      <c r="A8" s="49" t="s">
        <v>946</v>
      </c>
      <c r="B8" s="50"/>
      <c r="C8" s="5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51"/>
      <c r="AG8" s="2"/>
      <c r="AH8" s="50"/>
      <c r="AI8" s="50"/>
      <c r="AJ8" s="50"/>
      <c r="AK8" s="50"/>
      <c r="AL8" s="50"/>
      <c r="AM8" s="50"/>
      <c r="AN8" s="50"/>
      <c r="AO8" s="50"/>
      <c r="AP8" s="50"/>
      <c r="AQ8" s="50"/>
      <c r="AR8" s="50"/>
      <c r="AS8" s="50"/>
      <c r="AT8" s="50"/>
      <c r="AU8" s="50"/>
      <c r="AV8" s="50"/>
      <c r="AW8" s="50"/>
      <c r="AX8" s="50"/>
      <c r="AY8" s="50"/>
      <c r="AZ8" s="52"/>
      <c r="BA8" s="53"/>
      <c r="BB8" s="50"/>
      <c r="BC8" s="50"/>
      <c r="BD8" s="50"/>
      <c r="BE8" s="50"/>
      <c r="BF8" s="54"/>
      <c r="BG8" s="50"/>
      <c r="BH8" s="50"/>
      <c r="BI8" s="50"/>
      <c r="BJ8" s="54"/>
      <c r="BK8" s="50"/>
      <c r="BL8" s="50"/>
      <c r="BM8" s="50"/>
      <c r="BN8" s="54"/>
      <c r="BO8" s="50"/>
      <c r="BP8" s="50"/>
      <c r="BQ8" s="50"/>
      <c r="BR8" s="54"/>
      <c r="BS8" s="50"/>
      <c r="BT8" s="50"/>
      <c r="BU8" s="50"/>
      <c r="BV8" s="55"/>
      <c r="BW8" s="55"/>
      <c r="BX8" s="55"/>
      <c r="BY8" s="55"/>
      <c r="BZ8" s="55"/>
      <c r="CA8" s="2"/>
      <c r="CB8" s="2"/>
      <c r="CC8" s="2"/>
      <c r="CD8" s="2"/>
      <c r="CE8" s="2"/>
      <c r="CF8" s="2"/>
      <c r="CG8" s="2"/>
      <c r="CH8" s="2"/>
      <c r="CI8" s="2"/>
      <c r="CJ8" s="2"/>
      <c r="CK8" s="2"/>
      <c r="CL8" s="2"/>
      <c r="CM8" s="2"/>
      <c r="CN8" s="2"/>
      <c r="CO8" s="2"/>
      <c r="CP8" s="2"/>
    </row>
    <row r="9" spans="1:94">
      <c r="A9" s="1" t="s">
        <v>947</v>
      </c>
      <c r="B9" s="2"/>
      <c r="C9" s="2"/>
      <c r="D9" s="2"/>
      <c r="E9" s="2"/>
      <c r="F9" s="2"/>
      <c r="G9" s="56"/>
      <c r="H9" s="2"/>
      <c r="I9" s="2"/>
      <c r="J9" s="2"/>
      <c r="K9" s="2"/>
      <c r="L9" s="2"/>
      <c r="M9" s="2"/>
      <c r="N9" s="4"/>
      <c r="O9" s="4"/>
      <c r="P9" s="4"/>
      <c r="Q9" s="4"/>
      <c r="R9" s="4"/>
      <c r="S9" s="2"/>
      <c r="T9" s="2"/>
      <c r="U9" s="2"/>
      <c r="V9" s="2"/>
      <c r="W9" s="2"/>
      <c r="X9" s="2"/>
      <c r="Y9" s="2"/>
      <c r="Z9" s="2"/>
      <c r="AA9" s="2"/>
      <c r="AB9" s="2"/>
      <c r="AC9" s="2"/>
      <c r="AD9" s="2"/>
      <c r="AE9" s="2"/>
      <c r="AF9" s="47"/>
      <c r="AG9" s="2"/>
      <c r="AH9" s="2"/>
      <c r="AI9" s="2"/>
      <c r="AJ9" s="2"/>
      <c r="AK9" s="2"/>
      <c r="AL9" s="2"/>
      <c r="AM9" s="2"/>
      <c r="AN9" s="2"/>
      <c r="AO9" s="2"/>
      <c r="AP9" s="2"/>
      <c r="AQ9" s="2"/>
      <c r="AR9" s="2"/>
      <c r="AS9" s="2"/>
      <c r="AT9" s="2"/>
      <c r="AU9" s="2"/>
      <c r="AV9" s="2"/>
      <c r="AW9" s="2"/>
      <c r="AX9" s="2"/>
      <c r="AY9" s="2"/>
      <c r="AZ9" s="2"/>
      <c r="BA9" s="56"/>
      <c r="BB9" s="2"/>
      <c r="BC9" s="2"/>
      <c r="BD9" s="2"/>
      <c r="BE9" s="2"/>
      <c r="BF9" s="48"/>
      <c r="BG9" s="2"/>
      <c r="BH9" s="2"/>
      <c r="BI9" s="2"/>
      <c r="BJ9" s="48"/>
      <c r="BK9" s="2"/>
      <c r="BL9" s="2"/>
      <c r="BM9" s="2"/>
      <c r="BN9" s="48"/>
      <c r="BO9" s="2"/>
      <c r="BP9" s="2"/>
      <c r="BQ9" s="2"/>
      <c r="BR9" s="48"/>
      <c r="BS9" s="2"/>
      <c r="BT9" s="2"/>
      <c r="BU9" s="2"/>
      <c r="BV9" s="2"/>
      <c r="BW9" s="2"/>
      <c r="BX9" s="2"/>
      <c r="BY9" s="2"/>
      <c r="BZ9" s="2"/>
      <c r="CA9" s="2"/>
      <c r="CB9" s="2"/>
      <c r="CC9" s="2"/>
      <c r="CD9" s="2"/>
      <c r="CE9" s="2"/>
      <c r="CF9" s="2"/>
      <c r="CG9" s="2"/>
      <c r="CH9" s="2"/>
      <c r="CI9" s="2"/>
      <c r="CJ9" s="2"/>
      <c r="CK9" s="2"/>
      <c r="CL9" s="2"/>
      <c r="CM9" s="2"/>
      <c r="CN9" s="2"/>
      <c r="CO9" s="2"/>
      <c r="CP9" s="2"/>
    </row>
    <row r="10" spans="1:94">
      <c r="A10" s="57" t="s">
        <v>948</v>
      </c>
      <c r="B10" s="1"/>
      <c r="C10" s="1"/>
      <c r="D10" s="1"/>
      <c r="E10" s="58" t="e">
        <v>#REF!</v>
      </c>
      <c r="F10" s="58" t="e">
        <v>#REF!</v>
      </c>
      <c r="G10" s="58" t="e">
        <v>#REF!</v>
      </c>
      <c r="H10" s="58" t="e">
        <v>#REF!</v>
      </c>
      <c r="I10" s="1" t="e">
        <v>#REF!</v>
      </c>
      <c r="J10" s="1" t="e">
        <v>#REF!</v>
      </c>
      <c r="K10" s="1" t="e">
        <v>#REF!</v>
      </c>
      <c r="L10" s="1" t="e">
        <v>#REF!</v>
      </c>
      <c r="M10" s="1" t="e">
        <v>#REF!</v>
      </c>
      <c r="N10" s="16" t="e">
        <v>#REF!</v>
      </c>
      <c r="O10" s="16" t="e">
        <v>#REF!</v>
      </c>
      <c r="P10" s="16" t="e">
        <v>#REF!</v>
      </c>
      <c r="Q10" s="16" t="e">
        <v>#REF!</v>
      </c>
      <c r="R10" s="16" t="e">
        <v>#REF!</v>
      </c>
      <c r="S10" s="1"/>
      <c r="T10" s="1"/>
      <c r="U10" s="1"/>
      <c r="V10" s="1"/>
      <c r="W10" s="1"/>
      <c r="X10" s="1"/>
      <c r="Y10" s="1"/>
      <c r="Z10" s="1"/>
      <c r="AA10" s="1"/>
      <c r="AB10" s="1"/>
      <c r="AC10" s="1"/>
      <c r="AD10" s="1"/>
      <c r="AE10" s="1"/>
      <c r="AF10" s="59" t="e">
        <f>(R10/M10)^(1/5)-1</f>
        <v>#REF!</v>
      </c>
      <c r="AG10" s="2"/>
      <c r="AH10" s="58" t="e">
        <v>#REF!</v>
      </c>
      <c r="AI10" s="58" t="e">
        <v>#REF!</v>
      </c>
      <c r="AJ10" s="58" t="e">
        <v>#REF!</v>
      </c>
      <c r="AK10" s="58" t="e">
        <v>#REF!</v>
      </c>
      <c r="AL10" s="58" t="e">
        <v>#REF!</v>
      </c>
      <c r="AM10" s="58" t="e">
        <v>#REF!</v>
      </c>
      <c r="AN10" s="58" t="e">
        <v>#REF!</v>
      </c>
      <c r="AO10" s="58" t="e">
        <v>#REF!</v>
      </c>
      <c r="AP10" s="58" t="e">
        <v>#REF!</v>
      </c>
      <c r="AQ10" s="58" t="e">
        <v>#REF!</v>
      </c>
      <c r="AR10" s="58" t="e">
        <v>#REF!</v>
      </c>
      <c r="AS10" s="58" t="e">
        <v>#REF!</v>
      </c>
      <c r="AT10" s="58" t="e">
        <v>#REF!</v>
      </c>
      <c r="AU10" s="58" t="e">
        <v>#REF!</v>
      </c>
      <c r="AV10" s="58" t="e">
        <v>#REF!</v>
      </c>
      <c r="AW10" s="58" t="e">
        <v>#REF!</v>
      </c>
      <c r="AX10" s="58" t="e">
        <v>#REF!</v>
      </c>
      <c r="AY10" s="58" t="e">
        <v>#REF!</v>
      </c>
      <c r="AZ10" s="58" t="e">
        <v>#REF!</v>
      </c>
      <c r="BA10" s="58" t="e">
        <v>#REF!</v>
      </c>
      <c r="BB10" s="58" t="e">
        <v>#REF!</v>
      </c>
      <c r="BC10" s="58" t="e">
        <v>#REF!</v>
      </c>
      <c r="BD10" s="58" t="e">
        <v>#REF!</v>
      </c>
      <c r="BE10" s="58" t="e">
        <v>#REF!</v>
      </c>
      <c r="BF10" s="60" t="e">
        <v>#REF!</v>
      </c>
      <c r="BG10" s="58" t="e">
        <v>#REF!</v>
      </c>
      <c r="BH10" s="58" t="e">
        <v>#REF!</v>
      </c>
      <c r="BI10" s="58" t="e">
        <v>#REF!</v>
      </c>
      <c r="BJ10" s="60" t="e">
        <v>#REF!</v>
      </c>
      <c r="BK10" s="58" t="e">
        <v>#REF!</v>
      </c>
      <c r="BL10" s="58" t="e">
        <v>#REF!</v>
      </c>
      <c r="BM10" s="58" t="e">
        <v>#REF!</v>
      </c>
      <c r="BN10" s="61" t="e">
        <v>#REF!</v>
      </c>
      <c r="BO10" s="62" t="e">
        <v>#REF!</v>
      </c>
      <c r="BP10" s="62" t="e">
        <v>#REF!</v>
      </c>
      <c r="BQ10" s="62" t="e">
        <v>#REF!</v>
      </c>
      <c r="BR10" s="61" t="e">
        <v>#REF!</v>
      </c>
      <c r="BS10" s="62" t="e">
        <v>#REF!</v>
      </c>
      <c r="BT10" s="62" t="e">
        <v>#REF!</v>
      </c>
      <c r="BU10" s="62" t="e">
        <v>#REF!</v>
      </c>
      <c r="BV10" s="58" t="e">
        <f>I10-SUM(AX10:BA10)</f>
        <v>#REF!</v>
      </c>
      <c r="BW10" s="2" t="e">
        <f>M10-SUM(BN10:BQ10)</f>
        <v>#REF!</v>
      </c>
      <c r="BX10" s="58" t="e">
        <f>K10-SUM(BF10:BI10)</f>
        <v>#REF!</v>
      </c>
      <c r="BY10" s="2" t="e">
        <f>L10-SUM(BJ10:BM10)</f>
        <v>#REF!</v>
      </c>
      <c r="BZ10" s="2" t="e">
        <f>N10-SUM(BR10:BU10)</f>
        <v>#REF!</v>
      </c>
      <c r="CA10" s="1"/>
      <c r="CB10" s="1"/>
      <c r="CC10" s="1"/>
      <c r="CD10" s="1"/>
      <c r="CE10" s="1"/>
      <c r="CF10" s="1"/>
      <c r="CG10" s="1"/>
      <c r="CH10" s="1"/>
      <c r="CI10" s="1"/>
      <c r="CJ10" s="1"/>
      <c r="CK10" s="1"/>
      <c r="CL10" s="1"/>
      <c r="CM10" s="1"/>
      <c r="CN10" s="1"/>
      <c r="CO10" s="1"/>
      <c r="CP10" s="1"/>
    </row>
    <row r="11" spans="1:94">
      <c r="A11" s="24" t="s">
        <v>945</v>
      </c>
      <c r="B11" s="6"/>
      <c r="C11" s="6"/>
      <c r="D11" s="6"/>
      <c r="E11" s="6"/>
      <c r="F11" s="6" t="e">
        <f t="shared" ref="F11:R11" si="5">F10/E10-1</f>
        <v>#REF!</v>
      </c>
      <c r="G11" s="6" t="e">
        <f t="shared" si="5"/>
        <v>#REF!</v>
      </c>
      <c r="H11" s="6" t="e">
        <f t="shared" si="5"/>
        <v>#REF!</v>
      </c>
      <c r="I11" s="6" t="e">
        <f t="shared" si="5"/>
        <v>#REF!</v>
      </c>
      <c r="J11" s="6" t="e">
        <f t="shared" si="5"/>
        <v>#REF!</v>
      </c>
      <c r="K11" s="6" t="e">
        <f t="shared" si="5"/>
        <v>#REF!</v>
      </c>
      <c r="L11" s="6" t="e">
        <f t="shared" si="5"/>
        <v>#REF!</v>
      </c>
      <c r="M11" s="6" t="e">
        <f t="shared" si="5"/>
        <v>#REF!</v>
      </c>
      <c r="N11" s="28" t="e">
        <f t="shared" si="5"/>
        <v>#REF!</v>
      </c>
      <c r="O11" s="28" t="e">
        <f t="shared" si="5"/>
        <v>#REF!</v>
      </c>
      <c r="P11" s="28" t="e">
        <f t="shared" si="5"/>
        <v>#REF!</v>
      </c>
      <c r="Q11" s="28" t="e">
        <f t="shared" si="5"/>
        <v>#REF!</v>
      </c>
      <c r="R11" s="28" t="e">
        <f t="shared" si="5"/>
        <v>#REF!</v>
      </c>
      <c r="S11" s="6"/>
      <c r="T11" s="6"/>
      <c r="U11" s="6"/>
      <c r="V11" s="6"/>
      <c r="W11" s="6"/>
      <c r="X11" s="6"/>
      <c r="Y11" s="6"/>
      <c r="Z11" s="6"/>
      <c r="AA11" s="6"/>
      <c r="AB11" s="6"/>
      <c r="AC11" s="6"/>
      <c r="AD11" s="6"/>
      <c r="AE11" s="6"/>
      <c r="AF11" s="47"/>
      <c r="AG11" s="2"/>
      <c r="AH11" s="6"/>
      <c r="AI11" s="6"/>
      <c r="AJ11" s="6"/>
      <c r="AK11" s="6"/>
      <c r="AL11" s="6" t="e">
        <f t="shared" ref="AL11:BU11" si="6">AL10/AH10-1</f>
        <v>#REF!</v>
      </c>
      <c r="AM11" s="6" t="e">
        <f t="shared" si="6"/>
        <v>#REF!</v>
      </c>
      <c r="AN11" s="6" t="e">
        <f t="shared" si="6"/>
        <v>#REF!</v>
      </c>
      <c r="AO11" s="6" t="e">
        <f t="shared" si="6"/>
        <v>#REF!</v>
      </c>
      <c r="AP11" s="6" t="e">
        <f t="shared" si="6"/>
        <v>#REF!</v>
      </c>
      <c r="AQ11" s="6" t="e">
        <f t="shared" si="6"/>
        <v>#REF!</v>
      </c>
      <c r="AR11" s="6" t="e">
        <f t="shared" si="6"/>
        <v>#REF!</v>
      </c>
      <c r="AS11" s="6" t="e">
        <f t="shared" si="6"/>
        <v>#REF!</v>
      </c>
      <c r="AT11" s="6" t="e">
        <f t="shared" si="6"/>
        <v>#REF!</v>
      </c>
      <c r="AU11" s="6" t="e">
        <f t="shared" si="6"/>
        <v>#REF!</v>
      </c>
      <c r="AV11" s="6" t="e">
        <f t="shared" si="6"/>
        <v>#REF!</v>
      </c>
      <c r="AW11" s="6" t="e">
        <f t="shared" si="6"/>
        <v>#REF!</v>
      </c>
      <c r="AX11" s="6" t="e">
        <f t="shared" si="6"/>
        <v>#REF!</v>
      </c>
      <c r="AY11" s="6" t="e">
        <f t="shared" si="6"/>
        <v>#REF!</v>
      </c>
      <c r="AZ11" s="6" t="e">
        <f t="shared" si="6"/>
        <v>#REF!</v>
      </c>
      <c r="BA11" s="6" t="e">
        <f t="shared" si="6"/>
        <v>#REF!</v>
      </c>
      <c r="BB11" s="6" t="e">
        <f t="shared" si="6"/>
        <v>#REF!</v>
      </c>
      <c r="BC11" s="6" t="e">
        <f t="shared" si="6"/>
        <v>#REF!</v>
      </c>
      <c r="BD11" s="6" t="e">
        <f t="shared" si="6"/>
        <v>#REF!</v>
      </c>
      <c r="BE11" s="6" t="e">
        <f t="shared" si="6"/>
        <v>#REF!</v>
      </c>
      <c r="BF11" s="63" t="e">
        <f t="shared" si="6"/>
        <v>#REF!</v>
      </c>
      <c r="BG11" s="6" t="e">
        <f t="shared" si="6"/>
        <v>#REF!</v>
      </c>
      <c r="BH11" s="6" t="e">
        <f t="shared" si="6"/>
        <v>#REF!</v>
      </c>
      <c r="BI11" s="6" t="e">
        <f t="shared" si="6"/>
        <v>#REF!</v>
      </c>
      <c r="BJ11" s="63" t="e">
        <f t="shared" si="6"/>
        <v>#REF!</v>
      </c>
      <c r="BK11" s="6" t="e">
        <f t="shared" si="6"/>
        <v>#REF!</v>
      </c>
      <c r="BL11" s="6" t="e">
        <f t="shared" si="6"/>
        <v>#REF!</v>
      </c>
      <c r="BM11" s="6" t="e">
        <f t="shared" si="6"/>
        <v>#REF!</v>
      </c>
      <c r="BN11" s="64" t="e">
        <f t="shared" si="6"/>
        <v>#REF!</v>
      </c>
      <c r="BO11" s="28" t="e">
        <f t="shared" si="6"/>
        <v>#REF!</v>
      </c>
      <c r="BP11" s="28" t="e">
        <f t="shared" si="6"/>
        <v>#REF!</v>
      </c>
      <c r="BQ11" s="28" t="e">
        <f t="shared" si="6"/>
        <v>#REF!</v>
      </c>
      <c r="BR11" s="64" t="e">
        <f t="shared" si="6"/>
        <v>#REF!</v>
      </c>
      <c r="BS11" s="28" t="e">
        <f t="shared" si="6"/>
        <v>#REF!</v>
      </c>
      <c r="BT11" s="28" t="e">
        <f t="shared" si="6"/>
        <v>#REF!</v>
      </c>
      <c r="BU11" s="28" t="e">
        <f t="shared" si="6"/>
        <v>#REF!</v>
      </c>
      <c r="BV11" s="6"/>
      <c r="BW11" s="6"/>
      <c r="BX11" s="6"/>
      <c r="BY11" s="6"/>
      <c r="BZ11" s="6"/>
      <c r="CA11" s="6"/>
      <c r="CB11" s="6"/>
      <c r="CC11" s="6"/>
      <c r="CD11" s="6"/>
      <c r="CE11" s="6"/>
      <c r="CF11" s="6"/>
      <c r="CG11" s="6"/>
      <c r="CH11" s="6"/>
      <c r="CI11" s="6"/>
      <c r="CJ11" s="6"/>
      <c r="CK11" s="6"/>
      <c r="CL11" s="6"/>
      <c r="CM11" s="6"/>
      <c r="CN11" s="6"/>
      <c r="CO11" s="6"/>
      <c r="CP11" s="6"/>
    </row>
    <row r="12" spans="1:94">
      <c r="A12" s="24" t="s">
        <v>949</v>
      </c>
      <c r="B12" s="6"/>
      <c r="C12" s="6"/>
      <c r="D12" s="6"/>
      <c r="E12" s="6"/>
      <c r="F12" s="6"/>
      <c r="G12" s="6"/>
      <c r="H12" s="6"/>
      <c r="I12" s="6"/>
      <c r="J12" s="6"/>
      <c r="K12" s="6"/>
      <c r="L12" s="6"/>
      <c r="M12" s="6"/>
      <c r="N12" s="28"/>
      <c r="O12" s="28"/>
      <c r="P12" s="28"/>
      <c r="Q12" s="28"/>
      <c r="R12" s="28"/>
      <c r="S12" s="6"/>
      <c r="T12" s="6"/>
      <c r="U12" s="6"/>
      <c r="V12" s="6"/>
      <c r="W12" s="6"/>
      <c r="X12" s="6"/>
      <c r="Y12" s="6"/>
      <c r="Z12" s="6"/>
      <c r="AA12" s="6"/>
      <c r="AB12" s="6"/>
      <c r="AC12" s="6"/>
      <c r="AD12" s="6"/>
      <c r="AE12" s="6"/>
      <c r="AF12" s="47"/>
      <c r="AG12" s="2"/>
      <c r="AH12" s="6"/>
      <c r="AI12" s="6" t="e">
        <f t="shared" ref="AI12:BU12" si="7">AI10/AH10-1</f>
        <v>#REF!</v>
      </c>
      <c r="AJ12" s="6" t="e">
        <f t="shared" si="7"/>
        <v>#REF!</v>
      </c>
      <c r="AK12" s="6" t="e">
        <f t="shared" si="7"/>
        <v>#REF!</v>
      </c>
      <c r="AL12" s="6" t="e">
        <f t="shared" si="7"/>
        <v>#REF!</v>
      </c>
      <c r="AM12" s="6" t="e">
        <f t="shared" si="7"/>
        <v>#REF!</v>
      </c>
      <c r="AN12" s="6" t="e">
        <f t="shared" si="7"/>
        <v>#REF!</v>
      </c>
      <c r="AO12" s="6" t="e">
        <f t="shared" si="7"/>
        <v>#REF!</v>
      </c>
      <c r="AP12" s="6" t="e">
        <f t="shared" si="7"/>
        <v>#REF!</v>
      </c>
      <c r="AQ12" s="6" t="e">
        <f t="shared" si="7"/>
        <v>#REF!</v>
      </c>
      <c r="AR12" s="6" t="e">
        <f t="shared" si="7"/>
        <v>#REF!</v>
      </c>
      <c r="AS12" s="6" t="e">
        <f t="shared" si="7"/>
        <v>#REF!</v>
      </c>
      <c r="AT12" s="6" t="e">
        <f t="shared" si="7"/>
        <v>#REF!</v>
      </c>
      <c r="AU12" s="6" t="e">
        <f t="shared" si="7"/>
        <v>#REF!</v>
      </c>
      <c r="AV12" s="6" t="e">
        <f t="shared" si="7"/>
        <v>#REF!</v>
      </c>
      <c r="AW12" s="6" t="e">
        <f t="shared" si="7"/>
        <v>#REF!</v>
      </c>
      <c r="AX12" s="6" t="e">
        <f t="shared" si="7"/>
        <v>#REF!</v>
      </c>
      <c r="AY12" s="6" t="e">
        <f t="shared" si="7"/>
        <v>#REF!</v>
      </c>
      <c r="AZ12" s="6" t="e">
        <f t="shared" si="7"/>
        <v>#REF!</v>
      </c>
      <c r="BA12" s="6" t="e">
        <f t="shared" si="7"/>
        <v>#REF!</v>
      </c>
      <c r="BB12" s="6" t="e">
        <f t="shared" si="7"/>
        <v>#REF!</v>
      </c>
      <c r="BC12" s="6" t="e">
        <f t="shared" si="7"/>
        <v>#REF!</v>
      </c>
      <c r="BD12" s="6" t="e">
        <f t="shared" si="7"/>
        <v>#REF!</v>
      </c>
      <c r="BE12" s="6" t="e">
        <f t="shared" si="7"/>
        <v>#REF!</v>
      </c>
      <c r="BF12" s="63" t="e">
        <f t="shared" si="7"/>
        <v>#REF!</v>
      </c>
      <c r="BG12" s="6" t="e">
        <f t="shared" si="7"/>
        <v>#REF!</v>
      </c>
      <c r="BH12" s="6" t="e">
        <f t="shared" si="7"/>
        <v>#REF!</v>
      </c>
      <c r="BI12" s="6" t="e">
        <f t="shared" si="7"/>
        <v>#REF!</v>
      </c>
      <c r="BJ12" s="63" t="e">
        <f t="shared" si="7"/>
        <v>#REF!</v>
      </c>
      <c r="BK12" s="6" t="e">
        <f t="shared" si="7"/>
        <v>#REF!</v>
      </c>
      <c r="BL12" s="6" t="e">
        <f t="shared" si="7"/>
        <v>#REF!</v>
      </c>
      <c r="BM12" s="6" t="e">
        <f t="shared" si="7"/>
        <v>#REF!</v>
      </c>
      <c r="BN12" s="64" t="e">
        <f t="shared" si="7"/>
        <v>#REF!</v>
      </c>
      <c r="BO12" s="28" t="e">
        <f t="shared" si="7"/>
        <v>#REF!</v>
      </c>
      <c r="BP12" s="28" t="e">
        <f t="shared" si="7"/>
        <v>#REF!</v>
      </c>
      <c r="BQ12" s="28" t="e">
        <f t="shared" si="7"/>
        <v>#REF!</v>
      </c>
      <c r="BR12" s="64" t="e">
        <f t="shared" si="7"/>
        <v>#REF!</v>
      </c>
      <c r="BS12" s="28" t="e">
        <f t="shared" si="7"/>
        <v>#REF!</v>
      </c>
      <c r="BT12" s="28" t="e">
        <f t="shared" si="7"/>
        <v>#REF!</v>
      </c>
      <c r="BU12" s="28" t="e">
        <f t="shared" si="7"/>
        <v>#REF!</v>
      </c>
      <c r="BV12" s="6"/>
      <c r="BW12" s="6"/>
      <c r="BX12" s="6"/>
      <c r="BY12" s="6"/>
      <c r="BZ12" s="6"/>
      <c r="CA12" s="6"/>
      <c r="CB12" s="6"/>
      <c r="CC12" s="6"/>
      <c r="CD12" s="6"/>
      <c r="CE12" s="6"/>
      <c r="CF12" s="6"/>
      <c r="CG12" s="6"/>
      <c r="CH12" s="6"/>
      <c r="CI12" s="6"/>
      <c r="CJ12" s="6"/>
      <c r="CK12" s="6"/>
      <c r="CL12" s="6"/>
      <c r="CM12" s="6"/>
      <c r="CN12" s="6"/>
      <c r="CO12" s="6"/>
      <c r="CP12" s="6"/>
    </row>
    <row r="13" spans="1:94">
      <c r="A13" s="24" t="s">
        <v>950</v>
      </c>
      <c r="B13" s="6"/>
      <c r="C13" s="6"/>
      <c r="D13" s="6"/>
      <c r="E13" s="6" t="e">
        <f t="shared" ref="E13:R13" si="8">E10/E$29</f>
        <v>#REF!</v>
      </c>
      <c r="F13" s="6" t="e">
        <f t="shared" si="8"/>
        <v>#REF!</v>
      </c>
      <c r="G13" s="6" t="e">
        <f t="shared" si="8"/>
        <v>#REF!</v>
      </c>
      <c r="H13" s="6" t="e">
        <f t="shared" si="8"/>
        <v>#REF!</v>
      </c>
      <c r="I13" s="6" t="e">
        <f t="shared" si="8"/>
        <v>#REF!</v>
      </c>
      <c r="J13" s="6" t="e">
        <f t="shared" si="8"/>
        <v>#REF!</v>
      </c>
      <c r="K13" s="6" t="e">
        <f t="shared" si="8"/>
        <v>#REF!</v>
      </c>
      <c r="L13" s="6" t="e">
        <f t="shared" si="8"/>
        <v>#REF!</v>
      </c>
      <c r="M13" s="6" t="e">
        <f t="shared" si="8"/>
        <v>#REF!</v>
      </c>
      <c r="N13" s="28" t="e">
        <f t="shared" si="8"/>
        <v>#REF!</v>
      </c>
      <c r="O13" s="28" t="e">
        <f t="shared" si="8"/>
        <v>#REF!</v>
      </c>
      <c r="P13" s="28" t="e">
        <f t="shared" si="8"/>
        <v>#REF!</v>
      </c>
      <c r="Q13" s="28" t="e">
        <f t="shared" si="8"/>
        <v>#REF!</v>
      </c>
      <c r="R13" s="28" t="e">
        <f t="shared" si="8"/>
        <v>#REF!</v>
      </c>
      <c r="S13" s="6"/>
      <c r="T13" s="6"/>
      <c r="U13" s="6"/>
      <c r="V13" s="6"/>
      <c r="W13" s="6"/>
      <c r="X13" s="6"/>
      <c r="Y13" s="6"/>
      <c r="Z13" s="6"/>
      <c r="AA13" s="6"/>
      <c r="AB13" s="6"/>
      <c r="AC13" s="6"/>
      <c r="AD13" s="6"/>
      <c r="AE13" s="6"/>
      <c r="AF13" s="47"/>
      <c r="AG13" s="2"/>
      <c r="AH13" s="6" t="e">
        <f t="shared" ref="AH13:BU13" si="9">AH10/AH$29</f>
        <v>#REF!</v>
      </c>
      <c r="AI13" s="6" t="e">
        <f t="shared" si="9"/>
        <v>#REF!</v>
      </c>
      <c r="AJ13" s="6" t="e">
        <f t="shared" si="9"/>
        <v>#REF!</v>
      </c>
      <c r="AK13" s="6" t="e">
        <f t="shared" si="9"/>
        <v>#REF!</v>
      </c>
      <c r="AL13" s="6" t="e">
        <f t="shared" si="9"/>
        <v>#REF!</v>
      </c>
      <c r="AM13" s="6" t="e">
        <f t="shared" si="9"/>
        <v>#REF!</v>
      </c>
      <c r="AN13" s="6" t="e">
        <f t="shared" si="9"/>
        <v>#REF!</v>
      </c>
      <c r="AO13" s="6" t="e">
        <f t="shared" si="9"/>
        <v>#REF!</v>
      </c>
      <c r="AP13" s="6" t="e">
        <f t="shared" si="9"/>
        <v>#REF!</v>
      </c>
      <c r="AQ13" s="6" t="e">
        <f t="shared" si="9"/>
        <v>#REF!</v>
      </c>
      <c r="AR13" s="6" t="e">
        <f t="shared" si="9"/>
        <v>#REF!</v>
      </c>
      <c r="AS13" s="6" t="e">
        <f t="shared" si="9"/>
        <v>#REF!</v>
      </c>
      <c r="AT13" s="6" t="e">
        <f t="shared" si="9"/>
        <v>#REF!</v>
      </c>
      <c r="AU13" s="6" t="e">
        <f t="shared" si="9"/>
        <v>#REF!</v>
      </c>
      <c r="AV13" s="6" t="e">
        <f t="shared" si="9"/>
        <v>#REF!</v>
      </c>
      <c r="AW13" s="6" t="e">
        <f t="shared" si="9"/>
        <v>#REF!</v>
      </c>
      <c r="AX13" s="6" t="e">
        <f t="shared" si="9"/>
        <v>#REF!</v>
      </c>
      <c r="AY13" s="6" t="e">
        <f t="shared" si="9"/>
        <v>#REF!</v>
      </c>
      <c r="AZ13" s="6" t="e">
        <f t="shared" si="9"/>
        <v>#REF!</v>
      </c>
      <c r="BA13" s="6" t="e">
        <f t="shared" si="9"/>
        <v>#REF!</v>
      </c>
      <c r="BB13" s="6" t="e">
        <f t="shared" si="9"/>
        <v>#REF!</v>
      </c>
      <c r="BC13" s="6" t="e">
        <f t="shared" si="9"/>
        <v>#REF!</v>
      </c>
      <c r="BD13" s="6" t="e">
        <f t="shared" si="9"/>
        <v>#REF!</v>
      </c>
      <c r="BE13" s="6" t="e">
        <f t="shared" si="9"/>
        <v>#REF!</v>
      </c>
      <c r="BF13" s="63" t="e">
        <f t="shared" si="9"/>
        <v>#REF!</v>
      </c>
      <c r="BG13" s="6" t="e">
        <f t="shared" si="9"/>
        <v>#REF!</v>
      </c>
      <c r="BH13" s="6" t="e">
        <f t="shared" si="9"/>
        <v>#REF!</v>
      </c>
      <c r="BI13" s="6" t="e">
        <f t="shared" si="9"/>
        <v>#REF!</v>
      </c>
      <c r="BJ13" s="63" t="e">
        <f t="shared" si="9"/>
        <v>#REF!</v>
      </c>
      <c r="BK13" s="6" t="e">
        <f t="shared" si="9"/>
        <v>#REF!</v>
      </c>
      <c r="BL13" s="6" t="e">
        <f t="shared" si="9"/>
        <v>#REF!</v>
      </c>
      <c r="BM13" s="6" t="e">
        <f t="shared" si="9"/>
        <v>#REF!</v>
      </c>
      <c r="BN13" s="64" t="e">
        <f t="shared" si="9"/>
        <v>#REF!</v>
      </c>
      <c r="BO13" s="28" t="e">
        <f t="shared" si="9"/>
        <v>#REF!</v>
      </c>
      <c r="BP13" s="28" t="e">
        <f t="shared" si="9"/>
        <v>#REF!</v>
      </c>
      <c r="BQ13" s="28" t="e">
        <f t="shared" si="9"/>
        <v>#REF!</v>
      </c>
      <c r="BR13" s="64" t="e">
        <f t="shared" si="9"/>
        <v>#REF!</v>
      </c>
      <c r="BS13" s="28" t="e">
        <f t="shared" si="9"/>
        <v>#REF!</v>
      </c>
      <c r="BT13" s="28" t="e">
        <f t="shared" si="9"/>
        <v>#REF!</v>
      </c>
      <c r="BU13" s="28" t="e">
        <f t="shared" si="9"/>
        <v>#REF!</v>
      </c>
      <c r="BV13" s="6"/>
      <c r="BW13" s="6"/>
      <c r="BX13" s="6"/>
      <c r="BY13" s="6"/>
      <c r="BZ13" s="6"/>
      <c r="CA13" s="6"/>
      <c r="CB13" s="6"/>
      <c r="CC13" s="6"/>
      <c r="CD13" s="6"/>
      <c r="CE13" s="6"/>
      <c r="CF13" s="6"/>
      <c r="CG13" s="6"/>
      <c r="CH13" s="6"/>
      <c r="CI13" s="6"/>
      <c r="CJ13" s="6"/>
      <c r="CK13" s="6"/>
      <c r="CL13" s="6"/>
      <c r="CM13" s="6"/>
      <c r="CN13" s="6"/>
      <c r="CO13" s="6"/>
      <c r="CP13" s="6"/>
    </row>
    <row r="14" spans="1:94">
      <c r="A14" s="57" t="s">
        <v>951</v>
      </c>
      <c r="B14" s="1"/>
      <c r="C14" s="1"/>
      <c r="D14" s="1"/>
      <c r="E14" s="58" t="e">
        <v>#REF!</v>
      </c>
      <c r="F14" s="58" t="e">
        <v>#REF!</v>
      </c>
      <c r="G14" s="58" t="e">
        <v>#REF!</v>
      </c>
      <c r="H14" s="58" t="e">
        <v>#REF!</v>
      </c>
      <c r="I14" s="1" t="e">
        <v>#REF!</v>
      </c>
      <c r="J14" s="58" t="e">
        <v>#REF!</v>
      </c>
      <c r="K14" s="58" t="e">
        <v>#REF!</v>
      </c>
      <c r="L14" s="58" t="e">
        <v>#REF!</v>
      </c>
      <c r="M14" s="58" t="e">
        <v>#REF!</v>
      </c>
      <c r="N14" s="62" t="e">
        <v>#REF!</v>
      </c>
      <c r="O14" s="62" t="e">
        <v>#REF!</v>
      </c>
      <c r="P14" s="62" t="e">
        <v>#REF!</v>
      </c>
      <c r="Q14" s="62" t="e">
        <v>#REF!</v>
      </c>
      <c r="R14" s="62" t="e">
        <v>#REF!</v>
      </c>
      <c r="S14" s="1"/>
      <c r="T14" s="1"/>
      <c r="U14" s="1"/>
      <c r="V14" s="1"/>
      <c r="W14" s="1"/>
      <c r="X14" s="1"/>
      <c r="Y14" s="1"/>
      <c r="Z14" s="1"/>
      <c r="AA14" s="1"/>
      <c r="AB14" s="1"/>
      <c r="AC14" s="1"/>
      <c r="AD14" s="1"/>
      <c r="AE14" s="1"/>
      <c r="AF14" s="59" t="e">
        <f>(R14/M14)^(1/5)-1</f>
        <v>#REF!</v>
      </c>
      <c r="AG14" s="2"/>
      <c r="AH14" s="58" t="e">
        <v>#REF!</v>
      </c>
      <c r="AI14" s="58" t="e">
        <v>#REF!</v>
      </c>
      <c r="AJ14" s="58" t="e">
        <v>#REF!</v>
      </c>
      <c r="AK14" s="58" t="e">
        <v>#REF!</v>
      </c>
      <c r="AL14" s="58" t="e">
        <v>#REF!</v>
      </c>
      <c r="AM14" s="58" t="e">
        <v>#REF!</v>
      </c>
      <c r="AN14" s="58" t="e">
        <v>#REF!</v>
      </c>
      <c r="AO14" s="58" t="e">
        <v>#REF!</v>
      </c>
      <c r="AP14" s="58" t="e">
        <v>#REF!</v>
      </c>
      <c r="AQ14" s="58" t="e">
        <v>#REF!</v>
      </c>
      <c r="AR14" s="58" t="e">
        <v>#REF!</v>
      </c>
      <c r="AS14" s="58" t="e">
        <v>#REF!</v>
      </c>
      <c r="AT14" s="58" t="e">
        <v>#REF!</v>
      </c>
      <c r="AU14" s="58" t="e">
        <v>#REF!</v>
      </c>
      <c r="AV14" s="58" t="e">
        <v>#REF!</v>
      </c>
      <c r="AW14" s="58" t="e">
        <v>#REF!</v>
      </c>
      <c r="AX14" s="58" t="e">
        <v>#REF!</v>
      </c>
      <c r="AY14" s="58" t="e">
        <v>#REF!</v>
      </c>
      <c r="AZ14" s="58" t="e">
        <v>#REF!</v>
      </c>
      <c r="BA14" s="58" t="e">
        <v>#REF!</v>
      </c>
      <c r="BB14" s="58" t="e">
        <v>#REF!</v>
      </c>
      <c r="BC14" s="58" t="e">
        <v>#REF!</v>
      </c>
      <c r="BD14" s="58" t="e">
        <v>#REF!</v>
      </c>
      <c r="BE14" s="58" t="e">
        <v>#REF!</v>
      </c>
      <c r="BF14" s="60" t="e">
        <v>#REF!</v>
      </c>
      <c r="BG14" s="58" t="e">
        <v>#REF!</v>
      </c>
      <c r="BH14" s="58" t="e">
        <v>#REF!</v>
      </c>
      <c r="BI14" s="58" t="e">
        <v>#REF!</v>
      </c>
      <c r="BJ14" s="60" t="e">
        <v>#REF!</v>
      </c>
      <c r="BK14" s="58" t="e">
        <v>#REF!</v>
      </c>
      <c r="BL14" s="58" t="e">
        <v>#REF!</v>
      </c>
      <c r="BM14" s="58" t="e">
        <v>#REF!</v>
      </c>
      <c r="BN14" s="61" t="e">
        <v>#REF!</v>
      </c>
      <c r="BO14" s="62" t="e">
        <v>#REF!</v>
      </c>
      <c r="BP14" s="62" t="e">
        <v>#REF!</v>
      </c>
      <c r="BQ14" s="62" t="e">
        <v>#REF!</v>
      </c>
      <c r="BR14" s="61" t="e">
        <v>#REF!</v>
      </c>
      <c r="BS14" s="62" t="e">
        <v>#REF!</v>
      </c>
      <c r="BT14" s="62" t="e">
        <v>#REF!</v>
      </c>
      <c r="BU14" s="62" t="e">
        <v>#REF!</v>
      </c>
      <c r="BV14" s="58" t="e">
        <f>I14-SUM(AX14:BA14)</f>
        <v>#REF!</v>
      </c>
      <c r="BW14" s="2" t="e">
        <f>M14-SUM(BN14:BQ14)</f>
        <v>#REF!</v>
      </c>
      <c r="BX14" s="58" t="e">
        <f>K14-SUM(BF14:BI14)</f>
        <v>#REF!</v>
      </c>
      <c r="BY14" s="2" t="e">
        <f>L14-SUM(BJ14:BM14)</f>
        <v>#REF!</v>
      </c>
      <c r="BZ14" s="2" t="e">
        <f>N14-SUM(BR14:BU14)</f>
        <v>#REF!</v>
      </c>
      <c r="CA14" s="1"/>
      <c r="CB14" s="1"/>
      <c r="CC14" s="1"/>
      <c r="CD14" s="1"/>
      <c r="CE14" s="1"/>
      <c r="CF14" s="1"/>
      <c r="CG14" s="1"/>
      <c r="CH14" s="1"/>
      <c r="CI14" s="1"/>
      <c r="CJ14" s="1"/>
      <c r="CK14" s="1"/>
      <c r="CL14" s="1"/>
      <c r="CM14" s="1"/>
      <c r="CN14" s="1"/>
      <c r="CO14" s="1"/>
      <c r="CP14" s="1"/>
    </row>
    <row r="15" spans="1:94">
      <c r="A15" s="24" t="s">
        <v>952</v>
      </c>
      <c r="B15" s="6"/>
      <c r="C15" s="6"/>
      <c r="D15" s="6"/>
      <c r="E15" s="6"/>
      <c r="F15" s="6" t="e">
        <f t="shared" ref="F15:R15" si="10">F14/E14-1</f>
        <v>#REF!</v>
      </c>
      <c r="G15" s="6" t="e">
        <f t="shared" si="10"/>
        <v>#REF!</v>
      </c>
      <c r="H15" s="6" t="e">
        <f t="shared" si="10"/>
        <v>#REF!</v>
      </c>
      <c r="I15" s="6" t="e">
        <f t="shared" si="10"/>
        <v>#REF!</v>
      </c>
      <c r="J15" s="6" t="e">
        <f t="shared" si="10"/>
        <v>#REF!</v>
      </c>
      <c r="K15" s="6" t="e">
        <f t="shared" si="10"/>
        <v>#REF!</v>
      </c>
      <c r="L15" s="6" t="e">
        <f t="shared" si="10"/>
        <v>#REF!</v>
      </c>
      <c r="M15" s="6" t="e">
        <f t="shared" si="10"/>
        <v>#REF!</v>
      </c>
      <c r="N15" s="28" t="e">
        <f t="shared" si="10"/>
        <v>#REF!</v>
      </c>
      <c r="O15" s="28" t="e">
        <f t="shared" si="10"/>
        <v>#REF!</v>
      </c>
      <c r="P15" s="28" t="e">
        <f t="shared" si="10"/>
        <v>#REF!</v>
      </c>
      <c r="Q15" s="28" t="e">
        <f t="shared" si="10"/>
        <v>#REF!</v>
      </c>
      <c r="R15" s="28" t="e">
        <f t="shared" si="10"/>
        <v>#REF!</v>
      </c>
      <c r="S15" s="6"/>
      <c r="T15" s="6"/>
      <c r="U15" s="6"/>
      <c r="V15" s="6"/>
      <c r="W15" s="6"/>
      <c r="X15" s="6"/>
      <c r="Y15" s="6"/>
      <c r="Z15" s="6"/>
      <c r="AA15" s="6"/>
      <c r="AB15" s="6"/>
      <c r="AC15" s="6"/>
      <c r="AD15" s="6"/>
      <c r="AE15" s="6"/>
      <c r="AF15" s="47"/>
      <c r="AG15" s="2"/>
      <c r="AH15" s="6"/>
      <c r="AI15" s="6"/>
      <c r="AJ15" s="6"/>
      <c r="AK15" s="6"/>
      <c r="AL15" s="6" t="e">
        <f t="shared" ref="AL15:BU15" si="11">AL14/AH14-1</f>
        <v>#REF!</v>
      </c>
      <c r="AM15" s="6" t="e">
        <f t="shared" si="11"/>
        <v>#REF!</v>
      </c>
      <c r="AN15" s="6" t="e">
        <f t="shared" si="11"/>
        <v>#REF!</v>
      </c>
      <c r="AO15" s="6" t="e">
        <f t="shared" si="11"/>
        <v>#REF!</v>
      </c>
      <c r="AP15" s="6" t="e">
        <f t="shared" si="11"/>
        <v>#REF!</v>
      </c>
      <c r="AQ15" s="6" t="e">
        <f t="shared" si="11"/>
        <v>#REF!</v>
      </c>
      <c r="AR15" s="6" t="e">
        <f t="shared" si="11"/>
        <v>#REF!</v>
      </c>
      <c r="AS15" s="6" t="e">
        <f t="shared" si="11"/>
        <v>#REF!</v>
      </c>
      <c r="AT15" s="6" t="e">
        <f t="shared" si="11"/>
        <v>#REF!</v>
      </c>
      <c r="AU15" s="6" t="e">
        <f t="shared" si="11"/>
        <v>#REF!</v>
      </c>
      <c r="AV15" s="6" t="e">
        <f t="shared" si="11"/>
        <v>#REF!</v>
      </c>
      <c r="AW15" s="6" t="e">
        <f t="shared" si="11"/>
        <v>#REF!</v>
      </c>
      <c r="AX15" s="6" t="e">
        <f t="shared" si="11"/>
        <v>#REF!</v>
      </c>
      <c r="AY15" s="6" t="e">
        <f t="shared" si="11"/>
        <v>#REF!</v>
      </c>
      <c r="AZ15" s="6" t="e">
        <f t="shared" si="11"/>
        <v>#REF!</v>
      </c>
      <c r="BA15" s="6" t="e">
        <f t="shared" si="11"/>
        <v>#REF!</v>
      </c>
      <c r="BB15" s="6" t="e">
        <f t="shared" si="11"/>
        <v>#REF!</v>
      </c>
      <c r="BC15" s="6" t="e">
        <f t="shared" si="11"/>
        <v>#REF!</v>
      </c>
      <c r="BD15" s="6" t="e">
        <f t="shared" si="11"/>
        <v>#REF!</v>
      </c>
      <c r="BE15" s="6" t="e">
        <f t="shared" si="11"/>
        <v>#REF!</v>
      </c>
      <c r="BF15" s="63" t="e">
        <f t="shared" si="11"/>
        <v>#REF!</v>
      </c>
      <c r="BG15" s="6" t="e">
        <f t="shared" si="11"/>
        <v>#REF!</v>
      </c>
      <c r="BH15" s="6" t="e">
        <f t="shared" si="11"/>
        <v>#REF!</v>
      </c>
      <c r="BI15" s="6" t="e">
        <f t="shared" si="11"/>
        <v>#REF!</v>
      </c>
      <c r="BJ15" s="63" t="e">
        <f t="shared" si="11"/>
        <v>#REF!</v>
      </c>
      <c r="BK15" s="6" t="e">
        <f t="shared" si="11"/>
        <v>#REF!</v>
      </c>
      <c r="BL15" s="6" t="e">
        <f t="shared" si="11"/>
        <v>#REF!</v>
      </c>
      <c r="BM15" s="6" t="e">
        <f t="shared" si="11"/>
        <v>#REF!</v>
      </c>
      <c r="BN15" s="64" t="e">
        <f t="shared" si="11"/>
        <v>#REF!</v>
      </c>
      <c r="BO15" s="28" t="e">
        <f t="shared" si="11"/>
        <v>#REF!</v>
      </c>
      <c r="BP15" s="28" t="e">
        <f t="shared" si="11"/>
        <v>#REF!</v>
      </c>
      <c r="BQ15" s="28" t="e">
        <f t="shared" si="11"/>
        <v>#REF!</v>
      </c>
      <c r="BR15" s="64" t="e">
        <f t="shared" si="11"/>
        <v>#REF!</v>
      </c>
      <c r="BS15" s="28" t="e">
        <f t="shared" si="11"/>
        <v>#REF!</v>
      </c>
      <c r="BT15" s="28" t="e">
        <f t="shared" si="11"/>
        <v>#REF!</v>
      </c>
      <c r="BU15" s="28" t="e">
        <f t="shared" si="11"/>
        <v>#REF!</v>
      </c>
      <c r="BV15" s="6"/>
      <c r="BW15" s="6"/>
      <c r="BX15" s="6"/>
      <c r="BY15" s="6"/>
      <c r="BZ15" s="6"/>
      <c r="CA15" s="6"/>
      <c r="CB15" s="6"/>
      <c r="CC15" s="6"/>
      <c r="CD15" s="6"/>
      <c r="CE15" s="6"/>
      <c r="CF15" s="6"/>
      <c r="CG15" s="6"/>
      <c r="CH15" s="6"/>
      <c r="CI15" s="6"/>
      <c r="CJ15" s="6"/>
      <c r="CK15" s="6"/>
      <c r="CL15" s="6"/>
      <c r="CM15" s="6"/>
      <c r="CN15" s="6"/>
      <c r="CO15" s="6"/>
      <c r="CP15" s="6"/>
    </row>
    <row r="16" spans="1:94">
      <c r="A16" s="24" t="s">
        <v>949</v>
      </c>
      <c r="B16" s="6"/>
      <c r="C16" s="6"/>
      <c r="D16" s="6"/>
      <c r="E16" s="6"/>
      <c r="F16" s="6"/>
      <c r="G16" s="6"/>
      <c r="H16" s="6"/>
      <c r="I16" s="6"/>
      <c r="J16" s="65"/>
      <c r="K16" s="65"/>
      <c r="L16" s="65"/>
      <c r="M16" s="65"/>
      <c r="N16" s="28"/>
      <c r="O16" s="28"/>
      <c r="P16" s="28"/>
      <c r="Q16" s="28"/>
      <c r="R16" s="28"/>
      <c r="S16" s="6"/>
      <c r="T16" s="6"/>
      <c r="U16" s="6"/>
      <c r="V16" s="6"/>
      <c r="W16" s="6"/>
      <c r="X16" s="6"/>
      <c r="Y16" s="6"/>
      <c r="Z16" s="6"/>
      <c r="AA16" s="6"/>
      <c r="AB16" s="6"/>
      <c r="AC16" s="6"/>
      <c r="AD16" s="6"/>
      <c r="AE16" s="6"/>
      <c r="AF16" s="47"/>
      <c r="AG16" s="2"/>
      <c r="AH16" s="6"/>
      <c r="AI16" s="6" t="e">
        <f t="shared" ref="AI16:BU16" si="12">AI14/AH14-1</f>
        <v>#REF!</v>
      </c>
      <c r="AJ16" s="6" t="e">
        <f t="shared" si="12"/>
        <v>#REF!</v>
      </c>
      <c r="AK16" s="6" t="e">
        <f t="shared" si="12"/>
        <v>#REF!</v>
      </c>
      <c r="AL16" s="6" t="e">
        <f t="shared" si="12"/>
        <v>#REF!</v>
      </c>
      <c r="AM16" s="6" t="e">
        <f t="shared" si="12"/>
        <v>#REF!</v>
      </c>
      <c r="AN16" s="6" t="e">
        <f t="shared" si="12"/>
        <v>#REF!</v>
      </c>
      <c r="AO16" s="6" t="e">
        <f t="shared" si="12"/>
        <v>#REF!</v>
      </c>
      <c r="AP16" s="6" t="e">
        <f t="shared" si="12"/>
        <v>#REF!</v>
      </c>
      <c r="AQ16" s="6" t="e">
        <f t="shared" si="12"/>
        <v>#REF!</v>
      </c>
      <c r="AR16" s="6" t="e">
        <f t="shared" si="12"/>
        <v>#REF!</v>
      </c>
      <c r="AS16" s="6" t="e">
        <f t="shared" si="12"/>
        <v>#REF!</v>
      </c>
      <c r="AT16" s="6" t="e">
        <f t="shared" si="12"/>
        <v>#REF!</v>
      </c>
      <c r="AU16" s="6" t="e">
        <f t="shared" si="12"/>
        <v>#REF!</v>
      </c>
      <c r="AV16" s="6" t="e">
        <f t="shared" si="12"/>
        <v>#REF!</v>
      </c>
      <c r="AW16" s="6" t="e">
        <f t="shared" si="12"/>
        <v>#REF!</v>
      </c>
      <c r="AX16" s="6" t="e">
        <f t="shared" si="12"/>
        <v>#REF!</v>
      </c>
      <c r="AY16" s="6" t="e">
        <f t="shared" si="12"/>
        <v>#REF!</v>
      </c>
      <c r="AZ16" s="6" t="e">
        <f t="shared" si="12"/>
        <v>#REF!</v>
      </c>
      <c r="BA16" s="6" t="e">
        <f t="shared" si="12"/>
        <v>#REF!</v>
      </c>
      <c r="BB16" s="6" t="e">
        <f t="shared" si="12"/>
        <v>#REF!</v>
      </c>
      <c r="BC16" s="6" t="e">
        <f t="shared" si="12"/>
        <v>#REF!</v>
      </c>
      <c r="BD16" s="6" t="e">
        <f t="shared" si="12"/>
        <v>#REF!</v>
      </c>
      <c r="BE16" s="6" t="e">
        <f t="shared" si="12"/>
        <v>#REF!</v>
      </c>
      <c r="BF16" s="63" t="e">
        <f t="shared" si="12"/>
        <v>#REF!</v>
      </c>
      <c r="BG16" s="6" t="e">
        <f t="shared" si="12"/>
        <v>#REF!</v>
      </c>
      <c r="BH16" s="6" t="e">
        <f t="shared" si="12"/>
        <v>#REF!</v>
      </c>
      <c r="BI16" s="6" t="e">
        <f t="shared" si="12"/>
        <v>#REF!</v>
      </c>
      <c r="BJ16" s="63" t="e">
        <f t="shared" si="12"/>
        <v>#REF!</v>
      </c>
      <c r="BK16" s="6" t="e">
        <f t="shared" si="12"/>
        <v>#REF!</v>
      </c>
      <c r="BL16" s="6" t="e">
        <f t="shared" si="12"/>
        <v>#REF!</v>
      </c>
      <c r="BM16" s="6" t="e">
        <f t="shared" si="12"/>
        <v>#REF!</v>
      </c>
      <c r="BN16" s="64" t="e">
        <f t="shared" si="12"/>
        <v>#REF!</v>
      </c>
      <c r="BO16" s="28" t="e">
        <f t="shared" si="12"/>
        <v>#REF!</v>
      </c>
      <c r="BP16" s="28" t="e">
        <f t="shared" si="12"/>
        <v>#REF!</v>
      </c>
      <c r="BQ16" s="28" t="e">
        <f t="shared" si="12"/>
        <v>#REF!</v>
      </c>
      <c r="BR16" s="64" t="e">
        <f t="shared" si="12"/>
        <v>#REF!</v>
      </c>
      <c r="BS16" s="28" t="e">
        <f t="shared" si="12"/>
        <v>#REF!</v>
      </c>
      <c r="BT16" s="28" t="e">
        <f t="shared" si="12"/>
        <v>#REF!</v>
      </c>
      <c r="BU16" s="28" t="e">
        <f t="shared" si="12"/>
        <v>#REF!</v>
      </c>
      <c r="BV16" s="6"/>
      <c r="BW16" s="6"/>
      <c r="BX16" s="6"/>
      <c r="BY16" s="6"/>
      <c r="BZ16" s="6"/>
      <c r="CA16" s="6"/>
      <c r="CB16" s="6"/>
      <c r="CC16" s="6"/>
      <c r="CD16" s="6"/>
      <c r="CE16" s="6"/>
      <c r="CF16" s="6"/>
      <c r="CG16" s="6"/>
      <c r="CH16" s="6"/>
      <c r="CI16" s="6"/>
      <c r="CJ16" s="6"/>
      <c r="CK16" s="6"/>
      <c r="CL16" s="6"/>
      <c r="CM16" s="6"/>
      <c r="CN16" s="6"/>
      <c r="CO16" s="6"/>
      <c r="CP16" s="6"/>
    </row>
    <row r="17" spans="1:94">
      <c r="A17" s="24" t="s">
        <v>950</v>
      </c>
      <c r="B17" s="6"/>
      <c r="C17" s="6"/>
      <c r="D17" s="6"/>
      <c r="E17" s="6" t="e">
        <f t="shared" ref="E17:R17" si="13">E14/E$29</f>
        <v>#REF!</v>
      </c>
      <c r="F17" s="6" t="e">
        <f t="shared" si="13"/>
        <v>#REF!</v>
      </c>
      <c r="G17" s="6" t="e">
        <f t="shared" si="13"/>
        <v>#REF!</v>
      </c>
      <c r="H17" s="6" t="e">
        <f t="shared" si="13"/>
        <v>#REF!</v>
      </c>
      <c r="I17" s="6" t="e">
        <f t="shared" si="13"/>
        <v>#REF!</v>
      </c>
      <c r="J17" s="6" t="e">
        <f t="shared" si="13"/>
        <v>#REF!</v>
      </c>
      <c r="K17" s="6" t="e">
        <f t="shared" si="13"/>
        <v>#REF!</v>
      </c>
      <c r="L17" s="6" t="e">
        <f t="shared" si="13"/>
        <v>#REF!</v>
      </c>
      <c r="M17" s="6" t="e">
        <f t="shared" si="13"/>
        <v>#REF!</v>
      </c>
      <c r="N17" s="28" t="e">
        <f t="shared" si="13"/>
        <v>#REF!</v>
      </c>
      <c r="O17" s="28" t="e">
        <f t="shared" si="13"/>
        <v>#REF!</v>
      </c>
      <c r="P17" s="28" t="e">
        <f t="shared" si="13"/>
        <v>#REF!</v>
      </c>
      <c r="Q17" s="28" t="e">
        <f t="shared" si="13"/>
        <v>#REF!</v>
      </c>
      <c r="R17" s="28" t="e">
        <f t="shared" si="13"/>
        <v>#REF!</v>
      </c>
      <c r="S17" s="6"/>
      <c r="T17" s="6"/>
      <c r="U17" s="6"/>
      <c r="V17" s="6"/>
      <c r="W17" s="6"/>
      <c r="X17" s="6"/>
      <c r="Y17" s="6"/>
      <c r="Z17" s="6"/>
      <c r="AA17" s="6"/>
      <c r="AB17" s="6"/>
      <c r="AC17" s="6"/>
      <c r="AD17" s="6"/>
      <c r="AE17" s="6"/>
      <c r="AF17" s="47"/>
      <c r="AG17" s="2"/>
      <c r="AH17" s="6" t="e">
        <f t="shared" ref="AH17:BU17" si="14">AH14/AH$29</f>
        <v>#REF!</v>
      </c>
      <c r="AI17" s="6" t="e">
        <f t="shared" si="14"/>
        <v>#REF!</v>
      </c>
      <c r="AJ17" s="6" t="e">
        <f t="shared" si="14"/>
        <v>#REF!</v>
      </c>
      <c r="AK17" s="6" t="e">
        <f t="shared" si="14"/>
        <v>#REF!</v>
      </c>
      <c r="AL17" s="6" t="e">
        <f t="shared" si="14"/>
        <v>#REF!</v>
      </c>
      <c r="AM17" s="6" t="e">
        <f t="shared" si="14"/>
        <v>#REF!</v>
      </c>
      <c r="AN17" s="6" t="e">
        <f t="shared" si="14"/>
        <v>#REF!</v>
      </c>
      <c r="AO17" s="6" t="e">
        <f t="shared" si="14"/>
        <v>#REF!</v>
      </c>
      <c r="AP17" s="6" t="e">
        <f t="shared" si="14"/>
        <v>#REF!</v>
      </c>
      <c r="AQ17" s="6" t="e">
        <f t="shared" si="14"/>
        <v>#REF!</v>
      </c>
      <c r="AR17" s="6" t="e">
        <f t="shared" si="14"/>
        <v>#REF!</v>
      </c>
      <c r="AS17" s="6" t="e">
        <f t="shared" si="14"/>
        <v>#REF!</v>
      </c>
      <c r="AT17" s="6" t="e">
        <f t="shared" si="14"/>
        <v>#REF!</v>
      </c>
      <c r="AU17" s="6" t="e">
        <f t="shared" si="14"/>
        <v>#REF!</v>
      </c>
      <c r="AV17" s="6" t="e">
        <f t="shared" si="14"/>
        <v>#REF!</v>
      </c>
      <c r="AW17" s="6" t="e">
        <f t="shared" si="14"/>
        <v>#REF!</v>
      </c>
      <c r="AX17" s="6" t="e">
        <f t="shared" si="14"/>
        <v>#REF!</v>
      </c>
      <c r="AY17" s="6" t="e">
        <f t="shared" si="14"/>
        <v>#REF!</v>
      </c>
      <c r="AZ17" s="6" t="e">
        <f t="shared" si="14"/>
        <v>#REF!</v>
      </c>
      <c r="BA17" s="6" t="e">
        <f t="shared" si="14"/>
        <v>#REF!</v>
      </c>
      <c r="BB17" s="6" t="e">
        <f t="shared" si="14"/>
        <v>#REF!</v>
      </c>
      <c r="BC17" s="6" t="e">
        <f t="shared" si="14"/>
        <v>#REF!</v>
      </c>
      <c r="BD17" s="6" t="e">
        <f t="shared" si="14"/>
        <v>#REF!</v>
      </c>
      <c r="BE17" s="6" t="e">
        <f t="shared" si="14"/>
        <v>#REF!</v>
      </c>
      <c r="BF17" s="63" t="e">
        <f t="shared" si="14"/>
        <v>#REF!</v>
      </c>
      <c r="BG17" s="6" t="e">
        <f t="shared" si="14"/>
        <v>#REF!</v>
      </c>
      <c r="BH17" s="6" t="e">
        <f t="shared" si="14"/>
        <v>#REF!</v>
      </c>
      <c r="BI17" s="6" t="e">
        <f t="shared" si="14"/>
        <v>#REF!</v>
      </c>
      <c r="BJ17" s="63" t="e">
        <f t="shared" si="14"/>
        <v>#REF!</v>
      </c>
      <c r="BK17" s="6" t="e">
        <f t="shared" si="14"/>
        <v>#REF!</v>
      </c>
      <c r="BL17" s="6" t="e">
        <f t="shared" si="14"/>
        <v>#REF!</v>
      </c>
      <c r="BM17" s="6" t="e">
        <f t="shared" si="14"/>
        <v>#REF!</v>
      </c>
      <c r="BN17" s="64" t="e">
        <f t="shared" si="14"/>
        <v>#REF!</v>
      </c>
      <c r="BO17" s="28" t="e">
        <f t="shared" si="14"/>
        <v>#REF!</v>
      </c>
      <c r="BP17" s="28" t="e">
        <f t="shared" si="14"/>
        <v>#REF!</v>
      </c>
      <c r="BQ17" s="28" t="e">
        <f t="shared" si="14"/>
        <v>#REF!</v>
      </c>
      <c r="BR17" s="64" t="e">
        <f t="shared" si="14"/>
        <v>#REF!</v>
      </c>
      <c r="BS17" s="28" t="e">
        <f t="shared" si="14"/>
        <v>#REF!</v>
      </c>
      <c r="BT17" s="28" t="e">
        <f t="shared" si="14"/>
        <v>#REF!</v>
      </c>
      <c r="BU17" s="28" t="e">
        <f t="shared" si="14"/>
        <v>#REF!</v>
      </c>
      <c r="BV17" s="6"/>
      <c r="BW17" s="6"/>
      <c r="BX17" s="6"/>
      <c r="BY17" s="6"/>
      <c r="BZ17" s="6"/>
      <c r="CA17" s="6"/>
      <c r="CB17" s="6"/>
      <c r="CC17" s="6"/>
      <c r="CD17" s="6"/>
      <c r="CE17" s="6"/>
      <c r="CF17" s="6"/>
      <c r="CG17" s="6"/>
      <c r="CH17" s="6"/>
      <c r="CI17" s="6"/>
      <c r="CJ17" s="6"/>
      <c r="CK17" s="6"/>
      <c r="CL17" s="6"/>
      <c r="CM17" s="6"/>
      <c r="CN17" s="6"/>
      <c r="CO17" s="6"/>
      <c r="CP17" s="6"/>
    </row>
    <row r="18" spans="1:94">
      <c r="A18" s="57" t="s">
        <v>953</v>
      </c>
      <c r="B18" s="1"/>
      <c r="C18" s="1"/>
      <c r="D18" s="1"/>
      <c r="E18" s="58" t="e">
        <v>#REF!</v>
      </c>
      <c r="F18" s="58" t="e">
        <v>#REF!</v>
      </c>
      <c r="G18" s="58" t="e">
        <v>#REF!</v>
      </c>
      <c r="H18" s="58" t="e">
        <v>#REF!</v>
      </c>
      <c r="I18" s="58" t="e">
        <v>#REF!</v>
      </c>
      <c r="J18" s="1" t="e">
        <f>SUM(BB18:BE18)</f>
        <v>#REF!</v>
      </c>
      <c r="K18" s="1" t="e">
        <v>#REF!</v>
      </c>
      <c r="L18" s="1" t="e">
        <v>#REF!</v>
      </c>
      <c r="M18" s="1" t="e">
        <v>#REF!</v>
      </c>
      <c r="N18" s="16" t="e">
        <v>#REF!</v>
      </c>
      <c r="O18" s="16" t="e">
        <v>#REF!</v>
      </c>
      <c r="P18" s="16" t="e">
        <v>#REF!</v>
      </c>
      <c r="Q18" s="16" t="e">
        <v>#REF!</v>
      </c>
      <c r="R18" s="16" t="e">
        <v>#REF!</v>
      </c>
      <c r="S18" s="1"/>
      <c r="T18" s="1"/>
      <c r="U18" s="1"/>
      <c r="V18" s="1"/>
      <c r="W18" s="1"/>
      <c r="X18" s="1"/>
      <c r="Y18" s="1"/>
      <c r="Z18" s="1"/>
      <c r="AA18" s="1"/>
      <c r="AB18" s="1"/>
      <c r="AC18" s="1"/>
      <c r="AD18" s="1"/>
      <c r="AE18" s="1"/>
      <c r="AF18" s="59" t="e">
        <f>(R18/M18)^(1/5)-1</f>
        <v>#REF!</v>
      </c>
      <c r="AG18" s="2"/>
      <c r="AH18" s="58" t="e">
        <v>#REF!</v>
      </c>
      <c r="AI18" s="58" t="e">
        <v>#REF!</v>
      </c>
      <c r="AJ18" s="58" t="e">
        <v>#REF!</v>
      </c>
      <c r="AK18" s="58" t="e">
        <v>#REF!</v>
      </c>
      <c r="AL18" s="58" t="e">
        <v>#REF!</v>
      </c>
      <c r="AM18" s="58" t="e">
        <v>#REF!</v>
      </c>
      <c r="AN18" s="58" t="e">
        <v>#REF!</v>
      </c>
      <c r="AO18" s="58" t="e">
        <v>#REF!</v>
      </c>
      <c r="AP18" s="58" t="e">
        <v>#REF!</v>
      </c>
      <c r="AQ18" s="58" t="e">
        <v>#REF!</v>
      </c>
      <c r="AR18" s="58" t="e">
        <v>#REF!</v>
      </c>
      <c r="AS18" s="58" t="e">
        <v>#REF!</v>
      </c>
      <c r="AT18" s="58" t="e">
        <v>#REF!</v>
      </c>
      <c r="AU18" s="58" t="e">
        <v>#REF!</v>
      </c>
      <c r="AV18" s="58" t="e">
        <v>#REF!</v>
      </c>
      <c r="AW18" s="1" t="e">
        <v>#REF!</v>
      </c>
      <c r="AX18" s="1" t="e">
        <v>#REF!</v>
      </c>
      <c r="AY18" s="1" t="e">
        <v>#REF!</v>
      </c>
      <c r="AZ18" s="1" t="e">
        <v>#REF!</v>
      </c>
      <c r="BA18" s="1" t="e">
        <v>#REF!</v>
      </c>
      <c r="BB18" s="1" t="e">
        <v>#REF!</v>
      </c>
      <c r="BC18" s="1" t="e">
        <v>#REF!</v>
      </c>
      <c r="BD18" s="1" t="e">
        <v>#REF!</v>
      </c>
      <c r="BE18" s="1" t="e">
        <v>#REF!</v>
      </c>
      <c r="BF18" s="66" t="e">
        <v>#REF!</v>
      </c>
      <c r="BG18" s="1" t="e">
        <v>#REF!</v>
      </c>
      <c r="BH18" s="1" t="e">
        <v>#REF!</v>
      </c>
      <c r="BI18" s="1" t="e">
        <v>#REF!</v>
      </c>
      <c r="BJ18" s="66" t="e">
        <v>#REF!</v>
      </c>
      <c r="BK18" s="1" t="e">
        <v>#REF!</v>
      </c>
      <c r="BL18" s="1" t="e">
        <v>#REF!</v>
      </c>
      <c r="BM18" s="1" t="e">
        <v>#REF!</v>
      </c>
      <c r="BN18" s="67" t="e">
        <v>#REF!</v>
      </c>
      <c r="BO18" s="16" t="e">
        <v>#REF!</v>
      </c>
      <c r="BP18" s="16" t="e">
        <v>#REF!</v>
      </c>
      <c r="BQ18" s="16" t="e">
        <v>#REF!</v>
      </c>
      <c r="BR18" s="67" t="e">
        <v>#REF!</v>
      </c>
      <c r="BS18" s="16" t="e">
        <v>#REF!</v>
      </c>
      <c r="BT18" s="16" t="e">
        <v>#REF!</v>
      </c>
      <c r="BU18" s="16" t="e">
        <v>#REF!</v>
      </c>
      <c r="BV18" s="58" t="e">
        <f>I18-SUM(AX18:BA18)</f>
        <v>#REF!</v>
      </c>
      <c r="BW18" s="2" t="e">
        <f>M18-SUM(BN18:BQ18)</f>
        <v>#REF!</v>
      </c>
      <c r="BX18" s="58" t="e">
        <f>K18-SUM(BF18:BI18)</f>
        <v>#REF!</v>
      </c>
      <c r="BY18" s="2" t="e">
        <f>L18-SUM(BJ18:BM18)</f>
        <v>#REF!</v>
      </c>
      <c r="BZ18" s="2" t="e">
        <f>N18-SUM(BR18:BU18)</f>
        <v>#REF!</v>
      </c>
      <c r="CA18" s="1"/>
      <c r="CB18" s="1"/>
      <c r="CC18" s="1"/>
      <c r="CD18" s="1"/>
      <c r="CE18" s="1"/>
      <c r="CF18" s="1"/>
      <c r="CG18" s="1"/>
      <c r="CH18" s="1"/>
      <c r="CI18" s="1"/>
      <c r="CJ18" s="1"/>
      <c r="CK18" s="1"/>
      <c r="CL18" s="1"/>
      <c r="CM18" s="1"/>
      <c r="CN18" s="1"/>
      <c r="CO18" s="1"/>
      <c r="CP18" s="1"/>
    </row>
    <row r="19" spans="1:94">
      <c r="A19" s="24" t="s">
        <v>952</v>
      </c>
      <c r="B19" s="6"/>
      <c r="C19" s="6"/>
      <c r="D19" s="6"/>
      <c r="E19" s="6"/>
      <c r="F19" s="6" t="e">
        <f t="shared" ref="F19:R19" si="15">F18/E18-1</f>
        <v>#REF!</v>
      </c>
      <c r="G19" s="6" t="e">
        <f t="shared" si="15"/>
        <v>#REF!</v>
      </c>
      <c r="H19" s="6" t="e">
        <f t="shared" si="15"/>
        <v>#REF!</v>
      </c>
      <c r="I19" s="6" t="e">
        <f t="shared" si="15"/>
        <v>#REF!</v>
      </c>
      <c r="J19" s="6" t="e">
        <f t="shared" si="15"/>
        <v>#REF!</v>
      </c>
      <c r="K19" s="6" t="e">
        <f t="shared" si="15"/>
        <v>#REF!</v>
      </c>
      <c r="L19" s="6" t="e">
        <f t="shared" si="15"/>
        <v>#REF!</v>
      </c>
      <c r="M19" s="6" t="e">
        <f t="shared" si="15"/>
        <v>#REF!</v>
      </c>
      <c r="N19" s="28" t="e">
        <f t="shared" si="15"/>
        <v>#REF!</v>
      </c>
      <c r="O19" s="28" t="e">
        <f t="shared" si="15"/>
        <v>#REF!</v>
      </c>
      <c r="P19" s="28" t="e">
        <f t="shared" si="15"/>
        <v>#REF!</v>
      </c>
      <c r="Q19" s="28" t="e">
        <f t="shared" si="15"/>
        <v>#REF!</v>
      </c>
      <c r="R19" s="28" t="e">
        <f t="shared" si="15"/>
        <v>#REF!</v>
      </c>
      <c r="S19" s="6"/>
      <c r="T19" s="6"/>
      <c r="U19" s="6"/>
      <c r="V19" s="6"/>
      <c r="W19" s="6"/>
      <c r="X19" s="6"/>
      <c r="Y19" s="6"/>
      <c r="Z19" s="6"/>
      <c r="AA19" s="6"/>
      <c r="AB19" s="6"/>
      <c r="AC19" s="6"/>
      <c r="AD19" s="6"/>
      <c r="AE19" s="6"/>
      <c r="AF19" s="47"/>
      <c r="AG19" s="2"/>
      <c r="AH19" s="6"/>
      <c r="AI19" s="6"/>
      <c r="AJ19" s="6"/>
      <c r="AK19" s="6"/>
      <c r="AL19" s="6" t="e">
        <f t="shared" ref="AL19:BU19" si="16">AL18/AH18-1</f>
        <v>#REF!</v>
      </c>
      <c r="AM19" s="6" t="e">
        <f t="shared" si="16"/>
        <v>#REF!</v>
      </c>
      <c r="AN19" s="6" t="e">
        <f t="shared" si="16"/>
        <v>#REF!</v>
      </c>
      <c r="AO19" s="6" t="e">
        <f t="shared" si="16"/>
        <v>#REF!</v>
      </c>
      <c r="AP19" s="6" t="e">
        <f t="shared" si="16"/>
        <v>#REF!</v>
      </c>
      <c r="AQ19" s="6" t="e">
        <f t="shared" si="16"/>
        <v>#REF!</v>
      </c>
      <c r="AR19" s="6" t="e">
        <f t="shared" si="16"/>
        <v>#REF!</v>
      </c>
      <c r="AS19" s="6" t="e">
        <f t="shared" si="16"/>
        <v>#REF!</v>
      </c>
      <c r="AT19" s="6" t="e">
        <f t="shared" si="16"/>
        <v>#REF!</v>
      </c>
      <c r="AU19" s="6" t="e">
        <f t="shared" si="16"/>
        <v>#REF!</v>
      </c>
      <c r="AV19" s="6" t="e">
        <f t="shared" si="16"/>
        <v>#REF!</v>
      </c>
      <c r="AW19" s="6" t="e">
        <f t="shared" si="16"/>
        <v>#REF!</v>
      </c>
      <c r="AX19" s="6" t="e">
        <f t="shared" si="16"/>
        <v>#REF!</v>
      </c>
      <c r="AY19" s="6" t="e">
        <f t="shared" si="16"/>
        <v>#REF!</v>
      </c>
      <c r="AZ19" s="6" t="e">
        <f t="shared" si="16"/>
        <v>#REF!</v>
      </c>
      <c r="BA19" s="6" t="e">
        <f t="shared" si="16"/>
        <v>#REF!</v>
      </c>
      <c r="BB19" s="6" t="e">
        <f t="shared" si="16"/>
        <v>#REF!</v>
      </c>
      <c r="BC19" s="6" t="e">
        <f t="shared" si="16"/>
        <v>#REF!</v>
      </c>
      <c r="BD19" s="6" t="e">
        <f t="shared" si="16"/>
        <v>#REF!</v>
      </c>
      <c r="BE19" s="6" t="e">
        <f t="shared" si="16"/>
        <v>#REF!</v>
      </c>
      <c r="BF19" s="63" t="e">
        <f t="shared" si="16"/>
        <v>#REF!</v>
      </c>
      <c r="BG19" s="6" t="e">
        <f t="shared" si="16"/>
        <v>#REF!</v>
      </c>
      <c r="BH19" s="6" t="e">
        <f t="shared" si="16"/>
        <v>#REF!</v>
      </c>
      <c r="BI19" s="6" t="e">
        <f t="shared" si="16"/>
        <v>#REF!</v>
      </c>
      <c r="BJ19" s="63" t="e">
        <f t="shared" si="16"/>
        <v>#REF!</v>
      </c>
      <c r="BK19" s="6" t="e">
        <f t="shared" si="16"/>
        <v>#REF!</v>
      </c>
      <c r="BL19" s="6" t="e">
        <f t="shared" si="16"/>
        <v>#REF!</v>
      </c>
      <c r="BM19" s="6" t="e">
        <f t="shared" si="16"/>
        <v>#REF!</v>
      </c>
      <c r="BN19" s="64" t="e">
        <f t="shared" si="16"/>
        <v>#REF!</v>
      </c>
      <c r="BO19" s="28" t="e">
        <f t="shared" si="16"/>
        <v>#REF!</v>
      </c>
      <c r="BP19" s="28" t="e">
        <f t="shared" si="16"/>
        <v>#REF!</v>
      </c>
      <c r="BQ19" s="28" t="e">
        <f t="shared" si="16"/>
        <v>#REF!</v>
      </c>
      <c r="BR19" s="64" t="e">
        <f t="shared" si="16"/>
        <v>#REF!</v>
      </c>
      <c r="BS19" s="28" t="e">
        <f t="shared" si="16"/>
        <v>#REF!</v>
      </c>
      <c r="BT19" s="28" t="e">
        <f t="shared" si="16"/>
        <v>#REF!</v>
      </c>
      <c r="BU19" s="28" t="e">
        <f t="shared" si="16"/>
        <v>#REF!</v>
      </c>
      <c r="BV19" s="6"/>
      <c r="BW19" s="6"/>
      <c r="BX19" s="6"/>
      <c r="BY19" s="6"/>
      <c r="BZ19" s="6"/>
      <c r="CA19" s="6"/>
      <c r="CB19" s="6"/>
      <c r="CC19" s="6"/>
      <c r="CD19" s="6"/>
      <c r="CE19" s="6"/>
      <c r="CF19" s="6"/>
      <c r="CG19" s="6"/>
      <c r="CH19" s="6"/>
      <c r="CI19" s="6"/>
      <c r="CJ19" s="6"/>
      <c r="CK19" s="6"/>
      <c r="CL19" s="6"/>
      <c r="CM19" s="6"/>
      <c r="CN19" s="6"/>
      <c r="CO19" s="6"/>
      <c r="CP19" s="6"/>
    </row>
    <row r="20" spans="1:94">
      <c r="A20" s="24" t="s">
        <v>949</v>
      </c>
      <c r="B20" s="6"/>
      <c r="C20" s="6"/>
      <c r="D20" s="6"/>
      <c r="E20" s="6"/>
      <c r="F20" s="6"/>
      <c r="G20" s="6"/>
      <c r="H20" s="6"/>
      <c r="I20" s="6"/>
      <c r="J20" s="6"/>
      <c r="K20" s="65"/>
      <c r="L20" s="65"/>
      <c r="M20" s="65"/>
      <c r="N20" s="28"/>
      <c r="O20" s="28"/>
      <c r="P20" s="28"/>
      <c r="Q20" s="28"/>
      <c r="R20" s="28"/>
      <c r="S20" s="6"/>
      <c r="T20" s="6"/>
      <c r="U20" s="6"/>
      <c r="V20" s="6"/>
      <c r="W20" s="6"/>
      <c r="X20" s="6"/>
      <c r="Y20" s="6"/>
      <c r="Z20" s="6"/>
      <c r="AA20" s="6"/>
      <c r="AB20" s="6"/>
      <c r="AC20" s="6"/>
      <c r="AD20" s="6"/>
      <c r="AE20" s="6"/>
      <c r="AF20" s="47"/>
      <c r="AG20" s="2"/>
      <c r="AH20" s="6"/>
      <c r="AI20" s="6" t="e">
        <f t="shared" ref="AI20:BR20" si="17">AI18/AH18-1</f>
        <v>#REF!</v>
      </c>
      <c r="AJ20" s="6" t="e">
        <f t="shared" si="17"/>
        <v>#REF!</v>
      </c>
      <c r="AK20" s="6" t="e">
        <f t="shared" si="17"/>
        <v>#REF!</v>
      </c>
      <c r="AL20" s="6" t="e">
        <f t="shared" si="17"/>
        <v>#REF!</v>
      </c>
      <c r="AM20" s="6" t="e">
        <f t="shared" si="17"/>
        <v>#REF!</v>
      </c>
      <c r="AN20" s="6" t="e">
        <f t="shared" si="17"/>
        <v>#REF!</v>
      </c>
      <c r="AO20" s="6" t="e">
        <f t="shared" si="17"/>
        <v>#REF!</v>
      </c>
      <c r="AP20" s="6" t="e">
        <f t="shared" si="17"/>
        <v>#REF!</v>
      </c>
      <c r="AQ20" s="6" t="e">
        <f t="shared" si="17"/>
        <v>#REF!</v>
      </c>
      <c r="AR20" s="6" t="e">
        <f t="shared" si="17"/>
        <v>#REF!</v>
      </c>
      <c r="AS20" s="6" t="e">
        <f t="shared" si="17"/>
        <v>#REF!</v>
      </c>
      <c r="AT20" s="6" t="e">
        <f t="shared" si="17"/>
        <v>#REF!</v>
      </c>
      <c r="AU20" s="6" t="e">
        <f t="shared" si="17"/>
        <v>#REF!</v>
      </c>
      <c r="AV20" s="6" t="e">
        <f t="shared" si="17"/>
        <v>#REF!</v>
      </c>
      <c r="AW20" s="6" t="e">
        <f t="shared" si="17"/>
        <v>#REF!</v>
      </c>
      <c r="AX20" s="6" t="e">
        <f t="shared" si="17"/>
        <v>#REF!</v>
      </c>
      <c r="AY20" s="6" t="e">
        <f t="shared" si="17"/>
        <v>#REF!</v>
      </c>
      <c r="AZ20" s="6" t="e">
        <f t="shared" si="17"/>
        <v>#REF!</v>
      </c>
      <c r="BA20" s="6" t="e">
        <f t="shared" si="17"/>
        <v>#REF!</v>
      </c>
      <c r="BB20" s="6" t="e">
        <f t="shared" si="17"/>
        <v>#REF!</v>
      </c>
      <c r="BC20" s="6" t="e">
        <f t="shared" si="17"/>
        <v>#REF!</v>
      </c>
      <c r="BD20" s="6" t="e">
        <f t="shared" si="17"/>
        <v>#REF!</v>
      </c>
      <c r="BE20" s="6" t="e">
        <f t="shared" si="17"/>
        <v>#REF!</v>
      </c>
      <c r="BF20" s="63" t="e">
        <f t="shared" si="17"/>
        <v>#REF!</v>
      </c>
      <c r="BG20" s="6" t="e">
        <f t="shared" si="17"/>
        <v>#REF!</v>
      </c>
      <c r="BH20" s="6" t="e">
        <f t="shared" si="17"/>
        <v>#REF!</v>
      </c>
      <c r="BI20" s="6" t="e">
        <f t="shared" si="17"/>
        <v>#REF!</v>
      </c>
      <c r="BJ20" s="63" t="e">
        <f t="shared" si="17"/>
        <v>#REF!</v>
      </c>
      <c r="BK20" s="6" t="e">
        <f t="shared" si="17"/>
        <v>#REF!</v>
      </c>
      <c r="BL20" s="6" t="e">
        <f t="shared" si="17"/>
        <v>#REF!</v>
      </c>
      <c r="BM20" s="6" t="e">
        <f t="shared" si="17"/>
        <v>#REF!</v>
      </c>
      <c r="BN20" s="64" t="e">
        <f t="shared" si="17"/>
        <v>#REF!</v>
      </c>
      <c r="BO20" s="28" t="e">
        <f t="shared" si="17"/>
        <v>#REF!</v>
      </c>
      <c r="BP20" s="28" t="e">
        <f t="shared" si="17"/>
        <v>#REF!</v>
      </c>
      <c r="BQ20" s="28" t="e">
        <f t="shared" si="17"/>
        <v>#REF!</v>
      </c>
      <c r="BR20" s="64" t="e">
        <f t="shared" si="17"/>
        <v>#REF!</v>
      </c>
      <c r="BS20" s="28"/>
      <c r="BT20" s="28" t="e">
        <f>BT18/BS18-1</f>
        <v>#REF!</v>
      </c>
      <c r="BU20" s="28" t="e">
        <f>BU18/BT18-1</f>
        <v>#REF!</v>
      </c>
      <c r="BV20" s="6"/>
      <c r="BW20" s="6"/>
      <c r="BX20" s="6"/>
      <c r="BY20" s="6"/>
      <c r="BZ20" s="6"/>
      <c r="CA20" s="6"/>
      <c r="CB20" s="6"/>
      <c r="CC20" s="6"/>
      <c r="CD20" s="6"/>
      <c r="CE20" s="6"/>
      <c r="CF20" s="6"/>
      <c r="CG20" s="6"/>
      <c r="CH20" s="6"/>
      <c r="CI20" s="6"/>
      <c r="CJ20" s="6"/>
      <c r="CK20" s="6"/>
      <c r="CL20" s="6"/>
      <c r="CM20" s="6"/>
      <c r="CN20" s="6"/>
      <c r="CO20" s="6"/>
      <c r="CP20" s="6"/>
    </row>
    <row r="21" spans="1:94">
      <c r="A21" s="24" t="s">
        <v>950</v>
      </c>
      <c r="B21" s="6"/>
      <c r="C21" s="6"/>
      <c r="D21" s="6"/>
      <c r="E21" s="6" t="e">
        <f t="shared" ref="E21:R21" si="18">E18/E$29</f>
        <v>#REF!</v>
      </c>
      <c r="F21" s="6" t="e">
        <f t="shared" si="18"/>
        <v>#REF!</v>
      </c>
      <c r="G21" s="6" t="e">
        <f t="shared" si="18"/>
        <v>#REF!</v>
      </c>
      <c r="H21" s="6" t="e">
        <f t="shared" si="18"/>
        <v>#REF!</v>
      </c>
      <c r="I21" s="6" t="e">
        <f t="shared" si="18"/>
        <v>#REF!</v>
      </c>
      <c r="J21" s="6" t="e">
        <f t="shared" si="18"/>
        <v>#REF!</v>
      </c>
      <c r="K21" s="6" t="e">
        <f t="shared" si="18"/>
        <v>#REF!</v>
      </c>
      <c r="L21" s="6" t="e">
        <f t="shared" si="18"/>
        <v>#REF!</v>
      </c>
      <c r="M21" s="6" t="e">
        <f t="shared" si="18"/>
        <v>#REF!</v>
      </c>
      <c r="N21" s="28" t="e">
        <f t="shared" si="18"/>
        <v>#REF!</v>
      </c>
      <c r="O21" s="28" t="e">
        <f t="shared" si="18"/>
        <v>#REF!</v>
      </c>
      <c r="P21" s="28" t="e">
        <f t="shared" si="18"/>
        <v>#REF!</v>
      </c>
      <c r="Q21" s="28" t="e">
        <f t="shared" si="18"/>
        <v>#REF!</v>
      </c>
      <c r="R21" s="28" t="e">
        <f t="shared" si="18"/>
        <v>#REF!</v>
      </c>
      <c r="S21" s="6"/>
      <c r="T21" s="6"/>
      <c r="U21" s="6"/>
      <c r="V21" s="6"/>
      <c r="W21" s="6"/>
      <c r="X21" s="6"/>
      <c r="Y21" s="6"/>
      <c r="Z21" s="6"/>
      <c r="AA21" s="6"/>
      <c r="AB21" s="6"/>
      <c r="AC21" s="6"/>
      <c r="AD21" s="6"/>
      <c r="AE21" s="6"/>
      <c r="AF21" s="47"/>
      <c r="AG21" s="2"/>
      <c r="AH21" s="6" t="e">
        <f t="shared" ref="AH21:BU21" si="19">AH18/AH$29</f>
        <v>#REF!</v>
      </c>
      <c r="AI21" s="6" t="e">
        <f t="shared" si="19"/>
        <v>#REF!</v>
      </c>
      <c r="AJ21" s="6" t="e">
        <f t="shared" si="19"/>
        <v>#REF!</v>
      </c>
      <c r="AK21" s="6" t="e">
        <f t="shared" si="19"/>
        <v>#REF!</v>
      </c>
      <c r="AL21" s="6" t="e">
        <f t="shared" si="19"/>
        <v>#REF!</v>
      </c>
      <c r="AM21" s="6" t="e">
        <f t="shared" si="19"/>
        <v>#REF!</v>
      </c>
      <c r="AN21" s="6" t="e">
        <f t="shared" si="19"/>
        <v>#REF!</v>
      </c>
      <c r="AO21" s="6" t="e">
        <f t="shared" si="19"/>
        <v>#REF!</v>
      </c>
      <c r="AP21" s="6" t="e">
        <f t="shared" si="19"/>
        <v>#REF!</v>
      </c>
      <c r="AQ21" s="6" t="e">
        <f t="shared" si="19"/>
        <v>#REF!</v>
      </c>
      <c r="AR21" s="6" t="e">
        <f t="shared" si="19"/>
        <v>#REF!</v>
      </c>
      <c r="AS21" s="6" t="e">
        <f t="shared" si="19"/>
        <v>#REF!</v>
      </c>
      <c r="AT21" s="6" t="e">
        <f t="shared" si="19"/>
        <v>#REF!</v>
      </c>
      <c r="AU21" s="6" t="e">
        <f t="shared" si="19"/>
        <v>#REF!</v>
      </c>
      <c r="AV21" s="6" t="e">
        <f t="shared" si="19"/>
        <v>#REF!</v>
      </c>
      <c r="AW21" s="6" t="e">
        <f t="shared" si="19"/>
        <v>#REF!</v>
      </c>
      <c r="AX21" s="6" t="e">
        <f t="shared" si="19"/>
        <v>#REF!</v>
      </c>
      <c r="AY21" s="6" t="e">
        <f t="shared" si="19"/>
        <v>#REF!</v>
      </c>
      <c r="AZ21" s="6" t="e">
        <f t="shared" si="19"/>
        <v>#REF!</v>
      </c>
      <c r="BA21" s="6" t="e">
        <f t="shared" si="19"/>
        <v>#REF!</v>
      </c>
      <c r="BB21" s="6" t="e">
        <f t="shared" si="19"/>
        <v>#REF!</v>
      </c>
      <c r="BC21" s="6" t="e">
        <f t="shared" si="19"/>
        <v>#REF!</v>
      </c>
      <c r="BD21" s="6" t="e">
        <f t="shared" si="19"/>
        <v>#REF!</v>
      </c>
      <c r="BE21" s="6" t="e">
        <f t="shared" si="19"/>
        <v>#REF!</v>
      </c>
      <c r="BF21" s="63" t="e">
        <f t="shared" si="19"/>
        <v>#REF!</v>
      </c>
      <c r="BG21" s="6" t="e">
        <f t="shared" si="19"/>
        <v>#REF!</v>
      </c>
      <c r="BH21" s="6" t="e">
        <f t="shared" si="19"/>
        <v>#REF!</v>
      </c>
      <c r="BI21" s="6" t="e">
        <f t="shared" si="19"/>
        <v>#REF!</v>
      </c>
      <c r="BJ21" s="63" t="e">
        <f t="shared" si="19"/>
        <v>#REF!</v>
      </c>
      <c r="BK21" s="6" t="e">
        <f t="shared" si="19"/>
        <v>#REF!</v>
      </c>
      <c r="BL21" s="6" t="e">
        <f t="shared" si="19"/>
        <v>#REF!</v>
      </c>
      <c r="BM21" s="6" t="e">
        <f t="shared" si="19"/>
        <v>#REF!</v>
      </c>
      <c r="BN21" s="64" t="e">
        <f t="shared" si="19"/>
        <v>#REF!</v>
      </c>
      <c r="BO21" s="28" t="e">
        <f t="shared" si="19"/>
        <v>#REF!</v>
      </c>
      <c r="BP21" s="28" t="e">
        <f t="shared" si="19"/>
        <v>#REF!</v>
      </c>
      <c r="BQ21" s="28" t="e">
        <f t="shared" si="19"/>
        <v>#REF!</v>
      </c>
      <c r="BR21" s="64" t="e">
        <f t="shared" si="19"/>
        <v>#REF!</v>
      </c>
      <c r="BS21" s="28" t="e">
        <f t="shared" si="19"/>
        <v>#REF!</v>
      </c>
      <c r="BT21" s="28" t="e">
        <f t="shared" si="19"/>
        <v>#REF!</v>
      </c>
      <c r="BU21" s="28" t="e">
        <f t="shared" si="19"/>
        <v>#REF!</v>
      </c>
      <c r="BV21" s="6"/>
      <c r="BW21" s="6"/>
      <c r="BX21" s="6"/>
      <c r="BY21" s="6"/>
      <c r="BZ21" s="6"/>
      <c r="CA21" s="6"/>
      <c r="CB21" s="6"/>
      <c r="CC21" s="6"/>
      <c r="CD21" s="6"/>
      <c r="CE21" s="6"/>
      <c r="CF21" s="6"/>
      <c r="CG21" s="6"/>
      <c r="CH21" s="6"/>
      <c r="CI21" s="6"/>
      <c r="CJ21" s="6"/>
      <c r="CK21" s="6"/>
      <c r="CL21" s="6"/>
      <c r="CM21" s="6"/>
      <c r="CN21" s="6"/>
      <c r="CO21" s="6"/>
      <c r="CP21" s="6"/>
    </row>
    <row r="22" spans="1:94">
      <c r="A22" s="57" t="s">
        <v>954</v>
      </c>
      <c r="B22" s="1"/>
      <c r="C22" s="1"/>
      <c r="D22" s="1"/>
      <c r="E22" s="58" t="e">
        <v>#REF!</v>
      </c>
      <c r="F22" s="58" t="e">
        <v>#REF!</v>
      </c>
      <c r="G22" s="58" t="e">
        <v>#REF!</v>
      </c>
      <c r="H22" s="58" t="e">
        <v>#REF!</v>
      </c>
      <c r="I22" s="1" t="e">
        <v>#REF!</v>
      </c>
      <c r="J22" s="58" t="e">
        <v>#REF!</v>
      </c>
      <c r="K22" s="58" t="e">
        <v>#REF!</v>
      </c>
      <c r="L22" s="58" t="e">
        <v>#REF!</v>
      </c>
      <c r="M22" s="58" t="e">
        <v>#REF!</v>
      </c>
      <c r="N22" s="62" t="e">
        <v>#REF!</v>
      </c>
      <c r="O22" s="62" t="e">
        <v>#REF!</v>
      </c>
      <c r="P22" s="62" t="e">
        <v>#REF!</v>
      </c>
      <c r="Q22" s="62" t="e">
        <v>#REF!</v>
      </c>
      <c r="R22" s="62" t="e">
        <v>#REF!</v>
      </c>
      <c r="S22" s="1"/>
      <c r="T22" s="1"/>
      <c r="U22" s="1"/>
      <c r="V22" s="1"/>
      <c r="W22" s="1"/>
      <c r="X22" s="1"/>
      <c r="Y22" s="1"/>
      <c r="Z22" s="1"/>
      <c r="AA22" s="1"/>
      <c r="AB22" s="1"/>
      <c r="AC22" s="1"/>
      <c r="AD22" s="1"/>
      <c r="AE22" s="1"/>
      <c r="AF22" s="59" t="e">
        <f>(R22/M22)^(1/5)-1</f>
        <v>#REF!</v>
      </c>
      <c r="AG22" s="2"/>
      <c r="AH22" s="58" t="e">
        <v>#REF!</v>
      </c>
      <c r="AI22" s="58" t="e">
        <v>#REF!</v>
      </c>
      <c r="AJ22" s="58" t="e">
        <v>#REF!</v>
      </c>
      <c r="AK22" s="58" t="e">
        <v>#REF!</v>
      </c>
      <c r="AL22" s="58" t="e">
        <v>#REF!</v>
      </c>
      <c r="AM22" s="58" t="e">
        <v>#REF!</v>
      </c>
      <c r="AN22" s="58" t="e">
        <v>#REF!</v>
      </c>
      <c r="AO22" s="58" t="e">
        <v>#REF!</v>
      </c>
      <c r="AP22" s="58" t="e">
        <v>#REF!</v>
      </c>
      <c r="AQ22" s="58" t="e">
        <v>#REF!</v>
      </c>
      <c r="AR22" s="58" t="e">
        <v>#REF!</v>
      </c>
      <c r="AS22" s="58" t="e">
        <v>#REF!</v>
      </c>
      <c r="AT22" s="58" t="e">
        <v>#REF!</v>
      </c>
      <c r="AU22" s="58" t="e">
        <v>#REF!</v>
      </c>
      <c r="AV22" s="58" t="e">
        <v>#REF!</v>
      </c>
      <c r="AW22" s="58" t="e">
        <v>#REF!</v>
      </c>
      <c r="AX22" s="58" t="e">
        <v>#REF!</v>
      </c>
      <c r="AY22" s="58" t="e">
        <v>#REF!</v>
      </c>
      <c r="AZ22" s="58" t="e">
        <v>#REF!</v>
      </c>
      <c r="BA22" s="58" t="e">
        <v>#REF!</v>
      </c>
      <c r="BB22" s="58" t="e">
        <v>#REF!</v>
      </c>
      <c r="BC22" s="58" t="e">
        <v>#REF!</v>
      </c>
      <c r="BD22" s="58" t="e">
        <v>#REF!</v>
      </c>
      <c r="BE22" s="58" t="e">
        <v>#REF!</v>
      </c>
      <c r="BF22" s="60" t="e">
        <v>#REF!</v>
      </c>
      <c r="BG22" s="58" t="e">
        <v>#REF!</v>
      </c>
      <c r="BH22" s="58" t="e">
        <v>#REF!</v>
      </c>
      <c r="BI22" s="58" t="e">
        <v>#REF!</v>
      </c>
      <c r="BJ22" s="60" t="e">
        <v>#REF!</v>
      </c>
      <c r="BK22" s="58" t="e">
        <v>#REF!</v>
      </c>
      <c r="BL22" s="58" t="e">
        <v>#REF!</v>
      </c>
      <c r="BM22" s="58" t="e">
        <v>#REF!</v>
      </c>
      <c r="BN22" s="61" t="e">
        <v>#REF!</v>
      </c>
      <c r="BO22" s="62" t="e">
        <v>#REF!</v>
      </c>
      <c r="BP22" s="62" t="e">
        <v>#REF!</v>
      </c>
      <c r="BQ22" s="62" t="e">
        <v>#REF!</v>
      </c>
      <c r="BR22" s="61" t="e">
        <v>#REF!</v>
      </c>
      <c r="BS22" s="62" t="e">
        <v>#REF!</v>
      </c>
      <c r="BT22" s="62" t="e">
        <v>#REF!</v>
      </c>
      <c r="BU22" s="62" t="e">
        <v>#REF!</v>
      </c>
      <c r="BV22" s="58" t="e">
        <f>I22-SUM(AX22:BA22)</f>
        <v>#REF!</v>
      </c>
      <c r="BW22" s="2" t="e">
        <f>M22-SUM(BN22:BQ22)</f>
        <v>#REF!</v>
      </c>
      <c r="BX22" s="58" t="e">
        <f>K22-SUM(BF22:BI22)</f>
        <v>#REF!</v>
      </c>
      <c r="BY22" s="2" t="e">
        <f>L22-SUM(BJ22:BM22)</f>
        <v>#REF!</v>
      </c>
      <c r="BZ22" s="2" t="e">
        <f>N22-SUM(BR22:BU22)</f>
        <v>#REF!</v>
      </c>
      <c r="CA22" s="1"/>
      <c r="CB22" s="1"/>
      <c r="CC22" s="1"/>
      <c r="CD22" s="1"/>
      <c r="CE22" s="1"/>
      <c r="CF22" s="1"/>
      <c r="CG22" s="1"/>
      <c r="CH22" s="1"/>
      <c r="CI22" s="1"/>
      <c r="CJ22" s="1"/>
      <c r="CK22" s="1"/>
      <c r="CL22" s="1"/>
      <c r="CM22" s="1"/>
      <c r="CN22" s="1"/>
      <c r="CO22" s="1"/>
      <c r="CP22" s="1"/>
    </row>
    <row r="23" spans="1:94">
      <c r="A23" s="24" t="s">
        <v>952</v>
      </c>
      <c r="B23" s="6"/>
      <c r="C23" s="6"/>
      <c r="D23" s="6"/>
      <c r="E23" s="6"/>
      <c r="F23" s="6" t="e">
        <f t="shared" ref="F23:R23" si="20">F22/E22-1</f>
        <v>#REF!</v>
      </c>
      <c r="G23" s="6" t="e">
        <f t="shared" si="20"/>
        <v>#REF!</v>
      </c>
      <c r="H23" s="6" t="e">
        <f t="shared" si="20"/>
        <v>#REF!</v>
      </c>
      <c r="I23" s="6" t="e">
        <f t="shared" si="20"/>
        <v>#REF!</v>
      </c>
      <c r="J23" s="6" t="e">
        <f t="shared" si="20"/>
        <v>#REF!</v>
      </c>
      <c r="K23" s="6" t="e">
        <f t="shared" si="20"/>
        <v>#REF!</v>
      </c>
      <c r="L23" s="6" t="e">
        <f t="shared" si="20"/>
        <v>#REF!</v>
      </c>
      <c r="M23" s="6" t="e">
        <f t="shared" si="20"/>
        <v>#REF!</v>
      </c>
      <c r="N23" s="28" t="e">
        <f t="shared" si="20"/>
        <v>#REF!</v>
      </c>
      <c r="O23" s="28" t="e">
        <f t="shared" si="20"/>
        <v>#REF!</v>
      </c>
      <c r="P23" s="28" t="e">
        <f t="shared" si="20"/>
        <v>#REF!</v>
      </c>
      <c r="Q23" s="28" t="e">
        <f t="shared" si="20"/>
        <v>#REF!</v>
      </c>
      <c r="R23" s="28" t="e">
        <f t="shared" si="20"/>
        <v>#REF!</v>
      </c>
      <c r="S23" s="6"/>
      <c r="T23" s="6"/>
      <c r="U23" s="6"/>
      <c r="V23" s="6"/>
      <c r="W23" s="6"/>
      <c r="X23" s="6"/>
      <c r="Y23" s="6"/>
      <c r="Z23" s="6"/>
      <c r="AA23" s="6"/>
      <c r="AB23" s="6"/>
      <c r="AC23" s="6"/>
      <c r="AD23" s="6"/>
      <c r="AE23" s="6"/>
      <c r="AF23" s="47"/>
      <c r="AG23" s="2"/>
      <c r="AH23" s="6"/>
      <c r="AI23" s="6"/>
      <c r="AJ23" s="6"/>
      <c r="AK23" s="6"/>
      <c r="AL23" s="6" t="e">
        <f t="shared" ref="AL23:BU23" si="21">AL22/AH22-1</f>
        <v>#REF!</v>
      </c>
      <c r="AM23" s="6" t="e">
        <f t="shared" si="21"/>
        <v>#REF!</v>
      </c>
      <c r="AN23" s="6" t="e">
        <f t="shared" si="21"/>
        <v>#REF!</v>
      </c>
      <c r="AO23" s="6" t="e">
        <f t="shared" si="21"/>
        <v>#REF!</v>
      </c>
      <c r="AP23" s="6" t="e">
        <f t="shared" si="21"/>
        <v>#REF!</v>
      </c>
      <c r="AQ23" s="6" t="e">
        <f t="shared" si="21"/>
        <v>#REF!</v>
      </c>
      <c r="AR23" s="6" t="e">
        <f t="shared" si="21"/>
        <v>#REF!</v>
      </c>
      <c r="AS23" s="6" t="e">
        <f t="shared" si="21"/>
        <v>#REF!</v>
      </c>
      <c r="AT23" s="6" t="e">
        <f t="shared" si="21"/>
        <v>#REF!</v>
      </c>
      <c r="AU23" s="6" t="e">
        <f t="shared" si="21"/>
        <v>#REF!</v>
      </c>
      <c r="AV23" s="6" t="e">
        <f t="shared" si="21"/>
        <v>#REF!</v>
      </c>
      <c r="AW23" s="6" t="e">
        <f t="shared" si="21"/>
        <v>#REF!</v>
      </c>
      <c r="AX23" s="6" t="e">
        <f t="shared" si="21"/>
        <v>#REF!</v>
      </c>
      <c r="AY23" s="6" t="e">
        <f t="shared" si="21"/>
        <v>#REF!</v>
      </c>
      <c r="AZ23" s="6" t="e">
        <f t="shared" si="21"/>
        <v>#REF!</v>
      </c>
      <c r="BA23" s="6" t="e">
        <f t="shared" si="21"/>
        <v>#REF!</v>
      </c>
      <c r="BB23" s="6" t="e">
        <f t="shared" si="21"/>
        <v>#REF!</v>
      </c>
      <c r="BC23" s="6" t="e">
        <f t="shared" si="21"/>
        <v>#REF!</v>
      </c>
      <c r="BD23" s="6" t="e">
        <f t="shared" si="21"/>
        <v>#REF!</v>
      </c>
      <c r="BE23" s="6" t="e">
        <f t="shared" si="21"/>
        <v>#REF!</v>
      </c>
      <c r="BF23" s="63" t="e">
        <f t="shared" si="21"/>
        <v>#REF!</v>
      </c>
      <c r="BG23" s="6" t="e">
        <f t="shared" si="21"/>
        <v>#REF!</v>
      </c>
      <c r="BH23" s="6" t="e">
        <f t="shared" si="21"/>
        <v>#REF!</v>
      </c>
      <c r="BI23" s="6" t="e">
        <f t="shared" si="21"/>
        <v>#REF!</v>
      </c>
      <c r="BJ23" s="63" t="e">
        <f t="shared" si="21"/>
        <v>#REF!</v>
      </c>
      <c r="BK23" s="6" t="e">
        <f t="shared" si="21"/>
        <v>#REF!</v>
      </c>
      <c r="BL23" s="6" t="e">
        <f t="shared" si="21"/>
        <v>#REF!</v>
      </c>
      <c r="BM23" s="6" t="e">
        <f t="shared" si="21"/>
        <v>#REF!</v>
      </c>
      <c r="BN23" s="64" t="e">
        <f t="shared" si="21"/>
        <v>#REF!</v>
      </c>
      <c r="BO23" s="28" t="e">
        <f t="shared" si="21"/>
        <v>#REF!</v>
      </c>
      <c r="BP23" s="28" t="e">
        <f t="shared" si="21"/>
        <v>#REF!</v>
      </c>
      <c r="BQ23" s="28" t="e">
        <f t="shared" si="21"/>
        <v>#REF!</v>
      </c>
      <c r="BR23" s="64" t="e">
        <f t="shared" si="21"/>
        <v>#REF!</v>
      </c>
      <c r="BS23" s="28" t="e">
        <f t="shared" si="21"/>
        <v>#REF!</v>
      </c>
      <c r="BT23" s="28" t="e">
        <f t="shared" si="21"/>
        <v>#REF!</v>
      </c>
      <c r="BU23" s="28" t="e">
        <f t="shared" si="21"/>
        <v>#REF!</v>
      </c>
      <c r="BV23" s="6"/>
      <c r="BW23" s="6"/>
      <c r="BX23" s="6"/>
      <c r="BY23" s="6"/>
      <c r="BZ23" s="6"/>
      <c r="CA23" s="6"/>
      <c r="CB23" s="6"/>
      <c r="CC23" s="6"/>
      <c r="CD23" s="6"/>
      <c r="CE23" s="6"/>
      <c r="CF23" s="6"/>
      <c r="CG23" s="6"/>
      <c r="CH23" s="6"/>
      <c r="CI23" s="6"/>
      <c r="CJ23" s="6"/>
      <c r="CK23" s="6"/>
      <c r="CL23" s="6"/>
      <c r="CM23" s="6"/>
      <c r="CN23" s="6"/>
      <c r="CO23" s="6"/>
      <c r="CP23" s="6"/>
    </row>
    <row r="24" spans="1:94">
      <c r="A24" s="24" t="s">
        <v>949</v>
      </c>
      <c r="B24" s="6"/>
      <c r="C24" s="6"/>
      <c r="D24" s="6"/>
      <c r="E24" s="6"/>
      <c r="F24" s="6"/>
      <c r="G24" s="6"/>
      <c r="H24" s="6"/>
      <c r="I24" s="6"/>
      <c r="J24" s="6"/>
      <c r="K24" s="65"/>
      <c r="L24" s="65"/>
      <c r="M24" s="65"/>
      <c r="N24" s="28"/>
      <c r="O24" s="28"/>
      <c r="P24" s="28"/>
      <c r="Q24" s="28"/>
      <c r="R24" s="28"/>
      <c r="S24" s="6"/>
      <c r="T24" s="6"/>
      <c r="U24" s="6"/>
      <c r="V24" s="6"/>
      <c r="W24" s="6"/>
      <c r="X24" s="6"/>
      <c r="Y24" s="6"/>
      <c r="Z24" s="6"/>
      <c r="AA24" s="6"/>
      <c r="AB24" s="6"/>
      <c r="AC24" s="6"/>
      <c r="AD24" s="6"/>
      <c r="AE24" s="6"/>
      <c r="AF24" s="47"/>
      <c r="AG24" s="2"/>
      <c r="AH24" s="6"/>
      <c r="AI24" s="6" t="e">
        <f t="shared" ref="AI24:BU24" si="22">AI22/AH22-1</f>
        <v>#REF!</v>
      </c>
      <c r="AJ24" s="6" t="e">
        <f t="shared" si="22"/>
        <v>#REF!</v>
      </c>
      <c r="AK24" s="6" t="e">
        <f t="shared" si="22"/>
        <v>#REF!</v>
      </c>
      <c r="AL24" s="6" t="e">
        <f t="shared" si="22"/>
        <v>#REF!</v>
      </c>
      <c r="AM24" s="6" t="e">
        <f t="shared" si="22"/>
        <v>#REF!</v>
      </c>
      <c r="AN24" s="6" t="e">
        <f t="shared" si="22"/>
        <v>#REF!</v>
      </c>
      <c r="AO24" s="6" t="e">
        <f t="shared" si="22"/>
        <v>#REF!</v>
      </c>
      <c r="AP24" s="6" t="e">
        <f t="shared" si="22"/>
        <v>#REF!</v>
      </c>
      <c r="AQ24" s="6" t="e">
        <f t="shared" si="22"/>
        <v>#REF!</v>
      </c>
      <c r="AR24" s="6" t="e">
        <f t="shared" si="22"/>
        <v>#REF!</v>
      </c>
      <c r="AS24" s="6" t="e">
        <f t="shared" si="22"/>
        <v>#REF!</v>
      </c>
      <c r="AT24" s="6" t="e">
        <f t="shared" si="22"/>
        <v>#REF!</v>
      </c>
      <c r="AU24" s="6" t="e">
        <f t="shared" si="22"/>
        <v>#REF!</v>
      </c>
      <c r="AV24" s="6" t="e">
        <f t="shared" si="22"/>
        <v>#REF!</v>
      </c>
      <c r="AW24" s="6" t="e">
        <f t="shared" si="22"/>
        <v>#REF!</v>
      </c>
      <c r="AX24" s="6" t="e">
        <f t="shared" si="22"/>
        <v>#REF!</v>
      </c>
      <c r="AY24" s="6" t="e">
        <f t="shared" si="22"/>
        <v>#REF!</v>
      </c>
      <c r="AZ24" s="6" t="e">
        <f t="shared" si="22"/>
        <v>#REF!</v>
      </c>
      <c r="BA24" s="6" t="e">
        <f t="shared" si="22"/>
        <v>#REF!</v>
      </c>
      <c r="BB24" s="6" t="e">
        <f t="shared" si="22"/>
        <v>#REF!</v>
      </c>
      <c r="BC24" s="6" t="e">
        <f t="shared" si="22"/>
        <v>#REF!</v>
      </c>
      <c r="BD24" s="6" t="e">
        <f t="shared" si="22"/>
        <v>#REF!</v>
      </c>
      <c r="BE24" s="6" t="e">
        <f t="shared" si="22"/>
        <v>#REF!</v>
      </c>
      <c r="BF24" s="63" t="e">
        <f t="shared" si="22"/>
        <v>#REF!</v>
      </c>
      <c r="BG24" s="6" t="e">
        <f t="shared" si="22"/>
        <v>#REF!</v>
      </c>
      <c r="BH24" s="6" t="e">
        <f t="shared" si="22"/>
        <v>#REF!</v>
      </c>
      <c r="BI24" s="6" t="e">
        <f t="shared" si="22"/>
        <v>#REF!</v>
      </c>
      <c r="BJ24" s="63" t="e">
        <f t="shared" si="22"/>
        <v>#REF!</v>
      </c>
      <c r="BK24" s="6" t="e">
        <f t="shared" si="22"/>
        <v>#REF!</v>
      </c>
      <c r="BL24" s="6" t="e">
        <f t="shared" si="22"/>
        <v>#REF!</v>
      </c>
      <c r="BM24" s="6" t="e">
        <f t="shared" si="22"/>
        <v>#REF!</v>
      </c>
      <c r="BN24" s="64" t="e">
        <f t="shared" si="22"/>
        <v>#REF!</v>
      </c>
      <c r="BO24" s="28" t="e">
        <f t="shared" si="22"/>
        <v>#REF!</v>
      </c>
      <c r="BP24" s="28" t="e">
        <f t="shared" si="22"/>
        <v>#REF!</v>
      </c>
      <c r="BQ24" s="28" t="e">
        <f t="shared" si="22"/>
        <v>#REF!</v>
      </c>
      <c r="BR24" s="64" t="e">
        <f t="shared" si="22"/>
        <v>#REF!</v>
      </c>
      <c r="BS24" s="28" t="e">
        <f t="shared" si="22"/>
        <v>#REF!</v>
      </c>
      <c r="BT24" s="28" t="e">
        <f t="shared" si="22"/>
        <v>#REF!</v>
      </c>
      <c r="BU24" s="28" t="e">
        <f t="shared" si="22"/>
        <v>#REF!</v>
      </c>
      <c r="BV24" s="6"/>
      <c r="BW24" s="6"/>
      <c r="BX24" s="6"/>
      <c r="BY24" s="6"/>
      <c r="BZ24" s="6"/>
      <c r="CA24" s="6"/>
      <c r="CB24" s="6"/>
      <c r="CC24" s="6"/>
      <c r="CD24" s="6"/>
      <c r="CE24" s="6"/>
      <c r="CF24" s="6"/>
      <c r="CG24" s="6"/>
      <c r="CH24" s="6"/>
      <c r="CI24" s="6"/>
      <c r="CJ24" s="6"/>
      <c r="CK24" s="6"/>
      <c r="CL24" s="6"/>
      <c r="CM24" s="6"/>
      <c r="CN24" s="6"/>
      <c r="CO24" s="6"/>
      <c r="CP24" s="6"/>
    </row>
    <row r="25" spans="1:94">
      <c r="A25" s="24" t="s">
        <v>950</v>
      </c>
      <c r="B25" s="6"/>
      <c r="C25" s="6"/>
      <c r="D25" s="6"/>
      <c r="E25" s="6" t="e">
        <f t="shared" ref="E25:R25" si="23">E22/E$29</f>
        <v>#REF!</v>
      </c>
      <c r="F25" s="6" t="e">
        <f t="shared" si="23"/>
        <v>#REF!</v>
      </c>
      <c r="G25" s="6" t="e">
        <f t="shared" si="23"/>
        <v>#REF!</v>
      </c>
      <c r="H25" s="6" t="e">
        <f t="shared" si="23"/>
        <v>#REF!</v>
      </c>
      <c r="I25" s="6" t="e">
        <f t="shared" si="23"/>
        <v>#REF!</v>
      </c>
      <c r="J25" s="6" t="e">
        <f t="shared" si="23"/>
        <v>#REF!</v>
      </c>
      <c r="K25" s="6" t="e">
        <f t="shared" si="23"/>
        <v>#REF!</v>
      </c>
      <c r="L25" s="6" t="e">
        <f t="shared" si="23"/>
        <v>#REF!</v>
      </c>
      <c r="M25" s="6" t="e">
        <f t="shared" si="23"/>
        <v>#REF!</v>
      </c>
      <c r="N25" s="28" t="e">
        <f t="shared" si="23"/>
        <v>#REF!</v>
      </c>
      <c r="O25" s="28" t="e">
        <f t="shared" si="23"/>
        <v>#REF!</v>
      </c>
      <c r="P25" s="28" t="e">
        <f t="shared" si="23"/>
        <v>#REF!</v>
      </c>
      <c r="Q25" s="28" t="e">
        <f t="shared" si="23"/>
        <v>#REF!</v>
      </c>
      <c r="R25" s="28" t="e">
        <f t="shared" si="23"/>
        <v>#REF!</v>
      </c>
      <c r="S25" s="6"/>
      <c r="T25" s="6"/>
      <c r="U25" s="6"/>
      <c r="V25" s="6"/>
      <c r="W25" s="6"/>
      <c r="X25" s="6"/>
      <c r="Y25" s="6"/>
      <c r="Z25" s="6"/>
      <c r="AA25" s="6"/>
      <c r="AB25" s="6"/>
      <c r="AC25" s="6"/>
      <c r="AD25" s="6"/>
      <c r="AE25" s="6"/>
      <c r="AF25" s="47"/>
      <c r="AG25" s="2"/>
      <c r="AH25" s="6" t="e">
        <f t="shared" ref="AH25:BU25" si="24">AH22/AH$29</f>
        <v>#REF!</v>
      </c>
      <c r="AI25" s="6" t="e">
        <f t="shared" si="24"/>
        <v>#REF!</v>
      </c>
      <c r="AJ25" s="6" t="e">
        <f t="shared" si="24"/>
        <v>#REF!</v>
      </c>
      <c r="AK25" s="6" t="e">
        <f t="shared" si="24"/>
        <v>#REF!</v>
      </c>
      <c r="AL25" s="6" t="e">
        <f t="shared" si="24"/>
        <v>#REF!</v>
      </c>
      <c r="AM25" s="6" t="e">
        <f t="shared" si="24"/>
        <v>#REF!</v>
      </c>
      <c r="AN25" s="6" t="e">
        <f t="shared" si="24"/>
        <v>#REF!</v>
      </c>
      <c r="AO25" s="6" t="e">
        <f t="shared" si="24"/>
        <v>#REF!</v>
      </c>
      <c r="AP25" s="6" t="e">
        <f t="shared" si="24"/>
        <v>#REF!</v>
      </c>
      <c r="AQ25" s="6" t="e">
        <f t="shared" si="24"/>
        <v>#REF!</v>
      </c>
      <c r="AR25" s="6" t="e">
        <f t="shared" si="24"/>
        <v>#REF!</v>
      </c>
      <c r="AS25" s="6" t="e">
        <f t="shared" si="24"/>
        <v>#REF!</v>
      </c>
      <c r="AT25" s="6" t="e">
        <f t="shared" si="24"/>
        <v>#REF!</v>
      </c>
      <c r="AU25" s="6" t="e">
        <f t="shared" si="24"/>
        <v>#REF!</v>
      </c>
      <c r="AV25" s="6" t="e">
        <f t="shared" si="24"/>
        <v>#REF!</v>
      </c>
      <c r="AW25" s="6" t="e">
        <f t="shared" si="24"/>
        <v>#REF!</v>
      </c>
      <c r="AX25" s="6" t="e">
        <f t="shared" si="24"/>
        <v>#REF!</v>
      </c>
      <c r="AY25" s="6" t="e">
        <f t="shared" si="24"/>
        <v>#REF!</v>
      </c>
      <c r="AZ25" s="6" t="e">
        <f t="shared" si="24"/>
        <v>#REF!</v>
      </c>
      <c r="BA25" s="6" t="e">
        <f t="shared" si="24"/>
        <v>#REF!</v>
      </c>
      <c r="BB25" s="6" t="e">
        <f t="shared" si="24"/>
        <v>#REF!</v>
      </c>
      <c r="BC25" s="6" t="e">
        <f t="shared" si="24"/>
        <v>#REF!</v>
      </c>
      <c r="BD25" s="6" t="e">
        <f t="shared" si="24"/>
        <v>#REF!</v>
      </c>
      <c r="BE25" s="6" t="e">
        <f t="shared" si="24"/>
        <v>#REF!</v>
      </c>
      <c r="BF25" s="63" t="e">
        <f t="shared" si="24"/>
        <v>#REF!</v>
      </c>
      <c r="BG25" s="6" t="e">
        <f t="shared" si="24"/>
        <v>#REF!</v>
      </c>
      <c r="BH25" s="6" t="e">
        <f t="shared" si="24"/>
        <v>#REF!</v>
      </c>
      <c r="BI25" s="6" t="e">
        <f t="shared" si="24"/>
        <v>#REF!</v>
      </c>
      <c r="BJ25" s="63" t="e">
        <f t="shared" si="24"/>
        <v>#REF!</v>
      </c>
      <c r="BK25" s="6" t="e">
        <f t="shared" si="24"/>
        <v>#REF!</v>
      </c>
      <c r="BL25" s="6" t="e">
        <f t="shared" si="24"/>
        <v>#REF!</v>
      </c>
      <c r="BM25" s="6" t="e">
        <f t="shared" si="24"/>
        <v>#REF!</v>
      </c>
      <c r="BN25" s="64" t="e">
        <f t="shared" si="24"/>
        <v>#REF!</v>
      </c>
      <c r="BO25" s="28" t="e">
        <f t="shared" si="24"/>
        <v>#REF!</v>
      </c>
      <c r="BP25" s="28" t="e">
        <f t="shared" si="24"/>
        <v>#REF!</v>
      </c>
      <c r="BQ25" s="28" t="e">
        <f t="shared" si="24"/>
        <v>#REF!</v>
      </c>
      <c r="BR25" s="64" t="e">
        <f t="shared" si="24"/>
        <v>#REF!</v>
      </c>
      <c r="BS25" s="28" t="e">
        <f t="shared" si="24"/>
        <v>#REF!</v>
      </c>
      <c r="BT25" s="28" t="e">
        <f t="shared" si="24"/>
        <v>#REF!</v>
      </c>
      <c r="BU25" s="28" t="e">
        <f t="shared" si="24"/>
        <v>#REF!</v>
      </c>
      <c r="BV25" s="6"/>
      <c r="BW25" s="6"/>
      <c r="BX25" s="6"/>
      <c r="BY25" s="6"/>
      <c r="BZ25" s="6"/>
      <c r="CA25" s="6"/>
      <c r="CB25" s="6"/>
      <c r="CC25" s="6"/>
      <c r="CD25" s="6"/>
      <c r="CE25" s="6"/>
      <c r="CF25" s="6"/>
      <c r="CG25" s="6"/>
      <c r="CH25" s="6"/>
      <c r="CI25" s="6"/>
      <c r="CJ25" s="6"/>
      <c r="CK25" s="6"/>
      <c r="CL25" s="6"/>
      <c r="CM25" s="6"/>
      <c r="CN25" s="6"/>
      <c r="CO25" s="6"/>
      <c r="CP25" s="6"/>
    </row>
    <row r="26" spans="1:94">
      <c r="A26" s="57" t="s">
        <v>955</v>
      </c>
      <c r="B26" s="1"/>
      <c r="C26" s="1"/>
      <c r="D26" s="1"/>
      <c r="E26" s="58" t="e">
        <v>#REF!</v>
      </c>
      <c r="F26" s="58" t="e">
        <v>#REF!</v>
      </c>
      <c r="G26" s="58" t="e">
        <v>#REF!</v>
      </c>
      <c r="H26" s="58" t="e">
        <v>#REF!</v>
      </c>
      <c r="I26" s="1" t="e">
        <v>#REF!</v>
      </c>
      <c r="J26" s="58" t="e">
        <v>#REF!</v>
      </c>
      <c r="K26" s="58" t="e">
        <v>#REF!</v>
      </c>
      <c r="L26" s="58" t="e">
        <v>#REF!</v>
      </c>
      <c r="M26" s="58" t="e">
        <v>#REF!</v>
      </c>
      <c r="N26" s="62" t="e">
        <v>#REF!</v>
      </c>
      <c r="O26" s="62" t="e">
        <v>#REF!</v>
      </c>
      <c r="P26" s="62" t="e">
        <v>#REF!</v>
      </c>
      <c r="Q26" s="62" t="e">
        <v>#REF!</v>
      </c>
      <c r="R26" s="62" t="e">
        <v>#REF!</v>
      </c>
      <c r="S26" s="1"/>
      <c r="T26" s="1"/>
      <c r="U26" s="1"/>
      <c r="V26" s="1"/>
      <c r="W26" s="1"/>
      <c r="X26" s="1"/>
      <c r="Y26" s="1"/>
      <c r="Z26" s="1"/>
      <c r="AA26" s="1"/>
      <c r="AB26" s="1"/>
      <c r="AC26" s="1"/>
      <c r="AD26" s="1"/>
      <c r="AE26" s="1"/>
      <c r="AF26" s="59" t="e">
        <f>(R26/M26)^(1/5)-1</f>
        <v>#REF!</v>
      </c>
      <c r="AG26" s="2"/>
      <c r="AH26" s="58" t="e">
        <v>#REF!</v>
      </c>
      <c r="AI26" s="58" t="e">
        <v>#REF!</v>
      </c>
      <c r="AJ26" s="58" t="e">
        <v>#REF!</v>
      </c>
      <c r="AK26" s="58" t="e">
        <v>#REF!</v>
      </c>
      <c r="AL26" s="58" t="e">
        <v>#REF!</v>
      </c>
      <c r="AM26" s="58" t="e">
        <v>#REF!</v>
      </c>
      <c r="AN26" s="58" t="e">
        <v>#REF!</v>
      </c>
      <c r="AO26" s="58" t="e">
        <v>#REF!</v>
      </c>
      <c r="AP26" s="58" t="e">
        <v>#REF!</v>
      </c>
      <c r="AQ26" s="58" t="e">
        <v>#REF!</v>
      </c>
      <c r="AR26" s="58" t="e">
        <v>#REF!</v>
      </c>
      <c r="AS26" s="58" t="e">
        <v>#REF!</v>
      </c>
      <c r="AT26" s="58" t="e">
        <v>#REF!</v>
      </c>
      <c r="AU26" s="58" t="e">
        <v>#REF!</v>
      </c>
      <c r="AV26" s="58" t="e">
        <v>#REF!</v>
      </c>
      <c r="AW26" s="58" t="e">
        <v>#REF!</v>
      </c>
      <c r="AX26" s="58" t="e">
        <v>#REF!</v>
      </c>
      <c r="AY26" s="58" t="e">
        <v>#REF!</v>
      </c>
      <c r="AZ26" s="58" t="e">
        <v>#REF!</v>
      </c>
      <c r="BA26" s="58" t="e">
        <v>#REF!</v>
      </c>
      <c r="BB26" s="58" t="e">
        <v>#REF!</v>
      </c>
      <c r="BC26" s="58" t="e">
        <v>#REF!</v>
      </c>
      <c r="BD26" s="58" t="e">
        <v>#REF!</v>
      </c>
      <c r="BE26" s="58" t="e">
        <v>#REF!</v>
      </c>
      <c r="BF26" s="60" t="e">
        <v>#REF!</v>
      </c>
      <c r="BG26" s="58" t="e">
        <v>#REF!</v>
      </c>
      <c r="BH26" s="58" t="e">
        <v>#REF!</v>
      </c>
      <c r="BI26" s="58" t="e">
        <v>#REF!</v>
      </c>
      <c r="BJ26" s="60" t="e">
        <v>#REF!</v>
      </c>
      <c r="BK26" s="58" t="e">
        <v>#REF!</v>
      </c>
      <c r="BL26" s="58" t="e">
        <v>#REF!</v>
      </c>
      <c r="BM26" s="58" t="e">
        <v>#REF!</v>
      </c>
      <c r="BN26" s="61" t="e">
        <v>#REF!</v>
      </c>
      <c r="BO26" s="62" t="e">
        <v>#REF!</v>
      </c>
      <c r="BP26" s="62" t="e">
        <v>#REF!</v>
      </c>
      <c r="BQ26" s="62" t="e">
        <v>#REF!</v>
      </c>
      <c r="BR26" s="61" t="e">
        <v>#REF!</v>
      </c>
      <c r="BS26" s="62" t="e">
        <v>#REF!</v>
      </c>
      <c r="BT26" s="62" t="e">
        <v>#REF!</v>
      </c>
      <c r="BU26" s="62" t="e">
        <v>#REF!</v>
      </c>
      <c r="BV26" s="58" t="e">
        <f>I26-SUM(AX26:BA26)</f>
        <v>#REF!</v>
      </c>
      <c r="BW26" s="2" t="e">
        <f>M26-SUM(BN26:BQ26)</f>
        <v>#REF!</v>
      </c>
      <c r="BX26" s="58" t="e">
        <f>K26-SUM(BF26:BI26)</f>
        <v>#REF!</v>
      </c>
      <c r="BY26" s="2" t="e">
        <f>L26-SUM(BJ26:BM26)</f>
        <v>#REF!</v>
      </c>
      <c r="BZ26" s="2" t="e">
        <f>N26-SUM(BR26:BU26)</f>
        <v>#REF!</v>
      </c>
      <c r="CA26" s="1"/>
      <c r="CB26" s="1"/>
      <c r="CC26" s="1"/>
      <c r="CD26" s="1"/>
      <c r="CE26" s="1"/>
      <c r="CF26" s="1"/>
      <c r="CG26" s="1"/>
      <c r="CH26" s="1"/>
      <c r="CI26" s="1"/>
      <c r="CJ26" s="1"/>
      <c r="CK26" s="1"/>
      <c r="CL26" s="1"/>
      <c r="CM26" s="1"/>
      <c r="CN26" s="1"/>
      <c r="CO26" s="1"/>
      <c r="CP26" s="1"/>
    </row>
    <row r="27" spans="1:94">
      <c r="A27" s="24" t="s">
        <v>952</v>
      </c>
      <c r="B27" s="6"/>
      <c r="C27" s="6"/>
      <c r="D27" s="6"/>
      <c r="E27" s="6"/>
      <c r="F27" s="6" t="e">
        <f t="shared" ref="F27:R27" si="25">F26/E26-1</f>
        <v>#REF!</v>
      </c>
      <c r="G27" s="6" t="e">
        <f t="shared" si="25"/>
        <v>#REF!</v>
      </c>
      <c r="H27" s="6" t="e">
        <f t="shared" si="25"/>
        <v>#REF!</v>
      </c>
      <c r="I27" s="6" t="e">
        <f t="shared" si="25"/>
        <v>#REF!</v>
      </c>
      <c r="J27" s="6" t="e">
        <f t="shared" si="25"/>
        <v>#REF!</v>
      </c>
      <c r="K27" s="6" t="e">
        <f t="shared" si="25"/>
        <v>#REF!</v>
      </c>
      <c r="L27" s="6" t="e">
        <f t="shared" si="25"/>
        <v>#REF!</v>
      </c>
      <c r="M27" s="6" t="e">
        <f t="shared" si="25"/>
        <v>#REF!</v>
      </c>
      <c r="N27" s="28" t="e">
        <f t="shared" si="25"/>
        <v>#REF!</v>
      </c>
      <c r="O27" s="28" t="e">
        <f t="shared" si="25"/>
        <v>#REF!</v>
      </c>
      <c r="P27" s="28" t="e">
        <f t="shared" si="25"/>
        <v>#REF!</v>
      </c>
      <c r="Q27" s="28" t="e">
        <f t="shared" si="25"/>
        <v>#REF!</v>
      </c>
      <c r="R27" s="28" t="e">
        <f t="shared" si="25"/>
        <v>#REF!</v>
      </c>
      <c r="S27" s="6"/>
      <c r="T27" s="6"/>
      <c r="U27" s="6"/>
      <c r="V27" s="6"/>
      <c r="W27" s="6"/>
      <c r="X27" s="6"/>
      <c r="Y27" s="6"/>
      <c r="Z27" s="6"/>
      <c r="AA27" s="6"/>
      <c r="AB27" s="6"/>
      <c r="AC27" s="6"/>
      <c r="AD27" s="6"/>
      <c r="AE27" s="6"/>
      <c r="AF27" s="47"/>
      <c r="AG27" s="2"/>
      <c r="AH27" s="6"/>
      <c r="AI27" s="6"/>
      <c r="AJ27" s="6"/>
      <c r="AK27" s="6"/>
      <c r="AL27" s="6" t="e">
        <f t="shared" ref="AL27:BU27" si="26">AL26/AH26-1</f>
        <v>#REF!</v>
      </c>
      <c r="AM27" s="6" t="e">
        <f t="shared" si="26"/>
        <v>#REF!</v>
      </c>
      <c r="AN27" s="6" t="e">
        <f t="shared" si="26"/>
        <v>#REF!</v>
      </c>
      <c r="AO27" s="6" t="e">
        <f t="shared" si="26"/>
        <v>#REF!</v>
      </c>
      <c r="AP27" s="6" t="e">
        <f t="shared" si="26"/>
        <v>#REF!</v>
      </c>
      <c r="AQ27" s="6" t="e">
        <f t="shared" si="26"/>
        <v>#REF!</v>
      </c>
      <c r="AR27" s="6" t="e">
        <f t="shared" si="26"/>
        <v>#REF!</v>
      </c>
      <c r="AS27" s="6" t="e">
        <f t="shared" si="26"/>
        <v>#REF!</v>
      </c>
      <c r="AT27" s="6" t="e">
        <f t="shared" si="26"/>
        <v>#REF!</v>
      </c>
      <c r="AU27" s="6" t="e">
        <f t="shared" si="26"/>
        <v>#REF!</v>
      </c>
      <c r="AV27" s="6" t="e">
        <f t="shared" si="26"/>
        <v>#REF!</v>
      </c>
      <c r="AW27" s="6" t="e">
        <f t="shared" si="26"/>
        <v>#REF!</v>
      </c>
      <c r="AX27" s="6" t="e">
        <f t="shared" si="26"/>
        <v>#REF!</v>
      </c>
      <c r="AY27" s="6" t="e">
        <f t="shared" si="26"/>
        <v>#REF!</v>
      </c>
      <c r="AZ27" s="6" t="e">
        <f t="shared" si="26"/>
        <v>#REF!</v>
      </c>
      <c r="BA27" s="6" t="e">
        <f t="shared" si="26"/>
        <v>#REF!</v>
      </c>
      <c r="BB27" s="6" t="e">
        <f t="shared" si="26"/>
        <v>#REF!</v>
      </c>
      <c r="BC27" s="6" t="e">
        <f t="shared" si="26"/>
        <v>#REF!</v>
      </c>
      <c r="BD27" s="6" t="e">
        <f t="shared" si="26"/>
        <v>#REF!</v>
      </c>
      <c r="BE27" s="6" t="e">
        <f t="shared" si="26"/>
        <v>#REF!</v>
      </c>
      <c r="BF27" s="63" t="e">
        <f t="shared" si="26"/>
        <v>#REF!</v>
      </c>
      <c r="BG27" s="6" t="e">
        <f t="shared" si="26"/>
        <v>#REF!</v>
      </c>
      <c r="BH27" s="6" t="e">
        <f t="shared" si="26"/>
        <v>#REF!</v>
      </c>
      <c r="BI27" s="6" t="e">
        <f t="shared" si="26"/>
        <v>#REF!</v>
      </c>
      <c r="BJ27" s="63" t="e">
        <f t="shared" si="26"/>
        <v>#REF!</v>
      </c>
      <c r="BK27" s="6" t="e">
        <f t="shared" si="26"/>
        <v>#REF!</v>
      </c>
      <c r="BL27" s="6" t="e">
        <f t="shared" si="26"/>
        <v>#REF!</v>
      </c>
      <c r="BM27" s="6" t="e">
        <f t="shared" si="26"/>
        <v>#REF!</v>
      </c>
      <c r="BN27" s="64" t="e">
        <f t="shared" si="26"/>
        <v>#REF!</v>
      </c>
      <c r="BO27" s="28" t="e">
        <f t="shared" si="26"/>
        <v>#REF!</v>
      </c>
      <c r="BP27" s="28" t="e">
        <f t="shared" si="26"/>
        <v>#REF!</v>
      </c>
      <c r="BQ27" s="28" t="e">
        <f t="shared" si="26"/>
        <v>#REF!</v>
      </c>
      <c r="BR27" s="64" t="e">
        <f t="shared" si="26"/>
        <v>#REF!</v>
      </c>
      <c r="BS27" s="28" t="e">
        <f t="shared" si="26"/>
        <v>#REF!</v>
      </c>
      <c r="BT27" s="28" t="e">
        <f t="shared" si="26"/>
        <v>#REF!</v>
      </c>
      <c r="BU27" s="28" t="e">
        <f t="shared" si="26"/>
        <v>#REF!</v>
      </c>
      <c r="BV27" s="6"/>
      <c r="BW27" s="6"/>
      <c r="BX27" s="6"/>
      <c r="BY27" s="6"/>
      <c r="BZ27" s="6"/>
      <c r="CA27" s="6"/>
      <c r="CB27" s="6"/>
      <c r="CC27" s="6"/>
      <c r="CD27" s="6"/>
      <c r="CE27" s="6"/>
      <c r="CF27" s="6"/>
      <c r="CG27" s="6"/>
      <c r="CH27" s="6"/>
      <c r="CI27" s="6"/>
      <c r="CJ27" s="6"/>
      <c r="CK27" s="6"/>
      <c r="CL27" s="6"/>
      <c r="CM27" s="6"/>
      <c r="CN27" s="6"/>
      <c r="CO27" s="6"/>
      <c r="CP27" s="6"/>
    </row>
    <row r="28" spans="1:94">
      <c r="A28" s="24" t="s">
        <v>950</v>
      </c>
      <c r="B28" s="6"/>
      <c r="C28" s="6"/>
      <c r="D28" s="6"/>
      <c r="E28" s="6" t="e">
        <f t="shared" ref="E28:R28" si="27">E26/E$29</f>
        <v>#REF!</v>
      </c>
      <c r="F28" s="6" t="e">
        <f t="shared" si="27"/>
        <v>#REF!</v>
      </c>
      <c r="G28" s="6" t="e">
        <f t="shared" si="27"/>
        <v>#REF!</v>
      </c>
      <c r="H28" s="6" t="e">
        <f t="shared" si="27"/>
        <v>#REF!</v>
      </c>
      <c r="I28" s="6" t="e">
        <f t="shared" si="27"/>
        <v>#REF!</v>
      </c>
      <c r="J28" s="6" t="e">
        <f t="shared" si="27"/>
        <v>#REF!</v>
      </c>
      <c r="K28" s="6" t="e">
        <f t="shared" si="27"/>
        <v>#REF!</v>
      </c>
      <c r="L28" s="6" t="e">
        <f t="shared" si="27"/>
        <v>#REF!</v>
      </c>
      <c r="M28" s="6" t="e">
        <f t="shared" si="27"/>
        <v>#REF!</v>
      </c>
      <c r="N28" s="28" t="e">
        <f t="shared" si="27"/>
        <v>#REF!</v>
      </c>
      <c r="O28" s="28" t="e">
        <f t="shared" si="27"/>
        <v>#REF!</v>
      </c>
      <c r="P28" s="28" t="e">
        <f t="shared" si="27"/>
        <v>#REF!</v>
      </c>
      <c r="Q28" s="28" t="e">
        <f t="shared" si="27"/>
        <v>#REF!</v>
      </c>
      <c r="R28" s="28" t="e">
        <f t="shared" si="27"/>
        <v>#REF!</v>
      </c>
      <c r="S28" s="6"/>
      <c r="T28" s="6"/>
      <c r="U28" s="6"/>
      <c r="V28" s="6"/>
      <c r="W28" s="6"/>
      <c r="X28" s="6"/>
      <c r="Y28" s="6"/>
      <c r="Z28" s="6"/>
      <c r="AA28" s="6"/>
      <c r="AB28" s="6"/>
      <c r="AC28" s="6"/>
      <c r="AD28" s="6"/>
      <c r="AE28" s="6"/>
      <c r="AF28" s="47"/>
      <c r="AG28" s="2"/>
      <c r="AH28" s="6" t="e">
        <f t="shared" ref="AH28:BU28" si="28">AH26/AH$29</f>
        <v>#REF!</v>
      </c>
      <c r="AI28" s="6" t="e">
        <f t="shared" si="28"/>
        <v>#REF!</v>
      </c>
      <c r="AJ28" s="6" t="e">
        <f t="shared" si="28"/>
        <v>#REF!</v>
      </c>
      <c r="AK28" s="6" t="e">
        <f t="shared" si="28"/>
        <v>#REF!</v>
      </c>
      <c r="AL28" s="6" t="e">
        <f t="shared" si="28"/>
        <v>#REF!</v>
      </c>
      <c r="AM28" s="6" t="e">
        <f t="shared" si="28"/>
        <v>#REF!</v>
      </c>
      <c r="AN28" s="6" t="e">
        <f t="shared" si="28"/>
        <v>#REF!</v>
      </c>
      <c r="AO28" s="6" t="e">
        <f t="shared" si="28"/>
        <v>#REF!</v>
      </c>
      <c r="AP28" s="6" t="e">
        <f t="shared" si="28"/>
        <v>#REF!</v>
      </c>
      <c r="AQ28" s="6" t="e">
        <f t="shared" si="28"/>
        <v>#REF!</v>
      </c>
      <c r="AR28" s="6" t="e">
        <f t="shared" si="28"/>
        <v>#REF!</v>
      </c>
      <c r="AS28" s="6" t="e">
        <f t="shared" si="28"/>
        <v>#REF!</v>
      </c>
      <c r="AT28" s="6" t="e">
        <f t="shared" si="28"/>
        <v>#REF!</v>
      </c>
      <c r="AU28" s="6" t="e">
        <f t="shared" si="28"/>
        <v>#REF!</v>
      </c>
      <c r="AV28" s="6" t="e">
        <f t="shared" si="28"/>
        <v>#REF!</v>
      </c>
      <c r="AW28" s="6" t="e">
        <f t="shared" si="28"/>
        <v>#REF!</v>
      </c>
      <c r="AX28" s="6" t="e">
        <f t="shared" si="28"/>
        <v>#REF!</v>
      </c>
      <c r="AY28" s="6" t="e">
        <f t="shared" si="28"/>
        <v>#REF!</v>
      </c>
      <c r="AZ28" s="6" t="e">
        <f t="shared" si="28"/>
        <v>#REF!</v>
      </c>
      <c r="BA28" s="6" t="e">
        <f t="shared" si="28"/>
        <v>#REF!</v>
      </c>
      <c r="BB28" s="6" t="e">
        <f t="shared" si="28"/>
        <v>#REF!</v>
      </c>
      <c r="BC28" s="6" t="e">
        <f t="shared" si="28"/>
        <v>#REF!</v>
      </c>
      <c r="BD28" s="6" t="e">
        <f t="shared" si="28"/>
        <v>#REF!</v>
      </c>
      <c r="BE28" s="6" t="e">
        <f t="shared" si="28"/>
        <v>#REF!</v>
      </c>
      <c r="BF28" s="63" t="e">
        <f t="shared" si="28"/>
        <v>#REF!</v>
      </c>
      <c r="BG28" s="6" t="e">
        <f t="shared" si="28"/>
        <v>#REF!</v>
      </c>
      <c r="BH28" s="6" t="e">
        <f t="shared" si="28"/>
        <v>#REF!</v>
      </c>
      <c r="BI28" s="6" t="e">
        <f t="shared" si="28"/>
        <v>#REF!</v>
      </c>
      <c r="BJ28" s="63" t="e">
        <f t="shared" si="28"/>
        <v>#REF!</v>
      </c>
      <c r="BK28" s="6" t="e">
        <f t="shared" si="28"/>
        <v>#REF!</v>
      </c>
      <c r="BL28" s="6" t="e">
        <f t="shared" si="28"/>
        <v>#REF!</v>
      </c>
      <c r="BM28" s="6" t="e">
        <f t="shared" si="28"/>
        <v>#REF!</v>
      </c>
      <c r="BN28" s="64" t="e">
        <f t="shared" si="28"/>
        <v>#REF!</v>
      </c>
      <c r="BO28" s="28" t="e">
        <f t="shared" si="28"/>
        <v>#REF!</v>
      </c>
      <c r="BP28" s="28" t="e">
        <f t="shared" si="28"/>
        <v>#REF!</v>
      </c>
      <c r="BQ28" s="28" t="e">
        <f t="shared" si="28"/>
        <v>#REF!</v>
      </c>
      <c r="BR28" s="64" t="e">
        <f t="shared" si="28"/>
        <v>#REF!</v>
      </c>
      <c r="BS28" s="28" t="e">
        <f t="shared" si="28"/>
        <v>#REF!</v>
      </c>
      <c r="BT28" s="28" t="e">
        <f t="shared" si="28"/>
        <v>#REF!</v>
      </c>
      <c r="BU28" s="28" t="e">
        <f t="shared" si="28"/>
        <v>#REF!</v>
      </c>
      <c r="BV28" s="6"/>
      <c r="BW28" s="6"/>
      <c r="BX28" s="6"/>
      <c r="BY28" s="6"/>
      <c r="BZ28" s="6"/>
      <c r="CA28" s="6"/>
      <c r="CB28" s="6"/>
      <c r="CC28" s="6"/>
      <c r="CD28" s="6"/>
      <c r="CE28" s="6"/>
      <c r="CF28" s="6"/>
      <c r="CG28" s="6"/>
      <c r="CH28" s="6"/>
      <c r="CI28" s="6"/>
      <c r="CJ28" s="6"/>
      <c r="CK28" s="6"/>
      <c r="CL28" s="6"/>
      <c r="CM28" s="6"/>
      <c r="CN28" s="6"/>
      <c r="CO28" s="6"/>
      <c r="CP28" s="6"/>
    </row>
    <row r="29" spans="1:94">
      <c r="A29" s="1" t="s">
        <v>956</v>
      </c>
      <c r="B29" s="1"/>
      <c r="C29" s="1"/>
      <c r="D29" s="1"/>
      <c r="E29" s="58" t="e">
        <f t="shared" ref="E29:L29" si="29">E26+E22+E18+E14+E10</f>
        <v>#REF!</v>
      </c>
      <c r="F29" s="58" t="e">
        <f t="shared" si="29"/>
        <v>#REF!</v>
      </c>
      <c r="G29" s="58" t="e">
        <f t="shared" si="29"/>
        <v>#REF!</v>
      </c>
      <c r="H29" s="58" t="e">
        <f t="shared" si="29"/>
        <v>#REF!</v>
      </c>
      <c r="I29" s="58" t="e">
        <f t="shared" si="29"/>
        <v>#REF!</v>
      </c>
      <c r="J29" s="58" t="e">
        <f t="shared" si="29"/>
        <v>#REF!</v>
      </c>
      <c r="K29" s="58" t="e">
        <f t="shared" si="29"/>
        <v>#REF!</v>
      </c>
      <c r="L29" s="58" t="e">
        <f t="shared" si="29"/>
        <v>#REF!</v>
      </c>
      <c r="M29" s="58">
        <f>SUM(BN29:BQ29)</f>
        <v>72790</v>
      </c>
      <c r="N29" s="62" t="e">
        <f>N26+N22+N18+N14+N10</f>
        <v>#REF!</v>
      </c>
      <c r="O29" s="62" t="e">
        <f>O26+O22+O18+O14+O10</f>
        <v>#REF!</v>
      </c>
      <c r="P29" s="62" t="e">
        <f>P26+P22+P18+P14+P10</f>
        <v>#REF!</v>
      </c>
      <c r="Q29" s="62" t="e">
        <f>Q26+Q22+Q18+Q14+Q10</f>
        <v>#REF!</v>
      </c>
      <c r="R29" s="62" t="e">
        <f>R26+R22+R18+R14+R10</f>
        <v>#REF!</v>
      </c>
      <c r="S29" s="2"/>
      <c r="T29" s="1"/>
      <c r="U29" s="1"/>
      <c r="V29" s="1"/>
      <c r="W29" s="1"/>
      <c r="X29" s="1"/>
      <c r="Y29" s="1"/>
      <c r="Z29" s="1"/>
      <c r="AA29" s="1"/>
      <c r="AB29" s="1"/>
      <c r="AC29" s="1"/>
      <c r="AD29" s="1"/>
      <c r="AE29" s="1"/>
      <c r="AF29" s="59" t="e">
        <f>(R29/M29)^(1/5)-1</f>
        <v>#REF!</v>
      </c>
      <c r="AG29" s="2"/>
      <c r="AH29" s="58" t="e">
        <f t="shared" ref="AH29:BM29" si="30">AH26+AH22+AH18+AH14+AH10</f>
        <v>#REF!</v>
      </c>
      <c r="AI29" s="58" t="e">
        <f t="shared" si="30"/>
        <v>#REF!</v>
      </c>
      <c r="AJ29" s="58" t="e">
        <f t="shared" si="30"/>
        <v>#REF!</v>
      </c>
      <c r="AK29" s="58" t="e">
        <f t="shared" si="30"/>
        <v>#REF!</v>
      </c>
      <c r="AL29" s="58" t="e">
        <f t="shared" si="30"/>
        <v>#REF!</v>
      </c>
      <c r="AM29" s="58" t="e">
        <f t="shared" si="30"/>
        <v>#REF!</v>
      </c>
      <c r="AN29" s="58" t="e">
        <f t="shared" si="30"/>
        <v>#REF!</v>
      </c>
      <c r="AO29" s="58" t="e">
        <f t="shared" si="30"/>
        <v>#REF!</v>
      </c>
      <c r="AP29" s="58" t="e">
        <f t="shared" si="30"/>
        <v>#REF!</v>
      </c>
      <c r="AQ29" s="58" t="e">
        <f t="shared" si="30"/>
        <v>#REF!</v>
      </c>
      <c r="AR29" s="58" t="e">
        <f t="shared" si="30"/>
        <v>#REF!</v>
      </c>
      <c r="AS29" s="58" t="e">
        <f t="shared" si="30"/>
        <v>#REF!</v>
      </c>
      <c r="AT29" s="58" t="e">
        <f t="shared" si="30"/>
        <v>#REF!</v>
      </c>
      <c r="AU29" s="58" t="e">
        <f t="shared" si="30"/>
        <v>#REF!</v>
      </c>
      <c r="AV29" s="58" t="e">
        <f t="shared" si="30"/>
        <v>#REF!</v>
      </c>
      <c r="AW29" s="58" t="e">
        <f t="shared" si="30"/>
        <v>#REF!</v>
      </c>
      <c r="AX29" s="58" t="e">
        <f t="shared" si="30"/>
        <v>#REF!</v>
      </c>
      <c r="AY29" s="58" t="e">
        <f t="shared" si="30"/>
        <v>#REF!</v>
      </c>
      <c r="AZ29" s="58" t="e">
        <f t="shared" si="30"/>
        <v>#REF!</v>
      </c>
      <c r="BA29" s="58" t="e">
        <f t="shared" si="30"/>
        <v>#REF!</v>
      </c>
      <c r="BB29" s="58" t="e">
        <f t="shared" si="30"/>
        <v>#REF!</v>
      </c>
      <c r="BC29" s="58" t="e">
        <f t="shared" si="30"/>
        <v>#REF!</v>
      </c>
      <c r="BD29" s="58" t="e">
        <f t="shared" si="30"/>
        <v>#REF!</v>
      </c>
      <c r="BE29" s="58" t="e">
        <f t="shared" si="30"/>
        <v>#REF!</v>
      </c>
      <c r="BF29" s="60" t="e">
        <f t="shared" si="30"/>
        <v>#REF!</v>
      </c>
      <c r="BG29" s="58" t="e">
        <f t="shared" si="30"/>
        <v>#REF!</v>
      </c>
      <c r="BH29" s="58" t="e">
        <f t="shared" si="30"/>
        <v>#REF!</v>
      </c>
      <c r="BI29" s="58" t="e">
        <f t="shared" si="30"/>
        <v>#REF!</v>
      </c>
      <c r="BJ29" s="60" t="e">
        <f t="shared" si="30"/>
        <v>#REF!</v>
      </c>
      <c r="BK29" s="58" t="e">
        <f t="shared" si="30"/>
        <v>#REF!</v>
      </c>
      <c r="BL29" s="58" t="e">
        <f t="shared" si="30"/>
        <v>#REF!</v>
      </c>
      <c r="BM29" s="58" t="e">
        <f t="shared" si="30"/>
        <v>#REF!</v>
      </c>
      <c r="BN29" s="60">
        <v>17533</v>
      </c>
      <c r="BO29" s="58">
        <v>18000</v>
      </c>
      <c r="BP29" s="58">
        <v>18486</v>
      </c>
      <c r="BQ29" s="58">
        <v>18771</v>
      </c>
      <c r="BR29" s="61" t="e">
        <f>BR26+BR22+BR18+BR14+BR10</f>
        <v>#REF!</v>
      </c>
      <c r="BS29" s="62" t="e">
        <f>BS26+BS22+BS18+BS14+BS10</f>
        <v>#REF!</v>
      </c>
      <c r="BT29" s="62" t="e">
        <f>BT26+BT22+BT18+BT14+BT10</f>
        <v>#REF!</v>
      </c>
      <c r="BU29" s="62" t="e">
        <f>BU26+BU22+BU18+BU14+BU10</f>
        <v>#REF!</v>
      </c>
      <c r="BV29" s="58" t="e">
        <f>I29-SUM(AX29:BA29)</f>
        <v>#REF!</v>
      </c>
      <c r="BW29" s="2">
        <f>M29-SUM(BN29:BQ29)</f>
        <v>0</v>
      </c>
      <c r="BX29" s="58" t="e">
        <f>K29-SUM(BF29:BI29)</f>
        <v>#REF!</v>
      </c>
      <c r="BY29" s="2" t="e">
        <f>L29-SUM(BJ29:BM29)</f>
        <v>#REF!</v>
      </c>
      <c r="BZ29" s="2" t="e">
        <f>N29-SUM(BR29:BU29)</f>
        <v>#REF!</v>
      </c>
      <c r="CA29" s="1"/>
      <c r="CB29" s="1"/>
      <c r="CC29" s="1"/>
      <c r="CD29" s="1"/>
      <c r="CE29" s="1"/>
      <c r="CF29" s="1"/>
      <c r="CG29" s="1"/>
      <c r="CH29" s="1"/>
      <c r="CI29" s="1"/>
      <c r="CJ29" s="1"/>
      <c r="CK29" s="1"/>
      <c r="CL29" s="1"/>
      <c r="CM29" s="1"/>
      <c r="CN29" s="1"/>
      <c r="CO29" s="1"/>
      <c r="CP29" s="1"/>
    </row>
    <row r="30" spans="1:94">
      <c r="A30" s="24" t="s">
        <v>945</v>
      </c>
      <c r="B30" s="6"/>
      <c r="C30" s="6"/>
      <c r="D30" s="6"/>
      <c r="E30" s="6"/>
      <c r="F30" s="6" t="e">
        <f t="shared" ref="F30:R30" si="31">F29/E29-1</f>
        <v>#REF!</v>
      </c>
      <c r="G30" s="6" t="e">
        <f t="shared" si="31"/>
        <v>#REF!</v>
      </c>
      <c r="H30" s="6" t="e">
        <f t="shared" si="31"/>
        <v>#REF!</v>
      </c>
      <c r="I30" s="6" t="e">
        <f t="shared" si="31"/>
        <v>#REF!</v>
      </c>
      <c r="J30" s="6" t="e">
        <f t="shared" si="31"/>
        <v>#REF!</v>
      </c>
      <c r="K30" s="6" t="e">
        <f t="shared" si="31"/>
        <v>#REF!</v>
      </c>
      <c r="L30" s="6" t="e">
        <f t="shared" si="31"/>
        <v>#REF!</v>
      </c>
      <c r="M30" s="6" t="e">
        <f t="shared" si="31"/>
        <v>#REF!</v>
      </c>
      <c r="N30" s="28" t="e">
        <f t="shared" si="31"/>
        <v>#REF!</v>
      </c>
      <c r="O30" s="28" t="e">
        <f t="shared" si="31"/>
        <v>#REF!</v>
      </c>
      <c r="P30" s="28" t="e">
        <f t="shared" si="31"/>
        <v>#REF!</v>
      </c>
      <c r="Q30" s="28" t="e">
        <f t="shared" si="31"/>
        <v>#REF!</v>
      </c>
      <c r="R30" s="28" t="e">
        <f t="shared" si="31"/>
        <v>#REF!</v>
      </c>
      <c r="S30" s="6"/>
      <c r="T30" s="6"/>
      <c r="U30" s="6"/>
      <c r="V30" s="6"/>
      <c r="W30" s="6"/>
      <c r="X30" s="6"/>
      <c r="Y30" s="6"/>
      <c r="Z30" s="6"/>
      <c r="AA30" s="6"/>
      <c r="AB30" s="6"/>
      <c r="AC30" s="6"/>
      <c r="AD30" s="6"/>
      <c r="AE30" s="6"/>
      <c r="AF30" s="47"/>
      <c r="AG30" s="2"/>
      <c r="AH30" s="6"/>
      <c r="AI30" s="6"/>
      <c r="AJ30" s="6"/>
      <c r="AK30" s="6"/>
      <c r="AL30" s="6" t="e">
        <f t="shared" ref="AL30:BU30" si="32">AL29/AH29-1</f>
        <v>#REF!</v>
      </c>
      <c r="AM30" s="6" t="e">
        <f t="shared" si="32"/>
        <v>#REF!</v>
      </c>
      <c r="AN30" s="6" t="e">
        <f t="shared" si="32"/>
        <v>#REF!</v>
      </c>
      <c r="AO30" s="6" t="e">
        <f t="shared" si="32"/>
        <v>#REF!</v>
      </c>
      <c r="AP30" s="6" t="e">
        <f t="shared" si="32"/>
        <v>#REF!</v>
      </c>
      <c r="AQ30" s="6" t="e">
        <f t="shared" si="32"/>
        <v>#REF!</v>
      </c>
      <c r="AR30" s="6" t="e">
        <f t="shared" si="32"/>
        <v>#REF!</v>
      </c>
      <c r="AS30" s="6" t="e">
        <f t="shared" si="32"/>
        <v>#REF!</v>
      </c>
      <c r="AT30" s="6" t="e">
        <f t="shared" si="32"/>
        <v>#REF!</v>
      </c>
      <c r="AU30" s="6" t="e">
        <f t="shared" si="32"/>
        <v>#REF!</v>
      </c>
      <c r="AV30" s="6" t="e">
        <f t="shared" si="32"/>
        <v>#REF!</v>
      </c>
      <c r="AW30" s="6" t="e">
        <f t="shared" si="32"/>
        <v>#REF!</v>
      </c>
      <c r="AX30" s="6" t="e">
        <f t="shared" si="32"/>
        <v>#REF!</v>
      </c>
      <c r="AY30" s="6" t="e">
        <f t="shared" si="32"/>
        <v>#REF!</v>
      </c>
      <c r="AZ30" s="6" t="e">
        <f t="shared" si="32"/>
        <v>#REF!</v>
      </c>
      <c r="BA30" s="6" t="e">
        <f t="shared" si="32"/>
        <v>#REF!</v>
      </c>
      <c r="BB30" s="6" t="e">
        <f t="shared" si="32"/>
        <v>#REF!</v>
      </c>
      <c r="BC30" s="6" t="e">
        <f t="shared" si="32"/>
        <v>#REF!</v>
      </c>
      <c r="BD30" s="6" t="e">
        <f t="shared" si="32"/>
        <v>#REF!</v>
      </c>
      <c r="BE30" s="6" t="e">
        <f t="shared" si="32"/>
        <v>#REF!</v>
      </c>
      <c r="BF30" s="63" t="e">
        <f t="shared" si="32"/>
        <v>#REF!</v>
      </c>
      <c r="BG30" s="6" t="e">
        <f t="shared" si="32"/>
        <v>#REF!</v>
      </c>
      <c r="BH30" s="6" t="e">
        <f t="shared" si="32"/>
        <v>#REF!</v>
      </c>
      <c r="BI30" s="6" t="e">
        <f t="shared" si="32"/>
        <v>#REF!</v>
      </c>
      <c r="BJ30" s="63" t="e">
        <f t="shared" si="32"/>
        <v>#REF!</v>
      </c>
      <c r="BK30" s="6" t="e">
        <f t="shared" si="32"/>
        <v>#REF!</v>
      </c>
      <c r="BL30" s="6" t="e">
        <f t="shared" si="32"/>
        <v>#REF!</v>
      </c>
      <c r="BM30" s="6" t="e">
        <f t="shared" si="32"/>
        <v>#REF!</v>
      </c>
      <c r="BN30" s="63" t="e">
        <f t="shared" si="32"/>
        <v>#REF!</v>
      </c>
      <c r="BO30" s="6" t="e">
        <f t="shared" si="32"/>
        <v>#REF!</v>
      </c>
      <c r="BP30" s="6" t="e">
        <f t="shared" si="32"/>
        <v>#REF!</v>
      </c>
      <c r="BQ30" s="6" t="e">
        <f t="shared" si="32"/>
        <v>#REF!</v>
      </c>
      <c r="BR30" s="64" t="e">
        <f t="shared" si="32"/>
        <v>#REF!</v>
      </c>
      <c r="BS30" s="28" t="e">
        <f t="shared" si="32"/>
        <v>#REF!</v>
      </c>
      <c r="BT30" s="28" t="e">
        <f t="shared" si="32"/>
        <v>#REF!</v>
      </c>
      <c r="BU30" s="28" t="e">
        <f t="shared" si="32"/>
        <v>#REF!</v>
      </c>
      <c r="BV30" s="6"/>
      <c r="BW30" s="6"/>
      <c r="BX30" s="6"/>
      <c r="BY30" s="6"/>
      <c r="BZ30" s="6"/>
      <c r="CA30" s="6"/>
      <c r="CB30" s="6"/>
      <c r="CC30" s="6"/>
      <c r="CD30" s="6"/>
      <c r="CE30" s="6"/>
      <c r="CF30" s="6"/>
      <c r="CG30" s="6"/>
      <c r="CH30" s="6"/>
      <c r="CI30" s="6"/>
      <c r="CJ30" s="6"/>
      <c r="CK30" s="6"/>
      <c r="CL30" s="6"/>
      <c r="CM30" s="6"/>
      <c r="CN30" s="6"/>
      <c r="CO30" s="6"/>
      <c r="CP30" s="6"/>
    </row>
    <row r="31" spans="1:94">
      <c r="A31" s="24" t="s">
        <v>957</v>
      </c>
      <c r="B31" s="6"/>
      <c r="C31" s="6"/>
      <c r="D31" s="6"/>
      <c r="E31" s="6"/>
      <c r="F31" s="6"/>
      <c r="G31" s="58"/>
      <c r="H31" s="58"/>
      <c r="I31" s="6"/>
      <c r="J31" s="6"/>
      <c r="K31" s="6"/>
      <c r="L31" s="6"/>
      <c r="M31" s="6"/>
      <c r="N31" s="28"/>
      <c r="O31" s="28"/>
      <c r="P31" s="28"/>
      <c r="Q31" s="28"/>
      <c r="R31" s="28"/>
      <c r="S31" s="6"/>
      <c r="T31" s="6"/>
      <c r="U31" s="6"/>
      <c r="V31" s="6"/>
      <c r="W31" s="6"/>
      <c r="X31" s="6"/>
      <c r="Y31" s="6"/>
      <c r="Z31" s="6"/>
      <c r="AA31" s="6"/>
      <c r="AB31" s="6"/>
      <c r="AC31" s="6"/>
      <c r="AD31" s="6"/>
      <c r="AE31" s="6"/>
      <c r="AF31" s="47"/>
      <c r="AG31" s="2"/>
      <c r="AH31" s="6"/>
      <c r="AI31" s="6"/>
      <c r="AJ31" s="6"/>
      <c r="AK31" s="6"/>
      <c r="AL31" s="6"/>
      <c r="AM31" s="6"/>
      <c r="AN31" s="6"/>
      <c r="AO31" s="6"/>
      <c r="AP31" s="6"/>
      <c r="AQ31" s="6"/>
      <c r="AR31" s="6"/>
      <c r="AS31" s="6"/>
      <c r="AT31" s="6"/>
      <c r="AU31" s="6"/>
      <c r="AV31" s="6"/>
      <c r="AW31" s="6"/>
      <c r="AX31" s="6" t="e">
        <f t="shared" ref="AX31:BU31" si="33">AX29/AW29-1</f>
        <v>#REF!</v>
      </c>
      <c r="AY31" s="6" t="e">
        <f t="shared" si="33"/>
        <v>#REF!</v>
      </c>
      <c r="AZ31" s="6" t="e">
        <f t="shared" si="33"/>
        <v>#REF!</v>
      </c>
      <c r="BA31" s="6" t="e">
        <f t="shared" si="33"/>
        <v>#REF!</v>
      </c>
      <c r="BB31" s="6" t="e">
        <f t="shared" si="33"/>
        <v>#REF!</v>
      </c>
      <c r="BC31" s="6" t="e">
        <f t="shared" si="33"/>
        <v>#REF!</v>
      </c>
      <c r="BD31" s="6" t="e">
        <f t="shared" si="33"/>
        <v>#REF!</v>
      </c>
      <c r="BE31" s="6" t="e">
        <f t="shared" si="33"/>
        <v>#REF!</v>
      </c>
      <c r="BF31" s="63" t="e">
        <f t="shared" si="33"/>
        <v>#REF!</v>
      </c>
      <c r="BG31" s="6" t="e">
        <f t="shared" si="33"/>
        <v>#REF!</v>
      </c>
      <c r="BH31" s="6" t="e">
        <f t="shared" si="33"/>
        <v>#REF!</v>
      </c>
      <c r="BI31" s="6" t="e">
        <f t="shared" si="33"/>
        <v>#REF!</v>
      </c>
      <c r="BJ31" s="63" t="e">
        <f t="shared" si="33"/>
        <v>#REF!</v>
      </c>
      <c r="BK31" s="6" t="e">
        <f t="shared" si="33"/>
        <v>#REF!</v>
      </c>
      <c r="BL31" s="6" t="e">
        <f t="shared" si="33"/>
        <v>#REF!</v>
      </c>
      <c r="BM31" s="6" t="e">
        <f t="shared" si="33"/>
        <v>#REF!</v>
      </c>
      <c r="BN31" s="63" t="e">
        <f t="shared" si="33"/>
        <v>#REF!</v>
      </c>
      <c r="BO31" s="6">
        <f t="shared" si="33"/>
        <v>2.6635487366679866E-2</v>
      </c>
      <c r="BP31" s="6">
        <f t="shared" si="33"/>
        <v>2.6999999999999913E-2</v>
      </c>
      <c r="BQ31" s="6">
        <f t="shared" si="33"/>
        <v>1.5417072379097618E-2</v>
      </c>
      <c r="BR31" s="64" t="e">
        <f t="shared" si="33"/>
        <v>#REF!</v>
      </c>
      <c r="BS31" s="28" t="e">
        <f t="shared" si="33"/>
        <v>#REF!</v>
      </c>
      <c r="BT31" s="28" t="e">
        <f t="shared" si="33"/>
        <v>#REF!</v>
      </c>
      <c r="BU31" s="28" t="e">
        <f t="shared" si="33"/>
        <v>#REF!</v>
      </c>
      <c r="BV31" s="6"/>
      <c r="BW31" s="6"/>
      <c r="BX31" s="6"/>
      <c r="BY31" s="6"/>
      <c r="BZ31" s="6"/>
      <c r="CA31" s="6"/>
      <c r="CB31" s="6"/>
      <c r="CC31" s="6"/>
      <c r="CD31" s="6"/>
      <c r="CE31" s="6"/>
      <c r="CF31" s="6"/>
      <c r="CG31" s="6"/>
      <c r="CH31" s="6"/>
      <c r="CI31" s="6"/>
      <c r="CJ31" s="6"/>
      <c r="CK31" s="6"/>
      <c r="CL31" s="6"/>
      <c r="CM31" s="6"/>
      <c r="CN31" s="6"/>
      <c r="CO31" s="6"/>
      <c r="CP31" s="6"/>
    </row>
    <row r="32" spans="1:94">
      <c r="A32" s="24" t="s">
        <v>958</v>
      </c>
      <c r="B32" s="6"/>
      <c r="C32" s="6"/>
      <c r="D32" s="6"/>
      <c r="E32" s="6"/>
      <c r="F32" s="6" t="e">
        <f t="shared" ref="F32:R32" si="34">F29-E29</f>
        <v>#REF!</v>
      </c>
      <c r="G32" s="6" t="e">
        <f t="shared" si="34"/>
        <v>#REF!</v>
      </c>
      <c r="H32" s="6" t="e">
        <f t="shared" si="34"/>
        <v>#REF!</v>
      </c>
      <c r="I32" s="6" t="e">
        <f t="shared" si="34"/>
        <v>#REF!</v>
      </c>
      <c r="J32" s="6" t="e">
        <f t="shared" si="34"/>
        <v>#REF!</v>
      </c>
      <c r="K32" s="6" t="e">
        <f t="shared" si="34"/>
        <v>#REF!</v>
      </c>
      <c r="L32" s="6" t="e">
        <f t="shared" si="34"/>
        <v>#REF!</v>
      </c>
      <c r="M32" s="6" t="e">
        <f t="shared" si="34"/>
        <v>#REF!</v>
      </c>
      <c r="N32" s="28" t="e">
        <f t="shared" si="34"/>
        <v>#REF!</v>
      </c>
      <c r="O32" s="28" t="e">
        <f t="shared" si="34"/>
        <v>#REF!</v>
      </c>
      <c r="P32" s="28" t="e">
        <f t="shared" si="34"/>
        <v>#REF!</v>
      </c>
      <c r="Q32" s="28" t="e">
        <f t="shared" si="34"/>
        <v>#REF!</v>
      </c>
      <c r="R32" s="28" t="e">
        <f t="shared" si="34"/>
        <v>#REF!</v>
      </c>
      <c r="S32" s="6"/>
      <c r="T32" s="6"/>
      <c r="U32" s="6"/>
      <c r="V32" s="6"/>
      <c r="W32" s="6"/>
      <c r="X32" s="6"/>
      <c r="Y32" s="6"/>
      <c r="Z32" s="6"/>
      <c r="AA32" s="6"/>
      <c r="AB32" s="6"/>
      <c r="AC32" s="6"/>
      <c r="AD32" s="6"/>
      <c r="AE32" s="6"/>
      <c r="AF32" s="47"/>
      <c r="AG32" s="2"/>
      <c r="AH32" s="6"/>
      <c r="AI32" s="6"/>
      <c r="AJ32" s="6"/>
      <c r="AK32" s="6"/>
      <c r="AL32" s="6"/>
      <c r="AM32" s="6"/>
      <c r="AN32" s="6"/>
      <c r="AO32" s="6"/>
      <c r="AP32" s="6"/>
      <c r="AQ32" s="6"/>
      <c r="AR32" s="6"/>
      <c r="AS32" s="6"/>
      <c r="AT32" s="6"/>
      <c r="AU32" s="6"/>
      <c r="AV32" s="6"/>
      <c r="AW32" s="6"/>
      <c r="AX32" s="6" t="e">
        <f t="shared" ref="AX32:BU32" si="35">AX29-AW29</f>
        <v>#REF!</v>
      </c>
      <c r="AY32" s="6" t="e">
        <f t="shared" si="35"/>
        <v>#REF!</v>
      </c>
      <c r="AZ32" s="6" t="e">
        <f t="shared" si="35"/>
        <v>#REF!</v>
      </c>
      <c r="BA32" s="6" t="e">
        <f t="shared" si="35"/>
        <v>#REF!</v>
      </c>
      <c r="BB32" s="6" t="e">
        <f t="shared" si="35"/>
        <v>#REF!</v>
      </c>
      <c r="BC32" s="6" t="e">
        <f t="shared" si="35"/>
        <v>#REF!</v>
      </c>
      <c r="BD32" s="6" t="e">
        <f t="shared" si="35"/>
        <v>#REF!</v>
      </c>
      <c r="BE32" s="6" t="e">
        <f t="shared" si="35"/>
        <v>#REF!</v>
      </c>
      <c r="BF32" s="63" t="e">
        <f t="shared" si="35"/>
        <v>#REF!</v>
      </c>
      <c r="BG32" s="6" t="e">
        <f t="shared" si="35"/>
        <v>#REF!</v>
      </c>
      <c r="BH32" s="6" t="e">
        <f t="shared" si="35"/>
        <v>#REF!</v>
      </c>
      <c r="BI32" s="6" t="e">
        <f t="shared" si="35"/>
        <v>#REF!</v>
      </c>
      <c r="BJ32" s="63" t="e">
        <f t="shared" si="35"/>
        <v>#REF!</v>
      </c>
      <c r="BK32" s="6" t="e">
        <f t="shared" si="35"/>
        <v>#REF!</v>
      </c>
      <c r="BL32" s="6" t="e">
        <f t="shared" si="35"/>
        <v>#REF!</v>
      </c>
      <c r="BM32" s="6" t="e">
        <f t="shared" si="35"/>
        <v>#REF!</v>
      </c>
      <c r="BN32" s="63" t="e">
        <f t="shared" si="35"/>
        <v>#REF!</v>
      </c>
      <c r="BO32" s="6">
        <f t="shared" si="35"/>
        <v>467</v>
      </c>
      <c r="BP32" s="6">
        <f t="shared" si="35"/>
        <v>486</v>
      </c>
      <c r="BQ32" s="6">
        <f t="shared" si="35"/>
        <v>285</v>
      </c>
      <c r="BR32" s="64" t="e">
        <f t="shared" si="35"/>
        <v>#REF!</v>
      </c>
      <c r="BS32" s="28" t="e">
        <f t="shared" si="35"/>
        <v>#REF!</v>
      </c>
      <c r="BT32" s="28" t="e">
        <f t="shared" si="35"/>
        <v>#REF!</v>
      </c>
      <c r="BU32" s="28" t="e">
        <f t="shared" si="35"/>
        <v>#REF!</v>
      </c>
      <c r="BV32" s="6"/>
      <c r="BW32" s="6"/>
      <c r="BX32" s="6"/>
      <c r="BY32" s="6"/>
      <c r="BZ32" s="6"/>
      <c r="CA32" s="6"/>
      <c r="CB32" s="6"/>
      <c r="CC32" s="6"/>
      <c r="CD32" s="6"/>
      <c r="CE32" s="6"/>
      <c r="CF32" s="6"/>
      <c r="CG32" s="6"/>
      <c r="CH32" s="6"/>
      <c r="CI32" s="6"/>
      <c r="CJ32" s="6"/>
      <c r="CK32" s="6"/>
      <c r="CL32" s="6"/>
      <c r="CM32" s="6"/>
      <c r="CN32" s="6"/>
      <c r="CO32" s="6"/>
      <c r="CP32" s="6"/>
    </row>
    <row r="33" spans="1:94">
      <c r="A33" s="24" t="s">
        <v>959</v>
      </c>
      <c r="B33" s="6"/>
      <c r="C33" s="6"/>
      <c r="D33" s="6"/>
      <c r="E33" s="6"/>
      <c r="F33" s="6"/>
      <c r="G33" s="58"/>
      <c r="H33" s="58"/>
      <c r="I33" s="6" t="e">
        <f>(I29-(0.55*I14))/(H29-(0.55*H14))-1</f>
        <v>#REF!</v>
      </c>
      <c r="J33" s="6" t="e">
        <f t="shared" ref="J33:R33" si="36">(J29-(0.45*J14))/(I29-(0.45*I14))-1</f>
        <v>#REF!</v>
      </c>
      <c r="K33" s="6" t="e">
        <f t="shared" si="36"/>
        <v>#REF!</v>
      </c>
      <c r="L33" s="6" t="e">
        <f t="shared" si="36"/>
        <v>#REF!</v>
      </c>
      <c r="M33" s="6" t="e">
        <f t="shared" si="36"/>
        <v>#REF!</v>
      </c>
      <c r="N33" s="28" t="e">
        <f t="shared" si="36"/>
        <v>#REF!</v>
      </c>
      <c r="O33" s="28" t="e">
        <f t="shared" si="36"/>
        <v>#REF!</v>
      </c>
      <c r="P33" s="28" t="e">
        <f t="shared" si="36"/>
        <v>#REF!</v>
      </c>
      <c r="Q33" s="28" t="e">
        <f t="shared" si="36"/>
        <v>#REF!</v>
      </c>
      <c r="R33" s="28" t="e">
        <f t="shared" si="36"/>
        <v>#REF!</v>
      </c>
      <c r="S33" s="6"/>
      <c r="T33" s="6"/>
      <c r="U33" s="6"/>
      <c r="V33" s="6"/>
      <c r="W33" s="6"/>
      <c r="X33" s="6"/>
      <c r="Y33" s="6"/>
      <c r="Z33" s="6"/>
      <c r="AA33" s="6"/>
      <c r="AB33" s="6"/>
      <c r="AC33" s="6"/>
      <c r="AD33" s="6"/>
      <c r="AE33" s="6"/>
      <c r="AF33" s="47"/>
      <c r="AG33" s="2"/>
      <c r="AH33" s="6"/>
      <c r="AI33" s="6"/>
      <c r="AJ33" s="6"/>
      <c r="AK33" s="6"/>
      <c r="AL33" s="6"/>
      <c r="AM33" s="6"/>
      <c r="AN33" s="6"/>
      <c r="AO33" s="6"/>
      <c r="AP33" s="6"/>
      <c r="AQ33" s="6"/>
      <c r="AR33" s="6"/>
      <c r="AS33" s="6"/>
      <c r="AT33" s="6"/>
      <c r="AU33" s="6"/>
      <c r="AV33" s="6"/>
      <c r="AW33" s="6"/>
      <c r="AX33" s="6"/>
      <c r="AY33" s="6"/>
      <c r="AZ33" s="6"/>
      <c r="BA33" s="6"/>
      <c r="BB33" s="6" t="e">
        <f t="shared" ref="BB33:BU33" si="37">(BB29-(0.45*BB14))/(AX29-(0.45*AX14))-1</f>
        <v>#REF!</v>
      </c>
      <c r="BC33" s="6" t="e">
        <f t="shared" si="37"/>
        <v>#REF!</v>
      </c>
      <c r="BD33" s="6" t="e">
        <f t="shared" si="37"/>
        <v>#REF!</v>
      </c>
      <c r="BE33" s="6" t="e">
        <f t="shared" si="37"/>
        <v>#REF!</v>
      </c>
      <c r="BF33" s="63" t="e">
        <f t="shared" si="37"/>
        <v>#REF!</v>
      </c>
      <c r="BG33" s="6" t="e">
        <f t="shared" si="37"/>
        <v>#REF!</v>
      </c>
      <c r="BH33" s="6" t="e">
        <f t="shared" si="37"/>
        <v>#REF!</v>
      </c>
      <c r="BI33" s="6" t="e">
        <f t="shared" si="37"/>
        <v>#REF!</v>
      </c>
      <c r="BJ33" s="63" t="e">
        <f t="shared" si="37"/>
        <v>#REF!</v>
      </c>
      <c r="BK33" s="6" t="e">
        <f t="shared" si="37"/>
        <v>#REF!</v>
      </c>
      <c r="BL33" s="6" t="e">
        <f t="shared" si="37"/>
        <v>#REF!</v>
      </c>
      <c r="BM33" s="6" t="e">
        <f t="shared" si="37"/>
        <v>#REF!</v>
      </c>
      <c r="BN33" s="63" t="e">
        <f t="shared" si="37"/>
        <v>#REF!</v>
      </c>
      <c r="BO33" s="6" t="e">
        <f t="shared" si="37"/>
        <v>#REF!</v>
      </c>
      <c r="BP33" s="6" t="e">
        <f t="shared" si="37"/>
        <v>#REF!</v>
      </c>
      <c r="BQ33" s="6" t="e">
        <f t="shared" si="37"/>
        <v>#REF!</v>
      </c>
      <c r="BR33" s="64" t="e">
        <f t="shared" si="37"/>
        <v>#REF!</v>
      </c>
      <c r="BS33" s="28" t="e">
        <f t="shared" si="37"/>
        <v>#REF!</v>
      </c>
      <c r="BT33" s="28" t="e">
        <f t="shared" si="37"/>
        <v>#REF!</v>
      </c>
      <c r="BU33" s="28" t="e">
        <f t="shared" si="37"/>
        <v>#REF!</v>
      </c>
      <c r="BV33" s="6"/>
      <c r="BW33" s="6"/>
      <c r="BX33" s="6"/>
      <c r="BY33" s="6"/>
      <c r="BZ33" s="6"/>
      <c r="CA33" s="6"/>
      <c r="CB33" s="6"/>
      <c r="CC33" s="6"/>
      <c r="CD33" s="6"/>
      <c r="CE33" s="6"/>
      <c r="CF33" s="6"/>
      <c r="CG33" s="6"/>
      <c r="CH33" s="6"/>
      <c r="CI33" s="6"/>
      <c r="CJ33" s="6"/>
      <c r="CK33" s="6"/>
      <c r="CL33" s="6"/>
      <c r="CM33" s="6"/>
      <c r="CN33" s="6"/>
      <c r="CO33" s="6"/>
      <c r="CP33" s="6"/>
    </row>
    <row r="34" spans="1:94">
      <c r="A34" s="68"/>
      <c r="B34" s="6"/>
      <c r="C34" s="6"/>
      <c r="D34" s="6"/>
      <c r="E34" s="6"/>
      <c r="F34" s="6"/>
      <c r="G34" s="58"/>
      <c r="H34" s="58"/>
      <c r="I34" s="58"/>
      <c r="J34" s="58"/>
      <c r="K34" s="6"/>
      <c r="L34" s="6"/>
      <c r="M34" s="6"/>
      <c r="N34" s="28"/>
      <c r="O34" s="28"/>
      <c r="P34" s="28"/>
      <c r="Q34" s="28"/>
      <c r="R34" s="28"/>
      <c r="S34" s="6"/>
      <c r="T34" s="6"/>
      <c r="U34" s="6"/>
      <c r="V34" s="6"/>
      <c r="W34" s="6"/>
      <c r="X34" s="6"/>
      <c r="Y34" s="6"/>
      <c r="Z34" s="6"/>
      <c r="AA34" s="6"/>
      <c r="AB34" s="6"/>
      <c r="AC34" s="6"/>
      <c r="AD34" s="6"/>
      <c r="AE34" s="6"/>
      <c r="AF34" s="47"/>
      <c r="AG34" s="2"/>
      <c r="AH34" s="6"/>
      <c r="AI34" s="6"/>
      <c r="AJ34" s="6"/>
      <c r="AK34" s="6"/>
      <c r="AL34" s="6"/>
      <c r="AM34" s="6"/>
      <c r="AN34" s="6"/>
      <c r="AO34" s="6"/>
      <c r="AP34" s="6"/>
      <c r="AQ34" s="6"/>
      <c r="AR34" s="6"/>
      <c r="AS34" s="6"/>
      <c r="AT34" s="6"/>
      <c r="AU34" s="6"/>
      <c r="AV34" s="6"/>
      <c r="AW34" s="6"/>
      <c r="AX34" s="6"/>
      <c r="AY34" s="6"/>
      <c r="AZ34" s="6"/>
      <c r="BA34" s="6"/>
      <c r="BB34" s="6"/>
      <c r="BC34" s="6"/>
      <c r="BD34" s="6"/>
      <c r="BE34" s="6"/>
      <c r="BF34" s="63"/>
      <c r="BG34" s="6"/>
      <c r="BH34" s="6"/>
      <c r="BI34" s="6"/>
      <c r="BJ34" s="63"/>
      <c r="BK34" s="6"/>
      <c r="BL34" s="6"/>
      <c r="BM34" s="6"/>
      <c r="BN34" s="63"/>
      <c r="BO34" s="6"/>
      <c r="BP34" s="6"/>
      <c r="BQ34" s="6"/>
      <c r="BR34" s="64"/>
      <c r="BS34" s="28"/>
      <c r="BT34" s="28"/>
      <c r="BU34" s="28"/>
      <c r="BV34" s="6"/>
      <c r="BW34" s="6"/>
      <c r="BX34" s="6"/>
      <c r="BY34" s="6"/>
      <c r="BZ34" s="6"/>
      <c r="CA34" s="6"/>
      <c r="CB34" s="6"/>
      <c r="CC34" s="6"/>
      <c r="CD34" s="6"/>
      <c r="CE34" s="6"/>
      <c r="CF34" s="6"/>
      <c r="CG34" s="6"/>
      <c r="CH34" s="6"/>
      <c r="CI34" s="6"/>
      <c r="CJ34" s="6"/>
      <c r="CK34" s="6"/>
      <c r="CL34" s="6"/>
      <c r="CM34" s="6"/>
      <c r="CN34" s="6"/>
      <c r="CO34" s="6"/>
      <c r="CP34" s="6"/>
    </row>
    <row r="35" spans="1:94">
      <c r="A35" s="1" t="s">
        <v>960</v>
      </c>
      <c r="B35" s="2"/>
      <c r="C35" s="2"/>
      <c r="D35" s="2"/>
      <c r="E35" s="2"/>
      <c r="F35" s="2"/>
      <c r="G35" s="2"/>
      <c r="H35" s="2"/>
      <c r="I35" s="2"/>
      <c r="J35" s="6"/>
      <c r="K35" s="2"/>
      <c r="L35" s="2"/>
      <c r="M35" s="2"/>
      <c r="N35" s="4"/>
      <c r="O35" s="4"/>
      <c r="P35" s="4"/>
      <c r="Q35" s="4"/>
      <c r="R35" s="4"/>
      <c r="S35" s="2"/>
      <c r="T35" s="2"/>
      <c r="U35" s="2"/>
      <c r="V35" s="2"/>
      <c r="W35" s="2"/>
      <c r="X35" s="2"/>
      <c r="Y35" s="2"/>
      <c r="Z35" s="2"/>
      <c r="AA35" s="2"/>
      <c r="AB35" s="2"/>
      <c r="AC35" s="2"/>
      <c r="AD35" s="2"/>
      <c r="AE35" s="2"/>
      <c r="AF35" s="47"/>
      <c r="AG35" s="2"/>
      <c r="AH35" s="2"/>
      <c r="AI35" s="2"/>
      <c r="AJ35" s="2"/>
      <c r="AK35" s="2"/>
      <c r="AL35" s="2"/>
      <c r="AM35" s="2"/>
      <c r="AN35" s="2"/>
      <c r="AO35" s="2"/>
      <c r="AP35" s="2"/>
      <c r="AQ35" s="56"/>
      <c r="AR35" s="56"/>
      <c r="AS35" s="56"/>
      <c r="AT35" s="2"/>
      <c r="AU35" s="2"/>
      <c r="AV35" s="2"/>
      <c r="AW35" s="2"/>
      <c r="AX35" s="2"/>
      <c r="AY35" s="2"/>
      <c r="AZ35" s="2"/>
      <c r="BA35" s="2"/>
      <c r="BB35" s="56"/>
      <c r="BC35" s="56"/>
      <c r="BD35" s="56"/>
      <c r="BE35" s="56"/>
      <c r="BF35" s="69"/>
      <c r="BG35" s="56"/>
      <c r="BH35" s="56"/>
      <c r="BI35" s="56"/>
      <c r="BJ35" s="69"/>
      <c r="BK35" s="56"/>
      <c r="BL35" s="56"/>
      <c r="BM35" s="56"/>
      <c r="BN35" s="69"/>
      <c r="BO35" s="56"/>
      <c r="BP35" s="56"/>
      <c r="BQ35" s="56"/>
      <c r="BR35" s="70"/>
      <c r="BS35" s="71"/>
      <c r="BT35" s="71"/>
      <c r="BU35" s="71"/>
      <c r="BV35" s="2"/>
      <c r="BW35" s="2"/>
      <c r="BX35" s="2"/>
      <c r="BY35" s="2"/>
      <c r="BZ35" s="2"/>
      <c r="CA35" s="2"/>
      <c r="CB35" s="2"/>
      <c r="CC35" s="2"/>
      <c r="CD35" s="2"/>
      <c r="CE35" s="2"/>
      <c r="CF35" s="2"/>
      <c r="CG35" s="2"/>
      <c r="CH35" s="2"/>
      <c r="CI35" s="2"/>
      <c r="CJ35" s="2"/>
      <c r="CK35" s="2"/>
      <c r="CL35" s="2"/>
      <c r="CM35" s="2"/>
      <c r="CN35" s="2"/>
      <c r="CO35" s="2"/>
      <c r="CP35" s="2"/>
    </row>
    <row r="36" spans="1:94">
      <c r="A36" s="57" t="s">
        <v>961</v>
      </c>
      <c r="B36" s="1"/>
      <c r="C36" s="1"/>
      <c r="D36" s="1"/>
      <c r="E36" s="1"/>
      <c r="F36" s="1"/>
      <c r="G36" s="1"/>
      <c r="H36" s="1"/>
      <c r="I36" s="1"/>
      <c r="J36" s="58" t="e">
        <f>SUM(BB36:BE36)</f>
        <v>#REF!</v>
      </c>
      <c r="K36" s="58" t="e">
        <f>SUM(BF36:BI36)</f>
        <v>#REF!</v>
      </c>
      <c r="L36" s="58" t="e">
        <f>SUM(BJ36:BM36)</f>
        <v>#REF!</v>
      </c>
      <c r="M36" s="58" t="e">
        <v>#REF!</v>
      </c>
      <c r="N36" s="62" t="e">
        <v>#REF!</v>
      </c>
      <c r="O36" s="62" t="e">
        <v>#REF!</v>
      </c>
      <c r="P36" s="62" t="e">
        <v>#REF!</v>
      </c>
      <c r="Q36" s="62" t="e">
        <v>#REF!</v>
      </c>
      <c r="R36" s="62" t="e">
        <v>#REF!</v>
      </c>
      <c r="S36" s="1"/>
      <c r="T36" s="1"/>
      <c r="U36" s="1"/>
      <c r="V36" s="1"/>
      <c r="W36" s="1"/>
      <c r="X36" s="1"/>
      <c r="Y36" s="1"/>
      <c r="Z36" s="1"/>
      <c r="AA36" s="1"/>
      <c r="AB36" s="1"/>
      <c r="AC36" s="1"/>
      <c r="AD36" s="1"/>
      <c r="AE36" s="1"/>
      <c r="AF36" s="72"/>
      <c r="AG36" s="2"/>
      <c r="AH36" s="1"/>
      <c r="AI36" s="1"/>
      <c r="AJ36" s="1"/>
      <c r="AK36" s="1"/>
      <c r="AL36" s="1"/>
      <c r="AM36" s="1"/>
      <c r="AN36" s="1"/>
      <c r="AO36" s="1"/>
      <c r="AP36" s="1"/>
      <c r="AQ36" s="58"/>
      <c r="AR36" s="58"/>
      <c r="AS36" s="58"/>
      <c r="AT36" s="1"/>
      <c r="AU36" s="1"/>
      <c r="AV36" s="1"/>
      <c r="AW36" s="1"/>
      <c r="AX36" s="1"/>
      <c r="AY36" s="1"/>
      <c r="AZ36" s="1"/>
      <c r="BA36" s="1"/>
      <c r="BB36" s="58" t="e">
        <v>#REF!</v>
      </c>
      <c r="BC36" s="58" t="e">
        <v>#REF!</v>
      </c>
      <c r="BD36" s="58" t="e">
        <v>#REF!</v>
      </c>
      <c r="BE36" s="58" t="e">
        <v>#REF!</v>
      </c>
      <c r="BF36" s="60" t="e">
        <v>#REF!</v>
      </c>
      <c r="BG36" s="58" t="e">
        <v>#REF!</v>
      </c>
      <c r="BH36" s="58" t="e">
        <v>#REF!</v>
      </c>
      <c r="BI36" s="58" t="e">
        <v>#REF!</v>
      </c>
      <c r="BJ36" s="60" t="e">
        <v>#REF!</v>
      </c>
      <c r="BK36" s="58" t="e">
        <v>#REF!</v>
      </c>
      <c r="BL36" s="58" t="e">
        <v>#REF!</v>
      </c>
      <c r="BM36" s="58" t="e">
        <v>#REF!</v>
      </c>
      <c r="BN36" s="60" t="e">
        <v>#REF!</v>
      </c>
      <c r="BO36" s="58" t="e">
        <v>#REF!</v>
      </c>
      <c r="BP36" s="58" t="e">
        <v>#REF!</v>
      </c>
      <c r="BQ36" s="58" t="e">
        <v>#REF!</v>
      </c>
      <c r="BR36" s="61" t="e">
        <v>#REF!</v>
      </c>
      <c r="BS36" s="62" t="e">
        <v>#REF!</v>
      </c>
      <c r="BT36" s="62" t="e">
        <v>#REF!</v>
      </c>
      <c r="BU36" s="62" t="e">
        <v>#REF!</v>
      </c>
      <c r="BV36" s="58">
        <f>I36-SUM(AX36:BA36)</f>
        <v>0</v>
      </c>
      <c r="BW36" s="2" t="e">
        <f>M36-SUM(BN36:BQ36)</f>
        <v>#REF!</v>
      </c>
      <c r="BX36" s="58" t="e">
        <f>K36-SUM(BF36:BI36)</f>
        <v>#REF!</v>
      </c>
      <c r="BY36" s="2" t="e">
        <f>L36-SUM(BJ36:BM36)</f>
        <v>#REF!</v>
      </c>
      <c r="BZ36" s="2" t="e">
        <f>N36-SUM(BR36:BU36)</f>
        <v>#REF!</v>
      </c>
      <c r="CA36" s="1"/>
      <c r="CB36" s="1"/>
      <c r="CC36" s="1"/>
      <c r="CD36" s="1"/>
      <c r="CE36" s="1"/>
      <c r="CF36" s="1"/>
      <c r="CG36" s="1"/>
      <c r="CH36" s="1"/>
      <c r="CI36" s="1"/>
      <c r="CJ36" s="1"/>
      <c r="CK36" s="1"/>
      <c r="CL36" s="1"/>
      <c r="CM36" s="1"/>
      <c r="CN36" s="1"/>
      <c r="CO36" s="1"/>
      <c r="CP36" s="1"/>
    </row>
    <row r="37" spans="1:94">
      <c r="A37" s="68" t="s">
        <v>952</v>
      </c>
      <c r="B37" s="6"/>
      <c r="C37" s="6"/>
      <c r="D37" s="6"/>
      <c r="E37" s="6"/>
      <c r="F37" s="6"/>
      <c r="G37" s="6"/>
      <c r="H37" s="6"/>
      <c r="I37" s="6"/>
      <c r="J37" s="6"/>
      <c r="K37" s="6" t="e">
        <f t="shared" ref="K37:R37" si="38">K36/J36-1</f>
        <v>#REF!</v>
      </c>
      <c r="L37" s="6" t="e">
        <f t="shared" si="38"/>
        <v>#REF!</v>
      </c>
      <c r="M37" s="6" t="e">
        <f t="shared" si="38"/>
        <v>#REF!</v>
      </c>
      <c r="N37" s="28" t="e">
        <f t="shared" si="38"/>
        <v>#REF!</v>
      </c>
      <c r="O37" s="28" t="e">
        <f t="shared" si="38"/>
        <v>#REF!</v>
      </c>
      <c r="P37" s="28" t="e">
        <f t="shared" si="38"/>
        <v>#REF!</v>
      </c>
      <c r="Q37" s="28" t="e">
        <f t="shared" si="38"/>
        <v>#REF!</v>
      </c>
      <c r="R37" s="28" t="e">
        <f t="shared" si="38"/>
        <v>#REF!</v>
      </c>
      <c r="S37" s="6"/>
      <c r="T37" s="6"/>
      <c r="U37" s="6"/>
      <c r="V37" s="6"/>
      <c r="W37" s="6"/>
      <c r="X37" s="6"/>
      <c r="Y37" s="6"/>
      <c r="Z37" s="6"/>
      <c r="AA37" s="6"/>
      <c r="AB37" s="6"/>
      <c r="AC37" s="6"/>
      <c r="AD37" s="6"/>
      <c r="AE37" s="6"/>
      <c r="AF37" s="47"/>
      <c r="AG37" s="2"/>
      <c r="AH37" s="6"/>
      <c r="AI37" s="6"/>
      <c r="AJ37" s="6"/>
      <c r="AK37" s="6"/>
      <c r="AL37" s="6"/>
      <c r="AM37" s="6"/>
      <c r="AN37" s="6"/>
      <c r="AO37" s="6"/>
      <c r="AP37" s="6"/>
      <c r="AQ37" s="6"/>
      <c r="AR37" s="6"/>
      <c r="AS37" s="6"/>
      <c r="AT37" s="6"/>
      <c r="AU37" s="6"/>
      <c r="AV37" s="6"/>
      <c r="AW37" s="6"/>
      <c r="AX37" s="6"/>
      <c r="AY37" s="6"/>
      <c r="AZ37" s="6"/>
      <c r="BA37" s="6"/>
      <c r="BB37" s="6"/>
      <c r="BC37" s="6"/>
      <c r="BD37" s="6"/>
      <c r="BE37" s="6"/>
      <c r="BF37" s="63" t="e">
        <f t="shared" ref="BF37:BU37" si="39">BF36/BB36-1</f>
        <v>#REF!</v>
      </c>
      <c r="BG37" s="6" t="e">
        <f t="shared" si="39"/>
        <v>#REF!</v>
      </c>
      <c r="BH37" s="6" t="e">
        <f t="shared" si="39"/>
        <v>#REF!</v>
      </c>
      <c r="BI37" s="6" t="e">
        <f t="shared" si="39"/>
        <v>#REF!</v>
      </c>
      <c r="BJ37" s="63" t="e">
        <f t="shared" si="39"/>
        <v>#REF!</v>
      </c>
      <c r="BK37" s="6" t="e">
        <f t="shared" si="39"/>
        <v>#REF!</v>
      </c>
      <c r="BL37" s="6" t="e">
        <f t="shared" si="39"/>
        <v>#REF!</v>
      </c>
      <c r="BM37" s="6" t="e">
        <f t="shared" si="39"/>
        <v>#REF!</v>
      </c>
      <c r="BN37" s="63" t="e">
        <f t="shared" si="39"/>
        <v>#REF!</v>
      </c>
      <c r="BO37" s="6" t="e">
        <f t="shared" si="39"/>
        <v>#REF!</v>
      </c>
      <c r="BP37" s="6" t="e">
        <f t="shared" si="39"/>
        <v>#REF!</v>
      </c>
      <c r="BQ37" s="6" t="e">
        <f t="shared" si="39"/>
        <v>#REF!</v>
      </c>
      <c r="BR37" s="64" t="e">
        <f t="shared" si="39"/>
        <v>#REF!</v>
      </c>
      <c r="BS37" s="28" t="e">
        <f t="shared" si="39"/>
        <v>#REF!</v>
      </c>
      <c r="BT37" s="28" t="e">
        <f t="shared" si="39"/>
        <v>#REF!</v>
      </c>
      <c r="BU37" s="28" t="e">
        <f t="shared" si="39"/>
        <v>#REF!</v>
      </c>
      <c r="BV37" s="58"/>
      <c r="BW37" s="58"/>
      <c r="BX37" s="58"/>
      <c r="BY37" s="6"/>
      <c r="BZ37" s="6"/>
      <c r="CA37" s="6"/>
      <c r="CB37" s="6"/>
      <c r="CC37" s="6"/>
      <c r="CD37" s="6"/>
      <c r="CE37" s="6"/>
      <c r="CF37" s="6"/>
      <c r="CG37" s="6"/>
      <c r="CH37" s="6"/>
      <c r="CI37" s="6"/>
      <c r="CJ37" s="6"/>
      <c r="CK37" s="6"/>
      <c r="CL37" s="6"/>
      <c r="CM37" s="6"/>
      <c r="CN37" s="6"/>
      <c r="CO37" s="6"/>
      <c r="CP37" s="6"/>
    </row>
    <row r="38" spans="1:94">
      <c r="A38" s="68" t="s">
        <v>962</v>
      </c>
      <c r="B38" s="2"/>
      <c r="C38" s="2"/>
      <c r="D38" s="2"/>
      <c r="E38" s="2"/>
      <c r="F38" s="2"/>
      <c r="G38" s="2"/>
      <c r="H38" s="2"/>
      <c r="I38" s="2"/>
      <c r="J38" s="6" t="e">
        <f t="shared" ref="J38:R38" si="40">J36/J29</f>
        <v>#REF!</v>
      </c>
      <c r="K38" s="6" t="e">
        <f t="shared" si="40"/>
        <v>#REF!</v>
      </c>
      <c r="L38" s="6" t="e">
        <f t="shared" si="40"/>
        <v>#REF!</v>
      </c>
      <c r="M38" s="6" t="e">
        <f t="shared" si="40"/>
        <v>#REF!</v>
      </c>
      <c r="N38" s="28" t="e">
        <f t="shared" si="40"/>
        <v>#REF!</v>
      </c>
      <c r="O38" s="28" t="e">
        <f t="shared" si="40"/>
        <v>#REF!</v>
      </c>
      <c r="P38" s="28" t="e">
        <f t="shared" si="40"/>
        <v>#REF!</v>
      </c>
      <c r="Q38" s="28" t="e">
        <f t="shared" si="40"/>
        <v>#REF!</v>
      </c>
      <c r="R38" s="28" t="e">
        <f t="shared" si="40"/>
        <v>#REF!</v>
      </c>
      <c r="S38" s="2"/>
      <c r="T38" s="2"/>
      <c r="U38" s="2"/>
      <c r="V38" s="2"/>
      <c r="W38" s="2"/>
      <c r="X38" s="2"/>
      <c r="Y38" s="2"/>
      <c r="Z38" s="2"/>
      <c r="AA38" s="2"/>
      <c r="AB38" s="2"/>
      <c r="AC38" s="2"/>
      <c r="AD38" s="2"/>
      <c r="AE38" s="2"/>
      <c r="AF38" s="47"/>
      <c r="AG38" s="2"/>
      <c r="AH38" s="2"/>
      <c r="AI38" s="2"/>
      <c r="AJ38" s="2"/>
      <c r="AK38" s="2"/>
      <c r="AL38" s="2"/>
      <c r="AM38" s="2"/>
      <c r="AN38" s="2"/>
      <c r="AO38" s="2"/>
      <c r="AP38" s="2"/>
      <c r="AQ38" s="56"/>
      <c r="AR38" s="56"/>
      <c r="AS38" s="56"/>
      <c r="AT38" s="2"/>
      <c r="AU38" s="2"/>
      <c r="AV38" s="2"/>
      <c r="AW38" s="2"/>
      <c r="AX38" s="2"/>
      <c r="AY38" s="2"/>
      <c r="AZ38" s="2"/>
      <c r="BA38" s="2"/>
      <c r="BB38" s="6" t="e">
        <f t="shared" ref="BB38:BU38" si="41">BB36/BB29</f>
        <v>#REF!</v>
      </c>
      <c r="BC38" s="6" t="e">
        <f t="shared" si="41"/>
        <v>#REF!</v>
      </c>
      <c r="BD38" s="6" t="e">
        <f t="shared" si="41"/>
        <v>#REF!</v>
      </c>
      <c r="BE38" s="6" t="e">
        <f t="shared" si="41"/>
        <v>#REF!</v>
      </c>
      <c r="BF38" s="63" t="e">
        <f t="shared" si="41"/>
        <v>#REF!</v>
      </c>
      <c r="BG38" s="6" t="e">
        <f t="shared" si="41"/>
        <v>#REF!</v>
      </c>
      <c r="BH38" s="6" t="e">
        <f t="shared" si="41"/>
        <v>#REF!</v>
      </c>
      <c r="BI38" s="6" t="e">
        <f t="shared" si="41"/>
        <v>#REF!</v>
      </c>
      <c r="BJ38" s="63" t="e">
        <f t="shared" si="41"/>
        <v>#REF!</v>
      </c>
      <c r="BK38" s="6" t="e">
        <f t="shared" si="41"/>
        <v>#REF!</v>
      </c>
      <c r="BL38" s="6" t="e">
        <f t="shared" si="41"/>
        <v>#REF!</v>
      </c>
      <c r="BM38" s="6" t="e">
        <f t="shared" si="41"/>
        <v>#REF!</v>
      </c>
      <c r="BN38" s="63" t="e">
        <f t="shared" si="41"/>
        <v>#REF!</v>
      </c>
      <c r="BO38" s="6" t="e">
        <f t="shared" si="41"/>
        <v>#REF!</v>
      </c>
      <c r="BP38" s="6" t="e">
        <f t="shared" si="41"/>
        <v>#REF!</v>
      </c>
      <c r="BQ38" s="6" t="e">
        <f t="shared" si="41"/>
        <v>#REF!</v>
      </c>
      <c r="BR38" s="64" t="e">
        <f t="shared" si="41"/>
        <v>#REF!</v>
      </c>
      <c r="BS38" s="28" t="e">
        <f t="shared" si="41"/>
        <v>#REF!</v>
      </c>
      <c r="BT38" s="28" t="e">
        <f t="shared" si="41"/>
        <v>#REF!</v>
      </c>
      <c r="BU38" s="28" t="e">
        <f t="shared" si="41"/>
        <v>#REF!</v>
      </c>
      <c r="BV38" s="58"/>
      <c r="BW38" s="58"/>
      <c r="BX38" s="58"/>
      <c r="BY38" s="2"/>
      <c r="BZ38" s="2"/>
      <c r="CA38" s="2"/>
      <c r="CB38" s="2"/>
      <c r="CC38" s="2"/>
      <c r="CD38" s="2"/>
      <c r="CE38" s="2"/>
      <c r="CF38" s="2"/>
      <c r="CG38" s="2"/>
      <c r="CH38" s="2"/>
      <c r="CI38" s="2"/>
      <c r="CJ38" s="2"/>
      <c r="CK38" s="2"/>
      <c r="CL38" s="2"/>
      <c r="CM38" s="2"/>
      <c r="CN38" s="2"/>
      <c r="CO38" s="2"/>
      <c r="CP38" s="2"/>
    </row>
    <row r="39" spans="1:94">
      <c r="A39" s="57" t="s">
        <v>963</v>
      </c>
      <c r="B39" s="1"/>
      <c r="C39" s="1"/>
      <c r="D39" s="1"/>
      <c r="E39" s="1"/>
      <c r="F39" s="1"/>
      <c r="G39" s="1"/>
      <c r="H39" s="1"/>
      <c r="I39" s="1"/>
      <c r="J39" s="58" t="e">
        <f>SUM(BB39:BE39)</f>
        <v>#REF!</v>
      </c>
      <c r="K39" s="58" t="e">
        <f>SUM(BF39:BI39)</f>
        <v>#REF!</v>
      </c>
      <c r="L39" s="58" t="e">
        <f>SUM(BJ39:BM39)</f>
        <v>#REF!</v>
      </c>
      <c r="M39" s="58" t="e">
        <v>#REF!</v>
      </c>
      <c r="N39" s="62" t="e">
        <v>#REF!</v>
      </c>
      <c r="O39" s="62" t="e">
        <v>#REF!</v>
      </c>
      <c r="P39" s="62" t="e">
        <v>#REF!</v>
      </c>
      <c r="Q39" s="62" t="e">
        <v>#REF!</v>
      </c>
      <c r="R39" s="62" t="e">
        <v>#REF!</v>
      </c>
      <c r="S39" s="1"/>
      <c r="T39" s="1"/>
      <c r="U39" s="1"/>
      <c r="V39" s="1"/>
      <c r="W39" s="1"/>
      <c r="X39" s="1"/>
      <c r="Y39" s="1"/>
      <c r="Z39" s="1"/>
      <c r="AA39" s="1"/>
      <c r="AB39" s="1"/>
      <c r="AC39" s="1"/>
      <c r="AD39" s="1"/>
      <c r="AE39" s="1"/>
      <c r="AF39" s="72"/>
      <c r="AG39" s="2"/>
      <c r="AH39" s="1"/>
      <c r="AI39" s="1"/>
      <c r="AJ39" s="1"/>
      <c r="AK39" s="1"/>
      <c r="AL39" s="1"/>
      <c r="AM39" s="1"/>
      <c r="AN39" s="1"/>
      <c r="AO39" s="1"/>
      <c r="AP39" s="1"/>
      <c r="AQ39" s="58"/>
      <c r="AR39" s="58"/>
      <c r="AS39" s="58"/>
      <c r="AT39" s="1"/>
      <c r="AU39" s="1"/>
      <c r="AV39" s="1"/>
      <c r="AW39" s="1"/>
      <c r="AX39" s="1"/>
      <c r="AY39" s="1"/>
      <c r="AZ39" s="1"/>
      <c r="BA39" s="1"/>
      <c r="BB39" s="58" t="e">
        <v>#REF!</v>
      </c>
      <c r="BC39" s="58" t="e">
        <v>#REF!</v>
      </c>
      <c r="BD39" s="58" t="e">
        <v>#REF!</v>
      </c>
      <c r="BE39" s="58" t="e">
        <v>#REF!</v>
      </c>
      <c r="BF39" s="60" t="e">
        <v>#REF!</v>
      </c>
      <c r="BG39" s="58" t="e">
        <v>#REF!</v>
      </c>
      <c r="BH39" s="58" t="e">
        <v>#REF!</v>
      </c>
      <c r="BI39" s="58" t="e">
        <v>#REF!</v>
      </c>
      <c r="BJ39" s="60" t="e">
        <v>#REF!</v>
      </c>
      <c r="BK39" s="58" t="e">
        <v>#REF!</v>
      </c>
      <c r="BL39" s="58" t="e">
        <v>#REF!</v>
      </c>
      <c r="BM39" s="58" t="e">
        <v>#REF!</v>
      </c>
      <c r="BN39" s="60" t="e">
        <v>#REF!</v>
      </c>
      <c r="BO39" s="58" t="e">
        <v>#REF!</v>
      </c>
      <c r="BP39" s="58" t="e">
        <v>#REF!</v>
      </c>
      <c r="BQ39" s="58" t="e">
        <v>#REF!</v>
      </c>
      <c r="BR39" s="61" t="e">
        <v>#REF!</v>
      </c>
      <c r="BS39" s="62" t="e">
        <v>#REF!</v>
      </c>
      <c r="BT39" s="62" t="e">
        <v>#REF!</v>
      </c>
      <c r="BU39" s="62" t="e">
        <v>#REF!</v>
      </c>
      <c r="BV39" s="58">
        <f>I39-SUM(AX39:BA39)</f>
        <v>0</v>
      </c>
      <c r="BW39" s="2" t="e">
        <f>M39-SUM(BN39:BQ39)</f>
        <v>#REF!</v>
      </c>
      <c r="BX39" s="58" t="e">
        <f>K39-SUM(BF39:BI39)</f>
        <v>#REF!</v>
      </c>
      <c r="BY39" s="2" t="e">
        <f>L39-SUM(BJ39:BM39)</f>
        <v>#REF!</v>
      </c>
      <c r="BZ39" s="2" t="e">
        <f>N39-SUM(BR39:BU39)</f>
        <v>#REF!</v>
      </c>
      <c r="CA39" s="1"/>
      <c r="CB39" s="1"/>
      <c r="CC39" s="1"/>
      <c r="CD39" s="1"/>
      <c r="CE39" s="1"/>
      <c r="CF39" s="1"/>
      <c r="CG39" s="1"/>
      <c r="CH39" s="1"/>
      <c r="CI39" s="1"/>
      <c r="CJ39" s="1"/>
      <c r="CK39" s="1"/>
      <c r="CL39" s="1"/>
      <c r="CM39" s="1"/>
      <c r="CN39" s="1"/>
      <c r="CO39" s="1"/>
      <c r="CP39" s="1"/>
    </row>
    <row r="40" spans="1:94">
      <c r="A40" s="68" t="s">
        <v>952</v>
      </c>
      <c r="B40" s="2"/>
      <c r="C40" s="2"/>
      <c r="D40" s="2"/>
      <c r="E40" s="2"/>
      <c r="F40" s="2"/>
      <c r="G40" s="2"/>
      <c r="H40" s="2"/>
      <c r="I40" s="2"/>
      <c r="J40" s="56"/>
      <c r="K40" s="6" t="e">
        <f t="shared" ref="K40:R40" si="42">K39/J39-1</f>
        <v>#REF!</v>
      </c>
      <c r="L40" s="6" t="e">
        <f t="shared" si="42"/>
        <v>#REF!</v>
      </c>
      <c r="M40" s="6" t="e">
        <f t="shared" si="42"/>
        <v>#REF!</v>
      </c>
      <c r="N40" s="28" t="e">
        <f t="shared" si="42"/>
        <v>#REF!</v>
      </c>
      <c r="O40" s="28" t="e">
        <f t="shared" si="42"/>
        <v>#REF!</v>
      </c>
      <c r="P40" s="28" t="e">
        <f t="shared" si="42"/>
        <v>#REF!</v>
      </c>
      <c r="Q40" s="28" t="e">
        <f t="shared" si="42"/>
        <v>#REF!</v>
      </c>
      <c r="R40" s="28" t="e">
        <f t="shared" si="42"/>
        <v>#REF!</v>
      </c>
      <c r="S40" s="2"/>
      <c r="T40" s="2"/>
      <c r="U40" s="2"/>
      <c r="V40" s="2"/>
      <c r="W40" s="2"/>
      <c r="X40" s="2"/>
      <c r="Y40" s="2"/>
      <c r="Z40" s="2"/>
      <c r="AA40" s="2"/>
      <c r="AB40" s="2"/>
      <c r="AC40" s="2"/>
      <c r="AD40" s="2"/>
      <c r="AE40" s="2"/>
      <c r="AF40" s="47"/>
      <c r="AG40" s="2"/>
      <c r="AH40" s="2"/>
      <c r="AI40" s="2"/>
      <c r="AJ40" s="2"/>
      <c r="AK40" s="2"/>
      <c r="AL40" s="2"/>
      <c r="AM40" s="2"/>
      <c r="AN40" s="2"/>
      <c r="AO40" s="2"/>
      <c r="AP40" s="2"/>
      <c r="AQ40" s="56"/>
      <c r="AR40" s="56"/>
      <c r="AS40" s="56"/>
      <c r="AT40" s="2"/>
      <c r="AU40" s="2"/>
      <c r="AV40" s="2"/>
      <c r="AW40" s="2"/>
      <c r="AX40" s="2"/>
      <c r="AY40" s="2"/>
      <c r="AZ40" s="2"/>
      <c r="BA40" s="2"/>
      <c r="BB40" s="56"/>
      <c r="BC40" s="56"/>
      <c r="BD40" s="6"/>
      <c r="BE40" s="6"/>
      <c r="BF40" s="63" t="e">
        <f t="shared" ref="BF40:BU40" si="43">BF39/BB39-1</f>
        <v>#REF!</v>
      </c>
      <c r="BG40" s="6" t="e">
        <f t="shared" si="43"/>
        <v>#REF!</v>
      </c>
      <c r="BH40" s="6" t="e">
        <f t="shared" si="43"/>
        <v>#REF!</v>
      </c>
      <c r="BI40" s="6" t="e">
        <f t="shared" si="43"/>
        <v>#REF!</v>
      </c>
      <c r="BJ40" s="63" t="e">
        <f t="shared" si="43"/>
        <v>#REF!</v>
      </c>
      <c r="BK40" s="6" t="e">
        <f t="shared" si="43"/>
        <v>#REF!</v>
      </c>
      <c r="BL40" s="6" t="e">
        <f t="shared" si="43"/>
        <v>#REF!</v>
      </c>
      <c r="BM40" s="6" t="e">
        <f t="shared" si="43"/>
        <v>#REF!</v>
      </c>
      <c r="BN40" s="63" t="e">
        <f t="shared" si="43"/>
        <v>#REF!</v>
      </c>
      <c r="BO40" s="6" t="e">
        <f t="shared" si="43"/>
        <v>#REF!</v>
      </c>
      <c r="BP40" s="6" t="e">
        <f t="shared" si="43"/>
        <v>#REF!</v>
      </c>
      <c r="BQ40" s="6" t="e">
        <f t="shared" si="43"/>
        <v>#REF!</v>
      </c>
      <c r="BR40" s="64" t="e">
        <f t="shared" si="43"/>
        <v>#REF!</v>
      </c>
      <c r="BS40" s="28" t="e">
        <f t="shared" si="43"/>
        <v>#REF!</v>
      </c>
      <c r="BT40" s="28" t="e">
        <f t="shared" si="43"/>
        <v>#REF!</v>
      </c>
      <c r="BU40" s="28" t="e">
        <f t="shared" si="43"/>
        <v>#REF!</v>
      </c>
      <c r="BV40" s="58"/>
      <c r="BW40" s="58"/>
      <c r="BX40" s="58"/>
      <c r="BY40" s="2"/>
      <c r="BZ40" s="2"/>
      <c r="CA40" s="2"/>
      <c r="CB40" s="2"/>
      <c r="CC40" s="2"/>
      <c r="CD40" s="2"/>
      <c r="CE40" s="2"/>
      <c r="CF40" s="2"/>
      <c r="CG40" s="2"/>
      <c r="CH40" s="2"/>
      <c r="CI40" s="2"/>
      <c r="CJ40" s="2"/>
      <c r="CK40" s="2"/>
      <c r="CL40" s="2"/>
      <c r="CM40" s="2"/>
      <c r="CN40" s="2"/>
      <c r="CO40" s="2"/>
      <c r="CP40" s="2"/>
    </row>
    <row r="41" spans="1:94">
      <c r="A41" s="68" t="s">
        <v>950</v>
      </c>
      <c r="B41" s="2"/>
      <c r="C41" s="2"/>
      <c r="D41" s="2"/>
      <c r="E41" s="2"/>
      <c r="F41" s="2"/>
      <c r="G41" s="2"/>
      <c r="H41" s="2"/>
      <c r="I41" s="2"/>
      <c r="J41" s="6"/>
      <c r="K41" s="6" t="e">
        <f t="shared" ref="K41:R41" si="44">K39/K29</f>
        <v>#REF!</v>
      </c>
      <c r="L41" s="6" t="e">
        <f t="shared" si="44"/>
        <v>#REF!</v>
      </c>
      <c r="M41" s="6" t="e">
        <f t="shared" si="44"/>
        <v>#REF!</v>
      </c>
      <c r="N41" s="28" t="e">
        <f t="shared" si="44"/>
        <v>#REF!</v>
      </c>
      <c r="O41" s="28" t="e">
        <f t="shared" si="44"/>
        <v>#REF!</v>
      </c>
      <c r="P41" s="28" t="e">
        <f t="shared" si="44"/>
        <v>#REF!</v>
      </c>
      <c r="Q41" s="28" t="e">
        <f t="shared" si="44"/>
        <v>#REF!</v>
      </c>
      <c r="R41" s="28" t="e">
        <f t="shared" si="44"/>
        <v>#REF!</v>
      </c>
      <c r="S41" s="2"/>
      <c r="T41" s="2"/>
      <c r="U41" s="2"/>
      <c r="V41" s="2"/>
      <c r="W41" s="2"/>
      <c r="X41" s="2"/>
      <c r="Y41" s="2"/>
      <c r="Z41" s="2"/>
      <c r="AA41" s="2"/>
      <c r="AB41" s="2"/>
      <c r="AC41" s="2"/>
      <c r="AD41" s="2"/>
      <c r="AE41" s="2"/>
      <c r="AF41" s="47"/>
      <c r="AG41" s="2"/>
      <c r="AH41" s="2"/>
      <c r="AI41" s="2"/>
      <c r="AJ41" s="2"/>
      <c r="AK41" s="2"/>
      <c r="AL41" s="2"/>
      <c r="AM41" s="2"/>
      <c r="AN41" s="2"/>
      <c r="AO41" s="2"/>
      <c r="AP41" s="2"/>
      <c r="AQ41" s="56"/>
      <c r="AR41" s="56"/>
      <c r="AS41" s="56"/>
      <c r="AT41" s="2"/>
      <c r="AU41" s="2"/>
      <c r="AV41" s="2"/>
      <c r="AW41" s="2"/>
      <c r="AX41" s="2"/>
      <c r="AY41" s="2"/>
      <c r="AZ41" s="2"/>
      <c r="BA41" s="2"/>
      <c r="BB41" s="6" t="e">
        <f t="shared" ref="BB41:BU41" si="45">BB39/BB29</f>
        <v>#REF!</v>
      </c>
      <c r="BC41" s="6" t="e">
        <f t="shared" si="45"/>
        <v>#REF!</v>
      </c>
      <c r="BD41" s="6" t="e">
        <f t="shared" si="45"/>
        <v>#REF!</v>
      </c>
      <c r="BE41" s="6" t="e">
        <f t="shared" si="45"/>
        <v>#REF!</v>
      </c>
      <c r="BF41" s="63" t="e">
        <f t="shared" si="45"/>
        <v>#REF!</v>
      </c>
      <c r="BG41" s="6" t="e">
        <f t="shared" si="45"/>
        <v>#REF!</v>
      </c>
      <c r="BH41" s="6" t="e">
        <f t="shared" si="45"/>
        <v>#REF!</v>
      </c>
      <c r="BI41" s="6" t="e">
        <f t="shared" si="45"/>
        <v>#REF!</v>
      </c>
      <c r="BJ41" s="63" t="e">
        <f t="shared" si="45"/>
        <v>#REF!</v>
      </c>
      <c r="BK41" s="6" t="e">
        <f t="shared" si="45"/>
        <v>#REF!</v>
      </c>
      <c r="BL41" s="6" t="e">
        <f t="shared" si="45"/>
        <v>#REF!</v>
      </c>
      <c r="BM41" s="6" t="e">
        <f t="shared" si="45"/>
        <v>#REF!</v>
      </c>
      <c r="BN41" s="63" t="e">
        <f t="shared" si="45"/>
        <v>#REF!</v>
      </c>
      <c r="BO41" s="6" t="e">
        <f t="shared" si="45"/>
        <v>#REF!</v>
      </c>
      <c r="BP41" s="6" t="e">
        <f t="shared" si="45"/>
        <v>#REF!</v>
      </c>
      <c r="BQ41" s="6" t="e">
        <f t="shared" si="45"/>
        <v>#REF!</v>
      </c>
      <c r="BR41" s="64" t="e">
        <f t="shared" si="45"/>
        <v>#REF!</v>
      </c>
      <c r="BS41" s="28" t="e">
        <f t="shared" si="45"/>
        <v>#REF!</v>
      </c>
      <c r="BT41" s="28" t="e">
        <f t="shared" si="45"/>
        <v>#REF!</v>
      </c>
      <c r="BU41" s="28" t="e">
        <f t="shared" si="45"/>
        <v>#REF!</v>
      </c>
      <c r="BV41" s="58"/>
      <c r="BW41" s="58"/>
      <c r="BX41" s="58"/>
      <c r="BY41" s="2"/>
      <c r="BZ41" s="2"/>
      <c r="CA41" s="2"/>
      <c r="CB41" s="2"/>
      <c r="CC41" s="2"/>
      <c r="CD41" s="2"/>
      <c r="CE41" s="2"/>
      <c r="CF41" s="2"/>
      <c r="CG41" s="2"/>
      <c r="CH41" s="2"/>
      <c r="CI41" s="2"/>
      <c r="CJ41" s="2"/>
      <c r="CK41" s="2"/>
      <c r="CL41" s="2"/>
      <c r="CM41" s="2"/>
      <c r="CN41" s="2"/>
      <c r="CO41" s="2"/>
      <c r="CP41" s="2"/>
    </row>
    <row r="42" spans="1:94">
      <c r="A42" s="57" t="s">
        <v>964</v>
      </c>
      <c r="B42" s="1"/>
      <c r="C42" s="1"/>
      <c r="D42" s="1"/>
      <c r="E42" s="58" t="e">
        <v>#REF!</v>
      </c>
      <c r="F42" s="58" t="e">
        <v>#REF!</v>
      </c>
      <c r="G42" s="58" t="e">
        <f>SUM(AP42:AS42)</f>
        <v>#REF!</v>
      </c>
      <c r="H42" s="1" t="e">
        <f>SUM(AT42:AW42)</f>
        <v>#REF!</v>
      </c>
      <c r="I42" s="1" t="e">
        <f>SUM(AX42:BA42)</f>
        <v>#REF!</v>
      </c>
      <c r="J42" s="1" t="e">
        <f>SUM(BB42:BE42)</f>
        <v>#REF!</v>
      </c>
      <c r="K42" s="58" t="e">
        <f>SUM(BF42:BI42)</f>
        <v>#REF!</v>
      </c>
      <c r="L42" s="58" t="e">
        <f>SUM(BJ42:BM42)</f>
        <v>#REF!</v>
      </c>
      <c r="M42" s="58" t="e">
        <v>#REF!</v>
      </c>
      <c r="N42" s="62" t="e">
        <v>#REF!</v>
      </c>
      <c r="O42" s="62" t="e">
        <v>#REF!</v>
      </c>
      <c r="P42" s="62" t="e">
        <v>#REF!</v>
      </c>
      <c r="Q42" s="62" t="e">
        <v>#REF!</v>
      </c>
      <c r="R42" s="62" t="e">
        <v>#REF!</v>
      </c>
      <c r="S42" s="1"/>
      <c r="T42" s="1"/>
      <c r="U42" s="1"/>
      <c r="V42" s="1"/>
      <c r="W42" s="1"/>
      <c r="X42" s="1"/>
      <c r="Y42" s="1"/>
      <c r="Z42" s="1"/>
      <c r="AA42" s="1"/>
      <c r="AB42" s="1"/>
      <c r="AC42" s="1"/>
      <c r="AD42" s="1"/>
      <c r="AE42" s="1"/>
      <c r="AF42" s="59" t="e">
        <f>(R42/M42)^(1/5)-1</f>
        <v>#REF!</v>
      </c>
      <c r="AG42" s="2"/>
      <c r="AH42" s="58" t="e">
        <v>#REF!</v>
      </c>
      <c r="AI42" s="58" t="e">
        <v>#REF!</v>
      </c>
      <c r="AJ42" s="58" t="e">
        <v>#REF!</v>
      </c>
      <c r="AK42" s="58" t="e">
        <v>#REF!</v>
      </c>
      <c r="AL42" s="58" t="e">
        <v>#REF!</v>
      </c>
      <c r="AM42" s="58" t="e">
        <v>#REF!</v>
      </c>
      <c r="AN42" s="58" t="e">
        <v>#REF!</v>
      </c>
      <c r="AO42" s="58" t="e">
        <v>#REF!</v>
      </c>
      <c r="AP42" s="58" t="e">
        <v>#REF!</v>
      </c>
      <c r="AQ42" s="58" t="e">
        <v>#REF!</v>
      </c>
      <c r="AR42" s="58" t="e">
        <v>#REF!</v>
      </c>
      <c r="AS42" s="58" t="e">
        <v>#REF!</v>
      </c>
      <c r="AT42" s="58" t="e">
        <v>#REF!</v>
      </c>
      <c r="AU42" s="58" t="e">
        <v>#REF!</v>
      </c>
      <c r="AV42" s="58" t="e">
        <v>#REF!</v>
      </c>
      <c r="AW42" s="58" t="e">
        <v>#REF!</v>
      </c>
      <c r="AX42" s="58" t="e">
        <v>#REF!</v>
      </c>
      <c r="AY42" s="58" t="e">
        <v>#REF!</v>
      </c>
      <c r="AZ42" s="58" t="e">
        <v>#REF!</v>
      </c>
      <c r="BA42" s="58" t="e">
        <v>#REF!</v>
      </c>
      <c r="BB42" s="58" t="e">
        <v>#REF!</v>
      </c>
      <c r="BC42" s="58" t="e">
        <v>#REF!</v>
      </c>
      <c r="BD42" s="58" t="e">
        <v>#REF!</v>
      </c>
      <c r="BE42" s="58" t="e">
        <v>#REF!</v>
      </c>
      <c r="BF42" s="60" t="e">
        <v>#REF!</v>
      </c>
      <c r="BG42" s="58" t="e">
        <v>#REF!</v>
      </c>
      <c r="BH42" s="58" t="e">
        <v>#REF!</v>
      </c>
      <c r="BI42" s="58" t="e">
        <v>#REF!</v>
      </c>
      <c r="BJ42" s="60" t="e">
        <v>#REF!</v>
      </c>
      <c r="BK42" s="58" t="e">
        <v>#REF!</v>
      </c>
      <c r="BL42" s="58" t="e">
        <v>#REF!</v>
      </c>
      <c r="BM42" s="58" t="e">
        <v>#REF!</v>
      </c>
      <c r="BN42" s="60" t="e">
        <v>#REF!</v>
      </c>
      <c r="BO42" s="58" t="e">
        <v>#REF!</v>
      </c>
      <c r="BP42" s="58" t="e">
        <v>#REF!</v>
      </c>
      <c r="BQ42" s="58" t="e">
        <v>#REF!</v>
      </c>
      <c r="BR42" s="61" t="e">
        <v>#REF!</v>
      </c>
      <c r="BS42" s="62" t="e">
        <v>#REF!</v>
      </c>
      <c r="BT42" s="62" t="e">
        <v>#REF!</v>
      </c>
      <c r="BU42" s="62" t="e">
        <v>#REF!</v>
      </c>
      <c r="BV42" s="58" t="e">
        <f>I42-SUM(AX42:BA42)</f>
        <v>#REF!</v>
      </c>
      <c r="BW42" s="2" t="e">
        <f>M42-SUM(BN42:BQ42)</f>
        <v>#REF!</v>
      </c>
      <c r="BX42" s="58" t="e">
        <f>K42-SUM(BF42:BI42)</f>
        <v>#REF!</v>
      </c>
      <c r="BY42" s="2" t="e">
        <f>L42-SUM(BJ42:BM42)</f>
        <v>#REF!</v>
      </c>
      <c r="BZ42" s="2" t="e">
        <f>N42-SUM(BR42:BU42)</f>
        <v>#REF!</v>
      </c>
      <c r="CA42" s="1"/>
      <c r="CB42" s="1"/>
      <c r="CC42" s="1"/>
      <c r="CD42" s="1"/>
      <c r="CE42" s="1"/>
      <c r="CF42" s="1"/>
      <c r="CG42" s="1"/>
      <c r="CH42" s="1"/>
      <c r="CI42" s="1"/>
      <c r="CJ42" s="1"/>
      <c r="CK42" s="1"/>
      <c r="CL42" s="1"/>
      <c r="CM42" s="1"/>
      <c r="CN42" s="1"/>
      <c r="CO42" s="1"/>
      <c r="CP42" s="1"/>
    </row>
    <row r="43" spans="1:94">
      <c r="A43" s="68" t="s">
        <v>952</v>
      </c>
      <c r="B43" s="6"/>
      <c r="C43" s="6"/>
      <c r="D43" s="6"/>
      <c r="E43" s="6"/>
      <c r="F43" s="6" t="e">
        <f t="shared" ref="F43:R43" si="46">F42/E42-1</f>
        <v>#REF!</v>
      </c>
      <c r="G43" s="6" t="e">
        <f t="shared" si="46"/>
        <v>#REF!</v>
      </c>
      <c r="H43" s="6" t="e">
        <f t="shared" si="46"/>
        <v>#REF!</v>
      </c>
      <c r="I43" s="6" t="e">
        <f t="shared" si="46"/>
        <v>#REF!</v>
      </c>
      <c r="J43" s="6" t="e">
        <f t="shared" si="46"/>
        <v>#REF!</v>
      </c>
      <c r="K43" s="6" t="e">
        <f t="shared" si="46"/>
        <v>#REF!</v>
      </c>
      <c r="L43" s="6" t="e">
        <f t="shared" si="46"/>
        <v>#REF!</v>
      </c>
      <c r="M43" s="6" t="e">
        <f t="shared" si="46"/>
        <v>#REF!</v>
      </c>
      <c r="N43" s="28" t="e">
        <f t="shared" si="46"/>
        <v>#REF!</v>
      </c>
      <c r="O43" s="28" t="e">
        <f t="shared" si="46"/>
        <v>#REF!</v>
      </c>
      <c r="P43" s="28" t="e">
        <f t="shared" si="46"/>
        <v>#REF!</v>
      </c>
      <c r="Q43" s="28" t="e">
        <f t="shared" si="46"/>
        <v>#REF!</v>
      </c>
      <c r="R43" s="28" t="e">
        <f t="shared" si="46"/>
        <v>#REF!</v>
      </c>
      <c r="S43" s="6"/>
      <c r="T43" s="6"/>
      <c r="U43" s="6"/>
      <c r="V43" s="6"/>
      <c r="W43" s="6"/>
      <c r="X43" s="6"/>
      <c r="Y43" s="6"/>
      <c r="Z43" s="6"/>
      <c r="AA43" s="6"/>
      <c r="AB43" s="6"/>
      <c r="AC43" s="6"/>
      <c r="AD43" s="6"/>
      <c r="AE43" s="6"/>
      <c r="AF43" s="47"/>
      <c r="AG43" s="2"/>
      <c r="AH43" s="6"/>
      <c r="AI43" s="6"/>
      <c r="AJ43" s="6"/>
      <c r="AK43" s="6"/>
      <c r="AL43" s="6" t="e">
        <f t="shared" ref="AL43:BU43" si="47">AL42/AH42-1</f>
        <v>#REF!</v>
      </c>
      <c r="AM43" s="6" t="e">
        <f t="shared" si="47"/>
        <v>#REF!</v>
      </c>
      <c r="AN43" s="6" t="e">
        <f t="shared" si="47"/>
        <v>#REF!</v>
      </c>
      <c r="AO43" s="6" t="e">
        <f t="shared" si="47"/>
        <v>#REF!</v>
      </c>
      <c r="AP43" s="6" t="e">
        <f t="shared" si="47"/>
        <v>#REF!</v>
      </c>
      <c r="AQ43" s="6" t="e">
        <f t="shared" si="47"/>
        <v>#REF!</v>
      </c>
      <c r="AR43" s="6" t="e">
        <f t="shared" si="47"/>
        <v>#REF!</v>
      </c>
      <c r="AS43" s="6" t="e">
        <f t="shared" si="47"/>
        <v>#REF!</v>
      </c>
      <c r="AT43" s="6" t="e">
        <f t="shared" si="47"/>
        <v>#REF!</v>
      </c>
      <c r="AU43" s="6" t="e">
        <f t="shared" si="47"/>
        <v>#REF!</v>
      </c>
      <c r="AV43" s="6" t="e">
        <f t="shared" si="47"/>
        <v>#REF!</v>
      </c>
      <c r="AW43" s="6" t="e">
        <f t="shared" si="47"/>
        <v>#REF!</v>
      </c>
      <c r="AX43" s="6" t="e">
        <f t="shared" si="47"/>
        <v>#REF!</v>
      </c>
      <c r="AY43" s="6" t="e">
        <f t="shared" si="47"/>
        <v>#REF!</v>
      </c>
      <c r="AZ43" s="6" t="e">
        <f t="shared" si="47"/>
        <v>#REF!</v>
      </c>
      <c r="BA43" s="6" t="e">
        <f t="shared" si="47"/>
        <v>#REF!</v>
      </c>
      <c r="BB43" s="6" t="e">
        <f t="shared" si="47"/>
        <v>#REF!</v>
      </c>
      <c r="BC43" s="6" t="e">
        <f t="shared" si="47"/>
        <v>#REF!</v>
      </c>
      <c r="BD43" s="6" t="e">
        <f t="shared" si="47"/>
        <v>#REF!</v>
      </c>
      <c r="BE43" s="6" t="e">
        <f t="shared" si="47"/>
        <v>#REF!</v>
      </c>
      <c r="BF43" s="63" t="e">
        <f t="shared" si="47"/>
        <v>#REF!</v>
      </c>
      <c r="BG43" s="6" t="e">
        <f t="shared" si="47"/>
        <v>#REF!</v>
      </c>
      <c r="BH43" s="6" t="e">
        <f t="shared" si="47"/>
        <v>#REF!</v>
      </c>
      <c r="BI43" s="6" t="e">
        <f t="shared" si="47"/>
        <v>#REF!</v>
      </c>
      <c r="BJ43" s="63" t="e">
        <f t="shared" si="47"/>
        <v>#REF!</v>
      </c>
      <c r="BK43" s="6" t="e">
        <f t="shared" si="47"/>
        <v>#REF!</v>
      </c>
      <c r="BL43" s="6" t="e">
        <f t="shared" si="47"/>
        <v>#REF!</v>
      </c>
      <c r="BM43" s="6" t="e">
        <f t="shared" si="47"/>
        <v>#REF!</v>
      </c>
      <c r="BN43" s="63" t="e">
        <f t="shared" si="47"/>
        <v>#REF!</v>
      </c>
      <c r="BO43" s="6" t="e">
        <f t="shared" si="47"/>
        <v>#REF!</v>
      </c>
      <c r="BP43" s="6" t="e">
        <f t="shared" si="47"/>
        <v>#REF!</v>
      </c>
      <c r="BQ43" s="6" t="e">
        <f t="shared" si="47"/>
        <v>#REF!</v>
      </c>
      <c r="BR43" s="64" t="e">
        <f t="shared" si="47"/>
        <v>#REF!</v>
      </c>
      <c r="BS43" s="28" t="e">
        <f t="shared" si="47"/>
        <v>#REF!</v>
      </c>
      <c r="BT43" s="28" t="e">
        <f t="shared" si="47"/>
        <v>#REF!</v>
      </c>
      <c r="BU43" s="28" t="e">
        <f t="shared" si="47"/>
        <v>#REF!</v>
      </c>
      <c r="BV43" s="58"/>
      <c r="BW43" s="58"/>
      <c r="BX43" s="58"/>
      <c r="BY43" s="6"/>
      <c r="BZ43" s="6"/>
      <c r="CA43" s="6"/>
      <c r="CB43" s="6"/>
      <c r="CC43" s="6"/>
      <c r="CD43" s="6"/>
      <c r="CE43" s="6"/>
      <c r="CF43" s="6"/>
      <c r="CG43" s="6"/>
      <c r="CH43" s="6"/>
      <c r="CI43" s="6"/>
      <c r="CJ43" s="6"/>
      <c r="CK43" s="6"/>
      <c r="CL43" s="6"/>
      <c r="CM43" s="6"/>
      <c r="CN43" s="6"/>
      <c r="CO43" s="6"/>
      <c r="CP43" s="6"/>
    </row>
    <row r="44" spans="1:94">
      <c r="A44" s="68" t="s">
        <v>950</v>
      </c>
      <c r="B44" s="6"/>
      <c r="C44" s="6"/>
      <c r="D44" s="6"/>
      <c r="E44" s="6" t="e">
        <f>E42/E$29</f>
        <v>#REF!</v>
      </c>
      <c r="F44" s="6" t="e">
        <f>F42/F$29</f>
        <v>#REF!</v>
      </c>
      <c r="G44" s="6" t="e">
        <f>G42/G$29</f>
        <v>#REF!</v>
      </c>
      <c r="H44" s="6" t="e">
        <f>H42/H$29</f>
        <v>#REF!</v>
      </c>
      <c r="I44" s="6" t="e">
        <f>I42/I29</f>
        <v>#REF!</v>
      </c>
      <c r="J44" s="6" t="e">
        <f t="shared" ref="J44:R44" si="48">J42/J$29</f>
        <v>#REF!</v>
      </c>
      <c r="K44" s="6" t="e">
        <f t="shared" si="48"/>
        <v>#REF!</v>
      </c>
      <c r="L44" s="6" t="e">
        <f t="shared" si="48"/>
        <v>#REF!</v>
      </c>
      <c r="M44" s="6" t="e">
        <f t="shared" si="48"/>
        <v>#REF!</v>
      </c>
      <c r="N44" s="28" t="e">
        <f t="shared" si="48"/>
        <v>#REF!</v>
      </c>
      <c r="O44" s="28" t="e">
        <f t="shared" si="48"/>
        <v>#REF!</v>
      </c>
      <c r="P44" s="28" t="e">
        <f t="shared" si="48"/>
        <v>#REF!</v>
      </c>
      <c r="Q44" s="28" t="e">
        <f t="shared" si="48"/>
        <v>#REF!</v>
      </c>
      <c r="R44" s="28" t="e">
        <f t="shared" si="48"/>
        <v>#REF!</v>
      </c>
      <c r="S44" s="6"/>
      <c r="T44" s="6"/>
      <c r="U44" s="6"/>
      <c r="V44" s="6"/>
      <c r="W44" s="6"/>
      <c r="X44" s="6"/>
      <c r="Y44" s="6"/>
      <c r="Z44" s="6"/>
      <c r="AA44" s="6"/>
      <c r="AB44" s="6"/>
      <c r="AC44" s="6"/>
      <c r="AD44" s="6"/>
      <c r="AE44" s="6"/>
      <c r="AF44" s="47"/>
      <c r="AG44" s="2"/>
      <c r="AH44" s="6" t="e">
        <f t="shared" ref="AH44:BU44" si="49">AH42/AH$29</f>
        <v>#REF!</v>
      </c>
      <c r="AI44" s="6" t="e">
        <f t="shared" si="49"/>
        <v>#REF!</v>
      </c>
      <c r="AJ44" s="6" t="e">
        <f t="shared" si="49"/>
        <v>#REF!</v>
      </c>
      <c r="AK44" s="6" t="e">
        <f t="shared" si="49"/>
        <v>#REF!</v>
      </c>
      <c r="AL44" s="6" t="e">
        <f t="shared" si="49"/>
        <v>#REF!</v>
      </c>
      <c r="AM44" s="6" t="e">
        <f t="shared" si="49"/>
        <v>#REF!</v>
      </c>
      <c r="AN44" s="6" t="e">
        <f t="shared" si="49"/>
        <v>#REF!</v>
      </c>
      <c r="AO44" s="6" t="e">
        <f t="shared" si="49"/>
        <v>#REF!</v>
      </c>
      <c r="AP44" s="6" t="e">
        <f t="shared" si="49"/>
        <v>#REF!</v>
      </c>
      <c r="AQ44" s="6" t="e">
        <f t="shared" si="49"/>
        <v>#REF!</v>
      </c>
      <c r="AR44" s="6" t="e">
        <f t="shared" si="49"/>
        <v>#REF!</v>
      </c>
      <c r="AS44" s="6" t="e">
        <f t="shared" si="49"/>
        <v>#REF!</v>
      </c>
      <c r="AT44" s="6" t="e">
        <f t="shared" si="49"/>
        <v>#REF!</v>
      </c>
      <c r="AU44" s="6" t="e">
        <f t="shared" si="49"/>
        <v>#REF!</v>
      </c>
      <c r="AV44" s="6" t="e">
        <f t="shared" si="49"/>
        <v>#REF!</v>
      </c>
      <c r="AW44" s="6" t="e">
        <f t="shared" si="49"/>
        <v>#REF!</v>
      </c>
      <c r="AX44" s="6" t="e">
        <f t="shared" si="49"/>
        <v>#REF!</v>
      </c>
      <c r="AY44" s="6" t="e">
        <f t="shared" si="49"/>
        <v>#REF!</v>
      </c>
      <c r="AZ44" s="6" t="e">
        <f t="shared" si="49"/>
        <v>#REF!</v>
      </c>
      <c r="BA44" s="6" t="e">
        <f t="shared" si="49"/>
        <v>#REF!</v>
      </c>
      <c r="BB44" s="6" t="e">
        <f t="shared" si="49"/>
        <v>#REF!</v>
      </c>
      <c r="BC44" s="6" t="e">
        <f t="shared" si="49"/>
        <v>#REF!</v>
      </c>
      <c r="BD44" s="6" t="e">
        <f t="shared" si="49"/>
        <v>#REF!</v>
      </c>
      <c r="BE44" s="6" t="e">
        <f t="shared" si="49"/>
        <v>#REF!</v>
      </c>
      <c r="BF44" s="63" t="e">
        <f t="shared" si="49"/>
        <v>#REF!</v>
      </c>
      <c r="BG44" s="6" t="e">
        <f t="shared" si="49"/>
        <v>#REF!</v>
      </c>
      <c r="BH44" s="6" t="e">
        <f t="shared" si="49"/>
        <v>#REF!</v>
      </c>
      <c r="BI44" s="6" t="e">
        <f t="shared" si="49"/>
        <v>#REF!</v>
      </c>
      <c r="BJ44" s="63" t="e">
        <f t="shared" si="49"/>
        <v>#REF!</v>
      </c>
      <c r="BK44" s="6" t="e">
        <f t="shared" si="49"/>
        <v>#REF!</v>
      </c>
      <c r="BL44" s="6" t="e">
        <f t="shared" si="49"/>
        <v>#REF!</v>
      </c>
      <c r="BM44" s="6" t="e">
        <f t="shared" si="49"/>
        <v>#REF!</v>
      </c>
      <c r="BN44" s="63" t="e">
        <f t="shared" si="49"/>
        <v>#REF!</v>
      </c>
      <c r="BO44" s="6" t="e">
        <f t="shared" si="49"/>
        <v>#REF!</v>
      </c>
      <c r="BP44" s="6" t="e">
        <f t="shared" si="49"/>
        <v>#REF!</v>
      </c>
      <c r="BQ44" s="6" t="e">
        <f t="shared" si="49"/>
        <v>#REF!</v>
      </c>
      <c r="BR44" s="64" t="e">
        <f t="shared" si="49"/>
        <v>#REF!</v>
      </c>
      <c r="BS44" s="28" t="e">
        <f t="shared" si="49"/>
        <v>#REF!</v>
      </c>
      <c r="BT44" s="28" t="e">
        <f t="shared" si="49"/>
        <v>#REF!</v>
      </c>
      <c r="BU44" s="28" t="e">
        <f t="shared" si="49"/>
        <v>#REF!</v>
      </c>
      <c r="BV44" s="6"/>
      <c r="BW44" s="6"/>
      <c r="BX44" s="6"/>
      <c r="BY44" s="6"/>
      <c r="BZ44" s="6"/>
      <c r="CA44" s="6"/>
      <c r="CB44" s="6"/>
      <c r="CC44" s="6"/>
      <c r="CD44" s="6"/>
      <c r="CE44" s="6"/>
      <c r="CF44" s="6"/>
      <c r="CG44" s="6"/>
      <c r="CH44" s="6"/>
      <c r="CI44" s="6"/>
      <c r="CJ44" s="6"/>
      <c r="CK44" s="6"/>
      <c r="CL44" s="6"/>
      <c r="CM44" s="6"/>
      <c r="CN44" s="6"/>
      <c r="CO44" s="6"/>
      <c r="CP44" s="6"/>
    </row>
    <row r="45" spans="1:94">
      <c r="A45" s="57" t="s">
        <v>965</v>
      </c>
      <c r="B45" s="1"/>
      <c r="C45" s="1"/>
      <c r="D45" s="1"/>
      <c r="E45" s="58" t="e">
        <v>#REF!</v>
      </c>
      <c r="F45" s="58" t="e">
        <v>#REF!</v>
      </c>
      <c r="G45" s="58" t="e">
        <f>SUM(AP45:AS45)</f>
        <v>#REF!</v>
      </c>
      <c r="H45" s="1" t="e">
        <f>SUM(AT45:AW45)</f>
        <v>#REF!</v>
      </c>
      <c r="I45" s="1" t="e">
        <f>SUM(AX45:BA45)</f>
        <v>#REF!</v>
      </c>
      <c r="J45" s="1" t="e">
        <f>SUM(BB45:BE45)</f>
        <v>#REF!</v>
      </c>
      <c r="K45" s="58" t="e">
        <f>SUM(BF45:BI45)</f>
        <v>#REF!</v>
      </c>
      <c r="L45" s="58" t="e">
        <f>SUM(BJ45:BM45)</f>
        <v>#REF!</v>
      </c>
      <c r="M45" s="1" t="e">
        <v>#REF!</v>
      </c>
      <c r="N45" s="16" t="e">
        <v>#REF!</v>
      </c>
      <c r="O45" s="16" t="e">
        <v>#REF!</v>
      </c>
      <c r="P45" s="16" t="e">
        <v>#REF!</v>
      </c>
      <c r="Q45" s="16" t="e">
        <v>#REF!</v>
      </c>
      <c r="R45" s="16" t="e">
        <v>#REF!</v>
      </c>
      <c r="S45" s="1"/>
      <c r="T45" s="1"/>
      <c r="U45" s="1"/>
      <c r="V45" s="1"/>
      <c r="W45" s="1"/>
      <c r="X45" s="1"/>
      <c r="Y45" s="1"/>
      <c r="Z45" s="1"/>
      <c r="AA45" s="1"/>
      <c r="AB45" s="1"/>
      <c r="AC45" s="1"/>
      <c r="AD45" s="1"/>
      <c r="AE45" s="1"/>
      <c r="AF45" s="59" t="e">
        <f>(R45/M45)^(1/5)-1</f>
        <v>#REF!</v>
      </c>
      <c r="AG45" s="2"/>
      <c r="AH45" s="58" t="e">
        <v>#REF!</v>
      </c>
      <c r="AI45" s="58" t="e">
        <v>#REF!</v>
      </c>
      <c r="AJ45" s="58" t="e">
        <v>#REF!</v>
      </c>
      <c r="AK45" s="58" t="e">
        <v>#REF!</v>
      </c>
      <c r="AL45" s="58" t="e">
        <v>#REF!</v>
      </c>
      <c r="AM45" s="58" t="e">
        <v>#REF!</v>
      </c>
      <c r="AN45" s="58" t="e">
        <v>#REF!</v>
      </c>
      <c r="AO45" s="58" t="e">
        <v>#REF!</v>
      </c>
      <c r="AP45" s="58" t="e">
        <v>#REF!</v>
      </c>
      <c r="AQ45" s="58" t="e">
        <v>#REF!</v>
      </c>
      <c r="AR45" s="58" t="e">
        <v>#REF!</v>
      </c>
      <c r="AS45" s="58" t="e">
        <v>#REF!</v>
      </c>
      <c r="AT45" s="58" t="e">
        <v>#REF!</v>
      </c>
      <c r="AU45" s="58" t="e">
        <v>#REF!</v>
      </c>
      <c r="AV45" s="58" t="e">
        <v>#REF!</v>
      </c>
      <c r="AW45" s="58" t="e">
        <v>#REF!</v>
      </c>
      <c r="AX45" s="58" t="e">
        <v>#REF!</v>
      </c>
      <c r="AY45" s="58" t="e">
        <v>#REF!</v>
      </c>
      <c r="AZ45" s="58" t="e">
        <v>#REF!</v>
      </c>
      <c r="BA45" s="58" t="e">
        <v>#REF!</v>
      </c>
      <c r="BB45" s="58" t="e">
        <v>#REF!</v>
      </c>
      <c r="BC45" s="58" t="e">
        <v>#REF!</v>
      </c>
      <c r="BD45" s="58" t="e">
        <v>#REF!</v>
      </c>
      <c r="BE45" s="58" t="e">
        <v>#REF!</v>
      </c>
      <c r="BF45" s="60" t="e">
        <v>#REF!</v>
      </c>
      <c r="BG45" s="58" t="e">
        <v>#REF!</v>
      </c>
      <c r="BH45" s="58" t="e">
        <v>#REF!</v>
      </c>
      <c r="BI45" s="58" t="e">
        <v>#REF!</v>
      </c>
      <c r="BJ45" s="60" t="e">
        <v>#REF!</v>
      </c>
      <c r="BK45" s="58" t="e">
        <v>#REF!</v>
      </c>
      <c r="BL45" s="58" t="e">
        <v>#REF!</v>
      </c>
      <c r="BM45" s="58" t="e">
        <v>#REF!</v>
      </c>
      <c r="BN45" s="60" t="e">
        <v>#REF!</v>
      </c>
      <c r="BO45" s="58" t="e">
        <v>#REF!</v>
      </c>
      <c r="BP45" s="58" t="e">
        <v>#REF!</v>
      </c>
      <c r="BQ45" s="58" t="e">
        <v>#REF!</v>
      </c>
      <c r="BR45" s="61" t="e">
        <v>#REF!</v>
      </c>
      <c r="BS45" s="62" t="e">
        <v>#REF!</v>
      </c>
      <c r="BT45" s="62" t="e">
        <v>#REF!</v>
      </c>
      <c r="BU45" s="62" t="e">
        <v>#REF!</v>
      </c>
      <c r="BV45" s="58" t="e">
        <f>I45-SUM(AX45:BA45)</f>
        <v>#REF!</v>
      </c>
      <c r="BW45" s="2" t="e">
        <f>M45-SUM(BN45:BQ45)</f>
        <v>#REF!</v>
      </c>
      <c r="BX45" s="58" t="e">
        <f>K45-SUM(BF45:BI45)</f>
        <v>#REF!</v>
      </c>
      <c r="BY45" s="2" t="e">
        <f>L45-SUM(BJ45:BM45)</f>
        <v>#REF!</v>
      </c>
      <c r="BZ45" s="2" t="e">
        <f>N45-SUM(BR45:BU45)</f>
        <v>#REF!</v>
      </c>
      <c r="CA45" s="1"/>
      <c r="CB45" s="1"/>
      <c r="CC45" s="1"/>
      <c r="CD45" s="1"/>
      <c r="CE45" s="1"/>
      <c r="CF45" s="1"/>
      <c r="CG45" s="1"/>
      <c r="CH45" s="1"/>
      <c r="CI45" s="1"/>
      <c r="CJ45" s="1"/>
      <c r="CK45" s="1"/>
      <c r="CL45" s="1"/>
      <c r="CM45" s="1"/>
      <c r="CN45" s="1"/>
      <c r="CO45" s="1"/>
      <c r="CP45" s="1"/>
    </row>
    <row r="46" spans="1:94">
      <c r="A46" s="68" t="s">
        <v>952</v>
      </c>
      <c r="B46" s="6"/>
      <c r="C46" s="6"/>
      <c r="D46" s="6"/>
      <c r="E46" s="6"/>
      <c r="F46" s="6" t="e">
        <f t="shared" ref="F46:R46" si="50">F45/E45-1</f>
        <v>#REF!</v>
      </c>
      <c r="G46" s="6" t="e">
        <f t="shared" si="50"/>
        <v>#REF!</v>
      </c>
      <c r="H46" s="6" t="e">
        <f t="shared" si="50"/>
        <v>#REF!</v>
      </c>
      <c r="I46" s="6" t="e">
        <f t="shared" si="50"/>
        <v>#REF!</v>
      </c>
      <c r="J46" s="6" t="e">
        <f t="shared" si="50"/>
        <v>#REF!</v>
      </c>
      <c r="K46" s="6" t="e">
        <f t="shared" si="50"/>
        <v>#REF!</v>
      </c>
      <c r="L46" s="6" t="e">
        <f t="shared" si="50"/>
        <v>#REF!</v>
      </c>
      <c r="M46" s="6" t="e">
        <f t="shared" si="50"/>
        <v>#REF!</v>
      </c>
      <c r="N46" s="28" t="e">
        <f t="shared" si="50"/>
        <v>#REF!</v>
      </c>
      <c r="O46" s="28" t="e">
        <f t="shared" si="50"/>
        <v>#REF!</v>
      </c>
      <c r="P46" s="28" t="e">
        <f t="shared" si="50"/>
        <v>#REF!</v>
      </c>
      <c r="Q46" s="28" t="e">
        <f t="shared" si="50"/>
        <v>#REF!</v>
      </c>
      <c r="R46" s="28" t="e">
        <f t="shared" si="50"/>
        <v>#REF!</v>
      </c>
      <c r="S46" s="6"/>
      <c r="T46" s="6"/>
      <c r="U46" s="6"/>
      <c r="V46" s="6"/>
      <c r="W46" s="6"/>
      <c r="X46" s="6"/>
      <c r="Y46" s="6"/>
      <c r="Z46" s="6"/>
      <c r="AA46" s="6"/>
      <c r="AB46" s="6"/>
      <c r="AC46" s="6"/>
      <c r="AD46" s="6"/>
      <c r="AE46" s="6"/>
      <c r="AF46" s="47"/>
      <c r="AG46" s="2"/>
      <c r="AH46" s="6"/>
      <c r="AI46" s="6"/>
      <c r="AJ46" s="6"/>
      <c r="AK46" s="6"/>
      <c r="AL46" s="6" t="e">
        <f t="shared" ref="AL46:BU46" si="51">AL45/AH45-1</f>
        <v>#REF!</v>
      </c>
      <c r="AM46" s="6" t="e">
        <f t="shared" si="51"/>
        <v>#REF!</v>
      </c>
      <c r="AN46" s="6" t="e">
        <f t="shared" si="51"/>
        <v>#REF!</v>
      </c>
      <c r="AO46" s="6" t="e">
        <f t="shared" si="51"/>
        <v>#REF!</v>
      </c>
      <c r="AP46" s="6" t="e">
        <f t="shared" si="51"/>
        <v>#REF!</v>
      </c>
      <c r="AQ46" s="6" t="e">
        <f t="shared" si="51"/>
        <v>#REF!</v>
      </c>
      <c r="AR46" s="6" t="e">
        <f t="shared" si="51"/>
        <v>#REF!</v>
      </c>
      <c r="AS46" s="6" t="e">
        <f t="shared" si="51"/>
        <v>#REF!</v>
      </c>
      <c r="AT46" s="6" t="e">
        <f t="shared" si="51"/>
        <v>#REF!</v>
      </c>
      <c r="AU46" s="6" t="e">
        <f t="shared" si="51"/>
        <v>#REF!</v>
      </c>
      <c r="AV46" s="6" t="e">
        <f t="shared" si="51"/>
        <v>#REF!</v>
      </c>
      <c r="AW46" s="6" t="e">
        <f t="shared" si="51"/>
        <v>#REF!</v>
      </c>
      <c r="AX46" s="6" t="e">
        <f t="shared" si="51"/>
        <v>#REF!</v>
      </c>
      <c r="AY46" s="6" t="e">
        <f t="shared" si="51"/>
        <v>#REF!</v>
      </c>
      <c r="AZ46" s="6" t="e">
        <f t="shared" si="51"/>
        <v>#REF!</v>
      </c>
      <c r="BA46" s="6" t="e">
        <f t="shared" si="51"/>
        <v>#REF!</v>
      </c>
      <c r="BB46" s="6" t="e">
        <f t="shared" si="51"/>
        <v>#REF!</v>
      </c>
      <c r="BC46" s="6" t="e">
        <f t="shared" si="51"/>
        <v>#REF!</v>
      </c>
      <c r="BD46" s="6" t="e">
        <f t="shared" si="51"/>
        <v>#REF!</v>
      </c>
      <c r="BE46" s="6" t="e">
        <f t="shared" si="51"/>
        <v>#REF!</v>
      </c>
      <c r="BF46" s="63" t="e">
        <f t="shared" si="51"/>
        <v>#REF!</v>
      </c>
      <c r="BG46" s="6" t="e">
        <f t="shared" si="51"/>
        <v>#REF!</v>
      </c>
      <c r="BH46" s="6" t="e">
        <f t="shared" si="51"/>
        <v>#REF!</v>
      </c>
      <c r="BI46" s="6" t="e">
        <f t="shared" si="51"/>
        <v>#REF!</v>
      </c>
      <c r="BJ46" s="63" t="e">
        <f t="shared" si="51"/>
        <v>#REF!</v>
      </c>
      <c r="BK46" s="6" t="e">
        <f t="shared" si="51"/>
        <v>#REF!</v>
      </c>
      <c r="BL46" s="6" t="e">
        <f t="shared" si="51"/>
        <v>#REF!</v>
      </c>
      <c r="BM46" s="6" t="e">
        <f t="shared" si="51"/>
        <v>#REF!</v>
      </c>
      <c r="BN46" s="63" t="e">
        <f t="shared" si="51"/>
        <v>#REF!</v>
      </c>
      <c r="BO46" s="6" t="e">
        <f t="shared" si="51"/>
        <v>#REF!</v>
      </c>
      <c r="BP46" s="6" t="e">
        <f t="shared" si="51"/>
        <v>#REF!</v>
      </c>
      <c r="BQ46" s="6" t="e">
        <f t="shared" si="51"/>
        <v>#REF!</v>
      </c>
      <c r="BR46" s="64" t="e">
        <f t="shared" si="51"/>
        <v>#REF!</v>
      </c>
      <c r="BS46" s="28" t="e">
        <f t="shared" si="51"/>
        <v>#REF!</v>
      </c>
      <c r="BT46" s="28" t="e">
        <f t="shared" si="51"/>
        <v>#REF!</v>
      </c>
      <c r="BU46" s="28" t="e">
        <f t="shared" si="51"/>
        <v>#REF!</v>
      </c>
      <c r="BV46" s="6"/>
      <c r="BW46" s="6"/>
      <c r="BX46" s="6"/>
      <c r="BY46" s="6"/>
      <c r="BZ46" s="6"/>
      <c r="CA46" s="6"/>
      <c r="CB46" s="6"/>
      <c r="CC46" s="6"/>
      <c r="CD46" s="6"/>
      <c r="CE46" s="6"/>
      <c r="CF46" s="6"/>
      <c r="CG46" s="6"/>
      <c r="CH46" s="6"/>
      <c r="CI46" s="6"/>
      <c r="CJ46" s="6"/>
      <c r="CK46" s="6"/>
      <c r="CL46" s="6"/>
      <c r="CM46" s="6"/>
      <c r="CN46" s="6"/>
      <c r="CO46" s="6"/>
      <c r="CP46" s="6"/>
    </row>
    <row r="47" spans="1:94">
      <c r="A47" s="68" t="s">
        <v>950</v>
      </c>
      <c r="B47" s="6"/>
      <c r="C47" s="6"/>
      <c r="D47" s="6"/>
      <c r="E47" s="6" t="e">
        <f t="shared" ref="E47:R47" si="52">E45/E$29</f>
        <v>#REF!</v>
      </c>
      <c r="F47" s="6" t="e">
        <f t="shared" si="52"/>
        <v>#REF!</v>
      </c>
      <c r="G47" s="6" t="e">
        <f t="shared" si="52"/>
        <v>#REF!</v>
      </c>
      <c r="H47" s="6" t="e">
        <f t="shared" si="52"/>
        <v>#REF!</v>
      </c>
      <c r="I47" s="6" t="e">
        <f t="shared" si="52"/>
        <v>#REF!</v>
      </c>
      <c r="J47" s="6" t="e">
        <f t="shared" si="52"/>
        <v>#REF!</v>
      </c>
      <c r="K47" s="6" t="e">
        <f t="shared" si="52"/>
        <v>#REF!</v>
      </c>
      <c r="L47" s="6" t="e">
        <f t="shared" si="52"/>
        <v>#REF!</v>
      </c>
      <c r="M47" s="6" t="e">
        <f t="shared" si="52"/>
        <v>#REF!</v>
      </c>
      <c r="N47" s="28" t="e">
        <f t="shared" si="52"/>
        <v>#REF!</v>
      </c>
      <c r="O47" s="28" t="e">
        <f t="shared" si="52"/>
        <v>#REF!</v>
      </c>
      <c r="P47" s="28" t="e">
        <f t="shared" si="52"/>
        <v>#REF!</v>
      </c>
      <c r="Q47" s="28" t="e">
        <f t="shared" si="52"/>
        <v>#REF!</v>
      </c>
      <c r="R47" s="28" t="e">
        <f t="shared" si="52"/>
        <v>#REF!</v>
      </c>
      <c r="S47" s="6"/>
      <c r="T47" s="6"/>
      <c r="U47" s="6"/>
      <c r="V47" s="6"/>
      <c r="W47" s="6"/>
      <c r="X47" s="6"/>
      <c r="Y47" s="6"/>
      <c r="Z47" s="6"/>
      <c r="AA47" s="6"/>
      <c r="AB47" s="6"/>
      <c r="AC47" s="6"/>
      <c r="AD47" s="6"/>
      <c r="AE47" s="6"/>
      <c r="AF47" s="47"/>
      <c r="AG47" s="2"/>
      <c r="AH47" s="6" t="e">
        <f t="shared" ref="AH47:BU47" si="53">AH45/AH$29</f>
        <v>#REF!</v>
      </c>
      <c r="AI47" s="6" t="e">
        <f t="shared" si="53"/>
        <v>#REF!</v>
      </c>
      <c r="AJ47" s="6" t="e">
        <f t="shared" si="53"/>
        <v>#REF!</v>
      </c>
      <c r="AK47" s="6" t="e">
        <f t="shared" si="53"/>
        <v>#REF!</v>
      </c>
      <c r="AL47" s="6" t="e">
        <f t="shared" si="53"/>
        <v>#REF!</v>
      </c>
      <c r="AM47" s="6" t="e">
        <f t="shared" si="53"/>
        <v>#REF!</v>
      </c>
      <c r="AN47" s="6" t="e">
        <f t="shared" si="53"/>
        <v>#REF!</v>
      </c>
      <c r="AO47" s="6" t="e">
        <f t="shared" si="53"/>
        <v>#REF!</v>
      </c>
      <c r="AP47" s="6" t="e">
        <f t="shared" si="53"/>
        <v>#REF!</v>
      </c>
      <c r="AQ47" s="6" t="e">
        <f t="shared" si="53"/>
        <v>#REF!</v>
      </c>
      <c r="AR47" s="6" t="e">
        <f t="shared" si="53"/>
        <v>#REF!</v>
      </c>
      <c r="AS47" s="6" t="e">
        <f t="shared" si="53"/>
        <v>#REF!</v>
      </c>
      <c r="AT47" s="6" t="e">
        <f t="shared" si="53"/>
        <v>#REF!</v>
      </c>
      <c r="AU47" s="6" t="e">
        <f t="shared" si="53"/>
        <v>#REF!</v>
      </c>
      <c r="AV47" s="6" t="e">
        <f t="shared" si="53"/>
        <v>#REF!</v>
      </c>
      <c r="AW47" s="6" t="e">
        <f t="shared" si="53"/>
        <v>#REF!</v>
      </c>
      <c r="AX47" s="6" t="e">
        <f t="shared" si="53"/>
        <v>#REF!</v>
      </c>
      <c r="AY47" s="6" t="e">
        <f t="shared" si="53"/>
        <v>#REF!</v>
      </c>
      <c r="AZ47" s="6" t="e">
        <f t="shared" si="53"/>
        <v>#REF!</v>
      </c>
      <c r="BA47" s="6" t="e">
        <f t="shared" si="53"/>
        <v>#REF!</v>
      </c>
      <c r="BB47" s="6" t="e">
        <f t="shared" si="53"/>
        <v>#REF!</v>
      </c>
      <c r="BC47" s="6" t="e">
        <f t="shared" si="53"/>
        <v>#REF!</v>
      </c>
      <c r="BD47" s="6" t="e">
        <f t="shared" si="53"/>
        <v>#REF!</v>
      </c>
      <c r="BE47" s="6" t="e">
        <f t="shared" si="53"/>
        <v>#REF!</v>
      </c>
      <c r="BF47" s="63" t="e">
        <f t="shared" si="53"/>
        <v>#REF!</v>
      </c>
      <c r="BG47" s="6" t="e">
        <f t="shared" si="53"/>
        <v>#REF!</v>
      </c>
      <c r="BH47" s="6" t="e">
        <f t="shared" si="53"/>
        <v>#REF!</v>
      </c>
      <c r="BI47" s="6" t="e">
        <f t="shared" si="53"/>
        <v>#REF!</v>
      </c>
      <c r="BJ47" s="63" t="e">
        <f t="shared" si="53"/>
        <v>#REF!</v>
      </c>
      <c r="BK47" s="6" t="e">
        <f t="shared" si="53"/>
        <v>#REF!</v>
      </c>
      <c r="BL47" s="6" t="e">
        <f t="shared" si="53"/>
        <v>#REF!</v>
      </c>
      <c r="BM47" s="6" t="e">
        <f t="shared" si="53"/>
        <v>#REF!</v>
      </c>
      <c r="BN47" s="63" t="e">
        <f t="shared" si="53"/>
        <v>#REF!</v>
      </c>
      <c r="BO47" s="6" t="e">
        <f t="shared" si="53"/>
        <v>#REF!</v>
      </c>
      <c r="BP47" s="6" t="e">
        <f t="shared" si="53"/>
        <v>#REF!</v>
      </c>
      <c r="BQ47" s="6" t="e">
        <f t="shared" si="53"/>
        <v>#REF!</v>
      </c>
      <c r="BR47" s="64" t="e">
        <f t="shared" si="53"/>
        <v>#REF!</v>
      </c>
      <c r="BS47" s="28" t="e">
        <f t="shared" si="53"/>
        <v>#REF!</v>
      </c>
      <c r="BT47" s="28" t="e">
        <f t="shared" si="53"/>
        <v>#REF!</v>
      </c>
      <c r="BU47" s="28" t="e">
        <f t="shared" si="53"/>
        <v>#REF!</v>
      </c>
      <c r="BV47" s="6"/>
      <c r="BW47" s="6"/>
      <c r="BX47" s="6"/>
      <c r="BY47" s="6"/>
      <c r="BZ47" s="6"/>
      <c r="CA47" s="6"/>
      <c r="CB47" s="6"/>
      <c r="CC47" s="6"/>
      <c r="CD47" s="6"/>
      <c r="CE47" s="6"/>
      <c r="CF47" s="6"/>
      <c r="CG47" s="6"/>
      <c r="CH47" s="6"/>
      <c r="CI47" s="6"/>
      <c r="CJ47" s="6"/>
      <c r="CK47" s="6"/>
      <c r="CL47" s="6"/>
      <c r="CM47" s="6"/>
      <c r="CN47" s="6"/>
      <c r="CO47" s="6"/>
      <c r="CP47" s="6"/>
    </row>
    <row r="48" spans="1:94" outlineLevel="1">
      <c r="A48" s="73" t="s">
        <v>966</v>
      </c>
      <c r="B48" s="2"/>
      <c r="C48" s="2"/>
      <c r="D48" s="2"/>
      <c r="E48" s="56"/>
      <c r="F48" s="56"/>
      <c r="G48" s="2" t="e">
        <v>#REF!</v>
      </c>
      <c r="H48" s="2" t="e">
        <v>#REF!</v>
      </c>
      <c r="I48" s="2" t="e">
        <v>#REF!</v>
      </c>
      <c r="J48" s="2" t="e">
        <v>#REF!</v>
      </c>
      <c r="K48" s="2" t="e">
        <v>#REF!</v>
      </c>
      <c r="L48" s="2" t="e">
        <v>#REF!</v>
      </c>
      <c r="M48" s="2" t="e">
        <v>#REF!</v>
      </c>
      <c r="N48" s="4" t="e">
        <v>#REF!</v>
      </c>
      <c r="O48" s="4" t="e">
        <v>#REF!</v>
      </c>
      <c r="P48" s="4" t="e">
        <v>#REF!</v>
      </c>
      <c r="Q48" s="4" t="e">
        <v>#REF!</v>
      </c>
      <c r="R48" s="4" t="e">
        <v>#REF!</v>
      </c>
      <c r="S48" s="2"/>
      <c r="T48" s="2"/>
      <c r="U48" s="2"/>
      <c r="V48" s="2"/>
      <c r="W48" s="2"/>
      <c r="X48" s="2"/>
      <c r="Y48" s="2"/>
      <c r="Z48" s="2"/>
      <c r="AA48" s="2"/>
      <c r="AB48" s="2"/>
      <c r="AC48" s="2"/>
      <c r="AD48" s="2"/>
      <c r="AE48" s="2"/>
      <c r="AF48" s="59"/>
      <c r="AG48" s="2"/>
      <c r="AH48" s="56"/>
      <c r="AI48" s="56"/>
      <c r="AJ48" s="56"/>
      <c r="AK48" s="56"/>
      <c r="AL48" s="56"/>
      <c r="AM48" s="56"/>
      <c r="AN48" s="56"/>
      <c r="AO48" s="56"/>
      <c r="AP48" s="56"/>
      <c r="AQ48" s="56"/>
      <c r="AR48" s="56"/>
      <c r="AS48" s="56"/>
      <c r="AT48" s="2" t="e">
        <v>#REF!</v>
      </c>
      <c r="AU48" s="2" t="e">
        <v>#REF!</v>
      </c>
      <c r="AV48" s="2" t="e">
        <v>#REF!</v>
      </c>
      <c r="AW48" s="2" t="e">
        <v>#REF!</v>
      </c>
      <c r="AX48" s="2" t="e">
        <v>#REF!</v>
      </c>
      <c r="AY48" s="2" t="e">
        <v>#REF!</v>
      </c>
      <c r="AZ48" s="2" t="e">
        <v>#REF!</v>
      </c>
      <c r="BA48" s="2" t="e">
        <v>#REF!</v>
      </c>
      <c r="BB48" s="2" t="e">
        <v>#REF!</v>
      </c>
      <c r="BC48" s="2" t="e">
        <v>#REF!</v>
      </c>
      <c r="BD48" s="2" t="e">
        <v>#REF!</v>
      </c>
      <c r="BE48" s="2" t="e">
        <v>#REF!</v>
      </c>
      <c r="BF48" s="48" t="e">
        <v>#REF!</v>
      </c>
      <c r="BG48" s="2" t="e">
        <v>#REF!</v>
      </c>
      <c r="BH48" s="2" t="e">
        <v>#REF!</v>
      </c>
      <c r="BI48" s="2" t="e">
        <v>#REF!</v>
      </c>
      <c r="BJ48" s="48" t="e">
        <v>#REF!</v>
      </c>
      <c r="BK48" s="2" t="e">
        <v>#REF!</v>
      </c>
      <c r="BL48" s="2" t="e">
        <v>#REF!</v>
      </c>
      <c r="BM48" s="2" t="e">
        <v>#REF!</v>
      </c>
      <c r="BN48" s="48" t="e">
        <v>#REF!</v>
      </c>
      <c r="BO48" s="2" t="e">
        <v>#REF!</v>
      </c>
      <c r="BP48" s="2" t="e">
        <v>#REF!</v>
      </c>
      <c r="BQ48" s="2" t="e">
        <v>#REF!</v>
      </c>
      <c r="BR48" s="74" t="e">
        <v>#REF!</v>
      </c>
      <c r="BS48" s="4" t="e">
        <v>#REF!</v>
      </c>
      <c r="BT48" s="4" t="e">
        <v>#REF!</v>
      </c>
      <c r="BU48" s="4" t="e">
        <v>#REF!</v>
      </c>
      <c r="BV48" s="58" t="e">
        <f>I48-SUM(AX48:BA48)</f>
        <v>#REF!</v>
      </c>
      <c r="BW48" s="2" t="e">
        <f>M48-SUM(BN48:BQ48)</f>
        <v>#REF!</v>
      </c>
      <c r="BX48" s="58"/>
      <c r="BY48" s="2" t="e">
        <f>L48-SUM(BJ48:BM48)</f>
        <v>#REF!</v>
      </c>
      <c r="BZ48" s="2" t="e">
        <f>N48-SUM(BR48:BU48)</f>
        <v>#REF!</v>
      </c>
      <c r="CA48" s="2"/>
      <c r="CB48" s="2"/>
      <c r="CC48" s="2"/>
      <c r="CD48" s="2"/>
      <c r="CE48" s="2"/>
      <c r="CF48" s="2"/>
      <c r="CG48" s="2"/>
      <c r="CH48" s="2"/>
      <c r="CI48" s="2"/>
      <c r="CJ48" s="2"/>
      <c r="CK48" s="2"/>
      <c r="CL48" s="2"/>
      <c r="CM48" s="2"/>
      <c r="CN48" s="2"/>
      <c r="CO48" s="2"/>
      <c r="CP48" s="2"/>
    </row>
    <row r="49" spans="1:94" outlineLevel="1">
      <c r="A49" s="73" t="s">
        <v>967</v>
      </c>
      <c r="B49" s="2"/>
      <c r="C49" s="2"/>
      <c r="D49" s="2"/>
      <c r="E49" s="56"/>
      <c r="F49" s="56"/>
      <c r="G49" s="2" t="e">
        <v>#REF!</v>
      </c>
      <c r="H49" s="2" t="e">
        <v>#REF!</v>
      </c>
      <c r="I49" s="2" t="e">
        <v>#REF!</v>
      </c>
      <c r="J49" s="2" t="e">
        <v>#REF!</v>
      </c>
      <c r="K49" s="2" t="e">
        <v>#REF!</v>
      </c>
      <c r="L49" s="2" t="e">
        <v>#REF!</v>
      </c>
      <c r="M49" s="2" t="e">
        <v>#REF!</v>
      </c>
      <c r="N49" s="4" t="e">
        <v>#REF!</v>
      </c>
      <c r="O49" s="4" t="e">
        <v>#REF!</v>
      </c>
      <c r="P49" s="4" t="e">
        <v>#REF!</v>
      </c>
      <c r="Q49" s="4" t="e">
        <v>#REF!</v>
      </c>
      <c r="R49" s="4" t="e">
        <v>#REF!</v>
      </c>
      <c r="S49" s="2"/>
      <c r="T49" s="2"/>
      <c r="U49" s="2"/>
      <c r="V49" s="2"/>
      <c r="W49" s="2"/>
      <c r="X49" s="2"/>
      <c r="Y49" s="2"/>
      <c r="Z49" s="2"/>
      <c r="AA49" s="2"/>
      <c r="AB49" s="2"/>
      <c r="AC49" s="2"/>
      <c r="AD49" s="2"/>
      <c r="AE49" s="2"/>
      <c r="AF49" s="59"/>
      <c r="AG49" s="2"/>
      <c r="AH49" s="56"/>
      <c r="AI49" s="56"/>
      <c r="AJ49" s="56"/>
      <c r="AK49" s="56"/>
      <c r="AL49" s="56"/>
      <c r="AM49" s="56"/>
      <c r="AN49" s="56"/>
      <c r="AO49" s="56"/>
      <c r="AP49" s="56"/>
      <c r="AQ49" s="56"/>
      <c r="AR49" s="56"/>
      <c r="AS49" s="56"/>
      <c r="AT49" s="2" t="e">
        <v>#REF!</v>
      </c>
      <c r="AU49" s="2" t="e">
        <v>#REF!</v>
      </c>
      <c r="AV49" s="2" t="e">
        <v>#REF!</v>
      </c>
      <c r="AW49" s="2" t="e">
        <v>#REF!</v>
      </c>
      <c r="AX49" s="2" t="e">
        <v>#REF!</v>
      </c>
      <c r="AY49" s="2" t="e">
        <v>#REF!</v>
      </c>
      <c r="AZ49" s="2" t="e">
        <v>#REF!</v>
      </c>
      <c r="BA49" s="2" t="e">
        <v>#REF!</v>
      </c>
      <c r="BB49" s="2" t="e">
        <v>#REF!</v>
      </c>
      <c r="BC49" s="2" t="e">
        <v>#REF!</v>
      </c>
      <c r="BD49" s="2" t="e">
        <v>#REF!</v>
      </c>
      <c r="BE49" s="2" t="e">
        <v>#REF!</v>
      </c>
      <c r="BF49" s="48" t="e">
        <v>#REF!</v>
      </c>
      <c r="BG49" s="2" t="e">
        <v>#REF!</v>
      </c>
      <c r="BH49" s="2" t="e">
        <v>#REF!</v>
      </c>
      <c r="BI49" s="2" t="e">
        <v>#REF!</v>
      </c>
      <c r="BJ49" s="48" t="e">
        <v>#REF!</v>
      </c>
      <c r="BK49" s="2" t="e">
        <v>#REF!</v>
      </c>
      <c r="BL49" s="2" t="e">
        <v>#REF!</v>
      </c>
      <c r="BM49" s="2" t="e">
        <v>#REF!</v>
      </c>
      <c r="BN49" s="48" t="e">
        <v>#REF!</v>
      </c>
      <c r="BO49" s="2" t="e">
        <v>#REF!</v>
      </c>
      <c r="BP49" s="2" t="e">
        <v>#REF!</v>
      </c>
      <c r="BQ49" s="2" t="e">
        <v>#REF!</v>
      </c>
      <c r="BR49" s="74" t="e">
        <v>#REF!</v>
      </c>
      <c r="BS49" s="4" t="e">
        <v>#REF!</v>
      </c>
      <c r="BT49" s="4" t="e">
        <v>#REF!</v>
      </c>
      <c r="BU49" s="4" t="e">
        <v>#REF!</v>
      </c>
      <c r="BV49" s="58" t="e">
        <f>I49-SUM(AX49:BA49)</f>
        <v>#REF!</v>
      </c>
      <c r="BW49" s="2" t="e">
        <f>M49-SUM(BN49:BQ49)</f>
        <v>#REF!</v>
      </c>
      <c r="BX49" s="58"/>
      <c r="BY49" s="2" t="e">
        <f>L49-SUM(BJ49:BM49)</f>
        <v>#REF!</v>
      </c>
      <c r="BZ49" s="2" t="e">
        <f>N49-SUM(BR49:BU49)</f>
        <v>#REF!</v>
      </c>
      <c r="CA49" s="2"/>
      <c r="CB49" s="2"/>
      <c r="CC49" s="2"/>
      <c r="CD49" s="2"/>
      <c r="CE49" s="2"/>
      <c r="CF49" s="2"/>
      <c r="CG49" s="2"/>
      <c r="CH49" s="2"/>
      <c r="CI49" s="2"/>
      <c r="CJ49" s="2"/>
      <c r="CK49" s="2"/>
      <c r="CL49" s="2"/>
      <c r="CM49" s="2"/>
      <c r="CN49" s="2"/>
      <c r="CO49" s="2"/>
      <c r="CP49" s="2"/>
    </row>
    <row r="50" spans="1:94">
      <c r="A50" s="1" t="s">
        <v>968</v>
      </c>
      <c r="B50" s="1"/>
      <c r="C50" s="1"/>
      <c r="D50" s="1"/>
      <c r="E50" s="58" t="e">
        <f t="shared" ref="E50:R50" si="54">E45+E42</f>
        <v>#REF!</v>
      </c>
      <c r="F50" s="58" t="e">
        <f t="shared" si="54"/>
        <v>#REF!</v>
      </c>
      <c r="G50" s="58" t="e">
        <f t="shared" si="54"/>
        <v>#REF!</v>
      </c>
      <c r="H50" s="58" t="e">
        <f t="shared" si="54"/>
        <v>#REF!</v>
      </c>
      <c r="I50" s="58" t="e">
        <f t="shared" si="54"/>
        <v>#REF!</v>
      </c>
      <c r="J50" s="58" t="e">
        <f t="shared" si="54"/>
        <v>#REF!</v>
      </c>
      <c r="K50" s="58" t="e">
        <f t="shared" si="54"/>
        <v>#REF!</v>
      </c>
      <c r="L50" s="58" t="e">
        <f t="shared" si="54"/>
        <v>#REF!</v>
      </c>
      <c r="M50" s="58" t="e">
        <f t="shared" si="54"/>
        <v>#REF!</v>
      </c>
      <c r="N50" s="62" t="e">
        <f t="shared" si="54"/>
        <v>#REF!</v>
      </c>
      <c r="O50" s="62" t="e">
        <f t="shared" si="54"/>
        <v>#REF!</v>
      </c>
      <c r="P50" s="62" t="e">
        <f t="shared" si="54"/>
        <v>#REF!</v>
      </c>
      <c r="Q50" s="62" t="e">
        <f t="shared" si="54"/>
        <v>#REF!</v>
      </c>
      <c r="R50" s="62" t="e">
        <f t="shared" si="54"/>
        <v>#REF!</v>
      </c>
      <c r="S50" s="2"/>
      <c r="T50" s="58"/>
      <c r="U50" s="58"/>
      <c r="V50" s="58"/>
      <c r="W50" s="58"/>
      <c r="X50" s="58"/>
      <c r="Y50" s="58"/>
      <c r="Z50" s="58"/>
      <c r="AA50" s="58"/>
      <c r="AB50" s="58"/>
      <c r="AC50" s="58"/>
      <c r="AD50" s="58"/>
      <c r="AE50" s="58"/>
      <c r="AF50" s="59" t="e">
        <f>(R50/M50)^(1/5)-1</f>
        <v>#REF!</v>
      </c>
      <c r="AG50" s="2"/>
      <c r="AH50" s="58" t="e">
        <f t="shared" ref="AH50:BU50" si="55">AH45+AH42</f>
        <v>#REF!</v>
      </c>
      <c r="AI50" s="58" t="e">
        <f t="shared" si="55"/>
        <v>#REF!</v>
      </c>
      <c r="AJ50" s="58" t="e">
        <f t="shared" si="55"/>
        <v>#REF!</v>
      </c>
      <c r="AK50" s="58" t="e">
        <f t="shared" si="55"/>
        <v>#REF!</v>
      </c>
      <c r="AL50" s="58" t="e">
        <f t="shared" si="55"/>
        <v>#REF!</v>
      </c>
      <c r="AM50" s="58" t="e">
        <f t="shared" si="55"/>
        <v>#REF!</v>
      </c>
      <c r="AN50" s="58" t="e">
        <f t="shared" si="55"/>
        <v>#REF!</v>
      </c>
      <c r="AO50" s="58" t="e">
        <f t="shared" si="55"/>
        <v>#REF!</v>
      </c>
      <c r="AP50" s="58" t="e">
        <f t="shared" si="55"/>
        <v>#REF!</v>
      </c>
      <c r="AQ50" s="58" t="e">
        <f t="shared" si="55"/>
        <v>#REF!</v>
      </c>
      <c r="AR50" s="58" t="e">
        <f t="shared" si="55"/>
        <v>#REF!</v>
      </c>
      <c r="AS50" s="58" t="e">
        <f t="shared" si="55"/>
        <v>#REF!</v>
      </c>
      <c r="AT50" s="58" t="e">
        <f t="shared" si="55"/>
        <v>#REF!</v>
      </c>
      <c r="AU50" s="58" t="e">
        <f t="shared" si="55"/>
        <v>#REF!</v>
      </c>
      <c r="AV50" s="58" t="e">
        <f t="shared" si="55"/>
        <v>#REF!</v>
      </c>
      <c r="AW50" s="58" t="e">
        <f t="shared" si="55"/>
        <v>#REF!</v>
      </c>
      <c r="AX50" s="58" t="e">
        <f t="shared" si="55"/>
        <v>#REF!</v>
      </c>
      <c r="AY50" s="58" t="e">
        <f t="shared" si="55"/>
        <v>#REF!</v>
      </c>
      <c r="AZ50" s="58" t="e">
        <f t="shared" si="55"/>
        <v>#REF!</v>
      </c>
      <c r="BA50" s="58" t="e">
        <f t="shared" si="55"/>
        <v>#REF!</v>
      </c>
      <c r="BB50" s="58" t="e">
        <f t="shared" si="55"/>
        <v>#REF!</v>
      </c>
      <c r="BC50" s="58" t="e">
        <f t="shared" si="55"/>
        <v>#REF!</v>
      </c>
      <c r="BD50" s="58" t="e">
        <f t="shared" si="55"/>
        <v>#REF!</v>
      </c>
      <c r="BE50" s="58" t="e">
        <f t="shared" si="55"/>
        <v>#REF!</v>
      </c>
      <c r="BF50" s="60" t="e">
        <f t="shared" si="55"/>
        <v>#REF!</v>
      </c>
      <c r="BG50" s="58" t="e">
        <f t="shared" si="55"/>
        <v>#REF!</v>
      </c>
      <c r="BH50" s="58" t="e">
        <f t="shared" si="55"/>
        <v>#REF!</v>
      </c>
      <c r="BI50" s="58" t="e">
        <f t="shared" si="55"/>
        <v>#REF!</v>
      </c>
      <c r="BJ50" s="60" t="e">
        <f t="shared" si="55"/>
        <v>#REF!</v>
      </c>
      <c r="BK50" s="58" t="e">
        <f t="shared" si="55"/>
        <v>#REF!</v>
      </c>
      <c r="BL50" s="58" t="e">
        <f t="shared" si="55"/>
        <v>#REF!</v>
      </c>
      <c r="BM50" s="58" t="e">
        <f t="shared" si="55"/>
        <v>#REF!</v>
      </c>
      <c r="BN50" s="60" t="e">
        <f t="shared" si="55"/>
        <v>#REF!</v>
      </c>
      <c r="BO50" s="58" t="e">
        <f t="shared" si="55"/>
        <v>#REF!</v>
      </c>
      <c r="BP50" s="58" t="e">
        <f t="shared" si="55"/>
        <v>#REF!</v>
      </c>
      <c r="BQ50" s="58" t="e">
        <f t="shared" si="55"/>
        <v>#REF!</v>
      </c>
      <c r="BR50" s="61" t="e">
        <f t="shared" si="55"/>
        <v>#REF!</v>
      </c>
      <c r="BS50" s="62" t="e">
        <f t="shared" si="55"/>
        <v>#REF!</v>
      </c>
      <c r="BT50" s="62" t="e">
        <f t="shared" si="55"/>
        <v>#REF!</v>
      </c>
      <c r="BU50" s="62" t="e">
        <f t="shared" si="55"/>
        <v>#REF!</v>
      </c>
      <c r="BV50" s="58" t="e">
        <f>I50-SUM(AX50:BA50)</f>
        <v>#REF!</v>
      </c>
      <c r="BW50" s="2" t="e">
        <f>M50-SUM(BN50:BQ50)</f>
        <v>#REF!</v>
      </c>
      <c r="BX50" s="58" t="e">
        <f>K50-SUM(BF50:BI50)</f>
        <v>#REF!</v>
      </c>
      <c r="BY50" s="2" t="e">
        <f>L50-SUM(BJ50:BM50)</f>
        <v>#REF!</v>
      </c>
      <c r="BZ50" s="2" t="e">
        <f>N50-SUM(BR50:BU50)</f>
        <v>#REF!</v>
      </c>
      <c r="CA50" s="1"/>
      <c r="CB50" s="1"/>
      <c r="CC50" s="1"/>
      <c r="CD50" s="1"/>
      <c r="CE50" s="1"/>
      <c r="CF50" s="1"/>
      <c r="CG50" s="1"/>
      <c r="CH50" s="1"/>
      <c r="CI50" s="1"/>
      <c r="CJ50" s="1"/>
      <c r="CK50" s="1"/>
      <c r="CL50" s="1"/>
      <c r="CM50" s="1"/>
      <c r="CN50" s="1"/>
      <c r="CO50" s="1"/>
      <c r="CP50" s="1"/>
    </row>
    <row r="51" spans="1:94">
      <c r="A51" s="68" t="s">
        <v>952</v>
      </c>
      <c r="B51" s="6"/>
      <c r="C51" s="6"/>
      <c r="D51" s="6"/>
      <c r="E51" s="6"/>
      <c r="F51" s="6" t="e">
        <f t="shared" ref="F51:R51" si="56">F50/E50-1</f>
        <v>#REF!</v>
      </c>
      <c r="G51" s="6" t="e">
        <f t="shared" si="56"/>
        <v>#REF!</v>
      </c>
      <c r="H51" s="6" t="e">
        <f t="shared" si="56"/>
        <v>#REF!</v>
      </c>
      <c r="I51" s="6" t="e">
        <f t="shared" si="56"/>
        <v>#REF!</v>
      </c>
      <c r="J51" s="6" t="e">
        <f t="shared" si="56"/>
        <v>#REF!</v>
      </c>
      <c r="K51" s="6" t="e">
        <f t="shared" si="56"/>
        <v>#REF!</v>
      </c>
      <c r="L51" s="6" t="e">
        <f t="shared" si="56"/>
        <v>#REF!</v>
      </c>
      <c r="M51" s="6" t="e">
        <f t="shared" si="56"/>
        <v>#REF!</v>
      </c>
      <c r="N51" s="28" t="e">
        <f t="shared" si="56"/>
        <v>#REF!</v>
      </c>
      <c r="O51" s="28" t="e">
        <f t="shared" si="56"/>
        <v>#REF!</v>
      </c>
      <c r="P51" s="28" t="e">
        <f t="shared" si="56"/>
        <v>#REF!</v>
      </c>
      <c r="Q51" s="28" t="e">
        <f t="shared" si="56"/>
        <v>#REF!</v>
      </c>
      <c r="R51" s="28" t="e">
        <f t="shared" si="56"/>
        <v>#REF!</v>
      </c>
      <c r="S51" s="6"/>
      <c r="T51" s="6"/>
      <c r="U51" s="6"/>
      <c r="V51" s="6"/>
      <c r="W51" s="6"/>
      <c r="X51" s="6"/>
      <c r="Y51" s="6"/>
      <c r="Z51" s="6"/>
      <c r="AA51" s="6"/>
      <c r="AB51" s="6"/>
      <c r="AC51" s="6"/>
      <c r="AD51" s="6"/>
      <c r="AE51" s="6"/>
      <c r="AF51" s="47"/>
      <c r="AG51" s="2"/>
      <c r="AH51" s="6"/>
      <c r="AI51" s="6"/>
      <c r="AJ51" s="6"/>
      <c r="AK51" s="6"/>
      <c r="AL51" s="6" t="e">
        <f t="shared" ref="AL51:BU51" si="57">AL50/AH50-1</f>
        <v>#REF!</v>
      </c>
      <c r="AM51" s="6" t="e">
        <f t="shared" si="57"/>
        <v>#REF!</v>
      </c>
      <c r="AN51" s="6" t="e">
        <f t="shared" si="57"/>
        <v>#REF!</v>
      </c>
      <c r="AO51" s="6" t="e">
        <f t="shared" si="57"/>
        <v>#REF!</v>
      </c>
      <c r="AP51" s="6" t="e">
        <f t="shared" si="57"/>
        <v>#REF!</v>
      </c>
      <c r="AQ51" s="6" t="e">
        <f t="shared" si="57"/>
        <v>#REF!</v>
      </c>
      <c r="AR51" s="6" t="e">
        <f t="shared" si="57"/>
        <v>#REF!</v>
      </c>
      <c r="AS51" s="6" t="e">
        <f t="shared" si="57"/>
        <v>#REF!</v>
      </c>
      <c r="AT51" s="6" t="e">
        <f t="shared" si="57"/>
        <v>#REF!</v>
      </c>
      <c r="AU51" s="6" t="e">
        <f t="shared" si="57"/>
        <v>#REF!</v>
      </c>
      <c r="AV51" s="6" t="e">
        <f t="shared" si="57"/>
        <v>#REF!</v>
      </c>
      <c r="AW51" s="6" t="e">
        <f t="shared" si="57"/>
        <v>#REF!</v>
      </c>
      <c r="AX51" s="6" t="e">
        <f t="shared" si="57"/>
        <v>#REF!</v>
      </c>
      <c r="AY51" s="6" t="e">
        <f t="shared" si="57"/>
        <v>#REF!</v>
      </c>
      <c r="AZ51" s="6" t="e">
        <f t="shared" si="57"/>
        <v>#REF!</v>
      </c>
      <c r="BA51" s="6" t="e">
        <f t="shared" si="57"/>
        <v>#REF!</v>
      </c>
      <c r="BB51" s="6" t="e">
        <f t="shared" si="57"/>
        <v>#REF!</v>
      </c>
      <c r="BC51" s="6" t="e">
        <f t="shared" si="57"/>
        <v>#REF!</v>
      </c>
      <c r="BD51" s="6" t="e">
        <f t="shared" si="57"/>
        <v>#REF!</v>
      </c>
      <c r="BE51" s="6" t="e">
        <f t="shared" si="57"/>
        <v>#REF!</v>
      </c>
      <c r="BF51" s="63" t="e">
        <f t="shared" si="57"/>
        <v>#REF!</v>
      </c>
      <c r="BG51" s="6" t="e">
        <f t="shared" si="57"/>
        <v>#REF!</v>
      </c>
      <c r="BH51" s="6" t="e">
        <f t="shared" si="57"/>
        <v>#REF!</v>
      </c>
      <c r="BI51" s="6" t="e">
        <f t="shared" si="57"/>
        <v>#REF!</v>
      </c>
      <c r="BJ51" s="63" t="e">
        <f t="shared" si="57"/>
        <v>#REF!</v>
      </c>
      <c r="BK51" s="6" t="e">
        <f t="shared" si="57"/>
        <v>#REF!</v>
      </c>
      <c r="BL51" s="6" t="e">
        <f t="shared" si="57"/>
        <v>#REF!</v>
      </c>
      <c r="BM51" s="6" t="e">
        <f t="shared" si="57"/>
        <v>#REF!</v>
      </c>
      <c r="BN51" s="63" t="e">
        <f t="shared" si="57"/>
        <v>#REF!</v>
      </c>
      <c r="BO51" s="6" t="e">
        <f t="shared" si="57"/>
        <v>#REF!</v>
      </c>
      <c r="BP51" s="6" t="e">
        <f t="shared" si="57"/>
        <v>#REF!</v>
      </c>
      <c r="BQ51" s="6" t="e">
        <f t="shared" si="57"/>
        <v>#REF!</v>
      </c>
      <c r="BR51" s="64" t="e">
        <f t="shared" si="57"/>
        <v>#REF!</v>
      </c>
      <c r="BS51" s="28" t="e">
        <f t="shared" si="57"/>
        <v>#REF!</v>
      </c>
      <c r="BT51" s="28" t="e">
        <f t="shared" si="57"/>
        <v>#REF!</v>
      </c>
      <c r="BU51" s="28" t="e">
        <f t="shared" si="57"/>
        <v>#REF!</v>
      </c>
      <c r="BV51" s="58"/>
      <c r="BW51" s="6"/>
      <c r="BX51" s="6"/>
      <c r="BY51" s="6"/>
      <c r="BZ51" s="6"/>
      <c r="CA51" s="6"/>
      <c r="CB51" s="6"/>
      <c r="CC51" s="6"/>
      <c r="CD51" s="6"/>
      <c r="CE51" s="6"/>
      <c r="CF51" s="6"/>
      <c r="CG51" s="6"/>
      <c r="CH51" s="6"/>
      <c r="CI51" s="6"/>
      <c r="CJ51" s="6"/>
      <c r="CK51" s="6"/>
      <c r="CL51" s="6"/>
      <c r="CM51" s="6"/>
      <c r="CN51" s="6"/>
      <c r="CO51" s="6"/>
      <c r="CP51" s="6"/>
    </row>
    <row r="52" spans="1:94">
      <c r="A52" s="68" t="s">
        <v>950</v>
      </c>
      <c r="B52" s="6"/>
      <c r="C52" s="6"/>
      <c r="D52" s="6"/>
      <c r="E52" s="6" t="e">
        <f t="shared" ref="E52:R52" si="58">E50/E$29</f>
        <v>#REF!</v>
      </c>
      <c r="F52" s="6" t="e">
        <f t="shared" si="58"/>
        <v>#REF!</v>
      </c>
      <c r="G52" s="6" t="e">
        <f t="shared" si="58"/>
        <v>#REF!</v>
      </c>
      <c r="H52" s="6" t="e">
        <f t="shared" si="58"/>
        <v>#REF!</v>
      </c>
      <c r="I52" s="6" t="e">
        <f t="shared" si="58"/>
        <v>#REF!</v>
      </c>
      <c r="J52" s="6" t="e">
        <f t="shared" si="58"/>
        <v>#REF!</v>
      </c>
      <c r="K52" s="6" t="e">
        <f t="shared" si="58"/>
        <v>#REF!</v>
      </c>
      <c r="L52" s="6" t="e">
        <f t="shared" si="58"/>
        <v>#REF!</v>
      </c>
      <c r="M52" s="6" t="e">
        <f t="shared" si="58"/>
        <v>#REF!</v>
      </c>
      <c r="N52" s="28" t="e">
        <f t="shared" si="58"/>
        <v>#REF!</v>
      </c>
      <c r="O52" s="28" t="e">
        <f t="shared" si="58"/>
        <v>#REF!</v>
      </c>
      <c r="P52" s="28" t="e">
        <f t="shared" si="58"/>
        <v>#REF!</v>
      </c>
      <c r="Q52" s="28" t="e">
        <f t="shared" si="58"/>
        <v>#REF!</v>
      </c>
      <c r="R52" s="28" t="e">
        <f t="shared" si="58"/>
        <v>#REF!</v>
      </c>
      <c r="S52" s="6"/>
      <c r="T52" s="6"/>
      <c r="U52" s="6"/>
      <c r="V52" s="6"/>
      <c r="W52" s="6"/>
      <c r="X52" s="6"/>
      <c r="Y52" s="6"/>
      <c r="Z52" s="6"/>
      <c r="AA52" s="6"/>
      <c r="AB52" s="6"/>
      <c r="AC52" s="6"/>
      <c r="AD52" s="6"/>
      <c r="AE52" s="6"/>
      <c r="AF52" s="47"/>
      <c r="AG52" s="2"/>
      <c r="AH52" s="6" t="e">
        <f t="shared" ref="AH52:BU52" si="59">AH50/AH$29</f>
        <v>#REF!</v>
      </c>
      <c r="AI52" s="6" t="e">
        <f t="shared" si="59"/>
        <v>#REF!</v>
      </c>
      <c r="AJ52" s="6" t="e">
        <f t="shared" si="59"/>
        <v>#REF!</v>
      </c>
      <c r="AK52" s="6" t="e">
        <f t="shared" si="59"/>
        <v>#REF!</v>
      </c>
      <c r="AL52" s="6" t="e">
        <f t="shared" si="59"/>
        <v>#REF!</v>
      </c>
      <c r="AM52" s="6" t="e">
        <f t="shared" si="59"/>
        <v>#REF!</v>
      </c>
      <c r="AN52" s="6" t="e">
        <f t="shared" si="59"/>
        <v>#REF!</v>
      </c>
      <c r="AO52" s="6" t="e">
        <f t="shared" si="59"/>
        <v>#REF!</v>
      </c>
      <c r="AP52" s="6" t="e">
        <f t="shared" si="59"/>
        <v>#REF!</v>
      </c>
      <c r="AQ52" s="6" t="e">
        <f t="shared" si="59"/>
        <v>#REF!</v>
      </c>
      <c r="AR52" s="6" t="e">
        <f t="shared" si="59"/>
        <v>#REF!</v>
      </c>
      <c r="AS52" s="6" t="e">
        <f t="shared" si="59"/>
        <v>#REF!</v>
      </c>
      <c r="AT52" s="6" t="e">
        <f t="shared" si="59"/>
        <v>#REF!</v>
      </c>
      <c r="AU52" s="6" t="e">
        <f t="shared" si="59"/>
        <v>#REF!</v>
      </c>
      <c r="AV52" s="6" t="e">
        <f t="shared" si="59"/>
        <v>#REF!</v>
      </c>
      <c r="AW52" s="6" t="e">
        <f t="shared" si="59"/>
        <v>#REF!</v>
      </c>
      <c r="AX52" s="6" t="e">
        <f t="shared" si="59"/>
        <v>#REF!</v>
      </c>
      <c r="AY52" s="6" t="e">
        <f t="shared" si="59"/>
        <v>#REF!</v>
      </c>
      <c r="AZ52" s="6" t="e">
        <f t="shared" si="59"/>
        <v>#REF!</v>
      </c>
      <c r="BA52" s="6" t="e">
        <f t="shared" si="59"/>
        <v>#REF!</v>
      </c>
      <c r="BB52" s="6" t="e">
        <f t="shared" si="59"/>
        <v>#REF!</v>
      </c>
      <c r="BC52" s="6" t="e">
        <f t="shared" si="59"/>
        <v>#REF!</v>
      </c>
      <c r="BD52" s="6" t="e">
        <f t="shared" si="59"/>
        <v>#REF!</v>
      </c>
      <c r="BE52" s="6" t="e">
        <f t="shared" si="59"/>
        <v>#REF!</v>
      </c>
      <c r="BF52" s="63" t="e">
        <f t="shared" si="59"/>
        <v>#REF!</v>
      </c>
      <c r="BG52" s="6" t="e">
        <f t="shared" si="59"/>
        <v>#REF!</v>
      </c>
      <c r="BH52" s="6" t="e">
        <f t="shared" si="59"/>
        <v>#REF!</v>
      </c>
      <c r="BI52" s="6" t="e">
        <f t="shared" si="59"/>
        <v>#REF!</v>
      </c>
      <c r="BJ52" s="63" t="e">
        <f t="shared" si="59"/>
        <v>#REF!</v>
      </c>
      <c r="BK52" s="6" t="e">
        <f t="shared" si="59"/>
        <v>#REF!</v>
      </c>
      <c r="BL52" s="6" t="e">
        <f t="shared" si="59"/>
        <v>#REF!</v>
      </c>
      <c r="BM52" s="6" t="e">
        <f t="shared" si="59"/>
        <v>#REF!</v>
      </c>
      <c r="BN52" s="63" t="e">
        <f t="shared" si="59"/>
        <v>#REF!</v>
      </c>
      <c r="BO52" s="6" t="e">
        <f t="shared" si="59"/>
        <v>#REF!</v>
      </c>
      <c r="BP52" s="6" t="e">
        <f t="shared" si="59"/>
        <v>#REF!</v>
      </c>
      <c r="BQ52" s="6" t="e">
        <f t="shared" si="59"/>
        <v>#REF!</v>
      </c>
      <c r="BR52" s="64" t="e">
        <f t="shared" si="59"/>
        <v>#REF!</v>
      </c>
      <c r="BS52" s="28" t="e">
        <f t="shared" si="59"/>
        <v>#REF!</v>
      </c>
      <c r="BT52" s="28" t="e">
        <f t="shared" si="59"/>
        <v>#REF!</v>
      </c>
      <c r="BU52" s="28" t="e">
        <f t="shared" si="59"/>
        <v>#REF!</v>
      </c>
      <c r="BV52" s="6"/>
      <c r="BW52" s="6"/>
      <c r="BX52" s="6"/>
      <c r="BY52" s="6"/>
      <c r="BZ52" s="6"/>
      <c r="CA52" s="6"/>
      <c r="CB52" s="6"/>
      <c r="CC52" s="6"/>
      <c r="CD52" s="6"/>
      <c r="CE52" s="6"/>
      <c r="CF52" s="6"/>
      <c r="CG52" s="6"/>
      <c r="CH52" s="6"/>
      <c r="CI52" s="6"/>
      <c r="CJ52" s="6"/>
      <c r="CK52" s="6"/>
      <c r="CL52" s="6"/>
      <c r="CM52" s="6"/>
      <c r="CN52" s="6"/>
      <c r="CO52" s="6"/>
      <c r="CP52" s="6"/>
    </row>
    <row r="53" spans="1:94">
      <c r="A53" s="1" t="s">
        <v>969</v>
      </c>
      <c r="B53" s="1"/>
      <c r="C53" s="1"/>
      <c r="D53" s="1"/>
      <c r="E53" s="58" t="e">
        <f t="shared" ref="E53:R53" si="60">E29-E50</f>
        <v>#REF!</v>
      </c>
      <c r="F53" s="58" t="e">
        <f t="shared" si="60"/>
        <v>#REF!</v>
      </c>
      <c r="G53" s="58" t="e">
        <f t="shared" si="60"/>
        <v>#REF!</v>
      </c>
      <c r="H53" s="58" t="e">
        <f t="shared" si="60"/>
        <v>#REF!</v>
      </c>
      <c r="I53" s="58" t="e">
        <f t="shared" si="60"/>
        <v>#REF!</v>
      </c>
      <c r="J53" s="58" t="e">
        <f t="shared" si="60"/>
        <v>#REF!</v>
      </c>
      <c r="K53" s="58" t="e">
        <f t="shared" si="60"/>
        <v>#REF!</v>
      </c>
      <c r="L53" s="58" t="e">
        <f t="shared" si="60"/>
        <v>#REF!</v>
      </c>
      <c r="M53" s="58" t="e">
        <f t="shared" si="60"/>
        <v>#REF!</v>
      </c>
      <c r="N53" s="62" t="e">
        <f t="shared" si="60"/>
        <v>#REF!</v>
      </c>
      <c r="O53" s="62" t="e">
        <f t="shared" si="60"/>
        <v>#REF!</v>
      </c>
      <c r="P53" s="62" t="e">
        <f t="shared" si="60"/>
        <v>#REF!</v>
      </c>
      <c r="Q53" s="62" t="e">
        <f t="shared" si="60"/>
        <v>#REF!</v>
      </c>
      <c r="R53" s="62" t="e">
        <f t="shared" si="60"/>
        <v>#REF!</v>
      </c>
      <c r="S53" s="2"/>
      <c r="T53" s="58"/>
      <c r="U53" s="58"/>
      <c r="V53" s="58"/>
      <c r="W53" s="58"/>
      <c r="X53" s="58"/>
      <c r="Y53" s="58"/>
      <c r="Z53" s="58"/>
      <c r="AA53" s="58"/>
      <c r="AB53" s="58"/>
      <c r="AC53" s="58"/>
      <c r="AD53" s="58"/>
      <c r="AE53" s="58"/>
      <c r="AF53" s="59" t="e">
        <f>(R53/M53)^(1/5)-1</f>
        <v>#REF!</v>
      </c>
      <c r="AG53" s="2"/>
      <c r="AH53" s="58" t="e">
        <f t="shared" ref="AH53:BU53" si="61">AH29-AH50</f>
        <v>#REF!</v>
      </c>
      <c r="AI53" s="58" t="e">
        <f t="shared" si="61"/>
        <v>#REF!</v>
      </c>
      <c r="AJ53" s="58" t="e">
        <f t="shared" si="61"/>
        <v>#REF!</v>
      </c>
      <c r="AK53" s="58" t="e">
        <f t="shared" si="61"/>
        <v>#REF!</v>
      </c>
      <c r="AL53" s="58" t="e">
        <f t="shared" si="61"/>
        <v>#REF!</v>
      </c>
      <c r="AM53" s="58" t="e">
        <f t="shared" si="61"/>
        <v>#REF!</v>
      </c>
      <c r="AN53" s="58" t="e">
        <f t="shared" si="61"/>
        <v>#REF!</v>
      </c>
      <c r="AO53" s="58" t="e">
        <f t="shared" si="61"/>
        <v>#REF!</v>
      </c>
      <c r="AP53" s="58" t="e">
        <f t="shared" si="61"/>
        <v>#REF!</v>
      </c>
      <c r="AQ53" s="58" t="e">
        <f t="shared" si="61"/>
        <v>#REF!</v>
      </c>
      <c r="AR53" s="58" t="e">
        <f t="shared" si="61"/>
        <v>#REF!</v>
      </c>
      <c r="AS53" s="58" t="e">
        <f t="shared" si="61"/>
        <v>#REF!</v>
      </c>
      <c r="AT53" s="58" t="e">
        <f t="shared" si="61"/>
        <v>#REF!</v>
      </c>
      <c r="AU53" s="58" t="e">
        <f t="shared" si="61"/>
        <v>#REF!</v>
      </c>
      <c r="AV53" s="58" t="e">
        <f t="shared" si="61"/>
        <v>#REF!</v>
      </c>
      <c r="AW53" s="58" t="e">
        <f t="shared" si="61"/>
        <v>#REF!</v>
      </c>
      <c r="AX53" s="58" t="e">
        <f t="shared" si="61"/>
        <v>#REF!</v>
      </c>
      <c r="AY53" s="58" t="e">
        <f t="shared" si="61"/>
        <v>#REF!</v>
      </c>
      <c r="AZ53" s="58" t="e">
        <f t="shared" si="61"/>
        <v>#REF!</v>
      </c>
      <c r="BA53" s="58" t="e">
        <f t="shared" si="61"/>
        <v>#REF!</v>
      </c>
      <c r="BB53" s="58" t="e">
        <f t="shared" si="61"/>
        <v>#REF!</v>
      </c>
      <c r="BC53" s="58" t="e">
        <f t="shared" si="61"/>
        <v>#REF!</v>
      </c>
      <c r="BD53" s="58" t="e">
        <f t="shared" si="61"/>
        <v>#REF!</v>
      </c>
      <c r="BE53" s="58" t="e">
        <f t="shared" si="61"/>
        <v>#REF!</v>
      </c>
      <c r="BF53" s="60" t="e">
        <f t="shared" si="61"/>
        <v>#REF!</v>
      </c>
      <c r="BG53" s="58" t="e">
        <f t="shared" si="61"/>
        <v>#REF!</v>
      </c>
      <c r="BH53" s="58" t="e">
        <f t="shared" si="61"/>
        <v>#REF!</v>
      </c>
      <c r="BI53" s="58" t="e">
        <f t="shared" si="61"/>
        <v>#REF!</v>
      </c>
      <c r="BJ53" s="60" t="e">
        <f t="shared" si="61"/>
        <v>#REF!</v>
      </c>
      <c r="BK53" s="58" t="e">
        <f t="shared" si="61"/>
        <v>#REF!</v>
      </c>
      <c r="BL53" s="58" t="e">
        <f t="shared" si="61"/>
        <v>#REF!</v>
      </c>
      <c r="BM53" s="58" t="e">
        <f t="shared" si="61"/>
        <v>#REF!</v>
      </c>
      <c r="BN53" s="60" t="e">
        <f t="shared" si="61"/>
        <v>#REF!</v>
      </c>
      <c r="BO53" s="58" t="e">
        <f t="shared" si="61"/>
        <v>#REF!</v>
      </c>
      <c r="BP53" s="58" t="e">
        <f t="shared" si="61"/>
        <v>#REF!</v>
      </c>
      <c r="BQ53" s="58" t="e">
        <f t="shared" si="61"/>
        <v>#REF!</v>
      </c>
      <c r="BR53" s="61" t="e">
        <f t="shared" si="61"/>
        <v>#REF!</v>
      </c>
      <c r="BS53" s="62" t="e">
        <f t="shared" si="61"/>
        <v>#REF!</v>
      </c>
      <c r="BT53" s="62" t="e">
        <f t="shared" si="61"/>
        <v>#REF!</v>
      </c>
      <c r="BU53" s="62" t="e">
        <f t="shared" si="61"/>
        <v>#REF!</v>
      </c>
      <c r="BV53" s="58" t="e">
        <f>I53-SUM(AX53:BA53)</f>
        <v>#REF!</v>
      </c>
      <c r="BW53" s="2" t="e">
        <f>M53-SUM(BN53:BQ53)</f>
        <v>#REF!</v>
      </c>
      <c r="BX53" s="58" t="e">
        <f>K53-SUM(BF53:BI53)</f>
        <v>#REF!</v>
      </c>
      <c r="BY53" s="2" t="e">
        <f>L53-SUM(BJ53:BM53)</f>
        <v>#REF!</v>
      </c>
      <c r="BZ53" s="2" t="e">
        <f>N53-SUM(BR53:BU53)</f>
        <v>#REF!</v>
      </c>
      <c r="CA53" s="1"/>
      <c r="CB53" s="1"/>
      <c r="CC53" s="1"/>
      <c r="CD53" s="1"/>
      <c r="CE53" s="1"/>
      <c r="CF53" s="1"/>
      <c r="CG53" s="1"/>
      <c r="CH53" s="1"/>
      <c r="CI53" s="1"/>
      <c r="CJ53" s="1"/>
      <c r="CK53" s="1"/>
      <c r="CL53" s="1"/>
      <c r="CM53" s="1"/>
      <c r="CN53" s="1"/>
      <c r="CO53" s="1"/>
      <c r="CP53" s="1"/>
    </row>
    <row r="54" spans="1:94">
      <c r="A54" s="68" t="s">
        <v>952</v>
      </c>
      <c r="B54" s="6"/>
      <c r="C54" s="6"/>
      <c r="D54" s="6"/>
      <c r="E54" s="6"/>
      <c r="F54" s="6" t="e">
        <f t="shared" ref="F54:R54" si="62">F53/E53-1</f>
        <v>#REF!</v>
      </c>
      <c r="G54" s="6" t="e">
        <f t="shared" si="62"/>
        <v>#REF!</v>
      </c>
      <c r="H54" s="6" t="e">
        <f t="shared" si="62"/>
        <v>#REF!</v>
      </c>
      <c r="I54" s="6" t="e">
        <f t="shared" si="62"/>
        <v>#REF!</v>
      </c>
      <c r="J54" s="6" t="e">
        <f t="shared" si="62"/>
        <v>#REF!</v>
      </c>
      <c r="K54" s="6" t="e">
        <f t="shared" si="62"/>
        <v>#REF!</v>
      </c>
      <c r="L54" s="6" t="e">
        <f t="shared" si="62"/>
        <v>#REF!</v>
      </c>
      <c r="M54" s="6" t="e">
        <f t="shared" si="62"/>
        <v>#REF!</v>
      </c>
      <c r="N54" s="28" t="e">
        <f t="shared" si="62"/>
        <v>#REF!</v>
      </c>
      <c r="O54" s="28" t="e">
        <f t="shared" si="62"/>
        <v>#REF!</v>
      </c>
      <c r="P54" s="28" t="e">
        <f t="shared" si="62"/>
        <v>#REF!</v>
      </c>
      <c r="Q54" s="28" t="e">
        <f t="shared" si="62"/>
        <v>#REF!</v>
      </c>
      <c r="R54" s="28" t="e">
        <f t="shared" si="62"/>
        <v>#REF!</v>
      </c>
      <c r="S54" s="6"/>
      <c r="T54" s="6"/>
      <c r="U54" s="6"/>
      <c r="V54" s="6"/>
      <c r="W54" s="6"/>
      <c r="X54" s="6"/>
      <c r="Y54" s="6"/>
      <c r="Z54" s="6"/>
      <c r="AA54" s="6"/>
      <c r="AB54" s="6"/>
      <c r="AC54" s="6"/>
      <c r="AD54" s="6"/>
      <c r="AE54" s="6"/>
      <c r="AF54" s="47"/>
      <c r="AG54" s="2"/>
      <c r="AH54" s="6"/>
      <c r="AI54" s="6"/>
      <c r="AJ54" s="6"/>
      <c r="AK54" s="6"/>
      <c r="AL54" s="6" t="e">
        <f t="shared" ref="AL54:BU54" si="63">AL53/AH53-1</f>
        <v>#REF!</v>
      </c>
      <c r="AM54" s="6" t="e">
        <f t="shared" si="63"/>
        <v>#REF!</v>
      </c>
      <c r="AN54" s="6" t="e">
        <f t="shared" si="63"/>
        <v>#REF!</v>
      </c>
      <c r="AO54" s="6" t="e">
        <f t="shared" si="63"/>
        <v>#REF!</v>
      </c>
      <c r="AP54" s="6" t="e">
        <f t="shared" si="63"/>
        <v>#REF!</v>
      </c>
      <c r="AQ54" s="6" t="e">
        <f t="shared" si="63"/>
        <v>#REF!</v>
      </c>
      <c r="AR54" s="6" t="e">
        <f t="shared" si="63"/>
        <v>#REF!</v>
      </c>
      <c r="AS54" s="6" t="e">
        <f t="shared" si="63"/>
        <v>#REF!</v>
      </c>
      <c r="AT54" s="6" t="e">
        <f t="shared" si="63"/>
        <v>#REF!</v>
      </c>
      <c r="AU54" s="6" t="e">
        <f t="shared" si="63"/>
        <v>#REF!</v>
      </c>
      <c r="AV54" s="6" t="e">
        <f t="shared" si="63"/>
        <v>#REF!</v>
      </c>
      <c r="AW54" s="6" t="e">
        <f t="shared" si="63"/>
        <v>#REF!</v>
      </c>
      <c r="AX54" s="6" t="e">
        <f t="shared" si="63"/>
        <v>#REF!</v>
      </c>
      <c r="AY54" s="6" t="e">
        <f t="shared" si="63"/>
        <v>#REF!</v>
      </c>
      <c r="AZ54" s="6" t="e">
        <f t="shared" si="63"/>
        <v>#REF!</v>
      </c>
      <c r="BA54" s="6" t="e">
        <f t="shared" si="63"/>
        <v>#REF!</v>
      </c>
      <c r="BB54" s="6" t="e">
        <f t="shared" si="63"/>
        <v>#REF!</v>
      </c>
      <c r="BC54" s="6" t="e">
        <f t="shared" si="63"/>
        <v>#REF!</v>
      </c>
      <c r="BD54" s="6" t="e">
        <f t="shared" si="63"/>
        <v>#REF!</v>
      </c>
      <c r="BE54" s="6" t="e">
        <f t="shared" si="63"/>
        <v>#REF!</v>
      </c>
      <c r="BF54" s="63" t="e">
        <f t="shared" si="63"/>
        <v>#REF!</v>
      </c>
      <c r="BG54" s="6" t="e">
        <f t="shared" si="63"/>
        <v>#REF!</v>
      </c>
      <c r="BH54" s="6" t="e">
        <f t="shared" si="63"/>
        <v>#REF!</v>
      </c>
      <c r="BI54" s="6" t="e">
        <f t="shared" si="63"/>
        <v>#REF!</v>
      </c>
      <c r="BJ54" s="63" t="e">
        <f t="shared" si="63"/>
        <v>#REF!</v>
      </c>
      <c r="BK54" s="6" t="e">
        <f t="shared" si="63"/>
        <v>#REF!</v>
      </c>
      <c r="BL54" s="6" t="e">
        <f t="shared" si="63"/>
        <v>#REF!</v>
      </c>
      <c r="BM54" s="6" t="e">
        <f t="shared" si="63"/>
        <v>#REF!</v>
      </c>
      <c r="BN54" s="63" t="e">
        <f t="shared" si="63"/>
        <v>#REF!</v>
      </c>
      <c r="BO54" s="6" t="e">
        <f t="shared" si="63"/>
        <v>#REF!</v>
      </c>
      <c r="BP54" s="6" t="e">
        <f t="shared" si="63"/>
        <v>#REF!</v>
      </c>
      <c r="BQ54" s="6" t="e">
        <f t="shared" si="63"/>
        <v>#REF!</v>
      </c>
      <c r="BR54" s="64" t="e">
        <f t="shared" si="63"/>
        <v>#REF!</v>
      </c>
      <c r="BS54" s="28" t="e">
        <f t="shared" si="63"/>
        <v>#REF!</v>
      </c>
      <c r="BT54" s="28" t="e">
        <f t="shared" si="63"/>
        <v>#REF!</v>
      </c>
      <c r="BU54" s="28" t="e">
        <f t="shared" si="63"/>
        <v>#REF!</v>
      </c>
      <c r="BV54" s="6"/>
      <c r="BW54" s="6"/>
      <c r="BX54" s="6"/>
      <c r="BY54" s="6"/>
      <c r="BZ54" s="6"/>
      <c r="CA54" s="6"/>
      <c r="CB54" s="6"/>
      <c r="CC54" s="6"/>
      <c r="CD54" s="6"/>
      <c r="CE54" s="6"/>
      <c r="CF54" s="6"/>
      <c r="CG54" s="6"/>
      <c r="CH54" s="6"/>
      <c r="CI54" s="6"/>
      <c r="CJ54" s="6"/>
      <c r="CK54" s="6"/>
      <c r="CL54" s="6"/>
      <c r="CM54" s="6"/>
      <c r="CN54" s="6"/>
      <c r="CO54" s="6"/>
      <c r="CP54" s="6"/>
    </row>
    <row r="55" spans="1:94">
      <c r="A55" s="68" t="s">
        <v>970</v>
      </c>
      <c r="B55" s="6"/>
      <c r="C55" s="6"/>
      <c r="D55" s="6"/>
      <c r="E55" s="6" t="e">
        <f t="shared" ref="E55:R55" si="64">E53/E$29</f>
        <v>#REF!</v>
      </c>
      <c r="F55" s="6" t="e">
        <f t="shared" si="64"/>
        <v>#REF!</v>
      </c>
      <c r="G55" s="6" t="e">
        <f t="shared" si="64"/>
        <v>#REF!</v>
      </c>
      <c r="H55" s="6" t="e">
        <f t="shared" si="64"/>
        <v>#REF!</v>
      </c>
      <c r="I55" s="6" t="e">
        <f t="shared" si="64"/>
        <v>#REF!</v>
      </c>
      <c r="J55" s="6" t="e">
        <f t="shared" si="64"/>
        <v>#REF!</v>
      </c>
      <c r="K55" s="6" t="e">
        <f t="shared" si="64"/>
        <v>#REF!</v>
      </c>
      <c r="L55" s="6" t="e">
        <f t="shared" si="64"/>
        <v>#REF!</v>
      </c>
      <c r="M55" s="6" t="e">
        <f t="shared" si="64"/>
        <v>#REF!</v>
      </c>
      <c r="N55" s="28" t="e">
        <f t="shared" si="64"/>
        <v>#REF!</v>
      </c>
      <c r="O55" s="28" t="e">
        <f t="shared" si="64"/>
        <v>#REF!</v>
      </c>
      <c r="P55" s="28" t="e">
        <f t="shared" si="64"/>
        <v>#REF!</v>
      </c>
      <c r="Q55" s="28" t="e">
        <f t="shared" si="64"/>
        <v>#REF!</v>
      </c>
      <c r="R55" s="28" t="e">
        <f t="shared" si="64"/>
        <v>#REF!</v>
      </c>
      <c r="S55" s="6"/>
      <c r="T55" s="6"/>
      <c r="U55" s="6"/>
      <c r="V55" s="6"/>
      <c r="W55" s="6"/>
      <c r="X55" s="6"/>
      <c r="Y55" s="6"/>
      <c r="Z55" s="6"/>
      <c r="AA55" s="6"/>
      <c r="AB55" s="6"/>
      <c r="AC55" s="6"/>
      <c r="AD55" s="6"/>
      <c r="AE55" s="6"/>
      <c r="AF55" s="47"/>
      <c r="AG55" s="2"/>
      <c r="AH55" s="6" t="e">
        <f t="shared" ref="AH55:BU55" si="65">AH53/AH$29</f>
        <v>#REF!</v>
      </c>
      <c r="AI55" s="6" t="e">
        <f t="shared" si="65"/>
        <v>#REF!</v>
      </c>
      <c r="AJ55" s="6" t="e">
        <f t="shared" si="65"/>
        <v>#REF!</v>
      </c>
      <c r="AK55" s="6" t="e">
        <f t="shared" si="65"/>
        <v>#REF!</v>
      </c>
      <c r="AL55" s="6" t="e">
        <f t="shared" si="65"/>
        <v>#REF!</v>
      </c>
      <c r="AM55" s="6" t="e">
        <f t="shared" si="65"/>
        <v>#REF!</v>
      </c>
      <c r="AN55" s="6" t="e">
        <f t="shared" si="65"/>
        <v>#REF!</v>
      </c>
      <c r="AO55" s="6" t="e">
        <f t="shared" si="65"/>
        <v>#REF!</v>
      </c>
      <c r="AP55" s="6" t="e">
        <f t="shared" si="65"/>
        <v>#REF!</v>
      </c>
      <c r="AQ55" s="6" t="e">
        <f t="shared" si="65"/>
        <v>#REF!</v>
      </c>
      <c r="AR55" s="6" t="e">
        <f t="shared" si="65"/>
        <v>#REF!</v>
      </c>
      <c r="AS55" s="6" t="e">
        <f t="shared" si="65"/>
        <v>#REF!</v>
      </c>
      <c r="AT55" s="6" t="e">
        <f t="shared" si="65"/>
        <v>#REF!</v>
      </c>
      <c r="AU55" s="6" t="e">
        <f t="shared" si="65"/>
        <v>#REF!</v>
      </c>
      <c r="AV55" s="6" t="e">
        <f t="shared" si="65"/>
        <v>#REF!</v>
      </c>
      <c r="AW55" s="6" t="e">
        <f t="shared" si="65"/>
        <v>#REF!</v>
      </c>
      <c r="AX55" s="6" t="e">
        <f t="shared" si="65"/>
        <v>#REF!</v>
      </c>
      <c r="AY55" s="6" t="e">
        <f t="shared" si="65"/>
        <v>#REF!</v>
      </c>
      <c r="AZ55" s="6" t="e">
        <f t="shared" si="65"/>
        <v>#REF!</v>
      </c>
      <c r="BA55" s="6" t="e">
        <f t="shared" si="65"/>
        <v>#REF!</v>
      </c>
      <c r="BB55" s="6" t="e">
        <f t="shared" si="65"/>
        <v>#REF!</v>
      </c>
      <c r="BC55" s="6" t="e">
        <f t="shared" si="65"/>
        <v>#REF!</v>
      </c>
      <c r="BD55" s="6" t="e">
        <f t="shared" si="65"/>
        <v>#REF!</v>
      </c>
      <c r="BE55" s="6" t="e">
        <f t="shared" si="65"/>
        <v>#REF!</v>
      </c>
      <c r="BF55" s="63" t="e">
        <f t="shared" si="65"/>
        <v>#REF!</v>
      </c>
      <c r="BG55" s="6" t="e">
        <f t="shared" si="65"/>
        <v>#REF!</v>
      </c>
      <c r="BH55" s="6" t="e">
        <f t="shared" si="65"/>
        <v>#REF!</v>
      </c>
      <c r="BI55" s="6" t="e">
        <f t="shared" si="65"/>
        <v>#REF!</v>
      </c>
      <c r="BJ55" s="63" t="e">
        <f t="shared" si="65"/>
        <v>#REF!</v>
      </c>
      <c r="BK55" s="6" t="e">
        <f t="shared" si="65"/>
        <v>#REF!</v>
      </c>
      <c r="BL55" s="6" t="e">
        <f t="shared" si="65"/>
        <v>#REF!</v>
      </c>
      <c r="BM55" s="6" t="e">
        <f t="shared" si="65"/>
        <v>#REF!</v>
      </c>
      <c r="BN55" s="63" t="e">
        <f t="shared" si="65"/>
        <v>#REF!</v>
      </c>
      <c r="BO55" s="6" t="e">
        <f t="shared" si="65"/>
        <v>#REF!</v>
      </c>
      <c r="BP55" s="6" t="e">
        <f t="shared" si="65"/>
        <v>#REF!</v>
      </c>
      <c r="BQ55" s="6" t="e">
        <f t="shared" si="65"/>
        <v>#REF!</v>
      </c>
      <c r="BR55" s="64" t="e">
        <f t="shared" si="65"/>
        <v>#REF!</v>
      </c>
      <c r="BS55" s="28" t="e">
        <f t="shared" si="65"/>
        <v>#REF!</v>
      </c>
      <c r="BT55" s="28" t="e">
        <f t="shared" si="65"/>
        <v>#REF!</v>
      </c>
      <c r="BU55" s="28" t="e">
        <f t="shared" si="65"/>
        <v>#REF!</v>
      </c>
      <c r="BV55" s="6"/>
      <c r="BW55" s="6"/>
      <c r="BX55" s="6"/>
      <c r="BY55" s="6"/>
      <c r="BZ55" s="6"/>
      <c r="CA55" s="6"/>
      <c r="CB55" s="6"/>
      <c r="CC55" s="6"/>
      <c r="CD55" s="6"/>
      <c r="CE55" s="6"/>
      <c r="CF55" s="6"/>
      <c r="CG55" s="6"/>
      <c r="CH55" s="6"/>
      <c r="CI55" s="6"/>
      <c r="CJ55" s="6"/>
      <c r="CK55" s="6"/>
      <c r="CL55" s="6"/>
      <c r="CM55" s="6"/>
      <c r="CN55" s="6"/>
      <c r="CO55" s="6"/>
      <c r="CP55" s="6"/>
    </row>
    <row r="56" spans="1:94">
      <c r="A56" s="1" t="s">
        <v>971</v>
      </c>
      <c r="B56" s="1"/>
      <c r="C56" s="1"/>
      <c r="D56" s="1"/>
      <c r="E56" s="58" t="e">
        <f t="shared" ref="E56:J56" si="66">E53+E45</f>
        <v>#REF!</v>
      </c>
      <c r="F56" s="58" t="e">
        <f t="shared" si="66"/>
        <v>#REF!</v>
      </c>
      <c r="G56" s="58" t="e">
        <f t="shared" si="66"/>
        <v>#REF!</v>
      </c>
      <c r="H56" s="58" t="e">
        <f t="shared" si="66"/>
        <v>#REF!</v>
      </c>
      <c r="I56" s="58" t="e">
        <f t="shared" si="66"/>
        <v>#REF!</v>
      </c>
      <c r="J56" s="58" t="e">
        <f t="shared" si="66"/>
        <v>#REF!</v>
      </c>
      <c r="K56" s="58" t="e">
        <f t="shared" ref="K56:R56" si="67">K29-K42</f>
        <v>#REF!</v>
      </c>
      <c r="L56" s="58" t="e">
        <f t="shared" si="67"/>
        <v>#REF!</v>
      </c>
      <c r="M56" s="58" t="e">
        <f t="shared" si="67"/>
        <v>#REF!</v>
      </c>
      <c r="N56" s="62" t="e">
        <f t="shared" si="67"/>
        <v>#REF!</v>
      </c>
      <c r="O56" s="62" t="e">
        <f t="shared" si="67"/>
        <v>#REF!</v>
      </c>
      <c r="P56" s="62" t="e">
        <f t="shared" si="67"/>
        <v>#REF!</v>
      </c>
      <c r="Q56" s="62" t="e">
        <f t="shared" si="67"/>
        <v>#REF!</v>
      </c>
      <c r="R56" s="62" t="e">
        <f t="shared" si="67"/>
        <v>#REF!</v>
      </c>
      <c r="S56" s="2"/>
      <c r="T56" s="58"/>
      <c r="U56" s="58"/>
      <c r="V56" s="58"/>
      <c r="W56" s="58"/>
      <c r="X56" s="58"/>
      <c r="Y56" s="58"/>
      <c r="Z56" s="58"/>
      <c r="AA56" s="58"/>
      <c r="AB56" s="58"/>
      <c r="AC56" s="58"/>
      <c r="AD56" s="58"/>
      <c r="AE56" s="58"/>
      <c r="AF56" s="59" t="e">
        <f>(R56/M56)^(1/5)-1</f>
        <v>#REF!</v>
      </c>
      <c r="AG56" s="2"/>
      <c r="AH56" s="58" t="e">
        <f t="shared" ref="AH56:BB56" si="68">AH53+AH45</f>
        <v>#REF!</v>
      </c>
      <c r="AI56" s="58" t="e">
        <f t="shared" si="68"/>
        <v>#REF!</v>
      </c>
      <c r="AJ56" s="58" t="e">
        <f t="shared" si="68"/>
        <v>#REF!</v>
      </c>
      <c r="AK56" s="58" t="e">
        <f t="shared" si="68"/>
        <v>#REF!</v>
      </c>
      <c r="AL56" s="58" t="e">
        <f t="shared" si="68"/>
        <v>#REF!</v>
      </c>
      <c r="AM56" s="58" t="e">
        <f t="shared" si="68"/>
        <v>#REF!</v>
      </c>
      <c r="AN56" s="58" t="e">
        <f t="shared" si="68"/>
        <v>#REF!</v>
      </c>
      <c r="AO56" s="58" t="e">
        <f t="shared" si="68"/>
        <v>#REF!</v>
      </c>
      <c r="AP56" s="58" t="e">
        <f t="shared" si="68"/>
        <v>#REF!</v>
      </c>
      <c r="AQ56" s="58" t="e">
        <f t="shared" si="68"/>
        <v>#REF!</v>
      </c>
      <c r="AR56" s="58" t="e">
        <f t="shared" si="68"/>
        <v>#REF!</v>
      </c>
      <c r="AS56" s="58" t="e">
        <f t="shared" si="68"/>
        <v>#REF!</v>
      </c>
      <c r="AT56" s="58" t="e">
        <f t="shared" si="68"/>
        <v>#REF!</v>
      </c>
      <c r="AU56" s="58" t="e">
        <f t="shared" si="68"/>
        <v>#REF!</v>
      </c>
      <c r="AV56" s="58" t="e">
        <f t="shared" si="68"/>
        <v>#REF!</v>
      </c>
      <c r="AW56" s="58" t="e">
        <f t="shared" si="68"/>
        <v>#REF!</v>
      </c>
      <c r="AX56" s="58" t="e">
        <f t="shared" si="68"/>
        <v>#REF!</v>
      </c>
      <c r="AY56" s="58" t="e">
        <f t="shared" si="68"/>
        <v>#REF!</v>
      </c>
      <c r="AZ56" s="58" t="e">
        <f t="shared" si="68"/>
        <v>#REF!</v>
      </c>
      <c r="BA56" s="58" t="e">
        <f t="shared" si="68"/>
        <v>#REF!</v>
      </c>
      <c r="BB56" s="58" t="e">
        <f t="shared" si="68"/>
        <v>#REF!</v>
      </c>
      <c r="BC56" s="58" t="e">
        <f t="shared" ref="BC56:BU56" si="69">BC29-BC42</f>
        <v>#REF!</v>
      </c>
      <c r="BD56" s="58" t="e">
        <f t="shared" si="69"/>
        <v>#REF!</v>
      </c>
      <c r="BE56" s="58" t="e">
        <f t="shared" si="69"/>
        <v>#REF!</v>
      </c>
      <c r="BF56" s="60" t="e">
        <f t="shared" si="69"/>
        <v>#REF!</v>
      </c>
      <c r="BG56" s="58" t="e">
        <f t="shared" si="69"/>
        <v>#REF!</v>
      </c>
      <c r="BH56" s="58" t="e">
        <f t="shared" si="69"/>
        <v>#REF!</v>
      </c>
      <c r="BI56" s="58" t="e">
        <f t="shared" si="69"/>
        <v>#REF!</v>
      </c>
      <c r="BJ56" s="60" t="e">
        <f t="shared" si="69"/>
        <v>#REF!</v>
      </c>
      <c r="BK56" s="58" t="e">
        <f t="shared" si="69"/>
        <v>#REF!</v>
      </c>
      <c r="BL56" s="58" t="e">
        <f t="shared" si="69"/>
        <v>#REF!</v>
      </c>
      <c r="BM56" s="58" t="e">
        <f t="shared" si="69"/>
        <v>#REF!</v>
      </c>
      <c r="BN56" s="60" t="e">
        <f t="shared" si="69"/>
        <v>#REF!</v>
      </c>
      <c r="BO56" s="58" t="e">
        <f t="shared" si="69"/>
        <v>#REF!</v>
      </c>
      <c r="BP56" s="58" t="e">
        <f t="shared" si="69"/>
        <v>#REF!</v>
      </c>
      <c r="BQ56" s="58" t="e">
        <f t="shared" si="69"/>
        <v>#REF!</v>
      </c>
      <c r="BR56" s="61" t="e">
        <f t="shared" si="69"/>
        <v>#REF!</v>
      </c>
      <c r="BS56" s="62" t="e">
        <f t="shared" si="69"/>
        <v>#REF!</v>
      </c>
      <c r="BT56" s="62" t="e">
        <f t="shared" si="69"/>
        <v>#REF!</v>
      </c>
      <c r="BU56" s="62" t="e">
        <f t="shared" si="69"/>
        <v>#REF!</v>
      </c>
      <c r="BV56" s="58" t="e">
        <f>I56-SUM(AX56:BA56)</f>
        <v>#REF!</v>
      </c>
      <c r="BW56" s="2" t="e">
        <f>M56-SUM(BN56:BQ56)</f>
        <v>#REF!</v>
      </c>
      <c r="BX56" s="58" t="e">
        <f>K56-SUM(BF56:BI56)</f>
        <v>#REF!</v>
      </c>
      <c r="BY56" s="2" t="e">
        <f>L56-SUM(BJ56:BM56)</f>
        <v>#REF!</v>
      </c>
      <c r="BZ56" s="2" t="e">
        <f>N56-SUM(BR56:BU56)</f>
        <v>#REF!</v>
      </c>
      <c r="CA56" s="1"/>
      <c r="CB56" s="1"/>
      <c r="CC56" s="1"/>
      <c r="CD56" s="1"/>
      <c r="CE56" s="1"/>
      <c r="CF56" s="1"/>
      <c r="CG56" s="1"/>
      <c r="CH56" s="1"/>
      <c r="CI56" s="1"/>
      <c r="CJ56" s="1"/>
      <c r="CK56" s="1"/>
      <c r="CL56" s="1"/>
      <c r="CM56" s="1"/>
      <c r="CN56" s="1"/>
      <c r="CO56" s="1"/>
      <c r="CP56" s="1"/>
    </row>
    <row r="57" spans="1:94">
      <c r="A57" s="68" t="s">
        <v>952</v>
      </c>
      <c r="B57" s="6"/>
      <c r="C57" s="6"/>
      <c r="D57" s="6"/>
      <c r="E57" s="6"/>
      <c r="F57" s="6" t="e">
        <f t="shared" ref="F57:R57" si="70">F56/E56-1</f>
        <v>#REF!</v>
      </c>
      <c r="G57" s="6" t="e">
        <f t="shared" si="70"/>
        <v>#REF!</v>
      </c>
      <c r="H57" s="6" t="e">
        <f t="shared" si="70"/>
        <v>#REF!</v>
      </c>
      <c r="I57" s="6" t="e">
        <f t="shared" si="70"/>
        <v>#REF!</v>
      </c>
      <c r="J57" s="6" t="e">
        <f t="shared" si="70"/>
        <v>#REF!</v>
      </c>
      <c r="K57" s="6" t="e">
        <f t="shared" si="70"/>
        <v>#REF!</v>
      </c>
      <c r="L57" s="6" t="e">
        <f t="shared" si="70"/>
        <v>#REF!</v>
      </c>
      <c r="M57" s="6" t="e">
        <f t="shared" si="70"/>
        <v>#REF!</v>
      </c>
      <c r="N57" s="28" t="e">
        <f t="shared" si="70"/>
        <v>#REF!</v>
      </c>
      <c r="O57" s="28" t="e">
        <f t="shared" si="70"/>
        <v>#REF!</v>
      </c>
      <c r="P57" s="28" t="e">
        <f t="shared" si="70"/>
        <v>#REF!</v>
      </c>
      <c r="Q57" s="28" t="e">
        <f t="shared" si="70"/>
        <v>#REF!</v>
      </c>
      <c r="R57" s="28" t="e">
        <f t="shared" si="70"/>
        <v>#REF!</v>
      </c>
      <c r="S57" s="6"/>
      <c r="T57" s="6"/>
      <c r="U57" s="6"/>
      <c r="V57" s="6"/>
      <c r="W57" s="6"/>
      <c r="X57" s="6"/>
      <c r="Y57" s="6"/>
      <c r="Z57" s="6"/>
      <c r="AA57" s="6"/>
      <c r="AB57" s="6"/>
      <c r="AC57" s="6"/>
      <c r="AD57" s="6"/>
      <c r="AE57" s="6"/>
      <c r="AF57" s="47"/>
      <c r="AG57" s="2"/>
      <c r="AH57" s="6"/>
      <c r="AI57" s="6"/>
      <c r="AJ57" s="6"/>
      <c r="AK57" s="6"/>
      <c r="AL57" s="6" t="e">
        <f t="shared" ref="AL57:BU57" si="71">AL56/AH56-1</f>
        <v>#REF!</v>
      </c>
      <c r="AM57" s="6" t="e">
        <f t="shared" si="71"/>
        <v>#REF!</v>
      </c>
      <c r="AN57" s="6" t="e">
        <f t="shared" si="71"/>
        <v>#REF!</v>
      </c>
      <c r="AO57" s="6" t="e">
        <f t="shared" si="71"/>
        <v>#REF!</v>
      </c>
      <c r="AP57" s="6" t="e">
        <f t="shared" si="71"/>
        <v>#REF!</v>
      </c>
      <c r="AQ57" s="6" t="e">
        <f t="shared" si="71"/>
        <v>#REF!</v>
      </c>
      <c r="AR57" s="6" t="e">
        <f t="shared" si="71"/>
        <v>#REF!</v>
      </c>
      <c r="AS57" s="6" t="e">
        <f t="shared" si="71"/>
        <v>#REF!</v>
      </c>
      <c r="AT57" s="6" t="e">
        <f t="shared" si="71"/>
        <v>#REF!</v>
      </c>
      <c r="AU57" s="6" t="e">
        <f t="shared" si="71"/>
        <v>#REF!</v>
      </c>
      <c r="AV57" s="6" t="e">
        <f t="shared" si="71"/>
        <v>#REF!</v>
      </c>
      <c r="AW57" s="6" t="e">
        <f t="shared" si="71"/>
        <v>#REF!</v>
      </c>
      <c r="AX57" s="6" t="e">
        <f t="shared" si="71"/>
        <v>#REF!</v>
      </c>
      <c r="AY57" s="6" t="e">
        <f t="shared" si="71"/>
        <v>#REF!</v>
      </c>
      <c r="AZ57" s="6" t="e">
        <f t="shared" si="71"/>
        <v>#REF!</v>
      </c>
      <c r="BA57" s="6" t="e">
        <f t="shared" si="71"/>
        <v>#REF!</v>
      </c>
      <c r="BB57" s="6" t="e">
        <f t="shared" si="71"/>
        <v>#REF!</v>
      </c>
      <c r="BC57" s="6" t="e">
        <f t="shared" si="71"/>
        <v>#REF!</v>
      </c>
      <c r="BD57" s="6" t="e">
        <f t="shared" si="71"/>
        <v>#REF!</v>
      </c>
      <c r="BE57" s="6" t="e">
        <f t="shared" si="71"/>
        <v>#REF!</v>
      </c>
      <c r="BF57" s="63" t="e">
        <f t="shared" si="71"/>
        <v>#REF!</v>
      </c>
      <c r="BG57" s="6" t="e">
        <f t="shared" si="71"/>
        <v>#REF!</v>
      </c>
      <c r="BH57" s="6" t="e">
        <f t="shared" si="71"/>
        <v>#REF!</v>
      </c>
      <c r="BI57" s="6" t="e">
        <f t="shared" si="71"/>
        <v>#REF!</v>
      </c>
      <c r="BJ57" s="63" t="e">
        <f t="shared" si="71"/>
        <v>#REF!</v>
      </c>
      <c r="BK57" s="6" t="e">
        <f t="shared" si="71"/>
        <v>#REF!</v>
      </c>
      <c r="BL57" s="6" t="e">
        <f t="shared" si="71"/>
        <v>#REF!</v>
      </c>
      <c r="BM57" s="6" t="e">
        <f t="shared" si="71"/>
        <v>#REF!</v>
      </c>
      <c r="BN57" s="63" t="e">
        <f t="shared" si="71"/>
        <v>#REF!</v>
      </c>
      <c r="BO57" s="6" t="e">
        <f t="shared" si="71"/>
        <v>#REF!</v>
      </c>
      <c r="BP57" s="6" t="e">
        <f t="shared" si="71"/>
        <v>#REF!</v>
      </c>
      <c r="BQ57" s="6" t="e">
        <f t="shared" si="71"/>
        <v>#REF!</v>
      </c>
      <c r="BR57" s="64" t="e">
        <f t="shared" si="71"/>
        <v>#REF!</v>
      </c>
      <c r="BS57" s="28" t="e">
        <f t="shared" si="71"/>
        <v>#REF!</v>
      </c>
      <c r="BT57" s="28" t="e">
        <f t="shared" si="71"/>
        <v>#REF!</v>
      </c>
      <c r="BU57" s="28" t="e">
        <f t="shared" si="71"/>
        <v>#REF!</v>
      </c>
      <c r="BV57" s="6"/>
      <c r="BW57" s="6"/>
      <c r="BX57" s="6"/>
      <c r="BY57" s="6"/>
      <c r="BZ57" s="6"/>
      <c r="CA57" s="6"/>
      <c r="CB57" s="6"/>
      <c r="CC57" s="6"/>
      <c r="CD57" s="6"/>
      <c r="CE57" s="6"/>
      <c r="CF57" s="6"/>
      <c r="CG57" s="6"/>
      <c r="CH57" s="6"/>
      <c r="CI57" s="6"/>
      <c r="CJ57" s="6"/>
      <c r="CK57" s="6"/>
      <c r="CL57" s="6"/>
      <c r="CM57" s="6"/>
      <c r="CN57" s="6"/>
      <c r="CO57" s="6"/>
      <c r="CP57" s="6"/>
    </row>
    <row r="58" spans="1:94">
      <c r="A58" s="68" t="s">
        <v>970</v>
      </c>
      <c r="B58" s="6"/>
      <c r="C58" s="6"/>
      <c r="D58" s="6"/>
      <c r="E58" s="6" t="e">
        <f t="shared" ref="E58:R58" si="72">E56/E$29</f>
        <v>#REF!</v>
      </c>
      <c r="F58" s="6" t="e">
        <f t="shared" si="72"/>
        <v>#REF!</v>
      </c>
      <c r="G58" s="6" t="e">
        <f t="shared" si="72"/>
        <v>#REF!</v>
      </c>
      <c r="H58" s="6" t="e">
        <f t="shared" si="72"/>
        <v>#REF!</v>
      </c>
      <c r="I58" s="6" t="e">
        <f t="shared" si="72"/>
        <v>#REF!</v>
      </c>
      <c r="J58" s="6" t="e">
        <f t="shared" si="72"/>
        <v>#REF!</v>
      </c>
      <c r="K58" s="6" t="e">
        <f t="shared" si="72"/>
        <v>#REF!</v>
      </c>
      <c r="L58" s="6" t="e">
        <f t="shared" si="72"/>
        <v>#REF!</v>
      </c>
      <c r="M58" s="6" t="e">
        <f t="shared" si="72"/>
        <v>#REF!</v>
      </c>
      <c r="N58" s="28" t="e">
        <f t="shared" si="72"/>
        <v>#REF!</v>
      </c>
      <c r="O58" s="28" t="e">
        <f t="shared" si="72"/>
        <v>#REF!</v>
      </c>
      <c r="P58" s="28" t="e">
        <f t="shared" si="72"/>
        <v>#REF!</v>
      </c>
      <c r="Q58" s="28" t="e">
        <f t="shared" si="72"/>
        <v>#REF!</v>
      </c>
      <c r="R58" s="28" t="e">
        <f t="shared" si="72"/>
        <v>#REF!</v>
      </c>
      <c r="S58" s="6"/>
      <c r="T58" s="6"/>
      <c r="U58" s="6"/>
      <c r="V58" s="6"/>
      <c r="W58" s="6"/>
      <c r="X58" s="6"/>
      <c r="Y58" s="6"/>
      <c r="Z58" s="6"/>
      <c r="AA58" s="6"/>
      <c r="AB58" s="6"/>
      <c r="AC58" s="6"/>
      <c r="AD58" s="6"/>
      <c r="AE58" s="6"/>
      <c r="AF58" s="47"/>
      <c r="AG58" s="2"/>
      <c r="AH58" s="6" t="e">
        <f t="shared" ref="AH58:BU58" si="73">AH56/AH$29</f>
        <v>#REF!</v>
      </c>
      <c r="AI58" s="6" t="e">
        <f t="shared" si="73"/>
        <v>#REF!</v>
      </c>
      <c r="AJ58" s="6" t="e">
        <f t="shared" si="73"/>
        <v>#REF!</v>
      </c>
      <c r="AK58" s="6" t="e">
        <f t="shared" si="73"/>
        <v>#REF!</v>
      </c>
      <c r="AL58" s="6" t="e">
        <f t="shared" si="73"/>
        <v>#REF!</v>
      </c>
      <c r="AM58" s="6" t="e">
        <f t="shared" si="73"/>
        <v>#REF!</v>
      </c>
      <c r="AN58" s="6" t="e">
        <f t="shared" si="73"/>
        <v>#REF!</v>
      </c>
      <c r="AO58" s="6" t="e">
        <f t="shared" si="73"/>
        <v>#REF!</v>
      </c>
      <c r="AP58" s="6" t="e">
        <f t="shared" si="73"/>
        <v>#REF!</v>
      </c>
      <c r="AQ58" s="6" t="e">
        <f t="shared" si="73"/>
        <v>#REF!</v>
      </c>
      <c r="AR58" s="6" t="e">
        <f t="shared" si="73"/>
        <v>#REF!</v>
      </c>
      <c r="AS58" s="6" t="e">
        <f t="shared" si="73"/>
        <v>#REF!</v>
      </c>
      <c r="AT58" s="6" t="e">
        <f t="shared" si="73"/>
        <v>#REF!</v>
      </c>
      <c r="AU58" s="6" t="e">
        <f t="shared" si="73"/>
        <v>#REF!</v>
      </c>
      <c r="AV58" s="6" t="e">
        <f t="shared" si="73"/>
        <v>#REF!</v>
      </c>
      <c r="AW58" s="6" t="e">
        <f t="shared" si="73"/>
        <v>#REF!</v>
      </c>
      <c r="AX58" s="6" t="e">
        <f t="shared" si="73"/>
        <v>#REF!</v>
      </c>
      <c r="AY58" s="6" t="e">
        <f t="shared" si="73"/>
        <v>#REF!</v>
      </c>
      <c r="AZ58" s="6" t="e">
        <f t="shared" si="73"/>
        <v>#REF!</v>
      </c>
      <c r="BA58" s="6" t="e">
        <f t="shared" si="73"/>
        <v>#REF!</v>
      </c>
      <c r="BB58" s="6" t="e">
        <f t="shared" si="73"/>
        <v>#REF!</v>
      </c>
      <c r="BC58" s="6" t="e">
        <f t="shared" si="73"/>
        <v>#REF!</v>
      </c>
      <c r="BD58" s="6" t="e">
        <f t="shared" si="73"/>
        <v>#REF!</v>
      </c>
      <c r="BE58" s="6" t="e">
        <f t="shared" si="73"/>
        <v>#REF!</v>
      </c>
      <c r="BF58" s="63" t="e">
        <f t="shared" si="73"/>
        <v>#REF!</v>
      </c>
      <c r="BG58" s="6" t="e">
        <f t="shared" si="73"/>
        <v>#REF!</v>
      </c>
      <c r="BH58" s="6" t="e">
        <f t="shared" si="73"/>
        <v>#REF!</v>
      </c>
      <c r="BI58" s="6" t="e">
        <f t="shared" si="73"/>
        <v>#REF!</v>
      </c>
      <c r="BJ58" s="63" t="e">
        <f t="shared" si="73"/>
        <v>#REF!</v>
      </c>
      <c r="BK58" s="6" t="e">
        <f t="shared" si="73"/>
        <v>#REF!</v>
      </c>
      <c r="BL58" s="6" t="e">
        <f t="shared" si="73"/>
        <v>#REF!</v>
      </c>
      <c r="BM58" s="6" t="e">
        <f t="shared" si="73"/>
        <v>#REF!</v>
      </c>
      <c r="BN58" s="63" t="e">
        <f t="shared" si="73"/>
        <v>#REF!</v>
      </c>
      <c r="BO58" s="6" t="e">
        <f t="shared" si="73"/>
        <v>#REF!</v>
      </c>
      <c r="BP58" s="6" t="e">
        <f t="shared" si="73"/>
        <v>#REF!</v>
      </c>
      <c r="BQ58" s="6" t="e">
        <f t="shared" si="73"/>
        <v>#REF!</v>
      </c>
      <c r="BR58" s="64" t="e">
        <f t="shared" si="73"/>
        <v>#REF!</v>
      </c>
      <c r="BS58" s="28" t="e">
        <f t="shared" si="73"/>
        <v>#REF!</v>
      </c>
      <c r="BT58" s="28" t="e">
        <f t="shared" si="73"/>
        <v>#REF!</v>
      </c>
      <c r="BU58" s="28" t="e">
        <f t="shared" si="73"/>
        <v>#REF!</v>
      </c>
      <c r="BV58" s="6"/>
      <c r="BW58" s="6"/>
      <c r="BX58" s="6"/>
      <c r="BY58" s="6"/>
      <c r="BZ58" s="6"/>
      <c r="CA58" s="6"/>
      <c r="CB58" s="6"/>
      <c r="CC58" s="6"/>
      <c r="CD58" s="6"/>
      <c r="CE58" s="6"/>
      <c r="CF58" s="6"/>
      <c r="CG58" s="6"/>
      <c r="CH58" s="6"/>
      <c r="CI58" s="6"/>
      <c r="CJ58" s="6"/>
      <c r="CK58" s="6"/>
      <c r="CL58" s="6"/>
      <c r="CM58" s="6"/>
      <c r="CN58" s="6"/>
      <c r="CO58" s="6"/>
      <c r="CP58" s="6"/>
    </row>
    <row r="59" spans="1:94">
      <c r="A59" s="68"/>
      <c r="B59" s="6"/>
      <c r="C59" s="6"/>
      <c r="D59" s="6"/>
      <c r="E59" s="6"/>
      <c r="F59" s="6"/>
      <c r="G59" s="6"/>
      <c r="H59" s="6"/>
      <c r="I59" s="6"/>
      <c r="J59" s="6"/>
      <c r="K59" s="6"/>
      <c r="L59" s="75"/>
      <c r="M59" s="75"/>
      <c r="N59" s="28"/>
      <c r="O59" s="28"/>
      <c r="P59" s="28"/>
      <c r="Q59" s="28"/>
      <c r="R59" s="28"/>
      <c r="S59" s="6"/>
      <c r="T59" s="6"/>
      <c r="U59" s="6"/>
      <c r="V59" s="6"/>
      <c r="W59" s="6"/>
      <c r="X59" s="6"/>
      <c r="Y59" s="6"/>
      <c r="Z59" s="6"/>
      <c r="AA59" s="6"/>
      <c r="AB59" s="6"/>
      <c r="AC59" s="6"/>
      <c r="AD59" s="6"/>
      <c r="AE59" s="6"/>
      <c r="AF59" s="47"/>
      <c r="AG59" s="2"/>
      <c r="AH59" s="6"/>
      <c r="AI59" s="6"/>
      <c r="AJ59" s="6"/>
      <c r="AK59" s="6"/>
      <c r="AL59" s="6"/>
      <c r="AM59" s="6"/>
      <c r="AN59" s="6"/>
      <c r="AO59" s="6"/>
      <c r="AP59" s="6"/>
      <c r="AQ59" s="6"/>
      <c r="AR59" s="6"/>
      <c r="AS59" s="6"/>
      <c r="AT59" s="6"/>
      <c r="AU59" s="6"/>
      <c r="AV59" s="6"/>
      <c r="AW59" s="6"/>
      <c r="AX59" s="6"/>
      <c r="AY59" s="6"/>
      <c r="AZ59" s="6"/>
      <c r="BA59" s="6"/>
      <c r="BB59" s="6"/>
      <c r="BC59" s="6"/>
      <c r="BD59" s="6"/>
      <c r="BE59" s="6"/>
      <c r="BF59" s="63"/>
      <c r="BG59" s="6"/>
      <c r="BH59" s="6"/>
      <c r="BI59" s="58"/>
      <c r="BJ59" s="60"/>
      <c r="BK59" s="6"/>
      <c r="BL59" s="6"/>
      <c r="BM59" s="6"/>
      <c r="BN59" s="63"/>
      <c r="BO59" s="6"/>
      <c r="BP59" s="6"/>
      <c r="BQ59" s="6"/>
      <c r="BR59" s="64"/>
      <c r="BS59" s="28"/>
      <c r="BT59" s="28"/>
      <c r="BU59" s="28"/>
      <c r="BV59" s="6"/>
      <c r="BW59" s="6"/>
      <c r="BX59" s="6"/>
      <c r="BY59" s="6"/>
      <c r="BZ59" s="6"/>
      <c r="CA59" s="6"/>
      <c r="CB59" s="6"/>
      <c r="CC59" s="6"/>
      <c r="CD59" s="6"/>
      <c r="CE59" s="6"/>
      <c r="CF59" s="6"/>
      <c r="CG59" s="6"/>
      <c r="CH59" s="6"/>
      <c r="CI59" s="6"/>
      <c r="CJ59" s="6"/>
      <c r="CK59" s="6"/>
      <c r="CL59" s="6"/>
      <c r="CM59" s="6"/>
      <c r="CN59" s="6"/>
      <c r="CO59" s="6"/>
      <c r="CP59" s="6"/>
    </row>
    <row r="60" spans="1:94">
      <c r="A60" s="1" t="s">
        <v>972</v>
      </c>
      <c r="B60" s="2"/>
      <c r="C60" s="2"/>
      <c r="D60" s="2"/>
      <c r="E60" s="56"/>
      <c r="F60" s="56"/>
      <c r="G60" s="56"/>
      <c r="H60" s="2"/>
      <c r="I60" s="2"/>
      <c r="J60" s="2">
        <f>SUM(BB60:BE60)</f>
        <v>382</v>
      </c>
      <c r="K60" s="2" t="e">
        <f>SUM(BF60:BI60)</f>
        <v>#REF!</v>
      </c>
      <c r="L60" s="56" t="e">
        <f>SUM(BJ60:BM60)</f>
        <v>#REF!</v>
      </c>
      <c r="M60" s="2" t="e">
        <f>SUM(BN59:BQ60)</f>
        <v>#REF!</v>
      </c>
      <c r="N60" s="4"/>
      <c r="O60" s="4"/>
      <c r="P60" s="4"/>
      <c r="Q60" s="4"/>
      <c r="R60" s="4"/>
      <c r="S60" s="56"/>
      <c r="T60" s="56"/>
      <c r="U60" s="56"/>
      <c r="V60" s="56"/>
      <c r="W60" s="56"/>
      <c r="X60" s="56"/>
      <c r="Y60" s="56"/>
      <c r="Z60" s="56"/>
      <c r="AA60" s="56"/>
      <c r="AB60" s="56"/>
      <c r="AC60" s="56"/>
      <c r="AD60" s="56"/>
      <c r="AE60" s="56"/>
      <c r="AF60" s="59"/>
      <c r="AG60" s="2"/>
      <c r="AH60" s="56"/>
      <c r="AI60" s="56"/>
      <c r="AJ60" s="56"/>
      <c r="AK60" s="56"/>
      <c r="AL60" s="56"/>
      <c r="AM60" s="56"/>
      <c r="AN60" s="56"/>
      <c r="AO60" s="56"/>
      <c r="AP60" s="56"/>
      <c r="AQ60" s="56"/>
      <c r="AR60" s="56"/>
      <c r="AS60" s="56"/>
      <c r="AT60" s="56"/>
      <c r="AU60" s="56"/>
      <c r="AV60" s="56"/>
      <c r="AW60" s="2"/>
      <c r="AX60" s="2"/>
      <c r="AY60" s="2"/>
      <c r="AZ60" s="2"/>
      <c r="BA60" s="2"/>
      <c r="BB60" s="2">
        <v>162</v>
      </c>
      <c r="BC60" s="2">
        <v>165</v>
      </c>
      <c r="BD60" s="56">
        <v>55</v>
      </c>
      <c r="BE60" s="56"/>
      <c r="BF60" s="48" t="e">
        <v>#REF!</v>
      </c>
      <c r="BG60" s="2" t="e">
        <v>#REF!</v>
      </c>
      <c r="BH60" s="2" t="e">
        <v>#REF!</v>
      </c>
      <c r="BI60" s="2" t="e">
        <v>#REF!</v>
      </c>
      <c r="BJ60" s="48" t="e">
        <v>#REF!</v>
      </c>
      <c r="BK60" s="2" t="e">
        <v>#REF!</v>
      </c>
      <c r="BL60" s="2" t="e">
        <v>#REF!</v>
      </c>
      <c r="BM60" s="2" t="e">
        <v>#REF!</v>
      </c>
      <c r="BN60" s="48" t="e">
        <v>#REF!</v>
      </c>
      <c r="BO60" s="2" t="e">
        <v>#REF!</v>
      </c>
      <c r="BP60" s="2" t="e">
        <v>#REF!</v>
      </c>
      <c r="BQ60" s="2" t="e">
        <v>#REF!</v>
      </c>
      <c r="BR60" s="74"/>
      <c r="BS60" s="4"/>
      <c r="BT60" s="4"/>
      <c r="BU60" s="4"/>
      <c r="BV60" s="2"/>
      <c r="BW60" s="2"/>
      <c r="BX60" s="58" t="e">
        <f>K60-SUM(BF60:BI60)</f>
        <v>#REF!</v>
      </c>
      <c r="BY60" s="2" t="e">
        <f>L60-SUM(BJ60:BM60)</f>
        <v>#REF!</v>
      </c>
      <c r="BZ60" s="2">
        <f>N60-SUM(BR60:BU60)</f>
        <v>0</v>
      </c>
      <c r="CA60" s="2"/>
      <c r="CB60" s="2"/>
      <c r="CC60" s="2"/>
      <c r="CD60" s="2"/>
      <c r="CE60" s="2"/>
      <c r="CF60" s="2"/>
      <c r="CG60" s="2"/>
      <c r="CH60" s="2"/>
      <c r="CI60" s="2"/>
      <c r="CJ60" s="2"/>
      <c r="CK60" s="2"/>
      <c r="CL60" s="2"/>
      <c r="CM60" s="2"/>
      <c r="CN60" s="2"/>
      <c r="CO60" s="2"/>
      <c r="CP60" s="2"/>
    </row>
    <row r="61" spans="1:94">
      <c r="A61" s="1"/>
      <c r="B61" s="1"/>
      <c r="C61" s="1"/>
      <c r="D61" s="1"/>
      <c r="E61" s="58"/>
      <c r="F61" s="58"/>
      <c r="G61" s="58"/>
      <c r="H61" s="58"/>
      <c r="I61" s="1"/>
      <c r="J61" s="1"/>
      <c r="K61" s="1"/>
      <c r="L61" s="1"/>
      <c r="M61" s="1"/>
      <c r="N61" s="16"/>
      <c r="O61" s="16"/>
      <c r="P61" s="16"/>
      <c r="Q61" s="16"/>
      <c r="R61" s="16"/>
      <c r="S61" s="58"/>
      <c r="T61" s="58"/>
      <c r="U61" s="58"/>
      <c r="V61" s="58"/>
      <c r="W61" s="58"/>
      <c r="X61" s="58"/>
      <c r="Y61" s="58"/>
      <c r="Z61" s="58"/>
      <c r="AA61" s="58"/>
      <c r="AB61" s="58"/>
      <c r="AC61" s="58"/>
      <c r="AD61" s="58"/>
      <c r="AE61" s="58"/>
      <c r="AF61" s="76"/>
      <c r="AG61" s="2"/>
      <c r="AH61" s="58"/>
      <c r="AI61" s="58"/>
      <c r="AJ61" s="58"/>
      <c r="AK61" s="58"/>
      <c r="AL61" s="58"/>
      <c r="AM61" s="58"/>
      <c r="AN61" s="58"/>
      <c r="AO61" s="58"/>
      <c r="AP61" s="58"/>
      <c r="AQ61" s="58"/>
      <c r="AR61" s="58"/>
      <c r="AS61" s="58"/>
      <c r="AT61" s="1"/>
      <c r="AU61" s="1"/>
      <c r="AV61" s="1"/>
      <c r="AW61" s="1"/>
      <c r="AX61" s="1"/>
      <c r="AY61" s="1"/>
      <c r="AZ61" s="77"/>
      <c r="BA61" s="77"/>
      <c r="BB61" s="2"/>
      <c r="BC61" s="2"/>
      <c r="BD61" s="2"/>
      <c r="BE61" s="2"/>
      <c r="BF61" s="48"/>
      <c r="BG61" s="2"/>
      <c r="BH61" s="2"/>
      <c r="BI61" s="2"/>
      <c r="BJ61" s="48"/>
      <c r="BK61" s="2"/>
      <c r="BL61" s="2"/>
      <c r="BM61" s="2"/>
      <c r="BN61" s="48"/>
      <c r="BO61" s="2"/>
      <c r="BP61" s="2"/>
      <c r="BQ61" s="2"/>
      <c r="BR61" s="74"/>
      <c r="BS61" s="4"/>
      <c r="BT61" s="4"/>
      <c r="BU61" s="4"/>
      <c r="BV61" s="1"/>
      <c r="BW61" s="1"/>
      <c r="BX61" s="1"/>
      <c r="BY61" s="1"/>
      <c r="BZ61" s="1"/>
      <c r="CA61" s="1"/>
      <c r="CB61" s="1"/>
      <c r="CC61" s="1"/>
      <c r="CD61" s="1"/>
      <c r="CE61" s="1"/>
      <c r="CF61" s="1"/>
      <c r="CG61" s="1"/>
      <c r="CH61" s="1"/>
      <c r="CI61" s="1"/>
      <c r="CJ61" s="1"/>
      <c r="CK61" s="1"/>
      <c r="CL61" s="1"/>
      <c r="CM61" s="1"/>
      <c r="CN61" s="1"/>
      <c r="CO61" s="1"/>
      <c r="CP61" s="1"/>
    </row>
    <row r="62" spans="1:94">
      <c r="A62" s="1" t="s">
        <v>973</v>
      </c>
      <c r="B62" s="2"/>
      <c r="C62" s="2"/>
      <c r="D62" s="2"/>
      <c r="E62" s="56" t="e">
        <v>#REF!</v>
      </c>
      <c r="F62" s="56" t="e">
        <v>#REF!</v>
      </c>
      <c r="G62" s="56" t="e">
        <f>SUM(AP62:AS62)</f>
        <v>#REF!</v>
      </c>
      <c r="H62" s="2" t="e">
        <f>SUM(AT62:AW62)</f>
        <v>#REF!</v>
      </c>
      <c r="I62" s="2" t="e">
        <f>SUM(AX62:BA62)</f>
        <v>#REF!</v>
      </c>
      <c r="J62" s="2" t="e">
        <f>SUM(BB62:BE62)</f>
        <v>#REF!</v>
      </c>
      <c r="K62" s="2" t="e">
        <f>SUM(BF62:BI62)</f>
        <v>#REF!</v>
      </c>
      <c r="L62" s="2" t="e">
        <f>SUM(BJ62:BM62)</f>
        <v>#REF!</v>
      </c>
      <c r="M62" s="2" t="e">
        <f>SUM(BN62:BQ62)</f>
        <v>#REF!</v>
      </c>
      <c r="N62" s="4">
        <f>SUM(BR62:BU62)</f>
        <v>830</v>
      </c>
      <c r="O62" s="4" t="e">
        <f>N62*(1+O63)</f>
        <v>#REF!</v>
      </c>
      <c r="P62" s="4" t="e">
        <f>O62*(1+P63)</f>
        <v>#REF!</v>
      </c>
      <c r="Q62" s="4" t="e">
        <f>P62*(1+Q63)</f>
        <v>#REF!</v>
      </c>
      <c r="R62" s="4" t="e">
        <f>Q62*(1+R63)</f>
        <v>#REF!</v>
      </c>
      <c r="S62" s="56"/>
      <c r="T62" s="56"/>
      <c r="U62" s="56"/>
      <c r="V62" s="56"/>
      <c r="W62" s="56"/>
      <c r="X62" s="56"/>
      <c r="Y62" s="56"/>
      <c r="Z62" s="56"/>
      <c r="AA62" s="56"/>
      <c r="AB62" s="56"/>
      <c r="AC62" s="56"/>
      <c r="AD62" s="56"/>
      <c r="AE62" s="56"/>
      <c r="AF62" s="59" t="e">
        <f>(R62/M62)^(1/5)-1</f>
        <v>#REF!</v>
      </c>
      <c r="AG62" s="2"/>
      <c r="AH62" s="56" t="e">
        <v>#REF!</v>
      </c>
      <c r="AI62" s="56" t="e">
        <v>#REF!</v>
      </c>
      <c r="AJ62" s="56" t="e">
        <v>#REF!</v>
      </c>
      <c r="AK62" s="56" t="e">
        <v>#REF!</v>
      </c>
      <c r="AL62" s="56" t="e">
        <v>#REF!</v>
      </c>
      <c r="AM62" s="56" t="e">
        <v>#REF!</v>
      </c>
      <c r="AN62" s="56" t="e">
        <v>#REF!</v>
      </c>
      <c r="AO62" s="56" t="e">
        <v>#REF!</v>
      </c>
      <c r="AP62" s="56" t="e">
        <v>#REF!</v>
      </c>
      <c r="AQ62" s="56" t="e">
        <v>#REF!</v>
      </c>
      <c r="AR62" s="56" t="e">
        <v>#REF!</v>
      </c>
      <c r="AS62" s="56" t="e">
        <v>#REF!</v>
      </c>
      <c r="AT62" s="56" t="e">
        <v>#REF!</v>
      </c>
      <c r="AU62" s="56" t="e">
        <v>#REF!</v>
      </c>
      <c r="AV62" s="56" t="e">
        <v>#REF!</v>
      </c>
      <c r="AW62" s="2" t="e">
        <v>#REF!</v>
      </c>
      <c r="AX62" s="2" t="e">
        <v>#REF!</v>
      </c>
      <c r="AY62" s="2" t="e">
        <v>#REF!</v>
      </c>
      <c r="AZ62" s="2" t="e">
        <v>#REF!</v>
      </c>
      <c r="BA62" s="2" t="e">
        <v>#REF!</v>
      </c>
      <c r="BB62" s="2" t="e">
        <v>#REF!</v>
      </c>
      <c r="BC62" s="2" t="e">
        <v>#REF!</v>
      </c>
      <c r="BD62" s="56" t="e">
        <v>#REF!</v>
      </c>
      <c r="BE62" s="56" t="e">
        <v>#REF!</v>
      </c>
      <c r="BF62" s="69" t="e">
        <v>#REF!</v>
      </c>
      <c r="BG62" s="56" t="e">
        <v>#REF!</v>
      </c>
      <c r="BH62" s="56" t="e">
        <v>#REF!</v>
      </c>
      <c r="BI62" s="2" t="e">
        <v>#REF!</v>
      </c>
      <c r="BJ62" s="48" t="e">
        <v>#REF!</v>
      </c>
      <c r="BK62" s="2" t="e">
        <v>#REF!</v>
      </c>
      <c r="BL62" s="2" t="e">
        <v>#REF!</v>
      </c>
      <c r="BM62" s="2" t="e">
        <v>#REF!</v>
      </c>
      <c r="BN62" s="48" t="e">
        <v>#REF!</v>
      </c>
      <c r="BO62" s="2" t="e">
        <v>#REF!</v>
      </c>
      <c r="BP62" s="2" t="e">
        <v>#REF!</v>
      </c>
      <c r="BQ62" s="2" t="e">
        <v>#REF!</v>
      </c>
      <c r="BR62" s="74">
        <v>212</v>
      </c>
      <c r="BS62" s="4">
        <v>200</v>
      </c>
      <c r="BT62" s="4">
        <v>207</v>
      </c>
      <c r="BU62" s="4">
        <v>211</v>
      </c>
      <c r="BV62" s="58" t="e">
        <f>I62-SUM(AX62:BA62)</f>
        <v>#REF!</v>
      </c>
      <c r="BW62" s="2" t="e">
        <f>M62-SUM(BN62:BQ62)</f>
        <v>#REF!</v>
      </c>
      <c r="BX62" s="58" t="e">
        <f>K62-SUM(BF62:BI62)</f>
        <v>#REF!</v>
      </c>
      <c r="BY62" s="2" t="e">
        <f>L62-SUM(BJ62:BM62)</f>
        <v>#REF!</v>
      </c>
      <c r="BZ62" s="2">
        <f>N62-SUM(BR62:BU62)</f>
        <v>0</v>
      </c>
      <c r="CA62" s="2"/>
      <c r="CB62" s="2"/>
      <c r="CC62" s="2"/>
      <c r="CD62" s="2"/>
      <c r="CE62" s="2"/>
      <c r="CF62" s="2"/>
      <c r="CG62" s="2"/>
      <c r="CH62" s="2"/>
      <c r="CI62" s="2"/>
      <c r="CJ62" s="2"/>
      <c r="CK62" s="2"/>
      <c r="CL62" s="2"/>
      <c r="CM62" s="2"/>
      <c r="CN62" s="2"/>
      <c r="CO62" s="2"/>
      <c r="CP62" s="2"/>
    </row>
    <row r="63" spans="1:94">
      <c r="A63" s="68" t="s">
        <v>952</v>
      </c>
      <c r="B63" s="6"/>
      <c r="C63" s="6"/>
      <c r="D63" s="6"/>
      <c r="E63" s="6"/>
      <c r="F63" s="6" t="e">
        <f t="shared" ref="F63:N63" si="74">F62/E62-1</f>
        <v>#REF!</v>
      </c>
      <c r="G63" s="6" t="e">
        <f t="shared" si="74"/>
        <v>#REF!</v>
      </c>
      <c r="H63" s="6" t="e">
        <f t="shared" si="74"/>
        <v>#REF!</v>
      </c>
      <c r="I63" s="6" t="e">
        <f t="shared" si="74"/>
        <v>#REF!</v>
      </c>
      <c r="J63" s="6" t="e">
        <f t="shared" si="74"/>
        <v>#REF!</v>
      </c>
      <c r="K63" s="6" t="e">
        <f t="shared" si="74"/>
        <v>#REF!</v>
      </c>
      <c r="L63" s="6" t="e">
        <f t="shared" si="74"/>
        <v>#REF!</v>
      </c>
      <c r="M63" s="6" t="e">
        <f t="shared" si="74"/>
        <v>#REF!</v>
      </c>
      <c r="N63" s="28" t="e">
        <f t="shared" si="74"/>
        <v>#REF!</v>
      </c>
      <c r="O63" s="28" t="e">
        <f>N63-0.003</f>
        <v>#REF!</v>
      </c>
      <c r="P63" s="28" t="e">
        <f>O63-0.01</f>
        <v>#REF!</v>
      </c>
      <c r="Q63" s="28" t="e">
        <f>P63</f>
        <v>#REF!</v>
      </c>
      <c r="R63" s="28" t="e">
        <f>Q63</f>
        <v>#REF!</v>
      </c>
      <c r="S63" s="6"/>
      <c r="T63" s="6"/>
      <c r="U63" s="6"/>
      <c r="V63" s="6"/>
      <c r="W63" s="6"/>
      <c r="X63" s="6"/>
      <c r="Y63" s="6"/>
      <c r="Z63" s="6"/>
      <c r="AA63" s="6"/>
      <c r="AB63" s="6"/>
      <c r="AC63" s="6"/>
      <c r="AD63" s="6"/>
      <c r="AE63" s="6"/>
      <c r="AF63" s="47"/>
      <c r="AG63" s="2"/>
      <c r="AH63" s="6"/>
      <c r="AI63" s="6"/>
      <c r="AJ63" s="6"/>
      <c r="AK63" s="6"/>
      <c r="AL63" s="6" t="e">
        <f t="shared" ref="AL63:BU63" si="75">AL62/AH62-1</f>
        <v>#REF!</v>
      </c>
      <c r="AM63" s="6" t="e">
        <f t="shared" si="75"/>
        <v>#REF!</v>
      </c>
      <c r="AN63" s="6" t="e">
        <f t="shared" si="75"/>
        <v>#REF!</v>
      </c>
      <c r="AO63" s="6" t="e">
        <f t="shared" si="75"/>
        <v>#REF!</v>
      </c>
      <c r="AP63" s="6" t="e">
        <f t="shared" si="75"/>
        <v>#REF!</v>
      </c>
      <c r="AQ63" s="6" t="e">
        <f t="shared" si="75"/>
        <v>#REF!</v>
      </c>
      <c r="AR63" s="6" t="e">
        <f t="shared" si="75"/>
        <v>#REF!</v>
      </c>
      <c r="AS63" s="6" t="e">
        <f t="shared" si="75"/>
        <v>#REF!</v>
      </c>
      <c r="AT63" s="6" t="e">
        <f t="shared" si="75"/>
        <v>#REF!</v>
      </c>
      <c r="AU63" s="6" t="e">
        <f t="shared" si="75"/>
        <v>#REF!</v>
      </c>
      <c r="AV63" s="6" t="e">
        <f t="shared" si="75"/>
        <v>#REF!</v>
      </c>
      <c r="AW63" s="6" t="e">
        <f t="shared" si="75"/>
        <v>#REF!</v>
      </c>
      <c r="AX63" s="6" t="e">
        <f t="shared" si="75"/>
        <v>#REF!</v>
      </c>
      <c r="AY63" s="6" t="e">
        <f t="shared" si="75"/>
        <v>#REF!</v>
      </c>
      <c r="AZ63" s="6" t="e">
        <f t="shared" si="75"/>
        <v>#REF!</v>
      </c>
      <c r="BA63" s="6" t="e">
        <f t="shared" si="75"/>
        <v>#REF!</v>
      </c>
      <c r="BB63" s="6" t="e">
        <f t="shared" si="75"/>
        <v>#REF!</v>
      </c>
      <c r="BC63" s="6" t="e">
        <f t="shared" si="75"/>
        <v>#REF!</v>
      </c>
      <c r="BD63" s="6" t="e">
        <f t="shared" si="75"/>
        <v>#REF!</v>
      </c>
      <c r="BE63" s="6" t="e">
        <f t="shared" si="75"/>
        <v>#REF!</v>
      </c>
      <c r="BF63" s="63" t="e">
        <f t="shared" si="75"/>
        <v>#REF!</v>
      </c>
      <c r="BG63" s="6" t="e">
        <f t="shared" si="75"/>
        <v>#REF!</v>
      </c>
      <c r="BH63" s="6" t="e">
        <f t="shared" si="75"/>
        <v>#REF!</v>
      </c>
      <c r="BI63" s="6" t="e">
        <f t="shared" si="75"/>
        <v>#REF!</v>
      </c>
      <c r="BJ63" s="63" t="e">
        <f t="shared" si="75"/>
        <v>#REF!</v>
      </c>
      <c r="BK63" s="6" t="e">
        <f t="shared" si="75"/>
        <v>#REF!</v>
      </c>
      <c r="BL63" s="6" t="e">
        <f t="shared" si="75"/>
        <v>#REF!</v>
      </c>
      <c r="BM63" s="6" t="e">
        <f t="shared" si="75"/>
        <v>#REF!</v>
      </c>
      <c r="BN63" s="63" t="e">
        <f t="shared" si="75"/>
        <v>#REF!</v>
      </c>
      <c r="BO63" s="6" t="e">
        <f t="shared" si="75"/>
        <v>#REF!</v>
      </c>
      <c r="BP63" s="6" t="e">
        <f t="shared" si="75"/>
        <v>#REF!</v>
      </c>
      <c r="BQ63" s="6" t="e">
        <f t="shared" si="75"/>
        <v>#REF!</v>
      </c>
      <c r="BR63" s="64" t="e">
        <f t="shared" si="75"/>
        <v>#REF!</v>
      </c>
      <c r="BS63" s="28" t="e">
        <f t="shared" si="75"/>
        <v>#REF!</v>
      </c>
      <c r="BT63" s="28" t="e">
        <f t="shared" si="75"/>
        <v>#REF!</v>
      </c>
      <c r="BU63" s="28" t="e">
        <f t="shared" si="75"/>
        <v>#REF!</v>
      </c>
      <c r="BV63" s="6"/>
      <c r="BW63" s="6"/>
      <c r="BX63" s="6"/>
      <c r="BY63" s="6"/>
      <c r="BZ63" s="6"/>
      <c r="CA63" s="6"/>
      <c r="CB63" s="6"/>
      <c r="CC63" s="6"/>
      <c r="CD63" s="6"/>
      <c r="CE63" s="6"/>
      <c r="CF63" s="6"/>
      <c r="CG63" s="6"/>
      <c r="CH63" s="6"/>
      <c r="CI63" s="6"/>
      <c r="CJ63" s="6"/>
      <c r="CK63" s="6"/>
      <c r="CL63" s="6"/>
      <c r="CM63" s="6"/>
      <c r="CN63" s="6"/>
      <c r="CO63" s="6"/>
      <c r="CP63" s="6"/>
    </row>
    <row r="64" spans="1:94">
      <c r="A64" s="68" t="s">
        <v>950</v>
      </c>
      <c r="B64" s="6"/>
      <c r="C64" s="6"/>
      <c r="D64" s="6"/>
      <c r="E64" s="6" t="e">
        <f t="shared" ref="E64:R64" si="76">E62/E$29</f>
        <v>#REF!</v>
      </c>
      <c r="F64" s="6" t="e">
        <f t="shared" si="76"/>
        <v>#REF!</v>
      </c>
      <c r="G64" s="6" t="e">
        <f t="shared" si="76"/>
        <v>#REF!</v>
      </c>
      <c r="H64" s="6" t="e">
        <f t="shared" si="76"/>
        <v>#REF!</v>
      </c>
      <c r="I64" s="6" t="e">
        <f t="shared" si="76"/>
        <v>#REF!</v>
      </c>
      <c r="J64" s="6" t="e">
        <f t="shared" si="76"/>
        <v>#REF!</v>
      </c>
      <c r="K64" s="6" t="e">
        <f t="shared" si="76"/>
        <v>#REF!</v>
      </c>
      <c r="L64" s="6" t="e">
        <f t="shared" si="76"/>
        <v>#REF!</v>
      </c>
      <c r="M64" s="6" t="e">
        <f t="shared" si="76"/>
        <v>#REF!</v>
      </c>
      <c r="N64" s="28" t="e">
        <f t="shared" si="76"/>
        <v>#REF!</v>
      </c>
      <c r="O64" s="28" t="e">
        <f t="shared" si="76"/>
        <v>#REF!</v>
      </c>
      <c r="P64" s="28" t="e">
        <f t="shared" si="76"/>
        <v>#REF!</v>
      </c>
      <c r="Q64" s="28" t="e">
        <f t="shared" si="76"/>
        <v>#REF!</v>
      </c>
      <c r="R64" s="28" t="e">
        <f t="shared" si="76"/>
        <v>#REF!</v>
      </c>
      <c r="S64" s="6"/>
      <c r="T64" s="6"/>
      <c r="U64" s="6"/>
      <c r="V64" s="6"/>
      <c r="W64" s="6"/>
      <c r="X64" s="6"/>
      <c r="Y64" s="6"/>
      <c r="Z64" s="6"/>
      <c r="AA64" s="6"/>
      <c r="AB64" s="6"/>
      <c r="AC64" s="6"/>
      <c r="AD64" s="6"/>
      <c r="AE64" s="6"/>
      <c r="AF64" s="47"/>
      <c r="AG64" s="2"/>
      <c r="AH64" s="6" t="e">
        <f t="shared" ref="AH64:BU64" si="77">AH62/AH$29</f>
        <v>#REF!</v>
      </c>
      <c r="AI64" s="6" t="e">
        <f t="shared" si="77"/>
        <v>#REF!</v>
      </c>
      <c r="AJ64" s="6" t="e">
        <f t="shared" si="77"/>
        <v>#REF!</v>
      </c>
      <c r="AK64" s="6" t="e">
        <f t="shared" si="77"/>
        <v>#REF!</v>
      </c>
      <c r="AL64" s="6" t="e">
        <f t="shared" si="77"/>
        <v>#REF!</v>
      </c>
      <c r="AM64" s="6" t="e">
        <f t="shared" si="77"/>
        <v>#REF!</v>
      </c>
      <c r="AN64" s="6" t="e">
        <f t="shared" si="77"/>
        <v>#REF!</v>
      </c>
      <c r="AO64" s="6" t="e">
        <f t="shared" si="77"/>
        <v>#REF!</v>
      </c>
      <c r="AP64" s="6" t="e">
        <f t="shared" si="77"/>
        <v>#REF!</v>
      </c>
      <c r="AQ64" s="6" t="e">
        <f t="shared" si="77"/>
        <v>#REF!</v>
      </c>
      <c r="AR64" s="6" t="e">
        <f t="shared" si="77"/>
        <v>#REF!</v>
      </c>
      <c r="AS64" s="6" t="e">
        <f t="shared" si="77"/>
        <v>#REF!</v>
      </c>
      <c r="AT64" s="6" t="e">
        <f t="shared" si="77"/>
        <v>#REF!</v>
      </c>
      <c r="AU64" s="6" t="e">
        <f t="shared" si="77"/>
        <v>#REF!</v>
      </c>
      <c r="AV64" s="6" t="e">
        <f t="shared" si="77"/>
        <v>#REF!</v>
      </c>
      <c r="AW64" s="6" t="e">
        <f t="shared" si="77"/>
        <v>#REF!</v>
      </c>
      <c r="AX64" s="6" t="e">
        <f t="shared" si="77"/>
        <v>#REF!</v>
      </c>
      <c r="AY64" s="6" t="e">
        <f t="shared" si="77"/>
        <v>#REF!</v>
      </c>
      <c r="AZ64" s="6" t="e">
        <f t="shared" si="77"/>
        <v>#REF!</v>
      </c>
      <c r="BA64" s="6" t="e">
        <f t="shared" si="77"/>
        <v>#REF!</v>
      </c>
      <c r="BB64" s="6" t="e">
        <f t="shared" si="77"/>
        <v>#REF!</v>
      </c>
      <c r="BC64" s="6" t="e">
        <f t="shared" si="77"/>
        <v>#REF!</v>
      </c>
      <c r="BD64" s="6" t="e">
        <f t="shared" si="77"/>
        <v>#REF!</v>
      </c>
      <c r="BE64" s="6" t="e">
        <f t="shared" si="77"/>
        <v>#REF!</v>
      </c>
      <c r="BF64" s="63" t="e">
        <f t="shared" si="77"/>
        <v>#REF!</v>
      </c>
      <c r="BG64" s="6" t="e">
        <f t="shared" si="77"/>
        <v>#REF!</v>
      </c>
      <c r="BH64" s="6" t="e">
        <f t="shared" si="77"/>
        <v>#REF!</v>
      </c>
      <c r="BI64" s="6" t="e">
        <f t="shared" si="77"/>
        <v>#REF!</v>
      </c>
      <c r="BJ64" s="63" t="e">
        <f t="shared" si="77"/>
        <v>#REF!</v>
      </c>
      <c r="BK64" s="6" t="e">
        <f t="shared" si="77"/>
        <v>#REF!</v>
      </c>
      <c r="BL64" s="6" t="e">
        <f t="shared" si="77"/>
        <v>#REF!</v>
      </c>
      <c r="BM64" s="6" t="e">
        <f t="shared" si="77"/>
        <v>#REF!</v>
      </c>
      <c r="BN64" s="63" t="e">
        <f t="shared" si="77"/>
        <v>#REF!</v>
      </c>
      <c r="BO64" s="6" t="e">
        <f t="shared" si="77"/>
        <v>#REF!</v>
      </c>
      <c r="BP64" s="6" t="e">
        <f t="shared" si="77"/>
        <v>#REF!</v>
      </c>
      <c r="BQ64" s="6" t="e">
        <f t="shared" si="77"/>
        <v>#REF!</v>
      </c>
      <c r="BR64" s="64" t="e">
        <f t="shared" si="77"/>
        <v>#REF!</v>
      </c>
      <c r="BS64" s="28" t="e">
        <f t="shared" si="77"/>
        <v>#REF!</v>
      </c>
      <c r="BT64" s="28" t="e">
        <f t="shared" si="77"/>
        <v>#REF!</v>
      </c>
      <c r="BU64" s="28" t="e">
        <f t="shared" si="77"/>
        <v>#REF!</v>
      </c>
      <c r="BV64" s="6"/>
      <c r="BW64" s="6"/>
      <c r="BX64" s="6"/>
      <c r="BY64" s="6"/>
      <c r="BZ64" s="6"/>
      <c r="CA64" s="6"/>
      <c r="CB64" s="6"/>
      <c r="CC64" s="6"/>
      <c r="CD64" s="6"/>
      <c r="CE64" s="6"/>
      <c r="CF64" s="6"/>
      <c r="CG64" s="6"/>
      <c r="CH64" s="6"/>
      <c r="CI64" s="6"/>
      <c r="CJ64" s="6"/>
      <c r="CK64" s="6"/>
      <c r="CL64" s="6"/>
      <c r="CM64" s="6"/>
      <c r="CN64" s="6"/>
      <c r="CO64" s="6"/>
      <c r="CP64" s="6"/>
    </row>
    <row r="65" spans="1:94">
      <c r="A65" s="1" t="s">
        <v>974</v>
      </c>
      <c r="B65" s="2"/>
      <c r="C65" s="2"/>
      <c r="D65" s="2"/>
      <c r="E65" s="56" t="e">
        <v>#REF!</v>
      </c>
      <c r="F65" s="56" t="e">
        <v>#REF!</v>
      </c>
      <c r="G65" s="56" t="e">
        <f>SUM(AP65:AS65)</f>
        <v>#REF!</v>
      </c>
      <c r="H65" s="2" t="e">
        <f>SUM(AT65:AW65)</f>
        <v>#REF!</v>
      </c>
      <c r="I65" s="2" t="e">
        <f>SUM(AX65:BA65)</f>
        <v>#REF!</v>
      </c>
      <c r="J65" s="2" t="e">
        <f>SUM(BB65:BE65)</f>
        <v>#REF!</v>
      </c>
      <c r="K65" s="2" t="e">
        <f>SUM(BF65:BI65)</f>
        <v>#REF!</v>
      </c>
      <c r="L65" s="2" t="e">
        <f>SUM(BJ65:BM65)</f>
        <v>#REF!</v>
      </c>
      <c r="M65" s="2" t="e">
        <f t="shared" ref="M65:R65" si="78">+M67+M68</f>
        <v>#REF!</v>
      </c>
      <c r="N65" s="4">
        <f t="shared" si="78"/>
        <v>331</v>
      </c>
      <c r="O65" s="4" t="e">
        <f t="shared" si="78"/>
        <v>#REF!</v>
      </c>
      <c r="P65" s="4" t="e">
        <f t="shared" si="78"/>
        <v>#REF!</v>
      </c>
      <c r="Q65" s="4" t="e">
        <f t="shared" si="78"/>
        <v>#REF!</v>
      </c>
      <c r="R65" s="4" t="e">
        <f t="shared" si="78"/>
        <v>#REF!</v>
      </c>
      <c r="S65" s="56"/>
      <c r="T65" s="56"/>
      <c r="U65" s="56"/>
      <c r="V65" s="56"/>
      <c r="W65" s="56"/>
      <c r="X65" s="56"/>
      <c r="Y65" s="56"/>
      <c r="Z65" s="56"/>
      <c r="AA65" s="56"/>
      <c r="AB65" s="56"/>
      <c r="AC65" s="56"/>
      <c r="AD65" s="56"/>
      <c r="AE65" s="56"/>
      <c r="AF65" s="59" t="e">
        <f>(R65/M65)^(1/5)-1</f>
        <v>#REF!</v>
      </c>
      <c r="AG65" s="2"/>
      <c r="AH65" s="56" t="e">
        <v>#REF!</v>
      </c>
      <c r="AI65" s="56" t="e">
        <v>#REF!</v>
      </c>
      <c r="AJ65" s="56" t="e">
        <v>#REF!</v>
      </c>
      <c r="AK65" s="56" t="e">
        <v>#REF!</v>
      </c>
      <c r="AL65" s="56" t="e">
        <v>#REF!</v>
      </c>
      <c r="AM65" s="56" t="e">
        <v>#REF!</v>
      </c>
      <c r="AN65" s="56" t="e">
        <v>#REF!</v>
      </c>
      <c r="AO65" s="56" t="e">
        <v>#REF!</v>
      </c>
      <c r="AP65" s="56" t="e">
        <v>#REF!</v>
      </c>
      <c r="AQ65" s="56" t="e">
        <v>#REF!</v>
      </c>
      <c r="AR65" s="56" t="e">
        <v>#REF!</v>
      </c>
      <c r="AS65" s="56" t="e">
        <v>#REF!</v>
      </c>
      <c r="AT65" s="56" t="e">
        <v>#REF!</v>
      </c>
      <c r="AU65" s="56" t="e">
        <v>#REF!</v>
      </c>
      <c r="AV65" s="56" t="e">
        <v>#REF!</v>
      </c>
      <c r="AW65" s="56" t="e">
        <v>#REF!</v>
      </c>
      <c r="AX65" s="56" t="e">
        <v>#REF!</v>
      </c>
      <c r="AY65" s="56" t="e">
        <v>#REF!</v>
      </c>
      <c r="AZ65" s="56" t="e">
        <v>#REF!</v>
      </c>
      <c r="BA65" s="56" t="e">
        <v>#REF!</v>
      </c>
      <c r="BB65" s="56" t="e">
        <v>#REF!</v>
      </c>
      <c r="BC65" s="56" t="e">
        <v>#REF!</v>
      </c>
      <c r="BD65" s="56" t="e">
        <v>#REF!</v>
      </c>
      <c r="BE65" s="56" t="e">
        <v>#REF!</v>
      </c>
      <c r="BF65" s="69" t="e">
        <v>#REF!</v>
      </c>
      <c r="BG65" s="56" t="e">
        <v>#REF!</v>
      </c>
      <c r="BH65" s="56" t="e">
        <v>#REF!</v>
      </c>
      <c r="BI65" s="56" t="e">
        <v>#REF!</v>
      </c>
      <c r="BJ65" s="69" t="e">
        <v>#REF!</v>
      </c>
      <c r="BK65" s="56" t="e">
        <v>#REF!</v>
      </c>
      <c r="BL65" s="56" t="e">
        <v>#REF!</v>
      </c>
      <c r="BM65" s="56" t="e">
        <v>#REF!</v>
      </c>
      <c r="BN65" s="69" t="e">
        <v>#REF!</v>
      </c>
      <c r="BO65" s="56" t="e">
        <v>#REF!</v>
      </c>
      <c r="BP65" s="56" t="e">
        <v>#REF!</v>
      </c>
      <c r="BQ65" s="56" t="e">
        <v>#REF!</v>
      </c>
      <c r="BR65" s="70">
        <f>BR67+BR68</f>
        <v>82.5</v>
      </c>
      <c r="BS65" s="71">
        <f>BS67+BS68</f>
        <v>82.5</v>
      </c>
      <c r="BT65" s="71">
        <f>BT67+BT68</f>
        <v>82.5</v>
      </c>
      <c r="BU65" s="71">
        <f>BU67+BU68</f>
        <v>83.5</v>
      </c>
      <c r="BV65" s="2"/>
      <c r="BW65" s="2"/>
      <c r="BX65" s="58" t="e">
        <f>K65-SUM(BF65:BI65)</f>
        <v>#REF!</v>
      </c>
      <c r="BY65" s="2" t="e">
        <f>L65-SUM(BJ65:BM65)</f>
        <v>#REF!</v>
      </c>
      <c r="BZ65" s="2">
        <f>N65-SUM(BR65:BU65)</f>
        <v>0</v>
      </c>
      <c r="CA65" s="2"/>
      <c r="CB65" s="2"/>
      <c r="CC65" s="2"/>
      <c r="CD65" s="2"/>
      <c r="CE65" s="2"/>
      <c r="CF65" s="2"/>
      <c r="CG65" s="2"/>
      <c r="CH65" s="2"/>
      <c r="CI65" s="2"/>
      <c r="CJ65" s="2"/>
      <c r="CK65" s="2"/>
      <c r="CL65" s="2"/>
      <c r="CM65" s="2"/>
      <c r="CN65" s="2"/>
      <c r="CO65" s="2"/>
      <c r="CP65" s="2"/>
    </row>
    <row r="66" spans="1:94">
      <c r="A66" s="68" t="s">
        <v>950</v>
      </c>
      <c r="B66" s="6"/>
      <c r="C66" s="6"/>
      <c r="D66" s="6"/>
      <c r="E66" s="6" t="e">
        <f t="shared" ref="E66:R66" si="79">E65/E$29</f>
        <v>#REF!</v>
      </c>
      <c r="F66" s="6" t="e">
        <f t="shared" si="79"/>
        <v>#REF!</v>
      </c>
      <c r="G66" s="6" t="e">
        <f t="shared" si="79"/>
        <v>#REF!</v>
      </c>
      <c r="H66" s="6" t="e">
        <f t="shared" si="79"/>
        <v>#REF!</v>
      </c>
      <c r="I66" s="6" t="e">
        <f t="shared" si="79"/>
        <v>#REF!</v>
      </c>
      <c r="J66" s="6" t="e">
        <f t="shared" si="79"/>
        <v>#REF!</v>
      </c>
      <c r="K66" s="6" t="e">
        <f t="shared" si="79"/>
        <v>#REF!</v>
      </c>
      <c r="L66" s="6" t="e">
        <f t="shared" si="79"/>
        <v>#REF!</v>
      </c>
      <c r="M66" s="6" t="e">
        <f t="shared" si="79"/>
        <v>#REF!</v>
      </c>
      <c r="N66" s="28" t="e">
        <f t="shared" si="79"/>
        <v>#REF!</v>
      </c>
      <c r="O66" s="28" t="e">
        <f t="shared" si="79"/>
        <v>#REF!</v>
      </c>
      <c r="P66" s="28" t="e">
        <f t="shared" si="79"/>
        <v>#REF!</v>
      </c>
      <c r="Q66" s="28" t="e">
        <f t="shared" si="79"/>
        <v>#REF!</v>
      </c>
      <c r="R66" s="28" t="e">
        <f t="shared" si="79"/>
        <v>#REF!</v>
      </c>
      <c r="S66" s="6"/>
      <c r="T66" s="6"/>
      <c r="U66" s="6"/>
      <c r="V66" s="6"/>
      <c r="W66" s="6"/>
      <c r="X66" s="6"/>
      <c r="Y66" s="6"/>
      <c r="Z66" s="6"/>
      <c r="AA66" s="6"/>
      <c r="AB66" s="6"/>
      <c r="AC66" s="6"/>
      <c r="AD66" s="6"/>
      <c r="AE66" s="6"/>
      <c r="AF66" s="47"/>
      <c r="AG66" s="2"/>
      <c r="AH66" s="6" t="e">
        <f t="shared" ref="AH66:BU66" si="80">AH65/AH$29</f>
        <v>#REF!</v>
      </c>
      <c r="AI66" s="6" t="e">
        <f t="shared" si="80"/>
        <v>#REF!</v>
      </c>
      <c r="AJ66" s="6" t="e">
        <f t="shared" si="80"/>
        <v>#REF!</v>
      </c>
      <c r="AK66" s="6" t="e">
        <f t="shared" si="80"/>
        <v>#REF!</v>
      </c>
      <c r="AL66" s="6" t="e">
        <f t="shared" si="80"/>
        <v>#REF!</v>
      </c>
      <c r="AM66" s="6" t="e">
        <f t="shared" si="80"/>
        <v>#REF!</v>
      </c>
      <c r="AN66" s="6" t="e">
        <f t="shared" si="80"/>
        <v>#REF!</v>
      </c>
      <c r="AO66" s="6" t="e">
        <f t="shared" si="80"/>
        <v>#REF!</v>
      </c>
      <c r="AP66" s="6" t="e">
        <f t="shared" si="80"/>
        <v>#REF!</v>
      </c>
      <c r="AQ66" s="6" t="e">
        <f t="shared" si="80"/>
        <v>#REF!</v>
      </c>
      <c r="AR66" s="6" t="e">
        <f t="shared" si="80"/>
        <v>#REF!</v>
      </c>
      <c r="AS66" s="6" t="e">
        <f t="shared" si="80"/>
        <v>#REF!</v>
      </c>
      <c r="AT66" s="6" t="e">
        <f t="shared" si="80"/>
        <v>#REF!</v>
      </c>
      <c r="AU66" s="6" t="e">
        <f t="shared" si="80"/>
        <v>#REF!</v>
      </c>
      <c r="AV66" s="6" t="e">
        <f t="shared" si="80"/>
        <v>#REF!</v>
      </c>
      <c r="AW66" s="6" t="e">
        <f t="shared" si="80"/>
        <v>#REF!</v>
      </c>
      <c r="AX66" s="6" t="e">
        <f t="shared" si="80"/>
        <v>#REF!</v>
      </c>
      <c r="AY66" s="6" t="e">
        <f t="shared" si="80"/>
        <v>#REF!</v>
      </c>
      <c r="AZ66" s="6" t="e">
        <f t="shared" si="80"/>
        <v>#REF!</v>
      </c>
      <c r="BA66" s="6" t="e">
        <f t="shared" si="80"/>
        <v>#REF!</v>
      </c>
      <c r="BB66" s="6" t="e">
        <f t="shared" si="80"/>
        <v>#REF!</v>
      </c>
      <c r="BC66" s="6" t="e">
        <f t="shared" si="80"/>
        <v>#REF!</v>
      </c>
      <c r="BD66" s="6" t="e">
        <f t="shared" si="80"/>
        <v>#REF!</v>
      </c>
      <c r="BE66" s="6" t="e">
        <f t="shared" si="80"/>
        <v>#REF!</v>
      </c>
      <c r="BF66" s="63" t="e">
        <f t="shared" si="80"/>
        <v>#REF!</v>
      </c>
      <c r="BG66" s="6" t="e">
        <f t="shared" si="80"/>
        <v>#REF!</v>
      </c>
      <c r="BH66" s="6" t="e">
        <f t="shared" si="80"/>
        <v>#REF!</v>
      </c>
      <c r="BI66" s="6" t="e">
        <f t="shared" si="80"/>
        <v>#REF!</v>
      </c>
      <c r="BJ66" s="63" t="e">
        <f t="shared" si="80"/>
        <v>#REF!</v>
      </c>
      <c r="BK66" s="6" t="e">
        <f t="shared" si="80"/>
        <v>#REF!</v>
      </c>
      <c r="BL66" s="6" t="e">
        <f t="shared" si="80"/>
        <v>#REF!</v>
      </c>
      <c r="BM66" s="6" t="e">
        <f t="shared" si="80"/>
        <v>#REF!</v>
      </c>
      <c r="BN66" s="63" t="e">
        <f t="shared" si="80"/>
        <v>#REF!</v>
      </c>
      <c r="BO66" s="6" t="e">
        <f t="shared" si="80"/>
        <v>#REF!</v>
      </c>
      <c r="BP66" s="6" t="e">
        <f t="shared" si="80"/>
        <v>#REF!</v>
      </c>
      <c r="BQ66" s="6" t="e">
        <f t="shared" si="80"/>
        <v>#REF!</v>
      </c>
      <c r="BR66" s="64" t="e">
        <f t="shared" si="80"/>
        <v>#REF!</v>
      </c>
      <c r="BS66" s="28" t="e">
        <f t="shared" si="80"/>
        <v>#REF!</v>
      </c>
      <c r="BT66" s="28" t="e">
        <f t="shared" si="80"/>
        <v>#REF!</v>
      </c>
      <c r="BU66" s="28" t="e">
        <f t="shared" si="80"/>
        <v>#REF!</v>
      </c>
      <c r="BV66" s="6"/>
      <c r="BW66" s="6"/>
      <c r="BX66" s="6"/>
      <c r="BY66" s="6"/>
      <c r="BZ66" s="6"/>
      <c r="CA66" s="6"/>
      <c r="CB66" s="6"/>
      <c r="CC66" s="6"/>
      <c r="CD66" s="6"/>
      <c r="CE66" s="6"/>
      <c r="CF66" s="6"/>
      <c r="CG66" s="6"/>
      <c r="CH66" s="6"/>
      <c r="CI66" s="6"/>
      <c r="CJ66" s="6"/>
      <c r="CK66" s="6"/>
      <c r="CL66" s="6"/>
      <c r="CM66" s="6"/>
      <c r="CN66" s="6"/>
      <c r="CO66" s="6"/>
      <c r="CP66" s="6"/>
    </row>
    <row r="67" spans="1:94" outlineLevel="1">
      <c r="A67" s="78" t="s">
        <v>975</v>
      </c>
      <c r="B67" s="2"/>
      <c r="C67" s="2"/>
      <c r="D67" s="2"/>
      <c r="E67" s="56"/>
      <c r="F67" s="56"/>
      <c r="G67" s="56"/>
      <c r="H67" s="2">
        <v>281</v>
      </c>
      <c r="I67" s="2">
        <v>383</v>
      </c>
      <c r="J67" s="2">
        <v>187</v>
      </c>
      <c r="K67" s="56" t="e">
        <v>#REF!</v>
      </c>
      <c r="L67" s="56" t="e">
        <v>#REF!</v>
      </c>
      <c r="M67" s="56" t="e">
        <f>SUM(BN67:BQ67)</f>
        <v>#REF!</v>
      </c>
      <c r="N67" s="4">
        <f>SUM(BR67:BU67)</f>
        <v>91</v>
      </c>
      <c r="O67" s="71" t="e">
        <v>#REF!</v>
      </c>
      <c r="P67" s="71" t="e">
        <v>#REF!</v>
      </c>
      <c r="Q67" s="71" t="e">
        <v>#REF!</v>
      </c>
      <c r="R67" s="71" t="e">
        <v>#REF!</v>
      </c>
      <c r="S67" s="79" t="e">
        <v>#REF!</v>
      </c>
      <c r="T67" s="79" t="e">
        <v>#REF!</v>
      </c>
      <c r="U67" s="79" t="e">
        <v>#REF!</v>
      </c>
      <c r="V67" s="79" t="e">
        <v>#REF!</v>
      </c>
      <c r="W67" s="79" t="e">
        <v>#REF!</v>
      </c>
      <c r="X67" s="79" t="e">
        <v>#REF!</v>
      </c>
      <c r="Y67" s="79" t="e">
        <v>#REF!</v>
      </c>
      <c r="Z67" s="79" t="e">
        <v>#REF!</v>
      </c>
      <c r="AA67" s="79" t="e">
        <v>#REF!</v>
      </c>
      <c r="AB67" s="79" t="e">
        <v>#REF!</v>
      </c>
      <c r="AC67" s="79" t="e">
        <v>#REF!</v>
      </c>
      <c r="AD67" s="79" t="e">
        <v>#REF!</v>
      </c>
      <c r="AE67" s="56"/>
      <c r="AF67" s="59"/>
      <c r="AG67" s="2"/>
      <c r="AH67" s="56"/>
      <c r="AI67" s="56"/>
      <c r="AJ67" s="56"/>
      <c r="AK67" s="56"/>
      <c r="AL67" s="56"/>
      <c r="AM67" s="56"/>
      <c r="AN67" s="56"/>
      <c r="AO67" s="56"/>
      <c r="AP67" s="56"/>
      <c r="AQ67" s="56"/>
      <c r="AR67" s="56"/>
      <c r="AS67" s="56"/>
      <c r="AT67" s="56"/>
      <c r="AU67" s="56"/>
      <c r="AV67" s="56"/>
      <c r="AW67" s="56"/>
      <c r="AX67" s="56"/>
      <c r="AY67" s="56"/>
      <c r="AZ67" s="56"/>
      <c r="BA67" s="56"/>
      <c r="BB67" s="56">
        <v>54</v>
      </c>
      <c r="BC67" s="56">
        <v>53</v>
      </c>
      <c r="BD67" s="56">
        <v>44</v>
      </c>
      <c r="BE67" s="56">
        <v>36</v>
      </c>
      <c r="BF67" s="69">
        <v>58</v>
      </c>
      <c r="BG67" s="56">
        <v>9</v>
      </c>
      <c r="BH67" s="56" t="e">
        <v>#REF!</v>
      </c>
      <c r="BI67" s="56" t="e">
        <v>#REF!</v>
      </c>
      <c r="BJ67" s="69" t="e">
        <v>#REF!</v>
      </c>
      <c r="BK67" s="56" t="e">
        <v>#REF!</v>
      </c>
      <c r="BL67" s="56" t="e">
        <v>#REF!</v>
      </c>
      <c r="BM67" s="56" t="e">
        <v>#REF!</v>
      </c>
      <c r="BN67" s="69" t="e">
        <v>#REF!</v>
      </c>
      <c r="BO67" s="56" t="e">
        <v>#REF!</v>
      </c>
      <c r="BP67" s="56" t="e">
        <v>#REF!</v>
      </c>
      <c r="BQ67" s="56" t="e">
        <v>#REF!</v>
      </c>
      <c r="BR67" s="74">
        <v>22.5</v>
      </c>
      <c r="BS67" s="4">
        <v>22.5</v>
      </c>
      <c r="BT67" s="4">
        <v>22.5</v>
      </c>
      <c r="BU67" s="4">
        <v>23.5</v>
      </c>
      <c r="BV67" s="2"/>
      <c r="BW67" s="2"/>
      <c r="BX67" s="2"/>
      <c r="BY67" s="2" t="e">
        <f>L67-SUM(BJ67:BM67)</f>
        <v>#REF!</v>
      </c>
      <c r="BZ67" s="2">
        <f>N67-SUM(BR67:BU67)</f>
        <v>0</v>
      </c>
      <c r="CA67" s="2"/>
      <c r="CB67" s="2"/>
      <c r="CC67" s="2"/>
      <c r="CD67" s="2"/>
      <c r="CE67" s="2"/>
      <c r="CF67" s="2"/>
      <c r="CG67" s="2"/>
      <c r="CH67" s="2"/>
      <c r="CI67" s="2"/>
      <c r="CJ67" s="2"/>
      <c r="CK67" s="2"/>
      <c r="CL67" s="2"/>
      <c r="CM67" s="2"/>
      <c r="CN67" s="2"/>
      <c r="CO67" s="2"/>
      <c r="CP67" s="2"/>
    </row>
    <row r="68" spans="1:94" outlineLevel="1">
      <c r="A68" s="78" t="s">
        <v>976</v>
      </c>
      <c r="B68" s="2"/>
      <c r="C68" s="2"/>
      <c r="D68" s="2"/>
      <c r="E68" s="56"/>
      <c r="F68" s="56"/>
      <c r="G68" s="56"/>
      <c r="H68" s="2" t="e">
        <f>H65-H67</f>
        <v>#REF!</v>
      </c>
      <c r="I68" s="2" t="e">
        <f>I65-I67</f>
        <v>#REF!</v>
      </c>
      <c r="J68" s="2" t="e">
        <f>J65-J67</f>
        <v>#REF!</v>
      </c>
      <c r="K68" s="2" t="e">
        <f>K65-K67</f>
        <v>#REF!</v>
      </c>
      <c r="L68" s="2" t="e">
        <f>L65-L67</f>
        <v>#REF!</v>
      </c>
      <c r="M68" s="56" t="e">
        <f>SUM(BN68:BQ68)</f>
        <v>#REF!</v>
      </c>
      <c r="N68" s="4">
        <f>SUM(BR68:BU68)</f>
        <v>240</v>
      </c>
      <c r="O68" s="4" t="e">
        <f>N68*(1+O69)</f>
        <v>#REF!</v>
      </c>
      <c r="P68" s="4" t="e">
        <f>O68*(1+P69)</f>
        <v>#REF!</v>
      </c>
      <c r="Q68" s="4" t="e">
        <f>P68*(1+Q69)</f>
        <v>#REF!</v>
      </c>
      <c r="R68" s="4" t="e">
        <f>Q68*(1+R69)</f>
        <v>#REF!</v>
      </c>
      <c r="S68" s="56"/>
      <c r="T68" s="56"/>
      <c r="U68" s="56"/>
      <c r="V68" s="56"/>
      <c r="W68" s="56"/>
      <c r="X68" s="56"/>
      <c r="Y68" s="56"/>
      <c r="Z68" s="56"/>
      <c r="AA68" s="56"/>
      <c r="AB68" s="56"/>
      <c r="AC68" s="56"/>
      <c r="AD68" s="56"/>
      <c r="AE68" s="56"/>
      <c r="AF68" s="59"/>
      <c r="AG68" s="2"/>
      <c r="AH68" s="56"/>
      <c r="AI68" s="56"/>
      <c r="AJ68" s="56"/>
      <c r="AK68" s="56"/>
      <c r="AL68" s="56"/>
      <c r="AM68" s="56"/>
      <c r="AN68" s="56"/>
      <c r="AO68" s="56"/>
      <c r="AP68" s="56"/>
      <c r="AQ68" s="56"/>
      <c r="AR68" s="56"/>
      <c r="AS68" s="56"/>
      <c r="AT68" s="56"/>
      <c r="AU68" s="56"/>
      <c r="AV68" s="56"/>
      <c r="AW68" s="56"/>
      <c r="AX68" s="56"/>
      <c r="AY68" s="56"/>
      <c r="AZ68" s="56"/>
      <c r="BA68" s="56"/>
      <c r="BB68" s="56" t="e">
        <f t="shared" ref="BB68:BQ68" si="81">BB65-BB67</f>
        <v>#REF!</v>
      </c>
      <c r="BC68" s="56" t="e">
        <f t="shared" si="81"/>
        <v>#REF!</v>
      </c>
      <c r="BD68" s="56" t="e">
        <f t="shared" si="81"/>
        <v>#REF!</v>
      </c>
      <c r="BE68" s="56" t="e">
        <f t="shared" si="81"/>
        <v>#REF!</v>
      </c>
      <c r="BF68" s="69" t="e">
        <f t="shared" si="81"/>
        <v>#REF!</v>
      </c>
      <c r="BG68" s="56" t="e">
        <f t="shared" si="81"/>
        <v>#REF!</v>
      </c>
      <c r="BH68" s="56" t="e">
        <f t="shared" si="81"/>
        <v>#REF!</v>
      </c>
      <c r="BI68" s="56" t="e">
        <f t="shared" si="81"/>
        <v>#REF!</v>
      </c>
      <c r="BJ68" s="69" t="e">
        <f t="shared" si="81"/>
        <v>#REF!</v>
      </c>
      <c r="BK68" s="56" t="e">
        <f t="shared" si="81"/>
        <v>#REF!</v>
      </c>
      <c r="BL68" s="56" t="e">
        <f t="shared" si="81"/>
        <v>#REF!</v>
      </c>
      <c r="BM68" s="56" t="e">
        <f t="shared" si="81"/>
        <v>#REF!</v>
      </c>
      <c r="BN68" s="69" t="e">
        <f t="shared" si="81"/>
        <v>#REF!</v>
      </c>
      <c r="BO68" s="56" t="e">
        <f t="shared" si="81"/>
        <v>#REF!</v>
      </c>
      <c r="BP68" s="56" t="e">
        <f t="shared" si="81"/>
        <v>#REF!</v>
      </c>
      <c r="BQ68" s="56" t="e">
        <f t="shared" si="81"/>
        <v>#REF!</v>
      </c>
      <c r="BR68" s="74">
        <v>60</v>
      </c>
      <c r="BS68" s="4">
        <v>60</v>
      </c>
      <c r="BT68" s="4">
        <v>60</v>
      </c>
      <c r="BU68" s="4">
        <v>60</v>
      </c>
      <c r="BV68" s="2"/>
      <c r="BW68" s="2"/>
      <c r="BX68" s="2"/>
      <c r="BY68" s="2" t="e">
        <f>L68-SUM(BJ68:BM68)</f>
        <v>#REF!</v>
      </c>
      <c r="BZ68" s="2">
        <f>N68-SUM(BR68:BU68)</f>
        <v>0</v>
      </c>
      <c r="CA68" s="2"/>
      <c r="CB68" s="2"/>
      <c r="CC68" s="2"/>
      <c r="CD68" s="2"/>
      <c r="CE68" s="2"/>
      <c r="CF68" s="2"/>
      <c r="CG68" s="2"/>
      <c r="CH68" s="2"/>
      <c r="CI68" s="2"/>
      <c r="CJ68" s="2"/>
      <c r="CK68" s="2"/>
      <c r="CL68" s="2"/>
      <c r="CM68" s="2"/>
      <c r="CN68" s="2"/>
      <c r="CO68" s="2"/>
      <c r="CP68" s="2"/>
    </row>
    <row r="69" spans="1:94">
      <c r="A69" s="68" t="s">
        <v>952</v>
      </c>
      <c r="B69" s="6"/>
      <c r="C69" s="6"/>
      <c r="D69" s="6"/>
      <c r="E69" s="6"/>
      <c r="F69" s="6" t="e">
        <f>F65/E65-1</f>
        <v>#REF!</v>
      </c>
      <c r="G69" s="6" t="e">
        <f>G65/F65-1</f>
        <v>#REF!</v>
      </c>
      <c r="H69" s="6" t="e">
        <f>H65/G65-1</f>
        <v>#REF!</v>
      </c>
      <c r="I69" s="6" t="e">
        <f>I65/H65-1</f>
        <v>#REF!</v>
      </c>
      <c r="J69" s="6" t="e">
        <f>J68/I68-1</f>
        <v>#REF!</v>
      </c>
      <c r="K69" s="6" t="e">
        <f>K68/J68-1</f>
        <v>#REF!</v>
      </c>
      <c r="L69" s="6" t="e">
        <f>L68/K68-1</f>
        <v>#REF!</v>
      </c>
      <c r="M69" s="6" t="e">
        <f>M68/L68-1</f>
        <v>#REF!</v>
      </c>
      <c r="N69" s="28" t="e">
        <f>N68/M68-1</f>
        <v>#REF!</v>
      </c>
      <c r="O69" s="28" t="e">
        <f>N69</f>
        <v>#REF!</v>
      </c>
      <c r="P69" s="28">
        <v>0.1</v>
      </c>
      <c r="Q69" s="28">
        <f>P69</f>
        <v>0.1</v>
      </c>
      <c r="R69" s="28">
        <f>Q69</f>
        <v>0.1</v>
      </c>
      <c r="S69" s="6"/>
      <c r="T69" s="6"/>
      <c r="U69" s="6"/>
      <c r="V69" s="6"/>
      <c r="W69" s="6"/>
      <c r="X69" s="6"/>
      <c r="Y69" s="6"/>
      <c r="Z69" s="6"/>
      <c r="AA69" s="6"/>
      <c r="AB69" s="6"/>
      <c r="AC69" s="6"/>
      <c r="AD69" s="6"/>
      <c r="AE69" s="6"/>
      <c r="AF69" s="47"/>
      <c r="AG69" s="2"/>
      <c r="AH69" s="6"/>
      <c r="AI69" s="6"/>
      <c r="AJ69" s="6"/>
      <c r="AK69" s="6"/>
      <c r="AL69" s="6" t="e">
        <f t="shared" ref="AL69:BU69" si="82">AL65/AH65-1</f>
        <v>#REF!</v>
      </c>
      <c r="AM69" s="6" t="e">
        <f t="shared" si="82"/>
        <v>#REF!</v>
      </c>
      <c r="AN69" s="6" t="e">
        <f t="shared" si="82"/>
        <v>#REF!</v>
      </c>
      <c r="AO69" s="6" t="e">
        <f t="shared" si="82"/>
        <v>#REF!</v>
      </c>
      <c r="AP69" s="6" t="e">
        <f t="shared" si="82"/>
        <v>#REF!</v>
      </c>
      <c r="AQ69" s="6" t="e">
        <f t="shared" si="82"/>
        <v>#REF!</v>
      </c>
      <c r="AR69" s="6" t="e">
        <f t="shared" si="82"/>
        <v>#REF!</v>
      </c>
      <c r="AS69" s="6" t="e">
        <f t="shared" si="82"/>
        <v>#REF!</v>
      </c>
      <c r="AT69" s="6" t="e">
        <f t="shared" si="82"/>
        <v>#REF!</v>
      </c>
      <c r="AU69" s="6" t="e">
        <f t="shared" si="82"/>
        <v>#REF!</v>
      </c>
      <c r="AV69" s="6" t="e">
        <f t="shared" si="82"/>
        <v>#REF!</v>
      </c>
      <c r="AW69" s="6" t="e">
        <f t="shared" si="82"/>
        <v>#REF!</v>
      </c>
      <c r="AX69" s="6" t="e">
        <f t="shared" si="82"/>
        <v>#REF!</v>
      </c>
      <c r="AY69" s="6" t="e">
        <f t="shared" si="82"/>
        <v>#REF!</v>
      </c>
      <c r="AZ69" s="6" t="e">
        <f t="shared" si="82"/>
        <v>#REF!</v>
      </c>
      <c r="BA69" s="6" t="e">
        <f t="shared" si="82"/>
        <v>#REF!</v>
      </c>
      <c r="BB69" s="6" t="e">
        <f t="shared" si="82"/>
        <v>#REF!</v>
      </c>
      <c r="BC69" s="6" t="e">
        <f t="shared" si="82"/>
        <v>#REF!</v>
      </c>
      <c r="BD69" s="6" t="e">
        <f t="shared" si="82"/>
        <v>#REF!</v>
      </c>
      <c r="BE69" s="6" t="e">
        <f t="shared" si="82"/>
        <v>#REF!</v>
      </c>
      <c r="BF69" s="63" t="e">
        <f t="shared" si="82"/>
        <v>#REF!</v>
      </c>
      <c r="BG69" s="6" t="e">
        <f t="shared" si="82"/>
        <v>#REF!</v>
      </c>
      <c r="BH69" s="6" t="e">
        <f t="shared" si="82"/>
        <v>#REF!</v>
      </c>
      <c r="BI69" s="6" t="e">
        <f t="shared" si="82"/>
        <v>#REF!</v>
      </c>
      <c r="BJ69" s="63" t="e">
        <f t="shared" si="82"/>
        <v>#REF!</v>
      </c>
      <c r="BK69" s="6" t="e">
        <f t="shared" si="82"/>
        <v>#REF!</v>
      </c>
      <c r="BL69" s="6" t="e">
        <f t="shared" si="82"/>
        <v>#REF!</v>
      </c>
      <c r="BM69" s="6" t="e">
        <f t="shared" si="82"/>
        <v>#REF!</v>
      </c>
      <c r="BN69" s="63" t="e">
        <f t="shared" si="82"/>
        <v>#REF!</v>
      </c>
      <c r="BO69" s="6" t="e">
        <f t="shared" si="82"/>
        <v>#REF!</v>
      </c>
      <c r="BP69" s="6" t="e">
        <f t="shared" si="82"/>
        <v>#REF!</v>
      </c>
      <c r="BQ69" s="6" t="e">
        <f t="shared" si="82"/>
        <v>#REF!</v>
      </c>
      <c r="BR69" s="64" t="e">
        <f t="shared" si="82"/>
        <v>#REF!</v>
      </c>
      <c r="BS69" s="28" t="e">
        <f t="shared" si="82"/>
        <v>#REF!</v>
      </c>
      <c r="BT69" s="28" t="e">
        <f t="shared" si="82"/>
        <v>#REF!</v>
      </c>
      <c r="BU69" s="28" t="e">
        <f t="shared" si="82"/>
        <v>#REF!</v>
      </c>
      <c r="BV69" s="6"/>
      <c r="BW69" s="6"/>
      <c r="BX69" s="6"/>
      <c r="BY69" s="6"/>
      <c r="BZ69" s="6"/>
      <c r="CA69" s="6"/>
      <c r="CB69" s="6"/>
      <c r="CC69" s="6"/>
      <c r="CD69" s="6"/>
      <c r="CE69" s="6"/>
      <c r="CF69" s="6"/>
      <c r="CG69" s="6"/>
      <c r="CH69" s="6"/>
      <c r="CI69" s="6"/>
      <c r="CJ69" s="6"/>
      <c r="CK69" s="6"/>
      <c r="CL69" s="6"/>
      <c r="CM69" s="6"/>
      <c r="CN69" s="6"/>
      <c r="CO69" s="6"/>
      <c r="CP69" s="6"/>
    </row>
    <row r="70" spans="1:94">
      <c r="A70" s="1" t="s">
        <v>977</v>
      </c>
      <c r="B70" s="2"/>
      <c r="C70" s="2"/>
      <c r="D70" s="2"/>
      <c r="E70" s="56" t="e">
        <v>#REF!</v>
      </c>
      <c r="F70" s="56" t="e">
        <v>#REF!</v>
      </c>
      <c r="G70" s="56" t="e">
        <v>#REF!</v>
      </c>
      <c r="H70" s="56" t="e">
        <v>#REF!</v>
      </c>
      <c r="I70" s="56" t="e">
        <v>#REF!</v>
      </c>
      <c r="J70" s="56" t="e">
        <v>#REF!</v>
      </c>
      <c r="K70" s="2" t="e">
        <f>SUM(BF70:BI70)</f>
        <v>#REF!</v>
      </c>
      <c r="L70" s="2" t="e">
        <f>SUM(BJ70:BM70)</f>
        <v>#REF!</v>
      </c>
      <c r="M70" s="2" t="e">
        <f>SUM(BN70:BQ70)</f>
        <v>#REF!</v>
      </c>
      <c r="N70" s="4" t="e">
        <f>SUM(BR70:BU70)</f>
        <v>#REF!</v>
      </c>
      <c r="O70" s="4" t="e">
        <v>#REF!</v>
      </c>
      <c r="P70" s="4" t="e">
        <v>#REF!</v>
      </c>
      <c r="Q70" s="4" t="e">
        <v>#REF!</v>
      </c>
      <c r="R70" s="4" t="e">
        <v>#REF!</v>
      </c>
      <c r="S70" s="56"/>
      <c r="T70" s="56"/>
      <c r="U70" s="56"/>
      <c r="V70" s="56"/>
      <c r="W70" s="56"/>
      <c r="X70" s="56"/>
      <c r="Y70" s="56"/>
      <c r="Z70" s="56"/>
      <c r="AA70" s="56"/>
      <c r="AB70" s="56"/>
      <c r="AC70" s="56"/>
      <c r="AD70" s="56"/>
      <c r="AE70" s="56"/>
      <c r="AF70" s="59" t="e">
        <f>(R70/M70)^(1/5)-1</f>
        <v>#REF!</v>
      </c>
      <c r="AG70" s="2"/>
      <c r="AH70" s="56" t="e">
        <v>#REF!</v>
      </c>
      <c r="AI70" s="56" t="e">
        <v>#REF!</v>
      </c>
      <c r="AJ70" s="56" t="e">
        <v>#REF!</v>
      </c>
      <c r="AK70" s="56" t="e">
        <v>#REF!</v>
      </c>
      <c r="AL70" s="56" t="e">
        <v>#REF!</v>
      </c>
      <c r="AM70" s="56" t="e">
        <v>#REF!</v>
      </c>
      <c r="AN70" s="56" t="e">
        <v>#REF!</v>
      </c>
      <c r="AO70" s="56" t="e">
        <v>#REF!</v>
      </c>
      <c r="AP70" s="56" t="e">
        <v>#REF!</v>
      </c>
      <c r="AQ70" s="56" t="e">
        <v>#REF!</v>
      </c>
      <c r="AR70" s="56" t="e">
        <v>#REF!</v>
      </c>
      <c r="AS70" s="56" t="e">
        <v>#REF!</v>
      </c>
      <c r="AT70" s="56" t="e">
        <v>#REF!</v>
      </c>
      <c r="AU70" s="56" t="e">
        <v>#REF!</v>
      </c>
      <c r="AV70" s="56" t="e">
        <v>#REF!</v>
      </c>
      <c r="AW70" s="56" t="e">
        <v>#REF!</v>
      </c>
      <c r="AX70" s="56" t="e">
        <v>#REF!</v>
      </c>
      <c r="AY70" s="56" t="e">
        <v>#REF!</v>
      </c>
      <c r="AZ70" s="56" t="e">
        <v>#REF!</v>
      </c>
      <c r="BA70" s="56" t="e">
        <v>#REF!</v>
      </c>
      <c r="BB70" s="56" t="e">
        <v>#REF!</v>
      </c>
      <c r="BC70" s="56" t="e">
        <v>#REF!</v>
      </c>
      <c r="BD70" s="56" t="e">
        <v>#REF!</v>
      </c>
      <c r="BE70" s="56" t="e">
        <v>#REF!</v>
      </c>
      <c r="BF70" s="69" t="e">
        <v>#REF!</v>
      </c>
      <c r="BG70" s="56" t="e">
        <v>#REF!</v>
      </c>
      <c r="BH70" s="56" t="e">
        <v>#REF!</v>
      </c>
      <c r="BI70" s="56" t="e">
        <v>#REF!</v>
      </c>
      <c r="BJ70" s="69" t="e">
        <v>#REF!</v>
      </c>
      <c r="BK70" s="56" t="e">
        <v>#REF!</v>
      </c>
      <c r="BL70" s="56" t="e">
        <v>#REF!</v>
      </c>
      <c r="BM70" s="56" t="e">
        <v>#REF!</v>
      </c>
      <c r="BN70" s="69" t="e">
        <v>#REF!</v>
      </c>
      <c r="BO70" s="56" t="e">
        <v>#REF!</v>
      </c>
      <c r="BP70" s="56" t="e">
        <v>#REF!</v>
      </c>
      <c r="BQ70" s="56" t="e">
        <v>#REF!</v>
      </c>
      <c r="BR70" s="74" t="e">
        <v>#REF!</v>
      </c>
      <c r="BS70" s="4" t="e">
        <v>#REF!</v>
      </c>
      <c r="BT70" s="4" t="e">
        <v>#REF!</v>
      </c>
      <c r="BU70" s="4" t="e">
        <v>#REF!</v>
      </c>
      <c r="BV70" s="58" t="e">
        <f>I70-SUM(AX70:BA70)</f>
        <v>#REF!</v>
      </c>
      <c r="BW70" s="2" t="e">
        <f>M70-SUM(BN70:BQ70)</f>
        <v>#REF!</v>
      </c>
      <c r="BX70" s="58" t="e">
        <f>K70-SUM(BF70:BI70)</f>
        <v>#REF!</v>
      </c>
      <c r="BY70" s="2" t="e">
        <f>L70-SUM(BJ70:BM70)</f>
        <v>#REF!</v>
      </c>
      <c r="BZ70" s="2" t="e">
        <f>N70-SUM(BR70:BU70)</f>
        <v>#REF!</v>
      </c>
      <c r="CA70" s="2"/>
      <c r="CB70" s="2"/>
      <c r="CC70" s="2"/>
      <c r="CD70" s="2"/>
      <c r="CE70" s="2"/>
      <c r="CF70" s="2"/>
      <c r="CG70" s="2"/>
      <c r="CH70" s="2"/>
      <c r="CI70" s="2"/>
      <c r="CJ70" s="2"/>
      <c r="CK70" s="2"/>
      <c r="CL70" s="2"/>
      <c r="CM70" s="2"/>
      <c r="CN70" s="2"/>
      <c r="CO70" s="2"/>
      <c r="CP70" s="2"/>
    </row>
    <row r="71" spans="1:94">
      <c r="A71" s="68" t="s">
        <v>952</v>
      </c>
      <c r="B71" s="6"/>
      <c r="C71" s="6"/>
      <c r="D71" s="6"/>
      <c r="E71" s="6"/>
      <c r="F71" s="6" t="e">
        <f t="shared" ref="F71:R71" si="83">F70/E70-1</f>
        <v>#REF!</v>
      </c>
      <c r="G71" s="6" t="e">
        <f t="shared" si="83"/>
        <v>#REF!</v>
      </c>
      <c r="H71" s="6" t="e">
        <f t="shared" si="83"/>
        <v>#REF!</v>
      </c>
      <c r="I71" s="6" t="e">
        <f t="shared" si="83"/>
        <v>#REF!</v>
      </c>
      <c r="J71" s="6" t="e">
        <f t="shared" si="83"/>
        <v>#REF!</v>
      </c>
      <c r="K71" s="6" t="e">
        <f t="shared" si="83"/>
        <v>#REF!</v>
      </c>
      <c r="L71" s="6" t="e">
        <f t="shared" si="83"/>
        <v>#REF!</v>
      </c>
      <c r="M71" s="6" t="e">
        <f t="shared" si="83"/>
        <v>#REF!</v>
      </c>
      <c r="N71" s="28" t="e">
        <f t="shared" si="83"/>
        <v>#REF!</v>
      </c>
      <c r="O71" s="28" t="e">
        <f t="shared" si="83"/>
        <v>#REF!</v>
      </c>
      <c r="P71" s="28" t="e">
        <f t="shared" si="83"/>
        <v>#REF!</v>
      </c>
      <c r="Q71" s="28" t="e">
        <f t="shared" si="83"/>
        <v>#REF!</v>
      </c>
      <c r="R71" s="28" t="e">
        <f t="shared" si="83"/>
        <v>#REF!</v>
      </c>
      <c r="S71" s="6"/>
      <c r="T71" s="6"/>
      <c r="U71" s="6"/>
      <c r="V71" s="6"/>
      <c r="W71" s="6"/>
      <c r="X71" s="6"/>
      <c r="Y71" s="6"/>
      <c r="Z71" s="6"/>
      <c r="AA71" s="6"/>
      <c r="AB71" s="6"/>
      <c r="AC71" s="6"/>
      <c r="AD71" s="6"/>
      <c r="AE71" s="6"/>
      <c r="AF71" s="47"/>
      <c r="AG71" s="2"/>
      <c r="AH71" s="6"/>
      <c r="AI71" s="6"/>
      <c r="AJ71" s="6"/>
      <c r="AK71" s="6"/>
      <c r="AL71" s="6" t="e">
        <f t="shared" ref="AL71:BU71" si="84">AL70/AH70-1</f>
        <v>#REF!</v>
      </c>
      <c r="AM71" s="6" t="e">
        <f t="shared" si="84"/>
        <v>#REF!</v>
      </c>
      <c r="AN71" s="6" t="e">
        <f t="shared" si="84"/>
        <v>#REF!</v>
      </c>
      <c r="AO71" s="6" t="e">
        <f t="shared" si="84"/>
        <v>#REF!</v>
      </c>
      <c r="AP71" s="6" t="e">
        <f t="shared" si="84"/>
        <v>#REF!</v>
      </c>
      <c r="AQ71" s="6" t="e">
        <f t="shared" si="84"/>
        <v>#REF!</v>
      </c>
      <c r="AR71" s="6" t="e">
        <f t="shared" si="84"/>
        <v>#REF!</v>
      </c>
      <c r="AS71" s="6" t="e">
        <f t="shared" si="84"/>
        <v>#REF!</v>
      </c>
      <c r="AT71" s="6" t="e">
        <f t="shared" si="84"/>
        <v>#REF!</v>
      </c>
      <c r="AU71" s="6" t="e">
        <f t="shared" si="84"/>
        <v>#REF!</v>
      </c>
      <c r="AV71" s="6" t="e">
        <f t="shared" si="84"/>
        <v>#REF!</v>
      </c>
      <c r="AW71" s="6" t="e">
        <f t="shared" si="84"/>
        <v>#REF!</v>
      </c>
      <c r="AX71" s="6" t="e">
        <f t="shared" si="84"/>
        <v>#REF!</v>
      </c>
      <c r="AY71" s="6" t="e">
        <f t="shared" si="84"/>
        <v>#REF!</v>
      </c>
      <c r="AZ71" s="6" t="e">
        <f t="shared" si="84"/>
        <v>#REF!</v>
      </c>
      <c r="BA71" s="6" t="e">
        <f t="shared" si="84"/>
        <v>#REF!</v>
      </c>
      <c r="BB71" s="6" t="e">
        <f t="shared" si="84"/>
        <v>#REF!</v>
      </c>
      <c r="BC71" s="6" t="e">
        <f t="shared" si="84"/>
        <v>#REF!</v>
      </c>
      <c r="BD71" s="6" t="e">
        <f t="shared" si="84"/>
        <v>#REF!</v>
      </c>
      <c r="BE71" s="6" t="e">
        <f t="shared" si="84"/>
        <v>#REF!</v>
      </c>
      <c r="BF71" s="63" t="e">
        <f t="shared" si="84"/>
        <v>#REF!</v>
      </c>
      <c r="BG71" s="6" t="e">
        <f t="shared" si="84"/>
        <v>#REF!</v>
      </c>
      <c r="BH71" s="68" t="e">
        <f t="shared" si="84"/>
        <v>#REF!</v>
      </c>
      <c r="BI71" s="6" t="e">
        <f t="shared" si="84"/>
        <v>#REF!</v>
      </c>
      <c r="BJ71" s="63" t="e">
        <f t="shared" si="84"/>
        <v>#REF!</v>
      </c>
      <c r="BK71" s="6" t="e">
        <f t="shared" si="84"/>
        <v>#REF!</v>
      </c>
      <c r="BL71" s="68" t="e">
        <f t="shared" si="84"/>
        <v>#REF!</v>
      </c>
      <c r="BM71" s="68" t="e">
        <f t="shared" si="84"/>
        <v>#REF!</v>
      </c>
      <c r="BN71" s="80" t="e">
        <f t="shared" si="84"/>
        <v>#REF!</v>
      </c>
      <c r="BO71" s="68" t="e">
        <f t="shared" si="84"/>
        <v>#REF!</v>
      </c>
      <c r="BP71" s="68" t="e">
        <f t="shared" si="84"/>
        <v>#REF!</v>
      </c>
      <c r="BQ71" s="68" t="e">
        <f t="shared" si="84"/>
        <v>#REF!</v>
      </c>
      <c r="BR71" s="64" t="e">
        <f t="shared" si="84"/>
        <v>#REF!</v>
      </c>
      <c r="BS71" s="28" t="e">
        <f t="shared" si="84"/>
        <v>#REF!</v>
      </c>
      <c r="BT71" s="28" t="e">
        <f t="shared" si="84"/>
        <v>#REF!</v>
      </c>
      <c r="BU71" s="28" t="e">
        <f t="shared" si="84"/>
        <v>#REF!</v>
      </c>
      <c r="BV71" s="6"/>
      <c r="BW71" s="6"/>
      <c r="BX71" s="6"/>
      <c r="BY71" s="6"/>
      <c r="BZ71" s="6"/>
      <c r="CA71" s="6"/>
      <c r="CB71" s="6"/>
      <c r="CC71" s="6"/>
      <c r="CD71" s="6"/>
      <c r="CE71" s="6"/>
      <c r="CF71" s="6"/>
      <c r="CG71" s="6"/>
      <c r="CH71" s="6"/>
      <c r="CI71" s="6"/>
      <c r="CJ71" s="6"/>
      <c r="CK71" s="6"/>
      <c r="CL71" s="6"/>
      <c r="CM71" s="6"/>
      <c r="CN71" s="6"/>
      <c r="CO71" s="6"/>
      <c r="CP71" s="6"/>
    </row>
    <row r="72" spans="1:94">
      <c r="A72" s="68" t="s">
        <v>950</v>
      </c>
      <c r="B72" s="6"/>
      <c r="C72" s="6"/>
      <c r="D72" s="6"/>
      <c r="E72" s="6" t="e">
        <f t="shared" ref="E72:R72" si="85">E70/E$29</f>
        <v>#REF!</v>
      </c>
      <c r="F72" s="6" t="e">
        <f t="shared" si="85"/>
        <v>#REF!</v>
      </c>
      <c r="G72" s="6" t="e">
        <f t="shared" si="85"/>
        <v>#REF!</v>
      </c>
      <c r="H72" s="6" t="e">
        <f t="shared" si="85"/>
        <v>#REF!</v>
      </c>
      <c r="I72" s="6" t="e">
        <f t="shared" si="85"/>
        <v>#REF!</v>
      </c>
      <c r="J72" s="6" t="e">
        <f t="shared" si="85"/>
        <v>#REF!</v>
      </c>
      <c r="K72" s="6" t="e">
        <f t="shared" si="85"/>
        <v>#REF!</v>
      </c>
      <c r="L72" s="6" t="e">
        <f t="shared" si="85"/>
        <v>#REF!</v>
      </c>
      <c r="M72" s="6" t="e">
        <f t="shared" si="85"/>
        <v>#REF!</v>
      </c>
      <c r="N72" s="28" t="e">
        <f t="shared" si="85"/>
        <v>#REF!</v>
      </c>
      <c r="O72" s="28" t="e">
        <f t="shared" si="85"/>
        <v>#REF!</v>
      </c>
      <c r="P72" s="28" t="e">
        <f t="shared" si="85"/>
        <v>#REF!</v>
      </c>
      <c r="Q72" s="28" t="e">
        <f t="shared" si="85"/>
        <v>#REF!</v>
      </c>
      <c r="R72" s="28" t="e">
        <f t="shared" si="85"/>
        <v>#REF!</v>
      </c>
      <c r="S72" s="6"/>
      <c r="T72" s="6"/>
      <c r="U72" s="6"/>
      <c r="V72" s="6"/>
      <c r="W72" s="6"/>
      <c r="X72" s="6"/>
      <c r="Y72" s="6"/>
      <c r="Z72" s="6"/>
      <c r="AA72" s="6"/>
      <c r="AB72" s="6"/>
      <c r="AC72" s="6"/>
      <c r="AD72" s="6"/>
      <c r="AE72" s="6"/>
      <c r="AF72" s="47"/>
      <c r="AG72" s="2"/>
      <c r="AH72" s="6" t="e">
        <f t="shared" ref="AH72:BU72" si="86">AH70/AH$29</f>
        <v>#REF!</v>
      </c>
      <c r="AI72" s="6" t="e">
        <f t="shared" si="86"/>
        <v>#REF!</v>
      </c>
      <c r="AJ72" s="6" t="e">
        <f t="shared" si="86"/>
        <v>#REF!</v>
      </c>
      <c r="AK72" s="6" t="e">
        <f t="shared" si="86"/>
        <v>#REF!</v>
      </c>
      <c r="AL72" s="6" t="e">
        <f t="shared" si="86"/>
        <v>#REF!</v>
      </c>
      <c r="AM72" s="6" t="e">
        <f t="shared" si="86"/>
        <v>#REF!</v>
      </c>
      <c r="AN72" s="6" t="e">
        <f t="shared" si="86"/>
        <v>#REF!</v>
      </c>
      <c r="AO72" s="6" t="e">
        <f t="shared" si="86"/>
        <v>#REF!</v>
      </c>
      <c r="AP72" s="6" t="e">
        <f t="shared" si="86"/>
        <v>#REF!</v>
      </c>
      <c r="AQ72" s="6" t="e">
        <f t="shared" si="86"/>
        <v>#REF!</v>
      </c>
      <c r="AR72" s="6" t="e">
        <f t="shared" si="86"/>
        <v>#REF!</v>
      </c>
      <c r="AS72" s="6" t="e">
        <f t="shared" si="86"/>
        <v>#REF!</v>
      </c>
      <c r="AT72" s="6" t="e">
        <f t="shared" si="86"/>
        <v>#REF!</v>
      </c>
      <c r="AU72" s="6" t="e">
        <f t="shared" si="86"/>
        <v>#REF!</v>
      </c>
      <c r="AV72" s="6" t="e">
        <f t="shared" si="86"/>
        <v>#REF!</v>
      </c>
      <c r="AW72" s="6" t="e">
        <f t="shared" si="86"/>
        <v>#REF!</v>
      </c>
      <c r="AX72" s="6" t="e">
        <f t="shared" si="86"/>
        <v>#REF!</v>
      </c>
      <c r="AY72" s="6" t="e">
        <f t="shared" si="86"/>
        <v>#REF!</v>
      </c>
      <c r="AZ72" s="6" t="e">
        <f t="shared" si="86"/>
        <v>#REF!</v>
      </c>
      <c r="BA72" s="6" t="e">
        <f t="shared" si="86"/>
        <v>#REF!</v>
      </c>
      <c r="BB72" s="6" t="e">
        <f t="shared" si="86"/>
        <v>#REF!</v>
      </c>
      <c r="BC72" s="6" t="e">
        <f t="shared" si="86"/>
        <v>#REF!</v>
      </c>
      <c r="BD72" s="6" t="e">
        <f t="shared" si="86"/>
        <v>#REF!</v>
      </c>
      <c r="BE72" s="6" t="e">
        <f t="shared" si="86"/>
        <v>#REF!</v>
      </c>
      <c r="BF72" s="63" t="e">
        <f t="shared" si="86"/>
        <v>#REF!</v>
      </c>
      <c r="BG72" s="6" t="e">
        <f t="shared" si="86"/>
        <v>#REF!</v>
      </c>
      <c r="BH72" s="6" t="e">
        <f t="shared" si="86"/>
        <v>#REF!</v>
      </c>
      <c r="BI72" s="6" t="e">
        <f t="shared" si="86"/>
        <v>#REF!</v>
      </c>
      <c r="BJ72" s="63" t="e">
        <f t="shared" si="86"/>
        <v>#REF!</v>
      </c>
      <c r="BK72" s="6" t="e">
        <f t="shared" si="86"/>
        <v>#REF!</v>
      </c>
      <c r="BL72" s="6" t="e">
        <f t="shared" si="86"/>
        <v>#REF!</v>
      </c>
      <c r="BM72" s="6" t="e">
        <f t="shared" si="86"/>
        <v>#REF!</v>
      </c>
      <c r="BN72" s="63" t="e">
        <f t="shared" si="86"/>
        <v>#REF!</v>
      </c>
      <c r="BO72" s="6" t="e">
        <f t="shared" si="86"/>
        <v>#REF!</v>
      </c>
      <c r="BP72" s="6" t="e">
        <f t="shared" si="86"/>
        <v>#REF!</v>
      </c>
      <c r="BQ72" s="6" t="e">
        <f t="shared" si="86"/>
        <v>#REF!</v>
      </c>
      <c r="BR72" s="64" t="e">
        <f t="shared" si="86"/>
        <v>#REF!</v>
      </c>
      <c r="BS72" s="28" t="e">
        <f t="shared" si="86"/>
        <v>#REF!</v>
      </c>
      <c r="BT72" s="28" t="e">
        <f t="shared" si="86"/>
        <v>#REF!</v>
      </c>
      <c r="BU72" s="28" t="e">
        <f t="shared" si="86"/>
        <v>#REF!</v>
      </c>
      <c r="BV72" s="6"/>
      <c r="BW72" s="6"/>
      <c r="BX72" s="6"/>
      <c r="BY72" s="6"/>
      <c r="BZ72" s="6"/>
      <c r="CA72" s="6"/>
      <c r="CB72" s="6"/>
      <c r="CC72" s="6"/>
      <c r="CD72" s="6"/>
      <c r="CE72" s="6"/>
      <c r="CF72" s="6"/>
      <c r="CG72" s="6"/>
      <c r="CH72" s="6"/>
      <c r="CI72" s="6"/>
      <c r="CJ72" s="6"/>
      <c r="CK72" s="6"/>
      <c r="CL72" s="6"/>
      <c r="CM72" s="6"/>
      <c r="CN72" s="6"/>
      <c r="CO72" s="6"/>
      <c r="CP72" s="6"/>
    </row>
    <row r="73" spans="1:94">
      <c r="A73" s="1" t="s">
        <v>978</v>
      </c>
      <c r="B73" s="2"/>
      <c r="C73" s="2"/>
      <c r="D73" s="2"/>
      <c r="E73" s="56" t="e">
        <v>#REF!</v>
      </c>
      <c r="F73" s="56" t="e">
        <v>#REF!</v>
      </c>
      <c r="G73" s="56" t="e">
        <f>SUM(AP73:AS73)</f>
        <v>#REF!</v>
      </c>
      <c r="H73" s="2" t="e">
        <f>SUM(AT73:AW73)</f>
        <v>#REF!</v>
      </c>
      <c r="I73" s="2" t="e">
        <f>SUM(AX73:BA73)</f>
        <v>#REF!</v>
      </c>
      <c r="J73" s="56" t="e">
        <f>SUM(BB73:BE73)</f>
        <v>#REF!</v>
      </c>
      <c r="K73" s="56" t="e">
        <f>SUM(BF73:BI73)</f>
        <v>#REF!</v>
      </c>
      <c r="L73" s="2" t="e">
        <f>SUM(BJ73:BM73)</f>
        <v>#REF!</v>
      </c>
      <c r="M73" s="56" t="e">
        <v>#REF!</v>
      </c>
      <c r="N73" s="71" t="e">
        <v>#REF!</v>
      </c>
      <c r="O73" s="71" t="e">
        <v>#REF!</v>
      </c>
      <c r="P73" s="71" t="e">
        <v>#REF!</v>
      </c>
      <c r="Q73" s="71" t="e">
        <v>#REF!</v>
      </c>
      <c r="R73" s="71" t="e">
        <v>#REF!</v>
      </c>
      <c r="S73" s="2"/>
      <c r="T73" s="56"/>
      <c r="U73" s="56"/>
      <c r="V73" s="56"/>
      <c r="W73" s="56"/>
      <c r="X73" s="56"/>
      <c r="Y73" s="56"/>
      <c r="Z73" s="56"/>
      <c r="AA73" s="56"/>
      <c r="AB73" s="56"/>
      <c r="AC73" s="56"/>
      <c r="AD73" s="56"/>
      <c r="AE73" s="56"/>
      <c r="AF73" s="59" t="e">
        <f>(R73/M73)^(1/5)-1</f>
        <v>#REF!</v>
      </c>
      <c r="AG73" s="2"/>
      <c r="AH73" s="56" t="e">
        <v>#REF!</v>
      </c>
      <c r="AI73" s="56" t="e">
        <v>#REF!</v>
      </c>
      <c r="AJ73" s="56" t="e">
        <v>#REF!</v>
      </c>
      <c r="AK73" s="56" t="e">
        <v>#REF!</v>
      </c>
      <c r="AL73" s="56" t="e">
        <v>#REF!</v>
      </c>
      <c r="AM73" s="56" t="e">
        <v>#REF!</v>
      </c>
      <c r="AN73" s="56" t="e">
        <v>#REF!</v>
      </c>
      <c r="AO73" s="56" t="e">
        <v>#REF!</v>
      </c>
      <c r="AP73" s="56" t="e">
        <v>#REF!</v>
      </c>
      <c r="AQ73" s="56" t="e">
        <v>#REF!</v>
      </c>
      <c r="AR73" s="56" t="e">
        <v>#REF!</v>
      </c>
      <c r="AS73" s="56" t="e">
        <v>#REF!</v>
      </c>
      <c r="AT73" s="56" t="e">
        <v>#REF!</v>
      </c>
      <c r="AU73" s="56" t="e">
        <v>#REF!</v>
      </c>
      <c r="AV73" s="56" t="e">
        <v>#REF!</v>
      </c>
      <c r="AW73" s="56" t="e">
        <v>#REF!</v>
      </c>
      <c r="AX73" s="56" t="e">
        <v>#REF!</v>
      </c>
      <c r="AY73" s="56" t="e">
        <v>#REF!</v>
      </c>
      <c r="AZ73" s="56" t="e">
        <v>#REF!</v>
      </c>
      <c r="BA73" s="56" t="e">
        <v>#REF!</v>
      </c>
      <c r="BB73" s="56" t="e">
        <v>#REF!</v>
      </c>
      <c r="BC73" s="56" t="e">
        <v>#REF!</v>
      </c>
      <c r="BD73" s="56" t="e">
        <v>#REF!</v>
      </c>
      <c r="BE73" s="56" t="e">
        <v>#REF!</v>
      </c>
      <c r="BF73" s="69" t="e">
        <v>#REF!</v>
      </c>
      <c r="BG73" s="56" t="e">
        <v>#REF!</v>
      </c>
      <c r="BH73" s="56" t="e">
        <v>#REF!</v>
      </c>
      <c r="BI73" s="56" t="e">
        <v>#REF!</v>
      </c>
      <c r="BJ73" s="69" t="e">
        <v>#REF!</v>
      </c>
      <c r="BK73" s="56" t="e">
        <v>#REF!</v>
      </c>
      <c r="BL73" s="56" t="e">
        <v>#REF!</v>
      </c>
      <c r="BM73" s="56" t="e">
        <v>#REF!</v>
      </c>
      <c r="BN73" s="69" t="e">
        <v>#REF!</v>
      </c>
      <c r="BO73" s="56" t="e">
        <v>#REF!</v>
      </c>
      <c r="BP73" s="56" t="e">
        <v>#REF!</v>
      </c>
      <c r="BQ73" s="56" t="e">
        <v>#REF!</v>
      </c>
      <c r="BR73" s="70" t="e">
        <v>#REF!</v>
      </c>
      <c r="BS73" s="71" t="e">
        <v>#REF!</v>
      </c>
      <c r="BT73" s="71" t="e">
        <v>#REF!</v>
      </c>
      <c r="BU73" s="71" t="e">
        <v>#REF!</v>
      </c>
      <c r="BV73" s="58" t="e">
        <f>I73-SUM(AX73:BA73)</f>
        <v>#REF!</v>
      </c>
      <c r="BW73" s="2" t="e">
        <f>M73-SUM(BN73:BQ73)</f>
        <v>#REF!</v>
      </c>
      <c r="BX73" s="58" t="e">
        <f>K73-SUM(BF73:BI73)</f>
        <v>#REF!</v>
      </c>
      <c r="BY73" s="2" t="e">
        <f>L73-SUM(BJ73:BM73)</f>
        <v>#REF!</v>
      </c>
      <c r="BZ73" s="2" t="e">
        <f>N73-SUM(BR73:BU73)</f>
        <v>#REF!</v>
      </c>
      <c r="CA73" s="2"/>
      <c r="CB73" s="2"/>
      <c r="CC73" s="2"/>
      <c r="CD73" s="2"/>
      <c r="CE73" s="2"/>
      <c r="CF73" s="2"/>
      <c r="CG73" s="2"/>
      <c r="CH73" s="2"/>
      <c r="CI73" s="2"/>
      <c r="CJ73" s="2"/>
      <c r="CK73" s="2"/>
      <c r="CL73" s="2"/>
      <c r="CM73" s="2"/>
      <c r="CN73" s="2"/>
      <c r="CO73" s="2"/>
      <c r="CP73" s="2"/>
    </row>
    <row r="74" spans="1:94">
      <c r="A74" s="68" t="s">
        <v>952</v>
      </c>
      <c r="B74" s="6"/>
      <c r="C74" s="6"/>
      <c r="D74" s="6"/>
      <c r="E74" s="6"/>
      <c r="F74" s="6" t="e">
        <f t="shared" ref="F74:R74" si="87">F73/E73-1</f>
        <v>#REF!</v>
      </c>
      <c r="G74" s="6" t="e">
        <f t="shared" si="87"/>
        <v>#REF!</v>
      </c>
      <c r="H74" s="6" t="e">
        <f t="shared" si="87"/>
        <v>#REF!</v>
      </c>
      <c r="I74" s="6" t="e">
        <f t="shared" si="87"/>
        <v>#REF!</v>
      </c>
      <c r="J74" s="6" t="e">
        <f t="shared" si="87"/>
        <v>#REF!</v>
      </c>
      <c r="K74" s="6" t="e">
        <f t="shared" si="87"/>
        <v>#REF!</v>
      </c>
      <c r="L74" s="6" t="e">
        <f t="shared" si="87"/>
        <v>#REF!</v>
      </c>
      <c r="M74" s="6" t="e">
        <f t="shared" si="87"/>
        <v>#REF!</v>
      </c>
      <c r="N74" s="28" t="e">
        <f t="shared" si="87"/>
        <v>#REF!</v>
      </c>
      <c r="O74" s="28" t="e">
        <f t="shared" si="87"/>
        <v>#REF!</v>
      </c>
      <c r="P74" s="28" t="e">
        <f t="shared" si="87"/>
        <v>#REF!</v>
      </c>
      <c r="Q74" s="28" t="e">
        <f t="shared" si="87"/>
        <v>#REF!</v>
      </c>
      <c r="R74" s="28" t="e">
        <f t="shared" si="87"/>
        <v>#REF!</v>
      </c>
      <c r="S74" s="6"/>
      <c r="T74" s="6"/>
      <c r="U74" s="6"/>
      <c r="V74" s="6"/>
      <c r="W74" s="6"/>
      <c r="X74" s="6"/>
      <c r="Y74" s="6"/>
      <c r="Z74" s="6"/>
      <c r="AA74" s="6"/>
      <c r="AB74" s="6"/>
      <c r="AC74" s="6"/>
      <c r="AD74" s="6"/>
      <c r="AE74" s="6"/>
      <c r="AF74" s="47"/>
      <c r="AG74" s="2"/>
      <c r="AH74" s="6"/>
      <c r="AI74" s="6"/>
      <c r="AJ74" s="6"/>
      <c r="AK74" s="6"/>
      <c r="AL74" s="6" t="e">
        <f t="shared" ref="AL74:BU74" si="88">AL73/AH73-1</f>
        <v>#REF!</v>
      </c>
      <c r="AM74" s="6" t="e">
        <f t="shared" si="88"/>
        <v>#REF!</v>
      </c>
      <c r="AN74" s="6" t="e">
        <f t="shared" si="88"/>
        <v>#REF!</v>
      </c>
      <c r="AO74" s="6" t="e">
        <f t="shared" si="88"/>
        <v>#REF!</v>
      </c>
      <c r="AP74" s="6" t="e">
        <f t="shared" si="88"/>
        <v>#REF!</v>
      </c>
      <c r="AQ74" s="6" t="e">
        <f t="shared" si="88"/>
        <v>#REF!</v>
      </c>
      <c r="AR74" s="6" t="e">
        <f t="shared" si="88"/>
        <v>#REF!</v>
      </c>
      <c r="AS74" s="6" t="e">
        <f t="shared" si="88"/>
        <v>#REF!</v>
      </c>
      <c r="AT74" s="6" t="e">
        <f t="shared" si="88"/>
        <v>#REF!</v>
      </c>
      <c r="AU74" s="6" t="e">
        <f t="shared" si="88"/>
        <v>#REF!</v>
      </c>
      <c r="AV74" s="6" t="e">
        <f t="shared" si="88"/>
        <v>#REF!</v>
      </c>
      <c r="AW74" s="6" t="e">
        <f t="shared" si="88"/>
        <v>#REF!</v>
      </c>
      <c r="AX74" s="6" t="e">
        <f t="shared" si="88"/>
        <v>#REF!</v>
      </c>
      <c r="AY74" s="6" t="e">
        <f t="shared" si="88"/>
        <v>#REF!</v>
      </c>
      <c r="AZ74" s="6" t="e">
        <f t="shared" si="88"/>
        <v>#REF!</v>
      </c>
      <c r="BA74" s="6" t="e">
        <f t="shared" si="88"/>
        <v>#REF!</v>
      </c>
      <c r="BB74" s="6" t="e">
        <f t="shared" si="88"/>
        <v>#REF!</v>
      </c>
      <c r="BC74" s="6" t="e">
        <f t="shared" si="88"/>
        <v>#REF!</v>
      </c>
      <c r="BD74" s="6" t="e">
        <f t="shared" si="88"/>
        <v>#REF!</v>
      </c>
      <c r="BE74" s="6" t="e">
        <f t="shared" si="88"/>
        <v>#REF!</v>
      </c>
      <c r="BF74" s="63" t="e">
        <f t="shared" si="88"/>
        <v>#REF!</v>
      </c>
      <c r="BG74" s="6" t="e">
        <f t="shared" si="88"/>
        <v>#REF!</v>
      </c>
      <c r="BH74" s="6" t="e">
        <f t="shared" si="88"/>
        <v>#REF!</v>
      </c>
      <c r="BI74" s="6" t="e">
        <f t="shared" si="88"/>
        <v>#REF!</v>
      </c>
      <c r="BJ74" s="63" t="e">
        <f t="shared" si="88"/>
        <v>#REF!</v>
      </c>
      <c r="BK74" s="6" t="e">
        <f t="shared" si="88"/>
        <v>#REF!</v>
      </c>
      <c r="BL74" s="6" t="e">
        <f t="shared" si="88"/>
        <v>#REF!</v>
      </c>
      <c r="BM74" s="6" t="e">
        <f t="shared" si="88"/>
        <v>#REF!</v>
      </c>
      <c r="BN74" s="63" t="e">
        <f t="shared" si="88"/>
        <v>#REF!</v>
      </c>
      <c r="BO74" s="6" t="e">
        <f t="shared" si="88"/>
        <v>#REF!</v>
      </c>
      <c r="BP74" s="6" t="e">
        <f t="shared" si="88"/>
        <v>#REF!</v>
      </c>
      <c r="BQ74" s="6" t="e">
        <f t="shared" si="88"/>
        <v>#REF!</v>
      </c>
      <c r="BR74" s="64" t="e">
        <f t="shared" si="88"/>
        <v>#REF!</v>
      </c>
      <c r="BS74" s="28" t="e">
        <f t="shared" si="88"/>
        <v>#REF!</v>
      </c>
      <c r="BT74" s="28" t="e">
        <f t="shared" si="88"/>
        <v>#REF!</v>
      </c>
      <c r="BU74" s="28" t="e">
        <f t="shared" si="88"/>
        <v>#REF!</v>
      </c>
      <c r="BV74" s="6"/>
      <c r="BW74" s="6"/>
      <c r="BX74" s="6"/>
      <c r="BY74" s="6"/>
      <c r="BZ74" s="6"/>
      <c r="CA74" s="6"/>
      <c r="CB74" s="6"/>
      <c r="CC74" s="6"/>
      <c r="CD74" s="6"/>
      <c r="CE74" s="6"/>
      <c r="CF74" s="6"/>
      <c r="CG74" s="6"/>
      <c r="CH74" s="6"/>
      <c r="CI74" s="6"/>
      <c r="CJ74" s="6"/>
      <c r="CK74" s="6"/>
      <c r="CL74" s="6"/>
      <c r="CM74" s="6"/>
      <c r="CN74" s="6"/>
      <c r="CO74" s="6"/>
      <c r="CP74" s="6"/>
    </row>
    <row r="75" spans="1:94">
      <c r="A75" s="68" t="s">
        <v>950</v>
      </c>
      <c r="B75" s="6"/>
      <c r="C75" s="6"/>
      <c r="D75" s="6"/>
      <c r="E75" s="6" t="e">
        <f t="shared" ref="E75:R75" si="89">E73/E$29</f>
        <v>#REF!</v>
      </c>
      <c r="F75" s="6" t="e">
        <f t="shared" si="89"/>
        <v>#REF!</v>
      </c>
      <c r="G75" s="6" t="e">
        <f t="shared" si="89"/>
        <v>#REF!</v>
      </c>
      <c r="H75" s="6" t="e">
        <f t="shared" si="89"/>
        <v>#REF!</v>
      </c>
      <c r="I75" s="6" t="e">
        <f t="shared" si="89"/>
        <v>#REF!</v>
      </c>
      <c r="J75" s="6" t="e">
        <f t="shared" si="89"/>
        <v>#REF!</v>
      </c>
      <c r="K75" s="6" t="e">
        <f t="shared" si="89"/>
        <v>#REF!</v>
      </c>
      <c r="L75" s="6" t="e">
        <f t="shared" si="89"/>
        <v>#REF!</v>
      </c>
      <c r="M75" s="6" t="e">
        <f t="shared" si="89"/>
        <v>#REF!</v>
      </c>
      <c r="N75" s="28" t="e">
        <f t="shared" si="89"/>
        <v>#REF!</v>
      </c>
      <c r="O75" s="28" t="e">
        <f t="shared" si="89"/>
        <v>#REF!</v>
      </c>
      <c r="P75" s="28" t="e">
        <f t="shared" si="89"/>
        <v>#REF!</v>
      </c>
      <c r="Q75" s="28" t="e">
        <f t="shared" si="89"/>
        <v>#REF!</v>
      </c>
      <c r="R75" s="28" t="e">
        <f t="shared" si="89"/>
        <v>#REF!</v>
      </c>
      <c r="S75" s="6"/>
      <c r="T75" s="6"/>
      <c r="U75" s="6"/>
      <c r="V75" s="6"/>
      <c r="W75" s="6"/>
      <c r="X75" s="6"/>
      <c r="Y75" s="6"/>
      <c r="Z75" s="6"/>
      <c r="AA75" s="6"/>
      <c r="AB75" s="6"/>
      <c r="AC75" s="6"/>
      <c r="AD75" s="6"/>
      <c r="AE75" s="6"/>
      <c r="AF75" s="47"/>
      <c r="AG75" s="2"/>
      <c r="AH75" s="6" t="e">
        <f t="shared" ref="AH75:BU75" si="90">AH73/AH$29</f>
        <v>#REF!</v>
      </c>
      <c r="AI75" s="6" t="e">
        <f t="shared" si="90"/>
        <v>#REF!</v>
      </c>
      <c r="AJ75" s="6" t="e">
        <f t="shared" si="90"/>
        <v>#REF!</v>
      </c>
      <c r="AK75" s="6" t="e">
        <f t="shared" si="90"/>
        <v>#REF!</v>
      </c>
      <c r="AL75" s="6" t="e">
        <f t="shared" si="90"/>
        <v>#REF!</v>
      </c>
      <c r="AM75" s="6" t="e">
        <f t="shared" si="90"/>
        <v>#REF!</v>
      </c>
      <c r="AN75" s="6" t="e">
        <f t="shared" si="90"/>
        <v>#REF!</v>
      </c>
      <c r="AO75" s="6" t="e">
        <f t="shared" si="90"/>
        <v>#REF!</v>
      </c>
      <c r="AP75" s="6" t="e">
        <f t="shared" si="90"/>
        <v>#REF!</v>
      </c>
      <c r="AQ75" s="6" t="e">
        <f t="shared" si="90"/>
        <v>#REF!</v>
      </c>
      <c r="AR75" s="6" t="e">
        <f t="shared" si="90"/>
        <v>#REF!</v>
      </c>
      <c r="AS75" s="6" t="e">
        <f t="shared" si="90"/>
        <v>#REF!</v>
      </c>
      <c r="AT75" s="6" t="e">
        <f t="shared" si="90"/>
        <v>#REF!</v>
      </c>
      <c r="AU75" s="6" t="e">
        <f t="shared" si="90"/>
        <v>#REF!</v>
      </c>
      <c r="AV75" s="6" t="e">
        <f t="shared" si="90"/>
        <v>#REF!</v>
      </c>
      <c r="AW75" s="6" t="e">
        <f t="shared" si="90"/>
        <v>#REF!</v>
      </c>
      <c r="AX75" s="6" t="e">
        <f t="shared" si="90"/>
        <v>#REF!</v>
      </c>
      <c r="AY75" s="6" t="e">
        <f t="shared" si="90"/>
        <v>#REF!</v>
      </c>
      <c r="AZ75" s="6" t="e">
        <f t="shared" si="90"/>
        <v>#REF!</v>
      </c>
      <c r="BA75" s="6" t="e">
        <f t="shared" si="90"/>
        <v>#REF!</v>
      </c>
      <c r="BB75" s="6" t="e">
        <f t="shared" si="90"/>
        <v>#REF!</v>
      </c>
      <c r="BC75" s="6" t="e">
        <f t="shared" si="90"/>
        <v>#REF!</v>
      </c>
      <c r="BD75" s="6" t="e">
        <f t="shared" si="90"/>
        <v>#REF!</v>
      </c>
      <c r="BE75" s="6" t="e">
        <f t="shared" si="90"/>
        <v>#REF!</v>
      </c>
      <c r="BF75" s="63" t="e">
        <f t="shared" si="90"/>
        <v>#REF!</v>
      </c>
      <c r="BG75" s="6" t="e">
        <f t="shared" si="90"/>
        <v>#REF!</v>
      </c>
      <c r="BH75" s="6" t="e">
        <f t="shared" si="90"/>
        <v>#REF!</v>
      </c>
      <c r="BI75" s="6" t="e">
        <f t="shared" si="90"/>
        <v>#REF!</v>
      </c>
      <c r="BJ75" s="63" t="e">
        <f t="shared" si="90"/>
        <v>#REF!</v>
      </c>
      <c r="BK75" s="6" t="e">
        <f t="shared" si="90"/>
        <v>#REF!</v>
      </c>
      <c r="BL75" s="6" t="e">
        <f t="shared" si="90"/>
        <v>#REF!</v>
      </c>
      <c r="BM75" s="6" t="e">
        <f t="shared" si="90"/>
        <v>#REF!</v>
      </c>
      <c r="BN75" s="63" t="e">
        <f t="shared" si="90"/>
        <v>#REF!</v>
      </c>
      <c r="BO75" s="6" t="e">
        <f t="shared" si="90"/>
        <v>#REF!</v>
      </c>
      <c r="BP75" s="6" t="e">
        <f t="shared" si="90"/>
        <v>#REF!</v>
      </c>
      <c r="BQ75" s="6" t="e">
        <f t="shared" si="90"/>
        <v>#REF!</v>
      </c>
      <c r="BR75" s="64" t="e">
        <f t="shared" si="90"/>
        <v>#REF!</v>
      </c>
      <c r="BS75" s="28" t="e">
        <f t="shared" si="90"/>
        <v>#REF!</v>
      </c>
      <c r="BT75" s="28" t="e">
        <f t="shared" si="90"/>
        <v>#REF!</v>
      </c>
      <c r="BU75" s="28" t="e">
        <f t="shared" si="90"/>
        <v>#REF!</v>
      </c>
      <c r="BV75" s="6"/>
      <c r="BW75" s="6"/>
      <c r="BX75" s="6"/>
      <c r="BY75" s="6"/>
      <c r="BZ75" s="6"/>
      <c r="CA75" s="6"/>
      <c r="CB75" s="6"/>
      <c r="CC75" s="6"/>
      <c r="CD75" s="6"/>
      <c r="CE75" s="6"/>
      <c r="CF75" s="6"/>
      <c r="CG75" s="6"/>
      <c r="CH75" s="6"/>
      <c r="CI75" s="6"/>
      <c r="CJ75" s="6"/>
      <c r="CK75" s="6"/>
      <c r="CL75" s="6"/>
      <c r="CM75" s="6"/>
      <c r="CN75" s="6"/>
      <c r="CO75" s="6"/>
      <c r="CP75" s="6"/>
    </row>
    <row r="76" spans="1:94">
      <c r="A76" s="1" t="s">
        <v>979</v>
      </c>
      <c r="B76" s="2"/>
      <c r="C76" s="2"/>
      <c r="D76" s="2"/>
      <c r="E76" s="56" t="e">
        <f>E53+E62+E65-E70+E73</f>
        <v>#REF!</v>
      </c>
      <c r="F76" s="56" t="e">
        <f>F53+F62+F65-F70+F73</f>
        <v>#REF!</v>
      </c>
      <c r="G76" s="56" t="e">
        <f>SUM(AP76:AS76)</f>
        <v>#REF!</v>
      </c>
      <c r="H76" s="56" t="e">
        <f>H53+H62+H65-H70+H73</f>
        <v>#REF!</v>
      </c>
      <c r="I76" s="56" t="e">
        <f>I53+I62+I65-I70+I73</f>
        <v>#REF!</v>
      </c>
      <c r="J76" s="56" t="e">
        <f>J53+J62+J65-J70+J73+J60</f>
        <v>#REF!</v>
      </c>
      <c r="K76" s="56" t="e">
        <f>K53+K62+K65-K70+K73+K60</f>
        <v>#REF!</v>
      </c>
      <c r="L76" s="56" t="e">
        <f>L53+L62+L65-L70+L73+L60</f>
        <v>#REF!</v>
      </c>
      <c r="M76" s="56" t="e">
        <f>M53+M62+M65-M70+M73+M60</f>
        <v>#REF!</v>
      </c>
      <c r="N76" s="71" t="e">
        <f>N53+N62+N65-N70+N73</f>
        <v>#REF!</v>
      </c>
      <c r="O76" s="71" t="e">
        <f>O53+O62+O65-O70+O73</f>
        <v>#REF!</v>
      </c>
      <c r="P76" s="71" t="e">
        <f>P53+P62+P65-P70+P73</f>
        <v>#REF!</v>
      </c>
      <c r="Q76" s="71" t="e">
        <f>Q53+Q62+Q65-Q70+Q73</f>
        <v>#REF!</v>
      </c>
      <c r="R76" s="71" t="e">
        <f>R53+R62+R65-R70+R73</f>
        <v>#REF!</v>
      </c>
      <c r="S76" s="56"/>
      <c r="T76" s="56"/>
      <c r="U76" s="56"/>
      <c r="V76" s="56"/>
      <c r="W76" s="56"/>
      <c r="X76" s="56"/>
      <c r="Y76" s="56"/>
      <c r="Z76" s="56"/>
      <c r="AA76" s="56"/>
      <c r="AB76" s="56"/>
      <c r="AC76" s="56"/>
      <c r="AD76" s="56"/>
      <c r="AE76" s="56"/>
      <c r="AF76" s="59" t="e">
        <f>(R76/M76)^(1/5)-1</f>
        <v>#REF!</v>
      </c>
      <c r="AG76" s="2"/>
      <c r="AH76" s="56" t="e">
        <f t="shared" ref="AH76:BA76" si="91">AH53+AH62+AH65-AH70+AH73</f>
        <v>#REF!</v>
      </c>
      <c r="AI76" s="56" t="e">
        <f t="shared" si="91"/>
        <v>#REF!</v>
      </c>
      <c r="AJ76" s="56" t="e">
        <f t="shared" si="91"/>
        <v>#REF!</v>
      </c>
      <c r="AK76" s="56" t="e">
        <f t="shared" si="91"/>
        <v>#REF!</v>
      </c>
      <c r="AL76" s="56" t="e">
        <f t="shared" si="91"/>
        <v>#REF!</v>
      </c>
      <c r="AM76" s="56" t="e">
        <f t="shared" si="91"/>
        <v>#REF!</v>
      </c>
      <c r="AN76" s="56" t="e">
        <f t="shared" si="91"/>
        <v>#REF!</v>
      </c>
      <c r="AO76" s="56" t="e">
        <f t="shared" si="91"/>
        <v>#REF!</v>
      </c>
      <c r="AP76" s="56" t="e">
        <f t="shared" si="91"/>
        <v>#REF!</v>
      </c>
      <c r="AQ76" s="56" t="e">
        <f t="shared" si="91"/>
        <v>#REF!</v>
      </c>
      <c r="AR76" s="56" t="e">
        <f t="shared" si="91"/>
        <v>#REF!</v>
      </c>
      <c r="AS76" s="56" t="e">
        <f t="shared" si="91"/>
        <v>#REF!</v>
      </c>
      <c r="AT76" s="56" t="e">
        <f t="shared" si="91"/>
        <v>#REF!</v>
      </c>
      <c r="AU76" s="56" t="e">
        <f t="shared" si="91"/>
        <v>#REF!</v>
      </c>
      <c r="AV76" s="56" t="e">
        <f t="shared" si="91"/>
        <v>#REF!</v>
      </c>
      <c r="AW76" s="56" t="e">
        <f t="shared" si="91"/>
        <v>#REF!</v>
      </c>
      <c r="AX76" s="56" t="e">
        <f t="shared" si="91"/>
        <v>#REF!</v>
      </c>
      <c r="AY76" s="56" t="e">
        <f t="shared" si="91"/>
        <v>#REF!</v>
      </c>
      <c r="AZ76" s="56" t="e">
        <f t="shared" si="91"/>
        <v>#REF!</v>
      </c>
      <c r="BA76" s="56" t="e">
        <f t="shared" si="91"/>
        <v>#REF!</v>
      </c>
      <c r="BB76" s="56" t="e">
        <f t="shared" ref="BB76:BQ76" si="92">BB53+BB62+BB65-BB70+BB73+BB60</f>
        <v>#REF!</v>
      </c>
      <c r="BC76" s="56" t="e">
        <f t="shared" si="92"/>
        <v>#REF!</v>
      </c>
      <c r="BD76" s="56" t="e">
        <f t="shared" si="92"/>
        <v>#REF!</v>
      </c>
      <c r="BE76" s="56" t="e">
        <f t="shared" si="92"/>
        <v>#REF!</v>
      </c>
      <c r="BF76" s="69" t="e">
        <f t="shared" si="92"/>
        <v>#REF!</v>
      </c>
      <c r="BG76" s="56" t="e">
        <f t="shared" si="92"/>
        <v>#REF!</v>
      </c>
      <c r="BH76" s="56" t="e">
        <f t="shared" si="92"/>
        <v>#REF!</v>
      </c>
      <c r="BI76" s="56" t="e">
        <f t="shared" si="92"/>
        <v>#REF!</v>
      </c>
      <c r="BJ76" s="69" t="e">
        <f t="shared" si="92"/>
        <v>#REF!</v>
      </c>
      <c r="BK76" s="56" t="e">
        <f t="shared" si="92"/>
        <v>#REF!</v>
      </c>
      <c r="BL76" s="56" t="e">
        <f t="shared" si="92"/>
        <v>#REF!</v>
      </c>
      <c r="BM76" s="56" t="e">
        <f t="shared" si="92"/>
        <v>#REF!</v>
      </c>
      <c r="BN76" s="69" t="e">
        <f t="shared" si="92"/>
        <v>#REF!</v>
      </c>
      <c r="BO76" s="56" t="e">
        <f t="shared" si="92"/>
        <v>#REF!</v>
      </c>
      <c r="BP76" s="56" t="e">
        <f t="shared" si="92"/>
        <v>#REF!</v>
      </c>
      <c r="BQ76" s="56" t="e">
        <f t="shared" si="92"/>
        <v>#REF!</v>
      </c>
      <c r="BR76" s="70" t="e">
        <f>BR53+BR62+BR65-BR70+BR73</f>
        <v>#REF!</v>
      </c>
      <c r="BS76" s="71" t="e">
        <f>BS53+BS62+BS65-BS70+BS73</f>
        <v>#REF!</v>
      </c>
      <c r="BT76" s="71" t="e">
        <f>BT53+BT62+BT65-BT70+BT73</f>
        <v>#REF!</v>
      </c>
      <c r="BU76" s="71" t="e">
        <f>BU53+BU62+BU65-BU70+BU73</f>
        <v>#REF!</v>
      </c>
      <c r="BV76" s="58" t="e">
        <f>I76-SUM(AX76:BA76)</f>
        <v>#REF!</v>
      </c>
      <c r="BW76" s="2" t="e">
        <f>M76-SUM(BN76:BQ76)</f>
        <v>#REF!</v>
      </c>
      <c r="BX76" s="58" t="e">
        <f>K76-SUM(BF76:BI76)</f>
        <v>#REF!</v>
      </c>
      <c r="BY76" s="2" t="e">
        <f>L76-SUM(BJ76:BM76)</f>
        <v>#REF!</v>
      </c>
      <c r="BZ76" s="2" t="e">
        <f>N76-SUM(BR76:BU76)</f>
        <v>#REF!</v>
      </c>
      <c r="CA76" s="2"/>
      <c r="CB76" s="2"/>
      <c r="CC76" s="2"/>
      <c r="CD76" s="2"/>
      <c r="CE76" s="2"/>
      <c r="CF76" s="2"/>
      <c r="CG76" s="2"/>
      <c r="CH76" s="2"/>
      <c r="CI76" s="2"/>
      <c r="CJ76" s="2"/>
      <c r="CK76" s="2"/>
      <c r="CL76" s="2"/>
      <c r="CM76" s="2"/>
      <c r="CN76" s="2"/>
      <c r="CO76" s="2"/>
      <c r="CP76" s="2"/>
    </row>
    <row r="77" spans="1:94">
      <c r="A77" s="68" t="s">
        <v>952</v>
      </c>
      <c r="B77" s="6"/>
      <c r="C77" s="6"/>
      <c r="D77" s="6"/>
      <c r="E77" s="6"/>
      <c r="F77" s="6" t="e">
        <f t="shared" ref="F77:R77" si="93">F76/E76-1</f>
        <v>#REF!</v>
      </c>
      <c r="G77" s="6" t="e">
        <f t="shared" si="93"/>
        <v>#REF!</v>
      </c>
      <c r="H77" s="6" t="e">
        <f t="shared" si="93"/>
        <v>#REF!</v>
      </c>
      <c r="I77" s="6" t="e">
        <f t="shared" si="93"/>
        <v>#REF!</v>
      </c>
      <c r="J77" s="6" t="e">
        <f t="shared" si="93"/>
        <v>#REF!</v>
      </c>
      <c r="K77" s="6" t="e">
        <f t="shared" si="93"/>
        <v>#REF!</v>
      </c>
      <c r="L77" s="6" t="e">
        <f t="shared" si="93"/>
        <v>#REF!</v>
      </c>
      <c r="M77" s="6" t="e">
        <f t="shared" si="93"/>
        <v>#REF!</v>
      </c>
      <c r="N77" s="28" t="e">
        <f t="shared" si="93"/>
        <v>#REF!</v>
      </c>
      <c r="O77" s="28" t="e">
        <f t="shared" si="93"/>
        <v>#REF!</v>
      </c>
      <c r="P77" s="28" t="e">
        <f t="shared" si="93"/>
        <v>#REF!</v>
      </c>
      <c r="Q77" s="28" t="e">
        <f t="shared" si="93"/>
        <v>#REF!</v>
      </c>
      <c r="R77" s="28" t="e">
        <f t="shared" si="93"/>
        <v>#REF!</v>
      </c>
      <c r="S77" s="6"/>
      <c r="T77" s="6"/>
      <c r="U77" s="6"/>
      <c r="V77" s="6"/>
      <c r="W77" s="6"/>
      <c r="X77" s="6"/>
      <c r="Y77" s="6"/>
      <c r="Z77" s="6"/>
      <c r="AA77" s="6"/>
      <c r="AB77" s="6"/>
      <c r="AC77" s="6"/>
      <c r="AD77" s="6"/>
      <c r="AE77" s="6"/>
      <c r="AF77" s="47"/>
      <c r="AG77" s="2"/>
      <c r="AH77" s="6"/>
      <c r="AI77" s="6"/>
      <c r="AJ77" s="6"/>
      <c r="AK77" s="6"/>
      <c r="AL77" s="6" t="e">
        <f t="shared" ref="AL77:BU77" si="94">AL76/AH76-1</f>
        <v>#REF!</v>
      </c>
      <c r="AM77" s="6" t="e">
        <f t="shared" si="94"/>
        <v>#REF!</v>
      </c>
      <c r="AN77" s="6" t="e">
        <f t="shared" si="94"/>
        <v>#REF!</v>
      </c>
      <c r="AO77" s="6" t="e">
        <f t="shared" si="94"/>
        <v>#REF!</v>
      </c>
      <c r="AP77" s="6" t="e">
        <f t="shared" si="94"/>
        <v>#REF!</v>
      </c>
      <c r="AQ77" s="6" t="e">
        <f t="shared" si="94"/>
        <v>#REF!</v>
      </c>
      <c r="AR77" s="6" t="e">
        <f t="shared" si="94"/>
        <v>#REF!</v>
      </c>
      <c r="AS77" s="6" t="e">
        <f t="shared" si="94"/>
        <v>#REF!</v>
      </c>
      <c r="AT77" s="6" t="e">
        <f t="shared" si="94"/>
        <v>#REF!</v>
      </c>
      <c r="AU77" s="6" t="e">
        <f t="shared" si="94"/>
        <v>#REF!</v>
      </c>
      <c r="AV77" s="6" t="e">
        <f t="shared" si="94"/>
        <v>#REF!</v>
      </c>
      <c r="AW77" s="6" t="e">
        <f t="shared" si="94"/>
        <v>#REF!</v>
      </c>
      <c r="AX77" s="6" t="e">
        <f t="shared" si="94"/>
        <v>#REF!</v>
      </c>
      <c r="AY77" s="6" t="e">
        <f t="shared" si="94"/>
        <v>#REF!</v>
      </c>
      <c r="AZ77" s="6" t="e">
        <f t="shared" si="94"/>
        <v>#REF!</v>
      </c>
      <c r="BA77" s="6" t="e">
        <f t="shared" si="94"/>
        <v>#REF!</v>
      </c>
      <c r="BB77" s="6" t="e">
        <f t="shared" si="94"/>
        <v>#REF!</v>
      </c>
      <c r="BC77" s="6" t="e">
        <f t="shared" si="94"/>
        <v>#REF!</v>
      </c>
      <c r="BD77" s="6" t="e">
        <f t="shared" si="94"/>
        <v>#REF!</v>
      </c>
      <c r="BE77" s="6" t="e">
        <f t="shared" si="94"/>
        <v>#REF!</v>
      </c>
      <c r="BF77" s="63" t="e">
        <f t="shared" si="94"/>
        <v>#REF!</v>
      </c>
      <c r="BG77" s="6" t="e">
        <f t="shared" si="94"/>
        <v>#REF!</v>
      </c>
      <c r="BH77" s="6" t="e">
        <f t="shared" si="94"/>
        <v>#REF!</v>
      </c>
      <c r="BI77" s="6" t="e">
        <f t="shared" si="94"/>
        <v>#REF!</v>
      </c>
      <c r="BJ77" s="63" t="e">
        <f t="shared" si="94"/>
        <v>#REF!</v>
      </c>
      <c r="BK77" s="6" t="e">
        <f t="shared" si="94"/>
        <v>#REF!</v>
      </c>
      <c r="BL77" s="6" t="e">
        <f t="shared" si="94"/>
        <v>#REF!</v>
      </c>
      <c r="BM77" s="6" t="e">
        <f t="shared" si="94"/>
        <v>#REF!</v>
      </c>
      <c r="BN77" s="63" t="e">
        <f t="shared" si="94"/>
        <v>#REF!</v>
      </c>
      <c r="BO77" s="6" t="e">
        <f t="shared" si="94"/>
        <v>#REF!</v>
      </c>
      <c r="BP77" s="6" t="e">
        <f t="shared" si="94"/>
        <v>#REF!</v>
      </c>
      <c r="BQ77" s="6" t="e">
        <f t="shared" si="94"/>
        <v>#REF!</v>
      </c>
      <c r="BR77" s="64" t="e">
        <f t="shared" si="94"/>
        <v>#REF!</v>
      </c>
      <c r="BS77" s="28" t="e">
        <f t="shared" si="94"/>
        <v>#REF!</v>
      </c>
      <c r="BT77" s="28" t="e">
        <f t="shared" si="94"/>
        <v>#REF!</v>
      </c>
      <c r="BU77" s="28" t="e">
        <f t="shared" si="94"/>
        <v>#REF!</v>
      </c>
      <c r="BV77" s="6"/>
      <c r="BW77" s="6"/>
      <c r="BX77" s="6"/>
      <c r="BY77" s="6"/>
      <c r="BZ77" s="6"/>
      <c r="CA77" s="6"/>
      <c r="CB77" s="6"/>
      <c r="CC77" s="6"/>
      <c r="CD77" s="6"/>
      <c r="CE77" s="6"/>
      <c r="CF77" s="6"/>
      <c r="CG77" s="6"/>
      <c r="CH77" s="6"/>
      <c r="CI77" s="6"/>
      <c r="CJ77" s="6"/>
      <c r="CK77" s="6"/>
      <c r="CL77" s="6"/>
      <c r="CM77" s="6"/>
      <c r="CN77" s="6"/>
      <c r="CO77" s="6"/>
      <c r="CP77" s="6"/>
    </row>
    <row r="78" spans="1:94">
      <c r="A78" s="68" t="s">
        <v>950</v>
      </c>
      <c r="B78" s="6"/>
      <c r="C78" s="6"/>
      <c r="D78" s="6"/>
      <c r="E78" s="6" t="e">
        <f t="shared" ref="E78:R78" si="95">E76/E$29</f>
        <v>#REF!</v>
      </c>
      <c r="F78" s="6" t="e">
        <f t="shared" si="95"/>
        <v>#REF!</v>
      </c>
      <c r="G78" s="6" t="e">
        <f t="shared" si="95"/>
        <v>#REF!</v>
      </c>
      <c r="H78" s="6" t="e">
        <f t="shared" si="95"/>
        <v>#REF!</v>
      </c>
      <c r="I78" s="6" t="e">
        <f t="shared" si="95"/>
        <v>#REF!</v>
      </c>
      <c r="J78" s="6" t="e">
        <f t="shared" si="95"/>
        <v>#REF!</v>
      </c>
      <c r="K78" s="6" t="e">
        <f t="shared" si="95"/>
        <v>#REF!</v>
      </c>
      <c r="L78" s="6" t="e">
        <f t="shared" si="95"/>
        <v>#REF!</v>
      </c>
      <c r="M78" s="6" t="e">
        <f t="shared" si="95"/>
        <v>#REF!</v>
      </c>
      <c r="N78" s="28" t="e">
        <f t="shared" si="95"/>
        <v>#REF!</v>
      </c>
      <c r="O78" s="28" t="e">
        <f t="shared" si="95"/>
        <v>#REF!</v>
      </c>
      <c r="P78" s="28" t="e">
        <f t="shared" si="95"/>
        <v>#REF!</v>
      </c>
      <c r="Q78" s="28" t="e">
        <f t="shared" si="95"/>
        <v>#REF!</v>
      </c>
      <c r="R78" s="28" t="e">
        <f t="shared" si="95"/>
        <v>#REF!</v>
      </c>
      <c r="S78" s="6"/>
      <c r="T78" s="6"/>
      <c r="U78" s="6"/>
      <c r="V78" s="6"/>
      <c r="W78" s="6"/>
      <c r="X78" s="6"/>
      <c r="Y78" s="6"/>
      <c r="Z78" s="6"/>
      <c r="AA78" s="6"/>
      <c r="AB78" s="6"/>
      <c r="AC78" s="6"/>
      <c r="AD78" s="6"/>
      <c r="AE78" s="6"/>
      <c r="AF78" s="47"/>
      <c r="AG78" s="2"/>
      <c r="AH78" s="6" t="e">
        <f t="shared" ref="AH78:BU78" si="96">AH76/AH$29</f>
        <v>#REF!</v>
      </c>
      <c r="AI78" s="6" t="e">
        <f t="shared" si="96"/>
        <v>#REF!</v>
      </c>
      <c r="AJ78" s="6" t="e">
        <f t="shared" si="96"/>
        <v>#REF!</v>
      </c>
      <c r="AK78" s="6" t="e">
        <f t="shared" si="96"/>
        <v>#REF!</v>
      </c>
      <c r="AL78" s="6" t="e">
        <f t="shared" si="96"/>
        <v>#REF!</v>
      </c>
      <c r="AM78" s="6" t="e">
        <f t="shared" si="96"/>
        <v>#REF!</v>
      </c>
      <c r="AN78" s="6" t="e">
        <f t="shared" si="96"/>
        <v>#REF!</v>
      </c>
      <c r="AO78" s="6" t="e">
        <f t="shared" si="96"/>
        <v>#REF!</v>
      </c>
      <c r="AP78" s="6" t="e">
        <f t="shared" si="96"/>
        <v>#REF!</v>
      </c>
      <c r="AQ78" s="6" t="e">
        <f t="shared" si="96"/>
        <v>#REF!</v>
      </c>
      <c r="AR78" s="6" t="e">
        <f t="shared" si="96"/>
        <v>#REF!</v>
      </c>
      <c r="AS78" s="6" t="e">
        <f t="shared" si="96"/>
        <v>#REF!</v>
      </c>
      <c r="AT78" s="6" t="e">
        <f t="shared" si="96"/>
        <v>#REF!</v>
      </c>
      <c r="AU78" s="6" t="e">
        <f t="shared" si="96"/>
        <v>#REF!</v>
      </c>
      <c r="AV78" s="6" t="e">
        <f t="shared" si="96"/>
        <v>#REF!</v>
      </c>
      <c r="AW78" s="6" t="e">
        <f t="shared" si="96"/>
        <v>#REF!</v>
      </c>
      <c r="AX78" s="6" t="e">
        <f t="shared" si="96"/>
        <v>#REF!</v>
      </c>
      <c r="AY78" s="6" t="e">
        <f t="shared" si="96"/>
        <v>#REF!</v>
      </c>
      <c r="AZ78" s="6" t="e">
        <f t="shared" si="96"/>
        <v>#REF!</v>
      </c>
      <c r="BA78" s="6" t="e">
        <f t="shared" si="96"/>
        <v>#REF!</v>
      </c>
      <c r="BB78" s="6" t="e">
        <f t="shared" si="96"/>
        <v>#REF!</v>
      </c>
      <c r="BC78" s="6" t="e">
        <f t="shared" si="96"/>
        <v>#REF!</v>
      </c>
      <c r="BD78" s="6" t="e">
        <f t="shared" si="96"/>
        <v>#REF!</v>
      </c>
      <c r="BE78" s="6" t="e">
        <f t="shared" si="96"/>
        <v>#REF!</v>
      </c>
      <c r="BF78" s="63" t="e">
        <f t="shared" si="96"/>
        <v>#REF!</v>
      </c>
      <c r="BG78" s="6" t="e">
        <f t="shared" si="96"/>
        <v>#REF!</v>
      </c>
      <c r="BH78" s="6" t="e">
        <f t="shared" si="96"/>
        <v>#REF!</v>
      </c>
      <c r="BI78" s="6" t="e">
        <f t="shared" si="96"/>
        <v>#REF!</v>
      </c>
      <c r="BJ78" s="63" t="e">
        <f t="shared" si="96"/>
        <v>#REF!</v>
      </c>
      <c r="BK78" s="6" t="e">
        <f t="shared" si="96"/>
        <v>#REF!</v>
      </c>
      <c r="BL78" s="6" t="e">
        <f t="shared" si="96"/>
        <v>#REF!</v>
      </c>
      <c r="BM78" s="6" t="e">
        <f t="shared" si="96"/>
        <v>#REF!</v>
      </c>
      <c r="BN78" s="63" t="e">
        <f t="shared" si="96"/>
        <v>#REF!</v>
      </c>
      <c r="BO78" s="6" t="e">
        <f t="shared" si="96"/>
        <v>#REF!</v>
      </c>
      <c r="BP78" s="6" t="e">
        <f t="shared" si="96"/>
        <v>#REF!</v>
      </c>
      <c r="BQ78" s="6" t="e">
        <f t="shared" si="96"/>
        <v>#REF!</v>
      </c>
      <c r="BR78" s="64" t="e">
        <f t="shared" si="96"/>
        <v>#REF!</v>
      </c>
      <c r="BS78" s="28" t="e">
        <f t="shared" si="96"/>
        <v>#REF!</v>
      </c>
      <c r="BT78" s="28" t="e">
        <f t="shared" si="96"/>
        <v>#REF!</v>
      </c>
      <c r="BU78" s="28" t="e">
        <f t="shared" si="96"/>
        <v>#REF!</v>
      </c>
      <c r="BV78" s="6"/>
      <c r="BW78" s="6"/>
      <c r="BX78" s="6"/>
      <c r="BY78" s="6"/>
      <c r="BZ78" s="6"/>
      <c r="CA78" s="6"/>
      <c r="CB78" s="6"/>
      <c r="CC78" s="6"/>
      <c r="CD78" s="6"/>
      <c r="CE78" s="6"/>
      <c r="CF78" s="6"/>
      <c r="CG78" s="6"/>
      <c r="CH78" s="6"/>
      <c r="CI78" s="6"/>
      <c r="CJ78" s="6"/>
      <c r="CK78" s="6"/>
      <c r="CL78" s="6"/>
      <c r="CM78" s="6"/>
      <c r="CN78" s="6"/>
      <c r="CO78" s="6"/>
      <c r="CP78" s="6"/>
    </row>
    <row r="79" spans="1:94">
      <c r="A79" s="1" t="s">
        <v>980</v>
      </c>
      <c r="B79" s="2"/>
      <c r="C79" s="2"/>
      <c r="D79" s="2"/>
      <c r="E79" s="56" t="e">
        <v>#REF!</v>
      </c>
      <c r="F79" s="56" t="e">
        <v>#REF!</v>
      </c>
      <c r="G79" s="56" t="e">
        <f>SUM(AP79:AS79)</f>
        <v>#REF!</v>
      </c>
      <c r="H79" s="2" t="e">
        <f>SUM(AT79:AW79)</f>
        <v>#REF!</v>
      </c>
      <c r="I79" s="56" t="e">
        <f>SUM(AX79:BA79)</f>
        <v>#REF!</v>
      </c>
      <c r="J79" s="56" t="e">
        <f>SUM(BB79:BE79)</f>
        <v>#REF!</v>
      </c>
      <c r="K79" s="56" t="e">
        <f>SUM(BF79:BI79)</f>
        <v>#REF!</v>
      </c>
      <c r="L79" s="56" t="e">
        <f>SUM(BJ79:BM79)</f>
        <v>#REF!</v>
      </c>
      <c r="M79" s="56" t="e">
        <f>M81*(M76)</f>
        <v>#REF!</v>
      </c>
      <c r="N79" s="71" t="e">
        <f>SUM(BR79:BU79)</f>
        <v>#REF!</v>
      </c>
      <c r="O79" s="71" t="e">
        <f>O81*(O76)</f>
        <v>#REF!</v>
      </c>
      <c r="P79" s="71" t="e">
        <f>P81*(P76)</f>
        <v>#REF!</v>
      </c>
      <c r="Q79" s="71" t="e">
        <f>Q81*(Q76)</f>
        <v>#REF!</v>
      </c>
      <c r="R79" s="71" t="e">
        <f>R81*(R76)</f>
        <v>#REF!</v>
      </c>
      <c r="S79" s="56"/>
      <c r="T79" s="56"/>
      <c r="U79" s="56"/>
      <c r="V79" s="56"/>
      <c r="W79" s="56"/>
      <c r="X79" s="56"/>
      <c r="Y79" s="56"/>
      <c r="Z79" s="56"/>
      <c r="AA79" s="56"/>
      <c r="AB79" s="56"/>
      <c r="AC79" s="56"/>
      <c r="AD79" s="56"/>
      <c r="AE79" s="56"/>
      <c r="AF79" s="59" t="e">
        <f>(R79/M79)^(1/5)-1</f>
        <v>#REF!</v>
      </c>
      <c r="AG79" s="2"/>
      <c r="AH79" s="56" t="e">
        <v>#REF!</v>
      </c>
      <c r="AI79" s="56" t="e">
        <v>#REF!</v>
      </c>
      <c r="AJ79" s="56" t="e">
        <v>#REF!</v>
      </c>
      <c r="AK79" s="56" t="e">
        <v>#REF!</v>
      </c>
      <c r="AL79" s="56" t="e">
        <v>#REF!</v>
      </c>
      <c r="AM79" s="56" t="e">
        <v>#REF!</v>
      </c>
      <c r="AN79" s="56" t="e">
        <v>#REF!</v>
      </c>
      <c r="AO79" s="56" t="e">
        <v>#REF!</v>
      </c>
      <c r="AP79" s="56" t="e">
        <v>#REF!</v>
      </c>
      <c r="AQ79" s="56" t="e">
        <v>#REF!</v>
      </c>
      <c r="AR79" s="56" t="e">
        <v>#REF!</v>
      </c>
      <c r="AS79" s="56" t="e">
        <v>#REF!</v>
      </c>
      <c r="AT79" s="56" t="e">
        <v>#REF!</v>
      </c>
      <c r="AU79" s="56" t="e">
        <v>#REF!</v>
      </c>
      <c r="AV79" s="56" t="e">
        <v>#REF!</v>
      </c>
      <c r="AW79" s="56" t="e">
        <v>#REF!</v>
      </c>
      <c r="AX79" s="56" t="e">
        <v>#REF!</v>
      </c>
      <c r="AY79" s="56" t="e">
        <v>#REF!</v>
      </c>
      <c r="AZ79" s="56" t="e">
        <v>#REF!</v>
      </c>
      <c r="BA79" s="56" t="e">
        <v>#REF!</v>
      </c>
      <c r="BB79" s="56" t="e">
        <v>#REF!</v>
      </c>
      <c r="BC79" s="56" t="e">
        <v>#REF!</v>
      </c>
      <c r="BD79" s="56" t="e">
        <v>#REF!</v>
      </c>
      <c r="BE79" s="56" t="e">
        <v>#REF!</v>
      </c>
      <c r="BF79" s="69" t="e">
        <v>#REF!</v>
      </c>
      <c r="BG79" s="56" t="e">
        <v>#REF!</v>
      </c>
      <c r="BH79" s="56" t="e">
        <v>#REF!</v>
      </c>
      <c r="BI79" s="56" t="e">
        <v>#REF!</v>
      </c>
      <c r="BJ79" s="69" t="e">
        <v>#REF!</v>
      </c>
      <c r="BK79" s="56" t="e">
        <v>#REF!</v>
      </c>
      <c r="BL79" s="56" t="e">
        <v>#REF!</v>
      </c>
      <c r="BM79" s="56" t="e">
        <v>#REF!</v>
      </c>
      <c r="BN79" s="69" t="e">
        <v>#REF!</v>
      </c>
      <c r="BO79" s="56" t="e">
        <v>#REF!</v>
      </c>
      <c r="BP79" s="56" t="e">
        <v>#REF!</v>
      </c>
      <c r="BQ79" s="56" t="e">
        <v>#REF!</v>
      </c>
      <c r="BR79" s="70" t="e">
        <f>BR81*BR76</f>
        <v>#REF!</v>
      </c>
      <c r="BS79" s="71" t="e">
        <f>BS81*BS76</f>
        <v>#REF!</v>
      </c>
      <c r="BT79" s="71" t="e">
        <f>BT81*BT76</f>
        <v>#REF!</v>
      </c>
      <c r="BU79" s="71" t="e">
        <f>BU81*BU76</f>
        <v>#REF!</v>
      </c>
      <c r="BV79" s="58" t="e">
        <f>I79-SUM(AX79:BA79)</f>
        <v>#REF!</v>
      </c>
      <c r="BW79" s="2" t="e">
        <f>M79-SUM(BN79:BQ79)</f>
        <v>#REF!</v>
      </c>
      <c r="BX79" s="58" t="e">
        <f>K79-SUM(BF79:BI79)</f>
        <v>#REF!</v>
      </c>
      <c r="BY79" s="2" t="e">
        <f>L79-SUM(BJ79:BM79)</f>
        <v>#REF!</v>
      </c>
      <c r="BZ79" s="2" t="e">
        <f>N79-SUM(BR79:BU79)</f>
        <v>#REF!</v>
      </c>
      <c r="CA79" s="2"/>
      <c r="CB79" s="2"/>
      <c r="CC79" s="2"/>
      <c r="CD79" s="2"/>
      <c r="CE79" s="2"/>
      <c r="CF79" s="2"/>
      <c r="CG79" s="2"/>
      <c r="CH79" s="2"/>
      <c r="CI79" s="2"/>
      <c r="CJ79" s="2"/>
      <c r="CK79" s="2"/>
      <c r="CL79" s="2"/>
      <c r="CM79" s="2"/>
      <c r="CN79" s="2"/>
      <c r="CO79" s="2"/>
      <c r="CP79" s="2"/>
    </row>
    <row r="80" spans="1:94">
      <c r="A80" s="68" t="s">
        <v>952</v>
      </c>
      <c r="B80" s="6"/>
      <c r="C80" s="6"/>
      <c r="D80" s="6"/>
      <c r="E80" s="6"/>
      <c r="F80" s="6" t="e">
        <f t="shared" ref="F80:R80" si="97">F79/E79-1</f>
        <v>#REF!</v>
      </c>
      <c r="G80" s="6" t="e">
        <f t="shared" si="97"/>
        <v>#REF!</v>
      </c>
      <c r="H80" s="6" t="e">
        <f t="shared" si="97"/>
        <v>#REF!</v>
      </c>
      <c r="I80" s="6" t="e">
        <f t="shared" si="97"/>
        <v>#REF!</v>
      </c>
      <c r="J80" s="6" t="e">
        <f t="shared" si="97"/>
        <v>#REF!</v>
      </c>
      <c r="K80" s="6" t="e">
        <f t="shared" si="97"/>
        <v>#REF!</v>
      </c>
      <c r="L80" s="6" t="e">
        <f t="shared" si="97"/>
        <v>#REF!</v>
      </c>
      <c r="M80" s="6" t="e">
        <f t="shared" si="97"/>
        <v>#REF!</v>
      </c>
      <c r="N80" s="28" t="e">
        <f t="shared" si="97"/>
        <v>#REF!</v>
      </c>
      <c r="O80" s="28" t="e">
        <f t="shared" si="97"/>
        <v>#REF!</v>
      </c>
      <c r="P80" s="28" t="e">
        <f t="shared" si="97"/>
        <v>#REF!</v>
      </c>
      <c r="Q80" s="28" t="e">
        <f t="shared" si="97"/>
        <v>#REF!</v>
      </c>
      <c r="R80" s="28" t="e">
        <f t="shared" si="97"/>
        <v>#REF!</v>
      </c>
      <c r="S80" s="6"/>
      <c r="T80" s="6"/>
      <c r="U80" s="6"/>
      <c r="V80" s="6"/>
      <c r="W80" s="6"/>
      <c r="X80" s="6"/>
      <c r="Y80" s="6"/>
      <c r="Z80" s="6"/>
      <c r="AA80" s="6"/>
      <c r="AB80" s="6"/>
      <c r="AC80" s="6"/>
      <c r="AD80" s="6"/>
      <c r="AE80" s="6"/>
      <c r="AF80" s="47"/>
      <c r="AG80" s="2"/>
      <c r="AH80" s="6"/>
      <c r="AI80" s="6"/>
      <c r="AJ80" s="6"/>
      <c r="AK80" s="6"/>
      <c r="AL80" s="6" t="e">
        <f t="shared" ref="AL80:BU80" si="98">AL79/AH79-1</f>
        <v>#REF!</v>
      </c>
      <c r="AM80" s="6" t="e">
        <f t="shared" si="98"/>
        <v>#REF!</v>
      </c>
      <c r="AN80" s="6" t="e">
        <f t="shared" si="98"/>
        <v>#REF!</v>
      </c>
      <c r="AO80" s="6" t="e">
        <f t="shared" si="98"/>
        <v>#REF!</v>
      </c>
      <c r="AP80" s="6" t="e">
        <f t="shared" si="98"/>
        <v>#REF!</v>
      </c>
      <c r="AQ80" s="6" t="e">
        <f t="shared" si="98"/>
        <v>#REF!</v>
      </c>
      <c r="AR80" s="6" t="e">
        <f t="shared" si="98"/>
        <v>#REF!</v>
      </c>
      <c r="AS80" s="6" t="e">
        <f t="shared" si="98"/>
        <v>#REF!</v>
      </c>
      <c r="AT80" s="6" t="e">
        <f t="shared" si="98"/>
        <v>#REF!</v>
      </c>
      <c r="AU80" s="6" t="e">
        <f t="shared" si="98"/>
        <v>#REF!</v>
      </c>
      <c r="AV80" s="6" t="e">
        <f t="shared" si="98"/>
        <v>#REF!</v>
      </c>
      <c r="AW80" s="6" t="e">
        <f t="shared" si="98"/>
        <v>#REF!</v>
      </c>
      <c r="AX80" s="6" t="e">
        <f t="shared" si="98"/>
        <v>#REF!</v>
      </c>
      <c r="AY80" s="6" t="e">
        <f t="shared" si="98"/>
        <v>#REF!</v>
      </c>
      <c r="AZ80" s="6" t="e">
        <f t="shared" si="98"/>
        <v>#REF!</v>
      </c>
      <c r="BA80" s="6" t="e">
        <f t="shared" si="98"/>
        <v>#REF!</v>
      </c>
      <c r="BB80" s="6" t="e">
        <f t="shared" si="98"/>
        <v>#REF!</v>
      </c>
      <c r="BC80" s="6" t="e">
        <f t="shared" si="98"/>
        <v>#REF!</v>
      </c>
      <c r="BD80" s="6" t="e">
        <f t="shared" si="98"/>
        <v>#REF!</v>
      </c>
      <c r="BE80" s="6" t="e">
        <f t="shared" si="98"/>
        <v>#REF!</v>
      </c>
      <c r="BF80" s="63" t="e">
        <f t="shared" si="98"/>
        <v>#REF!</v>
      </c>
      <c r="BG80" s="6" t="e">
        <f t="shared" si="98"/>
        <v>#REF!</v>
      </c>
      <c r="BH80" s="6" t="e">
        <f t="shared" si="98"/>
        <v>#REF!</v>
      </c>
      <c r="BI80" s="6" t="e">
        <f t="shared" si="98"/>
        <v>#REF!</v>
      </c>
      <c r="BJ80" s="63" t="e">
        <f t="shared" si="98"/>
        <v>#REF!</v>
      </c>
      <c r="BK80" s="6" t="e">
        <f t="shared" si="98"/>
        <v>#REF!</v>
      </c>
      <c r="BL80" s="6" t="e">
        <f t="shared" si="98"/>
        <v>#REF!</v>
      </c>
      <c r="BM80" s="6" t="e">
        <f t="shared" si="98"/>
        <v>#REF!</v>
      </c>
      <c r="BN80" s="63" t="e">
        <f t="shared" si="98"/>
        <v>#REF!</v>
      </c>
      <c r="BO80" s="6" t="e">
        <f t="shared" si="98"/>
        <v>#REF!</v>
      </c>
      <c r="BP80" s="6" t="e">
        <f t="shared" si="98"/>
        <v>#REF!</v>
      </c>
      <c r="BQ80" s="6" t="e">
        <f t="shared" si="98"/>
        <v>#REF!</v>
      </c>
      <c r="BR80" s="64" t="e">
        <f t="shared" si="98"/>
        <v>#REF!</v>
      </c>
      <c r="BS80" s="28" t="e">
        <f t="shared" si="98"/>
        <v>#REF!</v>
      </c>
      <c r="BT80" s="28" t="e">
        <f t="shared" si="98"/>
        <v>#REF!</v>
      </c>
      <c r="BU80" s="28" t="e">
        <f t="shared" si="98"/>
        <v>#REF!</v>
      </c>
      <c r="BV80" s="6"/>
      <c r="BW80" s="6"/>
      <c r="BX80" s="6"/>
      <c r="BY80" s="6"/>
      <c r="BZ80" s="6"/>
      <c r="CA80" s="6"/>
      <c r="CB80" s="6"/>
      <c r="CC80" s="6"/>
      <c r="CD80" s="6"/>
      <c r="CE80" s="6"/>
      <c r="CF80" s="6"/>
      <c r="CG80" s="6"/>
      <c r="CH80" s="6"/>
      <c r="CI80" s="6"/>
      <c r="CJ80" s="6"/>
      <c r="CK80" s="6"/>
      <c r="CL80" s="6"/>
      <c r="CM80" s="6"/>
      <c r="CN80" s="6"/>
      <c r="CO80" s="6"/>
      <c r="CP80" s="6"/>
    </row>
    <row r="81" spans="1:94">
      <c r="A81" s="68" t="s">
        <v>981</v>
      </c>
      <c r="B81" s="6"/>
      <c r="C81" s="6"/>
      <c r="D81" s="6"/>
      <c r="E81" s="6" t="e">
        <f t="shared" ref="E81:L81" si="99">E79/E76</f>
        <v>#REF!</v>
      </c>
      <c r="F81" s="6" t="e">
        <f t="shared" si="99"/>
        <v>#REF!</v>
      </c>
      <c r="G81" s="6" t="e">
        <f t="shared" si="99"/>
        <v>#REF!</v>
      </c>
      <c r="H81" s="6" t="e">
        <f t="shared" si="99"/>
        <v>#REF!</v>
      </c>
      <c r="I81" s="6" t="e">
        <f t="shared" si="99"/>
        <v>#REF!</v>
      </c>
      <c r="J81" s="6" t="e">
        <f t="shared" si="99"/>
        <v>#REF!</v>
      </c>
      <c r="K81" s="6" t="e">
        <f t="shared" si="99"/>
        <v>#REF!</v>
      </c>
      <c r="L81" s="6" t="e">
        <f t="shared" si="99"/>
        <v>#REF!</v>
      </c>
      <c r="M81" s="65" t="e">
        <f>L81</f>
        <v>#REF!</v>
      </c>
      <c r="N81" s="28" t="e">
        <f>N79/N76</f>
        <v>#REF!</v>
      </c>
      <c r="O81" s="28" t="e">
        <f t="shared" ref="O81:R82" si="100">N81</f>
        <v>#REF!</v>
      </c>
      <c r="P81" s="28" t="e">
        <f t="shared" si="100"/>
        <v>#REF!</v>
      </c>
      <c r="Q81" s="28" t="e">
        <f t="shared" si="100"/>
        <v>#REF!</v>
      </c>
      <c r="R81" s="28" t="e">
        <f t="shared" si="100"/>
        <v>#REF!</v>
      </c>
      <c r="S81" s="6"/>
      <c r="T81" s="6"/>
      <c r="U81" s="6"/>
      <c r="V81" s="6"/>
      <c r="W81" s="6"/>
      <c r="X81" s="6"/>
      <c r="Y81" s="6"/>
      <c r="Z81" s="6"/>
      <c r="AA81" s="6"/>
      <c r="AB81" s="6"/>
      <c r="AC81" s="6"/>
      <c r="AD81" s="6"/>
      <c r="AE81" s="6"/>
      <c r="AF81" s="47"/>
      <c r="AG81" s="2"/>
      <c r="AH81" s="6" t="e">
        <f t="shared" ref="AH81:AO81" si="101">AH79/AH76</f>
        <v>#REF!</v>
      </c>
      <c r="AI81" s="6" t="e">
        <f t="shared" si="101"/>
        <v>#REF!</v>
      </c>
      <c r="AJ81" s="6" t="e">
        <f t="shared" si="101"/>
        <v>#REF!</v>
      </c>
      <c r="AK81" s="6" t="e">
        <f t="shared" si="101"/>
        <v>#REF!</v>
      </c>
      <c r="AL81" s="6" t="e">
        <f t="shared" si="101"/>
        <v>#REF!</v>
      </c>
      <c r="AM81" s="6" t="e">
        <f t="shared" si="101"/>
        <v>#REF!</v>
      </c>
      <c r="AN81" s="6" t="e">
        <f t="shared" si="101"/>
        <v>#REF!</v>
      </c>
      <c r="AO81" s="6" t="e">
        <f t="shared" si="101"/>
        <v>#REF!</v>
      </c>
      <c r="AP81" s="65">
        <f>(1111/(1948+1111))</f>
        <v>0.36319058515854852</v>
      </c>
      <c r="AQ81" s="6" t="e">
        <f>AQ79/AQ76</f>
        <v>#REF!</v>
      </c>
      <c r="AR81" s="6" t="e">
        <f>AR79/AR76</f>
        <v>#REF!</v>
      </c>
      <c r="AS81" s="6" t="e">
        <f>AS79/AS76</f>
        <v>#REF!</v>
      </c>
      <c r="AT81" s="65">
        <f>1099/(1099+1904)</f>
        <v>0.36596736596736595</v>
      </c>
      <c r="AU81" s="6" t="e">
        <f t="shared" ref="AU81:BQ81" si="102">AU79/AU76</f>
        <v>#REF!</v>
      </c>
      <c r="AV81" s="6" t="e">
        <f t="shared" si="102"/>
        <v>#REF!</v>
      </c>
      <c r="AW81" s="6" t="e">
        <f t="shared" si="102"/>
        <v>#REF!</v>
      </c>
      <c r="AX81" s="6" t="e">
        <f t="shared" si="102"/>
        <v>#REF!</v>
      </c>
      <c r="AY81" s="6" t="e">
        <f t="shared" si="102"/>
        <v>#REF!</v>
      </c>
      <c r="AZ81" s="6" t="e">
        <f t="shared" si="102"/>
        <v>#REF!</v>
      </c>
      <c r="BA81" s="6" t="e">
        <f t="shared" si="102"/>
        <v>#REF!</v>
      </c>
      <c r="BB81" s="6" t="e">
        <f t="shared" si="102"/>
        <v>#REF!</v>
      </c>
      <c r="BC81" s="6" t="e">
        <f t="shared" si="102"/>
        <v>#REF!</v>
      </c>
      <c r="BD81" s="6" t="e">
        <f t="shared" si="102"/>
        <v>#REF!</v>
      </c>
      <c r="BE81" s="6" t="e">
        <f t="shared" si="102"/>
        <v>#REF!</v>
      </c>
      <c r="BF81" s="63" t="e">
        <f t="shared" si="102"/>
        <v>#REF!</v>
      </c>
      <c r="BG81" s="6" t="e">
        <f t="shared" si="102"/>
        <v>#REF!</v>
      </c>
      <c r="BH81" s="6" t="e">
        <f t="shared" si="102"/>
        <v>#REF!</v>
      </c>
      <c r="BI81" s="6" t="e">
        <f t="shared" si="102"/>
        <v>#REF!</v>
      </c>
      <c r="BJ81" s="63" t="e">
        <f t="shared" si="102"/>
        <v>#REF!</v>
      </c>
      <c r="BK81" s="6" t="e">
        <f t="shared" si="102"/>
        <v>#REF!</v>
      </c>
      <c r="BL81" s="6" t="e">
        <f t="shared" si="102"/>
        <v>#REF!</v>
      </c>
      <c r="BM81" s="6" t="e">
        <f t="shared" si="102"/>
        <v>#REF!</v>
      </c>
      <c r="BN81" s="63" t="e">
        <f t="shared" si="102"/>
        <v>#REF!</v>
      </c>
      <c r="BO81" s="6" t="e">
        <f t="shared" si="102"/>
        <v>#REF!</v>
      </c>
      <c r="BP81" s="6" t="e">
        <f t="shared" si="102"/>
        <v>#REF!</v>
      </c>
      <c r="BQ81" s="6" t="e">
        <f t="shared" si="102"/>
        <v>#REF!</v>
      </c>
      <c r="BR81" s="64">
        <v>0.31</v>
      </c>
      <c r="BS81" s="28">
        <f>BR81</f>
        <v>0.31</v>
      </c>
      <c r="BT81" s="28">
        <f>BS81</f>
        <v>0.31</v>
      </c>
      <c r="BU81" s="28">
        <f>BT81</f>
        <v>0.31</v>
      </c>
      <c r="BV81" s="6"/>
      <c r="BW81" s="6"/>
      <c r="BX81" s="6"/>
      <c r="BY81" s="6"/>
      <c r="BZ81" s="6"/>
      <c r="CA81" s="6"/>
      <c r="CB81" s="6"/>
      <c r="CC81" s="6"/>
      <c r="CD81" s="6"/>
      <c r="CE81" s="6"/>
      <c r="CF81" s="6"/>
      <c r="CG81" s="6"/>
      <c r="CH81" s="6"/>
      <c r="CI81" s="6"/>
      <c r="CJ81" s="6"/>
      <c r="CK81" s="6"/>
      <c r="CL81" s="6"/>
      <c r="CM81" s="6"/>
      <c r="CN81" s="6"/>
      <c r="CO81" s="6"/>
      <c r="CP81" s="6"/>
    </row>
    <row r="82" spans="1:94">
      <c r="A82" s="68" t="s">
        <v>982</v>
      </c>
      <c r="B82" s="6"/>
      <c r="C82" s="6"/>
      <c r="D82" s="6"/>
      <c r="E82" s="6"/>
      <c r="F82" s="6"/>
      <c r="G82" s="6"/>
      <c r="H82" s="6">
        <v>0.39300000000000002</v>
      </c>
      <c r="I82" s="6">
        <v>0.46500000000000002</v>
      </c>
      <c r="J82" s="6">
        <v>0.42799999999999999</v>
      </c>
      <c r="K82" s="6">
        <v>0.38700000000000001</v>
      </c>
      <c r="L82" s="6">
        <v>0.379</v>
      </c>
      <c r="M82" s="6">
        <f>L82</f>
        <v>0.379</v>
      </c>
      <c r="N82" s="28">
        <f>M82</f>
        <v>0.379</v>
      </c>
      <c r="O82" s="28">
        <f t="shared" si="100"/>
        <v>0.379</v>
      </c>
      <c r="P82" s="28">
        <f t="shared" si="100"/>
        <v>0.379</v>
      </c>
      <c r="Q82" s="28">
        <f t="shared" si="100"/>
        <v>0.379</v>
      </c>
      <c r="R82" s="28">
        <f t="shared" si="100"/>
        <v>0.379</v>
      </c>
      <c r="S82" s="6"/>
      <c r="T82" s="6"/>
      <c r="U82" s="6"/>
      <c r="V82" s="6"/>
      <c r="W82" s="6"/>
      <c r="X82" s="6"/>
      <c r="Y82" s="6"/>
      <c r="Z82" s="6"/>
      <c r="AA82" s="6"/>
      <c r="AB82" s="6"/>
      <c r="AC82" s="6"/>
      <c r="AD82" s="6"/>
      <c r="AE82" s="6"/>
      <c r="AF82" s="47"/>
      <c r="AG82" s="2"/>
      <c r="AH82" s="6"/>
      <c r="AI82" s="6"/>
      <c r="AJ82" s="6"/>
      <c r="AK82" s="6"/>
      <c r="AL82" s="6"/>
      <c r="AM82" s="6"/>
      <c r="AN82" s="6"/>
      <c r="AO82" s="6"/>
      <c r="AP82" s="6"/>
      <c r="AQ82" s="6"/>
      <c r="AR82" s="6"/>
      <c r="AS82" s="6"/>
      <c r="AT82" s="6"/>
      <c r="AU82" s="6"/>
      <c r="AV82" s="6"/>
      <c r="AW82" s="6"/>
      <c r="AX82" s="6"/>
      <c r="AY82" s="6"/>
      <c r="AZ82" s="6"/>
      <c r="BA82" s="6"/>
      <c r="BB82" s="6">
        <f>+J82</f>
        <v>0.42799999999999999</v>
      </c>
      <c r="BC82" s="6">
        <f>+BB82</f>
        <v>0.42799999999999999</v>
      </c>
      <c r="BD82" s="6">
        <f>+BC82</f>
        <v>0.42799999999999999</v>
      </c>
      <c r="BE82" s="6">
        <f>+BD82</f>
        <v>0.42799999999999999</v>
      </c>
      <c r="BF82" s="63">
        <f>+K82</f>
        <v>0.38700000000000001</v>
      </c>
      <c r="BG82" s="6">
        <f>+BF82</f>
        <v>0.38700000000000001</v>
      </c>
      <c r="BH82" s="6">
        <f>+BG82</f>
        <v>0.38700000000000001</v>
      </c>
      <c r="BI82" s="6">
        <f>+BH82</f>
        <v>0.38700000000000001</v>
      </c>
      <c r="BJ82" s="63">
        <f>+L82</f>
        <v>0.379</v>
      </c>
      <c r="BK82" s="6">
        <f>+BJ82</f>
        <v>0.379</v>
      </c>
      <c r="BL82" s="6">
        <f>+BK82</f>
        <v>0.379</v>
      </c>
      <c r="BM82" s="6">
        <f>+BL82</f>
        <v>0.379</v>
      </c>
      <c r="BN82" s="63">
        <f>+M82</f>
        <v>0.379</v>
      </c>
      <c r="BO82" s="6">
        <f>$BN$82</f>
        <v>0.379</v>
      </c>
      <c r="BP82" s="6">
        <f>$BN$82</f>
        <v>0.379</v>
      </c>
      <c r="BQ82" s="6">
        <f>$BN$82</f>
        <v>0.379</v>
      </c>
      <c r="BR82" s="64">
        <f>+BQ82</f>
        <v>0.379</v>
      </c>
      <c r="BS82" s="28">
        <f>+BR82</f>
        <v>0.379</v>
      </c>
      <c r="BT82" s="28">
        <f>+BS82</f>
        <v>0.379</v>
      </c>
      <c r="BU82" s="28">
        <f>+BT82</f>
        <v>0.379</v>
      </c>
      <c r="BV82" s="6"/>
      <c r="BW82" s="6"/>
      <c r="BX82" s="6"/>
      <c r="BY82" s="6"/>
      <c r="BZ82" s="6"/>
      <c r="CA82" s="6"/>
      <c r="CB82" s="6"/>
      <c r="CC82" s="6"/>
      <c r="CD82" s="6"/>
      <c r="CE82" s="6"/>
      <c r="CF82" s="6"/>
      <c r="CG82" s="6"/>
      <c r="CH82" s="6"/>
      <c r="CI82" s="6"/>
      <c r="CJ82" s="6"/>
      <c r="CK82" s="6"/>
      <c r="CL82" s="6"/>
      <c r="CM82" s="6"/>
      <c r="CN82" s="6"/>
      <c r="CO82" s="6"/>
      <c r="CP82" s="6"/>
    </row>
    <row r="83" spans="1:94">
      <c r="A83" s="68"/>
      <c r="B83" s="2"/>
      <c r="C83" s="2"/>
      <c r="D83" s="2"/>
      <c r="E83" s="56"/>
      <c r="F83" s="56"/>
      <c r="G83" s="6"/>
      <c r="H83" s="6"/>
      <c r="I83" s="6"/>
      <c r="J83" s="6"/>
      <c r="K83" s="6"/>
      <c r="L83" s="6"/>
      <c r="M83" s="6"/>
      <c r="N83" s="28"/>
      <c r="O83" s="28"/>
      <c r="P83" s="28"/>
      <c r="Q83" s="28"/>
      <c r="R83" s="28"/>
      <c r="S83" s="56"/>
      <c r="T83" s="56"/>
      <c r="U83" s="56"/>
      <c r="V83" s="56"/>
      <c r="W83" s="56"/>
      <c r="X83" s="56"/>
      <c r="Y83" s="56"/>
      <c r="Z83" s="56"/>
      <c r="AA83" s="56"/>
      <c r="AB83" s="56"/>
      <c r="AC83" s="56"/>
      <c r="AD83" s="56"/>
      <c r="AE83" s="56"/>
      <c r="AF83" s="81"/>
      <c r="AG83" s="2"/>
      <c r="AH83" s="56"/>
      <c r="AI83" s="56"/>
      <c r="AJ83" s="56"/>
      <c r="AK83" s="56"/>
      <c r="AL83" s="56"/>
      <c r="AM83" s="56"/>
      <c r="AN83" s="56"/>
      <c r="AO83" s="56"/>
      <c r="AP83" s="56"/>
      <c r="AQ83" s="56"/>
      <c r="AR83" s="56"/>
      <c r="AS83" s="56"/>
      <c r="AT83" s="56"/>
      <c r="AU83" s="56"/>
      <c r="AV83" s="2"/>
      <c r="AW83" s="6"/>
      <c r="AX83" s="6"/>
      <c r="AY83" s="6"/>
      <c r="AZ83" s="6"/>
      <c r="BA83" s="6"/>
      <c r="BB83" s="6"/>
      <c r="BC83" s="6"/>
      <c r="BD83" s="6"/>
      <c r="BE83" s="6"/>
      <c r="BF83" s="63"/>
      <c r="BG83" s="6"/>
      <c r="BH83" s="6"/>
      <c r="BI83" s="6"/>
      <c r="BJ83" s="63"/>
      <c r="BK83" s="6"/>
      <c r="BL83" s="6"/>
      <c r="BM83" s="6"/>
      <c r="BN83" s="63"/>
      <c r="BO83" s="6"/>
      <c r="BP83" s="6"/>
      <c r="BQ83" s="6"/>
      <c r="BR83" s="64"/>
      <c r="BS83" s="28"/>
      <c r="BT83" s="28"/>
      <c r="BU83" s="28"/>
      <c r="BV83" s="2"/>
      <c r="BW83" s="2"/>
      <c r="BX83" s="2"/>
      <c r="BY83" s="2"/>
      <c r="BZ83" s="2"/>
      <c r="CA83" s="2"/>
      <c r="CB83" s="2"/>
      <c r="CC83" s="2"/>
      <c r="CD83" s="2"/>
      <c r="CE83" s="2"/>
      <c r="CF83" s="2"/>
      <c r="CG83" s="2"/>
      <c r="CH83" s="2"/>
      <c r="CI83" s="2"/>
      <c r="CJ83" s="2"/>
      <c r="CK83" s="2"/>
      <c r="CL83" s="2"/>
      <c r="CM83" s="2"/>
      <c r="CN83" s="2"/>
      <c r="CO83" s="2"/>
      <c r="CP83" s="2"/>
    </row>
    <row r="84" spans="1:94">
      <c r="A84" s="68"/>
      <c r="B84" s="2"/>
      <c r="C84" s="2"/>
      <c r="D84" s="2"/>
      <c r="E84" s="56"/>
      <c r="F84" s="56"/>
      <c r="G84" s="6"/>
      <c r="H84" s="6"/>
      <c r="I84" s="6"/>
      <c r="J84" s="6"/>
      <c r="K84" s="65"/>
      <c r="L84" s="65"/>
      <c r="M84" s="65"/>
      <c r="N84" s="28"/>
      <c r="O84" s="28"/>
      <c r="P84" s="28"/>
      <c r="Q84" s="28"/>
      <c r="R84" s="28"/>
      <c r="S84" s="56"/>
      <c r="T84" s="56"/>
      <c r="U84" s="56"/>
      <c r="V84" s="56"/>
      <c r="W84" s="56"/>
      <c r="X84" s="56"/>
      <c r="Y84" s="56"/>
      <c r="Z84" s="56"/>
      <c r="AA84" s="56"/>
      <c r="AB84" s="56"/>
      <c r="AC84" s="56"/>
      <c r="AD84" s="56"/>
      <c r="AE84" s="56"/>
      <c r="AF84" s="81"/>
      <c r="AG84" s="2"/>
      <c r="AH84" s="56"/>
      <c r="AI84" s="56"/>
      <c r="AJ84" s="56"/>
      <c r="AK84" s="56"/>
      <c r="AL84" s="56"/>
      <c r="AM84" s="56"/>
      <c r="AN84" s="56"/>
      <c r="AO84" s="56"/>
      <c r="AP84" s="56"/>
      <c r="AQ84" s="56"/>
      <c r="AR84" s="56"/>
      <c r="AS84" s="56"/>
      <c r="AT84" s="56"/>
      <c r="AU84" s="56"/>
      <c r="AV84" s="2"/>
      <c r="AW84" s="6"/>
      <c r="AX84" s="6"/>
      <c r="AY84" s="6"/>
      <c r="AZ84" s="6"/>
      <c r="BA84" s="6"/>
      <c r="BB84" s="6"/>
      <c r="BC84" s="6"/>
      <c r="BD84" s="6"/>
      <c r="BE84" s="6"/>
      <c r="BF84" s="63"/>
      <c r="BG84" s="6"/>
      <c r="BH84" s="6"/>
      <c r="BI84" s="6"/>
      <c r="BJ84" s="63"/>
      <c r="BK84" s="6"/>
      <c r="BL84" s="6"/>
      <c r="BM84" s="6"/>
      <c r="BN84" s="63"/>
      <c r="BO84" s="6"/>
      <c r="BP84" s="6"/>
      <c r="BQ84" s="6"/>
      <c r="BR84" s="64"/>
      <c r="BS84" s="28"/>
      <c r="BT84" s="28"/>
      <c r="BU84" s="28"/>
      <c r="BV84" s="2"/>
      <c r="BW84" s="2"/>
      <c r="BX84" s="2"/>
      <c r="BY84" s="2"/>
      <c r="BZ84" s="2"/>
      <c r="CA84" s="2"/>
      <c r="CB84" s="2"/>
      <c r="CC84" s="2"/>
      <c r="CD84" s="2"/>
      <c r="CE84" s="2"/>
      <c r="CF84" s="2"/>
      <c r="CG84" s="2"/>
      <c r="CH84" s="2"/>
      <c r="CI84" s="2"/>
      <c r="CJ84" s="2"/>
      <c r="CK84" s="2"/>
      <c r="CL84" s="2"/>
      <c r="CM84" s="2"/>
      <c r="CN84" s="2"/>
      <c r="CO84" s="2"/>
      <c r="CP84" s="2"/>
    </row>
    <row r="85" spans="1:94">
      <c r="A85" s="1" t="s">
        <v>983</v>
      </c>
      <c r="B85" s="1"/>
      <c r="C85" s="1"/>
      <c r="D85" s="1"/>
      <c r="E85" s="58"/>
      <c r="F85" s="58"/>
      <c r="G85" s="58"/>
      <c r="H85" s="1"/>
      <c r="I85" s="58"/>
      <c r="J85" s="58">
        <f>SUM(BB85:BE85)</f>
        <v>-83</v>
      </c>
      <c r="K85" s="58" t="e">
        <f>SUM(BF85:BI85)</f>
        <v>#REF!</v>
      </c>
      <c r="L85" s="58" t="e">
        <f>SUM(BJ85:BM85)</f>
        <v>#REF!</v>
      </c>
      <c r="M85" s="58" t="e">
        <f>SUM(BN85:BQ85)</f>
        <v>#REF!</v>
      </c>
      <c r="N85" s="62"/>
      <c r="O85" s="62"/>
      <c r="P85" s="62"/>
      <c r="Q85" s="62"/>
      <c r="R85" s="62"/>
      <c r="S85" s="58"/>
      <c r="T85" s="58"/>
      <c r="U85" s="58"/>
      <c r="V85" s="58"/>
      <c r="W85" s="58"/>
      <c r="X85" s="58"/>
      <c r="Y85" s="58"/>
      <c r="Z85" s="58"/>
      <c r="AA85" s="58"/>
      <c r="AB85" s="58"/>
      <c r="AC85" s="58"/>
      <c r="AD85" s="58"/>
      <c r="AE85" s="58"/>
      <c r="AF85" s="38"/>
      <c r="AG85" s="2"/>
      <c r="AH85" s="58"/>
      <c r="AI85" s="58"/>
      <c r="AJ85" s="58"/>
      <c r="AK85" s="58"/>
      <c r="AL85" s="58"/>
      <c r="AM85" s="58"/>
      <c r="AN85" s="58"/>
      <c r="AO85" s="58"/>
      <c r="AP85" s="58"/>
      <c r="AQ85" s="58"/>
      <c r="AR85" s="58"/>
      <c r="AS85" s="58"/>
      <c r="AT85" s="58"/>
      <c r="AU85" s="58"/>
      <c r="AV85" s="58"/>
      <c r="AW85" s="58"/>
      <c r="AX85" s="58"/>
      <c r="AY85" s="58"/>
      <c r="AZ85" s="58"/>
      <c r="BA85" s="58"/>
      <c r="BB85" s="58">
        <v>-11</v>
      </c>
      <c r="BC85" s="58">
        <v>-38</v>
      </c>
      <c r="BD85" s="58">
        <v>-9</v>
      </c>
      <c r="BE85" s="58">
        <v>-25</v>
      </c>
      <c r="BF85" s="60" t="e">
        <v>#REF!</v>
      </c>
      <c r="BG85" s="58" t="e">
        <v>#REF!</v>
      </c>
      <c r="BH85" s="58" t="e">
        <v>#REF!</v>
      </c>
      <c r="BI85" s="58" t="e">
        <v>#REF!</v>
      </c>
      <c r="BJ85" s="60" t="e">
        <v>#REF!</v>
      </c>
      <c r="BK85" s="58" t="e">
        <v>#REF!</v>
      </c>
      <c r="BL85" s="58" t="e">
        <v>#REF!</v>
      </c>
      <c r="BM85" s="58" t="e">
        <v>#REF!</v>
      </c>
      <c r="BN85" s="60" t="e">
        <v>#REF!</v>
      </c>
      <c r="BO85" s="58" t="e">
        <v>#REF!</v>
      </c>
      <c r="BP85" s="58" t="e">
        <v>#REF!</v>
      </c>
      <c r="BQ85" s="58" t="e">
        <v>#REF!</v>
      </c>
      <c r="BR85" s="61"/>
      <c r="BS85" s="62"/>
      <c r="BT85" s="62"/>
      <c r="BU85" s="62"/>
      <c r="BV85" s="1"/>
      <c r="BW85" s="1"/>
      <c r="BX85" s="58" t="e">
        <f>K85-SUM(BF85:BI85)</f>
        <v>#REF!</v>
      </c>
      <c r="BY85" s="2" t="e">
        <f>L85-SUM(BJ85:BM85)</f>
        <v>#REF!</v>
      </c>
      <c r="BZ85" s="2">
        <f>N85-SUM(BR85:BU85)</f>
        <v>0</v>
      </c>
      <c r="CA85" s="1"/>
      <c r="CB85" s="1"/>
      <c r="CC85" s="1"/>
      <c r="CD85" s="1"/>
      <c r="CE85" s="1"/>
      <c r="CF85" s="1"/>
      <c r="CG85" s="1"/>
      <c r="CH85" s="1"/>
      <c r="CI85" s="1"/>
      <c r="CJ85" s="1"/>
      <c r="CK85" s="1"/>
      <c r="CL85" s="1"/>
      <c r="CM85" s="1"/>
      <c r="CN85" s="1"/>
      <c r="CO85" s="1"/>
      <c r="CP85" s="1"/>
    </row>
    <row r="86" spans="1:94">
      <c r="A86" s="68"/>
      <c r="B86" s="2"/>
      <c r="C86" s="2"/>
      <c r="D86" s="2"/>
      <c r="E86" s="56"/>
      <c r="F86" s="56"/>
      <c r="G86" s="6"/>
      <c r="H86" s="6"/>
      <c r="I86" s="6"/>
      <c r="J86" s="6"/>
      <c r="K86" s="65"/>
      <c r="L86" s="65"/>
      <c r="M86" s="65"/>
      <c r="N86" s="28"/>
      <c r="O86" s="28"/>
      <c r="P86" s="28"/>
      <c r="Q86" s="28"/>
      <c r="R86" s="28"/>
      <c r="S86" s="56"/>
      <c r="T86" s="56"/>
      <c r="U86" s="56"/>
      <c r="V86" s="56"/>
      <c r="W86" s="56"/>
      <c r="X86" s="56"/>
      <c r="Y86" s="56"/>
      <c r="Z86" s="56"/>
      <c r="AA86" s="56"/>
      <c r="AB86" s="56"/>
      <c r="AC86" s="56"/>
      <c r="AD86" s="56"/>
      <c r="AE86" s="56"/>
      <c r="AF86" s="81"/>
      <c r="AG86" s="2"/>
      <c r="AH86" s="56"/>
      <c r="AI86" s="56"/>
      <c r="AJ86" s="56"/>
      <c r="AK86" s="56"/>
      <c r="AL86" s="56"/>
      <c r="AM86" s="56"/>
      <c r="AN86" s="56"/>
      <c r="AO86" s="56"/>
      <c r="AP86" s="56"/>
      <c r="AQ86" s="56"/>
      <c r="AR86" s="56"/>
      <c r="AS86" s="56"/>
      <c r="AT86" s="56"/>
      <c r="AU86" s="56"/>
      <c r="AV86" s="2"/>
      <c r="AW86" s="6"/>
      <c r="AX86" s="6"/>
      <c r="AY86" s="6"/>
      <c r="AZ86" s="6"/>
      <c r="BA86" s="6"/>
      <c r="BB86" s="6"/>
      <c r="BC86" s="6"/>
      <c r="BD86" s="6"/>
      <c r="BE86" s="6"/>
      <c r="BF86" s="63"/>
      <c r="BG86" s="6"/>
      <c r="BH86" s="6"/>
      <c r="BI86" s="6"/>
      <c r="BJ86" s="63"/>
      <c r="BK86" s="6"/>
      <c r="BL86" s="6"/>
      <c r="BM86" s="6"/>
      <c r="BN86" s="63">
        <f>2254-2183</f>
        <v>71</v>
      </c>
      <c r="BO86" s="6"/>
      <c r="BP86" s="6"/>
      <c r="BQ86" s="6"/>
      <c r="BR86" s="64"/>
      <c r="BS86" s="28"/>
      <c r="BT86" s="28"/>
      <c r="BU86" s="28"/>
      <c r="BV86" s="2"/>
      <c r="BW86" s="2"/>
      <c r="BX86" s="2"/>
      <c r="BY86" s="2"/>
      <c r="BZ86" s="2"/>
      <c r="CA86" s="2"/>
      <c r="CB86" s="2"/>
      <c r="CC86" s="2"/>
      <c r="CD86" s="2"/>
      <c r="CE86" s="2"/>
      <c r="CF86" s="2"/>
      <c r="CG86" s="2"/>
      <c r="CH86" s="2"/>
      <c r="CI86" s="2"/>
      <c r="CJ86" s="2"/>
      <c r="CK86" s="2"/>
      <c r="CL86" s="2"/>
      <c r="CM86" s="2"/>
      <c r="CN86" s="2"/>
      <c r="CO86" s="2"/>
      <c r="CP86" s="2"/>
    </row>
    <row r="87" spans="1:94">
      <c r="A87" s="1" t="s">
        <v>984</v>
      </c>
      <c r="B87" s="1"/>
      <c r="C87" s="1"/>
      <c r="D87" s="1"/>
      <c r="E87" s="58" t="e">
        <f t="shared" ref="E87:K87" si="103">E76-E79</f>
        <v>#REF!</v>
      </c>
      <c r="F87" s="58" t="e">
        <f t="shared" si="103"/>
        <v>#REF!</v>
      </c>
      <c r="G87" s="58" t="e">
        <f t="shared" si="103"/>
        <v>#REF!</v>
      </c>
      <c r="H87" s="58" t="e">
        <f t="shared" si="103"/>
        <v>#REF!</v>
      </c>
      <c r="I87" s="58" t="e">
        <f t="shared" si="103"/>
        <v>#REF!</v>
      </c>
      <c r="J87" s="58" t="e">
        <f t="shared" si="103"/>
        <v>#REF!</v>
      </c>
      <c r="K87" s="58" t="e">
        <f t="shared" si="103"/>
        <v>#REF!</v>
      </c>
      <c r="L87" s="58" t="e">
        <f>SUM(BJ87:BM87)</f>
        <v>#REF!</v>
      </c>
      <c r="M87" s="58" t="e">
        <f>SUM(BN87:BQ87)</f>
        <v>#REF!</v>
      </c>
      <c r="N87" s="62" t="e">
        <f>SUM(BR87:BU87)</f>
        <v>#REF!</v>
      </c>
      <c r="O87" s="62" t="e">
        <f>O76-O79</f>
        <v>#REF!</v>
      </c>
      <c r="P87" s="62" t="e">
        <f>P76-P79</f>
        <v>#REF!</v>
      </c>
      <c r="Q87" s="62" t="e">
        <f>Q76-Q79</f>
        <v>#REF!</v>
      </c>
      <c r="R87" s="62" t="e">
        <f>R76-R79</f>
        <v>#REF!</v>
      </c>
      <c r="S87" s="58"/>
      <c r="T87" s="58"/>
      <c r="U87" s="58"/>
      <c r="V87" s="58"/>
      <c r="W87" s="58"/>
      <c r="X87" s="58"/>
      <c r="Y87" s="58"/>
      <c r="Z87" s="58"/>
      <c r="AA87" s="58"/>
      <c r="AB87" s="58"/>
      <c r="AC87" s="58"/>
      <c r="AD87" s="58"/>
      <c r="AE87" s="58"/>
      <c r="AF87" s="59" t="e">
        <f>(R87/M87)^(1/5)-1</f>
        <v>#REF!</v>
      </c>
      <c r="AG87" s="2"/>
      <c r="AH87" s="58" t="e">
        <f t="shared" ref="AH87:BU87" si="104">AH76-AH79</f>
        <v>#REF!</v>
      </c>
      <c r="AI87" s="58" t="e">
        <f t="shared" si="104"/>
        <v>#REF!</v>
      </c>
      <c r="AJ87" s="58" t="e">
        <f t="shared" si="104"/>
        <v>#REF!</v>
      </c>
      <c r="AK87" s="58" t="e">
        <f t="shared" si="104"/>
        <v>#REF!</v>
      </c>
      <c r="AL87" s="58" t="e">
        <f t="shared" si="104"/>
        <v>#REF!</v>
      </c>
      <c r="AM87" s="58" t="e">
        <f t="shared" si="104"/>
        <v>#REF!</v>
      </c>
      <c r="AN87" s="58" t="e">
        <f t="shared" si="104"/>
        <v>#REF!</v>
      </c>
      <c r="AO87" s="58" t="e">
        <f t="shared" si="104"/>
        <v>#REF!</v>
      </c>
      <c r="AP87" s="58" t="e">
        <f t="shared" si="104"/>
        <v>#REF!</v>
      </c>
      <c r="AQ87" s="58" t="e">
        <f t="shared" si="104"/>
        <v>#REF!</v>
      </c>
      <c r="AR87" s="58" t="e">
        <f t="shared" si="104"/>
        <v>#REF!</v>
      </c>
      <c r="AS87" s="58" t="e">
        <f t="shared" si="104"/>
        <v>#REF!</v>
      </c>
      <c r="AT87" s="58" t="e">
        <f t="shared" si="104"/>
        <v>#REF!</v>
      </c>
      <c r="AU87" s="58" t="e">
        <f t="shared" si="104"/>
        <v>#REF!</v>
      </c>
      <c r="AV87" s="58" t="e">
        <f t="shared" si="104"/>
        <v>#REF!</v>
      </c>
      <c r="AW87" s="58" t="e">
        <f t="shared" si="104"/>
        <v>#REF!</v>
      </c>
      <c r="AX87" s="58" t="e">
        <f t="shared" si="104"/>
        <v>#REF!</v>
      </c>
      <c r="AY87" s="58" t="e">
        <f t="shared" si="104"/>
        <v>#REF!</v>
      </c>
      <c r="AZ87" s="58" t="e">
        <f t="shared" si="104"/>
        <v>#REF!</v>
      </c>
      <c r="BA87" s="58" t="e">
        <f t="shared" si="104"/>
        <v>#REF!</v>
      </c>
      <c r="BB87" s="58" t="e">
        <f t="shared" si="104"/>
        <v>#REF!</v>
      </c>
      <c r="BC87" s="58" t="e">
        <f t="shared" si="104"/>
        <v>#REF!</v>
      </c>
      <c r="BD87" s="58" t="e">
        <f t="shared" si="104"/>
        <v>#REF!</v>
      </c>
      <c r="BE87" s="58" t="e">
        <f t="shared" si="104"/>
        <v>#REF!</v>
      </c>
      <c r="BF87" s="60" t="e">
        <f t="shared" si="104"/>
        <v>#REF!</v>
      </c>
      <c r="BG87" s="58" t="e">
        <f t="shared" si="104"/>
        <v>#REF!</v>
      </c>
      <c r="BH87" s="58" t="e">
        <f t="shared" si="104"/>
        <v>#REF!</v>
      </c>
      <c r="BI87" s="58" t="e">
        <f t="shared" si="104"/>
        <v>#REF!</v>
      </c>
      <c r="BJ87" s="60" t="e">
        <f t="shared" si="104"/>
        <v>#REF!</v>
      </c>
      <c r="BK87" s="58" t="e">
        <f t="shared" si="104"/>
        <v>#REF!</v>
      </c>
      <c r="BL87" s="58" t="e">
        <f t="shared" si="104"/>
        <v>#REF!</v>
      </c>
      <c r="BM87" s="58" t="e">
        <f t="shared" si="104"/>
        <v>#REF!</v>
      </c>
      <c r="BN87" s="60" t="e">
        <f t="shared" si="104"/>
        <v>#REF!</v>
      </c>
      <c r="BO87" s="58" t="e">
        <f t="shared" si="104"/>
        <v>#REF!</v>
      </c>
      <c r="BP87" s="58" t="e">
        <f t="shared" si="104"/>
        <v>#REF!</v>
      </c>
      <c r="BQ87" s="58" t="e">
        <f t="shared" si="104"/>
        <v>#REF!</v>
      </c>
      <c r="BR87" s="61" t="e">
        <f t="shared" si="104"/>
        <v>#REF!</v>
      </c>
      <c r="BS87" s="62" t="e">
        <f t="shared" si="104"/>
        <v>#REF!</v>
      </c>
      <c r="BT87" s="62" t="e">
        <f t="shared" si="104"/>
        <v>#REF!</v>
      </c>
      <c r="BU87" s="62" t="e">
        <f t="shared" si="104"/>
        <v>#REF!</v>
      </c>
      <c r="BV87" s="58" t="e">
        <f>I87-SUM(AX87:BA87)</f>
        <v>#REF!</v>
      </c>
      <c r="BW87" s="2" t="e">
        <f>M87-SUM(BN87:BQ87)</f>
        <v>#REF!</v>
      </c>
      <c r="BX87" s="58" t="e">
        <f>K87-SUM(BF87:BI87)</f>
        <v>#REF!</v>
      </c>
      <c r="BY87" s="2" t="e">
        <f>L87-SUM(BJ87:BM87)</f>
        <v>#REF!</v>
      </c>
      <c r="BZ87" s="2" t="e">
        <f>N87-SUM(BR87:BU87)</f>
        <v>#REF!</v>
      </c>
      <c r="CA87" s="1"/>
      <c r="CB87" s="1"/>
      <c r="CC87" s="1"/>
      <c r="CD87" s="1"/>
      <c r="CE87" s="1"/>
      <c r="CF87" s="1"/>
      <c r="CG87" s="1"/>
      <c r="CH87" s="1"/>
      <c r="CI87" s="1"/>
      <c r="CJ87" s="1"/>
      <c r="CK87" s="1"/>
      <c r="CL87" s="1"/>
      <c r="CM87" s="1"/>
      <c r="CN87" s="1"/>
      <c r="CO87" s="1"/>
      <c r="CP87" s="1"/>
    </row>
    <row r="88" spans="1:94">
      <c r="A88" s="68" t="s">
        <v>952</v>
      </c>
      <c r="B88" s="6"/>
      <c r="C88" s="6"/>
      <c r="D88" s="6"/>
      <c r="E88" s="6"/>
      <c r="F88" s="6" t="e">
        <f t="shared" ref="F88:R88" si="105">F87/E87-1</f>
        <v>#REF!</v>
      </c>
      <c r="G88" s="6" t="e">
        <f t="shared" si="105"/>
        <v>#REF!</v>
      </c>
      <c r="H88" s="6" t="e">
        <f t="shared" si="105"/>
        <v>#REF!</v>
      </c>
      <c r="I88" s="6" t="e">
        <f t="shared" si="105"/>
        <v>#REF!</v>
      </c>
      <c r="J88" s="6" t="e">
        <f t="shared" si="105"/>
        <v>#REF!</v>
      </c>
      <c r="K88" s="6" t="e">
        <f t="shared" si="105"/>
        <v>#REF!</v>
      </c>
      <c r="L88" s="6" t="e">
        <f t="shared" si="105"/>
        <v>#REF!</v>
      </c>
      <c r="M88" s="6" t="e">
        <f t="shared" si="105"/>
        <v>#REF!</v>
      </c>
      <c r="N88" s="28" t="e">
        <f t="shared" si="105"/>
        <v>#REF!</v>
      </c>
      <c r="O88" s="28" t="e">
        <f t="shared" si="105"/>
        <v>#REF!</v>
      </c>
      <c r="P88" s="28" t="e">
        <f t="shared" si="105"/>
        <v>#REF!</v>
      </c>
      <c r="Q88" s="28" t="e">
        <f t="shared" si="105"/>
        <v>#REF!</v>
      </c>
      <c r="R88" s="28" t="e">
        <f t="shared" si="105"/>
        <v>#REF!</v>
      </c>
      <c r="S88" s="6"/>
      <c r="T88" s="6"/>
      <c r="U88" s="6"/>
      <c r="V88" s="6"/>
      <c r="W88" s="6"/>
      <c r="X88" s="6"/>
      <c r="Y88" s="6"/>
      <c r="Z88" s="6"/>
      <c r="AA88" s="6"/>
      <c r="AB88" s="6"/>
      <c r="AC88" s="6"/>
      <c r="AD88" s="6"/>
      <c r="AE88" s="6"/>
      <c r="AF88" s="47"/>
      <c r="AG88" s="2"/>
      <c r="AH88" s="6"/>
      <c r="AI88" s="6"/>
      <c r="AJ88" s="6"/>
      <c r="AK88" s="6"/>
      <c r="AL88" s="6" t="e">
        <f t="shared" ref="AL88:BA88" si="106">AL87/AH87-1</f>
        <v>#REF!</v>
      </c>
      <c r="AM88" s="6" t="e">
        <f t="shared" si="106"/>
        <v>#REF!</v>
      </c>
      <c r="AN88" s="6" t="e">
        <f t="shared" si="106"/>
        <v>#REF!</v>
      </c>
      <c r="AO88" s="6" t="e">
        <f t="shared" si="106"/>
        <v>#REF!</v>
      </c>
      <c r="AP88" s="6" t="e">
        <f t="shared" si="106"/>
        <v>#REF!</v>
      </c>
      <c r="AQ88" s="6" t="e">
        <f t="shared" si="106"/>
        <v>#REF!</v>
      </c>
      <c r="AR88" s="6" t="e">
        <f t="shared" si="106"/>
        <v>#REF!</v>
      </c>
      <c r="AS88" s="6" t="e">
        <f t="shared" si="106"/>
        <v>#REF!</v>
      </c>
      <c r="AT88" s="6" t="e">
        <f t="shared" si="106"/>
        <v>#REF!</v>
      </c>
      <c r="AU88" s="6" t="e">
        <f t="shared" si="106"/>
        <v>#REF!</v>
      </c>
      <c r="AV88" s="6" t="e">
        <f t="shared" si="106"/>
        <v>#REF!</v>
      </c>
      <c r="AW88" s="6" t="e">
        <f t="shared" si="106"/>
        <v>#REF!</v>
      </c>
      <c r="AX88" s="6" t="e">
        <f t="shared" si="106"/>
        <v>#REF!</v>
      </c>
      <c r="AY88" s="6" t="e">
        <f t="shared" si="106"/>
        <v>#REF!</v>
      </c>
      <c r="AZ88" s="6" t="e">
        <f t="shared" si="106"/>
        <v>#REF!</v>
      </c>
      <c r="BA88" s="6" t="e">
        <f t="shared" si="106"/>
        <v>#REF!</v>
      </c>
      <c r="BB88" s="58" t="e">
        <f>BB77-BB80+BB86</f>
        <v>#REF!</v>
      </c>
      <c r="BC88" s="6" t="e">
        <f t="shared" ref="BC88:BU88" si="107">BC87/AY87-1</f>
        <v>#REF!</v>
      </c>
      <c r="BD88" s="6" t="e">
        <f t="shared" si="107"/>
        <v>#REF!</v>
      </c>
      <c r="BE88" s="6" t="e">
        <f t="shared" si="107"/>
        <v>#REF!</v>
      </c>
      <c r="BF88" s="63" t="e">
        <f t="shared" si="107"/>
        <v>#REF!</v>
      </c>
      <c r="BG88" s="6" t="e">
        <f t="shared" si="107"/>
        <v>#REF!</v>
      </c>
      <c r="BH88" s="6" t="e">
        <f t="shared" si="107"/>
        <v>#REF!</v>
      </c>
      <c r="BI88" s="6" t="e">
        <f t="shared" si="107"/>
        <v>#REF!</v>
      </c>
      <c r="BJ88" s="63" t="e">
        <f t="shared" si="107"/>
        <v>#REF!</v>
      </c>
      <c r="BK88" s="6" t="e">
        <f t="shared" si="107"/>
        <v>#REF!</v>
      </c>
      <c r="BL88" s="6" t="e">
        <f t="shared" si="107"/>
        <v>#REF!</v>
      </c>
      <c r="BM88" s="6" t="e">
        <f t="shared" si="107"/>
        <v>#REF!</v>
      </c>
      <c r="BN88" s="63" t="e">
        <f t="shared" si="107"/>
        <v>#REF!</v>
      </c>
      <c r="BO88" s="6" t="e">
        <f t="shared" si="107"/>
        <v>#REF!</v>
      </c>
      <c r="BP88" s="6" t="e">
        <f t="shared" si="107"/>
        <v>#REF!</v>
      </c>
      <c r="BQ88" s="6" t="e">
        <f t="shared" si="107"/>
        <v>#REF!</v>
      </c>
      <c r="BR88" s="64" t="e">
        <f t="shared" si="107"/>
        <v>#REF!</v>
      </c>
      <c r="BS88" s="28" t="e">
        <f t="shared" si="107"/>
        <v>#REF!</v>
      </c>
      <c r="BT88" s="28" t="e">
        <f t="shared" si="107"/>
        <v>#REF!</v>
      </c>
      <c r="BU88" s="28" t="e">
        <f t="shared" si="107"/>
        <v>#REF!</v>
      </c>
      <c r="BV88" s="6"/>
      <c r="BW88" s="6"/>
      <c r="BX88" s="6"/>
      <c r="BY88" s="6"/>
      <c r="BZ88" s="6"/>
      <c r="CA88" s="6"/>
      <c r="CB88" s="6"/>
      <c r="CC88" s="6"/>
      <c r="CD88" s="6"/>
      <c r="CE88" s="6"/>
      <c r="CF88" s="6"/>
      <c r="CG88" s="6"/>
      <c r="CH88" s="6"/>
      <c r="CI88" s="6"/>
      <c r="CJ88" s="6"/>
      <c r="CK88" s="6"/>
      <c r="CL88" s="6"/>
      <c r="CM88" s="6"/>
      <c r="CN88" s="6"/>
      <c r="CO88" s="6"/>
      <c r="CP88" s="6"/>
    </row>
    <row r="89" spans="1:94">
      <c r="A89" s="68" t="s">
        <v>950</v>
      </c>
      <c r="B89" s="6"/>
      <c r="C89" s="6"/>
      <c r="D89" s="6"/>
      <c r="E89" s="6" t="e">
        <f t="shared" ref="E89:R89" si="108">E87/E$29</f>
        <v>#REF!</v>
      </c>
      <c r="F89" s="6" t="e">
        <f t="shared" si="108"/>
        <v>#REF!</v>
      </c>
      <c r="G89" s="6" t="e">
        <f t="shared" si="108"/>
        <v>#REF!</v>
      </c>
      <c r="H89" s="6" t="e">
        <f t="shared" si="108"/>
        <v>#REF!</v>
      </c>
      <c r="I89" s="6" t="e">
        <f t="shared" si="108"/>
        <v>#REF!</v>
      </c>
      <c r="J89" s="6" t="e">
        <f t="shared" si="108"/>
        <v>#REF!</v>
      </c>
      <c r="K89" s="6" t="e">
        <f t="shared" si="108"/>
        <v>#REF!</v>
      </c>
      <c r="L89" s="6" t="e">
        <f t="shared" si="108"/>
        <v>#REF!</v>
      </c>
      <c r="M89" s="6" t="e">
        <f t="shared" si="108"/>
        <v>#REF!</v>
      </c>
      <c r="N89" s="28" t="e">
        <f t="shared" si="108"/>
        <v>#REF!</v>
      </c>
      <c r="O89" s="28" t="e">
        <f t="shared" si="108"/>
        <v>#REF!</v>
      </c>
      <c r="P89" s="28" t="e">
        <f t="shared" si="108"/>
        <v>#REF!</v>
      </c>
      <c r="Q89" s="28" t="e">
        <f t="shared" si="108"/>
        <v>#REF!</v>
      </c>
      <c r="R89" s="28" t="e">
        <f t="shared" si="108"/>
        <v>#REF!</v>
      </c>
      <c r="S89" s="6"/>
      <c r="T89" s="6"/>
      <c r="U89" s="6"/>
      <c r="V89" s="6"/>
      <c r="W89" s="6"/>
      <c r="X89" s="6"/>
      <c r="Y89" s="6"/>
      <c r="Z89" s="6"/>
      <c r="AA89" s="6"/>
      <c r="AB89" s="6"/>
      <c r="AC89" s="6"/>
      <c r="AD89" s="6"/>
      <c r="AE89" s="6"/>
      <c r="AF89" s="47"/>
      <c r="AG89" s="2"/>
      <c r="AH89" s="6" t="e">
        <f t="shared" ref="AH89:BA89" si="109">AH87/AH$29</f>
        <v>#REF!</v>
      </c>
      <c r="AI89" s="6" t="e">
        <f t="shared" si="109"/>
        <v>#REF!</v>
      </c>
      <c r="AJ89" s="6" t="e">
        <f t="shared" si="109"/>
        <v>#REF!</v>
      </c>
      <c r="AK89" s="6" t="e">
        <f t="shared" si="109"/>
        <v>#REF!</v>
      </c>
      <c r="AL89" s="6" t="e">
        <f t="shared" si="109"/>
        <v>#REF!</v>
      </c>
      <c r="AM89" s="6" t="e">
        <f t="shared" si="109"/>
        <v>#REF!</v>
      </c>
      <c r="AN89" s="6" t="e">
        <f t="shared" si="109"/>
        <v>#REF!</v>
      </c>
      <c r="AO89" s="6" t="e">
        <f t="shared" si="109"/>
        <v>#REF!</v>
      </c>
      <c r="AP89" s="6" t="e">
        <f t="shared" si="109"/>
        <v>#REF!</v>
      </c>
      <c r="AQ89" s="6" t="e">
        <f t="shared" si="109"/>
        <v>#REF!</v>
      </c>
      <c r="AR89" s="6" t="e">
        <f t="shared" si="109"/>
        <v>#REF!</v>
      </c>
      <c r="AS89" s="6" t="e">
        <f t="shared" si="109"/>
        <v>#REF!</v>
      </c>
      <c r="AT89" s="6" t="e">
        <f t="shared" si="109"/>
        <v>#REF!</v>
      </c>
      <c r="AU89" s="6" t="e">
        <f t="shared" si="109"/>
        <v>#REF!</v>
      </c>
      <c r="AV89" s="6" t="e">
        <f t="shared" si="109"/>
        <v>#REF!</v>
      </c>
      <c r="AW89" s="6" t="e">
        <f t="shared" si="109"/>
        <v>#REF!</v>
      </c>
      <c r="AX89" s="6" t="e">
        <f t="shared" si="109"/>
        <v>#REF!</v>
      </c>
      <c r="AY89" s="6" t="e">
        <f t="shared" si="109"/>
        <v>#REF!</v>
      </c>
      <c r="AZ89" s="6" t="e">
        <f t="shared" si="109"/>
        <v>#REF!</v>
      </c>
      <c r="BA89" s="6" t="e">
        <f t="shared" si="109"/>
        <v>#REF!</v>
      </c>
      <c r="BB89" s="58" t="e">
        <f>BB78-BB81+BB87</f>
        <v>#REF!</v>
      </c>
      <c r="BC89" s="6" t="e">
        <f t="shared" ref="BC89:BU89" si="110">BC87/BC$29</f>
        <v>#REF!</v>
      </c>
      <c r="BD89" s="6" t="e">
        <f t="shared" si="110"/>
        <v>#REF!</v>
      </c>
      <c r="BE89" s="6" t="e">
        <f t="shared" si="110"/>
        <v>#REF!</v>
      </c>
      <c r="BF89" s="63" t="e">
        <f t="shared" si="110"/>
        <v>#REF!</v>
      </c>
      <c r="BG89" s="6" t="e">
        <f t="shared" si="110"/>
        <v>#REF!</v>
      </c>
      <c r="BH89" s="6" t="e">
        <f t="shared" si="110"/>
        <v>#REF!</v>
      </c>
      <c r="BI89" s="6" t="e">
        <f t="shared" si="110"/>
        <v>#REF!</v>
      </c>
      <c r="BJ89" s="63" t="e">
        <f t="shared" si="110"/>
        <v>#REF!</v>
      </c>
      <c r="BK89" s="6" t="e">
        <f t="shared" si="110"/>
        <v>#REF!</v>
      </c>
      <c r="BL89" s="6" t="e">
        <f t="shared" si="110"/>
        <v>#REF!</v>
      </c>
      <c r="BM89" s="6" t="e">
        <f t="shared" si="110"/>
        <v>#REF!</v>
      </c>
      <c r="BN89" s="63" t="e">
        <f t="shared" si="110"/>
        <v>#REF!</v>
      </c>
      <c r="BO89" s="6" t="e">
        <f t="shared" si="110"/>
        <v>#REF!</v>
      </c>
      <c r="BP89" s="6" t="e">
        <f t="shared" si="110"/>
        <v>#REF!</v>
      </c>
      <c r="BQ89" s="6" t="e">
        <f t="shared" si="110"/>
        <v>#REF!</v>
      </c>
      <c r="BR89" s="64" t="e">
        <f t="shared" si="110"/>
        <v>#REF!</v>
      </c>
      <c r="BS89" s="28" t="e">
        <f t="shared" si="110"/>
        <v>#REF!</v>
      </c>
      <c r="BT89" s="28" t="e">
        <f t="shared" si="110"/>
        <v>#REF!</v>
      </c>
      <c r="BU89" s="28" t="e">
        <f t="shared" si="110"/>
        <v>#REF!</v>
      </c>
      <c r="BV89" s="6"/>
      <c r="BW89" s="6"/>
      <c r="BX89" s="6"/>
      <c r="BY89" s="6"/>
      <c r="BZ89" s="6"/>
      <c r="CA89" s="6"/>
      <c r="CB89" s="6"/>
      <c r="CC89" s="6"/>
      <c r="CD89" s="6"/>
      <c r="CE89" s="6"/>
      <c r="CF89" s="6"/>
      <c r="CG89" s="6"/>
      <c r="CH89" s="6"/>
      <c r="CI89" s="6"/>
      <c r="CJ89" s="6"/>
      <c r="CK89" s="6"/>
      <c r="CL89" s="6"/>
      <c r="CM89" s="6"/>
      <c r="CN89" s="6"/>
      <c r="CO89" s="6"/>
      <c r="CP89" s="6"/>
    </row>
    <row r="90" spans="1:94">
      <c r="A90" s="2"/>
      <c r="B90" s="2"/>
      <c r="C90" s="2"/>
      <c r="D90" s="2"/>
      <c r="E90" s="56"/>
      <c r="F90" s="56"/>
      <c r="G90" s="56"/>
      <c r="H90" s="56"/>
      <c r="I90" s="2"/>
      <c r="J90" s="2"/>
      <c r="K90" s="56"/>
      <c r="L90" s="56"/>
      <c r="M90" s="2"/>
      <c r="N90" s="4"/>
      <c r="O90" s="4"/>
      <c r="P90" s="4"/>
      <c r="Q90" s="4"/>
      <c r="R90" s="4"/>
      <c r="S90" s="56"/>
      <c r="T90" s="56"/>
      <c r="U90" s="56"/>
      <c r="V90" s="56"/>
      <c r="W90" s="56"/>
      <c r="X90" s="56"/>
      <c r="Y90" s="56"/>
      <c r="Z90" s="56"/>
      <c r="AA90" s="56"/>
      <c r="AB90" s="56"/>
      <c r="AC90" s="56"/>
      <c r="AD90" s="56"/>
      <c r="AE90" s="56"/>
      <c r="AF90" s="81"/>
      <c r="AG90" s="2"/>
      <c r="AH90" s="56"/>
      <c r="AI90" s="56"/>
      <c r="AJ90" s="56"/>
      <c r="AK90" s="56"/>
      <c r="AL90" s="56"/>
      <c r="AM90" s="56"/>
      <c r="AN90" s="56"/>
      <c r="AO90" s="56"/>
      <c r="AP90" s="56"/>
      <c r="AQ90" s="56"/>
      <c r="AR90" s="56"/>
      <c r="AS90" s="56"/>
      <c r="AT90" s="56"/>
      <c r="AU90" s="56"/>
      <c r="AV90" s="56"/>
      <c r="AW90" s="56"/>
      <c r="AX90" s="56"/>
      <c r="AY90" s="56"/>
      <c r="AZ90" s="56"/>
      <c r="BA90" s="1"/>
      <c r="BB90" s="2"/>
      <c r="BC90" s="56"/>
      <c r="BD90" s="56"/>
      <c r="BE90" s="56"/>
      <c r="BF90" s="69"/>
      <c r="BG90" s="56"/>
      <c r="BH90" s="56"/>
      <c r="BI90" s="56"/>
      <c r="BJ90" s="69"/>
      <c r="BK90" s="56"/>
      <c r="BL90" s="56"/>
      <c r="BM90" s="56"/>
      <c r="BN90" s="69"/>
      <c r="BO90" s="56"/>
      <c r="BP90" s="56"/>
      <c r="BQ90" s="56"/>
      <c r="BR90" s="70"/>
      <c r="BS90" s="71"/>
      <c r="BT90" s="71"/>
      <c r="BU90" s="71"/>
      <c r="BV90" s="2"/>
      <c r="BW90" s="2"/>
      <c r="BX90" s="2"/>
      <c r="BY90" s="2"/>
      <c r="BZ90" s="2"/>
      <c r="CA90" s="2"/>
      <c r="CB90" s="2"/>
      <c r="CC90" s="2"/>
      <c r="CD90" s="2"/>
      <c r="CE90" s="2"/>
      <c r="CF90" s="2"/>
      <c r="CG90" s="2"/>
      <c r="CH90" s="2"/>
      <c r="CI90" s="2"/>
      <c r="CJ90" s="2"/>
      <c r="CK90" s="2"/>
      <c r="CL90" s="2"/>
      <c r="CM90" s="2"/>
      <c r="CN90" s="2"/>
      <c r="CO90" s="2"/>
      <c r="CP90" s="2"/>
    </row>
    <row r="91" spans="1:94">
      <c r="A91" s="1" t="s">
        <v>985</v>
      </c>
      <c r="B91" s="1"/>
      <c r="C91" s="1"/>
      <c r="D91" s="1"/>
      <c r="E91" s="82"/>
      <c r="F91" s="82"/>
      <c r="G91" s="82" t="e">
        <f>ROUND(G87/G99,2)</f>
        <v>#REF!</v>
      </c>
      <c r="H91" s="82" t="e">
        <f>ROUND(H87/H99,2)</f>
        <v>#REF!</v>
      </c>
      <c r="I91" s="82" t="e">
        <f>ROUND(I87/I99,2)</f>
        <v>#REF!</v>
      </c>
      <c r="J91" s="82" t="e">
        <f>J94</f>
        <v>#REF!</v>
      </c>
      <c r="K91" s="82" t="e">
        <f t="shared" ref="K91:R91" si="111">ROUND((K87+K97)/K99,2)</f>
        <v>#REF!</v>
      </c>
      <c r="L91" s="82" t="e">
        <f t="shared" si="111"/>
        <v>#REF!</v>
      </c>
      <c r="M91" s="82" t="e">
        <f t="shared" si="111"/>
        <v>#REF!</v>
      </c>
      <c r="N91" s="83" t="e">
        <f t="shared" si="111"/>
        <v>#REF!</v>
      </c>
      <c r="O91" s="83" t="e">
        <f t="shared" si="111"/>
        <v>#REF!</v>
      </c>
      <c r="P91" s="83" t="e">
        <f t="shared" si="111"/>
        <v>#REF!</v>
      </c>
      <c r="Q91" s="83" t="e">
        <f t="shared" si="111"/>
        <v>#REF!</v>
      </c>
      <c r="R91" s="83" t="e">
        <f t="shared" si="111"/>
        <v>#REF!</v>
      </c>
      <c r="S91" s="58"/>
      <c r="T91" s="58"/>
      <c r="U91" s="58"/>
      <c r="V91" s="58"/>
      <c r="W91" s="58"/>
      <c r="X91" s="58"/>
      <c r="Y91" s="58"/>
      <c r="Z91" s="58"/>
      <c r="AA91" s="58"/>
      <c r="AB91" s="58"/>
      <c r="AC91" s="58"/>
      <c r="AD91" s="58"/>
      <c r="AE91" s="58"/>
      <c r="AF91" s="59" t="e">
        <f>(R91/M91)^(1/5)-1</f>
        <v>#REF!</v>
      </c>
      <c r="AG91" s="2"/>
      <c r="AH91" s="82"/>
      <c r="AI91" s="82"/>
      <c r="AJ91" s="82"/>
      <c r="AK91" s="82"/>
      <c r="AL91" s="82"/>
      <c r="AM91" s="82"/>
      <c r="AN91" s="82"/>
      <c r="AO91" s="82"/>
      <c r="AP91" s="82" t="e">
        <f t="shared" ref="AP91:BE91" si="112">ROUND(AP87/AP99,2)</f>
        <v>#REF!</v>
      </c>
      <c r="AQ91" s="82" t="e">
        <f t="shared" si="112"/>
        <v>#REF!</v>
      </c>
      <c r="AR91" s="82" t="e">
        <f t="shared" si="112"/>
        <v>#REF!</v>
      </c>
      <c r="AS91" s="82" t="e">
        <f t="shared" si="112"/>
        <v>#REF!</v>
      </c>
      <c r="AT91" s="82" t="e">
        <f t="shared" si="112"/>
        <v>#REF!</v>
      </c>
      <c r="AU91" s="82" t="e">
        <f t="shared" si="112"/>
        <v>#REF!</v>
      </c>
      <c r="AV91" s="82" t="e">
        <f t="shared" si="112"/>
        <v>#REF!</v>
      </c>
      <c r="AW91" s="82" t="e">
        <f t="shared" si="112"/>
        <v>#REF!</v>
      </c>
      <c r="AX91" s="82" t="e">
        <f t="shared" si="112"/>
        <v>#REF!</v>
      </c>
      <c r="AY91" s="82" t="e">
        <f t="shared" si="112"/>
        <v>#REF!</v>
      </c>
      <c r="AZ91" s="82" t="e">
        <f t="shared" si="112"/>
        <v>#REF!</v>
      </c>
      <c r="BA91" s="82" t="e">
        <f t="shared" si="112"/>
        <v>#REF!</v>
      </c>
      <c r="BB91" s="82" t="e">
        <f t="shared" si="112"/>
        <v>#REF!</v>
      </c>
      <c r="BC91" s="82" t="e">
        <f t="shared" si="112"/>
        <v>#REF!</v>
      </c>
      <c r="BD91" s="82" t="e">
        <f t="shared" si="112"/>
        <v>#REF!</v>
      </c>
      <c r="BE91" s="82" t="e">
        <f t="shared" si="112"/>
        <v>#REF!</v>
      </c>
      <c r="BF91" s="84" t="e">
        <f t="shared" ref="BF91:BU91" si="113">(BF87+BF97)/BF99</f>
        <v>#REF!</v>
      </c>
      <c r="BG91" s="82" t="e">
        <f t="shared" si="113"/>
        <v>#REF!</v>
      </c>
      <c r="BH91" s="82" t="e">
        <f t="shared" si="113"/>
        <v>#REF!</v>
      </c>
      <c r="BI91" s="82" t="e">
        <f t="shared" si="113"/>
        <v>#REF!</v>
      </c>
      <c r="BJ91" s="84" t="e">
        <f t="shared" si="113"/>
        <v>#REF!</v>
      </c>
      <c r="BK91" s="82" t="e">
        <f t="shared" si="113"/>
        <v>#REF!</v>
      </c>
      <c r="BL91" s="82" t="e">
        <f t="shared" si="113"/>
        <v>#REF!</v>
      </c>
      <c r="BM91" s="82" t="e">
        <f t="shared" si="113"/>
        <v>#REF!</v>
      </c>
      <c r="BN91" s="84" t="e">
        <f t="shared" si="113"/>
        <v>#REF!</v>
      </c>
      <c r="BO91" s="82" t="e">
        <f t="shared" si="113"/>
        <v>#REF!</v>
      </c>
      <c r="BP91" s="82" t="e">
        <f t="shared" si="113"/>
        <v>#REF!</v>
      </c>
      <c r="BQ91" s="82" t="e">
        <f t="shared" si="113"/>
        <v>#REF!</v>
      </c>
      <c r="BR91" t="e">
        <f t="shared" si="113"/>
        <v>#REF!</v>
      </c>
      <c r="BS91" s="83" t="e">
        <f t="shared" si="113"/>
        <v>#REF!</v>
      </c>
      <c r="BT91" s="83" t="e">
        <f t="shared" si="113"/>
        <v>#REF!</v>
      </c>
      <c r="BU91" s="83" t="e">
        <f t="shared" si="113"/>
        <v>#REF!</v>
      </c>
      <c r="BV91" s="58" t="e">
        <f>I91-SUM(AX91:BA91)</f>
        <v>#REF!</v>
      </c>
      <c r="BW91" s="2" t="e">
        <f>M91-SUM(BN91:BQ91)</f>
        <v>#REF!</v>
      </c>
      <c r="BX91" s="58" t="e">
        <f>K91-SUM(BF91:BI91)</f>
        <v>#REF!</v>
      </c>
      <c r="BY91" s="2" t="e">
        <f>L91-SUM(BJ91:BM91)</f>
        <v>#REF!</v>
      </c>
      <c r="BZ91" s="2" t="e">
        <f>N91-SUM(BR91:BU91)</f>
        <v>#REF!</v>
      </c>
      <c r="CA91" s="1"/>
      <c r="CB91" s="1"/>
      <c r="CC91" s="1"/>
      <c r="CD91" s="1"/>
      <c r="CE91" s="1"/>
      <c r="CF91" s="1"/>
      <c r="CG91" s="1"/>
      <c r="CH91" s="1"/>
      <c r="CI91" s="1"/>
      <c r="CJ91" s="1"/>
      <c r="CK91" s="1"/>
      <c r="CL91" s="1"/>
      <c r="CM91" s="1"/>
      <c r="CN91" s="1"/>
      <c r="CO91" s="1"/>
      <c r="CP91" s="1"/>
    </row>
    <row r="92" spans="1:94">
      <c r="A92" s="68" t="s">
        <v>952</v>
      </c>
      <c r="B92" s="2"/>
      <c r="C92" s="2"/>
      <c r="D92" s="2"/>
      <c r="E92" s="56"/>
      <c r="F92" s="56"/>
      <c r="G92" s="56"/>
      <c r="H92" s="6" t="e">
        <f t="shared" ref="H92:R92" si="114">H91/G91-1</f>
        <v>#REF!</v>
      </c>
      <c r="I92" s="6" t="e">
        <f t="shared" si="114"/>
        <v>#REF!</v>
      </c>
      <c r="J92" s="6" t="e">
        <f t="shared" si="114"/>
        <v>#REF!</v>
      </c>
      <c r="K92" s="6" t="e">
        <f t="shared" si="114"/>
        <v>#REF!</v>
      </c>
      <c r="L92" s="6" t="e">
        <f t="shared" si="114"/>
        <v>#REF!</v>
      </c>
      <c r="M92" s="6" t="e">
        <f t="shared" si="114"/>
        <v>#REF!</v>
      </c>
      <c r="N92" s="28" t="e">
        <f t="shared" si="114"/>
        <v>#REF!</v>
      </c>
      <c r="O92" s="28" t="e">
        <f t="shared" si="114"/>
        <v>#REF!</v>
      </c>
      <c r="P92" s="28" t="e">
        <f t="shared" si="114"/>
        <v>#REF!</v>
      </c>
      <c r="Q92" s="28" t="e">
        <f t="shared" si="114"/>
        <v>#REF!</v>
      </c>
      <c r="R92" s="28" t="e">
        <f t="shared" si="114"/>
        <v>#REF!</v>
      </c>
      <c r="S92" s="56"/>
      <c r="T92" s="56"/>
      <c r="U92" s="56"/>
      <c r="V92" s="56"/>
      <c r="W92" s="56"/>
      <c r="X92" s="56"/>
      <c r="Y92" s="56"/>
      <c r="Z92" s="56"/>
      <c r="AA92" s="56"/>
      <c r="AB92" s="56"/>
      <c r="AC92" s="56"/>
      <c r="AD92" s="56"/>
      <c r="AE92" s="56"/>
      <c r="AF92" s="81"/>
      <c r="AG92" s="2"/>
      <c r="AH92" s="56"/>
      <c r="AI92" s="56"/>
      <c r="AJ92" s="56"/>
      <c r="AK92" s="56"/>
      <c r="AL92" s="56"/>
      <c r="AM92" s="56"/>
      <c r="AN92" s="56"/>
      <c r="AO92" s="56"/>
      <c r="AP92" s="56"/>
      <c r="AQ92" s="56"/>
      <c r="AR92" s="56"/>
      <c r="AS92" s="56"/>
      <c r="AT92" s="6" t="e">
        <f t="shared" ref="AT92:BU92" si="115">AT91/AP91-1</f>
        <v>#REF!</v>
      </c>
      <c r="AU92" s="6" t="e">
        <f t="shared" si="115"/>
        <v>#REF!</v>
      </c>
      <c r="AV92" s="6" t="e">
        <f t="shared" si="115"/>
        <v>#REF!</v>
      </c>
      <c r="AW92" s="6" t="e">
        <f t="shared" si="115"/>
        <v>#REF!</v>
      </c>
      <c r="AX92" s="6" t="e">
        <f t="shared" si="115"/>
        <v>#REF!</v>
      </c>
      <c r="AY92" s="6" t="e">
        <f t="shared" si="115"/>
        <v>#REF!</v>
      </c>
      <c r="AZ92" s="6" t="e">
        <f t="shared" si="115"/>
        <v>#REF!</v>
      </c>
      <c r="BA92" s="6" t="e">
        <f t="shared" si="115"/>
        <v>#REF!</v>
      </c>
      <c r="BB92" s="6" t="e">
        <f t="shared" si="115"/>
        <v>#REF!</v>
      </c>
      <c r="BC92" s="6" t="e">
        <f t="shared" si="115"/>
        <v>#REF!</v>
      </c>
      <c r="BD92" s="6" t="e">
        <f t="shared" si="115"/>
        <v>#REF!</v>
      </c>
      <c r="BE92" s="6" t="e">
        <f t="shared" si="115"/>
        <v>#REF!</v>
      </c>
      <c r="BF92" s="63" t="e">
        <f t="shared" si="115"/>
        <v>#REF!</v>
      </c>
      <c r="BG92" s="6" t="e">
        <f t="shared" si="115"/>
        <v>#REF!</v>
      </c>
      <c r="BH92" s="6" t="e">
        <f t="shared" si="115"/>
        <v>#REF!</v>
      </c>
      <c r="BI92" s="6" t="e">
        <f t="shared" si="115"/>
        <v>#REF!</v>
      </c>
      <c r="BJ92" s="63" t="e">
        <f t="shared" si="115"/>
        <v>#REF!</v>
      </c>
      <c r="BK92" s="6" t="e">
        <f t="shared" si="115"/>
        <v>#REF!</v>
      </c>
      <c r="BL92" s="6" t="e">
        <f t="shared" si="115"/>
        <v>#REF!</v>
      </c>
      <c r="BM92" s="6" t="e">
        <f t="shared" si="115"/>
        <v>#REF!</v>
      </c>
      <c r="BN92" s="63" t="e">
        <f t="shared" si="115"/>
        <v>#REF!</v>
      </c>
      <c r="BO92" s="6" t="e">
        <f t="shared" si="115"/>
        <v>#REF!</v>
      </c>
      <c r="BP92" s="6" t="e">
        <f t="shared" si="115"/>
        <v>#REF!</v>
      </c>
      <c r="BQ92" s="6" t="e">
        <f t="shared" si="115"/>
        <v>#REF!</v>
      </c>
      <c r="BR92" s="64" t="e">
        <f t="shared" si="115"/>
        <v>#REF!</v>
      </c>
      <c r="BS92" s="28" t="e">
        <f t="shared" si="115"/>
        <v>#REF!</v>
      </c>
      <c r="BT92" s="28" t="e">
        <f t="shared" si="115"/>
        <v>#REF!</v>
      </c>
      <c r="BU92" s="28" t="e">
        <f t="shared" si="115"/>
        <v>#REF!</v>
      </c>
      <c r="BV92" s="2"/>
      <c r="BW92" s="2"/>
      <c r="BX92" s="2"/>
      <c r="BY92" s="2"/>
      <c r="BZ92" s="2"/>
      <c r="CA92" s="2"/>
      <c r="CB92" s="2"/>
      <c r="CC92" s="2"/>
      <c r="CD92" s="2"/>
      <c r="CE92" s="2"/>
      <c r="CF92" s="2"/>
      <c r="CG92" s="2"/>
      <c r="CH92" s="2"/>
      <c r="CI92" s="2"/>
      <c r="CJ92" s="2"/>
      <c r="CK92" s="2"/>
      <c r="CL92" s="2"/>
      <c r="CM92" s="2"/>
      <c r="CN92" s="2"/>
      <c r="CO92" s="2"/>
      <c r="CP92" s="2"/>
    </row>
    <row r="93" spans="1:94">
      <c r="A93" s="2"/>
      <c r="B93" s="2"/>
      <c r="C93" s="2"/>
      <c r="D93" s="2"/>
      <c r="E93" s="56"/>
      <c r="F93" s="56"/>
      <c r="G93" s="56"/>
      <c r="H93" s="56"/>
      <c r="I93" s="2"/>
      <c r="J93" s="2"/>
      <c r="K93" s="56"/>
      <c r="L93" s="56"/>
      <c r="M93" s="56"/>
      <c r="N93" s="71"/>
      <c r="O93" s="71"/>
      <c r="P93" s="71"/>
      <c r="Q93" s="71"/>
      <c r="R93" s="71"/>
      <c r="S93" s="56"/>
      <c r="T93" s="56"/>
      <c r="U93" s="56"/>
      <c r="V93" s="56"/>
      <c r="W93" s="56"/>
      <c r="X93" s="56"/>
      <c r="Y93" s="56"/>
      <c r="Z93" s="56"/>
      <c r="AA93" s="56"/>
      <c r="AB93" s="56"/>
      <c r="AC93" s="56"/>
      <c r="AD93" s="56"/>
      <c r="AE93" s="56"/>
      <c r="AF93" s="81"/>
      <c r="AG93" s="2"/>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69"/>
      <c r="BG93" s="56"/>
      <c r="BH93" s="56"/>
      <c r="BI93" s="56"/>
      <c r="BJ93" s="69"/>
      <c r="BK93" s="56"/>
      <c r="BL93" s="56"/>
      <c r="BM93" s="56"/>
      <c r="BN93" s="69"/>
      <c r="BO93" s="56"/>
      <c r="BP93" s="56"/>
      <c r="BQ93" s="56"/>
      <c r="BR93" s="70"/>
      <c r="BS93" s="71"/>
      <c r="BT93" s="71"/>
      <c r="BU93" s="71"/>
      <c r="BV93" s="2"/>
      <c r="BW93" s="2"/>
      <c r="BX93" s="2"/>
      <c r="BY93" s="2"/>
      <c r="BZ93" s="2"/>
      <c r="CA93" s="2"/>
      <c r="CB93" s="2"/>
      <c r="CC93" s="2"/>
      <c r="CD93" s="2"/>
      <c r="CE93" s="2"/>
      <c r="CF93" s="2"/>
      <c r="CG93" s="2"/>
      <c r="CH93" s="2"/>
      <c r="CI93" s="2"/>
      <c r="CJ93" s="2"/>
      <c r="CK93" s="2"/>
      <c r="CL93" s="2"/>
      <c r="CM93" s="2"/>
      <c r="CN93" s="2"/>
      <c r="CO93" s="2"/>
      <c r="CP93" s="2"/>
    </row>
    <row r="94" spans="1:94">
      <c r="A94" s="1" t="s">
        <v>986</v>
      </c>
      <c r="B94" s="1"/>
      <c r="C94" s="1"/>
      <c r="D94" s="1"/>
      <c r="E94" s="82" t="e">
        <v>#REF!</v>
      </c>
      <c r="F94" s="82" t="e">
        <v>#REF!</v>
      </c>
      <c r="G94" s="82" t="e">
        <f>SUM(AP94:AS94)</f>
        <v>#REF!</v>
      </c>
      <c r="H94" s="82" t="e">
        <f>SUM(AT94:AW94)</f>
        <v>#REF!</v>
      </c>
      <c r="I94" s="82" t="e">
        <f>ROUND(I87/I99,2)</f>
        <v>#REF!</v>
      </c>
      <c r="J94" s="82" t="e">
        <f>SUM(BB94:BE94)</f>
        <v>#REF!</v>
      </c>
      <c r="K94" s="82" t="e">
        <f t="shared" ref="K94:R94" si="116">ROUND((K87+K97)/K99,2)</f>
        <v>#REF!</v>
      </c>
      <c r="L94" s="82" t="e">
        <f t="shared" si="116"/>
        <v>#REF!</v>
      </c>
      <c r="M94" s="82" t="e">
        <f t="shared" si="116"/>
        <v>#REF!</v>
      </c>
      <c r="N94" s="83" t="e">
        <f t="shared" si="116"/>
        <v>#REF!</v>
      </c>
      <c r="O94" s="83" t="e">
        <f t="shared" si="116"/>
        <v>#REF!</v>
      </c>
      <c r="P94" s="83" t="e">
        <f t="shared" si="116"/>
        <v>#REF!</v>
      </c>
      <c r="Q94" s="83" t="e">
        <f t="shared" si="116"/>
        <v>#REF!</v>
      </c>
      <c r="R94" s="83" t="e">
        <f t="shared" si="116"/>
        <v>#REF!</v>
      </c>
      <c r="S94" s="58"/>
      <c r="T94" s="58"/>
      <c r="U94" s="58"/>
      <c r="V94" s="58"/>
      <c r="W94" s="58"/>
      <c r="X94" s="58"/>
      <c r="Y94" s="58"/>
      <c r="Z94" s="58"/>
      <c r="AA94" s="58"/>
      <c r="AB94" s="58"/>
      <c r="AC94" s="58"/>
      <c r="AD94" s="58"/>
      <c r="AE94" s="58"/>
      <c r="AF94" s="59" t="e">
        <f>(R94/M94)^(1/5)-1</f>
        <v>#REF!</v>
      </c>
      <c r="AG94" s="2"/>
      <c r="AH94" s="82" t="e">
        <v>#REF!</v>
      </c>
      <c r="AI94" s="82" t="e">
        <v>#REF!</v>
      </c>
      <c r="AJ94" s="82" t="e">
        <v>#REF!</v>
      </c>
      <c r="AK94" s="82" t="e">
        <v>#REF!</v>
      </c>
      <c r="AL94" s="82" t="e">
        <v>#REF!</v>
      </c>
      <c r="AM94" s="82" t="e">
        <v>#REF!</v>
      </c>
      <c r="AN94" s="82" t="e">
        <v>#REF!</v>
      </c>
      <c r="AO94" s="82" t="e">
        <v>#REF!</v>
      </c>
      <c r="AP94" s="82" t="e">
        <v>#REF!</v>
      </c>
      <c r="AQ94" s="82" t="e">
        <v>#REF!</v>
      </c>
      <c r="AR94" s="82" t="e">
        <v>#REF!</v>
      </c>
      <c r="AS94" s="82" t="e">
        <v>#REF!</v>
      </c>
      <c r="AT94" s="82" t="e">
        <v>#REF!</v>
      </c>
      <c r="AU94" s="82" t="e">
        <v>#REF!</v>
      </c>
      <c r="AV94" s="82" t="e">
        <v>#REF!</v>
      </c>
      <c r="AW94" s="82" t="e">
        <v>#REF!</v>
      </c>
      <c r="AX94" s="82" t="e">
        <v>#REF!</v>
      </c>
      <c r="AY94" s="82" t="e">
        <v>#REF!</v>
      </c>
      <c r="AZ94" s="82" t="e">
        <v>#REF!</v>
      </c>
      <c r="BA94" s="82" t="e">
        <v>#REF!</v>
      </c>
      <c r="BB94" s="82" t="e">
        <v>#REF!</v>
      </c>
      <c r="BC94" s="82" t="e">
        <v>#REF!</v>
      </c>
      <c r="BD94" s="82" t="e">
        <f t="shared" ref="BD94:BU94" si="117">BD91</f>
        <v>#REF!</v>
      </c>
      <c r="BE94" s="82" t="e">
        <f t="shared" si="117"/>
        <v>#REF!</v>
      </c>
      <c r="BF94" s="84" t="e">
        <f t="shared" si="117"/>
        <v>#REF!</v>
      </c>
      <c r="BG94" s="82" t="e">
        <f t="shared" si="117"/>
        <v>#REF!</v>
      </c>
      <c r="BH94" s="82" t="e">
        <f t="shared" si="117"/>
        <v>#REF!</v>
      </c>
      <c r="BI94" s="82" t="e">
        <f t="shared" si="117"/>
        <v>#REF!</v>
      </c>
      <c r="BJ94" s="84" t="e">
        <f t="shared" si="117"/>
        <v>#REF!</v>
      </c>
      <c r="BK94" s="82" t="e">
        <f t="shared" si="117"/>
        <v>#REF!</v>
      </c>
      <c r="BL94" s="82" t="e">
        <f t="shared" si="117"/>
        <v>#REF!</v>
      </c>
      <c r="BM94" s="82" t="e">
        <f t="shared" si="117"/>
        <v>#REF!</v>
      </c>
      <c r="BN94" s="84" t="e">
        <f t="shared" si="117"/>
        <v>#REF!</v>
      </c>
      <c r="BO94" s="82" t="e">
        <f t="shared" si="117"/>
        <v>#REF!</v>
      </c>
      <c r="BP94" s="82" t="e">
        <f t="shared" si="117"/>
        <v>#REF!</v>
      </c>
      <c r="BQ94" s="82" t="e">
        <f t="shared" si="117"/>
        <v>#REF!</v>
      </c>
      <c r="BR94" t="e">
        <f t="shared" si="117"/>
        <v>#REF!</v>
      </c>
      <c r="BS94" s="83" t="e">
        <f t="shared" si="117"/>
        <v>#REF!</v>
      </c>
      <c r="BT94" s="83" t="e">
        <f t="shared" si="117"/>
        <v>#REF!</v>
      </c>
      <c r="BU94" s="83" t="e">
        <f t="shared" si="117"/>
        <v>#REF!</v>
      </c>
      <c r="BV94" s="1"/>
      <c r="BW94" s="1"/>
      <c r="BX94" s="58" t="e">
        <f>K94-SUM(BF94:BI94)</f>
        <v>#REF!</v>
      </c>
      <c r="BY94" s="1"/>
      <c r="BZ94" s="1"/>
      <c r="CA94" s="1"/>
      <c r="CB94" s="1"/>
      <c r="CC94" s="1"/>
      <c r="CD94" s="1"/>
      <c r="CE94" s="1"/>
      <c r="CF94" s="1"/>
      <c r="CG94" s="1"/>
      <c r="CH94" s="1"/>
      <c r="CI94" s="1"/>
      <c r="CJ94" s="1"/>
      <c r="CK94" s="1"/>
      <c r="CL94" s="1"/>
      <c r="CM94" s="1"/>
      <c r="CN94" s="1"/>
      <c r="CO94" s="1"/>
      <c r="CP94" s="1"/>
    </row>
    <row r="95" spans="1:94">
      <c r="A95" s="68" t="s">
        <v>952</v>
      </c>
      <c r="B95" s="6"/>
      <c r="C95" s="6"/>
      <c r="D95" s="6"/>
      <c r="E95" s="6"/>
      <c r="F95" s="6" t="e">
        <f t="shared" ref="F95:R95" si="118">F94/E94-1</f>
        <v>#REF!</v>
      </c>
      <c r="G95" s="6" t="e">
        <f t="shared" si="118"/>
        <v>#REF!</v>
      </c>
      <c r="H95" s="6" t="e">
        <f t="shared" si="118"/>
        <v>#REF!</v>
      </c>
      <c r="I95" s="6" t="e">
        <f t="shared" si="118"/>
        <v>#REF!</v>
      </c>
      <c r="J95" s="6" t="e">
        <f t="shared" si="118"/>
        <v>#REF!</v>
      </c>
      <c r="K95" s="6" t="e">
        <f t="shared" si="118"/>
        <v>#REF!</v>
      </c>
      <c r="L95" s="6" t="e">
        <f t="shared" si="118"/>
        <v>#REF!</v>
      </c>
      <c r="M95" s="6" t="e">
        <f t="shared" si="118"/>
        <v>#REF!</v>
      </c>
      <c r="N95" s="28" t="e">
        <f t="shared" si="118"/>
        <v>#REF!</v>
      </c>
      <c r="O95" s="28" t="e">
        <f t="shared" si="118"/>
        <v>#REF!</v>
      </c>
      <c r="P95" s="28" t="e">
        <f t="shared" si="118"/>
        <v>#REF!</v>
      </c>
      <c r="Q95" s="28" t="e">
        <f t="shared" si="118"/>
        <v>#REF!</v>
      </c>
      <c r="R95" s="28" t="e">
        <f t="shared" si="118"/>
        <v>#REF!</v>
      </c>
      <c r="S95" s="6"/>
      <c r="T95" s="6"/>
      <c r="U95" s="6"/>
      <c r="V95" s="6"/>
      <c r="W95" s="6"/>
      <c r="X95" s="6"/>
      <c r="Y95" s="6"/>
      <c r="Z95" s="6"/>
      <c r="AA95" s="6"/>
      <c r="AB95" s="6"/>
      <c r="AC95" s="6"/>
      <c r="AD95" s="6"/>
      <c r="AE95" s="6"/>
      <c r="AF95" s="47"/>
      <c r="AG95" s="2"/>
      <c r="AH95" s="6"/>
      <c r="AI95" s="6"/>
      <c r="AJ95" s="6"/>
      <c r="AK95" s="6"/>
      <c r="AL95" s="6" t="e">
        <f t="shared" ref="AL95:BU95" si="119">AL94/AH94-1</f>
        <v>#REF!</v>
      </c>
      <c r="AM95" s="6" t="e">
        <f t="shared" si="119"/>
        <v>#REF!</v>
      </c>
      <c r="AN95" s="6" t="e">
        <f t="shared" si="119"/>
        <v>#REF!</v>
      </c>
      <c r="AO95" s="6" t="e">
        <f t="shared" si="119"/>
        <v>#REF!</v>
      </c>
      <c r="AP95" s="6" t="e">
        <f t="shared" si="119"/>
        <v>#REF!</v>
      </c>
      <c r="AQ95" s="6" t="e">
        <f t="shared" si="119"/>
        <v>#REF!</v>
      </c>
      <c r="AR95" s="6" t="e">
        <f t="shared" si="119"/>
        <v>#REF!</v>
      </c>
      <c r="AS95" s="6" t="e">
        <f t="shared" si="119"/>
        <v>#REF!</v>
      </c>
      <c r="AT95" s="6" t="e">
        <f t="shared" si="119"/>
        <v>#REF!</v>
      </c>
      <c r="AU95" s="6" t="e">
        <f t="shared" si="119"/>
        <v>#REF!</v>
      </c>
      <c r="AV95" s="6" t="e">
        <f t="shared" si="119"/>
        <v>#REF!</v>
      </c>
      <c r="AW95" s="6" t="e">
        <f t="shared" si="119"/>
        <v>#REF!</v>
      </c>
      <c r="AX95" s="6" t="e">
        <f t="shared" si="119"/>
        <v>#REF!</v>
      </c>
      <c r="AY95" s="6" t="e">
        <f t="shared" si="119"/>
        <v>#REF!</v>
      </c>
      <c r="AZ95" s="6" t="e">
        <f t="shared" si="119"/>
        <v>#REF!</v>
      </c>
      <c r="BA95" s="6" t="e">
        <f t="shared" si="119"/>
        <v>#REF!</v>
      </c>
      <c r="BB95" s="6" t="e">
        <f t="shared" si="119"/>
        <v>#REF!</v>
      </c>
      <c r="BC95" s="6" t="e">
        <f t="shared" si="119"/>
        <v>#REF!</v>
      </c>
      <c r="BD95" s="6" t="e">
        <f t="shared" si="119"/>
        <v>#REF!</v>
      </c>
      <c r="BE95" s="6" t="e">
        <f t="shared" si="119"/>
        <v>#REF!</v>
      </c>
      <c r="BF95" s="63" t="e">
        <f t="shared" si="119"/>
        <v>#REF!</v>
      </c>
      <c r="BG95" s="6" t="e">
        <f t="shared" si="119"/>
        <v>#REF!</v>
      </c>
      <c r="BH95" s="6" t="e">
        <f t="shared" si="119"/>
        <v>#REF!</v>
      </c>
      <c r="BI95" s="6" t="e">
        <f t="shared" si="119"/>
        <v>#REF!</v>
      </c>
      <c r="BJ95" s="63" t="e">
        <f t="shared" si="119"/>
        <v>#REF!</v>
      </c>
      <c r="BK95" s="6" t="e">
        <f t="shared" si="119"/>
        <v>#REF!</v>
      </c>
      <c r="BL95" s="6" t="e">
        <f t="shared" si="119"/>
        <v>#REF!</v>
      </c>
      <c r="BM95" s="6" t="e">
        <f t="shared" si="119"/>
        <v>#REF!</v>
      </c>
      <c r="BN95" s="63" t="e">
        <f t="shared" si="119"/>
        <v>#REF!</v>
      </c>
      <c r="BO95" s="6" t="e">
        <f t="shared" si="119"/>
        <v>#REF!</v>
      </c>
      <c r="BP95" s="6" t="e">
        <f t="shared" si="119"/>
        <v>#REF!</v>
      </c>
      <c r="BQ95" s="6" t="e">
        <f t="shared" si="119"/>
        <v>#REF!</v>
      </c>
      <c r="BR95" s="64" t="e">
        <f t="shared" si="119"/>
        <v>#REF!</v>
      </c>
      <c r="BS95" s="28" t="e">
        <f t="shared" si="119"/>
        <v>#REF!</v>
      </c>
      <c r="BT95" s="28" t="e">
        <f t="shared" si="119"/>
        <v>#REF!</v>
      </c>
      <c r="BU95" s="28" t="e">
        <f t="shared" si="119"/>
        <v>#REF!</v>
      </c>
      <c r="BV95" s="6"/>
      <c r="BW95" s="6"/>
      <c r="BX95" s="6"/>
      <c r="BY95" s="6"/>
      <c r="BZ95" s="6"/>
      <c r="CA95" s="6"/>
      <c r="CB95" s="6"/>
      <c r="CC95" s="6"/>
      <c r="CD95" s="6"/>
      <c r="CE95" s="6"/>
      <c r="CF95" s="6"/>
      <c r="CG95" s="6"/>
      <c r="CH95" s="6"/>
      <c r="CI95" s="6"/>
      <c r="CJ95" s="6"/>
      <c r="CK95" s="6"/>
      <c r="CL95" s="6"/>
      <c r="CM95" s="6"/>
      <c r="CN95" s="6"/>
      <c r="CO95" s="6"/>
      <c r="CP95" s="6"/>
    </row>
    <row r="96" spans="1:94">
      <c r="A96" s="68"/>
      <c r="B96" s="6"/>
      <c r="C96" s="6"/>
      <c r="D96" s="6"/>
      <c r="E96" s="6"/>
      <c r="F96" s="6"/>
      <c r="G96" s="6"/>
      <c r="H96" s="6"/>
      <c r="I96" s="6"/>
      <c r="J96" s="6"/>
      <c r="K96" s="6"/>
      <c r="L96" s="6"/>
      <c r="M96" s="6"/>
      <c r="N96" s="28"/>
      <c r="O96" s="28"/>
      <c r="P96" s="28"/>
      <c r="Q96" s="28"/>
      <c r="R96" s="28"/>
      <c r="S96" s="6"/>
      <c r="T96" s="6"/>
      <c r="U96" s="6"/>
      <c r="V96" s="6"/>
      <c r="W96" s="6"/>
      <c r="X96" s="6"/>
      <c r="Y96" s="6"/>
      <c r="Z96" s="6"/>
      <c r="AA96" s="6"/>
      <c r="AB96" s="6"/>
      <c r="AC96" s="6"/>
      <c r="AD96" s="6"/>
      <c r="AE96" s="6"/>
      <c r="AF96" s="47"/>
      <c r="AG96" s="2"/>
      <c r="AH96" s="6"/>
      <c r="AI96" s="6"/>
      <c r="AJ96" s="6"/>
      <c r="AK96" s="6"/>
      <c r="AL96" s="6"/>
      <c r="AM96" s="6"/>
      <c r="AN96" s="6"/>
      <c r="AO96" s="6"/>
      <c r="AP96" s="6"/>
      <c r="AQ96" s="6"/>
      <c r="AR96" s="6"/>
      <c r="AS96" s="6"/>
      <c r="AT96" s="6"/>
      <c r="AU96" s="6"/>
      <c r="AV96" s="6"/>
      <c r="AW96" s="6"/>
      <c r="AX96" s="6"/>
      <c r="AY96" s="6"/>
      <c r="AZ96" s="6"/>
      <c r="BA96" s="6"/>
      <c r="BB96" s="6"/>
      <c r="BC96" s="6"/>
      <c r="BD96" s="6"/>
      <c r="BE96" s="6"/>
      <c r="BF96" s="63"/>
      <c r="BG96" s="6"/>
      <c r="BH96" s="6"/>
      <c r="BI96" s="6"/>
      <c r="BJ96" s="63"/>
      <c r="BK96" s="6"/>
      <c r="BL96" s="6"/>
      <c r="BM96" s="6"/>
      <c r="BN96" s="63"/>
      <c r="BO96" s="6"/>
      <c r="BP96" s="6"/>
      <c r="BQ96" s="6"/>
      <c r="BR96" s="64"/>
      <c r="BS96" s="28"/>
      <c r="BT96" s="28"/>
      <c r="BU96" s="28"/>
      <c r="BV96" s="6"/>
      <c r="BW96" s="6"/>
      <c r="BX96" s="6"/>
      <c r="BY96" s="6"/>
      <c r="BZ96" s="6"/>
      <c r="CA96" s="6"/>
      <c r="CB96" s="6"/>
      <c r="CC96" s="6"/>
      <c r="CD96" s="6"/>
      <c r="CE96" s="6"/>
      <c r="CF96" s="6"/>
      <c r="CG96" s="6"/>
      <c r="CH96" s="6"/>
      <c r="CI96" s="6"/>
      <c r="CJ96" s="6"/>
      <c r="CK96" s="6"/>
      <c r="CL96" s="6"/>
      <c r="CM96" s="6"/>
      <c r="CN96" s="6"/>
      <c r="CO96" s="6"/>
      <c r="CP96" s="6"/>
    </row>
    <row r="97" spans="1:94">
      <c r="A97" s="2" t="s">
        <v>987</v>
      </c>
      <c r="B97" s="6"/>
      <c r="C97" s="6"/>
      <c r="D97" s="6"/>
      <c r="E97" s="6"/>
      <c r="F97" s="6"/>
      <c r="G97" s="6"/>
      <c r="H97" s="6"/>
      <c r="I97" s="6"/>
      <c r="J97" s="2">
        <f>SUM(BB97:BE97)</f>
        <v>0</v>
      </c>
      <c r="K97" s="2" t="e">
        <f>SUM(BG97:BJ97)</f>
        <v>#REF!</v>
      </c>
      <c r="L97" s="2" t="e">
        <f>SUM(BJ97:BM97)</f>
        <v>#REF!</v>
      </c>
      <c r="M97" s="2" t="e">
        <f>SUM(BN97:BQ97)</f>
        <v>#REF!</v>
      </c>
      <c r="N97" s="4" t="e">
        <f>M97</f>
        <v>#REF!</v>
      </c>
      <c r="O97" s="4" t="e">
        <f>N97</f>
        <v>#REF!</v>
      </c>
      <c r="P97" s="4" t="e">
        <f>O97</f>
        <v>#REF!</v>
      </c>
      <c r="Q97" s="4" t="e">
        <f>P97</f>
        <v>#REF!</v>
      </c>
      <c r="R97" s="4" t="e">
        <f>Q97</f>
        <v>#REF!</v>
      </c>
      <c r="S97" s="6"/>
      <c r="T97" s="6"/>
      <c r="U97" s="6"/>
      <c r="V97" s="6"/>
      <c r="W97" s="6"/>
      <c r="X97" s="6"/>
      <c r="Y97" s="6"/>
      <c r="Z97" s="6"/>
      <c r="AA97" s="6"/>
      <c r="AB97" s="6"/>
      <c r="AC97" s="6"/>
      <c r="AD97" s="6"/>
      <c r="AE97" s="6"/>
      <c r="AF97" s="47"/>
      <c r="AG97" s="2"/>
      <c r="AH97" s="6"/>
      <c r="AI97" s="6"/>
      <c r="AJ97" s="6"/>
      <c r="AK97" s="6"/>
      <c r="AL97" s="6"/>
      <c r="AM97" s="6"/>
      <c r="AN97" s="6"/>
      <c r="AO97" s="6"/>
      <c r="AP97" s="6"/>
      <c r="AQ97" s="6"/>
      <c r="AR97" s="6"/>
      <c r="AS97" s="6"/>
      <c r="AT97" s="6"/>
      <c r="AU97" s="6"/>
      <c r="AV97" s="6"/>
      <c r="AW97" s="6"/>
      <c r="AX97" s="6"/>
      <c r="AY97" s="6"/>
      <c r="AZ97" s="6"/>
      <c r="BA97" s="6"/>
      <c r="BB97" s="6"/>
      <c r="BC97" s="6"/>
      <c r="BD97" s="6"/>
      <c r="BE97" s="6"/>
      <c r="BF97" s="48" t="e">
        <v>#REF!</v>
      </c>
      <c r="BG97" s="2" t="e">
        <v>#REF!</v>
      </c>
      <c r="BH97" s="2" t="e">
        <v>#REF!</v>
      </c>
      <c r="BI97" s="2" t="e">
        <v>#REF!</v>
      </c>
      <c r="BJ97" s="48" t="e">
        <v>#REF!</v>
      </c>
      <c r="BK97" s="2" t="e">
        <v>#REF!</v>
      </c>
      <c r="BL97" s="2" t="e">
        <v>#REF!</v>
      </c>
      <c r="BM97" s="2" t="e">
        <v>#REF!</v>
      </c>
      <c r="BN97" s="48" t="e">
        <v>#REF!</v>
      </c>
      <c r="BO97" s="2" t="e">
        <v>#REF!</v>
      </c>
      <c r="BP97" s="2" t="e">
        <v>#REF!</v>
      </c>
      <c r="BQ97" s="2" t="e">
        <v>#REF!</v>
      </c>
      <c r="BR97" s="74" t="e">
        <f>BQ97</f>
        <v>#REF!</v>
      </c>
      <c r="BS97" s="4" t="e">
        <f>BR97</f>
        <v>#REF!</v>
      </c>
      <c r="BT97" s="4" t="e">
        <f>BS97</f>
        <v>#REF!</v>
      </c>
      <c r="BU97" s="4" t="e">
        <f>BT97</f>
        <v>#REF!</v>
      </c>
      <c r="BV97" s="6"/>
      <c r="BW97" s="6"/>
      <c r="BX97" s="6"/>
      <c r="BY97" s="6"/>
      <c r="BZ97" s="6"/>
      <c r="CA97" s="6"/>
      <c r="CB97" s="6"/>
      <c r="CC97" s="6"/>
      <c r="CD97" s="6"/>
      <c r="CE97" s="6"/>
      <c r="CF97" s="6"/>
      <c r="CG97" s="6"/>
      <c r="CH97" s="6"/>
      <c r="CI97" s="6"/>
      <c r="CJ97" s="6"/>
      <c r="CK97" s="6"/>
      <c r="CL97" s="6"/>
      <c r="CM97" s="6"/>
      <c r="CN97" s="6"/>
      <c r="CO97" s="6"/>
      <c r="CP97" s="6"/>
    </row>
    <row r="98" spans="1:94">
      <c r="A98" s="2"/>
      <c r="B98" s="2"/>
      <c r="C98" s="2"/>
      <c r="D98" s="2"/>
      <c r="E98" s="56"/>
      <c r="F98" s="56"/>
      <c r="G98" s="56"/>
      <c r="H98" s="56"/>
      <c r="I98" s="56"/>
      <c r="J98" s="56"/>
      <c r="K98" s="56"/>
      <c r="L98" s="56"/>
      <c r="M98" s="56"/>
      <c r="N98" s="71"/>
      <c r="O98" s="71"/>
      <c r="P98" s="71"/>
      <c r="Q98" s="71"/>
      <c r="R98" s="71"/>
      <c r="S98" s="56"/>
      <c r="T98" s="56"/>
      <c r="U98" s="56"/>
      <c r="V98" s="56"/>
      <c r="W98" s="56"/>
      <c r="X98" s="56"/>
      <c r="Y98" s="56"/>
      <c r="Z98" s="56"/>
      <c r="AA98" s="56"/>
      <c r="AB98" s="56"/>
      <c r="AC98" s="56"/>
      <c r="AD98" s="56"/>
      <c r="AE98" s="56"/>
      <c r="AF98" s="81"/>
      <c r="AG98" s="2"/>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69"/>
      <c r="BG98" s="56"/>
      <c r="BH98" s="56"/>
      <c r="BI98" s="56"/>
      <c r="BJ98" s="69"/>
      <c r="BK98" s="56"/>
      <c r="BL98" s="56"/>
      <c r="BM98" s="56"/>
      <c r="BN98" s="69"/>
      <c r="BO98" s="56"/>
      <c r="BP98" s="56"/>
      <c r="BQ98" s="56"/>
      <c r="BS98" s="71"/>
      <c r="BT98" s="71"/>
      <c r="BU98" s="71"/>
      <c r="BV98" s="2"/>
      <c r="BW98" s="2"/>
      <c r="BX98" s="2"/>
      <c r="BY98" s="2"/>
      <c r="BZ98" s="2"/>
      <c r="CA98" s="2"/>
      <c r="CB98" s="2"/>
      <c r="CC98" s="2"/>
      <c r="CD98" s="2"/>
      <c r="CE98" s="2"/>
      <c r="CF98" s="2"/>
      <c r="CG98" s="2"/>
      <c r="CH98" s="2"/>
      <c r="CI98" s="2"/>
      <c r="CJ98" s="2"/>
      <c r="CK98" s="2"/>
      <c r="CL98" s="2"/>
      <c r="CM98" s="2"/>
      <c r="CN98" s="2"/>
      <c r="CO98" s="2"/>
      <c r="CP98" s="2"/>
    </row>
    <row r="99" spans="1:94">
      <c r="A99" s="1" t="s">
        <v>988</v>
      </c>
      <c r="B99" s="2"/>
      <c r="C99" s="2"/>
      <c r="D99" s="2"/>
      <c r="E99" s="56" t="e">
        <f>E105+E109</f>
        <v>#REF!</v>
      </c>
      <c r="F99" s="56" t="e">
        <f t="shared" ref="F99:K99" si="120">F108+F109</f>
        <v>#REF!</v>
      </c>
      <c r="G99" s="56" t="e">
        <f t="shared" si="120"/>
        <v>#REF!</v>
      </c>
      <c r="H99" s="56" t="e">
        <f t="shared" si="120"/>
        <v>#REF!</v>
      </c>
      <c r="I99" s="56" t="e">
        <f t="shared" si="120"/>
        <v>#REF!</v>
      </c>
      <c r="J99" s="56" t="e">
        <f t="shared" si="120"/>
        <v>#REF!</v>
      </c>
      <c r="K99" s="56" t="e">
        <f t="shared" si="120"/>
        <v>#REF!</v>
      </c>
      <c r="L99" s="2" t="e">
        <f>AVERAGE(BJ99:BM99)</f>
        <v>#REF!</v>
      </c>
      <c r="M99" s="2" t="e">
        <f>AVERAGE(BN99:BQ99)</f>
        <v>#REF!</v>
      </c>
      <c r="N99" s="4" t="e">
        <f>AVERAGE(M101:N101)</f>
        <v>#REF!</v>
      </c>
      <c r="O99" s="4" t="e">
        <f>O108+O109</f>
        <v>#REF!</v>
      </c>
      <c r="P99" s="4" t="e">
        <f>P108+P109</f>
        <v>#REF!</v>
      </c>
      <c r="Q99" s="4" t="e">
        <f>Q108+Q109</f>
        <v>#REF!</v>
      </c>
      <c r="R99" s="4" t="e">
        <f>R108+R109</f>
        <v>#REF!</v>
      </c>
      <c r="S99" s="56"/>
      <c r="T99" s="56"/>
      <c r="U99" s="56"/>
      <c r="V99" s="56"/>
      <c r="W99" s="56"/>
      <c r="X99" s="56"/>
      <c r="Y99" s="56"/>
      <c r="Z99" s="56"/>
      <c r="AA99" s="56"/>
      <c r="AB99" s="56"/>
      <c r="AC99" s="56"/>
      <c r="AD99" s="56"/>
      <c r="AE99" s="56"/>
      <c r="AF99" s="59" t="e">
        <f>(R99/M99)^(1/5)-1</f>
        <v>#REF!</v>
      </c>
      <c r="AG99" s="2"/>
      <c r="AH99" s="56" t="e">
        <v>#REF!</v>
      </c>
      <c r="AI99" s="56" t="e">
        <v>#REF!</v>
      </c>
      <c r="AJ99" s="56" t="e">
        <v>#REF!</v>
      </c>
      <c r="AK99" s="56" t="e">
        <v>#REF!</v>
      </c>
      <c r="AL99" s="56" t="e">
        <v>#REF!</v>
      </c>
      <c r="AM99" s="56" t="e">
        <v>#REF!</v>
      </c>
      <c r="AN99" s="56" t="e">
        <v>#REF!</v>
      </c>
      <c r="AO99" s="56" t="e">
        <v>#REF!</v>
      </c>
      <c r="AP99" s="56" t="e">
        <v>#REF!</v>
      </c>
      <c r="AQ99" s="56" t="e">
        <v>#REF!</v>
      </c>
      <c r="AR99" s="56" t="e">
        <v>#REF!</v>
      </c>
      <c r="AS99" s="56" t="e">
        <v>#REF!</v>
      </c>
      <c r="AT99" s="56" t="e">
        <v>#REF!</v>
      </c>
      <c r="AU99" s="56" t="e">
        <v>#REF!</v>
      </c>
      <c r="AV99" s="56" t="e">
        <v>#REF!</v>
      </c>
      <c r="AW99" s="56" t="e">
        <v>#REF!</v>
      </c>
      <c r="AX99" s="56" t="e">
        <v>#REF!</v>
      </c>
      <c r="AY99" s="56" t="e">
        <v>#REF!</v>
      </c>
      <c r="AZ99" s="56" t="e">
        <v>#REF!</v>
      </c>
      <c r="BA99" s="56" t="e">
        <v>#REF!</v>
      </c>
      <c r="BB99" s="56" t="e">
        <v>#REF!</v>
      </c>
      <c r="BC99" s="56" t="e">
        <v>#REF!</v>
      </c>
      <c r="BD99" s="56" t="e">
        <v>#REF!</v>
      </c>
      <c r="BE99" s="56" t="e">
        <v>#REF!</v>
      </c>
      <c r="BF99" s="69" t="e">
        <v>#REF!</v>
      </c>
      <c r="BG99" s="56" t="e">
        <v>#REF!</v>
      </c>
      <c r="BH99" s="56" t="e">
        <v>#REF!</v>
      </c>
      <c r="BI99" s="56" t="e">
        <v>#REF!</v>
      </c>
      <c r="BJ99" s="69" t="e">
        <v>#REF!</v>
      </c>
      <c r="BK99" s="56" t="e">
        <v>#REF!</v>
      </c>
      <c r="BL99" s="56" t="e">
        <v>#REF!</v>
      </c>
      <c r="BM99" s="56" t="e">
        <v>#REF!</v>
      </c>
      <c r="BN99" s="69" t="e">
        <v>#REF!</v>
      </c>
      <c r="BO99" s="56" t="e">
        <v>#REF!</v>
      </c>
      <c r="BP99" s="56" t="e">
        <v>#REF!</v>
      </c>
      <c r="BQ99" s="56" t="e">
        <v>#REF!</v>
      </c>
      <c r="BR99" s="70" t="e">
        <f>BR108+BR109</f>
        <v>#REF!</v>
      </c>
      <c r="BS99" s="71" t="e">
        <f>BS108+BS109</f>
        <v>#REF!</v>
      </c>
      <c r="BT99" s="71" t="e">
        <f>BT108+BT109</f>
        <v>#REF!</v>
      </c>
      <c r="BU99" s="71" t="e">
        <f>BU108+BU109</f>
        <v>#REF!</v>
      </c>
      <c r="BV99" s="58"/>
      <c r="BW99" s="2"/>
      <c r="BX99" s="58"/>
      <c r="BY99" s="2"/>
      <c r="BZ99" s="2"/>
      <c r="CA99" s="2"/>
      <c r="CB99" s="2"/>
      <c r="CC99" s="2"/>
      <c r="CD99" s="2"/>
      <c r="CE99" s="2"/>
      <c r="CF99" s="2"/>
      <c r="CG99" s="2"/>
      <c r="CH99" s="2"/>
      <c r="CI99" s="2"/>
      <c r="CJ99" s="2"/>
      <c r="CK99" s="2"/>
      <c r="CL99" s="2"/>
      <c r="CM99" s="2"/>
      <c r="CN99" s="2"/>
      <c r="CO99" s="2"/>
      <c r="CP99" s="2"/>
    </row>
    <row r="100" spans="1:94">
      <c r="A100" s="68" t="s">
        <v>952</v>
      </c>
      <c r="B100" s="6"/>
      <c r="C100" s="6"/>
      <c r="D100" s="6"/>
      <c r="E100" s="6"/>
      <c r="F100" s="6" t="e">
        <f t="shared" ref="F100:R100" si="121">F99/E99-1</f>
        <v>#REF!</v>
      </c>
      <c r="G100" s="6" t="e">
        <f t="shared" si="121"/>
        <v>#REF!</v>
      </c>
      <c r="H100" s="6" t="e">
        <f t="shared" si="121"/>
        <v>#REF!</v>
      </c>
      <c r="I100" s="6" t="e">
        <f t="shared" si="121"/>
        <v>#REF!</v>
      </c>
      <c r="J100" s="6" t="e">
        <f t="shared" si="121"/>
        <v>#REF!</v>
      </c>
      <c r="K100" s="6" t="e">
        <f t="shared" si="121"/>
        <v>#REF!</v>
      </c>
      <c r="L100" s="6" t="e">
        <f t="shared" si="121"/>
        <v>#REF!</v>
      </c>
      <c r="M100" s="6" t="e">
        <f t="shared" si="121"/>
        <v>#REF!</v>
      </c>
      <c r="N100" s="28" t="e">
        <f t="shared" si="121"/>
        <v>#REF!</v>
      </c>
      <c r="O100" s="28" t="e">
        <f t="shared" si="121"/>
        <v>#REF!</v>
      </c>
      <c r="P100" s="28" t="e">
        <f t="shared" si="121"/>
        <v>#REF!</v>
      </c>
      <c r="Q100" s="28" t="e">
        <f t="shared" si="121"/>
        <v>#REF!</v>
      </c>
      <c r="R100" s="28" t="e">
        <f t="shared" si="121"/>
        <v>#REF!</v>
      </c>
      <c r="S100" s="6"/>
      <c r="T100" s="6"/>
      <c r="U100" s="6"/>
      <c r="V100" s="6"/>
      <c r="W100" s="6"/>
      <c r="X100" s="6"/>
      <c r="Y100" s="6"/>
      <c r="Z100" s="6"/>
      <c r="AA100" s="6"/>
      <c r="AB100" s="6"/>
      <c r="AC100" s="6"/>
      <c r="AD100" s="6"/>
      <c r="AE100" s="6"/>
      <c r="AF100" s="47"/>
      <c r="AG100" s="2"/>
      <c r="AH100" s="6"/>
      <c r="AI100" s="6"/>
      <c r="AJ100" s="6"/>
      <c r="AK100" s="6"/>
      <c r="AL100" s="6" t="e">
        <f t="shared" ref="AL100:BU100" si="122">AL99/AH99-1</f>
        <v>#REF!</v>
      </c>
      <c r="AM100" s="6" t="e">
        <f t="shared" si="122"/>
        <v>#REF!</v>
      </c>
      <c r="AN100" s="6" t="e">
        <f t="shared" si="122"/>
        <v>#REF!</v>
      </c>
      <c r="AO100" s="6" t="e">
        <f t="shared" si="122"/>
        <v>#REF!</v>
      </c>
      <c r="AP100" s="6" t="e">
        <f t="shared" si="122"/>
        <v>#REF!</v>
      </c>
      <c r="AQ100" s="6" t="e">
        <f t="shared" si="122"/>
        <v>#REF!</v>
      </c>
      <c r="AR100" s="6" t="e">
        <f t="shared" si="122"/>
        <v>#REF!</v>
      </c>
      <c r="AS100" s="6" t="e">
        <f t="shared" si="122"/>
        <v>#REF!</v>
      </c>
      <c r="AT100" s="6" t="e">
        <f t="shared" si="122"/>
        <v>#REF!</v>
      </c>
      <c r="AU100" s="6" t="e">
        <f t="shared" si="122"/>
        <v>#REF!</v>
      </c>
      <c r="AV100" s="6" t="e">
        <f t="shared" si="122"/>
        <v>#REF!</v>
      </c>
      <c r="AW100" s="6" t="e">
        <f t="shared" si="122"/>
        <v>#REF!</v>
      </c>
      <c r="AX100" s="6" t="e">
        <f t="shared" si="122"/>
        <v>#REF!</v>
      </c>
      <c r="AY100" s="6" t="e">
        <f t="shared" si="122"/>
        <v>#REF!</v>
      </c>
      <c r="AZ100" s="6" t="e">
        <f t="shared" si="122"/>
        <v>#REF!</v>
      </c>
      <c r="BA100" s="6" t="e">
        <f t="shared" si="122"/>
        <v>#REF!</v>
      </c>
      <c r="BB100" s="6" t="e">
        <f t="shared" si="122"/>
        <v>#REF!</v>
      </c>
      <c r="BC100" s="6" t="e">
        <f t="shared" si="122"/>
        <v>#REF!</v>
      </c>
      <c r="BD100" s="6" t="e">
        <f t="shared" si="122"/>
        <v>#REF!</v>
      </c>
      <c r="BE100" s="6" t="e">
        <f t="shared" si="122"/>
        <v>#REF!</v>
      </c>
      <c r="BF100" s="63" t="e">
        <f t="shared" si="122"/>
        <v>#REF!</v>
      </c>
      <c r="BG100" s="6" t="e">
        <f t="shared" si="122"/>
        <v>#REF!</v>
      </c>
      <c r="BH100" s="6" t="e">
        <f t="shared" si="122"/>
        <v>#REF!</v>
      </c>
      <c r="BI100" s="6" t="e">
        <f t="shared" si="122"/>
        <v>#REF!</v>
      </c>
      <c r="BJ100" s="63" t="e">
        <f t="shared" si="122"/>
        <v>#REF!</v>
      </c>
      <c r="BK100" s="6" t="e">
        <f t="shared" si="122"/>
        <v>#REF!</v>
      </c>
      <c r="BL100" s="6" t="e">
        <f t="shared" si="122"/>
        <v>#REF!</v>
      </c>
      <c r="BM100" s="6" t="e">
        <f t="shared" si="122"/>
        <v>#REF!</v>
      </c>
      <c r="BN100" s="63" t="e">
        <f t="shared" si="122"/>
        <v>#REF!</v>
      </c>
      <c r="BO100" s="6" t="e">
        <f t="shared" si="122"/>
        <v>#REF!</v>
      </c>
      <c r="BP100" s="6" t="e">
        <f t="shared" si="122"/>
        <v>#REF!</v>
      </c>
      <c r="BQ100" s="6" t="e">
        <f t="shared" si="122"/>
        <v>#REF!</v>
      </c>
      <c r="BR100" s="64" t="e">
        <f t="shared" si="122"/>
        <v>#REF!</v>
      </c>
      <c r="BS100" s="28" t="e">
        <f t="shared" si="122"/>
        <v>#REF!</v>
      </c>
      <c r="BT100" s="28" t="e">
        <f t="shared" si="122"/>
        <v>#REF!</v>
      </c>
      <c r="BU100" s="28" t="e">
        <f t="shared" si="122"/>
        <v>#REF!</v>
      </c>
      <c r="BV100" s="6"/>
      <c r="BW100" s="6"/>
      <c r="BX100" s="6"/>
      <c r="BY100" s="6"/>
      <c r="BZ100" s="6"/>
      <c r="CA100" s="6"/>
      <c r="CB100" s="6"/>
      <c r="CC100" s="6"/>
      <c r="CD100" s="6"/>
      <c r="CE100" s="6"/>
      <c r="CF100" s="6"/>
      <c r="CG100" s="6"/>
      <c r="CH100" s="6"/>
      <c r="CI100" s="6"/>
      <c r="CJ100" s="6"/>
      <c r="CK100" s="6"/>
      <c r="CL100" s="6"/>
      <c r="CM100" s="6"/>
      <c r="CN100" s="6"/>
      <c r="CO100" s="6"/>
      <c r="CP100" s="6"/>
    </row>
    <row r="101" spans="1:94">
      <c r="A101" s="1" t="s">
        <v>989</v>
      </c>
      <c r="B101" s="1"/>
      <c r="C101" s="1"/>
      <c r="D101" s="1"/>
      <c r="E101" s="58"/>
      <c r="F101" s="58" t="e">
        <f>AP99</f>
        <v>#REF!</v>
      </c>
      <c r="G101" s="58" t="e">
        <f>AS99</f>
        <v>#REF!</v>
      </c>
      <c r="H101" s="58" t="e">
        <f>AW99</f>
        <v>#REF!</v>
      </c>
      <c r="I101" s="58" t="e">
        <f>BA99</f>
        <v>#REF!</v>
      </c>
      <c r="J101" s="58" t="e">
        <f>BE99</f>
        <v>#REF!</v>
      </c>
      <c r="K101" s="58" t="e">
        <f>BI99</f>
        <v>#REF!</v>
      </c>
      <c r="L101" s="58" t="e">
        <f t="shared" ref="L101:R101" si="123">L99</f>
        <v>#REF!</v>
      </c>
      <c r="M101" s="58" t="e">
        <f t="shared" si="123"/>
        <v>#REF!</v>
      </c>
      <c r="N101" s="16" t="e">
        <f t="shared" si="123"/>
        <v>#REF!</v>
      </c>
      <c r="O101" s="62" t="e">
        <f t="shared" si="123"/>
        <v>#REF!</v>
      </c>
      <c r="P101" s="62" t="e">
        <f t="shared" si="123"/>
        <v>#REF!</v>
      </c>
      <c r="Q101" s="62" t="e">
        <f t="shared" si="123"/>
        <v>#REF!</v>
      </c>
      <c r="R101" s="62" t="e">
        <f t="shared" si="123"/>
        <v>#REF!</v>
      </c>
      <c r="S101" s="58"/>
      <c r="T101" s="58"/>
      <c r="U101" s="58"/>
      <c r="V101" s="58"/>
      <c r="W101" s="58"/>
      <c r="X101" s="58"/>
      <c r="Y101" s="58"/>
      <c r="Z101" s="58"/>
      <c r="AA101" s="58"/>
      <c r="AB101" s="58"/>
      <c r="AC101" s="58"/>
      <c r="AD101" s="58"/>
      <c r="AE101" s="58"/>
      <c r="AF101" s="76"/>
      <c r="AG101" s="2"/>
      <c r="AH101" s="58"/>
      <c r="AI101" s="58"/>
      <c r="AJ101" s="58"/>
      <c r="AK101" s="58"/>
      <c r="AL101" s="58"/>
      <c r="AM101" s="58"/>
      <c r="AN101" s="58"/>
      <c r="AO101" s="58"/>
      <c r="AP101" s="58"/>
      <c r="AQ101" s="58"/>
      <c r="AR101" s="58"/>
      <c r="AS101" s="58"/>
      <c r="AT101" s="58"/>
      <c r="AU101" s="58"/>
      <c r="AV101" s="58"/>
      <c r="AW101" s="58"/>
      <c r="AX101" s="58"/>
      <c r="AY101" s="58"/>
      <c r="AZ101" s="77"/>
      <c r="BA101" s="58"/>
      <c r="BB101" s="58"/>
      <c r="BC101" s="58"/>
      <c r="BD101" s="58"/>
      <c r="BE101" s="58"/>
      <c r="BF101" s="60"/>
      <c r="BG101" s="58"/>
      <c r="BH101" s="58"/>
      <c r="BI101" s="58"/>
      <c r="BJ101" s="60"/>
      <c r="BK101" s="58"/>
      <c r="BL101" s="58"/>
      <c r="BM101" s="58"/>
      <c r="BN101" s="60"/>
      <c r="BO101" s="58"/>
      <c r="BP101" s="58"/>
      <c r="BQ101" s="58"/>
      <c r="BR101" s="61"/>
      <c r="BS101" s="62"/>
      <c r="BT101" s="62"/>
      <c r="BU101" s="62"/>
      <c r="BV101" s="1"/>
      <c r="BW101" s="1"/>
      <c r="BX101" s="1"/>
      <c r="BY101" s="1"/>
      <c r="BZ101" s="1"/>
      <c r="CA101" s="1"/>
      <c r="CB101" s="1"/>
      <c r="CC101" s="1"/>
      <c r="CD101" s="1"/>
      <c r="CE101" s="1"/>
      <c r="CF101" s="1"/>
      <c r="CG101" s="1"/>
      <c r="CH101" s="1"/>
      <c r="CI101" s="1"/>
      <c r="CJ101" s="1"/>
      <c r="CK101" s="1"/>
      <c r="CL101" s="1"/>
      <c r="CM101" s="1"/>
      <c r="CN101" s="1"/>
      <c r="CO101" s="1"/>
      <c r="CP101" s="1"/>
    </row>
    <row r="102" spans="1:94" ht="4.5" customHeight="1">
      <c r="A102" s="1"/>
      <c r="B102" s="1"/>
      <c r="C102" s="1"/>
      <c r="D102" s="1"/>
      <c r="E102" s="58"/>
      <c r="F102" s="58"/>
      <c r="G102" s="58"/>
      <c r="H102" s="58"/>
      <c r="I102" s="58"/>
      <c r="J102" s="58"/>
      <c r="K102" s="58"/>
      <c r="L102" s="58"/>
      <c r="M102" s="58"/>
      <c r="N102" s="62"/>
      <c r="O102" s="62"/>
      <c r="P102" s="62"/>
      <c r="Q102" s="62"/>
      <c r="R102" s="62"/>
      <c r="S102" s="58"/>
      <c r="T102" s="58"/>
      <c r="U102" s="58"/>
      <c r="V102" s="58"/>
      <c r="W102" s="58"/>
      <c r="X102" s="58"/>
      <c r="Y102" s="58"/>
      <c r="Z102" s="58"/>
      <c r="AA102" s="58"/>
      <c r="AB102" s="58"/>
      <c r="AC102" s="58"/>
      <c r="AD102" s="58"/>
      <c r="AE102" s="58"/>
      <c r="AF102" s="76"/>
      <c r="AG102" s="2"/>
      <c r="AH102" s="58"/>
      <c r="AI102" s="58"/>
      <c r="AJ102" s="58"/>
      <c r="AK102" s="58"/>
      <c r="AL102" s="58"/>
      <c r="AM102" s="58"/>
      <c r="AN102" s="58"/>
      <c r="AO102" s="58"/>
      <c r="AP102" s="58"/>
      <c r="AQ102" s="58"/>
      <c r="AR102" s="58"/>
      <c r="AS102" s="58"/>
      <c r="AT102" s="58"/>
      <c r="AU102" s="58"/>
      <c r="AV102" s="58"/>
      <c r="AW102" s="58"/>
      <c r="AX102" s="58"/>
      <c r="AY102" s="58"/>
      <c r="AZ102" s="77"/>
      <c r="BA102" s="58"/>
      <c r="BB102" s="58"/>
      <c r="BC102" s="58"/>
      <c r="BD102" s="58"/>
      <c r="BE102" s="58"/>
      <c r="BF102" s="60"/>
      <c r="BG102" s="58"/>
      <c r="BH102" s="58"/>
      <c r="BI102" s="58"/>
      <c r="BJ102" s="60"/>
      <c r="BK102" s="58"/>
      <c r="BL102" s="58"/>
      <c r="BM102" s="58"/>
      <c r="BN102" s="60"/>
      <c r="BO102" s="58"/>
      <c r="BP102" s="58"/>
      <c r="BQ102" s="58"/>
      <c r="BR102" s="61"/>
      <c r="BS102" s="62"/>
      <c r="BT102" s="62"/>
      <c r="BU102" s="62"/>
      <c r="BV102" s="1"/>
      <c r="BW102" s="1"/>
      <c r="BX102" s="1"/>
      <c r="BY102" s="1"/>
      <c r="BZ102" s="1"/>
      <c r="CA102" s="1"/>
      <c r="CB102" s="1"/>
      <c r="CC102" s="1"/>
      <c r="CD102" s="1"/>
      <c r="CE102" s="1"/>
      <c r="CF102" s="1"/>
      <c r="CG102" s="1"/>
      <c r="CH102" s="1"/>
      <c r="CI102" s="1"/>
      <c r="CJ102" s="1"/>
      <c r="CK102" s="1"/>
      <c r="CL102" s="1"/>
      <c r="CM102" s="1"/>
      <c r="CN102" s="1"/>
      <c r="CO102" s="1"/>
      <c r="CP102" s="1"/>
    </row>
    <row r="103" spans="1:94">
      <c r="A103" s="2" t="s">
        <v>990</v>
      </c>
      <c r="B103" s="1"/>
      <c r="C103" s="1"/>
      <c r="D103" s="1"/>
      <c r="E103" s="58"/>
      <c r="F103" s="58"/>
      <c r="G103" s="58"/>
      <c r="H103" s="58"/>
      <c r="I103" s="58"/>
      <c r="J103" s="58"/>
      <c r="K103" s="58"/>
      <c r="L103" s="58"/>
      <c r="M103" s="58" t="e">
        <v>#REF!</v>
      </c>
      <c r="N103" s="62" t="e">
        <v>#REF!</v>
      </c>
      <c r="O103" s="62" t="e">
        <v>#REF!</v>
      </c>
      <c r="P103" s="62" t="e">
        <v>#REF!</v>
      </c>
      <c r="Q103" s="62" t="e">
        <v>#REF!</v>
      </c>
      <c r="R103" s="62" t="e">
        <v>#REF!</v>
      </c>
      <c r="S103" s="58"/>
      <c r="T103" s="58"/>
      <c r="U103" s="58"/>
      <c r="V103" s="58"/>
      <c r="W103" s="58"/>
      <c r="X103" s="58"/>
      <c r="Y103" s="58"/>
      <c r="Z103" s="58"/>
      <c r="AA103" s="58"/>
      <c r="AB103" s="58"/>
      <c r="AC103" s="58"/>
      <c r="AD103" s="58"/>
      <c r="AE103" s="58"/>
      <c r="AF103" s="76"/>
      <c r="AG103" s="2"/>
      <c r="AH103" s="58"/>
      <c r="AI103" s="58"/>
      <c r="AJ103" s="58"/>
      <c r="AK103" s="58"/>
      <c r="AL103" s="58"/>
      <c r="AM103" s="58"/>
      <c r="AN103" s="58"/>
      <c r="AO103" s="58"/>
      <c r="AP103" s="58"/>
      <c r="AQ103" s="58"/>
      <c r="AR103" s="58"/>
      <c r="AS103" s="58"/>
      <c r="AT103" s="58"/>
      <c r="AU103" s="58"/>
      <c r="AV103" s="58"/>
      <c r="AW103" s="58"/>
      <c r="AX103" s="58"/>
      <c r="AY103" s="58"/>
      <c r="AZ103" s="77"/>
      <c r="BA103" s="58"/>
      <c r="BB103" s="58" t="e">
        <v>#REF!</v>
      </c>
      <c r="BC103" s="58" t="e">
        <v>#REF!</v>
      </c>
      <c r="BD103" s="58" t="e">
        <v>#REF!</v>
      </c>
      <c r="BE103" s="58" t="e">
        <v>#REF!</v>
      </c>
      <c r="BF103" s="60" t="e">
        <v>#REF!</v>
      </c>
      <c r="BG103" s="58" t="e">
        <v>#REF!</v>
      </c>
      <c r="BH103" s="58" t="e">
        <v>#REF!</v>
      </c>
      <c r="BI103" s="58" t="e">
        <v>#REF!</v>
      </c>
      <c r="BJ103" s="60" t="e">
        <v>#REF!</v>
      </c>
      <c r="BK103" s="58" t="e">
        <v>#REF!</v>
      </c>
      <c r="BL103" s="58" t="e">
        <v>#REF!</v>
      </c>
      <c r="BM103" s="58" t="e">
        <v>#REF!</v>
      </c>
      <c r="BN103" s="60" t="e">
        <v>#REF!</v>
      </c>
      <c r="BO103" s="58" t="e">
        <v>#REF!</v>
      </c>
      <c r="BP103" s="58" t="e">
        <v>#REF!</v>
      </c>
      <c r="BQ103" s="58" t="e">
        <v>#REF!</v>
      </c>
      <c r="BR103" s="61" t="e">
        <v>#REF!</v>
      </c>
      <c r="BS103" s="62" t="e">
        <v>#REF!</v>
      </c>
      <c r="BT103" s="62" t="e">
        <v>#REF!</v>
      </c>
      <c r="BU103" s="62" t="e">
        <v>#REF!</v>
      </c>
      <c r="BV103" s="1"/>
      <c r="BW103" s="1"/>
      <c r="BX103" s="1"/>
      <c r="BY103" s="1"/>
      <c r="BZ103" s="1"/>
      <c r="CA103" s="1"/>
      <c r="CB103" s="1"/>
      <c r="CC103" s="1"/>
      <c r="CD103" s="1"/>
      <c r="CE103" s="1"/>
      <c r="CF103" s="1"/>
      <c r="CG103" s="1"/>
      <c r="CH103" s="1"/>
      <c r="CI103" s="1"/>
      <c r="CJ103" s="1"/>
      <c r="CK103" s="1"/>
      <c r="CL103" s="1"/>
      <c r="CM103" s="1"/>
      <c r="CN103" s="1"/>
      <c r="CO103" s="1"/>
      <c r="CP103" s="1"/>
    </row>
    <row r="104" spans="1:94">
      <c r="A104" s="68" t="s">
        <v>991</v>
      </c>
      <c r="B104" s="1"/>
      <c r="C104" s="1"/>
      <c r="D104" s="1"/>
      <c r="E104" s="58"/>
      <c r="F104" s="58"/>
      <c r="G104" s="58"/>
      <c r="H104" s="58"/>
      <c r="I104" s="58"/>
      <c r="J104" s="58"/>
      <c r="K104" s="58"/>
      <c r="L104" s="58"/>
      <c r="M104" s="58"/>
      <c r="N104" s="28"/>
      <c r="O104" s="28"/>
      <c r="P104" s="28"/>
      <c r="Q104" s="28"/>
      <c r="R104" s="28"/>
      <c r="S104" s="58"/>
      <c r="T104" s="58"/>
      <c r="U104" s="58"/>
      <c r="V104" s="58"/>
      <c r="W104" s="58"/>
      <c r="X104" s="58"/>
      <c r="Y104" s="58"/>
      <c r="Z104" s="58"/>
      <c r="AA104" s="58"/>
      <c r="AB104" s="58"/>
      <c r="AC104" s="58"/>
      <c r="AD104" s="58"/>
      <c r="AE104" s="58"/>
      <c r="AF104" s="76"/>
      <c r="AG104" s="2"/>
      <c r="AH104" s="58"/>
      <c r="AI104" s="58"/>
      <c r="AJ104" s="58"/>
      <c r="AK104" s="58"/>
      <c r="AL104" s="58"/>
      <c r="AM104" s="58"/>
      <c r="AN104" s="58"/>
      <c r="AO104" s="58"/>
      <c r="AP104" s="58"/>
      <c r="AQ104" s="58"/>
      <c r="AR104" s="58"/>
      <c r="AS104" s="58"/>
      <c r="AT104" s="58"/>
      <c r="AU104" s="58"/>
      <c r="AV104" s="58"/>
      <c r="AW104" s="58"/>
      <c r="AX104" s="58"/>
      <c r="AY104" s="58"/>
      <c r="AZ104" s="77"/>
      <c r="BA104" s="58"/>
      <c r="BB104" s="58"/>
      <c r="BC104" s="58"/>
      <c r="BD104" s="58"/>
      <c r="BE104" s="58"/>
      <c r="BF104" s="60"/>
      <c r="BG104" s="58"/>
      <c r="BH104" s="58"/>
      <c r="BI104" s="58"/>
      <c r="BJ104" s="60"/>
      <c r="BK104" s="58"/>
      <c r="BL104" s="58"/>
      <c r="BM104" s="58"/>
      <c r="BN104" s="60"/>
      <c r="BO104" s="58"/>
      <c r="BP104" s="58"/>
      <c r="BQ104" s="58"/>
      <c r="BR104" s="61"/>
      <c r="BS104" s="62"/>
      <c r="BT104" s="62"/>
      <c r="BU104" s="62"/>
      <c r="BV104" s="58">
        <f>I104-SUM(AX104:BA104)</f>
        <v>0</v>
      </c>
      <c r="BW104" s="1"/>
      <c r="BX104" s="1"/>
      <c r="BY104" s="1"/>
      <c r="BZ104" s="1"/>
      <c r="CA104" s="1"/>
      <c r="CB104" s="1"/>
      <c r="CC104" s="1"/>
      <c r="CD104" s="1"/>
      <c r="CE104" s="1"/>
      <c r="CF104" s="1"/>
      <c r="CG104" s="1"/>
      <c r="CH104" s="1"/>
      <c r="CI104" s="1"/>
      <c r="CJ104" s="1"/>
      <c r="CK104" s="1"/>
      <c r="CL104" s="1"/>
      <c r="CM104" s="1"/>
      <c r="CN104" s="1"/>
      <c r="CO104" s="1"/>
      <c r="CP104" s="1"/>
    </row>
    <row r="105" spans="1:94">
      <c r="A105" s="1" t="s">
        <v>992</v>
      </c>
      <c r="B105" s="1"/>
      <c r="C105" s="1"/>
      <c r="D105" s="1"/>
      <c r="E105" s="56" t="e">
        <v>#REF!</v>
      </c>
      <c r="F105" s="56" t="e">
        <v>#REF!</v>
      </c>
      <c r="G105" s="56" t="e">
        <v>#REF!</v>
      </c>
      <c r="H105" s="56" t="e">
        <f>AVERAGE(AT105:AW105)</f>
        <v>#REF!</v>
      </c>
      <c r="I105" s="56" t="e">
        <f>AVERAGE(AX105:BA105)</f>
        <v>#REF!</v>
      </c>
      <c r="J105" s="56" t="e">
        <f>AVERAGE(BB105:BE105)</f>
        <v>#REF!</v>
      </c>
      <c r="K105" s="56" t="e">
        <f>BI105</f>
        <v>#REF!</v>
      </c>
      <c r="L105" s="2" t="e">
        <f>BM105</f>
        <v>#REF!</v>
      </c>
      <c r="M105" s="2" t="e">
        <f>BQ105</f>
        <v>#REF!</v>
      </c>
      <c r="N105" s="4" t="e">
        <f>BU105</f>
        <v>#REF!</v>
      </c>
      <c r="O105" s="4" t="e">
        <f>N105+O103</f>
        <v>#REF!</v>
      </c>
      <c r="P105" s="4" t="e">
        <f>O105+P103</f>
        <v>#REF!</v>
      </c>
      <c r="Q105" s="4" t="e">
        <f>P105+Q103</f>
        <v>#REF!</v>
      </c>
      <c r="R105" s="4" t="e">
        <f>Q105+R103</f>
        <v>#REF!</v>
      </c>
      <c r="S105" s="58"/>
      <c r="T105" s="58"/>
      <c r="U105" s="58"/>
      <c r="V105" s="58"/>
      <c r="W105" s="58"/>
      <c r="X105" s="58"/>
      <c r="Y105" s="58"/>
      <c r="Z105" s="58"/>
      <c r="AA105" s="58"/>
      <c r="AB105" s="58"/>
      <c r="AC105" s="58"/>
      <c r="AD105" s="58"/>
      <c r="AE105" s="58"/>
      <c r="AF105" s="76"/>
      <c r="AG105" s="2"/>
      <c r="AH105" s="56" t="e">
        <v>#REF!</v>
      </c>
      <c r="AI105" s="56" t="e">
        <v>#REF!</v>
      </c>
      <c r="AJ105" s="56" t="e">
        <v>#REF!</v>
      </c>
      <c r="AK105" s="56" t="e">
        <v>#REF!</v>
      </c>
      <c r="AL105" s="56" t="e">
        <v>#REF!</v>
      </c>
      <c r="AM105" s="56" t="e">
        <v>#REF!</v>
      </c>
      <c r="AN105" s="56" t="e">
        <v>#REF!</v>
      </c>
      <c r="AO105" s="56" t="e">
        <v>#REF!</v>
      </c>
      <c r="AP105" s="56" t="e">
        <v>#REF!</v>
      </c>
      <c r="AQ105" s="56" t="e">
        <v>#REF!</v>
      </c>
      <c r="AR105" s="56" t="e">
        <v>#REF!</v>
      </c>
      <c r="AS105" s="56" t="e">
        <v>#REF!</v>
      </c>
      <c r="AT105" s="56" t="e">
        <v>#REF!</v>
      </c>
      <c r="AU105" s="56" t="e">
        <v>#REF!</v>
      </c>
      <c r="AV105" s="56" t="e">
        <v>#REF!</v>
      </c>
      <c r="AW105" s="56" t="e">
        <v>#REF!</v>
      </c>
      <c r="AX105" s="56" t="e">
        <v>#REF!</v>
      </c>
      <c r="AY105" s="56" t="e">
        <v>#REF!</v>
      </c>
      <c r="AZ105" s="56" t="e">
        <v>#REF!</v>
      </c>
      <c r="BA105" s="56" t="e">
        <v>#REF!</v>
      </c>
      <c r="BB105" s="56" t="e">
        <v>#REF!</v>
      </c>
      <c r="BC105" s="56" t="e">
        <v>#REF!</v>
      </c>
      <c r="BD105" s="56" t="e">
        <v>#REF!</v>
      </c>
      <c r="BE105" s="56" t="e">
        <v>#REF!</v>
      </c>
      <c r="BF105" s="69" t="e">
        <v>#REF!</v>
      </c>
      <c r="BG105" s="56" t="e">
        <v>#REF!</v>
      </c>
      <c r="BH105" s="56" t="e">
        <v>#REF!</v>
      </c>
      <c r="BI105" s="56" t="e">
        <v>#REF!</v>
      </c>
      <c r="BJ105" s="69" t="e">
        <v>#REF!</v>
      </c>
      <c r="BK105" s="56" t="e">
        <v>#REF!</v>
      </c>
      <c r="BL105" s="56" t="e">
        <v>#REF!</v>
      </c>
      <c r="BM105" s="56" t="e">
        <v>#REF!</v>
      </c>
      <c r="BN105" s="69" t="e">
        <v>#REF!</v>
      </c>
      <c r="BO105" s="56" t="e">
        <v>#REF!</v>
      </c>
      <c r="BP105" s="56" t="e">
        <v>#REF!</v>
      </c>
      <c r="BQ105" s="56" t="e">
        <v>#REF!</v>
      </c>
      <c r="BR105" s="70" t="e">
        <f>BQ105+BR103</f>
        <v>#REF!</v>
      </c>
      <c r="BS105" s="71" t="e">
        <f>BR105+BS103</f>
        <v>#REF!</v>
      </c>
      <c r="BT105" s="71" t="e">
        <f>BS105+BT103</f>
        <v>#REF!</v>
      </c>
      <c r="BU105" s="71" t="e">
        <f>BT105+BU103</f>
        <v>#REF!</v>
      </c>
      <c r="BV105" s="58"/>
      <c r="BW105" s="2" t="e">
        <f>M105-BQ105</f>
        <v>#REF!</v>
      </c>
      <c r="BX105" s="1"/>
      <c r="BY105" s="1"/>
      <c r="BZ105" s="1"/>
      <c r="CA105" s="1"/>
      <c r="CB105" s="1"/>
      <c r="CC105" s="1"/>
      <c r="CD105" s="1"/>
      <c r="CE105" s="1"/>
      <c r="CF105" s="1"/>
      <c r="CG105" s="1"/>
      <c r="CH105" s="1"/>
      <c r="CI105" s="1"/>
      <c r="CJ105" s="1"/>
      <c r="CK105" s="1"/>
      <c r="CL105" s="1"/>
      <c r="CM105" s="1"/>
      <c r="CN105" s="1"/>
      <c r="CO105" s="1"/>
      <c r="CP105" s="1"/>
    </row>
    <row r="106" spans="1:94">
      <c r="A106" s="68" t="s">
        <v>991</v>
      </c>
      <c r="B106" s="1"/>
      <c r="C106" s="1"/>
      <c r="D106" s="1"/>
      <c r="H106" s="6" t="e">
        <f t="shared" ref="H106:R106" si="124">H105/G105-1</f>
        <v>#REF!</v>
      </c>
      <c r="I106" s="6" t="e">
        <f t="shared" si="124"/>
        <v>#REF!</v>
      </c>
      <c r="J106" s="6" t="e">
        <f t="shared" si="124"/>
        <v>#REF!</v>
      </c>
      <c r="K106" s="6" t="e">
        <f t="shared" si="124"/>
        <v>#REF!</v>
      </c>
      <c r="L106" s="6" t="e">
        <f t="shared" si="124"/>
        <v>#REF!</v>
      </c>
      <c r="M106" s="6" t="e">
        <f t="shared" si="124"/>
        <v>#REF!</v>
      </c>
      <c r="N106" s="28" t="e">
        <f t="shared" si="124"/>
        <v>#REF!</v>
      </c>
      <c r="O106" s="28" t="e">
        <f t="shared" si="124"/>
        <v>#REF!</v>
      </c>
      <c r="P106" s="28" t="e">
        <f t="shared" si="124"/>
        <v>#REF!</v>
      </c>
      <c r="Q106" s="28" t="e">
        <f t="shared" si="124"/>
        <v>#REF!</v>
      </c>
      <c r="R106" s="28" t="e">
        <f t="shared" si="124"/>
        <v>#REF!</v>
      </c>
      <c r="S106" s="58"/>
      <c r="T106" s="58"/>
      <c r="U106" s="58"/>
      <c r="V106" s="58"/>
      <c r="W106" s="58"/>
      <c r="X106" s="58"/>
      <c r="Y106" s="58"/>
      <c r="Z106" s="58"/>
      <c r="AA106" s="58"/>
      <c r="AB106" s="58"/>
      <c r="AC106" s="58"/>
      <c r="AD106" s="58"/>
      <c r="AE106" s="58"/>
      <c r="AF106" s="76"/>
      <c r="AG106" s="2"/>
      <c r="AH106" s="58"/>
      <c r="AI106" s="58"/>
      <c r="AJ106" s="58"/>
      <c r="AK106" s="58"/>
      <c r="AL106" s="58"/>
      <c r="AM106" s="58"/>
      <c r="AN106" s="58"/>
      <c r="AO106" s="58"/>
      <c r="AT106" s="6" t="e">
        <f>AT105/AP105-1</f>
        <v>#REF!</v>
      </c>
      <c r="AU106" s="6" t="e">
        <f>AU105/AQ105-1</f>
        <v>#REF!</v>
      </c>
      <c r="AV106" s="6" t="e">
        <f>AV105/AR105-1</f>
        <v>#REF!</v>
      </c>
      <c r="AW106" s="6" t="e">
        <f>AW105/AS105-1</f>
        <v>#REF!</v>
      </c>
      <c r="AX106" s="6" t="e">
        <f t="shared" ref="AX106:BU106" si="125">AX100</f>
        <v>#REF!</v>
      </c>
      <c r="AY106" s="6" t="e">
        <f t="shared" si="125"/>
        <v>#REF!</v>
      </c>
      <c r="AZ106" s="6" t="e">
        <f t="shared" si="125"/>
        <v>#REF!</v>
      </c>
      <c r="BA106" s="6" t="e">
        <f t="shared" si="125"/>
        <v>#REF!</v>
      </c>
      <c r="BB106" s="6" t="e">
        <f t="shared" si="125"/>
        <v>#REF!</v>
      </c>
      <c r="BC106" s="6" t="e">
        <f t="shared" si="125"/>
        <v>#REF!</v>
      </c>
      <c r="BD106" s="6" t="e">
        <f t="shared" si="125"/>
        <v>#REF!</v>
      </c>
      <c r="BE106" s="6" t="e">
        <f t="shared" si="125"/>
        <v>#REF!</v>
      </c>
      <c r="BF106" s="63" t="e">
        <f t="shared" si="125"/>
        <v>#REF!</v>
      </c>
      <c r="BG106" s="6" t="e">
        <f t="shared" si="125"/>
        <v>#REF!</v>
      </c>
      <c r="BH106" s="6" t="e">
        <f t="shared" si="125"/>
        <v>#REF!</v>
      </c>
      <c r="BI106" s="6" t="e">
        <f t="shared" si="125"/>
        <v>#REF!</v>
      </c>
      <c r="BJ106" s="63" t="e">
        <f t="shared" si="125"/>
        <v>#REF!</v>
      </c>
      <c r="BK106" s="6" t="e">
        <f t="shared" si="125"/>
        <v>#REF!</v>
      </c>
      <c r="BL106" s="6" t="e">
        <f t="shared" si="125"/>
        <v>#REF!</v>
      </c>
      <c r="BM106" s="6" t="e">
        <f t="shared" si="125"/>
        <v>#REF!</v>
      </c>
      <c r="BN106" s="63" t="e">
        <f t="shared" si="125"/>
        <v>#REF!</v>
      </c>
      <c r="BO106" s="6" t="e">
        <f t="shared" si="125"/>
        <v>#REF!</v>
      </c>
      <c r="BP106" s="6" t="e">
        <f t="shared" si="125"/>
        <v>#REF!</v>
      </c>
      <c r="BQ106" s="6" t="e">
        <f t="shared" si="125"/>
        <v>#REF!</v>
      </c>
      <c r="BR106" s="64" t="e">
        <f t="shared" si="125"/>
        <v>#REF!</v>
      </c>
      <c r="BS106" s="28" t="e">
        <f t="shared" si="125"/>
        <v>#REF!</v>
      </c>
      <c r="BT106" s="28" t="e">
        <f t="shared" si="125"/>
        <v>#REF!</v>
      </c>
      <c r="BU106" s="28" t="e">
        <f t="shared" si="125"/>
        <v>#REF!</v>
      </c>
      <c r="BV106" s="1"/>
      <c r="BW106" s="1"/>
      <c r="BX106" s="1"/>
      <c r="BY106" s="1"/>
      <c r="BZ106" s="1"/>
      <c r="CA106" s="1"/>
      <c r="CB106" s="1"/>
      <c r="CC106" s="1"/>
      <c r="CD106" s="1"/>
      <c r="CE106" s="1"/>
      <c r="CF106" s="1"/>
      <c r="CG106" s="1"/>
      <c r="CH106" s="1"/>
      <c r="CI106" s="1"/>
      <c r="CJ106" s="1"/>
      <c r="CK106" s="1"/>
      <c r="CL106" s="1"/>
      <c r="CM106" s="1"/>
      <c r="CN106" s="1"/>
      <c r="CO106" s="1"/>
      <c r="CP106" s="1"/>
    </row>
    <row r="107" spans="1:94">
      <c r="A107" s="68" t="s">
        <v>993</v>
      </c>
      <c r="B107" s="1"/>
      <c r="C107" s="1"/>
      <c r="D107" s="1"/>
      <c r="G107" s="6" t="e">
        <f t="shared" ref="G107:R107" si="126">G105/G99</f>
        <v>#REF!</v>
      </c>
      <c r="H107" s="6" t="e">
        <f t="shared" si="126"/>
        <v>#REF!</v>
      </c>
      <c r="I107" s="6" t="e">
        <f t="shared" si="126"/>
        <v>#REF!</v>
      </c>
      <c r="J107" s="6" t="e">
        <f t="shared" si="126"/>
        <v>#REF!</v>
      </c>
      <c r="K107" s="6" t="e">
        <f t="shared" si="126"/>
        <v>#REF!</v>
      </c>
      <c r="L107" s="6" t="e">
        <f t="shared" si="126"/>
        <v>#REF!</v>
      </c>
      <c r="M107" s="6" t="e">
        <f t="shared" si="126"/>
        <v>#REF!</v>
      </c>
      <c r="N107" s="28" t="e">
        <f t="shared" si="126"/>
        <v>#REF!</v>
      </c>
      <c r="O107" s="28" t="e">
        <f t="shared" si="126"/>
        <v>#REF!</v>
      </c>
      <c r="P107" s="28" t="e">
        <f t="shared" si="126"/>
        <v>#REF!</v>
      </c>
      <c r="Q107" s="28" t="e">
        <f t="shared" si="126"/>
        <v>#REF!</v>
      </c>
      <c r="R107" s="28" t="e">
        <f t="shared" si="126"/>
        <v>#REF!</v>
      </c>
      <c r="S107" s="58"/>
      <c r="T107" s="58"/>
      <c r="U107" s="58"/>
      <c r="V107" s="58"/>
      <c r="W107" s="58"/>
      <c r="X107" s="58"/>
      <c r="Y107" s="58"/>
      <c r="Z107" s="58"/>
      <c r="AA107" s="58"/>
      <c r="AB107" s="58"/>
      <c r="AC107" s="58"/>
      <c r="AD107" s="58"/>
      <c r="AE107" s="58"/>
      <c r="AF107" s="76"/>
      <c r="AG107" s="2"/>
      <c r="AH107" s="58"/>
      <c r="AI107" s="58"/>
      <c r="AJ107" s="58"/>
      <c r="AK107" s="58"/>
      <c r="AL107" s="58"/>
      <c r="AM107" s="58"/>
      <c r="AN107" s="58"/>
      <c r="AO107" s="58"/>
      <c r="AP107" s="6" t="e">
        <f t="shared" ref="AP107:BU107" si="127">AP105/AP99</f>
        <v>#REF!</v>
      </c>
      <c r="AQ107" s="6" t="e">
        <f t="shared" si="127"/>
        <v>#REF!</v>
      </c>
      <c r="AR107" s="6" t="e">
        <f t="shared" si="127"/>
        <v>#REF!</v>
      </c>
      <c r="AS107" s="6" t="e">
        <f t="shared" si="127"/>
        <v>#REF!</v>
      </c>
      <c r="AT107" s="6" t="e">
        <f t="shared" si="127"/>
        <v>#REF!</v>
      </c>
      <c r="AU107" s="6" t="e">
        <f t="shared" si="127"/>
        <v>#REF!</v>
      </c>
      <c r="AV107" s="6" t="e">
        <f t="shared" si="127"/>
        <v>#REF!</v>
      </c>
      <c r="AW107" s="6" t="e">
        <f t="shared" si="127"/>
        <v>#REF!</v>
      </c>
      <c r="AX107" s="6" t="e">
        <f t="shared" si="127"/>
        <v>#REF!</v>
      </c>
      <c r="AY107" s="6" t="e">
        <f t="shared" si="127"/>
        <v>#REF!</v>
      </c>
      <c r="AZ107" s="6" t="e">
        <f t="shared" si="127"/>
        <v>#REF!</v>
      </c>
      <c r="BA107" s="6" t="e">
        <f t="shared" si="127"/>
        <v>#REF!</v>
      </c>
      <c r="BB107" s="6" t="e">
        <f t="shared" si="127"/>
        <v>#REF!</v>
      </c>
      <c r="BC107" s="6" t="e">
        <f t="shared" si="127"/>
        <v>#REF!</v>
      </c>
      <c r="BD107" s="6" t="e">
        <f t="shared" si="127"/>
        <v>#REF!</v>
      </c>
      <c r="BE107" s="6" t="e">
        <f t="shared" si="127"/>
        <v>#REF!</v>
      </c>
      <c r="BF107" s="63" t="e">
        <f t="shared" si="127"/>
        <v>#REF!</v>
      </c>
      <c r="BG107" s="6" t="e">
        <f t="shared" si="127"/>
        <v>#REF!</v>
      </c>
      <c r="BH107" s="6" t="e">
        <f t="shared" si="127"/>
        <v>#REF!</v>
      </c>
      <c r="BI107" s="6" t="e">
        <f t="shared" si="127"/>
        <v>#REF!</v>
      </c>
      <c r="BJ107" s="63" t="e">
        <f t="shared" si="127"/>
        <v>#REF!</v>
      </c>
      <c r="BK107" s="6" t="e">
        <f t="shared" si="127"/>
        <v>#REF!</v>
      </c>
      <c r="BL107" s="6" t="e">
        <f t="shared" si="127"/>
        <v>#REF!</v>
      </c>
      <c r="BM107" s="6" t="e">
        <f t="shared" si="127"/>
        <v>#REF!</v>
      </c>
      <c r="BN107" s="63" t="e">
        <f t="shared" si="127"/>
        <v>#REF!</v>
      </c>
      <c r="BO107" s="6" t="e">
        <f t="shared" si="127"/>
        <v>#REF!</v>
      </c>
      <c r="BP107" s="6" t="e">
        <f t="shared" si="127"/>
        <v>#REF!</v>
      </c>
      <c r="BQ107" s="6" t="e">
        <f t="shared" si="127"/>
        <v>#REF!</v>
      </c>
      <c r="BR107" s="64" t="e">
        <f t="shared" si="127"/>
        <v>#REF!</v>
      </c>
      <c r="BS107" s="28" t="e">
        <f t="shared" si="127"/>
        <v>#REF!</v>
      </c>
      <c r="BT107" s="28" t="e">
        <f t="shared" si="127"/>
        <v>#REF!</v>
      </c>
      <c r="BU107" s="28" t="e">
        <f t="shared" si="127"/>
        <v>#REF!</v>
      </c>
      <c r="BV107" s="1"/>
      <c r="BW107" s="1"/>
      <c r="BX107" s="1"/>
      <c r="BY107" s="1"/>
      <c r="BZ107" s="1"/>
      <c r="CA107" s="1"/>
      <c r="CB107" s="1"/>
      <c r="CC107" s="1"/>
      <c r="CD107" s="1"/>
      <c r="CE107" s="1"/>
      <c r="CF107" s="1"/>
      <c r="CG107" s="1"/>
      <c r="CH107" s="1"/>
      <c r="CI107" s="1"/>
      <c r="CJ107" s="1"/>
      <c r="CK107" s="1"/>
      <c r="CL107" s="1"/>
      <c r="CM107" s="1"/>
      <c r="CN107" s="1"/>
      <c r="CO107" s="1"/>
      <c r="CP107" s="1"/>
    </row>
    <row r="108" spans="1:94">
      <c r="A108" s="1" t="s">
        <v>994</v>
      </c>
      <c r="B108" s="1"/>
      <c r="C108" s="1"/>
      <c r="D108" s="1"/>
      <c r="E108" s="58"/>
      <c r="F108" s="58" t="e">
        <f t="shared" ref="F108:R108" si="128">AVERAGE(F105,E105)</f>
        <v>#REF!</v>
      </c>
      <c r="G108" s="58" t="e">
        <f t="shared" si="128"/>
        <v>#REF!</v>
      </c>
      <c r="H108" s="58" t="e">
        <f t="shared" si="128"/>
        <v>#REF!</v>
      </c>
      <c r="I108" s="58" t="e">
        <f t="shared" si="128"/>
        <v>#REF!</v>
      </c>
      <c r="J108" s="58" t="e">
        <f t="shared" si="128"/>
        <v>#REF!</v>
      </c>
      <c r="K108" s="58" t="e">
        <f t="shared" si="128"/>
        <v>#REF!</v>
      </c>
      <c r="L108" s="58" t="e">
        <f t="shared" si="128"/>
        <v>#REF!</v>
      </c>
      <c r="M108" s="58" t="e">
        <f t="shared" si="128"/>
        <v>#REF!</v>
      </c>
      <c r="N108" s="62" t="e">
        <f t="shared" si="128"/>
        <v>#REF!</v>
      </c>
      <c r="O108" s="62" t="e">
        <f t="shared" si="128"/>
        <v>#REF!</v>
      </c>
      <c r="P108" s="62" t="e">
        <f t="shared" si="128"/>
        <v>#REF!</v>
      </c>
      <c r="Q108" s="62" t="e">
        <f t="shared" si="128"/>
        <v>#REF!</v>
      </c>
      <c r="R108" s="62" t="e">
        <f t="shared" si="128"/>
        <v>#REF!</v>
      </c>
      <c r="S108" s="58"/>
      <c r="T108" s="58"/>
      <c r="U108" s="58"/>
      <c r="V108" s="58"/>
      <c r="W108" s="58"/>
      <c r="X108" s="58"/>
      <c r="Y108" s="58"/>
      <c r="Z108" s="58"/>
      <c r="AA108" s="58"/>
      <c r="AB108" s="58"/>
      <c r="AC108" s="58"/>
      <c r="AD108" s="58"/>
      <c r="AE108" s="58"/>
      <c r="AF108" s="76"/>
      <c r="AG108" s="2"/>
      <c r="AH108" s="58"/>
      <c r="AI108" s="58" t="e">
        <f t="shared" ref="AI108:BU108" si="129">AVERAGE(AI105,AH105)</f>
        <v>#REF!</v>
      </c>
      <c r="AJ108" s="58" t="e">
        <f t="shared" si="129"/>
        <v>#REF!</v>
      </c>
      <c r="AK108" s="58" t="e">
        <f t="shared" si="129"/>
        <v>#REF!</v>
      </c>
      <c r="AL108" s="58" t="e">
        <f t="shared" si="129"/>
        <v>#REF!</v>
      </c>
      <c r="AM108" s="58" t="e">
        <f t="shared" si="129"/>
        <v>#REF!</v>
      </c>
      <c r="AN108" s="58" t="e">
        <f t="shared" si="129"/>
        <v>#REF!</v>
      </c>
      <c r="AO108" s="58" t="e">
        <f t="shared" si="129"/>
        <v>#REF!</v>
      </c>
      <c r="AP108" s="58" t="e">
        <f t="shared" si="129"/>
        <v>#REF!</v>
      </c>
      <c r="AQ108" s="58" t="e">
        <f t="shared" si="129"/>
        <v>#REF!</v>
      </c>
      <c r="AR108" s="58" t="e">
        <f t="shared" si="129"/>
        <v>#REF!</v>
      </c>
      <c r="AS108" s="58" t="e">
        <f t="shared" si="129"/>
        <v>#REF!</v>
      </c>
      <c r="AT108" s="58" t="e">
        <f t="shared" si="129"/>
        <v>#REF!</v>
      </c>
      <c r="AU108" s="58" t="e">
        <f t="shared" si="129"/>
        <v>#REF!</v>
      </c>
      <c r="AV108" s="58" t="e">
        <f t="shared" si="129"/>
        <v>#REF!</v>
      </c>
      <c r="AW108" s="58" t="e">
        <f t="shared" si="129"/>
        <v>#REF!</v>
      </c>
      <c r="AX108" s="58" t="e">
        <f t="shared" si="129"/>
        <v>#REF!</v>
      </c>
      <c r="AY108" s="58" t="e">
        <f t="shared" si="129"/>
        <v>#REF!</v>
      </c>
      <c r="AZ108" s="58" t="e">
        <f t="shared" si="129"/>
        <v>#REF!</v>
      </c>
      <c r="BA108" s="58" t="e">
        <f t="shared" si="129"/>
        <v>#REF!</v>
      </c>
      <c r="BB108" s="58" t="e">
        <f t="shared" si="129"/>
        <v>#REF!</v>
      </c>
      <c r="BC108" s="58" t="e">
        <f t="shared" si="129"/>
        <v>#REF!</v>
      </c>
      <c r="BD108" s="58" t="e">
        <f t="shared" si="129"/>
        <v>#REF!</v>
      </c>
      <c r="BE108" s="58" t="e">
        <f t="shared" si="129"/>
        <v>#REF!</v>
      </c>
      <c r="BF108" s="60" t="e">
        <f t="shared" si="129"/>
        <v>#REF!</v>
      </c>
      <c r="BG108" s="58" t="e">
        <f t="shared" si="129"/>
        <v>#REF!</v>
      </c>
      <c r="BH108" s="58" t="e">
        <f t="shared" si="129"/>
        <v>#REF!</v>
      </c>
      <c r="BI108" s="58" t="e">
        <f t="shared" si="129"/>
        <v>#REF!</v>
      </c>
      <c r="BJ108" s="60" t="e">
        <f t="shared" si="129"/>
        <v>#REF!</v>
      </c>
      <c r="BK108" s="58" t="e">
        <f t="shared" si="129"/>
        <v>#REF!</v>
      </c>
      <c r="BL108" s="58" t="e">
        <f t="shared" si="129"/>
        <v>#REF!</v>
      </c>
      <c r="BM108" s="58" t="e">
        <f t="shared" si="129"/>
        <v>#REF!</v>
      </c>
      <c r="BN108" s="60" t="e">
        <f t="shared" si="129"/>
        <v>#REF!</v>
      </c>
      <c r="BO108" s="58" t="e">
        <f t="shared" si="129"/>
        <v>#REF!</v>
      </c>
      <c r="BP108" s="58" t="e">
        <f t="shared" si="129"/>
        <v>#REF!</v>
      </c>
      <c r="BQ108" s="58" t="e">
        <f t="shared" si="129"/>
        <v>#REF!</v>
      </c>
      <c r="BR108" s="61" t="e">
        <f t="shared" si="129"/>
        <v>#REF!</v>
      </c>
      <c r="BS108" s="62" t="e">
        <f t="shared" si="129"/>
        <v>#REF!</v>
      </c>
      <c r="BT108" s="62" t="e">
        <f t="shared" si="129"/>
        <v>#REF!</v>
      </c>
      <c r="BU108" s="62" t="e">
        <f t="shared" si="129"/>
        <v>#REF!</v>
      </c>
      <c r="BV108" s="58"/>
      <c r="BW108" s="2"/>
      <c r="BX108" s="1"/>
      <c r="BY108" s="1"/>
      <c r="BZ108" s="1"/>
      <c r="CA108" s="1"/>
      <c r="CB108" s="1"/>
      <c r="CC108" s="1"/>
      <c r="CD108" s="1"/>
      <c r="CE108" s="1"/>
      <c r="CF108" s="1"/>
      <c r="CG108" s="1"/>
      <c r="CH108" s="1"/>
      <c r="CI108" s="1"/>
      <c r="CJ108" s="1"/>
      <c r="CK108" s="1"/>
      <c r="CL108" s="1"/>
      <c r="CM108" s="1"/>
      <c r="CN108" s="1"/>
      <c r="CO108" s="1"/>
      <c r="CP108" s="1"/>
    </row>
    <row r="109" spans="1:94">
      <c r="A109" s="2" t="s">
        <v>995</v>
      </c>
      <c r="B109" s="1"/>
      <c r="C109" s="1"/>
      <c r="D109" s="1"/>
      <c r="E109" s="56">
        <v>23</v>
      </c>
      <c r="F109" s="56">
        <v>31</v>
      </c>
      <c r="G109" s="56">
        <v>43.5</v>
      </c>
      <c r="H109" s="56">
        <v>15.875</v>
      </c>
      <c r="I109" s="56">
        <v>20</v>
      </c>
      <c r="J109" s="56">
        <v>24.875</v>
      </c>
      <c r="K109" s="56">
        <v>22.25</v>
      </c>
      <c r="L109" s="2" t="e">
        <f>AVERAGE(BJ109:BM109)</f>
        <v>#REF!</v>
      </c>
      <c r="M109" s="56" t="e">
        <f>M99-M105</f>
        <v>#REF!</v>
      </c>
      <c r="N109" s="71" t="e">
        <f>N99-N105</f>
        <v>#REF!</v>
      </c>
      <c r="O109" s="71" t="e">
        <f>N109</f>
        <v>#REF!</v>
      </c>
      <c r="P109" s="71" t="e">
        <f>O109</f>
        <v>#REF!</v>
      </c>
      <c r="Q109" s="71" t="e">
        <f>P109</f>
        <v>#REF!</v>
      </c>
      <c r="R109" s="71" t="e">
        <f>Q109</f>
        <v>#REF!</v>
      </c>
      <c r="S109" s="58"/>
      <c r="T109" s="58"/>
      <c r="U109" s="58"/>
      <c r="V109" s="58"/>
      <c r="W109" s="58"/>
      <c r="X109" s="58"/>
      <c r="Y109" s="58"/>
      <c r="Z109" s="58"/>
      <c r="AA109" s="58"/>
      <c r="AB109" s="58"/>
      <c r="AC109" s="58"/>
      <c r="AD109" s="58"/>
      <c r="AE109" s="58"/>
      <c r="AF109" s="76"/>
      <c r="AG109" s="2"/>
      <c r="AH109" s="56"/>
      <c r="AI109" s="56" t="e">
        <f t="shared" ref="AI109:BQ109" si="130">AI99-AI108</f>
        <v>#REF!</v>
      </c>
      <c r="AJ109" s="56" t="e">
        <f t="shared" si="130"/>
        <v>#REF!</v>
      </c>
      <c r="AK109" s="56" t="e">
        <f t="shared" si="130"/>
        <v>#REF!</v>
      </c>
      <c r="AL109" s="56" t="e">
        <f t="shared" si="130"/>
        <v>#REF!</v>
      </c>
      <c r="AM109" s="56" t="e">
        <f t="shared" si="130"/>
        <v>#REF!</v>
      </c>
      <c r="AN109" s="56" t="e">
        <f t="shared" si="130"/>
        <v>#REF!</v>
      </c>
      <c r="AO109" s="56" t="e">
        <f t="shared" si="130"/>
        <v>#REF!</v>
      </c>
      <c r="AP109" s="56" t="e">
        <f t="shared" si="130"/>
        <v>#REF!</v>
      </c>
      <c r="AQ109" s="56" t="e">
        <f t="shared" si="130"/>
        <v>#REF!</v>
      </c>
      <c r="AR109" s="56" t="e">
        <f t="shared" si="130"/>
        <v>#REF!</v>
      </c>
      <c r="AS109" s="56" t="e">
        <f t="shared" si="130"/>
        <v>#REF!</v>
      </c>
      <c r="AT109" s="56" t="e">
        <f t="shared" si="130"/>
        <v>#REF!</v>
      </c>
      <c r="AU109" s="56" t="e">
        <f t="shared" si="130"/>
        <v>#REF!</v>
      </c>
      <c r="AV109" s="56" t="e">
        <f t="shared" si="130"/>
        <v>#REF!</v>
      </c>
      <c r="AW109" s="56" t="e">
        <f t="shared" si="130"/>
        <v>#REF!</v>
      </c>
      <c r="AX109" s="56" t="e">
        <f t="shared" si="130"/>
        <v>#REF!</v>
      </c>
      <c r="AY109" s="56" t="e">
        <f t="shared" si="130"/>
        <v>#REF!</v>
      </c>
      <c r="AZ109" s="56" t="e">
        <f t="shared" si="130"/>
        <v>#REF!</v>
      </c>
      <c r="BA109" s="56" t="e">
        <f t="shared" si="130"/>
        <v>#REF!</v>
      </c>
      <c r="BB109" s="56" t="e">
        <f t="shared" si="130"/>
        <v>#REF!</v>
      </c>
      <c r="BC109" s="56" t="e">
        <f t="shared" si="130"/>
        <v>#REF!</v>
      </c>
      <c r="BD109" s="56" t="e">
        <f t="shared" si="130"/>
        <v>#REF!</v>
      </c>
      <c r="BE109" s="56" t="e">
        <f t="shared" si="130"/>
        <v>#REF!</v>
      </c>
      <c r="BF109" s="69" t="e">
        <f t="shared" si="130"/>
        <v>#REF!</v>
      </c>
      <c r="BG109" s="56" t="e">
        <f t="shared" si="130"/>
        <v>#REF!</v>
      </c>
      <c r="BH109" s="56" t="e">
        <f t="shared" si="130"/>
        <v>#REF!</v>
      </c>
      <c r="BI109" s="56" t="e">
        <f t="shared" si="130"/>
        <v>#REF!</v>
      </c>
      <c r="BJ109" s="69" t="e">
        <f t="shared" si="130"/>
        <v>#REF!</v>
      </c>
      <c r="BK109" s="56" t="e">
        <f t="shared" si="130"/>
        <v>#REF!</v>
      </c>
      <c r="BL109" s="56" t="e">
        <f t="shared" si="130"/>
        <v>#REF!</v>
      </c>
      <c r="BM109" s="56" t="e">
        <f t="shared" si="130"/>
        <v>#REF!</v>
      </c>
      <c r="BN109" s="69" t="e">
        <f t="shared" si="130"/>
        <v>#REF!</v>
      </c>
      <c r="BO109" s="56" t="e">
        <f t="shared" si="130"/>
        <v>#REF!</v>
      </c>
      <c r="BP109" s="56" t="e">
        <f t="shared" si="130"/>
        <v>#REF!</v>
      </c>
      <c r="BQ109" s="56" t="e">
        <f t="shared" si="130"/>
        <v>#REF!</v>
      </c>
      <c r="BR109" s="70" t="e">
        <f>BQ109</f>
        <v>#REF!</v>
      </c>
      <c r="BS109" s="71" t="e">
        <f>BR109</f>
        <v>#REF!</v>
      </c>
      <c r="BT109" s="71" t="e">
        <f>BS109</f>
        <v>#REF!</v>
      </c>
      <c r="BU109" s="71" t="e">
        <f>BT109</f>
        <v>#REF!</v>
      </c>
      <c r="BV109" s="58"/>
      <c r="BW109" s="2"/>
      <c r="BX109" s="1"/>
      <c r="BY109" s="1"/>
      <c r="BZ109" s="1"/>
      <c r="CA109" s="1"/>
      <c r="CB109" s="1"/>
      <c r="CC109" s="1"/>
      <c r="CD109" s="1"/>
      <c r="CE109" s="1"/>
      <c r="CF109" s="1"/>
      <c r="CG109" s="1"/>
      <c r="CH109" s="1"/>
      <c r="CI109" s="1"/>
      <c r="CJ109" s="1"/>
      <c r="CK109" s="1"/>
      <c r="CL109" s="1"/>
      <c r="CM109" s="1"/>
      <c r="CN109" s="1"/>
      <c r="CO109" s="1"/>
      <c r="CP109" s="1"/>
    </row>
    <row r="110" spans="1:94">
      <c r="A110" s="68" t="s">
        <v>991</v>
      </c>
      <c r="B110" s="1"/>
      <c r="C110" s="1"/>
      <c r="D110" s="1"/>
      <c r="E110" s="58"/>
      <c r="F110" s="6">
        <f t="shared" ref="F110:R110" si="131">F109/E109-1</f>
        <v>0.34782608695652173</v>
      </c>
      <c r="G110" s="6">
        <f t="shared" si="131"/>
        <v>0.40322580645161299</v>
      </c>
      <c r="H110" s="6">
        <f t="shared" si="131"/>
        <v>-0.63505747126436773</v>
      </c>
      <c r="I110" s="6">
        <f t="shared" si="131"/>
        <v>0.25984251968503935</v>
      </c>
      <c r="J110" s="6">
        <f t="shared" si="131"/>
        <v>0.24374999999999991</v>
      </c>
      <c r="K110" s="6">
        <f t="shared" si="131"/>
        <v>-0.10552763819095479</v>
      </c>
      <c r="L110" s="6" t="e">
        <f t="shared" si="131"/>
        <v>#REF!</v>
      </c>
      <c r="M110" s="6" t="e">
        <f t="shared" si="131"/>
        <v>#REF!</v>
      </c>
      <c r="N110" s="28" t="e">
        <f t="shared" si="131"/>
        <v>#REF!</v>
      </c>
      <c r="O110" s="28" t="e">
        <f t="shared" si="131"/>
        <v>#REF!</v>
      </c>
      <c r="P110" s="28" t="e">
        <f t="shared" si="131"/>
        <v>#REF!</v>
      </c>
      <c r="Q110" s="28" t="e">
        <f t="shared" si="131"/>
        <v>#REF!</v>
      </c>
      <c r="R110" s="28" t="e">
        <f t="shared" si="131"/>
        <v>#REF!</v>
      </c>
      <c r="S110" s="58"/>
      <c r="T110" s="58"/>
      <c r="U110" s="58"/>
      <c r="V110" s="58"/>
      <c r="W110" s="58"/>
      <c r="X110" s="58"/>
      <c r="Y110" s="58"/>
      <c r="Z110" s="58"/>
      <c r="AA110" s="58"/>
      <c r="AB110" s="58"/>
      <c r="AC110" s="58"/>
      <c r="AD110" s="58"/>
      <c r="AE110" s="58"/>
      <c r="AF110" s="76"/>
      <c r="AG110" s="2"/>
      <c r="AH110" s="58"/>
      <c r="AI110" s="58"/>
      <c r="AJ110" s="58"/>
      <c r="AK110" s="58"/>
      <c r="AL110" s="58"/>
      <c r="AM110" s="58"/>
      <c r="AN110" s="58"/>
      <c r="AO110" s="58"/>
      <c r="AP110" s="58"/>
      <c r="AQ110" s="58"/>
      <c r="AR110" s="58"/>
      <c r="AS110" s="58"/>
      <c r="AT110" s="58"/>
      <c r="AU110" s="58"/>
      <c r="AV110" s="58"/>
      <c r="AW110" s="58"/>
      <c r="AX110" s="58"/>
      <c r="AY110" s="58"/>
      <c r="AZ110" s="77"/>
      <c r="BA110" s="58"/>
      <c r="BB110" s="58"/>
      <c r="BC110" s="6"/>
      <c r="BD110" s="58"/>
      <c r="BE110" s="58"/>
      <c r="BF110" s="63"/>
      <c r="BG110" s="6"/>
      <c r="BH110" s="6"/>
      <c r="BI110" s="6"/>
      <c r="BJ110" s="63"/>
      <c r="BK110" s="6"/>
      <c r="BL110" s="6"/>
      <c r="BM110" s="6"/>
      <c r="BN110" s="63"/>
      <c r="BO110" s="6"/>
      <c r="BP110" s="6"/>
      <c r="BQ110" s="6"/>
      <c r="BS110" s="28"/>
      <c r="BT110" s="28"/>
      <c r="BU110" s="28"/>
      <c r="BV110" s="1"/>
      <c r="BW110" s="1"/>
      <c r="BX110" s="1"/>
      <c r="BY110" s="1"/>
      <c r="BZ110" s="1"/>
      <c r="CA110" s="1"/>
      <c r="CB110" s="1"/>
      <c r="CC110" s="1"/>
      <c r="CD110" s="1"/>
      <c r="CE110" s="1"/>
      <c r="CF110" s="1"/>
      <c r="CG110" s="1"/>
      <c r="CH110" s="1"/>
      <c r="CI110" s="1"/>
      <c r="CJ110" s="1"/>
      <c r="CK110" s="1"/>
      <c r="CL110" s="1"/>
      <c r="CM110" s="1"/>
      <c r="CN110" s="1"/>
      <c r="CO110" s="1"/>
      <c r="CP110" s="1"/>
    </row>
    <row r="111" spans="1:94">
      <c r="A111" s="2" t="s">
        <v>996</v>
      </c>
      <c r="B111" s="1"/>
      <c r="C111" s="1"/>
      <c r="D111" s="1"/>
      <c r="E111" s="58"/>
      <c r="F111" s="58"/>
      <c r="G111" s="58"/>
      <c r="H111" s="58"/>
      <c r="I111" s="58"/>
      <c r="J111" s="58"/>
      <c r="K111" s="58"/>
      <c r="L111" s="58"/>
      <c r="M111" s="58"/>
      <c r="N111" s="62"/>
      <c r="O111" s="62"/>
      <c r="P111" s="62"/>
      <c r="Q111" s="62"/>
      <c r="R111" s="62"/>
      <c r="S111" s="58"/>
      <c r="T111" s="58"/>
      <c r="U111" s="58"/>
      <c r="V111" s="58"/>
      <c r="W111" s="58"/>
      <c r="X111" s="58"/>
      <c r="Y111" s="58"/>
      <c r="Z111" s="58"/>
      <c r="AA111" s="58"/>
      <c r="AB111" s="58"/>
      <c r="AC111" s="58"/>
      <c r="AD111" s="58"/>
      <c r="AE111" s="58"/>
      <c r="AF111" s="76"/>
      <c r="AG111" s="2"/>
      <c r="AH111" s="58"/>
      <c r="AI111" s="58"/>
      <c r="AJ111" s="58"/>
      <c r="AK111" s="58"/>
      <c r="AL111" s="58"/>
      <c r="AM111" s="58"/>
      <c r="AN111" s="58"/>
      <c r="AO111" s="58"/>
      <c r="AP111" s="58"/>
      <c r="AQ111" s="58"/>
      <c r="AR111" s="58"/>
      <c r="AS111" s="58"/>
      <c r="AT111" s="58"/>
      <c r="AU111" s="58"/>
      <c r="AV111" s="58"/>
      <c r="AW111" s="58"/>
      <c r="AX111" s="58"/>
      <c r="AY111" s="58"/>
      <c r="AZ111" s="77"/>
      <c r="BA111" s="58"/>
      <c r="BB111" s="58"/>
      <c r="BC111" s="58"/>
      <c r="BD111" s="58"/>
      <c r="BE111" s="58"/>
      <c r="BF111" s="60"/>
      <c r="BG111" s="58"/>
      <c r="BH111" s="58"/>
      <c r="BI111" s="58"/>
      <c r="BJ111" s="60"/>
      <c r="BK111" s="58"/>
      <c r="BL111" s="58"/>
      <c r="BM111" s="58"/>
      <c r="BN111" s="60"/>
      <c r="BO111" s="58"/>
      <c r="BP111" s="58"/>
      <c r="BQ111" s="58"/>
      <c r="BR111" s="61"/>
      <c r="BS111" s="62"/>
      <c r="BT111" s="62"/>
      <c r="BU111" s="62"/>
      <c r="BV111" s="1"/>
      <c r="BW111" s="1"/>
      <c r="BX111" s="1"/>
      <c r="BY111" s="1"/>
      <c r="BZ111" s="1"/>
      <c r="CA111" s="1"/>
      <c r="CB111" s="1"/>
      <c r="CC111" s="1"/>
      <c r="CD111" s="1"/>
      <c r="CE111" s="1"/>
      <c r="CF111" s="1"/>
      <c r="CG111" s="1"/>
      <c r="CH111" s="1"/>
      <c r="CI111" s="1"/>
      <c r="CJ111" s="1"/>
      <c r="CK111" s="1"/>
      <c r="CL111" s="1"/>
      <c r="CM111" s="1"/>
      <c r="CN111" s="1"/>
      <c r="CO111" s="1"/>
      <c r="CP111" s="1"/>
    </row>
    <row r="112" spans="1:94">
      <c r="A112" s="68" t="s">
        <v>991</v>
      </c>
      <c r="B112" s="1"/>
      <c r="C112" s="1"/>
      <c r="D112" s="1"/>
      <c r="E112" s="58"/>
      <c r="F112" s="58"/>
      <c r="G112" s="58"/>
      <c r="H112" s="58"/>
      <c r="I112" s="58"/>
      <c r="J112" s="58"/>
      <c r="K112" s="58"/>
      <c r="L112" s="58"/>
      <c r="M112" s="58"/>
      <c r="N112" s="62"/>
      <c r="O112" s="62"/>
      <c r="P112" s="62"/>
      <c r="Q112" s="62"/>
      <c r="R112" s="62"/>
      <c r="S112" s="58"/>
      <c r="T112" s="58"/>
      <c r="U112" s="58"/>
      <c r="V112" s="58"/>
      <c r="W112" s="58"/>
      <c r="X112" s="58"/>
      <c r="Y112" s="58"/>
      <c r="Z112" s="58"/>
      <c r="AA112" s="58"/>
      <c r="AB112" s="58"/>
      <c r="AC112" s="58"/>
      <c r="AD112" s="58"/>
      <c r="AE112" s="58"/>
      <c r="AF112" s="76"/>
      <c r="AG112" s="2"/>
      <c r="AH112" s="58"/>
      <c r="AI112" s="58"/>
      <c r="AJ112" s="58"/>
      <c r="AK112" s="58"/>
      <c r="AL112" s="58"/>
      <c r="AM112" s="58"/>
      <c r="AN112" s="58"/>
      <c r="AO112" s="58"/>
      <c r="AP112" s="58"/>
      <c r="AQ112" s="58"/>
      <c r="AR112" s="58"/>
      <c r="AS112" s="58"/>
      <c r="AT112" s="58"/>
      <c r="AU112" s="58"/>
      <c r="AV112" s="58"/>
      <c r="AW112" s="58"/>
      <c r="AX112" s="58"/>
      <c r="AY112" s="58"/>
      <c r="AZ112" s="77"/>
      <c r="BA112" s="58"/>
      <c r="BB112" s="58"/>
      <c r="BC112" s="58"/>
      <c r="BD112" s="58"/>
      <c r="BE112" s="58"/>
      <c r="BF112" s="60"/>
      <c r="BG112" s="58"/>
      <c r="BH112" s="58"/>
      <c r="BI112" s="58"/>
      <c r="BJ112" s="60"/>
      <c r="BK112" s="58"/>
      <c r="BL112" s="58"/>
      <c r="BM112" s="58"/>
      <c r="BN112" s="60"/>
      <c r="BO112" s="58"/>
      <c r="BP112" s="58"/>
      <c r="BQ112" s="58"/>
      <c r="BR112" s="61"/>
      <c r="BS112" s="62"/>
      <c r="BT112" s="62"/>
      <c r="BU112" s="62"/>
      <c r="BV112" s="1"/>
      <c r="BW112" s="1"/>
      <c r="BX112" s="1"/>
      <c r="BY112" s="1"/>
      <c r="BZ112" s="1"/>
      <c r="CA112" s="1"/>
      <c r="CB112" s="1"/>
      <c r="CC112" s="1"/>
      <c r="CD112" s="1"/>
      <c r="CE112" s="1"/>
      <c r="CF112" s="1"/>
      <c r="CG112" s="1"/>
      <c r="CH112" s="1"/>
      <c r="CI112" s="1"/>
      <c r="CJ112" s="1"/>
      <c r="CK112" s="1"/>
      <c r="CL112" s="1"/>
      <c r="CM112" s="1"/>
      <c r="CN112" s="1"/>
      <c r="CO112" s="1"/>
      <c r="CP112" s="1"/>
    </row>
    <row r="113" spans="1:94">
      <c r="A113" s="1"/>
      <c r="B113" s="1"/>
      <c r="C113" s="1"/>
      <c r="D113" s="1"/>
      <c r="E113" s="58"/>
      <c r="F113" s="58"/>
      <c r="G113" s="58"/>
      <c r="H113" s="58"/>
      <c r="I113" s="58"/>
      <c r="J113" s="58"/>
      <c r="K113" s="58"/>
      <c r="L113" s="58"/>
      <c r="M113" s="58"/>
      <c r="N113" s="62"/>
      <c r="O113" s="62"/>
      <c r="P113" s="62"/>
      <c r="Q113" s="62"/>
      <c r="R113" s="62"/>
      <c r="S113" s="58"/>
      <c r="T113" s="58"/>
      <c r="U113" s="58"/>
      <c r="V113" s="58"/>
      <c r="W113" s="58"/>
      <c r="X113" s="58"/>
      <c r="Y113" s="58"/>
      <c r="Z113" s="58"/>
      <c r="AA113" s="58"/>
      <c r="AB113" s="58"/>
      <c r="AC113" s="58"/>
      <c r="AD113" s="58"/>
      <c r="AE113" s="58"/>
      <c r="AF113" s="76"/>
      <c r="AG113" s="2"/>
      <c r="AH113" s="58"/>
      <c r="AI113" s="58"/>
      <c r="AJ113" s="58"/>
      <c r="AK113" s="58"/>
      <c r="AL113" s="58"/>
      <c r="AM113" s="58"/>
      <c r="AN113" s="58"/>
      <c r="AO113" s="58"/>
      <c r="AP113" s="58"/>
      <c r="AQ113" s="58"/>
      <c r="AR113" s="58"/>
      <c r="AS113" s="58"/>
      <c r="AT113" s="58"/>
      <c r="AU113" s="58"/>
      <c r="AV113" s="58"/>
      <c r="AW113" s="58"/>
      <c r="AX113" s="58"/>
      <c r="AY113" s="58"/>
      <c r="AZ113" s="77"/>
      <c r="BA113" s="58"/>
      <c r="BB113" s="58"/>
      <c r="BC113" s="58"/>
      <c r="BD113" s="58"/>
      <c r="BE113" s="58"/>
      <c r="BF113" s="60"/>
      <c r="BG113" s="58"/>
      <c r="BH113" s="58"/>
      <c r="BI113" s="58"/>
      <c r="BJ113" s="60"/>
      <c r="BK113" s="58"/>
      <c r="BL113" s="58"/>
      <c r="BM113" s="58"/>
      <c r="BN113" s="60"/>
      <c r="BO113" s="58"/>
      <c r="BP113" s="58"/>
      <c r="BQ113" s="58"/>
      <c r="BR113" s="61"/>
      <c r="BS113" s="62"/>
      <c r="BT113" s="62"/>
      <c r="BU113" s="62"/>
      <c r="BV113" s="1"/>
      <c r="BW113" s="1"/>
      <c r="BX113" s="1"/>
      <c r="BY113" s="1"/>
      <c r="BZ113" s="1"/>
      <c r="CA113" s="1"/>
      <c r="CB113" s="1"/>
      <c r="CC113" s="1"/>
      <c r="CD113" s="1"/>
      <c r="CE113" s="1"/>
      <c r="CF113" s="1"/>
      <c r="CG113" s="1"/>
      <c r="CH113" s="1"/>
      <c r="CI113" s="1"/>
      <c r="CJ113" s="1"/>
      <c r="CK113" s="1"/>
      <c r="CL113" s="1"/>
      <c r="CM113" s="1"/>
      <c r="CN113" s="1"/>
      <c r="CO113" s="1"/>
      <c r="CP113" s="1"/>
    </row>
    <row r="114" spans="1:94">
      <c r="A114" s="2"/>
      <c r="B114" s="2"/>
      <c r="C114" s="2"/>
      <c r="D114" s="2"/>
      <c r="E114" s="56"/>
      <c r="F114" s="56"/>
      <c r="G114" s="56"/>
      <c r="J114" s="2"/>
      <c r="K114" s="56"/>
      <c r="L114" s="56"/>
      <c r="M114" s="56"/>
      <c r="N114" s="71"/>
      <c r="O114" s="71"/>
      <c r="P114" s="71"/>
      <c r="Q114" s="71"/>
      <c r="R114" s="71"/>
      <c r="S114" s="56"/>
      <c r="T114" s="56"/>
      <c r="U114" s="56"/>
      <c r="V114" s="56"/>
      <c r="W114" s="56"/>
      <c r="X114" s="56"/>
      <c r="Y114" s="56"/>
      <c r="Z114" s="56"/>
      <c r="AA114" s="56"/>
      <c r="AB114" s="56"/>
      <c r="AC114" s="56"/>
      <c r="AD114" s="56"/>
      <c r="AE114" s="56"/>
      <c r="AF114" s="81"/>
      <c r="AG114" s="2"/>
      <c r="AH114" s="56"/>
      <c r="AI114" s="56"/>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69"/>
      <c r="BG114" s="56"/>
      <c r="BH114" s="56"/>
      <c r="BI114" s="56"/>
      <c r="BJ114" s="69"/>
      <c r="BK114" s="56"/>
      <c r="BL114" s="56"/>
      <c r="BM114" s="56"/>
      <c r="BN114" s="69"/>
      <c r="BO114" s="56"/>
      <c r="BP114" s="56"/>
      <c r="BQ114" s="56"/>
      <c r="BR114" s="70"/>
      <c r="BS114" s="71"/>
      <c r="BT114" s="71"/>
      <c r="BU114" s="71"/>
      <c r="BV114" s="2"/>
      <c r="BW114" s="2"/>
      <c r="BX114" s="2"/>
      <c r="BY114" s="2"/>
      <c r="BZ114" s="2"/>
      <c r="CA114" s="2"/>
      <c r="CB114" s="2"/>
      <c r="CC114" s="2"/>
      <c r="CD114" s="2"/>
      <c r="CE114" s="2"/>
      <c r="CF114" s="2"/>
      <c r="CG114" s="2"/>
      <c r="CH114" s="2"/>
      <c r="CI114" s="2"/>
      <c r="CJ114" s="2"/>
      <c r="CK114" s="2"/>
      <c r="CL114" s="2"/>
      <c r="CM114" s="2"/>
      <c r="CN114" s="2"/>
      <c r="CO114" s="2"/>
      <c r="CP114" s="2"/>
    </row>
    <row r="115" spans="1:94" outlineLevel="1">
      <c r="A115" s="23" t="s">
        <v>997</v>
      </c>
      <c r="B115" s="2"/>
      <c r="C115" s="2"/>
      <c r="D115" s="2"/>
      <c r="E115" s="56"/>
      <c r="F115" s="56"/>
      <c r="G115" s="23">
        <f>H115</f>
        <v>0.26</v>
      </c>
      <c r="H115" s="23">
        <v>0.26</v>
      </c>
      <c r="I115" s="23" t="e">
        <f t="shared" ref="I115:R115" si="132">I118/I99</f>
        <v>#REF!</v>
      </c>
      <c r="J115" s="23" t="e">
        <f t="shared" si="132"/>
        <v>#REF!</v>
      </c>
      <c r="K115" s="23" t="e">
        <f t="shared" si="132"/>
        <v>#REF!</v>
      </c>
      <c r="L115" s="23" t="e">
        <f t="shared" si="132"/>
        <v>#REF!</v>
      </c>
      <c r="M115" s="23" t="e">
        <f t="shared" si="132"/>
        <v>#REF!</v>
      </c>
      <c r="N115" t="e">
        <f t="shared" si="132"/>
        <v>#REF!</v>
      </c>
      <c r="O115" t="e">
        <f t="shared" si="132"/>
        <v>#REF!</v>
      </c>
      <c r="P115" t="e">
        <f t="shared" si="132"/>
        <v>#REF!</v>
      </c>
      <c r="Q115" t="e">
        <f t="shared" si="132"/>
        <v>#REF!</v>
      </c>
      <c r="R115" t="e">
        <f t="shared" si="132"/>
        <v>#REF!</v>
      </c>
      <c r="S115" s="56"/>
      <c r="T115" s="56"/>
      <c r="U115" s="56"/>
      <c r="V115" s="56"/>
      <c r="W115" s="56"/>
      <c r="X115" s="56"/>
      <c r="Y115" s="56"/>
      <c r="Z115" s="56"/>
      <c r="AA115" s="56"/>
      <c r="AB115" s="56"/>
      <c r="AC115" s="56"/>
      <c r="AD115" s="56"/>
      <c r="AE115" s="56"/>
      <c r="AF115" s="81"/>
      <c r="AG115" s="2"/>
      <c r="AH115" s="56"/>
      <c r="AI115" s="56"/>
      <c r="AJ115" s="56"/>
      <c r="AK115" s="56"/>
      <c r="AL115" s="56"/>
      <c r="AM115" s="56"/>
      <c r="AN115" s="56"/>
      <c r="AO115" s="56"/>
      <c r="AP115" s="2">
        <f>G115/4</f>
        <v>6.5000000000000002E-2</v>
      </c>
      <c r="AQ115" s="2">
        <f>AP115</f>
        <v>6.5000000000000002E-2</v>
      </c>
      <c r="AR115" s="2">
        <f>AQ115</f>
        <v>6.5000000000000002E-2</v>
      </c>
      <c r="AS115" s="2">
        <f>AR115</f>
        <v>6.5000000000000002E-2</v>
      </c>
      <c r="AT115" s="2">
        <f>H115/4</f>
        <v>6.5000000000000002E-2</v>
      </c>
      <c r="AU115" s="2">
        <f>AT115</f>
        <v>6.5000000000000002E-2</v>
      </c>
      <c r="AV115" s="2">
        <f>AU115</f>
        <v>6.5000000000000002E-2</v>
      </c>
      <c r="AW115" s="2">
        <f>AV115</f>
        <v>6.5000000000000002E-2</v>
      </c>
      <c r="AX115" s="2" t="e">
        <f t="shared" ref="AX115:BQ115" si="133">AX118/AX99</f>
        <v>#REF!</v>
      </c>
      <c r="AY115" s="2" t="e">
        <f t="shared" si="133"/>
        <v>#REF!</v>
      </c>
      <c r="AZ115" s="2" t="e">
        <f t="shared" si="133"/>
        <v>#REF!</v>
      </c>
      <c r="BA115" s="2" t="e">
        <f t="shared" si="133"/>
        <v>#REF!</v>
      </c>
      <c r="BB115" s="2" t="e">
        <f t="shared" si="133"/>
        <v>#REF!</v>
      </c>
      <c r="BC115" s="2" t="e">
        <f t="shared" si="133"/>
        <v>#REF!</v>
      </c>
      <c r="BD115" s="2" t="e">
        <f t="shared" si="133"/>
        <v>#REF!</v>
      </c>
      <c r="BE115" s="2" t="e">
        <f t="shared" si="133"/>
        <v>#REF!</v>
      </c>
      <c r="BF115" t="e">
        <f t="shared" si="133"/>
        <v>#REF!</v>
      </c>
      <c r="BG115" s="2" t="e">
        <f t="shared" si="133"/>
        <v>#REF!</v>
      </c>
      <c r="BH115" s="2" t="e">
        <f t="shared" si="133"/>
        <v>#REF!</v>
      </c>
      <c r="BI115" s="2" t="e">
        <f t="shared" si="133"/>
        <v>#REF!</v>
      </c>
      <c r="BJ115" t="e">
        <f t="shared" si="133"/>
        <v>#REF!</v>
      </c>
      <c r="BK115" s="2" t="e">
        <f t="shared" si="133"/>
        <v>#REF!</v>
      </c>
      <c r="BL115" s="2" t="e">
        <f t="shared" si="133"/>
        <v>#REF!</v>
      </c>
      <c r="BM115" s="2" t="e">
        <f t="shared" si="133"/>
        <v>#REF!</v>
      </c>
      <c r="BN115" t="e">
        <f t="shared" si="133"/>
        <v>#REF!</v>
      </c>
      <c r="BO115" s="2" t="e">
        <f t="shared" si="133"/>
        <v>#REF!</v>
      </c>
      <c r="BP115" s="2" t="e">
        <f t="shared" si="133"/>
        <v>#REF!</v>
      </c>
      <c r="BQ115" s="2" t="e">
        <f t="shared" si="133"/>
        <v>#REF!</v>
      </c>
      <c r="BS115" s="4"/>
      <c r="BT115" s="4"/>
      <c r="BU115" s="4"/>
      <c r="BV115" s="2"/>
      <c r="BW115" s="2"/>
      <c r="BX115" s="2"/>
      <c r="BY115" s="2"/>
      <c r="BZ115" s="2"/>
      <c r="CA115" s="2"/>
      <c r="CB115" s="2"/>
      <c r="CC115" s="2"/>
      <c r="CD115" s="2"/>
      <c r="CE115" s="2"/>
      <c r="CF115" s="2"/>
      <c r="CG115" s="2"/>
      <c r="CH115" s="2"/>
      <c r="CI115" s="2"/>
      <c r="CJ115" s="2"/>
      <c r="CK115" s="2"/>
      <c r="CL115" s="2"/>
      <c r="CM115" s="2"/>
      <c r="CN115" s="2"/>
      <c r="CO115" s="2"/>
      <c r="CP115" s="2"/>
    </row>
    <row r="116" spans="1:94" outlineLevel="1">
      <c r="A116" s="2" t="s">
        <v>998</v>
      </c>
      <c r="B116" s="2"/>
      <c r="C116" s="2"/>
      <c r="D116" s="2"/>
      <c r="E116" s="56"/>
      <c r="F116" s="56"/>
      <c r="G116" s="56"/>
      <c r="H116" s="23" t="e">
        <f t="shared" ref="H116:R116" si="134">H94+H115</f>
        <v>#REF!</v>
      </c>
      <c r="I116" s="23" t="e">
        <f t="shared" si="134"/>
        <v>#REF!</v>
      </c>
      <c r="J116" s="23" t="e">
        <f t="shared" si="134"/>
        <v>#REF!</v>
      </c>
      <c r="K116" s="23" t="e">
        <f t="shared" si="134"/>
        <v>#REF!</v>
      </c>
      <c r="L116" s="23" t="e">
        <f t="shared" si="134"/>
        <v>#REF!</v>
      </c>
      <c r="M116" s="23" t="e">
        <f t="shared" si="134"/>
        <v>#REF!</v>
      </c>
      <c r="N116" t="e">
        <f t="shared" si="134"/>
        <v>#REF!</v>
      </c>
      <c r="O116" t="e">
        <f t="shared" si="134"/>
        <v>#REF!</v>
      </c>
      <c r="P116" t="e">
        <f t="shared" si="134"/>
        <v>#REF!</v>
      </c>
      <c r="Q116" t="e">
        <f t="shared" si="134"/>
        <v>#REF!</v>
      </c>
      <c r="R116" t="e">
        <f t="shared" si="134"/>
        <v>#REF!</v>
      </c>
      <c r="S116" s="56"/>
      <c r="T116" s="56"/>
      <c r="U116" s="56"/>
      <c r="V116" s="56"/>
      <c r="W116" s="56"/>
      <c r="X116" s="56"/>
      <c r="Y116" s="56"/>
      <c r="Z116" s="56"/>
      <c r="AA116" s="56"/>
      <c r="AB116" s="56"/>
      <c r="AC116" s="56"/>
      <c r="AD116" s="56"/>
      <c r="AE116" s="56"/>
      <c r="AF116" s="59" t="e">
        <f>(N116/J116)^0.25-1</f>
        <v>#REF!</v>
      </c>
      <c r="AG116" s="2"/>
      <c r="AH116" s="56"/>
      <c r="AI116" s="56"/>
      <c r="AJ116" s="56"/>
      <c r="AK116" s="56"/>
      <c r="AL116" s="56"/>
      <c r="AM116" s="56"/>
      <c r="AN116" s="56"/>
      <c r="AO116" s="56"/>
      <c r="AP116" s="23" t="e">
        <f t="shared" ref="AP116:BQ116" si="135">AP94+AP115</f>
        <v>#REF!</v>
      </c>
      <c r="AQ116" s="23" t="e">
        <f t="shared" si="135"/>
        <v>#REF!</v>
      </c>
      <c r="AR116" s="23" t="e">
        <f t="shared" si="135"/>
        <v>#REF!</v>
      </c>
      <c r="AS116" s="23" t="e">
        <f t="shared" si="135"/>
        <v>#REF!</v>
      </c>
      <c r="AT116" s="23" t="e">
        <f t="shared" si="135"/>
        <v>#REF!</v>
      </c>
      <c r="AU116" s="23" t="e">
        <f t="shared" si="135"/>
        <v>#REF!</v>
      </c>
      <c r="AV116" s="23" t="e">
        <f t="shared" si="135"/>
        <v>#REF!</v>
      </c>
      <c r="AW116" s="23" t="e">
        <f t="shared" si="135"/>
        <v>#REF!</v>
      </c>
      <c r="AX116" s="23" t="e">
        <f t="shared" si="135"/>
        <v>#REF!</v>
      </c>
      <c r="AY116" s="23" t="e">
        <f t="shared" si="135"/>
        <v>#REF!</v>
      </c>
      <c r="AZ116" s="23" t="e">
        <f t="shared" si="135"/>
        <v>#REF!</v>
      </c>
      <c r="BA116" s="23" t="e">
        <f t="shared" si="135"/>
        <v>#REF!</v>
      </c>
      <c r="BB116" s="23" t="e">
        <f t="shared" si="135"/>
        <v>#REF!</v>
      </c>
      <c r="BC116" s="23" t="e">
        <f t="shared" si="135"/>
        <v>#REF!</v>
      </c>
      <c r="BD116" s="23" t="e">
        <f t="shared" si="135"/>
        <v>#REF!</v>
      </c>
      <c r="BE116" s="23" t="e">
        <f t="shared" si="135"/>
        <v>#REF!</v>
      </c>
      <c r="BF116" t="e">
        <f t="shared" si="135"/>
        <v>#REF!</v>
      </c>
      <c r="BG116" s="23" t="e">
        <f t="shared" si="135"/>
        <v>#REF!</v>
      </c>
      <c r="BH116" s="23" t="e">
        <f t="shared" si="135"/>
        <v>#REF!</v>
      </c>
      <c r="BI116" s="23" t="e">
        <f t="shared" si="135"/>
        <v>#REF!</v>
      </c>
      <c r="BJ116" t="e">
        <f t="shared" si="135"/>
        <v>#REF!</v>
      </c>
      <c r="BK116" s="23" t="e">
        <f t="shared" si="135"/>
        <v>#REF!</v>
      </c>
      <c r="BL116" s="23" t="e">
        <f t="shared" si="135"/>
        <v>#REF!</v>
      </c>
      <c r="BM116" s="23" t="e">
        <f t="shared" si="135"/>
        <v>#REF!</v>
      </c>
      <c r="BN116" t="e">
        <f t="shared" si="135"/>
        <v>#REF!</v>
      </c>
      <c r="BO116" s="23" t="e">
        <f t="shared" si="135"/>
        <v>#REF!</v>
      </c>
      <c r="BP116" s="23" t="e">
        <f t="shared" si="135"/>
        <v>#REF!</v>
      </c>
      <c r="BQ116" s="23" t="e">
        <f t="shared" si="135"/>
        <v>#REF!</v>
      </c>
      <c r="BV116" s="2"/>
      <c r="BW116" s="2"/>
      <c r="BX116" s="2"/>
      <c r="BY116" s="2"/>
      <c r="BZ116" s="2"/>
      <c r="CA116" s="2"/>
      <c r="CB116" s="2"/>
      <c r="CC116" s="2"/>
      <c r="CD116" s="2"/>
      <c r="CE116" s="2"/>
      <c r="CF116" s="2"/>
      <c r="CG116" s="2"/>
      <c r="CH116" s="2"/>
      <c r="CI116" s="2"/>
      <c r="CJ116" s="2"/>
      <c r="CK116" s="2"/>
      <c r="CL116" s="2"/>
      <c r="CM116" s="2"/>
      <c r="CN116" s="2"/>
      <c r="CO116" s="2"/>
      <c r="CP116" s="2"/>
    </row>
    <row r="117" spans="1:94" outlineLevel="1">
      <c r="A117" s="68" t="s">
        <v>952</v>
      </c>
      <c r="B117" s="6"/>
      <c r="C117" s="6"/>
      <c r="D117" s="6"/>
      <c r="E117" s="6"/>
      <c r="F117" s="6"/>
      <c r="G117" s="6"/>
      <c r="H117" s="6"/>
      <c r="I117" s="6" t="e">
        <f t="shared" ref="I117:R117" si="136">I116/H116-1</f>
        <v>#REF!</v>
      </c>
      <c r="J117" s="6" t="e">
        <f t="shared" si="136"/>
        <v>#REF!</v>
      </c>
      <c r="K117" s="6" t="e">
        <f t="shared" si="136"/>
        <v>#REF!</v>
      </c>
      <c r="L117" s="6" t="e">
        <f t="shared" si="136"/>
        <v>#REF!</v>
      </c>
      <c r="M117" s="6" t="e">
        <f t="shared" si="136"/>
        <v>#REF!</v>
      </c>
      <c r="N117" s="28" t="e">
        <f t="shared" si="136"/>
        <v>#REF!</v>
      </c>
      <c r="O117" s="28" t="e">
        <f t="shared" si="136"/>
        <v>#REF!</v>
      </c>
      <c r="P117" s="28" t="e">
        <f t="shared" si="136"/>
        <v>#REF!</v>
      </c>
      <c r="Q117" s="28" t="e">
        <f t="shared" si="136"/>
        <v>#REF!</v>
      </c>
      <c r="R117" s="28" t="e">
        <f t="shared" si="136"/>
        <v>#REF!</v>
      </c>
      <c r="S117" s="6"/>
      <c r="T117" s="6"/>
      <c r="U117" s="6"/>
      <c r="V117" s="6"/>
      <c r="W117" s="6"/>
      <c r="X117" s="6"/>
      <c r="Y117" s="6"/>
      <c r="Z117" s="6"/>
      <c r="AA117" s="6"/>
      <c r="AB117" s="6"/>
      <c r="AC117" s="6"/>
      <c r="AD117" s="6"/>
      <c r="AE117" s="6"/>
      <c r="AF117" s="47"/>
      <c r="AG117" s="2"/>
      <c r="AH117" s="6"/>
      <c r="AI117" s="6"/>
      <c r="AJ117" s="6"/>
      <c r="AK117" s="6"/>
      <c r="AL117" s="6" t="e">
        <f>AL116/AH116-1</f>
        <v>#DIV/0!</v>
      </c>
      <c r="AM117" s="6" t="e">
        <f>AM116/AI116-1</f>
        <v>#DIV/0!</v>
      </c>
      <c r="AN117" s="6" t="e">
        <f>AN116/AJ116-1</f>
        <v>#DIV/0!</v>
      </c>
      <c r="AO117" s="6" t="e">
        <f>AO116/AK116-1</f>
        <v>#DIV/0!</v>
      </c>
      <c r="AP117" s="6"/>
      <c r="AQ117" s="6"/>
      <c r="AR117" s="6"/>
      <c r="AS117" s="6"/>
      <c r="AT117" s="6" t="e">
        <f t="shared" ref="AT117:BQ117" si="137">AT116/AP116-1</f>
        <v>#REF!</v>
      </c>
      <c r="AU117" s="6" t="e">
        <f t="shared" si="137"/>
        <v>#REF!</v>
      </c>
      <c r="AV117" s="6" t="e">
        <f t="shared" si="137"/>
        <v>#REF!</v>
      </c>
      <c r="AW117" s="6" t="e">
        <f t="shared" si="137"/>
        <v>#REF!</v>
      </c>
      <c r="AX117" s="6" t="e">
        <f t="shared" si="137"/>
        <v>#REF!</v>
      </c>
      <c r="AY117" s="6" t="e">
        <f t="shared" si="137"/>
        <v>#REF!</v>
      </c>
      <c r="AZ117" s="6" t="e">
        <f t="shared" si="137"/>
        <v>#REF!</v>
      </c>
      <c r="BA117" s="6" t="e">
        <f t="shared" si="137"/>
        <v>#REF!</v>
      </c>
      <c r="BB117" s="6" t="e">
        <f t="shared" si="137"/>
        <v>#REF!</v>
      </c>
      <c r="BC117" s="6" t="e">
        <f t="shared" si="137"/>
        <v>#REF!</v>
      </c>
      <c r="BD117" s="6" t="e">
        <f t="shared" si="137"/>
        <v>#REF!</v>
      </c>
      <c r="BE117" s="6" t="e">
        <f t="shared" si="137"/>
        <v>#REF!</v>
      </c>
      <c r="BF117" s="63" t="e">
        <f t="shared" si="137"/>
        <v>#REF!</v>
      </c>
      <c r="BG117" s="6" t="e">
        <f t="shared" si="137"/>
        <v>#REF!</v>
      </c>
      <c r="BH117" s="6" t="e">
        <f t="shared" si="137"/>
        <v>#REF!</v>
      </c>
      <c r="BI117" s="6" t="e">
        <f t="shared" si="137"/>
        <v>#REF!</v>
      </c>
      <c r="BJ117" s="63" t="e">
        <f t="shared" si="137"/>
        <v>#REF!</v>
      </c>
      <c r="BK117" s="6" t="e">
        <f t="shared" si="137"/>
        <v>#REF!</v>
      </c>
      <c r="BL117" s="6" t="e">
        <f t="shared" si="137"/>
        <v>#REF!</v>
      </c>
      <c r="BM117" s="6" t="e">
        <f t="shared" si="137"/>
        <v>#REF!</v>
      </c>
      <c r="BN117" s="63" t="e">
        <f t="shared" si="137"/>
        <v>#REF!</v>
      </c>
      <c r="BO117" s="6" t="e">
        <f t="shared" si="137"/>
        <v>#REF!</v>
      </c>
      <c r="BP117" s="6" t="e">
        <f t="shared" si="137"/>
        <v>#REF!</v>
      </c>
      <c r="BQ117" s="6" t="e">
        <f t="shared" si="137"/>
        <v>#REF!</v>
      </c>
      <c r="BR117" s="64"/>
      <c r="BS117" s="28"/>
      <c r="BT117" s="28"/>
      <c r="BU117" s="28"/>
      <c r="BV117" s="6"/>
      <c r="BW117" s="6"/>
      <c r="BX117" s="6"/>
      <c r="BY117" s="6"/>
      <c r="BZ117" s="6"/>
      <c r="CA117" s="6"/>
      <c r="CB117" s="6"/>
      <c r="CC117" s="6"/>
      <c r="CD117" s="6"/>
      <c r="CE117" s="6"/>
      <c r="CF117" s="6"/>
      <c r="CG117" s="6"/>
      <c r="CH117" s="6"/>
      <c r="CI117" s="6"/>
      <c r="CJ117" s="6"/>
      <c r="CK117" s="6"/>
      <c r="CL117" s="6"/>
      <c r="CM117" s="6"/>
      <c r="CN117" s="6"/>
      <c r="CO117" s="6"/>
      <c r="CP117" s="6"/>
    </row>
    <row r="118" spans="1:94" outlineLevel="1">
      <c r="A118" s="2" t="s">
        <v>999</v>
      </c>
      <c r="B118" s="2"/>
      <c r="C118" s="2"/>
      <c r="D118" s="2"/>
      <c r="E118" s="56"/>
      <c r="F118" s="56"/>
      <c r="G118" s="56">
        <v>722.02</v>
      </c>
      <c r="H118" s="56">
        <v>711.62</v>
      </c>
      <c r="I118" s="56">
        <v>716</v>
      </c>
      <c r="J118" s="56">
        <v>1164</v>
      </c>
      <c r="K118" s="56" t="e">
        <v>#REF!</v>
      </c>
      <c r="L118" s="56" t="e">
        <v>#REF!</v>
      </c>
      <c r="M118" s="56" t="e">
        <v>#REF!</v>
      </c>
      <c r="N118" s="71" t="e">
        <v>#REF!</v>
      </c>
      <c r="O118" s="71" t="e">
        <v>#REF!</v>
      </c>
      <c r="P118" s="71" t="e">
        <v>#REF!</v>
      </c>
      <c r="Q118" s="71" t="e">
        <v>#REF!</v>
      </c>
      <c r="R118" s="71" t="e">
        <v>#REF!</v>
      </c>
      <c r="S118" s="56"/>
      <c r="T118" s="56"/>
      <c r="U118" s="56"/>
      <c r="V118" s="56"/>
      <c r="W118" s="56"/>
      <c r="X118" s="56"/>
      <c r="Y118" s="56"/>
      <c r="Z118" s="56"/>
      <c r="AA118" s="56"/>
      <c r="AB118" s="56"/>
      <c r="AC118" s="56"/>
      <c r="AD118" s="56"/>
      <c r="AE118" s="56"/>
      <c r="AF118" s="81"/>
      <c r="AG118" s="2"/>
      <c r="AH118" s="56"/>
      <c r="AI118" s="56"/>
      <c r="AJ118" s="56"/>
      <c r="AK118" s="56"/>
      <c r="AL118" s="56"/>
      <c r="AM118" s="56"/>
      <c r="AN118" s="56"/>
      <c r="AO118" s="56"/>
      <c r="AP118" s="2" t="e">
        <f t="shared" ref="AP118:AW118" si="138">AP115*AP99</f>
        <v>#REF!</v>
      </c>
      <c r="AQ118" s="2" t="e">
        <f t="shared" si="138"/>
        <v>#REF!</v>
      </c>
      <c r="AR118" s="2" t="e">
        <f t="shared" si="138"/>
        <v>#REF!</v>
      </c>
      <c r="AS118" s="2" t="e">
        <f t="shared" si="138"/>
        <v>#REF!</v>
      </c>
      <c r="AT118" s="2" t="e">
        <f t="shared" si="138"/>
        <v>#REF!</v>
      </c>
      <c r="AU118" s="2" t="e">
        <f t="shared" si="138"/>
        <v>#REF!</v>
      </c>
      <c r="AV118" s="2" t="e">
        <f t="shared" si="138"/>
        <v>#REF!</v>
      </c>
      <c r="AW118" s="2" t="e">
        <f t="shared" si="138"/>
        <v>#REF!</v>
      </c>
      <c r="AX118">
        <v>179</v>
      </c>
      <c r="AY118">
        <f>AX118</f>
        <v>179</v>
      </c>
      <c r="AZ118">
        <f>AY118</f>
        <v>179</v>
      </c>
      <c r="BA118">
        <f>AZ118</f>
        <v>179</v>
      </c>
      <c r="BB118">
        <f>_fye02/4</f>
        <v>291</v>
      </c>
      <c r="BC118">
        <f>_fye02/4</f>
        <v>291</v>
      </c>
      <c r="BD118">
        <f>_fye02/4</f>
        <v>291</v>
      </c>
      <c r="BE118" s="2">
        <f>_fye02-SUM(BB118:BD118)</f>
        <v>291</v>
      </c>
      <c r="BF118" s="48" t="e">
        <f>K118/4</f>
        <v>#REF!</v>
      </c>
      <c r="BG118" s="2" t="e">
        <f>BF118</f>
        <v>#REF!</v>
      </c>
      <c r="BH118" s="2" t="e">
        <f>BG118</f>
        <v>#REF!</v>
      </c>
      <c r="BI118" s="2" t="e">
        <f>BH118</f>
        <v>#REF!</v>
      </c>
      <c r="BJ118" s="48" t="e">
        <f>L118/4</f>
        <v>#REF!</v>
      </c>
      <c r="BK118" s="2" t="e">
        <f t="shared" ref="BK118:BQ118" si="139">BJ118</f>
        <v>#REF!</v>
      </c>
      <c r="BL118" s="2" t="e">
        <f t="shared" si="139"/>
        <v>#REF!</v>
      </c>
      <c r="BM118" s="2" t="e">
        <f t="shared" si="139"/>
        <v>#REF!</v>
      </c>
      <c r="BN118" s="48" t="e">
        <f t="shared" si="139"/>
        <v>#REF!</v>
      </c>
      <c r="BO118" s="2" t="e">
        <f t="shared" si="139"/>
        <v>#REF!</v>
      </c>
      <c r="BP118" s="2" t="e">
        <f t="shared" si="139"/>
        <v>#REF!</v>
      </c>
      <c r="BQ118" s="2" t="e">
        <f t="shared" si="139"/>
        <v>#REF!</v>
      </c>
      <c r="BR118" s="74"/>
      <c r="BS118" s="4"/>
      <c r="BT118" s="4"/>
      <c r="BU118" s="4"/>
      <c r="BV118" s="2"/>
      <c r="BW118" s="2"/>
      <c r="BX118" s="2"/>
      <c r="BY118" s="2"/>
      <c r="BZ118" s="2"/>
      <c r="CA118" s="2"/>
      <c r="CB118" s="2"/>
      <c r="CC118" s="2"/>
      <c r="CD118" s="2"/>
      <c r="CE118" s="2"/>
      <c r="CF118" s="2"/>
      <c r="CG118" s="2"/>
      <c r="CH118" s="2"/>
      <c r="CI118" s="2"/>
      <c r="CJ118" s="2"/>
      <c r="CK118" s="2"/>
      <c r="CL118" s="2"/>
      <c r="CM118" s="2"/>
      <c r="CN118" s="2"/>
      <c r="CO118" s="2"/>
      <c r="CP118" s="2"/>
    </row>
    <row r="119" spans="1:94">
      <c r="A119" s="2"/>
      <c r="B119" s="2"/>
      <c r="C119" s="2"/>
      <c r="D119" s="2"/>
      <c r="E119" s="56"/>
      <c r="F119" s="56"/>
      <c r="G119" s="56"/>
      <c r="H119" s="2"/>
      <c r="K119" s="56"/>
      <c r="L119" s="56"/>
      <c r="M119" s="56"/>
      <c r="N119" s="71"/>
      <c r="O119" s="71"/>
      <c r="P119" s="71"/>
      <c r="Q119" s="71"/>
      <c r="R119" s="71"/>
      <c r="S119" s="56"/>
      <c r="T119" s="56"/>
      <c r="U119" s="56"/>
      <c r="V119" s="56"/>
      <c r="W119" s="56"/>
      <c r="X119" s="56"/>
      <c r="Y119" s="56"/>
      <c r="Z119" s="56"/>
      <c r="AA119" s="56"/>
      <c r="AB119" s="56"/>
      <c r="AC119" s="56"/>
      <c r="AD119" s="56"/>
      <c r="AE119" s="56"/>
      <c r="AF119" s="81"/>
      <c r="AG119" s="2"/>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69"/>
      <c r="BG119" s="56"/>
      <c r="BH119" s="56"/>
      <c r="BI119" s="56"/>
      <c r="BJ119" s="69"/>
      <c r="BK119" s="56"/>
      <c r="BL119" s="56"/>
      <c r="BM119" s="56"/>
      <c r="BN119" s="69"/>
      <c r="BO119" s="56"/>
      <c r="BP119" s="56"/>
      <c r="BQ119" s="56"/>
      <c r="BR119" s="70"/>
      <c r="BS119" s="71"/>
      <c r="BT119" s="71"/>
      <c r="BU119" s="71"/>
      <c r="BV119" s="2"/>
      <c r="BW119" s="2"/>
      <c r="BX119" s="2"/>
      <c r="BY119" s="2"/>
      <c r="BZ119" s="2"/>
      <c r="CA119" s="2"/>
      <c r="CB119" s="2"/>
      <c r="CC119" s="2"/>
      <c r="CD119" s="2"/>
      <c r="CE119" s="2"/>
      <c r="CF119" s="2"/>
      <c r="CG119" s="2"/>
      <c r="CH119" s="2"/>
      <c r="CI119" s="2"/>
      <c r="CJ119" s="2"/>
      <c r="CK119" s="2"/>
      <c r="CL119" s="2"/>
      <c r="CM119" s="2"/>
      <c r="CN119" s="2"/>
      <c r="CO119" s="2"/>
      <c r="CP119" s="2"/>
    </row>
    <row r="120" spans="1:94">
      <c r="A120" s="1" t="s">
        <v>1000</v>
      </c>
      <c r="B120" s="2"/>
      <c r="C120" s="2"/>
      <c r="D120" s="2"/>
      <c r="E120" s="2"/>
      <c r="F120" s="2"/>
      <c r="G120" s="2"/>
      <c r="H120" s="2"/>
      <c r="I120" s="2"/>
      <c r="J120" s="2"/>
      <c r="K120" s="2"/>
      <c r="L120" s="2"/>
      <c r="M120" s="2"/>
      <c r="N120" s="4"/>
      <c r="O120" s="4"/>
      <c r="P120" s="4"/>
      <c r="Q120" s="4"/>
      <c r="R120" s="4"/>
      <c r="S120" s="56"/>
      <c r="T120" s="56"/>
      <c r="U120" s="56"/>
      <c r="V120" s="56"/>
      <c r="W120" s="56"/>
      <c r="X120" s="56"/>
      <c r="Y120" s="56"/>
      <c r="Z120" s="56"/>
      <c r="AA120" s="56"/>
      <c r="AB120" s="56"/>
      <c r="AC120" s="56"/>
      <c r="AD120" s="56"/>
      <c r="AE120" s="56"/>
      <c r="AF120" s="81"/>
      <c r="AG120" s="2"/>
      <c r="AH120" s="56"/>
      <c r="AI120" s="56"/>
      <c r="AJ120" s="56"/>
      <c r="AK120" s="56"/>
      <c r="AL120" s="56"/>
      <c r="AM120" s="56"/>
      <c r="AN120" s="56"/>
      <c r="AO120" s="56"/>
      <c r="AP120" s="2"/>
      <c r="AQ120" s="2"/>
      <c r="AR120" s="2"/>
      <c r="AS120" s="2"/>
      <c r="AT120" s="2"/>
      <c r="AU120" s="2"/>
      <c r="AV120" s="2"/>
      <c r="AW120" s="2"/>
      <c r="AX120" s="2"/>
      <c r="AY120" s="2"/>
      <c r="AZ120" s="2"/>
      <c r="BA120" s="2"/>
      <c r="BB120" s="2"/>
      <c r="BC120" s="2"/>
      <c r="BD120" s="2"/>
      <c r="BE120" s="2"/>
      <c r="BF120" s="48"/>
      <c r="BG120" s="2"/>
      <c r="BH120" s="2"/>
      <c r="BI120" s="2"/>
      <c r="BJ120" s="48"/>
      <c r="BK120" s="2"/>
      <c r="BL120" s="2"/>
      <c r="BM120" s="2"/>
      <c r="BN120" s="48"/>
      <c r="BO120" s="2"/>
      <c r="BP120" s="2"/>
      <c r="BQ120" s="2"/>
      <c r="BS120" s="4"/>
      <c r="BT120" s="4"/>
      <c r="BU120" s="4"/>
      <c r="BV120" s="2"/>
      <c r="BW120" s="2"/>
      <c r="BX120" s="2"/>
      <c r="BY120" s="2"/>
      <c r="BZ120" s="2"/>
      <c r="CA120" s="2"/>
      <c r="CB120" s="2"/>
      <c r="CC120" s="2"/>
      <c r="CD120" s="2"/>
      <c r="CE120" s="2"/>
      <c r="CF120" s="2"/>
      <c r="CG120" s="2"/>
      <c r="CH120" s="2"/>
      <c r="CI120" s="2"/>
      <c r="CJ120" s="2"/>
      <c r="CK120" s="2"/>
      <c r="CL120" s="2"/>
      <c r="CM120" s="2"/>
      <c r="CN120" s="2"/>
      <c r="CO120" s="2"/>
      <c r="CP120" s="2"/>
    </row>
    <row r="121" spans="1:94">
      <c r="A121" s="68" t="s">
        <v>952</v>
      </c>
      <c r="B121" s="6"/>
      <c r="C121" s="6"/>
      <c r="D121" s="6"/>
      <c r="E121" s="6"/>
      <c r="F121" s="6"/>
      <c r="G121" s="6"/>
      <c r="H121" s="6"/>
      <c r="I121" s="6"/>
      <c r="J121" s="6"/>
      <c r="K121" s="6"/>
      <c r="L121" s="6"/>
      <c r="M121" s="6"/>
      <c r="AF121" s="81"/>
      <c r="AG121" s="2"/>
      <c r="AP121" s="6"/>
      <c r="AQ121" s="6"/>
      <c r="AR121" s="6"/>
      <c r="AS121" s="6"/>
      <c r="AT121" s="6"/>
      <c r="AU121" s="6"/>
      <c r="AV121" s="6"/>
      <c r="AW121" s="6"/>
      <c r="AX121" s="6"/>
      <c r="AY121" s="6"/>
      <c r="AZ121" s="6"/>
      <c r="BA121" s="6"/>
      <c r="BB121" s="6"/>
      <c r="BC121" s="6"/>
      <c r="BD121" s="6"/>
      <c r="BE121" s="6"/>
      <c r="BG121" s="6"/>
      <c r="BH121" s="6"/>
      <c r="BI121" s="6"/>
      <c r="BK121" s="6"/>
      <c r="BL121" s="6"/>
      <c r="BM121" s="6"/>
      <c r="BO121" s="6"/>
      <c r="BP121" s="6"/>
      <c r="BQ121" s="6"/>
      <c r="BV121" s="6"/>
      <c r="BW121" s="6"/>
      <c r="BX121" s="6"/>
      <c r="BY121" s="6"/>
      <c r="BZ121" s="6"/>
      <c r="CA121" s="6"/>
      <c r="CB121" s="6"/>
      <c r="CC121" s="6"/>
      <c r="CD121" s="6"/>
      <c r="CE121" s="6"/>
      <c r="CF121" s="6"/>
      <c r="CG121" s="6"/>
      <c r="CH121" s="6"/>
      <c r="CI121" s="6"/>
      <c r="CJ121" s="6"/>
      <c r="CK121" s="6"/>
      <c r="CL121" s="6"/>
      <c r="CM121" s="6"/>
      <c r="CN121" s="6"/>
      <c r="CO121" s="6"/>
      <c r="CP121" s="6"/>
    </row>
    <row r="122" spans="1:94">
      <c r="A122" s="68" t="s">
        <v>993</v>
      </c>
      <c r="B122" s="6"/>
      <c r="C122" s="6"/>
      <c r="D122" s="6"/>
      <c r="E122" s="6"/>
      <c r="F122" s="6"/>
      <c r="G122" s="6"/>
      <c r="H122" s="6"/>
      <c r="I122" s="6"/>
      <c r="J122" s="6"/>
      <c r="K122" s="6"/>
      <c r="L122" s="6"/>
      <c r="M122" s="6"/>
      <c r="AF122" s="81"/>
      <c r="AG122" s="2"/>
      <c r="AP122" s="6"/>
      <c r="AQ122" s="6"/>
      <c r="AR122" s="6"/>
      <c r="AS122" s="6"/>
      <c r="AT122" s="6"/>
      <c r="AU122" s="6"/>
      <c r="AV122" s="6"/>
      <c r="AW122" s="6"/>
      <c r="AX122" s="6"/>
      <c r="AY122" s="6"/>
      <c r="AZ122" s="6"/>
      <c r="BA122" s="6"/>
      <c r="BB122" s="6"/>
      <c r="BC122" s="6"/>
      <c r="BD122" s="6"/>
      <c r="BE122" s="6"/>
      <c r="BG122" s="6"/>
      <c r="BH122" s="6"/>
      <c r="BI122" s="6"/>
      <c r="BK122" s="6"/>
      <c r="BL122" s="6"/>
      <c r="BM122" s="6"/>
      <c r="BO122" s="6"/>
      <c r="BP122" s="6"/>
      <c r="BQ122" s="6"/>
      <c r="BV122" s="6"/>
      <c r="BW122" s="6"/>
      <c r="BX122" s="6"/>
      <c r="BY122" s="6"/>
      <c r="BZ122" s="6"/>
      <c r="CA122" s="6"/>
      <c r="CB122" s="6"/>
      <c r="CC122" s="6"/>
      <c r="CD122" s="6"/>
      <c r="CE122" s="6"/>
      <c r="CF122" s="6"/>
      <c r="CG122" s="6"/>
      <c r="CH122" s="6"/>
      <c r="CI122" s="6"/>
      <c r="CJ122" s="6"/>
      <c r="CK122" s="6"/>
      <c r="CL122" s="6"/>
      <c r="CM122" s="6"/>
      <c r="CN122" s="6"/>
      <c r="CO122" s="6"/>
      <c r="CP122" s="6"/>
    </row>
    <row r="123" spans="1:94">
      <c r="A123" s="1" t="s">
        <v>994</v>
      </c>
      <c r="B123" s="1"/>
      <c r="C123" s="1"/>
      <c r="D123" s="1"/>
      <c r="E123" s="58"/>
      <c r="F123" s="58"/>
      <c r="G123" s="58"/>
      <c r="H123" s="1"/>
      <c r="I123" s="1"/>
      <c r="J123" s="1"/>
      <c r="K123" s="1"/>
      <c r="L123" s="1"/>
      <c r="M123" s="1"/>
      <c r="S123" s="58"/>
      <c r="T123" s="58"/>
      <c r="U123" s="58"/>
      <c r="V123" s="58"/>
      <c r="W123" s="58"/>
      <c r="X123" s="58"/>
      <c r="Y123" s="58"/>
      <c r="Z123" s="58"/>
      <c r="AA123" s="58"/>
      <c r="AB123" s="58"/>
      <c r="AC123" s="58"/>
      <c r="AD123" s="58"/>
      <c r="AE123" s="58"/>
      <c r="AF123" s="76"/>
      <c r="AG123" s="2"/>
      <c r="AH123" s="58"/>
      <c r="AI123" s="58"/>
      <c r="AJ123" s="58"/>
      <c r="AK123" s="58"/>
      <c r="AL123" s="58"/>
      <c r="AM123" s="58"/>
      <c r="AN123" s="58"/>
      <c r="AO123" s="58"/>
      <c r="AP123" s="1"/>
      <c r="AQ123" s="1"/>
      <c r="AR123" s="1"/>
      <c r="AS123" s="1"/>
      <c r="AT123" s="1"/>
      <c r="AU123" s="1"/>
      <c r="AV123" s="1"/>
      <c r="AW123" s="1"/>
      <c r="AX123" s="1"/>
      <c r="AY123" s="1"/>
      <c r="AZ123" s="1"/>
      <c r="BA123" s="1"/>
      <c r="BB123" s="1"/>
      <c r="BC123" s="1"/>
      <c r="BD123" s="1"/>
      <c r="BE123" s="1"/>
      <c r="BG123" s="1"/>
      <c r="BH123" s="1"/>
      <c r="BI123" s="1"/>
      <c r="BK123" s="77"/>
      <c r="BL123" s="77"/>
      <c r="BM123" s="77"/>
      <c r="BO123" s="1"/>
      <c r="BP123" s="1"/>
      <c r="BQ123" s="1"/>
      <c r="BV123" s="1"/>
      <c r="BW123" s="1"/>
      <c r="BX123" s="1"/>
      <c r="BY123" s="1"/>
      <c r="BZ123" s="1"/>
      <c r="CA123" s="1"/>
      <c r="CB123" s="1"/>
      <c r="CC123" s="1"/>
      <c r="CD123" s="1"/>
      <c r="CE123" s="1"/>
      <c r="CF123" s="1"/>
      <c r="CG123" s="1"/>
      <c r="CH123" s="1"/>
      <c r="CI123" s="1"/>
      <c r="CJ123" s="1"/>
      <c r="CK123" s="1"/>
      <c r="CL123" s="1"/>
      <c r="CM123" s="1"/>
      <c r="CN123" s="1"/>
      <c r="CO123" s="1"/>
      <c r="CP123" s="1"/>
    </row>
    <row r="124" spans="1:94">
      <c r="A124" s="1" t="s">
        <v>1001</v>
      </c>
      <c r="B124" s="2"/>
      <c r="C124" s="2"/>
      <c r="D124" s="2"/>
      <c r="E124" s="56"/>
      <c r="F124" s="56"/>
      <c r="G124" s="2" t="e">
        <f>SUM(AP124:AS124)</f>
        <v>#REF!</v>
      </c>
      <c r="H124" s="2" t="e">
        <f>SUM(AQ124:AT124)</f>
        <v>#REF!</v>
      </c>
      <c r="I124" s="2" t="e">
        <f>SUM(AX124:BA124)</f>
        <v>#REF!</v>
      </c>
      <c r="J124" s="2" t="e">
        <f>SUM(BB124:BE124)</f>
        <v>#REF!</v>
      </c>
      <c r="K124" s="2" t="e">
        <f>SUM(BF124:BI124)</f>
        <v>#REF!</v>
      </c>
      <c r="L124" s="2" t="e">
        <f>SUM(BJ124:BM124)</f>
        <v>#REF!</v>
      </c>
      <c r="M124" s="2" t="e">
        <f>SUM(BN124:BQ124)</f>
        <v>#REF!</v>
      </c>
      <c r="N124" s="4" t="e">
        <f>SUM(BR124:BU124)</f>
        <v>#REF!</v>
      </c>
      <c r="O124" s="4" t="e">
        <f>N124*1.007</f>
        <v>#REF!</v>
      </c>
      <c r="P124" s="4" t="e">
        <f>O124*1.007</f>
        <v>#REF!</v>
      </c>
      <c r="Q124" s="4" t="e">
        <f>P124*1.007</f>
        <v>#REF!</v>
      </c>
      <c r="R124" s="4" t="e">
        <f>Q124*1.007</f>
        <v>#REF!</v>
      </c>
      <c r="S124" s="56"/>
      <c r="T124" s="56"/>
      <c r="U124" s="56"/>
      <c r="V124" s="56"/>
      <c r="W124" s="56"/>
      <c r="X124" s="56"/>
      <c r="Y124" s="56"/>
      <c r="Z124" s="56"/>
      <c r="AA124" s="56"/>
      <c r="AB124" s="56"/>
      <c r="AC124" s="56"/>
      <c r="AD124" s="56"/>
      <c r="AE124" s="56"/>
      <c r="AF124" s="59" t="e">
        <f>(R124/M124)^(1/5)-1</f>
        <v>#REF!</v>
      </c>
      <c r="AG124" s="2"/>
      <c r="AH124" s="2" t="e">
        <v>#REF!</v>
      </c>
      <c r="AI124" s="2" t="e">
        <v>#REF!</v>
      </c>
      <c r="AJ124" s="2" t="e">
        <v>#REF!</v>
      </c>
      <c r="AK124" s="2" t="e">
        <v>#REF!</v>
      </c>
      <c r="AL124" s="2" t="e">
        <v>#REF!</v>
      </c>
      <c r="AM124" s="2" t="e">
        <v>#REF!</v>
      </c>
      <c r="AN124" s="2" t="e">
        <v>#REF!</v>
      </c>
      <c r="AO124" s="2" t="e">
        <v>#REF!</v>
      </c>
      <c r="AP124" s="2" t="e">
        <v>#REF!</v>
      </c>
      <c r="AQ124" s="2" t="e">
        <v>#REF!</v>
      </c>
      <c r="AR124" s="2" t="e">
        <v>#REF!</v>
      </c>
      <c r="AS124" s="2" t="e">
        <v>#REF!</v>
      </c>
      <c r="AT124" s="2" t="e">
        <v>#REF!</v>
      </c>
      <c r="AU124" s="2" t="e">
        <v>#REF!</v>
      </c>
      <c r="AV124" s="2" t="e">
        <v>#REF!</v>
      </c>
      <c r="AW124" s="2" t="e">
        <v>#REF!</v>
      </c>
      <c r="AX124" s="2" t="e">
        <v>#REF!</v>
      </c>
      <c r="AY124" s="2" t="e">
        <v>#REF!</v>
      </c>
      <c r="AZ124" s="2" t="e">
        <v>#REF!</v>
      </c>
      <c r="BA124" s="2" t="e">
        <v>#REF!</v>
      </c>
      <c r="BB124" s="2" t="e">
        <v>#REF!</v>
      </c>
      <c r="BC124" t="e">
        <v>#REF!</v>
      </c>
      <c r="BD124" t="e">
        <v>#REF!</v>
      </c>
      <c r="BE124" t="e">
        <v>#REF!</v>
      </c>
      <c r="BF124" t="e">
        <v>#REF!</v>
      </c>
      <c r="BG124" t="e">
        <v>#REF!</v>
      </c>
      <c r="BH124" t="e">
        <v>#REF!</v>
      </c>
      <c r="BI124" t="e">
        <v>#REF!</v>
      </c>
      <c r="BJ124" t="e">
        <v>#REF!</v>
      </c>
      <c r="BK124" t="e">
        <v>#REF!</v>
      </c>
      <c r="BL124" t="e">
        <v>#REF!</v>
      </c>
      <c r="BM124" t="e">
        <v>#REF!</v>
      </c>
      <c r="BN124" t="e">
        <v>#REF!</v>
      </c>
      <c r="BO124" t="e">
        <v>#REF!</v>
      </c>
      <c r="BP124" t="e">
        <v>#REF!</v>
      </c>
      <c r="BQ124" t="e">
        <v>#REF!</v>
      </c>
      <c r="BR124" t="e">
        <f>BQ124</f>
        <v>#REF!</v>
      </c>
      <c r="BS124" t="e">
        <f>BR124</f>
        <v>#REF!</v>
      </c>
      <c r="BT124" t="e">
        <f>BS124</f>
        <v>#REF!</v>
      </c>
      <c r="BU124" t="e">
        <f>BT124</f>
        <v>#REF!</v>
      </c>
      <c r="BV124" s="2"/>
      <c r="BW124" s="2"/>
      <c r="BX124" s="2"/>
      <c r="BY124" s="2"/>
      <c r="BZ124" s="2"/>
      <c r="CA124" s="2"/>
      <c r="CB124" s="2"/>
      <c r="CC124" s="2"/>
      <c r="CD124" s="2"/>
      <c r="CE124" s="2"/>
      <c r="CF124" s="2"/>
      <c r="CG124" s="2"/>
      <c r="CH124" s="2"/>
      <c r="CI124" s="2"/>
      <c r="CJ124" s="2"/>
      <c r="CK124" s="2"/>
      <c r="CL124" s="2"/>
      <c r="CM124" s="2"/>
      <c r="CN124" s="2"/>
      <c r="CO124" s="2"/>
      <c r="CP124" s="2"/>
    </row>
    <row r="125" spans="1:94">
      <c r="A125" s="68" t="s">
        <v>952</v>
      </c>
      <c r="B125" s="2"/>
      <c r="C125" s="2"/>
      <c r="D125" s="2"/>
      <c r="E125" s="56"/>
      <c r="F125" s="56"/>
      <c r="G125" s="56"/>
      <c r="H125" s="6" t="e">
        <f t="shared" ref="H125:R125" si="140">H124/G124-1</f>
        <v>#REF!</v>
      </c>
      <c r="I125" s="6" t="e">
        <f t="shared" si="140"/>
        <v>#REF!</v>
      </c>
      <c r="J125" s="6" t="e">
        <f t="shared" si="140"/>
        <v>#REF!</v>
      </c>
      <c r="K125" s="6" t="e">
        <f t="shared" si="140"/>
        <v>#REF!</v>
      </c>
      <c r="L125" s="6" t="e">
        <f t="shared" si="140"/>
        <v>#REF!</v>
      </c>
      <c r="M125" s="6" t="e">
        <f t="shared" si="140"/>
        <v>#REF!</v>
      </c>
      <c r="N125" s="28" t="e">
        <f t="shared" si="140"/>
        <v>#REF!</v>
      </c>
      <c r="O125" s="28" t="e">
        <f t="shared" si="140"/>
        <v>#REF!</v>
      </c>
      <c r="P125" s="28" t="e">
        <f t="shared" si="140"/>
        <v>#REF!</v>
      </c>
      <c r="Q125" s="28" t="e">
        <f t="shared" si="140"/>
        <v>#REF!</v>
      </c>
      <c r="R125" s="28" t="e">
        <f t="shared" si="140"/>
        <v>#REF!</v>
      </c>
      <c r="S125" s="56"/>
      <c r="T125" s="56"/>
      <c r="U125" s="56"/>
      <c r="V125" s="56"/>
      <c r="W125" s="56"/>
      <c r="X125" s="56"/>
      <c r="Y125" s="56"/>
      <c r="Z125" s="56"/>
      <c r="AA125" s="56"/>
      <c r="AB125" s="56"/>
      <c r="AC125" s="56"/>
      <c r="AD125" s="56"/>
      <c r="AE125" s="56"/>
      <c r="AF125" s="81"/>
      <c r="AG125" s="2"/>
      <c r="AH125" s="56"/>
      <c r="AI125" s="56"/>
      <c r="AJ125" s="56"/>
      <c r="AK125" s="6"/>
      <c r="AL125" s="56"/>
      <c r="AM125" s="56"/>
      <c r="AN125" s="56"/>
      <c r="AO125" s="56"/>
      <c r="AP125" s="56"/>
      <c r="AQ125" s="56"/>
      <c r="AR125" s="56"/>
      <c r="AS125" s="56"/>
      <c r="AT125" s="6" t="e">
        <f t="shared" ref="AT125:BU125" si="141">AT124/AP124-1</f>
        <v>#REF!</v>
      </c>
      <c r="AU125" s="6" t="e">
        <f t="shared" si="141"/>
        <v>#REF!</v>
      </c>
      <c r="AV125" s="6" t="e">
        <f t="shared" si="141"/>
        <v>#REF!</v>
      </c>
      <c r="AW125" s="6" t="e">
        <f t="shared" si="141"/>
        <v>#REF!</v>
      </c>
      <c r="AX125" s="6" t="e">
        <f t="shared" si="141"/>
        <v>#REF!</v>
      </c>
      <c r="AY125" s="6" t="e">
        <f t="shared" si="141"/>
        <v>#REF!</v>
      </c>
      <c r="AZ125" s="6" t="e">
        <f t="shared" si="141"/>
        <v>#REF!</v>
      </c>
      <c r="BA125" s="6" t="e">
        <f t="shared" si="141"/>
        <v>#REF!</v>
      </c>
      <c r="BB125" s="6" t="e">
        <f t="shared" si="141"/>
        <v>#REF!</v>
      </c>
      <c r="BC125" s="6" t="e">
        <f t="shared" si="141"/>
        <v>#REF!</v>
      </c>
      <c r="BD125" s="6" t="e">
        <f t="shared" si="141"/>
        <v>#REF!</v>
      </c>
      <c r="BE125" s="6" t="e">
        <f t="shared" si="141"/>
        <v>#REF!</v>
      </c>
      <c r="BF125" s="63" t="e">
        <f t="shared" si="141"/>
        <v>#REF!</v>
      </c>
      <c r="BG125" s="6" t="e">
        <f t="shared" si="141"/>
        <v>#REF!</v>
      </c>
      <c r="BH125" s="6" t="e">
        <f t="shared" si="141"/>
        <v>#REF!</v>
      </c>
      <c r="BI125" s="6" t="e">
        <f t="shared" si="141"/>
        <v>#REF!</v>
      </c>
      <c r="BJ125" s="63" t="e">
        <f t="shared" si="141"/>
        <v>#REF!</v>
      </c>
      <c r="BK125" s="6" t="e">
        <f t="shared" si="141"/>
        <v>#REF!</v>
      </c>
      <c r="BL125" s="6" t="e">
        <f t="shared" si="141"/>
        <v>#REF!</v>
      </c>
      <c r="BM125" s="6" t="e">
        <f t="shared" si="141"/>
        <v>#REF!</v>
      </c>
      <c r="BN125" s="63" t="e">
        <f t="shared" si="141"/>
        <v>#REF!</v>
      </c>
      <c r="BO125" s="6" t="e">
        <f t="shared" si="141"/>
        <v>#REF!</v>
      </c>
      <c r="BP125" s="6" t="e">
        <f t="shared" si="141"/>
        <v>#REF!</v>
      </c>
      <c r="BQ125" s="6" t="e">
        <f t="shared" si="141"/>
        <v>#REF!</v>
      </c>
      <c r="BR125" s="64" t="e">
        <f t="shared" si="141"/>
        <v>#REF!</v>
      </c>
      <c r="BS125" s="28" t="e">
        <f t="shared" si="141"/>
        <v>#REF!</v>
      </c>
      <c r="BT125" s="28" t="e">
        <f t="shared" si="141"/>
        <v>#REF!</v>
      </c>
      <c r="BU125" s="28" t="e">
        <f t="shared" si="141"/>
        <v>#REF!</v>
      </c>
      <c r="BV125" s="2"/>
      <c r="BW125" s="2"/>
      <c r="BX125" s="2"/>
      <c r="BY125" s="2"/>
      <c r="BZ125" s="2"/>
      <c r="CA125" s="2"/>
      <c r="CB125" s="2"/>
      <c r="CC125" s="2"/>
      <c r="CD125" s="2"/>
      <c r="CE125" s="2"/>
      <c r="CF125" s="2"/>
      <c r="CG125" s="2"/>
      <c r="CH125" s="2"/>
      <c r="CI125" s="2"/>
      <c r="CJ125" s="2"/>
      <c r="CK125" s="2"/>
      <c r="CL125" s="2"/>
      <c r="CM125" s="2"/>
      <c r="CN125" s="2"/>
      <c r="CO125" s="2"/>
      <c r="CP125" s="2"/>
    </row>
    <row r="126" spans="1:94">
      <c r="A126" s="1" t="s">
        <v>1002</v>
      </c>
      <c r="B126" s="2"/>
      <c r="C126" s="2"/>
      <c r="D126" s="2"/>
      <c r="E126" s="56"/>
      <c r="F126" s="56"/>
      <c r="G126" s="56" t="e">
        <f>G105*G124</f>
        <v>#REF!</v>
      </c>
      <c r="H126" s="56" t="e">
        <f>H105*H124</f>
        <v>#REF!</v>
      </c>
      <c r="I126" s="56" t="e">
        <f>I105*I124</f>
        <v>#REF!</v>
      </c>
      <c r="J126" s="56" t="e">
        <f>J105*J124</f>
        <v>#REF!</v>
      </c>
      <c r="K126" s="56" t="e">
        <f>K105*K124</f>
        <v>#REF!</v>
      </c>
      <c r="L126" s="56" t="e">
        <f>SUM(BJ126:BM126)</f>
        <v>#REF!</v>
      </c>
      <c r="M126" s="56" t="e">
        <f t="shared" ref="M126:R126" si="142">M105*M124</f>
        <v>#REF!</v>
      </c>
      <c r="N126" s="71" t="e">
        <f t="shared" si="142"/>
        <v>#REF!</v>
      </c>
      <c r="O126" s="71" t="e">
        <f t="shared" si="142"/>
        <v>#REF!</v>
      </c>
      <c r="P126" s="71" t="e">
        <f t="shared" si="142"/>
        <v>#REF!</v>
      </c>
      <c r="Q126" s="71" t="e">
        <f t="shared" si="142"/>
        <v>#REF!</v>
      </c>
      <c r="R126" s="71" t="e">
        <f t="shared" si="142"/>
        <v>#REF!</v>
      </c>
      <c r="S126" s="56"/>
      <c r="T126" s="56"/>
      <c r="U126" s="56"/>
      <c r="V126" s="56"/>
      <c r="W126" s="56"/>
      <c r="X126" s="56"/>
      <c r="Y126" s="56"/>
      <c r="Z126" s="56"/>
      <c r="AA126" s="56"/>
      <c r="AB126" s="56"/>
      <c r="AC126" s="56"/>
      <c r="AD126" s="56"/>
      <c r="AE126" s="56"/>
      <c r="AF126" s="81"/>
      <c r="AG126" s="2"/>
      <c r="AH126" s="56"/>
      <c r="AI126" s="56"/>
      <c r="AJ126" s="56"/>
      <c r="AK126" s="56"/>
      <c r="AL126" s="56"/>
      <c r="AM126" s="56"/>
      <c r="AN126" s="56"/>
      <c r="AO126" s="56"/>
      <c r="AP126" s="56" t="e">
        <f t="shared" ref="AP126:BU126" si="143">AP105*AP124</f>
        <v>#REF!</v>
      </c>
      <c r="AQ126" s="56" t="e">
        <f t="shared" si="143"/>
        <v>#REF!</v>
      </c>
      <c r="AR126" s="56" t="e">
        <f t="shared" si="143"/>
        <v>#REF!</v>
      </c>
      <c r="AS126" s="56" t="e">
        <f t="shared" si="143"/>
        <v>#REF!</v>
      </c>
      <c r="AT126" s="56" t="e">
        <f t="shared" si="143"/>
        <v>#REF!</v>
      </c>
      <c r="AU126" s="56" t="e">
        <f t="shared" si="143"/>
        <v>#REF!</v>
      </c>
      <c r="AV126" s="56" t="e">
        <f t="shared" si="143"/>
        <v>#REF!</v>
      </c>
      <c r="AW126" s="56" t="e">
        <f t="shared" si="143"/>
        <v>#REF!</v>
      </c>
      <c r="AX126" s="56" t="e">
        <f t="shared" si="143"/>
        <v>#REF!</v>
      </c>
      <c r="AY126" s="56" t="e">
        <f t="shared" si="143"/>
        <v>#REF!</v>
      </c>
      <c r="AZ126" s="56" t="e">
        <f t="shared" si="143"/>
        <v>#REF!</v>
      </c>
      <c r="BA126" s="56" t="e">
        <f t="shared" si="143"/>
        <v>#REF!</v>
      </c>
      <c r="BB126" s="56" t="e">
        <f t="shared" si="143"/>
        <v>#REF!</v>
      </c>
      <c r="BC126" s="56" t="e">
        <f t="shared" si="143"/>
        <v>#REF!</v>
      </c>
      <c r="BD126" s="56" t="e">
        <f t="shared" si="143"/>
        <v>#REF!</v>
      </c>
      <c r="BE126" s="56" t="e">
        <f t="shared" si="143"/>
        <v>#REF!</v>
      </c>
      <c r="BF126" s="69" t="e">
        <f t="shared" si="143"/>
        <v>#REF!</v>
      </c>
      <c r="BG126" s="56" t="e">
        <f t="shared" si="143"/>
        <v>#REF!</v>
      </c>
      <c r="BH126" s="56" t="e">
        <f t="shared" si="143"/>
        <v>#REF!</v>
      </c>
      <c r="BI126" s="56" t="e">
        <f t="shared" si="143"/>
        <v>#REF!</v>
      </c>
      <c r="BJ126" s="69" t="e">
        <f t="shared" si="143"/>
        <v>#REF!</v>
      </c>
      <c r="BK126" s="56" t="e">
        <f t="shared" si="143"/>
        <v>#REF!</v>
      </c>
      <c r="BL126" s="56" t="e">
        <f t="shared" si="143"/>
        <v>#REF!</v>
      </c>
      <c r="BM126" s="56" t="e">
        <f t="shared" si="143"/>
        <v>#REF!</v>
      </c>
      <c r="BN126" s="69" t="e">
        <f t="shared" si="143"/>
        <v>#REF!</v>
      </c>
      <c r="BO126" s="56" t="e">
        <f t="shared" si="143"/>
        <v>#REF!</v>
      </c>
      <c r="BP126" s="56" t="e">
        <f t="shared" si="143"/>
        <v>#REF!</v>
      </c>
      <c r="BQ126" s="56" t="e">
        <f t="shared" si="143"/>
        <v>#REF!</v>
      </c>
      <c r="BR126" s="70" t="e">
        <f t="shared" si="143"/>
        <v>#REF!</v>
      </c>
      <c r="BS126" s="71" t="e">
        <f t="shared" si="143"/>
        <v>#REF!</v>
      </c>
      <c r="BT126" s="71" t="e">
        <f t="shared" si="143"/>
        <v>#REF!</v>
      </c>
      <c r="BU126" s="71" t="e">
        <f t="shared" si="143"/>
        <v>#REF!</v>
      </c>
      <c r="BV126" s="2"/>
      <c r="BW126" s="2"/>
      <c r="BX126" s="2"/>
      <c r="BY126" s="2"/>
      <c r="BZ126" s="2"/>
      <c r="CA126" s="2"/>
      <c r="CB126" s="2"/>
      <c r="CC126" s="2"/>
      <c r="CD126" s="2"/>
      <c r="CE126" s="2"/>
      <c r="CF126" s="2"/>
      <c r="CG126" s="2"/>
      <c r="CH126" s="2"/>
      <c r="CI126" s="2"/>
      <c r="CJ126" s="2"/>
      <c r="CK126" s="2"/>
      <c r="CL126" s="2"/>
      <c r="CM126" s="2"/>
      <c r="CN126" s="2"/>
      <c r="CO126" s="2"/>
      <c r="CP126" s="2"/>
    </row>
    <row r="127" spans="1:94">
      <c r="A127" s="68" t="s">
        <v>952</v>
      </c>
      <c r="B127" s="2"/>
      <c r="C127" s="2"/>
      <c r="D127" s="2"/>
      <c r="E127" s="56"/>
      <c r="F127" s="56"/>
      <c r="G127" s="6"/>
      <c r="H127" s="6" t="e">
        <f t="shared" ref="H127:R127" si="144">H126/G126-1</f>
        <v>#REF!</v>
      </c>
      <c r="I127" s="6" t="e">
        <f t="shared" si="144"/>
        <v>#REF!</v>
      </c>
      <c r="J127" s="6" t="e">
        <f t="shared" si="144"/>
        <v>#REF!</v>
      </c>
      <c r="K127" s="6" t="e">
        <f t="shared" si="144"/>
        <v>#REF!</v>
      </c>
      <c r="L127" s="6" t="e">
        <f t="shared" si="144"/>
        <v>#REF!</v>
      </c>
      <c r="M127" s="6" t="e">
        <f t="shared" si="144"/>
        <v>#REF!</v>
      </c>
      <c r="N127" s="28" t="e">
        <f t="shared" si="144"/>
        <v>#REF!</v>
      </c>
      <c r="O127" s="28" t="e">
        <f t="shared" si="144"/>
        <v>#REF!</v>
      </c>
      <c r="P127" s="28" t="e">
        <f t="shared" si="144"/>
        <v>#REF!</v>
      </c>
      <c r="Q127" s="28" t="e">
        <f t="shared" si="144"/>
        <v>#REF!</v>
      </c>
      <c r="R127" s="28" t="e">
        <f t="shared" si="144"/>
        <v>#REF!</v>
      </c>
      <c r="S127" s="56"/>
      <c r="T127" s="56"/>
      <c r="U127" s="56"/>
      <c r="V127" s="56"/>
      <c r="W127" s="56"/>
      <c r="X127" s="56"/>
      <c r="Y127" s="56"/>
      <c r="Z127" s="56"/>
      <c r="AA127" s="56"/>
      <c r="AB127" s="56"/>
      <c r="AC127" s="56"/>
      <c r="AD127" s="56"/>
      <c r="AE127" s="56"/>
      <c r="AF127" s="81"/>
      <c r="AG127" s="2"/>
      <c r="AH127" s="56"/>
      <c r="AI127" s="56"/>
      <c r="AJ127" s="56"/>
      <c r="AK127" s="56"/>
      <c r="AL127" s="56"/>
      <c r="AM127" s="56"/>
      <c r="AN127" s="56"/>
      <c r="AO127" s="56"/>
      <c r="AP127" s="56"/>
      <c r="AQ127" s="56"/>
      <c r="AR127" s="56"/>
      <c r="AS127" s="56"/>
      <c r="AT127" s="6" t="e">
        <f t="shared" ref="AT127:BU127" si="145">AT126/AP126-1</f>
        <v>#REF!</v>
      </c>
      <c r="AU127" s="6" t="e">
        <f t="shared" si="145"/>
        <v>#REF!</v>
      </c>
      <c r="AV127" s="6" t="e">
        <f t="shared" si="145"/>
        <v>#REF!</v>
      </c>
      <c r="AW127" s="6" t="e">
        <f t="shared" si="145"/>
        <v>#REF!</v>
      </c>
      <c r="AX127" s="6" t="e">
        <f t="shared" si="145"/>
        <v>#REF!</v>
      </c>
      <c r="AY127" s="6" t="e">
        <f t="shared" si="145"/>
        <v>#REF!</v>
      </c>
      <c r="AZ127" s="6" t="e">
        <f t="shared" si="145"/>
        <v>#REF!</v>
      </c>
      <c r="BA127" s="6" t="e">
        <f t="shared" si="145"/>
        <v>#REF!</v>
      </c>
      <c r="BB127" s="6" t="e">
        <f t="shared" si="145"/>
        <v>#REF!</v>
      </c>
      <c r="BC127" s="6" t="e">
        <f t="shared" si="145"/>
        <v>#REF!</v>
      </c>
      <c r="BD127" s="6" t="e">
        <f t="shared" si="145"/>
        <v>#REF!</v>
      </c>
      <c r="BE127" s="6" t="e">
        <f t="shared" si="145"/>
        <v>#REF!</v>
      </c>
      <c r="BF127" s="63" t="e">
        <f t="shared" si="145"/>
        <v>#REF!</v>
      </c>
      <c r="BG127" s="6" t="e">
        <f t="shared" si="145"/>
        <v>#REF!</v>
      </c>
      <c r="BH127" s="6" t="e">
        <f t="shared" si="145"/>
        <v>#REF!</v>
      </c>
      <c r="BI127" s="6" t="e">
        <f t="shared" si="145"/>
        <v>#REF!</v>
      </c>
      <c r="BJ127" s="63" t="e">
        <f t="shared" si="145"/>
        <v>#REF!</v>
      </c>
      <c r="BK127" s="6" t="e">
        <f t="shared" si="145"/>
        <v>#REF!</v>
      </c>
      <c r="BL127" s="6" t="e">
        <f t="shared" si="145"/>
        <v>#REF!</v>
      </c>
      <c r="BM127" s="6" t="e">
        <f t="shared" si="145"/>
        <v>#REF!</v>
      </c>
      <c r="BN127" s="63" t="e">
        <f t="shared" si="145"/>
        <v>#REF!</v>
      </c>
      <c r="BO127" s="6" t="e">
        <f t="shared" si="145"/>
        <v>#REF!</v>
      </c>
      <c r="BP127" s="6" t="e">
        <f t="shared" si="145"/>
        <v>#REF!</v>
      </c>
      <c r="BQ127" s="6" t="e">
        <f t="shared" si="145"/>
        <v>#REF!</v>
      </c>
      <c r="BR127" s="64" t="e">
        <f t="shared" si="145"/>
        <v>#REF!</v>
      </c>
      <c r="BS127" s="28" t="e">
        <f t="shared" si="145"/>
        <v>#REF!</v>
      </c>
      <c r="BT127" s="28" t="e">
        <f t="shared" si="145"/>
        <v>#REF!</v>
      </c>
      <c r="BU127" s="28" t="e">
        <f t="shared" si="145"/>
        <v>#REF!</v>
      </c>
      <c r="BV127" s="2"/>
      <c r="BW127" s="2"/>
      <c r="BX127" s="2"/>
      <c r="BY127" s="2"/>
      <c r="BZ127" s="2"/>
      <c r="CA127" s="2"/>
      <c r="CB127" s="2"/>
      <c r="CC127" s="2"/>
      <c r="CD127" s="2"/>
      <c r="CE127" s="2"/>
      <c r="CF127" s="2"/>
      <c r="CG127" s="2"/>
      <c r="CH127" s="2"/>
      <c r="CI127" s="2"/>
      <c r="CJ127" s="2"/>
      <c r="CK127" s="2"/>
      <c r="CL127" s="2"/>
      <c r="CM127" s="2"/>
      <c r="CN127" s="2"/>
      <c r="CO127" s="2"/>
      <c r="CP127" s="2"/>
    </row>
    <row r="128" spans="1:94">
      <c r="A128" s="68" t="s">
        <v>1003</v>
      </c>
      <c r="B128" s="2"/>
      <c r="C128" s="2"/>
      <c r="D128" s="2"/>
      <c r="E128" s="56"/>
      <c r="F128" s="56"/>
      <c r="G128" s="6" t="e">
        <f t="shared" ref="G128:R128" si="146">G126/G87</f>
        <v>#REF!</v>
      </c>
      <c r="H128" s="6" t="e">
        <f t="shared" si="146"/>
        <v>#REF!</v>
      </c>
      <c r="I128" s="6" t="e">
        <f t="shared" si="146"/>
        <v>#REF!</v>
      </c>
      <c r="J128" s="6" t="e">
        <f t="shared" si="146"/>
        <v>#REF!</v>
      </c>
      <c r="K128" s="6" t="e">
        <f t="shared" si="146"/>
        <v>#REF!</v>
      </c>
      <c r="L128" s="6" t="e">
        <f t="shared" si="146"/>
        <v>#REF!</v>
      </c>
      <c r="M128" s="6" t="e">
        <f t="shared" si="146"/>
        <v>#REF!</v>
      </c>
      <c r="N128" s="28" t="e">
        <f t="shared" si="146"/>
        <v>#REF!</v>
      </c>
      <c r="O128" s="28" t="e">
        <f t="shared" si="146"/>
        <v>#REF!</v>
      </c>
      <c r="P128" s="28" t="e">
        <f t="shared" si="146"/>
        <v>#REF!</v>
      </c>
      <c r="Q128" s="28" t="e">
        <f t="shared" si="146"/>
        <v>#REF!</v>
      </c>
      <c r="R128" s="28" t="e">
        <f t="shared" si="146"/>
        <v>#REF!</v>
      </c>
      <c r="S128" s="56"/>
      <c r="T128" s="56"/>
      <c r="U128" s="56"/>
      <c r="V128" s="56"/>
      <c r="W128" s="56"/>
      <c r="X128" s="56"/>
      <c r="Y128" s="56"/>
      <c r="Z128" s="56"/>
      <c r="AA128" s="56"/>
      <c r="AB128" s="56"/>
      <c r="AC128" s="56"/>
      <c r="AD128" s="56"/>
      <c r="AE128" s="56"/>
      <c r="AF128" s="81"/>
      <c r="AG128" s="2"/>
      <c r="AH128" s="56"/>
      <c r="AI128" s="56"/>
      <c r="AJ128" s="56"/>
      <c r="AK128" s="56"/>
      <c r="AL128" s="56"/>
      <c r="AM128" s="56"/>
      <c r="AN128" s="56"/>
      <c r="AO128" s="56"/>
      <c r="AP128" s="56"/>
      <c r="AQ128" s="56"/>
      <c r="AR128" s="56"/>
      <c r="AS128" s="56"/>
      <c r="AT128" s="56"/>
      <c r="AU128" s="56"/>
      <c r="AW128" s="56"/>
      <c r="AX128" s="6" t="e">
        <f t="shared" ref="AX128:BU128" si="147">AX126/AX87</f>
        <v>#REF!</v>
      </c>
      <c r="AY128" s="6" t="e">
        <f t="shared" si="147"/>
        <v>#REF!</v>
      </c>
      <c r="AZ128" s="6" t="e">
        <f t="shared" si="147"/>
        <v>#REF!</v>
      </c>
      <c r="BA128" s="6" t="e">
        <f t="shared" si="147"/>
        <v>#REF!</v>
      </c>
      <c r="BB128" s="6" t="e">
        <f t="shared" si="147"/>
        <v>#REF!</v>
      </c>
      <c r="BC128" s="6" t="e">
        <f t="shared" si="147"/>
        <v>#REF!</v>
      </c>
      <c r="BD128" s="6" t="e">
        <f t="shared" si="147"/>
        <v>#REF!</v>
      </c>
      <c r="BE128" s="6" t="e">
        <f t="shared" si="147"/>
        <v>#REF!</v>
      </c>
      <c r="BF128" s="63" t="e">
        <f t="shared" si="147"/>
        <v>#REF!</v>
      </c>
      <c r="BG128" s="6" t="e">
        <f t="shared" si="147"/>
        <v>#REF!</v>
      </c>
      <c r="BH128" s="6" t="e">
        <f t="shared" si="147"/>
        <v>#REF!</v>
      </c>
      <c r="BI128" s="6" t="e">
        <f t="shared" si="147"/>
        <v>#REF!</v>
      </c>
      <c r="BJ128" s="63" t="e">
        <f t="shared" si="147"/>
        <v>#REF!</v>
      </c>
      <c r="BK128" s="6" t="e">
        <f t="shared" si="147"/>
        <v>#REF!</v>
      </c>
      <c r="BL128" s="6" t="e">
        <f t="shared" si="147"/>
        <v>#REF!</v>
      </c>
      <c r="BM128" s="6" t="e">
        <f t="shared" si="147"/>
        <v>#REF!</v>
      </c>
      <c r="BN128" s="63" t="e">
        <f t="shared" si="147"/>
        <v>#REF!</v>
      </c>
      <c r="BO128" s="6" t="e">
        <f t="shared" si="147"/>
        <v>#REF!</v>
      </c>
      <c r="BP128" s="6" t="e">
        <f t="shared" si="147"/>
        <v>#REF!</v>
      </c>
      <c r="BQ128" s="6" t="e">
        <f t="shared" si="147"/>
        <v>#REF!</v>
      </c>
      <c r="BR128" s="64" t="e">
        <f t="shared" si="147"/>
        <v>#REF!</v>
      </c>
      <c r="BS128" s="28" t="e">
        <f t="shared" si="147"/>
        <v>#REF!</v>
      </c>
      <c r="BT128" s="28" t="e">
        <f t="shared" si="147"/>
        <v>#REF!</v>
      </c>
      <c r="BU128" s="28" t="e">
        <f t="shared" si="147"/>
        <v>#REF!</v>
      </c>
      <c r="BV128" s="2"/>
      <c r="BW128" s="2"/>
      <c r="BX128" s="2"/>
      <c r="BY128" s="2"/>
      <c r="BZ128" s="2"/>
      <c r="CA128" s="2"/>
      <c r="CB128" s="2"/>
      <c r="CC128" s="2"/>
      <c r="CD128" s="2"/>
      <c r="CE128" s="2"/>
      <c r="CF128" s="2"/>
      <c r="CG128" s="2"/>
      <c r="CH128" s="2"/>
      <c r="CI128" s="2"/>
      <c r="CJ128" s="2"/>
      <c r="CK128" s="2"/>
      <c r="CL128" s="2"/>
      <c r="CM128" s="2"/>
      <c r="CN128" s="2"/>
      <c r="CO128" s="2"/>
      <c r="CP128" s="2"/>
    </row>
    <row r="129" spans="1:94">
      <c r="A129" t="s">
        <v>1004</v>
      </c>
      <c r="H129">
        <v>4416</v>
      </c>
      <c r="I129">
        <v>4176</v>
      </c>
      <c r="J129">
        <v>4208</v>
      </c>
      <c r="K129" t="e">
        <f>SUM(BF129:BI129)</f>
        <v>#REF!</v>
      </c>
      <c r="L129" t="e">
        <f>SUM(BJ129:BM129)</f>
        <v>#REF!</v>
      </c>
      <c r="M129" t="e">
        <f t="shared" ref="M129:R129" si="148">M126</f>
        <v>#REF!</v>
      </c>
      <c r="N129" t="e">
        <f t="shared" si="148"/>
        <v>#REF!</v>
      </c>
      <c r="O129" t="e">
        <f t="shared" si="148"/>
        <v>#REF!</v>
      </c>
      <c r="P129" t="e">
        <f t="shared" si="148"/>
        <v>#REF!</v>
      </c>
      <c r="Q129" t="e">
        <f t="shared" si="148"/>
        <v>#REF!</v>
      </c>
      <c r="R129" t="e">
        <f t="shared" si="148"/>
        <v>#REF!</v>
      </c>
      <c r="AG129" s="2"/>
      <c r="BF129" t="e">
        <f t="shared" ref="BF129:BU129" si="149">BF126</f>
        <v>#REF!</v>
      </c>
      <c r="BG129" t="e">
        <f t="shared" si="149"/>
        <v>#REF!</v>
      </c>
      <c r="BH129" t="e">
        <f t="shared" si="149"/>
        <v>#REF!</v>
      </c>
      <c r="BI129" t="e">
        <f t="shared" si="149"/>
        <v>#REF!</v>
      </c>
      <c r="BJ129" t="e">
        <f t="shared" si="149"/>
        <v>#REF!</v>
      </c>
      <c r="BK129" t="e">
        <f t="shared" si="149"/>
        <v>#REF!</v>
      </c>
      <c r="BL129" t="e">
        <f t="shared" si="149"/>
        <v>#REF!</v>
      </c>
      <c r="BM129" t="e">
        <f t="shared" si="149"/>
        <v>#REF!</v>
      </c>
      <c r="BN129" t="e">
        <f t="shared" si="149"/>
        <v>#REF!</v>
      </c>
      <c r="BO129" t="e">
        <f t="shared" si="149"/>
        <v>#REF!</v>
      </c>
      <c r="BP129" t="e">
        <f t="shared" si="149"/>
        <v>#REF!</v>
      </c>
      <c r="BQ129" t="e">
        <f t="shared" si="149"/>
        <v>#REF!</v>
      </c>
      <c r="BR129" t="e">
        <f t="shared" si="149"/>
        <v>#REF!</v>
      </c>
      <c r="BS129" t="e">
        <f t="shared" si="149"/>
        <v>#REF!</v>
      </c>
      <c r="BT129" t="e">
        <f t="shared" si="149"/>
        <v>#REF!</v>
      </c>
      <c r="BU129" t="e">
        <f t="shared" si="149"/>
        <v>#REF!</v>
      </c>
      <c r="BW129" s="2" t="e">
        <f>M129-SUM(BN129:BQ129)</f>
        <v>#REF!</v>
      </c>
    </row>
    <row r="130" spans="1:94">
      <c r="A130" s="1" t="s">
        <v>1005</v>
      </c>
      <c r="B130" s="2"/>
      <c r="C130" s="2"/>
      <c r="D130" s="2"/>
      <c r="E130" s="56"/>
      <c r="F130" s="56"/>
      <c r="G130" s="2" t="e">
        <f t="shared" ref="G130:L130" si="150">G124</f>
        <v>#REF!</v>
      </c>
      <c r="H130" s="2" t="e">
        <f t="shared" si="150"/>
        <v>#REF!</v>
      </c>
      <c r="I130" s="2" t="e">
        <f t="shared" si="150"/>
        <v>#REF!</v>
      </c>
      <c r="J130" s="2" t="e">
        <f t="shared" si="150"/>
        <v>#REF!</v>
      </c>
      <c r="K130" s="2" t="e">
        <f t="shared" si="150"/>
        <v>#REF!</v>
      </c>
      <c r="L130" s="2" t="e">
        <f t="shared" si="150"/>
        <v>#REF!</v>
      </c>
      <c r="M130">
        <f>0.405*4</f>
        <v>1.62</v>
      </c>
      <c r="N130" t="e">
        <f>N124</f>
        <v>#REF!</v>
      </c>
      <c r="O130" t="e">
        <f>O124</f>
        <v>#REF!</v>
      </c>
      <c r="P130" t="e">
        <f>P124</f>
        <v>#REF!</v>
      </c>
      <c r="Q130" t="e">
        <f>Q124</f>
        <v>#REF!</v>
      </c>
      <c r="R130" t="e">
        <f>R124</f>
        <v>#REF!</v>
      </c>
      <c r="S130" s="56"/>
      <c r="T130" s="56"/>
      <c r="U130" s="56"/>
      <c r="V130" s="56"/>
      <c r="W130" s="56"/>
      <c r="X130" s="56"/>
      <c r="Y130" s="56"/>
      <c r="Z130" s="56"/>
      <c r="AA130" s="56"/>
      <c r="AB130" s="56"/>
      <c r="AC130" s="56"/>
      <c r="AD130" s="56"/>
      <c r="AE130" s="56"/>
      <c r="AF130" s="81"/>
      <c r="AG130" s="2"/>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69"/>
      <c r="BG130" s="56"/>
      <c r="BH130" s="56"/>
      <c r="BI130" s="56"/>
      <c r="BJ130" s="69"/>
      <c r="BK130" s="56"/>
      <c r="BL130" s="56"/>
      <c r="BM130" s="56"/>
      <c r="BN130" s="69"/>
      <c r="BO130" s="56"/>
      <c r="BP130" s="56"/>
      <c r="BQ130" s="56"/>
      <c r="BR130" s="70"/>
      <c r="BS130" s="71"/>
      <c r="BT130" s="71"/>
      <c r="BU130" s="71"/>
      <c r="BV130" s="2"/>
      <c r="BW130" s="2"/>
      <c r="BX130" s="2"/>
      <c r="BY130" s="2"/>
      <c r="BZ130" s="2"/>
      <c r="CA130" s="2"/>
      <c r="CB130" s="2"/>
      <c r="CC130" s="2"/>
      <c r="CD130" s="2"/>
      <c r="CE130" s="2"/>
      <c r="CF130" s="2"/>
      <c r="CG130" s="2"/>
      <c r="CH130" s="2"/>
      <c r="CI130" s="2"/>
      <c r="CJ130" s="2"/>
      <c r="CK130" s="2"/>
      <c r="CL130" s="2"/>
      <c r="CM130" s="2"/>
      <c r="CN130" s="2"/>
      <c r="CO130" s="2"/>
      <c r="CP130" s="2"/>
    </row>
    <row r="131" spans="1:94">
      <c r="A131" s="2" t="s">
        <v>1006</v>
      </c>
      <c r="B131" s="2"/>
      <c r="C131" s="2"/>
      <c r="D131" s="2"/>
      <c r="E131" s="56"/>
      <c r="F131" s="56"/>
      <c r="G131" s="23" t="e">
        <f t="shared" ref="G131:R131" si="151">(G76+G45)*0.6/G99</f>
        <v>#REF!</v>
      </c>
      <c r="H131" s="23" t="e">
        <f t="shared" si="151"/>
        <v>#REF!</v>
      </c>
      <c r="I131" s="23" t="e">
        <f t="shared" si="151"/>
        <v>#REF!</v>
      </c>
      <c r="J131" s="23" t="e">
        <f t="shared" si="151"/>
        <v>#REF!</v>
      </c>
      <c r="K131" s="23" t="e">
        <f t="shared" si="151"/>
        <v>#REF!</v>
      </c>
      <c r="L131" s="23" t="e">
        <f t="shared" si="151"/>
        <v>#REF!</v>
      </c>
      <c r="M131" s="23" t="e">
        <f t="shared" si="151"/>
        <v>#REF!</v>
      </c>
      <c r="N131" t="e">
        <f t="shared" si="151"/>
        <v>#REF!</v>
      </c>
      <c r="O131" t="e">
        <f t="shared" si="151"/>
        <v>#REF!</v>
      </c>
      <c r="P131" t="e">
        <f t="shared" si="151"/>
        <v>#REF!</v>
      </c>
      <c r="Q131" t="e">
        <f t="shared" si="151"/>
        <v>#REF!</v>
      </c>
      <c r="R131" t="e">
        <f t="shared" si="151"/>
        <v>#REF!</v>
      </c>
      <c r="S131" s="56"/>
      <c r="T131" s="56"/>
      <c r="U131" s="56"/>
      <c r="V131" s="56"/>
      <c r="W131" s="56"/>
      <c r="X131" s="56"/>
      <c r="Y131" s="56"/>
      <c r="Z131" s="56"/>
      <c r="AA131" s="56"/>
      <c r="AB131" s="56"/>
      <c r="AC131" s="56"/>
      <c r="AD131" s="56"/>
      <c r="AE131" s="56"/>
      <c r="AF131" s="59"/>
      <c r="AG131" s="2"/>
      <c r="AH131" s="56"/>
      <c r="AI131" s="56"/>
      <c r="AJ131" s="56"/>
      <c r="AK131" s="56"/>
      <c r="AL131" s="56"/>
      <c r="AM131" s="56"/>
      <c r="AN131" s="56"/>
      <c r="AO131" s="56"/>
      <c r="AP131" s="23"/>
      <c r="AQ131" s="23"/>
      <c r="AR131" s="23"/>
      <c r="AS131" s="23"/>
      <c r="AT131" s="23"/>
      <c r="AU131" s="23"/>
      <c r="AV131" s="23"/>
      <c r="AW131" s="23"/>
      <c r="AX131" s="23"/>
      <c r="AY131" s="23"/>
      <c r="AZ131" s="23"/>
      <c r="BA131" s="23"/>
      <c r="BB131" s="23"/>
      <c r="BC131" s="23"/>
      <c r="BD131" s="23"/>
      <c r="BE131" s="23"/>
      <c r="BG131" s="23"/>
      <c r="BH131" s="23"/>
      <c r="BI131" s="23"/>
      <c r="BK131" s="23"/>
      <c r="BL131" s="23"/>
      <c r="BM131" s="23"/>
      <c r="BO131" s="23"/>
      <c r="BP131" s="23"/>
      <c r="BQ131" s="23"/>
      <c r="BV131" s="2"/>
      <c r="BW131" s="2"/>
      <c r="BX131" s="2"/>
      <c r="BY131" s="2"/>
      <c r="BZ131" s="2"/>
      <c r="CA131" s="2"/>
      <c r="CB131" s="2"/>
      <c r="CC131" s="2"/>
      <c r="CD131" s="2"/>
      <c r="CE131" s="2"/>
      <c r="CF131" s="2"/>
      <c r="CG131" s="2"/>
      <c r="CH131" s="2"/>
      <c r="CI131" s="2"/>
      <c r="CJ131" s="2"/>
      <c r="CK131" s="2"/>
      <c r="CL131" s="2"/>
      <c r="CM131" s="2"/>
      <c r="CN131" s="2"/>
      <c r="CO131" s="2"/>
      <c r="CP131" s="2"/>
    </row>
    <row r="132" spans="1:94">
      <c r="A132" s="68" t="s">
        <v>952</v>
      </c>
      <c r="B132" s="2"/>
      <c r="C132" s="2"/>
      <c r="D132" s="2"/>
      <c r="E132" s="56"/>
      <c r="F132" s="56"/>
      <c r="G132" s="6"/>
      <c r="H132" s="6" t="e">
        <f t="shared" ref="H132:R132" si="152">H131/G131-1</f>
        <v>#REF!</v>
      </c>
      <c r="I132" s="6" t="e">
        <f t="shared" si="152"/>
        <v>#REF!</v>
      </c>
      <c r="J132" s="6" t="e">
        <f t="shared" si="152"/>
        <v>#REF!</v>
      </c>
      <c r="K132" s="6" t="e">
        <f t="shared" si="152"/>
        <v>#REF!</v>
      </c>
      <c r="L132" s="6" t="e">
        <f t="shared" si="152"/>
        <v>#REF!</v>
      </c>
      <c r="M132" s="6" t="e">
        <f t="shared" si="152"/>
        <v>#REF!</v>
      </c>
      <c r="N132" s="28" t="e">
        <f t="shared" si="152"/>
        <v>#REF!</v>
      </c>
      <c r="O132" s="28" t="e">
        <f t="shared" si="152"/>
        <v>#REF!</v>
      </c>
      <c r="P132" s="28" t="e">
        <f t="shared" si="152"/>
        <v>#REF!</v>
      </c>
      <c r="Q132" s="28" t="e">
        <f t="shared" si="152"/>
        <v>#REF!</v>
      </c>
      <c r="R132" s="28" t="e">
        <f t="shared" si="152"/>
        <v>#REF!</v>
      </c>
      <c r="S132" s="56"/>
      <c r="T132" s="56"/>
      <c r="U132" s="56"/>
      <c r="V132" s="56"/>
      <c r="W132" s="56"/>
      <c r="X132" s="56"/>
      <c r="Y132" s="56"/>
      <c r="Z132" s="56"/>
      <c r="AA132" s="56"/>
      <c r="AB132" s="56"/>
      <c r="AC132" s="56"/>
      <c r="AD132" s="56"/>
      <c r="AE132" s="56"/>
      <c r="AF132" s="81"/>
      <c r="AG132" s="2"/>
      <c r="AH132" s="56"/>
      <c r="AI132" s="56"/>
      <c r="AJ132" s="56"/>
      <c r="AK132" s="56"/>
      <c r="AL132" s="56"/>
      <c r="AM132" s="56"/>
      <c r="AN132" s="56"/>
      <c r="AO132" s="56"/>
      <c r="AP132" s="56"/>
      <c r="AQ132" s="56"/>
      <c r="AR132" s="56"/>
      <c r="AS132" s="56"/>
      <c r="AT132" s="6"/>
      <c r="AU132" s="6"/>
      <c r="AV132" s="6"/>
      <c r="AW132" s="6"/>
      <c r="AX132" s="6"/>
      <c r="AY132" s="6"/>
      <c r="AZ132" s="6"/>
      <c r="BA132" s="6"/>
      <c r="BB132" s="6"/>
      <c r="BC132" s="6"/>
      <c r="BD132" s="6"/>
      <c r="BE132" s="6"/>
      <c r="BF132" s="63"/>
      <c r="BG132" s="6"/>
      <c r="BH132" s="6"/>
      <c r="BI132" s="6"/>
      <c r="BJ132" s="63"/>
      <c r="BK132" s="6"/>
      <c r="BL132" s="6"/>
      <c r="BM132" s="6"/>
      <c r="BN132" s="63"/>
      <c r="BO132" s="6"/>
      <c r="BP132" s="6"/>
      <c r="BQ132" s="6"/>
      <c r="BR132" s="64"/>
      <c r="BS132" s="28"/>
      <c r="BT132" s="28"/>
      <c r="BU132" s="28"/>
      <c r="BV132" s="2"/>
      <c r="BW132" s="2"/>
      <c r="BX132" s="2"/>
      <c r="BY132" s="2"/>
      <c r="BZ132" s="2"/>
      <c r="CA132" s="2"/>
      <c r="CB132" s="2"/>
      <c r="CC132" s="2"/>
      <c r="CD132" s="2"/>
      <c r="CE132" s="2"/>
      <c r="CF132" s="2"/>
      <c r="CG132" s="2"/>
      <c r="CH132" s="2"/>
      <c r="CI132" s="2"/>
      <c r="CJ132" s="2"/>
      <c r="CK132" s="2"/>
      <c r="CL132" s="2"/>
      <c r="CM132" s="2"/>
      <c r="CN132" s="2"/>
      <c r="CO132" s="2"/>
      <c r="CP132" s="2"/>
    </row>
    <row r="133" spans="1:94">
      <c r="A133" s="2"/>
      <c r="B133" s="2"/>
      <c r="C133" s="2"/>
      <c r="D133" s="2"/>
      <c r="E133" s="56"/>
      <c r="F133" s="56"/>
      <c r="G133" s="56"/>
      <c r="H133" s="56"/>
      <c r="I133" s="56"/>
      <c r="J133" s="56"/>
      <c r="K133" s="56"/>
      <c r="L133" s="56"/>
      <c r="M133" s="56"/>
      <c r="N133" s="71"/>
      <c r="O133" s="71"/>
      <c r="P133" s="71"/>
      <c r="Q133" s="71"/>
      <c r="R133" s="71"/>
      <c r="S133" s="56"/>
      <c r="T133" s="56"/>
      <c r="U133" s="56"/>
      <c r="V133" s="56"/>
      <c r="W133" s="56"/>
      <c r="X133" s="56"/>
      <c r="Y133" s="56"/>
      <c r="Z133" s="56"/>
      <c r="AA133" s="56"/>
      <c r="AB133" s="56"/>
      <c r="AC133" s="56"/>
      <c r="AD133" s="56"/>
      <c r="AE133" s="56"/>
      <c r="AF133" s="81"/>
      <c r="AG133" s="2"/>
      <c r="AH133" s="56"/>
      <c r="AI133" s="56"/>
      <c r="AJ133" s="56"/>
      <c r="AK133" s="56"/>
      <c r="AL133" s="56"/>
      <c r="AM133" s="56"/>
      <c r="AN133" s="56"/>
      <c r="AO133" s="56"/>
      <c r="AP133" s="56"/>
      <c r="AQ133" s="56"/>
      <c r="AR133" s="56"/>
      <c r="AS133" s="56"/>
      <c r="AT133" s="56"/>
      <c r="AU133" s="56"/>
      <c r="AV133" s="56"/>
      <c r="AW133" s="56"/>
      <c r="AX133" s="56"/>
      <c r="AY133" s="56"/>
      <c r="AZ133" s="56"/>
      <c r="BA133" s="56"/>
      <c r="BB133" s="56"/>
      <c r="BC133" s="56"/>
      <c r="BD133" s="56"/>
      <c r="BE133" s="56"/>
      <c r="BF133" s="69"/>
      <c r="BG133" s="56"/>
      <c r="BH133" s="56"/>
      <c r="BI133" s="56"/>
      <c r="BJ133" s="69"/>
      <c r="BK133" s="56"/>
      <c r="BL133" s="56"/>
      <c r="BM133" s="56"/>
      <c r="BN133" s="69"/>
      <c r="BO133" s="56"/>
      <c r="BP133" s="56"/>
      <c r="BQ133" s="56"/>
      <c r="BR133" s="70"/>
      <c r="BS133" s="71"/>
      <c r="BT133" s="71"/>
      <c r="BU133" s="71"/>
      <c r="BV133" s="2"/>
      <c r="BW133" s="2"/>
      <c r="BX133" s="2"/>
      <c r="BY133" s="2"/>
      <c r="BZ133" s="2"/>
      <c r="CA133" s="2"/>
      <c r="CB133" s="2"/>
      <c r="CC133" s="2"/>
      <c r="CD133" s="2"/>
      <c r="CE133" s="2"/>
      <c r="CF133" s="2"/>
      <c r="CG133" s="2"/>
      <c r="CH133" s="2"/>
      <c r="CI133" s="2"/>
      <c r="CJ133" s="2"/>
      <c r="CK133" s="2"/>
      <c r="CL133" s="2"/>
      <c r="CM133" s="2"/>
      <c r="CN133" s="2"/>
      <c r="CO133" s="2"/>
      <c r="CP133" s="2"/>
    </row>
    <row r="134" spans="1:94">
      <c r="A134" s="49" t="s">
        <v>1007</v>
      </c>
      <c r="B134" s="50"/>
      <c r="C134" s="50"/>
      <c r="D134" s="50"/>
      <c r="E134" s="53"/>
      <c r="F134" s="53"/>
      <c r="G134" s="53"/>
      <c r="H134" s="53"/>
      <c r="I134" s="53"/>
      <c r="J134" s="53"/>
      <c r="K134" s="53"/>
      <c r="L134" s="53"/>
      <c r="M134" s="53"/>
      <c r="N134" s="53"/>
      <c r="O134" s="53"/>
      <c r="P134" s="53"/>
      <c r="Q134" s="53"/>
      <c r="R134" s="53"/>
      <c r="S134" s="53"/>
      <c r="T134" s="53"/>
      <c r="U134" s="53"/>
      <c r="V134" s="53"/>
      <c r="W134" s="53"/>
      <c r="X134" s="53"/>
      <c r="Y134" s="53"/>
      <c r="Z134" s="53"/>
      <c r="AA134" s="53"/>
      <c r="AB134" s="53"/>
      <c r="AC134" s="53"/>
      <c r="AD134" s="53"/>
      <c r="AE134" s="53"/>
      <c r="AG134" s="2"/>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G134" s="53"/>
      <c r="BH134" s="53"/>
      <c r="BI134" s="53"/>
      <c r="BK134" s="53"/>
      <c r="BL134" s="53"/>
      <c r="BM134" s="53"/>
      <c r="BO134" s="53"/>
      <c r="BP134" s="53"/>
      <c r="BQ134" s="53"/>
      <c r="BS134" s="53"/>
      <c r="BT134" s="53"/>
      <c r="BU134" s="53"/>
      <c r="BV134" s="7"/>
      <c r="BW134" s="7"/>
      <c r="BX134" s="7"/>
      <c r="BY134" s="7"/>
      <c r="BZ134" s="7"/>
      <c r="CA134" s="2"/>
      <c r="CB134" s="2"/>
      <c r="CC134" s="2"/>
      <c r="CD134" s="2"/>
      <c r="CE134" s="2"/>
      <c r="CF134" s="2"/>
      <c r="CG134" s="2"/>
      <c r="CH134" s="2"/>
      <c r="CI134" s="2"/>
      <c r="CJ134" s="2"/>
      <c r="CK134" s="2"/>
      <c r="CL134" s="2"/>
      <c r="CM134" s="2"/>
      <c r="CN134" s="2"/>
      <c r="CO134" s="2"/>
      <c r="CP134" s="2"/>
    </row>
    <row r="135" spans="1:94">
      <c r="A135" s="1"/>
      <c r="B135" s="2"/>
      <c r="C135" s="2"/>
      <c r="D135" s="2"/>
      <c r="E135" s="56"/>
      <c r="F135" s="56"/>
      <c r="G135" s="56"/>
      <c r="H135" s="56"/>
      <c r="I135" s="56"/>
      <c r="J135" s="56"/>
      <c r="K135" s="56"/>
      <c r="L135" s="56"/>
      <c r="M135" s="56"/>
      <c r="N135" s="4"/>
      <c r="O135" s="71"/>
      <c r="P135" s="71"/>
      <c r="Q135" s="71"/>
      <c r="R135" s="71"/>
      <c r="S135" s="56"/>
      <c r="T135" s="56"/>
      <c r="U135" s="56"/>
      <c r="V135" s="56"/>
      <c r="W135" s="56"/>
      <c r="X135" s="56"/>
      <c r="Y135" s="56"/>
      <c r="Z135" s="56"/>
      <c r="AA135" s="56"/>
      <c r="AB135" s="56"/>
      <c r="AC135" s="56"/>
      <c r="AD135" s="56"/>
      <c r="AE135" s="56"/>
      <c r="AF135" s="81"/>
      <c r="AG135" s="2"/>
      <c r="AH135" s="56"/>
      <c r="AI135" s="56"/>
      <c r="AJ135" s="56"/>
      <c r="AK135" s="56"/>
      <c r="AL135" s="56"/>
      <c r="AM135" s="56"/>
      <c r="AN135" s="56"/>
      <c r="AO135" s="56"/>
      <c r="AP135" s="56"/>
      <c r="AQ135" s="56"/>
      <c r="AR135" s="56"/>
      <c r="AS135" s="56"/>
      <c r="AT135" s="56"/>
      <c r="AU135" s="56"/>
      <c r="AV135" s="56"/>
      <c r="AW135" s="56"/>
      <c r="AX135" s="56"/>
      <c r="AY135" s="56"/>
      <c r="AZ135" s="56"/>
      <c r="BA135" s="56"/>
      <c r="BB135" s="56"/>
      <c r="BC135" s="56"/>
      <c r="BD135" s="56"/>
      <c r="BE135" s="56"/>
      <c r="BF135" s="69"/>
      <c r="BG135" s="56"/>
      <c r="BH135" s="56"/>
      <c r="BI135" s="56"/>
      <c r="BJ135" s="69"/>
      <c r="BK135" s="56"/>
      <c r="BL135" s="56"/>
      <c r="BM135" s="56"/>
      <c r="BN135" s="69"/>
      <c r="BO135" s="56"/>
      <c r="BP135" s="56"/>
      <c r="BQ135" s="56"/>
      <c r="BR135" s="70"/>
      <c r="BS135" s="71"/>
      <c r="BT135" s="71"/>
      <c r="BU135" s="71"/>
      <c r="BV135" s="2"/>
      <c r="BW135" s="2"/>
      <c r="BX135" s="2"/>
      <c r="BY135" s="2"/>
      <c r="BZ135" s="2"/>
      <c r="CA135" s="2"/>
      <c r="CB135" s="2"/>
      <c r="CC135" s="2"/>
      <c r="CD135" s="2"/>
      <c r="CE135" s="2"/>
      <c r="CF135" s="2"/>
      <c r="CG135" s="2"/>
      <c r="CH135" s="2"/>
      <c r="CI135" s="2"/>
      <c r="CJ135" s="2"/>
      <c r="CK135" s="2"/>
      <c r="CL135" s="2"/>
      <c r="CM135" s="2"/>
      <c r="CN135" s="2"/>
      <c r="CO135" s="2"/>
      <c r="CP135" s="2"/>
    </row>
    <row r="136" spans="1:94">
      <c r="A136" t="s">
        <v>1008</v>
      </c>
      <c r="I136">
        <v>590</v>
      </c>
      <c r="J136">
        <f t="shared" ref="J136:J153" si="153">SUM(BB136:BE136)</f>
        <v>4079</v>
      </c>
      <c r="K136">
        <f t="shared" ref="K136:K145" si="154">SUM(BF136:BI136)</f>
        <v>3077</v>
      </c>
      <c r="L136">
        <f t="shared" ref="L136:L152" si="155">SUM(BJ136:BM136)</f>
        <v>7831</v>
      </c>
      <c r="M136">
        <f t="shared" ref="M136:M152" si="156">SUM(BN136:BQ136)</f>
        <v>7397</v>
      </c>
      <c r="N136" t="e">
        <f>N87</f>
        <v>#REF!</v>
      </c>
      <c r="O136" t="e">
        <f>O87</f>
        <v>#REF!</v>
      </c>
      <c r="P136" t="e">
        <f>P87</f>
        <v>#REF!</v>
      </c>
      <c r="Q136" t="e">
        <f>Q87</f>
        <v>#REF!</v>
      </c>
      <c r="R136" t="e">
        <f>R87</f>
        <v>#REF!</v>
      </c>
      <c r="AG136" s="2"/>
      <c r="AX136">
        <v>1754</v>
      </c>
      <c r="AY136">
        <v>733</v>
      </c>
      <c r="AZ136">
        <v>129</v>
      </c>
      <c r="BA136">
        <v>-2026</v>
      </c>
      <c r="BB136">
        <v>-501</v>
      </c>
      <c r="BC136">
        <v>-2115</v>
      </c>
      <c r="BD136">
        <v>4405</v>
      </c>
      <c r="BE136">
        <v>2290</v>
      </c>
      <c r="BF136">
        <v>2406</v>
      </c>
      <c r="BG136">
        <v>338</v>
      </c>
      <c r="BH136">
        <v>1791</v>
      </c>
      <c r="BI136">
        <v>-1458</v>
      </c>
      <c r="BJ136">
        <v>1199</v>
      </c>
      <c r="BK136">
        <v>1797</v>
      </c>
      <c r="BL136">
        <v>1796</v>
      </c>
      <c r="BM136">
        <v>3039</v>
      </c>
      <c r="BN136">
        <v>1757</v>
      </c>
      <c r="BO136">
        <v>2113</v>
      </c>
      <c r="BP136">
        <v>1869</v>
      </c>
      <c r="BQ136">
        <v>1658</v>
      </c>
      <c r="BR136" t="e">
        <f>BR87</f>
        <v>#REF!</v>
      </c>
      <c r="BS136" t="e">
        <f>BS87</f>
        <v>#REF!</v>
      </c>
      <c r="BT136" t="e">
        <f>BT87</f>
        <v>#REF!</v>
      </c>
      <c r="BU136" t="e">
        <f>BU87</f>
        <v>#REF!</v>
      </c>
      <c r="BX136">
        <f>K136-SUM(BF136:BI136)</f>
        <v>0</v>
      </c>
      <c r="BZ136" t="e">
        <f>N136-SUM(BR136:BU136)</f>
        <v>#REF!</v>
      </c>
      <c r="CA136" s="2"/>
      <c r="CB136" s="2"/>
      <c r="CC136" s="2"/>
      <c r="CD136" s="2"/>
      <c r="CE136" s="2"/>
      <c r="CF136" s="2"/>
      <c r="CG136" s="2"/>
      <c r="CH136" s="2"/>
      <c r="CI136" s="2"/>
      <c r="CJ136" s="2"/>
      <c r="CK136" s="2"/>
      <c r="CL136" s="2"/>
      <c r="CM136" s="2"/>
      <c r="CN136" s="2"/>
      <c r="CO136" s="2"/>
      <c r="CP136" s="2"/>
    </row>
    <row r="137" spans="1:94">
      <c r="A137" t="s">
        <v>1009</v>
      </c>
      <c r="J137" s="56">
        <f t="shared" si="153"/>
        <v>83</v>
      </c>
      <c r="K137" s="56" t="e">
        <f t="shared" si="154"/>
        <v>#REF!</v>
      </c>
      <c r="L137" s="56" t="e">
        <f t="shared" si="155"/>
        <v>#REF!</v>
      </c>
      <c r="M137" s="56" t="e">
        <f t="shared" si="156"/>
        <v>#REF!</v>
      </c>
      <c r="AG137" s="2"/>
      <c r="BB137">
        <f t="shared" ref="BB137:BU137" si="157">-BB85</f>
        <v>11</v>
      </c>
      <c r="BC137">
        <f t="shared" si="157"/>
        <v>38</v>
      </c>
      <c r="BD137">
        <f t="shared" si="157"/>
        <v>9</v>
      </c>
      <c r="BE137">
        <f t="shared" si="157"/>
        <v>25</v>
      </c>
      <c r="BF137" t="e">
        <f t="shared" si="157"/>
        <v>#REF!</v>
      </c>
      <c r="BG137" t="e">
        <f t="shared" si="157"/>
        <v>#REF!</v>
      </c>
      <c r="BH137" t="e">
        <f t="shared" si="157"/>
        <v>#REF!</v>
      </c>
      <c r="BI137" t="e">
        <f t="shared" si="157"/>
        <v>#REF!</v>
      </c>
      <c r="BJ137" t="e">
        <f t="shared" si="157"/>
        <v>#REF!</v>
      </c>
      <c r="BK137" t="e">
        <f t="shared" si="157"/>
        <v>#REF!</v>
      </c>
      <c r="BL137" t="e">
        <f t="shared" si="157"/>
        <v>#REF!</v>
      </c>
      <c r="BM137" t="e">
        <f t="shared" si="157"/>
        <v>#REF!</v>
      </c>
      <c r="BN137" t="e">
        <f t="shared" si="157"/>
        <v>#REF!</v>
      </c>
      <c r="BO137" t="e">
        <f t="shared" si="157"/>
        <v>#REF!</v>
      </c>
      <c r="BP137" t="e">
        <f t="shared" si="157"/>
        <v>#REF!</v>
      </c>
      <c r="BQ137" t="e">
        <f t="shared" si="157"/>
        <v>#REF!</v>
      </c>
      <c r="BR137">
        <f t="shared" si="157"/>
        <v>0</v>
      </c>
      <c r="BS137">
        <f t="shared" si="157"/>
        <v>0</v>
      </c>
      <c r="BT137">
        <f t="shared" si="157"/>
        <v>0</v>
      </c>
      <c r="BU137">
        <f t="shared" si="157"/>
        <v>0</v>
      </c>
      <c r="CA137" s="2"/>
      <c r="CB137" s="2"/>
      <c r="CC137" s="2"/>
      <c r="CD137" s="2"/>
      <c r="CE137" s="2"/>
      <c r="CF137" s="2"/>
      <c r="CG137" s="2"/>
      <c r="CH137" s="2"/>
      <c r="CI137" s="2"/>
      <c r="CJ137" s="2"/>
      <c r="CK137" s="2"/>
      <c r="CL137" s="2"/>
      <c r="CM137" s="2"/>
      <c r="CN137" s="2"/>
      <c r="CO137" s="2"/>
      <c r="CP137" s="2"/>
    </row>
    <row r="138" spans="1:94">
      <c r="A138" s="78" t="s">
        <v>1010</v>
      </c>
      <c r="B138" s="2"/>
      <c r="C138" s="2"/>
      <c r="D138" s="2"/>
      <c r="E138" s="56"/>
      <c r="F138" s="56"/>
      <c r="G138" s="56"/>
      <c r="H138" s="56"/>
      <c r="I138" s="56"/>
      <c r="J138" s="56">
        <f t="shared" si="153"/>
        <v>0</v>
      </c>
      <c r="K138" s="56">
        <f t="shared" si="154"/>
        <v>931</v>
      </c>
      <c r="L138" s="56">
        <f t="shared" si="155"/>
        <v>0</v>
      </c>
      <c r="M138" s="56">
        <f t="shared" si="156"/>
        <v>0</v>
      </c>
      <c r="N138" s="71"/>
      <c r="O138" s="71"/>
      <c r="P138" s="71"/>
      <c r="Q138" s="71"/>
      <c r="R138" s="71"/>
      <c r="S138" s="56"/>
      <c r="T138" s="56"/>
      <c r="U138" s="56"/>
      <c r="V138" s="56"/>
      <c r="W138" s="56"/>
      <c r="X138" s="56"/>
      <c r="Y138" s="56"/>
      <c r="Z138" s="56"/>
      <c r="AA138" s="56"/>
      <c r="AB138" s="56"/>
      <c r="AC138" s="56"/>
      <c r="AD138" s="56"/>
      <c r="AE138" s="56"/>
      <c r="AF138" s="81"/>
      <c r="AG138" s="2"/>
      <c r="AH138" s="56"/>
      <c r="AI138" s="56"/>
      <c r="AJ138" s="56"/>
      <c r="AK138" s="56"/>
      <c r="AL138" s="56"/>
      <c r="AM138" s="56"/>
      <c r="AN138" s="56"/>
      <c r="AO138" s="56"/>
      <c r="AP138" s="56"/>
      <c r="AQ138" s="56"/>
      <c r="AR138" s="56"/>
      <c r="AS138" s="56"/>
      <c r="AT138" s="56"/>
      <c r="AU138" s="56"/>
      <c r="AV138" s="56"/>
      <c r="AW138" s="56"/>
      <c r="AX138" s="56"/>
      <c r="AY138" s="56"/>
      <c r="AZ138" s="56"/>
      <c r="BA138" s="56"/>
      <c r="BG138">
        <v>931</v>
      </c>
      <c r="BV138" s="2"/>
      <c r="BW138" s="2"/>
      <c r="BX138" s="58">
        <f t="shared" ref="BX138:BX151" si="158">K138-SUM(BF138:BI138)</f>
        <v>0</v>
      </c>
      <c r="BY138" s="2"/>
      <c r="BZ138" s="1">
        <f t="shared" ref="BZ138:BZ151" si="159">N138-SUM(BR138:BU138)</f>
        <v>0</v>
      </c>
      <c r="CA138" s="2"/>
      <c r="CB138" s="2"/>
      <c r="CC138" s="2"/>
      <c r="CD138" s="2"/>
      <c r="CE138" s="2"/>
      <c r="CF138" s="2"/>
      <c r="CG138" s="2"/>
      <c r="CH138" s="2"/>
      <c r="CI138" s="2"/>
      <c r="CJ138" s="2"/>
      <c r="CK138" s="2"/>
      <c r="CL138" s="2"/>
      <c r="CM138" s="2"/>
      <c r="CN138" s="2"/>
      <c r="CO138" s="2"/>
      <c r="CP138" s="2"/>
    </row>
    <row r="139" spans="1:94">
      <c r="A139" s="78" t="s">
        <v>1011</v>
      </c>
      <c r="B139" s="2"/>
      <c r="C139" s="2"/>
      <c r="D139" s="2"/>
      <c r="E139" s="56"/>
      <c r="F139" s="56"/>
      <c r="G139" s="56"/>
      <c r="H139" s="56"/>
      <c r="I139" s="56"/>
      <c r="J139" s="56">
        <f t="shared" si="153"/>
        <v>1264</v>
      </c>
      <c r="K139" s="56">
        <f t="shared" si="154"/>
        <v>3399</v>
      </c>
      <c r="L139" s="56">
        <f t="shared" si="155"/>
        <v>499</v>
      </c>
      <c r="M139" s="56">
        <f t="shared" si="156"/>
        <v>95</v>
      </c>
      <c r="N139" s="71"/>
      <c r="O139" s="71"/>
      <c r="P139" s="71"/>
      <c r="Q139" s="71"/>
      <c r="R139" s="71"/>
      <c r="S139" s="56"/>
      <c r="T139" s="56"/>
      <c r="U139" s="56"/>
      <c r="V139" s="56"/>
      <c r="W139" s="56"/>
      <c r="X139" s="56"/>
      <c r="Y139" s="56"/>
      <c r="Z139" s="56"/>
      <c r="AA139" s="56"/>
      <c r="AB139" s="56"/>
      <c r="AC139" s="56"/>
      <c r="AD139" s="56"/>
      <c r="AE139" s="56"/>
      <c r="AF139" s="81"/>
      <c r="AG139" s="2"/>
      <c r="AH139" s="56"/>
      <c r="AI139" s="56"/>
      <c r="AJ139" s="56"/>
      <c r="AK139" s="56"/>
      <c r="AL139" s="56"/>
      <c r="AM139" s="56"/>
      <c r="AN139" s="56"/>
      <c r="AO139" s="56"/>
      <c r="AP139" s="56"/>
      <c r="AQ139" s="56"/>
      <c r="AR139" s="56"/>
      <c r="AS139" s="56"/>
      <c r="AT139" s="56"/>
      <c r="AU139" s="56"/>
      <c r="AV139" s="56"/>
      <c r="AW139" s="56"/>
      <c r="AX139" s="56"/>
      <c r="AY139" s="56"/>
      <c r="AZ139" s="56"/>
      <c r="BA139" s="56"/>
      <c r="BC139">
        <v>475</v>
      </c>
      <c r="BD139">
        <v>185</v>
      </c>
      <c r="BE139">
        <v>604</v>
      </c>
      <c r="BG139">
        <v>436</v>
      </c>
      <c r="BH139">
        <v>81</v>
      </c>
      <c r="BI139">
        <v>2882</v>
      </c>
      <c r="BJ139">
        <v>446</v>
      </c>
      <c r="BK139">
        <v>19</v>
      </c>
      <c r="BL139">
        <v>20</v>
      </c>
      <c r="BM139">
        <v>14</v>
      </c>
      <c r="BQ139">
        <f>59+36</f>
        <v>95</v>
      </c>
      <c r="BV139" s="2"/>
      <c r="BW139" s="2"/>
      <c r="BX139" s="58">
        <f t="shared" si="158"/>
        <v>0</v>
      </c>
      <c r="BY139" s="2"/>
      <c r="BZ139" s="1">
        <f t="shared" si="159"/>
        <v>0</v>
      </c>
      <c r="CA139" s="2"/>
      <c r="CB139" s="2"/>
      <c r="CC139" s="2"/>
      <c r="CD139" s="2"/>
      <c r="CE139" s="2"/>
      <c r="CF139" s="2"/>
      <c r="CG139" s="2"/>
      <c r="CH139" s="2"/>
      <c r="CI139" s="2"/>
      <c r="CJ139" s="2"/>
      <c r="CK139" s="2"/>
      <c r="CL139" s="2"/>
      <c r="CM139" s="2"/>
      <c r="CN139" s="2"/>
      <c r="CO139" s="2"/>
      <c r="CP139" s="2"/>
    </row>
    <row r="140" spans="1:94">
      <c r="A140" s="78" t="s">
        <v>1012</v>
      </c>
      <c r="B140" s="2"/>
      <c r="C140" s="2"/>
      <c r="D140" s="2"/>
      <c r="E140" s="56"/>
      <c r="F140" s="56"/>
      <c r="G140" s="56"/>
      <c r="H140" s="56"/>
      <c r="I140" s="56"/>
      <c r="J140" s="56">
        <f t="shared" si="153"/>
        <v>496</v>
      </c>
      <c r="K140" s="56">
        <f t="shared" si="154"/>
        <v>-503</v>
      </c>
      <c r="L140" s="56">
        <f t="shared" si="155"/>
        <v>0</v>
      </c>
      <c r="M140" s="56">
        <f t="shared" si="156"/>
        <v>131</v>
      </c>
      <c r="N140" s="71"/>
      <c r="O140" s="71"/>
      <c r="P140" s="71"/>
      <c r="Q140" s="71"/>
      <c r="R140" s="71"/>
      <c r="S140" s="56"/>
      <c r="T140" s="56"/>
      <c r="U140" s="56"/>
      <c r="V140" s="56"/>
      <c r="W140" s="56"/>
      <c r="X140" s="56"/>
      <c r="Y140" s="56"/>
      <c r="Z140" s="56"/>
      <c r="AA140" s="56"/>
      <c r="AB140" s="56"/>
      <c r="AC140" s="56"/>
      <c r="AD140" s="56"/>
      <c r="AE140" s="56"/>
      <c r="AF140" s="81"/>
      <c r="AG140" s="2"/>
      <c r="AH140" s="56"/>
      <c r="AI140" s="56"/>
      <c r="AJ140" s="56"/>
      <c r="AK140" s="56"/>
      <c r="AL140" s="56"/>
      <c r="AM140" s="56"/>
      <c r="AN140" s="56"/>
      <c r="AO140" s="56"/>
      <c r="AP140" s="56"/>
      <c r="AQ140" s="56"/>
      <c r="AR140" s="56"/>
      <c r="AS140" s="56"/>
      <c r="AT140" s="56"/>
      <c r="AU140" s="56"/>
      <c r="AV140" s="56"/>
      <c r="AW140" s="56"/>
      <c r="AX140" s="56"/>
      <c r="AY140" s="56"/>
      <c r="AZ140" s="56"/>
      <c r="BA140" s="56"/>
      <c r="BB140">
        <v>496</v>
      </c>
      <c r="BF140">
        <v>-503</v>
      </c>
      <c r="BP140">
        <v>131</v>
      </c>
      <c r="BV140" s="2"/>
      <c r="BW140" s="2"/>
      <c r="BX140" s="58">
        <f t="shared" si="158"/>
        <v>0</v>
      </c>
      <c r="BY140" s="2"/>
      <c r="BZ140" s="1">
        <f t="shared" si="159"/>
        <v>0</v>
      </c>
      <c r="CA140" s="2"/>
      <c r="CB140" s="2"/>
      <c r="CC140" s="2"/>
      <c r="CD140" s="2"/>
      <c r="CE140" s="2"/>
      <c r="CF140" s="2"/>
      <c r="CG140" s="2"/>
      <c r="CH140" s="2"/>
      <c r="CI140" s="2"/>
      <c r="CJ140" s="2"/>
      <c r="CK140" s="2"/>
      <c r="CL140" s="2"/>
      <c r="CM140" s="2"/>
      <c r="CN140" s="2"/>
      <c r="CO140" s="2"/>
      <c r="CP140" s="2"/>
    </row>
    <row r="141" spans="1:94">
      <c r="A141" s="78" t="s">
        <v>1013</v>
      </c>
      <c r="B141" s="2"/>
      <c r="C141" s="2"/>
      <c r="D141" s="2"/>
      <c r="E141" s="56"/>
      <c r="F141" s="56"/>
      <c r="G141" s="56"/>
      <c r="H141" s="56"/>
      <c r="I141" s="56"/>
      <c r="J141" s="56">
        <f t="shared" si="153"/>
        <v>0</v>
      </c>
      <c r="K141" s="56">
        <f t="shared" si="154"/>
        <v>204</v>
      </c>
      <c r="L141" s="56">
        <f t="shared" si="155"/>
        <v>0</v>
      </c>
      <c r="M141" s="56">
        <f t="shared" si="156"/>
        <v>0</v>
      </c>
      <c r="N141" s="71"/>
      <c r="O141" s="71"/>
      <c r="P141" s="71"/>
      <c r="Q141" s="71"/>
      <c r="R141" s="71"/>
      <c r="S141" s="56"/>
      <c r="T141" s="56"/>
      <c r="U141" s="56"/>
      <c r="V141" s="56"/>
      <c r="W141" s="56"/>
      <c r="X141" s="56"/>
      <c r="Y141" s="56"/>
      <c r="Z141" s="56"/>
      <c r="AA141" s="56"/>
      <c r="AB141" s="56"/>
      <c r="AC141" s="56"/>
      <c r="AD141" s="56"/>
      <c r="AE141" s="56"/>
      <c r="AF141" s="81"/>
      <c r="AG141" s="2"/>
      <c r="AH141" s="56"/>
      <c r="AI141" s="56"/>
      <c r="AJ141" s="56"/>
      <c r="AK141" s="56"/>
      <c r="AL141" s="56"/>
      <c r="AM141" s="56"/>
      <c r="AN141" s="56"/>
      <c r="AO141" s="56"/>
      <c r="AP141" s="56"/>
      <c r="AQ141" s="56"/>
      <c r="AR141" s="56"/>
      <c r="AS141" s="56"/>
      <c r="AT141" s="56"/>
      <c r="AU141" s="56"/>
      <c r="AV141" s="56"/>
      <c r="AW141" s="56"/>
      <c r="AX141" s="56"/>
      <c r="AY141" s="56"/>
      <c r="AZ141" s="56"/>
      <c r="BA141" s="56"/>
      <c r="BG141">
        <v>204</v>
      </c>
      <c r="BV141" s="2"/>
      <c r="BW141" s="2"/>
      <c r="BX141" s="58">
        <f t="shared" si="158"/>
        <v>0</v>
      </c>
      <c r="BY141" s="2"/>
      <c r="BZ141" s="1">
        <f t="shared" si="159"/>
        <v>0</v>
      </c>
      <c r="CA141" s="2"/>
      <c r="CB141" s="2"/>
      <c r="CC141" s="2"/>
      <c r="CD141" s="2"/>
      <c r="CE141" s="2"/>
      <c r="CF141" s="2"/>
      <c r="CG141" s="2"/>
      <c r="CH141" s="2"/>
      <c r="CI141" s="2"/>
      <c r="CJ141" s="2"/>
      <c r="CK141" s="2"/>
      <c r="CL141" s="2"/>
      <c r="CM141" s="2"/>
      <c r="CN141" s="2"/>
      <c r="CO141" s="2"/>
      <c r="CP141" s="2"/>
    </row>
    <row r="142" spans="1:94">
      <c r="A142" s="78" t="s">
        <v>1014</v>
      </c>
      <c r="B142" s="2"/>
      <c r="C142" s="2"/>
      <c r="D142" s="2"/>
      <c r="E142" s="56"/>
      <c r="F142" s="56"/>
      <c r="G142" s="56"/>
      <c r="H142" s="56"/>
      <c r="I142" s="56"/>
      <c r="J142" s="56">
        <f t="shared" si="153"/>
        <v>0</v>
      </c>
      <c r="K142" s="56">
        <f t="shared" si="154"/>
        <v>0</v>
      </c>
      <c r="L142" s="56">
        <f t="shared" si="155"/>
        <v>0</v>
      </c>
      <c r="M142" s="56">
        <f t="shared" si="156"/>
        <v>0</v>
      </c>
      <c r="N142" s="71"/>
      <c r="O142" s="71"/>
      <c r="P142" s="71"/>
      <c r="Q142" s="71"/>
      <c r="R142" s="71"/>
      <c r="S142" s="56"/>
      <c r="T142" s="56"/>
      <c r="U142" s="56"/>
      <c r="V142" s="56"/>
      <c r="W142" s="56"/>
      <c r="X142" s="56"/>
      <c r="Y142" s="56"/>
      <c r="Z142" s="56"/>
      <c r="AA142" s="56"/>
      <c r="AB142" s="56"/>
      <c r="AC142" s="56"/>
      <c r="AD142" s="56"/>
      <c r="AE142" s="56"/>
      <c r="AF142" s="81"/>
      <c r="AG142" s="2"/>
      <c r="AH142" s="56"/>
      <c r="AI142" s="56"/>
      <c r="AJ142" s="56"/>
      <c r="AK142" s="56"/>
      <c r="AL142" s="56"/>
      <c r="AM142" s="56"/>
      <c r="AN142" s="56"/>
      <c r="AO142" s="56"/>
      <c r="AP142" s="56"/>
      <c r="AQ142" s="56"/>
      <c r="AR142" s="56"/>
      <c r="AS142" s="56"/>
      <c r="AT142" s="56"/>
      <c r="AU142" s="56"/>
      <c r="AV142" s="56"/>
      <c r="AW142" s="56"/>
      <c r="AX142" s="56"/>
      <c r="AY142" s="56"/>
      <c r="AZ142" s="56"/>
      <c r="BA142" s="56"/>
      <c r="BV142" s="2"/>
      <c r="BW142" s="2"/>
      <c r="BX142" s="58">
        <f t="shared" si="158"/>
        <v>0</v>
      </c>
      <c r="BY142" s="2"/>
      <c r="BZ142" s="1">
        <f t="shared" si="159"/>
        <v>0</v>
      </c>
      <c r="CA142" s="2"/>
      <c r="CB142" s="2"/>
      <c r="CC142" s="2"/>
      <c r="CD142" s="2"/>
      <c r="CE142" s="2"/>
      <c r="CF142" s="2"/>
      <c r="CG142" s="2"/>
      <c r="CH142" s="2"/>
      <c r="CI142" s="2"/>
      <c r="CJ142" s="2"/>
      <c r="CK142" s="2"/>
      <c r="CL142" s="2"/>
      <c r="CM142" s="2"/>
      <c r="CN142" s="2"/>
      <c r="CO142" s="2"/>
      <c r="CP142" s="2"/>
    </row>
    <row r="143" spans="1:94">
      <c r="A143" s="78" t="s">
        <v>1015</v>
      </c>
      <c r="B143" s="2"/>
      <c r="C143" s="2"/>
      <c r="D143" s="2"/>
      <c r="E143" s="56"/>
      <c r="F143" s="56"/>
      <c r="G143" s="56"/>
      <c r="H143" s="56"/>
      <c r="I143" s="56"/>
      <c r="J143" s="56">
        <f t="shared" si="153"/>
        <v>0</v>
      </c>
      <c r="K143" s="56">
        <f t="shared" si="154"/>
        <v>0</v>
      </c>
      <c r="L143" s="56">
        <f t="shared" si="155"/>
        <v>0</v>
      </c>
      <c r="M143" s="56">
        <f t="shared" si="156"/>
        <v>0</v>
      </c>
      <c r="N143" s="71"/>
      <c r="O143" s="71"/>
      <c r="P143" s="71"/>
      <c r="Q143" s="71"/>
      <c r="R143" s="71"/>
      <c r="S143" s="56"/>
      <c r="T143" s="56"/>
      <c r="U143" s="56"/>
      <c r="V143" s="56"/>
      <c r="W143" s="56"/>
      <c r="X143" s="56"/>
      <c r="Y143" s="56"/>
      <c r="Z143" s="56"/>
      <c r="AA143" s="56"/>
      <c r="AB143" s="56"/>
      <c r="AC143" s="56"/>
      <c r="AD143" s="56"/>
      <c r="AE143" s="56"/>
      <c r="AF143" s="81"/>
      <c r="AG143" s="2"/>
      <c r="AH143" s="56"/>
      <c r="AI143" s="56"/>
      <c r="AJ143" s="56"/>
      <c r="AK143" s="56"/>
      <c r="AL143" s="56"/>
      <c r="AM143" s="56"/>
      <c r="AN143" s="56"/>
      <c r="AO143" s="56"/>
      <c r="AP143" s="56"/>
      <c r="AQ143" s="56"/>
      <c r="AR143" s="56"/>
      <c r="AS143" s="56"/>
      <c r="AT143" s="56"/>
      <c r="AU143" s="56"/>
      <c r="AV143" s="56"/>
      <c r="AW143" s="56"/>
      <c r="AX143" s="56"/>
      <c r="AY143" s="56"/>
      <c r="AZ143" s="56"/>
      <c r="BA143" s="56"/>
      <c r="BV143" s="2"/>
      <c r="BW143" s="2"/>
      <c r="BX143" s="58">
        <f t="shared" si="158"/>
        <v>0</v>
      </c>
      <c r="BY143" s="2"/>
      <c r="BZ143" s="1">
        <f t="shared" si="159"/>
        <v>0</v>
      </c>
      <c r="CA143" s="2"/>
      <c r="CB143" s="2"/>
      <c r="CC143" s="2"/>
      <c r="CD143" s="2"/>
      <c r="CE143" s="2"/>
      <c r="CF143" s="2"/>
      <c r="CG143" s="2"/>
      <c r="CH143" s="2"/>
      <c r="CI143" s="2"/>
      <c r="CJ143" s="2"/>
      <c r="CK143" s="2"/>
      <c r="CL143" s="2"/>
      <c r="CM143" s="2"/>
      <c r="CN143" s="2"/>
      <c r="CO143" s="2"/>
      <c r="CP143" s="2"/>
    </row>
    <row r="144" spans="1:94">
      <c r="A144" s="78" t="s">
        <v>1016</v>
      </c>
      <c r="B144" s="2"/>
      <c r="C144" s="2"/>
      <c r="D144" s="2"/>
      <c r="E144" s="2"/>
      <c r="F144" s="2"/>
      <c r="G144" s="2"/>
      <c r="H144" s="2"/>
      <c r="I144" s="2"/>
      <c r="J144" s="56">
        <f t="shared" si="153"/>
        <v>-1895</v>
      </c>
      <c r="K144" s="56">
        <f t="shared" si="154"/>
        <v>0</v>
      </c>
      <c r="L144" s="56">
        <f t="shared" si="155"/>
        <v>-1016</v>
      </c>
      <c r="M144" s="56">
        <f t="shared" si="156"/>
        <v>-336</v>
      </c>
      <c r="N144" s="4"/>
      <c r="O144" s="4"/>
      <c r="P144" s="4"/>
      <c r="Q144" s="4"/>
      <c r="R144" s="4"/>
      <c r="S144" s="2"/>
      <c r="T144" s="2"/>
      <c r="U144" s="2"/>
      <c r="V144" s="2"/>
      <c r="W144" s="2"/>
      <c r="X144" s="2"/>
      <c r="Y144" s="2"/>
      <c r="Z144" s="2"/>
      <c r="AA144" s="2"/>
      <c r="AB144" s="2"/>
      <c r="AC144" s="2"/>
      <c r="AD144" s="2"/>
      <c r="AE144" s="2"/>
      <c r="AF144" s="47"/>
      <c r="AG144" s="2"/>
      <c r="AH144" s="2"/>
      <c r="AI144" s="2"/>
      <c r="AJ144" s="2"/>
      <c r="AK144" s="2"/>
      <c r="AL144" s="2"/>
      <c r="AM144" s="2"/>
      <c r="AN144" s="2"/>
      <c r="AO144" s="2"/>
      <c r="AP144" s="2"/>
      <c r="AQ144" s="2"/>
      <c r="AR144" s="2"/>
      <c r="AS144" s="2"/>
      <c r="AT144" s="2"/>
      <c r="AU144" s="2"/>
      <c r="AV144" s="2"/>
      <c r="AW144" s="2"/>
      <c r="AX144" s="2"/>
      <c r="AY144" s="2"/>
      <c r="AZ144" s="2"/>
      <c r="BA144" s="2"/>
      <c r="BB144">
        <v>-116</v>
      </c>
      <c r="BD144">
        <v>-1779</v>
      </c>
      <c r="BM144">
        <v>-1016</v>
      </c>
      <c r="BO144">
        <v>-336</v>
      </c>
      <c r="BV144" s="2"/>
      <c r="BW144" s="2"/>
      <c r="BX144" s="58">
        <f t="shared" si="158"/>
        <v>0</v>
      </c>
      <c r="BY144" s="2"/>
      <c r="BZ144" s="1">
        <f t="shared" si="159"/>
        <v>0</v>
      </c>
      <c r="CA144" s="2"/>
      <c r="CB144" s="2"/>
      <c r="CC144" s="2"/>
      <c r="CD144" s="2"/>
      <c r="CE144" s="2"/>
      <c r="CF144" s="2"/>
      <c r="CG144" s="2"/>
      <c r="CH144" s="2"/>
      <c r="CI144" s="2"/>
      <c r="CJ144" s="2"/>
      <c r="CK144" s="2"/>
      <c r="CL144" s="2"/>
      <c r="CM144" s="2"/>
      <c r="CN144" s="2"/>
      <c r="CO144" s="2"/>
      <c r="CP144" s="2"/>
    </row>
    <row r="145" spans="1:94">
      <c r="A145" s="78" t="s">
        <v>1017</v>
      </c>
      <c r="B145" s="2"/>
      <c r="C145" s="2"/>
      <c r="D145" s="2"/>
      <c r="E145" s="2"/>
      <c r="F145" s="2"/>
      <c r="G145" s="2"/>
      <c r="H145" s="2"/>
      <c r="I145" s="2"/>
      <c r="J145" s="56">
        <f t="shared" si="153"/>
        <v>288</v>
      </c>
      <c r="K145" s="56">
        <f t="shared" si="154"/>
        <v>0</v>
      </c>
      <c r="L145" s="56">
        <f t="shared" si="155"/>
        <v>0</v>
      </c>
      <c r="M145" s="56">
        <f t="shared" si="156"/>
        <v>29</v>
      </c>
      <c r="N145" s="4"/>
      <c r="O145" s="4"/>
      <c r="P145" s="4"/>
      <c r="Q145" s="4"/>
      <c r="R145" s="4"/>
      <c r="S145" s="2"/>
      <c r="T145" s="2"/>
      <c r="U145" s="2"/>
      <c r="V145" s="2"/>
      <c r="W145" s="2"/>
      <c r="X145" s="2"/>
      <c r="Y145" s="2"/>
      <c r="Z145" s="2"/>
      <c r="AA145" s="2"/>
      <c r="AB145" s="2"/>
      <c r="AC145" s="2"/>
      <c r="AD145" s="2"/>
      <c r="AE145" s="2"/>
      <c r="AF145" s="47"/>
      <c r="AG145" s="2"/>
      <c r="AH145" s="2"/>
      <c r="AI145" s="2"/>
      <c r="AJ145" s="2"/>
      <c r="AK145" s="2"/>
      <c r="AL145" s="2"/>
      <c r="AM145" s="2"/>
      <c r="AN145" s="2"/>
      <c r="AO145" s="2"/>
      <c r="AP145" s="2"/>
      <c r="AQ145" s="2"/>
      <c r="AR145" s="2"/>
      <c r="AS145" s="2"/>
      <c r="AT145" s="2"/>
      <c r="AU145" s="2"/>
      <c r="AV145" s="2"/>
      <c r="AW145" s="2"/>
      <c r="AX145" s="2"/>
      <c r="AY145" s="2"/>
      <c r="AZ145" s="2"/>
      <c r="BA145" s="2"/>
      <c r="BB145">
        <v>52</v>
      </c>
      <c r="BC145">
        <v>57</v>
      </c>
      <c r="BD145">
        <v>50</v>
      </c>
      <c r="BE145">
        <v>129</v>
      </c>
      <c r="BQ145">
        <v>29</v>
      </c>
      <c r="BV145" s="2"/>
      <c r="BW145" s="2"/>
      <c r="BX145" s="58">
        <f t="shared" si="158"/>
        <v>0</v>
      </c>
      <c r="BY145" s="2"/>
      <c r="BZ145" s="1">
        <f t="shared" si="159"/>
        <v>0</v>
      </c>
      <c r="CA145" s="2"/>
      <c r="CB145" s="2"/>
      <c r="CC145" s="2"/>
      <c r="CD145" s="2"/>
      <c r="CE145" s="2"/>
      <c r="CF145" s="2"/>
      <c r="CG145" s="2"/>
      <c r="CH145" s="2"/>
      <c r="CI145" s="2"/>
      <c r="CJ145" s="2"/>
      <c r="CK145" s="2"/>
      <c r="CL145" s="2"/>
      <c r="CM145" s="2"/>
      <c r="CN145" s="2"/>
      <c r="CO145" s="2"/>
      <c r="CP145" s="2"/>
    </row>
    <row r="146" spans="1:94">
      <c r="A146" s="78" t="s">
        <v>1018</v>
      </c>
      <c r="B146" s="2"/>
      <c r="C146" s="2"/>
      <c r="D146" s="2"/>
      <c r="E146" s="2"/>
      <c r="F146" s="2"/>
      <c r="G146" s="2"/>
      <c r="H146" s="2"/>
      <c r="I146" s="2"/>
      <c r="J146" s="56">
        <f t="shared" si="153"/>
        <v>0</v>
      </c>
      <c r="K146" s="56">
        <v>-44</v>
      </c>
      <c r="L146" s="56">
        <f t="shared" si="155"/>
        <v>0</v>
      </c>
      <c r="M146" s="56">
        <f t="shared" si="156"/>
        <v>-37</v>
      </c>
      <c r="N146" s="4"/>
      <c r="O146" s="4"/>
      <c r="P146" s="4"/>
      <c r="Q146" s="4"/>
      <c r="R146" s="4"/>
      <c r="S146" s="2"/>
      <c r="T146" s="2"/>
      <c r="U146" s="2"/>
      <c r="V146" s="2"/>
      <c r="W146" s="2"/>
      <c r="X146" s="2"/>
      <c r="Y146" s="2"/>
      <c r="Z146" s="2"/>
      <c r="AA146" s="2"/>
      <c r="AB146" s="2"/>
      <c r="AC146" s="2"/>
      <c r="AD146" s="2"/>
      <c r="AE146" s="2"/>
      <c r="AF146" s="47"/>
      <c r="AG146" s="2"/>
      <c r="AH146" s="2"/>
      <c r="AI146" s="2"/>
      <c r="AJ146" s="2"/>
      <c r="AK146" s="2"/>
      <c r="AL146" s="2"/>
      <c r="AM146" s="2"/>
      <c r="AN146" s="2"/>
      <c r="AO146" s="2"/>
      <c r="AP146" s="2"/>
      <c r="AQ146" s="2"/>
      <c r="AR146" s="2"/>
      <c r="AS146" s="2"/>
      <c r="AT146" s="2"/>
      <c r="AU146" s="2"/>
      <c r="AV146" s="2"/>
      <c r="AW146" s="2"/>
      <c r="AX146" s="2"/>
      <c r="AY146" s="2"/>
      <c r="AZ146" s="2"/>
      <c r="BA146" s="2"/>
      <c r="BI146">
        <v>-44</v>
      </c>
      <c r="BP146">
        <v>-37</v>
      </c>
      <c r="BV146" s="2"/>
      <c r="BW146" s="2"/>
      <c r="BX146" s="58">
        <f t="shared" si="158"/>
        <v>0</v>
      </c>
      <c r="BY146" s="2"/>
      <c r="BZ146" s="1">
        <f t="shared" si="159"/>
        <v>0</v>
      </c>
      <c r="CA146" s="2"/>
      <c r="CB146" s="2"/>
      <c r="CC146" s="2"/>
      <c r="CD146" s="2"/>
      <c r="CE146" s="2"/>
      <c r="CF146" s="2"/>
      <c r="CG146" s="2"/>
      <c r="CH146" s="2"/>
      <c r="CI146" s="2"/>
      <c r="CJ146" s="2"/>
      <c r="CK146" s="2"/>
      <c r="CL146" s="2"/>
      <c r="CM146" s="2"/>
      <c r="CN146" s="2"/>
      <c r="CO146" s="2"/>
      <c r="CP146" s="2"/>
    </row>
    <row r="147" spans="1:94">
      <c r="A147" s="78" t="s">
        <v>1019</v>
      </c>
      <c r="B147" s="2"/>
      <c r="C147" s="2"/>
      <c r="D147" s="2"/>
      <c r="E147" s="2"/>
      <c r="F147" s="2"/>
      <c r="G147" s="2"/>
      <c r="H147" s="2"/>
      <c r="I147" s="2">
        <f>SUM(AX147:BA147)</f>
        <v>5716</v>
      </c>
      <c r="J147" s="56">
        <f t="shared" si="153"/>
        <v>5652</v>
      </c>
      <c r="K147" s="56">
        <f t="shared" ref="K147:K152" si="160">SUM(BF147:BI147)</f>
        <v>0</v>
      </c>
      <c r="L147" s="56">
        <f t="shared" si="155"/>
        <v>-43</v>
      </c>
      <c r="M147" s="56">
        <f t="shared" si="156"/>
        <v>0</v>
      </c>
      <c r="N147" s="4"/>
      <c r="O147" s="4"/>
      <c r="P147" s="4"/>
      <c r="Q147" s="4"/>
      <c r="R147" s="4"/>
      <c r="S147" s="2"/>
      <c r="T147" s="2"/>
      <c r="U147" s="2"/>
      <c r="V147" s="2"/>
      <c r="W147" s="2"/>
      <c r="X147" s="2"/>
      <c r="Y147" s="2"/>
      <c r="Z147" s="2"/>
      <c r="AA147" s="2"/>
      <c r="AB147" s="2"/>
      <c r="AC147" s="2"/>
      <c r="AD147" s="2"/>
      <c r="AE147" s="2"/>
      <c r="AF147" s="47"/>
      <c r="AG147" s="2"/>
      <c r="AH147" s="2"/>
      <c r="AI147" s="2"/>
      <c r="AJ147" s="2"/>
      <c r="AK147" s="2"/>
      <c r="AL147" s="2"/>
      <c r="AM147" s="2"/>
      <c r="AN147" s="2"/>
      <c r="AO147" s="2"/>
      <c r="AP147" s="2"/>
      <c r="AQ147" s="2"/>
      <c r="AR147" s="2"/>
      <c r="AS147" s="2"/>
      <c r="AT147" s="2"/>
      <c r="AU147" s="2"/>
      <c r="AV147" s="2"/>
      <c r="AW147" s="2"/>
      <c r="AX147" s="56">
        <v>-49</v>
      </c>
      <c r="AY147" s="56">
        <v>3864</v>
      </c>
      <c r="AZ147" s="56">
        <v>-32</v>
      </c>
      <c r="BA147" s="56">
        <v>1933</v>
      </c>
      <c r="BB147">
        <v>2026</v>
      </c>
      <c r="BC147">
        <v>3305</v>
      </c>
      <c r="BD147">
        <v>74</v>
      </c>
      <c r="BE147">
        <v>247</v>
      </c>
      <c r="BJ147">
        <v>-43</v>
      </c>
      <c r="BV147" s="2"/>
      <c r="BW147" s="2"/>
      <c r="BX147" s="58">
        <f t="shared" si="158"/>
        <v>0</v>
      </c>
      <c r="BY147" s="2"/>
      <c r="BZ147" s="1">
        <f t="shared" si="159"/>
        <v>0</v>
      </c>
      <c r="CA147" s="2"/>
      <c r="CB147" s="2"/>
      <c r="CC147" s="2"/>
      <c r="CD147" s="2"/>
      <c r="CE147" s="2"/>
      <c r="CF147" s="2"/>
      <c r="CG147" s="2"/>
      <c r="CH147" s="2"/>
      <c r="CI147" s="2"/>
      <c r="CJ147" s="2"/>
      <c r="CK147" s="2"/>
      <c r="CL147" s="2"/>
      <c r="CM147" s="2"/>
      <c r="CN147" s="2"/>
      <c r="CO147" s="2"/>
      <c r="CP147" s="2"/>
    </row>
    <row r="148" spans="1:94">
      <c r="A148" s="78" t="s">
        <v>955</v>
      </c>
      <c r="B148" s="2"/>
      <c r="C148" s="2"/>
      <c r="D148" s="2"/>
      <c r="E148" s="2"/>
      <c r="F148" s="2"/>
      <c r="G148" s="2"/>
      <c r="H148" s="2"/>
      <c r="I148" s="2">
        <f>SUM(AX148:BA148)</f>
        <v>1884</v>
      </c>
      <c r="J148" s="56">
        <f t="shared" si="153"/>
        <v>210</v>
      </c>
      <c r="K148" s="56">
        <f t="shared" si="160"/>
        <v>215</v>
      </c>
      <c r="L148" s="56">
        <f t="shared" si="155"/>
        <v>-2</v>
      </c>
      <c r="M148" s="56">
        <f t="shared" si="156"/>
        <v>2</v>
      </c>
      <c r="N148" s="4"/>
      <c r="O148" s="4"/>
      <c r="P148" s="4"/>
      <c r="Q148" s="4"/>
      <c r="R148" s="4"/>
      <c r="S148" s="2"/>
      <c r="T148" s="2"/>
      <c r="U148" s="2"/>
      <c r="V148" s="2"/>
      <c r="W148" s="2"/>
      <c r="X148" s="2"/>
      <c r="Y148" s="2"/>
      <c r="Z148" s="2"/>
      <c r="AA148" s="2"/>
      <c r="AB148" s="2"/>
      <c r="AC148" s="2"/>
      <c r="AD148" s="2"/>
      <c r="AE148" s="2"/>
      <c r="AF148" s="47"/>
      <c r="AG148" s="2"/>
      <c r="AH148" s="2"/>
      <c r="AI148" s="2"/>
      <c r="AJ148" s="2"/>
      <c r="AK148" s="2"/>
      <c r="AL148" s="2"/>
      <c r="AM148" s="2"/>
      <c r="AN148" s="2"/>
      <c r="AO148" s="2"/>
      <c r="AP148" s="2"/>
      <c r="AQ148" s="2"/>
      <c r="AR148" s="2"/>
      <c r="AS148" s="2"/>
      <c r="AT148" s="2"/>
      <c r="AU148" s="2"/>
      <c r="AV148" s="2"/>
      <c r="AW148" s="2"/>
      <c r="AX148" s="56">
        <v>251</v>
      </c>
      <c r="AY148" s="56">
        <v>-2496</v>
      </c>
      <c r="AZ148" s="56">
        <v>1943</v>
      </c>
      <c r="BA148" s="56">
        <v>2186</v>
      </c>
      <c r="BB148">
        <v>12</v>
      </c>
      <c r="BD148">
        <v>156</v>
      </c>
      <c r="BE148">
        <v>42</v>
      </c>
      <c r="BI148">
        <v>215</v>
      </c>
      <c r="BJ148">
        <v>27</v>
      </c>
      <c r="BK148">
        <v>-29</v>
      </c>
      <c r="BQ148">
        <v>2</v>
      </c>
      <c r="BV148" s="2"/>
      <c r="BW148" s="2"/>
      <c r="BX148" s="58">
        <f t="shared" si="158"/>
        <v>0</v>
      </c>
      <c r="BY148" s="2"/>
      <c r="BZ148" s="1">
        <f t="shared" si="159"/>
        <v>0</v>
      </c>
      <c r="CA148" s="2"/>
      <c r="CB148" s="2"/>
      <c r="CC148" s="2"/>
      <c r="CD148" s="2"/>
      <c r="CE148" s="2"/>
      <c r="CF148" s="2"/>
      <c r="CG148" s="2"/>
      <c r="CH148" s="2"/>
      <c r="CI148" s="2"/>
      <c r="CJ148" s="2"/>
      <c r="CK148" s="2"/>
      <c r="CL148" s="2"/>
      <c r="CM148" s="2"/>
      <c r="CN148" s="2"/>
      <c r="CO148" s="2"/>
      <c r="CP148" s="2"/>
    </row>
    <row r="149" spans="1:94">
      <c r="A149" s="78" t="s">
        <v>1020</v>
      </c>
      <c r="B149" s="2"/>
      <c r="C149" s="2"/>
      <c r="D149" s="2"/>
      <c r="E149" s="2"/>
      <c r="F149" s="2"/>
      <c r="G149" s="2"/>
      <c r="H149" s="2"/>
      <c r="I149" s="2"/>
      <c r="J149" s="56">
        <f t="shared" si="153"/>
        <v>259</v>
      </c>
      <c r="K149" s="56">
        <f t="shared" si="160"/>
        <v>0</v>
      </c>
      <c r="L149" s="56">
        <f t="shared" si="155"/>
        <v>0</v>
      </c>
      <c r="M149" s="56">
        <f t="shared" si="156"/>
        <v>0</v>
      </c>
      <c r="N149" s="4"/>
      <c r="O149" s="4"/>
      <c r="P149" s="4"/>
      <c r="Q149" s="4"/>
      <c r="R149" s="4"/>
      <c r="S149" s="2"/>
      <c r="T149" s="2"/>
      <c r="U149" s="2"/>
      <c r="V149" s="2"/>
      <c r="W149" s="2"/>
      <c r="X149" s="2"/>
      <c r="Y149" s="2"/>
      <c r="Z149" s="2"/>
      <c r="AA149" s="2"/>
      <c r="AB149" s="2"/>
      <c r="AC149" s="2"/>
      <c r="AD149" s="2"/>
      <c r="AE149" s="2"/>
      <c r="AF149" s="47"/>
      <c r="AG149" s="2"/>
      <c r="AH149" s="2"/>
      <c r="AI149" s="2"/>
      <c r="AJ149" s="2"/>
      <c r="AK149" s="2"/>
      <c r="AL149" s="2"/>
      <c r="AM149" s="2"/>
      <c r="AN149" s="2"/>
      <c r="AO149" s="2"/>
      <c r="AP149" s="2"/>
      <c r="AQ149" s="2"/>
      <c r="AR149" s="2"/>
      <c r="AS149" s="2"/>
      <c r="AT149" s="2"/>
      <c r="AU149" s="2"/>
      <c r="AV149" s="2"/>
      <c r="AW149" s="2"/>
      <c r="AX149" s="2"/>
      <c r="AY149" s="2"/>
      <c r="AZ149" s="2"/>
      <c r="BA149" s="2"/>
      <c r="BC149">
        <v>259</v>
      </c>
      <c r="BV149" s="2"/>
      <c r="BW149" s="2"/>
      <c r="BX149" s="58">
        <f t="shared" si="158"/>
        <v>0</v>
      </c>
      <c r="BY149" s="2"/>
      <c r="BZ149" s="1">
        <f t="shared" si="159"/>
        <v>0</v>
      </c>
      <c r="CA149" s="2"/>
      <c r="CB149" s="2"/>
      <c r="CC149" s="2"/>
      <c r="CD149" s="2"/>
      <c r="CE149" s="2"/>
      <c r="CF149" s="2"/>
      <c r="CG149" s="2"/>
      <c r="CH149" s="2"/>
      <c r="CI149" s="2"/>
      <c r="CJ149" s="2"/>
      <c r="CK149" s="2"/>
      <c r="CL149" s="2"/>
      <c r="CM149" s="2"/>
      <c r="CN149" s="2"/>
      <c r="CO149" s="2"/>
      <c r="CP149" s="2"/>
    </row>
    <row r="150" spans="1:94">
      <c r="A150" s="78" t="s">
        <v>1021</v>
      </c>
      <c r="B150" s="2"/>
      <c r="C150" s="2"/>
      <c r="D150" s="2"/>
      <c r="E150" s="2"/>
      <c r="F150" s="2"/>
      <c r="G150" s="2"/>
      <c r="H150" s="2"/>
      <c r="I150" s="2"/>
      <c r="J150" s="56">
        <f t="shared" si="153"/>
        <v>114</v>
      </c>
      <c r="K150" s="56">
        <f t="shared" si="160"/>
        <v>0</v>
      </c>
      <c r="L150" s="56">
        <f t="shared" si="155"/>
        <v>0</v>
      </c>
      <c r="M150" s="56">
        <f t="shared" si="156"/>
        <v>0</v>
      </c>
      <c r="N150" s="4"/>
      <c r="O150" s="4"/>
      <c r="P150" s="4"/>
      <c r="Q150" s="4"/>
      <c r="R150" s="4"/>
      <c r="S150" s="2"/>
      <c r="T150" s="2"/>
      <c r="U150" s="2"/>
      <c r="V150" s="2"/>
      <c r="W150" s="2"/>
      <c r="X150" s="2"/>
      <c r="Y150" s="2"/>
      <c r="Z150" s="2"/>
      <c r="AA150" s="2"/>
      <c r="AB150" s="2"/>
      <c r="AC150" s="2"/>
      <c r="AD150" s="2"/>
      <c r="AE150" s="2"/>
      <c r="AF150" s="47"/>
      <c r="AG150" s="2"/>
      <c r="AH150" s="2"/>
      <c r="AI150" s="2"/>
      <c r="AJ150" s="2"/>
      <c r="AK150" s="2"/>
      <c r="AL150" s="2"/>
      <c r="AM150" s="2"/>
      <c r="AN150" s="2"/>
      <c r="AO150" s="2"/>
      <c r="AP150" s="2"/>
      <c r="AQ150" s="2"/>
      <c r="AR150" s="2"/>
      <c r="AS150" s="2"/>
      <c r="AT150" s="2"/>
      <c r="AU150" s="2"/>
      <c r="AV150" s="2"/>
      <c r="AW150" s="2"/>
      <c r="AX150" s="2"/>
      <c r="AY150" s="2"/>
      <c r="AZ150" s="2"/>
      <c r="BA150" s="2"/>
      <c r="BC150">
        <v>114</v>
      </c>
      <c r="BV150" s="2"/>
      <c r="BW150" s="2"/>
      <c r="BX150" s="58">
        <f t="shared" si="158"/>
        <v>0</v>
      </c>
      <c r="BY150" s="2"/>
      <c r="BZ150" s="1">
        <f t="shared" si="159"/>
        <v>0</v>
      </c>
      <c r="CA150" s="2"/>
      <c r="CB150" s="2"/>
      <c r="CC150" s="2"/>
      <c r="CD150" s="2"/>
      <c r="CE150" s="2"/>
      <c r="CF150" s="2"/>
      <c r="CG150" s="2"/>
      <c r="CH150" s="2"/>
      <c r="CI150" s="2"/>
      <c r="CJ150" s="2"/>
      <c r="CK150" s="2"/>
      <c r="CL150" s="2"/>
      <c r="CM150" s="2"/>
      <c r="CN150" s="2"/>
      <c r="CO150" s="2"/>
      <c r="CP150" s="2"/>
    </row>
    <row r="151" spans="1:94">
      <c r="A151" s="78" t="s">
        <v>1022</v>
      </c>
      <c r="B151" s="2"/>
      <c r="C151" s="2"/>
      <c r="D151" s="2"/>
      <c r="E151" s="2"/>
      <c r="F151" s="2"/>
      <c r="G151" s="2"/>
      <c r="H151" s="2"/>
      <c r="I151" s="2"/>
      <c r="J151" s="56">
        <f t="shared" si="153"/>
        <v>-2104</v>
      </c>
      <c r="K151" s="56">
        <f t="shared" si="160"/>
        <v>0</v>
      </c>
      <c r="L151" s="56">
        <f t="shared" si="155"/>
        <v>-234</v>
      </c>
      <c r="M151" s="56">
        <f t="shared" si="156"/>
        <v>-130</v>
      </c>
      <c r="N151" s="4"/>
      <c r="O151" s="4"/>
      <c r="P151" s="4"/>
      <c r="Q151" s="4"/>
      <c r="R151" s="4"/>
      <c r="S151" s="2"/>
      <c r="T151" s="2"/>
      <c r="U151" s="2"/>
      <c r="V151" s="2"/>
      <c r="W151" s="2"/>
      <c r="X151" s="2"/>
      <c r="Y151" s="2"/>
      <c r="Z151" s="2"/>
      <c r="AA151" s="2"/>
      <c r="AB151" s="2"/>
      <c r="AC151" s="2"/>
      <c r="AD151" s="2"/>
      <c r="AE151" s="2"/>
      <c r="AF151" s="47"/>
      <c r="AG151" s="2"/>
      <c r="AH151" s="2"/>
      <c r="AI151" s="2"/>
      <c r="AJ151" s="2"/>
      <c r="AK151" s="2"/>
      <c r="AL151" s="2"/>
      <c r="AM151" s="2"/>
      <c r="AN151" s="2"/>
      <c r="AO151" s="2"/>
      <c r="AP151" s="2"/>
      <c r="AQ151" s="2"/>
      <c r="AR151" s="2"/>
      <c r="AS151" s="2"/>
      <c r="AT151" s="2"/>
      <c r="AU151" s="2"/>
      <c r="AV151" s="2"/>
      <c r="AW151" s="2"/>
      <c r="AX151" s="2"/>
      <c r="AY151" s="2"/>
      <c r="AZ151" s="2"/>
      <c r="BA151" s="2"/>
      <c r="BD151">
        <v>-983</v>
      </c>
      <c r="BE151">
        <v>-1121</v>
      </c>
      <c r="BM151">
        <v>-234</v>
      </c>
      <c r="BO151">
        <f>-242+232</f>
        <v>-10</v>
      </c>
      <c r="BP151">
        <f>-94+-21</f>
        <v>-115</v>
      </c>
      <c r="BQ151">
        <v>-5</v>
      </c>
      <c r="BV151" s="2"/>
      <c r="BW151" s="2"/>
      <c r="BX151" s="58">
        <f t="shared" si="158"/>
        <v>0</v>
      </c>
      <c r="BY151" s="2"/>
      <c r="BZ151" s="1">
        <f t="shared" si="159"/>
        <v>0</v>
      </c>
      <c r="CA151" s="2"/>
      <c r="CB151" s="2"/>
      <c r="CC151" s="2"/>
      <c r="CD151" s="2"/>
      <c r="CE151" s="2"/>
      <c r="CF151" s="2"/>
      <c r="CG151" s="2"/>
      <c r="CH151" s="2"/>
      <c r="CI151" s="2"/>
      <c r="CJ151" s="2"/>
      <c r="CK151" s="2"/>
      <c r="CL151" s="2"/>
      <c r="CM151" s="2"/>
      <c r="CN151" s="2"/>
      <c r="CO151" s="2"/>
      <c r="CP151" s="2"/>
    </row>
    <row r="152" spans="1:94">
      <c r="A152" t="s">
        <v>1023</v>
      </c>
      <c r="B152" s="40"/>
      <c r="C152" s="40"/>
      <c r="D152" s="40"/>
      <c r="E152" s="40"/>
      <c r="F152" s="40"/>
      <c r="G152" s="40"/>
      <c r="H152" s="40"/>
      <c r="I152" s="40"/>
      <c r="J152">
        <f t="shared" si="153"/>
        <v>0</v>
      </c>
      <c r="K152">
        <f t="shared" si="160"/>
        <v>0</v>
      </c>
      <c r="L152">
        <f t="shared" si="155"/>
        <v>0</v>
      </c>
      <c r="M152">
        <f t="shared" si="156"/>
        <v>0</v>
      </c>
      <c r="S152" s="40"/>
      <c r="T152" s="40"/>
      <c r="U152" s="40"/>
      <c r="V152" s="40"/>
      <c r="W152" s="40"/>
      <c r="X152" s="40"/>
      <c r="Y152" s="40"/>
      <c r="Z152" s="40"/>
      <c r="AA152" s="40"/>
      <c r="AB152" s="40"/>
      <c r="AC152" s="40"/>
      <c r="AD152" s="40"/>
      <c r="AE152" s="40"/>
      <c r="AG152" s="2"/>
      <c r="AH152" s="40"/>
      <c r="AI152" s="40"/>
      <c r="AJ152" s="40"/>
      <c r="AK152" s="40"/>
      <c r="AL152" s="40"/>
      <c r="AM152" s="40"/>
      <c r="AN152" s="40"/>
      <c r="AO152" s="40"/>
      <c r="AP152" s="40"/>
      <c r="AQ152" s="40"/>
      <c r="AR152" s="40"/>
      <c r="AS152" s="40"/>
      <c r="AT152" s="40"/>
      <c r="AU152" s="40"/>
      <c r="AV152" s="40"/>
      <c r="AW152" s="40"/>
      <c r="AX152" s="40"/>
      <c r="AY152" s="40"/>
      <c r="AZ152" s="40"/>
      <c r="BA152" s="40"/>
      <c r="BV152" s="40"/>
      <c r="BW152" s="40"/>
      <c r="BY152" s="40"/>
      <c r="BZ152" s="1"/>
      <c r="CA152" s="2"/>
      <c r="CB152" s="2"/>
      <c r="CC152" s="2"/>
      <c r="CD152" s="2"/>
      <c r="CE152" s="2"/>
      <c r="CF152" s="2"/>
      <c r="CG152" s="2"/>
      <c r="CH152" s="2"/>
      <c r="CI152" s="2"/>
      <c r="CJ152" s="2"/>
      <c r="CK152" s="2"/>
      <c r="CL152" s="2"/>
      <c r="CM152" s="2"/>
      <c r="CN152" s="2"/>
      <c r="CO152" s="2"/>
      <c r="CP152" s="2"/>
    </row>
    <row r="153" spans="1:94">
      <c r="A153" t="s">
        <v>1024</v>
      </c>
      <c r="I153">
        <f>SUM(I136:I152)</f>
        <v>8190</v>
      </c>
      <c r="J153">
        <f t="shared" si="153"/>
        <v>8446</v>
      </c>
      <c r="K153" t="e">
        <f>SUM(K136:K151)</f>
        <v>#REF!</v>
      </c>
      <c r="L153" t="e">
        <f>SUM(L136:L152)</f>
        <v>#REF!</v>
      </c>
      <c r="M153" t="e">
        <f>SUM(M136:M152)</f>
        <v>#REF!</v>
      </c>
      <c r="N153" t="e">
        <f>SUM(N136:N151)</f>
        <v>#REF!</v>
      </c>
      <c r="O153" t="e">
        <f>SUM(O136:O151)</f>
        <v>#REF!</v>
      </c>
      <c r="P153" t="e">
        <f>SUM(P136:P151)</f>
        <v>#REF!</v>
      </c>
      <c r="Q153" t="e">
        <f>SUM(Q136:Q151)</f>
        <v>#REF!</v>
      </c>
      <c r="R153" t="e">
        <f>SUM(R136:R151)</f>
        <v>#REF!</v>
      </c>
      <c r="AG153" s="2"/>
      <c r="AX153">
        <f>SUM(AX136:AX152)</f>
        <v>1956</v>
      </c>
      <c r="AY153">
        <f>SUM(AY136:AY152)</f>
        <v>2101</v>
      </c>
      <c r="AZ153">
        <f>SUM(AZ136:AZ152)</f>
        <v>2040</v>
      </c>
      <c r="BA153">
        <f>SUM(BA136:BA152)</f>
        <v>2093</v>
      </c>
      <c r="BB153">
        <f t="shared" ref="BB153:BI153" si="161">SUM(BB136:BB151)</f>
        <v>1980</v>
      </c>
      <c r="BC153">
        <f t="shared" si="161"/>
        <v>2133</v>
      </c>
      <c r="BD153">
        <f t="shared" si="161"/>
        <v>2117</v>
      </c>
      <c r="BE153">
        <f t="shared" si="161"/>
        <v>2216</v>
      </c>
      <c r="BF153" t="e">
        <f t="shared" si="161"/>
        <v>#REF!</v>
      </c>
      <c r="BG153" t="e">
        <f t="shared" si="161"/>
        <v>#REF!</v>
      </c>
      <c r="BH153" t="e">
        <f t="shared" si="161"/>
        <v>#REF!</v>
      </c>
      <c r="BI153" t="e">
        <f t="shared" si="161"/>
        <v>#REF!</v>
      </c>
      <c r="BJ153" t="e">
        <f t="shared" ref="BJ153:BU153" si="162">SUM(BJ136:BJ152)</f>
        <v>#REF!</v>
      </c>
      <c r="BK153" t="e">
        <f t="shared" si="162"/>
        <v>#REF!</v>
      </c>
      <c r="BL153" t="e">
        <f t="shared" si="162"/>
        <v>#REF!</v>
      </c>
      <c r="BM153" t="e">
        <f t="shared" si="162"/>
        <v>#REF!</v>
      </c>
      <c r="BN153" t="e">
        <f t="shared" si="162"/>
        <v>#REF!</v>
      </c>
      <c r="BO153" t="e">
        <f t="shared" si="162"/>
        <v>#REF!</v>
      </c>
      <c r="BP153" t="e">
        <f t="shared" si="162"/>
        <v>#REF!</v>
      </c>
      <c r="BQ153" t="e">
        <f t="shared" si="162"/>
        <v>#REF!</v>
      </c>
      <c r="BR153" t="e">
        <f t="shared" si="162"/>
        <v>#REF!</v>
      </c>
      <c r="BS153" t="e">
        <f t="shared" si="162"/>
        <v>#REF!</v>
      </c>
      <c r="BT153" t="e">
        <f t="shared" si="162"/>
        <v>#REF!</v>
      </c>
      <c r="BU153" t="e">
        <f t="shared" si="162"/>
        <v>#REF!</v>
      </c>
      <c r="BX153" t="e">
        <f t="shared" ref="BX153:BX159" si="163">K153-SUM(BF153:BI153)</f>
        <v>#REF!</v>
      </c>
    </row>
    <row r="154" spans="1:94">
      <c r="A154" s="68" t="s">
        <v>1025</v>
      </c>
      <c r="B154" s="2"/>
      <c r="C154" s="2"/>
      <c r="D154" s="2"/>
      <c r="E154" s="2"/>
      <c r="F154" s="2"/>
      <c r="G154" s="2"/>
      <c r="H154" s="2"/>
      <c r="I154" s="56" t="e">
        <f>I87</f>
        <v>#REF!</v>
      </c>
      <c r="J154" t="e">
        <f t="shared" ref="J154:R154" si="164">J153-J87</f>
        <v>#REF!</v>
      </c>
      <c r="K154" t="e">
        <f t="shared" si="164"/>
        <v>#REF!</v>
      </c>
      <c r="L154" t="e">
        <f t="shared" si="164"/>
        <v>#REF!</v>
      </c>
      <c r="M154" t="e">
        <f t="shared" si="164"/>
        <v>#REF!</v>
      </c>
      <c r="N154" t="e">
        <f t="shared" si="164"/>
        <v>#REF!</v>
      </c>
      <c r="O154" t="e">
        <f t="shared" si="164"/>
        <v>#REF!</v>
      </c>
      <c r="P154" t="e">
        <f t="shared" si="164"/>
        <v>#REF!</v>
      </c>
      <c r="Q154" t="e">
        <f t="shared" si="164"/>
        <v>#REF!</v>
      </c>
      <c r="R154" t="e">
        <f t="shared" si="164"/>
        <v>#REF!</v>
      </c>
      <c r="S154" s="2"/>
      <c r="T154" s="2"/>
      <c r="U154" s="2"/>
      <c r="V154" s="2"/>
      <c r="W154" s="2"/>
      <c r="X154" s="2"/>
      <c r="Y154" s="2"/>
      <c r="Z154" s="2"/>
      <c r="AA154" s="2"/>
      <c r="AB154" s="2"/>
      <c r="AC154" s="2"/>
      <c r="AD154" s="2"/>
      <c r="AE154" s="2"/>
      <c r="AF154" s="47"/>
      <c r="AG154" s="2"/>
      <c r="AH154" s="2"/>
      <c r="AI154" s="2"/>
      <c r="AJ154" s="2"/>
      <c r="AK154" s="2"/>
      <c r="AL154" s="2"/>
      <c r="AM154" s="2"/>
      <c r="AN154" s="2"/>
      <c r="AO154" s="2"/>
      <c r="AP154" s="2"/>
      <c r="AQ154" s="2"/>
      <c r="AR154" s="2"/>
      <c r="AS154" s="2"/>
      <c r="AT154" s="2"/>
      <c r="AU154" s="2"/>
      <c r="AV154" s="2"/>
      <c r="AW154" s="2"/>
      <c r="AX154" t="e">
        <f t="shared" ref="AX154:BU154" si="165">AX153-AX87</f>
        <v>#REF!</v>
      </c>
      <c r="AY154" t="e">
        <f t="shared" si="165"/>
        <v>#REF!</v>
      </c>
      <c r="AZ154" t="e">
        <f t="shared" si="165"/>
        <v>#REF!</v>
      </c>
      <c r="BA154" t="e">
        <f t="shared" si="165"/>
        <v>#REF!</v>
      </c>
      <c r="BB154" t="e">
        <f t="shared" si="165"/>
        <v>#REF!</v>
      </c>
      <c r="BC154" t="e">
        <f t="shared" si="165"/>
        <v>#REF!</v>
      </c>
      <c r="BD154" t="e">
        <f t="shared" si="165"/>
        <v>#REF!</v>
      </c>
      <c r="BE154" t="e">
        <f t="shared" si="165"/>
        <v>#REF!</v>
      </c>
      <c r="BF154" t="e">
        <f t="shared" si="165"/>
        <v>#REF!</v>
      </c>
      <c r="BG154" t="e">
        <f t="shared" si="165"/>
        <v>#REF!</v>
      </c>
      <c r="BH154" t="e">
        <f t="shared" si="165"/>
        <v>#REF!</v>
      </c>
      <c r="BI154" t="e">
        <f t="shared" si="165"/>
        <v>#REF!</v>
      </c>
      <c r="BJ154" t="e">
        <f t="shared" si="165"/>
        <v>#REF!</v>
      </c>
      <c r="BK154" t="e">
        <f t="shared" si="165"/>
        <v>#REF!</v>
      </c>
      <c r="BL154" t="e">
        <f t="shared" si="165"/>
        <v>#REF!</v>
      </c>
      <c r="BM154" t="e">
        <f t="shared" si="165"/>
        <v>#REF!</v>
      </c>
      <c r="BN154" t="e">
        <f t="shared" si="165"/>
        <v>#REF!</v>
      </c>
      <c r="BO154" t="e">
        <f t="shared" si="165"/>
        <v>#REF!</v>
      </c>
      <c r="BP154" t="e">
        <f t="shared" si="165"/>
        <v>#REF!</v>
      </c>
      <c r="BQ154" t="e">
        <f t="shared" si="165"/>
        <v>#REF!</v>
      </c>
      <c r="BR154" t="e">
        <f t="shared" si="165"/>
        <v>#REF!</v>
      </c>
      <c r="BS154" t="e">
        <f t="shared" si="165"/>
        <v>#REF!</v>
      </c>
      <c r="BT154" t="e">
        <f t="shared" si="165"/>
        <v>#REF!</v>
      </c>
      <c r="BU154" t="e">
        <f t="shared" si="165"/>
        <v>#REF!</v>
      </c>
      <c r="BV154" s="2"/>
      <c r="BW154" s="2"/>
      <c r="BX154" s="58" t="e">
        <f t="shared" si="163"/>
        <v>#REF!</v>
      </c>
      <c r="BY154" s="2"/>
      <c r="BZ154" s="58" t="e">
        <f t="shared" ref="BZ154:BZ159" si="166">N154-SUM(BR154:BU154)</f>
        <v>#REF!</v>
      </c>
      <c r="CA154" s="2"/>
      <c r="CB154" s="2"/>
      <c r="CC154" s="2"/>
      <c r="CD154" s="2"/>
      <c r="CE154" s="2"/>
      <c r="CF154" s="2"/>
      <c r="CG154" s="2"/>
      <c r="CH154" s="2"/>
      <c r="CI154" s="2"/>
      <c r="CJ154" s="2"/>
      <c r="CK154" s="2"/>
      <c r="CL154" s="2"/>
      <c r="CM154" s="2"/>
      <c r="CN154" s="2"/>
      <c r="CO154" s="2"/>
      <c r="CP154" s="2"/>
    </row>
    <row r="155" spans="1:94">
      <c r="A155" s="78" t="s">
        <v>1026</v>
      </c>
      <c r="B155" s="2"/>
      <c r="C155" s="2"/>
      <c r="D155" s="2"/>
      <c r="E155" s="2"/>
      <c r="F155" s="2"/>
      <c r="G155" s="2"/>
      <c r="H155" s="2"/>
      <c r="I155" s="2"/>
      <c r="J155">
        <f t="shared" ref="J155:R155" si="167">SUM(J137:J152)</f>
        <v>4367</v>
      </c>
      <c r="K155" t="e">
        <f t="shared" si="167"/>
        <v>#REF!</v>
      </c>
      <c r="L155" t="e">
        <f t="shared" si="167"/>
        <v>#REF!</v>
      </c>
      <c r="M155" t="e">
        <f t="shared" si="167"/>
        <v>#REF!</v>
      </c>
      <c r="N155">
        <f t="shared" si="167"/>
        <v>0</v>
      </c>
      <c r="O155">
        <f t="shared" si="167"/>
        <v>0</v>
      </c>
      <c r="P155">
        <f t="shared" si="167"/>
        <v>0</v>
      </c>
      <c r="Q155">
        <f t="shared" si="167"/>
        <v>0</v>
      </c>
      <c r="R155">
        <f t="shared" si="167"/>
        <v>0</v>
      </c>
      <c r="S155" s="2"/>
      <c r="T155" s="2"/>
      <c r="U155" s="2"/>
      <c r="V155" s="2"/>
      <c r="W155" s="2"/>
      <c r="X155" s="2"/>
      <c r="Y155" s="2"/>
      <c r="Z155" s="2"/>
      <c r="AA155" s="2"/>
      <c r="AB155" s="2"/>
      <c r="AC155" s="2"/>
      <c r="AD155" s="2"/>
      <c r="AE155" s="2"/>
      <c r="AF155" s="47"/>
      <c r="AG155" s="2"/>
      <c r="AH155" s="2"/>
      <c r="AI155" s="2"/>
      <c r="AJ155" s="2"/>
      <c r="AK155" s="2"/>
      <c r="AL155" s="2"/>
      <c r="AM155" s="2"/>
      <c r="AN155" s="2"/>
      <c r="AO155" s="2"/>
      <c r="AP155" s="2"/>
      <c r="AQ155" s="2"/>
      <c r="AR155" s="2"/>
      <c r="AS155" s="2"/>
      <c r="AT155" s="2"/>
      <c r="AU155" s="2"/>
      <c r="AV155" s="2"/>
      <c r="AW155" s="2"/>
      <c r="AX155" s="2"/>
      <c r="AY155" s="2"/>
      <c r="AZ155" s="2"/>
      <c r="BA155" s="2"/>
      <c r="BB155">
        <f t="shared" ref="BB155:BU155" si="168">SUM(BB137:BB152)</f>
        <v>2481</v>
      </c>
      <c r="BC155">
        <f t="shared" si="168"/>
        <v>4248</v>
      </c>
      <c r="BD155">
        <f t="shared" si="168"/>
        <v>-2288</v>
      </c>
      <c r="BE155">
        <f t="shared" si="168"/>
        <v>-74</v>
      </c>
      <c r="BF155" t="e">
        <f t="shared" si="168"/>
        <v>#REF!</v>
      </c>
      <c r="BG155" t="e">
        <f t="shared" si="168"/>
        <v>#REF!</v>
      </c>
      <c r="BH155" t="e">
        <f t="shared" si="168"/>
        <v>#REF!</v>
      </c>
      <c r="BI155" t="e">
        <f t="shared" si="168"/>
        <v>#REF!</v>
      </c>
      <c r="BJ155" t="e">
        <f t="shared" si="168"/>
        <v>#REF!</v>
      </c>
      <c r="BK155" t="e">
        <f t="shared" si="168"/>
        <v>#REF!</v>
      </c>
      <c r="BL155" t="e">
        <f t="shared" si="168"/>
        <v>#REF!</v>
      </c>
      <c r="BM155" t="e">
        <f t="shared" si="168"/>
        <v>#REF!</v>
      </c>
      <c r="BN155" t="e">
        <f t="shared" si="168"/>
        <v>#REF!</v>
      </c>
      <c r="BO155" t="e">
        <f t="shared" si="168"/>
        <v>#REF!</v>
      </c>
      <c r="BP155" t="e">
        <f t="shared" si="168"/>
        <v>#REF!</v>
      </c>
      <c r="BQ155" t="e">
        <f t="shared" si="168"/>
        <v>#REF!</v>
      </c>
      <c r="BR155">
        <f t="shared" si="168"/>
        <v>0</v>
      </c>
      <c r="BS155">
        <f t="shared" si="168"/>
        <v>0</v>
      </c>
      <c r="BT155">
        <f t="shared" si="168"/>
        <v>0</v>
      </c>
      <c r="BU155">
        <f t="shared" si="168"/>
        <v>0</v>
      </c>
      <c r="BV155" s="2"/>
      <c r="BW155" s="2"/>
      <c r="BX155" s="58" t="e">
        <f t="shared" si="163"/>
        <v>#REF!</v>
      </c>
      <c r="BY155" s="2"/>
      <c r="BZ155" s="58">
        <f t="shared" si="166"/>
        <v>0</v>
      </c>
      <c r="CA155" s="2"/>
      <c r="CB155" s="2"/>
      <c r="CC155" s="2"/>
      <c r="CD155" s="2"/>
      <c r="CE155" s="2"/>
      <c r="CF155" s="2"/>
      <c r="CG155" s="2"/>
      <c r="CH155" s="2"/>
      <c r="CI155" s="2"/>
      <c r="CJ155" s="2"/>
      <c r="CK155" s="2"/>
      <c r="CL155" s="2"/>
      <c r="CM155" s="2"/>
      <c r="CN155" s="2"/>
      <c r="CO155" s="2"/>
      <c r="CP155" s="2"/>
    </row>
    <row r="156" spans="1:94">
      <c r="A156" s="2"/>
      <c r="B156" s="2"/>
      <c r="C156" s="2"/>
      <c r="D156" s="2"/>
      <c r="E156" s="2"/>
      <c r="F156" s="2"/>
      <c r="G156" s="2"/>
      <c r="H156" s="2"/>
      <c r="I156" s="2"/>
      <c r="J156" s="2"/>
      <c r="K156" s="56"/>
      <c r="L156" s="2"/>
      <c r="M156" s="2"/>
      <c r="N156" s="4"/>
      <c r="O156" s="4"/>
      <c r="P156" s="4"/>
      <c r="Q156" s="4"/>
      <c r="R156" s="4"/>
      <c r="S156" s="2"/>
      <c r="T156" s="2"/>
      <c r="U156" s="2"/>
      <c r="V156" s="2"/>
      <c r="W156" s="2"/>
      <c r="X156" s="2"/>
      <c r="Y156" s="2"/>
      <c r="Z156" s="2"/>
      <c r="AA156" s="2"/>
      <c r="AB156" s="2"/>
      <c r="AC156" s="2"/>
      <c r="AD156" s="2"/>
      <c r="AE156" s="2"/>
      <c r="AF156" s="47"/>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48"/>
      <c r="BG156" s="2"/>
      <c r="BH156" s="2"/>
      <c r="BI156" s="2"/>
      <c r="BJ156" s="48"/>
      <c r="BK156" s="2"/>
      <c r="BL156" s="2"/>
      <c r="BM156" s="2"/>
      <c r="BN156" s="48"/>
      <c r="BO156" s="2"/>
      <c r="BP156" s="2"/>
      <c r="BQ156" s="2"/>
      <c r="BR156" s="48"/>
      <c r="BS156" s="2"/>
      <c r="BT156" s="2"/>
      <c r="BU156" s="2"/>
      <c r="BV156" s="2"/>
      <c r="BW156" s="2"/>
      <c r="BX156" s="58">
        <f t="shared" si="163"/>
        <v>0</v>
      </c>
      <c r="BY156" s="2"/>
      <c r="BZ156" s="58">
        <f t="shared" si="166"/>
        <v>0</v>
      </c>
      <c r="CA156" s="2"/>
      <c r="CB156" s="2"/>
      <c r="CC156" s="2"/>
      <c r="CD156" s="2"/>
      <c r="CE156" s="2"/>
      <c r="CF156" s="2"/>
      <c r="CG156" s="2"/>
      <c r="CH156" s="2"/>
      <c r="CI156" s="2"/>
      <c r="CJ156" s="2"/>
      <c r="CK156" s="2"/>
      <c r="CL156" s="2"/>
      <c r="CM156" s="2"/>
      <c r="CN156" s="2"/>
      <c r="CO156" s="2"/>
      <c r="CP156" s="2"/>
    </row>
    <row r="157" spans="1:94">
      <c r="A157" t="s">
        <v>1027</v>
      </c>
      <c r="B157" s="2"/>
      <c r="C157" s="2"/>
      <c r="D157" s="2"/>
      <c r="E157" s="2"/>
      <c r="F157" s="2"/>
      <c r="G157" s="2"/>
      <c r="H157" s="2"/>
      <c r="I157" s="2"/>
      <c r="J157" s="56">
        <f t="shared" ref="J157:P157" si="169">J145+J147+J148+J138+J141</f>
        <v>6150</v>
      </c>
      <c r="K157" s="56">
        <f t="shared" si="169"/>
        <v>1350</v>
      </c>
      <c r="L157" s="56">
        <f t="shared" si="169"/>
        <v>-45</v>
      </c>
      <c r="M157" s="56">
        <f t="shared" si="169"/>
        <v>31</v>
      </c>
      <c r="N157" s="71">
        <f t="shared" si="169"/>
        <v>0</v>
      </c>
      <c r="O157" s="71">
        <f t="shared" si="169"/>
        <v>0</v>
      </c>
      <c r="P157" s="71">
        <f t="shared" si="169"/>
        <v>0</v>
      </c>
      <c r="Q157" s="71"/>
      <c r="R157" s="71"/>
      <c r="S157" s="2"/>
      <c r="T157" s="2"/>
      <c r="U157" s="2"/>
      <c r="V157" s="2"/>
      <c r="W157" s="2"/>
      <c r="X157" s="2"/>
      <c r="Y157" s="2"/>
      <c r="Z157" s="2"/>
      <c r="AA157" s="2"/>
      <c r="AB157" s="2"/>
      <c r="AC157" s="2"/>
      <c r="AD157" s="2"/>
      <c r="AE157" s="2"/>
      <c r="AF157" s="47"/>
      <c r="AG157" s="2"/>
      <c r="AH157" s="2"/>
      <c r="AI157" s="2"/>
      <c r="AJ157" s="2"/>
      <c r="AK157" s="2"/>
      <c r="AL157" s="2"/>
      <c r="AM157" s="2"/>
      <c r="AN157" s="2"/>
      <c r="AO157" s="2"/>
      <c r="AP157" s="2"/>
      <c r="AQ157" s="2"/>
      <c r="AR157" s="2"/>
      <c r="AS157" s="2"/>
      <c r="AT157" s="2"/>
      <c r="AU157" s="2"/>
      <c r="AV157" s="2"/>
      <c r="AW157" s="2"/>
      <c r="AX157" s="2"/>
      <c r="AY157" s="2"/>
      <c r="AZ157" s="2"/>
      <c r="BA157" s="2"/>
      <c r="BB157">
        <f t="shared" ref="BB157:BM157" si="170">BB145+BB147+BB148+BB138+BB141</f>
        <v>2090</v>
      </c>
      <c r="BC157">
        <f t="shared" si="170"/>
        <v>3362</v>
      </c>
      <c r="BD157">
        <f t="shared" si="170"/>
        <v>280</v>
      </c>
      <c r="BE157">
        <f t="shared" si="170"/>
        <v>418</v>
      </c>
      <c r="BF157">
        <f t="shared" si="170"/>
        <v>0</v>
      </c>
      <c r="BG157">
        <f t="shared" si="170"/>
        <v>1135</v>
      </c>
      <c r="BH157">
        <f t="shared" si="170"/>
        <v>0</v>
      </c>
      <c r="BI157">
        <f t="shared" si="170"/>
        <v>215</v>
      </c>
      <c r="BJ157">
        <f t="shared" si="170"/>
        <v>-16</v>
      </c>
      <c r="BK157" s="56">
        <f t="shared" si="170"/>
        <v>-29</v>
      </c>
      <c r="BL157" s="56">
        <f t="shared" si="170"/>
        <v>0</v>
      </c>
      <c r="BM157" s="56">
        <f t="shared" si="170"/>
        <v>0</v>
      </c>
      <c r="BN157" s="69"/>
      <c r="BO157" s="56"/>
      <c r="BP157" s="56"/>
      <c r="BQ157" s="56"/>
      <c r="BR157" s="69"/>
      <c r="BS157" s="56"/>
      <c r="BT157" s="56"/>
      <c r="BU157" s="56"/>
      <c r="BV157" s="2"/>
      <c r="BW157" s="2"/>
      <c r="BX157" s="58">
        <f t="shared" si="163"/>
        <v>0</v>
      </c>
      <c r="BY157" s="2"/>
      <c r="BZ157" s="58">
        <f t="shared" si="166"/>
        <v>0</v>
      </c>
      <c r="CA157" s="2"/>
      <c r="CB157" s="2"/>
      <c r="CC157" s="2"/>
      <c r="CD157" s="2"/>
      <c r="CE157" s="2"/>
      <c r="CF157" s="2"/>
      <c r="CG157" s="2"/>
      <c r="CH157" s="2"/>
      <c r="CI157" s="2"/>
      <c r="CJ157" s="2"/>
      <c r="CK157" s="2"/>
      <c r="CL157" s="2"/>
      <c r="CM157" s="2"/>
      <c r="CN157" s="2"/>
      <c r="CO157" s="2"/>
      <c r="CP157" s="2"/>
    </row>
    <row r="158" spans="1:94">
      <c r="A158" t="s">
        <v>1028</v>
      </c>
      <c r="B158" s="2"/>
      <c r="C158" s="2"/>
      <c r="D158" s="2"/>
      <c r="E158" s="2"/>
      <c r="F158" s="2"/>
      <c r="G158" s="2"/>
      <c r="H158" s="2"/>
      <c r="I158" s="2"/>
      <c r="J158" s="56">
        <f t="shared" ref="J158:P158" si="171">J140+J142+J143</f>
        <v>496</v>
      </c>
      <c r="K158" s="56">
        <f t="shared" si="171"/>
        <v>-503</v>
      </c>
      <c r="L158" s="56">
        <f t="shared" si="171"/>
        <v>0</v>
      </c>
      <c r="M158" s="56">
        <f t="shared" si="171"/>
        <v>131</v>
      </c>
      <c r="N158" s="71">
        <f t="shared" si="171"/>
        <v>0</v>
      </c>
      <c r="O158" s="71">
        <f t="shared" si="171"/>
        <v>0</v>
      </c>
      <c r="P158" s="71">
        <f t="shared" si="171"/>
        <v>0</v>
      </c>
      <c r="Q158" s="71"/>
      <c r="R158" s="71"/>
      <c r="S158" s="2"/>
      <c r="T158" s="2"/>
      <c r="U158" s="2"/>
      <c r="V158" s="2"/>
      <c r="W158" s="2"/>
      <c r="X158" s="2"/>
      <c r="Y158" s="2"/>
      <c r="Z158" s="2"/>
      <c r="AA158" s="2"/>
      <c r="AB158" s="2"/>
      <c r="AC158" s="2"/>
      <c r="AD158" s="2"/>
      <c r="AE158" s="2"/>
      <c r="AF158" s="47"/>
      <c r="AG158" s="2"/>
      <c r="AH158" s="2"/>
      <c r="AI158" s="2"/>
      <c r="AJ158" s="2"/>
      <c r="AK158" s="2"/>
      <c r="AL158" s="2"/>
      <c r="AM158" s="2"/>
      <c r="AN158" s="2"/>
      <c r="AO158" s="2"/>
      <c r="AP158" s="2"/>
      <c r="AQ158" s="2"/>
      <c r="AR158" s="2"/>
      <c r="AS158" s="2"/>
      <c r="AT158" s="2"/>
      <c r="AU158" s="2"/>
      <c r="AV158" s="2"/>
      <c r="AW158" s="2"/>
      <c r="AX158" s="2"/>
      <c r="AY158" s="2"/>
      <c r="AZ158" s="2"/>
      <c r="BA158" s="2"/>
      <c r="BB158">
        <f t="shared" ref="BB158:BM158" si="172">BB140+BB142+BB143</f>
        <v>496</v>
      </c>
      <c r="BC158">
        <f t="shared" si="172"/>
        <v>0</v>
      </c>
      <c r="BD158">
        <f t="shared" si="172"/>
        <v>0</v>
      </c>
      <c r="BE158">
        <f t="shared" si="172"/>
        <v>0</v>
      </c>
      <c r="BF158">
        <f t="shared" si="172"/>
        <v>-503</v>
      </c>
      <c r="BG158">
        <f t="shared" si="172"/>
        <v>0</v>
      </c>
      <c r="BH158">
        <f t="shared" si="172"/>
        <v>0</v>
      </c>
      <c r="BI158">
        <f t="shared" si="172"/>
        <v>0</v>
      </c>
      <c r="BJ158">
        <f t="shared" si="172"/>
        <v>0</v>
      </c>
      <c r="BK158" s="56">
        <f t="shared" si="172"/>
        <v>0</v>
      </c>
      <c r="BL158" s="56">
        <f t="shared" si="172"/>
        <v>0</v>
      </c>
      <c r="BM158" s="56">
        <f t="shared" si="172"/>
        <v>0</v>
      </c>
      <c r="BN158" s="69"/>
      <c r="BO158" s="56"/>
      <c r="BP158" s="56"/>
      <c r="BQ158" s="56"/>
      <c r="BR158" s="69"/>
      <c r="BS158" s="56"/>
      <c r="BT158" s="56"/>
      <c r="BU158" s="56"/>
      <c r="BV158" s="2"/>
      <c r="BW158" s="2"/>
      <c r="BX158" s="58">
        <f t="shared" si="163"/>
        <v>0</v>
      </c>
      <c r="BY158" s="2"/>
      <c r="BZ158" s="58">
        <f t="shared" si="166"/>
        <v>0</v>
      </c>
      <c r="CA158" s="2"/>
      <c r="CB158" s="2"/>
      <c r="CC158" s="2"/>
      <c r="CD158" s="2"/>
      <c r="CE158" s="2"/>
      <c r="CF158" s="2"/>
      <c r="CG158" s="2"/>
      <c r="CH158" s="2"/>
      <c r="CI158" s="2"/>
      <c r="CJ158" s="2"/>
      <c r="CK158" s="2"/>
      <c r="CL158" s="2"/>
      <c r="CM158" s="2"/>
      <c r="CN158" s="2"/>
      <c r="CO158" s="2"/>
      <c r="CP158" s="2"/>
    </row>
    <row r="159" spans="1:94">
      <c r="A159" t="s">
        <v>1029</v>
      </c>
      <c r="B159" s="2"/>
      <c r="C159" s="2"/>
      <c r="D159" s="2"/>
      <c r="E159" s="2"/>
      <c r="F159" s="2"/>
      <c r="G159" s="2"/>
      <c r="H159" s="2"/>
      <c r="I159" s="2"/>
      <c r="J159" s="56">
        <f>J144+J149+J150+J151+J139</f>
        <v>-2362</v>
      </c>
      <c r="K159" s="56">
        <f>K144+K149+K150+K151+K139+K146</f>
        <v>3355</v>
      </c>
      <c r="L159" s="56">
        <f>L144+L149+L150+L151+L139</f>
        <v>-751</v>
      </c>
      <c r="M159" s="56">
        <f>M144+M149+M150+M151+M139</f>
        <v>-371</v>
      </c>
      <c r="N159" s="71">
        <f>N144+N149+N150+N151+N139</f>
        <v>0</v>
      </c>
      <c r="O159" s="71">
        <f>O144+O149+O150+O151+O139</f>
        <v>0</v>
      </c>
      <c r="P159" s="71">
        <f>P144+P149+P150+P151+P139</f>
        <v>0</v>
      </c>
      <c r="Q159" s="71"/>
      <c r="R159" s="71"/>
      <c r="S159" s="2"/>
      <c r="T159" s="2"/>
      <c r="U159" s="2"/>
      <c r="V159" s="2"/>
      <c r="W159" s="2"/>
      <c r="X159" s="2"/>
      <c r="Y159" s="2"/>
      <c r="Z159" s="2"/>
      <c r="AA159" s="2"/>
      <c r="AB159" s="2"/>
      <c r="AC159" s="2"/>
      <c r="AD159" s="2"/>
      <c r="AE159" s="2"/>
      <c r="AF159" s="47"/>
      <c r="AG159" s="2"/>
      <c r="AH159" s="2"/>
      <c r="AI159" s="2"/>
      <c r="AJ159" s="2"/>
      <c r="AK159" s="2"/>
      <c r="AL159" s="2"/>
      <c r="AM159" s="2"/>
      <c r="AN159" s="2"/>
      <c r="AO159" s="2"/>
      <c r="AP159" s="2"/>
      <c r="AQ159" s="2"/>
      <c r="AR159" s="2"/>
      <c r="AS159" s="2"/>
      <c r="AT159" s="2"/>
      <c r="AU159" s="2"/>
      <c r="AV159" s="2"/>
      <c r="AW159" s="2"/>
      <c r="AX159" s="2"/>
      <c r="AY159" s="2"/>
      <c r="AZ159" s="2"/>
      <c r="BA159" s="2"/>
      <c r="BB159">
        <f t="shared" ref="BB159:BH159" si="173">BB144+BB149+BB150+BB151+BB139</f>
        <v>-116</v>
      </c>
      <c r="BC159">
        <f t="shared" si="173"/>
        <v>848</v>
      </c>
      <c r="BD159">
        <f t="shared" si="173"/>
        <v>-2577</v>
      </c>
      <c r="BE159">
        <f t="shared" si="173"/>
        <v>-517</v>
      </c>
      <c r="BF159">
        <f t="shared" si="173"/>
        <v>0</v>
      </c>
      <c r="BG159">
        <f t="shared" si="173"/>
        <v>436</v>
      </c>
      <c r="BH159">
        <f t="shared" si="173"/>
        <v>81</v>
      </c>
      <c r="BI159">
        <f>BI144+BI149+BI150+BI151+BI139+BI146</f>
        <v>2838</v>
      </c>
      <c r="BJ159">
        <f>BJ144+BJ149+BJ150+BJ151+BJ139+BJ152</f>
        <v>446</v>
      </c>
      <c r="BK159" s="56">
        <f>BK144+BK149+BK150+BK151+BK139</f>
        <v>19</v>
      </c>
      <c r="BL159" s="56">
        <f>BL144+BL149+BL150+BL151+BL139</f>
        <v>20</v>
      </c>
      <c r="BM159" s="56">
        <f>BM144+BM149+BM150+BM151+BM139</f>
        <v>-1236</v>
      </c>
      <c r="BN159" s="69"/>
      <c r="BO159" s="56"/>
      <c r="BP159" s="56"/>
      <c r="BQ159" s="56"/>
      <c r="BR159" s="69"/>
      <c r="BS159" s="56"/>
      <c r="BT159" s="56"/>
      <c r="BU159" s="56"/>
      <c r="BV159" s="2"/>
      <c r="BW159" s="2"/>
      <c r="BX159" s="58">
        <f t="shared" si="163"/>
        <v>0</v>
      </c>
      <c r="BY159" s="2"/>
      <c r="BZ159" s="58">
        <f t="shared" si="166"/>
        <v>0</v>
      </c>
      <c r="CA159" s="2"/>
      <c r="CB159" s="2"/>
      <c r="CC159" s="2"/>
      <c r="CD159" s="2"/>
      <c r="CE159" s="2"/>
      <c r="CF159" s="2"/>
      <c r="CG159" s="2"/>
      <c r="CH159" s="2"/>
      <c r="CI159" s="2"/>
      <c r="CJ159" s="2"/>
      <c r="CK159" s="2"/>
      <c r="CL159" s="2"/>
      <c r="CM159" s="2"/>
      <c r="CN159" s="2"/>
      <c r="CO159" s="2"/>
      <c r="CP159" s="2"/>
    </row>
    <row r="160" spans="1:94">
      <c r="B160" s="2"/>
      <c r="C160" s="2"/>
      <c r="D160" s="2"/>
      <c r="E160" s="2"/>
      <c r="F160" s="2"/>
      <c r="G160" s="2"/>
      <c r="H160" s="2"/>
      <c r="I160" s="2"/>
      <c r="J160" s="2"/>
      <c r="K160" s="2"/>
      <c r="L160" s="2"/>
      <c r="M160" s="2"/>
      <c r="N160" s="4"/>
      <c r="O160" s="4"/>
      <c r="P160" s="4"/>
      <c r="Q160" s="4"/>
      <c r="R160" s="4"/>
      <c r="S160" s="2"/>
      <c r="T160" s="2"/>
      <c r="U160" s="2"/>
      <c r="V160" s="2"/>
      <c r="W160" s="2"/>
      <c r="X160" s="2"/>
      <c r="Y160" s="2"/>
      <c r="Z160" s="2"/>
      <c r="AA160" s="2"/>
      <c r="AB160" s="2"/>
      <c r="AC160" s="2"/>
      <c r="AD160" s="2"/>
      <c r="AE160" s="2"/>
      <c r="AF160" s="47"/>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48"/>
      <c r="BG160" s="2"/>
      <c r="BH160" s="2"/>
      <c r="BI160" s="2"/>
      <c r="BJ160" s="48"/>
      <c r="BK160" s="2"/>
      <c r="BL160" s="2"/>
      <c r="BM160" s="2"/>
      <c r="BN160" s="48"/>
      <c r="BO160" s="2"/>
      <c r="BP160" s="2"/>
      <c r="BQ160" s="2"/>
      <c r="BR160" s="48"/>
      <c r="BS160" s="2"/>
      <c r="BT160" s="2"/>
      <c r="BU160" s="2"/>
      <c r="BV160" s="2"/>
      <c r="BW160" s="2"/>
      <c r="BX160" s="2"/>
      <c r="BY160" s="2"/>
      <c r="BZ160" s="2"/>
      <c r="CA160" s="2"/>
      <c r="CB160" s="2"/>
      <c r="CC160" s="2"/>
      <c r="CD160" s="2"/>
      <c r="CE160" s="2"/>
      <c r="CF160" s="2"/>
      <c r="CG160" s="2"/>
      <c r="CH160" s="2"/>
      <c r="CI160" s="2"/>
      <c r="CJ160" s="2"/>
      <c r="CK160" s="2"/>
      <c r="CL160" s="2"/>
      <c r="CM160" s="2"/>
      <c r="CN160" s="2"/>
      <c r="CO160" s="2"/>
      <c r="CP160" s="2"/>
    </row>
    <row r="161" spans="1:94">
      <c r="A161" s="49" t="s">
        <v>1030</v>
      </c>
      <c r="B161" s="50"/>
      <c r="C161" s="50"/>
      <c r="D161" s="50"/>
      <c r="E161" s="50"/>
      <c r="F161" s="50"/>
      <c r="G161" s="50"/>
      <c r="H161" s="50"/>
      <c r="I161" s="5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1"/>
      <c r="AG161" s="2"/>
      <c r="AH161" s="50"/>
      <c r="AI161" s="50"/>
      <c r="AJ161" s="50"/>
      <c r="AK161" s="50"/>
      <c r="AL161" s="50"/>
      <c r="AM161" s="50"/>
      <c r="AN161" s="50"/>
      <c r="AO161" s="50"/>
      <c r="AP161" s="50"/>
      <c r="AQ161" s="50"/>
      <c r="AR161" s="50"/>
      <c r="AS161" s="50"/>
      <c r="AT161" s="50"/>
      <c r="AU161" s="50"/>
      <c r="AV161" s="50"/>
      <c r="AW161" s="50"/>
      <c r="AX161" s="50"/>
      <c r="AY161" s="50"/>
      <c r="AZ161" s="50"/>
      <c r="BA161" s="50"/>
      <c r="BB161" s="50"/>
      <c r="BC161" s="50"/>
      <c r="BD161" s="50"/>
      <c r="BE161" s="50"/>
      <c r="BF161" s="54"/>
      <c r="BG161" s="50"/>
      <c r="BH161" s="50"/>
      <c r="BI161" s="50"/>
      <c r="BJ161" s="54"/>
      <c r="BK161" s="50"/>
      <c r="BL161" s="50"/>
      <c r="BM161" s="50"/>
      <c r="BN161" s="54"/>
      <c r="BO161" s="50"/>
      <c r="BP161" s="50"/>
      <c r="BQ161" s="50"/>
      <c r="BR161" s="54"/>
      <c r="BS161" s="50"/>
      <c r="BT161" s="50"/>
      <c r="BU161" s="50"/>
      <c r="BV161" s="7"/>
      <c r="BW161" s="7"/>
      <c r="BX161" s="7"/>
      <c r="BY161" s="7"/>
      <c r="BZ161" s="2"/>
      <c r="CA161" s="2"/>
      <c r="CB161" s="2"/>
      <c r="CC161" s="2"/>
      <c r="CD161" s="2"/>
      <c r="CE161" s="2"/>
      <c r="CF161" s="2"/>
      <c r="CG161" s="2"/>
      <c r="CH161" s="2"/>
      <c r="CI161" s="2"/>
      <c r="CJ161" s="2"/>
      <c r="CK161" s="2"/>
      <c r="CL161" s="2"/>
      <c r="CM161" s="2"/>
      <c r="CN161" s="2"/>
      <c r="CO161" s="2"/>
      <c r="CP161" s="2"/>
    </row>
    <row r="162" spans="1:94">
      <c r="A162" s="1" t="s">
        <v>1031</v>
      </c>
      <c r="B162" s="2"/>
      <c r="C162" s="2"/>
      <c r="D162" s="2"/>
      <c r="E162" s="2"/>
      <c r="F162" s="2"/>
      <c r="G162" s="2"/>
      <c r="H162" s="2"/>
      <c r="I162" s="2"/>
      <c r="J162" s="1" t="s">
        <v>1032</v>
      </c>
      <c r="K162" s="1" t="s">
        <v>1033</v>
      </c>
      <c r="L162" s="1"/>
      <c r="M162" s="1" t="s">
        <v>1034</v>
      </c>
      <c r="N162" s="1"/>
      <c r="O162" s="4"/>
      <c r="P162" s="4"/>
      <c r="Q162" s="4"/>
      <c r="R162" s="4"/>
      <c r="S162" s="2"/>
      <c r="T162" s="2"/>
      <c r="U162" s="2"/>
      <c r="V162" s="2"/>
      <c r="W162" s="2"/>
      <c r="X162" s="2"/>
      <c r="Y162" s="2"/>
      <c r="Z162" s="2"/>
      <c r="AA162" s="2"/>
      <c r="AB162" s="2"/>
      <c r="AC162" s="2"/>
      <c r="AD162" s="2"/>
      <c r="AE162" s="2"/>
      <c r="AF162" s="47"/>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48"/>
      <c r="BG162" s="2"/>
      <c r="BH162" s="2"/>
      <c r="BI162" s="2"/>
      <c r="BJ162" s="48"/>
      <c r="BK162" s="2"/>
      <c r="BL162" s="2"/>
      <c r="BM162" s="2"/>
      <c r="BN162" s="48"/>
      <c r="BO162" s="2"/>
      <c r="BP162" s="2"/>
      <c r="BQ162" s="2"/>
      <c r="BR162" s="48"/>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row>
    <row r="163" spans="1:94">
      <c r="A163" s="2" t="s">
        <v>1035</v>
      </c>
      <c r="B163" s="2"/>
      <c r="C163" s="2"/>
      <c r="D163" s="2"/>
      <c r="E163" s="2"/>
      <c r="F163" s="2"/>
      <c r="G163" s="2"/>
      <c r="H163" s="2"/>
      <c r="I163" s="2"/>
      <c r="J163">
        <v>59756</v>
      </c>
      <c r="K163">
        <v>34176</v>
      </c>
      <c r="L163">
        <f>J163-K163</f>
        <v>25580</v>
      </c>
      <c r="M163">
        <f>J163/K163</f>
        <v>1.7484784644194757</v>
      </c>
      <c r="N163" s="4"/>
      <c r="O163" s="4"/>
      <c r="P163" s="4"/>
      <c r="Q163" s="4"/>
      <c r="R163" s="4"/>
      <c r="S163" s="2"/>
      <c r="T163" s="2"/>
      <c r="U163" s="2"/>
      <c r="V163" s="2"/>
      <c r="W163" s="2"/>
      <c r="X163" s="2"/>
      <c r="Y163" s="2"/>
      <c r="Z163" s="2"/>
      <c r="AA163" s="2"/>
      <c r="AB163" s="2"/>
      <c r="AC163" s="2"/>
      <c r="AD163" s="2"/>
      <c r="AE163" s="2"/>
      <c r="AF163" s="47"/>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48"/>
      <c r="BG163" s="2"/>
      <c r="BH163" s="2"/>
      <c r="BI163" s="2"/>
      <c r="BJ163" s="48"/>
      <c r="BK163" s="2"/>
      <c r="BL163" s="2"/>
      <c r="BM163" s="2"/>
      <c r="BN163" s="48"/>
      <c r="BO163" s="2"/>
      <c r="BP163" s="2"/>
      <c r="BQ163" s="2"/>
      <c r="BR163" s="48"/>
      <c r="BS163" s="2"/>
      <c r="BT163" s="2"/>
      <c r="BU163" s="2"/>
      <c r="BV163" s="2"/>
      <c r="BW163" s="2"/>
      <c r="BX163" s="2"/>
      <c r="BY163" s="2"/>
      <c r="BZ163" s="2"/>
      <c r="CA163" s="2"/>
      <c r="CB163" s="2"/>
      <c r="CC163" s="2"/>
      <c r="CD163" s="2"/>
      <c r="CE163" s="2"/>
      <c r="CF163" s="2"/>
      <c r="CG163" s="2"/>
      <c r="CH163" s="2"/>
      <c r="CI163" s="2"/>
      <c r="CJ163" s="2"/>
      <c r="CK163" s="2"/>
      <c r="CL163" s="2"/>
      <c r="CM163" s="2"/>
      <c r="CN163" s="2"/>
      <c r="CO163" s="2"/>
      <c r="CP163" s="2"/>
    </row>
    <row r="164" spans="1:94">
      <c r="A164" s="2"/>
      <c r="B164" s="2"/>
      <c r="C164" s="2"/>
      <c r="D164" s="2"/>
      <c r="E164" s="2"/>
      <c r="F164" s="2"/>
      <c r="G164" s="2"/>
      <c r="H164" s="2"/>
      <c r="I164" s="2"/>
      <c r="J164" s="2"/>
      <c r="K164" s="2"/>
      <c r="L164" s="2"/>
      <c r="M164" s="2"/>
      <c r="N164" s="4"/>
      <c r="O164" s="4"/>
      <c r="P164" s="4"/>
      <c r="Q164" s="4"/>
      <c r="R164" s="4"/>
      <c r="S164" s="2"/>
      <c r="T164" s="2"/>
      <c r="U164" s="2"/>
      <c r="V164" s="2"/>
      <c r="W164" s="2"/>
      <c r="X164" s="2"/>
      <c r="Y164" s="2"/>
      <c r="Z164" s="2"/>
      <c r="AA164" s="2"/>
      <c r="AB164" s="2"/>
      <c r="AC164" s="2"/>
      <c r="AD164" s="2"/>
      <c r="AE164" s="2"/>
      <c r="AF164" s="47"/>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48"/>
      <c r="BG164" s="2"/>
      <c r="BH164" s="2"/>
      <c r="BI164" s="2"/>
      <c r="BJ164" s="48"/>
      <c r="BK164" s="2"/>
      <c r="BL164" s="2"/>
      <c r="BM164" s="2"/>
      <c r="BN164" s="48"/>
      <c r="BO164" s="2"/>
      <c r="BP164" s="2"/>
      <c r="BQ164" s="2"/>
      <c r="BR164" s="48"/>
      <c r="BS164" s="2"/>
      <c r="BT164" s="2"/>
      <c r="BU164" s="2"/>
      <c r="BV164" s="2"/>
      <c r="BW164" s="2"/>
      <c r="BX164" s="2"/>
      <c r="BY164" s="2"/>
      <c r="BZ164" s="2"/>
      <c r="CA164" s="2"/>
      <c r="CB164" s="2"/>
      <c r="CC164" s="2"/>
      <c r="CD164" s="2"/>
      <c r="CE164" s="2"/>
      <c r="CF164" s="2"/>
      <c r="CG164" s="2"/>
      <c r="CH164" s="2"/>
      <c r="CI164" s="2"/>
      <c r="CJ164" s="2"/>
      <c r="CK164" s="2"/>
      <c r="CL164" s="2"/>
      <c r="CM164" s="2"/>
      <c r="CN164" s="2"/>
      <c r="CO164" s="2"/>
      <c r="CP164" s="2"/>
    </row>
    <row r="165" spans="1:94">
      <c r="A165" s="2" t="s">
        <v>1030</v>
      </c>
      <c r="B165" s="2"/>
      <c r="C165" s="2"/>
      <c r="D165" s="2"/>
      <c r="E165" s="2"/>
      <c r="F165" s="2"/>
      <c r="G165" s="2"/>
      <c r="H165">
        <f>L163</f>
        <v>25580</v>
      </c>
      <c r="I165">
        <f t="shared" ref="I165:R165" si="174">H165</f>
        <v>25580</v>
      </c>
      <c r="J165">
        <f t="shared" si="174"/>
        <v>25580</v>
      </c>
      <c r="K165">
        <f t="shared" si="174"/>
        <v>25580</v>
      </c>
      <c r="L165">
        <f t="shared" si="174"/>
        <v>25580</v>
      </c>
      <c r="M165">
        <f t="shared" si="174"/>
        <v>25580</v>
      </c>
      <c r="N165">
        <f t="shared" si="174"/>
        <v>25580</v>
      </c>
      <c r="O165">
        <f t="shared" si="174"/>
        <v>25580</v>
      </c>
      <c r="P165">
        <f t="shared" si="174"/>
        <v>25580</v>
      </c>
      <c r="Q165">
        <f t="shared" si="174"/>
        <v>25580</v>
      </c>
      <c r="R165">
        <f t="shared" si="174"/>
        <v>25580</v>
      </c>
      <c r="S165" s="2"/>
      <c r="T165" s="2"/>
      <c r="U165" s="2"/>
      <c r="V165" s="2"/>
      <c r="W165" s="2"/>
      <c r="X165" s="2"/>
      <c r="Y165" s="2"/>
      <c r="Z165" s="2"/>
      <c r="AA165" s="2"/>
      <c r="AB165" s="2"/>
      <c r="AC165" s="2"/>
      <c r="AD165" s="2"/>
      <c r="AE165" s="2"/>
      <c r="AF165" s="47"/>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48"/>
      <c r="BG165" s="2"/>
      <c r="BH165" s="2"/>
      <c r="BI165" s="2"/>
      <c r="BJ165" s="48"/>
      <c r="BK165" s="2"/>
      <c r="BL165" s="2"/>
      <c r="BM165" s="2"/>
      <c r="BN165" s="48"/>
      <c r="BO165" s="2"/>
      <c r="BP165" s="2"/>
      <c r="BQ165" s="2"/>
      <c r="BR165" s="48"/>
      <c r="BS165" s="2"/>
      <c r="BT165" s="2"/>
      <c r="BU165" s="2"/>
      <c r="BV165" s="2"/>
      <c r="BW165" s="2"/>
      <c r="BX165" s="2"/>
      <c r="BY165" s="2"/>
      <c r="BZ165" s="2"/>
      <c r="CA165" s="2"/>
      <c r="CB165" s="2"/>
      <c r="CC165" s="2"/>
      <c r="CD165" s="2"/>
      <c r="CE165" s="2"/>
      <c r="CF165" s="2"/>
      <c r="CG165" s="2"/>
      <c r="CH165" s="2"/>
      <c r="CI165" s="2"/>
      <c r="CJ165" s="2"/>
      <c r="CK165" s="2"/>
      <c r="CL165" s="2"/>
      <c r="CM165" s="2"/>
      <c r="CN165" s="2"/>
      <c r="CO165" s="2"/>
      <c r="CP165" s="2"/>
    </row>
    <row r="166" spans="1:94">
      <c r="A166" s="2"/>
      <c r="B166" s="2"/>
      <c r="C166" s="2"/>
      <c r="D166" s="2"/>
      <c r="E166" s="2"/>
      <c r="F166" s="2"/>
      <c r="G166" s="2"/>
      <c r="H166" s="2"/>
      <c r="I166" s="2"/>
      <c r="J166" s="2"/>
      <c r="K166" s="2"/>
      <c r="L166" s="2"/>
      <c r="M166" s="2"/>
      <c r="N166" s="4"/>
      <c r="O166" s="4"/>
      <c r="P166" s="4"/>
      <c r="Q166" s="4"/>
      <c r="R166" s="4"/>
      <c r="S166" s="2"/>
      <c r="T166" s="2"/>
      <c r="U166" s="2"/>
      <c r="V166" s="2"/>
      <c r="W166" s="2"/>
      <c r="X166" s="2"/>
      <c r="Y166" s="2"/>
      <c r="Z166" s="2"/>
      <c r="AA166" s="2"/>
      <c r="AB166" s="2"/>
      <c r="AC166" s="2"/>
      <c r="AD166" s="2"/>
      <c r="AE166" s="2"/>
      <c r="AF166" s="47"/>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48"/>
      <c r="BG166" s="2"/>
      <c r="BH166" s="2"/>
      <c r="BI166" s="2"/>
      <c r="BJ166" s="48"/>
      <c r="BK166" s="2"/>
      <c r="BL166" s="2"/>
      <c r="BM166" s="2"/>
      <c r="BN166" s="48"/>
      <c r="BO166" s="2"/>
      <c r="BP166" s="2"/>
      <c r="BQ166" s="2"/>
      <c r="BR166" s="48"/>
      <c r="BS166" s="2"/>
      <c r="BT166" s="2"/>
      <c r="BU166" s="2"/>
      <c r="BV166" s="2"/>
      <c r="BW166" s="2"/>
      <c r="BX166" s="2"/>
      <c r="BY166" s="2"/>
      <c r="BZ166" s="2"/>
      <c r="CA166" s="2"/>
      <c r="CB166" s="2"/>
      <c r="CC166" s="2"/>
      <c r="CD166" s="2"/>
      <c r="CE166" s="2"/>
      <c r="CF166" s="2"/>
      <c r="CG166" s="2"/>
      <c r="CH166" s="2"/>
      <c r="CI166" s="2"/>
      <c r="CJ166" s="2"/>
      <c r="CK166" s="2"/>
      <c r="CL166" s="2"/>
      <c r="CM166" s="2"/>
      <c r="CN166" s="2"/>
      <c r="CO166" s="2"/>
      <c r="CP166" s="2"/>
    </row>
    <row r="167" spans="1:94">
      <c r="A167" s="49" t="s">
        <v>1036</v>
      </c>
      <c r="B167" s="50"/>
      <c r="C167" s="50"/>
      <c r="D167" s="50"/>
      <c r="E167" s="50"/>
      <c r="F167" s="50"/>
      <c r="G167" s="50"/>
      <c r="H167" s="50"/>
      <c r="I167" s="50"/>
      <c r="J167" s="50"/>
      <c r="K167" s="50"/>
      <c r="L167" s="50"/>
      <c r="M167" s="50"/>
      <c r="N167" s="50"/>
      <c r="O167" s="50"/>
      <c r="P167" s="50"/>
      <c r="Q167" s="50"/>
      <c r="R167" s="50"/>
      <c r="S167" s="50"/>
      <c r="T167" s="50"/>
      <c r="U167" s="50"/>
      <c r="V167" s="50"/>
      <c r="W167" s="50"/>
      <c r="X167" s="50"/>
      <c r="Y167" s="50"/>
      <c r="Z167" s="50"/>
      <c r="AA167" s="50"/>
      <c r="AB167" s="50"/>
      <c r="AC167" s="50"/>
      <c r="AD167" s="50"/>
      <c r="AE167" s="50"/>
      <c r="AF167" s="51"/>
      <c r="AG167" s="2"/>
      <c r="AH167" s="50"/>
      <c r="AI167" s="50"/>
      <c r="AJ167" s="50"/>
      <c r="AK167" s="50"/>
      <c r="AL167" s="50"/>
      <c r="AM167" s="50"/>
      <c r="AN167" s="50"/>
      <c r="AO167" s="50"/>
      <c r="AP167" s="50"/>
      <c r="AQ167" s="50"/>
      <c r="AR167" s="50"/>
      <c r="AS167" s="50"/>
      <c r="AT167" s="50"/>
      <c r="AU167" s="50"/>
      <c r="AV167" s="50"/>
      <c r="AW167" s="50"/>
      <c r="AX167" s="50"/>
      <c r="AY167" s="50"/>
      <c r="AZ167" s="50"/>
      <c r="BA167" s="50"/>
      <c r="BB167" s="50"/>
      <c r="BC167" s="50"/>
      <c r="BD167" s="50"/>
      <c r="BE167" s="50"/>
      <c r="BF167" s="54"/>
      <c r="BG167" s="50"/>
      <c r="BH167" s="50"/>
      <c r="BI167" s="50"/>
      <c r="BJ167" s="54"/>
      <c r="BK167" s="50"/>
      <c r="BL167" s="50"/>
      <c r="BM167" s="50"/>
      <c r="BN167" s="54"/>
      <c r="BO167" s="50"/>
      <c r="BP167" s="50"/>
      <c r="BQ167" s="50"/>
      <c r="BR167" s="54"/>
      <c r="BS167" s="50"/>
      <c r="BT167" s="50"/>
      <c r="BU167" s="50"/>
      <c r="BV167" s="7"/>
      <c r="BW167" s="7"/>
      <c r="BX167" s="7"/>
      <c r="BY167" s="7"/>
      <c r="BZ167" s="2"/>
      <c r="CA167" s="2"/>
      <c r="CB167" s="2"/>
      <c r="CC167" s="2"/>
      <c r="CD167" s="2"/>
      <c r="CE167" s="2"/>
      <c r="CF167" s="2"/>
      <c r="CG167" s="2"/>
      <c r="CH167" s="2"/>
      <c r="CI167" s="2"/>
      <c r="CJ167" s="2"/>
      <c r="CK167" s="2"/>
      <c r="CL167" s="2"/>
      <c r="CM167" s="2"/>
      <c r="CN167" s="2"/>
      <c r="CO167" s="2"/>
      <c r="CP167" s="2"/>
    </row>
    <row r="168" spans="1:94">
      <c r="A168" s="2" t="s">
        <v>1037</v>
      </c>
      <c r="B168" s="2"/>
      <c r="C168" s="2"/>
      <c r="D168" s="2"/>
      <c r="E168" s="2"/>
      <c r="F168" s="2"/>
      <c r="G168" s="2"/>
      <c r="H168" s="2"/>
      <c r="I168" s="2"/>
      <c r="J168" s="56" t="e">
        <f t="shared" ref="J168:R168" si="175">+J87</f>
        <v>#REF!</v>
      </c>
      <c r="K168" s="56" t="e">
        <f t="shared" si="175"/>
        <v>#REF!</v>
      </c>
      <c r="L168" s="56" t="e">
        <f t="shared" si="175"/>
        <v>#REF!</v>
      </c>
      <c r="M168" s="56" t="e">
        <f t="shared" si="175"/>
        <v>#REF!</v>
      </c>
      <c r="N168" s="71" t="e">
        <f t="shared" si="175"/>
        <v>#REF!</v>
      </c>
      <c r="O168" s="71" t="e">
        <f t="shared" si="175"/>
        <v>#REF!</v>
      </c>
      <c r="P168" s="71" t="e">
        <f t="shared" si="175"/>
        <v>#REF!</v>
      </c>
      <c r="Q168" s="71" t="e">
        <f t="shared" si="175"/>
        <v>#REF!</v>
      </c>
      <c r="R168" s="71" t="e">
        <f t="shared" si="175"/>
        <v>#REF!</v>
      </c>
      <c r="S168" s="2"/>
      <c r="T168" s="2"/>
      <c r="U168" s="2"/>
      <c r="V168" s="2"/>
      <c r="W168" s="2"/>
      <c r="X168" s="2"/>
      <c r="Y168" s="2"/>
      <c r="Z168" s="2"/>
      <c r="AA168" s="2"/>
      <c r="AB168" s="2"/>
      <c r="AC168" s="2"/>
      <c r="AD168" s="2"/>
      <c r="AE168" s="2"/>
      <c r="AF168" s="47"/>
      <c r="AG168" s="2"/>
      <c r="AH168" s="2"/>
      <c r="AI168" s="2"/>
      <c r="AJ168" s="2"/>
      <c r="AK168" s="2"/>
      <c r="AL168" s="2"/>
      <c r="AM168" s="2"/>
      <c r="AN168" s="2"/>
      <c r="AO168" s="2"/>
      <c r="AP168" s="2"/>
      <c r="AQ168" s="2"/>
      <c r="AR168" s="2"/>
      <c r="AS168" s="2"/>
      <c r="AT168" s="2"/>
      <c r="AU168" s="2"/>
      <c r="AV168" s="2"/>
      <c r="AW168" s="2"/>
      <c r="AX168" s="2"/>
      <c r="AY168" s="2"/>
      <c r="AZ168" s="2"/>
      <c r="BA168" s="2"/>
      <c r="BB168" s="56"/>
      <c r="BC168" s="56"/>
      <c r="BD168" s="56"/>
      <c r="BE168" s="56"/>
      <c r="BF168" s="69"/>
      <c r="BG168" s="56"/>
      <c r="BH168" s="56"/>
      <c r="BI168" s="56"/>
      <c r="BJ168" s="69"/>
      <c r="BK168" s="56"/>
      <c r="BL168" s="56"/>
      <c r="BM168" s="56"/>
      <c r="BN168" s="69"/>
      <c r="BO168" s="56"/>
      <c r="BP168" s="56"/>
      <c r="BQ168" s="56"/>
      <c r="BR168" s="69"/>
      <c r="BS168" s="56"/>
      <c r="BT168" s="56"/>
      <c r="BU168" s="56"/>
      <c r="BV168" s="2"/>
      <c r="BW168" s="2"/>
      <c r="BX168" s="2"/>
      <c r="BY168" s="2"/>
      <c r="BZ168" s="2"/>
      <c r="CA168" s="2"/>
      <c r="CB168" s="2"/>
      <c r="CC168" s="2"/>
      <c r="CD168" s="2"/>
      <c r="CE168" s="2"/>
      <c r="CF168" s="2"/>
      <c r="CG168" s="2"/>
      <c r="CH168" s="2"/>
      <c r="CI168" s="2"/>
      <c r="CJ168" s="2"/>
      <c r="CK168" s="2"/>
      <c r="CL168" s="2"/>
      <c r="CM168" s="2"/>
      <c r="CN168" s="2"/>
      <c r="CO168" s="2"/>
      <c r="CP168" s="2"/>
    </row>
    <row r="169" spans="1:94">
      <c r="A169" s="2" t="s">
        <v>1038</v>
      </c>
      <c r="B169" s="2"/>
      <c r="C169" s="2"/>
      <c r="D169" s="2"/>
      <c r="E169" s="2"/>
      <c r="F169" s="2"/>
      <c r="G169" s="2"/>
      <c r="H169" s="2"/>
      <c r="I169" s="2"/>
      <c r="J169" s="56" t="e">
        <f t="shared" ref="J169:R169" si="176">+J49</f>
        <v>#REF!</v>
      </c>
      <c r="K169" s="56" t="e">
        <f t="shared" si="176"/>
        <v>#REF!</v>
      </c>
      <c r="L169" s="56" t="e">
        <f t="shared" si="176"/>
        <v>#REF!</v>
      </c>
      <c r="M169" s="56" t="e">
        <f t="shared" si="176"/>
        <v>#REF!</v>
      </c>
      <c r="N169" s="71" t="e">
        <f t="shared" si="176"/>
        <v>#REF!</v>
      </c>
      <c r="O169" s="71" t="e">
        <f t="shared" si="176"/>
        <v>#REF!</v>
      </c>
      <c r="P169" s="71" t="e">
        <f t="shared" si="176"/>
        <v>#REF!</v>
      </c>
      <c r="Q169" s="71" t="e">
        <f t="shared" si="176"/>
        <v>#REF!</v>
      </c>
      <c r="R169" s="71" t="e">
        <f t="shared" si="176"/>
        <v>#REF!</v>
      </c>
      <c r="S169" s="2"/>
      <c r="T169" s="2"/>
      <c r="U169" s="2"/>
      <c r="V169" s="2"/>
      <c r="W169" s="2"/>
      <c r="X169" s="2"/>
      <c r="Y169" s="2"/>
      <c r="Z169" s="2"/>
      <c r="AA169" s="2"/>
      <c r="AB169" s="2"/>
      <c r="AC169" s="2"/>
      <c r="AD169" s="2"/>
      <c r="AE169" s="2"/>
      <c r="AF169" s="47"/>
      <c r="AG169" s="2"/>
      <c r="AH169" s="2"/>
      <c r="AI169" s="2"/>
      <c r="AJ169" s="2"/>
      <c r="AK169" s="2"/>
      <c r="AL169" s="2"/>
      <c r="AM169" s="2"/>
      <c r="AN169" s="2"/>
      <c r="AO169" s="2"/>
      <c r="AP169" s="2"/>
      <c r="AQ169" s="2"/>
      <c r="AR169" s="2"/>
      <c r="AS169" s="2"/>
      <c r="AT169" s="2"/>
      <c r="AU169" s="2"/>
      <c r="AV169" s="2"/>
      <c r="AW169" s="2"/>
      <c r="AX169" s="2"/>
      <c r="AY169" s="2"/>
      <c r="AZ169" s="2"/>
      <c r="BA169" s="2"/>
      <c r="BB169" s="56"/>
      <c r="BC169" s="56"/>
      <c r="BD169" s="56"/>
      <c r="BE169" s="56"/>
      <c r="BF169" s="69"/>
      <c r="BG169" s="56"/>
      <c r="BH169" s="56"/>
      <c r="BI169" s="56"/>
      <c r="BJ169" s="69"/>
      <c r="BK169" s="56"/>
      <c r="BL169" s="56"/>
      <c r="BM169" s="56"/>
      <c r="BN169" s="69"/>
      <c r="BO169" s="56"/>
      <c r="BP169" s="56"/>
      <c r="BQ169" s="56"/>
      <c r="BR169" s="69"/>
      <c r="BS169" s="56"/>
      <c r="BT169" s="56"/>
      <c r="BU169" s="56"/>
      <c r="BV169" s="2"/>
      <c r="BW169" s="2"/>
      <c r="BX169" s="2"/>
      <c r="BY169" s="2"/>
      <c r="BZ169" s="2"/>
      <c r="CA169" s="2"/>
      <c r="CB169" s="2"/>
      <c r="CC169" s="2"/>
      <c r="CD169" s="2"/>
      <c r="CE169" s="2"/>
      <c r="CF169" s="2"/>
      <c r="CG169" s="2"/>
      <c r="CH169" s="2"/>
      <c r="CI169" s="2"/>
      <c r="CJ169" s="2"/>
      <c r="CK169" s="2"/>
      <c r="CL169" s="2"/>
      <c r="CM169" s="2"/>
      <c r="CN169" s="2"/>
      <c r="CO169" s="2"/>
      <c r="CP169" s="2"/>
    </row>
    <row r="170" spans="1:94">
      <c r="A170" s="2" t="s">
        <v>1039</v>
      </c>
      <c r="B170" s="2"/>
      <c r="C170" s="2"/>
      <c r="D170" s="2"/>
      <c r="E170" s="2"/>
      <c r="F170" s="2"/>
      <c r="G170" s="2"/>
      <c r="H170" s="2"/>
      <c r="I170" s="2"/>
      <c r="J170" s="56" t="e">
        <f t="shared" ref="J170:R170" si="177">J155*(1-J81)</f>
        <v>#REF!</v>
      </c>
      <c r="K170" s="56" t="e">
        <f t="shared" si="177"/>
        <v>#REF!</v>
      </c>
      <c r="L170" s="56" t="e">
        <f t="shared" si="177"/>
        <v>#REF!</v>
      </c>
      <c r="M170" s="56" t="e">
        <f t="shared" si="177"/>
        <v>#REF!</v>
      </c>
      <c r="N170" s="71" t="e">
        <f t="shared" si="177"/>
        <v>#REF!</v>
      </c>
      <c r="O170" s="71" t="e">
        <f t="shared" si="177"/>
        <v>#REF!</v>
      </c>
      <c r="P170" s="71" t="e">
        <f t="shared" si="177"/>
        <v>#REF!</v>
      </c>
      <c r="Q170" s="71" t="e">
        <f t="shared" si="177"/>
        <v>#REF!</v>
      </c>
      <c r="R170" s="71" t="e">
        <f t="shared" si="177"/>
        <v>#REF!</v>
      </c>
      <c r="S170" s="2"/>
      <c r="T170" s="2"/>
      <c r="U170" s="2"/>
      <c r="V170" s="2"/>
      <c r="W170" s="2"/>
      <c r="X170" s="2"/>
      <c r="Y170" s="2"/>
      <c r="Z170" s="2"/>
      <c r="AA170" s="2"/>
      <c r="AB170" s="2"/>
      <c r="AC170" s="2"/>
      <c r="AD170" s="2"/>
      <c r="AE170" s="2"/>
      <c r="AF170" s="47"/>
      <c r="AG170" s="2"/>
      <c r="AH170" s="2"/>
      <c r="AI170" s="2"/>
      <c r="AJ170" s="2"/>
      <c r="AK170" s="2"/>
      <c r="AL170" s="2"/>
      <c r="AM170" s="2"/>
      <c r="AN170" s="2"/>
      <c r="AO170" s="2"/>
      <c r="AP170" s="2"/>
      <c r="AQ170" s="2"/>
      <c r="AR170" s="2"/>
      <c r="AS170" s="2"/>
      <c r="AT170" s="2"/>
      <c r="AU170" s="2"/>
      <c r="AV170" s="2"/>
      <c r="AW170" s="2"/>
      <c r="AX170" s="2"/>
      <c r="AY170" s="2"/>
      <c r="AZ170" s="2"/>
      <c r="BA170" s="2"/>
      <c r="BB170" s="56"/>
      <c r="BC170" s="56"/>
      <c r="BD170" s="56"/>
      <c r="BE170" s="56"/>
      <c r="BF170" s="69"/>
      <c r="BG170" s="56"/>
      <c r="BH170" s="56"/>
      <c r="BI170" s="56"/>
      <c r="BJ170" s="69"/>
      <c r="BK170" s="56"/>
      <c r="BL170" s="56"/>
      <c r="BM170" s="56"/>
      <c r="BN170" s="69"/>
      <c r="BO170" s="56"/>
      <c r="BP170" s="56"/>
      <c r="BQ170" s="56"/>
      <c r="BR170" s="69"/>
      <c r="BS170" s="56"/>
      <c r="BT170" s="56"/>
      <c r="BU170" s="56"/>
      <c r="BV170" s="2"/>
      <c r="BW170" s="2"/>
      <c r="BX170" s="2"/>
      <c r="BY170" s="2"/>
      <c r="BZ170" s="2"/>
      <c r="CA170" s="2"/>
      <c r="CB170" s="2"/>
      <c r="CC170" s="2"/>
      <c r="CD170" s="2"/>
      <c r="CE170" s="2"/>
      <c r="CF170" s="2"/>
      <c r="CG170" s="2"/>
      <c r="CH170" s="2"/>
      <c r="CI170" s="2"/>
      <c r="CJ170" s="2"/>
      <c r="CK170" s="2"/>
      <c r="CL170" s="2"/>
      <c r="CM170" s="2"/>
      <c r="CN170" s="2"/>
      <c r="CO170" s="2"/>
      <c r="CP170" s="2"/>
    </row>
    <row r="171" spans="1:94">
      <c r="A171" s="57" t="s">
        <v>1040</v>
      </c>
      <c r="B171" s="1"/>
      <c r="C171" s="1"/>
      <c r="D171" s="1"/>
      <c r="E171" s="1"/>
      <c r="F171" s="1"/>
      <c r="G171" s="1"/>
      <c r="H171" s="1"/>
      <c r="I171" s="1"/>
      <c r="J171" s="58" t="e">
        <f t="shared" ref="J171:R171" si="178">SUM(J168:J170)</f>
        <v>#REF!</v>
      </c>
      <c r="K171" s="58" t="e">
        <f t="shared" si="178"/>
        <v>#REF!</v>
      </c>
      <c r="L171" s="58" t="e">
        <f t="shared" si="178"/>
        <v>#REF!</v>
      </c>
      <c r="M171" s="58" t="e">
        <f t="shared" si="178"/>
        <v>#REF!</v>
      </c>
      <c r="N171" s="62" t="e">
        <f t="shared" si="178"/>
        <v>#REF!</v>
      </c>
      <c r="O171" s="62" t="e">
        <f t="shared" si="178"/>
        <v>#REF!</v>
      </c>
      <c r="P171" s="62" t="e">
        <f t="shared" si="178"/>
        <v>#REF!</v>
      </c>
      <c r="Q171" s="62" t="e">
        <f t="shared" si="178"/>
        <v>#REF!</v>
      </c>
      <c r="R171" s="62" t="e">
        <f t="shared" si="178"/>
        <v>#REF!</v>
      </c>
      <c r="S171" s="1"/>
      <c r="T171" s="1"/>
      <c r="U171" s="1"/>
      <c r="V171" s="1"/>
      <c r="W171" s="1"/>
      <c r="X171" s="1"/>
      <c r="Y171" s="1"/>
      <c r="Z171" s="1"/>
      <c r="AA171" s="1"/>
      <c r="AB171" s="1"/>
      <c r="AC171" s="1"/>
      <c r="AD171" s="1"/>
      <c r="AE171" s="1"/>
      <c r="AF171" s="72"/>
      <c r="AG171" s="2"/>
      <c r="AH171" s="1"/>
      <c r="AI171" s="1"/>
      <c r="AJ171" s="1"/>
      <c r="AK171" s="1"/>
      <c r="AL171" s="1"/>
      <c r="AM171" s="1"/>
      <c r="AN171" s="1"/>
      <c r="AO171" s="1"/>
      <c r="AP171" s="1"/>
      <c r="AQ171" s="1"/>
      <c r="AR171" s="1"/>
      <c r="AS171" s="1"/>
      <c r="AT171" s="1"/>
      <c r="AU171" s="1"/>
      <c r="AV171" s="1"/>
      <c r="AW171" s="1"/>
      <c r="AX171" s="1"/>
      <c r="AY171" s="1"/>
      <c r="AZ171" s="1"/>
      <c r="BA171" s="1"/>
      <c r="BB171" s="58"/>
      <c r="BC171" s="58"/>
      <c r="BD171" s="58"/>
      <c r="BE171" s="58"/>
      <c r="BF171" s="60"/>
      <c r="BG171" s="58"/>
      <c r="BH171" s="58"/>
      <c r="BI171" s="58"/>
      <c r="BJ171" s="60"/>
      <c r="BK171" s="58"/>
      <c r="BL171" s="58"/>
      <c r="BM171" s="58"/>
      <c r="BN171" s="60"/>
      <c r="BO171" s="58"/>
      <c r="BP171" s="58"/>
      <c r="BQ171" s="58"/>
      <c r="BR171" s="60"/>
      <c r="BS171" s="58"/>
      <c r="BT171" s="58"/>
      <c r="BU171" s="58"/>
      <c r="BV171" s="1"/>
      <c r="BW171" s="1"/>
      <c r="BX171" s="1"/>
      <c r="BY171" s="1"/>
      <c r="BZ171" s="1"/>
      <c r="CA171" s="1"/>
      <c r="CB171" s="1"/>
      <c r="CC171" s="1"/>
      <c r="CD171" s="1"/>
      <c r="CE171" s="1"/>
      <c r="CF171" s="1"/>
      <c r="CG171" s="1"/>
      <c r="CH171" s="1"/>
      <c r="CI171" s="1"/>
      <c r="CJ171" s="1"/>
      <c r="CK171" s="1"/>
      <c r="CL171" s="1"/>
      <c r="CM171" s="1"/>
      <c r="CN171" s="1"/>
      <c r="CO171" s="1"/>
      <c r="CP171" s="1"/>
    </row>
    <row r="172" spans="1:94" ht="4.5" customHeight="1">
      <c r="A172" s="2"/>
      <c r="B172" s="2"/>
      <c r="C172" s="2"/>
      <c r="D172" s="2"/>
      <c r="E172" s="2"/>
      <c r="F172" s="2"/>
      <c r="G172" s="2"/>
      <c r="H172" s="2"/>
      <c r="I172" s="2"/>
      <c r="J172" s="2"/>
      <c r="K172" s="2"/>
      <c r="L172" s="2"/>
      <c r="M172" s="2"/>
      <c r="N172" s="4"/>
      <c r="O172" s="4"/>
      <c r="P172" s="4"/>
      <c r="Q172" s="4"/>
      <c r="R172" s="4"/>
      <c r="S172" s="2"/>
      <c r="T172" s="2"/>
      <c r="U172" s="2"/>
      <c r="V172" s="2"/>
      <c r="W172" s="2"/>
      <c r="X172" s="2"/>
      <c r="Y172" s="2"/>
      <c r="Z172" s="2"/>
      <c r="AA172" s="2"/>
      <c r="AB172" s="2"/>
      <c r="AC172" s="2"/>
      <c r="AD172" s="2"/>
      <c r="AE172" s="2"/>
      <c r="AF172" s="47"/>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48"/>
      <c r="BG172" s="2"/>
      <c r="BH172" s="2"/>
      <c r="BI172" s="2"/>
      <c r="BJ172" s="48"/>
      <c r="BK172" s="2"/>
      <c r="BL172" s="2"/>
      <c r="BM172" s="2"/>
      <c r="BN172" s="48"/>
      <c r="BO172" s="2"/>
      <c r="BP172" s="2"/>
      <c r="BQ172" s="2"/>
      <c r="BR172" s="48"/>
      <c r="BS172" s="2"/>
      <c r="BT172" s="2"/>
      <c r="BU172" s="2"/>
      <c r="BV172" s="2"/>
      <c r="BW172" s="2"/>
      <c r="BX172" s="2"/>
      <c r="BY172" s="2"/>
      <c r="BZ172" s="2"/>
      <c r="CA172" s="2"/>
      <c r="CB172" s="2"/>
      <c r="CC172" s="2"/>
      <c r="CD172" s="2"/>
      <c r="CE172" s="2"/>
      <c r="CF172" s="2"/>
      <c r="CG172" s="2"/>
      <c r="CH172" s="2"/>
      <c r="CI172" s="2"/>
      <c r="CJ172" s="2"/>
      <c r="CK172" s="2"/>
      <c r="CL172" s="2"/>
      <c r="CM172" s="2"/>
      <c r="CN172" s="2"/>
      <c r="CO172" s="2"/>
      <c r="CP172" s="2"/>
    </row>
    <row r="173" spans="1:94">
      <c r="A173" s="2" t="s">
        <v>994</v>
      </c>
      <c r="B173" s="2"/>
      <c r="C173" s="2"/>
      <c r="D173" s="2"/>
      <c r="E173" s="2"/>
      <c r="F173" s="2"/>
      <c r="G173" s="2"/>
      <c r="H173" s="2"/>
      <c r="I173" s="2"/>
      <c r="J173" s="56" t="e">
        <f t="shared" ref="J173:R173" si="179">+J108</f>
        <v>#REF!</v>
      </c>
      <c r="K173" s="56" t="e">
        <f t="shared" si="179"/>
        <v>#REF!</v>
      </c>
      <c r="L173" s="56" t="e">
        <f t="shared" si="179"/>
        <v>#REF!</v>
      </c>
      <c r="M173" s="56" t="e">
        <f t="shared" si="179"/>
        <v>#REF!</v>
      </c>
      <c r="N173" s="71" t="e">
        <f t="shared" si="179"/>
        <v>#REF!</v>
      </c>
      <c r="O173" s="71" t="e">
        <f t="shared" si="179"/>
        <v>#REF!</v>
      </c>
      <c r="P173" s="71" t="e">
        <f t="shared" si="179"/>
        <v>#REF!</v>
      </c>
      <c r="Q173" s="71" t="e">
        <f t="shared" si="179"/>
        <v>#REF!</v>
      </c>
      <c r="R173" s="71" t="e">
        <f t="shared" si="179"/>
        <v>#REF!</v>
      </c>
      <c r="S173" s="2"/>
      <c r="T173" s="2"/>
      <c r="U173" s="2"/>
      <c r="V173" s="2"/>
      <c r="W173" s="2"/>
      <c r="X173" s="2"/>
      <c r="Y173" s="2"/>
      <c r="Z173" s="2"/>
      <c r="AA173" s="2"/>
      <c r="AB173" s="2"/>
      <c r="AC173" s="2"/>
      <c r="AD173" s="2"/>
      <c r="AE173" s="2"/>
      <c r="AF173" s="47"/>
      <c r="AG173" s="2"/>
      <c r="AH173" s="2"/>
      <c r="AI173" s="2"/>
      <c r="AJ173" s="2"/>
      <c r="AK173" s="2"/>
      <c r="AL173" s="2"/>
      <c r="AM173" s="2"/>
      <c r="AN173" s="2"/>
      <c r="AO173" s="2"/>
      <c r="AP173" s="2"/>
      <c r="AQ173" s="2"/>
      <c r="AR173" s="2"/>
      <c r="AS173" s="2"/>
      <c r="AT173" s="2"/>
      <c r="AU173" s="2"/>
      <c r="AV173" s="2"/>
      <c r="AW173" s="2"/>
      <c r="AX173" s="2"/>
      <c r="AY173" s="2"/>
      <c r="AZ173" s="2"/>
      <c r="BA173" s="2"/>
      <c r="BB173" s="56"/>
      <c r="BC173" s="56"/>
      <c r="BD173" s="56"/>
      <c r="BE173" s="56"/>
      <c r="BF173" s="69"/>
      <c r="BG173" s="56"/>
      <c r="BH173" s="56"/>
      <c r="BI173" s="56"/>
      <c r="BJ173" s="69"/>
      <c r="BK173" s="56"/>
      <c r="BL173" s="56"/>
      <c r="BM173" s="56"/>
      <c r="BN173" s="69"/>
      <c r="BO173" s="56"/>
      <c r="BP173" s="56"/>
      <c r="BQ173" s="56"/>
      <c r="BR173" s="69"/>
      <c r="BS173" s="56"/>
      <c r="BT173" s="56"/>
      <c r="BU173" s="56"/>
      <c r="BV173" s="2"/>
      <c r="BW173" s="2"/>
      <c r="BX173" s="2"/>
      <c r="BY173" s="2"/>
      <c r="BZ173" s="2"/>
      <c r="CA173" s="2"/>
      <c r="CB173" s="2"/>
      <c r="CC173" s="2"/>
      <c r="CD173" s="2"/>
      <c r="CE173" s="2"/>
      <c r="CF173" s="2"/>
      <c r="CG173" s="2"/>
      <c r="CH173" s="2"/>
      <c r="CI173" s="2"/>
      <c r="CJ173" s="2"/>
      <c r="CK173" s="2"/>
      <c r="CL173" s="2"/>
      <c r="CM173" s="2"/>
      <c r="CN173" s="2"/>
      <c r="CO173" s="2"/>
      <c r="CP173" s="2"/>
    </row>
    <row r="174" spans="1:94">
      <c r="A174" s="57" t="s">
        <v>1041</v>
      </c>
      <c r="B174" s="2"/>
      <c r="C174" s="2"/>
      <c r="D174" s="2"/>
      <c r="E174" s="2"/>
      <c r="F174" s="2"/>
      <c r="G174" s="2"/>
      <c r="H174" s="2"/>
      <c r="I174" s="2"/>
      <c r="J174" s="77" t="e">
        <f t="shared" ref="J174:R174" si="180">+J171/J173</f>
        <v>#REF!</v>
      </c>
      <c r="K174" s="77" t="e">
        <f t="shared" si="180"/>
        <v>#REF!</v>
      </c>
      <c r="L174" s="77" t="e">
        <f t="shared" si="180"/>
        <v>#REF!</v>
      </c>
      <c r="M174" s="77" t="e">
        <f t="shared" si="180"/>
        <v>#REF!</v>
      </c>
      <c r="N174" t="e">
        <f t="shared" si="180"/>
        <v>#REF!</v>
      </c>
      <c r="O174" t="e">
        <f t="shared" si="180"/>
        <v>#REF!</v>
      </c>
      <c r="P174" t="e">
        <f t="shared" si="180"/>
        <v>#REF!</v>
      </c>
      <c r="Q174" t="e">
        <f t="shared" si="180"/>
        <v>#REF!</v>
      </c>
      <c r="R174" t="e">
        <f t="shared" si="180"/>
        <v>#REF!</v>
      </c>
      <c r="S174" s="2"/>
      <c r="T174" s="2"/>
      <c r="U174" s="2"/>
      <c r="V174" s="2"/>
      <c r="W174" s="2"/>
      <c r="X174" s="2"/>
      <c r="Y174" s="2"/>
      <c r="Z174" s="2"/>
      <c r="AA174" s="2"/>
      <c r="AB174" s="2"/>
      <c r="AC174" s="2"/>
      <c r="AD174" s="2"/>
      <c r="AE174" s="2"/>
      <c r="AF174" s="47"/>
      <c r="AG174" s="2"/>
      <c r="AH174" s="2"/>
      <c r="AI174" s="2"/>
      <c r="AJ174" s="2"/>
      <c r="AK174" s="2"/>
      <c r="AL174" s="2"/>
      <c r="AM174" s="2"/>
      <c r="AN174" s="2"/>
      <c r="AO174" s="2"/>
      <c r="AP174" s="2"/>
      <c r="AQ174" s="2"/>
      <c r="AR174" s="2"/>
      <c r="AS174" s="2"/>
      <c r="AT174" s="2"/>
      <c r="AU174" s="2"/>
      <c r="AV174" s="2"/>
      <c r="AW174" s="2"/>
      <c r="AX174" s="2"/>
      <c r="AY174" s="2"/>
      <c r="AZ174" s="2"/>
      <c r="BA174" s="2"/>
      <c r="BB174" s="77"/>
      <c r="BC174" s="77"/>
      <c r="BD174" s="77"/>
      <c r="BE174" s="77"/>
      <c r="BG174" s="77"/>
      <c r="BH174" s="77"/>
      <c r="BI174" s="77"/>
      <c r="BK174" s="77"/>
      <c r="BL174" s="77"/>
      <c r="BM174" s="77"/>
      <c r="BO174" s="77"/>
      <c r="BP174" s="77"/>
      <c r="BQ174" s="77"/>
      <c r="BS174" s="77"/>
      <c r="BT174" s="77"/>
      <c r="BU174" s="77"/>
      <c r="BV174" s="2"/>
      <c r="BW174" s="2"/>
      <c r="BX174" s="2"/>
      <c r="BY174" s="2"/>
      <c r="BZ174" s="2"/>
      <c r="CA174" s="2"/>
      <c r="CB174" s="2"/>
      <c r="CC174" s="2"/>
      <c r="CD174" s="2"/>
      <c r="CE174" s="2"/>
      <c r="CF174" s="2"/>
      <c r="CG174" s="2"/>
      <c r="CH174" s="2"/>
      <c r="CI174" s="2"/>
      <c r="CJ174" s="2"/>
      <c r="CK174" s="2"/>
      <c r="CL174" s="2"/>
      <c r="CM174" s="2"/>
      <c r="CN174" s="2"/>
      <c r="CO174" s="2"/>
      <c r="CP174" s="2"/>
    </row>
    <row r="175" spans="1:94">
      <c r="AG175" s="2"/>
      <c r="BV175" s="2"/>
      <c r="BW175" s="2"/>
      <c r="BX175" s="2"/>
      <c r="BY175" s="2"/>
      <c r="BZ175" s="2"/>
      <c r="CA175" s="2"/>
      <c r="CB175" s="2"/>
      <c r="CC175" s="2"/>
      <c r="CD175" s="2"/>
      <c r="CE175" s="2"/>
      <c r="CF175" s="2"/>
      <c r="CG175" s="2"/>
      <c r="CH175" s="2"/>
      <c r="CI175" s="2"/>
      <c r="CJ175" s="2"/>
      <c r="CK175" s="2"/>
      <c r="CL175" s="2"/>
      <c r="CM175" s="2"/>
      <c r="CN175" s="2"/>
      <c r="CO175" s="2"/>
      <c r="CP175" s="2"/>
    </row>
    <row r="176" spans="1:94">
      <c r="A176" s="2"/>
      <c r="B176" s="2"/>
      <c r="C176" s="2"/>
      <c r="D176" s="2"/>
      <c r="E176" s="2"/>
      <c r="F176" s="2"/>
      <c r="G176" s="2"/>
      <c r="H176" s="2"/>
      <c r="I176" s="2"/>
      <c r="J176" s="2"/>
      <c r="K176" s="2"/>
      <c r="L176" s="2"/>
      <c r="M176" s="2"/>
      <c r="N176" s="4"/>
      <c r="O176" s="4"/>
      <c r="P176" s="4"/>
      <c r="Q176" s="4"/>
      <c r="R176" s="4"/>
      <c r="S176" s="2"/>
      <c r="T176" s="2"/>
      <c r="U176" s="2"/>
      <c r="V176" s="2"/>
      <c r="W176" s="2"/>
      <c r="X176" s="2"/>
      <c r="Y176" s="2"/>
      <c r="Z176" s="2"/>
      <c r="AA176" s="2"/>
      <c r="AB176" s="2"/>
      <c r="AC176" s="2"/>
      <c r="AD176" s="2"/>
      <c r="AE176" s="2"/>
      <c r="AF176" s="6"/>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c r="CP176" s="2"/>
    </row>
    <row r="177" spans="1:94">
      <c r="A177" s="2"/>
      <c r="B177" s="2"/>
      <c r="C177" s="2"/>
      <c r="D177" s="2"/>
      <c r="E177" s="2"/>
      <c r="F177" s="2"/>
      <c r="G177" s="2"/>
      <c r="H177" s="2"/>
      <c r="I177" s="2"/>
      <c r="J177" s="2"/>
      <c r="K177" s="2"/>
      <c r="L177" s="2"/>
      <c r="M177" s="2"/>
      <c r="N177" s="4"/>
      <c r="O177" s="4"/>
      <c r="P177" s="4"/>
      <c r="Q177" s="4"/>
      <c r="R177" s="4"/>
      <c r="S177" s="2"/>
      <c r="T177" s="2"/>
      <c r="U177" s="2"/>
      <c r="V177" s="2"/>
      <c r="W177" s="2"/>
      <c r="X177" s="2"/>
      <c r="Y177" s="2"/>
      <c r="Z177" s="2"/>
      <c r="AA177" s="2"/>
      <c r="AB177" s="2"/>
      <c r="AC177" s="2"/>
      <c r="AD177" s="2"/>
      <c r="AE177" s="2"/>
      <c r="AF177" s="6"/>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row>
    <row r="178" spans="1:94">
      <c r="A178" s="2"/>
      <c r="B178" s="2"/>
      <c r="C178" s="2"/>
      <c r="D178" s="2"/>
      <c r="E178" s="2"/>
      <c r="F178" s="2"/>
      <c r="G178" s="2"/>
      <c r="H178" s="2"/>
      <c r="I178" s="2"/>
      <c r="J178" s="2"/>
      <c r="K178" s="2"/>
      <c r="L178" s="2"/>
      <c r="M178" s="2"/>
      <c r="N178" s="4"/>
      <c r="O178" s="4"/>
      <c r="P178" s="4"/>
      <c r="Q178" s="4"/>
      <c r="R178" s="4"/>
      <c r="S178" s="2"/>
      <c r="T178" s="2"/>
      <c r="U178" s="2"/>
      <c r="V178" s="2"/>
      <c r="W178" s="2"/>
      <c r="X178" s="2"/>
      <c r="Y178" s="2"/>
      <c r="Z178" s="2"/>
      <c r="AA178" s="2"/>
      <c r="AB178" s="2"/>
      <c r="AC178" s="2"/>
      <c r="AD178" s="2"/>
      <c r="AE178" s="2"/>
      <c r="AF178" s="6"/>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c r="CP178" s="2"/>
    </row>
    <row r="179" spans="1:94">
      <c r="A179" s="2"/>
      <c r="B179" s="2"/>
      <c r="C179" s="2"/>
      <c r="D179" s="2"/>
      <c r="E179" s="2"/>
      <c r="F179" s="2"/>
      <c r="G179" s="2"/>
      <c r="H179" s="2"/>
      <c r="I179" s="2"/>
      <c r="J179" s="2"/>
      <c r="K179" s="2"/>
      <c r="L179" s="2"/>
      <c r="M179" s="2"/>
      <c r="N179" s="4"/>
      <c r="O179" s="4"/>
      <c r="P179" s="4"/>
      <c r="Q179" s="4"/>
      <c r="R179" s="4"/>
      <c r="S179" s="2"/>
      <c r="T179" s="2"/>
      <c r="U179" s="2"/>
      <c r="V179" s="2"/>
      <c r="W179" s="2"/>
      <c r="X179" s="2"/>
      <c r="Y179" s="2"/>
      <c r="Z179" s="2"/>
      <c r="AA179" s="2"/>
      <c r="AB179" s="2"/>
      <c r="AC179" s="2"/>
      <c r="AD179" s="2"/>
      <c r="AE179" s="2"/>
      <c r="AF179" s="6"/>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row>
    <row r="180" spans="1:94">
      <c r="A180" s="2"/>
      <c r="B180" s="2"/>
      <c r="C180" s="2"/>
      <c r="D180" s="2"/>
      <c r="E180" s="2"/>
      <c r="F180" s="2"/>
      <c r="G180" s="2"/>
      <c r="H180" s="2"/>
      <c r="I180" s="2"/>
      <c r="J180" s="2"/>
      <c r="K180" s="2"/>
      <c r="L180" s="2"/>
      <c r="M180" s="2"/>
      <c r="N180" s="4"/>
      <c r="O180" s="4"/>
      <c r="P180" s="4"/>
      <c r="Q180" s="4"/>
      <c r="R180" s="4"/>
      <c r="S180" s="2"/>
      <c r="T180" s="2"/>
      <c r="U180" s="2"/>
      <c r="V180" s="2"/>
      <c r="W180" s="2"/>
      <c r="X180" s="2"/>
      <c r="Y180" s="2"/>
      <c r="Z180" s="2"/>
      <c r="AA180" s="2"/>
      <c r="AB180" s="2"/>
      <c r="AC180" s="2"/>
      <c r="AD180" s="2"/>
      <c r="AE180" s="2"/>
      <c r="AF180" s="6"/>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c r="CO180" s="2"/>
      <c r="CP180" s="2"/>
    </row>
    <row r="181" spans="1:94">
      <c r="A181" s="2"/>
      <c r="B181" s="2"/>
      <c r="C181" s="2"/>
      <c r="D181" s="2"/>
      <c r="E181" s="2"/>
      <c r="F181" s="2"/>
      <c r="G181" s="2"/>
      <c r="H181" s="2"/>
      <c r="I181" s="2"/>
      <c r="J181" s="2"/>
      <c r="K181" s="2"/>
      <c r="L181" s="2"/>
      <c r="M181" s="2"/>
      <c r="N181" s="4"/>
      <c r="O181" s="4"/>
      <c r="P181" s="4"/>
      <c r="Q181" s="4"/>
      <c r="R181" s="4"/>
      <c r="S181" s="2"/>
      <c r="T181" s="2"/>
      <c r="U181" s="2"/>
      <c r="V181" s="2"/>
      <c r="W181" s="2"/>
      <c r="X181" s="2"/>
      <c r="Y181" s="2"/>
      <c r="Z181" s="2"/>
      <c r="AA181" s="2"/>
      <c r="AB181" s="2"/>
      <c r="AC181" s="2"/>
      <c r="AD181" s="2"/>
      <c r="AE181" s="2"/>
      <c r="AF181" s="6"/>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c r="CO181" s="2"/>
      <c r="CP181" s="2"/>
    </row>
    <row r="182" spans="1:94">
      <c r="A182" s="2"/>
      <c r="B182" s="2"/>
      <c r="C182" s="2"/>
      <c r="D182" s="2"/>
      <c r="E182" s="2"/>
      <c r="F182" s="2"/>
      <c r="G182" s="2"/>
      <c r="H182" s="2"/>
      <c r="I182" s="2"/>
      <c r="J182" s="2"/>
      <c r="K182" s="2"/>
      <c r="L182" s="2"/>
      <c r="M182" s="2"/>
      <c r="N182" s="4"/>
      <c r="O182" s="4"/>
      <c r="P182" s="4"/>
      <c r="Q182" s="4"/>
      <c r="R182" s="4"/>
      <c r="S182" s="2"/>
      <c r="T182" s="2"/>
      <c r="U182" s="2"/>
      <c r="V182" s="2"/>
      <c r="W182" s="2"/>
      <c r="X182" s="2"/>
      <c r="Y182" s="2"/>
      <c r="Z182" s="2"/>
      <c r="AA182" s="2"/>
      <c r="AB182" s="2"/>
      <c r="AC182" s="2"/>
      <c r="AD182" s="2"/>
      <c r="AE182" s="2"/>
      <c r="AF182" s="6"/>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c r="CO182" s="2"/>
      <c r="CP182" s="2"/>
    </row>
    <row r="183" spans="1:94">
      <c r="A183" s="2"/>
      <c r="B183" s="2"/>
      <c r="C183" s="2"/>
      <c r="D183" s="2"/>
      <c r="E183" s="2"/>
      <c r="F183" s="2"/>
      <c r="G183" s="2"/>
      <c r="H183" s="2"/>
      <c r="I183" s="2"/>
      <c r="J183" s="2"/>
      <c r="K183" s="2"/>
      <c r="L183" s="2"/>
      <c r="M183" s="2"/>
      <c r="N183" s="4"/>
      <c r="O183" s="4"/>
      <c r="P183" s="4"/>
      <c r="Q183" s="4"/>
      <c r="R183" s="4"/>
      <c r="S183" s="2"/>
      <c r="T183" s="2"/>
      <c r="U183" s="2"/>
      <c r="V183" s="2"/>
      <c r="W183" s="2"/>
      <c r="X183" s="2"/>
      <c r="Y183" s="2"/>
      <c r="Z183" s="2"/>
      <c r="AA183" s="2"/>
      <c r="AB183" s="2"/>
      <c r="AC183" s="2"/>
      <c r="AD183" s="2"/>
      <c r="AE183" s="2"/>
      <c r="AF183" s="6"/>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c r="CP183" s="2"/>
    </row>
    <row r="184" spans="1:94">
      <c r="A184" s="2"/>
      <c r="B184" s="2"/>
      <c r="C184" s="2"/>
      <c r="D184" s="2"/>
      <c r="E184" s="2"/>
      <c r="F184" s="2"/>
      <c r="G184" s="2"/>
      <c r="H184" s="2"/>
      <c r="I184" s="2"/>
      <c r="J184" s="2"/>
      <c r="K184" s="2"/>
      <c r="L184" s="2"/>
      <c r="M184" s="2"/>
      <c r="N184" s="4"/>
      <c r="O184" s="4"/>
      <c r="P184" s="4"/>
      <c r="Q184" s="4"/>
      <c r="R184" s="4"/>
      <c r="S184" s="2"/>
      <c r="T184" s="2"/>
      <c r="U184" s="2"/>
      <c r="V184" s="2"/>
      <c r="W184" s="2"/>
      <c r="X184" s="2"/>
      <c r="Y184" s="2"/>
      <c r="Z184" s="2"/>
      <c r="AA184" s="2"/>
      <c r="AB184" s="2"/>
      <c r="AC184" s="2"/>
      <c r="AD184" s="2"/>
      <c r="AE184" s="2"/>
      <c r="AF184" s="6"/>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row>
    <row r="185" spans="1:94">
      <c r="A185" s="2"/>
      <c r="B185" s="2"/>
      <c r="C185" s="2"/>
      <c r="D185" s="2"/>
      <c r="E185" s="2"/>
      <c r="F185" s="2"/>
      <c r="G185" s="2"/>
      <c r="H185" s="2"/>
      <c r="I185" s="2"/>
      <c r="J185" s="2"/>
      <c r="K185" s="2"/>
      <c r="L185" s="2"/>
      <c r="M185" s="2"/>
      <c r="N185" s="4"/>
      <c r="O185" s="4"/>
      <c r="P185" s="4"/>
      <c r="Q185" s="4"/>
      <c r="R185" s="4"/>
      <c r="S185" s="2"/>
      <c r="T185" s="2"/>
      <c r="U185" s="2"/>
      <c r="V185" s="2"/>
      <c r="W185" s="2"/>
      <c r="X185" s="2"/>
      <c r="Y185" s="2"/>
      <c r="Z185" s="2"/>
      <c r="AA185" s="2"/>
      <c r="AB185" s="2"/>
      <c r="AC185" s="2"/>
      <c r="AD185" s="2"/>
      <c r="AE185" s="2"/>
      <c r="AF185" s="6"/>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c r="CP185" s="2"/>
    </row>
    <row r="186" spans="1:94">
      <c r="A186" s="2"/>
      <c r="B186" s="2"/>
      <c r="C186" s="2"/>
      <c r="D186" s="2"/>
      <c r="E186" s="2"/>
      <c r="F186" s="2"/>
      <c r="G186" s="2"/>
      <c r="H186" s="2"/>
      <c r="I186" s="2"/>
      <c r="J186" s="2"/>
      <c r="K186" s="2"/>
      <c r="L186" s="2"/>
      <c r="M186" s="2"/>
      <c r="N186" s="4"/>
      <c r="O186" s="4"/>
      <c r="P186" s="4"/>
      <c r="Q186" s="4"/>
      <c r="R186" s="4"/>
      <c r="S186" s="2"/>
      <c r="T186" s="2"/>
      <c r="U186" s="2"/>
      <c r="V186" s="2"/>
      <c r="W186" s="2"/>
      <c r="X186" s="2"/>
      <c r="Y186" s="2"/>
      <c r="Z186" s="2"/>
      <c r="AA186" s="2"/>
      <c r="AB186" s="2"/>
      <c r="AC186" s="2"/>
      <c r="AD186" s="2"/>
      <c r="AE186" s="2"/>
      <c r="AF186" s="6"/>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row>
    <row r="187" spans="1:94">
      <c r="A187" s="2"/>
      <c r="B187" s="2"/>
      <c r="C187" s="2"/>
      <c r="D187" s="2"/>
      <c r="E187" s="2"/>
      <c r="F187" s="2"/>
      <c r="G187" s="2"/>
      <c r="H187" s="2"/>
      <c r="I187" s="2"/>
      <c r="J187" s="2"/>
      <c r="K187" s="2"/>
      <c r="L187" s="2"/>
      <c r="M187" s="2"/>
      <c r="N187" s="4"/>
      <c r="O187" s="4"/>
      <c r="P187" s="4"/>
      <c r="Q187" s="4"/>
      <c r="R187" s="4"/>
      <c r="S187" s="2"/>
      <c r="T187" s="2"/>
      <c r="U187" s="2"/>
      <c r="V187" s="2"/>
      <c r="W187" s="2"/>
      <c r="X187" s="2"/>
      <c r="Y187" s="2"/>
      <c r="Z187" s="2"/>
      <c r="AA187" s="2"/>
      <c r="AB187" s="2"/>
      <c r="AC187" s="2"/>
      <c r="AD187" s="2"/>
      <c r="AE187" s="2"/>
      <c r="AF187" s="6"/>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row>
    <row r="188" spans="1:94">
      <c r="A188" s="2"/>
      <c r="B188" s="2"/>
      <c r="C188" s="2"/>
      <c r="D188" s="2"/>
      <c r="E188" s="2"/>
      <c r="F188" s="2"/>
      <c r="G188" s="2"/>
      <c r="H188" s="2"/>
      <c r="I188" s="2"/>
      <c r="J188" s="2"/>
      <c r="K188" s="2"/>
      <c r="L188" s="2"/>
      <c r="M188" s="2"/>
      <c r="N188" s="4"/>
      <c r="O188" s="4"/>
      <c r="P188" s="4"/>
      <c r="Q188" s="4"/>
      <c r="R188" s="4"/>
      <c r="S188" s="2"/>
      <c r="T188" s="2"/>
      <c r="U188" s="2"/>
      <c r="V188" s="2"/>
      <c r="W188" s="2"/>
      <c r="X188" s="2"/>
      <c r="Y188" s="2"/>
      <c r="Z188" s="2"/>
      <c r="AA188" s="2"/>
      <c r="AB188" s="2"/>
      <c r="AC188" s="2"/>
      <c r="AD188" s="2"/>
      <c r="AE188" s="2"/>
      <c r="AF188" s="6"/>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row>
    <row r="189" spans="1:94">
      <c r="A189" s="2"/>
      <c r="B189" s="2"/>
      <c r="C189" s="2"/>
      <c r="D189" s="2"/>
      <c r="E189" s="2"/>
      <c r="F189" s="2"/>
      <c r="G189" s="2"/>
      <c r="H189" s="2"/>
      <c r="I189" s="2"/>
      <c r="J189" s="2"/>
      <c r="K189" s="2"/>
      <c r="L189" s="2"/>
      <c r="M189" s="2"/>
      <c r="N189" s="4"/>
      <c r="O189" s="4"/>
      <c r="P189" s="4"/>
      <c r="Q189" s="4"/>
      <c r="R189" s="4"/>
      <c r="S189" s="2"/>
      <c r="T189" s="2"/>
      <c r="U189" s="2"/>
      <c r="V189" s="2"/>
      <c r="W189" s="2"/>
      <c r="X189" s="2"/>
      <c r="Y189" s="2"/>
      <c r="Z189" s="2"/>
      <c r="AA189" s="2"/>
      <c r="AB189" s="2"/>
      <c r="AC189" s="2"/>
      <c r="AD189" s="2"/>
      <c r="AE189" s="2"/>
      <c r="AF189" s="6"/>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row>
    <row r="190" spans="1:94">
      <c r="A190" s="2"/>
      <c r="B190" s="2"/>
      <c r="C190" s="2"/>
      <c r="D190" s="2"/>
      <c r="E190" s="2"/>
      <c r="F190" s="2"/>
      <c r="G190" s="2"/>
      <c r="H190" s="2"/>
      <c r="I190" s="2"/>
      <c r="J190" s="2"/>
      <c r="K190" s="2"/>
      <c r="L190" s="2"/>
      <c r="M190" s="2"/>
      <c r="N190" s="4"/>
      <c r="O190" s="4"/>
      <c r="P190" s="4"/>
      <c r="Q190" s="4"/>
      <c r="R190" s="4"/>
      <c r="S190" s="2"/>
      <c r="T190" s="2"/>
      <c r="U190" s="2"/>
      <c r="V190" s="2"/>
      <c r="W190" s="2"/>
      <c r="X190" s="2"/>
      <c r="Y190" s="2"/>
      <c r="Z190" s="2"/>
      <c r="AA190" s="2"/>
      <c r="AB190" s="2"/>
      <c r="AC190" s="2"/>
      <c r="AD190" s="2"/>
      <c r="AE190" s="2"/>
      <c r="AF190" s="6"/>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row>
    <row r="191" spans="1:94">
      <c r="A191" s="2"/>
      <c r="B191" s="2"/>
      <c r="C191" s="2"/>
      <c r="D191" s="2"/>
      <c r="E191" s="2"/>
      <c r="F191" s="2"/>
      <c r="G191" s="2"/>
      <c r="H191" s="2"/>
      <c r="I191" s="2"/>
      <c r="J191" s="2"/>
      <c r="K191" s="2"/>
      <c r="L191" s="2"/>
      <c r="M191" s="2"/>
      <c r="N191" s="4"/>
      <c r="O191" s="4"/>
      <c r="P191" s="4"/>
      <c r="Q191" s="4"/>
      <c r="R191" s="4"/>
      <c r="S191" s="2"/>
      <c r="T191" s="2"/>
      <c r="U191" s="2"/>
      <c r="V191" s="2"/>
      <c r="W191" s="2"/>
      <c r="X191" s="2"/>
      <c r="Y191" s="2"/>
      <c r="Z191" s="2"/>
      <c r="AA191" s="2"/>
      <c r="AB191" s="2"/>
      <c r="AC191" s="2"/>
      <c r="AD191" s="2"/>
      <c r="AE191" s="2"/>
      <c r="AF191" s="6"/>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row>
    <row r="192" spans="1:94">
      <c r="A192" s="2"/>
      <c r="B192" s="2"/>
      <c r="C192" s="2"/>
      <c r="D192" s="2"/>
      <c r="E192" s="2"/>
      <c r="F192" s="2"/>
      <c r="G192" s="2"/>
      <c r="H192" s="2"/>
      <c r="I192" s="2"/>
      <c r="J192" s="2"/>
      <c r="K192" s="2"/>
      <c r="L192" s="2"/>
      <c r="M192" s="2"/>
      <c r="N192" s="4"/>
      <c r="O192" s="4"/>
      <c r="P192" s="4"/>
      <c r="Q192" s="4"/>
      <c r="R192" s="4"/>
      <c r="S192" s="2"/>
      <c r="T192" s="2"/>
      <c r="U192" s="2"/>
      <c r="V192" s="2"/>
      <c r="W192" s="2"/>
      <c r="X192" s="2"/>
      <c r="Y192" s="2"/>
      <c r="Z192" s="2"/>
      <c r="AA192" s="2"/>
      <c r="AB192" s="2"/>
      <c r="AC192" s="2"/>
      <c r="AD192" s="2"/>
      <c r="AE192" s="2"/>
      <c r="AF192" s="6"/>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row>
    <row r="193" spans="1:94">
      <c r="A193" s="2"/>
      <c r="B193" s="2"/>
      <c r="C193" s="2"/>
      <c r="D193" s="2"/>
      <c r="E193" s="2"/>
      <c r="F193" s="2"/>
      <c r="G193" s="2"/>
      <c r="H193" s="2"/>
      <c r="I193" s="2"/>
      <c r="J193" s="2"/>
      <c r="K193" s="2"/>
      <c r="L193" s="2"/>
      <c r="M193" s="2"/>
      <c r="N193" s="4"/>
      <c r="O193" s="4"/>
      <c r="P193" s="4"/>
      <c r="Q193" s="4"/>
      <c r="R193" s="4"/>
      <c r="S193" s="2"/>
      <c r="T193" s="2"/>
      <c r="U193" s="2"/>
      <c r="V193" s="2"/>
      <c r="W193" s="2"/>
      <c r="X193" s="2"/>
      <c r="Y193" s="2"/>
      <c r="Z193" s="2"/>
      <c r="AA193" s="2"/>
      <c r="AB193" s="2"/>
      <c r="AC193" s="2"/>
      <c r="AD193" s="2"/>
      <c r="AE193" s="2"/>
      <c r="AF193" s="6"/>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row>
    <row r="194" spans="1:94">
      <c r="A194" s="2"/>
      <c r="B194" s="2"/>
      <c r="C194" s="2"/>
      <c r="D194" s="2"/>
      <c r="E194" s="2"/>
      <c r="F194" s="2"/>
      <c r="G194" s="2"/>
      <c r="H194" s="2"/>
      <c r="I194" s="2"/>
      <c r="J194" s="2"/>
      <c r="K194" s="2"/>
      <c r="L194" s="2"/>
      <c r="M194" s="2"/>
      <c r="N194" s="4"/>
      <c r="O194" s="4"/>
      <c r="P194" s="4"/>
      <c r="Q194" s="4"/>
      <c r="R194" s="4"/>
      <c r="S194" s="2"/>
      <c r="T194" s="2"/>
      <c r="U194" s="2"/>
      <c r="V194" s="2"/>
      <c r="W194" s="2"/>
      <c r="X194" s="2"/>
      <c r="Y194" s="2"/>
      <c r="Z194" s="2"/>
      <c r="AA194" s="2"/>
      <c r="AB194" s="2"/>
      <c r="AC194" s="2"/>
      <c r="AD194" s="2"/>
      <c r="AE194" s="2"/>
      <c r="AF194" s="6"/>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row>
    <row r="195" spans="1:94">
      <c r="A195" s="2"/>
      <c r="B195" s="2"/>
      <c r="C195" s="2"/>
      <c r="D195" s="2"/>
      <c r="E195" s="2"/>
      <c r="F195" s="2"/>
      <c r="G195" s="2"/>
      <c r="H195" s="2"/>
      <c r="I195" s="2"/>
      <c r="J195" s="2"/>
      <c r="K195" s="2"/>
      <c r="L195" s="2"/>
      <c r="M195" s="2"/>
      <c r="N195" s="4"/>
      <c r="O195" s="4"/>
      <c r="P195" s="4"/>
      <c r="Q195" s="4"/>
      <c r="R195" s="4"/>
      <c r="S195" s="2"/>
      <c r="T195" s="2"/>
      <c r="U195" s="2"/>
      <c r="V195" s="2"/>
      <c r="W195" s="2"/>
      <c r="X195" s="2"/>
      <c r="Y195" s="2"/>
      <c r="Z195" s="2"/>
      <c r="AA195" s="2"/>
      <c r="AB195" s="2"/>
      <c r="AC195" s="2"/>
      <c r="AD195" s="2"/>
      <c r="AE195" s="2"/>
      <c r="AF195" s="6"/>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row>
    <row r="196" spans="1:94">
      <c r="A196" s="2"/>
      <c r="B196" s="2"/>
      <c r="C196" s="2"/>
      <c r="D196" s="2"/>
      <c r="E196" s="2"/>
      <c r="F196" s="2"/>
      <c r="G196" s="2"/>
      <c r="H196" s="2"/>
      <c r="I196" s="2"/>
      <c r="J196" s="2"/>
      <c r="K196" s="2"/>
      <c r="L196" s="2"/>
      <c r="M196" s="2"/>
      <c r="N196" s="4"/>
      <c r="O196" s="4"/>
      <c r="P196" s="4"/>
      <c r="Q196" s="4"/>
      <c r="R196" s="4"/>
      <c r="S196" s="2"/>
      <c r="T196" s="2"/>
      <c r="U196" s="2"/>
      <c r="V196" s="2"/>
      <c r="W196" s="2"/>
      <c r="X196" s="2"/>
      <c r="Y196" s="2"/>
      <c r="Z196" s="2"/>
      <c r="AA196" s="2"/>
      <c r="AB196" s="2"/>
      <c r="AC196" s="2"/>
      <c r="AD196" s="2"/>
      <c r="AE196" s="2"/>
      <c r="AF196" s="6"/>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row>
    <row r="197" spans="1:94">
      <c r="A197" s="2"/>
      <c r="B197" s="2"/>
      <c r="C197" s="2"/>
      <c r="D197" s="2"/>
      <c r="E197" s="2"/>
      <c r="F197" s="2"/>
      <c r="G197" s="2"/>
      <c r="H197" s="2"/>
      <c r="I197" s="2"/>
      <c r="J197" s="2"/>
      <c r="K197" s="2"/>
      <c r="L197" s="2"/>
      <c r="M197" s="2"/>
      <c r="N197" s="4"/>
      <c r="O197" s="4"/>
      <c r="P197" s="4"/>
      <c r="Q197" s="4"/>
      <c r="R197" s="4"/>
      <c r="S197" s="2"/>
      <c r="T197" s="2"/>
      <c r="U197" s="2"/>
      <c r="V197" s="2"/>
      <c r="W197" s="2"/>
      <c r="X197" s="2"/>
      <c r="Y197" s="2"/>
      <c r="Z197" s="2"/>
      <c r="AA197" s="2"/>
      <c r="AB197" s="2"/>
      <c r="AC197" s="2"/>
      <c r="AD197" s="2"/>
      <c r="AE197" s="2"/>
      <c r="AF197" s="6"/>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row>
    <row r="198" spans="1:94">
      <c r="A198" s="2"/>
      <c r="B198" s="2"/>
      <c r="C198" s="2"/>
      <c r="D198" s="2"/>
      <c r="E198" s="2"/>
      <c r="F198" s="2"/>
      <c r="G198" s="2"/>
      <c r="H198" s="2"/>
      <c r="I198" s="2"/>
      <c r="J198" s="2"/>
      <c r="K198" s="2"/>
      <c r="L198" s="2"/>
      <c r="M198" s="2"/>
      <c r="N198" s="4"/>
      <c r="O198" s="4"/>
      <c r="P198" s="4"/>
      <c r="Q198" s="4"/>
      <c r="R198" s="4"/>
      <c r="S198" s="2"/>
      <c r="T198" s="2"/>
      <c r="U198" s="2"/>
      <c r="V198" s="2"/>
      <c r="W198" s="2"/>
      <c r="X198" s="2"/>
      <c r="Y198" s="2"/>
      <c r="Z198" s="2"/>
      <c r="AA198" s="2"/>
      <c r="AB198" s="2"/>
      <c r="AC198" s="2"/>
      <c r="AD198" s="2"/>
      <c r="AE198" s="2"/>
      <c r="AF198" s="6"/>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row>
    <row r="199" spans="1:94">
      <c r="A199" s="2"/>
      <c r="B199" s="2"/>
      <c r="C199" s="2"/>
      <c r="D199" s="2"/>
      <c r="E199" s="2"/>
      <c r="F199" s="2"/>
      <c r="G199" s="2"/>
      <c r="H199" s="2"/>
      <c r="I199" s="2"/>
      <c r="J199" s="2"/>
      <c r="K199" s="2"/>
      <c r="L199" s="2"/>
      <c r="M199" s="2"/>
      <c r="N199" s="4"/>
      <c r="O199" s="4"/>
      <c r="P199" s="4"/>
      <c r="Q199" s="4"/>
      <c r="R199" s="4"/>
      <c r="S199" s="2"/>
      <c r="T199" s="2"/>
      <c r="U199" s="2"/>
      <c r="V199" s="2"/>
      <c r="W199" s="2"/>
      <c r="X199" s="2"/>
      <c r="Y199" s="2"/>
      <c r="Z199" s="2"/>
      <c r="AA199" s="2"/>
      <c r="AB199" s="2"/>
      <c r="AC199" s="2"/>
      <c r="AD199" s="2"/>
      <c r="AE199" s="2"/>
      <c r="AF199" s="6"/>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row>
    <row r="200" spans="1:94">
      <c r="A200" s="2"/>
      <c r="B200" s="2"/>
      <c r="C200" s="2"/>
      <c r="D200" s="2"/>
      <c r="E200" s="2"/>
      <c r="F200" s="2"/>
      <c r="G200" s="2"/>
      <c r="H200" s="2"/>
      <c r="I200" s="2"/>
      <c r="J200" s="2"/>
      <c r="K200" s="2"/>
      <c r="L200" s="2"/>
      <c r="M200" s="2"/>
      <c r="N200" s="4"/>
      <c r="O200" s="4"/>
      <c r="P200" s="4"/>
      <c r="Q200" s="4"/>
      <c r="R200" s="4"/>
      <c r="S200" s="2"/>
      <c r="T200" s="2"/>
      <c r="U200" s="2"/>
      <c r="V200" s="2"/>
      <c r="W200" s="2"/>
      <c r="X200" s="2"/>
      <c r="Y200" s="2"/>
      <c r="Z200" s="2"/>
      <c r="AA200" s="2"/>
      <c r="AB200" s="2"/>
      <c r="AC200" s="2"/>
      <c r="AD200" s="2"/>
      <c r="AE200" s="2"/>
      <c r="AF200" s="6"/>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row>
    <row r="201" spans="1:94">
      <c r="A201" s="2"/>
      <c r="B201" s="2"/>
      <c r="C201" s="2"/>
      <c r="D201" s="2"/>
      <c r="E201" s="2"/>
      <c r="F201" s="2"/>
      <c r="G201" s="2"/>
      <c r="H201" s="2"/>
      <c r="I201" s="2"/>
      <c r="J201" s="2"/>
      <c r="K201" s="2"/>
      <c r="L201" s="2"/>
      <c r="M201" s="2"/>
      <c r="N201" s="4"/>
      <c r="O201" s="4"/>
      <c r="P201" s="4"/>
      <c r="Q201" s="4"/>
      <c r="R201" s="4"/>
      <c r="S201" s="2"/>
      <c r="T201" s="2"/>
      <c r="U201" s="2"/>
      <c r="V201" s="2"/>
      <c r="W201" s="2"/>
      <c r="X201" s="2"/>
      <c r="Y201" s="2"/>
      <c r="Z201" s="2"/>
      <c r="AA201" s="2"/>
      <c r="AB201" s="2"/>
      <c r="AC201" s="2"/>
      <c r="AD201" s="2"/>
      <c r="AE201" s="2"/>
      <c r="AF201" s="6"/>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c r="CP201" s="2"/>
    </row>
    <row r="202" spans="1:94">
      <c r="A202" s="2"/>
      <c r="B202" s="2"/>
      <c r="C202" s="2"/>
      <c r="D202" s="2"/>
      <c r="E202" s="2"/>
      <c r="F202" s="2"/>
      <c r="G202" s="2"/>
      <c r="H202" s="2"/>
      <c r="I202" s="2"/>
      <c r="J202" s="2"/>
      <c r="K202" s="2"/>
      <c r="L202" s="2"/>
      <c r="M202" s="2"/>
      <c r="N202" s="4"/>
      <c r="O202" s="4"/>
      <c r="P202" s="4"/>
      <c r="Q202" s="4"/>
      <c r="R202" s="4"/>
      <c r="S202" s="2"/>
      <c r="T202" s="2"/>
      <c r="U202" s="2"/>
      <c r="V202" s="2"/>
      <c r="W202" s="2"/>
      <c r="X202" s="2"/>
      <c r="Y202" s="2"/>
      <c r="Z202" s="2"/>
      <c r="AA202" s="2"/>
      <c r="AB202" s="2"/>
      <c r="AC202" s="2"/>
      <c r="AD202" s="2"/>
      <c r="AE202" s="2"/>
      <c r="AF202" s="6"/>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row>
    <row r="203" spans="1:94">
      <c r="A203" s="2"/>
      <c r="B203" s="2"/>
      <c r="C203" s="2"/>
      <c r="D203" s="2"/>
      <c r="E203" s="2"/>
      <c r="F203" s="2"/>
      <c r="G203" s="2"/>
      <c r="H203" s="2"/>
      <c r="I203" s="2"/>
      <c r="J203" s="2"/>
      <c r="K203" s="2"/>
      <c r="L203" s="2"/>
      <c r="M203" s="2"/>
      <c r="N203" s="4"/>
      <c r="O203" s="4"/>
      <c r="P203" s="4"/>
      <c r="Q203" s="4"/>
      <c r="R203" s="4"/>
      <c r="S203" s="2"/>
      <c r="T203" s="2"/>
      <c r="U203" s="2"/>
      <c r="V203" s="2"/>
      <c r="W203" s="2"/>
      <c r="X203" s="2"/>
      <c r="Y203" s="2"/>
      <c r="Z203" s="2"/>
      <c r="AA203" s="2"/>
      <c r="AB203" s="2"/>
      <c r="AC203" s="2"/>
      <c r="AD203" s="2"/>
      <c r="AE203" s="2"/>
      <c r="AF203" s="6"/>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c r="CP203" s="2"/>
    </row>
    <row r="204" spans="1:94">
      <c r="A204" s="2"/>
      <c r="B204" s="2"/>
      <c r="C204" s="2"/>
      <c r="D204" s="2"/>
      <c r="E204" s="2"/>
      <c r="F204" s="2"/>
      <c r="G204" s="2"/>
      <c r="H204" s="2"/>
      <c r="I204" s="2"/>
      <c r="J204" s="2"/>
      <c r="K204" s="2"/>
      <c r="L204" s="2"/>
      <c r="M204" s="2"/>
      <c r="N204" s="4"/>
      <c r="O204" s="4"/>
      <c r="P204" s="4"/>
      <c r="Q204" s="4"/>
      <c r="R204" s="4"/>
      <c r="S204" s="2"/>
      <c r="T204" s="2"/>
      <c r="U204" s="2"/>
      <c r="V204" s="2"/>
      <c r="W204" s="2"/>
      <c r="X204" s="2"/>
      <c r="Y204" s="2"/>
      <c r="Z204" s="2"/>
      <c r="AA204" s="2"/>
      <c r="AB204" s="2"/>
      <c r="AC204" s="2"/>
      <c r="AD204" s="2"/>
      <c r="AE204" s="2"/>
      <c r="AF204" s="6"/>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c r="CP204" s="2"/>
    </row>
    <row r="205" spans="1:94">
      <c r="A205" s="2"/>
      <c r="B205" s="2"/>
      <c r="C205" s="2"/>
      <c r="D205" s="2"/>
      <c r="E205" s="2"/>
      <c r="F205" s="2"/>
      <c r="G205" s="2"/>
      <c r="H205" s="2"/>
      <c r="I205" s="2"/>
      <c r="J205" s="2"/>
      <c r="K205" s="2"/>
      <c r="L205" s="2"/>
      <c r="M205" s="2"/>
      <c r="N205" s="4"/>
      <c r="O205" s="4"/>
      <c r="P205" s="4"/>
      <c r="Q205" s="4"/>
      <c r="R205" s="4"/>
      <c r="S205" s="2"/>
      <c r="T205" s="2"/>
      <c r="U205" s="2"/>
      <c r="V205" s="2"/>
      <c r="W205" s="2"/>
      <c r="X205" s="2"/>
      <c r="Y205" s="2"/>
      <c r="Z205" s="2"/>
      <c r="AA205" s="2"/>
      <c r="AB205" s="2"/>
      <c r="AC205" s="2"/>
      <c r="AD205" s="2"/>
      <c r="AE205" s="2"/>
      <c r="AF205" s="6"/>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row>
    <row r="206" spans="1:94">
      <c r="A206" s="2"/>
      <c r="B206" s="2"/>
      <c r="C206" s="2"/>
      <c r="D206" s="2"/>
      <c r="E206" s="2"/>
      <c r="F206" s="2"/>
      <c r="G206" s="2"/>
      <c r="H206" s="2"/>
      <c r="I206" s="2"/>
      <c r="J206" s="2"/>
      <c r="K206" s="2"/>
      <c r="L206" s="2"/>
      <c r="M206" s="2"/>
      <c r="N206" s="4"/>
      <c r="O206" s="4"/>
      <c r="P206" s="4"/>
      <c r="Q206" s="4"/>
      <c r="R206" s="4"/>
      <c r="S206" s="2"/>
      <c r="T206" s="2"/>
      <c r="U206" s="2"/>
      <c r="V206" s="2"/>
      <c r="W206" s="2"/>
      <c r="X206" s="2"/>
      <c r="Y206" s="2"/>
      <c r="Z206" s="2"/>
      <c r="AA206" s="2"/>
      <c r="AB206" s="2"/>
      <c r="AC206" s="2"/>
      <c r="AD206" s="2"/>
      <c r="AE206" s="2"/>
      <c r="AF206" s="6"/>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row>
    <row r="207" spans="1:94">
      <c r="A207" s="2"/>
      <c r="B207" s="2"/>
      <c r="C207" s="2"/>
      <c r="D207" s="2"/>
      <c r="E207" s="2"/>
      <c r="F207" s="2"/>
      <c r="G207" s="2"/>
      <c r="H207" s="2"/>
      <c r="I207" s="2"/>
      <c r="J207" s="2"/>
      <c r="K207" s="2"/>
      <c r="L207" s="2"/>
      <c r="M207" s="2"/>
      <c r="N207" s="4"/>
      <c r="O207" s="4"/>
      <c r="P207" s="4"/>
      <c r="Q207" s="4"/>
      <c r="R207" s="4"/>
      <c r="S207" s="2"/>
      <c r="T207" s="2"/>
      <c r="U207" s="2"/>
      <c r="V207" s="2"/>
      <c r="W207" s="2"/>
      <c r="X207" s="2"/>
      <c r="Y207" s="2"/>
      <c r="Z207" s="2"/>
      <c r="AA207" s="2"/>
      <c r="AB207" s="2"/>
      <c r="AC207" s="2"/>
      <c r="AD207" s="2"/>
      <c r="AE207" s="2"/>
      <c r="AF207" s="6"/>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row>
    <row r="208" spans="1:94">
      <c r="A208" s="2"/>
      <c r="B208" s="2"/>
      <c r="C208" s="2"/>
      <c r="D208" s="2"/>
      <c r="E208" s="2"/>
      <c r="F208" s="2"/>
      <c r="G208" s="2"/>
      <c r="H208" s="2"/>
      <c r="I208" s="2"/>
      <c r="J208" s="2"/>
      <c r="K208" s="2"/>
      <c r="L208" s="2"/>
      <c r="M208" s="2"/>
      <c r="N208" s="4"/>
      <c r="O208" s="4"/>
      <c r="P208" s="4"/>
      <c r="Q208" s="4"/>
      <c r="R208" s="4"/>
      <c r="S208" s="2"/>
      <c r="T208" s="2"/>
      <c r="U208" s="2"/>
      <c r="V208" s="2"/>
      <c r="W208" s="2"/>
      <c r="X208" s="2"/>
      <c r="Y208" s="2"/>
      <c r="Z208" s="2"/>
      <c r="AA208" s="2"/>
      <c r="AB208" s="2"/>
      <c r="AC208" s="2"/>
      <c r="AD208" s="2"/>
      <c r="AE208" s="2"/>
      <c r="AF208" s="6"/>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c r="CP208" s="2"/>
    </row>
    <row r="209" spans="1:94">
      <c r="A209" s="2"/>
      <c r="B209" s="2"/>
      <c r="C209" s="2"/>
      <c r="D209" s="2"/>
      <c r="E209" s="2"/>
      <c r="F209" s="2"/>
      <c r="G209" s="2"/>
      <c r="H209" s="2"/>
      <c r="I209" s="2"/>
      <c r="J209" s="2"/>
      <c r="K209" s="2"/>
      <c r="L209" s="2"/>
      <c r="M209" s="2"/>
      <c r="N209" s="4"/>
      <c r="O209" s="4"/>
      <c r="P209" s="4"/>
      <c r="Q209" s="4"/>
      <c r="R209" s="4"/>
      <c r="S209" s="2"/>
      <c r="T209" s="2"/>
      <c r="U209" s="2"/>
      <c r="V209" s="2"/>
      <c r="W209" s="2"/>
      <c r="X209" s="2"/>
      <c r="Y209" s="2"/>
      <c r="Z209" s="2"/>
      <c r="AA209" s="2"/>
      <c r="AB209" s="2"/>
      <c r="AC209" s="2"/>
      <c r="AD209" s="2"/>
      <c r="AE209" s="2"/>
      <c r="AF209" s="6"/>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row>
    <row r="210" spans="1:94">
      <c r="A210" s="2"/>
      <c r="B210" s="2"/>
      <c r="C210" s="2"/>
      <c r="D210" s="2"/>
      <c r="E210" s="2"/>
      <c r="F210" s="2"/>
      <c r="G210" s="2"/>
      <c r="H210" s="2"/>
      <c r="I210" s="2"/>
      <c r="J210" s="2"/>
      <c r="K210" s="2"/>
      <c r="L210" s="2"/>
      <c r="M210" s="2"/>
      <c r="N210" s="4"/>
      <c r="O210" s="4"/>
      <c r="P210" s="4"/>
      <c r="Q210" s="4"/>
      <c r="R210" s="4"/>
      <c r="S210" s="2"/>
      <c r="T210" s="2"/>
      <c r="U210" s="2"/>
      <c r="V210" s="2"/>
      <c r="W210" s="2"/>
      <c r="X210" s="2"/>
      <c r="Y210" s="2"/>
      <c r="Z210" s="2"/>
      <c r="AA210" s="2"/>
      <c r="AB210" s="2"/>
      <c r="AC210" s="2"/>
      <c r="AD210" s="2"/>
      <c r="AE210" s="2"/>
      <c r="AF210" s="6"/>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row>
    <row r="211" spans="1:94">
      <c r="A211" s="2"/>
      <c r="B211" s="2"/>
      <c r="C211" s="2"/>
      <c r="D211" s="2"/>
      <c r="E211" s="2"/>
      <c r="F211" s="2"/>
      <c r="G211" s="2"/>
      <c r="H211" s="2"/>
      <c r="I211" s="2"/>
      <c r="J211" s="2"/>
      <c r="K211" s="2"/>
      <c r="L211" s="2"/>
      <c r="M211" s="2"/>
      <c r="N211" s="4"/>
      <c r="O211" s="4"/>
      <c r="P211" s="4"/>
      <c r="Q211" s="4"/>
      <c r="R211" s="4"/>
      <c r="S211" s="2"/>
      <c r="T211" s="2"/>
      <c r="U211" s="2"/>
      <c r="V211" s="2"/>
      <c r="W211" s="2"/>
      <c r="X211" s="2"/>
      <c r="Y211" s="2"/>
      <c r="Z211" s="2"/>
      <c r="AA211" s="2"/>
      <c r="AB211" s="2"/>
      <c r="AC211" s="2"/>
      <c r="AD211" s="2"/>
      <c r="AE211" s="2"/>
      <c r="AF211" s="6"/>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c r="CP211" s="2"/>
    </row>
    <row r="212" spans="1:94">
      <c r="A212" s="2"/>
      <c r="B212" s="2"/>
      <c r="C212" s="2"/>
      <c r="D212" s="2"/>
      <c r="E212" s="2"/>
      <c r="F212" s="2"/>
      <c r="G212" s="2"/>
      <c r="H212" s="2"/>
      <c r="I212" s="2"/>
      <c r="J212" s="2"/>
      <c r="K212" s="2"/>
      <c r="L212" s="2"/>
      <c r="M212" s="2"/>
      <c r="N212" s="4"/>
      <c r="O212" s="4"/>
      <c r="P212" s="4"/>
      <c r="Q212" s="4"/>
      <c r="R212" s="4"/>
      <c r="S212" s="2"/>
      <c r="T212" s="2"/>
      <c r="U212" s="2"/>
      <c r="V212" s="2"/>
      <c r="W212" s="2"/>
      <c r="X212" s="2"/>
      <c r="Y212" s="2"/>
      <c r="Z212" s="2"/>
      <c r="AA212" s="2"/>
      <c r="AB212" s="2"/>
      <c r="AC212" s="2"/>
      <c r="AD212" s="2"/>
      <c r="AE212" s="2"/>
      <c r="AF212" s="6"/>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c r="CP212" s="2"/>
    </row>
    <row r="213" spans="1:94">
      <c r="A213" s="2"/>
      <c r="B213" s="2"/>
      <c r="C213" s="2"/>
      <c r="D213" s="2"/>
      <c r="E213" s="2"/>
      <c r="F213" s="2"/>
      <c r="G213" s="2"/>
      <c r="H213" s="2"/>
      <c r="I213" s="2"/>
      <c r="J213" s="2"/>
      <c r="K213" s="2"/>
      <c r="L213" s="2"/>
      <c r="M213" s="2"/>
      <c r="N213" s="4"/>
      <c r="O213" s="4"/>
      <c r="P213" s="4"/>
      <c r="Q213" s="4"/>
      <c r="R213" s="4"/>
      <c r="S213" s="2"/>
      <c r="T213" s="2"/>
      <c r="U213" s="2"/>
      <c r="V213" s="2"/>
      <c r="W213" s="2"/>
      <c r="X213" s="2"/>
      <c r="Y213" s="2"/>
      <c r="Z213" s="2"/>
      <c r="AA213" s="2"/>
      <c r="AB213" s="2"/>
      <c r="AC213" s="2"/>
      <c r="AD213" s="2"/>
      <c r="AE213" s="2"/>
      <c r="AF213" s="6"/>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c r="CP213" s="2"/>
    </row>
    <row r="214" spans="1:94">
      <c r="A214" s="2"/>
      <c r="B214" s="2"/>
      <c r="C214" s="2"/>
      <c r="D214" s="2"/>
      <c r="E214" s="2"/>
      <c r="F214" s="2"/>
      <c r="G214" s="2"/>
      <c r="H214" s="2"/>
      <c r="I214" s="2"/>
      <c r="J214" s="2"/>
      <c r="K214" s="2"/>
      <c r="L214" s="2"/>
      <c r="M214" s="2"/>
      <c r="N214" s="4"/>
      <c r="O214" s="4"/>
      <c r="P214" s="4"/>
      <c r="Q214" s="4"/>
      <c r="R214" s="4"/>
      <c r="S214" s="2"/>
      <c r="T214" s="2"/>
      <c r="U214" s="2"/>
      <c r="V214" s="2"/>
      <c r="W214" s="2"/>
      <c r="X214" s="2"/>
      <c r="Y214" s="2"/>
      <c r="Z214" s="2"/>
      <c r="AA214" s="2"/>
      <c r="AB214" s="2"/>
      <c r="AC214" s="2"/>
      <c r="AD214" s="2"/>
      <c r="AE214" s="2"/>
      <c r="AF214" s="6"/>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c r="CJ214" s="2"/>
      <c r="CK214" s="2"/>
      <c r="CL214" s="2"/>
      <c r="CM214" s="2"/>
      <c r="CN214" s="2"/>
      <c r="CO214" s="2"/>
      <c r="CP214" s="2"/>
    </row>
    <row r="215" spans="1:94">
      <c r="A215" s="2"/>
      <c r="B215" s="2"/>
      <c r="C215" s="2"/>
      <c r="D215" s="2"/>
      <c r="E215" s="2"/>
      <c r="F215" s="2"/>
      <c r="G215" s="2"/>
      <c r="H215" s="2"/>
      <c r="I215" s="2"/>
      <c r="J215" s="2"/>
      <c r="K215" s="2"/>
      <c r="L215" s="2"/>
      <c r="M215" s="2"/>
      <c r="N215" s="4"/>
      <c r="O215" s="4"/>
      <c r="P215" s="4"/>
      <c r="Q215" s="4"/>
      <c r="R215" s="4"/>
      <c r="S215" s="2"/>
      <c r="T215" s="2"/>
      <c r="U215" s="2"/>
      <c r="V215" s="2"/>
      <c r="W215" s="2"/>
      <c r="X215" s="2"/>
      <c r="Y215" s="2"/>
      <c r="Z215" s="2"/>
      <c r="AA215" s="2"/>
      <c r="AB215" s="2"/>
      <c r="AC215" s="2"/>
      <c r="AD215" s="2"/>
      <c r="AE215" s="2"/>
      <c r="AF215" s="6"/>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row>
    <row r="216" spans="1:94">
      <c r="A216" s="2"/>
      <c r="B216" s="2"/>
      <c r="C216" s="2"/>
      <c r="D216" s="2"/>
      <c r="E216" s="2"/>
      <c r="F216" s="2"/>
      <c r="G216" s="2"/>
      <c r="H216" s="2"/>
      <c r="I216" s="2"/>
      <c r="J216" s="2"/>
      <c r="K216" s="2"/>
      <c r="L216" s="2"/>
      <c r="M216" s="2"/>
      <c r="N216" s="4"/>
      <c r="O216" s="4"/>
      <c r="P216" s="4"/>
      <c r="Q216" s="4"/>
      <c r="R216" s="4"/>
      <c r="S216" s="2"/>
      <c r="T216" s="2"/>
      <c r="U216" s="2"/>
      <c r="V216" s="2"/>
      <c r="W216" s="2"/>
      <c r="X216" s="2"/>
      <c r="Y216" s="2"/>
      <c r="Z216" s="2"/>
      <c r="AA216" s="2"/>
      <c r="AB216" s="2"/>
      <c r="AC216" s="2"/>
      <c r="AD216" s="2"/>
      <c r="AE216" s="2"/>
      <c r="AF216" s="6"/>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row>
    <row r="217" spans="1:94">
      <c r="A217" s="2"/>
      <c r="B217" s="2"/>
      <c r="C217" s="2"/>
      <c r="D217" s="2"/>
      <c r="E217" s="2"/>
      <c r="F217" s="2"/>
      <c r="G217" s="2"/>
      <c r="H217" s="2"/>
      <c r="I217" s="2"/>
      <c r="J217" s="2"/>
      <c r="K217" s="2"/>
      <c r="L217" s="2"/>
      <c r="M217" s="2"/>
      <c r="N217" s="4"/>
      <c r="O217" s="4"/>
      <c r="P217" s="4"/>
      <c r="Q217" s="4"/>
      <c r="R217" s="4"/>
      <c r="S217" s="2"/>
      <c r="T217" s="2"/>
      <c r="U217" s="2"/>
      <c r="V217" s="2"/>
      <c r="W217" s="2"/>
      <c r="X217" s="2"/>
      <c r="Y217" s="2"/>
      <c r="Z217" s="2"/>
      <c r="AA217" s="2"/>
      <c r="AB217" s="2"/>
      <c r="AC217" s="2"/>
      <c r="AD217" s="2"/>
      <c r="AE217" s="2"/>
      <c r="AF217" s="6"/>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row>
    <row r="218" spans="1:94">
      <c r="A218" s="2"/>
      <c r="B218" s="2"/>
      <c r="C218" s="2"/>
      <c r="D218" s="2"/>
      <c r="E218" s="2"/>
      <c r="F218" s="2"/>
      <c r="G218" s="2"/>
      <c r="H218" s="2"/>
      <c r="I218" s="2"/>
      <c r="J218" s="2"/>
      <c r="K218" s="2"/>
      <c r="L218" s="2"/>
      <c r="M218" s="2"/>
      <c r="N218" s="4"/>
      <c r="O218" s="4"/>
      <c r="P218" s="4"/>
      <c r="Q218" s="4"/>
      <c r="R218" s="4"/>
      <c r="S218" s="2"/>
      <c r="T218" s="2"/>
      <c r="U218" s="2"/>
      <c r="V218" s="2"/>
      <c r="W218" s="2"/>
      <c r="X218" s="2"/>
      <c r="Y218" s="2"/>
      <c r="Z218" s="2"/>
      <c r="AA218" s="2"/>
      <c r="AB218" s="2"/>
      <c r="AC218" s="2"/>
      <c r="AD218" s="2"/>
      <c r="AE218" s="2"/>
      <c r="AF218" s="6"/>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row>
    <row r="219" spans="1:94">
      <c r="A219" s="2"/>
      <c r="B219" s="2"/>
      <c r="C219" s="2"/>
      <c r="D219" s="2"/>
      <c r="E219" s="2"/>
      <c r="F219" s="2"/>
      <c r="G219" s="2"/>
      <c r="H219" s="2"/>
      <c r="I219" s="2"/>
      <c r="J219" s="2"/>
      <c r="K219" s="2"/>
      <c r="L219" s="2"/>
      <c r="M219" s="2"/>
      <c r="N219" s="4"/>
      <c r="O219" s="4"/>
      <c r="P219" s="4"/>
      <c r="Q219" s="4"/>
      <c r="R219" s="4"/>
      <c r="S219" s="2"/>
      <c r="T219" s="2"/>
      <c r="U219" s="2"/>
      <c r="V219" s="2"/>
      <c r="W219" s="2"/>
      <c r="X219" s="2"/>
      <c r="Y219" s="2"/>
      <c r="Z219" s="2"/>
      <c r="AA219" s="2"/>
      <c r="AB219" s="2"/>
      <c r="AC219" s="2"/>
      <c r="AD219" s="2"/>
      <c r="AE219" s="2"/>
      <c r="AF219" s="6"/>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row>
    <row r="220" spans="1:94">
      <c r="A220" s="2"/>
      <c r="B220" s="2"/>
      <c r="C220" s="2"/>
      <c r="D220" s="2"/>
      <c r="E220" s="2"/>
      <c r="F220" s="2"/>
      <c r="G220" s="2"/>
      <c r="H220" s="2"/>
      <c r="I220" s="2"/>
      <c r="J220" s="2"/>
      <c r="K220" s="2"/>
      <c r="L220" s="2"/>
      <c r="M220" s="2"/>
      <c r="N220" s="4"/>
      <c r="O220" s="4"/>
      <c r="P220" s="4"/>
      <c r="Q220" s="4"/>
      <c r="R220" s="4"/>
      <c r="S220" s="2"/>
      <c r="T220" s="2"/>
      <c r="U220" s="2"/>
      <c r="V220" s="2"/>
      <c r="W220" s="2"/>
      <c r="X220" s="2"/>
      <c r="Y220" s="2"/>
      <c r="Z220" s="2"/>
      <c r="AA220" s="2"/>
      <c r="AB220" s="2"/>
      <c r="AC220" s="2"/>
      <c r="AD220" s="2"/>
      <c r="AE220" s="2"/>
      <c r="AF220" s="6"/>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row>
    <row r="221" spans="1:94">
      <c r="A221" s="2"/>
      <c r="B221" s="2"/>
      <c r="C221" s="2"/>
      <c r="D221" s="2"/>
      <c r="E221" s="2"/>
      <c r="F221" s="2"/>
      <c r="G221" s="2"/>
      <c r="H221" s="2"/>
      <c r="I221" s="2"/>
      <c r="J221" s="2"/>
      <c r="K221" s="2"/>
      <c r="L221" s="2"/>
      <c r="M221" s="2"/>
      <c r="N221" s="4"/>
      <c r="O221" s="4"/>
      <c r="P221" s="4"/>
      <c r="Q221" s="4"/>
      <c r="R221" s="4"/>
      <c r="S221" s="2"/>
      <c r="T221" s="2"/>
      <c r="U221" s="2"/>
      <c r="V221" s="2"/>
      <c r="W221" s="2"/>
      <c r="X221" s="2"/>
      <c r="Y221" s="2"/>
      <c r="Z221" s="2"/>
      <c r="AA221" s="2"/>
      <c r="AB221" s="2"/>
      <c r="AC221" s="2"/>
      <c r="AD221" s="2"/>
      <c r="AE221" s="2"/>
      <c r="AF221" s="6"/>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row>
    <row r="222" spans="1:94">
      <c r="A222" s="2"/>
      <c r="B222" s="2"/>
      <c r="C222" s="2"/>
      <c r="D222" s="2"/>
      <c r="E222" s="2"/>
      <c r="F222" s="2"/>
      <c r="G222" s="2"/>
      <c r="H222" s="2"/>
      <c r="I222" s="2"/>
      <c r="J222" s="2"/>
      <c r="K222" s="2"/>
      <c r="L222" s="2"/>
      <c r="M222" s="2"/>
      <c r="N222" s="4"/>
      <c r="O222" s="4"/>
      <c r="P222" s="4"/>
      <c r="Q222" s="4"/>
      <c r="R222" s="4"/>
      <c r="S222" s="2"/>
      <c r="T222" s="2"/>
      <c r="U222" s="2"/>
      <c r="V222" s="2"/>
      <c r="W222" s="2"/>
      <c r="X222" s="2"/>
      <c r="Y222" s="2"/>
      <c r="Z222" s="2"/>
      <c r="AA222" s="2"/>
      <c r="AB222" s="2"/>
      <c r="AC222" s="2"/>
      <c r="AD222" s="2"/>
      <c r="AE222" s="2"/>
      <c r="AF222" s="6"/>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row>
    <row r="223" spans="1:94">
      <c r="A223" s="2"/>
      <c r="B223" s="2"/>
      <c r="C223" s="2"/>
      <c r="D223" s="2"/>
      <c r="E223" s="2"/>
      <c r="F223" s="2"/>
      <c r="G223" s="2"/>
      <c r="H223" s="2"/>
      <c r="I223" s="2"/>
      <c r="J223" s="2"/>
      <c r="K223" s="2"/>
      <c r="L223" s="2"/>
      <c r="M223" s="2"/>
      <c r="N223" s="4"/>
      <c r="O223" s="4"/>
      <c r="P223" s="4"/>
      <c r="Q223" s="4"/>
      <c r="R223" s="4"/>
      <c r="S223" s="2"/>
      <c r="T223" s="2"/>
      <c r="U223" s="2"/>
      <c r="V223" s="2"/>
      <c r="W223" s="2"/>
      <c r="X223" s="2"/>
      <c r="Y223" s="2"/>
      <c r="Z223" s="2"/>
      <c r="AA223" s="2"/>
      <c r="AB223" s="2"/>
      <c r="AC223" s="2"/>
      <c r="AD223" s="2"/>
      <c r="AE223" s="2"/>
      <c r="AF223" s="6"/>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row>
    <row r="224" spans="1:94">
      <c r="A224" s="2"/>
      <c r="B224" s="2"/>
      <c r="C224" s="2"/>
      <c r="D224" s="2"/>
      <c r="E224" s="2"/>
      <c r="F224" s="2"/>
      <c r="G224" s="2"/>
      <c r="H224" s="2"/>
      <c r="I224" s="2"/>
      <c r="J224" s="2"/>
      <c r="K224" s="2"/>
      <c r="L224" s="2"/>
      <c r="M224" s="2"/>
      <c r="N224" s="4"/>
      <c r="O224" s="4"/>
      <c r="P224" s="4"/>
      <c r="Q224" s="4"/>
      <c r="R224" s="4"/>
      <c r="S224" s="2"/>
      <c r="T224" s="2"/>
      <c r="U224" s="2"/>
      <c r="V224" s="2"/>
      <c r="W224" s="2"/>
      <c r="X224" s="2"/>
      <c r="Y224" s="2"/>
      <c r="Z224" s="2"/>
      <c r="AA224" s="2"/>
      <c r="AB224" s="2"/>
      <c r="AC224" s="2"/>
      <c r="AD224" s="2"/>
      <c r="AE224" s="2"/>
      <c r="AF224" s="6"/>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row>
    <row r="225" spans="1:94">
      <c r="A225" s="2"/>
      <c r="B225" s="2"/>
      <c r="C225" s="2"/>
      <c r="D225" s="2"/>
      <c r="E225" s="2"/>
      <c r="F225" s="2"/>
      <c r="G225" s="2"/>
      <c r="H225" s="2"/>
      <c r="I225" s="2"/>
      <c r="J225" s="2"/>
      <c r="K225" s="2"/>
      <c r="L225" s="2"/>
      <c r="M225" s="2"/>
      <c r="N225" s="4"/>
      <c r="O225" s="4"/>
      <c r="P225" s="4"/>
      <c r="Q225" s="4"/>
      <c r="R225" s="4"/>
      <c r="S225" s="2"/>
      <c r="T225" s="2"/>
      <c r="U225" s="2"/>
      <c r="V225" s="2"/>
      <c r="W225" s="2"/>
      <c r="X225" s="2"/>
      <c r="Y225" s="2"/>
      <c r="Z225" s="2"/>
      <c r="AA225" s="2"/>
      <c r="AB225" s="2"/>
      <c r="AC225" s="2"/>
      <c r="AD225" s="2"/>
      <c r="AE225" s="2"/>
      <c r="AF225" s="6"/>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row>
    <row r="226" spans="1:94">
      <c r="A226" s="2"/>
      <c r="B226" s="2"/>
      <c r="C226" s="2"/>
      <c r="D226" s="2"/>
      <c r="E226" s="2"/>
      <c r="F226" s="2"/>
      <c r="G226" s="2"/>
      <c r="H226" s="2"/>
      <c r="I226" s="2"/>
      <c r="J226" s="2"/>
      <c r="K226" s="2"/>
      <c r="L226" s="2"/>
      <c r="M226" s="2"/>
      <c r="N226" s="4"/>
      <c r="O226" s="4"/>
      <c r="P226" s="4"/>
      <c r="Q226" s="4"/>
      <c r="R226" s="4"/>
      <c r="S226" s="2"/>
      <c r="T226" s="2"/>
      <c r="U226" s="2"/>
      <c r="V226" s="2"/>
      <c r="W226" s="2"/>
      <c r="X226" s="2"/>
      <c r="Y226" s="2"/>
      <c r="Z226" s="2"/>
      <c r="AA226" s="2"/>
      <c r="AB226" s="2"/>
      <c r="AC226" s="2"/>
      <c r="AD226" s="2"/>
      <c r="AE226" s="2"/>
      <c r="AF226" s="6"/>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row>
    <row r="227" spans="1:94">
      <c r="A227" s="2"/>
      <c r="B227" s="2"/>
      <c r="C227" s="2"/>
      <c r="D227" s="2"/>
      <c r="E227" s="2"/>
      <c r="F227" s="2"/>
      <c r="G227" s="2"/>
      <c r="H227" s="2"/>
      <c r="I227" s="2"/>
      <c r="J227" s="2"/>
      <c r="K227" s="2"/>
      <c r="L227" s="2"/>
      <c r="M227" s="2"/>
      <c r="N227" s="4"/>
      <c r="O227" s="4"/>
      <c r="P227" s="4"/>
      <c r="Q227" s="4"/>
      <c r="R227" s="4"/>
      <c r="S227" s="2"/>
      <c r="T227" s="2"/>
      <c r="U227" s="2"/>
      <c r="V227" s="2"/>
      <c r="W227" s="2"/>
      <c r="X227" s="2"/>
      <c r="Y227" s="2"/>
      <c r="Z227" s="2"/>
      <c r="AA227" s="2"/>
      <c r="AB227" s="2"/>
      <c r="AC227" s="2"/>
      <c r="AD227" s="2"/>
      <c r="AE227" s="2"/>
      <c r="AF227" s="6"/>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row>
    <row r="228" spans="1:94">
      <c r="A228" s="2"/>
      <c r="B228" s="2"/>
      <c r="C228" s="2"/>
      <c r="D228" s="2"/>
      <c r="E228" s="2"/>
      <c r="F228" s="2"/>
      <c r="G228" s="2"/>
      <c r="H228" s="2"/>
      <c r="I228" s="2"/>
      <c r="J228" s="2"/>
      <c r="K228" s="2"/>
      <c r="L228" s="2"/>
      <c r="M228" s="2"/>
      <c r="N228" s="4"/>
      <c r="O228" s="4"/>
      <c r="P228" s="4"/>
      <c r="Q228" s="4"/>
      <c r="R228" s="4"/>
      <c r="S228" s="2"/>
      <c r="T228" s="2"/>
      <c r="U228" s="2"/>
      <c r="V228" s="2"/>
      <c r="W228" s="2"/>
      <c r="X228" s="2"/>
      <c r="Y228" s="2"/>
      <c r="Z228" s="2"/>
      <c r="AA228" s="2"/>
      <c r="AB228" s="2"/>
      <c r="AC228" s="2"/>
      <c r="AD228" s="2"/>
      <c r="AE228" s="2"/>
      <c r="AF228" s="6"/>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row>
    <row r="229" spans="1:94">
      <c r="A229" s="2"/>
      <c r="B229" s="2"/>
      <c r="C229" s="2"/>
      <c r="D229" s="2"/>
      <c r="E229" s="2"/>
      <c r="F229" s="2"/>
      <c r="G229" s="2"/>
      <c r="H229" s="2"/>
      <c r="I229" s="2"/>
      <c r="J229" s="2"/>
      <c r="K229" s="2"/>
      <c r="L229" s="2"/>
      <c r="M229" s="2"/>
      <c r="N229" s="4"/>
      <c r="O229" s="4"/>
      <c r="P229" s="4"/>
      <c r="Q229" s="4"/>
      <c r="R229" s="4"/>
      <c r="S229" s="2"/>
      <c r="T229" s="2"/>
      <c r="U229" s="2"/>
      <c r="V229" s="2"/>
      <c r="W229" s="2"/>
      <c r="X229" s="2"/>
      <c r="Y229" s="2"/>
      <c r="Z229" s="2"/>
      <c r="AA229" s="2"/>
      <c r="AB229" s="2"/>
      <c r="AC229" s="2"/>
      <c r="AD229" s="2"/>
      <c r="AE229" s="2"/>
      <c r="AF229" s="6"/>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row>
    <row r="230" spans="1:94">
      <c r="A230" s="2"/>
      <c r="B230" s="2"/>
      <c r="C230" s="2"/>
      <c r="D230" s="2"/>
      <c r="E230" s="2"/>
      <c r="F230" s="2"/>
      <c r="G230" s="2"/>
      <c r="H230" s="2"/>
      <c r="I230" s="2"/>
      <c r="J230" s="2"/>
      <c r="K230" s="2"/>
      <c r="L230" s="2"/>
      <c r="M230" s="2"/>
      <c r="N230" s="4"/>
      <c r="O230" s="4"/>
      <c r="P230" s="4"/>
      <c r="Q230" s="4"/>
      <c r="R230" s="4"/>
      <c r="S230" s="2"/>
      <c r="T230" s="2"/>
      <c r="U230" s="2"/>
      <c r="V230" s="2"/>
      <c r="W230" s="2"/>
      <c r="X230" s="2"/>
      <c r="Y230" s="2"/>
      <c r="Z230" s="2"/>
      <c r="AA230" s="2"/>
      <c r="AB230" s="2"/>
      <c r="AC230" s="2"/>
      <c r="AD230" s="2"/>
      <c r="AE230" s="2"/>
      <c r="AF230" s="6"/>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row>
    <row r="231" spans="1:94">
      <c r="A231" s="2"/>
      <c r="B231" s="2"/>
      <c r="C231" s="2"/>
      <c r="D231" s="2"/>
      <c r="E231" s="2"/>
      <c r="F231" s="2"/>
      <c r="G231" s="2"/>
      <c r="H231" s="2"/>
      <c r="I231" s="2"/>
      <c r="J231" s="2"/>
      <c r="K231" s="2"/>
      <c r="L231" s="2"/>
      <c r="M231" s="2"/>
      <c r="N231" s="4"/>
      <c r="O231" s="4"/>
      <c r="P231" s="4"/>
      <c r="Q231" s="4"/>
      <c r="R231" s="4"/>
      <c r="S231" s="2"/>
      <c r="T231" s="2"/>
      <c r="U231" s="2"/>
      <c r="V231" s="2"/>
      <c r="W231" s="2"/>
      <c r="X231" s="2"/>
      <c r="Y231" s="2"/>
      <c r="Z231" s="2"/>
      <c r="AA231" s="2"/>
      <c r="AB231" s="2"/>
      <c r="AC231" s="2"/>
      <c r="AD231" s="2"/>
      <c r="AE231" s="2"/>
      <c r="AF231" s="6"/>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row>
    <row r="232" spans="1:94">
      <c r="A232" s="2"/>
      <c r="B232" s="2"/>
      <c r="C232" s="2"/>
      <c r="D232" s="2"/>
      <c r="E232" s="2"/>
      <c r="F232" s="2"/>
      <c r="G232" s="2"/>
      <c r="H232" s="2"/>
      <c r="I232" s="2"/>
      <c r="J232" s="2"/>
      <c r="K232" s="2"/>
      <c r="L232" s="2"/>
      <c r="M232" s="2"/>
      <c r="N232" s="4"/>
      <c r="O232" s="4"/>
      <c r="P232" s="4"/>
      <c r="Q232" s="4"/>
      <c r="R232" s="4"/>
      <c r="S232" s="2"/>
      <c r="T232" s="2"/>
      <c r="U232" s="2"/>
      <c r="V232" s="2"/>
      <c r="W232" s="2"/>
      <c r="X232" s="2"/>
      <c r="Y232" s="2"/>
      <c r="Z232" s="2"/>
      <c r="AA232" s="2"/>
      <c r="AB232" s="2"/>
      <c r="AC232" s="2"/>
      <c r="AD232" s="2"/>
      <c r="AE232" s="2"/>
      <c r="AF232" s="6"/>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row>
    <row r="233" spans="1:94">
      <c r="A233" s="2"/>
      <c r="B233" s="2"/>
      <c r="C233" s="2"/>
      <c r="D233" s="2"/>
      <c r="E233" s="2"/>
      <c r="F233" s="2"/>
      <c r="G233" s="2"/>
      <c r="H233" s="2"/>
      <c r="I233" s="2"/>
      <c r="J233" s="2"/>
      <c r="K233" s="2"/>
      <c r="L233" s="2"/>
      <c r="M233" s="2"/>
      <c r="N233" s="4"/>
      <c r="O233" s="4"/>
      <c r="P233" s="4"/>
      <c r="Q233" s="4"/>
      <c r="R233" s="4"/>
      <c r="S233" s="2"/>
      <c r="T233" s="2"/>
      <c r="U233" s="2"/>
      <c r="V233" s="2"/>
      <c r="W233" s="2"/>
      <c r="X233" s="2"/>
      <c r="Y233" s="2"/>
      <c r="Z233" s="2"/>
      <c r="AA233" s="2"/>
      <c r="AB233" s="2"/>
      <c r="AC233" s="2"/>
      <c r="AD233" s="2"/>
      <c r="AE233" s="2"/>
      <c r="AF233" s="6"/>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row>
    <row r="234" spans="1:94">
      <c r="A234" s="2"/>
      <c r="B234" s="2"/>
      <c r="C234" s="2"/>
      <c r="D234" s="2"/>
      <c r="E234" s="2"/>
      <c r="F234" s="2"/>
      <c r="G234" s="2"/>
      <c r="H234" s="2"/>
      <c r="I234" s="2"/>
      <c r="J234" s="2"/>
      <c r="K234" s="2"/>
      <c r="L234" s="2"/>
      <c r="M234" s="2"/>
      <c r="N234" s="4"/>
      <c r="O234" s="4"/>
      <c r="P234" s="4"/>
      <c r="Q234" s="4"/>
      <c r="R234" s="4"/>
      <c r="S234" s="2"/>
      <c r="T234" s="2"/>
      <c r="U234" s="2"/>
      <c r="V234" s="2"/>
      <c r="W234" s="2"/>
      <c r="X234" s="2"/>
      <c r="Y234" s="2"/>
      <c r="Z234" s="2"/>
      <c r="AA234" s="2"/>
      <c r="AB234" s="2"/>
      <c r="AC234" s="2"/>
      <c r="AD234" s="2"/>
      <c r="AE234" s="2"/>
      <c r="AF234" s="6"/>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row>
    <row r="235" spans="1:94">
      <c r="A235" s="2"/>
      <c r="B235" s="2"/>
      <c r="C235" s="2"/>
      <c r="D235" s="2"/>
      <c r="E235" s="2"/>
      <c r="F235" s="2"/>
      <c r="G235" s="2"/>
      <c r="H235" s="2"/>
      <c r="I235" s="2"/>
      <c r="J235" s="2"/>
      <c r="K235" s="2"/>
      <c r="L235" s="2"/>
      <c r="M235" s="2"/>
      <c r="N235" s="4"/>
      <c r="O235" s="4"/>
      <c r="P235" s="4"/>
      <c r="Q235" s="4"/>
      <c r="R235" s="4"/>
      <c r="S235" s="2"/>
      <c r="T235" s="2"/>
      <c r="U235" s="2"/>
      <c r="V235" s="2"/>
      <c r="W235" s="2"/>
      <c r="X235" s="2"/>
      <c r="Y235" s="2"/>
      <c r="Z235" s="2"/>
      <c r="AA235" s="2"/>
      <c r="AB235" s="2"/>
      <c r="AC235" s="2"/>
      <c r="AD235" s="2"/>
      <c r="AE235" s="2"/>
      <c r="AF235" s="6"/>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row>
    <row r="236" spans="1:94">
      <c r="A236" s="2"/>
      <c r="B236" s="2"/>
      <c r="C236" s="2"/>
      <c r="D236" s="2"/>
      <c r="E236" s="2"/>
      <c r="F236" s="2"/>
      <c r="G236" s="2"/>
      <c r="H236" s="2"/>
      <c r="I236" s="2"/>
      <c r="J236" s="2"/>
      <c r="K236" s="2"/>
      <c r="L236" s="2"/>
      <c r="M236" s="2"/>
      <c r="N236" s="4"/>
      <c r="O236" s="4"/>
      <c r="P236" s="4"/>
      <c r="Q236" s="4"/>
      <c r="R236" s="4"/>
      <c r="S236" s="2"/>
      <c r="T236" s="2"/>
      <c r="U236" s="2"/>
      <c r="V236" s="2"/>
      <c r="W236" s="2"/>
      <c r="X236" s="2"/>
      <c r="Y236" s="2"/>
      <c r="Z236" s="2"/>
      <c r="AA236" s="2"/>
      <c r="AB236" s="2"/>
      <c r="AC236" s="2"/>
      <c r="AD236" s="2"/>
      <c r="AE236" s="2"/>
      <c r="AF236" s="6"/>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row>
  </sheetData>
  <phoneticPr fontId="76" type="noConversion"/>
  <pageMargins left="0.56000000000000005" right="0.37" top="0.65" bottom="1" header="0.5" footer="0.5"/>
  <pageSetup scale="59" fitToHeight="2" orientation="portrait" r:id="rId1"/>
  <headerFooter alignWithMargins="0"/>
  <colBreaks count="1" manualBreakCount="1">
    <brk id="33" min="1" max="126" man="1"/>
  </col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400"/>
  <sheetViews>
    <sheetView showGridLines="0" tabSelected="1" workbookViewId="0">
      <selection activeCell="C37" sqref="C37"/>
    </sheetView>
  </sheetViews>
  <sheetFormatPr defaultRowHeight="12.75"/>
  <cols>
    <col min="1" max="1" width="25.77734375" style="3434" customWidth="1"/>
    <col min="2" max="5" width="8.88671875" style="3434"/>
    <col min="6" max="6" width="18.77734375" style="3434" customWidth="1"/>
    <col min="7" max="256" width="8.88671875" style="3434"/>
    <col min="257" max="257" width="78.33203125" style="3434" customWidth="1"/>
    <col min="258" max="512" width="8.88671875" style="3434"/>
    <col min="513" max="513" width="78.33203125" style="3434" customWidth="1"/>
    <col min="514" max="768" width="8.88671875" style="3434"/>
    <col min="769" max="769" width="78.33203125" style="3434" customWidth="1"/>
    <col min="770" max="1024" width="8.88671875" style="3434"/>
    <col min="1025" max="1025" width="78.33203125" style="3434" customWidth="1"/>
    <col min="1026" max="1280" width="8.88671875" style="3434"/>
    <col min="1281" max="1281" width="78.33203125" style="3434" customWidth="1"/>
    <col min="1282" max="1536" width="8.88671875" style="3434"/>
    <col min="1537" max="1537" width="78.33203125" style="3434" customWidth="1"/>
    <col min="1538" max="1792" width="8.88671875" style="3434"/>
    <col min="1793" max="1793" width="78.33203125" style="3434" customWidth="1"/>
    <col min="1794" max="2048" width="8.88671875" style="3434"/>
    <col min="2049" max="2049" width="78.33203125" style="3434" customWidth="1"/>
    <col min="2050" max="2304" width="8.88671875" style="3434"/>
    <col min="2305" max="2305" width="78.33203125" style="3434" customWidth="1"/>
    <col min="2306" max="2560" width="8.88671875" style="3434"/>
    <col min="2561" max="2561" width="78.33203125" style="3434" customWidth="1"/>
    <col min="2562" max="2816" width="8.88671875" style="3434"/>
    <col min="2817" max="2817" width="78.33203125" style="3434" customWidth="1"/>
    <col min="2818" max="3072" width="8.88671875" style="3434"/>
    <col min="3073" max="3073" width="78.33203125" style="3434" customWidth="1"/>
    <col min="3074" max="3328" width="8.88671875" style="3434"/>
    <col min="3329" max="3329" width="78.33203125" style="3434" customWidth="1"/>
    <col min="3330" max="3584" width="8.88671875" style="3434"/>
    <col min="3585" max="3585" width="78.33203125" style="3434" customWidth="1"/>
    <col min="3586" max="3840" width="8.88671875" style="3434"/>
    <col min="3841" max="3841" width="78.33203125" style="3434" customWidth="1"/>
    <col min="3842" max="4096" width="8.88671875" style="3434"/>
    <col min="4097" max="4097" width="78.33203125" style="3434" customWidth="1"/>
    <col min="4098" max="4352" width="8.88671875" style="3434"/>
    <col min="4353" max="4353" width="78.33203125" style="3434" customWidth="1"/>
    <col min="4354" max="4608" width="8.88671875" style="3434"/>
    <col min="4609" max="4609" width="78.33203125" style="3434" customWidth="1"/>
    <col min="4610" max="4864" width="8.88671875" style="3434"/>
    <col min="4865" max="4865" width="78.33203125" style="3434" customWidth="1"/>
    <col min="4866" max="5120" width="8.88671875" style="3434"/>
    <col min="5121" max="5121" width="78.33203125" style="3434" customWidth="1"/>
    <col min="5122" max="5376" width="8.88671875" style="3434"/>
    <col min="5377" max="5377" width="78.33203125" style="3434" customWidth="1"/>
    <col min="5378" max="5632" width="8.88671875" style="3434"/>
    <col min="5633" max="5633" width="78.33203125" style="3434" customWidth="1"/>
    <col min="5634" max="5888" width="8.88671875" style="3434"/>
    <col min="5889" max="5889" width="78.33203125" style="3434" customWidth="1"/>
    <col min="5890" max="6144" width="8.88671875" style="3434"/>
    <col min="6145" max="6145" width="78.33203125" style="3434" customWidth="1"/>
    <col min="6146" max="6400" width="8.88671875" style="3434"/>
    <col min="6401" max="6401" width="78.33203125" style="3434" customWidth="1"/>
    <col min="6402" max="6656" width="8.88671875" style="3434"/>
    <col min="6657" max="6657" width="78.33203125" style="3434" customWidth="1"/>
    <col min="6658" max="6912" width="8.88671875" style="3434"/>
    <col min="6913" max="6913" width="78.33203125" style="3434" customWidth="1"/>
    <col min="6914" max="7168" width="8.88671875" style="3434"/>
    <col min="7169" max="7169" width="78.33203125" style="3434" customWidth="1"/>
    <col min="7170" max="7424" width="8.88671875" style="3434"/>
    <col min="7425" max="7425" width="78.33203125" style="3434" customWidth="1"/>
    <col min="7426" max="7680" width="8.88671875" style="3434"/>
    <col min="7681" max="7681" width="78.33203125" style="3434" customWidth="1"/>
    <col min="7682" max="7936" width="8.88671875" style="3434"/>
    <col min="7937" max="7937" width="78.33203125" style="3434" customWidth="1"/>
    <col min="7938" max="8192" width="8.88671875" style="3434"/>
    <col min="8193" max="8193" width="78.33203125" style="3434" customWidth="1"/>
    <col min="8194" max="8448" width="8.88671875" style="3434"/>
    <col min="8449" max="8449" width="78.33203125" style="3434" customWidth="1"/>
    <col min="8450" max="8704" width="8.88671875" style="3434"/>
    <col min="8705" max="8705" width="78.33203125" style="3434" customWidth="1"/>
    <col min="8706" max="8960" width="8.88671875" style="3434"/>
    <col min="8961" max="8961" width="78.33203125" style="3434" customWidth="1"/>
    <col min="8962" max="9216" width="8.88671875" style="3434"/>
    <col min="9217" max="9217" width="78.33203125" style="3434" customWidth="1"/>
    <col min="9218" max="9472" width="8.88671875" style="3434"/>
    <col min="9473" max="9473" width="78.33203125" style="3434" customWidth="1"/>
    <col min="9474" max="9728" width="8.88671875" style="3434"/>
    <col min="9729" max="9729" width="78.33203125" style="3434" customWidth="1"/>
    <col min="9730" max="9984" width="8.88671875" style="3434"/>
    <col min="9985" max="9985" width="78.33203125" style="3434" customWidth="1"/>
    <col min="9986" max="10240" width="8.88671875" style="3434"/>
    <col min="10241" max="10241" width="78.33203125" style="3434" customWidth="1"/>
    <col min="10242" max="10496" width="8.88671875" style="3434"/>
    <col min="10497" max="10497" width="78.33203125" style="3434" customWidth="1"/>
    <col min="10498" max="10752" width="8.88671875" style="3434"/>
    <col min="10753" max="10753" width="78.33203125" style="3434" customWidth="1"/>
    <col min="10754" max="11008" width="8.88671875" style="3434"/>
    <col min="11009" max="11009" width="78.33203125" style="3434" customWidth="1"/>
    <col min="11010" max="11264" width="8.88671875" style="3434"/>
    <col min="11265" max="11265" width="78.33203125" style="3434" customWidth="1"/>
    <col min="11266" max="11520" width="8.88671875" style="3434"/>
    <col min="11521" max="11521" width="78.33203125" style="3434" customWidth="1"/>
    <col min="11522" max="11776" width="8.88671875" style="3434"/>
    <col min="11777" max="11777" width="78.33203125" style="3434" customWidth="1"/>
    <col min="11778" max="12032" width="8.88671875" style="3434"/>
    <col min="12033" max="12033" width="78.33203125" style="3434" customWidth="1"/>
    <col min="12034" max="12288" width="8.88671875" style="3434"/>
    <col min="12289" max="12289" width="78.33203125" style="3434" customWidth="1"/>
    <col min="12290" max="12544" width="8.88671875" style="3434"/>
    <col min="12545" max="12545" width="78.33203125" style="3434" customWidth="1"/>
    <col min="12546" max="12800" width="8.88671875" style="3434"/>
    <col min="12801" max="12801" width="78.33203125" style="3434" customWidth="1"/>
    <col min="12802" max="13056" width="8.88671875" style="3434"/>
    <col min="13057" max="13057" width="78.33203125" style="3434" customWidth="1"/>
    <col min="13058" max="13312" width="8.88671875" style="3434"/>
    <col min="13313" max="13313" width="78.33203125" style="3434" customWidth="1"/>
    <col min="13314" max="13568" width="8.88671875" style="3434"/>
    <col min="13569" max="13569" width="78.33203125" style="3434" customWidth="1"/>
    <col min="13570" max="13824" width="8.88671875" style="3434"/>
    <col min="13825" max="13825" width="78.33203125" style="3434" customWidth="1"/>
    <col min="13826" max="14080" width="8.88671875" style="3434"/>
    <col min="14081" max="14081" width="78.33203125" style="3434" customWidth="1"/>
    <col min="14082" max="14336" width="8.88671875" style="3434"/>
    <col min="14337" max="14337" width="78.33203125" style="3434" customWidth="1"/>
    <col min="14338" max="14592" width="8.88671875" style="3434"/>
    <col min="14593" max="14593" width="78.33203125" style="3434" customWidth="1"/>
    <col min="14594" max="14848" width="8.88671875" style="3434"/>
    <col min="14849" max="14849" width="78.33203125" style="3434" customWidth="1"/>
    <col min="14850" max="15104" width="8.88671875" style="3434"/>
    <col min="15105" max="15105" width="78.33203125" style="3434" customWidth="1"/>
    <col min="15106" max="15360" width="8.88671875" style="3434"/>
    <col min="15361" max="15361" width="78.33203125" style="3434" customWidth="1"/>
    <col min="15362" max="15616" width="8.88671875" style="3434"/>
    <col min="15617" max="15617" width="78.33203125" style="3434" customWidth="1"/>
    <col min="15618" max="15872" width="8.88671875" style="3434"/>
    <col min="15873" max="15873" width="78.33203125" style="3434" customWidth="1"/>
    <col min="15874" max="16128" width="8.88671875" style="3434"/>
    <col min="16129" max="16129" width="78.33203125" style="3434" customWidth="1"/>
    <col min="16130" max="16384" width="8.88671875" style="3434"/>
  </cols>
  <sheetData>
    <row r="1" spans="1:8" ht="30" customHeight="1">
      <c r="A1" s="3432"/>
      <c r="B1" s="3433"/>
      <c r="C1" s="3433"/>
      <c r="D1" s="3433"/>
      <c r="E1" s="3433"/>
      <c r="F1" s="3433"/>
      <c r="G1" s="3433"/>
      <c r="H1" s="3433"/>
    </row>
    <row r="2" spans="1:8" ht="14.25">
      <c r="A2" s="3435" t="s">
        <v>1734</v>
      </c>
      <c r="B2" s="3433"/>
      <c r="C2" s="3433"/>
      <c r="D2" s="3433"/>
      <c r="E2" s="3433"/>
      <c r="F2" s="3433"/>
      <c r="G2" s="3433"/>
      <c r="H2" s="3433"/>
    </row>
    <row r="3" spans="1:8" ht="14.25">
      <c r="A3" s="3435" t="s">
        <v>1735</v>
      </c>
      <c r="B3" s="3433"/>
      <c r="C3" s="3433"/>
      <c r="D3" s="3433"/>
      <c r="E3" s="3433"/>
      <c r="F3" s="3433"/>
      <c r="G3" s="3433"/>
      <c r="H3" s="3433"/>
    </row>
    <row r="4" spans="1:8" ht="14.25">
      <c r="A4" s="3435" t="s">
        <v>1736</v>
      </c>
      <c r="B4" s="3433"/>
      <c r="C4" s="3433"/>
      <c r="D4" s="3433"/>
      <c r="E4" s="3433"/>
      <c r="F4" s="3433"/>
      <c r="G4" s="3433"/>
      <c r="H4" s="3433"/>
    </row>
    <row r="5" spans="1:8" ht="14.25">
      <c r="A5" s="3435" t="s">
        <v>1737</v>
      </c>
      <c r="B5" s="3433"/>
      <c r="C5" s="3433"/>
      <c r="D5" s="3433"/>
      <c r="E5" s="3433"/>
      <c r="F5" s="3433"/>
      <c r="G5" s="3433"/>
      <c r="H5" s="3433"/>
    </row>
    <row r="6" spans="1:8" ht="14.25">
      <c r="A6" s="3435"/>
      <c r="B6" s="3433"/>
      <c r="C6" s="3433"/>
      <c r="D6" s="3433"/>
      <c r="E6" s="3433"/>
      <c r="F6" s="3433"/>
      <c r="G6" s="3433"/>
      <c r="H6" s="3433"/>
    </row>
    <row r="7" spans="1:8">
      <c r="A7" s="3432" t="s">
        <v>1738</v>
      </c>
      <c r="B7" s="3433"/>
      <c r="C7" s="3433"/>
      <c r="D7" s="3433"/>
      <c r="E7" s="3433"/>
      <c r="F7" s="3433"/>
      <c r="G7" s="3433"/>
      <c r="H7" s="3433"/>
    </row>
    <row r="8" spans="1:8">
      <c r="A8" s="3432" t="s">
        <v>1739</v>
      </c>
      <c r="B8" s="3433"/>
      <c r="C8" s="3433"/>
      <c r="D8" s="3433"/>
      <c r="E8" s="3433"/>
      <c r="F8" s="3433"/>
      <c r="G8" s="3433"/>
      <c r="H8" s="3433"/>
    </row>
    <row r="9" spans="1:8">
      <c r="A9" s="3432"/>
      <c r="B9" s="3433"/>
      <c r="C9" s="3433"/>
      <c r="D9" s="3433"/>
      <c r="E9" s="3433"/>
      <c r="F9" s="3433"/>
      <c r="G9" s="3433"/>
      <c r="H9" s="3433"/>
    </row>
    <row r="10" spans="1:8">
      <c r="A10" s="3436" t="s">
        <v>1740</v>
      </c>
      <c r="B10" s="3433"/>
      <c r="C10" s="3433"/>
      <c r="D10" s="3433"/>
      <c r="E10" s="3433"/>
      <c r="F10" s="3433"/>
      <c r="G10" s="3433"/>
      <c r="H10" s="3433"/>
    </row>
    <row r="11" spans="1:8">
      <c r="A11" s="3436" t="s">
        <v>1741</v>
      </c>
      <c r="B11" s="3433"/>
      <c r="C11" s="3433"/>
      <c r="D11" s="3433"/>
      <c r="E11" s="3433"/>
      <c r="F11" s="3433"/>
      <c r="G11" s="3433"/>
      <c r="H11" s="3433"/>
    </row>
    <row r="12" spans="1:8">
      <c r="A12" s="3436" t="s">
        <v>1742</v>
      </c>
      <c r="B12" s="3433"/>
      <c r="C12" s="3433"/>
      <c r="D12" s="3433"/>
      <c r="E12" s="3433"/>
      <c r="F12" s="3433"/>
      <c r="G12" s="3433"/>
      <c r="H12" s="3433"/>
    </row>
    <row r="13" spans="1:8">
      <c r="A13" s="3436" t="s">
        <v>1743</v>
      </c>
      <c r="B13" s="3433"/>
      <c r="C13" s="3433"/>
      <c r="D13" s="3433"/>
      <c r="E13" s="3433"/>
      <c r="F13" s="3433"/>
      <c r="G13" s="3433"/>
      <c r="H13" s="3433"/>
    </row>
    <row r="14" spans="1:8">
      <c r="A14" s="3436" t="s">
        <v>1744</v>
      </c>
      <c r="B14" s="3433"/>
      <c r="C14" s="3433"/>
      <c r="D14" s="3433"/>
      <c r="E14" s="3433"/>
      <c r="F14" s="3433"/>
      <c r="G14" s="3433"/>
      <c r="H14" s="3433"/>
    </row>
    <row r="15" spans="1:8">
      <c r="A15" s="3436" t="s">
        <v>1745</v>
      </c>
      <c r="B15" s="3433"/>
      <c r="C15" s="3433"/>
      <c r="D15" s="3433"/>
      <c r="E15" s="3433"/>
      <c r="F15" s="3433"/>
      <c r="G15" s="3433"/>
      <c r="H15" s="3433"/>
    </row>
    <row r="16" spans="1:8">
      <c r="A16" s="3436"/>
      <c r="B16" s="3433"/>
      <c r="C16" s="3433"/>
      <c r="D16" s="3433"/>
      <c r="E16" s="3433"/>
      <c r="F16" s="3433"/>
      <c r="G16" s="3433"/>
      <c r="H16" s="3433"/>
    </row>
    <row r="17" spans="1:8">
      <c r="A17" s="3436" t="s">
        <v>1731</v>
      </c>
      <c r="B17" s="3433"/>
      <c r="C17" s="3433"/>
      <c r="D17" s="3433"/>
      <c r="E17" s="3433"/>
      <c r="F17" s="3433"/>
      <c r="G17" s="3433"/>
      <c r="H17" s="3433"/>
    </row>
    <row r="18" spans="1:8">
      <c r="A18" s="3436"/>
      <c r="B18" s="3433"/>
      <c r="C18" s="3433"/>
      <c r="D18" s="3433"/>
      <c r="E18" s="3433"/>
      <c r="F18" s="3433"/>
      <c r="G18" s="3433"/>
      <c r="H18" s="3433"/>
    </row>
    <row r="19" spans="1:8">
      <c r="A19" s="3436" t="s">
        <v>1732</v>
      </c>
      <c r="B19" s="3433"/>
      <c r="C19" s="3433"/>
      <c r="D19" s="3433"/>
      <c r="E19" s="3433"/>
      <c r="F19" s="3433"/>
      <c r="G19" s="3433"/>
      <c r="H19" s="3433"/>
    </row>
    <row r="20" spans="1:8">
      <c r="A20" s="3432"/>
      <c r="B20" s="3433"/>
      <c r="C20" s="3433"/>
      <c r="D20" s="3433"/>
      <c r="E20" s="3433"/>
      <c r="F20" s="3433"/>
      <c r="G20" s="3433"/>
      <c r="H20" s="3433"/>
    </row>
    <row r="21" spans="1:8">
      <c r="A21" s="3437" t="s">
        <v>1733</v>
      </c>
      <c r="B21" s="3433"/>
      <c r="C21" s="3433"/>
      <c r="D21" s="3433"/>
      <c r="E21" s="3433"/>
      <c r="F21" s="3433"/>
      <c r="G21" s="3433"/>
      <c r="H21" s="3433"/>
    </row>
    <row r="22" spans="1:8" ht="15">
      <c r="A22" s="3438"/>
      <c r="B22" s="3438"/>
      <c r="C22" s="3438"/>
      <c r="D22" s="3438"/>
      <c r="E22" s="3438"/>
      <c r="F22" s="3438"/>
      <c r="G22" s="3438"/>
      <c r="H22" s="3438"/>
    </row>
    <row r="23" spans="1:8" ht="15">
      <c r="A23" s="3439" t="s">
        <v>2029</v>
      </c>
      <c r="B23" s="3438"/>
      <c r="C23" s="3438"/>
      <c r="D23" s="3438"/>
      <c r="E23" s="3438"/>
      <c r="F23" s="3438"/>
      <c r="G23" s="3438"/>
      <c r="H23" s="3438"/>
    </row>
    <row r="24" spans="1:8" ht="15">
      <c r="A24" s="3439" t="s">
        <v>2030</v>
      </c>
      <c r="B24" s="3438"/>
      <c r="C24" s="3438"/>
      <c r="D24" s="3438"/>
      <c r="E24" s="3438"/>
      <c r="F24" s="3438"/>
      <c r="G24" s="3438"/>
      <c r="H24" s="3438"/>
    </row>
    <row r="25" spans="1:8" ht="15">
      <c r="A25" s="3439" t="s">
        <v>2031</v>
      </c>
      <c r="B25" s="3438"/>
      <c r="C25" s="3438"/>
      <c r="D25" s="3438"/>
      <c r="E25" s="3438"/>
      <c r="F25" s="3438"/>
      <c r="G25" s="3438"/>
      <c r="H25" s="3438"/>
    </row>
    <row r="26" spans="1:8" ht="15">
      <c r="A26" s="3439" t="s">
        <v>2032</v>
      </c>
      <c r="B26" s="3438"/>
      <c r="C26" s="3438"/>
      <c r="D26" s="3438"/>
      <c r="E26" s="3438"/>
      <c r="F26" s="3438"/>
      <c r="G26" s="3438"/>
      <c r="H26" s="3438"/>
    </row>
    <row r="27" spans="1:8" ht="15">
      <c r="A27" s="3438"/>
      <c r="B27" s="3438"/>
      <c r="C27" s="3438"/>
      <c r="D27" s="3438"/>
      <c r="E27" s="3438"/>
      <c r="F27" s="3438"/>
      <c r="G27" s="3438"/>
      <c r="H27" s="3438"/>
    </row>
    <row r="28" spans="1:8" ht="15">
      <c r="A28" s="3438"/>
      <c r="B28" s="3438"/>
      <c r="C28" s="3438"/>
      <c r="D28" s="3438"/>
      <c r="E28" s="3438"/>
      <c r="F28" s="3438"/>
      <c r="G28" s="3438"/>
      <c r="H28" s="3438"/>
    </row>
    <row r="29" spans="1:8" ht="15">
      <c r="A29" s="3439" t="s">
        <v>2024</v>
      </c>
      <c r="B29" s="3438"/>
      <c r="C29" s="3438"/>
      <c r="D29" s="3438"/>
      <c r="E29" s="3438"/>
      <c r="F29" s="3438"/>
      <c r="G29" s="3438"/>
      <c r="H29" s="3438"/>
    </row>
    <row r="30" spans="1:8" ht="15">
      <c r="A30" s="3439" t="s">
        <v>2025</v>
      </c>
      <c r="B30" s="3438"/>
      <c r="C30" s="3438"/>
      <c r="D30" s="3438"/>
      <c r="E30" s="3438"/>
      <c r="F30" s="3438"/>
      <c r="G30" s="3438"/>
      <c r="H30" s="3438"/>
    </row>
    <row r="31" spans="1:8" ht="15">
      <c r="A31" s="3439" t="s">
        <v>2026</v>
      </c>
      <c r="B31" s="3438"/>
      <c r="C31" s="3438"/>
      <c r="D31" s="3438"/>
      <c r="E31" s="3438"/>
      <c r="F31" s="3438"/>
      <c r="G31" s="3438"/>
      <c r="H31" s="3438"/>
    </row>
    <row r="32" spans="1:8" ht="15">
      <c r="A32" s="3439" t="s">
        <v>2027</v>
      </c>
      <c r="B32" s="3438"/>
      <c r="C32" s="3438"/>
      <c r="D32" s="3438"/>
      <c r="E32" s="3438"/>
      <c r="F32" s="3438"/>
      <c r="G32" s="3438"/>
      <c r="H32" s="3438"/>
    </row>
    <row r="33" spans="1:8" ht="15">
      <c r="A33" s="3439" t="s">
        <v>2028</v>
      </c>
      <c r="B33" s="3438"/>
      <c r="C33" s="3438"/>
      <c r="D33" s="3438"/>
      <c r="E33" s="3438"/>
      <c r="F33" s="3438"/>
      <c r="G33" s="3438"/>
      <c r="H33" s="3438"/>
    </row>
    <row r="34" spans="1:8" ht="15">
      <c r="A34" s="3438"/>
      <c r="B34" s="3438"/>
      <c r="C34" s="3438"/>
      <c r="D34" s="3438"/>
      <c r="E34" s="3438"/>
      <c r="F34" s="3438"/>
      <c r="G34" s="3438"/>
      <c r="H34" s="3438"/>
    </row>
    <row r="35" spans="1:8" ht="15">
      <c r="A35" s="3439" t="s">
        <v>2020</v>
      </c>
      <c r="B35" s="3438"/>
      <c r="C35" s="3438"/>
      <c r="D35" s="3438"/>
      <c r="E35" s="3438"/>
      <c r="F35" s="3438"/>
      <c r="G35" s="3438"/>
      <c r="H35" s="3438"/>
    </row>
    <row r="36" spans="1:8" ht="15">
      <c r="A36" s="3439" t="s">
        <v>2021</v>
      </c>
      <c r="B36" s="3438"/>
      <c r="C36" s="3438"/>
      <c r="D36" s="3438"/>
      <c r="E36" s="3438"/>
      <c r="F36" s="3438"/>
      <c r="G36" s="3438"/>
      <c r="H36" s="3438"/>
    </row>
    <row r="37" spans="1:8" ht="15">
      <c r="A37" s="3439" t="s">
        <v>2022</v>
      </c>
      <c r="B37" s="3438"/>
      <c r="C37" s="3438"/>
      <c r="D37" s="3438"/>
      <c r="E37" s="3438"/>
      <c r="F37" s="3438"/>
      <c r="G37" s="3438"/>
      <c r="H37" s="3438"/>
    </row>
    <row r="38" spans="1:8" ht="15">
      <c r="A38" s="3439" t="s">
        <v>2023</v>
      </c>
      <c r="B38" s="3438"/>
      <c r="C38" s="3438"/>
      <c r="D38" s="3438"/>
      <c r="E38" s="3438"/>
      <c r="F38" s="3438"/>
      <c r="G38" s="3438"/>
      <c r="H38" s="3438"/>
    </row>
    <row r="39" spans="1:8" ht="15">
      <c r="A39" s="3438"/>
      <c r="B39" s="3438"/>
      <c r="C39" s="3438"/>
      <c r="D39" s="3438"/>
      <c r="E39" s="3438"/>
      <c r="F39" s="3438"/>
      <c r="G39" s="3438"/>
      <c r="H39" s="3438"/>
    </row>
    <row r="40" spans="1:8" ht="15">
      <c r="A40" s="3439" t="s">
        <v>2014</v>
      </c>
      <c r="B40" s="3438"/>
      <c r="C40" s="3438"/>
      <c r="D40" s="3438"/>
      <c r="E40" s="3438"/>
      <c r="F40" s="3438"/>
      <c r="G40" s="3438"/>
      <c r="H40" s="3438"/>
    </row>
    <row r="41" spans="1:8" ht="15">
      <c r="A41" s="3439" t="s">
        <v>2015</v>
      </c>
      <c r="B41" s="3438"/>
      <c r="C41" s="3438"/>
      <c r="D41" s="3438"/>
      <c r="E41" s="3438"/>
      <c r="F41" s="3438"/>
      <c r="G41" s="3438"/>
      <c r="H41" s="3438"/>
    </row>
    <row r="42" spans="1:8" ht="15">
      <c r="A42" s="3439" t="s">
        <v>2016</v>
      </c>
      <c r="B42" s="3438"/>
      <c r="C42" s="3438"/>
      <c r="D42" s="3438"/>
      <c r="E42" s="3438"/>
      <c r="F42" s="3438"/>
      <c r="G42" s="3438"/>
      <c r="H42" s="3438"/>
    </row>
    <row r="43" spans="1:8" ht="15">
      <c r="A43" s="3439" t="s">
        <v>2017</v>
      </c>
      <c r="B43" s="3438"/>
      <c r="C43" s="3438"/>
      <c r="D43" s="3438"/>
      <c r="E43" s="3438"/>
      <c r="F43" s="3438"/>
      <c r="G43" s="3438"/>
      <c r="H43" s="3438"/>
    </row>
    <row r="44" spans="1:8" ht="15">
      <c r="A44" s="3439" t="s">
        <v>2018</v>
      </c>
      <c r="B44" s="3438"/>
      <c r="C44" s="3438"/>
      <c r="D44" s="3438"/>
      <c r="E44" s="3438"/>
      <c r="F44" s="3438"/>
      <c r="G44" s="3438"/>
      <c r="H44" s="3438"/>
    </row>
    <row r="45" spans="1:8" ht="15">
      <c r="A45" s="3439" t="s">
        <v>2019</v>
      </c>
      <c r="B45" s="3438"/>
      <c r="C45" s="3438"/>
      <c r="D45" s="3438"/>
      <c r="E45" s="3438"/>
      <c r="F45" s="3438"/>
      <c r="G45" s="3438"/>
      <c r="H45" s="3438"/>
    </row>
    <row r="46" spans="1:8" ht="15">
      <c r="A46" s="3438"/>
      <c r="B46" s="3438"/>
      <c r="C46" s="3438"/>
      <c r="D46" s="3438"/>
      <c r="E46" s="3438"/>
      <c r="F46" s="3438"/>
      <c r="G46" s="3438"/>
      <c r="H46" s="3438"/>
    </row>
    <row r="47" spans="1:8" ht="15.75">
      <c r="A47" s="3440" t="s">
        <v>1746</v>
      </c>
      <c r="B47" s="3438"/>
      <c r="C47" s="3438"/>
      <c r="D47" s="3438"/>
      <c r="E47" s="3438"/>
      <c r="F47" s="3438"/>
      <c r="G47" s="3438"/>
      <c r="H47" s="3438"/>
    </row>
    <row r="48" spans="1:8" ht="15">
      <c r="A48" s="3438"/>
      <c r="B48" s="3438"/>
      <c r="C48" s="3438"/>
      <c r="D48" s="3438"/>
      <c r="E48" s="3438"/>
      <c r="F48" s="3438"/>
      <c r="G48" s="3438"/>
      <c r="H48" s="3438"/>
    </row>
    <row r="49" spans="1:8" ht="15">
      <c r="A49" s="3439" t="s">
        <v>2010</v>
      </c>
      <c r="B49" s="3438"/>
      <c r="C49" s="3438"/>
      <c r="D49" s="3438"/>
      <c r="E49" s="3438"/>
      <c r="F49" s="3438"/>
      <c r="G49" s="3438"/>
      <c r="H49" s="3438"/>
    </row>
    <row r="50" spans="1:8" ht="15">
      <c r="A50" s="3439" t="s">
        <v>2011</v>
      </c>
      <c r="B50" s="3438"/>
      <c r="C50" s="3438"/>
      <c r="D50" s="3438"/>
      <c r="E50" s="3438"/>
      <c r="F50" s="3438"/>
      <c r="G50" s="3438"/>
      <c r="H50" s="3438"/>
    </row>
    <row r="51" spans="1:8" ht="15">
      <c r="A51" s="3439" t="s">
        <v>2012</v>
      </c>
      <c r="B51" s="3438"/>
      <c r="C51" s="3438"/>
      <c r="D51" s="3438"/>
      <c r="E51" s="3438"/>
      <c r="F51" s="3438"/>
      <c r="G51" s="3438"/>
      <c r="H51" s="3438"/>
    </row>
    <row r="52" spans="1:8" ht="15">
      <c r="A52" s="3439" t="s">
        <v>2013</v>
      </c>
      <c r="B52" s="3438"/>
      <c r="C52" s="3438"/>
      <c r="D52" s="3438"/>
      <c r="E52" s="3438"/>
      <c r="F52" s="3438"/>
      <c r="G52" s="3438"/>
      <c r="H52" s="3438"/>
    </row>
    <row r="53" spans="1:8" ht="15">
      <c r="A53" s="3438"/>
      <c r="B53" s="3438"/>
      <c r="C53" s="3438"/>
      <c r="D53" s="3438"/>
      <c r="E53" s="3438"/>
      <c r="F53" s="3438"/>
      <c r="G53" s="3438"/>
      <c r="H53" s="3438"/>
    </row>
    <row r="54" spans="1:8" ht="15">
      <c r="A54" s="3439" t="s">
        <v>1747</v>
      </c>
      <c r="B54" s="3438"/>
      <c r="C54" s="3438"/>
      <c r="D54" s="3438"/>
      <c r="E54" s="3438"/>
      <c r="F54" s="3438"/>
      <c r="G54" s="3438"/>
      <c r="H54" s="3438"/>
    </row>
    <row r="55" spans="1:8" ht="15">
      <c r="A55" s="3438"/>
      <c r="B55" s="3438"/>
      <c r="C55" s="3438"/>
      <c r="D55" s="3438"/>
      <c r="E55" s="3438"/>
      <c r="F55" s="3438"/>
      <c r="G55" s="3438"/>
      <c r="H55" s="3438"/>
    </row>
    <row r="56" spans="1:8" ht="15.75">
      <c r="A56" s="3440" t="s">
        <v>1748</v>
      </c>
      <c r="B56" s="3438"/>
      <c r="C56" s="3438"/>
      <c r="D56" s="3438"/>
      <c r="E56" s="3438"/>
      <c r="F56" s="3438"/>
      <c r="G56" s="3438"/>
      <c r="H56" s="3438"/>
    </row>
    <row r="57" spans="1:8" ht="15">
      <c r="A57" s="3438"/>
      <c r="B57" s="3438"/>
      <c r="C57" s="3438"/>
      <c r="D57" s="3438"/>
      <c r="E57" s="3438"/>
      <c r="F57" s="3438"/>
      <c r="G57" s="3438"/>
      <c r="H57" s="3438"/>
    </row>
    <row r="58" spans="1:8" ht="15">
      <c r="A58" s="3439" t="s">
        <v>2008</v>
      </c>
      <c r="B58" s="3438"/>
      <c r="C58" s="3438"/>
      <c r="D58" s="3438"/>
      <c r="E58" s="3438"/>
      <c r="F58" s="3438"/>
      <c r="G58" s="3438"/>
      <c r="H58" s="3438"/>
    </row>
    <row r="59" spans="1:8" ht="15">
      <c r="A59" s="3439" t="s">
        <v>2009</v>
      </c>
      <c r="B59" s="3438"/>
      <c r="C59" s="3438"/>
      <c r="D59" s="3438"/>
      <c r="E59" s="3438"/>
      <c r="F59" s="3438"/>
      <c r="G59" s="3438"/>
      <c r="H59" s="3438"/>
    </row>
    <row r="60" spans="1:8" ht="15">
      <c r="A60" s="3438"/>
      <c r="B60" s="3438"/>
      <c r="C60" s="3438"/>
      <c r="D60" s="3438"/>
      <c r="E60" s="3438"/>
      <c r="F60" s="3438"/>
      <c r="G60" s="3438"/>
      <c r="H60" s="3438"/>
    </row>
    <row r="61" spans="1:8" ht="15.75">
      <c r="A61" s="3440" t="s">
        <v>1749</v>
      </c>
      <c r="B61" s="3438"/>
      <c r="C61" s="3438"/>
      <c r="D61" s="3438"/>
      <c r="E61" s="3438"/>
      <c r="F61" s="3438"/>
      <c r="G61" s="3438"/>
      <c r="H61" s="3438"/>
    </row>
    <row r="62" spans="1:8" ht="15">
      <c r="A62" s="3438"/>
      <c r="B62" s="3438"/>
      <c r="C62" s="3438"/>
      <c r="D62" s="3438"/>
      <c r="E62" s="3438"/>
      <c r="F62" s="3438"/>
      <c r="G62" s="3438"/>
      <c r="H62" s="3438"/>
    </row>
    <row r="63" spans="1:8" ht="15">
      <c r="A63" s="3439" t="s">
        <v>2006</v>
      </c>
      <c r="B63" s="3438"/>
      <c r="C63" s="3438"/>
      <c r="D63" s="3438"/>
      <c r="E63" s="3438"/>
      <c r="F63" s="3438"/>
      <c r="G63" s="3438"/>
      <c r="H63" s="3438"/>
    </row>
    <row r="64" spans="1:8" ht="15">
      <c r="A64" s="3439" t="s">
        <v>2007</v>
      </c>
      <c r="B64" s="3438"/>
      <c r="C64" s="3438"/>
      <c r="D64" s="3438"/>
      <c r="E64" s="3438"/>
      <c r="F64" s="3438"/>
      <c r="G64" s="3438"/>
      <c r="H64" s="3438"/>
    </row>
    <row r="65" spans="1:8" ht="15">
      <c r="A65" s="3438"/>
      <c r="B65" s="3438"/>
      <c r="C65" s="3438"/>
      <c r="D65" s="3438"/>
      <c r="E65" s="3438"/>
      <c r="F65" s="3438"/>
      <c r="G65" s="3438"/>
      <c r="H65" s="3438"/>
    </row>
    <row r="66" spans="1:8" ht="15">
      <c r="A66" s="3439" t="s">
        <v>2004</v>
      </c>
      <c r="B66" s="3438"/>
      <c r="C66" s="3438"/>
      <c r="D66" s="3438"/>
      <c r="E66" s="3438"/>
      <c r="F66" s="3438"/>
      <c r="G66" s="3438"/>
      <c r="H66" s="3438"/>
    </row>
    <row r="67" spans="1:8" ht="15">
      <c r="A67" s="3439" t="s">
        <v>2005</v>
      </c>
      <c r="B67" s="3438"/>
      <c r="C67" s="3438"/>
      <c r="D67" s="3438"/>
      <c r="E67" s="3438"/>
      <c r="F67" s="3438"/>
      <c r="G67" s="3438"/>
      <c r="H67" s="3438"/>
    </row>
    <row r="68" spans="1:8" ht="15">
      <c r="A68" s="3438"/>
      <c r="B68" s="3438"/>
      <c r="C68" s="3438"/>
      <c r="D68" s="3438"/>
      <c r="E68" s="3438"/>
      <c r="F68" s="3438"/>
      <c r="G68" s="3438"/>
      <c r="H68" s="3438"/>
    </row>
    <row r="69" spans="1:8" ht="15">
      <c r="A69" s="3439" t="s">
        <v>2002</v>
      </c>
      <c r="B69" s="3438"/>
      <c r="C69" s="3438"/>
      <c r="D69" s="3438"/>
      <c r="E69" s="3438"/>
      <c r="F69" s="3438"/>
      <c r="G69" s="3438"/>
      <c r="H69" s="3438"/>
    </row>
    <row r="70" spans="1:8" ht="15">
      <c r="A70" s="3439" t="s">
        <v>2003</v>
      </c>
      <c r="B70" s="3438"/>
      <c r="C70" s="3438"/>
      <c r="D70" s="3438"/>
      <c r="E70" s="3438"/>
      <c r="F70" s="3438"/>
      <c r="G70" s="3438"/>
      <c r="H70" s="3438"/>
    </row>
    <row r="71" spans="1:8" ht="15">
      <c r="A71" s="3438"/>
      <c r="B71" s="3438"/>
      <c r="C71" s="3438"/>
      <c r="D71" s="3438"/>
      <c r="E71" s="3438"/>
      <c r="F71" s="3438"/>
      <c r="G71" s="3438"/>
      <c r="H71" s="3438"/>
    </row>
    <row r="72" spans="1:8" ht="15">
      <c r="A72" s="3439" t="s">
        <v>2000</v>
      </c>
      <c r="B72" s="3438"/>
      <c r="C72" s="3438"/>
      <c r="D72" s="3438"/>
      <c r="E72" s="3438"/>
      <c r="F72" s="3438"/>
      <c r="G72" s="3438"/>
      <c r="H72" s="3438"/>
    </row>
    <row r="73" spans="1:8" ht="15">
      <c r="A73" s="3439" t="s">
        <v>2001</v>
      </c>
      <c r="B73" s="3438"/>
      <c r="C73" s="3438"/>
      <c r="D73" s="3438"/>
      <c r="E73" s="3438"/>
      <c r="F73" s="3438"/>
      <c r="G73" s="3438"/>
      <c r="H73" s="3438"/>
    </row>
    <row r="74" spans="1:8" ht="15">
      <c r="A74" s="3438"/>
      <c r="B74" s="3438"/>
      <c r="C74" s="3438"/>
      <c r="D74" s="3438"/>
      <c r="E74" s="3438"/>
      <c r="F74" s="3438"/>
      <c r="G74" s="3438"/>
      <c r="H74" s="3438"/>
    </row>
    <row r="75" spans="1:8" ht="15">
      <c r="A75" s="3439" t="s">
        <v>1998</v>
      </c>
      <c r="B75" s="3438"/>
      <c r="C75" s="3438"/>
      <c r="D75" s="3438"/>
      <c r="E75" s="3438"/>
      <c r="F75" s="3438"/>
      <c r="G75" s="3438"/>
      <c r="H75" s="3438"/>
    </row>
    <row r="76" spans="1:8" ht="15">
      <c r="A76" s="3439" t="s">
        <v>1999</v>
      </c>
      <c r="B76" s="3438"/>
      <c r="C76" s="3438"/>
      <c r="D76" s="3438"/>
      <c r="E76" s="3438"/>
      <c r="F76" s="3438"/>
      <c r="G76" s="3438"/>
      <c r="H76" s="3438"/>
    </row>
    <row r="77" spans="1:8" ht="15">
      <c r="A77" s="3438"/>
      <c r="B77" s="3438"/>
      <c r="C77" s="3438"/>
      <c r="D77" s="3438"/>
      <c r="E77" s="3438"/>
      <c r="F77" s="3438"/>
      <c r="G77" s="3438"/>
      <c r="H77" s="3438"/>
    </row>
    <row r="78" spans="1:8" ht="15">
      <c r="A78" s="3439" t="s">
        <v>1996</v>
      </c>
      <c r="B78" s="3438"/>
      <c r="C78" s="3438"/>
      <c r="D78" s="3438"/>
      <c r="E78" s="3438"/>
      <c r="F78" s="3438"/>
      <c r="G78" s="3438"/>
      <c r="H78" s="3438"/>
    </row>
    <row r="79" spans="1:8" ht="15">
      <c r="A79" s="3439" t="s">
        <v>1997</v>
      </c>
      <c r="B79" s="3438"/>
      <c r="C79" s="3438"/>
      <c r="D79" s="3438"/>
      <c r="E79" s="3438"/>
      <c r="F79" s="3438"/>
      <c r="G79" s="3438"/>
      <c r="H79" s="3438"/>
    </row>
    <row r="80" spans="1:8" ht="15">
      <c r="A80" s="3438"/>
      <c r="B80" s="3438"/>
      <c r="C80" s="3438"/>
      <c r="D80" s="3438"/>
      <c r="E80" s="3438"/>
      <c r="F80" s="3438"/>
      <c r="G80" s="3438"/>
      <c r="H80" s="3438"/>
    </row>
    <row r="81" spans="1:8" ht="15">
      <c r="A81" s="3439" t="s">
        <v>1993</v>
      </c>
      <c r="B81" s="3438"/>
      <c r="C81" s="3438"/>
      <c r="D81" s="3438"/>
      <c r="E81" s="3438"/>
      <c r="F81" s="3438"/>
      <c r="G81" s="3438"/>
      <c r="H81" s="3438"/>
    </row>
    <row r="82" spans="1:8" ht="15">
      <c r="A82" s="3439" t="s">
        <v>1994</v>
      </c>
      <c r="B82" s="3438"/>
      <c r="C82" s="3438"/>
      <c r="D82" s="3438"/>
      <c r="E82" s="3438"/>
      <c r="F82" s="3438"/>
      <c r="G82" s="3438"/>
      <c r="H82" s="3438"/>
    </row>
    <row r="83" spans="1:8" ht="15">
      <c r="A83" s="3439" t="s">
        <v>1995</v>
      </c>
      <c r="B83" s="3438"/>
      <c r="C83" s="3438"/>
      <c r="D83" s="3438"/>
      <c r="E83" s="3438"/>
      <c r="F83" s="3438"/>
      <c r="G83" s="3438"/>
      <c r="H83" s="3438"/>
    </row>
    <row r="84" spans="1:8" ht="15">
      <c r="A84" s="3438"/>
      <c r="B84" s="3438"/>
      <c r="C84" s="3438"/>
      <c r="D84" s="3438"/>
      <c r="E84" s="3438"/>
      <c r="F84" s="3438"/>
      <c r="G84" s="3438"/>
      <c r="H84" s="3438"/>
    </row>
    <row r="85" spans="1:8" ht="15">
      <c r="A85" s="3439" t="s">
        <v>1750</v>
      </c>
      <c r="B85" s="3438"/>
      <c r="C85" s="3438"/>
      <c r="D85" s="3438"/>
      <c r="E85" s="3438"/>
      <c r="F85" s="3438"/>
      <c r="G85" s="3438"/>
      <c r="H85" s="3438"/>
    </row>
    <row r="86" spans="1:8" ht="15">
      <c r="A86" s="3438"/>
      <c r="B86" s="3438"/>
      <c r="C86" s="3438"/>
      <c r="D86" s="3438"/>
      <c r="E86" s="3438"/>
      <c r="F86" s="3438"/>
      <c r="G86" s="3438"/>
      <c r="H86" s="3438"/>
    </row>
    <row r="87" spans="1:8" ht="15">
      <c r="A87" s="3439" t="s">
        <v>1988</v>
      </c>
      <c r="B87" s="3438"/>
      <c r="C87" s="3438"/>
      <c r="D87" s="3438"/>
      <c r="E87" s="3438"/>
      <c r="F87" s="3438"/>
      <c r="G87" s="3438"/>
      <c r="H87" s="3438"/>
    </row>
    <row r="88" spans="1:8" ht="15">
      <c r="A88" s="3439" t="s">
        <v>1989</v>
      </c>
      <c r="B88" s="3438"/>
      <c r="C88" s="3438"/>
      <c r="D88" s="3438"/>
      <c r="E88" s="3438"/>
      <c r="F88" s="3438"/>
      <c r="G88" s="3438"/>
      <c r="H88" s="3438"/>
    </row>
    <row r="89" spans="1:8" ht="15">
      <c r="A89" s="3439" t="s">
        <v>1990</v>
      </c>
      <c r="B89" s="3438"/>
      <c r="C89" s="3438"/>
      <c r="D89" s="3438"/>
      <c r="E89" s="3438"/>
      <c r="F89" s="3438"/>
      <c r="G89" s="3438"/>
      <c r="H89" s="3438"/>
    </row>
    <row r="90" spans="1:8" ht="15">
      <c r="A90" s="3439" t="s">
        <v>1991</v>
      </c>
      <c r="B90" s="3438"/>
      <c r="C90" s="3438"/>
      <c r="D90" s="3438"/>
      <c r="E90" s="3438"/>
      <c r="F90" s="3438"/>
      <c r="G90" s="3438"/>
      <c r="H90" s="3438"/>
    </row>
    <row r="91" spans="1:8" ht="15">
      <c r="A91" s="3439" t="s">
        <v>1992</v>
      </c>
      <c r="B91" s="3438"/>
      <c r="C91" s="3438"/>
      <c r="D91" s="3438"/>
      <c r="E91" s="3438"/>
      <c r="F91" s="3438"/>
      <c r="G91" s="3438"/>
      <c r="H91" s="3438"/>
    </row>
    <row r="92" spans="1:8" ht="15">
      <c r="A92" s="3439" t="s">
        <v>1875</v>
      </c>
      <c r="B92" s="3438"/>
      <c r="C92" s="3438"/>
      <c r="D92" s="3438"/>
      <c r="E92" s="3438"/>
      <c r="F92" s="3438"/>
      <c r="G92" s="3438"/>
      <c r="H92" s="3438"/>
    </row>
    <row r="93" spans="1:8" ht="15">
      <c r="A93" s="3438"/>
      <c r="B93" s="3438"/>
      <c r="C93" s="3438"/>
      <c r="D93" s="3438"/>
      <c r="E93" s="3438"/>
      <c r="F93" s="3438"/>
      <c r="G93" s="3438"/>
      <c r="H93" s="3438"/>
    </row>
    <row r="94" spans="1:8" ht="15">
      <c r="A94" s="3439" t="s">
        <v>1981</v>
      </c>
      <c r="B94" s="3438"/>
      <c r="C94" s="3438"/>
      <c r="D94" s="3438"/>
      <c r="E94" s="3438"/>
      <c r="F94" s="3438"/>
      <c r="G94" s="3438"/>
      <c r="H94" s="3438"/>
    </row>
    <row r="95" spans="1:8" ht="15">
      <c r="A95" s="3439" t="s">
        <v>1982</v>
      </c>
      <c r="B95" s="3438"/>
      <c r="C95" s="3438"/>
      <c r="D95" s="3438"/>
      <c r="E95" s="3438"/>
      <c r="F95" s="3438"/>
      <c r="G95" s="3438"/>
      <c r="H95" s="3438"/>
    </row>
    <row r="96" spans="1:8" ht="15">
      <c r="A96" s="3439" t="s">
        <v>1983</v>
      </c>
      <c r="B96" s="3438"/>
      <c r="C96" s="3438"/>
      <c r="D96" s="3438"/>
      <c r="E96" s="3438"/>
      <c r="F96" s="3438"/>
      <c r="G96" s="3438"/>
      <c r="H96" s="3438"/>
    </row>
    <row r="97" spans="1:8" ht="15">
      <c r="A97" s="3439" t="s">
        <v>1984</v>
      </c>
      <c r="B97" s="3438"/>
      <c r="C97" s="3438"/>
      <c r="D97" s="3438"/>
      <c r="E97" s="3438"/>
      <c r="F97" s="3438"/>
      <c r="G97" s="3438"/>
      <c r="H97" s="3438"/>
    </row>
    <row r="98" spans="1:8" ht="15">
      <c r="A98" s="3439" t="s">
        <v>1985</v>
      </c>
      <c r="B98" s="3438"/>
      <c r="C98" s="3438"/>
      <c r="D98" s="3438"/>
      <c r="E98" s="3438"/>
      <c r="F98" s="3438"/>
      <c r="G98" s="3438"/>
      <c r="H98" s="3438"/>
    </row>
    <row r="99" spans="1:8" ht="15">
      <c r="A99" s="3439" t="s">
        <v>1986</v>
      </c>
      <c r="B99" s="3438"/>
      <c r="C99" s="3438"/>
      <c r="D99" s="3438"/>
      <c r="E99" s="3438"/>
      <c r="F99" s="3438"/>
      <c r="G99" s="3438"/>
      <c r="H99" s="3438"/>
    </row>
    <row r="100" spans="1:8" ht="15">
      <c r="A100" s="3439" t="s">
        <v>1987</v>
      </c>
      <c r="B100" s="3438"/>
      <c r="C100" s="3438"/>
      <c r="D100" s="3438"/>
      <c r="E100" s="3438"/>
      <c r="F100" s="3438"/>
      <c r="G100" s="3438"/>
      <c r="H100" s="3438"/>
    </row>
    <row r="101" spans="1:8" ht="15">
      <c r="A101" s="3438"/>
      <c r="B101" s="3438"/>
      <c r="C101" s="3438"/>
      <c r="D101" s="3438"/>
      <c r="E101" s="3438"/>
      <c r="F101" s="3438"/>
      <c r="G101" s="3438"/>
      <c r="H101" s="3438"/>
    </row>
    <row r="102" spans="1:8" ht="15">
      <c r="A102" s="3439" t="s">
        <v>1979</v>
      </c>
      <c r="B102" s="3438"/>
      <c r="C102" s="3438"/>
      <c r="D102" s="3438"/>
      <c r="E102" s="3438"/>
      <c r="F102" s="3438"/>
      <c r="G102" s="3438"/>
      <c r="H102" s="3438"/>
    </row>
    <row r="103" spans="1:8" ht="15">
      <c r="A103" s="3439" t="s">
        <v>1980</v>
      </c>
      <c r="B103" s="3438"/>
      <c r="C103" s="3438"/>
      <c r="D103" s="3438"/>
      <c r="E103" s="3438"/>
      <c r="F103" s="3438"/>
      <c r="G103" s="3438"/>
      <c r="H103" s="3438"/>
    </row>
    <row r="104" spans="1:8" ht="15">
      <c r="A104" s="3438"/>
      <c r="B104" s="3438"/>
      <c r="C104" s="3438"/>
      <c r="D104" s="3438"/>
      <c r="E104" s="3438"/>
      <c r="F104" s="3438"/>
      <c r="G104" s="3438"/>
      <c r="H104" s="3438"/>
    </row>
    <row r="105" spans="1:8" ht="15.75">
      <c r="A105" s="3440" t="s">
        <v>1751</v>
      </c>
      <c r="B105" s="3438"/>
      <c r="C105" s="3438"/>
      <c r="D105" s="3438"/>
      <c r="E105" s="3438"/>
      <c r="F105" s="3438"/>
      <c r="G105" s="3438"/>
      <c r="H105" s="3438"/>
    </row>
    <row r="106" spans="1:8" ht="15">
      <c r="A106" s="3438"/>
      <c r="B106" s="3438"/>
      <c r="C106" s="3438"/>
      <c r="D106" s="3438"/>
      <c r="E106" s="3438"/>
      <c r="F106" s="3438"/>
      <c r="G106" s="3438"/>
      <c r="H106" s="3438"/>
    </row>
    <row r="107" spans="1:8" ht="15">
      <c r="A107" s="3439" t="s">
        <v>1970</v>
      </c>
      <c r="B107" s="3438"/>
      <c r="C107" s="3438"/>
      <c r="D107" s="3438"/>
      <c r="E107" s="3438"/>
      <c r="F107" s="3438"/>
      <c r="G107" s="3438"/>
      <c r="H107" s="3438"/>
    </row>
    <row r="108" spans="1:8" ht="15">
      <c r="A108" s="3439" t="s">
        <v>1971</v>
      </c>
      <c r="B108" s="3438"/>
      <c r="C108" s="3438"/>
      <c r="D108" s="3438"/>
      <c r="E108" s="3438"/>
      <c r="F108" s="3438"/>
      <c r="G108" s="3438"/>
      <c r="H108" s="3438"/>
    </row>
    <row r="109" spans="1:8" ht="15">
      <c r="A109" s="3439" t="s">
        <v>1972</v>
      </c>
      <c r="B109" s="3438"/>
      <c r="C109" s="3438"/>
      <c r="D109" s="3438"/>
      <c r="E109" s="3438"/>
      <c r="F109" s="3438"/>
      <c r="G109" s="3438"/>
      <c r="H109" s="3438"/>
    </row>
    <row r="110" spans="1:8" ht="15">
      <c r="A110" s="3439" t="s">
        <v>1973</v>
      </c>
      <c r="B110" s="3438"/>
      <c r="C110" s="3438"/>
      <c r="D110" s="3438"/>
      <c r="E110" s="3438"/>
      <c r="F110" s="3438"/>
      <c r="G110" s="3438"/>
      <c r="H110" s="3438"/>
    </row>
    <row r="111" spans="1:8" ht="15">
      <c r="A111" s="3439" t="s">
        <v>1974</v>
      </c>
      <c r="B111" s="3438"/>
      <c r="C111" s="3438"/>
      <c r="D111" s="3438"/>
      <c r="E111" s="3438"/>
      <c r="F111" s="3438"/>
      <c r="G111" s="3438"/>
      <c r="H111" s="3438"/>
    </row>
    <row r="112" spans="1:8" ht="15">
      <c r="A112" s="3439" t="s">
        <v>1975</v>
      </c>
      <c r="B112" s="3438"/>
      <c r="C112" s="3438"/>
      <c r="D112" s="3438"/>
      <c r="E112" s="3438"/>
      <c r="F112" s="3438"/>
      <c r="G112" s="3438"/>
      <c r="H112" s="3438"/>
    </row>
    <row r="113" spans="1:8" ht="15">
      <c r="A113" s="3439" t="s">
        <v>1976</v>
      </c>
      <c r="B113" s="3438"/>
      <c r="C113" s="3438"/>
      <c r="D113" s="3438"/>
      <c r="E113" s="3438"/>
      <c r="F113" s="3438"/>
      <c r="G113" s="3438"/>
      <c r="H113" s="3438"/>
    </row>
    <row r="114" spans="1:8" ht="15">
      <c r="A114" s="3439" t="s">
        <v>1977</v>
      </c>
      <c r="B114" s="3438"/>
      <c r="C114" s="3438"/>
      <c r="D114" s="3438"/>
      <c r="E114" s="3438"/>
      <c r="F114" s="3438"/>
      <c r="G114" s="3438"/>
      <c r="H114" s="3438"/>
    </row>
    <row r="115" spans="1:8" ht="15">
      <c r="A115" s="3439" t="s">
        <v>1978</v>
      </c>
      <c r="B115" s="3438"/>
      <c r="C115" s="3438"/>
      <c r="D115" s="3438"/>
      <c r="E115" s="3438"/>
      <c r="F115" s="3438"/>
      <c r="G115" s="3438"/>
      <c r="H115" s="3438"/>
    </row>
    <row r="116" spans="1:8" ht="15">
      <c r="A116" s="3438"/>
      <c r="B116" s="3438"/>
      <c r="C116" s="3438"/>
      <c r="D116" s="3438"/>
      <c r="E116" s="3438"/>
      <c r="F116" s="3438"/>
      <c r="G116" s="3438"/>
      <c r="H116" s="3438"/>
    </row>
    <row r="117" spans="1:8" ht="15.75">
      <c r="A117" s="3459" t="s">
        <v>1752</v>
      </c>
      <c r="B117" s="3459"/>
      <c r="C117" s="3459"/>
      <c r="D117" s="3459"/>
      <c r="E117" s="3459"/>
      <c r="F117" s="3459"/>
      <c r="G117" s="3459"/>
      <c r="H117" s="3459"/>
    </row>
    <row r="118" spans="1:8">
      <c r="A118" s="3455" t="s">
        <v>1753</v>
      </c>
      <c r="B118" s="3455"/>
      <c r="C118" s="3455"/>
      <c r="D118" s="3455"/>
      <c r="E118" s="3455"/>
      <c r="F118" s="3455"/>
      <c r="G118" s="3455"/>
      <c r="H118" s="3455"/>
    </row>
    <row r="119" spans="1:8" ht="15">
      <c r="A119" s="3460"/>
      <c r="B119" s="3460"/>
      <c r="C119" s="3460"/>
      <c r="D119" s="3460"/>
      <c r="E119" s="3460"/>
      <c r="F119" s="3460"/>
      <c r="G119" s="3460"/>
      <c r="H119" s="3460"/>
    </row>
    <row r="120" spans="1:8">
      <c r="A120" s="3455" t="s">
        <v>1968</v>
      </c>
      <c r="B120" s="3455"/>
      <c r="C120" s="3455"/>
      <c r="D120" s="3455"/>
      <c r="E120" s="3455"/>
      <c r="F120" s="3455"/>
      <c r="G120" s="3455"/>
      <c r="H120" s="3455"/>
    </row>
    <row r="121" spans="1:8">
      <c r="A121" s="3439" t="s">
        <v>1969</v>
      </c>
      <c r="B121" s="3439"/>
      <c r="C121" s="3439"/>
      <c r="D121" s="3439"/>
      <c r="E121" s="3439"/>
      <c r="F121" s="3439"/>
      <c r="G121" s="3439"/>
      <c r="H121" s="3439"/>
    </row>
    <row r="122" spans="1:8" ht="15">
      <c r="A122" s="3460"/>
      <c r="B122" s="3460"/>
      <c r="C122" s="3460"/>
      <c r="D122" s="3460"/>
      <c r="E122" s="3460"/>
      <c r="F122" s="3460"/>
      <c r="G122" s="3460"/>
      <c r="H122" s="3460"/>
    </row>
    <row r="123" spans="1:8">
      <c r="A123" s="3455" t="s">
        <v>1961</v>
      </c>
      <c r="B123" s="3455"/>
      <c r="C123" s="3455"/>
      <c r="D123" s="3455"/>
      <c r="E123" s="3455"/>
      <c r="F123" s="3455"/>
      <c r="G123" s="3455"/>
      <c r="H123" s="3455"/>
    </row>
    <row r="124" spans="1:8">
      <c r="A124" s="3439" t="s">
        <v>1962</v>
      </c>
      <c r="B124" s="3439"/>
      <c r="C124" s="3439"/>
      <c r="D124" s="3439"/>
      <c r="E124" s="3439"/>
      <c r="F124" s="3439"/>
      <c r="G124" s="3439"/>
      <c r="H124" s="3439"/>
    </row>
    <row r="125" spans="1:8">
      <c r="A125" s="3439" t="s">
        <v>1963</v>
      </c>
      <c r="B125" s="3439"/>
      <c r="C125" s="3439"/>
      <c r="D125" s="3439"/>
      <c r="E125" s="3439"/>
      <c r="F125" s="3439"/>
      <c r="G125" s="3439"/>
      <c r="H125" s="3439"/>
    </row>
    <row r="126" spans="1:8">
      <c r="A126" s="3439" t="s">
        <v>1964</v>
      </c>
      <c r="B126" s="3439"/>
      <c r="C126" s="3439"/>
      <c r="D126" s="3439"/>
      <c r="E126" s="3439"/>
      <c r="F126" s="3439"/>
      <c r="G126" s="3439"/>
      <c r="H126" s="3439"/>
    </row>
    <row r="127" spans="1:8">
      <c r="A127" s="3439" t="s">
        <v>1965</v>
      </c>
      <c r="B127" s="3439"/>
      <c r="C127" s="3439"/>
      <c r="D127" s="3439"/>
      <c r="E127" s="3439"/>
      <c r="F127" s="3439"/>
      <c r="G127" s="3439"/>
      <c r="H127" s="3439"/>
    </row>
    <row r="128" spans="1:8">
      <c r="A128" s="3439" t="s">
        <v>1966</v>
      </c>
      <c r="B128" s="3439"/>
      <c r="C128" s="3439"/>
      <c r="D128" s="3439"/>
      <c r="E128" s="3439"/>
      <c r="F128" s="3439"/>
      <c r="G128" s="3439"/>
      <c r="H128" s="3439"/>
    </row>
    <row r="129" spans="1:8">
      <c r="A129" s="3439" t="s">
        <v>1967</v>
      </c>
      <c r="B129" s="3439"/>
      <c r="C129" s="3439"/>
      <c r="D129" s="3439"/>
      <c r="E129" s="3439"/>
      <c r="F129" s="3439"/>
      <c r="G129" s="3439"/>
      <c r="H129" s="3439"/>
    </row>
    <row r="130" spans="1:8" ht="15">
      <c r="A130" s="3461"/>
      <c r="B130" s="3461"/>
      <c r="C130" s="3461"/>
      <c r="D130" s="3461"/>
      <c r="E130" s="3461"/>
      <c r="F130" s="3461"/>
      <c r="G130" s="3461"/>
      <c r="H130" s="3461"/>
    </row>
    <row r="131" spans="1:8">
      <c r="A131" s="3441"/>
      <c r="B131" s="3456" t="s">
        <v>1754</v>
      </c>
      <c r="C131" s="3457"/>
      <c r="D131" s="3456" t="s">
        <v>1755</v>
      </c>
      <c r="E131" s="3458"/>
      <c r="F131" s="3457"/>
      <c r="G131" s="3456" t="s">
        <v>1756</v>
      </c>
      <c r="H131" s="3457"/>
    </row>
    <row r="132" spans="1:8">
      <c r="A132" s="3441" t="s">
        <v>1757</v>
      </c>
      <c r="B132" s="3441" t="s">
        <v>1729</v>
      </c>
      <c r="C132" s="3441" t="s">
        <v>1758</v>
      </c>
      <c r="D132" s="3441" t="s">
        <v>1729</v>
      </c>
      <c r="E132" s="3441" t="s">
        <v>1759</v>
      </c>
      <c r="F132" s="3441" t="s">
        <v>1760</v>
      </c>
      <c r="G132" s="3441" t="s">
        <v>1729</v>
      </c>
      <c r="H132" s="3441" t="s">
        <v>1761</v>
      </c>
    </row>
    <row r="133" spans="1:8">
      <c r="A133" s="3441" t="s">
        <v>1762</v>
      </c>
      <c r="B133" s="3441">
        <v>1189</v>
      </c>
      <c r="C133" s="3442">
        <v>0.38</v>
      </c>
      <c r="D133" s="3441">
        <v>315</v>
      </c>
      <c r="E133" s="3442">
        <v>0.41</v>
      </c>
      <c r="F133" s="3442">
        <v>0.26</v>
      </c>
      <c r="G133" s="3441">
        <v>555</v>
      </c>
      <c r="H133" s="3442">
        <v>0.39</v>
      </c>
    </row>
    <row r="134" spans="1:8">
      <c r="A134" s="3441" t="s">
        <v>1763</v>
      </c>
      <c r="B134" s="3441">
        <v>1355</v>
      </c>
      <c r="C134" s="3442">
        <v>0.43</v>
      </c>
      <c r="D134" s="3441">
        <v>364</v>
      </c>
      <c r="E134" s="3442">
        <v>0.47</v>
      </c>
      <c r="F134" s="3442">
        <v>0.27</v>
      </c>
      <c r="G134" s="3441">
        <v>644</v>
      </c>
      <c r="H134" s="3442">
        <v>0.45</v>
      </c>
    </row>
    <row r="135" spans="1:8">
      <c r="A135" s="3441" t="s">
        <v>1764</v>
      </c>
      <c r="B135" s="3441">
        <v>53</v>
      </c>
      <c r="C135" s="3442">
        <v>0.02</v>
      </c>
      <c r="D135" s="3441">
        <v>4</v>
      </c>
      <c r="E135" s="3442">
        <v>0.01</v>
      </c>
      <c r="F135" s="3442">
        <v>0.08</v>
      </c>
      <c r="G135" s="3441">
        <v>7</v>
      </c>
      <c r="H135" s="3442">
        <v>0</v>
      </c>
    </row>
    <row r="136" spans="1:8">
      <c r="A136" s="3441" t="s">
        <v>1765</v>
      </c>
      <c r="B136" s="3441">
        <v>545</v>
      </c>
      <c r="C136" s="3442">
        <v>0.17</v>
      </c>
      <c r="D136" s="3441">
        <v>84</v>
      </c>
      <c r="E136" s="3442">
        <v>0.11</v>
      </c>
      <c r="F136" s="3442">
        <v>0.15</v>
      </c>
      <c r="G136" s="3441">
        <v>214</v>
      </c>
      <c r="H136" s="3442">
        <v>0.15</v>
      </c>
    </row>
    <row r="137" spans="1:8">
      <c r="A137" s="3441" t="s">
        <v>1040</v>
      </c>
      <c r="B137" s="3443">
        <v>3142</v>
      </c>
      <c r="C137" s="3441"/>
      <c r="D137" s="3441">
        <v>767</v>
      </c>
      <c r="E137" s="3441"/>
      <c r="F137" s="3441"/>
      <c r="G137" s="3441">
        <v>1420</v>
      </c>
      <c r="H137" s="3441"/>
    </row>
    <row r="138" spans="1:8" ht="15">
      <c r="A138" s="3454"/>
      <c r="B138" s="3454"/>
      <c r="C138" s="3454"/>
      <c r="D138" s="3454"/>
      <c r="E138" s="3454"/>
      <c r="F138" s="3454"/>
      <c r="G138" s="3454"/>
      <c r="H138" s="3454"/>
    </row>
    <row r="139" spans="1:8">
      <c r="A139" s="3455" t="s">
        <v>1957</v>
      </c>
      <c r="B139" s="3455"/>
      <c r="C139" s="3455"/>
      <c r="D139" s="3455"/>
      <c r="E139" s="3455"/>
      <c r="F139" s="3455"/>
      <c r="G139" s="3455"/>
      <c r="H139" s="3455"/>
    </row>
    <row r="140" spans="1:8">
      <c r="A140" s="3439" t="s">
        <v>1958</v>
      </c>
      <c r="B140" s="3439"/>
      <c r="C140" s="3439"/>
      <c r="D140" s="3439"/>
      <c r="E140" s="3439"/>
      <c r="F140" s="3439"/>
      <c r="G140" s="3439"/>
      <c r="H140" s="3439"/>
    </row>
    <row r="141" spans="1:8">
      <c r="A141" s="3439" t="s">
        <v>1959</v>
      </c>
      <c r="B141" s="3439"/>
      <c r="C141" s="3439"/>
      <c r="D141" s="3439"/>
      <c r="E141" s="3439"/>
      <c r="F141" s="3439"/>
      <c r="G141" s="3439"/>
      <c r="H141" s="3439"/>
    </row>
    <row r="142" spans="1:8">
      <c r="A142" s="3439" t="s">
        <v>1960</v>
      </c>
      <c r="B142" s="3439"/>
      <c r="C142" s="3439"/>
      <c r="D142" s="3439"/>
      <c r="E142" s="3439"/>
      <c r="F142" s="3439"/>
      <c r="G142" s="3439"/>
      <c r="H142" s="3439"/>
    </row>
    <row r="143" spans="1:8" ht="15">
      <c r="A143" s="3438"/>
      <c r="B143" s="3438"/>
      <c r="C143" s="3438"/>
      <c r="D143" s="3438"/>
      <c r="E143" s="3438"/>
      <c r="F143" s="3438"/>
      <c r="G143" s="3438"/>
      <c r="H143" s="3438"/>
    </row>
    <row r="144" spans="1:8" ht="15.75">
      <c r="A144" s="3440" t="s">
        <v>1766</v>
      </c>
      <c r="B144" s="3438"/>
      <c r="C144" s="3438"/>
      <c r="D144" s="3438"/>
      <c r="E144" s="3438"/>
      <c r="F144" s="3438"/>
      <c r="G144" s="3438"/>
      <c r="H144" s="3438"/>
    </row>
    <row r="145" spans="1:8" ht="15">
      <c r="A145" s="3438"/>
      <c r="B145" s="3438"/>
      <c r="C145" s="3438"/>
      <c r="D145" s="3438"/>
      <c r="E145" s="3438"/>
      <c r="F145" s="3438"/>
      <c r="G145" s="3438"/>
      <c r="H145" s="3438"/>
    </row>
    <row r="146" spans="1:8" ht="15">
      <c r="A146" s="3439" t="s">
        <v>1955</v>
      </c>
      <c r="B146" s="3438"/>
      <c r="C146" s="3438"/>
      <c r="D146" s="3438"/>
      <c r="E146" s="3438"/>
      <c r="F146" s="3438"/>
      <c r="G146" s="3438"/>
      <c r="H146" s="3438"/>
    </row>
    <row r="147" spans="1:8" ht="15">
      <c r="A147" s="3439" t="s">
        <v>1956</v>
      </c>
      <c r="B147" s="3438"/>
      <c r="C147" s="3438"/>
      <c r="D147" s="3438"/>
      <c r="E147" s="3438"/>
      <c r="F147" s="3438"/>
      <c r="G147" s="3438"/>
      <c r="H147" s="3438"/>
    </row>
    <row r="148" spans="1:8" ht="15">
      <c r="A148" s="3438"/>
      <c r="B148" s="3438"/>
      <c r="C148" s="3438"/>
      <c r="D148" s="3438"/>
      <c r="E148" s="3438"/>
      <c r="F148" s="3438"/>
      <c r="G148" s="3438"/>
      <c r="H148" s="3438"/>
    </row>
    <row r="149" spans="1:8" ht="15">
      <c r="A149" s="3439" t="s">
        <v>1952</v>
      </c>
      <c r="B149" s="3438"/>
      <c r="C149" s="3438"/>
      <c r="D149" s="3438"/>
      <c r="E149" s="3438"/>
      <c r="F149" s="3438"/>
      <c r="G149" s="3438"/>
      <c r="H149" s="3438"/>
    </row>
    <row r="150" spans="1:8" ht="15">
      <c r="A150" s="3439" t="s">
        <v>1953</v>
      </c>
      <c r="B150" s="3438"/>
      <c r="C150" s="3438"/>
      <c r="D150" s="3438"/>
      <c r="E150" s="3438"/>
      <c r="F150" s="3438"/>
      <c r="G150" s="3438"/>
      <c r="H150" s="3438"/>
    </row>
    <row r="151" spans="1:8" ht="15">
      <c r="A151" s="3439" t="s">
        <v>1954</v>
      </c>
      <c r="B151" s="3438"/>
      <c r="C151" s="3438"/>
      <c r="D151" s="3438"/>
      <c r="E151" s="3438"/>
      <c r="F151" s="3438"/>
      <c r="G151" s="3438"/>
      <c r="H151" s="3438"/>
    </row>
    <row r="152" spans="1:8" ht="15">
      <c r="A152" s="3438"/>
      <c r="B152" s="3438"/>
      <c r="C152" s="3438"/>
      <c r="D152" s="3438"/>
      <c r="E152" s="3438"/>
      <c r="F152" s="3438"/>
      <c r="G152" s="3438"/>
      <c r="H152" s="3438"/>
    </row>
    <row r="153" spans="1:8" ht="15">
      <c r="A153" s="3439" t="s">
        <v>1949</v>
      </c>
      <c r="B153" s="3438"/>
      <c r="C153" s="3438"/>
      <c r="D153" s="3438"/>
      <c r="E153" s="3438"/>
      <c r="F153" s="3438"/>
      <c r="G153" s="3438"/>
      <c r="H153" s="3438"/>
    </row>
    <row r="154" spans="1:8" ht="15">
      <c r="A154" s="3439" t="s">
        <v>1950</v>
      </c>
      <c r="B154" s="3438"/>
      <c r="C154" s="3438"/>
      <c r="D154" s="3438"/>
      <c r="E154" s="3438"/>
      <c r="F154" s="3438"/>
      <c r="G154" s="3438"/>
      <c r="H154" s="3438"/>
    </row>
    <row r="155" spans="1:8" ht="15">
      <c r="A155" s="3439" t="s">
        <v>1951</v>
      </c>
      <c r="B155" s="3438"/>
      <c r="C155" s="3438"/>
      <c r="D155" s="3438"/>
      <c r="E155" s="3438"/>
      <c r="F155" s="3438"/>
      <c r="G155" s="3438"/>
      <c r="H155" s="3438"/>
    </row>
    <row r="156" spans="1:8" ht="15">
      <c r="A156" s="3438"/>
      <c r="B156" s="3438"/>
      <c r="C156" s="3438"/>
      <c r="D156" s="3438"/>
      <c r="E156" s="3438"/>
      <c r="F156" s="3438"/>
      <c r="G156" s="3438"/>
      <c r="H156" s="3438"/>
    </row>
    <row r="157" spans="1:8" ht="15">
      <c r="A157" s="3439" t="s">
        <v>1946</v>
      </c>
      <c r="B157" s="3438"/>
      <c r="C157" s="3438"/>
      <c r="D157" s="3438"/>
      <c r="E157" s="3438"/>
      <c r="F157" s="3438"/>
      <c r="G157" s="3438"/>
      <c r="H157" s="3438"/>
    </row>
    <row r="158" spans="1:8" ht="15">
      <c r="A158" s="3439" t="s">
        <v>1947</v>
      </c>
      <c r="B158" s="3438"/>
      <c r="C158" s="3438"/>
      <c r="D158" s="3438"/>
      <c r="E158" s="3438"/>
      <c r="F158" s="3438"/>
      <c r="G158" s="3438"/>
      <c r="H158" s="3438"/>
    </row>
    <row r="159" spans="1:8" ht="15">
      <c r="A159" s="3439" t="s">
        <v>1948</v>
      </c>
      <c r="B159" s="3438"/>
      <c r="C159" s="3438"/>
      <c r="D159" s="3438"/>
      <c r="E159" s="3438"/>
      <c r="F159" s="3438"/>
      <c r="G159" s="3438"/>
      <c r="H159" s="3438"/>
    </row>
    <row r="160" spans="1:8" ht="15">
      <c r="A160" s="3438"/>
      <c r="B160" s="3438"/>
      <c r="C160" s="3438"/>
      <c r="D160" s="3438"/>
      <c r="E160" s="3438"/>
      <c r="F160" s="3438"/>
      <c r="G160" s="3438"/>
      <c r="H160" s="3438"/>
    </row>
    <row r="161" spans="1:8" ht="15">
      <c r="A161" s="3439" t="s">
        <v>1944</v>
      </c>
      <c r="B161" s="3438"/>
      <c r="C161" s="3438"/>
      <c r="D161" s="3438"/>
      <c r="E161" s="3438"/>
      <c r="F161" s="3438"/>
      <c r="G161" s="3438"/>
      <c r="H161" s="3438"/>
    </row>
    <row r="162" spans="1:8" ht="15">
      <c r="A162" s="3439" t="s">
        <v>1945</v>
      </c>
      <c r="B162" s="3438"/>
      <c r="C162" s="3438"/>
      <c r="D162" s="3438"/>
      <c r="E162" s="3438"/>
      <c r="F162" s="3438"/>
      <c r="G162" s="3438"/>
      <c r="H162" s="3438"/>
    </row>
    <row r="163" spans="1:8" ht="15">
      <c r="A163" s="3438"/>
      <c r="B163" s="3438"/>
      <c r="C163" s="3438"/>
      <c r="D163" s="3438"/>
      <c r="E163" s="3438"/>
      <c r="F163" s="3438"/>
      <c r="G163" s="3438"/>
      <c r="H163" s="3438"/>
    </row>
    <row r="164" spans="1:8" ht="15.75">
      <c r="A164" s="3440" t="s">
        <v>1767</v>
      </c>
      <c r="B164" s="3438"/>
      <c r="C164" s="3438"/>
      <c r="D164" s="3438"/>
      <c r="E164" s="3438"/>
      <c r="F164" s="3438"/>
      <c r="G164" s="3438"/>
      <c r="H164" s="3438"/>
    </row>
    <row r="165" spans="1:8" ht="15">
      <c r="A165" s="3438"/>
      <c r="B165" s="3438"/>
      <c r="C165" s="3438"/>
      <c r="D165" s="3438"/>
      <c r="E165" s="3438"/>
      <c r="F165" s="3438"/>
      <c r="G165" s="3438"/>
      <c r="H165" s="3438"/>
    </row>
    <row r="166" spans="1:8" ht="15">
      <c r="A166" s="3439" t="s">
        <v>1942</v>
      </c>
      <c r="B166" s="3438"/>
      <c r="C166" s="3438"/>
      <c r="D166" s="3438"/>
      <c r="E166" s="3438"/>
      <c r="F166" s="3438"/>
      <c r="G166" s="3438"/>
      <c r="H166" s="3438"/>
    </row>
    <row r="167" spans="1:8" ht="15">
      <c r="A167" s="3439" t="s">
        <v>1943</v>
      </c>
      <c r="B167" s="3438"/>
      <c r="C167" s="3438"/>
      <c r="D167" s="3438"/>
      <c r="E167" s="3438"/>
      <c r="F167" s="3438"/>
      <c r="G167" s="3438"/>
      <c r="H167" s="3438"/>
    </row>
    <row r="168" spans="1:8" ht="15">
      <c r="A168" s="3438"/>
      <c r="B168" s="3438"/>
      <c r="C168" s="3438"/>
      <c r="D168" s="3438"/>
      <c r="E168" s="3438"/>
      <c r="F168" s="3438"/>
      <c r="G168" s="3438"/>
      <c r="H168" s="3438"/>
    </row>
    <row r="169" spans="1:8" ht="15">
      <c r="A169" s="3439" t="s">
        <v>1940</v>
      </c>
      <c r="B169" s="3438"/>
      <c r="C169" s="3438"/>
      <c r="D169" s="3438"/>
      <c r="E169" s="3438"/>
      <c r="F169" s="3438"/>
      <c r="G169" s="3438"/>
      <c r="H169" s="3438"/>
    </row>
    <row r="170" spans="1:8" ht="15">
      <c r="A170" s="3439" t="s">
        <v>1941</v>
      </c>
      <c r="B170" s="3438"/>
      <c r="C170" s="3438"/>
      <c r="D170" s="3438"/>
      <c r="E170" s="3438"/>
      <c r="F170" s="3438"/>
      <c r="G170" s="3438"/>
      <c r="H170" s="3438"/>
    </row>
    <row r="171" spans="1:8" ht="15">
      <c r="A171" s="3438"/>
      <c r="B171" s="3438"/>
      <c r="C171" s="3438"/>
      <c r="D171" s="3438"/>
      <c r="E171" s="3438"/>
      <c r="F171" s="3438"/>
      <c r="G171" s="3438"/>
      <c r="H171" s="3438"/>
    </row>
    <row r="172" spans="1:8" ht="15">
      <c r="A172" s="3439" t="s">
        <v>1938</v>
      </c>
      <c r="B172" s="3438"/>
      <c r="C172" s="3438"/>
      <c r="D172" s="3438"/>
      <c r="E172" s="3438"/>
      <c r="F172" s="3438"/>
      <c r="G172" s="3438"/>
      <c r="H172" s="3438"/>
    </row>
    <row r="173" spans="1:8" ht="15">
      <c r="A173" s="3439" t="s">
        <v>1939</v>
      </c>
      <c r="B173" s="3438"/>
      <c r="C173" s="3438"/>
      <c r="D173" s="3438"/>
      <c r="E173" s="3438"/>
      <c r="F173" s="3438"/>
      <c r="G173" s="3438"/>
      <c r="H173" s="3438"/>
    </row>
    <row r="174" spans="1:8" ht="15">
      <c r="A174" s="3438"/>
      <c r="B174" s="3438"/>
      <c r="C174" s="3438"/>
      <c r="D174" s="3438"/>
      <c r="E174" s="3438"/>
      <c r="F174" s="3438"/>
      <c r="G174" s="3438"/>
      <c r="H174" s="3438"/>
    </row>
    <row r="175" spans="1:8" ht="15">
      <c r="A175" s="3439" t="s">
        <v>1935</v>
      </c>
      <c r="B175" s="3438"/>
      <c r="C175" s="3438"/>
      <c r="D175" s="3438"/>
      <c r="E175" s="3438"/>
      <c r="F175" s="3438"/>
      <c r="G175" s="3438"/>
      <c r="H175" s="3438"/>
    </row>
    <row r="176" spans="1:8" ht="15">
      <c r="A176" s="3439" t="s">
        <v>1936</v>
      </c>
      <c r="B176" s="3438"/>
      <c r="C176" s="3438"/>
      <c r="D176" s="3438"/>
      <c r="E176" s="3438"/>
      <c r="F176" s="3438"/>
      <c r="G176" s="3438"/>
      <c r="H176" s="3438"/>
    </row>
    <row r="177" spans="1:8" ht="15">
      <c r="A177" s="3439" t="s">
        <v>1937</v>
      </c>
      <c r="B177" s="3438"/>
      <c r="C177" s="3438"/>
      <c r="D177" s="3438"/>
      <c r="E177" s="3438"/>
      <c r="F177" s="3438"/>
      <c r="G177" s="3438"/>
      <c r="H177" s="3438"/>
    </row>
    <row r="178" spans="1:8" ht="15">
      <c r="A178" s="3438"/>
      <c r="B178" s="3438"/>
      <c r="C178" s="3438"/>
      <c r="D178" s="3438"/>
      <c r="E178" s="3438"/>
      <c r="F178" s="3438"/>
      <c r="G178" s="3438"/>
      <c r="H178" s="3438"/>
    </row>
    <row r="179" spans="1:8" ht="15">
      <c r="A179" s="3438"/>
      <c r="B179" s="3438"/>
      <c r="C179" s="3438"/>
      <c r="D179" s="3438"/>
      <c r="E179" s="3438"/>
      <c r="F179" s="3438"/>
      <c r="G179" s="3438"/>
      <c r="H179" s="3438"/>
    </row>
    <row r="180" spans="1:8" ht="15">
      <c r="A180" s="3439" t="s">
        <v>1465</v>
      </c>
      <c r="B180" s="3438"/>
      <c r="C180" s="3438"/>
      <c r="D180" s="3438"/>
      <c r="E180" s="3438"/>
      <c r="F180" s="3438"/>
      <c r="G180" s="3438"/>
      <c r="H180" s="3438"/>
    </row>
    <row r="181" spans="1:8" ht="15">
      <c r="A181" s="3438"/>
      <c r="B181" s="3438"/>
      <c r="C181" s="3438"/>
      <c r="D181" s="3438"/>
      <c r="E181" s="3438"/>
      <c r="F181" s="3438"/>
      <c r="G181" s="3438"/>
      <c r="H181" s="3438"/>
    </row>
    <row r="182" spans="1:8" ht="15.75">
      <c r="A182" s="3440" t="s">
        <v>1768</v>
      </c>
      <c r="B182" s="3438"/>
      <c r="C182" s="3438"/>
      <c r="D182" s="3438"/>
      <c r="E182" s="3438"/>
      <c r="F182" s="3438"/>
      <c r="G182" s="3438"/>
      <c r="H182" s="3438"/>
    </row>
    <row r="183" spans="1:8" ht="15">
      <c r="A183" s="3438"/>
      <c r="B183" s="3438"/>
      <c r="C183" s="3438"/>
      <c r="D183" s="3438"/>
      <c r="E183" s="3438"/>
      <c r="F183" s="3438"/>
      <c r="G183" s="3438"/>
      <c r="H183" s="3438"/>
    </row>
    <row r="184" spans="1:8" ht="15">
      <c r="A184" s="3438"/>
      <c r="B184" s="3438"/>
      <c r="C184" s="3438"/>
      <c r="D184" s="3438"/>
      <c r="E184" s="3438"/>
      <c r="F184" s="3438"/>
      <c r="G184" s="3438"/>
      <c r="H184" s="3438"/>
    </row>
    <row r="185" spans="1:8" ht="15">
      <c r="A185" s="3438"/>
      <c r="B185" s="3438"/>
      <c r="C185" s="3438"/>
      <c r="D185" s="3438"/>
      <c r="E185" s="3438"/>
      <c r="F185" s="3438"/>
      <c r="G185" s="3438"/>
      <c r="H185" s="3438"/>
    </row>
    <row r="186" spans="1:8" ht="15">
      <c r="A186" s="3438"/>
      <c r="B186" s="3438"/>
      <c r="C186" s="3438"/>
      <c r="D186" s="3438"/>
      <c r="E186" s="3438"/>
      <c r="F186" s="3438"/>
      <c r="G186" s="3438"/>
      <c r="H186" s="3438"/>
    </row>
    <row r="187" spans="1:8" ht="15">
      <c r="A187" s="3438"/>
      <c r="B187" s="3438"/>
      <c r="C187" s="3438"/>
      <c r="D187" s="3438"/>
      <c r="E187" s="3438"/>
      <c r="F187" s="3438"/>
      <c r="G187" s="3438"/>
      <c r="H187" s="3438"/>
    </row>
    <row r="188" spans="1:8" ht="15">
      <c r="A188" s="3438"/>
      <c r="B188" s="3438"/>
      <c r="C188" s="3438"/>
      <c r="D188" s="3438"/>
      <c r="E188" s="3438"/>
      <c r="F188" s="3438"/>
      <c r="G188" s="3438"/>
      <c r="H188" s="3438"/>
    </row>
    <row r="189" spans="1:8" ht="15">
      <c r="A189" s="3438"/>
      <c r="B189" s="3438"/>
      <c r="C189" s="3438"/>
      <c r="D189" s="3438"/>
      <c r="E189" s="3438"/>
      <c r="F189" s="3438"/>
      <c r="G189" s="3438"/>
      <c r="H189" s="3438"/>
    </row>
    <row r="190" spans="1:8" ht="15">
      <c r="A190" s="3438"/>
      <c r="B190" s="3438"/>
      <c r="C190" s="3438"/>
      <c r="D190" s="3438"/>
      <c r="E190" s="3438"/>
      <c r="F190" s="3438"/>
      <c r="G190" s="3438"/>
      <c r="H190" s="3438"/>
    </row>
    <row r="191" spans="1:8" ht="15">
      <c r="A191" s="3438"/>
      <c r="B191" s="3438"/>
      <c r="C191" s="3438"/>
      <c r="D191" s="3438"/>
      <c r="E191" s="3438"/>
      <c r="F191" s="3438"/>
      <c r="G191" s="3438"/>
      <c r="H191" s="3438"/>
    </row>
    <row r="192" spans="1:8" ht="15">
      <c r="A192" s="3438"/>
      <c r="B192" s="3438"/>
      <c r="C192" s="3438"/>
      <c r="D192" s="3438"/>
      <c r="E192" s="3438"/>
      <c r="F192" s="3438"/>
      <c r="G192" s="3438"/>
      <c r="H192" s="3438"/>
    </row>
    <row r="193" spans="1:8" ht="15">
      <c r="A193" s="3438"/>
      <c r="B193" s="3438"/>
      <c r="C193" s="3438"/>
      <c r="D193" s="3438"/>
      <c r="E193" s="3438"/>
      <c r="F193" s="3438"/>
      <c r="G193" s="3438"/>
      <c r="H193" s="3438"/>
    </row>
    <row r="194" spans="1:8" ht="15">
      <c r="A194" s="3438"/>
      <c r="B194" s="3438"/>
      <c r="C194" s="3438"/>
      <c r="D194" s="3438"/>
      <c r="E194" s="3438"/>
      <c r="F194" s="3438"/>
      <c r="G194" s="3438"/>
      <c r="H194" s="3438"/>
    </row>
    <row r="195" spans="1:8" ht="15">
      <c r="A195" s="3438"/>
      <c r="B195" s="3438"/>
      <c r="C195" s="3438"/>
      <c r="D195" s="3438"/>
      <c r="E195" s="3438"/>
      <c r="F195" s="3438"/>
      <c r="G195" s="3438"/>
      <c r="H195" s="3438"/>
    </row>
    <row r="196" spans="1:8" ht="15">
      <c r="A196" s="3438"/>
      <c r="B196" s="3438"/>
      <c r="C196" s="3438"/>
      <c r="D196" s="3438"/>
      <c r="E196" s="3438"/>
      <c r="F196" s="3438"/>
      <c r="G196" s="3438"/>
      <c r="H196" s="3438"/>
    </row>
    <row r="197" spans="1:8" ht="15">
      <c r="A197" s="3438"/>
      <c r="B197" s="3438"/>
      <c r="C197" s="3438"/>
      <c r="D197" s="3438"/>
      <c r="E197" s="3438"/>
      <c r="F197" s="3438"/>
      <c r="G197" s="3438"/>
      <c r="H197" s="3438"/>
    </row>
    <row r="198" spans="1:8" ht="15">
      <c r="A198" s="3438"/>
      <c r="B198" s="3438"/>
      <c r="C198" s="3438"/>
      <c r="D198" s="3438"/>
      <c r="E198" s="3438"/>
      <c r="F198" s="3438"/>
      <c r="G198" s="3438"/>
      <c r="H198" s="3438"/>
    </row>
    <row r="199" spans="1:8" ht="15">
      <c r="A199" s="3438"/>
      <c r="B199" s="3438"/>
      <c r="C199" s="3438"/>
      <c r="D199" s="3438"/>
      <c r="E199" s="3438"/>
      <c r="F199" s="3438"/>
      <c r="G199" s="3438"/>
      <c r="H199" s="3438"/>
    </row>
    <row r="200" spans="1:8" ht="15">
      <c r="A200" s="3438"/>
      <c r="B200" s="3438"/>
      <c r="C200" s="3438"/>
      <c r="D200" s="3438"/>
      <c r="E200" s="3438"/>
      <c r="F200" s="3438"/>
      <c r="G200" s="3438"/>
      <c r="H200" s="3438"/>
    </row>
    <row r="201" spans="1:8" ht="15">
      <c r="A201" s="3438"/>
      <c r="B201" s="3438"/>
      <c r="C201" s="3438"/>
      <c r="D201" s="3438"/>
      <c r="E201" s="3438"/>
      <c r="F201" s="3438"/>
      <c r="G201" s="3438"/>
      <c r="H201" s="3438"/>
    </row>
    <row r="202" spans="1:8" ht="15">
      <c r="A202" s="3438"/>
      <c r="B202" s="3438"/>
      <c r="C202" s="3438"/>
      <c r="D202" s="3438"/>
      <c r="E202" s="3438"/>
      <c r="F202" s="3438"/>
      <c r="G202" s="3438"/>
      <c r="H202" s="3438"/>
    </row>
    <row r="203" spans="1:8" ht="15">
      <c r="A203" s="3438"/>
      <c r="B203" s="3438"/>
      <c r="C203" s="3438"/>
      <c r="D203" s="3438"/>
      <c r="E203" s="3438"/>
      <c r="F203" s="3438"/>
      <c r="G203" s="3438"/>
      <c r="H203" s="3438"/>
    </row>
    <row r="204" spans="1:8" ht="15">
      <c r="A204" s="3438"/>
      <c r="B204" s="3438"/>
      <c r="C204" s="3438"/>
      <c r="D204" s="3438"/>
      <c r="E204" s="3438"/>
      <c r="F204" s="3438"/>
      <c r="G204" s="3438"/>
      <c r="H204" s="3438"/>
    </row>
    <row r="205" spans="1:8" ht="15">
      <c r="A205" s="3438"/>
      <c r="B205" s="3438"/>
      <c r="C205" s="3438"/>
      <c r="D205" s="3438"/>
      <c r="E205" s="3438"/>
      <c r="F205" s="3438"/>
      <c r="G205" s="3438"/>
      <c r="H205" s="3438"/>
    </row>
    <row r="206" spans="1:8" ht="15">
      <c r="A206" s="3438"/>
      <c r="B206" s="3438"/>
      <c r="C206" s="3438"/>
      <c r="D206" s="3438"/>
      <c r="E206" s="3438"/>
      <c r="F206" s="3438"/>
      <c r="G206" s="3438"/>
      <c r="H206" s="3438"/>
    </row>
    <row r="207" spans="1:8" ht="15">
      <c r="A207" s="3438"/>
      <c r="B207" s="3438"/>
      <c r="C207" s="3438"/>
      <c r="D207" s="3438"/>
      <c r="E207" s="3438"/>
      <c r="F207" s="3438"/>
      <c r="G207" s="3438"/>
      <c r="H207" s="3438"/>
    </row>
    <row r="208" spans="1:8" ht="15">
      <c r="A208" s="3438"/>
      <c r="B208" s="3438"/>
      <c r="C208" s="3438"/>
      <c r="D208" s="3438"/>
      <c r="E208" s="3438"/>
      <c r="F208" s="3438"/>
      <c r="G208" s="3438"/>
      <c r="H208" s="3438"/>
    </row>
    <row r="209" spans="1:8" ht="15.75">
      <c r="A209" s="3440" t="s">
        <v>1769</v>
      </c>
      <c r="B209" s="3438"/>
      <c r="C209" s="3438"/>
      <c r="D209" s="3438"/>
      <c r="E209" s="3438"/>
      <c r="F209" s="3438"/>
      <c r="G209" s="3438"/>
      <c r="H209" s="3438"/>
    </row>
    <row r="210" spans="1:8" ht="15">
      <c r="A210" s="3438"/>
      <c r="B210" s="3438"/>
      <c r="C210" s="3438"/>
      <c r="D210" s="3438"/>
      <c r="E210" s="3438"/>
      <c r="F210" s="3438"/>
      <c r="G210" s="3438"/>
      <c r="H210" s="3438"/>
    </row>
    <row r="211" spans="1:8" ht="15">
      <c r="A211" s="3439" t="s">
        <v>1930</v>
      </c>
      <c r="B211" s="3438"/>
      <c r="C211" s="3438"/>
      <c r="D211" s="3438"/>
      <c r="E211" s="3438"/>
      <c r="F211" s="3438"/>
      <c r="G211" s="3438"/>
      <c r="H211" s="3438"/>
    </row>
    <row r="212" spans="1:8" ht="15">
      <c r="A212" s="3439" t="s">
        <v>1931</v>
      </c>
      <c r="B212" s="3438"/>
      <c r="C212" s="3438"/>
      <c r="D212" s="3438"/>
      <c r="E212" s="3438"/>
      <c r="F212" s="3438"/>
      <c r="G212" s="3438"/>
      <c r="H212" s="3438"/>
    </row>
    <row r="213" spans="1:8" ht="15">
      <c r="A213" s="3439" t="s">
        <v>1932</v>
      </c>
      <c r="B213" s="3438"/>
      <c r="C213" s="3438"/>
      <c r="D213" s="3438"/>
      <c r="E213" s="3438"/>
      <c r="F213" s="3438"/>
      <c r="G213" s="3438"/>
      <c r="H213" s="3438"/>
    </row>
    <row r="214" spans="1:8" ht="15">
      <c r="A214" s="3439" t="s">
        <v>1933</v>
      </c>
      <c r="B214" s="3438"/>
      <c r="C214" s="3438"/>
      <c r="D214" s="3438"/>
      <c r="E214" s="3438"/>
      <c r="F214" s="3438"/>
      <c r="G214" s="3438"/>
      <c r="H214" s="3438"/>
    </row>
    <row r="215" spans="1:8" ht="15">
      <c r="A215" s="3439" t="s">
        <v>1934</v>
      </c>
      <c r="B215" s="3438"/>
      <c r="C215" s="3438"/>
      <c r="D215" s="3438"/>
      <c r="E215" s="3438"/>
      <c r="F215" s="3438"/>
      <c r="G215" s="3438"/>
      <c r="H215" s="3438"/>
    </row>
    <row r="216" spans="1:8" ht="15">
      <c r="A216" s="3438"/>
      <c r="B216" s="3438"/>
      <c r="C216" s="3438"/>
      <c r="D216" s="3438"/>
      <c r="E216" s="3438"/>
      <c r="F216" s="3438"/>
      <c r="G216" s="3438"/>
      <c r="H216" s="3438"/>
    </row>
    <row r="217" spans="1:8" ht="15">
      <c r="A217" s="3439" t="s">
        <v>1927</v>
      </c>
      <c r="B217" s="3438"/>
      <c r="C217" s="3438"/>
      <c r="D217" s="3438"/>
      <c r="E217" s="3438"/>
      <c r="F217" s="3438"/>
      <c r="G217" s="3438"/>
      <c r="H217" s="3438"/>
    </row>
    <row r="218" spans="1:8" ht="15">
      <c r="A218" s="3439" t="s">
        <v>1928</v>
      </c>
      <c r="B218" s="3438"/>
      <c r="C218" s="3438"/>
      <c r="D218" s="3438"/>
      <c r="E218" s="3438"/>
      <c r="F218" s="3438"/>
      <c r="G218" s="3438"/>
      <c r="H218" s="3438"/>
    </row>
    <row r="219" spans="1:8" ht="15">
      <c r="A219" s="3439" t="s">
        <v>1929</v>
      </c>
      <c r="B219" s="3438"/>
      <c r="C219" s="3438"/>
      <c r="D219" s="3438"/>
      <c r="E219" s="3438"/>
      <c r="F219" s="3438"/>
      <c r="G219" s="3438"/>
      <c r="H219" s="3438"/>
    </row>
    <row r="220" spans="1:8" ht="15.75">
      <c r="A220" s="3440" t="s">
        <v>1770</v>
      </c>
      <c r="B220" s="3438"/>
      <c r="C220" s="3438"/>
      <c r="D220" s="3438"/>
      <c r="E220" s="3438"/>
      <c r="F220" s="3438"/>
      <c r="G220" s="3438"/>
      <c r="H220" s="3438"/>
    </row>
    <row r="221" spans="1:8" ht="15">
      <c r="A221" s="3438"/>
      <c r="B221" s="3438"/>
      <c r="C221" s="3438"/>
      <c r="D221" s="3438"/>
      <c r="E221" s="3438"/>
      <c r="F221" s="3438"/>
      <c r="G221" s="3438"/>
      <c r="H221" s="3438"/>
    </row>
    <row r="222" spans="1:8" ht="15">
      <c r="A222" s="3439" t="s">
        <v>1925</v>
      </c>
      <c r="B222" s="3438"/>
      <c r="C222" s="3438"/>
      <c r="D222" s="3438"/>
      <c r="E222" s="3438"/>
      <c r="F222" s="3438"/>
      <c r="G222" s="3438"/>
      <c r="H222" s="3438"/>
    </row>
    <row r="223" spans="1:8" ht="15">
      <c r="A223" s="3439" t="s">
        <v>1926</v>
      </c>
      <c r="B223" s="3438"/>
      <c r="C223" s="3438"/>
      <c r="D223" s="3438"/>
      <c r="E223" s="3438"/>
      <c r="F223" s="3438"/>
      <c r="G223" s="3438"/>
      <c r="H223" s="3438"/>
    </row>
    <row r="224" spans="1:8" ht="15">
      <c r="A224" s="3438"/>
      <c r="B224" s="3438"/>
      <c r="C224" s="3438"/>
      <c r="D224" s="3438"/>
      <c r="E224" s="3438"/>
      <c r="F224" s="3438"/>
      <c r="G224" s="3438"/>
      <c r="H224" s="3438"/>
    </row>
    <row r="225" spans="1:8" ht="15">
      <c r="A225" s="3439" t="s">
        <v>1918</v>
      </c>
      <c r="B225" s="3438"/>
      <c r="C225" s="3438"/>
      <c r="D225" s="3438"/>
      <c r="E225" s="3438"/>
      <c r="F225" s="3438"/>
      <c r="G225" s="3438"/>
      <c r="H225" s="3438"/>
    </row>
    <row r="226" spans="1:8" ht="15">
      <c r="A226" s="3439" t="s">
        <v>1919</v>
      </c>
      <c r="B226" s="3438"/>
      <c r="C226" s="3438"/>
      <c r="D226" s="3438"/>
      <c r="E226" s="3438"/>
      <c r="F226" s="3438"/>
      <c r="G226" s="3438"/>
      <c r="H226" s="3438"/>
    </row>
    <row r="227" spans="1:8" ht="15">
      <c r="A227" s="3439" t="s">
        <v>1920</v>
      </c>
      <c r="B227" s="3438"/>
      <c r="C227" s="3438"/>
      <c r="D227" s="3438"/>
      <c r="E227" s="3438"/>
      <c r="F227" s="3438"/>
      <c r="G227" s="3438"/>
      <c r="H227" s="3438"/>
    </row>
    <row r="228" spans="1:8" ht="15">
      <c r="A228" s="3439" t="s">
        <v>1921</v>
      </c>
      <c r="B228" s="3438"/>
      <c r="C228" s="3438"/>
      <c r="D228" s="3438"/>
      <c r="E228" s="3438"/>
      <c r="F228" s="3438"/>
      <c r="G228" s="3438"/>
      <c r="H228" s="3438"/>
    </row>
    <row r="229" spans="1:8" ht="15">
      <c r="A229" s="3439" t="s">
        <v>1922</v>
      </c>
      <c r="B229" s="3438"/>
      <c r="C229" s="3438"/>
      <c r="D229" s="3438"/>
      <c r="E229" s="3438"/>
      <c r="F229" s="3438"/>
      <c r="G229" s="3438"/>
      <c r="H229" s="3438"/>
    </row>
    <row r="230" spans="1:8" ht="15">
      <c r="A230" s="3439" t="s">
        <v>1923</v>
      </c>
      <c r="B230" s="3438"/>
      <c r="C230" s="3438"/>
      <c r="D230" s="3438"/>
      <c r="E230" s="3438"/>
      <c r="F230" s="3438"/>
      <c r="G230" s="3438"/>
      <c r="H230" s="3438"/>
    </row>
    <row r="231" spans="1:8" ht="15">
      <c r="A231" s="3439" t="s">
        <v>1924</v>
      </c>
      <c r="B231" s="3438"/>
      <c r="C231" s="3438"/>
      <c r="D231" s="3438"/>
      <c r="E231" s="3438"/>
      <c r="F231" s="3438"/>
      <c r="G231" s="3438"/>
      <c r="H231" s="3438"/>
    </row>
    <row r="232" spans="1:8" ht="15">
      <c r="A232" s="3438"/>
      <c r="B232" s="3438"/>
      <c r="C232" s="3438"/>
      <c r="D232" s="3438"/>
      <c r="E232" s="3438"/>
      <c r="F232" s="3438"/>
      <c r="G232" s="3438"/>
      <c r="H232" s="3438"/>
    </row>
    <row r="233" spans="1:8" ht="15">
      <c r="A233" s="3439" t="s">
        <v>1915</v>
      </c>
      <c r="B233" s="3438"/>
      <c r="C233" s="3438"/>
      <c r="D233" s="3438"/>
      <c r="E233" s="3438"/>
      <c r="F233" s="3438"/>
      <c r="G233" s="3438"/>
      <c r="H233" s="3438"/>
    </row>
    <row r="234" spans="1:8" ht="15">
      <c r="A234" s="3439" t="s">
        <v>1916</v>
      </c>
      <c r="B234" s="3438"/>
      <c r="C234" s="3438"/>
      <c r="D234" s="3438"/>
      <c r="E234" s="3438"/>
      <c r="F234" s="3438"/>
      <c r="G234" s="3438"/>
      <c r="H234" s="3438"/>
    </row>
    <row r="235" spans="1:8" ht="15">
      <c r="A235" s="3439" t="s">
        <v>1917</v>
      </c>
      <c r="B235" s="3438"/>
      <c r="C235" s="3438"/>
      <c r="D235" s="3438"/>
      <c r="E235" s="3438"/>
      <c r="F235" s="3438"/>
      <c r="G235" s="3438"/>
      <c r="H235" s="3438"/>
    </row>
    <row r="236" spans="1:8" ht="15">
      <c r="A236" s="3438"/>
      <c r="B236" s="3438"/>
      <c r="C236" s="3438"/>
      <c r="D236" s="3438"/>
      <c r="E236" s="3438"/>
      <c r="F236" s="3438"/>
      <c r="G236" s="3438"/>
      <c r="H236" s="3438"/>
    </row>
    <row r="237" spans="1:8" ht="15">
      <c r="A237" s="3439" t="s">
        <v>1910</v>
      </c>
      <c r="B237" s="3438"/>
      <c r="C237" s="3438"/>
      <c r="D237" s="3438"/>
      <c r="E237" s="3438"/>
      <c r="F237" s="3438"/>
      <c r="G237" s="3438"/>
      <c r="H237" s="3438"/>
    </row>
    <row r="238" spans="1:8" ht="15">
      <c r="A238" s="3439" t="s">
        <v>1911</v>
      </c>
      <c r="B238" s="3438"/>
      <c r="C238" s="3438"/>
      <c r="D238" s="3438"/>
      <c r="E238" s="3438"/>
      <c r="F238" s="3438"/>
      <c r="G238" s="3438"/>
      <c r="H238" s="3438"/>
    </row>
    <row r="239" spans="1:8" ht="15">
      <c r="A239" s="3439" t="s">
        <v>1912</v>
      </c>
      <c r="B239" s="3438"/>
      <c r="C239" s="3438"/>
      <c r="D239" s="3438"/>
      <c r="E239" s="3438"/>
      <c r="F239" s="3438"/>
      <c r="G239" s="3438"/>
      <c r="H239" s="3438"/>
    </row>
    <row r="240" spans="1:8" ht="15">
      <c r="A240" s="3439" t="s">
        <v>1913</v>
      </c>
      <c r="B240" s="3438"/>
      <c r="C240" s="3438"/>
      <c r="D240" s="3438"/>
      <c r="E240" s="3438"/>
      <c r="F240" s="3438"/>
      <c r="G240" s="3438"/>
      <c r="H240" s="3438"/>
    </row>
    <row r="241" spans="1:8" ht="15">
      <c r="A241" s="3439" t="s">
        <v>1914</v>
      </c>
      <c r="B241" s="3438"/>
      <c r="C241" s="3438"/>
      <c r="D241" s="3438"/>
      <c r="E241" s="3438"/>
      <c r="F241" s="3438"/>
      <c r="G241" s="3438"/>
      <c r="H241" s="3438"/>
    </row>
    <row r="242" spans="1:8" ht="15">
      <c r="A242" s="3438"/>
      <c r="B242" s="3438"/>
      <c r="C242" s="3438"/>
      <c r="D242" s="3438"/>
      <c r="E242" s="3438"/>
      <c r="F242" s="3438"/>
      <c r="G242" s="3438"/>
      <c r="H242" s="3438"/>
    </row>
    <row r="243" spans="1:8" ht="15">
      <c r="A243" s="3439" t="s">
        <v>1904</v>
      </c>
      <c r="B243" s="3438"/>
      <c r="C243" s="3438"/>
      <c r="D243" s="3438"/>
      <c r="E243" s="3438"/>
      <c r="F243" s="3438"/>
      <c r="G243" s="3438"/>
      <c r="H243" s="3438"/>
    </row>
    <row r="244" spans="1:8" ht="15">
      <c r="A244" s="3439" t="s">
        <v>1905</v>
      </c>
      <c r="B244" s="3438"/>
      <c r="C244" s="3438"/>
      <c r="D244" s="3438"/>
      <c r="E244" s="3438"/>
      <c r="F244" s="3438"/>
      <c r="G244" s="3438"/>
      <c r="H244" s="3438"/>
    </row>
    <row r="245" spans="1:8" ht="15">
      <c r="A245" s="3439" t="s">
        <v>1906</v>
      </c>
      <c r="B245" s="3438"/>
      <c r="C245" s="3438"/>
      <c r="D245" s="3438"/>
      <c r="E245" s="3438"/>
      <c r="F245" s="3438"/>
      <c r="G245" s="3438"/>
      <c r="H245" s="3438"/>
    </row>
    <row r="246" spans="1:8" ht="15">
      <c r="A246" s="3439" t="s">
        <v>1907</v>
      </c>
      <c r="B246" s="3438"/>
      <c r="C246" s="3438"/>
      <c r="D246" s="3438"/>
      <c r="E246" s="3438"/>
      <c r="F246" s="3438"/>
      <c r="G246" s="3438"/>
      <c r="H246" s="3438"/>
    </row>
    <row r="247" spans="1:8" ht="15">
      <c r="A247" s="3439" t="s">
        <v>1908</v>
      </c>
      <c r="B247" s="3438"/>
      <c r="C247" s="3438"/>
      <c r="D247" s="3438"/>
      <c r="E247" s="3438"/>
      <c r="F247" s="3438"/>
      <c r="G247" s="3438"/>
      <c r="H247" s="3438"/>
    </row>
    <row r="248" spans="1:8" ht="15">
      <c r="A248" s="3439" t="s">
        <v>1909</v>
      </c>
      <c r="B248" s="3438"/>
      <c r="C248" s="3438"/>
      <c r="D248" s="3438"/>
      <c r="E248" s="3438"/>
      <c r="F248" s="3438"/>
      <c r="G248" s="3438"/>
      <c r="H248" s="3438"/>
    </row>
    <row r="249" spans="1:8" ht="15">
      <c r="A249" s="3438"/>
      <c r="B249" s="3438"/>
      <c r="C249" s="3438"/>
      <c r="D249" s="3438"/>
      <c r="E249" s="3438"/>
      <c r="F249" s="3438"/>
      <c r="G249" s="3438"/>
      <c r="H249" s="3438"/>
    </row>
    <row r="250" spans="1:8" ht="15">
      <c r="A250" s="3439" t="s">
        <v>1894</v>
      </c>
      <c r="B250" s="3438"/>
      <c r="C250" s="3438"/>
      <c r="D250" s="3438"/>
      <c r="E250" s="3438"/>
      <c r="F250" s="3438"/>
      <c r="G250" s="3438"/>
      <c r="H250" s="3438"/>
    </row>
    <row r="251" spans="1:8" ht="15">
      <c r="A251" s="3439" t="s">
        <v>1895</v>
      </c>
      <c r="B251" s="3438"/>
      <c r="C251" s="3438"/>
      <c r="D251" s="3438"/>
      <c r="E251" s="3438"/>
      <c r="F251" s="3438"/>
      <c r="G251" s="3438"/>
      <c r="H251" s="3438"/>
    </row>
    <row r="252" spans="1:8" ht="15">
      <c r="A252" s="3439" t="s">
        <v>1896</v>
      </c>
      <c r="B252" s="3438"/>
      <c r="C252" s="3438"/>
      <c r="D252" s="3438"/>
      <c r="E252" s="3438"/>
      <c r="F252" s="3438"/>
      <c r="G252" s="3438"/>
      <c r="H252" s="3438"/>
    </row>
    <row r="253" spans="1:8" ht="15">
      <c r="A253" s="3439" t="s">
        <v>1897</v>
      </c>
      <c r="B253" s="3438"/>
      <c r="C253" s="3438"/>
      <c r="D253" s="3438"/>
      <c r="E253" s="3438"/>
      <c r="F253" s="3438"/>
      <c r="G253" s="3438"/>
      <c r="H253" s="3438"/>
    </row>
    <row r="254" spans="1:8" ht="15">
      <c r="A254" s="3439" t="s">
        <v>1898</v>
      </c>
      <c r="B254" s="3438"/>
      <c r="C254" s="3438"/>
      <c r="D254" s="3438"/>
      <c r="E254" s="3438"/>
      <c r="F254" s="3438"/>
      <c r="G254" s="3438"/>
      <c r="H254" s="3438"/>
    </row>
    <row r="255" spans="1:8" ht="15">
      <c r="A255" s="3439" t="s">
        <v>1899</v>
      </c>
      <c r="B255" s="3438"/>
      <c r="C255" s="3438"/>
      <c r="D255" s="3438"/>
      <c r="E255" s="3438"/>
      <c r="F255" s="3438"/>
      <c r="G255" s="3438"/>
      <c r="H255" s="3438"/>
    </row>
    <row r="256" spans="1:8" ht="15">
      <c r="A256" s="3439" t="s">
        <v>1900</v>
      </c>
      <c r="B256" s="3438"/>
      <c r="C256" s="3438"/>
      <c r="D256" s="3438"/>
      <c r="E256" s="3438"/>
      <c r="F256" s="3438"/>
      <c r="G256" s="3438"/>
      <c r="H256" s="3438"/>
    </row>
    <row r="257" spans="1:8" ht="15">
      <c r="A257" s="3439" t="s">
        <v>1901</v>
      </c>
      <c r="B257" s="3438"/>
      <c r="C257" s="3438"/>
      <c r="D257" s="3438"/>
      <c r="E257" s="3438"/>
      <c r="F257" s="3438"/>
      <c r="G257" s="3438"/>
      <c r="H257" s="3438"/>
    </row>
    <row r="258" spans="1:8" ht="15">
      <c r="A258" s="3439" t="s">
        <v>1902</v>
      </c>
      <c r="B258" s="3438"/>
      <c r="C258" s="3438"/>
      <c r="D258" s="3438"/>
      <c r="E258" s="3438"/>
      <c r="F258" s="3438"/>
      <c r="G258" s="3438"/>
      <c r="H258" s="3438"/>
    </row>
    <row r="259" spans="1:8" ht="15">
      <c r="A259" s="3439" t="s">
        <v>1903</v>
      </c>
      <c r="B259" s="3438"/>
      <c r="C259" s="3438"/>
      <c r="D259" s="3438"/>
      <c r="E259" s="3438"/>
      <c r="F259" s="3438"/>
      <c r="G259" s="3438"/>
      <c r="H259" s="3438"/>
    </row>
    <row r="260" spans="1:8" ht="15">
      <c r="A260" s="3438"/>
      <c r="B260" s="3438"/>
      <c r="C260" s="3438"/>
      <c r="D260" s="3438"/>
      <c r="E260" s="3438"/>
      <c r="F260" s="3438"/>
      <c r="G260" s="3438"/>
      <c r="H260" s="3438"/>
    </row>
    <row r="261" spans="1:8" ht="15">
      <c r="A261" s="3439" t="s">
        <v>1892</v>
      </c>
      <c r="B261" s="3438"/>
      <c r="C261" s="3438"/>
      <c r="D261" s="3438"/>
      <c r="E261" s="3438"/>
      <c r="F261" s="3438"/>
      <c r="G261" s="3438"/>
      <c r="H261" s="3438"/>
    </row>
    <row r="262" spans="1:8" ht="15">
      <c r="A262" s="3439" t="s">
        <v>1893</v>
      </c>
      <c r="B262" s="3438"/>
      <c r="C262" s="3438"/>
      <c r="D262" s="3438"/>
      <c r="E262" s="3438"/>
      <c r="F262" s="3438"/>
      <c r="G262" s="3438"/>
      <c r="H262" s="3438"/>
    </row>
    <row r="263" spans="1:8" ht="15">
      <c r="A263" s="3438"/>
      <c r="B263" s="3438"/>
      <c r="C263" s="3438"/>
      <c r="D263" s="3438"/>
      <c r="E263" s="3438"/>
      <c r="F263" s="3438"/>
      <c r="G263" s="3438"/>
      <c r="H263" s="3438"/>
    </row>
    <row r="264" spans="1:8" ht="15">
      <c r="A264" s="3439" t="s">
        <v>1876</v>
      </c>
      <c r="B264" s="3438"/>
      <c r="C264" s="3438"/>
      <c r="D264" s="3438"/>
      <c r="E264" s="3438"/>
      <c r="F264" s="3438"/>
      <c r="G264" s="3438"/>
      <c r="H264" s="3438"/>
    </row>
    <row r="265" spans="1:8" ht="15">
      <c r="A265" s="3439" t="s">
        <v>1877</v>
      </c>
      <c r="B265" s="3438"/>
      <c r="C265" s="3438"/>
      <c r="D265" s="3438"/>
      <c r="E265" s="3438"/>
      <c r="F265" s="3438"/>
      <c r="G265" s="3438"/>
      <c r="H265" s="3438"/>
    </row>
    <row r="266" spans="1:8" ht="15">
      <c r="A266" s="3439" t="s">
        <v>1878</v>
      </c>
      <c r="B266" s="3438"/>
      <c r="C266" s="3438"/>
      <c r="D266" s="3438"/>
      <c r="E266" s="3438"/>
      <c r="F266" s="3438"/>
      <c r="G266" s="3438"/>
      <c r="H266" s="3438"/>
    </row>
    <row r="267" spans="1:8" ht="15">
      <c r="A267" s="3439" t="s">
        <v>1879</v>
      </c>
      <c r="B267" s="3438"/>
      <c r="C267" s="3438"/>
      <c r="D267" s="3438"/>
      <c r="E267" s="3438"/>
      <c r="F267" s="3438"/>
      <c r="G267" s="3438"/>
      <c r="H267" s="3438"/>
    </row>
    <row r="268" spans="1:8" ht="15">
      <c r="A268" s="3439" t="s">
        <v>1880</v>
      </c>
      <c r="B268" s="3438"/>
      <c r="C268" s="3438"/>
      <c r="D268" s="3438"/>
      <c r="E268" s="3438"/>
      <c r="F268" s="3438"/>
      <c r="G268" s="3438"/>
      <c r="H268" s="3438"/>
    </row>
    <row r="269" spans="1:8" ht="15">
      <c r="A269" s="3439" t="s">
        <v>1881</v>
      </c>
      <c r="B269" s="3438"/>
      <c r="C269" s="3438"/>
      <c r="D269" s="3438"/>
      <c r="E269" s="3438"/>
      <c r="F269" s="3438"/>
      <c r="G269" s="3438"/>
      <c r="H269" s="3438"/>
    </row>
    <row r="270" spans="1:8" ht="15">
      <c r="A270" s="3439" t="s">
        <v>1882</v>
      </c>
      <c r="B270" s="3438"/>
      <c r="C270" s="3438"/>
      <c r="D270" s="3438"/>
      <c r="E270" s="3438"/>
      <c r="F270" s="3438"/>
      <c r="G270" s="3438"/>
      <c r="H270" s="3438"/>
    </row>
    <row r="271" spans="1:8" ht="15">
      <c r="A271" s="3439" t="s">
        <v>1883</v>
      </c>
      <c r="B271" s="3438"/>
      <c r="C271" s="3438"/>
      <c r="D271" s="3438"/>
      <c r="E271" s="3438"/>
      <c r="F271" s="3438"/>
      <c r="G271" s="3438"/>
      <c r="H271" s="3438"/>
    </row>
    <row r="272" spans="1:8" ht="15">
      <c r="A272" s="3439" t="s">
        <v>1884</v>
      </c>
      <c r="B272" s="3438"/>
      <c r="C272" s="3438"/>
      <c r="D272" s="3438"/>
      <c r="E272" s="3438"/>
      <c r="F272" s="3438"/>
      <c r="G272" s="3438"/>
      <c r="H272" s="3438"/>
    </row>
    <row r="273" spans="1:8" ht="15">
      <c r="A273" s="3439" t="s">
        <v>1885</v>
      </c>
      <c r="B273" s="3438"/>
      <c r="C273" s="3438"/>
      <c r="D273" s="3438"/>
      <c r="E273" s="3438"/>
      <c r="F273" s="3438"/>
      <c r="G273" s="3438"/>
      <c r="H273" s="3438"/>
    </row>
    <row r="274" spans="1:8" ht="15">
      <c r="A274" s="3439" t="s">
        <v>1886</v>
      </c>
      <c r="B274" s="3438"/>
      <c r="C274" s="3438"/>
      <c r="D274" s="3438"/>
      <c r="E274" s="3438"/>
      <c r="F274" s="3438"/>
      <c r="G274" s="3438"/>
      <c r="H274" s="3438"/>
    </row>
    <row r="275" spans="1:8" ht="15">
      <c r="A275" s="3439" t="s">
        <v>1887</v>
      </c>
      <c r="B275" s="3438"/>
      <c r="C275" s="3438"/>
      <c r="D275" s="3438"/>
      <c r="E275" s="3438"/>
      <c r="F275" s="3438"/>
      <c r="G275" s="3438"/>
      <c r="H275" s="3438"/>
    </row>
    <row r="276" spans="1:8" ht="15">
      <c r="A276" s="3439" t="s">
        <v>1888</v>
      </c>
      <c r="B276" s="3438"/>
      <c r="C276" s="3438"/>
      <c r="D276" s="3438"/>
      <c r="E276" s="3438"/>
      <c r="F276" s="3438"/>
      <c r="G276" s="3438"/>
      <c r="H276" s="3438"/>
    </row>
    <row r="277" spans="1:8" ht="15">
      <c r="A277" s="3439" t="s">
        <v>1889</v>
      </c>
      <c r="B277" s="3438"/>
      <c r="C277" s="3438"/>
      <c r="D277" s="3438"/>
      <c r="E277" s="3438"/>
      <c r="F277" s="3438"/>
      <c r="G277" s="3438"/>
      <c r="H277" s="3438"/>
    </row>
    <row r="278" spans="1:8" ht="15">
      <c r="A278" s="3439" t="s">
        <v>1890</v>
      </c>
      <c r="B278" s="3438"/>
      <c r="C278" s="3438"/>
      <c r="D278" s="3438"/>
      <c r="E278" s="3438"/>
      <c r="F278" s="3438"/>
      <c r="G278" s="3438"/>
      <c r="H278" s="3438"/>
    </row>
    <row r="279" spans="1:8" ht="15">
      <c r="A279" s="3439" t="s">
        <v>1891</v>
      </c>
      <c r="B279" s="3438"/>
      <c r="C279" s="3438"/>
      <c r="D279" s="3438"/>
      <c r="E279" s="3438"/>
      <c r="F279" s="3438"/>
      <c r="G279" s="3438"/>
      <c r="H279" s="3438"/>
    </row>
    <row r="280" spans="1:8" ht="15">
      <c r="A280" s="3438"/>
      <c r="B280" s="3438"/>
      <c r="C280" s="3438"/>
      <c r="D280" s="3438"/>
      <c r="E280" s="3438"/>
      <c r="F280" s="3438"/>
      <c r="G280" s="3438"/>
      <c r="H280" s="3438"/>
    </row>
    <row r="281" spans="1:8" ht="15">
      <c r="A281" s="3439" t="s">
        <v>1869</v>
      </c>
      <c r="B281" s="3438"/>
      <c r="C281" s="3438"/>
      <c r="D281" s="3438"/>
      <c r="E281" s="3438"/>
      <c r="F281" s="3438"/>
      <c r="G281" s="3438"/>
      <c r="H281" s="3438"/>
    </row>
    <row r="282" spans="1:8" ht="15">
      <c r="A282" s="3439" t="s">
        <v>1870</v>
      </c>
      <c r="B282" s="3438"/>
      <c r="C282" s="3438"/>
      <c r="D282" s="3438"/>
      <c r="E282" s="3438"/>
      <c r="F282" s="3438"/>
      <c r="G282" s="3438"/>
      <c r="H282" s="3438"/>
    </row>
    <row r="283" spans="1:8" ht="15">
      <c r="A283" s="3439" t="s">
        <v>1871</v>
      </c>
      <c r="B283" s="3438"/>
      <c r="C283" s="3438"/>
      <c r="D283" s="3438"/>
      <c r="E283" s="3438"/>
      <c r="F283" s="3438"/>
      <c r="G283" s="3438"/>
      <c r="H283" s="3438"/>
    </row>
    <row r="284" spans="1:8" ht="15">
      <c r="A284" s="3439" t="s">
        <v>1872</v>
      </c>
      <c r="B284" s="3438"/>
      <c r="C284" s="3438"/>
      <c r="D284" s="3438"/>
      <c r="E284" s="3438"/>
      <c r="F284" s="3438"/>
      <c r="G284" s="3438"/>
      <c r="H284" s="3438"/>
    </row>
    <row r="285" spans="1:8" ht="15">
      <c r="A285" s="3439" t="s">
        <v>1873</v>
      </c>
      <c r="B285" s="3438"/>
      <c r="C285" s="3438"/>
      <c r="D285" s="3438"/>
      <c r="E285" s="3438"/>
      <c r="F285" s="3438"/>
      <c r="G285" s="3438"/>
      <c r="H285" s="3438"/>
    </row>
    <row r="286" spans="1:8" ht="15">
      <c r="A286" s="3439" t="s">
        <v>1874</v>
      </c>
      <c r="B286" s="3438"/>
      <c r="C286" s="3438"/>
      <c r="D286" s="3438"/>
      <c r="E286" s="3438"/>
      <c r="F286" s="3438"/>
      <c r="G286" s="3438"/>
      <c r="H286" s="3438"/>
    </row>
    <row r="287" spans="1:8" ht="15">
      <c r="A287" s="3439" t="s">
        <v>1875</v>
      </c>
      <c r="B287" s="3438"/>
      <c r="C287" s="3438"/>
      <c r="D287" s="3438"/>
      <c r="E287" s="3438"/>
      <c r="F287" s="3438"/>
      <c r="G287" s="3438"/>
      <c r="H287" s="3438"/>
    </row>
    <row r="288" spans="1:8" ht="15">
      <c r="A288" s="3438"/>
      <c r="B288" s="3438"/>
      <c r="C288" s="3438"/>
      <c r="D288" s="3438"/>
      <c r="E288" s="3438"/>
      <c r="F288" s="3438"/>
      <c r="G288" s="3438"/>
      <c r="H288" s="3438"/>
    </row>
    <row r="289" spans="1:8" ht="15">
      <c r="A289" s="3439" t="s">
        <v>1860</v>
      </c>
      <c r="B289" s="3438"/>
      <c r="C289" s="3438"/>
      <c r="D289" s="3438"/>
      <c r="E289" s="3438"/>
      <c r="F289" s="3438"/>
      <c r="G289" s="3438"/>
      <c r="H289" s="3438"/>
    </row>
    <row r="290" spans="1:8" ht="15">
      <c r="A290" s="3439" t="s">
        <v>1861</v>
      </c>
      <c r="B290" s="3438"/>
      <c r="C290" s="3438"/>
      <c r="D290" s="3438"/>
      <c r="E290" s="3438"/>
      <c r="F290" s="3438"/>
      <c r="G290" s="3438"/>
      <c r="H290" s="3438"/>
    </row>
    <row r="291" spans="1:8" ht="15">
      <c r="A291" s="3439" t="s">
        <v>1862</v>
      </c>
      <c r="B291" s="3438"/>
      <c r="C291" s="3438"/>
      <c r="D291" s="3438"/>
      <c r="E291" s="3438"/>
      <c r="F291" s="3438"/>
      <c r="G291" s="3438"/>
      <c r="H291" s="3438"/>
    </row>
    <row r="292" spans="1:8" ht="15">
      <c r="A292" s="3439" t="s">
        <v>1863</v>
      </c>
      <c r="B292" s="3438"/>
      <c r="C292" s="3438"/>
      <c r="D292" s="3438"/>
      <c r="E292" s="3438"/>
      <c r="F292" s="3438"/>
      <c r="G292" s="3438"/>
      <c r="H292" s="3438"/>
    </row>
    <row r="293" spans="1:8" ht="15">
      <c r="A293" s="3439" t="s">
        <v>1864</v>
      </c>
      <c r="B293" s="3438"/>
      <c r="C293" s="3438"/>
      <c r="D293" s="3438"/>
      <c r="E293" s="3438"/>
      <c r="F293" s="3438"/>
      <c r="G293" s="3438"/>
      <c r="H293" s="3438"/>
    </row>
    <row r="294" spans="1:8" ht="15">
      <c r="A294" s="3439" t="s">
        <v>1865</v>
      </c>
      <c r="B294" s="3438"/>
      <c r="C294" s="3438"/>
      <c r="D294" s="3438"/>
      <c r="E294" s="3438"/>
      <c r="F294" s="3438"/>
      <c r="G294" s="3438"/>
      <c r="H294" s="3438"/>
    </row>
    <row r="295" spans="1:8" ht="15">
      <c r="A295" s="3439" t="s">
        <v>1866</v>
      </c>
      <c r="B295" s="3438"/>
      <c r="C295" s="3438"/>
      <c r="D295" s="3438"/>
      <c r="E295" s="3438"/>
      <c r="F295" s="3438"/>
      <c r="G295" s="3438"/>
      <c r="H295" s="3438"/>
    </row>
    <row r="296" spans="1:8" ht="15">
      <c r="A296" s="3439" t="s">
        <v>1867</v>
      </c>
      <c r="B296" s="3438"/>
      <c r="C296" s="3438"/>
      <c r="D296" s="3438"/>
      <c r="E296" s="3438"/>
      <c r="F296" s="3438"/>
      <c r="G296" s="3438"/>
      <c r="H296" s="3438"/>
    </row>
    <row r="297" spans="1:8" ht="15">
      <c r="A297" s="3439" t="s">
        <v>1868</v>
      </c>
      <c r="B297" s="3438"/>
      <c r="C297" s="3438"/>
      <c r="D297" s="3438"/>
      <c r="E297" s="3438"/>
      <c r="F297" s="3438"/>
      <c r="G297" s="3438"/>
      <c r="H297" s="3438"/>
    </row>
    <row r="298" spans="1:8" ht="15">
      <c r="A298" s="3438"/>
      <c r="B298" s="3438"/>
      <c r="C298" s="3438"/>
      <c r="D298" s="3438"/>
      <c r="E298" s="3438"/>
      <c r="F298" s="3438"/>
      <c r="G298" s="3438"/>
      <c r="H298" s="3438"/>
    </row>
    <row r="299" spans="1:8" ht="15">
      <c r="A299" s="3439" t="s">
        <v>1853</v>
      </c>
      <c r="B299" s="3438"/>
      <c r="C299" s="3438"/>
      <c r="D299" s="3438"/>
      <c r="E299" s="3438"/>
      <c r="F299" s="3438"/>
      <c r="G299" s="3438"/>
      <c r="H299" s="3438"/>
    </row>
    <row r="300" spans="1:8" ht="15">
      <c r="A300" s="3439" t="s">
        <v>1854</v>
      </c>
      <c r="B300" s="3438"/>
      <c r="C300" s="3438"/>
      <c r="D300" s="3438"/>
      <c r="E300" s="3438"/>
      <c r="F300" s="3438"/>
      <c r="G300" s="3438"/>
      <c r="H300" s="3438"/>
    </row>
    <row r="301" spans="1:8" ht="15">
      <c r="A301" s="3439" t="s">
        <v>1855</v>
      </c>
      <c r="B301" s="3438"/>
      <c r="C301" s="3438"/>
      <c r="D301" s="3438"/>
      <c r="E301" s="3438"/>
      <c r="F301" s="3438"/>
      <c r="G301" s="3438"/>
      <c r="H301" s="3438"/>
    </row>
    <row r="302" spans="1:8" ht="15">
      <c r="A302" s="3439" t="s">
        <v>1856</v>
      </c>
      <c r="B302" s="3438"/>
      <c r="C302" s="3438"/>
      <c r="D302" s="3438"/>
      <c r="E302" s="3438"/>
      <c r="F302" s="3438"/>
      <c r="G302" s="3438"/>
      <c r="H302" s="3438"/>
    </row>
    <row r="303" spans="1:8" ht="15">
      <c r="A303" s="3439" t="s">
        <v>1857</v>
      </c>
      <c r="B303" s="3438"/>
      <c r="C303" s="3438"/>
      <c r="D303" s="3438"/>
      <c r="E303" s="3438"/>
      <c r="F303" s="3438"/>
      <c r="G303" s="3438"/>
      <c r="H303" s="3438"/>
    </row>
    <row r="304" spans="1:8" ht="15">
      <c r="A304" s="3439" t="s">
        <v>1858</v>
      </c>
      <c r="B304" s="3438"/>
      <c r="C304" s="3438"/>
      <c r="D304" s="3438"/>
      <c r="E304" s="3438"/>
      <c r="F304" s="3438"/>
      <c r="G304" s="3438"/>
      <c r="H304" s="3438"/>
    </row>
    <row r="305" spans="1:8" ht="15">
      <c r="A305" s="3439" t="s">
        <v>1859</v>
      </c>
      <c r="B305" s="3438"/>
      <c r="C305" s="3438"/>
      <c r="D305" s="3438"/>
      <c r="E305" s="3438"/>
      <c r="F305" s="3438"/>
      <c r="G305" s="3438"/>
      <c r="H305" s="3438"/>
    </row>
    <row r="306" spans="1:8" ht="15">
      <c r="A306" s="3438"/>
      <c r="B306" s="3438"/>
      <c r="C306" s="3438"/>
      <c r="D306" s="3438"/>
      <c r="E306" s="3438"/>
      <c r="F306" s="3438"/>
      <c r="G306" s="3438"/>
      <c r="H306" s="3438"/>
    </row>
    <row r="307" spans="1:8" ht="15">
      <c r="A307" s="3439" t="s">
        <v>1850</v>
      </c>
      <c r="B307" s="3438"/>
      <c r="C307" s="3438"/>
      <c r="D307" s="3438"/>
      <c r="E307" s="3438"/>
      <c r="F307" s="3438"/>
      <c r="G307" s="3438"/>
      <c r="H307" s="3438"/>
    </row>
    <row r="308" spans="1:8" ht="15">
      <c r="A308" s="3439" t="s">
        <v>1851</v>
      </c>
      <c r="B308" s="3438"/>
      <c r="C308" s="3438"/>
      <c r="D308" s="3438"/>
      <c r="E308" s="3438"/>
      <c r="F308" s="3438"/>
      <c r="G308" s="3438"/>
      <c r="H308" s="3438"/>
    </row>
    <row r="309" spans="1:8" ht="15">
      <c r="A309" s="3439" t="s">
        <v>1852</v>
      </c>
      <c r="B309" s="3438"/>
      <c r="C309" s="3438"/>
      <c r="D309" s="3438"/>
      <c r="E309" s="3438"/>
      <c r="F309" s="3438"/>
      <c r="G309" s="3438"/>
      <c r="H309" s="3438"/>
    </row>
    <row r="310" spans="1:8" ht="15">
      <c r="A310" s="3438"/>
      <c r="B310" s="3438"/>
      <c r="C310" s="3438"/>
      <c r="D310" s="3438"/>
      <c r="E310" s="3438"/>
      <c r="F310" s="3438"/>
      <c r="G310" s="3438"/>
      <c r="H310" s="3438"/>
    </row>
    <row r="311" spans="1:8" ht="15">
      <c r="A311" s="3439" t="s">
        <v>1848</v>
      </c>
      <c r="B311" s="3438"/>
      <c r="C311" s="3438"/>
      <c r="D311" s="3438"/>
      <c r="E311" s="3438"/>
      <c r="F311" s="3438"/>
      <c r="G311" s="3438"/>
      <c r="H311" s="3438"/>
    </row>
    <row r="312" spans="1:8" ht="15">
      <c r="A312" s="3439" t="s">
        <v>1849</v>
      </c>
      <c r="B312" s="3438"/>
      <c r="C312" s="3438"/>
      <c r="D312" s="3438"/>
      <c r="E312" s="3438"/>
      <c r="F312" s="3438"/>
      <c r="G312" s="3438"/>
      <c r="H312" s="3438"/>
    </row>
    <row r="313" spans="1:8" ht="15">
      <c r="A313" s="3438"/>
      <c r="B313" s="3438"/>
      <c r="C313" s="3438"/>
      <c r="D313" s="3438"/>
      <c r="E313" s="3438"/>
      <c r="F313" s="3438"/>
      <c r="G313" s="3438"/>
      <c r="H313" s="3438"/>
    </row>
    <row r="314" spans="1:8" ht="15">
      <c r="A314" s="3439" t="s">
        <v>1835</v>
      </c>
      <c r="B314" s="3438"/>
      <c r="C314" s="3438"/>
      <c r="D314" s="3438"/>
      <c r="E314" s="3438"/>
      <c r="F314" s="3438"/>
      <c r="G314" s="3438"/>
      <c r="H314" s="3438"/>
    </row>
    <row r="315" spans="1:8" ht="15">
      <c r="A315" s="3439" t="s">
        <v>1836</v>
      </c>
      <c r="B315" s="3438"/>
      <c r="C315" s="3438"/>
      <c r="D315" s="3438"/>
      <c r="E315" s="3438"/>
      <c r="F315" s="3438"/>
      <c r="G315" s="3438"/>
      <c r="H315" s="3438"/>
    </row>
    <row r="316" spans="1:8" ht="15">
      <c r="A316" s="3439" t="s">
        <v>1837</v>
      </c>
      <c r="B316" s="3438"/>
      <c r="C316" s="3438"/>
      <c r="D316" s="3438"/>
      <c r="E316" s="3438"/>
      <c r="F316" s="3438"/>
      <c r="G316" s="3438"/>
      <c r="H316" s="3438"/>
    </row>
    <row r="317" spans="1:8" ht="15">
      <c r="A317" s="3439" t="s">
        <v>1838</v>
      </c>
      <c r="B317" s="3438"/>
      <c r="C317" s="3438"/>
      <c r="D317" s="3438"/>
      <c r="E317" s="3438"/>
      <c r="F317" s="3438"/>
      <c r="G317" s="3438"/>
      <c r="H317" s="3438"/>
    </row>
    <row r="318" spans="1:8" ht="15">
      <c r="A318" s="3439" t="s">
        <v>1839</v>
      </c>
      <c r="B318" s="3438"/>
      <c r="C318" s="3438"/>
      <c r="D318" s="3438"/>
      <c r="E318" s="3438"/>
      <c r="F318" s="3438"/>
      <c r="G318" s="3438"/>
      <c r="H318" s="3438"/>
    </row>
    <row r="319" spans="1:8" ht="15">
      <c r="A319" s="3439" t="s">
        <v>1840</v>
      </c>
      <c r="B319" s="3438"/>
      <c r="C319" s="3438"/>
      <c r="D319" s="3438"/>
      <c r="E319" s="3438"/>
      <c r="F319" s="3438"/>
      <c r="G319" s="3438"/>
      <c r="H319" s="3438"/>
    </row>
    <row r="320" spans="1:8" ht="15">
      <c r="A320" s="3439" t="s">
        <v>1841</v>
      </c>
      <c r="B320" s="3438"/>
      <c r="C320" s="3438"/>
      <c r="D320" s="3438"/>
      <c r="E320" s="3438"/>
      <c r="F320" s="3438"/>
      <c r="G320" s="3438"/>
      <c r="H320" s="3438"/>
    </row>
    <row r="321" spans="1:8" ht="15">
      <c r="A321" s="3439" t="s">
        <v>1842</v>
      </c>
      <c r="B321" s="3438"/>
      <c r="C321" s="3438"/>
      <c r="D321" s="3438"/>
      <c r="E321" s="3438"/>
      <c r="F321" s="3438"/>
      <c r="G321" s="3438"/>
      <c r="H321" s="3438"/>
    </row>
    <row r="322" spans="1:8" ht="15">
      <c r="A322" s="3439" t="s">
        <v>1843</v>
      </c>
      <c r="B322" s="3438"/>
      <c r="C322" s="3438"/>
      <c r="D322" s="3438"/>
      <c r="E322" s="3438"/>
      <c r="F322" s="3438"/>
      <c r="G322" s="3438"/>
      <c r="H322" s="3438"/>
    </row>
    <row r="323" spans="1:8" ht="15">
      <c r="A323" s="3439" t="s">
        <v>1844</v>
      </c>
      <c r="B323" s="3438"/>
      <c r="C323" s="3438"/>
      <c r="D323" s="3438"/>
      <c r="E323" s="3438"/>
      <c r="F323" s="3438"/>
      <c r="G323" s="3438"/>
      <c r="H323" s="3438"/>
    </row>
    <row r="324" spans="1:8" ht="15">
      <c r="A324" s="3439" t="s">
        <v>1845</v>
      </c>
      <c r="B324" s="3438"/>
      <c r="C324" s="3438"/>
      <c r="D324" s="3438"/>
      <c r="E324" s="3438"/>
      <c r="F324" s="3438"/>
      <c r="G324" s="3438"/>
      <c r="H324" s="3438"/>
    </row>
    <row r="325" spans="1:8" ht="15">
      <c r="A325" s="3439" t="s">
        <v>1846</v>
      </c>
      <c r="B325" s="3438"/>
      <c r="C325" s="3438"/>
      <c r="D325" s="3438"/>
      <c r="E325" s="3438"/>
      <c r="F325" s="3438"/>
      <c r="G325" s="3438"/>
      <c r="H325" s="3438"/>
    </row>
    <row r="326" spans="1:8" ht="15">
      <c r="A326" s="3439" t="s">
        <v>1847</v>
      </c>
      <c r="B326" s="3438"/>
      <c r="C326" s="3438"/>
      <c r="D326" s="3438"/>
      <c r="E326" s="3438"/>
      <c r="F326" s="3438"/>
      <c r="G326" s="3438"/>
      <c r="H326" s="3438"/>
    </row>
    <row r="327" spans="1:8" ht="15">
      <c r="A327" s="3438"/>
      <c r="B327" s="3438"/>
      <c r="C327" s="3438"/>
      <c r="D327" s="3438"/>
      <c r="E327" s="3438"/>
      <c r="F327" s="3438"/>
      <c r="G327" s="3438"/>
      <c r="H327" s="3438"/>
    </row>
    <row r="328" spans="1:8" ht="15">
      <c r="A328" s="3439" t="s">
        <v>1827</v>
      </c>
      <c r="B328" s="3438"/>
      <c r="C328" s="3438"/>
      <c r="D328" s="3438"/>
      <c r="E328" s="3438"/>
      <c r="F328" s="3438"/>
      <c r="G328" s="3438"/>
      <c r="H328" s="3438"/>
    </row>
    <row r="329" spans="1:8" ht="15">
      <c r="A329" s="3439" t="s">
        <v>1828</v>
      </c>
      <c r="B329" s="3438"/>
      <c r="C329" s="3438"/>
      <c r="D329" s="3438"/>
      <c r="E329" s="3438"/>
      <c r="F329" s="3438"/>
      <c r="G329" s="3438"/>
      <c r="H329" s="3438"/>
    </row>
    <row r="330" spans="1:8" ht="15">
      <c r="A330" s="3439" t="s">
        <v>1829</v>
      </c>
      <c r="B330" s="3438"/>
      <c r="C330" s="3438"/>
      <c r="D330" s="3438"/>
      <c r="E330" s="3438"/>
      <c r="F330" s="3438"/>
      <c r="G330" s="3438"/>
      <c r="H330" s="3438"/>
    </row>
    <row r="331" spans="1:8" ht="15">
      <c r="A331" s="3439" t="s">
        <v>1830</v>
      </c>
      <c r="B331" s="3438"/>
      <c r="C331" s="3438"/>
      <c r="D331" s="3438"/>
      <c r="E331" s="3438"/>
      <c r="F331" s="3438"/>
      <c r="G331" s="3438"/>
      <c r="H331" s="3438"/>
    </row>
    <row r="332" spans="1:8" ht="15">
      <c r="A332" s="3439" t="s">
        <v>1831</v>
      </c>
      <c r="B332" s="3438"/>
      <c r="C332" s="3438"/>
      <c r="D332" s="3438"/>
      <c r="E332" s="3438"/>
      <c r="F332" s="3438"/>
      <c r="G332" s="3438"/>
      <c r="H332" s="3438"/>
    </row>
    <row r="333" spans="1:8" ht="15">
      <c r="A333" s="3439" t="s">
        <v>1832</v>
      </c>
      <c r="B333" s="3438"/>
      <c r="C333" s="3438"/>
      <c r="D333" s="3438"/>
      <c r="E333" s="3438"/>
      <c r="F333" s="3438"/>
      <c r="G333" s="3438"/>
      <c r="H333" s="3438"/>
    </row>
    <row r="334" spans="1:8" ht="15">
      <c r="A334" s="3439" t="s">
        <v>1833</v>
      </c>
      <c r="B334" s="3438"/>
      <c r="C334" s="3438"/>
      <c r="D334" s="3438"/>
      <c r="E334" s="3438"/>
      <c r="F334" s="3438"/>
      <c r="G334" s="3438"/>
      <c r="H334" s="3438"/>
    </row>
    <row r="335" spans="1:8" ht="15">
      <c r="A335" s="3439" t="s">
        <v>1834</v>
      </c>
      <c r="B335" s="3438"/>
      <c r="C335" s="3438"/>
      <c r="D335" s="3438"/>
      <c r="E335" s="3438"/>
      <c r="F335" s="3438"/>
      <c r="G335" s="3438"/>
      <c r="H335" s="3438"/>
    </row>
    <row r="336" spans="1:8" ht="15">
      <c r="A336" s="3438"/>
      <c r="B336" s="3438"/>
      <c r="C336" s="3438"/>
      <c r="D336" s="3438"/>
      <c r="E336" s="3438"/>
      <c r="F336" s="3438"/>
      <c r="G336" s="3438"/>
      <c r="H336" s="3438"/>
    </row>
    <row r="337" spans="1:8" ht="15">
      <c r="A337" s="3439" t="s">
        <v>1792</v>
      </c>
      <c r="B337" s="3438"/>
      <c r="C337" s="3438"/>
      <c r="D337" s="3438"/>
      <c r="E337" s="3438"/>
      <c r="F337" s="3438"/>
      <c r="G337" s="3438"/>
      <c r="H337" s="3438"/>
    </row>
    <row r="338" spans="1:8" ht="15">
      <c r="A338" s="3439" t="s">
        <v>1793</v>
      </c>
      <c r="B338" s="3438"/>
      <c r="C338" s="3438"/>
      <c r="D338" s="3438"/>
      <c r="E338" s="3438"/>
      <c r="F338" s="3438"/>
      <c r="G338" s="3438"/>
      <c r="H338" s="3438"/>
    </row>
    <row r="339" spans="1:8" ht="15">
      <c r="A339" s="3439" t="s">
        <v>1794</v>
      </c>
      <c r="B339" s="3438"/>
      <c r="C339" s="3438"/>
      <c r="D339" s="3438"/>
      <c r="E339" s="3438"/>
      <c r="F339" s="3438"/>
      <c r="G339" s="3438"/>
      <c r="H339" s="3438"/>
    </row>
    <row r="340" spans="1:8" ht="15">
      <c r="A340" s="3439" t="s">
        <v>1795</v>
      </c>
      <c r="B340" s="3438"/>
      <c r="C340" s="3438"/>
      <c r="D340" s="3438"/>
      <c r="E340" s="3438"/>
      <c r="F340" s="3438"/>
      <c r="G340" s="3438"/>
      <c r="H340" s="3438"/>
    </row>
    <row r="341" spans="1:8" ht="15">
      <c r="A341" s="3439" t="s">
        <v>1796</v>
      </c>
      <c r="B341" s="3438"/>
      <c r="C341" s="3438"/>
      <c r="D341" s="3438"/>
      <c r="E341" s="3438"/>
      <c r="F341" s="3438"/>
      <c r="G341" s="3438"/>
      <c r="H341" s="3438"/>
    </row>
    <row r="342" spans="1:8" ht="15">
      <c r="A342" s="3439" t="s">
        <v>1797</v>
      </c>
      <c r="B342" s="3438"/>
      <c r="C342" s="3438"/>
      <c r="D342" s="3438"/>
      <c r="E342" s="3438"/>
      <c r="F342" s="3438"/>
      <c r="G342" s="3438"/>
      <c r="H342" s="3438"/>
    </row>
    <row r="343" spans="1:8" ht="15">
      <c r="A343" s="3439" t="s">
        <v>1798</v>
      </c>
      <c r="B343" s="3438"/>
      <c r="C343" s="3438"/>
      <c r="D343" s="3438"/>
      <c r="E343" s="3438"/>
      <c r="F343" s="3438"/>
      <c r="G343" s="3438"/>
      <c r="H343" s="3438"/>
    </row>
    <row r="344" spans="1:8" ht="15">
      <c r="A344" s="3439" t="s">
        <v>1799</v>
      </c>
      <c r="B344" s="3438"/>
      <c r="C344" s="3438"/>
      <c r="D344" s="3438"/>
      <c r="E344" s="3438"/>
      <c r="F344" s="3438"/>
      <c r="G344" s="3438"/>
      <c r="H344" s="3438"/>
    </row>
    <row r="345" spans="1:8" ht="15">
      <c r="A345" s="3439" t="s">
        <v>1800</v>
      </c>
      <c r="B345" s="3438"/>
      <c r="C345" s="3438"/>
      <c r="D345" s="3438"/>
      <c r="E345" s="3438"/>
      <c r="F345" s="3438"/>
      <c r="G345" s="3438"/>
      <c r="H345" s="3438"/>
    </row>
    <row r="346" spans="1:8" ht="15">
      <c r="A346" s="3439" t="s">
        <v>1801</v>
      </c>
      <c r="B346" s="3438"/>
      <c r="C346" s="3438"/>
      <c r="D346" s="3438"/>
      <c r="E346" s="3438"/>
      <c r="F346" s="3438"/>
      <c r="G346" s="3438"/>
      <c r="H346" s="3438"/>
    </row>
    <row r="347" spans="1:8" ht="15">
      <c r="A347" s="3439" t="s">
        <v>1802</v>
      </c>
      <c r="B347" s="3438"/>
      <c r="C347" s="3438"/>
      <c r="D347" s="3438"/>
      <c r="E347" s="3438"/>
      <c r="F347" s="3438"/>
      <c r="G347" s="3438"/>
      <c r="H347" s="3438"/>
    </row>
    <row r="348" spans="1:8" ht="15">
      <c r="A348" s="3439" t="s">
        <v>1803</v>
      </c>
      <c r="B348" s="3438"/>
      <c r="C348" s="3438"/>
      <c r="D348" s="3438"/>
      <c r="E348" s="3438"/>
      <c r="F348" s="3438"/>
      <c r="G348" s="3438"/>
      <c r="H348" s="3438"/>
    </row>
    <row r="349" spans="1:8" ht="15">
      <c r="A349" s="3439" t="s">
        <v>1804</v>
      </c>
      <c r="B349" s="3438"/>
      <c r="C349" s="3438"/>
      <c r="D349" s="3438"/>
      <c r="E349" s="3438"/>
      <c r="F349" s="3438"/>
      <c r="G349" s="3438"/>
      <c r="H349" s="3438"/>
    </row>
    <row r="350" spans="1:8" ht="15">
      <c r="A350" s="3439" t="s">
        <v>1805</v>
      </c>
      <c r="B350" s="3438"/>
      <c r="C350" s="3438"/>
      <c r="D350" s="3438"/>
      <c r="E350" s="3438"/>
      <c r="F350" s="3438"/>
      <c r="G350" s="3438"/>
      <c r="H350" s="3438"/>
    </row>
    <row r="351" spans="1:8" ht="15">
      <c r="A351" s="3439" t="s">
        <v>1806</v>
      </c>
      <c r="B351" s="3438"/>
      <c r="C351" s="3438"/>
      <c r="D351" s="3438"/>
      <c r="E351" s="3438"/>
      <c r="F351" s="3438"/>
      <c r="G351" s="3438"/>
      <c r="H351" s="3438"/>
    </row>
    <row r="352" spans="1:8" ht="15">
      <c r="A352" s="3439" t="s">
        <v>1807</v>
      </c>
      <c r="B352" s="3438"/>
      <c r="C352" s="3438"/>
      <c r="D352" s="3438"/>
      <c r="E352" s="3438"/>
      <c r="F352" s="3438"/>
      <c r="G352" s="3438"/>
      <c r="H352" s="3438"/>
    </row>
    <row r="353" spans="1:8" ht="15">
      <c r="A353" s="3439" t="s">
        <v>1808</v>
      </c>
      <c r="B353" s="3438"/>
      <c r="C353" s="3438"/>
      <c r="D353" s="3438"/>
      <c r="E353" s="3438"/>
      <c r="F353" s="3438"/>
      <c r="G353" s="3438"/>
      <c r="H353" s="3438"/>
    </row>
    <row r="354" spans="1:8" ht="15">
      <c r="A354" s="3439" t="s">
        <v>1809</v>
      </c>
      <c r="B354" s="3438"/>
      <c r="C354" s="3438"/>
      <c r="D354" s="3438"/>
      <c r="E354" s="3438"/>
      <c r="F354" s="3438"/>
      <c r="G354" s="3438"/>
      <c r="H354" s="3438"/>
    </row>
    <row r="355" spans="1:8" ht="15">
      <c r="A355" s="3439" t="s">
        <v>1810</v>
      </c>
      <c r="B355" s="3438"/>
      <c r="C355" s="3438"/>
      <c r="D355" s="3438"/>
      <c r="E355" s="3438"/>
      <c r="F355" s="3438"/>
      <c r="G355" s="3438"/>
      <c r="H355" s="3438"/>
    </row>
    <row r="356" spans="1:8" ht="15">
      <c r="A356" s="3439" t="s">
        <v>1811</v>
      </c>
      <c r="B356" s="3438"/>
      <c r="C356" s="3438"/>
      <c r="D356" s="3438"/>
      <c r="E356" s="3438"/>
      <c r="F356" s="3438"/>
      <c r="G356" s="3438"/>
      <c r="H356" s="3438"/>
    </row>
    <row r="357" spans="1:8" ht="15">
      <c r="A357" s="3439" t="s">
        <v>1812</v>
      </c>
      <c r="B357" s="3438"/>
      <c r="C357" s="3438"/>
      <c r="D357" s="3438"/>
      <c r="E357" s="3438"/>
      <c r="F357" s="3438"/>
      <c r="G357" s="3438"/>
      <c r="H357" s="3438"/>
    </row>
    <row r="358" spans="1:8" ht="15">
      <c r="A358" s="3439" t="s">
        <v>1813</v>
      </c>
      <c r="B358" s="3438"/>
      <c r="C358" s="3438"/>
      <c r="D358" s="3438"/>
      <c r="E358" s="3438"/>
      <c r="F358" s="3438"/>
      <c r="G358" s="3438"/>
      <c r="H358" s="3438"/>
    </row>
    <row r="359" spans="1:8" ht="15">
      <c r="A359" s="3439" t="s">
        <v>1814</v>
      </c>
      <c r="B359" s="3438"/>
      <c r="C359" s="3438"/>
      <c r="D359" s="3438"/>
      <c r="E359" s="3438"/>
      <c r="F359" s="3438"/>
      <c r="G359" s="3438"/>
      <c r="H359" s="3438"/>
    </row>
    <row r="360" spans="1:8" ht="15">
      <c r="A360" s="3439" t="s">
        <v>1815</v>
      </c>
      <c r="B360" s="3438"/>
      <c r="C360" s="3438"/>
      <c r="D360" s="3438"/>
      <c r="E360" s="3438"/>
      <c r="F360" s="3438"/>
      <c r="G360" s="3438"/>
      <c r="H360" s="3438"/>
    </row>
    <row r="361" spans="1:8" ht="15">
      <c r="A361" s="3439" t="s">
        <v>1816</v>
      </c>
      <c r="B361" s="3438"/>
      <c r="C361" s="3438"/>
      <c r="D361" s="3438"/>
      <c r="E361" s="3438"/>
      <c r="F361" s="3438"/>
      <c r="G361" s="3438"/>
      <c r="H361" s="3438"/>
    </row>
    <row r="362" spans="1:8" ht="15">
      <c r="A362" s="3439" t="s">
        <v>1817</v>
      </c>
      <c r="B362" s="3438"/>
      <c r="C362" s="3438"/>
      <c r="D362" s="3438"/>
      <c r="E362" s="3438"/>
      <c r="F362" s="3438"/>
      <c r="G362" s="3438"/>
      <c r="H362" s="3438"/>
    </row>
    <row r="363" spans="1:8" ht="15">
      <c r="A363" s="3439" t="s">
        <v>1818</v>
      </c>
      <c r="B363" s="3438"/>
      <c r="C363" s="3438"/>
      <c r="D363" s="3438"/>
      <c r="E363" s="3438"/>
      <c r="F363" s="3438"/>
      <c r="G363" s="3438"/>
      <c r="H363" s="3438"/>
    </row>
    <row r="364" spans="1:8" ht="15">
      <c r="A364" s="3439" t="s">
        <v>1819</v>
      </c>
      <c r="B364" s="3438"/>
      <c r="C364" s="3438"/>
      <c r="D364" s="3438"/>
      <c r="E364" s="3438"/>
      <c r="F364" s="3438"/>
      <c r="G364" s="3438"/>
      <c r="H364" s="3438"/>
    </row>
    <row r="365" spans="1:8" ht="15">
      <c r="A365" s="3439" t="s">
        <v>1820</v>
      </c>
      <c r="B365" s="3438"/>
      <c r="C365" s="3438"/>
      <c r="D365" s="3438"/>
      <c r="E365" s="3438"/>
      <c r="F365" s="3438"/>
      <c r="G365" s="3438"/>
      <c r="H365" s="3438"/>
    </row>
    <row r="366" spans="1:8" ht="15">
      <c r="A366" s="3439" t="s">
        <v>1821</v>
      </c>
      <c r="B366" s="3438"/>
      <c r="C366" s="3438"/>
      <c r="D366" s="3438"/>
      <c r="E366" s="3438"/>
      <c r="F366" s="3438"/>
      <c r="G366" s="3438"/>
      <c r="H366" s="3438"/>
    </row>
    <row r="367" spans="1:8" ht="15">
      <c r="A367" s="3439" t="s">
        <v>1822</v>
      </c>
      <c r="B367" s="3438"/>
      <c r="C367" s="3438"/>
      <c r="D367" s="3438"/>
      <c r="E367" s="3438"/>
      <c r="F367" s="3438"/>
      <c r="G367" s="3438"/>
      <c r="H367" s="3438"/>
    </row>
    <row r="368" spans="1:8" ht="15">
      <c r="A368" s="3439" t="s">
        <v>1823</v>
      </c>
      <c r="B368" s="3438"/>
      <c r="C368" s="3438"/>
      <c r="D368" s="3438"/>
      <c r="E368" s="3438"/>
      <c r="F368" s="3438"/>
      <c r="G368" s="3438"/>
      <c r="H368" s="3438"/>
    </row>
    <row r="369" spans="1:8" ht="15">
      <c r="A369" s="3439" t="s">
        <v>1824</v>
      </c>
      <c r="B369" s="3438"/>
      <c r="C369" s="3438"/>
      <c r="D369" s="3438"/>
      <c r="E369" s="3438"/>
      <c r="F369" s="3438"/>
      <c r="G369" s="3438"/>
      <c r="H369" s="3438"/>
    </row>
    <row r="370" spans="1:8" ht="15">
      <c r="A370" s="3439" t="s">
        <v>1825</v>
      </c>
      <c r="B370" s="3438"/>
      <c r="C370" s="3438"/>
      <c r="D370" s="3438"/>
      <c r="E370" s="3438"/>
      <c r="F370" s="3438"/>
      <c r="G370" s="3438"/>
      <c r="H370" s="3438"/>
    </row>
    <row r="371" spans="1:8" ht="15">
      <c r="A371" s="3439" t="s">
        <v>1826</v>
      </c>
      <c r="B371" s="3438"/>
      <c r="C371" s="3438"/>
      <c r="D371" s="3438"/>
      <c r="E371" s="3438"/>
      <c r="F371" s="3438"/>
      <c r="G371" s="3438"/>
      <c r="H371" s="3438"/>
    </row>
    <row r="372" spans="1:8" ht="15">
      <c r="A372" s="3438"/>
      <c r="B372" s="3438"/>
      <c r="C372" s="3438"/>
      <c r="D372" s="3438"/>
      <c r="E372" s="3438"/>
      <c r="F372" s="3438"/>
      <c r="G372" s="3438"/>
      <c r="H372" s="3438"/>
    </row>
    <row r="373" spans="1:8" ht="15">
      <c r="A373" s="3439" t="s">
        <v>1784</v>
      </c>
      <c r="B373" s="3438"/>
      <c r="C373" s="3438"/>
      <c r="D373" s="3438"/>
      <c r="E373" s="3438"/>
      <c r="F373" s="3438"/>
      <c r="G373" s="3438"/>
      <c r="H373" s="3438"/>
    </row>
    <row r="374" spans="1:8" ht="15">
      <c r="A374" s="3439" t="s">
        <v>1788</v>
      </c>
      <c r="B374" s="3438"/>
      <c r="C374" s="3438"/>
      <c r="D374" s="3438"/>
      <c r="E374" s="3438"/>
      <c r="F374" s="3438"/>
      <c r="G374" s="3438"/>
      <c r="H374" s="3438"/>
    </row>
    <row r="375" spans="1:8" ht="15">
      <c r="A375" s="3439" t="s">
        <v>1789</v>
      </c>
      <c r="B375" s="3438"/>
      <c r="C375" s="3438"/>
      <c r="D375" s="3438"/>
      <c r="E375" s="3438"/>
      <c r="F375" s="3438"/>
      <c r="G375" s="3438"/>
      <c r="H375" s="3438"/>
    </row>
    <row r="376" spans="1:8" ht="15">
      <c r="A376" s="3439" t="s">
        <v>1790</v>
      </c>
      <c r="B376" s="3438"/>
      <c r="C376" s="3438"/>
      <c r="D376" s="3438"/>
      <c r="E376" s="3438"/>
      <c r="F376" s="3438"/>
      <c r="G376" s="3438"/>
      <c r="H376" s="3438"/>
    </row>
    <row r="377" spans="1:8" ht="15">
      <c r="A377" s="3439" t="s">
        <v>1791</v>
      </c>
      <c r="B377" s="3438"/>
      <c r="C377" s="3438"/>
      <c r="D377" s="3438"/>
      <c r="E377" s="3438"/>
      <c r="F377" s="3438"/>
      <c r="G377" s="3438"/>
      <c r="H377" s="3438"/>
    </row>
    <row r="378" spans="1:8" ht="15">
      <c r="A378" s="3438"/>
      <c r="B378" s="3438"/>
      <c r="C378" s="3438"/>
      <c r="D378" s="3438"/>
      <c r="E378" s="3438"/>
      <c r="F378" s="3438"/>
      <c r="G378" s="3438"/>
      <c r="H378" s="3438"/>
    </row>
    <row r="379" spans="1:8" ht="15">
      <c r="A379" s="3439" t="s">
        <v>1784</v>
      </c>
      <c r="B379" s="3438"/>
      <c r="C379" s="3438"/>
      <c r="D379" s="3438"/>
      <c r="E379" s="3438"/>
      <c r="F379" s="3438"/>
      <c r="G379" s="3438"/>
      <c r="H379" s="3438"/>
    </row>
    <row r="380" spans="1:8" ht="15">
      <c r="A380" s="3439" t="s">
        <v>1785</v>
      </c>
      <c r="B380" s="3438"/>
      <c r="C380" s="3438"/>
      <c r="D380" s="3438"/>
      <c r="E380" s="3438"/>
      <c r="F380" s="3438"/>
      <c r="G380" s="3438"/>
      <c r="H380" s="3438"/>
    </row>
    <row r="381" spans="1:8" ht="15">
      <c r="A381" s="3439" t="s">
        <v>1786</v>
      </c>
      <c r="B381" s="3438"/>
      <c r="C381" s="3438"/>
      <c r="D381" s="3438"/>
      <c r="E381" s="3438"/>
      <c r="F381" s="3438"/>
      <c r="G381" s="3438"/>
      <c r="H381" s="3438"/>
    </row>
    <row r="382" spans="1:8" ht="15">
      <c r="A382" s="3439" t="s">
        <v>1787</v>
      </c>
      <c r="B382" s="3438"/>
      <c r="C382" s="3438"/>
      <c r="D382" s="3438"/>
      <c r="E382" s="3438"/>
      <c r="F382" s="3438"/>
      <c r="G382" s="3438"/>
      <c r="H382" s="3438"/>
    </row>
    <row r="383" spans="1:8" ht="15">
      <c r="A383" s="3438"/>
      <c r="B383" s="3438"/>
      <c r="C383" s="3438"/>
      <c r="D383" s="3438"/>
      <c r="E383" s="3438"/>
      <c r="F383" s="3438"/>
      <c r="G383" s="3438"/>
      <c r="H383" s="3438"/>
    </row>
    <row r="384" spans="1:8" ht="15">
      <c r="A384" s="3439" t="s">
        <v>1778</v>
      </c>
      <c r="B384" s="3438"/>
      <c r="C384" s="3438"/>
      <c r="D384" s="3438"/>
      <c r="E384" s="3438"/>
      <c r="F384" s="3438"/>
      <c r="G384" s="3438"/>
      <c r="H384" s="3438"/>
    </row>
    <row r="385" spans="1:8" ht="15">
      <c r="A385" s="3439" t="s">
        <v>1779</v>
      </c>
      <c r="B385" s="3438"/>
      <c r="C385" s="3438"/>
      <c r="D385" s="3438"/>
      <c r="E385" s="3438"/>
      <c r="F385" s="3438"/>
      <c r="G385" s="3438"/>
      <c r="H385" s="3438"/>
    </row>
    <row r="386" spans="1:8" ht="15">
      <c r="A386" s="3439" t="s">
        <v>1780</v>
      </c>
      <c r="B386" s="3438"/>
      <c r="C386" s="3438"/>
      <c r="D386" s="3438"/>
      <c r="E386" s="3438"/>
      <c r="F386" s="3438"/>
      <c r="G386" s="3438"/>
      <c r="H386" s="3438"/>
    </row>
    <row r="387" spans="1:8" ht="15">
      <c r="A387" s="3439" t="s">
        <v>1781</v>
      </c>
      <c r="B387" s="3438"/>
      <c r="C387" s="3438"/>
      <c r="D387" s="3438"/>
      <c r="E387" s="3438"/>
      <c r="F387" s="3438"/>
      <c r="G387" s="3438"/>
      <c r="H387" s="3438"/>
    </row>
    <row r="388" spans="1:8" ht="15">
      <c r="A388" s="3439" t="s">
        <v>1782</v>
      </c>
      <c r="B388" s="3438"/>
      <c r="C388" s="3438"/>
      <c r="D388" s="3438"/>
      <c r="E388" s="3438"/>
      <c r="F388" s="3438"/>
      <c r="G388" s="3438"/>
      <c r="H388" s="3438"/>
    </row>
    <row r="389" spans="1:8" ht="15">
      <c r="A389" s="3439" t="s">
        <v>1783</v>
      </c>
      <c r="B389" s="3438"/>
      <c r="C389" s="3438"/>
      <c r="D389" s="3438"/>
      <c r="E389" s="3438"/>
      <c r="F389" s="3438"/>
      <c r="G389" s="3438"/>
      <c r="H389" s="3438"/>
    </row>
    <row r="390" spans="1:8" ht="15">
      <c r="A390" s="3438"/>
      <c r="B390" s="3438"/>
      <c r="C390" s="3438"/>
      <c r="D390" s="3438"/>
      <c r="E390" s="3438"/>
      <c r="F390" s="3438"/>
      <c r="G390" s="3438"/>
      <c r="H390" s="3438"/>
    </row>
    <row r="391" spans="1:8" ht="15">
      <c r="A391" s="3439" t="s">
        <v>1773</v>
      </c>
      <c r="B391" s="3438"/>
      <c r="C391" s="3438"/>
      <c r="D391" s="3438"/>
      <c r="E391" s="3438"/>
      <c r="F391" s="3438"/>
      <c r="G391" s="3438"/>
      <c r="H391" s="3438"/>
    </row>
    <row r="392" spans="1:8" ht="15">
      <c r="A392" s="3439" t="s">
        <v>1774</v>
      </c>
      <c r="B392" s="3438"/>
      <c r="C392" s="3438"/>
      <c r="D392" s="3438"/>
      <c r="E392" s="3438"/>
      <c r="F392" s="3438"/>
      <c r="G392" s="3438"/>
      <c r="H392" s="3438"/>
    </row>
    <row r="393" spans="1:8" ht="15">
      <c r="A393" s="3439" t="s">
        <v>1775</v>
      </c>
      <c r="B393" s="3438"/>
      <c r="C393" s="3438"/>
      <c r="D393" s="3438"/>
      <c r="E393" s="3438"/>
      <c r="F393" s="3438"/>
      <c r="G393" s="3438"/>
      <c r="H393" s="3438"/>
    </row>
    <row r="394" spans="1:8" ht="15">
      <c r="A394" s="3439" t="s">
        <v>1776</v>
      </c>
      <c r="B394" s="3438"/>
      <c r="C394" s="3438"/>
      <c r="D394" s="3438"/>
      <c r="E394" s="3438"/>
      <c r="F394" s="3438"/>
      <c r="G394" s="3438"/>
      <c r="H394" s="3438"/>
    </row>
    <row r="395" spans="1:8" ht="15">
      <c r="A395" s="3439" t="s">
        <v>1777</v>
      </c>
      <c r="B395" s="3438"/>
      <c r="C395" s="3438"/>
      <c r="D395" s="3438"/>
      <c r="E395" s="3438"/>
      <c r="F395" s="3438"/>
      <c r="G395" s="3438"/>
      <c r="H395" s="3438"/>
    </row>
    <row r="396" spans="1:8" ht="15">
      <c r="A396" s="3438"/>
      <c r="B396" s="3438"/>
      <c r="C396" s="3438"/>
      <c r="D396" s="3438"/>
      <c r="E396" s="3438"/>
      <c r="F396" s="3438"/>
      <c r="G396" s="3438"/>
      <c r="H396" s="3438"/>
    </row>
    <row r="397" spans="1:8" ht="15">
      <c r="A397" s="3439" t="s">
        <v>1771</v>
      </c>
      <c r="B397" s="3438"/>
      <c r="C397" s="3438"/>
      <c r="D397" s="3438"/>
      <c r="E397" s="3438"/>
      <c r="F397" s="3438"/>
      <c r="G397" s="3438"/>
      <c r="H397" s="3438"/>
    </row>
    <row r="398" spans="1:8" ht="15">
      <c r="A398" s="3439" t="s">
        <v>1772</v>
      </c>
      <c r="B398" s="3438"/>
      <c r="C398" s="3438"/>
      <c r="D398" s="3438"/>
      <c r="E398" s="3438"/>
      <c r="F398" s="3438"/>
      <c r="G398" s="3438"/>
      <c r="H398" s="3438"/>
    </row>
    <row r="400" spans="1:8">
      <c r="A400" s="3434" t="s">
        <v>2033</v>
      </c>
    </row>
  </sheetData>
  <mergeCells count="12">
    <mergeCell ref="A123:H123"/>
    <mergeCell ref="A130:H130"/>
    <mergeCell ref="A117:H117"/>
    <mergeCell ref="A118:H118"/>
    <mergeCell ref="A119:H119"/>
    <mergeCell ref="A120:H120"/>
    <mergeCell ref="A122:H122"/>
    <mergeCell ref="A138:H138"/>
    <mergeCell ref="A139:H139"/>
    <mergeCell ref="B131:C131"/>
    <mergeCell ref="D131:F131"/>
    <mergeCell ref="G131:H131"/>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B11"/>
  <sheetViews>
    <sheetView showGridLines="0" showRowColHeaders="0" workbookViewId="0">
      <selection activeCell="N1" sqref="N1"/>
    </sheetView>
  </sheetViews>
  <sheetFormatPr defaultRowHeight="12.75"/>
  <cols>
    <col min="1" max="1" width="8.88671875" style="3431"/>
    <col min="2" max="2" width="68.6640625" style="3431" customWidth="1"/>
    <col min="3" max="257" width="8.88671875" style="3431"/>
    <col min="258" max="258" width="68.6640625" style="3431" customWidth="1"/>
    <col min="259" max="513" width="8.88671875" style="3431"/>
    <col min="514" max="514" width="68.6640625" style="3431" customWidth="1"/>
    <col min="515" max="769" width="8.88671875" style="3431"/>
    <col min="770" max="770" width="68.6640625" style="3431" customWidth="1"/>
    <col min="771" max="1025" width="8.88671875" style="3431"/>
    <col min="1026" max="1026" width="68.6640625" style="3431" customWidth="1"/>
    <col min="1027" max="1281" width="8.88671875" style="3431"/>
    <col min="1282" max="1282" width="68.6640625" style="3431" customWidth="1"/>
    <col min="1283" max="1537" width="8.88671875" style="3431"/>
    <col min="1538" max="1538" width="68.6640625" style="3431" customWidth="1"/>
    <col min="1539" max="1793" width="8.88671875" style="3431"/>
    <col min="1794" max="1794" width="68.6640625" style="3431" customWidth="1"/>
    <col min="1795" max="2049" width="8.88671875" style="3431"/>
    <col min="2050" max="2050" width="68.6640625" style="3431" customWidth="1"/>
    <col min="2051" max="2305" width="8.88671875" style="3431"/>
    <col min="2306" max="2306" width="68.6640625" style="3431" customWidth="1"/>
    <col min="2307" max="2561" width="8.88671875" style="3431"/>
    <col min="2562" max="2562" width="68.6640625" style="3431" customWidth="1"/>
    <col min="2563" max="2817" width="8.88671875" style="3431"/>
    <col min="2818" max="2818" width="68.6640625" style="3431" customWidth="1"/>
    <col min="2819" max="3073" width="8.88671875" style="3431"/>
    <col min="3074" max="3074" width="68.6640625" style="3431" customWidth="1"/>
    <col min="3075" max="3329" width="8.88671875" style="3431"/>
    <col min="3330" max="3330" width="68.6640625" style="3431" customWidth="1"/>
    <col min="3331" max="3585" width="8.88671875" style="3431"/>
    <col min="3586" max="3586" width="68.6640625" style="3431" customWidth="1"/>
    <col min="3587" max="3841" width="8.88671875" style="3431"/>
    <col min="3842" max="3842" width="68.6640625" style="3431" customWidth="1"/>
    <col min="3843" max="4097" width="8.88671875" style="3431"/>
    <col min="4098" max="4098" width="68.6640625" style="3431" customWidth="1"/>
    <col min="4099" max="4353" width="8.88671875" style="3431"/>
    <col min="4354" max="4354" width="68.6640625" style="3431" customWidth="1"/>
    <col min="4355" max="4609" width="8.88671875" style="3431"/>
    <col min="4610" max="4610" width="68.6640625" style="3431" customWidth="1"/>
    <col min="4611" max="4865" width="8.88671875" style="3431"/>
    <col min="4866" max="4866" width="68.6640625" style="3431" customWidth="1"/>
    <col min="4867" max="5121" width="8.88671875" style="3431"/>
    <col min="5122" max="5122" width="68.6640625" style="3431" customWidth="1"/>
    <col min="5123" max="5377" width="8.88671875" style="3431"/>
    <col min="5378" max="5378" width="68.6640625" style="3431" customWidth="1"/>
    <col min="5379" max="5633" width="8.88671875" style="3431"/>
    <col min="5634" max="5634" width="68.6640625" style="3431" customWidth="1"/>
    <col min="5635" max="5889" width="8.88671875" style="3431"/>
    <col min="5890" max="5890" width="68.6640625" style="3431" customWidth="1"/>
    <col min="5891" max="6145" width="8.88671875" style="3431"/>
    <col min="6146" max="6146" width="68.6640625" style="3431" customWidth="1"/>
    <col min="6147" max="6401" width="8.88671875" style="3431"/>
    <col min="6402" max="6402" width="68.6640625" style="3431" customWidth="1"/>
    <col min="6403" max="6657" width="8.88671875" style="3431"/>
    <col min="6658" max="6658" width="68.6640625" style="3431" customWidth="1"/>
    <col min="6659" max="6913" width="8.88671875" style="3431"/>
    <col min="6914" max="6914" width="68.6640625" style="3431" customWidth="1"/>
    <col min="6915" max="7169" width="8.88671875" style="3431"/>
    <col min="7170" max="7170" width="68.6640625" style="3431" customWidth="1"/>
    <col min="7171" max="7425" width="8.88671875" style="3431"/>
    <col min="7426" max="7426" width="68.6640625" style="3431" customWidth="1"/>
    <col min="7427" max="7681" width="8.88671875" style="3431"/>
    <col min="7682" max="7682" width="68.6640625" style="3431" customWidth="1"/>
    <col min="7683" max="7937" width="8.88671875" style="3431"/>
    <col min="7938" max="7938" width="68.6640625" style="3431" customWidth="1"/>
    <col min="7939" max="8193" width="8.88671875" style="3431"/>
    <col min="8194" max="8194" width="68.6640625" style="3431" customWidth="1"/>
    <col min="8195" max="8449" width="8.88671875" style="3431"/>
    <col min="8450" max="8450" width="68.6640625" style="3431" customWidth="1"/>
    <col min="8451" max="8705" width="8.88671875" style="3431"/>
    <col min="8706" max="8706" width="68.6640625" style="3431" customWidth="1"/>
    <col min="8707" max="8961" width="8.88671875" style="3431"/>
    <col min="8962" max="8962" width="68.6640625" style="3431" customWidth="1"/>
    <col min="8963" max="9217" width="8.88671875" style="3431"/>
    <col min="9218" max="9218" width="68.6640625" style="3431" customWidth="1"/>
    <col min="9219" max="9473" width="8.88671875" style="3431"/>
    <col min="9474" max="9474" width="68.6640625" style="3431" customWidth="1"/>
    <col min="9475" max="9729" width="8.88671875" style="3431"/>
    <col min="9730" max="9730" width="68.6640625" style="3431" customWidth="1"/>
    <col min="9731" max="9985" width="8.88671875" style="3431"/>
    <col min="9986" max="9986" width="68.6640625" style="3431" customWidth="1"/>
    <col min="9987" max="10241" width="8.88671875" style="3431"/>
    <col min="10242" max="10242" width="68.6640625" style="3431" customWidth="1"/>
    <col min="10243" max="10497" width="8.88671875" style="3431"/>
    <col min="10498" max="10498" width="68.6640625" style="3431" customWidth="1"/>
    <col min="10499" max="10753" width="8.88671875" style="3431"/>
    <col min="10754" max="10754" width="68.6640625" style="3431" customWidth="1"/>
    <col min="10755" max="11009" width="8.88671875" style="3431"/>
    <col min="11010" max="11010" width="68.6640625" style="3431" customWidth="1"/>
    <col min="11011" max="11265" width="8.88671875" style="3431"/>
    <col min="11266" max="11266" width="68.6640625" style="3431" customWidth="1"/>
    <col min="11267" max="11521" width="8.88671875" style="3431"/>
    <col min="11522" max="11522" width="68.6640625" style="3431" customWidth="1"/>
    <col min="11523" max="11777" width="8.88671875" style="3431"/>
    <col min="11778" max="11778" width="68.6640625" style="3431" customWidth="1"/>
    <col min="11779" max="12033" width="8.88671875" style="3431"/>
    <col min="12034" max="12034" width="68.6640625" style="3431" customWidth="1"/>
    <col min="12035" max="12289" width="8.88671875" style="3431"/>
    <col min="12290" max="12290" width="68.6640625" style="3431" customWidth="1"/>
    <col min="12291" max="12545" width="8.88671875" style="3431"/>
    <col min="12546" max="12546" width="68.6640625" style="3431" customWidth="1"/>
    <col min="12547" max="12801" width="8.88671875" style="3431"/>
    <col min="12802" max="12802" width="68.6640625" style="3431" customWidth="1"/>
    <col min="12803" max="13057" width="8.88671875" style="3431"/>
    <col min="13058" max="13058" width="68.6640625" style="3431" customWidth="1"/>
    <col min="13059" max="13313" width="8.88671875" style="3431"/>
    <col min="13314" max="13314" width="68.6640625" style="3431" customWidth="1"/>
    <col min="13315" max="13569" width="8.88671875" style="3431"/>
    <col min="13570" max="13570" width="68.6640625" style="3431" customWidth="1"/>
    <col min="13571" max="13825" width="8.88671875" style="3431"/>
    <col min="13826" max="13826" width="68.6640625" style="3431" customWidth="1"/>
    <col min="13827" max="14081" width="8.88671875" style="3431"/>
    <col min="14082" max="14082" width="68.6640625" style="3431" customWidth="1"/>
    <col min="14083" max="14337" width="8.88671875" style="3431"/>
    <col min="14338" max="14338" width="68.6640625" style="3431" customWidth="1"/>
    <col min="14339" max="14593" width="8.88671875" style="3431"/>
    <col min="14594" max="14594" width="68.6640625" style="3431" customWidth="1"/>
    <col min="14595" max="14849" width="8.88671875" style="3431"/>
    <col min="14850" max="14850" width="68.6640625" style="3431" customWidth="1"/>
    <col min="14851" max="15105" width="8.88671875" style="3431"/>
    <col min="15106" max="15106" width="68.6640625" style="3431" customWidth="1"/>
    <col min="15107" max="15361" width="8.88671875" style="3431"/>
    <col min="15362" max="15362" width="68.6640625" style="3431" customWidth="1"/>
    <col min="15363" max="15617" width="8.88671875" style="3431"/>
    <col min="15618" max="15618" width="68.6640625" style="3431" customWidth="1"/>
    <col min="15619" max="15873" width="8.88671875" style="3431"/>
    <col min="15874" max="15874" width="68.6640625" style="3431" customWidth="1"/>
    <col min="15875" max="16129" width="8.88671875" style="3431"/>
    <col min="16130" max="16130" width="68.6640625" style="3431" customWidth="1"/>
    <col min="16131" max="16384" width="8.88671875" style="3431"/>
  </cols>
  <sheetData>
    <row r="1" spans="2:2" ht="32.25" customHeight="1"/>
    <row r="2" spans="2:2" ht="72" hidden="1">
      <c r="B2" s="3450" t="s">
        <v>2103</v>
      </c>
    </row>
    <row r="3" spans="2:2" ht="72">
      <c r="B3" s="3450" t="s">
        <v>2104</v>
      </c>
    </row>
    <row r="4" spans="2:2" ht="18" hidden="1">
      <c r="B4" s="3450"/>
    </row>
    <row r="5" spans="2:2" ht="54" hidden="1">
      <c r="B5" s="3450" t="s">
        <v>2105</v>
      </c>
    </row>
    <row r="6" spans="2:2" ht="7.5" customHeight="1">
      <c r="B6" s="3450"/>
    </row>
    <row r="7" spans="2:2" ht="18">
      <c r="B7" s="3451" t="s">
        <v>2106</v>
      </c>
    </row>
    <row r="8" spans="2:2" ht="18">
      <c r="B8" s="3451" t="s">
        <v>2108</v>
      </c>
    </row>
    <row r="9" spans="2:2" ht="18">
      <c r="B9" s="3451" t="s">
        <v>2109</v>
      </c>
    </row>
    <row r="10" spans="2:2" ht="18">
      <c r="B10" s="3452"/>
    </row>
    <row r="11" spans="2:2" ht="36">
      <c r="B11" s="3453" t="s">
        <v>2107</v>
      </c>
    </row>
  </sheetData>
  <dataConsolidate/>
  <pageMargins left="0.75" right="0.75" top="1" bottom="1" header="0.5" footer="0.5"/>
  <pageSetup orientation="portrait" horizont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indexed="60"/>
    <pageSetUpPr fitToPage="1"/>
  </sheetPr>
  <dimension ref="A2:BJ65536"/>
  <sheetViews>
    <sheetView showGridLines="0" workbookViewId="0">
      <selection activeCell="K24" sqref="K24"/>
    </sheetView>
  </sheetViews>
  <sheetFormatPr defaultColWidth="7.5546875" defaultRowHeight="11.25" outlineLevelRow="1"/>
  <cols>
    <col min="1" max="1" width="1.5546875" style="801" customWidth="1"/>
    <col min="2" max="5" width="7.5546875" style="801" bestFit="1" customWidth="1"/>
    <col min="6" max="6" width="1.5546875" style="801" customWidth="1"/>
    <col min="7" max="7" width="24" style="801" bestFit="1" customWidth="1"/>
    <col min="8" max="12" width="7.5546875" style="801" customWidth="1"/>
    <col min="13" max="19" width="7.5546875" style="824" customWidth="1"/>
    <col min="20" max="20" width="1.5546875" style="801" customWidth="1"/>
    <col min="21" max="21" width="8.88671875" style="801" bestFit="1" customWidth="1"/>
    <col min="22" max="22" width="8.33203125" style="801" bestFit="1" customWidth="1"/>
    <col min="23" max="26" width="7.5546875" style="801" bestFit="1" customWidth="1"/>
    <col min="27" max="27" width="1.5546875" style="801" customWidth="1"/>
    <col min="28" max="261" width="7.5546875" style="801" bestFit="1" customWidth="1"/>
    <col min="262" max="16384" width="7.5546875" style="801"/>
  </cols>
  <sheetData>
    <row r="2" spans="1:20">
      <c r="B2" s="801" t="s">
        <v>25</v>
      </c>
      <c r="H2" s="976" t="s">
        <v>26</v>
      </c>
      <c r="I2" s="1029">
        <v>1</v>
      </c>
      <c r="J2" s="809"/>
    </row>
    <row r="3" spans="1:20">
      <c r="B3" s="1" t="s">
        <v>49</v>
      </c>
      <c r="H3" s="807" t="s">
        <v>1092</v>
      </c>
      <c r="I3" s="805" t="s">
        <v>1094</v>
      </c>
      <c r="J3" s="806" t="s">
        <v>1095</v>
      </c>
    </row>
    <row r="5" spans="1:20">
      <c r="B5" s="977" t="s">
        <v>27</v>
      </c>
      <c r="C5" s="978"/>
      <c r="D5" s="978"/>
      <c r="E5" s="3072">
        <f>+BS!DU13</f>
        <v>2079</v>
      </c>
      <c r="G5" s="988" t="s">
        <v>28</v>
      </c>
      <c r="H5" s="1791">
        <v>2014</v>
      </c>
      <c r="I5" s="1791">
        <f>H5+1</f>
        <v>2015</v>
      </c>
      <c r="J5" s="989">
        <f>I5+1</f>
        <v>2016</v>
      </c>
      <c r="K5" s="989">
        <f>J5+1</f>
        <v>2017</v>
      </c>
      <c r="L5" s="989">
        <f>K5+1</f>
        <v>2018</v>
      </c>
      <c r="M5" s="989">
        <f>L5+1</f>
        <v>2019</v>
      </c>
      <c r="N5" s="989">
        <f t="shared" ref="N5:S5" si="0">M5+1</f>
        <v>2020</v>
      </c>
      <c r="O5" s="989">
        <f t="shared" si="0"/>
        <v>2021</v>
      </c>
      <c r="P5" s="989">
        <f t="shared" si="0"/>
        <v>2022</v>
      </c>
      <c r="Q5" s="989">
        <f t="shared" si="0"/>
        <v>2023</v>
      </c>
      <c r="R5" s="989">
        <f t="shared" si="0"/>
        <v>2024</v>
      </c>
      <c r="S5" s="990">
        <f t="shared" si="0"/>
        <v>2025</v>
      </c>
    </row>
    <row r="6" spans="1:20">
      <c r="A6" s="812"/>
      <c r="B6" s="979" t="s">
        <v>29</v>
      </c>
      <c r="C6" s="932"/>
      <c r="D6" s="932"/>
      <c r="E6" s="2978">
        <f>+BS!DU82+'Pension - NEW'!P37*(1-E16)+'OPEB - NEW'!P37*(1-E16)*(0.5)-BS!DU26+BS!DU60</f>
        <v>130201.465</v>
      </c>
      <c r="F6" s="812"/>
      <c r="G6" s="979"/>
      <c r="H6" s="932"/>
      <c r="I6" s="932"/>
      <c r="J6" s="932"/>
      <c r="K6" s="932"/>
      <c r="L6" s="932"/>
      <c r="M6" s="932"/>
      <c r="N6" s="932"/>
      <c r="O6" s="932"/>
      <c r="P6" s="932"/>
      <c r="Q6" s="932"/>
      <c r="R6" s="932"/>
      <c r="S6" s="980"/>
      <c r="T6" s="812"/>
    </row>
    <row r="7" spans="1:20">
      <c r="A7" s="812"/>
      <c r="B7" s="979" t="s">
        <v>1289</v>
      </c>
      <c r="C7" s="932"/>
      <c r="D7" s="932"/>
      <c r="E7" s="1004">
        <f>+E6-E5</f>
        <v>128122.465</v>
      </c>
      <c r="F7" s="812"/>
      <c r="G7" s="979" t="s">
        <v>184</v>
      </c>
      <c r="H7" s="2180">
        <f>IS!V$35</f>
        <v>126823</v>
      </c>
      <c r="I7" s="2180">
        <f>IS!W$35</f>
        <v>129421</v>
      </c>
      <c r="J7" s="2180">
        <f>IS!X$35</f>
        <v>125455</v>
      </c>
      <c r="K7" s="2180">
        <f>IS!Y$35</f>
        <v>126034</v>
      </c>
      <c r="L7" s="2180">
        <f ca="1">IS!Z$35</f>
        <v>128945.31879471819</v>
      </c>
      <c r="M7" s="2180">
        <f ca="1">IS!AA$35</f>
        <v>129036.01034932715</v>
      </c>
      <c r="N7" s="2180">
        <f ca="1">IS!AB$35</f>
        <v>129652.72091749887</v>
      </c>
      <c r="O7" s="2180">
        <f ca="1">IS!AC$35</f>
        <v>130340.59590822672</v>
      </c>
      <c r="P7" s="2180">
        <f ca="1">IS!AD$35</f>
        <v>131092.23550873241</v>
      </c>
      <c r="Q7" s="2180">
        <f ca="1">IS!AE$35</f>
        <v>131915.06975558677</v>
      </c>
      <c r="R7" s="2180">
        <f ca="1">IS!AF$35</f>
        <v>132822.86191099716</v>
      </c>
      <c r="S7" s="2181">
        <f ca="1">IS!AG$35</f>
        <v>133831.94341344427</v>
      </c>
      <c r="T7" s="812"/>
    </row>
    <row r="8" spans="1:20">
      <c r="A8" s="812"/>
      <c r="B8" s="979" t="s">
        <v>1110</v>
      </c>
      <c r="C8" s="932"/>
      <c r="D8" s="932"/>
      <c r="E8" s="995">
        <v>48.65</v>
      </c>
      <c r="F8" s="812"/>
      <c r="G8" s="1001" t="s">
        <v>1453</v>
      </c>
      <c r="H8" s="3153">
        <f>IS!V$36</f>
        <v>5.7290060107877405E-2</v>
      </c>
      <c r="I8" s="3153">
        <f>IS!W$36</f>
        <v>2.0485243212981841E-2</v>
      </c>
      <c r="J8" s="3153">
        <f>IS!X$36</f>
        <v>-3.0644176756476904E-2</v>
      </c>
      <c r="K8" s="3153">
        <f>IS!Y$36</f>
        <v>4.6152006695627801E-3</v>
      </c>
      <c r="L8" s="3153">
        <f ca="1">IS!Z$36</f>
        <v>2.30994715292554E-2</v>
      </c>
      <c r="M8" s="3153">
        <f ca="1">IS!AA$36</f>
        <v>7.0333343976103357E-4</v>
      </c>
      <c r="N8" s="3153">
        <f ca="1">IS!AB$36</f>
        <v>4.7793679183210092E-3</v>
      </c>
      <c r="O8" s="3153">
        <f ca="1">IS!AC$36</f>
        <v>5.3055191272504132E-3</v>
      </c>
      <c r="P8" s="3153">
        <f ca="1">IS!AD$36</f>
        <v>5.7667344181464575E-3</v>
      </c>
      <c r="Q8" s="3153">
        <f ca="1">IS!AE$36</f>
        <v>6.2767580677922652E-3</v>
      </c>
      <c r="R8" s="3153">
        <f ca="1">IS!AF$36</f>
        <v>6.8816410216994139E-3</v>
      </c>
      <c r="S8" s="3154">
        <f ca="1">IS!AG$36</f>
        <v>7.5971974096091799E-3</v>
      </c>
      <c r="T8" s="812"/>
    </row>
    <row r="9" spans="1:20">
      <c r="A9" s="812"/>
      <c r="B9" s="979" t="s">
        <v>30</v>
      </c>
      <c r="C9" s="932"/>
      <c r="D9" s="932"/>
      <c r="E9" s="2977">
        <f>+IS!DR103</f>
        <v>4090</v>
      </c>
      <c r="F9" s="812"/>
      <c r="G9" s="981"/>
      <c r="H9" s="982"/>
      <c r="I9" s="982"/>
      <c r="J9" s="2184"/>
      <c r="K9" s="2184"/>
      <c r="L9" s="2184"/>
      <c r="M9" s="2184"/>
      <c r="N9" s="2184"/>
      <c r="O9" s="2184"/>
      <c r="P9" s="2184"/>
      <c r="Q9" s="2184"/>
      <c r="R9" s="2184"/>
      <c r="S9" s="2185"/>
      <c r="T9" s="812"/>
    </row>
    <row r="10" spans="1:20">
      <c r="A10" s="812"/>
      <c r="B10" s="979" t="s">
        <v>31</v>
      </c>
      <c r="C10" s="932"/>
      <c r="D10" s="932"/>
      <c r="E10" s="1004">
        <f>E9*E8</f>
        <v>198978.5</v>
      </c>
      <c r="F10" s="812"/>
      <c r="G10" s="979" t="s">
        <v>971</v>
      </c>
      <c r="H10" s="2180">
        <f>IS!V$63</f>
        <v>43254</v>
      </c>
      <c r="I10" s="2180">
        <f>IS!W$63</f>
        <v>44368</v>
      </c>
      <c r="J10" s="2180">
        <f>IS!X$63</f>
        <v>44236</v>
      </c>
      <c r="K10" s="2180">
        <f>IS!Y$63</f>
        <v>46657</v>
      </c>
      <c r="L10" s="2180">
        <f ca="1">IS!Z$63</f>
        <v>47786.253296851944</v>
      </c>
      <c r="M10" s="2180">
        <f ca="1">IS!AA$63</f>
        <v>48836.664019516073</v>
      </c>
      <c r="N10" s="2180">
        <f ca="1">IS!AB$63</f>
        <v>49687.521335243342</v>
      </c>
      <c r="O10" s="2180">
        <f ca="1">IS!AC$63</f>
        <v>50627.868065011207</v>
      </c>
      <c r="P10" s="2180">
        <f ca="1">IS!AD$63</f>
        <v>51647.037167036789</v>
      </c>
      <c r="Q10" s="2180">
        <f ca="1">IS!AE$63</f>
        <v>52746.05668869245</v>
      </c>
      <c r="R10" s="2180">
        <f ca="1">IS!AF$63</f>
        <v>53931.416547329536</v>
      </c>
      <c r="S10" s="2181">
        <f ca="1">IS!AG$63</f>
        <v>55212.250669671455</v>
      </c>
      <c r="T10" s="812"/>
    </row>
    <row r="11" spans="1:20">
      <c r="A11" s="812"/>
      <c r="B11" s="979" t="s">
        <v>1104</v>
      </c>
      <c r="C11" s="932"/>
      <c r="D11" s="932"/>
      <c r="E11" s="1004">
        <f>E10+E7</f>
        <v>327100.96499999997</v>
      </c>
      <c r="F11" s="812"/>
      <c r="G11" s="1001" t="s">
        <v>802</v>
      </c>
      <c r="H11" s="3153">
        <f t="shared" ref="H11:M11" si="1">+H10/H7</f>
        <v>0.34105800998241642</v>
      </c>
      <c r="I11" s="3153">
        <f t="shared" si="1"/>
        <v>0.34281917154094005</v>
      </c>
      <c r="J11" s="3153">
        <f t="shared" si="1"/>
        <v>0.3526045195488422</v>
      </c>
      <c r="K11" s="3153">
        <f>+K10/K7</f>
        <v>0.37019375724010983</v>
      </c>
      <c r="L11" s="3153">
        <f t="shared" ca="1" si="1"/>
        <v>0.3705931610664206</v>
      </c>
      <c r="M11" s="3153">
        <f t="shared" ca="1" si="1"/>
        <v>0.37847314007388427</v>
      </c>
      <c r="N11" s="3153">
        <f t="shared" ref="N11:R11" ca="1" si="2">+N10/N7</f>
        <v>0.38323546921055907</v>
      </c>
      <c r="O11" s="3153">
        <f t="shared" ca="1" si="2"/>
        <v>0.38842747121287113</v>
      </c>
      <c r="P11" s="3153">
        <f t="shared" ca="1" si="2"/>
        <v>0.39397479924428047</v>
      </c>
      <c r="Q11" s="3153">
        <f t="shared" ca="1" si="2"/>
        <v>0.39984860551884438</v>
      </c>
      <c r="R11" s="3153">
        <f t="shared" ca="1" si="2"/>
        <v>0.40604016335281395</v>
      </c>
      <c r="S11" s="3154">
        <f t="shared" ref="S11" ca="1" si="3">+S10/S7</f>
        <v>0.41254912139402611</v>
      </c>
      <c r="T11" s="812"/>
    </row>
    <row r="12" spans="1:20">
      <c r="A12" s="812"/>
      <c r="B12" s="979" t="s">
        <v>32</v>
      </c>
      <c r="C12" s="932"/>
      <c r="D12" s="932"/>
      <c r="E12" s="996">
        <v>0.87</v>
      </c>
      <c r="F12" s="812"/>
      <c r="G12" s="979" t="s">
        <v>1084</v>
      </c>
      <c r="H12" s="2180">
        <f>'Cash Taxes'!I$109</f>
        <v>-4093</v>
      </c>
      <c r="I12" s="2180">
        <f>'Cash Taxes'!J$109</f>
        <v>-5395.2000000000007</v>
      </c>
      <c r="J12" s="2180">
        <f>'Cash Taxes'!K$109</f>
        <v>-9351.74</v>
      </c>
      <c r="K12" s="2180">
        <f>'Cash Taxes'!L$109</f>
        <v>-21622</v>
      </c>
      <c r="L12" s="3282">
        <f ca="1">'Cash Taxes'!M$109</f>
        <v>-6573.7035451017455</v>
      </c>
      <c r="M12" s="2180">
        <f ca="1">'Cash Taxes'!N$109</f>
        <v>-5729.1920406514528</v>
      </c>
      <c r="N12" s="2180">
        <f ca="1">'Cash Taxes'!O$109</f>
        <v>-5972.945484278509</v>
      </c>
      <c r="O12" s="2180">
        <f ca="1">'Cash Taxes'!P$109</f>
        <v>-4673.3138567936076</v>
      </c>
      <c r="P12" s="2180">
        <f ca="1">'Cash Taxes'!Q$109</f>
        <v>-4978.371099560628</v>
      </c>
      <c r="Q12" s="2180">
        <f ca="1">'Cash Taxes'!R$109</f>
        <v>-5302.9531123705219</v>
      </c>
      <c r="R12" s="2180">
        <f ca="1">'Cash Taxes'!S$109</f>
        <v>-5648.7870042738905</v>
      </c>
      <c r="S12" s="2181">
        <f ca="1">'Cash Taxes'!T$109</f>
        <v>-6008.1073278539698</v>
      </c>
      <c r="T12" s="812"/>
    </row>
    <row r="13" spans="1:20">
      <c r="A13" s="812"/>
      <c r="B13" s="979" t="s">
        <v>1098</v>
      </c>
      <c r="C13" s="932"/>
      <c r="D13" s="932"/>
      <c r="E13" s="997">
        <v>6.5000000000000002E-2</v>
      </c>
      <c r="F13" s="812"/>
      <c r="G13" s="979" t="s">
        <v>33</v>
      </c>
      <c r="H13" s="2180">
        <f>-Capex!V$128</f>
        <v>-17191</v>
      </c>
      <c r="I13" s="2180">
        <f>-Capex!W$128</f>
        <v>-17775</v>
      </c>
      <c r="J13" s="2180">
        <f>-Capex!X$128</f>
        <v>-17059</v>
      </c>
      <c r="K13" s="2180">
        <f>-Capex!Y$128</f>
        <v>-17247</v>
      </c>
      <c r="L13" s="2180">
        <f ca="1">-Capex!Z$128</f>
        <v>-17185.531443313364</v>
      </c>
      <c r="M13" s="2180">
        <f ca="1">-Capex!AA$128</f>
        <v>-17326.654612606839</v>
      </c>
      <c r="N13" s="2180">
        <f ca="1">-Capex!AB$128</f>
        <v>-17539.117790711662</v>
      </c>
      <c r="O13" s="2180">
        <f ca="1">-Capex!AC$128</f>
        <v>-17762.512511533605</v>
      </c>
      <c r="P13" s="2180">
        <f ca="1">-Capex!AD$128</f>
        <v>-17996.036439295356</v>
      </c>
      <c r="Q13" s="2180">
        <f ca="1">-Capex!AE$128</f>
        <v>-18240.908275959573</v>
      </c>
      <c r="R13" s="2180">
        <f ca="1">-Capex!AF$128</f>
        <v>-18499.258520535466</v>
      </c>
      <c r="S13" s="2181">
        <f ca="1">-Capex!AG$128</f>
        <v>-20074.791512016636</v>
      </c>
      <c r="T13" s="812"/>
    </row>
    <row r="14" spans="1:20">
      <c r="A14" s="812"/>
      <c r="B14" s="979" t="s">
        <v>34</v>
      </c>
      <c r="C14" s="932"/>
      <c r="D14" s="932"/>
      <c r="E14" s="997">
        <v>4.7500000000000001E-2</v>
      </c>
      <c r="F14" s="812"/>
      <c r="G14" s="1001" t="s">
        <v>802</v>
      </c>
      <c r="H14" s="1002">
        <f t="shared" ref="H14:M14" si="4">-H13/H7</f>
        <v>0.13555112243047396</v>
      </c>
      <c r="I14" s="1002">
        <f t="shared" si="4"/>
        <v>0.13734247146908152</v>
      </c>
      <c r="J14" s="1002">
        <f t="shared" si="4"/>
        <v>0.13597704356143636</v>
      </c>
      <c r="K14" s="1002">
        <f t="shared" si="4"/>
        <v>0.1368440262151483</v>
      </c>
      <c r="L14" s="1002">
        <f t="shared" ca="1" si="4"/>
        <v>0.13327766842527139</v>
      </c>
      <c r="M14" s="1002">
        <f t="shared" ca="1" si="4"/>
        <v>0.13427766842527139</v>
      </c>
      <c r="N14" s="1002">
        <f t="shared" ref="N14:R14" ca="1" si="5">-N13/N7</f>
        <v>0.13527766842527139</v>
      </c>
      <c r="O14" s="1002">
        <f t="shared" ca="1" si="5"/>
        <v>0.13627766842527139</v>
      </c>
      <c r="P14" s="1002">
        <f t="shared" ca="1" si="5"/>
        <v>0.13727766842527139</v>
      </c>
      <c r="Q14" s="1002">
        <f t="shared" ca="1" si="5"/>
        <v>0.13827766842527139</v>
      </c>
      <c r="R14" s="1002">
        <f t="shared" ca="1" si="5"/>
        <v>0.13927766842527134</v>
      </c>
      <c r="S14" s="1003">
        <f t="shared" ref="S14" ca="1" si="6">-S13/S7</f>
        <v>0.14999999999999997</v>
      </c>
      <c r="T14" s="812"/>
    </row>
    <row r="15" spans="1:20">
      <c r="A15" s="812"/>
      <c r="B15" s="979" t="s">
        <v>1442</v>
      </c>
      <c r="C15" s="932"/>
      <c r="D15" s="932"/>
      <c r="E15" s="997">
        <v>2.5000000000000001E-2</v>
      </c>
      <c r="F15" s="812"/>
      <c r="G15" s="979" t="s">
        <v>35</v>
      </c>
      <c r="H15" s="2180">
        <f>-BS!V$77</f>
        <v>653</v>
      </c>
      <c r="I15" s="2180">
        <f>-BS!W$77</f>
        <v>4449</v>
      </c>
      <c r="J15" s="2180">
        <f>-BS!X$77</f>
        <v>-6573</v>
      </c>
      <c r="K15" s="2180">
        <f>-BS!Y$77</f>
        <v>-2430</v>
      </c>
      <c r="L15" s="2180">
        <f ca="1">-BS!Z$77</f>
        <v>-4318.0655429313992</v>
      </c>
      <c r="M15" s="2180">
        <f ca="1">-BS!AA$77</f>
        <v>-413.34288709181783</v>
      </c>
      <c r="N15" s="2180">
        <f ca="1">-BS!AB$77</f>
        <v>-371.26070338570207</v>
      </c>
      <c r="O15" s="2180">
        <f ca="1">-BS!AC$77</f>
        <v>-393.29639915930602</v>
      </c>
      <c r="P15" s="2180">
        <f ca="1">-BS!AD$77</f>
        <v>-413.2017765673736</v>
      </c>
      <c r="Q15" s="2180">
        <f ca="1">-BS!AE$77</f>
        <v>-433.66281177710334</v>
      </c>
      <c r="R15" s="2180">
        <f ca="1">-BS!AF$77</f>
        <v>-455.99832863709889</v>
      </c>
      <c r="S15" s="2181">
        <f ca="1">-BS!AG$77</f>
        <v>-480.90202453538222</v>
      </c>
      <c r="T15" s="812"/>
    </row>
    <row r="16" spans="1:20">
      <c r="A16" s="812"/>
      <c r="B16" s="979" t="s">
        <v>1062</v>
      </c>
      <c r="C16" s="932"/>
      <c r="D16" s="932"/>
      <c r="E16" s="997">
        <v>0.23</v>
      </c>
      <c r="F16" s="812"/>
      <c r="G16" s="981"/>
      <c r="H16" s="982"/>
      <c r="I16" s="982"/>
      <c r="J16" s="982"/>
      <c r="K16" s="982"/>
      <c r="L16" s="982"/>
      <c r="M16" s="982"/>
      <c r="N16" s="982"/>
      <c r="O16" s="982"/>
      <c r="P16" s="982"/>
      <c r="Q16" s="982"/>
      <c r="R16" s="982"/>
      <c r="S16" s="983"/>
      <c r="T16" s="812"/>
    </row>
    <row r="17" spans="1:20">
      <c r="A17" s="812"/>
      <c r="B17" s="979" t="s">
        <v>1102</v>
      </c>
      <c r="C17" s="932"/>
      <c r="D17" s="932"/>
      <c r="E17" s="1004">
        <f>+E10+E6</f>
        <v>329179.96499999997</v>
      </c>
      <c r="F17" s="812"/>
      <c r="G17" s="984" t="s">
        <v>36</v>
      </c>
      <c r="H17" s="1006">
        <f t="shared" ref="H17:M17" si="7">+H10+H12+H13+H15</f>
        <v>22623</v>
      </c>
      <c r="I17" s="1006">
        <f t="shared" si="7"/>
        <v>25646.800000000003</v>
      </c>
      <c r="J17" s="1006">
        <f t="shared" si="7"/>
        <v>11252.260000000002</v>
      </c>
      <c r="K17" s="1006">
        <f t="shared" si="7"/>
        <v>5358</v>
      </c>
      <c r="L17" s="1006">
        <f t="shared" ca="1" si="7"/>
        <v>19708.952765505437</v>
      </c>
      <c r="M17" s="1006">
        <f t="shared" ca="1" si="7"/>
        <v>25367.474479165961</v>
      </c>
      <c r="N17" s="1006">
        <f t="shared" ref="N17:R17" ca="1" si="8">+N10+N12+N13+N15</f>
        <v>25804.197356867466</v>
      </c>
      <c r="O17" s="1006">
        <f t="shared" ca="1" si="8"/>
        <v>27798.745297524685</v>
      </c>
      <c r="P17" s="1006">
        <f t="shared" ca="1" si="8"/>
        <v>28259.427851613429</v>
      </c>
      <c r="Q17" s="1006">
        <f t="shared" ca="1" si="8"/>
        <v>28768.53248858525</v>
      </c>
      <c r="R17" s="1006">
        <f t="shared" ca="1" si="8"/>
        <v>29327.372693883084</v>
      </c>
      <c r="S17" s="1007">
        <f t="shared" ref="S17" ca="1" si="9">+S10+S12+S13+S15</f>
        <v>28648.449805265467</v>
      </c>
      <c r="T17" s="812"/>
    </row>
    <row r="18" spans="1:20">
      <c r="A18" s="812"/>
      <c r="B18" s="979" t="s">
        <v>37</v>
      </c>
      <c r="C18" s="932"/>
      <c r="D18" s="932"/>
      <c r="E18" s="998">
        <f>+E6/E17</f>
        <v>0.39553277490627359</v>
      </c>
      <c r="F18" s="812"/>
      <c r="G18" s="979" t="s">
        <v>38</v>
      </c>
      <c r="H18" s="1000"/>
      <c r="I18" s="1000"/>
      <c r="J18" s="1000">
        <v>0</v>
      </c>
      <c r="K18" s="1000">
        <v>0</v>
      </c>
      <c r="L18" s="1000">
        <v>0</v>
      </c>
      <c r="M18" s="1899">
        <f>L18+1</f>
        <v>1</v>
      </c>
      <c r="N18" s="1899">
        <f t="shared" ref="N18:R18" si="10">M18+1</f>
        <v>2</v>
      </c>
      <c r="O18" s="1899">
        <f t="shared" si="10"/>
        <v>3</v>
      </c>
      <c r="P18" s="1899">
        <f t="shared" si="10"/>
        <v>4</v>
      </c>
      <c r="Q18" s="1899">
        <f t="shared" si="10"/>
        <v>5</v>
      </c>
      <c r="R18" s="1899">
        <f t="shared" si="10"/>
        <v>6</v>
      </c>
      <c r="S18" s="1900">
        <f t="shared" ref="S18" si="11">R18+1</f>
        <v>7</v>
      </c>
      <c r="T18" s="812"/>
    </row>
    <row r="19" spans="1:20">
      <c r="A19" s="812"/>
      <c r="B19" s="979" t="s">
        <v>39</v>
      </c>
      <c r="C19" s="932"/>
      <c r="D19" s="932"/>
      <c r="E19" s="997">
        <v>0.3</v>
      </c>
      <c r="F19" s="812"/>
      <c r="G19" s="979" t="s">
        <v>1100</v>
      </c>
      <c r="H19" s="1000"/>
      <c r="I19" s="1899"/>
      <c r="J19" s="1899">
        <f>1/((1+$E$20)^J18)</f>
        <v>1</v>
      </c>
      <c r="K19" s="1899">
        <f>1/((1+$E$20)^K18)</f>
        <v>1</v>
      </c>
      <c r="L19" s="1899">
        <f>1/((1+$E$20)^L18)</f>
        <v>1</v>
      </c>
      <c r="M19" s="1899">
        <f>1/((1+$E$20)^M18)</f>
        <v>0.93627917972581054</v>
      </c>
      <c r="N19" s="1899">
        <f t="shared" ref="N19:S19" si="12">1/((1+$E$20)^N18)</f>
        <v>0.87661870238803663</v>
      </c>
      <c r="O19" s="1899">
        <f t="shared" si="12"/>
        <v>0.82075983960417531</v>
      </c>
      <c r="P19" s="1899">
        <f t="shared" si="12"/>
        <v>0.768460349376485</v>
      </c>
      <c r="Q19" s="1899">
        <f t="shared" si="12"/>
        <v>0.71949342556602514</v>
      </c>
      <c r="R19" s="1899">
        <f t="shared" si="12"/>
        <v>0.67364671430707157</v>
      </c>
      <c r="S19" s="1900">
        <f t="shared" si="12"/>
        <v>0.63072139309641229</v>
      </c>
      <c r="T19" s="812"/>
    </row>
    <row r="20" spans="1:20">
      <c r="A20" s="812"/>
      <c r="B20" s="984" t="s">
        <v>40</v>
      </c>
      <c r="C20" s="985"/>
      <c r="D20" s="985"/>
      <c r="E20" s="999">
        <f>+E19*(E14*(1-E16))+(1-E19)*(E15+E12*E13)</f>
        <v>6.8057500000000007E-2</v>
      </c>
      <c r="F20" s="812"/>
      <c r="G20" s="981"/>
      <c r="H20" s="982"/>
      <c r="I20" s="982"/>
      <c r="J20" s="982"/>
      <c r="K20" s="982"/>
      <c r="L20" s="982"/>
      <c r="M20" s="982"/>
      <c r="N20" s="982"/>
      <c r="O20" s="982"/>
      <c r="P20" s="982"/>
      <c r="Q20" s="982"/>
      <c r="R20" s="982"/>
      <c r="S20" s="983"/>
      <c r="T20" s="812"/>
    </row>
    <row r="21" spans="1:20">
      <c r="A21" s="812"/>
      <c r="B21" s="984" t="s">
        <v>1105</v>
      </c>
      <c r="C21" s="985"/>
      <c r="D21" s="985"/>
      <c r="E21" s="1075">
        <v>-2.5000000000000001E-2</v>
      </c>
      <c r="F21" s="812"/>
      <c r="G21" s="984" t="s">
        <v>41</v>
      </c>
      <c r="H21" s="1006"/>
      <c r="I21" s="1006"/>
      <c r="J21" s="1006">
        <f>J17*J19</f>
        <v>11252.260000000002</v>
      </c>
      <c r="K21" s="1006">
        <f>K17*K19</f>
        <v>5358</v>
      </c>
      <c r="L21" s="1006">
        <f ca="1">L17*L19</f>
        <v>19708.952765505437</v>
      </c>
      <c r="M21" s="1006">
        <f ca="1">M17*M19</f>
        <v>23751.038197068938</v>
      </c>
      <c r="N21" s="1006">
        <f t="shared" ref="N21:R21" ca="1" si="13">N17*N19</f>
        <v>22620.442003141961</v>
      </c>
      <c r="O21" s="1006">
        <f t="shared" ca="1" si="13"/>
        <v>22816.093731593683</v>
      </c>
      <c r="P21" s="1006">
        <f t="shared" ca="1" si="13"/>
        <v>21716.249800030426</v>
      </c>
      <c r="Q21" s="1006">
        <f t="shared" ca="1" si="13"/>
        <v>20698.769988719687</v>
      </c>
      <c r="R21" s="1006">
        <f t="shared" ca="1" si="13"/>
        <v>19756.288254493269</v>
      </c>
      <c r="S21" s="1007">
        <f t="shared" ref="S21" ca="1" si="14">S17*S19</f>
        <v>18069.190171229679</v>
      </c>
      <c r="T21" s="812"/>
    </row>
    <row r="22" spans="1:20">
      <c r="A22" s="812"/>
      <c r="B22" s="986" t="s">
        <v>61</v>
      </c>
      <c r="C22" s="987"/>
      <c r="D22" s="987"/>
      <c r="E22" s="3234">
        <f ca="1">+(((($E$8*$H$33-$H$31-$H$30-$H$27)*((1+$E$20)^$L$18)/$L$17)*$E$20)-1)/(1+($E$8*$H$33-$H$31-$H$30-$H$27)*((1+$E$20)^$L$18)/$L$17)</f>
        <v>-6.2638828784478337E-2</v>
      </c>
      <c r="F22" s="812"/>
      <c r="G22" s="981"/>
      <c r="H22" s="982"/>
      <c r="I22" s="2184"/>
      <c r="J22" s="2184"/>
      <c r="K22" s="2184"/>
      <c r="L22" s="2184"/>
      <c r="M22" s="2184"/>
      <c r="N22" s="2184"/>
      <c r="O22" s="2184"/>
      <c r="P22" s="2184"/>
      <c r="Q22" s="2184"/>
      <c r="R22" s="2184"/>
      <c r="S22" s="2185"/>
      <c r="T22" s="812"/>
    </row>
    <row r="23" spans="1:20">
      <c r="A23" s="812"/>
      <c r="B23" s="812"/>
      <c r="C23" s="812"/>
      <c r="D23" s="812"/>
      <c r="E23" s="812"/>
      <c r="F23" s="812"/>
      <c r="G23" s="979" t="s">
        <v>1101</v>
      </c>
      <c r="H23" s="932"/>
      <c r="I23" s="932"/>
      <c r="J23" s="932"/>
      <c r="K23" s="932"/>
      <c r="L23" s="1005"/>
      <c r="M23" s="1005"/>
      <c r="N23" s="1005"/>
      <c r="O23" s="1005"/>
      <c r="P23" s="1005"/>
      <c r="Q23" s="1005"/>
      <c r="R23" s="1005"/>
      <c r="S23" s="1004">
        <f ca="1">$S$17*(1+E$21)/(($E$20-E$21))</f>
        <v>300161.06772838108</v>
      </c>
      <c r="T23" s="812"/>
    </row>
    <row r="24" spans="1:20">
      <c r="A24" s="812"/>
      <c r="B24" s="993"/>
      <c r="C24" s="3155" t="s">
        <v>1080</v>
      </c>
      <c r="D24" s="3156" t="s">
        <v>1081</v>
      </c>
      <c r="E24" s="3157" t="s">
        <v>1547</v>
      </c>
      <c r="F24" s="812"/>
      <c r="G24" s="986" t="s">
        <v>1103</v>
      </c>
      <c r="H24" s="987"/>
      <c r="I24" s="987"/>
      <c r="J24" s="987"/>
      <c r="K24" s="987"/>
      <c r="L24" s="1572"/>
      <c r="M24" s="1572"/>
      <c r="N24" s="1572"/>
      <c r="O24" s="1572"/>
      <c r="P24" s="1572"/>
      <c r="Q24" s="1572"/>
      <c r="R24" s="1572"/>
      <c r="S24" s="1008">
        <f ca="1">(S23/((1+E20)^$S$18))</f>
        <v>189318.0067909511</v>
      </c>
      <c r="T24" s="812"/>
    </row>
    <row r="25" spans="1:20">
      <c r="A25" s="812"/>
      <c r="B25" s="994" t="s">
        <v>1088</v>
      </c>
      <c r="C25" s="3158">
        <f>+IS!Y$115</f>
        <v>2.335</v>
      </c>
      <c r="D25" s="3158">
        <f>+IS!Z$115</f>
        <v>2.3849999999999998</v>
      </c>
      <c r="E25" s="3159">
        <f>+IS!AA$115</f>
        <v>2.4349999999999996</v>
      </c>
      <c r="F25" s="812"/>
      <c r="G25" s="812"/>
      <c r="H25" s="812"/>
      <c r="I25" s="812"/>
      <c r="J25" s="812"/>
      <c r="K25" s="812"/>
      <c r="L25" s="812"/>
      <c r="M25" s="932"/>
      <c r="N25" s="932"/>
      <c r="O25" s="932"/>
      <c r="P25" s="932"/>
      <c r="Q25" s="932"/>
      <c r="R25" s="932"/>
      <c r="S25" s="932"/>
      <c r="T25" s="812"/>
    </row>
    <row r="26" spans="1:20">
      <c r="A26" s="812"/>
      <c r="B26" s="3283">
        <v>3.5000000000000003E-2</v>
      </c>
      <c r="C26" s="1025">
        <f t="shared" ref="C26:E36" si="15">+C$25/$B26</f>
        <v>66.714285714285708</v>
      </c>
      <c r="D26" s="1025">
        <f t="shared" si="15"/>
        <v>68.142857142857125</v>
      </c>
      <c r="E26" s="1026">
        <f t="shared" si="15"/>
        <v>69.571428571428555</v>
      </c>
      <c r="F26" s="812"/>
      <c r="G26" s="991" t="s">
        <v>42</v>
      </c>
      <c r="H26" s="992"/>
      <c r="I26" s="812"/>
      <c r="J26" s="812"/>
      <c r="K26" s="812"/>
      <c r="L26" s="812"/>
      <c r="M26" s="932"/>
      <c r="N26" s="932"/>
      <c r="O26" s="932"/>
      <c r="P26" s="932"/>
      <c r="Q26" s="932"/>
      <c r="R26" s="932"/>
      <c r="S26" s="932"/>
      <c r="T26" s="812"/>
    </row>
    <row r="27" spans="1:20">
      <c r="A27" s="812"/>
      <c r="B27" s="3284">
        <f>+B26+0.0025</f>
        <v>3.7500000000000006E-2</v>
      </c>
      <c r="C27" s="1025">
        <f t="shared" si="15"/>
        <v>62.266666666666659</v>
      </c>
      <c r="D27" s="1025">
        <f t="shared" si="15"/>
        <v>63.599999999999987</v>
      </c>
      <c r="E27" s="1026">
        <f t="shared" si="15"/>
        <v>64.933333333333309</v>
      </c>
      <c r="F27" s="812"/>
      <c r="G27" s="979" t="s">
        <v>41</v>
      </c>
      <c r="H27" s="1004">
        <f ca="1">SUM(H21:S21)</f>
        <v>185747.28491178309</v>
      </c>
      <c r="I27" s="812"/>
      <c r="J27" s="812"/>
      <c r="K27" s="812"/>
      <c r="L27" s="812"/>
      <c r="M27" s="932"/>
      <c r="N27" s="932"/>
      <c r="O27" s="932"/>
      <c r="P27" s="932"/>
      <c r="Q27" s="932"/>
      <c r="R27" s="932"/>
      <c r="S27" s="932"/>
      <c r="T27" s="812"/>
    </row>
    <row r="28" spans="1:20">
      <c r="A28" s="812"/>
      <c r="B28" s="3284">
        <f t="shared" ref="B28:B33" si="16">+B27+0.0025</f>
        <v>4.0000000000000008E-2</v>
      </c>
      <c r="C28" s="1025">
        <f t="shared" si="15"/>
        <v>58.374999999999986</v>
      </c>
      <c r="D28" s="1025">
        <f t="shared" si="15"/>
        <v>59.624999999999986</v>
      </c>
      <c r="E28" s="1026">
        <f t="shared" si="15"/>
        <v>60.874999999999979</v>
      </c>
      <c r="F28" s="812"/>
      <c r="G28" s="981" t="s">
        <v>43</v>
      </c>
      <c r="H28" s="1009">
        <f ca="1">+S24</f>
        <v>189318.0067909511</v>
      </c>
      <c r="I28" s="812"/>
      <c r="J28" s="812"/>
      <c r="K28" s="812"/>
      <c r="L28" s="812"/>
      <c r="M28" s="932"/>
      <c r="N28" s="932"/>
      <c r="O28" s="932"/>
      <c r="P28" s="932"/>
      <c r="Q28" s="932"/>
      <c r="R28" s="932"/>
      <c r="S28" s="932"/>
      <c r="T28" s="812"/>
    </row>
    <row r="29" spans="1:20">
      <c r="A29" s="812"/>
      <c r="B29" s="3284">
        <f t="shared" si="16"/>
        <v>4.250000000000001E-2</v>
      </c>
      <c r="C29" s="1025">
        <f t="shared" si="15"/>
        <v>54.941176470588225</v>
      </c>
      <c r="D29" s="1025">
        <f t="shared" si="15"/>
        <v>56.117647058823508</v>
      </c>
      <c r="E29" s="1026">
        <f t="shared" si="15"/>
        <v>57.294117647058798</v>
      </c>
      <c r="F29" s="812"/>
      <c r="G29" s="986" t="s">
        <v>1104</v>
      </c>
      <c r="H29" s="1008">
        <f ca="1">+H27+H28</f>
        <v>375065.29170273419</v>
      </c>
      <c r="I29" s="1078"/>
      <c r="J29" s="1078"/>
      <c r="K29" s="812"/>
      <c r="L29" s="812"/>
      <c r="M29" s="932"/>
      <c r="N29" s="932"/>
      <c r="O29" s="932"/>
      <c r="P29" s="932"/>
      <c r="Q29" s="932"/>
      <c r="R29" s="932"/>
      <c r="S29" s="932"/>
      <c r="T29" s="812"/>
    </row>
    <row r="30" spans="1:20">
      <c r="A30" s="812"/>
      <c r="B30" s="3284">
        <f t="shared" si="16"/>
        <v>4.5000000000000012E-2</v>
      </c>
      <c r="C30" s="1025">
        <f t="shared" si="15"/>
        <v>51.888888888888872</v>
      </c>
      <c r="D30" s="1025">
        <f t="shared" si="15"/>
        <v>52.999999999999979</v>
      </c>
      <c r="E30" s="1026">
        <f t="shared" si="15"/>
        <v>54.111111111111086</v>
      </c>
      <c r="F30" s="812"/>
      <c r="G30" s="979" t="s">
        <v>44</v>
      </c>
      <c r="H30" s="1004">
        <f>+E5</f>
        <v>2079</v>
      </c>
      <c r="I30" s="812"/>
      <c r="J30" s="1078"/>
      <c r="K30" s="812"/>
      <c r="L30" s="812"/>
      <c r="M30" s="932"/>
      <c r="N30" s="932"/>
      <c r="O30" s="932"/>
      <c r="P30" s="932"/>
      <c r="Q30" s="932"/>
      <c r="R30" s="932"/>
      <c r="S30" s="932"/>
      <c r="T30" s="812"/>
    </row>
    <row r="31" spans="1:20">
      <c r="A31" s="812"/>
      <c r="B31" s="3284">
        <f t="shared" si="16"/>
        <v>4.7500000000000014E-2</v>
      </c>
      <c r="C31" s="1025">
        <f t="shared" si="15"/>
        <v>49.157894736842088</v>
      </c>
      <c r="D31" s="1025">
        <f t="shared" si="15"/>
        <v>50.210526315789451</v>
      </c>
      <c r="E31" s="1026">
        <f t="shared" si="15"/>
        <v>51.263157894736821</v>
      </c>
      <c r="F31" s="812"/>
      <c r="G31" s="981" t="s">
        <v>45</v>
      </c>
      <c r="H31" s="1009">
        <f>-E6</f>
        <v>-130201.465</v>
      </c>
      <c r="I31" s="812"/>
      <c r="J31" s="812"/>
      <c r="K31" s="812"/>
      <c r="L31" s="812"/>
      <c r="M31" s="932"/>
      <c r="N31" s="932"/>
      <c r="O31" s="932"/>
      <c r="P31" s="932"/>
      <c r="Q31" s="932"/>
      <c r="R31" s="932"/>
      <c r="S31" s="932"/>
      <c r="T31" s="812"/>
    </row>
    <row r="32" spans="1:20">
      <c r="A32" s="812"/>
      <c r="B32" s="3284">
        <f t="shared" si="16"/>
        <v>5.0000000000000017E-2</v>
      </c>
      <c r="C32" s="1025">
        <f t="shared" si="15"/>
        <v>46.699999999999982</v>
      </c>
      <c r="D32" s="1025">
        <f t="shared" si="15"/>
        <v>47.699999999999982</v>
      </c>
      <c r="E32" s="1026">
        <f t="shared" si="15"/>
        <v>48.699999999999974</v>
      </c>
      <c r="F32" s="812"/>
      <c r="G32" s="986" t="s">
        <v>1108</v>
      </c>
      <c r="H32" s="1008">
        <f ca="1">+SUM(H29:H31)</f>
        <v>246942.82670273419</v>
      </c>
      <c r="I32" s="812"/>
      <c r="J32" s="1078"/>
      <c r="K32" s="1078"/>
      <c r="L32" s="812"/>
      <c r="M32" s="932"/>
      <c r="N32" s="932"/>
      <c r="O32" s="932"/>
      <c r="P32" s="932"/>
      <c r="Q32" s="932"/>
      <c r="R32" s="932"/>
      <c r="S32" s="932"/>
      <c r="T32" s="812"/>
    </row>
    <row r="33" spans="1:20">
      <c r="A33" s="812"/>
      <c r="B33" s="3284">
        <f t="shared" si="16"/>
        <v>5.2500000000000019E-2</v>
      </c>
      <c r="C33" s="1025">
        <f t="shared" si="15"/>
        <v>44.47619047619046</v>
      </c>
      <c r="D33" s="1025">
        <f t="shared" si="15"/>
        <v>45.428571428571409</v>
      </c>
      <c r="E33" s="1026">
        <f t="shared" si="15"/>
        <v>46.380952380952358</v>
      </c>
      <c r="F33" s="812"/>
      <c r="G33" s="981" t="s">
        <v>46</v>
      </c>
      <c r="H33" s="983">
        <f>+E9</f>
        <v>4090</v>
      </c>
      <c r="I33" s="812"/>
      <c r="J33" s="812"/>
      <c r="K33" s="812"/>
      <c r="L33" s="812"/>
      <c r="M33" s="932"/>
      <c r="N33" s="932"/>
      <c r="O33" s="932"/>
      <c r="P33" s="932"/>
      <c r="Q33" s="932"/>
      <c r="R33" s="932"/>
      <c r="S33" s="932"/>
      <c r="T33" s="812"/>
    </row>
    <row r="34" spans="1:20">
      <c r="A34" s="812"/>
      <c r="B34" s="3284">
        <f t="shared" ref="B34:B36" si="17">+B33+0.0025</f>
        <v>5.5000000000000021E-2</v>
      </c>
      <c r="C34" s="1025">
        <f t="shared" si="15"/>
        <v>42.454545454545439</v>
      </c>
      <c r="D34" s="1025">
        <f t="shared" si="15"/>
        <v>43.363636363636346</v>
      </c>
      <c r="E34" s="1026">
        <f t="shared" si="15"/>
        <v>44.272727272727252</v>
      </c>
      <c r="F34" s="812"/>
      <c r="G34" s="1076" t="s">
        <v>47</v>
      </c>
      <c r="H34" s="1077">
        <f ca="1">+H32/H33</f>
        <v>60.377219242722298</v>
      </c>
      <c r="I34" s="812"/>
      <c r="J34" s="812"/>
      <c r="K34" s="812"/>
      <c r="L34" s="812"/>
      <c r="M34" s="932"/>
      <c r="N34" s="932"/>
      <c r="O34" s="932"/>
      <c r="P34" s="932"/>
      <c r="Q34" s="932"/>
      <c r="R34" s="932"/>
      <c r="S34" s="932"/>
      <c r="T34" s="812"/>
    </row>
    <row r="35" spans="1:20">
      <c r="A35" s="812"/>
      <c r="B35" s="3284">
        <f t="shared" si="17"/>
        <v>5.7500000000000023E-2</v>
      </c>
      <c r="C35" s="1025">
        <f t="shared" si="15"/>
        <v>40.608695652173893</v>
      </c>
      <c r="D35" s="1025">
        <f t="shared" si="15"/>
        <v>41.478260869565197</v>
      </c>
      <c r="E35" s="1026">
        <f t="shared" si="15"/>
        <v>42.347826086956495</v>
      </c>
      <c r="F35" s="812"/>
      <c r="G35" s="1013" t="s">
        <v>70</v>
      </c>
      <c r="H35" s="1014">
        <f ca="1">+H34*(1+(E15+E12*E13))</f>
        <v>65.300981471966296</v>
      </c>
      <c r="I35" s="812"/>
      <c r="J35" s="812"/>
      <c r="K35" s="812"/>
      <c r="L35" s="812"/>
      <c r="M35" s="932"/>
      <c r="N35" s="932"/>
      <c r="O35" s="932"/>
      <c r="P35" s="932"/>
      <c r="Q35" s="932"/>
      <c r="R35" s="932"/>
      <c r="S35" s="932"/>
      <c r="T35" s="812"/>
    </row>
    <row r="36" spans="1:20">
      <c r="A36" s="812"/>
      <c r="B36" s="3285">
        <f t="shared" si="17"/>
        <v>6.0000000000000026E-2</v>
      </c>
      <c r="C36" s="1027">
        <f t="shared" si="15"/>
        <v>38.91666666666665</v>
      </c>
      <c r="D36" s="1027">
        <f t="shared" si="15"/>
        <v>39.749999999999979</v>
      </c>
      <c r="E36" s="1028">
        <f>+E$25/$B36</f>
        <v>40.583333333333307</v>
      </c>
      <c r="F36" s="812"/>
      <c r="G36" s="981" t="s">
        <v>48</v>
      </c>
      <c r="H36" s="1010">
        <f ca="1">+H35/E8-1</f>
        <v>0.34226066746076667</v>
      </c>
      <c r="I36" s="812"/>
      <c r="J36" s="812"/>
      <c r="K36" s="812"/>
      <c r="L36" s="812"/>
      <c r="M36" s="932"/>
      <c r="N36" s="932"/>
      <c r="O36" s="932"/>
      <c r="P36" s="932"/>
      <c r="Q36" s="932"/>
      <c r="R36" s="932"/>
      <c r="S36" s="932"/>
      <c r="T36" s="812"/>
    </row>
    <row r="37" spans="1:20">
      <c r="A37" s="812"/>
      <c r="B37" s="812"/>
      <c r="C37" s="804"/>
      <c r="D37" s="804"/>
      <c r="E37" s="804"/>
      <c r="F37" s="812"/>
      <c r="G37" s="1901" t="s">
        <v>1691</v>
      </c>
      <c r="H37" s="1011">
        <f ca="1">+H35/E39</f>
        <v>14.368500272651717</v>
      </c>
      <c r="I37" s="812"/>
      <c r="J37" s="812"/>
      <c r="K37" s="812"/>
      <c r="L37" s="812"/>
      <c r="M37" s="932"/>
      <c r="N37" s="932"/>
      <c r="O37" s="932"/>
      <c r="P37" s="932"/>
      <c r="Q37" s="932"/>
      <c r="R37" s="932"/>
      <c r="S37" s="932"/>
      <c r="T37" s="812"/>
    </row>
    <row r="38" spans="1:20">
      <c r="A38" s="812"/>
      <c r="B38" s="993"/>
      <c r="C38" s="1807" t="str">
        <f>+C24</f>
        <v>2017E</v>
      </c>
      <c r="D38" s="1807" t="str">
        <f>+D24</f>
        <v>2018E</v>
      </c>
      <c r="E38" s="1807" t="str">
        <f>+E24</f>
        <v>2019E</v>
      </c>
      <c r="F38" s="812"/>
      <c r="G38" s="1901" t="s">
        <v>1690</v>
      </c>
      <c r="H38" s="1012">
        <f ca="1">+D25/H35</f>
        <v>3.6523187649543674E-2</v>
      </c>
      <c r="I38" s="812"/>
      <c r="J38" s="812"/>
      <c r="K38" s="812"/>
      <c r="L38" s="812"/>
      <c r="M38" s="932"/>
      <c r="N38" s="932"/>
      <c r="O38" s="932"/>
      <c r="P38" s="932"/>
      <c r="Q38" s="932"/>
      <c r="R38" s="932"/>
      <c r="S38" s="932"/>
      <c r="T38" s="812"/>
    </row>
    <row r="39" spans="1:20">
      <c r="A39" s="812"/>
      <c r="B39" s="994" t="s">
        <v>1148</v>
      </c>
      <c r="C39" s="3158">
        <f>+IS!X$95</f>
        <v>3.7416043566052744</v>
      </c>
      <c r="D39" s="3158">
        <f>+IS!Y$95</f>
        <v>3.7374602397846832</v>
      </c>
      <c r="E39" s="3159">
        <f ca="1">+IS!Z$95</f>
        <v>4.5447318949672786</v>
      </c>
      <c r="F39" s="812"/>
      <c r="G39" s="978"/>
      <c r="I39" s="812"/>
      <c r="J39" s="812"/>
      <c r="K39" s="812"/>
      <c r="L39" s="812"/>
      <c r="M39" s="932"/>
      <c r="N39" s="932"/>
      <c r="O39" s="932"/>
      <c r="P39" s="932"/>
      <c r="Q39" s="932"/>
      <c r="R39" s="932"/>
      <c r="S39" s="932"/>
      <c r="T39" s="812"/>
    </row>
    <row r="40" spans="1:20" hidden="1" outlineLevel="1">
      <c r="A40" s="812"/>
      <c r="B40" s="1914">
        <v>10.7</v>
      </c>
      <c r="C40" s="1915">
        <f t="shared" ref="C40:E44" si="18">+C$39*$B40</f>
        <v>40.035166615676431</v>
      </c>
      <c r="D40" s="1915">
        <f t="shared" si="18"/>
        <v>39.990824565696109</v>
      </c>
      <c r="E40" s="1916">
        <f t="shared" ca="1" si="18"/>
        <v>48.628631276149875</v>
      </c>
      <c r="F40" s="812"/>
      <c r="G40" s="812"/>
      <c r="H40" s="812"/>
      <c r="I40" s="812"/>
      <c r="J40" s="812"/>
      <c r="K40" s="812"/>
      <c r="L40" s="812"/>
      <c r="M40" s="932"/>
      <c r="N40" s="932"/>
      <c r="O40" s="932"/>
      <c r="P40" s="932"/>
      <c r="Q40" s="932"/>
      <c r="R40" s="932"/>
      <c r="S40" s="932"/>
      <c r="T40" s="812"/>
    </row>
    <row r="41" spans="1:20" hidden="1" outlineLevel="1">
      <c r="A41" s="812"/>
      <c r="B41" s="1914">
        <v>12</v>
      </c>
      <c r="C41" s="1915">
        <f t="shared" si="18"/>
        <v>44.899252279263294</v>
      </c>
      <c r="D41" s="1915">
        <f t="shared" si="18"/>
        <v>44.849522877416199</v>
      </c>
      <c r="E41" s="1916">
        <f t="shared" ca="1" si="18"/>
        <v>54.536782739607347</v>
      </c>
      <c r="F41" s="812"/>
      <c r="G41" s="812"/>
      <c r="H41" s="812"/>
      <c r="I41" s="812"/>
      <c r="J41" s="812"/>
      <c r="K41" s="812"/>
      <c r="L41" s="812"/>
      <c r="M41" s="932"/>
      <c r="N41" s="932"/>
      <c r="O41" s="932"/>
      <c r="P41" s="932"/>
      <c r="Q41" s="932"/>
      <c r="R41" s="932"/>
      <c r="S41" s="932"/>
      <c r="T41" s="812"/>
    </row>
    <row r="42" spans="1:20" hidden="1" outlineLevel="1">
      <c r="A42" s="812"/>
      <c r="B42" s="1914">
        <v>12.5</v>
      </c>
      <c r="C42" s="1915">
        <f t="shared" si="18"/>
        <v>46.770054457565926</v>
      </c>
      <c r="D42" s="1915">
        <f t="shared" si="18"/>
        <v>46.718252997308539</v>
      </c>
      <c r="E42" s="1916">
        <f t="shared" ca="1" si="18"/>
        <v>56.809148687090982</v>
      </c>
      <c r="F42" s="812"/>
      <c r="G42" s="812"/>
      <c r="H42" s="812"/>
      <c r="I42" s="812"/>
      <c r="J42" s="812"/>
      <c r="K42" s="812"/>
      <c r="L42" s="812"/>
      <c r="M42" s="932"/>
      <c r="N42" s="932"/>
      <c r="O42" s="932"/>
      <c r="P42" s="932"/>
      <c r="Q42" s="932"/>
      <c r="R42" s="932"/>
      <c r="S42" s="932"/>
      <c r="T42" s="812"/>
    </row>
    <row r="43" spans="1:20" hidden="1" outlineLevel="1">
      <c r="A43" s="812"/>
      <c r="B43" s="1914">
        <v>13</v>
      </c>
      <c r="C43" s="1915">
        <f t="shared" si="18"/>
        <v>48.640856635868566</v>
      </c>
      <c r="D43" s="1915">
        <f t="shared" si="18"/>
        <v>48.58698311720088</v>
      </c>
      <c r="E43" s="1916">
        <f t="shared" ca="1" si="18"/>
        <v>59.081514634574624</v>
      </c>
      <c r="F43" s="812"/>
      <c r="G43" s="812"/>
      <c r="H43" s="812"/>
      <c r="I43" s="812"/>
      <c r="J43" s="812"/>
      <c r="K43" s="812"/>
      <c r="L43" s="812"/>
      <c r="M43" s="932"/>
      <c r="N43" s="932"/>
      <c r="O43" s="932"/>
      <c r="P43" s="932"/>
      <c r="Q43" s="932"/>
      <c r="R43" s="932"/>
      <c r="S43" s="932"/>
      <c r="T43" s="812"/>
    </row>
    <row r="44" spans="1:20" hidden="1" outlineLevel="1">
      <c r="A44" s="812"/>
      <c r="B44" s="1022">
        <v>14</v>
      </c>
      <c r="C44" s="1027">
        <f t="shared" si="18"/>
        <v>52.382460992473838</v>
      </c>
      <c r="D44" s="1027">
        <f t="shared" si="18"/>
        <v>52.324443356985569</v>
      </c>
      <c r="E44" s="1028">
        <f t="shared" ca="1" si="18"/>
        <v>63.626246529541902</v>
      </c>
      <c r="F44" s="812"/>
      <c r="G44" s="812"/>
      <c r="H44" s="812"/>
      <c r="I44" s="812"/>
      <c r="J44" s="812"/>
      <c r="K44" s="812"/>
      <c r="L44" s="812"/>
      <c r="M44" s="932"/>
      <c r="N44" s="932"/>
      <c r="O44" s="932"/>
      <c r="P44" s="932"/>
      <c r="Q44" s="932"/>
      <c r="R44" s="932"/>
      <c r="S44" s="932"/>
      <c r="T44" s="812"/>
    </row>
    <row r="45" spans="1:20" hidden="1" outlineLevel="1">
      <c r="A45" s="812"/>
      <c r="B45" s="812"/>
      <c r="C45" s="804"/>
      <c r="D45" s="804"/>
      <c r="E45" s="804"/>
      <c r="F45" s="812"/>
      <c r="G45" s="812"/>
      <c r="H45" s="812"/>
      <c r="I45" s="812"/>
      <c r="J45" s="812"/>
      <c r="K45" s="812"/>
      <c r="L45" s="812"/>
      <c r="M45" s="932"/>
      <c r="N45" s="932"/>
      <c r="O45" s="932"/>
      <c r="P45" s="932"/>
      <c r="Q45" s="932"/>
      <c r="R45" s="932"/>
      <c r="S45" s="932"/>
      <c r="T45" s="812"/>
    </row>
    <row r="46" spans="1:20" hidden="1" outlineLevel="1">
      <c r="A46" s="812"/>
      <c r="B46" s="993"/>
      <c r="C46" s="1807" t="s">
        <v>1078</v>
      </c>
      <c r="D46" s="1015" t="s">
        <v>1079</v>
      </c>
      <c r="E46" s="1016" t="s">
        <v>1080</v>
      </c>
      <c r="F46" s="812"/>
      <c r="G46" s="812"/>
      <c r="H46" s="812"/>
      <c r="I46" s="812"/>
      <c r="J46" s="812"/>
      <c r="K46" s="812"/>
      <c r="L46" s="812"/>
      <c r="M46" s="932"/>
      <c r="N46" s="932"/>
      <c r="O46" s="932"/>
      <c r="P46" s="932"/>
      <c r="Q46" s="932"/>
      <c r="R46" s="932"/>
      <c r="S46" s="932"/>
      <c r="T46" s="812"/>
    </row>
    <row r="47" spans="1:20" hidden="1" outlineLevel="1">
      <c r="A47" s="812"/>
      <c r="B47" s="994" t="s">
        <v>971</v>
      </c>
      <c r="C47" s="1017">
        <f>+IS!W$63</f>
        <v>44368</v>
      </c>
      <c r="D47" s="1017">
        <f>+IS!X$63</f>
        <v>44236</v>
      </c>
      <c r="E47" s="1018">
        <f>+IS!Y$63</f>
        <v>46657</v>
      </c>
      <c r="F47" s="812"/>
      <c r="G47" s="812"/>
      <c r="H47" s="812"/>
      <c r="I47" s="812"/>
      <c r="J47" s="812"/>
      <c r="K47" s="812"/>
      <c r="L47" s="812"/>
      <c r="M47" s="932"/>
      <c r="N47" s="932"/>
      <c r="O47" s="932"/>
      <c r="P47" s="932"/>
      <c r="Q47" s="932"/>
      <c r="R47" s="932"/>
      <c r="S47" s="932"/>
      <c r="T47" s="812"/>
    </row>
    <row r="48" spans="1:20" hidden="1" outlineLevel="1">
      <c r="A48" s="812"/>
      <c r="B48" s="1021">
        <v>6</v>
      </c>
      <c r="C48" s="1025">
        <f t="shared" ref="C48:E52" si="19">+(C$47*$B48+$H$30+$H$31)/$H$33</f>
        <v>33.76174449877751</v>
      </c>
      <c r="D48" s="1025">
        <f t="shared" si="19"/>
        <v>33.568101466992665</v>
      </c>
      <c r="E48" s="1026">
        <f t="shared" si="19"/>
        <v>37.119690709046452</v>
      </c>
      <c r="F48" s="812"/>
      <c r="G48" s="812"/>
      <c r="H48" s="812"/>
      <c r="I48" s="812"/>
      <c r="J48" s="812"/>
      <c r="K48" s="812"/>
      <c r="L48" s="812"/>
      <c r="M48" s="932"/>
      <c r="N48" s="932"/>
      <c r="O48" s="932"/>
      <c r="P48" s="932"/>
      <c r="Q48" s="932"/>
      <c r="R48" s="932"/>
      <c r="S48" s="932"/>
      <c r="T48" s="812"/>
    </row>
    <row r="49" spans="1:62" hidden="1" outlineLevel="1">
      <c r="A49" s="812"/>
      <c r="B49" s="1021">
        <v>6.5</v>
      </c>
      <c r="C49" s="1025">
        <f t="shared" si="19"/>
        <v>39.185705378973104</v>
      </c>
      <c r="D49" s="1025">
        <f t="shared" si="19"/>
        <v>38.975925427872859</v>
      </c>
      <c r="E49" s="1026">
        <f t="shared" si="19"/>
        <v>42.823480440097804</v>
      </c>
      <c r="F49" s="812"/>
      <c r="G49" s="812"/>
      <c r="H49" s="812"/>
      <c r="I49" s="812"/>
      <c r="J49" s="812"/>
      <c r="K49" s="812"/>
      <c r="L49" s="812"/>
      <c r="M49" s="932"/>
      <c r="N49" s="932"/>
      <c r="O49" s="932"/>
      <c r="P49" s="932"/>
      <c r="Q49" s="932"/>
      <c r="R49" s="932"/>
      <c r="S49" s="932"/>
      <c r="T49" s="812"/>
    </row>
    <row r="50" spans="1:62" hidden="1" outlineLevel="1">
      <c r="A50" s="812"/>
      <c r="B50" s="1021">
        <v>7</v>
      </c>
      <c r="C50" s="1025">
        <f t="shared" si="19"/>
        <v>44.609666259168705</v>
      </c>
      <c r="D50" s="1025">
        <f t="shared" si="19"/>
        <v>44.38374938875306</v>
      </c>
      <c r="E50" s="1026">
        <f t="shared" si="19"/>
        <v>48.527270171149148</v>
      </c>
      <c r="F50" s="812"/>
      <c r="G50" s="812"/>
      <c r="H50" s="812"/>
      <c r="I50" s="812"/>
      <c r="J50" s="812"/>
      <c r="K50" s="812"/>
      <c r="L50" s="812"/>
      <c r="M50" s="932"/>
      <c r="N50" s="932"/>
      <c r="O50" s="932"/>
      <c r="P50" s="932"/>
      <c r="Q50" s="932"/>
      <c r="R50" s="932"/>
      <c r="S50" s="932"/>
      <c r="T50" s="812"/>
    </row>
    <row r="51" spans="1:62" hidden="1" outlineLevel="1">
      <c r="A51" s="812"/>
      <c r="B51" s="1021">
        <v>7.5</v>
      </c>
      <c r="C51" s="1025">
        <f t="shared" si="19"/>
        <v>50.033627139364306</v>
      </c>
      <c r="D51" s="1025">
        <f t="shared" si="19"/>
        <v>49.791573349633254</v>
      </c>
      <c r="E51" s="1026">
        <f t="shared" si="19"/>
        <v>54.231059902200492</v>
      </c>
      <c r="F51" s="812"/>
      <c r="G51" s="812"/>
      <c r="H51" s="812"/>
      <c r="I51" s="812"/>
      <c r="J51" s="812"/>
      <c r="K51" s="812"/>
      <c r="L51" s="812"/>
      <c r="M51" s="932"/>
      <c r="N51" s="932"/>
      <c r="O51" s="932"/>
      <c r="P51" s="932"/>
      <c r="Q51" s="932"/>
      <c r="R51" s="932"/>
      <c r="S51" s="932"/>
      <c r="T51" s="812"/>
    </row>
    <row r="52" spans="1:62" hidden="1" outlineLevel="1">
      <c r="A52" s="812"/>
      <c r="B52" s="1022">
        <v>8</v>
      </c>
      <c r="C52" s="1027">
        <f t="shared" si="19"/>
        <v>55.4575880195599</v>
      </c>
      <c r="D52" s="1027">
        <f t="shared" si="19"/>
        <v>55.199397310513447</v>
      </c>
      <c r="E52" s="1028">
        <f t="shared" si="19"/>
        <v>59.934849633251837</v>
      </c>
      <c r="F52" s="812"/>
      <c r="G52" s="812"/>
      <c r="H52" s="812"/>
      <c r="I52" s="812"/>
      <c r="J52" s="812"/>
      <c r="K52" s="812"/>
      <c r="L52" s="812"/>
      <c r="M52" s="932"/>
      <c r="N52" s="932"/>
      <c r="O52" s="932"/>
      <c r="P52" s="932"/>
      <c r="Q52" s="932"/>
      <c r="R52" s="932"/>
      <c r="S52" s="932"/>
      <c r="T52" s="812"/>
    </row>
    <row r="53" spans="1:62" hidden="1" outlineLevel="1">
      <c r="A53" s="812"/>
      <c r="B53" s="812"/>
      <c r="C53" s="804"/>
      <c r="D53" s="804"/>
      <c r="E53" s="804"/>
      <c r="F53" s="812"/>
      <c r="G53" s="812"/>
      <c r="H53" s="812"/>
      <c r="I53" s="812"/>
      <c r="J53" s="812"/>
      <c r="K53" s="812"/>
      <c r="L53" s="812"/>
      <c r="M53" s="932"/>
      <c r="N53" s="932"/>
      <c r="O53" s="932"/>
      <c r="P53" s="932"/>
      <c r="Q53" s="932"/>
      <c r="R53" s="932"/>
      <c r="S53" s="932"/>
      <c r="T53" s="812"/>
    </row>
    <row r="54" spans="1:62" hidden="1" outlineLevel="1">
      <c r="A54" s="812"/>
      <c r="B54" s="993"/>
      <c r="C54" s="1807" t="s">
        <v>1078</v>
      </c>
      <c r="D54" s="1015" t="s">
        <v>1079</v>
      </c>
      <c r="E54" s="1016" t="s">
        <v>1080</v>
      </c>
      <c r="F54" s="812"/>
      <c r="G54" s="812"/>
      <c r="H54" s="812"/>
      <c r="I54" s="812"/>
      <c r="J54" s="812"/>
      <c r="K54" s="812"/>
      <c r="L54" s="812"/>
      <c r="M54" s="932"/>
      <c r="N54" s="932"/>
      <c r="O54" s="932"/>
      <c r="P54" s="932"/>
      <c r="Q54" s="932"/>
      <c r="R54" s="932"/>
      <c r="S54" s="932"/>
      <c r="T54" s="812"/>
    </row>
    <row r="55" spans="1:62" collapsed="1">
      <c r="A55" s="812"/>
      <c r="B55" s="994" t="s">
        <v>1426</v>
      </c>
      <c r="C55" s="1023">
        <f>+(CFS!W$34+CFS!W$38)/IS!W$103</f>
        <v>5.1679491877366557</v>
      </c>
      <c r="D55" s="1023">
        <f>+(CFS!X$34+CFS!X$38)/IS!X$103</f>
        <v>1.3843235636052131</v>
      </c>
      <c r="E55" s="1024">
        <f>+(CFS!Y$34+CFS!Y$38)/IS!Y$103</f>
        <v>1.9716173232199656</v>
      </c>
      <c r="F55" s="812"/>
      <c r="G55" s="812"/>
      <c r="H55" s="812"/>
      <c r="I55" s="812"/>
      <c r="J55" s="812"/>
      <c r="K55" s="812"/>
      <c r="L55" s="812"/>
      <c r="M55" s="932"/>
      <c r="N55" s="932"/>
      <c r="O55" s="932"/>
      <c r="P55" s="932"/>
      <c r="Q55" s="932"/>
      <c r="R55" s="932"/>
      <c r="S55" s="932"/>
      <c r="T55" s="812"/>
    </row>
    <row r="56" spans="1:62">
      <c r="A56" s="812"/>
      <c r="B56" s="1019">
        <v>0.05</v>
      </c>
      <c r="C56" s="1025">
        <f t="shared" ref="C56:E60" si="20">+C$55/$B56</f>
        <v>103.3589837547331</v>
      </c>
      <c r="D56" s="1025">
        <f t="shared" si="20"/>
        <v>27.68647127210426</v>
      </c>
      <c r="E56" s="1026">
        <f t="shared" si="20"/>
        <v>39.432346464399309</v>
      </c>
      <c r="F56" s="812"/>
      <c r="G56" s="812"/>
      <c r="H56" s="1806"/>
      <c r="J56" s="812"/>
      <c r="K56" s="812"/>
      <c r="L56" s="812"/>
      <c r="M56" s="932"/>
      <c r="N56" s="932"/>
      <c r="O56" s="932"/>
      <c r="P56" s="932"/>
      <c r="Q56" s="932"/>
      <c r="R56" s="932"/>
      <c r="S56" s="932"/>
      <c r="T56" s="812"/>
      <c r="U56" s="812"/>
    </row>
    <row r="57" spans="1:62">
      <c r="A57" s="812"/>
      <c r="B57" s="1019">
        <v>0.06</v>
      </c>
      <c r="C57" s="1025">
        <f t="shared" si="20"/>
        <v>86.132486462277598</v>
      </c>
      <c r="D57" s="1025">
        <f t="shared" si="20"/>
        <v>23.072059393420218</v>
      </c>
      <c r="E57" s="1026">
        <f t="shared" si="20"/>
        <v>32.860288720332761</v>
      </c>
      <c r="F57" s="812"/>
      <c r="G57" s="812"/>
      <c r="H57" s="1806"/>
      <c r="J57" s="812"/>
      <c r="K57" s="812"/>
      <c r="L57" s="812"/>
      <c r="M57" s="932"/>
      <c r="N57" s="932"/>
      <c r="O57" s="932"/>
      <c r="P57" s="932"/>
      <c r="Q57" s="932"/>
      <c r="R57" s="932"/>
      <c r="S57" s="932"/>
      <c r="T57" s="812"/>
      <c r="U57" s="812"/>
    </row>
    <row r="58" spans="1:62">
      <c r="A58" s="812"/>
      <c r="B58" s="1019">
        <v>7.0000000000000007E-2</v>
      </c>
      <c r="C58" s="1025">
        <f t="shared" si="20"/>
        <v>73.82784553909508</v>
      </c>
      <c r="D58" s="1025">
        <f t="shared" si="20"/>
        <v>19.7760509086459</v>
      </c>
      <c r="E58" s="1026">
        <f t="shared" si="20"/>
        <v>28.165961760285221</v>
      </c>
      <c r="F58" s="812"/>
      <c r="G58" s="812"/>
      <c r="H58" s="1806"/>
      <c r="J58" s="812"/>
      <c r="K58" s="812"/>
      <c r="L58" s="812"/>
      <c r="M58" s="932"/>
      <c r="N58" s="932"/>
      <c r="O58" s="932"/>
      <c r="P58" s="932"/>
      <c r="Q58" s="932"/>
      <c r="R58" s="932"/>
      <c r="S58" s="932"/>
      <c r="T58" s="812"/>
      <c r="U58" s="812"/>
      <c r="BJ58" s="801">
        <v>-37.762999999999998</v>
      </c>
    </row>
    <row r="59" spans="1:62">
      <c r="A59" s="812"/>
      <c r="B59" s="1019">
        <v>0.08</v>
      </c>
      <c r="C59" s="1025">
        <f t="shared" si="20"/>
        <v>64.599364846708198</v>
      </c>
      <c r="D59" s="1025">
        <f t="shared" si="20"/>
        <v>17.304044545065164</v>
      </c>
      <c r="E59" s="1026">
        <f t="shared" si="20"/>
        <v>24.645216540249571</v>
      </c>
      <c r="F59" s="812"/>
      <c r="G59" s="812"/>
      <c r="H59" s="1806"/>
      <c r="U59" s="812"/>
      <c r="BJ59" s="801">
        <v>-37.762999999999998</v>
      </c>
    </row>
    <row r="60" spans="1:62">
      <c r="A60" s="812"/>
      <c r="B60" s="1020">
        <v>0.09</v>
      </c>
      <c r="C60" s="1027">
        <f t="shared" si="20"/>
        <v>57.421657641518401</v>
      </c>
      <c r="D60" s="1027">
        <f t="shared" si="20"/>
        <v>15.381372928946814</v>
      </c>
      <c r="E60" s="1028">
        <f t="shared" si="20"/>
        <v>21.906859146888507</v>
      </c>
      <c r="F60" s="812"/>
      <c r="G60" s="812"/>
      <c r="H60" s="1806"/>
      <c r="U60" s="812"/>
      <c r="BJ60" s="801">
        <v>-37.762999999999998</v>
      </c>
    </row>
    <row r="61" spans="1:62">
      <c r="A61" s="812"/>
      <c r="B61" s="812"/>
      <c r="C61" s="812"/>
      <c r="D61" s="812"/>
      <c r="E61" s="812"/>
      <c r="F61" s="812"/>
      <c r="G61" s="812"/>
      <c r="H61" s="1806"/>
      <c r="U61" s="812"/>
      <c r="BJ61" s="801">
        <v>-37.762999999999998</v>
      </c>
    </row>
    <row r="62" spans="1:62">
      <c r="A62" s="812"/>
      <c r="B62" s="812"/>
      <c r="C62" s="812"/>
      <c r="D62" s="812"/>
      <c r="E62" s="812"/>
      <c r="F62" s="812"/>
      <c r="G62" s="812"/>
      <c r="H62" s="1806"/>
      <c r="U62" s="812"/>
      <c r="BJ62" s="801">
        <v>-37.762999999999998</v>
      </c>
    </row>
    <row r="63" spans="1:62">
      <c r="A63" s="812"/>
      <c r="B63" s="812"/>
      <c r="C63" s="812"/>
      <c r="D63" s="812"/>
      <c r="E63" s="812"/>
      <c r="F63" s="812"/>
      <c r="G63" s="812"/>
      <c r="H63" s="1806"/>
      <c r="U63" s="812"/>
    </row>
    <row r="64" spans="1:62">
      <c r="A64" s="812"/>
      <c r="B64" s="812"/>
      <c r="C64" s="812"/>
      <c r="D64" s="812"/>
      <c r="E64" s="812"/>
      <c r="F64" s="812"/>
      <c r="G64" s="812"/>
      <c r="H64" s="1806"/>
      <c r="U64" s="812"/>
    </row>
    <row r="65" spans="7:22">
      <c r="G65" s="812"/>
      <c r="H65" s="1806"/>
      <c r="U65" s="812"/>
    </row>
    <row r="66" spans="7:22">
      <c r="G66" s="812"/>
      <c r="U66" s="812"/>
    </row>
    <row r="67" spans="7:22">
      <c r="G67" s="1198"/>
      <c r="U67" s="812"/>
    </row>
    <row r="68" spans="7:22">
      <c r="G68" s="812"/>
      <c r="U68" s="812"/>
      <c r="V68" s="812"/>
    </row>
    <row r="69" spans="7:22">
      <c r="G69" s="812"/>
      <c r="U69" s="812"/>
    </row>
    <row r="70" spans="7:22">
      <c r="G70" s="812"/>
      <c r="H70" s="1806"/>
      <c r="U70" s="812"/>
      <c r="V70" s="812"/>
    </row>
    <row r="71" spans="7:22">
      <c r="G71" s="812"/>
      <c r="H71" s="1806"/>
      <c r="U71" s="812"/>
    </row>
    <row r="72" spans="7:22">
      <c r="G72" s="812"/>
      <c r="U72" s="812"/>
      <c r="V72" s="812"/>
    </row>
    <row r="73" spans="7:22">
      <c r="G73" s="812"/>
      <c r="U73" s="812"/>
    </row>
    <row r="74" spans="7:22">
      <c r="G74" s="812"/>
    </row>
    <row r="75" spans="7:22">
      <c r="G75" s="812"/>
    </row>
    <row r="76" spans="7:22">
      <c r="G76" s="812"/>
    </row>
    <row r="77" spans="7:22">
      <c r="G77" s="812"/>
    </row>
    <row r="78" spans="7:22">
      <c r="G78" s="812"/>
    </row>
    <row r="79" spans="7:22">
      <c r="G79" s="812"/>
    </row>
    <row r="80" spans="7:22">
      <c r="G80" s="812"/>
    </row>
    <row r="81" spans="7:7">
      <c r="G81" s="812"/>
    </row>
    <row r="82" spans="7:7">
      <c r="G82" s="812"/>
    </row>
    <row r="83" spans="7:7">
      <c r="G83" s="812"/>
    </row>
    <row r="84" spans="7:7">
      <c r="G84" s="812"/>
    </row>
    <row r="85" spans="7:7">
      <c r="G85" s="812"/>
    </row>
    <row r="86" spans="7:7">
      <c r="G86" s="812"/>
    </row>
    <row r="87" spans="7:7">
      <c r="G87" s="812"/>
    </row>
    <row r="88" spans="7:7">
      <c r="G88" s="812"/>
    </row>
    <row r="89" spans="7:7">
      <c r="G89" s="812"/>
    </row>
    <row r="90" spans="7:7">
      <c r="G90" s="812"/>
    </row>
    <row r="91" spans="7:7">
      <c r="G91" s="812"/>
    </row>
    <row r="92" spans="7:7">
      <c r="G92" s="812"/>
    </row>
    <row r="93" spans="7:7">
      <c r="G93" s="812"/>
    </row>
    <row r="94" spans="7:7">
      <c r="G94" s="812"/>
    </row>
    <row r="95" spans="7:7">
      <c r="G95" s="812"/>
    </row>
    <row r="96" spans="7:7">
      <c r="G96" s="812"/>
    </row>
    <row r="97" spans="7:7">
      <c r="G97" s="812"/>
    </row>
    <row r="98" spans="7:7">
      <c r="G98" s="812"/>
    </row>
    <row r="99" spans="7:7">
      <c r="G99" s="812"/>
    </row>
    <row r="100" spans="7:7">
      <c r="G100" s="812"/>
    </row>
    <row r="101" spans="7:7">
      <c r="G101" s="812"/>
    </row>
    <row r="102" spans="7:7">
      <c r="G102" s="812"/>
    </row>
    <row r="103" spans="7:7">
      <c r="G103" s="812"/>
    </row>
    <row r="104" spans="7:7">
      <c r="G104" s="812"/>
    </row>
    <row r="105" spans="7:7">
      <c r="G105" s="812"/>
    </row>
    <row r="106" spans="7:7">
      <c r="G106" s="812"/>
    </row>
    <row r="107" spans="7:7">
      <c r="G107" s="812"/>
    </row>
    <row r="108" spans="7:7">
      <c r="G108" s="812"/>
    </row>
    <row r="109" spans="7:7">
      <c r="G109" s="812"/>
    </row>
    <row r="110" spans="7:7">
      <c r="G110" s="812"/>
    </row>
    <row r="111" spans="7:7">
      <c r="G111" s="812"/>
    </row>
    <row r="112" spans="7:7">
      <c r="G112" s="812"/>
    </row>
    <row r="113" spans="7:7">
      <c r="G113" s="812"/>
    </row>
    <row r="114" spans="7:7">
      <c r="G114" s="812"/>
    </row>
    <row r="115" spans="7:7">
      <c r="G115" s="812"/>
    </row>
    <row r="116" spans="7:7">
      <c r="G116" s="812"/>
    </row>
    <row r="117" spans="7:7">
      <c r="G117" s="812"/>
    </row>
    <row r="118" spans="7:7">
      <c r="G118" s="812"/>
    </row>
    <row r="119" spans="7:7">
      <c r="G119" s="812"/>
    </row>
    <row r="120" spans="7:7">
      <c r="G120" s="812"/>
    </row>
    <row r="121" spans="7:7">
      <c r="G121" s="812"/>
    </row>
    <row r="122" spans="7:7">
      <c r="G122" s="812"/>
    </row>
    <row r="123" spans="7:7">
      <c r="G123" s="812"/>
    </row>
    <row r="124" spans="7:7">
      <c r="G124" s="812"/>
    </row>
    <row r="125" spans="7:7">
      <c r="G125" s="812"/>
    </row>
    <row r="126" spans="7:7">
      <c r="G126" s="812"/>
    </row>
    <row r="127" spans="7:7">
      <c r="G127" s="812"/>
    </row>
    <row r="128" spans="7:7">
      <c r="G128" s="812"/>
    </row>
    <row r="129" spans="7:7">
      <c r="G129" s="812"/>
    </row>
    <row r="130" spans="7:7">
      <c r="G130" s="812"/>
    </row>
    <row r="131" spans="7:7">
      <c r="G131" s="812"/>
    </row>
    <row r="132" spans="7:7">
      <c r="G132" s="812"/>
    </row>
    <row r="133" spans="7:7">
      <c r="G133" s="812"/>
    </row>
    <row r="134" spans="7:7">
      <c r="G134" s="812"/>
    </row>
    <row r="135" spans="7:7">
      <c r="G135" s="812"/>
    </row>
    <row r="136" spans="7:7">
      <c r="G136" s="812"/>
    </row>
    <row r="137" spans="7:7">
      <c r="G137" s="812"/>
    </row>
    <row r="138" spans="7:7">
      <c r="G138" s="812"/>
    </row>
    <row r="139" spans="7:7">
      <c r="G139" s="812"/>
    </row>
    <row r="140" spans="7:7">
      <c r="G140" s="812"/>
    </row>
    <row r="141" spans="7:7">
      <c r="G141" s="812"/>
    </row>
    <row r="142" spans="7:7">
      <c r="G142" s="812"/>
    </row>
    <row r="143" spans="7:7">
      <c r="G143" s="812"/>
    </row>
    <row r="144" spans="7:7">
      <c r="G144" s="812"/>
    </row>
    <row r="145" spans="7:7">
      <c r="G145" s="812"/>
    </row>
    <row r="146" spans="7:7">
      <c r="G146" s="812"/>
    </row>
    <row r="147" spans="7:7">
      <c r="G147" s="812"/>
    </row>
    <row r="148" spans="7:7">
      <c r="G148" s="812"/>
    </row>
    <row r="149" spans="7:7">
      <c r="G149" s="812"/>
    </row>
    <row r="150" spans="7:7">
      <c r="G150" s="812"/>
    </row>
    <row r="151" spans="7:7">
      <c r="G151" s="812"/>
    </row>
    <row r="152" spans="7:7">
      <c r="G152" s="812"/>
    </row>
    <row r="153" spans="7:7">
      <c r="G153" s="812"/>
    </row>
    <row r="154" spans="7:7">
      <c r="G154" s="812"/>
    </row>
    <row r="155" spans="7:7">
      <c r="G155" s="812"/>
    </row>
    <row r="156" spans="7:7">
      <c r="G156" s="812"/>
    </row>
    <row r="157" spans="7:7">
      <c r="G157" s="812"/>
    </row>
    <row r="158" spans="7:7">
      <c r="G158" s="812"/>
    </row>
    <row r="159" spans="7:7">
      <c r="G159" s="812"/>
    </row>
    <row r="160" spans="7:7">
      <c r="G160" s="812"/>
    </row>
    <row r="161" spans="7:7">
      <c r="G161" s="812"/>
    </row>
    <row r="162" spans="7:7">
      <c r="G162" s="812"/>
    </row>
    <row r="163" spans="7:7">
      <c r="G163" s="812"/>
    </row>
    <row r="164" spans="7:7">
      <c r="G164" s="812"/>
    </row>
    <row r="165" spans="7:7">
      <c r="G165" s="812"/>
    </row>
    <row r="166" spans="7:7">
      <c r="G166" s="812"/>
    </row>
    <row r="167" spans="7:7">
      <c r="G167" s="812"/>
    </row>
    <row r="168" spans="7:7">
      <c r="G168" s="812"/>
    </row>
    <row r="169" spans="7:7">
      <c r="G169" s="812"/>
    </row>
    <row r="170" spans="7:7">
      <c r="G170" s="812"/>
    </row>
    <row r="171" spans="7:7">
      <c r="G171" s="812"/>
    </row>
    <row r="172" spans="7:7">
      <c r="G172" s="812"/>
    </row>
    <row r="173" spans="7:7">
      <c r="G173" s="812"/>
    </row>
    <row r="174" spans="7:7">
      <c r="G174" s="812"/>
    </row>
    <row r="175" spans="7:7">
      <c r="G175" s="812"/>
    </row>
    <row r="176" spans="7:7">
      <c r="G176" s="812"/>
    </row>
    <row r="177" spans="7:7">
      <c r="G177" s="812"/>
    </row>
    <row r="178" spans="7:7">
      <c r="G178" s="812"/>
    </row>
    <row r="179" spans="7:7">
      <c r="G179" s="812"/>
    </row>
    <row r="180" spans="7:7">
      <c r="G180" s="812"/>
    </row>
    <row r="181" spans="7:7">
      <c r="G181" s="812"/>
    </row>
    <row r="182" spans="7:7">
      <c r="G182" s="812"/>
    </row>
    <row r="183" spans="7:7">
      <c r="G183" s="812"/>
    </row>
    <row r="184" spans="7:7">
      <c r="G184" s="812"/>
    </row>
    <row r="185" spans="7:7">
      <c r="G185" s="812"/>
    </row>
    <row r="186" spans="7:7">
      <c r="G186" s="812"/>
    </row>
    <row r="187" spans="7:7">
      <c r="G187" s="812"/>
    </row>
    <row r="188" spans="7:7">
      <c r="G188" s="812"/>
    </row>
    <row r="189" spans="7:7">
      <c r="G189" s="812"/>
    </row>
    <row r="190" spans="7:7">
      <c r="G190" s="812"/>
    </row>
    <row r="191" spans="7:7">
      <c r="G191" s="812"/>
    </row>
    <row r="192" spans="7:7">
      <c r="G192" s="812"/>
    </row>
    <row r="193" spans="7:7">
      <c r="G193" s="812"/>
    </row>
    <row r="194" spans="7:7">
      <c r="G194" s="812"/>
    </row>
    <row r="195" spans="7:7">
      <c r="G195" s="812"/>
    </row>
    <row r="196" spans="7:7">
      <c r="G196" s="812"/>
    </row>
    <row r="197" spans="7:7">
      <c r="G197" s="812"/>
    </row>
    <row r="198" spans="7:7">
      <c r="G198" s="812"/>
    </row>
    <row r="199" spans="7:7">
      <c r="G199" s="812"/>
    </row>
    <row r="200" spans="7:7">
      <c r="G200" s="812"/>
    </row>
    <row r="201" spans="7:7">
      <c r="G201" s="812"/>
    </row>
    <row r="202" spans="7:7">
      <c r="G202" s="812"/>
    </row>
    <row r="203" spans="7:7">
      <c r="G203" s="812"/>
    </row>
    <row r="204" spans="7:7">
      <c r="G204" s="812"/>
    </row>
    <row r="205" spans="7:7">
      <c r="G205" s="812"/>
    </row>
    <row r="206" spans="7:7">
      <c r="G206" s="812"/>
    </row>
    <row r="207" spans="7:7">
      <c r="G207" s="812"/>
    </row>
    <row r="208" spans="7:7">
      <c r="G208" s="812"/>
    </row>
    <row r="209" spans="7:7">
      <c r="G209" s="812"/>
    </row>
    <row r="210" spans="7:7">
      <c r="G210" s="812"/>
    </row>
    <row r="211" spans="7:7">
      <c r="G211" s="812"/>
    </row>
    <row r="212" spans="7:7">
      <c r="G212" s="812"/>
    </row>
    <row r="213" spans="7:7">
      <c r="G213" s="812"/>
    </row>
    <row r="214" spans="7:7">
      <c r="G214" s="812"/>
    </row>
    <row r="215" spans="7:7">
      <c r="G215" s="812"/>
    </row>
    <row r="216" spans="7:7">
      <c r="G216" s="812"/>
    </row>
    <row r="217" spans="7:7">
      <c r="G217" s="812"/>
    </row>
    <row r="218" spans="7:7">
      <c r="G218" s="812"/>
    </row>
    <row r="219" spans="7:7">
      <c r="G219" s="812"/>
    </row>
    <row r="220" spans="7:7">
      <c r="G220" s="812"/>
    </row>
    <row r="221" spans="7:7">
      <c r="G221" s="812"/>
    </row>
    <row r="222" spans="7:7">
      <c r="G222" s="812"/>
    </row>
    <row r="223" spans="7:7">
      <c r="G223" s="812"/>
    </row>
    <row r="224" spans="7:7">
      <c r="G224" s="812"/>
    </row>
    <row r="225" spans="7:7">
      <c r="G225" s="812"/>
    </row>
    <row r="226" spans="7:7">
      <c r="G226" s="812"/>
    </row>
    <row r="227" spans="7:7">
      <c r="G227" s="812"/>
    </row>
    <row r="228" spans="7:7">
      <c r="G228" s="812"/>
    </row>
    <row r="229" spans="7:7">
      <c r="G229" s="812"/>
    </row>
    <row r="230" spans="7:7">
      <c r="G230" s="812"/>
    </row>
    <row r="231" spans="7:7">
      <c r="G231" s="812"/>
    </row>
    <row r="232" spans="7:7">
      <c r="G232" s="812"/>
    </row>
    <row r="233" spans="7:7">
      <c r="G233" s="812"/>
    </row>
    <row r="234" spans="7:7">
      <c r="G234" s="812"/>
    </row>
    <row r="235" spans="7:7">
      <c r="G235" s="812"/>
    </row>
    <row r="236" spans="7:7">
      <c r="G236" s="812"/>
    </row>
    <row r="237" spans="7:7">
      <c r="G237" s="812"/>
    </row>
    <row r="238" spans="7:7">
      <c r="G238" s="812"/>
    </row>
    <row r="239" spans="7:7">
      <c r="G239" s="812"/>
    </row>
    <row r="240" spans="7:7">
      <c r="G240" s="812"/>
    </row>
    <row r="241" spans="7:7">
      <c r="G241" s="812"/>
    </row>
    <row r="242" spans="7:7">
      <c r="G242" s="812"/>
    </row>
    <row r="243" spans="7:7">
      <c r="G243" s="812"/>
    </row>
    <row r="244" spans="7:7">
      <c r="G244" s="812"/>
    </row>
    <row r="245" spans="7:7">
      <c r="G245" s="812"/>
    </row>
    <row r="246" spans="7:7">
      <c r="G246" s="812"/>
    </row>
    <row r="247" spans="7:7">
      <c r="G247" s="812"/>
    </row>
    <row r="248" spans="7:7">
      <c r="G248" s="812"/>
    </row>
    <row r="249" spans="7:7">
      <c r="G249" s="812"/>
    </row>
    <row r="250" spans="7:7">
      <c r="G250" s="812"/>
    </row>
    <row r="251" spans="7:7">
      <c r="G251" s="812"/>
    </row>
    <row r="252" spans="7:7">
      <c r="G252" s="812"/>
    </row>
    <row r="253" spans="7:7">
      <c r="G253" s="812"/>
    </row>
    <row r="254" spans="7:7">
      <c r="G254" s="812"/>
    </row>
    <row r="255" spans="7:7">
      <c r="G255" s="812"/>
    </row>
    <row r="256" spans="7:7">
      <c r="G256" s="812"/>
    </row>
    <row r="257" spans="7:7">
      <c r="G257" s="812"/>
    </row>
    <row r="258" spans="7:7">
      <c r="G258" s="812"/>
    </row>
    <row r="259" spans="7:7">
      <c r="G259" s="812"/>
    </row>
    <row r="260" spans="7:7">
      <c r="G260" s="812"/>
    </row>
    <row r="261" spans="7:7">
      <c r="G261" s="812"/>
    </row>
    <row r="262" spans="7:7">
      <c r="G262" s="812"/>
    </row>
    <row r="263" spans="7:7">
      <c r="G263" s="812"/>
    </row>
    <row r="264" spans="7:7">
      <c r="G264" s="812"/>
    </row>
    <row r="265" spans="7:7">
      <c r="G265" s="812"/>
    </row>
    <row r="266" spans="7:7">
      <c r="G266" s="812"/>
    </row>
    <row r="267" spans="7:7">
      <c r="G267" s="812"/>
    </row>
    <row r="268" spans="7:7">
      <c r="G268" s="812"/>
    </row>
    <row r="269" spans="7:7">
      <c r="G269" s="812"/>
    </row>
    <row r="270" spans="7:7">
      <c r="G270" s="812"/>
    </row>
    <row r="271" spans="7:7">
      <c r="G271" s="812"/>
    </row>
    <row r="272" spans="7:7">
      <c r="G272" s="812"/>
    </row>
    <row r="273" spans="7:7">
      <c r="G273" s="812"/>
    </row>
    <row r="274" spans="7:7">
      <c r="G274" s="812"/>
    </row>
    <row r="275" spans="7:7">
      <c r="G275" s="812"/>
    </row>
    <row r="276" spans="7:7">
      <c r="G276" s="812"/>
    </row>
    <row r="277" spans="7:7">
      <c r="G277" s="812"/>
    </row>
    <row r="278" spans="7:7">
      <c r="G278" s="812"/>
    </row>
    <row r="279" spans="7:7">
      <c r="G279" s="812"/>
    </row>
    <row r="280" spans="7:7">
      <c r="G280" s="812"/>
    </row>
    <row r="281" spans="7:7">
      <c r="G281" s="812"/>
    </row>
    <row r="282" spans="7:7">
      <c r="G282" s="812"/>
    </row>
    <row r="283" spans="7:7">
      <c r="G283" s="812"/>
    </row>
    <row r="284" spans="7:7">
      <c r="G284" s="812"/>
    </row>
    <row r="285" spans="7:7">
      <c r="G285" s="812"/>
    </row>
    <row r="286" spans="7:7">
      <c r="G286" s="812"/>
    </row>
    <row r="287" spans="7:7">
      <c r="G287" s="812"/>
    </row>
    <row r="288" spans="7:7">
      <c r="G288" s="812"/>
    </row>
    <row r="289" spans="7:7">
      <c r="G289" s="812"/>
    </row>
    <row r="290" spans="7:7">
      <c r="G290" s="812"/>
    </row>
    <row r="291" spans="7:7">
      <c r="G291" s="812"/>
    </row>
    <row r="292" spans="7:7">
      <c r="G292" s="812"/>
    </row>
    <row r="293" spans="7:7">
      <c r="G293" s="812"/>
    </row>
    <row r="294" spans="7:7">
      <c r="G294" s="812"/>
    </row>
    <row r="295" spans="7:7">
      <c r="G295" s="812"/>
    </row>
    <row r="296" spans="7:7">
      <c r="G296" s="812"/>
    </row>
    <row r="297" spans="7:7">
      <c r="G297" s="812"/>
    </row>
    <row r="298" spans="7:7">
      <c r="G298" s="812"/>
    </row>
    <row r="299" spans="7:7">
      <c r="G299" s="812"/>
    </row>
    <row r="300" spans="7:7">
      <c r="G300" s="812"/>
    </row>
    <row r="301" spans="7:7">
      <c r="G301" s="812"/>
    </row>
    <row r="302" spans="7:7">
      <c r="G302" s="812"/>
    </row>
    <row r="303" spans="7:7">
      <c r="G303" s="812"/>
    </row>
    <row r="304" spans="7:7">
      <c r="G304" s="812"/>
    </row>
    <row r="305" spans="7:7">
      <c r="G305" s="812"/>
    </row>
    <row r="306" spans="7:7">
      <c r="G306" s="812"/>
    </row>
    <row r="307" spans="7:7">
      <c r="G307" s="812"/>
    </row>
    <row r="308" spans="7:7">
      <c r="G308" s="812"/>
    </row>
    <row r="309" spans="7:7">
      <c r="G309" s="812"/>
    </row>
    <row r="310" spans="7:7">
      <c r="G310" s="812"/>
    </row>
    <row r="311" spans="7:7">
      <c r="G311" s="812"/>
    </row>
    <row r="312" spans="7:7">
      <c r="G312" s="812"/>
    </row>
    <row r="313" spans="7:7">
      <c r="G313" s="812"/>
    </row>
    <row r="314" spans="7:7">
      <c r="G314" s="812"/>
    </row>
    <row r="315" spans="7:7">
      <c r="G315" s="812"/>
    </row>
    <row r="316" spans="7:7">
      <c r="G316" s="812"/>
    </row>
    <row r="317" spans="7:7">
      <c r="G317" s="812"/>
    </row>
    <row r="318" spans="7:7">
      <c r="G318" s="812"/>
    </row>
    <row r="319" spans="7:7">
      <c r="G319" s="812"/>
    </row>
    <row r="320" spans="7:7">
      <c r="G320" s="812"/>
    </row>
    <row r="321" spans="7:7">
      <c r="G321" s="812"/>
    </row>
    <row r="322" spans="7:7">
      <c r="G322" s="812"/>
    </row>
    <row r="323" spans="7:7">
      <c r="G323" s="812"/>
    </row>
    <row r="324" spans="7:7">
      <c r="G324" s="812"/>
    </row>
    <row r="325" spans="7:7">
      <c r="G325" s="812"/>
    </row>
    <row r="326" spans="7:7">
      <c r="G326" s="812"/>
    </row>
    <row r="327" spans="7:7">
      <c r="G327" s="812"/>
    </row>
    <row r="328" spans="7:7">
      <c r="G328" s="812"/>
    </row>
    <row r="329" spans="7:7">
      <c r="G329" s="812"/>
    </row>
    <row r="330" spans="7:7">
      <c r="G330" s="812"/>
    </row>
    <row r="331" spans="7:7">
      <c r="G331" s="812"/>
    </row>
    <row r="332" spans="7:7">
      <c r="G332" s="812"/>
    </row>
    <row r="333" spans="7:7">
      <c r="G333" s="812"/>
    </row>
    <row r="334" spans="7:7">
      <c r="G334" s="812"/>
    </row>
    <row r="335" spans="7:7">
      <c r="G335" s="812"/>
    </row>
    <row r="336" spans="7:7">
      <c r="G336" s="812"/>
    </row>
    <row r="337" spans="7:7">
      <c r="G337" s="812"/>
    </row>
    <row r="338" spans="7:7">
      <c r="G338" s="812"/>
    </row>
    <row r="339" spans="7:7">
      <c r="G339" s="812"/>
    </row>
    <row r="340" spans="7:7">
      <c r="G340" s="812"/>
    </row>
    <row r="341" spans="7:7">
      <c r="G341" s="812"/>
    </row>
    <row r="342" spans="7:7">
      <c r="G342" s="812"/>
    </row>
    <row r="343" spans="7:7">
      <c r="G343" s="812"/>
    </row>
    <row r="344" spans="7:7">
      <c r="G344" s="812"/>
    </row>
    <row r="345" spans="7:7">
      <c r="G345" s="812"/>
    </row>
    <row r="346" spans="7:7">
      <c r="G346" s="812"/>
    </row>
    <row r="347" spans="7:7">
      <c r="G347" s="812"/>
    </row>
    <row r="348" spans="7:7">
      <c r="G348" s="812"/>
    </row>
    <row r="349" spans="7:7">
      <c r="G349" s="812"/>
    </row>
    <row r="350" spans="7:7">
      <c r="G350" s="812"/>
    </row>
    <row r="351" spans="7:7">
      <c r="G351" s="812"/>
    </row>
    <row r="352" spans="7:7">
      <c r="G352" s="812"/>
    </row>
    <row r="353" spans="7:7">
      <c r="G353" s="812"/>
    </row>
    <row r="354" spans="7:7">
      <c r="G354" s="812"/>
    </row>
    <row r="355" spans="7:7">
      <c r="G355" s="812"/>
    </row>
    <row r="356" spans="7:7">
      <c r="G356" s="812"/>
    </row>
    <row r="357" spans="7:7">
      <c r="G357" s="812"/>
    </row>
    <row r="358" spans="7:7">
      <c r="G358" s="812"/>
    </row>
    <row r="359" spans="7:7">
      <c r="G359" s="812"/>
    </row>
    <row r="360" spans="7:7">
      <c r="G360" s="812"/>
    </row>
    <row r="361" spans="7:7">
      <c r="G361" s="812"/>
    </row>
    <row r="362" spans="7:7">
      <c r="G362" s="812"/>
    </row>
    <row r="363" spans="7:7">
      <c r="G363" s="812"/>
    </row>
    <row r="364" spans="7:7">
      <c r="G364" s="812"/>
    </row>
    <row r="365" spans="7:7">
      <c r="G365" s="812"/>
    </row>
    <row r="366" spans="7:7">
      <c r="G366" s="812"/>
    </row>
    <row r="367" spans="7:7">
      <c r="G367" s="812"/>
    </row>
    <row r="368" spans="7:7">
      <c r="G368" s="812"/>
    </row>
    <row r="369" spans="7:7">
      <c r="G369" s="812"/>
    </row>
    <row r="370" spans="7:7">
      <c r="G370" s="812"/>
    </row>
    <row r="371" spans="7:7">
      <c r="G371" s="812"/>
    </row>
    <row r="372" spans="7:7">
      <c r="G372" s="812"/>
    </row>
    <row r="373" spans="7:7">
      <c r="G373" s="812"/>
    </row>
    <row r="374" spans="7:7">
      <c r="G374" s="812"/>
    </row>
    <row r="375" spans="7:7">
      <c r="G375" s="812"/>
    </row>
    <row r="376" spans="7:7">
      <c r="G376" s="812"/>
    </row>
    <row r="377" spans="7:7">
      <c r="G377" s="812"/>
    </row>
    <row r="378" spans="7:7">
      <c r="G378" s="812"/>
    </row>
    <row r="379" spans="7:7">
      <c r="G379" s="812"/>
    </row>
    <row r="380" spans="7:7">
      <c r="G380" s="812"/>
    </row>
    <row r="381" spans="7:7">
      <c r="G381" s="812"/>
    </row>
    <row r="382" spans="7:7">
      <c r="G382" s="812"/>
    </row>
    <row r="383" spans="7:7">
      <c r="G383" s="812"/>
    </row>
    <row r="384" spans="7:7">
      <c r="G384" s="812"/>
    </row>
    <row r="385" spans="7:7">
      <c r="G385" s="812"/>
    </row>
    <row r="386" spans="7:7">
      <c r="G386" s="812"/>
    </row>
    <row r="387" spans="7:7">
      <c r="G387" s="812"/>
    </row>
    <row r="388" spans="7:7">
      <c r="G388" s="812"/>
    </row>
    <row r="389" spans="7:7">
      <c r="G389" s="812"/>
    </row>
    <row r="390" spans="7:7">
      <c r="G390" s="812"/>
    </row>
    <row r="391" spans="7:7">
      <c r="G391" s="812"/>
    </row>
    <row r="392" spans="7:7">
      <c r="G392" s="812"/>
    </row>
    <row r="393" spans="7:7">
      <c r="G393" s="812"/>
    </row>
    <row r="394" spans="7:7">
      <c r="G394" s="812"/>
    </row>
    <row r="395" spans="7:7">
      <c r="G395" s="812"/>
    </row>
    <row r="396" spans="7:7">
      <c r="G396" s="812"/>
    </row>
    <row r="397" spans="7:7">
      <c r="G397" s="812"/>
    </row>
    <row r="398" spans="7:7">
      <c r="G398" s="812"/>
    </row>
    <row r="399" spans="7:7">
      <c r="G399" s="812"/>
    </row>
    <row r="400" spans="7:7">
      <c r="G400" s="812"/>
    </row>
    <row r="401" spans="7:7">
      <c r="G401" s="812"/>
    </row>
    <row r="402" spans="7:7">
      <c r="G402" s="812"/>
    </row>
    <row r="403" spans="7:7">
      <c r="G403" s="812"/>
    </row>
    <row r="404" spans="7:7">
      <c r="G404" s="812"/>
    </row>
    <row r="405" spans="7:7">
      <c r="G405" s="812"/>
    </row>
    <row r="406" spans="7:7">
      <c r="G406" s="812"/>
    </row>
    <row r="407" spans="7:7">
      <c r="G407" s="812"/>
    </row>
    <row r="408" spans="7:7">
      <c r="G408" s="812"/>
    </row>
    <row r="409" spans="7:7">
      <c r="G409" s="812"/>
    </row>
    <row r="410" spans="7:7">
      <c r="G410" s="812"/>
    </row>
    <row r="411" spans="7:7">
      <c r="G411" s="812"/>
    </row>
    <row r="412" spans="7:7">
      <c r="G412" s="812"/>
    </row>
    <row r="413" spans="7:7">
      <c r="G413" s="812"/>
    </row>
    <row r="414" spans="7:7">
      <c r="G414" s="812"/>
    </row>
    <row r="415" spans="7:7">
      <c r="G415" s="812"/>
    </row>
    <row r="416" spans="7:7">
      <c r="G416" s="812"/>
    </row>
    <row r="417" spans="7:7">
      <c r="G417" s="812"/>
    </row>
    <row r="418" spans="7:7">
      <c r="G418" s="812"/>
    </row>
    <row r="419" spans="7:7">
      <c r="G419" s="812"/>
    </row>
    <row r="420" spans="7:7">
      <c r="G420" s="812"/>
    </row>
    <row r="421" spans="7:7">
      <c r="G421" s="812"/>
    </row>
    <row r="422" spans="7:7">
      <c r="G422" s="812"/>
    </row>
    <row r="423" spans="7:7">
      <c r="G423" s="812"/>
    </row>
    <row r="424" spans="7:7">
      <c r="G424" s="812"/>
    </row>
    <row r="425" spans="7:7">
      <c r="G425" s="812"/>
    </row>
    <row r="426" spans="7:7">
      <c r="G426" s="812"/>
    </row>
    <row r="427" spans="7:7">
      <c r="G427" s="812"/>
    </row>
    <row r="428" spans="7:7">
      <c r="G428" s="812"/>
    </row>
    <row r="429" spans="7:7">
      <c r="G429" s="812"/>
    </row>
    <row r="430" spans="7:7">
      <c r="G430" s="812"/>
    </row>
    <row r="431" spans="7:7">
      <c r="G431" s="812"/>
    </row>
    <row r="432" spans="7:7">
      <c r="G432" s="812"/>
    </row>
    <row r="433" spans="7:7">
      <c r="G433" s="812"/>
    </row>
    <row r="434" spans="7:7">
      <c r="G434" s="812"/>
    </row>
    <row r="435" spans="7:7">
      <c r="G435" s="812"/>
    </row>
    <row r="436" spans="7:7">
      <c r="G436" s="812"/>
    </row>
    <row r="437" spans="7:7">
      <c r="G437" s="812"/>
    </row>
    <row r="438" spans="7:7">
      <c r="G438" s="812"/>
    </row>
    <row r="439" spans="7:7">
      <c r="G439" s="812"/>
    </row>
    <row r="440" spans="7:7">
      <c r="G440" s="812"/>
    </row>
    <row r="441" spans="7:7">
      <c r="G441" s="812"/>
    </row>
    <row r="442" spans="7:7">
      <c r="G442" s="812"/>
    </row>
    <row r="443" spans="7:7">
      <c r="G443" s="812"/>
    </row>
    <row r="444" spans="7:7">
      <c r="G444" s="812"/>
    </row>
    <row r="445" spans="7:7">
      <c r="G445" s="812"/>
    </row>
    <row r="446" spans="7:7">
      <c r="G446" s="812"/>
    </row>
    <row r="447" spans="7:7">
      <c r="G447" s="812"/>
    </row>
    <row r="448" spans="7:7">
      <c r="G448" s="812"/>
    </row>
    <row r="449" spans="7:7">
      <c r="G449" s="812"/>
    </row>
    <row r="450" spans="7:7">
      <c r="G450" s="812"/>
    </row>
    <row r="451" spans="7:7">
      <c r="G451" s="812"/>
    </row>
    <row r="452" spans="7:7">
      <c r="G452" s="812"/>
    </row>
    <row r="453" spans="7:7">
      <c r="G453" s="812"/>
    </row>
    <row r="454" spans="7:7">
      <c r="G454" s="812"/>
    </row>
    <row r="455" spans="7:7">
      <c r="G455" s="812"/>
    </row>
    <row r="456" spans="7:7">
      <c r="G456" s="812"/>
    </row>
    <row r="457" spans="7:7">
      <c r="G457" s="812"/>
    </row>
    <row r="458" spans="7:7">
      <c r="G458" s="812"/>
    </row>
    <row r="459" spans="7:7">
      <c r="G459" s="812"/>
    </row>
    <row r="460" spans="7:7">
      <c r="G460" s="812"/>
    </row>
    <row r="461" spans="7:7">
      <c r="G461" s="812"/>
    </row>
    <row r="462" spans="7:7">
      <c r="G462" s="812"/>
    </row>
    <row r="463" spans="7:7">
      <c r="G463" s="812"/>
    </row>
    <row r="464" spans="7:7">
      <c r="G464" s="812"/>
    </row>
    <row r="465" spans="7:7">
      <c r="G465" s="812"/>
    </row>
    <row r="466" spans="7:7">
      <c r="G466" s="812"/>
    </row>
    <row r="467" spans="7:7">
      <c r="G467" s="812"/>
    </row>
    <row r="468" spans="7:7">
      <c r="G468" s="812"/>
    </row>
    <row r="469" spans="7:7">
      <c r="G469" s="812"/>
    </row>
    <row r="470" spans="7:7">
      <c r="G470" s="812"/>
    </row>
    <row r="471" spans="7:7">
      <c r="G471" s="812"/>
    </row>
    <row r="472" spans="7:7">
      <c r="G472" s="812"/>
    </row>
    <row r="473" spans="7:7">
      <c r="G473" s="812"/>
    </row>
    <row r="474" spans="7:7">
      <c r="G474" s="812"/>
    </row>
    <row r="475" spans="7:7">
      <c r="G475" s="812"/>
    </row>
    <row r="476" spans="7:7">
      <c r="G476" s="812"/>
    </row>
    <row r="477" spans="7:7">
      <c r="G477" s="812"/>
    </row>
    <row r="478" spans="7:7">
      <c r="G478" s="812"/>
    </row>
    <row r="479" spans="7:7">
      <c r="G479" s="812"/>
    </row>
    <row r="480" spans="7:7">
      <c r="G480" s="812"/>
    </row>
    <row r="481" spans="7:7">
      <c r="G481" s="812"/>
    </row>
    <row r="482" spans="7:7">
      <c r="G482" s="812"/>
    </row>
    <row r="483" spans="7:7">
      <c r="G483" s="812"/>
    </row>
    <row r="484" spans="7:7">
      <c r="G484" s="812"/>
    </row>
    <row r="485" spans="7:7">
      <c r="G485" s="812"/>
    </row>
    <row r="486" spans="7:7">
      <c r="G486" s="812"/>
    </row>
    <row r="487" spans="7:7">
      <c r="G487" s="812"/>
    </row>
    <row r="488" spans="7:7">
      <c r="G488" s="812"/>
    </row>
    <row r="489" spans="7:7">
      <c r="G489" s="812"/>
    </row>
    <row r="490" spans="7:7">
      <c r="G490" s="812"/>
    </row>
    <row r="491" spans="7:7">
      <c r="G491" s="812"/>
    </row>
    <row r="492" spans="7:7">
      <c r="G492" s="812"/>
    </row>
    <row r="493" spans="7:7">
      <c r="G493" s="812"/>
    </row>
    <row r="494" spans="7:7">
      <c r="G494" s="812"/>
    </row>
    <row r="495" spans="7:7">
      <c r="G495" s="812"/>
    </row>
    <row r="496" spans="7:7">
      <c r="G496" s="812"/>
    </row>
    <row r="497" spans="7:7">
      <c r="G497" s="812"/>
    </row>
    <row r="498" spans="7:7">
      <c r="G498" s="812"/>
    </row>
    <row r="499" spans="7:7">
      <c r="G499" s="812"/>
    </row>
    <row r="500" spans="7:7">
      <c r="G500" s="812"/>
    </row>
    <row r="501" spans="7:7">
      <c r="G501" s="812"/>
    </row>
    <row r="502" spans="7:7">
      <c r="G502" s="812"/>
    </row>
    <row r="503" spans="7:7">
      <c r="G503" s="812"/>
    </row>
    <row r="504" spans="7:7">
      <c r="G504" s="812"/>
    </row>
    <row r="505" spans="7:7">
      <c r="G505" s="812"/>
    </row>
    <row r="506" spans="7:7">
      <c r="G506" s="812"/>
    </row>
    <row r="507" spans="7:7">
      <c r="G507" s="812"/>
    </row>
    <row r="508" spans="7:7">
      <c r="G508" s="812"/>
    </row>
    <row r="509" spans="7:7">
      <c r="G509" s="812"/>
    </row>
    <row r="510" spans="7:7">
      <c r="G510" s="812"/>
    </row>
    <row r="511" spans="7:7">
      <c r="G511" s="812"/>
    </row>
    <row r="512" spans="7:7">
      <c r="G512" s="812"/>
    </row>
    <row r="513" spans="7:7">
      <c r="G513" s="812"/>
    </row>
    <row r="514" spans="7:7">
      <c r="G514" s="812"/>
    </row>
    <row r="515" spans="7:7">
      <c r="G515" s="812"/>
    </row>
    <row r="516" spans="7:7">
      <c r="G516" s="812"/>
    </row>
    <row r="517" spans="7:7">
      <c r="G517" s="812"/>
    </row>
    <row r="518" spans="7:7">
      <c r="G518" s="812"/>
    </row>
    <row r="519" spans="7:7">
      <c r="G519" s="812"/>
    </row>
    <row r="520" spans="7:7">
      <c r="G520" s="812"/>
    </row>
    <row r="521" spans="7:7">
      <c r="G521" s="812"/>
    </row>
    <row r="522" spans="7:7">
      <c r="G522" s="812"/>
    </row>
    <row r="523" spans="7:7">
      <c r="G523" s="812"/>
    </row>
    <row r="524" spans="7:7">
      <c r="G524" s="812"/>
    </row>
    <row r="525" spans="7:7">
      <c r="G525" s="812"/>
    </row>
    <row r="526" spans="7:7">
      <c r="G526" s="812"/>
    </row>
    <row r="527" spans="7:7">
      <c r="G527" s="812"/>
    </row>
    <row r="528" spans="7:7">
      <c r="G528" s="812"/>
    </row>
    <row r="529" spans="7:7">
      <c r="G529" s="812"/>
    </row>
    <row r="530" spans="7:7">
      <c r="G530" s="812"/>
    </row>
    <row r="531" spans="7:7">
      <c r="G531" s="812"/>
    </row>
    <row r="532" spans="7:7">
      <c r="G532" s="812"/>
    </row>
    <row r="533" spans="7:7">
      <c r="G533" s="812"/>
    </row>
    <row r="534" spans="7:7">
      <c r="G534" s="812"/>
    </row>
    <row r="535" spans="7:7">
      <c r="G535" s="812"/>
    </row>
    <row r="536" spans="7:7">
      <c r="G536" s="812"/>
    </row>
    <row r="537" spans="7:7">
      <c r="G537" s="812"/>
    </row>
    <row r="538" spans="7:7">
      <c r="G538" s="812"/>
    </row>
    <row r="539" spans="7:7">
      <c r="G539" s="812"/>
    </row>
    <row r="540" spans="7:7">
      <c r="G540" s="812"/>
    </row>
    <row r="541" spans="7:7">
      <c r="G541" s="812"/>
    </row>
    <row r="542" spans="7:7">
      <c r="G542" s="812"/>
    </row>
    <row r="543" spans="7:7">
      <c r="G543" s="812"/>
    </row>
    <row r="544" spans="7:7">
      <c r="G544" s="812"/>
    </row>
    <row r="545" spans="7:7">
      <c r="G545" s="812"/>
    </row>
    <row r="546" spans="7:7">
      <c r="G546" s="812"/>
    </row>
    <row r="547" spans="7:7">
      <c r="G547" s="812"/>
    </row>
    <row r="548" spans="7:7">
      <c r="G548" s="812"/>
    </row>
    <row r="549" spans="7:7">
      <c r="G549" s="812"/>
    </row>
    <row r="550" spans="7:7">
      <c r="G550" s="812"/>
    </row>
    <row r="551" spans="7:7">
      <c r="G551" s="812"/>
    </row>
    <row r="552" spans="7:7">
      <c r="G552" s="812"/>
    </row>
    <row r="553" spans="7:7">
      <c r="G553" s="812"/>
    </row>
    <row r="554" spans="7:7">
      <c r="G554" s="812"/>
    </row>
    <row r="555" spans="7:7">
      <c r="G555" s="812"/>
    </row>
    <row r="556" spans="7:7">
      <c r="G556" s="812"/>
    </row>
    <row r="557" spans="7:7">
      <c r="G557" s="812"/>
    </row>
    <row r="558" spans="7:7">
      <c r="G558" s="812"/>
    </row>
    <row r="559" spans="7:7">
      <c r="G559" s="812"/>
    </row>
    <row r="560" spans="7:7">
      <c r="G560" s="812"/>
    </row>
    <row r="561" spans="7:7">
      <c r="G561" s="812"/>
    </row>
    <row r="562" spans="7:7">
      <c r="G562" s="812"/>
    </row>
    <row r="563" spans="7:7">
      <c r="G563" s="812"/>
    </row>
    <row r="564" spans="7:7">
      <c r="G564" s="812"/>
    </row>
    <row r="565" spans="7:7">
      <c r="G565" s="812"/>
    </row>
    <row r="566" spans="7:7">
      <c r="G566" s="812"/>
    </row>
    <row r="567" spans="7:7">
      <c r="G567" s="812"/>
    </row>
    <row r="568" spans="7:7">
      <c r="G568" s="812"/>
    </row>
    <row r="569" spans="7:7">
      <c r="G569" s="812"/>
    </row>
    <row r="570" spans="7:7">
      <c r="G570" s="812"/>
    </row>
    <row r="571" spans="7:7">
      <c r="G571" s="812"/>
    </row>
    <row r="572" spans="7:7">
      <c r="G572" s="812"/>
    </row>
    <row r="573" spans="7:7">
      <c r="G573" s="812"/>
    </row>
    <row r="574" spans="7:7">
      <c r="G574" s="812"/>
    </row>
    <row r="575" spans="7:7">
      <c r="G575" s="812"/>
    </row>
    <row r="576" spans="7:7">
      <c r="G576" s="812"/>
    </row>
    <row r="577" spans="7:7">
      <c r="G577" s="812"/>
    </row>
    <row r="578" spans="7:7">
      <c r="G578" s="812"/>
    </row>
    <row r="579" spans="7:7">
      <c r="G579" s="812"/>
    </row>
    <row r="580" spans="7:7">
      <c r="G580" s="812"/>
    </row>
    <row r="581" spans="7:7">
      <c r="G581" s="812"/>
    </row>
    <row r="582" spans="7:7">
      <c r="G582" s="812"/>
    </row>
    <row r="583" spans="7:7">
      <c r="G583" s="812"/>
    </row>
    <row r="584" spans="7:7">
      <c r="G584" s="812"/>
    </row>
    <row r="585" spans="7:7">
      <c r="G585" s="812"/>
    </row>
    <row r="586" spans="7:7">
      <c r="G586" s="812"/>
    </row>
    <row r="587" spans="7:7">
      <c r="G587" s="812"/>
    </row>
    <row r="588" spans="7:7">
      <c r="G588" s="812"/>
    </row>
    <row r="589" spans="7:7">
      <c r="G589" s="812"/>
    </row>
    <row r="590" spans="7:7">
      <c r="G590" s="812"/>
    </row>
    <row r="591" spans="7:7">
      <c r="G591" s="812"/>
    </row>
    <row r="592" spans="7:7">
      <c r="G592" s="812"/>
    </row>
    <row r="593" spans="7:7">
      <c r="G593" s="812"/>
    </row>
    <row r="594" spans="7:7">
      <c r="G594" s="812"/>
    </row>
    <row r="595" spans="7:7">
      <c r="G595" s="812"/>
    </row>
    <row r="596" spans="7:7">
      <c r="G596" s="812"/>
    </row>
    <row r="597" spans="7:7">
      <c r="G597" s="812"/>
    </row>
    <row r="598" spans="7:7">
      <c r="G598" s="812"/>
    </row>
    <row r="599" spans="7:7">
      <c r="G599" s="812"/>
    </row>
    <row r="600" spans="7:7">
      <c r="G600" s="812"/>
    </row>
    <row r="601" spans="7:7">
      <c r="G601" s="812"/>
    </row>
    <row r="602" spans="7:7">
      <c r="G602" s="812"/>
    </row>
    <row r="603" spans="7:7">
      <c r="G603" s="812"/>
    </row>
    <row r="604" spans="7:7">
      <c r="G604" s="812"/>
    </row>
    <row r="605" spans="7:7">
      <c r="G605" s="812"/>
    </row>
    <row r="606" spans="7:7">
      <c r="G606" s="812"/>
    </row>
    <row r="607" spans="7:7">
      <c r="G607" s="812"/>
    </row>
    <row r="608" spans="7:7">
      <c r="G608" s="812"/>
    </row>
    <row r="609" spans="7:7">
      <c r="G609" s="812"/>
    </row>
    <row r="610" spans="7:7">
      <c r="G610" s="812"/>
    </row>
    <row r="611" spans="7:7">
      <c r="G611" s="812"/>
    </row>
    <row r="612" spans="7:7">
      <c r="G612" s="812"/>
    </row>
    <row r="613" spans="7:7">
      <c r="G613" s="812"/>
    </row>
    <row r="614" spans="7:7">
      <c r="G614" s="812"/>
    </row>
    <row r="615" spans="7:7">
      <c r="G615" s="812"/>
    </row>
    <row r="616" spans="7:7">
      <c r="G616" s="812"/>
    </row>
    <row r="617" spans="7:7">
      <c r="G617" s="812"/>
    </row>
    <row r="618" spans="7:7">
      <c r="G618" s="812"/>
    </row>
    <row r="619" spans="7:7">
      <c r="G619" s="812"/>
    </row>
    <row r="620" spans="7:7">
      <c r="G620" s="812"/>
    </row>
    <row r="621" spans="7:7">
      <c r="G621" s="812"/>
    </row>
    <row r="622" spans="7:7">
      <c r="G622" s="812"/>
    </row>
    <row r="623" spans="7:7">
      <c r="G623" s="812"/>
    </row>
    <row r="624" spans="7:7">
      <c r="G624" s="812"/>
    </row>
    <row r="625" spans="7:7">
      <c r="G625" s="812"/>
    </row>
    <row r="626" spans="7:7">
      <c r="G626" s="812"/>
    </row>
    <row r="627" spans="7:7">
      <c r="G627" s="812"/>
    </row>
    <row r="628" spans="7:7">
      <c r="G628" s="812"/>
    </row>
    <row r="629" spans="7:7">
      <c r="G629" s="812"/>
    </row>
    <row r="630" spans="7:7">
      <c r="G630" s="812"/>
    </row>
    <row r="631" spans="7:7">
      <c r="G631" s="812"/>
    </row>
    <row r="632" spans="7:7">
      <c r="G632" s="812"/>
    </row>
    <row r="633" spans="7:7">
      <c r="G633" s="812"/>
    </row>
    <row r="634" spans="7:7">
      <c r="G634" s="812"/>
    </row>
    <row r="635" spans="7:7">
      <c r="G635" s="812"/>
    </row>
    <row r="636" spans="7:7">
      <c r="G636" s="812"/>
    </row>
    <row r="637" spans="7:7">
      <c r="G637" s="812"/>
    </row>
    <row r="638" spans="7:7">
      <c r="G638" s="812"/>
    </row>
    <row r="639" spans="7:7">
      <c r="G639" s="812"/>
    </row>
    <row r="640" spans="7:7">
      <c r="G640" s="812"/>
    </row>
    <row r="641" spans="7:7">
      <c r="G641" s="812"/>
    </row>
    <row r="642" spans="7:7">
      <c r="G642" s="812"/>
    </row>
    <row r="643" spans="7:7">
      <c r="G643" s="812"/>
    </row>
    <row r="644" spans="7:7">
      <c r="G644" s="812"/>
    </row>
    <row r="645" spans="7:7">
      <c r="G645" s="812"/>
    </row>
    <row r="646" spans="7:7">
      <c r="G646" s="812"/>
    </row>
    <row r="647" spans="7:7">
      <c r="G647" s="812"/>
    </row>
    <row r="648" spans="7:7">
      <c r="G648" s="812"/>
    </row>
    <row r="649" spans="7:7">
      <c r="G649" s="812"/>
    </row>
    <row r="650" spans="7:7">
      <c r="G650" s="812"/>
    </row>
    <row r="651" spans="7:7">
      <c r="G651" s="812"/>
    </row>
    <row r="652" spans="7:7">
      <c r="G652" s="812"/>
    </row>
    <row r="653" spans="7:7">
      <c r="G653" s="812"/>
    </row>
    <row r="654" spans="7:7">
      <c r="G654" s="812"/>
    </row>
    <row r="655" spans="7:7">
      <c r="G655" s="812"/>
    </row>
    <row r="656" spans="7:7">
      <c r="G656" s="812"/>
    </row>
    <row r="657" spans="7:7">
      <c r="G657" s="812"/>
    </row>
    <row r="658" spans="7:7">
      <c r="G658" s="812"/>
    </row>
    <row r="659" spans="7:7">
      <c r="G659" s="812"/>
    </row>
    <row r="660" spans="7:7">
      <c r="G660" s="812"/>
    </row>
    <row r="661" spans="7:7">
      <c r="G661" s="812"/>
    </row>
    <row r="662" spans="7:7">
      <c r="G662" s="812"/>
    </row>
    <row r="663" spans="7:7">
      <c r="G663" s="812"/>
    </row>
    <row r="664" spans="7:7">
      <c r="G664" s="812"/>
    </row>
    <row r="665" spans="7:7">
      <c r="G665" s="812"/>
    </row>
    <row r="666" spans="7:7">
      <c r="G666" s="812"/>
    </row>
    <row r="667" spans="7:7">
      <c r="G667" s="812"/>
    </row>
    <row r="668" spans="7:7">
      <c r="G668" s="812"/>
    </row>
    <row r="669" spans="7:7">
      <c r="G669" s="812"/>
    </row>
    <row r="670" spans="7:7">
      <c r="G670" s="812"/>
    </row>
    <row r="671" spans="7:7">
      <c r="G671" s="812"/>
    </row>
    <row r="672" spans="7:7">
      <c r="G672" s="812"/>
    </row>
    <row r="673" spans="7:7">
      <c r="G673" s="812"/>
    </row>
    <row r="674" spans="7:7">
      <c r="G674" s="812"/>
    </row>
    <row r="675" spans="7:7">
      <c r="G675" s="812"/>
    </row>
    <row r="676" spans="7:7">
      <c r="G676" s="812"/>
    </row>
    <row r="677" spans="7:7">
      <c r="G677" s="812"/>
    </row>
    <row r="678" spans="7:7">
      <c r="G678" s="812"/>
    </row>
    <row r="679" spans="7:7">
      <c r="G679" s="812"/>
    </row>
    <row r="680" spans="7:7">
      <c r="G680" s="812"/>
    </row>
    <row r="681" spans="7:7">
      <c r="G681" s="812"/>
    </row>
    <row r="682" spans="7:7">
      <c r="G682" s="812"/>
    </row>
    <row r="683" spans="7:7">
      <c r="G683" s="812"/>
    </row>
    <row r="684" spans="7:7">
      <c r="G684" s="812"/>
    </row>
    <row r="685" spans="7:7">
      <c r="G685" s="812"/>
    </row>
    <row r="686" spans="7:7">
      <c r="G686" s="812"/>
    </row>
    <row r="687" spans="7:7">
      <c r="G687" s="812"/>
    </row>
    <row r="688" spans="7:7">
      <c r="G688" s="812"/>
    </row>
    <row r="689" spans="7:7">
      <c r="G689" s="812"/>
    </row>
    <row r="690" spans="7:7">
      <c r="G690" s="812"/>
    </row>
    <row r="691" spans="7:7">
      <c r="G691" s="812"/>
    </row>
    <row r="692" spans="7:7">
      <c r="G692" s="812"/>
    </row>
    <row r="693" spans="7:7">
      <c r="G693" s="812"/>
    </row>
    <row r="694" spans="7:7">
      <c r="G694" s="812"/>
    </row>
    <row r="695" spans="7:7">
      <c r="G695" s="812"/>
    </row>
    <row r="696" spans="7:7">
      <c r="G696" s="812"/>
    </row>
    <row r="697" spans="7:7">
      <c r="G697" s="812"/>
    </row>
    <row r="698" spans="7:7">
      <c r="G698" s="812"/>
    </row>
    <row r="699" spans="7:7">
      <c r="G699" s="812"/>
    </row>
    <row r="700" spans="7:7">
      <c r="G700" s="812"/>
    </row>
    <row r="701" spans="7:7">
      <c r="G701" s="812"/>
    </row>
    <row r="702" spans="7:7">
      <c r="G702" s="812"/>
    </row>
    <row r="703" spans="7:7">
      <c r="G703" s="812"/>
    </row>
    <row r="704" spans="7:7">
      <c r="G704" s="812"/>
    </row>
    <row r="705" spans="7:7">
      <c r="G705" s="812"/>
    </row>
    <row r="706" spans="7:7">
      <c r="G706" s="812"/>
    </row>
    <row r="707" spans="7:7">
      <c r="G707" s="812"/>
    </row>
    <row r="708" spans="7:7">
      <c r="G708" s="812"/>
    </row>
    <row r="709" spans="7:7">
      <c r="G709" s="812"/>
    </row>
    <row r="710" spans="7:7">
      <c r="G710" s="812"/>
    </row>
    <row r="711" spans="7:7">
      <c r="G711" s="812"/>
    </row>
    <row r="712" spans="7:7">
      <c r="G712" s="812"/>
    </row>
    <row r="713" spans="7:7">
      <c r="G713" s="812"/>
    </row>
    <row r="714" spans="7:7">
      <c r="G714" s="812"/>
    </row>
    <row r="715" spans="7:7">
      <c r="G715" s="812"/>
    </row>
    <row r="716" spans="7:7">
      <c r="G716" s="812"/>
    </row>
    <row r="717" spans="7:7">
      <c r="G717" s="812"/>
    </row>
    <row r="718" spans="7:7">
      <c r="G718" s="812"/>
    </row>
    <row r="719" spans="7:7">
      <c r="G719" s="812"/>
    </row>
    <row r="720" spans="7:7">
      <c r="G720" s="812"/>
    </row>
    <row r="721" spans="7:7">
      <c r="G721" s="812"/>
    </row>
    <row r="722" spans="7:7">
      <c r="G722" s="812"/>
    </row>
    <row r="723" spans="7:7">
      <c r="G723" s="812"/>
    </row>
    <row r="724" spans="7:7">
      <c r="G724" s="812"/>
    </row>
    <row r="725" spans="7:7">
      <c r="G725" s="812"/>
    </row>
    <row r="726" spans="7:7">
      <c r="G726" s="812"/>
    </row>
    <row r="727" spans="7:7">
      <c r="G727" s="812"/>
    </row>
    <row r="728" spans="7:7">
      <c r="G728" s="812"/>
    </row>
    <row r="729" spans="7:7">
      <c r="G729" s="812"/>
    </row>
    <row r="730" spans="7:7">
      <c r="G730" s="812"/>
    </row>
    <row r="731" spans="7:7">
      <c r="G731" s="812"/>
    </row>
    <row r="732" spans="7:7">
      <c r="G732" s="812"/>
    </row>
    <row r="733" spans="7:7">
      <c r="G733" s="812"/>
    </row>
    <row r="734" spans="7:7">
      <c r="G734" s="812"/>
    </row>
    <row r="735" spans="7:7">
      <c r="G735" s="812"/>
    </row>
    <row r="736" spans="7:7">
      <c r="G736" s="812"/>
    </row>
    <row r="737" spans="7:7">
      <c r="G737" s="812"/>
    </row>
    <row r="738" spans="7:7">
      <c r="G738" s="812"/>
    </row>
    <row r="739" spans="7:7">
      <c r="G739" s="812"/>
    </row>
    <row r="740" spans="7:7">
      <c r="G740" s="812"/>
    </row>
    <row r="741" spans="7:7">
      <c r="G741" s="812"/>
    </row>
    <row r="742" spans="7:7">
      <c r="G742" s="812"/>
    </row>
    <row r="743" spans="7:7">
      <c r="G743" s="812"/>
    </row>
    <row r="744" spans="7:7">
      <c r="G744" s="812"/>
    </row>
    <row r="745" spans="7:7">
      <c r="G745" s="812"/>
    </row>
    <row r="746" spans="7:7">
      <c r="G746" s="812"/>
    </row>
    <row r="747" spans="7:7">
      <c r="G747" s="812"/>
    </row>
    <row r="748" spans="7:7">
      <c r="G748" s="812"/>
    </row>
    <row r="749" spans="7:7">
      <c r="G749" s="812"/>
    </row>
    <row r="750" spans="7:7">
      <c r="G750" s="812"/>
    </row>
    <row r="751" spans="7:7">
      <c r="G751" s="812"/>
    </row>
    <row r="752" spans="7:7">
      <c r="G752" s="812"/>
    </row>
    <row r="753" spans="7:7">
      <c r="G753" s="812"/>
    </row>
    <row r="754" spans="7:7">
      <c r="G754" s="812"/>
    </row>
    <row r="755" spans="7:7">
      <c r="G755" s="812"/>
    </row>
    <row r="756" spans="7:7">
      <c r="G756" s="812"/>
    </row>
    <row r="757" spans="7:7">
      <c r="G757" s="812"/>
    </row>
    <row r="758" spans="7:7">
      <c r="G758" s="812"/>
    </row>
    <row r="759" spans="7:7">
      <c r="G759" s="812"/>
    </row>
    <row r="760" spans="7:7">
      <c r="G760" s="812"/>
    </row>
    <row r="761" spans="7:7">
      <c r="G761" s="812"/>
    </row>
    <row r="762" spans="7:7">
      <c r="G762" s="812"/>
    </row>
    <row r="763" spans="7:7">
      <c r="G763" s="812"/>
    </row>
    <row r="764" spans="7:7">
      <c r="G764" s="812"/>
    </row>
    <row r="765" spans="7:7">
      <c r="G765" s="812"/>
    </row>
    <row r="766" spans="7:7">
      <c r="G766" s="812"/>
    </row>
    <row r="767" spans="7:7">
      <c r="G767" s="812"/>
    </row>
    <row r="768" spans="7:7">
      <c r="G768" s="812"/>
    </row>
    <row r="769" spans="7:7">
      <c r="G769" s="812"/>
    </row>
    <row r="770" spans="7:7">
      <c r="G770" s="812"/>
    </row>
    <row r="771" spans="7:7">
      <c r="G771" s="812"/>
    </row>
    <row r="772" spans="7:7">
      <c r="G772" s="812"/>
    </row>
    <row r="773" spans="7:7">
      <c r="G773" s="812"/>
    </row>
    <row r="774" spans="7:7">
      <c r="G774" s="812"/>
    </row>
    <row r="775" spans="7:7">
      <c r="G775" s="812"/>
    </row>
    <row r="776" spans="7:7">
      <c r="G776" s="812"/>
    </row>
    <row r="777" spans="7:7">
      <c r="G777" s="812"/>
    </row>
    <row r="778" spans="7:7">
      <c r="G778" s="812"/>
    </row>
    <row r="779" spans="7:7">
      <c r="G779" s="812"/>
    </row>
    <row r="780" spans="7:7">
      <c r="G780" s="812"/>
    </row>
    <row r="781" spans="7:7">
      <c r="G781" s="812"/>
    </row>
    <row r="782" spans="7:7">
      <c r="G782" s="812"/>
    </row>
    <row r="783" spans="7:7">
      <c r="G783" s="812"/>
    </row>
    <row r="784" spans="7:7">
      <c r="G784" s="812"/>
    </row>
    <row r="785" spans="7:7">
      <c r="G785" s="812"/>
    </row>
    <row r="786" spans="7:7">
      <c r="G786" s="812"/>
    </row>
    <row r="787" spans="7:7">
      <c r="G787" s="812"/>
    </row>
    <row r="788" spans="7:7">
      <c r="G788" s="812"/>
    </row>
    <row r="789" spans="7:7">
      <c r="G789" s="812"/>
    </row>
    <row r="790" spans="7:7">
      <c r="G790" s="812"/>
    </row>
    <row r="791" spans="7:7">
      <c r="G791" s="812"/>
    </row>
    <row r="792" spans="7:7">
      <c r="G792" s="812"/>
    </row>
    <row r="793" spans="7:7">
      <c r="G793" s="812"/>
    </row>
    <row r="794" spans="7:7">
      <c r="G794" s="812"/>
    </row>
    <row r="795" spans="7:7">
      <c r="G795" s="812"/>
    </row>
    <row r="796" spans="7:7">
      <c r="G796" s="812"/>
    </row>
    <row r="797" spans="7:7">
      <c r="G797" s="812"/>
    </row>
    <row r="798" spans="7:7">
      <c r="G798" s="812"/>
    </row>
    <row r="799" spans="7:7">
      <c r="G799" s="812"/>
    </row>
    <row r="800" spans="7:7">
      <c r="G800" s="812"/>
    </row>
    <row r="801" spans="7:7">
      <c r="G801" s="812"/>
    </row>
    <row r="802" spans="7:7">
      <c r="G802" s="812"/>
    </row>
    <row r="803" spans="7:7">
      <c r="G803" s="812"/>
    </row>
    <row r="804" spans="7:7">
      <c r="G804" s="812"/>
    </row>
    <row r="805" spans="7:7">
      <c r="G805" s="812"/>
    </row>
    <row r="806" spans="7:7">
      <c r="G806" s="812"/>
    </row>
    <row r="807" spans="7:7">
      <c r="G807" s="812"/>
    </row>
    <row r="808" spans="7:7">
      <c r="G808" s="812"/>
    </row>
    <row r="809" spans="7:7">
      <c r="G809" s="812"/>
    </row>
    <row r="810" spans="7:7">
      <c r="G810" s="812"/>
    </row>
    <row r="811" spans="7:7">
      <c r="G811" s="812"/>
    </row>
    <row r="812" spans="7:7">
      <c r="G812" s="812"/>
    </row>
    <row r="813" spans="7:7">
      <c r="G813" s="812"/>
    </row>
    <row r="814" spans="7:7">
      <c r="G814" s="812"/>
    </row>
    <row r="815" spans="7:7">
      <c r="G815" s="812"/>
    </row>
    <row r="816" spans="7:7">
      <c r="G816" s="812"/>
    </row>
    <row r="817" spans="7:7">
      <c r="G817" s="812"/>
    </row>
    <row r="818" spans="7:7">
      <c r="G818" s="812"/>
    </row>
    <row r="819" spans="7:7">
      <c r="G819" s="812"/>
    </row>
    <row r="820" spans="7:7">
      <c r="G820" s="812"/>
    </row>
    <row r="821" spans="7:7">
      <c r="G821" s="812"/>
    </row>
    <row r="822" spans="7:7">
      <c r="G822" s="812"/>
    </row>
    <row r="823" spans="7:7">
      <c r="G823" s="812"/>
    </row>
    <row r="824" spans="7:7">
      <c r="G824" s="812"/>
    </row>
    <row r="825" spans="7:7">
      <c r="G825" s="812"/>
    </row>
    <row r="826" spans="7:7">
      <c r="G826" s="812"/>
    </row>
    <row r="827" spans="7:7">
      <c r="G827" s="812"/>
    </row>
    <row r="828" spans="7:7">
      <c r="G828" s="812"/>
    </row>
    <row r="829" spans="7:7">
      <c r="G829" s="812"/>
    </row>
    <row r="830" spans="7:7">
      <c r="G830" s="812"/>
    </row>
    <row r="831" spans="7:7">
      <c r="G831" s="812"/>
    </row>
    <row r="832" spans="7:7">
      <c r="G832" s="812"/>
    </row>
    <row r="833" spans="7:7">
      <c r="G833" s="812"/>
    </row>
    <row r="834" spans="7:7">
      <c r="G834" s="812"/>
    </row>
    <row r="835" spans="7:7">
      <c r="G835" s="812"/>
    </row>
    <row r="836" spans="7:7">
      <c r="G836" s="812"/>
    </row>
    <row r="837" spans="7:7">
      <c r="G837" s="812"/>
    </row>
    <row r="838" spans="7:7">
      <c r="G838" s="812"/>
    </row>
    <row r="839" spans="7:7">
      <c r="G839" s="812"/>
    </row>
    <row r="840" spans="7:7">
      <c r="G840" s="812"/>
    </row>
    <row r="841" spans="7:7">
      <c r="G841" s="812"/>
    </row>
    <row r="842" spans="7:7">
      <c r="G842" s="812"/>
    </row>
    <row r="843" spans="7:7">
      <c r="G843" s="812"/>
    </row>
    <row r="844" spans="7:7">
      <c r="G844" s="812"/>
    </row>
    <row r="845" spans="7:7">
      <c r="G845" s="812"/>
    </row>
    <row r="846" spans="7:7">
      <c r="G846" s="812"/>
    </row>
    <row r="847" spans="7:7">
      <c r="G847" s="812"/>
    </row>
    <row r="848" spans="7:7">
      <c r="G848" s="812"/>
    </row>
    <row r="849" spans="7:7">
      <c r="G849" s="812"/>
    </row>
    <row r="850" spans="7:7">
      <c r="G850" s="812"/>
    </row>
    <row r="851" spans="7:7">
      <c r="G851" s="812"/>
    </row>
    <row r="852" spans="7:7">
      <c r="G852" s="812"/>
    </row>
    <row r="853" spans="7:7">
      <c r="G853" s="812"/>
    </row>
    <row r="854" spans="7:7">
      <c r="G854" s="812"/>
    </row>
    <row r="855" spans="7:7">
      <c r="G855" s="812"/>
    </row>
    <row r="856" spans="7:7">
      <c r="G856" s="812"/>
    </row>
    <row r="857" spans="7:7">
      <c r="G857" s="812"/>
    </row>
    <row r="858" spans="7:7">
      <c r="G858" s="812"/>
    </row>
    <row r="859" spans="7:7">
      <c r="G859" s="812"/>
    </row>
    <row r="860" spans="7:7">
      <c r="G860" s="812"/>
    </row>
    <row r="861" spans="7:7">
      <c r="G861" s="812"/>
    </row>
    <row r="862" spans="7:7">
      <c r="G862" s="812"/>
    </row>
    <row r="863" spans="7:7">
      <c r="G863" s="812"/>
    </row>
    <row r="864" spans="7:7">
      <c r="G864" s="812"/>
    </row>
    <row r="865" spans="7:7">
      <c r="G865" s="812"/>
    </row>
    <row r="866" spans="7:7">
      <c r="G866" s="812"/>
    </row>
    <row r="867" spans="7:7">
      <c r="G867" s="812"/>
    </row>
    <row r="868" spans="7:7">
      <c r="G868" s="812"/>
    </row>
    <row r="869" spans="7:7">
      <c r="G869" s="812"/>
    </row>
    <row r="870" spans="7:7">
      <c r="G870" s="812"/>
    </row>
    <row r="871" spans="7:7">
      <c r="G871" s="812"/>
    </row>
    <row r="872" spans="7:7">
      <c r="G872" s="812"/>
    </row>
    <row r="873" spans="7:7">
      <c r="G873" s="812"/>
    </row>
    <row r="874" spans="7:7">
      <c r="G874" s="812"/>
    </row>
    <row r="875" spans="7:7">
      <c r="G875" s="812"/>
    </row>
    <row r="876" spans="7:7">
      <c r="G876" s="812"/>
    </row>
    <row r="877" spans="7:7">
      <c r="G877" s="812"/>
    </row>
    <row r="878" spans="7:7">
      <c r="G878" s="812"/>
    </row>
    <row r="879" spans="7:7">
      <c r="G879" s="812"/>
    </row>
    <row r="880" spans="7:7">
      <c r="G880" s="812"/>
    </row>
    <row r="881" spans="7:7">
      <c r="G881" s="812"/>
    </row>
    <row r="882" spans="7:7">
      <c r="G882" s="812"/>
    </row>
    <row r="883" spans="7:7">
      <c r="G883" s="812"/>
    </row>
    <row r="884" spans="7:7">
      <c r="G884" s="812"/>
    </row>
    <row r="885" spans="7:7">
      <c r="G885" s="812"/>
    </row>
    <row r="886" spans="7:7">
      <c r="G886" s="812"/>
    </row>
    <row r="887" spans="7:7">
      <c r="G887" s="812"/>
    </row>
    <row r="888" spans="7:7">
      <c r="G888" s="812"/>
    </row>
    <row r="889" spans="7:7">
      <c r="G889" s="812"/>
    </row>
    <row r="890" spans="7:7">
      <c r="G890" s="812"/>
    </row>
    <row r="891" spans="7:7">
      <c r="G891" s="812"/>
    </row>
    <row r="892" spans="7:7">
      <c r="G892" s="812"/>
    </row>
    <row r="893" spans="7:7">
      <c r="G893" s="812"/>
    </row>
    <row r="894" spans="7:7">
      <c r="G894" s="812"/>
    </row>
    <row r="895" spans="7:7">
      <c r="G895" s="812"/>
    </row>
    <row r="896" spans="7:7">
      <c r="G896" s="812"/>
    </row>
    <row r="897" spans="7:7">
      <c r="G897" s="812"/>
    </row>
    <row r="898" spans="7:7">
      <c r="G898" s="812"/>
    </row>
    <row r="899" spans="7:7">
      <c r="G899" s="812"/>
    </row>
    <row r="900" spans="7:7">
      <c r="G900" s="812"/>
    </row>
    <row r="901" spans="7:7">
      <c r="G901" s="812"/>
    </row>
    <row r="902" spans="7:7">
      <c r="G902" s="812"/>
    </row>
    <row r="903" spans="7:7">
      <c r="G903" s="812"/>
    </row>
    <row r="904" spans="7:7">
      <c r="G904" s="812"/>
    </row>
    <row r="905" spans="7:7">
      <c r="G905" s="812"/>
    </row>
    <row r="906" spans="7:7">
      <c r="G906" s="812"/>
    </row>
    <row r="907" spans="7:7">
      <c r="G907" s="812"/>
    </row>
    <row r="908" spans="7:7">
      <c r="G908" s="812"/>
    </row>
    <row r="909" spans="7:7">
      <c r="G909" s="812"/>
    </row>
    <row r="910" spans="7:7">
      <c r="G910" s="812"/>
    </row>
    <row r="911" spans="7:7">
      <c r="G911" s="812"/>
    </row>
    <row r="912" spans="7:7">
      <c r="G912" s="812"/>
    </row>
    <row r="913" spans="7:7">
      <c r="G913" s="812"/>
    </row>
    <row r="914" spans="7:7">
      <c r="G914" s="812"/>
    </row>
    <row r="915" spans="7:7">
      <c r="G915" s="812"/>
    </row>
    <row r="916" spans="7:7">
      <c r="G916" s="812"/>
    </row>
    <row r="917" spans="7:7">
      <c r="G917" s="812"/>
    </row>
    <row r="918" spans="7:7">
      <c r="G918" s="812"/>
    </row>
    <row r="919" spans="7:7">
      <c r="G919" s="812"/>
    </row>
    <row r="920" spans="7:7">
      <c r="G920" s="812"/>
    </row>
    <row r="921" spans="7:7">
      <c r="G921" s="812"/>
    </row>
    <row r="922" spans="7:7">
      <c r="G922" s="812"/>
    </row>
    <row r="923" spans="7:7">
      <c r="G923" s="812"/>
    </row>
    <row r="924" spans="7:7">
      <c r="G924" s="812"/>
    </row>
    <row r="925" spans="7:7">
      <c r="G925" s="812"/>
    </row>
    <row r="926" spans="7:7">
      <c r="G926" s="812"/>
    </row>
    <row r="927" spans="7:7">
      <c r="G927" s="812"/>
    </row>
    <row r="928" spans="7:7">
      <c r="G928" s="812"/>
    </row>
    <row r="929" spans="7:7">
      <c r="G929" s="812"/>
    </row>
    <row r="930" spans="7:7">
      <c r="G930" s="812"/>
    </row>
    <row r="931" spans="7:7">
      <c r="G931" s="812"/>
    </row>
    <row r="932" spans="7:7">
      <c r="G932" s="812"/>
    </row>
    <row r="933" spans="7:7">
      <c r="G933" s="812"/>
    </row>
    <row r="934" spans="7:7">
      <c r="G934" s="812"/>
    </row>
    <row r="935" spans="7:7">
      <c r="G935" s="812"/>
    </row>
    <row r="936" spans="7:7">
      <c r="G936" s="812"/>
    </row>
    <row r="937" spans="7:7">
      <c r="G937" s="812"/>
    </row>
    <row r="938" spans="7:7">
      <c r="G938" s="812"/>
    </row>
    <row r="939" spans="7:7">
      <c r="G939" s="812"/>
    </row>
    <row r="940" spans="7:7">
      <c r="G940" s="812"/>
    </row>
    <row r="941" spans="7:7">
      <c r="G941" s="812"/>
    </row>
    <row r="942" spans="7:7">
      <c r="G942" s="812"/>
    </row>
    <row r="943" spans="7:7">
      <c r="G943" s="812"/>
    </row>
    <row r="944" spans="7:7">
      <c r="G944" s="812"/>
    </row>
    <row r="945" spans="7:7">
      <c r="G945" s="812"/>
    </row>
    <row r="946" spans="7:7">
      <c r="G946" s="812"/>
    </row>
    <row r="947" spans="7:7">
      <c r="G947" s="812"/>
    </row>
    <row r="948" spans="7:7">
      <c r="G948" s="812"/>
    </row>
    <row r="949" spans="7:7">
      <c r="G949" s="812"/>
    </row>
    <row r="950" spans="7:7">
      <c r="G950" s="812"/>
    </row>
    <row r="951" spans="7:7">
      <c r="G951" s="812"/>
    </row>
    <row r="952" spans="7:7">
      <c r="G952" s="812"/>
    </row>
    <row r="953" spans="7:7">
      <c r="G953" s="812"/>
    </row>
    <row r="954" spans="7:7">
      <c r="G954" s="812"/>
    </row>
    <row r="955" spans="7:7">
      <c r="G955" s="812"/>
    </row>
    <row r="956" spans="7:7">
      <c r="G956" s="812"/>
    </row>
    <row r="957" spans="7:7">
      <c r="G957" s="812"/>
    </row>
    <row r="958" spans="7:7">
      <c r="G958" s="812"/>
    </row>
    <row r="959" spans="7:7">
      <c r="G959" s="812"/>
    </row>
    <row r="960" spans="7:7">
      <c r="G960" s="812"/>
    </row>
    <row r="961" spans="7:7">
      <c r="G961" s="812"/>
    </row>
    <row r="962" spans="7:7">
      <c r="G962" s="812"/>
    </row>
    <row r="963" spans="7:7">
      <c r="G963" s="812"/>
    </row>
    <row r="964" spans="7:7">
      <c r="G964" s="812"/>
    </row>
    <row r="965" spans="7:7">
      <c r="G965" s="812"/>
    </row>
    <row r="966" spans="7:7">
      <c r="G966" s="812"/>
    </row>
    <row r="967" spans="7:7">
      <c r="G967" s="812"/>
    </row>
    <row r="968" spans="7:7">
      <c r="G968" s="812"/>
    </row>
    <row r="969" spans="7:7">
      <c r="G969" s="812"/>
    </row>
    <row r="970" spans="7:7">
      <c r="G970" s="812"/>
    </row>
    <row r="971" spans="7:7">
      <c r="G971" s="812"/>
    </row>
    <row r="972" spans="7:7">
      <c r="G972" s="812"/>
    </row>
    <row r="973" spans="7:7">
      <c r="G973" s="812"/>
    </row>
    <row r="974" spans="7:7">
      <c r="G974" s="812"/>
    </row>
    <row r="975" spans="7:7">
      <c r="G975" s="812"/>
    </row>
    <row r="976" spans="7:7">
      <c r="G976" s="812"/>
    </row>
    <row r="977" spans="7:7">
      <c r="G977" s="812"/>
    </row>
    <row r="978" spans="7:7">
      <c r="G978" s="812"/>
    </row>
    <row r="979" spans="7:7">
      <c r="G979" s="812"/>
    </row>
    <row r="980" spans="7:7">
      <c r="G980" s="812"/>
    </row>
    <row r="981" spans="7:7">
      <c r="G981" s="812"/>
    </row>
    <row r="982" spans="7:7">
      <c r="G982" s="812"/>
    </row>
    <row r="983" spans="7:7">
      <c r="G983" s="812"/>
    </row>
    <row r="984" spans="7:7">
      <c r="G984" s="812"/>
    </row>
    <row r="985" spans="7:7">
      <c r="G985" s="812"/>
    </row>
    <row r="986" spans="7:7">
      <c r="G986" s="812"/>
    </row>
    <row r="987" spans="7:7">
      <c r="G987" s="812"/>
    </row>
    <row r="988" spans="7:7">
      <c r="G988" s="812"/>
    </row>
    <row r="989" spans="7:7">
      <c r="G989" s="812"/>
    </row>
    <row r="990" spans="7:7">
      <c r="G990" s="812"/>
    </row>
    <row r="991" spans="7:7">
      <c r="G991" s="812"/>
    </row>
    <row r="992" spans="7:7">
      <c r="G992" s="812"/>
    </row>
    <row r="993" spans="7:7">
      <c r="G993" s="812"/>
    </row>
    <row r="994" spans="7:7">
      <c r="G994" s="812"/>
    </row>
    <row r="995" spans="7:7">
      <c r="G995" s="812"/>
    </row>
    <row r="996" spans="7:7">
      <c r="G996" s="812"/>
    </row>
    <row r="997" spans="7:7">
      <c r="G997" s="812"/>
    </row>
    <row r="998" spans="7:7">
      <c r="G998" s="812"/>
    </row>
    <row r="999" spans="7:7">
      <c r="G999" s="812"/>
    </row>
    <row r="1000" spans="7:7">
      <c r="G1000" s="812"/>
    </row>
    <row r="1001" spans="7:7">
      <c r="G1001" s="812"/>
    </row>
    <row r="1002" spans="7:7">
      <c r="G1002" s="812"/>
    </row>
    <row r="1003" spans="7:7">
      <c r="G1003" s="812"/>
    </row>
    <row r="1004" spans="7:7">
      <c r="G1004" s="812"/>
    </row>
    <row r="1005" spans="7:7">
      <c r="G1005" s="812"/>
    </row>
    <row r="1006" spans="7:7">
      <c r="G1006" s="812"/>
    </row>
    <row r="1007" spans="7:7">
      <c r="G1007" s="812"/>
    </row>
    <row r="1008" spans="7:7">
      <c r="G1008" s="812"/>
    </row>
    <row r="1009" spans="7:7">
      <c r="G1009" s="812"/>
    </row>
    <row r="1010" spans="7:7">
      <c r="G1010" s="812"/>
    </row>
    <row r="1011" spans="7:7">
      <c r="G1011" s="812"/>
    </row>
    <row r="1012" spans="7:7">
      <c r="G1012" s="812"/>
    </row>
    <row r="1013" spans="7:7">
      <c r="G1013" s="812"/>
    </row>
    <row r="1014" spans="7:7">
      <c r="G1014" s="812"/>
    </row>
    <row r="1015" spans="7:7">
      <c r="G1015" s="812"/>
    </row>
    <row r="1016" spans="7:7">
      <c r="G1016" s="812"/>
    </row>
    <row r="1017" spans="7:7">
      <c r="G1017" s="812"/>
    </row>
    <row r="1018" spans="7:7">
      <c r="G1018" s="812"/>
    </row>
    <row r="1019" spans="7:7">
      <c r="G1019" s="812"/>
    </row>
    <row r="1020" spans="7:7">
      <c r="G1020" s="812"/>
    </row>
    <row r="1021" spans="7:7">
      <c r="G1021" s="812"/>
    </row>
    <row r="1022" spans="7:7">
      <c r="G1022" s="812"/>
    </row>
    <row r="1023" spans="7:7">
      <c r="G1023" s="812"/>
    </row>
    <row r="1024" spans="7:7">
      <c r="G1024" s="812"/>
    </row>
    <row r="1025" spans="7:7">
      <c r="G1025" s="812"/>
    </row>
    <row r="1026" spans="7:7">
      <c r="G1026" s="812"/>
    </row>
    <row r="1027" spans="7:7">
      <c r="G1027" s="812"/>
    </row>
    <row r="1028" spans="7:7">
      <c r="G1028" s="812"/>
    </row>
    <row r="1029" spans="7:7">
      <c r="G1029" s="812"/>
    </row>
    <row r="1030" spans="7:7">
      <c r="G1030" s="812"/>
    </row>
    <row r="1031" spans="7:7">
      <c r="G1031" s="812"/>
    </row>
    <row r="1032" spans="7:7">
      <c r="G1032" s="812"/>
    </row>
    <row r="1033" spans="7:7">
      <c r="G1033" s="812"/>
    </row>
    <row r="1034" spans="7:7">
      <c r="G1034" s="812"/>
    </row>
    <row r="1035" spans="7:7">
      <c r="G1035" s="812"/>
    </row>
    <row r="1036" spans="7:7">
      <c r="G1036" s="812"/>
    </row>
    <row r="1037" spans="7:7">
      <c r="G1037" s="812"/>
    </row>
    <row r="1038" spans="7:7">
      <c r="G1038" s="812"/>
    </row>
    <row r="1039" spans="7:7">
      <c r="G1039" s="812"/>
    </row>
    <row r="1040" spans="7:7">
      <c r="G1040" s="812"/>
    </row>
    <row r="1041" spans="7:7">
      <c r="G1041" s="812"/>
    </row>
    <row r="1042" spans="7:7">
      <c r="G1042" s="812"/>
    </row>
    <row r="1043" spans="7:7">
      <c r="G1043" s="812"/>
    </row>
    <row r="1044" spans="7:7">
      <c r="G1044" s="812"/>
    </row>
    <row r="1045" spans="7:7">
      <c r="G1045" s="812"/>
    </row>
    <row r="1046" spans="7:7">
      <c r="G1046" s="812"/>
    </row>
    <row r="1047" spans="7:7">
      <c r="G1047" s="812"/>
    </row>
    <row r="1048" spans="7:7">
      <c r="G1048" s="812"/>
    </row>
    <row r="1049" spans="7:7">
      <c r="G1049" s="812"/>
    </row>
    <row r="1050" spans="7:7">
      <c r="G1050" s="812"/>
    </row>
    <row r="1051" spans="7:7">
      <c r="G1051" s="812"/>
    </row>
    <row r="1052" spans="7:7">
      <c r="G1052" s="812"/>
    </row>
    <row r="1053" spans="7:7">
      <c r="G1053" s="812"/>
    </row>
    <row r="1054" spans="7:7">
      <c r="G1054" s="812"/>
    </row>
    <row r="1055" spans="7:7">
      <c r="G1055" s="812"/>
    </row>
    <row r="1056" spans="7:7">
      <c r="G1056" s="812"/>
    </row>
    <row r="1057" spans="7:7">
      <c r="G1057" s="812"/>
    </row>
    <row r="1058" spans="7:7">
      <c r="G1058" s="812"/>
    </row>
    <row r="1059" spans="7:7">
      <c r="G1059" s="812"/>
    </row>
    <row r="1060" spans="7:7">
      <c r="G1060" s="812"/>
    </row>
    <row r="1061" spans="7:7">
      <c r="G1061" s="812"/>
    </row>
    <row r="1062" spans="7:7">
      <c r="G1062" s="812"/>
    </row>
    <row r="1063" spans="7:7">
      <c r="G1063" s="812"/>
    </row>
    <row r="1064" spans="7:7">
      <c r="G1064" s="812"/>
    </row>
    <row r="1065" spans="7:7">
      <c r="G1065" s="812"/>
    </row>
    <row r="1066" spans="7:7">
      <c r="G1066" s="812"/>
    </row>
    <row r="1067" spans="7:7">
      <c r="G1067" s="812"/>
    </row>
    <row r="1068" spans="7:7">
      <c r="G1068" s="812"/>
    </row>
    <row r="1069" spans="7:7">
      <c r="G1069" s="812"/>
    </row>
    <row r="1070" spans="7:7">
      <c r="G1070" s="812"/>
    </row>
    <row r="1071" spans="7:7">
      <c r="G1071" s="812"/>
    </row>
    <row r="1072" spans="7:7">
      <c r="G1072" s="812"/>
    </row>
    <row r="1073" spans="7:7">
      <c r="G1073" s="812"/>
    </row>
    <row r="1074" spans="7:7">
      <c r="G1074" s="812"/>
    </row>
    <row r="1075" spans="7:7">
      <c r="G1075" s="812"/>
    </row>
    <row r="1076" spans="7:7">
      <c r="G1076" s="812"/>
    </row>
    <row r="1077" spans="7:7">
      <c r="G1077" s="812"/>
    </row>
    <row r="1078" spans="7:7">
      <c r="G1078" s="812"/>
    </row>
    <row r="1079" spans="7:7">
      <c r="G1079" s="812"/>
    </row>
    <row r="1080" spans="7:7">
      <c r="G1080" s="812"/>
    </row>
    <row r="1081" spans="7:7">
      <c r="G1081" s="812"/>
    </row>
    <row r="1082" spans="7:7">
      <c r="G1082" s="812"/>
    </row>
    <row r="1083" spans="7:7">
      <c r="G1083" s="812"/>
    </row>
    <row r="1084" spans="7:7">
      <c r="G1084" s="812"/>
    </row>
    <row r="1085" spans="7:7">
      <c r="G1085" s="812"/>
    </row>
    <row r="1086" spans="7:7">
      <c r="G1086" s="812"/>
    </row>
    <row r="1087" spans="7:7">
      <c r="G1087" s="812"/>
    </row>
    <row r="1088" spans="7:7">
      <c r="G1088" s="812"/>
    </row>
    <row r="1089" spans="7:7">
      <c r="G1089" s="812"/>
    </row>
    <row r="1090" spans="7:7">
      <c r="G1090" s="812"/>
    </row>
    <row r="1091" spans="7:7">
      <c r="G1091" s="812"/>
    </row>
    <row r="1092" spans="7:7">
      <c r="G1092" s="812"/>
    </row>
    <row r="1093" spans="7:7">
      <c r="G1093" s="812"/>
    </row>
    <row r="1094" spans="7:7">
      <c r="G1094" s="812"/>
    </row>
    <row r="1095" spans="7:7">
      <c r="G1095" s="812"/>
    </row>
    <row r="1096" spans="7:7">
      <c r="G1096" s="812"/>
    </row>
    <row r="1097" spans="7:7">
      <c r="G1097" s="812"/>
    </row>
    <row r="1098" spans="7:7">
      <c r="G1098" s="812"/>
    </row>
    <row r="1099" spans="7:7">
      <c r="G1099" s="812"/>
    </row>
    <row r="1100" spans="7:7">
      <c r="G1100" s="812"/>
    </row>
    <row r="1101" spans="7:7">
      <c r="G1101" s="812"/>
    </row>
    <row r="1102" spans="7:7">
      <c r="G1102" s="812"/>
    </row>
    <row r="1103" spans="7:7">
      <c r="G1103" s="812"/>
    </row>
    <row r="1104" spans="7:7">
      <c r="G1104" s="812"/>
    </row>
    <row r="1105" spans="7:7">
      <c r="G1105" s="812"/>
    </row>
    <row r="1106" spans="7:7">
      <c r="G1106" s="812"/>
    </row>
    <row r="1107" spans="7:7">
      <c r="G1107" s="812"/>
    </row>
    <row r="1108" spans="7:7">
      <c r="G1108" s="812"/>
    </row>
    <row r="1109" spans="7:7">
      <c r="G1109" s="812"/>
    </row>
    <row r="1110" spans="7:7">
      <c r="G1110" s="812"/>
    </row>
    <row r="1111" spans="7:7">
      <c r="G1111" s="812"/>
    </row>
    <row r="1112" spans="7:7">
      <c r="G1112" s="812"/>
    </row>
    <row r="1113" spans="7:7">
      <c r="G1113" s="812"/>
    </row>
    <row r="1114" spans="7:7">
      <c r="G1114" s="812"/>
    </row>
    <row r="1115" spans="7:7">
      <c r="G1115" s="812"/>
    </row>
    <row r="1116" spans="7:7">
      <c r="G1116" s="812"/>
    </row>
    <row r="1117" spans="7:7">
      <c r="G1117" s="812"/>
    </row>
    <row r="1118" spans="7:7">
      <c r="G1118" s="812"/>
    </row>
    <row r="1119" spans="7:7">
      <c r="G1119" s="812"/>
    </row>
    <row r="1120" spans="7:7">
      <c r="G1120" s="812"/>
    </row>
    <row r="1121" spans="7:7">
      <c r="G1121" s="812"/>
    </row>
    <row r="1122" spans="7:7">
      <c r="G1122" s="812"/>
    </row>
    <row r="1123" spans="7:7">
      <c r="G1123" s="812"/>
    </row>
    <row r="1124" spans="7:7">
      <c r="G1124" s="812"/>
    </row>
    <row r="1125" spans="7:7">
      <c r="G1125" s="812"/>
    </row>
    <row r="1126" spans="7:7">
      <c r="G1126" s="812"/>
    </row>
    <row r="1127" spans="7:7">
      <c r="G1127" s="812"/>
    </row>
    <row r="1128" spans="7:7">
      <c r="G1128" s="812"/>
    </row>
    <row r="1129" spans="7:7">
      <c r="G1129" s="812"/>
    </row>
    <row r="1130" spans="7:7">
      <c r="G1130" s="812"/>
    </row>
    <row r="1131" spans="7:7">
      <c r="G1131" s="812"/>
    </row>
    <row r="1132" spans="7:7">
      <c r="G1132" s="812"/>
    </row>
    <row r="1133" spans="7:7">
      <c r="G1133" s="812"/>
    </row>
    <row r="1134" spans="7:7">
      <c r="G1134" s="812"/>
    </row>
    <row r="1135" spans="7:7">
      <c r="G1135" s="812"/>
    </row>
    <row r="1136" spans="7:7">
      <c r="G1136" s="812"/>
    </row>
    <row r="1137" spans="7:7">
      <c r="G1137" s="812"/>
    </row>
    <row r="1138" spans="7:7">
      <c r="G1138" s="812"/>
    </row>
    <row r="1139" spans="7:7">
      <c r="G1139" s="812"/>
    </row>
    <row r="1140" spans="7:7">
      <c r="G1140" s="812"/>
    </row>
    <row r="1141" spans="7:7">
      <c r="G1141" s="812"/>
    </row>
    <row r="1142" spans="7:7">
      <c r="G1142" s="812"/>
    </row>
    <row r="1143" spans="7:7">
      <c r="G1143" s="812"/>
    </row>
    <row r="1144" spans="7:7">
      <c r="G1144" s="812"/>
    </row>
    <row r="1145" spans="7:7">
      <c r="G1145" s="812"/>
    </row>
    <row r="1146" spans="7:7">
      <c r="G1146" s="812"/>
    </row>
    <row r="1147" spans="7:7">
      <c r="G1147" s="812"/>
    </row>
    <row r="1148" spans="7:7">
      <c r="G1148" s="812"/>
    </row>
    <row r="1149" spans="7:7">
      <c r="G1149" s="812"/>
    </row>
    <row r="1150" spans="7:7">
      <c r="G1150" s="812"/>
    </row>
    <row r="1151" spans="7:7">
      <c r="G1151" s="812"/>
    </row>
    <row r="1152" spans="7:7">
      <c r="G1152" s="812"/>
    </row>
    <row r="1153" spans="7:7">
      <c r="G1153" s="812"/>
    </row>
    <row r="1154" spans="7:7">
      <c r="G1154" s="812"/>
    </row>
    <row r="1155" spans="7:7">
      <c r="G1155" s="812"/>
    </row>
    <row r="1156" spans="7:7">
      <c r="G1156" s="812"/>
    </row>
    <row r="1157" spans="7:7">
      <c r="G1157" s="812"/>
    </row>
    <row r="1158" spans="7:7">
      <c r="G1158" s="812"/>
    </row>
    <row r="1159" spans="7:7">
      <c r="G1159" s="812"/>
    </row>
    <row r="1160" spans="7:7">
      <c r="G1160" s="812"/>
    </row>
    <row r="1161" spans="7:7">
      <c r="G1161" s="812"/>
    </row>
    <row r="1162" spans="7:7">
      <c r="G1162" s="812"/>
    </row>
    <row r="1163" spans="7:7">
      <c r="G1163" s="812"/>
    </row>
    <row r="1164" spans="7:7">
      <c r="G1164" s="812"/>
    </row>
    <row r="1165" spans="7:7">
      <c r="G1165" s="812"/>
    </row>
    <row r="1166" spans="7:7">
      <c r="G1166" s="812"/>
    </row>
    <row r="1167" spans="7:7">
      <c r="G1167" s="812"/>
    </row>
    <row r="1168" spans="7:7">
      <c r="G1168" s="812"/>
    </row>
    <row r="1169" spans="7:7">
      <c r="G1169" s="812"/>
    </row>
    <row r="1170" spans="7:7">
      <c r="G1170" s="812"/>
    </row>
    <row r="1171" spans="7:7">
      <c r="G1171" s="812"/>
    </row>
    <row r="1172" spans="7:7">
      <c r="G1172" s="812"/>
    </row>
    <row r="1173" spans="7:7">
      <c r="G1173" s="812"/>
    </row>
    <row r="1174" spans="7:7">
      <c r="G1174" s="812"/>
    </row>
    <row r="1175" spans="7:7">
      <c r="G1175" s="812"/>
    </row>
    <row r="1176" spans="7:7">
      <c r="G1176" s="812"/>
    </row>
    <row r="1177" spans="7:7">
      <c r="G1177" s="812"/>
    </row>
    <row r="1178" spans="7:7">
      <c r="G1178" s="812"/>
    </row>
    <row r="1179" spans="7:7">
      <c r="G1179" s="812"/>
    </row>
    <row r="1180" spans="7:7">
      <c r="G1180" s="812"/>
    </row>
    <row r="1181" spans="7:7">
      <c r="G1181" s="812"/>
    </row>
    <row r="1182" spans="7:7">
      <c r="G1182" s="812"/>
    </row>
    <row r="1183" spans="7:7">
      <c r="G1183" s="812"/>
    </row>
    <row r="1184" spans="7:7">
      <c r="G1184" s="812"/>
    </row>
    <row r="1185" spans="7:7">
      <c r="G1185" s="812"/>
    </row>
    <row r="1186" spans="7:7">
      <c r="G1186" s="812"/>
    </row>
    <row r="1187" spans="7:7">
      <c r="G1187" s="812"/>
    </row>
    <row r="1188" spans="7:7">
      <c r="G1188" s="812"/>
    </row>
    <row r="1189" spans="7:7">
      <c r="G1189" s="812"/>
    </row>
    <row r="1190" spans="7:7">
      <c r="G1190" s="812"/>
    </row>
    <row r="1191" spans="7:7">
      <c r="G1191" s="812"/>
    </row>
    <row r="1192" spans="7:7">
      <c r="G1192" s="812"/>
    </row>
    <row r="1193" spans="7:7">
      <c r="G1193" s="812"/>
    </row>
    <row r="1194" spans="7:7">
      <c r="G1194" s="812"/>
    </row>
    <row r="1195" spans="7:7">
      <c r="G1195" s="812"/>
    </row>
    <row r="1196" spans="7:7">
      <c r="G1196" s="812"/>
    </row>
    <row r="1197" spans="7:7">
      <c r="G1197" s="812"/>
    </row>
    <row r="1198" spans="7:7">
      <c r="G1198" s="812"/>
    </row>
    <row r="1199" spans="7:7">
      <c r="G1199" s="812"/>
    </row>
    <row r="1200" spans="7:7">
      <c r="G1200" s="812"/>
    </row>
    <row r="1201" spans="7:7">
      <c r="G1201" s="812"/>
    </row>
    <row r="1202" spans="7:7">
      <c r="G1202" s="812"/>
    </row>
    <row r="1203" spans="7:7">
      <c r="G1203" s="812"/>
    </row>
    <row r="1204" spans="7:7">
      <c r="G1204" s="812"/>
    </row>
    <row r="1205" spans="7:7">
      <c r="G1205" s="812"/>
    </row>
    <row r="1206" spans="7:7">
      <c r="G1206" s="812"/>
    </row>
    <row r="1207" spans="7:7">
      <c r="G1207" s="812"/>
    </row>
    <row r="1208" spans="7:7">
      <c r="G1208" s="812"/>
    </row>
    <row r="1209" spans="7:7">
      <c r="G1209" s="812"/>
    </row>
    <row r="1210" spans="7:7">
      <c r="G1210" s="812"/>
    </row>
    <row r="1211" spans="7:7">
      <c r="G1211" s="812"/>
    </row>
    <row r="1212" spans="7:7">
      <c r="G1212" s="812"/>
    </row>
    <row r="1213" spans="7:7">
      <c r="G1213" s="812"/>
    </row>
    <row r="1214" spans="7:7">
      <c r="G1214" s="812"/>
    </row>
    <row r="1215" spans="7:7">
      <c r="G1215" s="812"/>
    </row>
    <row r="1216" spans="7:7">
      <c r="G1216" s="812"/>
    </row>
    <row r="1217" spans="7:7">
      <c r="G1217" s="812"/>
    </row>
    <row r="1218" spans="7:7">
      <c r="G1218" s="812"/>
    </row>
    <row r="1219" spans="7:7">
      <c r="G1219" s="812"/>
    </row>
    <row r="1220" spans="7:7">
      <c r="G1220" s="812"/>
    </row>
    <row r="1221" spans="7:7">
      <c r="G1221" s="812"/>
    </row>
    <row r="1222" spans="7:7">
      <c r="G1222" s="812"/>
    </row>
    <row r="1223" spans="7:7">
      <c r="G1223" s="812"/>
    </row>
    <row r="1224" spans="7:7">
      <c r="G1224" s="812"/>
    </row>
    <row r="1225" spans="7:7">
      <c r="G1225" s="812"/>
    </row>
    <row r="1226" spans="7:7">
      <c r="G1226" s="812"/>
    </row>
    <row r="1227" spans="7:7">
      <c r="G1227" s="812"/>
    </row>
    <row r="1228" spans="7:7">
      <c r="G1228" s="812"/>
    </row>
    <row r="1229" spans="7:7">
      <c r="G1229" s="812"/>
    </row>
    <row r="1230" spans="7:7">
      <c r="G1230" s="812"/>
    </row>
    <row r="1231" spans="7:7">
      <c r="G1231" s="812"/>
    </row>
    <row r="1232" spans="7:7">
      <c r="G1232" s="812"/>
    </row>
    <row r="1233" spans="7:7">
      <c r="G1233" s="812"/>
    </row>
    <row r="1234" spans="7:7">
      <c r="G1234" s="812"/>
    </row>
    <row r="1235" spans="7:7">
      <c r="G1235" s="812"/>
    </row>
    <row r="1236" spans="7:7">
      <c r="G1236" s="812"/>
    </row>
    <row r="1237" spans="7:7">
      <c r="G1237" s="812"/>
    </row>
    <row r="1238" spans="7:7">
      <c r="G1238" s="812"/>
    </row>
    <row r="1239" spans="7:7">
      <c r="G1239" s="812"/>
    </row>
    <row r="1240" spans="7:7">
      <c r="G1240" s="812"/>
    </row>
    <row r="1241" spans="7:7">
      <c r="G1241" s="812"/>
    </row>
    <row r="1242" spans="7:7">
      <c r="G1242" s="812"/>
    </row>
    <row r="1243" spans="7:7">
      <c r="G1243" s="812"/>
    </row>
    <row r="1244" spans="7:7">
      <c r="G1244" s="812"/>
    </row>
    <row r="1245" spans="7:7">
      <c r="G1245" s="812"/>
    </row>
    <row r="1246" spans="7:7">
      <c r="G1246" s="812"/>
    </row>
    <row r="1247" spans="7:7">
      <c r="G1247" s="812"/>
    </row>
    <row r="1248" spans="7:7">
      <c r="G1248" s="812"/>
    </row>
    <row r="1249" spans="7:7">
      <c r="G1249" s="812"/>
    </row>
    <row r="1250" spans="7:7">
      <c r="G1250" s="812"/>
    </row>
    <row r="1251" spans="7:7">
      <c r="G1251" s="812"/>
    </row>
    <row r="1252" spans="7:7">
      <c r="G1252" s="812"/>
    </row>
    <row r="1253" spans="7:7">
      <c r="G1253" s="812"/>
    </row>
    <row r="1254" spans="7:7">
      <c r="G1254" s="812"/>
    </row>
    <row r="1255" spans="7:7">
      <c r="G1255" s="812"/>
    </row>
    <row r="1256" spans="7:7">
      <c r="G1256" s="812"/>
    </row>
    <row r="1257" spans="7:7">
      <c r="G1257" s="812"/>
    </row>
    <row r="1258" spans="7:7">
      <c r="G1258" s="812"/>
    </row>
    <row r="1259" spans="7:7">
      <c r="G1259" s="812"/>
    </row>
    <row r="1260" spans="7:7">
      <c r="G1260" s="812"/>
    </row>
    <row r="1261" spans="7:7">
      <c r="G1261" s="812"/>
    </row>
    <row r="1262" spans="7:7">
      <c r="G1262" s="812"/>
    </row>
    <row r="1263" spans="7:7">
      <c r="G1263" s="812"/>
    </row>
    <row r="1264" spans="7:7">
      <c r="G1264" s="812"/>
    </row>
    <row r="1265" spans="7:7">
      <c r="G1265" s="812"/>
    </row>
    <row r="1266" spans="7:7">
      <c r="G1266" s="812"/>
    </row>
    <row r="1267" spans="7:7">
      <c r="G1267" s="812"/>
    </row>
    <row r="1268" spans="7:7">
      <c r="G1268" s="812"/>
    </row>
    <row r="1269" spans="7:7">
      <c r="G1269" s="812"/>
    </row>
    <row r="1270" spans="7:7">
      <c r="G1270" s="812"/>
    </row>
    <row r="1271" spans="7:7">
      <c r="G1271" s="812"/>
    </row>
    <row r="1272" spans="7:7">
      <c r="G1272" s="812"/>
    </row>
    <row r="1273" spans="7:7">
      <c r="G1273" s="812"/>
    </row>
    <row r="1274" spans="7:7">
      <c r="G1274" s="812"/>
    </row>
    <row r="1275" spans="7:7">
      <c r="G1275" s="812"/>
    </row>
    <row r="1276" spans="7:7">
      <c r="G1276" s="812"/>
    </row>
    <row r="1277" spans="7:7">
      <c r="G1277" s="812"/>
    </row>
    <row r="1278" spans="7:7">
      <c r="G1278" s="812"/>
    </row>
    <row r="1279" spans="7:7">
      <c r="G1279" s="812"/>
    </row>
    <row r="1280" spans="7:7">
      <c r="G1280" s="812"/>
    </row>
    <row r="1281" spans="7:7">
      <c r="G1281" s="812"/>
    </row>
    <row r="1282" spans="7:7">
      <c r="G1282" s="812"/>
    </row>
    <row r="1283" spans="7:7">
      <c r="G1283" s="812"/>
    </row>
    <row r="1284" spans="7:7">
      <c r="G1284" s="812"/>
    </row>
    <row r="1285" spans="7:7">
      <c r="G1285" s="812"/>
    </row>
    <row r="1286" spans="7:7">
      <c r="G1286" s="812"/>
    </row>
    <row r="1287" spans="7:7">
      <c r="G1287" s="812"/>
    </row>
    <row r="1288" spans="7:7">
      <c r="G1288" s="812"/>
    </row>
    <row r="1289" spans="7:7">
      <c r="G1289" s="812"/>
    </row>
    <row r="1290" spans="7:7">
      <c r="G1290" s="812"/>
    </row>
    <row r="1291" spans="7:7">
      <c r="G1291" s="812"/>
    </row>
    <row r="1292" spans="7:7">
      <c r="G1292" s="812"/>
    </row>
    <row r="1293" spans="7:7">
      <c r="G1293" s="812"/>
    </row>
    <row r="1294" spans="7:7">
      <c r="G1294" s="812"/>
    </row>
    <row r="1295" spans="7:7">
      <c r="G1295" s="812"/>
    </row>
    <row r="1296" spans="7:7">
      <c r="G1296" s="812"/>
    </row>
    <row r="1297" spans="7:7">
      <c r="G1297" s="812"/>
    </row>
    <row r="1298" spans="7:7">
      <c r="G1298" s="812"/>
    </row>
    <row r="1299" spans="7:7">
      <c r="G1299" s="812"/>
    </row>
    <row r="1300" spans="7:7">
      <c r="G1300" s="812"/>
    </row>
    <row r="1301" spans="7:7">
      <c r="G1301" s="812"/>
    </row>
    <row r="1302" spans="7:7">
      <c r="G1302" s="812"/>
    </row>
    <row r="1303" spans="7:7">
      <c r="G1303" s="812"/>
    </row>
    <row r="1304" spans="7:7">
      <c r="G1304" s="812"/>
    </row>
    <row r="1305" spans="7:7">
      <c r="G1305" s="812"/>
    </row>
    <row r="1306" spans="7:7">
      <c r="G1306" s="812"/>
    </row>
    <row r="1307" spans="7:7">
      <c r="G1307" s="812"/>
    </row>
    <row r="1308" spans="7:7">
      <c r="G1308" s="812"/>
    </row>
    <row r="1309" spans="7:7">
      <c r="G1309" s="812"/>
    </row>
    <row r="1310" spans="7:7">
      <c r="G1310" s="812"/>
    </row>
    <row r="1311" spans="7:7">
      <c r="G1311" s="812"/>
    </row>
    <row r="1312" spans="7:7">
      <c r="G1312" s="812"/>
    </row>
    <row r="1313" spans="7:7">
      <c r="G1313" s="812"/>
    </row>
    <row r="1314" spans="7:7">
      <c r="G1314" s="812"/>
    </row>
    <row r="1315" spans="7:7">
      <c r="G1315" s="812"/>
    </row>
    <row r="1316" spans="7:7">
      <c r="G1316" s="812"/>
    </row>
    <row r="1317" spans="7:7">
      <c r="G1317" s="812"/>
    </row>
    <row r="1318" spans="7:7">
      <c r="G1318" s="812"/>
    </row>
    <row r="1319" spans="7:7">
      <c r="G1319" s="812"/>
    </row>
    <row r="1320" spans="7:7">
      <c r="G1320" s="812"/>
    </row>
    <row r="1321" spans="7:7">
      <c r="G1321" s="812"/>
    </row>
    <row r="1322" spans="7:7">
      <c r="G1322" s="812"/>
    </row>
    <row r="1323" spans="7:7">
      <c r="G1323" s="812"/>
    </row>
    <row r="1324" spans="7:7">
      <c r="G1324" s="812"/>
    </row>
    <row r="1325" spans="7:7">
      <c r="G1325" s="812"/>
    </row>
    <row r="1326" spans="7:7">
      <c r="G1326" s="812"/>
    </row>
    <row r="1327" spans="7:7">
      <c r="G1327" s="812"/>
    </row>
    <row r="1328" spans="7:7">
      <c r="G1328" s="812"/>
    </row>
    <row r="1329" spans="7:7">
      <c r="G1329" s="812"/>
    </row>
    <row r="1330" spans="7:7">
      <c r="G1330" s="812"/>
    </row>
    <row r="1331" spans="7:7">
      <c r="G1331" s="812"/>
    </row>
    <row r="1332" spans="7:7">
      <c r="G1332" s="812"/>
    </row>
    <row r="1333" spans="7:7">
      <c r="G1333" s="812"/>
    </row>
    <row r="1334" spans="7:7">
      <c r="G1334" s="812"/>
    </row>
    <row r="1335" spans="7:7">
      <c r="G1335" s="812"/>
    </row>
    <row r="1336" spans="7:7">
      <c r="G1336" s="812"/>
    </row>
    <row r="1337" spans="7:7">
      <c r="G1337" s="812"/>
    </row>
    <row r="1338" spans="7:7">
      <c r="G1338" s="812"/>
    </row>
    <row r="1339" spans="7:7">
      <c r="G1339" s="812"/>
    </row>
    <row r="1340" spans="7:7">
      <c r="G1340" s="812"/>
    </row>
    <row r="1341" spans="7:7">
      <c r="G1341" s="812"/>
    </row>
    <row r="1342" spans="7:7">
      <c r="G1342" s="812"/>
    </row>
    <row r="1343" spans="7:7">
      <c r="G1343" s="812"/>
    </row>
    <row r="1344" spans="7:7">
      <c r="G1344" s="812"/>
    </row>
    <row r="1345" spans="7:7">
      <c r="G1345" s="812"/>
    </row>
    <row r="1346" spans="7:7">
      <c r="G1346" s="812"/>
    </row>
    <row r="1347" spans="7:7">
      <c r="G1347" s="812"/>
    </row>
    <row r="1348" spans="7:7">
      <c r="G1348" s="812"/>
    </row>
    <row r="1349" spans="7:7">
      <c r="G1349" s="812"/>
    </row>
    <row r="1350" spans="7:7">
      <c r="G1350" s="812"/>
    </row>
    <row r="1351" spans="7:7">
      <c r="G1351" s="812"/>
    </row>
    <row r="1352" spans="7:7">
      <c r="G1352" s="812"/>
    </row>
    <row r="1353" spans="7:7">
      <c r="G1353" s="812"/>
    </row>
    <row r="1354" spans="7:7">
      <c r="G1354" s="812"/>
    </row>
    <row r="1355" spans="7:7">
      <c r="G1355" s="812"/>
    </row>
    <row r="1356" spans="7:7">
      <c r="G1356" s="812"/>
    </row>
    <row r="1357" spans="7:7">
      <c r="G1357" s="812"/>
    </row>
    <row r="1358" spans="7:7">
      <c r="G1358" s="812"/>
    </row>
    <row r="1359" spans="7:7">
      <c r="G1359" s="812"/>
    </row>
    <row r="1360" spans="7:7">
      <c r="G1360" s="812"/>
    </row>
    <row r="1361" spans="7:7">
      <c r="G1361" s="812"/>
    </row>
    <row r="1362" spans="7:7">
      <c r="G1362" s="812"/>
    </row>
    <row r="1363" spans="7:7">
      <c r="G1363" s="812"/>
    </row>
    <row r="1364" spans="7:7">
      <c r="G1364" s="812"/>
    </row>
    <row r="1365" spans="7:7">
      <c r="G1365" s="812"/>
    </row>
    <row r="1366" spans="7:7">
      <c r="G1366" s="812"/>
    </row>
    <row r="1367" spans="7:7">
      <c r="G1367" s="812"/>
    </row>
    <row r="1368" spans="7:7">
      <c r="G1368" s="812"/>
    </row>
    <row r="1369" spans="7:7">
      <c r="G1369" s="812"/>
    </row>
    <row r="1370" spans="7:7">
      <c r="G1370" s="812"/>
    </row>
    <row r="1371" spans="7:7">
      <c r="G1371" s="812"/>
    </row>
    <row r="1372" spans="7:7">
      <c r="G1372" s="812"/>
    </row>
    <row r="1373" spans="7:7">
      <c r="G1373" s="812"/>
    </row>
    <row r="1374" spans="7:7">
      <c r="G1374" s="812"/>
    </row>
    <row r="1375" spans="7:7">
      <c r="G1375" s="812"/>
    </row>
    <row r="1376" spans="7:7">
      <c r="G1376" s="812"/>
    </row>
    <row r="1377" spans="7:7">
      <c r="G1377" s="812"/>
    </row>
    <row r="1378" spans="7:7">
      <c r="G1378" s="812"/>
    </row>
    <row r="1379" spans="7:7">
      <c r="G1379" s="812"/>
    </row>
    <row r="1380" spans="7:7">
      <c r="G1380" s="812"/>
    </row>
    <row r="1381" spans="7:7">
      <c r="G1381" s="812"/>
    </row>
    <row r="1382" spans="7:7">
      <c r="G1382" s="812"/>
    </row>
    <row r="1383" spans="7:7">
      <c r="G1383" s="812"/>
    </row>
    <row r="1384" spans="7:7">
      <c r="G1384" s="812"/>
    </row>
    <row r="1385" spans="7:7">
      <c r="G1385" s="812"/>
    </row>
    <row r="1386" spans="7:7">
      <c r="G1386" s="812"/>
    </row>
    <row r="1387" spans="7:7">
      <c r="G1387" s="812"/>
    </row>
    <row r="1388" spans="7:7">
      <c r="G1388" s="812"/>
    </row>
    <row r="1389" spans="7:7">
      <c r="G1389" s="812"/>
    </row>
    <row r="1390" spans="7:7">
      <c r="G1390" s="812"/>
    </row>
    <row r="1391" spans="7:7">
      <c r="G1391" s="812"/>
    </row>
    <row r="1392" spans="7:7">
      <c r="G1392" s="812"/>
    </row>
    <row r="1393" spans="7:7">
      <c r="G1393" s="812"/>
    </row>
    <row r="1394" spans="7:7">
      <c r="G1394" s="812"/>
    </row>
    <row r="1395" spans="7:7">
      <c r="G1395" s="812"/>
    </row>
    <row r="1396" spans="7:7">
      <c r="G1396" s="812"/>
    </row>
    <row r="1397" spans="7:7">
      <c r="G1397" s="812"/>
    </row>
    <row r="1398" spans="7:7">
      <c r="G1398" s="812"/>
    </row>
    <row r="1399" spans="7:7">
      <c r="G1399" s="812"/>
    </row>
    <row r="1400" spans="7:7">
      <c r="G1400" s="812"/>
    </row>
    <row r="1401" spans="7:7">
      <c r="G1401" s="812"/>
    </row>
    <row r="1402" spans="7:7">
      <c r="G1402" s="812"/>
    </row>
    <row r="1403" spans="7:7">
      <c r="G1403" s="812"/>
    </row>
    <row r="1404" spans="7:7">
      <c r="G1404" s="812"/>
    </row>
    <row r="1405" spans="7:7">
      <c r="G1405" s="812"/>
    </row>
    <row r="1406" spans="7:7">
      <c r="G1406" s="812"/>
    </row>
    <row r="1407" spans="7:7">
      <c r="G1407" s="812"/>
    </row>
    <row r="1408" spans="7:7">
      <c r="G1408" s="812"/>
    </row>
    <row r="1409" spans="7:7">
      <c r="G1409" s="812"/>
    </row>
    <row r="1410" spans="7:7">
      <c r="G1410" s="812"/>
    </row>
    <row r="1411" spans="7:7">
      <c r="G1411" s="812"/>
    </row>
    <row r="1412" spans="7:7">
      <c r="G1412" s="812"/>
    </row>
    <row r="1413" spans="7:7">
      <c r="G1413" s="812"/>
    </row>
    <row r="1414" spans="7:7">
      <c r="G1414" s="812"/>
    </row>
    <row r="1415" spans="7:7">
      <c r="G1415" s="812"/>
    </row>
    <row r="1416" spans="7:7">
      <c r="G1416" s="812"/>
    </row>
    <row r="1417" spans="7:7">
      <c r="G1417" s="812"/>
    </row>
    <row r="1418" spans="7:7">
      <c r="G1418" s="812"/>
    </row>
    <row r="1419" spans="7:7">
      <c r="G1419" s="812"/>
    </row>
    <row r="1420" spans="7:7">
      <c r="G1420" s="812"/>
    </row>
    <row r="1421" spans="7:7">
      <c r="G1421" s="812"/>
    </row>
    <row r="1422" spans="7:7">
      <c r="G1422" s="812"/>
    </row>
    <row r="1423" spans="7:7">
      <c r="G1423" s="812"/>
    </row>
    <row r="1424" spans="7:7">
      <c r="G1424" s="812"/>
    </row>
    <row r="1425" spans="7:7">
      <c r="G1425" s="812"/>
    </row>
    <row r="1426" spans="7:7">
      <c r="G1426" s="812"/>
    </row>
    <row r="1427" spans="7:7">
      <c r="G1427" s="812"/>
    </row>
    <row r="1428" spans="7:7">
      <c r="G1428" s="812"/>
    </row>
    <row r="1429" spans="7:7">
      <c r="G1429" s="812"/>
    </row>
    <row r="1430" spans="7:7">
      <c r="G1430" s="812"/>
    </row>
    <row r="1431" spans="7:7">
      <c r="G1431" s="812"/>
    </row>
    <row r="1432" spans="7:7">
      <c r="G1432" s="812"/>
    </row>
    <row r="1433" spans="7:7">
      <c r="G1433" s="812"/>
    </row>
    <row r="1434" spans="7:7">
      <c r="G1434" s="812"/>
    </row>
    <row r="1435" spans="7:7">
      <c r="G1435" s="812"/>
    </row>
    <row r="1436" spans="7:7">
      <c r="G1436" s="812"/>
    </row>
    <row r="1437" spans="7:7">
      <c r="G1437" s="812"/>
    </row>
    <row r="1438" spans="7:7">
      <c r="G1438" s="812"/>
    </row>
    <row r="1439" spans="7:7">
      <c r="G1439" s="812"/>
    </row>
    <row r="1440" spans="7:7">
      <c r="G1440" s="812"/>
    </row>
    <row r="1441" spans="7:7">
      <c r="G1441" s="812"/>
    </row>
    <row r="1442" spans="7:7">
      <c r="G1442" s="812"/>
    </row>
    <row r="1443" spans="7:7">
      <c r="G1443" s="812"/>
    </row>
    <row r="1444" spans="7:7">
      <c r="G1444" s="812"/>
    </row>
    <row r="1445" spans="7:7">
      <c r="G1445" s="812"/>
    </row>
    <row r="1446" spans="7:7">
      <c r="G1446" s="812"/>
    </row>
    <row r="1447" spans="7:7">
      <c r="G1447" s="812"/>
    </row>
    <row r="1448" spans="7:7">
      <c r="G1448" s="812"/>
    </row>
    <row r="1449" spans="7:7">
      <c r="G1449" s="812"/>
    </row>
    <row r="1450" spans="7:7">
      <c r="G1450" s="812"/>
    </row>
    <row r="1451" spans="7:7">
      <c r="G1451" s="812"/>
    </row>
    <row r="1452" spans="7:7">
      <c r="G1452" s="812"/>
    </row>
    <row r="1453" spans="7:7">
      <c r="G1453" s="812"/>
    </row>
    <row r="1454" spans="7:7">
      <c r="G1454" s="812"/>
    </row>
    <row r="1455" spans="7:7">
      <c r="G1455" s="812"/>
    </row>
    <row r="1456" spans="7:7">
      <c r="G1456" s="812"/>
    </row>
    <row r="1457" spans="7:7">
      <c r="G1457" s="812"/>
    </row>
    <row r="1458" spans="7:7">
      <c r="G1458" s="812"/>
    </row>
    <row r="1459" spans="7:7">
      <c r="G1459" s="812"/>
    </row>
    <row r="1460" spans="7:7">
      <c r="G1460" s="812"/>
    </row>
    <row r="1461" spans="7:7">
      <c r="G1461" s="812"/>
    </row>
    <row r="1462" spans="7:7">
      <c r="G1462" s="812"/>
    </row>
    <row r="1463" spans="7:7">
      <c r="G1463" s="812"/>
    </row>
    <row r="1464" spans="7:7">
      <c r="G1464" s="812"/>
    </row>
    <row r="1465" spans="7:7">
      <c r="G1465" s="812"/>
    </row>
    <row r="1466" spans="7:7">
      <c r="G1466" s="812"/>
    </row>
    <row r="1467" spans="7:7">
      <c r="G1467" s="812"/>
    </row>
    <row r="1468" spans="7:7">
      <c r="G1468" s="812"/>
    </row>
    <row r="1469" spans="7:7">
      <c r="G1469" s="812"/>
    </row>
    <row r="1470" spans="7:7">
      <c r="G1470" s="812"/>
    </row>
    <row r="1471" spans="7:7">
      <c r="G1471" s="812"/>
    </row>
    <row r="1472" spans="7:7">
      <c r="G1472" s="812"/>
    </row>
    <row r="1473" spans="7:7">
      <c r="G1473" s="812"/>
    </row>
    <row r="1474" spans="7:7">
      <c r="G1474" s="812"/>
    </row>
    <row r="1475" spans="7:7">
      <c r="G1475" s="812"/>
    </row>
    <row r="1476" spans="7:7">
      <c r="G1476" s="812"/>
    </row>
    <row r="1477" spans="7:7">
      <c r="G1477" s="812"/>
    </row>
    <row r="1478" spans="7:7">
      <c r="G1478" s="812"/>
    </row>
    <row r="1479" spans="7:7">
      <c r="G1479" s="812"/>
    </row>
    <row r="1480" spans="7:7">
      <c r="G1480" s="812"/>
    </row>
    <row r="1481" spans="7:7">
      <c r="G1481" s="812"/>
    </row>
    <row r="1482" spans="7:7">
      <c r="G1482" s="812"/>
    </row>
    <row r="1483" spans="7:7">
      <c r="G1483" s="812"/>
    </row>
    <row r="1484" spans="7:7">
      <c r="G1484" s="812"/>
    </row>
    <row r="1485" spans="7:7">
      <c r="G1485" s="812"/>
    </row>
    <row r="1486" spans="7:7">
      <c r="G1486" s="812"/>
    </row>
    <row r="1487" spans="7:7">
      <c r="G1487" s="812"/>
    </row>
    <row r="1488" spans="7:7">
      <c r="G1488" s="812"/>
    </row>
    <row r="1489" spans="7:7">
      <c r="G1489" s="812"/>
    </row>
    <row r="1490" spans="7:7">
      <c r="G1490" s="812"/>
    </row>
    <row r="1491" spans="7:7">
      <c r="G1491" s="812"/>
    </row>
    <row r="1492" spans="7:7">
      <c r="G1492" s="812"/>
    </row>
    <row r="1493" spans="7:7">
      <c r="G1493" s="812"/>
    </row>
    <row r="1494" spans="7:7">
      <c r="G1494" s="812"/>
    </row>
    <row r="1495" spans="7:7">
      <c r="G1495" s="812"/>
    </row>
    <row r="1496" spans="7:7">
      <c r="G1496" s="812"/>
    </row>
    <row r="1497" spans="7:7">
      <c r="G1497" s="812"/>
    </row>
    <row r="1498" spans="7:7">
      <c r="G1498" s="812"/>
    </row>
    <row r="1499" spans="7:7">
      <c r="G1499" s="812"/>
    </row>
    <row r="1500" spans="7:7">
      <c r="G1500" s="812"/>
    </row>
    <row r="1501" spans="7:7">
      <c r="G1501" s="812"/>
    </row>
    <row r="1502" spans="7:7">
      <c r="G1502" s="812"/>
    </row>
    <row r="1503" spans="7:7">
      <c r="G1503" s="812"/>
    </row>
    <row r="1504" spans="7:7">
      <c r="G1504" s="812"/>
    </row>
    <row r="1505" spans="7:7">
      <c r="G1505" s="812"/>
    </row>
    <row r="1506" spans="7:7">
      <c r="G1506" s="812"/>
    </row>
    <row r="1507" spans="7:7">
      <c r="G1507" s="812"/>
    </row>
    <row r="1508" spans="7:7">
      <c r="G1508" s="812"/>
    </row>
    <row r="1509" spans="7:7">
      <c r="G1509" s="812"/>
    </row>
    <row r="1510" spans="7:7">
      <c r="G1510" s="812"/>
    </row>
    <row r="1511" spans="7:7">
      <c r="G1511" s="812"/>
    </row>
    <row r="1512" spans="7:7">
      <c r="G1512" s="812"/>
    </row>
    <row r="1513" spans="7:7">
      <c r="G1513" s="812"/>
    </row>
    <row r="1514" spans="7:7">
      <c r="G1514" s="812"/>
    </row>
    <row r="1515" spans="7:7">
      <c r="G1515" s="812"/>
    </row>
    <row r="1516" spans="7:7">
      <c r="G1516" s="812"/>
    </row>
    <row r="1517" spans="7:7">
      <c r="G1517" s="812"/>
    </row>
    <row r="1518" spans="7:7">
      <c r="G1518" s="812"/>
    </row>
    <row r="1519" spans="7:7">
      <c r="G1519" s="812"/>
    </row>
    <row r="1520" spans="7:7">
      <c r="G1520" s="812"/>
    </row>
    <row r="1521" spans="7:7">
      <c r="G1521" s="812"/>
    </row>
    <row r="1522" spans="7:7">
      <c r="G1522" s="812"/>
    </row>
    <row r="1523" spans="7:7">
      <c r="G1523" s="812"/>
    </row>
    <row r="1524" spans="7:7">
      <c r="G1524" s="812"/>
    </row>
    <row r="1525" spans="7:7">
      <c r="G1525" s="812"/>
    </row>
    <row r="1526" spans="7:7">
      <c r="G1526" s="812"/>
    </row>
    <row r="1527" spans="7:7">
      <c r="G1527" s="812"/>
    </row>
    <row r="1528" spans="7:7">
      <c r="G1528" s="812"/>
    </row>
    <row r="1529" spans="7:7">
      <c r="G1529" s="812"/>
    </row>
    <row r="1530" spans="7:7">
      <c r="G1530" s="812"/>
    </row>
    <row r="1531" spans="7:7">
      <c r="G1531" s="812"/>
    </row>
    <row r="1532" spans="7:7">
      <c r="G1532" s="812"/>
    </row>
    <row r="1533" spans="7:7">
      <c r="G1533" s="812"/>
    </row>
    <row r="1534" spans="7:7">
      <c r="G1534" s="812"/>
    </row>
    <row r="1535" spans="7:7">
      <c r="G1535" s="812"/>
    </row>
    <row r="1536" spans="7:7">
      <c r="G1536" s="812"/>
    </row>
    <row r="1537" spans="7:7">
      <c r="G1537" s="812"/>
    </row>
    <row r="1538" spans="7:7">
      <c r="G1538" s="812"/>
    </row>
    <row r="1539" spans="7:7">
      <c r="G1539" s="812"/>
    </row>
    <row r="1540" spans="7:7">
      <c r="G1540" s="812"/>
    </row>
    <row r="1541" spans="7:7">
      <c r="G1541" s="812"/>
    </row>
    <row r="1542" spans="7:7">
      <c r="G1542" s="812"/>
    </row>
    <row r="1543" spans="7:7">
      <c r="G1543" s="812"/>
    </row>
    <row r="1544" spans="7:7">
      <c r="G1544" s="812"/>
    </row>
    <row r="1545" spans="7:7">
      <c r="G1545" s="812"/>
    </row>
    <row r="1546" spans="7:7">
      <c r="G1546" s="812"/>
    </row>
    <row r="1547" spans="7:7">
      <c r="G1547" s="812"/>
    </row>
    <row r="1548" spans="7:7">
      <c r="G1548" s="812"/>
    </row>
    <row r="1549" spans="7:7">
      <c r="G1549" s="812"/>
    </row>
    <row r="1550" spans="7:7">
      <c r="G1550" s="812"/>
    </row>
    <row r="1551" spans="7:7">
      <c r="G1551" s="812"/>
    </row>
    <row r="1552" spans="7:7">
      <c r="G1552" s="812"/>
    </row>
    <row r="1553" spans="7:7">
      <c r="G1553" s="812"/>
    </row>
    <row r="1554" spans="7:7">
      <c r="G1554" s="812"/>
    </row>
    <row r="1555" spans="7:7">
      <c r="G1555" s="812"/>
    </row>
    <row r="1556" spans="7:7">
      <c r="G1556" s="812"/>
    </row>
    <row r="1557" spans="7:7">
      <c r="G1557" s="812"/>
    </row>
    <row r="1558" spans="7:7">
      <c r="G1558" s="812"/>
    </row>
    <row r="1559" spans="7:7">
      <c r="G1559" s="812"/>
    </row>
    <row r="1560" spans="7:7">
      <c r="G1560" s="812"/>
    </row>
    <row r="1561" spans="7:7">
      <c r="G1561" s="812"/>
    </row>
    <row r="1562" spans="7:7">
      <c r="G1562" s="812"/>
    </row>
    <row r="1563" spans="7:7">
      <c r="G1563" s="812"/>
    </row>
    <row r="1564" spans="7:7">
      <c r="G1564" s="812"/>
    </row>
    <row r="1565" spans="7:7">
      <c r="G1565" s="812"/>
    </row>
    <row r="1566" spans="7:7">
      <c r="G1566" s="812"/>
    </row>
    <row r="1567" spans="7:7">
      <c r="G1567" s="812"/>
    </row>
    <row r="1568" spans="7:7">
      <c r="G1568" s="812"/>
    </row>
    <row r="1569" spans="7:7">
      <c r="G1569" s="812"/>
    </row>
    <row r="1570" spans="7:7">
      <c r="G1570" s="812"/>
    </row>
    <row r="1571" spans="7:7">
      <c r="G1571" s="812"/>
    </row>
    <row r="1572" spans="7:7">
      <c r="G1572" s="812"/>
    </row>
    <row r="1573" spans="7:7">
      <c r="G1573" s="812"/>
    </row>
    <row r="1574" spans="7:7">
      <c r="G1574" s="812"/>
    </row>
    <row r="1575" spans="7:7">
      <c r="G1575" s="812"/>
    </row>
    <row r="1576" spans="7:7">
      <c r="G1576" s="812"/>
    </row>
    <row r="1577" spans="7:7">
      <c r="G1577" s="812"/>
    </row>
    <row r="1578" spans="7:7">
      <c r="G1578" s="812"/>
    </row>
    <row r="1579" spans="7:7">
      <c r="G1579" s="812"/>
    </row>
    <row r="1580" spans="7:7">
      <c r="G1580" s="812"/>
    </row>
    <row r="1581" spans="7:7">
      <c r="G1581" s="812"/>
    </row>
    <row r="1582" spans="7:7">
      <c r="G1582" s="812"/>
    </row>
    <row r="1583" spans="7:7">
      <c r="G1583" s="812"/>
    </row>
    <row r="1584" spans="7:7">
      <c r="G1584" s="812"/>
    </row>
    <row r="1585" spans="7:7">
      <c r="G1585" s="812"/>
    </row>
    <row r="1586" spans="7:7">
      <c r="G1586" s="812"/>
    </row>
    <row r="1587" spans="7:7">
      <c r="G1587" s="812"/>
    </row>
    <row r="1588" spans="7:7">
      <c r="G1588" s="812"/>
    </row>
    <row r="1589" spans="7:7">
      <c r="G1589" s="812"/>
    </row>
    <row r="1590" spans="7:7">
      <c r="G1590" s="812"/>
    </row>
    <row r="1591" spans="7:7">
      <c r="G1591" s="812"/>
    </row>
    <row r="1592" spans="7:7">
      <c r="G1592" s="812"/>
    </row>
    <row r="1593" spans="7:7">
      <c r="G1593" s="812"/>
    </row>
    <row r="1594" spans="7:7">
      <c r="G1594" s="812"/>
    </row>
    <row r="1595" spans="7:7">
      <c r="G1595" s="812"/>
    </row>
    <row r="1596" spans="7:7">
      <c r="G1596" s="812"/>
    </row>
    <row r="1597" spans="7:7">
      <c r="G1597" s="812"/>
    </row>
    <row r="1598" spans="7:7">
      <c r="G1598" s="812"/>
    </row>
    <row r="1599" spans="7:7">
      <c r="G1599" s="812"/>
    </row>
    <row r="1600" spans="7:7">
      <c r="G1600" s="812"/>
    </row>
    <row r="1601" spans="7:7">
      <c r="G1601" s="812"/>
    </row>
    <row r="1602" spans="7:7">
      <c r="G1602" s="812"/>
    </row>
    <row r="1603" spans="7:7">
      <c r="G1603" s="812"/>
    </row>
    <row r="1604" spans="7:7">
      <c r="G1604" s="812"/>
    </row>
    <row r="1605" spans="7:7">
      <c r="G1605" s="812"/>
    </row>
    <row r="1606" spans="7:7">
      <c r="G1606" s="812"/>
    </row>
    <row r="1607" spans="7:7">
      <c r="G1607" s="812"/>
    </row>
    <row r="1608" spans="7:7">
      <c r="G1608" s="812"/>
    </row>
    <row r="1609" spans="7:7">
      <c r="G1609" s="812"/>
    </row>
    <row r="1610" spans="7:7">
      <c r="G1610" s="812"/>
    </row>
    <row r="1611" spans="7:7">
      <c r="G1611" s="812"/>
    </row>
    <row r="1612" spans="7:7">
      <c r="G1612" s="812"/>
    </row>
    <row r="1613" spans="7:7">
      <c r="G1613" s="812"/>
    </row>
    <row r="1614" spans="7:7">
      <c r="G1614" s="812"/>
    </row>
    <row r="1615" spans="7:7">
      <c r="G1615" s="812"/>
    </row>
    <row r="1616" spans="7:7">
      <c r="G1616" s="812"/>
    </row>
    <row r="1617" spans="7:7">
      <c r="G1617" s="812"/>
    </row>
    <row r="1618" spans="7:7">
      <c r="G1618" s="812"/>
    </row>
    <row r="1619" spans="7:7">
      <c r="G1619" s="812"/>
    </row>
    <row r="1620" spans="7:7">
      <c r="G1620" s="812"/>
    </row>
    <row r="1621" spans="7:7">
      <c r="G1621" s="812"/>
    </row>
    <row r="1622" spans="7:7">
      <c r="G1622" s="812"/>
    </row>
    <row r="1623" spans="7:7">
      <c r="G1623" s="812"/>
    </row>
    <row r="1624" spans="7:7">
      <c r="G1624" s="812"/>
    </row>
    <row r="1625" spans="7:7">
      <c r="G1625" s="812"/>
    </row>
    <row r="1626" spans="7:7">
      <c r="G1626" s="812"/>
    </row>
    <row r="1627" spans="7:7">
      <c r="G1627" s="812"/>
    </row>
    <row r="1628" spans="7:7">
      <c r="G1628" s="812"/>
    </row>
    <row r="1629" spans="7:7">
      <c r="G1629" s="812"/>
    </row>
    <row r="1630" spans="7:7">
      <c r="G1630" s="812"/>
    </row>
    <row r="1631" spans="7:7">
      <c r="G1631" s="812"/>
    </row>
    <row r="1632" spans="7:7">
      <c r="G1632" s="812"/>
    </row>
    <row r="1633" spans="7:7">
      <c r="G1633" s="812"/>
    </row>
    <row r="1634" spans="7:7">
      <c r="G1634" s="812"/>
    </row>
    <row r="1635" spans="7:7">
      <c r="G1635" s="812"/>
    </row>
    <row r="1636" spans="7:7">
      <c r="G1636" s="812"/>
    </row>
    <row r="1637" spans="7:7">
      <c r="G1637" s="812"/>
    </row>
    <row r="1638" spans="7:7">
      <c r="G1638" s="812"/>
    </row>
    <row r="1639" spans="7:7">
      <c r="G1639" s="812"/>
    </row>
    <row r="1640" spans="7:7">
      <c r="G1640" s="812"/>
    </row>
    <row r="1641" spans="7:7">
      <c r="G1641" s="812"/>
    </row>
    <row r="1642" spans="7:7">
      <c r="G1642" s="812"/>
    </row>
    <row r="1643" spans="7:7">
      <c r="G1643" s="812"/>
    </row>
    <row r="1644" spans="7:7">
      <c r="G1644" s="812"/>
    </row>
    <row r="1645" spans="7:7">
      <c r="G1645" s="812"/>
    </row>
    <row r="1646" spans="7:7">
      <c r="G1646" s="812"/>
    </row>
    <row r="1647" spans="7:7">
      <c r="G1647" s="812"/>
    </row>
    <row r="1648" spans="7:7">
      <c r="G1648" s="812"/>
    </row>
    <row r="1649" spans="7:7">
      <c r="G1649" s="812"/>
    </row>
    <row r="1650" spans="7:7">
      <c r="G1650" s="812"/>
    </row>
    <row r="1651" spans="7:7">
      <c r="G1651" s="812"/>
    </row>
    <row r="1652" spans="7:7">
      <c r="G1652" s="812"/>
    </row>
    <row r="1653" spans="7:7">
      <c r="G1653" s="812"/>
    </row>
    <row r="1654" spans="7:7">
      <c r="G1654" s="812"/>
    </row>
    <row r="1655" spans="7:7">
      <c r="G1655" s="812"/>
    </row>
    <row r="1656" spans="7:7">
      <c r="G1656" s="812"/>
    </row>
    <row r="1657" spans="7:7">
      <c r="G1657" s="812"/>
    </row>
    <row r="1658" spans="7:7">
      <c r="G1658" s="812"/>
    </row>
    <row r="1659" spans="7:7">
      <c r="G1659" s="812"/>
    </row>
    <row r="1660" spans="7:7">
      <c r="G1660" s="812"/>
    </row>
    <row r="1661" spans="7:7">
      <c r="G1661" s="812"/>
    </row>
    <row r="1662" spans="7:7">
      <c r="G1662" s="812"/>
    </row>
    <row r="1663" spans="7:7">
      <c r="G1663" s="812"/>
    </row>
    <row r="1664" spans="7:7">
      <c r="G1664" s="812"/>
    </row>
    <row r="1665" spans="7:7">
      <c r="G1665" s="812"/>
    </row>
    <row r="1666" spans="7:7">
      <c r="G1666" s="812"/>
    </row>
    <row r="1667" spans="7:7">
      <c r="G1667" s="812"/>
    </row>
    <row r="1668" spans="7:7">
      <c r="G1668" s="812"/>
    </row>
    <row r="1669" spans="7:7">
      <c r="G1669" s="812"/>
    </row>
    <row r="1670" spans="7:7">
      <c r="G1670" s="812"/>
    </row>
    <row r="1671" spans="7:7">
      <c r="G1671" s="812"/>
    </row>
    <row r="1672" spans="7:7">
      <c r="G1672" s="812"/>
    </row>
    <row r="1673" spans="7:7">
      <c r="G1673" s="812"/>
    </row>
    <row r="1674" spans="7:7">
      <c r="G1674" s="812"/>
    </row>
    <row r="1675" spans="7:7">
      <c r="G1675" s="812"/>
    </row>
    <row r="1676" spans="7:7">
      <c r="G1676" s="812"/>
    </row>
    <row r="1677" spans="7:7">
      <c r="G1677" s="812"/>
    </row>
    <row r="1678" spans="7:7">
      <c r="G1678" s="812"/>
    </row>
    <row r="1679" spans="7:7">
      <c r="G1679" s="812"/>
    </row>
    <row r="1680" spans="7:7">
      <c r="G1680" s="812"/>
    </row>
    <row r="1681" spans="7:7">
      <c r="G1681" s="812"/>
    </row>
    <row r="1682" spans="7:7">
      <c r="G1682" s="812"/>
    </row>
    <row r="1683" spans="7:7">
      <c r="G1683" s="812"/>
    </row>
    <row r="1684" spans="7:7">
      <c r="G1684" s="812"/>
    </row>
    <row r="1685" spans="7:7">
      <c r="G1685" s="812"/>
    </row>
    <row r="1686" spans="7:7">
      <c r="G1686" s="812"/>
    </row>
    <row r="1687" spans="7:7">
      <c r="G1687" s="812"/>
    </row>
    <row r="1688" spans="7:7">
      <c r="G1688" s="812"/>
    </row>
    <row r="1689" spans="7:7">
      <c r="G1689" s="812"/>
    </row>
    <row r="1690" spans="7:7">
      <c r="G1690" s="812"/>
    </row>
    <row r="1691" spans="7:7">
      <c r="G1691" s="812"/>
    </row>
    <row r="1692" spans="7:7">
      <c r="G1692" s="812"/>
    </row>
    <row r="1693" spans="7:7">
      <c r="G1693" s="812"/>
    </row>
    <row r="1694" spans="7:7">
      <c r="G1694" s="812"/>
    </row>
    <row r="1695" spans="7:7">
      <c r="G1695" s="812"/>
    </row>
    <row r="1696" spans="7:7">
      <c r="G1696" s="812"/>
    </row>
    <row r="1697" spans="7:7">
      <c r="G1697" s="812"/>
    </row>
    <row r="1698" spans="7:7">
      <c r="G1698" s="812"/>
    </row>
    <row r="1699" spans="7:7">
      <c r="G1699" s="812"/>
    </row>
    <row r="1700" spans="7:7">
      <c r="G1700" s="812"/>
    </row>
    <row r="1701" spans="7:7">
      <c r="G1701" s="812"/>
    </row>
    <row r="1702" spans="7:7">
      <c r="G1702" s="812"/>
    </row>
    <row r="1703" spans="7:7">
      <c r="G1703" s="812"/>
    </row>
    <row r="1704" spans="7:7">
      <c r="G1704" s="812"/>
    </row>
    <row r="1705" spans="7:7">
      <c r="G1705" s="812"/>
    </row>
    <row r="1706" spans="7:7">
      <c r="G1706" s="812"/>
    </row>
    <row r="1707" spans="7:7">
      <c r="G1707" s="812"/>
    </row>
    <row r="1708" spans="7:7">
      <c r="G1708" s="812"/>
    </row>
    <row r="1709" spans="7:7">
      <c r="G1709" s="812"/>
    </row>
    <row r="1710" spans="7:7">
      <c r="G1710" s="812"/>
    </row>
    <row r="1711" spans="7:7">
      <c r="G1711" s="812"/>
    </row>
    <row r="1712" spans="7:7">
      <c r="G1712" s="812"/>
    </row>
    <row r="1713" spans="7:7">
      <c r="G1713" s="812"/>
    </row>
    <row r="1714" spans="7:7">
      <c r="G1714" s="812"/>
    </row>
    <row r="1715" spans="7:7">
      <c r="G1715" s="812"/>
    </row>
    <row r="1716" spans="7:7">
      <c r="G1716" s="812"/>
    </row>
    <row r="1717" spans="7:7">
      <c r="G1717" s="812"/>
    </row>
    <row r="1718" spans="7:7">
      <c r="G1718" s="812"/>
    </row>
    <row r="1719" spans="7:7">
      <c r="G1719" s="812"/>
    </row>
    <row r="1720" spans="7:7">
      <c r="G1720" s="812"/>
    </row>
    <row r="1721" spans="7:7">
      <c r="G1721" s="812"/>
    </row>
    <row r="1722" spans="7:7">
      <c r="G1722" s="812"/>
    </row>
    <row r="1723" spans="7:7">
      <c r="G1723" s="812"/>
    </row>
    <row r="1724" spans="7:7">
      <c r="G1724" s="812"/>
    </row>
    <row r="1725" spans="7:7">
      <c r="G1725" s="812"/>
    </row>
    <row r="1726" spans="7:7">
      <c r="G1726" s="812"/>
    </row>
    <row r="1727" spans="7:7">
      <c r="G1727" s="812"/>
    </row>
    <row r="1728" spans="7:7">
      <c r="G1728" s="812"/>
    </row>
    <row r="1729" spans="7:7">
      <c r="G1729" s="812"/>
    </row>
    <row r="1730" spans="7:7">
      <c r="G1730" s="812"/>
    </row>
    <row r="1731" spans="7:7">
      <c r="G1731" s="812"/>
    </row>
    <row r="1732" spans="7:7">
      <c r="G1732" s="812"/>
    </row>
    <row r="1733" spans="7:7">
      <c r="G1733" s="812"/>
    </row>
    <row r="1734" spans="7:7">
      <c r="G1734" s="812"/>
    </row>
    <row r="1735" spans="7:7">
      <c r="G1735" s="812"/>
    </row>
    <row r="1736" spans="7:7">
      <c r="G1736" s="812"/>
    </row>
    <row r="1737" spans="7:7">
      <c r="G1737" s="812"/>
    </row>
    <row r="1738" spans="7:7">
      <c r="G1738" s="812"/>
    </row>
    <row r="1739" spans="7:7">
      <c r="G1739" s="812"/>
    </row>
    <row r="1740" spans="7:7">
      <c r="G1740" s="812"/>
    </row>
    <row r="1741" spans="7:7">
      <c r="G1741" s="812"/>
    </row>
    <row r="1742" spans="7:7">
      <c r="G1742" s="812"/>
    </row>
    <row r="1743" spans="7:7">
      <c r="G1743" s="812"/>
    </row>
    <row r="1744" spans="7:7">
      <c r="G1744" s="812"/>
    </row>
    <row r="1745" spans="7:7">
      <c r="G1745" s="812"/>
    </row>
    <row r="1746" spans="7:7">
      <c r="G1746" s="812"/>
    </row>
    <row r="1747" spans="7:7">
      <c r="G1747" s="812"/>
    </row>
    <row r="1748" spans="7:7">
      <c r="G1748" s="812"/>
    </row>
    <row r="1749" spans="7:7">
      <c r="G1749" s="812"/>
    </row>
    <row r="1750" spans="7:7">
      <c r="G1750" s="812"/>
    </row>
    <row r="1751" spans="7:7">
      <c r="G1751" s="812"/>
    </row>
    <row r="1752" spans="7:7">
      <c r="G1752" s="812"/>
    </row>
    <row r="1753" spans="7:7">
      <c r="G1753" s="812"/>
    </row>
    <row r="1754" spans="7:7">
      <c r="G1754" s="812"/>
    </row>
    <row r="1755" spans="7:7">
      <c r="G1755" s="812"/>
    </row>
    <row r="1756" spans="7:7">
      <c r="G1756" s="812"/>
    </row>
    <row r="1757" spans="7:7">
      <c r="G1757" s="812"/>
    </row>
    <row r="1758" spans="7:7">
      <c r="G1758" s="812"/>
    </row>
    <row r="1759" spans="7:7">
      <c r="G1759" s="812"/>
    </row>
    <row r="1760" spans="7:7">
      <c r="G1760" s="812"/>
    </row>
    <row r="1761" spans="7:7">
      <c r="G1761" s="812"/>
    </row>
    <row r="1762" spans="7:7">
      <c r="G1762" s="812"/>
    </row>
    <row r="1763" spans="7:7">
      <c r="G1763" s="812"/>
    </row>
    <row r="1764" spans="7:7">
      <c r="G1764" s="812"/>
    </row>
    <row r="1765" spans="7:7">
      <c r="G1765" s="812"/>
    </row>
    <row r="1766" spans="7:7">
      <c r="G1766" s="812"/>
    </row>
    <row r="1767" spans="7:7">
      <c r="G1767" s="812"/>
    </row>
    <row r="1768" spans="7:7">
      <c r="G1768" s="812"/>
    </row>
    <row r="1769" spans="7:7">
      <c r="G1769" s="812"/>
    </row>
    <row r="1770" spans="7:7">
      <c r="G1770" s="812"/>
    </row>
    <row r="1771" spans="7:7">
      <c r="G1771" s="812"/>
    </row>
    <row r="1772" spans="7:7">
      <c r="G1772" s="812"/>
    </row>
    <row r="1773" spans="7:7">
      <c r="G1773" s="812"/>
    </row>
    <row r="1774" spans="7:7">
      <c r="G1774" s="812"/>
    </row>
    <row r="1775" spans="7:7">
      <c r="G1775" s="812"/>
    </row>
    <row r="1776" spans="7:7">
      <c r="G1776" s="812"/>
    </row>
    <row r="1777" spans="7:7">
      <c r="G1777" s="812"/>
    </row>
    <row r="1778" spans="7:7">
      <c r="G1778" s="812"/>
    </row>
    <row r="1779" spans="7:7">
      <c r="G1779" s="812"/>
    </row>
    <row r="1780" spans="7:7">
      <c r="G1780" s="812"/>
    </row>
    <row r="1781" spans="7:7">
      <c r="G1781" s="812"/>
    </row>
    <row r="1782" spans="7:7">
      <c r="G1782" s="812"/>
    </row>
    <row r="1783" spans="7:7">
      <c r="G1783" s="812"/>
    </row>
    <row r="1784" spans="7:7">
      <c r="G1784" s="812"/>
    </row>
    <row r="1785" spans="7:7">
      <c r="G1785" s="812"/>
    </row>
    <row r="1786" spans="7:7">
      <c r="G1786" s="812"/>
    </row>
    <row r="1787" spans="7:7">
      <c r="G1787" s="812"/>
    </row>
    <row r="1788" spans="7:7">
      <c r="G1788" s="812"/>
    </row>
    <row r="1789" spans="7:7">
      <c r="G1789" s="812"/>
    </row>
    <row r="1790" spans="7:7">
      <c r="G1790" s="812"/>
    </row>
    <row r="1791" spans="7:7">
      <c r="G1791" s="812"/>
    </row>
    <row r="1792" spans="7:7">
      <c r="G1792" s="812"/>
    </row>
    <row r="1793" spans="7:7">
      <c r="G1793" s="812"/>
    </row>
    <row r="1794" spans="7:7">
      <c r="G1794" s="812"/>
    </row>
    <row r="1795" spans="7:7">
      <c r="G1795" s="812"/>
    </row>
    <row r="1796" spans="7:7">
      <c r="G1796" s="812"/>
    </row>
    <row r="1797" spans="7:7">
      <c r="G1797" s="812"/>
    </row>
    <row r="1798" spans="7:7">
      <c r="G1798" s="812"/>
    </row>
    <row r="1799" spans="7:7">
      <c r="G1799" s="812"/>
    </row>
    <row r="1800" spans="7:7">
      <c r="G1800" s="812"/>
    </row>
    <row r="1801" spans="7:7">
      <c r="G1801" s="812"/>
    </row>
    <row r="1802" spans="7:7">
      <c r="G1802" s="812"/>
    </row>
    <row r="1803" spans="7:7">
      <c r="G1803" s="812"/>
    </row>
    <row r="1804" spans="7:7">
      <c r="G1804" s="812"/>
    </row>
    <row r="1805" spans="7:7">
      <c r="G1805" s="812"/>
    </row>
    <row r="1806" spans="7:7">
      <c r="G1806" s="812"/>
    </row>
    <row r="1807" spans="7:7">
      <c r="G1807" s="812"/>
    </row>
    <row r="1808" spans="7:7">
      <c r="G1808" s="812"/>
    </row>
    <row r="1809" spans="7:7">
      <c r="G1809" s="812"/>
    </row>
    <row r="1810" spans="7:7">
      <c r="G1810" s="812"/>
    </row>
    <row r="1811" spans="7:7">
      <c r="G1811" s="812"/>
    </row>
    <row r="1812" spans="7:7">
      <c r="G1812" s="812"/>
    </row>
    <row r="1813" spans="7:7">
      <c r="G1813" s="812"/>
    </row>
    <row r="1814" spans="7:7">
      <c r="G1814" s="812"/>
    </row>
    <row r="1815" spans="7:7">
      <c r="G1815" s="812"/>
    </row>
    <row r="1816" spans="7:7">
      <c r="G1816" s="812"/>
    </row>
    <row r="1817" spans="7:7">
      <c r="G1817" s="812"/>
    </row>
    <row r="1818" spans="7:7">
      <c r="G1818" s="812"/>
    </row>
    <row r="1819" spans="7:7">
      <c r="G1819" s="812"/>
    </row>
    <row r="1820" spans="7:7">
      <c r="G1820" s="812"/>
    </row>
    <row r="1821" spans="7:7">
      <c r="G1821" s="812"/>
    </row>
    <row r="1822" spans="7:7">
      <c r="G1822" s="812"/>
    </row>
    <row r="1823" spans="7:7">
      <c r="G1823" s="812"/>
    </row>
    <row r="1824" spans="7:7">
      <c r="G1824" s="812"/>
    </row>
    <row r="1825" spans="7:7">
      <c r="G1825" s="812"/>
    </row>
    <row r="1826" spans="7:7">
      <c r="G1826" s="812"/>
    </row>
    <row r="1827" spans="7:7">
      <c r="G1827" s="812"/>
    </row>
    <row r="1828" spans="7:7">
      <c r="G1828" s="812"/>
    </row>
    <row r="1829" spans="7:7">
      <c r="G1829" s="812"/>
    </row>
    <row r="1830" spans="7:7">
      <c r="G1830" s="812"/>
    </row>
    <row r="1831" spans="7:7">
      <c r="G1831" s="812"/>
    </row>
    <row r="1832" spans="7:7">
      <c r="G1832" s="812"/>
    </row>
    <row r="1833" spans="7:7">
      <c r="G1833" s="812"/>
    </row>
    <row r="1834" spans="7:7">
      <c r="G1834" s="812"/>
    </row>
    <row r="1835" spans="7:7">
      <c r="G1835" s="812"/>
    </row>
    <row r="1836" spans="7:7">
      <c r="G1836" s="812"/>
    </row>
    <row r="1837" spans="7:7">
      <c r="G1837" s="812"/>
    </row>
    <row r="1838" spans="7:7">
      <c r="G1838" s="812"/>
    </row>
    <row r="1839" spans="7:7">
      <c r="G1839" s="812"/>
    </row>
    <row r="1840" spans="7:7">
      <c r="G1840" s="812"/>
    </row>
    <row r="1841" spans="7:7">
      <c r="G1841" s="812"/>
    </row>
    <row r="1842" spans="7:7">
      <c r="G1842" s="812"/>
    </row>
    <row r="1843" spans="7:7">
      <c r="G1843" s="812"/>
    </row>
    <row r="1844" spans="7:7">
      <c r="G1844" s="812"/>
    </row>
    <row r="1845" spans="7:7">
      <c r="G1845" s="812"/>
    </row>
    <row r="1846" spans="7:7">
      <c r="G1846" s="812"/>
    </row>
    <row r="1847" spans="7:7">
      <c r="G1847" s="812"/>
    </row>
    <row r="1848" spans="7:7">
      <c r="G1848" s="812"/>
    </row>
    <row r="1849" spans="7:7">
      <c r="G1849" s="812"/>
    </row>
    <row r="1850" spans="7:7">
      <c r="G1850" s="812"/>
    </row>
    <row r="1851" spans="7:7">
      <c r="G1851" s="812"/>
    </row>
    <row r="1852" spans="7:7">
      <c r="G1852" s="812"/>
    </row>
    <row r="1853" spans="7:7">
      <c r="G1853" s="812"/>
    </row>
    <row r="1854" spans="7:7">
      <c r="G1854" s="812"/>
    </row>
    <row r="1855" spans="7:7">
      <c r="G1855" s="812"/>
    </row>
    <row r="1856" spans="7:7">
      <c r="G1856" s="812"/>
    </row>
    <row r="1857" spans="7:7">
      <c r="G1857" s="812"/>
    </row>
    <row r="1858" spans="7:7">
      <c r="G1858" s="812"/>
    </row>
    <row r="1859" spans="7:7">
      <c r="G1859" s="812"/>
    </row>
    <row r="1860" spans="7:7">
      <c r="G1860" s="812"/>
    </row>
    <row r="1861" spans="7:7">
      <c r="G1861" s="812"/>
    </row>
    <row r="1862" spans="7:7">
      <c r="G1862" s="812"/>
    </row>
    <row r="1863" spans="7:7">
      <c r="G1863" s="812"/>
    </row>
    <row r="1864" spans="7:7">
      <c r="G1864" s="812"/>
    </row>
    <row r="1865" spans="7:7">
      <c r="G1865" s="812"/>
    </row>
    <row r="1866" spans="7:7">
      <c r="G1866" s="812"/>
    </row>
    <row r="1867" spans="7:7">
      <c r="G1867" s="812"/>
    </row>
    <row r="1868" spans="7:7">
      <c r="G1868" s="812"/>
    </row>
    <row r="1869" spans="7:7">
      <c r="G1869" s="812"/>
    </row>
    <row r="1870" spans="7:7">
      <c r="G1870" s="812"/>
    </row>
    <row r="1871" spans="7:7">
      <c r="G1871" s="812"/>
    </row>
    <row r="1872" spans="7:7">
      <c r="G1872" s="812"/>
    </row>
    <row r="1873" spans="7:7">
      <c r="G1873" s="812"/>
    </row>
    <row r="1874" spans="7:7">
      <c r="G1874" s="812"/>
    </row>
    <row r="1875" spans="7:7">
      <c r="G1875" s="812"/>
    </row>
    <row r="1876" spans="7:7">
      <c r="G1876" s="812"/>
    </row>
    <row r="1877" spans="7:7">
      <c r="G1877" s="812"/>
    </row>
    <row r="1878" spans="7:7">
      <c r="G1878" s="812"/>
    </row>
    <row r="1879" spans="7:7">
      <c r="G1879" s="812"/>
    </row>
    <row r="1880" spans="7:7">
      <c r="G1880" s="812"/>
    </row>
    <row r="1881" spans="7:7">
      <c r="G1881" s="812"/>
    </row>
    <row r="1882" spans="7:7">
      <c r="G1882" s="812"/>
    </row>
    <row r="1883" spans="7:7">
      <c r="G1883" s="812"/>
    </row>
    <row r="1884" spans="7:7">
      <c r="G1884" s="812"/>
    </row>
    <row r="1885" spans="7:7">
      <c r="G1885" s="812"/>
    </row>
    <row r="1886" spans="7:7">
      <c r="G1886" s="812"/>
    </row>
    <row r="1887" spans="7:7">
      <c r="G1887" s="812"/>
    </row>
    <row r="1888" spans="7:7">
      <c r="G1888" s="812"/>
    </row>
    <row r="1889" spans="7:7">
      <c r="G1889" s="812"/>
    </row>
    <row r="1890" spans="7:7">
      <c r="G1890" s="812"/>
    </row>
    <row r="1891" spans="7:7">
      <c r="G1891" s="812"/>
    </row>
    <row r="1892" spans="7:7">
      <c r="G1892" s="812"/>
    </row>
    <row r="1893" spans="7:7">
      <c r="G1893" s="812"/>
    </row>
    <row r="1894" spans="7:7">
      <c r="G1894" s="812"/>
    </row>
    <row r="1895" spans="7:7">
      <c r="G1895" s="812"/>
    </row>
    <row r="1896" spans="7:7">
      <c r="G1896" s="812"/>
    </row>
    <row r="1897" spans="7:7">
      <c r="G1897" s="812"/>
    </row>
    <row r="1898" spans="7:7">
      <c r="G1898" s="812"/>
    </row>
    <row r="1899" spans="7:7">
      <c r="G1899" s="812"/>
    </row>
    <row r="1900" spans="7:7">
      <c r="G1900" s="812"/>
    </row>
    <row r="1901" spans="7:7">
      <c r="G1901" s="812"/>
    </row>
    <row r="1902" spans="7:7">
      <c r="G1902" s="812"/>
    </row>
    <row r="1903" spans="7:7">
      <c r="G1903" s="812"/>
    </row>
    <row r="1904" spans="7:7">
      <c r="G1904" s="812"/>
    </row>
    <row r="1905" spans="7:7">
      <c r="G1905" s="812"/>
    </row>
    <row r="1906" spans="7:7">
      <c r="G1906" s="812"/>
    </row>
    <row r="1907" spans="7:7">
      <c r="G1907" s="812"/>
    </row>
    <row r="1908" spans="7:7">
      <c r="G1908" s="812"/>
    </row>
    <row r="1909" spans="7:7">
      <c r="G1909" s="812"/>
    </row>
    <row r="1910" spans="7:7">
      <c r="G1910" s="812"/>
    </row>
    <row r="1911" spans="7:7">
      <c r="G1911" s="812"/>
    </row>
    <row r="1912" spans="7:7">
      <c r="G1912" s="812"/>
    </row>
    <row r="1913" spans="7:7">
      <c r="G1913" s="812"/>
    </row>
    <row r="1914" spans="7:7">
      <c r="G1914" s="812"/>
    </row>
    <row r="1915" spans="7:7">
      <c r="G1915" s="812"/>
    </row>
    <row r="1916" spans="7:7">
      <c r="G1916" s="812"/>
    </row>
    <row r="1917" spans="7:7">
      <c r="G1917" s="812"/>
    </row>
    <row r="1918" spans="7:7">
      <c r="G1918" s="812"/>
    </row>
    <row r="1919" spans="7:7">
      <c r="G1919" s="812"/>
    </row>
    <row r="1920" spans="7:7">
      <c r="G1920" s="812"/>
    </row>
    <row r="1921" spans="7:7">
      <c r="G1921" s="812"/>
    </row>
    <row r="1922" spans="7:7">
      <c r="G1922" s="812"/>
    </row>
    <row r="1923" spans="7:7">
      <c r="G1923" s="812"/>
    </row>
    <row r="1924" spans="7:7">
      <c r="G1924" s="812"/>
    </row>
    <row r="1925" spans="7:7">
      <c r="G1925" s="812"/>
    </row>
    <row r="1926" spans="7:7">
      <c r="G1926" s="812"/>
    </row>
    <row r="1927" spans="7:7">
      <c r="G1927" s="812"/>
    </row>
    <row r="1928" spans="7:7">
      <c r="G1928" s="812"/>
    </row>
    <row r="1929" spans="7:7">
      <c r="G1929" s="812"/>
    </row>
    <row r="1930" spans="7:7">
      <c r="G1930" s="812"/>
    </row>
    <row r="1931" spans="7:7">
      <c r="G1931" s="812"/>
    </row>
    <row r="1932" spans="7:7">
      <c r="G1932" s="812"/>
    </row>
    <row r="1933" spans="7:7">
      <c r="G1933" s="812"/>
    </row>
    <row r="1934" spans="7:7">
      <c r="G1934" s="812"/>
    </row>
    <row r="1935" spans="7:7">
      <c r="G1935" s="812"/>
    </row>
    <row r="1936" spans="7:7">
      <c r="G1936" s="812"/>
    </row>
    <row r="1937" spans="7:7">
      <c r="G1937" s="812"/>
    </row>
    <row r="1938" spans="7:7">
      <c r="G1938" s="812"/>
    </row>
    <row r="1939" spans="7:7">
      <c r="G1939" s="812"/>
    </row>
    <row r="1940" spans="7:7">
      <c r="G1940" s="812"/>
    </row>
    <row r="1941" spans="7:7">
      <c r="G1941" s="812"/>
    </row>
    <row r="1942" spans="7:7">
      <c r="G1942" s="812"/>
    </row>
    <row r="1943" spans="7:7">
      <c r="G1943" s="812"/>
    </row>
    <row r="1944" spans="7:7">
      <c r="G1944" s="812"/>
    </row>
    <row r="1945" spans="7:7">
      <c r="G1945" s="812"/>
    </row>
    <row r="1946" spans="7:7">
      <c r="G1946" s="812"/>
    </row>
    <row r="1947" spans="7:7">
      <c r="G1947" s="812"/>
    </row>
    <row r="1948" spans="7:7">
      <c r="G1948" s="812"/>
    </row>
    <row r="1949" spans="7:7">
      <c r="G1949" s="812"/>
    </row>
    <row r="1950" spans="7:7">
      <c r="G1950" s="812"/>
    </row>
    <row r="1951" spans="7:7">
      <c r="G1951" s="812"/>
    </row>
    <row r="1952" spans="7:7">
      <c r="G1952" s="812"/>
    </row>
    <row r="1953" spans="7:7">
      <c r="G1953" s="812"/>
    </row>
    <row r="1954" spans="7:7">
      <c r="G1954" s="812"/>
    </row>
    <row r="1955" spans="7:7">
      <c r="G1955" s="812"/>
    </row>
    <row r="1956" spans="7:7">
      <c r="G1956" s="812"/>
    </row>
    <row r="1957" spans="7:7">
      <c r="G1957" s="812"/>
    </row>
    <row r="1958" spans="7:7">
      <c r="G1958" s="812"/>
    </row>
    <row r="1959" spans="7:7">
      <c r="G1959" s="812"/>
    </row>
    <row r="1960" spans="7:7">
      <c r="G1960" s="812"/>
    </row>
    <row r="1961" spans="7:7">
      <c r="G1961" s="812"/>
    </row>
    <row r="1962" spans="7:7">
      <c r="G1962" s="812"/>
    </row>
    <row r="1963" spans="7:7">
      <c r="G1963" s="812"/>
    </row>
    <row r="1964" spans="7:7">
      <c r="G1964" s="812"/>
    </row>
    <row r="1965" spans="7:7">
      <c r="G1965" s="812"/>
    </row>
    <row r="1966" spans="7:7">
      <c r="G1966" s="812"/>
    </row>
    <row r="1967" spans="7:7">
      <c r="G1967" s="812"/>
    </row>
    <row r="1968" spans="7:7">
      <c r="G1968" s="812"/>
    </row>
    <row r="1969" spans="7:7">
      <c r="G1969" s="812"/>
    </row>
    <row r="1970" spans="7:7">
      <c r="G1970" s="812"/>
    </row>
    <row r="1971" spans="7:7">
      <c r="G1971" s="812"/>
    </row>
    <row r="1972" spans="7:7">
      <c r="G1972" s="812"/>
    </row>
    <row r="1973" spans="7:7">
      <c r="G1973" s="812"/>
    </row>
    <row r="1974" spans="7:7">
      <c r="G1974" s="812"/>
    </row>
    <row r="1975" spans="7:7">
      <c r="G1975" s="812"/>
    </row>
    <row r="1976" spans="7:7">
      <c r="G1976" s="812"/>
    </row>
    <row r="1977" spans="7:7">
      <c r="G1977" s="812"/>
    </row>
    <row r="1978" spans="7:7">
      <c r="G1978" s="812"/>
    </row>
    <row r="1979" spans="7:7">
      <c r="G1979" s="812"/>
    </row>
    <row r="1980" spans="7:7">
      <c r="G1980" s="812"/>
    </row>
    <row r="1981" spans="7:7">
      <c r="G1981" s="812"/>
    </row>
    <row r="1982" spans="7:7">
      <c r="G1982" s="812"/>
    </row>
    <row r="1983" spans="7:7">
      <c r="G1983" s="812"/>
    </row>
    <row r="1984" spans="7:7">
      <c r="G1984" s="812"/>
    </row>
    <row r="1985" spans="7:7">
      <c r="G1985" s="812"/>
    </row>
    <row r="1986" spans="7:7">
      <c r="G1986" s="812"/>
    </row>
    <row r="1987" spans="7:7">
      <c r="G1987" s="812"/>
    </row>
    <row r="1988" spans="7:7">
      <c r="G1988" s="812"/>
    </row>
    <row r="1989" spans="7:7">
      <c r="G1989" s="812"/>
    </row>
    <row r="1990" spans="7:7">
      <c r="G1990" s="812"/>
    </row>
    <row r="1991" spans="7:7">
      <c r="G1991" s="812"/>
    </row>
    <row r="1992" spans="7:7">
      <c r="G1992" s="812"/>
    </row>
    <row r="1993" spans="7:7">
      <c r="G1993" s="812"/>
    </row>
    <row r="1994" spans="7:7">
      <c r="G1994" s="812"/>
    </row>
    <row r="1995" spans="7:7">
      <c r="G1995" s="812"/>
    </row>
    <row r="1996" spans="7:7">
      <c r="G1996" s="812"/>
    </row>
    <row r="1997" spans="7:7">
      <c r="G1997" s="812"/>
    </row>
    <row r="1998" spans="7:7">
      <c r="G1998" s="812"/>
    </row>
    <row r="1999" spans="7:7">
      <c r="G1999" s="812"/>
    </row>
    <row r="2000" spans="7:7">
      <c r="G2000" s="812"/>
    </row>
    <row r="2001" spans="7:7">
      <c r="G2001" s="812"/>
    </row>
    <row r="2002" spans="7:7">
      <c r="G2002" s="812"/>
    </row>
    <row r="2003" spans="7:7">
      <c r="G2003" s="812"/>
    </row>
    <row r="2004" spans="7:7">
      <c r="G2004" s="812"/>
    </row>
    <row r="2005" spans="7:7">
      <c r="G2005" s="812"/>
    </row>
    <row r="2006" spans="7:7">
      <c r="G2006" s="812"/>
    </row>
    <row r="2007" spans="7:7">
      <c r="G2007" s="812"/>
    </row>
    <row r="2008" spans="7:7">
      <c r="G2008" s="812"/>
    </row>
    <row r="2009" spans="7:7">
      <c r="G2009" s="812"/>
    </row>
    <row r="2010" spans="7:7">
      <c r="G2010" s="812"/>
    </row>
    <row r="2011" spans="7:7">
      <c r="G2011" s="812"/>
    </row>
    <row r="2012" spans="7:7">
      <c r="G2012" s="812"/>
    </row>
    <row r="2013" spans="7:7">
      <c r="G2013" s="812"/>
    </row>
    <row r="2014" spans="7:7">
      <c r="G2014" s="812"/>
    </row>
    <row r="2015" spans="7:7">
      <c r="G2015" s="812"/>
    </row>
    <row r="2016" spans="7:7">
      <c r="G2016" s="812"/>
    </row>
    <row r="2017" spans="7:7">
      <c r="G2017" s="812"/>
    </row>
    <row r="2018" spans="7:7">
      <c r="G2018" s="812"/>
    </row>
    <row r="2019" spans="7:7">
      <c r="G2019" s="812"/>
    </row>
    <row r="2020" spans="7:7">
      <c r="G2020" s="812"/>
    </row>
    <row r="2021" spans="7:7">
      <c r="G2021" s="812"/>
    </row>
    <row r="2022" spans="7:7">
      <c r="G2022" s="812"/>
    </row>
    <row r="2023" spans="7:7">
      <c r="G2023" s="812"/>
    </row>
    <row r="2024" spans="7:7">
      <c r="G2024" s="812"/>
    </row>
    <row r="2025" spans="7:7">
      <c r="G2025" s="812"/>
    </row>
    <row r="2026" spans="7:7">
      <c r="G2026" s="812"/>
    </row>
    <row r="2027" spans="7:7">
      <c r="G2027" s="812"/>
    </row>
    <row r="2028" spans="7:7">
      <c r="G2028" s="812"/>
    </row>
    <row r="2029" spans="7:7">
      <c r="G2029" s="812"/>
    </row>
    <row r="2030" spans="7:7">
      <c r="G2030" s="812"/>
    </row>
    <row r="2031" spans="7:7">
      <c r="G2031" s="812"/>
    </row>
    <row r="2032" spans="7:7">
      <c r="G2032" s="812"/>
    </row>
    <row r="2033" spans="7:7">
      <c r="G2033" s="812"/>
    </row>
    <row r="2034" spans="7:7">
      <c r="G2034" s="812"/>
    </row>
    <row r="2035" spans="7:7">
      <c r="G2035" s="812"/>
    </row>
    <row r="2036" spans="7:7">
      <c r="G2036" s="812"/>
    </row>
    <row r="2037" spans="7:7">
      <c r="G2037" s="812"/>
    </row>
    <row r="2038" spans="7:7">
      <c r="G2038" s="812"/>
    </row>
    <row r="2039" spans="7:7">
      <c r="G2039" s="812"/>
    </row>
    <row r="2040" spans="7:7">
      <c r="G2040" s="812"/>
    </row>
    <row r="2041" spans="7:7">
      <c r="G2041" s="812"/>
    </row>
    <row r="2042" spans="7:7">
      <c r="G2042" s="812"/>
    </row>
    <row r="2043" spans="7:7">
      <c r="G2043" s="812"/>
    </row>
    <row r="2044" spans="7:7">
      <c r="G2044" s="812"/>
    </row>
    <row r="2045" spans="7:7">
      <c r="G2045" s="812"/>
    </row>
    <row r="2046" spans="7:7">
      <c r="G2046" s="812"/>
    </row>
    <row r="2047" spans="7:7">
      <c r="G2047" s="812"/>
    </row>
    <row r="2048" spans="7:7">
      <c r="G2048" s="812"/>
    </row>
    <row r="2049" spans="7:7">
      <c r="G2049" s="812"/>
    </row>
    <row r="2050" spans="7:7">
      <c r="G2050" s="812"/>
    </row>
    <row r="2051" spans="7:7">
      <c r="G2051" s="812"/>
    </row>
    <row r="2052" spans="7:7">
      <c r="G2052" s="812"/>
    </row>
    <row r="2053" spans="7:7">
      <c r="G2053" s="812"/>
    </row>
    <row r="2054" spans="7:7">
      <c r="G2054" s="812"/>
    </row>
    <row r="2055" spans="7:7">
      <c r="G2055" s="812"/>
    </row>
    <row r="2056" spans="7:7">
      <c r="G2056" s="812"/>
    </row>
    <row r="2057" spans="7:7">
      <c r="G2057" s="812"/>
    </row>
    <row r="2058" spans="7:7">
      <c r="G2058" s="812"/>
    </row>
    <row r="2059" spans="7:7">
      <c r="G2059" s="812"/>
    </row>
    <row r="2060" spans="7:7">
      <c r="G2060" s="812"/>
    </row>
    <row r="2061" spans="7:7">
      <c r="G2061" s="812"/>
    </row>
    <row r="2062" spans="7:7">
      <c r="G2062" s="812"/>
    </row>
    <row r="2063" spans="7:7">
      <c r="G2063" s="812"/>
    </row>
    <row r="2064" spans="7:7">
      <c r="G2064" s="812"/>
    </row>
    <row r="2065" spans="7:7">
      <c r="G2065" s="812"/>
    </row>
    <row r="2066" spans="7:7">
      <c r="G2066" s="812"/>
    </row>
    <row r="2067" spans="7:7">
      <c r="G2067" s="812"/>
    </row>
    <row r="2068" spans="7:7">
      <c r="G2068" s="812"/>
    </row>
    <row r="2069" spans="7:7">
      <c r="G2069" s="812"/>
    </row>
    <row r="2070" spans="7:7">
      <c r="G2070" s="812"/>
    </row>
    <row r="2071" spans="7:7">
      <c r="G2071" s="812"/>
    </row>
    <row r="2072" spans="7:7">
      <c r="G2072" s="812"/>
    </row>
    <row r="2073" spans="7:7">
      <c r="G2073" s="812"/>
    </row>
    <row r="2074" spans="7:7">
      <c r="G2074" s="812"/>
    </row>
    <row r="2075" spans="7:7">
      <c r="G2075" s="812"/>
    </row>
    <row r="2076" spans="7:7">
      <c r="G2076" s="812"/>
    </row>
    <row r="2077" spans="7:7">
      <c r="G2077" s="812"/>
    </row>
    <row r="2078" spans="7:7">
      <c r="G2078" s="812"/>
    </row>
    <row r="2079" spans="7:7">
      <c r="G2079" s="812"/>
    </row>
    <row r="2080" spans="7:7">
      <c r="G2080" s="812"/>
    </row>
    <row r="2081" spans="7:7">
      <c r="G2081" s="812"/>
    </row>
    <row r="2082" spans="7:7">
      <c r="G2082" s="812"/>
    </row>
    <row r="2083" spans="7:7">
      <c r="G2083" s="812"/>
    </row>
    <row r="2084" spans="7:7">
      <c r="G2084" s="812"/>
    </row>
    <row r="2085" spans="7:7">
      <c r="G2085" s="812"/>
    </row>
    <row r="2086" spans="7:7">
      <c r="G2086" s="812"/>
    </row>
    <row r="2087" spans="7:7">
      <c r="G2087" s="812"/>
    </row>
    <row r="2088" spans="7:7">
      <c r="G2088" s="812"/>
    </row>
    <row r="2089" spans="7:7">
      <c r="G2089" s="812"/>
    </row>
    <row r="2090" spans="7:7">
      <c r="G2090" s="812"/>
    </row>
    <row r="2091" spans="7:7">
      <c r="G2091" s="812"/>
    </row>
    <row r="2092" spans="7:7">
      <c r="G2092" s="812"/>
    </row>
    <row r="2093" spans="7:7">
      <c r="G2093" s="812"/>
    </row>
    <row r="2094" spans="7:7">
      <c r="G2094" s="812"/>
    </row>
    <row r="2095" spans="7:7">
      <c r="G2095" s="812"/>
    </row>
    <row r="2096" spans="7:7">
      <c r="G2096" s="812"/>
    </row>
    <row r="2097" spans="7:7">
      <c r="G2097" s="812"/>
    </row>
    <row r="2098" spans="7:7">
      <c r="G2098" s="812"/>
    </row>
    <row r="2099" spans="7:7">
      <c r="G2099" s="812"/>
    </row>
    <row r="2100" spans="7:7">
      <c r="G2100" s="812"/>
    </row>
    <row r="2101" spans="7:7">
      <c r="G2101" s="812"/>
    </row>
    <row r="2102" spans="7:7">
      <c r="G2102" s="812"/>
    </row>
    <row r="2103" spans="7:7">
      <c r="G2103" s="812"/>
    </row>
    <row r="2104" spans="7:7">
      <c r="G2104" s="812"/>
    </row>
    <row r="2105" spans="7:7">
      <c r="G2105" s="812"/>
    </row>
    <row r="2106" spans="7:7">
      <c r="G2106" s="812"/>
    </row>
    <row r="2107" spans="7:7">
      <c r="G2107" s="812"/>
    </row>
    <row r="2108" spans="7:7">
      <c r="G2108" s="812"/>
    </row>
    <row r="2109" spans="7:7">
      <c r="G2109" s="812"/>
    </row>
    <row r="2110" spans="7:7">
      <c r="G2110" s="812"/>
    </row>
    <row r="2111" spans="7:7">
      <c r="G2111" s="812"/>
    </row>
    <row r="2112" spans="7:7">
      <c r="G2112" s="812"/>
    </row>
    <row r="2113" spans="7:7">
      <c r="G2113" s="812"/>
    </row>
    <row r="2114" spans="7:7">
      <c r="G2114" s="812"/>
    </row>
    <row r="2115" spans="7:7">
      <c r="G2115" s="812"/>
    </row>
    <row r="2116" spans="7:7">
      <c r="G2116" s="812"/>
    </row>
    <row r="2117" spans="7:7">
      <c r="G2117" s="812"/>
    </row>
    <row r="2118" spans="7:7">
      <c r="G2118" s="812"/>
    </row>
    <row r="2119" spans="7:7">
      <c r="G2119" s="812"/>
    </row>
    <row r="2120" spans="7:7">
      <c r="G2120" s="812"/>
    </row>
    <row r="2121" spans="7:7">
      <c r="G2121" s="812"/>
    </row>
    <row r="2122" spans="7:7">
      <c r="G2122" s="812"/>
    </row>
    <row r="2123" spans="7:7">
      <c r="G2123" s="812"/>
    </row>
    <row r="2124" spans="7:7">
      <c r="G2124" s="812"/>
    </row>
    <row r="2125" spans="7:7">
      <c r="G2125" s="812"/>
    </row>
    <row r="2126" spans="7:7">
      <c r="G2126" s="812"/>
    </row>
    <row r="2127" spans="7:7">
      <c r="G2127" s="812"/>
    </row>
    <row r="2128" spans="7:7">
      <c r="G2128" s="812"/>
    </row>
    <row r="2129" spans="7:7">
      <c r="G2129" s="812"/>
    </row>
    <row r="2130" spans="7:7">
      <c r="G2130" s="812"/>
    </row>
    <row r="2131" spans="7:7">
      <c r="G2131" s="812"/>
    </row>
    <row r="2132" spans="7:7">
      <c r="G2132" s="812"/>
    </row>
    <row r="2133" spans="7:7">
      <c r="G2133" s="812"/>
    </row>
    <row r="2134" spans="7:7">
      <c r="G2134" s="812"/>
    </row>
    <row r="2135" spans="7:7">
      <c r="G2135" s="812"/>
    </row>
    <row r="2136" spans="7:7">
      <c r="G2136" s="812"/>
    </row>
    <row r="2137" spans="7:7">
      <c r="G2137" s="812"/>
    </row>
    <row r="2138" spans="7:7">
      <c r="G2138" s="812"/>
    </row>
    <row r="2139" spans="7:7">
      <c r="G2139" s="812"/>
    </row>
    <row r="2140" spans="7:7">
      <c r="G2140" s="812"/>
    </row>
    <row r="2141" spans="7:7">
      <c r="G2141" s="812"/>
    </row>
    <row r="2142" spans="7:7">
      <c r="G2142" s="812"/>
    </row>
    <row r="2143" spans="7:7">
      <c r="G2143" s="812"/>
    </row>
    <row r="2144" spans="7:7">
      <c r="G2144" s="812"/>
    </row>
    <row r="2145" spans="7:7">
      <c r="G2145" s="812"/>
    </row>
    <row r="2146" spans="7:7">
      <c r="G2146" s="812"/>
    </row>
    <row r="2147" spans="7:7">
      <c r="G2147" s="812"/>
    </row>
    <row r="2148" spans="7:7">
      <c r="G2148" s="812"/>
    </row>
    <row r="2149" spans="7:7">
      <c r="G2149" s="812"/>
    </row>
    <row r="2150" spans="7:7">
      <c r="G2150" s="812"/>
    </row>
    <row r="2151" spans="7:7">
      <c r="G2151" s="812"/>
    </row>
    <row r="2152" spans="7:7">
      <c r="G2152" s="812"/>
    </row>
    <row r="2153" spans="7:7">
      <c r="G2153" s="812"/>
    </row>
    <row r="2154" spans="7:7">
      <c r="G2154" s="812"/>
    </row>
    <row r="2155" spans="7:7">
      <c r="G2155" s="812"/>
    </row>
    <row r="2156" spans="7:7">
      <c r="G2156" s="812"/>
    </row>
    <row r="2157" spans="7:7">
      <c r="G2157" s="812"/>
    </row>
    <row r="2158" spans="7:7">
      <c r="G2158" s="812"/>
    </row>
    <row r="2159" spans="7:7">
      <c r="G2159" s="812"/>
    </row>
    <row r="2160" spans="7:7">
      <c r="G2160" s="812"/>
    </row>
    <row r="2161" spans="7:7">
      <c r="G2161" s="812"/>
    </row>
    <row r="2162" spans="7:7">
      <c r="G2162" s="812"/>
    </row>
    <row r="2163" spans="7:7">
      <c r="G2163" s="812"/>
    </row>
    <row r="2164" spans="7:7">
      <c r="G2164" s="812"/>
    </row>
    <row r="2165" spans="7:7">
      <c r="G2165" s="812"/>
    </row>
    <row r="2166" spans="7:7">
      <c r="G2166" s="812"/>
    </row>
    <row r="2167" spans="7:7">
      <c r="G2167" s="812"/>
    </row>
    <row r="2168" spans="7:7">
      <c r="G2168" s="812"/>
    </row>
    <row r="2169" spans="7:7">
      <c r="G2169" s="812"/>
    </row>
    <row r="2170" spans="7:7">
      <c r="G2170" s="812"/>
    </row>
    <row r="2171" spans="7:7">
      <c r="G2171" s="812"/>
    </row>
    <row r="2172" spans="7:7">
      <c r="G2172" s="812"/>
    </row>
    <row r="2173" spans="7:7">
      <c r="G2173" s="812"/>
    </row>
    <row r="2174" spans="7:7">
      <c r="G2174" s="812"/>
    </row>
    <row r="2175" spans="7:7">
      <c r="G2175" s="812"/>
    </row>
    <row r="2176" spans="7:7">
      <c r="G2176" s="812"/>
    </row>
    <row r="2177" spans="7:7">
      <c r="G2177" s="812"/>
    </row>
    <row r="2178" spans="7:7">
      <c r="G2178" s="812"/>
    </row>
    <row r="2179" spans="7:7">
      <c r="G2179" s="812"/>
    </row>
    <row r="2180" spans="7:7">
      <c r="G2180" s="812"/>
    </row>
    <row r="2181" spans="7:7">
      <c r="G2181" s="812"/>
    </row>
    <row r="2182" spans="7:7">
      <c r="G2182" s="812"/>
    </row>
    <row r="2183" spans="7:7">
      <c r="G2183" s="812"/>
    </row>
    <row r="2184" spans="7:7">
      <c r="G2184" s="812"/>
    </row>
    <row r="2185" spans="7:7">
      <c r="G2185" s="812"/>
    </row>
    <row r="2186" spans="7:7">
      <c r="G2186" s="812"/>
    </row>
    <row r="2187" spans="7:7">
      <c r="G2187" s="812"/>
    </row>
    <row r="2188" spans="7:7">
      <c r="G2188" s="812"/>
    </row>
    <row r="2189" spans="7:7">
      <c r="G2189" s="812"/>
    </row>
    <row r="2190" spans="7:7">
      <c r="G2190" s="812"/>
    </row>
    <row r="2191" spans="7:7">
      <c r="G2191" s="812"/>
    </row>
    <row r="2192" spans="7:7">
      <c r="G2192" s="812"/>
    </row>
    <row r="2193" spans="7:7">
      <c r="G2193" s="812"/>
    </row>
    <row r="2194" spans="7:7">
      <c r="G2194" s="812"/>
    </row>
    <row r="2195" spans="7:7">
      <c r="G2195" s="812"/>
    </row>
    <row r="2196" spans="7:7">
      <c r="G2196" s="812"/>
    </row>
    <row r="2197" spans="7:7">
      <c r="G2197" s="812"/>
    </row>
    <row r="2198" spans="7:7">
      <c r="G2198" s="812"/>
    </row>
    <row r="2199" spans="7:7">
      <c r="G2199" s="812"/>
    </row>
    <row r="2200" spans="7:7">
      <c r="G2200" s="812"/>
    </row>
    <row r="2201" spans="7:7">
      <c r="G2201" s="812"/>
    </row>
    <row r="2202" spans="7:7">
      <c r="G2202" s="812"/>
    </row>
    <row r="2203" spans="7:7">
      <c r="G2203" s="812"/>
    </row>
    <row r="2204" spans="7:7">
      <c r="G2204" s="812"/>
    </row>
    <row r="2205" spans="7:7">
      <c r="G2205" s="812"/>
    </row>
    <row r="2206" spans="7:7">
      <c r="G2206" s="812"/>
    </row>
    <row r="2207" spans="7:7">
      <c r="G2207" s="812"/>
    </row>
    <row r="2208" spans="7:7">
      <c r="G2208" s="812"/>
    </row>
    <row r="2209" spans="7:7">
      <c r="G2209" s="812"/>
    </row>
    <row r="2210" spans="7:7">
      <c r="G2210" s="812"/>
    </row>
    <row r="2211" spans="7:7">
      <c r="G2211" s="812"/>
    </row>
    <row r="2212" spans="7:7">
      <c r="G2212" s="812"/>
    </row>
    <row r="2213" spans="7:7">
      <c r="G2213" s="812"/>
    </row>
    <row r="2214" spans="7:7">
      <c r="G2214" s="812"/>
    </row>
    <row r="2215" spans="7:7">
      <c r="G2215" s="812"/>
    </row>
    <row r="2216" spans="7:7">
      <c r="G2216" s="812"/>
    </row>
    <row r="2217" spans="7:7">
      <c r="G2217" s="812"/>
    </row>
    <row r="2218" spans="7:7">
      <c r="G2218" s="812"/>
    </row>
    <row r="2219" spans="7:7">
      <c r="G2219" s="812"/>
    </row>
    <row r="2220" spans="7:7">
      <c r="G2220" s="812"/>
    </row>
    <row r="2221" spans="7:7">
      <c r="G2221" s="812"/>
    </row>
    <row r="2222" spans="7:7">
      <c r="G2222" s="812"/>
    </row>
    <row r="2223" spans="7:7">
      <c r="G2223" s="812"/>
    </row>
    <row r="2224" spans="7:7">
      <c r="G2224" s="812"/>
    </row>
    <row r="2225" spans="7:7">
      <c r="G2225" s="812"/>
    </row>
    <row r="2226" spans="7:7">
      <c r="G2226" s="812"/>
    </row>
    <row r="2227" spans="7:7">
      <c r="G2227" s="812"/>
    </row>
    <row r="2228" spans="7:7">
      <c r="G2228" s="812"/>
    </row>
    <row r="2229" spans="7:7">
      <c r="G2229" s="812"/>
    </row>
    <row r="2230" spans="7:7">
      <c r="G2230" s="812"/>
    </row>
    <row r="2231" spans="7:7">
      <c r="G2231" s="812"/>
    </row>
    <row r="2232" spans="7:7">
      <c r="G2232" s="812"/>
    </row>
    <row r="2233" spans="7:7">
      <c r="G2233" s="812"/>
    </row>
    <row r="2234" spans="7:7">
      <c r="G2234" s="812"/>
    </row>
    <row r="2235" spans="7:7">
      <c r="G2235" s="812"/>
    </row>
    <row r="2236" spans="7:7">
      <c r="G2236" s="812"/>
    </row>
    <row r="2237" spans="7:7">
      <c r="G2237" s="812"/>
    </row>
    <row r="2238" spans="7:7">
      <c r="G2238" s="812"/>
    </row>
    <row r="2239" spans="7:7">
      <c r="G2239" s="812"/>
    </row>
    <row r="2240" spans="7:7">
      <c r="G2240" s="812"/>
    </row>
    <row r="2241" spans="7:7">
      <c r="G2241" s="812"/>
    </row>
    <row r="2242" spans="7:7">
      <c r="G2242" s="812"/>
    </row>
    <row r="2243" spans="7:7">
      <c r="G2243" s="812"/>
    </row>
    <row r="2244" spans="7:7">
      <c r="G2244" s="812"/>
    </row>
    <row r="2245" spans="7:7">
      <c r="G2245" s="812"/>
    </row>
    <row r="2246" spans="7:7">
      <c r="G2246" s="812"/>
    </row>
    <row r="2247" spans="7:7">
      <c r="G2247" s="812"/>
    </row>
    <row r="2248" spans="7:7">
      <c r="G2248" s="812"/>
    </row>
    <row r="2249" spans="7:7">
      <c r="G2249" s="812"/>
    </row>
    <row r="2250" spans="7:7">
      <c r="G2250" s="812"/>
    </row>
    <row r="2251" spans="7:7">
      <c r="G2251" s="812"/>
    </row>
    <row r="2252" spans="7:7">
      <c r="G2252" s="812"/>
    </row>
    <row r="2253" spans="7:7">
      <c r="G2253" s="812"/>
    </row>
    <row r="2254" spans="7:7">
      <c r="G2254" s="812"/>
    </row>
    <row r="2255" spans="7:7">
      <c r="G2255" s="812"/>
    </row>
    <row r="2256" spans="7:7">
      <c r="G2256" s="812"/>
    </row>
    <row r="2257" spans="7:7">
      <c r="G2257" s="812"/>
    </row>
    <row r="2258" spans="7:7">
      <c r="G2258" s="812"/>
    </row>
    <row r="2259" spans="7:7">
      <c r="G2259" s="812"/>
    </row>
    <row r="2260" spans="7:7">
      <c r="G2260" s="812"/>
    </row>
    <row r="2261" spans="7:7">
      <c r="G2261" s="812"/>
    </row>
    <row r="2262" spans="7:7">
      <c r="G2262" s="812"/>
    </row>
    <row r="2263" spans="7:7">
      <c r="G2263" s="812"/>
    </row>
    <row r="2264" spans="7:7">
      <c r="G2264" s="812"/>
    </row>
    <row r="2265" spans="7:7">
      <c r="G2265" s="812"/>
    </row>
    <row r="2266" spans="7:7">
      <c r="G2266" s="812"/>
    </row>
    <row r="2267" spans="7:7">
      <c r="G2267" s="812"/>
    </row>
    <row r="2268" spans="7:7">
      <c r="G2268" s="812"/>
    </row>
    <row r="2269" spans="7:7">
      <c r="G2269" s="812"/>
    </row>
    <row r="2270" spans="7:7">
      <c r="G2270" s="812"/>
    </row>
    <row r="2271" spans="7:7">
      <c r="G2271" s="812"/>
    </row>
    <row r="2272" spans="7:7">
      <c r="G2272" s="812"/>
    </row>
    <row r="2273" spans="7:7">
      <c r="G2273" s="812"/>
    </row>
    <row r="2274" spans="7:7">
      <c r="G2274" s="812"/>
    </row>
    <row r="2275" spans="7:7">
      <c r="G2275" s="812"/>
    </row>
    <row r="2276" spans="7:7">
      <c r="G2276" s="812"/>
    </row>
    <row r="2277" spans="7:7">
      <c r="G2277" s="812"/>
    </row>
    <row r="2278" spans="7:7">
      <c r="G2278" s="812"/>
    </row>
    <row r="2279" spans="7:7">
      <c r="G2279" s="812"/>
    </row>
    <row r="2280" spans="7:7">
      <c r="G2280" s="812"/>
    </row>
    <row r="2281" spans="7:7">
      <c r="G2281" s="812"/>
    </row>
    <row r="2282" spans="7:7">
      <c r="G2282" s="812"/>
    </row>
    <row r="2283" spans="7:7">
      <c r="G2283" s="812"/>
    </row>
    <row r="2284" spans="7:7">
      <c r="G2284" s="812"/>
    </row>
    <row r="2285" spans="7:7">
      <c r="G2285" s="812"/>
    </row>
    <row r="2286" spans="7:7">
      <c r="G2286" s="812"/>
    </row>
    <row r="2287" spans="7:7">
      <c r="G2287" s="812"/>
    </row>
    <row r="2288" spans="7:7">
      <c r="G2288" s="812"/>
    </row>
    <row r="2289" spans="7:7">
      <c r="G2289" s="812"/>
    </row>
    <row r="2290" spans="7:7">
      <c r="G2290" s="812"/>
    </row>
    <row r="2291" spans="7:7">
      <c r="G2291" s="812"/>
    </row>
    <row r="2292" spans="7:7">
      <c r="G2292" s="812"/>
    </row>
    <row r="2293" spans="7:7">
      <c r="G2293" s="812"/>
    </row>
    <row r="2294" spans="7:7">
      <c r="G2294" s="812"/>
    </row>
    <row r="2295" spans="7:7">
      <c r="G2295" s="812"/>
    </row>
    <row r="2296" spans="7:7">
      <c r="G2296" s="812"/>
    </row>
    <row r="2297" spans="7:7">
      <c r="G2297" s="812"/>
    </row>
    <row r="2298" spans="7:7">
      <c r="G2298" s="812"/>
    </row>
    <row r="2299" spans="7:7">
      <c r="G2299" s="812"/>
    </row>
    <row r="2300" spans="7:7">
      <c r="G2300" s="812"/>
    </row>
    <row r="2301" spans="7:7">
      <c r="G2301" s="812"/>
    </row>
    <row r="2302" spans="7:7">
      <c r="G2302" s="812"/>
    </row>
    <row r="2303" spans="7:7">
      <c r="G2303" s="812"/>
    </row>
    <row r="2304" spans="7:7">
      <c r="G2304" s="812"/>
    </row>
    <row r="2305" spans="7:7">
      <c r="G2305" s="812"/>
    </row>
    <row r="2306" spans="7:7">
      <c r="G2306" s="812"/>
    </row>
    <row r="2307" spans="7:7">
      <c r="G2307" s="812"/>
    </row>
    <row r="2308" spans="7:7">
      <c r="G2308" s="812"/>
    </row>
    <row r="2309" spans="7:7">
      <c r="G2309" s="812"/>
    </row>
    <row r="2310" spans="7:7">
      <c r="G2310" s="812"/>
    </row>
    <row r="2311" spans="7:7">
      <c r="G2311" s="812"/>
    </row>
    <row r="2312" spans="7:7">
      <c r="G2312" s="812"/>
    </row>
    <row r="2313" spans="7:7">
      <c r="G2313" s="812"/>
    </row>
    <row r="2314" spans="7:7">
      <c r="G2314" s="812"/>
    </row>
    <row r="2315" spans="7:7">
      <c r="G2315" s="812"/>
    </row>
    <row r="2316" spans="7:7">
      <c r="G2316" s="812"/>
    </row>
    <row r="2317" spans="7:7">
      <c r="G2317" s="812"/>
    </row>
    <row r="2318" spans="7:7">
      <c r="G2318" s="812"/>
    </row>
    <row r="2319" spans="7:7">
      <c r="G2319" s="812"/>
    </row>
    <row r="2320" spans="7:7">
      <c r="G2320" s="812"/>
    </row>
    <row r="2321" spans="7:7">
      <c r="G2321" s="812"/>
    </row>
    <row r="2322" spans="7:7">
      <c r="G2322" s="812"/>
    </row>
    <row r="2323" spans="7:7">
      <c r="G2323" s="812"/>
    </row>
    <row r="2324" spans="7:7">
      <c r="G2324" s="812"/>
    </row>
    <row r="2325" spans="7:7">
      <c r="G2325" s="812"/>
    </row>
    <row r="2326" spans="7:7">
      <c r="G2326" s="812"/>
    </row>
    <row r="2327" spans="7:7">
      <c r="G2327" s="812"/>
    </row>
    <row r="2328" spans="7:7">
      <c r="G2328" s="812"/>
    </row>
    <row r="2329" spans="7:7">
      <c r="G2329" s="812"/>
    </row>
    <row r="2330" spans="7:7">
      <c r="G2330" s="812"/>
    </row>
    <row r="2331" spans="7:7">
      <c r="G2331" s="812"/>
    </row>
    <row r="2332" spans="7:7">
      <c r="G2332" s="812"/>
    </row>
    <row r="2333" spans="7:7">
      <c r="G2333" s="812"/>
    </row>
    <row r="2334" spans="7:7">
      <c r="G2334" s="812"/>
    </row>
    <row r="2335" spans="7:7">
      <c r="G2335" s="812"/>
    </row>
    <row r="2336" spans="7:7">
      <c r="G2336" s="812"/>
    </row>
    <row r="2337" spans="7:7">
      <c r="G2337" s="812"/>
    </row>
    <row r="2338" spans="7:7">
      <c r="G2338" s="812"/>
    </row>
    <row r="2339" spans="7:7">
      <c r="G2339" s="812"/>
    </row>
    <row r="2340" spans="7:7">
      <c r="G2340" s="812"/>
    </row>
    <row r="2341" spans="7:7">
      <c r="G2341" s="812"/>
    </row>
    <row r="2342" spans="7:7">
      <c r="G2342" s="812"/>
    </row>
    <row r="2343" spans="7:7">
      <c r="G2343" s="812"/>
    </row>
    <row r="2344" spans="7:7">
      <c r="G2344" s="812"/>
    </row>
    <row r="2345" spans="7:7">
      <c r="G2345" s="812"/>
    </row>
    <row r="2346" spans="7:7">
      <c r="G2346" s="812"/>
    </row>
    <row r="2347" spans="7:7">
      <c r="G2347" s="812"/>
    </row>
    <row r="2348" spans="7:7">
      <c r="G2348" s="812"/>
    </row>
    <row r="2349" spans="7:7">
      <c r="G2349" s="812"/>
    </row>
    <row r="2350" spans="7:7">
      <c r="G2350" s="812"/>
    </row>
    <row r="2351" spans="7:7">
      <c r="G2351" s="812"/>
    </row>
    <row r="2352" spans="7:7">
      <c r="G2352" s="812"/>
    </row>
    <row r="2353" spans="7:7">
      <c r="G2353" s="812"/>
    </row>
    <row r="2354" spans="7:7">
      <c r="G2354" s="812"/>
    </row>
    <row r="2355" spans="7:7">
      <c r="G2355" s="812"/>
    </row>
    <row r="2356" spans="7:7">
      <c r="G2356" s="812"/>
    </row>
    <row r="2357" spans="7:7">
      <c r="G2357" s="812"/>
    </row>
    <row r="2358" spans="7:7">
      <c r="G2358" s="812"/>
    </row>
    <row r="2359" spans="7:7">
      <c r="G2359" s="812"/>
    </row>
    <row r="2360" spans="7:7">
      <c r="G2360" s="812"/>
    </row>
    <row r="2361" spans="7:7">
      <c r="G2361" s="812"/>
    </row>
    <row r="2362" spans="7:7">
      <c r="G2362" s="812"/>
    </row>
    <row r="2363" spans="7:7">
      <c r="G2363" s="812"/>
    </row>
    <row r="2364" spans="7:7">
      <c r="G2364" s="812"/>
    </row>
    <row r="2365" spans="7:7">
      <c r="G2365" s="812"/>
    </row>
    <row r="2366" spans="7:7">
      <c r="G2366" s="812"/>
    </row>
    <row r="2367" spans="7:7">
      <c r="G2367" s="812"/>
    </row>
    <row r="2368" spans="7:7">
      <c r="G2368" s="812"/>
    </row>
    <row r="2369" spans="7:7">
      <c r="G2369" s="812"/>
    </row>
    <row r="2370" spans="7:7">
      <c r="G2370" s="812"/>
    </row>
    <row r="2371" spans="7:7">
      <c r="G2371" s="812"/>
    </row>
    <row r="2372" spans="7:7">
      <c r="G2372" s="812"/>
    </row>
    <row r="2373" spans="7:7">
      <c r="G2373" s="812"/>
    </row>
    <row r="2374" spans="7:7">
      <c r="G2374" s="812"/>
    </row>
    <row r="2375" spans="7:7">
      <c r="G2375" s="812"/>
    </row>
    <row r="2376" spans="7:7">
      <c r="G2376" s="812"/>
    </row>
    <row r="2377" spans="7:7">
      <c r="G2377" s="812"/>
    </row>
    <row r="2378" spans="7:7">
      <c r="G2378" s="812"/>
    </row>
    <row r="2379" spans="7:7">
      <c r="G2379" s="812"/>
    </row>
    <row r="2380" spans="7:7">
      <c r="G2380" s="812"/>
    </row>
    <row r="2381" spans="7:7">
      <c r="G2381" s="812"/>
    </row>
    <row r="2382" spans="7:7">
      <c r="G2382" s="812"/>
    </row>
    <row r="2383" spans="7:7">
      <c r="G2383" s="812"/>
    </row>
    <row r="2384" spans="7:7">
      <c r="G2384" s="812"/>
    </row>
    <row r="2385" spans="7:7">
      <c r="G2385" s="812"/>
    </row>
    <row r="2386" spans="7:7">
      <c r="G2386" s="812"/>
    </row>
    <row r="2387" spans="7:7">
      <c r="G2387" s="812"/>
    </row>
    <row r="2388" spans="7:7">
      <c r="G2388" s="812"/>
    </row>
    <row r="2389" spans="7:7">
      <c r="G2389" s="812"/>
    </row>
    <row r="2390" spans="7:7">
      <c r="G2390" s="812"/>
    </row>
    <row r="2391" spans="7:7">
      <c r="G2391" s="812"/>
    </row>
    <row r="2392" spans="7:7">
      <c r="G2392" s="812"/>
    </row>
    <row r="2393" spans="7:7">
      <c r="G2393" s="812"/>
    </row>
    <row r="2394" spans="7:7">
      <c r="G2394" s="812"/>
    </row>
    <row r="2395" spans="7:7">
      <c r="G2395" s="812"/>
    </row>
    <row r="2396" spans="7:7">
      <c r="G2396" s="812"/>
    </row>
    <row r="2397" spans="7:7">
      <c r="G2397" s="812"/>
    </row>
    <row r="2398" spans="7:7">
      <c r="G2398" s="812"/>
    </row>
    <row r="2399" spans="7:7">
      <c r="G2399" s="812"/>
    </row>
    <row r="2400" spans="7:7">
      <c r="G2400" s="812"/>
    </row>
    <row r="2401" spans="7:7">
      <c r="G2401" s="812"/>
    </row>
    <row r="2402" spans="7:7">
      <c r="G2402" s="812"/>
    </row>
    <row r="2403" spans="7:7">
      <c r="G2403" s="812"/>
    </row>
    <row r="2404" spans="7:7">
      <c r="G2404" s="812"/>
    </row>
    <row r="2405" spans="7:7">
      <c r="G2405" s="812"/>
    </row>
    <row r="2406" spans="7:7">
      <c r="G2406" s="812"/>
    </row>
    <row r="2407" spans="7:7">
      <c r="G2407" s="812"/>
    </row>
    <row r="2408" spans="7:7">
      <c r="G2408" s="812"/>
    </row>
    <row r="2409" spans="7:7">
      <c r="G2409" s="812"/>
    </row>
    <row r="2410" spans="7:7">
      <c r="G2410" s="812"/>
    </row>
    <row r="2411" spans="7:7">
      <c r="G2411" s="812"/>
    </row>
    <row r="2412" spans="7:7">
      <c r="G2412" s="812"/>
    </row>
    <row r="2413" spans="7:7">
      <c r="G2413" s="812"/>
    </row>
    <row r="2414" spans="7:7">
      <c r="G2414" s="812"/>
    </row>
    <row r="2415" spans="7:7">
      <c r="G2415" s="812"/>
    </row>
    <row r="2416" spans="7:7">
      <c r="G2416" s="812"/>
    </row>
    <row r="2417" spans="7:7">
      <c r="G2417" s="812"/>
    </row>
    <row r="2418" spans="7:7">
      <c r="G2418" s="812"/>
    </row>
    <row r="2419" spans="7:7">
      <c r="G2419" s="812"/>
    </row>
    <row r="2420" spans="7:7">
      <c r="G2420" s="812"/>
    </row>
    <row r="2421" spans="7:7">
      <c r="G2421" s="812"/>
    </row>
    <row r="2422" spans="7:7">
      <c r="G2422" s="812"/>
    </row>
    <row r="2423" spans="7:7">
      <c r="G2423" s="812"/>
    </row>
    <row r="2424" spans="7:7">
      <c r="G2424" s="812"/>
    </row>
    <row r="2425" spans="7:7">
      <c r="G2425" s="812"/>
    </row>
    <row r="2426" spans="7:7">
      <c r="G2426" s="812"/>
    </row>
    <row r="2427" spans="7:7">
      <c r="G2427" s="812"/>
    </row>
    <row r="2428" spans="7:7">
      <c r="G2428" s="812"/>
    </row>
    <row r="2429" spans="7:7">
      <c r="G2429" s="812"/>
    </row>
    <row r="2430" spans="7:7">
      <c r="G2430" s="812"/>
    </row>
    <row r="2431" spans="7:7">
      <c r="G2431" s="812"/>
    </row>
    <row r="2432" spans="7:7">
      <c r="G2432" s="812"/>
    </row>
    <row r="2433" spans="7:7">
      <c r="G2433" s="812"/>
    </row>
    <row r="2434" spans="7:7">
      <c r="G2434" s="812"/>
    </row>
    <row r="2435" spans="7:7">
      <c r="G2435" s="812"/>
    </row>
    <row r="2436" spans="7:7">
      <c r="G2436" s="812"/>
    </row>
    <row r="2437" spans="7:7">
      <c r="G2437" s="812"/>
    </row>
    <row r="2438" spans="7:7">
      <c r="G2438" s="812"/>
    </row>
    <row r="2439" spans="7:7">
      <c r="G2439" s="812"/>
    </row>
    <row r="2440" spans="7:7">
      <c r="G2440" s="812"/>
    </row>
    <row r="2441" spans="7:7">
      <c r="G2441" s="812"/>
    </row>
    <row r="2442" spans="7:7">
      <c r="G2442" s="812"/>
    </row>
    <row r="2443" spans="7:7">
      <c r="G2443" s="812"/>
    </row>
    <row r="2444" spans="7:7">
      <c r="G2444" s="812"/>
    </row>
    <row r="2445" spans="7:7">
      <c r="G2445" s="812"/>
    </row>
    <row r="2446" spans="7:7">
      <c r="G2446" s="812"/>
    </row>
    <row r="2447" spans="7:7">
      <c r="G2447" s="812"/>
    </row>
    <row r="2448" spans="7:7">
      <c r="G2448" s="812"/>
    </row>
    <row r="2449" spans="7:7">
      <c r="G2449" s="812"/>
    </row>
    <row r="2450" spans="7:7">
      <c r="G2450" s="812"/>
    </row>
    <row r="2451" spans="7:7">
      <c r="G2451" s="812"/>
    </row>
    <row r="2452" spans="7:7">
      <c r="G2452" s="812"/>
    </row>
    <row r="2453" spans="7:7">
      <c r="G2453" s="812"/>
    </row>
    <row r="2454" spans="7:7">
      <c r="G2454" s="812"/>
    </row>
    <row r="2455" spans="7:7">
      <c r="G2455" s="812"/>
    </row>
    <row r="2456" spans="7:7">
      <c r="G2456" s="812"/>
    </row>
    <row r="2457" spans="7:7">
      <c r="G2457" s="812"/>
    </row>
    <row r="2458" spans="7:7">
      <c r="G2458" s="812"/>
    </row>
    <row r="2459" spans="7:7">
      <c r="G2459" s="812"/>
    </row>
    <row r="2460" spans="7:7">
      <c r="G2460" s="812"/>
    </row>
    <row r="2461" spans="7:7">
      <c r="G2461" s="812"/>
    </row>
    <row r="2462" spans="7:7">
      <c r="G2462" s="812"/>
    </row>
    <row r="2463" spans="7:7">
      <c r="G2463" s="812"/>
    </row>
    <row r="2464" spans="7:7">
      <c r="G2464" s="812"/>
    </row>
    <row r="2465" spans="7:7">
      <c r="G2465" s="812"/>
    </row>
    <row r="2466" spans="7:7">
      <c r="G2466" s="812"/>
    </row>
    <row r="2467" spans="7:7">
      <c r="G2467" s="812"/>
    </row>
    <row r="2468" spans="7:7">
      <c r="G2468" s="812"/>
    </row>
    <row r="2469" spans="7:7">
      <c r="G2469" s="812"/>
    </row>
    <row r="2470" spans="7:7">
      <c r="G2470" s="812"/>
    </row>
    <row r="2471" spans="7:7">
      <c r="G2471" s="812"/>
    </row>
    <row r="2472" spans="7:7">
      <c r="G2472" s="812"/>
    </row>
    <row r="2473" spans="7:7">
      <c r="G2473" s="812"/>
    </row>
    <row r="2474" spans="7:7">
      <c r="G2474" s="812"/>
    </row>
    <row r="2475" spans="7:7">
      <c r="G2475" s="812"/>
    </row>
    <row r="2476" spans="7:7">
      <c r="G2476" s="812"/>
    </row>
    <row r="2477" spans="7:7">
      <c r="G2477" s="812"/>
    </row>
    <row r="2478" spans="7:7">
      <c r="G2478" s="812"/>
    </row>
    <row r="2479" spans="7:7">
      <c r="G2479" s="812"/>
    </row>
    <row r="2480" spans="7:7">
      <c r="G2480" s="812"/>
    </row>
    <row r="2481" spans="7:7">
      <c r="G2481" s="812"/>
    </row>
    <row r="2482" spans="7:7">
      <c r="G2482" s="812"/>
    </row>
    <row r="2483" spans="7:7">
      <c r="G2483" s="812"/>
    </row>
    <row r="2484" spans="7:7">
      <c r="G2484" s="812"/>
    </row>
    <row r="2485" spans="7:7">
      <c r="G2485" s="812"/>
    </row>
    <row r="2486" spans="7:7">
      <c r="G2486" s="812"/>
    </row>
    <row r="2487" spans="7:7">
      <c r="G2487" s="812"/>
    </row>
    <row r="2488" spans="7:7">
      <c r="G2488" s="812"/>
    </row>
    <row r="2489" spans="7:7">
      <c r="G2489" s="812"/>
    </row>
    <row r="2490" spans="7:7">
      <c r="G2490" s="812"/>
    </row>
    <row r="2491" spans="7:7">
      <c r="G2491" s="812"/>
    </row>
    <row r="2492" spans="7:7">
      <c r="G2492" s="812"/>
    </row>
    <row r="2493" spans="7:7">
      <c r="G2493" s="812"/>
    </row>
    <row r="2494" spans="7:7">
      <c r="G2494" s="812"/>
    </row>
    <row r="2495" spans="7:7">
      <c r="G2495" s="812"/>
    </row>
    <row r="2496" spans="7:7">
      <c r="G2496" s="812"/>
    </row>
    <row r="2497" spans="7:7">
      <c r="G2497" s="812"/>
    </row>
    <row r="2498" spans="7:7">
      <c r="G2498" s="812"/>
    </row>
    <row r="2499" spans="7:7">
      <c r="G2499" s="812"/>
    </row>
    <row r="2500" spans="7:7">
      <c r="G2500" s="812"/>
    </row>
    <row r="2501" spans="7:7">
      <c r="G2501" s="812"/>
    </row>
    <row r="2502" spans="7:7">
      <c r="G2502" s="812"/>
    </row>
    <row r="2503" spans="7:7">
      <c r="G2503" s="812"/>
    </row>
    <row r="2504" spans="7:7">
      <c r="G2504" s="812"/>
    </row>
    <row r="2505" spans="7:7">
      <c r="G2505" s="812"/>
    </row>
    <row r="2506" spans="7:7">
      <c r="G2506" s="812"/>
    </row>
    <row r="2507" spans="7:7">
      <c r="G2507" s="812"/>
    </row>
    <row r="2508" spans="7:7">
      <c r="G2508" s="812"/>
    </row>
    <row r="2509" spans="7:7">
      <c r="G2509" s="812"/>
    </row>
    <row r="2510" spans="7:7">
      <c r="G2510" s="812"/>
    </row>
    <row r="2511" spans="7:7">
      <c r="G2511" s="812"/>
    </row>
    <row r="2512" spans="7:7">
      <c r="G2512" s="812"/>
    </row>
    <row r="2513" spans="7:7">
      <c r="G2513" s="812"/>
    </row>
    <row r="2514" spans="7:7">
      <c r="G2514" s="812"/>
    </row>
    <row r="2515" spans="7:7">
      <c r="G2515" s="812"/>
    </row>
    <row r="2516" spans="7:7">
      <c r="G2516" s="812"/>
    </row>
    <row r="2517" spans="7:7">
      <c r="G2517" s="812"/>
    </row>
    <row r="2518" spans="7:7">
      <c r="G2518" s="812"/>
    </row>
    <row r="2519" spans="7:7">
      <c r="G2519" s="812"/>
    </row>
    <row r="2520" spans="7:7">
      <c r="G2520" s="812"/>
    </row>
    <row r="2521" spans="7:7">
      <c r="G2521" s="812"/>
    </row>
    <row r="2522" spans="7:7">
      <c r="G2522" s="812"/>
    </row>
    <row r="2523" spans="7:7">
      <c r="G2523" s="812"/>
    </row>
    <row r="2524" spans="7:7">
      <c r="G2524" s="812"/>
    </row>
    <row r="2525" spans="7:7">
      <c r="G2525" s="812"/>
    </row>
    <row r="2526" spans="7:7">
      <c r="G2526" s="812"/>
    </row>
    <row r="2527" spans="7:7">
      <c r="G2527" s="812"/>
    </row>
    <row r="2528" spans="7:7">
      <c r="G2528" s="812"/>
    </row>
    <row r="2529" spans="7:7">
      <c r="G2529" s="812"/>
    </row>
    <row r="2530" spans="7:7">
      <c r="G2530" s="812"/>
    </row>
    <row r="2531" spans="7:7">
      <c r="G2531" s="812"/>
    </row>
    <row r="2532" spans="7:7">
      <c r="G2532" s="812"/>
    </row>
    <row r="2533" spans="7:7">
      <c r="G2533" s="812"/>
    </row>
    <row r="2534" spans="7:7">
      <c r="G2534" s="812"/>
    </row>
    <row r="2535" spans="7:7">
      <c r="G2535" s="812"/>
    </row>
    <row r="2536" spans="7:7">
      <c r="G2536" s="812"/>
    </row>
    <row r="2537" spans="7:7">
      <c r="G2537" s="812"/>
    </row>
    <row r="2538" spans="7:7">
      <c r="G2538" s="812"/>
    </row>
    <row r="2539" spans="7:7">
      <c r="G2539" s="812"/>
    </row>
    <row r="2540" spans="7:7">
      <c r="G2540" s="812"/>
    </row>
    <row r="2541" spans="7:7">
      <c r="G2541" s="812"/>
    </row>
    <row r="2542" spans="7:7">
      <c r="G2542" s="812"/>
    </row>
    <row r="2543" spans="7:7">
      <c r="G2543" s="812"/>
    </row>
    <row r="2544" spans="7:7">
      <c r="G2544" s="812"/>
    </row>
    <row r="2545" spans="7:7">
      <c r="G2545" s="812"/>
    </row>
    <row r="2546" spans="7:7">
      <c r="G2546" s="812"/>
    </row>
    <row r="2547" spans="7:7">
      <c r="G2547" s="812"/>
    </row>
    <row r="2548" spans="7:7">
      <c r="G2548" s="812"/>
    </row>
    <row r="2549" spans="7:7">
      <c r="G2549" s="812"/>
    </row>
    <row r="2550" spans="7:7">
      <c r="G2550" s="812"/>
    </row>
    <row r="2551" spans="7:7">
      <c r="G2551" s="812"/>
    </row>
    <row r="2552" spans="7:7">
      <c r="G2552" s="812"/>
    </row>
    <row r="2553" spans="7:7">
      <c r="G2553" s="812"/>
    </row>
    <row r="2554" spans="7:7">
      <c r="G2554" s="812"/>
    </row>
    <row r="2555" spans="7:7">
      <c r="G2555" s="812"/>
    </row>
    <row r="2556" spans="7:7">
      <c r="G2556" s="812"/>
    </row>
    <row r="2557" spans="7:7">
      <c r="G2557" s="812"/>
    </row>
    <row r="2558" spans="7:7">
      <c r="G2558" s="812"/>
    </row>
    <row r="2559" spans="7:7">
      <c r="G2559" s="812"/>
    </row>
    <row r="2560" spans="7:7">
      <c r="G2560" s="812"/>
    </row>
    <row r="2561" spans="7:7">
      <c r="G2561" s="812"/>
    </row>
    <row r="2562" spans="7:7">
      <c r="G2562" s="812"/>
    </row>
    <row r="2563" spans="7:7">
      <c r="G2563" s="812"/>
    </row>
    <row r="2564" spans="7:7">
      <c r="G2564" s="812"/>
    </row>
    <row r="2565" spans="7:7">
      <c r="G2565" s="812"/>
    </row>
    <row r="2566" spans="7:7">
      <c r="G2566" s="812"/>
    </row>
    <row r="2567" spans="7:7">
      <c r="G2567" s="812"/>
    </row>
    <row r="2568" spans="7:7">
      <c r="G2568" s="812"/>
    </row>
    <row r="2569" spans="7:7">
      <c r="G2569" s="812"/>
    </row>
    <row r="2570" spans="7:7">
      <c r="G2570" s="812"/>
    </row>
    <row r="2571" spans="7:7">
      <c r="G2571" s="812"/>
    </row>
    <row r="2572" spans="7:7">
      <c r="G2572" s="812"/>
    </row>
    <row r="2573" spans="7:7">
      <c r="G2573" s="812"/>
    </row>
    <row r="2574" spans="7:7">
      <c r="G2574" s="812"/>
    </row>
    <row r="2575" spans="7:7">
      <c r="G2575" s="812"/>
    </row>
    <row r="2576" spans="7:7">
      <c r="G2576" s="812"/>
    </row>
    <row r="2577" spans="7:7">
      <c r="G2577" s="812"/>
    </row>
    <row r="2578" spans="7:7">
      <c r="G2578" s="812"/>
    </row>
    <row r="2579" spans="7:7">
      <c r="G2579" s="812"/>
    </row>
    <row r="2580" spans="7:7">
      <c r="G2580" s="812"/>
    </row>
    <row r="2581" spans="7:7">
      <c r="G2581" s="812"/>
    </row>
    <row r="2582" spans="7:7">
      <c r="G2582" s="812"/>
    </row>
    <row r="2583" spans="7:7">
      <c r="G2583" s="812"/>
    </row>
    <row r="2584" spans="7:7">
      <c r="G2584" s="812"/>
    </row>
    <row r="2585" spans="7:7">
      <c r="G2585" s="812"/>
    </row>
    <row r="2586" spans="7:7">
      <c r="G2586" s="812"/>
    </row>
    <row r="2587" spans="7:7">
      <c r="G2587" s="812"/>
    </row>
    <row r="2588" spans="7:7">
      <c r="G2588" s="812"/>
    </row>
    <row r="2589" spans="7:7">
      <c r="G2589" s="812"/>
    </row>
    <row r="2590" spans="7:7">
      <c r="G2590" s="812"/>
    </row>
    <row r="2591" spans="7:7">
      <c r="G2591" s="812"/>
    </row>
    <row r="2592" spans="7:7">
      <c r="G2592" s="812"/>
    </row>
    <row r="2593" spans="7:7">
      <c r="G2593" s="812"/>
    </row>
    <row r="2594" spans="7:7">
      <c r="G2594" s="812"/>
    </row>
    <row r="2595" spans="7:7">
      <c r="G2595" s="812"/>
    </row>
    <row r="2596" spans="7:7">
      <c r="G2596" s="812"/>
    </row>
    <row r="2597" spans="7:7">
      <c r="G2597" s="812"/>
    </row>
    <row r="2598" spans="7:7">
      <c r="G2598" s="812"/>
    </row>
    <row r="2599" spans="7:7">
      <c r="G2599" s="812"/>
    </row>
    <row r="2600" spans="7:7">
      <c r="G2600" s="812"/>
    </row>
    <row r="2601" spans="7:7">
      <c r="G2601" s="812"/>
    </row>
    <row r="2602" spans="7:7">
      <c r="G2602" s="812"/>
    </row>
    <row r="2603" spans="7:7">
      <c r="G2603" s="812"/>
    </row>
    <row r="2604" spans="7:7">
      <c r="G2604" s="812"/>
    </row>
    <row r="2605" spans="7:7">
      <c r="G2605" s="812"/>
    </row>
    <row r="2606" spans="7:7">
      <c r="G2606" s="812"/>
    </row>
    <row r="2607" spans="7:7">
      <c r="G2607" s="812"/>
    </row>
    <row r="2608" spans="7:7">
      <c r="G2608" s="812"/>
    </row>
    <row r="2609" spans="7:7">
      <c r="G2609" s="812"/>
    </row>
    <row r="2610" spans="7:7">
      <c r="G2610" s="812"/>
    </row>
    <row r="2611" spans="7:7">
      <c r="G2611" s="812"/>
    </row>
    <row r="2612" spans="7:7">
      <c r="G2612" s="812"/>
    </row>
    <row r="2613" spans="7:7">
      <c r="G2613" s="812"/>
    </row>
    <row r="2614" spans="7:7">
      <c r="G2614" s="812"/>
    </row>
    <row r="2615" spans="7:7">
      <c r="G2615" s="812"/>
    </row>
    <row r="2616" spans="7:7">
      <c r="G2616" s="812"/>
    </row>
    <row r="2617" spans="7:7">
      <c r="G2617" s="812"/>
    </row>
    <row r="2618" spans="7:7">
      <c r="G2618" s="812"/>
    </row>
    <row r="2619" spans="7:7">
      <c r="G2619" s="812"/>
    </row>
    <row r="2620" spans="7:7">
      <c r="G2620" s="812"/>
    </row>
    <row r="2621" spans="7:7">
      <c r="G2621" s="812"/>
    </row>
    <row r="2622" spans="7:7">
      <c r="G2622" s="812"/>
    </row>
    <row r="2623" spans="7:7">
      <c r="G2623" s="812"/>
    </row>
    <row r="2624" spans="7:7">
      <c r="G2624" s="812"/>
    </row>
    <row r="2625" spans="7:7">
      <c r="G2625" s="812"/>
    </row>
    <row r="2626" spans="7:7">
      <c r="G2626" s="812"/>
    </row>
    <row r="2627" spans="7:7">
      <c r="G2627" s="812"/>
    </row>
    <row r="2628" spans="7:7">
      <c r="G2628" s="812"/>
    </row>
    <row r="2629" spans="7:7">
      <c r="G2629" s="812"/>
    </row>
    <row r="2630" spans="7:7">
      <c r="G2630" s="812"/>
    </row>
    <row r="2631" spans="7:7">
      <c r="G2631" s="812"/>
    </row>
    <row r="2632" spans="7:7">
      <c r="G2632" s="812"/>
    </row>
    <row r="2633" spans="7:7">
      <c r="G2633" s="812"/>
    </row>
    <row r="2634" spans="7:7">
      <c r="G2634" s="812"/>
    </row>
    <row r="2635" spans="7:7">
      <c r="G2635" s="812"/>
    </row>
    <row r="2636" spans="7:7">
      <c r="G2636" s="812"/>
    </row>
    <row r="2637" spans="7:7">
      <c r="G2637" s="812"/>
    </row>
    <row r="2638" spans="7:7">
      <c r="G2638" s="812"/>
    </row>
    <row r="2639" spans="7:7">
      <c r="G2639" s="812"/>
    </row>
    <row r="2640" spans="7:7">
      <c r="G2640" s="812"/>
    </row>
    <row r="2641" spans="7:7">
      <c r="G2641" s="812"/>
    </row>
    <row r="2642" spans="7:7">
      <c r="G2642" s="812"/>
    </row>
    <row r="2643" spans="7:7">
      <c r="G2643" s="812"/>
    </row>
    <row r="2644" spans="7:7">
      <c r="G2644" s="812"/>
    </row>
    <row r="2645" spans="7:7">
      <c r="G2645" s="812"/>
    </row>
    <row r="2646" spans="7:7">
      <c r="G2646" s="812"/>
    </row>
    <row r="2647" spans="7:7">
      <c r="G2647" s="812"/>
    </row>
    <row r="2648" spans="7:7">
      <c r="G2648" s="812"/>
    </row>
    <row r="2649" spans="7:7">
      <c r="G2649" s="812"/>
    </row>
    <row r="2650" spans="7:7">
      <c r="G2650" s="812"/>
    </row>
    <row r="2651" spans="7:7">
      <c r="G2651" s="812"/>
    </row>
    <row r="2652" spans="7:7">
      <c r="G2652" s="812"/>
    </row>
    <row r="2653" spans="7:7">
      <c r="G2653" s="812"/>
    </row>
    <row r="2654" spans="7:7">
      <c r="G2654" s="812"/>
    </row>
    <row r="2655" spans="7:7">
      <c r="G2655" s="812"/>
    </row>
    <row r="2656" spans="7:7">
      <c r="G2656" s="812"/>
    </row>
    <row r="2657" spans="7:7">
      <c r="G2657" s="812"/>
    </row>
    <row r="2658" spans="7:7">
      <c r="G2658" s="812"/>
    </row>
    <row r="2659" spans="7:7">
      <c r="G2659" s="812"/>
    </row>
    <row r="2660" spans="7:7">
      <c r="G2660" s="812"/>
    </row>
    <row r="2661" spans="7:7">
      <c r="G2661" s="812"/>
    </row>
    <row r="2662" spans="7:7">
      <c r="G2662" s="812"/>
    </row>
    <row r="2663" spans="7:7">
      <c r="G2663" s="812"/>
    </row>
    <row r="2664" spans="7:7">
      <c r="G2664" s="812"/>
    </row>
    <row r="2665" spans="7:7">
      <c r="G2665" s="812"/>
    </row>
    <row r="2666" spans="7:7">
      <c r="G2666" s="812"/>
    </row>
    <row r="2667" spans="7:7">
      <c r="G2667" s="812"/>
    </row>
    <row r="2668" spans="7:7">
      <c r="G2668" s="812"/>
    </row>
    <row r="2669" spans="7:7">
      <c r="G2669" s="812"/>
    </row>
    <row r="2670" spans="7:7">
      <c r="G2670" s="812"/>
    </row>
    <row r="2671" spans="7:7">
      <c r="G2671" s="812"/>
    </row>
    <row r="2672" spans="7:7">
      <c r="G2672" s="812"/>
    </row>
    <row r="2673" spans="7:7">
      <c r="G2673" s="812"/>
    </row>
    <row r="2674" spans="7:7">
      <c r="G2674" s="812"/>
    </row>
    <row r="2675" spans="7:7">
      <c r="G2675" s="812"/>
    </row>
    <row r="2676" spans="7:7">
      <c r="G2676" s="812"/>
    </row>
    <row r="2677" spans="7:7">
      <c r="G2677" s="812"/>
    </row>
    <row r="2678" spans="7:7">
      <c r="G2678" s="812"/>
    </row>
    <row r="2679" spans="7:7">
      <c r="G2679" s="812"/>
    </row>
    <row r="2680" spans="7:7">
      <c r="G2680" s="812"/>
    </row>
    <row r="2681" spans="7:7">
      <c r="G2681" s="812"/>
    </row>
    <row r="2682" spans="7:7">
      <c r="G2682" s="812"/>
    </row>
    <row r="2683" spans="7:7">
      <c r="G2683" s="812"/>
    </row>
    <row r="2684" spans="7:7">
      <c r="G2684" s="812"/>
    </row>
    <row r="2685" spans="7:7">
      <c r="G2685" s="812"/>
    </row>
    <row r="2686" spans="7:7">
      <c r="G2686" s="812"/>
    </row>
    <row r="2687" spans="7:7">
      <c r="G2687" s="812"/>
    </row>
    <row r="2688" spans="7:7">
      <c r="G2688" s="812"/>
    </row>
    <row r="2689" spans="7:7">
      <c r="G2689" s="812"/>
    </row>
    <row r="2690" spans="7:7">
      <c r="G2690" s="812"/>
    </row>
    <row r="2691" spans="7:7">
      <c r="G2691" s="812"/>
    </row>
    <row r="2692" spans="7:7">
      <c r="G2692" s="812"/>
    </row>
    <row r="2693" spans="7:7">
      <c r="G2693" s="812"/>
    </row>
    <row r="2694" spans="7:7">
      <c r="G2694" s="812"/>
    </row>
    <row r="2695" spans="7:7">
      <c r="G2695" s="812"/>
    </row>
    <row r="2696" spans="7:7">
      <c r="G2696" s="812"/>
    </row>
    <row r="2697" spans="7:7">
      <c r="G2697" s="812"/>
    </row>
    <row r="2698" spans="7:7">
      <c r="G2698" s="812"/>
    </row>
    <row r="2699" spans="7:7">
      <c r="G2699" s="812"/>
    </row>
    <row r="2700" spans="7:7">
      <c r="G2700" s="812"/>
    </row>
    <row r="2701" spans="7:7">
      <c r="G2701" s="812"/>
    </row>
    <row r="2702" spans="7:7">
      <c r="G2702" s="812"/>
    </row>
    <row r="2703" spans="7:7">
      <c r="G2703" s="812"/>
    </row>
    <row r="2704" spans="7:7">
      <c r="G2704" s="812"/>
    </row>
    <row r="2705" spans="7:7">
      <c r="G2705" s="812"/>
    </row>
    <row r="2706" spans="7:7">
      <c r="G2706" s="812"/>
    </row>
    <row r="2707" spans="7:7">
      <c r="G2707" s="812"/>
    </row>
    <row r="2708" spans="7:7">
      <c r="G2708" s="812"/>
    </row>
    <row r="2709" spans="7:7">
      <c r="G2709" s="812"/>
    </row>
    <row r="2710" spans="7:7">
      <c r="G2710" s="812"/>
    </row>
    <row r="2711" spans="7:7">
      <c r="G2711" s="812"/>
    </row>
    <row r="2712" spans="7:7">
      <c r="G2712" s="812"/>
    </row>
    <row r="2713" spans="7:7">
      <c r="G2713" s="812"/>
    </row>
    <row r="2714" spans="7:7">
      <c r="G2714" s="812"/>
    </row>
    <row r="2715" spans="7:7">
      <c r="G2715" s="812"/>
    </row>
    <row r="2716" spans="7:7">
      <c r="G2716" s="812"/>
    </row>
    <row r="2717" spans="7:7">
      <c r="G2717" s="812"/>
    </row>
    <row r="2718" spans="7:7">
      <c r="G2718" s="812"/>
    </row>
    <row r="2719" spans="7:7">
      <c r="G2719" s="812"/>
    </row>
    <row r="2720" spans="7:7">
      <c r="G2720" s="812"/>
    </row>
    <row r="2721" spans="7:7">
      <c r="G2721" s="812"/>
    </row>
    <row r="2722" spans="7:7">
      <c r="G2722" s="812"/>
    </row>
    <row r="2723" spans="7:7">
      <c r="G2723" s="812"/>
    </row>
    <row r="2724" spans="7:7">
      <c r="G2724" s="812"/>
    </row>
    <row r="2725" spans="7:7">
      <c r="G2725" s="812"/>
    </row>
    <row r="2726" spans="7:7">
      <c r="G2726" s="812"/>
    </row>
    <row r="2727" spans="7:7">
      <c r="G2727" s="812"/>
    </row>
    <row r="2728" spans="7:7">
      <c r="G2728" s="812"/>
    </row>
    <row r="2729" spans="7:7">
      <c r="G2729" s="812"/>
    </row>
    <row r="2730" spans="7:7">
      <c r="G2730" s="812"/>
    </row>
    <row r="2731" spans="7:7">
      <c r="G2731" s="812"/>
    </row>
    <row r="2732" spans="7:7">
      <c r="G2732" s="812"/>
    </row>
    <row r="2733" spans="7:7">
      <c r="G2733" s="812"/>
    </row>
    <row r="2734" spans="7:7">
      <c r="G2734" s="812"/>
    </row>
    <row r="2735" spans="7:7">
      <c r="G2735" s="812"/>
    </row>
    <row r="2736" spans="7:7">
      <c r="G2736" s="812"/>
    </row>
    <row r="2737" spans="7:7">
      <c r="G2737" s="812"/>
    </row>
    <row r="2738" spans="7:7">
      <c r="G2738" s="812"/>
    </row>
    <row r="2739" spans="7:7">
      <c r="G2739" s="812"/>
    </row>
    <row r="2740" spans="7:7">
      <c r="G2740" s="812"/>
    </row>
    <row r="2741" spans="7:7">
      <c r="G2741" s="812"/>
    </row>
    <row r="2742" spans="7:7">
      <c r="G2742" s="812"/>
    </row>
    <row r="2743" spans="7:7">
      <c r="G2743" s="812"/>
    </row>
    <row r="2744" spans="7:7">
      <c r="G2744" s="812"/>
    </row>
    <row r="2745" spans="7:7">
      <c r="G2745" s="812"/>
    </row>
    <row r="2746" spans="7:7">
      <c r="G2746" s="812"/>
    </row>
    <row r="2747" spans="7:7">
      <c r="G2747" s="812"/>
    </row>
    <row r="2748" spans="7:7">
      <c r="G2748" s="812"/>
    </row>
    <row r="2749" spans="7:7">
      <c r="G2749" s="812"/>
    </row>
    <row r="2750" spans="7:7">
      <c r="G2750" s="812"/>
    </row>
    <row r="2751" spans="7:7">
      <c r="G2751" s="812"/>
    </row>
    <row r="2752" spans="7:7">
      <c r="G2752" s="812"/>
    </row>
    <row r="2753" spans="7:7">
      <c r="G2753" s="812"/>
    </row>
    <row r="2754" spans="7:7">
      <c r="G2754" s="812"/>
    </row>
    <row r="2755" spans="7:7">
      <c r="G2755" s="812"/>
    </row>
    <row r="2756" spans="7:7">
      <c r="G2756" s="812"/>
    </row>
    <row r="2757" spans="7:7">
      <c r="G2757" s="812"/>
    </row>
    <row r="2758" spans="7:7">
      <c r="G2758" s="812"/>
    </row>
    <row r="2759" spans="7:7">
      <c r="G2759" s="812"/>
    </row>
    <row r="2760" spans="7:7">
      <c r="G2760" s="812"/>
    </row>
    <row r="2761" spans="7:7">
      <c r="G2761" s="812"/>
    </row>
    <row r="2762" spans="7:7">
      <c r="G2762" s="812"/>
    </row>
    <row r="2763" spans="7:7">
      <c r="G2763" s="812"/>
    </row>
    <row r="2764" spans="7:7">
      <c r="G2764" s="812"/>
    </row>
    <row r="2765" spans="7:7">
      <c r="G2765" s="812"/>
    </row>
    <row r="2766" spans="7:7">
      <c r="G2766" s="812"/>
    </row>
    <row r="2767" spans="7:7">
      <c r="G2767" s="812"/>
    </row>
    <row r="2768" spans="7:7">
      <c r="G2768" s="812"/>
    </row>
    <row r="2769" spans="7:7">
      <c r="G2769" s="812"/>
    </row>
    <row r="2770" spans="7:7">
      <c r="G2770" s="812"/>
    </row>
    <row r="2771" spans="7:7">
      <c r="G2771" s="812"/>
    </row>
    <row r="2772" spans="7:7">
      <c r="G2772" s="812"/>
    </row>
    <row r="2773" spans="7:7">
      <c r="G2773" s="812"/>
    </row>
    <row r="2774" spans="7:7">
      <c r="G2774" s="812"/>
    </row>
    <row r="2775" spans="7:7">
      <c r="G2775" s="812"/>
    </row>
    <row r="2776" spans="7:7">
      <c r="G2776" s="812"/>
    </row>
    <row r="2777" spans="7:7">
      <c r="G2777" s="812"/>
    </row>
    <row r="2778" spans="7:7">
      <c r="G2778" s="812"/>
    </row>
    <row r="2779" spans="7:7">
      <c r="G2779" s="812"/>
    </row>
    <row r="2780" spans="7:7">
      <c r="G2780" s="812"/>
    </row>
    <row r="2781" spans="7:7">
      <c r="G2781" s="812"/>
    </row>
    <row r="2782" spans="7:7">
      <c r="G2782" s="812"/>
    </row>
    <row r="2783" spans="7:7">
      <c r="G2783" s="812"/>
    </row>
    <row r="2784" spans="7:7">
      <c r="G2784" s="812"/>
    </row>
    <row r="2785" spans="7:7">
      <c r="G2785" s="812"/>
    </row>
    <row r="2786" spans="7:7">
      <c r="G2786" s="812"/>
    </row>
    <row r="2787" spans="7:7">
      <c r="G2787" s="812"/>
    </row>
    <row r="2788" spans="7:7">
      <c r="G2788" s="812"/>
    </row>
    <row r="2789" spans="7:7">
      <c r="G2789" s="812"/>
    </row>
    <row r="2790" spans="7:7">
      <c r="G2790" s="812"/>
    </row>
    <row r="2791" spans="7:7">
      <c r="G2791" s="812"/>
    </row>
    <row r="2792" spans="7:7">
      <c r="G2792" s="812"/>
    </row>
    <row r="2793" spans="7:7">
      <c r="G2793" s="812"/>
    </row>
    <row r="2794" spans="7:7">
      <c r="G2794" s="812"/>
    </row>
    <row r="2795" spans="7:7">
      <c r="G2795" s="812"/>
    </row>
    <row r="2796" spans="7:7">
      <c r="G2796" s="812"/>
    </row>
    <row r="2797" spans="7:7">
      <c r="G2797" s="812"/>
    </row>
    <row r="2798" spans="7:7">
      <c r="G2798" s="812"/>
    </row>
    <row r="2799" spans="7:7">
      <c r="G2799" s="812"/>
    </row>
    <row r="2800" spans="7:7">
      <c r="G2800" s="812"/>
    </row>
    <row r="2801" spans="7:7">
      <c r="G2801" s="812"/>
    </row>
    <row r="2802" spans="7:7">
      <c r="G2802" s="812"/>
    </row>
    <row r="2803" spans="7:7">
      <c r="G2803" s="812"/>
    </row>
    <row r="2804" spans="7:7">
      <c r="G2804" s="812"/>
    </row>
    <row r="2805" spans="7:7">
      <c r="G2805" s="812"/>
    </row>
    <row r="2806" spans="7:7">
      <c r="G2806" s="812"/>
    </row>
    <row r="2807" spans="7:7">
      <c r="G2807" s="812"/>
    </row>
    <row r="2808" spans="7:7">
      <c r="G2808" s="812"/>
    </row>
    <row r="2809" spans="7:7">
      <c r="G2809" s="812"/>
    </row>
    <row r="2810" spans="7:7">
      <c r="G2810" s="812"/>
    </row>
    <row r="2811" spans="7:7">
      <c r="G2811" s="812"/>
    </row>
    <row r="2812" spans="7:7">
      <c r="G2812" s="812"/>
    </row>
    <row r="2813" spans="7:7">
      <c r="G2813" s="812"/>
    </row>
    <row r="2814" spans="7:7">
      <c r="G2814" s="812"/>
    </row>
    <row r="2815" spans="7:7">
      <c r="G2815" s="812"/>
    </row>
    <row r="2816" spans="7:7">
      <c r="G2816" s="812"/>
    </row>
    <row r="2817" spans="7:7">
      <c r="G2817" s="812"/>
    </row>
    <row r="2818" spans="7:7">
      <c r="G2818" s="812"/>
    </row>
    <row r="2819" spans="7:7">
      <c r="G2819" s="812"/>
    </row>
    <row r="2820" spans="7:7">
      <c r="G2820" s="812"/>
    </row>
    <row r="2821" spans="7:7">
      <c r="G2821" s="812"/>
    </row>
    <row r="2822" spans="7:7">
      <c r="G2822" s="812"/>
    </row>
    <row r="2823" spans="7:7">
      <c r="G2823" s="812"/>
    </row>
    <row r="2824" spans="7:7">
      <c r="G2824" s="812"/>
    </row>
    <row r="2825" spans="7:7">
      <c r="G2825" s="812"/>
    </row>
    <row r="2826" spans="7:7">
      <c r="G2826" s="812"/>
    </row>
    <row r="2827" spans="7:7">
      <c r="G2827" s="812"/>
    </row>
    <row r="2828" spans="7:7">
      <c r="G2828" s="812"/>
    </row>
    <row r="2829" spans="7:7">
      <c r="G2829" s="812"/>
    </row>
    <row r="2830" spans="7:7">
      <c r="G2830" s="812"/>
    </row>
    <row r="2831" spans="7:7">
      <c r="G2831" s="812"/>
    </row>
    <row r="2832" spans="7:7">
      <c r="G2832" s="812"/>
    </row>
    <row r="2833" spans="7:7">
      <c r="G2833" s="812"/>
    </row>
    <row r="2834" spans="7:7">
      <c r="G2834" s="812"/>
    </row>
    <row r="2835" spans="7:7">
      <c r="G2835" s="812"/>
    </row>
    <row r="2836" spans="7:7">
      <c r="G2836" s="812"/>
    </row>
    <row r="2837" spans="7:7">
      <c r="G2837" s="812"/>
    </row>
    <row r="2838" spans="7:7">
      <c r="G2838" s="812"/>
    </row>
    <row r="2839" spans="7:7">
      <c r="G2839" s="812"/>
    </row>
    <row r="2840" spans="7:7">
      <c r="G2840" s="812"/>
    </row>
    <row r="2841" spans="7:7">
      <c r="G2841" s="812"/>
    </row>
    <row r="2842" spans="7:7">
      <c r="G2842" s="812"/>
    </row>
    <row r="2843" spans="7:7">
      <c r="G2843" s="812"/>
    </row>
    <row r="2844" spans="7:7">
      <c r="G2844" s="812"/>
    </row>
    <row r="2845" spans="7:7">
      <c r="G2845" s="812"/>
    </row>
    <row r="2846" spans="7:7">
      <c r="G2846" s="812"/>
    </row>
    <row r="2847" spans="7:7">
      <c r="G2847" s="812"/>
    </row>
    <row r="2848" spans="7:7">
      <c r="G2848" s="812"/>
    </row>
    <row r="2849" spans="7:7">
      <c r="G2849" s="812"/>
    </row>
    <row r="2850" spans="7:7">
      <c r="G2850" s="812"/>
    </row>
    <row r="2851" spans="7:7">
      <c r="G2851" s="812"/>
    </row>
    <row r="2852" spans="7:7">
      <c r="G2852" s="812"/>
    </row>
    <row r="2853" spans="7:7">
      <c r="G2853" s="812"/>
    </row>
    <row r="2854" spans="7:7">
      <c r="G2854" s="812"/>
    </row>
    <row r="2855" spans="7:7">
      <c r="G2855" s="812"/>
    </row>
    <row r="2856" spans="7:7">
      <c r="G2856" s="812"/>
    </row>
    <row r="2857" spans="7:7">
      <c r="G2857" s="812"/>
    </row>
    <row r="2858" spans="7:7">
      <c r="G2858" s="812"/>
    </row>
    <row r="2859" spans="7:7">
      <c r="G2859" s="812"/>
    </row>
    <row r="2860" spans="7:7">
      <c r="G2860" s="812"/>
    </row>
    <row r="2861" spans="7:7">
      <c r="G2861" s="812"/>
    </row>
    <row r="2862" spans="7:7">
      <c r="G2862" s="812"/>
    </row>
    <row r="2863" spans="7:7">
      <c r="G2863" s="812"/>
    </row>
    <row r="2864" spans="7:7">
      <c r="G2864" s="812"/>
    </row>
    <row r="2865" spans="7:7">
      <c r="G2865" s="812"/>
    </row>
    <row r="2866" spans="7:7">
      <c r="G2866" s="812"/>
    </row>
    <row r="2867" spans="7:7">
      <c r="G2867" s="812"/>
    </row>
    <row r="2868" spans="7:7">
      <c r="G2868" s="812"/>
    </row>
    <row r="2869" spans="7:7">
      <c r="G2869" s="812"/>
    </row>
    <row r="2870" spans="7:7">
      <c r="G2870" s="812"/>
    </row>
    <row r="2871" spans="7:7">
      <c r="G2871" s="812"/>
    </row>
    <row r="2872" spans="7:7">
      <c r="G2872" s="812"/>
    </row>
    <row r="2873" spans="7:7">
      <c r="G2873" s="812"/>
    </row>
    <row r="2874" spans="7:7">
      <c r="G2874" s="812"/>
    </row>
    <row r="2875" spans="7:7">
      <c r="G2875" s="812"/>
    </row>
    <row r="2876" spans="7:7">
      <c r="G2876" s="812"/>
    </row>
    <row r="2877" spans="7:7">
      <c r="G2877" s="812"/>
    </row>
    <row r="2878" spans="7:7">
      <c r="G2878" s="812"/>
    </row>
    <row r="2879" spans="7:7">
      <c r="G2879" s="812"/>
    </row>
    <row r="2880" spans="7:7">
      <c r="G2880" s="812"/>
    </row>
    <row r="2881" spans="7:7">
      <c r="G2881" s="812"/>
    </row>
    <row r="2882" spans="7:7">
      <c r="G2882" s="812"/>
    </row>
    <row r="2883" spans="7:7">
      <c r="G2883" s="812"/>
    </row>
    <row r="2884" spans="7:7">
      <c r="G2884" s="812"/>
    </row>
    <row r="2885" spans="7:7">
      <c r="G2885" s="812"/>
    </row>
    <row r="2886" spans="7:7">
      <c r="G2886" s="812"/>
    </row>
    <row r="2887" spans="7:7">
      <c r="G2887" s="812"/>
    </row>
    <row r="2888" spans="7:7">
      <c r="G2888" s="812"/>
    </row>
    <row r="2889" spans="7:7">
      <c r="G2889" s="812"/>
    </row>
    <row r="2890" spans="7:7">
      <c r="G2890" s="812"/>
    </row>
    <row r="2891" spans="7:7">
      <c r="G2891" s="812"/>
    </row>
    <row r="2892" spans="7:7">
      <c r="G2892" s="812"/>
    </row>
    <row r="2893" spans="7:7">
      <c r="G2893" s="812"/>
    </row>
    <row r="2894" spans="7:7">
      <c r="G2894" s="812"/>
    </row>
    <row r="2895" spans="7:7">
      <c r="G2895" s="812"/>
    </row>
    <row r="2896" spans="7:7">
      <c r="G2896" s="812"/>
    </row>
    <row r="2897" spans="7:7">
      <c r="G2897" s="812"/>
    </row>
    <row r="2898" spans="7:7">
      <c r="G2898" s="812"/>
    </row>
    <row r="2899" spans="7:7">
      <c r="G2899" s="812"/>
    </row>
    <row r="2900" spans="7:7">
      <c r="G2900" s="812"/>
    </row>
    <row r="2901" spans="7:7">
      <c r="G2901" s="812"/>
    </row>
    <row r="2902" spans="7:7">
      <c r="G2902" s="812"/>
    </row>
    <row r="2903" spans="7:7">
      <c r="G2903" s="812"/>
    </row>
    <row r="2904" spans="7:7">
      <c r="G2904" s="812"/>
    </row>
    <row r="2905" spans="7:7">
      <c r="G2905" s="812"/>
    </row>
    <row r="2906" spans="7:7">
      <c r="G2906" s="812"/>
    </row>
    <row r="2907" spans="7:7">
      <c r="G2907" s="812"/>
    </row>
    <row r="2908" spans="7:7">
      <c r="G2908" s="812"/>
    </row>
    <row r="2909" spans="7:7">
      <c r="G2909" s="812"/>
    </row>
    <row r="2910" spans="7:7">
      <c r="G2910" s="812"/>
    </row>
    <row r="2911" spans="7:7">
      <c r="G2911" s="812"/>
    </row>
    <row r="2912" spans="7:7">
      <c r="G2912" s="812"/>
    </row>
    <row r="2913" spans="7:7">
      <c r="G2913" s="812"/>
    </row>
    <row r="2914" spans="7:7">
      <c r="G2914" s="812"/>
    </row>
    <row r="2915" spans="7:7">
      <c r="G2915" s="812"/>
    </row>
    <row r="2916" spans="7:7">
      <c r="G2916" s="812"/>
    </row>
    <row r="2917" spans="7:7">
      <c r="G2917" s="812"/>
    </row>
    <row r="2918" spans="7:7">
      <c r="G2918" s="812"/>
    </row>
    <row r="2919" spans="7:7">
      <c r="G2919" s="812"/>
    </row>
    <row r="2920" spans="7:7">
      <c r="G2920" s="812"/>
    </row>
    <row r="2921" spans="7:7">
      <c r="G2921" s="812"/>
    </row>
    <row r="2922" spans="7:7">
      <c r="G2922" s="812"/>
    </row>
    <row r="2923" spans="7:7">
      <c r="G2923" s="812"/>
    </row>
    <row r="2924" spans="7:7">
      <c r="G2924" s="812"/>
    </row>
    <row r="2925" spans="7:7">
      <c r="G2925" s="812"/>
    </row>
    <row r="2926" spans="7:7">
      <c r="G2926" s="812"/>
    </row>
    <row r="2927" spans="7:7">
      <c r="G2927" s="812"/>
    </row>
    <row r="2928" spans="7:7">
      <c r="G2928" s="812"/>
    </row>
    <row r="2929" spans="7:7">
      <c r="G2929" s="812"/>
    </row>
    <row r="2930" spans="7:7">
      <c r="G2930" s="812"/>
    </row>
    <row r="2931" spans="7:7">
      <c r="G2931" s="812"/>
    </row>
    <row r="2932" spans="7:7">
      <c r="G2932" s="812"/>
    </row>
    <row r="2933" spans="7:7">
      <c r="G2933" s="812"/>
    </row>
    <row r="2934" spans="7:7">
      <c r="G2934" s="812"/>
    </row>
    <row r="2935" spans="7:7">
      <c r="G2935" s="812"/>
    </row>
    <row r="2936" spans="7:7">
      <c r="G2936" s="812"/>
    </row>
    <row r="2937" spans="7:7">
      <c r="G2937" s="812"/>
    </row>
    <row r="2938" spans="7:7">
      <c r="G2938" s="812"/>
    </row>
    <row r="2939" spans="7:7">
      <c r="G2939" s="812"/>
    </row>
    <row r="2940" spans="7:7">
      <c r="G2940" s="812"/>
    </row>
    <row r="2941" spans="7:7">
      <c r="G2941" s="812"/>
    </row>
    <row r="2942" spans="7:7">
      <c r="G2942" s="812"/>
    </row>
    <row r="2943" spans="7:7">
      <c r="G2943" s="812"/>
    </row>
    <row r="2944" spans="7:7">
      <c r="G2944" s="812"/>
    </row>
    <row r="2945" spans="7:7">
      <c r="G2945" s="812"/>
    </row>
    <row r="2946" spans="7:7">
      <c r="G2946" s="812"/>
    </row>
    <row r="2947" spans="7:7">
      <c r="G2947" s="812"/>
    </row>
    <row r="2948" spans="7:7">
      <c r="G2948" s="812"/>
    </row>
    <row r="2949" spans="7:7">
      <c r="G2949" s="812"/>
    </row>
    <row r="2950" spans="7:7">
      <c r="G2950" s="812"/>
    </row>
    <row r="2951" spans="7:7">
      <c r="G2951" s="812"/>
    </row>
    <row r="2952" spans="7:7">
      <c r="G2952" s="812"/>
    </row>
    <row r="2953" spans="7:7">
      <c r="G2953" s="812"/>
    </row>
    <row r="2954" spans="7:7">
      <c r="G2954" s="812"/>
    </row>
    <row r="2955" spans="7:7">
      <c r="G2955" s="812"/>
    </row>
    <row r="2956" spans="7:7">
      <c r="G2956" s="812"/>
    </row>
    <row r="2957" spans="7:7">
      <c r="G2957" s="812"/>
    </row>
    <row r="2958" spans="7:7">
      <c r="G2958" s="812"/>
    </row>
    <row r="2959" spans="7:7">
      <c r="G2959" s="812"/>
    </row>
    <row r="2960" spans="7:7">
      <c r="G2960" s="812"/>
    </row>
    <row r="2961" spans="7:7">
      <c r="G2961" s="812"/>
    </row>
    <row r="2962" spans="7:7">
      <c r="G2962" s="812"/>
    </row>
    <row r="2963" spans="7:7">
      <c r="G2963" s="812"/>
    </row>
    <row r="2964" spans="7:7">
      <c r="G2964" s="812"/>
    </row>
    <row r="2965" spans="7:7">
      <c r="G2965" s="812"/>
    </row>
    <row r="2966" spans="7:7">
      <c r="G2966" s="812"/>
    </row>
    <row r="2967" spans="7:7">
      <c r="G2967" s="812"/>
    </row>
    <row r="2968" spans="7:7">
      <c r="G2968" s="812"/>
    </row>
    <row r="2969" spans="7:7">
      <c r="G2969" s="812"/>
    </row>
    <row r="2970" spans="7:7">
      <c r="G2970" s="812"/>
    </row>
    <row r="2971" spans="7:7">
      <c r="G2971" s="812"/>
    </row>
    <row r="2972" spans="7:7">
      <c r="G2972" s="812"/>
    </row>
    <row r="2973" spans="7:7">
      <c r="G2973" s="812"/>
    </row>
    <row r="2974" spans="7:7">
      <c r="G2974" s="812"/>
    </row>
    <row r="2975" spans="7:7">
      <c r="G2975" s="812"/>
    </row>
    <row r="2976" spans="7:7">
      <c r="G2976" s="812"/>
    </row>
    <row r="2977" spans="7:7">
      <c r="G2977" s="812"/>
    </row>
    <row r="2978" spans="7:7">
      <c r="G2978" s="812"/>
    </row>
    <row r="2979" spans="7:7">
      <c r="G2979" s="812"/>
    </row>
    <row r="2980" spans="7:7">
      <c r="G2980" s="812"/>
    </row>
    <row r="2981" spans="7:7">
      <c r="G2981" s="812"/>
    </row>
    <row r="2982" spans="7:7">
      <c r="G2982" s="812"/>
    </row>
    <row r="2983" spans="7:7">
      <c r="G2983" s="812"/>
    </row>
    <row r="2984" spans="7:7">
      <c r="G2984" s="812"/>
    </row>
    <row r="2985" spans="7:7">
      <c r="G2985" s="812"/>
    </row>
    <row r="2986" spans="7:7">
      <c r="G2986" s="812"/>
    </row>
    <row r="2987" spans="7:7">
      <c r="G2987" s="812"/>
    </row>
    <row r="2988" spans="7:7">
      <c r="G2988" s="812"/>
    </row>
    <row r="2989" spans="7:7">
      <c r="G2989" s="812"/>
    </row>
    <row r="2990" spans="7:7">
      <c r="G2990" s="812"/>
    </row>
    <row r="2991" spans="7:7">
      <c r="G2991" s="812"/>
    </row>
    <row r="2992" spans="7:7">
      <c r="G2992" s="812"/>
    </row>
    <row r="2993" spans="7:7">
      <c r="G2993" s="812"/>
    </row>
    <row r="2994" spans="7:7">
      <c r="G2994" s="812"/>
    </row>
    <row r="2995" spans="7:7">
      <c r="G2995" s="812"/>
    </row>
    <row r="2996" spans="7:7">
      <c r="G2996" s="812"/>
    </row>
    <row r="2997" spans="7:7">
      <c r="G2997" s="812"/>
    </row>
    <row r="2998" spans="7:7">
      <c r="G2998" s="812"/>
    </row>
    <row r="2999" spans="7:7">
      <c r="G2999" s="812"/>
    </row>
    <row r="3000" spans="7:7">
      <c r="G3000" s="812"/>
    </row>
    <row r="3001" spans="7:7">
      <c r="G3001" s="812"/>
    </row>
    <row r="3002" spans="7:7">
      <c r="G3002" s="812"/>
    </row>
    <row r="3003" spans="7:7">
      <c r="G3003" s="812"/>
    </row>
    <row r="3004" spans="7:7">
      <c r="G3004" s="812"/>
    </row>
    <row r="3005" spans="7:7">
      <c r="G3005" s="812"/>
    </row>
    <row r="3006" spans="7:7">
      <c r="G3006" s="812"/>
    </row>
    <row r="3007" spans="7:7">
      <c r="G3007" s="812"/>
    </row>
    <row r="3008" spans="7:7">
      <c r="G3008" s="812"/>
    </row>
    <row r="3009" spans="7:7">
      <c r="G3009" s="812"/>
    </row>
    <row r="3010" spans="7:7">
      <c r="G3010" s="812"/>
    </row>
    <row r="3011" spans="7:7">
      <c r="G3011" s="812"/>
    </row>
    <row r="3012" spans="7:7">
      <c r="G3012" s="812"/>
    </row>
    <row r="3013" spans="7:7">
      <c r="G3013" s="812"/>
    </row>
    <row r="3014" spans="7:7">
      <c r="G3014" s="812"/>
    </row>
    <row r="3015" spans="7:7">
      <c r="G3015" s="812"/>
    </row>
    <row r="3016" spans="7:7">
      <c r="G3016" s="812"/>
    </row>
    <row r="3017" spans="7:7">
      <c r="G3017" s="812"/>
    </row>
    <row r="3018" spans="7:7">
      <c r="G3018" s="812"/>
    </row>
    <row r="3019" spans="7:7">
      <c r="G3019" s="812"/>
    </row>
    <row r="3020" spans="7:7">
      <c r="G3020" s="812"/>
    </row>
    <row r="3021" spans="7:7">
      <c r="G3021" s="812"/>
    </row>
    <row r="3022" spans="7:7">
      <c r="G3022" s="812"/>
    </row>
    <row r="3023" spans="7:7">
      <c r="G3023" s="812"/>
    </row>
    <row r="3024" spans="7:7">
      <c r="G3024" s="812"/>
    </row>
    <row r="3025" spans="7:7">
      <c r="G3025" s="812"/>
    </row>
    <row r="3026" spans="7:7">
      <c r="G3026" s="812"/>
    </row>
    <row r="3027" spans="7:7">
      <c r="G3027" s="812"/>
    </row>
    <row r="3028" spans="7:7">
      <c r="G3028" s="812"/>
    </row>
    <row r="3029" spans="7:7">
      <c r="G3029" s="812"/>
    </row>
    <row r="3030" spans="7:7">
      <c r="G3030" s="812"/>
    </row>
    <row r="3031" spans="7:7">
      <c r="G3031" s="812"/>
    </row>
    <row r="3032" spans="7:7">
      <c r="G3032" s="812"/>
    </row>
    <row r="3033" spans="7:7">
      <c r="G3033" s="812"/>
    </row>
    <row r="3034" spans="7:7">
      <c r="G3034" s="812"/>
    </row>
    <row r="3035" spans="7:7">
      <c r="G3035" s="812"/>
    </row>
    <row r="3036" spans="7:7">
      <c r="G3036" s="812"/>
    </row>
    <row r="3037" spans="7:7">
      <c r="G3037" s="812"/>
    </row>
    <row r="3038" spans="7:7">
      <c r="G3038" s="812"/>
    </row>
    <row r="3039" spans="7:7">
      <c r="G3039" s="812"/>
    </row>
    <row r="3040" spans="7:7">
      <c r="G3040" s="812"/>
    </row>
    <row r="3041" spans="7:7">
      <c r="G3041" s="812"/>
    </row>
    <row r="3042" spans="7:7">
      <c r="G3042" s="812"/>
    </row>
    <row r="3043" spans="7:7">
      <c r="G3043" s="812"/>
    </row>
    <row r="3044" spans="7:7">
      <c r="G3044" s="812"/>
    </row>
    <row r="3045" spans="7:7">
      <c r="G3045" s="812"/>
    </row>
    <row r="3046" spans="7:7">
      <c r="G3046" s="812"/>
    </row>
    <row r="3047" spans="7:7">
      <c r="G3047" s="812"/>
    </row>
    <row r="3048" spans="7:7">
      <c r="G3048" s="812"/>
    </row>
    <row r="3049" spans="7:7">
      <c r="G3049" s="812"/>
    </row>
    <row r="3050" spans="7:7">
      <c r="G3050" s="812"/>
    </row>
    <row r="3051" spans="7:7">
      <c r="G3051" s="812"/>
    </row>
    <row r="3052" spans="7:7">
      <c r="G3052" s="812"/>
    </row>
    <row r="3053" spans="7:7">
      <c r="G3053" s="812"/>
    </row>
    <row r="3054" spans="7:7">
      <c r="G3054" s="812"/>
    </row>
    <row r="3055" spans="7:7">
      <c r="G3055" s="812"/>
    </row>
    <row r="3056" spans="7:7">
      <c r="G3056" s="812"/>
    </row>
    <row r="3057" spans="7:7">
      <c r="G3057" s="812"/>
    </row>
    <row r="3058" spans="7:7">
      <c r="G3058" s="812"/>
    </row>
    <row r="3059" spans="7:7">
      <c r="G3059" s="812"/>
    </row>
    <row r="3060" spans="7:7">
      <c r="G3060" s="812"/>
    </row>
    <row r="3061" spans="7:7">
      <c r="G3061" s="812"/>
    </row>
    <row r="3062" spans="7:7">
      <c r="G3062" s="812"/>
    </row>
    <row r="3063" spans="7:7">
      <c r="G3063" s="812"/>
    </row>
    <row r="3064" spans="7:7">
      <c r="G3064" s="812"/>
    </row>
    <row r="3065" spans="7:7">
      <c r="G3065" s="812"/>
    </row>
    <row r="3066" spans="7:7">
      <c r="G3066" s="812"/>
    </row>
    <row r="3067" spans="7:7">
      <c r="G3067" s="812"/>
    </row>
    <row r="3068" spans="7:7">
      <c r="G3068" s="812"/>
    </row>
    <row r="3069" spans="7:7">
      <c r="G3069" s="812"/>
    </row>
    <row r="3070" spans="7:7">
      <c r="G3070" s="812"/>
    </row>
    <row r="3071" spans="7:7">
      <c r="G3071" s="812"/>
    </row>
    <row r="3072" spans="7:7">
      <c r="G3072" s="812"/>
    </row>
    <row r="3073" spans="7:7">
      <c r="G3073" s="812"/>
    </row>
    <row r="3074" spans="7:7">
      <c r="G3074" s="812"/>
    </row>
    <row r="3075" spans="7:7">
      <c r="G3075" s="812"/>
    </row>
    <row r="3076" spans="7:7">
      <c r="G3076" s="812"/>
    </row>
    <row r="3077" spans="7:7">
      <c r="G3077" s="812"/>
    </row>
    <row r="3078" spans="7:7">
      <c r="G3078" s="812"/>
    </row>
    <row r="3079" spans="7:7">
      <c r="G3079" s="812"/>
    </row>
    <row r="3080" spans="7:7">
      <c r="G3080" s="812"/>
    </row>
    <row r="3081" spans="7:7">
      <c r="G3081" s="812"/>
    </row>
    <row r="3082" spans="7:7">
      <c r="G3082" s="812"/>
    </row>
    <row r="3083" spans="7:7">
      <c r="G3083" s="812"/>
    </row>
    <row r="3084" spans="7:7">
      <c r="G3084" s="812"/>
    </row>
    <row r="3085" spans="7:7">
      <c r="G3085" s="812"/>
    </row>
    <row r="3086" spans="7:7">
      <c r="G3086" s="812"/>
    </row>
    <row r="3087" spans="7:7">
      <c r="G3087" s="812"/>
    </row>
    <row r="3088" spans="7:7">
      <c r="G3088" s="812"/>
    </row>
    <row r="3089" spans="7:7">
      <c r="G3089" s="812"/>
    </row>
    <row r="3090" spans="7:7">
      <c r="G3090" s="812"/>
    </row>
    <row r="3091" spans="7:7">
      <c r="G3091" s="812"/>
    </row>
    <row r="3092" spans="7:7">
      <c r="G3092" s="812"/>
    </row>
    <row r="3093" spans="7:7">
      <c r="G3093" s="812"/>
    </row>
    <row r="3094" spans="7:7">
      <c r="G3094" s="812"/>
    </row>
    <row r="3095" spans="7:7">
      <c r="G3095" s="812"/>
    </row>
    <row r="3096" spans="7:7">
      <c r="G3096" s="812"/>
    </row>
    <row r="3097" spans="7:7">
      <c r="G3097" s="812"/>
    </row>
    <row r="3098" spans="7:7">
      <c r="G3098" s="812"/>
    </row>
    <row r="3099" spans="7:7">
      <c r="G3099" s="812"/>
    </row>
    <row r="3100" spans="7:7">
      <c r="G3100" s="812"/>
    </row>
    <row r="3101" spans="7:7">
      <c r="G3101" s="812"/>
    </row>
    <row r="3102" spans="7:7">
      <c r="G3102" s="812"/>
    </row>
    <row r="3103" spans="7:7">
      <c r="G3103" s="812"/>
    </row>
    <row r="3104" spans="7:7">
      <c r="G3104" s="812"/>
    </row>
    <row r="3105" spans="7:7">
      <c r="G3105" s="812"/>
    </row>
    <row r="3106" spans="7:7">
      <c r="G3106" s="812"/>
    </row>
    <row r="3107" spans="7:7">
      <c r="G3107" s="812"/>
    </row>
    <row r="3108" spans="7:7">
      <c r="G3108" s="812"/>
    </row>
    <row r="3109" spans="7:7">
      <c r="G3109" s="812"/>
    </row>
    <row r="3110" spans="7:7">
      <c r="G3110" s="812"/>
    </row>
    <row r="3111" spans="7:7">
      <c r="G3111" s="812"/>
    </row>
    <row r="3112" spans="7:7">
      <c r="G3112" s="812"/>
    </row>
    <row r="3113" spans="7:7">
      <c r="G3113" s="812"/>
    </row>
    <row r="3114" spans="7:7">
      <c r="G3114" s="812"/>
    </row>
    <row r="3115" spans="7:7">
      <c r="G3115" s="812"/>
    </row>
    <row r="3116" spans="7:7">
      <c r="G3116" s="812"/>
    </row>
    <row r="3117" spans="7:7">
      <c r="G3117" s="812"/>
    </row>
    <row r="3118" spans="7:7">
      <c r="G3118" s="812"/>
    </row>
    <row r="3119" spans="7:7">
      <c r="G3119" s="812"/>
    </row>
    <row r="3120" spans="7:7">
      <c r="G3120" s="812"/>
    </row>
    <row r="3121" spans="7:7">
      <c r="G3121" s="812"/>
    </row>
    <row r="3122" spans="7:7">
      <c r="G3122" s="812"/>
    </row>
    <row r="3123" spans="7:7">
      <c r="G3123" s="812"/>
    </row>
    <row r="3124" spans="7:7">
      <c r="G3124" s="812"/>
    </row>
    <row r="3125" spans="7:7">
      <c r="G3125" s="812"/>
    </row>
    <row r="3126" spans="7:7">
      <c r="G3126" s="812"/>
    </row>
    <row r="3127" spans="7:7">
      <c r="G3127" s="812"/>
    </row>
    <row r="3128" spans="7:7">
      <c r="G3128" s="812"/>
    </row>
    <row r="3129" spans="7:7">
      <c r="G3129" s="812"/>
    </row>
    <row r="3130" spans="7:7">
      <c r="G3130" s="812"/>
    </row>
    <row r="3131" spans="7:7">
      <c r="G3131" s="812"/>
    </row>
    <row r="3132" spans="7:7">
      <c r="G3132" s="812"/>
    </row>
    <row r="3133" spans="7:7">
      <c r="G3133" s="812"/>
    </row>
    <row r="3134" spans="7:7">
      <c r="G3134" s="812"/>
    </row>
    <row r="3135" spans="7:7">
      <c r="G3135" s="812"/>
    </row>
    <row r="3136" spans="7:7">
      <c r="G3136" s="812"/>
    </row>
    <row r="3137" spans="7:7">
      <c r="G3137" s="812"/>
    </row>
    <row r="3138" spans="7:7">
      <c r="G3138" s="812"/>
    </row>
    <row r="3139" spans="7:7">
      <c r="G3139" s="812"/>
    </row>
    <row r="3140" spans="7:7">
      <c r="G3140" s="812"/>
    </row>
    <row r="3141" spans="7:7">
      <c r="G3141" s="812"/>
    </row>
    <row r="3142" spans="7:7">
      <c r="G3142" s="812"/>
    </row>
    <row r="3143" spans="7:7">
      <c r="G3143" s="812"/>
    </row>
    <row r="3144" spans="7:7">
      <c r="G3144" s="812"/>
    </row>
    <row r="3145" spans="7:7">
      <c r="G3145" s="812"/>
    </row>
    <row r="3146" spans="7:7">
      <c r="G3146" s="812"/>
    </row>
    <row r="3147" spans="7:7">
      <c r="G3147" s="812"/>
    </row>
    <row r="3148" spans="7:7">
      <c r="G3148" s="812"/>
    </row>
    <row r="3149" spans="7:7">
      <c r="G3149" s="812"/>
    </row>
    <row r="3150" spans="7:7">
      <c r="G3150" s="812"/>
    </row>
    <row r="3151" spans="7:7">
      <c r="G3151" s="812"/>
    </row>
    <row r="3152" spans="7:7">
      <c r="G3152" s="812"/>
    </row>
    <row r="3153" spans="7:7">
      <c r="G3153" s="812"/>
    </row>
    <row r="3154" spans="7:7">
      <c r="G3154" s="812"/>
    </row>
    <row r="3155" spans="7:7">
      <c r="G3155" s="812"/>
    </row>
    <row r="3156" spans="7:7">
      <c r="G3156" s="812"/>
    </row>
    <row r="3157" spans="7:7">
      <c r="G3157" s="812"/>
    </row>
    <row r="3158" spans="7:7">
      <c r="G3158" s="812"/>
    </row>
    <row r="3159" spans="7:7">
      <c r="G3159" s="812"/>
    </row>
    <row r="3160" spans="7:7">
      <c r="G3160" s="812"/>
    </row>
    <row r="3161" spans="7:7">
      <c r="G3161" s="812"/>
    </row>
    <row r="3162" spans="7:7">
      <c r="G3162" s="812"/>
    </row>
    <row r="3163" spans="7:7">
      <c r="G3163" s="812"/>
    </row>
    <row r="3164" spans="7:7">
      <c r="G3164" s="812"/>
    </row>
    <row r="3165" spans="7:7">
      <c r="G3165" s="812"/>
    </row>
    <row r="3166" spans="7:7">
      <c r="G3166" s="812"/>
    </row>
    <row r="3167" spans="7:7">
      <c r="G3167" s="812"/>
    </row>
    <row r="3168" spans="7:7">
      <c r="G3168" s="812"/>
    </row>
    <row r="3169" spans="7:7">
      <c r="G3169" s="812"/>
    </row>
    <row r="3170" spans="7:7">
      <c r="G3170" s="812"/>
    </row>
    <row r="3171" spans="7:7">
      <c r="G3171" s="812"/>
    </row>
    <row r="3172" spans="7:7">
      <c r="G3172" s="812"/>
    </row>
    <row r="3173" spans="7:7">
      <c r="G3173" s="812"/>
    </row>
    <row r="3174" spans="7:7">
      <c r="G3174" s="812"/>
    </row>
    <row r="3175" spans="7:7">
      <c r="G3175" s="812"/>
    </row>
    <row r="3176" spans="7:7">
      <c r="G3176" s="812"/>
    </row>
    <row r="3177" spans="7:7">
      <c r="G3177" s="812"/>
    </row>
    <row r="3178" spans="7:7">
      <c r="G3178" s="812"/>
    </row>
    <row r="3179" spans="7:7">
      <c r="G3179" s="812"/>
    </row>
    <row r="3180" spans="7:7">
      <c r="G3180" s="812"/>
    </row>
    <row r="3181" spans="7:7">
      <c r="G3181" s="812"/>
    </row>
    <row r="3182" spans="7:7">
      <c r="G3182" s="812"/>
    </row>
    <row r="3183" spans="7:7">
      <c r="G3183" s="812"/>
    </row>
    <row r="3184" spans="7:7">
      <c r="G3184" s="812"/>
    </row>
    <row r="3185" spans="7:7">
      <c r="G3185" s="812"/>
    </row>
    <row r="3186" spans="7:7">
      <c r="G3186" s="812"/>
    </row>
    <row r="3187" spans="7:7">
      <c r="G3187" s="812"/>
    </row>
    <row r="3188" spans="7:7">
      <c r="G3188" s="812"/>
    </row>
    <row r="3189" spans="7:7">
      <c r="G3189" s="812"/>
    </row>
    <row r="3190" spans="7:7">
      <c r="G3190" s="812"/>
    </row>
    <row r="3191" spans="7:7">
      <c r="G3191" s="812"/>
    </row>
    <row r="3192" spans="7:7">
      <c r="G3192" s="812"/>
    </row>
    <row r="3193" spans="7:7">
      <c r="G3193" s="812"/>
    </row>
    <row r="3194" spans="7:7">
      <c r="G3194" s="812"/>
    </row>
    <row r="3195" spans="7:7">
      <c r="G3195" s="812"/>
    </row>
    <row r="3196" spans="7:7">
      <c r="G3196" s="812"/>
    </row>
    <row r="3197" spans="7:7">
      <c r="G3197" s="812"/>
    </row>
    <row r="3198" spans="7:7">
      <c r="G3198" s="812"/>
    </row>
    <row r="3199" spans="7:7">
      <c r="G3199" s="812"/>
    </row>
    <row r="3200" spans="7:7">
      <c r="G3200" s="812"/>
    </row>
    <row r="3201" spans="7:7">
      <c r="G3201" s="812"/>
    </row>
    <row r="3202" spans="7:7">
      <c r="G3202" s="812"/>
    </row>
    <row r="3203" spans="7:7">
      <c r="G3203" s="812"/>
    </row>
    <row r="3204" spans="7:7">
      <c r="G3204" s="812"/>
    </row>
    <row r="3205" spans="7:7">
      <c r="G3205" s="812"/>
    </row>
    <row r="3206" spans="7:7">
      <c r="G3206" s="812"/>
    </row>
    <row r="3207" spans="7:7">
      <c r="G3207" s="812"/>
    </row>
    <row r="3208" spans="7:7">
      <c r="G3208" s="812"/>
    </row>
    <row r="3209" spans="7:7">
      <c r="G3209" s="812"/>
    </row>
    <row r="3210" spans="7:7">
      <c r="G3210" s="812"/>
    </row>
    <row r="3211" spans="7:7">
      <c r="G3211" s="812"/>
    </row>
    <row r="3212" spans="7:7">
      <c r="G3212" s="812"/>
    </row>
    <row r="3213" spans="7:7">
      <c r="G3213" s="812"/>
    </row>
    <row r="3214" spans="7:7">
      <c r="G3214" s="812"/>
    </row>
    <row r="3215" spans="7:7">
      <c r="G3215" s="812"/>
    </row>
    <row r="3216" spans="7:7">
      <c r="G3216" s="812"/>
    </row>
    <row r="3217" spans="7:7">
      <c r="G3217" s="812"/>
    </row>
    <row r="3218" spans="7:7">
      <c r="G3218" s="812"/>
    </row>
    <row r="3219" spans="7:7">
      <c r="G3219" s="812"/>
    </row>
    <row r="3220" spans="7:7">
      <c r="G3220" s="812"/>
    </row>
    <row r="3221" spans="7:7">
      <c r="G3221" s="812"/>
    </row>
    <row r="3222" spans="7:7">
      <c r="G3222" s="812"/>
    </row>
    <row r="3223" spans="7:7">
      <c r="G3223" s="812"/>
    </row>
    <row r="3224" spans="7:7">
      <c r="G3224" s="812"/>
    </row>
    <row r="3225" spans="7:7">
      <c r="G3225" s="812"/>
    </row>
    <row r="3226" spans="7:7">
      <c r="G3226" s="812"/>
    </row>
    <row r="3227" spans="7:7">
      <c r="G3227" s="812"/>
    </row>
    <row r="3228" spans="7:7">
      <c r="G3228" s="812"/>
    </row>
    <row r="3229" spans="7:7">
      <c r="G3229" s="812"/>
    </row>
    <row r="3230" spans="7:7">
      <c r="G3230" s="812"/>
    </row>
    <row r="3231" spans="7:7">
      <c r="G3231" s="812"/>
    </row>
    <row r="3232" spans="7:7">
      <c r="G3232" s="812"/>
    </row>
    <row r="3233" spans="7:7">
      <c r="G3233" s="812"/>
    </row>
    <row r="3234" spans="7:7">
      <c r="G3234" s="812"/>
    </row>
    <row r="3235" spans="7:7">
      <c r="G3235" s="812"/>
    </row>
    <row r="3236" spans="7:7">
      <c r="G3236" s="812"/>
    </row>
    <row r="3237" spans="7:7">
      <c r="G3237" s="812"/>
    </row>
    <row r="3238" spans="7:7">
      <c r="G3238" s="812"/>
    </row>
    <row r="3239" spans="7:7">
      <c r="G3239" s="812"/>
    </row>
    <row r="3240" spans="7:7">
      <c r="G3240" s="812"/>
    </row>
    <row r="3241" spans="7:7">
      <c r="G3241" s="812"/>
    </row>
    <row r="3242" spans="7:7">
      <c r="G3242" s="812"/>
    </row>
    <row r="3243" spans="7:7">
      <c r="G3243" s="812"/>
    </row>
    <row r="3244" spans="7:7">
      <c r="G3244" s="812"/>
    </row>
    <row r="3245" spans="7:7">
      <c r="G3245" s="812"/>
    </row>
    <row r="3246" spans="7:7">
      <c r="G3246" s="812"/>
    </row>
    <row r="3247" spans="7:7">
      <c r="G3247" s="812"/>
    </row>
    <row r="3248" spans="7:7">
      <c r="G3248" s="812"/>
    </row>
    <row r="3249" spans="7:7">
      <c r="G3249" s="812"/>
    </row>
    <row r="3250" spans="7:7">
      <c r="G3250" s="812"/>
    </row>
    <row r="3251" spans="7:7">
      <c r="G3251" s="812"/>
    </row>
    <row r="3252" spans="7:7">
      <c r="G3252" s="812"/>
    </row>
    <row r="3253" spans="7:7">
      <c r="G3253" s="812"/>
    </row>
    <row r="3254" spans="7:7">
      <c r="G3254" s="812"/>
    </row>
    <row r="3255" spans="7:7">
      <c r="G3255" s="812"/>
    </row>
    <row r="3256" spans="7:7">
      <c r="G3256" s="812"/>
    </row>
    <row r="3257" spans="7:7">
      <c r="G3257" s="812"/>
    </row>
    <row r="3258" spans="7:7">
      <c r="G3258" s="812"/>
    </row>
    <row r="3259" spans="7:7">
      <c r="G3259" s="812"/>
    </row>
    <row r="3260" spans="7:7">
      <c r="G3260" s="812"/>
    </row>
    <row r="3261" spans="7:7">
      <c r="G3261" s="812"/>
    </row>
    <row r="3262" spans="7:7">
      <c r="G3262" s="812"/>
    </row>
    <row r="3263" spans="7:7">
      <c r="G3263" s="812"/>
    </row>
    <row r="3264" spans="7:7">
      <c r="G3264" s="812"/>
    </row>
    <row r="3265" spans="7:7">
      <c r="G3265" s="812"/>
    </row>
    <row r="3266" spans="7:7">
      <c r="G3266" s="812"/>
    </row>
    <row r="3267" spans="7:7">
      <c r="G3267" s="812"/>
    </row>
    <row r="3268" spans="7:7">
      <c r="G3268" s="812"/>
    </row>
    <row r="3269" spans="7:7">
      <c r="G3269" s="812"/>
    </row>
    <row r="3270" spans="7:7">
      <c r="G3270" s="812"/>
    </row>
    <row r="3271" spans="7:7">
      <c r="G3271" s="812"/>
    </row>
    <row r="3272" spans="7:7">
      <c r="G3272" s="812"/>
    </row>
    <row r="3273" spans="7:7">
      <c r="G3273" s="812"/>
    </row>
    <row r="3274" spans="7:7">
      <c r="G3274" s="812"/>
    </row>
    <row r="3275" spans="7:7">
      <c r="G3275" s="812"/>
    </row>
    <row r="3276" spans="7:7">
      <c r="G3276" s="812"/>
    </row>
    <row r="3277" spans="7:7">
      <c r="G3277" s="812"/>
    </row>
    <row r="3278" spans="7:7">
      <c r="G3278" s="812"/>
    </row>
    <row r="3279" spans="7:7">
      <c r="G3279" s="812"/>
    </row>
    <row r="3280" spans="7:7">
      <c r="G3280" s="812"/>
    </row>
    <row r="3281" spans="7:7">
      <c r="G3281" s="812"/>
    </row>
    <row r="3282" spans="7:7">
      <c r="G3282" s="812"/>
    </row>
    <row r="3283" spans="7:7">
      <c r="G3283" s="812"/>
    </row>
    <row r="3284" spans="7:7">
      <c r="G3284" s="812"/>
    </row>
    <row r="3285" spans="7:7">
      <c r="G3285" s="812"/>
    </row>
    <row r="3286" spans="7:7">
      <c r="G3286" s="812"/>
    </row>
    <row r="3287" spans="7:7">
      <c r="G3287" s="812"/>
    </row>
    <row r="3288" spans="7:7">
      <c r="G3288" s="812"/>
    </row>
    <row r="3289" spans="7:7">
      <c r="G3289" s="812"/>
    </row>
    <row r="3290" spans="7:7">
      <c r="G3290" s="812"/>
    </row>
    <row r="3291" spans="7:7">
      <c r="G3291" s="812"/>
    </row>
    <row r="3292" spans="7:7">
      <c r="G3292" s="812"/>
    </row>
    <row r="3293" spans="7:7">
      <c r="G3293" s="812"/>
    </row>
    <row r="3294" spans="7:7">
      <c r="G3294" s="812"/>
    </row>
    <row r="3295" spans="7:7">
      <c r="G3295" s="812"/>
    </row>
    <row r="3296" spans="7:7">
      <c r="G3296" s="812"/>
    </row>
    <row r="3297" spans="7:7">
      <c r="G3297" s="812"/>
    </row>
    <row r="3298" spans="7:7">
      <c r="G3298" s="812"/>
    </row>
    <row r="3299" spans="7:7">
      <c r="G3299" s="812"/>
    </row>
    <row r="3300" spans="7:7">
      <c r="G3300" s="812"/>
    </row>
    <row r="3301" spans="7:7">
      <c r="G3301" s="812"/>
    </row>
    <row r="3302" spans="7:7">
      <c r="G3302" s="812"/>
    </row>
    <row r="3303" spans="7:7">
      <c r="G3303" s="812"/>
    </row>
    <row r="3304" spans="7:7">
      <c r="G3304" s="812"/>
    </row>
    <row r="3305" spans="7:7">
      <c r="G3305" s="812"/>
    </row>
    <row r="3306" spans="7:7">
      <c r="G3306" s="812"/>
    </row>
    <row r="3307" spans="7:7">
      <c r="G3307" s="812"/>
    </row>
    <row r="3308" spans="7:7">
      <c r="G3308" s="812"/>
    </row>
    <row r="3309" spans="7:7">
      <c r="G3309" s="812"/>
    </row>
    <row r="3310" spans="7:7">
      <c r="G3310" s="812"/>
    </row>
    <row r="3311" spans="7:7">
      <c r="G3311" s="812"/>
    </row>
    <row r="3312" spans="7:7">
      <c r="G3312" s="812"/>
    </row>
    <row r="3313" spans="7:7">
      <c r="G3313" s="812"/>
    </row>
    <row r="3314" spans="7:7">
      <c r="G3314" s="812"/>
    </row>
    <row r="3315" spans="7:7">
      <c r="G3315" s="812"/>
    </row>
    <row r="3316" spans="7:7">
      <c r="G3316" s="812"/>
    </row>
    <row r="3317" spans="7:7">
      <c r="G3317" s="812"/>
    </row>
    <row r="3318" spans="7:7">
      <c r="G3318" s="812"/>
    </row>
    <row r="3319" spans="7:7">
      <c r="G3319" s="812"/>
    </row>
    <row r="3320" spans="7:7">
      <c r="G3320" s="812"/>
    </row>
    <row r="3321" spans="7:7">
      <c r="G3321" s="812"/>
    </row>
    <row r="3322" spans="7:7">
      <c r="G3322" s="812"/>
    </row>
    <row r="3323" spans="7:7">
      <c r="G3323" s="812"/>
    </row>
    <row r="3324" spans="7:7">
      <c r="G3324" s="812"/>
    </row>
    <row r="3325" spans="7:7">
      <c r="G3325" s="812"/>
    </row>
    <row r="3326" spans="7:7">
      <c r="G3326" s="812"/>
    </row>
    <row r="3327" spans="7:7">
      <c r="G3327" s="812"/>
    </row>
    <row r="3328" spans="7:7">
      <c r="G3328" s="812"/>
    </row>
    <row r="3329" spans="7:7">
      <c r="G3329" s="812"/>
    </row>
    <row r="3330" spans="7:7">
      <c r="G3330" s="812"/>
    </row>
    <row r="3331" spans="7:7">
      <c r="G3331" s="812"/>
    </row>
    <row r="3332" spans="7:7">
      <c r="G3332" s="812"/>
    </row>
    <row r="3333" spans="7:7">
      <c r="G3333" s="812"/>
    </row>
    <row r="3334" spans="7:7">
      <c r="G3334" s="812"/>
    </row>
    <row r="3335" spans="7:7">
      <c r="G3335" s="812"/>
    </row>
    <row r="3336" spans="7:7">
      <c r="G3336" s="812"/>
    </row>
    <row r="3337" spans="7:7">
      <c r="G3337" s="812"/>
    </row>
    <row r="3338" spans="7:7">
      <c r="G3338" s="812"/>
    </row>
    <row r="3339" spans="7:7">
      <c r="G3339" s="812"/>
    </row>
    <row r="3340" spans="7:7">
      <c r="G3340" s="812"/>
    </row>
    <row r="3341" spans="7:7">
      <c r="G3341" s="812"/>
    </row>
    <row r="3342" spans="7:7">
      <c r="G3342" s="812"/>
    </row>
    <row r="3343" spans="7:7">
      <c r="G3343" s="812"/>
    </row>
    <row r="3344" spans="7:7">
      <c r="G3344" s="812"/>
    </row>
    <row r="3345" spans="7:7">
      <c r="G3345" s="812"/>
    </row>
    <row r="3346" spans="7:7">
      <c r="G3346" s="812"/>
    </row>
    <row r="3347" spans="7:7">
      <c r="G3347" s="812"/>
    </row>
    <row r="3348" spans="7:7">
      <c r="G3348" s="812"/>
    </row>
    <row r="3349" spans="7:7">
      <c r="G3349" s="812"/>
    </row>
    <row r="3350" spans="7:7">
      <c r="G3350" s="812"/>
    </row>
    <row r="3351" spans="7:7">
      <c r="G3351" s="812"/>
    </row>
    <row r="3352" spans="7:7">
      <c r="G3352" s="812"/>
    </row>
    <row r="3353" spans="7:7">
      <c r="G3353" s="812"/>
    </row>
    <row r="3354" spans="7:7">
      <c r="G3354" s="812"/>
    </row>
    <row r="3355" spans="7:7">
      <c r="G3355" s="812"/>
    </row>
    <row r="3356" spans="7:7">
      <c r="G3356" s="812"/>
    </row>
    <row r="3357" spans="7:7">
      <c r="G3357" s="812"/>
    </row>
    <row r="3358" spans="7:7">
      <c r="G3358" s="812"/>
    </row>
    <row r="3359" spans="7:7">
      <c r="G3359" s="812"/>
    </row>
    <row r="3360" spans="7:7">
      <c r="G3360" s="812"/>
    </row>
    <row r="3361" spans="7:7">
      <c r="G3361" s="812"/>
    </row>
    <row r="3362" spans="7:7">
      <c r="G3362" s="812"/>
    </row>
    <row r="3363" spans="7:7">
      <c r="G3363" s="812"/>
    </row>
    <row r="3364" spans="7:7">
      <c r="G3364" s="812"/>
    </row>
    <row r="3365" spans="7:7">
      <c r="G3365" s="812"/>
    </row>
    <row r="3366" spans="7:7">
      <c r="G3366" s="812"/>
    </row>
    <row r="3367" spans="7:7">
      <c r="G3367" s="812"/>
    </row>
    <row r="3368" spans="7:7">
      <c r="G3368" s="812"/>
    </row>
    <row r="3369" spans="7:7">
      <c r="G3369" s="812"/>
    </row>
    <row r="3370" spans="7:7">
      <c r="G3370" s="812"/>
    </row>
    <row r="3371" spans="7:7">
      <c r="G3371" s="812"/>
    </row>
    <row r="3372" spans="7:7">
      <c r="G3372" s="812"/>
    </row>
    <row r="3373" spans="7:7">
      <c r="G3373" s="812"/>
    </row>
    <row r="3374" spans="7:7">
      <c r="G3374" s="812"/>
    </row>
    <row r="3375" spans="7:7">
      <c r="G3375" s="812"/>
    </row>
    <row r="3376" spans="7:7">
      <c r="G3376" s="812"/>
    </row>
    <row r="3377" spans="7:7">
      <c r="G3377" s="812"/>
    </row>
    <row r="3378" spans="7:7">
      <c r="G3378" s="812"/>
    </row>
    <row r="3379" spans="7:7">
      <c r="G3379" s="812"/>
    </row>
    <row r="3380" spans="7:7">
      <c r="G3380" s="812"/>
    </row>
    <row r="3381" spans="7:7">
      <c r="G3381" s="812"/>
    </row>
    <row r="3382" spans="7:7">
      <c r="G3382" s="812"/>
    </row>
    <row r="3383" spans="7:7">
      <c r="G3383" s="812"/>
    </row>
    <row r="3384" spans="7:7">
      <c r="G3384" s="812"/>
    </row>
    <row r="3385" spans="7:7">
      <c r="G3385" s="812"/>
    </row>
    <row r="3386" spans="7:7">
      <c r="G3386" s="812"/>
    </row>
    <row r="3387" spans="7:7">
      <c r="G3387" s="812"/>
    </row>
    <row r="3388" spans="7:7">
      <c r="G3388" s="812"/>
    </row>
    <row r="3389" spans="7:7">
      <c r="G3389" s="812"/>
    </row>
    <row r="3390" spans="7:7">
      <c r="G3390" s="812"/>
    </row>
    <row r="3391" spans="7:7">
      <c r="G3391" s="812"/>
    </row>
    <row r="3392" spans="7:7">
      <c r="G3392" s="812"/>
    </row>
    <row r="3393" spans="7:7">
      <c r="G3393" s="812"/>
    </row>
    <row r="3394" spans="7:7">
      <c r="G3394" s="812"/>
    </row>
    <row r="3395" spans="7:7">
      <c r="G3395" s="812"/>
    </row>
    <row r="3396" spans="7:7">
      <c r="G3396" s="812"/>
    </row>
    <row r="3397" spans="7:7">
      <c r="G3397" s="812"/>
    </row>
    <row r="3398" spans="7:7">
      <c r="G3398" s="812"/>
    </row>
    <row r="3399" spans="7:7">
      <c r="G3399" s="812"/>
    </row>
    <row r="3400" spans="7:7">
      <c r="G3400" s="812"/>
    </row>
    <row r="3401" spans="7:7">
      <c r="G3401" s="812"/>
    </row>
    <row r="3402" spans="7:7">
      <c r="G3402" s="812"/>
    </row>
    <row r="3403" spans="7:7">
      <c r="G3403" s="812"/>
    </row>
    <row r="3404" spans="7:7">
      <c r="G3404" s="812"/>
    </row>
    <row r="3405" spans="7:7">
      <c r="G3405" s="812"/>
    </row>
    <row r="3406" spans="7:7">
      <c r="G3406" s="812"/>
    </row>
    <row r="3407" spans="7:7">
      <c r="G3407" s="812"/>
    </row>
    <row r="3408" spans="7:7">
      <c r="G3408" s="812"/>
    </row>
    <row r="3409" spans="7:7">
      <c r="G3409" s="812"/>
    </row>
    <row r="3410" spans="7:7">
      <c r="G3410" s="812"/>
    </row>
    <row r="3411" spans="7:7">
      <c r="G3411" s="812"/>
    </row>
    <row r="3412" spans="7:7">
      <c r="G3412" s="812"/>
    </row>
    <row r="3413" spans="7:7">
      <c r="G3413" s="812"/>
    </row>
    <row r="3414" spans="7:7">
      <c r="G3414" s="812"/>
    </row>
    <row r="3415" spans="7:7">
      <c r="G3415" s="812"/>
    </row>
    <row r="3416" spans="7:7">
      <c r="G3416" s="812"/>
    </row>
    <row r="3417" spans="7:7">
      <c r="G3417" s="812"/>
    </row>
    <row r="3418" spans="7:7">
      <c r="G3418" s="812"/>
    </row>
    <row r="3419" spans="7:7">
      <c r="G3419" s="812"/>
    </row>
    <row r="3420" spans="7:7">
      <c r="G3420" s="812"/>
    </row>
    <row r="3421" spans="7:7">
      <c r="G3421" s="812"/>
    </row>
    <row r="3422" spans="7:7">
      <c r="G3422" s="812"/>
    </row>
    <row r="3423" spans="7:7">
      <c r="G3423" s="812"/>
    </row>
    <row r="3424" spans="7:7">
      <c r="G3424" s="812"/>
    </row>
    <row r="3425" spans="7:7">
      <c r="G3425" s="812"/>
    </row>
    <row r="3426" spans="7:7">
      <c r="G3426" s="812"/>
    </row>
    <row r="3427" spans="7:7">
      <c r="G3427" s="812"/>
    </row>
    <row r="3428" spans="7:7">
      <c r="G3428" s="812"/>
    </row>
    <row r="3429" spans="7:7">
      <c r="G3429" s="812"/>
    </row>
    <row r="3430" spans="7:7">
      <c r="G3430" s="812"/>
    </row>
    <row r="3431" spans="7:7">
      <c r="G3431" s="812"/>
    </row>
    <row r="3432" spans="7:7">
      <c r="G3432" s="812"/>
    </row>
    <row r="3433" spans="7:7">
      <c r="G3433" s="812"/>
    </row>
    <row r="3434" spans="7:7">
      <c r="G3434" s="812"/>
    </row>
    <row r="3435" spans="7:7">
      <c r="G3435" s="812"/>
    </row>
    <row r="3436" spans="7:7">
      <c r="G3436" s="812"/>
    </row>
    <row r="3437" spans="7:7">
      <c r="G3437" s="812"/>
    </row>
    <row r="3438" spans="7:7">
      <c r="G3438" s="812"/>
    </row>
    <row r="3439" spans="7:7">
      <c r="G3439" s="812"/>
    </row>
    <row r="3440" spans="7:7">
      <c r="G3440" s="812"/>
    </row>
    <row r="3441" spans="7:7">
      <c r="G3441" s="812"/>
    </row>
    <row r="3442" spans="7:7">
      <c r="G3442" s="812"/>
    </row>
    <row r="3443" spans="7:7">
      <c r="G3443" s="812"/>
    </row>
    <row r="3444" spans="7:7">
      <c r="G3444" s="812"/>
    </row>
    <row r="3445" spans="7:7">
      <c r="G3445" s="812"/>
    </row>
    <row r="3446" spans="7:7">
      <c r="G3446" s="812"/>
    </row>
    <row r="3447" spans="7:7">
      <c r="G3447" s="812"/>
    </row>
    <row r="3448" spans="7:7">
      <c r="G3448" s="812"/>
    </row>
    <row r="3449" spans="7:7">
      <c r="G3449" s="812"/>
    </row>
    <row r="3450" spans="7:7">
      <c r="G3450" s="812"/>
    </row>
    <row r="3451" spans="7:7">
      <c r="G3451" s="812"/>
    </row>
    <row r="3452" spans="7:7">
      <c r="G3452" s="812"/>
    </row>
    <row r="3453" spans="7:7">
      <c r="G3453" s="812"/>
    </row>
    <row r="3454" spans="7:7">
      <c r="G3454" s="812"/>
    </row>
    <row r="3455" spans="7:7">
      <c r="G3455" s="812"/>
    </row>
    <row r="3456" spans="7:7">
      <c r="G3456" s="812"/>
    </row>
    <row r="3457" spans="7:7">
      <c r="G3457" s="812"/>
    </row>
    <row r="3458" spans="7:7">
      <c r="G3458" s="812"/>
    </row>
    <row r="3459" spans="7:7">
      <c r="G3459" s="812"/>
    </row>
    <row r="3460" spans="7:7">
      <c r="G3460" s="812"/>
    </row>
    <row r="3461" spans="7:7">
      <c r="G3461" s="812"/>
    </row>
    <row r="3462" spans="7:7">
      <c r="G3462" s="812"/>
    </row>
    <row r="3463" spans="7:7">
      <c r="G3463" s="812"/>
    </row>
    <row r="3464" spans="7:7">
      <c r="G3464" s="812"/>
    </row>
    <row r="3465" spans="7:7">
      <c r="G3465" s="812"/>
    </row>
    <row r="3466" spans="7:7">
      <c r="G3466" s="812"/>
    </row>
    <row r="3467" spans="7:7">
      <c r="G3467" s="812"/>
    </row>
    <row r="3468" spans="7:7">
      <c r="G3468" s="812"/>
    </row>
    <row r="3469" spans="7:7">
      <c r="G3469" s="812"/>
    </row>
    <row r="3470" spans="7:7">
      <c r="G3470" s="812"/>
    </row>
    <row r="3471" spans="7:7">
      <c r="G3471" s="812"/>
    </row>
    <row r="3472" spans="7:7">
      <c r="G3472" s="812"/>
    </row>
    <row r="3473" spans="7:7">
      <c r="G3473" s="812"/>
    </row>
    <row r="3474" spans="7:7">
      <c r="G3474" s="812"/>
    </row>
    <row r="3475" spans="7:7">
      <c r="G3475" s="812"/>
    </row>
    <row r="3476" spans="7:7">
      <c r="G3476" s="812"/>
    </row>
    <row r="3477" spans="7:7">
      <c r="G3477" s="812"/>
    </row>
    <row r="3478" spans="7:7">
      <c r="G3478" s="812"/>
    </row>
    <row r="3479" spans="7:7">
      <c r="G3479" s="812"/>
    </row>
    <row r="3480" spans="7:7">
      <c r="G3480" s="812"/>
    </row>
    <row r="3481" spans="7:7">
      <c r="G3481" s="812"/>
    </row>
    <row r="3482" spans="7:7">
      <c r="G3482" s="812"/>
    </row>
    <row r="3483" spans="7:7">
      <c r="G3483" s="812"/>
    </row>
    <row r="3484" spans="7:7">
      <c r="G3484" s="812"/>
    </row>
    <row r="3485" spans="7:7">
      <c r="G3485" s="812"/>
    </row>
    <row r="3486" spans="7:7">
      <c r="G3486" s="812"/>
    </row>
    <row r="3487" spans="7:7">
      <c r="G3487" s="812"/>
    </row>
    <row r="3488" spans="7:7">
      <c r="G3488" s="812"/>
    </row>
    <row r="3489" spans="7:7">
      <c r="G3489" s="812"/>
    </row>
    <row r="3490" spans="7:7">
      <c r="G3490" s="812"/>
    </row>
    <row r="3491" spans="7:7">
      <c r="G3491" s="812"/>
    </row>
    <row r="3492" spans="7:7">
      <c r="G3492" s="812"/>
    </row>
    <row r="3493" spans="7:7">
      <c r="G3493" s="812"/>
    </row>
    <row r="3494" spans="7:7">
      <c r="G3494" s="812"/>
    </row>
    <row r="3495" spans="7:7">
      <c r="G3495" s="812"/>
    </row>
    <row r="3496" spans="7:7">
      <c r="G3496" s="812"/>
    </row>
    <row r="3497" spans="7:7">
      <c r="G3497" s="812"/>
    </row>
    <row r="3498" spans="7:7">
      <c r="G3498" s="812"/>
    </row>
    <row r="3499" spans="7:7">
      <c r="G3499" s="812"/>
    </row>
    <row r="3500" spans="7:7">
      <c r="G3500" s="812"/>
    </row>
    <row r="3501" spans="7:7">
      <c r="G3501" s="812"/>
    </row>
    <row r="3502" spans="7:7">
      <c r="G3502" s="812"/>
    </row>
    <row r="3503" spans="7:7">
      <c r="G3503" s="812"/>
    </row>
    <row r="3504" spans="7:7">
      <c r="G3504" s="812"/>
    </row>
    <row r="3505" spans="7:7">
      <c r="G3505" s="812"/>
    </row>
    <row r="3506" spans="7:7">
      <c r="G3506" s="812"/>
    </row>
    <row r="3507" spans="7:7">
      <c r="G3507" s="812"/>
    </row>
    <row r="3508" spans="7:7">
      <c r="G3508" s="812"/>
    </row>
    <row r="3509" spans="7:7">
      <c r="G3509" s="812"/>
    </row>
    <row r="3510" spans="7:7">
      <c r="G3510" s="812"/>
    </row>
    <row r="3511" spans="7:7">
      <c r="G3511" s="812"/>
    </row>
    <row r="3512" spans="7:7">
      <c r="G3512" s="812"/>
    </row>
    <row r="3513" spans="7:7">
      <c r="G3513" s="812"/>
    </row>
    <row r="3514" spans="7:7">
      <c r="G3514" s="812"/>
    </row>
    <row r="3515" spans="7:7">
      <c r="G3515" s="812"/>
    </row>
    <row r="3516" spans="7:7">
      <c r="G3516" s="812"/>
    </row>
    <row r="3517" spans="7:7">
      <c r="G3517" s="812"/>
    </row>
    <row r="3518" spans="7:7">
      <c r="G3518" s="812"/>
    </row>
    <row r="3519" spans="7:7">
      <c r="G3519" s="812"/>
    </row>
    <row r="3520" spans="7:7">
      <c r="G3520" s="812"/>
    </row>
    <row r="3521" spans="7:7">
      <c r="G3521" s="812"/>
    </row>
    <row r="3522" spans="7:7">
      <c r="G3522" s="812"/>
    </row>
    <row r="3523" spans="7:7">
      <c r="G3523" s="812"/>
    </row>
    <row r="3524" spans="7:7">
      <c r="G3524" s="812"/>
    </row>
    <row r="3525" spans="7:7">
      <c r="G3525" s="812"/>
    </row>
    <row r="3526" spans="7:7">
      <c r="G3526" s="812"/>
    </row>
    <row r="3527" spans="7:7">
      <c r="G3527" s="812"/>
    </row>
    <row r="3528" spans="7:7">
      <c r="G3528" s="812"/>
    </row>
    <row r="3529" spans="7:7">
      <c r="G3529" s="812"/>
    </row>
    <row r="3530" spans="7:7">
      <c r="G3530" s="812"/>
    </row>
    <row r="3531" spans="7:7">
      <c r="G3531" s="812"/>
    </row>
    <row r="3532" spans="7:7">
      <c r="G3532" s="812"/>
    </row>
    <row r="3533" spans="7:7">
      <c r="G3533" s="812"/>
    </row>
    <row r="3534" spans="7:7">
      <c r="G3534" s="812"/>
    </row>
    <row r="3535" spans="7:7">
      <c r="G3535" s="812"/>
    </row>
    <row r="3536" spans="7:7">
      <c r="G3536" s="812"/>
    </row>
    <row r="3537" spans="7:7">
      <c r="G3537" s="812"/>
    </row>
    <row r="3538" spans="7:7">
      <c r="G3538" s="812"/>
    </row>
    <row r="3539" spans="7:7">
      <c r="G3539" s="812"/>
    </row>
    <row r="3540" spans="7:7">
      <c r="G3540" s="812"/>
    </row>
    <row r="3541" spans="7:7">
      <c r="G3541" s="812"/>
    </row>
    <row r="3542" spans="7:7">
      <c r="G3542" s="812"/>
    </row>
    <row r="3543" spans="7:7">
      <c r="G3543" s="812"/>
    </row>
    <row r="3544" spans="7:7">
      <c r="G3544" s="812"/>
    </row>
    <row r="3545" spans="7:7">
      <c r="G3545" s="812"/>
    </row>
    <row r="3546" spans="7:7">
      <c r="G3546" s="812"/>
    </row>
    <row r="3547" spans="7:7">
      <c r="G3547" s="812"/>
    </row>
    <row r="3548" spans="7:7">
      <c r="G3548" s="812"/>
    </row>
    <row r="3549" spans="7:7">
      <c r="G3549" s="812"/>
    </row>
    <row r="3550" spans="7:7">
      <c r="G3550" s="812"/>
    </row>
    <row r="3551" spans="7:7">
      <c r="G3551" s="812"/>
    </row>
    <row r="3552" spans="7:7">
      <c r="G3552" s="812"/>
    </row>
    <row r="3553" spans="7:7">
      <c r="G3553" s="812"/>
    </row>
    <row r="3554" spans="7:7">
      <c r="G3554" s="812"/>
    </row>
    <row r="3555" spans="7:7">
      <c r="G3555" s="812"/>
    </row>
    <row r="3556" spans="7:7">
      <c r="G3556" s="812"/>
    </row>
    <row r="3557" spans="7:7">
      <c r="G3557" s="812"/>
    </row>
    <row r="3558" spans="7:7">
      <c r="G3558" s="812"/>
    </row>
    <row r="3559" spans="7:7">
      <c r="G3559" s="812"/>
    </row>
    <row r="3560" spans="7:7">
      <c r="G3560" s="812"/>
    </row>
    <row r="3561" spans="7:7">
      <c r="G3561" s="812"/>
    </row>
    <row r="3562" spans="7:7">
      <c r="G3562" s="812"/>
    </row>
    <row r="3563" spans="7:7">
      <c r="G3563" s="812"/>
    </row>
    <row r="3564" spans="7:7">
      <c r="G3564" s="812"/>
    </row>
    <row r="3565" spans="7:7">
      <c r="G3565" s="812"/>
    </row>
    <row r="3566" spans="7:7">
      <c r="G3566" s="812"/>
    </row>
    <row r="3567" spans="7:7">
      <c r="G3567" s="812"/>
    </row>
    <row r="3568" spans="7:7">
      <c r="G3568" s="812"/>
    </row>
    <row r="3569" spans="7:7">
      <c r="G3569" s="812"/>
    </row>
    <row r="3570" spans="7:7">
      <c r="G3570" s="812"/>
    </row>
    <row r="3571" spans="7:7">
      <c r="G3571" s="812"/>
    </row>
    <row r="3572" spans="7:7">
      <c r="G3572" s="812"/>
    </row>
    <row r="3573" spans="7:7">
      <c r="G3573" s="812"/>
    </row>
    <row r="3574" spans="7:7">
      <c r="G3574" s="812"/>
    </row>
    <row r="3575" spans="7:7">
      <c r="G3575" s="812"/>
    </row>
    <row r="3576" spans="7:7">
      <c r="G3576" s="812"/>
    </row>
    <row r="3577" spans="7:7">
      <c r="G3577" s="812"/>
    </row>
    <row r="3578" spans="7:7">
      <c r="G3578" s="812"/>
    </row>
    <row r="3579" spans="7:7">
      <c r="G3579" s="812"/>
    </row>
    <row r="3580" spans="7:7">
      <c r="G3580" s="812"/>
    </row>
    <row r="3581" spans="7:7">
      <c r="G3581" s="812"/>
    </row>
    <row r="3582" spans="7:7">
      <c r="G3582" s="812"/>
    </row>
    <row r="3583" spans="7:7">
      <c r="G3583" s="812"/>
    </row>
    <row r="3584" spans="7:7">
      <c r="G3584" s="812"/>
    </row>
    <row r="3585" spans="7:7">
      <c r="G3585" s="812"/>
    </row>
    <row r="3586" spans="7:7">
      <c r="G3586" s="812"/>
    </row>
    <row r="3587" spans="7:7">
      <c r="G3587" s="812"/>
    </row>
    <row r="3588" spans="7:7">
      <c r="G3588" s="812"/>
    </row>
    <row r="3589" spans="7:7">
      <c r="G3589" s="812"/>
    </row>
    <row r="3590" spans="7:7">
      <c r="G3590" s="812"/>
    </row>
    <row r="3591" spans="7:7">
      <c r="G3591" s="812"/>
    </row>
    <row r="3592" spans="7:7">
      <c r="G3592" s="812"/>
    </row>
    <row r="3593" spans="7:7">
      <c r="G3593" s="812"/>
    </row>
    <row r="3594" spans="7:7">
      <c r="G3594" s="812"/>
    </row>
    <row r="3595" spans="7:7">
      <c r="G3595" s="812"/>
    </row>
    <row r="3596" spans="7:7">
      <c r="G3596" s="812"/>
    </row>
    <row r="3597" spans="7:7">
      <c r="G3597" s="812"/>
    </row>
    <row r="3598" spans="7:7">
      <c r="G3598" s="812"/>
    </row>
    <row r="3599" spans="7:7">
      <c r="G3599" s="812"/>
    </row>
    <row r="3600" spans="7:7">
      <c r="G3600" s="812"/>
    </row>
    <row r="3601" spans="7:7">
      <c r="G3601" s="812"/>
    </row>
    <row r="3602" spans="7:7">
      <c r="G3602" s="812"/>
    </row>
    <row r="3603" spans="7:7">
      <c r="G3603" s="812"/>
    </row>
    <row r="3604" spans="7:7">
      <c r="G3604" s="812"/>
    </row>
    <row r="3605" spans="7:7">
      <c r="G3605" s="812"/>
    </row>
    <row r="3606" spans="7:7">
      <c r="G3606" s="812"/>
    </row>
    <row r="3607" spans="7:7">
      <c r="G3607" s="812"/>
    </row>
    <row r="3608" spans="7:7">
      <c r="G3608" s="812"/>
    </row>
    <row r="3609" spans="7:7">
      <c r="G3609" s="812"/>
    </row>
    <row r="3610" spans="7:7">
      <c r="G3610" s="812"/>
    </row>
    <row r="3611" spans="7:7">
      <c r="G3611" s="812"/>
    </row>
    <row r="3612" spans="7:7">
      <c r="G3612" s="812"/>
    </row>
    <row r="3613" spans="7:7">
      <c r="G3613" s="812"/>
    </row>
    <row r="3614" spans="7:7">
      <c r="G3614" s="812"/>
    </row>
    <row r="3615" spans="7:7">
      <c r="G3615" s="812"/>
    </row>
    <row r="3616" spans="7:7">
      <c r="G3616" s="812"/>
    </row>
    <row r="3617" spans="7:7">
      <c r="G3617" s="812"/>
    </row>
    <row r="3618" spans="7:7">
      <c r="G3618" s="812"/>
    </row>
    <row r="3619" spans="7:7">
      <c r="G3619" s="812"/>
    </row>
    <row r="3620" spans="7:7">
      <c r="G3620" s="812"/>
    </row>
    <row r="3621" spans="7:7">
      <c r="G3621" s="812"/>
    </row>
    <row r="3622" spans="7:7">
      <c r="G3622" s="812"/>
    </row>
    <row r="3623" spans="7:7">
      <c r="G3623" s="812"/>
    </row>
    <row r="3624" spans="7:7">
      <c r="G3624" s="812"/>
    </row>
    <row r="3625" spans="7:7">
      <c r="G3625" s="812"/>
    </row>
    <row r="3626" spans="7:7">
      <c r="G3626" s="812"/>
    </row>
    <row r="3627" spans="7:7">
      <c r="G3627" s="812"/>
    </row>
    <row r="3628" spans="7:7">
      <c r="G3628" s="812"/>
    </row>
    <row r="3629" spans="7:7">
      <c r="G3629" s="812"/>
    </row>
    <row r="3630" spans="7:7">
      <c r="G3630" s="812"/>
    </row>
    <row r="3631" spans="7:7">
      <c r="G3631" s="812"/>
    </row>
    <row r="3632" spans="7:7">
      <c r="G3632" s="812"/>
    </row>
    <row r="3633" spans="7:7">
      <c r="G3633" s="812"/>
    </row>
    <row r="3634" spans="7:7">
      <c r="G3634" s="812"/>
    </row>
    <row r="3635" spans="7:7">
      <c r="G3635" s="812"/>
    </row>
    <row r="3636" spans="7:7">
      <c r="G3636" s="812"/>
    </row>
    <row r="3637" spans="7:7">
      <c r="G3637" s="812"/>
    </row>
    <row r="3638" spans="7:7">
      <c r="G3638" s="812"/>
    </row>
    <row r="3639" spans="7:7">
      <c r="G3639" s="812"/>
    </row>
    <row r="3640" spans="7:7">
      <c r="G3640" s="812"/>
    </row>
    <row r="3641" spans="7:7">
      <c r="G3641" s="812"/>
    </row>
    <row r="3642" spans="7:7">
      <c r="G3642" s="812"/>
    </row>
    <row r="3643" spans="7:7">
      <c r="G3643" s="812"/>
    </row>
    <row r="3644" spans="7:7">
      <c r="G3644" s="812"/>
    </row>
    <row r="3645" spans="7:7">
      <c r="G3645" s="812"/>
    </row>
    <row r="3646" spans="7:7">
      <c r="G3646" s="812"/>
    </row>
    <row r="3647" spans="7:7">
      <c r="G3647" s="812"/>
    </row>
    <row r="3648" spans="7:7">
      <c r="G3648" s="812"/>
    </row>
    <row r="3649" spans="7:7">
      <c r="G3649" s="812"/>
    </row>
    <row r="3650" spans="7:7">
      <c r="G3650" s="812"/>
    </row>
    <row r="3651" spans="7:7">
      <c r="G3651" s="812"/>
    </row>
    <row r="3652" spans="7:7">
      <c r="G3652" s="812"/>
    </row>
    <row r="3653" spans="7:7">
      <c r="G3653" s="812"/>
    </row>
    <row r="3654" spans="7:7">
      <c r="G3654" s="812"/>
    </row>
    <row r="3655" spans="7:7">
      <c r="G3655" s="812"/>
    </row>
    <row r="3656" spans="7:7">
      <c r="G3656" s="812"/>
    </row>
    <row r="3657" spans="7:7">
      <c r="G3657" s="812"/>
    </row>
    <row r="3658" spans="7:7">
      <c r="G3658" s="812"/>
    </row>
    <row r="3659" spans="7:7">
      <c r="G3659" s="812"/>
    </row>
    <row r="3660" spans="7:7">
      <c r="G3660" s="812"/>
    </row>
    <row r="3661" spans="7:7">
      <c r="G3661" s="812"/>
    </row>
    <row r="3662" spans="7:7">
      <c r="G3662" s="812"/>
    </row>
    <row r="3663" spans="7:7">
      <c r="G3663" s="812"/>
    </row>
    <row r="3664" spans="7:7">
      <c r="G3664" s="812"/>
    </row>
    <row r="3665" spans="7:7">
      <c r="G3665" s="812"/>
    </row>
    <row r="3666" spans="7:7">
      <c r="G3666" s="812"/>
    </row>
    <row r="3667" spans="7:7">
      <c r="G3667" s="812"/>
    </row>
    <row r="3668" spans="7:7">
      <c r="G3668" s="812"/>
    </row>
    <row r="3669" spans="7:7">
      <c r="G3669" s="812"/>
    </row>
    <row r="3670" spans="7:7">
      <c r="G3670" s="812"/>
    </row>
    <row r="3671" spans="7:7">
      <c r="G3671" s="812"/>
    </row>
    <row r="3672" spans="7:7">
      <c r="G3672" s="812"/>
    </row>
    <row r="3673" spans="7:7">
      <c r="G3673" s="812"/>
    </row>
    <row r="3674" spans="7:7">
      <c r="G3674" s="812"/>
    </row>
    <row r="3675" spans="7:7">
      <c r="G3675" s="812"/>
    </row>
    <row r="3676" spans="7:7">
      <c r="G3676" s="812"/>
    </row>
    <row r="3677" spans="7:7">
      <c r="G3677" s="812"/>
    </row>
    <row r="3678" spans="7:7">
      <c r="G3678" s="812"/>
    </row>
    <row r="3679" spans="7:7">
      <c r="G3679" s="812"/>
    </row>
    <row r="3680" spans="7:7">
      <c r="G3680" s="812"/>
    </row>
    <row r="3681" spans="7:7">
      <c r="G3681" s="812"/>
    </row>
    <row r="3682" spans="7:7">
      <c r="G3682" s="812"/>
    </row>
    <row r="3683" spans="7:7">
      <c r="G3683" s="812"/>
    </row>
    <row r="3684" spans="7:7">
      <c r="G3684" s="812"/>
    </row>
    <row r="3685" spans="7:7">
      <c r="G3685" s="812"/>
    </row>
    <row r="3686" spans="7:7">
      <c r="G3686" s="812"/>
    </row>
    <row r="3687" spans="7:7">
      <c r="G3687" s="812"/>
    </row>
    <row r="3688" spans="7:7">
      <c r="G3688" s="812"/>
    </row>
    <row r="3689" spans="7:7">
      <c r="G3689" s="812"/>
    </row>
    <row r="3690" spans="7:7">
      <c r="G3690" s="812"/>
    </row>
    <row r="3691" spans="7:7">
      <c r="G3691" s="812"/>
    </row>
    <row r="3692" spans="7:7">
      <c r="G3692" s="812"/>
    </row>
    <row r="3693" spans="7:7">
      <c r="G3693" s="812"/>
    </row>
    <row r="3694" spans="7:7">
      <c r="G3694" s="812"/>
    </row>
    <row r="3695" spans="7:7">
      <c r="G3695" s="812"/>
    </row>
    <row r="3696" spans="7:7">
      <c r="G3696" s="812"/>
    </row>
    <row r="3697" spans="7:7">
      <c r="G3697" s="812"/>
    </row>
    <row r="3698" spans="7:7">
      <c r="G3698" s="812"/>
    </row>
    <row r="3699" spans="7:7">
      <c r="G3699" s="812"/>
    </row>
    <row r="3700" spans="7:7">
      <c r="G3700" s="812"/>
    </row>
    <row r="3701" spans="7:7">
      <c r="G3701" s="812"/>
    </row>
    <row r="3702" spans="7:7">
      <c r="G3702" s="812"/>
    </row>
    <row r="3703" spans="7:7">
      <c r="G3703" s="812"/>
    </row>
    <row r="3704" spans="7:7">
      <c r="G3704" s="812"/>
    </row>
    <row r="3705" spans="7:7">
      <c r="G3705" s="812"/>
    </row>
    <row r="3706" spans="7:7">
      <c r="G3706" s="812"/>
    </row>
    <row r="3707" spans="7:7">
      <c r="G3707" s="812"/>
    </row>
    <row r="3708" spans="7:7">
      <c r="G3708" s="812"/>
    </row>
    <row r="3709" spans="7:7">
      <c r="G3709" s="812"/>
    </row>
    <row r="3710" spans="7:7">
      <c r="G3710" s="812"/>
    </row>
    <row r="3711" spans="7:7">
      <c r="G3711" s="812"/>
    </row>
    <row r="3712" spans="7:7">
      <c r="G3712" s="812"/>
    </row>
    <row r="3713" spans="7:7">
      <c r="G3713" s="812"/>
    </row>
    <row r="3714" spans="7:7">
      <c r="G3714" s="812"/>
    </row>
    <row r="3715" spans="7:7">
      <c r="G3715" s="812"/>
    </row>
    <row r="3716" spans="7:7">
      <c r="G3716" s="812"/>
    </row>
    <row r="3717" spans="7:7">
      <c r="G3717" s="812"/>
    </row>
    <row r="3718" spans="7:7">
      <c r="G3718" s="812"/>
    </row>
    <row r="3719" spans="7:7">
      <c r="G3719" s="812"/>
    </row>
    <row r="3720" spans="7:7">
      <c r="G3720" s="812"/>
    </row>
    <row r="3721" spans="7:7">
      <c r="G3721" s="812"/>
    </row>
    <row r="3722" spans="7:7">
      <c r="G3722" s="812"/>
    </row>
    <row r="3723" spans="7:7">
      <c r="G3723" s="812"/>
    </row>
    <row r="3724" spans="7:7">
      <c r="G3724" s="812"/>
    </row>
    <row r="3725" spans="7:7">
      <c r="G3725" s="812"/>
    </row>
    <row r="3726" spans="7:7">
      <c r="G3726" s="812"/>
    </row>
    <row r="3727" spans="7:7">
      <c r="G3727" s="812"/>
    </row>
    <row r="3728" spans="7:7">
      <c r="G3728" s="812"/>
    </row>
    <row r="3729" spans="7:7">
      <c r="G3729" s="812"/>
    </row>
    <row r="3730" spans="7:7">
      <c r="G3730" s="812"/>
    </row>
    <row r="3731" spans="7:7">
      <c r="G3731" s="812"/>
    </row>
    <row r="3732" spans="7:7">
      <c r="G3732" s="812"/>
    </row>
    <row r="3733" spans="7:7">
      <c r="G3733" s="812"/>
    </row>
    <row r="3734" spans="7:7">
      <c r="G3734" s="812"/>
    </row>
    <row r="3735" spans="7:7">
      <c r="G3735" s="812"/>
    </row>
    <row r="3736" spans="7:7">
      <c r="G3736" s="812"/>
    </row>
    <row r="3737" spans="7:7">
      <c r="G3737" s="812"/>
    </row>
    <row r="3738" spans="7:7">
      <c r="G3738" s="812"/>
    </row>
    <row r="3739" spans="7:7">
      <c r="G3739" s="812"/>
    </row>
    <row r="3740" spans="7:7">
      <c r="G3740" s="812"/>
    </row>
    <row r="3741" spans="7:7">
      <c r="G3741" s="812"/>
    </row>
    <row r="3742" spans="7:7">
      <c r="G3742" s="812"/>
    </row>
    <row r="3743" spans="7:7">
      <c r="G3743" s="812"/>
    </row>
    <row r="3744" spans="7:7">
      <c r="G3744" s="812"/>
    </row>
    <row r="3745" spans="7:7">
      <c r="G3745" s="812"/>
    </row>
    <row r="3746" spans="7:7">
      <c r="G3746" s="812"/>
    </row>
    <row r="3747" spans="7:7">
      <c r="G3747" s="812"/>
    </row>
    <row r="3748" spans="7:7">
      <c r="G3748" s="812"/>
    </row>
    <row r="3749" spans="7:7">
      <c r="G3749" s="812"/>
    </row>
    <row r="3750" spans="7:7">
      <c r="G3750" s="812"/>
    </row>
    <row r="3751" spans="7:7">
      <c r="G3751" s="812"/>
    </row>
    <row r="3752" spans="7:7">
      <c r="G3752" s="812"/>
    </row>
    <row r="3753" spans="7:7">
      <c r="G3753" s="812"/>
    </row>
    <row r="3754" spans="7:7">
      <c r="G3754" s="812"/>
    </row>
    <row r="3755" spans="7:7">
      <c r="G3755" s="812"/>
    </row>
    <row r="3756" spans="7:7">
      <c r="G3756" s="812"/>
    </row>
    <row r="3757" spans="7:7">
      <c r="G3757" s="812"/>
    </row>
    <row r="3758" spans="7:7">
      <c r="G3758" s="812"/>
    </row>
    <row r="3759" spans="7:7">
      <c r="G3759" s="812"/>
    </row>
    <row r="3760" spans="7:7">
      <c r="G3760" s="812"/>
    </row>
    <row r="3761" spans="7:7">
      <c r="G3761" s="812"/>
    </row>
    <row r="3762" spans="7:7">
      <c r="G3762" s="812"/>
    </row>
    <row r="3763" spans="7:7">
      <c r="G3763" s="812"/>
    </row>
    <row r="3764" spans="7:7">
      <c r="G3764" s="812"/>
    </row>
    <row r="3765" spans="7:7">
      <c r="G3765" s="812"/>
    </row>
    <row r="3766" spans="7:7">
      <c r="G3766" s="812"/>
    </row>
    <row r="3767" spans="7:7">
      <c r="G3767" s="812"/>
    </row>
    <row r="3768" spans="7:7">
      <c r="G3768" s="812"/>
    </row>
    <row r="3769" spans="7:7">
      <c r="G3769" s="812"/>
    </row>
    <row r="3770" spans="7:7">
      <c r="G3770" s="812"/>
    </row>
    <row r="3771" spans="7:7">
      <c r="G3771" s="812"/>
    </row>
    <row r="3772" spans="7:7">
      <c r="G3772" s="812"/>
    </row>
    <row r="3773" spans="7:7">
      <c r="G3773" s="812"/>
    </row>
    <row r="3774" spans="7:7">
      <c r="G3774" s="812"/>
    </row>
    <row r="3775" spans="7:7">
      <c r="G3775" s="812"/>
    </row>
    <row r="3776" spans="7:7">
      <c r="G3776" s="812"/>
    </row>
    <row r="3777" spans="7:7">
      <c r="G3777" s="812"/>
    </row>
    <row r="3778" spans="7:7">
      <c r="G3778" s="812"/>
    </row>
    <row r="3779" spans="7:7">
      <c r="G3779" s="812"/>
    </row>
    <row r="3780" spans="7:7">
      <c r="G3780" s="812"/>
    </row>
    <row r="3781" spans="7:7">
      <c r="G3781" s="812"/>
    </row>
    <row r="3782" spans="7:7">
      <c r="G3782" s="812"/>
    </row>
    <row r="3783" spans="7:7">
      <c r="G3783" s="812"/>
    </row>
    <row r="3784" spans="7:7">
      <c r="G3784" s="812"/>
    </row>
    <row r="3785" spans="7:7">
      <c r="G3785" s="812"/>
    </row>
    <row r="3786" spans="7:7">
      <c r="G3786" s="812"/>
    </row>
    <row r="3787" spans="7:7">
      <c r="G3787" s="812"/>
    </row>
    <row r="3788" spans="7:7">
      <c r="G3788" s="812"/>
    </row>
    <row r="3789" spans="7:7">
      <c r="G3789" s="812"/>
    </row>
    <row r="3790" spans="7:7">
      <c r="G3790" s="812"/>
    </row>
    <row r="3791" spans="7:7">
      <c r="G3791" s="812"/>
    </row>
    <row r="3792" spans="7:7">
      <c r="G3792" s="812"/>
    </row>
    <row r="3793" spans="7:7">
      <c r="G3793" s="812"/>
    </row>
    <row r="3794" spans="7:7">
      <c r="G3794" s="812"/>
    </row>
    <row r="3795" spans="7:7">
      <c r="G3795" s="812"/>
    </row>
    <row r="3796" spans="7:7">
      <c r="G3796" s="812"/>
    </row>
    <row r="3797" spans="7:7">
      <c r="G3797" s="812"/>
    </row>
    <row r="3798" spans="7:7">
      <c r="G3798" s="812"/>
    </row>
    <row r="3799" spans="7:7">
      <c r="G3799" s="812"/>
    </row>
    <row r="3800" spans="7:7">
      <c r="G3800" s="812"/>
    </row>
    <row r="3801" spans="7:7">
      <c r="G3801" s="812"/>
    </row>
    <row r="3802" spans="7:7">
      <c r="G3802" s="812"/>
    </row>
    <row r="3803" spans="7:7">
      <c r="G3803" s="812"/>
    </row>
    <row r="3804" spans="7:7">
      <c r="G3804" s="812"/>
    </row>
    <row r="3805" spans="7:7">
      <c r="G3805" s="812"/>
    </row>
    <row r="3806" spans="7:7">
      <c r="G3806" s="812"/>
    </row>
    <row r="3807" spans="7:7">
      <c r="G3807" s="812"/>
    </row>
    <row r="3808" spans="7:7">
      <c r="G3808" s="812"/>
    </row>
    <row r="3809" spans="7:7">
      <c r="G3809" s="812"/>
    </row>
    <row r="3810" spans="7:7">
      <c r="G3810" s="812"/>
    </row>
    <row r="3811" spans="7:7">
      <c r="G3811" s="812"/>
    </row>
    <row r="3812" spans="7:7">
      <c r="G3812" s="812"/>
    </row>
    <row r="3813" spans="7:7">
      <c r="G3813" s="812"/>
    </row>
    <row r="3814" spans="7:7">
      <c r="G3814" s="812"/>
    </row>
    <row r="3815" spans="7:7">
      <c r="G3815" s="812"/>
    </row>
    <row r="3816" spans="7:7">
      <c r="G3816" s="812"/>
    </row>
    <row r="3817" spans="7:7">
      <c r="G3817" s="812"/>
    </row>
    <row r="3818" spans="7:7">
      <c r="G3818" s="812"/>
    </row>
    <row r="3819" spans="7:7">
      <c r="G3819" s="812"/>
    </row>
    <row r="3820" spans="7:7">
      <c r="G3820" s="812"/>
    </row>
    <row r="3821" spans="7:7">
      <c r="G3821" s="812"/>
    </row>
    <row r="3822" spans="7:7">
      <c r="G3822" s="812"/>
    </row>
    <row r="3823" spans="7:7">
      <c r="G3823" s="812"/>
    </row>
    <row r="3824" spans="7:7">
      <c r="G3824" s="812"/>
    </row>
    <row r="3825" spans="7:7">
      <c r="G3825" s="812"/>
    </row>
    <row r="3826" spans="7:7">
      <c r="G3826" s="812"/>
    </row>
    <row r="3827" spans="7:7">
      <c r="G3827" s="812"/>
    </row>
    <row r="3828" spans="7:7">
      <c r="G3828" s="812"/>
    </row>
    <row r="3829" spans="7:7">
      <c r="G3829" s="812"/>
    </row>
    <row r="3830" spans="7:7">
      <c r="G3830" s="812"/>
    </row>
    <row r="3831" spans="7:7">
      <c r="G3831" s="812"/>
    </row>
    <row r="3832" spans="7:7">
      <c r="G3832" s="812"/>
    </row>
    <row r="3833" spans="7:7">
      <c r="G3833" s="812"/>
    </row>
    <row r="3834" spans="7:7">
      <c r="G3834" s="812"/>
    </row>
    <row r="3835" spans="7:7">
      <c r="G3835" s="812"/>
    </row>
    <row r="3836" spans="7:7">
      <c r="G3836" s="812"/>
    </row>
    <row r="3837" spans="7:7">
      <c r="G3837" s="812"/>
    </row>
    <row r="3838" spans="7:7">
      <c r="G3838" s="812"/>
    </row>
    <row r="3839" spans="7:7">
      <c r="G3839" s="812"/>
    </row>
    <row r="3840" spans="7:7">
      <c r="G3840" s="812"/>
    </row>
    <row r="3841" spans="7:7">
      <c r="G3841" s="812"/>
    </row>
    <row r="3842" spans="7:7">
      <c r="G3842" s="812"/>
    </row>
    <row r="3843" spans="7:7">
      <c r="G3843" s="812"/>
    </row>
    <row r="3844" spans="7:7">
      <c r="G3844" s="812"/>
    </row>
    <row r="3845" spans="7:7">
      <c r="G3845" s="812"/>
    </row>
    <row r="3846" spans="7:7">
      <c r="G3846" s="812"/>
    </row>
    <row r="3847" spans="7:7">
      <c r="G3847" s="812"/>
    </row>
    <row r="3848" spans="7:7">
      <c r="G3848" s="812"/>
    </row>
    <row r="3849" spans="7:7">
      <c r="G3849" s="812"/>
    </row>
    <row r="3850" spans="7:7">
      <c r="G3850" s="812"/>
    </row>
    <row r="3851" spans="7:7">
      <c r="G3851" s="812"/>
    </row>
    <row r="3852" spans="7:7">
      <c r="G3852" s="812"/>
    </row>
    <row r="3853" spans="7:7">
      <c r="G3853" s="812"/>
    </row>
    <row r="3854" spans="7:7">
      <c r="G3854" s="812"/>
    </row>
    <row r="3855" spans="7:7">
      <c r="G3855" s="812"/>
    </row>
    <row r="3856" spans="7:7">
      <c r="G3856" s="812"/>
    </row>
    <row r="3857" spans="7:7">
      <c r="G3857" s="812"/>
    </row>
    <row r="3858" spans="7:7">
      <c r="G3858" s="812"/>
    </row>
    <row r="3859" spans="7:7">
      <c r="G3859" s="812"/>
    </row>
    <row r="3860" spans="7:7">
      <c r="G3860" s="812"/>
    </row>
    <row r="3861" spans="7:7">
      <c r="G3861" s="812"/>
    </row>
    <row r="3862" spans="7:7">
      <c r="G3862" s="812"/>
    </row>
    <row r="3863" spans="7:7">
      <c r="G3863" s="812"/>
    </row>
    <row r="3864" spans="7:7">
      <c r="G3864" s="812"/>
    </row>
    <row r="3865" spans="7:7">
      <c r="G3865" s="812"/>
    </row>
    <row r="3866" spans="7:7">
      <c r="G3866" s="812"/>
    </row>
    <row r="3867" spans="7:7">
      <c r="G3867" s="812"/>
    </row>
    <row r="3868" spans="7:7">
      <c r="G3868" s="812"/>
    </row>
    <row r="3869" spans="7:7">
      <c r="G3869" s="812"/>
    </row>
    <row r="3870" spans="7:7">
      <c r="G3870" s="812"/>
    </row>
    <row r="3871" spans="7:7">
      <c r="G3871" s="812"/>
    </row>
    <row r="3872" spans="7:7">
      <c r="G3872" s="812"/>
    </row>
    <row r="3873" spans="7:7">
      <c r="G3873" s="812"/>
    </row>
    <row r="3874" spans="7:7">
      <c r="G3874" s="812"/>
    </row>
    <row r="3875" spans="7:7">
      <c r="G3875" s="812"/>
    </row>
    <row r="3876" spans="7:7">
      <c r="G3876" s="812"/>
    </row>
    <row r="3877" spans="7:7">
      <c r="G3877" s="812"/>
    </row>
    <row r="3878" spans="7:7">
      <c r="G3878" s="812"/>
    </row>
    <row r="3879" spans="7:7">
      <c r="G3879" s="812"/>
    </row>
    <row r="3880" spans="7:7">
      <c r="G3880" s="812"/>
    </row>
    <row r="3881" spans="7:7">
      <c r="G3881" s="812"/>
    </row>
    <row r="3882" spans="7:7">
      <c r="G3882" s="812"/>
    </row>
    <row r="3883" spans="7:7">
      <c r="G3883" s="812"/>
    </row>
    <row r="3884" spans="7:7">
      <c r="G3884" s="812"/>
    </row>
    <row r="3885" spans="7:7">
      <c r="G3885" s="812"/>
    </row>
    <row r="3886" spans="7:7">
      <c r="G3886" s="812"/>
    </row>
    <row r="3887" spans="7:7">
      <c r="G3887" s="812"/>
    </row>
    <row r="3888" spans="7:7">
      <c r="G3888" s="812"/>
    </row>
    <row r="3889" spans="7:7">
      <c r="G3889" s="812"/>
    </row>
    <row r="3890" spans="7:7">
      <c r="G3890" s="812"/>
    </row>
    <row r="3891" spans="7:7">
      <c r="G3891" s="812"/>
    </row>
    <row r="3892" spans="7:7">
      <c r="G3892" s="812"/>
    </row>
    <row r="3893" spans="7:7">
      <c r="G3893" s="812"/>
    </row>
    <row r="3894" spans="7:7">
      <c r="G3894" s="812"/>
    </row>
    <row r="3895" spans="7:7">
      <c r="G3895" s="812"/>
    </row>
    <row r="3896" spans="7:7">
      <c r="G3896" s="812"/>
    </row>
    <row r="3897" spans="7:7">
      <c r="G3897" s="812"/>
    </row>
    <row r="3898" spans="7:7">
      <c r="G3898" s="812"/>
    </row>
    <row r="3899" spans="7:7">
      <c r="G3899" s="812"/>
    </row>
    <row r="3900" spans="7:7">
      <c r="G3900" s="812"/>
    </row>
    <row r="3901" spans="7:7">
      <c r="G3901" s="812"/>
    </row>
    <row r="3902" spans="7:7">
      <c r="G3902" s="812"/>
    </row>
    <row r="3903" spans="7:7">
      <c r="G3903" s="812"/>
    </row>
    <row r="3904" spans="7:7">
      <c r="G3904" s="812"/>
    </row>
    <row r="3905" spans="7:7">
      <c r="G3905" s="812"/>
    </row>
    <row r="3906" spans="7:7">
      <c r="G3906" s="812"/>
    </row>
    <row r="3907" spans="7:7">
      <c r="G3907" s="812"/>
    </row>
    <row r="3908" spans="7:7">
      <c r="G3908" s="812"/>
    </row>
    <row r="3909" spans="7:7">
      <c r="G3909" s="812"/>
    </row>
    <row r="3910" spans="7:7">
      <c r="G3910" s="812"/>
    </row>
    <row r="3911" spans="7:7">
      <c r="G3911" s="812"/>
    </row>
    <row r="3912" spans="7:7">
      <c r="G3912" s="812"/>
    </row>
    <row r="3913" spans="7:7">
      <c r="G3913" s="812"/>
    </row>
    <row r="3914" spans="7:7">
      <c r="G3914" s="812"/>
    </row>
    <row r="3915" spans="7:7">
      <c r="G3915" s="812"/>
    </row>
    <row r="3916" spans="7:7">
      <c r="G3916" s="812"/>
    </row>
    <row r="3917" spans="7:7">
      <c r="G3917" s="812"/>
    </row>
    <row r="3918" spans="7:7">
      <c r="G3918" s="812"/>
    </row>
    <row r="3919" spans="7:7">
      <c r="G3919" s="812"/>
    </row>
    <row r="3920" spans="7:7">
      <c r="G3920" s="812"/>
    </row>
    <row r="3921" spans="7:7">
      <c r="G3921" s="812"/>
    </row>
    <row r="3922" spans="7:7">
      <c r="G3922" s="812"/>
    </row>
    <row r="3923" spans="7:7">
      <c r="G3923" s="812"/>
    </row>
    <row r="3924" spans="7:7">
      <c r="G3924" s="812"/>
    </row>
    <row r="3925" spans="7:7">
      <c r="G3925" s="812"/>
    </row>
    <row r="3926" spans="7:7">
      <c r="G3926" s="812"/>
    </row>
    <row r="3927" spans="7:7">
      <c r="G3927" s="812"/>
    </row>
    <row r="3928" spans="7:7">
      <c r="G3928" s="812"/>
    </row>
    <row r="3929" spans="7:7">
      <c r="G3929" s="812"/>
    </row>
    <row r="3930" spans="7:7">
      <c r="G3930" s="812"/>
    </row>
    <row r="3931" spans="7:7">
      <c r="G3931" s="812"/>
    </row>
    <row r="3932" spans="7:7">
      <c r="G3932" s="812"/>
    </row>
    <row r="3933" spans="7:7">
      <c r="G3933" s="812"/>
    </row>
    <row r="3934" spans="7:7">
      <c r="G3934" s="812"/>
    </row>
    <row r="3935" spans="7:7">
      <c r="G3935" s="812"/>
    </row>
    <row r="3936" spans="7:7">
      <c r="G3936" s="812"/>
    </row>
    <row r="3937" spans="7:7">
      <c r="G3937" s="812"/>
    </row>
    <row r="3938" spans="7:7">
      <c r="G3938" s="812"/>
    </row>
    <row r="3939" spans="7:7">
      <c r="G3939" s="812"/>
    </row>
    <row r="3940" spans="7:7">
      <c r="G3940" s="812"/>
    </row>
    <row r="3941" spans="7:7">
      <c r="G3941" s="812"/>
    </row>
    <row r="3942" spans="7:7">
      <c r="G3942" s="812"/>
    </row>
    <row r="3943" spans="7:7">
      <c r="G3943" s="812"/>
    </row>
    <row r="3944" spans="7:7">
      <c r="G3944" s="812"/>
    </row>
    <row r="3945" spans="7:7">
      <c r="G3945" s="812"/>
    </row>
    <row r="3946" spans="7:7">
      <c r="G3946" s="812"/>
    </row>
    <row r="3947" spans="7:7">
      <c r="G3947" s="812"/>
    </row>
    <row r="3948" spans="7:7">
      <c r="G3948" s="812"/>
    </row>
    <row r="3949" spans="7:7">
      <c r="G3949" s="812"/>
    </row>
    <row r="3950" spans="7:7">
      <c r="G3950" s="812"/>
    </row>
    <row r="3951" spans="7:7">
      <c r="G3951" s="812"/>
    </row>
    <row r="3952" spans="7:7">
      <c r="G3952" s="812"/>
    </row>
    <row r="3953" spans="7:7">
      <c r="G3953" s="812"/>
    </row>
    <row r="3954" spans="7:7">
      <c r="G3954" s="812"/>
    </row>
    <row r="3955" spans="7:7">
      <c r="G3955" s="812"/>
    </row>
    <row r="3956" spans="7:7">
      <c r="G3956" s="812"/>
    </row>
    <row r="3957" spans="7:7">
      <c r="G3957" s="812"/>
    </row>
    <row r="3958" spans="7:7">
      <c r="G3958" s="812"/>
    </row>
    <row r="3959" spans="7:7">
      <c r="G3959" s="812"/>
    </row>
    <row r="3960" spans="7:7">
      <c r="G3960" s="812"/>
    </row>
    <row r="3961" spans="7:7">
      <c r="G3961" s="812"/>
    </row>
    <row r="3962" spans="7:7">
      <c r="G3962" s="812"/>
    </row>
    <row r="3963" spans="7:7">
      <c r="G3963" s="812"/>
    </row>
    <row r="3964" spans="7:7">
      <c r="G3964" s="812"/>
    </row>
    <row r="3965" spans="7:7">
      <c r="G3965" s="812"/>
    </row>
    <row r="3966" spans="7:7">
      <c r="G3966" s="812"/>
    </row>
    <row r="3967" spans="7:7">
      <c r="G3967" s="812"/>
    </row>
    <row r="3968" spans="7:7">
      <c r="G3968" s="812"/>
    </row>
    <row r="3969" spans="7:7">
      <c r="G3969" s="812"/>
    </row>
    <row r="3970" spans="7:7">
      <c r="G3970" s="812"/>
    </row>
    <row r="3971" spans="7:7">
      <c r="G3971" s="812"/>
    </row>
    <row r="3972" spans="7:7">
      <c r="G3972" s="812"/>
    </row>
    <row r="3973" spans="7:7">
      <c r="G3973" s="812"/>
    </row>
    <row r="3974" spans="7:7">
      <c r="G3974" s="812"/>
    </row>
    <row r="3975" spans="7:7">
      <c r="G3975" s="812"/>
    </row>
    <row r="3976" spans="7:7">
      <c r="G3976" s="812"/>
    </row>
    <row r="3977" spans="7:7">
      <c r="G3977" s="812"/>
    </row>
    <row r="3978" spans="7:7">
      <c r="G3978" s="812"/>
    </row>
    <row r="3979" spans="7:7">
      <c r="G3979" s="812"/>
    </row>
    <row r="3980" spans="7:7">
      <c r="G3980" s="812"/>
    </row>
    <row r="3981" spans="7:7">
      <c r="G3981" s="812"/>
    </row>
    <row r="3982" spans="7:7">
      <c r="G3982" s="812"/>
    </row>
    <row r="3983" spans="7:7">
      <c r="G3983" s="812"/>
    </row>
    <row r="3984" spans="7:7">
      <c r="G3984" s="812"/>
    </row>
    <row r="3985" spans="7:7">
      <c r="G3985" s="812"/>
    </row>
    <row r="3986" spans="7:7">
      <c r="G3986" s="812"/>
    </row>
    <row r="3987" spans="7:7">
      <c r="G3987" s="812"/>
    </row>
    <row r="3988" spans="7:7">
      <c r="G3988" s="812"/>
    </row>
    <row r="3989" spans="7:7">
      <c r="G3989" s="812"/>
    </row>
    <row r="3990" spans="7:7">
      <c r="G3990" s="812"/>
    </row>
    <row r="3991" spans="7:7">
      <c r="G3991" s="812"/>
    </row>
    <row r="3992" spans="7:7">
      <c r="G3992" s="812"/>
    </row>
    <row r="3993" spans="7:7">
      <c r="G3993" s="812"/>
    </row>
    <row r="3994" spans="7:7">
      <c r="G3994" s="812"/>
    </row>
    <row r="3995" spans="7:7">
      <c r="G3995" s="812"/>
    </row>
    <row r="3996" spans="7:7">
      <c r="G3996" s="812"/>
    </row>
    <row r="3997" spans="7:7">
      <c r="G3997" s="812"/>
    </row>
    <row r="3998" spans="7:7">
      <c r="G3998" s="812"/>
    </row>
    <row r="3999" spans="7:7">
      <c r="G3999" s="812"/>
    </row>
    <row r="4000" spans="7:7">
      <c r="G4000" s="812"/>
    </row>
    <row r="4001" spans="7:7">
      <c r="G4001" s="812"/>
    </row>
    <row r="4002" spans="7:7">
      <c r="G4002" s="812"/>
    </row>
    <row r="4003" spans="7:7">
      <c r="G4003" s="812"/>
    </row>
    <row r="4004" spans="7:7">
      <c r="G4004" s="812"/>
    </row>
    <row r="4005" spans="7:7">
      <c r="G4005" s="812"/>
    </row>
    <row r="4006" spans="7:7">
      <c r="G4006" s="812"/>
    </row>
    <row r="4007" spans="7:7">
      <c r="G4007" s="812"/>
    </row>
    <row r="4008" spans="7:7">
      <c r="G4008" s="812"/>
    </row>
    <row r="4009" spans="7:7">
      <c r="G4009" s="812"/>
    </row>
    <row r="4010" spans="7:7">
      <c r="G4010" s="812"/>
    </row>
    <row r="4011" spans="7:7">
      <c r="G4011" s="812"/>
    </row>
    <row r="4012" spans="7:7">
      <c r="G4012" s="812"/>
    </row>
    <row r="4013" spans="7:7">
      <c r="G4013" s="812"/>
    </row>
    <row r="4014" spans="7:7">
      <c r="G4014" s="812"/>
    </row>
    <row r="4015" spans="7:7">
      <c r="G4015" s="812"/>
    </row>
    <row r="4016" spans="7:7">
      <c r="G4016" s="812"/>
    </row>
    <row r="4017" spans="7:7">
      <c r="G4017" s="812"/>
    </row>
    <row r="4018" spans="7:7">
      <c r="G4018" s="812"/>
    </row>
    <row r="4019" spans="7:7">
      <c r="G4019" s="812"/>
    </row>
    <row r="4020" spans="7:7">
      <c r="G4020" s="812"/>
    </row>
    <row r="4021" spans="7:7">
      <c r="G4021" s="812"/>
    </row>
    <row r="4022" spans="7:7">
      <c r="G4022" s="812"/>
    </row>
    <row r="4023" spans="7:7">
      <c r="G4023" s="812"/>
    </row>
    <row r="4024" spans="7:7">
      <c r="G4024" s="812"/>
    </row>
    <row r="4025" spans="7:7">
      <c r="G4025" s="812"/>
    </row>
    <row r="4026" spans="7:7">
      <c r="G4026" s="812"/>
    </row>
    <row r="4027" spans="7:7">
      <c r="G4027" s="812"/>
    </row>
    <row r="4028" spans="7:7">
      <c r="G4028" s="812"/>
    </row>
    <row r="4029" spans="7:7">
      <c r="G4029" s="812"/>
    </row>
    <row r="4030" spans="7:7">
      <c r="G4030" s="812"/>
    </row>
    <row r="4031" spans="7:7">
      <c r="G4031" s="812"/>
    </row>
    <row r="4032" spans="7:7">
      <c r="G4032" s="812"/>
    </row>
    <row r="4033" spans="7:7">
      <c r="G4033" s="812"/>
    </row>
    <row r="4034" spans="7:7">
      <c r="G4034" s="812"/>
    </row>
    <row r="4035" spans="7:7">
      <c r="G4035" s="812"/>
    </row>
    <row r="4036" spans="7:7">
      <c r="G4036" s="812"/>
    </row>
    <row r="4037" spans="7:7">
      <c r="G4037" s="812"/>
    </row>
    <row r="4038" spans="7:7">
      <c r="G4038" s="812"/>
    </row>
    <row r="4039" spans="7:7">
      <c r="G4039" s="812"/>
    </row>
    <row r="4040" spans="7:7">
      <c r="G4040" s="812"/>
    </row>
    <row r="4041" spans="7:7">
      <c r="G4041" s="812"/>
    </row>
    <row r="4042" spans="7:7">
      <c r="G4042" s="812"/>
    </row>
    <row r="4043" spans="7:7">
      <c r="G4043" s="812"/>
    </row>
    <row r="4044" spans="7:7">
      <c r="G4044" s="812"/>
    </row>
    <row r="4045" spans="7:7">
      <c r="G4045" s="812"/>
    </row>
    <row r="4046" spans="7:7">
      <c r="G4046" s="812"/>
    </row>
    <row r="4047" spans="7:7">
      <c r="G4047" s="812"/>
    </row>
    <row r="4048" spans="7:7">
      <c r="G4048" s="812"/>
    </row>
    <row r="4049" spans="7:7">
      <c r="G4049" s="812"/>
    </row>
    <row r="4050" spans="7:7">
      <c r="G4050" s="812"/>
    </row>
    <row r="4051" spans="7:7">
      <c r="G4051" s="812"/>
    </row>
    <row r="4052" spans="7:7">
      <c r="G4052" s="812"/>
    </row>
    <row r="4053" spans="7:7">
      <c r="G4053" s="812"/>
    </row>
    <row r="4054" spans="7:7">
      <c r="G4054" s="812"/>
    </row>
    <row r="4055" spans="7:7">
      <c r="G4055" s="812"/>
    </row>
    <row r="4056" spans="7:7">
      <c r="G4056" s="812"/>
    </row>
    <row r="4057" spans="7:7">
      <c r="G4057" s="812"/>
    </row>
    <row r="4058" spans="7:7">
      <c r="G4058" s="812"/>
    </row>
    <row r="4059" spans="7:7">
      <c r="G4059" s="812"/>
    </row>
    <row r="4060" spans="7:7">
      <c r="G4060" s="812"/>
    </row>
    <row r="4061" spans="7:7">
      <c r="G4061" s="812"/>
    </row>
    <row r="4062" spans="7:7">
      <c r="G4062" s="812"/>
    </row>
    <row r="4063" spans="7:7">
      <c r="G4063" s="812"/>
    </row>
    <row r="4064" spans="7:7">
      <c r="G4064" s="812"/>
    </row>
    <row r="4065" spans="7:7">
      <c r="G4065" s="812"/>
    </row>
    <row r="4066" spans="7:7">
      <c r="G4066" s="812"/>
    </row>
    <row r="4067" spans="7:7">
      <c r="G4067" s="812"/>
    </row>
    <row r="4068" spans="7:7">
      <c r="G4068" s="812"/>
    </row>
    <row r="4069" spans="7:7">
      <c r="G4069" s="812"/>
    </row>
    <row r="4070" spans="7:7">
      <c r="G4070" s="812"/>
    </row>
    <row r="4071" spans="7:7">
      <c r="G4071" s="812"/>
    </row>
    <row r="4072" spans="7:7">
      <c r="G4072" s="812"/>
    </row>
    <row r="4073" spans="7:7">
      <c r="G4073" s="812"/>
    </row>
    <row r="4074" spans="7:7">
      <c r="G4074" s="812"/>
    </row>
    <row r="4075" spans="7:7">
      <c r="G4075" s="812"/>
    </row>
    <row r="4076" spans="7:7">
      <c r="G4076" s="812"/>
    </row>
    <row r="4077" spans="7:7">
      <c r="G4077" s="812"/>
    </row>
    <row r="4078" spans="7:7">
      <c r="G4078" s="812"/>
    </row>
    <row r="4079" spans="7:7">
      <c r="G4079" s="812"/>
    </row>
    <row r="4080" spans="7:7">
      <c r="G4080" s="812"/>
    </row>
    <row r="4081" spans="7:7">
      <c r="G4081" s="812"/>
    </row>
    <row r="4082" spans="7:7">
      <c r="G4082" s="812"/>
    </row>
    <row r="4083" spans="7:7">
      <c r="G4083" s="812"/>
    </row>
    <row r="4084" spans="7:7">
      <c r="G4084" s="812"/>
    </row>
    <row r="4085" spans="7:7">
      <c r="G4085" s="812"/>
    </row>
    <row r="4086" spans="7:7">
      <c r="G4086" s="812"/>
    </row>
    <row r="4087" spans="7:7">
      <c r="G4087" s="812"/>
    </row>
    <row r="4088" spans="7:7">
      <c r="G4088" s="812"/>
    </row>
    <row r="4089" spans="7:7">
      <c r="G4089" s="812"/>
    </row>
    <row r="4090" spans="7:7">
      <c r="G4090" s="812"/>
    </row>
    <row r="4091" spans="7:7">
      <c r="G4091" s="812"/>
    </row>
    <row r="4092" spans="7:7">
      <c r="G4092" s="812"/>
    </row>
    <row r="4093" spans="7:7">
      <c r="G4093" s="812"/>
    </row>
    <row r="4094" spans="7:7">
      <c r="G4094" s="812"/>
    </row>
    <row r="4095" spans="7:7">
      <c r="G4095" s="812"/>
    </row>
    <row r="4096" spans="7:7">
      <c r="G4096" s="812"/>
    </row>
    <row r="4097" spans="7:7">
      <c r="G4097" s="812"/>
    </row>
    <row r="4098" spans="7:7">
      <c r="G4098" s="812"/>
    </row>
    <row r="4099" spans="7:7">
      <c r="G4099" s="812"/>
    </row>
    <row r="4100" spans="7:7">
      <c r="G4100" s="812"/>
    </row>
    <row r="4101" spans="7:7">
      <c r="G4101" s="812"/>
    </row>
    <row r="4102" spans="7:7">
      <c r="G4102" s="812"/>
    </row>
    <row r="4103" spans="7:7">
      <c r="G4103" s="812"/>
    </row>
    <row r="4104" spans="7:7">
      <c r="G4104" s="812"/>
    </row>
    <row r="4105" spans="7:7">
      <c r="G4105" s="812"/>
    </row>
    <row r="4106" spans="7:7">
      <c r="G4106" s="812"/>
    </row>
    <row r="4107" spans="7:7">
      <c r="G4107" s="812"/>
    </row>
    <row r="4108" spans="7:7">
      <c r="G4108" s="812"/>
    </row>
    <row r="4109" spans="7:7">
      <c r="G4109" s="812"/>
    </row>
    <row r="4110" spans="7:7">
      <c r="G4110" s="812"/>
    </row>
    <row r="4111" spans="7:7">
      <c r="G4111" s="812"/>
    </row>
    <row r="4112" spans="7:7">
      <c r="G4112" s="812"/>
    </row>
    <row r="4113" spans="7:7">
      <c r="G4113" s="812"/>
    </row>
    <row r="4114" spans="7:7">
      <c r="G4114" s="812"/>
    </row>
    <row r="4115" spans="7:7">
      <c r="G4115" s="812"/>
    </row>
    <row r="4116" spans="7:7">
      <c r="G4116" s="812"/>
    </row>
    <row r="4117" spans="7:7">
      <c r="G4117" s="812"/>
    </row>
    <row r="4118" spans="7:7">
      <c r="G4118" s="812"/>
    </row>
    <row r="4119" spans="7:7">
      <c r="G4119" s="812"/>
    </row>
    <row r="4120" spans="7:7">
      <c r="G4120" s="812"/>
    </row>
    <row r="4121" spans="7:7">
      <c r="G4121" s="812"/>
    </row>
    <row r="4122" spans="7:7">
      <c r="G4122" s="812"/>
    </row>
    <row r="4123" spans="7:7">
      <c r="G4123" s="812"/>
    </row>
    <row r="4124" spans="7:7">
      <c r="G4124" s="812"/>
    </row>
    <row r="4125" spans="7:7">
      <c r="G4125" s="812"/>
    </row>
    <row r="4126" spans="7:7">
      <c r="G4126" s="812"/>
    </row>
    <row r="4127" spans="7:7">
      <c r="G4127" s="812"/>
    </row>
    <row r="4128" spans="7:7">
      <c r="G4128" s="812"/>
    </row>
    <row r="4129" spans="7:7">
      <c r="G4129" s="812"/>
    </row>
    <row r="4130" spans="7:7">
      <c r="G4130" s="812"/>
    </row>
    <row r="4131" spans="7:7">
      <c r="G4131" s="812"/>
    </row>
    <row r="4132" spans="7:7">
      <c r="G4132" s="812"/>
    </row>
    <row r="4133" spans="7:7">
      <c r="G4133" s="812"/>
    </row>
    <row r="4134" spans="7:7">
      <c r="G4134" s="812"/>
    </row>
    <row r="4135" spans="7:7">
      <c r="G4135" s="812"/>
    </row>
    <row r="4136" spans="7:7">
      <c r="G4136" s="812"/>
    </row>
    <row r="4137" spans="7:7">
      <c r="G4137" s="812"/>
    </row>
    <row r="4138" spans="7:7">
      <c r="G4138" s="812"/>
    </row>
    <row r="4139" spans="7:7">
      <c r="G4139" s="812"/>
    </row>
    <row r="4140" spans="7:7">
      <c r="G4140" s="812"/>
    </row>
    <row r="4141" spans="7:7">
      <c r="G4141" s="812"/>
    </row>
    <row r="4142" spans="7:7">
      <c r="G4142" s="812"/>
    </row>
    <row r="4143" spans="7:7">
      <c r="G4143" s="812"/>
    </row>
    <row r="4144" spans="7:7">
      <c r="G4144" s="812"/>
    </row>
    <row r="4145" spans="7:7">
      <c r="G4145" s="812"/>
    </row>
    <row r="4146" spans="7:7">
      <c r="G4146" s="812"/>
    </row>
    <row r="4147" spans="7:7">
      <c r="G4147" s="812"/>
    </row>
    <row r="4148" spans="7:7">
      <c r="G4148" s="812"/>
    </row>
    <row r="4149" spans="7:7">
      <c r="G4149" s="812"/>
    </row>
    <row r="4150" spans="7:7">
      <c r="G4150" s="812"/>
    </row>
    <row r="4151" spans="7:7">
      <c r="G4151" s="812"/>
    </row>
    <row r="4152" spans="7:7">
      <c r="G4152" s="812"/>
    </row>
    <row r="4153" spans="7:7">
      <c r="G4153" s="812"/>
    </row>
    <row r="4154" spans="7:7">
      <c r="G4154" s="812"/>
    </row>
    <row r="4155" spans="7:7">
      <c r="G4155" s="812"/>
    </row>
    <row r="4156" spans="7:7">
      <c r="G4156" s="812"/>
    </row>
    <row r="4157" spans="7:7">
      <c r="G4157" s="812"/>
    </row>
    <row r="4158" spans="7:7">
      <c r="G4158" s="812"/>
    </row>
    <row r="4159" spans="7:7">
      <c r="G4159" s="812"/>
    </row>
    <row r="4160" spans="7:7">
      <c r="G4160" s="812"/>
    </row>
    <row r="4161" spans="7:7">
      <c r="G4161" s="812"/>
    </row>
    <row r="4162" spans="7:7">
      <c r="G4162" s="812"/>
    </row>
    <row r="4163" spans="7:7">
      <c r="G4163" s="812"/>
    </row>
    <row r="4164" spans="7:7">
      <c r="G4164" s="812"/>
    </row>
    <row r="4165" spans="7:7">
      <c r="G4165" s="812"/>
    </row>
    <row r="4166" spans="7:7">
      <c r="G4166" s="812"/>
    </row>
    <row r="4167" spans="7:7">
      <c r="G4167" s="812"/>
    </row>
    <row r="4168" spans="7:7">
      <c r="G4168" s="812"/>
    </row>
    <row r="4169" spans="7:7">
      <c r="G4169" s="812"/>
    </row>
    <row r="4170" spans="7:7">
      <c r="G4170" s="812"/>
    </row>
    <row r="4171" spans="7:7">
      <c r="G4171" s="812"/>
    </row>
    <row r="4172" spans="7:7">
      <c r="G4172" s="812"/>
    </row>
    <row r="4173" spans="7:7">
      <c r="G4173" s="812"/>
    </row>
    <row r="4174" spans="7:7">
      <c r="G4174" s="812"/>
    </row>
    <row r="4175" spans="7:7">
      <c r="G4175" s="812"/>
    </row>
    <row r="4176" spans="7:7">
      <c r="G4176" s="812"/>
    </row>
    <row r="4177" spans="7:7">
      <c r="G4177" s="812"/>
    </row>
    <row r="4178" spans="7:7">
      <c r="G4178" s="812"/>
    </row>
    <row r="4179" spans="7:7">
      <c r="G4179" s="812"/>
    </row>
    <row r="4180" spans="7:7">
      <c r="G4180" s="812"/>
    </row>
    <row r="4181" spans="7:7">
      <c r="G4181" s="812"/>
    </row>
    <row r="4182" spans="7:7">
      <c r="G4182" s="812"/>
    </row>
    <row r="4183" spans="7:7">
      <c r="G4183" s="812"/>
    </row>
    <row r="4184" spans="7:7">
      <c r="G4184" s="812"/>
    </row>
    <row r="4185" spans="7:7">
      <c r="G4185" s="812"/>
    </row>
    <row r="4186" spans="7:7">
      <c r="G4186" s="812"/>
    </row>
    <row r="4187" spans="7:7">
      <c r="G4187" s="812"/>
    </row>
    <row r="4188" spans="7:7">
      <c r="G4188" s="812"/>
    </row>
    <row r="4189" spans="7:7">
      <c r="G4189" s="812"/>
    </row>
    <row r="4190" spans="7:7">
      <c r="G4190" s="812"/>
    </row>
    <row r="4191" spans="7:7">
      <c r="G4191" s="812"/>
    </row>
    <row r="4192" spans="7:7">
      <c r="G4192" s="812"/>
    </row>
    <row r="4193" spans="7:7">
      <c r="G4193" s="812"/>
    </row>
    <row r="4194" spans="7:7">
      <c r="G4194" s="812"/>
    </row>
    <row r="4195" spans="7:7">
      <c r="G4195" s="812"/>
    </row>
    <row r="4196" spans="7:7">
      <c r="G4196" s="812"/>
    </row>
    <row r="4197" spans="7:7">
      <c r="G4197" s="812"/>
    </row>
    <row r="4198" spans="7:7">
      <c r="G4198" s="812"/>
    </row>
    <row r="4199" spans="7:7">
      <c r="G4199" s="812"/>
    </row>
    <row r="4200" spans="7:7">
      <c r="G4200" s="812"/>
    </row>
    <row r="4201" spans="7:7">
      <c r="G4201" s="812"/>
    </row>
    <row r="4202" spans="7:7">
      <c r="G4202" s="812"/>
    </row>
    <row r="4203" spans="7:7">
      <c r="G4203" s="812"/>
    </row>
    <row r="4204" spans="7:7">
      <c r="G4204" s="812"/>
    </row>
    <row r="4205" spans="7:7">
      <c r="G4205" s="812"/>
    </row>
    <row r="4206" spans="7:7">
      <c r="G4206" s="812"/>
    </row>
    <row r="4207" spans="7:7">
      <c r="G4207" s="812"/>
    </row>
    <row r="4208" spans="7:7">
      <c r="G4208" s="812"/>
    </row>
    <row r="4209" spans="7:7">
      <c r="G4209" s="812"/>
    </row>
    <row r="4210" spans="7:7">
      <c r="G4210" s="812"/>
    </row>
    <row r="4211" spans="7:7">
      <c r="G4211" s="812"/>
    </row>
    <row r="4212" spans="7:7">
      <c r="G4212" s="812"/>
    </row>
    <row r="4213" spans="7:7">
      <c r="G4213" s="812"/>
    </row>
    <row r="4214" spans="7:7">
      <c r="G4214" s="812"/>
    </row>
    <row r="4215" spans="7:7">
      <c r="G4215" s="812"/>
    </row>
    <row r="4216" spans="7:7">
      <c r="G4216" s="812"/>
    </row>
    <row r="4217" spans="7:7">
      <c r="G4217" s="812"/>
    </row>
    <row r="4218" spans="7:7">
      <c r="G4218" s="812"/>
    </row>
    <row r="4219" spans="7:7">
      <c r="G4219" s="812"/>
    </row>
    <row r="4220" spans="7:7">
      <c r="G4220" s="812"/>
    </row>
    <row r="4221" spans="7:7">
      <c r="G4221" s="812"/>
    </row>
    <row r="4222" spans="7:7">
      <c r="G4222" s="812"/>
    </row>
    <row r="4223" spans="7:7">
      <c r="G4223" s="812"/>
    </row>
    <row r="4224" spans="7:7">
      <c r="G4224" s="812"/>
    </row>
    <row r="4225" spans="7:7">
      <c r="G4225" s="812"/>
    </row>
    <row r="4226" spans="7:7">
      <c r="G4226" s="812"/>
    </row>
    <row r="4227" spans="7:7">
      <c r="G4227" s="812"/>
    </row>
    <row r="4228" spans="7:7">
      <c r="G4228" s="812"/>
    </row>
    <row r="4229" spans="7:7">
      <c r="G4229" s="812"/>
    </row>
    <row r="4230" spans="7:7">
      <c r="G4230" s="812"/>
    </row>
    <row r="4231" spans="7:7">
      <c r="G4231" s="812"/>
    </row>
    <row r="4232" spans="7:7">
      <c r="G4232" s="812"/>
    </row>
    <row r="4233" spans="7:7">
      <c r="G4233" s="812"/>
    </row>
    <row r="4234" spans="7:7">
      <c r="G4234" s="812"/>
    </row>
    <row r="4235" spans="7:7">
      <c r="G4235" s="812"/>
    </row>
    <row r="4236" spans="7:7">
      <c r="G4236" s="812"/>
    </row>
    <row r="4237" spans="7:7">
      <c r="G4237" s="812"/>
    </row>
    <row r="4238" spans="7:7">
      <c r="G4238" s="812"/>
    </row>
    <row r="4239" spans="7:7">
      <c r="G4239" s="812"/>
    </row>
    <row r="4240" spans="7:7">
      <c r="G4240" s="812"/>
    </row>
    <row r="4241" spans="7:7">
      <c r="G4241" s="812"/>
    </row>
    <row r="4242" spans="7:7">
      <c r="G4242" s="812"/>
    </row>
    <row r="4243" spans="7:7">
      <c r="G4243" s="812"/>
    </row>
    <row r="4244" spans="7:7">
      <c r="G4244" s="812"/>
    </row>
    <row r="4245" spans="7:7">
      <c r="G4245" s="812"/>
    </row>
    <row r="4246" spans="7:7">
      <c r="G4246" s="812"/>
    </row>
    <row r="4247" spans="7:7">
      <c r="G4247" s="812"/>
    </row>
    <row r="4248" spans="7:7">
      <c r="G4248" s="812"/>
    </row>
    <row r="4249" spans="7:7">
      <c r="G4249" s="812"/>
    </row>
    <row r="4250" spans="7:7">
      <c r="G4250" s="812"/>
    </row>
    <row r="4251" spans="7:7">
      <c r="G4251" s="812"/>
    </row>
    <row r="4252" spans="7:7">
      <c r="G4252" s="812"/>
    </row>
    <row r="4253" spans="7:7">
      <c r="G4253" s="812"/>
    </row>
    <row r="4254" spans="7:7">
      <c r="G4254" s="812"/>
    </row>
    <row r="4255" spans="7:7">
      <c r="G4255" s="812"/>
    </row>
    <row r="4256" spans="7:7">
      <c r="G4256" s="812"/>
    </row>
    <row r="4257" spans="7:7">
      <c r="G4257" s="812"/>
    </row>
    <row r="4258" spans="7:7">
      <c r="G4258" s="812"/>
    </row>
    <row r="4259" spans="7:7">
      <c r="G4259" s="812"/>
    </row>
    <row r="4260" spans="7:7">
      <c r="G4260" s="812"/>
    </row>
    <row r="4261" spans="7:7">
      <c r="G4261" s="812"/>
    </row>
    <row r="4262" spans="7:7">
      <c r="G4262" s="812"/>
    </row>
    <row r="4263" spans="7:7">
      <c r="G4263" s="812"/>
    </row>
    <row r="4264" spans="7:7">
      <c r="G4264" s="812"/>
    </row>
    <row r="4265" spans="7:7">
      <c r="G4265" s="812"/>
    </row>
    <row r="4266" spans="7:7">
      <c r="G4266" s="812"/>
    </row>
    <row r="4267" spans="7:7">
      <c r="G4267" s="812"/>
    </row>
    <row r="4268" spans="7:7">
      <c r="G4268" s="812"/>
    </row>
    <row r="4269" spans="7:7">
      <c r="G4269" s="812"/>
    </row>
    <row r="4270" spans="7:7">
      <c r="G4270" s="812"/>
    </row>
    <row r="4271" spans="7:7">
      <c r="G4271" s="812"/>
    </row>
    <row r="4272" spans="7:7">
      <c r="G4272" s="812"/>
    </row>
    <row r="4273" spans="7:7">
      <c r="G4273" s="812"/>
    </row>
    <row r="4274" spans="7:7">
      <c r="G4274" s="812"/>
    </row>
    <row r="4275" spans="7:7">
      <c r="G4275" s="812"/>
    </row>
    <row r="4276" spans="7:7">
      <c r="G4276" s="812"/>
    </row>
    <row r="4277" spans="7:7">
      <c r="G4277" s="812"/>
    </row>
    <row r="4278" spans="7:7">
      <c r="G4278" s="812"/>
    </row>
    <row r="4279" spans="7:7">
      <c r="G4279" s="812"/>
    </row>
    <row r="4280" spans="7:7">
      <c r="G4280" s="812"/>
    </row>
    <row r="4281" spans="7:7">
      <c r="G4281" s="812"/>
    </row>
    <row r="4282" spans="7:7">
      <c r="G4282" s="812"/>
    </row>
    <row r="4283" spans="7:7">
      <c r="G4283" s="812"/>
    </row>
    <row r="4284" spans="7:7">
      <c r="G4284" s="812"/>
    </row>
    <row r="4285" spans="7:7">
      <c r="G4285" s="812"/>
    </row>
    <row r="4286" spans="7:7">
      <c r="G4286" s="812"/>
    </row>
    <row r="4287" spans="7:7">
      <c r="G4287" s="812"/>
    </row>
    <row r="4288" spans="7:7">
      <c r="G4288" s="812"/>
    </row>
    <row r="4289" spans="7:7">
      <c r="G4289" s="812"/>
    </row>
    <row r="4290" spans="7:7">
      <c r="G4290" s="812"/>
    </row>
    <row r="4291" spans="7:7">
      <c r="G4291" s="812"/>
    </row>
    <row r="4292" spans="7:7">
      <c r="G4292" s="812"/>
    </row>
    <row r="4293" spans="7:7">
      <c r="G4293" s="812"/>
    </row>
    <row r="4294" spans="7:7">
      <c r="G4294" s="812"/>
    </row>
    <row r="4295" spans="7:7">
      <c r="G4295" s="812"/>
    </row>
    <row r="4296" spans="7:7">
      <c r="G4296" s="812"/>
    </row>
    <row r="4297" spans="7:7">
      <c r="G4297" s="812"/>
    </row>
    <row r="4298" spans="7:7">
      <c r="G4298" s="812"/>
    </row>
    <row r="4299" spans="7:7">
      <c r="G4299" s="812"/>
    </row>
    <row r="4300" spans="7:7">
      <c r="G4300" s="812"/>
    </row>
    <row r="4301" spans="7:7">
      <c r="G4301" s="812"/>
    </row>
    <row r="4302" spans="7:7">
      <c r="G4302" s="812"/>
    </row>
    <row r="4303" spans="7:7">
      <c r="G4303" s="812"/>
    </row>
    <row r="4304" spans="7:7">
      <c r="G4304" s="812"/>
    </row>
    <row r="4305" spans="7:7">
      <c r="G4305" s="812"/>
    </row>
    <row r="4306" spans="7:7">
      <c r="G4306" s="812"/>
    </row>
    <row r="4307" spans="7:7">
      <c r="G4307" s="812"/>
    </row>
    <row r="4308" spans="7:7">
      <c r="G4308" s="812"/>
    </row>
    <row r="4309" spans="7:7">
      <c r="G4309" s="812"/>
    </row>
    <row r="4310" spans="7:7">
      <c r="G4310" s="812"/>
    </row>
    <row r="4311" spans="7:7">
      <c r="G4311" s="812"/>
    </row>
    <row r="4312" spans="7:7">
      <c r="G4312" s="812"/>
    </row>
    <row r="4313" spans="7:7">
      <c r="G4313" s="812"/>
    </row>
    <row r="4314" spans="7:7">
      <c r="G4314" s="812"/>
    </row>
    <row r="4315" spans="7:7">
      <c r="G4315" s="812"/>
    </row>
    <row r="4316" spans="7:7">
      <c r="G4316" s="812"/>
    </row>
    <row r="4317" spans="7:7">
      <c r="G4317" s="812"/>
    </row>
    <row r="4318" spans="7:7">
      <c r="G4318" s="812"/>
    </row>
    <row r="4319" spans="7:7">
      <c r="G4319" s="812"/>
    </row>
    <row r="4320" spans="7:7">
      <c r="G4320" s="812"/>
    </row>
    <row r="4321" spans="7:7">
      <c r="G4321" s="812"/>
    </row>
    <row r="4322" spans="7:7">
      <c r="G4322" s="812"/>
    </row>
    <row r="4323" spans="7:7">
      <c r="G4323" s="812"/>
    </row>
    <row r="4324" spans="7:7">
      <c r="G4324" s="812"/>
    </row>
    <row r="4325" spans="7:7">
      <c r="G4325" s="812"/>
    </row>
    <row r="4326" spans="7:7">
      <c r="G4326" s="812"/>
    </row>
    <row r="4327" spans="7:7">
      <c r="G4327" s="812"/>
    </row>
    <row r="4328" spans="7:7">
      <c r="G4328" s="812"/>
    </row>
    <row r="4329" spans="7:7">
      <c r="G4329" s="812"/>
    </row>
    <row r="4330" spans="7:7">
      <c r="G4330" s="812"/>
    </row>
    <row r="4331" spans="7:7">
      <c r="G4331" s="812"/>
    </row>
    <row r="4332" spans="7:7">
      <c r="G4332" s="812"/>
    </row>
    <row r="4333" spans="7:7">
      <c r="G4333" s="812"/>
    </row>
    <row r="4334" spans="7:7">
      <c r="G4334" s="812"/>
    </row>
    <row r="4335" spans="7:7">
      <c r="G4335" s="812"/>
    </row>
    <row r="4336" spans="7:7">
      <c r="G4336" s="812"/>
    </row>
    <row r="4337" spans="7:7">
      <c r="G4337" s="812"/>
    </row>
    <row r="4338" spans="7:7">
      <c r="G4338" s="812"/>
    </row>
    <row r="4339" spans="7:7">
      <c r="G4339" s="812"/>
    </row>
    <row r="4340" spans="7:7">
      <c r="G4340" s="812"/>
    </row>
    <row r="4341" spans="7:7">
      <c r="G4341" s="812"/>
    </row>
    <row r="4342" spans="7:7">
      <c r="G4342" s="812"/>
    </row>
    <row r="4343" spans="7:7">
      <c r="G4343" s="812"/>
    </row>
    <row r="4344" spans="7:7">
      <c r="G4344" s="812"/>
    </row>
    <row r="4345" spans="7:7">
      <c r="G4345" s="812"/>
    </row>
    <row r="4346" spans="7:7">
      <c r="G4346" s="812"/>
    </row>
    <row r="4347" spans="7:7">
      <c r="G4347" s="812"/>
    </row>
    <row r="4348" spans="7:7">
      <c r="G4348" s="812"/>
    </row>
    <row r="4349" spans="7:7">
      <c r="G4349" s="812"/>
    </row>
    <row r="4350" spans="7:7">
      <c r="G4350" s="812"/>
    </row>
    <row r="4351" spans="7:7">
      <c r="G4351" s="812"/>
    </row>
    <row r="4352" spans="7:7">
      <c r="G4352" s="812"/>
    </row>
    <row r="4353" spans="7:7">
      <c r="G4353" s="812"/>
    </row>
    <row r="4354" spans="7:7">
      <c r="G4354" s="812"/>
    </row>
    <row r="4355" spans="7:7">
      <c r="G4355" s="812"/>
    </row>
    <row r="4356" spans="7:7">
      <c r="G4356" s="812"/>
    </row>
    <row r="4357" spans="7:7">
      <c r="G4357" s="812"/>
    </row>
    <row r="4358" spans="7:7">
      <c r="G4358" s="812"/>
    </row>
    <row r="4359" spans="7:7">
      <c r="G4359" s="812"/>
    </row>
    <row r="4360" spans="7:7">
      <c r="G4360" s="812"/>
    </row>
    <row r="4361" spans="7:7">
      <c r="G4361" s="812"/>
    </row>
    <row r="4362" spans="7:7">
      <c r="G4362" s="812"/>
    </row>
    <row r="4363" spans="7:7">
      <c r="G4363" s="812"/>
    </row>
    <row r="4364" spans="7:7">
      <c r="G4364" s="812"/>
    </row>
    <row r="4365" spans="7:7">
      <c r="G4365" s="812"/>
    </row>
    <row r="4366" spans="7:7">
      <c r="G4366" s="812"/>
    </row>
    <row r="4367" spans="7:7">
      <c r="G4367" s="812"/>
    </row>
    <row r="4368" spans="7:7">
      <c r="G4368" s="812"/>
    </row>
    <row r="4369" spans="7:7">
      <c r="G4369" s="812"/>
    </row>
    <row r="4370" spans="7:7">
      <c r="G4370" s="812"/>
    </row>
    <row r="4371" spans="7:7">
      <c r="G4371" s="812"/>
    </row>
    <row r="4372" spans="7:7">
      <c r="G4372" s="812"/>
    </row>
    <row r="4373" spans="7:7">
      <c r="G4373" s="812"/>
    </row>
    <row r="4374" spans="7:7">
      <c r="G4374" s="812"/>
    </row>
    <row r="4375" spans="7:7">
      <c r="G4375" s="812"/>
    </row>
    <row r="4376" spans="7:7">
      <c r="G4376" s="812"/>
    </row>
    <row r="4377" spans="7:7">
      <c r="G4377" s="812"/>
    </row>
    <row r="4378" spans="7:7">
      <c r="G4378" s="812"/>
    </row>
    <row r="4379" spans="7:7">
      <c r="G4379" s="812"/>
    </row>
    <row r="4380" spans="7:7">
      <c r="G4380" s="812"/>
    </row>
    <row r="4381" spans="7:7">
      <c r="G4381" s="812"/>
    </row>
    <row r="4382" spans="7:7">
      <c r="G4382" s="812"/>
    </row>
    <row r="4383" spans="7:7">
      <c r="G4383" s="812"/>
    </row>
    <row r="4384" spans="7:7">
      <c r="G4384" s="812"/>
    </row>
    <row r="4385" spans="7:7">
      <c r="G4385" s="812"/>
    </row>
    <row r="4386" spans="7:7">
      <c r="G4386" s="812"/>
    </row>
    <row r="4387" spans="7:7">
      <c r="G4387" s="812"/>
    </row>
    <row r="4388" spans="7:7">
      <c r="G4388" s="812"/>
    </row>
    <row r="4389" spans="7:7">
      <c r="G4389" s="812"/>
    </row>
    <row r="4390" spans="7:7">
      <c r="G4390" s="812"/>
    </row>
    <row r="4391" spans="7:7">
      <c r="G4391" s="812"/>
    </row>
    <row r="4392" spans="7:7">
      <c r="G4392" s="812"/>
    </row>
    <row r="4393" spans="7:7">
      <c r="G4393" s="812"/>
    </row>
    <row r="4394" spans="7:7">
      <c r="G4394" s="812"/>
    </row>
    <row r="4395" spans="7:7">
      <c r="G4395" s="812"/>
    </row>
    <row r="4396" spans="7:7">
      <c r="G4396" s="812"/>
    </row>
    <row r="4397" spans="7:7">
      <c r="G4397" s="812"/>
    </row>
    <row r="4398" spans="7:7">
      <c r="G4398" s="812"/>
    </row>
    <row r="4399" spans="7:7">
      <c r="G4399" s="812"/>
    </row>
    <row r="4400" spans="7:7">
      <c r="G4400" s="812"/>
    </row>
    <row r="4401" spans="7:7">
      <c r="G4401" s="812"/>
    </row>
    <row r="4402" spans="7:7">
      <c r="G4402" s="812"/>
    </row>
    <row r="4403" spans="7:7">
      <c r="G4403" s="812"/>
    </row>
    <row r="4404" spans="7:7">
      <c r="G4404" s="812"/>
    </row>
    <row r="4405" spans="7:7">
      <c r="G4405" s="812"/>
    </row>
    <row r="4406" spans="7:7">
      <c r="G4406" s="812"/>
    </row>
    <row r="4407" spans="7:7">
      <c r="G4407" s="812"/>
    </row>
    <row r="4408" spans="7:7">
      <c r="G4408" s="812"/>
    </row>
    <row r="4409" spans="7:7">
      <c r="G4409" s="812"/>
    </row>
    <row r="4410" spans="7:7">
      <c r="G4410" s="812"/>
    </row>
    <row r="4411" spans="7:7">
      <c r="G4411" s="812"/>
    </row>
    <row r="4412" spans="7:7">
      <c r="G4412" s="812"/>
    </row>
    <row r="4413" spans="7:7">
      <c r="G4413" s="812"/>
    </row>
    <row r="4414" spans="7:7">
      <c r="G4414" s="812"/>
    </row>
    <row r="4415" spans="7:7">
      <c r="G4415" s="812"/>
    </row>
    <row r="4416" spans="7:7">
      <c r="G4416" s="812"/>
    </row>
    <row r="4417" spans="7:7">
      <c r="G4417" s="812"/>
    </row>
    <row r="4418" spans="7:7">
      <c r="G4418" s="812"/>
    </row>
    <row r="4419" spans="7:7">
      <c r="G4419" s="812"/>
    </row>
    <row r="4420" spans="7:7">
      <c r="G4420" s="812"/>
    </row>
    <row r="4421" spans="7:7">
      <c r="G4421" s="812"/>
    </row>
    <row r="4422" spans="7:7">
      <c r="G4422" s="812"/>
    </row>
    <row r="4423" spans="7:7">
      <c r="G4423" s="812"/>
    </row>
    <row r="4424" spans="7:7">
      <c r="G4424" s="812"/>
    </row>
    <row r="4425" spans="7:7">
      <c r="G4425" s="812"/>
    </row>
    <row r="4426" spans="7:7">
      <c r="G4426" s="812"/>
    </row>
    <row r="4427" spans="7:7">
      <c r="G4427" s="812"/>
    </row>
    <row r="4428" spans="7:7">
      <c r="G4428" s="812"/>
    </row>
    <row r="4429" spans="7:7">
      <c r="G4429" s="812"/>
    </row>
    <row r="4430" spans="7:7">
      <c r="G4430" s="812"/>
    </row>
    <row r="4431" spans="7:7">
      <c r="G4431" s="812"/>
    </row>
    <row r="4432" spans="7:7">
      <c r="G4432" s="812"/>
    </row>
    <row r="4433" spans="7:7">
      <c r="G4433" s="812"/>
    </row>
    <row r="4434" spans="7:7">
      <c r="G4434" s="812"/>
    </row>
    <row r="4435" spans="7:7">
      <c r="G4435" s="812"/>
    </row>
    <row r="4436" spans="7:7">
      <c r="G4436" s="812"/>
    </row>
    <row r="4437" spans="7:7">
      <c r="G4437" s="812"/>
    </row>
    <row r="4438" spans="7:7">
      <c r="G4438" s="812"/>
    </row>
    <row r="4439" spans="7:7">
      <c r="G4439" s="812"/>
    </row>
    <row r="4440" spans="7:7">
      <c r="G4440" s="812"/>
    </row>
    <row r="4441" spans="7:7">
      <c r="G4441" s="812"/>
    </row>
    <row r="4442" spans="7:7">
      <c r="G4442" s="812"/>
    </row>
    <row r="4443" spans="7:7">
      <c r="G4443" s="812"/>
    </row>
    <row r="4444" spans="7:7">
      <c r="G4444" s="812"/>
    </row>
    <row r="4445" spans="7:7">
      <c r="G4445" s="812"/>
    </row>
    <row r="4446" spans="7:7">
      <c r="G4446" s="812"/>
    </row>
    <row r="4447" spans="7:7">
      <c r="G4447" s="812"/>
    </row>
    <row r="4448" spans="7:7">
      <c r="G4448" s="812"/>
    </row>
    <row r="4449" spans="7:7">
      <c r="G4449" s="812"/>
    </row>
    <row r="4450" spans="7:7">
      <c r="G4450" s="812"/>
    </row>
    <row r="4451" spans="7:7">
      <c r="G4451" s="812"/>
    </row>
    <row r="4452" spans="7:7">
      <c r="G4452" s="812"/>
    </row>
    <row r="4453" spans="7:7">
      <c r="G4453" s="812"/>
    </row>
    <row r="4454" spans="7:7">
      <c r="G4454" s="812"/>
    </row>
    <row r="4455" spans="7:7">
      <c r="G4455" s="812"/>
    </row>
    <row r="4456" spans="7:7">
      <c r="G4456" s="812"/>
    </row>
    <row r="4457" spans="7:7">
      <c r="G4457" s="812"/>
    </row>
    <row r="4458" spans="7:7">
      <c r="G4458" s="812"/>
    </row>
    <row r="4459" spans="7:7">
      <c r="G4459" s="812"/>
    </row>
    <row r="4460" spans="7:7">
      <c r="G4460" s="812"/>
    </row>
    <row r="4461" spans="7:7">
      <c r="G4461" s="812"/>
    </row>
    <row r="4462" spans="7:7">
      <c r="G4462" s="812"/>
    </row>
    <row r="4463" spans="7:7">
      <c r="G4463" s="812"/>
    </row>
    <row r="4464" spans="7:7">
      <c r="G4464" s="812"/>
    </row>
    <row r="4465" spans="7:7">
      <c r="G4465" s="812"/>
    </row>
    <row r="4466" spans="7:7">
      <c r="G4466" s="812"/>
    </row>
    <row r="4467" spans="7:7">
      <c r="G4467" s="812"/>
    </row>
    <row r="4468" spans="7:7">
      <c r="G4468" s="812"/>
    </row>
    <row r="4469" spans="7:7">
      <c r="G4469" s="812"/>
    </row>
    <row r="4470" spans="7:7">
      <c r="G4470" s="812"/>
    </row>
    <row r="4471" spans="7:7">
      <c r="G4471" s="812"/>
    </row>
    <row r="4472" spans="7:7">
      <c r="G4472" s="812"/>
    </row>
    <row r="4473" spans="7:7">
      <c r="G4473" s="812"/>
    </row>
    <row r="4474" spans="7:7">
      <c r="G4474" s="812"/>
    </row>
    <row r="4475" spans="7:7">
      <c r="G4475" s="812"/>
    </row>
    <row r="4476" spans="7:7">
      <c r="G4476" s="812"/>
    </row>
    <row r="4477" spans="7:7">
      <c r="G4477" s="812"/>
    </row>
    <row r="4478" spans="7:7">
      <c r="G4478" s="812"/>
    </row>
    <row r="4479" spans="7:7">
      <c r="G4479" s="812"/>
    </row>
    <row r="4480" spans="7:7">
      <c r="G4480" s="812"/>
    </row>
    <row r="4481" spans="7:7">
      <c r="G4481" s="812"/>
    </row>
    <row r="4482" spans="7:7">
      <c r="G4482" s="812"/>
    </row>
    <row r="4483" spans="7:7">
      <c r="G4483" s="812"/>
    </row>
    <row r="4484" spans="7:7">
      <c r="G4484" s="812"/>
    </row>
    <row r="4485" spans="7:7">
      <c r="G4485" s="812"/>
    </row>
    <row r="4486" spans="7:7">
      <c r="G4486" s="812"/>
    </row>
    <row r="4487" spans="7:7">
      <c r="G4487" s="812"/>
    </row>
    <row r="4488" spans="7:7">
      <c r="G4488" s="812"/>
    </row>
    <row r="4489" spans="7:7">
      <c r="G4489" s="812"/>
    </row>
    <row r="4490" spans="7:7">
      <c r="G4490" s="812"/>
    </row>
    <row r="4491" spans="7:7">
      <c r="G4491" s="812"/>
    </row>
    <row r="4492" spans="7:7">
      <c r="G4492" s="812"/>
    </row>
    <row r="4493" spans="7:7">
      <c r="G4493" s="812"/>
    </row>
    <row r="4494" spans="7:7">
      <c r="G4494" s="812"/>
    </row>
    <row r="4495" spans="7:7">
      <c r="G4495" s="812"/>
    </row>
    <row r="4496" spans="7:7">
      <c r="G4496" s="812"/>
    </row>
    <row r="4497" spans="7:7">
      <c r="G4497" s="812"/>
    </row>
    <row r="4498" spans="7:7">
      <c r="G4498" s="812"/>
    </row>
    <row r="4499" spans="7:7">
      <c r="G4499" s="812"/>
    </row>
    <row r="4500" spans="7:7">
      <c r="G4500" s="812"/>
    </row>
    <row r="4501" spans="7:7">
      <c r="G4501" s="812"/>
    </row>
    <row r="4502" spans="7:7">
      <c r="G4502" s="812"/>
    </row>
    <row r="4503" spans="7:7">
      <c r="G4503" s="812"/>
    </row>
    <row r="4504" spans="7:7">
      <c r="G4504" s="812"/>
    </row>
    <row r="4505" spans="7:7">
      <c r="G4505" s="812"/>
    </row>
    <row r="4506" spans="7:7">
      <c r="G4506" s="812"/>
    </row>
    <row r="4507" spans="7:7">
      <c r="G4507" s="812"/>
    </row>
    <row r="4508" spans="7:7">
      <c r="G4508" s="812"/>
    </row>
    <row r="4509" spans="7:7">
      <c r="G4509" s="812"/>
    </row>
    <row r="4510" spans="7:7">
      <c r="G4510" s="812"/>
    </row>
    <row r="4511" spans="7:7">
      <c r="G4511" s="812"/>
    </row>
    <row r="4512" spans="7:7">
      <c r="G4512" s="812"/>
    </row>
    <row r="4513" spans="7:7">
      <c r="G4513" s="812"/>
    </row>
    <row r="4514" spans="7:7">
      <c r="G4514" s="812"/>
    </row>
    <row r="4515" spans="7:7">
      <c r="G4515" s="812"/>
    </row>
    <row r="4516" spans="7:7">
      <c r="G4516" s="812"/>
    </row>
    <row r="4517" spans="7:7">
      <c r="G4517" s="812"/>
    </row>
    <row r="4518" spans="7:7">
      <c r="G4518" s="812"/>
    </row>
    <row r="4519" spans="7:7">
      <c r="G4519" s="812"/>
    </row>
    <row r="4520" spans="7:7">
      <c r="G4520" s="812"/>
    </row>
    <row r="4521" spans="7:7">
      <c r="G4521" s="812"/>
    </row>
    <row r="4522" spans="7:7">
      <c r="G4522" s="812"/>
    </row>
    <row r="4523" spans="7:7">
      <c r="G4523" s="812"/>
    </row>
    <row r="4524" spans="7:7">
      <c r="G4524" s="812"/>
    </row>
    <row r="4525" spans="7:7">
      <c r="G4525" s="812"/>
    </row>
    <row r="4526" spans="7:7">
      <c r="G4526" s="812"/>
    </row>
    <row r="4527" spans="7:7">
      <c r="G4527" s="812"/>
    </row>
    <row r="4528" spans="7:7">
      <c r="G4528" s="812"/>
    </row>
    <row r="4529" spans="7:7">
      <c r="G4529" s="812"/>
    </row>
    <row r="4530" spans="7:7">
      <c r="G4530" s="812"/>
    </row>
    <row r="4531" spans="7:7">
      <c r="G4531" s="812"/>
    </row>
    <row r="4532" spans="7:7">
      <c r="G4532" s="812"/>
    </row>
    <row r="4533" spans="7:7">
      <c r="G4533" s="812"/>
    </row>
    <row r="4534" spans="7:7">
      <c r="G4534" s="812"/>
    </row>
    <row r="4535" spans="7:7">
      <c r="G4535" s="812"/>
    </row>
    <row r="4536" spans="7:7">
      <c r="G4536" s="812"/>
    </row>
    <row r="4537" spans="7:7">
      <c r="G4537" s="812"/>
    </row>
    <row r="4538" spans="7:7">
      <c r="G4538" s="812"/>
    </row>
    <row r="4539" spans="7:7">
      <c r="G4539" s="812"/>
    </row>
    <row r="4540" spans="7:7">
      <c r="G4540" s="812"/>
    </row>
    <row r="4541" spans="7:7">
      <c r="G4541" s="812"/>
    </row>
    <row r="4542" spans="7:7">
      <c r="G4542" s="812"/>
    </row>
    <row r="4543" spans="7:7">
      <c r="G4543" s="812"/>
    </row>
    <row r="4544" spans="7:7">
      <c r="G4544" s="812"/>
    </row>
    <row r="4545" spans="7:7">
      <c r="G4545" s="812"/>
    </row>
    <row r="4546" spans="7:7">
      <c r="G4546" s="812"/>
    </row>
    <row r="4547" spans="7:7">
      <c r="G4547" s="812"/>
    </row>
    <row r="4548" spans="7:7">
      <c r="G4548" s="812"/>
    </row>
    <row r="4549" spans="7:7">
      <c r="G4549" s="812"/>
    </row>
    <row r="4550" spans="7:7">
      <c r="G4550" s="812"/>
    </row>
    <row r="4551" spans="7:7">
      <c r="G4551" s="812"/>
    </row>
    <row r="4552" spans="7:7">
      <c r="G4552" s="812"/>
    </row>
    <row r="4553" spans="7:7">
      <c r="G4553" s="812"/>
    </row>
    <row r="4554" spans="7:7">
      <c r="G4554" s="812"/>
    </row>
    <row r="4555" spans="7:7">
      <c r="G4555" s="812"/>
    </row>
    <row r="4556" spans="7:7">
      <c r="G4556" s="812"/>
    </row>
    <row r="4557" spans="7:7">
      <c r="G4557" s="812"/>
    </row>
    <row r="4558" spans="7:7">
      <c r="G4558" s="812"/>
    </row>
    <row r="4559" spans="7:7">
      <c r="G4559" s="812"/>
    </row>
    <row r="4560" spans="7:7">
      <c r="G4560" s="812"/>
    </row>
    <row r="4561" spans="7:7">
      <c r="G4561" s="812"/>
    </row>
    <row r="4562" spans="7:7">
      <c r="G4562" s="812"/>
    </row>
    <row r="4563" spans="7:7">
      <c r="G4563" s="812"/>
    </row>
    <row r="4564" spans="7:7">
      <c r="G4564" s="812"/>
    </row>
    <row r="4565" spans="7:7">
      <c r="G4565" s="812"/>
    </row>
    <row r="4566" spans="7:7">
      <c r="G4566" s="812"/>
    </row>
    <row r="4567" spans="7:7">
      <c r="G4567" s="812"/>
    </row>
    <row r="4568" spans="7:7">
      <c r="G4568" s="812"/>
    </row>
    <row r="4569" spans="7:7">
      <c r="G4569" s="812"/>
    </row>
    <row r="4570" spans="7:7">
      <c r="G4570" s="812"/>
    </row>
    <row r="4571" spans="7:7">
      <c r="G4571" s="812"/>
    </row>
    <row r="4572" spans="7:7">
      <c r="G4572" s="812"/>
    </row>
    <row r="4573" spans="7:7">
      <c r="G4573" s="812"/>
    </row>
    <row r="4574" spans="7:7">
      <c r="G4574" s="812"/>
    </row>
    <row r="4575" spans="7:7">
      <c r="G4575" s="812"/>
    </row>
    <row r="4576" spans="7:7">
      <c r="G4576" s="812"/>
    </row>
    <row r="4577" spans="7:7">
      <c r="G4577" s="812"/>
    </row>
    <row r="4578" spans="7:7">
      <c r="G4578" s="812"/>
    </row>
    <row r="4579" spans="7:7">
      <c r="G4579" s="812"/>
    </row>
    <row r="4580" spans="7:7">
      <c r="G4580" s="812"/>
    </row>
    <row r="4581" spans="7:7">
      <c r="G4581" s="812"/>
    </row>
    <row r="4582" spans="7:7">
      <c r="G4582" s="812"/>
    </row>
    <row r="4583" spans="7:7">
      <c r="G4583" s="812"/>
    </row>
    <row r="4584" spans="7:7">
      <c r="G4584" s="812"/>
    </row>
    <row r="4585" spans="7:7">
      <c r="G4585" s="812"/>
    </row>
    <row r="4586" spans="7:7">
      <c r="G4586" s="812"/>
    </row>
    <row r="4587" spans="7:7">
      <c r="G4587" s="812"/>
    </row>
    <row r="4588" spans="7:7">
      <c r="G4588" s="812"/>
    </row>
    <row r="4589" spans="7:7">
      <c r="G4589" s="812"/>
    </row>
    <row r="4590" spans="7:7">
      <c r="G4590" s="812"/>
    </row>
    <row r="4591" spans="7:7">
      <c r="G4591" s="812"/>
    </row>
    <row r="4592" spans="7:7">
      <c r="G4592" s="812"/>
    </row>
    <row r="4593" spans="7:7">
      <c r="G4593" s="812"/>
    </row>
    <row r="4594" spans="7:7">
      <c r="G4594" s="812"/>
    </row>
    <row r="4595" spans="7:7">
      <c r="G4595" s="812"/>
    </row>
    <row r="4596" spans="7:7">
      <c r="G4596" s="812"/>
    </row>
    <row r="4597" spans="7:7">
      <c r="G4597" s="812"/>
    </row>
    <row r="4598" spans="7:7">
      <c r="G4598" s="812"/>
    </row>
    <row r="4599" spans="7:7">
      <c r="G4599" s="812"/>
    </row>
    <row r="4600" spans="7:7">
      <c r="G4600" s="812"/>
    </row>
    <row r="4601" spans="7:7">
      <c r="G4601" s="812"/>
    </row>
    <row r="4602" spans="7:7">
      <c r="G4602" s="812"/>
    </row>
    <row r="4603" spans="7:7">
      <c r="G4603" s="812"/>
    </row>
    <row r="4604" spans="7:7">
      <c r="G4604" s="812"/>
    </row>
    <row r="4605" spans="7:7">
      <c r="G4605" s="812"/>
    </row>
    <row r="4606" spans="7:7">
      <c r="G4606" s="812"/>
    </row>
    <row r="4607" spans="7:7">
      <c r="G4607" s="812"/>
    </row>
    <row r="4608" spans="7:7">
      <c r="G4608" s="812"/>
    </row>
    <row r="4609" spans="7:7">
      <c r="G4609" s="812"/>
    </row>
    <row r="4610" spans="7:7">
      <c r="G4610" s="812"/>
    </row>
    <row r="4611" spans="7:7">
      <c r="G4611" s="812"/>
    </row>
    <row r="4612" spans="7:7">
      <c r="G4612" s="812"/>
    </row>
    <row r="4613" spans="7:7">
      <c r="G4613" s="812"/>
    </row>
    <row r="4614" spans="7:7">
      <c r="G4614" s="812"/>
    </row>
    <row r="4615" spans="7:7">
      <c r="G4615" s="812"/>
    </row>
    <row r="4616" spans="7:7">
      <c r="G4616" s="812"/>
    </row>
    <row r="4617" spans="7:7">
      <c r="G4617" s="812"/>
    </row>
    <row r="4618" spans="7:7">
      <c r="G4618" s="812"/>
    </row>
    <row r="4619" spans="7:7">
      <c r="G4619" s="812"/>
    </row>
    <row r="4620" spans="7:7">
      <c r="G4620" s="812"/>
    </row>
    <row r="4621" spans="7:7">
      <c r="G4621" s="812"/>
    </row>
    <row r="4622" spans="7:7">
      <c r="G4622" s="812"/>
    </row>
    <row r="4623" spans="7:7">
      <c r="G4623" s="812"/>
    </row>
    <row r="4624" spans="7:7">
      <c r="G4624" s="812"/>
    </row>
    <row r="4625" spans="7:7">
      <c r="G4625" s="812"/>
    </row>
    <row r="4626" spans="7:7">
      <c r="G4626" s="812"/>
    </row>
    <row r="4627" spans="7:7">
      <c r="G4627" s="812"/>
    </row>
    <row r="4628" spans="7:7">
      <c r="G4628" s="812"/>
    </row>
    <row r="4629" spans="7:7">
      <c r="G4629" s="812"/>
    </row>
    <row r="4630" spans="7:7">
      <c r="G4630" s="812"/>
    </row>
    <row r="4631" spans="7:7">
      <c r="G4631" s="812"/>
    </row>
    <row r="4632" spans="7:7">
      <c r="G4632" s="812"/>
    </row>
    <row r="4633" spans="7:7">
      <c r="G4633" s="812"/>
    </row>
    <row r="4634" spans="7:7">
      <c r="G4634" s="812"/>
    </row>
    <row r="4635" spans="7:7">
      <c r="G4635" s="812"/>
    </row>
    <row r="4636" spans="7:7">
      <c r="G4636" s="812"/>
    </row>
    <row r="4637" spans="7:7">
      <c r="G4637" s="812"/>
    </row>
    <row r="4638" spans="7:7">
      <c r="G4638" s="812"/>
    </row>
    <row r="4639" spans="7:7">
      <c r="G4639" s="812"/>
    </row>
    <row r="4640" spans="7:7">
      <c r="G4640" s="812"/>
    </row>
    <row r="4641" spans="7:7">
      <c r="G4641" s="812"/>
    </row>
    <row r="4642" spans="7:7">
      <c r="G4642" s="812"/>
    </row>
    <row r="4643" spans="7:7">
      <c r="G4643" s="812"/>
    </row>
    <row r="4644" spans="7:7">
      <c r="G4644" s="812"/>
    </row>
    <row r="4645" spans="7:7">
      <c r="G4645" s="812"/>
    </row>
    <row r="4646" spans="7:7">
      <c r="G4646" s="812"/>
    </row>
    <row r="4647" spans="7:7">
      <c r="G4647" s="812"/>
    </row>
    <row r="4648" spans="7:7">
      <c r="G4648" s="812"/>
    </row>
    <row r="4649" spans="7:7">
      <c r="G4649" s="812"/>
    </row>
    <row r="4650" spans="7:7">
      <c r="G4650" s="812"/>
    </row>
    <row r="4651" spans="7:7">
      <c r="G4651" s="812"/>
    </row>
    <row r="4652" spans="7:7">
      <c r="G4652" s="812"/>
    </row>
    <row r="4653" spans="7:7">
      <c r="G4653" s="812"/>
    </row>
    <row r="4654" spans="7:7">
      <c r="G4654" s="812"/>
    </row>
    <row r="4655" spans="7:7">
      <c r="G4655" s="812"/>
    </row>
    <row r="4656" spans="7:7">
      <c r="G4656" s="812"/>
    </row>
    <row r="4657" spans="7:7">
      <c r="G4657" s="812"/>
    </row>
    <row r="4658" spans="7:7">
      <c r="G4658" s="812"/>
    </row>
    <row r="4659" spans="7:7">
      <c r="G4659" s="812"/>
    </row>
    <row r="4660" spans="7:7">
      <c r="G4660" s="812"/>
    </row>
    <row r="4661" spans="7:7">
      <c r="G4661" s="812"/>
    </row>
    <row r="4662" spans="7:7">
      <c r="G4662" s="812"/>
    </row>
    <row r="4663" spans="7:7">
      <c r="G4663" s="812"/>
    </row>
    <row r="4664" spans="7:7">
      <c r="G4664" s="812"/>
    </row>
    <row r="4665" spans="7:7">
      <c r="G4665" s="812"/>
    </row>
    <row r="4666" spans="7:7">
      <c r="G4666" s="812"/>
    </row>
    <row r="4667" spans="7:7">
      <c r="G4667" s="812"/>
    </row>
    <row r="4668" spans="7:7">
      <c r="G4668" s="812"/>
    </row>
    <row r="4669" spans="7:7">
      <c r="G4669" s="812"/>
    </row>
    <row r="4670" spans="7:7">
      <c r="G4670" s="812"/>
    </row>
    <row r="4671" spans="7:7">
      <c r="G4671" s="812"/>
    </row>
    <row r="4672" spans="7:7">
      <c r="G4672" s="812"/>
    </row>
    <row r="4673" spans="7:7">
      <c r="G4673" s="812"/>
    </row>
    <row r="4674" spans="7:7">
      <c r="G4674" s="812"/>
    </row>
    <row r="4675" spans="7:7">
      <c r="G4675" s="812"/>
    </row>
    <row r="4676" spans="7:7">
      <c r="G4676" s="812"/>
    </row>
    <row r="4677" spans="7:7">
      <c r="G4677" s="812"/>
    </row>
    <row r="4678" spans="7:7">
      <c r="G4678" s="812"/>
    </row>
    <row r="4679" spans="7:7">
      <c r="G4679" s="812"/>
    </row>
    <row r="4680" spans="7:7">
      <c r="G4680" s="812"/>
    </row>
    <row r="4681" spans="7:7">
      <c r="G4681" s="812"/>
    </row>
    <row r="4682" spans="7:7">
      <c r="G4682" s="812"/>
    </row>
    <row r="4683" spans="7:7">
      <c r="G4683" s="812"/>
    </row>
    <row r="4684" spans="7:7">
      <c r="G4684" s="812"/>
    </row>
    <row r="4685" spans="7:7">
      <c r="G4685" s="812"/>
    </row>
    <row r="4686" spans="7:7">
      <c r="G4686" s="812"/>
    </row>
    <row r="4687" spans="7:7">
      <c r="G4687" s="812"/>
    </row>
    <row r="4688" spans="7:7">
      <c r="G4688" s="812"/>
    </row>
    <row r="4689" spans="7:7">
      <c r="G4689" s="812"/>
    </row>
    <row r="4690" spans="7:7">
      <c r="G4690" s="812"/>
    </row>
    <row r="4691" spans="7:7">
      <c r="G4691" s="812"/>
    </row>
    <row r="4692" spans="7:7">
      <c r="G4692" s="812"/>
    </row>
    <row r="4693" spans="7:7">
      <c r="G4693" s="812"/>
    </row>
    <row r="4694" spans="7:7">
      <c r="G4694" s="812"/>
    </row>
    <row r="4695" spans="7:7">
      <c r="G4695" s="812"/>
    </row>
    <row r="4696" spans="7:7">
      <c r="G4696" s="812"/>
    </row>
    <row r="4697" spans="7:7">
      <c r="G4697" s="812"/>
    </row>
    <row r="4698" spans="7:7">
      <c r="G4698" s="812"/>
    </row>
    <row r="4699" spans="7:7">
      <c r="G4699" s="812"/>
    </row>
    <row r="4700" spans="7:7">
      <c r="G4700" s="812"/>
    </row>
    <row r="4701" spans="7:7">
      <c r="G4701" s="812"/>
    </row>
    <row r="4702" spans="7:7">
      <c r="G4702" s="812"/>
    </row>
    <row r="4703" spans="7:7">
      <c r="G4703" s="812"/>
    </row>
    <row r="4704" spans="7:7">
      <c r="G4704" s="812"/>
    </row>
    <row r="4705" spans="7:7">
      <c r="G4705" s="812"/>
    </row>
    <row r="4706" spans="7:7">
      <c r="G4706" s="812"/>
    </row>
    <row r="4707" spans="7:7">
      <c r="G4707" s="812"/>
    </row>
    <row r="4708" spans="7:7">
      <c r="G4708" s="812"/>
    </row>
    <row r="4709" spans="7:7">
      <c r="G4709" s="812"/>
    </row>
    <row r="4710" spans="7:7">
      <c r="G4710" s="812"/>
    </row>
    <row r="4711" spans="7:7">
      <c r="G4711" s="812"/>
    </row>
    <row r="4712" spans="7:7">
      <c r="G4712" s="812"/>
    </row>
    <row r="4713" spans="7:7">
      <c r="G4713" s="812"/>
    </row>
    <row r="4714" spans="7:7">
      <c r="G4714" s="812"/>
    </row>
    <row r="4715" spans="7:7">
      <c r="G4715" s="812"/>
    </row>
    <row r="4716" spans="7:7">
      <c r="G4716" s="812"/>
    </row>
    <row r="4717" spans="7:7">
      <c r="G4717" s="812"/>
    </row>
    <row r="4718" spans="7:7">
      <c r="G4718" s="812"/>
    </row>
    <row r="4719" spans="7:7">
      <c r="G4719" s="812"/>
    </row>
    <row r="4720" spans="7:7">
      <c r="G4720" s="812"/>
    </row>
    <row r="4721" spans="7:7">
      <c r="G4721" s="812"/>
    </row>
    <row r="4722" spans="7:7">
      <c r="G4722" s="812"/>
    </row>
    <row r="4723" spans="7:7">
      <c r="G4723" s="812"/>
    </row>
    <row r="4724" spans="7:7">
      <c r="G4724" s="812"/>
    </row>
    <row r="4725" spans="7:7">
      <c r="G4725" s="812"/>
    </row>
    <row r="4726" spans="7:7">
      <c r="G4726" s="812"/>
    </row>
    <row r="4727" spans="7:7">
      <c r="G4727" s="812"/>
    </row>
    <row r="4728" spans="7:7">
      <c r="G4728" s="812"/>
    </row>
    <row r="4729" spans="7:7">
      <c r="G4729" s="812"/>
    </row>
    <row r="4730" spans="7:7">
      <c r="G4730" s="812"/>
    </row>
    <row r="4731" spans="7:7">
      <c r="G4731" s="812"/>
    </row>
    <row r="4732" spans="7:7">
      <c r="G4732" s="812"/>
    </row>
    <row r="4733" spans="7:7">
      <c r="G4733" s="812"/>
    </row>
    <row r="4734" spans="7:7">
      <c r="G4734" s="812"/>
    </row>
    <row r="4735" spans="7:7">
      <c r="G4735" s="812"/>
    </row>
    <row r="4736" spans="7:7">
      <c r="G4736" s="812"/>
    </row>
    <row r="4737" spans="7:7">
      <c r="G4737" s="812"/>
    </row>
    <row r="4738" spans="7:7">
      <c r="G4738" s="812"/>
    </row>
    <row r="4739" spans="7:7">
      <c r="G4739" s="812"/>
    </row>
    <row r="4740" spans="7:7">
      <c r="G4740" s="812"/>
    </row>
    <row r="4741" spans="7:7">
      <c r="G4741" s="812"/>
    </row>
    <row r="4742" spans="7:7">
      <c r="G4742" s="812"/>
    </row>
    <row r="4743" spans="7:7">
      <c r="G4743" s="812"/>
    </row>
    <row r="4744" spans="7:7">
      <c r="G4744" s="812"/>
    </row>
    <row r="4745" spans="7:7">
      <c r="G4745" s="812"/>
    </row>
    <row r="4746" spans="7:7">
      <c r="G4746" s="812"/>
    </row>
    <row r="4747" spans="7:7">
      <c r="G4747" s="812"/>
    </row>
    <row r="4748" spans="7:7">
      <c r="G4748" s="812"/>
    </row>
    <row r="4749" spans="7:7">
      <c r="G4749" s="812"/>
    </row>
    <row r="4750" spans="7:7">
      <c r="G4750" s="812"/>
    </row>
    <row r="4751" spans="7:7">
      <c r="G4751" s="812"/>
    </row>
    <row r="4752" spans="7:7">
      <c r="G4752" s="812"/>
    </row>
    <row r="4753" spans="7:7">
      <c r="G4753" s="812"/>
    </row>
    <row r="4754" spans="7:7">
      <c r="G4754" s="812"/>
    </row>
    <row r="4755" spans="7:7">
      <c r="G4755" s="812"/>
    </row>
    <row r="4756" spans="7:7">
      <c r="G4756" s="812"/>
    </row>
    <row r="4757" spans="7:7">
      <c r="G4757" s="812"/>
    </row>
    <row r="4758" spans="7:7">
      <c r="G4758" s="812"/>
    </row>
    <row r="4759" spans="7:7">
      <c r="G4759" s="812"/>
    </row>
    <row r="4760" spans="7:7">
      <c r="G4760" s="812"/>
    </row>
    <row r="4761" spans="7:7">
      <c r="G4761" s="812"/>
    </row>
    <row r="4762" spans="7:7">
      <c r="G4762" s="812"/>
    </row>
    <row r="4763" spans="7:7">
      <c r="G4763" s="812"/>
    </row>
    <row r="4764" spans="7:7">
      <c r="G4764" s="812"/>
    </row>
    <row r="4765" spans="7:7">
      <c r="G4765" s="812"/>
    </row>
    <row r="4766" spans="7:7">
      <c r="G4766" s="812"/>
    </row>
    <row r="4767" spans="7:7">
      <c r="G4767" s="812"/>
    </row>
    <row r="4768" spans="7:7">
      <c r="G4768" s="812"/>
    </row>
    <row r="4769" spans="7:7">
      <c r="G4769" s="812"/>
    </row>
    <row r="4770" spans="7:7">
      <c r="G4770" s="812"/>
    </row>
    <row r="4771" spans="7:7">
      <c r="G4771" s="812"/>
    </row>
    <row r="4772" spans="7:7">
      <c r="G4772" s="812"/>
    </row>
    <row r="4773" spans="7:7">
      <c r="G4773" s="812"/>
    </row>
    <row r="4774" spans="7:7">
      <c r="G4774" s="812"/>
    </row>
    <row r="4775" spans="7:7">
      <c r="G4775" s="812"/>
    </row>
    <row r="4776" spans="7:7">
      <c r="G4776" s="812"/>
    </row>
    <row r="4777" spans="7:7">
      <c r="G4777" s="812"/>
    </row>
    <row r="4778" spans="7:7">
      <c r="G4778" s="812"/>
    </row>
    <row r="4779" spans="7:7">
      <c r="G4779" s="812"/>
    </row>
    <row r="4780" spans="7:7">
      <c r="G4780" s="812"/>
    </row>
    <row r="4781" spans="7:7">
      <c r="G4781" s="812"/>
    </row>
    <row r="4782" spans="7:7">
      <c r="G4782" s="812"/>
    </row>
    <row r="4783" spans="7:7">
      <c r="G4783" s="812"/>
    </row>
    <row r="4784" spans="7:7">
      <c r="G4784" s="812"/>
    </row>
    <row r="4785" spans="7:7">
      <c r="G4785" s="812"/>
    </row>
    <row r="4786" spans="7:7">
      <c r="G4786" s="812"/>
    </row>
    <row r="4787" spans="7:7">
      <c r="G4787" s="812"/>
    </row>
    <row r="4788" spans="7:7">
      <c r="G4788" s="812"/>
    </row>
    <row r="4789" spans="7:7">
      <c r="G4789" s="812"/>
    </row>
    <row r="4790" spans="7:7">
      <c r="G4790" s="812"/>
    </row>
    <row r="4791" spans="7:7">
      <c r="G4791" s="812"/>
    </row>
    <row r="4792" spans="7:7">
      <c r="G4792" s="812"/>
    </row>
    <row r="4793" spans="7:7">
      <c r="G4793" s="812"/>
    </row>
    <row r="4794" spans="7:7">
      <c r="G4794" s="812"/>
    </row>
    <row r="4795" spans="7:7">
      <c r="G4795" s="812"/>
    </row>
    <row r="4796" spans="7:7">
      <c r="G4796" s="812"/>
    </row>
    <row r="4797" spans="7:7">
      <c r="G4797" s="812"/>
    </row>
    <row r="4798" spans="7:7">
      <c r="G4798" s="812"/>
    </row>
    <row r="4799" spans="7:7">
      <c r="G4799" s="812"/>
    </row>
    <row r="4800" spans="7:7">
      <c r="G4800" s="812"/>
    </row>
    <row r="4801" spans="7:7">
      <c r="G4801" s="812"/>
    </row>
    <row r="4802" spans="7:7">
      <c r="G4802" s="812"/>
    </row>
    <row r="4803" spans="7:7">
      <c r="G4803" s="812"/>
    </row>
    <row r="4804" spans="7:7">
      <c r="G4804" s="812"/>
    </row>
    <row r="4805" spans="7:7">
      <c r="G4805" s="812"/>
    </row>
    <row r="4806" spans="7:7">
      <c r="G4806" s="812"/>
    </row>
    <row r="4807" spans="7:7">
      <c r="G4807" s="812"/>
    </row>
    <row r="4808" spans="7:7">
      <c r="G4808" s="812"/>
    </row>
    <row r="4809" spans="7:7">
      <c r="G4809" s="812"/>
    </row>
    <row r="4810" spans="7:7">
      <c r="G4810" s="812"/>
    </row>
    <row r="4811" spans="7:7">
      <c r="G4811" s="812"/>
    </row>
    <row r="4812" spans="7:7">
      <c r="G4812" s="812"/>
    </row>
    <row r="4813" spans="7:7">
      <c r="G4813" s="812"/>
    </row>
    <row r="4814" spans="7:7">
      <c r="G4814" s="812"/>
    </row>
    <row r="4815" spans="7:7">
      <c r="G4815" s="812"/>
    </row>
    <row r="4816" spans="7:7">
      <c r="G4816" s="812"/>
    </row>
    <row r="4817" spans="7:7">
      <c r="G4817" s="812"/>
    </row>
    <row r="4818" spans="7:7">
      <c r="G4818" s="812"/>
    </row>
    <row r="4819" spans="7:7">
      <c r="G4819" s="812"/>
    </row>
    <row r="4820" spans="7:7">
      <c r="G4820" s="812"/>
    </row>
    <row r="4821" spans="7:7">
      <c r="G4821" s="812"/>
    </row>
    <row r="4822" spans="7:7">
      <c r="G4822" s="812"/>
    </row>
    <row r="4823" spans="7:7">
      <c r="G4823" s="812"/>
    </row>
    <row r="4824" spans="7:7">
      <c r="G4824" s="812"/>
    </row>
    <row r="4825" spans="7:7">
      <c r="G4825" s="812"/>
    </row>
    <row r="4826" spans="7:7">
      <c r="G4826" s="812"/>
    </row>
    <row r="4827" spans="7:7">
      <c r="G4827" s="812"/>
    </row>
    <row r="4828" spans="7:7">
      <c r="G4828" s="812"/>
    </row>
    <row r="4829" spans="7:7">
      <c r="G4829" s="812"/>
    </row>
    <row r="4830" spans="7:7">
      <c r="G4830" s="812"/>
    </row>
    <row r="4831" spans="7:7">
      <c r="G4831" s="812"/>
    </row>
    <row r="4832" spans="7:7">
      <c r="G4832" s="812"/>
    </row>
    <row r="4833" spans="7:7">
      <c r="G4833" s="812"/>
    </row>
    <row r="4834" spans="7:7">
      <c r="G4834" s="812"/>
    </row>
    <row r="4835" spans="7:7">
      <c r="G4835" s="812"/>
    </row>
    <row r="4836" spans="7:7">
      <c r="G4836" s="812"/>
    </row>
    <row r="4837" spans="7:7">
      <c r="G4837" s="812"/>
    </row>
    <row r="4838" spans="7:7">
      <c r="G4838" s="812"/>
    </row>
    <row r="4839" spans="7:7">
      <c r="G4839" s="812"/>
    </row>
    <row r="4840" spans="7:7">
      <c r="G4840" s="812"/>
    </row>
    <row r="4841" spans="7:7">
      <c r="G4841" s="812"/>
    </row>
    <row r="4842" spans="7:7">
      <c r="G4842" s="812"/>
    </row>
    <row r="4843" spans="7:7">
      <c r="G4843" s="812"/>
    </row>
    <row r="4844" spans="7:7">
      <c r="G4844" s="812"/>
    </row>
    <row r="4845" spans="7:7">
      <c r="G4845" s="812"/>
    </row>
    <row r="4846" spans="7:7">
      <c r="G4846" s="812"/>
    </row>
    <row r="4847" spans="7:7">
      <c r="G4847" s="812"/>
    </row>
    <row r="4848" spans="7:7">
      <c r="G4848" s="812"/>
    </row>
    <row r="4849" spans="7:7">
      <c r="G4849" s="812"/>
    </row>
    <row r="4850" spans="7:7">
      <c r="G4850" s="812"/>
    </row>
    <row r="4851" spans="7:7">
      <c r="G4851" s="812"/>
    </row>
    <row r="4852" spans="7:7">
      <c r="G4852" s="812"/>
    </row>
    <row r="4853" spans="7:7">
      <c r="G4853" s="812"/>
    </row>
    <row r="4854" spans="7:7">
      <c r="G4854" s="812"/>
    </row>
    <row r="4855" spans="7:7">
      <c r="G4855" s="812"/>
    </row>
    <row r="4856" spans="7:7">
      <c r="G4856" s="812"/>
    </row>
    <row r="4857" spans="7:7">
      <c r="G4857" s="812"/>
    </row>
    <row r="4858" spans="7:7">
      <c r="G4858" s="812"/>
    </row>
    <row r="4859" spans="7:7">
      <c r="G4859" s="812"/>
    </row>
    <row r="4860" spans="7:7">
      <c r="G4860" s="812"/>
    </row>
    <row r="4861" spans="7:7">
      <c r="G4861" s="812"/>
    </row>
    <row r="4862" spans="7:7">
      <c r="G4862" s="812"/>
    </row>
    <row r="4863" spans="7:7">
      <c r="G4863" s="812"/>
    </row>
    <row r="4864" spans="7:7">
      <c r="G4864" s="812"/>
    </row>
    <row r="4865" spans="7:7">
      <c r="G4865" s="812"/>
    </row>
    <row r="4866" spans="7:7">
      <c r="G4866" s="812"/>
    </row>
    <row r="4867" spans="7:7">
      <c r="G4867" s="812"/>
    </row>
    <row r="4868" spans="7:7">
      <c r="G4868" s="812"/>
    </row>
    <row r="4869" spans="7:7">
      <c r="G4869" s="812"/>
    </row>
    <row r="4870" spans="7:7">
      <c r="G4870" s="812"/>
    </row>
    <row r="4871" spans="7:7">
      <c r="G4871" s="812"/>
    </row>
    <row r="4872" spans="7:7">
      <c r="G4872" s="812"/>
    </row>
    <row r="4873" spans="7:7">
      <c r="G4873" s="812"/>
    </row>
    <row r="4874" spans="7:7">
      <c r="G4874" s="812"/>
    </row>
    <row r="4875" spans="7:7">
      <c r="G4875" s="812"/>
    </row>
    <row r="4876" spans="7:7">
      <c r="G4876" s="812"/>
    </row>
    <row r="4877" spans="7:7">
      <c r="G4877" s="812"/>
    </row>
    <row r="4878" spans="7:7">
      <c r="G4878" s="812"/>
    </row>
    <row r="4879" spans="7:7">
      <c r="G4879" s="812"/>
    </row>
    <row r="4880" spans="7:7">
      <c r="G4880" s="812"/>
    </row>
    <row r="4881" spans="7:7">
      <c r="G4881" s="812"/>
    </row>
    <row r="4882" spans="7:7">
      <c r="G4882" s="812"/>
    </row>
    <row r="4883" spans="7:7">
      <c r="G4883" s="812"/>
    </row>
    <row r="4884" spans="7:7">
      <c r="G4884" s="812"/>
    </row>
    <row r="4885" spans="7:7">
      <c r="G4885" s="812"/>
    </row>
    <row r="4886" spans="7:7">
      <c r="G4886" s="812"/>
    </row>
    <row r="4887" spans="7:7">
      <c r="G4887" s="812"/>
    </row>
    <row r="4888" spans="7:7">
      <c r="G4888" s="812"/>
    </row>
    <row r="4889" spans="7:7">
      <c r="G4889" s="812"/>
    </row>
    <row r="4890" spans="7:7">
      <c r="G4890" s="812"/>
    </row>
    <row r="4891" spans="7:7">
      <c r="G4891" s="812"/>
    </row>
    <row r="4892" spans="7:7">
      <c r="G4892" s="812"/>
    </row>
    <row r="4893" spans="7:7">
      <c r="G4893" s="812"/>
    </row>
    <row r="4894" spans="7:7">
      <c r="G4894" s="812"/>
    </row>
    <row r="4895" spans="7:7">
      <c r="G4895" s="812"/>
    </row>
    <row r="4896" spans="7:7">
      <c r="G4896" s="812"/>
    </row>
    <row r="4897" spans="7:7">
      <c r="G4897" s="812"/>
    </row>
    <row r="4898" spans="7:7">
      <c r="G4898" s="812"/>
    </row>
    <row r="4899" spans="7:7">
      <c r="G4899" s="812"/>
    </row>
    <row r="4900" spans="7:7">
      <c r="G4900" s="812"/>
    </row>
    <row r="4901" spans="7:7">
      <c r="G4901" s="812"/>
    </row>
    <row r="4902" spans="7:7">
      <c r="G4902" s="812"/>
    </row>
    <row r="4903" spans="7:7">
      <c r="G4903" s="812"/>
    </row>
    <row r="4904" spans="7:7">
      <c r="G4904" s="812"/>
    </row>
    <row r="4905" spans="7:7">
      <c r="G4905" s="812"/>
    </row>
    <row r="4906" spans="7:7">
      <c r="G4906" s="812"/>
    </row>
    <row r="4907" spans="7:7">
      <c r="G4907" s="812"/>
    </row>
    <row r="4908" spans="7:7">
      <c r="G4908" s="812"/>
    </row>
    <row r="4909" spans="7:7">
      <c r="G4909" s="812"/>
    </row>
    <row r="4910" spans="7:7">
      <c r="G4910" s="812"/>
    </row>
    <row r="4911" spans="7:7">
      <c r="G4911" s="812"/>
    </row>
    <row r="4912" spans="7:7">
      <c r="G4912" s="812"/>
    </row>
    <row r="4913" spans="7:7">
      <c r="G4913" s="812"/>
    </row>
    <row r="4914" spans="7:7">
      <c r="G4914" s="812"/>
    </row>
    <row r="4915" spans="7:7">
      <c r="G4915" s="812"/>
    </row>
    <row r="4916" spans="7:7">
      <c r="G4916" s="812"/>
    </row>
    <row r="4917" spans="7:7">
      <c r="G4917" s="812"/>
    </row>
    <row r="4918" spans="7:7">
      <c r="G4918" s="812"/>
    </row>
    <row r="4919" spans="7:7">
      <c r="G4919" s="812"/>
    </row>
    <row r="4920" spans="7:7">
      <c r="G4920" s="812"/>
    </row>
    <row r="4921" spans="7:7">
      <c r="G4921" s="812"/>
    </row>
    <row r="4922" spans="7:7">
      <c r="G4922" s="812"/>
    </row>
    <row r="4923" spans="7:7">
      <c r="G4923" s="812"/>
    </row>
    <row r="4924" spans="7:7">
      <c r="G4924" s="812"/>
    </row>
    <row r="4925" spans="7:7">
      <c r="G4925" s="812"/>
    </row>
    <row r="4926" spans="7:7">
      <c r="G4926" s="812"/>
    </row>
    <row r="4927" spans="7:7">
      <c r="G4927" s="812"/>
    </row>
    <row r="4928" spans="7:7">
      <c r="G4928" s="812"/>
    </row>
    <row r="4929" spans="7:7">
      <c r="G4929" s="812"/>
    </row>
    <row r="4930" spans="7:7">
      <c r="G4930" s="812"/>
    </row>
    <row r="4931" spans="7:7">
      <c r="G4931" s="812"/>
    </row>
    <row r="4932" spans="7:7">
      <c r="G4932" s="812"/>
    </row>
    <row r="4933" spans="7:7">
      <c r="G4933" s="812"/>
    </row>
    <row r="4934" spans="7:7">
      <c r="G4934" s="812"/>
    </row>
    <row r="4935" spans="7:7">
      <c r="G4935" s="812"/>
    </row>
    <row r="4936" spans="7:7">
      <c r="G4936" s="812"/>
    </row>
    <row r="4937" spans="7:7">
      <c r="G4937" s="812"/>
    </row>
    <row r="4938" spans="7:7">
      <c r="G4938" s="812"/>
    </row>
    <row r="4939" spans="7:7">
      <c r="G4939" s="812"/>
    </row>
    <row r="4940" spans="7:7">
      <c r="G4940" s="812"/>
    </row>
    <row r="4941" spans="7:7">
      <c r="G4941" s="812"/>
    </row>
    <row r="4942" spans="7:7">
      <c r="G4942" s="812"/>
    </row>
    <row r="4943" spans="7:7">
      <c r="G4943" s="812"/>
    </row>
    <row r="4944" spans="7:7">
      <c r="G4944" s="812"/>
    </row>
    <row r="4945" spans="7:7">
      <c r="G4945" s="812"/>
    </row>
    <row r="4946" spans="7:7">
      <c r="G4946" s="812"/>
    </row>
    <row r="4947" spans="7:7">
      <c r="G4947" s="812"/>
    </row>
    <row r="4948" spans="7:7">
      <c r="G4948" s="812"/>
    </row>
    <row r="4949" spans="7:7">
      <c r="G4949" s="812"/>
    </row>
    <row r="4950" spans="7:7">
      <c r="G4950" s="812"/>
    </row>
    <row r="4951" spans="7:7">
      <c r="G4951" s="812"/>
    </row>
    <row r="4952" spans="7:7">
      <c r="G4952" s="812"/>
    </row>
    <row r="4953" spans="7:7">
      <c r="G4953" s="812"/>
    </row>
    <row r="4954" spans="7:7">
      <c r="G4954" s="812"/>
    </row>
    <row r="4955" spans="7:7">
      <c r="G4955" s="812"/>
    </row>
    <row r="4956" spans="7:7">
      <c r="G4956" s="812"/>
    </row>
    <row r="4957" spans="7:7">
      <c r="G4957" s="812"/>
    </row>
    <row r="4958" spans="7:7">
      <c r="G4958" s="812"/>
    </row>
    <row r="4959" spans="7:7">
      <c r="G4959" s="812"/>
    </row>
    <row r="4960" spans="7:7">
      <c r="G4960" s="812"/>
    </row>
    <row r="4961" spans="7:7">
      <c r="G4961" s="812"/>
    </row>
    <row r="4962" spans="7:7">
      <c r="G4962" s="812"/>
    </row>
    <row r="4963" spans="7:7">
      <c r="G4963" s="812"/>
    </row>
    <row r="4964" spans="7:7">
      <c r="G4964" s="812"/>
    </row>
    <row r="4965" spans="7:7">
      <c r="G4965" s="812"/>
    </row>
    <row r="4966" spans="7:7">
      <c r="G4966" s="812"/>
    </row>
    <row r="4967" spans="7:7">
      <c r="G4967" s="812"/>
    </row>
    <row r="4968" spans="7:7">
      <c r="G4968" s="812"/>
    </row>
    <row r="4969" spans="7:7">
      <c r="G4969" s="812"/>
    </row>
    <row r="4970" spans="7:7">
      <c r="G4970" s="812"/>
    </row>
    <row r="4971" spans="7:7">
      <c r="G4971" s="812"/>
    </row>
    <row r="4972" spans="7:7">
      <c r="G4972" s="812"/>
    </row>
    <row r="4973" spans="7:7">
      <c r="G4973" s="812"/>
    </row>
    <row r="4974" spans="7:7">
      <c r="G4974" s="812"/>
    </row>
    <row r="4975" spans="7:7">
      <c r="G4975" s="812"/>
    </row>
    <row r="4976" spans="7:7">
      <c r="G4976" s="812"/>
    </row>
    <row r="4977" spans="7:7">
      <c r="G4977" s="812"/>
    </row>
    <row r="4978" spans="7:7">
      <c r="G4978" s="812"/>
    </row>
    <row r="4979" spans="7:7">
      <c r="G4979" s="812"/>
    </row>
    <row r="4980" spans="7:7">
      <c r="G4980" s="812"/>
    </row>
    <row r="4981" spans="7:7">
      <c r="G4981" s="812"/>
    </row>
    <row r="4982" spans="7:7">
      <c r="G4982" s="812"/>
    </row>
    <row r="4983" spans="7:7">
      <c r="G4983" s="812"/>
    </row>
    <row r="4984" spans="7:7">
      <c r="G4984" s="812"/>
    </row>
    <row r="4985" spans="7:7">
      <c r="G4985" s="812"/>
    </row>
    <row r="4986" spans="7:7">
      <c r="G4986" s="812"/>
    </row>
    <row r="4987" spans="7:7">
      <c r="G4987" s="812"/>
    </row>
    <row r="4988" spans="7:7">
      <c r="G4988" s="812"/>
    </row>
    <row r="4989" spans="7:7">
      <c r="G4989" s="812"/>
    </row>
    <row r="4990" spans="7:7">
      <c r="G4990" s="812"/>
    </row>
    <row r="4991" spans="7:7">
      <c r="G4991" s="812"/>
    </row>
    <row r="4992" spans="7:7">
      <c r="G4992" s="812"/>
    </row>
    <row r="4993" spans="7:7">
      <c r="G4993" s="812"/>
    </row>
    <row r="4994" spans="7:7">
      <c r="G4994" s="812"/>
    </row>
    <row r="4995" spans="7:7">
      <c r="G4995" s="812"/>
    </row>
    <row r="4996" spans="7:7">
      <c r="G4996" s="812"/>
    </row>
    <row r="4997" spans="7:7">
      <c r="G4997" s="812"/>
    </row>
    <row r="4998" spans="7:7">
      <c r="G4998" s="812"/>
    </row>
    <row r="4999" spans="7:7">
      <c r="G4999" s="812"/>
    </row>
    <row r="5000" spans="7:7">
      <c r="G5000" s="812"/>
    </row>
    <row r="5001" spans="7:7">
      <c r="G5001" s="812"/>
    </row>
    <row r="5002" spans="7:7">
      <c r="G5002" s="812"/>
    </row>
    <row r="5003" spans="7:7">
      <c r="G5003" s="812"/>
    </row>
    <row r="5004" spans="7:7">
      <c r="G5004" s="812"/>
    </row>
    <row r="5005" spans="7:7">
      <c r="G5005" s="812"/>
    </row>
    <row r="5006" spans="7:7">
      <c r="G5006" s="812"/>
    </row>
    <row r="5007" spans="7:7">
      <c r="G5007" s="812"/>
    </row>
    <row r="5008" spans="7:7">
      <c r="G5008" s="812"/>
    </row>
    <row r="5009" spans="7:7">
      <c r="G5009" s="812"/>
    </row>
    <row r="5010" spans="7:7">
      <c r="G5010" s="812"/>
    </row>
    <row r="5011" spans="7:7">
      <c r="G5011" s="812"/>
    </row>
    <row r="5012" spans="7:7">
      <c r="G5012" s="812"/>
    </row>
    <row r="5013" spans="7:7">
      <c r="G5013" s="812"/>
    </row>
    <row r="5014" spans="7:7">
      <c r="G5014" s="812"/>
    </row>
    <row r="5015" spans="7:7">
      <c r="G5015" s="812"/>
    </row>
    <row r="5016" spans="7:7">
      <c r="G5016" s="812"/>
    </row>
    <row r="5017" spans="7:7">
      <c r="G5017" s="812"/>
    </row>
    <row r="5018" spans="7:7">
      <c r="G5018" s="812"/>
    </row>
    <row r="5019" spans="7:7">
      <c r="G5019" s="812"/>
    </row>
    <row r="5020" spans="7:7">
      <c r="G5020" s="812"/>
    </row>
    <row r="5021" spans="7:7">
      <c r="G5021" s="812"/>
    </row>
    <row r="5022" spans="7:7">
      <c r="G5022" s="812"/>
    </row>
    <row r="5023" spans="7:7">
      <c r="G5023" s="812"/>
    </row>
    <row r="5024" spans="7:7">
      <c r="G5024" s="812"/>
    </row>
    <row r="5025" spans="7:7">
      <c r="G5025" s="812"/>
    </row>
    <row r="5026" spans="7:7">
      <c r="G5026" s="812"/>
    </row>
    <row r="5027" spans="7:7">
      <c r="G5027" s="812"/>
    </row>
    <row r="5028" spans="7:7">
      <c r="G5028" s="812"/>
    </row>
    <row r="5029" spans="7:7">
      <c r="G5029" s="812"/>
    </row>
    <row r="5030" spans="7:7">
      <c r="G5030" s="812"/>
    </row>
    <row r="5031" spans="7:7">
      <c r="G5031" s="812"/>
    </row>
    <row r="5032" spans="7:7">
      <c r="G5032" s="812"/>
    </row>
    <row r="5033" spans="7:7">
      <c r="G5033" s="812"/>
    </row>
    <row r="5034" spans="7:7">
      <c r="G5034" s="812"/>
    </row>
    <row r="5035" spans="7:7">
      <c r="G5035" s="812"/>
    </row>
    <row r="5036" spans="7:7">
      <c r="G5036" s="812"/>
    </row>
    <row r="5037" spans="7:7">
      <c r="G5037" s="812"/>
    </row>
    <row r="5038" spans="7:7">
      <c r="G5038" s="812"/>
    </row>
    <row r="5039" spans="7:7">
      <c r="G5039" s="812"/>
    </row>
    <row r="5040" spans="7:7">
      <c r="G5040" s="812"/>
    </row>
    <row r="5041" spans="7:7">
      <c r="G5041" s="812"/>
    </row>
    <row r="5042" spans="7:7">
      <c r="G5042" s="812"/>
    </row>
    <row r="5043" spans="7:7">
      <c r="G5043" s="812"/>
    </row>
    <row r="5044" spans="7:7">
      <c r="G5044" s="812"/>
    </row>
    <row r="5045" spans="7:7">
      <c r="G5045" s="812"/>
    </row>
    <row r="5046" spans="7:7">
      <c r="G5046" s="812"/>
    </row>
    <row r="5047" spans="7:7">
      <c r="G5047" s="812"/>
    </row>
    <row r="5048" spans="7:7">
      <c r="G5048" s="812"/>
    </row>
    <row r="5049" spans="7:7">
      <c r="G5049" s="812"/>
    </row>
    <row r="5050" spans="7:7">
      <c r="G5050" s="812"/>
    </row>
    <row r="5051" spans="7:7">
      <c r="G5051" s="812"/>
    </row>
    <row r="5052" spans="7:7">
      <c r="G5052" s="812"/>
    </row>
    <row r="5053" spans="7:7">
      <c r="G5053" s="812"/>
    </row>
    <row r="5054" spans="7:7">
      <c r="G5054" s="812"/>
    </row>
    <row r="5055" spans="7:7">
      <c r="G5055" s="812"/>
    </row>
    <row r="5056" spans="7:7">
      <c r="G5056" s="812"/>
    </row>
    <row r="5057" spans="7:7">
      <c r="G5057" s="812"/>
    </row>
    <row r="5058" spans="7:7">
      <c r="G5058" s="812"/>
    </row>
    <row r="5059" spans="7:7">
      <c r="G5059" s="812"/>
    </row>
    <row r="5060" spans="7:7">
      <c r="G5060" s="812"/>
    </row>
    <row r="5061" spans="7:7">
      <c r="G5061" s="812"/>
    </row>
    <row r="5062" spans="7:7">
      <c r="G5062" s="812"/>
    </row>
    <row r="5063" spans="7:7">
      <c r="G5063" s="812"/>
    </row>
    <row r="5064" spans="7:7">
      <c r="G5064" s="812"/>
    </row>
    <row r="5065" spans="7:7">
      <c r="G5065" s="812"/>
    </row>
    <row r="5066" spans="7:7">
      <c r="G5066" s="812"/>
    </row>
    <row r="5067" spans="7:7">
      <c r="G5067" s="812"/>
    </row>
    <row r="5068" spans="7:7">
      <c r="G5068" s="812"/>
    </row>
    <row r="5069" spans="7:7">
      <c r="G5069" s="812"/>
    </row>
    <row r="5070" spans="7:7">
      <c r="G5070" s="812"/>
    </row>
    <row r="5071" spans="7:7">
      <c r="G5071" s="812"/>
    </row>
    <row r="5072" spans="7:7">
      <c r="G5072" s="812"/>
    </row>
    <row r="5073" spans="7:7">
      <c r="G5073" s="812"/>
    </row>
    <row r="5074" spans="7:7">
      <c r="G5074" s="812"/>
    </row>
    <row r="5075" spans="7:7">
      <c r="G5075" s="812"/>
    </row>
    <row r="5076" spans="7:7">
      <c r="G5076" s="812"/>
    </row>
    <row r="5077" spans="7:7">
      <c r="G5077" s="812"/>
    </row>
    <row r="5078" spans="7:7">
      <c r="G5078" s="812"/>
    </row>
    <row r="5079" spans="7:7">
      <c r="G5079" s="812"/>
    </row>
    <row r="5080" spans="7:7">
      <c r="G5080" s="812"/>
    </row>
    <row r="5081" spans="7:7">
      <c r="G5081" s="812"/>
    </row>
    <row r="5082" spans="7:7">
      <c r="G5082" s="812"/>
    </row>
    <row r="5083" spans="7:7">
      <c r="G5083" s="812"/>
    </row>
    <row r="5084" spans="7:7">
      <c r="G5084" s="812"/>
    </row>
    <row r="5085" spans="7:7">
      <c r="G5085" s="812"/>
    </row>
    <row r="5086" spans="7:7">
      <c r="G5086" s="812"/>
    </row>
    <row r="5087" spans="7:7">
      <c r="G5087" s="812"/>
    </row>
    <row r="5088" spans="7:7">
      <c r="G5088" s="812"/>
    </row>
    <row r="5089" spans="7:7">
      <c r="G5089" s="812"/>
    </row>
    <row r="5090" spans="7:7">
      <c r="G5090" s="812"/>
    </row>
    <row r="5091" spans="7:7">
      <c r="G5091" s="812"/>
    </row>
    <row r="5092" spans="7:7">
      <c r="G5092" s="812"/>
    </row>
    <row r="5093" spans="7:7">
      <c r="G5093" s="812"/>
    </row>
    <row r="5094" spans="7:7">
      <c r="G5094" s="812"/>
    </row>
    <row r="5095" spans="7:7">
      <c r="G5095" s="812"/>
    </row>
    <row r="5096" spans="7:7">
      <c r="G5096" s="812"/>
    </row>
    <row r="5097" spans="7:7">
      <c r="G5097" s="812"/>
    </row>
    <row r="5098" spans="7:7">
      <c r="G5098" s="812"/>
    </row>
    <row r="5099" spans="7:7">
      <c r="G5099" s="812"/>
    </row>
    <row r="5100" spans="7:7">
      <c r="G5100" s="812"/>
    </row>
    <row r="5101" spans="7:7">
      <c r="G5101" s="812"/>
    </row>
    <row r="5102" spans="7:7">
      <c r="G5102" s="812"/>
    </row>
    <row r="5103" spans="7:7">
      <c r="G5103" s="812"/>
    </row>
    <row r="5104" spans="7:7">
      <c r="G5104" s="812"/>
    </row>
    <row r="5105" spans="7:7">
      <c r="G5105" s="812"/>
    </row>
    <row r="5106" spans="7:7">
      <c r="G5106" s="812"/>
    </row>
    <row r="5107" spans="7:7">
      <c r="G5107" s="812"/>
    </row>
    <row r="5108" spans="7:7">
      <c r="G5108" s="812"/>
    </row>
    <row r="5109" spans="7:7">
      <c r="G5109" s="812"/>
    </row>
    <row r="5110" spans="7:7">
      <c r="G5110" s="812"/>
    </row>
    <row r="5111" spans="7:7">
      <c r="G5111" s="812"/>
    </row>
    <row r="5112" spans="7:7">
      <c r="G5112" s="812"/>
    </row>
    <row r="5113" spans="7:7">
      <c r="G5113" s="812"/>
    </row>
    <row r="5114" spans="7:7">
      <c r="G5114" s="812"/>
    </row>
    <row r="5115" spans="7:7">
      <c r="G5115" s="812"/>
    </row>
    <row r="5116" spans="7:7">
      <c r="G5116" s="812"/>
    </row>
    <row r="5117" spans="7:7">
      <c r="G5117" s="812"/>
    </row>
    <row r="5118" spans="7:7">
      <c r="G5118" s="812"/>
    </row>
    <row r="5119" spans="7:7">
      <c r="G5119" s="812"/>
    </row>
    <row r="5120" spans="7:7">
      <c r="G5120" s="812"/>
    </row>
    <row r="5121" spans="7:7">
      <c r="G5121" s="812"/>
    </row>
    <row r="5122" spans="7:7">
      <c r="G5122" s="812"/>
    </row>
    <row r="5123" spans="7:7">
      <c r="G5123" s="812"/>
    </row>
    <row r="5124" spans="7:7">
      <c r="G5124" s="812"/>
    </row>
    <row r="5125" spans="7:7">
      <c r="G5125" s="812"/>
    </row>
    <row r="5126" spans="7:7">
      <c r="G5126" s="812"/>
    </row>
    <row r="5127" spans="7:7">
      <c r="G5127" s="812"/>
    </row>
    <row r="5128" spans="7:7">
      <c r="G5128" s="812"/>
    </row>
    <row r="5129" spans="7:7">
      <c r="G5129" s="812"/>
    </row>
    <row r="5130" spans="7:7">
      <c r="G5130" s="812"/>
    </row>
    <row r="5131" spans="7:7">
      <c r="G5131" s="812"/>
    </row>
    <row r="5132" spans="7:7">
      <c r="G5132" s="812"/>
    </row>
    <row r="5133" spans="7:7">
      <c r="G5133" s="812"/>
    </row>
    <row r="5134" spans="7:7">
      <c r="G5134" s="812"/>
    </row>
    <row r="5135" spans="7:7">
      <c r="G5135" s="812"/>
    </row>
    <row r="5136" spans="7:7">
      <c r="G5136" s="812"/>
    </row>
    <row r="5137" spans="7:7">
      <c r="G5137" s="812"/>
    </row>
    <row r="5138" spans="7:7">
      <c r="G5138" s="812"/>
    </row>
    <row r="5139" spans="7:7">
      <c r="G5139" s="812"/>
    </row>
    <row r="5140" spans="7:7">
      <c r="G5140" s="812"/>
    </row>
    <row r="5141" spans="7:7">
      <c r="G5141" s="812"/>
    </row>
    <row r="5142" spans="7:7">
      <c r="G5142" s="812"/>
    </row>
    <row r="5143" spans="7:7">
      <c r="G5143" s="812"/>
    </row>
    <row r="5144" spans="7:7">
      <c r="G5144" s="812"/>
    </row>
    <row r="5145" spans="7:7">
      <c r="G5145" s="812"/>
    </row>
    <row r="5146" spans="7:7">
      <c r="G5146" s="812"/>
    </row>
    <row r="5147" spans="7:7">
      <c r="G5147" s="812"/>
    </row>
    <row r="5148" spans="7:7">
      <c r="G5148" s="812"/>
    </row>
    <row r="5149" spans="7:7">
      <c r="G5149" s="812"/>
    </row>
    <row r="5150" spans="7:7">
      <c r="G5150" s="812"/>
    </row>
    <row r="5151" spans="7:7">
      <c r="G5151" s="812"/>
    </row>
    <row r="5152" spans="7:7">
      <c r="G5152" s="812"/>
    </row>
    <row r="5153" spans="7:7">
      <c r="G5153" s="812"/>
    </row>
    <row r="5154" spans="7:7">
      <c r="G5154" s="812"/>
    </row>
    <row r="5155" spans="7:7">
      <c r="G5155" s="812"/>
    </row>
    <row r="5156" spans="7:7">
      <c r="G5156" s="812"/>
    </row>
    <row r="5157" spans="7:7">
      <c r="G5157" s="812"/>
    </row>
    <row r="5158" spans="7:7">
      <c r="G5158" s="812"/>
    </row>
    <row r="5159" spans="7:7">
      <c r="G5159" s="812"/>
    </row>
    <row r="5160" spans="7:7">
      <c r="G5160" s="812"/>
    </row>
    <row r="5161" spans="7:7">
      <c r="G5161" s="812"/>
    </row>
    <row r="5162" spans="7:7">
      <c r="G5162" s="812"/>
    </row>
    <row r="5163" spans="7:7">
      <c r="G5163" s="812"/>
    </row>
    <row r="5164" spans="7:7">
      <c r="G5164" s="812"/>
    </row>
    <row r="5165" spans="7:7">
      <c r="G5165" s="812"/>
    </row>
    <row r="5166" spans="7:7">
      <c r="G5166" s="812"/>
    </row>
    <row r="5167" spans="7:7">
      <c r="G5167" s="812"/>
    </row>
    <row r="5168" spans="7:7">
      <c r="G5168" s="812"/>
    </row>
    <row r="5169" spans="7:7">
      <c r="G5169" s="812"/>
    </row>
    <row r="5170" spans="7:7">
      <c r="G5170" s="812"/>
    </row>
    <row r="5171" spans="7:7">
      <c r="G5171" s="812"/>
    </row>
    <row r="5172" spans="7:7">
      <c r="G5172" s="812"/>
    </row>
    <row r="5173" spans="7:7">
      <c r="G5173" s="812"/>
    </row>
    <row r="5174" spans="7:7">
      <c r="G5174" s="812"/>
    </row>
    <row r="5175" spans="7:7">
      <c r="G5175" s="812"/>
    </row>
    <row r="5176" spans="7:7">
      <c r="G5176" s="812"/>
    </row>
    <row r="5177" spans="7:7">
      <c r="G5177" s="812"/>
    </row>
    <row r="5178" spans="7:7">
      <c r="G5178" s="812"/>
    </row>
    <row r="5179" spans="7:7">
      <c r="G5179" s="812"/>
    </row>
    <row r="5180" spans="7:7">
      <c r="G5180" s="812"/>
    </row>
    <row r="5181" spans="7:7">
      <c r="G5181" s="812"/>
    </row>
    <row r="5182" spans="7:7">
      <c r="G5182" s="812"/>
    </row>
    <row r="5183" spans="7:7">
      <c r="G5183" s="812"/>
    </row>
    <row r="5184" spans="7:7">
      <c r="G5184" s="812"/>
    </row>
    <row r="5185" spans="7:7">
      <c r="G5185" s="812"/>
    </row>
    <row r="5186" spans="7:7">
      <c r="G5186" s="812"/>
    </row>
    <row r="5187" spans="7:7">
      <c r="G5187" s="812"/>
    </row>
    <row r="5188" spans="7:7">
      <c r="G5188" s="812"/>
    </row>
    <row r="5189" spans="7:7">
      <c r="G5189" s="812"/>
    </row>
    <row r="5190" spans="7:7">
      <c r="G5190" s="812"/>
    </row>
    <row r="5191" spans="7:7">
      <c r="G5191" s="812"/>
    </row>
    <row r="5192" spans="7:7">
      <c r="G5192" s="812"/>
    </row>
    <row r="5193" spans="7:7">
      <c r="G5193" s="812"/>
    </row>
    <row r="5194" spans="7:7">
      <c r="G5194" s="812"/>
    </row>
    <row r="5195" spans="7:7">
      <c r="G5195" s="812"/>
    </row>
    <row r="5196" spans="7:7">
      <c r="G5196" s="812"/>
    </row>
    <row r="5197" spans="7:7">
      <c r="G5197" s="812"/>
    </row>
    <row r="5198" spans="7:7">
      <c r="G5198" s="812"/>
    </row>
    <row r="5199" spans="7:7">
      <c r="G5199" s="812"/>
    </row>
    <row r="5200" spans="7:7">
      <c r="G5200" s="812"/>
    </row>
    <row r="5201" spans="7:7">
      <c r="G5201" s="812"/>
    </row>
    <row r="5202" spans="7:7">
      <c r="G5202" s="812"/>
    </row>
    <row r="5203" spans="7:7">
      <c r="G5203" s="812"/>
    </row>
    <row r="5204" spans="7:7">
      <c r="G5204" s="812"/>
    </row>
    <row r="5205" spans="7:7">
      <c r="G5205" s="812"/>
    </row>
    <row r="5206" spans="7:7">
      <c r="G5206" s="812"/>
    </row>
    <row r="5207" spans="7:7">
      <c r="G5207" s="812"/>
    </row>
    <row r="5208" spans="7:7">
      <c r="G5208" s="812"/>
    </row>
    <row r="5209" spans="7:7">
      <c r="G5209" s="812"/>
    </row>
    <row r="5210" spans="7:7">
      <c r="G5210" s="812"/>
    </row>
    <row r="5211" spans="7:7">
      <c r="G5211" s="812"/>
    </row>
    <row r="5212" spans="7:7">
      <c r="G5212" s="812"/>
    </row>
    <row r="5213" spans="7:7">
      <c r="G5213" s="812"/>
    </row>
    <row r="5214" spans="7:7">
      <c r="G5214" s="812"/>
    </row>
    <row r="5215" spans="7:7">
      <c r="G5215" s="812"/>
    </row>
    <row r="5216" spans="7:7">
      <c r="G5216" s="812"/>
    </row>
    <row r="5217" spans="7:7">
      <c r="G5217" s="812"/>
    </row>
    <row r="5218" spans="7:7">
      <c r="G5218" s="812"/>
    </row>
    <row r="5219" spans="7:7">
      <c r="G5219" s="812"/>
    </row>
    <row r="5220" spans="7:7">
      <c r="G5220" s="812"/>
    </row>
    <row r="5221" spans="7:7">
      <c r="G5221" s="812"/>
    </row>
    <row r="5222" spans="7:7">
      <c r="G5222" s="812"/>
    </row>
    <row r="5223" spans="7:7">
      <c r="G5223" s="812"/>
    </row>
    <row r="5224" spans="7:7">
      <c r="G5224" s="812"/>
    </row>
    <row r="5225" spans="7:7">
      <c r="G5225" s="812"/>
    </row>
    <row r="5226" spans="7:7">
      <c r="G5226" s="812"/>
    </row>
    <row r="5227" spans="7:7">
      <c r="G5227" s="812"/>
    </row>
    <row r="5228" spans="7:7">
      <c r="G5228" s="812"/>
    </row>
    <row r="5229" spans="7:7">
      <c r="G5229" s="812"/>
    </row>
    <row r="5230" spans="7:7">
      <c r="G5230" s="812"/>
    </row>
    <row r="5231" spans="7:7">
      <c r="G5231" s="812"/>
    </row>
    <row r="5232" spans="7:7">
      <c r="G5232" s="812"/>
    </row>
    <row r="5233" spans="7:7">
      <c r="G5233" s="812"/>
    </row>
    <row r="5234" spans="7:7">
      <c r="G5234" s="812"/>
    </row>
    <row r="5235" spans="7:7">
      <c r="G5235" s="812"/>
    </row>
    <row r="5236" spans="7:7">
      <c r="G5236" s="812"/>
    </row>
    <row r="5237" spans="7:7">
      <c r="G5237" s="812"/>
    </row>
    <row r="5238" spans="7:7">
      <c r="G5238" s="812"/>
    </row>
    <row r="5239" spans="7:7">
      <c r="G5239" s="812"/>
    </row>
    <row r="5240" spans="7:7">
      <c r="G5240" s="812"/>
    </row>
    <row r="5241" spans="7:7">
      <c r="G5241" s="812"/>
    </row>
    <row r="5242" spans="7:7">
      <c r="G5242" s="812"/>
    </row>
    <row r="5243" spans="7:7">
      <c r="G5243" s="812"/>
    </row>
    <row r="5244" spans="7:7">
      <c r="G5244" s="812"/>
    </row>
    <row r="5245" spans="7:7">
      <c r="G5245" s="812"/>
    </row>
    <row r="5246" spans="7:7">
      <c r="G5246" s="812"/>
    </row>
    <row r="5247" spans="7:7">
      <c r="G5247" s="812"/>
    </row>
    <row r="5248" spans="7:7">
      <c r="G5248" s="812"/>
    </row>
    <row r="5249" spans="7:7">
      <c r="G5249" s="812"/>
    </row>
    <row r="5250" spans="7:7">
      <c r="G5250" s="812"/>
    </row>
    <row r="5251" spans="7:7">
      <c r="G5251" s="812"/>
    </row>
    <row r="5252" spans="7:7">
      <c r="G5252" s="812"/>
    </row>
    <row r="5253" spans="7:7">
      <c r="G5253" s="812"/>
    </row>
    <row r="5254" spans="7:7">
      <c r="G5254" s="812"/>
    </row>
    <row r="5255" spans="7:7">
      <c r="G5255" s="812"/>
    </row>
    <row r="5256" spans="7:7">
      <c r="G5256" s="812"/>
    </row>
    <row r="5257" spans="7:7">
      <c r="G5257" s="812"/>
    </row>
    <row r="5258" spans="7:7">
      <c r="G5258" s="812"/>
    </row>
    <row r="5259" spans="7:7">
      <c r="G5259" s="812"/>
    </row>
    <row r="5260" spans="7:7">
      <c r="G5260" s="812"/>
    </row>
    <row r="5261" spans="7:7">
      <c r="G5261" s="812"/>
    </row>
    <row r="5262" spans="7:7">
      <c r="G5262" s="812"/>
    </row>
    <row r="5263" spans="7:7">
      <c r="G5263" s="812"/>
    </row>
    <row r="5264" spans="7:7">
      <c r="G5264" s="812"/>
    </row>
    <row r="5265" spans="7:7">
      <c r="G5265" s="812"/>
    </row>
    <row r="5266" spans="7:7">
      <c r="G5266" s="812"/>
    </row>
    <row r="5267" spans="7:7">
      <c r="G5267" s="812"/>
    </row>
    <row r="5268" spans="7:7">
      <c r="G5268" s="812"/>
    </row>
    <row r="5269" spans="7:7">
      <c r="G5269" s="812"/>
    </row>
    <row r="5270" spans="7:7">
      <c r="G5270" s="812"/>
    </row>
    <row r="5271" spans="7:7">
      <c r="G5271" s="812"/>
    </row>
    <row r="5272" spans="7:7">
      <c r="G5272" s="812"/>
    </row>
    <row r="5273" spans="7:7">
      <c r="G5273" s="812"/>
    </row>
    <row r="5274" spans="7:7">
      <c r="G5274" s="812"/>
    </row>
    <row r="5275" spans="7:7">
      <c r="G5275" s="812"/>
    </row>
    <row r="5276" spans="7:7">
      <c r="G5276" s="812"/>
    </row>
    <row r="5277" spans="7:7">
      <c r="G5277" s="812"/>
    </row>
    <row r="5278" spans="7:7">
      <c r="G5278" s="812"/>
    </row>
    <row r="5279" spans="7:7">
      <c r="G5279" s="812"/>
    </row>
    <row r="5280" spans="7:7">
      <c r="G5280" s="812"/>
    </row>
    <row r="5281" spans="7:7">
      <c r="G5281" s="812"/>
    </row>
    <row r="5282" spans="7:7">
      <c r="G5282" s="812"/>
    </row>
    <row r="5283" spans="7:7">
      <c r="G5283" s="812"/>
    </row>
    <row r="5284" spans="7:7">
      <c r="G5284" s="812"/>
    </row>
    <row r="5285" spans="7:7">
      <c r="G5285" s="812"/>
    </row>
    <row r="5286" spans="7:7">
      <c r="G5286" s="812"/>
    </row>
    <row r="5287" spans="7:7">
      <c r="G5287" s="812"/>
    </row>
    <row r="5288" spans="7:7">
      <c r="G5288" s="812"/>
    </row>
    <row r="5289" spans="7:7">
      <c r="G5289" s="812"/>
    </row>
    <row r="5290" spans="7:7">
      <c r="G5290" s="812"/>
    </row>
    <row r="5291" spans="7:7">
      <c r="G5291" s="812"/>
    </row>
    <row r="5292" spans="7:7">
      <c r="G5292" s="812"/>
    </row>
    <row r="5293" spans="7:7">
      <c r="G5293" s="812"/>
    </row>
    <row r="5294" spans="7:7">
      <c r="G5294" s="812"/>
    </row>
    <row r="5295" spans="7:7">
      <c r="G5295" s="812"/>
    </row>
    <row r="5296" spans="7:7">
      <c r="G5296" s="812"/>
    </row>
    <row r="5297" spans="7:7">
      <c r="G5297" s="812"/>
    </row>
    <row r="5298" spans="7:7">
      <c r="G5298" s="812"/>
    </row>
    <row r="5299" spans="7:7">
      <c r="G5299" s="812"/>
    </row>
    <row r="5300" spans="7:7">
      <c r="G5300" s="812"/>
    </row>
    <row r="5301" spans="7:7">
      <c r="G5301" s="812"/>
    </row>
    <row r="5302" spans="7:7">
      <c r="G5302" s="812"/>
    </row>
    <row r="5303" spans="7:7">
      <c r="G5303" s="812"/>
    </row>
    <row r="5304" spans="7:7">
      <c r="G5304" s="812"/>
    </row>
    <row r="5305" spans="7:7">
      <c r="G5305" s="812"/>
    </row>
    <row r="5306" spans="7:7">
      <c r="G5306" s="812"/>
    </row>
    <row r="5307" spans="7:7">
      <c r="G5307" s="812"/>
    </row>
    <row r="5308" spans="7:7">
      <c r="G5308" s="812"/>
    </row>
    <row r="5309" spans="7:7">
      <c r="G5309" s="812"/>
    </row>
    <row r="5310" spans="7:7">
      <c r="G5310" s="812"/>
    </row>
    <row r="5311" spans="7:7">
      <c r="G5311" s="812"/>
    </row>
    <row r="5312" spans="7:7">
      <c r="G5312" s="812"/>
    </row>
    <row r="5313" spans="7:7">
      <c r="G5313" s="812"/>
    </row>
    <row r="5314" spans="7:7">
      <c r="G5314" s="812"/>
    </row>
    <row r="5315" spans="7:7">
      <c r="G5315" s="812"/>
    </row>
    <row r="5316" spans="7:7">
      <c r="G5316" s="812"/>
    </row>
    <row r="5317" spans="7:7">
      <c r="G5317" s="812"/>
    </row>
    <row r="5318" spans="7:7">
      <c r="G5318" s="812"/>
    </row>
    <row r="5319" spans="7:7">
      <c r="G5319" s="812"/>
    </row>
    <row r="5320" spans="7:7">
      <c r="G5320" s="812"/>
    </row>
    <row r="5321" spans="7:7">
      <c r="G5321" s="812"/>
    </row>
    <row r="5322" spans="7:7">
      <c r="G5322" s="812"/>
    </row>
    <row r="5323" spans="7:7">
      <c r="G5323" s="812"/>
    </row>
    <row r="5324" spans="7:7">
      <c r="G5324" s="812"/>
    </row>
    <row r="5325" spans="7:7">
      <c r="G5325" s="812"/>
    </row>
    <row r="5326" spans="7:7">
      <c r="G5326" s="812"/>
    </row>
    <row r="5327" spans="7:7">
      <c r="G5327" s="812"/>
    </row>
    <row r="5328" spans="7:7">
      <c r="G5328" s="812"/>
    </row>
    <row r="5329" spans="7:7">
      <c r="G5329" s="812"/>
    </row>
    <row r="5330" spans="7:7">
      <c r="G5330" s="812"/>
    </row>
    <row r="5331" spans="7:7">
      <c r="G5331" s="812"/>
    </row>
    <row r="5332" spans="7:7">
      <c r="G5332" s="812"/>
    </row>
    <row r="5333" spans="7:7">
      <c r="G5333" s="812"/>
    </row>
    <row r="5334" spans="7:7">
      <c r="G5334" s="812"/>
    </row>
    <row r="5335" spans="7:7">
      <c r="G5335" s="812"/>
    </row>
    <row r="5336" spans="7:7">
      <c r="G5336" s="812"/>
    </row>
    <row r="5337" spans="7:7">
      <c r="G5337" s="812"/>
    </row>
    <row r="5338" spans="7:7">
      <c r="G5338" s="812"/>
    </row>
    <row r="5339" spans="7:7">
      <c r="G5339" s="812"/>
    </row>
    <row r="5340" spans="7:7">
      <c r="G5340" s="812"/>
    </row>
    <row r="5341" spans="7:7">
      <c r="G5341" s="812"/>
    </row>
    <row r="5342" spans="7:7">
      <c r="G5342" s="812"/>
    </row>
    <row r="5343" spans="7:7">
      <c r="G5343" s="812"/>
    </row>
    <row r="5344" spans="7:7">
      <c r="G5344" s="812"/>
    </row>
    <row r="5345" spans="7:7">
      <c r="G5345" s="812"/>
    </row>
    <row r="5346" spans="7:7">
      <c r="G5346" s="812"/>
    </row>
    <row r="5347" spans="7:7">
      <c r="G5347" s="812"/>
    </row>
    <row r="5348" spans="7:7">
      <c r="G5348" s="812"/>
    </row>
    <row r="5349" spans="7:7">
      <c r="G5349" s="812"/>
    </row>
    <row r="5350" spans="7:7">
      <c r="G5350" s="812"/>
    </row>
    <row r="5351" spans="7:7">
      <c r="G5351" s="812"/>
    </row>
    <row r="5352" spans="7:7">
      <c r="G5352" s="812"/>
    </row>
    <row r="5353" spans="7:7">
      <c r="G5353" s="812"/>
    </row>
    <row r="5354" spans="7:7">
      <c r="G5354" s="812"/>
    </row>
    <row r="5355" spans="7:7">
      <c r="G5355" s="812"/>
    </row>
    <row r="5356" spans="7:7">
      <c r="G5356" s="812"/>
    </row>
    <row r="5357" spans="7:7">
      <c r="G5357" s="812"/>
    </row>
    <row r="5358" spans="7:7">
      <c r="G5358" s="812"/>
    </row>
    <row r="5359" spans="7:7">
      <c r="G5359" s="812"/>
    </row>
    <row r="5360" spans="7:7">
      <c r="G5360" s="812"/>
    </row>
    <row r="5361" spans="7:7">
      <c r="G5361" s="812"/>
    </row>
    <row r="5362" spans="7:7">
      <c r="G5362" s="812"/>
    </row>
    <row r="5363" spans="7:7">
      <c r="G5363" s="812"/>
    </row>
    <row r="5364" spans="7:7">
      <c r="G5364" s="812"/>
    </row>
    <row r="5365" spans="7:7">
      <c r="G5365" s="812"/>
    </row>
    <row r="5366" spans="7:7">
      <c r="G5366" s="812"/>
    </row>
    <row r="5367" spans="7:7">
      <c r="G5367" s="812"/>
    </row>
    <row r="5368" spans="7:7">
      <c r="G5368" s="812"/>
    </row>
    <row r="5369" spans="7:7">
      <c r="G5369" s="812"/>
    </row>
    <row r="5370" spans="7:7">
      <c r="G5370" s="812"/>
    </row>
    <row r="5371" spans="7:7">
      <c r="G5371" s="812"/>
    </row>
    <row r="5372" spans="7:7">
      <c r="G5372" s="812"/>
    </row>
    <row r="5373" spans="7:7">
      <c r="G5373" s="812"/>
    </row>
    <row r="5374" spans="7:7">
      <c r="G5374" s="812"/>
    </row>
    <row r="5375" spans="7:7">
      <c r="G5375" s="812"/>
    </row>
    <row r="5376" spans="7:7">
      <c r="G5376" s="812"/>
    </row>
    <row r="5377" spans="7:7">
      <c r="G5377" s="812"/>
    </row>
    <row r="5378" spans="7:7">
      <c r="G5378" s="812"/>
    </row>
    <row r="5379" spans="7:7">
      <c r="G5379" s="812"/>
    </row>
    <row r="5380" spans="7:7">
      <c r="G5380" s="812"/>
    </row>
    <row r="5381" spans="7:7">
      <c r="G5381" s="812"/>
    </row>
    <row r="5382" spans="7:7">
      <c r="G5382" s="812"/>
    </row>
    <row r="5383" spans="7:7">
      <c r="G5383" s="812"/>
    </row>
    <row r="5384" spans="7:7">
      <c r="G5384" s="812"/>
    </row>
    <row r="5385" spans="7:7">
      <c r="G5385" s="812"/>
    </row>
    <row r="5386" spans="7:7">
      <c r="G5386" s="812"/>
    </row>
    <row r="5387" spans="7:7">
      <c r="G5387" s="812"/>
    </row>
    <row r="5388" spans="7:7">
      <c r="G5388" s="812"/>
    </row>
    <row r="5389" spans="7:7">
      <c r="G5389" s="812"/>
    </row>
    <row r="5390" spans="7:7">
      <c r="G5390" s="812"/>
    </row>
    <row r="5391" spans="7:7">
      <c r="G5391" s="812"/>
    </row>
    <row r="5392" spans="7:7">
      <c r="G5392" s="812"/>
    </row>
    <row r="5393" spans="7:7">
      <c r="G5393" s="812"/>
    </row>
    <row r="5394" spans="7:7">
      <c r="G5394" s="812"/>
    </row>
    <row r="5395" spans="7:7">
      <c r="G5395" s="812"/>
    </row>
    <row r="5396" spans="7:7">
      <c r="G5396" s="812"/>
    </row>
    <row r="5397" spans="7:7">
      <c r="G5397" s="812"/>
    </row>
    <row r="5398" spans="7:7">
      <c r="G5398" s="812"/>
    </row>
    <row r="5399" spans="7:7">
      <c r="G5399" s="812"/>
    </row>
    <row r="5400" spans="7:7">
      <c r="G5400" s="812"/>
    </row>
    <row r="5401" spans="7:7">
      <c r="G5401" s="812"/>
    </row>
    <row r="5402" spans="7:7">
      <c r="G5402" s="812"/>
    </row>
    <row r="5403" spans="7:7">
      <c r="G5403" s="812"/>
    </row>
    <row r="5404" spans="7:7">
      <c r="G5404" s="812"/>
    </row>
    <row r="5405" spans="7:7">
      <c r="G5405" s="812"/>
    </row>
    <row r="5406" spans="7:7">
      <c r="G5406" s="812"/>
    </row>
    <row r="5407" spans="7:7">
      <c r="G5407" s="812"/>
    </row>
    <row r="5408" spans="7:7">
      <c r="G5408" s="812"/>
    </row>
    <row r="5409" spans="7:7">
      <c r="G5409" s="812"/>
    </row>
    <row r="5410" spans="7:7">
      <c r="G5410" s="812"/>
    </row>
    <row r="5411" spans="7:7">
      <c r="G5411" s="812"/>
    </row>
    <row r="5412" spans="7:7">
      <c r="G5412" s="812"/>
    </row>
    <row r="5413" spans="7:7">
      <c r="G5413" s="812"/>
    </row>
    <row r="5414" spans="7:7">
      <c r="G5414" s="812"/>
    </row>
    <row r="5415" spans="7:7">
      <c r="G5415" s="812"/>
    </row>
    <row r="5416" spans="7:7">
      <c r="G5416" s="812"/>
    </row>
    <row r="5417" spans="7:7">
      <c r="G5417" s="812"/>
    </row>
    <row r="5418" spans="7:7">
      <c r="G5418" s="812"/>
    </row>
    <row r="5419" spans="7:7">
      <c r="G5419" s="812"/>
    </row>
    <row r="5420" spans="7:7">
      <c r="G5420" s="812"/>
    </row>
    <row r="5421" spans="7:7">
      <c r="G5421" s="812"/>
    </row>
    <row r="5422" spans="7:7">
      <c r="G5422" s="812"/>
    </row>
    <row r="5423" spans="7:7">
      <c r="G5423" s="812"/>
    </row>
    <row r="5424" spans="7:7">
      <c r="G5424" s="812"/>
    </row>
    <row r="5425" spans="7:7">
      <c r="G5425" s="812"/>
    </row>
    <row r="5426" spans="7:7">
      <c r="G5426" s="812"/>
    </row>
    <row r="5427" spans="7:7">
      <c r="G5427" s="812"/>
    </row>
    <row r="5428" spans="7:7">
      <c r="G5428" s="812"/>
    </row>
    <row r="5429" spans="7:7">
      <c r="G5429" s="812"/>
    </row>
    <row r="5430" spans="7:7">
      <c r="G5430" s="812"/>
    </row>
    <row r="5431" spans="7:7">
      <c r="G5431" s="812"/>
    </row>
    <row r="5432" spans="7:7">
      <c r="G5432" s="812"/>
    </row>
    <row r="5433" spans="7:7">
      <c r="G5433" s="812"/>
    </row>
    <row r="5434" spans="7:7">
      <c r="G5434" s="812"/>
    </row>
    <row r="5435" spans="7:7">
      <c r="G5435" s="812"/>
    </row>
    <row r="5436" spans="7:7">
      <c r="G5436" s="812"/>
    </row>
    <row r="5437" spans="7:7">
      <c r="G5437" s="812"/>
    </row>
    <row r="5438" spans="7:7">
      <c r="G5438" s="812"/>
    </row>
    <row r="5439" spans="7:7">
      <c r="G5439" s="812"/>
    </row>
    <row r="5440" spans="7:7">
      <c r="G5440" s="812"/>
    </row>
    <row r="5441" spans="7:7">
      <c r="G5441" s="812"/>
    </row>
    <row r="5442" spans="7:7">
      <c r="G5442" s="812"/>
    </row>
    <row r="5443" spans="7:7">
      <c r="G5443" s="812"/>
    </row>
    <row r="5444" spans="7:7">
      <c r="G5444" s="812"/>
    </row>
    <row r="5445" spans="7:7">
      <c r="G5445" s="812"/>
    </row>
    <row r="5446" spans="7:7">
      <c r="G5446" s="812"/>
    </row>
    <row r="5447" spans="7:7">
      <c r="G5447" s="812"/>
    </row>
    <row r="5448" spans="7:7">
      <c r="G5448" s="812"/>
    </row>
    <row r="5449" spans="7:7">
      <c r="G5449" s="812"/>
    </row>
    <row r="5450" spans="7:7">
      <c r="G5450" s="812"/>
    </row>
    <row r="5451" spans="7:7">
      <c r="G5451" s="812"/>
    </row>
    <row r="5452" spans="7:7">
      <c r="G5452" s="812"/>
    </row>
    <row r="5453" spans="7:7">
      <c r="G5453" s="812"/>
    </row>
    <row r="5454" spans="7:7">
      <c r="G5454" s="812"/>
    </row>
    <row r="5455" spans="7:7">
      <c r="G5455" s="812"/>
    </row>
    <row r="5456" spans="7:7">
      <c r="G5456" s="812"/>
    </row>
    <row r="5457" spans="7:7">
      <c r="G5457" s="812"/>
    </row>
    <row r="5458" spans="7:7">
      <c r="G5458" s="812"/>
    </row>
    <row r="5459" spans="7:7">
      <c r="G5459" s="812"/>
    </row>
    <row r="5460" spans="7:7">
      <c r="G5460" s="812"/>
    </row>
    <row r="5461" spans="7:7">
      <c r="G5461" s="812"/>
    </row>
    <row r="5462" spans="7:7">
      <c r="G5462" s="812"/>
    </row>
    <row r="5463" spans="7:7">
      <c r="G5463" s="812"/>
    </row>
    <row r="5464" spans="7:7">
      <c r="G5464" s="812"/>
    </row>
    <row r="5465" spans="7:7">
      <c r="G5465" s="812"/>
    </row>
    <row r="5466" spans="7:7">
      <c r="G5466" s="812"/>
    </row>
    <row r="5467" spans="7:7">
      <c r="G5467" s="812"/>
    </row>
    <row r="5468" spans="7:7">
      <c r="G5468" s="812"/>
    </row>
    <row r="5469" spans="7:7">
      <c r="G5469" s="812"/>
    </row>
    <row r="5470" spans="7:7">
      <c r="G5470" s="812"/>
    </row>
    <row r="5471" spans="7:7">
      <c r="G5471" s="812"/>
    </row>
    <row r="5472" spans="7:7">
      <c r="G5472" s="812"/>
    </row>
    <row r="5473" spans="7:7">
      <c r="G5473" s="812"/>
    </row>
    <row r="5474" spans="7:7">
      <c r="G5474" s="812"/>
    </row>
    <row r="5475" spans="7:7">
      <c r="G5475" s="812"/>
    </row>
    <row r="5476" spans="7:7">
      <c r="G5476" s="812"/>
    </row>
    <row r="5477" spans="7:7">
      <c r="G5477" s="812"/>
    </row>
    <row r="5478" spans="7:7">
      <c r="G5478" s="812"/>
    </row>
    <row r="5479" spans="7:7">
      <c r="G5479" s="812"/>
    </row>
    <row r="5480" spans="7:7">
      <c r="G5480" s="812"/>
    </row>
    <row r="5481" spans="7:7">
      <c r="G5481" s="812"/>
    </row>
    <row r="5482" spans="7:7">
      <c r="G5482" s="812"/>
    </row>
    <row r="5483" spans="7:7">
      <c r="G5483" s="812"/>
    </row>
    <row r="5484" spans="7:7">
      <c r="G5484" s="812"/>
    </row>
    <row r="5485" spans="7:7">
      <c r="G5485" s="812"/>
    </row>
    <row r="5486" spans="7:7">
      <c r="G5486" s="812"/>
    </row>
    <row r="5487" spans="7:7">
      <c r="G5487" s="812"/>
    </row>
    <row r="5488" spans="7:7">
      <c r="G5488" s="812"/>
    </row>
    <row r="5489" spans="7:7">
      <c r="G5489" s="812"/>
    </row>
    <row r="5490" spans="7:7">
      <c r="G5490" s="812"/>
    </row>
    <row r="5491" spans="7:7">
      <c r="G5491" s="812"/>
    </row>
    <row r="5492" spans="7:7">
      <c r="G5492" s="812"/>
    </row>
    <row r="5493" spans="7:7">
      <c r="G5493" s="812"/>
    </row>
    <row r="5494" spans="7:7">
      <c r="G5494" s="812"/>
    </row>
    <row r="5495" spans="7:7">
      <c r="G5495" s="812"/>
    </row>
    <row r="5496" spans="7:7">
      <c r="G5496" s="812"/>
    </row>
    <row r="5497" spans="7:7">
      <c r="G5497" s="812"/>
    </row>
    <row r="5498" spans="7:7">
      <c r="G5498" s="812"/>
    </row>
    <row r="5499" spans="7:7">
      <c r="G5499" s="812"/>
    </row>
    <row r="5500" spans="7:7">
      <c r="G5500" s="812"/>
    </row>
    <row r="5501" spans="7:7">
      <c r="G5501" s="812"/>
    </row>
    <row r="5502" spans="7:7">
      <c r="G5502" s="812"/>
    </row>
    <row r="5503" spans="7:7">
      <c r="G5503" s="812"/>
    </row>
    <row r="5504" spans="7:7">
      <c r="G5504" s="812"/>
    </row>
    <row r="5505" spans="7:7">
      <c r="G5505" s="812"/>
    </row>
    <row r="5506" spans="7:7">
      <c r="G5506" s="812"/>
    </row>
    <row r="5507" spans="7:7">
      <c r="G5507" s="812"/>
    </row>
    <row r="5508" spans="7:7">
      <c r="G5508" s="812"/>
    </row>
    <row r="5509" spans="7:7">
      <c r="G5509" s="812"/>
    </row>
    <row r="5510" spans="7:7">
      <c r="G5510" s="812"/>
    </row>
    <row r="5511" spans="7:7">
      <c r="G5511" s="812"/>
    </row>
    <row r="5512" spans="7:7">
      <c r="G5512" s="812"/>
    </row>
    <row r="5513" spans="7:7">
      <c r="G5513" s="812"/>
    </row>
    <row r="5514" spans="7:7">
      <c r="G5514" s="812"/>
    </row>
    <row r="5515" spans="7:7">
      <c r="G5515" s="812"/>
    </row>
    <row r="5516" spans="7:7">
      <c r="G5516" s="812"/>
    </row>
    <row r="5517" spans="7:7">
      <c r="G5517" s="812"/>
    </row>
    <row r="5518" spans="7:7">
      <c r="G5518" s="812"/>
    </row>
    <row r="5519" spans="7:7">
      <c r="G5519" s="812"/>
    </row>
    <row r="5520" spans="7:7">
      <c r="G5520" s="812"/>
    </row>
    <row r="5521" spans="7:7">
      <c r="G5521" s="812"/>
    </row>
    <row r="5522" spans="7:7">
      <c r="G5522" s="812"/>
    </row>
    <row r="5523" spans="7:7">
      <c r="G5523" s="812"/>
    </row>
    <row r="5524" spans="7:7">
      <c r="G5524" s="812"/>
    </row>
    <row r="5525" spans="7:7">
      <c r="G5525" s="812"/>
    </row>
    <row r="5526" spans="7:7">
      <c r="G5526" s="812"/>
    </row>
    <row r="5527" spans="7:7">
      <c r="G5527" s="812"/>
    </row>
    <row r="5528" spans="7:7">
      <c r="G5528" s="812"/>
    </row>
    <row r="5529" spans="7:7">
      <c r="G5529" s="812"/>
    </row>
    <row r="5530" spans="7:7">
      <c r="G5530" s="812"/>
    </row>
    <row r="5531" spans="7:7">
      <c r="G5531" s="812"/>
    </row>
    <row r="5532" spans="7:7">
      <c r="G5532" s="812"/>
    </row>
    <row r="5533" spans="7:7">
      <c r="G5533" s="812"/>
    </row>
    <row r="5534" spans="7:7">
      <c r="G5534" s="812"/>
    </row>
    <row r="5535" spans="7:7">
      <c r="G5535" s="812"/>
    </row>
    <row r="5536" spans="7:7">
      <c r="G5536" s="812"/>
    </row>
    <row r="5537" spans="7:7">
      <c r="G5537" s="812"/>
    </row>
    <row r="5538" spans="7:7">
      <c r="G5538" s="812"/>
    </row>
    <row r="5539" spans="7:7">
      <c r="G5539" s="812"/>
    </row>
    <row r="5540" spans="7:7">
      <c r="G5540" s="812"/>
    </row>
    <row r="5541" spans="7:7">
      <c r="G5541" s="812"/>
    </row>
    <row r="5542" spans="7:7">
      <c r="G5542" s="812"/>
    </row>
    <row r="5543" spans="7:7">
      <c r="G5543" s="812"/>
    </row>
    <row r="5544" spans="7:7">
      <c r="G5544" s="812"/>
    </row>
    <row r="5545" spans="7:7">
      <c r="G5545" s="812"/>
    </row>
    <row r="5546" spans="7:7">
      <c r="G5546" s="812"/>
    </row>
    <row r="5547" spans="7:7">
      <c r="G5547" s="812"/>
    </row>
    <row r="5548" spans="7:7">
      <c r="G5548" s="812"/>
    </row>
    <row r="5549" spans="7:7">
      <c r="G5549" s="812"/>
    </row>
    <row r="5550" spans="7:7">
      <c r="G5550" s="812"/>
    </row>
    <row r="5551" spans="7:7">
      <c r="G5551" s="812"/>
    </row>
    <row r="5552" spans="7:7">
      <c r="G5552" s="812"/>
    </row>
    <row r="5553" spans="7:7">
      <c r="G5553" s="812"/>
    </row>
    <row r="5554" spans="7:7">
      <c r="G5554" s="812"/>
    </row>
    <row r="5555" spans="7:7">
      <c r="G5555" s="812"/>
    </row>
    <row r="5556" spans="7:7">
      <c r="G5556" s="812"/>
    </row>
    <row r="5557" spans="7:7">
      <c r="G5557" s="812"/>
    </row>
    <row r="5558" spans="7:7">
      <c r="G5558" s="812"/>
    </row>
    <row r="5559" spans="7:7">
      <c r="G5559" s="812"/>
    </row>
    <row r="5560" spans="7:7">
      <c r="G5560" s="812"/>
    </row>
    <row r="5561" spans="7:7">
      <c r="G5561" s="812"/>
    </row>
    <row r="5562" spans="7:7">
      <c r="G5562" s="812"/>
    </row>
    <row r="5563" spans="7:7">
      <c r="G5563" s="812"/>
    </row>
    <row r="5564" spans="7:7">
      <c r="G5564" s="812"/>
    </row>
    <row r="5565" spans="7:7">
      <c r="G5565" s="812"/>
    </row>
    <row r="5566" spans="7:7">
      <c r="G5566" s="812"/>
    </row>
    <row r="5567" spans="7:7">
      <c r="G5567" s="812"/>
    </row>
    <row r="5568" spans="7:7">
      <c r="G5568" s="812"/>
    </row>
    <row r="5569" spans="7:7">
      <c r="G5569" s="812"/>
    </row>
    <row r="5570" spans="7:7">
      <c r="G5570" s="812"/>
    </row>
    <row r="5571" spans="7:7">
      <c r="G5571" s="812"/>
    </row>
    <row r="5572" spans="7:7">
      <c r="G5572" s="812"/>
    </row>
    <row r="5573" spans="7:7">
      <c r="G5573" s="812"/>
    </row>
    <row r="5574" spans="7:7">
      <c r="G5574" s="812"/>
    </row>
    <row r="5575" spans="7:7">
      <c r="G5575" s="812"/>
    </row>
    <row r="5576" spans="7:7">
      <c r="G5576" s="812"/>
    </row>
    <row r="5577" spans="7:7">
      <c r="G5577" s="812"/>
    </row>
    <row r="5578" spans="7:7">
      <c r="G5578" s="812"/>
    </row>
    <row r="5579" spans="7:7">
      <c r="G5579" s="812"/>
    </row>
    <row r="5580" spans="7:7">
      <c r="G5580" s="812"/>
    </row>
    <row r="5581" spans="7:7">
      <c r="G5581" s="812"/>
    </row>
    <row r="5582" spans="7:7">
      <c r="G5582" s="812"/>
    </row>
    <row r="5583" spans="7:7">
      <c r="G5583" s="812"/>
    </row>
    <row r="5584" spans="7:7">
      <c r="G5584" s="812"/>
    </row>
    <row r="5585" spans="7:7">
      <c r="G5585" s="812"/>
    </row>
    <row r="5586" spans="7:7">
      <c r="G5586" s="812"/>
    </row>
    <row r="5587" spans="7:7">
      <c r="G5587" s="812"/>
    </row>
    <row r="5588" spans="7:7">
      <c r="G5588" s="812"/>
    </row>
    <row r="5589" spans="7:7">
      <c r="G5589" s="812"/>
    </row>
    <row r="5590" spans="7:7">
      <c r="G5590" s="812"/>
    </row>
    <row r="5591" spans="7:7">
      <c r="G5591" s="812"/>
    </row>
    <row r="5592" spans="7:7">
      <c r="G5592" s="812"/>
    </row>
    <row r="5593" spans="7:7">
      <c r="G5593" s="812"/>
    </row>
    <row r="5594" spans="7:7">
      <c r="G5594" s="812"/>
    </row>
    <row r="5595" spans="7:7">
      <c r="G5595" s="812"/>
    </row>
    <row r="5596" spans="7:7">
      <c r="G5596" s="812"/>
    </row>
    <row r="5597" spans="7:7">
      <c r="G5597" s="812"/>
    </row>
    <row r="5598" spans="7:7">
      <c r="G5598" s="812"/>
    </row>
    <row r="5599" spans="7:7">
      <c r="G5599" s="812"/>
    </row>
    <row r="5600" spans="7:7">
      <c r="G5600" s="812"/>
    </row>
    <row r="5601" spans="7:7">
      <c r="G5601" s="812"/>
    </row>
    <row r="5602" spans="7:7">
      <c r="G5602" s="812"/>
    </row>
    <row r="5603" spans="7:7">
      <c r="G5603" s="812"/>
    </row>
    <row r="5604" spans="7:7">
      <c r="G5604" s="812"/>
    </row>
    <row r="5605" spans="7:7">
      <c r="G5605" s="812"/>
    </row>
    <row r="5606" spans="7:7">
      <c r="G5606" s="812"/>
    </row>
    <row r="5607" spans="7:7">
      <c r="G5607" s="812"/>
    </row>
    <row r="5608" spans="7:7">
      <c r="G5608" s="812"/>
    </row>
    <row r="5609" spans="7:7">
      <c r="G5609" s="812"/>
    </row>
    <row r="5610" spans="7:7">
      <c r="G5610" s="812"/>
    </row>
    <row r="5611" spans="7:7">
      <c r="G5611" s="812"/>
    </row>
    <row r="5612" spans="7:7">
      <c r="G5612" s="812"/>
    </row>
    <row r="5613" spans="7:7">
      <c r="G5613" s="812"/>
    </row>
    <row r="5614" spans="7:7">
      <c r="G5614" s="812"/>
    </row>
    <row r="5615" spans="7:7">
      <c r="G5615" s="812"/>
    </row>
    <row r="5616" spans="7:7">
      <c r="G5616" s="812"/>
    </row>
    <row r="5617" spans="7:7">
      <c r="G5617" s="812"/>
    </row>
    <row r="5618" spans="7:7">
      <c r="G5618" s="812"/>
    </row>
    <row r="5619" spans="7:7">
      <c r="G5619" s="812"/>
    </row>
    <row r="5620" spans="7:7">
      <c r="G5620" s="812"/>
    </row>
    <row r="5621" spans="7:7">
      <c r="G5621" s="812"/>
    </row>
    <row r="5622" spans="7:7">
      <c r="G5622" s="812"/>
    </row>
    <row r="5623" spans="7:7">
      <c r="G5623" s="812"/>
    </row>
    <row r="5624" spans="7:7">
      <c r="G5624" s="812"/>
    </row>
    <row r="5625" spans="7:7">
      <c r="G5625" s="812"/>
    </row>
    <row r="5626" spans="7:7">
      <c r="G5626" s="812"/>
    </row>
    <row r="5627" spans="7:7">
      <c r="G5627" s="812"/>
    </row>
    <row r="5628" spans="7:7">
      <c r="G5628" s="812"/>
    </row>
    <row r="5629" spans="7:7">
      <c r="G5629" s="812"/>
    </row>
    <row r="5630" spans="7:7">
      <c r="G5630" s="812"/>
    </row>
    <row r="5631" spans="7:7">
      <c r="G5631" s="812"/>
    </row>
    <row r="5632" spans="7:7">
      <c r="G5632" s="812"/>
    </row>
    <row r="5633" spans="7:7">
      <c r="G5633" s="812"/>
    </row>
    <row r="5634" spans="7:7">
      <c r="G5634" s="812"/>
    </row>
    <row r="5635" spans="7:7">
      <c r="G5635" s="812"/>
    </row>
    <row r="5636" spans="7:7">
      <c r="G5636" s="812"/>
    </row>
    <row r="5637" spans="7:7">
      <c r="G5637" s="812"/>
    </row>
    <row r="5638" spans="7:7">
      <c r="G5638" s="812"/>
    </row>
    <row r="5639" spans="7:7">
      <c r="G5639" s="812"/>
    </row>
    <row r="5640" spans="7:7">
      <c r="G5640" s="812"/>
    </row>
    <row r="5641" spans="7:7">
      <c r="G5641" s="812"/>
    </row>
    <row r="5642" spans="7:7">
      <c r="G5642" s="812"/>
    </row>
    <row r="5643" spans="7:7">
      <c r="G5643" s="812"/>
    </row>
    <row r="5644" spans="7:7">
      <c r="G5644" s="812"/>
    </row>
    <row r="5645" spans="7:7">
      <c r="G5645" s="812"/>
    </row>
    <row r="5646" spans="7:7">
      <c r="G5646" s="812"/>
    </row>
    <row r="5647" spans="7:7">
      <c r="G5647" s="812"/>
    </row>
    <row r="5648" spans="7:7">
      <c r="G5648" s="812"/>
    </row>
    <row r="5649" spans="7:7">
      <c r="G5649" s="812"/>
    </row>
    <row r="5650" spans="7:7">
      <c r="G5650" s="812"/>
    </row>
    <row r="5651" spans="7:7">
      <c r="G5651" s="812"/>
    </row>
    <row r="5652" spans="7:7">
      <c r="G5652" s="812"/>
    </row>
    <row r="5653" spans="7:7">
      <c r="G5653" s="812"/>
    </row>
    <row r="5654" spans="7:7">
      <c r="G5654" s="812"/>
    </row>
    <row r="5655" spans="7:7">
      <c r="G5655" s="812"/>
    </row>
    <row r="5656" spans="7:7">
      <c r="G5656" s="812"/>
    </row>
    <row r="5657" spans="7:7">
      <c r="G5657" s="812"/>
    </row>
    <row r="5658" spans="7:7">
      <c r="G5658" s="812"/>
    </row>
    <row r="5659" spans="7:7">
      <c r="G5659" s="812"/>
    </row>
    <row r="5660" spans="7:7">
      <c r="G5660" s="812"/>
    </row>
    <row r="5661" spans="7:7">
      <c r="G5661" s="812"/>
    </row>
    <row r="5662" spans="7:7">
      <c r="G5662" s="812"/>
    </row>
    <row r="5663" spans="7:7">
      <c r="G5663" s="812"/>
    </row>
    <row r="5664" spans="7:7">
      <c r="G5664" s="812"/>
    </row>
    <row r="5665" spans="7:7">
      <c r="G5665" s="812"/>
    </row>
    <row r="5666" spans="7:7">
      <c r="G5666" s="812"/>
    </row>
    <row r="5667" spans="7:7">
      <c r="G5667" s="812"/>
    </row>
    <row r="5668" spans="7:7">
      <c r="G5668" s="812"/>
    </row>
    <row r="5669" spans="7:7">
      <c r="G5669" s="812"/>
    </row>
    <row r="5670" spans="7:7">
      <c r="G5670" s="812"/>
    </row>
    <row r="5671" spans="7:7">
      <c r="G5671" s="812"/>
    </row>
    <row r="5672" spans="7:7">
      <c r="G5672" s="812"/>
    </row>
    <row r="5673" spans="7:7">
      <c r="G5673" s="812"/>
    </row>
    <row r="5674" spans="7:7">
      <c r="G5674" s="812"/>
    </row>
    <row r="5675" spans="7:7">
      <c r="G5675" s="812"/>
    </row>
    <row r="5676" spans="7:7">
      <c r="G5676" s="812"/>
    </row>
    <row r="5677" spans="7:7">
      <c r="G5677" s="812"/>
    </row>
    <row r="5678" spans="7:7">
      <c r="G5678" s="812"/>
    </row>
    <row r="5679" spans="7:7">
      <c r="G5679" s="812"/>
    </row>
    <row r="5680" spans="7:7">
      <c r="G5680" s="812"/>
    </row>
    <row r="5681" spans="7:7">
      <c r="G5681" s="812"/>
    </row>
    <row r="5682" spans="7:7">
      <c r="G5682" s="812"/>
    </row>
    <row r="5683" spans="7:7">
      <c r="G5683" s="812"/>
    </row>
    <row r="5684" spans="7:7">
      <c r="G5684" s="812"/>
    </row>
    <row r="5685" spans="7:7">
      <c r="G5685" s="812"/>
    </row>
    <row r="5686" spans="7:7">
      <c r="G5686" s="812"/>
    </row>
    <row r="5687" spans="7:7">
      <c r="G5687" s="812"/>
    </row>
    <row r="5688" spans="7:7">
      <c r="G5688" s="812"/>
    </row>
    <row r="5689" spans="7:7">
      <c r="G5689" s="812"/>
    </row>
    <row r="5690" spans="7:7">
      <c r="G5690" s="812"/>
    </row>
    <row r="5691" spans="7:7">
      <c r="G5691" s="812"/>
    </row>
    <row r="5692" spans="7:7">
      <c r="G5692" s="812"/>
    </row>
    <row r="5693" spans="7:7">
      <c r="G5693" s="812"/>
    </row>
    <row r="5694" spans="7:7">
      <c r="G5694" s="812"/>
    </row>
    <row r="5695" spans="7:7">
      <c r="G5695" s="812"/>
    </row>
    <row r="5696" spans="7:7">
      <c r="G5696" s="812"/>
    </row>
    <row r="5697" spans="7:7">
      <c r="G5697" s="812"/>
    </row>
    <row r="5698" spans="7:7">
      <c r="G5698" s="812"/>
    </row>
    <row r="5699" spans="7:7">
      <c r="G5699" s="812"/>
    </row>
    <row r="5700" spans="7:7">
      <c r="G5700" s="812"/>
    </row>
    <row r="5701" spans="7:7">
      <c r="G5701" s="812"/>
    </row>
    <row r="5702" spans="7:7">
      <c r="G5702" s="812"/>
    </row>
    <row r="5703" spans="7:7">
      <c r="G5703" s="812"/>
    </row>
    <row r="5704" spans="7:7">
      <c r="G5704" s="812"/>
    </row>
    <row r="5705" spans="7:7">
      <c r="G5705" s="812"/>
    </row>
    <row r="5706" spans="7:7">
      <c r="G5706" s="812"/>
    </row>
    <row r="5707" spans="7:7">
      <c r="G5707" s="812"/>
    </row>
    <row r="5708" spans="7:7">
      <c r="G5708" s="812"/>
    </row>
    <row r="5709" spans="7:7">
      <c r="G5709" s="812"/>
    </row>
    <row r="5710" spans="7:7">
      <c r="G5710" s="812"/>
    </row>
    <row r="5711" spans="7:7">
      <c r="G5711" s="812"/>
    </row>
    <row r="5712" spans="7:7">
      <c r="G5712" s="812"/>
    </row>
    <row r="5713" spans="7:7">
      <c r="G5713" s="812"/>
    </row>
    <row r="5714" spans="7:7">
      <c r="G5714" s="812"/>
    </row>
    <row r="5715" spans="7:7">
      <c r="G5715" s="812"/>
    </row>
    <row r="5716" spans="7:7">
      <c r="G5716" s="812"/>
    </row>
    <row r="5717" spans="7:7">
      <c r="G5717" s="812"/>
    </row>
    <row r="5718" spans="7:7">
      <c r="G5718" s="812"/>
    </row>
    <row r="5719" spans="7:7">
      <c r="G5719" s="812"/>
    </row>
    <row r="5720" spans="7:7">
      <c r="G5720" s="812"/>
    </row>
    <row r="5721" spans="7:7">
      <c r="G5721" s="812"/>
    </row>
    <row r="5722" spans="7:7">
      <c r="G5722" s="812"/>
    </row>
    <row r="5723" spans="7:7">
      <c r="G5723" s="812"/>
    </row>
    <row r="5724" spans="7:7">
      <c r="G5724" s="812"/>
    </row>
    <row r="5725" spans="7:7">
      <c r="G5725" s="812"/>
    </row>
    <row r="5726" spans="7:7">
      <c r="G5726" s="812"/>
    </row>
    <row r="5727" spans="7:7">
      <c r="G5727" s="812"/>
    </row>
    <row r="5728" spans="7:7">
      <c r="G5728" s="812"/>
    </row>
    <row r="5729" spans="7:7">
      <c r="G5729" s="812"/>
    </row>
    <row r="5730" spans="7:7">
      <c r="G5730" s="812"/>
    </row>
    <row r="5731" spans="7:7">
      <c r="G5731" s="812"/>
    </row>
    <row r="5732" spans="7:7">
      <c r="G5732" s="812"/>
    </row>
    <row r="5733" spans="7:7">
      <c r="G5733" s="812"/>
    </row>
    <row r="5734" spans="7:7">
      <c r="G5734" s="812"/>
    </row>
    <row r="5735" spans="7:7">
      <c r="G5735" s="812"/>
    </row>
    <row r="5736" spans="7:7">
      <c r="G5736" s="812"/>
    </row>
    <row r="5737" spans="7:7">
      <c r="G5737" s="812"/>
    </row>
    <row r="5738" spans="7:7">
      <c r="G5738" s="812"/>
    </row>
    <row r="5739" spans="7:7">
      <c r="G5739" s="812"/>
    </row>
    <row r="5740" spans="7:7">
      <c r="G5740" s="812"/>
    </row>
    <row r="5741" spans="7:7">
      <c r="G5741" s="812"/>
    </row>
    <row r="5742" spans="7:7">
      <c r="G5742" s="812"/>
    </row>
    <row r="5743" spans="7:7">
      <c r="G5743" s="812"/>
    </row>
    <row r="5744" spans="7:7">
      <c r="G5744" s="812"/>
    </row>
    <row r="5745" spans="7:7">
      <c r="G5745" s="812"/>
    </row>
    <row r="5746" spans="7:7">
      <c r="G5746" s="812"/>
    </row>
    <row r="5747" spans="7:7">
      <c r="G5747" s="812"/>
    </row>
    <row r="5748" spans="7:7">
      <c r="G5748" s="812"/>
    </row>
    <row r="5749" spans="7:7">
      <c r="G5749" s="812"/>
    </row>
    <row r="5750" spans="7:7">
      <c r="G5750" s="812"/>
    </row>
    <row r="5751" spans="7:7">
      <c r="G5751" s="812"/>
    </row>
    <row r="5752" spans="7:7">
      <c r="G5752" s="812"/>
    </row>
    <row r="5753" spans="7:7">
      <c r="G5753" s="812"/>
    </row>
    <row r="5754" spans="7:7">
      <c r="G5754" s="812"/>
    </row>
    <row r="5755" spans="7:7">
      <c r="G5755" s="812"/>
    </row>
    <row r="5756" spans="7:7">
      <c r="G5756" s="812"/>
    </row>
    <row r="5757" spans="7:7">
      <c r="G5757" s="812"/>
    </row>
    <row r="5758" spans="7:7">
      <c r="G5758" s="812"/>
    </row>
    <row r="5759" spans="7:7">
      <c r="G5759" s="812"/>
    </row>
    <row r="5760" spans="7:7">
      <c r="G5760" s="812"/>
    </row>
    <row r="5761" spans="7:7">
      <c r="G5761" s="812"/>
    </row>
    <row r="5762" spans="7:7">
      <c r="G5762" s="812"/>
    </row>
    <row r="5763" spans="7:7">
      <c r="G5763" s="812"/>
    </row>
    <row r="5764" spans="7:7">
      <c r="G5764" s="812"/>
    </row>
    <row r="5765" spans="7:7">
      <c r="G5765" s="812"/>
    </row>
    <row r="5766" spans="7:7">
      <c r="G5766" s="812"/>
    </row>
    <row r="5767" spans="7:7">
      <c r="G5767" s="812"/>
    </row>
    <row r="5768" spans="7:7">
      <c r="G5768" s="812"/>
    </row>
    <row r="5769" spans="7:7">
      <c r="G5769" s="812"/>
    </row>
    <row r="5770" spans="7:7">
      <c r="G5770" s="812"/>
    </row>
    <row r="5771" spans="7:7">
      <c r="G5771" s="812"/>
    </row>
    <row r="5772" spans="7:7">
      <c r="G5772" s="812"/>
    </row>
    <row r="5773" spans="7:7">
      <c r="G5773" s="812"/>
    </row>
    <row r="5774" spans="7:7">
      <c r="G5774" s="812"/>
    </row>
    <row r="5775" spans="7:7">
      <c r="G5775" s="812"/>
    </row>
    <row r="5776" spans="7:7">
      <c r="G5776" s="812"/>
    </row>
    <row r="5777" spans="7:7">
      <c r="G5777" s="812"/>
    </row>
    <row r="5778" spans="7:7">
      <c r="G5778" s="812"/>
    </row>
    <row r="5779" spans="7:7">
      <c r="G5779" s="812"/>
    </row>
    <row r="5780" spans="7:7">
      <c r="G5780" s="812"/>
    </row>
    <row r="5781" spans="7:7">
      <c r="G5781" s="812"/>
    </row>
    <row r="5782" spans="7:7">
      <c r="G5782" s="812"/>
    </row>
    <row r="5783" spans="7:7">
      <c r="G5783" s="812"/>
    </row>
    <row r="5784" spans="7:7">
      <c r="G5784" s="812"/>
    </row>
    <row r="5785" spans="7:7">
      <c r="G5785" s="812"/>
    </row>
    <row r="5786" spans="7:7">
      <c r="G5786" s="812"/>
    </row>
    <row r="5787" spans="7:7">
      <c r="G5787" s="812"/>
    </row>
    <row r="5788" spans="7:7">
      <c r="G5788" s="812"/>
    </row>
    <row r="5789" spans="7:7">
      <c r="G5789" s="812"/>
    </row>
    <row r="5790" spans="7:7">
      <c r="G5790" s="812"/>
    </row>
    <row r="5791" spans="7:7">
      <c r="G5791" s="812"/>
    </row>
    <row r="5792" spans="7:7">
      <c r="G5792" s="812"/>
    </row>
    <row r="5793" spans="7:7">
      <c r="G5793" s="812"/>
    </row>
    <row r="5794" spans="7:7">
      <c r="G5794" s="812"/>
    </row>
    <row r="5795" spans="7:7">
      <c r="G5795" s="812"/>
    </row>
    <row r="5796" spans="7:7">
      <c r="G5796" s="812"/>
    </row>
    <row r="5797" spans="7:7">
      <c r="G5797" s="812"/>
    </row>
    <row r="5798" spans="7:7">
      <c r="G5798" s="812"/>
    </row>
    <row r="5799" spans="7:7">
      <c r="G5799" s="812"/>
    </row>
    <row r="5800" spans="7:7">
      <c r="G5800" s="812"/>
    </row>
    <row r="5801" spans="7:7">
      <c r="G5801" s="812"/>
    </row>
    <row r="5802" spans="7:7">
      <c r="G5802" s="812"/>
    </row>
    <row r="5803" spans="7:7">
      <c r="G5803" s="812"/>
    </row>
    <row r="5804" spans="7:7">
      <c r="G5804" s="812"/>
    </row>
    <row r="5805" spans="7:7">
      <c r="G5805" s="812"/>
    </row>
    <row r="5806" spans="7:7">
      <c r="G5806" s="812"/>
    </row>
    <row r="5807" spans="7:7">
      <c r="G5807" s="812"/>
    </row>
    <row r="5808" spans="7:7">
      <c r="G5808" s="812"/>
    </row>
    <row r="5809" spans="7:7">
      <c r="G5809" s="812"/>
    </row>
    <row r="5810" spans="7:7">
      <c r="G5810" s="812"/>
    </row>
    <row r="5811" spans="7:7">
      <c r="G5811" s="812"/>
    </row>
    <row r="5812" spans="7:7">
      <c r="G5812" s="812"/>
    </row>
    <row r="5813" spans="7:7">
      <c r="G5813" s="812"/>
    </row>
    <row r="5814" spans="7:7">
      <c r="G5814" s="812"/>
    </row>
    <row r="5815" spans="7:7">
      <c r="G5815" s="812"/>
    </row>
    <row r="5816" spans="7:7">
      <c r="G5816" s="812"/>
    </row>
    <row r="5817" spans="7:7">
      <c r="G5817" s="812"/>
    </row>
    <row r="5818" spans="7:7">
      <c r="G5818" s="812"/>
    </row>
    <row r="5819" spans="7:7">
      <c r="G5819" s="812"/>
    </row>
    <row r="5820" spans="7:7">
      <c r="G5820" s="812"/>
    </row>
    <row r="5821" spans="7:7">
      <c r="G5821" s="812"/>
    </row>
    <row r="5822" spans="7:7">
      <c r="G5822" s="812"/>
    </row>
    <row r="5823" spans="7:7">
      <c r="G5823" s="812"/>
    </row>
    <row r="5824" spans="7:7">
      <c r="G5824" s="812"/>
    </row>
    <row r="5825" spans="7:7">
      <c r="G5825" s="812"/>
    </row>
    <row r="5826" spans="7:7">
      <c r="G5826" s="812"/>
    </row>
    <row r="5827" spans="7:7">
      <c r="G5827" s="812"/>
    </row>
    <row r="5828" spans="7:7">
      <c r="G5828" s="812"/>
    </row>
    <row r="5829" spans="7:7">
      <c r="G5829" s="812"/>
    </row>
    <row r="5830" spans="7:7">
      <c r="G5830" s="812"/>
    </row>
    <row r="5831" spans="7:7">
      <c r="G5831" s="812"/>
    </row>
    <row r="5832" spans="7:7">
      <c r="G5832" s="812"/>
    </row>
    <row r="5833" spans="7:7">
      <c r="G5833" s="812"/>
    </row>
    <row r="5834" spans="7:7">
      <c r="G5834" s="812"/>
    </row>
    <row r="5835" spans="7:7">
      <c r="G5835" s="812"/>
    </row>
    <row r="5836" spans="7:7">
      <c r="G5836" s="812"/>
    </row>
    <row r="5837" spans="7:7">
      <c r="G5837" s="812"/>
    </row>
    <row r="5838" spans="7:7">
      <c r="G5838" s="812"/>
    </row>
    <row r="5839" spans="7:7">
      <c r="G5839" s="812"/>
    </row>
    <row r="5840" spans="7:7">
      <c r="G5840" s="812"/>
    </row>
    <row r="5841" spans="7:7">
      <c r="G5841" s="812"/>
    </row>
    <row r="5842" spans="7:7">
      <c r="G5842" s="812"/>
    </row>
    <row r="5843" spans="7:7">
      <c r="G5843" s="812"/>
    </row>
    <row r="5844" spans="7:7">
      <c r="G5844" s="812"/>
    </row>
    <row r="5845" spans="7:7">
      <c r="G5845" s="812"/>
    </row>
    <row r="5846" spans="7:7">
      <c r="G5846" s="812"/>
    </row>
    <row r="5847" spans="7:7">
      <c r="G5847" s="812"/>
    </row>
    <row r="5848" spans="7:7">
      <c r="G5848" s="812"/>
    </row>
    <row r="5849" spans="7:7">
      <c r="G5849" s="812"/>
    </row>
    <row r="5850" spans="7:7">
      <c r="G5850" s="812"/>
    </row>
    <row r="5851" spans="7:7">
      <c r="G5851" s="812"/>
    </row>
    <row r="5852" spans="7:7">
      <c r="G5852" s="812"/>
    </row>
    <row r="5853" spans="7:7">
      <c r="G5853" s="812"/>
    </row>
    <row r="5854" spans="7:7">
      <c r="G5854" s="812"/>
    </row>
    <row r="5855" spans="7:7">
      <c r="G5855" s="812"/>
    </row>
    <row r="5856" spans="7:7">
      <c r="G5856" s="812"/>
    </row>
    <row r="5857" spans="7:7">
      <c r="G5857" s="812"/>
    </row>
    <row r="5858" spans="7:7">
      <c r="G5858" s="812"/>
    </row>
    <row r="5859" spans="7:7">
      <c r="G5859" s="812"/>
    </row>
    <row r="5860" spans="7:7">
      <c r="G5860" s="812"/>
    </row>
    <row r="5861" spans="7:7">
      <c r="G5861" s="812"/>
    </row>
    <row r="5862" spans="7:7">
      <c r="G5862" s="812"/>
    </row>
    <row r="5863" spans="7:7">
      <c r="G5863" s="812"/>
    </row>
    <row r="5864" spans="7:7">
      <c r="G5864" s="812"/>
    </row>
    <row r="5865" spans="7:7">
      <c r="G5865" s="812"/>
    </row>
    <row r="5866" spans="7:7">
      <c r="G5866" s="812"/>
    </row>
    <row r="5867" spans="7:7">
      <c r="G5867" s="812"/>
    </row>
    <row r="5868" spans="7:7">
      <c r="G5868" s="812"/>
    </row>
    <row r="5869" spans="7:7">
      <c r="G5869" s="812"/>
    </row>
    <row r="5870" spans="7:7">
      <c r="G5870" s="812"/>
    </row>
    <row r="5871" spans="7:7">
      <c r="G5871" s="812"/>
    </row>
    <row r="5872" spans="7:7">
      <c r="G5872" s="812"/>
    </row>
    <row r="5873" spans="7:7">
      <c r="G5873" s="812"/>
    </row>
    <row r="5874" spans="7:7">
      <c r="G5874" s="812"/>
    </row>
    <row r="5875" spans="7:7">
      <c r="G5875" s="812"/>
    </row>
    <row r="5876" spans="7:7">
      <c r="G5876" s="812"/>
    </row>
    <row r="5877" spans="7:7">
      <c r="G5877" s="812"/>
    </row>
    <row r="5878" spans="7:7">
      <c r="G5878" s="812"/>
    </row>
    <row r="5879" spans="7:7">
      <c r="G5879" s="812"/>
    </row>
    <row r="5880" spans="7:7">
      <c r="G5880" s="812"/>
    </row>
    <row r="5881" spans="7:7">
      <c r="G5881" s="812"/>
    </row>
    <row r="5882" spans="7:7">
      <c r="G5882" s="812"/>
    </row>
    <row r="5883" spans="7:7">
      <c r="G5883" s="812"/>
    </row>
    <row r="5884" spans="7:7">
      <c r="G5884" s="812"/>
    </row>
    <row r="5885" spans="7:7">
      <c r="G5885" s="812"/>
    </row>
    <row r="5886" spans="7:7">
      <c r="G5886" s="812"/>
    </row>
    <row r="5887" spans="7:7">
      <c r="G5887" s="812"/>
    </row>
    <row r="5888" spans="7:7">
      <c r="G5888" s="812"/>
    </row>
    <row r="5889" spans="7:7">
      <c r="G5889" s="812"/>
    </row>
    <row r="5890" spans="7:7">
      <c r="G5890" s="812"/>
    </row>
    <row r="5891" spans="7:7">
      <c r="G5891" s="812"/>
    </row>
    <row r="5892" spans="7:7">
      <c r="G5892" s="812"/>
    </row>
    <row r="5893" spans="7:7">
      <c r="G5893" s="812"/>
    </row>
    <row r="5894" spans="7:7">
      <c r="G5894" s="812"/>
    </row>
    <row r="5895" spans="7:7">
      <c r="G5895" s="812"/>
    </row>
    <row r="5896" spans="7:7">
      <c r="G5896" s="812"/>
    </row>
    <row r="5897" spans="7:7">
      <c r="G5897" s="812"/>
    </row>
    <row r="5898" spans="7:7">
      <c r="G5898" s="812"/>
    </row>
    <row r="5899" spans="7:7">
      <c r="G5899" s="812"/>
    </row>
    <row r="5900" spans="7:7">
      <c r="G5900" s="812"/>
    </row>
    <row r="5901" spans="7:7">
      <c r="G5901" s="812"/>
    </row>
    <row r="5902" spans="7:7">
      <c r="G5902" s="812"/>
    </row>
    <row r="5903" spans="7:7">
      <c r="G5903" s="812"/>
    </row>
    <row r="5904" spans="7:7">
      <c r="G5904" s="812"/>
    </row>
    <row r="5905" spans="7:7">
      <c r="G5905" s="812"/>
    </row>
    <row r="5906" spans="7:7">
      <c r="G5906" s="812"/>
    </row>
    <row r="5907" spans="7:7">
      <c r="G5907" s="812"/>
    </row>
    <row r="5908" spans="7:7">
      <c r="G5908" s="812"/>
    </row>
    <row r="5909" spans="7:7">
      <c r="G5909" s="812"/>
    </row>
    <row r="5910" spans="7:7">
      <c r="G5910" s="812"/>
    </row>
    <row r="5911" spans="7:7">
      <c r="G5911" s="812"/>
    </row>
    <row r="5912" spans="7:7">
      <c r="G5912" s="812"/>
    </row>
    <row r="5913" spans="7:7">
      <c r="G5913" s="812"/>
    </row>
    <row r="5914" spans="7:7">
      <c r="G5914" s="812"/>
    </row>
    <row r="5915" spans="7:7">
      <c r="G5915" s="812"/>
    </row>
    <row r="5916" spans="7:7">
      <c r="G5916" s="812"/>
    </row>
    <row r="5917" spans="7:7">
      <c r="G5917" s="812"/>
    </row>
    <row r="5918" spans="7:7">
      <c r="G5918" s="812"/>
    </row>
    <row r="5919" spans="7:7">
      <c r="G5919" s="812"/>
    </row>
    <row r="5920" spans="7:7">
      <c r="G5920" s="812"/>
    </row>
    <row r="5921" spans="7:7">
      <c r="G5921" s="812"/>
    </row>
    <row r="5922" spans="7:7">
      <c r="G5922" s="812"/>
    </row>
    <row r="5923" spans="7:7">
      <c r="G5923" s="812"/>
    </row>
    <row r="5924" spans="7:7">
      <c r="G5924" s="812"/>
    </row>
    <row r="5925" spans="7:7">
      <c r="G5925" s="812"/>
    </row>
    <row r="5926" spans="7:7">
      <c r="G5926" s="812"/>
    </row>
    <row r="5927" spans="7:7">
      <c r="G5927" s="812"/>
    </row>
    <row r="5928" spans="7:7">
      <c r="G5928" s="812"/>
    </row>
    <row r="5929" spans="7:7">
      <c r="G5929" s="812"/>
    </row>
    <row r="5930" spans="7:7">
      <c r="G5930" s="812"/>
    </row>
    <row r="5931" spans="7:7">
      <c r="G5931" s="812"/>
    </row>
    <row r="5932" spans="7:7">
      <c r="G5932" s="812"/>
    </row>
    <row r="5933" spans="7:7">
      <c r="G5933" s="812"/>
    </row>
    <row r="5934" spans="7:7">
      <c r="G5934" s="812"/>
    </row>
    <row r="5935" spans="7:7">
      <c r="G5935" s="812"/>
    </row>
    <row r="5936" spans="7:7">
      <c r="G5936" s="812"/>
    </row>
    <row r="5937" spans="7:7">
      <c r="G5937" s="812"/>
    </row>
    <row r="5938" spans="7:7">
      <c r="G5938" s="812"/>
    </row>
    <row r="5939" spans="7:7">
      <c r="G5939" s="812"/>
    </row>
    <row r="5940" spans="7:7">
      <c r="G5940" s="812"/>
    </row>
    <row r="5941" spans="7:7">
      <c r="G5941" s="812"/>
    </row>
    <row r="5942" spans="7:7">
      <c r="G5942" s="812"/>
    </row>
    <row r="5943" spans="7:7">
      <c r="G5943" s="812"/>
    </row>
    <row r="5944" spans="7:7">
      <c r="G5944" s="812"/>
    </row>
    <row r="5945" spans="7:7">
      <c r="G5945" s="812"/>
    </row>
    <row r="5946" spans="7:7">
      <c r="G5946" s="812"/>
    </row>
    <row r="5947" spans="7:7">
      <c r="G5947" s="812"/>
    </row>
    <row r="5948" spans="7:7">
      <c r="G5948" s="812"/>
    </row>
    <row r="5949" spans="7:7">
      <c r="G5949" s="812"/>
    </row>
    <row r="5950" spans="7:7">
      <c r="G5950" s="812"/>
    </row>
    <row r="5951" spans="7:7">
      <c r="G5951" s="812"/>
    </row>
    <row r="5952" spans="7:7">
      <c r="G5952" s="812"/>
    </row>
    <row r="5953" spans="7:7">
      <c r="G5953" s="812"/>
    </row>
    <row r="5954" spans="7:7">
      <c r="G5954" s="812"/>
    </row>
    <row r="5955" spans="7:7">
      <c r="G5955" s="812"/>
    </row>
    <row r="5956" spans="7:7">
      <c r="G5956" s="812"/>
    </row>
    <row r="5957" spans="7:7">
      <c r="G5957" s="812"/>
    </row>
    <row r="5958" spans="7:7">
      <c r="G5958" s="812"/>
    </row>
    <row r="5959" spans="7:7">
      <c r="G5959" s="812"/>
    </row>
    <row r="5960" spans="7:7">
      <c r="G5960" s="812"/>
    </row>
    <row r="5961" spans="7:7">
      <c r="G5961" s="812"/>
    </row>
    <row r="5962" spans="7:7">
      <c r="G5962" s="812"/>
    </row>
    <row r="5963" spans="7:7">
      <c r="G5963" s="812"/>
    </row>
    <row r="5964" spans="7:7">
      <c r="G5964" s="812"/>
    </row>
    <row r="5965" spans="7:7">
      <c r="G5965" s="812"/>
    </row>
    <row r="5966" spans="7:7">
      <c r="G5966" s="812"/>
    </row>
    <row r="5967" spans="7:7">
      <c r="G5967" s="812"/>
    </row>
    <row r="5968" spans="7:7">
      <c r="G5968" s="812"/>
    </row>
    <row r="5969" spans="7:7">
      <c r="G5969" s="812"/>
    </row>
    <row r="5970" spans="7:7">
      <c r="G5970" s="812"/>
    </row>
    <row r="5971" spans="7:7">
      <c r="G5971" s="812"/>
    </row>
    <row r="5972" spans="7:7">
      <c r="G5972" s="812"/>
    </row>
    <row r="5973" spans="7:7">
      <c r="G5973" s="812"/>
    </row>
    <row r="5974" spans="7:7">
      <c r="G5974" s="812"/>
    </row>
    <row r="5975" spans="7:7">
      <c r="G5975" s="812"/>
    </row>
    <row r="5976" spans="7:7">
      <c r="G5976" s="812"/>
    </row>
    <row r="5977" spans="7:7">
      <c r="G5977" s="812"/>
    </row>
    <row r="5978" spans="7:7">
      <c r="G5978" s="812"/>
    </row>
    <row r="5979" spans="7:7">
      <c r="G5979" s="812"/>
    </row>
    <row r="5980" spans="7:7">
      <c r="G5980" s="812"/>
    </row>
    <row r="5981" spans="7:7">
      <c r="G5981" s="812"/>
    </row>
    <row r="5982" spans="7:7">
      <c r="G5982" s="812"/>
    </row>
    <row r="5983" spans="7:7">
      <c r="G5983" s="812"/>
    </row>
    <row r="5984" spans="7:7">
      <c r="G5984" s="812"/>
    </row>
    <row r="5985" spans="7:7">
      <c r="G5985" s="812"/>
    </row>
    <row r="5986" spans="7:7">
      <c r="G5986" s="812"/>
    </row>
    <row r="5987" spans="7:7">
      <c r="G5987" s="812"/>
    </row>
    <row r="5988" spans="7:7">
      <c r="G5988" s="812"/>
    </row>
    <row r="5989" spans="7:7">
      <c r="G5989" s="812"/>
    </row>
    <row r="5990" spans="7:7">
      <c r="G5990" s="812"/>
    </row>
    <row r="5991" spans="7:7">
      <c r="G5991" s="812"/>
    </row>
    <row r="5992" spans="7:7">
      <c r="G5992" s="812"/>
    </row>
    <row r="5993" spans="7:7">
      <c r="G5993" s="812"/>
    </row>
    <row r="5994" spans="7:7">
      <c r="G5994" s="812"/>
    </row>
    <row r="5995" spans="7:7">
      <c r="G5995" s="812"/>
    </row>
    <row r="5996" spans="7:7">
      <c r="G5996" s="812"/>
    </row>
    <row r="5997" spans="7:7">
      <c r="G5997" s="812"/>
    </row>
    <row r="5998" spans="7:7">
      <c r="G5998" s="812"/>
    </row>
    <row r="5999" spans="7:7">
      <c r="G5999" s="812"/>
    </row>
    <row r="6000" spans="7:7">
      <c r="G6000" s="812"/>
    </row>
    <row r="6001" spans="7:7">
      <c r="G6001" s="812"/>
    </row>
    <row r="6002" spans="7:7">
      <c r="G6002" s="812"/>
    </row>
    <row r="6003" spans="7:7">
      <c r="G6003" s="812"/>
    </row>
    <row r="6004" spans="7:7">
      <c r="G6004" s="812"/>
    </row>
    <row r="6005" spans="7:7">
      <c r="G6005" s="812"/>
    </row>
    <row r="6006" spans="7:7">
      <c r="G6006" s="812"/>
    </row>
    <row r="6007" spans="7:7">
      <c r="G6007" s="812"/>
    </row>
    <row r="6008" spans="7:7">
      <c r="G6008" s="812"/>
    </row>
    <row r="6009" spans="7:7">
      <c r="G6009" s="812"/>
    </row>
    <row r="6010" spans="7:7">
      <c r="G6010" s="812"/>
    </row>
    <row r="6011" spans="7:7">
      <c r="G6011" s="812"/>
    </row>
    <row r="6012" spans="7:7">
      <c r="G6012" s="812"/>
    </row>
    <row r="6013" spans="7:7">
      <c r="G6013" s="812"/>
    </row>
    <row r="6014" spans="7:7">
      <c r="G6014" s="812"/>
    </row>
    <row r="6015" spans="7:7">
      <c r="G6015" s="812"/>
    </row>
    <row r="6016" spans="7:7">
      <c r="G6016" s="812"/>
    </row>
    <row r="6017" spans="7:7">
      <c r="G6017" s="812"/>
    </row>
    <row r="6018" spans="7:7">
      <c r="G6018" s="812"/>
    </row>
    <row r="6019" spans="7:7">
      <c r="G6019" s="812"/>
    </row>
    <row r="6020" spans="7:7">
      <c r="G6020" s="812"/>
    </row>
    <row r="6021" spans="7:7">
      <c r="G6021" s="812"/>
    </row>
    <row r="6022" spans="7:7">
      <c r="G6022" s="812"/>
    </row>
    <row r="6023" spans="7:7">
      <c r="G6023" s="812"/>
    </row>
    <row r="6024" spans="7:7">
      <c r="G6024" s="812"/>
    </row>
    <row r="6025" spans="7:7">
      <c r="G6025" s="812"/>
    </row>
    <row r="6026" spans="7:7">
      <c r="G6026" s="812"/>
    </row>
    <row r="6027" spans="7:7">
      <c r="G6027" s="812"/>
    </row>
    <row r="6028" spans="7:7">
      <c r="G6028" s="812"/>
    </row>
    <row r="6029" spans="7:7">
      <c r="G6029" s="812"/>
    </row>
    <row r="6030" spans="7:7">
      <c r="G6030" s="812"/>
    </row>
    <row r="6031" spans="7:7">
      <c r="G6031" s="812"/>
    </row>
    <row r="6032" spans="7:7">
      <c r="G6032" s="812"/>
    </row>
    <row r="6033" spans="7:7">
      <c r="G6033" s="812"/>
    </row>
    <row r="6034" spans="7:7">
      <c r="G6034" s="812"/>
    </row>
    <row r="6035" spans="7:7">
      <c r="G6035" s="812"/>
    </row>
    <row r="6036" spans="7:7">
      <c r="G6036" s="812"/>
    </row>
    <row r="6037" spans="7:7">
      <c r="G6037" s="812"/>
    </row>
    <row r="6038" spans="7:7">
      <c r="G6038" s="812"/>
    </row>
    <row r="6039" spans="7:7">
      <c r="G6039" s="812"/>
    </row>
    <row r="6040" spans="7:7">
      <c r="G6040" s="812"/>
    </row>
    <row r="6041" spans="7:7">
      <c r="G6041" s="812"/>
    </row>
    <row r="6042" spans="7:7">
      <c r="G6042" s="812"/>
    </row>
    <row r="6043" spans="7:7">
      <c r="G6043" s="812"/>
    </row>
    <row r="6044" spans="7:7">
      <c r="G6044" s="812"/>
    </row>
    <row r="6045" spans="7:7">
      <c r="G6045" s="812"/>
    </row>
    <row r="6046" spans="7:7">
      <c r="G6046" s="812"/>
    </row>
    <row r="6047" spans="7:7">
      <c r="G6047" s="812"/>
    </row>
    <row r="6048" spans="7:7">
      <c r="G6048" s="812"/>
    </row>
    <row r="6049" spans="7:7">
      <c r="G6049" s="812"/>
    </row>
    <row r="6050" spans="7:7">
      <c r="G6050" s="812"/>
    </row>
    <row r="6051" spans="7:7">
      <c r="G6051" s="812"/>
    </row>
    <row r="6052" spans="7:7">
      <c r="G6052" s="812"/>
    </row>
    <row r="6053" spans="7:7">
      <c r="G6053" s="812"/>
    </row>
    <row r="6054" spans="7:7">
      <c r="G6054" s="812"/>
    </row>
    <row r="6055" spans="7:7">
      <c r="G6055" s="812"/>
    </row>
    <row r="6056" spans="7:7">
      <c r="G6056" s="812"/>
    </row>
    <row r="6057" spans="7:7">
      <c r="G6057" s="812"/>
    </row>
    <row r="6058" spans="7:7">
      <c r="G6058" s="812"/>
    </row>
    <row r="6059" spans="7:7">
      <c r="G6059" s="812"/>
    </row>
    <row r="6060" spans="7:7">
      <c r="G6060" s="812"/>
    </row>
    <row r="6061" spans="7:7">
      <c r="G6061" s="812"/>
    </row>
    <row r="6062" spans="7:7">
      <c r="G6062" s="812"/>
    </row>
    <row r="6063" spans="7:7">
      <c r="G6063" s="812"/>
    </row>
    <row r="6064" spans="7:7">
      <c r="G6064" s="812"/>
    </row>
    <row r="6065" spans="7:7">
      <c r="G6065" s="812"/>
    </row>
    <row r="6066" spans="7:7">
      <c r="G6066" s="812"/>
    </row>
    <row r="6067" spans="7:7">
      <c r="G6067" s="812"/>
    </row>
    <row r="6068" spans="7:7">
      <c r="G6068" s="812"/>
    </row>
    <row r="6069" spans="7:7">
      <c r="G6069" s="812"/>
    </row>
    <row r="6070" spans="7:7">
      <c r="G6070" s="812"/>
    </row>
    <row r="6071" spans="7:7">
      <c r="G6071" s="812"/>
    </row>
    <row r="6072" spans="7:7">
      <c r="G6072" s="812"/>
    </row>
    <row r="6073" spans="7:7">
      <c r="G6073" s="812"/>
    </row>
    <row r="6074" spans="7:7">
      <c r="G6074" s="812"/>
    </row>
    <row r="6075" spans="7:7">
      <c r="G6075" s="812"/>
    </row>
    <row r="6076" spans="7:7">
      <c r="G6076" s="812"/>
    </row>
    <row r="6077" spans="7:7">
      <c r="G6077" s="812"/>
    </row>
    <row r="6078" spans="7:7">
      <c r="G6078" s="812"/>
    </row>
    <row r="6079" spans="7:7">
      <c r="G6079" s="812"/>
    </row>
    <row r="6080" spans="7:7">
      <c r="G6080" s="812"/>
    </row>
    <row r="6081" spans="7:7">
      <c r="G6081" s="812"/>
    </row>
    <row r="6082" spans="7:7">
      <c r="G6082" s="812"/>
    </row>
    <row r="6083" spans="7:7">
      <c r="G6083" s="812"/>
    </row>
    <row r="6084" spans="7:7">
      <c r="G6084" s="812"/>
    </row>
    <row r="6085" spans="7:7">
      <c r="G6085" s="812"/>
    </row>
    <row r="6086" spans="7:7">
      <c r="G6086" s="812"/>
    </row>
    <row r="6087" spans="7:7">
      <c r="G6087" s="812"/>
    </row>
    <row r="6088" spans="7:7">
      <c r="G6088" s="812"/>
    </row>
    <row r="6089" spans="7:7">
      <c r="G6089" s="812"/>
    </row>
    <row r="6090" spans="7:7">
      <c r="G6090" s="812"/>
    </row>
    <row r="6091" spans="7:7">
      <c r="G6091" s="812"/>
    </row>
    <row r="6092" spans="7:7">
      <c r="G6092" s="812"/>
    </row>
    <row r="6093" spans="7:7">
      <c r="G6093" s="812"/>
    </row>
    <row r="6094" spans="7:7">
      <c r="G6094" s="812"/>
    </row>
    <row r="6095" spans="7:7">
      <c r="G6095" s="812"/>
    </row>
    <row r="6096" spans="7:7">
      <c r="G6096" s="812"/>
    </row>
    <row r="6097" spans="7:7">
      <c r="G6097" s="812"/>
    </row>
    <row r="6098" spans="7:7">
      <c r="G6098" s="812"/>
    </row>
    <row r="6099" spans="7:7">
      <c r="G6099" s="812"/>
    </row>
    <row r="6100" spans="7:7">
      <c r="G6100" s="812"/>
    </row>
    <row r="6101" spans="7:7">
      <c r="G6101" s="812"/>
    </row>
    <row r="6102" spans="7:7">
      <c r="G6102" s="812"/>
    </row>
    <row r="6103" spans="7:7">
      <c r="G6103" s="812"/>
    </row>
    <row r="6104" spans="7:7">
      <c r="G6104" s="812"/>
    </row>
    <row r="6105" spans="7:7">
      <c r="G6105" s="812"/>
    </row>
    <row r="6106" spans="7:7">
      <c r="G6106" s="812"/>
    </row>
    <row r="6107" spans="7:7">
      <c r="G6107" s="812"/>
    </row>
    <row r="6108" spans="7:7">
      <c r="G6108" s="812"/>
    </row>
    <row r="6109" spans="7:7">
      <c r="G6109" s="812"/>
    </row>
    <row r="6110" spans="7:7">
      <c r="G6110" s="812"/>
    </row>
    <row r="6111" spans="7:7">
      <c r="G6111" s="812"/>
    </row>
    <row r="6112" spans="7:7">
      <c r="G6112" s="812"/>
    </row>
    <row r="6113" spans="7:7">
      <c r="G6113" s="812"/>
    </row>
    <row r="6114" spans="7:7">
      <c r="G6114" s="812"/>
    </row>
    <row r="6115" spans="7:7">
      <c r="G6115" s="812"/>
    </row>
    <row r="6116" spans="7:7">
      <c r="G6116" s="812"/>
    </row>
    <row r="6117" spans="7:7">
      <c r="G6117" s="812"/>
    </row>
    <row r="6118" spans="7:7">
      <c r="G6118" s="812"/>
    </row>
    <row r="6119" spans="7:7">
      <c r="G6119" s="812"/>
    </row>
    <row r="6120" spans="7:7">
      <c r="G6120" s="812"/>
    </row>
    <row r="6121" spans="7:7">
      <c r="G6121" s="812"/>
    </row>
    <row r="6122" spans="7:7">
      <c r="G6122" s="812"/>
    </row>
    <row r="6123" spans="7:7">
      <c r="G6123" s="812"/>
    </row>
    <row r="6124" spans="7:7">
      <c r="G6124" s="812"/>
    </row>
    <row r="6125" spans="7:7">
      <c r="G6125" s="812"/>
    </row>
    <row r="6126" spans="7:7">
      <c r="G6126" s="812"/>
    </row>
    <row r="6127" spans="7:7">
      <c r="G6127" s="812"/>
    </row>
    <row r="6128" spans="7:7">
      <c r="G6128" s="812"/>
    </row>
    <row r="6129" spans="7:7">
      <c r="G6129" s="812"/>
    </row>
    <row r="6130" spans="7:7">
      <c r="G6130" s="812"/>
    </row>
    <row r="6131" spans="7:7">
      <c r="G6131" s="812"/>
    </row>
    <row r="6132" spans="7:7">
      <c r="G6132" s="812"/>
    </row>
    <row r="6133" spans="7:7">
      <c r="G6133" s="812"/>
    </row>
    <row r="6134" spans="7:7">
      <c r="G6134" s="812"/>
    </row>
    <row r="6135" spans="7:7">
      <c r="G6135" s="812"/>
    </row>
    <row r="6136" spans="7:7">
      <c r="G6136" s="812"/>
    </row>
    <row r="6137" spans="7:7">
      <c r="G6137" s="812"/>
    </row>
    <row r="6138" spans="7:7">
      <c r="G6138" s="812"/>
    </row>
    <row r="6139" spans="7:7">
      <c r="G6139" s="812"/>
    </row>
    <row r="6140" spans="7:7">
      <c r="G6140" s="812"/>
    </row>
    <row r="6141" spans="7:7">
      <c r="G6141" s="812"/>
    </row>
    <row r="6142" spans="7:7">
      <c r="G6142" s="812"/>
    </row>
    <row r="6143" spans="7:7">
      <c r="G6143" s="812"/>
    </row>
    <row r="6144" spans="7:7">
      <c r="G6144" s="812"/>
    </row>
    <row r="6145" spans="7:7">
      <c r="G6145" s="812"/>
    </row>
    <row r="6146" spans="7:7">
      <c r="G6146" s="812"/>
    </row>
    <row r="6147" spans="7:7">
      <c r="G6147" s="812"/>
    </row>
    <row r="6148" spans="7:7">
      <c r="G6148" s="812"/>
    </row>
    <row r="6149" spans="7:7">
      <c r="G6149" s="812"/>
    </row>
    <row r="6150" spans="7:7">
      <c r="G6150" s="812"/>
    </row>
    <row r="6151" spans="7:7">
      <c r="G6151" s="812"/>
    </row>
    <row r="6152" spans="7:7">
      <c r="G6152" s="812"/>
    </row>
    <row r="6153" spans="7:7">
      <c r="G6153" s="812"/>
    </row>
    <row r="6154" spans="7:7">
      <c r="G6154" s="812"/>
    </row>
    <row r="6155" spans="7:7">
      <c r="G6155" s="812"/>
    </row>
    <row r="6156" spans="7:7">
      <c r="G6156" s="812"/>
    </row>
    <row r="6157" spans="7:7">
      <c r="G6157" s="812"/>
    </row>
    <row r="6158" spans="7:7">
      <c r="G6158" s="812"/>
    </row>
    <row r="6159" spans="7:7">
      <c r="G6159" s="812"/>
    </row>
    <row r="6160" spans="7:7">
      <c r="G6160" s="812"/>
    </row>
    <row r="6161" spans="7:7">
      <c r="G6161" s="812"/>
    </row>
    <row r="6162" spans="7:7">
      <c r="G6162" s="812"/>
    </row>
    <row r="6163" spans="7:7">
      <c r="G6163" s="812"/>
    </row>
    <row r="6164" spans="7:7">
      <c r="G6164" s="812"/>
    </row>
    <row r="6165" spans="7:7">
      <c r="G6165" s="812"/>
    </row>
    <row r="6166" spans="7:7">
      <c r="G6166" s="812"/>
    </row>
    <row r="6167" spans="7:7">
      <c r="G6167" s="812"/>
    </row>
    <row r="6168" spans="7:7">
      <c r="G6168" s="812"/>
    </row>
    <row r="6169" spans="7:7">
      <c r="G6169" s="812"/>
    </row>
    <row r="6170" spans="7:7">
      <c r="G6170" s="812"/>
    </row>
    <row r="6171" spans="7:7">
      <c r="G6171" s="812"/>
    </row>
    <row r="6172" spans="7:7">
      <c r="G6172" s="812"/>
    </row>
    <row r="6173" spans="7:7">
      <c r="G6173" s="812"/>
    </row>
    <row r="6174" spans="7:7">
      <c r="G6174" s="812"/>
    </row>
    <row r="6175" spans="7:7">
      <c r="G6175" s="812"/>
    </row>
    <row r="6176" spans="7:7">
      <c r="G6176" s="812"/>
    </row>
    <row r="6177" spans="7:7">
      <c r="G6177" s="812"/>
    </row>
    <row r="6178" spans="7:7">
      <c r="G6178" s="812"/>
    </row>
    <row r="6179" spans="7:7">
      <c r="G6179" s="812"/>
    </row>
    <row r="6180" spans="7:7">
      <c r="G6180" s="812"/>
    </row>
    <row r="6181" spans="7:7">
      <c r="G6181" s="812"/>
    </row>
    <row r="6182" spans="7:7">
      <c r="G6182" s="812"/>
    </row>
    <row r="6183" spans="7:7">
      <c r="G6183" s="812"/>
    </row>
    <row r="6184" spans="7:7">
      <c r="G6184" s="812"/>
    </row>
    <row r="6185" spans="7:7">
      <c r="G6185" s="812"/>
    </row>
    <row r="6186" spans="7:7">
      <c r="G6186" s="812"/>
    </row>
    <row r="6187" spans="7:7">
      <c r="G6187" s="812"/>
    </row>
    <row r="6188" spans="7:7">
      <c r="G6188" s="812"/>
    </row>
    <row r="6189" spans="7:7">
      <c r="G6189" s="812"/>
    </row>
    <row r="6190" spans="7:7">
      <c r="G6190" s="812"/>
    </row>
    <row r="6191" spans="7:7">
      <c r="G6191" s="812"/>
    </row>
    <row r="6192" spans="7:7">
      <c r="G6192" s="812"/>
    </row>
    <row r="6193" spans="7:7">
      <c r="G6193" s="812"/>
    </row>
    <row r="6194" spans="7:7">
      <c r="G6194" s="812"/>
    </row>
    <row r="6195" spans="7:7">
      <c r="G6195" s="812"/>
    </row>
    <row r="6196" spans="7:7">
      <c r="G6196" s="812"/>
    </row>
    <row r="6197" spans="7:7">
      <c r="G6197" s="812"/>
    </row>
    <row r="6198" spans="7:7">
      <c r="G6198" s="812"/>
    </row>
    <row r="6199" spans="7:7">
      <c r="G6199" s="812"/>
    </row>
    <row r="6200" spans="7:7">
      <c r="G6200" s="812"/>
    </row>
    <row r="6201" spans="7:7">
      <c r="G6201" s="812"/>
    </row>
    <row r="6202" spans="7:7">
      <c r="G6202" s="812"/>
    </row>
    <row r="6203" spans="7:7">
      <c r="G6203" s="812"/>
    </row>
    <row r="6204" spans="7:7">
      <c r="G6204" s="812"/>
    </row>
    <row r="6205" spans="7:7">
      <c r="G6205" s="812"/>
    </row>
    <row r="6206" spans="7:7">
      <c r="G6206" s="812"/>
    </row>
    <row r="6207" spans="7:7">
      <c r="G6207" s="812"/>
    </row>
    <row r="6208" spans="7:7">
      <c r="G6208" s="812"/>
    </row>
    <row r="6209" spans="7:7">
      <c r="G6209" s="812"/>
    </row>
    <row r="6210" spans="7:7">
      <c r="G6210" s="812"/>
    </row>
    <row r="6211" spans="7:7">
      <c r="G6211" s="812"/>
    </row>
    <row r="6212" spans="7:7">
      <c r="G6212" s="812"/>
    </row>
    <row r="6213" spans="7:7">
      <c r="G6213" s="812"/>
    </row>
    <row r="6214" spans="7:7">
      <c r="G6214" s="812"/>
    </row>
    <row r="6215" spans="7:7">
      <c r="G6215" s="812"/>
    </row>
    <row r="6216" spans="7:7">
      <c r="G6216" s="812"/>
    </row>
    <row r="6217" spans="7:7">
      <c r="G6217" s="812"/>
    </row>
    <row r="6218" spans="7:7">
      <c r="G6218" s="812"/>
    </row>
    <row r="6219" spans="7:7">
      <c r="G6219" s="812"/>
    </row>
    <row r="6220" spans="7:7">
      <c r="G6220" s="812"/>
    </row>
    <row r="6221" spans="7:7">
      <c r="G6221" s="812"/>
    </row>
    <row r="6222" spans="7:7">
      <c r="G6222" s="812"/>
    </row>
    <row r="6223" spans="7:7">
      <c r="G6223" s="812"/>
    </row>
    <row r="6224" spans="7:7">
      <c r="G6224" s="812"/>
    </row>
    <row r="6225" spans="7:7">
      <c r="G6225" s="812"/>
    </row>
    <row r="6226" spans="7:7">
      <c r="G6226" s="812"/>
    </row>
    <row r="6227" spans="7:7">
      <c r="G6227" s="812"/>
    </row>
    <row r="6228" spans="7:7">
      <c r="G6228" s="812"/>
    </row>
    <row r="6229" spans="7:7">
      <c r="G6229" s="812"/>
    </row>
    <row r="6230" spans="7:7">
      <c r="G6230" s="812"/>
    </row>
    <row r="6231" spans="7:7">
      <c r="G6231" s="812"/>
    </row>
    <row r="6232" spans="7:7">
      <c r="G6232" s="812"/>
    </row>
    <row r="6233" spans="7:7">
      <c r="G6233" s="812"/>
    </row>
    <row r="6234" spans="7:7">
      <c r="G6234" s="812"/>
    </row>
    <row r="6235" spans="7:7">
      <c r="G6235" s="812"/>
    </row>
    <row r="6236" spans="7:7">
      <c r="G6236" s="812"/>
    </row>
    <row r="6237" spans="7:7">
      <c r="G6237" s="812"/>
    </row>
    <row r="6238" spans="7:7">
      <c r="G6238" s="812"/>
    </row>
    <row r="6239" spans="7:7">
      <c r="G6239" s="812"/>
    </row>
    <row r="6240" spans="7:7">
      <c r="G6240" s="812"/>
    </row>
    <row r="6241" spans="7:7">
      <c r="G6241" s="812"/>
    </row>
    <row r="6242" spans="7:7">
      <c r="G6242" s="812"/>
    </row>
    <row r="6243" spans="7:7">
      <c r="G6243" s="812"/>
    </row>
    <row r="6244" spans="7:7">
      <c r="G6244" s="812"/>
    </row>
    <row r="6245" spans="7:7">
      <c r="G6245" s="812"/>
    </row>
    <row r="6246" spans="7:7">
      <c r="G6246" s="812"/>
    </row>
    <row r="6247" spans="7:7">
      <c r="G6247" s="812"/>
    </row>
    <row r="6248" spans="7:7">
      <c r="G6248" s="812"/>
    </row>
    <row r="6249" spans="7:7">
      <c r="G6249" s="812"/>
    </row>
    <row r="6250" spans="7:7">
      <c r="G6250" s="812"/>
    </row>
    <row r="6251" spans="7:7">
      <c r="G6251" s="812"/>
    </row>
    <row r="6252" spans="7:7">
      <c r="G6252" s="812"/>
    </row>
    <row r="6253" spans="7:7">
      <c r="G6253" s="812"/>
    </row>
    <row r="6254" spans="7:7">
      <c r="G6254" s="812"/>
    </row>
    <row r="6255" spans="7:7">
      <c r="G6255" s="812"/>
    </row>
    <row r="6256" spans="7:7">
      <c r="G6256" s="812"/>
    </row>
    <row r="6257" spans="7:7">
      <c r="G6257" s="812"/>
    </row>
    <row r="6258" spans="7:7">
      <c r="G6258" s="812"/>
    </row>
    <row r="6259" spans="7:7">
      <c r="G6259" s="812"/>
    </row>
    <row r="6260" spans="7:7">
      <c r="G6260" s="812"/>
    </row>
    <row r="6261" spans="7:7">
      <c r="G6261" s="812"/>
    </row>
    <row r="6262" spans="7:7">
      <c r="G6262" s="812"/>
    </row>
    <row r="6263" spans="7:7">
      <c r="G6263" s="812"/>
    </row>
    <row r="6264" spans="7:7">
      <c r="G6264" s="812"/>
    </row>
    <row r="6265" spans="7:7">
      <c r="G6265" s="812"/>
    </row>
    <row r="6266" spans="7:7">
      <c r="G6266" s="812"/>
    </row>
    <row r="6267" spans="7:7">
      <c r="G6267" s="812"/>
    </row>
    <row r="6268" spans="7:7">
      <c r="G6268" s="812"/>
    </row>
    <row r="6269" spans="7:7">
      <c r="G6269" s="812"/>
    </row>
    <row r="6270" spans="7:7">
      <c r="G6270" s="812"/>
    </row>
    <row r="6271" spans="7:7">
      <c r="G6271" s="812"/>
    </row>
    <row r="6272" spans="7:7">
      <c r="G6272" s="812"/>
    </row>
    <row r="6273" spans="7:7">
      <c r="G6273" s="812"/>
    </row>
    <row r="6274" spans="7:7">
      <c r="G6274" s="812"/>
    </row>
    <row r="6275" spans="7:7">
      <c r="G6275" s="812"/>
    </row>
    <row r="6276" spans="7:7">
      <c r="G6276" s="812"/>
    </row>
    <row r="6277" spans="7:7">
      <c r="G6277" s="812"/>
    </row>
    <row r="6278" spans="7:7">
      <c r="G6278" s="812"/>
    </row>
    <row r="6279" spans="7:7">
      <c r="G6279" s="812"/>
    </row>
    <row r="6280" spans="7:7">
      <c r="G6280" s="812"/>
    </row>
    <row r="6281" spans="7:7">
      <c r="G6281" s="812"/>
    </row>
    <row r="6282" spans="7:7">
      <c r="G6282" s="812"/>
    </row>
    <row r="6283" spans="7:7">
      <c r="G6283" s="812"/>
    </row>
    <row r="6284" spans="7:7">
      <c r="G6284" s="812"/>
    </row>
    <row r="6285" spans="7:7">
      <c r="G6285" s="812"/>
    </row>
    <row r="6286" spans="7:7">
      <c r="G6286" s="812"/>
    </row>
    <row r="6287" spans="7:7">
      <c r="G6287" s="812"/>
    </row>
    <row r="6288" spans="7:7">
      <c r="G6288" s="812"/>
    </row>
    <row r="6289" spans="7:7">
      <c r="G6289" s="812"/>
    </row>
    <row r="6290" spans="7:7">
      <c r="G6290" s="812"/>
    </row>
    <row r="6291" spans="7:7">
      <c r="G6291" s="812"/>
    </row>
    <row r="6292" spans="7:7">
      <c r="G6292" s="812"/>
    </row>
    <row r="6293" spans="7:7">
      <c r="G6293" s="812"/>
    </row>
    <row r="6294" spans="7:7">
      <c r="G6294" s="812"/>
    </row>
    <row r="6295" spans="7:7">
      <c r="G6295" s="812"/>
    </row>
    <row r="6296" spans="7:7">
      <c r="G6296" s="812"/>
    </row>
    <row r="6297" spans="7:7">
      <c r="G6297" s="812"/>
    </row>
    <row r="6298" spans="7:7">
      <c r="G6298" s="812"/>
    </row>
    <row r="6299" spans="7:7">
      <c r="G6299" s="812"/>
    </row>
    <row r="6300" spans="7:7">
      <c r="G6300" s="812"/>
    </row>
    <row r="6301" spans="7:7">
      <c r="G6301" s="812"/>
    </row>
    <row r="6302" spans="7:7">
      <c r="G6302" s="812"/>
    </row>
    <row r="6303" spans="7:7">
      <c r="G6303" s="812"/>
    </row>
    <row r="6304" spans="7:7">
      <c r="G6304" s="812"/>
    </row>
    <row r="6305" spans="7:7">
      <c r="G6305" s="812"/>
    </row>
    <row r="6306" spans="7:7">
      <c r="G6306" s="812"/>
    </row>
    <row r="6307" spans="7:7">
      <c r="G6307" s="812"/>
    </row>
    <row r="6308" spans="7:7">
      <c r="G6308" s="812"/>
    </row>
    <row r="6309" spans="7:7">
      <c r="G6309" s="812"/>
    </row>
    <row r="6310" spans="7:7">
      <c r="G6310" s="812"/>
    </row>
    <row r="6311" spans="7:7">
      <c r="G6311" s="812"/>
    </row>
    <row r="6312" spans="7:7">
      <c r="G6312" s="812"/>
    </row>
    <row r="6313" spans="7:7">
      <c r="G6313" s="812"/>
    </row>
    <row r="6314" spans="7:7">
      <c r="G6314" s="812"/>
    </row>
    <row r="6315" spans="7:7">
      <c r="G6315" s="812"/>
    </row>
    <row r="6316" spans="7:7">
      <c r="G6316" s="812"/>
    </row>
    <row r="6317" spans="7:7">
      <c r="G6317" s="812"/>
    </row>
    <row r="6318" spans="7:7">
      <c r="G6318" s="812"/>
    </row>
    <row r="6319" spans="7:7">
      <c r="G6319" s="812"/>
    </row>
    <row r="6320" spans="7:7">
      <c r="G6320" s="812"/>
    </row>
    <row r="6321" spans="7:7">
      <c r="G6321" s="812"/>
    </row>
    <row r="6322" spans="7:7">
      <c r="G6322" s="812"/>
    </row>
    <row r="6323" spans="7:7">
      <c r="G6323" s="812"/>
    </row>
    <row r="6324" spans="7:7">
      <c r="G6324" s="812"/>
    </row>
    <row r="6325" spans="7:7">
      <c r="G6325" s="812"/>
    </row>
    <row r="6326" spans="7:7">
      <c r="G6326" s="812"/>
    </row>
    <row r="6327" spans="7:7">
      <c r="G6327" s="812"/>
    </row>
    <row r="6328" spans="7:7">
      <c r="G6328" s="812"/>
    </row>
    <row r="6329" spans="7:7">
      <c r="G6329" s="812"/>
    </row>
    <row r="6330" spans="7:7">
      <c r="G6330" s="812"/>
    </row>
    <row r="6331" spans="7:7">
      <c r="G6331" s="812"/>
    </row>
    <row r="6332" spans="7:7">
      <c r="G6332" s="812"/>
    </row>
    <row r="6333" spans="7:7">
      <c r="G6333" s="812"/>
    </row>
    <row r="6334" spans="7:7">
      <c r="G6334" s="812"/>
    </row>
    <row r="6335" spans="7:7">
      <c r="G6335" s="812"/>
    </row>
    <row r="6336" spans="7:7">
      <c r="G6336" s="812"/>
    </row>
    <row r="6337" spans="7:7">
      <c r="G6337" s="812"/>
    </row>
    <row r="6338" spans="7:7">
      <c r="G6338" s="812"/>
    </row>
    <row r="6339" spans="7:7">
      <c r="G6339" s="812"/>
    </row>
    <row r="6340" spans="7:7">
      <c r="G6340" s="812"/>
    </row>
    <row r="6341" spans="7:7">
      <c r="G6341" s="812"/>
    </row>
    <row r="6342" spans="7:7">
      <c r="G6342" s="812"/>
    </row>
    <row r="6343" spans="7:7">
      <c r="G6343" s="812"/>
    </row>
    <row r="6344" spans="7:7">
      <c r="G6344" s="812"/>
    </row>
    <row r="6345" spans="7:7">
      <c r="G6345" s="812"/>
    </row>
    <row r="6346" spans="7:7">
      <c r="G6346" s="812"/>
    </row>
    <row r="6347" spans="7:7">
      <c r="G6347" s="812"/>
    </row>
    <row r="6348" spans="7:7">
      <c r="G6348" s="812"/>
    </row>
    <row r="6349" spans="7:7">
      <c r="G6349" s="812"/>
    </row>
    <row r="6350" spans="7:7">
      <c r="G6350" s="812"/>
    </row>
    <row r="6351" spans="7:7">
      <c r="G6351" s="812"/>
    </row>
    <row r="6352" spans="7:7">
      <c r="G6352" s="812"/>
    </row>
    <row r="6353" spans="7:7">
      <c r="G6353" s="812"/>
    </row>
    <row r="6354" spans="7:7">
      <c r="G6354" s="812"/>
    </row>
    <row r="6355" spans="7:7">
      <c r="G6355" s="812"/>
    </row>
    <row r="6356" spans="7:7">
      <c r="G6356" s="812"/>
    </row>
    <row r="6357" spans="7:7">
      <c r="G6357" s="812"/>
    </row>
    <row r="6358" spans="7:7">
      <c r="G6358" s="812"/>
    </row>
    <row r="6359" spans="7:7">
      <c r="G6359" s="812"/>
    </row>
    <row r="6360" spans="7:7">
      <c r="G6360" s="812"/>
    </row>
    <row r="6361" spans="7:7">
      <c r="G6361" s="812"/>
    </row>
    <row r="6362" spans="7:7">
      <c r="G6362" s="812"/>
    </row>
    <row r="6363" spans="7:7">
      <c r="G6363" s="812"/>
    </row>
    <row r="6364" spans="7:7">
      <c r="G6364" s="812"/>
    </row>
    <row r="6365" spans="7:7">
      <c r="G6365" s="812"/>
    </row>
    <row r="6366" spans="7:7">
      <c r="G6366" s="812"/>
    </row>
    <row r="6367" spans="7:7">
      <c r="G6367" s="812"/>
    </row>
    <row r="6368" spans="7:7">
      <c r="G6368" s="812"/>
    </row>
    <row r="6369" spans="7:7">
      <c r="G6369" s="812"/>
    </row>
    <row r="6370" spans="7:7">
      <c r="G6370" s="812"/>
    </row>
    <row r="6371" spans="7:7">
      <c r="G6371" s="812"/>
    </row>
    <row r="6372" spans="7:7">
      <c r="G6372" s="812"/>
    </row>
    <row r="6373" spans="7:7">
      <c r="G6373" s="812"/>
    </row>
    <row r="6374" spans="7:7">
      <c r="G6374" s="812"/>
    </row>
    <row r="6375" spans="7:7">
      <c r="G6375" s="812"/>
    </row>
    <row r="6376" spans="7:7">
      <c r="G6376" s="812"/>
    </row>
    <row r="6377" spans="7:7">
      <c r="G6377" s="812"/>
    </row>
    <row r="6378" spans="7:7">
      <c r="G6378" s="812"/>
    </row>
    <row r="6379" spans="7:7">
      <c r="G6379" s="812"/>
    </row>
    <row r="6380" spans="7:7">
      <c r="G6380" s="812"/>
    </row>
    <row r="6381" spans="7:7">
      <c r="G6381" s="812"/>
    </row>
    <row r="6382" spans="7:7">
      <c r="G6382" s="812"/>
    </row>
    <row r="6383" spans="7:7">
      <c r="G6383" s="812"/>
    </row>
    <row r="6384" spans="7:7">
      <c r="G6384" s="812"/>
    </row>
    <row r="6385" spans="7:7">
      <c r="G6385" s="812"/>
    </row>
    <row r="6386" spans="7:7">
      <c r="G6386" s="812"/>
    </row>
    <row r="6387" spans="7:7">
      <c r="G6387" s="812"/>
    </row>
    <row r="6388" spans="7:7">
      <c r="G6388" s="812"/>
    </row>
    <row r="6389" spans="7:7">
      <c r="G6389" s="812"/>
    </row>
    <row r="6390" spans="7:7">
      <c r="G6390" s="812"/>
    </row>
    <row r="6391" spans="7:7">
      <c r="G6391" s="812"/>
    </row>
    <row r="6392" spans="7:7">
      <c r="G6392" s="812"/>
    </row>
    <row r="6393" spans="7:7">
      <c r="G6393" s="812"/>
    </row>
    <row r="6394" spans="7:7">
      <c r="G6394" s="812"/>
    </row>
    <row r="6395" spans="7:7">
      <c r="G6395" s="812"/>
    </row>
    <row r="6396" spans="7:7">
      <c r="G6396" s="812"/>
    </row>
    <row r="6397" spans="7:7">
      <c r="G6397" s="812"/>
    </row>
    <row r="6398" spans="7:7">
      <c r="G6398" s="812"/>
    </row>
    <row r="6399" spans="7:7">
      <c r="G6399" s="812"/>
    </row>
    <row r="6400" spans="7:7">
      <c r="G6400" s="812"/>
    </row>
    <row r="6401" spans="7:7">
      <c r="G6401" s="812"/>
    </row>
    <row r="6402" spans="7:7">
      <c r="G6402" s="812"/>
    </row>
    <row r="6403" spans="7:7">
      <c r="G6403" s="812"/>
    </row>
    <row r="6404" spans="7:7">
      <c r="G6404" s="812"/>
    </row>
    <row r="6405" spans="7:7">
      <c r="G6405" s="812"/>
    </row>
    <row r="6406" spans="7:7">
      <c r="G6406" s="812"/>
    </row>
    <row r="6407" spans="7:7">
      <c r="G6407" s="812"/>
    </row>
    <row r="6408" spans="7:7">
      <c r="G6408" s="812"/>
    </row>
    <row r="6409" spans="7:7">
      <c r="G6409" s="812"/>
    </row>
    <row r="6410" spans="7:7">
      <c r="G6410" s="812"/>
    </row>
    <row r="6411" spans="7:7">
      <c r="G6411" s="812"/>
    </row>
    <row r="6412" spans="7:7">
      <c r="G6412" s="812"/>
    </row>
    <row r="6413" spans="7:7">
      <c r="G6413" s="812"/>
    </row>
    <row r="6414" spans="7:7">
      <c r="G6414" s="812"/>
    </row>
    <row r="6415" spans="7:7">
      <c r="G6415" s="812"/>
    </row>
    <row r="6416" spans="7:7">
      <c r="G6416" s="812"/>
    </row>
    <row r="6417" spans="7:7">
      <c r="G6417" s="812"/>
    </row>
    <row r="6418" spans="7:7">
      <c r="G6418" s="812"/>
    </row>
    <row r="6419" spans="7:7">
      <c r="G6419" s="812"/>
    </row>
    <row r="6420" spans="7:7">
      <c r="G6420" s="812"/>
    </row>
    <row r="6421" spans="7:7">
      <c r="G6421" s="812"/>
    </row>
    <row r="6422" spans="7:7">
      <c r="G6422" s="812"/>
    </row>
    <row r="6423" spans="7:7">
      <c r="G6423" s="812"/>
    </row>
    <row r="6424" spans="7:7">
      <c r="G6424" s="812"/>
    </row>
    <row r="6425" spans="7:7">
      <c r="G6425" s="812"/>
    </row>
    <row r="6426" spans="7:7">
      <c r="G6426" s="812"/>
    </row>
    <row r="6427" spans="7:7">
      <c r="G6427" s="812"/>
    </row>
    <row r="6428" spans="7:7">
      <c r="G6428" s="812"/>
    </row>
    <row r="6429" spans="7:7">
      <c r="G6429" s="812"/>
    </row>
    <row r="6430" spans="7:7">
      <c r="G6430" s="812"/>
    </row>
    <row r="6431" spans="7:7">
      <c r="G6431" s="812"/>
    </row>
    <row r="6432" spans="7:7">
      <c r="G6432" s="812"/>
    </row>
    <row r="6433" spans="7:7">
      <c r="G6433" s="812"/>
    </row>
    <row r="6434" spans="7:7">
      <c r="G6434" s="812"/>
    </row>
    <row r="6435" spans="7:7">
      <c r="G6435" s="812"/>
    </row>
    <row r="6436" spans="7:7">
      <c r="G6436" s="812"/>
    </row>
    <row r="6437" spans="7:7">
      <c r="G6437" s="812"/>
    </row>
    <row r="6438" spans="7:7">
      <c r="G6438" s="812"/>
    </row>
    <row r="6439" spans="7:7">
      <c r="G6439" s="812"/>
    </row>
    <row r="6440" spans="7:7">
      <c r="G6440" s="812"/>
    </row>
    <row r="6441" spans="7:7">
      <c r="G6441" s="812"/>
    </row>
    <row r="6442" spans="7:7">
      <c r="G6442" s="812"/>
    </row>
    <row r="6443" spans="7:7">
      <c r="G6443" s="812"/>
    </row>
    <row r="6444" spans="7:7">
      <c r="G6444" s="812"/>
    </row>
    <row r="6445" spans="7:7">
      <c r="G6445" s="812"/>
    </row>
    <row r="6446" spans="7:7">
      <c r="G6446" s="812"/>
    </row>
    <row r="6447" spans="7:7">
      <c r="G6447" s="812"/>
    </row>
    <row r="6448" spans="7:7">
      <c r="G6448" s="812"/>
    </row>
    <row r="6449" spans="7:7">
      <c r="G6449" s="812"/>
    </row>
    <row r="6450" spans="7:7">
      <c r="G6450" s="812"/>
    </row>
    <row r="6451" spans="7:7">
      <c r="G6451" s="812"/>
    </row>
    <row r="6452" spans="7:7">
      <c r="G6452" s="812"/>
    </row>
    <row r="6453" spans="7:7">
      <c r="G6453" s="812"/>
    </row>
    <row r="6454" spans="7:7">
      <c r="G6454" s="812"/>
    </row>
    <row r="6455" spans="7:7">
      <c r="G6455" s="812"/>
    </row>
    <row r="6456" spans="7:7">
      <c r="G6456" s="812"/>
    </row>
    <row r="6457" spans="7:7">
      <c r="G6457" s="812"/>
    </row>
    <row r="6458" spans="7:7">
      <c r="G6458" s="812"/>
    </row>
    <row r="6459" spans="7:7">
      <c r="G6459" s="812"/>
    </row>
    <row r="6460" spans="7:7">
      <c r="G6460" s="812"/>
    </row>
    <row r="6461" spans="7:7">
      <c r="G6461" s="812"/>
    </row>
    <row r="6462" spans="7:7">
      <c r="G6462" s="812"/>
    </row>
    <row r="6463" spans="7:7">
      <c r="G6463" s="812"/>
    </row>
    <row r="6464" spans="7:7">
      <c r="G6464" s="812"/>
    </row>
    <row r="6465" spans="7:7">
      <c r="G6465" s="812"/>
    </row>
    <row r="6466" spans="7:7">
      <c r="G6466" s="812"/>
    </row>
    <row r="6467" spans="7:7">
      <c r="G6467" s="812"/>
    </row>
    <row r="6468" spans="7:7">
      <c r="G6468" s="812"/>
    </row>
    <row r="6469" spans="7:7">
      <c r="G6469" s="812"/>
    </row>
    <row r="6470" spans="7:7">
      <c r="G6470" s="812"/>
    </row>
    <row r="6471" spans="7:7">
      <c r="G6471" s="812"/>
    </row>
    <row r="6472" spans="7:7">
      <c r="G6472" s="812"/>
    </row>
    <row r="6473" spans="7:7">
      <c r="G6473" s="812"/>
    </row>
    <row r="6474" spans="7:7">
      <c r="G6474" s="812"/>
    </row>
    <row r="6475" spans="7:7">
      <c r="G6475" s="812"/>
    </row>
    <row r="6476" spans="7:7">
      <c r="G6476" s="812"/>
    </row>
    <row r="6477" spans="7:7">
      <c r="G6477" s="812"/>
    </row>
    <row r="6478" spans="7:7">
      <c r="G6478" s="812"/>
    </row>
    <row r="6479" spans="7:7">
      <c r="G6479" s="812"/>
    </row>
    <row r="6480" spans="7:7">
      <c r="G6480" s="812"/>
    </row>
    <row r="6481" spans="7:7">
      <c r="G6481" s="812"/>
    </row>
    <row r="6482" spans="7:7">
      <c r="G6482" s="812"/>
    </row>
    <row r="6483" spans="7:7">
      <c r="G6483" s="812"/>
    </row>
    <row r="6484" spans="7:7">
      <c r="G6484" s="812"/>
    </row>
    <row r="6485" spans="7:7">
      <c r="G6485" s="812"/>
    </row>
    <row r="6486" spans="7:7">
      <c r="G6486" s="812"/>
    </row>
    <row r="6487" spans="7:7">
      <c r="G6487" s="812"/>
    </row>
    <row r="6488" spans="7:7">
      <c r="G6488" s="812"/>
    </row>
    <row r="6489" spans="7:7">
      <c r="G6489" s="812"/>
    </row>
    <row r="6490" spans="7:7">
      <c r="G6490" s="812"/>
    </row>
    <row r="6491" spans="7:7">
      <c r="G6491" s="812"/>
    </row>
    <row r="6492" spans="7:7">
      <c r="G6492" s="812"/>
    </row>
    <row r="6493" spans="7:7">
      <c r="G6493" s="812"/>
    </row>
    <row r="6494" spans="7:7">
      <c r="G6494" s="812"/>
    </row>
    <row r="6495" spans="7:7">
      <c r="G6495" s="812"/>
    </row>
    <row r="6496" spans="7:7">
      <c r="G6496" s="812"/>
    </row>
    <row r="6497" spans="7:7">
      <c r="G6497" s="812"/>
    </row>
    <row r="6498" spans="7:7">
      <c r="G6498" s="812"/>
    </row>
    <row r="6499" spans="7:7">
      <c r="G6499" s="812"/>
    </row>
    <row r="6500" spans="7:7">
      <c r="G6500" s="812"/>
    </row>
    <row r="6501" spans="7:7">
      <c r="G6501" s="812"/>
    </row>
    <row r="6502" spans="7:7">
      <c r="G6502" s="812"/>
    </row>
    <row r="6503" spans="7:7">
      <c r="G6503" s="812"/>
    </row>
    <row r="6504" spans="7:7">
      <c r="G6504" s="812"/>
    </row>
    <row r="6505" spans="7:7">
      <c r="G6505" s="812"/>
    </row>
    <row r="6506" spans="7:7">
      <c r="G6506" s="812"/>
    </row>
    <row r="6507" spans="7:7">
      <c r="G6507" s="812"/>
    </row>
    <row r="6508" spans="7:7">
      <c r="G6508" s="812"/>
    </row>
    <row r="6509" spans="7:7">
      <c r="G6509" s="812"/>
    </row>
    <row r="6510" spans="7:7">
      <c r="G6510" s="812"/>
    </row>
    <row r="6511" spans="7:7">
      <c r="G6511" s="812"/>
    </row>
    <row r="6512" spans="7:7">
      <c r="G6512" s="812"/>
    </row>
    <row r="6513" spans="7:7">
      <c r="G6513" s="812"/>
    </row>
    <row r="6514" spans="7:7">
      <c r="G6514" s="812"/>
    </row>
    <row r="6515" spans="7:7">
      <c r="G6515" s="812"/>
    </row>
    <row r="6516" spans="7:7">
      <c r="G6516" s="812"/>
    </row>
    <row r="6517" spans="7:7">
      <c r="G6517" s="812"/>
    </row>
    <row r="6518" spans="7:7">
      <c r="G6518" s="812"/>
    </row>
    <row r="6519" spans="7:7">
      <c r="G6519" s="812"/>
    </row>
    <row r="6520" spans="7:7">
      <c r="G6520" s="812"/>
    </row>
    <row r="6521" spans="7:7">
      <c r="G6521" s="812"/>
    </row>
    <row r="6522" spans="7:7">
      <c r="G6522" s="812"/>
    </row>
    <row r="6523" spans="7:7">
      <c r="G6523" s="812"/>
    </row>
    <row r="6524" spans="7:7">
      <c r="G6524" s="812"/>
    </row>
    <row r="6525" spans="7:7">
      <c r="G6525" s="812"/>
    </row>
    <row r="6526" spans="7:7">
      <c r="G6526" s="812"/>
    </row>
    <row r="6527" spans="7:7">
      <c r="G6527" s="812"/>
    </row>
    <row r="6528" spans="7:7">
      <c r="G6528" s="812"/>
    </row>
    <row r="6529" spans="7:7">
      <c r="G6529" s="812"/>
    </row>
    <row r="6530" spans="7:7">
      <c r="G6530" s="812"/>
    </row>
    <row r="6531" spans="7:7">
      <c r="G6531" s="812"/>
    </row>
    <row r="6532" spans="7:7">
      <c r="G6532" s="812"/>
    </row>
    <row r="6533" spans="7:7">
      <c r="G6533" s="812"/>
    </row>
    <row r="6534" spans="7:7">
      <c r="G6534" s="812"/>
    </row>
    <row r="6535" spans="7:7">
      <c r="G6535" s="812"/>
    </row>
    <row r="6536" spans="7:7">
      <c r="G6536" s="812"/>
    </row>
    <row r="6537" spans="7:7">
      <c r="G6537" s="812"/>
    </row>
    <row r="6538" spans="7:7">
      <c r="G6538" s="812"/>
    </row>
    <row r="6539" spans="7:7">
      <c r="G6539" s="812"/>
    </row>
    <row r="6540" spans="7:7">
      <c r="G6540" s="812"/>
    </row>
    <row r="6541" spans="7:7">
      <c r="G6541" s="812"/>
    </row>
    <row r="6542" spans="7:7">
      <c r="G6542" s="812"/>
    </row>
    <row r="6543" spans="7:7">
      <c r="G6543" s="812"/>
    </row>
    <row r="6544" spans="7:7">
      <c r="G6544" s="812"/>
    </row>
    <row r="6545" spans="7:7">
      <c r="G6545" s="812"/>
    </row>
    <row r="6546" spans="7:7">
      <c r="G6546" s="812"/>
    </row>
    <row r="6547" spans="7:7">
      <c r="G6547" s="812"/>
    </row>
    <row r="6548" spans="7:7">
      <c r="G6548" s="812"/>
    </row>
    <row r="6549" spans="7:7">
      <c r="G6549" s="812"/>
    </row>
    <row r="6550" spans="7:7">
      <c r="G6550" s="812"/>
    </row>
    <row r="6551" spans="7:7">
      <c r="G6551" s="812"/>
    </row>
    <row r="6552" spans="7:7">
      <c r="G6552" s="812"/>
    </row>
    <row r="6553" spans="7:7">
      <c r="G6553" s="812"/>
    </row>
    <row r="6554" spans="7:7">
      <c r="G6554" s="812"/>
    </row>
    <row r="6555" spans="7:7">
      <c r="G6555" s="812"/>
    </row>
    <row r="6556" spans="7:7">
      <c r="G6556" s="812"/>
    </row>
    <row r="6557" spans="7:7">
      <c r="G6557" s="812"/>
    </row>
    <row r="6558" spans="7:7">
      <c r="G6558" s="812"/>
    </row>
    <row r="6559" spans="7:7">
      <c r="G6559" s="812"/>
    </row>
    <row r="6560" spans="7:7">
      <c r="G6560" s="812"/>
    </row>
    <row r="6561" spans="7:7">
      <c r="G6561" s="812"/>
    </row>
    <row r="6562" spans="7:7">
      <c r="G6562" s="812"/>
    </row>
    <row r="6563" spans="7:7">
      <c r="G6563" s="812"/>
    </row>
    <row r="6564" spans="7:7">
      <c r="G6564" s="812"/>
    </row>
    <row r="6565" spans="7:7">
      <c r="G6565" s="812"/>
    </row>
    <row r="6566" spans="7:7">
      <c r="G6566" s="812"/>
    </row>
    <row r="6567" spans="7:7">
      <c r="G6567" s="812"/>
    </row>
    <row r="6568" spans="7:7">
      <c r="G6568" s="812"/>
    </row>
    <row r="6569" spans="7:7">
      <c r="G6569" s="812"/>
    </row>
    <row r="6570" spans="7:7">
      <c r="G6570" s="812"/>
    </row>
    <row r="6571" spans="7:7">
      <c r="G6571" s="812"/>
    </row>
    <row r="6572" spans="7:7">
      <c r="G6572" s="812"/>
    </row>
    <row r="6573" spans="7:7">
      <c r="G6573" s="812"/>
    </row>
    <row r="6574" spans="7:7">
      <c r="G6574" s="812"/>
    </row>
    <row r="6575" spans="7:7">
      <c r="G6575" s="812"/>
    </row>
    <row r="6576" spans="7:7">
      <c r="G6576" s="812"/>
    </row>
    <row r="6577" spans="7:7">
      <c r="G6577" s="812"/>
    </row>
    <row r="6578" spans="7:7">
      <c r="G6578" s="812"/>
    </row>
    <row r="6579" spans="7:7">
      <c r="G6579" s="812"/>
    </row>
    <row r="6580" spans="7:7">
      <c r="G6580" s="812"/>
    </row>
    <row r="6581" spans="7:7">
      <c r="G6581" s="812"/>
    </row>
    <row r="6582" spans="7:7">
      <c r="G6582" s="812"/>
    </row>
    <row r="6583" spans="7:7">
      <c r="G6583" s="812"/>
    </row>
    <row r="6584" spans="7:7">
      <c r="G6584" s="812"/>
    </row>
    <row r="6585" spans="7:7">
      <c r="G6585" s="812"/>
    </row>
    <row r="6586" spans="7:7">
      <c r="G6586" s="812"/>
    </row>
    <row r="6587" spans="7:7">
      <c r="G6587" s="812"/>
    </row>
    <row r="6588" spans="7:7">
      <c r="G6588" s="812"/>
    </row>
    <row r="6589" spans="7:7">
      <c r="G6589" s="812"/>
    </row>
    <row r="6590" spans="7:7">
      <c r="G6590" s="812"/>
    </row>
    <row r="6591" spans="7:7">
      <c r="G6591" s="812"/>
    </row>
    <row r="6592" spans="7:7">
      <c r="G6592" s="812"/>
    </row>
    <row r="6593" spans="7:7">
      <c r="G6593" s="812"/>
    </row>
    <row r="6594" spans="7:7">
      <c r="G6594" s="812"/>
    </row>
    <row r="6595" spans="7:7">
      <c r="G6595" s="812"/>
    </row>
    <row r="6596" spans="7:7">
      <c r="G6596" s="812"/>
    </row>
    <row r="6597" spans="7:7">
      <c r="G6597" s="812"/>
    </row>
    <row r="6598" spans="7:7">
      <c r="G6598" s="812"/>
    </row>
    <row r="6599" spans="7:7">
      <c r="G6599" s="812"/>
    </row>
    <row r="6600" spans="7:7">
      <c r="G6600" s="812"/>
    </row>
    <row r="6601" spans="7:7">
      <c r="G6601" s="812"/>
    </row>
    <row r="6602" spans="7:7">
      <c r="G6602" s="812"/>
    </row>
    <row r="6603" spans="7:7">
      <c r="G6603" s="812"/>
    </row>
    <row r="6604" spans="7:7">
      <c r="G6604" s="812"/>
    </row>
    <row r="6605" spans="7:7">
      <c r="G6605" s="812"/>
    </row>
    <row r="6606" spans="7:7">
      <c r="G6606" s="812"/>
    </row>
    <row r="6607" spans="7:7">
      <c r="G6607" s="812"/>
    </row>
    <row r="6608" spans="7:7">
      <c r="G6608" s="812"/>
    </row>
    <row r="6609" spans="7:7">
      <c r="G6609" s="812"/>
    </row>
    <row r="6610" spans="7:7">
      <c r="G6610" s="812"/>
    </row>
    <row r="6611" spans="7:7">
      <c r="G6611" s="812"/>
    </row>
    <row r="6612" spans="7:7">
      <c r="G6612" s="812"/>
    </row>
    <row r="6613" spans="7:7">
      <c r="G6613" s="812"/>
    </row>
    <row r="6614" spans="7:7">
      <c r="G6614" s="812"/>
    </row>
    <row r="6615" spans="7:7">
      <c r="G6615" s="812"/>
    </row>
    <row r="6616" spans="7:7">
      <c r="G6616" s="812"/>
    </row>
    <row r="6617" spans="7:7">
      <c r="G6617" s="812"/>
    </row>
    <row r="6618" spans="7:7">
      <c r="G6618" s="812"/>
    </row>
    <row r="6619" spans="7:7">
      <c r="G6619" s="812"/>
    </row>
    <row r="6620" spans="7:7">
      <c r="G6620" s="812"/>
    </row>
    <row r="6621" spans="7:7">
      <c r="G6621" s="812"/>
    </row>
    <row r="6622" spans="7:7">
      <c r="G6622" s="812"/>
    </row>
    <row r="6623" spans="7:7">
      <c r="G6623" s="812"/>
    </row>
    <row r="6624" spans="7:7">
      <c r="G6624" s="812"/>
    </row>
    <row r="6625" spans="7:7">
      <c r="G6625" s="812"/>
    </row>
    <row r="6626" spans="7:7">
      <c r="G6626" s="812"/>
    </row>
    <row r="6627" spans="7:7">
      <c r="G6627" s="812"/>
    </row>
    <row r="6628" spans="7:7">
      <c r="G6628" s="812"/>
    </row>
    <row r="6629" spans="7:7">
      <c r="G6629" s="812"/>
    </row>
    <row r="6630" spans="7:7">
      <c r="G6630" s="812"/>
    </row>
    <row r="6631" spans="7:7">
      <c r="G6631" s="812"/>
    </row>
    <row r="6632" spans="7:7">
      <c r="G6632" s="812"/>
    </row>
    <row r="6633" spans="7:7">
      <c r="G6633" s="812"/>
    </row>
    <row r="6634" spans="7:7">
      <c r="G6634" s="812"/>
    </row>
    <row r="6635" spans="7:7">
      <c r="G6635" s="812"/>
    </row>
    <row r="6636" spans="7:7">
      <c r="G6636" s="812"/>
    </row>
    <row r="6637" spans="7:7">
      <c r="G6637" s="812"/>
    </row>
    <row r="6638" spans="7:7">
      <c r="G6638" s="812"/>
    </row>
    <row r="6639" spans="7:7">
      <c r="G6639" s="812"/>
    </row>
    <row r="6640" spans="7:7">
      <c r="G6640" s="812"/>
    </row>
    <row r="6641" spans="7:7">
      <c r="G6641" s="812"/>
    </row>
    <row r="6642" spans="7:7">
      <c r="G6642" s="812"/>
    </row>
    <row r="6643" spans="7:7">
      <c r="G6643" s="812"/>
    </row>
    <row r="6644" spans="7:7">
      <c r="G6644" s="812"/>
    </row>
    <row r="6645" spans="7:7">
      <c r="G6645" s="812"/>
    </row>
    <row r="6646" spans="7:7">
      <c r="G6646" s="812"/>
    </row>
    <row r="6647" spans="7:7">
      <c r="G6647" s="812"/>
    </row>
    <row r="6648" spans="7:7">
      <c r="G6648" s="812"/>
    </row>
    <row r="6649" spans="7:7">
      <c r="G6649" s="812"/>
    </row>
    <row r="6650" spans="7:7">
      <c r="G6650" s="812"/>
    </row>
    <row r="6651" spans="7:7">
      <c r="G6651" s="812"/>
    </row>
    <row r="6652" spans="7:7">
      <c r="G6652" s="812"/>
    </row>
    <row r="6653" spans="7:7">
      <c r="G6653" s="812"/>
    </row>
    <row r="6654" spans="7:7">
      <c r="G6654" s="812"/>
    </row>
    <row r="6655" spans="7:7">
      <c r="G6655" s="812"/>
    </row>
    <row r="6656" spans="7:7">
      <c r="G6656" s="812"/>
    </row>
    <row r="6657" spans="7:7">
      <c r="G6657" s="812"/>
    </row>
    <row r="6658" spans="7:7">
      <c r="G6658" s="812"/>
    </row>
    <row r="6659" spans="7:7">
      <c r="G6659" s="812"/>
    </row>
    <row r="6660" spans="7:7">
      <c r="G6660" s="812"/>
    </row>
    <row r="6661" spans="7:7">
      <c r="G6661" s="812"/>
    </row>
    <row r="6662" spans="7:7">
      <c r="G6662" s="812"/>
    </row>
    <row r="6663" spans="7:7">
      <c r="G6663" s="812"/>
    </row>
    <row r="6664" spans="7:7">
      <c r="G6664" s="812"/>
    </row>
    <row r="6665" spans="7:7">
      <c r="G6665" s="812"/>
    </row>
    <row r="6666" spans="7:7">
      <c r="G6666" s="812"/>
    </row>
    <row r="6667" spans="7:7">
      <c r="G6667" s="812"/>
    </row>
    <row r="6668" spans="7:7">
      <c r="G6668" s="812"/>
    </row>
    <row r="6669" spans="7:7">
      <c r="G6669" s="812"/>
    </row>
    <row r="6670" spans="7:7">
      <c r="G6670" s="812"/>
    </row>
    <row r="6671" spans="7:7">
      <c r="G6671" s="812"/>
    </row>
    <row r="6672" spans="7:7">
      <c r="G6672" s="812"/>
    </row>
    <row r="6673" spans="7:7">
      <c r="G6673" s="812"/>
    </row>
    <row r="6674" spans="7:7">
      <c r="G6674" s="812"/>
    </row>
    <row r="6675" spans="7:7">
      <c r="G6675" s="812"/>
    </row>
    <row r="6676" spans="7:7">
      <c r="G6676" s="812"/>
    </row>
    <row r="6677" spans="7:7">
      <c r="G6677" s="812"/>
    </row>
    <row r="6678" spans="7:7">
      <c r="G6678" s="812"/>
    </row>
    <row r="6679" spans="7:7">
      <c r="G6679" s="812"/>
    </row>
    <row r="6680" spans="7:7">
      <c r="G6680" s="812"/>
    </row>
    <row r="6681" spans="7:7">
      <c r="G6681" s="812"/>
    </row>
    <row r="6682" spans="7:7">
      <c r="G6682" s="812"/>
    </row>
    <row r="6683" spans="7:7">
      <c r="G6683" s="812"/>
    </row>
    <row r="6684" spans="7:7">
      <c r="G6684" s="812"/>
    </row>
    <row r="6685" spans="7:7">
      <c r="G6685" s="812"/>
    </row>
    <row r="6686" spans="7:7">
      <c r="G6686" s="812"/>
    </row>
    <row r="6687" spans="7:7">
      <c r="G6687" s="812"/>
    </row>
    <row r="6688" spans="7:7">
      <c r="G6688" s="812"/>
    </row>
    <row r="6689" spans="7:7">
      <c r="G6689" s="812"/>
    </row>
    <row r="6690" spans="7:7">
      <c r="G6690" s="812"/>
    </row>
    <row r="6691" spans="7:7">
      <c r="G6691" s="812"/>
    </row>
    <row r="6692" spans="7:7">
      <c r="G6692" s="812"/>
    </row>
    <row r="6693" spans="7:7">
      <c r="G6693" s="812"/>
    </row>
    <row r="6694" spans="7:7">
      <c r="G6694" s="812"/>
    </row>
    <row r="6695" spans="7:7">
      <c r="G6695" s="812"/>
    </row>
    <row r="6696" spans="7:7">
      <c r="G6696" s="812"/>
    </row>
    <row r="6697" spans="7:7">
      <c r="G6697" s="812"/>
    </row>
    <row r="6698" spans="7:7">
      <c r="G6698" s="812"/>
    </row>
    <row r="6699" spans="7:7">
      <c r="G6699" s="812"/>
    </row>
    <row r="6700" spans="7:7">
      <c r="G6700" s="812"/>
    </row>
    <row r="6701" spans="7:7">
      <c r="G6701" s="812"/>
    </row>
    <row r="6702" spans="7:7">
      <c r="G6702" s="812"/>
    </row>
    <row r="6703" spans="7:7">
      <c r="G6703" s="812"/>
    </row>
    <row r="6704" spans="7:7">
      <c r="G6704" s="812"/>
    </row>
    <row r="6705" spans="7:7">
      <c r="G6705" s="812"/>
    </row>
    <row r="6706" spans="7:7">
      <c r="G6706" s="812"/>
    </row>
    <row r="6707" spans="7:7">
      <c r="G6707" s="812"/>
    </row>
    <row r="6708" spans="7:7">
      <c r="G6708" s="812"/>
    </row>
    <row r="6709" spans="7:7">
      <c r="G6709" s="812"/>
    </row>
    <row r="6710" spans="7:7">
      <c r="G6710" s="812"/>
    </row>
    <row r="6711" spans="7:7">
      <c r="G6711" s="812"/>
    </row>
    <row r="6712" spans="7:7">
      <c r="G6712" s="812"/>
    </row>
    <row r="6713" spans="7:7">
      <c r="G6713" s="812"/>
    </row>
    <row r="6714" spans="7:7">
      <c r="G6714" s="812"/>
    </row>
    <row r="6715" spans="7:7">
      <c r="G6715" s="812"/>
    </row>
    <row r="6716" spans="7:7">
      <c r="G6716" s="812"/>
    </row>
    <row r="6717" spans="7:7">
      <c r="G6717" s="812"/>
    </row>
    <row r="6718" spans="7:7">
      <c r="G6718" s="812"/>
    </row>
    <row r="6719" spans="7:7">
      <c r="G6719" s="812"/>
    </row>
    <row r="6720" spans="7:7">
      <c r="G6720" s="812"/>
    </row>
    <row r="6721" spans="7:7">
      <c r="G6721" s="812"/>
    </row>
    <row r="6722" spans="7:7">
      <c r="G6722" s="812"/>
    </row>
    <row r="6723" spans="7:7">
      <c r="G6723" s="812"/>
    </row>
    <row r="6724" spans="7:7">
      <c r="G6724" s="812"/>
    </row>
    <row r="6725" spans="7:7">
      <c r="G6725" s="812"/>
    </row>
    <row r="6726" spans="7:7">
      <c r="G6726" s="812"/>
    </row>
    <row r="6727" spans="7:7">
      <c r="G6727" s="812"/>
    </row>
    <row r="6728" spans="7:7">
      <c r="G6728" s="812"/>
    </row>
    <row r="6729" spans="7:7">
      <c r="G6729" s="812"/>
    </row>
    <row r="6730" spans="7:7">
      <c r="G6730" s="812"/>
    </row>
    <row r="6731" spans="7:7">
      <c r="G6731" s="812"/>
    </row>
    <row r="6732" spans="7:7">
      <c r="G6732" s="812"/>
    </row>
    <row r="6733" spans="7:7">
      <c r="G6733" s="812"/>
    </row>
    <row r="6734" spans="7:7">
      <c r="G6734" s="812"/>
    </row>
    <row r="6735" spans="7:7">
      <c r="G6735" s="812"/>
    </row>
    <row r="6736" spans="7:7">
      <c r="G6736" s="812"/>
    </row>
    <row r="6737" spans="7:7">
      <c r="G6737" s="812"/>
    </row>
    <row r="6738" spans="7:7">
      <c r="G6738" s="812"/>
    </row>
    <row r="6739" spans="7:7">
      <c r="G6739" s="812"/>
    </row>
    <row r="6740" spans="7:7">
      <c r="G6740" s="812"/>
    </row>
    <row r="6741" spans="7:7">
      <c r="G6741" s="812"/>
    </row>
    <row r="6742" spans="7:7">
      <c r="G6742" s="812"/>
    </row>
    <row r="6743" spans="7:7">
      <c r="G6743" s="812"/>
    </row>
    <row r="6744" spans="7:7">
      <c r="G6744" s="812"/>
    </row>
    <row r="6745" spans="7:7">
      <c r="G6745" s="812"/>
    </row>
    <row r="6746" spans="7:7">
      <c r="G6746" s="812"/>
    </row>
    <row r="6747" spans="7:7">
      <c r="G6747" s="812"/>
    </row>
    <row r="6748" spans="7:7">
      <c r="G6748" s="812"/>
    </row>
    <row r="6749" spans="7:7">
      <c r="G6749" s="812"/>
    </row>
    <row r="6750" spans="7:7">
      <c r="G6750" s="812"/>
    </row>
    <row r="6751" spans="7:7">
      <c r="G6751" s="812"/>
    </row>
    <row r="6752" spans="7:7">
      <c r="G6752" s="812"/>
    </row>
    <row r="6753" spans="7:7">
      <c r="G6753" s="812"/>
    </row>
    <row r="6754" spans="7:7">
      <c r="G6754" s="812"/>
    </row>
    <row r="6755" spans="7:7">
      <c r="G6755" s="812"/>
    </row>
    <row r="6756" spans="7:7">
      <c r="G6756" s="812"/>
    </row>
    <row r="6757" spans="7:7">
      <c r="G6757" s="812"/>
    </row>
    <row r="6758" spans="7:7">
      <c r="G6758" s="812"/>
    </row>
    <row r="6759" spans="7:7">
      <c r="G6759" s="812"/>
    </row>
    <row r="6760" spans="7:7">
      <c r="G6760" s="812"/>
    </row>
    <row r="6761" spans="7:7">
      <c r="G6761" s="812"/>
    </row>
    <row r="6762" spans="7:7">
      <c r="G6762" s="812"/>
    </row>
    <row r="6763" spans="7:7">
      <c r="G6763" s="812"/>
    </row>
    <row r="6764" spans="7:7">
      <c r="G6764" s="812"/>
    </row>
    <row r="6765" spans="7:7">
      <c r="G6765" s="812"/>
    </row>
    <row r="6766" spans="7:7">
      <c r="G6766" s="812"/>
    </row>
    <row r="6767" spans="7:7">
      <c r="G6767" s="812"/>
    </row>
    <row r="6768" spans="7:7">
      <c r="G6768" s="812"/>
    </row>
    <row r="6769" spans="7:7">
      <c r="G6769" s="812"/>
    </row>
    <row r="6770" spans="7:7">
      <c r="G6770" s="812"/>
    </row>
    <row r="6771" spans="7:7">
      <c r="G6771" s="812"/>
    </row>
    <row r="6772" spans="7:7">
      <c r="G6772" s="812"/>
    </row>
    <row r="6773" spans="7:7">
      <c r="G6773" s="812"/>
    </row>
    <row r="6774" spans="7:7">
      <c r="G6774" s="812"/>
    </row>
    <row r="6775" spans="7:7">
      <c r="G6775" s="812"/>
    </row>
    <row r="6776" spans="7:7">
      <c r="G6776" s="812"/>
    </row>
    <row r="6777" spans="7:7">
      <c r="G6777" s="812"/>
    </row>
    <row r="6778" spans="7:7">
      <c r="G6778" s="812"/>
    </row>
    <row r="6779" spans="7:7">
      <c r="G6779" s="812"/>
    </row>
    <row r="6780" spans="7:7">
      <c r="G6780" s="812"/>
    </row>
    <row r="6781" spans="7:7">
      <c r="G6781" s="812"/>
    </row>
    <row r="6782" spans="7:7">
      <c r="G6782" s="812"/>
    </row>
    <row r="6783" spans="7:7">
      <c r="G6783" s="812"/>
    </row>
    <row r="6784" spans="7:7">
      <c r="G6784" s="812"/>
    </row>
    <row r="6785" spans="7:7">
      <c r="G6785" s="812"/>
    </row>
    <row r="6786" spans="7:7">
      <c r="G6786" s="812"/>
    </row>
    <row r="6787" spans="7:7">
      <c r="G6787" s="812"/>
    </row>
    <row r="6788" spans="7:7">
      <c r="G6788" s="812"/>
    </row>
    <row r="6789" spans="7:7">
      <c r="G6789" s="812"/>
    </row>
    <row r="6790" spans="7:7">
      <c r="G6790" s="812"/>
    </row>
    <row r="6791" spans="7:7">
      <c r="G6791" s="812"/>
    </row>
    <row r="6792" spans="7:7">
      <c r="G6792" s="812"/>
    </row>
    <row r="6793" spans="7:7">
      <c r="G6793" s="812"/>
    </row>
    <row r="6794" spans="7:7">
      <c r="G6794" s="812"/>
    </row>
    <row r="6795" spans="7:7">
      <c r="G6795" s="812"/>
    </row>
    <row r="6796" spans="7:7">
      <c r="G6796" s="812"/>
    </row>
    <row r="6797" spans="7:7">
      <c r="G6797" s="812"/>
    </row>
    <row r="6798" spans="7:7">
      <c r="G6798" s="812"/>
    </row>
    <row r="6799" spans="7:7">
      <c r="G6799" s="812"/>
    </row>
    <row r="6800" spans="7:7">
      <c r="G6800" s="812"/>
    </row>
    <row r="6801" spans="7:7">
      <c r="G6801" s="812"/>
    </row>
    <row r="6802" spans="7:7">
      <c r="G6802" s="812"/>
    </row>
    <row r="6803" spans="7:7">
      <c r="G6803" s="812"/>
    </row>
    <row r="6804" spans="7:7">
      <c r="G6804" s="812"/>
    </row>
    <row r="6805" spans="7:7">
      <c r="G6805" s="812"/>
    </row>
    <row r="6806" spans="7:7">
      <c r="G6806" s="812"/>
    </row>
    <row r="6807" spans="7:7">
      <c r="G6807" s="812"/>
    </row>
    <row r="6808" spans="7:7">
      <c r="G6808" s="812"/>
    </row>
    <row r="6809" spans="7:7">
      <c r="G6809" s="812"/>
    </row>
    <row r="6810" spans="7:7">
      <c r="G6810" s="812"/>
    </row>
    <row r="6811" spans="7:7">
      <c r="G6811" s="812"/>
    </row>
    <row r="6812" spans="7:7">
      <c r="G6812" s="812"/>
    </row>
    <row r="6813" spans="7:7">
      <c r="G6813" s="812"/>
    </row>
    <row r="6814" spans="7:7">
      <c r="G6814" s="812"/>
    </row>
    <row r="6815" spans="7:7">
      <c r="G6815" s="812"/>
    </row>
    <row r="6816" spans="7:7">
      <c r="G6816" s="812"/>
    </row>
    <row r="6817" spans="7:7">
      <c r="G6817" s="812"/>
    </row>
    <row r="6818" spans="7:7">
      <c r="G6818" s="812"/>
    </row>
    <row r="6819" spans="7:7">
      <c r="G6819" s="812"/>
    </row>
    <row r="6820" spans="7:7">
      <c r="G6820" s="812"/>
    </row>
    <row r="6821" spans="7:7">
      <c r="G6821" s="812"/>
    </row>
    <row r="6822" spans="7:7">
      <c r="G6822" s="812"/>
    </row>
    <row r="6823" spans="7:7">
      <c r="G6823" s="812"/>
    </row>
    <row r="6824" spans="7:7">
      <c r="G6824" s="812"/>
    </row>
    <row r="6825" spans="7:7">
      <c r="G6825" s="812"/>
    </row>
    <row r="6826" spans="7:7">
      <c r="G6826" s="812"/>
    </row>
    <row r="6827" spans="7:7">
      <c r="G6827" s="812"/>
    </row>
    <row r="6828" spans="7:7">
      <c r="G6828" s="812"/>
    </row>
    <row r="6829" spans="7:7">
      <c r="G6829" s="812"/>
    </row>
    <row r="6830" spans="7:7">
      <c r="G6830" s="812"/>
    </row>
    <row r="6831" spans="7:7">
      <c r="G6831" s="812"/>
    </row>
    <row r="6832" spans="7:7">
      <c r="G6832" s="812"/>
    </row>
    <row r="6833" spans="7:7">
      <c r="G6833" s="812"/>
    </row>
    <row r="6834" spans="7:7">
      <c r="G6834" s="812"/>
    </row>
    <row r="6835" spans="7:7">
      <c r="G6835" s="812"/>
    </row>
    <row r="6836" spans="7:7">
      <c r="G6836" s="812"/>
    </row>
    <row r="6837" spans="7:7">
      <c r="G6837" s="812"/>
    </row>
    <row r="6838" spans="7:7">
      <c r="G6838" s="812"/>
    </row>
    <row r="6839" spans="7:7">
      <c r="G6839" s="812"/>
    </row>
    <row r="6840" spans="7:7">
      <c r="G6840" s="812"/>
    </row>
    <row r="6841" spans="7:7">
      <c r="G6841" s="812"/>
    </row>
    <row r="6842" spans="7:7">
      <c r="G6842" s="812"/>
    </row>
    <row r="6843" spans="7:7">
      <c r="G6843" s="812"/>
    </row>
    <row r="6844" spans="7:7">
      <c r="G6844" s="812"/>
    </row>
    <row r="6845" spans="7:7">
      <c r="G6845" s="812"/>
    </row>
    <row r="6846" spans="7:7">
      <c r="G6846" s="812"/>
    </row>
    <row r="6847" spans="7:7">
      <c r="G6847" s="812"/>
    </row>
    <row r="6848" spans="7:7">
      <c r="G6848" s="812"/>
    </row>
    <row r="6849" spans="7:7">
      <c r="G6849" s="812"/>
    </row>
    <row r="6850" spans="7:7">
      <c r="G6850" s="812"/>
    </row>
    <row r="6851" spans="7:7">
      <c r="G6851" s="812"/>
    </row>
    <row r="6852" spans="7:7">
      <c r="G6852" s="812"/>
    </row>
    <row r="6853" spans="7:7">
      <c r="G6853" s="812"/>
    </row>
    <row r="6854" spans="7:7">
      <c r="G6854" s="812"/>
    </row>
    <row r="6855" spans="7:7">
      <c r="G6855" s="812"/>
    </row>
    <row r="6856" spans="7:7">
      <c r="G6856" s="812"/>
    </row>
    <row r="6857" spans="7:7">
      <c r="G6857" s="812"/>
    </row>
    <row r="6858" spans="7:7">
      <c r="G6858" s="812"/>
    </row>
    <row r="6859" spans="7:7">
      <c r="G6859" s="812"/>
    </row>
    <row r="6860" spans="7:7">
      <c r="G6860" s="812"/>
    </row>
    <row r="6861" spans="7:7">
      <c r="G6861" s="812"/>
    </row>
    <row r="6862" spans="7:7">
      <c r="G6862" s="812"/>
    </row>
    <row r="6863" spans="7:7">
      <c r="G6863" s="812"/>
    </row>
    <row r="6864" spans="7:7">
      <c r="G6864" s="812"/>
    </row>
    <row r="6865" spans="7:7">
      <c r="G6865" s="812"/>
    </row>
    <row r="6866" spans="7:7">
      <c r="G6866" s="812"/>
    </row>
    <row r="6867" spans="7:7">
      <c r="G6867" s="812"/>
    </row>
    <row r="6868" spans="7:7">
      <c r="G6868" s="812"/>
    </row>
    <row r="6869" spans="7:7">
      <c r="G6869" s="812"/>
    </row>
    <row r="6870" spans="7:7">
      <c r="G6870" s="812"/>
    </row>
    <row r="6871" spans="7:7">
      <c r="G6871" s="812"/>
    </row>
    <row r="6872" spans="7:7">
      <c r="G6872" s="812"/>
    </row>
    <row r="6873" spans="7:7">
      <c r="G6873" s="812"/>
    </row>
    <row r="6874" spans="7:7">
      <c r="G6874" s="812"/>
    </row>
    <row r="6875" spans="7:7">
      <c r="G6875" s="812"/>
    </row>
    <row r="6876" spans="7:7">
      <c r="G6876" s="812"/>
    </row>
    <row r="6877" spans="7:7">
      <c r="G6877" s="812"/>
    </row>
    <row r="6878" spans="7:7">
      <c r="G6878" s="812"/>
    </row>
    <row r="6879" spans="7:7">
      <c r="G6879" s="812"/>
    </row>
    <row r="6880" spans="7:7">
      <c r="G6880" s="812"/>
    </row>
    <row r="6881" spans="7:7">
      <c r="G6881" s="812"/>
    </row>
    <row r="6882" spans="7:7">
      <c r="G6882" s="812"/>
    </row>
    <row r="6883" spans="7:7">
      <c r="G6883" s="812"/>
    </row>
    <row r="6884" spans="7:7">
      <c r="G6884" s="812"/>
    </row>
    <row r="6885" spans="7:7">
      <c r="G6885" s="812"/>
    </row>
    <row r="6886" spans="7:7">
      <c r="G6886" s="812"/>
    </row>
    <row r="6887" spans="7:7">
      <c r="G6887" s="812"/>
    </row>
    <row r="6888" spans="7:7">
      <c r="G6888" s="812"/>
    </row>
    <row r="6889" spans="7:7">
      <c r="G6889" s="812"/>
    </row>
    <row r="6890" spans="7:7">
      <c r="G6890" s="812"/>
    </row>
    <row r="6891" spans="7:7">
      <c r="G6891" s="812"/>
    </row>
    <row r="6892" spans="7:7">
      <c r="G6892" s="812"/>
    </row>
    <row r="6893" spans="7:7">
      <c r="G6893" s="812"/>
    </row>
    <row r="6894" spans="7:7">
      <c r="G6894" s="812"/>
    </row>
    <row r="6895" spans="7:7">
      <c r="G6895" s="812"/>
    </row>
    <row r="6896" spans="7:7">
      <c r="G6896" s="812"/>
    </row>
    <row r="6897" spans="7:7">
      <c r="G6897" s="812"/>
    </row>
    <row r="6898" spans="7:7">
      <c r="G6898" s="812"/>
    </row>
    <row r="6899" spans="7:7">
      <c r="G6899" s="812"/>
    </row>
    <row r="6900" spans="7:7">
      <c r="G6900" s="812"/>
    </row>
    <row r="6901" spans="7:7">
      <c r="G6901" s="812"/>
    </row>
    <row r="6902" spans="7:7">
      <c r="G6902" s="812"/>
    </row>
    <row r="6903" spans="7:7">
      <c r="G6903" s="812"/>
    </row>
    <row r="6904" spans="7:7">
      <c r="G6904" s="812"/>
    </row>
    <row r="6905" spans="7:7">
      <c r="G6905" s="812"/>
    </row>
    <row r="6906" spans="7:7">
      <c r="G6906" s="812"/>
    </row>
    <row r="6907" spans="7:7">
      <c r="G6907" s="812"/>
    </row>
    <row r="6908" spans="7:7">
      <c r="G6908" s="812"/>
    </row>
    <row r="6909" spans="7:7">
      <c r="G6909" s="812"/>
    </row>
    <row r="6910" spans="7:7">
      <c r="G6910" s="812"/>
    </row>
    <row r="6911" spans="7:7">
      <c r="G6911" s="812"/>
    </row>
    <row r="6912" spans="7:7">
      <c r="G6912" s="812"/>
    </row>
    <row r="6913" spans="7:7">
      <c r="G6913" s="812"/>
    </row>
    <row r="6914" spans="7:7">
      <c r="G6914" s="812"/>
    </row>
    <row r="6915" spans="7:7">
      <c r="G6915" s="812"/>
    </row>
    <row r="6916" spans="7:7">
      <c r="G6916" s="812"/>
    </row>
    <row r="6917" spans="7:7">
      <c r="G6917" s="812"/>
    </row>
    <row r="6918" spans="7:7">
      <c r="G6918" s="812"/>
    </row>
    <row r="6919" spans="7:7">
      <c r="G6919" s="812"/>
    </row>
    <row r="6920" spans="7:7">
      <c r="G6920" s="812"/>
    </row>
    <row r="6921" spans="7:7">
      <c r="G6921" s="812"/>
    </row>
    <row r="6922" spans="7:7">
      <c r="G6922" s="812"/>
    </row>
    <row r="6923" spans="7:7">
      <c r="G6923" s="812"/>
    </row>
    <row r="6924" spans="7:7">
      <c r="G6924" s="812"/>
    </row>
    <row r="6925" spans="7:7">
      <c r="G6925" s="812"/>
    </row>
    <row r="6926" spans="7:7">
      <c r="G6926" s="812"/>
    </row>
    <row r="6927" spans="7:7">
      <c r="G6927" s="812"/>
    </row>
    <row r="6928" spans="7:7">
      <c r="G6928" s="812"/>
    </row>
    <row r="6929" spans="7:7">
      <c r="G6929" s="812"/>
    </row>
    <row r="6930" spans="7:7">
      <c r="G6930" s="812"/>
    </row>
    <row r="6931" spans="7:7">
      <c r="G6931" s="812"/>
    </row>
    <row r="6932" spans="7:7">
      <c r="G6932" s="812"/>
    </row>
    <row r="6933" spans="7:7">
      <c r="G6933" s="812"/>
    </row>
    <row r="6934" spans="7:7">
      <c r="G6934" s="812"/>
    </row>
    <row r="6935" spans="7:7">
      <c r="G6935" s="812"/>
    </row>
    <row r="6936" spans="7:7">
      <c r="G6936" s="812"/>
    </row>
    <row r="6937" spans="7:7">
      <c r="G6937" s="812"/>
    </row>
    <row r="6938" spans="7:7">
      <c r="G6938" s="812"/>
    </row>
    <row r="6939" spans="7:7">
      <c r="G6939" s="812"/>
    </row>
    <row r="6940" spans="7:7">
      <c r="G6940" s="812"/>
    </row>
    <row r="6941" spans="7:7">
      <c r="G6941" s="812"/>
    </row>
    <row r="6942" spans="7:7">
      <c r="G6942" s="812"/>
    </row>
    <row r="6943" spans="7:7">
      <c r="G6943" s="812"/>
    </row>
    <row r="6944" spans="7:7">
      <c r="G6944" s="812"/>
    </row>
    <row r="6945" spans="7:7">
      <c r="G6945" s="812"/>
    </row>
    <row r="6946" spans="7:7">
      <c r="G6946" s="812"/>
    </row>
    <row r="6947" spans="7:7">
      <c r="G6947" s="812"/>
    </row>
    <row r="6948" spans="7:7">
      <c r="G6948" s="812"/>
    </row>
    <row r="6949" spans="7:7">
      <c r="G6949" s="812"/>
    </row>
    <row r="6950" spans="7:7">
      <c r="G6950" s="812"/>
    </row>
    <row r="6951" spans="7:7">
      <c r="G6951" s="812"/>
    </row>
    <row r="6952" spans="7:7">
      <c r="G6952" s="812"/>
    </row>
    <row r="6953" spans="7:7">
      <c r="G6953" s="812"/>
    </row>
    <row r="6954" spans="7:7">
      <c r="G6954" s="812"/>
    </row>
    <row r="6955" spans="7:7">
      <c r="G6955" s="812"/>
    </row>
    <row r="6956" spans="7:7">
      <c r="G6956" s="812"/>
    </row>
    <row r="6957" spans="7:7">
      <c r="G6957" s="812"/>
    </row>
    <row r="6958" spans="7:7">
      <c r="G6958" s="812"/>
    </row>
    <row r="6959" spans="7:7">
      <c r="G6959" s="812"/>
    </row>
    <row r="6960" spans="7:7">
      <c r="G6960" s="812"/>
    </row>
    <row r="6961" spans="7:7">
      <c r="G6961" s="812"/>
    </row>
    <row r="6962" spans="7:7">
      <c r="G6962" s="812"/>
    </row>
    <row r="6963" spans="7:7">
      <c r="G6963" s="812"/>
    </row>
    <row r="6964" spans="7:7">
      <c r="G6964" s="812"/>
    </row>
    <row r="6965" spans="7:7">
      <c r="G6965" s="812"/>
    </row>
    <row r="6966" spans="7:7">
      <c r="G6966" s="812"/>
    </row>
    <row r="6967" spans="7:7">
      <c r="G6967" s="812"/>
    </row>
    <row r="6968" spans="7:7">
      <c r="G6968" s="812"/>
    </row>
    <row r="6969" spans="7:7">
      <c r="G6969" s="812"/>
    </row>
    <row r="6970" spans="7:7">
      <c r="G6970" s="812"/>
    </row>
    <row r="6971" spans="7:7">
      <c r="G6971" s="812"/>
    </row>
    <row r="6972" spans="7:7">
      <c r="G6972" s="812"/>
    </row>
    <row r="6973" spans="7:7">
      <c r="G6973" s="812"/>
    </row>
    <row r="6974" spans="7:7">
      <c r="G6974" s="812"/>
    </row>
    <row r="6975" spans="7:7">
      <c r="G6975" s="812"/>
    </row>
    <row r="6976" spans="7:7">
      <c r="G6976" s="812"/>
    </row>
    <row r="6977" spans="7:7">
      <c r="G6977" s="812"/>
    </row>
    <row r="6978" spans="7:7">
      <c r="G6978" s="812"/>
    </row>
    <row r="6979" spans="7:7">
      <c r="G6979" s="812"/>
    </row>
    <row r="6980" spans="7:7">
      <c r="G6980" s="812"/>
    </row>
    <row r="6981" spans="7:7">
      <c r="G6981" s="812"/>
    </row>
    <row r="6982" spans="7:7">
      <c r="G6982" s="812"/>
    </row>
    <row r="6983" spans="7:7">
      <c r="G6983" s="812"/>
    </row>
    <row r="6984" spans="7:7">
      <c r="G6984" s="812"/>
    </row>
    <row r="6985" spans="7:7">
      <c r="G6985" s="812"/>
    </row>
    <row r="6986" spans="7:7">
      <c r="G6986" s="812"/>
    </row>
    <row r="6987" spans="7:7">
      <c r="G6987" s="812"/>
    </row>
    <row r="6988" spans="7:7">
      <c r="G6988" s="812"/>
    </row>
    <row r="6989" spans="7:7">
      <c r="G6989" s="812"/>
    </row>
    <row r="6990" spans="7:7">
      <c r="G6990" s="812"/>
    </row>
    <row r="6991" spans="7:7">
      <c r="G6991" s="812"/>
    </row>
    <row r="6992" spans="7:7">
      <c r="G6992" s="812"/>
    </row>
    <row r="6993" spans="7:7">
      <c r="G6993" s="812"/>
    </row>
    <row r="6994" spans="7:7">
      <c r="G6994" s="812"/>
    </row>
    <row r="6995" spans="7:7">
      <c r="G6995" s="812"/>
    </row>
    <row r="6996" spans="7:7">
      <c r="G6996" s="812"/>
    </row>
    <row r="6997" spans="7:7">
      <c r="G6997" s="812"/>
    </row>
    <row r="6998" spans="7:7">
      <c r="G6998" s="812"/>
    </row>
    <row r="6999" spans="7:7">
      <c r="G6999" s="812"/>
    </row>
    <row r="7000" spans="7:7">
      <c r="G7000" s="812"/>
    </row>
    <row r="7001" spans="7:7">
      <c r="G7001" s="812"/>
    </row>
    <row r="7002" spans="7:7">
      <c r="G7002" s="812"/>
    </row>
    <row r="7003" spans="7:7">
      <c r="G7003" s="812"/>
    </row>
    <row r="7004" spans="7:7">
      <c r="G7004" s="812"/>
    </row>
    <row r="7005" spans="7:7">
      <c r="G7005" s="812"/>
    </row>
    <row r="7006" spans="7:7">
      <c r="G7006" s="812"/>
    </row>
    <row r="7007" spans="7:7">
      <c r="G7007" s="812"/>
    </row>
    <row r="7008" spans="7:7">
      <c r="G7008" s="812"/>
    </row>
    <row r="7009" spans="7:7">
      <c r="G7009" s="812"/>
    </row>
    <row r="7010" spans="7:7">
      <c r="G7010" s="812"/>
    </row>
    <row r="7011" spans="7:7">
      <c r="G7011" s="812"/>
    </row>
    <row r="7012" spans="7:7">
      <c r="G7012" s="812"/>
    </row>
    <row r="7013" spans="7:7">
      <c r="G7013" s="812"/>
    </row>
    <row r="7014" spans="7:7">
      <c r="G7014" s="812"/>
    </row>
    <row r="7015" spans="7:7">
      <c r="G7015" s="812"/>
    </row>
    <row r="7016" spans="7:7">
      <c r="G7016" s="812"/>
    </row>
    <row r="7017" spans="7:7">
      <c r="G7017" s="812"/>
    </row>
    <row r="7018" spans="7:7">
      <c r="G7018" s="812"/>
    </row>
    <row r="7019" spans="7:7">
      <c r="G7019" s="812"/>
    </row>
    <row r="7020" spans="7:7">
      <c r="G7020" s="812"/>
    </row>
    <row r="7021" spans="7:7">
      <c r="G7021" s="812"/>
    </row>
    <row r="7022" spans="7:7">
      <c r="G7022" s="812"/>
    </row>
    <row r="7023" spans="7:7">
      <c r="G7023" s="812"/>
    </row>
    <row r="7024" spans="7:7">
      <c r="G7024" s="812"/>
    </row>
    <row r="7025" spans="7:7">
      <c r="G7025" s="812"/>
    </row>
    <row r="7026" spans="7:7">
      <c r="G7026" s="812"/>
    </row>
    <row r="7027" spans="7:7">
      <c r="G7027" s="812"/>
    </row>
    <row r="7028" spans="7:7">
      <c r="G7028" s="812"/>
    </row>
    <row r="7029" spans="7:7">
      <c r="G7029" s="812"/>
    </row>
    <row r="7030" spans="7:7">
      <c r="G7030" s="812"/>
    </row>
    <row r="7031" spans="7:7">
      <c r="G7031" s="812"/>
    </row>
    <row r="7032" spans="7:7">
      <c r="G7032" s="812"/>
    </row>
    <row r="7033" spans="7:7">
      <c r="G7033" s="812"/>
    </row>
    <row r="7034" spans="7:7">
      <c r="G7034" s="812"/>
    </row>
    <row r="7035" spans="7:7">
      <c r="G7035" s="812"/>
    </row>
    <row r="7036" spans="7:7">
      <c r="G7036" s="812"/>
    </row>
    <row r="7037" spans="7:7">
      <c r="G7037" s="812"/>
    </row>
    <row r="7038" spans="7:7">
      <c r="G7038" s="812"/>
    </row>
    <row r="7039" spans="7:7">
      <c r="G7039" s="812"/>
    </row>
    <row r="7040" spans="7:7">
      <c r="G7040" s="812"/>
    </row>
    <row r="7041" spans="7:7">
      <c r="G7041" s="812"/>
    </row>
    <row r="7042" spans="7:7">
      <c r="G7042" s="812"/>
    </row>
    <row r="7043" spans="7:7">
      <c r="G7043" s="812"/>
    </row>
    <row r="7044" spans="7:7">
      <c r="G7044" s="812"/>
    </row>
    <row r="7045" spans="7:7">
      <c r="G7045" s="812"/>
    </row>
    <row r="7046" spans="7:7">
      <c r="G7046" s="812"/>
    </row>
    <row r="7047" spans="7:7">
      <c r="G7047" s="812"/>
    </row>
    <row r="7048" spans="7:7">
      <c r="G7048" s="812"/>
    </row>
    <row r="7049" spans="7:7">
      <c r="G7049" s="812"/>
    </row>
    <row r="7050" spans="7:7">
      <c r="G7050" s="812"/>
    </row>
    <row r="7051" spans="7:7">
      <c r="G7051" s="812"/>
    </row>
    <row r="7052" spans="7:7">
      <c r="G7052" s="812"/>
    </row>
    <row r="7053" spans="7:7">
      <c r="G7053" s="812"/>
    </row>
    <row r="7054" spans="7:7">
      <c r="G7054" s="812"/>
    </row>
    <row r="7055" spans="7:7">
      <c r="G7055" s="812"/>
    </row>
    <row r="7056" spans="7:7">
      <c r="G7056" s="812"/>
    </row>
    <row r="7057" spans="7:7">
      <c r="G7057" s="812"/>
    </row>
    <row r="7058" spans="7:7">
      <c r="G7058" s="812"/>
    </row>
    <row r="7059" spans="7:7">
      <c r="G7059" s="812"/>
    </row>
    <row r="7060" spans="7:7">
      <c r="G7060" s="812"/>
    </row>
    <row r="7061" spans="7:7">
      <c r="G7061" s="812"/>
    </row>
    <row r="7062" spans="7:7">
      <c r="G7062" s="812"/>
    </row>
    <row r="7063" spans="7:7">
      <c r="G7063" s="812"/>
    </row>
    <row r="7064" spans="7:7">
      <c r="G7064" s="812"/>
    </row>
    <row r="7065" spans="7:7">
      <c r="G7065" s="812"/>
    </row>
    <row r="7066" spans="7:7">
      <c r="G7066" s="812"/>
    </row>
    <row r="7067" spans="7:7">
      <c r="G7067" s="812"/>
    </row>
    <row r="7068" spans="7:7">
      <c r="G7068" s="812"/>
    </row>
    <row r="7069" spans="7:7">
      <c r="G7069" s="812"/>
    </row>
    <row r="7070" spans="7:7">
      <c r="G7070" s="812"/>
    </row>
    <row r="7071" spans="7:7">
      <c r="G7071" s="812"/>
    </row>
    <row r="7072" spans="7:7">
      <c r="G7072" s="812"/>
    </row>
    <row r="7073" spans="7:7">
      <c r="G7073" s="812"/>
    </row>
    <row r="7074" spans="7:7">
      <c r="G7074" s="812"/>
    </row>
    <row r="7075" spans="7:7">
      <c r="G7075" s="812"/>
    </row>
    <row r="7076" spans="7:7">
      <c r="G7076" s="812"/>
    </row>
    <row r="7077" spans="7:7">
      <c r="G7077" s="812"/>
    </row>
    <row r="7078" spans="7:7">
      <c r="G7078" s="812"/>
    </row>
    <row r="7079" spans="7:7">
      <c r="G7079" s="812"/>
    </row>
    <row r="7080" spans="7:7">
      <c r="G7080" s="812"/>
    </row>
    <row r="7081" spans="7:7">
      <c r="G7081" s="812"/>
    </row>
    <row r="7082" spans="7:7">
      <c r="G7082" s="812"/>
    </row>
    <row r="7083" spans="7:7">
      <c r="G7083" s="812"/>
    </row>
    <row r="7084" spans="7:7">
      <c r="G7084" s="812"/>
    </row>
    <row r="7085" spans="7:7">
      <c r="G7085" s="812"/>
    </row>
    <row r="7086" spans="7:7">
      <c r="G7086" s="812"/>
    </row>
    <row r="7087" spans="7:7">
      <c r="G7087" s="812"/>
    </row>
    <row r="7088" spans="7:7">
      <c r="G7088" s="812"/>
    </row>
    <row r="7089" spans="7:7">
      <c r="G7089" s="812"/>
    </row>
    <row r="7090" spans="7:7">
      <c r="G7090" s="812"/>
    </row>
    <row r="7091" spans="7:7">
      <c r="G7091" s="812"/>
    </row>
    <row r="7092" spans="7:7">
      <c r="G7092" s="812"/>
    </row>
    <row r="7093" spans="7:7">
      <c r="G7093" s="812"/>
    </row>
    <row r="7094" spans="7:7">
      <c r="G7094" s="812"/>
    </row>
    <row r="7095" spans="7:7">
      <c r="G7095" s="812"/>
    </row>
    <row r="7096" spans="7:7">
      <c r="G7096" s="812"/>
    </row>
    <row r="7097" spans="7:7">
      <c r="G7097" s="812"/>
    </row>
    <row r="7098" spans="7:7">
      <c r="G7098" s="812"/>
    </row>
    <row r="7099" spans="7:7">
      <c r="G7099" s="812"/>
    </row>
    <row r="7100" spans="7:7">
      <c r="G7100" s="812"/>
    </row>
    <row r="7101" spans="7:7">
      <c r="G7101" s="812"/>
    </row>
    <row r="7102" spans="7:7">
      <c r="G7102" s="812"/>
    </row>
    <row r="7103" spans="7:7">
      <c r="G7103" s="812"/>
    </row>
    <row r="7104" spans="7:7">
      <c r="G7104" s="812"/>
    </row>
    <row r="7105" spans="7:7">
      <c r="G7105" s="812"/>
    </row>
    <row r="7106" spans="7:7">
      <c r="G7106" s="812"/>
    </row>
    <row r="7107" spans="7:7">
      <c r="G7107" s="812"/>
    </row>
    <row r="7108" spans="7:7">
      <c r="G7108" s="812"/>
    </row>
    <row r="7109" spans="7:7">
      <c r="G7109" s="812"/>
    </row>
    <row r="7110" spans="7:7">
      <c r="G7110" s="812"/>
    </row>
    <row r="7111" spans="7:7">
      <c r="G7111" s="812"/>
    </row>
    <row r="7112" spans="7:7">
      <c r="G7112" s="812"/>
    </row>
    <row r="7113" spans="7:7">
      <c r="G7113" s="812"/>
    </row>
    <row r="7114" spans="7:7">
      <c r="G7114" s="812"/>
    </row>
    <row r="7115" spans="7:7">
      <c r="G7115" s="812"/>
    </row>
    <row r="7116" spans="7:7">
      <c r="G7116" s="812"/>
    </row>
    <row r="7117" spans="7:7">
      <c r="G7117" s="812"/>
    </row>
    <row r="7118" spans="7:7">
      <c r="G7118" s="812"/>
    </row>
    <row r="7119" spans="7:7">
      <c r="G7119" s="812"/>
    </row>
    <row r="7120" spans="7:7">
      <c r="G7120" s="812"/>
    </row>
    <row r="7121" spans="7:7">
      <c r="G7121" s="812"/>
    </row>
    <row r="7122" spans="7:7">
      <c r="G7122" s="812"/>
    </row>
    <row r="7123" spans="7:7">
      <c r="G7123" s="812"/>
    </row>
    <row r="7124" spans="7:7">
      <c r="G7124" s="812"/>
    </row>
    <row r="7125" spans="7:7">
      <c r="G7125" s="812"/>
    </row>
    <row r="7126" spans="7:7">
      <c r="G7126" s="812"/>
    </row>
    <row r="7127" spans="7:7">
      <c r="G7127" s="812"/>
    </row>
    <row r="7128" spans="7:7">
      <c r="G7128" s="812"/>
    </row>
    <row r="7129" spans="7:7">
      <c r="G7129" s="812"/>
    </row>
    <row r="7130" spans="7:7">
      <c r="G7130" s="812"/>
    </row>
    <row r="7131" spans="7:7">
      <c r="G7131" s="812"/>
    </row>
    <row r="7132" spans="7:7">
      <c r="G7132" s="812"/>
    </row>
    <row r="7133" spans="7:7">
      <c r="G7133" s="812"/>
    </row>
    <row r="7134" spans="7:7">
      <c r="G7134" s="812"/>
    </row>
    <row r="7135" spans="7:7">
      <c r="G7135" s="812"/>
    </row>
    <row r="7136" spans="7:7">
      <c r="G7136" s="812"/>
    </row>
    <row r="7137" spans="7:7">
      <c r="G7137" s="812"/>
    </row>
    <row r="7138" spans="7:7">
      <c r="G7138" s="812"/>
    </row>
    <row r="7139" spans="7:7">
      <c r="G7139" s="812"/>
    </row>
    <row r="7140" spans="7:7">
      <c r="G7140" s="812"/>
    </row>
    <row r="7141" spans="7:7">
      <c r="G7141" s="812"/>
    </row>
    <row r="7142" spans="7:7">
      <c r="G7142" s="812"/>
    </row>
    <row r="7143" spans="7:7">
      <c r="G7143" s="812"/>
    </row>
    <row r="7144" spans="7:7">
      <c r="G7144" s="812"/>
    </row>
    <row r="7145" spans="7:7">
      <c r="G7145" s="812"/>
    </row>
    <row r="7146" spans="7:7">
      <c r="G7146" s="812"/>
    </row>
    <row r="7147" spans="7:7">
      <c r="G7147" s="812"/>
    </row>
    <row r="7148" spans="7:7">
      <c r="G7148" s="812"/>
    </row>
    <row r="7149" spans="7:7">
      <c r="G7149" s="812"/>
    </row>
    <row r="7150" spans="7:7">
      <c r="G7150" s="812"/>
    </row>
    <row r="7151" spans="7:7">
      <c r="G7151" s="812"/>
    </row>
    <row r="7152" spans="7:7">
      <c r="G7152" s="812"/>
    </row>
    <row r="7153" spans="7:7">
      <c r="G7153" s="812"/>
    </row>
    <row r="7154" spans="7:7">
      <c r="G7154" s="812"/>
    </row>
    <row r="7155" spans="7:7">
      <c r="G7155" s="812"/>
    </row>
    <row r="7156" spans="7:7">
      <c r="G7156" s="812"/>
    </row>
    <row r="7157" spans="7:7">
      <c r="G7157" s="812"/>
    </row>
    <row r="7158" spans="7:7">
      <c r="G7158" s="812"/>
    </row>
    <row r="7159" spans="7:7">
      <c r="G7159" s="812"/>
    </row>
    <row r="7160" spans="7:7">
      <c r="G7160" s="812"/>
    </row>
    <row r="7161" spans="7:7">
      <c r="G7161" s="812"/>
    </row>
    <row r="7162" spans="7:7">
      <c r="G7162" s="812"/>
    </row>
    <row r="7163" spans="7:7">
      <c r="G7163" s="812"/>
    </row>
    <row r="7164" spans="7:7">
      <c r="G7164" s="812"/>
    </row>
    <row r="7165" spans="7:7">
      <c r="G7165" s="812"/>
    </row>
    <row r="7166" spans="7:7">
      <c r="G7166" s="812"/>
    </row>
    <row r="7167" spans="7:7">
      <c r="G7167" s="812"/>
    </row>
    <row r="7168" spans="7:7">
      <c r="G7168" s="812"/>
    </row>
    <row r="7169" spans="7:7">
      <c r="G7169" s="812"/>
    </row>
    <row r="7170" spans="7:7">
      <c r="G7170" s="812"/>
    </row>
    <row r="7171" spans="7:7">
      <c r="G7171" s="812"/>
    </row>
    <row r="7172" spans="7:7">
      <c r="G7172" s="812"/>
    </row>
    <row r="7173" spans="7:7">
      <c r="G7173" s="812"/>
    </row>
    <row r="7174" spans="7:7">
      <c r="G7174" s="812"/>
    </row>
    <row r="7175" spans="7:7">
      <c r="G7175" s="812"/>
    </row>
    <row r="7176" spans="7:7">
      <c r="G7176" s="812"/>
    </row>
    <row r="7177" spans="7:7">
      <c r="G7177" s="812"/>
    </row>
    <row r="7178" spans="7:7">
      <c r="G7178" s="812"/>
    </row>
    <row r="7179" spans="7:7">
      <c r="G7179" s="812"/>
    </row>
    <row r="7180" spans="7:7">
      <c r="G7180" s="812"/>
    </row>
    <row r="7181" spans="7:7">
      <c r="G7181" s="812"/>
    </row>
    <row r="7182" spans="7:7">
      <c r="G7182" s="812"/>
    </row>
    <row r="7183" spans="7:7">
      <c r="G7183" s="812"/>
    </row>
    <row r="7184" spans="7:7">
      <c r="G7184" s="812"/>
    </row>
    <row r="7185" spans="7:7">
      <c r="G7185" s="812"/>
    </row>
    <row r="7186" spans="7:7">
      <c r="G7186" s="812"/>
    </row>
    <row r="7187" spans="7:7">
      <c r="G7187" s="812"/>
    </row>
    <row r="7188" spans="7:7">
      <c r="G7188" s="812"/>
    </row>
    <row r="7189" spans="7:7">
      <c r="G7189" s="812"/>
    </row>
    <row r="7190" spans="7:7">
      <c r="G7190" s="812"/>
    </row>
    <row r="7191" spans="7:7">
      <c r="G7191" s="812"/>
    </row>
    <row r="7192" spans="7:7">
      <c r="G7192" s="812"/>
    </row>
    <row r="7193" spans="7:7">
      <c r="G7193" s="812"/>
    </row>
    <row r="7194" spans="7:7">
      <c r="G7194" s="812"/>
    </row>
    <row r="7195" spans="7:7">
      <c r="G7195" s="812"/>
    </row>
    <row r="7196" spans="7:7">
      <c r="G7196" s="812"/>
    </row>
    <row r="7197" spans="7:7">
      <c r="G7197" s="812"/>
    </row>
    <row r="7198" spans="7:7">
      <c r="G7198" s="812"/>
    </row>
    <row r="7199" spans="7:7">
      <c r="G7199" s="812"/>
    </row>
    <row r="7200" spans="7:7">
      <c r="G7200" s="812"/>
    </row>
    <row r="7201" spans="7:7">
      <c r="G7201" s="812"/>
    </row>
    <row r="7202" spans="7:7">
      <c r="G7202" s="812"/>
    </row>
    <row r="7203" spans="7:7">
      <c r="G7203" s="812"/>
    </row>
    <row r="7204" spans="7:7">
      <c r="G7204" s="812"/>
    </row>
    <row r="7205" spans="7:7">
      <c r="G7205" s="812"/>
    </row>
    <row r="7206" spans="7:7">
      <c r="G7206" s="812"/>
    </row>
    <row r="7207" spans="7:7">
      <c r="G7207" s="812"/>
    </row>
    <row r="7208" spans="7:7">
      <c r="G7208" s="812"/>
    </row>
    <row r="7209" spans="7:7">
      <c r="G7209" s="812"/>
    </row>
    <row r="7210" spans="7:7">
      <c r="G7210" s="812"/>
    </row>
    <row r="7211" spans="7:7">
      <c r="G7211" s="812"/>
    </row>
    <row r="7212" spans="7:7">
      <c r="G7212" s="812"/>
    </row>
    <row r="7213" spans="7:7">
      <c r="G7213" s="812"/>
    </row>
    <row r="7214" spans="7:7">
      <c r="G7214" s="812"/>
    </row>
    <row r="7215" spans="7:7">
      <c r="G7215" s="812"/>
    </row>
    <row r="7216" spans="7:7">
      <c r="G7216" s="812"/>
    </row>
    <row r="7217" spans="7:7">
      <c r="G7217" s="812"/>
    </row>
    <row r="7218" spans="7:7">
      <c r="G7218" s="812"/>
    </row>
    <row r="7219" spans="7:7">
      <c r="G7219" s="812"/>
    </row>
    <row r="7220" spans="7:7">
      <c r="G7220" s="812"/>
    </row>
    <row r="7221" spans="7:7">
      <c r="G7221" s="812"/>
    </row>
    <row r="7222" spans="7:7">
      <c r="G7222" s="812"/>
    </row>
    <row r="7223" spans="7:7">
      <c r="G7223" s="812"/>
    </row>
    <row r="7224" spans="7:7">
      <c r="G7224" s="812"/>
    </row>
    <row r="7225" spans="7:7">
      <c r="G7225" s="812"/>
    </row>
    <row r="7226" spans="7:7">
      <c r="G7226" s="812"/>
    </row>
    <row r="7227" spans="7:7">
      <c r="G7227" s="812"/>
    </row>
    <row r="7228" spans="7:7">
      <c r="G7228" s="812"/>
    </row>
    <row r="7229" spans="7:7">
      <c r="G7229" s="812"/>
    </row>
    <row r="7230" spans="7:7">
      <c r="G7230" s="812"/>
    </row>
    <row r="7231" spans="7:7">
      <c r="G7231" s="812"/>
    </row>
    <row r="7232" spans="7:7">
      <c r="G7232" s="812"/>
    </row>
    <row r="7233" spans="7:7">
      <c r="G7233" s="812"/>
    </row>
    <row r="7234" spans="7:7">
      <c r="G7234" s="812"/>
    </row>
    <row r="7235" spans="7:7">
      <c r="G7235" s="812"/>
    </row>
    <row r="7236" spans="7:7">
      <c r="G7236" s="812"/>
    </row>
    <row r="7237" spans="7:7">
      <c r="G7237" s="812"/>
    </row>
    <row r="7238" spans="7:7">
      <c r="G7238" s="812"/>
    </row>
    <row r="7239" spans="7:7">
      <c r="G7239" s="812"/>
    </row>
    <row r="7240" spans="7:7">
      <c r="G7240" s="812"/>
    </row>
    <row r="7241" spans="7:7">
      <c r="G7241" s="812"/>
    </row>
    <row r="7242" spans="7:7">
      <c r="G7242" s="812"/>
    </row>
    <row r="7243" spans="7:7">
      <c r="G7243" s="812"/>
    </row>
    <row r="7244" spans="7:7">
      <c r="G7244" s="812"/>
    </row>
    <row r="7245" spans="7:7">
      <c r="G7245" s="812"/>
    </row>
    <row r="7246" spans="7:7">
      <c r="G7246" s="812"/>
    </row>
    <row r="7247" spans="7:7">
      <c r="G7247" s="812"/>
    </row>
    <row r="7248" spans="7:7">
      <c r="G7248" s="812"/>
    </row>
    <row r="7249" spans="7:7">
      <c r="G7249" s="812"/>
    </row>
    <row r="7250" spans="7:7">
      <c r="G7250" s="812"/>
    </row>
    <row r="7251" spans="7:7">
      <c r="G7251" s="812"/>
    </row>
    <row r="7252" spans="7:7">
      <c r="G7252" s="812"/>
    </row>
    <row r="7253" spans="7:7">
      <c r="G7253" s="812"/>
    </row>
    <row r="7254" spans="7:7">
      <c r="G7254" s="812"/>
    </row>
    <row r="7255" spans="7:7">
      <c r="G7255" s="812"/>
    </row>
    <row r="7256" spans="7:7">
      <c r="G7256" s="812"/>
    </row>
    <row r="7257" spans="7:7">
      <c r="G7257" s="812"/>
    </row>
    <row r="7258" spans="7:7">
      <c r="G7258" s="812"/>
    </row>
    <row r="7259" spans="7:7">
      <c r="G7259" s="812"/>
    </row>
    <row r="7260" spans="7:7">
      <c r="G7260" s="812"/>
    </row>
    <row r="7261" spans="7:7">
      <c r="G7261" s="812"/>
    </row>
    <row r="7262" spans="7:7">
      <c r="G7262" s="812"/>
    </row>
    <row r="7263" spans="7:7">
      <c r="G7263" s="812"/>
    </row>
    <row r="7264" spans="7:7">
      <c r="G7264" s="812"/>
    </row>
    <row r="7265" spans="7:7">
      <c r="G7265" s="812"/>
    </row>
    <row r="7266" spans="7:7">
      <c r="G7266" s="812"/>
    </row>
    <row r="7267" spans="7:7">
      <c r="G7267" s="812"/>
    </row>
    <row r="7268" spans="7:7">
      <c r="G7268" s="812"/>
    </row>
    <row r="7269" spans="7:7">
      <c r="G7269" s="812"/>
    </row>
    <row r="7270" spans="7:7">
      <c r="G7270" s="812"/>
    </row>
    <row r="7271" spans="7:7">
      <c r="G7271" s="812"/>
    </row>
    <row r="7272" spans="7:7">
      <c r="G7272" s="812"/>
    </row>
    <row r="7273" spans="7:7">
      <c r="G7273" s="812"/>
    </row>
    <row r="7274" spans="7:7">
      <c r="G7274" s="812"/>
    </row>
    <row r="7275" spans="7:7">
      <c r="G7275" s="812"/>
    </row>
    <row r="7276" spans="7:7">
      <c r="G7276" s="812"/>
    </row>
    <row r="7277" spans="7:7">
      <c r="G7277" s="812"/>
    </row>
    <row r="7278" spans="7:7">
      <c r="G7278" s="812"/>
    </row>
    <row r="7279" spans="7:7">
      <c r="G7279" s="812"/>
    </row>
    <row r="7280" spans="7:7">
      <c r="G7280" s="812"/>
    </row>
    <row r="7281" spans="7:7">
      <c r="G7281" s="812"/>
    </row>
    <row r="7282" spans="7:7">
      <c r="G7282" s="812"/>
    </row>
    <row r="7283" spans="7:7">
      <c r="G7283" s="812"/>
    </row>
    <row r="7284" spans="7:7">
      <c r="G7284" s="812"/>
    </row>
    <row r="7285" spans="7:7">
      <c r="G7285" s="812"/>
    </row>
    <row r="7286" spans="7:7">
      <c r="G7286" s="812"/>
    </row>
    <row r="7287" spans="7:7">
      <c r="G7287" s="812"/>
    </row>
    <row r="7288" spans="7:7">
      <c r="G7288" s="812"/>
    </row>
    <row r="7289" spans="7:7">
      <c r="G7289" s="812"/>
    </row>
    <row r="7290" spans="7:7">
      <c r="G7290" s="812"/>
    </row>
    <row r="7291" spans="7:7">
      <c r="G7291" s="812"/>
    </row>
    <row r="7292" spans="7:7">
      <c r="G7292" s="812"/>
    </row>
    <row r="7293" spans="7:7">
      <c r="G7293" s="812"/>
    </row>
    <row r="7294" spans="7:7">
      <c r="G7294" s="812"/>
    </row>
    <row r="7295" spans="7:7">
      <c r="G7295" s="812"/>
    </row>
    <row r="7296" spans="7:7">
      <c r="G7296" s="812"/>
    </row>
    <row r="7297" spans="7:7">
      <c r="G7297" s="812"/>
    </row>
    <row r="7298" spans="7:7">
      <c r="G7298" s="812"/>
    </row>
    <row r="7299" spans="7:7">
      <c r="G7299" s="812"/>
    </row>
    <row r="7300" spans="7:7">
      <c r="G7300" s="812"/>
    </row>
    <row r="7301" spans="7:7">
      <c r="G7301" s="812"/>
    </row>
    <row r="7302" spans="7:7">
      <c r="G7302" s="812"/>
    </row>
    <row r="7303" spans="7:7">
      <c r="G7303" s="812"/>
    </row>
    <row r="7304" spans="7:7">
      <c r="G7304" s="812"/>
    </row>
    <row r="7305" spans="7:7">
      <c r="G7305" s="812"/>
    </row>
    <row r="7306" spans="7:7">
      <c r="G7306" s="812"/>
    </row>
    <row r="7307" spans="7:7">
      <c r="G7307" s="812"/>
    </row>
    <row r="7308" spans="7:7">
      <c r="G7308" s="812"/>
    </row>
    <row r="7309" spans="7:7">
      <c r="G7309" s="812"/>
    </row>
    <row r="7310" spans="7:7">
      <c r="G7310" s="812"/>
    </row>
    <row r="7311" spans="7:7">
      <c r="G7311" s="812"/>
    </row>
    <row r="7312" spans="7:7">
      <c r="G7312" s="812"/>
    </row>
    <row r="7313" spans="7:7">
      <c r="G7313" s="812"/>
    </row>
    <row r="7314" spans="7:7">
      <c r="G7314" s="812"/>
    </row>
    <row r="7315" spans="7:7">
      <c r="G7315" s="812"/>
    </row>
    <row r="7316" spans="7:7">
      <c r="G7316" s="812"/>
    </row>
    <row r="7317" spans="7:7">
      <c r="G7317" s="812"/>
    </row>
    <row r="7318" spans="7:7">
      <c r="G7318" s="812"/>
    </row>
    <row r="7319" spans="7:7">
      <c r="G7319" s="812"/>
    </row>
    <row r="7320" spans="7:7">
      <c r="G7320" s="812"/>
    </row>
    <row r="7321" spans="7:7">
      <c r="G7321" s="812"/>
    </row>
    <row r="7322" spans="7:7">
      <c r="G7322" s="812"/>
    </row>
    <row r="7323" spans="7:7">
      <c r="G7323" s="812"/>
    </row>
    <row r="7324" spans="7:7">
      <c r="G7324" s="812"/>
    </row>
    <row r="7325" spans="7:7">
      <c r="G7325" s="812"/>
    </row>
    <row r="7326" spans="7:7">
      <c r="G7326" s="812"/>
    </row>
    <row r="7327" spans="7:7">
      <c r="G7327" s="812"/>
    </row>
    <row r="7328" spans="7:7">
      <c r="G7328" s="812"/>
    </row>
    <row r="7329" spans="7:7">
      <c r="G7329" s="812"/>
    </row>
    <row r="7330" spans="7:7">
      <c r="G7330" s="812"/>
    </row>
    <row r="7331" spans="7:7">
      <c r="G7331" s="812"/>
    </row>
    <row r="7332" spans="7:7">
      <c r="G7332" s="812"/>
    </row>
    <row r="7333" spans="7:7">
      <c r="G7333" s="812"/>
    </row>
    <row r="7334" spans="7:7">
      <c r="G7334" s="812"/>
    </row>
    <row r="7335" spans="7:7">
      <c r="G7335" s="812"/>
    </row>
    <row r="7336" spans="7:7">
      <c r="G7336" s="812"/>
    </row>
    <row r="7337" spans="7:7">
      <c r="G7337" s="812"/>
    </row>
    <row r="7338" spans="7:7">
      <c r="G7338" s="812"/>
    </row>
    <row r="7339" spans="7:7">
      <c r="G7339" s="812"/>
    </row>
    <row r="7340" spans="7:7">
      <c r="G7340" s="812"/>
    </row>
    <row r="7341" spans="7:7">
      <c r="G7341" s="812"/>
    </row>
    <row r="7342" spans="7:7">
      <c r="G7342" s="812"/>
    </row>
    <row r="7343" spans="7:7">
      <c r="G7343" s="812"/>
    </row>
    <row r="7344" spans="7:7">
      <c r="G7344" s="812"/>
    </row>
    <row r="7345" spans="7:7">
      <c r="G7345" s="812"/>
    </row>
    <row r="7346" spans="7:7">
      <c r="G7346" s="812"/>
    </row>
    <row r="7347" spans="7:7">
      <c r="G7347" s="812"/>
    </row>
    <row r="7348" spans="7:7">
      <c r="G7348" s="812"/>
    </row>
    <row r="7349" spans="7:7">
      <c r="G7349" s="812"/>
    </row>
    <row r="7350" spans="7:7">
      <c r="G7350" s="812"/>
    </row>
    <row r="7351" spans="7:7">
      <c r="G7351" s="812"/>
    </row>
    <row r="7352" spans="7:7">
      <c r="G7352" s="812"/>
    </row>
    <row r="7353" spans="7:7">
      <c r="G7353" s="812"/>
    </row>
    <row r="7354" spans="7:7">
      <c r="G7354" s="812"/>
    </row>
    <row r="7355" spans="7:7">
      <c r="G7355" s="812"/>
    </row>
    <row r="7356" spans="7:7">
      <c r="G7356" s="812"/>
    </row>
    <row r="7357" spans="7:7">
      <c r="G7357" s="812"/>
    </row>
    <row r="7358" spans="7:7">
      <c r="G7358" s="812"/>
    </row>
    <row r="7359" spans="7:7">
      <c r="G7359" s="812"/>
    </row>
    <row r="7360" spans="7:7">
      <c r="G7360" s="812"/>
    </row>
    <row r="7361" spans="7:7">
      <c r="G7361" s="812"/>
    </row>
    <row r="7362" spans="7:7">
      <c r="G7362" s="812"/>
    </row>
    <row r="7363" spans="7:7">
      <c r="G7363" s="812"/>
    </row>
    <row r="7364" spans="7:7">
      <c r="G7364" s="812"/>
    </row>
    <row r="7365" spans="7:7">
      <c r="G7365" s="812"/>
    </row>
    <row r="7366" spans="7:7">
      <c r="G7366" s="812"/>
    </row>
    <row r="7367" spans="7:7">
      <c r="G7367" s="812"/>
    </row>
    <row r="7368" spans="7:7">
      <c r="G7368" s="812"/>
    </row>
    <row r="7369" spans="7:7">
      <c r="G7369" s="812"/>
    </row>
    <row r="7370" spans="7:7">
      <c r="G7370" s="812"/>
    </row>
    <row r="7371" spans="7:7">
      <c r="G7371" s="812"/>
    </row>
    <row r="7372" spans="7:7">
      <c r="G7372" s="812"/>
    </row>
    <row r="7373" spans="7:7">
      <c r="G7373" s="812"/>
    </row>
    <row r="7374" spans="7:7">
      <c r="G7374" s="812"/>
    </row>
    <row r="7375" spans="7:7">
      <c r="G7375" s="812"/>
    </row>
    <row r="7376" spans="7:7">
      <c r="G7376" s="812"/>
    </row>
    <row r="7377" spans="7:7">
      <c r="G7377" s="812"/>
    </row>
    <row r="7378" spans="7:7">
      <c r="G7378" s="812"/>
    </row>
    <row r="7379" spans="7:7">
      <c r="G7379" s="812"/>
    </row>
    <row r="7380" spans="7:7">
      <c r="G7380" s="812"/>
    </row>
    <row r="7381" spans="7:7">
      <c r="G7381" s="812"/>
    </row>
    <row r="7382" spans="7:7">
      <c r="G7382" s="812"/>
    </row>
    <row r="7383" spans="7:7">
      <c r="G7383" s="812"/>
    </row>
    <row r="7384" spans="7:7">
      <c r="G7384" s="812"/>
    </row>
    <row r="7385" spans="7:7">
      <c r="G7385" s="812"/>
    </row>
    <row r="7386" spans="7:7">
      <c r="G7386" s="812"/>
    </row>
    <row r="7387" spans="7:7">
      <c r="G7387" s="812"/>
    </row>
    <row r="7388" spans="7:7">
      <c r="G7388" s="812"/>
    </row>
    <row r="7389" spans="7:7">
      <c r="G7389" s="812"/>
    </row>
    <row r="7390" spans="7:7">
      <c r="G7390" s="812"/>
    </row>
    <row r="7391" spans="7:7">
      <c r="G7391" s="812"/>
    </row>
    <row r="7392" spans="7:7">
      <c r="G7392" s="812"/>
    </row>
    <row r="7393" spans="7:7">
      <c r="G7393" s="812"/>
    </row>
    <row r="7394" spans="7:7">
      <c r="G7394" s="812"/>
    </row>
    <row r="7395" spans="7:7">
      <c r="G7395" s="812"/>
    </row>
    <row r="7396" spans="7:7">
      <c r="G7396" s="812"/>
    </row>
    <row r="7397" spans="7:7">
      <c r="G7397" s="812"/>
    </row>
    <row r="7398" spans="7:7">
      <c r="G7398" s="812"/>
    </row>
    <row r="7399" spans="7:7">
      <c r="G7399" s="812"/>
    </row>
    <row r="7400" spans="7:7">
      <c r="G7400" s="812"/>
    </row>
    <row r="7401" spans="7:7">
      <c r="G7401" s="812"/>
    </row>
    <row r="7402" spans="7:7">
      <c r="G7402" s="812"/>
    </row>
    <row r="7403" spans="7:7">
      <c r="G7403" s="812"/>
    </row>
    <row r="7404" spans="7:7">
      <c r="G7404" s="812"/>
    </row>
    <row r="7405" spans="7:7">
      <c r="G7405" s="812"/>
    </row>
    <row r="7406" spans="7:7">
      <c r="G7406" s="812"/>
    </row>
    <row r="7407" spans="7:7">
      <c r="G7407" s="812"/>
    </row>
    <row r="7408" spans="7:7">
      <c r="G7408" s="812"/>
    </row>
    <row r="7409" spans="7:7">
      <c r="G7409" s="812"/>
    </row>
    <row r="7410" spans="7:7">
      <c r="G7410" s="812"/>
    </row>
    <row r="7411" spans="7:7">
      <c r="G7411" s="812"/>
    </row>
    <row r="7412" spans="7:7">
      <c r="G7412" s="812"/>
    </row>
    <row r="7413" spans="7:7">
      <c r="G7413" s="812"/>
    </row>
    <row r="7414" spans="7:7">
      <c r="G7414" s="812"/>
    </row>
    <row r="7415" spans="7:7">
      <c r="G7415" s="812"/>
    </row>
    <row r="7416" spans="7:7">
      <c r="G7416" s="812"/>
    </row>
    <row r="7417" spans="7:7">
      <c r="G7417" s="812"/>
    </row>
    <row r="7418" spans="7:7">
      <c r="G7418" s="812"/>
    </row>
    <row r="7419" spans="7:7">
      <c r="G7419" s="812"/>
    </row>
    <row r="7420" spans="7:7">
      <c r="G7420" s="812"/>
    </row>
    <row r="7421" spans="7:7">
      <c r="G7421" s="812"/>
    </row>
    <row r="7422" spans="7:7">
      <c r="G7422" s="812"/>
    </row>
    <row r="7423" spans="7:7">
      <c r="G7423" s="812"/>
    </row>
    <row r="7424" spans="7:7">
      <c r="G7424" s="812"/>
    </row>
    <row r="7425" spans="7:7">
      <c r="G7425" s="812"/>
    </row>
    <row r="7426" spans="7:7">
      <c r="G7426" s="812"/>
    </row>
    <row r="7427" spans="7:7">
      <c r="G7427" s="812"/>
    </row>
    <row r="7428" spans="7:7">
      <c r="G7428" s="812"/>
    </row>
    <row r="7429" spans="7:7">
      <c r="G7429" s="812"/>
    </row>
    <row r="7430" spans="7:7">
      <c r="G7430" s="812"/>
    </row>
    <row r="7431" spans="7:7">
      <c r="G7431" s="812"/>
    </row>
    <row r="7432" spans="7:7">
      <c r="G7432" s="812"/>
    </row>
    <row r="7433" spans="7:7">
      <c r="G7433" s="812"/>
    </row>
    <row r="7434" spans="7:7">
      <c r="G7434" s="812"/>
    </row>
    <row r="7435" spans="7:7">
      <c r="G7435" s="812"/>
    </row>
    <row r="7436" spans="7:7">
      <c r="G7436" s="812"/>
    </row>
    <row r="7437" spans="7:7">
      <c r="G7437" s="812"/>
    </row>
    <row r="7438" spans="7:7">
      <c r="G7438" s="812"/>
    </row>
    <row r="7439" spans="7:7">
      <c r="G7439" s="812"/>
    </row>
    <row r="7440" spans="7:7">
      <c r="G7440" s="812"/>
    </row>
    <row r="7441" spans="7:7">
      <c r="G7441" s="812"/>
    </row>
    <row r="7442" spans="7:7">
      <c r="G7442" s="812"/>
    </row>
    <row r="7443" spans="7:7">
      <c r="G7443" s="812"/>
    </row>
    <row r="7444" spans="7:7">
      <c r="G7444" s="812"/>
    </row>
    <row r="7445" spans="7:7">
      <c r="G7445" s="812"/>
    </row>
    <row r="7446" spans="7:7">
      <c r="G7446" s="812"/>
    </row>
    <row r="7447" spans="7:7">
      <c r="G7447" s="812"/>
    </row>
    <row r="7448" spans="7:7">
      <c r="G7448" s="812"/>
    </row>
    <row r="7449" spans="7:7">
      <c r="G7449" s="812"/>
    </row>
    <row r="7450" spans="7:7">
      <c r="G7450" s="812"/>
    </row>
    <row r="7451" spans="7:7">
      <c r="G7451" s="812"/>
    </row>
    <row r="7452" spans="7:7">
      <c r="G7452" s="812"/>
    </row>
    <row r="7453" spans="7:7">
      <c r="G7453" s="812"/>
    </row>
    <row r="7454" spans="7:7">
      <c r="G7454" s="812"/>
    </row>
    <row r="7455" spans="7:7">
      <c r="G7455" s="812"/>
    </row>
    <row r="7456" spans="7:7">
      <c r="G7456" s="812"/>
    </row>
    <row r="7457" spans="7:7">
      <c r="G7457" s="812"/>
    </row>
    <row r="7458" spans="7:7">
      <c r="G7458" s="812"/>
    </row>
    <row r="7459" spans="7:7">
      <c r="G7459" s="812"/>
    </row>
    <row r="7460" spans="7:7">
      <c r="G7460" s="812"/>
    </row>
    <row r="7461" spans="7:7">
      <c r="G7461" s="812"/>
    </row>
    <row r="7462" spans="7:7">
      <c r="G7462" s="812"/>
    </row>
    <row r="7463" spans="7:7">
      <c r="G7463" s="812"/>
    </row>
    <row r="7464" spans="7:7">
      <c r="G7464" s="812"/>
    </row>
    <row r="7465" spans="7:7">
      <c r="G7465" s="812"/>
    </row>
    <row r="7466" spans="7:7">
      <c r="G7466" s="812"/>
    </row>
    <row r="7467" spans="7:7">
      <c r="G7467" s="812"/>
    </row>
    <row r="7468" spans="7:7">
      <c r="G7468" s="812"/>
    </row>
    <row r="7469" spans="7:7">
      <c r="G7469" s="812"/>
    </row>
    <row r="7470" spans="7:7">
      <c r="G7470" s="812"/>
    </row>
    <row r="7471" spans="7:7">
      <c r="G7471" s="812"/>
    </row>
    <row r="7472" spans="7:7">
      <c r="G7472" s="812"/>
    </row>
    <row r="7473" spans="7:7">
      <c r="G7473" s="812"/>
    </row>
    <row r="7474" spans="7:7">
      <c r="G7474" s="812"/>
    </row>
    <row r="7475" spans="7:7">
      <c r="G7475" s="812"/>
    </row>
    <row r="7476" spans="7:7">
      <c r="G7476" s="812"/>
    </row>
    <row r="7477" spans="7:7">
      <c r="G7477" s="812"/>
    </row>
    <row r="7478" spans="7:7">
      <c r="G7478" s="812"/>
    </row>
    <row r="7479" spans="7:7">
      <c r="G7479" s="812"/>
    </row>
    <row r="7480" spans="7:7">
      <c r="G7480" s="812"/>
    </row>
    <row r="7481" spans="7:7">
      <c r="G7481" s="812"/>
    </row>
    <row r="7482" spans="7:7">
      <c r="G7482" s="812"/>
    </row>
    <row r="7483" spans="7:7">
      <c r="G7483" s="812"/>
    </row>
    <row r="7484" spans="7:7">
      <c r="G7484" s="812"/>
    </row>
    <row r="7485" spans="7:7">
      <c r="G7485" s="812"/>
    </row>
    <row r="7486" spans="7:7">
      <c r="G7486" s="812"/>
    </row>
    <row r="7487" spans="7:7">
      <c r="G7487" s="812"/>
    </row>
    <row r="7488" spans="7:7">
      <c r="G7488" s="812"/>
    </row>
    <row r="7489" spans="7:7">
      <c r="G7489" s="812"/>
    </row>
    <row r="7490" spans="7:7">
      <c r="G7490" s="812"/>
    </row>
    <row r="7491" spans="7:7">
      <c r="G7491" s="812"/>
    </row>
    <row r="7492" spans="7:7">
      <c r="G7492" s="812"/>
    </row>
    <row r="7493" spans="7:7">
      <c r="G7493" s="812"/>
    </row>
    <row r="7494" spans="7:7">
      <c r="G7494" s="812"/>
    </row>
    <row r="7495" spans="7:7">
      <c r="G7495" s="812"/>
    </row>
    <row r="7496" spans="7:7">
      <c r="G7496" s="812"/>
    </row>
    <row r="7497" spans="7:7">
      <c r="G7497" s="812"/>
    </row>
    <row r="7498" spans="7:7">
      <c r="G7498" s="812"/>
    </row>
    <row r="7499" spans="7:7">
      <c r="G7499" s="812"/>
    </row>
    <row r="7500" spans="7:7">
      <c r="G7500" s="812"/>
    </row>
    <row r="7501" spans="7:7">
      <c r="G7501" s="812"/>
    </row>
    <row r="7502" spans="7:7">
      <c r="G7502" s="812"/>
    </row>
    <row r="7503" spans="7:7">
      <c r="G7503" s="812"/>
    </row>
    <row r="7504" spans="7:7">
      <c r="G7504" s="812"/>
    </row>
    <row r="7505" spans="7:7">
      <c r="G7505" s="812"/>
    </row>
    <row r="7506" spans="7:7">
      <c r="G7506" s="812"/>
    </row>
    <row r="7507" spans="7:7">
      <c r="G7507" s="812"/>
    </row>
    <row r="7508" spans="7:7">
      <c r="G7508" s="812"/>
    </row>
    <row r="7509" spans="7:7">
      <c r="G7509" s="812"/>
    </row>
    <row r="7510" spans="7:7">
      <c r="G7510" s="812"/>
    </row>
    <row r="7511" spans="7:7">
      <c r="G7511" s="812"/>
    </row>
    <row r="7512" spans="7:7">
      <c r="G7512" s="812"/>
    </row>
    <row r="7513" spans="7:7">
      <c r="G7513" s="812"/>
    </row>
    <row r="7514" spans="7:7">
      <c r="G7514" s="812"/>
    </row>
    <row r="7515" spans="7:7">
      <c r="G7515" s="812"/>
    </row>
    <row r="7516" spans="7:7">
      <c r="G7516" s="812"/>
    </row>
    <row r="7517" spans="7:7">
      <c r="G7517" s="812"/>
    </row>
    <row r="7518" spans="7:7">
      <c r="G7518" s="812"/>
    </row>
    <row r="7519" spans="7:7">
      <c r="G7519" s="812"/>
    </row>
    <row r="7520" spans="7:7">
      <c r="G7520" s="812"/>
    </row>
    <row r="7521" spans="7:7">
      <c r="G7521" s="812"/>
    </row>
    <row r="7522" spans="7:7">
      <c r="G7522" s="812"/>
    </row>
    <row r="7523" spans="7:7">
      <c r="G7523" s="812"/>
    </row>
    <row r="7524" spans="7:7">
      <c r="G7524" s="812"/>
    </row>
    <row r="7525" spans="7:7">
      <c r="G7525" s="812"/>
    </row>
    <row r="7526" spans="7:7">
      <c r="G7526" s="812"/>
    </row>
    <row r="7527" spans="7:7">
      <c r="G7527" s="812"/>
    </row>
    <row r="7528" spans="7:7">
      <c r="G7528" s="812"/>
    </row>
    <row r="7529" spans="7:7">
      <c r="G7529" s="812"/>
    </row>
    <row r="7530" spans="7:7">
      <c r="G7530" s="812"/>
    </row>
    <row r="7531" spans="7:7">
      <c r="G7531" s="812"/>
    </row>
    <row r="7532" spans="7:7">
      <c r="G7532" s="812"/>
    </row>
    <row r="7533" spans="7:7">
      <c r="G7533" s="812"/>
    </row>
    <row r="7534" spans="7:7">
      <c r="G7534" s="812"/>
    </row>
    <row r="7535" spans="7:7">
      <c r="G7535" s="812"/>
    </row>
    <row r="7536" spans="7:7">
      <c r="G7536" s="812"/>
    </row>
    <row r="7537" spans="7:7">
      <c r="G7537" s="812"/>
    </row>
    <row r="7538" spans="7:7">
      <c r="G7538" s="812"/>
    </row>
    <row r="7539" spans="7:7">
      <c r="G7539" s="812"/>
    </row>
    <row r="7540" spans="7:7">
      <c r="G7540" s="812"/>
    </row>
    <row r="7541" spans="7:7">
      <c r="G7541" s="812"/>
    </row>
    <row r="7542" spans="7:7">
      <c r="G7542" s="812"/>
    </row>
    <row r="7543" spans="7:7">
      <c r="G7543" s="812"/>
    </row>
    <row r="7544" spans="7:7">
      <c r="G7544" s="812"/>
    </row>
    <row r="7545" spans="7:7">
      <c r="G7545" s="812"/>
    </row>
    <row r="7546" spans="7:7">
      <c r="G7546" s="812"/>
    </row>
    <row r="7547" spans="7:7">
      <c r="G7547" s="812"/>
    </row>
    <row r="7548" spans="7:7">
      <c r="G7548" s="812"/>
    </row>
    <row r="7549" spans="7:7">
      <c r="G7549" s="812"/>
    </row>
    <row r="7550" spans="7:7">
      <c r="G7550" s="812"/>
    </row>
    <row r="7551" spans="7:7">
      <c r="G7551" s="812"/>
    </row>
    <row r="7552" spans="7:7">
      <c r="G7552" s="812"/>
    </row>
    <row r="7553" spans="7:7">
      <c r="G7553" s="812"/>
    </row>
    <row r="7554" spans="7:7">
      <c r="G7554" s="812"/>
    </row>
    <row r="7555" spans="7:7">
      <c r="G7555" s="812"/>
    </row>
    <row r="7556" spans="7:7">
      <c r="G7556" s="812"/>
    </row>
    <row r="7557" spans="7:7">
      <c r="G7557" s="812"/>
    </row>
    <row r="7558" spans="7:7">
      <c r="G7558" s="812"/>
    </row>
    <row r="7559" spans="7:7">
      <c r="G7559" s="812"/>
    </row>
    <row r="7560" spans="7:7">
      <c r="G7560" s="812"/>
    </row>
    <row r="7561" spans="7:7">
      <c r="G7561" s="812"/>
    </row>
    <row r="7562" spans="7:7">
      <c r="G7562" s="812"/>
    </row>
    <row r="7563" spans="7:7">
      <c r="G7563" s="812"/>
    </row>
    <row r="7564" spans="7:7">
      <c r="G7564" s="812"/>
    </row>
    <row r="7565" spans="7:7">
      <c r="G7565" s="812"/>
    </row>
    <row r="7566" spans="7:7">
      <c r="G7566" s="812"/>
    </row>
    <row r="7567" spans="7:7">
      <c r="G7567" s="812"/>
    </row>
    <row r="7568" spans="7:7">
      <c r="G7568" s="812"/>
    </row>
    <row r="7569" spans="7:7">
      <c r="G7569" s="812"/>
    </row>
    <row r="7570" spans="7:7">
      <c r="G7570" s="812"/>
    </row>
    <row r="7571" spans="7:7">
      <c r="G7571" s="812"/>
    </row>
    <row r="7572" spans="7:7">
      <c r="G7572" s="812"/>
    </row>
    <row r="7573" spans="7:7">
      <c r="G7573" s="812"/>
    </row>
    <row r="7574" spans="7:7">
      <c r="G7574" s="812"/>
    </row>
    <row r="7575" spans="7:7">
      <c r="G7575" s="812"/>
    </row>
    <row r="7576" spans="7:7">
      <c r="G7576" s="812"/>
    </row>
    <row r="7577" spans="7:7">
      <c r="G7577" s="812"/>
    </row>
    <row r="7578" spans="7:7">
      <c r="G7578" s="812"/>
    </row>
    <row r="7579" spans="7:7">
      <c r="G7579" s="812"/>
    </row>
    <row r="7580" spans="7:7">
      <c r="G7580" s="812"/>
    </row>
    <row r="7581" spans="7:7">
      <c r="G7581" s="812"/>
    </row>
    <row r="7582" spans="7:7">
      <c r="G7582" s="812"/>
    </row>
    <row r="7583" spans="7:7">
      <c r="G7583" s="812"/>
    </row>
    <row r="7584" spans="7:7">
      <c r="G7584" s="812"/>
    </row>
    <row r="7585" spans="7:7">
      <c r="G7585" s="812"/>
    </row>
    <row r="7586" spans="7:7">
      <c r="G7586" s="812"/>
    </row>
    <row r="7587" spans="7:7">
      <c r="G7587" s="812"/>
    </row>
    <row r="7588" spans="7:7">
      <c r="G7588" s="812"/>
    </row>
    <row r="7589" spans="7:7">
      <c r="G7589" s="812"/>
    </row>
    <row r="7590" spans="7:7">
      <c r="G7590" s="812"/>
    </row>
    <row r="7591" spans="7:7">
      <c r="G7591" s="812"/>
    </row>
    <row r="7592" spans="7:7">
      <c r="G7592" s="812"/>
    </row>
    <row r="7593" spans="7:7">
      <c r="G7593" s="812"/>
    </row>
    <row r="7594" spans="7:7">
      <c r="G7594" s="812"/>
    </row>
    <row r="7595" spans="7:7">
      <c r="G7595" s="812"/>
    </row>
    <row r="7596" spans="7:7">
      <c r="G7596" s="812"/>
    </row>
    <row r="7597" spans="7:7">
      <c r="G7597" s="812"/>
    </row>
    <row r="7598" spans="7:7">
      <c r="G7598" s="812"/>
    </row>
    <row r="7599" spans="7:7">
      <c r="G7599" s="812"/>
    </row>
    <row r="7600" spans="7:7">
      <c r="G7600" s="812"/>
    </row>
    <row r="7601" spans="7:7">
      <c r="G7601" s="812"/>
    </row>
    <row r="7602" spans="7:7">
      <c r="G7602" s="812"/>
    </row>
    <row r="7603" spans="7:7">
      <c r="G7603" s="812"/>
    </row>
    <row r="7604" spans="7:7">
      <c r="G7604" s="812"/>
    </row>
    <row r="7605" spans="7:7">
      <c r="G7605" s="812"/>
    </row>
    <row r="7606" spans="7:7">
      <c r="G7606" s="812"/>
    </row>
    <row r="7607" spans="7:7">
      <c r="G7607" s="812"/>
    </row>
    <row r="7608" spans="7:7">
      <c r="G7608" s="812"/>
    </row>
    <row r="7609" spans="7:7">
      <c r="G7609" s="812"/>
    </row>
    <row r="7610" spans="7:7">
      <c r="G7610" s="812"/>
    </row>
    <row r="7611" spans="7:7">
      <c r="G7611" s="812"/>
    </row>
    <row r="7612" spans="7:7">
      <c r="G7612" s="812"/>
    </row>
    <row r="7613" spans="7:7">
      <c r="G7613" s="812"/>
    </row>
    <row r="7614" spans="7:7">
      <c r="G7614" s="812"/>
    </row>
    <row r="7615" spans="7:7">
      <c r="G7615" s="812"/>
    </row>
    <row r="7616" spans="7:7">
      <c r="G7616" s="812"/>
    </row>
    <row r="7617" spans="7:7">
      <c r="G7617" s="812"/>
    </row>
    <row r="7618" spans="7:7">
      <c r="G7618" s="812"/>
    </row>
    <row r="7619" spans="7:7">
      <c r="G7619" s="812"/>
    </row>
    <row r="7620" spans="7:7">
      <c r="G7620" s="812"/>
    </row>
    <row r="7621" spans="7:7">
      <c r="G7621" s="812"/>
    </row>
    <row r="7622" spans="7:7">
      <c r="G7622" s="812"/>
    </row>
    <row r="7623" spans="7:7">
      <c r="G7623" s="812"/>
    </row>
    <row r="7624" spans="7:7">
      <c r="G7624" s="812"/>
    </row>
    <row r="7625" spans="7:7">
      <c r="G7625" s="812"/>
    </row>
    <row r="7626" spans="7:7">
      <c r="G7626" s="812"/>
    </row>
    <row r="7627" spans="7:7">
      <c r="G7627" s="812"/>
    </row>
    <row r="7628" spans="7:7">
      <c r="G7628" s="812"/>
    </row>
    <row r="7629" spans="7:7">
      <c r="G7629" s="812"/>
    </row>
    <row r="7630" spans="7:7">
      <c r="G7630" s="812"/>
    </row>
    <row r="7631" spans="7:7">
      <c r="G7631" s="812"/>
    </row>
    <row r="7632" spans="7:7">
      <c r="G7632" s="812"/>
    </row>
    <row r="7633" spans="7:7">
      <c r="G7633" s="812"/>
    </row>
    <row r="7634" spans="7:7">
      <c r="G7634" s="812"/>
    </row>
    <row r="7635" spans="7:7">
      <c r="G7635" s="812"/>
    </row>
    <row r="7636" spans="7:7">
      <c r="G7636" s="812"/>
    </row>
    <row r="7637" spans="7:7">
      <c r="G7637" s="812"/>
    </row>
    <row r="7638" spans="7:7">
      <c r="G7638" s="812"/>
    </row>
    <row r="7639" spans="7:7">
      <c r="G7639" s="812"/>
    </row>
    <row r="7640" spans="7:7">
      <c r="G7640" s="812"/>
    </row>
    <row r="7641" spans="7:7">
      <c r="G7641" s="812"/>
    </row>
    <row r="7642" spans="7:7">
      <c r="G7642" s="812"/>
    </row>
    <row r="7643" spans="7:7">
      <c r="G7643" s="812"/>
    </row>
    <row r="7644" spans="7:7">
      <c r="G7644" s="812"/>
    </row>
    <row r="7645" spans="7:7">
      <c r="G7645" s="812"/>
    </row>
    <row r="7646" spans="7:7">
      <c r="G7646" s="812"/>
    </row>
    <row r="7647" spans="7:7">
      <c r="G7647" s="812"/>
    </row>
    <row r="7648" spans="7:7">
      <c r="G7648" s="812"/>
    </row>
    <row r="7649" spans="7:7">
      <c r="G7649" s="812"/>
    </row>
    <row r="7650" spans="7:7">
      <c r="G7650" s="812"/>
    </row>
    <row r="7651" spans="7:7">
      <c r="G7651" s="812"/>
    </row>
    <row r="7652" spans="7:7">
      <c r="G7652" s="812"/>
    </row>
    <row r="7653" spans="7:7">
      <c r="G7653" s="812"/>
    </row>
    <row r="7654" spans="7:7">
      <c r="G7654" s="812"/>
    </row>
    <row r="7655" spans="7:7">
      <c r="G7655" s="812"/>
    </row>
    <row r="7656" spans="7:7">
      <c r="G7656" s="812"/>
    </row>
    <row r="7657" spans="7:7">
      <c r="G7657" s="812"/>
    </row>
    <row r="7658" spans="7:7">
      <c r="G7658" s="812"/>
    </row>
    <row r="7659" spans="7:7">
      <c r="G7659" s="812"/>
    </row>
    <row r="7660" spans="7:7">
      <c r="G7660" s="812"/>
    </row>
    <row r="7661" spans="7:7">
      <c r="G7661" s="812"/>
    </row>
    <row r="7662" spans="7:7">
      <c r="G7662" s="812"/>
    </row>
    <row r="7663" spans="7:7">
      <c r="G7663" s="812"/>
    </row>
    <row r="7664" spans="7:7">
      <c r="G7664" s="812"/>
    </row>
    <row r="7665" spans="7:7">
      <c r="G7665" s="812"/>
    </row>
    <row r="7666" spans="7:7">
      <c r="G7666" s="812"/>
    </row>
    <row r="7667" spans="7:7">
      <c r="G7667" s="812"/>
    </row>
    <row r="7668" spans="7:7">
      <c r="G7668" s="812"/>
    </row>
    <row r="7669" spans="7:7">
      <c r="G7669" s="812"/>
    </row>
    <row r="7670" spans="7:7">
      <c r="G7670" s="812"/>
    </row>
    <row r="7671" spans="7:7">
      <c r="G7671" s="812"/>
    </row>
    <row r="7672" spans="7:7">
      <c r="G7672" s="812"/>
    </row>
    <row r="7673" spans="7:7">
      <c r="G7673" s="812"/>
    </row>
    <row r="7674" spans="7:7">
      <c r="G7674" s="812"/>
    </row>
    <row r="7675" spans="7:7">
      <c r="G7675" s="812"/>
    </row>
    <row r="7676" spans="7:7">
      <c r="G7676" s="812"/>
    </row>
    <row r="7677" spans="7:7">
      <c r="G7677" s="812"/>
    </row>
    <row r="7678" spans="7:7">
      <c r="G7678" s="812"/>
    </row>
    <row r="7679" spans="7:7">
      <c r="G7679" s="812"/>
    </row>
    <row r="7680" spans="7:7">
      <c r="G7680" s="812"/>
    </row>
    <row r="7681" spans="7:7">
      <c r="G7681" s="812"/>
    </row>
    <row r="7682" spans="7:7">
      <c r="G7682" s="812"/>
    </row>
    <row r="7683" spans="7:7">
      <c r="G7683" s="812"/>
    </row>
    <row r="7684" spans="7:7">
      <c r="G7684" s="812"/>
    </row>
    <row r="7685" spans="7:7">
      <c r="G7685" s="812"/>
    </row>
    <row r="7686" spans="7:7">
      <c r="G7686" s="812"/>
    </row>
    <row r="7687" spans="7:7">
      <c r="G7687" s="812"/>
    </row>
    <row r="7688" spans="7:7">
      <c r="G7688" s="812"/>
    </row>
    <row r="7689" spans="7:7">
      <c r="G7689" s="812"/>
    </row>
    <row r="7690" spans="7:7">
      <c r="G7690" s="812"/>
    </row>
    <row r="7691" spans="7:7">
      <c r="G7691" s="812"/>
    </row>
    <row r="7692" spans="7:7">
      <c r="G7692" s="812"/>
    </row>
    <row r="7693" spans="7:7">
      <c r="G7693" s="812"/>
    </row>
    <row r="7694" spans="7:7">
      <c r="G7694" s="812"/>
    </row>
    <row r="7695" spans="7:7">
      <c r="G7695" s="812"/>
    </row>
    <row r="7696" spans="7:7">
      <c r="G7696" s="812"/>
    </row>
    <row r="7697" spans="7:7">
      <c r="G7697" s="812"/>
    </row>
    <row r="7698" spans="7:7">
      <c r="G7698" s="812"/>
    </row>
    <row r="7699" spans="7:7">
      <c r="G7699" s="812"/>
    </row>
    <row r="7700" spans="7:7">
      <c r="G7700" s="812"/>
    </row>
    <row r="7701" spans="7:7">
      <c r="G7701" s="812"/>
    </row>
    <row r="7702" spans="7:7">
      <c r="G7702" s="812"/>
    </row>
    <row r="7703" spans="7:7">
      <c r="G7703" s="812"/>
    </row>
    <row r="7704" spans="7:7">
      <c r="G7704" s="812"/>
    </row>
    <row r="7705" spans="7:7">
      <c r="G7705" s="812"/>
    </row>
    <row r="7706" spans="7:7">
      <c r="G7706" s="812"/>
    </row>
    <row r="7707" spans="7:7">
      <c r="G7707" s="812"/>
    </row>
    <row r="7708" spans="7:7">
      <c r="G7708" s="812"/>
    </row>
    <row r="7709" spans="7:7">
      <c r="G7709" s="812"/>
    </row>
    <row r="7710" spans="7:7">
      <c r="G7710" s="812"/>
    </row>
    <row r="7711" spans="7:7">
      <c r="G7711" s="812"/>
    </row>
    <row r="7712" spans="7:7">
      <c r="G7712" s="812"/>
    </row>
    <row r="7713" spans="7:7">
      <c r="G7713" s="812"/>
    </row>
    <row r="7714" spans="7:7">
      <c r="G7714" s="812"/>
    </row>
    <row r="7715" spans="7:7">
      <c r="G7715" s="812"/>
    </row>
    <row r="7716" spans="7:7">
      <c r="G7716" s="812"/>
    </row>
    <row r="7717" spans="7:7">
      <c r="G7717" s="812"/>
    </row>
    <row r="7718" spans="7:7">
      <c r="G7718" s="812"/>
    </row>
    <row r="7719" spans="7:7">
      <c r="G7719" s="812"/>
    </row>
    <row r="7720" spans="7:7">
      <c r="G7720" s="812"/>
    </row>
    <row r="7721" spans="7:7">
      <c r="G7721" s="812"/>
    </row>
    <row r="7722" spans="7:7">
      <c r="G7722" s="812"/>
    </row>
    <row r="7723" spans="7:7">
      <c r="G7723" s="812"/>
    </row>
    <row r="7724" spans="7:7">
      <c r="G7724" s="812"/>
    </row>
    <row r="7725" spans="7:7">
      <c r="G7725" s="812"/>
    </row>
    <row r="7726" spans="7:7">
      <c r="G7726" s="812"/>
    </row>
    <row r="7727" spans="7:7">
      <c r="G7727" s="812"/>
    </row>
    <row r="7728" spans="7:7">
      <c r="G7728" s="812"/>
    </row>
    <row r="7729" spans="7:7">
      <c r="G7729" s="812"/>
    </row>
    <row r="7730" spans="7:7">
      <c r="G7730" s="812"/>
    </row>
    <row r="7731" spans="7:7">
      <c r="G7731" s="812"/>
    </row>
    <row r="7732" spans="7:7">
      <c r="G7732" s="812"/>
    </row>
    <row r="7733" spans="7:7">
      <c r="G7733" s="812"/>
    </row>
    <row r="7734" spans="7:7">
      <c r="G7734" s="812"/>
    </row>
    <row r="7735" spans="7:7">
      <c r="G7735" s="812"/>
    </row>
    <row r="7736" spans="7:7">
      <c r="G7736" s="812"/>
    </row>
    <row r="7737" spans="7:7">
      <c r="G7737" s="812"/>
    </row>
    <row r="7738" spans="7:7">
      <c r="G7738" s="812"/>
    </row>
    <row r="7739" spans="7:7">
      <c r="G7739" s="812"/>
    </row>
    <row r="7740" spans="7:7">
      <c r="G7740" s="812"/>
    </row>
    <row r="7741" spans="7:7">
      <c r="G7741" s="812"/>
    </row>
    <row r="7742" spans="7:7">
      <c r="G7742" s="812"/>
    </row>
    <row r="7743" spans="7:7">
      <c r="G7743" s="812"/>
    </row>
    <row r="7744" spans="7:7">
      <c r="G7744" s="812"/>
    </row>
    <row r="7745" spans="7:7">
      <c r="G7745" s="812"/>
    </row>
    <row r="7746" spans="7:7">
      <c r="G7746" s="812"/>
    </row>
    <row r="7747" spans="7:7">
      <c r="G7747" s="812"/>
    </row>
    <row r="7748" spans="7:7">
      <c r="G7748" s="812"/>
    </row>
    <row r="7749" spans="7:7">
      <c r="G7749" s="812"/>
    </row>
    <row r="7750" spans="7:7">
      <c r="G7750" s="812"/>
    </row>
    <row r="7751" spans="7:7">
      <c r="G7751" s="812"/>
    </row>
    <row r="7752" spans="7:7">
      <c r="G7752" s="812"/>
    </row>
    <row r="7753" spans="7:7">
      <c r="G7753" s="812"/>
    </row>
    <row r="7754" spans="7:7">
      <c r="G7754" s="812"/>
    </row>
    <row r="7755" spans="7:7">
      <c r="G7755" s="812"/>
    </row>
    <row r="7756" spans="7:7">
      <c r="G7756" s="812"/>
    </row>
    <row r="7757" spans="7:7">
      <c r="G7757" s="812"/>
    </row>
    <row r="7758" spans="7:7">
      <c r="G7758" s="812"/>
    </row>
    <row r="7759" spans="7:7">
      <c r="G7759" s="812"/>
    </row>
    <row r="7760" spans="7:7">
      <c r="G7760" s="812"/>
    </row>
    <row r="7761" spans="7:7">
      <c r="G7761" s="812"/>
    </row>
    <row r="7762" spans="7:7">
      <c r="G7762" s="812"/>
    </row>
    <row r="7763" spans="7:7">
      <c r="G7763" s="812"/>
    </row>
    <row r="7764" spans="7:7">
      <c r="G7764" s="812"/>
    </row>
    <row r="7765" spans="7:7">
      <c r="G7765" s="812"/>
    </row>
    <row r="7766" spans="7:7">
      <c r="G7766" s="812"/>
    </row>
    <row r="7767" spans="7:7">
      <c r="G7767" s="812"/>
    </row>
    <row r="7768" spans="7:7">
      <c r="G7768" s="812"/>
    </row>
    <row r="7769" spans="7:7">
      <c r="G7769" s="812"/>
    </row>
    <row r="7770" spans="7:7">
      <c r="G7770" s="812"/>
    </row>
    <row r="7771" spans="7:7">
      <c r="G7771" s="812"/>
    </row>
    <row r="7772" spans="7:7">
      <c r="G7772" s="812"/>
    </row>
    <row r="7773" spans="7:7">
      <c r="G7773" s="812"/>
    </row>
    <row r="7774" spans="7:7">
      <c r="G7774" s="812"/>
    </row>
    <row r="7775" spans="7:7">
      <c r="G7775" s="812"/>
    </row>
    <row r="7776" spans="7:7">
      <c r="G7776" s="812"/>
    </row>
    <row r="7777" spans="7:7">
      <c r="G7777" s="812"/>
    </row>
    <row r="7778" spans="7:7">
      <c r="G7778" s="812"/>
    </row>
    <row r="7779" spans="7:7">
      <c r="G7779" s="812"/>
    </row>
    <row r="7780" spans="7:7">
      <c r="G7780" s="812"/>
    </row>
    <row r="7781" spans="7:7">
      <c r="G7781" s="812"/>
    </row>
    <row r="7782" spans="7:7">
      <c r="G7782" s="812"/>
    </row>
    <row r="7783" spans="7:7">
      <c r="G7783" s="812"/>
    </row>
    <row r="7784" spans="7:7">
      <c r="G7784" s="812"/>
    </row>
    <row r="7785" spans="7:7">
      <c r="G7785" s="812"/>
    </row>
    <row r="7786" spans="7:7">
      <c r="G7786" s="812"/>
    </row>
    <row r="7787" spans="7:7">
      <c r="G7787" s="812"/>
    </row>
    <row r="7788" spans="7:7">
      <c r="G7788" s="812"/>
    </row>
    <row r="7789" spans="7:7">
      <c r="G7789" s="812"/>
    </row>
    <row r="7790" spans="7:7">
      <c r="G7790" s="812"/>
    </row>
    <row r="7791" spans="7:7">
      <c r="G7791" s="812"/>
    </row>
    <row r="7792" spans="7:7">
      <c r="G7792" s="812"/>
    </row>
    <row r="7793" spans="7:7">
      <c r="G7793" s="812"/>
    </row>
    <row r="7794" spans="7:7">
      <c r="G7794" s="812"/>
    </row>
    <row r="7795" spans="7:7">
      <c r="G7795" s="812"/>
    </row>
    <row r="7796" spans="7:7">
      <c r="G7796" s="812"/>
    </row>
    <row r="7797" spans="7:7">
      <c r="G7797" s="812"/>
    </row>
    <row r="7798" spans="7:7">
      <c r="G7798" s="812"/>
    </row>
    <row r="7799" spans="7:7">
      <c r="G7799" s="812"/>
    </row>
    <row r="7800" spans="7:7">
      <c r="G7800" s="812"/>
    </row>
    <row r="7801" spans="7:7">
      <c r="G7801" s="812"/>
    </row>
    <row r="7802" spans="7:7">
      <c r="G7802" s="812"/>
    </row>
    <row r="7803" spans="7:7">
      <c r="G7803" s="812"/>
    </row>
    <row r="7804" spans="7:7">
      <c r="G7804" s="812"/>
    </row>
    <row r="7805" spans="7:7">
      <c r="G7805" s="812"/>
    </row>
    <row r="7806" spans="7:7">
      <c r="G7806" s="812"/>
    </row>
    <row r="7807" spans="7:7">
      <c r="G7807" s="812"/>
    </row>
    <row r="7808" spans="7:7">
      <c r="G7808" s="812"/>
    </row>
    <row r="7809" spans="7:7">
      <c r="G7809" s="812"/>
    </row>
    <row r="7810" spans="7:7">
      <c r="G7810" s="812"/>
    </row>
    <row r="7811" spans="7:7">
      <c r="G7811" s="812"/>
    </row>
    <row r="7812" spans="7:7">
      <c r="G7812" s="812"/>
    </row>
    <row r="7813" spans="7:7">
      <c r="G7813" s="812"/>
    </row>
    <row r="7814" spans="7:7">
      <c r="G7814" s="812"/>
    </row>
    <row r="7815" spans="7:7">
      <c r="G7815" s="812"/>
    </row>
    <row r="7816" spans="7:7">
      <c r="G7816" s="812"/>
    </row>
    <row r="7817" spans="7:7">
      <c r="G7817" s="812"/>
    </row>
    <row r="7818" spans="7:7">
      <c r="G7818" s="812"/>
    </row>
    <row r="7819" spans="7:7">
      <c r="G7819" s="812"/>
    </row>
    <row r="7820" spans="7:7">
      <c r="G7820" s="812"/>
    </row>
    <row r="7821" spans="7:7">
      <c r="G7821" s="812"/>
    </row>
    <row r="7822" spans="7:7">
      <c r="G7822" s="812"/>
    </row>
    <row r="7823" spans="7:7">
      <c r="G7823" s="812"/>
    </row>
    <row r="7824" spans="7:7">
      <c r="G7824" s="812"/>
    </row>
    <row r="7825" spans="7:7">
      <c r="G7825" s="812"/>
    </row>
    <row r="7826" spans="7:7">
      <c r="G7826" s="812"/>
    </row>
    <row r="7827" spans="7:7">
      <c r="G7827" s="812"/>
    </row>
    <row r="7828" spans="7:7">
      <c r="G7828" s="812"/>
    </row>
    <row r="7829" spans="7:7">
      <c r="G7829" s="812"/>
    </row>
    <row r="7830" spans="7:7">
      <c r="G7830" s="812"/>
    </row>
    <row r="7831" spans="7:7">
      <c r="G7831" s="812"/>
    </row>
    <row r="7832" spans="7:7">
      <c r="G7832" s="812"/>
    </row>
    <row r="7833" spans="7:7">
      <c r="G7833" s="812"/>
    </row>
    <row r="7834" spans="7:7">
      <c r="G7834" s="812"/>
    </row>
    <row r="7835" spans="7:7">
      <c r="G7835" s="812"/>
    </row>
    <row r="7836" spans="7:7">
      <c r="G7836" s="812"/>
    </row>
    <row r="7837" spans="7:7">
      <c r="G7837" s="812"/>
    </row>
    <row r="7838" spans="7:7">
      <c r="G7838" s="812"/>
    </row>
    <row r="7839" spans="7:7">
      <c r="G7839" s="812"/>
    </row>
    <row r="7840" spans="7:7">
      <c r="G7840" s="812"/>
    </row>
    <row r="7841" spans="7:7">
      <c r="G7841" s="812"/>
    </row>
    <row r="7842" spans="7:7">
      <c r="G7842" s="812"/>
    </row>
    <row r="7843" spans="7:7">
      <c r="G7843" s="812"/>
    </row>
    <row r="7844" spans="7:7">
      <c r="G7844" s="812"/>
    </row>
    <row r="7845" spans="7:7">
      <c r="G7845" s="812"/>
    </row>
    <row r="7846" spans="7:7">
      <c r="G7846" s="812"/>
    </row>
    <row r="7847" spans="7:7">
      <c r="G7847" s="812"/>
    </row>
    <row r="7848" spans="7:7">
      <c r="G7848" s="812"/>
    </row>
    <row r="7849" spans="7:7">
      <c r="G7849" s="812"/>
    </row>
    <row r="7850" spans="7:7">
      <c r="G7850" s="812"/>
    </row>
    <row r="7851" spans="7:7">
      <c r="G7851" s="812"/>
    </row>
    <row r="7852" spans="7:7">
      <c r="G7852" s="812"/>
    </row>
    <row r="7853" spans="7:7">
      <c r="G7853" s="812"/>
    </row>
    <row r="7854" spans="7:7">
      <c r="G7854" s="812"/>
    </row>
    <row r="7855" spans="7:7">
      <c r="G7855" s="812"/>
    </row>
    <row r="7856" spans="7:7">
      <c r="G7856" s="812"/>
    </row>
    <row r="7857" spans="7:7">
      <c r="G7857" s="812"/>
    </row>
    <row r="7858" spans="7:7">
      <c r="G7858" s="812"/>
    </row>
    <row r="7859" spans="7:7">
      <c r="G7859" s="812"/>
    </row>
    <row r="7860" spans="7:7">
      <c r="G7860" s="812"/>
    </row>
    <row r="7861" spans="7:7">
      <c r="G7861" s="812"/>
    </row>
    <row r="7862" spans="7:7">
      <c r="G7862" s="812"/>
    </row>
    <row r="7863" spans="7:7">
      <c r="G7863" s="812"/>
    </row>
    <row r="7864" spans="7:7">
      <c r="G7864" s="812"/>
    </row>
    <row r="7865" spans="7:7">
      <c r="G7865" s="812"/>
    </row>
    <row r="7866" spans="7:7">
      <c r="G7866" s="812"/>
    </row>
    <row r="7867" spans="7:7">
      <c r="G7867" s="812"/>
    </row>
    <row r="7868" spans="7:7">
      <c r="G7868" s="812"/>
    </row>
    <row r="7869" spans="7:7">
      <c r="G7869" s="812"/>
    </row>
    <row r="7870" spans="7:7">
      <c r="G7870" s="812"/>
    </row>
    <row r="7871" spans="7:7">
      <c r="G7871" s="812"/>
    </row>
    <row r="7872" spans="7:7">
      <c r="G7872" s="812"/>
    </row>
    <row r="7873" spans="7:7">
      <c r="G7873" s="812"/>
    </row>
    <row r="7874" spans="7:7">
      <c r="G7874" s="812"/>
    </row>
    <row r="7875" spans="7:7">
      <c r="G7875" s="812"/>
    </row>
    <row r="7876" spans="7:7">
      <c r="G7876" s="812"/>
    </row>
    <row r="7877" spans="7:7">
      <c r="G7877" s="812"/>
    </row>
    <row r="7878" spans="7:7">
      <c r="G7878" s="812"/>
    </row>
    <row r="7879" spans="7:7">
      <c r="G7879" s="812"/>
    </row>
    <row r="7880" spans="7:7">
      <c r="G7880" s="812"/>
    </row>
    <row r="7881" spans="7:7">
      <c r="G7881" s="812"/>
    </row>
    <row r="7882" spans="7:7">
      <c r="G7882" s="812"/>
    </row>
    <row r="7883" spans="7:7">
      <c r="G7883" s="812"/>
    </row>
    <row r="7884" spans="7:7">
      <c r="G7884" s="812"/>
    </row>
    <row r="7885" spans="7:7">
      <c r="G7885" s="812"/>
    </row>
    <row r="7886" spans="7:7">
      <c r="G7886" s="812"/>
    </row>
    <row r="7887" spans="7:7">
      <c r="G7887" s="812"/>
    </row>
    <row r="7888" spans="7:7">
      <c r="G7888" s="812"/>
    </row>
    <row r="7889" spans="7:7">
      <c r="G7889" s="812"/>
    </row>
    <row r="7890" spans="7:7">
      <c r="G7890" s="812"/>
    </row>
    <row r="7891" spans="7:7">
      <c r="G7891" s="812"/>
    </row>
    <row r="7892" spans="7:7">
      <c r="G7892" s="812"/>
    </row>
    <row r="7893" spans="7:7">
      <c r="G7893" s="812"/>
    </row>
    <row r="7894" spans="7:7">
      <c r="G7894" s="812"/>
    </row>
    <row r="7895" spans="7:7">
      <c r="G7895" s="812"/>
    </row>
    <row r="7896" spans="7:7">
      <c r="G7896" s="812"/>
    </row>
    <row r="7897" spans="7:7">
      <c r="G7897" s="812"/>
    </row>
    <row r="7898" spans="7:7">
      <c r="G7898" s="812"/>
    </row>
    <row r="7899" spans="7:7">
      <c r="G7899" s="812"/>
    </row>
    <row r="7900" spans="7:7">
      <c r="G7900" s="812"/>
    </row>
    <row r="7901" spans="7:7">
      <c r="G7901" s="812"/>
    </row>
    <row r="7902" spans="7:7">
      <c r="G7902" s="812"/>
    </row>
    <row r="7903" spans="7:7">
      <c r="G7903" s="812"/>
    </row>
    <row r="7904" spans="7:7">
      <c r="G7904" s="812"/>
    </row>
    <row r="7905" spans="7:7">
      <c r="G7905" s="812"/>
    </row>
    <row r="7906" spans="7:7">
      <c r="G7906" s="812"/>
    </row>
    <row r="7907" spans="7:7">
      <c r="G7907" s="812"/>
    </row>
    <row r="7908" spans="7:7">
      <c r="G7908" s="812"/>
    </row>
    <row r="7909" spans="7:7">
      <c r="G7909" s="812"/>
    </row>
    <row r="7910" spans="7:7">
      <c r="G7910" s="812"/>
    </row>
    <row r="7911" spans="7:7">
      <c r="G7911" s="812"/>
    </row>
    <row r="7912" spans="7:7">
      <c r="G7912" s="812"/>
    </row>
    <row r="7913" spans="7:7">
      <c r="G7913" s="812"/>
    </row>
    <row r="7914" spans="7:7">
      <c r="G7914" s="812"/>
    </row>
    <row r="7915" spans="7:7">
      <c r="G7915" s="812"/>
    </row>
    <row r="7916" spans="7:7">
      <c r="G7916" s="812"/>
    </row>
    <row r="7917" spans="7:7">
      <c r="G7917" s="812"/>
    </row>
    <row r="7918" spans="7:7">
      <c r="G7918" s="812"/>
    </row>
    <row r="7919" spans="7:7">
      <c r="G7919" s="812"/>
    </row>
    <row r="7920" spans="7:7">
      <c r="G7920" s="812"/>
    </row>
    <row r="7921" spans="7:7">
      <c r="G7921" s="812"/>
    </row>
    <row r="7922" spans="7:7">
      <c r="G7922" s="812"/>
    </row>
    <row r="7923" spans="7:7">
      <c r="G7923" s="812"/>
    </row>
    <row r="7924" spans="7:7">
      <c r="G7924" s="812"/>
    </row>
    <row r="7925" spans="7:7">
      <c r="G7925" s="812"/>
    </row>
    <row r="7926" spans="7:7">
      <c r="G7926" s="812"/>
    </row>
    <row r="7927" spans="7:7">
      <c r="G7927" s="812"/>
    </row>
    <row r="7928" spans="7:7">
      <c r="G7928" s="812"/>
    </row>
    <row r="7929" spans="7:7">
      <c r="G7929" s="812"/>
    </row>
    <row r="7930" spans="7:7">
      <c r="G7930" s="812"/>
    </row>
    <row r="7931" spans="7:7">
      <c r="G7931" s="812"/>
    </row>
    <row r="7932" spans="7:7">
      <c r="G7932" s="812"/>
    </row>
    <row r="7933" spans="7:7">
      <c r="G7933" s="812"/>
    </row>
    <row r="7934" spans="7:7">
      <c r="G7934" s="812"/>
    </row>
    <row r="7935" spans="7:7">
      <c r="G7935" s="812"/>
    </row>
    <row r="7936" spans="7:7">
      <c r="G7936" s="812"/>
    </row>
    <row r="7937" spans="7:7">
      <c r="G7937" s="812"/>
    </row>
    <row r="7938" spans="7:7">
      <c r="G7938" s="812"/>
    </row>
    <row r="7939" spans="7:7">
      <c r="G7939" s="812"/>
    </row>
    <row r="7940" spans="7:7">
      <c r="G7940" s="812"/>
    </row>
    <row r="7941" spans="7:7">
      <c r="G7941" s="812"/>
    </row>
    <row r="7942" spans="7:7">
      <c r="G7942" s="812"/>
    </row>
    <row r="7943" spans="7:7">
      <c r="G7943" s="812"/>
    </row>
    <row r="7944" spans="7:7">
      <c r="G7944" s="812"/>
    </row>
    <row r="7945" spans="7:7">
      <c r="G7945" s="812"/>
    </row>
    <row r="7946" spans="7:7">
      <c r="G7946" s="812"/>
    </row>
    <row r="7947" spans="7:7">
      <c r="G7947" s="812"/>
    </row>
    <row r="7948" spans="7:7">
      <c r="G7948" s="812"/>
    </row>
    <row r="7949" spans="7:7">
      <c r="G7949" s="812"/>
    </row>
    <row r="7950" spans="7:7">
      <c r="G7950" s="812"/>
    </row>
    <row r="7951" spans="7:7">
      <c r="G7951" s="812"/>
    </row>
    <row r="7952" spans="7:7">
      <c r="G7952" s="812"/>
    </row>
    <row r="7953" spans="7:7">
      <c r="G7953" s="812"/>
    </row>
    <row r="7954" spans="7:7">
      <c r="G7954" s="812"/>
    </row>
    <row r="7955" spans="7:7">
      <c r="G7955" s="812"/>
    </row>
    <row r="7956" spans="7:7">
      <c r="G7956" s="812"/>
    </row>
    <row r="7957" spans="7:7">
      <c r="G7957" s="812"/>
    </row>
    <row r="7958" spans="7:7">
      <c r="G7958" s="812"/>
    </row>
    <row r="7959" spans="7:7">
      <c r="G7959" s="812"/>
    </row>
    <row r="7960" spans="7:7">
      <c r="G7960" s="812"/>
    </row>
    <row r="7961" spans="7:7">
      <c r="G7961" s="812"/>
    </row>
    <row r="7962" spans="7:7">
      <c r="G7962" s="812"/>
    </row>
    <row r="7963" spans="7:7">
      <c r="G7963" s="812"/>
    </row>
    <row r="7964" spans="7:7">
      <c r="G7964" s="812"/>
    </row>
    <row r="7965" spans="7:7">
      <c r="G7965" s="812"/>
    </row>
    <row r="7966" spans="7:7">
      <c r="G7966" s="812"/>
    </row>
    <row r="7967" spans="7:7">
      <c r="G7967" s="812"/>
    </row>
    <row r="7968" spans="7:7">
      <c r="G7968" s="812"/>
    </row>
    <row r="7969" spans="7:7">
      <c r="G7969" s="812"/>
    </row>
    <row r="7970" spans="7:7">
      <c r="G7970" s="812"/>
    </row>
    <row r="7971" spans="7:7">
      <c r="G7971" s="812"/>
    </row>
    <row r="7972" spans="7:7">
      <c r="G7972" s="812"/>
    </row>
    <row r="7973" spans="7:7">
      <c r="G7973" s="812"/>
    </row>
    <row r="7974" spans="7:7">
      <c r="G7974" s="812"/>
    </row>
    <row r="7975" spans="7:7">
      <c r="G7975" s="812"/>
    </row>
    <row r="7976" spans="7:7">
      <c r="G7976" s="812"/>
    </row>
    <row r="7977" spans="7:7">
      <c r="G7977" s="812"/>
    </row>
    <row r="7978" spans="7:7">
      <c r="G7978" s="812"/>
    </row>
    <row r="7979" spans="7:7">
      <c r="G7979" s="812"/>
    </row>
    <row r="7980" spans="7:7">
      <c r="G7980" s="812"/>
    </row>
    <row r="7981" spans="7:7">
      <c r="G7981" s="812"/>
    </row>
    <row r="7982" spans="7:7">
      <c r="G7982" s="812"/>
    </row>
    <row r="7983" spans="7:7">
      <c r="G7983" s="812"/>
    </row>
    <row r="7984" spans="7:7">
      <c r="G7984" s="812"/>
    </row>
    <row r="7985" spans="7:7">
      <c r="G7985" s="812"/>
    </row>
    <row r="7986" spans="7:7">
      <c r="G7986" s="812"/>
    </row>
    <row r="7987" spans="7:7">
      <c r="G7987" s="812"/>
    </row>
    <row r="7988" spans="7:7">
      <c r="G7988" s="812"/>
    </row>
    <row r="7989" spans="7:7">
      <c r="G7989" s="812"/>
    </row>
    <row r="7990" spans="7:7">
      <c r="G7990" s="812"/>
    </row>
    <row r="7991" spans="7:7">
      <c r="G7991" s="812"/>
    </row>
    <row r="7992" spans="7:7">
      <c r="G7992" s="812"/>
    </row>
    <row r="7993" spans="7:7">
      <c r="G7993" s="812"/>
    </row>
    <row r="7994" spans="7:7">
      <c r="G7994" s="812"/>
    </row>
    <row r="7995" spans="7:7">
      <c r="G7995" s="812"/>
    </row>
    <row r="7996" spans="7:7">
      <c r="G7996" s="812"/>
    </row>
    <row r="7997" spans="7:7">
      <c r="G7997" s="812"/>
    </row>
    <row r="7998" spans="7:7">
      <c r="G7998" s="812"/>
    </row>
    <row r="7999" spans="7:7">
      <c r="G7999" s="812"/>
    </row>
    <row r="8000" spans="7:7">
      <c r="G8000" s="812"/>
    </row>
    <row r="8001" spans="7:7">
      <c r="G8001" s="812"/>
    </row>
    <row r="8002" spans="7:7">
      <c r="G8002" s="812"/>
    </row>
    <row r="8003" spans="7:7">
      <c r="G8003" s="812"/>
    </row>
    <row r="8004" spans="7:7">
      <c r="G8004" s="812"/>
    </row>
    <row r="8005" spans="7:7">
      <c r="G8005" s="812"/>
    </row>
    <row r="8006" spans="7:7">
      <c r="G8006" s="812"/>
    </row>
    <row r="8007" spans="7:7">
      <c r="G8007" s="812"/>
    </row>
    <row r="8008" spans="7:7">
      <c r="G8008" s="812"/>
    </row>
    <row r="8009" spans="7:7">
      <c r="G8009" s="812"/>
    </row>
    <row r="8010" spans="7:7">
      <c r="G8010" s="812"/>
    </row>
    <row r="8011" spans="7:7">
      <c r="G8011" s="812"/>
    </row>
    <row r="8012" spans="7:7">
      <c r="G8012" s="812"/>
    </row>
    <row r="8013" spans="7:7">
      <c r="G8013" s="812"/>
    </row>
    <row r="8014" spans="7:7">
      <c r="G8014" s="812"/>
    </row>
    <row r="8015" spans="7:7">
      <c r="G8015" s="812"/>
    </row>
    <row r="8016" spans="7:7">
      <c r="G8016" s="812"/>
    </row>
    <row r="8017" spans="7:7">
      <c r="G8017" s="812"/>
    </row>
    <row r="8018" spans="7:7">
      <c r="G8018" s="812"/>
    </row>
    <row r="8019" spans="7:7">
      <c r="G8019" s="812"/>
    </row>
    <row r="8020" spans="7:7">
      <c r="G8020" s="812"/>
    </row>
    <row r="8021" spans="7:7">
      <c r="G8021" s="812"/>
    </row>
    <row r="8022" spans="7:7">
      <c r="G8022" s="812"/>
    </row>
    <row r="8023" spans="7:7">
      <c r="G8023" s="812"/>
    </row>
    <row r="8024" spans="7:7">
      <c r="G8024" s="812"/>
    </row>
    <row r="8025" spans="7:7">
      <c r="G8025" s="812"/>
    </row>
    <row r="8026" spans="7:7">
      <c r="G8026" s="812"/>
    </row>
    <row r="8027" spans="7:7">
      <c r="G8027" s="812"/>
    </row>
    <row r="8028" spans="7:7">
      <c r="G8028" s="812"/>
    </row>
    <row r="8029" spans="7:7">
      <c r="G8029" s="812"/>
    </row>
    <row r="8030" spans="7:7">
      <c r="G8030" s="812"/>
    </row>
    <row r="8031" spans="7:7">
      <c r="G8031" s="812"/>
    </row>
    <row r="8032" spans="7:7">
      <c r="G8032" s="812"/>
    </row>
    <row r="8033" spans="7:7">
      <c r="G8033" s="812"/>
    </row>
    <row r="8034" spans="7:7">
      <c r="G8034" s="812"/>
    </row>
    <row r="8035" spans="7:7">
      <c r="G8035" s="812"/>
    </row>
    <row r="8036" spans="7:7">
      <c r="G8036" s="812"/>
    </row>
    <row r="8037" spans="7:7">
      <c r="G8037" s="812"/>
    </row>
    <row r="8038" spans="7:7">
      <c r="G8038" s="812"/>
    </row>
    <row r="8039" spans="7:7">
      <c r="G8039" s="812"/>
    </row>
    <row r="8040" spans="7:7">
      <c r="G8040" s="812"/>
    </row>
    <row r="8041" spans="7:7">
      <c r="G8041" s="812"/>
    </row>
    <row r="8042" spans="7:7">
      <c r="G8042" s="812"/>
    </row>
    <row r="8043" spans="7:7">
      <c r="G8043" s="812"/>
    </row>
    <row r="8044" spans="7:7">
      <c r="G8044" s="812"/>
    </row>
    <row r="8045" spans="7:7">
      <c r="G8045" s="812"/>
    </row>
    <row r="8046" spans="7:7">
      <c r="G8046" s="812"/>
    </row>
    <row r="8047" spans="7:7">
      <c r="G8047" s="812"/>
    </row>
    <row r="8048" spans="7:7">
      <c r="G8048" s="812"/>
    </row>
    <row r="8049" spans="7:7">
      <c r="G8049" s="812"/>
    </row>
    <row r="8050" spans="7:7">
      <c r="G8050" s="812"/>
    </row>
    <row r="8051" spans="7:7">
      <c r="G8051" s="812"/>
    </row>
    <row r="8052" spans="7:7">
      <c r="G8052" s="812"/>
    </row>
    <row r="8053" spans="7:7">
      <c r="G8053" s="812"/>
    </row>
    <row r="8054" spans="7:7">
      <c r="G8054" s="812"/>
    </row>
    <row r="8055" spans="7:7">
      <c r="G8055" s="812"/>
    </row>
    <row r="8056" spans="7:7">
      <c r="G8056" s="812"/>
    </row>
    <row r="8057" spans="7:7">
      <c r="G8057" s="812"/>
    </row>
    <row r="8058" spans="7:7">
      <c r="G8058" s="812"/>
    </row>
    <row r="8059" spans="7:7">
      <c r="G8059" s="812"/>
    </row>
    <row r="8060" spans="7:7">
      <c r="G8060" s="812"/>
    </row>
    <row r="8061" spans="7:7">
      <c r="G8061" s="812"/>
    </row>
    <row r="8062" spans="7:7">
      <c r="G8062" s="812"/>
    </row>
    <row r="8063" spans="7:7">
      <c r="G8063" s="812"/>
    </row>
    <row r="8064" spans="7:7">
      <c r="G8064" s="812"/>
    </row>
    <row r="8065" spans="7:7">
      <c r="G8065" s="812"/>
    </row>
    <row r="8066" spans="7:7">
      <c r="G8066" s="812"/>
    </row>
    <row r="8067" spans="7:7">
      <c r="G8067" s="812"/>
    </row>
    <row r="8068" spans="7:7">
      <c r="G8068" s="812"/>
    </row>
    <row r="8069" spans="7:7">
      <c r="G8069" s="812"/>
    </row>
    <row r="8070" spans="7:7">
      <c r="G8070" s="812"/>
    </row>
    <row r="8071" spans="7:7">
      <c r="G8071" s="812"/>
    </row>
    <row r="8072" spans="7:7">
      <c r="G8072" s="812"/>
    </row>
    <row r="8073" spans="7:7">
      <c r="G8073" s="812"/>
    </row>
    <row r="8074" spans="7:7">
      <c r="G8074" s="812"/>
    </row>
    <row r="8075" spans="7:7">
      <c r="G8075" s="812"/>
    </row>
    <row r="8076" spans="7:7">
      <c r="G8076" s="812"/>
    </row>
    <row r="8077" spans="7:7">
      <c r="G8077" s="812"/>
    </row>
    <row r="8078" spans="7:7">
      <c r="G8078" s="812"/>
    </row>
    <row r="8079" spans="7:7">
      <c r="G8079" s="812"/>
    </row>
    <row r="8080" spans="7:7">
      <c r="G8080" s="812"/>
    </row>
    <row r="8081" spans="7:7">
      <c r="G8081" s="812"/>
    </row>
    <row r="8082" spans="7:7">
      <c r="G8082" s="812"/>
    </row>
    <row r="8083" spans="7:7">
      <c r="G8083" s="812"/>
    </row>
    <row r="8084" spans="7:7">
      <c r="G8084" s="812"/>
    </row>
    <row r="8085" spans="7:7">
      <c r="G8085" s="812"/>
    </row>
    <row r="8086" spans="7:7">
      <c r="G8086" s="812"/>
    </row>
    <row r="8087" spans="7:7">
      <c r="G8087" s="812"/>
    </row>
    <row r="8088" spans="7:7">
      <c r="G8088" s="812"/>
    </row>
    <row r="8089" spans="7:7">
      <c r="G8089" s="812"/>
    </row>
    <row r="8090" spans="7:7">
      <c r="G8090" s="812"/>
    </row>
    <row r="8091" spans="7:7">
      <c r="G8091" s="812"/>
    </row>
    <row r="8092" spans="7:7">
      <c r="G8092" s="812"/>
    </row>
    <row r="8093" spans="7:7">
      <c r="G8093" s="812"/>
    </row>
    <row r="8094" spans="7:7">
      <c r="G8094" s="812"/>
    </row>
    <row r="8095" spans="7:7">
      <c r="G8095" s="812"/>
    </row>
    <row r="8096" spans="7:7">
      <c r="G8096" s="812"/>
    </row>
    <row r="8097" spans="7:7">
      <c r="G8097" s="812"/>
    </row>
    <row r="8098" spans="7:7">
      <c r="G8098" s="812"/>
    </row>
    <row r="8099" spans="7:7">
      <c r="G8099" s="812"/>
    </row>
    <row r="8100" spans="7:7">
      <c r="G8100" s="812"/>
    </row>
    <row r="8101" spans="7:7">
      <c r="G8101" s="812"/>
    </row>
    <row r="8102" spans="7:7">
      <c r="G8102" s="812"/>
    </row>
    <row r="8103" spans="7:7">
      <c r="G8103" s="812"/>
    </row>
    <row r="8104" spans="7:7">
      <c r="G8104" s="812"/>
    </row>
    <row r="8105" spans="7:7">
      <c r="G8105" s="812"/>
    </row>
    <row r="8106" spans="7:7">
      <c r="G8106" s="812"/>
    </row>
    <row r="8107" spans="7:7">
      <c r="G8107" s="812"/>
    </row>
    <row r="8108" spans="7:7">
      <c r="G8108" s="812"/>
    </row>
    <row r="8109" spans="7:7">
      <c r="G8109" s="812"/>
    </row>
    <row r="8110" spans="7:7">
      <c r="G8110" s="812"/>
    </row>
    <row r="8111" spans="7:7">
      <c r="G8111" s="812"/>
    </row>
    <row r="8112" spans="7:7">
      <c r="G8112" s="812"/>
    </row>
    <row r="8113" spans="7:7">
      <c r="G8113" s="812"/>
    </row>
    <row r="8114" spans="7:7">
      <c r="G8114" s="812"/>
    </row>
    <row r="8115" spans="7:7">
      <c r="G8115" s="812"/>
    </row>
    <row r="8116" spans="7:7">
      <c r="G8116" s="812"/>
    </row>
    <row r="8117" spans="7:7">
      <c r="G8117" s="812"/>
    </row>
    <row r="8118" spans="7:7">
      <c r="G8118" s="812"/>
    </row>
    <row r="8119" spans="7:7">
      <c r="G8119" s="812"/>
    </row>
    <row r="8120" spans="7:7">
      <c r="G8120" s="812"/>
    </row>
    <row r="8121" spans="7:7">
      <c r="G8121" s="812"/>
    </row>
    <row r="8122" spans="7:7">
      <c r="G8122" s="812"/>
    </row>
    <row r="8123" spans="7:7">
      <c r="G8123" s="812"/>
    </row>
    <row r="8124" spans="7:7">
      <c r="G8124" s="812"/>
    </row>
    <row r="8125" spans="7:7">
      <c r="G8125" s="812"/>
    </row>
    <row r="8126" spans="7:7">
      <c r="G8126" s="812"/>
    </row>
    <row r="8127" spans="7:7">
      <c r="G8127" s="812"/>
    </row>
    <row r="8128" spans="7:7">
      <c r="G8128" s="812"/>
    </row>
    <row r="8129" spans="7:7">
      <c r="G8129" s="812"/>
    </row>
    <row r="8130" spans="7:7">
      <c r="G8130" s="812"/>
    </row>
    <row r="8131" spans="7:7">
      <c r="G8131" s="812"/>
    </row>
    <row r="8132" spans="7:7">
      <c r="G8132" s="812"/>
    </row>
    <row r="8133" spans="7:7">
      <c r="G8133" s="812"/>
    </row>
    <row r="8134" spans="7:7">
      <c r="G8134" s="812"/>
    </row>
    <row r="8135" spans="7:7">
      <c r="G8135" s="812"/>
    </row>
    <row r="8136" spans="7:7">
      <c r="G8136" s="812"/>
    </row>
    <row r="8137" spans="7:7">
      <c r="G8137" s="812"/>
    </row>
    <row r="8138" spans="7:7">
      <c r="G8138" s="812"/>
    </row>
    <row r="8139" spans="7:7">
      <c r="G8139" s="812"/>
    </row>
    <row r="8140" spans="7:7">
      <c r="G8140" s="812"/>
    </row>
    <row r="8141" spans="7:7">
      <c r="G8141" s="812"/>
    </row>
    <row r="8142" spans="7:7">
      <c r="G8142" s="812"/>
    </row>
    <row r="8143" spans="7:7">
      <c r="G8143" s="812"/>
    </row>
    <row r="8144" spans="7:7">
      <c r="G8144" s="812"/>
    </row>
    <row r="8145" spans="7:7">
      <c r="G8145" s="812"/>
    </row>
    <row r="8146" spans="7:7">
      <c r="G8146" s="812"/>
    </row>
    <row r="8147" spans="7:7">
      <c r="G8147" s="812"/>
    </row>
    <row r="8148" spans="7:7">
      <c r="G8148" s="812"/>
    </row>
    <row r="8149" spans="7:7">
      <c r="G8149" s="812"/>
    </row>
    <row r="8150" spans="7:7">
      <c r="G8150" s="812"/>
    </row>
    <row r="8151" spans="7:7">
      <c r="G8151" s="812"/>
    </row>
    <row r="8152" spans="7:7">
      <c r="G8152" s="812"/>
    </row>
    <row r="8153" spans="7:7">
      <c r="G8153" s="812"/>
    </row>
    <row r="8154" spans="7:7">
      <c r="G8154" s="812"/>
    </row>
    <row r="8155" spans="7:7">
      <c r="G8155" s="812"/>
    </row>
    <row r="8156" spans="7:7">
      <c r="G8156" s="812"/>
    </row>
    <row r="8157" spans="7:7">
      <c r="G8157" s="812"/>
    </row>
    <row r="8158" spans="7:7">
      <c r="G8158" s="812"/>
    </row>
    <row r="8159" spans="7:7">
      <c r="G8159" s="812"/>
    </row>
    <row r="8160" spans="7:7">
      <c r="G8160" s="812"/>
    </row>
    <row r="8161" spans="7:7">
      <c r="G8161" s="812"/>
    </row>
    <row r="8162" spans="7:7">
      <c r="G8162" s="812"/>
    </row>
    <row r="8163" spans="7:7">
      <c r="G8163" s="812"/>
    </row>
    <row r="8164" spans="7:7">
      <c r="G8164" s="812"/>
    </row>
    <row r="8165" spans="7:7">
      <c r="G8165" s="812"/>
    </row>
    <row r="8166" spans="7:7">
      <c r="G8166" s="812"/>
    </row>
    <row r="8167" spans="7:7">
      <c r="G8167" s="812"/>
    </row>
    <row r="8168" spans="7:7">
      <c r="G8168" s="812"/>
    </row>
    <row r="8169" spans="7:7">
      <c r="G8169" s="812"/>
    </row>
    <row r="8170" spans="7:7">
      <c r="G8170" s="812"/>
    </row>
    <row r="8171" spans="7:7">
      <c r="G8171" s="812"/>
    </row>
    <row r="8172" spans="7:7">
      <c r="G8172" s="812"/>
    </row>
    <row r="8173" spans="7:7">
      <c r="G8173" s="812"/>
    </row>
    <row r="8174" spans="7:7">
      <c r="G8174" s="812"/>
    </row>
    <row r="8175" spans="7:7">
      <c r="G8175" s="812"/>
    </row>
    <row r="8176" spans="7:7">
      <c r="G8176" s="812"/>
    </row>
    <row r="8177" spans="7:7">
      <c r="G8177" s="812"/>
    </row>
    <row r="8178" spans="7:7">
      <c r="G8178" s="812"/>
    </row>
    <row r="8179" spans="7:7">
      <c r="G8179" s="812"/>
    </row>
    <row r="8180" spans="7:7">
      <c r="G8180" s="812"/>
    </row>
    <row r="8181" spans="7:7">
      <c r="G8181" s="812"/>
    </row>
    <row r="8182" spans="7:7">
      <c r="G8182" s="812"/>
    </row>
    <row r="8183" spans="7:7">
      <c r="G8183" s="812"/>
    </row>
    <row r="8184" spans="7:7">
      <c r="G8184" s="812"/>
    </row>
    <row r="8185" spans="7:7">
      <c r="G8185" s="812"/>
    </row>
    <row r="8186" spans="7:7">
      <c r="G8186" s="812"/>
    </row>
    <row r="8187" spans="7:7">
      <c r="G8187" s="812"/>
    </row>
    <row r="8188" spans="7:7">
      <c r="G8188" s="812"/>
    </row>
    <row r="8189" spans="7:7">
      <c r="G8189" s="812"/>
    </row>
    <row r="8190" spans="7:7">
      <c r="G8190" s="812"/>
    </row>
    <row r="8191" spans="7:7">
      <c r="G8191" s="812"/>
    </row>
    <row r="8192" spans="7:7">
      <c r="G8192" s="812"/>
    </row>
    <row r="8193" spans="7:7">
      <c r="G8193" s="812"/>
    </row>
    <row r="8194" spans="7:7">
      <c r="G8194" s="812"/>
    </row>
    <row r="8195" spans="7:7">
      <c r="G8195" s="812"/>
    </row>
    <row r="8196" spans="7:7">
      <c r="G8196" s="812"/>
    </row>
    <row r="8197" spans="7:7">
      <c r="G8197" s="812"/>
    </row>
    <row r="8198" spans="7:7">
      <c r="G8198" s="812"/>
    </row>
    <row r="8199" spans="7:7">
      <c r="G8199" s="812"/>
    </row>
    <row r="8200" spans="7:7">
      <c r="G8200" s="812"/>
    </row>
    <row r="8201" spans="7:7">
      <c r="G8201" s="812"/>
    </row>
    <row r="8202" spans="7:7">
      <c r="G8202" s="812"/>
    </row>
    <row r="8203" spans="7:7">
      <c r="G8203" s="812"/>
    </row>
    <row r="8204" spans="7:7">
      <c r="G8204" s="812"/>
    </row>
    <row r="8205" spans="7:7">
      <c r="G8205" s="812"/>
    </row>
    <row r="8206" spans="7:7">
      <c r="G8206" s="812"/>
    </row>
    <row r="8207" spans="7:7">
      <c r="G8207" s="812"/>
    </row>
    <row r="8208" spans="7:7">
      <c r="G8208" s="812"/>
    </row>
    <row r="8209" spans="7:7">
      <c r="G8209" s="812"/>
    </row>
    <row r="8210" spans="7:7">
      <c r="G8210" s="812"/>
    </row>
    <row r="8211" spans="7:7">
      <c r="G8211" s="812"/>
    </row>
    <row r="8212" spans="7:7">
      <c r="G8212" s="812"/>
    </row>
    <row r="8213" spans="7:7">
      <c r="G8213" s="812"/>
    </row>
    <row r="8214" spans="7:7">
      <c r="G8214" s="812"/>
    </row>
    <row r="8215" spans="7:7">
      <c r="G8215" s="812"/>
    </row>
    <row r="8216" spans="7:7">
      <c r="G8216" s="812"/>
    </row>
    <row r="8217" spans="7:7">
      <c r="G8217" s="812"/>
    </row>
    <row r="8218" spans="7:7">
      <c r="G8218" s="812"/>
    </row>
    <row r="8219" spans="7:7">
      <c r="G8219" s="812"/>
    </row>
    <row r="8220" spans="7:7">
      <c r="G8220" s="812"/>
    </row>
    <row r="8221" spans="7:7">
      <c r="G8221" s="812"/>
    </row>
    <row r="8222" spans="7:7">
      <c r="G8222" s="812"/>
    </row>
    <row r="8223" spans="7:7">
      <c r="G8223" s="812"/>
    </row>
    <row r="8224" spans="7:7">
      <c r="G8224" s="812"/>
    </row>
    <row r="8225" spans="7:7">
      <c r="G8225" s="812"/>
    </row>
    <row r="8226" spans="7:7">
      <c r="G8226" s="812"/>
    </row>
    <row r="8227" spans="7:7">
      <c r="G8227" s="812"/>
    </row>
    <row r="8228" spans="7:7">
      <c r="G8228" s="812"/>
    </row>
    <row r="8229" spans="7:7">
      <c r="G8229" s="812"/>
    </row>
    <row r="8230" spans="7:7">
      <c r="G8230" s="812"/>
    </row>
    <row r="8231" spans="7:7">
      <c r="G8231" s="812"/>
    </row>
    <row r="8232" spans="7:7">
      <c r="G8232" s="812"/>
    </row>
    <row r="8233" spans="7:7">
      <c r="G8233" s="812"/>
    </row>
    <row r="8234" spans="7:7">
      <c r="G8234" s="812"/>
    </row>
    <row r="8235" spans="7:7">
      <c r="G8235" s="812"/>
    </row>
    <row r="8236" spans="7:7">
      <c r="G8236" s="812"/>
    </row>
    <row r="8237" spans="7:7">
      <c r="G8237" s="812"/>
    </row>
    <row r="8238" spans="7:7">
      <c r="G8238" s="812"/>
    </row>
    <row r="8239" spans="7:7">
      <c r="G8239" s="812"/>
    </row>
    <row r="8240" spans="7:7">
      <c r="G8240" s="812"/>
    </row>
    <row r="8241" spans="7:7">
      <c r="G8241" s="812"/>
    </row>
    <row r="8242" spans="7:7">
      <c r="G8242" s="812"/>
    </row>
    <row r="8243" spans="7:7">
      <c r="G8243" s="812"/>
    </row>
    <row r="8244" spans="7:7">
      <c r="G8244" s="812"/>
    </row>
    <row r="8245" spans="7:7">
      <c r="G8245" s="812"/>
    </row>
    <row r="8246" spans="7:7">
      <c r="G8246" s="812"/>
    </row>
    <row r="8247" spans="7:7">
      <c r="G8247" s="812"/>
    </row>
    <row r="8248" spans="7:7">
      <c r="G8248" s="812"/>
    </row>
    <row r="8249" spans="7:7">
      <c r="G8249" s="812"/>
    </row>
    <row r="8250" spans="7:7">
      <c r="G8250" s="812"/>
    </row>
    <row r="8251" spans="7:7">
      <c r="G8251" s="812"/>
    </row>
    <row r="8252" spans="7:7">
      <c r="G8252" s="812"/>
    </row>
    <row r="8253" spans="7:7">
      <c r="G8253" s="812"/>
    </row>
    <row r="8254" spans="7:7">
      <c r="G8254" s="812"/>
    </row>
    <row r="8255" spans="7:7">
      <c r="G8255" s="812"/>
    </row>
    <row r="8256" spans="7:7">
      <c r="G8256" s="812"/>
    </row>
    <row r="8257" spans="7:7">
      <c r="G8257" s="812"/>
    </row>
    <row r="8258" spans="7:7">
      <c r="G8258" s="812"/>
    </row>
    <row r="8259" spans="7:7">
      <c r="G8259" s="812"/>
    </row>
    <row r="8260" spans="7:7">
      <c r="G8260" s="812"/>
    </row>
    <row r="8261" spans="7:7">
      <c r="G8261" s="812"/>
    </row>
    <row r="8262" spans="7:7">
      <c r="G8262" s="812"/>
    </row>
    <row r="8263" spans="7:7">
      <c r="G8263" s="812"/>
    </row>
    <row r="8264" spans="7:7">
      <c r="G8264" s="812"/>
    </row>
    <row r="8265" spans="7:7">
      <c r="G8265" s="812"/>
    </row>
    <row r="8266" spans="7:7">
      <c r="G8266" s="812"/>
    </row>
    <row r="8267" spans="7:7">
      <c r="G8267" s="812"/>
    </row>
    <row r="8268" spans="7:7">
      <c r="G8268" s="812"/>
    </row>
    <row r="8269" spans="7:7">
      <c r="G8269" s="812"/>
    </row>
    <row r="8270" spans="7:7">
      <c r="G8270" s="812"/>
    </row>
    <row r="8271" spans="7:7">
      <c r="G8271" s="812"/>
    </row>
    <row r="8272" spans="7:7">
      <c r="G8272" s="812"/>
    </row>
    <row r="8273" spans="7:7">
      <c r="G8273" s="812"/>
    </row>
    <row r="8274" spans="7:7">
      <c r="G8274" s="812"/>
    </row>
    <row r="8275" spans="7:7">
      <c r="G8275" s="812"/>
    </row>
    <row r="8276" spans="7:7">
      <c r="G8276" s="812"/>
    </row>
    <row r="8277" spans="7:7">
      <c r="G8277" s="812"/>
    </row>
    <row r="8278" spans="7:7">
      <c r="G8278" s="812"/>
    </row>
    <row r="8279" spans="7:7">
      <c r="G8279" s="812"/>
    </row>
    <row r="8280" spans="7:7">
      <c r="G8280" s="812"/>
    </row>
    <row r="8281" spans="7:7">
      <c r="G8281" s="812"/>
    </row>
    <row r="8282" spans="7:7">
      <c r="G8282" s="812"/>
    </row>
    <row r="8283" spans="7:7">
      <c r="G8283" s="812"/>
    </row>
    <row r="8284" spans="7:7">
      <c r="G8284" s="812"/>
    </row>
    <row r="8285" spans="7:7">
      <c r="G8285" s="812"/>
    </row>
    <row r="8286" spans="7:7">
      <c r="G8286" s="812"/>
    </row>
    <row r="8287" spans="7:7">
      <c r="G8287" s="812"/>
    </row>
    <row r="8288" spans="7:7">
      <c r="G8288" s="812"/>
    </row>
    <row r="8289" spans="7:7">
      <c r="G8289" s="812"/>
    </row>
    <row r="8290" spans="7:7">
      <c r="G8290" s="812"/>
    </row>
    <row r="8291" spans="7:7">
      <c r="G8291" s="812"/>
    </row>
    <row r="8292" spans="7:7">
      <c r="G8292" s="812"/>
    </row>
    <row r="8293" spans="7:7">
      <c r="G8293" s="812"/>
    </row>
    <row r="8294" spans="7:7">
      <c r="G8294" s="812"/>
    </row>
    <row r="8295" spans="7:7">
      <c r="G8295" s="812"/>
    </row>
    <row r="8296" spans="7:7">
      <c r="G8296" s="812"/>
    </row>
    <row r="8297" spans="7:7">
      <c r="G8297" s="812"/>
    </row>
    <row r="8298" spans="7:7">
      <c r="G8298" s="812"/>
    </row>
    <row r="8299" spans="7:7">
      <c r="G8299" s="812"/>
    </row>
    <row r="8300" spans="7:7">
      <c r="G8300" s="812"/>
    </row>
    <row r="8301" spans="7:7">
      <c r="G8301" s="812"/>
    </row>
    <row r="8302" spans="7:7">
      <c r="G8302" s="812"/>
    </row>
    <row r="8303" spans="7:7">
      <c r="G8303" s="812"/>
    </row>
    <row r="8304" spans="7:7">
      <c r="G8304" s="812"/>
    </row>
    <row r="8305" spans="7:7">
      <c r="G8305" s="812"/>
    </row>
    <row r="8306" spans="7:7">
      <c r="G8306" s="812"/>
    </row>
    <row r="8307" spans="7:7">
      <c r="G8307" s="812"/>
    </row>
    <row r="8308" spans="7:7">
      <c r="G8308" s="812"/>
    </row>
    <row r="8309" spans="7:7">
      <c r="G8309" s="812"/>
    </row>
    <row r="8310" spans="7:7">
      <c r="G8310" s="812"/>
    </row>
    <row r="8311" spans="7:7">
      <c r="G8311" s="812"/>
    </row>
    <row r="8312" spans="7:7">
      <c r="G8312" s="812"/>
    </row>
    <row r="8313" spans="7:7">
      <c r="G8313" s="812"/>
    </row>
    <row r="8314" spans="7:7">
      <c r="G8314" s="812"/>
    </row>
    <row r="8315" spans="7:7">
      <c r="G8315" s="812"/>
    </row>
    <row r="8316" spans="7:7">
      <c r="G8316" s="812"/>
    </row>
    <row r="8317" spans="7:7">
      <c r="G8317" s="812"/>
    </row>
    <row r="8318" spans="7:7">
      <c r="G8318" s="812"/>
    </row>
    <row r="8319" spans="7:7">
      <c r="G8319" s="812"/>
    </row>
    <row r="8320" spans="7:7">
      <c r="G8320" s="812"/>
    </row>
    <row r="8321" spans="7:7">
      <c r="G8321" s="812"/>
    </row>
    <row r="8322" spans="7:7">
      <c r="G8322" s="812"/>
    </row>
    <row r="8323" spans="7:7">
      <c r="G8323" s="812"/>
    </row>
    <row r="8324" spans="7:7">
      <c r="G8324" s="812"/>
    </row>
    <row r="8325" spans="7:7">
      <c r="G8325" s="812"/>
    </row>
    <row r="8326" spans="7:7">
      <c r="G8326" s="812"/>
    </row>
    <row r="8327" spans="7:7">
      <c r="G8327" s="812"/>
    </row>
    <row r="8328" spans="7:7">
      <c r="G8328" s="812"/>
    </row>
    <row r="8329" spans="7:7">
      <c r="G8329" s="812"/>
    </row>
    <row r="8330" spans="7:7">
      <c r="G8330" s="812"/>
    </row>
    <row r="8331" spans="7:7">
      <c r="G8331" s="812"/>
    </row>
    <row r="8332" spans="7:7">
      <c r="G8332" s="812"/>
    </row>
    <row r="8333" spans="7:7">
      <c r="G8333" s="812"/>
    </row>
    <row r="8334" spans="7:7">
      <c r="G8334" s="812"/>
    </row>
    <row r="8335" spans="7:7">
      <c r="G8335" s="812"/>
    </row>
    <row r="8336" spans="7:7">
      <c r="G8336" s="812"/>
    </row>
    <row r="8337" spans="7:7">
      <c r="G8337" s="812"/>
    </row>
    <row r="8338" spans="7:7">
      <c r="G8338" s="812"/>
    </row>
    <row r="8339" spans="7:7">
      <c r="G8339" s="812"/>
    </row>
    <row r="8340" spans="7:7">
      <c r="G8340" s="812"/>
    </row>
    <row r="8341" spans="7:7">
      <c r="G8341" s="812"/>
    </row>
    <row r="8342" spans="7:7">
      <c r="G8342" s="812"/>
    </row>
    <row r="8343" spans="7:7">
      <c r="G8343" s="812"/>
    </row>
    <row r="8344" spans="7:7">
      <c r="G8344" s="812"/>
    </row>
    <row r="8345" spans="7:7">
      <c r="G8345" s="812"/>
    </row>
    <row r="8346" spans="7:7">
      <c r="G8346" s="812"/>
    </row>
    <row r="8347" spans="7:7">
      <c r="G8347" s="812"/>
    </row>
    <row r="8348" spans="7:7">
      <c r="G8348" s="812"/>
    </row>
    <row r="8349" spans="7:7">
      <c r="G8349" s="812"/>
    </row>
    <row r="8350" spans="7:7">
      <c r="G8350" s="812"/>
    </row>
    <row r="8351" spans="7:7">
      <c r="G8351" s="812"/>
    </row>
    <row r="8352" spans="7:7">
      <c r="G8352" s="812"/>
    </row>
    <row r="8353" spans="7:7">
      <c r="G8353" s="812"/>
    </row>
    <row r="8354" spans="7:7">
      <c r="G8354" s="812"/>
    </row>
    <row r="8355" spans="7:7">
      <c r="G8355" s="812"/>
    </row>
    <row r="8356" spans="7:7">
      <c r="G8356" s="812"/>
    </row>
    <row r="8357" spans="7:7">
      <c r="G8357" s="812"/>
    </row>
    <row r="8358" spans="7:7">
      <c r="G8358" s="812"/>
    </row>
    <row r="8359" spans="7:7">
      <c r="G8359" s="812"/>
    </row>
    <row r="8360" spans="7:7">
      <c r="G8360" s="812"/>
    </row>
    <row r="8361" spans="7:7">
      <c r="G8361" s="812"/>
    </row>
    <row r="8362" spans="7:7">
      <c r="G8362" s="812"/>
    </row>
    <row r="8363" spans="7:7">
      <c r="G8363" s="812"/>
    </row>
    <row r="8364" spans="7:7">
      <c r="G8364" s="812"/>
    </row>
    <row r="8365" spans="7:7">
      <c r="G8365" s="812"/>
    </row>
    <row r="8366" spans="7:7">
      <c r="G8366" s="812"/>
    </row>
    <row r="8367" spans="7:7">
      <c r="G8367" s="812"/>
    </row>
    <row r="8368" spans="7:7">
      <c r="G8368" s="812"/>
    </row>
    <row r="8369" spans="7:7">
      <c r="G8369" s="812"/>
    </row>
    <row r="8370" spans="7:7">
      <c r="G8370" s="812"/>
    </row>
    <row r="8371" spans="7:7">
      <c r="G8371" s="812"/>
    </row>
    <row r="8372" spans="7:7">
      <c r="G8372" s="812"/>
    </row>
    <row r="8373" spans="7:7">
      <c r="G8373" s="812"/>
    </row>
    <row r="8374" spans="7:7">
      <c r="G8374" s="812"/>
    </row>
    <row r="8375" spans="7:7">
      <c r="G8375" s="812"/>
    </row>
    <row r="8376" spans="7:7">
      <c r="G8376" s="812"/>
    </row>
    <row r="8377" spans="7:7">
      <c r="G8377" s="812"/>
    </row>
    <row r="8378" spans="7:7">
      <c r="G8378" s="812"/>
    </row>
    <row r="8379" spans="7:7">
      <c r="G8379" s="812"/>
    </row>
    <row r="8380" spans="7:7">
      <c r="G8380" s="812"/>
    </row>
    <row r="8381" spans="7:7">
      <c r="G8381" s="812"/>
    </row>
    <row r="8382" spans="7:7">
      <c r="G8382" s="812"/>
    </row>
    <row r="8383" spans="7:7">
      <c r="G8383" s="812"/>
    </row>
    <row r="8384" spans="7:7">
      <c r="G8384" s="812"/>
    </row>
    <row r="8385" spans="7:7">
      <c r="G8385" s="812"/>
    </row>
    <row r="8386" spans="7:7">
      <c r="G8386" s="812"/>
    </row>
    <row r="8387" spans="7:7">
      <c r="G8387" s="812"/>
    </row>
    <row r="8388" spans="7:7">
      <c r="G8388" s="812"/>
    </row>
    <row r="8389" spans="7:7">
      <c r="G8389" s="812"/>
    </row>
    <row r="8390" spans="7:7">
      <c r="G8390" s="812"/>
    </row>
    <row r="8391" spans="7:7">
      <c r="G8391" s="812"/>
    </row>
    <row r="8392" spans="7:7">
      <c r="G8392" s="812"/>
    </row>
    <row r="8393" spans="7:7">
      <c r="G8393" s="812"/>
    </row>
    <row r="8394" spans="7:7">
      <c r="G8394" s="812"/>
    </row>
    <row r="8395" spans="7:7">
      <c r="G8395" s="812"/>
    </row>
    <row r="8396" spans="7:7">
      <c r="G8396" s="812"/>
    </row>
    <row r="8397" spans="7:7">
      <c r="G8397" s="812"/>
    </row>
    <row r="8398" spans="7:7">
      <c r="G8398" s="812"/>
    </row>
    <row r="8399" spans="7:7">
      <c r="G8399" s="812"/>
    </row>
    <row r="8400" spans="7:7">
      <c r="G8400" s="812"/>
    </row>
    <row r="8401" spans="7:7">
      <c r="G8401" s="812"/>
    </row>
    <row r="8402" spans="7:7">
      <c r="G8402" s="812"/>
    </row>
    <row r="8403" spans="7:7">
      <c r="G8403" s="812"/>
    </row>
    <row r="8404" spans="7:7">
      <c r="G8404" s="812"/>
    </row>
    <row r="8405" spans="7:7">
      <c r="G8405" s="812"/>
    </row>
    <row r="8406" spans="7:7">
      <c r="G8406" s="812"/>
    </row>
    <row r="8407" spans="7:7">
      <c r="G8407" s="812"/>
    </row>
    <row r="8408" spans="7:7">
      <c r="G8408" s="812"/>
    </row>
    <row r="8409" spans="7:7">
      <c r="G8409" s="812"/>
    </row>
    <row r="8410" spans="7:7">
      <c r="G8410" s="812"/>
    </row>
    <row r="8411" spans="7:7">
      <c r="G8411" s="812"/>
    </row>
    <row r="8412" spans="7:7">
      <c r="G8412" s="812"/>
    </row>
    <row r="8413" spans="7:7">
      <c r="G8413" s="812"/>
    </row>
    <row r="8414" spans="7:7">
      <c r="G8414" s="812"/>
    </row>
    <row r="8415" spans="7:7">
      <c r="G8415" s="812"/>
    </row>
    <row r="8416" spans="7:7">
      <c r="G8416" s="812"/>
    </row>
    <row r="8417" spans="7:7">
      <c r="G8417" s="812"/>
    </row>
    <row r="8418" spans="7:7">
      <c r="G8418" s="812"/>
    </row>
    <row r="8419" spans="7:7">
      <c r="G8419" s="812"/>
    </row>
    <row r="8420" spans="7:7">
      <c r="G8420" s="812"/>
    </row>
    <row r="8421" spans="7:7">
      <c r="G8421" s="812"/>
    </row>
    <row r="8422" spans="7:7">
      <c r="G8422" s="812"/>
    </row>
    <row r="8423" spans="7:7">
      <c r="G8423" s="812"/>
    </row>
    <row r="8424" spans="7:7">
      <c r="G8424" s="812"/>
    </row>
    <row r="8425" spans="7:7">
      <c r="G8425" s="812"/>
    </row>
    <row r="8426" spans="7:7">
      <c r="G8426" s="812"/>
    </row>
    <row r="8427" spans="7:7">
      <c r="G8427" s="812"/>
    </row>
    <row r="8428" spans="7:7">
      <c r="G8428" s="812"/>
    </row>
    <row r="8429" spans="7:7">
      <c r="G8429" s="812"/>
    </row>
    <row r="8430" spans="7:7">
      <c r="G8430" s="812"/>
    </row>
    <row r="8431" spans="7:7">
      <c r="G8431" s="812"/>
    </row>
    <row r="8432" spans="7:7">
      <c r="G8432" s="812"/>
    </row>
    <row r="8433" spans="7:7">
      <c r="G8433" s="812"/>
    </row>
    <row r="8434" spans="7:7">
      <c r="G8434" s="812"/>
    </row>
    <row r="8435" spans="7:7">
      <c r="G8435" s="812"/>
    </row>
    <row r="8436" spans="7:7">
      <c r="G8436" s="812"/>
    </row>
    <row r="8437" spans="7:7">
      <c r="G8437" s="812"/>
    </row>
    <row r="8438" spans="7:7">
      <c r="G8438" s="812"/>
    </row>
    <row r="8439" spans="7:7">
      <c r="G8439" s="812"/>
    </row>
    <row r="8440" spans="7:7">
      <c r="G8440" s="812"/>
    </row>
    <row r="8441" spans="7:7">
      <c r="G8441" s="812"/>
    </row>
    <row r="8442" spans="7:7">
      <c r="G8442" s="812"/>
    </row>
    <row r="8443" spans="7:7">
      <c r="G8443" s="812"/>
    </row>
    <row r="8444" spans="7:7">
      <c r="G8444" s="812"/>
    </row>
    <row r="8445" spans="7:7">
      <c r="G8445" s="812"/>
    </row>
    <row r="8446" spans="7:7">
      <c r="G8446" s="812"/>
    </row>
    <row r="8447" spans="7:7">
      <c r="G8447" s="812"/>
    </row>
    <row r="8448" spans="7:7">
      <c r="G8448" s="812"/>
    </row>
    <row r="8449" spans="7:7">
      <c r="G8449" s="812"/>
    </row>
    <row r="8450" spans="7:7">
      <c r="G8450" s="812"/>
    </row>
    <row r="8451" spans="7:7">
      <c r="G8451" s="812"/>
    </row>
    <row r="8452" spans="7:7">
      <c r="G8452" s="812"/>
    </row>
    <row r="8453" spans="7:7">
      <c r="G8453" s="812"/>
    </row>
    <row r="8454" spans="7:7">
      <c r="G8454" s="812"/>
    </row>
    <row r="8455" spans="7:7">
      <c r="G8455" s="812"/>
    </row>
    <row r="8456" spans="7:7">
      <c r="G8456" s="812"/>
    </row>
    <row r="8457" spans="7:7">
      <c r="G8457" s="812"/>
    </row>
    <row r="8458" spans="7:7">
      <c r="G8458" s="812"/>
    </row>
    <row r="8459" spans="7:7">
      <c r="G8459" s="812"/>
    </row>
    <row r="8460" spans="7:7">
      <c r="G8460" s="812"/>
    </row>
    <row r="8461" spans="7:7">
      <c r="G8461" s="812"/>
    </row>
    <row r="8462" spans="7:7">
      <c r="G8462" s="812"/>
    </row>
    <row r="8463" spans="7:7">
      <c r="G8463" s="812"/>
    </row>
    <row r="8464" spans="7:7">
      <c r="G8464" s="812"/>
    </row>
    <row r="8465" spans="7:7">
      <c r="G8465" s="812"/>
    </row>
    <row r="8466" spans="7:7">
      <c r="G8466" s="812"/>
    </row>
    <row r="8467" spans="7:7">
      <c r="G8467" s="812"/>
    </row>
    <row r="8468" spans="7:7">
      <c r="G8468" s="812"/>
    </row>
    <row r="8469" spans="7:7">
      <c r="G8469" s="812"/>
    </row>
    <row r="8470" spans="7:7">
      <c r="G8470" s="812"/>
    </row>
    <row r="8471" spans="7:7">
      <c r="G8471" s="812"/>
    </row>
    <row r="8472" spans="7:7">
      <c r="G8472" s="812"/>
    </row>
    <row r="8473" spans="7:7">
      <c r="G8473" s="812"/>
    </row>
    <row r="8474" spans="7:7">
      <c r="G8474" s="812"/>
    </row>
    <row r="8475" spans="7:7">
      <c r="G8475" s="812"/>
    </row>
    <row r="8476" spans="7:7">
      <c r="G8476" s="812"/>
    </row>
    <row r="8477" spans="7:7">
      <c r="G8477" s="812"/>
    </row>
    <row r="8478" spans="7:7">
      <c r="G8478" s="812"/>
    </row>
    <row r="8479" spans="7:7">
      <c r="G8479" s="812"/>
    </row>
    <row r="8480" spans="7:7">
      <c r="G8480" s="812"/>
    </row>
    <row r="8481" spans="7:7">
      <c r="G8481" s="812"/>
    </row>
    <row r="8482" spans="7:7">
      <c r="G8482" s="812"/>
    </row>
    <row r="8483" spans="7:7">
      <c r="G8483" s="812"/>
    </row>
    <row r="8484" spans="7:7">
      <c r="G8484" s="812"/>
    </row>
    <row r="8485" spans="7:7">
      <c r="G8485" s="812"/>
    </row>
    <row r="8486" spans="7:7">
      <c r="G8486" s="812"/>
    </row>
    <row r="8487" spans="7:7">
      <c r="G8487" s="812"/>
    </row>
    <row r="8488" spans="7:7">
      <c r="G8488" s="812"/>
    </row>
    <row r="8489" spans="7:7">
      <c r="G8489" s="812"/>
    </row>
    <row r="8490" spans="7:7">
      <c r="G8490" s="812"/>
    </row>
    <row r="8491" spans="7:7">
      <c r="G8491" s="812"/>
    </row>
    <row r="8492" spans="7:7">
      <c r="G8492" s="812"/>
    </row>
    <row r="8493" spans="7:7">
      <c r="G8493" s="812"/>
    </row>
    <row r="8494" spans="7:7">
      <c r="G8494" s="812"/>
    </row>
    <row r="8495" spans="7:7">
      <c r="G8495" s="812"/>
    </row>
    <row r="8496" spans="7:7">
      <c r="G8496" s="812"/>
    </row>
    <row r="8497" spans="7:7">
      <c r="G8497" s="812"/>
    </row>
    <row r="8498" spans="7:7">
      <c r="G8498" s="812"/>
    </row>
    <row r="8499" spans="7:7">
      <c r="G8499" s="812"/>
    </row>
    <row r="8500" spans="7:7">
      <c r="G8500" s="812"/>
    </row>
    <row r="8501" spans="7:7">
      <c r="G8501" s="812"/>
    </row>
    <row r="8502" spans="7:7">
      <c r="G8502" s="812"/>
    </row>
    <row r="8503" spans="7:7">
      <c r="G8503" s="812"/>
    </row>
    <row r="8504" spans="7:7">
      <c r="G8504" s="812"/>
    </row>
    <row r="8505" spans="7:7">
      <c r="G8505" s="812"/>
    </row>
    <row r="8506" spans="7:7">
      <c r="G8506" s="812"/>
    </row>
    <row r="8507" spans="7:7">
      <c r="G8507" s="812"/>
    </row>
    <row r="8508" spans="7:7">
      <c r="G8508" s="812"/>
    </row>
    <row r="8509" spans="7:7">
      <c r="G8509" s="812"/>
    </row>
    <row r="8510" spans="7:7">
      <c r="G8510" s="812"/>
    </row>
    <row r="8511" spans="7:7">
      <c r="G8511" s="812"/>
    </row>
    <row r="8512" spans="7:7">
      <c r="G8512" s="812"/>
    </row>
    <row r="8513" spans="7:7">
      <c r="G8513" s="812"/>
    </row>
    <row r="8514" spans="7:7">
      <c r="G8514" s="812"/>
    </row>
    <row r="8515" spans="7:7">
      <c r="G8515" s="812"/>
    </row>
    <row r="8516" spans="7:7">
      <c r="G8516" s="812"/>
    </row>
    <row r="8517" spans="7:7">
      <c r="G8517" s="812"/>
    </row>
    <row r="8518" spans="7:7">
      <c r="G8518" s="812"/>
    </row>
    <row r="8519" spans="7:7">
      <c r="G8519" s="812"/>
    </row>
    <row r="8520" spans="7:7">
      <c r="G8520" s="812"/>
    </row>
    <row r="8521" spans="7:7">
      <c r="G8521" s="812"/>
    </row>
    <row r="8522" spans="7:7">
      <c r="G8522" s="812"/>
    </row>
    <row r="8523" spans="7:7">
      <c r="G8523" s="812"/>
    </row>
    <row r="8524" spans="7:7">
      <c r="G8524" s="812"/>
    </row>
    <row r="8525" spans="7:7">
      <c r="G8525" s="812"/>
    </row>
    <row r="8526" spans="7:7">
      <c r="G8526" s="812"/>
    </row>
    <row r="8527" spans="7:7">
      <c r="G8527" s="812"/>
    </row>
    <row r="8528" spans="7:7">
      <c r="G8528" s="812"/>
    </row>
    <row r="8529" spans="7:7">
      <c r="G8529" s="812"/>
    </row>
    <row r="8530" spans="7:7">
      <c r="G8530" s="812"/>
    </row>
    <row r="8531" spans="7:7">
      <c r="G8531" s="812"/>
    </row>
    <row r="8532" spans="7:7">
      <c r="G8532" s="812"/>
    </row>
    <row r="8533" spans="7:7">
      <c r="G8533" s="812"/>
    </row>
    <row r="8534" spans="7:7">
      <c r="G8534" s="812"/>
    </row>
    <row r="8535" spans="7:7">
      <c r="G8535" s="812"/>
    </row>
    <row r="8536" spans="7:7">
      <c r="G8536" s="812"/>
    </row>
    <row r="8537" spans="7:7">
      <c r="G8537" s="812"/>
    </row>
    <row r="8538" spans="7:7">
      <c r="G8538" s="812"/>
    </row>
    <row r="8539" spans="7:7">
      <c r="G8539" s="812"/>
    </row>
    <row r="8540" spans="7:7">
      <c r="G8540" s="812"/>
    </row>
    <row r="8541" spans="7:7">
      <c r="G8541" s="812"/>
    </row>
    <row r="8542" spans="7:7">
      <c r="G8542" s="812"/>
    </row>
    <row r="8543" spans="7:7">
      <c r="G8543" s="812"/>
    </row>
    <row r="8544" spans="7:7">
      <c r="G8544" s="812"/>
    </row>
    <row r="8545" spans="7:7">
      <c r="G8545" s="812"/>
    </row>
    <row r="8546" spans="7:7">
      <c r="G8546" s="812"/>
    </row>
    <row r="8547" spans="7:7">
      <c r="G8547" s="812"/>
    </row>
    <row r="8548" spans="7:7">
      <c r="G8548" s="812"/>
    </row>
    <row r="8549" spans="7:7">
      <c r="G8549" s="812"/>
    </row>
    <row r="8550" spans="7:7">
      <c r="G8550" s="812"/>
    </row>
    <row r="8551" spans="7:7">
      <c r="G8551" s="812"/>
    </row>
    <row r="8552" spans="7:7">
      <c r="G8552" s="812"/>
    </row>
    <row r="8553" spans="7:7">
      <c r="G8553" s="812"/>
    </row>
    <row r="8554" spans="7:7">
      <c r="G8554" s="812"/>
    </row>
    <row r="8555" spans="7:7">
      <c r="G8555" s="812"/>
    </row>
    <row r="8556" spans="7:7">
      <c r="G8556" s="812"/>
    </row>
    <row r="8557" spans="7:7">
      <c r="G8557" s="812"/>
    </row>
    <row r="8558" spans="7:7">
      <c r="G8558" s="812"/>
    </row>
    <row r="8559" spans="7:7">
      <c r="G8559" s="812"/>
    </row>
    <row r="8560" spans="7:7">
      <c r="G8560" s="812"/>
    </row>
    <row r="8561" spans="7:7">
      <c r="G8561" s="812"/>
    </row>
    <row r="8562" spans="7:7">
      <c r="G8562" s="812"/>
    </row>
    <row r="8563" spans="7:7">
      <c r="G8563" s="812"/>
    </row>
    <row r="8564" spans="7:7">
      <c r="G8564" s="812"/>
    </row>
    <row r="8565" spans="7:7">
      <c r="G8565" s="812"/>
    </row>
    <row r="8566" spans="7:7">
      <c r="G8566" s="812"/>
    </row>
    <row r="8567" spans="7:7">
      <c r="G8567" s="812"/>
    </row>
    <row r="8568" spans="7:7">
      <c r="G8568" s="812"/>
    </row>
    <row r="8569" spans="7:7">
      <c r="G8569" s="812"/>
    </row>
    <row r="8570" spans="7:7">
      <c r="G8570" s="812"/>
    </row>
    <row r="8571" spans="7:7">
      <c r="G8571" s="812"/>
    </row>
    <row r="8572" spans="7:7">
      <c r="G8572" s="812"/>
    </row>
    <row r="8573" spans="7:7">
      <c r="G8573" s="812"/>
    </row>
    <row r="8574" spans="7:7">
      <c r="G8574" s="812"/>
    </row>
    <row r="8575" spans="7:7">
      <c r="G8575" s="812"/>
    </row>
    <row r="8576" spans="7:7">
      <c r="G8576" s="812"/>
    </row>
    <row r="8577" spans="7:7">
      <c r="G8577" s="812"/>
    </row>
    <row r="8578" spans="7:7">
      <c r="G8578" s="812"/>
    </row>
    <row r="8579" spans="7:7">
      <c r="G8579" s="812"/>
    </row>
    <row r="8580" spans="7:7">
      <c r="G8580" s="812"/>
    </row>
    <row r="8581" spans="7:7">
      <c r="G8581" s="812"/>
    </row>
    <row r="8582" spans="7:7">
      <c r="G8582" s="812"/>
    </row>
    <row r="8583" spans="7:7">
      <c r="G8583" s="812"/>
    </row>
    <row r="8584" spans="7:7">
      <c r="G8584" s="812"/>
    </row>
    <row r="8585" spans="7:7">
      <c r="G8585" s="812"/>
    </row>
    <row r="8586" spans="7:7">
      <c r="G8586" s="812"/>
    </row>
    <row r="8587" spans="7:7">
      <c r="G8587" s="812"/>
    </row>
    <row r="8588" spans="7:7">
      <c r="G8588" s="812"/>
    </row>
    <row r="8589" spans="7:7">
      <c r="G8589" s="812"/>
    </row>
    <row r="8590" spans="7:7">
      <c r="G8590" s="812"/>
    </row>
    <row r="8591" spans="7:7">
      <c r="G8591" s="812"/>
    </row>
    <row r="8592" spans="7:7">
      <c r="G8592" s="812"/>
    </row>
    <row r="8593" spans="7:7">
      <c r="G8593" s="812"/>
    </row>
    <row r="8594" spans="7:7">
      <c r="G8594" s="812"/>
    </row>
    <row r="8595" spans="7:7">
      <c r="G8595" s="812"/>
    </row>
    <row r="8596" spans="7:7">
      <c r="G8596" s="812"/>
    </row>
    <row r="8597" spans="7:7">
      <c r="G8597" s="812"/>
    </row>
    <row r="8598" spans="7:7">
      <c r="G8598" s="812"/>
    </row>
    <row r="8599" spans="7:7">
      <c r="G8599" s="812"/>
    </row>
    <row r="8600" spans="7:7">
      <c r="G8600" s="812"/>
    </row>
    <row r="8601" spans="7:7">
      <c r="G8601" s="812"/>
    </row>
    <row r="8602" spans="7:7">
      <c r="G8602" s="812"/>
    </row>
    <row r="8603" spans="7:7">
      <c r="G8603" s="812"/>
    </row>
    <row r="8604" spans="7:7">
      <c r="G8604" s="812"/>
    </row>
    <row r="8605" spans="7:7">
      <c r="G8605" s="812"/>
    </row>
    <row r="8606" spans="7:7">
      <c r="G8606" s="812"/>
    </row>
    <row r="8607" spans="7:7">
      <c r="G8607" s="812"/>
    </row>
    <row r="8608" spans="7:7">
      <c r="G8608" s="812"/>
    </row>
    <row r="8609" spans="7:7">
      <c r="G8609" s="812"/>
    </row>
    <row r="8610" spans="7:7">
      <c r="G8610" s="812"/>
    </row>
    <row r="8611" spans="7:7">
      <c r="G8611" s="812"/>
    </row>
    <row r="8612" spans="7:7">
      <c r="G8612" s="812"/>
    </row>
    <row r="8613" spans="7:7">
      <c r="G8613" s="812"/>
    </row>
    <row r="8614" spans="7:7">
      <c r="G8614" s="812"/>
    </row>
    <row r="8615" spans="7:7">
      <c r="G8615" s="812"/>
    </row>
    <row r="8616" spans="7:7">
      <c r="G8616" s="812"/>
    </row>
    <row r="8617" spans="7:7">
      <c r="G8617" s="812"/>
    </row>
    <row r="8618" spans="7:7">
      <c r="G8618" s="812"/>
    </row>
    <row r="8619" spans="7:7">
      <c r="G8619" s="812"/>
    </row>
    <row r="8620" spans="7:7">
      <c r="G8620" s="812"/>
    </row>
    <row r="8621" spans="7:7">
      <c r="G8621" s="812"/>
    </row>
    <row r="8622" spans="7:7">
      <c r="G8622" s="812"/>
    </row>
    <row r="8623" spans="7:7">
      <c r="G8623" s="812"/>
    </row>
    <row r="8624" spans="7:7">
      <c r="G8624" s="812"/>
    </row>
    <row r="8625" spans="7:7">
      <c r="G8625" s="812"/>
    </row>
    <row r="8626" spans="7:7">
      <c r="G8626" s="812"/>
    </row>
    <row r="8627" spans="7:7">
      <c r="G8627" s="812"/>
    </row>
    <row r="8628" spans="7:7">
      <c r="G8628" s="812"/>
    </row>
    <row r="8629" spans="7:7">
      <c r="G8629" s="812"/>
    </row>
    <row r="8630" spans="7:7">
      <c r="G8630" s="812"/>
    </row>
    <row r="8631" spans="7:7">
      <c r="G8631" s="812"/>
    </row>
    <row r="8632" spans="7:7">
      <c r="G8632" s="812"/>
    </row>
    <row r="8633" spans="7:7">
      <c r="G8633" s="812"/>
    </row>
    <row r="8634" spans="7:7">
      <c r="G8634" s="812"/>
    </row>
    <row r="8635" spans="7:7">
      <c r="G8635" s="812"/>
    </row>
    <row r="8636" spans="7:7">
      <c r="G8636" s="812"/>
    </row>
    <row r="8637" spans="7:7">
      <c r="G8637" s="812"/>
    </row>
    <row r="8638" spans="7:7">
      <c r="G8638" s="812"/>
    </row>
    <row r="8639" spans="7:7">
      <c r="G8639" s="812"/>
    </row>
    <row r="8640" spans="7:7">
      <c r="G8640" s="812"/>
    </row>
    <row r="8641" spans="7:7">
      <c r="G8641" s="812"/>
    </row>
    <row r="8642" spans="7:7">
      <c r="G8642" s="812"/>
    </row>
    <row r="8643" spans="7:7">
      <c r="G8643" s="812"/>
    </row>
    <row r="8644" spans="7:7">
      <c r="G8644" s="812"/>
    </row>
    <row r="8645" spans="7:7">
      <c r="G8645" s="812"/>
    </row>
    <row r="8646" spans="7:7">
      <c r="G8646" s="812"/>
    </row>
    <row r="8647" spans="7:7">
      <c r="G8647" s="812"/>
    </row>
    <row r="8648" spans="7:7">
      <c r="G8648" s="812"/>
    </row>
    <row r="8649" spans="7:7">
      <c r="G8649" s="812"/>
    </row>
    <row r="8650" spans="7:7">
      <c r="G8650" s="812"/>
    </row>
    <row r="8651" spans="7:7">
      <c r="G8651" s="812"/>
    </row>
    <row r="8652" spans="7:7">
      <c r="G8652" s="812"/>
    </row>
    <row r="8653" spans="7:7">
      <c r="G8653" s="812"/>
    </row>
    <row r="8654" spans="7:7">
      <c r="G8654" s="812"/>
    </row>
    <row r="8655" spans="7:7">
      <c r="G8655" s="812"/>
    </row>
    <row r="8656" spans="7:7">
      <c r="G8656" s="812"/>
    </row>
    <row r="8657" spans="7:7">
      <c r="G8657" s="812"/>
    </row>
    <row r="8658" spans="7:7">
      <c r="G8658" s="812"/>
    </row>
    <row r="8659" spans="7:7">
      <c r="G8659" s="812"/>
    </row>
    <row r="8660" spans="7:7">
      <c r="G8660" s="812"/>
    </row>
    <row r="8661" spans="7:7">
      <c r="G8661" s="812"/>
    </row>
    <row r="8662" spans="7:7">
      <c r="G8662" s="812"/>
    </row>
    <row r="8663" spans="7:7">
      <c r="G8663" s="812"/>
    </row>
    <row r="8664" spans="7:7">
      <c r="G8664" s="812"/>
    </row>
    <row r="8665" spans="7:7">
      <c r="G8665" s="812"/>
    </row>
    <row r="8666" spans="7:7">
      <c r="G8666" s="812"/>
    </row>
    <row r="8667" spans="7:7">
      <c r="G8667" s="812"/>
    </row>
    <row r="8668" spans="7:7">
      <c r="G8668" s="812"/>
    </row>
    <row r="8669" spans="7:7">
      <c r="G8669" s="812"/>
    </row>
    <row r="8670" spans="7:7">
      <c r="G8670" s="812"/>
    </row>
    <row r="8671" spans="7:7">
      <c r="G8671" s="812"/>
    </row>
    <row r="8672" spans="7:7">
      <c r="G8672" s="812"/>
    </row>
    <row r="8673" spans="7:7">
      <c r="G8673" s="812"/>
    </row>
    <row r="8674" spans="7:7">
      <c r="G8674" s="812"/>
    </row>
    <row r="8675" spans="7:7">
      <c r="G8675" s="812"/>
    </row>
    <row r="8676" spans="7:7">
      <c r="G8676" s="812"/>
    </row>
    <row r="8677" spans="7:7">
      <c r="G8677" s="812"/>
    </row>
    <row r="8678" spans="7:7">
      <c r="G8678" s="812"/>
    </row>
    <row r="8679" spans="7:7">
      <c r="G8679" s="812"/>
    </row>
    <row r="8680" spans="7:7">
      <c r="G8680" s="812"/>
    </row>
    <row r="8681" spans="7:7">
      <c r="G8681" s="812"/>
    </row>
    <row r="8682" spans="7:7">
      <c r="G8682" s="812"/>
    </row>
    <row r="8683" spans="7:7">
      <c r="G8683" s="812"/>
    </row>
    <row r="8684" spans="7:7">
      <c r="G8684" s="812"/>
    </row>
    <row r="8685" spans="7:7">
      <c r="G8685" s="812"/>
    </row>
    <row r="8686" spans="7:7">
      <c r="G8686" s="812"/>
    </row>
    <row r="8687" spans="7:7">
      <c r="G8687" s="812"/>
    </row>
    <row r="8688" spans="7:7">
      <c r="G8688" s="812"/>
    </row>
    <row r="8689" spans="7:7">
      <c r="G8689" s="812"/>
    </row>
    <row r="8690" spans="7:7">
      <c r="G8690" s="812"/>
    </row>
    <row r="8691" spans="7:7">
      <c r="G8691" s="812"/>
    </row>
    <row r="8692" spans="7:7">
      <c r="G8692" s="812"/>
    </row>
    <row r="8693" spans="7:7">
      <c r="G8693" s="812"/>
    </row>
    <row r="8694" spans="7:7">
      <c r="G8694" s="812"/>
    </row>
    <row r="8695" spans="7:7">
      <c r="G8695" s="812"/>
    </row>
    <row r="8696" spans="7:7">
      <c r="G8696" s="812"/>
    </row>
    <row r="8697" spans="7:7">
      <c r="G8697" s="812"/>
    </row>
    <row r="8698" spans="7:7">
      <c r="G8698" s="812"/>
    </row>
    <row r="8699" spans="7:7">
      <c r="G8699" s="812"/>
    </row>
    <row r="8700" spans="7:7">
      <c r="G8700" s="812"/>
    </row>
    <row r="8701" spans="7:7">
      <c r="G8701" s="812"/>
    </row>
    <row r="8702" spans="7:7">
      <c r="G8702" s="812"/>
    </row>
    <row r="8703" spans="7:7">
      <c r="G8703" s="812"/>
    </row>
    <row r="8704" spans="7:7">
      <c r="G8704" s="812"/>
    </row>
    <row r="8705" spans="7:7">
      <c r="G8705" s="812"/>
    </row>
    <row r="8706" spans="7:7">
      <c r="G8706" s="812"/>
    </row>
    <row r="8707" spans="7:7">
      <c r="G8707" s="812"/>
    </row>
    <row r="8708" spans="7:7">
      <c r="G8708" s="812"/>
    </row>
    <row r="8709" spans="7:7">
      <c r="G8709" s="812"/>
    </row>
    <row r="8710" spans="7:7">
      <c r="G8710" s="812"/>
    </row>
    <row r="8711" spans="7:7">
      <c r="G8711" s="812"/>
    </row>
    <row r="8712" spans="7:7">
      <c r="G8712" s="812"/>
    </row>
    <row r="8713" spans="7:7">
      <c r="G8713" s="812"/>
    </row>
    <row r="8714" spans="7:7">
      <c r="G8714" s="812"/>
    </row>
    <row r="8715" spans="7:7">
      <c r="G8715" s="812"/>
    </row>
    <row r="8716" spans="7:7">
      <c r="G8716" s="812"/>
    </row>
    <row r="8717" spans="7:7">
      <c r="G8717" s="812"/>
    </row>
    <row r="8718" spans="7:7">
      <c r="G8718" s="812"/>
    </row>
    <row r="8719" spans="7:7">
      <c r="G8719" s="812"/>
    </row>
    <row r="8720" spans="7:7">
      <c r="G8720" s="812"/>
    </row>
    <row r="8721" spans="7:7">
      <c r="G8721" s="812"/>
    </row>
    <row r="8722" spans="7:7">
      <c r="G8722" s="812"/>
    </row>
    <row r="8723" spans="7:7">
      <c r="G8723" s="812"/>
    </row>
    <row r="8724" spans="7:7">
      <c r="G8724" s="812"/>
    </row>
    <row r="8725" spans="7:7">
      <c r="G8725" s="812"/>
    </row>
    <row r="8726" spans="7:7">
      <c r="G8726" s="812"/>
    </row>
    <row r="8727" spans="7:7">
      <c r="G8727" s="812"/>
    </row>
    <row r="8728" spans="7:7">
      <c r="G8728" s="812"/>
    </row>
    <row r="8729" spans="7:7">
      <c r="G8729" s="812"/>
    </row>
    <row r="8730" spans="7:7">
      <c r="G8730" s="812"/>
    </row>
    <row r="8731" spans="7:7">
      <c r="G8731" s="812"/>
    </row>
    <row r="8732" spans="7:7">
      <c r="G8732" s="812"/>
    </row>
    <row r="8733" spans="7:7">
      <c r="G8733" s="812"/>
    </row>
    <row r="8734" spans="7:7">
      <c r="G8734" s="812"/>
    </row>
    <row r="8735" spans="7:7">
      <c r="G8735" s="812"/>
    </row>
    <row r="8736" spans="7:7">
      <c r="G8736" s="812"/>
    </row>
    <row r="8737" spans="7:7">
      <c r="G8737" s="812"/>
    </row>
    <row r="8738" spans="7:7">
      <c r="G8738" s="812"/>
    </row>
    <row r="8739" spans="7:7">
      <c r="G8739" s="812"/>
    </row>
    <row r="8740" spans="7:7">
      <c r="G8740" s="812"/>
    </row>
    <row r="8741" spans="7:7">
      <c r="G8741" s="812"/>
    </row>
    <row r="8742" spans="7:7">
      <c r="G8742" s="812"/>
    </row>
    <row r="8743" spans="7:7">
      <c r="G8743" s="812"/>
    </row>
    <row r="8744" spans="7:7">
      <c r="G8744" s="812"/>
    </row>
    <row r="8745" spans="7:7">
      <c r="G8745" s="812"/>
    </row>
    <row r="8746" spans="7:7">
      <c r="G8746" s="812"/>
    </row>
    <row r="8747" spans="7:7">
      <c r="G8747" s="812"/>
    </row>
    <row r="8748" spans="7:7">
      <c r="G8748" s="812"/>
    </row>
    <row r="8749" spans="7:7">
      <c r="G8749" s="812"/>
    </row>
    <row r="8750" spans="7:7">
      <c r="G8750" s="812"/>
    </row>
    <row r="8751" spans="7:7">
      <c r="G8751" s="812"/>
    </row>
    <row r="8752" spans="7:7">
      <c r="G8752" s="812"/>
    </row>
    <row r="8753" spans="7:7">
      <c r="G8753" s="812"/>
    </row>
    <row r="8754" spans="7:7">
      <c r="G8754" s="812"/>
    </row>
    <row r="8755" spans="7:7">
      <c r="G8755" s="812"/>
    </row>
    <row r="8756" spans="7:7">
      <c r="G8756" s="812"/>
    </row>
    <row r="8757" spans="7:7">
      <c r="G8757" s="812"/>
    </row>
    <row r="8758" spans="7:7">
      <c r="G8758" s="812"/>
    </row>
    <row r="8759" spans="7:7">
      <c r="G8759" s="812"/>
    </row>
    <row r="8760" spans="7:7">
      <c r="G8760" s="812"/>
    </row>
    <row r="8761" spans="7:7">
      <c r="G8761" s="812"/>
    </row>
    <row r="8762" spans="7:7">
      <c r="G8762" s="812"/>
    </row>
    <row r="8763" spans="7:7">
      <c r="G8763" s="812"/>
    </row>
    <row r="8764" spans="7:7">
      <c r="G8764" s="812"/>
    </row>
    <row r="8765" spans="7:7">
      <c r="G8765" s="812"/>
    </row>
    <row r="8766" spans="7:7">
      <c r="G8766" s="812"/>
    </row>
    <row r="8767" spans="7:7">
      <c r="G8767" s="812"/>
    </row>
    <row r="8768" spans="7:7">
      <c r="G8768" s="812"/>
    </row>
    <row r="8769" spans="7:7">
      <c r="G8769" s="812"/>
    </row>
    <row r="8770" spans="7:7">
      <c r="G8770" s="812"/>
    </row>
    <row r="8771" spans="7:7">
      <c r="G8771" s="812"/>
    </row>
    <row r="8772" spans="7:7">
      <c r="G8772" s="812"/>
    </row>
    <row r="8773" spans="7:7">
      <c r="G8773" s="812"/>
    </row>
    <row r="8774" spans="7:7">
      <c r="G8774" s="812"/>
    </row>
    <row r="8775" spans="7:7">
      <c r="G8775" s="812"/>
    </row>
    <row r="8776" spans="7:7">
      <c r="G8776" s="812"/>
    </row>
    <row r="8777" spans="7:7">
      <c r="G8777" s="812"/>
    </row>
    <row r="8778" spans="7:7">
      <c r="G8778" s="812"/>
    </row>
    <row r="8779" spans="7:7">
      <c r="G8779" s="812"/>
    </row>
    <row r="8780" spans="7:7">
      <c r="G8780" s="812"/>
    </row>
    <row r="8781" spans="7:7">
      <c r="G8781" s="812"/>
    </row>
    <row r="8782" spans="7:7">
      <c r="G8782" s="812"/>
    </row>
    <row r="8783" spans="7:7">
      <c r="G8783" s="812"/>
    </row>
    <row r="8784" spans="7:7">
      <c r="G8784" s="812"/>
    </row>
    <row r="8785" spans="7:7">
      <c r="G8785" s="812"/>
    </row>
    <row r="8786" spans="7:7">
      <c r="G8786" s="812"/>
    </row>
    <row r="8787" spans="7:7">
      <c r="G8787" s="812"/>
    </row>
    <row r="8788" spans="7:7">
      <c r="G8788" s="812"/>
    </row>
    <row r="8789" spans="7:7">
      <c r="G8789" s="812"/>
    </row>
    <row r="8790" spans="7:7">
      <c r="G8790" s="812"/>
    </row>
    <row r="8791" spans="7:7">
      <c r="G8791" s="812"/>
    </row>
    <row r="8792" spans="7:7">
      <c r="G8792" s="812"/>
    </row>
    <row r="8793" spans="7:7">
      <c r="G8793" s="812"/>
    </row>
    <row r="8794" spans="7:7">
      <c r="G8794" s="812"/>
    </row>
    <row r="8795" spans="7:7">
      <c r="G8795" s="812"/>
    </row>
    <row r="8796" spans="7:7">
      <c r="G8796" s="812"/>
    </row>
    <row r="8797" spans="7:7">
      <c r="G8797" s="812"/>
    </row>
    <row r="8798" spans="7:7">
      <c r="G8798" s="812"/>
    </row>
    <row r="8799" spans="7:7">
      <c r="G8799" s="812"/>
    </row>
    <row r="8800" spans="7:7">
      <c r="G8800" s="812"/>
    </row>
    <row r="8801" spans="7:7">
      <c r="G8801" s="812"/>
    </row>
    <row r="8802" spans="7:7">
      <c r="G8802" s="812"/>
    </row>
    <row r="8803" spans="7:7">
      <c r="G8803" s="812"/>
    </row>
    <row r="8804" spans="7:7">
      <c r="G8804" s="812"/>
    </row>
    <row r="8805" spans="7:7">
      <c r="G8805" s="812"/>
    </row>
    <row r="8806" spans="7:7">
      <c r="G8806" s="812"/>
    </row>
    <row r="8807" spans="7:7">
      <c r="G8807" s="812"/>
    </row>
    <row r="8808" spans="7:7">
      <c r="G8808" s="812"/>
    </row>
    <row r="8809" spans="7:7">
      <c r="G8809" s="812"/>
    </row>
    <row r="8810" spans="7:7">
      <c r="G8810" s="812"/>
    </row>
    <row r="8811" spans="7:7">
      <c r="G8811" s="812"/>
    </row>
    <row r="8812" spans="7:7">
      <c r="G8812" s="812"/>
    </row>
    <row r="8813" spans="7:7">
      <c r="G8813" s="812"/>
    </row>
    <row r="8814" spans="7:7">
      <c r="G8814" s="812"/>
    </row>
    <row r="8815" spans="7:7">
      <c r="G8815" s="812"/>
    </row>
    <row r="8816" spans="7:7">
      <c r="G8816" s="812"/>
    </row>
    <row r="8817" spans="7:7">
      <c r="G8817" s="812"/>
    </row>
    <row r="8818" spans="7:7">
      <c r="G8818" s="812"/>
    </row>
    <row r="8819" spans="7:7">
      <c r="G8819" s="812"/>
    </row>
    <row r="8820" spans="7:7">
      <c r="G8820" s="812"/>
    </row>
    <row r="8821" spans="7:7">
      <c r="G8821" s="812"/>
    </row>
    <row r="8822" spans="7:7">
      <c r="G8822" s="812"/>
    </row>
    <row r="8823" spans="7:7">
      <c r="G8823" s="812"/>
    </row>
    <row r="8824" spans="7:7">
      <c r="G8824" s="812"/>
    </row>
    <row r="8825" spans="7:7">
      <c r="G8825" s="812"/>
    </row>
    <row r="8826" spans="7:7">
      <c r="G8826" s="812"/>
    </row>
    <row r="8827" spans="7:7">
      <c r="G8827" s="812"/>
    </row>
    <row r="8828" spans="7:7">
      <c r="G8828" s="812"/>
    </row>
    <row r="8829" spans="7:7">
      <c r="G8829" s="812"/>
    </row>
    <row r="8830" spans="7:7">
      <c r="G8830" s="812"/>
    </row>
    <row r="8831" spans="7:7">
      <c r="G8831" s="812"/>
    </row>
    <row r="8832" spans="7:7">
      <c r="G8832" s="812"/>
    </row>
    <row r="8833" spans="7:7">
      <c r="G8833" s="812"/>
    </row>
    <row r="8834" spans="7:7">
      <c r="G8834" s="812"/>
    </row>
    <row r="8835" spans="7:7">
      <c r="G8835" s="812"/>
    </row>
    <row r="8836" spans="7:7">
      <c r="G8836" s="812"/>
    </row>
    <row r="8837" spans="7:7">
      <c r="G8837" s="812"/>
    </row>
    <row r="8838" spans="7:7">
      <c r="G8838" s="812"/>
    </row>
    <row r="8839" spans="7:7">
      <c r="G8839" s="812"/>
    </row>
    <row r="8840" spans="7:7">
      <c r="G8840" s="812"/>
    </row>
    <row r="8841" spans="7:7">
      <c r="G8841" s="812"/>
    </row>
    <row r="8842" spans="7:7">
      <c r="G8842" s="812"/>
    </row>
    <row r="8843" spans="7:7">
      <c r="G8843" s="812"/>
    </row>
    <row r="8844" spans="7:7">
      <c r="G8844" s="812"/>
    </row>
    <row r="8845" spans="7:7">
      <c r="G8845" s="812"/>
    </row>
    <row r="8846" spans="7:7">
      <c r="G8846" s="812"/>
    </row>
    <row r="8847" spans="7:7">
      <c r="G8847" s="812"/>
    </row>
    <row r="8848" spans="7:7">
      <c r="G8848" s="812"/>
    </row>
    <row r="8849" spans="7:7">
      <c r="G8849" s="812"/>
    </row>
    <row r="8850" spans="7:7">
      <c r="G8850" s="812"/>
    </row>
    <row r="8851" spans="7:7">
      <c r="G8851" s="812"/>
    </row>
    <row r="8852" spans="7:7">
      <c r="G8852" s="812"/>
    </row>
    <row r="8853" spans="7:7">
      <c r="G8853" s="812"/>
    </row>
    <row r="8854" spans="7:7">
      <c r="G8854" s="812"/>
    </row>
    <row r="8855" spans="7:7">
      <c r="G8855" s="812"/>
    </row>
    <row r="8856" spans="7:7">
      <c r="G8856" s="812"/>
    </row>
    <row r="8857" spans="7:7">
      <c r="G8857" s="812"/>
    </row>
    <row r="8858" spans="7:7">
      <c r="G8858" s="812"/>
    </row>
    <row r="8859" spans="7:7">
      <c r="G8859" s="812"/>
    </row>
    <row r="8860" spans="7:7">
      <c r="G8860" s="812"/>
    </row>
    <row r="8861" spans="7:7">
      <c r="G8861" s="812"/>
    </row>
    <row r="8862" spans="7:7">
      <c r="G8862" s="812"/>
    </row>
    <row r="8863" spans="7:7">
      <c r="G8863" s="812"/>
    </row>
    <row r="8864" spans="7:7">
      <c r="G8864" s="812"/>
    </row>
    <row r="8865" spans="7:7">
      <c r="G8865" s="812"/>
    </row>
    <row r="8866" spans="7:7">
      <c r="G8866" s="812"/>
    </row>
    <row r="8867" spans="7:7">
      <c r="G8867" s="812"/>
    </row>
    <row r="8868" spans="7:7">
      <c r="G8868" s="812"/>
    </row>
    <row r="8869" spans="7:7">
      <c r="G8869" s="812"/>
    </row>
    <row r="8870" spans="7:7">
      <c r="G8870" s="812"/>
    </row>
    <row r="8871" spans="7:7">
      <c r="G8871" s="812"/>
    </row>
    <row r="8872" spans="7:7">
      <c r="G8872" s="812"/>
    </row>
    <row r="8873" spans="7:7">
      <c r="G8873" s="812"/>
    </row>
    <row r="8874" spans="7:7">
      <c r="G8874" s="812"/>
    </row>
    <row r="8875" spans="7:7">
      <c r="G8875" s="812"/>
    </row>
    <row r="8876" spans="7:7">
      <c r="G8876" s="812"/>
    </row>
    <row r="8877" spans="7:7">
      <c r="G8877" s="812"/>
    </row>
    <row r="8878" spans="7:7">
      <c r="G8878" s="812"/>
    </row>
    <row r="8879" spans="7:7">
      <c r="G8879" s="812"/>
    </row>
    <row r="8880" spans="7:7">
      <c r="G8880" s="812"/>
    </row>
    <row r="8881" spans="7:7">
      <c r="G8881" s="812"/>
    </row>
    <row r="8882" spans="7:7">
      <c r="G8882" s="812"/>
    </row>
    <row r="8883" spans="7:7">
      <c r="G8883" s="812"/>
    </row>
    <row r="8884" spans="7:7">
      <c r="G8884" s="812"/>
    </row>
    <row r="8885" spans="7:7">
      <c r="G8885" s="812"/>
    </row>
    <row r="8886" spans="7:7">
      <c r="G8886" s="812"/>
    </row>
    <row r="8887" spans="7:7">
      <c r="G8887" s="812"/>
    </row>
    <row r="8888" spans="7:7">
      <c r="G8888" s="812"/>
    </row>
    <row r="8889" spans="7:7">
      <c r="G8889" s="812"/>
    </row>
    <row r="8890" spans="7:7">
      <c r="G8890" s="812"/>
    </row>
    <row r="8891" spans="7:7">
      <c r="G8891" s="812"/>
    </row>
    <row r="8892" spans="7:7">
      <c r="G8892" s="812"/>
    </row>
    <row r="8893" spans="7:7">
      <c r="G8893" s="812"/>
    </row>
    <row r="8894" spans="7:7">
      <c r="G8894" s="812"/>
    </row>
    <row r="8895" spans="7:7">
      <c r="G8895" s="812"/>
    </row>
    <row r="8896" spans="7:7">
      <c r="G8896" s="812"/>
    </row>
    <row r="8897" spans="7:7">
      <c r="G8897" s="812"/>
    </row>
    <row r="8898" spans="7:7">
      <c r="G8898" s="812"/>
    </row>
    <row r="8899" spans="7:7">
      <c r="G8899" s="812"/>
    </row>
    <row r="8900" spans="7:7">
      <c r="G8900" s="812"/>
    </row>
    <row r="8901" spans="7:7">
      <c r="G8901" s="812"/>
    </row>
    <row r="8902" spans="7:7">
      <c r="G8902" s="812"/>
    </row>
    <row r="8903" spans="7:7">
      <c r="G8903" s="812"/>
    </row>
    <row r="8904" spans="7:7">
      <c r="G8904" s="812"/>
    </row>
    <row r="8905" spans="7:7">
      <c r="G8905" s="812"/>
    </row>
    <row r="8906" spans="7:7">
      <c r="G8906" s="812"/>
    </row>
    <row r="8907" spans="7:7">
      <c r="G8907" s="812"/>
    </row>
    <row r="8908" spans="7:7">
      <c r="G8908" s="812"/>
    </row>
    <row r="8909" spans="7:7">
      <c r="G8909" s="812"/>
    </row>
    <row r="8910" spans="7:7">
      <c r="G8910" s="812"/>
    </row>
    <row r="8911" spans="7:7">
      <c r="G8911" s="812"/>
    </row>
    <row r="8912" spans="7:7">
      <c r="G8912" s="812"/>
    </row>
    <row r="8913" spans="7:7">
      <c r="G8913" s="812"/>
    </row>
    <row r="8914" spans="7:7">
      <c r="G8914" s="812"/>
    </row>
    <row r="8915" spans="7:7">
      <c r="G8915" s="812"/>
    </row>
    <row r="8916" spans="7:7">
      <c r="G8916" s="812"/>
    </row>
    <row r="8917" spans="7:7">
      <c r="G8917" s="812"/>
    </row>
    <row r="8918" spans="7:7">
      <c r="G8918" s="812"/>
    </row>
    <row r="8919" spans="7:7">
      <c r="G8919" s="812"/>
    </row>
    <row r="8920" spans="7:7">
      <c r="G8920" s="812"/>
    </row>
    <row r="8921" spans="7:7">
      <c r="G8921" s="812"/>
    </row>
    <row r="8922" spans="7:7">
      <c r="G8922" s="812"/>
    </row>
    <row r="8923" spans="7:7">
      <c r="G8923" s="812"/>
    </row>
    <row r="8924" spans="7:7">
      <c r="G8924" s="812"/>
    </row>
    <row r="8925" spans="7:7">
      <c r="G8925" s="812"/>
    </row>
    <row r="8926" spans="7:7">
      <c r="G8926" s="812"/>
    </row>
    <row r="8927" spans="7:7">
      <c r="G8927" s="812"/>
    </row>
    <row r="8928" spans="7:7">
      <c r="G8928" s="812"/>
    </row>
    <row r="8929" spans="7:7">
      <c r="G8929" s="812"/>
    </row>
    <row r="8930" spans="7:7">
      <c r="G8930" s="812"/>
    </row>
    <row r="8931" spans="7:7">
      <c r="G8931" s="812"/>
    </row>
    <row r="8932" spans="7:7">
      <c r="G8932" s="812"/>
    </row>
    <row r="8933" spans="7:7">
      <c r="G8933" s="812"/>
    </row>
    <row r="8934" spans="7:7">
      <c r="G8934" s="812"/>
    </row>
    <row r="8935" spans="7:7">
      <c r="G8935" s="812"/>
    </row>
    <row r="8936" spans="7:7">
      <c r="G8936" s="812"/>
    </row>
    <row r="8937" spans="7:7">
      <c r="G8937" s="812"/>
    </row>
    <row r="8938" spans="7:7">
      <c r="G8938" s="812"/>
    </row>
    <row r="8939" spans="7:7">
      <c r="G8939" s="812"/>
    </row>
    <row r="8940" spans="7:7">
      <c r="G8940" s="812"/>
    </row>
    <row r="8941" spans="7:7">
      <c r="G8941" s="812"/>
    </row>
    <row r="8942" spans="7:7">
      <c r="G8942" s="812"/>
    </row>
    <row r="8943" spans="7:7">
      <c r="G8943" s="812"/>
    </row>
    <row r="8944" spans="7:7">
      <c r="G8944" s="812"/>
    </row>
    <row r="8945" spans="7:7">
      <c r="G8945" s="812"/>
    </row>
    <row r="8946" spans="7:7">
      <c r="G8946" s="812"/>
    </row>
    <row r="8947" spans="7:7">
      <c r="G8947" s="812"/>
    </row>
    <row r="8948" spans="7:7">
      <c r="G8948" s="812"/>
    </row>
    <row r="8949" spans="7:7">
      <c r="G8949" s="812"/>
    </row>
    <row r="8950" spans="7:7">
      <c r="G8950" s="812"/>
    </row>
    <row r="8951" spans="7:7">
      <c r="G8951" s="812"/>
    </row>
    <row r="8952" spans="7:7">
      <c r="G8952" s="812"/>
    </row>
    <row r="8953" spans="7:7">
      <c r="G8953" s="812"/>
    </row>
    <row r="8954" spans="7:7">
      <c r="G8954" s="812"/>
    </row>
    <row r="8955" spans="7:7">
      <c r="G8955" s="812"/>
    </row>
    <row r="8956" spans="7:7">
      <c r="G8956" s="812"/>
    </row>
    <row r="8957" spans="7:7">
      <c r="G8957" s="812"/>
    </row>
    <row r="8958" spans="7:7">
      <c r="G8958" s="812"/>
    </row>
    <row r="8959" spans="7:7">
      <c r="G8959" s="812"/>
    </row>
    <row r="8960" spans="7:7">
      <c r="G8960" s="812"/>
    </row>
    <row r="8961" spans="7:7">
      <c r="G8961" s="812"/>
    </row>
    <row r="8962" spans="7:7">
      <c r="G8962" s="812"/>
    </row>
    <row r="8963" spans="7:7">
      <c r="G8963" s="812"/>
    </row>
    <row r="8964" spans="7:7">
      <c r="G8964" s="812"/>
    </row>
    <row r="8965" spans="7:7">
      <c r="G8965" s="812"/>
    </row>
    <row r="8966" spans="7:7">
      <c r="G8966" s="812"/>
    </row>
    <row r="8967" spans="7:7">
      <c r="G8967" s="812"/>
    </row>
    <row r="8968" spans="7:7">
      <c r="G8968" s="812"/>
    </row>
    <row r="8969" spans="7:7">
      <c r="G8969" s="812"/>
    </row>
    <row r="8970" spans="7:7">
      <c r="G8970" s="812"/>
    </row>
    <row r="8971" spans="7:7">
      <c r="G8971" s="812"/>
    </row>
    <row r="8972" spans="7:7">
      <c r="G8972" s="812"/>
    </row>
    <row r="8973" spans="7:7">
      <c r="G8973" s="812"/>
    </row>
    <row r="8974" spans="7:7">
      <c r="G8974" s="812"/>
    </row>
    <row r="8975" spans="7:7">
      <c r="G8975" s="812"/>
    </row>
    <row r="8976" spans="7:7">
      <c r="G8976" s="812"/>
    </row>
    <row r="8977" spans="7:7">
      <c r="G8977" s="812"/>
    </row>
    <row r="8978" spans="7:7">
      <c r="G8978" s="812"/>
    </row>
    <row r="8979" spans="7:7">
      <c r="G8979" s="812"/>
    </row>
    <row r="8980" spans="7:7">
      <c r="G8980" s="812"/>
    </row>
    <row r="8981" spans="7:7">
      <c r="G8981" s="812"/>
    </row>
    <row r="8982" spans="7:7">
      <c r="G8982" s="812"/>
    </row>
    <row r="8983" spans="7:7">
      <c r="G8983" s="812"/>
    </row>
    <row r="8984" spans="7:7">
      <c r="G8984" s="812"/>
    </row>
    <row r="8985" spans="7:7">
      <c r="G8985" s="812"/>
    </row>
    <row r="8986" spans="7:7">
      <c r="G8986" s="812"/>
    </row>
    <row r="8987" spans="7:7">
      <c r="G8987" s="812"/>
    </row>
    <row r="8988" spans="7:7">
      <c r="G8988" s="812"/>
    </row>
    <row r="8989" spans="7:7">
      <c r="G8989" s="812"/>
    </row>
    <row r="8990" spans="7:7">
      <c r="G8990" s="812"/>
    </row>
    <row r="8991" spans="7:7">
      <c r="G8991" s="812"/>
    </row>
    <row r="8992" spans="7:7">
      <c r="G8992" s="812"/>
    </row>
    <row r="8993" spans="7:7">
      <c r="G8993" s="812"/>
    </row>
    <row r="8994" spans="7:7">
      <c r="G8994" s="812"/>
    </row>
    <row r="8995" spans="7:7">
      <c r="G8995" s="812"/>
    </row>
    <row r="8996" spans="7:7">
      <c r="G8996" s="812"/>
    </row>
    <row r="8997" spans="7:7">
      <c r="G8997" s="812"/>
    </row>
    <row r="8998" spans="7:7">
      <c r="G8998" s="812"/>
    </row>
    <row r="8999" spans="7:7">
      <c r="G8999" s="812"/>
    </row>
    <row r="9000" spans="7:7">
      <c r="G9000" s="812"/>
    </row>
    <row r="9001" spans="7:7">
      <c r="G9001" s="812"/>
    </row>
    <row r="9002" spans="7:7">
      <c r="G9002" s="812"/>
    </row>
    <row r="9003" spans="7:7">
      <c r="G9003" s="812"/>
    </row>
    <row r="9004" spans="7:7">
      <c r="G9004" s="812"/>
    </row>
    <row r="9005" spans="7:7">
      <c r="G9005" s="812"/>
    </row>
    <row r="9006" spans="7:7">
      <c r="G9006" s="812"/>
    </row>
    <row r="9007" spans="7:7">
      <c r="G9007" s="812"/>
    </row>
    <row r="9008" spans="7:7">
      <c r="G9008" s="812"/>
    </row>
    <row r="9009" spans="7:7">
      <c r="G9009" s="812"/>
    </row>
    <row r="9010" spans="7:7">
      <c r="G9010" s="812"/>
    </row>
    <row r="9011" spans="7:7">
      <c r="G9011" s="812"/>
    </row>
    <row r="9012" spans="7:7">
      <c r="G9012" s="812"/>
    </row>
    <row r="9013" spans="7:7">
      <c r="G9013" s="812"/>
    </row>
    <row r="9014" spans="7:7">
      <c r="G9014" s="812"/>
    </row>
    <row r="9015" spans="7:7">
      <c r="G9015" s="812"/>
    </row>
    <row r="9016" spans="7:7">
      <c r="G9016" s="812"/>
    </row>
    <row r="9017" spans="7:7">
      <c r="G9017" s="812"/>
    </row>
    <row r="9018" spans="7:7">
      <c r="G9018" s="812"/>
    </row>
    <row r="9019" spans="7:7">
      <c r="G9019" s="812"/>
    </row>
    <row r="9020" spans="7:7">
      <c r="G9020" s="812"/>
    </row>
    <row r="9021" spans="7:7">
      <c r="G9021" s="812"/>
    </row>
    <row r="9022" spans="7:7">
      <c r="G9022" s="812"/>
    </row>
    <row r="9023" spans="7:7">
      <c r="G9023" s="812"/>
    </row>
    <row r="9024" spans="7:7">
      <c r="G9024" s="812"/>
    </row>
    <row r="9025" spans="7:7">
      <c r="G9025" s="812"/>
    </row>
    <row r="9026" spans="7:7">
      <c r="G9026" s="812"/>
    </row>
    <row r="9027" spans="7:7">
      <c r="G9027" s="812"/>
    </row>
    <row r="9028" spans="7:7">
      <c r="G9028" s="812"/>
    </row>
    <row r="9029" spans="7:7">
      <c r="G9029" s="812"/>
    </row>
    <row r="9030" spans="7:7">
      <c r="G9030" s="812"/>
    </row>
    <row r="9031" spans="7:7">
      <c r="G9031" s="812"/>
    </row>
    <row r="9032" spans="7:7">
      <c r="G9032" s="812"/>
    </row>
    <row r="9033" spans="7:7">
      <c r="G9033" s="812"/>
    </row>
    <row r="9034" spans="7:7">
      <c r="G9034" s="812"/>
    </row>
    <row r="9035" spans="7:7">
      <c r="G9035" s="812"/>
    </row>
    <row r="9036" spans="7:7">
      <c r="G9036" s="812"/>
    </row>
    <row r="9037" spans="7:7">
      <c r="G9037" s="812"/>
    </row>
    <row r="9038" spans="7:7">
      <c r="G9038" s="812"/>
    </row>
    <row r="9039" spans="7:7">
      <c r="G9039" s="812"/>
    </row>
    <row r="9040" spans="7:7">
      <c r="G9040" s="812"/>
    </row>
    <row r="9041" spans="7:7">
      <c r="G9041" s="812"/>
    </row>
    <row r="9042" spans="7:7">
      <c r="G9042" s="812"/>
    </row>
    <row r="9043" spans="7:7">
      <c r="G9043" s="812"/>
    </row>
    <row r="9044" spans="7:7">
      <c r="G9044" s="812"/>
    </row>
    <row r="9045" spans="7:7">
      <c r="G9045" s="812"/>
    </row>
    <row r="9046" spans="7:7">
      <c r="G9046" s="812"/>
    </row>
    <row r="9047" spans="7:7">
      <c r="G9047" s="812"/>
    </row>
    <row r="9048" spans="7:7">
      <c r="G9048" s="812"/>
    </row>
    <row r="9049" spans="7:7">
      <c r="G9049" s="812"/>
    </row>
    <row r="9050" spans="7:7">
      <c r="G9050" s="812"/>
    </row>
    <row r="9051" spans="7:7">
      <c r="G9051" s="812"/>
    </row>
    <row r="9052" spans="7:7">
      <c r="G9052" s="812"/>
    </row>
    <row r="9053" spans="7:7">
      <c r="G9053" s="812"/>
    </row>
    <row r="9054" spans="7:7">
      <c r="G9054" s="812"/>
    </row>
    <row r="9055" spans="7:7">
      <c r="G9055" s="812"/>
    </row>
    <row r="9056" spans="7:7">
      <c r="G9056" s="812"/>
    </row>
    <row r="9057" spans="7:7">
      <c r="G9057" s="812"/>
    </row>
    <row r="9058" spans="7:7">
      <c r="G9058" s="812"/>
    </row>
    <row r="9059" spans="7:7">
      <c r="G9059" s="812"/>
    </row>
    <row r="9060" spans="7:7">
      <c r="G9060" s="812"/>
    </row>
    <row r="9061" spans="7:7">
      <c r="G9061" s="812"/>
    </row>
    <row r="9062" spans="7:7">
      <c r="G9062" s="812"/>
    </row>
    <row r="9063" spans="7:7">
      <c r="G9063" s="812"/>
    </row>
    <row r="9064" spans="7:7">
      <c r="G9064" s="812"/>
    </row>
    <row r="9065" spans="7:7">
      <c r="G9065" s="812"/>
    </row>
    <row r="9066" spans="7:7">
      <c r="G9066" s="812"/>
    </row>
    <row r="9067" spans="7:7">
      <c r="G9067" s="812"/>
    </row>
    <row r="9068" spans="7:7">
      <c r="G9068" s="812"/>
    </row>
    <row r="9069" spans="7:7">
      <c r="G9069" s="812"/>
    </row>
    <row r="9070" spans="7:7">
      <c r="G9070" s="812"/>
    </row>
    <row r="9071" spans="7:7">
      <c r="G9071" s="812"/>
    </row>
    <row r="9072" spans="7:7">
      <c r="G9072" s="812"/>
    </row>
    <row r="9073" spans="7:7">
      <c r="G9073" s="812"/>
    </row>
    <row r="9074" spans="7:7">
      <c r="G9074" s="812"/>
    </row>
    <row r="9075" spans="7:7">
      <c r="G9075" s="812"/>
    </row>
    <row r="9076" spans="7:7">
      <c r="G9076" s="812"/>
    </row>
    <row r="9077" spans="7:7">
      <c r="G9077" s="812"/>
    </row>
    <row r="9078" spans="7:7">
      <c r="G9078" s="812"/>
    </row>
    <row r="9079" spans="7:7">
      <c r="G9079" s="812"/>
    </row>
    <row r="9080" spans="7:7">
      <c r="G9080" s="812"/>
    </row>
    <row r="9081" spans="7:7">
      <c r="G9081" s="812"/>
    </row>
    <row r="9082" spans="7:7">
      <c r="G9082" s="812"/>
    </row>
    <row r="9083" spans="7:7">
      <c r="G9083" s="812"/>
    </row>
    <row r="9084" spans="7:7">
      <c r="G9084" s="812"/>
    </row>
    <row r="9085" spans="7:7">
      <c r="G9085" s="812"/>
    </row>
    <row r="9086" spans="7:7">
      <c r="G9086" s="812"/>
    </row>
    <row r="9087" spans="7:7">
      <c r="G9087" s="812"/>
    </row>
    <row r="9088" spans="7:7">
      <c r="G9088" s="812"/>
    </row>
    <row r="9089" spans="7:7">
      <c r="G9089" s="812"/>
    </row>
    <row r="9090" spans="7:7">
      <c r="G9090" s="812"/>
    </row>
    <row r="9091" spans="7:7">
      <c r="G9091" s="812"/>
    </row>
    <row r="9092" spans="7:7">
      <c r="G9092" s="812"/>
    </row>
    <row r="9093" spans="7:7">
      <c r="G9093" s="812"/>
    </row>
    <row r="9094" spans="7:7">
      <c r="G9094" s="812"/>
    </row>
    <row r="9095" spans="7:7">
      <c r="G9095" s="812"/>
    </row>
    <row r="9096" spans="7:7">
      <c r="G9096" s="812"/>
    </row>
    <row r="9097" spans="7:7">
      <c r="G9097" s="812"/>
    </row>
    <row r="9098" spans="7:7">
      <c r="G9098" s="812"/>
    </row>
    <row r="9099" spans="7:7">
      <c r="G9099" s="812"/>
    </row>
    <row r="9100" spans="7:7">
      <c r="G9100" s="812"/>
    </row>
    <row r="9101" spans="7:7">
      <c r="G9101" s="812"/>
    </row>
    <row r="9102" spans="7:7">
      <c r="G9102" s="812"/>
    </row>
    <row r="9103" spans="7:7">
      <c r="G9103" s="812"/>
    </row>
    <row r="9104" spans="7:7">
      <c r="G9104" s="812"/>
    </row>
    <row r="9105" spans="7:7">
      <c r="G9105" s="812"/>
    </row>
    <row r="9106" spans="7:7">
      <c r="G9106" s="812"/>
    </row>
    <row r="9107" spans="7:7">
      <c r="G9107" s="812"/>
    </row>
    <row r="9108" spans="7:7">
      <c r="G9108" s="812"/>
    </row>
    <row r="9109" spans="7:7">
      <c r="G9109" s="812"/>
    </row>
    <row r="9110" spans="7:7">
      <c r="G9110" s="812"/>
    </row>
    <row r="9111" spans="7:7">
      <c r="G9111" s="812"/>
    </row>
    <row r="9112" spans="7:7">
      <c r="G9112" s="812"/>
    </row>
    <row r="9113" spans="7:7">
      <c r="G9113" s="812"/>
    </row>
    <row r="9114" spans="7:7">
      <c r="G9114" s="812"/>
    </row>
    <row r="9115" spans="7:7">
      <c r="G9115" s="812"/>
    </row>
    <row r="9116" spans="7:7">
      <c r="G9116" s="812"/>
    </row>
    <row r="9117" spans="7:7">
      <c r="G9117" s="812"/>
    </row>
    <row r="9118" spans="7:7">
      <c r="G9118" s="812"/>
    </row>
    <row r="9119" spans="7:7">
      <c r="G9119" s="812"/>
    </row>
    <row r="9120" spans="7:7">
      <c r="G9120" s="812"/>
    </row>
    <row r="9121" spans="7:7">
      <c r="G9121" s="812"/>
    </row>
    <row r="9122" spans="7:7">
      <c r="G9122" s="812"/>
    </row>
    <row r="9123" spans="7:7">
      <c r="G9123" s="812"/>
    </row>
    <row r="9124" spans="7:7">
      <c r="G9124" s="812"/>
    </row>
    <row r="9125" spans="7:7">
      <c r="G9125" s="812"/>
    </row>
    <row r="9126" spans="7:7">
      <c r="G9126" s="812"/>
    </row>
    <row r="9127" spans="7:7">
      <c r="G9127" s="812"/>
    </row>
    <row r="9128" spans="7:7">
      <c r="G9128" s="812"/>
    </row>
    <row r="9129" spans="7:7">
      <c r="G9129" s="812"/>
    </row>
    <row r="9130" spans="7:7">
      <c r="G9130" s="812"/>
    </row>
    <row r="9131" spans="7:7">
      <c r="G9131" s="812"/>
    </row>
    <row r="9132" spans="7:7">
      <c r="G9132" s="812"/>
    </row>
    <row r="9133" spans="7:7">
      <c r="G9133" s="812"/>
    </row>
    <row r="9134" spans="7:7">
      <c r="G9134" s="812"/>
    </row>
    <row r="9135" spans="7:7">
      <c r="G9135" s="812"/>
    </row>
    <row r="9136" spans="7:7">
      <c r="G9136" s="812"/>
    </row>
    <row r="9137" spans="7:7">
      <c r="G9137" s="812"/>
    </row>
    <row r="9138" spans="7:7">
      <c r="G9138" s="812"/>
    </row>
    <row r="9139" spans="7:7">
      <c r="G9139" s="812"/>
    </row>
    <row r="9140" spans="7:7">
      <c r="G9140" s="812"/>
    </row>
    <row r="9141" spans="7:7">
      <c r="G9141" s="812"/>
    </row>
    <row r="9142" spans="7:7">
      <c r="G9142" s="812"/>
    </row>
    <row r="9143" spans="7:7">
      <c r="G9143" s="812"/>
    </row>
    <row r="9144" spans="7:7">
      <c r="G9144" s="812"/>
    </row>
    <row r="9145" spans="7:7">
      <c r="G9145" s="812"/>
    </row>
    <row r="9146" spans="7:7">
      <c r="G9146" s="812"/>
    </row>
    <row r="9147" spans="7:7">
      <c r="G9147" s="812"/>
    </row>
    <row r="9148" spans="7:7">
      <c r="G9148" s="812"/>
    </row>
    <row r="9149" spans="7:7">
      <c r="G9149" s="812"/>
    </row>
    <row r="9150" spans="7:7">
      <c r="G9150" s="812"/>
    </row>
    <row r="9151" spans="7:7">
      <c r="G9151" s="812"/>
    </row>
    <row r="9152" spans="7:7">
      <c r="G9152" s="812"/>
    </row>
    <row r="9153" spans="7:7">
      <c r="G9153" s="812"/>
    </row>
    <row r="9154" spans="7:7">
      <c r="G9154" s="812"/>
    </row>
    <row r="9155" spans="7:7">
      <c r="G9155" s="812"/>
    </row>
    <row r="9156" spans="7:7">
      <c r="G9156" s="812"/>
    </row>
    <row r="9157" spans="7:7">
      <c r="G9157" s="812"/>
    </row>
    <row r="9158" spans="7:7">
      <c r="G9158" s="812"/>
    </row>
    <row r="9159" spans="7:7">
      <c r="G9159" s="812"/>
    </row>
    <row r="9160" spans="7:7">
      <c r="G9160" s="812"/>
    </row>
    <row r="9161" spans="7:7">
      <c r="G9161" s="812"/>
    </row>
    <row r="9162" spans="7:7">
      <c r="G9162" s="812"/>
    </row>
    <row r="9163" spans="7:7">
      <c r="G9163" s="812"/>
    </row>
    <row r="9164" spans="7:7">
      <c r="G9164" s="812"/>
    </row>
    <row r="9165" spans="7:7">
      <c r="G9165" s="812"/>
    </row>
    <row r="9166" spans="7:7">
      <c r="G9166" s="812"/>
    </row>
    <row r="9167" spans="7:7">
      <c r="G9167" s="812"/>
    </row>
    <row r="9168" spans="7:7">
      <c r="G9168" s="812"/>
    </row>
    <row r="9169" spans="7:7">
      <c r="G9169" s="812"/>
    </row>
    <row r="9170" spans="7:7">
      <c r="G9170" s="812"/>
    </row>
    <row r="9171" spans="7:7">
      <c r="G9171" s="812"/>
    </row>
    <row r="9172" spans="7:7">
      <c r="G9172" s="812"/>
    </row>
    <row r="9173" spans="7:7">
      <c r="G9173" s="812"/>
    </row>
    <row r="9174" spans="7:7">
      <c r="G9174" s="812"/>
    </row>
    <row r="9175" spans="7:7">
      <c r="G9175" s="812"/>
    </row>
    <row r="9176" spans="7:7">
      <c r="G9176" s="812"/>
    </row>
    <row r="9177" spans="7:7">
      <c r="G9177" s="812"/>
    </row>
    <row r="9178" spans="7:7">
      <c r="G9178" s="812"/>
    </row>
    <row r="9179" spans="7:7">
      <c r="G9179" s="812"/>
    </row>
    <row r="9180" spans="7:7">
      <c r="G9180" s="812"/>
    </row>
    <row r="9181" spans="7:7">
      <c r="G9181" s="812"/>
    </row>
    <row r="9182" spans="7:7">
      <c r="G9182" s="812"/>
    </row>
    <row r="9183" spans="7:7">
      <c r="G9183" s="812"/>
    </row>
    <row r="9184" spans="7:7">
      <c r="G9184" s="812"/>
    </row>
    <row r="9185" spans="7:7">
      <c r="G9185" s="812"/>
    </row>
    <row r="9186" spans="7:7">
      <c r="G9186" s="812"/>
    </row>
    <row r="9187" spans="7:7">
      <c r="G9187" s="812"/>
    </row>
    <row r="9188" spans="7:7">
      <c r="G9188" s="812"/>
    </row>
    <row r="9189" spans="7:7">
      <c r="G9189" s="812"/>
    </row>
    <row r="9190" spans="7:7">
      <c r="G9190" s="812"/>
    </row>
    <row r="9191" spans="7:7">
      <c r="G9191" s="812"/>
    </row>
    <row r="9192" spans="7:7">
      <c r="G9192" s="812"/>
    </row>
    <row r="9193" spans="7:7">
      <c r="G9193" s="812"/>
    </row>
    <row r="9194" spans="7:7">
      <c r="G9194" s="812"/>
    </row>
    <row r="9195" spans="7:7">
      <c r="G9195" s="812"/>
    </row>
    <row r="9196" spans="7:7">
      <c r="G9196" s="812"/>
    </row>
    <row r="9197" spans="7:7">
      <c r="G9197" s="812"/>
    </row>
    <row r="9198" spans="7:7">
      <c r="G9198" s="812"/>
    </row>
    <row r="9199" spans="7:7">
      <c r="G9199" s="812"/>
    </row>
    <row r="9200" spans="7:7">
      <c r="G9200" s="812"/>
    </row>
    <row r="9201" spans="7:7">
      <c r="G9201" s="812"/>
    </row>
    <row r="9202" spans="7:7">
      <c r="G9202" s="812"/>
    </row>
    <row r="9203" spans="7:7">
      <c r="G9203" s="812"/>
    </row>
    <row r="9204" spans="7:7">
      <c r="G9204" s="812"/>
    </row>
    <row r="9205" spans="7:7">
      <c r="G9205" s="812"/>
    </row>
    <row r="9206" spans="7:7">
      <c r="G9206" s="812"/>
    </row>
    <row r="9207" spans="7:7">
      <c r="G9207" s="812"/>
    </row>
    <row r="9208" spans="7:7">
      <c r="G9208" s="812"/>
    </row>
    <row r="9209" spans="7:7">
      <c r="G9209" s="812"/>
    </row>
    <row r="9210" spans="7:7">
      <c r="G9210" s="812"/>
    </row>
    <row r="9211" spans="7:7">
      <c r="G9211" s="812"/>
    </row>
    <row r="9212" spans="7:7">
      <c r="G9212" s="812"/>
    </row>
    <row r="9213" spans="7:7">
      <c r="G9213" s="812"/>
    </row>
    <row r="9214" spans="7:7">
      <c r="G9214" s="812"/>
    </row>
    <row r="9215" spans="7:7">
      <c r="G9215" s="812"/>
    </row>
    <row r="9216" spans="7:7">
      <c r="G9216" s="812"/>
    </row>
    <row r="9217" spans="7:7">
      <c r="G9217" s="812"/>
    </row>
    <row r="9218" spans="7:7">
      <c r="G9218" s="812"/>
    </row>
    <row r="9219" spans="7:7">
      <c r="G9219" s="812"/>
    </row>
    <row r="9220" spans="7:7">
      <c r="G9220" s="812"/>
    </row>
    <row r="9221" spans="7:7">
      <c r="G9221" s="812"/>
    </row>
    <row r="9222" spans="7:7">
      <c r="G9222" s="812"/>
    </row>
    <row r="9223" spans="7:7">
      <c r="G9223" s="812"/>
    </row>
    <row r="9224" spans="7:7">
      <c r="G9224" s="812"/>
    </row>
    <row r="9225" spans="7:7">
      <c r="G9225" s="812"/>
    </row>
    <row r="9226" spans="7:7">
      <c r="G9226" s="812"/>
    </row>
    <row r="9227" spans="7:7">
      <c r="G9227" s="812"/>
    </row>
    <row r="9228" spans="7:7">
      <c r="G9228" s="812"/>
    </row>
    <row r="9229" spans="7:7">
      <c r="G9229" s="812"/>
    </row>
    <row r="9230" spans="7:7">
      <c r="G9230" s="812"/>
    </row>
    <row r="9231" spans="7:7">
      <c r="G9231" s="812"/>
    </row>
    <row r="9232" spans="7:7">
      <c r="G9232" s="812"/>
    </row>
    <row r="9233" spans="7:7">
      <c r="G9233" s="812"/>
    </row>
    <row r="9234" spans="7:7">
      <c r="G9234" s="812"/>
    </row>
    <row r="9235" spans="7:7">
      <c r="G9235" s="812"/>
    </row>
    <row r="9236" spans="7:7">
      <c r="G9236" s="812"/>
    </row>
    <row r="9237" spans="7:7">
      <c r="G9237" s="812"/>
    </row>
    <row r="9238" spans="7:7">
      <c r="G9238" s="812"/>
    </row>
    <row r="9239" spans="7:7">
      <c r="G9239" s="812"/>
    </row>
    <row r="9240" spans="7:7">
      <c r="G9240" s="812"/>
    </row>
    <row r="9241" spans="7:7">
      <c r="G9241" s="812"/>
    </row>
    <row r="9242" spans="7:7">
      <c r="G9242" s="812"/>
    </row>
    <row r="9243" spans="7:7">
      <c r="G9243" s="812"/>
    </row>
    <row r="9244" spans="7:7">
      <c r="G9244" s="812"/>
    </row>
    <row r="9245" spans="7:7">
      <c r="G9245" s="812"/>
    </row>
    <row r="9246" spans="7:7">
      <c r="G9246" s="812"/>
    </row>
    <row r="9247" spans="7:7">
      <c r="G9247" s="812"/>
    </row>
    <row r="9248" spans="7:7">
      <c r="G9248" s="812"/>
    </row>
    <row r="9249" spans="7:7">
      <c r="G9249" s="812"/>
    </row>
    <row r="9250" spans="7:7">
      <c r="G9250" s="812"/>
    </row>
    <row r="9251" spans="7:7">
      <c r="G9251" s="812"/>
    </row>
    <row r="9252" spans="7:7">
      <c r="G9252" s="812"/>
    </row>
    <row r="9253" spans="7:7">
      <c r="G9253" s="812"/>
    </row>
    <row r="9254" spans="7:7">
      <c r="G9254" s="812"/>
    </row>
    <row r="9255" spans="7:7">
      <c r="G9255" s="812"/>
    </row>
    <row r="9256" spans="7:7">
      <c r="G9256" s="812"/>
    </row>
    <row r="9257" spans="7:7">
      <c r="G9257" s="812"/>
    </row>
    <row r="9258" spans="7:7">
      <c r="G9258" s="812"/>
    </row>
    <row r="9259" spans="7:7">
      <c r="G9259" s="812"/>
    </row>
    <row r="9260" spans="7:7">
      <c r="G9260" s="812"/>
    </row>
    <row r="9261" spans="7:7">
      <c r="G9261" s="812"/>
    </row>
    <row r="9262" spans="7:7">
      <c r="G9262" s="812"/>
    </row>
    <row r="9263" spans="7:7">
      <c r="G9263" s="812"/>
    </row>
    <row r="9264" spans="7:7">
      <c r="G9264" s="812"/>
    </row>
    <row r="9265" spans="7:7">
      <c r="G9265" s="812"/>
    </row>
    <row r="9266" spans="7:7">
      <c r="G9266" s="812"/>
    </row>
    <row r="9267" spans="7:7">
      <c r="G9267" s="812"/>
    </row>
    <row r="9268" spans="7:7">
      <c r="G9268" s="812"/>
    </row>
    <row r="9269" spans="7:7">
      <c r="G9269" s="812"/>
    </row>
    <row r="9270" spans="7:7">
      <c r="G9270" s="812"/>
    </row>
    <row r="9271" spans="7:7">
      <c r="G9271" s="812"/>
    </row>
    <row r="9272" spans="7:7">
      <c r="G9272" s="812"/>
    </row>
    <row r="9273" spans="7:7">
      <c r="G9273" s="812"/>
    </row>
    <row r="9274" spans="7:7">
      <c r="G9274" s="812"/>
    </row>
    <row r="9275" spans="7:7">
      <c r="G9275" s="812"/>
    </row>
    <row r="9276" spans="7:7">
      <c r="G9276" s="812"/>
    </row>
    <row r="9277" spans="7:7">
      <c r="G9277" s="812"/>
    </row>
    <row r="9278" spans="7:7">
      <c r="G9278" s="812"/>
    </row>
    <row r="9279" spans="7:7">
      <c r="G9279" s="812"/>
    </row>
    <row r="9280" spans="7:7">
      <c r="G9280" s="812"/>
    </row>
    <row r="9281" spans="7:7">
      <c r="G9281" s="812"/>
    </row>
    <row r="9282" spans="7:7">
      <c r="G9282" s="812"/>
    </row>
    <row r="9283" spans="7:7">
      <c r="G9283" s="812"/>
    </row>
    <row r="9284" spans="7:7">
      <c r="G9284" s="812"/>
    </row>
    <row r="9285" spans="7:7">
      <c r="G9285" s="812"/>
    </row>
    <row r="9286" spans="7:7">
      <c r="G9286" s="812"/>
    </row>
    <row r="9287" spans="7:7">
      <c r="G9287" s="812"/>
    </row>
    <row r="9288" spans="7:7">
      <c r="G9288" s="812"/>
    </row>
    <row r="9289" spans="7:7">
      <c r="G9289" s="812"/>
    </row>
    <row r="9290" spans="7:7">
      <c r="G9290" s="812"/>
    </row>
    <row r="9291" spans="7:7">
      <c r="G9291" s="812"/>
    </row>
    <row r="9292" spans="7:7">
      <c r="G9292" s="812"/>
    </row>
    <row r="9293" spans="7:7">
      <c r="G9293" s="812"/>
    </row>
    <row r="9294" spans="7:7">
      <c r="G9294" s="812"/>
    </row>
    <row r="9295" spans="7:7">
      <c r="G9295" s="812"/>
    </row>
    <row r="9296" spans="7:7">
      <c r="G9296" s="812"/>
    </row>
    <row r="9297" spans="7:7">
      <c r="G9297" s="812"/>
    </row>
    <row r="9298" spans="7:7">
      <c r="G9298" s="812"/>
    </row>
    <row r="9299" spans="7:7">
      <c r="G9299" s="812"/>
    </row>
    <row r="9300" spans="7:7">
      <c r="G9300" s="812"/>
    </row>
    <row r="9301" spans="7:7">
      <c r="G9301" s="812"/>
    </row>
    <row r="9302" spans="7:7">
      <c r="G9302" s="812"/>
    </row>
    <row r="9303" spans="7:7">
      <c r="G9303" s="812"/>
    </row>
    <row r="9304" spans="7:7">
      <c r="G9304" s="812"/>
    </row>
    <row r="9305" spans="7:7">
      <c r="G9305" s="812"/>
    </row>
    <row r="9306" spans="7:7">
      <c r="G9306" s="812"/>
    </row>
    <row r="9307" spans="7:7">
      <c r="G9307" s="812"/>
    </row>
    <row r="9308" spans="7:7">
      <c r="G9308" s="812"/>
    </row>
    <row r="9309" spans="7:7">
      <c r="G9309" s="812"/>
    </row>
    <row r="9310" spans="7:7">
      <c r="G9310" s="812"/>
    </row>
    <row r="9311" spans="7:7">
      <c r="G9311" s="812"/>
    </row>
    <row r="9312" spans="7:7">
      <c r="G9312" s="812"/>
    </row>
    <row r="9313" spans="7:7">
      <c r="G9313" s="812"/>
    </row>
    <row r="9314" spans="7:7">
      <c r="G9314" s="812"/>
    </row>
    <row r="9315" spans="7:7">
      <c r="G9315" s="812"/>
    </row>
    <row r="9316" spans="7:7">
      <c r="G9316" s="812"/>
    </row>
    <row r="9317" spans="7:7">
      <c r="G9317" s="812"/>
    </row>
    <row r="9318" spans="7:7">
      <c r="G9318" s="812"/>
    </row>
    <row r="9319" spans="7:7">
      <c r="G9319" s="812"/>
    </row>
    <row r="9320" spans="7:7">
      <c r="G9320" s="812"/>
    </row>
    <row r="9321" spans="7:7">
      <c r="G9321" s="812"/>
    </row>
    <row r="9322" spans="7:7">
      <c r="G9322" s="812"/>
    </row>
    <row r="9323" spans="7:7">
      <c r="G9323" s="812"/>
    </row>
    <row r="9324" spans="7:7">
      <c r="G9324" s="812"/>
    </row>
    <row r="9325" spans="7:7">
      <c r="G9325" s="812"/>
    </row>
    <row r="9326" spans="7:7">
      <c r="G9326" s="812"/>
    </row>
    <row r="9327" spans="7:7">
      <c r="G9327" s="812"/>
    </row>
    <row r="9328" spans="7:7">
      <c r="G9328" s="812"/>
    </row>
    <row r="9329" spans="7:7">
      <c r="G9329" s="812"/>
    </row>
    <row r="9330" spans="7:7">
      <c r="G9330" s="812"/>
    </row>
    <row r="9331" spans="7:7">
      <c r="G9331" s="812"/>
    </row>
    <row r="9332" spans="7:7">
      <c r="G9332" s="812"/>
    </row>
    <row r="9333" spans="7:7">
      <c r="G9333" s="812"/>
    </row>
    <row r="9334" spans="7:7">
      <c r="G9334" s="812"/>
    </row>
    <row r="9335" spans="7:7">
      <c r="G9335" s="812"/>
    </row>
    <row r="9336" spans="7:7">
      <c r="G9336" s="812"/>
    </row>
    <row r="9337" spans="7:7">
      <c r="G9337" s="812"/>
    </row>
    <row r="9338" spans="7:7">
      <c r="G9338" s="812"/>
    </row>
    <row r="9339" spans="7:7">
      <c r="G9339" s="812"/>
    </row>
    <row r="9340" spans="7:7">
      <c r="G9340" s="812"/>
    </row>
    <row r="9341" spans="7:7">
      <c r="G9341" s="812"/>
    </row>
    <row r="9342" spans="7:7">
      <c r="G9342" s="812"/>
    </row>
    <row r="9343" spans="7:7">
      <c r="G9343" s="812"/>
    </row>
    <row r="9344" spans="7:7">
      <c r="G9344" s="812"/>
    </row>
    <row r="9345" spans="7:7">
      <c r="G9345" s="812"/>
    </row>
    <row r="9346" spans="7:7">
      <c r="G9346" s="812"/>
    </row>
    <row r="9347" spans="7:7">
      <c r="G9347" s="812"/>
    </row>
    <row r="9348" spans="7:7">
      <c r="G9348" s="812"/>
    </row>
    <row r="9349" spans="7:7">
      <c r="G9349" s="812"/>
    </row>
    <row r="9350" spans="7:7">
      <c r="G9350" s="812"/>
    </row>
    <row r="9351" spans="7:7">
      <c r="G9351" s="812"/>
    </row>
    <row r="9352" spans="7:7">
      <c r="G9352" s="812"/>
    </row>
    <row r="9353" spans="7:7">
      <c r="G9353" s="812"/>
    </row>
    <row r="9354" spans="7:7">
      <c r="G9354" s="812"/>
    </row>
    <row r="9355" spans="7:7">
      <c r="G9355" s="812"/>
    </row>
    <row r="9356" spans="7:7">
      <c r="G9356" s="812"/>
    </row>
    <row r="9357" spans="7:7">
      <c r="G9357" s="812"/>
    </row>
    <row r="9358" spans="7:7">
      <c r="G9358" s="812"/>
    </row>
    <row r="9359" spans="7:7">
      <c r="G9359" s="812"/>
    </row>
    <row r="9360" spans="7:7">
      <c r="G9360" s="812"/>
    </row>
    <row r="9361" spans="7:7">
      <c r="G9361" s="812"/>
    </row>
    <row r="9362" spans="7:7">
      <c r="G9362" s="812"/>
    </row>
    <row r="9363" spans="7:7">
      <c r="G9363" s="812"/>
    </row>
    <row r="9364" spans="7:7">
      <c r="G9364" s="812"/>
    </row>
    <row r="9365" spans="7:7">
      <c r="G9365" s="812"/>
    </row>
    <row r="9366" spans="7:7">
      <c r="G9366" s="812"/>
    </row>
    <row r="9367" spans="7:7">
      <c r="G9367" s="812"/>
    </row>
    <row r="9368" spans="7:7">
      <c r="G9368" s="812"/>
    </row>
    <row r="9369" spans="7:7">
      <c r="G9369" s="812"/>
    </row>
    <row r="9370" spans="7:7">
      <c r="G9370" s="812"/>
    </row>
    <row r="9371" spans="7:7">
      <c r="G9371" s="812"/>
    </row>
    <row r="9372" spans="7:7">
      <c r="G9372" s="812"/>
    </row>
    <row r="9373" spans="7:7">
      <c r="G9373" s="812"/>
    </row>
    <row r="9374" spans="7:7">
      <c r="G9374" s="812"/>
    </row>
    <row r="9375" spans="7:7">
      <c r="G9375" s="812"/>
    </row>
    <row r="9376" spans="7:7">
      <c r="G9376" s="812"/>
    </row>
    <row r="9377" spans="7:7">
      <c r="G9377" s="812"/>
    </row>
    <row r="9378" spans="7:7">
      <c r="G9378" s="812"/>
    </row>
    <row r="9379" spans="7:7">
      <c r="G9379" s="812"/>
    </row>
    <row r="9380" spans="7:7">
      <c r="G9380" s="812"/>
    </row>
    <row r="9381" spans="7:7">
      <c r="G9381" s="812"/>
    </row>
    <row r="9382" spans="7:7">
      <c r="G9382" s="812"/>
    </row>
    <row r="9383" spans="7:7">
      <c r="G9383" s="812"/>
    </row>
    <row r="9384" spans="7:7">
      <c r="G9384" s="812"/>
    </row>
    <row r="9385" spans="7:7">
      <c r="G9385" s="812"/>
    </row>
    <row r="9386" spans="7:7">
      <c r="G9386" s="812"/>
    </row>
    <row r="9387" spans="7:7">
      <c r="G9387" s="812"/>
    </row>
    <row r="9388" spans="7:7">
      <c r="G9388" s="812"/>
    </row>
    <row r="9389" spans="7:7">
      <c r="G9389" s="812"/>
    </row>
    <row r="9390" spans="7:7">
      <c r="G9390" s="812"/>
    </row>
    <row r="9391" spans="7:7">
      <c r="G9391" s="812"/>
    </row>
    <row r="9392" spans="7:7">
      <c r="G9392" s="812"/>
    </row>
    <row r="9393" spans="7:7">
      <c r="G9393" s="812"/>
    </row>
    <row r="9394" spans="7:7">
      <c r="G9394" s="812"/>
    </row>
    <row r="9395" spans="7:7">
      <c r="G9395" s="812"/>
    </row>
    <row r="9396" spans="7:7">
      <c r="G9396" s="812"/>
    </row>
    <row r="9397" spans="7:7">
      <c r="G9397" s="812"/>
    </row>
    <row r="9398" spans="7:7">
      <c r="G9398" s="812"/>
    </row>
    <row r="9399" spans="7:7">
      <c r="G9399" s="812"/>
    </row>
    <row r="9400" spans="7:7">
      <c r="G9400" s="812"/>
    </row>
    <row r="9401" spans="7:7">
      <c r="G9401" s="812"/>
    </row>
    <row r="9402" spans="7:7">
      <c r="G9402" s="812"/>
    </row>
    <row r="9403" spans="7:7">
      <c r="G9403" s="812"/>
    </row>
    <row r="9404" spans="7:7">
      <c r="G9404" s="812"/>
    </row>
    <row r="9405" spans="7:7">
      <c r="G9405" s="812"/>
    </row>
    <row r="9406" spans="7:7">
      <c r="G9406" s="812"/>
    </row>
    <row r="9407" spans="7:7">
      <c r="G9407" s="812"/>
    </row>
    <row r="9408" spans="7:7">
      <c r="G9408" s="812"/>
    </row>
    <row r="9409" spans="7:7">
      <c r="G9409" s="812"/>
    </row>
    <row r="9410" spans="7:7">
      <c r="G9410" s="812"/>
    </row>
    <row r="9411" spans="7:7">
      <c r="G9411" s="812"/>
    </row>
    <row r="9412" spans="7:7">
      <c r="G9412" s="812"/>
    </row>
    <row r="9413" spans="7:7">
      <c r="G9413" s="812"/>
    </row>
    <row r="9414" spans="7:7">
      <c r="G9414" s="812"/>
    </row>
    <row r="9415" spans="7:7">
      <c r="G9415" s="812"/>
    </row>
    <row r="9416" spans="7:7">
      <c r="G9416" s="812"/>
    </row>
    <row r="9417" spans="7:7">
      <c r="G9417" s="812"/>
    </row>
    <row r="9418" spans="7:7">
      <c r="G9418" s="812"/>
    </row>
    <row r="9419" spans="7:7">
      <c r="G9419" s="812"/>
    </row>
    <row r="9420" spans="7:7">
      <c r="G9420" s="812"/>
    </row>
    <row r="9421" spans="7:7">
      <c r="G9421" s="812"/>
    </row>
    <row r="9422" spans="7:7">
      <c r="G9422" s="812"/>
    </row>
    <row r="9423" spans="7:7">
      <c r="G9423" s="812"/>
    </row>
    <row r="9424" spans="7:7">
      <c r="G9424" s="812"/>
    </row>
    <row r="9425" spans="7:7">
      <c r="G9425" s="812"/>
    </row>
    <row r="9426" spans="7:7">
      <c r="G9426" s="812"/>
    </row>
    <row r="9427" spans="7:7">
      <c r="G9427" s="812"/>
    </row>
    <row r="9428" spans="7:7">
      <c r="G9428" s="812"/>
    </row>
    <row r="9429" spans="7:7">
      <c r="G9429" s="812"/>
    </row>
    <row r="9430" spans="7:7">
      <c r="G9430" s="812"/>
    </row>
    <row r="9431" spans="7:7">
      <c r="G9431" s="812"/>
    </row>
    <row r="9432" spans="7:7">
      <c r="G9432" s="812"/>
    </row>
    <row r="9433" spans="7:7">
      <c r="G9433" s="812"/>
    </row>
    <row r="9434" spans="7:7">
      <c r="G9434" s="812"/>
    </row>
    <row r="9435" spans="7:7">
      <c r="G9435" s="812"/>
    </row>
    <row r="9436" spans="7:7">
      <c r="G9436" s="812"/>
    </row>
    <row r="9437" spans="7:7">
      <c r="G9437" s="812"/>
    </row>
    <row r="9438" spans="7:7">
      <c r="G9438" s="812"/>
    </row>
    <row r="9439" spans="7:7">
      <c r="G9439" s="812"/>
    </row>
    <row r="9440" spans="7:7">
      <c r="G9440" s="812"/>
    </row>
    <row r="9441" spans="7:7">
      <c r="G9441" s="812"/>
    </row>
    <row r="9442" spans="7:7">
      <c r="G9442" s="812"/>
    </row>
    <row r="9443" spans="7:7">
      <c r="G9443" s="812"/>
    </row>
    <row r="9444" spans="7:7">
      <c r="G9444" s="812"/>
    </row>
    <row r="9445" spans="7:7">
      <c r="G9445" s="812"/>
    </row>
    <row r="9446" spans="7:7">
      <c r="G9446" s="812"/>
    </row>
    <row r="9447" spans="7:7">
      <c r="G9447" s="812"/>
    </row>
    <row r="9448" spans="7:7">
      <c r="G9448" s="812"/>
    </row>
    <row r="9449" spans="7:7">
      <c r="G9449" s="812"/>
    </row>
    <row r="9450" spans="7:7">
      <c r="G9450" s="812"/>
    </row>
    <row r="9451" spans="7:7">
      <c r="G9451" s="812"/>
    </row>
    <row r="9452" spans="7:7">
      <c r="G9452" s="812"/>
    </row>
    <row r="9453" spans="7:7">
      <c r="G9453" s="812"/>
    </row>
    <row r="9454" spans="7:7">
      <c r="G9454" s="812"/>
    </row>
    <row r="9455" spans="7:7">
      <c r="G9455" s="812"/>
    </row>
    <row r="9456" spans="7:7">
      <c r="G9456" s="812"/>
    </row>
    <row r="9457" spans="7:7">
      <c r="G9457" s="812"/>
    </row>
    <row r="9458" spans="7:7">
      <c r="G9458" s="812"/>
    </row>
    <row r="9459" spans="7:7">
      <c r="G9459" s="812"/>
    </row>
    <row r="9460" spans="7:7">
      <c r="G9460" s="812"/>
    </row>
    <row r="9461" spans="7:7">
      <c r="G9461" s="812"/>
    </row>
    <row r="9462" spans="7:7">
      <c r="G9462" s="812"/>
    </row>
    <row r="9463" spans="7:7">
      <c r="G9463" s="812"/>
    </row>
    <row r="9464" spans="7:7">
      <c r="G9464" s="812"/>
    </row>
    <row r="9465" spans="7:7">
      <c r="G9465" s="812"/>
    </row>
    <row r="9466" spans="7:7">
      <c r="G9466" s="812"/>
    </row>
    <row r="9467" spans="7:7">
      <c r="G9467" s="812"/>
    </row>
    <row r="9468" spans="7:7">
      <c r="G9468" s="812"/>
    </row>
    <row r="9469" spans="7:7">
      <c r="G9469" s="812"/>
    </row>
    <row r="9470" spans="7:7">
      <c r="G9470" s="812"/>
    </row>
    <row r="9471" spans="7:7">
      <c r="G9471" s="812"/>
    </row>
    <row r="9472" spans="7:7">
      <c r="G9472" s="812"/>
    </row>
    <row r="9473" spans="7:7">
      <c r="G9473" s="812"/>
    </row>
    <row r="9474" spans="7:7">
      <c r="G9474" s="812"/>
    </row>
    <row r="9475" spans="7:7">
      <c r="G9475" s="812"/>
    </row>
    <row r="9476" spans="7:7">
      <c r="G9476" s="812"/>
    </row>
    <row r="9477" spans="7:7">
      <c r="G9477" s="812"/>
    </row>
    <row r="9478" spans="7:7">
      <c r="G9478" s="812"/>
    </row>
    <row r="9479" spans="7:7">
      <c r="G9479" s="812"/>
    </row>
    <row r="9480" spans="7:7">
      <c r="G9480" s="812"/>
    </row>
    <row r="9481" spans="7:7">
      <c r="G9481" s="812"/>
    </row>
    <row r="9482" spans="7:7">
      <c r="G9482" s="812"/>
    </row>
    <row r="9483" spans="7:7">
      <c r="G9483" s="812"/>
    </row>
    <row r="9484" spans="7:7">
      <c r="G9484" s="812"/>
    </row>
    <row r="9485" spans="7:7">
      <c r="G9485" s="812"/>
    </row>
    <row r="9486" spans="7:7">
      <c r="G9486" s="812"/>
    </row>
    <row r="9487" spans="7:7">
      <c r="G9487" s="812"/>
    </row>
    <row r="9488" spans="7:7">
      <c r="G9488" s="812"/>
    </row>
    <row r="9489" spans="7:7">
      <c r="G9489" s="812"/>
    </row>
    <row r="9490" spans="7:7">
      <c r="G9490" s="812"/>
    </row>
    <row r="9491" spans="7:7">
      <c r="G9491" s="812"/>
    </row>
    <row r="9492" spans="7:7">
      <c r="G9492" s="812"/>
    </row>
    <row r="9493" spans="7:7">
      <c r="G9493" s="812"/>
    </row>
    <row r="9494" spans="7:7">
      <c r="G9494" s="812"/>
    </row>
    <row r="9495" spans="7:7">
      <c r="G9495" s="812"/>
    </row>
    <row r="9496" spans="7:7">
      <c r="G9496" s="812"/>
    </row>
    <row r="9497" spans="7:7">
      <c r="G9497" s="812"/>
    </row>
    <row r="9498" spans="7:7">
      <c r="G9498" s="812"/>
    </row>
    <row r="9499" spans="7:7">
      <c r="G9499" s="812"/>
    </row>
    <row r="9500" spans="7:7">
      <c r="G9500" s="812"/>
    </row>
    <row r="9501" spans="7:7">
      <c r="G9501" s="812"/>
    </row>
    <row r="9502" spans="7:7">
      <c r="G9502" s="812"/>
    </row>
    <row r="9503" spans="7:7">
      <c r="G9503" s="812"/>
    </row>
    <row r="9504" spans="7:7">
      <c r="G9504" s="812"/>
    </row>
    <row r="9505" spans="7:7">
      <c r="G9505" s="812"/>
    </row>
    <row r="9506" spans="7:7">
      <c r="G9506" s="812"/>
    </row>
    <row r="9507" spans="7:7">
      <c r="G9507" s="812"/>
    </row>
    <row r="9508" spans="7:7">
      <c r="G9508" s="812"/>
    </row>
    <row r="9509" spans="7:7">
      <c r="G9509" s="812"/>
    </row>
    <row r="9510" spans="7:7">
      <c r="G9510" s="812"/>
    </row>
    <row r="9511" spans="7:7">
      <c r="G9511" s="812"/>
    </row>
    <row r="9512" spans="7:7">
      <c r="G9512" s="812"/>
    </row>
    <row r="9513" spans="7:7">
      <c r="G9513" s="812"/>
    </row>
    <row r="9514" spans="7:7">
      <c r="G9514" s="812"/>
    </row>
    <row r="9515" spans="7:7">
      <c r="G9515" s="812"/>
    </row>
    <row r="9516" spans="7:7">
      <c r="G9516" s="812"/>
    </row>
    <row r="9517" spans="7:7">
      <c r="G9517" s="812"/>
    </row>
    <row r="9518" spans="7:7">
      <c r="G9518" s="812"/>
    </row>
    <row r="9519" spans="7:7">
      <c r="G9519" s="812"/>
    </row>
    <row r="9520" spans="7:7">
      <c r="G9520" s="812"/>
    </row>
    <row r="9521" spans="7:7">
      <c r="G9521" s="812"/>
    </row>
    <row r="9522" spans="7:7">
      <c r="G9522" s="812"/>
    </row>
    <row r="9523" spans="7:7">
      <c r="G9523" s="812"/>
    </row>
    <row r="9524" spans="7:7">
      <c r="G9524" s="812"/>
    </row>
    <row r="9525" spans="7:7">
      <c r="G9525" s="812"/>
    </row>
    <row r="9526" spans="7:7">
      <c r="G9526" s="812"/>
    </row>
    <row r="9527" spans="7:7">
      <c r="G9527" s="812"/>
    </row>
    <row r="9528" spans="7:7">
      <c r="G9528" s="812"/>
    </row>
    <row r="9529" spans="7:7">
      <c r="G9529" s="812"/>
    </row>
    <row r="9530" spans="7:7">
      <c r="G9530" s="812"/>
    </row>
    <row r="9531" spans="7:7">
      <c r="G9531" s="812"/>
    </row>
    <row r="9532" spans="7:7">
      <c r="G9532" s="812"/>
    </row>
    <row r="9533" spans="7:7">
      <c r="G9533" s="812"/>
    </row>
    <row r="9534" spans="7:7">
      <c r="G9534" s="812"/>
    </row>
    <row r="9535" spans="7:7">
      <c r="G9535" s="812"/>
    </row>
    <row r="9536" spans="7:7">
      <c r="G9536" s="812"/>
    </row>
    <row r="9537" spans="7:7">
      <c r="G9537" s="812"/>
    </row>
    <row r="9538" spans="7:7">
      <c r="G9538" s="812"/>
    </row>
    <row r="9539" spans="7:7">
      <c r="G9539" s="812"/>
    </row>
    <row r="9540" spans="7:7">
      <c r="G9540" s="812"/>
    </row>
    <row r="9541" spans="7:7">
      <c r="G9541" s="812"/>
    </row>
    <row r="9542" spans="7:7">
      <c r="G9542" s="812"/>
    </row>
    <row r="9543" spans="7:7">
      <c r="G9543" s="812"/>
    </row>
    <row r="9544" spans="7:7">
      <c r="G9544" s="812"/>
    </row>
    <row r="9545" spans="7:7">
      <c r="G9545" s="812"/>
    </row>
    <row r="9546" spans="7:7">
      <c r="G9546" s="812"/>
    </row>
    <row r="9547" spans="7:7">
      <c r="G9547" s="812"/>
    </row>
    <row r="9548" spans="7:7">
      <c r="G9548" s="812"/>
    </row>
    <row r="9549" spans="7:7">
      <c r="G9549" s="812"/>
    </row>
    <row r="9550" spans="7:7">
      <c r="G9550" s="812"/>
    </row>
    <row r="9551" spans="7:7">
      <c r="G9551" s="812"/>
    </row>
    <row r="9552" spans="7:7">
      <c r="G9552" s="812"/>
    </row>
    <row r="9553" spans="7:7">
      <c r="G9553" s="812"/>
    </row>
    <row r="9554" spans="7:7">
      <c r="G9554" s="812"/>
    </row>
    <row r="9555" spans="7:7">
      <c r="G9555" s="812"/>
    </row>
    <row r="9556" spans="7:7">
      <c r="G9556" s="812"/>
    </row>
    <row r="9557" spans="7:7">
      <c r="G9557" s="812"/>
    </row>
    <row r="9558" spans="7:7">
      <c r="G9558" s="812"/>
    </row>
    <row r="9559" spans="7:7">
      <c r="G9559" s="812"/>
    </row>
    <row r="9560" spans="7:7">
      <c r="G9560" s="812"/>
    </row>
    <row r="9561" spans="7:7">
      <c r="G9561" s="812"/>
    </row>
    <row r="9562" spans="7:7">
      <c r="G9562" s="812"/>
    </row>
    <row r="9563" spans="7:7">
      <c r="G9563" s="812"/>
    </row>
    <row r="9564" spans="7:7">
      <c r="G9564" s="812"/>
    </row>
    <row r="9565" spans="7:7">
      <c r="G9565" s="812"/>
    </row>
    <row r="9566" spans="7:7">
      <c r="G9566" s="812"/>
    </row>
    <row r="9567" spans="7:7">
      <c r="G9567" s="812"/>
    </row>
    <row r="9568" spans="7:7">
      <c r="G9568" s="812"/>
    </row>
    <row r="9569" spans="7:7">
      <c r="G9569" s="812"/>
    </row>
    <row r="9570" spans="7:7">
      <c r="G9570" s="812"/>
    </row>
    <row r="9571" spans="7:7">
      <c r="G9571" s="812"/>
    </row>
    <row r="9572" spans="7:7">
      <c r="G9572" s="812"/>
    </row>
    <row r="9573" spans="7:7">
      <c r="G9573" s="812"/>
    </row>
    <row r="9574" spans="7:7">
      <c r="G9574" s="812"/>
    </row>
    <row r="9575" spans="7:7">
      <c r="G9575" s="812"/>
    </row>
    <row r="9576" spans="7:7">
      <c r="G9576" s="812"/>
    </row>
    <row r="9577" spans="7:7">
      <c r="G9577" s="812"/>
    </row>
    <row r="9578" spans="7:7">
      <c r="G9578" s="812"/>
    </row>
    <row r="9579" spans="7:7">
      <c r="G9579" s="812"/>
    </row>
    <row r="9580" spans="7:7">
      <c r="G9580" s="812"/>
    </row>
    <row r="9581" spans="7:7">
      <c r="G9581" s="812"/>
    </row>
    <row r="9582" spans="7:7">
      <c r="G9582" s="812"/>
    </row>
    <row r="9583" spans="7:7">
      <c r="G9583" s="812"/>
    </row>
    <row r="9584" spans="7:7">
      <c r="G9584" s="812"/>
    </row>
    <row r="9585" spans="7:7">
      <c r="G9585" s="812"/>
    </row>
    <row r="9586" spans="7:7">
      <c r="G9586" s="812"/>
    </row>
    <row r="9587" spans="7:7">
      <c r="G9587" s="812"/>
    </row>
    <row r="9588" spans="7:7">
      <c r="G9588" s="812"/>
    </row>
    <row r="9589" spans="7:7">
      <c r="G9589" s="812"/>
    </row>
    <row r="9590" spans="7:7">
      <c r="G9590" s="812"/>
    </row>
    <row r="9591" spans="7:7">
      <c r="G9591" s="812"/>
    </row>
    <row r="9592" spans="7:7">
      <c r="G9592" s="812"/>
    </row>
    <row r="9593" spans="7:7">
      <c r="G9593" s="812"/>
    </row>
    <row r="9594" spans="7:7">
      <c r="G9594" s="812"/>
    </row>
    <row r="9595" spans="7:7">
      <c r="G9595" s="812"/>
    </row>
    <row r="9596" spans="7:7">
      <c r="G9596" s="812"/>
    </row>
    <row r="9597" spans="7:7">
      <c r="G9597" s="812"/>
    </row>
    <row r="9598" spans="7:7">
      <c r="G9598" s="812"/>
    </row>
    <row r="9599" spans="7:7">
      <c r="G9599" s="812"/>
    </row>
    <row r="9600" spans="7:7">
      <c r="G9600" s="812"/>
    </row>
    <row r="9601" spans="7:7">
      <c r="G9601" s="812"/>
    </row>
    <row r="9602" spans="7:7">
      <c r="G9602" s="812"/>
    </row>
    <row r="9603" spans="7:7">
      <c r="G9603" s="812"/>
    </row>
    <row r="9604" spans="7:7">
      <c r="G9604" s="812"/>
    </row>
    <row r="9605" spans="7:7">
      <c r="G9605" s="812"/>
    </row>
    <row r="9606" spans="7:7">
      <c r="G9606" s="812"/>
    </row>
    <row r="9607" spans="7:7">
      <c r="G9607" s="812"/>
    </row>
    <row r="9608" spans="7:7">
      <c r="G9608" s="812"/>
    </row>
    <row r="9609" spans="7:7">
      <c r="G9609" s="812"/>
    </row>
    <row r="9610" spans="7:7">
      <c r="G9610" s="812"/>
    </row>
    <row r="9611" spans="7:7">
      <c r="G9611" s="812"/>
    </row>
    <row r="9612" spans="7:7">
      <c r="G9612" s="812"/>
    </row>
    <row r="9613" spans="7:7">
      <c r="G9613" s="812"/>
    </row>
    <row r="9614" spans="7:7">
      <c r="G9614" s="812"/>
    </row>
    <row r="9615" spans="7:7">
      <c r="G9615" s="812"/>
    </row>
    <row r="9616" spans="7:7">
      <c r="G9616" s="812"/>
    </row>
    <row r="9617" spans="7:7">
      <c r="G9617" s="812"/>
    </row>
    <row r="9618" spans="7:7">
      <c r="G9618" s="812"/>
    </row>
    <row r="9619" spans="7:7">
      <c r="G9619" s="812"/>
    </row>
    <row r="9620" spans="7:7">
      <c r="G9620" s="812"/>
    </row>
    <row r="9621" spans="7:7">
      <c r="G9621" s="812"/>
    </row>
    <row r="9622" spans="7:7">
      <c r="G9622" s="812"/>
    </row>
    <row r="9623" spans="7:7">
      <c r="G9623" s="812"/>
    </row>
    <row r="9624" spans="7:7">
      <c r="G9624" s="812"/>
    </row>
    <row r="9625" spans="7:7">
      <c r="G9625" s="812"/>
    </row>
    <row r="9626" spans="7:7">
      <c r="G9626" s="812"/>
    </row>
    <row r="9627" spans="7:7">
      <c r="G9627" s="812"/>
    </row>
    <row r="9628" spans="7:7">
      <c r="G9628" s="812"/>
    </row>
    <row r="9629" spans="7:7">
      <c r="G9629" s="812"/>
    </row>
    <row r="9630" spans="7:7">
      <c r="G9630" s="812"/>
    </row>
    <row r="9631" spans="7:7">
      <c r="G9631" s="812"/>
    </row>
    <row r="9632" spans="7:7">
      <c r="G9632" s="812"/>
    </row>
    <row r="9633" spans="7:7">
      <c r="G9633" s="812"/>
    </row>
    <row r="9634" spans="7:7">
      <c r="G9634" s="812"/>
    </row>
    <row r="9635" spans="7:7">
      <c r="G9635" s="812"/>
    </row>
    <row r="9636" spans="7:7">
      <c r="G9636" s="812"/>
    </row>
    <row r="9637" spans="7:7">
      <c r="G9637" s="812"/>
    </row>
    <row r="9638" spans="7:7">
      <c r="G9638" s="812"/>
    </row>
    <row r="9639" spans="7:7">
      <c r="G9639" s="812"/>
    </row>
    <row r="9640" spans="7:7">
      <c r="G9640" s="812"/>
    </row>
    <row r="9641" spans="7:7">
      <c r="G9641" s="812"/>
    </row>
    <row r="9642" spans="7:7">
      <c r="G9642" s="812"/>
    </row>
    <row r="9643" spans="7:7">
      <c r="G9643" s="812"/>
    </row>
    <row r="9644" spans="7:7">
      <c r="G9644" s="812"/>
    </row>
    <row r="9645" spans="7:7">
      <c r="G9645" s="812"/>
    </row>
    <row r="9646" spans="7:7">
      <c r="G9646" s="812"/>
    </row>
    <row r="9647" spans="7:7">
      <c r="G9647" s="812"/>
    </row>
    <row r="9648" spans="7:7">
      <c r="G9648" s="812"/>
    </row>
    <row r="9649" spans="7:7">
      <c r="G9649" s="812"/>
    </row>
    <row r="9650" spans="7:7">
      <c r="G9650" s="812"/>
    </row>
    <row r="9651" spans="7:7">
      <c r="G9651" s="812"/>
    </row>
    <row r="9652" spans="7:7">
      <c r="G9652" s="812"/>
    </row>
    <row r="9653" spans="7:7">
      <c r="G9653" s="812"/>
    </row>
    <row r="9654" spans="7:7">
      <c r="G9654" s="812"/>
    </row>
    <row r="9655" spans="7:7">
      <c r="G9655" s="812"/>
    </row>
    <row r="9656" spans="7:7">
      <c r="G9656" s="812"/>
    </row>
    <row r="9657" spans="7:7">
      <c r="G9657" s="812"/>
    </row>
    <row r="9658" spans="7:7">
      <c r="G9658" s="812"/>
    </row>
    <row r="9659" spans="7:7">
      <c r="G9659" s="812"/>
    </row>
    <row r="9660" spans="7:7">
      <c r="G9660" s="812"/>
    </row>
    <row r="9661" spans="7:7">
      <c r="G9661" s="812"/>
    </row>
    <row r="9662" spans="7:7">
      <c r="G9662" s="812"/>
    </row>
    <row r="9663" spans="7:7">
      <c r="G9663" s="812"/>
    </row>
    <row r="9664" spans="7:7">
      <c r="G9664" s="812"/>
    </row>
    <row r="9665" spans="7:7">
      <c r="G9665" s="812"/>
    </row>
    <row r="9666" spans="7:7">
      <c r="G9666" s="812"/>
    </row>
    <row r="9667" spans="7:7">
      <c r="G9667" s="812"/>
    </row>
    <row r="9668" spans="7:7">
      <c r="G9668" s="812"/>
    </row>
    <row r="9669" spans="7:7">
      <c r="G9669" s="812"/>
    </row>
    <row r="9670" spans="7:7">
      <c r="G9670" s="812"/>
    </row>
    <row r="9671" spans="7:7">
      <c r="G9671" s="812"/>
    </row>
    <row r="9672" spans="7:7">
      <c r="G9672" s="812"/>
    </row>
    <row r="9673" spans="7:7">
      <c r="G9673" s="812"/>
    </row>
    <row r="9674" spans="7:7">
      <c r="G9674" s="812"/>
    </row>
    <row r="9675" spans="7:7">
      <c r="G9675" s="812"/>
    </row>
    <row r="9676" spans="7:7">
      <c r="G9676" s="812"/>
    </row>
    <row r="9677" spans="7:7">
      <c r="G9677" s="812"/>
    </row>
    <row r="9678" spans="7:7">
      <c r="G9678" s="812"/>
    </row>
    <row r="9679" spans="7:7">
      <c r="G9679" s="812"/>
    </row>
    <row r="9680" spans="7:7">
      <c r="G9680" s="812"/>
    </row>
    <row r="9681" spans="7:7">
      <c r="G9681" s="812"/>
    </row>
    <row r="9682" spans="7:7">
      <c r="G9682" s="812"/>
    </row>
    <row r="9683" spans="7:7">
      <c r="G9683" s="812"/>
    </row>
    <row r="9684" spans="7:7">
      <c r="G9684" s="812"/>
    </row>
    <row r="9685" spans="7:7">
      <c r="G9685" s="812"/>
    </row>
    <row r="9686" spans="7:7">
      <c r="G9686" s="812"/>
    </row>
    <row r="9687" spans="7:7">
      <c r="G9687" s="812"/>
    </row>
    <row r="9688" spans="7:7">
      <c r="G9688" s="812"/>
    </row>
    <row r="9689" spans="7:7">
      <c r="G9689" s="812"/>
    </row>
    <row r="9690" spans="7:7">
      <c r="G9690" s="812"/>
    </row>
    <row r="9691" spans="7:7">
      <c r="G9691" s="812"/>
    </row>
    <row r="9692" spans="7:7">
      <c r="G9692" s="812"/>
    </row>
    <row r="9693" spans="7:7">
      <c r="G9693" s="812"/>
    </row>
    <row r="9694" spans="7:7">
      <c r="G9694" s="812"/>
    </row>
    <row r="9695" spans="7:7">
      <c r="G9695" s="812"/>
    </row>
    <row r="9696" spans="7:7">
      <c r="G9696" s="812"/>
    </row>
    <row r="9697" spans="7:7">
      <c r="G9697" s="812"/>
    </row>
    <row r="9698" spans="7:7">
      <c r="G9698" s="812"/>
    </row>
    <row r="9699" spans="7:7">
      <c r="G9699" s="812"/>
    </row>
    <row r="9700" spans="7:7">
      <c r="G9700" s="812"/>
    </row>
    <row r="9701" spans="7:7">
      <c r="G9701" s="812"/>
    </row>
    <row r="9702" spans="7:7">
      <c r="G9702" s="812"/>
    </row>
    <row r="9703" spans="7:7">
      <c r="G9703" s="812"/>
    </row>
    <row r="9704" spans="7:7">
      <c r="G9704" s="812"/>
    </row>
    <row r="9705" spans="7:7">
      <c r="G9705" s="812"/>
    </row>
    <row r="9706" spans="7:7">
      <c r="G9706" s="812"/>
    </row>
    <row r="9707" spans="7:7">
      <c r="G9707" s="812"/>
    </row>
    <row r="9708" spans="7:7">
      <c r="G9708" s="812"/>
    </row>
    <row r="9709" spans="7:7">
      <c r="G9709" s="812"/>
    </row>
    <row r="9710" spans="7:7">
      <c r="G9710" s="812"/>
    </row>
    <row r="9711" spans="7:7">
      <c r="G9711" s="812"/>
    </row>
    <row r="9712" spans="7:7">
      <c r="G9712" s="812"/>
    </row>
    <row r="9713" spans="7:7">
      <c r="G9713" s="812"/>
    </row>
    <row r="9714" spans="7:7">
      <c r="G9714" s="812"/>
    </row>
    <row r="9715" spans="7:7">
      <c r="G9715" s="812"/>
    </row>
    <row r="9716" spans="7:7">
      <c r="G9716" s="812"/>
    </row>
    <row r="9717" spans="7:7">
      <c r="G9717" s="812"/>
    </row>
    <row r="9718" spans="7:7">
      <c r="G9718" s="812"/>
    </row>
    <row r="9719" spans="7:7">
      <c r="G9719" s="812"/>
    </row>
    <row r="9720" spans="7:7">
      <c r="G9720" s="812"/>
    </row>
    <row r="9721" spans="7:7">
      <c r="G9721" s="812"/>
    </row>
    <row r="9722" spans="7:7">
      <c r="G9722" s="812"/>
    </row>
    <row r="9723" spans="7:7">
      <c r="G9723" s="812"/>
    </row>
    <row r="9724" spans="7:7">
      <c r="G9724" s="812"/>
    </row>
    <row r="9725" spans="7:7">
      <c r="G9725" s="812"/>
    </row>
    <row r="9726" spans="7:7">
      <c r="G9726" s="812"/>
    </row>
    <row r="9727" spans="7:7">
      <c r="G9727" s="812"/>
    </row>
    <row r="9728" spans="7:7">
      <c r="G9728" s="812"/>
    </row>
    <row r="9729" spans="7:7">
      <c r="G9729" s="812"/>
    </row>
    <row r="9730" spans="7:7">
      <c r="G9730" s="812"/>
    </row>
    <row r="9731" spans="7:7">
      <c r="G9731" s="812"/>
    </row>
    <row r="9732" spans="7:7">
      <c r="G9732" s="812"/>
    </row>
    <row r="9733" spans="7:7">
      <c r="G9733" s="812"/>
    </row>
    <row r="9734" spans="7:7">
      <c r="G9734" s="812"/>
    </row>
    <row r="9735" spans="7:7">
      <c r="G9735" s="812"/>
    </row>
    <row r="9736" spans="7:7">
      <c r="G9736" s="812"/>
    </row>
    <row r="9737" spans="7:7">
      <c r="G9737" s="812"/>
    </row>
    <row r="9738" spans="7:7">
      <c r="G9738" s="812"/>
    </row>
    <row r="9739" spans="7:7">
      <c r="G9739" s="812"/>
    </row>
    <row r="9740" spans="7:7">
      <c r="G9740" s="812"/>
    </row>
    <row r="9741" spans="7:7">
      <c r="G9741" s="812"/>
    </row>
    <row r="9742" spans="7:7">
      <c r="G9742" s="812"/>
    </row>
    <row r="9743" spans="7:7">
      <c r="G9743" s="812"/>
    </row>
    <row r="9744" spans="7:7">
      <c r="G9744" s="812"/>
    </row>
    <row r="9745" spans="7:7">
      <c r="G9745" s="812"/>
    </row>
    <row r="9746" spans="7:7">
      <c r="G9746" s="812"/>
    </row>
    <row r="9747" spans="7:7">
      <c r="G9747" s="812"/>
    </row>
    <row r="9748" spans="7:7">
      <c r="G9748" s="812"/>
    </row>
    <row r="9749" spans="7:7">
      <c r="G9749" s="812"/>
    </row>
    <row r="9750" spans="7:7">
      <c r="G9750" s="812"/>
    </row>
    <row r="9751" spans="7:7">
      <c r="G9751" s="812"/>
    </row>
    <row r="9752" spans="7:7">
      <c r="G9752" s="812"/>
    </row>
    <row r="9753" spans="7:7">
      <c r="G9753" s="812"/>
    </row>
    <row r="9754" spans="7:7">
      <c r="G9754" s="812"/>
    </row>
    <row r="9755" spans="7:7">
      <c r="G9755" s="812"/>
    </row>
    <row r="9756" spans="7:7">
      <c r="G9756" s="812"/>
    </row>
    <row r="9757" spans="7:7">
      <c r="G9757" s="812"/>
    </row>
    <row r="9758" spans="7:7">
      <c r="G9758" s="812"/>
    </row>
    <row r="9759" spans="7:7">
      <c r="G9759" s="812"/>
    </row>
    <row r="9760" spans="7:7">
      <c r="G9760" s="812"/>
    </row>
    <row r="9761" spans="7:7">
      <c r="G9761" s="812"/>
    </row>
    <row r="9762" spans="7:7">
      <c r="G9762" s="812"/>
    </row>
    <row r="9763" spans="7:7">
      <c r="G9763" s="812"/>
    </row>
    <row r="9764" spans="7:7">
      <c r="G9764" s="812"/>
    </row>
    <row r="9765" spans="7:7">
      <c r="G9765" s="812"/>
    </row>
    <row r="9766" spans="7:7">
      <c r="G9766" s="812"/>
    </row>
    <row r="9767" spans="7:7">
      <c r="G9767" s="812"/>
    </row>
    <row r="9768" spans="7:7">
      <c r="G9768" s="812"/>
    </row>
    <row r="9769" spans="7:7">
      <c r="G9769" s="812"/>
    </row>
    <row r="9770" spans="7:7">
      <c r="G9770" s="812"/>
    </row>
    <row r="9771" spans="7:7">
      <c r="G9771" s="812"/>
    </row>
    <row r="9772" spans="7:7">
      <c r="G9772" s="812"/>
    </row>
    <row r="9773" spans="7:7">
      <c r="G9773" s="812"/>
    </row>
    <row r="9774" spans="7:7">
      <c r="G9774" s="812"/>
    </row>
    <row r="9775" spans="7:7">
      <c r="G9775" s="812"/>
    </row>
    <row r="9776" spans="7:7">
      <c r="G9776" s="812"/>
    </row>
    <row r="9777" spans="7:7">
      <c r="G9777" s="812"/>
    </row>
    <row r="9778" spans="7:7">
      <c r="G9778" s="812"/>
    </row>
    <row r="9779" spans="7:7">
      <c r="G9779" s="812"/>
    </row>
    <row r="9780" spans="7:7">
      <c r="G9780" s="812"/>
    </row>
    <row r="9781" spans="7:7">
      <c r="G9781" s="812"/>
    </row>
    <row r="9782" spans="7:7">
      <c r="G9782" s="812"/>
    </row>
    <row r="9783" spans="7:7">
      <c r="G9783" s="812"/>
    </row>
    <row r="9784" spans="7:7">
      <c r="G9784" s="812"/>
    </row>
    <row r="9785" spans="7:7">
      <c r="G9785" s="812"/>
    </row>
    <row r="9786" spans="7:7">
      <c r="G9786" s="812"/>
    </row>
    <row r="9787" spans="7:7">
      <c r="G9787" s="812"/>
    </row>
    <row r="9788" spans="7:7">
      <c r="G9788" s="812"/>
    </row>
    <row r="9789" spans="7:7">
      <c r="G9789" s="812"/>
    </row>
    <row r="9790" spans="7:7">
      <c r="G9790" s="812"/>
    </row>
    <row r="9791" spans="7:7">
      <c r="G9791" s="812"/>
    </row>
    <row r="9792" spans="7:7">
      <c r="G9792" s="812"/>
    </row>
    <row r="9793" spans="7:7">
      <c r="G9793" s="812"/>
    </row>
    <row r="9794" spans="7:7">
      <c r="G9794" s="812"/>
    </row>
    <row r="9795" spans="7:7">
      <c r="G9795" s="812"/>
    </row>
    <row r="9796" spans="7:7">
      <c r="G9796" s="812"/>
    </row>
    <row r="9797" spans="7:7">
      <c r="G9797" s="812"/>
    </row>
    <row r="9798" spans="7:7">
      <c r="G9798" s="812"/>
    </row>
    <row r="9799" spans="7:7">
      <c r="G9799" s="812"/>
    </row>
    <row r="9800" spans="7:7">
      <c r="G9800" s="812"/>
    </row>
    <row r="9801" spans="7:7">
      <c r="G9801" s="812"/>
    </row>
    <row r="9802" spans="7:7">
      <c r="G9802" s="812"/>
    </row>
    <row r="9803" spans="7:7">
      <c r="G9803" s="812"/>
    </row>
    <row r="9804" spans="7:7">
      <c r="G9804" s="812"/>
    </row>
    <row r="9805" spans="7:7">
      <c r="G9805" s="812"/>
    </row>
    <row r="9806" spans="7:7">
      <c r="G9806" s="812"/>
    </row>
    <row r="9807" spans="7:7">
      <c r="G9807" s="812"/>
    </row>
    <row r="9808" spans="7:7">
      <c r="G9808" s="812"/>
    </row>
    <row r="9809" spans="7:7">
      <c r="G9809" s="812"/>
    </row>
    <row r="9810" spans="7:7">
      <c r="G9810" s="812"/>
    </row>
    <row r="9811" spans="7:7">
      <c r="G9811" s="812"/>
    </row>
    <row r="9812" spans="7:7">
      <c r="G9812" s="812"/>
    </row>
    <row r="9813" spans="7:7">
      <c r="G9813" s="812"/>
    </row>
    <row r="9814" spans="7:7">
      <c r="G9814" s="812"/>
    </row>
    <row r="9815" spans="7:7">
      <c r="G9815" s="812"/>
    </row>
    <row r="9816" spans="7:7">
      <c r="G9816" s="812"/>
    </row>
    <row r="9817" spans="7:7">
      <c r="G9817" s="812"/>
    </row>
    <row r="9818" spans="7:7">
      <c r="G9818" s="812"/>
    </row>
    <row r="9819" spans="7:7">
      <c r="G9819" s="812"/>
    </row>
    <row r="9820" spans="7:7">
      <c r="G9820" s="812"/>
    </row>
    <row r="9821" spans="7:7">
      <c r="G9821" s="812"/>
    </row>
    <row r="9822" spans="7:7">
      <c r="G9822" s="812"/>
    </row>
    <row r="9823" spans="7:7">
      <c r="G9823" s="812"/>
    </row>
    <row r="9824" spans="7:7">
      <c r="G9824" s="812"/>
    </row>
    <row r="9825" spans="7:7">
      <c r="G9825" s="812"/>
    </row>
    <row r="9826" spans="7:7">
      <c r="G9826" s="812"/>
    </row>
    <row r="9827" spans="7:7">
      <c r="G9827" s="812"/>
    </row>
    <row r="9828" spans="7:7">
      <c r="G9828" s="812"/>
    </row>
    <row r="9829" spans="7:7">
      <c r="G9829" s="812"/>
    </row>
    <row r="9830" spans="7:7">
      <c r="G9830" s="812"/>
    </row>
    <row r="9831" spans="7:7">
      <c r="G9831" s="812"/>
    </row>
    <row r="9832" spans="7:7">
      <c r="G9832" s="812"/>
    </row>
    <row r="9833" spans="7:7">
      <c r="G9833" s="812"/>
    </row>
    <row r="9834" spans="7:7">
      <c r="G9834" s="812"/>
    </row>
    <row r="9835" spans="7:7">
      <c r="G9835" s="812"/>
    </row>
    <row r="9836" spans="7:7">
      <c r="G9836" s="812"/>
    </row>
    <row r="9837" spans="7:7">
      <c r="G9837" s="812"/>
    </row>
    <row r="9838" spans="7:7">
      <c r="G9838" s="812"/>
    </row>
    <row r="9839" spans="7:7">
      <c r="G9839" s="812"/>
    </row>
    <row r="9840" spans="7:7">
      <c r="G9840" s="812"/>
    </row>
    <row r="9841" spans="7:7">
      <c r="G9841" s="812"/>
    </row>
    <row r="9842" spans="7:7">
      <c r="G9842" s="812"/>
    </row>
    <row r="9843" spans="7:7">
      <c r="G9843" s="812"/>
    </row>
    <row r="9844" spans="7:7">
      <c r="G9844" s="812"/>
    </row>
    <row r="9845" spans="7:7">
      <c r="G9845" s="812"/>
    </row>
    <row r="9846" spans="7:7">
      <c r="G9846" s="812"/>
    </row>
    <row r="9847" spans="7:7">
      <c r="G9847" s="812"/>
    </row>
    <row r="9848" spans="7:7">
      <c r="G9848" s="812"/>
    </row>
    <row r="9849" spans="7:7">
      <c r="G9849" s="812"/>
    </row>
    <row r="9850" spans="7:7">
      <c r="G9850" s="812"/>
    </row>
    <row r="9851" spans="7:7">
      <c r="G9851" s="812"/>
    </row>
    <row r="9852" spans="7:7">
      <c r="G9852" s="812"/>
    </row>
    <row r="9853" spans="7:7">
      <c r="G9853" s="812"/>
    </row>
    <row r="9854" spans="7:7">
      <c r="G9854" s="812"/>
    </row>
    <row r="9855" spans="7:7">
      <c r="G9855" s="812"/>
    </row>
    <row r="9856" spans="7:7">
      <c r="G9856" s="812"/>
    </row>
    <row r="9857" spans="7:7">
      <c r="G9857" s="812"/>
    </row>
    <row r="9858" spans="7:7">
      <c r="G9858" s="812"/>
    </row>
    <row r="9859" spans="7:7">
      <c r="G9859" s="812"/>
    </row>
    <row r="9860" spans="7:7">
      <c r="G9860" s="812"/>
    </row>
    <row r="9861" spans="7:7">
      <c r="G9861" s="812"/>
    </row>
    <row r="9862" spans="7:7">
      <c r="G9862" s="812"/>
    </row>
    <row r="9863" spans="7:7">
      <c r="G9863" s="812"/>
    </row>
    <row r="9864" spans="7:7">
      <c r="G9864" s="812"/>
    </row>
    <row r="9865" spans="7:7">
      <c r="G9865" s="812"/>
    </row>
    <row r="9866" spans="7:7">
      <c r="G9866" s="812"/>
    </row>
    <row r="9867" spans="7:7">
      <c r="G9867" s="812"/>
    </row>
    <row r="9868" spans="7:7">
      <c r="G9868" s="812"/>
    </row>
    <row r="9869" spans="7:7">
      <c r="G9869" s="812"/>
    </row>
    <row r="9870" spans="7:7">
      <c r="G9870" s="812"/>
    </row>
    <row r="9871" spans="7:7">
      <c r="G9871" s="812"/>
    </row>
    <row r="9872" spans="7:7">
      <c r="G9872" s="812"/>
    </row>
    <row r="9873" spans="7:7">
      <c r="G9873" s="812"/>
    </row>
    <row r="9874" spans="7:7">
      <c r="G9874" s="812"/>
    </row>
    <row r="9875" spans="7:7">
      <c r="G9875" s="812"/>
    </row>
    <row r="9876" spans="7:7">
      <c r="G9876" s="812"/>
    </row>
    <row r="9877" spans="7:7">
      <c r="G9877" s="812"/>
    </row>
    <row r="9878" spans="7:7">
      <c r="G9878" s="812"/>
    </row>
    <row r="9879" spans="7:7">
      <c r="G9879" s="812"/>
    </row>
    <row r="9880" spans="7:7">
      <c r="G9880" s="812"/>
    </row>
    <row r="9881" spans="7:7">
      <c r="G9881" s="812"/>
    </row>
    <row r="9882" spans="7:7">
      <c r="G9882" s="812"/>
    </row>
    <row r="9883" spans="7:7">
      <c r="G9883" s="812"/>
    </row>
    <row r="9884" spans="7:7">
      <c r="G9884" s="812"/>
    </row>
    <row r="9885" spans="7:7">
      <c r="G9885" s="812"/>
    </row>
    <row r="9886" spans="7:7">
      <c r="G9886" s="812"/>
    </row>
    <row r="9887" spans="7:7">
      <c r="G9887" s="812"/>
    </row>
    <row r="9888" spans="7:7">
      <c r="G9888" s="812"/>
    </row>
    <row r="9889" spans="7:7">
      <c r="G9889" s="812"/>
    </row>
    <row r="9890" spans="7:7">
      <c r="G9890" s="812"/>
    </row>
    <row r="9891" spans="7:7">
      <c r="G9891" s="812"/>
    </row>
    <row r="9892" spans="7:7">
      <c r="G9892" s="812"/>
    </row>
    <row r="9893" spans="7:7">
      <c r="G9893" s="812"/>
    </row>
    <row r="9894" spans="7:7">
      <c r="G9894" s="812"/>
    </row>
    <row r="9895" spans="7:7">
      <c r="G9895" s="812"/>
    </row>
    <row r="9896" spans="7:7">
      <c r="G9896" s="812"/>
    </row>
    <row r="9897" spans="7:7">
      <c r="G9897" s="812"/>
    </row>
    <row r="9898" spans="7:7">
      <c r="G9898" s="812"/>
    </row>
    <row r="9899" spans="7:7">
      <c r="G9899" s="812"/>
    </row>
    <row r="9900" spans="7:7">
      <c r="G9900" s="812"/>
    </row>
    <row r="9901" spans="7:7">
      <c r="G9901" s="812"/>
    </row>
    <row r="9902" spans="7:7">
      <c r="G9902" s="812"/>
    </row>
    <row r="9903" spans="7:7">
      <c r="G9903" s="812"/>
    </row>
    <row r="9904" spans="7:7">
      <c r="G9904" s="812"/>
    </row>
    <row r="9905" spans="7:7">
      <c r="G9905" s="812"/>
    </row>
    <row r="9906" spans="7:7">
      <c r="G9906" s="812"/>
    </row>
    <row r="9907" spans="7:7">
      <c r="G9907" s="812"/>
    </row>
    <row r="9908" spans="7:7">
      <c r="G9908" s="812"/>
    </row>
    <row r="9909" spans="7:7">
      <c r="G9909" s="812"/>
    </row>
    <row r="9910" spans="7:7">
      <c r="G9910" s="812"/>
    </row>
    <row r="9911" spans="7:7">
      <c r="G9911" s="812"/>
    </row>
    <row r="9912" spans="7:7">
      <c r="G9912" s="812"/>
    </row>
    <row r="9913" spans="7:7">
      <c r="G9913" s="812"/>
    </row>
    <row r="9914" spans="7:7">
      <c r="G9914" s="812"/>
    </row>
    <row r="9915" spans="7:7">
      <c r="G9915" s="812"/>
    </row>
    <row r="9916" spans="7:7">
      <c r="G9916" s="812"/>
    </row>
    <row r="9917" spans="7:7">
      <c r="G9917" s="812"/>
    </row>
    <row r="9918" spans="7:7">
      <c r="G9918" s="812"/>
    </row>
    <row r="9919" spans="7:7">
      <c r="G9919" s="812"/>
    </row>
    <row r="9920" spans="7:7">
      <c r="G9920" s="812"/>
    </row>
    <row r="9921" spans="7:7">
      <c r="G9921" s="812"/>
    </row>
    <row r="9922" spans="7:7">
      <c r="G9922" s="812"/>
    </row>
    <row r="9923" spans="7:7">
      <c r="G9923" s="812"/>
    </row>
    <row r="9924" spans="7:7">
      <c r="G9924" s="812"/>
    </row>
    <row r="9925" spans="7:7">
      <c r="G9925" s="812"/>
    </row>
    <row r="9926" spans="7:7">
      <c r="G9926" s="812"/>
    </row>
    <row r="9927" spans="7:7">
      <c r="G9927" s="812"/>
    </row>
    <row r="9928" spans="7:7">
      <c r="G9928" s="812"/>
    </row>
    <row r="9929" spans="7:7">
      <c r="G9929" s="812"/>
    </row>
    <row r="9930" spans="7:7">
      <c r="G9930" s="812"/>
    </row>
    <row r="9931" spans="7:7">
      <c r="G9931" s="812"/>
    </row>
    <row r="9932" spans="7:7">
      <c r="G9932" s="812"/>
    </row>
    <row r="9933" spans="7:7">
      <c r="G9933" s="812"/>
    </row>
    <row r="9934" spans="7:7">
      <c r="G9934" s="812"/>
    </row>
    <row r="9935" spans="7:7">
      <c r="G9935" s="812"/>
    </row>
    <row r="9936" spans="7:7">
      <c r="G9936" s="812"/>
    </row>
    <row r="9937" spans="7:7">
      <c r="G9937" s="812"/>
    </row>
    <row r="9938" spans="7:7">
      <c r="G9938" s="812"/>
    </row>
    <row r="9939" spans="7:7">
      <c r="G9939" s="812"/>
    </row>
    <row r="9940" spans="7:7">
      <c r="G9940" s="812"/>
    </row>
    <row r="9941" spans="7:7">
      <c r="G9941" s="812"/>
    </row>
    <row r="9942" spans="7:7">
      <c r="G9942" s="812"/>
    </row>
    <row r="9943" spans="7:7">
      <c r="G9943" s="812"/>
    </row>
    <row r="9944" spans="7:7">
      <c r="G9944" s="812"/>
    </row>
    <row r="9945" spans="7:7">
      <c r="G9945" s="812"/>
    </row>
    <row r="9946" spans="7:7">
      <c r="G9946" s="812"/>
    </row>
    <row r="9947" spans="7:7">
      <c r="G9947" s="812"/>
    </row>
    <row r="9948" spans="7:7">
      <c r="G9948" s="812"/>
    </row>
    <row r="9949" spans="7:7">
      <c r="G9949" s="812"/>
    </row>
    <row r="9950" spans="7:7">
      <c r="G9950" s="812"/>
    </row>
    <row r="9951" spans="7:7">
      <c r="G9951" s="812"/>
    </row>
    <row r="9952" spans="7:7">
      <c r="G9952" s="812"/>
    </row>
    <row r="9953" spans="7:7">
      <c r="G9953" s="812"/>
    </row>
    <row r="9954" spans="7:7">
      <c r="G9954" s="812"/>
    </row>
    <row r="9955" spans="7:7">
      <c r="G9955" s="812"/>
    </row>
    <row r="9956" spans="7:7">
      <c r="G9956" s="812"/>
    </row>
    <row r="9957" spans="7:7">
      <c r="G9957" s="812"/>
    </row>
    <row r="9958" spans="7:7">
      <c r="G9958" s="812"/>
    </row>
    <row r="9959" spans="7:7">
      <c r="G9959" s="812"/>
    </row>
    <row r="9960" spans="7:7">
      <c r="G9960" s="812"/>
    </row>
    <row r="9961" spans="7:7">
      <c r="G9961" s="812"/>
    </row>
    <row r="9962" spans="7:7">
      <c r="G9962" s="812"/>
    </row>
    <row r="9963" spans="7:7">
      <c r="G9963" s="812"/>
    </row>
    <row r="9964" spans="7:7">
      <c r="G9964" s="812"/>
    </row>
    <row r="9965" spans="7:7">
      <c r="G9965" s="812"/>
    </row>
    <row r="9966" spans="7:7">
      <c r="G9966" s="812"/>
    </row>
    <row r="9967" spans="7:7">
      <c r="G9967" s="812"/>
    </row>
    <row r="9968" spans="7:7">
      <c r="G9968" s="812"/>
    </row>
    <row r="9969" spans="7:7">
      <c r="G9969" s="812"/>
    </row>
    <row r="9970" spans="7:7">
      <c r="G9970" s="812"/>
    </row>
    <row r="9971" spans="7:7">
      <c r="G9971" s="812"/>
    </row>
    <row r="9972" spans="7:7">
      <c r="G9972" s="812"/>
    </row>
    <row r="9973" spans="7:7">
      <c r="G9973" s="812"/>
    </row>
    <row r="9974" spans="7:7">
      <c r="G9974" s="812"/>
    </row>
    <row r="9975" spans="7:7">
      <c r="G9975" s="812"/>
    </row>
    <row r="9976" spans="7:7">
      <c r="G9976" s="812"/>
    </row>
    <row r="9977" spans="7:7">
      <c r="G9977" s="812"/>
    </row>
    <row r="9978" spans="7:7">
      <c r="G9978" s="812"/>
    </row>
    <row r="9979" spans="7:7">
      <c r="G9979" s="812"/>
    </row>
    <row r="9980" spans="7:7">
      <c r="G9980" s="812"/>
    </row>
    <row r="9981" spans="7:7">
      <c r="G9981" s="812"/>
    </row>
    <row r="9982" spans="7:7">
      <c r="G9982" s="812"/>
    </row>
    <row r="9983" spans="7:7">
      <c r="G9983" s="812"/>
    </row>
    <row r="9984" spans="7:7">
      <c r="G9984" s="812"/>
    </row>
    <row r="9985" spans="7:7">
      <c r="G9985" s="812"/>
    </row>
    <row r="9986" spans="7:7">
      <c r="G9986" s="812"/>
    </row>
    <row r="9987" spans="7:7">
      <c r="G9987" s="812"/>
    </row>
    <row r="9988" spans="7:7">
      <c r="G9988" s="812"/>
    </row>
    <row r="9989" spans="7:7">
      <c r="G9989" s="812"/>
    </row>
    <row r="9990" spans="7:7">
      <c r="G9990" s="812"/>
    </row>
    <row r="9991" spans="7:7">
      <c r="G9991" s="812"/>
    </row>
    <row r="9992" spans="7:7">
      <c r="G9992" s="812"/>
    </row>
    <row r="9993" spans="7:7">
      <c r="G9993" s="812"/>
    </row>
    <row r="9994" spans="7:7">
      <c r="G9994" s="812"/>
    </row>
    <row r="9995" spans="7:7">
      <c r="G9995" s="812"/>
    </row>
    <row r="9996" spans="7:7">
      <c r="G9996" s="812"/>
    </row>
    <row r="9997" spans="7:7">
      <c r="G9997" s="812"/>
    </row>
    <row r="9998" spans="7:7">
      <c r="G9998" s="812"/>
    </row>
    <row r="9999" spans="7:7">
      <c r="G9999" s="812"/>
    </row>
    <row r="10000" spans="7:7">
      <c r="G10000" s="812"/>
    </row>
    <row r="10001" spans="7:7">
      <c r="G10001" s="812"/>
    </row>
    <row r="10002" spans="7:7">
      <c r="G10002" s="812"/>
    </row>
    <row r="10003" spans="7:7">
      <c r="G10003" s="812"/>
    </row>
    <row r="10004" spans="7:7">
      <c r="G10004" s="812"/>
    </row>
    <row r="10005" spans="7:7">
      <c r="G10005" s="812"/>
    </row>
    <row r="10006" spans="7:7">
      <c r="G10006" s="812"/>
    </row>
    <row r="10007" spans="7:7">
      <c r="G10007" s="812"/>
    </row>
    <row r="10008" spans="7:7">
      <c r="G10008" s="812"/>
    </row>
    <row r="10009" spans="7:7">
      <c r="G10009" s="812"/>
    </row>
    <row r="10010" spans="7:7">
      <c r="G10010" s="812"/>
    </row>
    <row r="10011" spans="7:7">
      <c r="G10011" s="812"/>
    </row>
    <row r="10012" spans="7:7">
      <c r="G10012" s="812"/>
    </row>
    <row r="10013" spans="7:7">
      <c r="G10013" s="812"/>
    </row>
    <row r="10014" spans="7:7">
      <c r="G10014" s="812"/>
    </row>
    <row r="10015" spans="7:7">
      <c r="G10015" s="812"/>
    </row>
    <row r="10016" spans="7:7">
      <c r="G10016" s="812"/>
    </row>
    <row r="10017" spans="7:7">
      <c r="G10017" s="812"/>
    </row>
    <row r="10018" spans="7:7">
      <c r="G10018" s="812"/>
    </row>
    <row r="10019" spans="7:7">
      <c r="G10019" s="812"/>
    </row>
    <row r="10020" spans="7:7">
      <c r="G10020" s="812"/>
    </row>
    <row r="10021" spans="7:7">
      <c r="G10021" s="812"/>
    </row>
    <row r="10022" spans="7:7">
      <c r="G10022" s="812"/>
    </row>
    <row r="10023" spans="7:7">
      <c r="G10023" s="812"/>
    </row>
    <row r="10024" spans="7:7">
      <c r="G10024" s="812"/>
    </row>
    <row r="10025" spans="7:7">
      <c r="G10025" s="812"/>
    </row>
    <row r="10026" spans="7:7">
      <c r="G10026" s="812"/>
    </row>
    <row r="10027" spans="7:7">
      <c r="G10027" s="812"/>
    </row>
    <row r="10028" spans="7:7">
      <c r="G10028" s="812"/>
    </row>
    <row r="10029" spans="7:7">
      <c r="G10029" s="812"/>
    </row>
    <row r="10030" spans="7:7">
      <c r="G10030" s="812"/>
    </row>
    <row r="10031" spans="7:7">
      <c r="G10031" s="812"/>
    </row>
    <row r="10032" spans="7:7">
      <c r="G10032" s="812"/>
    </row>
    <row r="10033" spans="7:7">
      <c r="G10033" s="812"/>
    </row>
    <row r="10034" spans="7:7">
      <c r="G10034" s="812"/>
    </row>
    <row r="10035" spans="7:7">
      <c r="G10035" s="812"/>
    </row>
    <row r="10036" spans="7:7">
      <c r="G10036" s="812"/>
    </row>
    <row r="10037" spans="7:7">
      <c r="G10037" s="812"/>
    </row>
    <row r="10038" spans="7:7">
      <c r="G10038" s="812"/>
    </row>
    <row r="10039" spans="7:7">
      <c r="G10039" s="812"/>
    </row>
    <row r="10040" spans="7:7">
      <c r="G10040" s="812"/>
    </row>
    <row r="10041" spans="7:7">
      <c r="G10041" s="812"/>
    </row>
    <row r="10042" spans="7:7">
      <c r="G10042" s="812"/>
    </row>
    <row r="10043" spans="7:7">
      <c r="G10043" s="812"/>
    </row>
    <row r="10044" spans="7:7">
      <c r="G10044" s="812"/>
    </row>
    <row r="10045" spans="7:7">
      <c r="G10045" s="812"/>
    </row>
    <row r="10046" spans="7:7">
      <c r="G10046" s="812"/>
    </row>
    <row r="10047" spans="7:7">
      <c r="G10047" s="812"/>
    </row>
    <row r="10048" spans="7:7">
      <c r="G10048" s="812"/>
    </row>
    <row r="10049" spans="7:7">
      <c r="G10049" s="812"/>
    </row>
    <row r="10050" spans="7:7">
      <c r="G10050" s="812"/>
    </row>
    <row r="10051" spans="7:7">
      <c r="G10051" s="812"/>
    </row>
    <row r="10052" spans="7:7">
      <c r="G10052" s="812"/>
    </row>
    <row r="10053" spans="7:7">
      <c r="G10053" s="812"/>
    </row>
    <row r="10054" spans="7:7">
      <c r="G10054" s="812"/>
    </row>
    <row r="10055" spans="7:7">
      <c r="G10055" s="812"/>
    </row>
    <row r="10056" spans="7:7">
      <c r="G10056" s="812"/>
    </row>
    <row r="10057" spans="7:7">
      <c r="G10057" s="812"/>
    </row>
    <row r="10058" spans="7:7">
      <c r="G10058" s="812"/>
    </row>
    <row r="10059" spans="7:7">
      <c r="G10059" s="812"/>
    </row>
    <row r="10060" spans="7:7">
      <c r="G10060" s="812"/>
    </row>
    <row r="10061" spans="7:7">
      <c r="G10061" s="812"/>
    </row>
    <row r="10062" spans="7:7">
      <c r="G10062" s="812"/>
    </row>
    <row r="10063" spans="7:7">
      <c r="G10063" s="812"/>
    </row>
    <row r="10064" spans="7:7">
      <c r="G10064" s="812"/>
    </row>
    <row r="10065" spans="7:7">
      <c r="G10065" s="812"/>
    </row>
    <row r="10066" spans="7:7">
      <c r="G10066" s="812"/>
    </row>
    <row r="10067" spans="7:7">
      <c r="G10067" s="812"/>
    </row>
    <row r="10068" spans="7:7">
      <c r="G10068" s="812"/>
    </row>
    <row r="10069" spans="7:7">
      <c r="G10069" s="812"/>
    </row>
    <row r="10070" spans="7:7">
      <c r="G10070" s="812"/>
    </row>
    <row r="10071" spans="7:7">
      <c r="G10071" s="812"/>
    </row>
    <row r="10072" spans="7:7">
      <c r="G10072" s="812"/>
    </row>
    <row r="10073" spans="7:7">
      <c r="G10073" s="812"/>
    </row>
    <row r="10074" spans="7:7">
      <c r="G10074" s="812"/>
    </row>
    <row r="10075" spans="7:7">
      <c r="G10075" s="812"/>
    </row>
    <row r="10076" spans="7:7">
      <c r="G10076" s="812"/>
    </row>
    <row r="10077" spans="7:7">
      <c r="G10077" s="812"/>
    </row>
    <row r="10078" spans="7:7">
      <c r="G10078" s="812"/>
    </row>
    <row r="10079" spans="7:7">
      <c r="G10079" s="812"/>
    </row>
    <row r="10080" spans="7:7">
      <c r="G10080" s="812"/>
    </row>
    <row r="10081" spans="7:7">
      <c r="G10081" s="812"/>
    </row>
    <row r="10082" spans="7:7">
      <c r="G10082" s="812"/>
    </row>
    <row r="10083" spans="7:7">
      <c r="G10083" s="812"/>
    </row>
    <row r="10084" spans="7:7">
      <c r="G10084" s="812"/>
    </row>
    <row r="10085" spans="7:7">
      <c r="G10085" s="812"/>
    </row>
    <row r="10086" spans="7:7">
      <c r="G10086" s="812"/>
    </row>
    <row r="10087" spans="7:7">
      <c r="G10087" s="812"/>
    </row>
    <row r="10088" spans="7:7">
      <c r="G10088" s="812"/>
    </row>
    <row r="10089" spans="7:7">
      <c r="G10089" s="812"/>
    </row>
    <row r="10090" spans="7:7">
      <c r="G10090" s="812"/>
    </row>
    <row r="10091" spans="7:7">
      <c r="G10091" s="812"/>
    </row>
    <row r="10092" spans="7:7">
      <c r="G10092" s="812"/>
    </row>
    <row r="10093" spans="7:7">
      <c r="G10093" s="812"/>
    </row>
    <row r="10094" spans="7:7">
      <c r="G10094" s="812"/>
    </row>
    <row r="10095" spans="7:7">
      <c r="G10095" s="812"/>
    </row>
    <row r="10096" spans="7:7">
      <c r="G10096" s="812"/>
    </row>
    <row r="10097" spans="7:7">
      <c r="G10097" s="812"/>
    </row>
    <row r="10098" spans="7:7">
      <c r="G10098" s="812"/>
    </row>
    <row r="10099" spans="7:7">
      <c r="G10099" s="812"/>
    </row>
    <row r="10100" spans="7:7">
      <c r="G10100" s="812"/>
    </row>
    <row r="10101" spans="7:7">
      <c r="G10101" s="812"/>
    </row>
    <row r="10102" spans="7:7">
      <c r="G10102" s="812"/>
    </row>
    <row r="10103" spans="7:7">
      <c r="G10103" s="812"/>
    </row>
    <row r="10104" spans="7:7">
      <c r="G10104" s="812"/>
    </row>
    <row r="10105" spans="7:7">
      <c r="G10105" s="812"/>
    </row>
    <row r="10106" spans="7:7">
      <c r="G10106" s="812"/>
    </row>
    <row r="10107" spans="7:7">
      <c r="G10107" s="812"/>
    </row>
    <row r="10108" spans="7:7">
      <c r="G10108" s="812"/>
    </row>
    <row r="10109" spans="7:7">
      <c r="G10109" s="812"/>
    </row>
    <row r="10110" spans="7:7">
      <c r="G10110" s="812"/>
    </row>
    <row r="10111" spans="7:7">
      <c r="G10111" s="812"/>
    </row>
    <row r="10112" spans="7:7">
      <c r="G10112" s="812"/>
    </row>
    <row r="10113" spans="7:7">
      <c r="G10113" s="812"/>
    </row>
    <row r="10114" spans="7:7">
      <c r="G10114" s="812"/>
    </row>
    <row r="10115" spans="7:7">
      <c r="G10115" s="812"/>
    </row>
    <row r="10116" spans="7:7">
      <c r="G10116" s="812"/>
    </row>
    <row r="10117" spans="7:7">
      <c r="G10117" s="812"/>
    </row>
    <row r="10118" spans="7:7">
      <c r="G10118" s="812"/>
    </row>
    <row r="10119" spans="7:7">
      <c r="G10119" s="812"/>
    </row>
    <row r="10120" spans="7:7">
      <c r="G10120" s="812"/>
    </row>
    <row r="10121" spans="7:7">
      <c r="G10121" s="812"/>
    </row>
    <row r="10122" spans="7:7">
      <c r="G10122" s="812"/>
    </row>
    <row r="10123" spans="7:7">
      <c r="G10123" s="812"/>
    </row>
    <row r="10124" spans="7:7">
      <c r="G10124" s="812"/>
    </row>
    <row r="10125" spans="7:7">
      <c r="G10125" s="812"/>
    </row>
    <row r="10126" spans="7:7">
      <c r="G10126" s="812"/>
    </row>
    <row r="10127" spans="7:7">
      <c r="G10127" s="812"/>
    </row>
    <row r="10128" spans="7:7">
      <c r="G10128" s="812"/>
    </row>
    <row r="10129" spans="7:7">
      <c r="G10129" s="812"/>
    </row>
    <row r="10130" spans="7:7">
      <c r="G10130" s="812"/>
    </row>
    <row r="10131" spans="7:7">
      <c r="G10131" s="812"/>
    </row>
    <row r="10132" spans="7:7">
      <c r="G10132" s="812"/>
    </row>
    <row r="10133" spans="7:7">
      <c r="G10133" s="812"/>
    </row>
    <row r="10134" spans="7:7">
      <c r="G10134" s="812"/>
    </row>
    <row r="10135" spans="7:7">
      <c r="G10135" s="812"/>
    </row>
    <row r="10136" spans="7:7">
      <c r="G10136" s="812"/>
    </row>
    <row r="10137" spans="7:7">
      <c r="G10137" s="812"/>
    </row>
    <row r="10138" spans="7:7">
      <c r="G10138" s="812"/>
    </row>
    <row r="10139" spans="7:7">
      <c r="G10139" s="812"/>
    </row>
    <row r="10140" spans="7:7">
      <c r="G10140" s="812"/>
    </row>
    <row r="10141" spans="7:7">
      <c r="G10141" s="812"/>
    </row>
    <row r="10142" spans="7:7">
      <c r="G10142" s="812"/>
    </row>
    <row r="10143" spans="7:7">
      <c r="G10143" s="812"/>
    </row>
    <row r="10144" spans="7:7">
      <c r="G10144" s="812"/>
    </row>
    <row r="10145" spans="7:7">
      <c r="G10145" s="812"/>
    </row>
    <row r="10146" spans="7:7">
      <c r="G10146" s="812"/>
    </row>
    <row r="10147" spans="7:7">
      <c r="G10147" s="812"/>
    </row>
    <row r="10148" spans="7:7">
      <c r="G10148" s="812"/>
    </row>
    <row r="10149" spans="7:7">
      <c r="G10149" s="812"/>
    </row>
    <row r="10150" spans="7:7">
      <c r="G10150" s="812"/>
    </row>
    <row r="10151" spans="7:7">
      <c r="G10151" s="812"/>
    </row>
    <row r="10152" spans="7:7">
      <c r="G10152" s="812"/>
    </row>
    <row r="10153" spans="7:7">
      <c r="G10153" s="812"/>
    </row>
    <row r="10154" spans="7:7">
      <c r="G10154" s="812"/>
    </row>
    <row r="10155" spans="7:7">
      <c r="G10155" s="812"/>
    </row>
    <row r="10156" spans="7:7">
      <c r="G10156" s="812"/>
    </row>
    <row r="10157" spans="7:7">
      <c r="G10157" s="812"/>
    </row>
    <row r="10158" spans="7:7">
      <c r="G10158" s="812"/>
    </row>
    <row r="10159" spans="7:7">
      <c r="G10159" s="812"/>
    </row>
    <row r="10160" spans="7:7">
      <c r="G10160" s="812"/>
    </row>
    <row r="10161" spans="7:7">
      <c r="G10161" s="812"/>
    </row>
    <row r="10162" spans="7:7">
      <c r="G10162" s="812"/>
    </row>
    <row r="10163" spans="7:7">
      <c r="G10163" s="812"/>
    </row>
    <row r="10164" spans="7:7">
      <c r="G10164" s="812"/>
    </row>
    <row r="10165" spans="7:7">
      <c r="G10165" s="812"/>
    </row>
    <row r="10166" spans="7:7">
      <c r="G10166" s="812"/>
    </row>
    <row r="10167" spans="7:7">
      <c r="G10167" s="812"/>
    </row>
    <row r="10168" spans="7:7">
      <c r="G10168" s="812"/>
    </row>
    <row r="10169" spans="7:7">
      <c r="G10169" s="812"/>
    </row>
    <row r="10170" spans="7:7">
      <c r="G10170" s="812"/>
    </row>
    <row r="10171" spans="7:7">
      <c r="G10171" s="812"/>
    </row>
    <row r="10172" spans="7:7">
      <c r="G10172" s="812"/>
    </row>
    <row r="10173" spans="7:7">
      <c r="G10173" s="812"/>
    </row>
    <row r="10174" spans="7:7">
      <c r="G10174" s="812"/>
    </row>
    <row r="10175" spans="7:7">
      <c r="G10175" s="812"/>
    </row>
    <row r="10176" spans="7:7">
      <c r="G10176" s="812"/>
    </row>
    <row r="10177" spans="7:7">
      <c r="G10177" s="812"/>
    </row>
    <row r="10178" spans="7:7">
      <c r="G10178" s="812"/>
    </row>
    <row r="10179" spans="7:7">
      <c r="G10179" s="812"/>
    </row>
    <row r="10180" spans="7:7">
      <c r="G10180" s="812"/>
    </row>
    <row r="10181" spans="7:7">
      <c r="G10181" s="812"/>
    </row>
    <row r="10182" spans="7:7">
      <c r="G10182" s="812"/>
    </row>
    <row r="10183" spans="7:7">
      <c r="G10183" s="812"/>
    </row>
    <row r="10184" spans="7:7">
      <c r="G10184" s="812"/>
    </row>
    <row r="10185" spans="7:7">
      <c r="G10185" s="812"/>
    </row>
    <row r="10186" spans="7:7">
      <c r="G10186" s="812"/>
    </row>
    <row r="10187" spans="7:7">
      <c r="G10187" s="812"/>
    </row>
    <row r="10188" spans="7:7">
      <c r="G10188" s="812"/>
    </row>
    <row r="10189" spans="7:7">
      <c r="G10189" s="812"/>
    </row>
    <row r="10190" spans="7:7">
      <c r="G10190" s="812"/>
    </row>
    <row r="10191" spans="7:7">
      <c r="G10191" s="812"/>
    </row>
    <row r="10192" spans="7:7">
      <c r="G10192" s="812"/>
    </row>
    <row r="10193" spans="7:7">
      <c r="G10193" s="812"/>
    </row>
    <row r="10194" spans="7:7">
      <c r="G10194" s="812"/>
    </row>
    <row r="10195" spans="7:7">
      <c r="G10195" s="812"/>
    </row>
    <row r="10196" spans="7:7">
      <c r="G10196" s="812"/>
    </row>
    <row r="10197" spans="7:7">
      <c r="G10197" s="812"/>
    </row>
    <row r="10198" spans="7:7">
      <c r="G10198" s="812"/>
    </row>
    <row r="10199" spans="7:7">
      <c r="G10199" s="812"/>
    </row>
    <row r="10200" spans="7:7">
      <c r="G10200" s="812"/>
    </row>
    <row r="10201" spans="7:7">
      <c r="G10201" s="812"/>
    </row>
    <row r="10202" spans="7:7">
      <c r="G10202" s="812"/>
    </row>
    <row r="10203" spans="7:7">
      <c r="G10203" s="812"/>
    </row>
    <row r="10204" spans="7:7">
      <c r="G10204" s="812"/>
    </row>
    <row r="10205" spans="7:7">
      <c r="G10205" s="812"/>
    </row>
    <row r="10206" spans="7:7">
      <c r="G10206" s="812"/>
    </row>
    <row r="10207" spans="7:7">
      <c r="G10207" s="812"/>
    </row>
    <row r="10208" spans="7:7">
      <c r="G10208" s="812"/>
    </row>
    <row r="10209" spans="7:7">
      <c r="G10209" s="812"/>
    </row>
    <row r="10210" spans="7:7">
      <c r="G10210" s="812"/>
    </row>
    <row r="10211" spans="7:7">
      <c r="G10211" s="812"/>
    </row>
    <row r="10212" spans="7:7">
      <c r="G10212" s="812"/>
    </row>
    <row r="10213" spans="7:7">
      <c r="G10213" s="812"/>
    </row>
    <row r="10214" spans="7:7">
      <c r="G10214" s="812"/>
    </row>
    <row r="10215" spans="7:7">
      <c r="G10215" s="812"/>
    </row>
    <row r="10216" spans="7:7">
      <c r="G10216" s="812"/>
    </row>
    <row r="10217" spans="7:7">
      <c r="G10217" s="812"/>
    </row>
    <row r="10218" spans="7:7">
      <c r="G10218" s="812"/>
    </row>
    <row r="10219" spans="7:7">
      <c r="G10219" s="812"/>
    </row>
    <row r="10220" spans="7:7">
      <c r="G10220" s="812"/>
    </row>
    <row r="10221" spans="7:7">
      <c r="G10221" s="812"/>
    </row>
    <row r="10222" spans="7:7">
      <c r="G10222" s="812"/>
    </row>
    <row r="10223" spans="7:7">
      <c r="G10223" s="812"/>
    </row>
    <row r="10224" spans="7:7">
      <c r="G10224" s="812"/>
    </row>
    <row r="10225" spans="7:7">
      <c r="G10225" s="812"/>
    </row>
    <row r="10226" spans="7:7">
      <c r="G10226" s="812"/>
    </row>
    <row r="10227" spans="7:7">
      <c r="G10227" s="812"/>
    </row>
    <row r="10228" spans="7:7">
      <c r="G10228" s="812"/>
    </row>
    <row r="10229" spans="7:7">
      <c r="G10229" s="812"/>
    </row>
    <row r="10230" spans="7:7">
      <c r="G10230" s="812"/>
    </row>
    <row r="10231" spans="7:7">
      <c r="G10231" s="812"/>
    </row>
    <row r="10232" spans="7:7">
      <c r="G10232" s="812"/>
    </row>
    <row r="10233" spans="7:7">
      <c r="G10233" s="812"/>
    </row>
    <row r="10234" spans="7:7">
      <c r="G10234" s="812"/>
    </row>
    <row r="10235" spans="7:7">
      <c r="G10235" s="812"/>
    </row>
    <row r="10236" spans="7:7">
      <c r="G10236" s="812"/>
    </row>
    <row r="10237" spans="7:7">
      <c r="G10237" s="812"/>
    </row>
    <row r="10238" spans="7:7">
      <c r="G10238" s="812"/>
    </row>
    <row r="10239" spans="7:7">
      <c r="G10239" s="812"/>
    </row>
    <row r="10240" spans="7:7">
      <c r="G10240" s="812"/>
    </row>
    <row r="10241" spans="7:7">
      <c r="G10241" s="812"/>
    </row>
    <row r="10242" spans="7:7">
      <c r="G10242" s="812"/>
    </row>
    <row r="10243" spans="7:7">
      <c r="G10243" s="812"/>
    </row>
    <row r="10244" spans="7:7">
      <c r="G10244" s="812"/>
    </row>
    <row r="10245" spans="7:7">
      <c r="G10245" s="812"/>
    </row>
    <row r="10246" spans="7:7">
      <c r="G10246" s="812"/>
    </row>
    <row r="10247" spans="7:7">
      <c r="G10247" s="812"/>
    </row>
    <row r="10248" spans="7:7">
      <c r="G10248" s="812"/>
    </row>
    <row r="10249" spans="7:7">
      <c r="G10249" s="812"/>
    </row>
    <row r="10250" spans="7:7">
      <c r="G10250" s="812"/>
    </row>
    <row r="10251" spans="7:7">
      <c r="G10251" s="812"/>
    </row>
    <row r="10252" spans="7:7">
      <c r="G10252" s="812"/>
    </row>
    <row r="10253" spans="7:7">
      <c r="G10253" s="812"/>
    </row>
    <row r="10254" spans="7:7">
      <c r="G10254" s="812"/>
    </row>
    <row r="10255" spans="7:7">
      <c r="G10255" s="812"/>
    </row>
    <row r="10256" spans="7:7">
      <c r="G10256" s="812"/>
    </row>
    <row r="10257" spans="7:7">
      <c r="G10257" s="812"/>
    </row>
    <row r="10258" spans="7:7">
      <c r="G10258" s="812"/>
    </row>
    <row r="10259" spans="7:7">
      <c r="G10259" s="812"/>
    </row>
    <row r="10260" spans="7:7">
      <c r="G10260" s="812"/>
    </row>
    <row r="10261" spans="7:7">
      <c r="G10261" s="812"/>
    </row>
    <row r="10262" spans="7:7">
      <c r="G10262" s="812"/>
    </row>
    <row r="10263" spans="7:7">
      <c r="G10263" s="812"/>
    </row>
    <row r="10264" spans="7:7">
      <c r="G10264" s="812"/>
    </row>
    <row r="10265" spans="7:7">
      <c r="G10265" s="812"/>
    </row>
    <row r="10266" spans="7:7">
      <c r="G10266" s="812"/>
    </row>
    <row r="10267" spans="7:7">
      <c r="G10267" s="812"/>
    </row>
    <row r="10268" spans="7:7">
      <c r="G10268" s="812"/>
    </row>
    <row r="10269" spans="7:7">
      <c r="G10269" s="812"/>
    </row>
    <row r="10270" spans="7:7">
      <c r="G10270" s="812"/>
    </row>
    <row r="10271" spans="7:7">
      <c r="G10271" s="812"/>
    </row>
    <row r="10272" spans="7:7">
      <c r="G10272" s="812"/>
    </row>
    <row r="10273" spans="7:7">
      <c r="G10273" s="812"/>
    </row>
    <row r="10274" spans="7:7">
      <c r="G10274" s="812"/>
    </row>
    <row r="10275" spans="7:7">
      <c r="G10275" s="812"/>
    </row>
    <row r="10276" spans="7:7">
      <c r="G10276" s="812"/>
    </row>
    <row r="10277" spans="7:7">
      <c r="G10277" s="812"/>
    </row>
    <row r="10278" spans="7:7">
      <c r="G10278" s="812"/>
    </row>
    <row r="10279" spans="7:7">
      <c r="G10279" s="812"/>
    </row>
    <row r="10280" spans="7:7">
      <c r="G10280" s="812"/>
    </row>
    <row r="10281" spans="7:7">
      <c r="G10281" s="812"/>
    </row>
    <row r="10282" spans="7:7">
      <c r="G10282" s="812"/>
    </row>
    <row r="10283" spans="7:7">
      <c r="G10283" s="812"/>
    </row>
    <row r="10284" spans="7:7">
      <c r="G10284" s="812"/>
    </row>
    <row r="10285" spans="7:7">
      <c r="G10285" s="812"/>
    </row>
    <row r="10286" spans="7:7">
      <c r="G10286" s="812"/>
    </row>
    <row r="10287" spans="7:7">
      <c r="G10287" s="812"/>
    </row>
    <row r="10288" spans="7:7">
      <c r="G10288" s="812"/>
    </row>
    <row r="10289" spans="7:7">
      <c r="G10289" s="812"/>
    </row>
    <row r="10290" spans="7:7">
      <c r="G10290" s="812"/>
    </row>
    <row r="10291" spans="7:7">
      <c r="G10291" s="812"/>
    </row>
    <row r="10292" spans="7:7">
      <c r="G10292" s="812"/>
    </row>
    <row r="10293" spans="7:7">
      <c r="G10293" s="812"/>
    </row>
    <row r="10294" spans="7:7">
      <c r="G10294" s="812"/>
    </row>
    <row r="10295" spans="7:7">
      <c r="G10295" s="812"/>
    </row>
    <row r="10296" spans="7:7">
      <c r="G10296" s="812"/>
    </row>
    <row r="10297" spans="7:7">
      <c r="G10297" s="812"/>
    </row>
    <row r="10298" spans="7:7">
      <c r="G10298" s="812"/>
    </row>
    <row r="10299" spans="7:7">
      <c r="G10299" s="812"/>
    </row>
    <row r="10300" spans="7:7">
      <c r="G10300" s="812"/>
    </row>
    <row r="10301" spans="7:7">
      <c r="G10301" s="812"/>
    </row>
    <row r="10302" spans="7:7">
      <c r="G10302" s="812"/>
    </row>
    <row r="10303" spans="7:7">
      <c r="G10303" s="812"/>
    </row>
    <row r="10304" spans="7:7">
      <c r="G10304" s="812"/>
    </row>
    <row r="10305" spans="7:7">
      <c r="G10305" s="812"/>
    </row>
    <row r="10306" spans="7:7">
      <c r="G10306" s="812"/>
    </row>
    <row r="10307" spans="7:7">
      <c r="G10307" s="812"/>
    </row>
    <row r="10308" spans="7:7">
      <c r="G10308" s="812"/>
    </row>
    <row r="10309" spans="7:7">
      <c r="G10309" s="812"/>
    </row>
    <row r="10310" spans="7:7">
      <c r="G10310" s="812"/>
    </row>
    <row r="10311" spans="7:7">
      <c r="G10311" s="812"/>
    </row>
    <row r="10312" spans="7:7">
      <c r="G10312" s="812"/>
    </row>
    <row r="10313" spans="7:7">
      <c r="G10313" s="812"/>
    </row>
    <row r="10314" spans="7:7">
      <c r="G10314" s="812"/>
    </row>
    <row r="10315" spans="7:7">
      <c r="G10315" s="812"/>
    </row>
    <row r="10316" spans="7:7">
      <c r="G10316" s="812"/>
    </row>
    <row r="10317" spans="7:7">
      <c r="G10317" s="812"/>
    </row>
    <row r="10318" spans="7:7">
      <c r="G10318" s="812"/>
    </row>
    <row r="10319" spans="7:7">
      <c r="G10319" s="812"/>
    </row>
    <row r="10320" spans="7:7">
      <c r="G10320" s="812"/>
    </row>
    <row r="10321" spans="7:7">
      <c r="G10321" s="812"/>
    </row>
    <row r="10322" spans="7:7">
      <c r="G10322" s="812"/>
    </row>
    <row r="10323" spans="7:7">
      <c r="G10323" s="812"/>
    </row>
    <row r="10324" spans="7:7">
      <c r="G10324" s="812"/>
    </row>
    <row r="10325" spans="7:7">
      <c r="G10325" s="812"/>
    </row>
    <row r="10326" spans="7:7">
      <c r="G10326" s="812"/>
    </row>
    <row r="10327" spans="7:7">
      <c r="G10327" s="812"/>
    </row>
    <row r="10328" spans="7:7">
      <c r="G10328" s="812"/>
    </row>
    <row r="10329" spans="7:7">
      <c r="G10329" s="812"/>
    </row>
    <row r="10330" spans="7:7">
      <c r="G10330" s="812"/>
    </row>
    <row r="10331" spans="7:7">
      <c r="G10331" s="812"/>
    </row>
    <row r="10332" spans="7:7">
      <c r="G10332" s="812"/>
    </row>
    <row r="10333" spans="7:7">
      <c r="G10333" s="812"/>
    </row>
    <row r="10334" spans="7:7">
      <c r="G10334" s="812"/>
    </row>
    <row r="10335" spans="7:7">
      <c r="G10335" s="812"/>
    </row>
    <row r="10336" spans="7:7">
      <c r="G10336" s="812"/>
    </row>
    <row r="10337" spans="7:7">
      <c r="G10337" s="812"/>
    </row>
    <row r="10338" spans="7:7">
      <c r="G10338" s="812"/>
    </row>
    <row r="10339" spans="7:7">
      <c r="G10339" s="812"/>
    </row>
    <row r="10340" spans="7:7">
      <c r="G10340" s="812"/>
    </row>
    <row r="10341" spans="7:7">
      <c r="G10341" s="812"/>
    </row>
    <row r="10342" spans="7:7">
      <c r="G10342" s="812"/>
    </row>
    <row r="10343" spans="7:7">
      <c r="G10343" s="812"/>
    </row>
    <row r="10344" spans="7:7">
      <c r="G10344" s="812"/>
    </row>
    <row r="10345" spans="7:7">
      <c r="G10345" s="812"/>
    </row>
    <row r="10346" spans="7:7">
      <c r="G10346" s="812"/>
    </row>
    <row r="10347" spans="7:7">
      <c r="G10347" s="812"/>
    </row>
    <row r="10348" spans="7:7">
      <c r="G10348" s="812"/>
    </row>
    <row r="10349" spans="7:7">
      <c r="G10349" s="812"/>
    </row>
    <row r="10350" spans="7:7">
      <c r="G10350" s="812"/>
    </row>
    <row r="10351" spans="7:7">
      <c r="G10351" s="812"/>
    </row>
    <row r="10352" spans="7:7">
      <c r="G10352" s="812"/>
    </row>
    <row r="10353" spans="7:7">
      <c r="G10353" s="812"/>
    </row>
    <row r="10354" spans="7:7">
      <c r="G10354" s="812"/>
    </row>
    <row r="10355" spans="7:7">
      <c r="G10355" s="812"/>
    </row>
    <row r="10356" spans="7:7">
      <c r="G10356" s="812"/>
    </row>
    <row r="10357" spans="7:7">
      <c r="G10357" s="812"/>
    </row>
    <row r="10358" spans="7:7">
      <c r="G10358" s="812"/>
    </row>
    <row r="10359" spans="7:7">
      <c r="G10359" s="812"/>
    </row>
    <row r="10360" spans="7:7">
      <c r="G10360" s="812"/>
    </row>
    <row r="10361" spans="7:7">
      <c r="G10361" s="812"/>
    </row>
    <row r="10362" spans="7:7">
      <c r="G10362" s="812"/>
    </row>
    <row r="10363" spans="7:7">
      <c r="G10363" s="812"/>
    </row>
    <row r="10364" spans="7:7">
      <c r="G10364" s="812"/>
    </row>
    <row r="10365" spans="7:7">
      <c r="G10365" s="812"/>
    </row>
    <row r="10366" spans="7:7">
      <c r="G10366" s="812"/>
    </row>
    <row r="10367" spans="7:7">
      <c r="G10367" s="812"/>
    </row>
    <row r="10368" spans="7:7">
      <c r="G10368" s="812"/>
    </row>
    <row r="10369" spans="7:7">
      <c r="G10369" s="812"/>
    </row>
    <row r="10370" spans="7:7">
      <c r="G10370" s="812"/>
    </row>
    <row r="10371" spans="7:7">
      <c r="G10371" s="812"/>
    </row>
    <row r="10372" spans="7:7">
      <c r="G10372" s="812"/>
    </row>
    <row r="10373" spans="7:7">
      <c r="G10373" s="812"/>
    </row>
    <row r="10374" spans="7:7">
      <c r="G10374" s="812"/>
    </row>
    <row r="10375" spans="7:7">
      <c r="G10375" s="812"/>
    </row>
    <row r="10376" spans="7:7">
      <c r="G10376" s="812"/>
    </row>
    <row r="10377" spans="7:7">
      <c r="G10377" s="812"/>
    </row>
    <row r="10378" spans="7:7">
      <c r="G10378" s="812"/>
    </row>
    <row r="10379" spans="7:7">
      <c r="G10379" s="812"/>
    </row>
    <row r="10380" spans="7:7">
      <c r="G10380" s="812"/>
    </row>
    <row r="10381" spans="7:7">
      <c r="G10381" s="812"/>
    </row>
    <row r="10382" spans="7:7">
      <c r="G10382" s="812"/>
    </row>
    <row r="10383" spans="7:7">
      <c r="G10383" s="812"/>
    </row>
    <row r="10384" spans="7:7">
      <c r="G10384" s="812"/>
    </row>
    <row r="10385" spans="7:7">
      <c r="G10385" s="812"/>
    </row>
    <row r="10386" spans="7:7">
      <c r="G10386" s="812"/>
    </row>
    <row r="10387" spans="7:7">
      <c r="G10387" s="812"/>
    </row>
    <row r="10388" spans="7:7">
      <c r="G10388" s="812"/>
    </row>
    <row r="10389" spans="7:7">
      <c r="G10389" s="812"/>
    </row>
    <row r="10390" spans="7:7">
      <c r="G10390" s="812"/>
    </row>
    <row r="10391" spans="7:7">
      <c r="G10391" s="812"/>
    </row>
    <row r="10392" spans="7:7">
      <c r="G10392" s="812"/>
    </row>
    <row r="10393" spans="7:7">
      <c r="G10393" s="812"/>
    </row>
    <row r="10394" spans="7:7">
      <c r="G10394" s="812"/>
    </row>
    <row r="10395" spans="7:7">
      <c r="G10395" s="812"/>
    </row>
    <row r="10396" spans="7:7">
      <c r="G10396" s="812"/>
    </row>
    <row r="10397" spans="7:7">
      <c r="G10397" s="812"/>
    </row>
    <row r="10398" spans="7:7">
      <c r="G10398" s="812"/>
    </row>
    <row r="10399" spans="7:7">
      <c r="G10399" s="812"/>
    </row>
    <row r="10400" spans="7:7">
      <c r="G10400" s="812"/>
    </row>
    <row r="10401" spans="7:7">
      <c r="G10401" s="812"/>
    </row>
    <row r="10402" spans="7:7">
      <c r="G10402" s="812"/>
    </row>
    <row r="10403" spans="7:7">
      <c r="G10403" s="812"/>
    </row>
    <row r="10404" spans="7:7">
      <c r="G10404" s="812"/>
    </row>
    <row r="10405" spans="7:7">
      <c r="G10405" s="812"/>
    </row>
    <row r="10406" spans="7:7">
      <c r="G10406" s="812"/>
    </row>
    <row r="10407" spans="7:7">
      <c r="G10407" s="812"/>
    </row>
    <row r="10408" spans="7:7">
      <c r="G10408" s="812"/>
    </row>
    <row r="10409" spans="7:7">
      <c r="G10409" s="812"/>
    </row>
    <row r="10410" spans="7:7">
      <c r="G10410" s="812"/>
    </row>
    <row r="10411" spans="7:7">
      <c r="G10411" s="812"/>
    </row>
    <row r="10412" spans="7:7">
      <c r="G10412" s="812"/>
    </row>
    <row r="10413" spans="7:7">
      <c r="G10413" s="812"/>
    </row>
    <row r="10414" spans="7:7">
      <c r="G10414" s="812"/>
    </row>
    <row r="10415" spans="7:7">
      <c r="G10415" s="812"/>
    </row>
    <row r="10416" spans="7:7">
      <c r="G10416" s="812"/>
    </row>
    <row r="10417" spans="7:7">
      <c r="G10417" s="812"/>
    </row>
    <row r="10418" spans="7:7">
      <c r="G10418" s="812"/>
    </row>
    <row r="10419" spans="7:7">
      <c r="G10419" s="812"/>
    </row>
    <row r="10420" spans="7:7">
      <c r="G10420" s="812"/>
    </row>
    <row r="10421" spans="7:7">
      <c r="G10421" s="812"/>
    </row>
    <row r="10422" spans="7:7">
      <c r="G10422" s="812"/>
    </row>
    <row r="10423" spans="7:7">
      <c r="G10423" s="812"/>
    </row>
    <row r="10424" spans="7:7">
      <c r="G10424" s="812"/>
    </row>
    <row r="10425" spans="7:7">
      <c r="G10425" s="812"/>
    </row>
    <row r="10426" spans="7:7">
      <c r="G10426" s="812"/>
    </row>
    <row r="10427" spans="7:7">
      <c r="G10427" s="812"/>
    </row>
    <row r="10428" spans="7:7">
      <c r="G10428" s="812"/>
    </row>
    <row r="10429" spans="7:7">
      <c r="G10429" s="812"/>
    </row>
    <row r="10430" spans="7:7">
      <c r="G10430" s="812"/>
    </row>
    <row r="10431" spans="7:7">
      <c r="G10431" s="812"/>
    </row>
    <row r="10432" spans="7:7">
      <c r="G10432" s="812"/>
    </row>
    <row r="10433" spans="7:7">
      <c r="G10433" s="812"/>
    </row>
    <row r="10434" spans="7:7">
      <c r="G10434" s="812"/>
    </row>
    <row r="10435" spans="7:7">
      <c r="G10435" s="812"/>
    </row>
    <row r="10436" spans="7:7">
      <c r="G10436" s="812"/>
    </row>
    <row r="10437" spans="7:7">
      <c r="G10437" s="812"/>
    </row>
    <row r="10438" spans="7:7">
      <c r="G10438" s="812"/>
    </row>
    <row r="10439" spans="7:7">
      <c r="G10439" s="812"/>
    </row>
    <row r="10440" spans="7:7">
      <c r="G10440" s="812"/>
    </row>
    <row r="10441" spans="7:7">
      <c r="G10441" s="812"/>
    </row>
    <row r="10442" spans="7:7">
      <c r="G10442" s="812"/>
    </row>
    <row r="10443" spans="7:7">
      <c r="G10443" s="812"/>
    </row>
    <row r="10444" spans="7:7">
      <c r="G10444" s="812"/>
    </row>
    <row r="10445" spans="7:7">
      <c r="G10445" s="812"/>
    </row>
    <row r="10446" spans="7:7">
      <c r="G10446" s="812"/>
    </row>
    <row r="10447" spans="7:7">
      <c r="G10447" s="812"/>
    </row>
    <row r="10448" spans="7:7">
      <c r="G10448" s="812"/>
    </row>
    <row r="10449" spans="7:7">
      <c r="G10449" s="812"/>
    </row>
    <row r="10450" spans="7:7">
      <c r="G10450" s="812"/>
    </row>
    <row r="10451" spans="7:7">
      <c r="G10451" s="812"/>
    </row>
    <row r="10452" spans="7:7">
      <c r="G10452" s="812"/>
    </row>
    <row r="10453" spans="7:7">
      <c r="G10453" s="812"/>
    </row>
    <row r="10454" spans="7:7">
      <c r="G10454" s="812"/>
    </row>
    <row r="10455" spans="7:7">
      <c r="G10455" s="812"/>
    </row>
    <row r="10456" spans="7:7">
      <c r="G10456" s="812"/>
    </row>
    <row r="10457" spans="7:7">
      <c r="G10457" s="812"/>
    </row>
    <row r="10458" spans="7:7">
      <c r="G10458" s="812"/>
    </row>
    <row r="10459" spans="7:7">
      <c r="G10459" s="812"/>
    </row>
    <row r="10460" spans="7:7">
      <c r="G10460" s="812"/>
    </row>
    <row r="10461" spans="7:7">
      <c r="G10461" s="812"/>
    </row>
    <row r="10462" spans="7:7">
      <c r="G10462" s="812"/>
    </row>
    <row r="10463" spans="7:7">
      <c r="G10463" s="812"/>
    </row>
    <row r="10464" spans="7:7">
      <c r="G10464" s="812"/>
    </row>
    <row r="10465" spans="7:7">
      <c r="G10465" s="812"/>
    </row>
    <row r="10466" spans="7:7">
      <c r="G10466" s="812"/>
    </row>
    <row r="10467" spans="7:7">
      <c r="G10467" s="812"/>
    </row>
    <row r="10468" spans="7:7">
      <c r="G10468" s="812"/>
    </row>
    <row r="10469" spans="7:7">
      <c r="G10469" s="812"/>
    </row>
    <row r="10470" spans="7:7">
      <c r="G10470" s="812"/>
    </row>
    <row r="10471" spans="7:7">
      <c r="G10471" s="812"/>
    </row>
    <row r="10472" spans="7:7">
      <c r="G10472" s="812"/>
    </row>
    <row r="10473" spans="7:7">
      <c r="G10473" s="812"/>
    </row>
    <row r="10474" spans="7:7">
      <c r="G10474" s="812"/>
    </row>
    <row r="10475" spans="7:7">
      <c r="G10475" s="812"/>
    </row>
    <row r="10476" spans="7:7">
      <c r="G10476" s="812"/>
    </row>
    <row r="10477" spans="7:7">
      <c r="G10477" s="812"/>
    </row>
    <row r="10478" spans="7:7">
      <c r="G10478" s="812"/>
    </row>
    <row r="10479" spans="7:7">
      <c r="G10479" s="812"/>
    </row>
    <row r="10480" spans="7:7">
      <c r="G10480" s="812"/>
    </row>
    <row r="10481" spans="7:7">
      <c r="G10481" s="812"/>
    </row>
    <row r="10482" spans="7:7">
      <c r="G10482" s="812"/>
    </row>
    <row r="10483" spans="7:7">
      <c r="G10483" s="812"/>
    </row>
    <row r="10484" spans="7:7">
      <c r="G10484" s="812"/>
    </row>
    <row r="10485" spans="7:7">
      <c r="G10485" s="812"/>
    </row>
    <row r="10486" spans="7:7">
      <c r="G10486" s="812"/>
    </row>
    <row r="10487" spans="7:7">
      <c r="G10487" s="812"/>
    </row>
    <row r="10488" spans="7:7">
      <c r="G10488" s="812"/>
    </row>
    <row r="10489" spans="7:7">
      <c r="G10489" s="812"/>
    </row>
    <row r="10490" spans="7:7">
      <c r="G10490" s="812"/>
    </row>
    <row r="10491" spans="7:7">
      <c r="G10491" s="812"/>
    </row>
    <row r="10492" spans="7:7">
      <c r="G10492" s="812"/>
    </row>
    <row r="10493" spans="7:7">
      <c r="G10493" s="812"/>
    </row>
    <row r="10494" spans="7:7">
      <c r="G10494" s="812"/>
    </row>
    <row r="10495" spans="7:7">
      <c r="G10495" s="812"/>
    </row>
    <row r="10496" spans="7:7">
      <c r="G10496" s="812"/>
    </row>
    <row r="10497" spans="7:7">
      <c r="G10497" s="812"/>
    </row>
    <row r="10498" spans="7:7">
      <c r="G10498" s="812"/>
    </row>
    <row r="10499" spans="7:7">
      <c r="G10499" s="812"/>
    </row>
    <row r="10500" spans="7:7">
      <c r="G10500" s="812"/>
    </row>
    <row r="10501" spans="7:7">
      <c r="G10501" s="812"/>
    </row>
    <row r="10502" spans="7:7">
      <c r="G10502" s="812"/>
    </row>
    <row r="10503" spans="7:7">
      <c r="G10503" s="812"/>
    </row>
    <row r="10504" spans="7:7">
      <c r="G10504" s="812"/>
    </row>
    <row r="10505" spans="7:7">
      <c r="G10505" s="812"/>
    </row>
    <row r="10506" spans="7:7">
      <c r="G10506" s="812"/>
    </row>
    <row r="10507" spans="7:7">
      <c r="G10507" s="812"/>
    </row>
    <row r="10508" spans="7:7">
      <c r="G10508" s="812"/>
    </row>
    <row r="10509" spans="7:7">
      <c r="G10509" s="812"/>
    </row>
    <row r="10510" spans="7:7">
      <c r="G10510" s="812"/>
    </row>
    <row r="10511" spans="7:7">
      <c r="G10511" s="812"/>
    </row>
    <row r="10512" spans="7:7">
      <c r="G10512" s="812"/>
    </row>
    <row r="10513" spans="7:7">
      <c r="G10513" s="812"/>
    </row>
    <row r="10514" spans="7:7">
      <c r="G10514" s="812"/>
    </row>
    <row r="10515" spans="7:7">
      <c r="G10515" s="812"/>
    </row>
    <row r="10516" spans="7:7">
      <c r="G10516" s="812"/>
    </row>
    <row r="10517" spans="7:7">
      <c r="G10517" s="812"/>
    </row>
    <row r="10518" spans="7:7">
      <c r="G10518" s="812"/>
    </row>
    <row r="10519" spans="7:7">
      <c r="G10519" s="812"/>
    </row>
    <row r="10520" spans="7:7">
      <c r="G10520" s="812"/>
    </row>
    <row r="10521" spans="7:7">
      <c r="G10521" s="812"/>
    </row>
    <row r="10522" spans="7:7">
      <c r="G10522" s="812"/>
    </row>
    <row r="10523" spans="7:7">
      <c r="G10523" s="812"/>
    </row>
    <row r="10524" spans="7:7">
      <c r="G10524" s="812"/>
    </row>
    <row r="10525" spans="7:7">
      <c r="G10525" s="812"/>
    </row>
    <row r="10526" spans="7:7">
      <c r="G10526" s="812"/>
    </row>
    <row r="10527" spans="7:7">
      <c r="G10527" s="812"/>
    </row>
    <row r="10528" spans="7:7">
      <c r="G10528" s="812"/>
    </row>
    <row r="10529" spans="7:7">
      <c r="G10529" s="812"/>
    </row>
    <row r="10530" spans="7:7">
      <c r="G10530" s="812"/>
    </row>
    <row r="10531" spans="7:7">
      <c r="G10531" s="812"/>
    </row>
    <row r="10532" spans="7:7">
      <c r="G10532" s="812"/>
    </row>
    <row r="10533" spans="7:7">
      <c r="G10533" s="812"/>
    </row>
    <row r="10534" spans="7:7">
      <c r="G10534" s="812"/>
    </row>
    <row r="10535" spans="7:7">
      <c r="G10535" s="812"/>
    </row>
    <row r="10536" spans="7:7">
      <c r="G10536" s="812"/>
    </row>
    <row r="10537" spans="7:7">
      <c r="G10537" s="812"/>
    </row>
    <row r="10538" spans="7:7">
      <c r="G10538" s="812"/>
    </row>
    <row r="10539" spans="7:7">
      <c r="G10539" s="812"/>
    </row>
    <row r="10540" spans="7:7">
      <c r="G10540" s="812"/>
    </row>
    <row r="10541" spans="7:7">
      <c r="G10541" s="812"/>
    </row>
    <row r="10542" spans="7:7">
      <c r="G10542" s="812"/>
    </row>
    <row r="10543" spans="7:7">
      <c r="G10543" s="812"/>
    </row>
    <row r="10544" spans="7:7">
      <c r="G10544" s="812"/>
    </row>
    <row r="10545" spans="7:7">
      <c r="G10545" s="812"/>
    </row>
    <row r="10546" spans="7:7">
      <c r="G10546" s="812"/>
    </row>
    <row r="10547" spans="7:7">
      <c r="G10547" s="812"/>
    </row>
    <row r="10548" spans="7:7">
      <c r="G10548" s="812"/>
    </row>
    <row r="10549" spans="7:7">
      <c r="G10549" s="812"/>
    </row>
    <row r="10550" spans="7:7">
      <c r="G10550" s="812"/>
    </row>
    <row r="10551" spans="7:7">
      <c r="G10551" s="812"/>
    </row>
    <row r="10552" spans="7:7">
      <c r="G10552" s="812"/>
    </row>
    <row r="10553" spans="7:7">
      <c r="G10553" s="812"/>
    </row>
    <row r="10554" spans="7:7">
      <c r="G10554" s="812"/>
    </row>
    <row r="10555" spans="7:7">
      <c r="G10555" s="812"/>
    </row>
    <row r="10556" spans="7:7">
      <c r="G10556" s="812"/>
    </row>
    <row r="10557" spans="7:7">
      <c r="G10557" s="812"/>
    </row>
    <row r="10558" spans="7:7">
      <c r="G10558" s="812"/>
    </row>
    <row r="10559" spans="7:7">
      <c r="G10559" s="812"/>
    </row>
    <row r="10560" spans="7:7">
      <c r="G10560" s="812"/>
    </row>
    <row r="10561" spans="7:7">
      <c r="G10561" s="812"/>
    </row>
    <row r="10562" spans="7:7">
      <c r="G10562" s="812"/>
    </row>
    <row r="10563" spans="7:7">
      <c r="G10563" s="812"/>
    </row>
    <row r="10564" spans="7:7">
      <c r="G10564" s="812"/>
    </row>
    <row r="10565" spans="7:7">
      <c r="G10565" s="812"/>
    </row>
    <row r="10566" spans="7:7">
      <c r="G10566" s="812"/>
    </row>
    <row r="10567" spans="7:7">
      <c r="G10567" s="812"/>
    </row>
    <row r="10568" spans="7:7">
      <c r="G10568" s="812"/>
    </row>
    <row r="10569" spans="7:7">
      <c r="G10569" s="812"/>
    </row>
    <row r="10570" spans="7:7">
      <c r="G10570" s="812"/>
    </row>
    <row r="10571" spans="7:7">
      <c r="G10571" s="812"/>
    </row>
    <row r="10572" spans="7:7">
      <c r="G10572" s="812"/>
    </row>
    <row r="10573" spans="7:7">
      <c r="G10573" s="812"/>
    </row>
    <row r="10574" spans="7:7">
      <c r="G10574" s="812"/>
    </row>
    <row r="10575" spans="7:7">
      <c r="G10575" s="812"/>
    </row>
    <row r="10576" spans="7:7">
      <c r="G10576" s="812"/>
    </row>
    <row r="10577" spans="7:7">
      <c r="G10577" s="812"/>
    </row>
    <row r="10578" spans="7:7">
      <c r="G10578" s="812"/>
    </row>
    <row r="10579" spans="7:7">
      <c r="G10579" s="812"/>
    </row>
    <row r="10580" spans="7:7">
      <c r="G10580" s="812"/>
    </row>
    <row r="10581" spans="7:7">
      <c r="G10581" s="812"/>
    </row>
    <row r="10582" spans="7:7">
      <c r="G10582" s="812"/>
    </row>
    <row r="10583" spans="7:7">
      <c r="G10583" s="812"/>
    </row>
    <row r="10584" spans="7:7">
      <c r="G10584" s="812"/>
    </row>
    <row r="10585" spans="7:7">
      <c r="G10585" s="812"/>
    </row>
    <row r="10586" spans="7:7">
      <c r="G10586" s="812"/>
    </row>
    <row r="10587" spans="7:7">
      <c r="G10587" s="812"/>
    </row>
    <row r="10588" spans="7:7">
      <c r="G10588" s="812"/>
    </row>
    <row r="10589" spans="7:7">
      <c r="G10589" s="812"/>
    </row>
    <row r="10590" spans="7:7">
      <c r="G10590" s="812"/>
    </row>
    <row r="10591" spans="7:7">
      <c r="G10591" s="812"/>
    </row>
    <row r="10592" spans="7:7">
      <c r="G10592" s="812"/>
    </row>
    <row r="10593" spans="7:7">
      <c r="G10593" s="812"/>
    </row>
    <row r="10594" spans="7:7">
      <c r="G10594" s="812"/>
    </row>
    <row r="10595" spans="7:7">
      <c r="G10595" s="812"/>
    </row>
    <row r="10596" spans="7:7">
      <c r="G10596" s="812"/>
    </row>
    <row r="10597" spans="7:7">
      <c r="G10597" s="812"/>
    </row>
    <row r="10598" spans="7:7">
      <c r="G10598" s="812"/>
    </row>
    <row r="10599" spans="7:7">
      <c r="G10599" s="812"/>
    </row>
    <row r="10600" spans="7:7">
      <c r="G10600" s="812"/>
    </row>
    <row r="10601" spans="7:7">
      <c r="G10601" s="812"/>
    </row>
    <row r="10602" spans="7:7">
      <c r="G10602" s="812"/>
    </row>
    <row r="10603" spans="7:7">
      <c r="G10603" s="812"/>
    </row>
    <row r="10604" spans="7:7">
      <c r="G10604" s="812"/>
    </row>
    <row r="10605" spans="7:7">
      <c r="G10605" s="812"/>
    </row>
    <row r="10606" spans="7:7">
      <c r="G10606" s="812"/>
    </row>
    <row r="10607" spans="7:7">
      <c r="G10607" s="812"/>
    </row>
    <row r="10608" spans="7:7">
      <c r="G10608" s="812"/>
    </row>
    <row r="10609" spans="7:7">
      <c r="G10609" s="812"/>
    </row>
    <row r="10610" spans="7:7">
      <c r="G10610" s="812"/>
    </row>
    <row r="10611" spans="7:7">
      <c r="G10611" s="812"/>
    </row>
    <row r="10612" spans="7:7">
      <c r="G10612" s="812"/>
    </row>
    <row r="10613" spans="7:7">
      <c r="G10613" s="812"/>
    </row>
    <row r="10614" spans="7:7">
      <c r="G10614" s="812"/>
    </row>
    <row r="10615" spans="7:7">
      <c r="G10615" s="812"/>
    </row>
    <row r="10616" spans="7:7">
      <c r="G10616" s="812"/>
    </row>
    <row r="10617" spans="7:7">
      <c r="G10617" s="812"/>
    </row>
    <row r="10618" spans="7:7">
      <c r="G10618" s="812"/>
    </row>
    <row r="10619" spans="7:7">
      <c r="G10619" s="812"/>
    </row>
    <row r="10620" spans="7:7">
      <c r="G10620" s="812"/>
    </row>
    <row r="10621" spans="7:7">
      <c r="G10621" s="812"/>
    </row>
    <row r="10622" spans="7:7">
      <c r="G10622" s="812"/>
    </row>
    <row r="10623" spans="7:7">
      <c r="G10623" s="812"/>
    </row>
    <row r="10624" spans="7:7">
      <c r="G10624" s="812"/>
    </row>
    <row r="10625" spans="7:7">
      <c r="G10625" s="812"/>
    </row>
    <row r="10626" spans="7:7">
      <c r="G10626" s="812"/>
    </row>
    <row r="10627" spans="7:7">
      <c r="G10627" s="812"/>
    </row>
    <row r="10628" spans="7:7">
      <c r="G10628" s="812"/>
    </row>
    <row r="10629" spans="7:7">
      <c r="G10629" s="812"/>
    </row>
    <row r="10630" spans="7:7">
      <c r="G10630" s="812"/>
    </row>
    <row r="10631" spans="7:7">
      <c r="G10631" s="812"/>
    </row>
    <row r="10632" spans="7:7">
      <c r="G10632" s="812"/>
    </row>
    <row r="10633" spans="7:7">
      <c r="G10633" s="812"/>
    </row>
    <row r="10634" spans="7:7">
      <c r="G10634" s="812"/>
    </row>
    <row r="10635" spans="7:7">
      <c r="G10635" s="812"/>
    </row>
    <row r="10636" spans="7:7">
      <c r="G10636" s="812"/>
    </row>
    <row r="10637" spans="7:7">
      <c r="G10637" s="812"/>
    </row>
    <row r="10638" spans="7:7">
      <c r="G10638" s="812"/>
    </row>
    <row r="10639" spans="7:7">
      <c r="G10639" s="812"/>
    </row>
    <row r="10640" spans="7:7">
      <c r="G10640" s="812"/>
    </row>
    <row r="10641" spans="7:7">
      <c r="G10641" s="812"/>
    </row>
    <row r="10642" spans="7:7">
      <c r="G10642" s="812"/>
    </row>
    <row r="10643" spans="7:7">
      <c r="G10643" s="812"/>
    </row>
    <row r="10644" spans="7:7">
      <c r="G10644" s="812"/>
    </row>
    <row r="10645" spans="7:7">
      <c r="G10645" s="812"/>
    </row>
    <row r="10646" spans="7:7">
      <c r="G10646" s="812"/>
    </row>
    <row r="10647" spans="7:7">
      <c r="G10647" s="812"/>
    </row>
    <row r="10648" spans="7:7">
      <c r="G10648" s="812"/>
    </row>
    <row r="10649" spans="7:7">
      <c r="G10649" s="812"/>
    </row>
    <row r="10650" spans="7:7">
      <c r="G10650" s="812"/>
    </row>
    <row r="10651" spans="7:7">
      <c r="G10651" s="812"/>
    </row>
    <row r="10652" spans="7:7">
      <c r="G10652" s="812"/>
    </row>
    <row r="10653" spans="7:7">
      <c r="G10653" s="812"/>
    </row>
    <row r="10654" spans="7:7">
      <c r="G10654" s="812"/>
    </row>
    <row r="10655" spans="7:7">
      <c r="G10655" s="812"/>
    </row>
    <row r="10656" spans="7:7">
      <c r="G10656" s="812"/>
    </row>
    <row r="10657" spans="7:7">
      <c r="G10657" s="812"/>
    </row>
    <row r="10658" spans="7:7">
      <c r="G10658" s="812"/>
    </row>
    <row r="10659" spans="7:7">
      <c r="G10659" s="812"/>
    </row>
    <row r="10660" spans="7:7">
      <c r="G10660" s="812"/>
    </row>
    <row r="10661" spans="7:7">
      <c r="G10661" s="812"/>
    </row>
    <row r="10662" spans="7:7">
      <c r="G10662" s="812"/>
    </row>
    <row r="10663" spans="7:7">
      <c r="G10663" s="812"/>
    </row>
    <row r="10664" spans="7:7">
      <c r="G10664" s="812"/>
    </row>
    <row r="10665" spans="7:7">
      <c r="G10665" s="812"/>
    </row>
    <row r="10666" spans="7:7">
      <c r="G10666" s="812"/>
    </row>
    <row r="10667" spans="7:7">
      <c r="G10667" s="812"/>
    </row>
    <row r="10668" spans="7:7">
      <c r="G10668" s="812"/>
    </row>
    <row r="10669" spans="7:7">
      <c r="G10669" s="812"/>
    </row>
    <row r="10670" spans="7:7">
      <c r="G10670" s="812"/>
    </row>
    <row r="10671" spans="7:7">
      <c r="G10671" s="812"/>
    </row>
    <row r="10672" spans="7:7">
      <c r="G10672" s="812"/>
    </row>
    <row r="10673" spans="7:7">
      <c r="G10673" s="812"/>
    </row>
    <row r="10674" spans="7:7">
      <c r="G10674" s="812"/>
    </row>
    <row r="10675" spans="7:7">
      <c r="G10675" s="812"/>
    </row>
    <row r="10676" spans="7:7">
      <c r="G10676" s="812"/>
    </row>
    <row r="10677" spans="7:7">
      <c r="G10677" s="812"/>
    </row>
    <row r="10678" spans="7:7">
      <c r="G10678" s="812"/>
    </row>
    <row r="10679" spans="7:7">
      <c r="G10679" s="812"/>
    </row>
    <row r="10680" spans="7:7">
      <c r="G10680" s="812"/>
    </row>
    <row r="10681" spans="7:7">
      <c r="G10681" s="812"/>
    </row>
    <row r="10682" spans="7:7">
      <c r="G10682" s="812"/>
    </row>
    <row r="10683" spans="7:7">
      <c r="G10683" s="812"/>
    </row>
    <row r="10684" spans="7:7">
      <c r="G10684" s="812"/>
    </row>
    <row r="10685" spans="7:7">
      <c r="G10685" s="812"/>
    </row>
    <row r="10686" spans="7:7">
      <c r="G10686" s="812"/>
    </row>
    <row r="10687" spans="7:7">
      <c r="G10687" s="812"/>
    </row>
    <row r="10688" spans="7:7">
      <c r="G10688" s="812"/>
    </row>
    <row r="10689" spans="7:7">
      <c r="G10689" s="812"/>
    </row>
    <row r="10690" spans="7:7">
      <c r="G10690" s="812"/>
    </row>
    <row r="10691" spans="7:7">
      <c r="G10691" s="812"/>
    </row>
    <row r="10692" spans="7:7">
      <c r="G10692" s="812"/>
    </row>
    <row r="10693" spans="7:7">
      <c r="G10693" s="812"/>
    </row>
    <row r="10694" spans="7:7">
      <c r="G10694" s="812"/>
    </row>
    <row r="10695" spans="7:7">
      <c r="G10695" s="812"/>
    </row>
    <row r="10696" spans="7:7">
      <c r="G10696" s="812"/>
    </row>
    <row r="10697" spans="7:7">
      <c r="G10697" s="812"/>
    </row>
    <row r="10698" spans="7:7">
      <c r="G10698" s="812"/>
    </row>
    <row r="10699" spans="7:7">
      <c r="G10699" s="812"/>
    </row>
    <row r="10700" spans="7:7">
      <c r="G10700" s="812"/>
    </row>
    <row r="10701" spans="7:7">
      <c r="G10701" s="812"/>
    </row>
    <row r="10702" spans="7:7">
      <c r="G10702" s="812"/>
    </row>
    <row r="10703" spans="7:7">
      <c r="G10703" s="812"/>
    </row>
    <row r="10704" spans="7:7">
      <c r="G10704" s="812"/>
    </row>
    <row r="10705" spans="7:7">
      <c r="G10705" s="812"/>
    </row>
    <row r="10706" spans="7:7">
      <c r="G10706" s="812"/>
    </row>
    <row r="10707" spans="7:7">
      <c r="G10707" s="812"/>
    </row>
    <row r="10708" spans="7:7">
      <c r="G10708" s="812"/>
    </row>
    <row r="10709" spans="7:7">
      <c r="G10709" s="812"/>
    </row>
    <row r="10710" spans="7:7">
      <c r="G10710" s="812"/>
    </row>
    <row r="10711" spans="7:7">
      <c r="G10711" s="812"/>
    </row>
    <row r="10712" spans="7:7">
      <c r="G10712" s="812"/>
    </row>
    <row r="10713" spans="7:7">
      <c r="G10713" s="812"/>
    </row>
    <row r="10714" spans="7:7">
      <c r="G10714" s="812"/>
    </row>
    <row r="10715" spans="7:7">
      <c r="G10715" s="812"/>
    </row>
    <row r="10716" spans="7:7">
      <c r="G10716" s="812"/>
    </row>
    <row r="10717" spans="7:7">
      <c r="G10717" s="812"/>
    </row>
    <row r="10718" spans="7:7">
      <c r="G10718" s="812"/>
    </row>
    <row r="10719" spans="7:7">
      <c r="G10719" s="812"/>
    </row>
    <row r="10720" spans="7:7">
      <c r="G10720" s="812"/>
    </row>
    <row r="10721" spans="7:7">
      <c r="G10721" s="812"/>
    </row>
    <row r="10722" spans="7:7">
      <c r="G10722" s="812"/>
    </row>
    <row r="10723" spans="7:7">
      <c r="G10723" s="812"/>
    </row>
    <row r="10724" spans="7:7">
      <c r="G10724" s="812"/>
    </row>
    <row r="10725" spans="7:7">
      <c r="G10725" s="812"/>
    </row>
    <row r="10726" spans="7:7">
      <c r="G10726" s="812"/>
    </row>
    <row r="10727" spans="7:7">
      <c r="G10727" s="812"/>
    </row>
    <row r="10728" spans="7:7">
      <c r="G10728" s="812"/>
    </row>
    <row r="10729" spans="7:7">
      <c r="G10729" s="812"/>
    </row>
    <row r="10730" spans="7:7">
      <c r="G10730" s="812"/>
    </row>
    <row r="10731" spans="7:7">
      <c r="G10731" s="812"/>
    </row>
    <row r="10732" spans="7:7">
      <c r="G10732" s="812"/>
    </row>
    <row r="10733" spans="7:7">
      <c r="G10733" s="812"/>
    </row>
    <row r="10734" spans="7:7">
      <c r="G10734" s="812"/>
    </row>
    <row r="10735" spans="7:7">
      <c r="G10735" s="812"/>
    </row>
    <row r="10736" spans="7:7">
      <c r="G10736" s="812"/>
    </row>
    <row r="10737" spans="7:7">
      <c r="G10737" s="812"/>
    </row>
    <row r="10738" spans="7:7">
      <c r="G10738" s="812"/>
    </row>
    <row r="10739" spans="7:7">
      <c r="G10739" s="812"/>
    </row>
    <row r="10740" spans="7:7">
      <c r="G10740" s="812"/>
    </row>
    <row r="10741" spans="7:7">
      <c r="G10741" s="812"/>
    </row>
    <row r="10742" spans="7:7">
      <c r="G10742" s="812"/>
    </row>
    <row r="10743" spans="7:7">
      <c r="G10743" s="812"/>
    </row>
    <row r="10744" spans="7:7">
      <c r="G10744" s="812"/>
    </row>
    <row r="10745" spans="7:7">
      <c r="G10745" s="812"/>
    </row>
    <row r="10746" spans="7:7">
      <c r="G10746" s="812"/>
    </row>
    <row r="10747" spans="7:7">
      <c r="G10747" s="812"/>
    </row>
    <row r="10748" spans="7:7">
      <c r="G10748" s="812"/>
    </row>
    <row r="10749" spans="7:7">
      <c r="G10749" s="812"/>
    </row>
    <row r="10750" spans="7:7">
      <c r="G10750" s="812"/>
    </row>
    <row r="10751" spans="7:7">
      <c r="G10751" s="812"/>
    </row>
    <row r="10752" spans="7:7">
      <c r="G10752" s="812"/>
    </row>
    <row r="10753" spans="7:7">
      <c r="G10753" s="812"/>
    </row>
    <row r="10754" spans="7:7">
      <c r="G10754" s="812"/>
    </row>
    <row r="10755" spans="7:7">
      <c r="G10755" s="812"/>
    </row>
    <row r="10756" spans="7:7">
      <c r="G10756" s="812"/>
    </row>
    <row r="10757" spans="7:7">
      <c r="G10757" s="812"/>
    </row>
    <row r="10758" spans="7:7">
      <c r="G10758" s="812"/>
    </row>
    <row r="10759" spans="7:7">
      <c r="G10759" s="812"/>
    </row>
    <row r="10760" spans="7:7">
      <c r="G10760" s="812"/>
    </row>
    <row r="10761" spans="7:7">
      <c r="G10761" s="812"/>
    </row>
    <row r="10762" spans="7:7">
      <c r="G10762" s="812"/>
    </row>
    <row r="10763" spans="7:7">
      <c r="G10763" s="812"/>
    </row>
    <row r="10764" spans="7:7">
      <c r="G10764" s="812"/>
    </row>
    <row r="10765" spans="7:7">
      <c r="G10765" s="812"/>
    </row>
    <row r="10766" spans="7:7">
      <c r="G10766" s="812"/>
    </row>
    <row r="10767" spans="7:7">
      <c r="G10767" s="812"/>
    </row>
    <row r="10768" spans="7:7">
      <c r="G10768" s="812"/>
    </row>
    <row r="10769" spans="7:7">
      <c r="G10769" s="812"/>
    </row>
    <row r="10770" spans="7:7">
      <c r="G10770" s="812"/>
    </row>
    <row r="10771" spans="7:7">
      <c r="G10771" s="812"/>
    </row>
    <row r="10772" spans="7:7">
      <c r="G10772" s="812"/>
    </row>
    <row r="10773" spans="7:7">
      <c r="G10773" s="812"/>
    </row>
    <row r="10774" spans="7:7">
      <c r="G10774" s="812"/>
    </row>
    <row r="10775" spans="7:7">
      <c r="G10775" s="812"/>
    </row>
    <row r="10776" spans="7:7">
      <c r="G10776" s="812"/>
    </row>
    <row r="10777" spans="7:7">
      <c r="G10777" s="812"/>
    </row>
    <row r="10778" spans="7:7">
      <c r="G10778" s="812"/>
    </row>
    <row r="10779" spans="7:7">
      <c r="G10779" s="812"/>
    </row>
    <row r="10780" spans="7:7">
      <c r="G10780" s="812"/>
    </row>
    <row r="10781" spans="7:7">
      <c r="G10781" s="812"/>
    </row>
    <row r="10782" spans="7:7">
      <c r="G10782" s="812"/>
    </row>
    <row r="10783" spans="7:7">
      <c r="G10783" s="812"/>
    </row>
    <row r="10784" spans="7:7">
      <c r="G10784" s="812"/>
    </row>
    <row r="10785" spans="7:7">
      <c r="G10785" s="812"/>
    </row>
    <row r="10786" spans="7:7">
      <c r="G10786" s="812"/>
    </row>
    <row r="10787" spans="7:7">
      <c r="G10787" s="812"/>
    </row>
    <row r="10788" spans="7:7">
      <c r="G10788" s="812"/>
    </row>
    <row r="10789" spans="7:7">
      <c r="G10789" s="812"/>
    </row>
    <row r="10790" spans="7:7">
      <c r="G10790" s="812"/>
    </row>
    <row r="10791" spans="7:7">
      <c r="G10791" s="812"/>
    </row>
    <row r="10792" spans="7:7">
      <c r="G10792" s="812"/>
    </row>
    <row r="10793" spans="7:7">
      <c r="G10793" s="812"/>
    </row>
    <row r="10794" spans="7:7">
      <c r="G10794" s="812"/>
    </row>
    <row r="10795" spans="7:7">
      <c r="G10795" s="812"/>
    </row>
    <row r="10796" spans="7:7">
      <c r="G10796" s="812"/>
    </row>
    <row r="10797" spans="7:7">
      <c r="G10797" s="812"/>
    </row>
    <row r="10798" spans="7:7">
      <c r="G10798" s="812"/>
    </row>
    <row r="10799" spans="7:7">
      <c r="G10799" s="812"/>
    </row>
    <row r="10800" spans="7:7">
      <c r="G10800" s="812"/>
    </row>
    <row r="10801" spans="7:7">
      <c r="G10801" s="812"/>
    </row>
    <row r="10802" spans="7:7">
      <c r="G10802" s="812"/>
    </row>
    <row r="10803" spans="7:7">
      <c r="G10803" s="812"/>
    </row>
    <row r="10804" spans="7:7">
      <c r="G10804" s="812"/>
    </row>
    <row r="10805" spans="7:7">
      <c r="G10805" s="812"/>
    </row>
    <row r="10806" spans="7:7">
      <c r="G10806" s="812"/>
    </row>
    <row r="10807" spans="7:7">
      <c r="G10807" s="812"/>
    </row>
    <row r="10808" spans="7:7">
      <c r="G10808" s="812"/>
    </row>
    <row r="10809" spans="7:7">
      <c r="G10809" s="812"/>
    </row>
    <row r="10810" spans="7:7">
      <c r="G10810" s="812"/>
    </row>
    <row r="10811" spans="7:7">
      <c r="G10811" s="812"/>
    </row>
    <row r="10812" spans="7:7">
      <c r="G10812" s="812"/>
    </row>
    <row r="10813" spans="7:7">
      <c r="G10813" s="812"/>
    </row>
    <row r="10814" spans="7:7">
      <c r="G10814" s="812"/>
    </row>
    <row r="10815" spans="7:7">
      <c r="G10815" s="812"/>
    </row>
    <row r="10816" spans="7:7">
      <c r="G10816" s="812"/>
    </row>
    <row r="10817" spans="7:7">
      <c r="G10817" s="812"/>
    </row>
    <row r="10818" spans="7:7">
      <c r="G10818" s="812"/>
    </row>
    <row r="10819" spans="7:7">
      <c r="G10819" s="812"/>
    </row>
    <row r="10820" spans="7:7">
      <c r="G10820" s="812"/>
    </row>
    <row r="10821" spans="7:7">
      <c r="G10821" s="812"/>
    </row>
    <row r="10822" spans="7:7">
      <c r="G10822" s="812"/>
    </row>
    <row r="10823" spans="7:7">
      <c r="G10823" s="812"/>
    </row>
    <row r="10824" spans="7:7">
      <c r="G10824" s="812"/>
    </row>
    <row r="10825" spans="7:7">
      <c r="G10825" s="812"/>
    </row>
    <row r="10826" spans="7:7">
      <c r="G10826" s="812"/>
    </row>
    <row r="10827" spans="7:7">
      <c r="G10827" s="812"/>
    </row>
    <row r="10828" spans="7:7">
      <c r="G10828" s="812"/>
    </row>
    <row r="10829" spans="7:7">
      <c r="G10829" s="812"/>
    </row>
    <row r="10830" spans="7:7">
      <c r="G10830" s="812"/>
    </row>
    <row r="10831" spans="7:7">
      <c r="G10831" s="812"/>
    </row>
    <row r="10832" spans="7:7">
      <c r="G10832" s="812"/>
    </row>
    <row r="10833" spans="7:7">
      <c r="G10833" s="812"/>
    </row>
    <row r="10834" spans="7:7">
      <c r="G10834" s="812"/>
    </row>
    <row r="10835" spans="7:7">
      <c r="G10835" s="812"/>
    </row>
    <row r="10836" spans="7:7">
      <c r="G10836" s="812"/>
    </row>
    <row r="10837" spans="7:7">
      <c r="G10837" s="812"/>
    </row>
    <row r="10838" spans="7:7">
      <c r="G10838" s="812"/>
    </row>
    <row r="10839" spans="7:7">
      <c r="G10839" s="812"/>
    </row>
    <row r="10840" spans="7:7">
      <c r="G10840" s="812"/>
    </row>
    <row r="10841" spans="7:7">
      <c r="G10841" s="812"/>
    </row>
    <row r="10842" spans="7:7">
      <c r="G10842" s="812"/>
    </row>
    <row r="10843" spans="7:7">
      <c r="G10843" s="812"/>
    </row>
    <row r="10844" spans="7:7">
      <c r="G10844" s="812"/>
    </row>
    <row r="10845" spans="7:7">
      <c r="G10845" s="812"/>
    </row>
    <row r="10846" spans="7:7">
      <c r="G10846" s="812"/>
    </row>
    <row r="10847" spans="7:7">
      <c r="G10847" s="812"/>
    </row>
    <row r="10848" spans="7:7">
      <c r="G10848" s="812"/>
    </row>
    <row r="10849" spans="7:7">
      <c r="G10849" s="812"/>
    </row>
    <row r="10850" spans="7:7">
      <c r="G10850" s="812"/>
    </row>
    <row r="10851" spans="7:7">
      <c r="G10851" s="812"/>
    </row>
    <row r="10852" spans="7:7">
      <c r="G10852" s="812"/>
    </row>
    <row r="10853" spans="7:7">
      <c r="G10853" s="812"/>
    </row>
    <row r="10854" spans="7:7">
      <c r="G10854" s="812"/>
    </row>
    <row r="10855" spans="7:7">
      <c r="G10855" s="812"/>
    </row>
    <row r="10856" spans="7:7">
      <c r="G10856" s="812"/>
    </row>
    <row r="10857" spans="7:7">
      <c r="G10857" s="812"/>
    </row>
    <row r="10858" spans="7:7">
      <c r="G10858" s="812"/>
    </row>
    <row r="10859" spans="7:7">
      <c r="G10859" s="812"/>
    </row>
    <row r="10860" spans="7:7">
      <c r="G10860" s="812"/>
    </row>
    <row r="10861" spans="7:7">
      <c r="G10861" s="812"/>
    </row>
    <row r="10862" spans="7:7">
      <c r="G10862" s="812"/>
    </row>
    <row r="10863" spans="7:7">
      <c r="G10863" s="812"/>
    </row>
    <row r="10864" spans="7:7">
      <c r="G10864" s="812"/>
    </row>
    <row r="10865" spans="7:7">
      <c r="G10865" s="812"/>
    </row>
    <row r="10866" spans="7:7">
      <c r="G10866" s="812"/>
    </row>
    <row r="10867" spans="7:7">
      <c r="G10867" s="812"/>
    </row>
    <row r="10868" spans="7:7">
      <c r="G10868" s="812"/>
    </row>
    <row r="10869" spans="7:7">
      <c r="G10869" s="812"/>
    </row>
    <row r="10870" spans="7:7">
      <c r="G10870" s="812"/>
    </row>
    <row r="10871" spans="7:7">
      <c r="G10871" s="812"/>
    </row>
    <row r="10872" spans="7:7">
      <c r="G10872" s="812"/>
    </row>
    <row r="10873" spans="7:7">
      <c r="G10873" s="812"/>
    </row>
    <row r="10874" spans="7:7">
      <c r="G10874" s="812"/>
    </row>
    <row r="10875" spans="7:7">
      <c r="G10875" s="812"/>
    </row>
    <row r="10876" spans="7:7">
      <c r="G10876" s="812"/>
    </row>
    <row r="10877" spans="7:7">
      <c r="G10877" s="812"/>
    </row>
    <row r="10878" spans="7:7">
      <c r="G10878" s="812"/>
    </row>
    <row r="10879" spans="7:7">
      <c r="G10879" s="812"/>
    </row>
    <row r="10880" spans="7:7">
      <c r="G10880" s="812"/>
    </row>
    <row r="10881" spans="7:7">
      <c r="G10881" s="812"/>
    </row>
    <row r="10882" spans="7:7">
      <c r="G10882" s="812"/>
    </row>
    <row r="10883" spans="7:7">
      <c r="G10883" s="812"/>
    </row>
    <row r="10884" spans="7:7">
      <c r="G10884" s="812"/>
    </row>
    <row r="10885" spans="7:7">
      <c r="G10885" s="812"/>
    </row>
    <row r="10886" spans="7:7">
      <c r="G10886" s="812"/>
    </row>
    <row r="10887" spans="7:7">
      <c r="G10887" s="812"/>
    </row>
    <row r="10888" spans="7:7">
      <c r="G10888" s="812"/>
    </row>
    <row r="10889" spans="7:7">
      <c r="G10889" s="812"/>
    </row>
    <row r="10890" spans="7:7">
      <c r="G10890" s="812"/>
    </row>
    <row r="10891" spans="7:7">
      <c r="G10891" s="812"/>
    </row>
    <row r="10892" spans="7:7">
      <c r="G10892" s="812"/>
    </row>
    <row r="10893" spans="7:7">
      <c r="G10893" s="812"/>
    </row>
    <row r="10894" spans="7:7">
      <c r="G10894" s="812"/>
    </row>
    <row r="10895" spans="7:7">
      <c r="G10895" s="812"/>
    </row>
    <row r="10896" spans="7:7">
      <c r="G10896" s="812"/>
    </row>
    <row r="10897" spans="7:7">
      <c r="G10897" s="812"/>
    </row>
    <row r="10898" spans="7:7">
      <c r="G10898" s="812"/>
    </row>
    <row r="10899" spans="7:7">
      <c r="G10899" s="812"/>
    </row>
    <row r="10900" spans="7:7">
      <c r="G10900" s="812"/>
    </row>
    <row r="10901" spans="7:7">
      <c r="G10901" s="812"/>
    </row>
    <row r="10902" spans="7:7">
      <c r="G10902" s="812"/>
    </row>
    <row r="10903" spans="7:7">
      <c r="G10903" s="812"/>
    </row>
    <row r="10904" spans="7:7">
      <c r="G10904" s="812"/>
    </row>
    <row r="10905" spans="7:7">
      <c r="G10905" s="812"/>
    </row>
    <row r="10906" spans="7:7">
      <c r="G10906" s="812"/>
    </row>
    <row r="10907" spans="7:7">
      <c r="G10907" s="812"/>
    </row>
    <row r="10908" spans="7:7">
      <c r="G10908" s="812"/>
    </row>
    <row r="10909" spans="7:7">
      <c r="G10909" s="812"/>
    </row>
    <row r="10910" spans="7:7">
      <c r="G10910" s="812"/>
    </row>
    <row r="10911" spans="7:7">
      <c r="G10911" s="812"/>
    </row>
    <row r="10912" spans="7:7">
      <c r="G10912" s="812"/>
    </row>
    <row r="10913" spans="7:7">
      <c r="G10913" s="812"/>
    </row>
    <row r="10914" spans="7:7">
      <c r="G10914" s="812"/>
    </row>
    <row r="10915" spans="7:7">
      <c r="G10915" s="812"/>
    </row>
    <row r="10916" spans="7:7">
      <c r="G10916" s="812"/>
    </row>
    <row r="10917" spans="7:7">
      <c r="G10917" s="812"/>
    </row>
    <row r="10918" spans="7:7">
      <c r="G10918" s="812"/>
    </row>
    <row r="10919" spans="7:7">
      <c r="G10919" s="812"/>
    </row>
    <row r="10920" spans="7:7">
      <c r="G10920" s="812"/>
    </row>
    <row r="10921" spans="7:7">
      <c r="G10921" s="812"/>
    </row>
    <row r="10922" spans="7:7">
      <c r="G10922" s="812"/>
    </row>
    <row r="10923" spans="7:7">
      <c r="G10923" s="812"/>
    </row>
    <row r="10924" spans="7:7">
      <c r="G10924" s="812"/>
    </row>
    <row r="10925" spans="7:7">
      <c r="G10925" s="812"/>
    </row>
    <row r="10926" spans="7:7">
      <c r="G10926" s="812"/>
    </row>
    <row r="10927" spans="7:7">
      <c r="G10927" s="812"/>
    </row>
    <row r="10928" spans="7:7">
      <c r="G10928" s="812"/>
    </row>
    <row r="10929" spans="7:7">
      <c r="G10929" s="812"/>
    </row>
    <row r="10930" spans="7:7">
      <c r="G10930" s="812"/>
    </row>
    <row r="10931" spans="7:7">
      <c r="G10931" s="812"/>
    </row>
    <row r="10932" spans="7:7">
      <c r="G10932" s="812"/>
    </row>
    <row r="10933" spans="7:7">
      <c r="G10933" s="812"/>
    </row>
    <row r="10934" spans="7:7">
      <c r="G10934" s="812"/>
    </row>
    <row r="10935" spans="7:7">
      <c r="G10935" s="812"/>
    </row>
    <row r="10936" spans="7:7">
      <c r="G10936" s="812"/>
    </row>
    <row r="10937" spans="7:7">
      <c r="G10937" s="812"/>
    </row>
    <row r="10938" spans="7:7">
      <c r="G10938" s="812"/>
    </row>
    <row r="10939" spans="7:7">
      <c r="G10939" s="812"/>
    </row>
    <row r="10940" spans="7:7">
      <c r="G10940" s="812"/>
    </row>
    <row r="10941" spans="7:7">
      <c r="G10941" s="812"/>
    </row>
    <row r="10942" spans="7:7">
      <c r="G10942" s="812"/>
    </row>
    <row r="10943" spans="7:7">
      <c r="G10943" s="812"/>
    </row>
    <row r="10944" spans="7:7">
      <c r="G10944" s="812"/>
    </row>
    <row r="10945" spans="7:7">
      <c r="G10945" s="812"/>
    </row>
    <row r="10946" spans="7:7">
      <c r="G10946" s="812"/>
    </row>
    <row r="10947" spans="7:7">
      <c r="G10947" s="812"/>
    </row>
    <row r="10948" spans="7:7">
      <c r="G10948" s="812"/>
    </row>
    <row r="10949" spans="7:7">
      <c r="G10949" s="812"/>
    </row>
    <row r="10950" spans="7:7">
      <c r="G10950" s="812"/>
    </row>
    <row r="10951" spans="7:7">
      <c r="G10951" s="812"/>
    </row>
    <row r="10952" spans="7:7">
      <c r="G10952" s="812"/>
    </row>
    <row r="10953" spans="7:7">
      <c r="G10953" s="812"/>
    </row>
    <row r="10954" spans="7:7">
      <c r="G10954" s="812"/>
    </row>
    <row r="10955" spans="7:7">
      <c r="G10955" s="812"/>
    </row>
    <row r="10956" spans="7:7">
      <c r="G10956" s="812"/>
    </row>
    <row r="10957" spans="7:7">
      <c r="G10957" s="812"/>
    </row>
    <row r="10958" spans="7:7">
      <c r="G10958" s="812"/>
    </row>
    <row r="10959" spans="7:7">
      <c r="G10959" s="812"/>
    </row>
    <row r="10960" spans="7:7">
      <c r="G10960" s="812"/>
    </row>
    <row r="10961" spans="7:7">
      <c r="G10961" s="812"/>
    </row>
    <row r="10962" spans="7:7">
      <c r="G10962" s="812"/>
    </row>
    <row r="10963" spans="7:7">
      <c r="G10963" s="812"/>
    </row>
    <row r="10964" spans="7:7">
      <c r="G10964" s="812"/>
    </row>
    <row r="10965" spans="7:7">
      <c r="G10965" s="812"/>
    </row>
    <row r="10966" spans="7:7">
      <c r="G10966" s="812"/>
    </row>
    <row r="10967" spans="7:7">
      <c r="G10967" s="812"/>
    </row>
    <row r="10968" spans="7:7">
      <c r="G10968" s="812"/>
    </row>
    <row r="10969" spans="7:7">
      <c r="G10969" s="812"/>
    </row>
    <row r="10970" spans="7:7">
      <c r="G10970" s="812"/>
    </row>
    <row r="10971" spans="7:7">
      <c r="G10971" s="812"/>
    </row>
    <row r="10972" spans="7:7">
      <c r="G10972" s="812"/>
    </row>
    <row r="10973" spans="7:7">
      <c r="G10973" s="812"/>
    </row>
    <row r="10974" spans="7:7">
      <c r="G10974" s="812"/>
    </row>
    <row r="10975" spans="7:7">
      <c r="G10975" s="812"/>
    </row>
    <row r="10976" spans="7:7">
      <c r="G10976" s="812"/>
    </row>
    <row r="10977" spans="7:7">
      <c r="G10977" s="812"/>
    </row>
    <row r="10978" spans="7:7">
      <c r="G10978" s="812"/>
    </row>
    <row r="10979" spans="7:7">
      <c r="G10979" s="812"/>
    </row>
    <row r="10980" spans="7:7">
      <c r="G10980" s="812"/>
    </row>
    <row r="10981" spans="7:7">
      <c r="G10981" s="812"/>
    </row>
    <row r="10982" spans="7:7">
      <c r="G10982" s="812"/>
    </row>
    <row r="10983" spans="7:7">
      <c r="G10983" s="812"/>
    </row>
    <row r="10984" spans="7:7">
      <c r="G10984" s="812"/>
    </row>
    <row r="10985" spans="7:7">
      <c r="G10985" s="812"/>
    </row>
    <row r="10986" spans="7:7">
      <c r="G10986" s="812"/>
    </row>
    <row r="10987" spans="7:7">
      <c r="G10987" s="812"/>
    </row>
    <row r="10988" spans="7:7">
      <c r="G10988" s="812"/>
    </row>
    <row r="10989" spans="7:7">
      <c r="G10989" s="812"/>
    </row>
    <row r="10990" spans="7:7">
      <c r="G10990" s="812"/>
    </row>
    <row r="10991" spans="7:7">
      <c r="G10991" s="812"/>
    </row>
    <row r="10992" spans="7:7">
      <c r="G10992" s="812"/>
    </row>
    <row r="10993" spans="7:7">
      <c r="G10993" s="812"/>
    </row>
    <row r="10994" spans="7:7">
      <c r="G10994" s="812"/>
    </row>
    <row r="10995" spans="7:7">
      <c r="G10995" s="812"/>
    </row>
    <row r="10996" spans="7:7">
      <c r="G10996" s="812"/>
    </row>
    <row r="10997" spans="7:7">
      <c r="G10997" s="812"/>
    </row>
    <row r="10998" spans="7:7">
      <c r="G10998" s="812"/>
    </row>
    <row r="10999" spans="7:7">
      <c r="G10999" s="812"/>
    </row>
    <row r="11000" spans="7:7">
      <c r="G11000" s="812"/>
    </row>
    <row r="11001" spans="7:7">
      <c r="G11001" s="812"/>
    </row>
    <row r="11002" spans="7:7">
      <c r="G11002" s="812"/>
    </row>
    <row r="11003" spans="7:7">
      <c r="G11003" s="812"/>
    </row>
    <row r="11004" spans="7:7">
      <c r="G11004" s="812"/>
    </row>
    <row r="11005" spans="7:7">
      <c r="G11005" s="812"/>
    </row>
    <row r="11006" spans="7:7">
      <c r="G11006" s="812"/>
    </row>
    <row r="11007" spans="7:7">
      <c r="G11007" s="812"/>
    </row>
    <row r="11008" spans="7:7">
      <c r="G11008" s="812"/>
    </row>
    <row r="11009" spans="7:7">
      <c r="G11009" s="812"/>
    </row>
    <row r="11010" spans="7:7">
      <c r="G11010" s="812"/>
    </row>
    <row r="11011" spans="7:7">
      <c r="G11011" s="812"/>
    </row>
    <row r="11012" spans="7:7">
      <c r="G11012" s="812"/>
    </row>
    <row r="11013" spans="7:7">
      <c r="G11013" s="812"/>
    </row>
    <row r="11014" spans="7:7">
      <c r="G11014" s="812"/>
    </row>
    <row r="11015" spans="7:7">
      <c r="G11015" s="812"/>
    </row>
    <row r="11016" spans="7:7">
      <c r="G11016" s="812"/>
    </row>
    <row r="11017" spans="7:7">
      <c r="G11017" s="812"/>
    </row>
    <row r="11018" spans="7:7">
      <c r="G11018" s="812"/>
    </row>
    <row r="11019" spans="7:7">
      <c r="G11019" s="812"/>
    </row>
    <row r="11020" spans="7:7">
      <c r="G11020" s="812"/>
    </row>
    <row r="11021" spans="7:7">
      <c r="G11021" s="812"/>
    </row>
    <row r="11022" spans="7:7">
      <c r="G11022" s="812"/>
    </row>
    <row r="11023" spans="7:7">
      <c r="G11023" s="812"/>
    </row>
    <row r="11024" spans="7:7">
      <c r="G11024" s="812"/>
    </row>
    <row r="11025" spans="7:7">
      <c r="G11025" s="812"/>
    </row>
    <row r="11026" spans="7:7">
      <c r="G11026" s="812"/>
    </row>
    <row r="11027" spans="7:7">
      <c r="G11027" s="812"/>
    </row>
    <row r="11028" spans="7:7">
      <c r="G11028" s="812"/>
    </row>
    <row r="11029" spans="7:7">
      <c r="G11029" s="812"/>
    </row>
    <row r="11030" spans="7:7">
      <c r="G11030" s="812"/>
    </row>
    <row r="11031" spans="7:7">
      <c r="G11031" s="812"/>
    </row>
    <row r="11032" spans="7:7">
      <c r="G11032" s="812"/>
    </row>
    <row r="11033" spans="7:7">
      <c r="G11033" s="812"/>
    </row>
    <row r="11034" spans="7:7">
      <c r="G11034" s="812"/>
    </row>
    <row r="11035" spans="7:7">
      <c r="G11035" s="812"/>
    </row>
    <row r="11036" spans="7:7">
      <c r="G11036" s="812"/>
    </row>
    <row r="11037" spans="7:7">
      <c r="G11037" s="812"/>
    </row>
    <row r="11038" spans="7:7">
      <c r="G11038" s="812"/>
    </row>
    <row r="11039" spans="7:7">
      <c r="G11039" s="812"/>
    </row>
    <row r="11040" spans="7:7">
      <c r="G11040" s="812"/>
    </row>
    <row r="11041" spans="7:7">
      <c r="G11041" s="812"/>
    </row>
    <row r="11042" spans="7:7">
      <c r="G11042" s="812"/>
    </row>
    <row r="11043" spans="7:7">
      <c r="G11043" s="812"/>
    </row>
    <row r="11044" spans="7:7">
      <c r="G11044" s="812"/>
    </row>
    <row r="11045" spans="7:7">
      <c r="G11045" s="812"/>
    </row>
    <row r="11046" spans="7:7">
      <c r="G11046" s="812"/>
    </row>
    <row r="11047" spans="7:7">
      <c r="G11047" s="812"/>
    </row>
    <row r="11048" spans="7:7">
      <c r="G11048" s="812"/>
    </row>
    <row r="11049" spans="7:7">
      <c r="G11049" s="812"/>
    </row>
    <row r="11050" spans="7:7">
      <c r="G11050" s="812"/>
    </row>
    <row r="11051" spans="7:7">
      <c r="G11051" s="812"/>
    </row>
    <row r="11052" spans="7:7">
      <c r="G11052" s="812"/>
    </row>
    <row r="11053" spans="7:7">
      <c r="G11053" s="812"/>
    </row>
    <row r="11054" spans="7:7">
      <c r="G11054" s="812"/>
    </row>
    <row r="11055" spans="7:7">
      <c r="G11055" s="812"/>
    </row>
    <row r="11056" spans="7:7">
      <c r="G11056" s="812"/>
    </row>
    <row r="11057" spans="7:7">
      <c r="G11057" s="812"/>
    </row>
    <row r="11058" spans="7:7">
      <c r="G11058" s="812"/>
    </row>
    <row r="11059" spans="7:7">
      <c r="G11059" s="812"/>
    </row>
    <row r="11060" spans="7:7">
      <c r="G11060" s="812"/>
    </row>
    <row r="11061" spans="7:7">
      <c r="G11061" s="812"/>
    </row>
    <row r="11062" spans="7:7">
      <c r="G11062" s="812"/>
    </row>
    <row r="11063" spans="7:7">
      <c r="G11063" s="812"/>
    </row>
    <row r="11064" spans="7:7">
      <c r="G11064" s="812"/>
    </row>
    <row r="11065" spans="7:7">
      <c r="G11065" s="812"/>
    </row>
    <row r="11066" spans="7:7">
      <c r="G11066" s="812"/>
    </row>
    <row r="11067" spans="7:7">
      <c r="G11067" s="812"/>
    </row>
    <row r="11068" spans="7:7">
      <c r="G11068" s="812"/>
    </row>
    <row r="11069" spans="7:7">
      <c r="G11069" s="812"/>
    </row>
    <row r="11070" spans="7:7">
      <c r="G11070" s="812"/>
    </row>
    <row r="11071" spans="7:7">
      <c r="G11071" s="812"/>
    </row>
    <row r="11072" spans="7:7">
      <c r="G11072" s="812"/>
    </row>
    <row r="11073" spans="7:7">
      <c r="G11073" s="812"/>
    </row>
    <row r="11074" spans="7:7">
      <c r="G11074" s="812"/>
    </row>
    <row r="11075" spans="7:7">
      <c r="G11075" s="812"/>
    </row>
    <row r="11076" spans="7:7">
      <c r="G11076" s="812"/>
    </row>
    <row r="11077" spans="7:7">
      <c r="G11077" s="812"/>
    </row>
    <row r="11078" spans="7:7">
      <c r="G11078" s="812"/>
    </row>
    <row r="11079" spans="7:7">
      <c r="G11079" s="812"/>
    </row>
    <row r="11080" spans="7:7">
      <c r="G11080" s="812"/>
    </row>
    <row r="11081" spans="7:7">
      <c r="G11081" s="812"/>
    </row>
    <row r="11082" spans="7:7">
      <c r="G11082" s="812"/>
    </row>
    <row r="11083" spans="7:7">
      <c r="G11083" s="812"/>
    </row>
    <row r="11084" spans="7:7">
      <c r="G11084" s="812"/>
    </row>
    <row r="11085" spans="7:7">
      <c r="G11085" s="812"/>
    </row>
    <row r="11086" spans="7:7">
      <c r="G11086" s="812"/>
    </row>
    <row r="11087" spans="7:7">
      <c r="G11087" s="812"/>
    </row>
    <row r="11088" spans="7:7">
      <c r="G11088" s="812"/>
    </row>
    <row r="11089" spans="7:7">
      <c r="G11089" s="812"/>
    </row>
    <row r="11090" spans="7:7">
      <c r="G11090" s="812"/>
    </row>
    <row r="11091" spans="7:7">
      <c r="G11091" s="812"/>
    </row>
    <row r="11092" spans="7:7">
      <c r="G11092" s="812"/>
    </row>
    <row r="11093" spans="7:7">
      <c r="G11093" s="812"/>
    </row>
    <row r="11094" spans="7:7">
      <c r="G11094" s="812"/>
    </row>
    <row r="11095" spans="7:7">
      <c r="G11095" s="812"/>
    </row>
    <row r="11096" spans="7:7">
      <c r="G11096" s="812"/>
    </row>
    <row r="11097" spans="7:7">
      <c r="G11097" s="812"/>
    </row>
    <row r="11098" spans="7:7">
      <c r="G11098" s="812"/>
    </row>
    <row r="11099" spans="7:7">
      <c r="G11099" s="812"/>
    </row>
    <row r="11100" spans="7:7">
      <c r="G11100" s="812"/>
    </row>
    <row r="11101" spans="7:7">
      <c r="G11101" s="812"/>
    </row>
    <row r="11102" spans="7:7">
      <c r="G11102" s="812"/>
    </row>
    <row r="11103" spans="7:7">
      <c r="G11103" s="812"/>
    </row>
    <row r="11104" spans="7:7">
      <c r="G11104" s="812"/>
    </row>
    <row r="11105" spans="7:7">
      <c r="G11105" s="812"/>
    </row>
    <row r="11106" spans="7:7">
      <c r="G11106" s="812"/>
    </row>
    <row r="11107" spans="7:7">
      <c r="G11107" s="812"/>
    </row>
    <row r="11108" spans="7:7">
      <c r="G11108" s="812"/>
    </row>
    <row r="11109" spans="7:7">
      <c r="G11109" s="812"/>
    </row>
    <row r="11110" spans="7:7">
      <c r="G11110" s="812"/>
    </row>
    <row r="11111" spans="7:7">
      <c r="G11111" s="812"/>
    </row>
    <row r="11112" spans="7:7">
      <c r="G11112" s="812"/>
    </row>
    <row r="11113" spans="7:7">
      <c r="G11113" s="812"/>
    </row>
    <row r="11114" spans="7:7">
      <c r="G11114" s="812"/>
    </row>
    <row r="11115" spans="7:7">
      <c r="G11115" s="812"/>
    </row>
    <row r="11116" spans="7:7">
      <c r="G11116" s="812"/>
    </row>
    <row r="11117" spans="7:7">
      <c r="G11117" s="812"/>
    </row>
    <row r="11118" spans="7:7">
      <c r="G11118" s="812"/>
    </row>
    <row r="11119" spans="7:7">
      <c r="G11119" s="812"/>
    </row>
    <row r="11120" spans="7:7">
      <c r="G11120" s="812"/>
    </row>
    <row r="11121" spans="7:7">
      <c r="G11121" s="812"/>
    </row>
    <row r="11122" spans="7:7">
      <c r="G11122" s="812"/>
    </row>
    <row r="11123" spans="7:7">
      <c r="G11123" s="812"/>
    </row>
    <row r="11124" spans="7:7">
      <c r="G11124" s="812"/>
    </row>
    <row r="11125" spans="7:7">
      <c r="G11125" s="812"/>
    </row>
    <row r="11126" spans="7:7">
      <c r="G11126" s="812"/>
    </row>
    <row r="11127" spans="7:7">
      <c r="G11127" s="812"/>
    </row>
    <row r="11128" spans="7:7">
      <c r="G11128" s="812"/>
    </row>
    <row r="11129" spans="7:7">
      <c r="G11129" s="812"/>
    </row>
    <row r="11130" spans="7:7">
      <c r="G11130" s="812"/>
    </row>
    <row r="11131" spans="7:7">
      <c r="G11131" s="812"/>
    </row>
    <row r="11132" spans="7:7">
      <c r="G11132" s="812"/>
    </row>
    <row r="11133" spans="7:7">
      <c r="G11133" s="812"/>
    </row>
    <row r="11134" spans="7:7">
      <c r="G11134" s="812"/>
    </row>
    <row r="11135" spans="7:7">
      <c r="G11135" s="812"/>
    </row>
    <row r="11136" spans="7:7">
      <c r="G11136" s="812"/>
    </row>
    <row r="11137" spans="7:7">
      <c r="G11137" s="812"/>
    </row>
    <row r="11138" spans="7:7">
      <c r="G11138" s="812"/>
    </row>
    <row r="11139" spans="7:7">
      <c r="G11139" s="812"/>
    </row>
    <row r="11140" spans="7:7">
      <c r="G11140" s="812"/>
    </row>
    <row r="11141" spans="7:7">
      <c r="G11141" s="812"/>
    </row>
    <row r="11142" spans="7:7">
      <c r="G11142" s="812"/>
    </row>
    <row r="11143" spans="7:7">
      <c r="G11143" s="812"/>
    </row>
    <row r="11144" spans="7:7">
      <c r="G11144" s="812"/>
    </row>
    <row r="11145" spans="7:7">
      <c r="G11145" s="812"/>
    </row>
    <row r="11146" spans="7:7">
      <c r="G11146" s="812"/>
    </row>
    <row r="11147" spans="7:7">
      <c r="G11147" s="812"/>
    </row>
    <row r="11148" spans="7:7">
      <c r="G11148" s="812"/>
    </row>
    <row r="11149" spans="7:7">
      <c r="G11149" s="812"/>
    </row>
    <row r="11150" spans="7:7">
      <c r="G11150" s="812"/>
    </row>
    <row r="11151" spans="7:7">
      <c r="G11151" s="812"/>
    </row>
    <row r="11152" spans="7:7">
      <c r="G11152" s="812"/>
    </row>
    <row r="11153" spans="7:7">
      <c r="G11153" s="812"/>
    </row>
    <row r="11154" spans="7:7">
      <c r="G11154" s="812"/>
    </row>
    <row r="11155" spans="7:7">
      <c r="G11155" s="812"/>
    </row>
    <row r="11156" spans="7:7">
      <c r="G11156" s="812"/>
    </row>
    <row r="11157" spans="7:7">
      <c r="G11157" s="812"/>
    </row>
    <row r="11158" spans="7:7">
      <c r="G11158" s="812"/>
    </row>
    <row r="11159" spans="7:7">
      <c r="G11159" s="812"/>
    </row>
    <row r="11160" spans="7:7">
      <c r="G11160" s="812"/>
    </row>
    <row r="11161" spans="7:7">
      <c r="G11161" s="812"/>
    </row>
    <row r="11162" spans="7:7">
      <c r="G11162" s="812"/>
    </row>
    <row r="11163" spans="7:7">
      <c r="G11163" s="812"/>
    </row>
    <row r="11164" spans="7:7">
      <c r="G11164" s="812"/>
    </row>
    <row r="11165" spans="7:7">
      <c r="G11165" s="812"/>
    </row>
    <row r="11166" spans="7:7">
      <c r="G11166" s="812"/>
    </row>
    <row r="11167" spans="7:7">
      <c r="G11167" s="812"/>
    </row>
    <row r="11168" spans="7:7">
      <c r="G11168" s="812"/>
    </row>
    <row r="11169" spans="7:7">
      <c r="G11169" s="812"/>
    </row>
    <row r="11170" spans="7:7">
      <c r="G11170" s="812"/>
    </row>
    <row r="11171" spans="7:7">
      <c r="G11171" s="812"/>
    </row>
    <row r="11172" spans="7:7">
      <c r="G11172" s="812"/>
    </row>
    <row r="11173" spans="7:7">
      <c r="G11173" s="812"/>
    </row>
    <row r="11174" spans="7:7">
      <c r="G11174" s="812"/>
    </row>
    <row r="11175" spans="7:7">
      <c r="G11175" s="812"/>
    </row>
    <row r="11176" spans="7:7">
      <c r="G11176" s="812"/>
    </row>
    <row r="11177" spans="7:7">
      <c r="G11177" s="812"/>
    </row>
    <row r="11178" spans="7:7">
      <c r="G11178" s="812"/>
    </row>
    <row r="11179" spans="7:7">
      <c r="G11179" s="812"/>
    </row>
    <row r="11180" spans="7:7">
      <c r="G11180" s="812"/>
    </row>
    <row r="11181" spans="7:7">
      <c r="G11181" s="812"/>
    </row>
    <row r="11182" spans="7:7">
      <c r="G11182" s="812"/>
    </row>
    <row r="11183" spans="7:7">
      <c r="G11183" s="812"/>
    </row>
    <row r="11184" spans="7:7">
      <c r="G11184" s="812"/>
    </row>
    <row r="11185" spans="7:7">
      <c r="G11185" s="812"/>
    </row>
    <row r="11186" spans="7:7">
      <c r="G11186" s="812"/>
    </row>
    <row r="11187" spans="7:7">
      <c r="G11187" s="812"/>
    </row>
    <row r="11188" spans="7:7">
      <c r="G11188" s="812"/>
    </row>
    <row r="11189" spans="7:7">
      <c r="G11189" s="812"/>
    </row>
    <row r="11190" spans="7:7">
      <c r="G11190" s="812"/>
    </row>
    <row r="11191" spans="7:7">
      <c r="G11191" s="812"/>
    </row>
    <row r="11192" spans="7:7">
      <c r="G11192" s="812"/>
    </row>
    <row r="11193" spans="7:7">
      <c r="G11193" s="812"/>
    </row>
    <row r="11194" spans="7:7">
      <c r="G11194" s="812"/>
    </row>
    <row r="11195" spans="7:7">
      <c r="G11195" s="812"/>
    </row>
    <row r="11196" spans="7:7">
      <c r="G11196" s="812"/>
    </row>
    <row r="11197" spans="7:7">
      <c r="G11197" s="812"/>
    </row>
    <row r="11198" spans="7:7">
      <c r="G11198" s="812"/>
    </row>
    <row r="11199" spans="7:7">
      <c r="G11199" s="812"/>
    </row>
    <row r="11200" spans="7:7">
      <c r="G11200" s="812"/>
    </row>
    <row r="11201" spans="7:7">
      <c r="G11201" s="812"/>
    </row>
    <row r="11202" spans="7:7">
      <c r="G11202" s="812"/>
    </row>
    <row r="11203" spans="7:7">
      <c r="G11203" s="812"/>
    </row>
    <row r="11204" spans="7:7">
      <c r="G11204" s="812"/>
    </row>
    <row r="11205" spans="7:7">
      <c r="G11205" s="812"/>
    </row>
    <row r="11206" spans="7:7">
      <c r="G11206" s="812"/>
    </row>
    <row r="11207" spans="7:7">
      <c r="G11207" s="812"/>
    </row>
    <row r="11208" spans="7:7">
      <c r="G11208" s="812"/>
    </row>
    <row r="11209" spans="7:7">
      <c r="G11209" s="812"/>
    </row>
    <row r="11210" spans="7:7">
      <c r="G11210" s="812"/>
    </row>
    <row r="11211" spans="7:7">
      <c r="G11211" s="812"/>
    </row>
    <row r="11212" spans="7:7">
      <c r="G11212" s="812"/>
    </row>
    <row r="11213" spans="7:7">
      <c r="G11213" s="812"/>
    </row>
    <row r="11214" spans="7:7">
      <c r="G11214" s="812"/>
    </row>
    <row r="11215" spans="7:7">
      <c r="G11215" s="812"/>
    </row>
    <row r="11216" spans="7:7">
      <c r="G11216" s="812"/>
    </row>
    <row r="11217" spans="7:7">
      <c r="G11217" s="812"/>
    </row>
    <row r="11218" spans="7:7">
      <c r="G11218" s="812"/>
    </row>
    <row r="11219" spans="7:7">
      <c r="G11219" s="812"/>
    </row>
    <row r="11220" spans="7:7">
      <c r="G11220" s="812"/>
    </row>
    <row r="11221" spans="7:7">
      <c r="G11221" s="812"/>
    </row>
    <row r="11222" spans="7:7">
      <c r="G11222" s="812"/>
    </row>
    <row r="11223" spans="7:7">
      <c r="G11223" s="812"/>
    </row>
    <row r="11224" spans="7:7">
      <c r="G11224" s="812"/>
    </row>
    <row r="11225" spans="7:7">
      <c r="G11225" s="812"/>
    </row>
    <row r="11226" spans="7:7">
      <c r="G11226" s="812"/>
    </row>
    <row r="11227" spans="7:7">
      <c r="G11227" s="812"/>
    </row>
    <row r="11228" spans="7:7">
      <c r="G11228" s="812"/>
    </row>
    <row r="11229" spans="7:7">
      <c r="G11229" s="812"/>
    </row>
    <row r="11230" spans="7:7">
      <c r="G11230" s="812"/>
    </row>
    <row r="11231" spans="7:7">
      <c r="G11231" s="812"/>
    </row>
    <row r="11232" spans="7:7">
      <c r="G11232" s="812"/>
    </row>
    <row r="11233" spans="7:7">
      <c r="G11233" s="812"/>
    </row>
    <row r="11234" spans="7:7">
      <c r="G11234" s="812"/>
    </row>
    <row r="11235" spans="7:7">
      <c r="G11235" s="812"/>
    </row>
    <row r="11236" spans="7:7">
      <c r="G11236" s="812"/>
    </row>
    <row r="11237" spans="7:7">
      <c r="G11237" s="812"/>
    </row>
    <row r="11238" spans="7:7">
      <c r="G11238" s="812"/>
    </row>
    <row r="11239" spans="7:7">
      <c r="G11239" s="812"/>
    </row>
    <row r="11240" spans="7:7">
      <c r="G11240" s="812"/>
    </row>
    <row r="11241" spans="7:7">
      <c r="G11241" s="812"/>
    </row>
    <row r="11242" spans="7:7">
      <c r="G11242" s="812"/>
    </row>
    <row r="11243" spans="7:7">
      <c r="G11243" s="812"/>
    </row>
    <row r="11244" spans="7:7">
      <c r="G11244" s="812"/>
    </row>
    <row r="11245" spans="7:7">
      <c r="G11245" s="812"/>
    </row>
    <row r="11246" spans="7:7">
      <c r="G11246" s="812"/>
    </row>
    <row r="11247" spans="7:7">
      <c r="G11247" s="812"/>
    </row>
    <row r="11248" spans="7:7">
      <c r="G11248" s="812"/>
    </row>
    <row r="11249" spans="7:7">
      <c r="G11249" s="812"/>
    </row>
    <row r="11250" spans="7:7">
      <c r="G11250" s="812"/>
    </row>
    <row r="11251" spans="7:7">
      <c r="G11251" s="812"/>
    </row>
    <row r="11252" spans="7:7">
      <c r="G11252" s="812"/>
    </row>
    <row r="11253" spans="7:7">
      <c r="G11253" s="812"/>
    </row>
    <row r="11254" spans="7:7">
      <c r="G11254" s="812"/>
    </row>
    <row r="11255" spans="7:7">
      <c r="G11255" s="812"/>
    </row>
    <row r="11256" spans="7:7">
      <c r="G11256" s="812"/>
    </row>
    <row r="11257" spans="7:7">
      <c r="G11257" s="812"/>
    </row>
    <row r="11258" spans="7:7">
      <c r="G11258" s="812"/>
    </row>
    <row r="11259" spans="7:7">
      <c r="G11259" s="812"/>
    </row>
    <row r="11260" spans="7:7">
      <c r="G11260" s="812"/>
    </row>
    <row r="11261" spans="7:7">
      <c r="G11261" s="812"/>
    </row>
    <row r="11262" spans="7:7">
      <c r="G11262" s="812"/>
    </row>
    <row r="11263" spans="7:7">
      <c r="G11263" s="812"/>
    </row>
    <row r="11264" spans="7:7">
      <c r="G11264" s="812"/>
    </row>
    <row r="11265" spans="7:7">
      <c r="G11265" s="812"/>
    </row>
    <row r="11266" spans="7:7">
      <c r="G11266" s="812"/>
    </row>
    <row r="11267" spans="7:7">
      <c r="G11267" s="812"/>
    </row>
    <row r="11268" spans="7:7">
      <c r="G11268" s="812"/>
    </row>
    <row r="11269" spans="7:7">
      <c r="G11269" s="812"/>
    </row>
    <row r="11270" spans="7:7">
      <c r="G11270" s="812"/>
    </row>
    <row r="11271" spans="7:7">
      <c r="G11271" s="812"/>
    </row>
    <row r="11272" spans="7:7">
      <c r="G11272" s="812"/>
    </row>
    <row r="11273" spans="7:7">
      <c r="G11273" s="812"/>
    </row>
    <row r="11274" spans="7:7">
      <c r="G11274" s="812"/>
    </row>
    <row r="11275" spans="7:7">
      <c r="G11275" s="812"/>
    </row>
    <row r="11276" spans="7:7">
      <c r="G11276" s="812"/>
    </row>
    <row r="11277" spans="7:7">
      <c r="G11277" s="812"/>
    </row>
    <row r="11278" spans="7:7">
      <c r="G11278" s="812"/>
    </row>
    <row r="11279" spans="7:7">
      <c r="G11279" s="812"/>
    </row>
    <row r="11280" spans="7:7">
      <c r="G11280" s="812"/>
    </row>
    <row r="11281" spans="7:7">
      <c r="G11281" s="812"/>
    </row>
    <row r="11282" spans="7:7">
      <c r="G11282" s="812"/>
    </row>
    <row r="11283" spans="7:7">
      <c r="G11283" s="812"/>
    </row>
    <row r="11284" spans="7:7">
      <c r="G11284" s="812"/>
    </row>
    <row r="11285" spans="7:7">
      <c r="G11285" s="812"/>
    </row>
    <row r="11286" spans="7:7">
      <c r="G11286" s="812"/>
    </row>
    <row r="11287" spans="7:7">
      <c r="G11287" s="812"/>
    </row>
    <row r="11288" spans="7:7">
      <c r="G11288" s="812"/>
    </row>
    <row r="11289" spans="7:7">
      <c r="G11289" s="812"/>
    </row>
    <row r="11290" spans="7:7">
      <c r="G11290" s="812"/>
    </row>
    <row r="11291" spans="7:7">
      <c r="G11291" s="812"/>
    </row>
    <row r="11292" spans="7:7">
      <c r="G11292" s="812"/>
    </row>
    <row r="11293" spans="7:7">
      <c r="G11293" s="812"/>
    </row>
    <row r="11294" spans="7:7">
      <c r="G11294" s="812"/>
    </row>
    <row r="11295" spans="7:7">
      <c r="G11295" s="812"/>
    </row>
    <row r="11296" spans="7:7">
      <c r="G11296" s="812"/>
    </row>
    <row r="11297" spans="7:7">
      <c r="G11297" s="812"/>
    </row>
    <row r="11298" spans="7:7">
      <c r="G11298" s="812"/>
    </row>
    <row r="11299" spans="7:7">
      <c r="G11299" s="812"/>
    </row>
    <row r="11300" spans="7:7">
      <c r="G11300" s="812"/>
    </row>
    <row r="11301" spans="7:7">
      <c r="G11301" s="812"/>
    </row>
    <row r="11302" spans="7:7">
      <c r="G11302" s="812"/>
    </row>
    <row r="11303" spans="7:7">
      <c r="G11303" s="812"/>
    </row>
    <row r="11304" spans="7:7">
      <c r="G11304" s="812"/>
    </row>
    <row r="11305" spans="7:7">
      <c r="G11305" s="812"/>
    </row>
    <row r="11306" spans="7:7">
      <c r="G11306" s="812"/>
    </row>
    <row r="11307" spans="7:7">
      <c r="G11307" s="812"/>
    </row>
    <row r="11308" spans="7:7">
      <c r="G11308" s="812"/>
    </row>
    <row r="11309" spans="7:7">
      <c r="G11309" s="812"/>
    </row>
    <row r="11310" spans="7:7">
      <c r="G11310" s="812"/>
    </row>
    <row r="11311" spans="7:7">
      <c r="G11311" s="812"/>
    </row>
    <row r="11312" spans="7:7">
      <c r="G11312" s="812"/>
    </row>
    <row r="11313" spans="7:7">
      <c r="G11313" s="812"/>
    </row>
    <row r="11314" spans="7:7">
      <c r="G11314" s="812"/>
    </row>
    <row r="11315" spans="7:7">
      <c r="G11315" s="812"/>
    </row>
    <row r="11316" spans="7:7">
      <c r="G11316" s="812"/>
    </row>
    <row r="11317" spans="7:7">
      <c r="G11317" s="812"/>
    </row>
    <row r="11318" spans="7:7">
      <c r="G11318" s="812"/>
    </row>
    <row r="11319" spans="7:7">
      <c r="G11319" s="812"/>
    </row>
    <row r="11320" spans="7:7">
      <c r="G11320" s="812"/>
    </row>
    <row r="11321" spans="7:7">
      <c r="G11321" s="812"/>
    </row>
    <row r="11322" spans="7:7">
      <c r="G11322" s="812"/>
    </row>
    <row r="11323" spans="7:7">
      <c r="G11323" s="812"/>
    </row>
    <row r="11324" spans="7:7">
      <c r="G11324" s="812"/>
    </row>
    <row r="11325" spans="7:7">
      <c r="G11325" s="812"/>
    </row>
    <row r="11326" spans="7:7">
      <c r="G11326" s="812"/>
    </row>
    <row r="11327" spans="7:7">
      <c r="G11327" s="812"/>
    </row>
    <row r="11328" spans="7:7">
      <c r="G11328" s="812"/>
    </row>
    <row r="11329" spans="7:7">
      <c r="G11329" s="812"/>
    </row>
    <row r="11330" spans="7:7">
      <c r="G11330" s="812"/>
    </row>
    <row r="11331" spans="7:7">
      <c r="G11331" s="812"/>
    </row>
    <row r="11332" spans="7:7">
      <c r="G11332" s="812"/>
    </row>
    <row r="11333" spans="7:7">
      <c r="G11333" s="812"/>
    </row>
    <row r="11334" spans="7:7">
      <c r="G11334" s="812"/>
    </row>
    <row r="11335" spans="7:7">
      <c r="G11335" s="812"/>
    </row>
    <row r="11336" spans="7:7">
      <c r="G11336" s="812"/>
    </row>
    <row r="11337" spans="7:7">
      <c r="G11337" s="812"/>
    </row>
    <row r="11338" spans="7:7">
      <c r="G11338" s="812"/>
    </row>
    <row r="11339" spans="7:7">
      <c r="G11339" s="812"/>
    </row>
    <row r="11340" spans="7:7">
      <c r="G11340" s="812"/>
    </row>
    <row r="11341" spans="7:7">
      <c r="G11341" s="812"/>
    </row>
    <row r="11342" spans="7:7">
      <c r="G11342" s="812"/>
    </row>
    <row r="11343" spans="7:7">
      <c r="G11343" s="812"/>
    </row>
    <row r="11344" spans="7:7">
      <c r="G11344" s="812"/>
    </row>
    <row r="11345" spans="7:7">
      <c r="G11345" s="812"/>
    </row>
    <row r="11346" spans="7:7">
      <c r="G11346" s="812"/>
    </row>
    <row r="11347" spans="7:7">
      <c r="G11347" s="812"/>
    </row>
    <row r="11348" spans="7:7">
      <c r="G11348" s="812"/>
    </row>
    <row r="11349" spans="7:7">
      <c r="G11349" s="812"/>
    </row>
    <row r="11350" spans="7:7">
      <c r="G11350" s="812"/>
    </row>
    <row r="11351" spans="7:7">
      <c r="G11351" s="812"/>
    </row>
    <row r="11352" spans="7:7">
      <c r="G11352" s="812"/>
    </row>
    <row r="11353" spans="7:7">
      <c r="G11353" s="812"/>
    </row>
    <row r="11354" spans="7:7">
      <c r="G11354" s="812"/>
    </row>
    <row r="11355" spans="7:7">
      <c r="G11355" s="812"/>
    </row>
    <row r="11356" spans="7:7">
      <c r="G11356" s="812"/>
    </row>
    <row r="11357" spans="7:7">
      <c r="G11357" s="812"/>
    </row>
    <row r="11358" spans="7:7">
      <c r="G11358" s="812"/>
    </row>
    <row r="11359" spans="7:7">
      <c r="G11359" s="812"/>
    </row>
    <row r="11360" spans="7:7">
      <c r="G11360" s="812"/>
    </row>
    <row r="11361" spans="7:7">
      <c r="G11361" s="812"/>
    </row>
    <row r="11362" spans="7:7">
      <c r="G11362" s="812"/>
    </row>
    <row r="11363" spans="7:7">
      <c r="G11363" s="812"/>
    </row>
    <row r="11364" spans="7:7">
      <c r="G11364" s="812"/>
    </row>
    <row r="11365" spans="7:7">
      <c r="G11365" s="812"/>
    </row>
    <row r="11366" spans="7:7">
      <c r="G11366" s="812"/>
    </row>
    <row r="11367" spans="7:7">
      <c r="G11367" s="812"/>
    </row>
    <row r="11368" spans="7:7">
      <c r="G11368" s="812"/>
    </row>
    <row r="11369" spans="7:7">
      <c r="G11369" s="812"/>
    </row>
    <row r="11370" spans="7:7">
      <c r="G11370" s="812"/>
    </row>
    <row r="11371" spans="7:7">
      <c r="G11371" s="812"/>
    </row>
    <row r="11372" spans="7:7">
      <c r="G11372" s="812"/>
    </row>
    <row r="11373" spans="7:7">
      <c r="G11373" s="812"/>
    </row>
    <row r="11374" spans="7:7">
      <c r="G11374" s="812"/>
    </row>
    <row r="11375" spans="7:7">
      <c r="G11375" s="812"/>
    </row>
    <row r="11376" spans="7:7">
      <c r="G11376" s="812"/>
    </row>
    <row r="11377" spans="7:7">
      <c r="G11377" s="812"/>
    </row>
    <row r="11378" spans="7:7">
      <c r="G11378" s="812"/>
    </row>
    <row r="11379" spans="7:7">
      <c r="G11379" s="812"/>
    </row>
    <row r="11380" spans="7:7">
      <c r="G11380" s="812"/>
    </row>
    <row r="11381" spans="7:7">
      <c r="G11381" s="812"/>
    </row>
    <row r="11382" spans="7:7">
      <c r="G11382" s="812"/>
    </row>
    <row r="11383" spans="7:7">
      <c r="G11383" s="812"/>
    </row>
    <row r="11384" spans="7:7">
      <c r="G11384" s="812"/>
    </row>
    <row r="11385" spans="7:7">
      <c r="G11385" s="812"/>
    </row>
    <row r="11386" spans="7:7">
      <c r="G11386" s="812"/>
    </row>
    <row r="11387" spans="7:7">
      <c r="G11387" s="812"/>
    </row>
    <row r="11388" spans="7:7">
      <c r="G11388" s="812"/>
    </row>
    <row r="11389" spans="7:7">
      <c r="G11389" s="812"/>
    </row>
    <row r="11390" spans="7:7">
      <c r="G11390" s="812"/>
    </row>
    <row r="11391" spans="7:7">
      <c r="G11391" s="812"/>
    </row>
    <row r="11392" spans="7:7">
      <c r="G11392" s="812"/>
    </row>
    <row r="11393" spans="7:7">
      <c r="G11393" s="812"/>
    </row>
    <row r="11394" spans="7:7">
      <c r="G11394" s="812"/>
    </row>
    <row r="11395" spans="7:7">
      <c r="G11395" s="812"/>
    </row>
    <row r="11396" spans="7:7">
      <c r="G11396" s="812"/>
    </row>
    <row r="11397" spans="7:7">
      <c r="G11397" s="812"/>
    </row>
    <row r="11398" spans="7:7">
      <c r="G11398" s="812"/>
    </row>
    <row r="11399" spans="7:7">
      <c r="G11399" s="812"/>
    </row>
    <row r="11400" spans="7:7">
      <c r="G11400" s="812"/>
    </row>
    <row r="11401" spans="7:7">
      <c r="G11401" s="812"/>
    </row>
    <row r="11402" spans="7:7">
      <c r="G11402" s="812"/>
    </row>
    <row r="11403" spans="7:7">
      <c r="G11403" s="812"/>
    </row>
    <row r="11404" spans="7:7">
      <c r="G11404" s="812"/>
    </row>
    <row r="11405" spans="7:7">
      <c r="G11405" s="812"/>
    </row>
    <row r="11406" spans="7:7">
      <c r="G11406" s="812"/>
    </row>
    <row r="11407" spans="7:7">
      <c r="G11407" s="812"/>
    </row>
    <row r="11408" spans="7:7">
      <c r="G11408" s="812"/>
    </row>
    <row r="11409" spans="7:7">
      <c r="G11409" s="812"/>
    </row>
    <row r="11410" spans="7:7">
      <c r="G11410" s="812"/>
    </row>
    <row r="11411" spans="7:7">
      <c r="G11411" s="812"/>
    </row>
    <row r="11412" spans="7:7">
      <c r="G11412" s="812"/>
    </row>
    <row r="11413" spans="7:7">
      <c r="G11413" s="812"/>
    </row>
    <row r="11414" spans="7:7">
      <c r="G11414" s="812"/>
    </row>
    <row r="11415" spans="7:7">
      <c r="G11415" s="812"/>
    </row>
    <row r="11416" spans="7:7">
      <c r="G11416" s="812"/>
    </row>
    <row r="11417" spans="7:7">
      <c r="G11417" s="812"/>
    </row>
    <row r="11418" spans="7:7">
      <c r="G11418" s="812"/>
    </row>
    <row r="11419" spans="7:7">
      <c r="G11419" s="812"/>
    </row>
    <row r="11420" spans="7:7">
      <c r="G11420" s="812"/>
    </row>
    <row r="11421" spans="7:7">
      <c r="G11421" s="812"/>
    </row>
    <row r="11422" spans="7:7">
      <c r="G11422" s="812"/>
    </row>
    <row r="11423" spans="7:7">
      <c r="G11423" s="812"/>
    </row>
    <row r="11424" spans="7:7">
      <c r="G11424" s="812"/>
    </row>
    <row r="11425" spans="7:7">
      <c r="G11425" s="812"/>
    </row>
    <row r="11426" spans="7:7">
      <c r="G11426" s="812"/>
    </row>
    <row r="11427" spans="7:7">
      <c r="G11427" s="812"/>
    </row>
    <row r="11428" spans="7:7">
      <c r="G11428" s="812"/>
    </row>
    <row r="11429" spans="7:7">
      <c r="G11429" s="812"/>
    </row>
    <row r="11430" spans="7:7">
      <c r="G11430" s="812"/>
    </row>
    <row r="11431" spans="7:7">
      <c r="G11431" s="812"/>
    </row>
    <row r="11432" spans="7:7">
      <c r="G11432" s="812"/>
    </row>
    <row r="11433" spans="7:7">
      <c r="G11433" s="812"/>
    </row>
    <row r="11434" spans="7:7">
      <c r="G11434" s="812"/>
    </row>
    <row r="11435" spans="7:7">
      <c r="G11435" s="812"/>
    </row>
    <row r="11436" spans="7:7">
      <c r="G11436" s="812"/>
    </row>
    <row r="11437" spans="7:7">
      <c r="G11437" s="812"/>
    </row>
    <row r="11438" spans="7:7">
      <c r="G11438" s="812"/>
    </row>
    <row r="11439" spans="7:7">
      <c r="G11439" s="812"/>
    </row>
    <row r="11440" spans="7:7">
      <c r="G11440" s="812"/>
    </row>
    <row r="11441" spans="7:7">
      <c r="G11441" s="812"/>
    </row>
    <row r="11442" spans="7:7">
      <c r="G11442" s="812"/>
    </row>
    <row r="11443" spans="7:7">
      <c r="G11443" s="812"/>
    </row>
    <row r="11444" spans="7:7">
      <c r="G11444" s="812"/>
    </row>
    <row r="11445" spans="7:7">
      <c r="G11445" s="812"/>
    </row>
    <row r="11446" spans="7:7">
      <c r="G11446" s="812"/>
    </row>
    <row r="11447" spans="7:7">
      <c r="G11447" s="812"/>
    </row>
    <row r="11448" spans="7:7">
      <c r="G11448" s="812"/>
    </row>
    <row r="11449" spans="7:7">
      <c r="G11449" s="812"/>
    </row>
    <row r="11450" spans="7:7">
      <c r="G11450" s="812"/>
    </row>
    <row r="11451" spans="7:7">
      <c r="G11451" s="812"/>
    </row>
    <row r="11452" spans="7:7">
      <c r="G11452" s="812"/>
    </row>
    <row r="11453" spans="7:7">
      <c r="G11453" s="812"/>
    </row>
    <row r="11454" spans="7:7">
      <c r="G11454" s="812"/>
    </row>
    <row r="11455" spans="7:7">
      <c r="G11455" s="812"/>
    </row>
    <row r="11456" spans="7:7">
      <c r="G11456" s="812"/>
    </row>
    <row r="11457" spans="7:7">
      <c r="G11457" s="812"/>
    </row>
    <row r="11458" spans="7:7">
      <c r="G11458" s="812"/>
    </row>
    <row r="11459" spans="7:7">
      <c r="G11459" s="812"/>
    </row>
    <row r="11460" spans="7:7">
      <c r="G11460" s="812"/>
    </row>
    <row r="11461" spans="7:7">
      <c r="G11461" s="812"/>
    </row>
    <row r="11462" spans="7:7">
      <c r="G11462" s="812"/>
    </row>
    <row r="11463" spans="7:7">
      <c r="G11463" s="812"/>
    </row>
    <row r="11464" spans="7:7">
      <c r="G11464" s="812"/>
    </row>
    <row r="11465" spans="7:7">
      <c r="G11465" s="812"/>
    </row>
    <row r="11466" spans="7:7">
      <c r="G11466" s="812"/>
    </row>
    <row r="11467" spans="7:7">
      <c r="G11467" s="812"/>
    </row>
    <row r="11468" spans="7:7">
      <c r="G11468" s="812"/>
    </row>
    <row r="11469" spans="7:7">
      <c r="G11469" s="812"/>
    </row>
    <row r="11470" spans="7:7">
      <c r="G11470" s="812"/>
    </row>
    <row r="11471" spans="7:7">
      <c r="G11471" s="812"/>
    </row>
    <row r="11472" spans="7:7">
      <c r="G11472" s="812"/>
    </row>
    <row r="11473" spans="7:7">
      <c r="G11473" s="812"/>
    </row>
    <row r="11474" spans="7:7">
      <c r="G11474" s="812"/>
    </row>
    <row r="11475" spans="7:7">
      <c r="G11475" s="812"/>
    </row>
    <row r="11476" spans="7:7">
      <c r="G11476" s="812"/>
    </row>
    <row r="11477" spans="7:7">
      <c r="G11477" s="812"/>
    </row>
    <row r="11478" spans="7:7">
      <c r="G11478" s="812"/>
    </row>
    <row r="11479" spans="7:7">
      <c r="G11479" s="812"/>
    </row>
    <row r="11480" spans="7:7">
      <c r="G11480" s="812"/>
    </row>
    <row r="11481" spans="7:7">
      <c r="G11481" s="812"/>
    </row>
    <row r="11482" spans="7:7">
      <c r="G11482" s="812"/>
    </row>
    <row r="11483" spans="7:7">
      <c r="G11483" s="812"/>
    </row>
    <row r="11484" spans="7:7">
      <c r="G11484" s="812"/>
    </row>
    <row r="11485" spans="7:7">
      <c r="G11485" s="812"/>
    </row>
    <row r="11486" spans="7:7">
      <c r="G11486" s="812"/>
    </row>
    <row r="11487" spans="7:7">
      <c r="G11487" s="812"/>
    </row>
    <row r="11488" spans="7:7">
      <c r="G11488" s="812"/>
    </row>
    <row r="11489" spans="7:7">
      <c r="G11489" s="812"/>
    </row>
    <row r="11490" spans="7:7">
      <c r="G11490" s="812"/>
    </row>
    <row r="11491" spans="7:7">
      <c r="G11491" s="812"/>
    </row>
    <row r="11492" spans="7:7">
      <c r="G11492" s="812"/>
    </row>
    <row r="11493" spans="7:7">
      <c r="G11493" s="812"/>
    </row>
    <row r="11494" spans="7:7">
      <c r="G11494" s="812"/>
    </row>
    <row r="11495" spans="7:7">
      <c r="G11495" s="812"/>
    </row>
    <row r="11496" spans="7:7">
      <c r="G11496" s="812"/>
    </row>
    <row r="11497" spans="7:7">
      <c r="G11497" s="812"/>
    </row>
    <row r="11498" spans="7:7">
      <c r="G11498" s="812"/>
    </row>
    <row r="11499" spans="7:7">
      <c r="G11499" s="812"/>
    </row>
    <row r="11500" spans="7:7">
      <c r="G11500" s="812"/>
    </row>
    <row r="11501" spans="7:7">
      <c r="G11501" s="812"/>
    </row>
    <row r="11502" spans="7:7">
      <c r="G11502" s="812"/>
    </row>
    <row r="11503" spans="7:7">
      <c r="G11503" s="812"/>
    </row>
    <row r="11504" spans="7:7">
      <c r="G11504" s="812"/>
    </row>
    <row r="11505" spans="7:7">
      <c r="G11505" s="812"/>
    </row>
    <row r="11506" spans="7:7">
      <c r="G11506" s="812"/>
    </row>
    <row r="11507" spans="7:7">
      <c r="G11507" s="812"/>
    </row>
    <row r="11508" spans="7:7">
      <c r="G11508" s="812"/>
    </row>
    <row r="11509" spans="7:7">
      <c r="G11509" s="812"/>
    </row>
    <row r="11510" spans="7:7">
      <c r="G11510" s="812"/>
    </row>
    <row r="11511" spans="7:7">
      <c r="G11511" s="812"/>
    </row>
    <row r="11512" spans="7:7">
      <c r="G11512" s="812"/>
    </row>
    <row r="11513" spans="7:7">
      <c r="G11513" s="812"/>
    </row>
    <row r="11514" spans="7:7">
      <c r="G11514" s="812"/>
    </row>
    <row r="11515" spans="7:7">
      <c r="G11515" s="812"/>
    </row>
    <row r="11516" spans="7:7">
      <c r="G11516" s="812"/>
    </row>
    <row r="11517" spans="7:7">
      <c r="G11517" s="812"/>
    </row>
    <row r="11518" spans="7:7">
      <c r="G11518" s="812"/>
    </row>
    <row r="11519" spans="7:7">
      <c r="G11519" s="812"/>
    </row>
    <row r="11520" spans="7:7">
      <c r="G11520" s="812"/>
    </row>
    <row r="11521" spans="7:7">
      <c r="G11521" s="812"/>
    </row>
    <row r="11522" spans="7:7">
      <c r="G11522" s="812"/>
    </row>
    <row r="11523" spans="7:7">
      <c r="G11523" s="812"/>
    </row>
    <row r="11524" spans="7:7">
      <c r="G11524" s="812"/>
    </row>
    <row r="11525" spans="7:7">
      <c r="G11525" s="812"/>
    </row>
    <row r="11526" spans="7:7">
      <c r="G11526" s="812"/>
    </row>
    <row r="11527" spans="7:7">
      <c r="G11527" s="812"/>
    </row>
    <row r="11528" spans="7:7">
      <c r="G11528" s="812"/>
    </row>
    <row r="11529" spans="7:7">
      <c r="G11529" s="812"/>
    </row>
    <row r="11530" spans="7:7">
      <c r="G11530" s="812"/>
    </row>
    <row r="11531" spans="7:7">
      <c r="G11531" s="812"/>
    </row>
    <row r="11532" spans="7:7">
      <c r="G11532" s="812"/>
    </row>
    <row r="11533" spans="7:7">
      <c r="G11533" s="812"/>
    </row>
    <row r="11534" spans="7:7">
      <c r="G11534" s="812"/>
    </row>
    <row r="11535" spans="7:7">
      <c r="G11535" s="812"/>
    </row>
    <row r="11536" spans="7:7">
      <c r="G11536" s="812"/>
    </row>
    <row r="11537" spans="7:7">
      <c r="G11537" s="812"/>
    </row>
    <row r="11538" spans="7:7">
      <c r="G11538" s="812"/>
    </row>
    <row r="11539" spans="7:7">
      <c r="G11539" s="812"/>
    </row>
    <row r="11540" spans="7:7">
      <c r="G11540" s="812"/>
    </row>
    <row r="11541" spans="7:7">
      <c r="G11541" s="812"/>
    </row>
    <row r="11542" spans="7:7">
      <c r="G11542" s="812"/>
    </row>
    <row r="11543" spans="7:7">
      <c r="G11543" s="812"/>
    </row>
    <row r="11544" spans="7:7">
      <c r="G11544" s="812"/>
    </row>
    <row r="11545" spans="7:7">
      <c r="G11545" s="812"/>
    </row>
    <row r="11546" spans="7:7">
      <c r="G11546" s="812"/>
    </row>
    <row r="11547" spans="7:7">
      <c r="G11547" s="812"/>
    </row>
    <row r="11548" spans="7:7">
      <c r="G11548" s="812"/>
    </row>
    <row r="11549" spans="7:7">
      <c r="G11549" s="812"/>
    </row>
    <row r="11550" spans="7:7">
      <c r="G11550" s="812"/>
    </row>
    <row r="11551" spans="7:7">
      <c r="G11551" s="812"/>
    </row>
    <row r="11552" spans="7:7">
      <c r="G11552" s="812"/>
    </row>
    <row r="11553" spans="7:7">
      <c r="G11553" s="812"/>
    </row>
    <row r="11554" spans="7:7">
      <c r="G11554" s="812"/>
    </row>
    <row r="11555" spans="7:7">
      <c r="G11555" s="812"/>
    </row>
    <row r="11556" spans="7:7">
      <c r="G11556" s="812"/>
    </row>
    <row r="11557" spans="7:7">
      <c r="G11557" s="812"/>
    </row>
    <row r="11558" spans="7:7">
      <c r="G11558" s="812"/>
    </row>
    <row r="11559" spans="7:7">
      <c r="G11559" s="812"/>
    </row>
    <row r="11560" spans="7:7">
      <c r="G11560" s="812"/>
    </row>
    <row r="11561" spans="7:7">
      <c r="G11561" s="812"/>
    </row>
    <row r="11562" spans="7:7">
      <c r="G11562" s="812"/>
    </row>
    <row r="11563" spans="7:7">
      <c r="G11563" s="812"/>
    </row>
    <row r="11564" spans="7:7">
      <c r="G11564" s="812"/>
    </row>
    <row r="11565" spans="7:7">
      <c r="G11565" s="812"/>
    </row>
    <row r="11566" spans="7:7">
      <c r="G11566" s="812"/>
    </row>
    <row r="11567" spans="7:7">
      <c r="G11567" s="812"/>
    </row>
    <row r="11568" spans="7:7">
      <c r="G11568" s="812"/>
    </row>
    <row r="11569" spans="7:7">
      <c r="G11569" s="812"/>
    </row>
    <row r="11570" spans="7:7">
      <c r="G11570" s="812"/>
    </row>
    <row r="11571" spans="7:7">
      <c r="G11571" s="812"/>
    </row>
    <row r="11572" spans="7:7">
      <c r="G11572" s="812"/>
    </row>
    <row r="11573" spans="7:7">
      <c r="G11573" s="812"/>
    </row>
    <row r="11574" spans="7:7">
      <c r="G11574" s="812"/>
    </row>
    <row r="11575" spans="7:7">
      <c r="G11575" s="812"/>
    </row>
    <row r="11576" spans="7:7">
      <c r="G11576" s="812"/>
    </row>
    <row r="11577" spans="7:7">
      <c r="G11577" s="812"/>
    </row>
    <row r="11578" spans="7:7">
      <c r="G11578" s="812"/>
    </row>
    <row r="11579" spans="7:7">
      <c r="G11579" s="812"/>
    </row>
    <row r="11580" spans="7:7">
      <c r="G11580" s="812"/>
    </row>
    <row r="11581" spans="7:7">
      <c r="G11581" s="812"/>
    </row>
    <row r="11582" spans="7:7">
      <c r="G11582" s="812"/>
    </row>
    <row r="11583" spans="7:7">
      <c r="G11583" s="812"/>
    </row>
    <row r="11584" spans="7:7">
      <c r="G11584" s="812"/>
    </row>
    <row r="11585" spans="7:7">
      <c r="G11585" s="812"/>
    </row>
    <row r="11586" spans="7:7">
      <c r="G11586" s="812"/>
    </row>
    <row r="11587" spans="7:7">
      <c r="G11587" s="812"/>
    </row>
    <row r="11588" spans="7:7">
      <c r="G11588" s="812"/>
    </row>
    <row r="11589" spans="7:7">
      <c r="G11589" s="812"/>
    </row>
    <row r="11590" spans="7:7">
      <c r="G11590" s="812"/>
    </row>
    <row r="11591" spans="7:7">
      <c r="G11591" s="812"/>
    </row>
    <row r="11592" spans="7:7">
      <c r="G11592" s="812"/>
    </row>
    <row r="11593" spans="7:7">
      <c r="G11593" s="812"/>
    </row>
    <row r="11594" spans="7:7">
      <c r="G11594" s="812"/>
    </row>
    <row r="11595" spans="7:7">
      <c r="G11595" s="812"/>
    </row>
    <row r="11596" spans="7:7">
      <c r="G11596" s="812"/>
    </row>
    <row r="11597" spans="7:7">
      <c r="G11597" s="812"/>
    </row>
    <row r="11598" spans="7:7">
      <c r="G11598" s="812"/>
    </row>
    <row r="11599" spans="7:7">
      <c r="G11599" s="812"/>
    </row>
    <row r="11600" spans="7:7">
      <c r="G11600" s="812"/>
    </row>
    <row r="11601" spans="7:7">
      <c r="G11601" s="812"/>
    </row>
    <row r="11602" spans="7:7">
      <c r="G11602" s="812"/>
    </row>
    <row r="11603" spans="7:7">
      <c r="G11603" s="812"/>
    </row>
    <row r="11604" spans="7:7">
      <c r="G11604" s="812"/>
    </row>
    <row r="11605" spans="7:7">
      <c r="G11605" s="812"/>
    </row>
    <row r="11606" spans="7:7">
      <c r="G11606" s="812"/>
    </row>
    <row r="11607" spans="7:7">
      <c r="G11607" s="812"/>
    </row>
    <row r="11608" spans="7:7">
      <c r="G11608" s="812"/>
    </row>
    <row r="11609" spans="7:7">
      <c r="G11609" s="812"/>
    </row>
    <row r="11610" spans="7:7">
      <c r="G11610" s="812"/>
    </row>
    <row r="11611" spans="7:7">
      <c r="G11611" s="812"/>
    </row>
    <row r="11612" spans="7:7">
      <c r="G11612" s="812"/>
    </row>
    <row r="11613" spans="7:7">
      <c r="G11613" s="812"/>
    </row>
    <row r="11614" spans="7:7">
      <c r="G11614" s="812"/>
    </row>
    <row r="11615" spans="7:7">
      <c r="G11615" s="812"/>
    </row>
    <row r="11616" spans="7:7">
      <c r="G11616" s="812"/>
    </row>
    <row r="11617" spans="7:7">
      <c r="G11617" s="812"/>
    </row>
    <row r="11618" spans="7:7">
      <c r="G11618" s="812"/>
    </row>
    <row r="11619" spans="7:7">
      <c r="G11619" s="812"/>
    </row>
    <row r="11620" spans="7:7">
      <c r="G11620" s="812"/>
    </row>
    <row r="11621" spans="7:7">
      <c r="G11621" s="812"/>
    </row>
    <row r="11622" spans="7:7">
      <c r="G11622" s="812"/>
    </row>
    <row r="11623" spans="7:7">
      <c r="G11623" s="812"/>
    </row>
    <row r="11624" spans="7:7">
      <c r="G11624" s="812"/>
    </row>
    <row r="11625" spans="7:7">
      <c r="G11625" s="812"/>
    </row>
    <row r="11626" spans="7:7">
      <c r="G11626" s="812"/>
    </row>
    <row r="11627" spans="7:7">
      <c r="G11627" s="812"/>
    </row>
    <row r="11628" spans="7:7">
      <c r="G11628" s="812"/>
    </row>
    <row r="11629" spans="7:7">
      <c r="G11629" s="812"/>
    </row>
    <row r="11630" spans="7:7">
      <c r="G11630" s="812"/>
    </row>
    <row r="11631" spans="7:7">
      <c r="G11631" s="812"/>
    </row>
    <row r="11632" spans="7:7">
      <c r="G11632" s="812"/>
    </row>
    <row r="11633" spans="7:7">
      <c r="G11633" s="812"/>
    </row>
    <row r="11634" spans="7:7">
      <c r="G11634" s="812"/>
    </row>
    <row r="11635" spans="7:7">
      <c r="G11635" s="812"/>
    </row>
    <row r="11636" spans="7:7">
      <c r="G11636" s="812"/>
    </row>
    <row r="11637" spans="7:7">
      <c r="G11637" s="812"/>
    </row>
    <row r="11638" spans="7:7">
      <c r="G11638" s="812"/>
    </row>
    <row r="11639" spans="7:7">
      <c r="G11639" s="812"/>
    </row>
    <row r="11640" spans="7:7">
      <c r="G11640" s="812"/>
    </row>
    <row r="11641" spans="7:7">
      <c r="G11641" s="812"/>
    </row>
    <row r="11642" spans="7:7">
      <c r="G11642" s="812"/>
    </row>
    <row r="11643" spans="7:7">
      <c r="G11643" s="812"/>
    </row>
    <row r="11644" spans="7:7">
      <c r="G11644" s="812"/>
    </row>
    <row r="11645" spans="7:7">
      <c r="G11645" s="812"/>
    </row>
    <row r="11646" spans="7:7">
      <c r="G11646" s="812"/>
    </row>
    <row r="11647" spans="7:7">
      <c r="G11647" s="812"/>
    </row>
    <row r="11648" spans="7:7">
      <c r="G11648" s="812"/>
    </row>
    <row r="11649" spans="7:7">
      <c r="G11649" s="812"/>
    </row>
    <row r="11650" spans="7:7">
      <c r="G11650" s="812"/>
    </row>
    <row r="11651" spans="7:7">
      <c r="G11651" s="812"/>
    </row>
    <row r="11652" spans="7:7">
      <c r="G11652" s="812"/>
    </row>
    <row r="11653" spans="7:7">
      <c r="G11653" s="812"/>
    </row>
    <row r="11654" spans="7:7">
      <c r="G11654" s="812"/>
    </row>
    <row r="11655" spans="7:7">
      <c r="G11655" s="812"/>
    </row>
    <row r="11656" spans="7:7">
      <c r="G11656" s="812"/>
    </row>
    <row r="11657" spans="7:7">
      <c r="G11657" s="812"/>
    </row>
    <row r="11658" spans="7:7">
      <c r="G11658" s="812"/>
    </row>
    <row r="11659" spans="7:7">
      <c r="G11659" s="812"/>
    </row>
    <row r="11660" spans="7:7">
      <c r="G11660" s="812"/>
    </row>
    <row r="11661" spans="7:7">
      <c r="G11661" s="812"/>
    </row>
    <row r="11662" spans="7:7">
      <c r="G11662" s="812"/>
    </row>
    <row r="11663" spans="7:7">
      <c r="G11663" s="812"/>
    </row>
    <row r="11664" spans="7:7">
      <c r="G11664" s="812"/>
    </row>
    <row r="11665" spans="7:7">
      <c r="G11665" s="812"/>
    </row>
    <row r="11666" spans="7:7">
      <c r="G11666" s="812"/>
    </row>
    <row r="11667" spans="7:7">
      <c r="G11667" s="812"/>
    </row>
    <row r="11668" spans="7:7">
      <c r="G11668" s="812"/>
    </row>
    <row r="11669" spans="7:7">
      <c r="G11669" s="812"/>
    </row>
    <row r="11670" spans="7:7">
      <c r="G11670" s="812"/>
    </row>
    <row r="11671" spans="7:7">
      <c r="G11671" s="812"/>
    </row>
    <row r="11672" spans="7:7">
      <c r="G11672" s="812"/>
    </row>
    <row r="11673" spans="7:7">
      <c r="G11673" s="812"/>
    </row>
    <row r="11674" spans="7:7">
      <c r="G11674" s="812"/>
    </row>
    <row r="11675" spans="7:7">
      <c r="G11675" s="812"/>
    </row>
    <row r="11676" spans="7:7">
      <c r="G11676" s="812"/>
    </row>
    <row r="11677" spans="7:7">
      <c r="G11677" s="812"/>
    </row>
    <row r="11678" spans="7:7">
      <c r="G11678" s="812"/>
    </row>
    <row r="11679" spans="7:7">
      <c r="G11679" s="812"/>
    </row>
    <row r="11680" spans="7:7">
      <c r="G11680" s="812"/>
    </row>
    <row r="11681" spans="7:7">
      <c r="G11681" s="812"/>
    </row>
    <row r="11682" spans="7:7">
      <c r="G11682" s="812"/>
    </row>
    <row r="11683" spans="7:7">
      <c r="G11683" s="812"/>
    </row>
    <row r="11684" spans="7:7">
      <c r="G11684" s="812"/>
    </row>
    <row r="11685" spans="7:7">
      <c r="G11685" s="812"/>
    </row>
    <row r="11686" spans="7:7">
      <c r="G11686" s="812"/>
    </row>
    <row r="11687" spans="7:7">
      <c r="G11687" s="812"/>
    </row>
    <row r="11688" spans="7:7">
      <c r="G11688" s="812"/>
    </row>
    <row r="11689" spans="7:7">
      <c r="G11689" s="812"/>
    </row>
    <row r="11690" spans="7:7">
      <c r="G11690" s="812"/>
    </row>
    <row r="11691" spans="7:7">
      <c r="G11691" s="812"/>
    </row>
    <row r="11692" spans="7:7">
      <c r="G11692" s="812"/>
    </row>
    <row r="11693" spans="7:7">
      <c r="G11693" s="812"/>
    </row>
    <row r="11694" spans="7:7">
      <c r="G11694" s="812"/>
    </row>
    <row r="11695" spans="7:7">
      <c r="G11695" s="812"/>
    </row>
    <row r="11696" spans="7:7">
      <c r="G11696" s="812"/>
    </row>
    <row r="11697" spans="7:7">
      <c r="G11697" s="812"/>
    </row>
    <row r="11698" spans="7:7">
      <c r="G11698" s="812"/>
    </row>
    <row r="11699" spans="7:7">
      <c r="G11699" s="812"/>
    </row>
    <row r="11700" spans="7:7">
      <c r="G11700" s="812"/>
    </row>
    <row r="11701" spans="7:7">
      <c r="G11701" s="812"/>
    </row>
    <row r="11702" spans="7:7">
      <c r="G11702" s="812"/>
    </row>
    <row r="11703" spans="7:7">
      <c r="G11703" s="812"/>
    </row>
    <row r="11704" spans="7:7">
      <c r="G11704" s="812"/>
    </row>
    <row r="11705" spans="7:7">
      <c r="G11705" s="812"/>
    </row>
    <row r="11706" spans="7:7">
      <c r="G11706" s="812"/>
    </row>
    <row r="11707" spans="7:7">
      <c r="G11707" s="812"/>
    </row>
    <row r="11708" spans="7:7">
      <c r="G11708" s="812"/>
    </row>
    <row r="11709" spans="7:7">
      <c r="G11709" s="812"/>
    </row>
    <row r="11710" spans="7:7">
      <c r="G11710" s="812"/>
    </row>
    <row r="11711" spans="7:7">
      <c r="G11711" s="812"/>
    </row>
    <row r="11712" spans="7:7">
      <c r="G11712" s="812"/>
    </row>
    <row r="11713" spans="7:7">
      <c r="G11713" s="812"/>
    </row>
    <row r="11714" spans="7:7">
      <c r="G11714" s="812"/>
    </row>
    <row r="11715" spans="7:7">
      <c r="G11715" s="812"/>
    </row>
    <row r="11716" spans="7:7">
      <c r="G11716" s="812"/>
    </row>
    <row r="11717" spans="7:7">
      <c r="G11717" s="812"/>
    </row>
    <row r="11718" spans="7:7">
      <c r="G11718" s="812"/>
    </row>
    <row r="11719" spans="7:7">
      <c r="G11719" s="812"/>
    </row>
    <row r="11720" spans="7:7">
      <c r="G11720" s="812"/>
    </row>
    <row r="11721" spans="7:7">
      <c r="G11721" s="812"/>
    </row>
    <row r="11722" spans="7:7">
      <c r="G11722" s="812"/>
    </row>
    <row r="11723" spans="7:7">
      <c r="G11723" s="812"/>
    </row>
    <row r="11724" spans="7:7">
      <c r="G11724" s="812"/>
    </row>
    <row r="11725" spans="7:7">
      <c r="G11725" s="812"/>
    </row>
    <row r="11726" spans="7:7">
      <c r="G11726" s="812"/>
    </row>
    <row r="11727" spans="7:7">
      <c r="G11727" s="812"/>
    </row>
    <row r="11728" spans="7:7">
      <c r="G11728" s="812"/>
    </row>
    <row r="11729" spans="7:7">
      <c r="G11729" s="812"/>
    </row>
    <row r="11730" spans="7:7">
      <c r="G11730" s="812"/>
    </row>
    <row r="11731" spans="7:7">
      <c r="G11731" s="812"/>
    </row>
    <row r="11732" spans="7:7">
      <c r="G11732" s="812"/>
    </row>
    <row r="11733" spans="7:7">
      <c r="G11733" s="812"/>
    </row>
    <row r="11734" spans="7:7">
      <c r="G11734" s="812"/>
    </row>
    <row r="11735" spans="7:7">
      <c r="G11735" s="812"/>
    </row>
    <row r="11736" spans="7:7">
      <c r="G11736" s="812"/>
    </row>
    <row r="11737" spans="7:7">
      <c r="G11737" s="812"/>
    </row>
    <row r="11738" spans="7:7">
      <c r="G11738" s="812"/>
    </row>
    <row r="11739" spans="7:7">
      <c r="G11739" s="812"/>
    </row>
    <row r="11740" spans="7:7">
      <c r="G11740" s="812"/>
    </row>
    <row r="11741" spans="7:7">
      <c r="G11741" s="812"/>
    </row>
    <row r="11742" spans="7:7">
      <c r="G11742" s="812"/>
    </row>
    <row r="11743" spans="7:7">
      <c r="G11743" s="812"/>
    </row>
    <row r="11744" spans="7:7">
      <c r="G11744" s="812"/>
    </row>
    <row r="11745" spans="7:7">
      <c r="G11745" s="812"/>
    </row>
    <row r="11746" spans="7:7">
      <c r="G11746" s="812"/>
    </row>
    <row r="11747" spans="7:7">
      <c r="G11747" s="812"/>
    </row>
    <row r="11748" spans="7:7">
      <c r="G11748" s="812"/>
    </row>
    <row r="11749" spans="7:7">
      <c r="G11749" s="812"/>
    </row>
    <row r="11750" spans="7:7">
      <c r="G11750" s="812"/>
    </row>
    <row r="11751" spans="7:7">
      <c r="G11751" s="812"/>
    </row>
    <row r="11752" spans="7:7">
      <c r="G11752" s="812"/>
    </row>
    <row r="11753" spans="7:7">
      <c r="G11753" s="812"/>
    </row>
    <row r="11754" spans="7:7">
      <c r="G11754" s="812"/>
    </row>
    <row r="11755" spans="7:7">
      <c r="G11755" s="812"/>
    </row>
    <row r="11756" spans="7:7">
      <c r="G11756" s="812"/>
    </row>
    <row r="11757" spans="7:7">
      <c r="G11757" s="812"/>
    </row>
    <row r="11758" spans="7:7">
      <c r="G11758" s="812"/>
    </row>
    <row r="11759" spans="7:7">
      <c r="G11759" s="812"/>
    </row>
    <row r="11760" spans="7:7">
      <c r="G11760" s="812"/>
    </row>
    <row r="11761" spans="7:7">
      <c r="G11761" s="812"/>
    </row>
    <row r="11762" spans="7:7">
      <c r="G11762" s="812"/>
    </row>
    <row r="11763" spans="7:7">
      <c r="G11763" s="812"/>
    </row>
    <row r="11764" spans="7:7">
      <c r="G11764" s="812"/>
    </row>
    <row r="11765" spans="7:7">
      <c r="G11765" s="812"/>
    </row>
    <row r="11766" spans="7:7">
      <c r="G11766" s="812"/>
    </row>
    <row r="11767" spans="7:7">
      <c r="G11767" s="812"/>
    </row>
    <row r="11768" spans="7:7">
      <c r="G11768" s="812"/>
    </row>
    <row r="11769" spans="7:7">
      <c r="G11769" s="812"/>
    </row>
    <row r="11770" spans="7:7">
      <c r="G11770" s="812"/>
    </row>
    <row r="11771" spans="7:7">
      <c r="G11771" s="812"/>
    </row>
    <row r="11772" spans="7:7">
      <c r="G11772" s="812"/>
    </row>
    <row r="11773" spans="7:7">
      <c r="G11773" s="812"/>
    </row>
    <row r="11774" spans="7:7">
      <c r="G11774" s="812"/>
    </row>
    <row r="11775" spans="7:7">
      <c r="G11775" s="812"/>
    </row>
    <row r="11776" spans="7:7">
      <c r="G11776" s="812"/>
    </row>
    <row r="11777" spans="7:7">
      <c r="G11777" s="812"/>
    </row>
    <row r="11778" spans="7:7">
      <c r="G11778" s="812"/>
    </row>
    <row r="11779" spans="7:7">
      <c r="G11779" s="812"/>
    </row>
    <row r="11780" spans="7:7">
      <c r="G11780" s="812"/>
    </row>
    <row r="11781" spans="7:7">
      <c r="G11781" s="812"/>
    </row>
    <row r="11782" spans="7:7">
      <c r="G11782" s="812"/>
    </row>
    <row r="11783" spans="7:7">
      <c r="G11783" s="812"/>
    </row>
    <row r="11784" spans="7:7">
      <c r="G11784" s="812"/>
    </row>
    <row r="11785" spans="7:7">
      <c r="G11785" s="812"/>
    </row>
    <row r="11786" spans="7:7">
      <c r="G11786" s="812"/>
    </row>
    <row r="11787" spans="7:7">
      <c r="G11787" s="812"/>
    </row>
    <row r="11788" spans="7:7">
      <c r="G11788" s="812"/>
    </row>
    <row r="11789" spans="7:7">
      <c r="G11789" s="812"/>
    </row>
    <row r="11790" spans="7:7">
      <c r="G11790" s="812"/>
    </row>
    <row r="11791" spans="7:7">
      <c r="G11791" s="812"/>
    </row>
    <row r="11792" spans="7:7">
      <c r="G11792" s="812"/>
    </row>
    <row r="11793" spans="7:7">
      <c r="G11793" s="812"/>
    </row>
    <row r="11794" spans="7:7">
      <c r="G11794" s="812"/>
    </row>
    <row r="11795" spans="7:7">
      <c r="G11795" s="812"/>
    </row>
    <row r="11796" spans="7:7">
      <c r="G11796" s="812"/>
    </row>
    <row r="11797" spans="7:7">
      <c r="G11797" s="812"/>
    </row>
    <row r="11798" spans="7:7">
      <c r="G11798" s="812"/>
    </row>
    <row r="11799" spans="7:7">
      <c r="G11799" s="812"/>
    </row>
    <row r="11800" spans="7:7">
      <c r="G11800" s="812"/>
    </row>
    <row r="11801" spans="7:7">
      <c r="G11801" s="812"/>
    </row>
    <row r="11802" spans="7:7">
      <c r="G11802" s="812"/>
    </row>
    <row r="11803" spans="7:7">
      <c r="G11803" s="812"/>
    </row>
    <row r="11804" spans="7:7">
      <c r="G11804" s="812"/>
    </row>
    <row r="11805" spans="7:7">
      <c r="G11805" s="812"/>
    </row>
    <row r="11806" spans="7:7">
      <c r="G11806" s="812"/>
    </row>
    <row r="11807" spans="7:7">
      <c r="G11807" s="812"/>
    </row>
    <row r="11808" spans="7:7">
      <c r="G11808" s="812"/>
    </row>
    <row r="11809" spans="7:7">
      <c r="G11809" s="812"/>
    </row>
    <row r="11810" spans="7:7">
      <c r="G11810" s="812"/>
    </row>
    <row r="11811" spans="7:7">
      <c r="G11811" s="812"/>
    </row>
    <row r="11812" spans="7:7">
      <c r="G11812" s="812"/>
    </row>
    <row r="11813" spans="7:7">
      <c r="G11813" s="812"/>
    </row>
    <row r="11814" spans="7:7">
      <c r="G11814" s="812"/>
    </row>
    <row r="11815" spans="7:7">
      <c r="G11815" s="812"/>
    </row>
    <row r="11816" spans="7:7">
      <c r="G11816" s="812"/>
    </row>
    <row r="11817" spans="7:7">
      <c r="G11817" s="812"/>
    </row>
    <row r="11818" spans="7:7">
      <c r="G11818" s="812"/>
    </row>
    <row r="11819" spans="7:7">
      <c r="G11819" s="812"/>
    </row>
    <row r="11820" spans="7:7">
      <c r="G11820" s="812"/>
    </row>
    <row r="11821" spans="7:7">
      <c r="G11821" s="812"/>
    </row>
    <row r="11822" spans="7:7">
      <c r="G11822" s="812"/>
    </row>
    <row r="11823" spans="7:7">
      <c r="G11823" s="812"/>
    </row>
    <row r="11824" spans="7:7">
      <c r="G11824" s="812"/>
    </row>
    <row r="11825" spans="7:7">
      <c r="G11825" s="812"/>
    </row>
    <row r="11826" spans="7:7">
      <c r="G11826" s="812"/>
    </row>
    <row r="11827" spans="7:7">
      <c r="G11827" s="812"/>
    </row>
    <row r="11828" spans="7:7">
      <c r="G11828" s="812"/>
    </row>
    <row r="11829" spans="7:7">
      <c r="G11829" s="812"/>
    </row>
    <row r="11830" spans="7:7">
      <c r="G11830" s="812"/>
    </row>
    <row r="11831" spans="7:7">
      <c r="G11831" s="812"/>
    </row>
    <row r="11832" spans="7:7">
      <c r="G11832" s="812"/>
    </row>
    <row r="11833" spans="7:7">
      <c r="G11833" s="812"/>
    </row>
    <row r="11834" spans="7:7">
      <c r="G11834" s="812"/>
    </row>
    <row r="11835" spans="7:7">
      <c r="G11835" s="812"/>
    </row>
    <row r="11836" spans="7:7">
      <c r="G11836" s="812"/>
    </row>
    <row r="11837" spans="7:7">
      <c r="G11837" s="812"/>
    </row>
    <row r="11838" spans="7:7">
      <c r="G11838" s="812"/>
    </row>
    <row r="11839" spans="7:7">
      <c r="G11839" s="812"/>
    </row>
    <row r="11840" spans="7:7">
      <c r="G11840" s="812"/>
    </row>
    <row r="11841" spans="7:7">
      <c r="G11841" s="812"/>
    </row>
    <row r="11842" spans="7:7">
      <c r="G11842" s="812"/>
    </row>
    <row r="11843" spans="7:7">
      <c r="G11843" s="812"/>
    </row>
    <row r="11844" spans="7:7">
      <c r="G11844" s="812"/>
    </row>
    <row r="11845" spans="7:7">
      <c r="G11845" s="812"/>
    </row>
    <row r="11846" spans="7:7">
      <c r="G11846" s="812"/>
    </row>
    <row r="11847" spans="7:7">
      <c r="G11847" s="812"/>
    </row>
    <row r="11848" spans="7:7">
      <c r="G11848" s="812"/>
    </row>
    <row r="11849" spans="7:7">
      <c r="G11849" s="812"/>
    </row>
    <row r="11850" spans="7:7">
      <c r="G11850" s="812"/>
    </row>
    <row r="11851" spans="7:7">
      <c r="G11851" s="812"/>
    </row>
    <row r="11852" spans="7:7">
      <c r="G11852" s="812"/>
    </row>
    <row r="11853" spans="7:7">
      <c r="G11853" s="812"/>
    </row>
    <row r="11854" spans="7:7">
      <c r="G11854" s="812"/>
    </row>
    <row r="11855" spans="7:7">
      <c r="G11855" s="812"/>
    </row>
    <row r="11856" spans="7:7">
      <c r="G11856" s="812"/>
    </row>
    <row r="11857" spans="7:7">
      <c r="G11857" s="812"/>
    </row>
    <row r="11858" spans="7:7">
      <c r="G11858" s="812"/>
    </row>
    <row r="11859" spans="7:7">
      <c r="G11859" s="812"/>
    </row>
    <row r="11860" spans="7:7">
      <c r="G11860" s="812"/>
    </row>
    <row r="11861" spans="7:7">
      <c r="G11861" s="812"/>
    </row>
    <row r="11862" spans="7:7">
      <c r="G11862" s="812"/>
    </row>
    <row r="11863" spans="7:7">
      <c r="G11863" s="812"/>
    </row>
    <row r="11864" spans="7:7">
      <c r="G11864" s="812"/>
    </row>
    <row r="11865" spans="7:7">
      <c r="G11865" s="812"/>
    </row>
    <row r="11866" spans="7:7">
      <c r="G11866" s="812"/>
    </row>
    <row r="11867" spans="7:7">
      <c r="G11867" s="812"/>
    </row>
    <row r="11868" spans="7:7">
      <c r="G11868" s="812"/>
    </row>
    <row r="11869" spans="7:7">
      <c r="G11869" s="812"/>
    </row>
    <row r="11870" spans="7:7">
      <c r="G11870" s="812"/>
    </row>
    <row r="11871" spans="7:7">
      <c r="G11871" s="812"/>
    </row>
    <row r="11872" spans="7:7">
      <c r="G11872" s="812"/>
    </row>
    <row r="11873" spans="7:7">
      <c r="G11873" s="812"/>
    </row>
    <row r="11874" spans="7:7">
      <c r="G11874" s="812"/>
    </row>
    <row r="11875" spans="7:7">
      <c r="G11875" s="812"/>
    </row>
    <row r="11876" spans="7:7">
      <c r="G11876" s="812"/>
    </row>
    <row r="11877" spans="7:7">
      <c r="G11877" s="812"/>
    </row>
    <row r="11878" spans="7:7">
      <c r="G11878" s="812"/>
    </row>
    <row r="11879" spans="7:7">
      <c r="G11879" s="812"/>
    </row>
    <row r="11880" spans="7:7">
      <c r="G11880" s="812"/>
    </row>
    <row r="11881" spans="7:7">
      <c r="G11881" s="812"/>
    </row>
    <row r="11882" spans="7:7">
      <c r="G11882" s="812"/>
    </row>
    <row r="11883" spans="7:7">
      <c r="G11883" s="812"/>
    </row>
    <row r="11884" spans="7:7">
      <c r="G11884" s="812"/>
    </row>
    <row r="11885" spans="7:7">
      <c r="G11885" s="812"/>
    </row>
    <row r="11886" spans="7:7">
      <c r="G11886" s="812"/>
    </row>
    <row r="11887" spans="7:7">
      <c r="G11887" s="812"/>
    </row>
    <row r="11888" spans="7:7">
      <c r="G11888" s="812"/>
    </row>
    <row r="11889" spans="7:7">
      <c r="G11889" s="812"/>
    </row>
    <row r="11890" spans="7:7">
      <c r="G11890" s="812"/>
    </row>
    <row r="11891" spans="7:7">
      <c r="G11891" s="812"/>
    </row>
    <row r="11892" spans="7:7">
      <c r="G11892" s="812"/>
    </row>
    <row r="11893" spans="7:7">
      <c r="G11893" s="812"/>
    </row>
    <row r="11894" spans="7:7">
      <c r="G11894" s="812"/>
    </row>
    <row r="11895" spans="7:7">
      <c r="G11895" s="812"/>
    </row>
    <row r="11896" spans="7:7">
      <c r="G11896" s="812"/>
    </row>
    <row r="11897" spans="7:7">
      <c r="G11897" s="812"/>
    </row>
    <row r="11898" spans="7:7">
      <c r="G11898" s="812"/>
    </row>
    <row r="11899" spans="7:7">
      <c r="G11899" s="812"/>
    </row>
    <row r="11900" spans="7:7">
      <c r="G11900" s="812"/>
    </row>
    <row r="11901" spans="7:7">
      <c r="G11901" s="812"/>
    </row>
    <row r="11902" spans="7:7">
      <c r="G11902" s="812"/>
    </row>
    <row r="11903" spans="7:7">
      <c r="G11903" s="812"/>
    </row>
    <row r="11904" spans="7:7">
      <c r="G11904" s="812"/>
    </row>
    <row r="11905" spans="7:7">
      <c r="G11905" s="812"/>
    </row>
    <row r="11906" spans="7:7">
      <c r="G11906" s="812"/>
    </row>
    <row r="11907" spans="7:7">
      <c r="G11907" s="812"/>
    </row>
    <row r="11908" spans="7:7">
      <c r="G11908" s="812"/>
    </row>
    <row r="11909" spans="7:7">
      <c r="G11909" s="812"/>
    </row>
    <row r="11910" spans="7:7">
      <c r="G11910" s="812"/>
    </row>
    <row r="11911" spans="7:7">
      <c r="G11911" s="812"/>
    </row>
    <row r="11912" spans="7:7">
      <c r="G11912" s="812"/>
    </row>
    <row r="11913" spans="7:7">
      <c r="G11913" s="812"/>
    </row>
    <row r="11914" spans="7:7">
      <c r="G11914" s="812"/>
    </row>
    <row r="11915" spans="7:7">
      <c r="G11915" s="812"/>
    </row>
    <row r="11916" spans="7:7">
      <c r="G11916" s="812"/>
    </row>
    <row r="11917" spans="7:7">
      <c r="G11917" s="812"/>
    </row>
    <row r="11918" spans="7:7">
      <c r="G11918" s="812"/>
    </row>
    <row r="11919" spans="7:7">
      <c r="G11919" s="812"/>
    </row>
    <row r="11920" spans="7:7">
      <c r="G11920" s="812"/>
    </row>
    <row r="11921" spans="7:7">
      <c r="G11921" s="812"/>
    </row>
    <row r="11922" spans="7:7">
      <c r="G11922" s="812"/>
    </row>
    <row r="11923" spans="7:7">
      <c r="G11923" s="812"/>
    </row>
    <row r="11924" spans="7:7">
      <c r="G11924" s="812"/>
    </row>
    <row r="11925" spans="7:7">
      <c r="G11925" s="812"/>
    </row>
    <row r="11926" spans="7:7">
      <c r="G11926" s="812"/>
    </row>
    <row r="11927" spans="7:7">
      <c r="G11927" s="812"/>
    </row>
    <row r="11928" spans="7:7">
      <c r="G11928" s="812"/>
    </row>
    <row r="11929" spans="7:7">
      <c r="G11929" s="812"/>
    </row>
    <row r="11930" spans="7:7">
      <c r="G11930" s="812"/>
    </row>
    <row r="11931" spans="7:7">
      <c r="G11931" s="812"/>
    </row>
    <row r="11932" spans="7:7">
      <c r="G11932" s="812"/>
    </row>
    <row r="11933" spans="7:7">
      <c r="G11933" s="812"/>
    </row>
    <row r="11934" spans="7:7">
      <c r="G11934" s="812"/>
    </row>
    <row r="11935" spans="7:7">
      <c r="G11935" s="812"/>
    </row>
    <row r="11936" spans="7:7">
      <c r="G11936" s="812"/>
    </row>
    <row r="11937" spans="7:7">
      <c r="G11937" s="812"/>
    </row>
    <row r="11938" spans="7:7">
      <c r="G11938" s="812"/>
    </row>
    <row r="11939" spans="7:7">
      <c r="G11939" s="812"/>
    </row>
    <row r="11940" spans="7:7">
      <c r="G11940" s="812"/>
    </row>
    <row r="11941" spans="7:7">
      <c r="G11941" s="812"/>
    </row>
    <row r="11942" spans="7:7">
      <c r="G11942" s="812"/>
    </row>
    <row r="11943" spans="7:7">
      <c r="G11943" s="812"/>
    </row>
    <row r="11944" spans="7:7">
      <c r="G11944" s="812"/>
    </row>
    <row r="11945" spans="7:7">
      <c r="G11945" s="812"/>
    </row>
    <row r="11946" spans="7:7">
      <c r="G11946" s="812"/>
    </row>
    <row r="11947" spans="7:7">
      <c r="G11947" s="812"/>
    </row>
    <row r="11948" spans="7:7">
      <c r="G11948" s="812"/>
    </row>
    <row r="11949" spans="7:7">
      <c r="G11949" s="812"/>
    </row>
    <row r="11950" spans="7:7">
      <c r="G11950" s="812"/>
    </row>
    <row r="11951" spans="7:7">
      <c r="G11951" s="812"/>
    </row>
    <row r="11952" spans="7:7">
      <c r="G11952" s="812"/>
    </row>
    <row r="11953" spans="7:7">
      <c r="G11953" s="812"/>
    </row>
    <row r="11954" spans="7:7">
      <c r="G11954" s="812"/>
    </row>
    <row r="11955" spans="7:7">
      <c r="G11955" s="812"/>
    </row>
    <row r="11956" spans="7:7">
      <c r="G11956" s="812"/>
    </row>
    <row r="11957" spans="7:7">
      <c r="G11957" s="812"/>
    </row>
    <row r="11958" spans="7:7">
      <c r="G11958" s="812"/>
    </row>
    <row r="11959" spans="7:7">
      <c r="G11959" s="812"/>
    </row>
    <row r="11960" spans="7:7">
      <c r="G11960" s="812"/>
    </row>
    <row r="11961" spans="7:7">
      <c r="G11961" s="812"/>
    </row>
    <row r="11962" spans="7:7">
      <c r="G11962" s="812"/>
    </row>
    <row r="11963" spans="7:7">
      <c r="G11963" s="812"/>
    </row>
    <row r="11964" spans="7:7">
      <c r="G11964" s="812"/>
    </row>
    <row r="11965" spans="7:7">
      <c r="G11965" s="812"/>
    </row>
    <row r="11966" spans="7:7">
      <c r="G11966" s="812"/>
    </row>
    <row r="11967" spans="7:7">
      <c r="G11967" s="812"/>
    </row>
    <row r="11968" spans="7:7">
      <c r="G11968" s="812"/>
    </row>
    <row r="11969" spans="7:7">
      <c r="G11969" s="812"/>
    </row>
    <row r="11970" spans="7:7">
      <c r="G11970" s="812"/>
    </row>
    <row r="11971" spans="7:7">
      <c r="G11971" s="812"/>
    </row>
    <row r="11972" spans="7:7">
      <c r="G11972" s="812"/>
    </row>
    <row r="11973" spans="7:7">
      <c r="G11973" s="812"/>
    </row>
    <row r="11974" spans="7:7">
      <c r="G11974" s="812"/>
    </row>
    <row r="11975" spans="7:7">
      <c r="G11975" s="812"/>
    </row>
    <row r="11976" spans="7:7">
      <c r="G11976" s="812"/>
    </row>
    <row r="11977" spans="7:7">
      <c r="G11977" s="812"/>
    </row>
    <row r="11978" spans="7:7">
      <c r="G11978" s="812"/>
    </row>
    <row r="11979" spans="7:7">
      <c r="G11979" s="812"/>
    </row>
    <row r="11980" spans="7:7">
      <c r="G11980" s="812"/>
    </row>
    <row r="11981" spans="7:7">
      <c r="G11981" s="812"/>
    </row>
    <row r="11982" spans="7:7">
      <c r="G11982" s="812"/>
    </row>
    <row r="11983" spans="7:7">
      <c r="G11983" s="812"/>
    </row>
    <row r="11984" spans="7:7">
      <c r="G11984" s="812"/>
    </row>
    <row r="11985" spans="7:7">
      <c r="G11985" s="812"/>
    </row>
    <row r="11986" spans="7:7">
      <c r="G11986" s="812"/>
    </row>
    <row r="11987" spans="7:7">
      <c r="G11987" s="812"/>
    </row>
    <row r="11988" spans="7:7">
      <c r="G11988" s="812"/>
    </row>
    <row r="11989" spans="7:7">
      <c r="G11989" s="812"/>
    </row>
    <row r="11990" spans="7:7">
      <c r="G11990" s="812"/>
    </row>
    <row r="11991" spans="7:7">
      <c r="G11991" s="812"/>
    </row>
    <row r="11992" spans="7:7">
      <c r="G11992" s="812"/>
    </row>
    <row r="11993" spans="7:7">
      <c r="G11993" s="812"/>
    </row>
    <row r="11994" spans="7:7">
      <c r="G11994" s="812"/>
    </row>
    <row r="11995" spans="7:7">
      <c r="G11995" s="812"/>
    </row>
    <row r="11996" spans="7:7">
      <c r="G11996" s="812"/>
    </row>
    <row r="11997" spans="7:7">
      <c r="G11997" s="812"/>
    </row>
    <row r="11998" spans="7:7">
      <c r="G11998" s="812"/>
    </row>
    <row r="11999" spans="7:7">
      <c r="G11999" s="812"/>
    </row>
    <row r="12000" spans="7:7">
      <c r="G12000" s="812"/>
    </row>
    <row r="12001" spans="7:7">
      <c r="G12001" s="812"/>
    </row>
    <row r="12002" spans="7:7">
      <c r="G12002" s="812"/>
    </row>
    <row r="12003" spans="7:7">
      <c r="G12003" s="812"/>
    </row>
    <row r="12004" spans="7:7">
      <c r="G12004" s="812"/>
    </row>
    <row r="12005" spans="7:7">
      <c r="G12005" s="812"/>
    </row>
    <row r="12006" spans="7:7">
      <c r="G12006" s="812"/>
    </row>
    <row r="12007" spans="7:7">
      <c r="G12007" s="812"/>
    </row>
    <row r="12008" spans="7:7">
      <c r="G12008" s="812"/>
    </row>
    <row r="12009" spans="7:7">
      <c r="G12009" s="812"/>
    </row>
    <row r="12010" spans="7:7">
      <c r="G12010" s="812"/>
    </row>
    <row r="12011" spans="7:7">
      <c r="G12011" s="812"/>
    </row>
    <row r="12012" spans="7:7">
      <c r="G12012" s="812"/>
    </row>
    <row r="12013" spans="7:7">
      <c r="G12013" s="812"/>
    </row>
    <row r="12014" spans="7:7">
      <c r="G12014" s="812"/>
    </row>
    <row r="12015" spans="7:7">
      <c r="G12015" s="812"/>
    </row>
    <row r="12016" spans="7:7">
      <c r="G12016" s="812"/>
    </row>
    <row r="12017" spans="7:7">
      <c r="G12017" s="812"/>
    </row>
    <row r="12018" spans="7:7">
      <c r="G12018" s="812"/>
    </row>
    <row r="12019" spans="7:7">
      <c r="G12019" s="812"/>
    </row>
    <row r="12020" spans="7:7">
      <c r="G12020" s="812"/>
    </row>
    <row r="12021" spans="7:7">
      <c r="G12021" s="812"/>
    </row>
    <row r="12022" spans="7:7">
      <c r="G12022" s="812"/>
    </row>
    <row r="12023" spans="7:7">
      <c r="G12023" s="812"/>
    </row>
    <row r="12024" spans="7:7">
      <c r="G12024" s="812"/>
    </row>
    <row r="12025" spans="7:7">
      <c r="G12025" s="812"/>
    </row>
    <row r="12026" spans="7:7">
      <c r="G12026" s="812"/>
    </row>
    <row r="12027" spans="7:7">
      <c r="G12027" s="812"/>
    </row>
    <row r="12028" spans="7:7">
      <c r="G12028" s="812"/>
    </row>
    <row r="12029" spans="7:7">
      <c r="G12029" s="812"/>
    </row>
    <row r="12030" spans="7:7">
      <c r="G12030" s="812"/>
    </row>
    <row r="12031" spans="7:7">
      <c r="G12031" s="812"/>
    </row>
    <row r="12032" spans="7:7">
      <c r="G12032" s="812"/>
    </row>
    <row r="12033" spans="7:7">
      <c r="G12033" s="812"/>
    </row>
    <row r="12034" spans="7:7">
      <c r="G12034" s="812"/>
    </row>
    <row r="12035" spans="7:7">
      <c r="G12035" s="812"/>
    </row>
    <row r="12036" spans="7:7">
      <c r="G12036" s="812"/>
    </row>
    <row r="12037" spans="7:7">
      <c r="G12037" s="812"/>
    </row>
    <row r="12038" spans="7:7">
      <c r="G12038" s="812"/>
    </row>
    <row r="12039" spans="7:7">
      <c r="G12039" s="812"/>
    </row>
    <row r="12040" spans="7:7">
      <c r="G12040" s="812"/>
    </row>
    <row r="12041" spans="7:7">
      <c r="G12041" s="812"/>
    </row>
    <row r="12042" spans="7:7">
      <c r="G12042" s="812"/>
    </row>
    <row r="12043" spans="7:7">
      <c r="G12043" s="812"/>
    </row>
    <row r="12044" spans="7:7">
      <c r="G12044" s="812"/>
    </row>
    <row r="12045" spans="7:7">
      <c r="G12045" s="812"/>
    </row>
    <row r="12046" spans="7:7">
      <c r="G12046" s="812"/>
    </row>
    <row r="12047" spans="7:7">
      <c r="G12047" s="812"/>
    </row>
    <row r="12048" spans="7:7">
      <c r="G12048" s="812"/>
    </row>
    <row r="12049" spans="7:7">
      <c r="G12049" s="812"/>
    </row>
    <row r="12050" spans="7:7">
      <c r="G12050" s="812"/>
    </row>
    <row r="12051" spans="7:7">
      <c r="G12051" s="812"/>
    </row>
    <row r="12052" spans="7:7">
      <c r="G12052" s="812"/>
    </row>
    <row r="12053" spans="7:7">
      <c r="G12053" s="812"/>
    </row>
    <row r="12054" spans="7:7">
      <c r="G12054" s="812"/>
    </row>
    <row r="12055" spans="7:7">
      <c r="G12055" s="812"/>
    </row>
    <row r="12056" spans="7:7">
      <c r="G12056" s="812"/>
    </row>
    <row r="12057" spans="7:7">
      <c r="G12057" s="812"/>
    </row>
    <row r="12058" spans="7:7">
      <c r="G12058" s="812"/>
    </row>
    <row r="12059" spans="7:7">
      <c r="G12059" s="812"/>
    </row>
    <row r="12060" spans="7:7">
      <c r="G12060" s="812"/>
    </row>
    <row r="12061" spans="7:7">
      <c r="G12061" s="812"/>
    </row>
    <row r="12062" spans="7:7">
      <c r="G12062" s="812"/>
    </row>
    <row r="12063" spans="7:7">
      <c r="G12063" s="812"/>
    </row>
    <row r="12064" spans="7:7">
      <c r="G12064" s="812"/>
    </row>
    <row r="12065" spans="7:7">
      <c r="G12065" s="812"/>
    </row>
    <row r="12066" spans="7:7">
      <c r="G12066" s="812"/>
    </row>
    <row r="12067" spans="7:7">
      <c r="G12067" s="812"/>
    </row>
    <row r="12068" spans="7:7">
      <c r="G12068" s="812"/>
    </row>
    <row r="12069" spans="7:7">
      <c r="G12069" s="812"/>
    </row>
    <row r="12070" spans="7:7">
      <c r="G12070" s="812"/>
    </row>
    <row r="12071" spans="7:7">
      <c r="G12071" s="812"/>
    </row>
    <row r="12072" spans="7:7">
      <c r="G12072" s="812"/>
    </row>
    <row r="12073" spans="7:7">
      <c r="G12073" s="812"/>
    </row>
    <row r="12074" spans="7:7">
      <c r="G12074" s="812"/>
    </row>
    <row r="12075" spans="7:7">
      <c r="G12075" s="812"/>
    </row>
    <row r="12076" spans="7:7">
      <c r="G12076" s="812"/>
    </row>
    <row r="12077" spans="7:7">
      <c r="G12077" s="812"/>
    </row>
    <row r="12078" spans="7:7">
      <c r="G12078" s="812"/>
    </row>
    <row r="12079" spans="7:7">
      <c r="G12079" s="812"/>
    </row>
    <row r="12080" spans="7:7">
      <c r="G12080" s="812"/>
    </row>
    <row r="12081" spans="7:7">
      <c r="G12081" s="812"/>
    </row>
    <row r="12082" spans="7:7">
      <c r="G12082" s="812"/>
    </row>
    <row r="12083" spans="7:7">
      <c r="G12083" s="812"/>
    </row>
    <row r="12084" spans="7:7">
      <c r="G12084" s="812"/>
    </row>
    <row r="12085" spans="7:7">
      <c r="G12085" s="812"/>
    </row>
    <row r="12086" spans="7:7">
      <c r="G12086" s="812"/>
    </row>
    <row r="12087" spans="7:7">
      <c r="G12087" s="812"/>
    </row>
    <row r="12088" spans="7:7">
      <c r="G12088" s="812"/>
    </row>
    <row r="12089" spans="7:7">
      <c r="G12089" s="812"/>
    </row>
    <row r="12090" spans="7:7">
      <c r="G12090" s="812"/>
    </row>
    <row r="12091" spans="7:7">
      <c r="G12091" s="812"/>
    </row>
    <row r="12092" spans="7:7">
      <c r="G12092" s="812"/>
    </row>
    <row r="12093" spans="7:7">
      <c r="G12093" s="812"/>
    </row>
    <row r="12094" spans="7:7">
      <c r="G12094" s="812"/>
    </row>
    <row r="12095" spans="7:7">
      <c r="G12095" s="812"/>
    </row>
    <row r="12096" spans="7:7">
      <c r="G12096" s="812"/>
    </row>
    <row r="12097" spans="7:7">
      <c r="G12097" s="812"/>
    </row>
    <row r="12098" spans="7:7">
      <c r="G12098" s="812"/>
    </row>
    <row r="12099" spans="7:7">
      <c r="G12099" s="812"/>
    </row>
    <row r="12100" spans="7:7">
      <c r="G12100" s="812"/>
    </row>
    <row r="12101" spans="7:7">
      <c r="G12101" s="812"/>
    </row>
    <row r="12102" spans="7:7">
      <c r="G12102" s="812"/>
    </row>
    <row r="12103" spans="7:7">
      <c r="G12103" s="812"/>
    </row>
    <row r="12104" spans="7:7">
      <c r="G12104" s="812"/>
    </row>
    <row r="12105" spans="7:7">
      <c r="G12105" s="812"/>
    </row>
    <row r="12106" spans="7:7">
      <c r="G12106" s="812"/>
    </row>
    <row r="12107" spans="7:7">
      <c r="G12107" s="812"/>
    </row>
    <row r="12108" spans="7:7">
      <c r="G12108" s="812"/>
    </row>
    <row r="12109" spans="7:7">
      <c r="G12109" s="812"/>
    </row>
    <row r="12110" spans="7:7">
      <c r="G12110" s="812"/>
    </row>
    <row r="12111" spans="7:7">
      <c r="G12111" s="812"/>
    </row>
    <row r="12112" spans="7:7">
      <c r="G12112" s="812"/>
    </row>
    <row r="12113" spans="7:7">
      <c r="G12113" s="812"/>
    </row>
    <row r="12114" spans="7:7">
      <c r="G12114" s="812"/>
    </row>
    <row r="12115" spans="7:7">
      <c r="G12115" s="812"/>
    </row>
    <row r="12116" spans="7:7">
      <c r="G12116" s="812"/>
    </row>
    <row r="12117" spans="7:7">
      <c r="G12117" s="812"/>
    </row>
    <row r="12118" spans="7:7">
      <c r="G12118" s="812"/>
    </row>
    <row r="12119" spans="7:7">
      <c r="G12119" s="812"/>
    </row>
    <row r="12120" spans="7:7">
      <c r="G12120" s="812"/>
    </row>
    <row r="12121" spans="7:7">
      <c r="G12121" s="812"/>
    </row>
    <row r="12122" spans="7:7">
      <c r="G12122" s="812"/>
    </row>
    <row r="12123" spans="7:7">
      <c r="G12123" s="812"/>
    </row>
    <row r="12124" spans="7:7">
      <c r="G12124" s="812"/>
    </row>
    <row r="12125" spans="7:7">
      <c r="G12125" s="812"/>
    </row>
    <row r="12126" spans="7:7">
      <c r="G12126" s="812"/>
    </row>
    <row r="12127" spans="7:7">
      <c r="G12127" s="812"/>
    </row>
    <row r="12128" spans="7:7">
      <c r="G12128" s="812"/>
    </row>
    <row r="12129" spans="7:7">
      <c r="G12129" s="812"/>
    </row>
    <row r="12130" spans="7:7">
      <c r="G12130" s="812"/>
    </row>
    <row r="12131" spans="7:7">
      <c r="G12131" s="812"/>
    </row>
    <row r="12132" spans="7:7">
      <c r="G12132" s="812"/>
    </row>
    <row r="12133" spans="7:7">
      <c r="G12133" s="812"/>
    </row>
    <row r="12134" spans="7:7">
      <c r="G12134" s="812"/>
    </row>
    <row r="12135" spans="7:7">
      <c r="G12135" s="812"/>
    </row>
    <row r="12136" spans="7:7">
      <c r="G12136" s="812"/>
    </row>
    <row r="12137" spans="7:7">
      <c r="G12137" s="812"/>
    </row>
    <row r="12138" spans="7:7">
      <c r="G12138" s="812"/>
    </row>
    <row r="12139" spans="7:7">
      <c r="G12139" s="812"/>
    </row>
    <row r="12140" spans="7:7">
      <c r="G12140" s="812"/>
    </row>
    <row r="12141" spans="7:7">
      <c r="G12141" s="812"/>
    </row>
    <row r="12142" spans="7:7">
      <c r="G12142" s="812"/>
    </row>
    <row r="12143" spans="7:7">
      <c r="G12143" s="812"/>
    </row>
    <row r="12144" spans="7:7">
      <c r="G12144" s="812"/>
    </row>
    <row r="12145" spans="7:7">
      <c r="G12145" s="812"/>
    </row>
    <row r="12146" spans="7:7">
      <c r="G12146" s="812"/>
    </row>
    <row r="12147" spans="7:7">
      <c r="G12147" s="812"/>
    </row>
    <row r="12148" spans="7:7">
      <c r="G12148" s="812"/>
    </row>
    <row r="12149" spans="7:7">
      <c r="G12149" s="812"/>
    </row>
    <row r="12150" spans="7:7">
      <c r="G12150" s="812"/>
    </row>
    <row r="12151" spans="7:7">
      <c r="G12151" s="812"/>
    </row>
    <row r="12152" spans="7:7">
      <c r="G12152" s="812"/>
    </row>
    <row r="12153" spans="7:7">
      <c r="G12153" s="812"/>
    </row>
    <row r="12154" spans="7:7">
      <c r="G12154" s="812"/>
    </row>
    <row r="12155" spans="7:7">
      <c r="G12155" s="812"/>
    </row>
    <row r="12156" spans="7:7">
      <c r="G12156" s="812"/>
    </row>
    <row r="12157" spans="7:7">
      <c r="G12157" s="812"/>
    </row>
    <row r="12158" spans="7:7">
      <c r="G12158" s="812"/>
    </row>
    <row r="12159" spans="7:7">
      <c r="G12159" s="812"/>
    </row>
    <row r="12160" spans="7:7">
      <c r="G12160" s="812"/>
    </row>
    <row r="12161" spans="7:7">
      <c r="G12161" s="812"/>
    </row>
    <row r="12162" spans="7:7">
      <c r="G12162" s="812"/>
    </row>
    <row r="12163" spans="7:7">
      <c r="G12163" s="812"/>
    </row>
    <row r="12164" spans="7:7">
      <c r="G12164" s="812"/>
    </row>
    <row r="12165" spans="7:7">
      <c r="G12165" s="812"/>
    </row>
    <row r="12166" spans="7:7">
      <c r="G12166" s="812"/>
    </row>
    <row r="12167" spans="7:7">
      <c r="G12167" s="812"/>
    </row>
    <row r="12168" spans="7:7">
      <c r="G12168" s="812"/>
    </row>
    <row r="12169" spans="7:7">
      <c r="G12169" s="812"/>
    </row>
    <row r="12170" spans="7:7">
      <c r="G12170" s="812"/>
    </row>
    <row r="12171" spans="7:7">
      <c r="G12171" s="812"/>
    </row>
    <row r="12172" spans="7:7">
      <c r="G12172" s="812"/>
    </row>
    <row r="12173" spans="7:7">
      <c r="G12173" s="812"/>
    </row>
    <row r="12174" spans="7:7">
      <c r="G12174" s="812"/>
    </row>
    <row r="12175" spans="7:7">
      <c r="G12175" s="812"/>
    </row>
    <row r="12176" spans="7:7">
      <c r="G12176" s="812"/>
    </row>
    <row r="12177" spans="7:7">
      <c r="G12177" s="812"/>
    </row>
    <row r="12178" spans="7:7">
      <c r="G12178" s="812"/>
    </row>
    <row r="12179" spans="7:7">
      <c r="G12179" s="812"/>
    </row>
    <row r="12180" spans="7:7">
      <c r="G12180" s="812"/>
    </row>
    <row r="12181" spans="7:7">
      <c r="G12181" s="812"/>
    </row>
    <row r="12182" spans="7:7">
      <c r="G12182" s="812"/>
    </row>
    <row r="12183" spans="7:7">
      <c r="G12183" s="812"/>
    </row>
    <row r="12184" spans="7:7">
      <c r="G12184" s="812"/>
    </row>
    <row r="12185" spans="7:7">
      <c r="G12185" s="812"/>
    </row>
    <row r="12186" spans="7:7">
      <c r="G12186" s="812"/>
    </row>
    <row r="12187" spans="7:7">
      <c r="G12187" s="812"/>
    </row>
    <row r="12188" spans="7:7">
      <c r="G12188" s="812"/>
    </row>
    <row r="12189" spans="7:7">
      <c r="G12189" s="812"/>
    </row>
    <row r="12190" spans="7:7">
      <c r="G12190" s="812"/>
    </row>
    <row r="12191" spans="7:7">
      <c r="G12191" s="812"/>
    </row>
    <row r="12192" spans="7:7">
      <c r="G12192" s="812"/>
    </row>
    <row r="12193" spans="7:7">
      <c r="G12193" s="812"/>
    </row>
    <row r="12194" spans="7:7">
      <c r="G12194" s="812"/>
    </row>
    <row r="12195" spans="7:7">
      <c r="G12195" s="812"/>
    </row>
    <row r="12196" spans="7:7">
      <c r="G12196" s="812"/>
    </row>
    <row r="12197" spans="7:7">
      <c r="G12197" s="812"/>
    </row>
    <row r="12198" spans="7:7">
      <c r="G12198" s="812"/>
    </row>
    <row r="12199" spans="7:7">
      <c r="G12199" s="812"/>
    </row>
    <row r="12200" spans="7:7">
      <c r="G12200" s="812"/>
    </row>
    <row r="12201" spans="7:7">
      <c r="G12201" s="812"/>
    </row>
    <row r="12202" spans="7:7">
      <c r="G12202" s="812"/>
    </row>
    <row r="12203" spans="7:7">
      <c r="G12203" s="812"/>
    </row>
    <row r="12204" spans="7:7">
      <c r="G12204" s="812"/>
    </row>
    <row r="12205" spans="7:7">
      <c r="G12205" s="812"/>
    </row>
    <row r="12206" spans="7:7">
      <c r="G12206" s="812"/>
    </row>
    <row r="12207" spans="7:7">
      <c r="G12207" s="812"/>
    </row>
    <row r="12208" spans="7:7">
      <c r="G12208" s="812"/>
    </row>
    <row r="12209" spans="7:7">
      <c r="G12209" s="812"/>
    </row>
    <row r="12210" spans="7:7">
      <c r="G12210" s="812"/>
    </row>
    <row r="12211" spans="7:7">
      <c r="G12211" s="812"/>
    </row>
    <row r="12212" spans="7:7">
      <c r="G12212" s="812"/>
    </row>
    <row r="12213" spans="7:7">
      <c r="G12213" s="812"/>
    </row>
    <row r="12214" spans="7:7">
      <c r="G12214" s="812"/>
    </row>
    <row r="12215" spans="7:7">
      <c r="G12215" s="812"/>
    </row>
    <row r="12216" spans="7:7">
      <c r="G12216" s="812"/>
    </row>
    <row r="12217" spans="7:7">
      <c r="G12217" s="812"/>
    </row>
    <row r="12218" spans="7:7">
      <c r="G12218" s="812"/>
    </row>
    <row r="12219" spans="7:7">
      <c r="G12219" s="812"/>
    </row>
    <row r="12220" spans="7:7">
      <c r="G12220" s="812"/>
    </row>
    <row r="12221" spans="7:7">
      <c r="G12221" s="812"/>
    </row>
    <row r="12222" spans="7:7">
      <c r="G12222" s="812"/>
    </row>
    <row r="12223" spans="7:7">
      <c r="G12223" s="812"/>
    </row>
    <row r="12224" spans="7:7">
      <c r="G12224" s="812"/>
    </row>
    <row r="12225" spans="7:7">
      <c r="G12225" s="812"/>
    </row>
    <row r="12226" spans="7:7">
      <c r="G12226" s="812"/>
    </row>
    <row r="12227" spans="7:7">
      <c r="G12227" s="812"/>
    </row>
    <row r="12228" spans="7:7">
      <c r="G12228" s="812"/>
    </row>
    <row r="12229" spans="7:7">
      <c r="G12229" s="812"/>
    </row>
    <row r="12230" spans="7:7">
      <c r="G12230" s="812"/>
    </row>
    <row r="12231" spans="7:7">
      <c r="G12231" s="812"/>
    </row>
    <row r="12232" spans="7:7">
      <c r="G12232" s="812"/>
    </row>
    <row r="12233" spans="7:7">
      <c r="G12233" s="812"/>
    </row>
    <row r="12234" spans="7:7">
      <c r="G12234" s="812"/>
    </row>
    <row r="12235" spans="7:7">
      <c r="G12235" s="812"/>
    </row>
    <row r="12236" spans="7:7">
      <c r="G12236" s="812"/>
    </row>
    <row r="12237" spans="7:7">
      <c r="G12237" s="812"/>
    </row>
    <row r="12238" spans="7:7">
      <c r="G12238" s="812"/>
    </row>
    <row r="12239" spans="7:7">
      <c r="G12239" s="812"/>
    </row>
    <row r="12240" spans="7:7">
      <c r="G12240" s="812"/>
    </row>
    <row r="12241" spans="7:7">
      <c r="G12241" s="812"/>
    </row>
    <row r="12242" spans="7:7">
      <c r="G12242" s="812"/>
    </row>
    <row r="12243" spans="7:7">
      <c r="G12243" s="812"/>
    </row>
    <row r="12244" spans="7:7">
      <c r="G12244" s="812"/>
    </row>
    <row r="12245" spans="7:7">
      <c r="G12245" s="812"/>
    </row>
    <row r="12246" spans="7:7">
      <c r="G12246" s="812"/>
    </row>
    <row r="12247" spans="7:7">
      <c r="G12247" s="812"/>
    </row>
    <row r="12248" spans="7:7">
      <c r="G12248" s="812"/>
    </row>
    <row r="12249" spans="7:7">
      <c r="G12249" s="812"/>
    </row>
    <row r="12250" spans="7:7">
      <c r="G12250" s="812"/>
    </row>
    <row r="12251" spans="7:7">
      <c r="G12251" s="812"/>
    </row>
    <row r="12252" spans="7:7">
      <c r="G12252" s="812"/>
    </row>
    <row r="12253" spans="7:7">
      <c r="G12253" s="812"/>
    </row>
    <row r="12254" spans="7:7">
      <c r="G12254" s="812"/>
    </row>
    <row r="12255" spans="7:7">
      <c r="G12255" s="812"/>
    </row>
    <row r="12256" spans="7:7">
      <c r="G12256" s="812"/>
    </row>
    <row r="12257" spans="7:7">
      <c r="G12257" s="812"/>
    </row>
    <row r="12258" spans="7:7">
      <c r="G12258" s="812"/>
    </row>
    <row r="12259" spans="7:7">
      <c r="G12259" s="812"/>
    </row>
    <row r="12260" spans="7:7">
      <c r="G12260" s="812"/>
    </row>
    <row r="12261" spans="7:7">
      <c r="G12261" s="812"/>
    </row>
    <row r="12262" spans="7:7">
      <c r="G12262" s="812"/>
    </row>
    <row r="12263" spans="7:7">
      <c r="G12263" s="812"/>
    </row>
    <row r="12264" spans="7:7">
      <c r="G12264" s="812"/>
    </row>
    <row r="12265" spans="7:7">
      <c r="G12265" s="812"/>
    </row>
    <row r="12266" spans="7:7">
      <c r="G12266" s="812"/>
    </row>
    <row r="12267" spans="7:7">
      <c r="G12267" s="812"/>
    </row>
    <row r="12268" spans="7:7">
      <c r="G12268" s="812"/>
    </row>
    <row r="12269" spans="7:7">
      <c r="G12269" s="812"/>
    </row>
    <row r="12270" spans="7:7">
      <c r="G12270" s="812"/>
    </row>
    <row r="12271" spans="7:7">
      <c r="G12271" s="812"/>
    </row>
    <row r="12272" spans="7:7">
      <c r="G12272" s="812"/>
    </row>
    <row r="12273" spans="7:7">
      <c r="G12273" s="812"/>
    </row>
    <row r="12274" spans="7:7">
      <c r="G12274" s="812"/>
    </row>
    <row r="12275" spans="7:7">
      <c r="G12275" s="812"/>
    </row>
    <row r="12276" spans="7:7">
      <c r="G12276" s="812"/>
    </row>
    <row r="12277" spans="7:7">
      <c r="G12277" s="812"/>
    </row>
    <row r="12278" spans="7:7">
      <c r="G12278" s="812"/>
    </row>
    <row r="12279" spans="7:7">
      <c r="G12279" s="812"/>
    </row>
    <row r="12280" spans="7:7">
      <c r="G12280" s="812"/>
    </row>
    <row r="12281" spans="7:7">
      <c r="G12281" s="812"/>
    </row>
    <row r="12282" spans="7:7">
      <c r="G12282" s="812"/>
    </row>
    <row r="12283" spans="7:7">
      <c r="G12283" s="812"/>
    </row>
    <row r="12284" spans="7:7">
      <c r="G12284" s="812"/>
    </row>
    <row r="12285" spans="7:7">
      <c r="G12285" s="812"/>
    </row>
    <row r="12286" spans="7:7">
      <c r="G12286" s="812"/>
    </row>
    <row r="12287" spans="7:7">
      <c r="G12287" s="812"/>
    </row>
    <row r="12288" spans="7:7">
      <c r="G12288" s="812"/>
    </row>
    <row r="12289" spans="7:7">
      <c r="G12289" s="812"/>
    </row>
    <row r="12290" spans="7:7">
      <c r="G12290" s="812"/>
    </row>
    <row r="12291" spans="7:7">
      <c r="G12291" s="812"/>
    </row>
    <row r="12292" spans="7:7">
      <c r="G12292" s="812"/>
    </row>
    <row r="12293" spans="7:7">
      <c r="G12293" s="812"/>
    </row>
    <row r="12294" spans="7:7">
      <c r="G12294" s="812"/>
    </row>
    <row r="12295" spans="7:7">
      <c r="G12295" s="812"/>
    </row>
    <row r="12296" spans="7:7">
      <c r="G12296" s="812"/>
    </row>
    <row r="12297" spans="7:7">
      <c r="G12297" s="812"/>
    </row>
    <row r="12298" spans="7:7">
      <c r="G12298" s="812"/>
    </row>
    <row r="12299" spans="7:7">
      <c r="G12299" s="812"/>
    </row>
    <row r="12300" spans="7:7">
      <c r="G12300" s="812"/>
    </row>
    <row r="12301" spans="7:7">
      <c r="G12301" s="812"/>
    </row>
    <row r="12302" spans="7:7">
      <c r="G12302" s="812"/>
    </row>
    <row r="12303" spans="7:7">
      <c r="G12303" s="812"/>
    </row>
    <row r="12304" spans="7:7">
      <c r="G12304" s="812"/>
    </row>
    <row r="12305" spans="7:7">
      <c r="G12305" s="812"/>
    </row>
    <row r="12306" spans="7:7">
      <c r="G12306" s="812"/>
    </row>
    <row r="12307" spans="7:7">
      <c r="G12307" s="812"/>
    </row>
    <row r="12308" spans="7:7">
      <c r="G12308" s="812"/>
    </row>
    <row r="12309" spans="7:7">
      <c r="G12309" s="812"/>
    </row>
    <row r="12310" spans="7:7">
      <c r="G12310" s="812"/>
    </row>
    <row r="12311" spans="7:7">
      <c r="G12311" s="812"/>
    </row>
    <row r="12312" spans="7:7">
      <c r="G12312" s="812"/>
    </row>
    <row r="12313" spans="7:7">
      <c r="G12313" s="812"/>
    </row>
    <row r="12314" spans="7:7">
      <c r="G12314" s="812"/>
    </row>
    <row r="12315" spans="7:7">
      <c r="G12315" s="812"/>
    </row>
    <row r="12316" spans="7:7">
      <c r="G12316" s="812"/>
    </row>
    <row r="12317" spans="7:7">
      <c r="G12317" s="812"/>
    </row>
    <row r="12318" spans="7:7">
      <c r="G12318" s="812"/>
    </row>
    <row r="12319" spans="7:7">
      <c r="G12319" s="812"/>
    </row>
    <row r="12320" spans="7:7">
      <c r="G12320" s="812"/>
    </row>
    <row r="12321" spans="7:7">
      <c r="G12321" s="812"/>
    </row>
    <row r="12322" spans="7:7">
      <c r="G12322" s="812"/>
    </row>
    <row r="12323" spans="7:7">
      <c r="G12323" s="812"/>
    </row>
    <row r="12324" spans="7:7">
      <c r="G12324" s="812"/>
    </row>
    <row r="12325" spans="7:7">
      <c r="G12325" s="812"/>
    </row>
    <row r="12326" spans="7:7">
      <c r="G12326" s="812"/>
    </row>
    <row r="12327" spans="7:7">
      <c r="G12327" s="812"/>
    </row>
    <row r="12328" spans="7:7">
      <c r="G12328" s="812"/>
    </row>
    <row r="12329" spans="7:7">
      <c r="G12329" s="812"/>
    </row>
    <row r="12330" spans="7:7">
      <c r="G12330" s="812"/>
    </row>
    <row r="12331" spans="7:7">
      <c r="G12331" s="812"/>
    </row>
    <row r="12332" spans="7:7">
      <c r="G12332" s="812"/>
    </row>
    <row r="12333" spans="7:7">
      <c r="G12333" s="812"/>
    </row>
    <row r="12334" spans="7:7">
      <c r="G12334" s="812"/>
    </row>
    <row r="12335" spans="7:7">
      <c r="G12335" s="812"/>
    </row>
    <row r="12336" spans="7:7">
      <c r="G12336" s="812"/>
    </row>
    <row r="12337" spans="7:7">
      <c r="G12337" s="812"/>
    </row>
    <row r="12338" spans="7:7">
      <c r="G12338" s="812"/>
    </row>
    <row r="12339" spans="7:7">
      <c r="G12339" s="812"/>
    </row>
    <row r="12340" spans="7:7">
      <c r="G12340" s="812"/>
    </row>
    <row r="12341" spans="7:7">
      <c r="G12341" s="812"/>
    </row>
    <row r="12342" spans="7:7">
      <c r="G12342" s="812"/>
    </row>
    <row r="12343" spans="7:7">
      <c r="G12343" s="812"/>
    </row>
    <row r="12344" spans="7:7">
      <c r="G12344" s="812"/>
    </row>
    <row r="12345" spans="7:7">
      <c r="G12345" s="812"/>
    </row>
    <row r="12346" spans="7:7">
      <c r="G12346" s="812"/>
    </row>
    <row r="12347" spans="7:7">
      <c r="G12347" s="812"/>
    </row>
    <row r="12348" spans="7:7">
      <c r="G12348" s="812"/>
    </row>
    <row r="12349" spans="7:7">
      <c r="G12349" s="812"/>
    </row>
    <row r="12350" spans="7:7">
      <c r="G12350" s="812"/>
    </row>
    <row r="12351" spans="7:7">
      <c r="G12351" s="812"/>
    </row>
    <row r="12352" spans="7:7">
      <c r="G12352" s="812"/>
    </row>
    <row r="12353" spans="7:7">
      <c r="G12353" s="812"/>
    </row>
    <row r="12354" spans="7:7">
      <c r="G12354" s="812"/>
    </row>
    <row r="12355" spans="7:7">
      <c r="G12355" s="812"/>
    </row>
    <row r="12356" spans="7:7">
      <c r="G12356" s="812"/>
    </row>
    <row r="12357" spans="7:7">
      <c r="G12357" s="812"/>
    </row>
    <row r="12358" spans="7:7">
      <c r="G12358" s="812"/>
    </row>
    <row r="12359" spans="7:7">
      <c r="G12359" s="812"/>
    </row>
    <row r="12360" spans="7:7">
      <c r="G12360" s="812"/>
    </row>
    <row r="12361" spans="7:7">
      <c r="G12361" s="812"/>
    </row>
    <row r="12362" spans="7:7">
      <c r="G12362" s="812"/>
    </row>
    <row r="12363" spans="7:7">
      <c r="G12363" s="812"/>
    </row>
    <row r="12364" spans="7:7">
      <c r="G12364" s="812"/>
    </row>
    <row r="12365" spans="7:7">
      <c r="G12365" s="812"/>
    </row>
    <row r="12366" spans="7:7">
      <c r="G12366" s="812"/>
    </row>
    <row r="12367" spans="7:7">
      <c r="G12367" s="812"/>
    </row>
    <row r="12368" spans="7:7">
      <c r="G12368" s="812"/>
    </row>
    <row r="12369" spans="7:7">
      <c r="G12369" s="812"/>
    </row>
    <row r="12370" spans="7:7">
      <c r="G12370" s="812"/>
    </row>
    <row r="12371" spans="7:7">
      <c r="G12371" s="812"/>
    </row>
    <row r="12372" spans="7:7">
      <c r="G12372" s="812"/>
    </row>
    <row r="12373" spans="7:7">
      <c r="G12373" s="812"/>
    </row>
    <row r="12374" spans="7:7">
      <c r="G12374" s="812"/>
    </row>
    <row r="12375" spans="7:7">
      <c r="G12375" s="812"/>
    </row>
    <row r="12376" spans="7:7">
      <c r="G12376" s="812"/>
    </row>
    <row r="12377" spans="7:7">
      <c r="G12377" s="812"/>
    </row>
    <row r="12378" spans="7:7">
      <c r="G12378" s="812"/>
    </row>
    <row r="12379" spans="7:7">
      <c r="G12379" s="812"/>
    </row>
    <row r="12380" spans="7:7">
      <c r="G12380" s="812"/>
    </row>
    <row r="12381" spans="7:7">
      <c r="G12381" s="812"/>
    </row>
    <row r="12382" spans="7:7">
      <c r="G12382" s="812"/>
    </row>
    <row r="12383" spans="7:7">
      <c r="G12383" s="812"/>
    </row>
    <row r="12384" spans="7:7">
      <c r="G12384" s="812"/>
    </row>
    <row r="12385" spans="7:7">
      <c r="G12385" s="812"/>
    </row>
    <row r="12386" spans="7:7">
      <c r="G12386" s="812"/>
    </row>
    <row r="12387" spans="7:7">
      <c r="G12387" s="812"/>
    </row>
    <row r="12388" spans="7:7">
      <c r="G12388" s="812"/>
    </row>
    <row r="12389" spans="7:7">
      <c r="G12389" s="812"/>
    </row>
    <row r="12390" spans="7:7">
      <c r="G12390" s="812"/>
    </row>
    <row r="12391" spans="7:7">
      <c r="G12391" s="812"/>
    </row>
    <row r="12392" spans="7:7">
      <c r="G12392" s="812"/>
    </row>
    <row r="12393" spans="7:7">
      <c r="G12393" s="812"/>
    </row>
    <row r="12394" spans="7:7">
      <c r="G12394" s="812"/>
    </row>
    <row r="12395" spans="7:7">
      <c r="G12395" s="812"/>
    </row>
    <row r="12396" spans="7:7">
      <c r="G12396" s="812"/>
    </row>
    <row r="12397" spans="7:7">
      <c r="G12397" s="812"/>
    </row>
    <row r="12398" spans="7:7">
      <c r="G12398" s="812"/>
    </row>
    <row r="12399" spans="7:7">
      <c r="G12399" s="812"/>
    </row>
    <row r="12400" spans="7:7">
      <c r="G12400" s="812"/>
    </row>
    <row r="12401" spans="7:7">
      <c r="G12401" s="812"/>
    </row>
    <row r="12402" spans="7:7">
      <c r="G12402" s="812"/>
    </row>
    <row r="12403" spans="7:7">
      <c r="G12403" s="812"/>
    </row>
    <row r="12404" spans="7:7">
      <c r="G12404" s="812"/>
    </row>
    <row r="12405" spans="7:7">
      <c r="G12405" s="812"/>
    </row>
    <row r="12406" spans="7:7">
      <c r="G12406" s="812"/>
    </row>
    <row r="12407" spans="7:7">
      <c r="G12407" s="812"/>
    </row>
    <row r="12408" spans="7:7">
      <c r="G12408" s="812"/>
    </row>
    <row r="12409" spans="7:7">
      <c r="G12409" s="812"/>
    </row>
    <row r="12410" spans="7:7">
      <c r="G12410" s="812"/>
    </row>
    <row r="12411" spans="7:7">
      <c r="G12411" s="812"/>
    </row>
    <row r="12412" spans="7:7">
      <c r="G12412" s="812"/>
    </row>
    <row r="12413" spans="7:7">
      <c r="G12413" s="812"/>
    </row>
    <row r="12414" spans="7:7">
      <c r="G12414" s="812"/>
    </row>
    <row r="12415" spans="7:7">
      <c r="G12415" s="812"/>
    </row>
    <row r="12416" spans="7:7">
      <c r="G12416" s="812"/>
    </row>
    <row r="12417" spans="7:7">
      <c r="G12417" s="812"/>
    </row>
    <row r="12418" spans="7:7">
      <c r="G12418" s="812"/>
    </row>
    <row r="12419" spans="7:7">
      <c r="G12419" s="812"/>
    </row>
    <row r="12420" spans="7:7">
      <c r="G12420" s="812"/>
    </row>
    <row r="12421" spans="7:7">
      <c r="G12421" s="812"/>
    </row>
    <row r="12422" spans="7:7">
      <c r="G12422" s="812"/>
    </row>
    <row r="12423" spans="7:7">
      <c r="G12423" s="812"/>
    </row>
    <row r="12424" spans="7:7">
      <c r="G12424" s="812"/>
    </row>
    <row r="12425" spans="7:7">
      <c r="G12425" s="812"/>
    </row>
    <row r="12426" spans="7:7">
      <c r="G12426" s="812"/>
    </row>
    <row r="12427" spans="7:7">
      <c r="G12427" s="812"/>
    </row>
    <row r="12428" spans="7:7">
      <c r="G12428" s="812"/>
    </row>
    <row r="12429" spans="7:7">
      <c r="G12429" s="812"/>
    </row>
    <row r="12430" spans="7:7">
      <c r="G12430" s="812"/>
    </row>
    <row r="12431" spans="7:7">
      <c r="G12431" s="812"/>
    </row>
    <row r="12432" spans="7:7">
      <c r="G12432" s="812"/>
    </row>
    <row r="12433" spans="7:7">
      <c r="G12433" s="812"/>
    </row>
    <row r="12434" spans="7:7">
      <c r="G12434" s="812"/>
    </row>
    <row r="12435" spans="7:7">
      <c r="G12435" s="812"/>
    </row>
    <row r="12436" spans="7:7">
      <c r="G12436" s="812"/>
    </row>
    <row r="12437" spans="7:7">
      <c r="G12437" s="812"/>
    </row>
    <row r="12438" spans="7:7">
      <c r="G12438" s="812"/>
    </row>
    <row r="12439" spans="7:7">
      <c r="G12439" s="812"/>
    </row>
    <row r="12440" spans="7:7">
      <c r="G12440" s="812"/>
    </row>
    <row r="12441" spans="7:7">
      <c r="G12441" s="812"/>
    </row>
    <row r="12442" spans="7:7">
      <c r="G12442" s="812"/>
    </row>
    <row r="12443" spans="7:7">
      <c r="G12443" s="812"/>
    </row>
    <row r="12444" spans="7:7">
      <c r="G12444" s="812"/>
    </row>
    <row r="12445" spans="7:7">
      <c r="G12445" s="812"/>
    </row>
    <row r="12446" spans="7:7">
      <c r="G12446" s="812"/>
    </row>
    <row r="12447" spans="7:7">
      <c r="G12447" s="812"/>
    </row>
    <row r="12448" spans="7:7">
      <c r="G12448" s="812"/>
    </row>
    <row r="12449" spans="7:7">
      <c r="G12449" s="812"/>
    </row>
    <row r="12450" spans="7:7">
      <c r="G12450" s="812"/>
    </row>
    <row r="12451" spans="7:7">
      <c r="G12451" s="812"/>
    </row>
    <row r="12452" spans="7:7">
      <c r="G12452" s="812"/>
    </row>
    <row r="12453" spans="7:7">
      <c r="G12453" s="812"/>
    </row>
    <row r="12454" spans="7:7">
      <c r="G12454" s="812"/>
    </row>
    <row r="12455" spans="7:7">
      <c r="G12455" s="812"/>
    </row>
    <row r="12456" spans="7:7">
      <c r="G12456" s="812"/>
    </row>
    <row r="12457" spans="7:7">
      <c r="G12457" s="812"/>
    </row>
    <row r="12458" spans="7:7">
      <c r="G12458" s="812"/>
    </row>
    <row r="12459" spans="7:7">
      <c r="G12459" s="812"/>
    </row>
    <row r="12460" spans="7:7">
      <c r="G12460" s="812"/>
    </row>
    <row r="12461" spans="7:7">
      <c r="G12461" s="812"/>
    </row>
    <row r="12462" spans="7:7">
      <c r="G12462" s="812"/>
    </row>
    <row r="12463" spans="7:7">
      <c r="G12463" s="812"/>
    </row>
    <row r="12464" spans="7:7">
      <c r="G12464" s="812"/>
    </row>
    <row r="12465" spans="7:7">
      <c r="G12465" s="812"/>
    </row>
    <row r="12466" spans="7:7">
      <c r="G12466" s="812"/>
    </row>
    <row r="12467" spans="7:7">
      <c r="G12467" s="812"/>
    </row>
    <row r="12468" spans="7:7">
      <c r="G12468" s="812"/>
    </row>
    <row r="12469" spans="7:7">
      <c r="G12469" s="812"/>
    </row>
    <row r="12470" spans="7:7">
      <c r="G12470" s="812"/>
    </row>
    <row r="12471" spans="7:7">
      <c r="G12471" s="812"/>
    </row>
    <row r="12472" spans="7:7">
      <c r="G12472" s="812"/>
    </row>
    <row r="12473" spans="7:7">
      <c r="G12473" s="812"/>
    </row>
    <row r="12474" spans="7:7">
      <c r="G12474" s="812"/>
    </row>
    <row r="12475" spans="7:7">
      <c r="G12475" s="812"/>
    </row>
    <row r="12476" spans="7:7">
      <c r="G12476" s="812"/>
    </row>
    <row r="12477" spans="7:7">
      <c r="G12477" s="812"/>
    </row>
    <row r="12478" spans="7:7">
      <c r="G12478" s="812"/>
    </row>
    <row r="12479" spans="7:7">
      <c r="G12479" s="812"/>
    </row>
    <row r="12480" spans="7:7">
      <c r="G12480" s="812"/>
    </row>
    <row r="12481" spans="7:7">
      <c r="G12481" s="812"/>
    </row>
    <row r="12482" spans="7:7">
      <c r="G12482" s="812"/>
    </row>
    <row r="12483" spans="7:7">
      <c r="G12483" s="812"/>
    </row>
    <row r="12484" spans="7:7">
      <c r="G12484" s="812"/>
    </row>
    <row r="12485" spans="7:7">
      <c r="G12485" s="812"/>
    </row>
    <row r="12486" spans="7:7">
      <c r="G12486" s="812"/>
    </row>
    <row r="12487" spans="7:7">
      <c r="G12487" s="812"/>
    </row>
    <row r="12488" spans="7:7">
      <c r="G12488" s="812"/>
    </row>
    <row r="12489" spans="7:7">
      <c r="G12489" s="812"/>
    </row>
    <row r="12490" spans="7:7">
      <c r="G12490" s="812"/>
    </row>
    <row r="12491" spans="7:7">
      <c r="G12491" s="812"/>
    </row>
    <row r="12492" spans="7:7">
      <c r="G12492" s="812"/>
    </row>
    <row r="12493" spans="7:7">
      <c r="G12493" s="812"/>
    </row>
    <row r="12494" spans="7:7">
      <c r="G12494" s="812"/>
    </row>
    <row r="12495" spans="7:7">
      <c r="G12495" s="812"/>
    </row>
    <row r="12496" spans="7:7">
      <c r="G12496" s="812"/>
    </row>
    <row r="12497" spans="7:7">
      <c r="G12497" s="812"/>
    </row>
    <row r="12498" spans="7:7">
      <c r="G12498" s="812"/>
    </row>
    <row r="12499" spans="7:7">
      <c r="G12499" s="812"/>
    </row>
    <row r="12500" spans="7:7">
      <c r="G12500" s="812"/>
    </row>
    <row r="12501" spans="7:7">
      <c r="G12501" s="812"/>
    </row>
    <row r="12502" spans="7:7">
      <c r="G12502" s="812"/>
    </row>
    <row r="12503" spans="7:7">
      <c r="G12503" s="812"/>
    </row>
    <row r="12504" spans="7:7">
      <c r="G12504" s="812"/>
    </row>
    <row r="12505" spans="7:7">
      <c r="G12505" s="812"/>
    </row>
    <row r="12506" spans="7:7">
      <c r="G12506" s="812"/>
    </row>
    <row r="12507" spans="7:7">
      <c r="G12507" s="812"/>
    </row>
    <row r="12508" spans="7:7">
      <c r="G12508" s="812"/>
    </row>
    <row r="12509" spans="7:7">
      <c r="G12509" s="812"/>
    </row>
    <row r="12510" spans="7:7">
      <c r="G12510" s="812"/>
    </row>
    <row r="12511" spans="7:7">
      <c r="G12511" s="812"/>
    </row>
    <row r="12512" spans="7:7">
      <c r="G12512" s="812"/>
    </row>
    <row r="12513" spans="7:7">
      <c r="G12513" s="812"/>
    </row>
    <row r="12514" spans="7:7">
      <c r="G12514" s="812"/>
    </row>
    <row r="12515" spans="7:7">
      <c r="G12515" s="812"/>
    </row>
    <row r="12516" spans="7:7">
      <c r="G12516" s="812"/>
    </row>
    <row r="12517" spans="7:7">
      <c r="G12517" s="812"/>
    </row>
    <row r="12518" spans="7:7">
      <c r="G12518" s="812"/>
    </row>
    <row r="12519" spans="7:7">
      <c r="G12519" s="812"/>
    </row>
    <row r="12520" spans="7:7">
      <c r="G12520" s="812"/>
    </row>
    <row r="12521" spans="7:7">
      <c r="G12521" s="812"/>
    </row>
    <row r="12522" spans="7:7">
      <c r="G12522" s="812"/>
    </row>
    <row r="12523" spans="7:7">
      <c r="G12523" s="812"/>
    </row>
    <row r="12524" spans="7:7">
      <c r="G12524" s="812"/>
    </row>
    <row r="12525" spans="7:7">
      <c r="G12525" s="812"/>
    </row>
    <row r="12526" spans="7:7">
      <c r="G12526" s="812"/>
    </row>
    <row r="12527" spans="7:7">
      <c r="G12527" s="812"/>
    </row>
    <row r="12528" spans="7:7">
      <c r="G12528" s="812"/>
    </row>
    <row r="12529" spans="7:7">
      <c r="G12529" s="812"/>
    </row>
    <row r="12530" spans="7:7">
      <c r="G12530" s="812"/>
    </row>
    <row r="12531" spans="7:7">
      <c r="G12531" s="812"/>
    </row>
    <row r="12532" spans="7:7">
      <c r="G12532" s="812"/>
    </row>
    <row r="12533" spans="7:7">
      <c r="G12533" s="812"/>
    </row>
    <row r="12534" spans="7:7">
      <c r="G12534" s="812"/>
    </row>
    <row r="12535" spans="7:7">
      <c r="G12535" s="812"/>
    </row>
    <row r="12536" spans="7:7">
      <c r="G12536" s="812"/>
    </row>
    <row r="12537" spans="7:7">
      <c r="G12537" s="812"/>
    </row>
    <row r="12538" spans="7:7">
      <c r="G12538" s="812"/>
    </row>
    <row r="12539" spans="7:7">
      <c r="G12539" s="812"/>
    </row>
    <row r="12540" spans="7:7">
      <c r="G12540" s="812"/>
    </row>
    <row r="12541" spans="7:7">
      <c r="G12541" s="812"/>
    </row>
    <row r="12542" spans="7:7">
      <c r="G12542" s="812"/>
    </row>
    <row r="12543" spans="7:7">
      <c r="G12543" s="812"/>
    </row>
    <row r="12544" spans="7:7">
      <c r="G12544" s="812"/>
    </row>
    <row r="12545" spans="7:7">
      <c r="G12545" s="812"/>
    </row>
    <row r="12546" spans="7:7">
      <c r="G12546" s="812"/>
    </row>
    <row r="12547" spans="7:7">
      <c r="G12547" s="812"/>
    </row>
    <row r="12548" spans="7:7">
      <c r="G12548" s="812"/>
    </row>
    <row r="12549" spans="7:7">
      <c r="G12549" s="812"/>
    </row>
    <row r="12550" spans="7:7">
      <c r="G12550" s="812"/>
    </row>
    <row r="12551" spans="7:7">
      <c r="G12551" s="812"/>
    </row>
    <row r="12552" spans="7:7">
      <c r="G12552" s="812"/>
    </row>
    <row r="12553" spans="7:7">
      <c r="G12553" s="812"/>
    </row>
    <row r="12554" spans="7:7">
      <c r="G12554" s="812"/>
    </row>
    <row r="12555" spans="7:7">
      <c r="G12555" s="812"/>
    </row>
    <row r="12556" spans="7:7">
      <c r="G12556" s="812"/>
    </row>
    <row r="12557" spans="7:7">
      <c r="G12557" s="812"/>
    </row>
    <row r="12558" spans="7:7">
      <c r="G12558" s="812"/>
    </row>
    <row r="12559" spans="7:7">
      <c r="G12559" s="812"/>
    </row>
    <row r="12560" spans="7:7">
      <c r="G12560" s="812"/>
    </row>
    <row r="12561" spans="7:7">
      <c r="G12561" s="812"/>
    </row>
    <row r="12562" spans="7:7">
      <c r="G12562" s="812"/>
    </row>
    <row r="12563" spans="7:7">
      <c r="G12563" s="812"/>
    </row>
    <row r="12564" spans="7:7">
      <c r="G12564" s="812"/>
    </row>
    <row r="12565" spans="7:7">
      <c r="G12565" s="812"/>
    </row>
    <row r="12566" spans="7:7">
      <c r="G12566" s="812"/>
    </row>
    <row r="12567" spans="7:7">
      <c r="G12567" s="812"/>
    </row>
    <row r="12568" spans="7:7">
      <c r="G12568" s="812"/>
    </row>
    <row r="12569" spans="7:7">
      <c r="G12569" s="812"/>
    </row>
    <row r="12570" spans="7:7">
      <c r="G12570" s="812"/>
    </row>
    <row r="12571" spans="7:7">
      <c r="G12571" s="812"/>
    </row>
    <row r="12572" spans="7:7">
      <c r="G12572" s="812"/>
    </row>
    <row r="12573" spans="7:7">
      <c r="G12573" s="812"/>
    </row>
    <row r="12574" spans="7:7">
      <c r="G12574" s="812"/>
    </row>
    <row r="12575" spans="7:7">
      <c r="G12575" s="812"/>
    </row>
    <row r="12576" spans="7:7">
      <c r="G12576" s="812"/>
    </row>
    <row r="12577" spans="7:7">
      <c r="G12577" s="812"/>
    </row>
    <row r="12578" spans="7:7">
      <c r="G12578" s="812"/>
    </row>
    <row r="12579" spans="7:7">
      <c r="G12579" s="812"/>
    </row>
    <row r="12580" spans="7:7">
      <c r="G12580" s="812"/>
    </row>
    <row r="12581" spans="7:7">
      <c r="G12581" s="812"/>
    </row>
    <row r="12582" spans="7:7">
      <c r="G12582" s="812"/>
    </row>
    <row r="12583" spans="7:7">
      <c r="G12583" s="812"/>
    </row>
    <row r="12584" spans="7:7">
      <c r="G12584" s="812"/>
    </row>
    <row r="12585" spans="7:7">
      <c r="G12585" s="812"/>
    </row>
    <row r="12586" spans="7:7">
      <c r="G12586" s="812"/>
    </row>
    <row r="12587" spans="7:7">
      <c r="G12587" s="812"/>
    </row>
    <row r="12588" spans="7:7">
      <c r="G12588" s="812"/>
    </row>
    <row r="12589" spans="7:7">
      <c r="G12589" s="812"/>
    </row>
    <row r="12590" spans="7:7">
      <c r="G12590" s="812"/>
    </row>
    <row r="12591" spans="7:7">
      <c r="G12591" s="812"/>
    </row>
    <row r="12592" spans="7:7">
      <c r="G12592" s="812"/>
    </row>
    <row r="12593" spans="7:7">
      <c r="G12593" s="812"/>
    </row>
    <row r="12594" spans="7:7">
      <c r="G12594" s="812"/>
    </row>
    <row r="12595" spans="7:7">
      <c r="G12595" s="812"/>
    </row>
    <row r="12596" spans="7:7">
      <c r="G12596" s="812"/>
    </row>
    <row r="12597" spans="7:7">
      <c r="G12597" s="812"/>
    </row>
    <row r="12598" spans="7:7">
      <c r="G12598" s="812"/>
    </row>
    <row r="12599" spans="7:7">
      <c r="G12599" s="812"/>
    </row>
    <row r="12600" spans="7:7">
      <c r="G12600" s="812"/>
    </row>
    <row r="12601" spans="7:7">
      <c r="G12601" s="812"/>
    </row>
    <row r="12602" spans="7:7">
      <c r="G12602" s="812"/>
    </row>
    <row r="12603" spans="7:7">
      <c r="G12603" s="812"/>
    </row>
    <row r="12604" spans="7:7">
      <c r="G12604" s="812"/>
    </row>
    <row r="12605" spans="7:7">
      <c r="G12605" s="812"/>
    </row>
    <row r="12606" spans="7:7">
      <c r="G12606" s="812"/>
    </row>
    <row r="12607" spans="7:7">
      <c r="G12607" s="812"/>
    </row>
    <row r="12608" spans="7:7">
      <c r="G12608" s="812"/>
    </row>
    <row r="12609" spans="7:7">
      <c r="G12609" s="812"/>
    </row>
    <row r="12610" spans="7:7">
      <c r="G12610" s="812"/>
    </row>
    <row r="12611" spans="7:7">
      <c r="G12611" s="812"/>
    </row>
    <row r="12612" spans="7:7">
      <c r="G12612" s="812"/>
    </row>
    <row r="12613" spans="7:7">
      <c r="G12613" s="812"/>
    </row>
    <row r="12614" spans="7:7">
      <c r="G12614" s="812"/>
    </row>
    <row r="12615" spans="7:7">
      <c r="G12615" s="812"/>
    </row>
    <row r="12616" spans="7:7">
      <c r="G12616" s="812"/>
    </row>
    <row r="12617" spans="7:7">
      <c r="G12617" s="812"/>
    </row>
    <row r="12618" spans="7:7">
      <c r="G12618" s="812"/>
    </row>
    <row r="12619" spans="7:7">
      <c r="G12619" s="812"/>
    </row>
    <row r="12620" spans="7:7">
      <c r="G12620" s="812"/>
    </row>
    <row r="12621" spans="7:7">
      <c r="G12621" s="812"/>
    </row>
    <row r="12622" spans="7:7">
      <c r="G12622" s="812"/>
    </row>
    <row r="12623" spans="7:7">
      <c r="G12623" s="812"/>
    </row>
    <row r="12624" spans="7:7">
      <c r="G12624" s="812"/>
    </row>
    <row r="12625" spans="7:7">
      <c r="G12625" s="812"/>
    </row>
    <row r="12626" spans="7:7">
      <c r="G12626" s="812"/>
    </row>
    <row r="12627" spans="7:7">
      <c r="G12627" s="812"/>
    </row>
    <row r="12628" spans="7:7">
      <c r="G12628" s="812"/>
    </row>
    <row r="12629" spans="7:7">
      <c r="G12629" s="812"/>
    </row>
    <row r="12630" spans="7:7">
      <c r="G12630" s="812"/>
    </row>
    <row r="12631" spans="7:7">
      <c r="G12631" s="812"/>
    </row>
    <row r="12632" spans="7:7">
      <c r="G12632" s="812"/>
    </row>
    <row r="12633" spans="7:7">
      <c r="G12633" s="812"/>
    </row>
    <row r="12634" spans="7:7">
      <c r="G12634" s="812"/>
    </row>
    <row r="12635" spans="7:7">
      <c r="G12635" s="812"/>
    </row>
    <row r="12636" spans="7:7">
      <c r="G12636" s="812"/>
    </row>
    <row r="12637" spans="7:7">
      <c r="G12637" s="812"/>
    </row>
    <row r="12638" spans="7:7">
      <c r="G12638" s="812"/>
    </row>
    <row r="12639" spans="7:7">
      <c r="G12639" s="812"/>
    </row>
    <row r="12640" spans="7:7">
      <c r="G12640" s="812"/>
    </row>
    <row r="12641" spans="7:7">
      <c r="G12641" s="812"/>
    </row>
    <row r="12642" spans="7:7">
      <c r="G12642" s="812"/>
    </row>
    <row r="12643" spans="7:7">
      <c r="G12643" s="812"/>
    </row>
    <row r="12644" spans="7:7">
      <c r="G12644" s="812"/>
    </row>
    <row r="12645" spans="7:7">
      <c r="G12645" s="812"/>
    </row>
    <row r="12646" spans="7:7">
      <c r="G12646" s="812"/>
    </row>
    <row r="12647" spans="7:7">
      <c r="G12647" s="812"/>
    </row>
    <row r="12648" spans="7:7">
      <c r="G12648" s="812"/>
    </row>
    <row r="12649" spans="7:7">
      <c r="G12649" s="812"/>
    </row>
    <row r="12650" spans="7:7">
      <c r="G12650" s="812"/>
    </row>
    <row r="12651" spans="7:7">
      <c r="G12651" s="812"/>
    </row>
    <row r="12652" spans="7:7">
      <c r="G12652" s="812"/>
    </row>
    <row r="12653" spans="7:7">
      <c r="G12653" s="812"/>
    </row>
    <row r="12654" spans="7:7">
      <c r="G12654" s="812"/>
    </row>
    <row r="12655" spans="7:7">
      <c r="G12655" s="812"/>
    </row>
    <row r="12656" spans="7:7">
      <c r="G12656" s="812"/>
    </row>
    <row r="12657" spans="7:7">
      <c r="G12657" s="812"/>
    </row>
    <row r="12658" spans="7:7">
      <c r="G12658" s="812"/>
    </row>
    <row r="12659" spans="7:7">
      <c r="G12659" s="812"/>
    </row>
    <row r="12660" spans="7:7">
      <c r="G12660" s="812"/>
    </row>
    <row r="12661" spans="7:7">
      <c r="G12661" s="812"/>
    </row>
    <row r="12662" spans="7:7">
      <c r="G12662" s="812"/>
    </row>
    <row r="12663" spans="7:7">
      <c r="G12663" s="812"/>
    </row>
    <row r="12664" spans="7:7">
      <c r="G12664" s="812"/>
    </row>
    <row r="12665" spans="7:7">
      <c r="G12665" s="812"/>
    </row>
    <row r="12666" spans="7:7">
      <c r="G12666" s="812"/>
    </row>
    <row r="12667" spans="7:7">
      <c r="G12667" s="812"/>
    </row>
    <row r="12668" spans="7:7">
      <c r="G12668" s="812"/>
    </row>
    <row r="12669" spans="7:7">
      <c r="G12669" s="812"/>
    </row>
    <row r="12670" spans="7:7">
      <c r="G12670" s="812"/>
    </row>
    <row r="12671" spans="7:7">
      <c r="G12671" s="812"/>
    </row>
    <row r="12672" spans="7:7">
      <c r="G12672" s="812"/>
    </row>
    <row r="12673" spans="7:7">
      <c r="G12673" s="812"/>
    </row>
    <row r="12674" spans="7:7">
      <c r="G12674" s="812"/>
    </row>
    <row r="12675" spans="7:7">
      <c r="G12675" s="812"/>
    </row>
    <row r="12676" spans="7:7">
      <c r="G12676" s="812"/>
    </row>
    <row r="12677" spans="7:7">
      <c r="G12677" s="812"/>
    </row>
    <row r="12678" spans="7:7">
      <c r="G12678" s="812"/>
    </row>
    <row r="12679" spans="7:7">
      <c r="G12679" s="812"/>
    </row>
    <row r="12680" spans="7:7">
      <c r="G12680" s="812"/>
    </row>
    <row r="12681" spans="7:7">
      <c r="G12681" s="812"/>
    </row>
    <row r="12682" spans="7:7">
      <c r="G12682" s="812"/>
    </row>
    <row r="12683" spans="7:7">
      <c r="G12683" s="812"/>
    </row>
    <row r="12684" spans="7:7">
      <c r="G12684" s="812"/>
    </row>
    <row r="12685" spans="7:7">
      <c r="G12685" s="812"/>
    </row>
    <row r="12686" spans="7:7">
      <c r="G12686" s="812"/>
    </row>
    <row r="12687" spans="7:7">
      <c r="G12687" s="812"/>
    </row>
    <row r="12688" spans="7:7">
      <c r="G12688" s="812"/>
    </row>
    <row r="12689" spans="7:7">
      <c r="G12689" s="812"/>
    </row>
    <row r="12690" spans="7:7">
      <c r="G12690" s="812"/>
    </row>
    <row r="12691" spans="7:7">
      <c r="G12691" s="812"/>
    </row>
    <row r="12692" spans="7:7">
      <c r="G12692" s="812"/>
    </row>
    <row r="12693" spans="7:7">
      <c r="G12693" s="812"/>
    </row>
    <row r="12694" spans="7:7">
      <c r="G12694" s="812"/>
    </row>
    <row r="12695" spans="7:7">
      <c r="G12695" s="812"/>
    </row>
    <row r="12696" spans="7:7">
      <c r="G12696" s="812"/>
    </row>
    <row r="12697" spans="7:7">
      <c r="G12697" s="812"/>
    </row>
    <row r="12698" spans="7:7">
      <c r="G12698" s="812"/>
    </row>
    <row r="12699" spans="7:7">
      <c r="G12699" s="812"/>
    </row>
    <row r="12700" spans="7:7">
      <c r="G12700" s="812"/>
    </row>
    <row r="12701" spans="7:7">
      <c r="G12701" s="812"/>
    </row>
    <row r="12702" spans="7:7">
      <c r="G12702" s="812"/>
    </row>
    <row r="12703" spans="7:7">
      <c r="G12703" s="812"/>
    </row>
    <row r="12704" spans="7:7">
      <c r="G12704" s="812"/>
    </row>
    <row r="12705" spans="7:7">
      <c r="G12705" s="812"/>
    </row>
    <row r="12706" spans="7:7">
      <c r="G12706" s="812"/>
    </row>
    <row r="12707" spans="7:7">
      <c r="G12707" s="812"/>
    </row>
    <row r="12708" spans="7:7">
      <c r="G12708" s="812"/>
    </row>
    <row r="12709" spans="7:7">
      <c r="G12709" s="812"/>
    </row>
    <row r="12710" spans="7:7">
      <c r="G12710" s="812"/>
    </row>
    <row r="12711" spans="7:7">
      <c r="G12711" s="812"/>
    </row>
    <row r="12712" spans="7:7">
      <c r="G12712" s="812"/>
    </row>
    <row r="12713" spans="7:7">
      <c r="G12713" s="812"/>
    </row>
    <row r="12714" spans="7:7">
      <c r="G12714" s="812"/>
    </row>
    <row r="12715" spans="7:7">
      <c r="G12715" s="812"/>
    </row>
    <row r="12716" spans="7:7">
      <c r="G12716" s="812"/>
    </row>
    <row r="12717" spans="7:7">
      <c r="G12717" s="812"/>
    </row>
    <row r="12718" spans="7:7">
      <c r="G12718" s="812"/>
    </row>
    <row r="12719" spans="7:7">
      <c r="G12719" s="812"/>
    </row>
    <row r="12720" spans="7:7">
      <c r="G12720" s="812"/>
    </row>
    <row r="12721" spans="7:7">
      <c r="G12721" s="812"/>
    </row>
    <row r="12722" spans="7:7">
      <c r="G12722" s="812"/>
    </row>
    <row r="12723" spans="7:7">
      <c r="G12723" s="812"/>
    </row>
    <row r="12724" spans="7:7">
      <c r="G12724" s="812"/>
    </row>
    <row r="12725" spans="7:7">
      <c r="G12725" s="812"/>
    </row>
    <row r="12726" spans="7:7">
      <c r="G12726" s="812"/>
    </row>
    <row r="12727" spans="7:7">
      <c r="G12727" s="812"/>
    </row>
    <row r="12728" spans="7:7">
      <c r="G12728" s="812"/>
    </row>
    <row r="12729" spans="7:7">
      <c r="G12729" s="812"/>
    </row>
    <row r="12730" spans="7:7">
      <c r="G12730" s="812"/>
    </row>
    <row r="12731" spans="7:7">
      <c r="G12731" s="812"/>
    </row>
    <row r="12732" spans="7:7">
      <c r="G12732" s="812"/>
    </row>
    <row r="12733" spans="7:7">
      <c r="G12733" s="812"/>
    </row>
    <row r="12734" spans="7:7">
      <c r="G12734" s="812"/>
    </row>
    <row r="12735" spans="7:7">
      <c r="G12735" s="812"/>
    </row>
    <row r="12736" spans="7:7">
      <c r="G12736" s="812"/>
    </row>
    <row r="12737" spans="7:7">
      <c r="G12737" s="812"/>
    </row>
    <row r="12738" spans="7:7">
      <c r="G12738" s="812"/>
    </row>
    <row r="12739" spans="7:7">
      <c r="G12739" s="812"/>
    </row>
    <row r="12740" spans="7:7">
      <c r="G12740" s="812"/>
    </row>
    <row r="12741" spans="7:7">
      <c r="G12741" s="812"/>
    </row>
    <row r="12742" spans="7:7">
      <c r="G12742" s="812"/>
    </row>
    <row r="12743" spans="7:7">
      <c r="G12743" s="812"/>
    </row>
    <row r="12744" spans="7:7">
      <c r="G12744" s="812"/>
    </row>
    <row r="12745" spans="7:7">
      <c r="G12745" s="812"/>
    </row>
    <row r="12746" spans="7:7">
      <c r="G12746" s="812"/>
    </row>
    <row r="12747" spans="7:7">
      <c r="G12747" s="812"/>
    </row>
    <row r="12748" spans="7:7">
      <c r="G12748" s="812"/>
    </row>
    <row r="12749" spans="7:7">
      <c r="G12749" s="812"/>
    </row>
    <row r="12750" spans="7:7">
      <c r="G12750" s="812"/>
    </row>
    <row r="12751" spans="7:7">
      <c r="G12751" s="812"/>
    </row>
    <row r="12752" spans="7:7">
      <c r="G12752" s="812"/>
    </row>
    <row r="12753" spans="7:7">
      <c r="G12753" s="812"/>
    </row>
    <row r="12754" spans="7:7">
      <c r="G12754" s="812"/>
    </row>
    <row r="12755" spans="7:7">
      <c r="G12755" s="812"/>
    </row>
    <row r="12756" spans="7:7">
      <c r="G12756" s="812"/>
    </row>
    <row r="12757" spans="7:7">
      <c r="G12757" s="812"/>
    </row>
    <row r="12758" spans="7:7">
      <c r="G12758" s="812"/>
    </row>
    <row r="12759" spans="7:7">
      <c r="G12759" s="812"/>
    </row>
    <row r="12760" spans="7:7">
      <c r="G12760" s="812"/>
    </row>
    <row r="12761" spans="7:7">
      <c r="G12761" s="812"/>
    </row>
    <row r="12762" spans="7:7">
      <c r="G12762" s="812"/>
    </row>
    <row r="12763" spans="7:7">
      <c r="G12763" s="812"/>
    </row>
    <row r="12764" spans="7:7">
      <c r="G12764" s="812"/>
    </row>
    <row r="12765" spans="7:7">
      <c r="G12765" s="812"/>
    </row>
    <row r="12766" spans="7:7">
      <c r="G12766" s="812"/>
    </row>
    <row r="12767" spans="7:7">
      <c r="G12767" s="812"/>
    </row>
    <row r="12768" spans="7:7">
      <c r="G12768" s="812"/>
    </row>
    <row r="12769" spans="7:7">
      <c r="G12769" s="812"/>
    </row>
    <row r="12770" spans="7:7">
      <c r="G12770" s="812"/>
    </row>
    <row r="12771" spans="7:7">
      <c r="G12771" s="812"/>
    </row>
    <row r="12772" spans="7:7">
      <c r="G12772" s="812"/>
    </row>
    <row r="12773" spans="7:7">
      <c r="G12773" s="812"/>
    </row>
    <row r="12774" spans="7:7">
      <c r="G12774" s="812"/>
    </row>
    <row r="12775" spans="7:7">
      <c r="G12775" s="812"/>
    </row>
    <row r="12776" spans="7:7">
      <c r="G12776" s="812"/>
    </row>
    <row r="12777" spans="7:7">
      <c r="G12777" s="812"/>
    </row>
    <row r="12778" spans="7:7">
      <c r="G12778" s="812"/>
    </row>
    <row r="12779" spans="7:7">
      <c r="G12779" s="812"/>
    </row>
    <row r="12780" spans="7:7">
      <c r="G12780" s="812"/>
    </row>
    <row r="12781" spans="7:7">
      <c r="G12781" s="812"/>
    </row>
    <row r="12782" spans="7:7">
      <c r="G12782" s="812"/>
    </row>
    <row r="12783" spans="7:7">
      <c r="G12783" s="812"/>
    </row>
    <row r="12784" spans="7:7">
      <c r="G12784" s="812"/>
    </row>
    <row r="12785" spans="7:7">
      <c r="G12785" s="812"/>
    </row>
    <row r="12786" spans="7:7">
      <c r="G12786" s="812"/>
    </row>
    <row r="12787" spans="7:7">
      <c r="G12787" s="812"/>
    </row>
    <row r="12788" spans="7:7">
      <c r="G12788" s="812"/>
    </row>
    <row r="12789" spans="7:7">
      <c r="G12789" s="812"/>
    </row>
    <row r="12790" spans="7:7">
      <c r="G12790" s="812"/>
    </row>
    <row r="12791" spans="7:7">
      <c r="G12791" s="812"/>
    </row>
    <row r="12792" spans="7:7">
      <c r="G12792" s="812"/>
    </row>
    <row r="12793" spans="7:7">
      <c r="G12793" s="812"/>
    </row>
    <row r="12794" spans="7:7">
      <c r="G12794" s="812"/>
    </row>
    <row r="12795" spans="7:7">
      <c r="G12795" s="812"/>
    </row>
    <row r="12796" spans="7:7">
      <c r="G12796" s="812"/>
    </row>
    <row r="12797" spans="7:7">
      <c r="G12797" s="812"/>
    </row>
    <row r="12798" spans="7:7">
      <c r="G12798" s="812"/>
    </row>
    <row r="12799" spans="7:7">
      <c r="G12799" s="812"/>
    </row>
    <row r="12800" spans="7:7">
      <c r="G12800" s="812"/>
    </row>
    <row r="12801" spans="7:7">
      <c r="G12801" s="812"/>
    </row>
    <row r="12802" spans="7:7">
      <c r="G12802" s="812"/>
    </row>
    <row r="12803" spans="7:7">
      <c r="G12803" s="812"/>
    </row>
    <row r="12804" spans="7:7">
      <c r="G12804" s="812"/>
    </row>
    <row r="12805" spans="7:7">
      <c r="G12805" s="812"/>
    </row>
    <row r="12806" spans="7:7">
      <c r="G12806" s="812"/>
    </row>
    <row r="12807" spans="7:7">
      <c r="G12807" s="812"/>
    </row>
    <row r="12808" spans="7:7">
      <c r="G12808" s="812"/>
    </row>
    <row r="12809" spans="7:7">
      <c r="G12809" s="812"/>
    </row>
    <row r="12810" spans="7:7">
      <c r="G12810" s="812"/>
    </row>
    <row r="12811" spans="7:7">
      <c r="G12811" s="812"/>
    </row>
    <row r="12812" spans="7:7">
      <c r="G12812" s="812"/>
    </row>
    <row r="12813" spans="7:7">
      <c r="G12813" s="812"/>
    </row>
    <row r="12814" spans="7:7">
      <c r="G12814" s="812"/>
    </row>
    <row r="12815" spans="7:7">
      <c r="G12815" s="812"/>
    </row>
    <row r="12816" spans="7:7">
      <c r="G12816" s="812"/>
    </row>
    <row r="12817" spans="7:7">
      <c r="G12817" s="812"/>
    </row>
    <row r="12818" spans="7:7">
      <c r="G12818" s="812"/>
    </row>
    <row r="12819" spans="7:7">
      <c r="G12819" s="812"/>
    </row>
    <row r="12820" spans="7:7">
      <c r="G12820" s="812"/>
    </row>
    <row r="12821" spans="7:7">
      <c r="G12821" s="812"/>
    </row>
    <row r="12822" spans="7:7">
      <c r="G12822" s="812"/>
    </row>
    <row r="12823" spans="7:7">
      <c r="G12823" s="812"/>
    </row>
    <row r="12824" spans="7:7">
      <c r="G12824" s="812"/>
    </row>
    <row r="12825" spans="7:7">
      <c r="G12825" s="812"/>
    </row>
    <row r="12826" spans="7:7">
      <c r="G12826" s="812"/>
    </row>
    <row r="12827" spans="7:7">
      <c r="G12827" s="812"/>
    </row>
    <row r="12828" spans="7:7">
      <c r="G12828" s="812"/>
    </row>
    <row r="12829" spans="7:7">
      <c r="G12829" s="812"/>
    </row>
    <row r="12830" spans="7:7">
      <c r="G12830" s="812"/>
    </row>
    <row r="12831" spans="7:7">
      <c r="G12831" s="812"/>
    </row>
    <row r="12832" spans="7:7">
      <c r="G12832" s="812"/>
    </row>
    <row r="12833" spans="7:7">
      <c r="G12833" s="812"/>
    </row>
    <row r="12834" spans="7:7">
      <c r="G12834" s="812"/>
    </row>
    <row r="12835" spans="7:7">
      <c r="G12835" s="812"/>
    </row>
    <row r="12836" spans="7:7">
      <c r="G12836" s="812"/>
    </row>
    <row r="12837" spans="7:7">
      <c r="G12837" s="812"/>
    </row>
    <row r="12838" spans="7:7">
      <c r="G12838" s="812"/>
    </row>
    <row r="12839" spans="7:7">
      <c r="G12839" s="812"/>
    </row>
    <row r="12840" spans="7:7">
      <c r="G12840" s="812"/>
    </row>
    <row r="12841" spans="7:7">
      <c r="G12841" s="812"/>
    </row>
    <row r="12842" spans="7:7">
      <c r="G12842" s="812"/>
    </row>
    <row r="12843" spans="7:7">
      <c r="G12843" s="812"/>
    </row>
    <row r="12844" spans="7:7">
      <c r="G12844" s="812"/>
    </row>
    <row r="12845" spans="7:7">
      <c r="G12845" s="812"/>
    </row>
    <row r="12846" spans="7:7">
      <c r="G12846" s="812"/>
    </row>
    <row r="12847" spans="7:7">
      <c r="G12847" s="812"/>
    </row>
    <row r="12848" spans="7:7">
      <c r="G12848" s="812"/>
    </row>
    <row r="12849" spans="7:7">
      <c r="G12849" s="812"/>
    </row>
    <row r="12850" spans="7:7">
      <c r="G12850" s="812"/>
    </row>
    <row r="12851" spans="7:7">
      <c r="G12851" s="812"/>
    </row>
    <row r="12852" spans="7:7">
      <c r="G12852" s="812"/>
    </row>
    <row r="12853" spans="7:7">
      <c r="G12853" s="812"/>
    </row>
    <row r="12854" spans="7:7">
      <c r="G12854" s="812"/>
    </row>
    <row r="12855" spans="7:7">
      <c r="G12855" s="812"/>
    </row>
    <row r="12856" spans="7:7">
      <c r="G12856" s="812"/>
    </row>
    <row r="12857" spans="7:7">
      <c r="G12857" s="812"/>
    </row>
    <row r="12858" spans="7:7">
      <c r="G12858" s="812"/>
    </row>
    <row r="12859" spans="7:7">
      <c r="G12859" s="812"/>
    </row>
    <row r="12860" spans="7:7">
      <c r="G12860" s="812"/>
    </row>
    <row r="12861" spans="7:7">
      <c r="G12861" s="812"/>
    </row>
    <row r="12862" spans="7:7">
      <c r="G12862" s="812"/>
    </row>
    <row r="12863" spans="7:7">
      <c r="G12863" s="812"/>
    </row>
    <row r="12864" spans="7:7">
      <c r="G12864" s="812"/>
    </row>
    <row r="12865" spans="7:7">
      <c r="G12865" s="812"/>
    </row>
    <row r="12866" spans="7:7">
      <c r="G12866" s="812"/>
    </row>
    <row r="12867" spans="7:7">
      <c r="G12867" s="812"/>
    </row>
    <row r="12868" spans="7:7">
      <c r="G12868" s="812"/>
    </row>
    <row r="12869" spans="7:7">
      <c r="G12869" s="812"/>
    </row>
    <row r="12870" spans="7:7">
      <c r="G12870" s="812"/>
    </row>
    <row r="12871" spans="7:7">
      <c r="G12871" s="812"/>
    </row>
    <row r="12872" spans="7:7">
      <c r="G12872" s="812"/>
    </row>
    <row r="12873" spans="7:7">
      <c r="G12873" s="812"/>
    </row>
    <row r="12874" spans="7:7">
      <c r="G12874" s="812"/>
    </row>
    <row r="12875" spans="7:7">
      <c r="G12875" s="812"/>
    </row>
    <row r="12876" spans="7:7">
      <c r="G12876" s="812"/>
    </row>
    <row r="12877" spans="7:7">
      <c r="G12877" s="812"/>
    </row>
    <row r="12878" spans="7:7">
      <c r="G12878" s="812"/>
    </row>
    <row r="12879" spans="7:7">
      <c r="G12879" s="812"/>
    </row>
    <row r="12880" spans="7:7">
      <c r="G12880" s="812"/>
    </row>
    <row r="12881" spans="7:7">
      <c r="G12881" s="812"/>
    </row>
    <row r="12882" spans="7:7">
      <c r="G12882" s="812"/>
    </row>
    <row r="12883" spans="7:7">
      <c r="G12883" s="812"/>
    </row>
    <row r="12884" spans="7:7">
      <c r="G12884" s="812"/>
    </row>
    <row r="12885" spans="7:7">
      <c r="G12885" s="812"/>
    </row>
    <row r="12886" spans="7:7">
      <c r="G12886" s="812"/>
    </row>
    <row r="12887" spans="7:7">
      <c r="G12887" s="812"/>
    </row>
    <row r="12888" spans="7:7">
      <c r="G12888" s="812"/>
    </row>
    <row r="12889" spans="7:7">
      <c r="G12889" s="812"/>
    </row>
    <row r="12890" spans="7:7">
      <c r="G12890" s="812"/>
    </row>
    <row r="12891" spans="7:7">
      <c r="G12891" s="812"/>
    </row>
    <row r="12892" spans="7:7">
      <c r="G12892" s="812"/>
    </row>
    <row r="12893" spans="7:7">
      <c r="G12893" s="812"/>
    </row>
    <row r="12894" spans="7:7">
      <c r="G12894" s="812"/>
    </row>
    <row r="12895" spans="7:7">
      <c r="G12895" s="812"/>
    </row>
    <row r="12896" spans="7:7">
      <c r="G12896" s="812"/>
    </row>
    <row r="12897" spans="7:7">
      <c r="G12897" s="812"/>
    </row>
    <row r="12898" spans="7:7">
      <c r="G12898" s="812"/>
    </row>
    <row r="12899" spans="7:7">
      <c r="G12899" s="812"/>
    </row>
    <row r="12900" spans="7:7">
      <c r="G12900" s="812"/>
    </row>
    <row r="12901" spans="7:7">
      <c r="G12901" s="812"/>
    </row>
    <row r="12902" spans="7:7">
      <c r="G12902" s="812"/>
    </row>
    <row r="12903" spans="7:7">
      <c r="G12903" s="812"/>
    </row>
    <row r="12904" spans="7:7">
      <c r="G12904" s="812"/>
    </row>
    <row r="12905" spans="7:7">
      <c r="G12905" s="812"/>
    </row>
    <row r="12906" spans="7:7">
      <c r="G12906" s="812"/>
    </row>
    <row r="12907" spans="7:7">
      <c r="G12907" s="812"/>
    </row>
    <row r="12908" spans="7:7">
      <c r="G12908" s="812"/>
    </row>
    <row r="12909" spans="7:7">
      <c r="G12909" s="812"/>
    </row>
    <row r="12910" spans="7:7">
      <c r="G12910" s="812"/>
    </row>
    <row r="12911" spans="7:7">
      <c r="G12911" s="812"/>
    </row>
    <row r="12912" spans="7:7">
      <c r="G12912" s="812"/>
    </row>
    <row r="12913" spans="7:7">
      <c r="G12913" s="812"/>
    </row>
    <row r="12914" spans="7:7">
      <c r="G12914" s="812"/>
    </row>
    <row r="12915" spans="7:7">
      <c r="G12915" s="812"/>
    </row>
    <row r="12916" spans="7:7">
      <c r="G12916" s="812"/>
    </row>
    <row r="12917" spans="7:7">
      <c r="G12917" s="812"/>
    </row>
    <row r="12918" spans="7:7">
      <c r="G12918" s="812"/>
    </row>
    <row r="12919" spans="7:7">
      <c r="G12919" s="812"/>
    </row>
    <row r="12920" spans="7:7">
      <c r="G12920" s="812"/>
    </row>
    <row r="12921" spans="7:7">
      <c r="G12921" s="812"/>
    </row>
    <row r="12922" spans="7:7">
      <c r="G12922" s="812"/>
    </row>
    <row r="12923" spans="7:7">
      <c r="G12923" s="812"/>
    </row>
    <row r="12924" spans="7:7">
      <c r="G12924" s="812"/>
    </row>
    <row r="12925" spans="7:7">
      <c r="G12925" s="812"/>
    </row>
    <row r="12926" spans="7:7">
      <c r="G12926" s="812"/>
    </row>
    <row r="12927" spans="7:7">
      <c r="G12927" s="812"/>
    </row>
    <row r="12928" spans="7:7">
      <c r="G12928" s="812"/>
    </row>
    <row r="12929" spans="7:7">
      <c r="G12929" s="812"/>
    </row>
    <row r="12930" spans="7:7">
      <c r="G12930" s="812"/>
    </row>
    <row r="12931" spans="7:7">
      <c r="G12931" s="812"/>
    </row>
    <row r="12932" spans="7:7">
      <c r="G12932" s="812"/>
    </row>
    <row r="12933" spans="7:7">
      <c r="G12933" s="812"/>
    </row>
    <row r="12934" spans="7:7">
      <c r="G12934" s="812"/>
    </row>
    <row r="12935" spans="7:7">
      <c r="G12935" s="812"/>
    </row>
    <row r="12936" spans="7:7">
      <c r="G12936" s="812"/>
    </row>
    <row r="12937" spans="7:7">
      <c r="G12937" s="812"/>
    </row>
    <row r="12938" spans="7:7">
      <c r="G12938" s="812"/>
    </row>
    <row r="12939" spans="7:7">
      <c r="G12939" s="812"/>
    </row>
    <row r="12940" spans="7:7">
      <c r="G12940" s="812"/>
    </row>
    <row r="12941" spans="7:7">
      <c r="G12941" s="812"/>
    </row>
    <row r="12942" spans="7:7">
      <c r="G12942" s="812"/>
    </row>
    <row r="12943" spans="7:7">
      <c r="G12943" s="812"/>
    </row>
    <row r="12944" spans="7:7">
      <c r="G12944" s="812"/>
    </row>
    <row r="12945" spans="7:7">
      <c r="G12945" s="812"/>
    </row>
    <row r="12946" spans="7:7">
      <c r="G12946" s="812"/>
    </row>
    <row r="12947" spans="7:7">
      <c r="G12947" s="812"/>
    </row>
    <row r="12948" spans="7:7">
      <c r="G12948" s="812"/>
    </row>
    <row r="12949" spans="7:7">
      <c r="G12949" s="812"/>
    </row>
    <row r="12950" spans="7:7">
      <c r="G12950" s="812"/>
    </row>
    <row r="12951" spans="7:7">
      <c r="G12951" s="812"/>
    </row>
    <row r="12952" spans="7:7">
      <c r="G12952" s="812"/>
    </row>
    <row r="12953" spans="7:7">
      <c r="G12953" s="812"/>
    </row>
    <row r="12954" spans="7:7">
      <c r="G12954" s="812"/>
    </row>
    <row r="12955" spans="7:7">
      <c r="G12955" s="812"/>
    </row>
    <row r="12956" spans="7:7">
      <c r="G12956" s="812"/>
    </row>
    <row r="12957" spans="7:7">
      <c r="G12957" s="812"/>
    </row>
    <row r="12958" spans="7:7">
      <c r="G12958" s="812"/>
    </row>
    <row r="12959" spans="7:7">
      <c r="G12959" s="812"/>
    </row>
    <row r="12960" spans="7:7">
      <c r="G12960" s="812"/>
    </row>
    <row r="12961" spans="7:7">
      <c r="G12961" s="812"/>
    </row>
    <row r="12962" spans="7:7">
      <c r="G12962" s="812"/>
    </row>
    <row r="12963" spans="7:7">
      <c r="G12963" s="812"/>
    </row>
    <row r="12964" spans="7:7">
      <c r="G12964" s="812"/>
    </row>
    <row r="12965" spans="7:7">
      <c r="G12965" s="812"/>
    </row>
    <row r="12966" spans="7:7">
      <c r="G12966" s="812"/>
    </row>
    <row r="12967" spans="7:7">
      <c r="G12967" s="812"/>
    </row>
    <row r="12968" spans="7:7">
      <c r="G12968" s="812"/>
    </row>
    <row r="12969" spans="7:7">
      <c r="G12969" s="812"/>
    </row>
    <row r="12970" spans="7:7">
      <c r="G12970" s="812"/>
    </row>
    <row r="12971" spans="7:7">
      <c r="G12971" s="812"/>
    </row>
    <row r="12972" spans="7:7">
      <c r="G12972" s="812"/>
    </row>
    <row r="12973" spans="7:7">
      <c r="G12973" s="812"/>
    </row>
    <row r="12974" spans="7:7">
      <c r="G12974" s="812"/>
    </row>
    <row r="12975" spans="7:7">
      <c r="G12975" s="812"/>
    </row>
    <row r="12976" spans="7:7">
      <c r="G12976" s="812"/>
    </row>
    <row r="12977" spans="7:7">
      <c r="G12977" s="812"/>
    </row>
    <row r="12978" spans="7:7">
      <c r="G12978" s="812"/>
    </row>
    <row r="12979" spans="7:7">
      <c r="G12979" s="812"/>
    </row>
    <row r="12980" spans="7:7">
      <c r="G12980" s="812"/>
    </row>
    <row r="12981" spans="7:7">
      <c r="G12981" s="812"/>
    </row>
    <row r="12982" spans="7:7">
      <c r="G12982" s="812"/>
    </row>
    <row r="12983" spans="7:7">
      <c r="G12983" s="812"/>
    </row>
    <row r="12984" spans="7:7">
      <c r="G12984" s="812"/>
    </row>
    <row r="12985" spans="7:7">
      <c r="G12985" s="812"/>
    </row>
    <row r="12986" spans="7:7">
      <c r="G12986" s="812"/>
    </row>
    <row r="12987" spans="7:7">
      <c r="G12987" s="812"/>
    </row>
    <row r="12988" spans="7:7">
      <c r="G12988" s="812"/>
    </row>
    <row r="12989" spans="7:7">
      <c r="G12989" s="812"/>
    </row>
    <row r="12990" spans="7:7">
      <c r="G12990" s="812"/>
    </row>
    <row r="12991" spans="7:7">
      <c r="G12991" s="812"/>
    </row>
    <row r="12992" spans="7:7">
      <c r="G12992" s="812"/>
    </row>
    <row r="12993" spans="7:7">
      <c r="G12993" s="812"/>
    </row>
    <row r="12994" spans="7:7">
      <c r="G12994" s="812"/>
    </row>
    <row r="12995" spans="7:7">
      <c r="G12995" s="812"/>
    </row>
    <row r="12996" spans="7:7">
      <c r="G12996" s="812"/>
    </row>
    <row r="12997" spans="7:7">
      <c r="G12997" s="812"/>
    </row>
    <row r="12998" spans="7:7">
      <c r="G12998" s="812"/>
    </row>
    <row r="12999" spans="7:7">
      <c r="G12999" s="812"/>
    </row>
    <row r="13000" spans="7:7">
      <c r="G13000" s="812"/>
    </row>
    <row r="13001" spans="7:7">
      <c r="G13001" s="812"/>
    </row>
    <row r="13002" spans="7:7">
      <c r="G13002" s="812"/>
    </row>
    <row r="13003" spans="7:7">
      <c r="G13003" s="812"/>
    </row>
    <row r="13004" spans="7:7">
      <c r="G13004" s="812"/>
    </row>
    <row r="13005" spans="7:7">
      <c r="G13005" s="812"/>
    </row>
    <row r="13006" spans="7:7">
      <c r="G13006" s="812"/>
    </row>
    <row r="13007" spans="7:7">
      <c r="G13007" s="812"/>
    </row>
    <row r="13008" spans="7:7">
      <c r="G13008" s="812"/>
    </row>
    <row r="13009" spans="7:7">
      <c r="G13009" s="812"/>
    </row>
    <row r="13010" spans="7:7">
      <c r="G13010" s="812"/>
    </row>
    <row r="13011" spans="7:7">
      <c r="G13011" s="812"/>
    </row>
    <row r="13012" spans="7:7">
      <c r="G13012" s="812"/>
    </row>
    <row r="13013" spans="7:7">
      <c r="G13013" s="812"/>
    </row>
    <row r="13014" spans="7:7">
      <c r="G13014" s="812"/>
    </row>
    <row r="13015" spans="7:7">
      <c r="G13015" s="812"/>
    </row>
    <row r="13016" spans="7:7">
      <c r="G13016" s="812"/>
    </row>
    <row r="13017" spans="7:7">
      <c r="G13017" s="812"/>
    </row>
    <row r="13018" spans="7:7">
      <c r="G13018" s="812"/>
    </row>
    <row r="13019" spans="7:7">
      <c r="G13019" s="812"/>
    </row>
    <row r="13020" spans="7:7">
      <c r="G13020" s="812"/>
    </row>
    <row r="13021" spans="7:7">
      <c r="G13021" s="812"/>
    </row>
    <row r="13022" spans="7:7">
      <c r="G13022" s="812"/>
    </row>
    <row r="13023" spans="7:7">
      <c r="G13023" s="812"/>
    </row>
    <row r="13024" spans="7:7">
      <c r="G13024" s="812"/>
    </row>
    <row r="13025" spans="7:7">
      <c r="G13025" s="812"/>
    </row>
    <row r="13026" spans="7:7">
      <c r="G13026" s="812"/>
    </row>
    <row r="13027" spans="7:7">
      <c r="G13027" s="812"/>
    </row>
    <row r="13028" spans="7:7">
      <c r="G13028" s="812"/>
    </row>
    <row r="13029" spans="7:7">
      <c r="G13029" s="812"/>
    </row>
    <row r="13030" spans="7:7">
      <c r="G13030" s="812"/>
    </row>
    <row r="13031" spans="7:7">
      <c r="G13031" s="812"/>
    </row>
    <row r="13032" spans="7:7">
      <c r="G13032" s="812"/>
    </row>
    <row r="13033" spans="7:7">
      <c r="G13033" s="812"/>
    </row>
    <row r="13034" spans="7:7">
      <c r="G13034" s="812"/>
    </row>
    <row r="13035" spans="7:7">
      <c r="G13035" s="812"/>
    </row>
    <row r="13036" spans="7:7">
      <c r="G13036" s="812"/>
    </row>
    <row r="13037" spans="7:7">
      <c r="G13037" s="812"/>
    </row>
    <row r="13038" spans="7:7">
      <c r="G13038" s="812"/>
    </row>
    <row r="13039" spans="7:7">
      <c r="G13039" s="812"/>
    </row>
    <row r="13040" spans="7:7">
      <c r="G13040" s="812"/>
    </row>
    <row r="13041" spans="7:7">
      <c r="G13041" s="812"/>
    </row>
    <row r="13042" spans="7:7">
      <c r="G13042" s="812"/>
    </row>
    <row r="13043" spans="7:7">
      <c r="G13043" s="812"/>
    </row>
    <row r="13044" spans="7:7">
      <c r="G13044" s="812"/>
    </row>
    <row r="13045" spans="7:7">
      <c r="G13045" s="812"/>
    </row>
    <row r="13046" spans="7:7">
      <c r="G13046" s="812"/>
    </row>
    <row r="13047" spans="7:7">
      <c r="G13047" s="812"/>
    </row>
    <row r="13048" spans="7:7">
      <c r="G13048" s="812"/>
    </row>
    <row r="13049" spans="7:7">
      <c r="G13049" s="812"/>
    </row>
    <row r="13050" spans="7:7">
      <c r="G13050" s="812"/>
    </row>
    <row r="13051" spans="7:7">
      <c r="G13051" s="812"/>
    </row>
    <row r="13052" spans="7:7">
      <c r="G13052" s="812"/>
    </row>
    <row r="13053" spans="7:7">
      <c r="G13053" s="812"/>
    </row>
    <row r="13054" spans="7:7">
      <c r="G13054" s="812"/>
    </row>
    <row r="13055" spans="7:7">
      <c r="G13055" s="812"/>
    </row>
    <row r="13056" spans="7:7">
      <c r="G13056" s="812"/>
    </row>
    <row r="13057" spans="7:7">
      <c r="G13057" s="812"/>
    </row>
    <row r="13058" spans="7:7">
      <c r="G13058" s="812"/>
    </row>
    <row r="13059" spans="7:7">
      <c r="G13059" s="812"/>
    </row>
    <row r="13060" spans="7:7">
      <c r="G13060" s="812"/>
    </row>
    <row r="13061" spans="7:7">
      <c r="G13061" s="812"/>
    </row>
    <row r="13062" spans="7:7">
      <c r="G13062" s="812"/>
    </row>
    <row r="13063" spans="7:7">
      <c r="G13063" s="812"/>
    </row>
    <row r="13064" spans="7:7">
      <c r="G13064" s="812"/>
    </row>
    <row r="13065" spans="7:7">
      <c r="G13065" s="812"/>
    </row>
    <row r="13066" spans="7:7">
      <c r="G13066" s="812"/>
    </row>
    <row r="13067" spans="7:7">
      <c r="G13067" s="812"/>
    </row>
    <row r="13068" spans="7:7">
      <c r="G13068" s="812"/>
    </row>
    <row r="13069" spans="7:7">
      <c r="G13069" s="812"/>
    </row>
    <row r="13070" spans="7:7">
      <c r="G13070" s="812"/>
    </row>
    <row r="13071" spans="7:7">
      <c r="G13071" s="812"/>
    </row>
    <row r="13072" spans="7:7">
      <c r="G13072" s="812"/>
    </row>
    <row r="13073" spans="7:7">
      <c r="G13073" s="812"/>
    </row>
    <row r="13074" spans="7:7">
      <c r="G13074" s="812"/>
    </row>
    <row r="13075" spans="7:7">
      <c r="G13075" s="812"/>
    </row>
    <row r="13076" spans="7:7">
      <c r="G13076" s="812"/>
    </row>
    <row r="13077" spans="7:7">
      <c r="G13077" s="812"/>
    </row>
    <row r="13078" spans="7:7">
      <c r="G13078" s="812"/>
    </row>
    <row r="13079" spans="7:7">
      <c r="G13079" s="812"/>
    </row>
    <row r="13080" spans="7:7">
      <c r="G13080" s="812"/>
    </row>
    <row r="13081" spans="7:7">
      <c r="G13081" s="812"/>
    </row>
    <row r="13082" spans="7:7">
      <c r="G13082" s="812"/>
    </row>
    <row r="13083" spans="7:7">
      <c r="G13083" s="812"/>
    </row>
    <row r="13084" spans="7:7">
      <c r="G13084" s="812"/>
    </row>
    <row r="13085" spans="7:7">
      <c r="G13085" s="812"/>
    </row>
    <row r="13086" spans="7:7">
      <c r="G13086" s="812"/>
    </row>
    <row r="13087" spans="7:7">
      <c r="G13087" s="812"/>
    </row>
    <row r="13088" spans="7:7">
      <c r="G13088" s="812"/>
    </row>
    <row r="13089" spans="7:7">
      <c r="G13089" s="812"/>
    </row>
    <row r="13090" spans="7:7">
      <c r="G13090" s="812"/>
    </row>
    <row r="13091" spans="7:7">
      <c r="G13091" s="812"/>
    </row>
    <row r="13092" spans="7:7">
      <c r="G13092" s="812"/>
    </row>
    <row r="13093" spans="7:7">
      <c r="G13093" s="812"/>
    </row>
    <row r="13094" spans="7:7">
      <c r="G13094" s="812"/>
    </row>
    <row r="13095" spans="7:7">
      <c r="G13095" s="812"/>
    </row>
    <row r="13096" spans="7:7">
      <c r="G13096" s="812"/>
    </row>
    <row r="13097" spans="7:7">
      <c r="G13097" s="812"/>
    </row>
    <row r="13098" spans="7:7">
      <c r="G13098" s="812"/>
    </row>
    <row r="13099" spans="7:7">
      <c r="G13099" s="812"/>
    </row>
    <row r="13100" spans="7:7">
      <c r="G13100" s="812"/>
    </row>
    <row r="13101" spans="7:7">
      <c r="G13101" s="812"/>
    </row>
    <row r="13102" spans="7:7">
      <c r="G13102" s="812"/>
    </row>
    <row r="13103" spans="7:7">
      <c r="G13103" s="812"/>
    </row>
    <row r="13104" spans="7:7">
      <c r="G13104" s="812"/>
    </row>
    <row r="13105" spans="7:7">
      <c r="G13105" s="812"/>
    </row>
    <row r="13106" spans="7:7">
      <c r="G13106" s="812"/>
    </row>
    <row r="13107" spans="7:7">
      <c r="G13107" s="812"/>
    </row>
    <row r="13108" spans="7:7">
      <c r="G13108" s="812"/>
    </row>
    <row r="13109" spans="7:7">
      <c r="G13109" s="812"/>
    </row>
    <row r="13110" spans="7:7">
      <c r="G13110" s="812"/>
    </row>
    <row r="13111" spans="7:7">
      <c r="G13111" s="812"/>
    </row>
    <row r="13112" spans="7:7">
      <c r="G13112" s="812"/>
    </row>
    <row r="13113" spans="7:7">
      <c r="G13113" s="812"/>
    </row>
    <row r="13114" spans="7:7">
      <c r="G13114" s="812"/>
    </row>
    <row r="13115" spans="7:7">
      <c r="G13115" s="812"/>
    </row>
    <row r="13116" spans="7:7">
      <c r="G13116" s="812"/>
    </row>
    <row r="13117" spans="7:7">
      <c r="G13117" s="812"/>
    </row>
    <row r="13118" spans="7:7">
      <c r="G13118" s="812"/>
    </row>
    <row r="13119" spans="7:7">
      <c r="G13119" s="812"/>
    </row>
    <row r="13120" spans="7:7">
      <c r="G13120" s="812"/>
    </row>
    <row r="13121" spans="7:7">
      <c r="G13121" s="812"/>
    </row>
    <row r="13122" spans="7:7">
      <c r="G13122" s="812"/>
    </row>
    <row r="13123" spans="7:7">
      <c r="G13123" s="812"/>
    </row>
    <row r="13124" spans="7:7">
      <c r="G13124" s="812"/>
    </row>
    <row r="13125" spans="7:7">
      <c r="G13125" s="812"/>
    </row>
    <row r="13126" spans="7:7">
      <c r="G13126" s="812"/>
    </row>
    <row r="13127" spans="7:7">
      <c r="G13127" s="812"/>
    </row>
    <row r="13128" spans="7:7">
      <c r="G13128" s="812"/>
    </row>
    <row r="13129" spans="7:7">
      <c r="G13129" s="812"/>
    </row>
    <row r="13130" spans="7:7">
      <c r="G13130" s="812"/>
    </row>
    <row r="13131" spans="7:7">
      <c r="G13131" s="812"/>
    </row>
    <row r="13132" spans="7:7">
      <c r="G13132" s="812"/>
    </row>
    <row r="13133" spans="7:7">
      <c r="G13133" s="812"/>
    </row>
    <row r="13134" spans="7:7">
      <c r="G13134" s="812"/>
    </row>
    <row r="13135" spans="7:7">
      <c r="G13135" s="812"/>
    </row>
    <row r="13136" spans="7:7">
      <c r="G13136" s="812"/>
    </row>
    <row r="13137" spans="7:7">
      <c r="G13137" s="812"/>
    </row>
    <row r="13138" spans="7:7">
      <c r="G13138" s="812"/>
    </row>
    <row r="13139" spans="7:7">
      <c r="G13139" s="812"/>
    </row>
    <row r="13140" spans="7:7">
      <c r="G13140" s="812"/>
    </row>
    <row r="13141" spans="7:7">
      <c r="G13141" s="812"/>
    </row>
    <row r="13142" spans="7:7">
      <c r="G13142" s="812"/>
    </row>
    <row r="13143" spans="7:7">
      <c r="G13143" s="812"/>
    </row>
    <row r="13144" spans="7:7">
      <c r="G13144" s="812"/>
    </row>
    <row r="13145" spans="7:7">
      <c r="G13145" s="812"/>
    </row>
    <row r="13146" spans="7:7">
      <c r="G13146" s="812"/>
    </row>
    <row r="13147" spans="7:7">
      <c r="G13147" s="812"/>
    </row>
    <row r="13148" spans="7:7">
      <c r="G13148" s="812"/>
    </row>
    <row r="13149" spans="7:7">
      <c r="G13149" s="812"/>
    </row>
    <row r="13150" spans="7:7">
      <c r="G13150" s="812"/>
    </row>
    <row r="13151" spans="7:7">
      <c r="G13151" s="812"/>
    </row>
    <row r="13152" spans="7:7">
      <c r="G13152" s="812"/>
    </row>
    <row r="13153" spans="7:7">
      <c r="G13153" s="812"/>
    </row>
    <row r="13154" spans="7:7">
      <c r="G13154" s="812"/>
    </row>
    <row r="13155" spans="7:7">
      <c r="G13155" s="812"/>
    </row>
    <row r="13156" spans="7:7">
      <c r="G13156" s="812"/>
    </row>
    <row r="13157" spans="7:7">
      <c r="G13157" s="812"/>
    </row>
    <row r="13158" spans="7:7">
      <c r="G13158" s="812"/>
    </row>
    <row r="13159" spans="7:7">
      <c r="G13159" s="812"/>
    </row>
    <row r="13160" spans="7:7">
      <c r="G13160" s="812"/>
    </row>
    <row r="13161" spans="7:7">
      <c r="G13161" s="812"/>
    </row>
    <row r="13162" spans="7:7">
      <c r="G13162" s="812"/>
    </row>
    <row r="13163" spans="7:7">
      <c r="G13163" s="812"/>
    </row>
    <row r="13164" spans="7:7">
      <c r="G13164" s="812"/>
    </row>
    <row r="13165" spans="7:7">
      <c r="G13165" s="812"/>
    </row>
    <row r="13166" spans="7:7">
      <c r="G13166" s="812"/>
    </row>
    <row r="13167" spans="7:7">
      <c r="G13167" s="812"/>
    </row>
    <row r="13168" spans="7:7">
      <c r="G13168" s="812"/>
    </row>
    <row r="13169" spans="7:7">
      <c r="G13169" s="812"/>
    </row>
    <row r="13170" spans="7:7">
      <c r="G13170" s="812"/>
    </row>
    <row r="13171" spans="7:7">
      <c r="G13171" s="812"/>
    </row>
    <row r="13172" spans="7:7">
      <c r="G13172" s="812"/>
    </row>
    <row r="13173" spans="7:7">
      <c r="G13173" s="812"/>
    </row>
    <row r="13174" spans="7:7">
      <c r="G13174" s="812"/>
    </row>
    <row r="13175" spans="7:7">
      <c r="G13175" s="812"/>
    </row>
    <row r="13176" spans="7:7">
      <c r="G13176" s="812"/>
    </row>
    <row r="13177" spans="7:7">
      <c r="G13177" s="812"/>
    </row>
    <row r="13178" spans="7:7">
      <c r="G13178" s="812"/>
    </row>
    <row r="13179" spans="7:7">
      <c r="G13179" s="812"/>
    </row>
    <row r="13180" spans="7:7">
      <c r="G13180" s="812"/>
    </row>
    <row r="13181" spans="7:7">
      <c r="G13181" s="812"/>
    </row>
    <row r="13182" spans="7:7">
      <c r="G13182" s="812"/>
    </row>
    <row r="13183" spans="7:7">
      <c r="G13183" s="812"/>
    </row>
    <row r="13184" spans="7:7">
      <c r="G13184" s="812"/>
    </row>
    <row r="13185" spans="7:7">
      <c r="G13185" s="812"/>
    </row>
    <row r="13186" spans="7:7">
      <c r="G13186" s="812"/>
    </row>
    <row r="13187" spans="7:7">
      <c r="G13187" s="812"/>
    </row>
    <row r="13188" spans="7:7">
      <c r="G13188" s="812"/>
    </row>
    <row r="13189" spans="7:7">
      <c r="G13189" s="812"/>
    </row>
    <row r="13190" spans="7:7">
      <c r="G13190" s="812"/>
    </row>
    <row r="13191" spans="7:7">
      <c r="G13191" s="812"/>
    </row>
    <row r="13192" spans="7:7">
      <c r="G13192" s="812"/>
    </row>
    <row r="13193" spans="7:7">
      <c r="G13193" s="812"/>
    </row>
    <row r="13194" spans="7:7">
      <c r="G13194" s="812"/>
    </row>
    <row r="13195" spans="7:7">
      <c r="G13195" s="812"/>
    </row>
    <row r="13196" spans="7:7">
      <c r="G13196" s="812"/>
    </row>
    <row r="13197" spans="7:7">
      <c r="G13197" s="812"/>
    </row>
    <row r="13198" spans="7:7">
      <c r="G13198" s="812"/>
    </row>
    <row r="13199" spans="7:7">
      <c r="G13199" s="812"/>
    </row>
    <row r="13200" spans="7:7">
      <c r="G13200" s="812"/>
    </row>
    <row r="13201" spans="7:7">
      <c r="G13201" s="812"/>
    </row>
    <row r="13202" spans="7:7">
      <c r="G13202" s="812"/>
    </row>
    <row r="13203" spans="7:7">
      <c r="G13203" s="812"/>
    </row>
    <row r="13204" spans="7:7">
      <c r="G13204" s="812"/>
    </row>
    <row r="13205" spans="7:7">
      <c r="G13205" s="812"/>
    </row>
    <row r="13206" spans="7:7">
      <c r="G13206" s="812"/>
    </row>
    <row r="13207" spans="7:7">
      <c r="G13207" s="812"/>
    </row>
    <row r="13208" spans="7:7">
      <c r="G13208" s="812"/>
    </row>
    <row r="13209" spans="7:7">
      <c r="G13209" s="812"/>
    </row>
    <row r="13210" spans="7:7">
      <c r="G13210" s="812"/>
    </row>
    <row r="13211" spans="7:7">
      <c r="G13211" s="812"/>
    </row>
    <row r="13212" spans="7:7">
      <c r="G13212" s="812"/>
    </row>
    <row r="13213" spans="7:7">
      <c r="G13213" s="812"/>
    </row>
    <row r="13214" spans="7:7">
      <c r="G13214" s="812"/>
    </row>
    <row r="13215" spans="7:7">
      <c r="G13215" s="812"/>
    </row>
    <row r="13216" spans="7:7">
      <c r="G13216" s="812"/>
    </row>
    <row r="13217" spans="7:7">
      <c r="G13217" s="812"/>
    </row>
    <row r="13218" spans="7:7">
      <c r="G13218" s="812"/>
    </row>
    <row r="13219" spans="7:7">
      <c r="G13219" s="812"/>
    </row>
    <row r="13220" spans="7:7">
      <c r="G13220" s="812"/>
    </row>
    <row r="13221" spans="7:7">
      <c r="G13221" s="812"/>
    </row>
    <row r="13222" spans="7:7">
      <c r="G13222" s="812"/>
    </row>
    <row r="13223" spans="7:7">
      <c r="G13223" s="812"/>
    </row>
    <row r="13224" spans="7:7">
      <c r="G13224" s="812"/>
    </row>
    <row r="13225" spans="7:7">
      <c r="G13225" s="812"/>
    </row>
    <row r="13226" spans="7:7">
      <c r="G13226" s="812"/>
    </row>
    <row r="13227" spans="7:7">
      <c r="G13227" s="812"/>
    </row>
    <row r="13228" spans="7:7">
      <c r="G13228" s="812"/>
    </row>
    <row r="13229" spans="7:7">
      <c r="G13229" s="812"/>
    </row>
    <row r="13230" spans="7:7">
      <c r="G13230" s="812"/>
    </row>
    <row r="13231" spans="7:7">
      <c r="G13231" s="812"/>
    </row>
    <row r="13232" spans="7:7">
      <c r="G13232" s="812"/>
    </row>
    <row r="13233" spans="7:7">
      <c r="G13233" s="812"/>
    </row>
    <row r="13234" spans="7:7">
      <c r="G13234" s="812"/>
    </row>
    <row r="13235" spans="7:7">
      <c r="G13235" s="812"/>
    </row>
    <row r="13236" spans="7:7">
      <c r="G13236" s="812"/>
    </row>
    <row r="13237" spans="7:7">
      <c r="G13237" s="812"/>
    </row>
    <row r="13238" spans="7:7">
      <c r="G13238" s="812"/>
    </row>
    <row r="13239" spans="7:7">
      <c r="G13239" s="812"/>
    </row>
    <row r="13240" spans="7:7">
      <c r="G13240" s="812"/>
    </row>
    <row r="13241" spans="7:7">
      <c r="G13241" s="812"/>
    </row>
    <row r="13242" spans="7:7">
      <c r="G13242" s="812"/>
    </row>
    <row r="13243" spans="7:7">
      <c r="G13243" s="812"/>
    </row>
    <row r="13244" spans="7:7">
      <c r="G13244" s="812"/>
    </row>
    <row r="13245" spans="7:7">
      <c r="G13245" s="812"/>
    </row>
    <row r="13246" spans="7:7">
      <c r="G13246" s="812"/>
    </row>
    <row r="13247" spans="7:7">
      <c r="G13247" s="812"/>
    </row>
    <row r="13248" spans="7:7">
      <c r="G13248" s="812"/>
    </row>
    <row r="13249" spans="7:7">
      <c r="G13249" s="812"/>
    </row>
    <row r="13250" spans="7:7">
      <c r="G13250" s="812"/>
    </row>
    <row r="13251" spans="7:7">
      <c r="G13251" s="812"/>
    </row>
    <row r="13252" spans="7:7">
      <c r="G13252" s="812"/>
    </row>
    <row r="13253" spans="7:7">
      <c r="G13253" s="812"/>
    </row>
    <row r="13254" spans="7:7">
      <c r="G13254" s="812"/>
    </row>
    <row r="13255" spans="7:7">
      <c r="G13255" s="812"/>
    </row>
    <row r="13256" spans="7:7">
      <c r="G13256" s="812"/>
    </row>
    <row r="13257" spans="7:7">
      <c r="G13257" s="812"/>
    </row>
    <row r="13258" spans="7:7">
      <c r="G13258" s="812"/>
    </row>
    <row r="13259" spans="7:7">
      <c r="G13259" s="812"/>
    </row>
    <row r="13260" spans="7:7">
      <c r="G13260" s="812"/>
    </row>
    <row r="13261" spans="7:7">
      <c r="G13261" s="812"/>
    </row>
    <row r="13262" spans="7:7">
      <c r="G13262" s="812"/>
    </row>
    <row r="13263" spans="7:7">
      <c r="G13263" s="812"/>
    </row>
    <row r="13264" spans="7:7">
      <c r="G13264" s="812"/>
    </row>
    <row r="13265" spans="7:7">
      <c r="G13265" s="812"/>
    </row>
    <row r="13266" spans="7:7">
      <c r="G13266" s="812"/>
    </row>
    <row r="13267" spans="7:7">
      <c r="G13267" s="812"/>
    </row>
    <row r="13268" spans="7:7">
      <c r="G13268" s="812"/>
    </row>
    <row r="13269" spans="7:7">
      <c r="G13269" s="812"/>
    </row>
    <row r="13270" spans="7:7">
      <c r="G13270" s="812"/>
    </row>
    <row r="13271" spans="7:7">
      <c r="G13271" s="812"/>
    </row>
    <row r="13272" spans="7:7">
      <c r="G13272" s="812"/>
    </row>
    <row r="13273" spans="7:7">
      <c r="G13273" s="812"/>
    </row>
    <row r="13274" spans="7:7">
      <c r="G13274" s="812"/>
    </row>
    <row r="13275" spans="7:7">
      <c r="G13275" s="812"/>
    </row>
    <row r="13276" spans="7:7">
      <c r="G13276" s="812"/>
    </row>
    <row r="13277" spans="7:7">
      <c r="G13277" s="812"/>
    </row>
    <row r="13278" spans="7:7">
      <c r="G13278" s="812"/>
    </row>
    <row r="13279" spans="7:7">
      <c r="G13279" s="812"/>
    </row>
    <row r="13280" spans="7:7">
      <c r="G13280" s="812"/>
    </row>
    <row r="13281" spans="7:7">
      <c r="G13281" s="812"/>
    </row>
    <row r="13282" spans="7:7">
      <c r="G13282" s="812"/>
    </row>
    <row r="13283" spans="7:7">
      <c r="G13283" s="812"/>
    </row>
    <row r="13284" spans="7:7">
      <c r="G13284" s="812"/>
    </row>
    <row r="13285" spans="7:7">
      <c r="G13285" s="812"/>
    </row>
    <row r="13286" spans="7:7">
      <c r="G13286" s="812"/>
    </row>
    <row r="13287" spans="7:7">
      <c r="G13287" s="812"/>
    </row>
    <row r="13288" spans="7:7">
      <c r="G13288" s="812"/>
    </row>
    <row r="13289" spans="7:7">
      <c r="G13289" s="812"/>
    </row>
    <row r="13290" spans="7:7">
      <c r="G13290" s="812"/>
    </row>
    <row r="13291" spans="7:7">
      <c r="G13291" s="812"/>
    </row>
    <row r="13292" spans="7:7">
      <c r="G13292" s="812"/>
    </row>
    <row r="13293" spans="7:7">
      <c r="G13293" s="812"/>
    </row>
    <row r="13294" spans="7:7">
      <c r="G13294" s="812"/>
    </row>
    <row r="13295" spans="7:7">
      <c r="G13295" s="812"/>
    </row>
    <row r="13296" spans="7:7">
      <c r="G13296" s="812"/>
    </row>
    <row r="13297" spans="7:7">
      <c r="G13297" s="812"/>
    </row>
    <row r="13298" spans="7:7">
      <c r="G13298" s="812"/>
    </row>
    <row r="13299" spans="7:7">
      <c r="G13299" s="812"/>
    </row>
    <row r="13300" spans="7:7">
      <c r="G13300" s="812"/>
    </row>
    <row r="13301" spans="7:7">
      <c r="G13301" s="812"/>
    </row>
    <row r="13302" spans="7:7">
      <c r="G13302" s="812"/>
    </row>
    <row r="13303" spans="7:7">
      <c r="G13303" s="812"/>
    </row>
    <row r="13304" spans="7:7">
      <c r="G13304" s="812"/>
    </row>
    <row r="13305" spans="7:7">
      <c r="G13305" s="812"/>
    </row>
    <row r="13306" spans="7:7">
      <c r="G13306" s="812"/>
    </row>
    <row r="13307" spans="7:7">
      <c r="G13307" s="812"/>
    </row>
    <row r="13308" spans="7:7">
      <c r="G13308" s="812"/>
    </row>
    <row r="13309" spans="7:7">
      <c r="G13309" s="812"/>
    </row>
    <row r="13310" spans="7:7">
      <c r="G13310" s="812"/>
    </row>
    <row r="13311" spans="7:7">
      <c r="G13311" s="812"/>
    </row>
    <row r="13312" spans="7:7">
      <c r="G13312" s="812"/>
    </row>
    <row r="13313" spans="7:7">
      <c r="G13313" s="812"/>
    </row>
    <row r="13314" spans="7:7">
      <c r="G13314" s="812"/>
    </row>
    <row r="13315" spans="7:7">
      <c r="G13315" s="812"/>
    </row>
    <row r="13316" spans="7:7">
      <c r="G13316" s="812"/>
    </row>
    <row r="13317" spans="7:7">
      <c r="G13317" s="812"/>
    </row>
    <row r="13318" spans="7:7">
      <c r="G13318" s="812"/>
    </row>
    <row r="13319" spans="7:7">
      <c r="G13319" s="812"/>
    </row>
    <row r="13320" spans="7:7">
      <c r="G13320" s="812"/>
    </row>
    <row r="13321" spans="7:7">
      <c r="G13321" s="812"/>
    </row>
    <row r="13322" spans="7:7">
      <c r="G13322" s="812"/>
    </row>
    <row r="13323" spans="7:7">
      <c r="G13323" s="812"/>
    </row>
    <row r="13324" spans="7:7">
      <c r="G13324" s="812"/>
    </row>
    <row r="13325" spans="7:7">
      <c r="G13325" s="812"/>
    </row>
    <row r="13326" spans="7:7">
      <c r="G13326" s="812"/>
    </row>
    <row r="13327" spans="7:7">
      <c r="G13327" s="812"/>
    </row>
    <row r="13328" spans="7:7">
      <c r="G13328" s="812"/>
    </row>
    <row r="13329" spans="7:7">
      <c r="G13329" s="812"/>
    </row>
    <row r="13330" spans="7:7">
      <c r="G13330" s="812"/>
    </row>
    <row r="13331" spans="7:7">
      <c r="G13331" s="812"/>
    </row>
    <row r="13332" spans="7:7">
      <c r="G13332" s="812"/>
    </row>
    <row r="13333" spans="7:7">
      <c r="G13333" s="812"/>
    </row>
    <row r="13334" spans="7:7">
      <c r="G13334" s="812"/>
    </row>
    <row r="13335" spans="7:7">
      <c r="G13335" s="812"/>
    </row>
    <row r="13336" spans="7:7">
      <c r="G13336" s="812"/>
    </row>
    <row r="13337" spans="7:7">
      <c r="G13337" s="812"/>
    </row>
    <row r="13338" spans="7:7">
      <c r="G13338" s="812"/>
    </row>
    <row r="13339" spans="7:7">
      <c r="G13339" s="812"/>
    </row>
    <row r="13340" spans="7:7">
      <c r="G13340" s="812"/>
    </row>
    <row r="13341" spans="7:7">
      <c r="G13341" s="812"/>
    </row>
    <row r="13342" spans="7:7">
      <c r="G13342" s="812"/>
    </row>
    <row r="13343" spans="7:7">
      <c r="G13343" s="812"/>
    </row>
    <row r="13344" spans="7:7">
      <c r="G13344" s="812"/>
    </row>
    <row r="13345" spans="7:7">
      <c r="G13345" s="812"/>
    </row>
    <row r="13346" spans="7:7">
      <c r="G13346" s="812"/>
    </row>
    <row r="13347" spans="7:7">
      <c r="G13347" s="812"/>
    </row>
    <row r="13348" spans="7:7">
      <c r="G13348" s="812"/>
    </row>
    <row r="13349" spans="7:7">
      <c r="G13349" s="812"/>
    </row>
    <row r="13350" spans="7:7">
      <c r="G13350" s="812"/>
    </row>
    <row r="13351" spans="7:7">
      <c r="G13351" s="812"/>
    </row>
    <row r="13352" spans="7:7">
      <c r="G13352" s="812"/>
    </row>
    <row r="13353" spans="7:7">
      <c r="G13353" s="812"/>
    </row>
    <row r="13354" spans="7:7">
      <c r="G13354" s="812"/>
    </row>
    <row r="13355" spans="7:7">
      <c r="G13355" s="812"/>
    </row>
    <row r="13356" spans="7:7">
      <c r="G13356" s="812"/>
    </row>
    <row r="13357" spans="7:7">
      <c r="G13357" s="812"/>
    </row>
    <row r="13358" spans="7:7">
      <c r="G13358" s="812"/>
    </row>
    <row r="13359" spans="7:7">
      <c r="G13359" s="812"/>
    </row>
    <row r="13360" spans="7:7">
      <c r="G13360" s="812"/>
    </row>
    <row r="13361" spans="7:7">
      <c r="G13361" s="812"/>
    </row>
    <row r="13362" spans="7:7">
      <c r="G13362" s="812"/>
    </row>
    <row r="13363" spans="7:7">
      <c r="G13363" s="812"/>
    </row>
    <row r="13364" spans="7:7">
      <c r="G13364" s="812"/>
    </row>
    <row r="13365" spans="7:7">
      <c r="G13365" s="812"/>
    </row>
    <row r="13366" spans="7:7">
      <c r="G13366" s="812"/>
    </row>
    <row r="13367" spans="7:7">
      <c r="G13367" s="812"/>
    </row>
    <row r="13368" spans="7:7">
      <c r="G13368" s="812"/>
    </row>
    <row r="13369" spans="7:7">
      <c r="G13369" s="812"/>
    </row>
    <row r="13370" spans="7:7">
      <c r="G13370" s="812"/>
    </row>
    <row r="13371" spans="7:7">
      <c r="G13371" s="812"/>
    </row>
    <row r="13372" spans="7:7">
      <c r="G13372" s="812"/>
    </row>
    <row r="13373" spans="7:7">
      <c r="G13373" s="812"/>
    </row>
    <row r="13374" spans="7:7">
      <c r="G13374" s="812"/>
    </row>
    <row r="13375" spans="7:7">
      <c r="G13375" s="812"/>
    </row>
    <row r="13376" spans="7:7">
      <c r="G13376" s="812"/>
    </row>
    <row r="13377" spans="7:7">
      <c r="G13377" s="812"/>
    </row>
    <row r="13378" spans="7:7">
      <c r="G13378" s="812"/>
    </row>
    <row r="13379" spans="7:7">
      <c r="G13379" s="812"/>
    </row>
    <row r="13380" spans="7:7">
      <c r="G13380" s="812"/>
    </row>
    <row r="13381" spans="7:7">
      <c r="G13381" s="812"/>
    </row>
    <row r="13382" spans="7:7">
      <c r="G13382" s="812"/>
    </row>
    <row r="13383" spans="7:7">
      <c r="G13383" s="812"/>
    </row>
    <row r="13384" spans="7:7">
      <c r="G13384" s="812"/>
    </row>
    <row r="13385" spans="7:7">
      <c r="G13385" s="812"/>
    </row>
    <row r="13386" spans="7:7">
      <c r="G13386" s="812"/>
    </row>
    <row r="13387" spans="7:7">
      <c r="G13387" s="812"/>
    </row>
    <row r="13388" spans="7:7">
      <c r="G13388" s="812"/>
    </row>
    <row r="13389" spans="7:7">
      <c r="G13389" s="812"/>
    </row>
    <row r="13390" spans="7:7">
      <c r="G13390" s="812"/>
    </row>
    <row r="13391" spans="7:7">
      <c r="G13391" s="812"/>
    </row>
    <row r="13392" spans="7:7">
      <c r="G13392" s="812"/>
    </row>
    <row r="13393" spans="7:7">
      <c r="G13393" s="812"/>
    </row>
    <row r="13394" spans="7:7">
      <c r="G13394" s="812"/>
    </row>
    <row r="13395" spans="7:7">
      <c r="G13395" s="812"/>
    </row>
    <row r="13396" spans="7:7">
      <c r="G13396" s="812"/>
    </row>
    <row r="13397" spans="7:7">
      <c r="G13397" s="812"/>
    </row>
    <row r="13398" spans="7:7">
      <c r="G13398" s="812"/>
    </row>
    <row r="13399" spans="7:7">
      <c r="G13399" s="812"/>
    </row>
    <row r="13400" spans="7:7">
      <c r="G13400" s="812"/>
    </row>
    <row r="13401" spans="7:7">
      <c r="G13401" s="812"/>
    </row>
    <row r="13402" spans="7:7">
      <c r="G13402" s="812"/>
    </row>
    <row r="13403" spans="7:7">
      <c r="G13403" s="812"/>
    </row>
    <row r="13404" spans="7:7">
      <c r="G13404" s="812"/>
    </row>
    <row r="13405" spans="7:7">
      <c r="G13405" s="812"/>
    </row>
    <row r="13406" spans="7:7">
      <c r="G13406" s="812"/>
    </row>
    <row r="13407" spans="7:7">
      <c r="G13407" s="812"/>
    </row>
    <row r="13408" spans="7:7">
      <c r="G13408" s="812"/>
    </row>
    <row r="13409" spans="7:7">
      <c r="G13409" s="812"/>
    </row>
    <row r="13410" spans="7:7">
      <c r="G13410" s="812"/>
    </row>
    <row r="13411" spans="7:7">
      <c r="G13411" s="812"/>
    </row>
    <row r="13412" spans="7:7">
      <c r="G13412" s="812"/>
    </row>
    <row r="13413" spans="7:7">
      <c r="G13413" s="812"/>
    </row>
    <row r="13414" spans="7:7">
      <c r="G13414" s="812"/>
    </row>
    <row r="13415" spans="7:7">
      <c r="G13415" s="812"/>
    </row>
    <row r="13416" spans="7:7">
      <c r="G13416" s="812"/>
    </row>
    <row r="13417" spans="7:7">
      <c r="G13417" s="812"/>
    </row>
    <row r="13418" spans="7:7">
      <c r="G13418" s="812"/>
    </row>
    <row r="13419" spans="7:7">
      <c r="G13419" s="812"/>
    </row>
    <row r="13420" spans="7:7">
      <c r="G13420" s="812"/>
    </row>
    <row r="13421" spans="7:7">
      <c r="G13421" s="812"/>
    </row>
    <row r="13422" spans="7:7">
      <c r="G13422" s="812"/>
    </row>
    <row r="13423" spans="7:7">
      <c r="G13423" s="812"/>
    </row>
    <row r="13424" spans="7:7">
      <c r="G13424" s="812"/>
    </row>
    <row r="13425" spans="7:7">
      <c r="G13425" s="812"/>
    </row>
    <row r="13426" spans="7:7">
      <c r="G13426" s="812"/>
    </row>
    <row r="13427" spans="7:7">
      <c r="G13427" s="812"/>
    </row>
    <row r="13428" spans="7:7">
      <c r="G13428" s="812"/>
    </row>
    <row r="13429" spans="7:7">
      <c r="G13429" s="812"/>
    </row>
    <row r="13430" spans="7:7">
      <c r="G13430" s="812"/>
    </row>
    <row r="13431" spans="7:7">
      <c r="G13431" s="812"/>
    </row>
    <row r="13432" spans="7:7">
      <c r="G13432" s="812"/>
    </row>
    <row r="13433" spans="7:7">
      <c r="G13433" s="812"/>
    </row>
    <row r="13434" spans="7:7">
      <c r="G13434" s="812"/>
    </row>
    <row r="13435" spans="7:7">
      <c r="G13435" s="812"/>
    </row>
    <row r="13436" spans="7:7">
      <c r="G13436" s="812"/>
    </row>
    <row r="13437" spans="7:7">
      <c r="G13437" s="812"/>
    </row>
    <row r="13438" spans="7:7">
      <c r="G13438" s="812"/>
    </row>
    <row r="13439" spans="7:7">
      <c r="G13439" s="812"/>
    </row>
    <row r="13440" spans="7:7">
      <c r="G13440" s="812"/>
    </row>
    <row r="13441" spans="7:7">
      <c r="G13441" s="812"/>
    </row>
    <row r="13442" spans="7:7">
      <c r="G13442" s="812"/>
    </row>
    <row r="13443" spans="7:7">
      <c r="G13443" s="812"/>
    </row>
    <row r="13444" spans="7:7">
      <c r="G13444" s="812"/>
    </row>
    <row r="13445" spans="7:7">
      <c r="G13445" s="812"/>
    </row>
    <row r="13446" spans="7:7">
      <c r="G13446" s="812"/>
    </row>
    <row r="13447" spans="7:7">
      <c r="G13447" s="812"/>
    </row>
    <row r="13448" spans="7:7">
      <c r="G13448" s="812"/>
    </row>
    <row r="13449" spans="7:7">
      <c r="G13449" s="812"/>
    </row>
    <row r="13450" spans="7:7">
      <c r="G13450" s="812"/>
    </row>
    <row r="13451" spans="7:7">
      <c r="G13451" s="812"/>
    </row>
    <row r="13452" spans="7:7">
      <c r="G13452" s="812"/>
    </row>
    <row r="13453" spans="7:7">
      <c r="G13453" s="812"/>
    </row>
    <row r="13454" spans="7:7">
      <c r="G13454" s="812"/>
    </row>
    <row r="13455" spans="7:7">
      <c r="G13455" s="812"/>
    </row>
    <row r="13456" spans="7:7">
      <c r="G13456" s="812"/>
    </row>
    <row r="13457" spans="7:7">
      <c r="G13457" s="812"/>
    </row>
    <row r="13458" spans="7:7">
      <c r="G13458" s="812"/>
    </row>
    <row r="13459" spans="7:7">
      <c r="G13459" s="812"/>
    </row>
    <row r="13460" spans="7:7">
      <c r="G13460" s="812"/>
    </row>
    <row r="13461" spans="7:7">
      <c r="G13461" s="812"/>
    </row>
    <row r="13462" spans="7:7">
      <c r="G13462" s="812"/>
    </row>
    <row r="13463" spans="7:7">
      <c r="G13463" s="812"/>
    </row>
    <row r="13464" spans="7:7">
      <c r="G13464" s="812"/>
    </row>
    <row r="13465" spans="7:7">
      <c r="G13465" s="812"/>
    </row>
    <row r="13466" spans="7:7">
      <c r="G13466" s="812"/>
    </row>
    <row r="13467" spans="7:7">
      <c r="G13467" s="812"/>
    </row>
    <row r="13468" spans="7:7">
      <c r="G13468" s="812"/>
    </row>
    <row r="13469" spans="7:7">
      <c r="G13469" s="812"/>
    </row>
    <row r="13470" spans="7:7">
      <c r="G13470" s="812"/>
    </row>
    <row r="13471" spans="7:7">
      <c r="G13471" s="812"/>
    </row>
    <row r="13472" spans="7:7">
      <c r="G13472" s="812"/>
    </row>
    <row r="13473" spans="7:7">
      <c r="G13473" s="812"/>
    </row>
    <row r="13474" spans="7:7">
      <c r="G13474" s="812"/>
    </row>
    <row r="13475" spans="7:7">
      <c r="G13475" s="812"/>
    </row>
    <row r="13476" spans="7:7">
      <c r="G13476" s="812"/>
    </row>
    <row r="13477" spans="7:7">
      <c r="G13477" s="812"/>
    </row>
    <row r="13478" spans="7:7">
      <c r="G13478" s="812"/>
    </row>
    <row r="13479" spans="7:7">
      <c r="G13479" s="812"/>
    </row>
    <row r="13480" spans="7:7">
      <c r="G13480" s="812"/>
    </row>
    <row r="13481" spans="7:7">
      <c r="G13481" s="812"/>
    </row>
    <row r="13482" spans="7:7">
      <c r="G13482" s="812"/>
    </row>
    <row r="13483" spans="7:7">
      <c r="G13483" s="812"/>
    </row>
    <row r="13484" spans="7:7">
      <c r="G13484" s="812"/>
    </row>
    <row r="13485" spans="7:7">
      <c r="G13485" s="812"/>
    </row>
    <row r="13486" spans="7:7">
      <c r="G13486" s="812"/>
    </row>
    <row r="13487" spans="7:7">
      <c r="G13487" s="812"/>
    </row>
    <row r="13488" spans="7:7">
      <c r="G13488" s="812"/>
    </row>
    <row r="13489" spans="7:7">
      <c r="G13489" s="812"/>
    </row>
    <row r="13490" spans="7:7">
      <c r="G13490" s="812"/>
    </row>
    <row r="13491" spans="7:7">
      <c r="G13491" s="812"/>
    </row>
    <row r="13492" spans="7:7">
      <c r="G13492" s="812"/>
    </row>
    <row r="13493" spans="7:7">
      <c r="G13493" s="812"/>
    </row>
    <row r="13494" spans="7:7">
      <c r="G13494" s="812"/>
    </row>
    <row r="13495" spans="7:7">
      <c r="G13495" s="812"/>
    </row>
    <row r="13496" spans="7:7">
      <c r="G13496" s="812"/>
    </row>
    <row r="13497" spans="7:7">
      <c r="G13497" s="812"/>
    </row>
    <row r="13498" spans="7:7">
      <c r="G13498" s="812"/>
    </row>
    <row r="13499" spans="7:7">
      <c r="G13499" s="812"/>
    </row>
    <row r="13500" spans="7:7">
      <c r="G13500" s="812"/>
    </row>
    <row r="13501" spans="7:7">
      <c r="G13501" s="812"/>
    </row>
    <row r="13502" spans="7:7">
      <c r="G13502" s="812"/>
    </row>
    <row r="13503" spans="7:7">
      <c r="G13503" s="812"/>
    </row>
    <row r="13504" spans="7:7">
      <c r="G13504" s="812"/>
    </row>
    <row r="13505" spans="7:7">
      <c r="G13505" s="812"/>
    </row>
    <row r="13506" spans="7:7">
      <c r="G13506" s="812"/>
    </row>
    <row r="13507" spans="7:7">
      <c r="G13507" s="812"/>
    </row>
    <row r="13508" spans="7:7">
      <c r="G13508" s="812"/>
    </row>
    <row r="13509" spans="7:7">
      <c r="G13509" s="812"/>
    </row>
    <row r="13510" spans="7:7">
      <c r="G13510" s="812"/>
    </row>
    <row r="13511" spans="7:7">
      <c r="G13511" s="812"/>
    </row>
    <row r="13512" spans="7:7">
      <c r="G13512" s="812"/>
    </row>
    <row r="13513" spans="7:7">
      <c r="G13513" s="812"/>
    </row>
    <row r="13514" spans="7:7">
      <c r="G13514" s="812"/>
    </row>
    <row r="13515" spans="7:7">
      <c r="G13515" s="812"/>
    </row>
    <row r="13516" spans="7:7">
      <c r="G13516" s="812"/>
    </row>
    <row r="13517" spans="7:7">
      <c r="G13517" s="812"/>
    </row>
    <row r="13518" spans="7:7">
      <c r="G13518" s="812"/>
    </row>
    <row r="13519" spans="7:7">
      <c r="G13519" s="812"/>
    </row>
    <row r="13520" spans="7:7">
      <c r="G13520" s="812"/>
    </row>
    <row r="13521" spans="7:7">
      <c r="G13521" s="812"/>
    </row>
    <row r="13522" spans="7:7">
      <c r="G13522" s="812"/>
    </row>
    <row r="13523" spans="7:7">
      <c r="G13523" s="812"/>
    </row>
    <row r="13524" spans="7:7">
      <c r="G13524" s="812"/>
    </row>
    <row r="13525" spans="7:7">
      <c r="G13525" s="812"/>
    </row>
    <row r="13526" spans="7:7">
      <c r="G13526" s="812"/>
    </row>
    <row r="13527" spans="7:7">
      <c r="G13527" s="812"/>
    </row>
    <row r="13528" spans="7:7">
      <c r="G13528" s="812"/>
    </row>
    <row r="13529" spans="7:7">
      <c r="G13529" s="812"/>
    </row>
    <row r="13530" spans="7:7">
      <c r="G13530" s="812"/>
    </row>
    <row r="13531" spans="7:7">
      <c r="G13531" s="812"/>
    </row>
    <row r="13532" spans="7:7">
      <c r="G13532" s="812"/>
    </row>
    <row r="13533" spans="7:7">
      <c r="G13533" s="812"/>
    </row>
    <row r="13534" spans="7:7">
      <c r="G13534" s="812"/>
    </row>
    <row r="13535" spans="7:7">
      <c r="G13535" s="812"/>
    </row>
    <row r="13536" spans="7:7">
      <c r="G13536" s="812"/>
    </row>
    <row r="13537" spans="7:7">
      <c r="G13537" s="812"/>
    </row>
    <row r="13538" spans="7:7">
      <c r="G13538" s="812"/>
    </row>
    <row r="13539" spans="7:7">
      <c r="G13539" s="812"/>
    </row>
    <row r="13540" spans="7:7">
      <c r="G13540" s="812"/>
    </row>
    <row r="13541" spans="7:7">
      <c r="G13541" s="812"/>
    </row>
    <row r="13542" spans="7:7">
      <c r="G13542" s="812"/>
    </row>
    <row r="13543" spans="7:7">
      <c r="G13543" s="812"/>
    </row>
    <row r="13544" spans="7:7">
      <c r="G13544" s="812"/>
    </row>
    <row r="13545" spans="7:7">
      <c r="G13545" s="812"/>
    </row>
    <row r="13546" spans="7:7">
      <c r="G13546" s="812"/>
    </row>
    <row r="13547" spans="7:7">
      <c r="G13547" s="812"/>
    </row>
    <row r="13548" spans="7:7">
      <c r="G13548" s="812"/>
    </row>
    <row r="13549" spans="7:7">
      <c r="G13549" s="812"/>
    </row>
    <row r="13550" spans="7:7">
      <c r="G13550" s="812"/>
    </row>
    <row r="13551" spans="7:7">
      <c r="G13551" s="812"/>
    </row>
    <row r="13552" spans="7:7">
      <c r="G13552" s="812"/>
    </row>
    <row r="13553" spans="7:7">
      <c r="G13553" s="812"/>
    </row>
    <row r="13554" spans="7:7">
      <c r="G13554" s="812"/>
    </row>
    <row r="13555" spans="7:7">
      <c r="G13555" s="812"/>
    </row>
    <row r="13556" spans="7:7">
      <c r="G13556" s="812"/>
    </row>
    <row r="13557" spans="7:7">
      <c r="G13557" s="812"/>
    </row>
    <row r="13558" spans="7:7">
      <c r="G13558" s="812"/>
    </row>
    <row r="13559" spans="7:7">
      <c r="G13559" s="812"/>
    </row>
    <row r="13560" spans="7:7">
      <c r="G13560" s="812"/>
    </row>
    <row r="13561" spans="7:7">
      <c r="G13561" s="812"/>
    </row>
    <row r="13562" spans="7:7">
      <c r="G13562" s="812"/>
    </row>
    <row r="13563" spans="7:7">
      <c r="G13563" s="812"/>
    </row>
    <row r="13564" spans="7:7">
      <c r="G13564" s="812"/>
    </row>
    <row r="13565" spans="7:7">
      <c r="G13565" s="812"/>
    </row>
    <row r="13566" spans="7:7">
      <c r="G13566" s="812"/>
    </row>
    <row r="13567" spans="7:7">
      <c r="G13567" s="812"/>
    </row>
    <row r="13568" spans="7:7">
      <c r="G13568" s="812"/>
    </row>
    <row r="13569" spans="7:7">
      <c r="G13569" s="812"/>
    </row>
    <row r="13570" spans="7:7">
      <c r="G13570" s="812"/>
    </row>
    <row r="13571" spans="7:7">
      <c r="G13571" s="812"/>
    </row>
    <row r="13572" spans="7:7">
      <c r="G13572" s="812"/>
    </row>
    <row r="13573" spans="7:7">
      <c r="G13573" s="812"/>
    </row>
    <row r="13574" spans="7:7">
      <c r="G13574" s="812"/>
    </row>
    <row r="13575" spans="7:7">
      <c r="G13575" s="812"/>
    </row>
    <row r="13576" spans="7:7">
      <c r="G13576" s="812"/>
    </row>
    <row r="13577" spans="7:7">
      <c r="G13577" s="812"/>
    </row>
    <row r="13578" spans="7:7">
      <c r="G13578" s="812"/>
    </row>
    <row r="13579" spans="7:7">
      <c r="G13579" s="812"/>
    </row>
    <row r="13580" spans="7:7">
      <c r="G13580" s="812"/>
    </row>
    <row r="13581" spans="7:7">
      <c r="G13581" s="812"/>
    </row>
    <row r="13582" spans="7:7">
      <c r="G13582" s="812"/>
    </row>
    <row r="13583" spans="7:7">
      <c r="G13583" s="812"/>
    </row>
    <row r="13584" spans="7:7">
      <c r="G13584" s="812"/>
    </row>
    <row r="13585" spans="7:7">
      <c r="G13585" s="812"/>
    </row>
    <row r="13586" spans="7:7">
      <c r="G13586" s="812"/>
    </row>
    <row r="13587" spans="7:7">
      <c r="G13587" s="812"/>
    </row>
    <row r="13588" spans="7:7">
      <c r="G13588" s="812"/>
    </row>
    <row r="13589" spans="7:7">
      <c r="G13589" s="812"/>
    </row>
    <row r="13590" spans="7:7">
      <c r="G13590" s="812"/>
    </row>
    <row r="13591" spans="7:7">
      <c r="G13591" s="812"/>
    </row>
    <row r="13592" spans="7:7">
      <c r="G13592" s="812"/>
    </row>
    <row r="13593" spans="7:7">
      <c r="G13593" s="812"/>
    </row>
    <row r="13594" spans="7:7">
      <c r="G13594" s="812"/>
    </row>
    <row r="13595" spans="7:7">
      <c r="G13595" s="812"/>
    </row>
    <row r="13596" spans="7:7">
      <c r="G13596" s="812"/>
    </row>
    <row r="13597" spans="7:7">
      <c r="G13597" s="812"/>
    </row>
    <row r="13598" spans="7:7">
      <c r="G13598" s="812"/>
    </row>
    <row r="13599" spans="7:7">
      <c r="G13599" s="812"/>
    </row>
    <row r="13600" spans="7:7">
      <c r="G13600" s="812"/>
    </row>
    <row r="13601" spans="7:7">
      <c r="G13601" s="812"/>
    </row>
    <row r="13602" spans="7:7">
      <c r="G13602" s="812"/>
    </row>
    <row r="13603" spans="7:7">
      <c r="G13603" s="812"/>
    </row>
    <row r="13604" spans="7:7">
      <c r="G13604" s="812"/>
    </row>
    <row r="13605" spans="7:7">
      <c r="G13605" s="812"/>
    </row>
    <row r="13606" spans="7:7">
      <c r="G13606" s="812"/>
    </row>
    <row r="13607" spans="7:7">
      <c r="G13607" s="812"/>
    </row>
    <row r="13608" spans="7:7">
      <c r="G13608" s="812"/>
    </row>
    <row r="13609" spans="7:7">
      <c r="G13609" s="812"/>
    </row>
    <row r="13610" spans="7:7">
      <c r="G13610" s="812"/>
    </row>
    <row r="13611" spans="7:7">
      <c r="G13611" s="812"/>
    </row>
    <row r="13612" spans="7:7">
      <c r="G13612" s="812"/>
    </row>
    <row r="13613" spans="7:7">
      <c r="G13613" s="812"/>
    </row>
    <row r="13614" spans="7:7">
      <c r="G13614" s="812"/>
    </row>
    <row r="13615" spans="7:7">
      <c r="G13615" s="812"/>
    </row>
    <row r="13616" spans="7:7">
      <c r="G13616" s="812"/>
    </row>
    <row r="13617" spans="7:7">
      <c r="G13617" s="812"/>
    </row>
    <row r="13618" spans="7:7">
      <c r="G13618" s="812"/>
    </row>
    <row r="13619" spans="7:7">
      <c r="G13619" s="812"/>
    </row>
    <row r="13620" spans="7:7">
      <c r="G13620" s="812"/>
    </row>
    <row r="13621" spans="7:7">
      <c r="G13621" s="812"/>
    </row>
    <row r="13622" spans="7:7">
      <c r="G13622" s="812"/>
    </row>
    <row r="13623" spans="7:7">
      <c r="G13623" s="812"/>
    </row>
    <row r="13624" spans="7:7">
      <c r="G13624" s="812"/>
    </row>
    <row r="13625" spans="7:7">
      <c r="G13625" s="812"/>
    </row>
    <row r="13626" spans="7:7">
      <c r="G13626" s="812"/>
    </row>
    <row r="13627" spans="7:7">
      <c r="G13627" s="812"/>
    </row>
    <row r="13628" spans="7:7">
      <c r="G13628" s="812"/>
    </row>
    <row r="13629" spans="7:7">
      <c r="G13629" s="812"/>
    </row>
    <row r="13630" spans="7:7">
      <c r="G13630" s="812"/>
    </row>
    <row r="13631" spans="7:7">
      <c r="G13631" s="812"/>
    </row>
    <row r="13632" spans="7:7">
      <c r="G13632" s="812"/>
    </row>
    <row r="13633" spans="7:7">
      <c r="G13633" s="812"/>
    </row>
    <row r="13634" spans="7:7">
      <c r="G13634" s="812"/>
    </row>
    <row r="13635" spans="7:7">
      <c r="G13635" s="812"/>
    </row>
    <row r="13636" spans="7:7">
      <c r="G13636" s="812"/>
    </row>
    <row r="13637" spans="7:7">
      <c r="G13637" s="812"/>
    </row>
    <row r="13638" spans="7:7">
      <c r="G13638" s="812"/>
    </row>
    <row r="13639" spans="7:7">
      <c r="G13639" s="812"/>
    </row>
    <row r="13640" spans="7:7">
      <c r="G13640" s="812"/>
    </row>
    <row r="13641" spans="7:7">
      <c r="G13641" s="812"/>
    </row>
    <row r="13642" spans="7:7">
      <c r="G13642" s="812"/>
    </row>
    <row r="13643" spans="7:7">
      <c r="G13643" s="812"/>
    </row>
    <row r="13644" spans="7:7">
      <c r="G13644" s="812"/>
    </row>
    <row r="13645" spans="7:7">
      <c r="G13645" s="812"/>
    </row>
    <row r="13646" spans="7:7">
      <c r="G13646" s="812"/>
    </row>
    <row r="13647" spans="7:7">
      <c r="G13647" s="812"/>
    </row>
    <row r="13648" spans="7:7">
      <c r="G13648" s="812"/>
    </row>
    <row r="13649" spans="7:7">
      <c r="G13649" s="812"/>
    </row>
    <row r="13650" spans="7:7">
      <c r="G13650" s="812"/>
    </row>
    <row r="13651" spans="7:7">
      <c r="G13651" s="812"/>
    </row>
    <row r="13652" spans="7:7">
      <c r="G13652" s="812"/>
    </row>
    <row r="13653" spans="7:7">
      <c r="G13653" s="812"/>
    </row>
    <row r="13654" spans="7:7">
      <c r="G13654" s="812"/>
    </row>
    <row r="13655" spans="7:7">
      <c r="G13655" s="812"/>
    </row>
    <row r="13656" spans="7:7">
      <c r="G13656" s="812"/>
    </row>
    <row r="13657" spans="7:7">
      <c r="G13657" s="812"/>
    </row>
    <row r="13658" spans="7:7">
      <c r="G13658" s="812"/>
    </row>
    <row r="13659" spans="7:7">
      <c r="G13659" s="812"/>
    </row>
    <row r="13660" spans="7:7">
      <c r="G13660" s="812"/>
    </row>
    <row r="13661" spans="7:7">
      <c r="G13661" s="812"/>
    </row>
    <row r="13662" spans="7:7">
      <c r="G13662" s="812"/>
    </row>
    <row r="13663" spans="7:7">
      <c r="G13663" s="812"/>
    </row>
    <row r="13664" spans="7:7">
      <c r="G13664" s="812"/>
    </row>
    <row r="13665" spans="7:7">
      <c r="G13665" s="812"/>
    </row>
    <row r="13666" spans="7:7">
      <c r="G13666" s="812"/>
    </row>
    <row r="13667" spans="7:7">
      <c r="G13667" s="812"/>
    </row>
    <row r="13668" spans="7:7">
      <c r="G13668" s="812"/>
    </row>
    <row r="13669" spans="7:7">
      <c r="G13669" s="812"/>
    </row>
    <row r="13670" spans="7:7">
      <c r="G13670" s="812"/>
    </row>
    <row r="13671" spans="7:7">
      <c r="G13671" s="812"/>
    </row>
    <row r="13672" spans="7:7">
      <c r="G13672" s="812"/>
    </row>
    <row r="13673" spans="7:7">
      <c r="G13673" s="812"/>
    </row>
    <row r="13674" spans="7:7">
      <c r="G13674" s="812"/>
    </row>
    <row r="13675" spans="7:7">
      <c r="G13675" s="812"/>
    </row>
    <row r="13676" spans="7:7">
      <c r="G13676" s="812"/>
    </row>
    <row r="13677" spans="7:7">
      <c r="G13677" s="812"/>
    </row>
    <row r="13678" spans="7:7">
      <c r="G13678" s="812"/>
    </row>
    <row r="13679" spans="7:7">
      <c r="G13679" s="812"/>
    </row>
    <row r="13680" spans="7:7">
      <c r="G13680" s="812"/>
    </row>
    <row r="13681" spans="7:7">
      <c r="G13681" s="812"/>
    </row>
    <row r="13682" spans="7:7">
      <c r="G13682" s="812"/>
    </row>
    <row r="13683" spans="7:7">
      <c r="G13683" s="812"/>
    </row>
    <row r="13684" spans="7:7">
      <c r="G13684" s="812"/>
    </row>
    <row r="13685" spans="7:7">
      <c r="G13685" s="812"/>
    </row>
    <row r="13686" spans="7:7">
      <c r="G13686" s="812"/>
    </row>
    <row r="13687" spans="7:7">
      <c r="G13687" s="812"/>
    </row>
    <row r="13688" spans="7:7">
      <c r="G13688" s="812"/>
    </row>
    <row r="13689" spans="7:7">
      <c r="G13689" s="812"/>
    </row>
    <row r="13690" spans="7:7">
      <c r="G13690" s="812"/>
    </row>
    <row r="13691" spans="7:7">
      <c r="G13691" s="812"/>
    </row>
    <row r="13692" spans="7:7">
      <c r="G13692" s="812"/>
    </row>
    <row r="13693" spans="7:7">
      <c r="G13693" s="812"/>
    </row>
    <row r="13694" spans="7:7">
      <c r="G13694" s="812"/>
    </row>
    <row r="13695" spans="7:7">
      <c r="G13695" s="812"/>
    </row>
    <row r="13696" spans="7:7">
      <c r="G13696" s="812"/>
    </row>
    <row r="13697" spans="7:7">
      <c r="G13697" s="812"/>
    </row>
    <row r="13698" spans="7:7">
      <c r="G13698" s="812"/>
    </row>
    <row r="13699" spans="7:7">
      <c r="G13699" s="812"/>
    </row>
    <row r="13700" spans="7:7">
      <c r="G13700" s="812"/>
    </row>
    <row r="13701" spans="7:7">
      <c r="G13701" s="812"/>
    </row>
    <row r="13702" spans="7:7">
      <c r="G13702" s="812"/>
    </row>
    <row r="13703" spans="7:7">
      <c r="G13703" s="812"/>
    </row>
    <row r="13704" spans="7:7">
      <c r="G13704" s="812"/>
    </row>
    <row r="13705" spans="7:7">
      <c r="G13705" s="812"/>
    </row>
    <row r="13706" spans="7:7">
      <c r="G13706" s="812"/>
    </row>
    <row r="13707" spans="7:7">
      <c r="G13707" s="812"/>
    </row>
    <row r="13708" spans="7:7">
      <c r="G13708" s="812"/>
    </row>
    <row r="13709" spans="7:7">
      <c r="G13709" s="812"/>
    </row>
    <row r="13710" spans="7:7">
      <c r="G13710" s="812"/>
    </row>
    <row r="13711" spans="7:7">
      <c r="G13711" s="812"/>
    </row>
    <row r="13712" spans="7:7">
      <c r="G13712" s="812"/>
    </row>
    <row r="13713" spans="7:7">
      <c r="G13713" s="812"/>
    </row>
    <row r="13714" spans="7:7">
      <c r="G13714" s="812"/>
    </row>
    <row r="13715" spans="7:7">
      <c r="G13715" s="812"/>
    </row>
    <row r="13716" spans="7:7">
      <c r="G13716" s="812"/>
    </row>
    <row r="13717" spans="7:7">
      <c r="G13717" s="812"/>
    </row>
    <row r="13718" spans="7:7">
      <c r="G13718" s="812"/>
    </row>
    <row r="13719" spans="7:7">
      <c r="G13719" s="812"/>
    </row>
    <row r="13720" spans="7:7">
      <c r="G13720" s="812"/>
    </row>
    <row r="13721" spans="7:7">
      <c r="G13721" s="812"/>
    </row>
    <row r="13722" spans="7:7">
      <c r="G13722" s="812"/>
    </row>
    <row r="13723" spans="7:7">
      <c r="G13723" s="812"/>
    </row>
    <row r="13724" spans="7:7">
      <c r="G13724" s="812"/>
    </row>
    <row r="13725" spans="7:7">
      <c r="G13725" s="812"/>
    </row>
    <row r="13726" spans="7:7">
      <c r="G13726" s="812"/>
    </row>
    <row r="13727" spans="7:7">
      <c r="G13727" s="812"/>
    </row>
    <row r="13728" spans="7:7">
      <c r="G13728" s="812"/>
    </row>
    <row r="13729" spans="7:7">
      <c r="G13729" s="812"/>
    </row>
    <row r="13730" spans="7:7">
      <c r="G13730" s="812"/>
    </row>
    <row r="13731" spans="7:7">
      <c r="G13731" s="812"/>
    </row>
    <row r="13732" spans="7:7">
      <c r="G13732" s="812"/>
    </row>
    <row r="13733" spans="7:7">
      <c r="G13733" s="812"/>
    </row>
    <row r="13734" spans="7:7">
      <c r="G13734" s="812"/>
    </row>
    <row r="13735" spans="7:7">
      <c r="G13735" s="812"/>
    </row>
    <row r="13736" spans="7:7">
      <c r="G13736" s="812"/>
    </row>
    <row r="13737" spans="7:7">
      <c r="G13737" s="812"/>
    </row>
    <row r="13738" spans="7:7">
      <c r="G13738" s="812"/>
    </row>
    <row r="13739" spans="7:7">
      <c r="G13739" s="812"/>
    </row>
    <row r="13740" spans="7:7">
      <c r="G13740" s="812"/>
    </row>
    <row r="13741" spans="7:7">
      <c r="G13741" s="812"/>
    </row>
    <row r="13742" spans="7:7">
      <c r="G13742" s="812"/>
    </row>
    <row r="13743" spans="7:7">
      <c r="G13743" s="812"/>
    </row>
    <row r="13744" spans="7:7">
      <c r="G13744" s="812"/>
    </row>
    <row r="13745" spans="7:7">
      <c r="G13745" s="812"/>
    </row>
    <row r="13746" spans="7:7">
      <c r="G13746" s="812"/>
    </row>
    <row r="13747" spans="7:7">
      <c r="G13747" s="812"/>
    </row>
    <row r="13748" spans="7:7">
      <c r="G13748" s="812"/>
    </row>
    <row r="13749" spans="7:7">
      <c r="G13749" s="812"/>
    </row>
    <row r="13750" spans="7:7">
      <c r="G13750" s="812"/>
    </row>
    <row r="13751" spans="7:7">
      <c r="G13751" s="812"/>
    </row>
    <row r="13752" spans="7:7">
      <c r="G13752" s="812"/>
    </row>
    <row r="13753" spans="7:7">
      <c r="G13753" s="812"/>
    </row>
    <row r="13754" spans="7:7">
      <c r="G13754" s="812"/>
    </row>
    <row r="13755" spans="7:7">
      <c r="G13755" s="812"/>
    </row>
    <row r="13756" spans="7:7">
      <c r="G13756" s="812"/>
    </row>
    <row r="13757" spans="7:7">
      <c r="G13757" s="812"/>
    </row>
    <row r="13758" spans="7:7">
      <c r="G13758" s="812"/>
    </row>
    <row r="13759" spans="7:7">
      <c r="G13759" s="812"/>
    </row>
    <row r="13760" spans="7:7">
      <c r="G13760" s="812"/>
    </row>
    <row r="13761" spans="7:7">
      <c r="G13761" s="812"/>
    </row>
    <row r="13762" spans="7:7">
      <c r="G13762" s="812"/>
    </row>
    <row r="13763" spans="7:7">
      <c r="G13763" s="812"/>
    </row>
    <row r="13764" spans="7:7">
      <c r="G13764" s="812"/>
    </row>
    <row r="13765" spans="7:7">
      <c r="G13765" s="812"/>
    </row>
    <row r="13766" spans="7:7">
      <c r="G13766" s="812"/>
    </row>
    <row r="13767" spans="7:7">
      <c r="G13767" s="812"/>
    </row>
    <row r="13768" spans="7:7">
      <c r="G13768" s="812"/>
    </row>
    <row r="13769" spans="7:7">
      <c r="G13769" s="812"/>
    </row>
    <row r="13770" spans="7:7">
      <c r="G13770" s="812"/>
    </row>
    <row r="13771" spans="7:7">
      <c r="G13771" s="812"/>
    </row>
    <row r="13772" spans="7:7">
      <c r="G13772" s="812"/>
    </row>
    <row r="13773" spans="7:7">
      <c r="G13773" s="812"/>
    </row>
    <row r="13774" spans="7:7">
      <c r="G13774" s="812"/>
    </row>
    <row r="13775" spans="7:7">
      <c r="G13775" s="812"/>
    </row>
    <row r="13776" spans="7:7">
      <c r="G13776" s="812"/>
    </row>
    <row r="13777" spans="7:7">
      <c r="G13777" s="812"/>
    </row>
    <row r="13778" spans="7:7">
      <c r="G13778" s="812"/>
    </row>
    <row r="13779" spans="7:7">
      <c r="G13779" s="812"/>
    </row>
    <row r="13780" spans="7:7">
      <c r="G13780" s="812"/>
    </row>
    <row r="13781" spans="7:7">
      <c r="G13781" s="812"/>
    </row>
    <row r="13782" spans="7:7">
      <c r="G13782" s="812"/>
    </row>
    <row r="13783" spans="7:7">
      <c r="G13783" s="812"/>
    </row>
    <row r="13784" spans="7:7">
      <c r="G13784" s="812"/>
    </row>
    <row r="13785" spans="7:7">
      <c r="G13785" s="812"/>
    </row>
    <row r="13786" spans="7:7">
      <c r="G13786" s="812"/>
    </row>
    <row r="13787" spans="7:7">
      <c r="G13787" s="812"/>
    </row>
    <row r="13788" spans="7:7">
      <c r="G13788" s="812"/>
    </row>
    <row r="13789" spans="7:7">
      <c r="G13789" s="812"/>
    </row>
    <row r="13790" spans="7:7">
      <c r="G13790" s="812"/>
    </row>
    <row r="13791" spans="7:7">
      <c r="G13791" s="812"/>
    </row>
    <row r="13792" spans="7:7">
      <c r="G13792" s="812"/>
    </row>
    <row r="13793" spans="7:7">
      <c r="G13793" s="812"/>
    </row>
    <row r="13794" spans="7:7">
      <c r="G13794" s="812"/>
    </row>
    <row r="13795" spans="7:7">
      <c r="G13795" s="812"/>
    </row>
    <row r="13796" spans="7:7">
      <c r="G13796" s="812"/>
    </row>
    <row r="13797" spans="7:7">
      <c r="G13797" s="812"/>
    </row>
    <row r="13798" spans="7:7">
      <c r="G13798" s="812"/>
    </row>
    <row r="13799" spans="7:7">
      <c r="G13799" s="812"/>
    </row>
    <row r="13800" spans="7:7">
      <c r="G13800" s="812"/>
    </row>
    <row r="13801" spans="7:7">
      <c r="G13801" s="812"/>
    </row>
    <row r="13802" spans="7:7">
      <c r="G13802" s="812"/>
    </row>
    <row r="13803" spans="7:7">
      <c r="G13803" s="812"/>
    </row>
    <row r="13804" spans="7:7">
      <c r="G13804" s="812"/>
    </row>
    <row r="13805" spans="7:7">
      <c r="G13805" s="812"/>
    </row>
    <row r="13806" spans="7:7">
      <c r="G13806" s="812"/>
    </row>
    <row r="13807" spans="7:7">
      <c r="G13807" s="812"/>
    </row>
    <row r="13808" spans="7:7">
      <c r="G13808" s="812"/>
    </row>
    <row r="13809" spans="7:7">
      <c r="G13809" s="812"/>
    </row>
    <row r="13810" spans="7:7">
      <c r="G13810" s="812"/>
    </row>
    <row r="13811" spans="7:7">
      <c r="G13811" s="812"/>
    </row>
    <row r="13812" spans="7:7">
      <c r="G13812" s="812"/>
    </row>
    <row r="13813" spans="7:7">
      <c r="G13813" s="812"/>
    </row>
    <row r="13814" spans="7:7">
      <c r="G13814" s="812"/>
    </row>
    <row r="13815" spans="7:7">
      <c r="G13815" s="812"/>
    </row>
    <row r="13816" spans="7:7">
      <c r="G13816" s="812"/>
    </row>
    <row r="13817" spans="7:7">
      <c r="G13817" s="812"/>
    </row>
    <row r="13818" spans="7:7">
      <c r="G13818" s="812"/>
    </row>
    <row r="13819" spans="7:7">
      <c r="G13819" s="812"/>
    </row>
    <row r="13820" spans="7:7">
      <c r="G13820" s="812"/>
    </row>
    <row r="13821" spans="7:7">
      <c r="G13821" s="812"/>
    </row>
    <row r="13822" spans="7:7">
      <c r="G13822" s="812"/>
    </row>
    <row r="13823" spans="7:7">
      <c r="G13823" s="812"/>
    </row>
    <row r="13824" spans="7:7">
      <c r="G13824" s="812"/>
    </row>
    <row r="13825" spans="7:7">
      <c r="G13825" s="812"/>
    </row>
    <row r="13826" spans="7:7">
      <c r="G13826" s="812"/>
    </row>
    <row r="13827" spans="7:7">
      <c r="G13827" s="812"/>
    </row>
    <row r="13828" spans="7:7">
      <c r="G13828" s="812"/>
    </row>
    <row r="13829" spans="7:7">
      <c r="G13829" s="812"/>
    </row>
    <row r="13830" spans="7:7">
      <c r="G13830" s="812"/>
    </row>
    <row r="13831" spans="7:7">
      <c r="G13831" s="812"/>
    </row>
    <row r="13832" spans="7:7">
      <c r="G13832" s="812"/>
    </row>
    <row r="13833" spans="7:7">
      <c r="G13833" s="812"/>
    </row>
    <row r="13834" spans="7:7">
      <c r="G13834" s="812"/>
    </row>
    <row r="13835" spans="7:7">
      <c r="G13835" s="812"/>
    </row>
    <row r="13836" spans="7:7">
      <c r="G13836" s="812"/>
    </row>
    <row r="13837" spans="7:7">
      <c r="G13837" s="812"/>
    </row>
    <row r="13838" spans="7:7">
      <c r="G13838" s="812"/>
    </row>
    <row r="13839" spans="7:7">
      <c r="G13839" s="812"/>
    </row>
    <row r="13840" spans="7:7">
      <c r="G13840" s="812"/>
    </row>
    <row r="13841" spans="7:7">
      <c r="G13841" s="812"/>
    </row>
    <row r="13842" spans="7:7">
      <c r="G13842" s="812"/>
    </row>
    <row r="13843" spans="7:7">
      <c r="G13843" s="812"/>
    </row>
    <row r="13844" spans="7:7">
      <c r="G13844" s="812"/>
    </row>
    <row r="13845" spans="7:7">
      <c r="G13845" s="812"/>
    </row>
    <row r="13846" spans="7:7">
      <c r="G13846" s="812"/>
    </row>
    <row r="13847" spans="7:7">
      <c r="G13847" s="812"/>
    </row>
    <row r="13848" spans="7:7">
      <c r="G13848" s="812"/>
    </row>
    <row r="13849" spans="7:7">
      <c r="G13849" s="812"/>
    </row>
    <row r="13850" spans="7:7">
      <c r="G13850" s="812"/>
    </row>
    <row r="13851" spans="7:7">
      <c r="G13851" s="812"/>
    </row>
    <row r="13852" spans="7:7">
      <c r="G13852" s="812"/>
    </row>
    <row r="13853" spans="7:7">
      <c r="G13853" s="812"/>
    </row>
    <row r="13854" spans="7:7">
      <c r="G13854" s="812"/>
    </row>
    <row r="13855" spans="7:7">
      <c r="G13855" s="812"/>
    </row>
    <row r="13856" spans="7:7">
      <c r="G13856" s="812"/>
    </row>
    <row r="13857" spans="7:7">
      <c r="G13857" s="812"/>
    </row>
    <row r="13858" spans="7:7">
      <c r="G13858" s="812"/>
    </row>
    <row r="13859" spans="7:7">
      <c r="G13859" s="812"/>
    </row>
    <row r="13860" spans="7:7">
      <c r="G13860" s="812"/>
    </row>
    <row r="13861" spans="7:7">
      <c r="G13861" s="812"/>
    </row>
    <row r="13862" spans="7:7">
      <c r="G13862" s="812"/>
    </row>
    <row r="13863" spans="7:7">
      <c r="G13863" s="812"/>
    </row>
    <row r="13864" spans="7:7">
      <c r="G13864" s="812"/>
    </row>
    <row r="13865" spans="7:7">
      <c r="G13865" s="812"/>
    </row>
    <row r="13866" spans="7:7">
      <c r="G13866" s="812"/>
    </row>
    <row r="13867" spans="7:7">
      <c r="G13867" s="812"/>
    </row>
    <row r="13868" spans="7:7">
      <c r="G13868" s="812"/>
    </row>
    <row r="13869" spans="7:7">
      <c r="G13869" s="812"/>
    </row>
    <row r="13870" spans="7:7">
      <c r="G13870" s="812"/>
    </row>
    <row r="13871" spans="7:7">
      <c r="G13871" s="812"/>
    </row>
    <row r="13872" spans="7:7">
      <c r="G13872" s="812"/>
    </row>
    <row r="13873" spans="7:7">
      <c r="G13873" s="812"/>
    </row>
    <row r="13874" spans="7:7">
      <c r="G13874" s="812"/>
    </row>
    <row r="13875" spans="7:7">
      <c r="G13875" s="812"/>
    </row>
    <row r="13876" spans="7:7">
      <c r="G13876" s="812"/>
    </row>
    <row r="13877" spans="7:7">
      <c r="G13877" s="812"/>
    </row>
    <row r="13878" spans="7:7">
      <c r="G13878" s="812"/>
    </row>
    <row r="13879" spans="7:7">
      <c r="G13879" s="812"/>
    </row>
    <row r="13880" spans="7:7">
      <c r="G13880" s="812"/>
    </row>
    <row r="13881" spans="7:7">
      <c r="G13881" s="812"/>
    </row>
    <row r="13882" spans="7:7">
      <c r="G13882" s="812"/>
    </row>
    <row r="13883" spans="7:7">
      <c r="G13883" s="812"/>
    </row>
    <row r="13884" spans="7:7">
      <c r="G13884" s="812"/>
    </row>
    <row r="13885" spans="7:7">
      <c r="G13885" s="812"/>
    </row>
    <row r="13886" spans="7:7">
      <c r="G13886" s="812"/>
    </row>
    <row r="13887" spans="7:7">
      <c r="G13887" s="812"/>
    </row>
    <row r="13888" spans="7:7">
      <c r="G13888" s="812"/>
    </row>
    <row r="13889" spans="7:7">
      <c r="G13889" s="812"/>
    </row>
    <row r="13890" spans="7:7">
      <c r="G13890" s="812"/>
    </row>
    <row r="13891" spans="7:7">
      <c r="G13891" s="812"/>
    </row>
    <row r="13892" spans="7:7">
      <c r="G13892" s="812"/>
    </row>
    <row r="13893" spans="7:7">
      <c r="G13893" s="812"/>
    </row>
    <row r="13894" spans="7:7">
      <c r="G13894" s="812"/>
    </row>
    <row r="13895" spans="7:7">
      <c r="G13895" s="812"/>
    </row>
    <row r="13896" spans="7:7">
      <c r="G13896" s="812"/>
    </row>
    <row r="13897" spans="7:7">
      <c r="G13897" s="812"/>
    </row>
    <row r="13898" spans="7:7">
      <c r="G13898" s="812"/>
    </row>
    <row r="13899" spans="7:7">
      <c r="G13899" s="812"/>
    </row>
    <row r="13900" spans="7:7">
      <c r="G13900" s="812"/>
    </row>
    <row r="13901" spans="7:7">
      <c r="G13901" s="812"/>
    </row>
    <row r="13902" spans="7:7">
      <c r="G13902" s="812"/>
    </row>
    <row r="13903" spans="7:7">
      <c r="G13903" s="812"/>
    </row>
    <row r="13904" spans="7:7">
      <c r="G13904" s="812"/>
    </row>
    <row r="13905" spans="7:7">
      <c r="G13905" s="812"/>
    </row>
    <row r="13906" spans="7:7">
      <c r="G13906" s="812"/>
    </row>
    <row r="13907" spans="7:7">
      <c r="G13907" s="812"/>
    </row>
    <row r="13908" spans="7:7">
      <c r="G13908" s="812"/>
    </row>
    <row r="13909" spans="7:7">
      <c r="G13909" s="812"/>
    </row>
    <row r="13910" spans="7:7">
      <c r="G13910" s="812"/>
    </row>
    <row r="13911" spans="7:7">
      <c r="G13911" s="812"/>
    </row>
    <row r="13912" spans="7:7">
      <c r="G13912" s="812"/>
    </row>
    <row r="13913" spans="7:7">
      <c r="G13913" s="812"/>
    </row>
    <row r="13914" spans="7:7">
      <c r="G13914" s="812"/>
    </row>
    <row r="13915" spans="7:7">
      <c r="G13915" s="812"/>
    </row>
    <row r="13916" spans="7:7">
      <c r="G13916" s="812"/>
    </row>
    <row r="13917" spans="7:7">
      <c r="G13917" s="812"/>
    </row>
    <row r="13918" spans="7:7">
      <c r="G13918" s="812"/>
    </row>
    <row r="13919" spans="7:7">
      <c r="G13919" s="812"/>
    </row>
    <row r="13920" spans="7:7">
      <c r="G13920" s="812"/>
    </row>
    <row r="13921" spans="7:7">
      <c r="G13921" s="812"/>
    </row>
    <row r="13922" spans="7:7">
      <c r="G13922" s="812"/>
    </row>
    <row r="13923" spans="7:7">
      <c r="G13923" s="812"/>
    </row>
    <row r="13924" spans="7:7">
      <c r="G13924" s="812"/>
    </row>
    <row r="13925" spans="7:7">
      <c r="G13925" s="812"/>
    </row>
    <row r="13926" spans="7:7">
      <c r="G13926" s="812"/>
    </row>
    <row r="13927" spans="7:7">
      <c r="G13927" s="812"/>
    </row>
    <row r="13928" spans="7:7">
      <c r="G13928" s="812"/>
    </row>
    <row r="13929" spans="7:7">
      <c r="G13929" s="812"/>
    </row>
    <row r="13930" spans="7:7">
      <c r="G13930" s="812"/>
    </row>
    <row r="13931" spans="7:7">
      <c r="G13931" s="812"/>
    </row>
    <row r="13932" spans="7:7">
      <c r="G13932" s="812"/>
    </row>
    <row r="13933" spans="7:7">
      <c r="G13933" s="812"/>
    </row>
    <row r="13934" spans="7:7">
      <c r="G13934" s="812"/>
    </row>
    <row r="13935" spans="7:7">
      <c r="G13935" s="812"/>
    </row>
    <row r="13936" spans="7:7">
      <c r="G13936" s="812"/>
    </row>
    <row r="13937" spans="7:7">
      <c r="G13937" s="812"/>
    </row>
    <row r="13938" spans="7:7">
      <c r="G13938" s="812"/>
    </row>
    <row r="13939" spans="7:7">
      <c r="G13939" s="812"/>
    </row>
    <row r="13940" spans="7:7">
      <c r="G13940" s="812"/>
    </row>
    <row r="13941" spans="7:7">
      <c r="G13941" s="812"/>
    </row>
    <row r="13942" spans="7:7">
      <c r="G13942" s="812"/>
    </row>
    <row r="13943" spans="7:7">
      <c r="G13943" s="812"/>
    </row>
    <row r="13944" spans="7:7">
      <c r="G13944" s="812"/>
    </row>
    <row r="13945" spans="7:7">
      <c r="G13945" s="812"/>
    </row>
    <row r="13946" spans="7:7">
      <c r="G13946" s="812"/>
    </row>
    <row r="13947" spans="7:7">
      <c r="G13947" s="812"/>
    </row>
    <row r="13948" spans="7:7">
      <c r="G13948" s="812"/>
    </row>
    <row r="13949" spans="7:7">
      <c r="G13949" s="812"/>
    </row>
    <row r="13950" spans="7:7">
      <c r="G13950" s="812"/>
    </row>
    <row r="13951" spans="7:7">
      <c r="G13951" s="812"/>
    </row>
    <row r="13952" spans="7:7">
      <c r="G13952" s="812"/>
    </row>
    <row r="13953" spans="7:7">
      <c r="G13953" s="812"/>
    </row>
    <row r="13954" spans="7:7">
      <c r="G13954" s="812"/>
    </row>
    <row r="13955" spans="7:7">
      <c r="G13955" s="812"/>
    </row>
    <row r="13956" spans="7:7">
      <c r="G13956" s="812"/>
    </row>
    <row r="13957" spans="7:7">
      <c r="G13957" s="812"/>
    </row>
    <row r="13958" spans="7:7">
      <c r="G13958" s="812"/>
    </row>
    <row r="13959" spans="7:7">
      <c r="G13959" s="812"/>
    </row>
    <row r="13960" spans="7:7">
      <c r="G13960" s="812"/>
    </row>
    <row r="13961" spans="7:7">
      <c r="G13961" s="812"/>
    </row>
    <row r="13962" spans="7:7">
      <c r="G13962" s="812"/>
    </row>
    <row r="13963" spans="7:7">
      <c r="G13963" s="812"/>
    </row>
    <row r="13964" spans="7:7">
      <c r="G13964" s="812"/>
    </row>
    <row r="13965" spans="7:7">
      <c r="G13965" s="812"/>
    </row>
    <row r="13966" spans="7:7">
      <c r="G13966" s="812"/>
    </row>
    <row r="13967" spans="7:7">
      <c r="G13967" s="812"/>
    </row>
    <row r="13968" spans="7:7">
      <c r="G13968" s="812"/>
    </row>
    <row r="13969" spans="7:7">
      <c r="G13969" s="812"/>
    </row>
    <row r="13970" spans="7:7">
      <c r="G13970" s="812"/>
    </row>
    <row r="13971" spans="7:7">
      <c r="G13971" s="812"/>
    </row>
    <row r="13972" spans="7:7">
      <c r="G13972" s="812"/>
    </row>
    <row r="13973" spans="7:7">
      <c r="G13973" s="812"/>
    </row>
    <row r="13974" spans="7:7">
      <c r="G13974" s="812"/>
    </row>
    <row r="13975" spans="7:7">
      <c r="G13975" s="812"/>
    </row>
    <row r="13976" spans="7:7">
      <c r="G13976" s="812"/>
    </row>
    <row r="13977" spans="7:7">
      <c r="G13977" s="812"/>
    </row>
    <row r="13978" spans="7:7">
      <c r="G13978" s="812"/>
    </row>
    <row r="13979" spans="7:7">
      <c r="G13979" s="812"/>
    </row>
    <row r="13980" spans="7:7">
      <c r="G13980" s="812"/>
    </row>
    <row r="13981" spans="7:7">
      <c r="G13981" s="812"/>
    </row>
    <row r="13982" spans="7:7">
      <c r="G13982" s="812"/>
    </row>
    <row r="13983" spans="7:7">
      <c r="G13983" s="812"/>
    </row>
    <row r="13984" spans="7:7">
      <c r="G13984" s="812"/>
    </row>
    <row r="13985" spans="7:7">
      <c r="G13985" s="812"/>
    </row>
    <row r="13986" spans="7:7">
      <c r="G13986" s="812"/>
    </row>
    <row r="13987" spans="7:7">
      <c r="G13987" s="812"/>
    </row>
    <row r="13988" spans="7:7">
      <c r="G13988" s="812"/>
    </row>
    <row r="13989" spans="7:7">
      <c r="G13989" s="812"/>
    </row>
    <row r="13990" spans="7:7">
      <c r="G13990" s="812"/>
    </row>
    <row r="13991" spans="7:7">
      <c r="G13991" s="812"/>
    </row>
    <row r="13992" spans="7:7">
      <c r="G13992" s="812"/>
    </row>
    <row r="13993" spans="7:7">
      <c r="G13993" s="812"/>
    </row>
    <row r="13994" spans="7:7">
      <c r="G13994" s="812"/>
    </row>
    <row r="13995" spans="7:7">
      <c r="G13995" s="812"/>
    </row>
    <row r="13996" spans="7:7">
      <c r="G13996" s="812"/>
    </row>
    <row r="13997" spans="7:7">
      <c r="G13997" s="812"/>
    </row>
    <row r="13998" spans="7:7">
      <c r="G13998" s="812"/>
    </row>
    <row r="13999" spans="7:7">
      <c r="G13999" s="812"/>
    </row>
    <row r="14000" spans="7:7">
      <c r="G14000" s="812"/>
    </row>
    <row r="14001" spans="7:7">
      <c r="G14001" s="812"/>
    </row>
    <row r="14002" spans="7:7">
      <c r="G14002" s="812"/>
    </row>
    <row r="14003" spans="7:7">
      <c r="G14003" s="812"/>
    </row>
    <row r="14004" spans="7:7">
      <c r="G14004" s="812"/>
    </row>
    <row r="14005" spans="7:7">
      <c r="G14005" s="812"/>
    </row>
    <row r="14006" spans="7:7">
      <c r="G14006" s="812"/>
    </row>
    <row r="14007" spans="7:7">
      <c r="G14007" s="812"/>
    </row>
    <row r="14008" spans="7:7">
      <c r="G14008" s="812"/>
    </row>
    <row r="14009" spans="7:7">
      <c r="G14009" s="812"/>
    </row>
    <row r="14010" spans="7:7">
      <c r="G14010" s="812"/>
    </row>
    <row r="14011" spans="7:7">
      <c r="G14011" s="812"/>
    </row>
    <row r="14012" spans="7:7">
      <c r="G14012" s="812"/>
    </row>
    <row r="14013" spans="7:7">
      <c r="G14013" s="812"/>
    </row>
    <row r="14014" spans="7:7">
      <c r="G14014" s="812"/>
    </row>
    <row r="14015" spans="7:7">
      <c r="G14015" s="812"/>
    </row>
    <row r="14016" spans="7:7">
      <c r="G14016" s="812"/>
    </row>
    <row r="14017" spans="7:7">
      <c r="G14017" s="812"/>
    </row>
    <row r="14018" spans="7:7">
      <c r="G14018" s="812"/>
    </row>
    <row r="14019" spans="7:7">
      <c r="G14019" s="812"/>
    </row>
    <row r="14020" spans="7:7">
      <c r="G14020" s="812"/>
    </row>
    <row r="14021" spans="7:7">
      <c r="G14021" s="812"/>
    </row>
    <row r="14022" spans="7:7">
      <c r="G14022" s="812"/>
    </row>
    <row r="14023" spans="7:7">
      <c r="G14023" s="812"/>
    </row>
    <row r="14024" spans="7:7">
      <c r="G14024" s="812"/>
    </row>
    <row r="14025" spans="7:7">
      <c r="G14025" s="812"/>
    </row>
    <row r="14026" spans="7:7">
      <c r="G14026" s="812"/>
    </row>
    <row r="14027" spans="7:7">
      <c r="G14027" s="812"/>
    </row>
    <row r="14028" spans="7:7">
      <c r="G14028" s="812"/>
    </row>
    <row r="14029" spans="7:7">
      <c r="G14029" s="812"/>
    </row>
    <row r="14030" spans="7:7">
      <c r="G14030" s="812"/>
    </row>
    <row r="14031" spans="7:7">
      <c r="G14031" s="812"/>
    </row>
    <row r="14032" spans="7:7">
      <c r="G14032" s="812"/>
    </row>
    <row r="14033" spans="7:7">
      <c r="G14033" s="812"/>
    </row>
    <row r="14034" spans="7:7">
      <c r="G14034" s="812"/>
    </row>
    <row r="14035" spans="7:7">
      <c r="G14035" s="812"/>
    </row>
    <row r="14036" spans="7:7">
      <c r="G14036" s="812"/>
    </row>
    <row r="14037" spans="7:7">
      <c r="G14037" s="812"/>
    </row>
    <row r="14038" spans="7:7">
      <c r="G14038" s="812"/>
    </row>
    <row r="14039" spans="7:7">
      <c r="G14039" s="812"/>
    </row>
    <row r="14040" spans="7:7">
      <c r="G14040" s="812"/>
    </row>
    <row r="14041" spans="7:7">
      <c r="G14041" s="812"/>
    </row>
    <row r="14042" spans="7:7">
      <c r="G14042" s="812"/>
    </row>
    <row r="14043" spans="7:7">
      <c r="G14043" s="812"/>
    </row>
    <row r="14044" spans="7:7">
      <c r="G14044" s="812"/>
    </row>
    <row r="14045" spans="7:7">
      <c r="G14045" s="812"/>
    </row>
    <row r="14046" spans="7:7">
      <c r="G14046" s="812"/>
    </row>
    <row r="14047" spans="7:7">
      <c r="G14047" s="812"/>
    </row>
    <row r="14048" spans="7:7">
      <c r="G14048" s="812"/>
    </row>
    <row r="14049" spans="7:7">
      <c r="G14049" s="812"/>
    </row>
    <row r="14050" spans="7:7">
      <c r="G14050" s="812"/>
    </row>
    <row r="14051" spans="7:7">
      <c r="G14051" s="812"/>
    </row>
    <row r="14052" spans="7:7">
      <c r="G14052" s="812"/>
    </row>
    <row r="14053" spans="7:7">
      <c r="G14053" s="812"/>
    </row>
    <row r="14054" spans="7:7">
      <c r="G14054" s="812"/>
    </row>
    <row r="14055" spans="7:7">
      <c r="G14055" s="812"/>
    </row>
    <row r="14056" spans="7:7">
      <c r="G14056" s="812"/>
    </row>
    <row r="14057" spans="7:7">
      <c r="G14057" s="812"/>
    </row>
    <row r="14058" spans="7:7">
      <c r="G14058" s="812"/>
    </row>
    <row r="14059" spans="7:7">
      <c r="G14059" s="812"/>
    </row>
    <row r="14060" spans="7:7">
      <c r="G14060" s="812"/>
    </row>
    <row r="14061" spans="7:7">
      <c r="G14061" s="812"/>
    </row>
    <row r="14062" spans="7:7">
      <c r="G14062" s="812"/>
    </row>
    <row r="14063" spans="7:7">
      <c r="G14063" s="812"/>
    </row>
    <row r="14064" spans="7:7">
      <c r="G14064" s="812"/>
    </row>
    <row r="14065" spans="7:7">
      <c r="G14065" s="812"/>
    </row>
    <row r="14066" spans="7:7">
      <c r="G14066" s="812"/>
    </row>
    <row r="14067" spans="7:7">
      <c r="G14067" s="812"/>
    </row>
    <row r="14068" spans="7:7">
      <c r="G14068" s="812"/>
    </row>
    <row r="14069" spans="7:7">
      <c r="G14069" s="812"/>
    </row>
    <row r="14070" spans="7:7">
      <c r="G14070" s="812"/>
    </row>
    <row r="14071" spans="7:7">
      <c r="G14071" s="812"/>
    </row>
    <row r="14072" spans="7:7">
      <c r="G14072" s="812"/>
    </row>
    <row r="14073" spans="7:7">
      <c r="G14073" s="812"/>
    </row>
    <row r="14074" spans="7:7">
      <c r="G14074" s="812"/>
    </row>
    <row r="14075" spans="7:7">
      <c r="G14075" s="812"/>
    </row>
    <row r="14076" spans="7:7">
      <c r="G14076" s="812"/>
    </row>
    <row r="14077" spans="7:7">
      <c r="G14077" s="812"/>
    </row>
    <row r="14078" spans="7:7">
      <c r="G14078" s="812"/>
    </row>
    <row r="14079" spans="7:7">
      <c r="G14079" s="812"/>
    </row>
    <row r="14080" spans="7:7">
      <c r="G14080" s="812"/>
    </row>
    <row r="14081" spans="7:7">
      <c r="G14081" s="812"/>
    </row>
    <row r="14082" spans="7:7">
      <c r="G14082" s="812"/>
    </row>
    <row r="14083" spans="7:7">
      <c r="G14083" s="812"/>
    </row>
    <row r="14084" spans="7:7">
      <c r="G14084" s="812"/>
    </row>
    <row r="14085" spans="7:7">
      <c r="G14085" s="812"/>
    </row>
    <row r="14086" spans="7:7">
      <c r="G14086" s="812"/>
    </row>
    <row r="14087" spans="7:7">
      <c r="G14087" s="812"/>
    </row>
    <row r="14088" spans="7:7">
      <c r="G14088" s="812"/>
    </row>
    <row r="14089" spans="7:7">
      <c r="G14089" s="812"/>
    </row>
    <row r="14090" spans="7:7">
      <c r="G14090" s="812"/>
    </row>
    <row r="14091" spans="7:7">
      <c r="G14091" s="812"/>
    </row>
    <row r="14092" spans="7:7">
      <c r="G14092" s="812"/>
    </row>
    <row r="14093" spans="7:7">
      <c r="G14093" s="812"/>
    </row>
    <row r="14094" spans="7:7">
      <c r="G14094" s="812"/>
    </row>
    <row r="14095" spans="7:7">
      <c r="G14095" s="812"/>
    </row>
    <row r="14096" spans="7:7">
      <c r="G14096" s="812"/>
    </row>
    <row r="14097" spans="7:7">
      <c r="G14097" s="812"/>
    </row>
    <row r="14098" spans="7:7">
      <c r="G14098" s="812"/>
    </row>
    <row r="14099" spans="7:7">
      <c r="G14099" s="812"/>
    </row>
    <row r="14100" spans="7:7">
      <c r="G14100" s="812"/>
    </row>
    <row r="14101" spans="7:7">
      <c r="G14101" s="812"/>
    </row>
    <row r="14102" spans="7:7">
      <c r="G14102" s="812"/>
    </row>
    <row r="14103" spans="7:7">
      <c r="G14103" s="812"/>
    </row>
    <row r="14104" spans="7:7">
      <c r="G14104" s="812"/>
    </row>
    <row r="14105" spans="7:7">
      <c r="G14105" s="812"/>
    </row>
    <row r="14106" spans="7:7">
      <c r="G14106" s="812"/>
    </row>
    <row r="14107" spans="7:7">
      <c r="G14107" s="812"/>
    </row>
    <row r="14108" spans="7:7">
      <c r="G14108" s="812"/>
    </row>
    <row r="14109" spans="7:7">
      <c r="G14109" s="812"/>
    </row>
    <row r="14110" spans="7:7">
      <c r="G14110" s="812"/>
    </row>
    <row r="14111" spans="7:7">
      <c r="G14111" s="812"/>
    </row>
    <row r="14112" spans="7:7">
      <c r="G14112" s="812"/>
    </row>
    <row r="14113" spans="7:7">
      <c r="G14113" s="812"/>
    </row>
    <row r="14114" spans="7:7">
      <c r="G14114" s="812"/>
    </row>
    <row r="14115" spans="7:7">
      <c r="G14115" s="812"/>
    </row>
    <row r="14116" spans="7:7">
      <c r="G14116" s="812"/>
    </row>
    <row r="14117" spans="7:7">
      <c r="G14117" s="812"/>
    </row>
    <row r="14118" spans="7:7">
      <c r="G14118" s="812"/>
    </row>
    <row r="14119" spans="7:7">
      <c r="G14119" s="812"/>
    </row>
    <row r="14120" spans="7:7">
      <c r="G14120" s="812"/>
    </row>
    <row r="14121" spans="7:7">
      <c r="G14121" s="812"/>
    </row>
    <row r="14122" spans="7:7">
      <c r="G14122" s="812"/>
    </row>
    <row r="14123" spans="7:7">
      <c r="G14123" s="812"/>
    </row>
    <row r="14124" spans="7:7">
      <c r="G14124" s="812"/>
    </row>
    <row r="14125" spans="7:7">
      <c r="G14125" s="812"/>
    </row>
    <row r="14126" spans="7:7">
      <c r="G14126" s="812"/>
    </row>
    <row r="14127" spans="7:7">
      <c r="G14127" s="812"/>
    </row>
    <row r="14128" spans="7:7">
      <c r="G14128" s="812"/>
    </row>
    <row r="14129" spans="7:7">
      <c r="G14129" s="812"/>
    </row>
    <row r="14130" spans="7:7">
      <c r="G14130" s="812"/>
    </row>
    <row r="14131" spans="7:7">
      <c r="G14131" s="812"/>
    </row>
    <row r="14132" spans="7:7">
      <c r="G14132" s="812"/>
    </row>
    <row r="14133" spans="7:7">
      <c r="G14133" s="812"/>
    </row>
    <row r="14134" spans="7:7">
      <c r="G14134" s="812"/>
    </row>
    <row r="14135" spans="7:7">
      <c r="G14135" s="812"/>
    </row>
    <row r="14136" spans="7:7">
      <c r="G14136" s="812"/>
    </row>
    <row r="14137" spans="7:7">
      <c r="G14137" s="812"/>
    </row>
    <row r="14138" spans="7:7">
      <c r="G14138" s="812"/>
    </row>
    <row r="14139" spans="7:7">
      <c r="G14139" s="812"/>
    </row>
    <row r="14140" spans="7:7">
      <c r="G14140" s="812"/>
    </row>
    <row r="14141" spans="7:7">
      <c r="G14141" s="812"/>
    </row>
    <row r="14142" spans="7:7">
      <c r="G14142" s="812"/>
    </row>
    <row r="14143" spans="7:7">
      <c r="G14143" s="812"/>
    </row>
    <row r="14144" spans="7:7">
      <c r="G14144" s="812"/>
    </row>
    <row r="14145" spans="7:7">
      <c r="G14145" s="812"/>
    </row>
    <row r="14146" spans="7:7">
      <c r="G14146" s="812"/>
    </row>
    <row r="14147" spans="7:7">
      <c r="G14147" s="812"/>
    </row>
    <row r="14148" spans="7:7">
      <c r="G14148" s="812"/>
    </row>
    <row r="14149" spans="7:7">
      <c r="G14149" s="812"/>
    </row>
    <row r="14150" spans="7:7">
      <c r="G14150" s="812"/>
    </row>
    <row r="14151" spans="7:7">
      <c r="G14151" s="812"/>
    </row>
    <row r="14152" spans="7:7">
      <c r="G14152" s="812"/>
    </row>
    <row r="14153" spans="7:7">
      <c r="G14153" s="812"/>
    </row>
    <row r="14154" spans="7:7">
      <c r="G14154" s="812"/>
    </row>
    <row r="14155" spans="7:7">
      <c r="G14155" s="812"/>
    </row>
    <row r="14156" spans="7:7">
      <c r="G14156" s="812"/>
    </row>
    <row r="14157" spans="7:7">
      <c r="G14157" s="812"/>
    </row>
    <row r="14158" spans="7:7">
      <c r="G14158" s="812"/>
    </row>
    <row r="14159" spans="7:7">
      <c r="G14159" s="812"/>
    </row>
    <row r="14160" spans="7:7">
      <c r="G14160" s="812"/>
    </row>
    <row r="14161" spans="7:7">
      <c r="G14161" s="812"/>
    </row>
    <row r="14162" spans="7:7">
      <c r="G14162" s="812"/>
    </row>
    <row r="14163" spans="7:7">
      <c r="G14163" s="812"/>
    </row>
    <row r="14164" spans="7:7">
      <c r="G14164" s="812"/>
    </row>
    <row r="14165" spans="7:7">
      <c r="G14165" s="812"/>
    </row>
    <row r="14166" spans="7:7">
      <c r="G14166" s="812"/>
    </row>
    <row r="14167" spans="7:7">
      <c r="G14167" s="812"/>
    </row>
    <row r="14168" spans="7:7">
      <c r="G14168" s="812"/>
    </row>
    <row r="14169" spans="7:7">
      <c r="G14169" s="812"/>
    </row>
    <row r="14170" spans="7:7">
      <c r="G14170" s="812"/>
    </row>
    <row r="14171" spans="7:7">
      <c r="G14171" s="812"/>
    </row>
    <row r="14172" spans="7:7">
      <c r="G14172" s="812"/>
    </row>
    <row r="14173" spans="7:7">
      <c r="G14173" s="812"/>
    </row>
    <row r="14174" spans="7:7">
      <c r="G14174" s="812"/>
    </row>
    <row r="14175" spans="7:7">
      <c r="G14175" s="812"/>
    </row>
    <row r="14176" spans="7:7">
      <c r="G14176" s="812"/>
    </row>
    <row r="14177" spans="7:7">
      <c r="G14177" s="812"/>
    </row>
    <row r="14178" spans="7:7">
      <c r="G14178" s="812"/>
    </row>
    <row r="14179" spans="7:7">
      <c r="G14179" s="812"/>
    </row>
    <row r="14180" spans="7:7">
      <c r="G14180" s="812"/>
    </row>
    <row r="14181" spans="7:7">
      <c r="G14181" s="812"/>
    </row>
    <row r="14182" spans="7:7">
      <c r="G14182" s="812"/>
    </row>
    <row r="14183" spans="7:7">
      <c r="G14183" s="812"/>
    </row>
    <row r="14184" spans="7:7">
      <c r="G14184" s="812"/>
    </row>
    <row r="14185" spans="7:7">
      <c r="G14185" s="812"/>
    </row>
    <row r="14186" spans="7:7">
      <c r="G14186" s="812"/>
    </row>
    <row r="14187" spans="7:7">
      <c r="G14187" s="812"/>
    </row>
    <row r="14188" spans="7:7">
      <c r="G14188" s="812"/>
    </row>
    <row r="14189" spans="7:7">
      <c r="G14189" s="812"/>
    </row>
    <row r="14190" spans="7:7">
      <c r="G14190" s="812"/>
    </row>
    <row r="14191" spans="7:7">
      <c r="G14191" s="812"/>
    </row>
    <row r="14192" spans="7:7">
      <c r="G14192" s="812"/>
    </row>
    <row r="14193" spans="7:7">
      <c r="G14193" s="812"/>
    </row>
    <row r="14194" spans="7:7">
      <c r="G14194" s="812"/>
    </row>
    <row r="14195" spans="7:7">
      <c r="G14195" s="812"/>
    </row>
    <row r="14196" spans="7:7">
      <c r="G14196" s="812"/>
    </row>
    <row r="14197" spans="7:7">
      <c r="G14197" s="812"/>
    </row>
    <row r="14198" spans="7:7">
      <c r="G14198" s="812"/>
    </row>
    <row r="14199" spans="7:7">
      <c r="G14199" s="812"/>
    </row>
    <row r="14200" spans="7:7">
      <c r="G14200" s="812"/>
    </row>
    <row r="14201" spans="7:7">
      <c r="G14201" s="812"/>
    </row>
    <row r="14202" spans="7:7">
      <c r="G14202" s="812"/>
    </row>
    <row r="14203" spans="7:7">
      <c r="G14203" s="812"/>
    </row>
    <row r="14204" spans="7:7">
      <c r="G14204" s="812"/>
    </row>
    <row r="14205" spans="7:7">
      <c r="G14205" s="812"/>
    </row>
    <row r="14206" spans="7:7">
      <c r="G14206" s="812"/>
    </row>
    <row r="14207" spans="7:7">
      <c r="G14207" s="812"/>
    </row>
    <row r="14208" spans="7:7">
      <c r="G14208" s="812"/>
    </row>
    <row r="14209" spans="7:7">
      <c r="G14209" s="812"/>
    </row>
    <row r="14210" spans="7:7">
      <c r="G14210" s="812"/>
    </row>
    <row r="14211" spans="7:7">
      <c r="G14211" s="812"/>
    </row>
    <row r="14212" spans="7:7">
      <c r="G14212" s="812"/>
    </row>
    <row r="14213" spans="7:7">
      <c r="G14213" s="812"/>
    </row>
    <row r="14214" spans="7:7">
      <c r="G14214" s="812"/>
    </row>
    <row r="14215" spans="7:7">
      <c r="G14215" s="812"/>
    </row>
    <row r="14216" spans="7:7">
      <c r="G14216" s="812"/>
    </row>
    <row r="14217" spans="7:7">
      <c r="G14217" s="812"/>
    </row>
    <row r="14218" spans="7:7">
      <c r="G14218" s="812"/>
    </row>
    <row r="14219" spans="7:7">
      <c r="G14219" s="812"/>
    </row>
    <row r="14220" spans="7:7">
      <c r="G14220" s="812"/>
    </row>
    <row r="14221" spans="7:7">
      <c r="G14221" s="812"/>
    </row>
    <row r="14222" spans="7:7">
      <c r="G14222" s="812"/>
    </row>
    <row r="14223" spans="7:7">
      <c r="G14223" s="812"/>
    </row>
    <row r="14224" spans="7:7">
      <c r="G14224" s="812"/>
    </row>
    <row r="14225" spans="7:7">
      <c r="G14225" s="812"/>
    </row>
    <row r="14226" spans="7:7">
      <c r="G14226" s="812"/>
    </row>
    <row r="14227" spans="7:7">
      <c r="G14227" s="812"/>
    </row>
    <row r="14228" spans="7:7">
      <c r="G14228" s="812"/>
    </row>
    <row r="14229" spans="7:7">
      <c r="G14229" s="812"/>
    </row>
    <row r="14230" spans="7:7">
      <c r="G14230" s="812"/>
    </row>
    <row r="14231" spans="7:7">
      <c r="G14231" s="812"/>
    </row>
    <row r="14232" spans="7:7">
      <c r="G14232" s="812"/>
    </row>
    <row r="14233" spans="7:7">
      <c r="G14233" s="812"/>
    </row>
    <row r="14234" spans="7:7">
      <c r="G14234" s="812"/>
    </row>
    <row r="14235" spans="7:7">
      <c r="G14235" s="812"/>
    </row>
    <row r="14236" spans="7:7">
      <c r="G14236" s="812"/>
    </row>
    <row r="14237" spans="7:7">
      <c r="G14237" s="812"/>
    </row>
    <row r="14238" spans="7:7">
      <c r="G14238" s="812"/>
    </row>
    <row r="14239" spans="7:7">
      <c r="G14239" s="812"/>
    </row>
    <row r="14240" spans="7:7">
      <c r="G14240" s="812"/>
    </row>
    <row r="14241" spans="7:7">
      <c r="G14241" s="812"/>
    </row>
    <row r="14242" spans="7:7">
      <c r="G14242" s="812"/>
    </row>
    <row r="14243" spans="7:7">
      <c r="G14243" s="812"/>
    </row>
    <row r="14244" spans="7:7">
      <c r="G14244" s="812"/>
    </row>
    <row r="14245" spans="7:7">
      <c r="G14245" s="812"/>
    </row>
    <row r="14246" spans="7:7">
      <c r="G14246" s="812"/>
    </row>
    <row r="14247" spans="7:7">
      <c r="G14247" s="812"/>
    </row>
    <row r="14248" spans="7:7">
      <c r="G14248" s="812"/>
    </row>
    <row r="14249" spans="7:7">
      <c r="G14249" s="812"/>
    </row>
    <row r="14250" spans="7:7">
      <c r="G14250" s="812"/>
    </row>
    <row r="14251" spans="7:7">
      <c r="G14251" s="812"/>
    </row>
    <row r="14252" spans="7:7">
      <c r="G14252" s="812"/>
    </row>
    <row r="14253" spans="7:7">
      <c r="G14253" s="812"/>
    </row>
    <row r="14254" spans="7:7">
      <c r="G14254" s="812"/>
    </row>
    <row r="14255" spans="7:7">
      <c r="G14255" s="812"/>
    </row>
    <row r="14256" spans="7:7">
      <c r="G14256" s="812"/>
    </row>
    <row r="14257" spans="7:7">
      <c r="G14257" s="812"/>
    </row>
    <row r="14258" spans="7:7">
      <c r="G14258" s="812"/>
    </row>
    <row r="14259" spans="7:7">
      <c r="G14259" s="812"/>
    </row>
    <row r="14260" spans="7:7">
      <c r="G14260" s="812"/>
    </row>
    <row r="14261" spans="7:7">
      <c r="G14261" s="812"/>
    </row>
    <row r="14262" spans="7:7">
      <c r="G14262" s="812"/>
    </row>
    <row r="14263" spans="7:7">
      <c r="G14263" s="812"/>
    </row>
    <row r="14264" spans="7:7">
      <c r="G14264" s="812"/>
    </row>
    <row r="14265" spans="7:7">
      <c r="G14265" s="812"/>
    </row>
    <row r="14266" spans="7:7">
      <c r="G14266" s="812"/>
    </row>
    <row r="14267" spans="7:7">
      <c r="G14267" s="812"/>
    </row>
    <row r="14268" spans="7:7">
      <c r="G14268" s="812"/>
    </row>
    <row r="14269" spans="7:7">
      <c r="G14269" s="812"/>
    </row>
    <row r="14270" spans="7:7">
      <c r="G14270" s="812"/>
    </row>
    <row r="14271" spans="7:7">
      <c r="G14271" s="812"/>
    </row>
    <row r="14272" spans="7:7">
      <c r="G14272" s="812"/>
    </row>
    <row r="14273" spans="7:7">
      <c r="G14273" s="812"/>
    </row>
    <row r="14274" spans="7:7">
      <c r="G14274" s="812"/>
    </row>
    <row r="14275" spans="7:7">
      <c r="G14275" s="812"/>
    </row>
    <row r="14276" spans="7:7">
      <c r="G14276" s="812"/>
    </row>
    <row r="14277" spans="7:7">
      <c r="G14277" s="812"/>
    </row>
    <row r="14278" spans="7:7">
      <c r="G14278" s="812"/>
    </row>
    <row r="14279" spans="7:7">
      <c r="G14279" s="812"/>
    </row>
    <row r="14280" spans="7:7">
      <c r="G14280" s="812"/>
    </row>
    <row r="14281" spans="7:7">
      <c r="G14281" s="812"/>
    </row>
    <row r="14282" spans="7:7">
      <c r="G14282" s="812"/>
    </row>
    <row r="14283" spans="7:7">
      <c r="G14283" s="812"/>
    </row>
    <row r="14284" spans="7:7">
      <c r="G14284" s="812"/>
    </row>
    <row r="14285" spans="7:7">
      <c r="G14285" s="812"/>
    </row>
    <row r="14286" spans="7:7">
      <c r="G14286" s="812"/>
    </row>
    <row r="14287" spans="7:7">
      <c r="G14287" s="812"/>
    </row>
    <row r="14288" spans="7:7">
      <c r="G14288" s="812"/>
    </row>
    <row r="14289" spans="7:7">
      <c r="G14289" s="812"/>
    </row>
    <row r="14290" spans="7:7">
      <c r="G14290" s="812"/>
    </row>
    <row r="14291" spans="7:7">
      <c r="G14291" s="812"/>
    </row>
    <row r="14292" spans="7:7">
      <c r="G14292" s="812"/>
    </row>
    <row r="14293" spans="7:7">
      <c r="G14293" s="812"/>
    </row>
    <row r="14294" spans="7:7">
      <c r="G14294" s="812"/>
    </row>
    <row r="14295" spans="7:7">
      <c r="G14295" s="812"/>
    </row>
    <row r="14296" spans="7:7">
      <c r="G14296" s="812"/>
    </row>
    <row r="14297" spans="7:7">
      <c r="G14297" s="812"/>
    </row>
    <row r="14298" spans="7:7">
      <c r="G14298" s="812"/>
    </row>
    <row r="14299" spans="7:7">
      <c r="G14299" s="812"/>
    </row>
    <row r="14300" spans="7:7">
      <c r="G14300" s="812"/>
    </row>
    <row r="14301" spans="7:7">
      <c r="G14301" s="812"/>
    </row>
    <row r="14302" spans="7:7">
      <c r="G14302" s="812"/>
    </row>
    <row r="14303" spans="7:7">
      <c r="G14303" s="812"/>
    </row>
    <row r="14304" spans="7:7">
      <c r="G14304" s="812"/>
    </row>
    <row r="14305" spans="7:7">
      <c r="G14305" s="812"/>
    </row>
    <row r="14306" spans="7:7">
      <c r="G14306" s="812"/>
    </row>
    <row r="14307" spans="7:7">
      <c r="G14307" s="812"/>
    </row>
    <row r="14308" spans="7:7">
      <c r="G14308" s="812"/>
    </row>
    <row r="14309" spans="7:7">
      <c r="G14309" s="812"/>
    </row>
    <row r="14310" spans="7:7">
      <c r="G14310" s="812"/>
    </row>
    <row r="14311" spans="7:7">
      <c r="G14311" s="812"/>
    </row>
    <row r="14312" spans="7:7">
      <c r="G14312" s="812"/>
    </row>
    <row r="14313" spans="7:7">
      <c r="G14313" s="812"/>
    </row>
    <row r="14314" spans="7:7">
      <c r="G14314" s="812"/>
    </row>
    <row r="14315" spans="7:7">
      <c r="G14315" s="812"/>
    </row>
    <row r="14316" spans="7:7">
      <c r="G14316" s="812"/>
    </row>
    <row r="14317" spans="7:7">
      <c r="G14317" s="812"/>
    </row>
    <row r="14318" spans="7:7">
      <c r="G14318" s="812"/>
    </row>
    <row r="14319" spans="7:7">
      <c r="G14319" s="812"/>
    </row>
    <row r="14320" spans="7:7">
      <c r="G14320" s="812"/>
    </row>
    <row r="14321" spans="7:7">
      <c r="G14321" s="812"/>
    </row>
    <row r="14322" spans="7:7">
      <c r="G14322" s="812"/>
    </row>
    <row r="14323" spans="7:7">
      <c r="G14323" s="812"/>
    </row>
    <row r="14324" spans="7:7">
      <c r="G14324" s="812"/>
    </row>
    <row r="14325" spans="7:7">
      <c r="G14325" s="812"/>
    </row>
    <row r="14326" spans="7:7">
      <c r="G14326" s="812"/>
    </row>
    <row r="14327" spans="7:7">
      <c r="G14327" s="812"/>
    </row>
    <row r="14328" spans="7:7">
      <c r="G14328" s="812"/>
    </row>
    <row r="14329" spans="7:7">
      <c r="G14329" s="812"/>
    </row>
    <row r="14330" spans="7:7">
      <c r="G14330" s="812"/>
    </row>
    <row r="14331" spans="7:7">
      <c r="G14331" s="812"/>
    </row>
    <row r="14332" spans="7:7">
      <c r="G14332" s="812"/>
    </row>
    <row r="14333" spans="7:7">
      <c r="G14333" s="812"/>
    </row>
    <row r="14334" spans="7:7">
      <c r="G14334" s="812"/>
    </row>
    <row r="14335" spans="7:7">
      <c r="G14335" s="812"/>
    </row>
    <row r="14336" spans="7:7">
      <c r="G14336" s="812"/>
    </row>
    <row r="14337" spans="7:7">
      <c r="G14337" s="812"/>
    </row>
    <row r="14338" spans="7:7">
      <c r="G14338" s="812"/>
    </row>
    <row r="14339" spans="7:7">
      <c r="G14339" s="812"/>
    </row>
    <row r="14340" spans="7:7">
      <c r="G14340" s="812"/>
    </row>
    <row r="14341" spans="7:7">
      <c r="G14341" s="812"/>
    </row>
    <row r="14342" spans="7:7">
      <c r="G14342" s="812"/>
    </row>
    <row r="14343" spans="7:7">
      <c r="G14343" s="812"/>
    </row>
    <row r="14344" spans="7:7">
      <c r="G14344" s="812"/>
    </row>
    <row r="14345" spans="7:7">
      <c r="G14345" s="812"/>
    </row>
    <row r="14346" spans="7:7">
      <c r="G14346" s="812"/>
    </row>
    <row r="14347" spans="7:7">
      <c r="G14347" s="812"/>
    </row>
    <row r="14348" spans="7:7">
      <c r="G14348" s="812"/>
    </row>
    <row r="14349" spans="7:7">
      <c r="G14349" s="812"/>
    </row>
    <row r="14350" spans="7:7">
      <c r="G14350" s="812"/>
    </row>
    <row r="14351" spans="7:7">
      <c r="G14351" s="812"/>
    </row>
    <row r="14352" spans="7:7">
      <c r="G14352" s="812"/>
    </row>
    <row r="14353" spans="7:7">
      <c r="G14353" s="812"/>
    </row>
    <row r="14354" spans="7:7">
      <c r="G14354" s="812"/>
    </row>
    <row r="14355" spans="7:7">
      <c r="G14355" s="812"/>
    </row>
    <row r="14356" spans="7:7">
      <c r="G14356" s="812"/>
    </row>
    <row r="14357" spans="7:7">
      <c r="G14357" s="812"/>
    </row>
    <row r="14358" spans="7:7">
      <c r="G14358" s="812"/>
    </row>
    <row r="14359" spans="7:7">
      <c r="G14359" s="812"/>
    </row>
    <row r="14360" spans="7:7">
      <c r="G14360" s="812"/>
    </row>
    <row r="14361" spans="7:7">
      <c r="G14361" s="812"/>
    </row>
    <row r="14362" spans="7:7">
      <c r="G14362" s="812"/>
    </row>
    <row r="14363" spans="7:7">
      <c r="G14363" s="812"/>
    </row>
    <row r="14364" spans="7:7">
      <c r="G14364" s="812"/>
    </row>
    <row r="14365" spans="7:7">
      <c r="G14365" s="812"/>
    </row>
    <row r="14366" spans="7:7">
      <c r="G14366" s="812"/>
    </row>
    <row r="14367" spans="7:7">
      <c r="G14367" s="812"/>
    </row>
    <row r="14368" spans="7:7">
      <c r="G14368" s="812"/>
    </row>
    <row r="14369" spans="7:7">
      <c r="G14369" s="812"/>
    </row>
    <row r="14370" spans="7:7">
      <c r="G14370" s="812"/>
    </row>
    <row r="14371" spans="7:7">
      <c r="G14371" s="812"/>
    </row>
    <row r="14372" spans="7:7">
      <c r="G14372" s="812"/>
    </row>
    <row r="14373" spans="7:7">
      <c r="G14373" s="812"/>
    </row>
    <row r="14374" spans="7:7">
      <c r="G14374" s="812"/>
    </row>
    <row r="14375" spans="7:7">
      <c r="G14375" s="812"/>
    </row>
    <row r="14376" spans="7:7">
      <c r="G14376" s="812"/>
    </row>
    <row r="14377" spans="7:7">
      <c r="G14377" s="812"/>
    </row>
    <row r="14378" spans="7:7">
      <c r="G14378" s="812"/>
    </row>
    <row r="14379" spans="7:7">
      <c r="G14379" s="812"/>
    </row>
    <row r="14380" spans="7:7">
      <c r="G14380" s="812"/>
    </row>
    <row r="14381" spans="7:7">
      <c r="G14381" s="812"/>
    </row>
    <row r="14382" spans="7:7">
      <c r="G14382" s="812"/>
    </row>
    <row r="14383" spans="7:7">
      <c r="G14383" s="812"/>
    </row>
    <row r="14384" spans="7:7">
      <c r="G14384" s="812"/>
    </row>
    <row r="14385" spans="7:7">
      <c r="G14385" s="812"/>
    </row>
    <row r="14386" spans="7:7">
      <c r="G14386" s="812"/>
    </row>
    <row r="14387" spans="7:7">
      <c r="G14387" s="812"/>
    </row>
    <row r="14388" spans="7:7">
      <c r="G14388" s="812"/>
    </row>
    <row r="14389" spans="7:7">
      <c r="G14389" s="812"/>
    </row>
    <row r="14390" spans="7:7">
      <c r="G14390" s="812"/>
    </row>
    <row r="14391" spans="7:7">
      <c r="G14391" s="812"/>
    </row>
    <row r="14392" spans="7:7">
      <c r="G14392" s="812"/>
    </row>
    <row r="14393" spans="7:7">
      <c r="G14393" s="812"/>
    </row>
    <row r="14394" spans="7:7">
      <c r="G14394" s="812"/>
    </row>
    <row r="14395" spans="7:7">
      <c r="G14395" s="812"/>
    </row>
    <row r="14396" spans="7:7">
      <c r="G14396" s="812"/>
    </row>
    <row r="14397" spans="7:7">
      <c r="G14397" s="812"/>
    </row>
    <row r="14398" spans="7:7">
      <c r="G14398" s="812"/>
    </row>
    <row r="14399" spans="7:7">
      <c r="G14399" s="812"/>
    </row>
    <row r="14400" spans="7:7">
      <c r="G14400" s="812"/>
    </row>
    <row r="14401" spans="7:7">
      <c r="G14401" s="812"/>
    </row>
    <row r="14402" spans="7:7">
      <c r="G14402" s="812"/>
    </row>
    <row r="14403" spans="7:7">
      <c r="G14403" s="812"/>
    </row>
    <row r="14404" spans="7:7">
      <c r="G14404" s="812"/>
    </row>
    <row r="14405" spans="7:7">
      <c r="G14405" s="812"/>
    </row>
    <row r="14406" spans="7:7">
      <c r="G14406" s="812"/>
    </row>
    <row r="14407" spans="7:7">
      <c r="G14407" s="812"/>
    </row>
    <row r="14408" spans="7:7">
      <c r="G14408" s="812"/>
    </row>
    <row r="14409" spans="7:7">
      <c r="G14409" s="812"/>
    </row>
    <row r="14410" spans="7:7">
      <c r="G14410" s="812"/>
    </row>
    <row r="14411" spans="7:7">
      <c r="G14411" s="812"/>
    </row>
    <row r="14412" spans="7:7">
      <c r="G14412" s="812"/>
    </row>
    <row r="14413" spans="7:7">
      <c r="G14413" s="812"/>
    </row>
    <row r="14414" spans="7:7">
      <c r="G14414" s="812"/>
    </row>
    <row r="14415" spans="7:7">
      <c r="G14415" s="812"/>
    </row>
    <row r="14416" spans="7:7">
      <c r="G14416" s="812"/>
    </row>
    <row r="14417" spans="7:7">
      <c r="G14417" s="812"/>
    </row>
    <row r="14418" spans="7:7">
      <c r="G14418" s="812"/>
    </row>
    <row r="14419" spans="7:7">
      <c r="G14419" s="812"/>
    </row>
    <row r="14420" spans="7:7">
      <c r="G14420" s="812"/>
    </row>
    <row r="14421" spans="7:7">
      <c r="G14421" s="812"/>
    </row>
    <row r="14422" spans="7:7">
      <c r="G14422" s="812"/>
    </row>
    <row r="14423" spans="7:7">
      <c r="G14423" s="812"/>
    </row>
    <row r="14424" spans="7:7">
      <c r="G14424" s="812"/>
    </row>
    <row r="14425" spans="7:7">
      <c r="G14425" s="812"/>
    </row>
    <row r="14426" spans="7:7">
      <c r="G14426" s="812"/>
    </row>
    <row r="14427" spans="7:7">
      <c r="G14427" s="812"/>
    </row>
    <row r="14428" spans="7:7">
      <c r="G14428" s="812"/>
    </row>
    <row r="14429" spans="7:7">
      <c r="G14429" s="812"/>
    </row>
    <row r="14430" spans="7:7">
      <c r="G14430" s="812"/>
    </row>
    <row r="14431" spans="7:7">
      <c r="G14431" s="812"/>
    </row>
    <row r="14432" spans="7:7">
      <c r="G14432" s="812"/>
    </row>
    <row r="14433" spans="7:7">
      <c r="G14433" s="812"/>
    </row>
    <row r="14434" spans="7:7">
      <c r="G14434" s="812"/>
    </row>
    <row r="14435" spans="7:7">
      <c r="G14435" s="812"/>
    </row>
    <row r="14436" spans="7:7">
      <c r="G14436" s="812"/>
    </row>
    <row r="14437" spans="7:7">
      <c r="G14437" s="812"/>
    </row>
    <row r="14438" spans="7:7">
      <c r="G14438" s="812"/>
    </row>
    <row r="14439" spans="7:7">
      <c r="G14439" s="812"/>
    </row>
    <row r="14440" spans="7:7">
      <c r="G14440" s="812"/>
    </row>
    <row r="14441" spans="7:7">
      <c r="G14441" s="812"/>
    </row>
    <row r="14442" spans="7:7">
      <c r="G14442" s="812"/>
    </row>
    <row r="14443" spans="7:7">
      <c r="G14443" s="812"/>
    </row>
    <row r="14444" spans="7:7">
      <c r="G14444" s="812"/>
    </row>
    <row r="14445" spans="7:7">
      <c r="G14445" s="812"/>
    </row>
    <row r="14446" spans="7:7">
      <c r="G14446" s="812"/>
    </row>
    <row r="14447" spans="7:7">
      <c r="G14447" s="812"/>
    </row>
    <row r="14448" spans="7:7">
      <c r="G14448" s="812"/>
    </row>
    <row r="14449" spans="7:7">
      <c r="G14449" s="812"/>
    </row>
    <row r="14450" spans="7:7">
      <c r="G14450" s="812"/>
    </row>
    <row r="14451" spans="7:7">
      <c r="G14451" s="812"/>
    </row>
    <row r="14452" spans="7:7">
      <c r="G14452" s="812"/>
    </row>
    <row r="14453" spans="7:7">
      <c r="G14453" s="812"/>
    </row>
    <row r="14454" spans="7:7">
      <c r="G14454" s="812"/>
    </row>
    <row r="14455" spans="7:7">
      <c r="G14455" s="812"/>
    </row>
    <row r="14456" spans="7:7">
      <c r="G14456" s="812"/>
    </row>
    <row r="14457" spans="7:7">
      <c r="G14457" s="812"/>
    </row>
    <row r="14458" spans="7:7">
      <c r="G14458" s="812"/>
    </row>
    <row r="14459" spans="7:7">
      <c r="G14459" s="812"/>
    </row>
    <row r="14460" spans="7:7">
      <c r="G14460" s="812"/>
    </row>
    <row r="14461" spans="7:7">
      <c r="G14461" s="812"/>
    </row>
    <row r="14462" spans="7:7">
      <c r="G14462" s="812"/>
    </row>
    <row r="14463" spans="7:7">
      <c r="G14463" s="812"/>
    </row>
    <row r="14464" spans="7:7">
      <c r="G14464" s="812"/>
    </row>
    <row r="14465" spans="7:7">
      <c r="G14465" s="812"/>
    </row>
    <row r="14466" spans="7:7">
      <c r="G14466" s="812"/>
    </row>
    <row r="14467" spans="7:7">
      <c r="G14467" s="812"/>
    </row>
    <row r="14468" spans="7:7">
      <c r="G14468" s="812"/>
    </row>
    <row r="14469" spans="7:7">
      <c r="G14469" s="812"/>
    </row>
    <row r="14470" spans="7:7">
      <c r="G14470" s="812"/>
    </row>
    <row r="14471" spans="7:7">
      <c r="G14471" s="812"/>
    </row>
    <row r="14472" spans="7:7">
      <c r="G14472" s="812"/>
    </row>
    <row r="14473" spans="7:7">
      <c r="G14473" s="812"/>
    </row>
    <row r="14474" spans="7:7">
      <c r="G14474" s="812"/>
    </row>
    <row r="14475" spans="7:7">
      <c r="G14475" s="812"/>
    </row>
    <row r="14476" spans="7:7">
      <c r="G14476" s="812"/>
    </row>
    <row r="14477" spans="7:7">
      <c r="G14477" s="812"/>
    </row>
    <row r="14478" spans="7:7">
      <c r="G14478" s="812"/>
    </row>
    <row r="14479" spans="7:7">
      <c r="G14479" s="812"/>
    </row>
    <row r="14480" spans="7:7">
      <c r="G14480" s="812"/>
    </row>
    <row r="14481" spans="7:7">
      <c r="G14481" s="812"/>
    </row>
    <row r="14482" spans="7:7">
      <c r="G14482" s="812"/>
    </row>
    <row r="14483" spans="7:7">
      <c r="G14483" s="812"/>
    </row>
    <row r="14484" spans="7:7">
      <c r="G14484" s="812"/>
    </row>
    <row r="14485" spans="7:7">
      <c r="G14485" s="812"/>
    </row>
    <row r="14486" spans="7:7">
      <c r="G14486" s="812"/>
    </row>
    <row r="14487" spans="7:7">
      <c r="G14487" s="812"/>
    </row>
    <row r="14488" spans="7:7">
      <c r="G14488" s="812"/>
    </row>
    <row r="14489" spans="7:7">
      <c r="G14489" s="812"/>
    </row>
    <row r="14490" spans="7:7">
      <c r="G14490" s="812"/>
    </row>
    <row r="14491" spans="7:7">
      <c r="G14491" s="812"/>
    </row>
    <row r="14492" spans="7:7">
      <c r="G14492" s="812"/>
    </row>
    <row r="14493" spans="7:7">
      <c r="G14493" s="812"/>
    </row>
    <row r="14494" spans="7:7">
      <c r="G14494" s="812"/>
    </row>
    <row r="14495" spans="7:7">
      <c r="G14495" s="812"/>
    </row>
    <row r="14496" spans="7:7">
      <c r="G14496" s="812"/>
    </row>
    <row r="14497" spans="7:7">
      <c r="G14497" s="812"/>
    </row>
    <row r="14498" spans="7:7">
      <c r="G14498" s="812"/>
    </row>
    <row r="14499" spans="7:7">
      <c r="G14499" s="812"/>
    </row>
    <row r="14500" spans="7:7">
      <c r="G14500" s="812"/>
    </row>
    <row r="14501" spans="7:7">
      <c r="G14501" s="812"/>
    </row>
    <row r="14502" spans="7:7">
      <c r="G14502" s="812"/>
    </row>
    <row r="14503" spans="7:7">
      <c r="G14503" s="812"/>
    </row>
    <row r="14504" spans="7:7">
      <c r="G14504" s="812"/>
    </row>
    <row r="14505" spans="7:7">
      <c r="G14505" s="812"/>
    </row>
    <row r="14506" spans="7:7">
      <c r="G14506" s="812"/>
    </row>
    <row r="14507" spans="7:7">
      <c r="G14507" s="812"/>
    </row>
    <row r="14508" spans="7:7">
      <c r="G14508" s="812"/>
    </row>
    <row r="14509" spans="7:7">
      <c r="G14509" s="812"/>
    </row>
    <row r="14510" spans="7:7">
      <c r="G14510" s="812"/>
    </row>
    <row r="14511" spans="7:7">
      <c r="G14511" s="812"/>
    </row>
    <row r="14512" spans="7:7">
      <c r="G14512" s="812"/>
    </row>
    <row r="14513" spans="7:7">
      <c r="G14513" s="812"/>
    </row>
    <row r="14514" spans="7:7">
      <c r="G14514" s="812"/>
    </row>
    <row r="14515" spans="7:7">
      <c r="G14515" s="812"/>
    </row>
    <row r="14516" spans="7:7">
      <c r="G14516" s="812"/>
    </row>
    <row r="14517" spans="7:7">
      <c r="G14517" s="812"/>
    </row>
    <row r="14518" spans="7:7">
      <c r="G14518" s="812"/>
    </row>
    <row r="14519" spans="7:7">
      <c r="G14519" s="812"/>
    </row>
    <row r="14520" spans="7:7">
      <c r="G14520" s="812"/>
    </row>
    <row r="14521" spans="7:7">
      <c r="G14521" s="812"/>
    </row>
    <row r="14522" spans="7:7">
      <c r="G14522" s="812"/>
    </row>
    <row r="14523" spans="7:7">
      <c r="G14523" s="812"/>
    </row>
    <row r="14524" spans="7:7">
      <c r="G14524" s="812"/>
    </row>
    <row r="14525" spans="7:7">
      <c r="G14525" s="812"/>
    </row>
    <row r="14526" spans="7:7">
      <c r="G14526" s="812"/>
    </row>
    <row r="14527" spans="7:7">
      <c r="G14527" s="812"/>
    </row>
    <row r="14528" spans="7:7">
      <c r="G14528" s="812"/>
    </row>
    <row r="14529" spans="7:7">
      <c r="G14529" s="812"/>
    </row>
    <row r="14530" spans="7:7">
      <c r="G14530" s="812"/>
    </row>
    <row r="14531" spans="7:7">
      <c r="G14531" s="812"/>
    </row>
    <row r="14532" spans="7:7">
      <c r="G14532" s="812"/>
    </row>
    <row r="14533" spans="7:7">
      <c r="G14533" s="812"/>
    </row>
    <row r="14534" spans="7:7">
      <c r="G14534" s="812"/>
    </row>
    <row r="14535" spans="7:7">
      <c r="G14535" s="812"/>
    </row>
    <row r="14536" spans="7:7">
      <c r="G14536" s="812"/>
    </row>
    <row r="14537" spans="7:7">
      <c r="G14537" s="812"/>
    </row>
    <row r="14538" spans="7:7">
      <c r="G14538" s="812"/>
    </row>
    <row r="14539" spans="7:7">
      <c r="G14539" s="812"/>
    </row>
    <row r="14540" spans="7:7">
      <c r="G14540" s="812"/>
    </row>
    <row r="14541" spans="7:7">
      <c r="G14541" s="812"/>
    </row>
    <row r="14542" spans="7:7">
      <c r="G14542" s="812"/>
    </row>
    <row r="14543" spans="7:7">
      <c r="G14543" s="812"/>
    </row>
    <row r="14544" spans="7:7">
      <c r="G14544" s="812"/>
    </row>
    <row r="14545" spans="7:7">
      <c r="G14545" s="812"/>
    </row>
    <row r="14546" spans="7:7">
      <c r="G14546" s="812"/>
    </row>
    <row r="14547" spans="7:7">
      <c r="G14547" s="812"/>
    </row>
    <row r="14548" spans="7:7">
      <c r="G14548" s="812"/>
    </row>
    <row r="14549" spans="7:7">
      <c r="G14549" s="812"/>
    </row>
    <row r="14550" spans="7:7">
      <c r="G14550" s="812"/>
    </row>
    <row r="14551" spans="7:7">
      <c r="G14551" s="812"/>
    </row>
    <row r="14552" spans="7:7">
      <c r="G14552" s="812"/>
    </row>
    <row r="14553" spans="7:7">
      <c r="G14553" s="812"/>
    </row>
    <row r="14554" spans="7:7">
      <c r="G14554" s="812"/>
    </row>
    <row r="14555" spans="7:7">
      <c r="G14555" s="812"/>
    </row>
    <row r="14556" spans="7:7">
      <c r="G14556" s="812"/>
    </row>
    <row r="14557" spans="7:7">
      <c r="G14557" s="812"/>
    </row>
    <row r="14558" spans="7:7">
      <c r="G14558" s="812"/>
    </row>
    <row r="14559" spans="7:7">
      <c r="G14559" s="812"/>
    </row>
    <row r="14560" spans="7:7">
      <c r="G14560" s="812"/>
    </row>
    <row r="14561" spans="7:7">
      <c r="G14561" s="812"/>
    </row>
    <row r="14562" spans="7:7">
      <c r="G14562" s="812"/>
    </row>
    <row r="14563" spans="7:7">
      <c r="G14563" s="812"/>
    </row>
    <row r="14564" spans="7:7">
      <c r="G14564" s="812"/>
    </row>
    <row r="14565" spans="7:7">
      <c r="G14565" s="812"/>
    </row>
    <row r="14566" spans="7:7">
      <c r="G14566" s="812"/>
    </row>
    <row r="14567" spans="7:7">
      <c r="G14567" s="812"/>
    </row>
    <row r="14568" spans="7:7">
      <c r="G14568" s="812"/>
    </row>
    <row r="14569" spans="7:7">
      <c r="G14569" s="812"/>
    </row>
    <row r="14570" spans="7:7">
      <c r="G14570" s="812"/>
    </row>
    <row r="14571" spans="7:7">
      <c r="G14571" s="812"/>
    </row>
    <row r="14572" spans="7:7">
      <c r="G14572" s="812"/>
    </row>
    <row r="14573" spans="7:7">
      <c r="G14573" s="812"/>
    </row>
    <row r="14574" spans="7:7">
      <c r="G14574" s="812"/>
    </row>
    <row r="14575" spans="7:7">
      <c r="G14575" s="812"/>
    </row>
    <row r="14576" spans="7:7">
      <c r="G14576" s="812"/>
    </row>
    <row r="14577" spans="7:7">
      <c r="G14577" s="812"/>
    </row>
    <row r="14578" spans="7:7">
      <c r="G14578" s="812"/>
    </row>
    <row r="14579" spans="7:7">
      <c r="G14579" s="812"/>
    </row>
    <row r="14580" spans="7:7">
      <c r="G14580" s="812"/>
    </row>
    <row r="14581" spans="7:7">
      <c r="G14581" s="812"/>
    </row>
    <row r="14582" spans="7:7">
      <c r="G14582" s="812"/>
    </row>
    <row r="14583" spans="7:7">
      <c r="G14583" s="812"/>
    </row>
    <row r="14584" spans="7:7">
      <c r="G14584" s="812"/>
    </row>
    <row r="14585" spans="7:7">
      <c r="G14585" s="812"/>
    </row>
    <row r="14586" spans="7:7">
      <c r="G14586" s="812"/>
    </row>
    <row r="14587" spans="7:7">
      <c r="G14587" s="812"/>
    </row>
    <row r="14588" spans="7:7">
      <c r="G14588" s="812"/>
    </row>
    <row r="14589" spans="7:7">
      <c r="G14589" s="812"/>
    </row>
    <row r="14590" spans="7:7">
      <c r="G14590" s="812"/>
    </row>
    <row r="14591" spans="7:7">
      <c r="G14591" s="812"/>
    </row>
    <row r="14592" spans="7:7">
      <c r="G14592" s="812"/>
    </row>
    <row r="14593" spans="7:7">
      <c r="G14593" s="812"/>
    </row>
    <row r="14594" spans="7:7">
      <c r="G14594" s="812"/>
    </row>
    <row r="14595" spans="7:7">
      <c r="G14595" s="812"/>
    </row>
    <row r="14596" spans="7:7">
      <c r="G14596" s="812"/>
    </row>
    <row r="14597" spans="7:7">
      <c r="G14597" s="812"/>
    </row>
    <row r="14598" spans="7:7">
      <c r="G14598" s="812"/>
    </row>
    <row r="14599" spans="7:7">
      <c r="G14599" s="812"/>
    </row>
    <row r="14600" spans="7:7">
      <c r="G14600" s="812"/>
    </row>
    <row r="14601" spans="7:7">
      <c r="G14601" s="812"/>
    </row>
    <row r="14602" spans="7:7">
      <c r="G14602" s="812"/>
    </row>
    <row r="14603" spans="7:7">
      <c r="G14603" s="812"/>
    </row>
    <row r="14604" spans="7:7">
      <c r="G14604" s="812"/>
    </row>
    <row r="14605" spans="7:7">
      <c r="G14605" s="812"/>
    </row>
    <row r="14606" spans="7:7">
      <c r="G14606" s="812"/>
    </row>
    <row r="14607" spans="7:7">
      <c r="G14607" s="812"/>
    </row>
    <row r="14608" spans="7:7">
      <c r="G14608" s="812"/>
    </row>
    <row r="14609" spans="7:7">
      <c r="G14609" s="812"/>
    </row>
    <row r="14610" spans="7:7">
      <c r="G14610" s="812"/>
    </row>
    <row r="14611" spans="7:7">
      <c r="G14611" s="812"/>
    </row>
    <row r="14612" spans="7:7">
      <c r="G14612" s="812"/>
    </row>
    <row r="14613" spans="7:7">
      <c r="G14613" s="812"/>
    </row>
    <row r="14614" spans="7:7">
      <c r="G14614" s="812"/>
    </row>
    <row r="14615" spans="7:7">
      <c r="G14615" s="812"/>
    </row>
    <row r="14616" spans="7:7">
      <c r="G14616" s="812"/>
    </row>
    <row r="14617" spans="7:7">
      <c r="G14617" s="812"/>
    </row>
    <row r="14618" spans="7:7">
      <c r="G14618" s="812"/>
    </row>
    <row r="14619" spans="7:7">
      <c r="G14619" s="812"/>
    </row>
    <row r="14620" spans="7:7">
      <c r="G14620" s="812"/>
    </row>
    <row r="14621" spans="7:7">
      <c r="G14621" s="812"/>
    </row>
    <row r="14622" spans="7:7">
      <c r="G14622" s="812"/>
    </row>
    <row r="14623" spans="7:7">
      <c r="G14623" s="812"/>
    </row>
    <row r="14624" spans="7:7">
      <c r="G14624" s="812"/>
    </row>
    <row r="14625" spans="7:7">
      <c r="G14625" s="812"/>
    </row>
    <row r="14626" spans="7:7">
      <c r="G14626" s="812"/>
    </row>
    <row r="14627" spans="7:7">
      <c r="G14627" s="812"/>
    </row>
    <row r="14628" spans="7:7">
      <c r="G14628" s="812"/>
    </row>
    <row r="14629" spans="7:7">
      <c r="G14629" s="812"/>
    </row>
    <row r="14630" spans="7:7">
      <c r="G14630" s="812"/>
    </row>
    <row r="14631" spans="7:7">
      <c r="G14631" s="812"/>
    </row>
    <row r="14632" spans="7:7">
      <c r="G14632" s="812"/>
    </row>
    <row r="14633" spans="7:7">
      <c r="G14633" s="812"/>
    </row>
    <row r="14634" spans="7:7">
      <c r="G14634" s="812"/>
    </row>
    <row r="14635" spans="7:7">
      <c r="G14635" s="812"/>
    </row>
    <row r="14636" spans="7:7">
      <c r="G14636" s="812"/>
    </row>
    <row r="14637" spans="7:7">
      <c r="G14637" s="812"/>
    </row>
    <row r="14638" spans="7:7">
      <c r="G14638" s="812"/>
    </row>
    <row r="14639" spans="7:7">
      <c r="G14639" s="812"/>
    </row>
    <row r="14640" spans="7:7">
      <c r="G14640" s="812"/>
    </row>
    <row r="14641" spans="7:7">
      <c r="G14641" s="812"/>
    </row>
    <row r="14642" spans="7:7">
      <c r="G14642" s="812"/>
    </row>
    <row r="14643" spans="7:7">
      <c r="G14643" s="812"/>
    </row>
    <row r="14644" spans="7:7">
      <c r="G14644" s="812"/>
    </row>
    <row r="14645" spans="7:7">
      <c r="G14645" s="812"/>
    </row>
    <row r="14646" spans="7:7">
      <c r="G14646" s="812"/>
    </row>
    <row r="14647" spans="7:7">
      <c r="G14647" s="812"/>
    </row>
    <row r="14648" spans="7:7">
      <c r="G14648" s="812"/>
    </row>
    <row r="14649" spans="7:7">
      <c r="G14649" s="812"/>
    </row>
    <row r="14650" spans="7:7">
      <c r="G14650" s="812"/>
    </row>
    <row r="14651" spans="7:7">
      <c r="G14651" s="812"/>
    </row>
    <row r="14652" spans="7:7">
      <c r="G14652" s="812"/>
    </row>
    <row r="14653" spans="7:7">
      <c r="G14653" s="812"/>
    </row>
    <row r="14654" spans="7:7">
      <c r="G14654" s="812"/>
    </row>
    <row r="14655" spans="7:7">
      <c r="G14655" s="812"/>
    </row>
    <row r="14656" spans="7:7">
      <c r="G14656" s="812"/>
    </row>
    <row r="14657" spans="7:7">
      <c r="G14657" s="812"/>
    </row>
    <row r="14658" spans="7:7">
      <c r="G14658" s="812"/>
    </row>
    <row r="14659" spans="7:7">
      <c r="G14659" s="812"/>
    </row>
    <row r="14660" spans="7:7">
      <c r="G14660" s="812"/>
    </row>
    <row r="14661" spans="7:7">
      <c r="G14661" s="812"/>
    </row>
    <row r="14662" spans="7:7">
      <c r="G14662" s="812"/>
    </row>
    <row r="14663" spans="7:7">
      <c r="G14663" s="812"/>
    </row>
    <row r="14664" spans="7:7">
      <c r="G14664" s="812"/>
    </row>
    <row r="14665" spans="7:7">
      <c r="G14665" s="812"/>
    </row>
    <row r="14666" spans="7:7">
      <c r="G14666" s="812"/>
    </row>
    <row r="14667" spans="7:7">
      <c r="G14667" s="812"/>
    </row>
    <row r="14668" spans="7:7">
      <c r="G14668" s="812"/>
    </row>
    <row r="14669" spans="7:7">
      <c r="G14669" s="812"/>
    </row>
    <row r="14670" spans="7:7">
      <c r="G14670" s="812"/>
    </row>
    <row r="14671" spans="7:7">
      <c r="G14671" s="812"/>
    </row>
    <row r="14672" spans="7:7">
      <c r="G14672" s="812"/>
    </row>
    <row r="14673" spans="7:7">
      <c r="G14673" s="812"/>
    </row>
    <row r="14674" spans="7:7">
      <c r="G14674" s="812"/>
    </row>
    <row r="14675" spans="7:7">
      <c r="G14675" s="812"/>
    </row>
    <row r="14676" spans="7:7">
      <c r="G14676" s="812"/>
    </row>
    <row r="14677" spans="7:7">
      <c r="G14677" s="812"/>
    </row>
    <row r="14678" spans="7:7">
      <c r="G14678" s="812"/>
    </row>
    <row r="14679" spans="7:7">
      <c r="G14679" s="812"/>
    </row>
    <row r="14680" spans="7:7">
      <c r="G14680" s="812"/>
    </row>
    <row r="14681" spans="7:7">
      <c r="G14681" s="812"/>
    </row>
    <row r="14682" spans="7:7">
      <c r="G14682" s="812"/>
    </row>
    <row r="14683" spans="7:7">
      <c r="G14683" s="812"/>
    </row>
    <row r="14684" spans="7:7">
      <c r="G14684" s="812"/>
    </row>
    <row r="14685" spans="7:7">
      <c r="G14685" s="812"/>
    </row>
    <row r="14686" spans="7:7">
      <c r="G14686" s="812"/>
    </row>
    <row r="14687" spans="7:7">
      <c r="G14687" s="812"/>
    </row>
    <row r="14688" spans="7:7">
      <c r="G14688" s="812"/>
    </row>
    <row r="14689" spans="7:7">
      <c r="G14689" s="812"/>
    </row>
    <row r="14690" spans="7:7">
      <c r="G14690" s="812"/>
    </row>
    <row r="14691" spans="7:7">
      <c r="G14691" s="812"/>
    </row>
    <row r="14692" spans="7:7">
      <c r="G14692" s="812"/>
    </row>
    <row r="14693" spans="7:7">
      <c r="G14693" s="812"/>
    </row>
    <row r="14694" spans="7:7">
      <c r="G14694" s="812"/>
    </row>
    <row r="14695" spans="7:7">
      <c r="G14695" s="812"/>
    </row>
    <row r="14696" spans="7:7">
      <c r="G14696" s="812"/>
    </row>
    <row r="14697" spans="7:7">
      <c r="G14697" s="812"/>
    </row>
    <row r="14698" spans="7:7">
      <c r="G14698" s="812"/>
    </row>
    <row r="14699" spans="7:7">
      <c r="G14699" s="812"/>
    </row>
    <row r="14700" spans="7:7">
      <c r="G14700" s="812"/>
    </row>
    <row r="14701" spans="7:7">
      <c r="G14701" s="812"/>
    </row>
    <row r="14702" spans="7:7">
      <c r="G14702" s="812"/>
    </row>
    <row r="14703" spans="7:7">
      <c r="G14703" s="812"/>
    </row>
    <row r="14704" spans="7:7">
      <c r="G14704" s="812"/>
    </row>
    <row r="14705" spans="7:7">
      <c r="G14705" s="812"/>
    </row>
    <row r="14706" spans="7:7">
      <c r="G14706" s="812"/>
    </row>
    <row r="14707" spans="7:7">
      <c r="G14707" s="812"/>
    </row>
    <row r="14708" spans="7:7">
      <c r="G14708" s="812"/>
    </row>
    <row r="14709" spans="7:7">
      <c r="G14709" s="812"/>
    </row>
    <row r="14710" spans="7:7">
      <c r="G14710" s="812"/>
    </row>
    <row r="14711" spans="7:7">
      <c r="G14711" s="812"/>
    </row>
    <row r="14712" spans="7:7">
      <c r="G14712" s="812"/>
    </row>
    <row r="14713" spans="7:7">
      <c r="G14713" s="812"/>
    </row>
    <row r="14714" spans="7:7">
      <c r="G14714" s="812"/>
    </row>
    <row r="14715" spans="7:7">
      <c r="G14715" s="812"/>
    </row>
    <row r="14716" spans="7:7">
      <c r="G14716" s="812"/>
    </row>
    <row r="14717" spans="7:7">
      <c r="G14717" s="812"/>
    </row>
    <row r="14718" spans="7:7">
      <c r="G14718" s="812"/>
    </row>
    <row r="14719" spans="7:7">
      <c r="G14719" s="812"/>
    </row>
    <row r="14720" spans="7:7">
      <c r="G14720" s="812"/>
    </row>
    <row r="14721" spans="7:7">
      <c r="G14721" s="812"/>
    </row>
    <row r="14722" spans="7:7">
      <c r="G14722" s="812"/>
    </row>
    <row r="14723" spans="7:7">
      <c r="G14723" s="812"/>
    </row>
    <row r="14724" spans="7:7">
      <c r="G14724" s="812"/>
    </row>
    <row r="14725" spans="7:7">
      <c r="G14725" s="812"/>
    </row>
    <row r="14726" spans="7:7">
      <c r="G14726" s="812"/>
    </row>
    <row r="14727" spans="7:7">
      <c r="G14727" s="812"/>
    </row>
    <row r="14728" spans="7:7">
      <c r="G14728" s="812"/>
    </row>
    <row r="14729" spans="7:7">
      <c r="G14729" s="812"/>
    </row>
    <row r="14730" spans="7:7">
      <c r="G14730" s="812"/>
    </row>
    <row r="14731" spans="7:7">
      <c r="G14731" s="812"/>
    </row>
    <row r="14732" spans="7:7">
      <c r="G14732" s="812"/>
    </row>
    <row r="14733" spans="7:7">
      <c r="G14733" s="812"/>
    </row>
    <row r="14734" spans="7:7">
      <c r="G14734" s="812"/>
    </row>
    <row r="14735" spans="7:7">
      <c r="G14735" s="812"/>
    </row>
    <row r="14736" spans="7:7">
      <c r="G14736" s="812"/>
    </row>
    <row r="14737" spans="7:7">
      <c r="G14737" s="812"/>
    </row>
    <row r="14738" spans="7:7">
      <c r="G14738" s="812"/>
    </row>
    <row r="14739" spans="7:7">
      <c r="G14739" s="812"/>
    </row>
    <row r="14740" spans="7:7">
      <c r="G14740" s="812"/>
    </row>
    <row r="14741" spans="7:7">
      <c r="G14741" s="812"/>
    </row>
    <row r="14742" spans="7:7">
      <c r="G14742" s="812"/>
    </row>
    <row r="14743" spans="7:7">
      <c r="G14743" s="812"/>
    </row>
    <row r="14744" spans="7:7">
      <c r="G14744" s="812"/>
    </row>
    <row r="14745" spans="7:7">
      <c r="G14745" s="812"/>
    </row>
    <row r="14746" spans="7:7">
      <c r="G14746" s="812"/>
    </row>
    <row r="14747" spans="7:7">
      <c r="G14747" s="812"/>
    </row>
    <row r="14748" spans="7:7">
      <c r="G14748" s="812"/>
    </row>
    <row r="14749" spans="7:7">
      <c r="G14749" s="812"/>
    </row>
    <row r="14750" spans="7:7">
      <c r="G14750" s="812"/>
    </row>
    <row r="14751" spans="7:7">
      <c r="G14751" s="812"/>
    </row>
    <row r="14752" spans="7:7">
      <c r="G14752" s="812"/>
    </row>
    <row r="14753" spans="7:7">
      <c r="G14753" s="812"/>
    </row>
    <row r="14754" spans="7:7">
      <c r="G14754" s="812"/>
    </row>
    <row r="14755" spans="7:7">
      <c r="G14755" s="812"/>
    </row>
    <row r="14756" spans="7:7">
      <c r="G14756" s="812"/>
    </row>
    <row r="14757" spans="7:7">
      <c r="G14757" s="812"/>
    </row>
    <row r="14758" spans="7:7">
      <c r="G14758" s="812"/>
    </row>
    <row r="14759" spans="7:7">
      <c r="G14759" s="812"/>
    </row>
    <row r="14760" spans="7:7">
      <c r="G14760" s="812"/>
    </row>
    <row r="14761" spans="7:7">
      <c r="G14761" s="812"/>
    </row>
    <row r="14762" spans="7:7">
      <c r="G14762" s="812"/>
    </row>
    <row r="14763" spans="7:7">
      <c r="G14763" s="812"/>
    </row>
    <row r="14764" spans="7:7">
      <c r="G14764" s="812"/>
    </row>
    <row r="14765" spans="7:7">
      <c r="G14765" s="812"/>
    </row>
    <row r="14766" spans="7:7">
      <c r="G14766" s="812"/>
    </row>
    <row r="14767" spans="7:7">
      <c r="G14767" s="812"/>
    </row>
    <row r="14768" spans="7:7">
      <c r="G14768" s="812"/>
    </row>
    <row r="14769" spans="7:7">
      <c r="G14769" s="812"/>
    </row>
    <row r="14770" spans="7:7">
      <c r="G14770" s="812"/>
    </row>
    <row r="14771" spans="7:7">
      <c r="G14771" s="812"/>
    </row>
    <row r="14772" spans="7:7">
      <c r="G14772" s="812"/>
    </row>
    <row r="14773" spans="7:7">
      <c r="G14773" s="812"/>
    </row>
    <row r="14774" spans="7:7">
      <c r="G14774" s="812"/>
    </row>
    <row r="14775" spans="7:7">
      <c r="G14775" s="812"/>
    </row>
    <row r="14776" spans="7:7">
      <c r="G14776" s="812"/>
    </row>
    <row r="14777" spans="7:7">
      <c r="G14777" s="812"/>
    </row>
    <row r="14778" spans="7:7">
      <c r="G14778" s="812"/>
    </row>
    <row r="14779" spans="7:7">
      <c r="G14779" s="812"/>
    </row>
    <row r="14780" spans="7:7">
      <c r="G14780" s="812"/>
    </row>
    <row r="14781" spans="7:7">
      <c r="G14781" s="812"/>
    </row>
    <row r="14782" spans="7:7">
      <c r="G14782" s="812"/>
    </row>
    <row r="14783" spans="7:7">
      <c r="G14783" s="812"/>
    </row>
    <row r="14784" spans="7:7">
      <c r="G14784" s="812"/>
    </row>
    <row r="14785" spans="7:7">
      <c r="G14785" s="812"/>
    </row>
    <row r="14786" spans="7:7">
      <c r="G14786" s="812"/>
    </row>
    <row r="14787" spans="7:7">
      <c r="G14787" s="812"/>
    </row>
    <row r="14788" spans="7:7">
      <c r="G14788" s="812"/>
    </row>
    <row r="14789" spans="7:7">
      <c r="G14789" s="812"/>
    </row>
    <row r="14790" spans="7:7">
      <c r="G14790" s="812"/>
    </row>
    <row r="14791" spans="7:7">
      <c r="G14791" s="812"/>
    </row>
    <row r="14792" spans="7:7">
      <c r="G14792" s="812"/>
    </row>
    <row r="14793" spans="7:7">
      <c r="G14793" s="812"/>
    </row>
    <row r="14794" spans="7:7">
      <c r="G14794" s="812"/>
    </row>
    <row r="14795" spans="7:7">
      <c r="G14795" s="812"/>
    </row>
    <row r="14796" spans="7:7">
      <c r="G14796" s="812"/>
    </row>
    <row r="14797" spans="7:7">
      <c r="G14797" s="812"/>
    </row>
    <row r="14798" spans="7:7">
      <c r="G14798" s="812"/>
    </row>
    <row r="14799" spans="7:7">
      <c r="G14799" s="812"/>
    </row>
    <row r="14800" spans="7:7">
      <c r="G14800" s="812"/>
    </row>
    <row r="14801" spans="7:7">
      <c r="G14801" s="812"/>
    </row>
    <row r="14802" spans="7:7">
      <c r="G14802" s="812"/>
    </row>
    <row r="14803" spans="7:7">
      <c r="G14803" s="812"/>
    </row>
    <row r="14804" spans="7:7">
      <c r="G14804" s="812"/>
    </row>
    <row r="14805" spans="7:7">
      <c r="G14805" s="812"/>
    </row>
    <row r="14806" spans="7:7">
      <c r="G14806" s="812"/>
    </row>
    <row r="14807" spans="7:7">
      <c r="G14807" s="812"/>
    </row>
    <row r="14808" spans="7:7">
      <c r="G14808" s="812"/>
    </row>
    <row r="14809" spans="7:7">
      <c r="G14809" s="812"/>
    </row>
    <row r="14810" spans="7:7">
      <c r="G14810" s="812"/>
    </row>
    <row r="14811" spans="7:7">
      <c r="G14811" s="812"/>
    </row>
    <row r="14812" spans="7:7">
      <c r="G14812" s="812"/>
    </row>
    <row r="14813" spans="7:7">
      <c r="G14813" s="812"/>
    </row>
    <row r="14814" spans="7:7">
      <c r="G14814" s="812"/>
    </row>
    <row r="14815" spans="7:7">
      <c r="G14815" s="812"/>
    </row>
    <row r="14816" spans="7:7">
      <c r="G14816" s="812"/>
    </row>
    <row r="14817" spans="7:7">
      <c r="G14817" s="812"/>
    </row>
    <row r="14818" spans="7:7">
      <c r="G14818" s="812"/>
    </row>
    <row r="14819" spans="7:7">
      <c r="G14819" s="812"/>
    </row>
    <row r="14820" spans="7:7">
      <c r="G14820" s="812"/>
    </row>
    <row r="14821" spans="7:7">
      <c r="G14821" s="812"/>
    </row>
    <row r="14822" spans="7:7">
      <c r="G14822" s="812"/>
    </row>
    <row r="14823" spans="7:7">
      <c r="G14823" s="812"/>
    </row>
    <row r="14824" spans="7:7">
      <c r="G14824" s="812"/>
    </row>
    <row r="14825" spans="7:7">
      <c r="G14825" s="812"/>
    </row>
    <row r="14826" spans="7:7">
      <c r="G14826" s="812"/>
    </row>
    <row r="14827" spans="7:7">
      <c r="G14827" s="812"/>
    </row>
    <row r="14828" spans="7:7">
      <c r="G14828" s="812"/>
    </row>
    <row r="14829" spans="7:7">
      <c r="G14829" s="812"/>
    </row>
    <row r="14830" spans="7:7">
      <c r="G14830" s="812"/>
    </row>
    <row r="14831" spans="7:7">
      <c r="G14831" s="812"/>
    </row>
    <row r="14832" spans="7:7">
      <c r="G14832" s="812"/>
    </row>
    <row r="14833" spans="7:7">
      <c r="G14833" s="812"/>
    </row>
    <row r="14834" spans="7:7">
      <c r="G14834" s="812"/>
    </row>
    <row r="14835" spans="7:7">
      <c r="G14835" s="812"/>
    </row>
    <row r="14836" spans="7:7">
      <c r="G14836" s="812"/>
    </row>
    <row r="14837" spans="7:7">
      <c r="G14837" s="812"/>
    </row>
    <row r="14838" spans="7:7">
      <c r="G14838" s="812"/>
    </row>
    <row r="14839" spans="7:7">
      <c r="G14839" s="812"/>
    </row>
    <row r="14840" spans="7:7">
      <c r="G14840" s="812"/>
    </row>
    <row r="14841" spans="7:7">
      <c r="G14841" s="812"/>
    </row>
    <row r="14842" spans="7:7">
      <c r="G14842" s="812"/>
    </row>
    <row r="14843" spans="7:7">
      <c r="G14843" s="812"/>
    </row>
    <row r="14844" spans="7:7">
      <c r="G14844" s="812"/>
    </row>
    <row r="14845" spans="7:7">
      <c r="G14845" s="812"/>
    </row>
    <row r="14846" spans="7:7">
      <c r="G14846" s="812"/>
    </row>
    <row r="14847" spans="7:7">
      <c r="G14847" s="812"/>
    </row>
    <row r="14848" spans="7:7">
      <c r="G14848" s="812"/>
    </row>
    <row r="14849" spans="7:7">
      <c r="G14849" s="812"/>
    </row>
    <row r="14850" spans="7:7">
      <c r="G14850" s="812"/>
    </row>
    <row r="14851" spans="7:7">
      <c r="G14851" s="812"/>
    </row>
    <row r="14852" spans="7:7">
      <c r="G14852" s="812"/>
    </row>
    <row r="14853" spans="7:7">
      <c r="G14853" s="812"/>
    </row>
    <row r="14854" spans="7:7">
      <c r="G14854" s="812"/>
    </row>
    <row r="14855" spans="7:7">
      <c r="G14855" s="812"/>
    </row>
    <row r="14856" spans="7:7">
      <c r="G14856" s="812"/>
    </row>
    <row r="14857" spans="7:7">
      <c r="G14857" s="812"/>
    </row>
    <row r="14858" spans="7:7">
      <c r="G14858" s="812"/>
    </row>
    <row r="14859" spans="7:7">
      <c r="G14859" s="812"/>
    </row>
    <row r="14860" spans="7:7">
      <c r="G14860" s="812"/>
    </row>
    <row r="14861" spans="7:7">
      <c r="G14861" s="812"/>
    </row>
    <row r="14862" spans="7:7">
      <c r="G14862" s="812"/>
    </row>
    <row r="14863" spans="7:7">
      <c r="G14863" s="812"/>
    </row>
    <row r="14864" spans="7:7">
      <c r="G14864" s="812"/>
    </row>
    <row r="14865" spans="7:7">
      <c r="G14865" s="812"/>
    </row>
    <row r="14866" spans="7:7">
      <c r="G14866" s="812"/>
    </row>
    <row r="14867" spans="7:7">
      <c r="G14867" s="812"/>
    </row>
    <row r="14868" spans="7:7">
      <c r="G14868" s="812"/>
    </row>
    <row r="14869" spans="7:7">
      <c r="G14869" s="812"/>
    </row>
    <row r="14870" spans="7:7">
      <c r="G14870" s="812"/>
    </row>
    <row r="14871" spans="7:7">
      <c r="G14871" s="812"/>
    </row>
    <row r="14872" spans="7:7">
      <c r="G14872" s="812"/>
    </row>
    <row r="14873" spans="7:7">
      <c r="G14873" s="812"/>
    </row>
    <row r="14874" spans="7:7">
      <c r="G14874" s="812"/>
    </row>
    <row r="14875" spans="7:7">
      <c r="G14875" s="812"/>
    </row>
    <row r="14876" spans="7:7">
      <c r="G14876" s="812"/>
    </row>
    <row r="14877" spans="7:7">
      <c r="G14877" s="812"/>
    </row>
    <row r="14878" spans="7:7">
      <c r="G14878" s="812"/>
    </row>
    <row r="14879" spans="7:7">
      <c r="G14879" s="812"/>
    </row>
    <row r="14880" spans="7:7">
      <c r="G14880" s="812"/>
    </row>
    <row r="14881" spans="7:7">
      <c r="G14881" s="812"/>
    </row>
    <row r="14882" spans="7:7">
      <c r="G14882" s="812"/>
    </row>
    <row r="14883" spans="7:7">
      <c r="G14883" s="812"/>
    </row>
    <row r="14884" spans="7:7">
      <c r="G14884" s="812"/>
    </row>
    <row r="14885" spans="7:7">
      <c r="G14885" s="812"/>
    </row>
    <row r="14886" spans="7:7">
      <c r="G14886" s="812"/>
    </row>
    <row r="14887" spans="7:7">
      <c r="G14887" s="812"/>
    </row>
    <row r="14888" spans="7:7">
      <c r="G14888" s="812"/>
    </row>
    <row r="14889" spans="7:7">
      <c r="G14889" s="812"/>
    </row>
    <row r="14890" spans="7:7">
      <c r="G14890" s="812"/>
    </row>
    <row r="14891" spans="7:7">
      <c r="G14891" s="812"/>
    </row>
    <row r="14892" spans="7:7">
      <c r="G14892" s="812"/>
    </row>
    <row r="14893" spans="7:7">
      <c r="G14893" s="812"/>
    </row>
    <row r="14894" spans="7:7">
      <c r="G14894" s="812"/>
    </row>
    <row r="14895" spans="7:7">
      <c r="G14895" s="812"/>
    </row>
    <row r="14896" spans="7:7">
      <c r="G14896" s="812"/>
    </row>
    <row r="14897" spans="7:7">
      <c r="G14897" s="812"/>
    </row>
    <row r="14898" spans="7:7">
      <c r="G14898" s="812"/>
    </row>
    <row r="14899" spans="7:7">
      <c r="G14899" s="812"/>
    </row>
    <row r="14900" spans="7:7">
      <c r="G14900" s="812"/>
    </row>
    <row r="14901" spans="7:7">
      <c r="G14901" s="812"/>
    </row>
    <row r="14902" spans="7:7">
      <c r="G14902" s="812"/>
    </row>
    <row r="14903" spans="7:7">
      <c r="G14903" s="812"/>
    </row>
    <row r="14904" spans="7:7">
      <c r="G14904" s="812"/>
    </row>
    <row r="14905" spans="7:7">
      <c r="G14905" s="812"/>
    </row>
    <row r="14906" spans="7:7">
      <c r="G14906" s="812"/>
    </row>
    <row r="14907" spans="7:7">
      <c r="G14907" s="812"/>
    </row>
    <row r="14908" spans="7:7">
      <c r="G14908" s="812"/>
    </row>
    <row r="14909" spans="7:7">
      <c r="G14909" s="812"/>
    </row>
    <row r="14910" spans="7:7">
      <c r="G14910" s="812"/>
    </row>
    <row r="14911" spans="7:7">
      <c r="G14911" s="812"/>
    </row>
    <row r="14912" spans="7:7">
      <c r="G14912" s="812"/>
    </row>
    <row r="14913" spans="7:7">
      <c r="G14913" s="812"/>
    </row>
    <row r="14914" spans="7:7">
      <c r="G14914" s="812"/>
    </row>
    <row r="14915" spans="7:7">
      <c r="G14915" s="812"/>
    </row>
    <row r="14916" spans="7:7">
      <c r="G14916" s="812"/>
    </row>
    <row r="14917" spans="7:7">
      <c r="G14917" s="812"/>
    </row>
    <row r="14918" spans="7:7">
      <c r="G14918" s="812"/>
    </row>
    <row r="14919" spans="7:7">
      <c r="G14919" s="812"/>
    </row>
    <row r="14920" spans="7:7">
      <c r="G14920" s="812"/>
    </row>
    <row r="14921" spans="7:7">
      <c r="G14921" s="812"/>
    </row>
    <row r="14922" spans="7:7">
      <c r="G14922" s="812"/>
    </row>
    <row r="14923" spans="7:7">
      <c r="G14923" s="812"/>
    </row>
    <row r="14924" spans="7:7">
      <c r="G14924" s="812"/>
    </row>
    <row r="14925" spans="7:7">
      <c r="G14925" s="812"/>
    </row>
    <row r="14926" spans="7:7">
      <c r="G14926" s="812"/>
    </row>
    <row r="14927" spans="7:7">
      <c r="G14927" s="812"/>
    </row>
    <row r="14928" spans="7:7">
      <c r="G14928" s="812"/>
    </row>
    <row r="14929" spans="7:7">
      <c r="G14929" s="812"/>
    </row>
    <row r="14930" spans="7:7">
      <c r="G14930" s="812"/>
    </row>
    <row r="14931" spans="7:7">
      <c r="G14931" s="812"/>
    </row>
    <row r="14932" spans="7:7">
      <c r="G14932" s="812"/>
    </row>
    <row r="14933" spans="7:7">
      <c r="G14933" s="812"/>
    </row>
    <row r="14934" spans="7:7">
      <c r="G14934" s="812"/>
    </row>
    <row r="14935" spans="7:7">
      <c r="G14935" s="812"/>
    </row>
    <row r="14936" spans="7:7">
      <c r="G14936" s="812"/>
    </row>
    <row r="14937" spans="7:7">
      <c r="G14937" s="812"/>
    </row>
    <row r="14938" spans="7:7">
      <c r="G14938" s="812"/>
    </row>
    <row r="14939" spans="7:7">
      <c r="G14939" s="812"/>
    </row>
    <row r="14940" spans="7:7">
      <c r="G14940" s="812"/>
    </row>
    <row r="14941" spans="7:7">
      <c r="G14941" s="812"/>
    </row>
    <row r="14942" spans="7:7">
      <c r="G14942" s="812"/>
    </row>
    <row r="14943" spans="7:7">
      <c r="G14943" s="812"/>
    </row>
    <row r="14944" spans="7:7">
      <c r="G14944" s="812"/>
    </row>
    <row r="14945" spans="7:7">
      <c r="G14945" s="812"/>
    </row>
    <row r="14946" spans="7:7">
      <c r="G14946" s="812"/>
    </row>
    <row r="14947" spans="7:7">
      <c r="G14947" s="812"/>
    </row>
    <row r="14948" spans="7:7">
      <c r="G14948" s="812"/>
    </row>
    <row r="14949" spans="7:7">
      <c r="G14949" s="812"/>
    </row>
    <row r="14950" spans="7:7">
      <c r="G14950" s="812"/>
    </row>
    <row r="14951" spans="7:7">
      <c r="G14951" s="812"/>
    </row>
    <row r="14952" spans="7:7">
      <c r="G14952" s="812"/>
    </row>
    <row r="14953" spans="7:7">
      <c r="G14953" s="812"/>
    </row>
    <row r="14954" spans="7:7">
      <c r="G14954" s="812"/>
    </row>
    <row r="14955" spans="7:7">
      <c r="G14955" s="812"/>
    </row>
    <row r="14956" spans="7:7">
      <c r="G14956" s="812"/>
    </row>
    <row r="14957" spans="7:7">
      <c r="G14957" s="812"/>
    </row>
    <row r="14958" spans="7:7">
      <c r="G14958" s="812"/>
    </row>
    <row r="14959" spans="7:7">
      <c r="G14959" s="812"/>
    </row>
    <row r="14960" spans="7:7">
      <c r="G14960" s="812"/>
    </row>
    <row r="14961" spans="7:7">
      <c r="G14961" s="812"/>
    </row>
    <row r="14962" spans="7:7">
      <c r="G14962" s="812"/>
    </row>
    <row r="14963" spans="7:7">
      <c r="G14963" s="812"/>
    </row>
    <row r="14964" spans="7:7">
      <c r="G14964" s="812"/>
    </row>
    <row r="14965" spans="7:7">
      <c r="G14965" s="812"/>
    </row>
    <row r="14966" spans="7:7">
      <c r="G14966" s="812"/>
    </row>
    <row r="14967" spans="7:7">
      <c r="G14967" s="812"/>
    </row>
    <row r="14968" spans="7:7">
      <c r="G14968" s="812"/>
    </row>
    <row r="14969" spans="7:7">
      <c r="G14969" s="812"/>
    </row>
    <row r="14970" spans="7:7">
      <c r="G14970" s="812"/>
    </row>
    <row r="14971" spans="7:7">
      <c r="G14971" s="812"/>
    </row>
    <row r="14972" spans="7:7">
      <c r="G14972" s="812"/>
    </row>
    <row r="14973" spans="7:7">
      <c r="G14973" s="812"/>
    </row>
    <row r="14974" spans="7:7">
      <c r="G14974" s="812"/>
    </row>
    <row r="14975" spans="7:7">
      <c r="G14975" s="812"/>
    </row>
    <row r="14976" spans="7:7">
      <c r="G14976" s="812"/>
    </row>
    <row r="14977" spans="7:7">
      <c r="G14977" s="812"/>
    </row>
    <row r="14978" spans="7:7">
      <c r="G14978" s="812"/>
    </row>
    <row r="14979" spans="7:7">
      <c r="G14979" s="812"/>
    </row>
    <row r="14980" spans="7:7">
      <c r="G14980" s="812"/>
    </row>
    <row r="14981" spans="7:7">
      <c r="G14981" s="812"/>
    </row>
    <row r="14982" spans="7:7">
      <c r="G14982" s="812"/>
    </row>
    <row r="14983" spans="7:7">
      <c r="G14983" s="812"/>
    </row>
    <row r="14984" spans="7:7">
      <c r="G14984" s="812"/>
    </row>
    <row r="14985" spans="7:7">
      <c r="G14985" s="812"/>
    </row>
    <row r="14986" spans="7:7">
      <c r="G14986" s="812"/>
    </row>
    <row r="14987" spans="7:7">
      <c r="G14987" s="812"/>
    </row>
    <row r="14988" spans="7:7">
      <c r="G14988" s="812"/>
    </row>
    <row r="14989" spans="7:7">
      <c r="G14989" s="812"/>
    </row>
    <row r="14990" spans="7:7">
      <c r="G14990" s="812"/>
    </row>
    <row r="14991" spans="7:7">
      <c r="G14991" s="812"/>
    </row>
    <row r="14992" spans="7:7">
      <c r="G14992" s="812"/>
    </row>
    <row r="14993" spans="7:7">
      <c r="G14993" s="812"/>
    </row>
    <row r="14994" spans="7:7">
      <c r="G14994" s="812"/>
    </row>
    <row r="14995" spans="7:7">
      <c r="G14995" s="812"/>
    </row>
    <row r="14996" spans="7:7">
      <c r="G14996" s="812"/>
    </row>
    <row r="14997" spans="7:7">
      <c r="G14997" s="812"/>
    </row>
    <row r="14998" spans="7:7">
      <c r="G14998" s="812"/>
    </row>
    <row r="14999" spans="7:7">
      <c r="G14999" s="812"/>
    </row>
    <row r="15000" spans="7:7">
      <c r="G15000" s="812"/>
    </row>
    <row r="15001" spans="7:7">
      <c r="G15001" s="812"/>
    </row>
    <row r="15002" spans="7:7">
      <c r="G15002" s="812"/>
    </row>
    <row r="15003" spans="7:7">
      <c r="G15003" s="812"/>
    </row>
    <row r="15004" spans="7:7">
      <c r="G15004" s="812"/>
    </row>
    <row r="15005" spans="7:7">
      <c r="G15005" s="812"/>
    </row>
    <row r="15006" spans="7:7">
      <c r="G15006" s="812"/>
    </row>
    <row r="15007" spans="7:7">
      <c r="G15007" s="812"/>
    </row>
    <row r="15008" spans="7:7">
      <c r="G15008" s="812"/>
    </row>
    <row r="15009" spans="7:7">
      <c r="G15009" s="812"/>
    </row>
    <row r="15010" spans="7:7">
      <c r="G15010" s="812"/>
    </row>
    <row r="15011" spans="7:7">
      <c r="G15011" s="812"/>
    </row>
    <row r="15012" spans="7:7">
      <c r="G15012" s="812"/>
    </row>
    <row r="15013" spans="7:7">
      <c r="G15013" s="812"/>
    </row>
    <row r="15014" spans="7:7">
      <c r="G15014" s="812"/>
    </row>
    <row r="15015" spans="7:7">
      <c r="G15015" s="812"/>
    </row>
    <row r="15016" spans="7:7">
      <c r="G15016" s="812"/>
    </row>
    <row r="15017" spans="7:7">
      <c r="G15017" s="812"/>
    </row>
    <row r="15018" spans="7:7">
      <c r="G15018" s="812"/>
    </row>
    <row r="15019" spans="7:7">
      <c r="G15019" s="812"/>
    </row>
    <row r="15020" spans="7:7">
      <c r="G15020" s="812"/>
    </row>
    <row r="15021" spans="7:7">
      <c r="G15021" s="812"/>
    </row>
    <row r="15022" spans="7:7">
      <c r="G15022" s="812"/>
    </row>
    <row r="15023" spans="7:7">
      <c r="G15023" s="812"/>
    </row>
    <row r="15024" spans="7:7">
      <c r="G15024" s="812"/>
    </row>
    <row r="15025" spans="7:7">
      <c r="G15025" s="812"/>
    </row>
    <row r="15026" spans="7:7">
      <c r="G15026" s="812"/>
    </row>
    <row r="15027" spans="7:7">
      <c r="G15027" s="812"/>
    </row>
    <row r="15028" spans="7:7">
      <c r="G15028" s="812"/>
    </row>
    <row r="15029" spans="7:7">
      <c r="G15029" s="812"/>
    </row>
    <row r="15030" spans="7:7">
      <c r="G15030" s="812"/>
    </row>
    <row r="15031" spans="7:7">
      <c r="G15031" s="812"/>
    </row>
    <row r="15032" spans="7:7">
      <c r="G15032" s="812"/>
    </row>
    <row r="15033" spans="7:7">
      <c r="G15033" s="812"/>
    </row>
    <row r="15034" spans="7:7">
      <c r="G15034" s="812"/>
    </row>
    <row r="15035" spans="7:7">
      <c r="G15035" s="812"/>
    </row>
    <row r="15036" spans="7:7">
      <c r="G15036" s="812"/>
    </row>
    <row r="15037" spans="7:7">
      <c r="G15037" s="812"/>
    </row>
    <row r="15038" spans="7:7">
      <c r="G15038" s="812"/>
    </row>
    <row r="15039" spans="7:7">
      <c r="G15039" s="812"/>
    </row>
    <row r="15040" spans="7:7">
      <c r="G15040" s="812"/>
    </row>
    <row r="15041" spans="7:7">
      <c r="G15041" s="812"/>
    </row>
    <row r="15042" spans="7:7">
      <c r="G15042" s="812"/>
    </row>
    <row r="15043" spans="7:7">
      <c r="G15043" s="812"/>
    </row>
    <row r="15044" spans="7:7">
      <c r="G15044" s="812"/>
    </row>
    <row r="15045" spans="7:7">
      <c r="G15045" s="812"/>
    </row>
    <row r="15046" spans="7:7">
      <c r="G15046" s="812"/>
    </row>
    <row r="15047" spans="7:7">
      <c r="G15047" s="812"/>
    </row>
    <row r="15048" spans="7:7">
      <c r="G15048" s="812"/>
    </row>
    <row r="15049" spans="7:7">
      <c r="G15049" s="812"/>
    </row>
    <row r="15050" spans="7:7">
      <c r="G15050" s="812"/>
    </row>
    <row r="15051" spans="7:7">
      <c r="G15051" s="812"/>
    </row>
    <row r="15052" spans="7:7">
      <c r="G15052" s="812"/>
    </row>
    <row r="15053" spans="7:7">
      <c r="G15053" s="812"/>
    </row>
    <row r="15054" spans="7:7">
      <c r="G15054" s="812"/>
    </row>
    <row r="15055" spans="7:7">
      <c r="G15055" s="812"/>
    </row>
    <row r="15056" spans="7:7">
      <c r="G15056" s="812"/>
    </row>
    <row r="15057" spans="7:7">
      <c r="G15057" s="812"/>
    </row>
    <row r="15058" spans="7:7">
      <c r="G15058" s="812"/>
    </row>
    <row r="15059" spans="7:7">
      <c r="G15059" s="812"/>
    </row>
    <row r="15060" spans="7:7">
      <c r="G15060" s="812"/>
    </row>
    <row r="15061" spans="7:7">
      <c r="G15061" s="812"/>
    </row>
    <row r="15062" spans="7:7">
      <c r="G15062" s="812"/>
    </row>
    <row r="15063" spans="7:7">
      <c r="G15063" s="812"/>
    </row>
    <row r="15064" spans="7:7">
      <c r="G15064" s="812"/>
    </row>
    <row r="15065" spans="7:7">
      <c r="G15065" s="812"/>
    </row>
    <row r="15066" spans="7:7">
      <c r="G15066" s="812"/>
    </row>
    <row r="15067" spans="7:7">
      <c r="G15067" s="812"/>
    </row>
    <row r="15068" spans="7:7">
      <c r="G15068" s="812"/>
    </row>
    <row r="15069" spans="7:7">
      <c r="G15069" s="812"/>
    </row>
    <row r="15070" spans="7:7">
      <c r="G15070" s="812"/>
    </row>
    <row r="15071" spans="7:7">
      <c r="G15071" s="812"/>
    </row>
    <row r="15072" spans="7:7">
      <c r="G15072" s="812"/>
    </row>
    <row r="15073" spans="7:7">
      <c r="G15073" s="812"/>
    </row>
    <row r="15074" spans="7:7">
      <c r="G15074" s="812"/>
    </row>
    <row r="15075" spans="7:7">
      <c r="G15075" s="812"/>
    </row>
    <row r="15076" spans="7:7">
      <c r="G15076" s="812"/>
    </row>
    <row r="15077" spans="7:7">
      <c r="G15077" s="812"/>
    </row>
    <row r="15078" spans="7:7">
      <c r="G15078" s="812"/>
    </row>
    <row r="15079" spans="7:7">
      <c r="G15079" s="812"/>
    </row>
    <row r="15080" spans="7:7">
      <c r="G15080" s="812"/>
    </row>
    <row r="15081" spans="7:7">
      <c r="G15081" s="812"/>
    </row>
    <row r="15082" spans="7:7">
      <c r="G15082" s="812"/>
    </row>
    <row r="15083" spans="7:7">
      <c r="G15083" s="812"/>
    </row>
    <row r="15084" spans="7:7">
      <c r="G15084" s="812"/>
    </row>
    <row r="15085" spans="7:7">
      <c r="G15085" s="812"/>
    </row>
    <row r="15086" spans="7:7">
      <c r="G15086" s="812"/>
    </row>
    <row r="15087" spans="7:7">
      <c r="G15087" s="812"/>
    </row>
    <row r="15088" spans="7:7">
      <c r="G15088" s="812"/>
    </row>
    <row r="15089" spans="7:7">
      <c r="G15089" s="812"/>
    </row>
    <row r="15090" spans="7:7">
      <c r="G15090" s="812"/>
    </row>
    <row r="15091" spans="7:7">
      <c r="G15091" s="812"/>
    </row>
    <row r="15092" spans="7:7">
      <c r="G15092" s="812"/>
    </row>
    <row r="15093" spans="7:7">
      <c r="G15093" s="812"/>
    </row>
    <row r="15094" spans="7:7">
      <c r="G15094" s="812"/>
    </row>
    <row r="15095" spans="7:7">
      <c r="G15095" s="812"/>
    </row>
    <row r="15096" spans="7:7">
      <c r="G15096" s="812"/>
    </row>
    <row r="15097" spans="7:7">
      <c r="G15097" s="812"/>
    </row>
    <row r="15098" spans="7:7">
      <c r="G15098" s="812"/>
    </row>
    <row r="15099" spans="7:7">
      <c r="G15099" s="812"/>
    </row>
    <row r="15100" spans="7:7">
      <c r="G15100" s="812"/>
    </row>
    <row r="15101" spans="7:7">
      <c r="G15101" s="812"/>
    </row>
    <row r="15102" spans="7:7">
      <c r="G15102" s="812"/>
    </row>
    <row r="15103" spans="7:7">
      <c r="G15103" s="812"/>
    </row>
    <row r="15104" spans="7:7">
      <c r="G15104" s="812"/>
    </row>
    <row r="15105" spans="7:7">
      <c r="G15105" s="812"/>
    </row>
    <row r="15106" spans="7:7">
      <c r="G15106" s="812"/>
    </row>
    <row r="15107" spans="7:7">
      <c r="G15107" s="812"/>
    </row>
    <row r="15108" spans="7:7">
      <c r="G15108" s="812"/>
    </row>
    <row r="15109" spans="7:7">
      <c r="G15109" s="812"/>
    </row>
    <row r="15110" spans="7:7">
      <c r="G15110" s="812"/>
    </row>
    <row r="15111" spans="7:7">
      <c r="G15111" s="812"/>
    </row>
    <row r="15112" spans="7:7">
      <c r="G15112" s="812"/>
    </row>
    <row r="15113" spans="7:7">
      <c r="G15113" s="812"/>
    </row>
    <row r="15114" spans="7:7">
      <c r="G15114" s="812"/>
    </row>
    <row r="15115" spans="7:7">
      <c r="G15115" s="812"/>
    </row>
    <row r="15116" spans="7:7">
      <c r="G15116" s="812"/>
    </row>
    <row r="15117" spans="7:7">
      <c r="G15117" s="812"/>
    </row>
    <row r="15118" spans="7:7">
      <c r="G15118" s="812"/>
    </row>
    <row r="15119" spans="7:7">
      <c r="G15119" s="812"/>
    </row>
    <row r="15120" spans="7:7">
      <c r="G15120" s="812"/>
    </row>
    <row r="15121" spans="7:7">
      <c r="G15121" s="812"/>
    </row>
    <row r="15122" spans="7:7">
      <c r="G15122" s="812"/>
    </row>
    <row r="15123" spans="7:7">
      <c r="G15123" s="812"/>
    </row>
    <row r="15124" spans="7:7">
      <c r="G15124" s="812"/>
    </row>
    <row r="15125" spans="7:7">
      <c r="G15125" s="812"/>
    </row>
    <row r="15126" spans="7:7">
      <c r="G15126" s="812"/>
    </row>
    <row r="15127" spans="7:7">
      <c r="G15127" s="812"/>
    </row>
    <row r="15128" spans="7:7">
      <c r="G15128" s="812"/>
    </row>
    <row r="15129" spans="7:7">
      <c r="G15129" s="812"/>
    </row>
    <row r="15130" spans="7:7">
      <c r="G15130" s="812"/>
    </row>
    <row r="15131" spans="7:7">
      <c r="G15131" s="812"/>
    </row>
    <row r="15132" spans="7:7">
      <c r="G15132" s="812"/>
    </row>
    <row r="15133" spans="7:7">
      <c r="G15133" s="812"/>
    </row>
    <row r="15134" spans="7:7">
      <c r="G15134" s="812"/>
    </row>
    <row r="15135" spans="7:7">
      <c r="G15135" s="812"/>
    </row>
    <row r="15136" spans="7:7">
      <c r="G15136" s="812"/>
    </row>
    <row r="15137" spans="7:7">
      <c r="G15137" s="812"/>
    </row>
    <row r="15138" spans="7:7">
      <c r="G15138" s="812"/>
    </row>
    <row r="15139" spans="7:7">
      <c r="G15139" s="812"/>
    </row>
    <row r="15140" spans="7:7">
      <c r="G15140" s="812"/>
    </row>
    <row r="15141" spans="7:7">
      <c r="G15141" s="812"/>
    </row>
    <row r="15142" spans="7:7">
      <c r="G15142" s="812"/>
    </row>
    <row r="15143" spans="7:7">
      <c r="G15143" s="812"/>
    </row>
    <row r="15144" spans="7:7">
      <c r="G15144" s="812"/>
    </row>
    <row r="15145" spans="7:7">
      <c r="G15145" s="812"/>
    </row>
    <row r="15146" spans="7:7">
      <c r="G15146" s="812"/>
    </row>
    <row r="15147" spans="7:7">
      <c r="G15147" s="812"/>
    </row>
    <row r="15148" spans="7:7">
      <c r="G15148" s="812"/>
    </row>
    <row r="15149" spans="7:7">
      <c r="G15149" s="812"/>
    </row>
    <row r="15150" spans="7:7">
      <c r="G15150" s="812"/>
    </row>
    <row r="15151" spans="7:7">
      <c r="G15151" s="812"/>
    </row>
    <row r="15152" spans="7:7">
      <c r="G15152" s="812"/>
    </row>
    <row r="15153" spans="7:7">
      <c r="G15153" s="812"/>
    </row>
    <row r="15154" spans="7:7">
      <c r="G15154" s="812"/>
    </row>
    <row r="15155" spans="7:7">
      <c r="G15155" s="812"/>
    </row>
    <row r="15156" spans="7:7">
      <c r="G15156" s="812"/>
    </row>
    <row r="15157" spans="7:7">
      <c r="G15157" s="812"/>
    </row>
    <row r="15158" spans="7:7">
      <c r="G15158" s="812"/>
    </row>
    <row r="15159" spans="7:7">
      <c r="G15159" s="812"/>
    </row>
    <row r="15160" spans="7:7">
      <c r="G15160" s="812"/>
    </row>
    <row r="15161" spans="7:7">
      <c r="G15161" s="812"/>
    </row>
    <row r="15162" spans="7:7">
      <c r="G15162" s="812"/>
    </row>
    <row r="15163" spans="7:7">
      <c r="G15163" s="812"/>
    </row>
    <row r="15164" spans="7:7">
      <c r="G15164" s="812"/>
    </row>
    <row r="15165" spans="7:7">
      <c r="G15165" s="812"/>
    </row>
    <row r="15166" spans="7:7">
      <c r="G15166" s="812"/>
    </row>
    <row r="15167" spans="7:7">
      <c r="G15167" s="812"/>
    </row>
    <row r="15168" spans="7:7">
      <c r="G15168" s="812"/>
    </row>
    <row r="15169" spans="7:7">
      <c r="G15169" s="812"/>
    </row>
    <row r="15170" spans="7:7">
      <c r="G15170" s="812"/>
    </row>
    <row r="15171" spans="7:7">
      <c r="G15171" s="812"/>
    </row>
    <row r="15172" spans="7:7">
      <c r="G15172" s="812"/>
    </row>
    <row r="15173" spans="7:7">
      <c r="G15173" s="812"/>
    </row>
    <row r="15174" spans="7:7">
      <c r="G15174" s="812"/>
    </row>
    <row r="15175" spans="7:7">
      <c r="G15175" s="812"/>
    </row>
    <row r="15176" spans="7:7">
      <c r="G15176" s="812"/>
    </row>
    <row r="15177" spans="7:7">
      <c r="G15177" s="812"/>
    </row>
    <row r="15178" spans="7:7">
      <c r="G15178" s="812"/>
    </row>
    <row r="15179" spans="7:7">
      <c r="G15179" s="812"/>
    </row>
    <row r="15180" spans="7:7">
      <c r="G15180" s="812"/>
    </row>
    <row r="15181" spans="7:7">
      <c r="G15181" s="812"/>
    </row>
    <row r="15182" spans="7:7">
      <c r="G15182" s="812"/>
    </row>
    <row r="15183" spans="7:7">
      <c r="G15183" s="812"/>
    </row>
    <row r="15184" spans="7:7">
      <c r="G15184" s="812"/>
    </row>
    <row r="15185" spans="7:7">
      <c r="G15185" s="812"/>
    </row>
    <row r="15186" spans="7:7">
      <c r="G15186" s="812"/>
    </row>
    <row r="15187" spans="7:7">
      <c r="G15187" s="812"/>
    </row>
    <row r="15188" spans="7:7">
      <c r="G15188" s="812"/>
    </row>
    <row r="15189" spans="7:7">
      <c r="G15189" s="812"/>
    </row>
    <row r="15190" spans="7:7">
      <c r="G15190" s="812"/>
    </row>
    <row r="15191" spans="7:7">
      <c r="G15191" s="812"/>
    </row>
    <row r="15192" spans="7:7">
      <c r="G15192" s="812"/>
    </row>
    <row r="15193" spans="7:7">
      <c r="G15193" s="812"/>
    </row>
    <row r="15194" spans="7:7">
      <c r="G15194" s="812"/>
    </row>
    <row r="15195" spans="7:7">
      <c r="G15195" s="812"/>
    </row>
    <row r="15196" spans="7:7">
      <c r="G15196" s="812"/>
    </row>
    <row r="15197" spans="7:7">
      <c r="G15197" s="812"/>
    </row>
    <row r="15198" spans="7:7">
      <c r="G15198" s="812"/>
    </row>
    <row r="15199" spans="7:7">
      <c r="G15199" s="812"/>
    </row>
    <row r="15200" spans="7:7">
      <c r="G15200" s="812"/>
    </row>
    <row r="15201" spans="7:7">
      <c r="G15201" s="812"/>
    </row>
    <row r="15202" spans="7:7">
      <c r="G15202" s="812"/>
    </row>
    <row r="15203" spans="7:7">
      <c r="G15203" s="812"/>
    </row>
    <row r="15204" spans="7:7">
      <c r="G15204" s="812"/>
    </row>
    <row r="15205" spans="7:7">
      <c r="G15205" s="812"/>
    </row>
    <row r="15206" spans="7:7">
      <c r="G15206" s="812"/>
    </row>
    <row r="15207" spans="7:7">
      <c r="G15207" s="812"/>
    </row>
    <row r="15208" spans="7:7">
      <c r="G15208" s="812"/>
    </row>
    <row r="15209" spans="7:7">
      <c r="G15209" s="812"/>
    </row>
    <row r="15210" spans="7:7">
      <c r="G15210" s="812"/>
    </row>
    <row r="15211" spans="7:7">
      <c r="G15211" s="812"/>
    </row>
    <row r="15212" spans="7:7">
      <c r="G15212" s="812"/>
    </row>
    <row r="15213" spans="7:7">
      <c r="G15213" s="812"/>
    </row>
    <row r="15214" spans="7:7">
      <c r="G15214" s="812"/>
    </row>
    <row r="15215" spans="7:7">
      <c r="G15215" s="812"/>
    </row>
    <row r="15216" spans="7:7">
      <c r="G15216" s="812"/>
    </row>
    <row r="15217" spans="7:7">
      <c r="G15217" s="812"/>
    </row>
    <row r="15218" spans="7:7">
      <c r="G15218" s="812"/>
    </row>
    <row r="15219" spans="7:7">
      <c r="G15219" s="812"/>
    </row>
    <row r="15220" spans="7:7">
      <c r="G15220" s="812"/>
    </row>
    <row r="15221" spans="7:7">
      <c r="G15221" s="812"/>
    </row>
    <row r="15222" spans="7:7">
      <c r="G15222" s="812"/>
    </row>
    <row r="15223" spans="7:7">
      <c r="G15223" s="812"/>
    </row>
    <row r="15224" spans="7:7">
      <c r="G15224" s="812"/>
    </row>
    <row r="15225" spans="7:7">
      <c r="G15225" s="812"/>
    </row>
    <row r="15226" spans="7:7">
      <c r="G15226" s="812"/>
    </row>
    <row r="15227" spans="7:7">
      <c r="G15227" s="812"/>
    </row>
    <row r="15228" spans="7:7">
      <c r="G15228" s="812"/>
    </row>
    <row r="15229" spans="7:7">
      <c r="G15229" s="812"/>
    </row>
    <row r="15230" spans="7:7">
      <c r="G15230" s="812"/>
    </row>
    <row r="15231" spans="7:7">
      <c r="G15231" s="812"/>
    </row>
    <row r="15232" spans="7:7">
      <c r="G15232" s="812"/>
    </row>
    <row r="15233" spans="7:7">
      <c r="G15233" s="812"/>
    </row>
    <row r="15234" spans="7:7">
      <c r="G15234" s="812"/>
    </row>
    <row r="15235" spans="7:7">
      <c r="G15235" s="812"/>
    </row>
    <row r="15236" spans="7:7">
      <c r="G15236" s="812"/>
    </row>
    <row r="15237" spans="7:7">
      <c r="G15237" s="812"/>
    </row>
    <row r="15238" spans="7:7">
      <c r="G15238" s="812"/>
    </row>
    <row r="15239" spans="7:7">
      <c r="G15239" s="812"/>
    </row>
    <row r="15240" spans="7:7">
      <c r="G15240" s="812"/>
    </row>
    <row r="15241" spans="7:7">
      <c r="G15241" s="812"/>
    </row>
    <row r="15242" spans="7:7">
      <c r="G15242" s="812"/>
    </row>
    <row r="15243" spans="7:7">
      <c r="G15243" s="812"/>
    </row>
    <row r="15244" spans="7:7">
      <c r="G15244" s="812"/>
    </row>
    <row r="15245" spans="7:7">
      <c r="G15245" s="812"/>
    </row>
    <row r="15246" spans="7:7">
      <c r="G15246" s="812"/>
    </row>
    <row r="15247" spans="7:7">
      <c r="G15247" s="812"/>
    </row>
    <row r="15248" spans="7:7">
      <c r="G15248" s="812"/>
    </row>
    <row r="15249" spans="7:7">
      <c r="G15249" s="812"/>
    </row>
    <row r="15250" spans="7:7">
      <c r="G15250" s="812"/>
    </row>
    <row r="15251" spans="7:7">
      <c r="G15251" s="812"/>
    </row>
    <row r="15252" spans="7:7">
      <c r="G15252" s="812"/>
    </row>
    <row r="15253" spans="7:7">
      <c r="G15253" s="812"/>
    </row>
    <row r="15254" spans="7:7">
      <c r="G15254" s="812"/>
    </row>
    <row r="15255" spans="7:7">
      <c r="G15255" s="812"/>
    </row>
    <row r="15256" spans="7:7">
      <c r="G15256" s="812"/>
    </row>
    <row r="15257" spans="7:7">
      <c r="G15257" s="812"/>
    </row>
    <row r="15258" spans="7:7">
      <c r="G15258" s="812"/>
    </row>
    <row r="15259" spans="7:7">
      <c r="G15259" s="812"/>
    </row>
    <row r="15260" spans="7:7">
      <c r="G15260" s="812"/>
    </row>
    <row r="15261" spans="7:7">
      <c r="G15261" s="812"/>
    </row>
    <row r="15262" spans="7:7">
      <c r="G15262" s="812"/>
    </row>
    <row r="15263" spans="7:7">
      <c r="G15263" s="812"/>
    </row>
    <row r="15264" spans="7:7">
      <c r="G15264" s="812"/>
    </row>
    <row r="15265" spans="7:7">
      <c r="G15265" s="812"/>
    </row>
    <row r="15266" spans="7:7">
      <c r="G15266" s="812"/>
    </row>
    <row r="15267" spans="7:7">
      <c r="G15267" s="812"/>
    </row>
    <row r="15268" spans="7:7">
      <c r="G15268" s="812"/>
    </row>
    <row r="15269" spans="7:7">
      <c r="G15269" s="812"/>
    </row>
    <row r="15270" spans="7:7">
      <c r="G15270" s="812"/>
    </row>
    <row r="15271" spans="7:7">
      <c r="G15271" s="812"/>
    </row>
    <row r="15272" spans="7:7">
      <c r="G15272" s="812"/>
    </row>
    <row r="15273" spans="7:7">
      <c r="G15273" s="812"/>
    </row>
    <row r="15274" spans="7:7">
      <c r="G15274" s="812"/>
    </row>
    <row r="15275" spans="7:7">
      <c r="G15275" s="812"/>
    </row>
    <row r="15276" spans="7:7">
      <c r="G15276" s="812"/>
    </row>
    <row r="15277" spans="7:7">
      <c r="G15277" s="812"/>
    </row>
    <row r="15278" spans="7:7">
      <c r="G15278" s="812"/>
    </row>
    <row r="15279" spans="7:7">
      <c r="G15279" s="812"/>
    </row>
    <row r="15280" spans="7:7">
      <c r="G15280" s="812"/>
    </row>
    <row r="15281" spans="7:7">
      <c r="G15281" s="812"/>
    </row>
    <row r="15282" spans="7:7">
      <c r="G15282" s="812"/>
    </row>
    <row r="15283" spans="7:7">
      <c r="G15283" s="812"/>
    </row>
    <row r="15284" spans="7:7">
      <c r="G15284" s="812"/>
    </row>
    <row r="15285" spans="7:7">
      <c r="G15285" s="812"/>
    </row>
    <row r="15286" spans="7:7">
      <c r="G15286" s="812"/>
    </row>
    <row r="15287" spans="7:7">
      <c r="G15287" s="812"/>
    </row>
    <row r="15288" spans="7:7">
      <c r="G15288" s="812"/>
    </row>
    <row r="15289" spans="7:7">
      <c r="G15289" s="812"/>
    </row>
    <row r="15290" spans="7:7">
      <c r="G15290" s="812"/>
    </row>
    <row r="15291" spans="7:7">
      <c r="G15291" s="812"/>
    </row>
    <row r="15292" spans="7:7">
      <c r="G15292" s="812"/>
    </row>
    <row r="15293" spans="7:7">
      <c r="G15293" s="812"/>
    </row>
    <row r="15294" spans="7:7">
      <c r="G15294" s="812"/>
    </row>
    <row r="15295" spans="7:7">
      <c r="G15295" s="812"/>
    </row>
    <row r="15296" spans="7:7">
      <c r="G15296" s="812"/>
    </row>
    <row r="15297" spans="7:7">
      <c r="G15297" s="812"/>
    </row>
    <row r="15298" spans="7:7">
      <c r="G15298" s="812"/>
    </row>
    <row r="15299" spans="7:7">
      <c r="G15299" s="812"/>
    </row>
    <row r="15300" spans="7:7">
      <c r="G15300" s="812"/>
    </row>
    <row r="15301" spans="7:7">
      <c r="G15301" s="812"/>
    </row>
    <row r="15302" spans="7:7">
      <c r="G15302" s="812"/>
    </row>
    <row r="15303" spans="7:7">
      <c r="G15303" s="812"/>
    </row>
    <row r="15304" spans="7:7">
      <c r="G15304" s="812"/>
    </row>
    <row r="15305" spans="7:7">
      <c r="G15305" s="812"/>
    </row>
    <row r="15306" spans="7:7">
      <c r="G15306" s="812"/>
    </row>
    <row r="15307" spans="7:7">
      <c r="G15307" s="812"/>
    </row>
    <row r="15308" spans="7:7">
      <c r="G15308" s="812"/>
    </row>
    <row r="15309" spans="7:7">
      <c r="G15309" s="812"/>
    </row>
    <row r="15310" spans="7:7">
      <c r="G15310" s="812"/>
    </row>
    <row r="15311" spans="7:7">
      <c r="G15311" s="812"/>
    </row>
    <row r="15312" spans="7:7">
      <c r="G15312" s="812"/>
    </row>
    <row r="15313" spans="7:7">
      <c r="G15313" s="812"/>
    </row>
    <row r="15314" spans="7:7">
      <c r="G15314" s="812"/>
    </row>
    <row r="15315" spans="7:7">
      <c r="G15315" s="812"/>
    </row>
    <row r="15316" spans="7:7">
      <c r="G15316" s="812"/>
    </row>
    <row r="15317" spans="7:7">
      <c r="G15317" s="812"/>
    </row>
    <row r="15318" spans="7:7">
      <c r="G15318" s="812"/>
    </row>
    <row r="15319" spans="7:7">
      <c r="G15319" s="812"/>
    </row>
    <row r="15320" spans="7:7">
      <c r="G15320" s="812"/>
    </row>
    <row r="15321" spans="7:7">
      <c r="G15321" s="812"/>
    </row>
    <row r="15322" spans="7:7">
      <c r="G15322" s="812"/>
    </row>
    <row r="15323" spans="7:7">
      <c r="G15323" s="812"/>
    </row>
    <row r="15324" spans="7:7">
      <c r="G15324" s="812"/>
    </row>
    <row r="15325" spans="7:7">
      <c r="G15325" s="812"/>
    </row>
    <row r="15326" spans="7:7">
      <c r="G15326" s="812"/>
    </row>
    <row r="15327" spans="7:7">
      <c r="G15327" s="812"/>
    </row>
    <row r="15328" spans="7:7">
      <c r="G15328" s="812"/>
    </row>
    <row r="15329" spans="7:7">
      <c r="G15329" s="812"/>
    </row>
    <row r="15330" spans="7:7">
      <c r="G15330" s="812"/>
    </row>
    <row r="15331" spans="7:7">
      <c r="G15331" s="812"/>
    </row>
    <row r="15332" spans="7:7">
      <c r="G15332" s="812"/>
    </row>
    <row r="15333" spans="7:7">
      <c r="G15333" s="812"/>
    </row>
    <row r="15334" spans="7:7">
      <c r="G15334" s="812"/>
    </row>
    <row r="15335" spans="7:7">
      <c r="G15335" s="812"/>
    </row>
    <row r="15336" spans="7:7">
      <c r="G15336" s="812"/>
    </row>
    <row r="15337" spans="7:7">
      <c r="G15337" s="812"/>
    </row>
    <row r="15338" spans="7:7">
      <c r="G15338" s="812"/>
    </row>
    <row r="15339" spans="7:7">
      <c r="G15339" s="812"/>
    </row>
    <row r="15340" spans="7:7">
      <c r="G15340" s="812"/>
    </row>
    <row r="15341" spans="7:7">
      <c r="G15341" s="812"/>
    </row>
    <row r="15342" spans="7:7">
      <c r="G15342" s="812"/>
    </row>
    <row r="15343" spans="7:7">
      <c r="G15343" s="812"/>
    </row>
    <row r="15344" spans="7:7">
      <c r="G15344" s="812"/>
    </row>
    <row r="15345" spans="7:7">
      <c r="G15345" s="812"/>
    </row>
    <row r="15346" spans="7:7">
      <c r="G15346" s="812"/>
    </row>
    <row r="15347" spans="7:7">
      <c r="G15347" s="812"/>
    </row>
    <row r="15348" spans="7:7">
      <c r="G15348" s="812"/>
    </row>
    <row r="15349" spans="7:7">
      <c r="G15349" s="812"/>
    </row>
    <row r="15350" spans="7:7">
      <c r="G15350" s="812"/>
    </row>
    <row r="15351" spans="7:7">
      <c r="G15351" s="812"/>
    </row>
    <row r="15352" spans="7:7">
      <c r="G15352" s="812"/>
    </row>
    <row r="15353" spans="7:7">
      <c r="G15353" s="812"/>
    </row>
    <row r="15354" spans="7:7">
      <c r="G15354" s="812"/>
    </row>
    <row r="15355" spans="7:7">
      <c r="G15355" s="812"/>
    </row>
    <row r="15356" spans="7:7">
      <c r="G15356" s="812"/>
    </row>
    <row r="15357" spans="7:7">
      <c r="G15357" s="812"/>
    </row>
    <row r="15358" spans="7:7">
      <c r="G15358" s="812"/>
    </row>
    <row r="15359" spans="7:7">
      <c r="G15359" s="812"/>
    </row>
    <row r="15360" spans="7:7">
      <c r="G15360" s="812"/>
    </row>
    <row r="15361" spans="7:7">
      <c r="G15361" s="812"/>
    </row>
    <row r="15362" spans="7:7">
      <c r="G15362" s="812"/>
    </row>
    <row r="15363" spans="7:7">
      <c r="G15363" s="812"/>
    </row>
    <row r="15364" spans="7:7">
      <c r="G15364" s="812"/>
    </row>
    <row r="15365" spans="7:7">
      <c r="G15365" s="812"/>
    </row>
    <row r="15366" spans="7:7">
      <c r="G15366" s="812"/>
    </row>
    <row r="15367" spans="7:7">
      <c r="G15367" s="812"/>
    </row>
    <row r="15368" spans="7:7">
      <c r="G15368" s="812"/>
    </row>
    <row r="15369" spans="7:7">
      <c r="G15369" s="812"/>
    </row>
    <row r="15370" spans="7:7">
      <c r="G15370" s="812"/>
    </row>
    <row r="15371" spans="7:7">
      <c r="G15371" s="812"/>
    </row>
    <row r="15372" spans="7:7">
      <c r="G15372" s="812"/>
    </row>
    <row r="15373" spans="7:7">
      <c r="G15373" s="812"/>
    </row>
    <row r="15374" spans="7:7">
      <c r="G15374" s="812"/>
    </row>
    <row r="15375" spans="7:7">
      <c r="G15375" s="812"/>
    </row>
    <row r="15376" spans="7:7">
      <c r="G15376" s="812"/>
    </row>
    <row r="15377" spans="7:7">
      <c r="G15377" s="812"/>
    </row>
    <row r="15378" spans="7:7">
      <c r="G15378" s="812"/>
    </row>
    <row r="15379" spans="7:7">
      <c r="G15379" s="812"/>
    </row>
    <row r="15380" spans="7:7">
      <c r="G15380" s="812"/>
    </row>
    <row r="15381" spans="7:7">
      <c r="G15381" s="812"/>
    </row>
    <row r="15382" spans="7:7">
      <c r="G15382" s="812"/>
    </row>
    <row r="15383" spans="7:7">
      <c r="G15383" s="812"/>
    </row>
    <row r="15384" spans="7:7">
      <c r="G15384" s="812"/>
    </row>
    <row r="15385" spans="7:7">
      <c r="G15385" s="812"/>
    </row>
    <row r="15386" spans="7:7">
      <c r="G15386" s="812"/>
    </row>
    <row r="15387" spans="7:7">
      <c r="G15387" s="812"/>
    </row>
    <row r="15388" spans="7:7">
      <c r="G15388" s="812"/>
    </row>
    <row r="15389" spans="7:7">
      <c r="G15389" s="812"/>
    </row>
    <row r="15390" spans="7:7">
      <c r="G15390" s="812"/>
    </row>
    <row r="15391" spans="7:7">
      <c r="G15391" s="812"/>
    </row>
    <row r="15392" spans="7:7">
      <c r="G15392" s="812"/>
    </row>
    <row r="15393" spans="7:7">
      <c r="G15393" s="812"/>
    </row>
    <row r="15394" spans="7:7">
      <c r="G15394" s="812"/>
    </row>
    <row r="15395" spans="7:7">
      <c r="G15395" s="812"/>
    </row>
    <row r="15396" spans="7:7">
      <c r="G15396" s="812"/>
    </row>
    <row r="15397" spans="7:7">
      <c r="G15397" s="812"/>
    </row>
    <row r="15398" spans="7:7">
      <c r="G15398" s="812"/>
    </row>
    <row r="15399" spans="7:7">
      <c r="G15399" s="812"/>
    </row>
    <row r="15400" spans="7:7">
      <c r="G15400" s="812"/>
    </row>
    <row r="15401" spans="7:7">
      <c r="G15401" s="812"/>
    </row>
    <row r="15402" spans="7:7">
      <c r="G15402" s="812"/>
    </row>
    <row r="15403" spans="7:7">
      <c r="G15403" s="812"/>
    </row>
    <row r="15404" spans="7:7">
      <c r="G15404" s="812"/>
    </row>
    <row r="15405" spans="7:7">
      <c r="G15405" s="812"/>
    </row>
    <row r="15406" spans="7:7">
      <c r="G15406" s="812"/>
    </row>
    <row r="15407" spans="7:7">
      <c r="G15407" s="812"/>
    </row>
    <row r="15408" spans="7:7">
      <c r="G15408" s="812"/>
    </row>
    <row r="15409" spans="7:7">
      <c r="G15409" s="812"/>
    </row>
    <row r="15410" spans="7:7">
      <c r="G15410" s="812"/>
    </row>
    <row r="15411" spans="7:7">
      <c r="G15411" s="812"/>
    </row>
    <row r="15412" spans="7:7">
      <c r="G15412" s="812"/>
    </row>
    <row r="15413" spans="7:7">
      <c r="G15413" s="812"/>
    </row>
    <row r="15414" spans="7:7">
      <c r="G15414" s="812"/>
    </row>
    <row r="15415" spans="7:7">
      <c r="G15415" s="812"/>
    </row>
    <row r="15416" spans="7:7">
      <c r="G15416" s="812"/>
    </row>
    <row r="15417" spans="7:7">
      <c r="G15417" s="812"/>
    </row>
    <row r="15418" spans="7:7">
      <c r="G15418" s="812"/>
    </row>
    <row r="15419" spans="7:7">
      <c r="G15419" s="812"/>
    </row>
    <row r="15420" spans="7:7">
      <c r="G15420" s="812"/>
    </row>
    <row r="15421" spans="7:7">
      <c r="G15421" s="812"/>
    </row>
    <row r="15422" spans="7:7">
      <c r="G15422" s="812"/>
    </row>
    <row r="15423" spans="7:7">
      <c r="G15423" s="812"/>
    </row>
    <row r="15424" spans="7:7">
      <c r="G15424" s="812"/>
    </row>
    <row r="15425" spans="7:7">
      <c r="G15425" s="812"/>
    </row>
    <row r="15426" spans="7:7">
      <c r="G15426" s="812"/>
    </row>
    <row r="15427" spans="7:7">
      <c r="G15427" s="812"/>
    </row>
    <row r="15428" spans="7:7">
      <c r="G15428" s="812"/>
    </row>
    <row r="15429" spans="7:7">
      <c r="G15429" s="812"/>
    </row>
    <row r="15430" spans="7:7">
      <c r="G15430" s="812"/>
    </row>
    <row r="15431" spans="7:7">
      <c r="G15431" s="812"/>
    </row>
    <row r="15432" spans="7:7">
      <c r="G15432" s="812"/>
    </row>
    <row r="15433" spans="7:7">
      <c r="G15433" s="812"/>
    </row>
    <row r="15434" spans="7:7">
      <c r="G15434" s="812"/>
    </row>
    <row r="15435" spans="7:7">
      <c r="G15435" s="812"/>
    </row>
    <row r="15436" spans="7:7">
      <c r="G15436" s="812"/>
    </row>
    <row r="15437" spans="7:7">
      <c r="G15437" s="812"/>
    </row>
    <row r="15438" spans="7:7">
      <c r="G15438" s="812"/>
    </row>
    <row r="15439" spans="7:7">
      <c r="G15439" s="812"/>
    </row>
    <row r="15440" spans="7:7">
      <c r="G15440" s="812"/>
    </row>
    <row r="15441" spans="7:7">
      <c r="G15441" s="812"/>
    </row>
    <row r="15442" spans="7:7">
      <c r="G15442" s="812"/>
    </row>
    <row r="15443" spans="7:7">
      <c r="G15443" s="812"/>
    </row>
    <row r="15444" spans="7:7">
      <c r="G15444" s="812"/>
    </row>
    <row r="15445" spans="7:7">
      <c r="G15445" s="812"/>
    </row>
    <row r="15446" spans="7:7">
      <c r="G15446" s="812"/>
    </row>
    <row r="15447" spans="7:7">
      <c r="G15447" s="812"/>
    </row>
    <row r="15448" spans="7:7">
      <c r="G15448" s="812"/>
    </row>
    <row r="15449" spans="7:7">
      <c r="G15449" s="812"/>
    </row>
    <row r="15450" spans="7:7">
      <c r="G15450" s="812"/>
    </row>
    <row r="15451" spans="7:7">
      <c r="G15451" s="812"/>
    </row>
    <row r="15452" spans="7:7">
      <c r="G15452" s="812"/>
    </row>
    <row r="15453" spans="7:7">
      <c r="G15453" s="812"/>
    </row>
    <row r="15454" spans="7:7">
      <c r="G15454" s="812"/>
    </row>
    <row r="15455" spans="7:7">
      <c r="G15455" s="812"/>
    </row>
    <row r="15456" spans="7:7">
      <c r="G15456" s="812"/>
    </row>
    <row r="15457" spans="7:7">
      <c r="G15457" s="812"/>
    </row>
    <row r="15458" spans="7:7">
      <c r="G15458" s="812"/>
    </row>
    <row r="15459" spans="7:7">
      <c r="G15459" s="812"/>
    </row>
    <row r="15460" spans="7:7">
      <c r="G15460" s="812"/>
    </row>
    <row r="15461" spans="7:7">
      <c r="G15461" s="812"/>
    </row>
    <row r="15462" spans="7:7">
      <c r="G15462" s="812"/>
    </row>
    <row r="15463" spans="7:7">
      <c r="G15463" s="812"/>
    </row>
    <row r="15464" spans="7:7">
      <c r="G15464" s="812"/>
    </row>
    <row r="15465" spans="7:7">
      <c r="G15465" s="812"/>
    </row>
    <row r="15466" spans="7:7">
      <c r="G15466" s="812"/>
    </row>
    <row r="15467" spans="7:7">
      <c r="G15467" s="812"/>
    </row>
    <row r="15468" spans="7:7">
      <c r="G15468" s="812"/>
    </row>
    <row r="15469" spans="7:7">
      <c r="G15469" s="812"/>
    </row>
    <row r="15470" spans="7:7">
      <c r="G15470" s="812"/>
    </row>
    <row r="15471" spans="7:7">
      <c r="G15471" s="812"/>
    </row>
    <row r="15472" spans="7:7">
      <c r="G15472" s="812"/>
    </row>
    <row r="15473" spans="7:7">
      <c r="G15473" s="812"/>
    </row>
    <row r="15474" spans="7:7">
      <c r="G15474" s="812"/>
    </row>
    <row r="15475" spans="7:7">
      <c r="G15475" s="812"/>
    </row>
    <row r="15476" spans="7:7">
      <c r="G15476" s="812"/>
    </row>
    <row r="15477" spans="7:7">
      <c r="G15477" s="812"/>
    </row>
    <row r="15478" spans="7:7">
      <c r="G15478" s="812"/>
    </row>
    <row r="15479" spans="7:7">
      <c r="G15479" s="812"/>
    </row>
    <row r="15480" spans="7:7">
      <c r="G15480" s="812"/>
    </row>
    <row r="15481" spans="7:7">
      <c r="G15481" s="812"/>
    </row>
    <row r="15482" spans="7:7">
      <c r="G15482" s="812"/>
    </row>
    <row r="15483" spans="7:7">
      <c r="G15483" s="812"/>
    </row>
    <row r="15484" spans="7:7">
      <c r="G15484" s="812"/>
    </row>
    <row r="15485" spans="7:7">
      <c r="G15485" s="812"/>
    </row>
    <row r="15486" spans="7:7">
      <c r="G15486" s="812"/>
    </row>
    <row r="15487" spans="7:7">
      <c r="G15487" s="812"/>
    </row>
    <row r="15488" spans="7:7">
      <c r="G15488" s="812"/>
    </row>
    <row r="15489" spans="7:7">
      <c r="G15489" s="812"/>
    </row>
    <row r="15490" spans="7:7">
      <c r="G15490" s="812"/>
    </row>
    <row r="15491" spans="7:7">
      <c r="G15491" s="812"/>
    </row>
    <row r="15492" spans="7:7">
      <c r="G15492" s="812"/>
    </row>
    <row r="15493" spans="7:7">
      <c r="G15493" s="812"/>
    </row>
    <row r="15494" spans="7:7">
      <c r="G15494" s="812"/>
    </row>
    <row r="15495" spans="7:7">
      <c r="G15495" s="812"/>
    </row>
    <row r="15496" spans="7:7">
      <c r="G15496" s="812"/>
    </row>
    <row r="15497" spans="7:7">
      <c r="G15497" s="812"/>
    </row>
    <row r="15498" spans="7:7">
      <c r="G15498" s="812"/>
    </row>
    <row r="15499" spans="7:7">
      <c r="G15499" s="812"/>
    </row>
    <row r="15500" spans="7:7">
      <c r="G15500" s="812"/>
    </row>
    <row r="15501" spans="7:7">
      <c r="G15501" s="812"/>
    </row>
    <row r="15502" spans="7:7">
      <c r="G15502" s="812"/>
    </row>
    <row r="15503" spans="7:7">
      <c r="G15503" s="812"/>
    </row>
    <row r="15504" spans="7:7">
      <c r="G15504" s="812"/>
    </row>
    <row r="15505" spans="7:7">
      <c r="G15505" s="812"/>
    </row>
    <row r="15506" spans="7:7">
      <c r="G15506" s="812"/>
    </row>
    <row r="15507" spans="7:7">
      <c r="G15507" s="812"/>
    </row>
    <row r="15508" spans="7:7">
      <c r="G15508" s="812"/>
    </row>
    <row r="15509" spans="7:7">
      <c r="G15509" s="812"/>
    </row>
    <row r="15510" spans="7:7">
      <c r="G15510" s="812"/>
    </row>
    <row r="15511" spans="7:7">
      <c r="G15511" s="812"/>
    </row>
    <row r="15512" spans="7:7">
      <c r="G15512" s="812"/>
    </row>
    <row r="15513" spans="7:7">
      <c r="G15513" s="812"/>
    </row>
    <row r="15514" spans="7:7">
      <c r="G15514" s="812"/>
    </row>
    <row r="15515" spans="7:7">
      <c r="G15515" s="812"/>
    </row>
    <row r="15516" spans="7:7">
      <c r="G15516" s="812"/>
    </row>
    <row r="15517" spans="7:7">
      <c r="G15517" s="812"/>
    </row>
    <row r="15518" spans="7:7">
      <c r="G15518" s="812"/>
    </row>
    <row r="15519" spans="7:7">
      <c r="G15519" s="812"/>
    </row>
    <row r="15520" spans="7:7">
      <c r="G15520" s="812"/>
    </row>
    <row r="15521" spans="7:7">
      <c r="G15521" s="812"/>
    </row>
    <row r="15522" spans="7:7">
      <c r="G15522" s="812"/>
    </row>
    <row r="15523" spans="7:7">
      <c r="G15523" s="812"/>
    </row>
    <row r="15524" spans="7:7">
      <c r="G15524" s="812"/>
    </row>
    <row r="15525" spans="7:7">
      <c r="G15525" s="812"/>
    </row>
    <row r="15526" spans="7:7">
      <c r="G15526" s="812"/>
    </row>
    <row r="15527" spans="7:7">
      <c r="G15527" s="812"/>
    </row>
    <row r="15528" spans="7:7">
      <c r="G15528" s="812"/>
    </row>
    <row r="15529" spans="7:7">
      <c r="G15529" s="812"/>
    </row>
    <row r="15530" spans="7:7">
      <c r="G15530" s="812"/>
    </row>
    <row r="15531" spans="7:7">
      <c r="G15531" s="812"/>
    </row>
    <row r="15532" spans="7:7">
      <c r="G15532" s="812"/>
    </row>
    <row r="15533" spans="7:7">
      <c r="G15533" s="812"/>
    </row>
    <row r="15534" spans="7:7">
      <c r="G15534" s="812"/>
    </row>
    <row r="15535" spans="7:7">
      <c r="G15535" s="812"/>
    </row>
    <row r="15536" spans="7:7">
      <c r="G15536" s="812"/>
    </row>
    <row r="15537" spans="7:7">
      <c r="G15537" s="812"/>
    </row>
    <row r="15538" spans="7:7">
      <c r="G15538" s="812"/>
    </row>
    <row r="15539" spans="7:7">
      <c r="G15539" s="812"/>
    </row>
    <row r="15540" spans="7:7">
      <c r="G15540" s="812"/>
    </row>
    <row r="15541" spans="7:7">
      <c r="G15541" s="812"/>
    </row>
    <row r="15542" spans="7:7">
      <c r="G15542" s="812"/>
    </row>
    <row r="15543" spans="7:7">
      <c r="G15543" s="812"/>
    </row>
    <row r="15544" spans="7:7">
      <c r="G15544" s="812"/>
    </row>
    <row r="15545" spans="7:7">
      <c r="G15545" s="812"/>
    </row>
    <row r="15546" spans="7:7">
      <c r="G15546" s="812"/>
    </row>
    <row r="15547" spans="7:7">
      <c r="G15547" s="812"/>
    </row>
    <row r="15548" spans="7:7">
      <c r="G15548" s="812"/>
    </row>
    <row r="15549" spans="7:7">
      <c r="G15549" s="812"/>
    </row>
    <row r="15550" spans="7:7">
      <c r="G15550" s="812"/>
    </row>
    <row r="15551" spans="7:7">
      <c r="G15551" s="812"/>
    </row>
    <row r="15552" spans="7:7">
      <c r="G15552" s="812"/>
    </row>
    <row r="15553" spans="7:7">
      <c r="G15553" s="812"/>
    </row>
    <row r="15554" spans="7:7">
      <c r="G15554" s="812"/>
    </row>
    <row r="15555" spans="7:7">
      <c r="G15555" s="812"/>
    </row>
    <row r="15556" spans="7:7">
      <c r="G15556" s="812"/>
    </row>
    <row r="15557" spans="7:7">
      <c r="G15557" s="812"/>
    </row>
    <row r="15558" spans="7:7">
      <c r="G15558" s="812"/>
    </row>
    <row r="15559" spans="7:7">
      <c r="G15559" s="812"/>
    </row>
    <row r="15560" spans="7:7">
      <c r="G15560" s="812"/>
    </row>
    <row r="15561" spans="7:7">
      <c r="G15561" s="812"/>
    </row>
    <row r="15562" spans="7:7">
      <c r="G15562" s="812"/>
    </row>
    <row r="15563" spans="7:7">
      <c r="G15563" s="812"/>
    </row>
    <row r="15564" spans="7:7">
      <c r="G15564" s="812"/>
    </row>
    <row r="15565" spans="7:7">
      <c r="G15565" s="812"/>
    </row>
    <row r="15566" spans="7:7">
      <c r="G15566" s="812"/>
    </row>
    <row r="15567" spans="7:7">
      <c r="G15567" s="812"/>
    </row>
    <row r="15568" spans="7:7">
      <c r="G15568" s="812"/>
    </row>
    <row r="15569" spans="7:7">
      <c r="G15569" s="812"/>
    </row>
    <row r="15570" spans="7:7">
      <c r="G15570" s="812"/>
    </row>
    <row r="15571" spans="7:7">
      <c r="G15571" s="812"/>
    </row>
    <row r="15572" spans="7:7">
      <c r="G15572" s="812"/>
    </row>
    <row r="15573" spans="7:7">
      <c r="G15573" s="812"/>
    </row>
    <row r="15574" spans="7:7">
      <c r="G15574" s="812"/>
    </row>
    <row r="15575" spans="7:7">
      <c r="G15575" s="812"/>
    </row>
    <row r="15576" spans="7:7">
      <c r="G15576" s="812"/>
    </row>
    <row r="15577" spans="7:7">
      <c r="G15577" s="812"/>
    </row>
    <row r="15578" spans="7:7">
      <c r="G15578" s="812"/>
    </row>
    <row r="15579" spans="7:7">
      <c r="G15579" s="812"/>
    </row>
    <row r="15580" spans="7:7">
      <c r="G15580" s="812"/>
    </row>
    <row r="15581" spans="7:7">
      <c r="G15581" s="812"/>
    </row>
    <row r="15582" spans="7:7">
      <c r="G15582" s="812"/>
    </row>
    <row r="15583" spans="7:7">
      <c r="G15583" s="812"/>
    </row>
    <row r="15584" spans="7:7">
      <c r="G15584" s="812"/>
    </row>
    <row r="15585" spans="7:7">
      <c r="G15585" s="812"/>
    </row>
    <row r="15586" spans="7:7">
      <c r="G15586" s="812"/>
    </row>
    <row r="15587" spans="7:7">
      <c r="G15587" s="812"/>
    </row>
    <row r="15588" spans="7:7">
      <c r="G15588" s="812"/>
    </row>
    <row r="15589" spans="7:7">
      <c r="G15589" s="812"/>
    </row>
    <row r="15590" spans="7:7">
      <c r="G15590" s="812"/>
    </row>
    <row r="15591" spans="7:7">
      <c r="G15591" s="812"/>
    </row>
    <row r="15592" spans="7:7">
      <c r="G15592" s="812"/>
    </row>
    <row r="15593" spans="7:7">
      <c r="G15593" s="812"/>
    </row>
    <row r="15594" spans="7:7">
      <c r="G15594" s="812"/>
    </row>
    <row r="15595" spans="7:7">
      <c r="G15595" s="812"/>
    </row>
    <row r="15596" spans="7:7">
      <c r="G15596" s="812"/>
    </row>
    <row r="15597" spans="7:7">
      <c r="G15597" s="812"/>
    </row>
    <row r="15598" spans="7:7">
      <c r="G15598" s="812"/>
    </row>
    <row r="15599" spans="7:7">
      <c r="G15599" s="812"/>
    </row>
    <row r="15600" spans="7:7">
      <c r="G15600" s="812"/>
    </row>
    <row r="15601" spans="7:7">
      <c r="G15601" s="812"/>
    </row>
    <row r="15602" spans="7:7">
      <c r="G15602" s="812"/>
    </row>
    <row r="15603" spans="7:7">
      <c r="G15603" s="812"/>
    </row>
    <row r="15604" spans="7:7">
      <c r="G15604" s="812"/>
    </row>
    <row r="15605" spans="7:7">
      <c r="G15605" s="812"/>
    </row>
    <row r="15606" spans="7:7">
      <c r="G15606" s="812"/>
    </row>
    <row r="15607" spans="7:7">
      <c r="G15607" s="812"/>
    </row>
    <row r="15608" spans="7:7">
      <c r="G15608" s="812"/>
    </row>
    <row r="15609" spans="7:7">
      <c r="G15609" s="812"/>
    </row>
    <row r="15610" spans="7:7">
      <c r="G15610" s="812"/>
    </row>
    <row r="15611" spans="7:7">
      <c r="G15611" s="812"/>
    </row>
    <row r="15612" spans="7:7">
      <c r="G15612" s="812"/>
    </row>
    <row r="15613" spans="7:7">
      <c r="G15613" s="812"/>
    </row>
    <row r="15614" spans="7:7">
      <c r="G15614" s="812"/>
    </row>
    <row r="15615" spans="7:7">
      <c r="G15615" s="812"/>
    </row>
    <row r="15616" spans="7:7">
      <c r="G15616" s="812"/>
    </row>
    <row r="15617" spans="7:7">
      <c r="G15617" s="812"/>
    </row>
    <row r="15618" spans="7:7">
      <c r="G15618" s="812"/>
    </row>
    <row r="15619" spans="7:7">
      <c r="G15619" s="812"/>
    </row>
    <row r="15620" spans="7:7">
      <c r="G15620" s="812"/>
    </row>
    <row r="15621" spans="7:7">
      <c r="G15621" s="812"/>
    </row>
    <row r="15622" spans="7:7">
      <c r="G15622" s="812"/>
    </row>
    <row r="15623" spans="7:7">
      <c r="G15623" s="812"/>
    </row>
    <row r="15624" spans="7:7">
      <c r="G15624" s="812"/>
    </row>
    <row r="15625" spans="7:7">
      <c r="G15625" s="812"/>
    </row>
    <row r="15626" spans="7:7">
      <c r="G15626" s="812"/>
    </row>
    <row r="15627" spans="7:7">
      <c r="G15627" s="812"/>
    </row>
    <row r="15628" spans="7:7">
      <c r="G15628" s="812"/>
    </row>
    <row r="15629" spans="7:7">
      <c r="G15629" s="812"/>
    </row>
    <row r="15630" spans="7:7">
      <c r="G15630" s="812"/>
    </row>
    <row r="15631" spans="7:7">
      <c r="G15631" s="812"/>
    </row>
    <row r="15632" spans="7:7">
      <c r="G15632" s="812"/>
    </row>
    <row r="15633" spans="7:7">
      <c r="G15633" s="812"/>
    </row>
    <row r="15634" spans="7:7">
      <c r="G15634" s="812"/>
    </row>
    <row r="15635" spans="7:7">
      <c r="G15635" s="812"/>
    </row>
    <row r="15636" spans="7:7">
      <c r="G15636" s="812"/>
    </row>
    <row r="15637" spans="7:7">
      <c r="G15637" s="812"/>
    </row>
    <row r="15638" spans="7:7">
      <c r="G15638" s="812"/>
    </row>
    <row r="15639" spans="7:7">
      <c r="G15639" s="812"/>
    </row>
    <row r="15640" spans="7:7">
      <c r="G15640" s="812"/>
    </row>
    <row r="15641" spans="7:7">
      <c r="G15641" s="812"/>
    </row>
    <row r="15642" spans="7:7">
      <c r="G15642" s="812"/>
    </row>
    <row r="15643" spans="7:7">
      <c r="G15643" s="812"/>
    </row>
    <row r="15644" spans="7:7">
      <c r="G15644" s="812"/>
    </row>
    <row r="15645" spans="7:7">
      <c r="G15645" s="812"/>
    </row>
    <row r="15646" spans="7:7">
      <c r="G15646" s="812"/>
    </row>
    <row r="15647" spans="7:7">
      <c r="G15647" s="812"/>
    </row>
    <row r="15648" spans="7:7">
      <c r="G15648" s="812"/>
    </row>
    <row r="15649" spans="7:7">
      <c r="G15649" s="812"/>
    </row>
    <row r="15650" spans="7:7">
      <c r="G15650" s="812"/>
    </row>
    <row r="15651" spans="7:7">
      <c r="G15651" s="812"/>
    </row>
    <row r="15652" spans="7:7">
      <c r="G15652" s="812"/>
    </row>
    <row r="15653" spans="7:7">
      <c r="G15653" s="812"/>
    </row>
    <row r="15654" spans="7:7">
      <c r="G15654" s="812"/>
    </row>
    <row r="15655" spans="7:7">
      <c r="G15655" s="812"/>
    </row>
    <row r="15656" spans="7:7">
      <c r="G15656" s="812"/>
    </row>
    <row r="15657" spans="7:7">
      <c r="G15657" s="812"/>
    </row>
    <row r="15658" spans="7:7">
      <c r="G15658" s="812"/>
    </row>
    <row r="15659" spans="7:7">
      <c r="G15659" s="812"/>
    </row>
    <row r="15660" spans="7:7">
      <c r="G15660" s="812"/>
    </row>
    <row r="15661" spans="7:7">
      <c r="G15661" s="812"/>
    </row>
    <row r="15662" spans="7:7">
      <c r="G15662" s="812"/>
    </row>
    <row r="15663" spans="7:7">
      <c r="G15663" s="812"/>
    </row>
    <row r="15664" spans="7:7">
      <c r="G15664" s="812"/>
    </row>
    <row r="15665" spans="7:7">
      <c r="G15665" s="812"/>
    </row>
    <row r="15666" spans="7:7">
      <c r="G15666" s="812"/>
    </row>
    <row r="15667" spans="7:7">
      <c r="G15667" s="812"/>
    </row>
    <row r="15668" spans="7:7">
      <c r="G15668" s="812"/>
    </row>
    <row r="15669" spans="7:7">
      <c r="G15669" s="812"/>
    </row>
    <row r="15670" spans="7:7">
      <c r="G15670" s="812"/>
    </row>
    <row r="15671" spans="7:7">
      <c r="G15671" s="812"/>
    </row>
    <row r="15672" spans="7:7">
      <c r="G15672" s="812"/>
    </row>
    <row r="15673" spans="7:7">
      <c r="G15673" s="812"/>
    </row>
    <row r="15674" spans="7:7">
      <c r="G15674" s="812"/>
    </row>
    <row r="15675" spans="7:7">
      <c r="G15675" s="812"/>
    </row>
    <row r="15676" spans="7:7">
      <c r="G15676" s="812"/>
    </row>
    <row r="15677" spans="7:7">
      <c r="G15677" s="812"/>
    </row>
    <row r="15678" spans="7:7">
      <c r="G15678" s="812"/>
    </row>
    <row r="15679" spans="7:7">
      <c r="G15679" s="812"/>
    </row>
    <row r="15680" spans="7:7">
      <c r="G15680" s="812"/>
    </row>
    <row r="15681" spans="7:7">
      <c r="G15681" s="812"/>
    </row>
    <row r="15682" spans="7:7">
      <c r="G15682" s="812"/>
    </row>
    <row r="15683" spans="7:7">
      <c r="G15683" s="812"/>
    </row>
    <row r="15684" spans="7:7">
      <c r="G15684" s="812"/>
    </row>
    <row r="15685" spans="7:7">
      <c r="G15685" s="812"/>
    </row>
    <row r="15686" spans="7:7">
      <c r="G15686" s="812"/>
    </row>
    <row r="15687" spans="7:7">
      <c r="G15687" s="812"/>
    </row>
    <row r="15688" spans="7:7">
      <c r="G15688" s="812"/>
    </row>
    <row r="15689" spans="7:7">
      <c r="G15689" s="812"/>
    </row>
    <row r="15690" spans="7:7">
      <c r="G15690" s="812"/>
    </row>
    <row r="15691" spans="7:7">
      <c r="G15691" s="812"/>
    </row>
    <row r="15692" spans="7:7">
      <c r="G15692" s="812"/>
    </row>
    <row r="15693" spans="7:7">
      <c r="G15693" s="812"/>
    </row>
    <row r="15694" spans="7:7">
      <c r="G15694" s="812"/>
    </row>
    <row r="15695" spans="7:7">
      <c r="G15695" s="812"/>
    </row>
    <row r="15696" spans="7:7">
      <c r="G15696" s="812"/>
    </row>
    <row r="15697" spans="7:7">
      <c r="G15697" s="812"/>
    </row>
    <row r="15698" spans="7:7">
      <c r="G15698" s="812"/>
    </row>
    <row r="15699" spans="7:7">
      <c r="G15699" s="812"/>
    </row>
    <row r="15700" spans="7:7">
      <c r="G15700" s="812"/>
    </row>
    <row r="15701" spans="7:7">
      <c r="G15701" s="812"/>
    </row>
    <row r="15702" spans="7:7">
      <c r="G15702" s="812"/>
    </row>
    <row r="15703" spans="7:7">
      <c r="G15703" s="812"/>
    </row>
    <row r="15704" spans="7:7">
      <c r="G15704" s="812"/>
    </row>
    <row r="15705" spans="7:7">
      <c r="G15705" s="812"/>
    </row>
    <row r="15706" spans="7:7">
      <c r="G15706" s="812"/>
    </row>
    <row r="15707" spans="7:7">
      <c r="G15707" s="812"/>
    </row>
    <row r="15708" spans="7:7">
      <c r="G15708" s="812"/>
    </row>
    <row r="15709" spans="7:7">
      <c r="G15709" s="812"/>
    </row>
    <row r="15710" spans="7:7">
      <c r="G15710" s="812"/>
    </row>
    <row r="15711" spans="7:7">
      <c r="G15711" s="812"/>
    </row>
    <row r="15712" spans="7:7">
      <c r="G15712" s="812"/>
    </row>
    <row r="15713" spans="7:7">
      <c r="G15713" s="812"/>
    </row>
    <row r="15714" spans="7:7">
      <c r="G15714" s="812"/>
    </row>
    <row r="15715" spans="7:7">
      <c r="G15715" s="812"/>
    </row>
    <row r="15716" spans="7:7">
      <c r="G15716" s="812"/>
    </row>
    <row r="15717" spans="7:7">
      <c r="G15717" s="812"/>
    </row>
    <row r="15718" spans="7:7">
      <c r="G15718" s="812"/>
    </row>
    <row r="15719" spans="7:7">
      <c r="G15719" s="812"/>
    </row>
    <row r="15720" spans="7:7">
      <c r="G15720" s="812"/>
    </row>
    <row r="15721" spans="7:7">
      <c r="G15721" s="812"/>
    </row>
    <row r="15722" spans="7:7">
      <c r="G15722" s="812"/>
    </row>
    <row r="15723" spans="7:7">
      <c r="G15723" s="812"/>
    </row>
    <row r="15724" spans="7:7">
      <c r="G15724" s="812"/>
    </row>
    <row r="15725" spans="7:7">
      <c r="G15725" s="812"/>
    </row>
    <row r="15726" spans="7:7">
      <c r="G15726" s="812"/>
    </row>
    <row r="15727" spans="7:7">
      <c r="G15727" s="812"/>
    </row>
    <row r="15728" spans="7:7">
      <c r="G15728" s="812"/>
    </row>
    <row r="15729" spans="7:7">
      <c r="G15729" s="812"/>
    </row>
    <row r="15730" spans="7:7">
      <c r="G15730" s="812"/>
    </row>
    <row r="15731" spans="7:7">
      <c r="G15731" s="812"/>
    </row>
    <row r="15732" spans="7:7">
      <c r="G15732" s="812"/>
    </row>
    <row r="15733" spans="7:7">
      <c r="G15733" s="812"/>
    </row>
    <row r="15734" spans="7:7">
      <c r="G15734" s="812"/>
    </row>
    <row r="15735" spans="7:7">
      <c r="G15735" s="812"/>
    </row>
    <row r="15736" spans="7:7">
      <c r="G15736" s="812"/>
    </row>
    <row r="15737" spans="7:7">
      <c r="G15737" s="812"/>
    </row>
    <row r="15738" spans="7:7">
      <c r="G15738" s="812"/>
    </row>
    <row r="15739" spans="7:7">
      <c r="G15739" s="812"/>
    </row>
    <row r="15740" spans="7:7">
      <c r="G15740" s="812"/>
    </row>
    <row r="15741" spans="7:7">
      <c r="G15741" s="812"/>
    </row>
    <row r="15742" spans="7:7">
      <c r="G15742" s="812"/>
    </row>
    <row r="15743" spans="7:7">
      <c r="G15743" s="812"/>
    </row>
    <row r="15744" spans="7:7">
      <c r="G15744" s="812"/>
    </row>
    <row r="15745" spans="7:7">
      <c r="G15745" s="812"/>
    </row>
    <row r="15746" spans="7:7">
      <c r="G15746" s="812"/>
    </row>
    <row r="15747" spans="7:7">
      <c r="G15747" s="812"/>
    </row>
    <row r="15748" spans="7:7">
      <c r="G15748" s="812"/>
    </row>
    <row r="15749" spans="7:7">
      <c r="G15749" s="812"/>
    </row>
    <row r="15750" spans="7:7">
      <c r="G15750" s="812"/>
    </row>
    <row r="15751" spans="7:7">
      <c r="G15751" s="812"/>
    </row>
    <row r="15752" spans="7:7">
      <c r="G15752" s="812"/>
    </row>
    <row r="15753" spans="7:7">
      <c r="G15753" s="812"/>
    </row>
    <row r="15754" spans="7:7">
      <c r="G15754" s="812"/>
    </row>
    <row r="15755" spans="7:7">
      <c r="G15755" s="812"/>
    </row>
    <row r="15756" spans="7:7">
      <c r="G15756" s="812"/>
    </row>
    <row r="15757" spans="7:7">
      <c r="G15757" s="812"/>
    </row>
    <row r="15758" spans="7:7">
      <c r="G15758" s="812"/>
    </row>
    <row r="15759" spans="7:7">
      <c r="G15759" s="812"/>
    </row>
    <row r="15760" spans="7:7">
      <c r="G15760" s="812"/>
    </row>
    <row r="15761" spans="7:7">
      <c r="G15761" s="812"/>
    </row>
    <row r="15762" spans="7:7">
      <c r="G15762" s="812"/>
    </row>
    <row r="15763" spans="7:7">
      <c r="G15763" s="812"/>
    </row>
    <row r="15764" spans="7:7">
      <c r="G15764" s="812"/>
    </row>
    <row r="15765" spans="7:7">
      <c r="G15765" s="812"/>
    </row>
    <row r="15766" spans="7:7">
      <c r="G15766" s="812"/>
    </row>
    <row r="15767" spans="7:7">
      <c r="G15767" s="812"/>
    </row>
    <row r="15768" spans="7:7">
      <c r="G15768" s="812"/>
    </row>
    <row r="15769" spans="7:7">
      <c r="G15769" s="812"/>
    </row>
    <row r="15770" spans="7:7">
      <c r="G15770" s="812"/>
    </row>
    <row r="15771" spans="7:7">
      <c r="G15771" s="812"/>
    </row>
    <row r="15772" spans="7:7">
      <c r="G15772" s="812"/>
    </row>
    <row r="15773" spans="7:7">
      <c r="G15773" s="812"/>
    </row>
    <row r="15774" spans="7:7">
      <c r="G15774" s="812"/>
    </row>
    <row r="15775" spans="7:7">
      <c r="G15775" s="812"/>
    </row>
    <row r="15776" spans="7:7">
      <c r="G15776" s="812"/>
    </row>
    <row r="15777" spans="7:7">
      <c r="G15777" s="812"/>
    </row>
    <row r="15778" spans="7:7">
      <c r="G15778" s="812"/>
    </row>
    <row r="15779" spans="7:7">
      <c r="G15779" s="812"/>
    </row>
    <row r="15780" spans="7:7">
      <c r="G15780" s="812"/>
    </row>
    <row r="15781" spans="7:7">
      <c r="G15781" s="812"/>
    </row>
    <row r="15782" spans="7:7">
      <c r="G15782" s="812"/>
    </row>
    <row r="15783" spans="7:7">
      <c r="G15783" s="812"/>
    </row>
    <row r="15784" spans="7:7">
      <c r="G15784" s="812"/>
    </row>
    <row r="15785" spans="7:7">
      <c r="G15785" s="812"/>
    </row>
    <row r="15786" spans="7:7">
      <c r="G15786" s="812"/>
    </row>
    <row r="15787" spans="7:7">
      <c r="G15787" s="812"/>
    </row>
    <row r="15788" spans="7:7">
      <c r="G15788" s="812"/>
    </row>
    <row r="15789" spans="7:7">
      <c r="G15789" s="812"/>
    </row>
    <row r="15790" spans="7:7">
      <c r="G15790" s="812"/>
    </row>
    <row r="15791" spans="7:7">
      <c r="G15791" s="812"/>
    </row>
    <row r="15792" spans="7:7">
      <c r="G15792" s="812"/>
    </row>
    <row r="15793" spans="7:7">
      <c r="G15793" s="812"/>
    </row>
    <row r="15794" spans="7:7">
      <c r="G15794" s="812"/>
    </row>
    <row r="15795" spans="7:7">
      <c r="G15795" s="812"/>
    </row>
    <row r="15796" spans="7:7">
      <c r="G15796" s="812"/>
    </row>
    <row r="15797" spans="7:7">
      <c r="G15797" s="812"/>
    </row>
    <row r="15798" spans="7:7">
      <c r="G15798" s="812"/>
    </row>
    <row r="15799" spans="7:7">
      <c r="G15799" s="812"/>
    </row>
    <row r="15800" spans="7:7">
      <c r="G15800" s="812"/>
    </row>
    <row r="15801" spans="7:7">
      <c r="G15801" s="812"/>
    </row>
    <row r="15802" spans="7:7">
      <c r="G15802" s="812"/>
    </row>
    <row r="15803" spans="7:7">
      <c r="G15803" s="812"/>
    </row>
    <row r="15804" spans="7:7">
      <c r="G15804" s="812"/>
    </row>
    <row r="15805" spans="7:7">
      <c r="G15805" s="812"/>
    </row>
    <row r="15806" spans="7:7">
      <c r="G15806" s="812"/>
    </row>
    <row r="15807" spans="7:7">
      <c r="G15807" s="812"/>
    </row>
    <row r="15808" spans="7:7">
      <c r="G15808" s="812"/>
    </row>
    <row r="15809" spans="7:7">
      <c r="G15809" s="812"/>
    </row>
    <row r="15810" spans="7:7">
      <c r="G15810" s="812"/>
    </row>
    <row r="15811" spans="7:7">
      <c r="G15811" s="812"/>
    </row>
    <row r="15812" spans="7:7">
      <c r="G15812" s="812"/>
    </row>
    <row r="15813" spans="7:7">
      <c r="G15813" s="812"/>
    </row>
    <row r="15814" spans="7:7">
      <c r="G15814" s="812"/>
    </row>
    <row r="15815" spans="7:7">
      <c r="G15815" s="812"/>
    </row>
    <row r="15816" spans="7:7">
      <c r="G15816" s="812"/>
    </row>
    <row r="15817" spans="7:7">
      <c r="G15817" s="812"/>
    </row>
    <row r="15818" spans="7:7">
      <c r="G15818" s="812"/>
    </row>
    <row r="15819" spans="7:7">
      <c r="G15819" s="812"/>
    </row>
    <row r="15820" spans="7:7">
      <c r="G15820" s="812"/>
    </row>
    <row r="15821" spans="7:7">
      <c r="G15821" s="812"/>
    </row>
    <row r="15822" spans="7:7">
      <c r="G15822" s="812"/>
    </row>
    <row r="15823" spans="7:7">
      <c r="G15823" s="812"/>
    </row>
    <row r="15824" spans="7:7">
      <c r="G15824" s="812"/>
    </row>
    <row r="15825" spans="7:7">
      <c r="G15825" s="812"/>
    </row>
    <row r="15826" spans="7:7">
      <c r="G15826" s="812"/>
    </row>
    <row r="15827" spans="7:7">
      <c r="G15827" s="812"/>
    </row>
    <row r="15828" spans="7:7">
      <c r="G15828" s="812"/>
    </row>
    <row r="15829" spans="7:7">
      <c r="G15829" s="812"/>
    </row>
    <row r="15830" spans="7:7">
      <c r="G15830" s="812"/>
    </row>
    <row r="15831" spans="7:7">
      <c r="G15831" s="812"/>
    </row>
    <row r="15832" spans="7:7">
      <c r="G15832" s="812"/>
    </row>
    <row r="15833" spans="7:7">
      <c r="G15833" s="812"/>
    </row>
    <row r="15834" spans="7:7">
      <c r="G15834" s="812"/>
    </row>
    <row r="15835" spans="7:7">
      <c r="G15835" s="812"/>
    </row>
    <row r="15836" spans="7:7">
      <c r="G15836" s="812"/>
    </row>
    <row r="15837" spans="7:7">
      <c r="G15837" s="812"/>
    </row>
    <row r="15838" spans="7:7">
      <c r="G15838" s="812"/>
    </row>
    <row r="15839" spans="7:7">
      <c r="G15839" s="812"/>
    </row>
    <row r="15840" spans="7:7">
      <c r="G15840" s="812"/>
    </row>
    <row r="15841" spans="7:7">
      <c r="G15841" s="812"/>
    </row>
    <row r="15842" spans="7:7">
      <c r="G15842" s="812"/>
    </row>
    <row r="15843" spans="7:7">
      <c r="G15843" s="812"/>
    </row>
    <row r="15844" spans="7:7">
      <c r="G15844" s="812"/>
    </row>
    <row r="15845" spans="7:7">
      <c r="G15845" s="812"/>
    </row>
    <row r="15846" spans="7:7">
      <c r="G15846" s="812"/>
    </row>
    <row r="15847" spans="7:7">
      <c r="G15847" s="812"/>
    </row>
    <row r="15848" spans="7:7">
      <c r="G15848" s="812"/>
    </row>
    <row r="15849" spans="7:7">
      <c r="G15849" s="812"/>
    </row>
    <row r="15850" spans="7:7">
      <c r="G15850" s="812"/>
    </row>
    <row r="15851" spans="7:7">
      <c r="G15851" s="812"/>
    </row>
    <row r="15852" spans="7:7">
      <c r="G15852" s="812"/>
    </row>
    <row r="15853" spans="7:7">
      <c r="G15853" s="812"/>
    </row>
    <row r="15854" spans="7:7">
      <c r="G15854" s="812"/>
    </row>
    <row r="15855" spans="7:7">
      <c r="G15855" s="812"/>
    </row>
    <row r="15856" spans="7:7">
      <c r="G15856" s="812"/>
    </row>
    <row r="15857" spans="7:7">
      <c r="G15857" s="812"/>
    </row>
    <row r="15858" spans="7:7">
      <c r="G15858" s="812"/>
    </row>
    <row r="15859" spans="7:7">
      <c r="G15859" s="812"/>
    </row>
    <row r="15860" spans="7:7">
      <c r="G15860" s="812"/>
    </row>
    <row r="15861" spans="7:7">
      <c r="G15861" s="812"/>
    </row>
    <row r="15862" spans="7:7">
      <c r="G15862" s="812"/>
    </row>
    <row r="15863" spans="7:7">
      <c r="G15863" s="812"/>
    </row>
    <row r="15864" spans="7:7">
      <c r="G15864" s="812"/>
    </row>
    <row r="15865" spans="7:7">
      <c r="G15865" s="812"/>
    </row>
    <row r="15866" spans="7:7">
      <c r="G15866" s="812"/>
    </row>
    <row r="15867" spans="7:7">
      <c r="G15867" s="812"/>
    </row>
    <row r="15868" spans="7:7">
      <c r="G15868" s="812"/>
    </row>
    <row r="15869" spans="7:7">
      <c r="G15869" s="812"/>
    </row>
    <row r="15870" spans="7:7">
      <c r="G15870" s="812"/>
    </row>
    <row r="15871" spans="7:7">
      <c r="G15871" s="812"/>
    </row>
    <row r="15872" spans="7:7">
      <c r="G15872" s="812"/>
    </row>
    <row r="15873" spans="7:7">
      <c r="G15873" s="812"/>
    </row>
    <row r="15874" spans="7:7">
      <c r="G15874" s="812"/>
    </row>
    <row r="15875" spans="7:7">
      <c r="G15875" s="812"/>
    </row>
    <row r="15876" spans="7:7">
      <c r="G15876" s="812"/>
    </row>
    <row r="15877" spans="7:7">
      <c r="G15877" s="812"/>
    </row>
    <row r="15878" spans="7:7">
      <c r="G15878" s="812"/>
    </row>
    <row r="15879" spans="7:7">
      <c r="G15879" s="812"/>
    </row>
    <row r="15880" spans="7:7">
      <c r="G15880" s="812"/>
    </row>
    <row r="15881" spans="7:7">
      <c r="G15881" s="812"/>
    </row>
    <row r="15882" spans="7:7">
      <c r="G15882" s="812"/>
    </row>
    <row r="15883" spans="7:7">
      <c r="G15883" s="812"/>
    </row>
    <row r="15884" spans="7:7">
      <c r="G15884" s="812"/>
    </row>
    <row r="15885" spans="7:7">
      <c r="G15885" s="812"/>
    </row>
    <row r="15886" spans="7:7">
      <c r="G15886" s="812"/>
    </row>
    <row r="15887" spans="7:7">
      <c r="G15887" s="812"/>
    </row>
    <row r="15888" spans="7:7">
      <c r="G15888" s="812"/>
    </row>
    <row r="15889" spans="7:7">
      <c r="G15889" s="812"/>
    </row>
    <row r="15890" spans="7:7">
      <c r="G15890" s="812"/>
    </row>
    <row r="15891" spans="7:7">
      <c r="G15891" s="812"/>
    </row>
    <row r="15892" spans="7:7">
      <c r="G15892" s="812"/>
    </row>
    <row r="15893" spans="7:7">
      <c r="G15893" s="812"/>
    </row>
    <row r="15894" spans="7:7">
      <c r="G15894" s="812"/>
    </row>
    <row r="15895" spans="7:7">
      <c r="G15895" s="812"/>
    </row>
    <row r="15896" spans="7:7">
      <c r="G15896" s="812"/>
    </row>
    <row r="15897" spans="7:7">
      <c r="G15897" s="812"/>
    </row>
    <row r="15898" spans="7:7">
      <c r="G15898" s="812"/>
    </row>
    <row r="15899" spans="7:7">
      <c r="G15899" s="812"/>
    </row>
    <row r="15900" spans="7:7">
      <c r="G15900" s="812"/>
    </row>
    <row r="15901" spans="7:7">
      <c r="G15901" s="812"/>
    </row>
    <row r="15902" spans="7:7">
      <c r="G15902" s="812"/>
    </row>
    <row r="15903" spans="7:7">
      <c r="G15903" s="812"/>
    </row>
    <row r="15904" spans="7:7">
      <c r="G15904" s="812"/>
    </row>
    <row r="15905" spans="7:7">
      <c r="G15905" s="812"/>
    </row>
    <row r="15906" spans="7:7">
      <c r="G15906" s="812"/>
    </row>
    <row r="15907" spans="7:7">
      <c r="G15907" s="812"/>
    </row>
    <row r="15908" spans="7:7">
      <c r="G15908" s="812"/>
    </row>
    <row r="15909" spans="7:7">
      <c r="G15909" s="812"/>
    </row>
    <row r="15910" spans="7:7">
      <c r="G15910" s="812"/>
    </row>
    <row r="15911" spans="7:7">
      <c r="G15911" s="812"/>
    </row>
    <row r="15912" spans="7:7">
      <c r="G15912" s="812"/>
    </row>
    <row r="15913" spans="7:7">
      <c r="G15913" s="812"/>
    </row>
    <row r="15914" spans="7:7">
      <c r="G15914" s="812"/>
    </row>
    <row r="15915" spans="7:7">
      <c r="G15915" s="812"/>
    </row>
    <row r="15916" spans="7:7">
      <c r="G15916" s="812"/>
    </row>
    <row r="15917" spans="7:7">
      <c r="G15917" s="812"/>
    </row>
    <row r="15918" spans="7:7">
      <c r="G15918" s="812"/>
    </row>
    <row r="15919" spans="7:7">
      <c r="G15919" s="812"/>
    </row>
    <row r="15920" spans="7:7">
      <c r="G15920" s="812"/>
    </row>
    <row r="15921" spans="7:7">
      <c r="G15921" s="812"/>
    </row>
    <row r="15922" spans="7:7">
      <c r="G15922" s="812"/>
    </row>
    <row r="15923" spans="7:7">
      <c r="G15923" s="812"/>
    </row>
    <row r="15924" spans="7:7">
      <c r="G15924" s="812"/>
    </row>
    <row r="15925" spans="7:7">
      <c r="G15925" s="812"/>
    </row>
    <row r="15926" spans="7:7">
      <c r="G15926" s="812"/>
    </row>
    <row r="15927" spans="7:7">
      <c r="G15927" s="812"/>
    </row>
    <row r="15928" spans="7:7">
      <c r="G15928" s="812"/>
    </row>
    <row r="15929" spans="7:7">
      <c r="G15929" s="812"/>
    </row>
    <row r="15930" spans="7:7">
      <c r="G15930" s="812"/>
    </row>
    <row r="15931" spans="7:7">
      <c r="G15931" s="812"/>
    </row>
    <row r="15932" spans="7:7">
      <c r="G15932" s="812"/>
    </row>
    <row r="15933" spans="7:7">
      <c r="G15933" s="812"/>
    </row>
    <row r="15934" spans="7:7">
      <c r="G15934" s="812"/>
    </row>
    <row r="15935" spans="7:7">
      <c r="G15935" s="812"/>
    </row>
    <row r="15936" spans="7:7">
      <c r="G15936" s="812"/>
    </row>
    <row r="15937" spans="7:7">
      <c r="G15937" s="812"/>
    </row>
    <row r="15938" spans="7:7">
      <c r="G15938" s="812"/>
    </row>
    <row r="15939" spans="7:7">
      <c r="G15939" s="812"/>
    </row>
    <row r="15940" spans="7:7">
      <c r="G15940" s="812"/>
    </row>
    <row r="15941" spans="7:7">
      <c r="G15941" s="812"/>
    </row>
    <row r="15942" spans="7:7">
      <c r="G15942" s="812"/>
    </row>
    <row r="15943" spans="7:7">
      <c r="G15943" s="812"/>
    </row>
    <row r="15944" spans="7:7">
      <c r="G15944" s="812"/>
    </row>
    <row r="15945" spans="7:7">
      <c r="G15945" s="812"/>
    </row>
    <row r="15946" spans="7:7">
      <c r="G15946" s="812"/>
    </row>
    <row r="15947" spans="7:7">
      <c r="G15947" s="812"/>
    </row>
    <row r="15948" spans="7:7">
      <c r="G15948" s="812"/>
    </row>
    <row r="15949" spans="7:7">
      <c r="G15949" s="812"/>
    </row>
    <row r="15950" spans="7:7">
      <c r="G15950" s="812"/>
    </row>
    <row r="15951" spans="7:7">
      <c r="G15951" s="812"/>
    </row>
    <row r="15952" spans="7:7">
      <c r="G15952" s="812"/>
    </row>
    <row r="15953" spans="7:7">
      <c r="G15953" s="812"/>
    </row>
    <row r="15954" spans="7:7">
      <c r="G15954" s="812"/>
    </row>
    <row r="15955" spans="7:7">
      <c r="G15955" s="812"/>
    </row>
    <row r="15956" spans="7:7">
      <c r="G15956" s="812"/>
    </row>
    <row r="15957" spans="7:7">
      <c r="G15957" s="812"/>
    </row>
    <row r="15958" spans="7:7">
      <c r="G15958" s="812"/>
    </row>
    <row r="15959" spans="7:7">
      <c r="G15959" s="812"/>
    </row>
    <row r="15960" spans="7:7">
      <c r="G15960" s="812"/>
    </row>
    <row r="15961" spans="7:7">
      <c r="G15961" s="812"/>
    </row>
    <row r="15962" spans="7:7">
      <c r="G15962" s="812"/>
    </row>
    <row r="15963" spans="7:7">
      <c r="G15963" s="812"/>
    </row>
    <row r="15964" spans="7:7">
      <c r="G15964" s="812"/>
    </row>
    <row r="15965" spans="7:7">
      <c r="G15965" s="812"/>
    </row>
    <row r="15966" spans="7:7">
      <c r="G15966" s="812"/>
    </row>
    <row r="15967" spans="7:7">
      <c r="G15967" s="812"/>
    </row>
    <row r="15968" spans="7:7">
      <c r="G15968" s="812"/>
    </row>
    <row r="15969" spans="7:7">
      <c r="G15969" s="812"/>
    </row>
    <row r="15970" spans="7:7">
      <c r="G15970" s="812"/>
    </row>
    <row r="15971" spans="7:7">
      <c r="G15971" s="812"/>
    </row>
    <row r="15972" spans="7:7">
      <c r="G15972" s="812"/>
    </row>
    <row r="15973" spans="7:7">
      <c r="G15973" s="812"/>
    </row>
    <row r="15974" spans="7:7">
      <c r="G15974" s="812"/>
    </row>
    <row r="15975" spans="7:7">
      <c r="G15975" s="812"/>
    </row>
    <row r="15976" spans="7:7">
      <c r="G15976" s="812"/>
    </row>
    <row r="15977" spans="7:7">
      <c r="G15977" s="812"/>
    </row>
    <row r="15978" spans="7:7">
      <c r="G15978" s="812"/>
    </row>
    <row r="15979" spans="7:7">
      <c r="G15979" s="812"/>
    </row>
    <row r="15980" spans="7:7">
      <c r="G15980" s="812"/>
    </row>
    <row r="15981" spans="7:7">
      <c r="G15981" s="812"/>
    </row>
    <row r="15982" spans="7:7">
      <c r="G15982" s="812"/>
    </row>
    <row r="15983" spans="7:7">
      <c r="G15983" s="812"/>
    </row>
    <row r="15984" spans="7:7">
      <c r="G15984" s="812"/>
    </row>
    <row r="15985" spans="7:7">
      <c r="G15985" s="812"/>
    </row>
    <row r="15986" spans="7:7">
      <c r="G15986" s="812"/>
    </row>
    <row r="15987" spans="7:7">
      <c r="G15987" s="812"/>
    </row>
    <row r="15988" spans="7:7">
      <c r="G15988" s="812"/>
    </row>
    <row r="15989" spans="7:7">
      <c r="G15989" s="812"/>
    </row>
    <row r="15990" spans="7:7">
      <c r="G15990" s="812"/>
    </row>
    <row r="15991" spans="7:7">
      <c r="G15991" s="812"/>
    </row>
    <row r="15992" spans="7:7">
      <c r="G15992" s="812"/>
    </row>
    <row r="15993" spans="7:7">
      <c r="G15993" s="812"/>
    </row>
    <row r="15994" spans="7:7">
      <c r="G15994" s="812"/>
    </row>
    <row r="15995" spans="7:7">
      <c r="G15995" s="812"/>
    </row>
    <row r="15996" spans="7:7">
      <c r="G15996" s="812"/>
    </row>
    <row r="15997" spans="7:7">
      <c r="G15997" s="812"/>
    </row>
    <row r="15998" spans="7:7">
      <c r="G15998" s="812"/>
    </row>
    <row r="15999" spans="7:7">
      <c r="G15999" s="812"/>
    </row>
    <row r="16000" spans="7:7">
      <c r="G16000" s="812"/>
    </row>
    <row r="16001" spans="7:7">
      <c r="G16001" s="812"/>
    </row>
    <row r="16002" spans="7:7">
      <c r="G16002" s="812"/>
    </row>
    <row r="16003" spans="7:7">
      <c r="G16003" s="812"/>
    </row>
    <row r="16004" spans="7:7">
      <c r="G16004" s="812"/>
    </row>
    <row r="16005" spans="7:7">
      <c r="G16005" s="812"/>
    </row>
    <row r="16006" spans="7:7">
      <c r="G16006" s="812"/>
    </row>
    <row r="16007" spans="7:7">
      <c r="G16007" s="812"/>
    </row>
    <row r="16008" spans="7:7">
      <c r="G16008" s="812"/>
    </row>
    <row r="16009" spans="7:7">
      <c r="G16009" s="812"/>
    </row>
    <row r="16010" spans="7:7">
      <c r="G16010" s="812"/>
    </row>
    <row r="16011" spans="7:7">
      <c r="G16011" s="812"/>
    </row>
    <row r="16012" spans="7:7">
      <c r="G16012" s="812"/>
    </row>
    <row r="16013" spans="7:7">
      <c r="G16013" s="812"/>
    </row>
    <row r="16014" spans="7:7">
      <c r="G16014" s="812"/>
    </row>
    <row r="16015" spans="7:7">
      <c r="G16015" s="812"/>
    </row>
    <row r="16016" spans="7:7">
      <c r="G16016" s="812"/>
    </row>
    <row r="16017" spans="7:7">
      <c r="G16017" s="812"/>
    </row>
    <row r="16018" spans="7:7">
      <c r="G16018" s="812"/>
    </row>
    <row r="16019" spans="7:7">
      <c r="G16019" s="812"/>
    </row>
    <row r="16020" spans="7:7">
      <c r="G16020" s="812"/>
    </row>
    <row r="16021" spans="7:7">
      <c r="G16021" s="812"/>
    </row>
    <row r="16022" spans="7:7">
      <c r="G16022" s="812"/>
    </row>
    <row r="16023" spans="7:7">
      <c r="G16023" s="812"/>
    </row>
    <row r="16024" spans="7:7">
      <c r="G16024" s="812"/>
    </row>
    <row r="16025" spans="7:7">
      <c r="G16025" s="812"/>
    </row>
    <row r="16026" spans="7:7">
      <c r="G16026" s="812"/>
    </row>
    <row r="16027" spans="7:7">
      <c r="G16027" s="812"/>
    </row>
    <row r="16028" spans="7:7">
      <c r="G16028" s="812"/>
    </row>
    <row r="16029" spans="7:7">
      <c r="G16029" s="812"/>
    </row>
    <row r="16030" spans="7:7">
      <c r="G16030" s="812"/>
    </row>
    <row r="16031" spans="7:7">
      <c r="G16031" s="812"/>
    </row>
    <row r="16032" spans="7:7">
      <c r="G16032" s="812"/>
    </row>
    <row r="16033" spans="7:7">
      <c r="G16033" s="812"/>
    </row>
    <row r="16034" spans="7:7">
      <c r="G16034" s="812"/>
    </row>
    <row r="16035" spans="7:7">
      <c r="G16035" s="812"/>
    </row>
    <row r="16036" spans="7:7">
      <c r="G16036" s="812"/>
    </row>
    <row r="16037" spans="7:7">
      <c r="G16037" s="812"/>
    </row>
    <row r="16038" spans="7:7">
      <c r="G16038" s="812"/>
    </row>
    <row r="16039" spans="7:7">
      <c r="G16039" s="812"/>
    </row>
    <row r="16040" spans="7:7">
      <c r="G16040" s="812"/>
    </row>
    <row r="16041" spans="7:7">
      <c r="G16041" s="812"/>
    </row>
    <row r="16042" spans="7:7">
      <c r="G16042" s="812"/>
    </row>
    <row r="16043" spans="7:7">
      <c r="G16043" s="812"/>
    </row>
    <row r="16044" spans="7:7">
      <c r="G16044" s="812"/>
    </row>
    <row r="16045" spans="7:7">
      <c r="G16045" s="812"/>
    </row>
    <row r="16046" spans="7:7">
      <c r="G16046" s="812"/>
    </row>
    <row r="16047" spans="7:7">
      <c r="G16047" s="812"/>
    </row>
    <row r="16048" spans="7:7">
      <c r="G16048" s="812"/>
    </row>
    <row r="16049" spans="7:7">
      <c r="G16049" s="812"/>
    </row>
    <row r="16050" spans="7:7">
      <c r="G16050" s="812"/>
    </row>
    <row r="16051" spans="7:7">
      <c r="G16051" s="812"/>
    </row>
    <row r="16052" spans="7:7">
      <c r="G16052" s="812"/>
    </row>
    <row r="16053" spans="7:7">
      <c r="G16053" s="812"/>
    </row>
    <row r="16054" spans="7:7">
      <c r="G16054" s="812"/>
    </row>
    <row r="16055" spans="7:7">
      <c r="G16055" s="812"/>
    </row>
    <row r="16056" spans="7:7">
      <c r="G16056" s="812"/>
    </row>
    <row r="16057" spans="7:7">
      <c r="G16057" s="812"/>
    </row>
    <row r="16058" spans="7:7">
      <c r="G16058" s="812"/>
    </row>
    <row r="16059" spans="7:7">
      <c r="G16059" s="812"/>
    </row>
    <row r="16060" spans="7:7">
      <c r="G16060" s="812"/>
    </row>
    <row r="16061" spans="7:7">
      <c r="G16061" s="812"/>
    </row>
    <row r="16062" spans="7:7">
      <c r="G16062" s="812"/>
    </row>
    <row r="16063" spans="7:7">
      <c r="G16063" s="812"/>
    </row>
    <row r="16064" spans="7:7">
      <c r="G16064" s="812"/>
    </row>
    <row r="16065" spans="7:7">
      <c r="G16065" s="812"/>
    </row>
    <row r="16066" spans="7:7">
      <c r="G16066" s="812"/>
    </row>
    <row r="16067" spans="7:7">
      <c r="G16067" s="812"/>
    </row>
    <row r="16068" spans="7:7">
      <c r="G16068" s="812"/>
    </row>
    <row r="16069" spans="7:7">
      <c r="G16069" s="812"/>
    </row>
    <row r="16070" spans="7:7">
      <c r="G16070" s="812"/>
    </row>
    <row r="16071" spans="7:7">
      <c r="G16071" s="812"/>
    </row>
    <row r="16072" spans="7:7">
      <c r="G16072" s="812"/>
    </row>
    <row r="16073" spans="7:7">
      <c r="G16073" s="812"/>
    </row>
    <row r="16074" spans="7:7">
      <c r="G16074" s="812"/>
    </row>
    <row r="16075" spans="7:7">
      <c r="G16075" s="812"/>
    </row>
    <row r="16076" spans="7:7">
      <c r="G16076" s="812"/>
    </row>
    <row r="16077" spans="7:7">
      <c r="G16077" s="812"/>
    </row>
    <row r="16078" spans="7:7">
      <c r="G16078" s="812"/>
    </row>
    <row r="16079" spans="7:7">
      <c r="G16079" s="812"/>
    </row>
    <row r="16080" spans="7:7">
      <c r="G16080" s="812"/>
    </row>
    <row r="16081" spans="7:7">
      <c r="G16081" s="812"/>
    </row>
    <row r="16082" spans="7:7">
      <c r="G16082" s="812"/>
    </row>
    <row r="16083" spans="7:7">
      <c r="G16083" s="812"/>
    </row>
    <row r="16084" spans="7:7">
      <c r="G16084" s="812"/>
    </row>
    <row r="16085" spans="7:7">
      <c r="G16085" s="812"/>
    </row>
    <row r="16086" spans="7:7">
      <c r="G16086" s="812"/>
    </row>
    <row r="16087" spans="7:7">
      <c r="G16087" s="812"/>
    </row>
    <row r="16088" spans="7:7">
      <c r="G16088" s="812"/>
    </row>
    <row r="16089" spans="7:7">
      <c r="G16089" s="812"/>
    </row>
    <row r="16090" spans="7:7">
      <c r="G16090" s="812"/>
    </row>
    <row r="16091" spans="7:7">
      <c r="G16091" s="812"/>
    </row>
    <row r="16092" spans="7:7">
      <c r="G16092" s="812"/>
    </row>
    <row r="16093" spans="7:7">
      <c r="G16093" s="812"/>
    </row>
    <row r="16094" spans="7:7">
      <c r="G16094" s="812"/>
    </row>
    <row r="16095" spans="7:7">
      <c r="G16095" s="812"/>
    </row>
    <row r="16096" spans="7:7">
      <c r="G16096" s="812"/>
    </row>
    <row r="16097" spans="7:7">
      <c r="G16097" s="812"/>
    </row>
    <row r="16098" spans="7:7">
      <c r="G16098" s="812"/>
    </row>
    <row r="16099" spans="7:7">
      <c r="G16099" s="812"/>
    </row>
    <row r="16100" spans="7:7">
      <c r="G16100" s="812"/>
    </row>
    <row r="16101" spans="7:7">
      <c r="G16101" s="812"/>
    </row>
    <row r="16102" spans="7:7">
      <c r="G16102" s="812"/>
    </row>
    <row r="16103" spans="7:7">
      <c r="G16103" s="812"/>
    </row>
    <row r="16104" spans="7:7">
      <c r="G16104" s="812"/>
    </row>
    <row r="16105" spans="7:7">
      <c r="G16105" s="812"/>
    </row>
    <row r="16106" spans="7:7">
      <c r="G16106" s="812"/>
    </row>
    <row r="16107" spans="7:7">
      <c r="G16107" s="812"/>
    </row>
    <row r="16108" spans="7:7">
      <c r="G16108" s="812"/>
    </row>
    <row r="16109" spans="7:7">
      <c r="G16109" s="812"/>
    </row>
    <row r="16110" spans="7:7">
      <c r="G16110" s="812"/>
    </row>
    <row r="16111" spans="7:7">
      <c r="G16111" s="812"/>
    </row>
    <row r="16112" spans="7:7">
      <c r="G16112" s="812"/>
    </row>
    <row r="16113" spans="7:7">
      <c r="G16113" s="812"/>
    </row>
    <row r="16114" spans="7:7">
      <c r="G16114" s="812"/>
    </row>
    <row r="16115" spans="7:7">
      <c r="G16115" s="812"/>
    </row>
    <row r="16116" spans="7:7">
      <c r="G16116" s="812"/>
    </row>
    <row r="16117" spans="7:7">
      <c r="G16117" s="812"/>
    </row>
    <row r="16118" spans="7:7">
      <c r="G16118" s="812"/>
    </row>
    <row r="16119" spans="7:7">
      <c r="G16119" s="812"/>
    </row>
    <row r="16120" spans="7:7">
      <c r="G16120" s="812"/>
    </row>
    <row r="16121" spans="7:7">
      <c r="G16121" s="812"/>
    </row>
    <row r="16122" spans="7:7">
      <c r="G16122" s="812"/>
    </row>
    <row r="16123" spans="7:7">
      <c r="G16123" s="812"/>
    </row>
    <row r="16124" spans="7:7">
      <c r="G16124" s="812"/>
    </row>
    <row r="16125" spans="7:7">
      <c r="G16125" s="812"/>
    </row>
    <row r="16126" spans="7:7">
      <c r="G16126" s="812"/>
    </row>
    <row r="16127" spans="7:7">
      <c r="G16127" s="812"/>
    </row>
    <row r="16128" spans="7:7">
      <c r="G16128" s="812"/>
    </row>
    <row r="16129" spans="7:7">
      <c r="G16129" s="812"/>
    </row>
    <row r="16130" spans="7:7">
      <c r="G16130" s="812"/>
    </row>
    <row r="16131" spans="7:7">
      <c r="G16131" s="812"/>
    </row>
    <row r="16132" spans="7:7">
      <c r="G16132" s="812"/>
    </row>
    <row r="16133" spans="7:7">
      <c r="G16133" s="812"/>
    </row>
    <row r="16134" spans="7:7">
      <c r="G16134" s="812"/>
    </row>
    <row r="16135" spans="7:7">
      <c r="G16135" s="812"/>
    </row>
    <row r="16136" spans="7:7">
      <c r="G16136" s="812"/>
    </row>
    <row r="16137" spans="7:7">
      <c r="G16137" s="812"/>
    </row>
    <row r="16138" spans="7:7">
      <c r="G16138" s="812"/>
    </row>
    <row r="16139" spans="7:7">
      <c r="G16139" s="812"/>
    </row>
    <row r="16140" spans="7:7">
      <c r="G16140" s="812"/>
    </row>
    <row r="16141" spans="7:7">
      <c r="G16141" s="812"/>
    </row>
    <row r="16142" spans="7:7">
      <c r="G16142" s="812"/>
    </row>
    <row r="16143" spans="7:7">
      <c r="G16143" s="812"/>
    </row>
    <row r="16144" spans="7:7">
      <c r="G16144" s="812"/>
    </row>
    <row r="16145" spans="7:7">
      <c r="G16145" s="812"/>
    </row>
    <row r="16146" spans="7:7">
      <c r="G16146" s="812"/>
    </row>
    <row r="16147" spans="7:7">
      <c r="G16147" s="812"/>
    </row>
    <row r="16148" spans="7:7">
      <c r="G16148" s="812"/>
    </row>
    <row r="16149" spans="7:7">
      <c r="G16149" s="812"/>
    </row>
    <row r="16150" spans="7:7">
      <c r="G16150" s="812"/>
    </row>
    <row r="16151" spans="7:7">
      <c r="G16151" s="812"/>
    </row>
    <row r="16152" spans="7:7">
      <c r="G16152" s="812"/>
    </row>
    <row r="16153" spans="7:7">
      <c r="G16153" s="812"/>
    </row>
    <row r="16154" spans="7:7">
      <c r="G16154" s="812"/>
    </row>
    <row r="16155" spans="7:7">
      <c r="G16155" s="812"/>
    </row>
    <row r="16156" spans="7:7">
      <c r="G16156" s="812"/>
    </row>
    <row r="16157" spans="7:7">
      <c r="G16157" s="812"/>
    </row>
    <row r="16158" spans="7:7">
      <c r="G16158" s="812"/>
    </row>
    <row r="16159" spans="7:7">
      <c r="G16159" s="812"/>
    </row>
    <row r="16160" spans="7:7">
      <c r="G16160" s="812"/>
    </row>
    <row r="16161" spans="7:7">
      <c r="G16161" s="812"/>
    </row>
    <row r="16162" spans="7:7">
      <c r="G16162" s="812"/>
    </row>
    <row r="16163" spans="7:7">
      <c r="G16163" s="812"/>
    </row>
    <row r="16164" spans="7:7">
      <c r="G16164" s="812"/>
    </row>
    <row r="16165" spans="7:7">
      <c r="G16165" s="812"/>
    </row>
    <row r="16166" spans="7:7">
      <c r="G16166" s="812"/>
    </row>
    <row r="16167" spans="7:7">
      <c r="G16167" s="812"/>
    </row>
    <row r="16168" spans="7:7">
      <c r="G16168" s="812"/>
    </row>
    <row r="16169" spans="7:7">
      <c r="G16169" s="812"/>
    </row>
    <row r="16170" spans="7:7">
      <c r="G16170" s="812"/>
    </row>
    <row r="16171" spans="7:7">
      <c r="G16171" s="812"/>
    </row>
    <row r="16172" spans="7:7">
      <c r="G16172" s="812"/>
    </row>
    <row r="16173" spans="7:7">
      <c r="G16173" s="812"/>
    </row>
    <row r="16174" spans="7:7">
      <c r="G16174" s="812"/>
    </row>
    <row r="16175" spans="7:7">
      <c r="G16175" s="812"/>
    </row>
    <row r="16176" spans="7:7">
      <c r="G16176" s="812"/>
    </row>
    <row r="16177" spans="7:7">
      <c r="G16177" s="812"/>
    </row>
    <row r="16178" spans="7:7">
      <c r="G16178" s="812"/>
    </row>
    <row r="16179" spans="7:7">
      <c r="G16179" s="812"/>
    </row>
    <row r="16180" spans="7:7">
      <c r="G16180" s="812"/>
    </row>
    <row r="16181" spans="7:7">
      <c r="G16181" s="812"/>
    </row>
    <row r="16182" spans="7:7">
      <c r="G16182" s="812"/>
    </row>
    <row r="16183" spans="7:7">
      <c r="G16183" s="812"/>
    </row>
    <row r="16184" spans="7:7">
      <c r="G16184" s="812"/>
    </row>
    <row r="16185" spans="7:7">
      <c r="G16185" s="812"/>
    </row>
    <row r="16186" spans="7:7">
      <c r="G16186" s="812"/>
    </row>
    <row r="16187" spans="7:7">
      <c r="G16187" s="812"/>
    </row>
    <row r="16188" spans="7:7">
      <c r="G16188" s="812"/>
    </row>
    <row r="16189" spans="7:7">
      <c r="G16189" s="812"/>
    </row>
    <row r="16190" spans="7:7">
      <c r="G16190" s="812"/>
    </row>
    <row r="16191" spans="7:7">
      <c r="G16191" s="812"/>
    </row>
    <row r="16192" spans="7:7">
      <c r="G16192" s="812"/>
    </row>
    <row r="16193" spans="7:7">
      <c r="G16193" s="812"/>
    </row>
    <row r="16194" spans="7:7">
      <c r="G16194" s="812"/>
    </row>
    <row r="16195" spans="7:7">
      <c r="G16195" s="812"/>
    </row>
    <row r="16196" spans="7:7">
      <c r="G16196" s="812"/>
    </row>
    <row r="16197" spans="7:7">
      <c r="G16197" s="812"/>
    </row>
    <row r="16198" spans="7:7">
      <c r="G16198" s="812"/>
    </row>
    <row r="16199" spans="7:7">
      <c r="G16199" s="812"/>
    </row>
    <row r="16200" spans="7:7">
      <c r="G16200" s="812"/>
    </row>
    <row r="16201" spans="7:7">
      <c r="G16201" s="812"/>
    </row>
    <row r="16202" spans="7:7">
      <c r="G16202" s="812"/>
    </row>
    <row r="16203" spans="7:7">
      <c r="G16203" s="812"/>
    </row>
    <row r="16204" spans="7:7">
      <c r="G16204" s="812"/>
    </row>
    <row r="16205" spans="7:7">
      <c r="G16205" s="812"/>
    </row>
    <row r="16206" spans="7:7">
      <c r="G16206" s="812"/>
    </row>
    <row r="16207" spans="7:7">
      <c r="G16207" s="812"/>
    </row>
    <row r="16208" spans="7:7">
      <c r="G16208" s="812"/>
    </row>
    <row r="16209" spans="7:7">
      <c r="G16209" s="812"/>
    </row>
    <row r="16210" spans="7:7">
      <c r="G16210" s="812"/>
    </row>
    <row r="16211" spans="7:7">
      <c r="G16211" s="812"/>
    </row>
    <row r="16212" spans="7:7">
      <c r="G16212" s="812"/>
    </row>
    <row r="16213" spans="7:7">
      <c r="G16213" s="812"/>
    </row>
    <row r="16214" spans="7:7">
      <c r="G16214" s="812"/>
    </row>
    <row r="16215" spans="7:7">
      <c r="G16215" s="812"/>
    </row>
    <row r="16216" spans="7:7">
      <c r="G16216" s="812"/>
    </row>
    <row r="16217" spans="7:7">
      <c r="G16217" s="812"/>
    </row>
    <row r="16218" spans="7:7">
      <c r="G16218" s="812"/>
    </row>
    <row r="16219" spans="7:7">
      <c r="G16219" s="812"/>
    </row>
    <row r="16220" spans="7:7">
      <c r="G16220" s="812"/>
    </row>
    <row r="16221" spans="7:7">
      <c r="G16221" s="812"/>
    </row>
    <row r="16222" spans="7:7">
      <c r="G16222" s="812"/>
    </row>
    <row r="16223" spans="7:7">
      <c r="G16223" s="812"/>
    </row>
    <row r="16224" spans="7:7">
      <c r="G16224" s="812"/>
    </row>
    <row r="16225" spans="7:7">
      <c r="G16225" s="812"/>
    </row>
    <row r="16226" spans="7:7">
      <c r="G16226" s="812"/>
    </row>
    <row r="16227" spans="7:7">
      <c r="G16227" s="812"/>
    </row>
    <row r="16228" spans="7:7">
      <c r="G16228" s="812"/>
    </row>
    <row r="16229" spans="7:7">
      <c r="G16229" s="812"/>
    </row>
    <row r="16230" spans="7:7">
      <c r="G16230" s="812"/>
    </row>
    <row r="16231" spans="7:7">
      <c r="G16231" s="812"/>
    </row>
    <row r="16232" spans="7:7">
      <c r="G16232" s="812"/>
    </row>
    <row r="16233" spans="7:7">
      <c r="G16233" s="812"/>
    </row>
    <row r="16234" spans="7:7">
      <c r="G16234" s="812"/>
    </row>
    <row r="16235" spans="7:7">
      <c r="G16235" s="812"/>
    </row>
    <row r="16236" spans="7:7">
      <c r="G16236" s="812"/>
    </row>
    <row r="16237" spans="7:7">
      <c r="G16237" s="812"/>
    </row>
    <row r="16238" spans="7:7">
      <c r="G16238" s="812"/>
    </row>
    <row r="16239" spans="7:7">
      <c r="G16239" s="812"/>
    </row>
    <row r="16240" spans="7:7">
      <c r="G16240" s="812"/>
    </row>
    <row r="16241" spans="7:7">
      <c r="G16241" s="812"/>
    </row>
    <row r="16242" spans="7:7">
      <c r="G16242" s="812"/>
    </row>
    <row r="16243" spans="7:7">
      <c r="G16243" s="812"/>
    </row>
    <row r="16244" spans="7:7">
      <c r="G16244" s="812"/>
    </row>
    <row r="16245" spans="7:7">
      <c r="G16245" s="812"/>
    </row>
    <row r="16246" spans="7:7">
      <c r="G16246" s="812"/>
    </row>
    <row r="16247" spans="7:7">
      <c r="G16247" s="812"/>
    </row>
    <row r="16248" spans="7:7">
      <c r="G16248" s="812"/>
    </row>
    <row r="16249" spans="7:7">
      <c r="G16249" s="812"/>
    </row>
    <row r="16250" spans="7:7">
      <c r="G16250" s="812"/>
    </row>
    <row r="16251" spans="7:7">
      <c r="G16251" s="812"/>
    </row>
    <row r="16252" spans="7:7">
      <c r="G16252" s="812"/>
    </row>
    <row r="16253" spans="7:7">
      <c r="G16253" s="812"/>
    </row>
    <row r="16254" spans="7:7">
      <c r="G16254" s="812"/>
    </row>
    <row r="16255" spans="7:7">
      <c r="G16255" s="812"/>
    </row>
    <row r="16256" spans="7:7">
      <c r="G16256" s="812"/>
    </row>
    <row r="16257" spans="7:7">
      <c r="G16257" s="812"/>
    </row>
    <row r="16258" spans="7:7">
      <c r="G16258" s="812"/>
    </row>
    <row r="16259" spans="7:7">
      <c r="G16259" s="812"/>
    </row>
    <row r="16260" spans="7:7">
      <c r="G16260" s="812"/>
    </row>
    <row r="16261" spans="7:7">
      <c r="G16261" s="812"/>
    </row>
    <row r="16262" spans="7:7">
      <c r="G16262" s="812"/>
    </row>
    <row r="16263" spans="7:7">
      <c r="G16263" s="812"/>
    </row>
    <row r="16264" spans="7:7">
      <c r="G16264" s="812"/>
    </row>
    <row r="16265" spans="7:7">
      <c r="G16265" s="812"/>
    </row>
    <row r="16266" spans="7:7">
      <c r="G16266" s="812"/>
    </row>
    <row r="16267" spans="7:7">
      <c r="G16267" s="812"/>
    </row>
    <row r="16268" spans="7:7">
      <c r="G16268" s="812"/>
    </row>
    <row r="16269" spans="7:7">
      <c r="G16269" s="812"/>
    </row>
    <row r="16270" spans="7:7">
      <c r="G16270" s="812"/>
    </row>
    <row r="16271" spans="7:7">
      <c r="G16271" s="812"/>
    </row>
    <row r="16272" spans="7:7">
      <c r="G16272" s="812"/>
    </row>
    <row r="16273" spans="7:7">
      <c r="G16273" s="812"/>
    </row>
    <row r="16274" spans="7:7">
      <c r="G16274" s="812"/>
    </row>
    <row r="16275" spans="7:7">
      <c r="G16275" s="812"/>
    </row>
    <row r="16276" spans="7:7">
      <c r="G16276" s="812"/>
    </row>
    <row r="16277" spans="7:7">
      <c r="G16277" s="812"/>
    </row>
    <row r="16278" spans="7:7">
      <c r="G16278" s="812"/>
    </row>
    <row r="16279" spans="7:7">
      <c r="G16279" s="812"/>
    </row>
    <row r="16280" spans="7:7">
      <c r="G16280" s="812"/>
    </row>
    <row r="16281" spans="7:7">
      <c r="G16281" s="812"/>
    </row>
    <row r="16282" spans="7:7">
      <c r="G16282" s="812"/>
    </row>
    <row r="16283" spans="7:7">
      <c r="G16283" s="812"/>
    </row>
    <row r="16284" spans="7:7">
      <c r="G16284" s="812"/>
    </row>
    <row r="16285" spans="7:7">
      <c r="G16285" s="812"/>
    </row>
    <row r="16286" spans="7:7">
      <c r="G16286" s="812"/>
    </row>
    <row r="16287" spans="7:7">
      <c r="G16287" s="812"/>
    </row>
    <row r="16288" spans="7:7">
      <c r="G16288" s="812"/>
    </row>
    <row r="16289" spans="7:7">
      <c r="G16289" s="812"/>
    </row>
    <row r="16290" spans="7:7">
      <c r="G16290" s="812"/>
    </row>
    <row r="16291" spans="7:7">
      <c r="G16291" s="812"/>
    </row>
    <row r="16292" spans="7:7">
      <c r="G16292" s="812"/>
    </row>
    <row r="16293" spans="7:7">
      <c r="G16293" s="812"/>
    </row>
    <row r="16294" spans="7:7">
      <c r="G16294" s="812"/>
    </row>
    <row r="16295" spans="7:7">
      <c r="G16295" s="812"/>
    </row>
    <row r="16296" spans="7:7">
      <c r="G16296" s="812"/>
    </row>
    <row r="16297" spans="7:7">
      <c r="G16297" s="812"/>
    </row>
    <row r="16298" spans="7:7">
      <c r="G16298" s="812"/>
    </row>
    <row r="16299" spans="7:7">
      <c r="G16299" s="812"/>
    </row>
    <row r="16300" spans="7:7">
      <c r="G16300" s="812"/>
    </row>
    <row r="16301" spans="7:7">
      <c r="G16301" s="812"/>
    </row>
    <row r="16302" spans="7:7">
      <c r="G16302" s="812"/>
    </row>
    <row r="16303" spans="7:7">
      <c r="G16303" s="812"/>
    </row>
    <row r="16304" spans="7:7">
      <c r="G16304" s="812"/>
    </row>
    <row r="16305" spans="7:7">
      <c r="G16305" s="812"/>
    </row>
    <row r="16306" spans="7:7">
      <c r="G16306" s="812"/>
    </row>
    <row r="16307" spans="7:7">
      <c r="G16307" s="812"/>
    </row>
    <row r="16308" spans="7:7">
      <c r="G16308" s="812"/>
    </row>
    <row r="16309" spans="7:7">
      <c r="G16309" s="812"/>
    </row>
    <row r="16310" spans="7:7">
      <c r="G16310" s="812"/>
    </row>
    <row r="16311" spans="7:7">
      <c r="G16311" s="812"/>
    </row>
    <row r="16312" spans="7:7">
      <c r="G16312" s="812"/>
    </row>
    <row r="16313" spans="7:7">
      <c r="G16313" s="812"/>
    </row>
    <row r="16314" spans="7:7">
      <c r="G16314" s="812"/>
    </row>
    <row r="16315" spans="7:7">
      <c r="G16315" s="812"/>
    </row>
    <row r="16316" spans="7:7">
      <c r="G16316" s="812"/>
    </row>
    <row r="16317" spans="7:7">
      <c r="G16317" s="812"/>
    </row>
    <row r="16318" spans="7:7">
      <c r="G16318" s="812"/>
    </row>
    <row r="16319" spans="7:7">
      <c r="G16319" s="812"/>
    </row>
    <row r="16320" spans="7:7">
      <c r="G16320" s="812"/>
    </row>
    <row r="16321" spans="7:7">
      <c r="G16321" s="812"/>
    </row>
    <row r="16322" spans="7:7">
      <c r="G16322" s="812"/>
    </row>
    <row r="16323" spans="7:7">
      <c r="G16323" s="812"/>
    </row>
    <row r="16324" spans="7:7">
      <c r="G16324" s="812"/>
    </row>
    <row r="16325" spans="7:7">
      <c r="G16325" s="812"/>
    </row>
    <row r="16326" spans="7:7">
      <c r="G16326" s="812"/>
    </row>
    <row r="16327" spans="7:7">
      <c r="G16327" s="812"/>
    </row>
    <row r="16328" spans="7:7">
      <c r="G16328" s="812"/>
    </row>
    <row r="16329" spans="7:7">
      <c r="G16329" s="812"/>
    </row>
    <row r="16330" spans="7:7">
      <c r="G16330" s="812"/>
    </row>
    <row r="16331" spans="7:7">
      <c r="G16331" s="812"/>
    </row>
    <row r="16332" spans="7:7">
      <c r="G16332" s="812"/>
    </row>
    <row r="16333" spans="7:7">
      <c r="G16333" s="812"/>
    </row>
    <row r="16334" spans="7:7">
      <c r="G16334" s="812"/>
    </row>
    <row r="16335" spans="7:7">
      <c r="G16335" s="812"/>
    </row>
    <row r="16336" spans="7:7">
      <c r="G16336" s="812"/>
    </row>
    <row r="16337" spans="7:7">
      <c r="G16337" s="812"/>
    </row>
    <row r="16338" spans="7:7">
      <c r="G16338" s="812"/>
    </row>
    <row r="16339" spans="7:7">
      <c r="G16339" s="812"/>
    </row>
    <row r="16340" spans="7:7">
      <c r="G16340" s="812"/>
    </row>
    <row r="16341" spans="7:7">
      <c r="G16341" s="812"/>
    </row>
    <row r="16342" spans="7:7">
      <c r="G16342" s="812"/>
    </row>
    <row r="16343" spans="7:7">
      <c r="G16343" s="812"/>
    </row>
    <row r="16344" spans="7:7">
      <c r="G16344" s="812"/>
    </row>
    <row r="16345" spans="7:7">
      <c r="G16345" s="812"/>
    </row>
    <row r="16346" spans="7:7">
      <c r="G16346" s="812"/>
    </row>
    <row r="16347" spans="7:7">
      <c r="G16347" s="812"/>
    </row>
    <row r="16348" spans="7:7">
      <c r="G16348" s="812"/>
    </row>
    <row r="16349" spans="7:7">
      <c r="G16349" s="812"/>
    </row>
    <row r="16350" spans="7:7">
      <c r="G16350" s="812"/>
    </row>
    <row r="16351" spans="7:7">
      <c r="G16351" s="812"/>
    </row>
    <row r="16352" spans="7:7">
      <c r="G16352" s="812"/>
    </row>
    <row r="16353" spans="7:7">
      <c r="G16353" s="812"/>
    </row>
    <row r="16354" spans="7:7">
      <c r="G16354" s="812"/>
    </row>
    <row r="16355" spans="7:7">
      <c r="G16355" s="812"/>
    </row>
    <row r="16356" spans="7:7">
      <c r="G16356" s="812"/>
    </row>
    <row r="16357" spans="7:7">
      <c r="G16357" s="812"/>
    </row>
    <row r="16358" spans="7:7">
      <c r="G16358" s="812"/>
    </row>
    <row r="16359" spans="7:7">
      <c r="G16359" s="812"/>
    </row>
    <row r="16360" spans="7:7">
      <c r="G16360" s="812"/>
    </row>
    <row r="16361" spans="7:7">
      <c r="G16361" s="812"/>
    </row>
    <row r="16362" spans="7:7">
      <c r="G16362" s="812"/>
    </row>
    <row r="16363" spans="7:7">
      <c r="G16363" s="812"/>
    </row>
    <row r="16364" spans="7:7">
      <c r="G16364" s="812"/>
    </row>
    <row r="16365" spans="7:7">
      <c r="G16365" s="812"/>
    </row>
    <row r="16366" spans="7:7">
      <c r="G16366" s="812"/>
    </row>
    <row r="16367" spans="7:7">
      <c r="G16367" s="812"/>
    </row>
    <row r="16368" spans="7:7">
      <c r="G16368" s="812"/>
    </row>
    <row r="16369" spans="7:7">
      <c r="G16369" s="812"/>
    </row>
    <row r="16370" spans="7:7">
      <c r="G16370" s="812"/>
    </row>
    <row r="16371" spans="7:7">
      <c r="G16371" s="812"/>
    </row>
    <row r="16372" spans="7:7">
      <c r="G16372" s="812"/>
    </row>
    <row r="16373" spans="7:7">
      <c r="G16373" s="812"/>
    </row>
    <row r="16374" spans="7:7">
      <c r="G16374" s="812"/>
    </row>
    <row r="16375" spans="7:7">
      <c r="G16375" s="812"/>
    </row>
    <row r="16376" spans="7:7">
      <c r="G16376" s="812"/>
    </row>
    <row r="16377" spans="7:7">
      <c r="G16377" s="812"/>
    </row>
    <row r="16378" spans="7:7">
      <c r="G16378" s="812"/>
    </row>
    <row r="16379" spans="7:7">
      <c r="G16379" s="812"/>
    </row>
    <row r="16380" spans="7:7">
      <c r="G16380" s="812"/>
    </row>
    <row r="16381" spans="7:7">
      <c r="G16381" s="812"/>
    </row>
    <row r="16382" spans="7:7">
      <c r="G16382" s="812"/>
    </row>
    <row r="16383" spans="7:7">
      <c r="G16383" s="812"/>
    </row>
    <row r="16384" spans="7:7">
      <c r="G16384" s="812"/>
    </row>
    <row r="16385" spans="7:7">
      <c r="G16385" s="812"/>
    </row>
    <row r="16386" spans="7:7">
      <c r="G16386" s="812"/>
    </row>
    <row r="16387" spans="7:7">
      <c r="G16387" s="812"/>
    </row>
    <row r="16388" spans="7:7">
      <c r="G16388" s="812"/>
    </row>
    <row r="16389" spans="7:7">
      <c r="G16389" s="812"/>
    </row>
    <row r="16390" spans="7:7">
      <c r="G16390" s="812"/>
    </row>
    <row r="16391" spans="7:7">
      <c r="G16391" s="812"/>
    </row>
    <row r="16392" spans="7:7">
      <c r="G16392" s="812"/>
    </row>
    <row r="16393" spans="7:7">
      <c r="G16393" s="812"/>
    </row>
    <row r="16394" spans="7:7">
      <c r="G16394" s="812"/>
    </row>
    <row r="16395" spans="7:7">
      <c r="G16395" s="812"/>
    </row>
    <row r="16396" spans="7:7">
      <c r="G16396" s="812"/>
    </row>
    <row r="16397" spans="7:7">
      <c r="G16397" s="812"/>
    </row>
    <row r="16398" spans="7:7">
      <c r="G16398" s="812"/>
    </row>
    <row r="16399" spans="7:7">
      <c r="G16399" s="812"/>
    </row>
    <row r="16400" spans="7:7">
      <c r="G16400" s="812"/>
    </row>
    <row r="16401" spans="7:7">
      <c r="G16401" s="812"/>
    </row>
    <row r="16402" spans="7:7">
      <c r="G16402" s="812"/>
    </row>
    <row r="16403" spans="7:7">
      <c r="G16403" s="812"/>
    </row>
    <row r="16404" spans="7:7">
      <c r="G16404" s="812"/>
    </row>
    <row r="16405" spans="7:7">
      <c r="G16405" s="812"/>
    </row>
    <row r="16406" spans="7:7">
      <c r="G16406" s="812"/>
    </row>
    <row r="16407" spans="7:7">
      <c r="G16407" s="812"/>
    </row>
    <row r="16408" spans="7:7">
      <c r="G16408" s="812"/>
    </row>
    <row r="16409" spans="7:7">
      <c r="G16409" s="812"/>
    </row>
    <row r="16410" spans="7:7">
      <c r="G16410" s="812"/>
    </row>
    <row r="16411" spans="7:7">
      <c r="G16411" s="812"/>
    </row>
    <row r="16412" spans="7:7">
      <c r="G16412" s="812"/>
    </row>
    <row r="16413" spans="7:7">
      <c r="G16413" s="812"/>
    </row>
    <row r="16414" spans="7:7">
      <c r="G16414" s="812"/>
    </row>
    <row r="16415" spans="7:7">
      <c r="G16415" s="812"/>
    </row>
    <row r="16416" spans="7:7">
      <c r="G16416" s="812"/>
    </row>
    <row r="16417" spans="7:7">
      <c r="G16417" s="812"/>
    </row>
    <row r="16418" spans="7:7">
      <c r="G16418" s="812"/>
    </row>
    <row r="16419" spans="7:7">
      <c r="G16419" s="812"/>
    </row>
    <row r="16420" spans="7:7">
      <c r="G16420" s="812"/>
    </row>
    <row r="16421" spans="7:7">
      <c r="G16421" s="812"/>
    </row>
    <row r="16422" spans="7:7">
      <c r="G16422" s="812"/>
    </row>
    <row r="16423" spans="7:7">
      <c r="G16423" s="812"/>
    </row>
    <row r="16424" spans="7:7">
      <c r="G16424" s="812"/>
    </row>
    <row r="16425" spans="7:7">
      <c r="G16425" s="812"/>
    </row>
    <row r="16426" spans="7:7">
      <c r="G16426" s="812"/>
    </row>
    <row r="16427" spans="7:7">
      <c r="G16427" s="812"/>
    </row>
    <row r="16428" spans="7:7">
      <c r="G16428" s="812"/>
    </row>
    <row r="16429" spans="7:7">
      <c r="G16429" s="812"/>
    </row>
    <row r="16430" spans="7:7">
      <c r="G16430" s="812"/>
    </row>
    <row r="16431" spans="7:7">
      <c r="G16431" s="812"/>
    </row>
    <row r="16432" spans="7:7">
      <c r="G16432" s="812"/>
    </row>
    <row r="16433" spans="7:7">
      <c r="G16433" s="812"/>
    </row>
    <row r="16434" spans="7:7">
      <c r="G16434" s="812"/>
    </row>
    <row r="16435" spans="7:7">
      <c r="G16435" s="812"/>
    </row>
    <row r="16436" spans="7:7">
      <c r="G16436" s="812"/>
    </row>
    <row r="16437" spans="7:7">
      <c r="G16437" s="812"/>
    </row>
    <row r="16438" spans="7:7">
      <c r="G16438" s="812"/>
    </row>
    <row r="16439" spans="7:7">
      <c r="G16439" s="812"/>
    </row>
    <row r="16440" spans="7:7">
      <c r="G16440" s="812"/>
    </row>
    <row r="16441" spans="7:7">
      <c r="G16441" s="812"/>
    </row>
    <row r="16442" spans="7:7">
      <c r="G16442" s="812"/>
    </row>
    <row r="16443" spans="7:7">
      <c r="G16443" s="812"/>
    </row>
    <row r="16444" spans="7:7">
      <c r="G16444" s="812"/>
    </row>
    <row r="16445" spans="7:7">
      <c r="G16445" s="812"/>
    </row>
    <row r="16446" spans="7:7">
      <c r="G16446" s="812"/>
    </row>
    <row r="16447" spans="7:7">
      <c r="G16447" s="812"/>
    </row>
    <row r="16448" spans="7:7">
      <c r="G16448" s="812"/>
    </row>
    <row r="16449" spans="7:7">
      <c r="G16449" s="812"/>
    </row>
    <row r="16450" spans="7:7">
      <c r="G16450" s="812"/>
    </row>
    <row r="16451" spans="7:7">
      <c r="G16451" s="812"/>
    </row>
    <row r="16452" spans="7:7">
      <c r="G16452" s="812"/>
    </row>
    <row r="16453" spans="7:7">
      <c r="G16453" s="812"/>
    </row>
    <row r="16454" spans="7:7">
      <c r="G16454" s="812"/>
    </row>
    <row r="16455" spans="7:7">
      <c r="G16455" s="812"/>
    </row>
    <row r="16456" spans="7:7">
      <c r="G16456" s="812"/>
    </row>
    <row r="16457" spans="7:7">
      <c r="G16457" s="812"/>
    </row>
    <row r="16458" spans="7:7">
      <c r="G16458" s="812"/>
    </row>
    <row r="16459" spans="7:7">
      <c r="G16459" s="812"/>
    </row>
    <row r="16460" spans="7:7">
      <c r="G16460" s="812"/>
    </row>
    <row r="16461" spans="7:7">
      <c r="G16461" s="812"/>
    </row>
    <row r="16462" spans="7:7">
      <c r="G16462" s="812"/>
    </row>
    <row r="16463" spans="7:7">
      <c r="G16463" s="812"/>
    </row>
    <row r="16464" spans="7:7">
      <c r="G16464" s="812"/>
    </row>
    <row r="16465" spans="7:7">
      <c r="G16465" s="812"/>
    </row>
    <row r="16466" spans="7:7">
      <c r="G16466" s="812"/>
    </row>
    <row r="16467" spans="7:7">
      <c r="G16467" s="812"/>
    </row>
    <row r="16468" spans="7:7">
      <c r="G16468" s="812"/>
    </row>
    <row r="16469" spans="7:7">
      <c r="G16469" s="812"/>
    </row>
    <row r="16470" spans="7:7">
      <c r="G16470" s="812"/>
    </row>
    <row r="16471" spans="7:7">
      <c r="G16471" s="812"/>
    </row>
    <row r="16472" spans="7:7">
      <c r="G16472" s="812"/>
    </row>
    <row r="16473" spans="7:7">
      <c r="G16473" s="812"/>
    </row>
    <row r="16474" spans="7:7">
      <c r="G16474" s="812"/>
    </row>
    <row r="16475" spans="7:7">
      <c r="G16475" s="812"/>
    </row>
    <row r="16476" spans="7:7">
      <c r="G16476" s="812"/>
    </row>
    <row r="16477" spans="7:7">
      <c r="G16477" s="812"/>
    </row>
    <row r="16478" spans="7:7">
      <c r="G16478" s="812"/>
    </row>
    <row r="16479" spans="7:7">
      <c r="G16479" s="812"/>
    </row>
    <row r="16480" spans="7:7">
      <c r="G16480" s="812"/>
    </row>
    <row r="16481" spans="7:7">
      <c r="G16481" s="812"/>
    </row>
    <row r="16482" spans="7:7">
      <c r="G16482" s="812"/>
    </row>
    <row r="16483" spans="7:7">
      <c r="G16483" s="812"/>
    </row>
    <row r="16484" spans="7:7">
      <c r="G16484" s="812"/>
    </row>
    <row r="16485" spans="7:7">
      <c r="G16485" s="812"/>
    </row>
    <row r="16486" spans="7:7">
      <c r="G16486" s="812"/>
    </row>
    <row r="16487" spans="7:7">
      <c r="G16487" s="812"/>
    </row>
    <row r="16488" spans="7:7">
      <c r="G16488" s="812"/>
    </row>
    <row r="16489" spans="7:7">
      <c r="G16489" s="812"/>
    </row>
    <row r="16490" spans="7:7">
      <c r="G16490" s="812"/>
    </row>
    <row r="16491" spans="7:7">
      <c r="G16491" s="812"/>
    </row>
    <row r="16492" spans="7:7">
      <c r="G16492" s="812"/>
    </row>
    <row r="16493" spans="7:7">
      <c r="G16493" s="812"/>
    </row>
    <row r="16494" spans="7:7">
      <c r="G16494" s="812"/>
    </row>
    <row r="16495" spans="7:7">
      <c r="G16495" s="812"/>
    </row>
    <row r="16496" spans="7:7">
      <c r="G16496" s="812"/>
    </row>
    <row r="16497" spans="7:7">
      <c r="G16497" s="812"/>
    </row>
    <row r="16498" spans="7:7">
      <c r="G16498" s="812"/>
    </row>
    <row r="16499" spans="7:7">
      <c r="G16499" s="812"/>
    </row>
    <row r="16500" spans="7:7">
      <c r="G16500" s="812"/>
    </row>
    <row r="16501" spans="7:7">
      <c r="G16501" s="812"/>
    </row>
    <row r="16502" spans="7:7">
      <c r="G16502" s="812"/>
    </row>
    <row r="16503" spans="7:7">
      <c r="G16503" s="812"/>
    </row>
    <row r="16504" spans="7:7">
      <c r="G16504" s="812"/>
    </row>
    <row r="16505" spans="7:7">
      <c r="G16505" s="812"/>
    </row>
    <row r="16506" spans="7:7">
      <c r="G16506" s="812"/>
    </row>
    <row r="16507" spans="7:7">
      <c r="G16507" s="812"/>
    </row>
    <row r="16508" spans="7:7">
      <c r="G16508" s="812"/>
    </row>
    <row r="16509" spans="7:7">
      <c r="G16509" s="812"/>
    </row>
    <row r="16510" spans="7:7">
      <c r="G16510" s="812"/>
    </row>
    <row r="16511" spans="7:7">
      <c r="G16511" s="812"/>
    </row>
    <row r="16512" spans="7:7">
      <c r="G16512" s="812"/>
    </row>
    <row r="16513" spans="7:7">
      <c r="G16513" s="812"/>
    </row>
    <row r="16514" spans="7:7">
      <c r="G16514" s="812"/>
    </row>
    <row r="16515" spans="7:7">
      <c r="G16515" s="812"/>
    </row>
    <row r="16516" spans="7:7">
      <c r="G16516" s="812"/>
    </row>
    <row r="16517" spans="7:7">
      <c r="G16517" s="812"/>
    </row>
    <row r="16518" spans="7:7">
      <c r="G16518" s="812"/>
    </row>
    <row r="16519" spans="7:7">
      <c r="G16519" s="812"/>
    </row>
    <row r="16520" spans="7:7">
      <c r="G16520" s="812"/>
    </row>
    <row r="16521" spans="7:7">
      <c r="G16521" s="812"/>
    </row>
    <row r="16522" spans="7:7">
      <c r="G16522" s="812"/>
    </row>
    <row r="16523" spans="7:7">
      <c r="G16523" s="812"/>
    </row>
    <row r="16524" spans="7:7">
      <c r="G16524" s="812"/>
    </row>
    <row r="16525" spans="7:7">
      <c r="G16525" s="812"/>
    </row>
    <row r="16526" spans="7:7">
      <c r="G16526" s="812"/>
    </row>
    <row r="16527" spans="7:7">
      <c r="G16527" s="812"/>
    </row>
    <row r="16528" spans="7:7">
      <c r="G16528" s="812"/>
    </row>
    <row r="16529" spans="7:7">
      <c r="G16529" s="812"/>
    </row>
    <row r="16530" spans="7:7">
      <c r="G16530" s="812"/>
    </row>
    <row r="16531" spans="7:7">
      <c r="G16531" s="812"/>
    </row>
    <row r="16532" spans="7:7">
      <c r="G16532" s="812"/>
    </row>
    <row r="16533" spans="7:7">
      <c r="G16533" s="812"/>
    </row>
    <row r="16534" spans="7:7">
      <c r="G16534" s="812"/>
    </row>
    <row r="16535" spans="7:7">
      <c r="G16535" s="812"/>
    </row>
    <row r="16536" spans="7:7">
      <c r="G16536" s="812"/>
    </row>
    <row r="16537" spans="7:7">
      <c r="G16537" s="812"/>
    </row>
    <row r="16538" spans="7:7">
      <c r="G16538" s="812"/>
    </row>
    <row r="16539" spans="7:7">
      <c r="G16539" s="812"/>
    </row>
    <row r="16540" spans="7:7">
      <c r="G16540" s="812"/>
    </row>
    <row r="16541" spans="7:7">
      <c r="G16541" s="812"/>
    </row>
    <row r="16542" spans="7:7">
      <c r="G16542" s="812"/>
    </row>
    <row r="16543" spans="7:7">
      <c r="G16543" s="812"/>
    </row>
    <row r="16544" spans="7:7">
      <c r="G16544" s="812"/>
    </row>
    <row r="16545" spans="7:7">
      <c r="G16545" s="812"/>
    </row>
    <row r="16546" spans="7:7">
      <c r="G16546" s="812"/>
    </row>
    <row r="16547" spans="7:7">
      <c r="G16547" s="812"/>
    </row>
    <row r="16548" spans="7:7">
      <c r="G16548" s="812"/>
    </row>
    <row r="16549" spans="7:7">
      <c r="G16549" s="812"/>
    </row>
    <row r="16550" spans="7:7">
      <c r="G16550" s="812"/>
    </row>
    <row r="16551" spans="7:7">
      <c r="G16551" s="812"/>
    </row>
    <row r="16552" spans="7:7">
      <c r="G16552" s="812"/>
    </row>
    <row r="16553" spans="7:7">
      <c r="G16553" s="812"/>
    </row>
    <row r="16554" spans="7:7">
      <c r="G16554" s="812"/>
    </row>
    <row r="16555" spans="7:7">
      <c r="G16555" s="812"/>
    </row>
    <row r="16556" spans="7:7">
      <c r="G16556" s="812"/>
    </row>
    <row r="16557" spans="7:7">
      <c r="G16557" s="812"/>
    </row>
    <row r="16558" spans="7:7">
      <c r="G16558" s="812"/>
    </row>
    <row r="16559" spans="7:7">
      <c r="G16559" s="812"/>
    </row>
    <row r="16560" spans="7:7">
      <c r="G16560" s="812"/>
    </row>
    <row r="16561" spans="7:7">
      <c r="G16561" s="812"/>
    </row>
    <row r="16562" spans="7:7">
      <c r="G16562" s="812"/>
    </row>
    <row r="16563" spans="7:7">
      <c r="G16563" s="812"/>
    </row>
    <row r="16564" spans="7:7">
      <c r="G16564" s="812"/>
    </row>
    <row r="16565" spans="7:7">
      <c r="G16565" s="812"/>
    </row>
    <row r="16566" spans="7:7">
      <c r="G16566" s="812"/>
    </row>
    <row r="16567" spans="7:7">
      <c r="G16567" s="812"/>
    </row>
    <row r="16568" spans="7:7">
      <c r="G16568" s="812"/>
    </row>
    <row r="16569" spans="7:7">
      <c r="G16569" s="812"/>
    </row>
    <row r="16570" spans="7:7">
      <c r="G16570" s="812"/>
    </row>
    <row r="16571" spans="7:7">
      <c r="G16571" s="812"/>
    </row>
    <row r="16572" spans="7:7">
      <c r="G16572" s="812"/>
    </row>
    <row r="16573" spans="7:7">
      <c r="G16573" s="812"/>
    </row>
    <row r="16574" spans="7:7">
      <c r="G16574" s="812"/>
    </row>
    <row r="16575" spans="7:7">
      <c r="G16575" s="812"/>
    </row>
    <row r="16576" spans="7:7">
      <c r="G16576" s="812"/>
    </row>
    <row r="16577" spans="7:7">
      <c r="G16577" s="812"/>
    </row>
    <row r="16578" spans="7:7">
      <c r="G16578" s="812"/>
    </row>
    <row r="16579" spans="7:7">
      <c r="G16579" s="812"/>
    </row>
    <row r="16580" spans="7:7">
      <c r="G16580" s="812"/>
    </row>
    <row r="16581" spans="7:7">
      <c r="G16581" s="812"/>
    </row>
    <row r="16582" spans="7:7">
      <c r="G16582" s="812"/>
    </row>
    <row r="16583" spans="7:7">
      <c r="G16583" s="812"/>
    </row>
    <row r="16584" spans="7:7">
      <c r="G16584" s="812"/>
    </row>
    <row r="16585" spans="7:7">
      <c r="G16585" s="812"/>
    </row>
    <row r="16586" spans="7:7">
      <c r="G16586" s="812"/>
    </row>
    <row r="16587" spans="7:7">
      <c r="G16587" s="812"/>
    </row>
    <row r="16588" spans="7:7">
      <c r="G16588" s="812"/>
    </row>
    <row r="16589" spans="7:7">
      <c r="G16589" s="812"/>
    </row>
    <row r="16590" spans="7:7">
      <c r="G16590" s="812"/>
    </row>
    <row r="16591" spans="7:7">
      <c r="G16591" s="812"/>
    </row>
    <row r="16592" spans="7:7">
      <c r="G16592" s="812"/>
    </row>
    <row r="16593" spans="7:7">
      <c r="G16593" s="812"/>
    </row>
    <row r="16594" spans="7:7">
      <c r="G16594" s="812"/>
    </row>
    <row r="16595" spans="7:7">
      <c r="G16595" s="812"/>
    </row>
    <row r="16596" spans="7:7">
      <c r="G16596" s="812"/>
    </row>
    <row r="16597" spans="7:7">
      <c r="G16597" s="812"/>
    </row>
    <row r="16598" spans="7:7">
      <c r="G16598" s="812"/>
    </row>
    <row r="16599" spans="7:7">
      <c r="G16599" s="812"/>
    </row>
    <row r="16600" spans="7:7">
      <c r="G16600" s="812"/>
    </row>
    <row r="16601" spans="7:7">
      <c r="G16601" s="812"/>
    </row>
    <row r="16602" spans="7:7">
      <c r="G16602" s="812"/>
    </row>
    <row r="16603" spans="7:7">
      <c r="G16603" s="812"/>
    </row>
    <row r="16604" spans="7:7">
      <c r="G16604" s="812"/>
    </row>
    <row r="16605" spans="7:7">
      <c r="G16605" s="812"/>
    </row>
    <row r="16606" spans="7:7">
      <c r="G16606" s="812"/>
    </row>
    <row r="16607" spans="7:7">
      <c r="G16607" s="812"/>
    </row>
    <row r="16608" spans="7:7">
      <c r="G16608" s="812"/>
    </row>
    <row r="16609" spans="7:7">
      <c r="G16609" s="812"/>
    </row>
    <row r="16610" spans="7:7">
      <c r="G16610" s="812"/>
    </row>
    <row r="16611" spans="7:7">
      <c r="G16611" s="812"/>
    </row>
    <row r="16612" spans="7:7">
      <c r="G16612" s="812"/>
    </row>
    <row r="16613" spans="7:7">
      <c r="G16613" s="812"/>
    </row>
    <row r="16614" spans="7:7">
      <c r="G16614" s="812"/>
    </row>
    <row r="16615" spans="7:7">
      <c r="G16615" s="812"/>
    </row>
    <row r="16616" spans="7:7">
      <c r="G16616" s="812"/>
    </row>
    <row r="16617" spans="7:7">
      <c r="G16617" s="812"/>
    </row>
    <row r="16618" spans="7:7">
      <c r="G16618" s="812"/>
    </row>
    <row r="16619" spans="7:7">
      <c r="G16619" s="812"/>
    </row>
    <row r="16620" spans="7:7">
      <c r="G16620" s="812"/>
    </row>
    <row r="16621" spans="7:7">
      <c r="G16621" s="812"/>
    </row>
    <row r="16622" spans="7:7">
      <c r="G16622" s="812"/>
    </row>
    <row r="16623" spans="7:7">
      <c r="G16623" s="812"/>
    </row>
    <row r="16624" spans="7:7">
      <c r="G16624" s="812"/>
    </row>
    <row r="16625" spans="7:7">
      <c r="G16625" s="812"/>
    </row>
    <row r="16626" spans="7:7">
      <c r="G16626" s="812"/>
    </row>
    <row r="16627" spans="7:7">
      <c r="G16627" s="812"/>
    </row>
    <row r="16628" spans="7:7">
      <c r="G16628" s="812"/>
    </row>
    <row r="16629" spans="7:7">
      <c r="G16629" s="812"/>
    </row>
    <row r="16630" spans="7:7">
      <c r="G16630" s="812"/>
    </row>
    <row r="16631" spans="7:7">
      <c r="G16631" s="812"/>
    </row>
    <row r="16632" spans="7:7">
      <c r="G16632" s="812"/>
    </row>
    <row r="16633" spans="7:7">
      <c r="G16633" s="812"/>
    </row>
    <row r="16634" spans="7:7">
      <c r="G16634" s="812"/>
    </row>
    <row r="16635" spans="7:7">
      <c r="G16635" s="812"/>
    </row>
    <row r="16636" spans="7:7">
      <c r="G16636" s="812"/>
    </row>
    <row r="16637" spans="7:7">
      <c r="G16637" s="812"/>
    </row>
    <row r="16638" spans="7:7">
      <c r="G16638" s="812"/>
    </row>
    <row r="16639" spans="7:7">
      <c r="G16639" s="812"/>
    </row>
    <row r="16640" spans="7:7">
      <c r="G16640" s="812"/>
    </row>
    <row r="16641" spans="7:7">
      <c r="G16641" s="812"/>
    </row>
    <row r="16642" spans="7:7">
      <c r="G16642" s="812"/>
    </row>
    <row r="16643" spans="7:7">
      <c r="G16643" s="812"/>
    </row>
    <row r="16644" spans="7:7">
      <c r="G16644" s="812"/>
    </row>
    <row r="16645" spans="7:7">
      <c r="G16645" s="812"/>
    </row>
    <row r="16646" spans="7:7">
      <c r="G16646" s="812"/>
    </row>
    <row r="16647" spans="7:7">
      <c r="G16647" s="812"/>
    </row>
    <row r="16648" spans="7:7">
      <c r="G16648" s="812"/>
    </row>
    <row r="16649" spans="7:7">
      <c r="G16649" s="812"/>
    </row>
    <row r="16650" spans="7:7">
      <c r="G16650" s="812"/>
    </row>
    <row r="16651" spans="7:7">
      <c r="G16651" s="812"/>
    </row>
    <row r="16652" spans="7:7">
      <c r="G16652" s="812"/>
    </row>
    <row r="16653" spans="7:7">
      <c r="G16653" s="812"/>
    </row>
    <row r="16654" spans="7:7">
      <c r="G16654" s="812"/>
    </row>
    <row r="16655" spans="7:7">
      <c r="G16655" s="812"/>
    </row>
    <row r="16656" spans="7:7">
      <c r="G16656" s="812"/>
    </row>
    <row r="16657" spans="7:7">
      <c r="G16657" s="812"/>
    </row>
    <row r="16658" spans="7:7">
      <c r="G16658" s="812"/>
    </row>
    <row r="16659" spans="7:7">
      <c r="G16659" s="812"/>
    </row>
    <row r="16660" spans="7:7">
      <c r="G16660" s="812"/>
    </row>
    <row r="16661" spans="7:7">
      <c r="G16661" s="812"/>
    </row>
    <row r="16662" spans="7:7">
      <c r="G16662" s="812"/>
    </row>
    <row r="16663" spans="7:7">
      <c r="G16663" s="812"/>
    </row>
    <row r="16664" spans="7:7">
      <c r="G16664" s="812"/>
    </row>
    <row r="16665" spans="7:7">
      <c r="G16665" s="812"/>
    </row>
    <row r="16666" spans="7:7">
      <c r="G16666" s="812"/>
    </row>
    <row r="16667" spans="7:7">
      <c r="G16667" s="812"/>
    </row>
    <row r="16668" spans="7:7">
      <c r="G16668" s="812"/>
    </row>
    <row r="16669" spans="7:7">
      <c r="G16669" s="812"/>
    </row>
    <row r="16670" spans="7:7">
      <c r="G16670" s="812"/>
    </row>
    <row r="16671" spans="7:7">
      <c r="G16671" s="812"/>
    </row>
    <row r="16672" spans="7:7">
      <c r="G16672" s="812"/>
    </row>
    <row r="16673" spans="7:7">
      <c r="G16673" s="812"/>
    </row>
    <row r="16674" spans="7:7">
      <c r="G16674" s="812"/>
    </row>
    <row r="16675" spans="7:7">
      <c r="G16675" s="812"/>
    </row>
    <row r="16676" spans="7:7">
      <c r="G16676" s="812"/>
    </row>
    <row r="16677" spans="7:7">
      <c r="G16677" s="812"/>
    </row>
    <row r="16678" spans="7:7">
      <c r="G16678" s="812"/>
    </row>
    <row r="16679" spans="7:7">
      <c r="G16679" s="812"/>
    </row>
    <row r="16680" spans="7:7">
      <c r="G16680" s="812"/>
    </row>
    <row r="16681" spans="7:7">
      <c r="G16681" s="812"/>
    </row>
    <row r="16682" spans="7:7">
      <c r="G16682" s="812"/>
    </row>
    <row r="16683" spans="7:7">
      <c r="G16683" s="812"/>
    </row>
    <row r="16684" spans="7:7">
      <c r="G16684" s="812"/>
    </row>
    <row r="16685" spans="7:7">
      <c r="G16685" s="812"/>
    </row>
    <row r="16686" spans="7:7">
      <c r="G16686" s="812"/>
    </row>
    <row r="16687" spans="7:7">
      <c r="G16687" s="812"/>
    </row>
    <row r="16688" spans="7:7">
      <c r="G16688" s="812"/>
    </row>
    <row r="16689" spans="7:7">
      <c r="G16689" s="812"/>
    </row>
    <row r="16690" spans="7:7">
      <c r="G16690" s="812"/>
    </row>
    <row r="16691" spans="7:7">
      <c r="G16691" s="812"/>
    </row>
    <row r="16692" spans="7:7">
      <c r="G16692" s="812"/>
    </row>
    <row r="16693" spans="7:7">
      <c r="G16693" s="812"/>
    </row>
    <row r="16694" spans="7:7">
      <c r="G16694" s="812"/>
    </row>
    <row r="16695" spans="7:7">
      <c r="G16695" s="812"/>
    </row>
    <row r="16696" spans="7:7">
      <c r="G16696" s="812"/>
    </row>
    <row r="16697" spans="7:7">
      <c r="G16697" s="812"/>
    </row>
    <row r="16698" spans="7:7">
      <c r="G16698" s="812"/>
    </row>
    <row r="16699" spans="7:7">
      <c r="G16699" s="812"/>
    </row>
    <row r="16700" spans="7:7">
      <c r="G16700" s="812"/>
    </row>
    <row r="16701" spans="7:7">
      <c r="G16701" s="812"/>
    </row>
    <row r="16702" spans="7:7">
      <c r="G16702" s="812"/>
    </row>
    <row r="16703" spans="7:7">
      <c r="G16703" s="812"/>
    </row>
    <row r="16704" spans="7:7">
      <c r="G16704" s="812"/>
    </row>
    <row r="16705" spans="7:7">
      <c r="G16705" s="812"/>
    </row>
    <row r="16706" spans="7:7">
      <c r="G16706" s="812"/>
    </row>
    <row r="16707" spans="7:7">
      <c r="G16707" s="812"/>
    </row>
    <row r="16708" spans="7:7">
      <c r="G16708" s="812"/>
    </row>
    <row r="16709" spans="7:7">
      <c r="G16709" s="812"/>
    </row>
    <row r="16710" spans="7:7">
      <c r="G16710" s="812"/>
    </row>
    <row r="16711" spans="7:7">
      <c r="G16711" s="812"/>
    </row>
    <row r="16712" spans="7:7">
      <c r="G16712" s="812"/>
    </row>
    <row r="16713" spans="7:7">
      <c r="G16713" s="812"/>
    </row>
    <row r="16714" spans="7:7">
      <c r="G16714" s="812"/>
    </row>
    <row r="16715" spans="7:7">
      <c r="G16715" s="812"/>
    </row>
    <row r="16716" spans="7:7">
      <c r="G16716" s="812"/>
    </row>
    <row r="16717" spans="7:7">
      <c r="G16717" s="812"/>
    </row>
    <row r="16718" spans="7:7">
      <c r="G16718" s="812"/>
    </row>
    <row r="16719" spans="7:7">
      <c r="G16719" s="812"/>
    </row>
    <row r="16720" spans="7:7">
      <c r="G16720" s="812"/>
    </row>
    <row r="16721" spans="7:7">
      <c r="G16721" s="812"/>
    </row>
    <row r="16722" spans="7:7">
      <c r="G16722" s="812"/>
    </row>
    <row r="16723" spans="7:7">
      <c r="G16723" s="812"/>
    </row>
    <row r="16724" spans="7:7">
      <c r="G16724" s="812"/>
    </row>
    <row r="16725" spans="7:7">
      <c r="G16725" s="812"/>
    </row>
    <row r="16726" spans="7:7">
      <c r="G16726" s="812"/>
    </row>
    <row r="16727" spans="7:7">
      <c r="G16727" s="812"/>
    </row>
    <row r="16728" spans="7:7">
      <c r="G16728" s="812"/>
    </row>
    <row r="16729" spans="7:7">
      <c r="G16729" s="812"/>
    </row>
    <row r="16730" spans="7:7">
      <c r="G16730" s="812"/>
    </row>
    <row r="16731" spans="7:7">
      <c r="G16731" s="812"/>
    </row>
    <row r="16732" spans="7:7">
      <c r="G16732" s="812"/>
    </row>
    <row r="16733" spans="7:7">
      <c r="G16733" s="812"/>
    </row>
    <row r="16734" spans="7:7">
      <c r="G16734" s="812"/>
    </row>
    <row r="16735" spans="7:7">
      <c r="G16735" s="812"/>
    </row>
    <row r="16736" spans="7:7">
      <c r="G16736" s="812"/>
    </row>
    <row r="16737" spans="7:7">
      <c r="G16737" s="812"/>
    </row>
    <row r="16738" spans="7:7">
      <c r="G16738" s="812"/>
    </row>
    <row r="16739" spans="7:7">
      <c r="G16739" s="812"/>
    </row>
    <row r="16740" spans="7:7">
      <c r="G16740" s="812"/>
    </row>
    <row r="16741" spans="7:7">
      <c r="G16741" s="812"/>
    </row>
    <row r="16742" spans="7:7">
      <c r="G16742" s="812"/>
    </row>
    <row r="16743" spans="7:7">
      <c r="G16743" s="812"/>
    </row>
    <row r="16744" spans="7:7">
      <c r="G16744" s="812"/>
    </row>
    <row r="16745" spans="7:7">
      <c r="G16745" s="812"/>
    </row>
    <row r="16746" spans="7:7">
      <c r="G16746" s="812"/>
    </row>
    <row r="16747" spans="7:7">
      <c r="G16747" s="812"/>
    </row>
    <row r="16748" spans="7:7">
      <c r="G16748" s="812"/>
    </row>
    <row r="16749" spans="7:7">
      <c r="G16749" s="812"/>
    </row>
    <row r="16750" spans="7:7">
      <c r="G16750" s="812"/>
    </row>
    <row r="16751" spans="7:7">
      <c r="G16751" s="812"/>
    </row>
    <row r="16752" spans="7:7">
      <c r="G16752" s="812"/>
    </row>
    <row r="16753" spans="7:7">
      <c r="G16753" s="812"/>
    </row>
    <row r="16754" spans="7:7">
      <c r="G16754" s="812"/>
    </row>
    <row r="16755" spans="7:7">
      <c r="G16755" s="812"/>
    </row>
    <row r="16756" spans="7:7">
      <c r="G16756" s="812"/>
    </row>
    <row r="16757" spans="7:7">
      <c r="G16757" s="812"/>
    </row>
    <row r="16758" spans="7:7">
      <c r="G16758" s="812"/>
    </row>
    <row r="16759" spans="7:7">
      <c r="G16759" s="812"/>
    </row>
    <row r="16760" spans="7:7">
      <c r="G16760" s="812"/>
    </row>
    <row r="16761" spans="7:7">
      <c r="G16761" s="812"/>
    </row>
    <row r="16762" spans="7:7">
      <c r="G16762" s="812"/>
    </row>
    <row r="16763" spans="7:7">
      <c r="G16763" s="812"/>
    </row>
    <row r="16764" spans="7:7">
      <c r="G16764" s="812"/>
    </row>
    <row r="16765" spans="7:7">
      <c r="G16765" s="812"/>
    </row>
    <row r="16766" spans="7:7">
      <c r="G16766" s="812"/>
    </row>
    <row r="16767" spans="7:7">
      <c r="G16767" s="812"/>
    </row>
    <row r="16768" spans="7:7">
      <c r="G16768" s="812"/>
    </row>
    <row r="16769" spans="7:7">
      <c r="G16769" s="812"/>
    </row>
    <row r="16770" spans="7:7">
      <c r="G16770" s="812"/>
    </row>
    <row r="16771" spans="7:7">
      <c r="G16771" s="812"/>
    </row>
    <row r="16772" spans="7:7">
      <c r="G16772" s="812"/>
    </row>
    <row r="16773" spans="7:7">
      <c r="G16773" s="812"/>
    </row>
    <row r="16774" spans="7:7">
      <c r="G16774" s="812"/>
    </row>
    <row r="16775" spans="7:7">
      <c r="G16775" s="812"/>
    </row>
    <row r="16776" spans="7:7">
      <c r="G16776" s="812"/>
    </row>
    <row r="16777" spans="7:7">
      <c r="G16777" s="812"/>
    </row>
    <row r="16778" spans="7:7">
      <c r="G16778" s="812"/>
    </row>
    <row r="16779" spans="7:7">
      <c r="G16779" s="812"/>
    </row>
    <row r="16780" spans="7:7">
      <c r="G16780" s="812"/>
    </row>
    <row r="16781" spans="7:7">
      <c r="G16781" s="812"/>
    </row>
    <row r="16782" spans="7:7">
      <c r="G16782" s="812"/>
    </row>
    <row r="16783" spans="7:7">
      <c r="G16783" s="812"/>
    </row>
    <row r="16784" spans="7:7">
      <c r="G16784" s="812"/>
    </row>
    <row r="16785" spans="7:7">
      <c r="G16785" s="812"/>
    </row>
    <row r="16786" spans="7:7">
      <c r="G16786" s="812"/>
    </row>
    <row r="16787" spans="7:7">
      <c r="G16787" s="812"/>
    </row>
    <row r="16788" spans="7:7">
      <c r="G16788" s="812"/>
    </row>
    <row r="16789" spans="7:7">
      <c r="G16789" s="812"/>
    </row>
    <row r="16790" spans="7:7">
      <c r="G16790" s="812"/>
    </row>
    <row r="16791" spans="7:7">
      <c r="G16791" s="812"/>
    </row>
    <row r="16792" spans="7:7">
      <c r="G16792" s="812"/>
    </row>
    <row r="16793" spans="7:7">
      <c r="G16793" s="812"/>
    </row>
    <row r="16794" spans="7:7">
      <c r="G16794" s="812"/>
    </row>
    <row r="16795" spans="7:7">
      <c r="G16795" s="812"/>
    </row>
    <row r="16796" spans="7:7">
      <c r="G16796" s="812"/>
    </row>
    <row r="16797" spans="7:7">
      <c r="G16797" s="812"/>
    </row>
    <row r="16798" spans="7:7">
      <c r="G16798" s="812"/>
    </row>
    <row r="16799" spans="7:7">
      <c r="G16799" s="812"/>
    </row>
    <row r="16800" spans="7:7">
      <c r="G16800" s="812"/>
    </row>
    <row r="16801" spans="7:7">
      <c r="G16801" s="812"/>
    </row>
    <row r="16802" spans="7:7">
      <c r="G16802" s="812"/>
    </row>
    <row r="16803" spans="7:7">
      <c r="G16803" s="812"/>
    </row>
    <row r="16804" spans="7:7">
      <c r="G16804" s="812"/>
    </row>
    <row r="16805" spans="7:7">
      <c r="G16805" s="812"/>
    </row>
    <row r="16806" spans="7:7">
      <c r="G16806" s="812"/>
    </row>
    <row r="16807" spans="7:7">
      <c r="G16807" s="812"/>
    </row>
    <row r="16808" spans="7:7">
      <c r="G16808" s="812"/>
    </row>
    <row r="16809" spans="7:7">
      <c r="G16809" s="812"/>
    </row>
    <row r="16810" spans="7:7">
      <c r="G16810" s="812"/>
    </row>
    <row r="16811" spans="7:7">
      <c r="G16811" s="812"/>
    </row>
    <row r="16812" spans="7:7">
      <c r="G16812" s="812"/>
    </row>
    <row r="16813" spans="7:7">
      <c r="G16813" s="812"/>
    </row>
    <row r="16814" spans="7:7">
      <c r="G16814" s="812"/>
    </row>
    <row r="16815" spans="7:7">
      <c r="G16815" s="812"/>
    </row>
    <row r="16816" spans="7:7">
      <c r="G16816" s="812"/>
    </row>
    <row r="16817" spans="7:7">
      <c r="G16817" s="812"/>
    </row>
    <row r="16818" spans="7:7">
      <c r="G16818" s="812"/>
    </row>
    <row r="16819" spans="7:7">
      <c r="G16819" s="812"/>
    </row>
    <row r="16820" spans="7:7">
      <c r="G16820" s="812"/>
    </row>
    <row r="16821" spans="7:7">
      <c r="G16821" s="812"/>
    </row>
    <row r="16822" spans="7:7">
      <c r="G16822" s="812"/>
    </row>
    <row r="16823" spans="7:7">
      <c r="G16823" s="812"/>
    </row>
    <row r="16824" spans="7:7">
      <c r="G16824" s="812"/>
    </row>
    <row r="16825" spans="7:7">
      <c r="G16825" s="812"/>
    </row>
    <row r="16826" spans="7:7">
      <c r="G16826" s="812"/>
    </row>
    <row r="16827" spans="7:7">
      <c r="G16827" s="812"/>
    </row>
    <row r="16828" spans="7:7">
      <c r="G16828" s="812"/>
    </row>
    <row r="16829" spans="7:7">
      <c r="G16829" s="812"/>
    </row>
    <row r="16830" spans="7:7">
      <c r="G16830" s="812"/>
    </row>
    <row r="16831" spans="7:7">
      <c r="G16831" s="812"/>
    </row>
    <row r="16832" spans="7:7">
      <c r="G16832" s="812"/>
    </row>
    <row r="16833" spans="7:7">
      <c r="G16833" s="812"/>
    </row>
    <row r="16834" spans="7:7">
      <c r="G16834" s="812"/>
    </row>
    <row r="16835" spans="7:7">
      <c r="G16835" s="812"/>
    </row>
    <row r="16836" spans="7:7">
      <c r="G16836" s="812"/>
    </row>
    <row r="16837" spans="7:7">
      <c r="G16837" s="812"/>
    </row>
    <row r="16838" spans="7:7">
      <c r="G16838" s="812"/>
    </row>
    <row r="16839" spans="7:7">
      <c r="G16839" s="812"/>
    </row>
    <row r="16840" spans="7:7">
      <c r="G16840" s="812"/>
    </row>
    <row r="16841" spans="7:7">
      <c r="G16841" s="812"/>
    </row>
    <row r="16842" spans="7:7">
      <c r="G16842" s="812"/>
    </row>
    <row r="16843" spans="7:7">
      <c r="G16843" s="812"/>
    </row>
    <row r="16844" spans="7:7">
      <c r="G16844" s="812"/>
    </row>
    <row r="16845" spans="7:7">
      <c r="G16845" s="812"/>
    </row>
    <row r="16846" spans="7:7">
      <c r="G16846" s="812"/>
    </row>
    <row r="16847" spans="7:7">
      <c r="G16847" s="812"/>
    </row>
    <row r="16848" spans="7:7">
      <c r="G16848" s="812"/>
    </row>
    <row r="16849" spans="7:7">
      <c r="G16849" s="812"/>
    </row>
    <row r="16850" spans="7:7">
      <c r="G16850" s="812"/>
    </row>
    <row r="16851" spans="7:7">
      <c r="G16851" s="812"/>
    </row>
    <row r="16852" spans="7:7">
      <c r="G16852" s="812"/>
    </row>
    <row r="16853" spans="7:7">
      <c r="G16853" s="812"/>
    </row>
    <row r="16854" spans="7:7">
      <c r="G16854" s="812"/>
    </row>
    <row r="16855" spans="7:7">
      <c r="G16855" s="812"/>
    </row>
    <row r="16856" spans="7:7">
      <c r="G16856" s="812"/>
    </row>
    <row r="16857" spans="7:7">
      <c r="G16857" s="812"/>
    </row>
    <row r="16858" spans="7:7">
      <c r="G16858" s="812"/>
    </row>
    <row r="16859" spans="7:7">
      <c r="G16859" s="812"/>
    </row>
    <row r="16860" spans="7:7">
      <c r="G16860" s="812"/>
    </row>
    <row r="16861" spans="7:7">
      <c r="G16861" s="812"/>
    </row>
    <row r="16862" spans="7:7">
      <c r="G16862" s="812"/>
    </row>
    <row r="16863" spans="7:7">
      <c r="G16863" s="812"/>
    </row>
    <row r="16864" spans="7:7">
      <c r="G16864" s="812"/>
    </row>
    <row r="16865" spans="7:7">
      <c r="G16865" s="812"/>
    </row>
    <row r="16866" spans="7:7">
      <c r="G16866" s="812"/>
    </row>
    <row r="16867" spans="7:7">
      <c r="G16867" s="812"/>
    </row>
    <row r="16868" spans="7:7">
      <c r="G16868" s="812"/>
    </row>
    <row r="16869" spans="7:7">
      <c r="G16869" s="812"/>
    </row>
    <row r="16870" spans="7:7">
      <c r="G16870" s="812"/>
    </row>
    <row r="16871" spans="7:7">
      <c r="G16871" s="812"/>
    </row>
    <row r="16872" spans="7:7">
      <c r="G16872" s="812"/>
    </row>
    <row r="16873" spans="7:7">
      <c r="G16873" s="812"/>
    </row>
    <row r="16874" spans="7:7">
      <c r="G16874" s="812"/>
    </row>
    <row r="16875" spans="7:7">
      <c r="G16875" s="812"/>
    </row>
    <row r="16876" spans="7:7">
      <c r="G16876" s="812"/>
    </row>
    <row r="16877" spans="7:7">
      <c r="G16877" s="812"/>
    </row>
    <row r="16878" spans="7:7">
      <c r="G16878" s="812"/>
    </row>
    <row r="16879" spans="7:7">
      <c r="G16879" s="812"/>
    </row>
    <row r="16880" spans="7:7">
      <c r="G16880" s="812"/>
    </row>
    <row r="16881" spans="7:7">
      <c r="G16881" s="812"/>
    </row>
    <row r="16882" spans="7:7">
      <c r="G16882" s="812"/>
    </row>
    <row r="16883" spans="7:7">
      <c r="G16883" s="812"/>
    </row>
    <row r="16884" spans="7:7">
      <c r="G16884" s="812"/>
    </row>
    <row r="16885" spans="7:7">
      <c r="G16885" s="812"/>
    </row>
    <row r="16886" spans="7:7">
      <c r="G16886" s="812"/>
    </row>
    <row r="16887" spans="7:7">
      <c r="G16887" s="812"/>
    </row>
    <row r="16888" spans="7:7">
      <c r="G16888" s="812"/>
    </row>
    <row r="16889" spans="7:7">
      <c r="G16889" s="812"/>
    </row>
    <row r="16890" spans="7:7">
      <c r="G16890" s="812"/>
    </row>
    <row r="16891" spans="7:7">
      <c r="G16891" s="812"/>
    </row>
    <row r="16892" spans="7:7">
      <c r="G16892" s="812"/>
    </row>
    <row r="16893" spans="7:7">
      <c r="G16893" s="812"/>
    </row>
    <row r="16894" spans="7:7">
      <c r="G16894" s="812"/>
    </row>
    <row r="16895" spans="7:7">
      <c r="G16895" s="812"/>
    </row>
    <row r="16896" spans="7:7">
      <c r="G16896" s="812"/>
    </row>
    <row r="16897" spans="7:7">
      <c r="G16897" s="812"/>
    </row>
    <row r="16898" spans="7:7">
      <c r="G16898" s="812"/>
    </row>
    <row r="16899" spans="7:7">
      <c r="G16899" s="812"/>
    </row>
    <row r="16900" spans="7:7">
      <c r="G16900" s="812"/>
    </row>
    <row r="16901" spans="7:7">
      <c r="G16901" s="812"/>
    </row>
    <row r="16902" spans="7:7">
      <c r="G16902" s="812"/>
    </row>
    <row r="16903" spans="7:7">
      <c r="G16903" s="812"/>
    </row>
    <row r="16904" spans="7:7">
      <c r="G16904" s="812"/>
    </row>
    <row r="16905" spans="7:7">
      <c r="G16905" s="812"/>
    </row>
    <row r="16906" spans="7:7">
      <c r="G16906" s="812"/>
    </row>
    <row r="16907" spans="7:7">
      <c r="G16907" s="812"/>
    </row>
    <row r="16908" spans="7:7">
      <c r="G16908" s="812"/>
    </row>
    <row r="16909" spans="7:7">
      <c r="G16909" s="812"/>
    </row>
    <row r="16910" spans="7:7">
      <c r="G16910" s="812"/>
    </row>
    <row r="16911" spans="7:7">
      <c r="G16911" s="812"/>
    </row>
    <row r="16912" spans="7:7">
      <c r="G16912" s="812"/>
    </row>
    <row r="16913" spans="7:7">
      <c r="G16913" s="812"/>
    </row>
    <row r="16914" spans="7:7">
      <c r="G16914" s="812"/>
    </row>
    <row r="16915" spans="7:7">
      <c r="G16915" s="812"/>
    </row>
    <row r="16916" spans="7:7">
      <c r="G16916" s="812"/>
    </row>
    <row r="16917" spans="7:7">
      <c r="G16917" s="812"/>
    </row>
    <row r="16918" spans="7:7">
      <c r="G16918" s="812"/>
    </row>
    <row r="16919" spans="7:7">
      <c r="G16919" s="812"/>
    </row>
    <row r="16920" spans="7:7">
      <c r="G16920" s="812"/>
    </row>
    <row r="16921" spans="7:7">
      <c r="G16921" s="812"/>
    </row>
    <row r="16922" spans="7:7">
      <c r="G16922" s="812"/>
    </row>
    <row r="16923" spans="7:7">
      <c r="G16923" s="812"/>
    </row>
    <row r="16924" spans="7:7">
      <c r="G16924" s="812"/>
    </row>
    <row r="16925" spans="7:7">
      <c r="G16925" s="812"/>
    </row>
    <row r="16926" spans="7:7">
      <c r="G16926" s="812"/>
    </row>
    <row r="16927" spans="7:7">
      <c r="G16927" s="812"/>
    </row>
    <row r="16928" spans="7:7">
      <c r="G16928" s="812"/>
    </row>
    <row r="16929" spans="7:7">
      <c r="G16929" s="812"/>
    </row>
    <row r="16930" spans="7:7">
      <c r="G16930" s="812"/>
    </row>
    <row r="16931" spans="7:7">
      <c r="G16931" s="812"/>
    </row>
    <row r="16932" spans="7:7">
      <c r="G16932" s="812"/>
    </row>
    <row r="16933" spans="7:7">
      <c r="G16933" s="812"/>
    </row>
    <row r="16934" spans="7:7">
      <c r="G16934" s="812"/>
    </row>
    <row r="16935" spans="7:7">
      <c r="G16935" s="812"/>
    </row>
    <row r="16936" spans="7:7">
      <c r="G16936" s="812"/>
    </row>
    <row r="16937" spans="7:7">
      <c r="G16937" s="812"/>
    </row>
    <row r="16938" spans="7:7">
      <c r="G16938" s="812"/>
    </row>
    <row r="16939" spans="7:7">
      <c r="G16939" s="812"/>
    </row>
    <row r="16940" spans="7:7">
      <c r="G16940" s="812"/>
    </row>
    <row r="16941" spans="7:7">
      <c r="G16941" s="812"/>
    </row>
    <row r="16942" spans="7:7">
      <c r="G16942" s="812"/>
    </row>
    <row r="16943" spans="7:7">
      <c r="G16943" s="812"/>
    </row>
    <row r="16944" spans="7:7">
      <c r="G16944" s="812"/>
    </row>
    <row r="16945" spans="7:7">
      <c r="G16945" s="812"/>
    </row>
    <row r="16946" spans="7:7">
      <c r="G16946" s="812"/>
    </row>
    <row r="16947" spans="7:7">
      <c r="G16947" s="812"/>
    </row>
    <row r="16948" spans="7:7">
      <c r="G16948" s="812"/>
    </row>
    <row r="16949" spans="7:7">
      <c r="G16949" s="812"/>
    </row>
    <row r="16950" spans="7:7">
      <c r="G16950" s="812"/>
    </row>
    <row r="16951" spans="7:7">
      <c r="G16951" s="812"/>
    </row>
    <row r="16952" spans="7:7">
      <c r="G16952" s="812"/>
    </row>
    <row r="16953" spans="7:7">
      <c r="G16953" s="812"/>
    </row>
    <row r="16954" spans="7:7">
      <c r="G16954" s="812"/>
    </row>
    <row r="16955" spans="7:7">
      <c r="G16955" s="812"/>
    </row>
    <row r="16956" spans="7:7">
      <c r="G16956" s="812"/>
    </row>
    <row r="16957" spans="7:7">
      <c r="G16957" s="812"/>
    </row>
    <row r="16958" spans="7:7">
      <c r="G16958" s="812"/>
    </row>
    <row r="16959" spans="7:7">
      <c r="G16959" s="812"/>
    </row>
    <row r="16960" spans="7:7">
      <c r="G16960" s="812"/>
    </row>
    <row r="16961" spans="7:7">
      <c r="G16961" s="812"/>
    </row>
    <row r="16962" spans="7:7">
      <c r="G16962" s="812"/>
    </row>
    <row r="16963" spans="7:7">
      <c r="G16963" s="812"/>
    </row>
    <row r="16964" spans="7:7">
      <c r="G16964" s="812"/>
    </row>
    <row r="16965" spans="7:7">
      <c r="G16965" s="812"/>
    </row>
    <row r="16966" spans="7:7">
      <c r="G16966" s="812"/>
    </row>
    <row r="16967" spans="7:7">
      <c r="G16967" s="812"/>
    </row>
    <row r="16968" spans="7:7">
      <c r="G16968" s="812"/>
    </row>
    <row r="16969" spans="7:7">
      <c r="G16969" s="812"/>
    </row>
    <row r="16970" spans="7:7">
      <c r="G16970" s="812"/>
    </row>
    <row r="16971" spans="7:7">
      <c r="G16971" s="812"/>
    </row>
    <row r="16972" spans="7:7">
      <c r="G16972" s="812"/>
    </row>
    <row r="16973" spans="7:7">
      <c r="G16973" s="812"/>
    </row>
    <row r="16974" spans="7:7">
      <c r="G16974" s="812"/>
    </row>
    <row r="16975" spans="7:7">
      <c r="G16975" s="812"/>
    </row>
    <row r="16976" spans="7:7">
      <c r="G16976" s="812"/>
    </row>
    <row r="16977" spans="7:7">
      <c r="G16977" s="812"/>
    </row>
    <row r="16978" spans="7:7">
      <c r="G16978" s="812"/>
    </row>
    <row r="16979" spans="7:7">
      <c r="G16979" s="812"/>
    </row>
    <row r="16980" spans="7:7">
      <c r="G16980" s="812"/>
    </row>
    <row r="16981" spans="7:7">
      <c r="G16981" s="812"/>
    </row>
    <row r="16982" spans="7:7">
      <c r="G16982" s="812"/>
    </row>
    <row r="16983" spans="7:7">
      <c r="G16983" s="812"/>
    </row>
    <row r="16984" spans="7:7">
      <c r="G16984" s="812"/>
    </row>
    <row r="16985" spans="7:7">
      <c r="G16985" s="812"/>
    </row>
    <row r="16986" spans="7:7">
      <c r="G16986" s="812"/>
    </row>
    <row r="16987" spans="7:7">
      <c r="G16987" s="812"/>
    </row>
    <row r="16988" spans="7:7">
      <c r="G16988" s="812"/>
    </row>
    <row r="16989" spans="7:7">
      <c r="G16989" s="812"/>
    </row>
    <row r="16990" spans="7:7">
      <c r="G16990" s="812"/>
    </row>
    <row r="16991" spans="7:7">
      <c r="G16991" s="812"/>
    </row>
    <row r="16992" spans="7:7">
      <c r="G16992" s="812"/>
    </row>
    <row r="16993" spans="7:7">
      <c r="G16993" s="812"/>
    </row>
    <row r="16994" spans="7:7">
      <c r="G16994" s="812"/>
    </row>
    <row r="16995" spans="7:7">
      <c r="G16995" s="812"/>
    </row>
    <row r="16996" spans="7:7">
      <c r="G16996" s="812"/>
    </row>
    <row r="16997" spans="7:7">
      <c r="G16997" s="812"/>
    </row>
    <row r="16998" spans="7:7">
      <c r="G16998" s="812"/>
    </row>
    <row r="16999" spans="7:7">
      <c r="G16999" s="812"/>
    </row>
    <row r="17000" spans="7:7">
      <c r="G17000" s="812"/>
    </row>
    <row r="17001" spans="7:7">
      <c r="G17001" s="812"/>
    </row>
    <row r="17002" spans="7:7">
      <c r="G17002" s="812"/>
    </row>
    <row r="17003" spans="7:7">
      <c r="G17003" s="812"/>
    </row>
    <row r="17004" spans="7:7">
      <c r="G17004" s="812"/>
    </row>
    <row r="17005" spans="7:7">
      <c r="G17005" s="812"/>
    </row>
    <row r="17006" spans="7:7">
      <c r="G17006" s="812"/>
    </row>
    <row r="17007" spans="7:7">
      <c r="G17007" s="812"/>
    </row>
    <row r="17008" spans="7:7">
      <c r="G17008" s="812"/>
    </row>
    <row r="17009" spans="7:7">
      <c r="G17009" s="812"/>
    </row>
    <row r="17010" spans="7:7">
      <c r="G17010" s="812"/>
    </row>
    <row r="17011" spans="7:7">
      <c r="G17011" s="812"/>
    </row>
    <row r="17012" spans="7:7">
      <c r="G17012" s="812"/>
    </row>
    <row r="17013" spans="7:7">
      <c r="G17013" s="812"/>
    </row>
    <row r="17014" spans="7:7">
      <c r="G17014" s="812"/>
    </row>
    <row r="17015" spans="7:7">
      <c r="G17015" s="812"/>
    </row>
    <row r="17016" spans="7:7">
      <c r="G17016" s="812"/>
    </row>
    <row r="17017" spans="7:7">
      <c r="G17017" s="812"/>
    </row>
    <row r="17018" spans="7:7">
      <c r="G17018" s="812"/>
    </row>
    <row r="17019" spans="7:7">
      <c r="G17019" s="812"/>
    </row>
    <row r="17020" spans="7:7">
      <c r="G17020" s="812"/>
    </row>
    <row r="17021" spans="7:7">
      <c r="G17021" s="812"/>
    </row>
    <row r="17022" spans="7:7">
      <c r="G17022" s="812"/>
    </row>
    <row r="17023" spans="7:7">
      <c r="G17023" s="812"/>
    </row>
    <row r="17024" spans="7:7">
      <c r="G17024" s="812"/>
    </row>
    <row r="17025" spans="7:7">
      <c r="G17025" s="812"/>
    </row>
    <row r="17026" spans="7:7">
      <c r="G17026" s="812"/>
    </row>
    <row r="17027" spans="7:7">
      <c r="G17027" s="812"/>
    </row>
    <row r="17028" spans="7:7">
      <c r="G17028" s="812"/>
    </row>
    <row r="17029" spans="7:7">
      <c r="G17029" s="812"/>
    </row>
    <row r="17030" spans="7:7">
      <c r="G17030" s="812"/>
    </row>
    <row r="17031" spans="7:7">
      <c r="G17031" s="812"/>
    </row>
    <row r="17032" spans="7:7">
      <c r="G17032" s="812"/>
    </row>
    <row r="17033" spans="7:7">
      <c r="G17033" s="812"/>
    </row>
    <row r="17034" spans="7:7">
      <c r="G17034" s="812"/>
    </row>
    <row r="17035" spans="7:7">
      <c r="G17035" s="812"/>
    </row>
    <row r="17036" spans="7:7">
      <c r="G17036" s="812"/>
    </row>
    <row r="17037" spans="7:7">
      <c r="G17037" s="812"/>
    </row>
    <row r="17038" spans="7:7">
      <c r="G17038" s="812"/>
    </row>
    <row r="17039" spans="7:7">
      <c r="G17039" s="812"/>
    </row>
    <row r="17040" spans="7:7">
      <c r="G17040" s="812"/>
    </row>
    <row r="17041" spans="7:7">
      <c r="G17041" s="812"/>
    </row>
    <row r="17042" spans="7:7">
      <c r="G17042" s="812"/>
    </row>
    <row r="17043" spans="7:7">
      <c r="G17043" s="812"/>
    </row>
    <row r="17044" spans="7:7">
      <c r="G17044" s="812"/>
    </row>
    <row r="17045" spans="7:7">
      <c r="G17045" s="812"/>
    </row>
    <row r="17046" spans="7:7">
      <c r="G17046" s="812"/>
    </row>
    <row r="17047" spans="7:7">
      <c r="G17047" s="812"/>
    </row>
    <row r="17048" spans="7:7">
      <c r="G17048" s="812"/>
    </row>
    <row r="17049" spans="7:7">
      <c r="G17049" s="812"/>
    </row>
    <row r="17050" spans="7:7">
      <c r="G17050" s="812"/>
    </row>
    <row r="17051" spans="7:7">
      <c r="G17051" s="812"/>
    </row>
    <row r="17052" spans="7:7">
      <c r="G17052" s="812"/>
    </row>
    <row r="17053" spans="7:7">
      <c r="G17053" s="812"/>
    </row>
    <row r="17054" spans="7:7">
      <c r="G17054" s="812"/>
    </row>
    <row r="17055" spans="7:7">
      <c r="G17055" s="812"/>
    </row>
    <row r="17056" spans="7:7">
      <c r="G17056" s="812"/>
    </row>
    <row r="17057" spans="7:7">
      <c r="G17057" s="812"/>
    </row>
    <row r="17058" spans="7:7">
      <c r="G17058" s="812"/>
    </row>
    <row r="17059" spans="7:7">
      <c r="G17059" s="812"/>
    </row>
    <row r="17060" spans="7:7">
      <c r="G17060" s="812"/>
    </row>
    <row r="17061" spans="7:7">
      <c r="G17061" s="812"/>
    </row>
    <row r="17062" spans="7:7">
      <c r="G17062" s="812"/>
    </row>
    <row r="17063" spans="7:7">
      <c r="G17063" s="812"/>
    </row>
    <row r="17064" spans="7:7">
      <c r="G17064" s="812"/>
    </row>
    <row r="17065" spans="7:7">
      <c r="G17065" s="812"/>
    </row>
    <row r="17066" spans="7:7">
      <c r="G17066" s="812"/>
    </row>
    <row r="17067" spans="7:7">
      <c r="G17067" s="812"/>
    </row>
    <row r="17068" spans="7:7">
      <c r="G17068" s="812"/>
    </row>
    <row r="17069" spans="7:7">
      <c r="G17069" s="812"/>
    </row>
    <row r="17070" spans="7:7">
      <c r="G17070" s="812"/>
    </row>
    <row r="17071" spans="7:7">
      <c r="G17071" s="812"/>
    </row>
    <row r="17072" spans="7:7">
      <c r="G17072" s="812"/>
    </row>
    <row r="17073" spans="7:7">
      <c r="G17073" s="812"/>
    </row>
    <row r="17074" spans="7:7">
      <c r="G17074" s="812"/>
    </row>
    <row r="17075" spans="7:7">
      <c r="G17075" s="812"/>
    </row>
    <row r="17076" spans="7:7">
      <c r="G17076" s="812"/>
    </row>
    <row r="17077" spans="7:7">
      <c r="G17077" s="812"/>
    </row>
    <row r="17078" spans="7:7">
      <c r="G17078" s="812"/>
    </row>
    <row r="17079" spans="7:7">
      <c r="G17079" s="812"/>
    </row>
    <row r="17080" spans="7:7">
      <c r="G17080" s="812"/>
    </row>
    <row r="17081" spans="7:7">
      <c r="G17081" s="812"/>
    </row>
    <row r="17082" spans="7:7">
      <c r="G17082" s="812"/>
    </row>
    <row r="17083" spans="7:7">
      <c r="G17083" s="812"/>
    </row>
    <row r="17084" spans="7:7">
      <c r="G17084" s="812"/>
    </row>
    <row r="17085" spans="7:7">
      <c r="G17085" s="812"/>
    </row>
    <row r="17086" spans="7:7">
      <c r="G17086" s="812"/>
    </row>
    <row r="17087" spans="7:7">
      <c r="G17087" s="812"/>
    </row>
    <row r="17088" spans="7:7">
      <c r="G17088" s="812"/>
    </row>
    <row r="17089" spans="7:7">
      <c r="G17089" s="812"/>
    </row>
    <row r="17090" spans="7:7">
      <c r="G17090" s="812"/>
    </row>
    <row r="17091" spans="7:7">
      <c r="G17091" s="812"/>
    </row>
    <row r="17092" spans="7:7">
      <c r="G17092" s="812"/>
    </row>
    <row r="17093" spans="7:7">
      <c r="G17093" s="812"/>
    </row>
    <row r="17094" spans="7:7">
      <c r="G17094" s="812"/>
    </row>
    <row r="17095" spans="7:7">
      <c r="G17095" s="812"/>
    </row>
    <row r="17096" spans="7:7">
      <c r="G17096" s="812"/>
    </row>
    <row r="17097" spans="7:7">
      <c r="G17097" s="812"/>
    </row>
    <row r="17098" spans="7:7">
      <c r="G17098" s="812"/>
    </row>
    <row r="17099" spans="7:7">
      <c r="G17099" s="812"/>
    </row>
    <row r="17100" spans="7:7">
      <c r="G17100" s="812"/>
    </row>
    <row r="17101" spans="7:7">
      <c r="G17101" s="812"/>
    </row>
    <row r="17102" spans="7:7">
      <c r="G17102" s="812"/>
    </row>
    <row r="17103" spans="7:7">
      <c r="G17103" s="812"/>
    </row>
    <row r="17104" spans="7:7">
      <c r="G17104" s="812"/>
    </row>
    <row r="17105" spans="7:7">
      <c r="G17105" s="812"/>
    </row>
    <row r="17106" spans="7:7">
      <c r="G17106" s="812"/>
    </row>
    <row r="17107" spans="7:7">
      <c r="G17107" s="812"/>
    </row>
    <row r="17108" spans="7:7">
      <c r="G17108" s="812"/>
    </row>
    <row r="17109" spans="7:7">
      <c r="G17109" s="812"/>
    </row>
    <row r="17110" spans="7:7">
      <c r="G17110" s="812"/>
    </row>
    <row r="17111" spans="7:7">
      <c r="G17111" s="812"/>
    </row>
    <row r="17112" spans="7:7">
      <c r="G17112" s="812"/>
    </row>
    <row r="17113" spans="7:7">
      <c r="G17113" s="812"/>
    </row>
    <row r="17114" spans="7:7">
      <c r="G17114" s="812"/>
    </row>
    <row r="17115" spans="7:7">
      <c r="G17115" s="812"/>
    </row>
    <row r="17116" spans="7:7">
      <c r="G17116" s="812"/>
    </row>
    <row r="17117" spans="7:7">
      <c r="G17117" s="812"/>
    </row>
    <row r="17118" spans="7:7">
      <c r="G17118" s="812"/>
    </row>
    <row r="17119" spans="7:7">
      <c r="G17119" s="812"/>
    </row>
    <row r="17120" spans="7:7">
      <c r="G17120" s="812"/>
    </row>
    <row r="17121" spans="7:7">
      <c r="G17121" s="812"/>
    </row>
    <row r="17122" spans="7:7">
      <c r="G17122" s="812"/>
    </row>
    <row r="17123" spans="7:7">
      <c r="G17123" s="812"/>
    </row>
    <row r="17124" spans="7:7">
      <c r="G17124" s="812"/>
    </row>
    <row r="17125" spans="7:7">
      <c r="G17125" s="812"/>
    </row>
    <row r="17126" spans="7:7">
      <c r="G17126" s="812"/>
    </row>
    <row r="17127" spans="7:7">
      <c r="G17127" s="812"/>
    </row>
    <row r="17128" spans="7:7">
      <c r="G17128" s="812"/>
    </row>
    <row r="17129" spans="7:7">
      <c r="G17129" s="812"/>
    </row>
    <row r="17130" spans="7:7">
      <c r="G17130" s="812"/>
    </row>
    <row r="17131" spans="7:7">
      <c r="G17131" s="812"/>
    </row>
    <row r="17132" spans="7:7">
      <c r="G17132" s="812"/>
    </row>
    <row r="17133" spans="7:7">
      <c r="G17133" s="812"/>
    </row>
    <row r="17134" spans="7:7">
      <c r="G17134" s="812"/>
    </row>
    <row r="17135" spans="7:7">
      <c r="G17135" s="812"/>
    </row>
    <row r="17136" spans="7:7">
      <c r="G17136" s="812"/>
    </row>
    <row r="17137" spans="7:7">
      <c r="G17137" s="812"/>
    </row>
    <row r="17138" spans="7:7">
      <c r="G17138" s="812"/>
    </row>
    <row r="17139" spans="7:7">
      <c r="G17139" s="812"/>
    </row>
    <row r="17140" spans="7:7">
      <c r="G17140" s="812"/>
    </row>
    <row r="17141" spans="7:7">
      <c r="G17141" s="812"/>
    </row>
    <row r="17142" spans="7:7">
      <c r="G17142" s="812"/>
    </row>
    <row r="17143" spans="7:7">
      <c r="G17143" s="812"/>
    </row>
    <row r="17144" spans="7:7">
      <c r="G17144" s="812"/>
    </row>
    <row r="17145" spans="7:7">
      <c r="G17145" s="812"/>
    </row>
    <row r="17146" spans="7:7">
      <c r="G17146" s="812"/>
    </row>
    <row r="17147" spans="7:7">
      <c r="G17147" s="812"/>
    </row>
    <row r="17148" spans="7:7">
      <c r="G17148" s="812"/>
    </row>
    <row r="17149" spans="7:7">
      <c r="G17149" s="812"/>
    </row>
    <row r="17150" spans="7:7">
      <c r="G17150" s="812"/>
    </row>
    <row r="17151" spans="7:7">
      <c r="G17151" s="812"/>
    </row>
    <row r="17152" spans="7:7">
      <c r="G17152" s="812"/>
    </row>
    <row r="17153" spans="7:7">
      <c r="G17153" s="812"/>
    </row>
    <row r="17154" spans="7:7">
      <c r="G17154" s="812"/>
    </row>
    <row r="17155" spans="7:7">
      <c r="G17155" s="812"/>
    </row>
    <row r="17156" spans="7:7">
      <c r="G17156" s="812"/>
    </row>
    <row r="17157" spans="7:7">
      <c r="G17157" s="812"/>
    </row>
    <row r="17158" spans="7:7">
      <c r="G17158" s="812"/>
    </row>
    <row r="17159" spans="7:7">
      <c r="G17159" s="812"/>
    </row>
    <row r="17160" spans="7:7">
      <c r="G17160" s="812"/>
    </row>
    <row r="17161" spans="7:7">
      <c r="G17161" s="812"/>
    </row>
    <row r="17162" spans="7:7">
      <c r="G17162" s="812"/>
    </row>
    <row r="17163" spans="7:7">
      <c r="G17163" s="812"/>
    </row>
    <row r="17164" spans="7:7">
      <c r="G17164" s="812"/>
    </row>
    <row r="17165" spans="7:7">
      <c r="G17165" s="812"/>
    </row>
    <row r="17166" spans="7:7">
      <c r="G17166" s="812"/>
    </row>
    <row r="17167" spans="7:7">
      <c r="G17167" s="812"/>
    </row>
    <row r="17168" spans="7:7">
      <c r="G17168" s="812"/>
    </row>
    <row r="17169" spans="7:7">
      <c r="G17169" s="812"/>
    </row>
    <row r="17170" spans="7:7">
      <c r="G17170" s="812"/>
    </row>
    <row r="17171" spans="7:7">
      <c r="G17171" s="812"/>
    </row>
    <row r="17172" spans="7:7">
      <c r="G17172" s="812"/>
    </row>
    <row r="17173" spans="7:7">
      <c r="G17173" s="812"/>
    </row>
    <row r="17174" spans="7:7">
      <c r="G17174" s="812"/>
    </row>
    <row r="17175" spans="7:7">
      <c r="G17175" s="812"/>
    </row>
    <row r="17176" spans="7:7">
      <c r="G17176" s="812"/>
    </row>
    <row r="17177" spans="7:7">
      <c r="G17177" s="812"/>
    </row>
    <row r="17178" spans="7:7">
      <c r="G17178" s="812"/>
    </row>
    <row r="17179" spans="7:7">
      <c r="G17179" s="812"/>
    </row>
    <row r="17180" spans="7:7">
      <c r="G17180" s="812"/>
    </row>
    <row r="17181" spans="7:7">
      <c r="G17181" s="812"/>
    </row>
    <row r="17182" spans="7:7">
      <c r="G17182" s="812"/>
    </row>
    <row r="17183" spans="7:7">
      <c r="G17183" s="812"/>
    </row>
    <row r="17184" spans="7:7">
      <c r="G17184" s="812"/>
    </row>
    <row r="17185" spans="7:7">
      <c r="G17185" s="812"/>
    </row>
    <row r="17186" spans="7:7">
      <c r="G17186" s="812"/>
    </row>
    <row r="17187" spans="7:7">
      <c r="G17187" s="812"/>
    </row>
    <row r="17188" spans="7:7">
      <c r="G17188" s="812"/>
    </row>
    <row r="17189" spans="7:7">
      <c r="G17189" s="812"/>
    </row>
    <row r="17190" spans="7:7">
      <c r="G17190" s="812"/>
    </row>
    <row r="17191" spans="7:7">
      <c r="G17191" s="812"/>
    </row>
    <row r="17192" spans="7:7">
      <c r="G17192" s="812"/>
    </row>
    <row r="17193" spans="7:7">
      <c r="G17193" s="812"/>
    </row>
    <row r="17194" spans="7:7">
      <c r="G17194" s="812"/>
    </row>
    <row r="17195" spans="7:7">
      <c r="G17195" s="812"/>
    </row>
    <row r="17196" spans="7:7">
      <c r="G17196" s="812"/>
    </row>
    <row r="17197" spans="7:7">
      <c r="G17197" s="812"/>
    </row>
    <row r="17198" spans="7:7">
      <c r="G17198" s="812"/>
    </row>
    <row r="17199" spans="7:7">
      <c r="G17199" s="812"/>
    </row>
    <row r="17200" spans="7:7">
      <c r="G17200" s="812"/>
    </row>
    <row r="17201" spans="7:7">
      <c r="G17201" s="812"/>
    </row>
    <row r="17202" spans="7:7">
      <c r="G17202" s="812"/>
    </row>
    <row r="17203" spans="7:7">
      <c r="G17203" s="812"/>
    </row>
    <row r="17204" spans="7:7">
      <c r="G17204" s="812"/>
    </row>
    <row r="17205" spans="7:7">
      <c r="G17205" s="812"/>
    </row>
    <row r="17206" spans="7:7">
      <c r="G17206" s="812"/>
    </row>
    <row r="17207" spans="7:7">
      <c r="G17207" s="812"/>
    </row>
    <row r="17208" spans="7:7">
      <c r="G17208" s="812"/>
    </row>
    <row r="17209" spans="7:7">
      <c r="G17209" s="812"/>
    </row>
    <row r="17210" spans="7:7">
      <c r="G17210" s="812"/>
    </row>
    <row r="17211" spans="7:7">
      <c r="G17211" s="812"/>
    </row>
    <row r="17212" spans="7:7">
      <c r="G17212" s="812"/>
    </row>
    <row r="17213" spans="7:7">
      <c r="G17213" s="812"/>
    </row>
    <row r="17214" spans="7:7">
      <c r="G17214" s="812"/>
    </row>
    <row r="17215" spans="7:7">
      <c r="G17215" s="812"/>
    </row>
    <row r="17216" spans="7:7">
      <c r="G17216" s="812"/>
    </row>
    <row r="17217" spans="7:7">
      <c r="G17217" s="812"/>
    </row>
    <row r="17218" spans="7:7">
      <c r="G17218" s="812"/>
    </row>
    <row r="17219" spans="7:7">
      <c r="G17219" s="812"/>
    </row>
    <row r="17220" spans="7:7">
      <c r="G17220" s="812"/>
    </row>
    <row r="17221" spans="7:7">
      <c r="G17221" s="812"/>
    </row>
    <row r="17222" spans="7:7">
      <c r="G17222" s="812"/>
    </row>
    <row r="17223" spans="7:7">
      <c r="G17223" s="812"/>
    </row>
    <row r="17224" spans="7:7">
      <c r="G17224" s="812"/>
    </row>
    <row r="17225" spans="7:7">
      <c r="G17225" s="812"/>
    </row>
    <row r="17226" spans="7:7">
      <c r="G17226" s="812"/>
    </row>
    <row r="17227" spans="7:7">
      <c r="G17227" s="812"/>
    </row>
    <row r="17228" spans="7:7">
      <c r="G17228" s="812"/>
    </row>
    <row r="17229" spans="7:7">
      <c r="G17229" s="812"/>
    </row>
    <row r="17230" spans="7:7">
      <c r="G17230" s="812"/>
    </row>
    <row r="17231" spans="7:7">
      <c r="G17231" s="812"/>
    </row>
    <row r="17232" spans="7:7">
      <c r="G17232" s="812"/>
    </row>
    <row r="17233" spans="7:7">
      <c r="G17233" s="812"/>
    </row>
    <row r="17234" spans="7:7">
      <c r="G17234" s="812"/>
    </row>
    <row r="17235" spans="7:7">
      <c r="G17235" s="812"/>
    </row>
    <row r="17236" spans="7:7">
      <c r="G17236" s="812"/>
    </row>
    <row r="17237" spans="7:7">
      <c r="G17237" s="812"/>
    </row>
    <row r="17238" spans="7:7">
      <c r="G17238" s="812"/>
    </row>
    <row r="17239" spans="7:7">
      <c r="G17239" s="812"/>
    </row>
    <row r="17240" spans="7:7">
      <c r="G17240" s="812"/>
    </row>
    <row r="17241" spans="7:7">
      <c r="G17241" s="812"/>
    </row>
    <row r="17242" spans="7:7">
      <c r="G17242" s="812"/>
    </row>
    <row r="17243" spans="7:7">
      <c r="G17243" s="812"/>
    </row>
    <row r="17244" spans="7:7">
      <c r="G17244" s="812"/>
    </row>
    <row r="17245" spans="7:7">
      <c r="G17245" s="812"/>
    </row>
    <row r="17246" spans="7:7">
      <c r="G17246" s="812"/>
    </row>
    <row r="17247" spans="7:7">
      <c r="G17247" s="812"/>
    </row>
    <row r="17248" spans="7:7">
      <c r="G17248" s="812"/>
    </row>
    <row r="17249" spans="7:7">
      <c r="G17249" s="812"/>
    </row>
    <row r="17250" spans="7:7">
      <c r="G17250" s="812"/>
    </row>
    <row r="17251" spans="7:7">
      <c r="G17251" s="812"/>
    </row>
    <row r="17252" spans="7:7">
      <c r="G17252" s="812"/>
    </row>
    <row r="17253" spans="7:7">
      <c r="G17253" s="812"/>
    </row>
    <row r="17254" spans="7:7">
      <c r="G17254" s="812"/>
    </row>
    <row r="17255" spans="7:7">
      <c r="G17255" s="812"/>
    </row>
    <row r="17256" spans="7:7">
      <c r="G17256" s="812"/>
    </row>
    <row r="17257" spans="7:7">
      <c r="G17257" s="812"/>
    </row>
    <row r="17258" spans="7:7">
      <c r="G17258" s="812"/>
    </row>
    <row r="17259" spans="7:7">
      <c r="G17259" s="812"/>
    </row>
    <row r="17260" spans="7:7">
      <c r="G17260" s="812"/>
    </row>
    <row r="17261" spans="7:7">
      <c r="G17261" s="812"/>
    </row>
    <row r="17262" spans="7:7">
      <c r="G17262" s="812"/>
    </row>
    <row r="17263" spans="7:7">
      <c r="G17263" s="812"/>
    </row>
    <row r="17264" spans="7:7">
      <c r="G17264" s="812"/>
    </row>
    <row r="17265" spans="7:7">
      <c r="G17265" s="812"/>
    </row>
    <row r="17266" spans="7:7">
      <c r="G17266" s="812"/>
    </row>
    <row r="17267" spans="7:7">
      <c r="G17267" s="812"/>
    </row>
    <row r="17268" spans="7:7">
      <c r="G17268" s="812"/>
    </row>
    <row r="17269" spans="7:7">
      <c r="G17269" s="812"/>
    </row>
    <row r="17270" spans="7:7">
      <c r="G17270" s="812"/>
    </row>
    <row r="17271" spans="7:7">
      <c r="G17271" s="812"/>
    </row>
    <row r="17272" spans="7:7">
      <c r="G17272" s="812"/>
    </row>
    <row r="17273" spans="7:7">
      <c r="G17273" s="812"/>
    </row>
    <row r="17274" spans="7:7">
      <c r="G17274" s="812"/>
    </row>
    <row r="17275" spans="7:7">
      <c r="G17275" s="812"/>
    </row>
    <row r="17276" spans="7:7">
      <c r="G17276" s="812"/>
    </row>
    <row r="17277" spans="7:7">
      <c r="G17277" s="812"/>
    </row>
    <row r="17278" spans="7:7">
      <c r="G17278" s="812"/>
    </row>
    <row r="17279" spans="7:7">
      <c r="G17279" s="812"/>
    </row>
    <row r="17280" spans="7:7">
      <c r="G17280" s="812"/>
    </row>
    <row r="17281" spans="7:7">
      <c r="G17281" s="812"/>
    </row>
    <row r="17282" spans="7:7">
      <c r="G17282" s="812"/>
    </row>
    <row r="17283" spans="7:7">
      <c r="G17283" s="812"/>
    </row>
    <row r="17284" spans="7:7">
      <c r="G17284" s="812"/>
    </row>
    <row r="17285" spans="7:7">
      <c r="G17285" s="812"/>
    </row>
    <row r="17286" spans="7:7">
      <c r="G17286" s="812"/>
    </row>
    <row r="17287" spans="7:7">
      <c r="G17287" s="812"/>
    </row>
    <row r="17288" spans="7:7">
      <c r="G17288" s="812"/>
    </row>
    <row r="17289" spans="7:7">
      <c r="G17289" s="812"/>
    </row>
    <row r="17290" spans="7:7">
      <c r="G17290" s="812"/>
    </row>
    <row r="17291" spans="7:7">
      <c r="G17291" s="812"/>
    </row>
    <row r="17292" spans="7:7">
      <c r="G17292" s="812"/>
    </row>
    <row r="17293" spans="7:7">
      <c r="G17293" s="812"/>
    </row>
    <row r="17294" spans="7:7">
      <c r="G17294" s="812"/>
    </row>
    <row r="17295" spans="7:7">
      <c r="G17295" s="812"/>
    </row>
    <row r="17296" spans="7:7">
      <c r="G17296" s="812"/>
    </row>
    <row r="17297" spans="7:7">
      <c r="G17297" s="812"/>
    </row>
    <row r="17298" spans="7:7">
      <c r="G17298" s="812"/>
    </row>
    <row r="17299" spans="7:7">
      <c r="G17299" s="812"/>
    </row>
    <row r="17300" spans="7:7">
      <c r="G17300" s="812"/>
    </row>
    <row r="17301" spans="7:7">
      <c r="G17301" s="812"/>
    </row>
    <row r="17302" spans="7:7">
      <c r="G17302" s="812"/>
    </row>
    <row r="17303" spans="7:7">
      <c r="G17303" s="812"/>
    </row>
    <row r="17304" spans="7:7">
      <c r="G17304" s="812"/>
    </row>
    <row r="17305" spans="7:7">
      <c r="G17305" s="812"/>
    </row>
    <row r="17306" spans="7:7">
      <c r="G17306" s="812"/>
    </row>
    <row r="17307" spans="7:7">
      <c r="G17307" s="812"/>
    </row>
    <row r="17308" spans="7:7">
      <c r="G17308" s="812"/>
    </row>
    <row r="17309" spans="7:7">
      <c r="G17309" s="812"/>
    </row>
    <row r="17310" spans="7:7">
      <c r="G17310" s="812"/>
    </row>
    <row r="17311" spans="7:7">
      <c r="G17311" s="812"/>
    </row>
    <row r="17312" spans="7:7">
      <c r="G17312" s="812"/>
    </row>
    <row r="17313" spans="7:7">
      <c r="G17313" s="812"/>
    </row>
    <row r="17314" spans="7:7">
      <c r="G17314" s="812"/>
    </row>
    <row r="17315" spans="7:7">
      <c r="G17315" s="812"/>
    </row>
    <row r="17316" spans="7:7">
      <c r="G17316" s="812"/>
    </row>
    <row r="17317" spans="7:7">
      <c r="G17317" s="812"/>
    </row>
    <row r="17318" spans="7:7">
      <c r="G17318" s="812"/>
    </row>
    <row r="17319" spans="7:7">
      <c r="G17319" s="812"/>
    </row>
    <row r="17320" spans="7:7">
      <c r="G17320" s="812"/>
    </row>
    <row r="17321" spans="7:7">
      <c r="G17321" s="812"/>
    </row>
    <row r="17322" spans="7:7">
      <c r="G17322" s="812"/>
    </row>
    <row r="17323" spans="7:7">
      <c r="G17323" s="812"/>
    </row>
    <row r="17324" spans="7:7">
      <c r="G17324" s="812"/>
    </row>
    <row r="17325" spans="7:7">
      <c r="G17325" s="812"/>
    </row>
    <row r="17326" spans="7:7">
      <c r="G17326" s="812"/>
    </row>
    <row r="17327" spans="7:7">
      <c r="G17327" s="812"/>
    </row>
    <row r="17328" spans="7:7">
      <c r="G17328" s="812"/>
    </row>
    <row r="17329" spans="7:7">
      <c r="G17329" s="812"/>
    </row>
    <row r="17330" spans="7:7">
      <c r="G17330" s="812"/>
    </row>
    <row r="17331" spans="7:7">
      <c r="G17331" s="812"/>
    </row>
    <row r="17332" spans="7:7">
      <c r="G17332" s="812"/>
    </row>
    <row r="17333" spans="7:7">
      <c r="G17333" s="812"/>
    </row>
    <row r="17334" spans="7:7">
      <c r="G17334" s="812"/>
    </row>
    <row r="17335" spans="7:7">
      <c r="G17335" s="812"/>
    </row>
    <row r="17336" spans="7:7">
      <c r="G17336" s="812"/>
    </row>
    <row r="17337" spans="7:7">
      <c r="G17337" s="812"/>
    </row>
    <row r="17338" spans="7:7">
      <c r="G17338" s="812"/>
    </row>
    <row r="17339" spans="7:7">
      <c r="G17339" s="812"/>
    </row>
    <row r="17340" spans="7:7">
      <c r="G17340" s="812"/>
    </row>
    <row r="17341" spans="7:7">
      <c r="G17341" s="812"/>
    </row>
    <row r="17342" spans="7:7">
      <c r="G17342" s="812"/>
    </row>
    <row r="17343" spans="7:7">
      <c r="G17343" s="812"/>
    </row>
    <row r="17344" spans="7:7">
      <c r="G17344" s="812"/>
    </row>
    <row r="17345" spans="7:7">
      <c r="G17345" s="812"/>
    </row>
    <row r="17346" spans="7:7">
      <c r="G17346" s="812"/>
    </row>
    <row r="17347" spans="7:7">
      <c r="G17347" s="812"/>
    </row>
    <row r="17348" spans="7:7">
      <c r="G17348" s="812"/>
    </row>
    <row r="17349" spans="7:7">
      <c r="G17349" s="812"/>
    </row>
    <row r="17350" spans="7:7">
      <c r="G17350" s="812"/>
    </row>
    <row r="17351" spans="7:7">
      <c r="G17351" s="812"/>
    </row>
    <row r="17352" spans="7:7">
      <c r="G17352" s="812"/>
    </row>
    <row r="17353" spans="7:7">
      <c r="G17353" s="812"/>
    </row>
    <row r="17354" spans="7:7">
      <c r="G17354" s="812"/>
    </row>
    <row r="17355" spans="7:7">
      <c r="G17355" s="812"/>
    </row>
    <row r="17356" spans="7:7">
      <c r="G17356" s="812"/>
    </row>
    <row r="17357" spans="7:7">
      <c r="G17357" s="812"/>
    </row>
    <row r="17358" spans="7:7">
      <c r="G17358" s="812"/>
    </row>
    <row r="17359" spans="7:7">
      <c r="G17359" s="812"/>
    </row>
    <row r="17360" spans="7:7">
      <c r="G17360" s="812"/>
    </row>
    <row r="17361" spans="7:7">
      <c r="G17361" s="812"/>
    </row>
    <row r="17362" spans="7:7">
      <c r="G17362" s="812"/>
    </row>
    <row r="17363" spans="7:7">
      <c r="G17363" s="812"/>
    </row>
    <row r="17364" spans="7:7">
      <c r="G17364" s="812"/>
    </row>
    <row r="17365" spans="7:7">
      <c r="G17365" s="812"/>
    </row>
    <row r="17366" spans="7:7">
      <c r="G17366" s="812"/>
    </row>
    <row r="17367" spans="7:7">
      <c r="G17367" s="812"/>
    </row>
    <row r="17368" spans="7:7">
      <c r="G17368" s="812"/>
    </row>
    <row r="17369" spans="7:7">
      <c r="G17369" s="812"/>
    </row>
    <row r="17370" spans="7:7">
      <c r="G17370" s="812"/>
    </row>
    <row r="17371" spans="7:7">
      <c r="G17371" s="812"/>
    </row>
    <row r="17372" spans="7:7">
      <c r="G17372" s="812"/>
    </row>
    <row r="17373" spans="7:7">
      <c r="G17373" s="812"/>
    </row>
    <row r="17374" spans="7:7">
      <c r="G17374" s="812"/>
    </row>
    <row r="17375" spans="7:7">
      <c r="G17375" s="812"/>
    </row>
    <row r="17376" spans="7:7">
      <c r="G17376" s="812"/>
    </row>
    <row r="17377" spans="7:7">
      <c r="G17377" s="812"/>
    </row>
    <row r="17378" spans="7:7">
      <c r="G17378" s="812"/>
    </row>
    <row r="17379" spans="7:7">
      <c r="G17379" s="812"/>
    </row>
    <row r="17380" spans="7:7">
      <c r="G17380" s="812"/>
    </row>
    <row r="17381" spans="7:7">
      <c r="G17381" s="812"/>
    </row>
    <row r="17382" spans="7:7">
      <c r="G17382" s="812"/>
    </row>
    <row r="17383" spans="7:7">
      <c r="G17383" s="812"/>
    </row>
    <row r="17384" spans="7:7">
      <c r="G17384" s="812"/>
    </row>
    <row r="17385" spans="7:7">
      <c r="G17385" s="812"/>
    </row>
    <row r="17386" spans="7:7">
      <c r="G17386" s="812"/>
    </row>
    <row r="17387" spans="7:7">
      <c r="G17387" s="812"/>
    </row>
    <row r="17388" spans="7:7">
      <c r="G17388" s="812"/>
    </row>
    <row r="17389" spans="7:7">
      <c r="G17389" s="812"/>
    </row>
    <row r="17390" spans="7:7">
      <c r="G17390" s="812"/>
    </row>
    <row r="17391" spans="7:7">
      <c r="G17391" s="812"/>
    </row>
    <row r="17392" spans="7:7">
      <c r="G17392" s="812"/>
    </row>
    <row r="17393" spans="7:7">
      <c r="G17393" s="812"/>
    </row>
    <row r="17394" spans="7:7">
      <c r="G17394" s="812"/>
    </row>
    <row r="17395" spans="7:7">
      <c r="G17395" s="812"/>
    </row>
    <row r="17396" spans="7:7">
      <c r="G17396" s="812"/>
    </row>
    <row r="17397" spans="7:7">
      <c r="G17397" s="812"/>
    </row>
    <row r="17398" spans="7:7">
      <c r="G17398" s="812"/>
    </row>
    <row r="17399" spans="7:7">
      <c r="G17399" s="812"/>
    </row>
    <row r="17400" spans="7:7">
      <c r="G17400" s="812"/>
    </row>
    <row r="17401" spans="7:7">
      <c r="G17401" s="812"/>
    </row>
    <row r="17402" spans="7:7">
      <c r="G17402" s="812"/>
    </row>
    <row r="17403" spans="7:7">
      <c r="G17403" s="812"/>
    </row>
    <row r="17404" spans="7:7">
      <c r="G17404" s="812"/>
    </row>
    <row r="17405" spans="7:7">
      <c r="G17405" s="812"/>
    </row>
    <row r="17406" spans="7:7">
      <c r="G17406" s="812"/>
    </row>
    <row r="17407" spans="7:7">
      <c r="G17407" s="812"/>
    </row>
    <row r="17408" spans="7:7">
      <c r="G17408" s="812"/>
    </row>
    <row r="17409" spans="7:7">
      <c r="G17409" s="812"/>
    </row>
    <row r="17410" spans="7:7">
      <c r="G17410" s="812"/>
    </row>
    <row r="17411" spans="7:7">
      <c r="G17411" s="812"/>
    </row>
    <row r="17412" spans="7:7">
      <c r="G17412" s="812"/>
    </row>
    <row r="17413" spans="7:7">
      <c r="G17413" s="812"/>
    </row>
    <row r="17414" spans="7:7">
      <c r="G17414" s="812"/>
    </row>
    <row r="17415" spans="7:7">
      <c r="G17415" s="812"/>
    </row>
    <row r="17416" spans="7:7">
      <c r="G17416" s="812"/>
    </row>
    <row r="17417" spans="7:7">
      <c r="G17417" s="812"/>
    </row>
    <row r="17418" spans="7:7">
      <c r="G17418" s="812"/>
    </row>
    <row r="17419" spans="7:7">
      <c r="G17419" s="812"/>
    </row>
    <row r="17420" spans="7:7">
      <c r="G17420" s="812"/>
    </row>
    <row r="17421" spans="7:7">
      <c r="G17421" s="812"/>
    </row>
    <row r="17422" spans="7:7">
      <c r="G17422" s="812"/>
    </row>
    <row r="17423" spans="7:7">
      <c r="G17423" s="812"/>
    </row>
    <row r="17424" spans="7:7">
      <c r="G17424" s="812"/>
    </row>
    <row r="17425" spans="7:7">
      <c r="G17425" s="812"/>
    </row>
    <row r="17426" spans="7:7">
      <c r="G17426" s="812"/>
    </row>
    <row r="17427" spans="7:7">
      <c r="G17427" s="812"/>
    </row>
    <row r="17428" spans="7:7">
      <c r="G17428" s="812"/>
    </row>
    <row r="17429" spans="7:7">
      <c r="G17429" s="812"/>
    </row>
    <row r="17430" spans="7:7">
      <c r="G17430" s="812"/>
    </row>
    <row r="17431" spans="7:7">
      <c r="G17431" s="812"/>
    </row>
    <row r="17432" spans="7:7">
      <c r="G17432" s="812"/>
    </row>
    <row r="17433" spans="7:7">
      <c r="G17433" s="812"/>
    </row>
    <row r="17434" spans="7:7">
      <c r="G17434" s="812"/>
    </row>
    <row r="17435" spans="7:7">
      <c r="G17435" s="812"/>
    </row>
    <row r="17436" spans="7:7">
      <c r="G17436" s="812"/>
    </row>
    <row r="17437" spans="7:7">
      <c r="G17437" s="812"/>
    </row>
    <row r="17438" spans="7:7">
      <c r="G17438" s="812"/>
    </row>
    <row r="17439" spans="7:7">
      <c r="G17439" s="812"/>
    </row>
    <row r="17440" spans="7:7">
      <c r="G17440" s="812"/>
    </row>
    <row r="17441" spans="7:7">
      <c r="G17441" s="812"/>
    </row>
    <row r="17442" spans="7:7">
      <c r="G17442" s="812"/>
    </row>
    <row r="17443" spans="7:7">
      <c r="G17443" s="812"/>
    </row>
    <row r="17444" spans="7:7">
      <c r="G17444" s="812"/>
    </row>
    <row r="17445" spans="7:7">
      <c r="G17445" s="812"/>
    </row>
    <row r="17446" spans="7:7">
      <c r="G17446" s="812"/>
    </row>
    <row r="17447" spans="7:7">
      <c r="G17447" s="812"/>
    </row>
    <row r="17448" spans="7:7">
      <c r="G17448" s="812"/>
    </row>
    <row r="17449" spans="7:7">
      <c r="G17449" s="812"/>
    </row>
    <row r="17450" spans="7:7">
      <c r="G17450" s="812"/>
    </row>
    <row r="17451" spans="7:7">
      <c r="G17451" s="812"/>
    </row>
    <row r="17452" spans="7:7">
      <c r="G17452" s="812"/>
    </row>
    <row r="17453" spans="7:7">
      <c r="G17453" s="812"/>
    </row>
    <row r="17454" spans="7:7">
      <c r="G17454" s="812"/>
    </row>
    <row r="17455" spans="7:7">
      <c r="G17455" s="812"/>
    </row>
    <row r="17456" spans="7:7">
      <c r="G17456" s="812"/>
    </row>
    <row r="17457" spans="7:7">
      <c r="G17457" s="812"/>
    </row>
    <row r="17458" spans="7:7">
      <c r="G17458" s="812"/>
    </row>
    <row r="17459" spans="7:7">
      <c r="G17459" s="812"/>
    </row>
    <row r="17460" spans="7:7">
      <c r="G17460" s="812"/>
    </row>
    <row r="17461" spans="7:7">
      <c r="G17461" s="812"/>
    </row>
    <row r="17462" spans="7:7">
      <c r="G17462" s="812"/>
    </row>
    <row r="17463" spans="7:7">
      <c r="G17463" s="812"/>
    </row>
    <row r="17464" spans="7:7">
      <c r="G17464" s="812"/>
    </row>
    <row r="17465" spans="7:7">
      <c r="G17465" s="812"/>
    </row>
    <row r="17466" spans="7:7">
      <c r="G17466" s="812"/>
    </row>
    <row r="17467" spans="7:7">
      <c r="G17467" s="812"/>
    </row>
    <row r="17468" spans="7:7">
      <c r="G17468" s="812"/>
    </row>
    <row r="17469" spans="7:7">
      <c r="G17469" s="812"/>
    </row>
    <row r="17470" spans="7:7">
      <c r="G17470" s="812"/>
    </row>
    <row r="17471" spans="7:7">
      <c r="G17471" s="812"/>
    </row>
    <row r="17472" spans="7:7">
      <c r="G17472" s="812"/>
    </row>
    <row r="17473" spans="7:7">
      <c r="G17473" s="812"/>
    </row>
    <row r="17474" spans="7:7">
      <c r="G17474" s="812"/>
    </row>
    <row r="17475" spans="7:7">
      <c r="G17475" s="812"/>
    </row>
    <row r="17476" spans="7:7">
      <c r="G17476" s="812"/>
    </row>
    <row r="17477" spans="7:7">
      <c r="G17477" s="812"/>
    </row>
    <row r="17478" spans="7:7">
      <c r="G17478" s="812"/>
    </row>
    <row r="17479" spans="7:7">
      <c r="G17479" s="812"/>
    </row>
    <row r="17480" spans="7:7">
      <c r="G17480" s="812"/>
    </row>
    <row r="17481" spans="7:7">
      <c r="G17481" s="812"/>
    </row>
    <row r="17482" spans="7:7">
      <c r="G17482" s="812"/>
    </row>
    <row r="17483" spans="7:7">
      <c r="G17483" s="812"/>
    </row>
    <row r="17484" spans="7:7">
      <c r="G17484" s="812"/>
    </row>
    <row r="17485" spans="7:7">
      <c r="G17485" s="812"/>
    </row>
    <row r="17486" spans="7:7">
      <c r="G17486" s="812"/>
    </row>
    <row r="17487" spans="7:7">
      <c r="G17487" s="812"/>
    </row>
    <row r="17488" spans="7:7">
      <c r="G17488" s="812"/>
    </row>
    <row r="17489" spans="7:7">
      <c r="G17489" s="812"/>
    </row>
    <row r="17490" spans="7:7">
      <c r="G17490" s="812"/>
    </row>
    <row r="17491" spans="7:7">
      <c r="G17491" s="812"/>
    </row>
    <row r="17492" spans="7:7">
      <c r="G17492" s="812"/>
    </row>
    <row r="17493" spans="7:7">
      <c r="G17493" s="812"/>
    </row>
    <row r="17494" spans="7:7">
      <c r="G17494" s="812"/>
    </row>
    <row r="17495" spans="7:7">
      <c r="G17495" s="812"/>
    </row>
    <row r="17496" spans="7:7">
      <c r="G17496" s="812"/>
    </row>
    <row r="17497" spans="7:7">
      <c r="G17497" s="812"/>
    </row>
    <row r="17498" spans="7:7">
      <c r="G17498" s="812"/>
    </row>
    <row r="17499" spans="7:7">
      <c r="G17499" s="812"/>
    </row>
    <row r="17500" spans="7:7">
      <c r="G17500" s="812"/>
    </row>
    <row r="17501" spans="7:7">
      <c r="G17501" s="812"/>
    </row>
    <row r="17502" spans="7:7">
      <c r="G17502" s="812"/>
    </row>
    <row r="17503" spans="7:7">
      <c r="G17503" s="812"/>
    </row>
    <row r="17504" spans="7:7">
      <c r="G17504" s="812"/>
    </row>
    <row r="17505" spans="7:7">
      <c r="G17505" s="812"/>
    </row>
    <row r="17506" spans="7:7">
      <c r="G17506" s="812"/>
    </row>
    <row r="17507" spans="7:7">
      <c r="G17507" s="812"/>
    </row>
    <row r="17508" spans="7:7">
      <c r="G17508" s="812"/>
    </row>
    <row r="17509" spans="7:7">
      <c r="G17509" s="812"/>
    </row>
    <row r="17510" spans="7:7">
      <c r="G17510" s="812"/>
    </row>
    <row r="17511" spans="7:7">
      <c r="G17511" s="812"/>
    </row>
    <row r="17512" spans="7:7">
      <c r="G17512" s="812"/>
    </row>
    <row r="17513" spans="7:7">
      <c r="G17513" s="812"/>
    </row>
    <row r="17514" spans="7:7">
      <c r="G17514" s="812"/>
    </row>
    <row r="17515" spans="7:7">
      <c r="G17515" s="812"/>
    </row>
    <row r="17516" spans="7:7">
      <c r="G17516" s="812"/>
    </row>
    <row r="17517" spans="7:7">
      <c r="G17517" s="812"/>
    </row>
    <row r="17518" spans="7:7">
      <c r="G17518" s="812"/>
    </row>
    <row r="17519" spans="7:7">
      <c r="G17519" s="812"/>
    </row>
    <row r="17520" spans="7:7">
      <c r="G17520" s="812"/>
    </row>
    <row r="17521" spans="7:7">
      <c r="G17521" s="812"/>
    </row>
    <row r="17522" spans="7:7">
      <c r="G17522" s="812"/>
    </row>
    <row r="17523" spans="7:7">
      <c r="G17523" s="812"/>
    </row>
    <row r="17524" spans="7:7">
      <c r="G17524" s="812"/>
    </row>
    <row r="17525" spans="7:7">
      <c r="G17525" s="812"/>
    </row>
    <row r="17526" spans="7:7">
      <c r="G17526" s="812"/>
    </row>
    <row r="17527" spans="7:7">
      <c r="G17527" s="812"/>
    </row>
    <row r="17528" spans="7:7">
      <c r="G17528" s="812"/>
    </row>
    <row r="17529" spans="7:7">
      <c r="G17529" s="812"/>
    </row>
    <row r="17530" spans="7:7">
      <c r="G17530" s="812"/>
    </row>
    <row r="17531" spans="7:7">
      <c r="G17531" s="812"/>
    </row>
    <row r="17532" spans="7:7">
      <c r="G17532" s="812"/>
    </row>
    <row r="17533" spans="7:7">
      <c r="G17533" s="812"/>
    </row>
    <row r="17534" spans="7:7">
      <c r="G17534" s="812"/>
    </row>
    <row r="17535" spans="7:7">
      <c r="G17535" s="812"/>
    </row>
    <row r="17536" spans="7:7">
      <c r="G17536" s="812"/>
    </row>
    <row r="17537" spans="7:7">
      <c r="G17537" s="812"/>
    </row>
    <row r="17538" spans="7:7">
      <c r="G17538" s="812"/>
    </row>
    <row r="17539" spans="7:7">
      <c r="G17539" s="812"/>
    </row>
    <row r="17540" spans="7:7">
      <c r="G17540" s="812"/>
    </row>
    <row r="17541" spans="7:7">
      <c r="G17541" s="812"/>
    </row>
    <row r="17542" spans="7:7">
      <c r="G17542" s="812"/>
    </row>
    <row r="17543" spans="7:7">
      <c r="G17543" s="812"/>
    </row>
    <row r="17544" spans="7:7">
      <c r="G17544" s="812"/>
    </row>
    <row r="17545" spans="7:7">
      <c r="G17545" s="812"/>
    </row>
    <row r="17546" spans="7:7">
      <c r="G17546" s="812"/>
    </row>
    <row r="17547" spans="7:7">
      <c r="G17547" s="812"/>
    </row>
    <row r="17548" spans="7:7">
      <c r="G17548" s="812"/>
    </row>
    <row r="17549" spans="7:7">
      <c r="G17549" s="812"/>
    </row>
    <row r="17550" spans="7:7">
      <c r="G17550" s="812"/>
    </row>
    <row r="17551" spans="7:7">
      <c r="G17551" s="812"/>
    </row>
    <row r="17552" spans="7:7">
      <c r="G17552" s="812"/>
    </row>
    <row r="17553" spans="7:7">
      <c r="G17553" s="812"/>
    </row>
    <row r="17554" spans="7:7">
      <c r="G17554" s="812"/>
    </row>
    <row r="17555" spans="7:7">
      <c r="G17555" s="812"/>
    </row>
    <row r="17556" spans="7:7">
      <c r="G17556" s="812"/>
    </row>
    <row r="17557" spans="7:7">
      <c r="G17557" s="812"/>
    </row>
    <row r="17558" spans="7:7">
      <c r="G17558" s="812"/>
    </row>
    <row r="17559" spans="7:7">
      <c r="G17559" s="812"/>
    </row>
    <row r="17560" spans="7:7">
      <c r="G17560" s="812"/>
    </row>
    <row r="17561" spans="7:7">
      <c r="G17561" s="812"/>
    </row>
    <row r="17562" spans="7:7">
      <c r="G17562" s="812"/>
    </row>
    <row r="17563" spans="7:7">
      <c r="G17563" s="812"/>
    </row>
    <row r="17564" spans="7:7">
      <c r="G17564" s="812"/>
    </row>
    <row r="17565" spans="7:7">
      <c r="G17565" s="812"/>
    </row>
    <row r="17566" spans="7:7">
      <c r="G17566" s="812"/>
    </row>
    <row r="17567" spans="7:7">
      <c r="G17567" s="812"/>
    </row>
    <row r="17568" spans="7:7">
      <c r="G17568" s="812"/>
    </row>
    <row r="17569" spans="7:7">
      <c r="G17569" s="812"/>
    </row>
    <row r="17570" spans="7:7">
      <c r="G17570" s="812"/>
    </row>
    <row r="17571" spans="7:7">
      <c r="G17571" s="812"/>
    </row>
    <row r="17572" spans="7:7">
      <c r="G17572" s="812"/>
    </row>
    <row r="17573" spans="7:7">
      <c r="G17573" s="812"/>
    </row>
    <row r="17574" spans="7:7">
      <c r="G17574" s="812"/>
    </row>
    <row r="17575" spans="7:7">
      <c r="G17575" s="812"/>
    </row>
    <row r="17576" spans="7:7">
      <c r="G17576" s="812"/>
    </row>
    <row r="17577" spans="7:7">
      <c r="G17577" s="812"/>
    </row>
    <row r="17578" spans="7:7">
      <c r="G17578" s="812"/>
    </row>
    <row r="17579" spans="7:7">
      <c r="G17579" s="812"/>
    </row>
    <row r="17580" spans="7:7">
      <c r="G17580" s="812"/>
    </row>
    <row r="17581" spans="7:7">
      <c r="G17581" s="812"/>
    </row>
    <row r="17582" spans="7:7">
      <c r="G17582" s="812"/>
    </row>
    <row r="17583" spans="7:7">
      <c r="G17583" s="812"/>
    </row>
    <row r="17584" spans="7:7">
      <c r="G17584" s="812"/>
    </row>
    <row r="17585" spans="7:7">
      <c r="G17585" s="812"/>
    </row>
    <row r="17586" spans="7:7">
      <c r="G17586" s="812"/>
    </row>
    <row r="17587" spans="7:7">
      <c r="G17587" s="812"/>
    </row>
    <row r="17588" spans="7:7">
      <c r="G17588" s="812"/>
    </row>
    <row r="17589" spans="7:7">
      <c r="G17589" s="812"/>
    </row>
    <row r="17590" spans="7:7">
      <c r="G17590" s="812"/>
    </row>
    <row r="17591" spans="7:7">
      <c r="G17591" s="812"/>
    </row>
    <row r="17592" spans="7:7">
      <c r="G17592" s="812"/>
    </row>
    <row r="17593" spans="7:7">
      <c r="G17593" s="812"/>
    </row>
    <row r="17594" spans="7:7">
      <c r="G17594" s="812"/>
    </row>
    <row r="17595" spans="7:7">
      <c r="G17595" s="812"/>
    </row>
    <row r="17596" spans="7:7">
      <c r="G17596" s="812"/>
    </row>
    <row r="17597" spans="7:7">
      <c r="G17597" s="812"/>
    </row>
    <row r="17598" spans="7:7">
      <c r="G17598" s="812"/>
    </row>
    <row r="17599" spans="7:7">
      <c r="G17599" s="812"/>
    </row>
    <row r="17600" spans="7:7">
      <c r="G17600" s="812"/>
    </row>
    <row r="17601" spans="7:7">
      <c r="G17601" s="812"/>
    </row>
    <row r="17602" spans="7:7">
      <c r="G17602" s="812"/>
    </row>
    <row r="17603" spans="7:7">
      <c r="G17603" s="812"/>
    </row>
    <row r="17604" spans="7:7">
      <c r="G17604" s="812"/>
    </row>
    <row r="17605" spans="7:7">
      <c r="G17605" s="812"/>
    </row>
    <row r="17606" spans="7:7">
      <c r="G17606" s="812"/>
    </row>
    <row r="17607" spans="7:7">
      <c r="G17607" s="812"/>
    </row>
    <row r="17608" spans="7:7">
      <c r="G17608" s="812"/>
    </row>
    <row r="17609" spans="7:7">
      <c r="G17609" s="812"/>
    </row>
    <row r="17610" spans="7:7">
      <c r="G17610" s="812"/>
    </row>
    <row r="17611" spans="7:7">
      <c r="G17611" s="812"/>
    </row>
    <row r="17612" spans="7:7">
      <c r="G17612" s="812"/>
    </row>
    <row r="17613" spans="7:7">
      <c r="G17613" s="812"/>
    </row>
    <row r="17614" spans="7:7">
      <c r="G17614" s="812"/>
    </row>
    <row r="17615" spans="7:7">
      <c r="G17615" s="812"/>
    </row>
    <row r="17616" spans="7:7">
      <c r="G17616" s="812"/>
    </row>
    <row r="17617" spans="7:7">
      <c r="G17617" s="812"/>
    </row>
    <row r="17618" spans="7:7">
      <c r="G17618" s="812"/>
    </row>
    <row r="17619" spans="7:7">
      <c r="G17619" s="812"/>
    </row>
    <row r="17620" spans="7:7">
      <c r="G17620" s="812"/>
    </row>
    <row r="17621" spans="7:7">
      <c r="G17621" s="812"/>
    </row>
    <row r="17622" spans="7:7">
      <c r="G17622" s="812"/>
    </row>
    <row r="17623" spans="7:7">
      <c r="G17623" s="812"/>
    </row>
    <row r="17624" spans="7:7">
      <c r="G17624" s="812"/>
    </row>
    <row r="17625" spans="7:7">
      <c r="G17625" s="812"/>
    </row>
    <row r="17626" spans="7:7">
      <c r="G17626" s="812"/>
    </row>
    <row r="17627" spans="7:7">
      <c r="G17627" s="812"/>
    </row>
    <row r="17628" spans="7:7">
      <c r="G17628" s="812"/>
    </row>
    <row r="17629" spans="7:7">
      <c r="G17629" s="812"/>
    </row>
    <row r="17630" spans="7:7">
      <c r="G17630" s="812"/>
    </row>
    <row r="17631" spans="7:7">
      <c r="G17631" s="812"/>
    </row>
    <row r="17632" spans="7:7">
      <c r="G17632" s="812"/>
    </row>
    <row r="17633" spans="7:7">
      <c r="G17633" s="812"/>
    </row>
    <row r="17634" spans="7:7">
      <c r="G17634" s="812"/>
    </row>
    <row r="17635" spans="7:7">
      <c r="G17635" s="812"/>
    </row>
    <row r="17636" spans="7:7">
      <c r="G17636" s="812"/>
    </row>
    <row r="17637" spans="7:7">
      <c r="G17637" s="812"/>
    </row>
    <row r="17638" spans="7:7">
      <c r="G17638" s="812"/>
    </row>
    <row r="17639" spans="7:7">
      <c r="G17639" s="812"/>
    </row>
    <row r="17640" spans="7:7">
      <c r="G17640" s="812"/>
    </row>
    <row r="17641" spans="7:7">
      <c r="G17641" s="812"/>
    </row>
    <row r="17642" spans="7:7">
      <c r="G17642" s="812"/>
    </row>
    <row r="17643" spans="7:7">
      <c r="G17643" s="812"/>
    </row>
    <row r="17644" spans="7:7">
      <c r="G17644" s="812"/>
    </row>
    <row r="17645" spans="7:7">
      <c r="G17645" s="812"/>
    </row>
    <row r="17646" spans="7:7">
      <c r="G17646" s="812"/>
    </row>
    <row r="17647" spans="7:7">
      <c r="G17647" s="812"/>
    </row>
    <row r="17648" spans="7:7">
      <c r="G17648" s="812"/>
    </row>
    <row r="17649" spans="7:7">
      <c r="G17649" s="812"/>
    </row>
    <row r="17650" spans="7:7">
      <c r="G17650" s="812"/>
    </row>
    <row r="17651" spans="7:7">
      <c r="G17651" s="812"/>
    </row>
    <row r="17652" spans="7:7">
      <c r="G17652" s="812"/>
    </row>
    <row r="17653" spans="7:7">
      <c r="G17653" s="812"/>
    </row>
    <row r="17654" spans="7:7">
      <c r="G17654" s="812"/>
    </row>
    <row r="17655" spans="7:7">
      <c r="G17655" s="812"/>
    </row>
    <row r="17656" spans="7:7">
      <c r="G17656" s="812"/>
    </row>
    <row r="17657" spans="7:7">
      <c r="G17657" s="812"/>
    </row>
    <row r="17658" spans="7:7">
      <c r="G17658" s="812"/>
    </row>
    <row r="17659" spans="7:7">
      <c r="G17659" s="812"/>
    </row>
    <row r="17660" spans="7:7">
      <c r="G17660" s="812"/>
    </row>
    <row r="17661" spans="7:7">
      <c r="G17661" s="812"/>
    </row>
    <row r="17662" spans="7:7">
      <c r="G17662" s="812"/>
    </row>
    <row r="17663" spans="7:7">
      <c r="G17663" s="812"/>
    </row>
    <row r="17664" spans="7:7">
      <c r="G17664" s="812"/>
    </row>
    <row r="17665" spans="7:7">
      <c r="G17665" s="812"/>
    </row>
    <row r="17666" spans="7:7">
      <c r="G17666" s="812"/>
    </row>
    <row r="17667" spans="7:7">
      <c r="G17667" s="812"/>
    </row>
    <row r="17668" spans="7:7">
      <c r="G17668" s="812"/>
    </row>
    <row r="17669" spans="7:7">
      <c r="G17669" s="812"/>
    </row>
    <row r="17670" spans="7:7">
      <c r="G17670" s="812"/>
    </row>
    <row r="17671" spans="7:7">
      <c r="G17671" s="812"/>
    </row>
    <row r="17672" spans="7:7">
      <c r="G17672" s="812"/>
    </row>
    <row r="17673" spans="7:7">
      <c r="G17673" s="812"/>
    </row>
    <row r="17674" spans="7:7">
      <c r="G17674" s="812"/>
    </row>
    <row r="17675" spans="7:7">
      <c r="G17675" s="812"/>
    </row>
    <row r="17676" spans="7:7">
      <c r="G17676" s="812"/>
    </row>
    <row r="17677" spans="7:7">
      <c r="G17677" s="812"/>
    </row>
    <row r="17678" spans="7:7">
      <c r="G17678" s="812"/>
    </row>
    <row r="17679" spans="7:7">
      <c r="G17679" s="812"/>
    </row>
    <row r="17680" spans="7:7">
      <c r="G17680" s="812"/>
    </row>
    <row r="17681" spans="7:7">
      <c r="G17681" s="812"/>
    </row>
    <row r="17682" spans="7:7">
      <c r="G17682" s="812"/>
    </row>
    <row r="17683" spans="7:7">
      <c r="G17683" s="812"/>
    </row>
    <row r="17684" spans="7:7">
      <c r="G17684" s="812"/>
    </row>
    <row r="17685" spans="7:7">
      <c r="G17685" s="812"/>
    </row>
    <row r="17686" spans="7:7">
      <c r="G17686" s="812"/>
    </row>
    <row r="17687" spans="7:7">
      <c r="G17687" s="812"/>
    </row>
    <row r="17688" spans="7:7">
      <c r="G17688" s="812"/>
    </row>
    <row r="17689" spans="7:7">
      <c r="G17689" s="812"/>
    </row>
    <row r="17690" spans="7:7">
      <c r="G17690" s="812"/>
    </row>
    <row r="17691" spans="7:7">
      <c r="G17691" s="812"/>
    </row>
    <row r="17692" spans="7:7">
      <c r="G17692" s="812"/>
    </row>
    <row r="17693" spans="7:7">
      <c r="G17693" s="812"/>
    </row>
    <row r="17694" spans="7:7">
      <c r="G17694" s="812"/>
    </row>
    <row r="17695" spans="7:7">
      <c r="G17695" s="812"/>
    </row>
    <row r="17696" spans="7:7">
      <c r="G17696" s="812"/>
    </row>
    <row r="17697" spans="7:7">
      <c r="G17697" s="812"/>
    </row>
    <row r="17698" spans="7:7">
      <c r="G17698" s="812"/>
    </row>
    <row r="17699" spans="7:7">
      <c r="G17699" s="812"/>
    </row>
    <row r="17700" spans="7:7">
      <c r="G17700" s="812"/>
    </row>
    <row r="17701" spans="7:7">
      <c r="G17701" s="812"/>
    </row>
    <row r="17702" spans="7:7">
      <c r="G17702" s="812"/>
    </row>
    <row r="17703" spans="7:7">
      <c r="G17703" s="812"/>
    </row>
    <row r="17704" spans="7:7">
      <c r="G17704" s="812"/>
    </row>
    <row r="17705" spans="7:7">
      <c r="G17705" s="812"/>
    </row>
    <row r="17706" spans="7:7">
      <c r="G17706" s="812"/>
    </row>
    <row r="17707" spans="7:7">
      <c r="G17707" s="812"/>
    </row>
    <row r="17708" spans="7:7">
      <c r="G17708" s="812"/>
    </row>
    <row r="17709" spans="7:7">
      <c r="G17709" s="812"/>
    </row>
    <row r="17710" spans="7:7">
      <c r="G17710" s="812"/>
    </row>
    <row r="17711" spans="7:7">
      <c r="G17711" s="812"/>
    </row>
    <row r="17712" spans="7:7">
      <c r="G17712" s="812"/>
    </row>
    <row r="17713" spans="7:7">
      <c r="G17713" s="812"/>
    </row>
    <row r="17714" spans="7:7">
      <c r="G17714" s="812"/>
    </row>
    <row r="17715" spans="7:7">
      <c r="G17715" s="812"/>
    </row>
    <row r="17716" spans="7:7">
      <c r="G17716" s="812"/>
    </row>
    <row r="17717" spans="7:7">
      <c r="G17717" s="812"/>
    </row>
    <row r="17718" spans="7:7">
      <c r="G17718" s="812"/>
    </row>
    <row r="17719" spans="7:7">
      <c r="G17719" s="812"/>
    </row>
    <row r="17720" spans="7:7">
      <c r="G17720" s="812"/>
    </row>
    <row r="17721" spans="7:7">
      <c r="G17721" s="812"/>
    </row>
    <row r="17722" spans="7:7">
      <c r="G17722" s="812"/>
    </row>
    <row r="17723" spans="7:7">
      <c r="G17723" s="812"/>
    </row>
    <row r="17724" spans="7:7">
      <c r="G17724" s="812"/>
    </row>
    <row r="17725" spans="7:7">
      <c r="G17725" s="812"/>
    </row>
    <row r="17726" spans="7:7">
      <c r="G17726" s="812"/>
    </row>
    <row r="17727" spans="7:7">
      <c r="G17727" s="812"/>
    </row>
    <row r="17728" spans="7:7">
      <c r="G17728" s="812"/>
    </row>
    <row r="17729" spans="7:7">
      <c r="G17729" s="812"/>
    </row>
    <row r="17730" spans="7:7">
      <c r="G17730" s="812"/>
    </row>
    <row r="17731" spans="7:7">
      <c r="G17731" s="812"/>
    </row>
    <row r="17732" spans="7:7">
      <c r="G17732" s="812"/>
    </row>
    <row r="17733" spans="7:7">
      <c r="G17733" s="812"/>
    </row>
    <row r="17734" spans="7:7">
      <c r="G17734" s="812"/>
    </row>
    <row r="17735" spans="7:7">
      <c r="G17735" s="812"/>
    </row>
    <row r="17736" spans="7:7">
      <c r="G17736" s="812"/>
    </row>
    <row r="17737" spans="7:7">
      <c r="G17737" s="812"/>
    </row>
    <row r="17738" spans="7:7">
      <c r="G17738" s="812"/>
    </row>
    <row r="17739" spans="7:7">
      <c r="G17739" s="812"/>
    </row>
    <row r="17740" spans="7:7">
      <c r="G17740" s="812"/>
    </row>
    <row r="17741" spans="7:7">
      <c r="G17741" s="812"/>
    </row>
    <row r="17742" spans="7:7">
      <c r="G17742" s="812"/>
    </row>
    <row r="17743" spans="7:7">
      <c r="G17743" s="812"/>
    </row>
    <row r="17744" spans="7:7">
      <c r="G17744" s="812"/>
    </row>
    <row r="17745" spans="7:7">
      <c r="G17745" s="812"/>
    </row>
    <row r="17746" spans="7:7">
      <c r="G17746" s="812"/>
    </row>
    <row r="17747" spans="7:7">
      <c r="G17747" s="812"/>
    </row>
    <row r="17748" spans="7:7">
      <c r="G17748" s="812"/>
    </row>
    <row r="17749" spans="7:7">
      <c r="G17749" s="812"/>
    </row>
    <row r="17750" spans="7:7">
      <c r="G17750" s="812"/>
    </row>
    <row r="17751" spans="7:7">
      <c r="G17751" s="812"/>
    </row>
    <row r="17752" spans="7:7">
      <c r="G17752" s="812"/>
    </row>
    <row r="17753" spans="7:7">
      <c r="G17753" s="812"/>
    </row>
    <row r="17754" spans="7:7">
      <c r="G17754" s="812"/>
    </row>
    <row r="17755" spans="7:7">
      <c r="G17755" s="812"/>
    </row>
    <row r="17756" spans="7:7">
      <c r="G17756" s="812"/>
    </row>
    <row r="17757" spans="7:7">
      <c r="G17757" s="812"/>
    </row>
    <row r="17758" spans="7:7">
      <c r="G17758" s="812"/>
    </row>
    <row r="17759" spans="7:7">
      <c r="G17759" s="812"/>
    </row>
    <row r="17760" spans="7:7">
      <c r="G17760" s="812"/>
    </row>
    <row r="17761" spans="7:7">
      <c r="G17761" s="812"/>
    </row>
    <row r="17762" spans="7:7">
      <c r="G17762" s="812"/>
    </row>
    <row r="17763" spans="7:7">
      <c r="G17763" s="812"/>
    </row>
    <row r="17764" spans="7:7">
      <c r="G17764" s="812"/>
    </row>
    <row r="17765" spans="7:7">
      <c r="G17765" s="812"/>
    </row>
    <row r="17766" spans="7:7">
      <c r="G17766" s="812"/>
    </row>
    <row r="17767" spans="7:7">
      <c r="G17767" s="812"/>
    </row>
    <row r="17768" spans="7:7">
      <c r="G17768" s="812"/>
    </row>
    <row r="17769" spans="7:7">
      <c r="G17769" s="812"/>
    </row>
    <row r="17770" spans="7:7">
      <c r="G17770" s="812"/>
    </row>
    <row r="17771" spans="7:7">
      <c r="G17771" s="812"/>
    </row>
    <row r="17772" spans="7:7">
      <c r="G17772" s="812"/>
    </row>
    <row r="17773" spans="7:7">
      <c r="G17773" s="812"/>
    </row>
    <row r="17774" spans="7:7">
      <c r="G17774" s="812"/>
    </row>
    <row r="17775" spans="7:7">
      <c r="G17775" s="812"/>
    </row>
    <row r="17776" spans="7:7">
      <c r="G17776" s="812"/>
    </row>
    <row r="17777" spans="7:7">
      <c r="G17777" s="812"/>
    </row>
    <row r="17778" spans="7:7">
      <c r="G17778" s="812"/>
    </row>
    <row r="17779" spans="7:7">
      <c r="G17779" s="812"/>
    </row>
    <row r="17780" spans="7:7">
      <c r="G17780" s="812"/>
    </row>
    <row r="17781" spans="7:7">
      <c r="G17781" s="812"/>
    </row>
    <row r="17782" spans="7:7">
      <c r="G17782" s="812"/>
    </row>
    <row r="17783" spans="7:7">
      <c r="G17783" s="812"/>
    </row>
    <row r="17784" spans="7:7">
      <c r="G17784" s="812"/>
    </row>
    <row r="17785" spans="7:7">
      <c r="G17785" s="812"/>
    </row>
    <row r="17786" spans="7:7">
      <c r="G17786" s="812"/>
    </row>
    <row r="17787" spans="7:7">
      <c r="G17787" s="812"/>
    </row>
    <row r="17788" spans="7:7">
      <c r="G17788" s="812"/>
    </row>
    <row r="17789" spans="7:7">
      <c r="G17789" s="812"/>
    </row>
    <row r="17790" spans="7:7">
      <c r="G17790" s="812"/>
    </row>
    <row r="17791" spans="7:7">
      <c r="G17791" s="812"/>
    </row>
    <row r="17792" spans="7:7">
      <c r="G17792" s="812"/>
    </row>
    <row r="17793" spans="7:7">
      <c r="G17793" s="812"/>
    </row>
    <row r="17794" spans="7:7">
      <c r="G17794" s="812"/>
    </row>
    <row r="17795" spans="7:7">
      <c r="G17795" s="812"/>
    </row>
    <row r="17796" spans="7:7">
      <c r="G17796" s="812"/>
    </row>
    <row r="17797" spans="7:7">
      <c r="G17797" s="812"/>
    </row>
    <row r="17798" spans="7:7">
      <c r="G17798" s="812"/>
    </row>
    <row r="17799" spans="7:7">
      <c r="G17799" s="812"/>
    </row>
    <row r="17800" spans="7:7">
      <c r="G17800" s="812"/>
    </row>
    <row r="17801" spans="7:7">
      <c r="G17801" s="812"/>
    </row>
    <row r="17802" spans="7:7">
      <c r="G17802" s="812"/>
    </row>
    <row r="17803" spans="7:7">
      <c r="G17803" s="812"/>
    </row>
    <row r="17804" spans="7:7">
      <c r="G17804" s="812"/>
    </row>
    <row r="17805" spans="7:7">
      <c r="G17805" s="812"/>
    </row>
    <row r="17806" spans="7:7">
      <c r="G17806" s="812"/>
    </row>
    <row r="17807" spans="7:7">
      <c r="G17807" s="812"/>
    </row>
    <row r="17808" spans="7:7">
      <c r="G17808" s="812"/>
    </row>
    <row r="17809" spans="7:7">
      <c r="G17809" s="812"/>
    </row>
    <row r="17810" spans="7:7">
      <c r="G17810" s="812"/>
    </row>
    <row r="17811" spans="7:7">
      <c r="G17811" s="812"/>
    </row>
    <row r="17812" spans="7:7">
      <c r="G17812" s="812"/>
    </row>
    <row r="17813" spans="7:7">
      <c r="G17813" s="812"/>
    </row>
    <row r="17814" spans="7:7">
      <c r="G17814" s="812"/>
    </row>
    <row r="17815" spans="7:7">
      <c r="G17815" s="812"/>
    </row>
    <row r="17816" spans="7:7">
      <c r="G17816" s="812"/>
    </row>
    <row r="17817" spans="7:7">
      <c r="G17817" s="812"/>
    </row>
    <row r="17818" spans="7:7">
      <c r="G17818" s="812"/>
    </row>
    <row r="17819" spans="7:7">
      <c r="G17819" s="812"/>
    </row>
    <row r="17820" spans="7:7">
      <c r="G17820" s="812"/>
    </row>
    <row r="17821" spans="7:7">
      <c r="G17821" s="812"/>
    </row>
    <row r="17822" spans="7:7">
      <c r="G17822" s="812"/>
    </row>
    <row r="17823" spans="7:7">
      <c r="G17823" s="812"/>
    </row>
    <row r="17824" spans="7:7">
      <c r="G17824" s="812"/>
    </row>
    <row r="17825" spans="7:7">
      <c r="G17825" s="812"/>
    </row>
    <row r="17826" spans="7:7">
      <c r="G17826" s="812"/>
    </row>
    <row r="17827" spans="7:7">
      <c r="G17827" s="812"/>
    </row>
    <row r="17828" spans="7:7">
      <c r="G17828" s="812"/>
    </row>
    <row r="17829" spans="7:7">
      <c r="G17829" s="812"/>
    </row>
    <row r="17830" spans="7:7">
      <c r="G17830" s="812"/>
    </row>
    <row r="17831" spans="7:7">
      <c r="G17831" s="812"/>
    </row>
    <row r="17832" spans="7:7">
      <c r="G17832" s="812"/>
    </row>
    <row r="17833" spans="7:7">
      <c r="G17833" s="812"/>
    </row>
    <row r="17834" spans="7:7">
      <c r="G17834" s="812"/>
    </row>
    <row r="17835" spans="7:7">
      <c r="G17835" s="812"/>
    </row>
    <row r="17836" spans="7:7">
      <c r="G17836" s="812"/>
    </row>
    <row r="17837" spans="7:7">
      <c r="G17837" s="812"/>
    </row>
    <row r="17838" spans="7:7">
      <c r="G17838" s="812"/>
    </row>
    <row r="17839" spans="7:7">
      <c r="G17839" s="812"/>
    </row>
    <row r="17840" spans="7:7">
      <c r="G17840" s="812"/>
    </row>
    <row r="17841" spans="7:7">
      <c r="G17841" s="812"/>
    </row>
    <row r="17842" spans="7:7">
      <c r="G17842" s="812"/>
    </row>
    <row r="17843" spans="7:7">
      <c r="G17843" s="812"/>
    </row>
    <row r="17844" spans="7:7">
      <c r="G17844" s="812"/>
    </row>
    <row r="17845" spans="7:7">
      <c r="G17845" s="812"/>
    </row>
    <row r="17846" spans="7:7">
      <c r="G17846" s="812"/>
    </row>
    <row r="17847" spans="7:7">
      <c r="G17847" s="812"/>
    </row>
    <row r="17848" spans="7:7">
      <c r="G17848" s="812"/>
    </row>
    <row r="17849" spans="7:7">
      <c r="G17849" s="812"/>
    </row>
    <row r="17850" spans="7:7">
      <c r="G17850" s="812"/>
    </row>
    <row r="17851" spans="7:7">
      <c r="G17851" s="812"/>
    </row>
    <row r="17852" spans="7:7">
      <c r="G17852" s="812"/>
    </row>
    <row r="17853" spans="7:7">
      <c r="G17853" s="812"/>
    </row>
    <row r="17854" spans="7:7">
      <c r="G17854" s="812"/>
    </row>
    <row r="17855" spans="7:7">
      <c r="G17855" s="812"/>
    </row>
    <row r="17856" spans="7:7">
      <c r="G17856" s="812"/>
    </row>
    <row r="17857" spans="7:7">
      <c r="G17857" s="812"/>
    </row>
    <row r="17858" spans="7:7">
      <c r="G17858" s="812"/>
    </row>
    <row r="17859" spans="7:7">
      <c r="G17859" s="812"/>
    </row>
    <row r="17860" spans="7:7">
      <c r="G17860" s="812"/>
    </row>
    <row r="17861" spans="7:7">
      <c r="G17861" s="812"/>
    </row>
    <row r="17862" spans="7:7">
      <c r="G17862" s="812"/>
    </row>
    <row r="17863" spans="7:7">
      <c r="G17863" s="812"/>
    </row>
    <row r="17864" spans="7:7">
      <c r="G17864" s="812"/>
    </row>
    <row r="17865" spans="7:7">
      <c r="G17865" s="812"/>
    </row>
    <row r="17866" spans="7:7">
      <c r="G17866" s="812"/>
    </row>
    <row r="17867" spans="7:7">
      <c r="G17867" s="812"/>
    </row>
    <row r="17868" spans="7:7">
      <c r="G17868" s="812"/>
    </row>
    <row r="17869" spans="7:7">
      <c r="G17869" s="812"/>
    </row>
    <row r="17870" spans="7:7">
      <c r="G17870" s="812"/>
    </row>
    <row r="17871" spans="7:7">
      <c r="G17871" s="812"/>
    </row>
    <row r="17872" spans="7:7">
      <c r="G17872" s="812"/>
    </row>
    <row r="17873" spans="7:7">
      <c r="G17873" s="812"/>
    </row>
    <row r="17874" spans="7:7">
      <c r="G17874" s="812"/>
    </row>
    <row r="17875" spans="7:7">
      <c r="G17875" s="812"/>
    </row>
    <row r="17876" spans="7:7">
      <c r="G17876" s="812"/>
    </row>
    <row r="17877" spans="7:7">
      <c r="G17877" s="812"/>
    </row>
    <row r="17878" spans="7:7">
      <c r="G17878" s="812"/>
    </row>
    <row r="17879" spans="7:7">
      <c r="G17879" s="812"/>
    </row>
    <row r="17880" spans="7:7">
      <c r="G17880" s="812"/>
    </row>
    <row r="17881" spans="7:7">
      <c r="G17881" s="812"/>
    </row>
    <row r="17882" spans="7:7">
      <c r="G17882" s="812"/>
    </row>
    <row r="17883" spans="7:7">
      <c r="G17883" s="812"/>
    </row>
    <row r="17884" spans="7:7">
      <c r="G17884" s="812"/>
    </row>
    <row r="17885" spans="7:7">
      <c r="G17885" s="812"/>
    </row>
    <row r="17886" spans="7:7">
      <c r="G17886" s="812"/>
    </row>
    <row r="17887" spans="7:7">
      <c r="G17887" s="812"/>
    </row>
    <row r="17888" spans="7:7">
      <c r="G17888" s="812"/>
    </row>
    <row r="17889" spans="7:7">
      <c r="G17889" s="812"/>
    </row>
    <row r="17890" spans="7:7">
      <c r="G17890" s="812"/>
    </row>
    <row r="17891" spans="7:7">
      <c r="G17891" s="812"/>
    </row>
    <row r="17892" spans="7:7">
      <c r="G17892" s="812"/>
    </row>
    <row r="17893" spans="7:7">
      <c r="G17893" s="812"/>
    </row>
    <row r="17894" spans="7:7">
      <c r="G17894" s="812"/>
    </row>
    <row r="17895" spans="7:7">
      <c r="G17895" s="812"/>
    </row>
    <row r="17896" spans="7:7">
      <c r="G17896" s="812"/>
    </row>
    <row r="17897" spans="7:7">
      <c r="G17897" s="812"/>
    </row>
    <row r="17898" spans="7:7">
      <c r="G17898" s="812"/>
    </row>
    <row r="17899" spans="7:7">
      <c r="G17899" s="812"/>
    </row>
    <row r="17900" spans="7:7">
      <c r="G17900" s="812"/>
    </row>
    <row r="17901" spans="7:7">
      <c r="G17901" s="812"/>
    </row>
    <row r="17902" spans="7:7">
      <c r="G17902" s="812"/>
    </row>
    <row r="17903" spans="7:7">
      <c r="G17903" s="812"/>
    </row>
    <row r="17904" spans="7:7">
      <c r="G17904" s="812"/>
    </row>
    <row r="17905" spans="7:7">
      <c r="G17905" s="812"/>
    </row>
    <row r="17906" spans="7:7">
      <c r="G17906" s="812"/>
    </row>
    <row r="17907" spans="7:7">
      <c r="G17907" s="812"/>
    </row>
    <row r="17908" spans="7:7">
      <c r="G17908" s="812"/>
    </row>
    <row r="17909" spans="7:7">
      <c r="G17909" s="812"/>
    </row>
    <row r="17910" spans="7:7">
      <c r="G17910" s="812"/>
    </row>
    <row r="17911" spans="7:7">
      <c r="G17911" s="812"/>
    </row>
    <row r="17912" spans="7:7">
      <c r="G17912" s="812"/>
    </row>
    <row r="17913" spans="7:7">
      <c r="G17913" s="812"/>
    </row>
    <row r="17914" spans="7:7">
      <c r="G17914" s="812"/>
    </row>
    <row r="17915" spans="7:7">
      <c r="G17915" s="812"/>
    </row>
    <row r="17916" spans="7:7">
      <c r="G17916" s="812"/>
    </row>
    <row r="17917" spans="7:7">
      <c r="G17917" s="812"/>
    </row>
    <row r="17918" spans="7:7">
      <c r="G17918" s="812"/>
    </row>
    <row r="17919" spans="7:7">
      <c r="G17919" s="812"/>
    </row>
    <row r="17920" spans="7:7">
      <c r="G17920" s="812"/>
    </row>
    <row r="17921" spans="7:7">
      <c r="G17921" s="812"/>
    </row>
    <row r="17922" spans="7:7">
      <c r="G17922" s="812"/>
    </row>
    <row r="17923" spans="7:7">
      <c r="G17923" s="812"/>
    </row>
    <row r="17924" spans="7:7">
      <c r="G17924" s="812"/>
    </row>
    <row r="17925" spans="7:7">
      <c r="G17925" s="812"/>
    </row>
    <row r="17926" spans="7:7">
      <c r="G17926" s="812"/>
    </row>
    <row r="17927" spans="7:7">
      <c r="G17927" s="812"/>
    </row>
    <row r="17928" spans="7:7">
      <c r="G17928" s="812"/>
    </row>
    <row r="17929" spans="7:7">
      <c r="G17929" s="812"/>
    </row>
    <row r="17930" spans="7:7">
      <c r="G17930" s="812"/>
    </row>
    <row r="17931" spans="7:7">
      <c r="G17931" s="812"/>
    </row>
    <row r="17932" spans="7:7">
      <c r="G17932" s="812"/>
    </row>
    <row r="17933" spans="7:7">
      <c r="G17933" s="812"/>
    </row>
    <row r="17934" spans="7:7">
      <c r="G17934" s="812"/>
    </row>
    <row r="17935" spans="7:7">
      <c r="G17935" s="812"/>
    </row>
    <row r="17936" spans="7:7">
      <c r="G17936" s="812"/>
    </row>
    <row r="17937" spans="7:7">
      <c r="G17937" s="812"/>
    </row>
    <row r="17938" spans="7:7">
      <c r="G17938" s="812"/>
    </row>
    <row r="17939" spans="7:7">
      <c r="G17939" s="812"/>
    </row>
    <row r="17940" spans="7:7">
      <c r="G17940" s="812"/>
    </row>
    <row r="17941" spans="7:7">
      <c r="G17941" s="812"/>
    </row>
    <row r="17942" spans="7:7">
      <c r="G17942" s="812"/>
    </row>
    <row r="17943" spans="7:7">
      <c r="G17943" s="812"/>
    </row>
    <row r="17944" spans="7:7">
      <c r="G17944" s="812"/>
    </row>
    <row r="17945" spans="7:7">
      <c r="G17945" s="812"/>
    </row>
    <row r="17946" spans="7:7">
      <c r="G17946" s="812"/>
    </row>
    <row r="17947" spans="7:7">
      <c r="G17947" s="812"/>
    </row>
    <row r="17948" spans="7:7">
      <c r="G17948" s="812"/>
    </row>
    <row r="17949" spans="7:7">
      <c r="G17949" s="812"/>
    </row>
    <row r="17950" spans="7:7">
      <c r="G17950" s="812"/>
    </row>
    <row r="17951" spans="7:7">
      <c r="G17951" s="812"/>
    </row>
    <row r="17952" spans="7:7">
      <c r="G17952" s="812"/>
    </row>
    <row r="17953" spans="7:7">
      <c r="G17953" s="812"/>
    </row>
    <row r="17954" spans="7:7">
      <c r="G17954" s="812"/>
    </row>
    <row r="17955" spans="7:7">
      <c r="G17955" s="812"/>
    </row>
    <row r="17956" spans="7:7">
      <c r="G17956" s="812"/>
    </row>
    <row r="17957" spans="7:7">
      <c r="G17957" s="812"/>
    </row>
    <row r="17958" spans="7:7">
      <c r="G17958" s="812"/>
    </row>
    <row r="17959" spans="7:7">
      <c r="G17959" s="812"/>
    </row>
    <row r="17960" spans="7:7">
      <c r="G17960" s="812"/>
    </row>
    <row r="17961" spans="7:7">
      <c r="G17961" s="812"/>
    </row>
    <row r="17962" spans="7:7">
      <c r="G17962" s="812"/>
    </row>
    <row r="17963" spans="7:7">
      <c r="G17963" s="812"/>
    </row>
    <row r="17964" spans="7:7">
      <c r="G17964" s="812"/>
    </row>
    <row r="17965" spans="7:7">
      <c r="G17965" s="812"/>
    </row>
    <row r="17966" spans="7:7">
      <c r="G17966" s="812"/>
    </row>
    <row r="17967" spans="7:7">
      <c r="G17967" s="812"/>
    </row>
    <row r="17968" spans="7:7">
      <c r="G17968" s="812"/>
    </row>
    <row r="17969" spans="7:7">
      <c r="G17969" s="812"/>
    </row>
    <row r="17970" spans="7:7">
      <c r="G17970" s="812"/>
    </row>
    <row r="17971" spans="7:7">
      <c r="G17971" s="812"/>
    </row>
    <row r="17972" spans="7:7">
      <c r="G17972" s="812"/>
    </row>
    <row r="17973" spans="7:7">
      <c r="G17973" s="812"/>
    </row>
    <row r="17974" spans="7:7">
      <c r="G17974" s="812"/>
    </row>
    <row r="17975" spans="7:7">
      <c r="G17975" s="812"/>
    </row>
    <row r="17976" spans="7:7">
      <c r="G17976" s="812"/>
    </row>
    <row r="17977" spans="7:7">
      <c r="G17977" s="812"/>
    </row>
    <row r="17978" spans="7:7">
      <c r="G17978" s="812"/>
    </row>
    <row r="17979" spans="7:7">
      <c r="G17979" s="812"/>
    </row>
    <row r="17980" spans="7:7">
      <c r="G17980" s="812"/>
    </row>
    <row r="17981" spans="7:7">
      <c r="G17981" s="812"/>
    </row>
    <row r="17982" spans="7:7">
      <c r="G17982" s="812"/>
    </row>
    <row r="17983" spans="7:7">
      <c r="G17983" s="812"/>
    </row>
    <row r="17984" spans="7:7">
      <c r="G17984" s="812"/>
    </row>
    <row r="17985" spans="7:7">
      <c r="G17985" s="812"/>
    </row>
    <row r="17986" spans="7:7">
      <c r="G17986" s="812"/>
    </row>
    <row r="17987" spans="7:7">
      <c r="G17987" s="812"/>
    </row>
    <row r="17988" spans="7:7">
      <c r="G17988" s="812"/>
    </row>
    <row r="17989" spans="7:7">
      <c r="G17989" s="812"/>
    </row>
    <row r="17990" spans="7:7">
      <c r="G17990" s="812"/>
    </row>
    <row r="17991" spans="7:7">
      <c r="G17991" s="812"/>
    </row>
    <row r="17992" spans="7:7">
      <c r="G17992" s="812"/>
    </row>
    <row r="17993" spans="7:7">
      <c r="G17993" s="812"/>
    </row>
    <row r="17994" spans="7:7">
      <c r="G17994" s="812"/>
    </row>
    <row r="17995" spans="7:7">
      <c r="G17995" s="812"/>
    </row>
    <row r="17996" spans="7:7">
      <c r="G17996" s="812"/>
    </row>
    <row r="17997" spans="7:7">
      <c r="G17997" s="812"/>
    </row>
    <row r="17998" spans="7:7">
      <c r="G17998" s="812"/>
    </row>
    <row r="17999" spans="7:7">
      <c r="G17999" s="812"/>
    </row>
    <row r="18000" spans="7:7">
      <c r="G18000" s="812"/>
    </row>
    <row r="18001" spans="7:7">
      <c r="G18001" s="812"/>
    </row>
    <row r="18002" spans="7:7">
      <c r="G18002" s="812"/>
    </row>
    <row r="18003" spans="7:7">
      <c r="G18003" s="812"/>
    </row>
    <row r="18004" spans="7:7">
      <c r="G18004" s="812"/>
    </row>
    <row r="18005" spans="7:7">
      <c r="G18005" s="812"/>
    </row>
    <row r="18006" spans="7:7">
      <c r="G18006" s="812"/>
    </row>
    <row r="18007" spans="7:7">
      <c r="G18007" s="812"/>
    </row>
    <row r="18008" spans="7:7">
      <c r="G18008" s="812"/>
    </row>
    <row r="18009" spans="7:7">
      <c r="G18009" s="812"/>
    </row>
    <row r="18010" spans="7:7">
      <c r="G18010" s="812"/>
    </row>
    <row r="18011" spans="7:7">
      <c r="G18011" s="812"/>
    </row>
    <row r="18012" spans="7:7">
      <c r="G18012" s="812"/>
    </row>
    <row r="18013" spans="7:7">
      <c r="G18013" s="812"/>
    </row>
    <row r="18014" spans="7:7">
      <c r="G18014" s="812"/>
    </row>
    <row r="18015" spans="7:7">
      <c r="G18015" s="812"/>
    </row>
    <row r="18016" spans="7:7">
      <c r="G18016" s="812"/>
    </row>
    <row r="18017" spans="7:7">
      <c r="G18017" s="812"/>
    </row>
    <row r="18018" spans="7:7">
      <c r="G18018" s="812"/>
    </row>
    <row r="18019" spans="7:7">
      <c r="G18019" s="812"/>
    </row>
    <row r="18020" spans="7:7">
      <c r="G18020" s="812"/>
    </row>
    <row r="18021" spans="7:7">
      <c r="G18021" s="812"/>
    </row>
    <row r="18022" spans="7:7">
      <c r="G18022" s="812"/>
    </row>
    <row r="18023" spans="7:7">
      <c r="G18023" s="812"/>
    </row>
    <row r="18024" spans="7:7">
      <c r="G18024" s="812"/>
    </row>
    <row r="18025" spans="7:7">
      <c r="G18025" s="812"/>
    </row>
    <row r="18026" spans="7:7">
      <c r="G18026" s="812"/>
    </row>
    <row r="18027" spans="7:7">
      <c r="G18027" s="812"/>
    </row>
    <row r="18028" spans="7:7">
      <c r="G18028" s="812"/>
    </row>
    <row r="18029" spans="7:7">
      <c r="G18029" s="812"/>
    </row>
    <row r="18030" spans="7:7">
      <c r="G18030" s="812"/>
    </row>
    <row r="18031" spans="7:7">
      <c r="G18031" s="812"/>
    </row>
    <row r="18032" spans="7:7">
      <c r="G18032" s="812"/>
    </row>
    <row r="18033" spans="7:7">
      <c r="G18033" s="812"/>
    </row>
    <row r="18034" spans="7:7">
      <c r="G18034" s="812"/>
    </row>
    <row r="18035" spans="7:7">
      <c r="G18035" s="812"/>
    </row>
    <row r="18036" spans="7:7">
      <c r="G18036" s="812"/>
    </row>
    <row r="18037" spans="7:7">
      <c r="G18037" s="812"/>
    </row>
    <row r="18038" spans="7:7">
      <c r="G18038" s="812"/>
    </row>
    <row r="18039" spans="7:7">
      <c r="G18039" s="812"/>
    </row>
    <row r="18040" spans="7:7">
      <c r="G18040" s="812"/>
    </row>
    <row r="18041" spans="7:7">
      <c r="G18041" s="812"/>
    </row>
    <row r="18042" spans="7:7">
      <c r="G18042" s="812"/>
    </row>
    <row r="18043" spans="7:7">
      <c r="G18043" s="812"/>
    </row>
    <row r="18044" spans="7:7">
      <c r="G18044" s="812"/>
    </row>
    <row r="18045" spans="7:7">
      <c r="G18045" s="812"/>
    </row>
    <row r="18046" spans="7:7">
      <c r="G18046" s="812"/>
    </row>
    <row r="18047" spans="7:7">
      <c r="G18047" s="812"/>
    </row>
    <row r="18048" spans="7:7">
      <c r="G18048" s="812"/>
    </row>
    <row r="18049" spans="7:7">
      <c r="G18049" s="812"/>
    </row>
    <row r="18050" spans="7:7">
      <c r="G18050" s="812"/>
    </row>
    <row r="18051" spans="7:7">
      <c r="G18051" s="812"/>
    </row>
    <row r="18052" spans="7:7">
      <c r="G18052" s="812"/>
    </row>
    <row r="18053" spans="7:7">
      <c r="G18053" s="812"/>
    </row>
    <row r="18054" spans="7:7">
      <c r="G18054" s="812"/>
    </row>
    <row r="18055" spans="7:7">
      <c r="G18055" s="812"/>
    </row>
    <row r="18056" spans="7:7">
      <c r="G18056" s="812"/>
    </row>
    <row r="18057" spans="7:7">
      <c r="G18057" s="812"/>
    </row>
    <row r="18058" spans="7:7">
      <c r="G18058" s="812"/>
    </row>
    <row r="18059" spans="7:7">
      <c r="G18059" s="812"/>
    </row>
    <row r="18060" spans="7:7">
      <c r="G18060" s="812"/>
    </row>
    <row r="18061" spans="7:7">
      <c r="G18061" s="812"/>
    </row>
    <row r="18062" spans="7:7">
      <c r="G18062" s="812"/>
    </row>
    <row r="18063" spans="7:7">
      <c r="G18063" s="812"/>
    </row>
    <row r="18064" spans="7:7">
      <c r="G18064" s="812"/>
    </row>
    <row r="18065" spans="7:7">
      <c r="G18065" s="812"/>
    </row>
    <row r="18066" spans="7:7">
      <c r="G18066" s="812"/>
    </row>
    <row r="18067" spans="7:7">
      <c r="G18067" s="812"/>
    </row>
    <row r="18068" spans="7:7">
      <c r="G18068" s="812"/>
    </row>
    <row r="18069" spans="7:7">
      <c r="G18069" s="812"/>
    </row>
    <row r="18070" spans="7:7">
      <c r="G18070" s="812"/>
    </row>
    <row r="18071" spans="7:7">
      <c r="G18071" s="812"/>
    </row>
    <row r="18072" spans="7:7">
      <c r="G18072" s="812"/>
    </row>
    <row r="18073" spans="7:7">
      <c r="G18073" s="812"/>
    </row>
    <row r="18074" spans="7:7">
      <c r="G18074" s="812"/>
    </row>
    <row r="18075" spans="7:7">
      <c r="G18075" s="812"/>
    </row>
    <row r="18076" spans="7:7">
      <c r="G18076" s="812"/>
    </row>
    <row r="18077" spans="7:7">
      <c r="G18077" s="812"/>
    </row>
    <row r="18078" spans="7:7">
      <c r="G18078" s="812"/>
    </row>
    <row r="18079" spans="7:7">
      <c r="G18079" s="812"/>
    </row>
    <row r="18080" spans="7:7">
      <c r="G18080" s="812"/>
    </row>
    <row r="18081" spans="7:7">
      <c r="G18081" s="812"/>
    </row>
    <row r="18082" spans="7:7">
      <c r="G18082" s="812"/>
    </row>
    <row r="18083" spans="7:7">
      <c r="G18083" s="812"/>
    </row>
    <row r="18084" spans="7:7">
      <c r="G18084" s="812"/>
    </row>
    <row r="18085" spans="7:7">
      <c r="G18085" s="812"/>
    </row>
    <row r="18086" spans="7:7">
      <c r="G18086" s="812"/>
    </row>
    <row r="18087" spans="7:7">
      <c r="G18087" s="812"/>
    </row>
    <row r="18088" spans="7:7">
      <c r="G18088" s="812"/>
    </row>
    <row r="18089" spans="7:7">
      <c r="G18089" s="812"/>
    </row>
    <row r="18090" spans="7:7">
      <c r="G18090" s="812"/>
    </row>
    <row r="18091" spans="7:7">
      <c r="G18091" s="812"/>
    </row>
    <row r="18092" spans="7:7">
      <c r="G18092" s="812"/>
    </row>
    <row r="18093" spans="7:7">
      <c r="G18093" s="812"/>
    </row>
    <row r="18094" spans="7:7">
      <c r="G18094" s="812"/>
    </row>
    <row r="18095" spans="7:7">
      <c r="G18095" s="812"/>
    </row>
    <row r="18096" spans="7:7">
      <c r="G18096" s="812"/>
    </row>
    <row r="18097" spans="7:7">
      <c r="G18097" s="812"/>
    </row>
    <row r="18098" spans="7:7">
      <c r="G18098" s="812"/>
    </row>
    <row r="18099" spans="7:7">
      <c r="G18099" s="812"/>
    </row>
    <row r="18100" spans="7:7">
      <c r="G18100" s="812"/>
    </row>
    <row r="18101" spans="7:7">
      <c r="G18101" s="812"/>
    </row>
    <row r="18102" spans="7:7">
      <c r="G18102" s="812"/>
    </row>
    <row r="18103" spans="7:7">
      <c r="G18103" s="812"/>
    </row>
    <row r="18104" spans="7:7">
      <c r="G18104" s="812"/>
    </row>
    <row r="18105" spans="7:7">
      <c r="G18105" s="812"/>
    </row>
    <row r="18106" spans="7:7">
      <c r="G18106" s="812"/>
    </row>
    <row r="18107" spans="7:7">
      <c r="G18107" s="812"/>
    </row>
    <row r="18108" spans="7:7">
      <c r="G18108" s="812"/>
    </row>
    <row r="18109" spans="7:7">
      <c r="G18109" s="812"/>
    </row>
    <row r="18110" spans="7:7">
      <c r="G18110" s="812"/>
    </row>
    <row r="18111" spans="7:7">
      <c r="G18111" s="812"/>
    </row>
    <row r="18112" spans="7:7">
      <c r="G18112" s="812"/>
    </row>
    <row r="18113" spans="7:7">
      <c r="G18113" s="812"/>
    </row>
    <row r="18114" spans="7:7">
      <c r="G18114" s="812"/>
    </row>
    <row r="18115" spans="7:7">
      <c r="G18115" s="812"/>
    </row>
    <row r="18116" spans="7:7">
      <c r="G18116" s="812"/>
    </row>
    <row r="18117" spans="7:7">
      <c r="G18117" s="812"/>
    </row>
    <row r="18118" spans="7:7">
      <c r="G18118" s="812"/>
    </row>
    <row r="18119" spans="7:7">
      <c r="G18119" s="812"/>
    </row>
    <row r="18120" spans="7:7">
      <c r="G18120" s="812"/>
    </row>
    <row r="18121" spans="7:7">
      <c r="G18121" s="812"/>
    </row>
    <row r="18122" spans="7:7">
      <c r="G18122" s="812"/>
    </row>
    <row r="18123" spans="7:7">
      <c r="G18123" s="812"/>
    </row>
    <row r="18124" spans="7:7">
      <c r="G18124" s="812"/>
    </row>
    <row r="18125" spans="7:7">
      <c r="G18125" s="812"/>
    </row>
    <row r="18126" spans="7:7">
      <c r="G18126" s="812"/>
    </row>
    <row r="18127" spans="7:7">
      <c r="G18127" s="812"/>
    </row>
    <row r="18128" spans="7:7">
      <c r="G18128" s="812"/>
    </row>
    <row r="18129" spans="7:7">
      <c r="G18129" s="812"/>
    </row>
    <row r="18130" spans="7:7">
      <c r="G18130" s="812"/>
    </row>
    <row r="18131" spans="7:7">
      <c r="G18131" s="812"/>
    </row>
    <row r="18132" spans="7:7">
      <c r="G18132" s="812"/>
    </row>
    <row r="18133" spans="7:7">
      <c r="G18133" s="812"/>
    </row>
    <row r="18134" spans="7:7">
      <c r="G18134" s="812"/>
    </row>
    <row r="18135" spans="7:7">
      <c r="G18135" s="812"/>
    </row>
    <row r="18136" spans="7:7">
      <c r="G18136" s="812"/>
    </row>
    <row r="18137" spans="7:7">
      <c r="G18137" s="812"/>
    </row>
    <row r="18138" spans="7:7">
      <c r="G18138" s="812"/>
    </row>
    <row r="18139" spans="7:7">
      <c r="G18139" s="812"/>
    </row>
    <row r="18140" spans="7:7">
      <c r="G18140" s="812"/>
    </row>
    <row r="18141" spans="7:7">
      <c r="G18141" s="812"/>
    </row>
    <row r="18142" spans="7:7">
      <c r="G18142" s="812"/>
    </row>
    <row r="18143" spans="7:7">
      <c r="G18143" s="812"/>
    </row>
    <row r="18144" spans="7:7">
      <c r="G18144" s="812"/>
    </row>
    <row r="18145" spans="7:7">
      <c r="G18145" s="812"/>
    </row>
    <row r="18146" spans="7:7">
      <c r="G18146" s="812"/>
    </row>
    <row r="18147" spans="7:7">
      <c r="G18147" s="812"/>
    </row>
    <row r="18148" spans="7:7">
      <c r="G18148" s="812"/>
    </row>
    <row r="18149" spans="7:7">
      <c r="G18149" s="812"/>
    </row>
    <row r="18150" spans="7:7">
      <c r="G18150" s="812"/>
    </row>
    <row r="18151" spans="7:7">
      <c r="G18151" s="812"/>
    </row>
    <row r="18152" spans="7:7">
      <c r="G18152" s="812"/>
    </row>
    <row r="18153" spans="7:7">
      <c r="G18153" s="812"/>
    </row>
    <row r="18154" spans="7:7">
      <c r="G18154" s="812"/>
    </row>
    <row r="18155" spans="7:7">
      <c r="G18155" s="812"/>
    </row>
    <row r="18156" spans="7:7">
      <c r="G18156" s="812"/>
    </row>
    <row r="18157" spans="7:7">
      <c r="G18157" s="812"/>
    </row>
    <row r="18158" spans="7:7">
      <c r="G18158" s="812"/>
    </row>
    <row r="18159" spans="7:7">
      <c r="G18159" s="812"/>
    </row>
    <row r="18160" spans="7:7">
      <c r="G18160" s="812"/>
    </row>
    <row r="18161" spans="7:7">
      <c r="G18161" s="812"/>
    </row>
    <row r="18162" spans="7:7">
      <c r="G18162" s="812"/>
    </row>
    <row r="18163" spans="7:7">
      <c r="G18163" s="812"/>
    </row>
    <row r="18164" spans="7:7">
      <c r="G18164" s="812"/>
    </row>
    <row r="18165" spans="7:7">
      <c r="G18165" s="812"/>
    </row>
    <row r="18166" spans="7:7">
      <c r="G18166" s="812"/>
    </row>
    <row r="18167" spans="7:7">
      <c r="G18167" s="812"/>
    </row>
    <row r="18168" spans="7:7">
      <c r="G18168" s="812"/>
    </row>
    <row r="18169" spans="7:7">
      <c r="G18169" s="812"/>
    </row>
    <row r="18170" spans="7:7">
      <c r="G18170" s="812"/>
    </row>
    <row r="18171" spans="7:7">
      <c r="G18171" s="812"/>
    </row>
    <row r="18172" spans="7:7">
      <c r="G18172" s="812"/>
    </row>
    <row r="18173" spans="7:7">
      <c r="G18173" s="812"/>
    </row>
    <row r="18174" spans="7:7">
      <c r="G18174" s="812"/>
    </row>
    <row r="18175" spans="7:7">
      <c r="G18175" s="812"/>
    </row>
    <row r="18176" spans="7:7">
      <c r="G18176" s="812"/>
    </row>
    <row r="18177" spans="7:7">
      <c r="G18177" s="812"/>
    </row>
    <row r="18178" spans="7:7">
      <c r="G18178" s="812"/>
    </row>
    <row r="18179" spans="7:7">
      <c r="G18179" s="812"/>
    </row>
    <row r="18180" spans="7:7">
      <c r="G18180" s="812"/>
    </row>
    <row r="18181" spans="7:7">
      <c r="G18181" s="812"/>
    </row>
    <row r="18182" spans="7:7">
      <c r="G18182" s="812"/>
    </row>
    <row r="18183" spans="7:7">
      <c r="G18183" s="812"/>
    </row>
    <row r="18184" spans="7:7">
      <c r="G18184" s="812"/>
    </row>
    <row r="18185" spans="7:7">
      <c r="G18185" s="812"/>
    </row>
    <row r="18186" spans="7:7">
      <c r="G18186" s="812"/>
    </row>
    <row r="18187" spans="7:7">
      <c r="G18187" s="812"/>
    </row>
    <row r="18188" spans="7:7">
      <c r="G18188" s="812"/>
    </row>
    <row r="18189" spans="7:7">
      <c r="G18189" s="812"/>
    </row>
    <row r="18190" spans="7:7">
      <c r="G18190" s="812"/>
    </row>
    <row r="18191" spans="7:7">
      <c r="G18191" s="812"/>
    </row>
    <row r="18192" spans="7:7">
      <c r="G18192" s="812"/>
    </row>
    <row r="18193" spans="7:7">
      <c r="G18193" s="812"/>
    </row>
    <row r="18194" spans="7:7">
      <c r="G18194" s="812"/>
    </row>
    <row r="18195" spans="7:7">
      <c r="G18195" s="812"/>
    </row>
    <row r="18196" spans="7:7">
      <c r="G18196" s="812"/>
    </row>
    <row r="18197" spans="7:7">
      <c r="G18197" s="812"/>
    </row>
    <row r="18198" spans="7:7">
      <c r="G18198" s="812"/>
    </row>
    <row r="18199" spans="7:7">
      <c r="G18199" s="812"/>
    </row>
    <row r="18200" spans="7:7">
      <c r="G18200" s="812"/>
    </row>
    <row r="18201" spans="7:7">
      <c r="G18201" s="812"/>
    </row>
    <row r="18202" spans="7:7">
      <c r="G18202" s="812"/>
    </row>
    <row r="18203" spans="7:7">
      <c r="G18203" s="812"/>
    </row>
    <row r="18204" spans="7:7">
      <c r="G18204" s="812"/>
    </row>
    <row r="18205" spans="7:7">
      <c r="G18205" s="812"/>
    </row>
    <row r="18206" spans="7:7">
      <c r="G18206" s="812"/>
    </row>
    <row r="18207" spans="7:7">
      <c r="G18207" s="812"/>
    </row>
    <row r="18208" spans="7:7">
      <c r="G18208" s="812"/>
    </row>
    <row r="18209" spans="7:7">
      <c r="G18209" s="812"/>
    </row>
    <row r="18210" spans="7:7">
      <c r="G18210" s="812"/>
    </row>
    <row r="18211" spans="7:7">
      <c r="G18211" s="812"/>
    </row>
    <row r="18212" spans="7:7">
      <c r="G18212" s="812"/>
    </row>
    <row r="18213" spans="7:7">
      <c r="G18213" s="812"/>
    </row>
    <row r="18214" spans="7:7">
      <c r="G18214" s="812"/>
    </row>
    <row r="18215" spans="7:7">
      <c r="G18215" s="812"/>
    </row>
    <row r="18216" spans="7:7">
      <c r="G18216" s="812"/>
    </row>
    <row r="18217" spans="7:7">
      <c r="G18217" s="812"/>
    </row>
    <row r="18218" spans="7:7">
      <c r="G18218" s="812"/>
    </row>
    <row r="18219" spans="7:7">
      <c r="G18219" s="812"/>
    </row>
    <row r="18220" spans="7:7">
      <c r="G18220" s="812"/>
    </row>
    <row r="18221" spans="7:7">
      <c r="G18221" s="812"/>
    </row>
    <row r="18222" spans="7:7">
      <c r="G18222" s="812"/>
    </row>
    <row r="18223" spans="7:7">
      <c r="G18223" s="812"/>
    </row>
    <row r="18224" spans="7:7">
      <c r="G18224" s="812"/>
    </row>
    <row r="18225" spans="7:7">
      <c r="G18225" s="812"/>
    </row>
    <row r="18226" spans="7:7">
      <c r="G18226" s="812"/>
    </row>
    <row r="18227" spans="7:7">
      <c r="G18227" s="812"/>
    </row>
    <row r="18228" spans="7:7">
      <c r="G18228" s="812"/>
    </row>
    <row r="18229" spans="7:7">
      <c r="G18229" s="812"/>
    </row>
    <row r="18230" spans="7:7">
      <c r="G18230" s="812"/>
    </row>
    <row r="18231" spans="7:7">
      <c r="G18231" s="812"/>
    </row>
    <row r="18232" spans="7:7">
      <c r="G18232" s="812"/>
    </row>
    <row r="18233" spans="7:7">
      <c r="G18233" s="812"/>
    </row>
    <row r="18234" spans="7:7">
      <c r="G18234" s="812"/>
    </row>
    <row r="18235" spans="7:7">
      <c r="G18235" s="812"/>
    </row>
    <row r="18236" spans="7:7">
      <c r="G18236" s="812"/>
    </row>
    <row r="18237" spans="7:7">
      <c r="G18237" s="812"/>
    </row>
    <row r="18238" spans="7:7">
      <c r="G18238" s="812"/>
    </row>
    <row r="18239" spans="7:7">
      <c r="G18239" s="812"/>
    </row>
    <row r="18240" spans="7:7">
      <c r="G18240" s="812"/>
    </row>
    <row r="18241" spans="7:7">
      <c r="G18241" s="812"/>
    </row>
    <row r="18242" spans="7:7">
      <c r="G18242" s="812"/>
    </row>
    <row r="18243" spans="7:7">
      <c r="G18243" s="812"/>
    </row>
    <row r="18244" spans="7:7">
      <c r="G18244" s="812"/>
    </row>
    <row r="18245" spans="7:7">
      <c r="G18245" s="812"/>
    </row>
    <row r="18246" spans="7:7">
      <c r="G18246" s="812"/>
    </row>
    <row r="18247" spans="7:7">
      <c r="G18247" s="812"/>
    </row>
    <row r="18248" spans="7:7">
      <c r="G18248" s="812"/>
    </row>
    <row r="18249" spans="7:7">
      <c r="G18249" s="812"/>
    </row>
    <row r="18250" spans="7:7">
      <c r="G18250" s="812"/>
    </row>
    <row r="18251" spans="7:7">
      <c r="G18251" s="812"/>
    </row>
    <row r="18252" spans="7:7">
      <c r="G18252" s="812"/>
    </row>
    <row r="18253" spans="7:7">
      <c r="G18253" s="812"/>
    </row>
    <row r="18254" spans="7:7">
      <c r="G18254" s="812"/>
    </row>
    <row r="18255" spans="7:7">
      <c r="G18255" s="812"/>
    </row>
    <row r="18256" spans="7:7">
      <c r="G18256" s="812"/>
    </row>
    <row r="18257" spans="7:7">
      <c r="G18257" s="812"/>
    </row>
    <row r="18258" spans="7:7">
      <c r="G18258" s="812"/>
    </row>
    <row r="18259" spans="7:7">
      <c r="G18259" s="812"/>
    </row>
    <row r="18260" spans="7:7">
      <c r="G18260" s="812"/>
    </row>
    <row r="18261" spans="7:7">
      <c r="G18261" s="812"/>
    </row>
    <row r="18262" spans="7:7">
      <c r="G18262" s="812"/>
    </row>
    <row r="18263" spans="7:7">
      <c r="G18263" s="812"/>
    </row>
    <row r="18264" spans="7:7">
      <c r="G18264" s="812"/>
    </row>
    <row r="18265" spans="7:7">
      <c r="G18265" s="812"/>
    </row>
    <row r="18266" spans="7:7">
      <c r="G18266" s="812"/>
    </row>
    <row r="18267" spans="7:7">
      <c r="G18267" s="812"/>
    </row>
    <row r="18268" spans="7:7">
      <c r="G18268" s="812"/>
    </row>
    <row r="18269" spans="7:7">
      <c r="G18269" s="812"/>
    </row>
    <row r="18270" spans="7:7">
      <c r="G18270" s="812"/>
    </row>
    <row r="18271" spans="7:7">
      <c r="G18271" s="812"/>
    </row>
    <row r="18272" spans="7:7">
      <c r="G18272" s="812"/>
    </row>
    <row r="18273" spans="7:7">
      <c r="G18273" s="812"/>
    </row>
    <row r="18274" spans="7:7">
      <c r="G18274" s="812"/>
    </row>
    <row r="18275" spans="7:7">
      <c r="G18275" s="812"/>
    </row>
    <row r="18276" spans="7:7">
      <c r="G18276" s="812"/>
    </row>
    <row r="18277" spans="7:7">
      <c r="G18277" s="812"/>
    </row>
    <row r="18278" spans="7:7">
      <c r="G18278" s="812"/>
    </row>
    <row r="18279" spans="7:7">
      <c r="G18279" s="812"/>
    </row>
    <row r="18280" spans="7:7">
      <c r="G18280" s="812"/>
    </row>
    <row r="18281" spans="7:7">
      <c r="G18281" s="812"/>
    </row>
    <row r="18282" spans="7:7">
      <c r="G18282" s="812"/>
    </row>
    <row r="18283" spans="7:7">
      <c r="G18283" s="812"/>
    </row>
    <row r="18284" spans="7:7">
      <c r="G18284" s="812"/>
    </row>
    <row r="18285" spans="7:7">
      <c r="G18285" s="812"/>
    </row>
    <row r="18286" spans="7:7">
      <c r="G18286" s="812"/>
    </row>
    <row r="18287" spans="7:7">
      <c r="G18287" s="812"/>
    </row>
    <row r="18288" spans="7:7">
      <c r="G18288" s="812"/>
    </row>
    <row r="18289" spans="7:7">
      <c r="G18289" s="812"/>
    </row>
    <row r="18290" spans="7:7">
      <c r="G18290" s="812"/>
    </row>
    <row r="18291" spans="7:7">
      <c r="G18291" s="812"/>
    </row>
    <row r="18292" spans="7:7">
      <c r="G18292" s="812"/>
    </row>
    <row r="18293" spans="7:7">
      <c r="G18293" s="812"/>
    </row>
    <row r="18294" spans="7:7">
      <c r="G18294" s="812"/>
    </row>
    <row r="18295" spans="7:7">
      <c r="G18295" s="812"/>
    </row>
    <row r="18296" spans="7:7">
      <c r="G18296" s="812"/>
    </row>
    <row r="18297" spans="7:7">
      <c r="G18297" s="812"/>
    </row>
    <row r="18298" spans="7:7">
      <c r="G18298" s="812"/>
    </row>
    <row r="18299" spans="7:7">
      <c r="G18299" s="812"/>
    </row>
    <row r="18300" spans="7:7">
      <c r="G18300" s="812"/>
    </row>
    <row r="18301" spans="7:7">
      <c r="G18301" s="812"/>
    </row>
    <row r="18302" spans="7:7">
      <c r="G18302" s="812"/>
    </row>
    <row r="18303" spans="7:7">
      <c r="G18303" s="812"/>
    </row>
    <row r="18304" spans="7:7">
      <c r="G18304" s="812"/>
    </row>
    <row r="18305" spans="7:7">
      <c r="G18305" s="812"/>
    </row>
    <row r="18306" spans="7:7">
      <c r="G18306" s="812"/>
    </row>
    <row r="18307" spans="7:7">
      <c r="G18307" s="812"/>
    </row>
    <row r="18308" spans="7:7">
      <c r="G18308" s="812"/>
    </row>
    <row r="18309" spans="7:7">
      <c r="G18309" s="812"/>
    </row>
    <row r="18310" spans="7:7">
      <c r="G18310" s="812"/>
    </row>
    <row r="18311" spans="7:7">
      <c r="G18311" s="812"/>
    </row>
    <row r="18312" spans="7:7">
      <c r="G18312" s="812"/>
    </row>
    <row r="18313" spans="7:7">
      <c r="G18313" s="812"/>
    </row>
    <row r="18314" spans="7:7">
      <c r="G18314" s="812"/>
    </row>
    <row r="18315" spans="7:7">
      <c r="G18315" s="812"/>
    </row>
    <row r="18316" spans="7:7">
      <c r="G18316" s="812"/>
    </row>
    <row r="18317" spans="7:7">
      <c r="G18317" s="812"/>
    </row>
    <row r="18318" spans="7:7">
      <c r="G18318" s="812"/>
    </row>
    <row r="18319" spans="7:7">
      <c r="G18319" s="812"/>
    </row>
    <row r="18320" spans="7:7">
      <c r="G18320" s="812"/>
    </row>
    <row r="18321" spans="7:7">
      <c r="G18321" s="812"/>
    </row>
    <row r="18322" spans="7:7">
      <c r="G18322" s="812"/>
    </row>
    <row r="18323" spans="7:7">
      <c r="G18323" s="812"/>
    </row>
    <row r="18324" spans="7:7">
      <c r="G18324" s="812"/>
    </row>
    <row r="18325" spans="7:7">
      <c r="G18325" s="812"/>
    </row>
    <row r="18326" spans="7:7">
      <c r="G18326" s="812"/>
    </row>
    <row r="18327" spans="7:7">
      <c r="G18327" s="812"/>
    </row>
    <row r="18328" spans="7:7">
      <c r="G18328" s="812"/>
    </row>
    <row r="18329" spans="7:7">
      <c r="G18329" s="812"/>
    </row>
    <row r="18330" spans="7:7">
      <c r="G18330" s="812"/>
    </row>
    <row r="18331" spans="7:7">
      <c r="G18331" s="812"/>
    </row>
    <row r="18332" spans="7:7">
      <c r="G18332" s="812"/>
    </row>
    <row r="18333" spans="7:7">
      <c r="G18333" s="812"/>
    </row>
    <row r="18334" spans="7:7">
      <c r="G18334" s="812"/>
    </row>
    <row r="18335" spans="7:7">
      <c r="G18335" s="812"/>
    </row>
    <row r="18336" spans="7:7">
      <c r="G18336" s="812"/>
    </row>
    <row r="18337" spans="7:7">
      <c r="G18337" s="812"/>
    </row>
    <row r="18338" spans="7:7">
      <c r="G18338" s="812"/>
    </row>
    <row r="18339" spans="7:7">
      <c r="G18339" s="812"/>
    </row>
    <row r="18340" spans="7:7">
      <c r="G18340" s="812"/>
    </row>
    <row r="18341" spans="7:7">
      <c r="G18341" s="812"/>
    </row>
    <row r="18342" spans="7:7">
      <c r="G18342" s="812"/>
    </row>
    <row r="18343" spans="7:7">
      <c r="G18343" s="812"/>
    </row>
    <row r="18344" spans="7:7">
      <c r="G18344" s="812"/>
    </row>
    <row r="18345" spans="7:7">
      <c r="G18345" s="812"/>
    </row>
    <row r="18346" spans="7:7">
      <c r="G18346" s="812"/>
    </row>
    <row r="18347" spans="7:7">
      <c r="G18347" s="812"/>
    </row>
    <row r="18348" spans="7:7">
      <c r="G18348" s="812"/>
    </row>
    <row r="18349" spans="7:7">
      <c r="G18349" s="812"/>
    </row>
    <row r="18350" spans="7:7">
      <c r="G18350" s="812"/>
    </row>
    <row r="18351" spans="7:7">
      <c r="G18351" s="812"/>
    </row>
    <row r="18352" spans="7:7">
      <c r="G18352" s="812"/>
    </row>
    <row r="18353" spans="7:7">
      <c r="G18353" s="812"/>
    </row>
    <row r="18354" spans="7:7">
      <c r="G18354" s="812"/>
    </row>
    <row r="18355" spans="7:7">
      <c r="G18355" s="812"/>
    </row>
    <row r="18356" spans="7:7">
      <c r="G18356" s="812"/>
    </row>
    <row r="18357" spans="7:7">
      <c r="G18357" s="812"/>
    </row>
    <row r="18358" spans="7:7">
      <c r="G18358" s="812"/>
    </row>
    <row r="18359" spans="7:7">
      <c r="G18359" s="812"/>
    </row>
    <row r="18360" spans="7:7">
      <c r="G18360" s="812"/>
    </row>
    <row r="18361" spans="7:7">
      <c r="G18361" s="812"/>
    </row>
    <row r="18362" spans="7:7">
      <c r="G18362" s="812"/>
    </row>
    <row r="18363" spans="7:7">
      <c r="G18363" s="812"/>
    </row>
    <row r="18364" spans="7:7">
      <c r="G18364" s="812"/>
    </row>
    <row r="18365" spans="7:7">
      <c r="G18365" s="812"/>
    </row>
    <row r="18366" spans="7:7">
      <c r="G18366" s="812"/>
    </row>
    <row r="18367" spans="7:7">
      <c r="G18367" s="812"/>
    </row>
    <row r="18368" spans="7:7">
      <c r="G18368" s="812"/>
    </row>
    <row r="18369" spans="7:7">
      <c r="G18369" s="812"/>
    </row>
    <row r="18370" spans="7:7">
      <c r="G18370" s="812"/>
    </row>
    <row r="18371" spans="7:7">
      <c r="G18371" s="812"/>
    </row>
    <row r="18372" spans="7:7">
      <c r="G18372" s="812"/>
    </row>
    <row r="18373" spans="7:7">
      <c r="G18373" s="812"/>
    </row>
    <row r="18374" spans="7:7">
      <c r="G18374" s="812"/>
    </row>
    <row r="18375" spans="7:7">
      <c r="G18375" s="812"/>
    </row>
    <row r="18376" spans="7:7">
      <c r="G18376" s="812"/>
    </row>
    <row r="18377" spans="7:7">
      <c r="G18377" s="812"/>
    </row>
    <row r="18378" spans="7:7">
      <c r="G18378" s="812"/>
    </row>
    <row r="18379" spans="7:7">
      <c r="G18379" s="812"/>
    </row>
    <row r="18380" spans="7:7">
      <c r="G18380" s="812"/>
    </row>
    <row r="18381" spans="7:7">
      <c r="G18381" s="812"/>
    </row>
    <row r="18382" spans="7:7">
      <c r="G18382" s="812"/>
    </row>
    <row r="18383" spans="7:7">
      <c r="G18383" s="812"/>
    </row>
    <row r="18384" spans="7:7">
      <c r="G18384" s="812"/>
    </row>
    <row r="18385" spans="7:7">
      <c r="G18385" s="812"/>
    </row>
    <row r="18386" spans="7:7">
      <c r="G18386" s="812"/>
    </row>
    <row r="18387" spans="7:7">
      <c r="G18387" s="812"/>
    </row>
    <row r="18388" spans="7:7">
      <c r="G18388" s="812"/>
    </row>
    <row r="18389" spans="7:7">
      <c r="G18389" s="812"/>
    </row>
    <row r="18390" spans="7:7">
      <c r="G18390" s="812"/>
    </row>
    <row r="18391" spans="7:7">
      <c r="G18391" s="812"/>
    </row>
    <row r="18392" spans="7:7">
      <c r="G18392" s="812"/>
    </row>
    <row r="18393" spans="7:7">
      <c r="G18393" s="812"/>
    </row>
    <row r="18394" spans="7:7">
      <c r="G18394" s="812"/>
    </row>
    <row r="18395" spans="7:7">
      <c r="G18395" s="812"/>
    </row>
    <row r="18396" spans="7:7">
      <c r="G18396" s="812"/>
    </row>
    <row r="18397" spans="7:7">
      <c r="G18397" s="812"/>
    </row>
    <row r="18398" spans="7:7">
      <c r="G18398" s="812"/>
    </row>
    <row r="18399" spans="7:7">
      <c r="G18399" s="812"/>
    </row>
    <row r="18400" spans="7:7">
      <c r="G18400" s="812"/>
    </row>
    <row r="18401" spans="7:7">
      <c r="G18401" s="812"/>
    </row>
    <row r="18402" spans="7:7">
      <c r="G18402" s="812"/>
    </row>
    <row r="18403" spans="7:7">
      <c r="G18403" s="812"/>
    </row>
    <row r="18404" spans="7:7">
      <c r="G18404" s="812"/>
    </row>
    <row r="18405" spans="7:7">
      <c r="G18405" s="812"/>
    </row>
    <row r="18406" spans="7:7">
      <c r="G18406" s="812"/>
    </row>
    <row r="18407" spans="7:7">
      <c r="G18407" s="812"/>
    </row>
    <row r="18408" spans="7:7">
      <c r="G18408" s="812"/>
    </row>
    <row r="18409" spans="7:7">
      <c r="G18409" s="812"/>
    </row>
    <row r="18410" spans="7:7">
      <c r="G18410" s="812"/>
    </row>
    <row r="18411" spans="7:7">
      <c r="G18411" s="812"/>
    </row>
    <row r="18412" spans="7:7">
      <c r="G18412" s="812"/>
    </row>
    <row r="18413" spans="7:7">
      <c r="G18413" s="812"/>
    </row>
    <row r="18414" spans="7:7">
      <c r="G18414" s="812"/>
    </row>
    <row r="18415" spans="7:7">
      <c r="G18415" s="812"/>
    </row>
    <row r="18416" spans="7:7">
      <c r="G18416" s="812"/>
    </row>
    <row r="18417" spans="7:7">
      <c r="G18417" s="812"/>
    </row>
    <row r="18418" spans="7:7">
      <c r="G18418" s="812"/>
    </row>
    <row r="18419" spans="7:7">
      <c r="G18419" s="812"/>
    </row>
    <row r="18420" spans="7:7">
      <c r="G18420" s="812"/>
    </row>
    <row r="18421" spans="7:7">
      <c r="G18421" s="812"/>
    </row>
    <row r="18422" spans="7:7">
      <c r="G18422" s="812"/>
    </row>
    <row r="18423" spans="7:7">
      <c r="G18423" s="812"/>
    </row>
    <row r="18424" spans="7:7">
      <c r="G18424" s="812"/>
    </row>
    <row r="18425" spans="7:7">
      <c r="G18425" s="812"/>
    </row>
    <row r="18426" spans="7:7">
      <c r="G18426" s="812"/>
    </row>
    <row r="18427" spans="7:7">
      <c r="G18427" s="812"/>
    </row>
    <row r="18428" spans="7:7">
      <c r="G18428" s="812"/>
    </row>
    <row r="18429" spans="7:7">
      <c r="G18429" s="812"/>
    </row>
    <row r="18430" spans="7:7">
      <c r="G18430" s="812"/>
    </row>
    <row r="18431" spans="7:7">
      <c r="G18431" s="812"/>
    </row>
    <row r="18432" spans="7:7">
      <c r="G18432" s="812"/>
    </row>
    <row r="18433" spans="7:7">
      <c r="G18433" s="812"/>
    </row>
    <row r="18434" spans="7:7">
      <c r="G18434" s="812"/>
    </row>
    <row r="18435" spans="7:7">
      <c r="G18435" s="812"/>
    </row>
    <row r="18436" spans="7:7">
      <c r="G18436" s="812"/>
    </row>
    <row r="18437" spans="7:7">
      <c r="G18437" s="812"/>
    </row>
    <row r="18438" spans="7:7">
      <c r="G18438" s="812"/>
    </row>
    <row r="18439" spans="7:7">
      <c r="G18439" s="812"/>
    </row>
    <row r="18440" spans="7:7">
      <c r="G18440" s="812"/>
    </row>
    <row r="18441" spans="7:7">
      <c r="G18441" s="812"/>
    </row>
    <row r="18442" spans="7:7">
      <c r="G18442" s="812"/>
    </row>
    <row r="18443" spans="7:7">
      <c r="G18443" s="812"/>
    </row>
    <row r="18444" spans="7:7">
      <c r="G18444" s="812"/>
    </row>
    <row r="18445" spans="7:7">
      <c r="G18445" s="812"/>
    </row>
    <row r="18446" spans="7:7">
      <c r="G18446" s="812"/>
    </row>
    <row r="18447" spans="7:7">
      <c r="G18447" s="812"/>
    </row>
    <row r="18448" spans="7:7">
      <c r="G18448" s="812"/>
    </row>
    <row r="18449" spans="7:7">
      <c r="G18449" s="812"/>
    </row>
    <row r="18450" spans="7:7">
      <c r="G18450" s="812"/>
    </row>
    <row r="18451" spans="7:7">
      <c r="G18451" s="812"/>
    </row>
    <row r="18452" spans="7:7">
      <c r="G18452" s="812"/>
    </row>
    <row r="18453" spans="7:7">
      <c r="G18453" s="812"/>
    </row>
    <row r="18454" spans="7:7">
      <c r="G18454" s="812"/>
    </row>
    <row r="18455" spans="7:7">
      <c r="G18455" s="812"/>
    </row>
    <row r="18456" spans="7:7">
      <c r="G18456" s="812"/>
    </row>
    <row r="18457" spans="7:7">
      <c r="G18457" s="812"/>
    </row>
    <row r="18458" spans="7:7">
      <c r="G18458" s="812"/>
    </row>
    <row r="18459" spans="7:7">
      <c r="G18459" s="812"/>
    </row>
    <row r="18460" spans="7:7">
      <c r="G18460" s="812"/>
    </row>
    <row r="18461" spans="7:7">
      <c r="G18461" s="812"/>
    </row>
    <row r="18462" spans="7:7">
      <c r="G18462" s="812"/>
    </row>
    <row r="18463" spans="7:7">
      <c r="G18463" s="812"/>
    </row>
    <row r="18464" spans="7:7">
      <c r="G18464" s="812"/>
    </row>
    <row r="18465" spans="7:7">
      <c r="G18465" s="812"/>
    </row>
    <row r="18466" spans="7:7">
      <c r="G18466" s="812"/>
    </row>
    <row r="18467" spans="7:7">
      <c r="G18467" s="812"/>
    </row>
    <row r="18468" spans="7:7">
      <c r="G18468" s="812"/>
    </row>
    <row r="18469" spans="7:7">
      <c r="G18469" s="812"/>
    </row>
    <row r="18470" spans="7:7">
      <c r="G18470" s="812"/>
    </row>
    <row r="18471" spans="7:7">
      <c r="G18471" s="812"/>
    </row>
    <row r="18472" spans="7:7">
      <c r="G18472" s="812"/>
    </row>
    <row r="18473" spans="7:7">
      <c r="G18473" s="812"/>
    </row>
    <row r="18474" spans="7:7">
      <c r="G18474" s="812"/>
    </row>
    <row r="18475" spans="7:7">
      <c r="G18475" s="812"/>
    </row>
    <row r="18476" spans="7:7">
      <c r="G18476" s="812"/>
    </row>
    <row r="18477" spans="7:7">
      <c r="G18477" s="812"/>
    </row>
    <row r="18478" spans="7:7">
      <c r="G18478" s="812"/>
    </row>
    <row r="18479" spans="7:7">
      <c r="G18479" s="812"/>
    </row>
    <row r="18480" spans="7:7">
      <c r="G18480" s="812"/>
    </row>
    <row r="18481" spans="7:7">
      <c r="G18481" s="812"/>
    </row>
    <row r="18482" spans="7:7">
      <c r="G18482" s="812"/>
    </row>
    <row r="18483" spans="7:7">
      <c r="G18483" s="812"/>
    </row>
    <row r="18484" spans="7:7">
      <c r="G18484" s="812"/>
    </row>
    <row r="18485" spans="7:7">
      <c r="G18485" s="812"/>
    </row>
    <row r="18486" spans="7:7">
      <c r="G18486" s="812"/>
    </row>
    <row r="18487" spans="7:7">
      <c r="G18487" s="812"/>
    </row>
    <row r="18488" spans="7:7">
      <c r="G18488" s="812"/>
    </row>
    <row r="18489" spans="7:7">
      <c r="G18489" s="812"/>
    </row>
    <row r="18490" spans="7:7">
      <c r="G18490" s="812"/>
    </row>
    <row r="18491" spans="7:7">
      <c r="G18491" s="812"/>
    </row>
    <row r="18492" spans="7:7">
      <c r="G18492" s="812"/>
    </row>
    <row r="18493" spans="7:7">
      <c r="G18493" s="812"/>
    </row>
    <row r="18494" spans="7:7">
      <c r="G18494" s="812"/>
    </row>
    <row r="18495" spans="7:7">
      <c r="G18495" s="812"/>
    </row>
    <row r="18496" spans="7:7">
      <c r="G18496" s="812"/>
    </row>
    <row r="18497" spans="7:7">
      <c r="G18497" s="812"/>
    </row>
    <row r="18498" spans="7:7">
      <c r="G18498" s="812"/>
    </row>
    <row r="18499" spans="7:7">
      <c r="G18499" s="812"/>
    </row>
    <row r="18500" spans="7:7">
      <c r="G18500" s="812"/>
    </row>
    <row r="18501" spans="7:7">
      <c r="G18501" s="812"/>
    </row>
    <row r="18502" spans="7:7">
      <c r="G18502" s="812"/>
    </row>
    <row r="18503" spans="7:7">
      <c r="G18503" s="812"/>
    </row>
    <row r="18504" spans="7:7">
      <c r="G18504" s="812"/>
    </row>
    <row r="18505" spans="7:7">
      <c r="G18505" s="812"/>
    </row>
    <row r="18506" spans="7:7">
      <c r="G18506" s="812"/>
    </row>
    <row r="18507" spans="7:7">
      <c r="G18507" s="812"/>
    </row>
    <row r="18508" spans="7:7">
      <c r="G18508" s="812"/>
    </row>
    <row r="18509" spans="7:7">
      <c r="G18509" s="812"/>
    </row>
    <row r="18510" spans="7:7">
      <c r="G18510" s="812"/>
    </row>
    <row r="18511" spans="7:7">
      <c r="G18511" s="812"/>
    </row>
    <row r="18512" spans="7:7">
      <c r="G18512" s="812"/>
    </row>
    <row r="18513" spans="7:7">
      <c r="G18513" s="812"/>
    </row>
    <row r="18514" spans="7:7">
      <c r="G18514" s="812"/>
    </row>
    <row r="18515" spans="7:7">
      <c r="G18515" s="812"/>
    </row>
    <row r="18516" spans="7:7">
      <c r="G18516" s="812"/>
    </row>
    <row r="18517" spans="7:7">
      <c r="G18517" s="812"/>
    </row>
    <row r="18518" spans="7:7">
      <c r="G18518" s="812"/>
    </row>
    <row r="18519" spans="7:7">
      <c r="G18519" s="812"/>
    </row>
    <row r="18520" spans="7:7">
      <c r="G18520" s="812"/>
    </row>
    <row r="18521" spans="7:7">
      <c r="G18521" s="812"/>
    </row>
    <row r="18522" spans="7:7">
      <c r="G18522" s="812"/>
    </row>
    <row r="18523" spans="7:7">
      <c r="G18523" s="812"/>
    </row>
    <row r="18524" spans="7:7">
      <c r="G18524" s="812"/>
    </row>
    <row r="18525" spans="7:7">
      <c r="G18525" s="812"/>
    </row>
    <row r="18526" spans="7:7">
      <c r="G18526" s="812"/>
    </row>
    <row r="18527" spans="7:7">
      <c r="G18527" s="812"/>
    </row>
    <row r="18528" spans="7:7">
      <c r="G18528" s="812"/>
    </row>
    <row r="18529" spans="7:7">
      <c r="G18529" s="812"/>
    </row>
    <row r="18530" spans="7:7">
      <c r="G18530" s="812"/>
    </row>
    <row r="18531" spans="7:7">
      <c r="G18531" s="812"/>
    </row>
    <row r="18532" spans="7:7">
      <c r="G18532" s="812"/>
    </row>
    <row r="18533" spans="7:7">
      <c r="G18533" s="812"/>
    </row>
    <row r="18534" spans="7:7">
      <c r="G18534" s="812"/>
    </row>
    <row r="18535" spans="7:7">
      <c r="G18535" s="812"/>
    </row>
    <row r="18536" spans="7:7">
      <c r="G18536" s="812"/>
    </row>
    <row r="18537" spans="7:7">
      <c r="G18537" s="812"/>
    </row>
    <row r="18538" spans="7:7">
      <c r="G18538" s="812"/>
    </row>
    <row r="18539" spans="7:7">
      <c r="G18539" s="812"/>
    </row>
    <row r="18540" spans="7:7">
      <c r="G18540" s="812"/>
    </row>
    <row r="18541" spans="7:7">
      <c r="G18541" s="812"/>
    </row>
    <row r="18542" spans="7:7">
      <c r="G18542" s="812"/>
    </row>
    <row r="18543" spans="7:7">
      <c r="G18543" s="812"/>
    </row>
    <row r="18544" spans="7:7">
      <c r="G18544" s="812"/>
    </row>
    <row r="18545" spans="7:7">
      <c r="G18545" s="812"/>
    </row>
    <row r="18546" spans="7:7">
      <c r="G18546" s="812"/>
    </row>
    <row r="18547" spans="7:7">
      <c r="G18547" s="812"/>
    </row>
    <row r="18548" spans="7:7">
      <c r="G18548" s="812"/>
    </row>
    <row r="18549" spans="7:7">
      <c r="G18549" s="812"/>
    </row>
    <row r="18550" spans="7:7">
      <c r="G18550" s="812"/>
    </row>
    <row r="18551" spans="7:7">
      <c r="G18551" s="812"/>
    </row>
    <row r="18552" spans="7:7">
      <c r="G18552" s="812"/>
    </row>
    <row r="18553" spans="7:7">
      <c r="G18553" s="812"/>
    </row>
    <row r="18554" spans="7:7">
      <c r="G18554" s="812"/>
    </row>
    <row r="18555" spans="7:7">
      <c r="G18555" s="812"/>
    </row>
    <row r="18556" spans="7:7">
      <c r="G18556" s="812"/>
    </row>
    <row r="18557" spans="7:7">
      <c r="G18557" s="812"/>
    </row>
    <row r="18558" spans="7:7">
      <c r="G18558" s="812"/>
    </row>
    <row r="18559" spans="7:7">
      <c r="G18559" s="812"/>
    </row>
    <row r="18560" spans="7:7">
      <c r="G18560" s="812"/>
    </row>
    <row r="18561" spans="7:7">
      <c r="G18561" s="812"/>
    </row>
    <row r="18562" spans="7:7">
      <c r="G18562" s="812"/>
    </row>
    <row r="18563" spans="7:7">
      <c r="G18563" s="812"/>
    </row>
    <row r="18564" spans="7:7">
      <c r="G18564" s="812"/>
    </row>
    <row r="18565" spans="7:7">
      <c r="G18565" s="812"/>
    </row>
    <row r="18566" spans="7:7">
      <c r="G18566" s="812"/>
    </row>
    <row r="18567" spans="7:7">
      <c r="G18567" s="812"/>
    </row>
    <row r="18568" spans="7:7">
      <c r="G18568" s="812"/>
    </row>
    <row r="18569" spans="7:7">
      <c r="G18569" s="812"/>
    </row>
    <row r="18570" spans="7:7">
      <c r="G18570" s="812"/>
    </row>
    <row r="18571" spans="7:7">
      <c r="G18571" s="812"/>
    </row>
    <row r="18572" spans="7:7">
      <c r="G18572" s="812"/>
    </row>
    <row r="18573" spans="7:7">
      <c r="G18573" s="812"/>
    </row>
    <row r="18574" spans="7:7">
      <c r="G18574" s="812"/>
    </row>
    <row r="18575" spans="7:7">
      <c r="G18575" s="812"/>
    </row>
    <row r="18576" spans="7:7">
      <c r="G18576" s="812"/>
    </row>
    <row r="18577" spans="7:7">
      <c r="G18577" s="812"/>
    </row>
    <row r="18578" spans="7:7">
      <c r="G18578" s="812"/>
    </row>
    <row r="18579" spans="7:7">
      <c r="G18579" s="812"/>
    </row>
    <row r="18580" spans="7:7">
      <c r="G18580" s="812"/>
    </row>
    <row r="18581" spans="7:7">
      <c r="G18581" s="812"/>
    </row>
    <row r="18582" spans="7:7">
      <c r="G18582" s="812"/>
    </row>
    <row r="18583" spans="7:7">
      <c r="G18583" s="812"/>
    </row>
    <row r="18584" spans="7:7">
      <c r="G18584" s="812"/>
    </row>
    <row r="18585" spans="7:7">
      <c r="G18585" s="812"/>
    </row>
    <row r="18586" spans="7:7">
      <c r="G18586" s="812"/>
    </row>
    <row r="18587" spans="7:7">
      <c r="G18587" s="812"/>
    </row>
    <row r="18588" spans="7:7">
      <c r="G18588" s="812"/>
    </row>
    <row r="18589" spans="7:7">
      <c r="G18589" s="812"/>
    </row>
    <row r="18590" spans="7:7">
      <c r="G18590" s="812"/>
    </row>
    <row r="18591" spans="7:7">
      <c r="G18591" s="812"/>
    </row>
    <row r="18592" spans="7:7">
      <c r="G18592" s="812"/>
    </row>
    <row r="18593" spans="7:7">
      <c r="G18593" s="812"/>
    </row>
    <row r="18594" spans="7:7">
      <c r="G18594" s="812"/>
    </row>
    <row r="18595" spans="7:7">
      <c r="G18595" s="812"/>
    </row>
    <row r="18596" spans="7:7">
      <c r="G18596" s="812"/>
    </row>
    <row r="18597" spans="7:7">
      <c r="G18597" s="812"/>
    </row>
    <row r="18598" spans="7:7">
      <c r="G18598" s="812"/>
    </row>
    <row r="18599" spans="7:7">
      <c r="G18599" s="812"/>
    </row>
    <row r="18600" spans="7:7">
      <c r="G18600" s="812"/>
    </row>
    <row r="18601" spans="7:7">
      <c r="G18601" s="812"/>
    </row>
    <row r="18602" spans="7:7">
      <c r="G18602" s="812"/>
    </row>
    <row r="18603" spans="7:7">
      <c r="G18603" s="812"/>
    </row>
    <row r="18604" spans="7:7">
      <c r="G18604" s="812"/>
    </row>
    <row r="18605" spans="7:7">
      <c r="G18605" s="812"/>
    </row>
    <row r="18606" spans="7:7">
      <c r="G18606" s="812"/>
    </row>
    <row r="18607" spans="7:7">
      <c r="G18607" s="812"/>
    </row>
    <row r="18608" spans="7:7">
      <c r="G18608" s="812"/>
    </row>
    <row r="18609" spans="7:7">
      <c r="G18609" s="812"/>
    </row>
    <row r="18610" spans="7:7">
      <c r="G18610" s="812"/>
    </row>
    <row r="18611" spans="7:7">
      <c r="G18611" s="812"/>
    </row>
    <row r="18612" spans="7:7">
      <c r="G18612" s="812"/>
    </row>
    <row r="18613" spans="7:7">
      <c r="G18613" s="812"/>
    </row>
    <row r="18614" spans="7:7">
      <c r="G18614" s="812"/>
    </row>
    <row r="18615" spans="7:7">
      <c r="G18615" s="812"/>
    </row>
    <row r="18616" spans="7:7">
      <c r="G18616" s="812"/>
    </row>
    <row r="18617" spans="7:7">
      <c r="G18617" s="812"/>
    </row>
    <row r="18618" spans="7:7">
      <c r="G18618" s="812"/>
    </row>
    <row r="18619" spans="7:7">
      <c r="G18619" s="812"/>
    </row>
    <row r="18620" spans="7:7">
      <c r="G18620" s="812"/>
    </row>
    <row r="18621" spans="7:7">
      <c r="G18621" s="812"/>
    </row>
    <row r="18622" spans="7:7">
      <c r="G18622" s="812"/>
    </row>
    <row r="18623" spans="7:7">
      <c r="G18623" s="812"/>
    </row>
    <row r="18624" spans="7:7">
      <c r="G18624" s="812"/>
    </row>
    <row r="18625" spans="7:7">
      <c r="G18625" s="812"/>
    </row>
    <row r="18626" spans="7:7">
      <c r="G18626" s="812"/>
    </row>
    <row r="18627" spans="7:7">
      <c r="G18627" s="812"/>
    </row>
    <row r="18628" spans="7:7">
      <c r="G18628" s="812"/>
    </row>
    <row r="18629" spans="7:7">
      <c r="G18629" s="812"/>
    </row>
    <row r="18630" spans="7:7">
      <c r="G18630" s="812"/>
    </row>
    <row r="18631" spans="7:7">
      <c r="G18631" s="812"/>
    </row>
    <row r="18632" spans="7:7">
      <c r="G18632" s="812"/>
    </row>
    <row r="18633" spans="7:7">
      <c r="G18633" s="812"/>
    </row>
    <row r="18634" spans="7:7">
      <c r="G18634" s="812"/>
    </row>
    <row r="18635" spans="7:7">
      <c r="G18635" s="812"/>
    </row>
    <row r="18636" spans="7:7">
      <c r="G18636" s="812"/>
    </row>
    <row r="18637" spans="7:7">
      <c r="G18637" s="812"/>
    </row>
    <row r="18638" spans="7:7">
      <c r="G18638" s="812"/>
    </row>
    <row r="18639" spans="7:7">
      <c r="G18639" s="812"/>
    </row>
    <row r="18640" spans="7:7">
      <c r="G18640" s="812"/>
    </row>
    <row r="18641" spans="7:7">
      <c r="G18641" s="812"/>
    </row>
    <row r="18642" spans="7:7">
      <c r="G18642" s="812"/>
    </row>
    <row r="18643" spans="7:7">
      <c r="G18643" s="812"/>
    </row>
    <row r="18644" spans="7:7">
      <c r="G18644" s="812"/>
    </row>
    <row r="18645" spans="7:7">
      <c r="G18645" s="812"/>
    </row>
    <row r="18646" spans="7:7">
      <c r="G18646" s="812"/>
    </row>
    <row r="18647" spans="7:7">
      <c r="G18647" s="812"/>
    </row>
    <row r="18648" spans="7:7">
      <c r="G18648" s="812"/>
    </row>
    <row r="18649" spans="7:7">
      <c r="G18649" s="812"/>
    </row>
    <row r="18650" spans="7:7">
      <c r="G18650" s="812"/>
    </row>
    <row r="18651" spans="7:7">
      <c r="G18651" s="812"/>
    </row>
    <row r="18652" spans="7:7">
      <c r="G18652" s="812"/>
    </row>
    <row r="18653" spans="7:7">
      <c r="G18653" s="812"/>
    </row>
    <row r="18654" spans="7:7">
      <c r="G18654" s="812"/>
    </row>
    <row r="18655" spans="7:7">
      <c r="G18655" s="812"/>
    </row>
    <row r="18656" spans="7:7">
      <c r="G18656" s="812"/>
    </row>
    <row r="18657" spans="7:7">
      <c r="G18657" s="812"/>
    </row>
    <row r="18658" spans="7:7">
      <c r="G18658" s="812"/>
    </row>
    <row r="18659" spans="7:7">
      <c r="G18659" s="812"/>
    </row>
    <row r="18660" spans="7:7">
      <c r="G18660" s="812"/>
    </row>
    <row r="18661" spans="7:7">
      <c r="G18661" s="812"/>
    </row>
    <row r="18662" spans="7:7">
      <c r="G18662" s="812"/>
    </row>
    <row r="18663" spans="7:7">
      <c r="G18663" s="812"/>
    </row>
    <row r="18664" spans="7:7">
      <c r="G18664" s="812"/>
    </row>
    <row r="18665" spans="7:7">
      <c r="G18665" s="812"/>
    </row>
    <row r="18666" spans="7:7">
      <c r="G18666" s="812"/>
    </row>
    <row r="18667" spans="7:7">
      <c r="G18667" s="812"/>
    </row>
    <row r="18668" spans="7:7">
      <c r="G18668" s="812"/>
    </row>
    <row r="18669" spans="7:7">
      <c r="G18669" s="812"/>
    </row>
    <row r="18670" spans="7:7">
      <c r="G18670" s="812"/>
    </row>
    <row r="18671" spans="7:7">
      <c r="G18671" s="812"/>
    </row>
    <row r="18672" spans="7:7">
      <c r="G18672" s="812"/>
    </row>
    <row r="18673" spans="7:7">
      <c r="G18673" s="812"/>
    </row>
    <row r="18674" spans="7:7">
      <c r="G18674" s="812"/>
    </row>
    <row r="18675" spans="7:7">
      <c r="G18675" s="812"/>
    </row>
    <row r="18676" spans="7:7">
      <c r="G18676" s="812"/>
    </row>
    <row r="18677" spans="7:7">
      <c r="G18677" s="812"/>
    </row>
    <row r="18678" spans="7:7">
      <c r="G18678" s="812"/>
    </row>
    <row r="18679" spans="7:7">
      <c r="G18679" s="812"/>
    </row>
    <row r="18680" spans="7:7">
      <c r="G18680" s="812"/>
    </row>
    <row r="18681" spans="7:7">
      <c r="G18681" s="812"/>
    </row>
    <row r="18682" spans="7:7">
      <c r="G18682" s="812"/>
    </row>
    <row r="18683" spans="7:7">
      <c r="G18683" s="812"/>
    </row>
    <row r="18684" spans="7:7">
      <c r="G18684" s="812"/>
    </row>
    <row r="18685" spans="7:7">
      <c r="G18685" s="812"/>
    </row>
    <row r="18686" spans="7:7">
      <c r="G18686" s="812"/>
    </row>
    <row r="18687" spans="7:7">
      <c r="G18687" s="812"/>
    </row>
    <row r="18688" spans="7:7">
      <c r="G18688" s="812"/>
    </row>
    <row r="18689" spans="7:7">
      <c r="G18689" s="812"/>
    </row>
    <row r="18690" spans="7:7">
      <c r="G18690" s="812"/>
    </row>
    <row r="18691" spans="7:7">
      <c r="G18691" s="812"/>
    </row>
    <row r="18692" spans="7:7">
      <c r="G18692" s="812"/>
    </row>
    <row r="18693" spans="7:7">
      <c r="G18693" s="812"/>
    </row>
    <row r="18694" spans="7:7">
      <c r="G18694" s="812"/>
    </row>
    <row r="18695" spans="7:7">
      <c r="G18695" s="812"/>
    </row>
    <row r="18696" spans="7:7">
      <c r="G18696" s="812"/>
    </row>
    <row r="18697" spans="7:7">
      <c r="G18697" s="812"/>
    </row>
    <row r="18698" spans="7:7">
      <c r="G18698" s="812"/>
    </row>
    <row r="18699" spans="7:7">
      <c r="G18699" s="812"/>
    </row>
    <row r="18700" spans="7:7">
      <c r="G18700" s="812"/>
    </row>
    <row r="18701" spans="7:7">
      <c r="G18701" s="812"/>
    </row>
    <row r="18702" spans="7:7">
      <c r="G18702" s="812"/>
    </row>
    <row r="18703" spans="7:7">
      <c r="G18703" s="812"/>
    </row>
    <row r="18704" spans="7:7">
      <c r="G18704" s="812"/>
    </row>
    <row r="18705" spans="7:7">
      <c r="G18705" s="812"/>
    </row>
    <row r="18706" spans="7:7">
      <c r="G18706" s="812"/>
    </row>
    <row r="18707" spans="7:7">
      <c r="G18707" s="812"/>
    </row>
    <row r="18708" spans="7:7">
      <c r="G18708" s="812"/>
    </row>
    <row r="18709" spans="7:7">
      <c r="G18709" s="812"/>
    </row>
    <row r="18710" spans="7:7">
      <c r="G18710" s="812"/>
    </row>
    <row r="18711" spans="7:7">
      <c r="G18711" s="812"/>
    </row>
    <row r="18712" spans="7:7">
      <c r="G18712" s="812"/>
    </row>
    <row r="18713" spans="7:7">
      <c r="G18713" s="812"/>
    </row>
    <row r="18714" spans="7:7">
      <c r="G18714" s="812"/>
    </row>
    <row r="18715" spans="7:7">
      <c r="G18715" s="812"/>
    </row>
    <row r="18716" spans="7:7">
      <c r="G18716" s="812"/>
    </row>
    <row r="18717" spans="7:7">
      <c r="G18717" s="812"/>
    </row>
    <row r="18718" spans="7:7">
      <c r="G18718" s="812"/>
    </row>
    <row r="18719" spans="7:7">
      <c r="G18719" s="812"/>
    </row>
    <row r="18720" spans="7:7">
      <c r="G18720" s="812"/>
    </row>
    <row r="18721" spans="7:7">
      <c r="G18721" s="812"/>
    </row>
    <row r="18722" spans="7:7">
      <c r="G18722" s="812"/>
    </row>
    <row r="18723" spans="7:7">
      <c r="G18723" s="812"/>
    </row>
    <row r="18724" spans="7:7">
      <c r="G18724" s="812"/>
    </row>
    <row r="18725" spans="7:7">
      <c r="G18725" s="812"/>
    </row>
    <row r="18726" spans="7:7">
      <c r="G18726" s="812"/>
    </row>
    <row r="18727" spans="7:7">
      <c r="G18727" s="812"/>
    </row>
    <row r="18728" spans="7:7">
      <c r="G18728" s="812"/>
    </row>
    <row r="18729" spans="7:7">
      <c r="G18729" s="812"/>
    </row>
    <row r="18730" spans="7:7">
      <c r="G18730" s="812"/>
    </row>
    <row r="18731" spans="7:7">
      <c r="G18731" s="812"/>
    </row>
    <row r="18732" spans="7:7">
      <c r="G18732" s="812"/>
    </row>
    <row r="18733" spans="7:7">
      <c r="G18733" s="812"/>
    </row>
    <row r="18734" spans="7:7">
      <c r="G18734" s="812"/>
    </row>
    <row r="18735" spans="7:7">
      <c r="G18735" s="812"/>
    </row>
    <row r="18736" spans="7:7">
      <c r="G18736" s="812"/>
    </row>
    <row r="18737" spans="7:7">
      <c r="G18737" s="812"/>
    </row>
    <row r="18738" spans="7:7">
      <c r="G18738" s="812"/>
    </row>
    <row r="18739" spans="7:7">
      <c r="G18739" s="812"/>
    </row>
    <row r="18740" spans="7:7">
      <c r="G18740" s="812"/>
    </row>
    <row r="18741" spans="7:7">
      <c r="G18741" s="812"/>
    </row>
    <row r="18742" spans="7:7">
      <c r="G18742" s="812"/>
    </row>
    <row r="18743" spans="7:7">
      <c r="G18743" s="812"/>
    </row>
    <row r="18744" spans="7:7">
      <c r="G18744" s="812"/>
    </row>
    <row r="18745" spans="7:7">
      <c r="G18745" s="812"/>
    </row>
    <row r="18746" spans="7:7">
      <c r="G18746" s="812"/>
    </row>
    <row r="18747" spans="7:7">
      <c r="G18747" s="812"/>
    </row>
    <row r="18748" spans="7:7">
      <c r="G18748" s="812"/>
    </row>
    <row r="18749" spans="7:7">
      <c r="G18749" s="812"/>
    </row>
    <row r="18750" spans="7:7">
      <c r="G18750" s="812"/>
    </row>
    <row r="18751" spans="7:7">
      <c r="G18751" s="812"/>
    </row>
    <row r="18752" spans="7:7">
      <c r="G18752" s="812"/>
    </row>
    <row r="18753" spans="7:7">
      <c r="G18753" s="812"/>
    </row>
    <row r="18754" spans="7:7">
      <c r="G18754" s="812"/>
    </row>
    <row r="18755" spans="7:7">
      <c r="G18755" s="812"/>
    </row>
    <row r="18756" spans="7:7">
      <c r="G18756" s="812"/>
    </row>
    <row r="18757" spans="7:7">
      <c r="G18757" s="812"/>
    </row>
    <row r="18758" spans="7:7">
      <c r="G18758" s="812"/>
    </row>
    <row r="18759" spans="7:7">
      <c r="G18759" s="812"/>
    </row>
    <row r="18760" spans="7:7">
      <c r="G18760" s="812"/>
    </row>
    <row r="18761" spans="7:7">
      <c r="G18761" s="812"/>
    </row>
    <row r="18762" spans="7:7">
      <c r="G18762" s="812"/>
    </row>
    <row r="18763" spans="7:7">
      <c r="G18763" s="812"/>
    </row>
    <row r="18764" spans="7:7">
      <c r="G18764" s="812"/>
    </row>
    <row r="18765" spans="7:7">
      <c r="G18765" s="812"/>
    </row>
    <row r="18766" spans="7:7">
      <c r="G18766" s="812"/>
    </row>
    <row r="18767" spans="7:7">
      <c r="G18767" s="812"/>
    </row>
    <row r="18768" spans="7:7">
      <c r="G18768" s="812"/>
    </row>
    <row r="18769" spans="7:7">
      <c r="G18769" s="812"/>
    </row>
    <row r="18770" spans="7:7">
      <c r="G18770" s="812"/>
    </row>
    <row r="18771" spans="7:7">
      <c r="G18771" s="812"/>
    </row>
    <row r="18772" spans="7:7">
      <c r="G18772" s="812"/>
    </row>
    <row r="18773" spans="7:7">
      <c r="G18773" s="812"/>
    </row>
    <row r="18774" spans="7:7">
      <c r="G18774" s="812"/>
    </row>
    <row r="18775" spans="7:7">
      <c r="G18775" s="812"/>
    </row>
    <row r="18776" spans="7:7">
      <c r="G18776" s="812"/>
    </row>
    <row r="18777" spans="7:7">
      <c r="G18777" s="812"/>
    </row>
    <row r="18778" spans="7:7">
      <c r="G18778" s="812"/>
    </row>
    <row r="18779" spans="7:7">
      <c r="G18779" s="812"/>
    </row>
    <row r="18780" spans="7:7">
      <c r="G18780" s="812"/>
    </row>
    <row r="18781" spans="7:7">
      <c r="G18781" s="812"/>
    </row>
    <row r="18782" spans="7:7">
      <c r="G18782" s="812"/>
    </row>
    <row r="18783" spans="7:7">
      <c r="G18783" s="812"/>
    </row>
    <row r="18784" spans="7:7">
      <c r="G18784" s="812"/>
    </row>
    <row r="18785" spans="7:7">
      <c r="G18785" s="812"/>
    </row>
    <row r="18786" spans="7:7">
      <c r="G18786" s="812"/>
    </row>
    <row r="18787" spans="7:7">
      <c r="G18787" s="812"/>
    </row>
    <row r="18788" spans="7:7">
      <c r="G18788" s="812"/>
    </row>
    <row r="18789" spans="7:7">
      <c r="G18789" s="812"/>
    </row>
    <row r="18790" spans="7:7">
      <c r="G18790" s="812"/>
    </row>
    <row r="18791" spans="7:7">
      <c r="G18791" s="812"/>
    </row>
    <row r="18792" spans="7:7">
      <c r="G18792" s="812"/>
    </row>
    <row r="18793" spans="7:7">
      <c r="G18793" s="812"/>
    </row>
    <row r="18794" spans="7:7">
      <c r="G18794" s="812"/>
    </row>
    <row r="18795" spans="7:7">
      <c r="G18795" s="812"/>
    </row>
    <row r="18796" spans="7:7">
      <c r="G18796" s="812"/>
    </row>
    <row r="18797" spans="7:7">
      <c r="G18797" s="812"/>
    </row>
    <row r="18798" spans="7:7">
      <c r="G18798" s="812"/>
    </row>
    <row r="18799" spans="7:7">
      <c r="G18799" s="812"/>
    </row>
    <row r="18800" spans="7:7">
      <c r="G18800" s="812"/>
    </row>
    <row r="18801" spans="7:7">
      <c r="G18801" s="812"/>
    </row>
    <row r="18802" spans="7:7">
      <c r="G18802" s="812"/>
    </row>
    <row r="18803" spans="7:7">
      <c r="G18803" s="812"/>
    </row>
    <row r="18804" spans="7:7">
      <c r="G18804" s="812"/>
    </row>
    <row r="18805" spans="7:7">
      <c r="G18805" s="812"/>
    </row>
    <row r="18806" spans="7:7">
      <c r="G18806" s="812"/>
    </row>
    <row r="18807" spans="7:7">
      <c r="G18807" s="812"/>
    </row>
    <row r="18808" spans="7:7">
      <c r="G18808" s="812"/>
    </row>
    <row r="18809" spans="7:7">
      <c r="G18809" s="812"/>
    </row>
    <row r="18810" spans="7:7">
      <c r="G18810" s="812"/>
    </row>
    <row r="18811" spans="7:7">
      <c r="G18811" s="812"/>
    </row>
    <row r="18812" spans="7:7">
      <c r="G18812" s="812"/>
    </row>
    <row r="18813" spans="7:7">
      <c r="G18813" s="812"/>
    </row>
    <row r="18814" spans="7:7">
      <c r="G18814" s="812"/>
    </row>
    <row r="18815" spans="7:7">
      <c r="G18815" s="812"/>
    </row>
    <row r="18816" spans="7:7">
      <c r="G18816" s="812"/>
    </row>
    <row r="18817" spans="7:7">
      <c r="G18817" s="812"/>
    </row>
    <row r="18818" spans="7:7">
      <c r="G18818" s="812"/>
    </row>
    <row r="18819" spans="7:7">
      <c r="G18819" s="812"/>
    </row>
    <row r="18820" spans="7:7">
      <c r="G18820" s="812"/>
    </row>
    <row r="18821" spans="7:7">
      <c r="G18821" s="812"/>
    </row>
    <row r="18822" spans="7:7">
      <c r="G18822" s="812"/>
    </row>
    <row r="18823" spans="7:7">
      <c r="G18823" s="812"/>
    </row>
    <row r="18824" spans="7:7">
      <c r="G18824" s="812"/>
    </row>
    <row r="18825" spans="7:7">
      <c r="G18825" s="812"/>
    </row>
    <row r="18826" spans="7:7">
      <c r="G18826" s="812"/>
    </row>
    <row r="18827" spans="7:7">
      <c r="G18827" s="812"/>
    </row>
    <row r="18828" spans="7:7">
      <c r="G18828" s="812"/>
    </row>
    <row r="18829" spans="7:7">
      <c r="G18829" s="812"/>
    </row>
    <row r="18830" spans="7:7">
      <c r="G18830" s="812"/>
    </row>
    <row r="18831" spans="7:7">
      <c r="G18831" s="812"/>
    </row>
    <row r="18832" spans="7:7">
      <c r="G18832" s="812"/>
    </row>
    <row r="18833" spans="7:7">
      <c r="G18833" s="812"/>
    </row>
    <row r="18834" spans="7:7">
      <c r="G18834" s="812"/>
    </row>
    <row r="18835" spans="7:7">
      <c r="G18835" s="812"/>
    </row>
    <row r="18836" spans="7:7">
      <c r="G18836" s="812"/>
    </row>
    <row r="18837" spans="7:7">
      <c r="G18837" s="812"/>
    </row>
    <row r="18838" spans="7:7">
      <c r="G18838" s="812"/>
    </row>
    <row r="18839" spans="7:7">
      <c r="G18839" s="812"/>
    </row>
    <row r="18840" spans="7:7">
      <c r="G18840" s="812"/>
    </row>
    <row r="18841" spans="7:7">
      <c r="G18841" s="812"/>
    </row>
    <row r="18842" spans="7:7">
      <c r="G18842" s="812"/>
    </row>
    <row r="18843" spans="7:7">
      <c r="G18843" s="812"/>
    </row>
    <row r="18844" spans="7:7">
      <c r="G18844" s="812"/>
    </row>
    <row r="18845" spans="7:7">
      <c r="G18845" s="812"/>
    </row>
    <row r="18846" spans="7:7">
      <c r="G18846" s="812"/>
    </row>
    <row r="18847" spans="7:7">
      <c r="G18847" s="812"/>
    </row>
    <row r="18848" spans="7:7">
      <c r="G18848" s="812"/>
    </row>
    <row r="18849" spans="7:7">
      <c r="G18849" s="812"/>
    </row>
    <row r="18850" spans="7:7">
      <c r="G18850" s="812"/>
    </row>
    <row r="18851" spans="7:7">
      <c r="G18851" s="812"/>
    </row>
    <row r="18852" spans="7:7">
      <c r="G18852" s="812"/>
    </row>
    <row r="18853" spans="7:7">
      <c r="G18853" s="812"/>
    </row>
    <row r="18854" spans="7:7">
      <c r="G18854" s="812"/>
    </row>
    <row r="18855" spans="7:7">
      <c r="G18855" s="812"/>
    </row>
    <row r="18856" spans="7:7">
      <c r="G18856" s="812"/>
    </row>
    <row r="18857" spans="7:7">
      <c r="G18857" s="812"/>
    </row>
    <row r="18858" spans="7:7">
      <c r="G18858" s="812"/>
    </row>
    <row r="18859" spans="7:7">
      <c r="G18859" s="812"/>
    </row>
    <row r="18860" spans="7:7">
      <c r="G18860" s="812"/>
    </row>
    <row r="18861" spans="7:7">
      <c r="G18861" s="812"/>
    </row>
    <row r="18862" spans="7:7">
      <c r="G18862" s="812"/>
    </row>
    <row r="18863" spans="7:7">
      <c r="G18863" s="812"/>
    </row>
    <row r="18864" spans="7:7">
      <c r="G18864" s="812"/>
    </row>
    <row r="18865" spans="7:7">
      <c r="G18865" s="812"/>
    </row>
    <row r="18866" spans="7:7">
      <c r="G18866" s="812"/>
    </row>
    <row r="18867" spans="7:7">
      <c r="G18867" s="812"/>
    </row>
    <row r="18868" spans="7:7">
      <c r="G18868" s="812"/>
    </row>
    <row r="18869" spans="7:7">
      <c r="G18869" s="812"/>
    </row>
    <row r="18870" spans="7:7">
      <c r="G18870" s="812"/>
    </row>
    <row r="18871" spans="7:7">
      <c r="G18871" s="812"/>
    </row>
    <row r="18872" spans="7:7">
      <c r="G18872" s="812"/>
    </row>
    <row r="18873" spans="7:7">
      <c r="G18873" s="812"/>
    </row>
    <row r="18874" spans="7:7">
      <c r="G18874" s="812"/>
    </row>
    <row r="18875" spans="7:7">
      <c r="G18875" s="812"/>
    </row>
    <row r="18876" spans="7:7">
      <c r="G18876" s="812"/>
    </row>
    <row r="18877" spans="7:7">
      <c r="G18877" s="812"/>
    </row>
    <row r="18878" spans="7:7">
      <c r="G18878" s="812"/>
    </row>
    <row r="18879" spans="7:7">
      <c r="G18879" s="812"/>
    </row>
    <row r="18880" spans="7:7">
      <c r="G18880" s="812"/>
    </row>
    <row r="18881" spans="7:7">
      <c r="G18881" s="812"/>
    </row>
    <row r="18882" spans="7:7">
      <c r="G18882" s="812"/>
    </row>
    <row r="18883" spans="7:7">
      <c r="G18883" s="812"/>
    </row>
    <row r="18884" spans="7:7">
      <c r="G18884" s="812"/>
    </row>
    <row r="18885" spans="7:7">
      <c r="G18885" s="812"/>
    </row>
    <row r="18886" spans="7:7">
      <c r="G18886" s="812"/>
    </row>
    <row r="18887" spans="7:7">
      <c r="G18887" s="812"/>
    </row>
    <row r="18888" spans="7:7">
      <c r="G18888" s="812"/>
    </row>
    <row r="18889" spans="7:7">
      <c r="G18889" s="812"/>
    </row>
    <row r="18890" spans="7:7">
      <c r="G18890" s="812"/>
    </row>
    <row r="18891" spans="7:7">
      <c r="G18891" s="812"/>
    </row>
    <row r="18892" spans="7:7">
      <c r="G18892" s="812"/>
    </row>
    <row r="18893" spans="7:7">
      <c r="G18893" s="812"/>
    </row>
    <row r="18894" spans="7:7">
      <c r="G18894" s="812"/>
    </row>
    <row r="18895" spans="7:7">
      <c r="G18895" s="812"/>
    </row>
    <row r="18896" spans="7:7">
      <c r="G18896" s="812"/>
    </row>
    <row r="18897" spans="7:7">
      <c r="G18897" s="812"/>
    </row>
    <row r="18898" spans="7:7">
      <c r="G18898" s="812"/>
    </row>
    <row r="18899" spans="7:7">
      <c r="G18899" s="812"/>
    </row>
    <row r="18900" spans="7:7">
      <c r="G18900" s="812"/>
    </row>
    <row r="18901" spans="7:7">
      <c r="G18901" s="812"/>
    </row>
    <row r="18902" spans="7:7">
      <c r="G18902" s="812"/>
    </row>
    <row r="18903" spans="7:7">
      <c r="G18903" s="812"/>
    </row>
    <row r="18904" spans="7:7">
      <c r="G18904" s="812"/>
    </row>
    <row r="18905" spans="7:7">
      <c r="G18905" s="812"/>
    </row>
    <row r="18906" spans="7:7">
      <c r="G18906" s="812"/>
    </row>
    <row r="18907" spans="7:7">
      <c r="G18907" s="812"/>
    </row>
    <row r="18908" spans="7:7">
      <c r="G18908" s="812"/>
    </row>
    <row r="18909" spans="7:7">
      <c r="G18909" s="812"/>
    </row>
    <row r="18910" spans="7:7">
      <c r="G18910" s="812"/>
    </row>
    <row r="18911" spans="7:7">
      <c r="G18911" s="812"/>
    </row>
    <row r="18912" spans="7:7">
      <c r="G18912" s="812"/>
    </row>
    <row r="18913" spans="7:7">
      <c r="G18913" s="812"/>
    </row>
    <row r="18914" spans="7:7">
      <c r="G18914" s="812"/>
    </row>
    <row r="18915" spans="7:7">
      <c r="G18915" s="812"/>
    </row>
    <row r="18916" spans="7:7">
      <c r="G18916" s="812"/>
    </row>
    <row r="18917" spans="7:7">
      <c r="G18917" s="812"/>
    </row>
    <row r="18918" spans="7:7">
      <c r="G18918" s="812"/>
    </row>
    <row r="18919" spans="7:7">
      <c r="G18919" s="812"/>
    </row>
    <row r="18920" spans="7:7">
      <c r="G18920" s="812"/>
    </row>
    <row r="18921" spans="7:7">
      <c r="G18921" s="812"/>
    </row>
    <row r="18922" spans="7:7">
      <c r="G18922" s="812"/>
    </row>
    <row r="18923" spans="7:7">
      <c r="G18923" s="812"/>
    </row>
    <row r="18924" spans="7:7">
      <c r="G18924" s="812"/>
    </row>
    <row r="18925" spans="7:7">
      <c r="G18925" s="812"/>
    </row>
    <row r="18926" spans="7:7">
      <c r="G18926" s="812"/>
    </row>
    <row r="18927" spans="7:7">
      <c r="G18927" s="812"/>
    </row>
    <row r="18928" spans="7:7">
      <c r="G18928" s="812"/>
    </row>
    <row r="18929" spans="7:7">
      <c r="G18929" s="812"/>
    </row>
    <row r="18930" spans="7:7">
      <c r="G18930" s="812"/>
    </row>
    <row r="18931" spans="7:7">
      <c r="G18931" s="812"/>
    </row>
    <row r="18932" spans="7:7">
      <c r="G18932" s="812"/>
    </row>
    <row r="18933" spans="7:7">
      <c r="G18933" s="812"/>
    </row>
    <row r="18934" spans="7:7">
      <c r="G18934" s="812"/>
    </row>
    <row r="18935" spans="7:7">
      <c r="G18935" s="812"/>
    </row>
    <row r="18936" spans="7:7">
      <c r="G18936" s="812"/>
    </row>
    <row r="18937" spans="7:7">
      <c r="G18937" s="812"/>
    </row>
    <row r="18938" spans="7:7">
      <c r="G18938" s="812"/>
    </row>
    <row r="18939" spans="7:7">
      <c r="G18939" s="812"/>
    </row>
    <row r="18940" spans="7:7">
      <c r="G18940" s="812"/>
    </row>
    <row r="18941" spans="7:7">
      <c r="G18941" s="812"/>
    </row>
    <row r="18942" spans="7:7">
      <c r="G18942" s="812"/>
    </row>
    <row r="18943" spans="7:7">
      <c r="G18943" s="812"/>
    </row>
    <row r="18944" spans="7:7">
      <c r="G18944" s="812"/>
    </row>
    <row r="18945" spans="7:7">
      <c r="G18945" s="812"/>
    </row>
    <row r="18946" spans="7:7">
      <c r="G18946" s="812"/>
    </row>
    <row r="18947" spans="7:7">
      <c r="G18947" s="812"/>
    </row>
    <row r="18948" spans="7:7">
      <c r="G18948" s="812"/>
    </row>
    <row r="18949" spans="7:7">
      <c r="G18949" s="812"/>
    </row>
    <row r="18950" spans="7:7">
      <c r="G18950" s="812"/>
    </row>
    <row r="18951" spans="7:7">
      <c r="G18951" s="812"/>
    </row>
    <row r="18952" spans="7:7">
      <c r="G18952" s="812"/>
    </row>
    <row r="18953" spans="7:7">
      <c r="G18953" s="812"/>
    </row>
    <row r="18954" spans="7:7">
      <c r="G18954" s="812"/>
    </row>
    <row r="18955" spans="7:7">
      <c r="G18955" s="812"/>
    </row>
    <row r="18956" spans="7:7">
      <c r="G18956" s="812"/>
    </row>
    <row r="18957" spans="7:7">
      <c r="G18957" s="812"/>
    </row>
    <row r="18958" spans="7:7">
      <c r="G18958" s="812"/>
    </row>
    <row r="18959" spans="7:7">
      <c r="G18959" s="812"/>
    </row>
    <row r="18960" spans="7:7">
      <c r="G18960" s="812"/>
    </row>
    <row r="18961" spans="7:7">
      <c r="G18961" s="812"/>
    </row>
    <row r="18962" spans="7:7">
      <c r="G18962" s="812"/>
    </row>
    <row r="18963" spans="7:7">
      <c r="G18963" s="812"/>
    </row>
    <row r="18964" spans="7:7">
      <c r="G18964" s="812"/>
    </row>
    <row r="18965" spans="7:7">
      <c r="G18965" s="812"/>
    </row>
    <row r="18966" spans="7:7">
      <c r="G18966" s="812"/>
    </row>
    <row r="18967" spans="7:7">
      <c r="G18967" s="812"/>
    </row>
    <row r="18968" spans="7:7">
      <c r="G18968" s="812"/>
    </row>
    <row r="18969" spans="7:7">
      <c r="G18969" s="812"/>
    </row>
    <row r="18970" spans="7:7">
      <c r="G18970" s="812"/>
    </row>
    <row r="18971" spans="7:7">
      <c r="G18971" s="812"/>
    </row>
    <row r="18972" spans="7:7">
      <c r="G18972" s="812"/>
    </row>
    <row r="18973" spans="7:7">
      <c r="G18973" s="812"/>
    </row>
    <row r="18974" spans="7:7">
      <c r="G18974" s="812"/>
    </row>
    <row r="18975" spans="7:7">
      <c r="G18975" s="812"/>
    </row>
    <row r="18976" spans="7:7">
      <c r="G18976" s="812"/>
    </row>
    <row r="18977" spans="7:7">
      <c r="G18977" s="812"/>
    </row>
    <row r="18978" spans="7:7">
      <c r="G18978" s="812"/>
    </row>
    <row r="18979" spans="7:7">
      <c r="G18979" s="812"/>
    </row>
    <row r="18980" spans="7:7">
      <c r="G18980" s="812"/>
    </row>
    <row r="18981" spans="7:7">
      <c r="G18981" s="812"/>
    </row>
    <row r="18982" spans="7:7">
      <c r="G18982" s="812"/>
    </row>
    <row r="18983" spans="7:7">
      <c r="G18983" s="812"/>
    </row>
    <row r="18984" spans="7:7">
      <c r="G18984" s="812"/>
    </row>
    <row r="18985" spans="7:7">
      <c r="G18985" s="812"/>
    </row>
    <row r="18986" spans="7:7">
      <c r="G18986" s="812"/>
    </row>
    <row r="18987" spans="7:7">
      <c r="G18987" s="812"/>
    </row>
    <row r="18988" spans="7:7">
      <c r="G18988" s="812"/>
    </row>
    <row r="18989" spans="7:7">
      <c r="G18989" s="812"/>
    </row>
    <row r="18990" spans="7:7">
      <c r="G18990" s="812"/>
    </row>
    <row r="18991" spans="7:7">
      <c r="G18991" s="812"/>
    </row>
    <row r="18992" spans="7:7">
      <c r="G18992" s="812"/>
    </row>
    <row r="18993" spans="7:7">
      <c r="G18993" s="812"/>
    </row>
    <row r="18994" spans="7:7">
      <c r="G18994" s="812"/>
    </row>
    <row r="18995" spans="7:7">
      <c r="G18995" s="812"/>
    </row>
    <row r="18996" spans="7:7">
      <c r="G18996" s="812"/>
    </row>
    <row r="18997" spans="7:7">
      <c r="G18997" s="812"/>
    </row>
    <row r="18998" spans="7:7">
      <c r="G18998" s="812"/>
    </row>
    <row r="18999" spans="7:7">
      <c r="G18999" s="812"/>
    </row>
    <row r="19000" spans="7:7">
      <c r="G19000" s="812"/>
    </row>
    <row r="19001" spans="7:7">
      <c r="G19001" s="812"/>
    </row>
    <row r="19002" spans="7:7">
      <c r="G19002" s="812"/>
    </row>
    <row r="19003" spans="7:7">
      <c r="G19003" s="812"/>
    </row>
    <row r="19004" spans="7:7">
      <c r="G19004" s="812"/>
    </row>
    <row r="19005" spans="7:7">
      <c r="G19005" s="812"/>
    </row>
    <row r="19006" spans="7:7">
      <c r="G19006" s="812"/>
    </row>
    <row r="19007" spans="7:7">
      <c r="G19007" s="812"/>
    </row>
    <row r="19008" spans="7:7">
      <c r="G19008" s="812"/>
    </row>
    <row r="19009" spans="7:7">
      <c r="G19009" s="812"/>
    </row>
    <row r="19010" spans="7:7">
      <c r="G19010" s="812"/>
    </row>
    <row r="19011" spans="7:7">
      <c r="G19011" s="812"/>
    </row>
    <row r="19012" spans="7:7">
      <c r="G19012" s="812"/>
    </row>
    <row r="19013" spans="7:7">
      <c r="G19013" s="812"/>
    </row>
    <row r="19014" spans="7:7">
      <c r="G19014" s="812"/>
    </row>
    <row r="19015" spans="7:7">
      <c r="G19015" s="812"/>
    </row>
    <row r="19016" spans="7:7">
      <c r="G19016" s="812"/>
    </row>
    <row r="19017" spans="7:7">
      <c r="G19017" s="812"/>
    </row>
    <row r="19018" spans="7:7">
      <c r="G19018" s="812"/>
    </row>
    <row r="19019" spans="7:7">
      <c r="G19019" s="812"/>
    </row>
    <row r="19020" spans="7:7">
      <c r="G19020" s="812"/>
    </row>
    <row r="19021" spans="7:7">
      <c r="G19021" s="812"/>
    </row>
    <row r="19022" spans="7:7">
      <c r="G19022" s="812"/>
    </row>
    <row r="19023" spans="7:7">
      <c r="G19023" s="812"/>
    </row>
    <row r="19024" spans="7:7">
      <c r="G19024" s="812"/>
    </row>
    <row r="19025" spans="7:7">
      <c r="G19025" s="812"/>
    </row>
    <row r="19026" spans="7:7">
      <c r="G19026" s="812"/>
    </row>
    <row r="19027" spans="7:7">
      <c r="G19027" s="812"/>
    </row>
    <row r="19028" spans="7:7">
      <c r="G19028" s="812"/>
    </row>
    <row r="19029" spans="7:7">
      <c r="G19029" s="812"/>
    </row>
    <row r="19030" spans="7:7">
      <c r="G19030" s="812"/>
    </row>
    <row r="19031" spans="7:7">
      <c r="G19031" s="812"/>
    </row>
    <row r="19032" spans="7:7">
      <c r="G19032" s="812"/>
    </row>
    <row r="19033" spans="7:7">
      <c r="G19033" s="812"/>
    </row>
    <row r="19034" spans="7:7">
      <c r="G19034" s="812"/>
    </row>
    <row r="19035" spans="7:7">
      <c r="G19035" s="812"/>
    </row>
    <row r="19036" spans="7:7">
      <c r="G19036" s="812"/>
    </row>
    <row r="19037" spans="7:7">
      <c r="G19037" s="812"/>
    </row>
    <row r="19038" spans="7:7">
      <c r="G19038" s="812"/>
    </row>
    <row r="19039" spans="7:7">
      <c r="G19039" s="812"/>
    </row>
    <row r="19040" spans="7:7">
      <c r="G19040" s="812"/>
    </row>
    <row r="19041" spans="7:7">
      <c r="G19041" s="812"/>
    </row>
    <row r="19042" spans="7:7">
      <c r="G19042" s="812"/>
    </row>
    <row r="19043" spans="7:7">
      <c r="G19043" s="812"/>
    </row>
    <row r="19044" spans="7:7">
      <c r="G19044" s="812"/>
    </row>
    <row r="19045" spans="7:7">
      <c r="G19045" s="812"/>
    </row>
    <row r="19046" spans="7:7">
      <c r="G19046" s="812"/>
    </row>
    <row r="19047" spans="7:7">
      <c r="G19047" s="812"/>
    </row>
    <row r="19048" spans="7:7">
      <c r="G19048" s="812"/>
    </row>
    <row r="19049" spans="7:7">
      <c r="G19049" s="812"/>
    </row>
    <row r="19050" spans="7:7">
      <c r="G19050" s="812"/>
    </row>
    <row r="19051" spans="7:7">
      <c r="G19051" s="812"/>
    </row>
    <row r="19052" spans="7:7">
      <c r="G19052" s="812"/>
    </row>
    <row r="19053" spans="7:7">
      <c r="G19053" s="812"/>
    </row>
    <row r="19054" spans="7:7">
      <c r="G19054" s="812"/>
    </row>
    <row r="19055" spans="7:7">
      <c r="G19055" s="812"/>
    </row>
    <row r="19056" spans="7:7">
      <c r="G19056" s="812"/>
    </row>
    <row r="19057" spans="7:7">
      <c r="G19057" s="812"/>
    </row>
    <row r="19058" spans="7:7">
      <c r="G19058" s="812"/>
    </row>
    <row r="19059" spans="7:7">
      <c r="G19059" s="812"/>
    </row>
    <row r="19060" spans="7:7">
      <c r="G19060" s="812"/>
    </row>
    <row r="19061" spans="7:7">
      <c r="G19061" s="812"/>
    </row>
    <row r="19062" spans="7:7">
      <c r="G19062" s="812"/>
    </row>
    <row r="19063" spans="7:7">
      <c r="G19063" s="812"/>
    </row>
    <row r="19064" spans="7:7">
      <c r="G19064" s="812"/>
    </row>
    <row r="19065" spans="7:7">
      <c r="G19065" s="812"/>
    </row>
    <row r="19066" spans="7:7">
      <c r="G19066" s="812"/>
    </row>
    <row r="19067" spans="7:7">
      <c r="G19067" s="812"/>
    </row>
    <row r="19068" spans="7:7">
      <c r="G19068" s="812"/>
    </row>
    <row r="19069" spans="7:7">
      <c r="G19069" s="812"/>
    </row>
    <row r="19070" spans="7:7">
      <c r="G19070" s="812"/>
    </row>
    <row r="19071" spans="7:7">
      <c r="G19071" s="812"/>
    </row>
    <row r="19072" spans="7:7">
      <c r="G19072" s="812"/>
    </row>
    <row r="19073" spans="7:7">
      <c r="G19073" s="812"/>
    </row>
    <row r="19074" spans="7:7">
      <c r="G19074" s="812"/>
    </row>
    <row r="19075" spans="7:7">
      <c r="G19075" s="812"/>
    </row>
    <row r="19076" spans="7:7">
      <c r="G19076" s="812"/>
    </row>
    <row r="19077" spans="7:7">
      <c r="G19077" s="812"/>
    </row>
    <row r="19078" spans="7:7">
      <c r="G19078" s="812"/>
    </row>
    <row r="19079" spans="7:7">
      <c r="G19079" s="812"/>
    </row>
    <row r="19080" spans="7:7">
      <c r="G19080" s="812"/>
    </row>
    <row r="19081" spans="7:7">
      <c r="G19081" s="812"/>
    </row>
    <row r="19082" spans="7:7">
      <c r="G19082" s="812"/>
    </row>
    <row r="19083" spans="7:7">
      <c r="G19083" s="812"/>
    </row>
    <row r="19084" spans="7:7">
      <c r="G19084" s="812"/>
    </row>
    <row r="19085" spans="7:7">
      <c r="G19085" s="812"/>
    </row>
    <row r="19086" spans="7:7">
      <c r="G19086" s="812"/>
    </row>
    <row r="19087" spans="7:7">
      <c r="G19087" s="812"/>
    </row>
    <row r="19088" spans="7:7">
      <c r="G19088" s="812"/>
    </row>
    <row r="19089" spans="7:7">
      <c r="G19089" s="812"/>
    </row>
    <row r="19090" spans="7:7">
      <c r="G19090" s="812"/>
    </row>
    <row r="19091" spans="7:7">
      <c r="G19091" s="812"/>
    </row>
    <row r="19092" spans="7:7">
      <c r="G19092" s="812"/>
    </row>
    <row r="19093" spans="7:7">
      <c r="G19093" s="812"/>
    </row>
    <row r="19094" spans="7:7">
      <c r="G19094" s="812"/>
    </row>
    <row r="19095" spans="7:7">
      <c r="G19095" s="812"/>
    </row>
    <row r="19096" spans="7:7">
      <c r="G19096" s="812"/>
    </row>
    <row r="19097" spans="7:7">
      <c r="G19097" s="812"/>
    </row>
    <row r="19098" spans="7:7">
      <c r="G19098" s="812"/>
    </row>
    <row r="19099" spans="7:7">
      <c r="G19099" s="812"/>
    </row>
    <row r="19100" spans="7:7">
      <c r="G19100" s="812"/>
    </row>
    <row r="19101" spans="7:7">
      <c r="G19101" s="812"/>
    </row>
    <row r="19102" spans="7:7">
      <c r="G19102" s="812"/>
    </row>
    <row r="19103" spans="7:7">
      <c r="G19103" s="812"/>
    </row>
    <row r="19104" spans="7:7">
      <c r="G19104" s="812"/>
    </row>
    <row r="19105" spans="7:7">
      <c r="G19105" s="812"/>
    </row>
    <row r="19106" spans="7:7">
      <c r="G19106" s="812"/>
    </row>
    <row r="19107" spans="7:7">
      <c r="G19107" s="812"/>
    </row>
    <row r="19108" spans="7:7">
      <c r="G19108" s="812"/>
    </row>
    <row r="19109" spans="7:7">
      <c r="G19109" s="812"/>
    </row>
    <row r="19110" spans="7:7">
      <c r="G19110" s="812"/>
    </row>
    <row r="19111" spans="7:7">
      <c r="G19111" s="812"/>
    </row>
    <row r="19112" spans="7:7">
      <c r="G19112" s="812"/>
    </row>
    <row r="19113" spans="7:7">
      <c r="G19113" s="812"/>
    </row>
    <row r="19114" spans="7:7">
      <c r="G19114" s="812"/>
    </row>
    <row r="19115" spans="7:7">
      <c r="G19115" s="812"/>
    </row>
    <row r="19116" spans="7:7">
      <c r="G19116" s="812"/>
    </row>
    <row r="19117" spans="7:7">
      <c r="G19117" s="812"/>
    </row>
    <row r="19118" spans="7:7">
      <c r="G19118" s="812"/>
    </row>
    <row r="19119" spans="7:7">
      <c r="G19119" s="812"/>
    </row>
    <row r="19120" spans="7:7">
      <c r="G19120" s="812"/>
    </row>
    <row r="19121" spans="7:7">
      <c r="G19121" s="812"/>
    </row>
    <row r="19122" spans="7:7">
      <c r="G19122" s="812"/>
    </row>
    <row r="19123" spans="7:7">
      <c r="G19123" s="812"/>
    </row>
    <row r="19124" spans="7:7">
      <c r="G19124" s="812"/>
    </row>
    <row r="19125" spans="7:7">
      <c r="G19125" s="812"/>
    </row>
    <row r="19126" spans="7:7">
      <c r="G19126" s="812"/>
    </row>
    <row r="19127" spans="7:7">
      <c r="G19127" s="812"/>
    </row>
    <row r="19128" spans="7:7">
      <c r="G19128" s="812"/>
    </row>
    <row r="19129" spans="7:7">
      <c r="G19129" s="812"/>
    </row>
    <row r="19130" spans="7:7">
      <c r="G19130" s="812"/>
    </row>
    <row r="19131" spans="7:7">
      <c r="G19131" s="812"/>
    </row>
    <row r="19132" spans="7:7">
      <c r="G19132" s="812"/>
    </row>
    <row r="19133" spans="7:7">
      <c r="G19133" s="812"/>
    </row>
    <row r="19134" spans="7:7">
      <c r="G19134" s="812"/>
    </row>
    <row r="19135" spans="7:7">
      <c r="G19135" s="812"/>
    </row>
    <row r="19136" spans="7:7">
      <c r="G19136" s="812"/>
    </row>
    <row r="19137" spans="7:7">
      <c r="G19137" s="812"/>
    </row>
    <row r="19138" spans="7:7">
      <c r="G19138" s="812"/>
    </row>
    <row r="19139" spans="7:7">
      <c r="G19139" s="812"/>
    </row>
    <row r="19140" spans="7:7">
      <c r="G19140" s="812"/>
    </row>
    <row r="19141" spans="7:7">
      <c r="G19141" s="812"/>
    </row>
    <row r="19142" spans="7:7">
      <c r="G19142" s="812"/>
    </row>
    <row r="19143" spans="7:7">
      <c r="G19143" s="812"/>
    </row>
    <row r="19144" spans="7:7">
      <c r="G19144" s="812"/>
    </row>
    <row r="19145" spans="7:7">
      <c r="G19145" s="812"/>
    </row>
    <row r="19146" spans="7:7">
      <c r="G19146" s="812"/>
    </row>
    <row r="19147" spans="7:7">
      <c r="G19147" s="812"/>
    </row>
    <row r="19148" spans="7:7">
      <c r="G19148" s="812"/>
    </row>
    <row r="19149" spans="7:7">
      <c r="G19149" s="812"/>
    </row>
    <row r="19150" spans="7:7">
      <c r="G19150" s="812"/>
    </row>
    <row r="19151" spans="7:7">
      <c r="G19151" s="812"/>
    </row>
    <row r="19152" spans="7:7">
      <c r="G19152" s="812"/>
    </row>
    <row r="19153" spans="7:7">
      <c r="G19153" s="812"/>
    </row>
    <row r="19154" spans="7:7">
      <c r="G19154" s="812"/>
    </row>
    <row r="19155" spans="7:7">
      <c r="G19155" s="812"/>
    </row>
    <row r="19156" spans="7:7">
      <c r="G19156" s="812"/>
    </row>
    <row r="19157" spans="7:7">
      <c r="G19157" s="812"/>
    </row>
    <row r="19158" spans="7:7">
      <c r="G19158" s="812"/>
    </row>
    <row r="19159" spans="7:7">
      <c r="G19159" s="812"/>
    </row>
    <row r="19160" spans="7:7">
      <c r="G19160" s="812"/>
    </row>
    <row r="19161" spans="7:7">
      <c r="G19161" s="812"/>
    </row>
    <row r="19162" spans="7:7">
      <c r="G19162" s="812"/>
    </row>
    <row r="19163" spans="7:7">
      <c r="G19163" s="812"/>
    </row>
    <row r="19164" spans="7:7">
      <c r="G19164" s="812"/>
    </row>
    <row r="19165" spans="7:7">
      <c r="G19165" s="812"/>
    </row>
    <row r="19166" spans="7:7">
      <c r="G19166" s="812"/>
    </row>
    <row r="19167" spans="7:7">
      <c r="G19167" s="812"/>
    </row>
    <row r="19168" spans="7:7">
      <c r="G19168" s="812"/>
    </row>
    <row r="19169" spans="7:7">
      <c r="G19169" s="812"/>
    </row>
    <row r="19170" spans="7:7">
      <c r="G19170" s="812"/>
    </row>
    <row r="19171" spans="7:7">
      <c r="G19171" s="812"/>
    </row>
    <row r="19172" spans="7:7">
      <c r="G19172" s="812"/>
    </row>
    <row r="19173" spans="7:7">
      <c r="G19173" s="812"/>
    </row>
    <row r="19174" spans="7:7">
      <c r="G19174" s="812"/>
    </row>
    <row r="19175" spans="7:7">
      <c r="G19175" s="812"/>
    </row>
    <row r="19176" spans="7:7">
      <c r="G19176" s="812"/>
    </row>
    <row r="19177" spans="7:7">
      <c r="G19177" s="812"/>
    </row>
    <row r="19178" spans="7:7">
      <c r="G19178" s="812"/>
    </row>
    <row r="19179" spans="7:7">
      <c r="G19179" s="812"/>
    </row>
    <row r="19180" spans="7:7">
      <c r="G19180" s="812"/>
    </row>
    <row r="19181" spans="7:7">
      <c r="G19181" s="812"/>
    </row>
    <row r="19182" spans="7:7">
      <c r="G19182" s="812"/>
    </row>
    <row r="19183" spans="7:7">
      <c r="G19183" s="812"/>
    </row>
    <row r="19184" spans="7:7">
      <c r="G19184" s="812"/>
    </row>
    <row r="19185" spans="7:7">
      <c r="G19185" s="812"/>
    </row>
    <row r="19186" spans="7:7">
      <c r="G19186" s="812"/>
    </row>
    <row r="19187" spans="7:7">
      <c r="G19187" s="812"/>
    </row>
    <row r="19188" spans="7:7">
      <c r="G19188" s="812"/>
    </row>
    <row r="19189" spans="7:7">
      <c r="G19189" s="812"/>
    </row>
    <row r="19190" spans="7:7">
      <c r="G19190" s="812"/>
    </row>
    <row r="19191" spans="7:7">
      <c r="G19191" s="812"/>
    </row>
    <row r="19192" spans="7:7">
      <c r="G19192" s="812"/>
    </row>
    <row r="19193" spans="7:7">
      <c r="G19193" s="812"/>
    </row>
    <row r="19194" spans="7:7">
      <c r="G19194" s="812"/>
    </row>
    <row r="19195" spans="7:7">
      <c r="G19195" s="812"/>
    </row>
    <row r="19196" spans="7:7">
      <c r="G19196" s="812"/>
    </row>
    <row r="19197" spans="7:7">
      <c r="G19197" s="812"/>
    </row>
    <row r="19198" spans="7:7">
      <c r="G19198" s="812"/>
    </row>
    <row r="19199" spans="7:7">
      <c r="G19199" s="812"/>
    </row>
    <row r="19200" spans="7:7">
      <c r="G19200" s="812"/>
    </row>
    <row r="19201" spans="7:7">
      <c r="G19201" s="812"/>
    </row>
    <row r="19202" spans="7:7">
      <c r="G19202" s="812"/>
    </row>
    <row r="19203" spans="7:7">
      <c r="G19203" s="812"/>
    </row>
    <row r="19204" spans="7:7">
      <c r="G19204" s="812"/>
    </row>
    <row r="19205" spans="7:7">
      <c r="G19205" s="812"/>
    </row>
    <row r="19206" spans="7:7">
      <c r="G19206" s="812"/>
    </row>
    <row r="19207" spans="7:7">
      <c r="G19207" s="812"/>
    </row>
    <row r="19208" spans="7:7">
      <c r="G19208" s="812"/>
    </row>
    <row r="19209" spans="7:7">
      <c r="G19209" s="812"/>
    </row>
    <row r="19210" spans="7:7">
      <c r="G19210" s="812"/>
    </row>
    <row r="19211" spans="7:7">
      <c r="G19211" s="812"/>
    </row>
    <row r="19212" spans="7:7">
      <c r="G19212" s="812"/>
    </row>
    <row r="19213" spans="7:7">
      <c r="G19213" s="812"/>
    </row>
    <row r="19214" spans="7:7">
      <c r="G19214" s="812"/>
    </row>
    <row r="19215" spans="7:7">
      <c r="G19215" s="812"/>
    </row>
    <row r="19216" spans="7:7">
      <c r="G19216" s="812"/>
    </row>
    <row r="19217" spans="7:7">
      <c r="G19217" s="812"/>
    </row>
    <row r="19218" spans="7:7">
      <c r="G19218" s="812"/>
    </row>
    <row r="19219" spans="7:7">
      <c r="G19219" s="812"/>
    </row>
    <row r="19220" spans="7:7">
      <c r="G19220" s="812"/>
    </row>
    <row r="19221" spans="7:7">
      <c r="G19221" s="812"/>
    </row>
    <row r="19222" spans="7:7">
      <c r="G19222" s="812"/>
    </row>
    <row r="19223" spans="7:7">
      <c r="G19223" s="812"/>
    </row>
    <row r="19224" spans="7:7">
      <c r="G19224" s="812"/>
    </row>
    <row r="19225" spans="7:7">
      <c r="G19225" s="812"/>
    </row>
    <row r="19226" spans="7:7">
      <c r="G19226" s="812"/>
    </row>
    <row r="19227" spans="7:7">
      <c r="G19227" s="812"/>
    </row>
    <row r="19228" spans="7:7">
      <c r="G19228" s="812"/>
    </row>
    <row r="19229" spans="7:7">
      <c r="G19229" s="812"/>
    </row>
    <row r="19230" spans="7:7">
      <c r="G19230" s="812"/>
    </row>
    <row r="19231" spans="7:7">
      <c r="G19231" s="812"/>
    </row>
    <row r="19232" spans="7:7">
      <c r="G19232" s="812"/>
    </row>
    <row r="19233" spans="7:7">
      <c r="G19233" s="812"/>
    </row>
    <row r="19234" spans="7:7">
      <c r="G19234" s="812"/>
    </row>
    <row r="19235" spans="7:7">
      <c r="G19235" s="812"/>
    </row>
    <row r="19236" spans="7:7">
      <c r="G19236" s="812"/>
    </row>
    <row r="19237" spans="7:7">
      <c r="G19237" s="812"/>
    </row>
    <row r="19238" spans="7:7">
      <c r="G19238" s="812"/>
    </row>
    <row r="19239" spans="7:7">
      <c r="G19239" s="812"/>
    </row>
    <row r="19240" spans="7:7">
      <c r="G19240" s="812"/>
    </row>
    <row r="19241" spans="7:7">
      <c r="G19241" s="812"/>
    </row>
    <row r="19242" spans="7:7">
      <c r="G19242" s="812"/>
    </row>
    <row r="19243" spans="7:7">
      <c r="G19243" s="812"/>
    </row>
    <row r="19244" spans="7:7">
      <c r="G19244" s="812"/>
    </row>
    <row r="19245" spans="7:7">
      <c r="G19245" s="812"/>
    </row>
    <row r="19246" spans="7:7">
      <c r="G19246" s="812"/>
    </row>
    <row r="19247" spans="7:7">
      <c r="G19247" s="812"/>
    </row>
    <row r="19248" spans="7:7">
      <c r="G19248" s="812"/>
    </row>
    <row r="19249" spans="7:7">
      <c r="G19249" s="812"/>
    </row>
    <row r="19250" spans="7:7">
      <c r="G19250" s="812"/>
    </row>
    <row r="19251" spans="7:7">
      <c r="G19251" s="812"/>
    </row>
    <row r="19252" spans="7:7">
      <c r="G19252" s="812"/>
    </row>
    <row r="19253" spans="7:7">
      <c r="G19253" s="812"/>
    </row>
    <row r="19254" spans="7:7">
      <c r="G19254" s="812"/>
    </row>
    <row r="19255" spans="7:7">
      <c r="G19255" s="812"/>
    </row>
    <row r="19256" spans="7:7">
      <c r="G19256" s="812"/>
    </row>
    <row r="19257" spans="7:7">
      <c r="G19257" s="812"/>
    </row>
    <row r="19258" spans="7:7">
      <c r="G19258" s="812"/>
    </row>
    <row r="19259" spans="7:7">
      <c r="G19259" s="812"/>
    </row>
    <row r="19260" spans="7:7">
      <c r="G19260" s="812"/>
    </row>
    <row r="19261" spans="7:7">
      <c r="G19261" s="812"/>
    </row>
    <row r="19262" spans="7:7">
      <c r="G19262" s="812"/>
    </row>
    <row r="19263" spans="7:7">
      <c r="G19263" s="812"/>
    </row>
    <row r="19264" spans="7:7">
      <c r="G19264" s="812"/>
    </row>
    <row r="19265" spans="7:7">
      <c r="G19265" s="812"/>
    </row>
    <row r="19266" spans="7:7">
      <c r="G19266" s="812"/>
    </row>
    <row r="19267" spans="7:7">
      <c r="G19267" s="812"/>
    </row>
    <row r="19268" spans="7:7">
      <c r="G19268" s="812"/>
    </row>
    <row r="19269" spans="7:7">
      <c r="G19269" s="812"/>
    </row>
    <row r="19270" spans="7:7">
      <c r="G19270" s="812"/>
    </row>
    <row r="19271" spans="7:7">
      <c r="G19271" s="812"/>
    </row>
    <row r="19272" spans="7:7">
      <c r="G19272" s="812"/>
    </row>
    <row r="19273" spans="7:7">
      <c r="G19273" s="812"/>
    </row>
    <row r="19274" spans="7:7">
      <c r="G19274" s="812"/>
    </row>
    <row r="19275" spans="7:7">
      <c r="G19275" s="812"/>
    </row>
    <row r="19276" spans="7:7">
      <c r="G19276" s="812"/>
    </row>
    <row r="19277" spans="7:7">
      <c r="G19277" s="812"/>
    </row>
    <row r="19278" spans="7:7">
      <c r="G19278" s="812"/>
    </row>
    <row r="19279" spans="7:7">
      <c r="G19279" s="812"/>
    </row>
    <row r="19280" spans="7:7">
      <c r="G19280" s="812"/>
    </row>
    <row r="19281" spans="7:7">
      <c r="G19281" s="812"/>
    </row>
    <row r="19282" spans="7:7">
      <c r="G19282" s="812"/>
    </row>
    <row r="19283" spans="7:7">
      <c r="G19283" s="812"/>
    </row>
    <row r="19284" spans="7:7">
      <c r="G19284" s="812"/>
    </row>
    <row r="19285" spans="7:7">
      <c r="G19285" s="812"/>
    </row>
    <row r="19286" spans="7:7">
      <c r="G19286" s="812"/>
    </row>
    <row r="19287" spans="7:7">
      <c r="G19287" s="812"/>
    </row>
    <row r="19288" spans="7:7">
      <c r="G19288" s="812"/>
    </row>
    <row r="19289" spans="7:7">
      <c r="G19289" s="812"/>
    </row>
    <row r="19290" spans="7:7">
      <c r="G19290" s="812"/>
    </row>
    <row r="19291" spans="7:7">
      <c r="G19291" s="812"/>
    </row>
    <row r="19292" spans="7:7">
      <c r="G19292" s="812"/>
    </row>
    <row r="19293" spans="7:7">
      <c r="G19293" s="812"/>
    </row>
    <row r="19294" spans="7:7">
      <c r="G19294" s="812"/>
    </row>
    <row r="19295" spans="7:7">
      <c r="G19295" s="812"/>
    </row>
    <row r="19296" spans="7:7">
      <c r="G19296" s="812"/>
    </row>
    <row r="19297" spans="7:7">
      <c r="G19297" s="812"/>
    </row>
    <row r="19298" spans="7:7">
      <c r="G19298" s="812"/>
    </row>
    <row r="19299" spans="7:7">
      <c r="G19299" s="812"/>
    </row>
    <row r="19300" spans="7:7">
      <c r="G19300" s="812"/>
    </row>
    <row r="19301" spans="7:7">
      <c r="G19301" s="812"/>
    </row>
    <row r="19302" spans="7:7">
      <c r="G19302" s="812"/>
    </row>
    <row r="19303" spans="7:7">
      <c r="G19303" s="812"/>
    </row>
    <row r="19304" spans="7:7">
      <c r="G19304" s="812"/>
    </row>
    <row r="19305" spans="7:7">
      <c r="G19305" s="812"/>
    </row>
    <row r="19306" spans="7:7">
      <c r="G19306" s="812"/>
    </row>
    <row r="19307" spans="7:7">
      <c r="G19307" s="812"/>
    </row>
    <row r="19308" spans="7:7">
      <c r="G19308" s="812"/>
    </row>
    <row r="19309" spans="7:7">
      <c r="G19309" s="812"/>
    </row>
    <row r="19310" spans="7:7">
      <c r="G19310" s="812"/>
    </row>
    <row r="19311" spans="7:7">
      <c r="G19311" s="812"/>
    </row>
    <row r="19312" spans="7:7">
      <c r="G19312" s="812"/>
    </row>
    <row r="19313" spans="7:7">
      <c r="G19313" s="812"/>
    </row>
    <row r="19314" spans="7:7">
      <c r="G19314" s="812"/>
    </row>
    <row r="19315" spans="7:7">
      <c r="G19315" s="812"/>
    </row>
    <row r="19316" spans="7:7">
      <c r="G19316" s="812"/>
    </row>
    <row r="19317" spans="7:7">
      <c r="G19317" s="812"/>
    </row>
    <row r="19318" spans="7:7">
      <c r="G19318" s="812"/>
    </row>
    <row r="19319" spans="7:7">
      <c r="G19319" s="812"/>
    </row>
    <row r="19320" spans="7:7">
      <c r="G19320" s="812"/>
    </row>
    <row r="19321" spans="7:7">
      <c r="G19321" s="812"/>
    </row>
    <row r="19322" spans="7:7">
      <c r="G19322" s="812"/>
    </row>
    <row r="19323" spans="7:7">
      <c r="G19323" s="812"/>
    </row>
    <row r="19324" spans="7:7">
      <c r="G19324" s="812"/>
    </row>
    <row r="19325" spans="7:7">
      <c r="G19325" s="812"/>
    </row>
    <row r="19326" spans="7:7">
      <c r="G19326" s="812"/>
    </row>
    <row r="19327" spans="7:7">
      <c r="G19327" s="812"/>
    </row>
    <row r="19328" spans="7:7">
      <c r="G19328" s="812"/>
    </row>
    <row r="19329" spans="7:7">
      <c r="G19329" s="812"/>
    </row>
    <row r="19330" spans="7:7">
      <c r="G19330" s="812"/>
    </row>
    <row r="19331" spans="7:7">
      <c r="G19331" s="812"/>
    </row>
    <row r="19332" spans="7:7">
      <c r="G19332" s="812"/>
    </row>
    <row r="19333" spans="7:7">
      <c r="G19333" s="812"/>
    </row>
    <row r="19334" spans="7:7">
      <c r="G19334" s="812"/>
    </row>
    <row r="19335" spans="7:7">
      <c r="G19335" s="812"/>
    </row>
    <row r="19336" spans="7:7">
      <c r="G19336" s="812"/>
    </row>
    <row r="19337" spans="7:7">
      <c r="G19337" s="812"/>
    </row>
    <row r="19338" spans="7:7">
      <c r="G19338" s="812"/>
    </row>
    <row r="19339" spans="7:7">
      <c r="G19339" s="812"/>
    </row>
    <row r="19340" spans="7:7">
      <c r="G19340" s="812"/>
    </row>
    <row r="19341" spans="7:7">
      <c r="G19341" s="812"/>
    </row>
    <row r="19342" spans="7:7">
      <c r="G19342" s="812"/>
    </row>
    <row r="19343" spans="7:7">
      <c r="G19343" s="812"/>
    </row>
    <row r="19344" spans="7:7">
      <c r="G19344" s="812"/>
    </row>
    <row r="19345" spans="7:7">
      <c r="G19345" s="812"/>
    </row>
    <row r="19346" spans="7:7">
      <c r="G19346" s="812"/>
    </row>
    <row r="19347" spans="7:7">
      <c r="G19347" s="812"/>
    </row>
    <row r="19348" spans="7:7">
      <c r="G19348" s="812"/>
    </row>
    <row r="19349" spans="7:7">
      <c r="G19349" s="812"/>
    </row>
    <row r="19350" spans="7:7">
      <c r="G19350" s="812"/>
    </row>
    <row r="19351" spans="7:7">
      <c r="G19351" s="812"/>
    </row>
    <row r="19352" spans="7:7">
      <c r="G19352" s="812"/>
    </row>
    <row r="19353" spans="7:7">
      <c r="G19353" s="812"/>
    </row>
    <row r="19354" spans="7:7">
      <c r="G19354" s="812"/>
    </row>
    <row r="19355" spans="7:7">
      <c r="G19355" s="812"/>
    </row>
    <row r="19356" spans="7:7">
      <c r="G19356" s="812"/>
    </row>
    <row r="19357" spans="7:7">
      <c r="G19357" s="812"/>
    </row>
    <row r="19358" spans="7:7">
      <c r="G19358" s="812"/>
    </row>
    <row r="19359" spans="7:7">
      <c r="G19359" s="812"/>
    </row>
    <row r="19360" spans="7:7">
      <c r="G19360" s="812"/>
    </row>
    <row r="19361" spans="7:7">
      <c r="G19361" s="812"/>
    </row>
    <row r="19362" spans="7:7">
      <c r="G19362" s="812"/>
    </row>
    <row r="19363" spans="7:7">
      <c r="G19363" s="812"/>
    </row>
    <row r="19364" spans="7:7">
      <c r="G19364" s="812"/>
    </row>
    <row r="19365" spans="7:7">
      <c r="G19365" s="812"/>
    </row>
    <row r="19366" spans="7:7">
      <c r="G19366" s="812"/>
    </row>
    <row r="19367" spans="7:7">
      <c r="G19367" s="812"/>
    </row>
    <row r="19368" spans="7:7">
      <c r="G19368" s="812"/>
    </row>
    <row r="19369" spans="7:7">
      <c r="G19369" s="812"/>
    </row>
    <row r="19370" spans="7:7">
      <c r="G19370" s="812"/>
    </row>
    <row r="19371" spans="7:7">
      <c r="G19371" s="812"/>
    </row>
    <row r="19372" spans="7:7">
      <c r="G19372" s="812"/>
    </row>
    <row r="19373" spans="7:7">
      <c r="G19373" s="812"/>
    </row>
    <row r="19374" spans="7:7">
      <c r="G19374" s="812"/>
    </row>
    <row r="19375" spans="7:7">
      <c r="G19375" s="812"/>
    </row>
    <row r="19376" spans="7:7">
      <c r="G19376" s="812"/>
    </row>
    <row r="19377" spans="7:7">
      <c r="G19377" s="812"/>
    </row>
    <row r="19378" spans="7:7">
      <c r="G19378" s="812"/>
    </row>
    <row r="19379" spans="7:7">
      <c r="G19379" s="812"/>
    </row>
    <row r="19380" spans="7:7">
      <c r="G19380" s="812"/>
    </row>
    <row r="19381" spans="7:7">
      <c r="G19381" s="812"/>
    </row>
    <row r="19382" spans="7:7">
      <c r="G19382" s="812"/>
    </row>
    <row r="19383" spans="7:7">
      <c r="G19383" s="812"/>
    </row>
    <row r="19384" spans="7:7">
      <c r="G19384" s="812"/>
    </row>
    <row r="19385" spans="7:7">
      <c r="G19385" s="812"/>
    </row>
    <row r="19386" spans="7:7">
      <c r="G19386" s="812"/>
    </row>
    <row r="19387" spans="7:7">
      <c r="G19387" s="812"/>
    </row>
    <row r="19388" spans="7:7">
      <c r="G19388" s="812"/>
    </row>
    <row r="19389" spans="7:7">
      <c r="G19389" s="812"/>
    </row>
    <row r="19390" spans="7:7">
      <c r="G19390" s="812"/>
    </row>
    <row r="19391" spans="7:7">
      <c r="G19391" s="812"/>
    </row>
    <row r="19392" spans="7:7">
      <c r="G19392" s="812"/>
    </row>
    <row r="19393" spans="7:7">
      <c r="G19393" s="812"/>
    </row>
    <row r="19394" spans="7:7">
      <c r="G19394" s="812"/>
    </row>
    <row r="19395" spans="7:7">
      <c r="G19395" s="812"/>
    </row>
    <row r="19396" spans="7:7">
      <c r="G19396" s="812"/>
    </row>
    <row r="19397" spans="7:7">
      <c r="G19397" s="812"/>
    </row>
    <row r="19398" spans="7:7">
      <c r="G19398" s="812"/>
    </row>
    <row r="19399" spans="7:7">
      <c r="G19399" s="812"/>
    </row>
    <row r="19400" spans="7:7">
      <c r="G19400" s="812"/>
    </row>
    <row r="19401" spans="7:7">
      <c r="G19401" s="812"/>
    </row>
    <row r="19402" spans="7:7">
      <c r="G19402" s="812"/>
    </row>
    <row r="19403" spans="7:7">
      <c r="G19403" s="812"/>
    </row>
    <row r="19404" spans="7:7">
      <c r="G19404" s="812"/>
    </row>
    <row r="19405" spans="7:7">
      <c r="G19405" s="812"/>
    </row>
    <row r="19406" spans="7:7">
      <c r="G19406" s="812"/>
    </row>
    <row r="19407" spans="7:7">
      <c r="G19407" s="812"/>
    </row>
    <row r="19408" spans="7:7">
      <c r="G19408" s="812"/>
    </row>
    <row r="19409" spans="7:7">
      <c r="G19409" s="812"/>
    </row>
    <row r="19410" spans="7:7">
      <c r="G19410" s="812"/>
    </row>
    <row r="19411" spans="7:7">
      <c r="G19411" s="812"/>
    </row>
    <row r="19412" spans="7:7">
      <c r="G19412" s="812"/>
    </row>
    <row r="19413" spans="7:7">
      <c r="G19413" s="812"/>
    </row>
    <row r="19414" spans="7:7">
      <c r="G19414" s="812"/>
    </row>
    <row r="19415" spans="7:7">
      <c r="G19415" s="812"/>
    </row>
    <row r="19416" spans="7:7">
      <c r="G19416" s="812"/>
    </row>
    <row r="19417" spans="7:7">
      <c r="G19417" s="812"/>
    </row>
    <row r="19418" spans="7:7">
      <c r="G19418" s="812"/>
    </row>
    <row r="19419" spans="7:7">
      <c r="G19419" s="812"/>
    </row>
    <row r="19420" spans="7:7">
      <c r="G19420" s="812"/>
    </row>
    <row r="19421" spans="7:7">
      <c r="G19421" s="812"/>
    </row>
    <row r="19422" spans="7:7">
      <c r="G19422" s="812"/>
    </row>
    <row r="19423" spans="7:7">
      <c r="G19423" s="812"/>
    </row>
    <row r="19424" spans="7:7">
      <c r="G19424" s="812"/>
    </row>
    <row r="19425" spans="7:7">
      <c r="G19425" s="812"/>
    </row>
    <row r="19426" spans="7:7">
      <c r="G19426" s="812"/>
    </row>
    <row r="19427" spans="7:7">
      <c r="G19427" s="812"/>
    </row>
    <row r="19428" spans="7:7">
      <c r="G19428" s="812"/>
    </row>
    <row r="19429" spans="7:7">
      <c r="G19429" s="812"/>
    </row>
    <row r="19430" spans="7:7">
      <c r="G19430" s="812"/>
    </row>
    <row r="19431" spans="7:7">
      <c r="G19431" s="812"/>
    </row>
    <row r="19432" spans="7:7">
      <c r="G19432" s="812"/>
    </row>
    <row r="19433" spans="7:7">
      <c r="G19433" s="812"/>
    </row>
    <row r="19434" spans="7:7">
      <c r="G19434" s="812"/>
    </row>
    <row r="19435" spans="7:7">
      <c r="G19435" s="812"/>
    </row>
    <row r="19436" spans="7:7">
      <c r="G19436" s="812"/>
    </row>
    <row r="19437" spans="7:7">
      <c r="G19437" s="812"/>
    </row>
    <row r="19438" spans="7:7">
      <c r="G19438" s="812"/>
    </row>
    <row r="19439" spans="7:7">
      <c r="G19439" s="812"/>
    </row>
    <row r="19440" spans="7:7">
      <c r="G19440" s="812"/>
    </row>
    <row r="19441" spans="7:7">
      <c r="G19441" s="812"/>
    </row>
    <row r="19442" spans="7:7">
      <c r="G19442" s="812"/>
    </row>
    <row r="19443" spans="7:7">
      <c r="G19443" s="812"/>
    </row>
    <row r="19444" spans="7:7">
      <c r="G19444" s="812"/>
    </row>
    <row r="19445" spans="7:7">
      <c r="G19445" s="812"/>
    </row>
    <row r="19446" spans="7:7">
      <c r="G19446" s="812"/>
    </row>
    <row r="19447" spans="7:7">
      <c r="G19447" s="812"/>
    </row>
    <row r="19448" spans="7:7">
      <c r="G19448" s="812"/>
    </row>
    <row r="19449" spans="7:7">
      <c r="G19449" s="812"/>
    </row>
    <row r="19450" spans="7:7">
      <c r="G19450" s="812"/>
    </row>
    <row r="19451" spans="7:7">
      <c r="G19451" s="812"/>
    </row>
    <row r="19452" spans="7:7">
      <c r="G19452" s="812"/>
    </row>
    <row r="19453" spans="7:7">
      <c r="G19453" s="812"/>
    </row>
    <row r="19454" spans="7:7">
      <c r="G19454" s="812"/>
    </row>
    <row r="19455" spans="7:7">
      <c r="G19455" s="812"/>
    </row>
    <row r="19456" spans="7:7">
      <c r="G19456" s="812"/>
    </row>
    <row r="19457" spans="7:7">
      <c r="G19457" s="812"/>
    </row>
    <row r="19458" spans="7:7">
      <c r="G19458" s="812"/>
    </row>
    <row r="19459" spans="7:7">
      <c r="G19459" s="812"/>
    </row>
    <row r="19460" spans="7:7">
      <c r="G19460" s="812"/>
    </row>
    <row r="19461" spans="7:7">
      <c r="G19461" s="812"/>
    </row>
    <row r="19462" spans="7:7">
      <c r="G19462" s="812"/>
    </row>
    <row r="19463" spans="7:7">
      <c r="G19463" s="812"/>
    </row>
    <row r="19464" spans="7:7">
      <c r="G19464" s="812"/>
    </row>
    <row r="19465" spans="7:7">
      <c r="G19465" s="812"/>
    </row>
    <row r="19466" spans="7:7">
      <c r="G19466" s="812"/>
    </row>
    <row r="19467" spans="7:7">
      <c r="G19467" s="812"/>
    </row>
    <row r="19468" spans="7:7">
      <c r="G19468" s="812"/>
    </row>
    <row r="19469" spans="7:7">
      <c r="G19469" s="812"/>
    </row>
    <row r="19470" spans="7:7">
      <c r="G19470" s="812"/>
    </row>
    <row r="19471" spans="7:7">
      <c r="G19471" s="812"/>
    </row>
    <row r="19472" spans="7:7">
      <c r="G19472" s="812"/>
    </row>
    <row r="19473" spans="7:7">
      <c r="G19473" s="812"/>
    </row>
    <row r="19474" spans="7:7">
      <c r="G19474" s="812"/>
    </row>
    <row r="19475" spans="7:7">
      <c r="G19475" s="812"/>
    </row>
    <row r="19476" spans="7:7">
      <c r="G19476" s="812"/>
    </row>
    <row r="19477" spans="7:7">
      <c r="G19477" s="812"/>
    </row>
    <row r="19478" spans="7:7">
      <c r="G19478" s="812"/>
    </row>
    <row r="19479" spans="7:7">
      <c r="G19479" s="812"/>
    </row>
    <row r="19480" spans="7:7">
      <c r="G19480" s="812"/>
    </row>
    <row r="19481" spans="7:7">
      <c r="G19481" s="812"/>
    </row>
    <row r="19482" spans="7:7">
      <c r="G19482" s="812"/>
    </row>
    <row r="19483" spans="7:7">
      <c r="G19483" s="812"/>
    </row>
    <row r="19484" spans="7:7">
      <c r="G19484" s="812"/>
    </row>
    <row r="19485" spans="7:7">
      <c r="G19485" s="812"/>
    </row>
    <row r="19486" spans="7:7">
      <c r="G19486" s="812"/>
    </row>
    <row r="19487" spans="7:7">
      <c r="G19487" s="812"/>
    </row>
    <row r="19488" spans="7:7">
      <c r="G19488" s="812"/>
    </row>
    <row r="19489" spans="7:7">
      <c r="G19489" s="812"/>
    </row>
    <row r="19490" spans="7:7">
      <c r="G19490" s="812"/>
    </row>
    <row r="19491" spans="7:7">
      <c r="G19491" s="812"/>
    </row>
    <row r="19492" spans="7:7">
      <c r="G19492" s="812"/>
    </row>
    <row r="19493" spans="7:7">
      <c r="G19493" s="812"/>
    </row>
    <row r="19494" spans="7:7">
      <c r="G19494" s="812"/>
    </row>
    <row r="19495" spans="7:7">
      <c r="G19495" s="812"/>
    </row>
    <row r="19496" spans="7:7">
      <c r="G19496" s="812"/>
    </row>
    <row r="19497" spans="7:7">
      <c r="G19497" s="812"/>
    </row>
    <row r="19498" spans="7:7">
      <c r="G19498" s="812"/>
    </row>
    <row r="19499" spans="7:7">
      <c r="G19499" s="812"/>
    </row>
    <row r="19500" spans="7:7">
      <c r="G19500" s="812"/>
    </row>
    <row r="19501" spans="7:7">
      <c r="G19501" s="812"/>
    </row>
    <row r="19502" spans="7:7">
      <c r="G19502" s="812"/>
    </row>
    <row r="19503" spans="7:7">
      <c r="G19503" s="812"/>
    </row>
    <row r="19504" spans="7:7">
      <c r="G19504" s="812"/>
    </row>
    <row r="19505" spans="7:7">
      <c r="G19505" s="812"/>
    </row>
    <row r="19506" spans="7:7">
      <c r="G19506" s="812"/>
    </row>
    <row r="19507" spans="7:7">
      <c r="G19507" s="812"/>
    </row>
    <row r="19508" spans="7:7">
      <c r="G19508" s="812"/>
    </row>
    <row r="19509" spans="7:7">
      <c r="G19509" s="812"/>
    </row>
    <row r="19510" spans="7:7">
      <c r="G19510" s="812"/>
    </row>
    <row r="19511" spans="7:7">
      <c r="G19511" s="812"/>
    </row>
    <row r="19512" spans="7:7">
      <c r="G19512" s="812"/>
    </row>
    <row r="19513" spans="7:7">
      <c r="G19513" s="812"/>
    </row>
    <row r="19514" spans="7:7">
      <c r="G19514" s="812"/>
    </row>
    <row r="19515" spans="7:7">
      <c r="G19515" s="812"/>
    </row>
    <row r="19516" spans="7:7">
      <c r="G19516" s="812"/>
    </row>
    <row r="19517" spans="7:7">
      <c r="G19517" s="812"/>
    </row>
    <row r="19518" spans="7:7">
      <c r="G19518" s="812"/>
    </row>
    <row r="19519" spans="7:7">
      <c r="G19519" s="812"/>
    </row>
    <row r="19520" spans="7:7">
      <c r="G19520" s="812"/>
    </row>
    <row r="19521" spans="7:7">
      <c r="G19521" s="812"/>
    </row>
    <row r="19522" spans="7:7">
      <c r="G19522" s="812"/>
    </row>
    <row r="19523" spans="7:7">
      <c r="G19523" s="812"/>
    </row>
    <row r="19524" spans="7:7">
      <c r="G19524" s="812"/>
    </row>
    <row r="19525" spans="7:7">
      <c r="G19525" s="812"/>
    </row>
    <row r="19526" spans="7:7">
      <c r="G19526" s="812"/>
    </row>
    <row r="19527" spans="7:7">
      <c r="G19527" s="812"/>
    </row>
    <row r="19528" spans="7:7">
      <c r="G19528" s="812"/>
    </row>
    <row r="19529" spans="7:7">
      <c r="G19529" s="812"/>
    </row>
    <row r="19530" spans="7:7">
      <c r="G19530" s="812"/>
    </row>
    <row r="19531" spans="7:7">
      <c r="G19531" s="812"/>
    </row>
    <row r="19532" spans="7:7">
      <c r="G19532" s="812"/>
    </row>
    <row r="19533" spans="7:7">
      <c r="G19533" s="812"/>
    </row>
    <row r="19534" spans="7:7">
      <c r="G19534" s="812"/>
    </row>
    <row r="19535" spans="7:7">
      <c r="G19535" s="812"/>
    </row>
    <row r="19536" spans="7:7">
      <c r="G19536" s="812"/>
    </row>
    <row r="19537" spans="7:7">
      <c r="G19537" s="812"/>
    </row>
    <row r="19538" spans="7:7">
      <c r="G19538" s="812"/>
    </row>
    <row r="19539" spans="7:7">
      <c r="G19539" s="812"/>
    </row>
    <row r="19540" spans="7:7">
      <c r="G19540" s="812"/>
    </row>
    <row r="19541" spans="7:7">
      <c r="G19541" s="812"/>
    </row>
    <row r="19542" spans="7:7">
      <c r="G19542" s="812"/>
    </row>
    <row r="19543" spans="7:7">
      <c r="G19543" s="812"/>
    </row>
    <row r="19544" spans="7:7">
      <c r="G19544" s="812"/>
    </row>
    <row r="19545" spans="7:7">
      <c r="G19545" s="812"/>
    </row>
    <row r="19546" spans="7:7">
      <c r="G19546" s="812"/>
    </row>
    <row r="19547" spans="7:7">
      <c r="G19547" s="812"/>
    </row>
    <row r="19548" spans="7:7">
      <c r="G19548" s="812"/>
    </row>
    <row r="19549" spans="7:7">
      <c r="G19549" s="812"/>
    </row>
    <row r="19550" spans="7:7">
      <c r="G19550" s="812"/>
    </row>
    <row r="19551" spans="7:7">
      <c r="G19551" s="812"/>
    </row>
    <row r="19552" spans="7:7">
      <c r="G19552" s="812"/>
    </row>
    <row r="19553" spans="7:7">
      <c r="G19553" s="812"/>
    </row>
    <row r="19554" spans="7:7">
      <c r="G19554" s="812"/>
    </row>
    <row r="19555" spans="7:7">
      <c r="G19555" s="812"/>
    </row>
    <row r="19556" spans="7:7">
      <c r="G19556" s="812"/>
    </row>
    <row r="19557" spans="7:7">
      <c r="G19557" s="812"/>
    </row>
    <row r="19558" spans="7:7">
      <c r="G19558" s="812"/>
    </row>
    <row r="19559" spans="7:7">
      <c r="G19559" s="812"/>
    </row>
    <row r="19560" spans="7:7">
      <c r="G19560" s="812"/>
    </row>
    <row r="19561" spans="7:7">
      <c r="G19561" s="812"/>
    </row>
    <row r="19562" spans="7:7">
      <c r="G19562" s="812"/>
    </row>
    <row r="19563" spans="7:7">
      <c r="G19563" s="812"/>
    </row>
    <row r="19564" spans="7:7">
      <c r="G19564" s="812"/>
    </row>
    <row r="19565" spans="7:7">
      <c r="G19565" s="812"/>
    </row>
    <row r="19566" spans="7:7">
      <c r="G19566" s="812"/>
    </row>
    <row r="19567" spans="7:7">
      <c r="G19567" s="812"/>
    </row>
    <row r="19568" spans="7:7">
      <c r="G19568" s="812"/>
    </row>
    <row r="19569" spans="7:7">
      <c r="G19569" s="812"/>
    </row>
    <row r="19570" spans="7:7">
      <c r="G19570" s="812"/>
    </row>
    <row r="19571" spans="7:7">
      <c r="G19571" s="812"/>
    </row>
    <row r="19572" spans="7:7">
      <c r="G19572" s="812"/>
    </row>
    <row r="19573" spans="7:7">
      <c r="G19573" s="812"/>
    </row>
    <row r="19574" spans="7:7">
      <c r="G19574" s="812"/>
    </row>
    <row r="19575" spans="7:7">
      <c r="G19575" s="812"/>
    </row>
    <row r="19576" spans="7:7">
      <c r="G19576" s="812"/>
    </row>
    <row r="19577" spans="7:7">
      <c r="G19577" s="812"/>
    </row>
    <row r="19578" spans="7:7">
      <c r="G19578" s="812"/>
    </row>
    <row r="19579" spans="7:7">
      <c r="G19579" s="812"/>
    </row>
    <row r="19580" spans="7:7">
      <c r="G19580" s="812"/>
    </row>
    <row r="19581" spans="7:7">
      <c r="G19581" s="812"/>
    </row>
    <row r="19582" spans="7:7">
      <c r="G19582" s="812"/>
    </row>
    <row r="19583" spans="7:7">
      <c r="G19583" s="812"/>
    </row>
    <row r="19584" spans="7:7">
      <c r="G19584" s="812"/>
    </row>
    <row r="19585" spans="7:7">
      <c r="G19585" s="812"/>
    </row>
    <row r="19586" spans="7:7">
      <c r="G19586" s="812"/>
    </row>
    <row r="19587" spans="7:7">
      <c r="G19587" s="812"/>
    </row>
    <row r="19588" spans="7:7">
      <c r="G19588" s="812"/>
    </row>
    <row r="19589" spans="7:7">
      <c r="G19589" s="812"/>
    </row>
    <row r="19590" spans="7:7">
      <c r="G19590" s="812"/>
    </row>
    <row r="19591" spans="7:7">
      <c r="G19591" s="812"/>
    </row>
    <row r="19592" spans="7:7">
      <c r="G19592" s="812"/>
    </row>
    <row r="19593" spans="7:7">
      <c r="G19593" s="812"/>
    </row>
    <row r="19594" spans="7:7">
      <c r="G19594" s="812"/>
    </row>
    <row r="19595" spans="7:7">
      <c r="G19595" s="812"/>
    </row>
    <row r="19596" spans="7:7">
      <c r="G19596" s="812"/>
    </row>
    <row r="19597" spans="7:7">
      <c r="G19597" s="812"/>
    </row>
    <row r="19598" spans="7:7">
      <c r="G19598" s="812"/>
    </row>
    <row r="19599" spans="7:7">
      <c r="G19599" s="812"/>
    </row>
    <row r="19600" spans="7:7">
      <c r="G19600" s="812"/>
    </row>
    <row r="19601" spans="7:7">
      <c r="G19601" s="812"/>
    </row>
    <row r="19602" spans="7:7">
      <c r="G19602" s="812"/>
    </row>
    <row r="19603" spans="7:7">
      <c r="G19603" s="812"/>
    </row>
    <row r="19604" spans="7:7">
      <c r="G19604" s="812"/>
    </row>
    <row r="19605" spans="7:7">
      <c r="G19605" s="812"/>
    </row>
    <row r="19606" spans="7:7">
      <c r="G19606" s="812"/>
    </row>
    <row r="19607" spans="7:7">
      <c r="G19607" s="812"/>
    </row>
    <row r="19608" spans="7:7">
      <c r="G19608" s="812"/>
    </row>
    <row r="19609" spans="7:7">
      <c r="G19609" s="812"/>
    </row>
    <row r="19610" spans="7:7">
      <c r="G19610" s="812"/>
    </row>
    <row r="19611" spans="7:7">
      <c r="G19611" s="812"/>
    </row>
    <row r="19612" spans="7:7">
      <c r="G19612" s="812"/>
    </row>
    <row r="19613" spans="7:7">
      <c r="G19613" s="812"/>
    </row>
    <row r="19614" spans="7:7">
      <c r="G19614" s="812"/>
    </row>
    <row r="19615" spans="7:7">
      <c r="G19615" s="812"/>
    </row>
    <row r="19616" spans="7:7">
      <c r="G19616" s="812"/>
    </row>
    <row r="19617" spans="7:7">
      <c r="G19617" s="812"/>
    </row>
    <row r="19618" spans="7:7">
      <c r="G19618" s="812"/>
    </row>
    <row r="19619" spans="7:7">
      <c r="G19619" s="812"/>
    </row>
    <row r="19620" spans="7:7">
      <c r="G19620" s="812"/>
    </row>
    <row r="19621" spans="7:7">
      <c r="G19621" s="812"/>
    </row>
    <row r="19622" spans="7:7">
      <c r="G19622" s="812"/>
    </row>
    <row r="19623" spans="7:7">
      <c r="G19623" s="812"/>
    </row>
    <row r="19624" spans="7:7">
      <c r="G19624" s="812"/>
    </row>
    <row r="19625" spans="7:7">
      <c r="G19625" s="812"/>
    </row>
    <row r="19626" spans="7:7">
      <c r="G19626" s="812"/>
    </row>
    <row r="19627" spans="7:7">
      <c r="G19627" s="812"/>
    </row>
    <row r="19628" spans="7:7">
      <c r="G19628" s="812"/>
    </row>
    <row r="19629" spans="7:7">
      <c r="G19629" s="812"/>
    </row>
    <row r="19630" spans="7:7">
      <c r="G19630" s="812"/>
    </row>
    <row r="19631" spans="7:7">
      <c r="G19631" s="812"/>
    </row>
    <row r="19632" spans="7:7">
      <c r="G19632" s="812"/>
    </row>
    <row r="19633" spans="7:7">
      <c r="G19633" s="812"/>
    </row>
    <row r="19634" spans="7:7">
      <c r="G19634" s="812"/>
    </row>
    <row r="19635" spans="7:7">
      <c r="G19635" s="812"/>
    </row>
    <row r="19636" spans="7:7">
      <c r="G19636" s="812"/>
    </row>
    <row r="19637" spans="7:7">
      <c r="G19637" s="812"/>
    </row>
    <row r="19638" spans="7:7">
      <c r="G19638" s="812"/>
    </row>
    <row r="19639" spans="7:7">
      <c r="G19639" s="812"/>
    </row>
    <row r="19640" spans="7:7">
      <c r="G19640" s="812"/>
    </row>
    <row r="19641" spans="7:7">
      <c r="G19641" s="812"/>
    </row>
    <row r="19642" spans="7:7">
      <c r="G19642" s="812"/>
    </row>
    <row r="19643" spans="7:7">
      <c r="G19643" s="812"/>
    </row>
    <row r="19644" spans="7:7">
      <c r="G19644" s="812"/>
    </row>
    <row r="19645" spans="7:7">
      <c r="G19645" s="812"/>
    </row>
    <row r="19646" spans="7:7">
      <c r="G19646" s="812"/>
    </row>
    <row r="19647" spans="7:7">
      <c r="G19647" s="812"/>
    </row>
    <row r="19648" spans="7:7">
      <c r="G19648" s="812"/>
    </row>
    <row r="19649" spans="7:7">
      <c r="G19649" s="812"/>
    </row>
    <row r="19650" spans="7:7">
      <c r="G19650" s="812"/>
    </row>
    <row r="19651" spans="7:7">
      <c r="G19651" s="812"/>
    </row>
    <row r="19652" spans="7:7">
      <c r="G19652" s="812"/>
    </row>
    <row r="19653" spans="7:7">
      <c r="G19653" s="812"/>
    </row>
    <row r="19654" spans="7:7">
      <c r="G19654" s="812"/>
    </row>
    <row r="19655" spans="7:7">
      <c r="G19655" s="812"/>
    </row>
    <row r="19656" spans="7:7">
      <c r="G19656" s="812"/>
    </row>
    <row r="19657" spans="7:7">
      <c r="G19657" s="812"/>
    </row>
    <row r="19658" spans="7:7">
      <c r="G19658" s="812"/>
    </row>
    <row r="19659" spans="7:7">
      <c r="G19659" s="812"/>
    </row>
    <row r="19660" spans="7:7">
      <c r="G19660" s="812"/>
    </row>
    <row r="19661" spans="7:7">
      <c r="G19661" s="812"/>
    </row>
    <row r="19662" spans="7:7">
      <c r="G19662" s="812"/>
    </row>
    <row r="19663" spans="7:7">
      <c r="G19663" s="812"/>
    </row>
    <row r="19664" spans="7:7">
      <c r="G19664" s="812"/>
    </row>
    <row r="19665" spans="7:7">
      <c r="G19665" s="812"/>
    </row>
    <row r="19666" spans="7:7">
      <c r="G19666" s="812"/>
    </row>
    <row r="19667" spans="7:7">
      <c r="G19667" s="812"/>
    </row>
    <row r="19668" spans="7:7">
      <c r="G19668" s="812"/>
    </row>
    <row r="19669" spans="7:7">
      <c r="G19669" s="812"/>
    </row>
    <row r="19670" spans="7:7">
      <c r="G19670" s="812"/>
    </row>
    <row r="19671" spans="7:7">
      <c r="G19671" s="812"/>
    </row>
    <row r="19672" spans="7:7">
      <c r="G19672" s="812"/>
    </row>
    <row r="19673" spans="7:7">
      <c r="G19673" s="812"/>
    </row>
    <row r="19674" spans="7:7">
      <c r="G19674" s="812"/>
    </row>
    <row r="19675" spans="7:7">
      <c r="G19675" s="812"/>
    </row>
    <row r="19676" spans="7:7">
      <c r="G19676" s="812"/>
    </row>
    <row r="19677" spans="7:7">
      <c r="G19677" s="812"/>
    </row>
    <row r="19678" spans="7:7">
      <c r="G19678" s="812"/>
    </row>
    <row r="19679" spans="7:7">
      <c r="G19679" s="812"/>
    </row>
    <row r="19680" spans="7:7">
      <c r="G19680" s="812"/>
    </row>
    <row r="19681" spans="7:7">
      <c r="G19681" s="812"/>
    </row>
    <row r="19682" spans="7:7">
      <c r="G19682" s="812"/>
    </row>
    <row r="19683" spans="7:7">
      <c r="G19683" s="812"/>
    </row>
    <row r="19684" spans="7:7">
      <c r="G19684" s="812"/>
    </row>
    <row r="19685" spans="7:7">
      <c r="G19685" s="812"/>
    </row>
    <row r="19686" spans="7:7">
      <c r="G19686" s="812"/>
    </row>
    <row r="19687" spans="7:7">
      <c r="G19687" s="812"/>
    </row>
    <row r="19688" spans="7:7">
      <c r="G19688" s="812"/>
    </row>
    <row r="19689" spans="7:7">
      <c r="G19689" s="812"/>
    </row>
    <row r="19690" spans="7:7">
      <c r="G19690" s="812"/>
    </row>
    <row r="19691" spans="7:7">
      <c r="G19691" s="812"/>
    </row>
    <row r="19692" spans="7:7">
      <c r="G19692" s="812"/>
    </row>
    <row r="19693" spans="7:7">
      <c r="G19693" s="812"/>
    </row>
    <row r="19694" spans="7:7">
      <c r="G19694" s="812"/>
    </row>
    <row r="19695" spans="7:7">
      <c r="G19695" s="812"/>
    </row>
    <row r="19696" spans="7:7">
      <c r="G19696" s="812"/>
    </row>
    <row r="19697" spans="7:7">
      <c r="G19697" s="812"/>
    </row>
    <row r="19698" spans="7:7">
      <c r="G19698" s="812"/>
    </row>
    <row r="19699" spans="7:7">
      <c r="G19699" s="812"/>
    </row>
    <row r="19700" spans="7:7">
      <c r="G19700" s="812"/>
    </row>
    <row r="19701" spans="7:7">
      <c r="G19701" s="812"/>
    </row>
    <row r="19702" spans="7:7">
      <c r="G19702" s="812"/>
    </row>
    <row r="19703" spans="7:7">
      <c r="G19703" s="812"/>
    </row>
    <row r="19704" spans="7:7">
      <c r="G19704" s="812"/>
    </row>
    <row r="19705" spans="7:7">
      <c r="G19705" s="812"/>
    </row>
    <row r="19706" spans="7:7">
      <c r="G19706" s="812"/>
    </row>
    <row r="19707" spans="7:7">
      <c r="G19707" s="812"/>
    </row>
    <row r="19708" spans="7:7">
      <c r="G19708" s="812"/>
    </row>
    <row r="19709" spans="7:7">
      <c r="G19709" s="812"/>
    </row>
    <row r="19710" spans="7:7">
      <c r="G19710" s="812"/>
    </row>
    <row r="19711" spans="7:7">
      <c r="G19711" s="812"/>
    </row>
    <row r="19712" spans="7:7">
      <c r="G19712" s="812"/>
    </row>
    <row r="19713" spans="7:7">
      <c r="G19713" s="812"/>
    </row>
    <row r="19714" spans="7:7">
      <c r="G19714" s="812"/>
    </row>
    <row r="19715" spans="7:7">
      <c r="G19715" s="812"/>
    </row>
    <row r="19716" spans="7:7">
      <c r="G19716" s="812"/>
    </row>
    <row r="19717" spans="7:7">
      <c r="G19717" s="812"/>
    </row>
    <row r="19718" spans="7:7">
      <c r="G19718" s="812"/>
    </row>
    <row r="19719" spans="7:7">
      <c r="G19719" s="812"/>
    </row>
    <row r="19720" spans="7:7">
      <c r="G19720" s="812"/>
    </row>
    <row r="19721" spans="7:7">
      <c r="G19721" s="812"/>
    </row>
    <row r="19722" spans="7:7">
      <c r="G19722" s="812"/>
    </row>
    <row r="19723" spans="7:7">
      <c r="G19723" s="812"/>
    </row>
    <row r="19724" spans="7:7">
      <c r="G19724" s="812"/>
    </row>
    <row r="19725" spans="7:7">
      <c r="G19725" s="812"/>
    </row>
    <row r="19726" spans="7:7">
      <c r="G19726" s="812"/>
    </row>
    <row r="19727" spans="7:7">
      <c r="G19727" s="812"/>
    </row>
    <row r="19728" spans="7:7">
      <c r="G19728" s="812"/>
    </row>
    <row r="19729" spans="7:7">
      <c r="G19729" s="812"/>
    </row>
    <row r="19730" spans="7:7">
      <c r="G19730" s="812"/>
    </row>
    <row r="19731" spans="7:7">
      <c r="G19731" s="812"/>
    </row>
    <row r="19732" spans="7:7">
      <c r="G19732" s="812"/>
    </row>
    <row r="19733" spans="7:7">
      <c r="G19733" s="812"/>
    </row>
    <row r="19734" spans="7:7">
      <c r="G19734" s="812"/>
    </row>
    <row r="19735" spans="7:7">
      <c r="G19735" s="812"/>
    </row>
    <row r="19736" spans="7:7">
      <c r="G19736" s="812"/>
    </row>
    <row r="19737" spans="7:7">
      <c r="G19737" s="812"/>
    </row>
    <row r="19738" spans="7:7">
      <c r="G19738" s="812"/>
    </row>
    <row r="19739" spans="7:7">
      <c r="G19739" s="812"/>
    </row>
    <row r="19740" spans="7:7">
      <c r="G19740" s="812"/>
    </row>
    <row r="19741" spans="7:7">
      <c r="G19741" s="812"/>
    </row>
    <row r="19742" spans="7:7">
      <c r="G19742" s="812"/>
    </row>
    <row r="19743" spans="7:7">
      <c r="G19743" s="812"/>
    </row>
    <row r="19744" spans="7:7">
      <c r="G19744" s="812"/>
    </row>
    <row r="19745" spans="7:7">
      <c r="G19745" s="812"/>
    </row>
    <row r="19746" spans="7:7">
      <c r="G19746" s="812"/>
    </row>
    <row r="19747" spans="7:7">
      <c r="G19747" s="812"/>
    </row>
    <row r="19748" spans="7:7">
      <c r="G19748" s="812"/>
    </row>
    <row r="19749" spans="7:7">
      <c r="G19749" s="812"/>
    </row>
    <row r="19750" spans="7:7">
      <c r="G19750" s="812"/>
    </row>
    <row r="19751" spans="7:7">
      <c r="G19751" s="812"/>
    </row>
    <row r="19752" spans="7:7">
      <c r="G19752" s="812"/>
    </row>
    <row r="19753" spans="7:7">
      <c r="G19753" s="812"/>
    </row>
    <row r="19754" spans="7:7">
      <c r="G19754" s="812"/>
    </row>
    <row r="19755" spans="7:7">
      <c r="G19755" s="812"/>
    </row>
    <row r="19756" spans="7:7">
      <c r="G19756" s="812"/>
    </row>
    <row r="19757" spans="7:7">
      <c r="G19757" s="812"/>
    </row>
    <row r="19758" spans="7:7">
      <c r="G19758" s="812"/>
    </row>
    <row r="19759" spans="7:7">
      <c r="G19759" s="812"/>
    </row>
    <row r="19760" spans="7:7">
      <c r="G19760" s="812"/>
    </row>
    <row r="19761" spans="7:7">
      <c r="G19761" s="812"/>
    </row>
    <row r="19762" spans="7:7">
      <c r="G19762" s="812"/>
    </row>
    <row r="19763" spans="7:7">
      <c r="G19763" s="812"/>
    </row>
    <row r="19764" spans="7:7">
      <c r="G19764" s="812"/>
    </row>
    <row r="19765" spans="7:7">
      <c r="G19765" s="812"/>
    </row>
    <row r="19766" spans="7:7">
      <c r="G19766" s="812"/>
    </row>
    <row r="19767" spans="7:7">
      <c r="G19767" s="812"/>
    </row>
    <row r="19768" spans="7:7">
      <c r="G19768" s="812"/>
    </row>
    <row r="19769" spans="7:7">
      <c r="G19769" s="812"/>
    </row>
    <row r="19770" spans="7:7">
      <c r="G19770" s="812"/>
    </row>
    <row r="19771" spans="7:7">
      <c r="G19771" s="812"/>
    </row>
    <row r="19772" spans="7:7">
      <c r="G19772" s="812"/>
    </row>
    <row r="19773" spans="7:7">
      <c r="G19773" s="812"/>
    </row>
    <row r="19774" spans="7:7">
      <c r="G19774" s="812"/>
    </row>
    <row r="19775" spans="7:7">
      <c r="G19775" s="812"/>
    </row>
    <row r="19776" spans="7:7">
      <c r="G19776" s="812"/>
    </row>
    <row r="19777" spans="7:7">
      <c r="G19777" s="812"/>
    </row>
    <row r="19778" spans="7:7">
      <c r="G19778" s="812"/>
    </row>
    <row r="19779" spans="7:7">
      <c r="G19779" s="812"/>
    </row>
    <row r="19780" spans="7:7">
      <c r="G19780" s="812"/>
    </row>
    <row r="19781" spans="7:7">
      <c r="G19781" s="812"/>
    </row>
    <row r="19782" spans="7:7">
      <c r="G19782" s="812"/>
    </row>
    <row r="19783" spans="7:7">
      <c r="G19783" s="812"/>
    </row>
    <row r="19784" spans="7:7">
      <c r="G19784" s="812"/>
    </row>
    <row r="19785" spans="7:7">
      <c r="G19785" s="812"/>
    </row>
    <row r="19786" spans="7:7">
      <c r="G19786" s="812"/>
    </row>
    <row r="19787" spans="7:7">
      <c r="G19787" s="812"/>
    </row>
    <row r="19788" spans="7:7">
      <c r="G19788" s="812"/>
    </row>
    <row r="19789" spans="7:7">
      <c r="G19789" s="812"/>
    </row>
    <row r="19790" spans="7:7">
      <c r="G19790" s="812"/>
    </row>
    <row r="19791" spans="7:7">
      <c r="G19791" s="812"/>
    </row>
    <row r="19792" spans="7:7">
      <c r="G19792" s="812"/>
    </row>
    <row r="19793" spans="7:7">
      <c r="G19793" s="812"/>
    </row>
    <row r="19794" spans="7:7">
      <c r="G19794" s="812"/>
    </row>
    <row r="19795" spans="7:7">
      <c r="G19795" s="812"/>
    </row>
    <row r="19796" spans="7:7">
      <c r="G19796" s="812"/>
    </row>
    <row r="19797" spans="7:7">
      <c r="G19797" s="812"/>
    </row>
    <row r="19798" spans="7:7">
      <c r="G19798" s="812"/>
    </row>
    <row r="19799" spans="7:7">
      <c r="G19799" s="812"/>
    </row>
    <row r="19800" spans="7:7">
      <c r="G19800" s="812"/>
    </row>
    <row r="19801" spans="7:7">
      <c r="G19801" s="812"/>
    </row>
    <row r="19802" spans="7:7">
      <c r="G19802" s="812"/>
    </row>
    <row r="19803" spans="7:7">
      <c r="G19803" s="812"/>
    </row>
    <row r="19804" spans="7:7">
      <c r="G19804" s="812"/>
    </row>
    <row r="19805" spans="7:7">
      <c r="G19805" s="812"/>
    </row>
    <row r="19806" spans="7:7">
      <c r="G19806" s="812"/>
    </row>
    <row r="19807" spans="7:7">
      <c r="G19807" s="812"/>
    </row>
    <row r="19808" spans="7:7">
      <c r="G19808" s="812"/>
    </row>
    <row r="19809" spans="7:7">
      <c r="G19809" s="812"/>
    </row>
    <row r="19810" spans="7:7">
      <c r="G19810" s="812"/>
    </row>
    <row r="19811" spans="7:7">
      <c r="G19811" s="812"/>
    </row>
    <row r="19812" spans="7:7">
      <c r="G19812" s="812"/>
    </row>
    <row r="19813" spans="7:7">
      <c r="G19813" s="812"/>
    </row>
    <row r="19814" spans="7:7">
      <c r="G19814" s="812"/>
    </row>
    <row r="19815" spans="7:7">
      <c r="G19815" s="812"/>
    </row>
    <row r="19816" spans="7:7">
      <c r="G19816" s="812"/>
    </row>
    <row r="19817" spans="7:7">
      <c r="G19817" s="812"/>
    </row>
    <row r="19818" spans="7:7">
      <c r="G19818" s="812"/>
    </row>
    <row r="19819" spans="7:7">
      <c r="G19819" s="812"/>
    </row>
    <row r="19820" spans="7:7">
      <c r="G19820" s="812"/>
    </row>
    <row r="19821" spans="7:7">
      <c r="G19821" s="812"/>
    </row>
    <row r="19822" spans="7:7">
      <c r="G19822" s="812"/>
    </row>
    <row r="19823" spans="7:7">
      <c r="G19823" s="812"/>
    </row>
    <row r="19824" spans="7:7">
      <c r="G19824" s="812"/>
    </row>
    <row r="19825" spans="7:7">
      <c r="G19825" s="812"/>
    </row>
    <row r="19826" spans="7:7">
      <c r="G19826" s="812"/>
    </row>
    <row r="19827" spans="7:7">
      <c r="G19827" s="812"/>
    </row>
    <row r="19828" spans="7:7">
      <c r="G19828" s="812"/>
    </row>
    <row r="19829" spans="7:7">
      <c r="G19829" s="812"/>
    </row>
    <row r="19830" spans="7:7">
      <c r="G19830" s="812"/>
    </row>
    <row r="19831" spans="7:7">
      <c r="G19831" s="812"/>
    </row>
    <row r="19832" spans="7:7">
      <c r="G19832" s="812"/>
    </row>
    <row r="19833" spans="7:7">
      <c r="G19833" s="812"/>
    </row>
    <row r="19834" spans="7:7">
      <c r="G19834" s="812"/>
    </row>
    <row r="19835" spans="7:7">
      <c r="G19835" s="812"/>
    </row>
    <row r="19836" spans="7:7">
      <c r="G19836" s="812"/>
    </row>
    <row r="19837" spans="7:7">
      <c r="G19837" s="812"/>
    </row>
    <row r="19838" spans="7:7">
      <c r="G19838" s="812"/>
    </row>
    <row r="19839" spans="7:7">
      <c r="G19839" s="812"/>
    </row>
    <row r="19840" spans="7:7">
      <c r="G19840" s="812"/>
    </row>
    <row r="19841" spans="7:7">
      <c r="G19841" s="812"/>
    </row>
    <row r="19842" spans="7:7">
      <c r="G19842" s="812"/>
    </row>
    <row r="19843" spans="7:7">
      <c r="G19843" s="812"/>
    </row>
    <row r="19844" spans="7:7">
      <c r="G19844" s="812"/>
    </row>
    <row r="19845" spans="7:7">
      <c r="G19845" s="812"/>
    </row>
    <row r="19846" spans="7:7">
      <c r="G19846" s="812"/>
    </row>
    <row r="19847" spans="7:7">
      <c r="G19847" s="812"/>
    </row>
    <row r="19848" spans="7:7">
      <c r="G19848" s="812"/>
    </row>
    <row r="19849" spans="7:7">
      <c r="G19849" s="812"/>
    </row>
    <row r="19850" spans="7:7">
      <c r="G19850" s="812"/>
    </row>
    <row r="19851" spans="7:7">
      <c r="G19851" s="812"/>
    </row>
    <row r="19852" spans="7:7">
      <c r="G19852" s="812"/>
    </row>
    <row r="19853" spans="7:7">
      <c r="G19853" s="812"/>
    </row>
    <row r="19854" spans="7:7">
      <c r="G19854" s="812"/>
    </row>
    <row r="19855" spans="7:7">
      <c r="G19855" s="812"/>
    </row>
    <row r="19856" spans="7:7">
      <c r="G19856" s="812"/>
    </row>
    <row r="19857" spans="7:7">
      <c r="G19857" s="812"/>
    </row>
    <row r="19858" spans="7:7">
      <c r="G19858" s="812"/>
    </row>
    <row r="19859" spans="7:7">
      <c r="G19859" s="812"/>
    </row>
    <row r="19860" spans="7:7">
      <c r="G19860" s="812"/>
    </row>
    <row r="19861" spans="7:7">
      <c r="G19861" s="812"/>
    </row>
    <row r="19862" spans="7:7">
      <c r="G19862" s="812"/>
    </row>
    <row r="19863" spans="7:7">
      <c r="G19863" s="812"/>
    </row>
    <row r="19864" spans="7:7">
      <c r="G19864" s="812"/>
    </row>
    <row r="19865" spans="7:7">
      <c r="G19865" s="812"/>
    </row>
    <row r="19866" spans="7:7">
      <c r="G19866" s="812"/>
    </row>
    <row r="19867" spans="7:7">
      <c r="G19867" s="812"/>
    </row>
    <row r="19868" spans="7:7">
      <c r="G19868" s="812"/>
    </row>
    <row r="19869" spans="7:7">
      <c r="G19869" s="812"/>
    </row>
    <row r="19870" spans="7:7">
      <c r="G19870" s="812"/>
    </row>
    <row r="19871" spans="7:7">
      <c r="G19871" s="812"/>
    </row>
    <row r="19872" spans="7:7">
      <c r="G19872" s="812"/>
    </row>
    <row r="19873" spans="7:7">
      <c r="G19873" s="812"/>
    </row>
    <row r="19874" spans="7:7">
      <c r="G19874" s="812"/>
    </row>
    <row r="19875" spans="7:7">
      <c r="G19875" s="812"/>
    </row>
    <row r="19876" spans="7:7">
      <c r="G19876" s="812"/>
    </row>
    <row r="19877" spans="7:7">
      <c r="G19877" s="812"/>
    </row>
    <row r="19878" spans="7:7">
      <c r="G19878" s="812"/>
    </row>
    <row r="19879" spans="7:7">
      <c r="G19879" s="812"/>
    </row>
    <row r="19880" spans="7:7">
      <c r="G19880" s="812"/>
    </row>
    <row r="19881" spans="7:7">
      <c r="G19881" s="812"/>
    </row>
    <row r="19882" spans="7:7">
      <c r="G19882" s="812"/>
    </row>
    <row r="19883" spans="7:7">
      <c r="G19883" s="812"/>
    </row>
    <row r="19884" spans="7:7">
      <c r="G19884" s="812"/>
    </row>
    <row r="19885" spans="7:7">
      <c r="G19885" s="812"/>
    </row>
    <row r="19886" spans="7:7">
      <c r="G19886" s="812"/>
    </row>
    <row r="19887" spans="7:7">
      <c r="G19887" s="812"/>
    </row>
    <row r="19888" spans="7:7">
      <c r="G19888" s="812"/>
    </row>
    <row r="19889" spans="7:7">
      <c r="G19889" s="812"/>
    </row>
    <row r="19890" spans="7:7">
      <c r="G19890" s="812"/>
    </row>
    <row r="19891" spans="7:7">
      <c r="G19891" s="812"/>
    </row>
    <row r="19892" spans="7:7">
      <c r="G19892" s="812"/>
    </row>
    <row r="19893" spans="7:7">
      <c r="G19893" s="812"/>
    </row>
    <row r="19894" spans="7:7">
      <c r="G19894" s="812"/>
    </row>
    <row r="19895" spans="7:7">
      <c r="G19895" s="812"/>
    </row>
    <row r="19896" spans="7:7">
      <c r="G19896" s="812"/>
    </row>
    <row r="19897" spans="7:7">
      <c r="G19897" s="812"/>
    </row>
    <row r="19898" spans="7:7">
      <c r="G19898" s="812"/>
    </row>
    <row r="19899" spans="7:7">
      <c r="G19899" s="812"/>
    </row>
    <row r="19900" spans="7:7">
      <c r="G19900" s="812"/>
    </row>
    <row r="19901" spans="7:7">
      <c r="G19901" s="812"/>
    </row>
    <row r="19902" spans="7:7">
      <c r="G19902" s="812"/>
    </row>
    <row r="19903" spans="7:7">
      <c r="G19903" s="812"/>
    </row>
    <row r="19904" spans="7:7">
      <c r="G19904" s="812"/>
    </row>
    <row r="19905" spans="7:7">
      <c r="G19905" s="812"/>
    </row>
    <row r="19906" spans="7:7">
      <c r="G19906" s="812"/>
    </row>
    <row r="19907" spans="7:7">
      <c r="G19907" s="812"/>
    </row>
    <row r="19908" spans="7:7">
      <c r="G19908" s="812"/>
    </row>
    <row r="19909" spans="7:7">
      <c r="G19909" s="812"/>
    </row>
    <row r="19910" spans="7:7">
      <c r="G19910" s="812"/>
    </row>
    <row r="19911" spans="7:7">
      <c r="G19911" s="812"/>
    </row>
    <row r="19912" spans="7:7">
      <c r="G19912" s="812"/>
    </row>
    <row r="19913" spans="7:7">
      <c r="G19913" s="812"/>
    </row>
    <row r="19914" spans="7:7">
      <c r="G19914" s="812"/>
    </row>
    <row r="19915" spans="7:7">
      <c r="G19915" s="812"/>
    </row>
    <row r="19916" spans="7:7">
      <c r="G19916" s="812"/>
    </row>
    <row r="19917" spans="7:7">
      <c r="G19917" s="812"/>
    </row>
    <row r="19918" spans="7:7">
      <c r="G19918" s="812"/>
    </row>
    <row r="19919" spans="7:7">
      <c r="G19919" s="812"/>
    </row>
    <row r="19920" spans="7:7">
      <c r="G19920" s="812"/>
    </row>
    <row r="19921" spans="7:7">
      <c r="G19921" s="812"/>
    </row>
    <row r="19922" spans="7:7">
      <c r="G19922" s="812"/>
    </row>
    <row r="19923" spans="7:7">
      <c r="G19923" s="812"/>
    </row>
    <row r="19924" spans="7:7">
      <c r="G19924" s="812"/>
    </row>
    <row r="19925" spans="7:7">
      <c r="G19925" s="812"/>
    </row>
    <row r="19926" spans="7:7">
      <c r="G19926" s="812"/>
    </row>
    <row r="19927" spans="7:7">
      <c r="G19927" s="812"/>
    </row>
    <row r="19928" spans="7:7">
      <c r="G19928" s="812"/>
    </row>
    <row r="19929" spans="7:7">
      <c r="G19929" s="812"/>
    </row>
    <row r="19930" spans="7:7">
      <c r="G19930" s="812"/>
    </row>
    <row r="19931" spans="7:7">
      <c r="G19931" s="812"/>
    </row>
    <row r="19932" spans="7:7">
      <c r="G19932" s="812"/>
    </row>
    <row r="19933" spans="7:7">
      <c r="G19933" s="812"/>
    </row>
    <row r="19934" spans="7:7">
      <c r="G19934" s="812"/>
    </row>
    <row r="19935" spans="7:7">
      <c r="G19935" s="812"/>
    </row>
    <row r="19936" spans="7:7">
      <c r="G19936" s="812"/>
    </row>
    <row r="19937" spans="7:7">
      <c r="G19937" s="812"/>
    </row>
    <row r="19938" spans="7:7">
      <c r="G19938" s="812"/>
    </row>
    <row r="19939" spans="7:7">
      <c r="G19939" s="812"/>
    </row>
    <row r="19940" spans="7:7">
      <c r="G19940" s="812"/>
    </row>
    <row r="19941" spans="7:7">
      <c r="G19941" s="812"/>
    </row>
    <row r="19942" spans="7:7">
      <c r="G19942" s="812"/>
    </row>
    <row r="19943" spans="7:7">
      <c r="G19943" s="812"/>
    </row>
    <row r="19944" spans="7:7">
      <c r="G19944" s="812"/>
    </row>
    <row r="19945" spans="7:7">
      <c r="G19945" s="812"/>
    </row>
    <row r="19946" spans="7:7">
      <c r="G19946" s="812"/>
    </row>
    <row r="19947" spans="7:7">
      <c r="G19947" s="812"/>
    </row>
    <row r="19948" spans="7:7">
      <c r="G19948" s="812"/>
    </row>
    <row r="19949" spans="7:7">
      <c r="G19949" s="812"/>
    </row>
    <row r="19950" spans="7:7">
      <c r="G19950" s="812"/>
    </row>
    <row r="19951" spans="7:7">
      <c r="G19951" s="812"/>
    </row>
    <row r="19952" spans="7:7">
      <c r="G19952" s="812"/>
    </row>
    <row r="19953" spans="7:7">
      <c r="G19953" s="812"/>
    </row>
    <row r="19954" spans="7:7">
      <c r="G19954" s="812"/>
    </row>
    <row r="19955" spans="7:7">
      <c r="G19955" s="812"/>
    </row>
    <row r="19956" spans="7:7">
      <c r="G19956" s="812"/>
    </row>
    <row r="19957" spans="7:7">
      <c r="G19957" s="812"/>
    </row>
    <row r="19958" spans="7:7">
      <c r="G19958" s="812"/>
    </row>
    <row r="19959" spans="7:7">
      <c r="G19959" s="812"/>
    </row>
    <row r="19960" spans="7:7">
      <c r="G19960" s="812"/>
    </row>
    <row r="19961" spans="7:7">
      <c r="G19961" s="812"/>
    </row>
    <row r="19962" spans="7:7">
      <c r="G19962" s="812"/>
    </row>
    <row r="19963" spans="7:7">
      <c r="G19963" s="812"/>
    </row>
    <row r="19964" spans="7:7">
      <c r="G19964" s="812"/>
    </row>
    <row r="19965" spans="7:7">
      <c r="G19965" s="812"/>
    </row>
    <row r="19966" spans="7:7">
      <c r="G19966" s="812"/>
    </row>
    <row r="19967" spans="7:7">
      <c r="G19967" s="812"/>
    </row>
    <row r="19968" spans="7:7">
      <c r="G19968" s="812"/>
    </row>
    <row r="19969" spans="7:7">
      <c r="G19969" s="812"/>
    </row>
    <row r="19970" spans="7:7">
      <c r="G19970" s="812"/>
    </row>
    <row r="19971" spans="7:7">
      <c r="G19971" s="812"/>
    </row>
    <row r="19972" spans="7:7">
      <c r="G19972" s="812"/>
    </row>
    <row r="19973" spans="7:7">
      <c r="G19973" s="812"/>
    </row>
    <row r="19974" spans="7:7">
      <c r="G19974" s="812"/>
    </row>
    <row r="19975" spans="7:7">
      <c r="G19975" s="812"/>
    </row>
    <row r="19976" spans="7:7">
      <c r="G19976" s="812"/>
    </row>
    <row r="19977" spans="7:7">
      <c r="G19977" s="812"/>
    </row>
    <row r="19978" spans="7:7">
      <c r="G19978" s="812"/>
    </row>
    <row r="19979" spans="7:7">
      <c r="G19979" s="812"/>
    </row>
    <row r="19980" spans="7:7">
      <c r="G19980" s="812"/>
    </row>
    <row r="19981" spans="7:7">
      <c r="G19981" s="812"/>
    </row>
    <row r="19982" spans="7:7">
      <c r="G19982" s="812"/>
    </row>
    <row r="19983" spans="7:7">
      <c r="G19983" s="812"/>
    </row>
    <row r="19984" spans="7:7">
      <c r="G19984" s="812"/>
    </row>
    <row r="19985" spans="7:7">
      <c r="G19985" s="812"/>
    </row>
    <row r="19986" spans="7:7">
      <c r="G19986" s="812"/>
    </row>
    <row r="19987" spans="7:7">
      <c r="G19987" s="812"/>
    </row>
    <row r="19988" spans="7:7">
      <c r="G19988" s="812"/>
    </row>
    <row r="19989" spans="7:7">
      <c r="G19989" s="812"/>
    </row>
    <row r="19990" spans="7:7">
      <c r="G19990" s="812"/>
    </row>
    <row r="19991" spans="7:7">
      <c r="G19991" s="812"/>
    </row>
    <row r="19992" spans="7:7">
      <c r="G19992" s="812"/>
    </row>
    <row r="19993" spans="7:7">
      <c r="G19993" s="812"/>
    </row>
    <row r="19994" spans="7:7">
      <c r="G19994" s="812"/>
    </row>
    <row r="19995" spans="7:7">
      <c r="G19995" s="812"/>
    </row>
    <row r="19996" spans="7:7">
      <c r="G19996" s="812"/>
    </row>
    <row r="19997" spans="7:7">
      <c r="G19997" s="812"/>
    </row>
    <row r="19998" spans="7:7">
      <c r="G19998" s="812"/>
    </row>
    <row r="19999" spans="7:7">
      <c r="G19999" s="812"/>
    </row>
    <row r="20000" spans="7:7">
      <c r="G20000" s="812"/>
    </row>
    <row r="20001" spans="7:7">
      <c r="G20001" s="812"/>
    </row>
    <row r="20002" spans="7:7">
      <c r="G20002" s="812"/>
    </row>
    <row r="20003" spans="7:7">
      <c r="G20003" s="812"/>
    </row>
    <row r="20004" spans="7:7">
      <c r="G20004" s="812"/>
    </row>
    <row r="20005" spans="7:7">
      <c r="G20005" s="812"/>
    </row>
    <row r="20006" spans="7:7">
      <c r="G20006" s="812"/>
    </row>
    <row r="20007" spans="7:7">
      <c r="G20007" s="812"/>
    </row>
    <row r="20008" spans="7:7">
      <c r="G20008" s="812"/>
    </row>
    <row r="20009" spans="7:7">
      <c r="G20009" s="812"/>
    </row>
    <row r="20010" spans="7:7">
      <c r="G20010" s="812"/>
    </row>
    <row r="20011" spans="7:7">
      <c r="G20011" s="812"/>
    </row>
    <row r="20012" spans="7:7">
      <c r="G20012" s="812"/>
    </row>
    <row r="20013" spans="7:7">
      <c r="G20013" s="812"/>
    </row>
    <row r="20014" spans="7:7">
      <c r="G20014" s="812"/>
    </row>
    <row r="20015" spans="7:7">
      <c r="G20015" s="812"/>
    </row>
    <row r="20016" spans="7:7">
      <c r="G20016" s="812"/>
    </row>
    <row r="20017" spans="7:7">
      <c r="G20017" s="812"/>
    </row>
    <row r="20018" spans="7:7">
      <c r="G20018" s="812"/>
    </row>
    <row r="20019" spans="7:7">
      <c r="G20019" s="812"/>
    </row>
    <row r="20020" spans="7:7">
      <c r="G20020" s="812"/>
    </row>
    <row r="20021" spans="7:7">
      <c r="G20021" s="812"/>
    </row>
    <row r="20022" spans="7:7">
      <c r="G20022" s="812"/>
    </row>
    <row r="20023" spans="7:7">
      <c r="G20023" s="812"/>
    </row>
    <row r="20024" spans="7:7">
      <c r="G20024" s="812"/>
    </row>
    <row r="20025" spans="7:7">
      <c r="G20025" s="812"/>
    </row>
    <row r="20026" spans="7:7">
      <c r="G20026" s="812"/>
    </row>
    <row r="20027" spans="7:7">
      <c r="G20027" s="812"/>
    </row>
    <row r="20028" spans="7:7">
      <c r="G20028" s="812"/>
    </row>
    <row r="20029" spans="7:7">
      <c r="G20029" s="812"/>
    </row>
    <row r="20030" spans="7:7">
      <c r="G20030" s="812"/>
    </row>
    <row r="20031" spans="7:7">
      <c r="G20031" s="812"/>
    </row>
    <row r="20032" spans="7:7">
      <c r="G20032" s="812"/>
    </row>
    <row r="20033" spans="7:7">
      <c r="G20033" s="812"/>
    </row>
    <row r="20034" spans="7:7">
      <c r="G20034" s="812"/>
    </row>
    <row r="20035" spans="7:7">
      <c r="G20035" s="812"/>
    </row>
    <row r="20036" spans="7:7">
      <c r="G20036" s="812"/>
    </row>
    <row r="20037" spans="7:7">
      <c r="G20037" s="812"/>
    </row>
    <row r="20038" spans="7:7">
      <c r="G20038" s="812"/>
    </row>
    <row r="20039" spans="7:7">
      <c r="G20039" s="812"/>
    </row>
    <row r="20040" spans="7:7">
      <c r="G20040" s="812"/>
    </row>
    <row r="20041" spans="7:7">
      <c r="G20041" s="812"/>
    </row>
    <row r="20042" spans="7:7">
      <c r="G20042" s="812"/>
    </row>
    <row r="20043" spans="7:7">
      <c r="G20043" s="812"/>
    </row>
    <row r="20044" spans="7:7">
      <c r="G20044" s="812"/>
    </row>
    <row r="20045" spans="7:7">
      <c r="G20045" s="812"/>
    </row>
    <row r="20046" spans="7:7">
      <c r="G20046" s="812"/>
    </row>
    <row r="20047" spans="7:7">
      <c r="G20047" s="812"/>
    </row>
    <row r="20048" spans="7:7">
      <c r="G20048" s="812"/>
    </row>
    <row r="20049" spans="7:7">
      <c r="G20049" s="812"/>
    </row>
    <row r="20050" spans="7:7">
      <c r="G20050" s="812"/>
    </row>
    <row r="20051" spans="7:7">
      <c r="G20051" s="812"/>
    </row>
    <row r="20052" spans="7:7">
      <c r="G20052" s="812"/>
    </row>
    <row r="20053" spans="7:7">
      <c r="G20053" s="812"/>
    </row>
    <row r="20054" spans="7:7">
      <c r="G20054" s="812"/>
    </row>
    <row r="20055" spans="7:7">
      <c r="G20055" s="812"/>
    </row>
    <row r="20056" spans="7:7">
      <c r="G20056" s="812"/>
    </row>
    <row r="20057" spans="7:7">
      <c r="G20057" s="812"/>
    </row>
    <row r="20058" spans="7:7">
      <c r="G20058" s="812"/>
    </row>
    <row r="20059" spans="7:7">
      <c r="G20059" s="812"/>
    </row>
    <row r="20060" spans="7:7">
      <c r="G20060" s="812"/>
    </row>
    <row r="20061" spans="7:7">
      <c r="G20061" s="812"/>
    </row>
    <row r="20062" spans="7:7">
      <c r="G20062" s="812"/>
    </row>
    <row r="20063" spans="7:7">
      <c r="G20063" s="812"/>
    </row>
    <row r="20064" spans="7:7">
      <c r="G20064" s="812"/>
    </row>
    <row r="20065" spans="7:7">
      <c r="G20065" s="812"/>
    </row>
    <row r="20066" spans="7:7">
      <c r="G20066" s="812"/>
    </row>
    <row r="20067" spans="7:7">
      <c r="G20067" s="812"/>
    </row>
    <row r="20068" spans="7:7">
      <c r="G20068" s="812"/>
    </row>
    <row r="20069" spans="7:7">
      <c r="G20069" s="812"/>
    </row>
    <row r="20070" spans="7:7">
      <c r="G20070" s="812"/>
    </row>
    <row r="20071" spans="7:7">
      <c r="G20071" s="812"/>
    </row>
    <row r="20072" spans="7:7">
      <c r="G20072" s="812"/>
    </row>
    <row r="20073" spans="7:7">
      <c r="G20073" s="812"/>
    </row>
    <row r="20074" spans="7:7">
      <c r="G20074" s="812"/>
    </row>
    <row r="20075" spans="7:7">
      <c r="G20075" s="812"/>
    </row>
    <row r="20076" spans="7:7">
      <c r="G20076" s="812"/>
    </row>
    <row r="20077" spans="7:7">
      <c r="G20077" s="812"/>
    </row>
    <row r="20078" spans="7:7">
      <c r="G20078" s="812"/>
    </row>
    <row r="20079" spans="7:7">
      <c r="G20079" s="812"/>
    </row>
    <row r="20080" spans="7:7">
      <c r="G20080" s="812"/>
    </row>
    <row r="20081" spans="7:7">
      <c r="G20081" s="812"/>
    </row>
    <row r="20082" spans="7:7">
      <c r="G20082" s="812"/>
    </row>
    <row r="20083" spans="7:7">
      <c r="G20083" s="812"/>
    </row>
    <row r="20084" spans="7:7">
      <c r="G20084" s="812"/>
    </row>
    <row r="20085" spans="7:7">
      <c r="G20085" s="812"/>
    </row>
    <row r="20086" spans="7:7">
      <c r="G20086" s="812"/>
    </row>
    <row r="20087" spans="7:7">
      <c r="G20087" s="812"/>
    </row>
    <row r="20088" spans="7:7">
      <c r="G20088" s="812"/>
    </row>
    <row r="20089" spans="7:7">
      <c r="G20089" s="812"/>
    </row>
    <row r="20090" spans="7:7">
      <c r="G20090" s="812"/>
    </row>
    <row r="20091" spans="7:7">
      <c r="G20091" s="812"/>
    </row>
    <row r="20092" spans="7:7">
      <c r="G20092" s="812"/>
    </row>
    <row r="20093" spans="7:7">
      <c r="G20093" s="812"/>
    </row>
    <row r="20094" spans="7:7">
      <c r="G20094" s="812"/>
    </row>
    <row r="20095" spans="7:7">
      <c r="G20095" s="812"/>
    </row>
    <row r="20096" spans="7:7">
      <c r="G20096" s="812"/>
    </row>
    <row r="20097" spans="7:7">
      <c r="G20097" s="812"/>
    </row>
    <row r="20098" spans="7:7">
      <c r="G20098" s="812"/>
    </row>
    <row r="20099" spans="7:7">
      <c r="G20099" s="812"/>
    </row>
    <row r="20100" spans="7:7">
      <c r="G20100" s="812"/>
    </row>
    <row r="20101" spans="7:7">
      <c r="G20101" s="812"/>
    </row>
    <row r="20102" spans="7:7">
      <c r="G20102" s="812"/>
    </row>
    <row r="20103" spans="7:7">
      <c r="G20103" s="812"/>
    </row>
    <row r="20104" spans="7:7">
      <c r="G20104" s="812"/>
    </row>
    <row r="20105" spans="7:7">
      <c r="G20105" s="812"/>
    </row>
    <row r="20106" spans="7:7">
      <c r="G20106" s="812"/>
    </row>
    <row r="20107" spans="7:7">
      <c r="G20107" s="812"/>
    </row>
    <row r="20108" spans="7:7">
      <c r="G20108" s="812"/>
    </row>
    <row r="20109" spans="7:7">
      <c r="G20109" s="812"/>
    </row>
    <row r="20110" spans="7:7">
      <c r="G20110" s="812"/>
    </row>
    <row r="20111" spans="7:7">
      <c r="G20111" s="812"/>
    </row>
    <row r="20112" spans="7:7">
      <c r="G20112" s="812"/>
    </row>
    <row r="20113" spans="7:7">
      <c r="G20113" s="812"/>
    </row>
    <row r="20114" spans="7:7">
      <c r="G20114" s="812"/>
    </row>
    <row r="20115" spans="7:7">
      <c r="G20115" s="812"/>
    </row>
    <row r="20116" spans="7:7">
      <c r="G20116" s="812"/>
    </row>
    <row r="20117" spans="7:7">
      <c r="G20117" s="812"/>
    </row>
    <row r="20118" spans="7:7">
      <c r="G20118" s="812"/>
    </row>
    <row r="20119" spans="7:7">
      <c r="G20119" s="812"/>
    </row>
    <row r="20120" spans="7:7">
      <c r="G20120" s="812"/>
    </row>
    <row r="20121" spans="7:7">
      <c r="G20121" s="812"/>
    </row>
    <row r="20122" spans="7:7">
      <c r="G20122" s="812"/>
    </row>
    <row r="20123" spans="7:7">
      <c r="G20123" s="812"/>
    </row>
    <row r="20124" spans="7:7">
      <c r="G20124" s="812"/>
    </row>
    <row r="20125" spans="7:7">
      <c r="G20125" s="812"/>
    </row>
    <row r="20126" spans="7:7">
      <c r="G20126" s="812"/>
    </row>
    <row r="20127" spans="7:7">
      <c r="G20127" s="812"/>
    </row>
    <row r="20128" spans="7:7">
      <c r="G20128" s="812"/>
    </row>
    <row r="20129" spans="7:7">
      <c r="G20129" s="812"/>
    </row>
    <row r="20130" spans="7:7">
      <c r="G20130" s="812"/>
    </row>
    <row r="20131" spans="7:7">
      <c r="G20131" s="812"/>
    </row>
    <row r="20132" spans="7:7">
      <c r="G20132" s="812"/>
    </row>
    <row r="20133" spans="7:7">
      <c r="G20133" s="812"/>
    </row>
    <row r="20134" spans="7:7">
      <c r="G20134" s="812"/>
    </row>
    <row r="20135" spans="7:7">
      <c r="G20135" s="812"/>
    </row>
    <row r="20136" spans="7:7">
      <c r="G20136" s="812"/>
    </row>
    <row r="20137" spans="7:7">
      <c r="G20137" s="812"/>
    </row>
    <row r="20138" spans="7:7">
      <c r="G20138" s="812"/>
    </row>
    <row r="20139" spans="7:7">
      <c r="G20139" s="812"/>
    </row>
    <row r="20140" spans="7:7">
      <c r="G20140" s="812"/>
    </row>
    <row r="20141" spans="7:7">
      <c r="G20141" s="812"/>
    </row>
    <row r="20142" spans="7:7">
      <c r="G20142" s="812"/>
    </row>
    <row r="20143" spans="7:7">
      <c r="G20143" s="812"/>
    </row>
    <row r="20144" spans="7:7">
      <c r="G20144" s="812"/>
    </row>
    <row r="20145" spans="7:7">
      <c r="G20145" s="812"/>
    </row>
    <row r="20146" spans="7:7">
      <c r="G20146" s="812"/>
    </row>
    <row r="20147" spans="7:7">
      <c r="G20147" s="812"/>
    </row>
    <row r="20148" spans="7:7">
      <c r="G20148" s="812"/>
    </row>
    <row r="20149" spans="7:7">
      <c r="G20149" s="812"/>
    </row>
    <row r="20150" spans="7:7">
      <c r="G20150" s="812"/>
    </row>
    <row r="20151" spans="7:7">
      <c r="G20151" s="812"/>
    </row>
    <row r="20152" spans="7:7">
      <c r="G20152" s="812"/>
    </row>
    <row r="20153" spans="7:7">
      <c r="G20153" s="812"/>
    </row>
    <row r="20154" spans="7:7">
      <c r="G20154" s="812"/>
    </row>
    <row r="20155" spans="7:7">
      <c r="G20155" s="812"/>
    </row>
    <row r="20156" spans="7:7">
      <c r="G20156" s="812"/>
    </row>
    <row r="20157" spans="7:7">
      <c r="G20157" s="812"/>
    </row>
    <row r="20158" spans="7:7">
      <c r="G20158" s="812"/>
    </row>
    <row r="20159" spans="7:7">
      <c r="G20159" s="812"/>
    </row>
    <row r="20160" spans="7:7">
      <c r="G20160" s="812"/>
    </row>
    <row r="20161" spans="7:7">
      <c r="G20161" s="812"/>
    </row>
    <row r="20162" spans="7:7">
      <c r="G20162" s="812"/>
    </row>
    <row r="20163" spans="7:7">
      <c r="G20163" s="812"/>
    </row>
    <row r="20164" spans="7:7">
      <c r="G20164" s="812"/>
    </row>
    <row r="20165" spans="7:7">
      <c r="G20165" s="812"/>
    </row>
    <row r="20166" spans="7:7">
      <c r="G20166" s="812"/>
    </row>
    <row r="20167" spans="7:7">
      <c r="G20167" s="812"/>
    </row>
    <row r="20168" spans="7:7">
      <c r="G20168" s="812"/>
    </row>
    <row r="20169" spans="7:7">
      <c r="G20169" s="812"/>
    </row>
    <row r="20170" spans="7:7">
      <c r="G20170" s="812"/>
    </row>
    <row r="20171" spans="7:7">
      <c r="G20171" s="812"/>
    </row>
    <row r="20172" spans="7:7">
      <c r="G20172" s="812"/>
    </row>
    <row r="20173" spans="7:7">
      <c r="G20173" s="812"/>
    </row>
    <row r="20174" spans="7:7">
      <c r="G20174" s="812"/>
    </row>
    <row r="20175" spans="7:7">
      <c r="G20175" s="812"/>
    </row>
    <row r="20176" spans="7:7">
      <c r="G20176" s="812"/>
    </row>
    <row r="20177" spans="7:7">
      <c r="G20177" s="812"/>
    </row>
    <row r="20178" spans="7:7">
      <c r="G20178" s="812"/>
    </row>
    <row r="20179" spans="7:7">
      <c r="G20179" s="812"/>
    </row>
    <row r="20180" spans="7:7">
      <c r="G20180" s="812"/>
    </row>
    <row r="20181" spans="7:7">
      <c r="G20181" s="812"/>
    </row>
    <row r="20182" spans="7:7">
      <c r="G20182" s="812"/>
    </row>
    <row r="20183" spans="7:7">
      <c r="G20183" s="812"/>
    </row>
    <row r="20184" spans="7:7">
      <c r="G20184" s="812"/>
    </row>
    <row r="20185" spans="7:7">
      <c r="G20185" s="812"/>
    </row>
    <row r="20186" spans="7:7">
      <c r="G20186" s="812"/>
    </row>
    <row r="20187" spans="7:7">
      <c r="G20187" s="812"/>
    </row>
    <row r="20188" spans="7:7">
      <c r="G20188" s="812"/>
    </row>
    <row r="20189" spans="7:7">
      <c r="G20189" s="812"/>
    </row>
    <row r="20190" spans="7:7">
      <c r="G20190" s="812"/>
    </row>
    <row r="20191" spans="7:7">
      <c r="G20191" s="812"/>
    </row>
    <row r="20192" spans="7:7">
      <c r="G20192" s="812"/>
    </row>
    <row r="20193" spans="7:7">
      <c r="G20193" s="812"/>
    </row>
    <row r="20194" spans="7:7">
      <c r="G20194" s="812"/>
    </row>
    <row r="20195" spans="7:7">
      <c r="G20195" s="812"/>
    </row>
    <row r="20196" spans="7:7">
      <c r="G20196" s="812"/>
    </row>
    <row r="20197" spans="7:7">
      <c r="G20197" s="812"/>
    </row>
    <row r="20198" spans="7:7">
      <c r="G20198" s="812"/>
    </row>
    <row r="20199" spans="7:7">
      <c r="G20199" s="812"/>
    </row>
    <row r="20200" spans="7:7">
      <c r="G20200" s="812"/>
    </row>
    <row r="20201" spans="7:7">
      <c r="G20201" s="812"/>
    </row>
    <row r="20202" spans="7:7">
      <c r="G20202" s="812"/>
    </row>
    <row r="20203" spans="7:7">
      <c r="G20203" s="812"/>
    </row>
    <row r="20204" spans="7:7">
      <c r="G20204" s="812"/>
    </row>
    <row r="20205" spans="7:7">
      <c r="G20205" s="812"/>
    </row>
    <row r="20206" spans="7:7">
      <c r="G20206" s="812"/>
    </row>
    <row r="20207" spans="7:7">
      <c r="G20207" s="812"/>
    </row>
    <row r="20208" spans="7:7">
      <c r="G20208" s="812"/>
    </row>
    <row r="20209" spans="7:7">
      <c r="G20209" s="812"/>
    </row>
    <row r="20210" spans="7:7">
      <c r="G20210" s="812"/>
    </row>
    <row r="20211" spans="7:7">
      <c r="G20211" s="812"/>
    </row>
    <row r="20212" spans="7:7">
      <c r="G20212" s="812"/>
    </row>
    <row r="20213" spans="7:7">
      <c r="G20213" s="812"/>
    </row>
    <row r="20214" spans="7:7">
      <c r="G20214" s="812"/>
    </row>
    <row r="20215" spans="7:7">
      <c r="G20215" s="812"/>
    </row>
    <row r="20216" spans="7:7">
      <c r="G20216" s="812"/>
    </row>
    <row r="20217" spans="7:7">
      <c r="G20217" s="812"/>
    </row>
    <row r="20218" spans="7:7">
      <c r="G20218" s="812"/>
    </row>
    <row r="20219" spans="7:7">
      <c r="G20219" s="812"/>
    </row>
    <row r="20220" spans="7:7">
      <c r="G20220" s="812"/>
    </row>
    <row r="20221" spans="7:7">
      <c r="G20221" s="812"/>
    </row>
    <row r="20222" spans="7:7">
      <c r="G20222" s="812"/>
    </row>
    <row r="20223" spans="7:7">
      <c r="G20223" s="812"/>
    </row>
    <row r="20224" spans="7:7">
      <c r="G20224" s="812"/>
    </row>
    <row r="20225" spans="7:7">
      <c r="G20225" s="812"/>
    </row>
    <row r="20226" spans="7:7">
      <c r="G20226" s="812"/>
    </row>
    <row r="20227" spans="7:7">
      <c r="G20227" s="812"/>
    </row>
    <row r="20228" spans="7:7">
      <c r="G20228" s="812"/>
    </row>
    <row r="20229" spans="7:7">
      <c r="G20229" s="812"/>
    </row>
    <row r="20230" spans="7:7">
      <c r="G20230" s="812"/>
    </row>
    <row r="20231" spans="7:7">
      <c r="G20231" s="812"/>
    </row>
    <row r="20232" spans="7:7">
      <c r="G20232" s="812"/>
    </row>
    <row r="20233" spans="7:7">
      <c r="G20233" s="812"/>
    </row>
    <row r="20234" spans="7:7">
      <c r="G20234" s="812"/>
    </row>
    <row r="20235" spans="7:7">
      <c r="G20235" s="812"/>
    </row>
    <row r="20236" spans="7:7">
      <c r="G20236" s="812"/>
    </row>
    <row r="20237" spans="7:7">
      <c r="G20237" s="812"/>
    </row>
    <row r="20238" spans="7:7">
      <c r="G20238" s="812"/>
    </row>
    <row r="20239" spans="7:7">
      <c r="G20239" s="812"/>
    </row>
    <row r="20240" spans="7:7">
      <c r="G20240" s="812"/>
    </row>
    <row r="20241" spans="7:7">
      <c r="G20241" s="812"/>
    </row>
    <row r="20242" spans="7:7">
      <c r="G20242" s="812"/>
    </row>
    <row r="20243" spans="7:7">
      <c r="G20243" s="812"/>
    </row>
    <row r="20244" spans="7:7">
      <c r="G20244" s="812"/>
    </row>
    <row r="20245" spans="7:7">
      <c r="G20245" s="812"/>
    </row>
    <row r="20246" spans="7:7">
      <c r="G20246" s="812"/>
    </row>
    <row r="20247" spans="7:7">
      <c r="G20247" s="812"/>
    </row>
    <row r="20248" spans="7:7">
      <c r="G20248" s="812"/>
    </row>
    <row r="20249" spans="7:7">
      <c r="G20249" s="812"/>
    </row>
    <row r="20250" spans="7:7">
      <c r="G20250" s="812"/>
    </row>
    <row r="20251" spans="7:7">
      <c r="G20251" s="812"/>
    </row>
    <row r="20252" spans="7:7">
      <c r="G20252" s="812"/>
    </row>
    <row r="20253" spans="7:7">
      <c r="G20253" s="812"/>
    </row>
    <row r="20254" spans="7:7">
      <c r="G20254" s="812"/>
    </row>
    <row r="20255" spans="7:7">
      <c r="G20255" s="812"/>
    </row>
    <row r="20256" spans="7:7">
      <c r="G20256" s="812"/>
    </row>
    <row r="20257" spans="7:7">
      <c r="G20257" s="812"/>
    </row>
    <row r="20258" spans="7:7">
      <c r="G20258" s="812"/>
    </row>
    <row r="20259" spans="7:7">
      <c r="G20259" s="812"/>
    </row>
    <row r="20260" spans="7:7">
      <c r="G20260" s="812"/>
    </row>
    <row r="20261" spans="7:7">
      <c r="G20261" s="812"/>
    </row>
    <row r="20262" spans="7:7">
      <c r="G20262" s="812"/>
    </row>
    <row r="20263" spans="7:7">
      <c r="G20263" s="812"/>
    </row>
    <row r="20264" spans="7:7">
      <c r="G20264" s="812"/>
    </row>
    <row r="20265" spans="7:7">
      <c r="G20265" s="812"/>
    </row>
    <row r="20266" spans="7:7">
      <c r="G20266" s="812"/>
    </row>
    <row r="20267" spans="7:7">
      <c r="G20267" s="812"/>
    </row>
    <row r="20268" spans="7:7">
      <c r="G20268" s="812"/>
    </row>
    <row r="20269" spans="7:7">
      <c r="G20269" s="812"/>
    </row>
    <row r="20270" spans="7:7">
      <c r="G20270" s="812"/>
    </row>
    <row r="20271" spans="7:7">
      <c r="G20271" s="812"/>
    </row>
    <row r="20272" spans="7:7">
      <c r="G20272" s="812"/>
    </row>
    <row r="20273" spans="7:7">
      <c r="G20273" s="812"/>
    </row>
    <row r="20274" spans="7:7">
      <c r="G20274" s="812"/>
    </row>
    <row r="20275" spans="7:7">
      <c r="G20275" s="812"/>
    </row>
    <row r="20276" spans="7:7">
      <c r="G20276" s="812"/>
    </row>
    <row r="20277" spans="7:7">
      <c r="G20277" s="812"/>
    </row>
    <row r="20278" spans="7:7">
      <c r="G20278" s="812"/>
    </row>
    <row r="20279" spans="7:7">
      <c r="G20279" s="812"/>
    </row>
    <row r="20280" spans="7:7">
      <c r="G20280" s="812"/>
    </row>
    <row r="20281" spans="7:7">
      <c r="G20281" s="812"/>
    </row>
    <row r="20282" spans="7:7">
      <c r="G20282" s="812"/>
    </row>
    <row r="20283" spans="7:7">
      <c r="G20283" s="812"/>
    </row>
    <row r="20284" spans="7:7">
      <c r="G20284" s="812"/>
    </row>
    <row r="20285" spans="7:7">
      <c r="G20285" s="812"/>
    </row>
    <row r="20286" spans="7:7">
      <c r="G20286" s="812"/>
    </row>
    <row r="20287" spans="7:7">
      <c r="G20287" s="812"/>
    </row>
    <row r="20288" spans="7:7">
      <c r="G20288" s="812"/>
    </row>
    <row r="20289" spans="7:7">
      <c r="G20289" s="812"/>
    </row>
    <row r="20290" spans="7:7">
      <c r="G20290" s="812"/>
    </row>
    <row r="20291" spans="7:7">
      <c r="G20291" s="812"/>
    </row>
    <row r="20292" spans="7:7">
      <c r="G20292" s="812"/>
    </row>
    <row r="20293" spans="7:7">
      <c r="G20293" s="812"/>
    </row>
    <row r="20294" spans="7:7">
      <c r="G20294" s="812"/>
    </row>
    <row r="20295" spans="7:7">
      <c r="G20295" s="812"/>
    </row>
    <row r="20296" spans="7:7">
      <c r="G20296" s="812"/>
    </row>
    <row r="20297" spans="7:7">
      <c r="G20297" s="812"/>
    </row>
    <row r="20298" spans="7:7">
      <c r="G20298" s="812"/>
    </row>
    <row r="20299" spans="7:7">
      <c r="G20299" s="812"/>
    </row>
    <row r="20300" spans="7:7">
      <c r="G20300" s="812"/>
    </row>
    <row r="20301" spans="7:7">
      <c r="G20301" s="812"/>
    </row>
    <row r="20302" spans="7:7">
      <c r="G20302" s="812"/>
    </row>
    <row r="20303" spans="7:7">
      <c r="G20303" s="812"/>
    </row>
    <row r="20304" spans="7:7">
      <c r="G20304" s="812"/>
    </row>
    <row r="20305" spans="7:7">
      <c r="G20305" s="812"/>
    </row>
    <row r="20306" spans="7:7">
      <c r="G20306" s="812"/>
    </row>
    <row r="20307" spans="7:7">
      <c r="G20307" s="812"/>
    </row>
    <row r="20308" spans="7:7">
      <c r="G20308" s="812"/>
    </row>
    <row r="20309" spans="7:7">
      <c r="G20309" s="812"/>
    </row>
    <row r="20310" spans="7:7">
      <c r="G20310" s="812"/>
    </row>
    <row r="20311" spans="7:7">
      <c r="G20311" s="812"/>
    </row>
    <row r="20312" spans="7:7">
      <c r="G20312" s="812"/>
    </row>
    <row r="20313" spans="7:7">
      <c r="G20313" s="812"/>
    </row>
    <row r="20314" spans="7:7">
      <c r="G20314" s="812"/>
    </row>
    <row r="20315" spans="7:7">
      <c r="G20315" s="812"/>
    </row>
    <row r="20316" spans="7:7">
      <c r="G20316" s="812"/>
    </row>
    <row r="20317" spans="7:7">
      <c r="G20317" s="812"/>
    </row>
    <row r="20318" spans="7:7">
      <c r="G20318" s="812"/>
    </row>
    <row r="20319" spans="7:7">
      <c r="G20319" s="812"/>
    </row>
    <row r="20320" spans="7:7">
      <c r="G20320" s="812"/>
    </row>
    <row r="20321" spans="7:7">
      <c r="G20321" s="812"/>
    </row>
    <row r="20322" spans="7:7">
      <c r="G20322" s="812"/>
    </row>
    <row r="20323" spans="7:7">
      <c r="G20323" s="812"/>
    </row>
    <row r="20324" spans="7:7">
      <c r="G20324" s="812"/>
    </row>
    <row r="20325" spans="7:7">
      <c r="G20325" s="812"/>
    </row>
    <row r="20326" spans="7:7">
      <c r="G20326" s="812"/>
    </row>
    <row r="20327" spans="7:7">
      <c r="G20327" s="812"/>
    </row>
    <row r="20328" spans="7:7">
      <c r="G20328" s="812"/>
    </row>
    <row r="20329" spans="7:7">
      <c r="G20329" s="812"/>
    </row>
    <row r="20330" spans="7:7">
      <c r="G20330" s="812"/>
    </row>
    <row r="20331" spans="7:7">
      <c r="G20331" s="812"/>
    </row>
    <row r="20332" spans="7:7">
      <c r="G20332" s="812"/>
    </row>
    <row r="20333" spans="7:7">
      <c r="G20333" s="812"/>
    </row>
    <row r="20334" spans="7:7">
      <c r="G20334" s="812"/>
    </row>
    <row r="20335" spans="7:7">
      <c r="G20335" s="812"/>
    </row>
    <row r="20336" spans="7:7">
      <c r="G20336" s="812"/>
    </row>
    <row r="20337" spans="7:7">
      <c r="G20337" s="812"/>
    </row>
    <row r="20338" spans="7:7">
      <c r="G20338" s="812"/>
    </row>
    <row r="20339" spans="7:7">
      <c r="G20339" s="812"/>
    </row>
    <row r="20340" spans="7:7">
      <c r="G20340" s="812"/>
    </row>
    <row r="20341" spans="7:7">
      <c r="G20341" s="812"/>
    </row>
    <row r="20342" spans="7:7">
      <c r="G20342" s="812"/>
    </row>
    <row r="20343" spans="7:7">
      <c r="G20343" s="812"/>
    </row>
    <row r="20344" spans="7:7">
      <c r="G20344" s="812"/>
    </row>
    <row r="20345" spans="7:7">
      <c r="G20345" s="812"/>
    </row>
    <row r="20346" spans="7:7">
      <c r="G20346" s="812"/>
    </row>
    <row r="20347" spans="7:7">
      <c r="G20347" s="812"/>
    </row>
    <row r="20348" spans="7:7">
      <c r="G20348" s="812"/>
    </row>
    <row r="20349" spans="7:7">
      <c r="G20349" s="812"/>
    </row>
    <row r="20350" spans="7:7">
      <c r="G20350" s="812"/>
    </row>
    <row r="20351" spans="7:7">
      <c r="G20351" s="812"/>
    </row>
    <row r="20352" spans="7:7">
      <c r="G20352" s="812"/>
    </row>
    <row r="20353" spans="7:7">
      <c r="G20353" s="812"/>
    </row>
    <row r="20354" spans="7:7">
      <c r="G20354" s="812"/>
    </row>
    <row r="20355" spans="7:7">
      <c r="G20355" s="812"/>
    </row>
    <row r="20356" spans="7:7">
      <c r="G20356" s="812"/>
    </row>
    <row r="20357" spans="7:7">
      <c r="G20357" s="812"/>
    </row>
    <row r="20358" spans="7:7">
      <c r="G20358" s="812"/>
    </row>
    <row r="20359" spans="7:7">
      <c r="G20359" s="812"/>
    </row>
    <row r="20360" spans="7:7">
      <c r="G20360" s="812"/>
    </row>
    <row r="20361" spans="7:7">
      <c r="G20361" s="812"/>
    </row>
    <row r="20362" spans="7:7">
      <c r="G20362" s="812"/>
    </row>
    <row r="20363" spans="7:7">
      <c r="G20363" s="812"/>
    </row>
    <row r="20364" spans="7:7">
      <c r="G20364" s="812"/>
    </row>
    <row r="20365" spans="7:7">
      <c r="G20365" s="812"/>
    </row>
    <row r="20366" spans="7:7">
      <c r="G20366" s="812"/>
    </row>
    <row r="20367" spans="7:7">
      <c r="G20367" s="812"/>
    </row>
    <row r="20368" spans="7:7">
      <c r="G20368" s="812"/>
    </row>
    <row r="20369" spans="7:7">
      <c r="G20369" s="812"/>
    </row>
    <row r="20370" spans="7:7">
      <c r="G20370" s="812"/>
    </row>
    <row r="20371" spans="7:7">
      <c r="G20371" s="812"/>
    </row>
    <row r="20372" spans="7:7">
      <c r="G20372" s="812"/>
    </row>
    <row r="20373" spans="7:7">
      <c r="G20373" s="812"/>
    </row>
    <row r="20374" spans="7:7">
      <c r="G20374" s="812"/>
    </row>
    <row r="20375" spans="7:7">
      <c r="G20375" s="812"/>
    </row>
    <row r="20376" spans="7:7">
      <c r="G20376" s="812"/>
    </row>
    <row r="20377" spans="7:7">
      <c r="G20377" s="812"/>
    </row>
    <row r="20378" spans="7:7">
      <c r="G20378" s="812"/>
    </row>
    <row r="20379" spans="7:7">
      <c r="G20379" s="812"/>
    </row>
    <row r="20380" spans="7:7">
      <c r="G20380" s="812"/>
    </row>
    <row r="20381" spans="7:7">
      <c r="G20381" s="812"/>
    </row>
    <row r="20382" spans="7:7">
      <c r="G20382" s="812"/>
    </row>
    <row r="20383" spans="7:7">
      <c r="G20383" s="812"/>
    </row>
    <row r="20384" spans="7:7">
      <c r="G20384" s="812"/>
    </row>
    <row r="20385" spans="7:7">
      <c r="G20385" s="812"/>
    </row>
    <row r="20386" spans="7:7">
      <c r="G20386" s="812"/>
    </row>
    <row r="20387" spans="7:7">
      <c r="G20387" s="812"/>
    </row>
    <row r="20388" spans="7:7">
      <c r="G20388" s="812"/>
    </row>
    <row r="20389" spans="7:7">
      <c r="G20389" s="812"/>
    </row>
    <row r="20390" spans="7:7">
      <c r="G20390" s="812"/>
    </row>
    <row r="20391" spans="7:7">
      <c r="G20391" s="812"/>
    </row>
    <row r="20392" spans="7:7">
      <c r="G20392" s="812"/>
    </row>
    <row r="20393" spans="7:7">
      <c r="G20393" s="812"/>
    </row>
    <row r="20394" spans="7:7">
      <c r="G20394" s="812"/>
    </row>
    <row r="20395" spans="7:7">
      <c r="G20395" s="812"/>
    </row>
    <row r="20396" spans="7:7">
      <c r="G20396" s="812"/>
    </row>
    <row r="20397" spans="7:7">
      <c r="G20397" s="812"/>
    </row>
    <row r="20398" spans="7:7">
      <c r="G20398" s="812"/>
    </row>
    <row r="20399" spans="7:7">
      <c r="G20399" s="812"/>
    </row>
    <row r="20400" spans="7:7">
      <c r="G20400" s="812"/>
    </row>
    <row r="20401" spans="7:7">
      <c r="G20401" s="812"/>
    </row>
    <row r="20402" spans="7:7">
      <c r="G20402" s="812"/>
    </row>
    <row r="20403" spans="7:7">
      <c r="G20403" s="812"/>
    </row>
    <row r="20404" spans="7:7">
      <c r="G20404" s="812"/>
    </row>
    <row r="20405" spans="7:7">
      <c r="G20405" s="812"/>
    </row>
    <row r="20406" spans="7:7">
      <c r="G20406" s="812"/>
    </row>
    <row r="20407" spans="7:7">
      <c r="G20407" s="812"/>
    </row>
    <row r="20408" spans="7:7">
      <c r="G20408" s="812"/>
    </row>
    <row r="20409" spans="7:7">
      <c r="G20409" s="812"/>
    </row>
    <row r="20410" spans="7:7">
      <c r="G20410" s="812"/>
    </row>
    <row r="20411" spans="7:7">
      <c r="G20411" s="812"/>
    </row>
    <row r="20412" spans="7:7">
      <c r="G20412" s="812"/>
    </row>
    <row r="20413" spans="7:7">
      <c r="G20413" s="812"/>
    </row>
    <row r="20414" spans="7:7">
      <c r="G20414" s="812"/>
    </row>
    <row r="20415" spans="7:7">
      <c r="G20415" s="812"/>
    </row>
    <row r="20416" spans="7:7">
      <c r="G20416" s="812"/>
    </row>
    <row r="20417" spans="7:7">
      <c r="G20417" s="812"/>
    </row>
    <row r="20418" spans="7:7">
      <c r="G20418" s="812"/>
    </row>
    <row r="20419" spans="7:7">
      <c r="G20419" s="812"/>
    </row>
    <row r="20420" spans="7:7">
      <c r="G20420" s="812"/>
    </row>
    <row r="20421" spans="7:7">
      <c r="G20421" s="812"/>
    </row>
    <row r="20422" spans="7:7">
      <c r="G20422" s="812"/>
    </row>
    <row r="20423" spans="7:7">
      <c r="G20423" s="812"/>
    </row>
    <row r="20424" spans="7:7">
      <c r="G20424" s="812"/>
    </row>
    <row r="20425" spans="7:7">
      <c r="G20425" s="812"/>
    </row>
    <row r="20426" spans="7:7">
      <c r="G20426" s="812"/>
    </row>
    <row r="20427" spans="7:7">
      <c r="G20427" s="812"/>
    </row>
    <row r="20428" spans="7:7">
      <c r="G20428" s="812"/>
    </row>
    <row r="20429" spans="7:7">
      <c r="G20429" s="812"/>
    </row>
    <row r="20430" spans="7:7">
      <c r="G20430" s="812"/>
    </row>
    <row r="20431" spans="7:7">
      <c r="G20431" s="812"/>
    </row>
    <row r="20432" spans="7:7">
      <c r="G20432" s="812"/>
    </row>
    <row r="20433" spans="7:7">
      <c r="G20433" s="812"/>
    </row>
    <row r="20434" spans="7:7">
      <c r="G20434" s="812"/>
    </row>
    <row r="20435" spans="7:7">
      <c r="G20435" s="812"/>
    </row>
    <row r="20436" spans="7:7">
      <c r="G20436" s="812"/>
    </row>
    <row r="20437" spans="7:7">
      <c r="G20437" s="812"/>
    </row>
    <row r="20438" spans="7:7">
      <c r="G20438" s="812"/>
    </row>
    <row r="20439" spans="7:7">
      <c r="G20439" s="812"/>
    </row>
    <row r="20440" spans="7:7">
      <c r="G20440" s="812"/>
    </row>
    <row r="20441" spans="7:7">
      <c r="G20441" s="812"/>
    </row>
    <row r="20442" spans="7:7">
      <c r="G20442" s="812"/>
    </row>
    <row r="20443" spans="7:7">
      <c r="G20443" s="812"/>
    </row>
    <row r="20444" spans="7:7">
      <c r="G20444" s="812"/>
    </row>
    <row r="20445" spans="7:7">
      <c r="G20445" s="812"/>
    </row>
    <row r="20446" spans="7:7">
      <c r="G20446" s="812"/>
    </row>
    <row r="20447" spans="7:7">
      <c r="G20447" s="812"/>
    </row>
    <row r="20448" spans="7:7">
      <c r="G20448" s="812"/>
    </row>
    <row r="20449" spans="7:7">
      <c r="G20449" s="812"/>
    </row>
    <row r="20450" spans="7:7">
      <c r="G20450" s="812"/>
    </row>
    <row r="20451" spans="7:7">
      <c r="G20451" s="812"/>
    </row>
    <row r="20452" spans="7:7">
      <c r="G20452" s="812"/>
    </row>
    <row r="20453" spans="7:7">
      <c r="G20453" s="812"/>
    </row>
    <row r="20454" spans="7:7">
      <c r="G20454" s="812"/>
    </row>
    <row r="20455" spans="7:7">
      <c r="G20455" s="812"/>
    </row>
    <row r="20456" spans="7:7">
      <c r="G20456" s="812"/>
    </row>
    <row r="20457" spans="7:7">
      <c r="G20457" s="812"/>
    </row>
    <row r="20458" spans="7:7">
      <c r="G20458" s="812"/>
    </row>
    <row r="20459" spans="7:7">
      <c r="G20459" s="812"/>
    </row>
    <row r="20460" spans="7:7">
      <c r="G20460" s="812"/>
    </row>
    <row r="20461" spans="7:7">
      <c r="G20461" s="812"/>
    </row>
    <row r="20462" spans="7:7">
      <c r="G20462" s="812"/>
    </row>
    <row r="20463" spans="7:7">
      <c r="G20463" s="812"/>
    </row>
    <row r="20464" spans="7:7">
      <c r="G20464" s="812"/>
    </row>
    <row r="20465" spans="7:7">
      <c r="G20465" s="812"/>
    </row>
    <row r="20466" spans="7:7">
      <c r="G20466" s="812"/>
    </row>
    <row r="20467" spans="7:7">
      <c r="G20467" s="812"/>
    </row>
    <row r="20468" spans="7:7">
      <c r="G20468" s="812"/>
    </row>
    <row r="20469" spans="7:7">
      <c r="G20469" s="812"/>
    </row>
    <row r="20470" spans="7:7">
      <c r="G20470" s="812"/>
    </row>
    <row r="20471" spans="7:7">
      <c r="G20471" s="812"/>
    </row>
    <row r="20472" spans="7:7">
      <c r="G20472" s="812"/>
    </row>
    <row r="20473" spans="7:7">
      <c r="G20473" s="812"/>
    </row>
    <row r="20474" spans="7:7">
      <c r="G20474" s="812"/>
    </row>
    <row r="20475" spans="7:7">
      <c r="G20475" s="812"/>
    </row>
    <row r="20476" spans="7:7">
      <c r="G20476" s="812"/>
    </row>
    <row r="20477" spans="7:7">
      <c r="G20477" s="812"/>
    </row>
    <row r="20478" spans="7:7">
      <c r="G20478" s="812"/>
    </row>
    <row r="20479" spans="7:7">
      <c r="G20479" s="812"/>
    </row>
    <row r="20480" spans="7:7">
      <c r="G20480" s="812"/>
    </row>
    <row r="20481" spans="7:7">
      <c r="G20481" s="812"/>
    </row>
    <row r="20482" spans="7:7">
      <c r="G20482" s="812"/>
    </row>
    <row r="20483" spans="7:7">
      <c r="G20483" s="812"/>
    </row>
    <row r="20484" spans="7:7">
      <c r="G20484" s="812"/>
    </row>
    <row r="20485" spans="7:7">
      <c r="G20485" s="812"/>
    </row>
    <row r="20486" spans="7:7">
      <c r="G20486" s="812"/>
    </row>
    <row r="20487" spans="7:7">
      <c r="G20487" s="812"/>
    </row>
    <row r="20488" spans="7:7">
      <c r="G20488" s="812"/>
    </row>
    <row r="20489" spans="7:7">
      <c r="G20489" s="812"/>
    </row>
    <row r="20490" spans="7:7">
      <c r="G20490" s="812"/>
    </row>
    <row r="20491" spans="7:7">
      <c r="G20491" s="812"/>
    </row>
    <row r="20492" spans="7:7">
      <c r="G20492" s="812"/>
    </row>
    <row r="20493" spans="7:7">
      <c r="G20493" s="812"/>
    </row>
    <row r="20494" spans="7:7">
      <c r="G20494" s="812"/>
    </row>
    <row r="20495" spans="7:7">
      <c r="G20495" s="812"/>
    </row>
    <row r="20496" spans="7:7">
      <c r="G20496" s="812"/>
    </row>
    <row r="20497" spans="7:7">
      <c r="G20497" s="812"/>
    </row>
    <row r="20498" spans="7:7">
      <c r="G20498" s="812"/>
    </row>
    <row r="20499" spans="7:7">
      <c r="G20499" s="812"/>
    </row>
    <row r="20500" spans="7:7">
      <c r="G20500" s="812"/>
    </row>
    <row r="20501" spans="7:7">
      <c r="G20501" s="812"/>
    </row>
    <row r="20502" spans="7:7">
      <c r="G20502" s="812"/>
    </row>
    <row r="20503" spans="7:7">
      <c r="G20503" s="812"/>
    </row>
    <row r="20504" spans="7:7">
      <c r="G20504" s="812"/>
    </row>
    <row r="20505" spans="7:7">
      <c r="G20505" s="812"/>
    </row>
    <row r="20506" spans="7:7">
      <c r="G20506" s="812"/>
    </row>
    <row r="20507" spans="7:7">
      <c r="G20507" s="812"/>
    </row>
    <row r="20508" spans="7:7">
      <c r="G20508" s="812"/>
    </row>
    <row r="20509" spans="7:7">
      <c r="G20509" s="812"/>
    </row>
    <row r="20510" spans="7:7">
      <c r="G20510" s="812"/>
    </row>
    <row r="20511" spans="7:7">
      <c r="G20511" s="812"/>
    </row>
    <row r="20512" spans="7:7">
      <c r="G20512" s="812"/>
    </row>
    <row r="20513" spans="7:7">
      <c r="G20513" s="812"/>
    </row>
    <row r="20514" spans="7:7">
      <c r="G20514" s="812"/>
    </row>
    <row r="20515" spans="7:7">
      <c r="G20515" s="812"/>
    </row>
    <row r="20516" spans="7:7">
      <c r="G20516" s="812"/>
    </row>
    <row r="20517" spans="7:7">
      <c r="G20517" s="812"/>
    </row>
    <row r="20518" spans="7:7">
      <c r="G20518" s="812"/>
    </row>
    <row r="20519" spans="7:7">
      <c r="G20519" s="812"/>
    </row>
    <row r="20520" spans="7:7">
      <c r="G20520" s="812"/>
    </row>
    <row r="20521" spans="7:7">
      <c r="G20521" s="812"/>
    </row>
    <row r="20522" spans="7:7">
      <c r="G20522" s="812"/>
    </row>
    <row r="20523" spans="7:7">
      <c r="G20523" s="812"/>
    </row>
    <row r="20524" spans="7:7">
      <c r="G20524" s="812"/>
    </row>
    <row r="20525" spans="7:7">
      <c r="G20525" s="812"/>
    </row>
    <row r="20526" spans="7:7">
      <c r="G20526" s="812"/>
    </row>
    <row r="20527" spans="7:7">
      <c r="G20527" s="812"/>
    </row>
    <row r="20528" spans="7:7">
      <c r="G20528" s="812"/>
    </row>
    <row r="20529" spans="7:7">
      <c r="G20529" s="812"/>
    </row>
    <row r="20530" spans="7:7">
      <c r="G20530" s="812"/>
    </row>
    <row r="20531" spans="7:7">
      <c r="G20531" s="812"/>
    </row>
    <row r="20532" spans="7:7">
      <c r="G20532" s="812"/>
    </row>
    <row r="20533" spans="7:7">
      <c r="G20533" s="812"/>
    </row>
    <row r="20534" spans="7:7">
      <c r="G20534" s="812"/>
    </row>
    <row r="20535" spans="7:7">
      <c r="G20535" s="812"/>
    </row>
    <row r="20536" spans="7:7">
      <c r="G20536" s="812"/>
    </row>
    <row r="20537" spans="7:7">
      <c r="G20537" s="812"/>
    </row>
    <row r="20538" spans="7:7">
      <c r="G20538" s="812"/>
    </row>
    <row r="20539" spans="7:7">
      <c r="G20539" s="812"/>
    </row>
    <row r="20540" spans="7:7">
      <c r="G20540" s="812"/>
    </row>
    <row r="20541" spans="7:7">
      <c r="G20541" s="812"/>
    </row>
    <row r="20542" spans="7:7">
      <c r="G20542" s="812"/>
    </row>
    <row r="20543" spans="7:7">
      <c r="G20543" s="812"/>
    </row>
    <row r="20544" spans="7:7">
      <c r="G20544" s="812"/>
    </row>
    <row r="20545" spans="7:7">
      <c r="G20545" s="812"/>
    </row>
    <row r="20546" spans="7:7">
      <c r="G20546" s="812"/>
    </row>
    <row r="20547" spans="7:7">
      <c r="G20547" s="812"/>
    </row>
    <row r="20548" spans="7:7">
      <c r="G20548" s="812"/>
    </row>
    <row r="20549" spans="7:7">
      <c r="G20549" s="812"/>
    </row>
    <row r="20550" spans="7:7">
      <c r="G20550" s="812"/>
    </row>
    <row r="20551" spans="7:7">
      <c r="G20551" s="812"/>
    </row>
    <row r="20552" spans="7:7">
      <c r="G20552" s="812"/>
    </row>
    <row r="20553" spans="7:7">
      <c r="G20553" s="812"/>
    </row>
    <row r="20554" spans="7:7">
      <c r="G20554" s="812"/>
    </row>
    <row r="20555" spans="7:7">
      <c r="G20555" s="812"/>
    </row>
    <row r="20556" spans="7:7">
      <c r="G20556" s="812"/>
    </row>
    <row r="20557" spans="7:7">
      <c r="G20557" s="812"/>
    </row>
    <row r="20558" spans="7:7">
      <c r="G20558" s="812"/>
    </row>
    <row r="20559" spans="7:7">
      <c r="G20559" s="812"/>
    </row>
    <row r="20560" spans="7:7">
      <c r="G20560" s="812"/>
    </row>
    <row r="20561" spans="7:7">
      <c r="G20561" s="812"/>
    </row>
    <row r="20562" spans="7:7">
      <c r="G20562" s="812"/>
    </row>
    <row r="20563" spans="7:7">
      <c r="G20563" s="812"/>
    </row>
    <row r="20564" spans="7:7">
      <c r="G20564" s="812"/>
    </row>
    <row r="20565" spans="7:7">
      <c r="G20565" s="812"/>
    </row>
    <row r="20566" spans="7:7">
      <c r="G20566" s="812"/>
    </row>
    <row r="20567" spans="7:7">
      <c r="G20567" s="812"/>
    </row>
    <row r="20568" spans="7:7">
      <c r="G20568" s="812"/>
    </row>
    <row r="20569" spans="7:7">
      <c r="G20569" s="812"/>
    </row>
    <row r="20570" spans="7:7">
      <c r="G20570" s="812"/>
    </row>
    <row r="20571" spans="7:7">
      <c r="G20571" s="812"/>
    </row>
    <row r="20572" spans="7:7">
      <c r="G20572" s="812"/>
    </row>
    <row r="20573" spans="7:7">
      <c r="G20573" s="812"/>
    </row>
    <row r="20574" spans="7:7">
      <c r="G20574" s="812"/>
    </row>
    <row r="20575" spans="7:7">
      <c r="G20575" s="812"/>
    </row>
    <row r="20576" spans="7:7">
      <c r="G20576" s="812"/>
    </row>
    <row r="20577" spans="7:7">
      <c r="G20577" s="812"/>
    </row>
    <row r="20578" spans="7:7">
      <c r="G20578" s="812"/>
    </row>
    <row r="20579" spans="7:7">
      <c r="G20579" s="812"/>
    </row>
    <row r="20580" spans="7:7">
      <c r="G20580" s="812"/>
    </row>
    <row r="20581" spans="7:7">
      <c r="G20581" s="812"/>
    </row>
    <row r="20582" spans="7:7">
      <c r="G20582" s="812"/>
    </row>
    <row r="20583" spans="7:7">
      <c r="G20583" s="812"/>
    </row>
    <row r="20584" spans="7:7">
      <c r="G20584" s="812"/>
    </row>
    <row r="20585" spans="7:7">
      <c r="G20585" s="812"/>
    </row>
    <row r="20586" spans="7:7">
      <c r="G20586" s="812"/>
    </row>
    <row r="20587" spans="7:7">
      <c r="G20587" s="812"/>
    </row>
    <row r="20588" spans="7:7">
      <c r="G20588" s="812"/>
    </row>
    <row r="20589" spans="7:7">
      <c r="G20589" s="812"/>
    </row>
    <row r="20590" spans="7:7">
      <c r="G20590" s="812"/>
    </row>
    <row r="20591" spans="7:7">
      <c r="G20591" s="812"/>
    </row>
    <row r="20592" spans="7:7">
      <c r="G20592" s="812"/>
    </row>
    <row r="20593" spans="7:7">
      <c r="G20593" s="812"/>
    </row>
    <row r="20594" spans="7:7">
      <c r="G20594" s="812"/>
    </row>
    <row r="20595" spans="7:7">
      <c r="G20595" s="812"/>
    </row>
    <row r="20596" spans="7:7">
      <c r="G20596" s="812"/>
    </row>
    <row r="20597" spans="7:7">
      <c r="G20597" s="812"/>
    </row>
    <row r="20598" spans="7:7">
      <c r="G20598" s="812"/>
    </row>
    <row r="20599" spans="7:7">
      <c r="G20599" s="812"/>
    </row>
    <row r="20600" spans="7:7">
      <c r="G20600" s="812"/>
    </row>
    <row r="20601" spans="7:7">
      <c r="G20601" s="812"/>
    </row>
    <row r="20602" spans="7:7">
      <c r="G20602" s="812"/>
    </row>
    <row r="20603" spans="7:7">
      <c r="G20603" s="812"/>
    </row>
    <row r="20604" spans="7:7">
      <c r="G20604" s="812"/>
    </row>
    <row r="20605" spans="7:7">
      <c r="G20605" s="812"/>
    </row>
    <row r="20606" spans="7:7">
      <c r="G20606" s="812"/>
    </row>
    <row r="20607" spans="7:7">
      <c r="G20607" s="812"/>
    </row>
    <row r="20608" spans="7:7">
      <c r="G20608" s="812"/>
    </row>
    <row r="20609" spans="7:7">
      <c r="G20609" s="812"/>
    </row>
    <row r="20610" spans="7:7">
      <c r="G20610" s="812"/>
    </row>
    <row r="20611" spans="7:7">
      <c r="G20611" s="812"/>
    </row>
    <row r="20612" spans="7:7">
      <c r="G20612" s="812"/>
    </row>
    <row r="20613" spans="7:7">
      <c r="G20613" s="812"/>
    </row>
    <row r="20614" spans="7:7">
      <c r="G20614" s="812"/>
    </row>
    <row r="20615" spans="7:7">
      <c r="G20615" s="812"/>
    </row>
    <row r="20616" spans="7:7">
      <c r="G20616" s="812"/>
    </row>
    <row r="20617" spans="7:7">
      <c r="G20617" s="812"/>
    </row>
    <row r="20618" spans="7:7">
      <c r="G20618" s="812"/>
    </row>
    <row r="20619" spans="7:7">
      <c r="G20619" s="812"/>
    </row>
    <row r="20620" spans="7:7">
      <c r="G20620" s="812"/>
    </row>
    <row r="20621" spans="7:7">
      <c r="G20621" s="812"/>
    </row>
    <row r="20622" spans="7:7">
      <c r="G20622" s="812"/>
    </row>
    <row r="20623" spans="7:7">
      <c r="G20623" s="812"/>
    </row>
    <row r="20624" spans="7:7">
      <c r="G20624" s="812"/>
    </row>
    <row r="20625" spans="7:7">
      <c r="G20625" s="812"/>
    </row>
    <row r="20626" spans="7:7">
      <c r="G20626" s="812"/>
    </row>
    <row r="20627" spans="7:7">
      <c r="G20627" s="812"/>
    </row>
    <row r="20628" spans="7:7">
      <c r="G20628" s="812"/>
    </row>
    <row r="20629" spans="7:7">
      <c r="G20629" s="812"/>
    </row>
    <row r="20630" spans="7:7">
      <c r="G20630" s="812"/>
    </row>
    <row r="20631" spans="7:7">
      <c r="G20631" s="812"/>
    </row>
    <row r="20632" spans="7:7">
      <c r="G20632" s="812"/>
    </row>
    <row r="20633" spans="7:7">
      <c r="G20633" s="812"/>
    </row>
    <row r="20634" spans="7:7">
      <c r="G20634" s="812"/>
    </row>
    <row r="20635" spans="7:7">
      <c r="G20635" s="812"/>
    </row>
    <row r="20636" spans="7:7">
      <c r="G20636" s="812"/>
    </row>
    <row r="20637" spans="7:7">
      <c r="G20637" s="812"/>
    </row>
    <row r="20638" spans="7:7">
      <c r="G20638" s="812"/>
    </row>
    <row r="20639" spans="7:7">
      <c r="G20639" s="812"/>
    </row>
    <row r="20640" spans="7:7">
      <c r="G20640" s="812"/>
    </row>
    <row r="20641" spans="7:7">
      <c r="G20641" s="812"/>
    </row>
    <row r="20642" spans="7:7">
      <c r="G20642" s="812"/>
    </row>
    <row r="20643" spans="7:7">
      <c r="G20643" s="812"/>
    </row>
    <row r="20644" spans="7:7">
      <c r="G20644" s="812"/>
    </row>
    <row r="20645" spans="7:7">
      <c r="G20645" s="812"/>
    </row>
    <row r="20646" spans="7:7">
      <c r="G20646" s="812"/>
    </row>
    <row r="20647" spans="7:7">
      <c r="G20647" s="812"/>
    </row>
    <row r="20648" spans="7:7">
      <c r="G20648" s="812"/>
    </row>
    <row r="20649" spans="7:7">
      <c r="G20649" s="812"/>
    </row>
    <row r="20650" spans="7:7">
      <c r="G20650" s="812"/>
    </row>
    <row r="20651" spans="7:7">
      <c r="G20651" s="812"/>
    </row>
    <row r="20652" spans="7:7">
      <c r="G20652" s="812"/>
    </row>
    <row r="20653" spans="7:7">
      <c r="G20653" s="812"/>
    </row>
    <row r="20654" spans="7:7">
      <c r="G20654" s="812"/>
    </row>
    <row r="20655" spans="7:7">
      <c r="G20655" s="812"/>
    </row>
    <row r="20656" spans="7:7">
      <c r="G20656" s="812"/>
    </row>
    <row r="20657" spans="7:7">
      <c r="G20657" s="812"/>
    </row>
    <row r="20658" spans="7:7">
      <c r="G20658" s="812"/>
    </row>
    <row r="20659" spans="7:7">
      <c r="G20659" s="812"/>
    </row>
    <row r="20660" spans="7:7">
      <c r="G20660" s="812"/>
    </row>
    <row r="20661" spans="7:7">
      <c r="G20661" s="812"/>
    </row>
    <row r="20662" spans="7:7">
      <c r="G20662" s="812"/>
    </row>
    <row r="20663" spans="7:7">
      <c r="G20663" s="812"/>
    </row>
    <row r="20664" spans="7:7">
      <c r="G20664" s="812"/>
    </row>
    <row r="20665" spans="7:7">
      <c r="G20665" s="812"/>
    </row>
    <row r="20666" spans="7:7">
      <c r="G20666" s="812"/>
    </row>
    <row r="20667" spans="7:7">
      <c r="G20667" s="812"/>
    </row>
    <row r="20668" spans="7:7">
      <c r="G20668" s="812"/>
    </row>
    <row r="20669" spans="7:7">
      <c r="G20669" s="812"/>
    </row>
    <row r="20670" spans="7:7">
      <c r="G20670" s="812"/>
    </row>
    <row r="20671" spans="7:7">
      <c r="G20671" s="812"/>
    </row>
    <row r="20672" spans="7:7">
      <c r="G20672" s="812"/>
    </row>
    <row r="20673" spans="7:7">
      <c r="G20673" s="812"/>
    </row>
    <row r="20674" spans="7:7">
      <c r="G20674" s="812"/>
    </row>
    <row r="20675" spans="7:7">
      <c r="G20675" s="812"/>
    </row>
    <row r="20676" spans="7:7">
      <c r="G20676" s="812"/>
    </row>
    <row r="20677" spans="7:7">
      <c r="G20677" s="812"/>
    </row>
    <row r="20678" spans="7:7">
      <c r="G20678" s="812"/>
    </row>
    <row r="20679" spans="7:7">
      <c r="G20679" s="812"/>
    </row>
    <row r="20680" spans="7:7">
      <c r="G20680" s="812"/>
    </row>
    <row r="20681" spans="7:7">
      <c r="G20681" s="812"/>
    </row>
    <row r="20682" spans="7:7">
      <c r="G20682" s="812"/>
    </row>
    <row r="20683" spans="7:7">
      <c r="G20683" s="812"/>
    </row>
    <row r="20684" spans="7:7">
      <c r="G20684" s="812"/>
    </row>
    <row r="20685" spans="7:7">
      <c r="G20685" s="812"/>
    </row>
    <row r="20686" spans="7:7">
      <c r="G20686" s="812"/>
    </row>
    <row r="20687" spans="7:7">
      <c r="G20687" s="812"/>
    </row>
    <row r="20688" spans="7:7">
      <c r="G20688" s="812"/>
    </row>
    <row r="20689" spans="7:7">
      <c r="G20689" s="812"/>
    </row>
    <row r="20690" spans="7:7">
      <c r="G20690" s="812"/>
    </row>
    <row r="20691" spans="7:7">
      <c r="G20691" s="812"/>
    </row>
    <row r="20692" spans="7:7">
      <c r="G20692" s="812"/>
    </row>
    <row r="20693" spans="7:7">
      <c r="G20693" s="812"/>
    </row>
    <row r="20694" spans="7:7">
      <c r="G20694" s="812"/>
    </row>
    <row r="20695" spans="7:7">
      <c r="G20695" s="812"/>
    </row>
    <row r="20696" spans="7:7">
      <c r="G20696" s="812"/>
    </row>
    <row r="20697" spans="7:7">
      <c r="G20697" s="812"/>
    </row>
    <row r="20698" spans="7:7">
      <c r="G20698" s="812"/>
    </row>
    <row r="20699" spans="7:7">
      <c r="G20699" s="812"/>
    </row>
    <row r="20700" spans="7:7">
      <c r="G20700" s="812"/>
    </row>
    <row r="20701" spans="7:7">
      <c r="G20701" s="812"/>
    </row>
    <row r="20702" spans="7:7">
      <c r="G20702" s="812"/>
    </row>
    <row r="20703" spans="7:7">
      <c r="G20703" s="812"/>
    </row>
    <row r="20704" spans="7:7">
      <c r="G20704" s="812"/>
    </row>
    <row r="20705" spans="7:7">
      <c r="G20705" s="812"/>
    </row>
    <row r="20706" spans="7:7">
      <c r="G20706" s="812"/>
    </row>
    <row r="20707" spans="7:7">
      <c r="G20707" s="812"/>
    </row>
    <row r="20708" spans="7:7">
      <c r="G20708" s="812"/>
    </row>
    <row r="20709" spans="7:7">
      <c r="G20709" s="812"/>
    </row>
    <row r="20710" spans="7:7">
      <c r="G20710" s="812"/>
    </row>
    <row r="20711" spans="7:7">
      <c r="G20711" s="812"/>
    </row>
    <row r="20712" spans="7:7">
      <c r="G20712" s="812"/>
    </row>
    <row r="20713" spans="7:7">
      <c r="G20713" s="812"/>
    </row>
    <row r="20714" spans="7:7">
      <c r="G20714" s="812"/>
    </row>
    <row r="20715" spans="7:7">
      <c r="G20715" s="812"/>
    </row>
    <row r="20716" spans="7:7">
      <c r="G20716" s="812"/>
    </row>
    <row r="20717" spans="7:7">
      <c r="G20717" s="812"/>
    </row>
    <row r="20718" spans="7:7">
      <c r="G20718" s="812"/>
    </row>
    <row r="20719" spans="7:7">
      <c r="G20719" s="812"/>
    </row>
    <row r="20720" spans="7:7">
      <c r="G20720" s="812"/>
    </row>
    <row r="20721" spans="7:7">
      <c r="G20721" s="812"/>
    </row>
    <row r="20722" spans="7:7">
      <c r="G20722" s="812"/>
    </row>
    <row r="20723" spans="7:7">
      <c r="G20723" s="812"/>
    </row>
    <row r="20724" spans="7:7">
      <c r="G20724" s="812"/>
    </row>
    <row r="20725" spans="7:7">
      <c r="G20725" s="812"/>
    </row>
    <row r="20726" spans="7:7">
      <c r="G20726" s="812"/>
    </row>
    <row r="20727" spans="7:7">
      <c r="G20727" s="812"/>
    </row>
    <row r="20728" spans="7:7">
      <c r="G20728" s="812"/>
    </row>
    <row r="20729" spans="7:7">
      <c r="G20729" s="812"/>
    </row>
    <row r="20730" spans="7:7">
      <c r="G20730" s="812"/>
    </row>
    <row r="20731" spans="7:7">
      <c r="G20731" s="812"/>
    </row>
    <row r="20732" spans="7:7">
      <c r="G20732" s="812"/>
    </row>
    <row r="20733" spans="7:7">
      <c r="G20733" s="812"/>
    </row>
    <row r="20734" spans="7:7">
      <c r="G20734" s="812"/>
    </row>
    <row r="20735" spans="7:7">
      <c r="G20735" s="812"/>
    </row>
    <row r="20736" spans="7:7">
      <c r="G20736" s="812"/>
    </row>
    <row r="20737" spans="7:7">
      <c r="G20737" s="812"/>
    </row>
    <row r="20738" spans="7:7">
      <c r="G20738" s="812"/>
    </row>
    <row r="20739" spans="7:7">
      <c r="G20739" s="812"/>
    </row>
    <row r="20740" spans="7:7">
      <c r="G20740" s="812"/>
    </row>
    <row r="20741" spans="7:7">
      <c r="G20741" s="812"/>
    </row>
    <row r="20742" spans="7:7">
      <c r="G20742" s="812"/>
    </row>
    <row r="20743" spans="7:7">
      <c r="G20743" s="812"/>
    </row>
    <row r="20744" spans="7:7">
      <c r="G20744" s="812"/>
    </row>
    <row r="20745" spans="7:7">
      <c r="G20745" s="812"/>
    </row>
    <row r="20746" spans="7:7">
      <c r="G20746" s="812"/>
    </row>
    <row r="20747" spans="7:7">
      <c r="G20747" s="812"/>
    </row>
    <row r="20748" spans="7:7">
      <c r="G20748" s="812"/>
    </row>
    <row r="20749" spans="7:7">
      <c r="G20749" s="812"/>
    </row>
    <row r="20750" spans="7:7">
      <c r="G20750" s="812"/>
    </row>
    <row r="20751" spans="7:7">
      <c r="G20751" s="812"/>
    </row>
    <row r="20752" spans="7:7">
      <c r="G20752" s="812"/>
    </row>
    <row r="20753" spans="7:7">
      <c r="G20753" s="812"/>
    </row>
    <row r="20754" spans="7:7">
      <c r="G20754" s="812"/>
    </row>
    <row r="20755" spans="7:7">
      <c r="G20755" s="812"/>
    </row>
    <row r="20756" spans="7:7">
      <c r="G20756" s="812"/>
    </row>
    <row r="20757" spans="7:7">
      <c r="G20757" s="812"/>
    </row>
    <row r="20758" spans="7:7">
      <c r="G20758" s="812"/>
    </row>
    <row r="20759" spans="7:7">
      <c r="G20759" s="812"/>
    </row>
    <row r="20760" spans="7:7">
      <c r="G20760" s="812"/>
    </row>
    <row r="20761" spans="7:7">
      <c r="G20761" s="812"/>
    </row>
    <row r="20762" spans="7:7">
      <c r="G20762" s="812"/>
    </row>
    <row r="20763" spans="7:7">
      <c r="G20763" s="812"/>
    </row>
    <row r="20764" spans="7:7">
      <c r="G20764" s="812"/>
    </row>
    <row r="20765" spans="7:7">
      <c r="G20765" s="812"/>
    </row>
    <row r="20766" spans="7:7">
      <c r="G20766" s="812"/>
    </row>
    <row r="20767" spans="7:7">
      <c r="G20767" s="812"/>
    </row>
    <row r="20768" spans="7:7">
      <c r="G20768" s="812"/>
    </row>
    <row r="20769" spans="7:7">
      <c r="G20769" s="812"/>
    </row>
    <row r="20770" spans="7:7">
      <c r="G20770" s="812"/>
    </row>
    <row r="20771" spans="7:7">
      <c r="G20771" s="812"/>
    </row>
    <row r="20772" spans="7:7">
      <c r="G20772" s="812"/>
    </row>
    <row r="20773" spans="7:7">
      <c r="G20773" s="812"/>
    </row>
    <row r="20774" spans="7:7">
      <c r="G20774" s="812"/>
    </row>
    <row r="20775" spans="7:7">
      <c r="G20775" s="812"/>
    </row>
    <row r="20776" spans="7:7">
      <c r="G20776" s="812"/>
    </row>
    <row r="20777" spans="7:7">
      <c r="G20777" s="812"/>
    </row>
    <row r="20778" spans="7:7">
      <c r="G20778" s="812"/>
    </row>
    <row r="20779" spans="7:7">
      <c r="G20779" s="812"/>
    </row>
    <row r="20780" spans="7:7">
      <c r="G20780" s="812"/>
    </row>
    <row r="20781" spans="7:7">
      <c r="G20781" s="812"/>
    </row>
    <row r="20782" spans="7:7">
      <c r="G20782" s="812"/>
    </row>
    <row r="20783" spans="7:7">
      <c r="G20783" s="812"/>
    </row>
    <row r="20784" spans="7:7">
      <c r="G20784" s="812"/>
    </row>
    <row r="20785" spans="7:7">
      <c r="G20785" s="812"/>
    </row>
    <row r="20786" spans="7:7">
      <c r="G20786" s="812"/>
    </row>
    <row r="20787" spans="7:7">
      <c r="G20787" s="812"/>
    </row>
    <row r="20788" spans="7:7">
      <c r="G20788" s="812"/>
    </row>
    <row r="20789" spans="7:7">
      <c r="G20789" s="812"/>
    </row>
    <row r="20790" spans="7:7">
      <c r="G20790" s="812"/>
    </row>
    <row r="20791" spans="7:7">
      <c r="G20791" s="812"/>
    </row>
    <row r="20792" spans="7:7">
      <c r="G20792" s="812"/>
    </row>
    <row r="20793" spans="7:7">
      <c r="G20793" s="812"/>
    </row>
    <row r="20794" spans="7:7">
      <c r="G20794" s="812"/>
    </row>
    <row r="20795" spans="7:7">
      <c r="G20795" s="812"/>
    </row>
    <row r="20796" spans="7:7">
      <c r="G20796" s="812"/>
    </row>
    <row r="20797" spans="7:7">
      <c r="G20797" s="812"/>
    </row>
    <row r="20798" spans="7:7">
      <c r="G20798" s="812"/>
    </row>
    <row r="20799" spans="7:7">
      <c r="G20799" s="812"/>
    </row>
    <row r="20800" spans="7:7">
      <c r="G20800" s="812"/>
    </row>
    <row r="20801" spans="7:7">
      <c r="G20801" s="812"/>
    </row>
    <row r="20802" spans="7:7">
      <c r="G20802" s="812"/>
    </row>
    <row r="20803" spans="7:7">
      <c r="G20803" s="812"/>
    </row>
    <row r="20804" spans="7:7">
      <c r="G20804" s="812"/>
    </row>
    <row r="20805" spans="7:7">
      <c r="G20805" s="812"/>
    </row>
    <row r="20806" spans="7:7">
      <c r="G20806" s="812"/>
    </row>
    <row r="20807" spans="7:7">
      <c r="G20807" s="812"/>
    </row>
    <row r="20808" spans="7:7">
      <c r="G20808" s="812"/>
    </row>
    <row r="20809" spans="7:7">
      <c r="G20809" s="812"/>
    </row>
    <row r="20810" spans="7:7">
      <c r="G20810" s="812"/>
    </row>
    <row r="20811" spans="7:7">
      <c r="G20811" s="812"/>
    </row>
    <row r="20812" spans="7:7">
      <c r="G20812" s="812"/>
    </row>
    <row r="20813" spans="7:7">
      <c r="G20813" s="812"/>
    </row>
    <row r="20814" spans="7:7">
      <c r="G20814" s="812"/>
    </row>
    <row r="20815" spans="7:7">
      <c r="G20815" s="812"/>
    </row>
    <row r="20816" spans="7:7">
      <c r="G20816" s="812"/>
    </row>
    <row r="20817" spans="7:7">
      <c r="G20817" s="812"/>
    </row>
    <row r="20818" spans="7:7">
      <c r="G20818" s="812"/>
    </row>
    <row r="20819" spans="7:7">
      <c r="G20819" s="812"/>
    </row>
    <row r="20820" spans="7:7">
      <c r="G20820" s="812"/>
    </row>
    <row r="20821" spans="7:7">
      <c r="G20821" s="812"/>
    </row>
    <row r="20822" spans="7:7">
      <c r="G20822" s="812"/>
    </row>
    <row r="20823" spans="7:7">
      <c r="G20823" s="812"/>
    </row>
    <row r="20824" spans="7:7">
      <c r="G20824" s="812"/>
    </row>
    <row r="20825" spans="7:7">
      <c r="G20825" s="812"/>
    </row>
    <row r="20826" spans="7:7">
      <c r="G20826" s="812"/>
    </row>
    <row r="20827" spans="7:7">
      <c r="G20827" s="812"/>
    </row>
    <row r="20828" spans="7:7">
      <c r="G20828" s="812"/>
    </row>
    <row r="20829" spans="7:7">
      <c r="G20829" s="812"/>
    </row>
    <row r="20830" spans="7:7">
      <c r="G20830" s="812"/>
    </row>
    <row r="20831" spans="7:7">
      <c r="G20831" s="812"/>
    </row>
    <row r="20832" spans="7:7">
      <c r="G20832" s="812"/>
    </row>
    <row r="20833" spans="7:7">
      <c r="G20833" s="812"/>
    </row>
    <row r="20834" spans="7:7">
      <c r="G20834" s="812"/>
    </row>
    <row r="20835" spans="7:7">
      <c r="G20835" s="812"/>
    </row>
    <row r="20836" spans="7:7">
      <c r="G20836" s="812"/>
    </row>
    <row r="20837" spans="7:7">
      <c r="G20837" s="812"/>
    </row>
    <row r="20838" spans="7:7">
      <c r="G20838" s="812"/>
    </row>
    <row r="20839" spans="7:7">
      <c r="G20839" s="812"/>
    </row>
    <row r="20840" spans="7:7">
      <c r="G20840" s="812"/>
    </row>
    <row r="20841" spans="7:7">
      <c r="G20841" s="812"/>
    </row>
    <row r="20842" spans="7:7">
      <c r="G20842" s="812"/>
    </row>
    <row r="20843" spans="7:7">
      <c r="G20843" s="812"/>
    </row>
    <row r="20844" spans="7:7">
      <c r="G20844" s="812"/>
    </row>
    <row r="20845" spans="7:7">
      <c r="G20845" s="812"/>
    </row>
    <row r="20846" spans="7:7">
      <c r="G20846" s="812"/>
    </row>
    <row r="20847" spans="7:7">
      <c r="G20847" s="812"/>
    </row>
    <row r="20848" spans="7:7">
      <c r="G20848" s="812"/>
    </row>
    <row r="20849" spans="7:7">
      <c r="G20849" s="812"/>
    </row>
    <row r="20850" spans="7:7">
      <c r="G20850" s="812"/>
    </row>
    <row r="20851" spans="7:7">
      <c r="G20851" s="812"/>
    </row>
    <row r="20852" spans="7:7">
      <c r="G20852" s="812"/>
    </row>
    <row r="20853" spans="7:7">
      <c r="G20853" s="812"/>
    </row>
    <row r="20854" spans="7:7">
      <c r="G20854" s="812"/>
    </row>
    <row r="20855" spans="7:7">
      <c r="G20855" s="812"/>
    </row>
    <row r="20856" spans="7:7">
      <c r="G20856" s="812"/>
    </row>
    <row r="20857" spans="7:7">
      <c r="G20857" s="812"/>
    </row>
    <row r="20858" spans="7:7">
      <c r="G20858" s="812"/>
    </row>
    <row r="20859" spans="7:7">
      <c r="G20859" s="812"/>
    </row>
    <row r="20860" spans="7:7">
      <c r="G20860" s="812"/>
    </row>
    <row r="20861" spans="7:7">
      <c r="G20861" s="812"/>
    </row>
    <row r="20862" spans="7:7">
      <c r="G20862" s="812"/>
    </row>
    <row r="20863" spans="7:7">
      <c r="G20863" s="812"/>
    </row>
    <row r="20864" spans="7:7">
      <c r="G20864" s="812"/>
    </row>
    <row r="20865" spans="7:7">
      <c r="G20865" s="812"/>
    </row>
    <row r="20866" spans="7:7">
      <c r="G20866" s="812"/>
    </row>
    <row r="20867" spans="7:7">
      <c r="G20867" s="812"/>
    </row>
    <row r="20868" spans="7:7">
      <c r="G20868" s="812"/>
    </row>
    <row r="20869" spans="7:7">
      <c r="G20869" s="812"/>
    </row>
    <row r="20870" spans="7:7">
      <c r="G20870" s="812"/>
    </row>
    <row r="20871" spans="7:7">
      <c r="G20871" s="812"/>
    </row>
    <row r="20872" spans="7:7">
      <c r="G20872" s="812"/>
    </row>
    <row r="20873" spans="7:7">
      <c r="G20873" s="812"/>
    </row>
    <row r="20874" spans="7:7">
      <c r="G20874" s="812"/>
    </row>
    <row r="20875" spans="7:7">
      <c r="G20875" s="812"/>
    </row>
    <row r="20876" spans="7:7">
      <c r="G20876" s="812"/>
    </row>
    <row r="20877" spans="7:7">
      <c r="G20877" s="812"/>
    </row>
    <row r="20878" spans="7:7">
      <c r="G20878" s="812"/>
    </row>
    <row r="20879" spans="7:7">
      <c r="G20879" s="812"/>
    </row>
    <row r="20880" spans="7:7">
      <c r="G20880" s="812"/>
    </row>
    <row r="20881" spans="7:7">
      <c r="G20881" s="812"/>
    </row>
    <row r="20882" spans="7:7">
      <c r="G20882" s="812"/>
    </row>
    <row r="20883" spans="7:7">
      <c r="G20883" s="812"/>
    </row>
    <row r="20884" spans="7:7">
      <c r="G20884" s="812"/>
    </row>
    <row r="20885" spans="7:7">
      <c r="G20885" s="812"/>
    </row>
    <row r="20886" spans="7:7">
      <c r="G20886" s="812"/>
    </row>
    <row r="20887" spans="7:7">
      <c r="G20887" s="812"/>
    </row>
    <row r="20888" spans="7:7">
      <c r="G20888" s="812"/>
    </row>
    <row r="20889" spans="7:7">
      <c r="G20889" s="812"/>
    </row>
    <row r="20890" spans="7:7">
      <c r="G20890" s="812"/>
    </row>
    <row r="20891" spans="7:7">
      <c r="G20891" s="812"/>
    </row>
    <row r="20892" spans="7:7">
      <c r="G20892" s="812"/>
    </row>
    <row r="20893" spans="7:7">
      <c r="G20893" s="812"/>
    </row>
    <row r="20894" spans="7:7">
      <c r="G20894" s="812"/>
    </row>
    <row r="20895" spans="7:7">
      <c r="G20895" s="812"/>
    </row>
    <row r="20896" spans="7:7">
      <c r="G20896" s="812"/>
    </row>
    <row r="20897" spans="7:7">
      <c r="G20897" s="812"/>
    </row>
    <row r="20898" spans="7:7">
      <c r="G20898" s="812"/>
    </row>
    <row r="20899" spans="7:7">
      <c r="G20899" s="812"/>
    </row>
    <row r="20900" spans="7:7">
      <c r="G20900" s="812"/>
    </row>
    <row r="20901" spans="7:7">
      <c r="G20901" s="812"/>
    </row>
    <row r="20902" spans="7:7">
      <c r="G20902" s="812"/>
    </row>
    <row r="20903" spans="7:7">
      <c r="G20903" s="812"/>
    </row>
    <row r="20904" spans="7:7">
      <c r="G20904" s="812"/>
    </row>
    <row r="20905" spans="7:7">
      <c r="G20905" s="812"/>
    </row>
    <row r="20906" spans="7:7">
      <c r="G20906" s="812"/>
    </row>
    <row r="20907" spans="7:7">
      <c r="G20907" s="812"/>
    </row>
    <row r="20908" spans="7:7">
      <c r="G20908" s="812"/>
    </row>
    <row r="20909" spans="7:7">
      <c r="G20909" s="812"/>
    </row>
    <row r="20910" spans="7:7">
      <c r="G20910" s="812"/>
    </row>
    <row r="20911" spans="7:7">
      <c r="G20911" s="812"/>
    </row>
    <row r="20912" spans="7:7">
      <c r="G20912" s="812"/>
    </row>
    <row r="20913" spans="7:7">
      <c r="G20913" s="812"/>
    </row>
    <row r="20914" spans="7:7">
      <c r="G20914" s="812"/>
    </row>
    <row r="20915" spans="7:7">
      <c r="G20915" s="812"/>
    </row>
    <row r="20916" spans="7:7">
      <c r="G20916" s="812"/>
    </row>
    <row r="20917" spans="7:7">
      <c r="G20917" s="812"/>
    </row>
    <row r="20918" spans="7:7">
      <c r="G20918" s="812"/>
    </row>
    <row r="20919" spans="7:7">
      <c r="G20919" s="812"/>
    </row>
    <row r="20920" spans="7:7">
      <c r="G20920" s="812"/>
    </row>
    <row r="20921" spans="7:7">
      <c r="G20921" s="812"/>
    </row>
    <row r="20922" spans="7:7">
      <c r="G20922" s="812"/>
    </row>
    <row r="20923" spans="7:7">
      <c r="G20923" s="812"/>
    </row>
    <row r="20924" spans="7:7">
      <c r="G20924" s="812"/>
    </row>
    <row r="20925" spans="7:7">
      <c r="G20925" s="812"/>
    </row>
    <row r="20926" spans="7:7">
      <c r="G20926" s="812"/>
    </row>
    <row r="20927" spans="7:7">
      <c r="G20927" s="812"/>
    </row>
    <row r="20928" spans="7:7">
      <c r="G20928" s="812"/>
    </row>
    <row r="20929" spans="7:7">
      <c r="G20929" s="812"/>
    </row>
    <row r="20930" spans="7:7">
      <c r="G20930" s="812"/>
    </row>
    <row r="20931" spans="7:7">
      <c r="G20931" s="812"/>
    </row>
    <row r="20932" spans="7:7">
      <c r="G20932" s="812"/>
    </row>
    <row r="20933" spans="7:7">
      <c r="G20933" s="812"/>
    </row>
    <row r="20934" spans="7:7">
      <c r="G20934" s="812"/>
    </row>
    <row r="20935" spans="7:7">
      <c r="G20935" s="812"/>
    </row>
    <row r="20936" spans="7:7">
      <c r="G20936" s="812"/>
    </row>
    <row r="20937" spans="7:7">
      <c r="G20937" s="812"/>
    </row>
    <row r="20938" spans="7:7">
      <c r="G20938" s="812"/>
    </row>
    <row r="20939" spans="7:7">
      <c r="G20939" s="812"/>
    </row>
    <row r="20940" spans="7:7">
      <c r="G20940" s="812"/>
    </row>
    <row r="20941" spans="7:7">
      <c r="G20941" s="812"/>
    </row>
    <row r="20942" spans="7:7">
      <c r="G20942" s="812"/>
    </row>
    <row r="20943" spans="7:7">
      <c r="G20943" s="812"/>
    </row>
    <row r="20944" spans="7:7">
      <c r="G20944" s="812"/>
    </row>
    <row r="20945" spans="7:7">
      <c r="G20945" s="812"/>
    </row>
    <row r="20946" spans="7:7">
      <c r="G20946" s="812"/>
    </row>
    <row r="20947" spans="7:7">
      <c r="G20947" s="812"/>
    </row>
    <row r="20948" spans="7:7">
      <c r="G20948" s="812"/>
    </row>
    <row r="20949" spans="7:7">
      <c r="G20949" s="812"/>
    </row>
    <row r="20950" spans="7:7">
      <c r="G20950" s="812"/>
    </row>
    <row r="20951" spans="7:7">
      <c r="G20951" s="812"/>
    </row>
    <row r="20952" spans="7:7">
      <c r="G20952" s="812"/>
    </row>
    <row r="20953" spans="7:7">
      <c r="G20953" s="812"/>
    </row>
    <row r="20954" spans="7:7">
      <c r="G20954" s="812"/>
    </row>
    <row r="20955" spans="7:7">
      <c r="G20955" s="812"/>
    </row>
    <row r="20956" spans="7:7">
      <c r="G20956" s="812"/>
    </row>
    <row r="20957" spans="7:7">
      <c r="G20957" s="812"/>
    </row>
    <row r="20958" spans="7:7">
      <c r="G20958" s="812"/>
    </row>
    <row r="20959" spans="7:7">
      <c r="G20959" s="812"/>
    </row>
    <row r="20960" spans="7:7">
      <c r="G20960" s="812"/>
    </row>
    <row r="20961" spans="7:7">
      <c r="G20961" s="812"/>
    </row>
    <row r="20962" spans="7:7">
      <c r="G20962" s="812"/>
    </row>
    <row r="20963" spans="7:7">
      <c r="G20963" s="812"/>
    </row>
    <row r="20964" spans="7:7">
      <c r="G20964" s="812"/>
    </row>
    <row r="20965" spans="7:7">
      <c r="G20965" s="812"/>
    </row>
    <row r="20966" spans="7:7">
      <c r="G20966" s="812"/>
    </row>
    <row r="20967" spans="7:7">
      <c r="G20967" s="812"/>
    </row>
    <row r="20968" spans="7:7">
      <c r="G20968" s="812"/>
    </row>
    <row r="20969" spans="7:7">
      <c r="G20969" s="812"/>
    </row>
    <row r="20970" spans="7:7">
      <c r="G20970" s="812"/>
    </row>
    <row r="20971" spans="7:7">
      <c r="G20971" s="812"/>
    </row>
    <row r="20972" spans="7:7">
      <c r="G20972" s="812"/>
    </row>
    <row r="20973" spans="7:7">
      <c r="G20973" s="812"/>
    </row>
    <row r="20974" spans="7:7">
      <c r="G20974" s="812"/>
    </row>
    <row r="20975" spans="7:7">
      <c r="G20975" s="812"/>
    </row>
    <row r="20976" spans="7:7">
      <c r="G20976" s="812"/>
    </row>
    <row r="20977" spans="7:7">
      <c r="G20977" s="812"/>
    </row>
    <row r="20978" spans="7:7">
      <c r="G20978" s="812"/>
    </row>
    <row r="20979" spans="7:7">
      <c r="G20979" s="812"/>
    </row>
    <row r="20980" spans="7:7">
      <c r="G20980" s="812"/>
    </row>
    <row r="20981" spans="7:7">
      <c r="G20981" s="812"/>
    </row>
    <row r="20982" spans="7:7">
      <c r="G20982" s="812"/>
    </row>
    <row r="20983" spans="7:7">
      <c r="G20983" s="812"/>
    </row>
    <row r="20984" spans="7:7">
      <c r="G20984" s="812"/>
    </row>
    <row r="20985" spans="7:7">
      <c r="G20985" s="812"/>
    </row>
    <row r="20986" spans="7:7">
      <c r="G20986" s="812"/>
    </row>
    <row r="20987" spans="7:7">
      <c r="G20987" s="812"/>
    </row>
    <row r="20988" spans="7:7">
      <c r="G20988" s="812"/>
    </row>
    <row r="20989" spans="7:7">
      <c r="G20989" s="812"/>
    </row>
    <row r="20990" spans="7:7">
      <c r="G20990" s="812"/>
    </row>
    <row r="20991" spans="7:7">
      <c r="G20991" s="812"/>
    </row>
    <row r="20992" spans="7:7">
      <c r="G20992" s="812"/>
    </row>
    <row r="20993" spans="7:7">
      <c r="G20993" s="812"/>
    </row>
    <row r="20994" spans="7:7">
      <c r="G20994" s="812"/>
    </row>
    <row r="20995" spans="7:7">
      <c r="G20995" s="812"/>
    </row>
    <row r="20996" spans="7:7">
      <c r="G20996" s="812"/>
    </row>
    <row r="20997" spans="7:7">
      <c r="G20997" s="812"/>
    </row>
    <row r="20998" spans="7:7">
      <c r="G20998" s="812"/>
    </row>
    <row r="20999" spans="7:7">
      <c r="G20999" s="812"/>
    </row>
    <row r="21000" spans="7:7">
      <c r="G21000" s="812"/>
    </row>
    <row r="21001" spans="7:7">
      <c r="G21001" s="812"/>
    </row>
    <row r="21002" spans="7:7">
      <c r="G21002" s="812"/>
    </row>
    <row r="21003" spans="7:7">
      <c r="G21003" s="812"/>
    </row>
    <row r="21004" spans="7:7">
      <c r="G21004" s="812"/>
    </row>
    <row r="21005" spans="7:7">
      <c r="G21005" s="812"/>
    </row>
    <row r="21006" spans="7:7">
      <c r="G21006" s="812"/>
    </row>
    <row r="21007" spans="7:7">
      <c r="G21007" s="812"/>
    </row>
    <row r="21008" spans="7:7">
      <c r="G21008" s="812"/>
    </row>
    <row r="21009" spans="7:7">
      <c r="G21009" s="812"/>
    </row>
    <row r="21010" spans="7:7">
      <c r="G21010" s="812"/>
    </row>
    <row r="21011" spans="7:7">
      <c r="G21011" s="812"/>
    </row>
    <row r="21012" spans="7:7">
      <c r="G21012" s="812"/>
    </row>
    <row r="21013" spans="7:7">
      <c r="G21013" s="812"/>
    </row>
    <row r="21014" spans="7:7">
      <c r="G21014" s="812"/>
    </row>
    <row r="21015" spans="7:7">
      <c r="G21015" s="812"/>
    </row>
    <row r="21016" spans="7:7">
      <c r="G21016" s="812"/>
    </row>
    <row r="21017" spans="7:7">
      <c r="G21017" s="812"/>
    </row>
    <row r="21018" spans="7:7">
      <c r="G21018" s="812"/>
    </row>
    <row r="21019" spans="7:7">
      <c r="G21019" s="812"/>
    </row>
    <row r="21020" spans="7:7">
      <c r="G21020" s="812"/>
    </row>
    <row r="21021" spans="7:7">
      <c r="G21021" s="812"/>
    </row>
    <row r="21022" spans="7:7">
      <c r="G21022" s="812"/>
    </row>
    <row r="21023" spans="7:7">
      <c r="G21023" s="812"/>
    </row>
    <row r="21024" spans="7:7">
      <c r="G21024" s="812"/>
    </row>
    <row r="21025" spans="7:7">
      <c r="G21025" s="812"/>
    </row>
    <row r="21026" spans="7:7">
      <c r="G21026" s="812"/>
    </row>
    <row r="21027" spans="7:7">
      <c r="G21027" s="812"/>
    </row>
    <row r="21028" spans="7:7">
      <c r="G21028" s="812"/>
    </row>
    <row r="21029" spans="7:7">
      <c r="G21029" s="812"/>
    </row>
    <row r="21030" spans="7:7">
      <c r="G21030" s="812"/>
    </row>
    <row r="21031" spans="7:7">
      <c r="G21031" s="812"/>
    </row>
    <row r="21032" spans="7:7">
      <c r="G21032" s="812"/>
    </row>
    <row r="21033" spans="7:7">
      <c r="G21033" s="812"/>
    </row>
    <row r="21034" spans="7:7">
      <c r="G21034" s="812"/>
    </row>
    <row r="21035" spans="7:7">
      <c r="G21035" s="812"/>
    </row>
    <row r="21036" spans="7:7">
      <c r="G21036" s="812"/>
    </row>
    <row r="21037" spans="7:7">
      <c r="G21037" s="812"/>
    </row>
    <row r="21038" spans="7:7">
      <c r="G21038" s="812"/>
    </row>
    <row r="21039" spans="7:7">
      <c r="G21039" s="812"/>
    </row>
    <row r="21040" spans="7:7">
      <c r="G21040" s="812"/>
    </row>
    <row r="21041" spans="7:7">
      <c r="G21041" s="812"/>
    </row>
    <row r="21042" spans="7:7">
      <c r="G21042" s="812"/>
    </row>
    <row r="21043" spans="7:7">
      <c r="G21043" s="812"/>
    </row>
    <row r="21044" spans="7:7">
      <c r="G21044" s="812"/>
    </row>
    <row r="21045" spans="7:7">
      <c r="G21045" s="812"/>
    </row>
    <row r="21046" spans="7:7">
      <c r="G21046" s="812"/>
    </row>
    <row r="21047" spans="7:7">
      <c r="G21047" s="812"/>
    </row>
    <row r="21048" spans="7:7">
      <c r="G21048" s="812"/>
    </row>
    <row r="21049" spans="7:7">
      <c r="G21049" s="812"/>
    </row>
    <row r="21050" spans="7:7">
      <c r="G21050" s="812"/>
    </row>
    <row r="21051" spans="7:7">
      <c r="G21051" s="812"/>
    </row>
    <row r="21052" spans="7:7">
      <c r="G21052" s="812"/>
    </row>
    <row r="21053" spans="7:7">
      <c r="G21053" s="812"/>
    </row>
    <row r="21054" spans="7:7">
      <c r="G21054" s="812"/>
    </row>
    <row r="21055" spans="7:7">
      <c r="G21055" s="812"/>
    </row>
    <row r="21056" spans="7:7">
      <c r="G21056" s="812"/>
    </row>
    <row r="21057" spans="7:7">
      <c r="G21057" s="812"/>
    </row>
    <row r="21058" spans="7:7">
      <c r="G21058" s="812"/>
    </row>
    <row r="21059" spans="7:7">
      <c r="G21059" s="812"/>
    </row>
    <row r="21060" spans="7:7">
      <c r="G21060" s="812"/>
    </row>
    <row r="21061" spans="7:7">
      <c r="G21061" s="812"/>
    </row>
    <row r="21062" spans="7:7">
      <c r="G21062" s="812"/>
    </row>
    <row r="21063" spans="7:7">
      <c r="G21063" s="812"/>
    </row>
    <row r="21064" spans="7:7">
      <c r="G21064" s="812"/>
    </row>
    <row r="21065" spans="7:7">
      <c r="G21065" s="812"/>
    </row>
    <row r="21066" spans="7:7">
      <c r="G21066" s="812"/>
    </row>
    <row r="21067" spans="7:7">
      <c r="G21067" s="812"/>
    </row>
    <row r="21068" spans="7:7">
      <c r="G21068" s="812"/>
    </row>
    <row r="21069" spans="7:7">
      <c r="G21069" s="812"/>
    </row>
    <row r="21070" spans="7:7">
      <c r="G21070" s="812"/>
    </row>
    <row r="21071" spans="7:7">
      <c r="G21071" s="812"/>
    </row>
    <row r="21072" spans="7:7">
      <c r="G21072" s="812"/>
    </row>
    <row r="21073" spans="7:7">
      <c r="G21073" s="812"/>
    </row>
    <row r="21074" spans="7:7">
      <c r="G21074" s="812"/>
    </row>
    <row r="21075" spans="7:7">
      <c r="G21075" s="812"/>
    </row>
    <row r="21076" spans="7:7">
      <c r="G21076" s="812"/>
    </row>
    <row r="21077" spans="7:7">
      <c r="G21077" s="812"/>
    </row>
    <row r="21078" spans="7:7">
      <c r="G21078" s="812"/>
    </row>
    <row r="21079" spans="7:7">
      <c r="G21079" s="812"/>
    </row>
    <row r="21080" spans="7:7">
      <c r="G21080" s="812"/>
    </row>
    <row r="21081" spans="7:7">
      <c r="G21081" s="812"/>
    </row>
    <row r="21082" spans="7:7">
      <c r="G21082" s="812"/>
    </row>
    <row r="21083" spans="7:7">
      <c r="G21083" s="812"/>
    </row>
    <row r="21084" spans="7:7">
      <c r="G21084" s="812"/>
    </row>
    <row r="21085" spans="7:7">
      <c r="G21085" s="812"/>
    </row>
    <row r="21086" spans="7:7">
      <c r="G21086" s="812"/>
    </row>
    <row r="21087" spans="7:7">
      <c r="G21087" s="812"/>
    </row>
    <row r="21088" spans="7:7">
      <c r="G21088" s="812"/>
    </row>
    <row r="21089" spans="7:7">
      <c r="G21089" s="812"/>
    </row>
    <row r="21090" spans="7:7">
      <c r="G21090" s="812"/>
    </row>
    <row r="21091" spans="7:7">
      <c r="G21091" s="812"/>
    </row>
    <row r="21092" spans="7:7">
      <c r="G21092" s="812"/>
    </row>
    <row r="21093" spans="7:7">
      <c r="G21093" s="812"/>
    </row>
    <row r="21094" spans="7:7">
      <c r="G21094" s="812"/>
    </row>
    <row r="21095" spans="7:7">
      <c r="G21095" s="812"/>
    </row>
    <row r="21096" spans="7:7">
      <c r="G21096" s="812"/>
    </row>
    <row r="21097" spans="7:7">
      <c r="G21097" s="812"/>
    </row>
    <row r="21098" spans="7:7">
      <c r="G21098" s="812"/>
    </row>
    <row r="21099" spans="7:7">
      <c r="G21099" s="812"/>
    </row>
    <row r="21100" spans="7:7">
      <c r="G21100" s="812"/>
    </row>
    <row r="21101" spans="7:7">
      <c r="G21101" s="812"/>
    </row>
    <row r="21102" spans="7:7">
      <c r="G21102" s="812"/>
    </row>
    <row r="21103" spans="7:7">
      <c r="G21103" s="812"/>
    </row>
    <row r="21104" spans="7:7">
      <c r="G21104" s="812"/>
    </row>
    <row r="21105" spans="7:7">
      <c r="G21105" s="812"/>
    </row>
    <row r="21106" spans="7:7">
      <c r="G21106" s="812"/>
    </row>
    <row r="21107" spans="7:7">
      <c r="G21107" s="812"/>
    </row>
    <row r="21108" spans="7:7">
      <c r="G21108" s="812"/>
    </row>
    <row r="21109" spans="7:7">
      <c r="G21109" s="812"/>
    </row>
    <row r="21110" spans="7:7">
      <c r="G21110" s="812"/>
    </row>
    <row r="21111" spans="7:7">
      <c r="G21111" s="812"/>
    </row>
    <row r="21112" spans="7:7">
      <c r="G21112" s="812"/>
    </row>
    <row r="21113" spans="7:7">
      <c r="G21113" s="812"/>
    </row>
    <row r="21114" spans="7:7">
      <c r="G21114" s="812"/>
    </row>
    <row r="21115" spans="7:7">
      <c r="G21115" s="812"/>
    </row>
    <row r="21116" spans="7:7">
      <c r="G21116" s="812"/>
    </row>
    <row r="21117" spans="7:7">
      <c r="G21117" s="812"/>
    </row>
    <row r="21118" spans="7:7">
      <c r="G21118" s="812"/>
    </row>
    <row r="21119" spans="7:7">
      <c r="G21119" s="812"/>
    </row>
    <row r="21120" spans="7:7">
      <c r="G21120" s="812"/>
    </row>
    <row r="21121" spans="7:7">
      <c r="G21121" s="812"/>
    </row>
    <row r="21122" spans="7:7">
      <c r="G21122" s="812"/>
    </row>
    <row r="21123" spans="7:7">
      <c r="G21123" s="812"/>
    </row>
    <row r="21124" spans="7:7">
      <c r="G21124" s="812"/>
    </row>
    <row r="21125" spans="7:7">
      <c r="G21125" s="812"/>
    </row>
    <row r="21126" spans="7:7">
      <c r="G21126" s="812"/>
    </row>
    <row r="21127" spans="7:7">
      <c r="G21127" s="812"/>
    </row>
    <row r="21128" spans="7:7">
      <c r="G21128" s="812"/>
    </row>
    <row r="21129" spans="7:7">
      <c r="G21129" s="812"/>
    </row>
    <row r="21130" spans="7:7">
      <c r="G21130" s="812"/>
    </row>
    <row r="21131" spans="7:7">
      <c r="G21131" s="812"/>
    </row>
    <row r="21132" spans="7:7">
      <c r="G21132" s="812"/>
    </row>
    <row r="21133" spans="7:7">
      <c r="G21133" s="812"/>
    </row>
    <row r="21134" spans="7:7">
      <c r="G21134" s="812"/>
    </row>
    <row r="21135" spans="7:7">
      <c r="G21135" s="812"/>
    </row>
    <row r="21136" spans="7:7">
      <c r="G21136" s="812"/>
    </row>
    <row r="21137" spans="7:7">
      <c r="G21137" s="812"/>
    </row>
    <row r="21138" spans="7:7">
      <c r="G21138" s="812"/>
    </row>
    <row r="21139" spans="7:7">
      <c r="G21139" s="812"/>
    </row>
    <row r="21140" spans="7:7">
      <c r="G21140" s="812"/>
    </row>
    <row r="21141" spans="7:7">
      <c r="G21141" s="812"/>
    </row>
    <row r="21142" spans="7:7">
      <c r="G21142" s="812"/>
    </row>
    <row r="21143" spans="7:7">
      <c r="G21143" s="812"/>
    </row>
    <row r="21144" spans="7:7">
      <c r="G21144" s="812"/>
    </row>
    <row r="21145" spans="7:7">
      <c r="G21145" s="812"/>
    </row>
    <row r="21146" spans="7:7">
      <c r="G21146" s="812"/>
    </row>
    <row r="21147" spans="7:7">
      <c r="G21147" s="812"/>
    </row>
    <row r="21148" spans="7:7">
      <c r="G21148" s="812"/>
    </row>
    <row r="21149" spans="7:7">
      <c r="G21149" s="812"/>
    </row>
    <row r="21150" spans="7:7">
      <c r="G21150" s="812"/>
    </row>
    <row r="21151" spans="7:7">
      <c r="G21151" s="812"/>
    </row>
    <row r="21152" spans="7:7">
      <c r="G21152" s="812"/>
    </row>
    <row r="21153" spans="7:7">
      <c r="G21153" s="812"/>
    </row>
    <row r="21154" spans="7:7">
      <c r="G21154" s="812"/>
    </row>
    <row r="21155" spans="7:7">
      <c r="G21155" s="812"/>
    </row>
    <row r="21156" spans="7:7">
      <c r="G21156" s="812"/>
    </row>
    <row r="21157" spans="7:7">
      <c r="G21157" s="812"/>
    </row>
    <row r="21158" spans="7:7">
      <c r="G21158" s="812"/>
    </row>
    <row r="21159" spans="7:7">
      <c r="G21159" s="812"/>
    </row>
    <row r="21160" spans="7:7">
      <c r="G21160" s="812"/>
    </row>
    <row r="21161" spans="7:7">
      <c r="G21161" s="812"/>
    </row>
    <row r="21162" spans="7:7">
      <c r="G21162" s="812"/>
    </row>
    <row r="21163" spans="7:7">
      <c r="G21163" s="812"/>
    </row>
    <row r="21164" spans="7:7">
      <c r="G21164" s="812"/>
    </row>
    <row r="21165" spans="7:7">
      <c r="G21165" s="812"/>
    </row>
    <row r="21166" spans="7:7">
      <c r="G21166" s="812"/>
    </row>
    <row r="21167" spans="7:7">
      <c r="G21167" s="812"/>
    </row>
    <row r="21168" spans="7:7">
      <c r="G21168" s="812"/>
    </row>
    <row r="21169" spans="7:7">
      <c r="G21169" s="812"/>
    </row>
    <row r="21170" spans="7:7">
      <c r="G21170" s="812"/>
    </row>
    <row r="21171" spans="7:7">
      <c r="G21171" s="812"/>
    </row>
    <row r="21172" spans="7:7">
      <c r="G21172" s="812"/>
    </row>
    <row r="21173" spans="7:7">
      <c r="G21173" s="812"/>
    </row>
    <row r="21174" spans="7:7">
      <c r="G21174" s="812"/>
    </row>
    <row r="21175" spans="7:7">
      <c r="G21175" s="812"/>
    </row>
    <row r="21176" spans="7:7">
      <c r="G21176" s="812"/>
    </row>
    <row r="21177" spans="7:7">
      <c r="G21177" s="812"/>
    </row>
    <row r="21178" spans="7:7">
      <c r="G21178" s="812"/>
    </row>
    <row r="21179" spans="7:7">
      <c r="G21179" s="812"/>
    </row>
    <row r="21180" spans="7:7">
      <c r="G21180" s="812"/>
    </row>
    <row r="21181" spans="7:7">
      <c r="G21181" s="812"/>
    </row>
    <row r="21182" spans="7:7">
      <c r="G21182" s="812"/>
    </row>
    <row r="21183" spans="7:7">
      <c r="G21183" s="812"/>
    </row>
    <row r="21184" spans="7:7">
      <c r="G21184" s="812"/>
    </row>
    <row r="21185" spans="7:7">
      <c r="G21185" s="812"/>
    </row>
    <row r="21186" spans="7:7">
      <c r="G21186" s="812"/>
    </row>
    <row r="21187" spans="7:7">
      <c r="G21187" s="812"/>
    </row>
    <row r="21188" spans="7:7">
      <c r="G21188" s="812"/>
    </row>
    <row r="21189" spans="7:7">
      <c r="G21189" s="812"/>
    </row>
    <row r="21190" spans="7:7">
      <c r="G21190" s="812"/>
    </row>
    <row r="21191" spans="7:7">
      <c r="G21191" s="812"/>
    </row>
    <row r="21192" spans="7:7">
      <c r="G21192" s="812"/>
    </row>
    <row r="21193" spans="7:7">
      <c r="G21193" s="812"/>
    </row>
    <row r="21194" spans="7:7">
      <c r="G21194" s="812"/>
    </row>
    <row r="21195" spans="7:7">
      <c r="G21195" s="812"/>
    </row>
    <row r="21196" spans="7:7">
      <c r="G21196" s="812"/>
    </row>
    <row r="21197" spans="7:7">
      <c r="G21197" s="812"/>
    </row>
    <row r="21198" spans="7:7">
      <c r="G21198" s="812"/>
    </row>
    <row r="21199" spans="7:7">
      <c r="G21199" s="812"/>
    </row>
    <row r="21200" spans="7:7">
      <c r="G21200" s="812"/>
    </row>
    <row r="21201" spans="7:7">
      <c r="G21201" s="812"/>
    </row>
    <row r="21202" spans="7:7">
      <c r="G21202" s="812"/>
    </row>
    <row r="21203" spans="7:7">
      <c r="G21203" s="812"/>
    </row>
    <row r="21204" spans="7:7">
      <c r="G21204" s="812"/>
    </row>
    <row r="21205" spans="7:7">
      <c r="G21205" s="812"/>
    </row>
    <row r="21206" spans="7:7">
      <c r="G21206" s="812"/>
    </row>
    <row r="21207" spans="7:7">
      <c r="G21207" s="812"/>
    </row>
    <row r="21208" spans="7:7">
      <c r="G21208" s="812"/>
    </row>
    <row r="21209" spans="7:7">
      <c r="G21209" s="812"/>
    </row>
    <row r="21210" spans="7:7">
      <c r="G21210" s="812"/>
    </row>
    <row r="21211" spans="7:7">
      <c r="G21211" s="812"/>
    </row>
    <row r="21212" spans="7:7">
      <c r="G21212" s="812"/>
    </row>
    <row r="21213" spans="7:7">
      <c r="G21213" s="812"/>
    </row>
    <row r="21214" spans="7:7">
      <c r="G21214" s="812"/>
    </row>
    <row r="21215" spans="7:7">
      <c r="G21215" s="812"/>
    </row>
    <row r="21216" spans="7:7">
      <c r="G21216" s="812"/>
    </row>
    <row r="21217" spans="7:7">
      <c r="G21217" s="812"/>
    </row>
    <row r="21218" spans="7:7">
      <c r="G21218" s="812"/>
    </row>
    <row r="21219" spans="7:7">
      <c r="G21219" s="812"/>
    </row>
    <row r="21220" spans="7:7">
      <c r="G21220" s="812"/>
    </row>
    <row r="21221" spans="7:7">
      <c r="G21221" s="812"/>
    </row>
    <row r="21222" spans="7:7">
      <c r="G21222" s="812"/>
    </row>
    <row r="21223" spans="7:7">
      <c r="G21223" s="812"/>
    </row>
    <row r="21224" spans="7:7">
      <c r="G21224" s="812"/>
    </row>
    <row r="21225" spans="7:7">
      <c r="G21225" s="812"/>
    </row>
    <row r="21226" spans="7:7">
      <c r="G21226" s="812"/>
    </row>
    <row r="21227" spans="7:7">
      <c r="G21227" s="812"/>
    </row>
    <row r="21228" spans="7:7">
      <c r="G21228" s="812"/>
    </row>
    <row r="21229" spans="7:7">
      <c r="G21229" s="812"/>
    </row>
    <row r="21230" spans="7:7">
      <c r="G21230" s="812"/>
    </row>
    <row r="21231" spans="7:7">
      <c r="G21231" s="812"/>
    </row>
    <row r="21232" spans="7:7">
      <c r="G21232" s="812"/>
    </row>
    <row r="21233" spans="7:7">
      <c r="G21233" s="812"/>
    </row>
    <row r="21234" spans="7:7">
      <c r="G21234" s="812"/>
    </row>
    <row r="21235" spans="7:7">
      <c r="G21235" s="812"/>
    </row>
    <row r="21236" spans="7:7">
      <c r="G21236" s="812"/>
    </row>
    <row r="21237" spans="7:7">
      <c r="G21237" s="812"/>
    </row>
    <row r="21238" spans="7:7">
      <c r="G21238" s="812"/>
    </row>
    <row r="21239" spans="7:7">
      <c r="G21239" s="812"/>
    </row>
    <row r="21240" spans="7:7">
      <c r="G21240" s="812"/>
    </row>
    <row r="21241" spans="7:7">
      <c r="G21241" s="812"/>
    </row>
    <row r="21242" spans="7:7">
      <c r="G21242" s="812"/>
    </row>
    <row r="21243" spans="7:7">
      <c r="G21243" s="812"/>
    </row>
    <row r="21244" spans="7:7">
      <c r="G21244" s="812"/>
    </row>
    <row r="21245" spans="7:7">
      <c r="G21245" s="812"/>
    </row>
    <row r="21246" spans="7:7">
      <c r="G21246" s="812"/>
    </row>
    <row r="21247" spans="7:7">
      <c r="G21247" s="812"/>
    </row>
    <row r="21248" spans="7:7">
      <c r="G21248" s="812"/>
    </row>
    <row r="21249" spans="7:7">
      <c r="G21249" s="812"/>
    </row>
    <row r="21250" spans="7:7">
      <c r="G21250" s="812"/>
    </row>
    <row r="21251" spans="7:7">
      <c r="G21251" s="812"/>
    </row>
    <row r="21252" spans="7:7">
      <c r="G21252" s="812"/>
    </row>
    <row r="21253" spans="7:7">
      <c r="G21253" s="812"/>
    </row>
    <row r="21254" spans="7:7">
      <c r="G21254" s="812"/>
    </row>
    <row r="21255" spans="7:7">
      <c r="G21255" s="812"/>
    </row>
    <row r="21256" spans="7:7">
      <c r="G21256" s="812"/>
    </row>
    <row r="21257" spans="7:7">
      <c r="G21257" s="812"/>
    </row>
    <row r="21258" spans="7:7">
      <c r="G21258" s="812"/>
    </row>
    <row r="21259" spans="7:7">
      <c r="G21259" s="812"/>
    </row>
    <row r="21260" spans="7:7">
      <c r="G21260" s="812"/>
    </row>
    <row r="21261" spans="7:7">
      <c r="G21261" s="812"/>
    </row>
    <row r="21262" spans="7:7">
      <c r="G21262" s="812"/>
    </row>
    <row r="21263" spans="7:7">
      <c r="G21263" s="812"/>
    </row>
    <row r="21264" spans="7:7">
      <c r="G21264" s="812"/>
    </row>
    <row r="21265" spans="7:7">
      <c r="G21265" s="812"/>
    </row>
    <row r="21266" spans="7:7">
      <c r="G21266" s="812"/>
    </row>
    <row r="21267" spans="7:7">
      <c r="G21267" s="812"/>
    </row>
    <row r="21268" spans="7:7">
      <c r="G21268" s="812"/>
    </row>
    <row r="21269" spans="7:7">
      <c r="G21269" s="812"/>
    </row>
    <row r="21270" spans="7:7">
      <c r="G21270" s="812"/>
    </row>
    <row r="21271" spans="7:7">
      <c r="G21271" s="812"/>
    </row>
    <row r="21272" spans="7:7">
      <c r="G21272" s="812"/>
    </row>
    <row r="21273" spans="7:7">
      <c r="G21273" s="812"/>
    </row>
    <row r="21274" spans="7:7">
      <c r="G21274" s="812"/>
    </row>
    <row r="21275" spans="7:7">
      <c r="G21275" s="812"/>
    </row>
    <row r="21276" spans="7:7">
      <c r="G21276" s="812"/>
    </row>
    <row r="21277" spans="7:7">
      <c r="G21277" s="812"/>
    </row>
    <row r="21278" spans="7:7">
      <c r="G21278" s="812"/>
    </row>
    <row r="21279" spans="7:7">
      <c r="G21279" s="812"/>
    </row>
    <row r="21280" spans="7:7">
      <c r="G21280" s="812"/>
    </row>
    <row r="21281" spans="7:7">
      <c r="G21281" s="812"/>
    </row>
    <row r="21282" spans="7:7">
      <c r="G21282" s="812"/>
    </row>
    <row r="21283" spans="7:7">
      <c r="G21283" s="812"/>
    </row>
    <row r="21284" spans="7:7">
      <c r="G21284" s="812"/>
    </row>
    <row r="21285" spans="7:7">
      <c r="G21285" s="812"/>
    </row>
    <row r="21286" spans="7:7">
      <c r="G21286" s="812"/>
    </row>
    <row r="21287" spans="7:7">
      <c r="G21287" s="812"/>
    </row>
    <row r="21288" spans="7:7">
      <c r="G21288" s="812"/>
    </row>
    <row r="21289" spans="7:7">
      <c r="G21289" s="812"/>
    </row>
    <row r="21290" spans="7:7">
      <c r="G21290" s="812"/>
    </row>
    <row r="21291" spans="7:7">
      <c r="G21291" s="812"/>
    </row>
    <row r="21292" spans="7:7">
      <c r="G21292" s="812"/>
    </row>
    <row r="21293" spans="7:7">
      <c r="G21293" s="812"/>
    </row>
    <row r="21294" spans="7:7">
      <c r="G21294" s="812"/>
    </row>
    <row r="21295" spans="7:7">
      <c r="G21295" s="812"/>
    </row>
    <row r="21296" spans="7:7">
      <c r="G21296" s="812"/>
    </row>
    <row r="21297" spans="7:7">
      <c r="G21297" s="812"/>
    </row>
    <row r="21298" spans="7:7">
      <c r="G21298" s="812"/>
    </row>
    <row r="21299" spans="7:7">
      <c r="G21299" s="812"/>
    </row>
    <row r="21300" spans="7:7">
      <c r="G21300" s="812"/>
    </row>
    <row r="21301" spans="7:7">
      <c r="G21301" s="812"/>
    </row>
    <row r="21302" spans="7:7">
      <c r="G21302" s="812"/>
    </row>
    <row r="21303" spans="7:7">
      <c r="G21303" s="812"/>
    </row>
    <row r="21304" spans="7:7">
      <c r="G21304" s="812"/>
    </row>
    <row r="21305" spans="7:7">
      <c r="G21305" s="812"/>
    </row>
    <row r="21306" spans="7:7">
      <c r="G21306" s="812"/>
    </row>
    <row r="21307" spans="7:7">
      <c r="G21307" s="812"/>
    </row>
    <row r="21308" spans="7:7">
      <c r="G21308" s="812"/>
    </row>
    <row r="21309" spans="7:7">
      <c r="G21309" s="812"/>
    </row>
    <row r="21310" spans="7:7">
      <c r="G21310" s="812"/>
    </row>
    <row r="21311" spans="7:7">
      <c r="G21311" s="812"/>
    </row>
    <row r="21312" spans="7:7">
      <c r="G21312" s="812"/>
    </row>
    <row r="21313" spans="7:7">
      <c r="G21313" s="812"/>
    </row>
    <row r="21314" spans="7:7">
      <c r="G21314" s="812"/>
    </row>
    <row r="21315" spans="7:7">
      <c r="G21315" s="812"/>
    </row>
    <row r="21316" spans="7:7">
      <c r="G21316" s="812"/>
    </row>
    <row r="21317" spans="7:7">
      <c r="G21317" s="812"/>
    </row>
    <row r="21318" spans="7:7">
      <c r="G21318" s="812"/>
    </row>
    <row r="21319" spans="7:7">
      <c r="G21319" s="812"/>
    </row>
    <row r="21320" spans="7:7">
      <c r="G21320" s="812"/>
    </row>
    <row r="21321" spans="7:7">
      <c r="G21321" s="812"/>
    </row>
    <row r="21322" spans="7:7">
      <c r="G21322" s="812"/>
    </row>
    <row r="21323" spans="7:7">
      <c r="G21323" s="812"/>
    </row>
    <row r="21324" spans="7:7">
      <c r="G21324" s="812"/>
    </row>
    <row r="21325" spans="7:7">
      <c r="G21325" s="812"/>
    </row>
    <row r="21326" spans="7:7">
      <c r="G21326" s="812"/>
    </row>
    <row r="21327" spans="7:7">
      <c r="G21327" s="812"/>
    </row>
    <row r="21328" spans="7:7">
      <c r="G21328" s="812"/>
    </row>
    <row r="21329" spans="7:7">
      <c r="G21329" s="812"/>
    </row>
    <row r="21330" spans="7:7">
      <c r="G21330" s="812"/>
    </row>
    <row r="21331" spans="7:7">
      <c r="G21331" s="812"/>
    </row>
    <row r="21332" spans="7:7">
      <c r="G21332" s="812"/>
    </row>
    <row r="21333" spans="7:7">
      <c r="G21333" s="812"/>
    </row>
    <row r="21334" spans="7:7">
      <c r="G21334" s="812"/>
    </row>
    <row r="21335" spans="7:7">
      <c r="G21335" s="812"/>
    </row>
    <row r="21336" spans="7:7">
      <c r="G21336" s="812"/>
    </row>
    <row r="21337" spans="7:7">
      <c r="G21337" s="812"/>
    </row>
    <row r="21338" spans="7:7">
      <c r="G21338" s="812"/>
    </row>
    <row r="21339" spans="7:7">
      <c r="G21339" s="812"/>
    </row>
    <row r="21340" spans="7:7">
      <c r="G21340" s="812"/>
    </row>
    <row r="21341" spans="7:7">
      <c r="G21341" s="812"/>
    </row>
    <row r="21342" spans="7:7">
      <c r="G21342" s="812"/>
    </row>
    <row r="21343" spans="7:7">
      <c r="G21343" s="812"/>
    </row>
    <row r="21344" spans="7:7">
      <c r="G21344" s="812"/>
    </row>
    <row r="21345" spans="7:7">
      <c r="G21345" s="812"/>
    </row>
    <row r="21346" spans="7:7">
      <c r="G21346" s="812"/>
    </row>
    <row r="21347" spans="7:7">
      <c r="G21347" s="812"/>
    </row>
    <row r="21348" spans="7:7">
      <c r="G21348" s="812"/>
    </row>
    <row r="21349" spans="7:7">
      <c r="G21349" s="812"/>
    </row>
    <row r="21350" spans="7:7">
      <c r="G21350" s="812"/>
    </row>
    <row r="21351" spans="7:7">
      <c r="G21351" s="812"/>
    </row>
    <row r="21352" spans="7:7">
      <c r="G21352" s="812"/>
    </row>
    <row r="21353" spans="7:7">
      <c r="G21353" s="812"/>
    </row>
    <row r="21354" spans="7:7">
      <c r="G21354" s="812"/>
    </row>
    <row r="21355" spans="7:7">
      <c r="G21355" s="812"/>
    </row>
    <row r="21356" spans="7:7">
      <c r="G21356" s="812"/>
    </row>
    <row r="21357" spans="7:7">
      <c r="G21357" s="812"/>
    </row>
    <row r="21358" spans="7:7">
      <c r="G21358" s="812"/>
    </row>
    <row r="21359" spans="7:7">
      <c r="G21359" s="812"/>
    </row>
    <row r="21360" spans="7:7">
      <c r="G21360" s="812"/>
    </row>
    <row r="21361" spans="7:7">
      <c r="G21361" s="812"/>
    </row>
    <row r="21362" spans="7:7">
      <c r="G21362" s="812"/>
    </row>
    <row r="21363" spans="7:7">
      <c r="G21363" s="812"/>
    </row>
    <row r="21364" spans="7:7">
      <c r="G21364" s="812"/>
    </row>
    <row r="21365" spans="7:7">
      <c r="G21365" s="812"/>
    </row>
    <row r="21366" spans="7:7">
      <c r="G21366" s="812"/>
    </row>
    <row r="21367" spans="7:7">
      <c r="G21367" s="812"/>
    </row>
    <row r="21368" spans="7:7">
      <c r="G21368" s="812"/>
    </row>
    <row r="21369" spans="7:7">
      <c r="G21369" s="812"/>
    </row>
    <row r="21370" spans="7:7">
      <c r="G21370" s="812"/>
    </row>
    <row r="21371" spans="7:7">
      <c r="G21371" s="812"/>
    </row>
    <row r="21372" spans="7:7">
      <c r="G21372" s="812"/>
    </row>
    <row r="21373" spans="7:7">
      <c r="G21373" s="812"/>
    </row>
    <row r="21374" spans="7:7">
      <c r="G21374" s="812"/>
    </row>
    <row r="21375" spans="7:7">
      <c r="G21375" s="812"/>
    </row>
    <row r="21376" spans="7:7">
      <c r="G21376" s="812"/>
    </row>
    <row r="21377" spans="7:7">
      <c r="G21377" s="812"/>
    </row>
    <row r="21378" spans="7:7">
      <c r="G21378" s="812"/>
    </row>
    <row r="21379" spans="7:7">
      <c r="G21379" s="812"/>
    </row>
    <row r="21380" spans="7:7">
      <c r="G21380" s="812"/>
    </row>
    <row r="21381" spans="7:7">
      <c r="G21381" s="812"/>
    </row>
    <row r="21382" spans="7:7">
      <c r="G21382" s="812"/>
    </row>
    <row r="21383" spans="7:7">
      <c r="G21383" s="812"/>
    </row>
    <row r="21384" spans="7:7">
      <c r="G21384" s="812"/>
    </row>
    <row r="21385" spans="7:7">
      <c r="G21385" s="812"/>
    </row>
    <row r="21386" spans="7:7">
      <c r="G21386" s="812"/>
    </row>
    <row r="21387" spans="7:7">
      <c r="G21387" s="812"/>
    </row>
    <row r="21388" spans="7:7">
      <c r="G21388" s="812"/>
    </row>
    <row r="21389" spans="7:7">
      <c r="G21389" s="812"/>
    </row>
    <row r="21390" spans="7:7">
      <c r="G21390" s="812"/>
    </row>
    <row r="21391" spans="7:7">
      <c r="G21391" s="812"/>
    </row>
    <row r="21392" spans="7:7">
      <c r="G21392" s="812"/>
    </row>
    <row r="21393" spans="7:7">
      <c r="G21393" s="812"/>
    </row>
    <row r="21394" spans="7:7">
      <c r="G21394" s="812"/>
    </row>
    <row r="21395" spans="7:7">
      <c r="G21395" s="812"/>
    </row>
    <row r="21396" spans="7:7">
      <c r="G21396" s="812"/>
    </row>
    <row r="21397" spans="7:7">
      <c r="G21397" s="812"/>
    </row>
    <row r="21398" spans="7:7">
      <c r="G21398" s="812"/>
    </row>
    <row r="21399" spans="7:7">
      <c r="G21399" s="812"/>
    </row>
    <row r="21400" spans="7:7">
      <c r="G21400" s="812"/>
    </row>
    <row r="21401" spans="7:7">
      <c r="G21401" s="812"/>
    </row>
    <row r="21402" spans="7:7">
      <c r="G21402" s="812"/>
    </row>
    <row r="21403" spans="7:7">
      <c r="G21403" s="812"/>
    </row>
    <row r="21404" spans="7:7">
      <c r="G21404" s="812"/>
    </row>
    <row r="21405" spans="7:7">
      <c r="G21405" s="812"/>
    </row>
    <row r="21406" spans="7:7">
      <c r="G21406" s="812"/>
    </row>
    <row r="21407" spans="7:7">
      <c r="G21407" s="812"/>
    </row>
    <row r="21408" spans="7:7">
      <c r="G21408" s="812"/>
    </row>
    <row r="21409" spans="7:7">
      <c r="G21409" s="812"/>
    </row>
    <row r="21410" spans="7:7">
      <c r="G21410" s="812"/>
    </row>
    <row r="21411" spans="7:7">
      <c r="G21411" s="812"/>
    </row>
    <row r="21412" spans="7:7">
      <c r="G21412" s="812"/>
    </row>
    <row r="21413" spans="7:7">
      <c r="G21413" s="812"/>
    </row>
    <row r="21414" spans="7:7">
      <c r="G21414" s="812"/>
    </row>
    <row r="21415" spans="7:7">
      <c r="G21415" s="812"/>
    </row>
    <row r="21416" spans="7:7">
      <c r="G21416" s="812"/>
    </row>
    <row r="21417" spans="7:7">
      <c r="G21417" s="812"/>
    </row>
    <row r="21418" spans="7:7">
      <c r="G21418" s="812"/>
    </row>
    <row r="21419" spans="7:7">
      <c r="G21419" s="812"/>
    </row>
    <row r="21420" spans="7:7">
      <c r="G21420" s="812"/>
    </row>
    <row r="21421" spans="7:7">
      <c r="G21421" s="812"/>
    </row>
    <row r="21422" spans="7:7">
      <c r="G21422" s="812"/>
    </row>
    <row r="21423" spans="7:7">
      <c r="G21423" s="812"/>
    </row>
    <row r="21424" spans="7:7">
      <c r="G21424" s="812"/>
    </row>
    <row r="21425" spans="7:7">
      <c r="G21425" s="812"/>
    </row>
    <row r="21426" spans="7:7">
      <c r="G21426" s="812"/>
    </row>
    <row r="21427" spans="7:7">
      <c r="G21427" s="812"/>
    </row>
    <row r="21428" spans="7:7">
      <c r="G21428" s="812"/>
    </row>
    <row r="21429" spans="7:7">
      <c r="G21429" s="812"/>
    </row>
    <row r="21430" spans="7:7">
      <c r="G21430" s="812"/>
    </row>
    <row r="21431" spans="7:7">
      <c r="G21431" s="812"/>
    </row>
    <row r="21432" spans="7:7">
      <c r="G21432" s="812"/>
    </row>
    <row r="21433" spans="7:7">
      <c r="G21433" s="812"/>
    </row>
    <row r="21434" spans="7:7">
      <c r="G21434" s="812"/>
    </row>
    <row r="21435" spans="7:7">
      <c r="G21435" s="812"/>
    </row>
    <row r="21436" spans="7:7">
      <c r="G21436" s="812"/>
    </row>
    <row r="21437" spans="7:7">
      <c r="G21437" s="812"/>
    </row>
    <row r="21438" spans="7:7">
      <c r="G21438" s="812"/>
    </row>
    <row r="21439" spans="7:7">
      <c r="G21439" s="812"/>
    </row>
    <row r="21440" spans="7:7">
      <c r="G21440" s="812"/>
    </row>
    <row r="21441" spans="7:7">
      <c r="G21441" s="812"/>
    </row>
    <row r="21442" spans="7:7">
      <c r="G21442" s="812"/>
    </row>
    <row r="21443" spans="7:7">
      <c r="G21443" s="812"/>
    </row>
    <row r="21444" spans="7:7">
      <c r="G21444" s="812"/>
    </row>
    <row r="21445" spans="7:7">
      <c r="G21445" s="812"/>
    </row>
    <row r="21446" spans="7:7">
      <c r="G21446" s="812"/>
    </row>
    <row r="21447" spans="7:7">
      <c r="G21447" s="812"/>
    </row>
    <row r="21448" spans="7:7">
      <c r="G21448" s="812"/>
    </row>
    <row r="21449" spans="7:7">
      <c r="G21449" s="812"/>
    </row>
    <row r="21450" spans="7:7">
      <c r="G21450" s="812"/>
    </row>
    <row r="21451" spans="7:7">
      <c r="G21451" s="812"/>
    </row>
    <row r="21452" spans="7:7">
      <c r="G21452" s="812"/>
    </row>
    <row r="21453" spans="7:7">
      <c r="G21453" s="812"/>
    </row>
    <row r="21454" spans="7:7">
      <c r="G21454" s="812"/>
    </row>
    <row r="21455" spans="7:7">
      <c r="G21455" s="812"/>
    </row>
    <row r="21456" spans="7:7">
      <c r="G21456" s="812"/>
    </row>
    <row r="21457" spans="7:7">
      <c r="G21457" s="812"/>
    </row>
    <row r="21458" spans="7:7">
      <c r="G21458" s="812"/>
    </row>
    <row r="21459" spans="7:7">
      <c r="G21459" s="812"/>
    </row>
    <row r="21460" spans="7:7">
      <c r="G21460" s="812"/>
    </row>
    <row r="21461" spans="7:7">
      <c r="G21461" s="812"/>
    </row>
    <row r="21462" spans="7:7">
      <c r="G21462" s="812"/>
    </row>
    <row r="21463" spans="7:7">
      <c r="G21463" s="812"/>
    </row>
    <row r="21464" spans="7:7">
      <c r="G21464" s="812"/>
    </row>
    <row r="21465" spans="7:7">
      <c r="G21465" s="812"/>
    </row>
    <row r="21466" spans="7:7">
      <c r="G21466" s="812"/>
    </row>
    <row r="21467" spans="7:7">
      <c r="G21467" s="812"/>
    </row>
    <row r="21468" spans="7:7">
      <c r="G21468" s="812"/>
    </row>
    <row r="21469" spans="7:7">
      <c r="G21469" s="812"/>
    </row>
    <row r="21470" spans="7:7">
      <c r="G21470" s="812"/>
    </row>
    <row r="21471" spans="7:7">
      <c r="G21471" s="812"/>
    </row>
    <row r="21472" spans="7:7">
      <c r="G21472" s="812"/>
    </row>
    <row r="21473" spans="7:7">
      <c r="G21473" s="812"/>
    </row>
    <row r="21474" spans="7:7">
      <c r="G21474" s="812"/>
    </row>
    <row r="21475" spans="7:7">
      <c r="G21475" s="812"/>
    </row>
    <row r="21476" spans="7:7">
      <c r="G21476" s="812"/>
    </row>
    <row r="21477" spans="7:7">
      <c r="G21477" s="812"/>
    </row>
    <row r="21478" spans="7:7">
      <c r="G21478" s="812"/>
    </row>
    <row r="21479" spans="7:7">
      <c r="G21479" s="812"/>
    </row>
    <row r="21480" spans="7:7">
      <c r="G21480" s="812"/>
    </row>
    <row r="21481" spans="7:7">
      <c r="G21481" s="812"/>
    </row>
    <row r="21482" spans="7:7">
      <c r="G21482" s="812"/>
    </row>
    <row r="21483" spans="7:7">
      <c r="G21483" s="812"/>
    </row>
    <row r="21484" spans="7:7">
      <c r="G21484" s="812"/>
    </row>
    <row r="21485" spans="7:7">
      <c r="G21485" s="812"/>
    </row>
    <row r="21486" spans="7:7">
      <c r="G21486" s="812"/>
    </row>
    <row r="21487" spans="7:7">
      <c r="G21487" s="812"/>
    </row>
    <row r="21488" spans="7:7">
      <c r="G21488" s="812"/>
    </row>
    <row r="21489" spans="7:7">
      <c r="G21489" s="812"/>
    </row>
    <row r="21490" spans="7:7">
      <c r="G21490" s="812"/>
    </row>
    <row r="21491" spans="7:7">
      <c r="G21491" s="812"/>
    </row>
    <row r="21492" spans="7:7">
      <c r="G21492" s="812"/>
    </row>
    <row r="21493" spans="7:7">
      <c r="G21493" s="812"/>
    </row>
    <row r="21494" spans="7:7">
      <c r="G21494" s="812"/>
    </row>
    <row r="21495" spans="7:7">
      <c r="G21495" s="812"/>
    </row>
    <row r="21496" spans="7:7">
      <c r="G21496" s="812"/>
    </row>
    <row r="21497" spans="7:7">
      <c r="G21497" s="812"/>
    </row>
    <row r="21498" spans="7:7">
      <c r="G21498" s="812"/>
    </row>
    <row r="21499" spans="7:7">
      <c r="G21499" s="812"/>
    </row>
    <row r="21500" spans="7:7">
      <c r="G21500" s="812"/>
    </row>
    <row r="21501" spans="7:7">
      <c r="G21501" s="812"/>
    </row>
    <row r="21502" spans="7:7">
      <c r="G21502" s="812"/>
    </row>
    <row r="21503" spans="7:7">
      <c r="G21503" s="812"/>
    </row>
    <row r="21504" spans="7:7">
      <c r="G21504" s="812"/>
    </row>
    <row r="21505" spans="7:7">
      <c r="G21505" s="812"/>
    </row>
    <row r="21506" spans="7:7">
      <c r="G21506" s="812"/>
    </row>
    <row r="21507" spans="7:7">
      <c r="G21507" s="812"/>
    </row>
    <row r="21508" spans="7:7">
      <c r="G21508" s="812"/>
    </row>
    <row r="21509" spans="7:7">
      <c r="G21509" s="812"/>
    </row>
    <row r="21510" spans="7:7">
      <c r="G21510" s="812"/>
    </row>
    <row r="21511" spans="7:7">
      <c r="G21511" s="812"/>
    </row>
    <row r="21512" spans="7:7">
      <c r="G21512" s="812"/>
    </row>
    <row r="21513" spans="7:7">
      <c r="G21513" s="812"/>
    </row>
    <row r="21514" spans="7:7">
      <c r="G21514" s="812"/>
    </row>
    <row r="21515" spans="7:7">
      <c r="G21515" s="812"/>
    </row>
    <row r="21516" spans="7:7">
      <c r="G21516" s="812"/>
    </row>
    <row r="21517" spans="7:7">
      <c r="G21517" s="812"/>
    </row>
    <row r="21518" spans="7:7">
      <c r="G21518" s="812"/>
    </row>
    <row r="21519" spans="7:7">
      <c r="G21519" s="812"/>
    </row>
    <row r="21520" spans="7:7">
      <c r="G21520" s="812"/>
    </row>
    <row r="21521" spans="7:7">
      <c r="G21521" s="812"/>
    </row>
    <row r="21522" spans="7:7">
      <c r="G21522" s="812"/>
    </row>
    <row r="21523" spans="7:7">
      <c r="G21523" s="812"/>
    </row>
    <row r="21524" spans="7:7">
      <c r="G21524" s="812"/>
    </row>
    <row r="21525" spans="7:7">
      <c r="G21525" s="812"/>
    </row>
    <row r="21526" spans="7:7">
      <c r="G21526" s="812"/>
    </row>
    <row r="21527" spans="7:7">
      <c r="G21527" s="812"/>
    </row>
    <row r="21528" spans="7:7">
      <c r="G21528" s="812"/>
    </row>
    <row r="21529" spans="7:7">
      <c r="G21529" s="812"/>
    </row>
    <row r="21530" spans="7:7">
      <c r="G21530" s="812"/>
    </row>
    <row r="21531" spans="7:7">
      <c r="G21531" s="812"/>
    </row>
    <row r="21532" spans="7:7">
      <c r="G21532" s="812"/>
    </row>
    <row r="21533" spans="7:7">
      <c r="G21533" s="812"/>
    </row>
    <row r="21534" spans="7:7">
      <c r="G21534" s="812"/>
    </row>
    <row r="21535" spans="7:7">
      <c r="G21535" s="812"/>
    </row>
    <row r="21536" spans="7:7">
      <c r="G21536" s="812"/>
    </row>
    <row r="21537" spans="7:7">
      <c r="G21537" s="812"/>
    </row>
    <row r="21538" spans="7:7">
      <c r="G21538" s="812"/>
    </row>
    <row r="21539" spans="7:7">
      <c r="G21539" s="812"/>
    </row>
    <row r="21540" spans="7:7">
      <c r="G21540" s="812"/>
    </row>
    <row r="21541" spans="7:7">
      <c r="G21541" s="812"/>
    </row>
    <row r="21542" spans="7:7">
      <c r="G21542" s="812"/>
    </row>
    <row r="21543" spans="7:7">
      <c r="G21543" s="812"/>
    </row>
    <row r="21544" spans="7:7">
      <c r="G21544" s="812"/>
    </row>
    <row r="21545" spans="7:7">
      <c r="G21545" s="812"/>
    </row>
    <row r="21546" spans="7:7">
      <c r="G21546" s="812"/>
    </row>
    <row r="21547" spans="7:7">
      <c r="G21547" s="812"/>
    </row>
    <row r="21548" spans="7:7">
      <c r="G21548" s="812"/>
    </row>
    <row r="21549" spans="7:7">
      <c r="G21549" s="812"/>
    </row>
    <row r="21550" spans="7:7">
      <c r="G21550" s="812"/>
    </row>
    <row r="21551" spans="7:7">
      <c r="G21551" s="812"/>
    </row>
    <row r="21552" spans="7:7">
      <c r="G21552" s="812"/>
    </row>
    <row r="21553" spans="7:7">
      <c r="G21553" s="812"/>
    </row>
    <row r="21554" spans="7:7">
      <c r="G21554" s="812"/>
    </row>
    <row r="21555" spans="7:7">
      <c r="G21555" s="812"/>
    </row>
    <row r="21556" spans="7:7">
      <c r="G21556" s="812"/>
    </row>
    <row r="21557" spans="7:7">
      <c r="G21557" s="812"/>
    </row>
    <row r="21558" spans="7:7">
      <c r="G21558" s="812"/>
    </row>
    <row r="21559" spans="7:7">
      <c r="G21559" s="812"/>
    </row>
    <row r="21560" spans="7:7">
      <c r="G21560" s="812"/>
    </row>
    <row r="21561" spans="7:7">
      <c r="G21561" s="812"/>
    </row>
    <row r="21562" spans="7:7">
      <c r="G21562" s="812"/>
    </row>
    <row r="21563" spans="7:7">
      <c r="G21563" s="812"/>
    </row>
    <row r="21564" spans="7:7">
      <c r="G21564" s="812"/>
    </row>
    <row r="21565" spans="7:7">
      <c r="G21565" s="812"/>
    </row>
    <row r="21566" spans="7:7">
      <c r="G21566" s="812"/>
    </row>
    <row r="21567" spans="7:7">
      <c r="G21567" s="812"/>
    </row>
    <row r="21568" spans="7:7">
      <c r="G21568" s="812"/>
    </row>
    <row r="21569" spans="7:7">
      <c r="G21569" s="812"/>
    </row>
    <row r="21570" spans="7:7">
      <c r="G21570" s="812"/>
    </row>
    <row r="21571" spans="7:7">
      <c r="G21571" s="812"/>
    </row>
    <row r="21572" spans="7:7">
      <c r="G21572" s="812"/>
    </row>
    <row r="21573" spans="7:7">
      <c r="G21573" s="812"/>
    </row>
    <row r="21574" spans="7:7">
      <c r="G21574" s="812"/>
    </row>
    <row r="21575" spans="7:7">
      <c r="G21575" s="812"/>
    </row>
    <row r="21576" spans="7:7">
      <c r="G21576" s="812"/>
    </row>
    <row r="21577" spans="7:7">
      <c r="G21577" s="812"/>
    </row>
    <row r="21578" spans="7:7">
      <c r="G21578" s="812"/>
    </row>
    <row r="21579" spans="7:7">
      <c r="G21579" s="812"/>
    </row>
    <row r="21580" spans="7:7">
      <c r="G21580" s="812"/>
    </row>
    <row r="21581" spans="7:7">
      <c r="G21581" s="812"/>
    </row>
    <row r="21582" spans="7:7">
      <c r="G21582" s="812"/>
    </row>
    <row r="21583" spans="7:7">
      <c r="G21583" s="812"/>
    </row>
    <row r="21584" spans="7:7">
      <c r="G21584" s="812"/>
    </row>
    <row r="21585" spans="7:7">
      <c r="G21585" s="812"/>
    </row>
    <row r="21586" spans="7:7">
      <c r="G21586" s="812"/>
    </row>
    <row r="21587" spans="7:7">
      <c r="G21587" s="812"/>
    </row>
    <row r="21588" spans="7:7">
      <c r="G21588" s="812"/>
    </row>
    <row r="21589" spans="7:7">
      <c r="G21589" s="812"/>
    </row>
    <row r="21590" spans="7:7">
      <c r="G21590" s="812"/>
    </row>
    <row r="21591" spans="7:7">
      <c r="G21591" s="812"/>
    </row>
    <row r="21592" spans="7:7">
      <c r="G21592" s="812"/>
    </row>
    <row r="21593" spans="7:7">
      <c r="G21593" s="812"/>
    </row>
    <row r="21594" spans="7:7">
      <c r="G21594" s="812"/>
    </row>
    <row r="21595" spans="7:7">
      <c r="G21595" s="812"/>
    </row>
    <row r="21596" spans="7:7">
      <c r="G21596" s="812"/>
    </row>
    <row r="21597" spans="7:7">
      <c r="G21597" s="812"/>
    </row>
    <row r="21598" spans="7:7">
      <c r="G21598" s="812"/>
    </row>
    <row r="21599" spans="7:7">
      <c r="G21599" s="812"/>
    </row>
    <row r="21600" spans="7:7">
      <c r="G21600" s="812"/>
    </row>
    <row r="21601" spans="7:7">
      <c r="G21601" s="812"/>
    </row>
    <row r="21602" spans="7:7">
      <c r="G21602" s="812"/>
    </row>
    <row r="21603" spans="7:7">
      <c r="G21603" s="812"/>
    </row>
    <row r="21604" spans="7:7">
      <c r="G21604" s="812"/>
    </row>
    <row r="21605" spans="7:7">
      <c r="G21605" s="812"/>
    </row>
    <row r="21606" spans="7:7">
      <c r="G21606" s="812"/>
    </row>
    <row r="21607" spans="7:7">
      <c r="G21607" s="812"/>
    </row>
    <row r="21608" spans="7:7">
      <c r="G21608" s="812"/>
    </row>
    <row r="21609" spans="7:7">
      <c r="G21609" s="812"/>
    </row>
    <row r="21610" spans="7:7">
      <c r="G21610" s="812"/>
    </row>
    <row r="21611" spans="7:7">
      <c r="G21611" s="812"/>
    </row>
    <row r="21612" spans="7:7">
      <c r="G21612" s="812"/>
    </row>
    <row r="21613" spans="7:7">
      <c r="G21613" s="812"/>
    </row>
    <row r="21614" spans="7:7">
      <c r="G21614" s="812"/>
    </row>
    <row r="21615" spans="7:7">
      <c r="G21615" s="812"/>
    </row>
    <row r="21616" spans="7:7">
      <c r="G21616" s="812"/>
    </row>
    <row r="21617" spans="7:7">
      <c r="G21617" s="812"/>
    </row>
    <row r="21618" spans="7:7">
      <c r="G21618" s="812"/>
    </row>
    <row r="21619" spans="7:7">
      <c r="G21619" s="812"/>
    </row>
    <row r="21620" spans="7:7">
      <c r="G21620" s="812"/>
    </row>
    <row r="21621" spans="7:7">
      <c r="G21621" s="812"/>
    </row>
    <row r="21622" spans="7:7">
      <c r="G21622" s="812"/>
    </row>
    <row r="21623" spans="7:7">
      <c r="G21623" s="812"/>
    </row>
    <row r="21624" spans="7:7">
      <c r="G21624" s="812"/>
    </row>
    <row r="21625" spans="7:7">
      <c r="G21625" s="812"/>
    </row>
    <row r="21626" spans="7:7">
      <c r="G21626" s="812"/>
    </row>
    <row r="21627" spans="7:7">
      <c r="G21627" s="812"/>
    </row>
    <row r="21628" spans="7:7">
      <c r="G21628" s="812"/>
    </row>
    <row r="21629" spans="7:7">
      <c r="G21629" s="812"/>
    </row>
    <row r="21630" spans="7:7">
      <c r="G21630" s="812"/>
    </row>
    <row r="21631" spans="7:7">
      <c r="G21631" s="812"/>
    </row>
    <row r="21632" spans="7:7">
      <c r="G21632" s="812"/>
    </row>
    <row r="21633" spans="7:7">
      <c r="G21633" s="812"/>
    </row>
    <row r="21634" spans="7:7">
      <c r="G21634" s="812"/>
    </row>
    <row r="21635" spans="7:7">
      <c r="G21635" s="812"/>
    </row>
    <row r="21636" spans="7:7">
      <c r="G21636" s="812"/>
    </row>
    <row r="21637" spans="7:7">
      <c r="G21637" s="812"/>
    </row>
    <row r="21638" spans="7:7">
      <c r="G21638" s="812"/>
    </row>
    <row r="21639" spans="7:7">
      <c r="G21639" s="812"/>
    </row>
    <row r="21640" spans="7:7">
      <c r="G21640" s="812"/>
    </row>
    <row r="21641" spans="7:7">
      <c r="G21641" s="812"/>
    </row>
    <row r="21642" spans="7:7">
      <c r="G21642" s="812"/>
    </row>
    <row r="21643" spans="7:7">
      <c r="G21643" s="812"/>
    </row>
    <row r="21644" spans="7:7">
      <c r="G21644" s="812"/>
    </row>
    <row r="21645" spans="7:7">
      <c r="G21645" s="812"/>
    </row>
    <row r="21646" spans="7:7">
      <c r="G21646" s="812"/>
    </row>
    <row r="21647" spans="7:7">
      <c r="G21647" s="812"/>
    </row>
    <row r="21648" spans="7:7">
      <c r="G21648" s="812"/>
    </row>
    <row r="21649" spans="7:7">
      <c r="G21649" s="812"/>
    </row>
    <row r="21650" spans="7:7">
      <c r="G21650" s="812"/>
    </row>
    <row r="21651" spans="7:7">
      <c r="G21651" s="812"/>
    </row>
    <row r="21652" spans="7:7">
      <c r="G21652" s="812"/>
    </row>
    <row r="21653" spans="7:7">
      <c r="G21653" s="812"/>
    </row>
    <row r="21654" spans="7:7">
      <c r="G21654" s="812"/>
    </row>
    <row r="21655" spans="7:7">
      <c r="G21655" s="812"/>
    </row>
    <row r="21656" spans="7:7">
      <c r="G21656" s="812"/>
    </row>
    <row r="21657" spans="7:7">
      <c r="G21657" s="812"/>
    </row>
    <row r="21658" spans="7:7">
      <c r="G21658" s="812"/>
    </row>
    <row r="21659" spans="7:7">
      <c r="G21659" s="812"/>
    </row>
    <row r="21660" spans="7:7">
      <c r="G21660" s="812"/>
    </row>
    <row r="21661" spans="7:7">
      <c r="G21661" s="812"/>
    </row>
    <row r="21662" spans="7:7">
      <c r="G21662" s="812"/>
    </row>
    <row r="21663" spans="7:7">
      <c r="G21663" s="812"/>
    </row>
    <row r="21664" spans="7:7">
      <c r="G21664" s="812"/>
    </row>
    <row r="21665" spans="7:7">
      <c r="G21665" s="812"/>
    </row>
    <row r="21666" spans="7:7">
      <c r="G21666" s="812"/>
    </row>
    <row r="21667" spans="7:7">
      <c r="G21667" s="812"/>
    </row>
    <row r="21668" spans="7:7">
      <c r="G21668" s="812"/>
    </row>
    <row r="21669" spans="7:7">
      <c r="G21669" s="812"/>
    </row>
    <row r="21670" spans="7:7">
      <c r="G21670" s="812"/>
    </row>
    <row r="21671" spans="7:7">
      <c r="G21671" s="812"/>
    </row>
    <row r="21672" spans="7:7">
      <c r="G21672" s="812"/>
    </row>
    <row r="21673" spans="7:7">
      <c r="G21673" s="812"/>
    </row>
    <row r="21674" spans="7:7">
      <c r="G21674" s="812"/>
    </row>
    <row r="21675" spans="7:7">
      <c r="G21675" s="812"/>
    </row>
    <row r="21676" spans="7:7">
      <c r="G21676" s="812"/>
    </row>
    <row r="21677" spans="7:7">
      <c r="G21677" s="812"/>
    </row>
    <row r="21678" spans="7:7">
      <c r="G21678" s="812"/>
    </row>
    <row r="21679" spans="7:7">
      <c r="G21679" s="812"/>
    </row>
    <row r="21680" spans="7:7">
      <c r="G21680" s="812"/>
    </row>
    <row r="21681" spans="7:7">
      <c r="G21681" s="812"/>
    </row>
    <row r="21682" spans="7:7">
      <c r="G21682" s="812"/>
    </row>
    <row r="21683" spans="7:7">
      <c r="G21683" s="812"/>
    </row>
    <row r="21684" spans="7:7">
      <c r="G21684" s="812"/>
    </row>
    <row r="21685" spans="7:7">
      <c r="G21685" s="812"/>
    </row>
    <row r="21686" spans="7:7">
      <c r="G21686" s="812"/>
    </row>
    <row r="21687" spans="7:7">
      <c r="G21687" s="812"/>
    </row>
    <row r="21688" spans="7:7">
      <c r="G21688" s="812"/>
    </row>
    <row r="21689" spans="7:7">
      <c r="G21689" s="812"/>
    </row>
    <row r="21690" spans="7:7">
      <c r="G21690" s="812"/>
    </row>
    <row r="21691" spans="7:7">
      <c r="G21691" s="812"/>
    </row>
    <row r="21692" spans="7:7">
      <c r="G21692" s="812"/>
    </row>
    <row r="21693" spans="7:7">
      <c r="G21693" s="812"/>
    </row>
    <row r="21694" spans="7:7">
      <c r="G21694" s="812"/>
    </row>
    <row r="21695" spans="7:7">
      <c r="G21695" s="812"/>
    </row>
    <row r="21696" spans="7:7">
      <c r="G21696" s="812"/>
    </row>
    <row r="21697" spans="7:7">
      <c r="G21697" s="812"/>
    </row>
    <row r="21698" spans="7:7">
      <c r="G21698" s="812"/>
    </row>
    <row r="21699" spans="7:7">
      <c r="G21699" s="812"/>
    </row>
    <row r="21700" spans="7:7">
      <c r="G21700" s="812"/>
    </row>
    <row r="21701" spans="7:7">
      <c r="G21701" s="812"/>
    </row>
    <row r="21702" spans="7:7">
      <c r="G21702" s="812"/>
    </row>
    <row r="21703" spans="7:7">
      <c r="G21703" s="812"/>
    </row>
    <row r="21704" spans="7:7">
      <c r="G21704" s="812"/>
    </row>
    <row r="21705" spans="7:7">
      <c r="G21705" s="812"/>
    </row>
    <row r="21706" spans="7:7">
      <c r="G21706" s="812"/>
    </row>
    <row r="21707" spans="7:7">
      <c r="G21707" s="812"/>
    </row>
    <row r="21708" spans="7:7">
      <c r="G21708" s="812"/>
    </row>
    <row r="21709" spans="7:7">
      <c r="G21709" s="812"/>
    </row>
    <row r="21710" spans="7:7">
      <c r="G21710" s="812"/>
    </row>
    <row r="21711" spans="7:7">
      <c r="G21711" s="812"/>
    </row>
    <row r="21712" spans="7:7">
      <c r="G21712" s="812"/>
    </row>
    <row r="21713" spans="7:7">
      <c r="G21713" s="812"/>
    </row>
    <row r="21714" spans="7:7">
      <c r="G21714" s="812"/>
    </row>
    <row r="21715" spans="7:7">
      <c r="G21715" s="812"/>
    </row>
    <row r="21716" spans="7:7">
      <c r="G21716" s="812"/>
    </row>
    <row r="21717" spans="7:7">
      <c r="G21717" s="812"/>
    </row>
    <row r="21718" spans="7:7">
      <c r="G21718" s="812"/>
    </row>
    <row r="21719" spans="7:7">
      <c r="G21719" s="812"/>
    </row>
    <row r="21720" spans="7:7">
      <c r="G21720" s="812"/>
    </row>
    <row r="21721" spans="7:7">
      <c r="G21721" s="812"/>
    </row>
    <row r="21722" spans="7:7">
      <c r="G21722" s="812"/>
    </row>
    <row r="21723" spans="7:7">
      <c r="G21723" s="812"/>
    </row>
    <row r="21724" spans="7:7">
      <c r="G21724" s="812"/>
    </row>
    <row r="21725" spans="7:7">
      <c r="G21725" s="812"/>
    </row>
    <row r="21726" spans="7:7">
      <c r="G21726" s="812"/>
    </row>
    <row r="21727" spans="7:7">
      <c r="G21727" s="812"/>
    </row>
    <row r="21728" spans="7:7">
      <c r="G21728" s="812"/>
    </row>
    <row r="21729" spans="7:7">
      <c r="G21729" s="812"/>
    </row>
    <row r="21730" spans="7:7">
      <c r="G21730" s="812"/>
    </row>
    <row r="21731" spans="7:7">
      <c r="G21731" s="812"/>
    </row>
    <row r="21732" spans="7:7">
      <c r="G21732" s="812"/>
    </row>
    <row r="21733" spans="7:7">
      <c r="G21733" s="812"/>
    </row>
    <row r="21734" spans="7:7">
      <c r="G21734" s="812"/>
    </row>
    <row r="21735" spans="7:7">
      <c r="G21735" s="812"/>
    </row>
    <row r="21736" spans="7:7">
      <c r="G21736" s="812"/>
    </row>
    <row r="21737" spans="7:7">
      <c r="G21737" s="812"/>
    </row>
    <row r="21738" spans="7:7">
      <c r="G21738" s="812"/>
    </row>
    <row r="21739" spans="7:7">
      <c r="G21739" s="812"/>
    </row>
    <row r="21740" spans="7:7">
      <c r="G21740" s="812"/>
    </row>
    <row r="21741" spans="7:7">
      <c r="G21741" s="812"/>
    </row>
    <row r="21742" spans="7:7">
      <c r="G21742" s="812"/>
    </row>
    <row r="21743" spans="7:7">
      <c r="G21743" s="812"/>
    </row>
    <row r="21744" spans="7:7">
      <c r="G21744" s="812"/>
    </row>
    <row r="21745" spans="7:7">
      <c r="G21745" s="812"/>
    </row>
    <row r="21746" spans="7:7">
      <c r="G21746" s="812"/>
    </row>
    <row r="21747" spans="7:7">
      <c r="G21747" s="812"/>
    </row>
    <row r="21748" spans="7:7">
      <c r="G21748" s="812"/>
    </row>
    <row r="21749" spans="7:7">
      <c r="G21749" s="812"/>
    </row>
    <row r="21750" spans="7:7">
      <c r="G21750" s="812"/>
    </row>
    <row r="21751" spans="7:7">
      <c r="G21751" s="812"/>
    </row>
    <row r="21752" spans="7:7">
      <c r="G21752" s="812"/>
    </row>
    <row r="21753" spans="7:7">
      <c r="G21753" s="812"/>
    </row>
    <row r="21754" spans="7:7">
      <c r="G21754" s="812"/>
    </row>
    <row r="21755" spans="7:7">
      <c r="G21755" s="812"/>
    </row>
    <row r="21756" spans="7:7">
      <c r="G21756" s="812"/>
    </row>
    <row r="21757" spans="7:7">
      <c r="G21757" s="812"/>
    </row>
    <row r="21758" spans="7:7">
      <c r="G21758" s="812"/>
    </row>
    <row r="21759" spans="7:7">
      <c r="G21759" s="812"/>
    </row>
    <row r="21760" spans="7:7">
      <c r="G21760" s="812"/>
    </row>
    <row r="21761" spans="7:7">
      <c r="G21761" s="812"/>
    </row>
    <row r="21762" spans="7:7">
      <c r="G21762" s="812"/>
    </row>
    <row r="21763" spans="7:7">
      <c r="G21763" s="812"/>
    </row>
    <row r="21764" spans="7:7">
      <c r="G21764" s="812"/>
    </row>
    <row r="21765" spans="7:7">
      <c r="G21765" s="812"/>
    </row>
    <row r="21766" spans="7:7">
      <c r="G21766" s="812"/>
    </row>
    <row r="21767" spans="7:7">
      <c r="G21767" s="812"/>
    </row>
    <row r="21768" spans="7:7">
      <c r="G21768" s="812"/>
    </row>
    <row r="21769" spans="7:7">
      <c r="G21769" s="812"/>
    </row>
    <row r="21770" spans="7:7">
      <c r="G21770" s="812"/>
    </row>
    <row r="21771" spans="7:7">
      <c r="G21771" s="812"/>
    </row>
    <row r="21772" spans="7:7">
      <c r="G21772" s="812"/>
    </row>
    <row r="21773" spans="7:7">
      <c r="G21773" s="812"/>
    </row>
    <row r="21774" spans="7:7">
      <c r="G21774" s="812"/>
    </row>
    <row r="21775" spans="7:7">
      <c r="G21775" s="812"/>
    </row>
    <row r="21776" spans="7:7">
      <c r="G21776" s="812"/>
    </row>
    <row r="21777" spans="7:7">
      <c r="G21777" s="812"/>
    </row>
    <row r="21778" spans="7:7">
      <c r="G21778" s="812"/>
    </row>
    <row r="21779" spans="7:7">
      <c r="G21779" s="812"/>
    </row>
    <row r="21780" spans="7:7">
      <c r="G21780" s="812"/>
    </row>
    <row r="21781" spans="7:7">
      <c r="G21781" s="812"/>
    </row>
    <row r="21782" spans="7:7">
      <c r="G21782" s="812"/>
    </row>
    <row r="21783" spans="7:7">
      <c r="G21783" s="812"/>
    </row>
    <row r="21784" spans="7:7">
      <c r="G21784" s="812"/>
    </row>
    <row r="21785" spans="7:7">
      <c r="G21785" s="812"/>
    </row>
    <row r="21786" spans="7:7">
      <c r="G21786" s="812"/>
    </row>
    <row r="21787" spans="7:7">
      <c r="G21787" s="812"/>
    </row>
    <row r="21788" spans="7:7">
      <c r="G21788" s="812"/>
    </row>
    <row r="21789" spans="7:7">
      <c r="G21789" s="812"/>
    </row>
    <row r="21790" spans="7:7">
      <c r="G21790" s="812"/>
    </row>
    <row r="21791" spans="7:7">
      <c r="G21791" s="812"/>
    </row>
    <row r="21792" spans="7:7">
      <c r="G21792" s="812"/>
    </row>
    <row r="21793" spans="7:7">
      <c r="G21793" s="812"/>
    </row>
    <row r="21794" spans="7:7">
      <c r="G21794" s="812"/>
    </row>
    <row r="21795" spans="7:7">
      <c r="G21795" s="812"/>
    </row>
    <row r="21796" spans="7:7">
      <c r="G21796" s="812"/>
    </row>
    <row r="21797" spans="7:7">
      <c r="G21797" s="812"/>
    </row>
    <row r="21798" spans="7:7">
      <c r="G21798" s="812"/>
    </row>
    <row r="21799" spans="7:7">
      <c r="G21799" s="812"/>
    </row>
    <row r="21800" spans="7:7">
      <c r="G21800" s="812"/>
    </row>
    <row r="21801" spans="7:7">
      <c r="G21801" s="812"/>
    </row>
    <row r="21802" spans="7:7">
      <c r="G21802" s="812"/>
    </row>
    <row r="21803" spans="7:7">
      <c r="G21803" s="812"/>
    </row>
    <row r="21804" spans="7:7">
      <c r="G21804" s="812"/>
    </row>
    <row r="21805" spans="7:7">
      <c r="G21805" s="812"/>
    </row>
    <row r="21806" spans="7:7">
      <c r="G21806" s="812"/>
    </row>
    <row r="21807" spans="7:7">
      <c r="G21807" s="812"/>
    </row>
    <row r="21808" spans="7:7">
      <c r="G21808" s="812"/>
    </row>
    <row r="21809" spans="7:7">
      <c r="G21809" s="812"/>
    </row>
    <row r="21810" spans="7:7">
      <c r="G21810" s="812"/>
    </row>
    <row r="21811" spans="7:7">
      <c r="G21811" s="812"/>
    </row>
    <row r="21812" spans="7:7">
      <c r="G21812" s="812"/>
    </row>
    <row r="21813" spans="7:7">
      <c r="G21813" s="812"/>
    </row>
    <row r="21814" spans="7:7">
      <c r="G21814" s="812"/>
    </row>
    <row r="21815" spans="7:7">
      <c r="G21815" s="812"/>
    </row>
    <row r="21816" spans="7:7">
      <c r="G21816" s="812"/>
    </row>
    <row r="21817" spans="7:7">
      <c r="G21817" s="812"/>
    </row>
    <row r="21818" spans="7:7">
      <c r="G21818" s="812"/>
    </row>
    <row r="21819" spans="7:7">
      <c r="G21819" s="812"/>
    </row>
    <row r="21820" spans="7:7">
      <c r="G21820" s="812"/>
    </row>
    <row r="21821" spans="7:7">
      <c r="G21821" s="812"/>
    </row>
    <row r="21822" spans="7:7">
      <c r="G21822" s="812"/>
    </row>
    <row r="21823" spans="7:7">
      <c r="G21823" s="812"/>
    </row>
    <row r="21824" spans="7:7">
      <c r="G21824" s="812"/>
    </row>
    <row r="21825" spans="7:7">
      <c r="G21825" s="812"/>
    </row>
    <row r="21826" spans="7:7">
      <c r="G21826" s="812"/>
    </row>
    <row r="21827" spans="7:7">
      <c r="G21827" s="812"/>
    </row>
    <row r="21828" spans="7:7">
      <c r="G21828" s="812"/>
    </row>
    <row r="21829" spans="7:7">
      <c r="G21829" s="812"/>
    </row>
    <row r="21830" spans="7:7">
      <c r="G21830" s="812"/>
    </row>
    <row r="21831" spans="7:7">
      <c r="G21831" s="812"/>
    </row>
    <row r="21832" spans="7:7">
      <c r="G21832" s="812"/>
    </row>
    <row r="21833" spans="7:7">
      <c r="G21833" s="812"/>
    </row>
    <row r="21834" spans="7:7">
      <c r="G21834" s="812"/>
    </row>
    <row r="21835" spans="7:7">
      <c r="G21835" s="812"/>
    </row>
    <row r="21836" spans="7:7">
      <c r="G21836" s="812"/>
    </row>
    <row r="21837" spans="7:7">
      <c r="G21837" s="812"/>
    </row>
    <row r="21838" spans="7:7">
      <c r="G21838" s="812"/>
    </row>
    <row r="21839" spans="7:7">
      <c r="G21839" s="812"/>
    </row>
    <row r="21840" spans="7:7">
      <c r="G21840" s="812"/>
    </row>
    <row r="21841" spans="7:7">
      <c r="G21841" s="812"/>
    </row>
    <row r="21842" spans="7:7">
      <c r="G21842" s="812"/>
    </row>
    <row r="21843" spans="7:7">
      <c r="G21843" s="812"/>
    </row>
    <row r="21844" spans="7:7">
      <c r="G21844" s="812"/>
    </row>
    <row r="21845" spans="7:7">
      <c r="G21845" s="812"/>
    </row>
    <row r="21846" spans="7:7">
      <c r="G21846" s="812"/>
    </row>
    <row r="21847" spans="7:7">
      <c r="G21847" s="812"/>
    </row>
    <row r="21848" spans="7:7">
      <c r="G21848" s="812"/>
    </row>
    <row r="21849" spans="7:7">
      <c r="G21849" s="812"/>
    </row>
    <row r="21850" spans="7:7">
      <c r="G21850" s="812"/>
    </row>
    <row r="21851" spans="7:7">
      <c r="G21851" s="812"/>
    </row>
    <row r="21852" spans="7:7">
      <c r="G21852" s="812"/>
    </row>
    <row r="21853" spans="7:7">
      <c r="G21853" s="812"/>
    </row>
    <row r="21854" spans="7:7">
      <c r="G21854" s="812"/>
    </row>
    <row r="21855" spans="7:7">
      <c r="G21855" s="812"/>
    </row>
    <row r="21856" spans="7:7">
      <c r="G21856" s="812"/>
    </row>
    <row r="21857" spans="7:7">
      <c r="G21857" s="812"/>
    </row>
    <row r="21858" spans="7:7">
      <c r="G21858" s="812"/>
    </row>
    <row r="21859" spans="7:7">
      <c r="G21859" s="812"/>
    </row>
    <row r="21860" spans="7:7">
      <c r="G21860" s="812"/>
    </row>
    <row r="21861" spans="7:7">
      <c r="G21861" s="812"/>
    </row>
    <row r="21862" spans="7:7">
      <c r="G21862" s="812"/>
    </row>
    <row r="21863" spans="7:7">
      <c r="G21863" s="812"/>
    </row>
    <row r="21864" spans="7:7">
      <c r="G21864" s="812"/>
    </row>
    <row r="21865" spans="7:7">
      <c r="G21865" s="812"/>
    </row>
    <row r="21866" spans="7:7">
      <c r="G21866" s="812"/>
    </row>
    <row r="21867" spans="7:7">
      <c r="G21867" s="812"/>
    </row>
    <row r="21868" spans="7:7">
      <c r="G21868" s="812"/>
    </row>
    <row r="21869" spans="7:7">
      <c r="G21869" s="812"/>
    </row>
    <row r="21870" spans="7:7">
      <c r="G21870" s="812"/>
    </row>
    <row r="21871" spans="7:7">
      <c r="G21871" s="812"/>
    </row>
    <row r="21872" spans="7:7">
      <c r="G21872" s="812"/>
    </row>
    <row r="21873" spans="7:7">
      <c r="G21873" s="812"/>
    </row>
    <row r="21874" spans="7:7">
      <c r="G21874" s="812"/>
    </row>
    <row r="21875" spans="7:7">
      <c r="G21875" s="812"/>
    </row>
    <row r="21876" spans="7:7">
      <c r="G21876" s="812"/>
    </row>
    <row r="21877" spans="7:7">
      <c r="G21877" s="812"/>
    </row>
    <row r="21878" spans="7:7">
      <c r="G21878" s="812"/>
    </row>
    <row r="21879" spans="7:7">
      <c r="G21879" s="812"/>
    </row>
    <row r="21880" spans="7:7">
      <c r="G21880" s="812"/>
    </row>
    <row r="21881" spans="7:7">
      <c r="G21881" s="812"/>
    </row>
    <row r="21882" spans="7:7">
      <c r="G21882" s="812"/>
    </row>
    <row r="21883" spans="7:7">
      <c r="G21883" s="812"/>
    </row>
    <row r="21884" spans="7:7">
      <c r="G21884" s="812"/>
    </row>
    <row r="21885" spans="7:7">
      <c r="G21885" s="812"/>
    </row>
    <row r="21886" spans="7:7">
      <c r="G21886" s="812"/>
    </row>
    <row r="21887" spans="7:7">
      <c r="G21887" s="812"/>
    </row>
    <row r="21888" spans="7:7">
      <c r="G21888" s="812"/>
    </row>
    <row r="21889" spans="7:7">
      <c r="G21889" s="812"/>
    </row>
    <row r="21890" spans="7:7">
      <c r="G21890" s="812"/>
    </row>
    <row r="21891" spans="7:7">
      <c r="G21891" s="812"/>
    </row>
    <row r="21892" spans="7:7">
      <c r="G21892" s="812"/>
    </row>
    <row r="21893" spans="7:7">
      <c r="G21893" s="812"/>
    </row>
    <row r="21894" spans="7:7">
      <c r="G21894" s="812"/>
    </row>
    <row r="21895" spans="7:7">
      <c r="G21895" s="812"/>
    </row>
    <row r="21896" spans="7:7">
      <c r="G21896" s="812"/>
    </row>
    <row r="21897" spans="7:7">
      <c r="G21897" s="812"/>
    </row>
    <row r="21898" spans="7:7">
      <c r="G21898" s="812"/>
    </row>
    <row r="21899" spans="7:7">
      <c r="G21899" s="812"/>
    </row>
    <row r="21900" spans="7:7">
      <c r="G21900" s="812"/>
    </row>
    <row r="21901" spans="7:7">
      <c r="G21901" s="812"/>
    </row>
    <row r="21902" spans="7:7">
      <c r="G21902" s="812"/>
    </row>
    <row r="21903" spans="7:7">
      <c r="G21903" s="812"/>
    </row>
    <row r="21904" spans="7:7">
      <c r="G21904" s="812"/>
    </row>
    <row r="21905" spans="7:7">
      <c r="G21905" s="812"/>
    </row>
    <row r="21906" spans="7:7">
      <c r="G21906" s="812"/>
    </row>
    <row r="21907" spans="7:7">
      <c r="G21907" s="812"/>
    </row>
    <row r="21908" spans="7:7">
      <c r="G21908" s="812"/>
    </row>
    <row r="21909" spans="7:7">
      <c r="G21909" s="812"/>
    </row>
    <row r="21910" spans="7:7">
      <c r="G21910" s="812"/>
    </row>
    <row r="21911" spans="7:7">
      <c r="G21911" s="812"/>
    </row>
    <row r="21912" spans="7:7">
      <c r="G21912" s="812"/>
    </row>
    <row r="21913" spans="7:7">
      <c r="G21913" s="812"/>
    </row>
    <row r="21914" spans="7:7">
      <c r="G21914" s="812"/>
    </row>
    <row r="21915" spans="7:7">
      <c r="G21915" s="812"/>
    </row>
    <row r="21916" spans="7:7">
      <c r="G21916" s="812"/>
    </row>
    <row r="21917" spans="7:7">
      <c r="G21917" s="812"/>
    </row>
    <row r="21918" spans="7:7">
      <c r="G21918" s="812"/>
    </row>
    <row r="21919" spans="7:7">
      <c r="G21919" s="812"/>
    </row>
    <row r="21920" spans="7:7">
      <c r="G21920" s="812"/>
    </row>
    <row r="21921" spans="7:7">
      <c r="G21921" s="812"/>
    </row>
    <row r="21922" spans="7:7">
      <c r="G21922" s="812"/>
    </row>
    <row r="21923" spans="7:7">
      <c r="G21923" s="812"/>
    </row>
    <row r="21924" spans="7:7">
      <c r="G21924" s="812"/>
    </row>
    <row r="21925" spans="7:7">
      <c r="G21925" s="812"/>
    </row>
    <row r="21926" spans="7:7">
      <c r="G21926" s="812"/>
    </row>
    <row r="21927" spans="7:7">
      <c r="G21927" s="812"/>
    </row>
    <row r="21928" spans="7:7">
      <c r="G21928" s="812"/>
    </row>
    <row r="21929" spans="7:7">
      <c r="G21929" s="812"/>
    </row>
    <row r="21930" spans="7:7">
      <c r="G21930" s="812"/>
    </row>
    <row r="21931" spans="7:7">
      <c r="G21931" s="812"/>
    </row>
    <row r="21932" spans="7:7">
      <c r="G21932" s="812"/>
    </row>
    <row r="21933" spans="7:7">
      <c r="G21933" s="812"/>
    </row>
    <row r="21934" spans="7:7">
      <c r="G21934" s="812"/>
    </row>
    <row r="21935" spans="7:7">
      <c r="G21935" s="812"/>
    </row>
    <row r="21936" spans="7:7">
      <c r="G21936" s="812"/>
    </row>
    <row r="21937" spans="7:7">
      <c r="G21937" s="812"/>
    </row>
    <row r="21938" spans="7:7">
      <c r="G21938" s="812"/>
    </row>
    <row r="21939" spans="7:7">
      <c r="G21939" s="812"/>
    </row>
    <row r="21940" spans="7:7">
      <c r="G21940" s="812"/>
    </row>
    <row r="21941" spans="7:7">
      <c r="G21941" s="812"/>
    </row>
    <row r="21942" spans="7:7">
      <c r="G21942" s="812"/>
    </row>
    <row r="21943" spans="7:7">
      <c r="G21943" s="812"/>
    </row>
    <row r="21944" spans="7:7">
      <c r="G21944" s="812"/>
    </row>
    <row r="21945" spans="7:7">
      <c r="G21945" s="812"/>
    </row>
    <row r="21946" spans="7:7">
      <c r="G21946" s="812"/>
    </row>
    <row r="21947" spans="7:7">
      <c r="G21947" s="812"/>
    </row>
    <row r="21948" spans="7:7">
      <c r="G21948" s="812"/>
    </row>
    <row r="21949" spans="7:7">
      <c r="G21949" s="812"/>
    </row>
    <row r="21950" spans="7:7">
      <c r="G21950" s="812"/>
    </row>
    <row r="21951" spans="7:7">
      <c r="G21951" s="812"/>
    </row>
    <row r="21952" spans="7:7">
      <c r="G21952" s="812"/>
    </row>
    <row r="21953" spans="7:7">
      <c r="G21953" s="812"/>
    </row>
    <row r="21954" spans="7:7">
      <c r="G21954" s="812"/>
    </row>
    <row r="21955" spans="7:7">
      <c r="G21955" s="812"/>
    </row>
    <row r="21956" spans="7:7">
      <c r="G21956" s="812"/>
    </row>
    <row r="21957" spans="7:7">
      <c r="G21957" s="812"/>
    </row>
    <row r="21958" spans="7:7">
      <c r="G21958" s="812"/>
    </row>
    <row r="21959" spans="7:7">
      <c r="G21959" s="812"/>
    </row>
    <row r="21960" spans="7:7">
      <c r="G21960" s="812"/>
    </row>
    <row r="21961" spans="7:7">
      <c r="G21961" s="812"/>
    </row>
    <row r="21962" spans="7:7">
      <c r="G21962" s="812"/>
    </row>
    <row r="21963" spans="7:7">
      <c r="G21963" s="812"/>
    </row>
    <row r="21964" spans="7:7">
      <c r="G21964" s="812"/>
    </row>
    <row r="21965" spans="7:7">
      <c r="G21965" s="812"/>
    </row>
    <row r="21966" spans="7:7">
      <c r="G21966" s="812"/>
    </row>
    <row r="21967" spans="7:7">
      <c r="G21967" s="812"/>
    </row>
    <row r="21968" spans="7:7">
      <c r="G21968" s="812"/>
    </row>
    <row r="21969" spans="7:7">
      <c r="G21969" s="812"/>
    </row>
    <row r="21970" spans="7:7">
      <c r="G21970" s="812"/>
    </row>
    <row r="21971" spans="7:7">
      <c r="G21971" s="812"/>
    </row>
    <row r="21972" spans="7:7">
      <c r="G21972" s="812"/>
    </row>
    <row r="21973" spans="7:7">
      <c r="G21973" s="812"/>
    </row>
    <row r="21974" spans="7:7">
      <c r="G21974" s="812"/>
    </row>
    <row r="21975" spans="7:7">
      <c r="G21975" s="812"/>
    </row>
    <row r="21976" spans="7:7">
      <c r="G21976" s="812"/>
    </row>
    <row r="21977" spans="7:7">
      <c r="G21977" s="812"/>
    </row>
    <row r="21978" spans="7:7">
      <c r="G21978" s="812"/>
    </row>
    <row r="21979" spans="7:7">
      <c r="G21979" s="812"/>
    </row>
    <row r="21980" spans="7:7">
      <c r="G21980" s="812"/>
    </row>
    <row r="21981" spans="7:7">
      <c r="G21981" s="812"/>
    </row>
    <row r="21982" spans="7:7">
      <c r="G21982" s="812"/>
    </row>
    <row r="21983" spans="7:7">
      <c r="G21983" s="812"/>
    </row>
    <row r="21984" spans="7:7">
      <c r="G21984" s="812"/>
    </row>
    <row r="21985" spans="7:7">
      <c r="G21985" s="812"/>
    </row>
    <row r="21986" spans="7:7">
      <c r="G21986" s="812"/>
    </row>
    <row r="21987" spans="7:7">
      <c r="G21987" s="812"/>
    </row>
    <row r="21988" spans="7:7">
      <c r="G21988" s="812"/>
    </row>
    <row r="21989" spans="7:7">
      <c r="G21989" s="812"/>
    </row>
    <row r="21990" spans="7:7">
      <c r="G21990" s="812"/>
    </row>
    <row r="21991" spans="7:7">
      <c r="G21991" s="812"/>
    </row>
    <row r="21992" spans="7:7">
      <c r="G21992" s="812"/>
    </row>
    <row r="21993" spans="7:7">
      <c r="G21993" s="812"/>
    </row>
    <row r="21994" spans="7:7">
      <c r="G21994" s="812"/>
    </row>
    <row r="21995" spans="7:7">
      <c r="G21995" s="812"/>
    </row>
    <row r="21996" spans="7:7">
      <c r="G21996" s="812"/>
    </row>
    <row r="21997" spans="7:7">
      <c r="G21997" s="812"/>
    </row>
    <row r="21998" spans="7:7">
      <c r="G21998" s="812"/>
    </row>
    <row r="21999" spans="7:7">
      <c r="G21999" s="812"/>
    </row>
    <row r="22000" spans="7:7">
      <c r="G22000" s="812"/>
    </row>
    <row r="22001" spans="7:7">
      <c r="G22001" s="812"/>
    </row>
    <row r="22002" spans="7:7">
      <c r="G22002" s="812"/>
    </row>
    <row r="22003" spans="7:7">
      <c r="G22003" s="812"/>
    </row>
    <row r="22004" spans="7:7">
      <c r="G22004" s="812"/>
    </row>
    <row r="22005" spans="7:7">
      <c r="G22005" s="812"/>
    </row>
    <row r="22006" spans="7:7">
      <c r="G22006" s="812"/>
    </row>
    <row r="22007" spans="7:7">
      <c r="G22007" s="812"/>
    </row>
    <row r="22008" spans="7:7">
      <c r="G22008" s="812"/>
    </row>
    <row r="22009" spans="7:7">
      <c r="G22009" s="812"/>
    </row>
    <row r="22010" spans="7:7">
      <c r="G22010" s="812"/>
    </row>
    <row r="22011" spans="7:7">
      <c r="G22011" s="812"/>
    </row>
    <row r="22012" spans="7:7">
      <c r="G22012" s="812"/>
    </row>
    <row r="22013" spans="7:7">
      <c r="G22013" s="812"/>
    </row>
    <row r="22014" spans="7:7">
      <c r="G22014" s="812"/>
    </row>
    <row r="22015" spans="7:7">
      <c r="G22015" s="812"/>
    </row>
    <row r="22016" spans="7:7">
      <c r="G22016" s="812"/>
    </row>
    <row r="22017" spans="7:7">
      <c r="G22017" s="812"/>
    </row>
    <row r="22018" spans="7:7">
      <c r="G22018" s="812"/>
    </row>
    <row r="22019" spans="7:7">
      <c r="G22019" s="812"/>
    </row>
    <row r="22020" spans="7:7">
      <c r="G22020" s="812"/>
    </row>
    <row r="22021" spans="7:7">
      <c r="G22021" s="812"/>
    </row>
    <row r="22022" spans="7:7">
      <c r="G22022" s="812"/>
    </row>
    <row r="22023" spans="7:7">
      <c r="G22023" s="812"/>
    </row>
    <row r="22024" spans="7:7">
      <c r="G22024" s="812"/>
    </row>
    <row r="22025" spans="7:7">
      <c r="G22025" s="812"/>
    </row>
    <row r="22026" spans="7:7">
      <c r="G22026" s="812"/>
    </row>
    <row r="22027" spans="7:7">
      <c r="G22027" s="812"/>
    </row>
    <row r="22028" spans="7:7">
      <c r="G22028" s="812"/>
    </row>
    <row r="22029" spans="7:7">
      <c r="G22029" s="812"/>
    </row>
    <row r="22030" spans="7:7">
      <c r="G22030" s="812"/>
    </row>
    <row r="22031" spans="7:7">
      <c r="G22031" s="812"/>
    </row>
    <row r="22032" spans="7:7">
      <c r="G22032" s="812"/>
    </row>
    <row r="22033" spans="7:7">
      <c r="G22033" s="812"/>
    </row>
    <row r="22034" spans="7:7">
      <c r="G22034" s="812"/>
    </row>
    <row r="22035" spans="7:7">
      <c r="G22035" s="812"/>
    </row>
    <row r="22036" spans="7:7">
      <c r="G22036" s="812"/>
    </row>
    <row r="22037" spans="7:7">
      <c r="G22037" s="812"/>
    </row>
    <row r="22038" spans="7:7">
      <c r="G22038" s="812"/>
    </row>
    <row r="22039" spans="7:7">
      <c r="G22039" s="812"/>
    </row>
    <row r="22040" spans="7:7">
      <c r="G22040" s="812"/>
    </row>
    <row r="22041" spans="7:7">
      <c r="G22041" s="812"/>
    </row>
    <row r="22042" spans="7:7">
      <c r="G22042" s="812"/>
    </row>
    <row r="22043" spans="7:7">
      <c r="G22043" s="812"/>
    </row>
    <row r="22044" spans="7:7">
      <c r="G22044" s="812"/>
    </row>
    <row r="22045" spans="7:7">
      <c r="G22045" s="812"/>
    </row>
    <row r="22046" spans="7:7">
      <c r="G22046" s="812"/>
    </row>
    <row r="22047" spans="7:7">
      <c r="G22047" s="812"/>
    </row>
    <row r="22048" spans="7:7">
      <c r="G22048" s="812"/>
    </row>
    <row r="22049" spans="7:7">
      <c r="G22049" s="812"/>
    </row>
    <row r="22050" spans="7:7">
      <c r="G22050" s="812"/>
    </row>
    <row r="22051" spans="7:7">
      <c r="G22051" s="812"/>
    </row>
    <row r="22052" spans="7:7">
      <c r="G22052" s="812"/>
    </row>
    <row r="22053" spans="7:7">
      <c r="G22053" s="812"/>
    </row>
    <row r="22054" spans="7:7">
      <c r="G22054" s="812"/>
    </row>
    <row r="22055" spans="7:7">
      <c r="G22055" s="812"/>
    </row>
    <row r="22056" spans="7:7">
      <c r="G22056" s="812"/>
    </row>
    <row r="22057" spans="7:7">
      <c r="G22057" s="812"/>
    </row>
    <row r="22058" spans="7:7">
      <c r="G22058" s="812"/>
    </row>
    <row r="22059" spans="7:7">
      <c r="G22059" s="812"/>
    </row>
    <row r="22060" spans="7:7">
      <c r="G22060" s="812"/>
    </row>
    <row r="22061" spans="7:7">
      <c r="G22061" s="812"/>
    </row>
    <row r="22062" spans="7:7">
      <c r="G22062" s="812"/>
    </row>
    <row r="22063" spans="7:7">
      <c r="G22063" s="812"/>
    </row>
    <row r="22064" spans="7:7">
      <c r="G22064" s="812"/>
    </row>
    <row r="22065" spans="7:7">
      <c r="G22065" s="812"/>
    </row>
    <row r="22066" spans="7:7">
      <c r="G22066" s="812"/>
    </row>
    <row r="22067" spans="7:7">
      <c r="G22067" s="812"/>
    </row>
    <row r="22068" spans="7:7">
      <c r="G22068" s="812"/>
    </row>
    <row r="22069" spans="7:7">
      <c r="G22069" s="812"/>
    </row>
    <row r="22070" spans="7:7">
      <c r="G22070" s="812"/>
    </row>
    <row r="22071" spans="7:7">
      <c r="G22071" s="812"/>
    </row>
    <row r="22072" spans="7:7">
      <c r="G22072" s="812"/>
    </row>
    <row r="22073" spans="7:7">
      <c r="G22073" s="812"/>
    </row>
    <row r="22074" spans="7:7">
      <c r="G22074" s="812"/>
    </row>
    <row r="22075" spans="7:7">
      <c r="G22075" s="812"/>
    </row>
    <row r="22076" spans="7:7">
      <c r="G22076" s="812"/>
    </row>
    <row r="22077" spans="7:7">
      <c r="G22077" s="812"/>
    </row>
    <row r="22078" spans="7:7">
      <c r="G22078" s="812"/>
    </row>
    <row r="22079" spans="7:7">
      <c r="G22079" s="812"/>
    </row>
    <row r="22080" spans="7:7">
      <c r="G22080" s="812"/>
    </row>
    <row r="22081" spans="7:7">
      <c r="G22081" s="812"/>
    </row>
    <row r="22082" spans="7:7">
      <c r="G22082" s="812"/>
    </row>
    <row r="22083" spans="7:7">
      <c r="G22083" s="812"/>
    </row>
    <row r="22084" spans="7:7">
      <c r="G22084" s="812"/>
    </row>
    <row r="22085" spans="7:7">
      <c r="G22085" s="812"/>
    </row>
    <row r="22086" spans="7:7">
      <c r="G22086" s="812"/>
    </row>
    <row r="22087" spans="7:7">
      <c r="G22087" s="812"/>
    </row>
    <row r="22088" spans="7:7">
      <c r="G22088" s="812"/>
    </row>
    <row r="22089" spans="7:7">
      <c r="G22089" s="812"/>
    </row>
    <row r="22090" spans="7:7">
      <c r="G22090" s="812"/>
    </row>
    <row r="22091" spans="7:7">
      <c r="G22091" s="812"/>
    </row>
    <row r="22092" spans="7:7">
      <c r="G22092" s="812"/>
    </row>
    <row r="22093" spans="7:7">
      <c r="G22093" s="812"/>
    </row>
    <row r="22094" spans="7:7">
      <c r="G22094" s="812"/>
    </row>
    <row r="22095" spans="7:7">
      <c r="G22095" s="812"/>
    </row>
    <row r="22096" spans="7:7">
      <c r="G22096" s="812"/>
    </row>
    <row r="22097" spans="7:7">
      <c r="G22097" s="812"/>
    </row>
    <row r="22098" spans="7:7">
      <c r="G22098" s="812"/>
    </row>
    <row r="22099" spans="7:7">
      <c r="G22099" s="812"/>
    </row>
    <row r="22100" spans="7:7">
      <c r="G22100" s="812"/>
    </row>
    <row r="22101" spans="7:7">
      <c r="G22101" s="812"/>
    </row>
    <row r="22102" spans="7:7">
      <c r="G22102" s="812"/>
    </row>
    <row r="22103" spans="7:7">
      <c r="G22103" s="812"/>
    </row>
    <row r="22104" spans="7:7">
      <c r="G22104" s="812"/>
    </row>
    <row r="22105" spans="7:7">
      <c r="G22105" s="812"/>
    </row>
    <row r="22106" spans="7:7">
      <c r="G22106" s="812"/>
    </row>
    <row r="22107" spans="7:7">
      <c r="G22107" s="812"/>
    </row>
    <row r="22108" spans="7:7">
      <c r="G22108" s="812"/>
    </row>
    <row r="22109" spans="7:7">
      <c r="G22109" s="812"/>
    </row>
    <row r="22110" spans="7:7">
      <c r="G22110" s="812"/>
    </row>
    <row r="22111" spans="7:7">
      <c r="G22111" s="812"/>
    </row>
    <row r="22112" spans="7:7">
      <c r="G22112" s="812"/>
    </row>
    <row r="22113" spans="7:7">
      <c r="G22113" s="812"/>
    </row>
    <row r="22114" spans="7:7">
      <c r="G22114" s="812"/>
    </row>
    <row r="22115" spans="7:7">
      <c r="G22115" s="812"/>
    </row>
    <row r="22116" spans="7:7">
      <c r="G22116" s="812"/>
    </row>
    <row r="22117" spans="7:7">
      <c r="G22117" s="812"/>
    </row>
    <row r="22118" spans="7:7">
      <c r="G22118" s="812"/>
    </row>
    <row r="22119" spans="7:7">
      <c r="G22119" s="812"/>
    </row>
    <row r="22120" spans="7:7">
      <c r="G22120" s="812"/>
    </row>
    <row r="22121" spans="7:7">
      <c r="G22121" s="812"/>
    </row>
    <row r="22122" spans="7:7">
      <c r="G22122" s="812"/>
    </row>
    <row r="22123" spans="7:7">
      <c r="G22123" s="812"/>
    </row>
    <row r="22124" spans="7:7">
      <c r="G22124" s="812"/>
    </row>
    <row r="22125" spans="7:7">
      <c r="G22125" s="812"/>
    </row>
    <row r="22126" spans="7:7">
      <c r="G22126" s="812"/>
    </row>
    <row r="22127" spans="7:7">
      <c r="G22127" s="812"/>
    </row>
    <row r="22128" spans="7:7">
      <c r="G22128" s="812"/>
    </row>
    <row r="22129" spans="7:7">
      <c r="G22129" s="812"/>
    </row>
    <row r="22130" spans="7:7">
      <c r="G22130" s="812"/>
    </row>
    <row r="22131" spans="7:7">
      <c r="G22131" s="812"/>
    </row>
    <row r="22132" spans="7:7">
      <c r="G22132" s="812"/>
    </row>
    <row r="22133" spans="7:7">
      <c r="G22133" s="812"/>
    </row>
    <row r="22134" spans="7:7">
      <c r="G22134" s="812"/>
    </row>
    <row r="22135" spans="7:7">
      <c r="G22135" s="812"/>
    </row>
    <row r="22136" spans="7:7">
      <c r="G22136" s="812"/>
    </row>
    <row r="22137" spans="7:7">
      <c r="G22137" s="812"/>
    </row>
    <row r="22138" spans="7:7">
      <c r="G22138" s="812"/>
    </row>
    <row r="22139" spans="7:7">
      <c r="G22139" s="812"/>
    </row>
    <row r="22140" spans="7:7">
      <c r="G22140" s="812"/>
    </row>
    <row r="22141" spans="7:7">
      <c r="G22141" s="812"/>
    </row>
    <row r="22142" spans="7:7">
      <c r="G22142" s="812"/>
    </row>
    <row r="22143" spans="7:7">
      <c r="G22143" s="812"/>
    </row>
    <row r="22144" spans="7:7">
      <c r="G22144" s="812"/>
    </row>
    <row r="22145" spans="7:7">
      <c r="G22145" s="812"/>
    </row>
    <row r="22146" spans="7:7">
      <c r="G22146" s="812"/>
    </row>
    <row r="22147" spans="7:7">
      <c r="G22147" s="812"/>
    </row>
    <row r="22148" spans="7:7">
      <c r="G22148" s="812"/>
    </row>
    <row r="22149" spans="7:7">
      <c r="G22149" s="812"/>
    </row>
    <row r="22150" spans="7:7">
      <c r="G22150" s="812"/>
    </row>
    <row r="22151" spans="7:7">
      <c r="G22151" s="812"/>
    </row>
    <row r="22152" spans="7:7">
      <c r="G22152" s="812"/>
    </row>
    <row r="22153" spans="7:7">
      <c r="G22153" s="812"/>
    </row>
    <row r="22154" spans="7:7">
      <c r="G22154" s="812"/>
    </row>
    <row r="22155" spans="7:7">
      <c r="G22155" s="812"/>
    </row>
    <row r="22156" spans="7:7">
      <c r="G22156" s="812"/>
    </row>
    <row r="22157" spans="7:7">
      <c r="G22157" s="812"/>
    </row>
    <row r="22158" spans="7:7">
      <c r="G22158" s="812"/>
    </row>
    <row r="22159" spans="7:7">
      <c r="G22159" s="812"/>
    </row>
    <row r="22160" spans="7:7">
      <c r="G22160" s="812"/>
    </row>
    <row r="22161" spans="7:7">
      <c r="G22161" s="812"/>
    </row>
    <row r="22162" spans="7:7">
      <c r="G22162" s="812"/>
    </row>
    <row r="22163" spans="7:7">
      <c r="G22163" s="812"/>
    </row>
    <row r="22164" spans="7:7">
      <c r="G22164" s="812"/>
    </row>
    <row r="22165" spans="7:7">
      <c r="G22165" s="812"/>
    </row>
    <row r="22166" spans="7:7">
      <c r="G22166" s="812"/>
    </row>
    <row r="22167" spans="7:7">
      <c r="G22167" s="812"/>
    </row>
    <row r="22168" spans="7:7">
      <c r="G22168" s="812"/>
    </row>
    <row r="22169" spans="7:7">
      <c r="G22169" s="812"/>
    </row>
    <row r="22170" spans="7:7">
      <c r="G22170" s="812"/>
    </row>
    <row r="22171" spans="7:7">
      <c r="G22171" s="812"/>
    </row>
    <row r="22172" spans="7:7">
      <c r="G22172" s="812"/>
    </row>
    <row r="22173" spans="7:7">
      <c r="G22173" s="812"/>
    </row>
    <row r="22174" spans="7:7">
      <c r="G22174" s="812"/>
    </row>
    <row r="22175" spans="7:7">
      <c r="G22175" s="812"/>
    </row>
    <row r="22176" spans="7:7">
      <c r="G22176" s="812"/>
    </row>
    <row r="22177" spans="7:7">
      <c r="G22177" s="812"/>
    </row>
    <row r="22178" spans="7:7">
      <c r="G22178" s="812"/>
    </row>
    <row r="22179" spans="7:7">
      <c r="G22179" s="812"/>
    </row>
    <row r="22180" spans="7:7">
      <c r="G22180" s="812"/>
    </row>
    <row r="22181" spans="7:7">
      <c r="G22181" s="812"/>
    </row>
    <row r="22182" spans="7:7">
      <c r="G22182" s="812"/>
    </row>
    <row r="22183" spans="7:7">
      <c r="G22183" s="812"/>
    </row>
    <row r="22184" spans="7:7">
      <c r="G22184" s="812"/>
    </row>
    <row r="22185" spans="7:7">
      <c r="G22185" s="812"/>
    </row>
    <row r="22186" spans="7:7">
      <c r="G22186" s="812"/>
    </row>
    <row r="22187" spans="7:7">
      <c r="G22187" s="812"/>
    </row>
    <row r="22188" spans="7:7">
      <c r="G22188" s="812"/>
    </row>
    <row r="22189" spans="7:7">
      <c r="G22189" s="812"/>
    </row>
    <row r="22190" spans="7:7">
      <c r="G22190" s="812"/>
    </row>
    <row r="22191" spans="7:7">
      <c r="G22191" s="812"/>
    </row>
    <row r="22192" spans="7:7">
      <c r="G22192" s="812"/>
    </row>
    <row r="22193" spans="7:7">
      <c r="G22193" s="812"/>
    </row>
    <row r="22194" spans="7:7">
      <c r="G22194" s="812"/>
    </row>
    <row r="22195" spans="7:7">
      <c r="G22195" s="812"/>
    </row>
    <row r="22196" spans="7:7">
      <c r="G22196" s="812"/>
    </row>
    <row r="22197" spans="7:7">
      <c r="G22197" s="812"/>
    </row>
    <row r="22198" spans="7:7">
      <c r="G22198" s="812"/>
    </row>
    <row r="22199" spans="7:7">
      <c r="G22199" s="812"/>
    </row>
    <row r="22200" spans="7:7">
      <c r="G22200" s="812"/>
    </row>
    <row r="22201" spans="7:7">
      <c r="G22201" s="812"/>
    </row>
    <row r="22202" spans="7:7">
      <c r="G22202" s="812"/>
    </row>
    <row r="22203" spans="7:7">
      <c r="G22203" s="812"/>
    </row>
    <row r="22204" spans="7:7">
      <c r="G22204" s="812"/>
    </row>
    <row r="22205" spans="7:7">
      <c r="G22205" s="812"/>
    </row>
    <row r="22206" spans="7:7">
      <c r="G22206" s="812"/>
    </row>
    <row r="22207" spans="7:7">
      <c r="G22207" s="812"/>
    </row>
    <row r="22208" spans="7:7">
      <c r="G22208" s="812"/>
    </row>
    <row r="22209" spans="7:7">
      <c r="G22209" s="812"/>
    </row>
    <row r="22210" spans="7:7">
      <c r="G22210" s="812"/>
    </row>
    <row r="22211" spans="7:7">
      <c r="G22211" s="812"/>
    </row>
    <row r="22212" spans="7:7">
      <c r="G22212" s="812"/>
    </row>
    <row r="22213" spans="7:7">
      <c r="G22213" s="812"/>
    </row>
    <row r="22214" spans="7:7">
      <c r="G22214" s="812"/>
    </row>
    <row r="22215" spans="7:7">
      <c r="G22215" s="812"/>
    </row>
    <row r="22216" spans="7:7">
      <c r="G22216" s="812"/>
    </row>
    <row r="22217" spans="7:7">
      <c r="G22217" s="812"/>
    </row>
    <row r="22218" spans="7:7">
      <c r="G22218" s="812"/>
    </row>
    <row r="22219" spans="7:7">
      <c r="G22219" s="812"/>
    </row>
    <row r="22220" spans="7:7">
      <c r="G22220" s="812"/>
    </row>
    <row r="22221" spans="7:7">
      <c r="G22221" s="812"/>
    </row>
    <row r="22222" spans="7:7">
      <c r="G22222" s="812"/>
    </row>
    <row r="22223" spans="7:7">
      <c r="G22223" s="812"/>
    </row>
    <row r="22224" spans="7:7">
      <c r="G22224" s="812"/>
    </row>
    <row r="22225" spans="7:7">
      <c r="G22225" s="812"/>
    </row>
    <row r="22226" spans="7:7">
      <c r="G22226" s="812"/>
    </row>
    <row r="22227" spans="7:7">
      <c r="G22227" s="812"/>
    </row>
    <row r="22228" spans="7:7">
      <c r="G22228" s="812"/>
    </row>
    <row r="22229" spans="7:7">
      <c r="G22229" s="812"/>
    </row>
    <row r="22230" spans="7:7">
      <c r="G22230" s="812"/>
    </row>
    <row r="22231" spans="7:7">
      <c r="G22231" s="812"/>
    </row>
    <row r="22232" spans="7:7">
      <c r="G22232" s="812"/>
    </row>
    <row r="22233" spans="7:7">
      <c r="G22233" s="812"/>
    </row>
    <row r="22234" spans="7:7">
      <c r="G22234" s="812"/>
    </row>
    <row r="22235" spans="7:7">
      <c r="G22235" s="812"/>
    </row>
    <row r="22236" spans="7:7">
      <c r="G22236" s="812"/>
    </row>
    <row r="22237" spans="7:7">
      <c r="G22237" s="812"/>
    </row>
    <row r="22238" spans="7:7">
      <c r="G22238" s="812"/>
    </row>
    <row r="22239" spans="7:7">
      <c r="G22239" s="812"/>
    </row>
    <row r="22240" spans="7:7">
      <c r="G22240" s="812"/>
    </row>
    <row r="22241" spans="7:7">
      <c r="G22241" s="812"/>
    </row>
    <row r="22242" spans="7:7">
      <c r="G22242" s="812"/>
    </row>
    <row r="22243" spans="7:7">
      <c r="G22243" s="812"/>
    </row>
    <row r="22244" spans="7:7">
      <c r="G22244" s="812"/>
    </row>
    <row r="22245" spans="7:7">
      <c r="G22245" s="812"/>
    </row>
    <row r="22246" spans="7:7">
      <c r="G22246" s="812"/>
    </row>
    <row r="22247" spans="7:7">
      <c r="G22247" s="812"/>
    </row>
    <row r="22248" spans="7:7">
      <c r="G22248" s="812"/>
    </row>
    <row r="22249" spans="7:7">
      <c r="G22249" s="812"/>
    </row>
    <row r="22250" spans="7:7">
      <c r="G22250" s="812"/>
    </row>
    <row r="22251" spans="7:7">
      <c r="G22251" s="812"/>
    </row>
    <row r="22252" spans="7:7">
      <c r="G22252" s="812"/>
    </row>
    <row r="22253" spans="7:7">
      <c r="G22253" s="812"/>
    </row>
    <row r="22254" spans="7:7">
      <c r="G22254" s="812"/>
    </row>
    <row r="22255" spans="7:7">
      <c r="G22255" s="812"/>
    </row>
    <row r="22256" spans="7:7">
      <c r="G22256" s="812"/>
    </row>
    <row r="22257" spans="7:7">
      <c r="G22257" s="812"/>
    </row>
    <row r="22258" spans="7:7">
      <c r="G22258" s="812"/>
    </row>
    <row r="22259" spans="7:7">
      <c r="G22259" s="812"/>
    </row>
    <row r="22260" spans="7:7">
      <c r="G22260" s="812"/>
    </row>
    <row r="22261" spans="7:7">
      <c r="G22261" s="812"/>
    </row>
    <row r="22262" spans="7:7">
      <c r="G22262" s="812"/>
    </row>
    <row r="22263" spans="7:7">
      <c r="G22263" s="812"/>
    </row>
    <row r="22264" spans="7:7">
      <c r="G22264" s="812"/>
    </row>
    <row r="22265" spans="7:7">
      <c r="G22265" s="812"/>
    </row>
    <row r="22266" spans="7:7">
      <c r="G22266" s="812"/>
    </row>
    <row r="22267" spans="7:7">
      <c r="G22267" s="812"/>
    </row>
    <row r="22268" spans="7:7">
      <c r="G22268" s="812"/>
    </row>
    <row r="22269" spans="7:7">
      <c r="G22269" s="812"/>
    </row>
    <row r="22270" spans="7:7">
      <c r="G22270" s="812"/>
    </row>
    <row r="22271" spans="7:7">
      <c r="G22271" s="812"/>
    </row>
    <row r="22272" spans="7:7">
      <c r="G22272" s="812"/>
    </row>
    <row r="22273" spans="7:7">
      <c r="G22273" s="812"/>
    </row>
    <row r="22274" spans="7:7">
      <c r="G22274" s="812"/>
    </row>
    <row r="22275" spans="7:7">
      <c r="G22275" s="812"/>
    </row>
    <row r="22276" spans="7:7">
      <c r="G22276" s="812"/>
    </row>
    <row r="22277" spans="7:7">
      <c r="G22277" s="812"/>
    </row>
    <row r="22278" spans="7:7">
      <c r="G22278" s="812"/>
    </row>
    <row r="22279" spans="7:7">
      <c r="G22279" s="812"/>
    </row>
    <row r="22280" spans="7:7">
      <c r="G22280" s="812"/>
    </row>
    <row r="22281" spans="7:7">
      <c r="G22281" s="812"/>
    </row>
    <row r="22282" spans="7:7">
      <c r="G22282" s="812"/>
    </row>
    <row r="22283" spans="7:7">
      <c r="G22283" s="812"/>
    </row>
    <row r="22284" spans="7:7">
      <c r="G22284" s="812"/>
    </row>
    <row r="22285" spans="7:7">
      <c r="G22285" s="812"/>
    </row>
    <row r="22286" spans="7:7">
      <c r="G22286" s="812"/>
    </row>
    <row r="22287" spans="7:7">
      <c r="G22287" s="812"/>
    </row>
    <row r="22288" spans="7:7">
      <c r="G22288" s="812"/>
    </row>
    <row r="22289" spans="7:7">
      <c r="G22289" s="812"/>
    </row>
    <row r="22290" spans="7:7">
      <c r="G22290" s="812"/>
    </row>
    <row r="22291" spans="7:7">
      <c r="G22291" s="812"/>
    </row>
    <row r="22292" spans="7:7">
      <c r="G22292" s="812"/>
    </row>
    <row r="22293" spans="7:7">
      <c r="G22293" s="812"/>
    </row>
    <row r="22294" spans="7:7">
      <c r="G22294" s="812"/>
    </row>
    <row r="22295" spans="7:7">
      <c r="G22295" s="812"/>
    </row>
    <row r="22296" spans="7:7">
      <c r="G22296" s="812"/>
    </row>
    <row r="22297" spans="7:7">
      <c r="G22297" s="812"/>
    </row>
    <row r="22298" spans="7:7">
      <c r="G22298" s="812"/>
    </row>
    <row r="22299" spans="7:7">
      <c r="G22299" s="812"/>
    </row>
    <row r="22300" spans="7:7">
      <c r="G22300" s="812"/>
    </row>
    <row r="22301" spans="7:7">
      <c r="G22301" s="812"/>
    </row>
    <row r="22302" spans="7:7">
      <c r="G22302" s="812"/>
    </row>
    <row r="22303" spans="7:7">
      <c r="G22303" s="812"/>
    </row>
    <row r="22304" spans="7:7">
      <c r="G22304" s="812"/>
    </row>
    <row r="22305" spans="7:7">
      <c r="G22305" s="812"/>
    </row>
    <row r="22306" spans="7:7">
      <c r="G22306" s="812"/>
    </row>
    <row r="22307" spans="7:7">
      <c r="G22307" s="812"/>
    </row>
    <row r="22308" spans="7:7">
      <c r="G22308" s="812"/>
    </row>
    <row r="22309" spans="7:7">
      <c r="G22309" s="812"/>
    </row>
    <row r="22310" spans="7:7">
      <c r="G22310" s="812"/>
    </row>
    <row r="22311" spans="7:7">
      <c r="G22311" s="812"/>
    </row>
    <row r="22312" spans="7:7">
      <c r="G22312" s="812"/>
    </row>
    <row r="22313" spans="7:7">
      <c r="G22313" s="812"/>
    </row>
    <row r="22314" spans="7:7">
      <c r="G22314" s="812"/>
    </row>
    <row r="22315" spans="7:7">
      <c r="G22315" s="812"/>
    </row>
    <row r="22316" spans="7:7">
      <c r="G22316" s="812"/>
    </row>
    <row r="22317" spans="7:7">
      <c r="G22317" s="812"/>
    </row>
    <row r="22318" spans="7:7">
      <c r="G22318" s="812"/>
    </row>
    <row r="22319" spans="7:7">
      <c r="G22319" s="812"/>
    </row>
    <row r="22320" spans="7:7">
      <c r="G22320" s="812"/>
    </row>
    <row r="22321" spans="7:7">
      <c r="G22321" s="812"/>
    </row>
    <row r="22322" spans="7:7">
      <c r="G22322" s="812"/>
    </row>
    <row r="22323" spans="7:7">
      <c r="G22323" s="812"/>
    </row>
    <row r="22324" spans="7:7">
      <c r="G22324" s="812"/>
    </row>
    <row r="22325" spans="7:7">
      <c r="G22325" s="812"/>
    </row>
    <row r="22326" spans="7:7">
      <c r="G22326" s="812"/>
    </row>
    <row r="22327" spans="7:7">
      <c r="G22327" s="812"/>
    </row>
    <row r="22328" spans="7:7">
      <c r="G22328" s="812"/>
    </row>
    <row r="22329" spans="7:7">
      <c r="G22329" s="812"/>
    </row>
    <row r="22330" spans="7:7">
      <c r="G22330" s="812"/>
    </row>
    <row r="22331" spans="7:7">
      <c r="G22331" s="812"/>
    </row>
    <row r="22332" spans="7:7">
      <c r="G22332" s="812"/>
    </row>
    <row r="22333" spans="7:7">
      <c r="G22333" s="812"/>
    </row>
    <row r="22334" spans="7:7">
      <c r="G22334" s="812"/>
    </row>
    <row r="22335" spans="7:7">
      <c r="G22335" s="812"/>
    </row>
    <row r="22336" spans="7:7">
      <c r="G22336" s="812"/>
    </row>
    <row r="22337" spans="7:7">
      <c r="G22337" s="812"/>
    </row>
    <row r="22338" spans="7:7">
      <c r="G22338" s="812"/>
    </row>
    <row r="22339" spans="7:7">
      <c r="G22339" s="812"/>
    </row>
    <row r="22340" spans="7:7">
      <c r="G22340" s="812"/>
    </row>
    <row r="22341" spans="7:7">
      <c r="G22341" s="812"/>
    </row>
    <row r="22342" spans="7:7">
      <c r="G22342" s="812"/>
    </row>
    <row r="22343" spans="7:7">
      <c r="G22343" s="812"/>
    </row>
    <row r="22344" spans="7:7">
      <c r="G22344" s="812"/>
    </row>
    <row r="22345" spans="7:7">
      <c r="G22345" s="812"/>
    </row>
    <row r="22346" spans="7:7">
      <c r="G22346" s="812"/>
    </row>
    <row r="22347" spans="7:7">
      <c r="G22347" s="812"/>
    </row>
    <row r="22348" spans="7:7">
      <c r="G22348" s="812"/>
    </row>
    <row r="22349" spans="7:7">
      <c r="G22349" s="812"/>
    </row>
    <row r="22350" spans="7:7">
      <c r="G22350" s="812"/>
    </row>
    <row r="22351" spans="7:7">
      <c r="G22351" s="812"/>
    </row>
    <row r="22352" spans="7:7">
      <c r="G22352" s="812"/>
    </row>
    <row r="22353" spans="7:7">
      <c r="G22353" s="812"/>
    </row>
    <row r="22354" spans="7:7">
      <c r="G22354" s="812"/>
    </row>
    <row r="22355" spans="7:7">
      <c r="G22355" s="812"/>
    </row>
    <row r="22356" spans="7:7">
      <c r="G22356" s="812"/>
    </row>
    <row r="22357" spans="7:7">
      <c r="G22357" s="812"/>
    </row>
    <row r="22358" spans="7:7">
      <c r="G22358" s="812"/>
    </row>
    <row r="22359" spans="7:7">
      <c r="G22359" s="812"/>
    </row>
    <row r="22360" spans="7:7">
      <c r="G22360" s="812"/>
    </row>
    <row r="22361" spans="7:7">
      <c r="G22361" s="812"/>
    </row>
    <row r="22362" spans="7:7">
      <c r="G22362" s="812"/>
    </row>
    <row r="22363" spans="7:7">
      <c r="G22363" s="812"/>
    </row>
    <row r="22364" spans="7:7">
      <c r="G22364" s="812"/>
    </row>
    <row r="22365" spans="7:7">
      <c r="G22365" s="812"/>
    </row>
    <row r="22366" spans="7:7">
      <c r="G22366" s="812"/>
    </row>
    <row r="22367" spans="7:7">
      <c r="G22367" s="812"/>
    </row>
    <row r="22368" spans="7:7">
      <c r="G22368" s="812"/>
    </row>
    <row r="22369" spans="7:7">
      <c r="G22369" s="812"/>
    </row>
    <row r="22370" spans="7:7">
      <c r="G22370" s="812"/>
    </row>
    <row r="22371" spans="7:7">
      <c r="G22371" s="812"/>
    </row>
    <row r="22372" spans="7:7">
      <c r="G22372" s="812"/>
    </row>
    <row r="22373" spans="7:7">
      <c r="G22373" s="812"/>
    </row>
    <row r="22374" spans="7:7">
      <c r="G22374" s="812"/>
    </row>
    <row r="22375" spans="7:7">
      <c r="G22375" s="812"/>
    </row>
    <row r="22376" spans="7:7">
      <c r="G22376" s="812"/>
    </row>
    <row r="22377" spans="7:7">
      <c r="G22377" s="812"/>
    </row>
    <row r="22378" spans="7:7">
      <c r="G22378" s="812"/>
    </row>
    <row r="22379" spans="7:7">
      <c r="G22379" s="812"/>
    </row>
    <row r="22380" spans="7:7">
      <c r="G22380" s="812"/>
    </row>
    <row r="22381" spans="7:7">
      <c r="G22381" s="812"/>
    </row>
    <row r="22382" spans="7:7">
      <c r="G22382" s="812"/>
    </row>
    <row r="22383" spans="7:7">
      <c r="G22383" s="812"/>
    </row>
    <row r="22384" spans="7:7">
      <c r="G22384" s="812"/>
    </row>
    <row r="22385" spans="7:7">
      <c r="G22385" s="812"/>
    </row>
    <row r="22386" spans="7:7">
      <c r="G22386" s="812"/>
    </row>
    <row r="22387" spans="7:7">
      <c r="G22387" s="812"/>
    </row>
    <row r="22388" spans="7:7">
      <c r="G22388" s="812"/>
    </row>
    <row r="22389" spans="7:7">
      <c r="G22389" s="812"/>
    </row>
    <row r="22390" spans="7:7">
      <c r="G22390" s="812"/>
    </row>
    <row r="22391" spans="7:7">
      <c r="G22391" s="812"/>
    </row>
    <row r="22392" spans="7:7">
      <c r="G22392" s="812"/>
    </row>
    <row r="22393" spans="7:7">
      <c r="G22393" s="812"/>
    </row>
    <row r="22394" spans="7:7">
      <c r="G22394" s="812"/>
    </row>
    <row r="22395" spans="7:7">
      <c r="G22395" s="812"/>
    </row>
    <row r="22396" spans="7:7">
      <c r="G22396" s="812"/>
    </row>
    <row r="22397" spans="7:7">
      <c r="G22397" s="812"/>
    </row>
    <row r="22398" spans="7:7">
      <c r="G22398" s="812"/>
    </row>
    <row r="22399" spans="7:7">
      <c r="G22399" s="812"/>
    </row>
    <row r="22400" spans="7:7">
      <c r="G22400" s="812"/>
    </row>
    <row r="22401" spans="7:7">
      <c r="G22401" s="812"/>
    </row>
    <row r="22402" spans="7:7">
      <c r="G22402" s="812"/>
    </row>
    <row r="22403" spans="7:7">
      <c r="G22403" s="812"/>
    </row>
    <row r="22404" spans="7:7">
      <c r="G22404" s="812"/>
    </row>
    <row r="22405" spans="7:7">
      <c r="G22405" s="812"/>
    </row>
    <row r="22406" spans="7:7">
      <c r="G22406" s="812"/>
    </row>
    <row r="22407" spans="7:7">
      <c r="G22407" s="812"/>
    </row>
    <row r="22408" spans="7:7">
      <c r="G22408" s="812"/>
    </row>
    <row r="22409" spans="7:7">
      <c r="G22409" s="812"/>
    </row>
    <row r="22410" spans="7:7">
      <c r="G22410" s="812"/>
    </row>
    <row r="22411" spans="7:7">
      <c r="G22411" s="812"/>
    </row>
    <row r="22412" spans="7:7">
      <c r="G22412" s="812"/>
    </row>
    <row r="22413" spans="7:7">
      <c r="G22413" s="812"/>
    </row>
    <row r="22414" spans="7:7">
      <c r="G22414" s="812"/>
    </row>
    <row r="22415" spans="7:7">
      <c r="G22415" s="812"/>
    </row>
    <row r="22416" spans="7:7">
      <c r="G22416" s="812"/>
    </row>
    <row r="22417" spans="7:7">
      <c r="G22417" s="812"/>
    </row>
    <row r="22418" spans="7:7">
      <c r="G22418" s="812"/>
    </row>
    <row r="22419" spans="7:7">
      <c r="G22419" s="812"/>
    </row>
    <row r="22420" spans="7:7">
      <c r="G22420" s="812"/>
    </row>
    <row r="22421" spans="7:7">
      <c r="G22421" s="812"/>
    </row>
    <row r="22422" spans="7:7">
      <c r="G22422" s="812"/>
    </row>
    <row r="22423" spans="7:7">
      <c r="G22423" s="812"/>
    </row>
    <row r="22424" spans="7:7">
      <c r="G22424" s="812"/>
    </row>
    <row r="22425" spans="7:7">
      <c r="G22425" s="812"/>
    </row>
    <row r="22426" spans="7:7">
      <c r="G22426" s="812"/>
    </row>
    <row r="22427" spans="7:7">
      <c r="G22427" s="812"/>
    </row>
    <row r="22428" spans="7:7">
      <c r="G22428" s="812"/>
    </row>
    <row r="22429" spans="7:7">
      <c r="G22429" s="812"/>
    </row>
    <row r="22430" spans="7:7">
      <c r="G22430" s="812"/>
    </row>
    <row r="22431" spans="7:7">
      <c r="G22431" s="812"/>
    </row>
    <row r="22432" spans="7:7">
      <c r="G22432" s="812"/>
    </row>
    <row r="22433" spans="7:7">
      <c r="G22433" s="812"/>
    </row>
    <row r="22434" spans="7:7">
      <c r="G22434" s="812"/>
    </row>
    <row r="22435" spans="7:7">
      <c r="G22435" s="812"/>
    </row>
    <row r="22436" spans="7:7">
      <c r="G22436" s="812"/>
    </row>
    <row r="22437" spans="7:7">
      <c r="G22437" s="812"/>
    </row>
    <row r="22438" spans="7:7">
      <c r="G22438" s="812"/>
    </row>
    <row r="22439" spans="7:7">
      <c r="G22439" s="812"/>
    </row>
    <row r="22440" spans="7:7">
      <c r="G22440" s="812"/>
    </row>
    <row r="22441" spans="7:7">
      <c r="G22441" s="812"/>
    </row>
    <row r="22442" spans="7:7">
      <c r="G22442" s="812"/>
    </row>
    <row r="22443" spans="7:7">
      <c r="G22443" s="812"/>
    </row>
    <row r="22444" spans="7:7">
      <c r="G22444" s="812"/>
    </row>
    <row r="22445" spans="7:7">
      <c r="G22445" s="812"/>
    </row>
    <row r="22446" spans="7:7">
      <c r="G22446" s="812"/>
    </row>
    <row r="22447" spans="7:7">
      <c r="G22447" s="812"/>
    </row>
    <row r="22448" spans="7:7">
      <c r="G22448" s="812"/>
    </row>
    <row r="22449" spans="7:7">
      <c r="G22449" s="812"/>
    </row>
    <row r="22450" spans="7:7">
      <c r="G22450" s="812"/>
    </row>
    <row r="22451" spans="7:7">
      <c r="G22451" s="812"/>
    </row>
    <row r="22452" spans="7:7">
      <c r="G22452" s="812"/>
    </row>
    <row r="22453" spans="7:7">
      <c r="G22453" s="812"/>
    </row>
    <row r="22454" spans="7:7">
      <c r="G22454" s="812"/>
    </row>
    <row r="22455" spans="7:7">
      <c r="G22455" s="812"/>
    </row>
    <row r="22456" spans="7:7">
      <c r="G22456" s="812"/>
    </row>
    <row r="22457" spans="7:7">
      <c r="G22457" s="812"/>
    </row>
    <row r="22458" spans="7:7">
      <c r="G22458" s="812"/>
    </row>
    <row r="22459" spans="7:7">
      <c r="G22459" s="812"/>
    </row>
    <row r="22460" spans="7:7">
      <c r="G22460" s="812"/>
    </row>
    <row r="22461" spans="7:7">
      <c r="G22461" s="812"/>
    </row>
    <row r="22462" spans="7:7">
      <c r="G22462" s="812"/>
    </row>
    <row r="22463" spans="7:7">
      <c r="G22463" s="812"/>
    </row>
    <row r="22464" spans="7:7">
      <c r="G22464" s="812"/>
    </row>
    <row r="22465" spans="7:7">
      <c r="G22465" s="812"/>
    </row>
    <row r="22466" spans="7:7">
      <c r="G22466" s="812"/>
    </row>
    <row r="22467" spans="7:7">
      <c r="G22467" s="812"/>
    </row>
    <row r="22468" spans="7:7">
      <c r="G22468" s="812"/>
    </row>
    <row r="22469" spans="7:7">
      <c r="G22469" s="812"/>
    </row>
    <row r="22470" spans="7:7">
      <c r="G22470" s="812"/>
    </row>
    <row r="22471" spans="7:7">
      <c r="G22471" s="812"/>
    </row>
    <row r="22472" spans="7:7">
      <c r="G22472" s="812"/>
    </row>
    <row r="22473" spans="7:7">
      <c r="G22473" s="812"/>
    </row>
    <row r="22474" spans="7:7">
      <c r="G22474" s="812"/>
    </row>
    <row r="22475" spans="7:7">
      <c r="G22475" s="812"/>
    </row>
    <row r="22476" spans="7:7">
      <c r="G22476" s="812"/>
    </row>
    <row r="22477" spans="7:7">
      <c r="G22477" s="812"/>
    </row>
    <row r="22478" spans="7:7">
      <c r="G22478" s="812"/>
    </row>
    <row r="22479" spans="7:7">
      <c r="G22479" s="812"/>
    </row>
    <row r="22480" spans="7:7">
      <c r="G22480" s="812"/>
    </row>
    <row r="22481" spans="7:7">
      <c r="G22481" s="812"/>
    </row>
    <row r="22482" spans="7:7">
      <c r="G22482" s="812"/>
    </row>
    <row r="22483" spans="7:7">
      <c r="G22483" s="812"/>
    </row>
    <row r="22484" spans="7:7">
      <c r="G22484" s="812"/>
    </row>
    <row r="22485" spans="7:7">
      <c r="G22485" s="812"/>
    </row>
    <row r="22486" spans="7:7">
      <c r="G22486" s="812"/>
    </row>
    <row r="22487" spans="7:7">
      <c r="G22487" s="812"/>
    </row>
    <row r="22488" spans="7:7">
      <c r="G22488" s="812"/>
    </row>
    <row r="22489" spans="7:7">
      <c r="G22489" s="812"/>
    </row>
    <row r="22490" spans="7:7">
      <c r="G22490" s="812"/>
    </row>
    <row r="22491" spans="7:7">
      <c r="G22491" s="812"/>
    </row>
    <row r="22492" spans="7:7">
      <c r="G22492" s="812"/>
    </row>
    <row r="22493" spans="7:7">
      <c r="G22493" s="812"/>
    </row>
    <row r="22494" spans="7:7">
      <c r="G22494" s="812"/>
    </row>
    <row r="22495" spans="7:7">
      <c r="G22495" s="812"/>
    </row>
    <row r="22496" spans="7:7">
      <c r="G22496" s="812"/>
    </row>
    <row r="22497" spans="7:7">
      <c r="G22497" s="812"/>
    </row>
    <row r="22498" spans="7:7">
      <c r="G22498" s="812"/>
    </row>
    <row r="22499" spans="7:7">
      <c r="G22499" s="812"/>
    </row>
    <row r="22500" spans="7:7">
      <c r="G22500" s="812"/>
    </row>
    <row r="22501" spans="7:7">
      <c r="G22501" s="812"/>
    </row>
    <row r="22502" spans="7:7">
      <c r="G22502" s="812"/>
    </row>
    <row r="22503" spans="7:7">
      <c r="G22503" s="812"/>
    </row>
    <row r="22504" spans="7:7">
      <c r="G22504" s="812"/>
    </row>
    <row r="22505" spans="7:7">
      <c r="G22505" s="812"/>
    </row>
    <row r="22506" spans="7:7">
      <c r="G22506" s="812"/>
    </row>
    <row r="22507" spans="7:7">
      <c r="G22507" s="812"/>
    </row>
    <row r="22508" spans="7:7">
      <c r="G22508" s="812"/>
    </row>
    <row r="22509" spans="7:7">
      <c r="G22509" s="812"/>
    </row>
    <row r="22510" spans="7:7">
      <c r="G22510" s="812"/>
    </row>
    <row r="22511" spans="7:7">
      <c r="G22511" s="812"/>
    </row>
    <row r="22512" spans="7:7">
      <c r="G22512" s="812"/>
    </row>
    <row r="22513" spans="7:7">
      <c r="G22513" s="812"/>
    </row>
    <row r="22514" spans="7:7">
      <c r="G22514" s="812"/>
    </row>
    <row r="22515" spans="7:7">
      <c r="G22515" s="812"/>
    </row>
    <row r="22516" spans="7:7">
      <c r="G22516" s="812"/>
    </row>
    <row r="22517" spans="7:7">
      <c r="G22517" s="812"/>
    </row>
    <row r="22518" spans="7:7">
      <c r="G22518" s="812"/>
    </row>
    <row r="22519" spans="7:7">
      <c r="G22519" s="812"/>
    </row>
    <row r="22520" spans="7:7">
      <c r="G22520" s="812"/>
    </row>
    <row r="22521" spans="7:7">
      <c r="G22521" s="812"/>
    </row>
    <row r="22522" spans="7:7">
      <c r="G22522" s="812"/>
    </row>
    <row r="22523" spans="7:7">
      <c r="G22523" s="812"/>
    </row>
    <row r="22524" spans="7:7">
      <c r="G22524" s="812"/>
    </row>
    <row r="22525" spans="7:7">
      <c r="G22525" s="812"/>
    </row>
    <row r="22526" spans="7:7">
      <c r="G22526" s="812"/>
    </row>
    <row r="22527" spans="7:7">
      <c r="G22527" s="812"/>
    </row>
    <row r="22528" spans="7:7">
      <c r="G22528" s="812"/>
    </row>
    <row r="22529" spans="7:7">
      <c r="G22529" s="812"/>
    </row>
    <row r="22530" spans="7:7">
      <c r="G22530" s="812"/>
    </row>
    <row r="22531" spans="7:7">
      <c r="G22531" s="812"/>
    </row>
    <row r="22532" spans="7:7">
      <c r="G22532" s="812"/>
    </row>
    <row r="22533" spans="7:7">
      <c r="G22533" s="812"/>
    </row>
    <row r="22534" spans="7:7">
      <c r="G22534" s="812"/>
    </row>
    <row r="22535" spans="7:7">
      <c r="G22535" s="812"/>
    </row>
    <row r="22536" spans="7:7">
      <c r="G22536" s="812"/>
    </row>
    <row r="22537" spans="7:7">
      <c r="G22537" s="812"/>
    </row>
    <row r="22538" spans="7:7">
      <c r="G22538" s="812"/>
    </row>
    <row r="22539" spans="7:7">
      <c r="G22539" s="812"/>
    </row>
    <row r="22540" spans="7:7">
      <c r="G22540" s="812"/>
    </row>
    <row r="22541" spans="7:7">
      <c r="G22541" s="812"/>
    </row>
    <row r="22542" spans="7:7">
      <c r="G22542" s="812"/>
    </row>
    <row r="22543" spans="7:7">
      <c r="G22543" s="812"/>
    </row>
    <row r="22544" spans="7:7">
      <c r="G22544" s="812"/>
    </row>
    <row r="22545" spans="7:7">
      <c r="G22545" s="812"/>
    </row>
    <row r="22546" spans="7:7">
      <c r="G22546" s="812"/>
    </row>
    <row r="22547" spans="7:7">
      <c r="G22547" s="812"/>
    </row>
    <row r="22548" spans="7:7">
      <c r="G22548" s="812"/>
    </row>
    <row r="22549" spans="7:7">
      <c r="G22549" s="812"/>
    </row>
    <row r="22550" spans="7:7">
      <c r="G22550" s="812"/>
    </row>
    <row r="22551" spans="7:7">
      <c r="G22551" s="812"/>
    </row>
    <row r="22552" spans="7:7">
      <c r="G22552" s="812"/>
    </row>
    <row r="22553" spans="7:7">
      <c r="G22553" s="812"/>
    </row>
    <row r="22554" spans="7:7">
      <c r="G22554" s="812"/>
    </row>
    <row r="22555" spans="7:7">
      <c r="G22555" s="812"/>
    </row>
    <row r="22556" spans="7:7">
      <c r="G22556" s="812"/>
    </row>
    <row r="22557" spans="7:7">
      <c r="G22557" s="812"/>
    </row>
    <row r="22558" spans="7:7">
      <c r="G22558" s="812"/>
    </row>
    <row r="22559" spans="7:7">
      <c r="G22559" s="812"/>
    </row>
    <row r="22560" spans="7:7">
      <c r="G22560" s="812"/>
    </row>
    <row r="22561" spans="7:7">
      <c r="G22561" s="812"/>
    </row>
    <row r="22562" spans="7:7">
      <c r="G22562" s="812"/>
    </row>
    <row r="22563" spans="7:7">
      <c r="G22563" s="812"/>
    </row>
    <row r="22564" spans="7:7">
      <c r="G22564" s="812"/>
    </row>
    <row r="22565" spans="7:7">
      <c r="G22565" s="812"/>
    </row>
    <row r="22566" spans="7:7">
      <c r="G22566" s="812"/>
    </row>
    <row r="22567" spans="7:7">
      <c r="G22567" s="812"/>
    </row>
    <row r="22568" spans="7:7">
      <c r="G22568" s="812"/>
    </row>
    <row r="22569" spans="7:7">
      <c r="G22569" s="812"/>
    </row>
    <row r="22570" spans="7:7">
      <c r="G22570" s="812"/>
    </row>
    <row r="22571" spans="7:7">
      <c r="G22571" s="812"/>
    </row>
    <row r="22572" spans="7:7">
      <c r="G22572" s="812"/>
    </row>
    <row r="22573" spans="7:7">
      <c r="G22573" s="812"/>
    </row>
    <row r="22574" spans="7:7">
      <c r="G22574" s="812"/>
    </row>
    <row r="22575" spans="7:7">
      <c r="G22575" s="812"/>
    </row>
    <row r="22576" spans="7:7">
      <c r="G22576" s="812"/>
    </row>
    <row r="22577" spans="7:7">
      <c r="G22577" s="812"/>
    </row>
    <row r="22578" spans="7:7">
      <c r="G22578" s="812"/>
    </row>
    <row r="22579" spans="7:7">
      <c r="G22579" s="812"/>
    </row>
    <row r="22580" spans="7:7">
      <c r="G22580" s="812"/>
    </row>
    <row r="22581" spans="7:7">
      <c r="G22581" s="812"/>
    </row>
    <row r="22582" spans="7:7">
      <c r="G22582" s="812"/>
    </row>
    <row r="22583" spans="7:7">
      <c r="G22583" s="812"/>
    </row>
    <row r="22584" spans="7:7">
      <c r="G22584" s="812"/>
    </row>
    <row r="22585" spans="7:7">
      <c r="G22585" s="812"/>
    </row>
    <row r="22586" spans="7:7">
      <c r="G22586" s="812"/>
    </row>
    <row r="22587" spans="7:7">
      <c r="G22587" s="812"/>
    </row>
    <row r="22588" spans="7:7">
      <c r="G22588" s="812"/>
    </row>
    <row r="22589" spans="7:7">
      <c r="G22589" s="812"/>
    </row>
    <row r="22590" spans="7:7">
      <c r="G22590" s="812"/>
    </row>
    <row r="22591" spans="7:7">
      <c r="G22591" s="812"/>
    </row>
    <row r="22592" spans="7:7">
      <c r="G22592" s="812"/>
    </row>
    <row r="22593" spans="7:7">
      <c r="G22593" s="812"/>
    </row>
    <row r="22594" spans="7:7">
      <c r="G22594" s="812"/>
    </row>
    <row r="22595" spans="7:7">
      <c r="G22595" s="812"/>
    </row>
    <row r="22596" spans="7:7">
      <c r="G22596" s="812"/>
    </row>
    <row r="22597" spans="7:7">
      <c r="G22597" s="812"/>
    </row>
    <row r="22598" spans="7:7">
      <c r="G22598" s="812"/>
    </row>
    <row r="22599" spans="7:7">
      <c r="G22599" s="812"/>
    </row>
    <row r="22600" spans="7:7">
      <c r="G22600" s="812"/>
    </row>
    <row r="22601" spans="7:7">
      <c r="G22601" s="812"/>
    </row>
    <row r="22602" spans="7:7">
      <c r="G22602" s="812"/>
    </row>
    <row r="22603" spans="7:7">
      <c r="G22603" s="812"/>
    </row>
    <row r="22604" spans="7:7">
      <c r="G22604" s="812"/>
    </row>
    <row r="22605" spans="7:7">
      <c r="G22605" s="812"/>
    </row>
    <row r="22606" spans="7:7">
      <c r="G22606" s="812"/>
    </row>
    <row r="22607" spans="7:7">
      <c r="G22607" s="812"/>
    </row>
    <row r="22608" spans="7:7">
      <c r="G22608" s="812"/>
    </row>
    <row r="22609" spans="7:7">
      <c r="G22609" s="812"/>
    </row>
    <row r="22610" spans="7:7">
      <c r="G22610" s="812"/>
    </row>
    <row r="22611" spans="7:7">
      <c r="G22611" s="812"/>
    </row>
    <row r="22612" spans="7:7">
      <c r="G22612" s="812"/>
    </row>
    <row r="22613" spans="7:7">
      <c r="G22613" s="812"/>
    </row>
    <row r="22614" spans="7:7">
      <c r="G22614" s="812"/>
    </row>
    <row r="22615" spans="7:7">
      <c r="G22615" s="812"/>
    </row>
    <row r="22616" spans="7:7">
      <c r="G22616" s="812"/>
    </row>
    <row r="22617" spans="7:7">
      <c r="G22617" s="812"/>
    </row>
    <row r="22618" spans="7:7">
      <c r="G22618" s="812"/>
    </row>
    <row r="22619" spans="7:7">
      <c r="G22619" s="812"/>
    </row>
    <row r="22620" spans="7:7">
      <c r="G22620" s="812"/>
    </row>
    <row r="22621" spans="7:7">
      <c r="G22621" s="812"/>
    </row>
    <row r="22622" spans="7:7">
      <c r="G22622" s="812"/>
    </row>
    <row r="22623" spans="7:7">
      <c r="G22623" s="812"/>
    </row>
    <row r="22624" spans="7:7">
      <c r="G22624" s="812"/>
    </row>
    <row r="22625" spans="7:7">
      <c r="G22625" s="812"/>
    </row>
    <row r="22626" spans="7:7">
      <c r="G22626" s="812"/>
    </row>
    <row r="22627" spans="7:7">
      <c r="G22627" s="812"/>
    </row>
    <row r="22628" spans="7:7">
      <c r="G22628" s="812"/>
    </row>
    <row r="22629" spans="7:7">
      <c r="G22629" s="812"/>
    </row>
    <row r="22630" spans="7:7">
      <c r="G22630" s="812"/>
    </row>
    <row r="22631" spans="7:7">
      <c r="G22631" s="812"/>
    </row>
    <row r="22632" spans="7:7">
      <c r="G22632" s="812"/>
    </row>
    <row r="22633" spans="7:7">
      <c r="G22633" s="812"/>
    </row>
    <row r="22634" spans="7:7">
      <c r="G22634" s="812"/>
    </row>
    <row r="22635" spans="7:7">
      <c r="G22635" s="812"/>
    </row>
    <row r="22636" spans="7:7">
      <c r="G22636" s="812"/>
    </row>
    <row r="22637" spans="7:7">
      <c r="G22637" s="812"/>
    </row>
    <row r="22638" spans="7:7">
      <c r="G22638" s="812"/>
    </row>
    <row r="22639" spans="7:7">
      <c r="G22639" s="812"/>
    </row>
    <row r="22640" spans="7:7">
      <c r="G22640" s="812"/>
    </row>
    <row r="22641" spans="7:7">
      <c r="G22641" s="812"/>
    </row>
    <row r="22642" spans="7:7">
      <c r="G22642" s="812"/>
    </row>
    <row r="22643" spans="7:7">
      <c r="G22643" s="812"/>
    </row>
    <row r="22644" spans="7:7">
      <c r="G22644" s="812"/>
    </row>
    <row r="22645" spans="7:7">
      <c r="G22645" s="812"/>
    </row>
    <row r="22646" spans="7:7">
      <c r="G22646" s="812"/>
    </row>
    <row r="22647" spans="7:7">
      <c r="G22647" s="812"/>
    </row>
    <row r="22648" spans="7:7">
      <c r="G22648" s="812"/>
    </row>
    <row r="22649" spans="7:7">
      <c r="G22649" s="812"/>
    </row>
    <row r="22650" spans="7:7">
      <c r="G22650" s="812"/>
    </row>
    <row r="22651" spans="7:7">
      <c r="G22651" s="812"/>
    </row>
    <row r="22652" spans="7:7">
      <c r="G22652" s="812"/>
    </row>
    <row r="22653" spans="7:7">
      <c r="G22653" s="812"/>
    </row>
    <row r="22654" spans="7:7">
      <c r="G22654" s="812"/>
    </row>
    <row r="22655" spans="7:7">
      <c r="G22655" s="812"/>
    </row>
    <row r="22656" spans="7:7">
      <c r="G22656" s="812"/>
    </row>
    <row r="22657" spans="7:7">
      <c r="G22657" s="812"/>
    </row>
    <row r="22658" spans="7:7">
      <c r="G22658" s="812"/>
    </row>
    <row r="22659" spans="7:7">
      <c r="G22659" s="812"/>
    </row>
    <row r="22660" spans="7:7">
      <c r="G22660" s="812"/>
    </row>
    <row r="22661" spans="7:7">
      <c r="G22661" s="812"/>
    </row>
    <row r="22662" spans="7:7">
      <c r="G22662" s="812"/>
    </row>
    <row r="22663" spans="7:7">
      <c r="G22663" s="812"/>
    </row>
    <row r="22664" spans="7:7">
      <c r="G22664" s="812"/>
    </row>
    <row r="22665" spans="7:7">
      <c r="G22665" s="812"/>
    </row>
    <row r="22666" spans="7:7">
      <c r="G22666" s="812"/>
    </row>
    <row r="22667" spans="7:7">
      <c r="G22667" s="812"/>
    </row>
    <row r="22668" spans="7:7">
      <c r="G22668" s="812"/>
    </row>
    <row r="22669" spans="7:7">
      <c r="G22669" s="812"/>
    </row>
    <row r="22670" spans="7:7">
      <c r="G22670" s="812"/>
    </row>
    <row r="22671" spans="7:7">
      <c r="G22671" s="812"/>
    </row>
    <row r="22672" spans="7:7">
      <c r="G22672" s="812"/>
    </row>
    <row r="22673" spans="7:7">
      <c r="G22673" s="812"/>
    </row>
    <row r="22674" spans="7:7">
      <c r="G22674" s="812"/>
    </row>
    <row r="22675" spans="7:7">
      <c r="G22675" s="812"/>
    </row>
    <row r="22676" spans="7:7">
      <c r="G22676" s="812"/>
    </row>
    <row r="22677" spans="7:7">
      <c r="G22677" s="812"/>
    </row>
    <row r="22678" spans="7:7">
      <c r="G22678" s="812"/>
    </row>
    <row r="22679" spans="7:7">
      <c r="G22679" s="812"/>
    </row>
    <row r="22680" spans="7:7">
      <c r="G22680" s="812"/>
    </row>
    <row r="22681" spans="7:7">
      <c r="G22681" s="812"/>
    </row>
    <row r="22682" spans="7:7">
      <c r="G22682" s="812"/>
    </row>
    <row r="22683" spans="7:7">
      <c r="G22683" s="812"/>
    </row>
    <row r="22684" spans="7:7">
      <c r="G22684" s="812"/>
    </row>
    <row r="22685" spans="7:7">
      <c r="G22685" s="812"/>
    </row>
    <row r="22686" spans="7:7">
      <c r="G22686" s="812"/>
    </row>
    <row r="22687" spans="7:7">
      <c r="G22687" s="812"/>
    </row>
    <row r="22688" spans="7:7">
      <c r="G22688" s="812"/>
    </row>
    <row r="22689" spans="7:7">
      <c r="G22689" s="812"/>
    </row>
    <row r="22690" spans="7:7">
      <c r="G22690" s="812"/>
    </row>
    <row r="22691" spans="7:7">
      <c r="G22691" s="812"/>
    </row>
    <row r="22692" spans="7:7">
      <c r="G22692" s="812"/>
    </row>
    <row r="22693" spans="7:7">
      <c r="G22693" s="812"/>
    </row>
    <row r="22694" spans="7:7">
      <c r="G22694" s="812"/>
    </row>
    <row r="22695" spans="7:7">
      <c r="G22695" s="812"/>
    </row>
    <row r="22696" spans="7:7">
      <c r="G22696" s="812"/>
    </row>
    <row r="22697" spans="7:7">
      <c r="G22697" s="812"/>
    </row>
    <row r="22698" spans="7:7">
      <c r="G22698" s="812"/>
    </row>
    <row r="22699" spans="7:7">
      <c r="G22699" s="812"/>
    </row>
    <row r="22700" spans="7:7">
      <c r="G22700" s="812"/>
    </row>
    <row r="22701" spans="7:7">
      <c r="G22701" s="812"/>
    </row>
    <row r="22702" spans="7:7">
      <c r="G22702" s="812"/>
    </row>
    <row r="22703" spans="7:7">
      <c r="G22703" s="812"/>
    </row>
    <row r="22704" spans="7:7">
      <c r="G22704" s="812"/>
    </row>
    <row r="22705" spans="7:7">
      <c r="G22705" s="812"/>
    </row>
    <row r="22706" spans="7:7">
      <c r="G22706" s="812"/>
    </row>
    <row r="22707" spans="7:7">
      <c r="G22707" s="812"/>
    </row>
    <row r="22708" spans="7:7">
      <c r="G22708" s="812"/>
    </row>
    <row r="22709" spans="7:7">
      <c r="G22709" s="812"/>
    </row>
    <row r="22710" spans="7:7">
      <c r="G22710" s="812"/>
    </row>
    <row r="22711" spans="7:7">
      <c r="G22711" s="812"/>
    </row>
    <row r="22712" spans="7:7">
      <c r="G22712" s="812"/>
    </row>
    <row r="22713" spans="7:7">
      <c r="G22713" s="812"/>
    </row>
    <row r="22714" spans="7:7">
      <c r="G22714" s="812"/>
    </row>
    <row r="22715" spans="7:7">
      <c r="G22715" s="812"/>
    </row>
    <row r="22716" spans="7:7">
      <c r="G22716" s="812"/>
    </row>
    <row r="22717" spans="7:7">
      <c r="G22717" s="812"/>
    </row>
    <row r="22718" spans="7:7">
      <c r="G22718" s="812"/>
    </row>
    <row r="22719" spans="7:7">
      <c r="G22719" s="812"/>
    </row>
    <row r="22720" spans="7:7">
      <c r="G22720" s="812"/>
    </row>
    <row r="22721" spans="7:7">
      <c r="G22721" s="812"/>
    </row>
    <row r="22722" spans="7:7">
      <c r="G22722" s="812"/>
    </row>
    <row r="22723" spans="7:7">
      <c r="G22723" s="812"/>
    </row>
    <row r="22724" spans="7:7">
      <c r="G22724" s="812"/>
    </row>
    <row r="22725" spans="7:7">
      <c r="G22725" s="812"/>
    </row>
    <row r="22726" spans="7:7">
      <c r="G22726" s="812"/>
    </row>
    <row r="22727" spans="7:7">
      <c r="G22727" s="812"/>
    </row>
    <row r="22728" spans="7:7">
      <c r="G22728" s="812"/>
    </row>
    <row r="22729" spans="7:7">
      <c r="G22729" s="812"/>
    </row>
    <row r="22730" spans="7:7">
      <c r="G22730" s="812"/>
    </row>
    <row r="22731" spans="7:7">
      <c r="G22731" s="812"/>
    </row>
    <row r="22732" spans="7:7">
      <c r="G22732" s="812"/>
    </row>
    <row r="22733" spans="7:7">
      <c r="G22733" s="812"/>
    </row>
    <row r="22734" spans="7:7">
      <c r="G22734" s="812"/>
    </row>
    <row r="22735" spans="7:7">
      <c r="G22735" s="812"/>
    </row>
    <row r="22736" spans="7:7">
      <c r="G22736" s="812"/>
    </row>
    <row r="22737" spans="7:7">
      <c r="G22737" s="812"/>
    </row>
    <row r="22738" spans="7:7">
      <c r="G22738" s="812"/>
    </row>
    <row r="22739" spans="7:7">
      <c r="G22739" s="812"/>
    </row>
    <row r="22740" spans="7:7">
      <c r="G22740" s="812"/>
    </row>
    <row r="22741" spans="7:7">
      <c r="G22741" s="812"/>
    </row>
    <row r="22742" spans="7:7">
      <c r="G22742" s="812"/>
    </row>
    <row r="22743" spans="7:7">
      <c r="G22743" s="812"/>
    </row>
    <row r="22744" spans="7:7">
      <c r="G22744" s="812"/>
    </row>
    <row r="22745" spans="7:7">
      <c r="G22745" s="812"/>
    </row>
    <row r="22746" spans="7:7">
      <c r="G22746" s="812"/>
    </row>
    <row r="22747" spans="7:7">
      <c r="G22747" s="812"/>
    </row>
    <row r="22748" spans="7:7">
      <c r="G22748" s="812"/>
    </row>
    <row r="22749" spans="7:7">
      <c r="G22749" s="812"/>
    </row>
    <row r="22750" spans="7:7">
      <c r="G22750" s="812"/>
    </row>
    <row r="22751" spans="7:7">
      <c r="G22751" s="812"/>
    </row>
    <row r="22752" spans="7:7">
      <c r="G22752" s="812"/>
    </row>
    <row r="22753" spans="7:7">
      <c r="G22753" s="812"/>
    </row>
    <row r="22754" spans="7:7">
      <c r="G22754" s="812"/>
    </row>
    <row r="22755" spans="7:7">
      <c r="G22755" s="812"/>
    </row>
    <row r="22756" spans="7:7">
      <c r="G22756" s="812"/>
    </row>
    <row r="22757" spans="7:7">
      <c r="G22757" s="812"/>
    </row>
    <row r="22758" spans="7:7">
      <c r="G22758" s="812"/>
    </row>
    <row r="22759" spans="7:7">
      <c r="G22759" s="812"/>
    </row>
    <row r="22760" spans="7:7">
      <c r="G22760" s="812"/>
    </row>
    <row r="22761" spans="7:7">
      <c r="G22761" s="812"/>
    </row>
    <row r="22762" spans="7:7">
      <c r="G22762" s="812"/>
    </row>
    <row r="22763" spans="7:7">
      <c r="G22763" s="812"/>
    </row>
    <row r="22764" spans="7:7">
      <c r="G22764" s="812"/>
    </row>
    <row r="22765" spans="7:7">
      <c r="G22765" s="812"/>
    </row>
    <row r="22766" spans="7:7">
      <c r="G22766" s="812"/>
    </row>
    <row r="22767" spans="7:7">
      <c r="G22767" s="812"/>
    </row>
    <row r="22768" spans="7:7">
      <c r="G22768" s="812"/>
    </row>
    <row r="22769" spans="7:7">
      <c r="G22769" s="812"/>
    </row>
    <row r="22770" spans="7:7">
      <c r="G22770" s="812"/>
    </row>
    <row r="22771" spans="7:7">
      <c r="G22771" s="812"/>
    </row>
    <row r="22772" spans="7:7">
      <c r="G22772" s="812"/>
    </row>
    <row r="22773" spans="7:7">
      <c r="G22773" s="812"/>
    </row>
    <row r="22774" spans="7:7">
      <c r="G22774" s="812"/>
    </row>
    <row r="22775" spans="7:7">
      <c r="G22775" s="812"/>
    </row>
    <row r="22776" spans="7:7">
      <c r="G22776" s="812"/>
    </row>
    <row r="22777" spans="7:7">
      <c r="G22777" s="812"/>
    </row>
    <row r="22778" spans="7:7">
      <c r="G22778" s="812"/>
    </row>
    <row r="22779" spans="7:7">
      <c r="G22779" s="812"/>
    </row>
    <row r="22780" spans="7:7">
      <c r="G22780" s="812"/>
    </row>
    <row r="22781" spans="7:7">
      <c r="G22781" s="812"/>
    </row>
    <row r="22782" spans="7:7">
      <c r="G22782" s="812"/>
    </row>
    <row r="22783" spans="7:7">
      <c r="G22783" s="812"/>
    </row>
    <row r="22784" spans="7:7">
      <c r="G22784" s="812"/>
    </row>
    <row r="22785" spans="7:7">
      <c r="G22785" s="812"/>
    </row>
    <row r="22786" spans="7:7">
      <c r="G22786" s="812"/>
    </row>
    <row r="22787" spans="7:7">
      <c r="G22787" s="812"/>
    </row>
    <row r="22788" spans="7:7">
      <c r="G22788" s="812"/>
    </row>
    <row r="22789" spans="7:7">
      <c r="G22789" s="812"/>
    </row>
    <row r="22790" spans="7:7">
      <c r="G22790" s="812"/>
    </row>
    <row r="22791" spans="7:7">
      <c r="G22791" s="812"/>
    </row>
    <row r="22792" spans="7:7">
      <c r="G22792" s="812"/>
    </row>
    <row r="22793" spans="7:7">
      <c r="G22793" s="812"/>
    </row>
    <row r="22794" spans="7:7">
      <c r="G22794" s="812"/>
    </row>
    <row r="22795" spans="7:7">
      <c r="G22795" s="812"/>
    </row>
    <row r="22796" spans="7:7">
      <c r="G22796" s="812"/>
    </row>
    <row r="22797" spans="7:7">
      <c r="G22797" s="812"/>
    </row>
    <row r="22798" spans="7:7">
      <c r="G22798" s="812"/>
    </row>
    <row r="22799" spans="7:7">
      <c r="G22799" s="812"/>
    </row>
    <row r="22800" spans="7:7">
      <c r="G22800" s="812"/>
    </row>
    <row r="22801" spans="7:7">
      <c r="G22801" s="812"/>
    </row>
    <row r="22802" spans="7:7">
      <c r="G22802" s="812"/>
    </row>
    <row r="22803" spans="7:7">
      <c r="G22803" s="812"/>
    </row>
    <row r="22804" spans="7:7">
      <c r="G22804" s="812"/>
    </row>
    <row r="22805" spans="7:7">
      <c r="G22805" s="812"/>
    </row>
    <row r="22806" spans="7:7">
      <c r="G22806" s="812"/>
    </row>
    <row r="22807" spans="7:7">
      <c r="G22807" s="812"/>
    </row>
    <row r="22808" spans="7:7">
      <c r="G22808" s="812"/>
    </row>
    <row r="22809" spans="7:7">
      <c r="G22809" s="812"/>
    </row>
    <row r="22810" spans="7:7">
      <c r="G22810" s="812"/>
    </row>
    <row r="22811" spans="7:7">
      <c r="G22811" s="812"/>
    </row>
    <row r="22812" spans="7:7">
      <c r="G22812" s="812"/>
    </row>
    <row r="22813" spans="7:7">
      <c r="G22813" s="812"/>
    </row>
    <row r="22814" spans="7:7">
      <c r="G22814" s="812"/>
    </row>
    <row r="22815" spans="7:7">
      <c r="G22815" s="812"/>
    </row>
    <row r="22816" spans="7:7">
      <c r="G22816" s="812"/>
    </row>
    <row r="22817" spans="7:7">
      <c r="G22817" s="812"/>
    </row>
    <row r="22818" spans="7:7">
      <c r="G22818" s="812"/>
    </row>
    <row r="22819" spans="7:7">
      <c r="G22819" s="812"/>
    </row>
    <row r="22820" spans="7:7">
      <c r="G22820" s="812"/>
    </row>
    <row r="22821" spans="7:7">
      <c r="G22821" s="812"/>
    </row>
    <row r="22822" spans="7:7">
      <c r="G22822" s="812"/>
    </row>
    <row r="22823" spans="7:7">
      <c r="G22823" s="812"/>
    </row>
    <row r="22824" spans="7:7">
      <c r="G22824" s="812"/>
    </row>
    <row r="22825" spans="7:7">
      <c r="G22825" s="812"/>
    </row>
    <row r="22826" spans="7:7">
      <c r="G22826" s="812"/>
    </row>
    <row r="22827" spans="7:7">
      <c r="G22827" s="812"/>
    </row>
    <row r="22828" spans="7:7">
      <c r="G22828" s="812"/>
    </row>
    <row r="22829" spans="7:7">
      <c r="G22829" s="812"/>
    </row>
    <row r="22830" spans="7:7">
      <c r="G22830" s="812"/>
    </row>
    <row r="22831" spans="7:7">
      <c r="G22831" s="812"/>
    </row>
    <row r="22832" spans="7:7">
      <c r="G22832" s="812"/>
    </row>
    <row r="22833" spans="7:7">
      <c r="G22833" s="812"/>
    </row>
    <row r="22834" spans="7:7">
      <c r="G22834" s="812"/>
    </row>
    <row r="22835" spans="7:7">
      <c r="G22835" s="812"/>
    </row>
    <row r="22836" spans="7:7">
      <c r="G22836" s="812"/>
    </row>
    <row r="22837" spans="7:7">
      <c r="G22837" s="812"/>
    </row>
    <row r="22838" spans="7:7">
      <c r="G22838" s="812"/>
    </row>
    <row r="22839" spans="7:7">
      <c r="G22839" s="812"/>
    </row>
    <row r="22840" spans="7:7">
      <c r="G22840" s="812"/>
    </row>
    <row r="22841" spans="7:7">
      <c r="G22841" s="812"/>
    </row>
    <row r="22842" spans="7:7">
      <c r="G22842" s="812"/>
    </row>
    <row r="22843" spans="7:7">
      <c r="G22843" s="812"/>
    </row>
    <row r="22844" spans="7:7">
      <c r="G22844" s="812"/>
    </row>
    <row r="22845" spans="7:7">
      <c r="G22845" s="812"/>
    </row>
    <row r="22846" spans="7:7">
      <c r="G22846" s="812"/>
    </row>
    <row r="22847" spans="7:7">
      <c r="G22847" s="812"/>
    </row>
    <row r="22848" spans="7:7">
      <c r="G22848" s="812"/>
    </row>
    <row r="22849" spans="7:7">
      <c r="G22849" s="812"/>
    </row>
    <row r="22850" spans="7:7">
      <c r="G22850" s="812"/>
    </row>
    <row r="22851" spans="7:7">
      <c r="G22851" s="812"/>
    </row>
    <row r="22852" spans="7:7">
      <c r="G22852" s="812"/>
    </row>
    <row r="22853" spans="7:7">
      <c r="G22853" s="812"/>
    </row>
    <row r="22854" spans="7:7">
      <c r="G22854" s="812"/>
    </row>
    <row r="22855" spans="7:7">
      <c r="G22855" s="812"/>
    </row>
    <row r="22856" spans="7:7">
      <c r="G22856" s="812"/>
    </row>
    <row r="22857" spans="7:7">
      <c r="G22857" s="812"/>
    </row>
    <row r="22858" spans="7:7">
      <c r="G22858" s="812"/>
    </row>
    <row r="22859" spans="7:7">
      <c r="G22859" s="812"/>
    </row>
    <row r="22860" spans="7:7">
      <c r="G22860" s="812"/>
    </row>
    <row r="22861" spans="7:7">
      <c r="G22861" s="812"/>
    </row>
    <row r="22862" spans="7:7">
      <c r="G22862" s="812"/>
    </row>
    <row r="22863" spans="7:7">
      <c r="G22863" s="812"/>
    </row>
    <row r="22864" spans="7:7">
      <c r="G22864" s="812"/>
    </row>
    <row r="22865" spans="7:7">
      <c r="G22865" s="812"/>
    </row>
    <row r="22866" spans="7:7">
      <c r="G22866" s="812"/>
    </row>
    <row r="22867" spans="7:7">
      <c r="G22867" s="812"/>
    </row>
    <row r="22868" spans="7:7">
      <c r="G22868" s="812"/>
    </row>
    <row r="22869" spans="7:7">
      <c r="G22869" s="812"/>
    </row>
    <row r="22870" spans="7:7">
      <c r="G22870" s="812"/>
    </row>
    <row r="22871" spans="7:7">
      <c r="G22871" s="812"/>
    </row>
    <row r="22872" spans="7:7">
      <c r="G22872" s="812"/>
    </row>
    <row r="22873" spans="7:7">
      <c r="G22873" s="812"/>
    </row>
    <row r="22874" spans="7:7">
      <c r="G22874" s="812"/>
    </row>
    <row r="22875" spans="7:7">
      <c r="G22875" s="812"/>
    </row>
    <row r="22876" spans="7:7">
      <c r="G22876" s="812"/>
    </row>
    <row r="22877" spans="7:7">
      <c r="G22877" s="812"/>
    </row>
    <row r="22878" spans="7:7">
      <c r="G22878" s="812"/>
    </row>
    <row r="22879" spans="7:7">
      <c r="G22879" s="812"/>
    </row>
    <row r="22880" spans="7:7">
      <c r="G22880" s="812"/>
    </row>
    <row r="22881" spans="7:7">
      <c r="G22881" s="812"/>
    </row>
    <row r="22882" spans="7:7">
      <c r="G22882" s="812"/>
    </row>
    <row r="22883" spans="7:7">
      <c r="G22883" s="812"/>
    </row>
    <row r="22884" spans="7:7">
      <c r="G22884" s="812"/>
    </row>
    <row r="22885" spans="7:7">
      <c r="G22885" s="812"/>
    </row>
    <row r="22886" spans="7:7">
      <c r="G22886" s="812"/>
    </row>
    <row r="22887" spans="7:7">
      <c r="G22887" s="812"/>
    </row>
    <row r="22888" spans="7:7">
      <c r="G22888" s="812"/>
    </row>
    <row r="22889" spans="7:7">
      <c r="G22889" s="812"/>
    </row>
    <row r="22890" spans="7:7">
      <c r="G22890" s="812"/>
    </row>
    <row r="22891" spans="7:7">
      <c r="G22891" s="812"/>
    </row>
    <row r="22892" spans="7:7">
      <c r="G22892" s="812"/>
    </row>
    <row r="22893" spans="7:7">
      <c r="G22893" s="812"/>
    </row>
    <row r="22894" spans="7:7">
      <c r="G22894" s="812"/>
    </row>
    <row r="22895" spans="7:7">
      <c r="G22895" s="812"/>
    </row>
    <row r="22896" spans="7:7">
      <c r="G22896" s="812"/>
    </row>
    <row r="22897" spans="7:7">
      <c r="G22897" s="812"/>
    </row>
    <row r="22898" spans="7:7">
      <c r="G22898" s="812"/>
    </row>
    <row r="22899" spans="7:7">
      <c r="G22899" s="812"/>
    </row>
    <row r="22900" spans="7:7">
      <c r="G22900" s="812"/>
    </row>
    <row r="22901" spans="7:7">
      <c r="G22901" s="812"/>
    </row>
    <row r="22902" spans="7:7">
      <c r="G22902" s="812"/>
    </row>
    <row r="22903" spans="7:7">
      <c r="G22903" s="812"/>
    </row>
    <row r="22904" spans="7:7">
      <c r="G22904" s="812"/>
    </row>
    <row r="22905" spans="7:7">
      <c r="G22905" s="812"/>
    </row>
    <row r="22906" spans="7:7">
      <c r="G22906" s="812"/>
    </row>
    <row r="22907" spans="7:7">
      <c r="G22907" s="812"/>
    </row>
    <row r="22908" spans="7:7">
      <c r="G22908" s="812"/>
    </row>
    <row r="22909" spans="7:7">
      <c r="G22909" s="812"/>
    </row>
    <row r="22910" spans="7:7">
      <c r="G22910" s="812"/>
    </row>
    <row r="22911" spans="7:7">
      <c r="G22911" s="812"/>
    </row>
    <row r="22912" spans="7:7">
      <c r="G22912" s="812"/>
    </row>
    <row r="22913" spans="7:7">
      <c r="G22913" s="812"/>
    </row>
    <row r="22914" spans="7:7">
      <c r="G22914" s="812"/>
    </row>
    <row r="22915" spans="7:7">
      <c r="G22915" s="812"/>
    </row>
    <row r="22916" spans="7:7">
      <c r="G22916" s="812"/>
    </row>
    <row r="22917" spans="7:7">
      <c r="G22917" s="812"/>
    </row>
    <row r="22918" spans="7:7">
      <c r="G22918" s="812"/>
    </row>
    <row r="22919" spans="7:7">
      <c r="G22919" s="812"/>
    </row>
    <row r="22920" spans="7:7">
      <c r="G22920" s="812"/>
    </row>
    <row r="22921" spans="7:7">
      <c r="G22921" s="812"/>
    </row>
    <row r="22922" spans="7:7">
      <c r="G22922" s="812"/>
    </row>
    <row r="22923" spans="7:7">
      <c r="G22923" s="812"/>
    </row>
    <row r="22924" spans="7:7">
      <c r="G22924" s="812"/>
    </row>
    <row r="22925" spans="7:7">
      <c r="G22925" s="812"/>
    </row>
    <row r="22926" spans="7:7">
      <c r="G22926" s="812"/>
    </row>
    <row r="22927" spans="7:7">
      <c r="G22927" s="812"/>
    </row>
    <row r="22928" spans="7:7">
      <c r="G22928" s="812"/>
    </row>
    <row r="22929" spans="7:7">
      <c r="G22929" s="812"/>
    </row>
    <row r="22930" spans="7:7">
      <c r="G22930" s="812"/>
    </row>
    <row r="22931" spans="7:7">
      <c r="G22931" s="812"/>
    </row>
    <row r="22932" spans="7:7">
      <c r="G22932" s="812"/>
    </row>
    <row r="22933" spans="7:7">
      <c r="G22933" s="812"/>
    </row>
    <row r="22934" spans="7:7">
      <c r="G22934" s="812"/>
    </row>
    <row r="22935" spans="7:7">
      <c r="G22935" s="812"/>
    </row>
    <row r="22936" spans="7:7">
      <c r="G22936" s="812"/>
    </row>
    <row r="22937" spans="7:7">
      <c r="G22937" s="812"/>
    </row>
    <row r="22938" spans="7:7">
      <c r="G22938" s="812"/>
    </row>
    <row r="22939" spans="7:7">
      <c r="G22939" s="812"/>
    </row>
    <row r="22940" spans="7:7">
      <c r="G22940" s="812"/>
    </row>
    <row r="22941" spans="7:7">
      <c r="G22941" s="812"/>
    </row>
    <row r="22942" spans="7:7">
      <c r="G22942" s="812"/>
    </row>
    <row r="22943" spans="7:7">
      <c r="G22943" s="812"/>
    </row>
    <row r="22944" spans="7:7">
      <c r="G22944" s="812"/>
    </row>
    <row r="22945" spans="7:7">
      <c r="G22945" s="812"/>
    </row>
    <row r="22946" spans="7:7">
      <c r="G22946" s="812"/>
    </row>
    <row r="22947" spans="7:7">
      <c r="G22947" s="812"/>
    </row>
    <row r="22948" spans="7:7">
      <c r="G22948" s="812"/>
    </row>
    <row r="22949" spans="7:7">
      <c r="G22949" s="812"/>
    </row>
    <row r="22950" spans="7:7">
      <c r="G22950" s="812"/>
    </row>
    <row r="22951" spans="7:7">
      <c r="G22951" s="812"/>
    </row>
    <row r="22952" spans="7:7">
      <c r="G22952" s="812"/>
    </row>
    <row r="22953" spans="7:7">
      <c r="G22953" s="812"/>
    </row>
    <row r="22954" spans="7:7">
      <c r="G22954" s="812"/>
    </row>
    <row r="22955" spans="7:7">
      <c r="G22955" s="812"/>
    </row>
    <row r="22956" spans="7:7">
      <c r="G22956" s="812"/>
    </row>
    <row r="22957" spans="7:7">
      <c r="G22957" s="812"/>
    </row>
    <row r="22958" spans="7:7">
      <c r="G22958" s="812"/>
    </row>
    <row r="22959" spans="7:7">
      <c r="G22959" s="812"/>
    </row>
    <row r="22960" spans="7:7">
      <c r="G22960" s="812"/>
    </row>
    <row r="22961" spans="7:7">
      <c r="G22961" s="812"/>
    </row>
    <row r="22962" spans="7:7">
      <c r="G22962" s="812"/>
    </row>
    <row r="22963" spans="7:7">
      <c r="G22963" s="812"/>
    </row>
    <row r="22964" spans="7:7">
      <c r="G22964" s="812"/>
    </row>
    <row r="22965" spans="7:7">
      <c r="G22965" s="812"/>
    </row>
    <row r="22966" spans="7:7">
      <c r="G22966" s="812"/>
    </row>
    <row r="22967" spans="7:7">
      <c r="G22967" s="812"/>
    </row>
    <row r="22968" spans="7:7">
      <c r="G22968" s="812"/>
    </row>
    <row r="22969" spans="7:7">
      <c r="G22969" s="812"/>
    </row>
    <row r="22970" spans="7:7">
      <c r="G22970" s="812"/>
    </row>
    <row r="22971" spans="7:7">
      <c r="G22971" s="812"/>
    </row>
    <row r="22972" spans="7:7">
      <c r="G22972" s="812"/>
    </row>
    <row r="22973" spans="7:7">
      <c r="G22973" s="812"/>
    </row>
    <row r="22974" spans="7:7">
      <c r="G22974" s="812"/>
    </row>
    <row r="22975" spans="7:7">
      <c r="G22975" s="812"/>
    </row>
    <row r="22976" spans="7:7">
      <c r="G22976" s="812"/>
    </row>
    <row r="22977" spans="7:7">
      <c r="G22977" s="812"/>
    </row>
    <row r="22978" spans="7:7">
      <c r="G22978" s="812"/>
    </row>
    <row r="22979" spans="7:7">
      <c r="G22979" s="812"/>
    </row>
    <row r="22980" spans="7:7">
      <c r="G22980" s="812"/>
    </row>
    <row r="22981" spans="7:7">
      <c r="G22981" s="812"/>
    </row>
    <row r="22982" spans="7:7">
      <c r="G22982" s="812"/>
    </row>
    <row r="22983" spans="7:7">
      <c r="G22983" s="812"/>
    </row>
    <row r="22984" spans="7:7">
      <c r="G22984" s="812"/>
    </row>
    <row r="22985" spans="7:7">
      <c r="G22985" s="812"/>
    </row>
    <row r="22986" spans="7:7">
      <c r="G22986" s="812"/>
    </row>
    <row r="22987" spans="7:7">
      <c r="G22987" s="812"/>
    </row>
    <row r="22988" spans="7:7">
      <c r="G22988" s="812"/>
    </row>
    <row r="22989" spans="7:7">
      <c r="G22989" s="812"/>
    </row>
    <row r="22990" spans="7:7">
      <c r="G22990" s="812"/>
    </row>
    <row r="22991" spans="7:7">
      <c r="G22991" s="812"/>
    </row>
    <row r="22992" spans="7:7">
      <c r="G22992" s="812"/>
    </row>
    <row r="22993" spans="7:7">
      <c r="G22993" s="812"/>
    </row>
    <row r="22994" spans="7:7">
      <c r="G22994" s="812"/>
    </row>
    <row r="22995" spans="7:7">
      <c r="G22995" s="812"/>
    </row>
    <row r="22996" spans="7:7">
      <c r="G22996" s="812"/>
    </row>
    <row r="22997" spans="7:7">
      <c r="G22997" s="812"/>
    </row>
    <row r="22998" spans="7:7">
      <c r="G22998" s="812"/>
    </row>
    <row r="22999" spans="7:7">
      <c r="G22999" s="812"/>
    </row>
    <row r="23000" spans="7:7">
      <c r="G23000" s="812"/>
    </row>
    <row r="23001" spans="7:7">
      <c r="G23001" s="812"/>
    </row>
    <row r="23002" spans="7:7">
      <c r="G23002" s="812"/>
    </row>
    <row r="23003" spans="7:7">
      <c r="G23003" s="812"/>
    </row>
    <row r="23004" spans="7:7">
      <c r="G23004" s="812"/>
    </row>
    <row r="23005" spans="7:7">
      <c r="G23005" s="812"/>
    </row>
    <row r="23006" spans="7:7">
      <c r="G23006" s="812"/>
    </row>
    <row r="23007" spans="7:7">
      <c r="G23007" s="812"/>
    </row>
    <row r="23008" spans="7:7">
      <c r="G23008" s="812"/>
    </row>
    <row r="23009" spans="7:7">
      <c r="G23009" s="812"/>
    </row>
    <row r="23010" spans="7:7">
      <c r="G23010" s="812"/>
    </row>
    <row r="23011" spans="7:7">
      <c r="G23011" s="812"/>
    </row>
    <row r="23012" spans="7:7">
      <c r="G23012" s="812"/>
    </row>
    <row r="23013" spans="7:7">
      <c r="G23013" s="812"/>
    </row>
    <row r="23014" spans="7:7">
      <c r="G23014" s="812"/>
    </row>
    <row r="23015" spans="7:7">
      <c r="G23015" s="812"/>
    </row>
    <row r="23016" spans="7:7">
      <c r="G23016" s="812"/>
    </row>
    <row r="23017" spans="7:7">
      <c r="G23017" s="812"/>
    </row>
    <row r="23018" spans="7:7">
      <c r="G23018" s="812"/>
    </row>
    <row r="23019" spans="7:7">
      <c r="G23019" s="812"/>
    </row>
    <row r="23020" spans="7:7">
      <c r="G23020" s="812"/>
    </row>
    <row r="23021" spans="7:7">
      <c r="G23021" s="812"/>
    </row>
    <row r="23022" spans="7:7">
      <c r="G23022" s="812"/>
    </row>
    <row r="23023" spans="7:7">
      <c r="G23023" s="812"/>
    </row>
    <row r="23024" spans="7:7">
      <c r="G23024" s="812"/>
    </row>
    <row r="23025" spans="7:7">
      <c r="G23025" s="812"/>
    </row>
    <row r="23026" spans="7:7">
      <c r="G23026" s="812"/>
    </row>
    <row r="23027" spans="7:7">
      <c r="G23027" s="812"/>
    </row>
    <row r="23028" spans="7:7">
      <c r="G23028" s="812"/>
    </row>
    <row r="23029" spans="7:7">
      <c r="G23029" s="812"/>
    </row>
    <row r="23030" spans="7:7">
      <c r="G23030" s="812"/>
    </row>
    <row r="23031" spans="7:7">
      <c r="G23031" s="812"/>
    </row>
    <row r="23032" spans="7:7">
      <c r="G23032" s="812"/>
    </row>
    <row r="23033" spans="7:7">
      <c r="G23033" s="812"/>
    </row>
    <row r="23034" spans="7:7">
      <c r="G23034" s="812"/>
    </row>
    <row r="23035" spans="7:7">
      <c r="G23035" s="812"/>
    </row>
    <row r="23036" spans="7:7">
      <c r="G23036" s="812"/>
    </row>
    <row r="23037" spans="7:7">
      <c r="G23037" s="812"/>
    </row>
    <row r="23038" spans="7:7">
      <c r="G23038" s="812"/>
    </row>
    <row r="23039" spans="7:7">
      <c r="G23039" s="812"/>
    </row>
    <row r="23040" spans="7:7">
      <c r="G23040" s="812"/>
    </row>
    <row r="23041" spans="7:7">
      <c r="G23041" s="812"/>
    </row>
    <row r="23042" spans="7:7">
      <c r="G23042" s="812"/>
    </row>
    <row r="23043" spans="7:7">
      <c r="G23043" s="812"/>
    </row>
    <row r="23044" spans="7:7">
      <c r="G23044" s="812"/>
    </row>
    <row r="23045" spans="7:7">
      <c r="G23045" s="812"/>
    </row>
    <row r="23046" spans="7:7">
      <c r="G23046" s="812"/>
    </row>
    <row r="23047" spans="7:7">
      <c r="G23047" s="812"/>
    </row>
    <row r="23048" spans="7:7">
      <c r="G23048" s="812"/>
    </row>
    <row r="23049" spans="7:7">
      <c r="G23049" s="812"/>
    </row>
    <row r="23050" spans="7:7">
      <c r="G23050" s="812"/>
    </row>
    <row r="23051" spans="7:7">
      <c r="G23051" s="812"/>
    </row>
    <row r="23052" spans="7:7">
      <c r="G23052" s="812"/>
    </row>
    <row r="23053" spans="7:7">
      <c r="G23053" s="812"/>
    </row>
    <row r="23054" spans="7:7">
      <c r="G23054" s="812"/>
    </row>
    <row r="23055" spans="7:7">
      <c r="G23055" s="812"/>
    </row>
    <row r="23056" spans="7:7">
      <c r="G23056" s="812"/>
    </row>
    <row r="23057" spans="7:7">
      <c r="G23057" s="812"/>
    </row>
    <row r="23058" spans="7:7">
      <c r="G23058" s="812"/>
    </row>
    <row r="23059" spans="7:7">
      <c r="G23059" s="812"/>
    </row>
    <row r="23060" spans="7:7">
      <c r="G23060" s="812"/>
    </row>
    <row r="23061" spans="7:7">
      <c r="G23061" s="812"/>
    </row>
    <row r="23062" spans="7:7">
      <c r="G23062" s="812"/>
    </row>
    <row r="23063" spans="7:7">
      <c r="G23063" s="812"/>
    </row>
    <row r="23064" spans="7:7">
      <c r="G23064" s="812"/>
    </row>
    <row r="23065" spans="7:7">
      <c r="G23065" s="812"/>
    </row>
    <row r="23066" spans="7:7">
      <c r="G23066" s="812"/>
    </row>
    <row r="23067" spans="7:7">
      <c r="G23067" s="812"/>
    </row>
    <row r="23068" spans="7:7">
      <c r="G23068" s="812"/>
    </row>
    <row r="23069" spans="7:7">
      <c r="G23069" s="812"/>
    </row>
    <row r="23070" spans="7:7">
      <c r="G23070" s="812"/>
    </row>
    <row r="23071" spans="7:7">
      <c r="G23071" s="812"/>
    </row>
    <row r="23072" spans="7:7">
      <c r="G23072" s="812"/>
    </row>
    <row r="23073" spans="7:7">
      <c r="G23073" s="812"/>
    </row>
    <row r="23074" spans="7:7">
      <c r="G23074" s="812"/>
    </row>
    <row r="23075" spans="7:7">
      <c r="G23075" s="812"/>
    </row>
    <row r="23076" spans="7:7">
      <c r="G23076" s="812"/>
    </row>
    <row r="23077" spans="7:7">
      <c r="G23077" s="812"/>
    </row>
    <row r="23078" spans="7:7">
      <c r="G23078" s="812"/>
    </row>
    <row r="23079" spans="7:7">
      <c r="G23079" s="812"/>
    </row>
    <row r="23080" spans="7:7">
      <c r="G23080" s="812"/>
    </row>
    <row r="23081" spans="7:7">
      <c r="G23081" s="812"/>
    </row>
    <row r="23082" spans="7:7">
      <c r="G23082" s="812"/>
    </row>
    <row r="23083" spans="7:7">
      <c r="G23083" s="812"/>
    </row>
    <row r="23084" spans="7:7">
      <c r="G23084" s="812"/>
    </row>
    <row r="23085" spans="7:7">
      <c r="G23085" s="812"/>
    </row>
    <row r="23086" spans="7:7">
      <c r="G23086" s="812"/>
    </row>
    <row r="23087" spans="7:7">
      <c r="G23087" s="812"/>
    </row>
    <row r="23088" spans="7:7">
      <c r="G23088" s="812"/>
    </row>
    <row r="23089" spans="7:7">
      <c r="G23089" s="812"/>
    </row>
    <row r="23090" spans="7:7">
      <c r="G23090" s="812"/>
    </row>
    <row r="23091" spans="7:7">
      <c r="G23091" s="812"/>
    </row>
    <row r="23092" spans="7:7">
      <c r="G23092" s="812"/>
    </row>
    <row r="23093" spans="7:7">
      <c r="G23093" s="812"/>
    </row>
    <row r="23094" spans="7:7">
      <c r="G23094" s="812"/>
    </row>
    <row r="23095" spans="7:7">
      <c r="G23095" s="812"/>
    </row>
    <row r="23096" spans="7:7">
      <c r="G23096" s="812"/>
    </row>
    <row r="23097" spans="7:7">
      <c r="G23097" s="812"/>
    </row>
    <row r="23098" spans="7:7">
      <c r="G23098" s="812"/>
    </row>
    <row r="23099" spans="7:7">
      <c r="G23099" s="812"/>
    </row>
    <row r="23100" spans="7:7">
      <c r="G23100" s="812"/>
    </row>
    <row r="23101" spans="7:7">
      <c r="G23101" s="812"/>
    </row>
    <row r="23102" spans="7:7">
      <c r="G23102" s="812"/>
    </row>
    <row r="23103" spans="7:7">
      <c r="G23103" s="812"/>
    </row>
    <row r="23104" spans="7:7">
      <c r="G23104" s="812"/>
    </row>
    <row r="23105" spans="7:7">
      <c r="G23105" s="812"/>
    </row>
    <row r="23106" spans="7:7">
      <c r="G23106" s="812"/>
    </row>
    <row r="23107" spans="7:7">
      <c r="G23107" s="812"/>
    </row>
    <row r="23108" spans="7:7">
      <c r="G23108" s="812"/>
    </row>
    <row r="23109" spans="7:7">
      <c r="G23109" s="812"/>
    </row>
    <row r="23110" spans="7:7">
      <c r="G23110" s="812"/>
    </row>
    <row r="23111" spans="7:7">
      <c r="G23111" s="812"/>
    </row>
    <row r="23112" spans="7:7">
      <c r="G23112" s="812"/>
    </row>
    <row r="23113" spans="7:7">
      <c r="G23113" s="812"/>
    </row>
    <row r="23114" spans="7:7">
      <c r="G23114" s="812"/>
    </row>
    <row r="23115" spans="7:7">
      <c r="G23115" s="812"/>
    </row>
    <row r="23116" spans="7:7">
      <c r="G23116" s="812"/>
    </row>
    <row r="23117" spans="7:7">
      <c r="G23117" s="812"/>
    </row>
    <row r="23118" spans="7:7">
      <c r="G23118" s="812"/>
    </row>
    <row r="23119" spans="7:7">
      <c r="G23119" s="812"/>
    </row>
    <row r="23120" spans="7:7">
      <c r="G23120" s="812"/>
    </row>
    <row r="23121" spans="7:7">
      <c r="G23121" s="812"/>
    </row>
    <row r="23122" spans="7:7">
      <c r="G23122" s="812"/>
    </row>
    <row r="23123" spans="7:7">
      <c r="G23123" s="812"/>
    </row>
    <row r="23124" spans="7:7">
      <c r="G23124" s="812"/>
    </row>
    <row r="23125" spans="7:7">
      <c r="G23125" s="812"/>
    </row>
    <row r="23126" spans="7:7">
      <c r="G23126" s="812"/>
    </row>
    <row r="23127" spans="7:7">
      <c r="G23127" s="812"/>
    </row>
    <row r="23128" spans="7:7">
      <c r="G23128" s="812"/>
    </row>
    <row r="23129" spans="7:7">
      <c r="G23129" s="812"/>
    </row>
    <row r="23130" spans="7:7">
      <c r="G23130" s="812"/>
    </row>
    <row r="23131" spans="7:7">
      <c r="G23131" s="812"/>
    </row>
    <row r="23132" spans="7:7">
      <c r="G23132" s="812"/>
    </row>
    <row r="23133" spans="7:7">
      <c r="G23133" s="812"/>
    </row>
    <row r="23134" spans="7:7">
      <c r="G23134" s="812"/>
    </row>
    <row r="23135" spans="7:7">
      <c r="G23135" s="812"/>
    </row>
    <row r="23136" spans="7:7">
      <c r="G23136" s="812"/>
    </row>
    <row r="23137" spans="7:7">
      <c r="G23137" s="812"/>
    </row>
    <row r="23138" spans="7:7">
      <c r="G23138" s="812"/>
    </row>
    <row r="23139" spans="7:7">
      <c r="G23139" s="812"/>
    </row>
    <row r="23140" spans="7:7">
      <c r="G23140" s="812"/>
    </row>
    <row r="23141" spans="7:7">
      <c r="G23141" s="812"/>
    </row>
    <row r="23142" spans="7:7">
      <c r="G23142" s="812"/>
    </row>
    <row r="23143" spans="7:7">
      <c r="G23143" s="812"/>
    </row>
    <row r="23144" spans="7:7">
      <c r="G23144" s="812"/>
    </row>
    <row r="23145" spans="7:7">
      <c r="G23145" s="812"/>
    </row>
    <row r="23146" spans="7:7">
      <c r="G23146" s="812"/>
    </row>
    <row r="23147" spans="7:7">
      <c r="G23147" s="812"/>
    </row>
    <row r="23148" spans="7:7">
      <c r="G23148" s="812"/>
    </row>
    <row r="23149" spans="7:7">
      <c r="G23149" s="812"/>
    </row>
    <row r="23150" spans="7:7">
      <c r="G23150" s="812"/>
    </row>
    <row r="23151" spans="7:7">
      <c r="G23151" s="812"/>
    </row>
    <row r="23152" spans="7:7">
      <c r="G23152" s="812"/>
    </row>
    <row r="23153" spans="7:7">
      <c r="G23153" s="812"/>
    </row>
    <row r="23154" spans="7:7">
      <c r="G23154" s="812"/>
    </row>
    <row r="23155" spans="7:7">
      <c r="G23155" s="812"/>
    </row>
    <row r="23156" spans="7:7">
      <c r="G23156" s="812"/>
    </row>
    <row r="23157" spans="7:7">
      <c r="G23157" s="812"/>
    </row>
    <row r="23158" spans="7:7">
      <c r="G23158" s="812"/>
    </row>
    <row r="23159" spans="7:7">
      <c r="G23159" s="812"/>
    </row>
    <row r="23160" spans="7:7">
      <c r="G23160" s="812"/>
    </row>
    <row r="23161" spans="7:7">
      <c r="G23161" s="812"/>
    </row>
    <row r="23162" spans="7:7">
      <c r="G23162" s="812"/>
    </row>
    <row r="23163" spans="7:7">
      <c r="G23163" s="812"/>
    </row>
    <row r="23164" spans="7:7">
      <c r="G23164" s="812"/>
    </row>
    <row r="23165" spans="7:7">
      <c r="G23165" s="812"/>
    </row>
    <row r="23166" spans="7:7">
      <c r="G23166" s="812"/>
    </row>
    <row r="23167" spans="7:7">
      <c r="G23167" s="812"/>
    </row>
    <row r="23168" spans="7:7">
      <c r="G23168" s="812"/>
    </row>
    <row r="23169" spans="7:7">
      <c r="G23169" s="812"/>
    </row>
    <row r="23170" spans="7:7">
      <c r="G23170" s="812"/>
    </row>
    <row r="23171" spans="7:7">
      <c r="G23171" s="812"/>
    </row>
    <row r="23172" spans="7:7">
      <c r="G23172" s="812"/>
    </row>
    <row r="23173" spans="7:7">
      <c r="G23173" s="812"/>
    </row>
    <row r="23174" spans="7:7">
      <c r="G23174" s="812"/>
    </row>
    <row r="23175" spans="7:7">
      <c r="G23175" s="812"/>
    </row>
    <row r="23176" spans="7:7">
      <c r="G23176" s="812"/>
    </row>
    <row r="23177" spans="7:7">
      <c r="G23177" s="812"/>
    </row>
    <row r="23178" spans="7:7">
      <c r="G23178" s="812"/>
    </row>
    <row r="23179" spans="7:7">
      <c r="G23179" s="812"/>
    </row>
    <row r="23180" spans="7:7">
      <c r="G23180" s="812"/>
    </row>
    <row r="23181" spans="7:7">
      <c r="G23181" s="812"/>
    </row>
    <row r="23182" spans="7:7">
      <c r="G23182" s="812"/>
    </row>
    <row r="23183" spans="7:7">
      <c r="G23183" s="812"/>
    </row>
    <row r="23184" spans="7:7">
      <c r="G23184" s="812"/>
    </row>
    <row r="23185" spans="7:7">
      <c r="G23185" s="812"/>
    </row>
    <row r="23186" spans="7:7">
      <c r="G23186" s="812"/>
    </row>
    <row r="23187" spans="7:7">
      <c r="G23187" s="812"/>
    </row>
    <row r="23188" spans="7:7">
      <c r="G23188" s="812"/>
    </row>
    <row r="23189" spans="7:7">
      <c r="G23189" s="812"/>
    </row>
    <row r="23190" spans="7:7">
      <c r="G23190" s="812"/>
    </row>
    <row r="23191" spans="7:7">
      <c r="G23191" s="812"/>
    </row>
    <row r="23192" spans="7:7">
      <c r="G23192" s="812"/>
    </row>
    <row r="23193" spans="7:7">
      <c r="G23193" s="812"/>
    </row>
    <row r="23194" spans="7:7">
      <c r="G23194" s="812"/>
    </row>
    <row r="23195" spans="7:7">
      <c r="G23195" s="812"/>
    </row>
    <row r="23196" spans="7:7">
      <c r="G23196" s="812"/>
    </row>
    <row r="23197" spans="7:7">
      <c r="G23197" s="812"/>
    </row>
    <row r="23198" spans="7:7">
      <c r="G23198" s="812"/>
    </row>
    <row r="23199" spans="7:7">
      <c r="G23199" s="812"/>
    </row>
    <row r="23200" spans="7:7">
      <c r="G23200" s="812"/>
    </row>
    <row r="23201" spans="7:7">
      <c r="G23201" s="812"/>
    </row>
    <row r="23202" spans="7:7">
      <c r="G23202" s="812"/>
    </row>
    <row r="23203" spans="7:7">
      <c r="G23203" s="812"/>
    </row>
    <row r="23204" spans="7:7">
      <c r="G23204" s="812"/>
    </row>
    <row r="23205" spans="7:7">
      <c r="G23205" s="812"/>
    </row>
    <row r="23206" spans="7:7">
      <c r="G23206" s="812"/>
    </row>
    <row r="23207" spans="7:7">
      <c r="G23207" s="812"/>
    </row>
    <row r="23208" spans="7:7">
      <c r="G23208" s="812"/>
    </row>
    <row r="23209" spans="7:7">
      <c r="G23209" s="812"/>
    </row>
    <row r="23210" spans="7:7">
      <c r="G23210" s="812"/>
    </row>
    <row r="23211" spans="7:7">
      <c r="G23211" s="812"/>
    </row>
    <row r="23212" spans="7:7">
      <c r="G23212" s="812"/>
    </row>
    <row r="23213" spans="7:7">
      <c r="G23213" s="812"/>
    </row>
    <row r="23214" spans="7:7">
      <c r="G23214" s="812"/>
    </row>
    <row r="23215" spans="7:7">
      <c r="G23215" s="812"/>
    </row>
    <row r="23216" spans="7:7">
      <c r="G23216" s="812"/>
    </row>
    <row r="23217" spans="7:7">
      <c r="G23217" s="812"/>
    </row>
    <row r="23218" spans="7:7">
      <c r="G23218" s="812"/>
    </row>
    <row r="23219" spans="7:7">
      <c r="G23219" s="812"/>
    </row>
    <row r="23220" spans="7:7">
      <c r="G23220" s="812"/>
    </row>
    <row r="23221" spans="7:7">
      <c r="G23221" s="812"/>
    </row>
    <row r="23222" spans="7:7">
      <c r="G23222" s="812"/>
    </row>
    <row r="23223" spans="7:7">
      <c r="G23223" s="812"/>
    </row>
    <row r="23224" spans="7:7">
      <c r="G23224" s="812"/>
    </row>
    <row r="23225" spans="7:7">
      <c r="G23225" s="812"/>
    </row>
    <row r="23226" spans="7:7">
      <c r="G23226" s="812"/>
    </row>
    <row r="23227" spans="7:7">
      <c r="G23227" s="812"/>
    </row>
    <row r="23228" spans="7:7">
      <c r="G23228" s="812"/>
    </row>
    <row r="23229" spans="7:7">
      <c r="G23229" s="812"/>
    </row>
    <row r="23230" spans="7:7">
      <c r="G23230" s="812"/>
    </row>
    <row r="23231" spans="7:7">
      <c r="G23231" s="812"/>
    </row>
    <row r="23232" spans="7:7">
      <c r="G23232" s="812"/>
    </row>
    <row r="23233" spans="7:7">
      <c r="G23233" s="812"/>
    </row>
    <row r="23234" spans="7:7">
      <c r="G23234" s="812"/>
    </row>
    <row r="23235" spans="7:7">
      <c r="G23235" s="812"/>
    </row>
    <row r="23236" spans="7:7">
      <c r="G23236" s="812"/>
    </row>
    <row r="23237" spans="7:7">
      <c r="G23237" s="812"/>
    </row>
    <row r="23238" spans="7:7">
      <c r="G23238" s="812"/>
    </row>
    <row r="23239" spans="7:7">
      <c r="G23239" s="812"/>
    </row>
    <row r="23240" spans="7:7">
      <c r="G23240" s="812"/>
    </row>
    <row r="23241" spans="7:7">
      <c r="G23241" s="812"/>
    </row>
    <row r="23242" spans="7:7">
      <c r="G23242" s="812"/>
    </row>
    <row r="23243" spans="7:7">
      <c r="G23243" s="812"/>
    </row>
    <row r="23244" spans="7:7">
      <c r="G23244" s="812"/>
    </row>
    <row r="23245" spans="7:7">
      <c r="G23245" s="812"/>
    </row>
    <row r="23246" spans="7:7">
      <c r="G23246" s="812"/>
    </row>
    <row r="23247" spans="7:7">
      <c r="G23247" s="812"/>
    </row>
    <row r="23248" spans="7:7">
      <c r="G23248" s="812"/>
    </row>
    <row r="23249" spans="7:7">
      <c r="G23249" s="812"/>
    </row>
    <row r="23250" spans="7:7">
      <c r="G23250" s="812"/>
    </row>
    <row r="23251" spans="7:7">
      <c r="G23251" s="812"/>
    </row>
    <row r="23252" spans="7:7">
      <c r="G23252" s="812"/>
    </row>
    <row r="23253" spans="7:7">
      <c r="G23253" s="812"/>
    </row>
    <row r="23254" spans="7:7">
      <c r="G23254" s="812"/>
    </row>
    <row r="23255" spans="7:7">
      <c r="G23255" s="812"/>
    </row>
    <row r="23256" spans="7:7">
      <c r="G23256" s="812"/>
    </row>
    <row r="23257" spans="7:7">
      <c r="G23257" s="812"/>
    </row>
    <row r="23258" spans="7:7">
      <c r="G23258" s="812"/>
    </row>
    <row r="23259" spans="7:7">
      <c r="G23259" s="812"/>
    </row>
    <row r="23260" spans="7:7">
      <c r="G23260" s="812"/>
    </row>
    <row r="23261" spans="7:7">
      <c r="G23261" s="812"/>
    </row>
    <row r="23262" spans="7:7">
      <c r="G23262" s="812"/>
    </row>
    <row r="23263" spans="7:7">
      <c r="G23263" s="812"/>
    </row>
    <row r="23264" spans="7:7">
      <c r="G23264" s="812"/>
    </row>
    <row r="23265" spans="7:7">
      <c r="G23265" s="812"/>
    </row>
    <row r="23266" spans="7:7">
      <c r="G23266" s="812"/>
    </row>
    <row r="23267" spans="7:7">
      <c r="G23267" s="812"/>
    </row>
    <row r="23268" spans="7:7">
      <c r="G23268" s="812"/>
    </row>
    <row r="23269" spans="7:7">
      <c r="G23269" s="812"/>
    </row>
    <row r="23270" spans="7:7">
      <c r="G23270" s="812"/>
    </row>
    <row r="23271" spans="7:7">
      <c r="G23271" s="812"/>
    </row>
    <row r="23272" spans="7:7">
      <c r="G23272" s="812"/>
    </row>
    <row r="23273" spans="7:7">
      <c r="G23273" s="812"/>
    </row>
    <row r="23274" spans="7:7">
      <c r="G23274" s="812"/>
    </row>
    <row r="23275" spans="7:7">
      <c r="G23275" s="812"/>
    </row>
    <row r="23276" spans="7:7">
      <c r="G23276" s="812"/>
    </row>
    <row r="23277" spans="7:7">
      <c r="G23277" s="812"/>
    </row>
    <row r="23278" spans="7:7">
      <c r="G23278" s="812"/>
    </row>
    <row r="23279" spans="7:7">
      <c r="G23279" s="812"/>
    </row>
    <row r="23280" spans="7:7">
      <c r="G23280" s="812"/>
    </row>
    <row r="23281" spans="7:7">
      <c r="G23281" s="812"/>
    </row>
    <row r="23282" spans="7:7">
      <c r="G23282" s="812"/>
    </row>
    <row r="23283" spans="7:7">
      <c r="G23283" s="812"/>
    </row>
    <row r="23284" spans="7:7">
      <c r="G23284" s="812"/>
    </row>
    <row r="23285" spans="7:7">
      <c r="G23285" s="812"/>
    </row>
    <row r="23286" spans="7:7">
      <c r="G23286" s="812"/>
    </row>
    <row r="23287" spans="7:7">
      <c r="G23287" s="812"/>
    </row>
    <row r="23288" spans="7:7">
      <c r="G23288" s="812"/>
    </row>
    <row r="23289" spans="7:7">
      <c r="G23289" s="812"/>
    </row>
    <row r="23290" spans="7:7">
      <c r="G23290" s="812"/>
    </row>
    <row r="23291" spans="7:7">
      <c r="G23291" s="812"/>
    </row>
    <row r="23292" spans="7:7">
      <c r="G23292" s="812"/>
    </row>
    <row r="23293" spans="7:7">
      <c r="G23293" s="812"/>
    </row>
    <row r="23294" spans="7:7">
      <c r="G23294" s="812"/>
    </row>
    <row r="23295" spans="7:7">
      <c r="G23295" s="812"/>
    </row>
    <row r="23296" spans="7:7">
      <c r="G23296" s="812"/>
    </row>
    <row r="23297" spans="7:7">
      <c r="G23297" s="812"/>
    </row>
    <row r="23298" spans="7:7">
      <c r="G23298" s="812"/>
    </row>
    <row r="23299" spans="7:7">
      <c r="G23299" s="812"/>
    </row>
    <row r="23300" spans="7:7">
      <c r="G23300" s="812"/>
    </row>
    <row r="23301" spans="7:7">
      <c r="G23301" s="812"/>
    </row>
    <row r="23302" spans="7:7">
      <c r="G23302" s="812"/>
    </row>
    <row r="23303" spans="7:7">
      <c r="G23303" s="812"/>
    </row>
    <row r="23304" spans="7:7">
      <c r="G23304" s="812"/>
    </row>
    <row r="23305" spans="7:7">
      <c r="G23305" s="812"/>
    </row>
    <row r="23306" spans="7:7">
      <c r="G23306" s="812"/>
    </row>
    <row r="23307" spans="7:7">
      <c r="G23307" s="812"/>
    </row>
    <row r="23308" spans="7:7">
      <c r="G23308" s="812"/>
    </row>
    <row r="23309" spans="7:7">
      <c r="G23309" s="812"/>
    </row>
    <row r="23310" spans="7:7">
      <c r="G23310" s="812"/>
    </row>
    <row r="23311" spans="7:7">
      <c r="G23311" s="812"/>
    </row>
    <row r="23312" spans="7:7">
      <c r="G23312" s="812"/>
    </row>
    <row r="23313" spans="7:7">
      <c r="G23313" s="812"/>
    </row>
    <row r="23314" spans="7:7">
      <c r="G23314" s="812"/>
    </row>
    <row r="23315" spans="7:7">
      <c r="G23315" s="812"/>
    </row>
    <row r="23316" spans="7:7">
      <c r="G23316" s="812"/>
    </row>
    <row r="23317" spans="7:7">
      <c r="G23317" s="812"/>
    </row>
    <row r="23318" spans="7:7">
      <c r="G23318" s="812"/>
    </row>
    <row r="23319" spans="7:7">
      <c r="G23319" s="812"/>
    </row>
    <row r="23320" spans="7:7">
      <c r="G23320" s="812"/>
    </row>
    <row r="23321" spans="7:7">
      <c r="G23321" s="812"/>
    </row>
    <row r="23322" spans="7:7">
      <c r="G23322" s="812"/>
    </row>
    <row r="23323" spans="7:7">
      <c r="G23323" s="812"/>
    </row>
    <row r="23324" spans="7:7">
      <c r="G23324" s="812"/>
    </row>
    <row r="23325" spans="7:7">
      <c r="G23325" s="812"/>
    </row>
    <row r="23326" spans="7:7">
      <c r="G23326" s="812"/>
    </row>
    <row r="23327" spans="7:7">
      <c r="G23327" s="812"/>
    </row>
    <row r="23328" spans="7:7">
      <c r="G23328" s="812"/>
    </row>
    <row r="23329" spans="7:7">
      <c r="G23329" s="812"/>
    </row>
    <row r="23330" spans="7:7">
      <c r="G23330" s="812"/>
    </row>
    <row r="23331" spans="7:7">
      <c r="G23331" s="812"/>
    </row>
    <row r="23332" spans="7:7">
      <c r="G23332" s="812"/>
    </row>
    <row r="23333" spans="7:7">
      <c r="G23333" s="812"/>
    </row>
    <row r="23334" spans="7:7">
      <c r="G23334" s="812"/>
    </row>
    <row r="23335" spans="7:7">
      <c r="G23335" s="812"/>
    </row>
    <row r="23336" spans="7:7">
      <c r="G23336" s="812"/>
    </row>
    <row r="23337" spans="7:7">
      <c r="G23337" s="812"/>
    </row>
    <row r="23338" spans="7:7">
      <c r="G23338" s="812"/>
    </row>
    <row r="23339" spans="7:7">
      <c r="G23339" s="812"/>
    </row>
    <row r="23340" spans="7:7">
      <c r="G23340" s="812"/>
    </row>
    <row r="23341" spans="7:7">
      <c r="G23341" s="812"/>
    </row>
    <row r="23342" spans="7:7">
      <c r="G23342" s="812"/>
    </row>
    <row r="23343" spans="7:7">
      <c r="G23343" s="812"/>
    </row>
    <row r="23344" spans="7:7">
      <c r="G23344" s="812"/>
    </row>
    <row r="23345" spans="7:7">
      <c r="G23345" s="812"/>
    </row>
    <row r="23346" spans="7:7">
      <c r="G23346" s="812"/>
    </row>
    <row r="23347" spans="7:7">
      <c r="G23347" s="812"/>
    </row>
    <row r="23348" spans="7:7">
      <c r="G23348" s="812"/>
    </row>
    <row r="23349" spans="7:7">
      <c r="G23349" s="812"/>
    </row>
    <row r="23350" spans="7:7">
      <c r="G23350" s="812"/>
    </row>
    <row r="23351" spans="7:7">
      <c r="G23351" s="812"/>
    </row>
    <row r="23352" spans="7:7">
      <c r="G23352" s="812"/>
    </row>
    <row r="23353" spans="7:7">
      <c r="G23353" s="812"/>
    </row>
    <row r="23354" spans="7:7">
      <c r="G23354" s="812"/>
    </row>
    <row r="23355" spans="7:7">
      <c r="G23355" s="812"/>
    </row>
    <row r="23356" spans="7:7">
      <c r="G23356" s="812"/>
    </row>
    <row r="23357" spans="7:7">
      <c r="G23357" s="812"/>
    </row>
    <row r="23358" spans="7:7">
      <c r="G23358" s="812"/>
    </row>
    <row r="23359" spans="7:7">
      <c r="G23359" s="812"/>
    </row>
    <row r="23360" spans="7:7">
      <c r="G23360" s="812"/>
    </row>
    <row r="23361" spans="7:7">
      <c r="G23361" s="812"/>
    </row>
    <row r="23362" spans="7:7">
      <c r="G23362" s="812"/>
    </row>
    <row r="23363" spans="7:7">
      <c r="G23363" s="812"/>
    </row>
    <row r="23364" spans="7:7">
      <c r="G23364" s="812"/>
    </row>
    <row r="23365" spans="7:7">
      <c r="G23365" s="812"/>
    </row>
    <row r="23366" spans="7:7">
      <c r="G23366" s="812"/>
    </row>
    <row r="23367" spans="7:7">
      <c r="G23367" s="812"/>
    </row>
    <row r="23368" spans="7:7">
      <c r="G23368" s="812"/>
    </row>
    <row r="23369" spans="7:7">
      <c r="G23369" s="812"/>
    </row>
    <row r="23370" spans="7:7">
      <c r="G23370" s="812"/>
    </row>
    <row r="23371" spans="7:7">
      <c r="G23371" s="812"/>
    </row>
    <row r="23372" spans="7:7">
      <c r="G23372" s="812"/>
    </row>
    <row r="23373" spans="7:7">
      <c r="G23373" s="812"/>
    </row>
    <row r="23374" spans="7:7">
      <c r="G23374" s="812"/>
    </row>
    <row r="23375" spans="7:7">
      <c r="G23375" s="812"/>
    </row>
    <row r="23376" spans="7:7">
      <c r="G23376" s="812"/>
    </row>
    <row r="23377" spans="7:7">
      <c r="G23377" s="812"/>
    </row>
    <row r="23378" spans="7:7">
      <c r="G23378" s="812"/>
    </row>
    <row r="23379" spans="7:7">
      <c r="G23379" s="812"/>
    </row>
    <row r="23380" spans="7:7">
      <c r="G23380" s="812"/>
    </row>
    <row r="23381" spans="7:7">
      <c r="G23381" s="812"/>
    </row>
    <row r="23382" spans="7:7">
      <c r="G23382" s="812"/>
    </row>
    <row r="23383" spans="7:7">
      <c r="G23383" s="812"/>
    </row>
    <row r="23384" spans="7:7">
      <c r="G23384" s="812"/>
    </row>
    <row r="23385" spans="7:7">
      <c r="G23385" s="812"/>
    </row>
    <row r="23386" spans="7:7">
      <c r="G23386" s="812"/>
    </row>
    <row r="23387" spans="7:7">
      <c r="G23387" s="812"/>
    </row>
    <row r="23388" spans="7:7">
      <c r="G23388" s="812"/>
    </row>
    <row r="23389" spans="7:7">
      <c r="G23389" s="812"/>
    </row>
    <row r="23390" spans="7:7">
      <c r="G23390" s="812"/>
    </row>
    <row r="23391" spans="7:7">
      <c r="G23391" s="812"/>
    </row>
    <row r="23392" spans="7:7">
      <c r="G23392" s="812"/>
    </row>
    <row r="23393" spans="7:7">
      <c r="G23393" s="812"/>
    </row>
    <row r="23394" spans="7:7">
      <c r="G23394" s="812"/>
    </row>
    <row r="23395" spans="7:7">
      <c r="G23395" s="812"/>
    </row>
    <row r="23396" spans="7:7">
      <c r="G23396" s="812"/>
    </row>
    <row r="23397" spans="7:7">
      <c r="G23397" s="812"/>
    </row>
    <row r="23398" spans="7:7">
      <c r="G23398" s="812"/>
    </row>
    <row r="23399" spans="7:7">
      <c r="G23399" s="812"/>
    </row>
    <row r="23400" spans="7:7">
      <c r="G23400" s="812"/>
    </row>
    <row r="23401" spans="7:7">
      <c r="G23401" s="812"/>
    </row>
    <row r="23402" spans="7:7">
      <c r="G23402" s="812"/>
    </row>
    <row r="23403" spans="7:7">
      <c r="G23403" s="812"/>
    </row>
    <row r="23404" spans="7:7">
      <c r="G23404" s="812"/>
    </row>
    <row r="23405" spans="7:7">
      <c r="G23405" s="812"/>
    </row>
    <row r="23406" spans="7:7">
      <c r="G23406" s="812"/>
    </row>
    <row r="23407" spans="7:7">
      <c r="G23407" s="812"/>
    </row>
    <row r="23408" spans="7:7">
      <c r="G23408" s="812"/>
    </row>
    <row r="23409" spans="7:7">
      <c r="G23409" s="812"/>
    </row>
    <row r="23410" spans="7:7">
      <c r="G23410" s="812"/>
    </row>
    <row r="23411" spans="7:7">
      <c r="G23411" s="812"/>
    </row>
    <row r="23412" spans="7:7">
      <c r="G23412" s="812"/>
    </row>
    <row r="23413" spans="7:7">
      <c r="G23413" s="812"/>
    </row>
    <row r="23414" spans="7:7">
      <c r="G23414" s="812"/>
    </row>
    <row r="23415" spans="7:7">
      <c r="G23415" s="812"/>
    </row>
    <row r="23416" spans="7:7">
      <c r="G23416" s="812"/>
    </row>
    <row r="23417" spans="7:7">
      <c r="G23417" s="812"/>
    </row>
    <row r="23418" spans="7:7">
      <c r="G23418" s="812"/>
    </row>
    <row r="23419" spans="7:7">
      <c r="G23419" s="812"/>
    </row>
    <row r="23420" spans="7:7">
      <c r="G23420" s="812"/>
    </row>
    <row r="23421" spans="7:7">
      <c r="G23421" s="812"/>
    </row>
    <row r="23422" spans="7:7">
      <c r="G23422" s="812"/>
    </row>
    <row r="23423" spans="7:7">
      <c r="G23423" s="812"/>
    </row>
    <row r="23424" spans="7:7">
      <c r="G23424" s="812"/>
    </row>
    <row r="23425" spans="7:7">
      <c r="G23425" s="812"/>
    </row>
    <row r="23426" spans="7:7">
      <c r="G23426" s="812"/>
    </row>
    <row r="23427" spans="7:7">
      <c r="G23427" s="812"/>
    </row>
    <row r="23428" spans="7:7">
      <c r="G23428" s="812"/>
    </row>
    <row r="23429" spans="7:7">
      <c r="G23429" s="812"/>
    </row>
    <row r="23430" spans="7:7">
      <c r="G23430" s="812"/>
    </row>
    <row r="23431" spans="7:7">
      <c r="G23431" s="812"/>
    </row>
    <row r="23432" spans="7:7">
      <c r="G23432" s="812"/>
    </row>
    <row r="23433" spans="7:7">
      <c r="G23433" s="812"/>
    </row>
    <row r="23434" spans="7:7">
      <c r="G23434" s="812"/>
    </row>
    <row r="23435" spans="7:7">
      <c r="G23435" s="812"/>
    </row>
    <row r="23436" spans="7:7">
      <c r="G23436" s="812"/>
    </row>
    <row r="23437" spans="7:7">
      <c r="G23437" s="812"/>
    </row>
    <row r="23438" spans="7:7">
      <c r="G23438" s="812"/>
    </row>
    <row r="23439" spans="7:7">
      <c r="G23439" s="812"/>
    </row>
    <row r="23440" spans="7:7">
      <c r="G23440" s="812"/>
    </row>
    <row r="23441" spans="7:7">
      <c r="G23441" s="812"/>
    </row>
    <row r="23442" spans="7:7">
      <c r="G23442" s="812"/>
    </row>
    <row r="23443" spans="7:7">
      <c r="G23443" s="812"/>
    </row>
    <row r="23444" spans="7:7">
      <c r="G23444" s="812"/>
    </row>
    <row r="23445" spans="7:7">
      <c r="G23445" s="812"/>
    </row>
    <row r="23446" spans="7:7">
      <c r="G23446" s="812"/>
    </row>
    <row r="23447" spans="7:7">
      <c r="G23447" s="812"/>
    </row>
    <row r="23448" spans="7:7">
      <c r="G23448" s="812"/>
    </row>
    <row r="23449" spans="7:7">
      <c r="G23449" s="812"/>
    </row>
    <row r="23450" spans="7:7">
      <c r="G23450" s="812"/>
    </row>
    <row r="23451" spans="7:7">
      <c r="G23451" s="812"/>
    </row>
    <row r="23452" spans="7:7">
      <c r="G23452" s="812"/>
    </row>
    <row r="23453" spans="7:7">
      <c r="G23453" s="812"/>
    </row>
    <row r="23454" spans="7:7">
      <c r="G23454" s="812"/>
    </row>
    <row r="23455" spans="7:7">
      <c r="G23455" s="812"/>
    </row>
    <row r="23456" spans="7:7">
      <c r="G23456" s="812"/>
    </row>
    <row r="23457" spans="7:7">
      <c r="G23457" s="812"/>
    </row>
    <row r="23458" spans="7:7">
      <c r="G23458" s="812"/>
    </row>
    <row r="23459" spans="7:7">
      <c r="G23459" s="812"/>
    </row>
    <row r="23460" spans="7:7">
      <c r="G23460" s="812"/>
    </row>
    <row r="23461" spans="7:7">
      <c r="G23461" s="812"/>
    </row>
    <row r="23462" spans="7:7">
      <c r="G23462" s="812"/>
    </row>
    <row r="23463" spans="7:7">
      <c r="G23463" s="812"/>
    </row>
    <row r="23464" spans="7:7">
      <c r="G23464" s="812"/>
    </row>
    <row r="23465" spans="7:7">
      <c r="G23465" s="812"/>
    </row>
    <row r="23466" spans="7:7">
      <c r="G23466" s="812"/>
    </row>
    <row r="23467" spans="7:7">
      <c r="G23467" s="812"/>
    </row>
    <row r="23468" spans="7:7">
      <c r="G23468" s="812"/>
    </row>
    <row r="23469" spans="7:7">
      <c r="G23469" s="812"/>
    </row>
    <row r="23470" spans="7:7">
      <c r="G23470" s="812"/>
    </row>
    <row r="23471" spans="7:7">
      <c r="G23471" s="812"/>
    </row>
    <row r="23472" spans="7:7">
      <c r="G23472" s="812"/>
    </row>
    <row r="23473" spans="7:7">
      <c r="G23473" s="812"/>
    </row>
    <row r="23474" spans="7:7">
      <c r="G23474" s="812"/>
    </row>
    <row r="23475" spans="7:7">
      <c r="G23475" s="812"/>
    </row>
    <row r="23476" spans="7:7">
      <c r="G23476" s="812"/>
    </row>
    <row r="23477" spans="7:7">
      <c r="G23477" s="812"/>
    </row>
    <row r="23478" spans="7:7">
      <c r="G23478" s="812"/>
    </row>
    <row r="23479" spans="7:7">
      <c r="G23479" s="812"/>
    </row>
    <row r="23480" spans="7:7">
      <c r="G23480" s="812"/>
    </row>
    <row r="23481" spans="7:7">
      <c r="G23481" s="812"/>
    </row>
    <row r="23482" spans="7:7">
      <c r="G23482" s="812"/>
    </row>
    <row r="23483" spans="7:7">
      <c r="G23483" s="812"/>
    </row>
    <row r="23484" spans="7:7">
      <c r="G23484" s="812"/>
    </row>
    <row r="23485" spans="7:7">
      <c r="G23485" s="812"/>
    </row>
    <row r="23486" spans="7:7">
      <c r="G23486" s="812"/>
    </row>
    <row r="23487" spans="7:7">
      <c r="G23487" s="812"/>
    </row>
    <row r="23488" spans="7:7">
      <c r="G23488" s="812"/>
    </row>
    <row r="23489" spans="7:7">
      <c r="G23489" s="812"/>
    </row>
    <row r="23490" spans="7:7">
      <c r="G23490" s="812"/>
    </row>
    <row r="23491" spans="7:7">
      <c r="G23491" s="812"/>
    </row>
    <row r="23492" spans="7:7">
      <c r="G23492" s="812"/>
    </row>
    <row r="23493" spans="7:7">
      <c r="G23493" s="812"/>
    </row>
    <row r="23494" spans="7:7">
      <c r="G23494" s="812"/>
    </row>
    <row r="23495" spans="7:7">
      <c r="G23495" s="812"/>
    </row>
    <row r="23496" spans="7:7">
      <c r="G23496" s="812"/>
    </row>
    <row r="23497" spans="7:7">
      <c r="G23497" s="812"/>
    </row>
    <row r="23498" spans="7:7">
      <c r="G23498" s="812"/>
    </row>
    <row r="23499" spans="7:7">
      <c r="G23499" s="812"/>
    </row>
    <row r="23500" spans="7:7">
      <c r="G23500" s="812"/>
    </row>
    <row r="23501" spans="7:7">
      <c r="G23501" s="812"/>
    </row>
    <row r="23502" spans="7:7">
      <c r="G23502" s="812"/>
    </row>
    <row r="23503" spans="7:7">
      <c r="G23503" s="812"/>
    </row>
    <row r="23504" spans="7:7">
      <c r="G23504" s="812"/>
    </row>
    <row r="23505" spans="7:7">
      <c r="G23505" s="812"/>
    </row>
    <row r="23506" spans="7:7">
      <c r="G23506" s="812"/>
    </row>
    <row r="23507" spans="7:7">
      <c r="G23507" s="812"/>
    </row>
    <row r="23508" spans="7:7">
      <c r="G23508" s="812"/>
    </row>
    <row r="23509" spans="7:7">
      <c r="G23509" s="812"/>
    </row>
    <row r="23510" spans="7:7">
      <c r="G23510" s="812"/>
    </row>
    <row r="23511" spans="7:7">
      <c r="G23511" s="812"/>
    </row>
    <row r="23512" spans="7:7">
      <c r="G23512" s="812"/>
    </row>
    <row r="23513" spans="7:7">
      <c r="G23513" s="812"/>
    </row>
    <row r="23514" spans="7:7">
      <c r="G23514" s="812"/>
    </row>
    <row r="23515" spans="7:7">
      <c r="G23515" s="812"/>
    </row>
    <row r="23516" spans="7:7">
      <c r="G23516" s="812"/>
    </row>
    <row r="23517" spans="7:7">
      <c r="G23517" s="812"/>
    </row>
    <row r="23518" spans="7:7">
      <c r="G23518" s="812"/>
    </row>
    <row r="23519" spans="7:7">
      <c r="G23519" s="812"/>
    </row>
    <row r="23520" spans="7:7">
      <c r="G23520" s="812"/>
    </row>
    <row r="23521" spans="7:7">
      <c r="G23521" s="812"/>
    </row>
    <row r="23522" spans="7:7">
      <c r="G23522" s="812"/>
    </row>
    <row r="23523" spans="7:7">
      <c r="G23523" s="812"/>
    </row>
    <row r="23524" spans="7:7">
      <c r="G23524" s="812"/>
    </row>
    <row r="23525" spans="7:7">
      <c r="G23525" s="812"/>
    </row>
    <row r="23526" spans="7:7">
      <c r="G23526" s="812"/>
    </row>
    <row r="23527" spans="7:7">
      <c r="G23527" s="812"/>
    </row>
    <row r="23528" spans="7:7">
      <c r="G23528" s="812"/>
    </row>
    <row r="23529" spans="7:7">
      <c r="G23529" s="812"/>
    </row>
    <row r="23530" spans="7:7">
      <c r="G23530" s="812"/>
    </row>
    <row r="23531" spans="7:7">
      <c r="G23531" s="812"/>
    </row>
    <row r="23532" spans="7:7">
      <c r="G23532" s="812"/>
    </row>
    <row r="23533" spans="7:7">
      <c r="G23533" s="812"/>
    </row>
    <row r="23534" spans="7:7">
      <c r="G23534" s="812"/>
    </row>
    <row r="23535" spans="7:7">
      <c r="G23535" s="812"/>
    </row>
    <row r="23536" spans="7:7">
      <c r="G23536" s="812"/>
    </row>
    <row r="23537" spans="7:7">
      <c r="G23537" s="812"/>
    </row>
    <row r="23538" spans="7:7">
      <c r="G23538" s="812"/>
    </row>
    <row r="23539" spans="7:7">
      <c r="G23539" s="812"/>
    </row>
    <row r="23540" spans="7:7">
      <c r="G23540" s="812"/>
    </row>
    <row r="23541" spans="7:7">
      <c r="G23541" s="812"/>
    </row>
    <row r="23542" spans="7:7">
      <c r="G23542" s="812"/>
    </row>
    <row r="23543" spans="7:7">
      <c r="G23543" s="812"/>
    </row>
    <row r="23544" spans="7:7">
      <c r="G23544" s="812"/>
    </row>
    <row r="23545" spans="7:7">
      <c r="G23545" s="812"/>
    </row>
    <row r="23546" spans="7:7">
      <c r="G23546" s="812"/>
    </row>
    <row r="23547" spans="7:7">
      <c r="G23547" s="812"/>
    </row>
    <row r="23548" spans="7:7">
      <c r="G23548" s="812"/>
    </row>
    <row r="23549" spans="7:7">
      <c r="G23549" s="812"/>
    </row>
    <row r="23550" spans="7:7">
      <c r="G23550" s="812"/>
    </row>
    <row r="23551" spans="7:7">
      <c r="G23551" s="812"/>
    </row>
    <row r="23552" spans="7:7">
      <c r="G23552" s="812"/>
    </row>
    <row r="23553" spans="7:7">
      <c r="G23553" s="812"/>
    </row>
    <row r="23554" spans="7:7">
      <c r="G23554" s="812"/>
    </row>
    <row r="23555" spans="7:7">
      <c r="G23555" s="812"/>
    </row>
    <row r="23556" spans="7:7">
      <c r="G23556" s="812"/>
    </row>
    <row r="23557" spans="7:7">
      <c r="G23557" s="812"/>
    </row>
    <row r="23558" spans="7:7">
      <c r="G23558" s="812"/>
    </row>
    <row r="23559" spans="7:7">
      <c r="G23559" s="812"/>
    </row>
    <row r="23560" spans="7:7">
      <c r="G23560" s="812"/>
    </row>
    <row r="23561" spans="7:7">
      <c r="G23561" s="812"/>
    </row>
    <row r="23562" spans="7:7">
      <c r="G23562" s="812"/>
    </row>
    <row r="23563" spans="7:7">
      <c r="G23563" s="812"/>
    </row>
    <row r="23564" spans="7:7">
      <c r="G23564" s="812"/>
    </row>
    <row r="23565" spans="7:7">
      <c r="G23565" s="812"/>
    </row>
    <row r="23566" spans="7:7">
      <c r="G23566" s="812"/>
    </row>
    <row r="23567" spans="7:7">
      <c r="G23567" s="812"/>
    </row>
    <row r="23568" spans="7:7">
      <c r="G23568" s="812"/>
    </row>
    <row r="23569" spans="7:7">
      <c r="G23569" s="812"/>
    </row>
    <row r="23570" spans="7:7">
      <c r="G23570" s="812"/>
    </row>
    <row r="23571" spans="7:7">
      <c r="G23571" s="812"/>
    </row>
    <row r="23572" spans="7:7">
      <c r="G23572" s="812"/>
    </row>
    <row r="23573" spans="7:7">
      <c r="G23573" s="812"/>
    </row>
    <row r="23574" spans="7:7">
      <c r="G23574" s="812"/>
    </row>
    <row r="23575" spans="7:7">
      <c r="G23575" s="812"/>
    </row>
    <row r="23576" spans="7:7">
      <c r="G23576" s="812"/>
    </row>
    <row r="23577" spans="7:7">
      <c r="G23577" s="812"/>
    </row>
    <row r="23578" spans="7:7">
      <c r="G23578" s="812"/>
    </row>
    <row r="23579" spans="7:7">
      <c r="G23579" s="812"/>
    </row>
    <row r="23580" spans="7:7">
      <c r="G23580" s="812"/>
    </row>
    <row r="23581" spans="7:7">
      <c r="G23581" s="812"/>
    </row>
    <row r="23582" spans="7:7">
      <c r="G23582" s="812"/>
    </row>
    <row r="23583" spans="7:7">
      <c r="G23583" s="812"/>
    </row>
    <row r="23584" spans="7:7">
      <c r="G23584" s="812"/>
    </row>
    <row r="23585" spans="7:7">
      <c r="G23585" s="812"/>
    </row>
    <row r="23586" spans="7:7">
      <c r="G23586" s="812"/>
    </row>
    <row r="23587" spans="7:7">
      <c r="G23587" s="812"/>
    </row>
    <row r="23588" spans="7:7">
      <c r="G23588" s="812"/>
    </row>
    <row r="23589" spans="7:7">
      <c r="G23589" s="812"/>
    </row>
    <row r="23590" spans="7:7">
      <c r="G23590" s="812"/>
    </row>
    <row r="23591" spans="7:7">
      <c r="G23591" s="812"/>
    </row>
    <row r="23592" spans="7:7">
      <c r="G23592" s="812"/>
    </row>
    <row r="23593" spans="7:7">
      <c r="G23593" s="812"/>
    </row>
    <row r="23594" spans="7:7">
      <c r="G23594" s="812"/>
    </row>
    <row r="23595" spans="7:7">
      <c r="G23595" s="812"/>
    </row>
    <row r="23596" spans="7:7">
      <c r="G23596" s="812"/>
    </row>
    <row r="23597" spans="7:7">
      <c r="G23597" s="812"/>
    </row>
    <row r="23598" spans="7:7">
      <c r="G23598" s="812"/>
    </row>
    <row r="23599" spans="7:7">
      <c r="G23599" s="812"/>
    </row>
    <row r="23600" spans="7:7">
      <c r="G23600" s="812"/>
    </row>
    <row r="23601" spans="7:7">
      <c r="G23601" s="812"/>
    </row>
    <row r="23602" spans="7:7">
      <c r="G23602" s="812"/>
    </row>
    <row r="23603" spans="7:7">
      <c r="G23603" s="812"/>
    </row>
    <row r="23604" spans="7:7">
      <c r="G23604" s="812"/>
    </row>
    <row r="23605" spans="7:7">
      <c r="G23605" s="812"/>
    </row>
    <row r="23606" spans="7:7">
      <c r="G23606" s="812"/>
    </row>
    <row r="23607" spans="7:7">
      <c r="G23607" s="812"/>
    </row>
    <row r="23608" spans="7:7">
      <c r="G23608" s="812"/>
    </row>
    <row r="23609" spans="7:7">
      <c r="G23609" s="812"/>
    </row>
    <row r="23610" spans="7:7">
      <c r="G23610" s="812"/>
    </row>
    <row r="23611" spans="7:7">
      <c r="G23611" s="812"/>
    </row>
    <row r="23612" spans="7:7">
      <c r="G23612" s="812"/>
    </row>
    <row r="23613" spans="7:7">
      <c r="G23613" s="812"/>
    </row>
    <row r="23614" spans="7:7">
      <c r="G23614" s="812"/>
    </row>
    <row r="23615" spans="7:7">
      <c r="G23615" s="812"/>
    </row>
    <row r="23616" spans="7:7">
      <c r="G23616" s="812"/>
    </row>
    <row r="23617" spans="7:7">
      <c r="G23617" s="812"/>
    </row>
    <row r="23618" spans="7:7">
      <c r="G23618" s="812"/>
    </row>
    <row r="23619" spans="7:7">
      <c r="G23619" s="812"/>
    </row>
    <row r="23620" spans="7:7">
      <c r="G23620" s="812"/>
    </row>
    <row r="23621" spans="7:7">
      <c r="G23621" s="812"/>
    </row>
    <row r="23622" spans="7:7">
      <c r="G23622" s="812"/>
    </row>
    <row r="23623" spans="7:7">
      <c r="G23623" s="812"/>
    </row>
    <row r="23624" spans="7:7">
      <c r="G23624" s="812"/>
    </row>
    <row r="23625" spans="7:7">
      <c r="G23625" s="812"/>
    </row>
    <row r="23626" spans="7:7">
      <c r="G23626" s="812"/>
    </row>
    <row r="23627" spans="7:7">
      <c r="G23627" s="812"/>
    </row>
    <row r="23628" spans="7:7">
      <c r="G23628" s="812"/>
    </row>
    <row r="23629" spans="7:7">
      <c r="G23629" s="812"/>
    </row>
    <row r="23630" spans="7:7">
      <c r="G23630" s="812"/>
    </row>
    <row r="23631" spans="7:7">
      <c r="G23631" s="812"/>
    </row>
    <row r="23632" spans="7:7">
      <c r="G23632" s="812"/>
    </row>
    <row r="23633" spans="7:7">
      <c r="G23633" s="812"/>
    </row>
    <row r="23634" spans="7:7">
      <c r="G23634" s="812"/>
    </row>
    <row r="23635" spans="7:7">
      <c r="G23635" s="812"/>
    </row>
    <row r="23636" spans="7:7">
      <c r="G23636" s="812"/>
    </row>
    <row r="23637" spans="7:7">
      <c r="G23637" s="812"/>
    </row>
    <row r="23638" spans="7:7">
      <c r="G23638" s="812"/>
    </row>
    <row r="23639" spans="7:7">
      <c r="G23639" s="812"/>
    </row>
    <row r="23640" spans="7:7">
      <c r="G23640" s="812"/>
    </row>
    <row r="23641" spans="7:7">
      <c r="G23641" s="812"/>
    </row>
    <row r="23642" spans="7:7">
      <c r="G23642" s="812"/>
    </row>
    <row r="23643" spans="7:7">
      <c r="G23643" s="812"/>
    </row>
    <row r="23644" spans="7:7">
      <c r="G23644" s="812"/>
    </row>
    <row r="23645" spans="7:7">
      <c r="G23645" s="812"/>
    </row>
    <row r="23646" spans="7:7">
      <c r="G23646" s="812"/>
    </row>
    <row r="23647" spans="7:7">
      <c r="G23647" s="812"/>
    </row>
    <row r="23648" spans="7:7">
      <c r="G23648" s="812"/>
    </row>
    <row r="23649" spans="7:7">
      <c r="G23649" s="812"/>
    </row>
    <row r="23650" spans="7:7">
      <c r="G23650" s="812"/>
    </row>
    <row r="23651" spans="7:7">
      <c r="G23651" s="812"/>
    </row>
    <row r="23652" spans="7:7">
      <c r="G23652" s="812"/>
    </row>
    <row r="23653" spans="7:7">
      <c r="G23653" s="812"/>
    </row>
    <row r="23654" spans="7:7">
      <c r="G23654" s="812"/>
    </row>
    <row r="23655" spans="7:7">
      <c r="G23655" s="812"/>
    </row>
    <row r="23656" spans="7:7">
      <c r="G23656" s="812"/>
    </row>
    <row r="23657" spans="7:7">
      <c r="G23657" s="812"/>
    </row>
    <row r="23658" spans="7:7">
      <c r="G23658" s="812"/>
    </row>
    <row r="23659" spans="7:7">
      <c r="G23659" s="812"/>
    </row>
    <row r="23660" spans="7:7">
      <c r="G23660" s="812"/>
    </row>
    <row r="23661" spans="7:7">
      <c r="G23661" s="812"/>
    </row>
    <row r="23662" spans="7:7">
      <c r="G23662" s="812"/>
    </row>
    <row r="23663" spans="7:7">
      <c r="G23663" s="812"/>
    </row>
    <row r="23664" spans="7:7">
      <c r="G23664" s="812"/>
    </row>
    <row r="23665" spans="7:7">
      <c r="G23665" s="812"/>
    </row>
    <row r="23666" spans="7:7">
      <c r="G23666" s="812"/>
    </row>
    <row r="23667" spans="7:7">
      <c r="G23667" s="812"/>
    </row>
    <row r="23668" spans="7:7">
      <c r="G23668" s="812"/>
    </row>
    <row r="23669" spans="7:7">
      <c r="G23669" s="812"/>
    </row>
    <row r="23670" spans="7:7">
      <c r="G23670" s="812"/>
    </row>
    <row r="23671" spans="7:7">
      <c r="G23671" s="812"/>
    </row>
    <row r="23672" spans="7:7">
      <c r="G23672" s="812"/>
    </row>
    <row r="23673" spans="7:7">
      <c r="G23673" s="812"/>
    </row>
    <row r="23674" spans="7:7">
      <c r="G23674" s="812"/>
    </row>
    <row r="23675" spans="7:7">
      <c r="G23675" s="812"/>
    </row>
    <row r="23676" spans="7:7">
      <c r="G23676" s="812"/>
    </row>
    <row r="23677" spans="7:7">
      <c r="G23677" s="812"/>
    </row>
    <row r="23678" spans="7:7">
      <c r="G23678" s="812"/>
    </row>
    <row r="23679" spans="7:7">
      <c r="G23679" s="812"/>
    </row>
    <row r="23680" spans="7:7">
      <c r="G23680" s="812"/>
    </row>
    <row r="23681" spans="7:7">
      <c r="G23681" s="812"/>
    </row>
    <row r="23682" spans="7:7">
      <c r="G23682" s="812"/>
    </row>
    <row r="23683" spans="7:7">
      <c r="G23683" s="812"/>
    </row>
    <row r="23684" spans="7:7">
      <c r="G23684" s="812"/>
    </row>
    <row r="23685" spans="7:7">
      <c r="G23685" s="812"/>
    </row>
    <row r="23686" spans="7:7">
      <c r="G23686" s="812"/>
    </row>
    <row r="23687" spans="7:7">
      <c r="G23687" s="812"/>
    </row>
    <row r="23688" spans="7:7">
      <c r="G23688" s="812"/>
    </row>
    <row r="23689" spans="7:7">
      <c r="G23689" s="812"/>
    </row>
    <row r="23690" spans="7:7">
      <c r="G23690" s="812"/>
    </row>
    <row r="23691" spans="7:7">
      <c r="G23691" s="812"/>
    </row>
    <row r="23692" spans="7:7">
      <c r="G23692" s="812"/>
    </row>
    <row r="23693" spans="7:7">
      <c r="G23693" s="812"/>
    </row>
    <row r="23694" spans="7:7">
      <c r="G23694" s="812"/>
    </row>
    <row r="23695" spans="7:7">
      <c r="G23695" s="812"/>
    </row>
    <row r="23696" spans="7:7">
      <c r="G23696" s="812"/>
    </row>
    <row r="23697" spans="7:7">
      <c r="G23697" s="812"/>
    </row>
    <row r="23698" spans="7:7">
      <c r="G23698" s="812"/>
    </row>
    <row r="23699" spans="7:7">
      <c r="G23699" s="812"/>
    </row>
    <row r="23700" spans="7:7">
      <c r="G23700" s="812"/>
    </row>
    <row r="23701" spans="7:7">
      <c r="G23701" s="812"/>
    </row>
    <row r="23702" spans="7:7">
      <c r="G23702" s="812"/>
    </row>
    <row r="23703" spans="7:7">
      <c r="G23703" s="812"/>
    </row>
    <row r="23704" spans="7:7">
      <c r="G23704" s="812"/>
    </row>
    <row r="23705" spans="7:7">
      <c r="G23705" s="812"/>
    </row>
    <row r="23706" spans="7:7">
      <c r="G23706" s="812"/>
    </row>
    <row r="23707" spans="7:7">
      <c r="G23707" s="812"/>
    </row>
    <row r="23708" spans="7:7">
      <c r="G23708" s="812"/>
    </row>
    <row r="23709" spans="7:7">
      <c r="G23709" s="812"/>
    </row>
    <row r="23710" spans="7:7">
      <c r="G23710" s="812"/>
    </row>
    <row r="23711" spans="7:7">
      <c r="G23711" s="812"/>
    </row>
    <row r="23712" spans="7:7">
      <c r="G23712" s="812"/>
    </row>
    <row r="23713" spans="7:7">
      <c r="G23713" s="812"/>
    </row>
    <row r="23714" spans="7:7">
      <c r="G23714" s="812"/>
    </row>
    <row r="23715" spans="7:7">
      <c r="G23715" s="812"/>
    </row>
    <row r="23716" spans="7:7">
      <c r="G23716" s="812"/>
    </row>
    <row r="23717" spans="7:7">
      <c r="G23717" s="812"/>
    </row>
    <row r="23718" spans="7:7">
      <c r="G23718" s="812"/>
    </row>
    <row r="23719" spans="7:7">
      <c r="G23719" s="812"/>
    </row>
    <row r="23720" spans="7:7">
      <c r="G23720" s="812"/>
    </row>
    <row r="23721" spans="7:7">
      <c r="G23721" s="812"/>
    </row>
    <row r="23722" spans="7:7">
      <c r="G23722" s="812"/>
    </row>
    <row r="23723" spans="7:7">
      <c r="G23723" s="812"/>
    </row>
    <row r="23724" spans="7:7">
      <c r="G23724" s="812"/>
    </row>
    <row r="23725" spans="7:7">
      <c r="G23725" s="812"/>
    </row>
    <row r="23726" spans="7:7">
      <c r="G23726" s="812"/>
    </row>
    <row r="23727" spans="7:7">
      <c r="G23727" s="812"/>
    </row>
    <row r="23728" spans="7:7">
      <c r="G23728" s="812"/>
    </row>
    <row r="23729" spans="7:7">
      <c r="G23729" s="812"/>
    </row>
    <row r="23730" spans="7:7">
      <c r="G23730" s="812"/>
    </row>
    <row r="23731" spans="7:7">
      <c r="G23731" s="812"/>
    </row>
    <row r="23732" spans="7:7">
      <c r="G23732" s="812"/>
    </row>
    <row r="23733" spans="7:7">
      <c r="G23733" s="812"/>
    </row>
    <row r="23734" spans="7:7">
      <c r="G23734" s="812"/>
    </row>
    <row r="23735" spans="7:7">
      <c r="G23735" s="812"/>
    </row>
    <row r="23736" spans="7:7">
      <c r="G23736" s="812"/>
    </row>
    <row r="23737" spans="7:7">
      <c r="G23737" s="812"/>
    </row>
    <row r="23738" spans="7:7">
      <c r="G23738" s="812"/>
    </row>
    <row r="23739" spans="7:7">
      <c r="G23739" s="812"/>
    </row>
    <row r="23740" spans="7:7">
      <c r="G23740" s="812"/>
    </row>
    <row r="23741" spans="7:7">
      <c r="G23741" s="812"/>
    </row>
    <row r="23742" spans="7:7">
      <c r="G23742" s="812"/>
    </row>
    <row r="23743" spans="7:7">
      <c r="G23743" s="812"/>
    </row>
    <row r="23744" spans="7:7">
      <c r="G23744" s="812"/>
    </row>
    <row r="23745" spans="7:7">
      <c r="G23745" s="812"/>
    </row>
    <row r="23746" spans="7:7">
      <c r="G23746" s="812"/>
    </row>
    <row r="23747" spans="7:7">
      <c r="G23747" s="812"/>
    </row>
    <row r="23748" spans="7:7">
      <c r="G23748" s="812"/>
    </row>
    <row r="23749" spans="7:7">
      <c r="G23749" s="812"/>
    </row>
    <row r="23750" spans="7:7">
      <c r="G23750" s="812"/>
    </row>
    <row r="23751" spans="7:7">
      <c r="G23751" s="812"/>
    </row>
    <row r="23752" spans="7:7">
      <c r="G23752" s="812"/>
    </row>
    <row r="23753" spans="7:7">
      <c r="G23753" s="812"/>
    </row>
    <row r="23754" spans="7:7">
      <c r="G23754" s="812"/>
    </row>
    <row r="23755" spans="7:7">
      <c r="G23755" s="812"/>
    </row>
    <row r="23756" spans="7:7">
      <c r="G23756" s="812"/>
    </row>
    <row r="23757" spans="7:7">
      <c r="G23757" s="812"/>
    </row>
    <row r="23758" spans="7:7">
      <c r="G23758" s="812"/>
    </row>
    <row r="23759" spans="7:7">
      <c r="G23759" s="812"/>
    </row>
    <row r="23760" spans="7:7">
      <c r="G23760" s="812"/>
    </row>
    <row r="23761" spans="7:7">
      <c r="G23761" s="812"/>
    </row>
    <row r="23762" spans="7:7">
      <c r="G23762" s="812"/>
    </row>
    <row r="23763" spans="7:7">
      <c r="G23763" s="812"/>
    </row>
    <row r="23764" spans="7:7">
      <c r="G23764" s="812"/>
    </row>
    <row r="23765" spans="7:7">
      <c r="G23765" s="812"/>
    </row>
    <row r="23766" spans="7:7">
      <c r="G23766" s="812"/>
    </row>
    <row r="23767" spans="7:7">
      <c r="G23767" s="812"/>
    </row>
    <row r="23768" spans="7:7">
      <c r="G23768" s="812"/>
    </row>
    <row r="23769" spans="7:7">
      <c r="G23769" s="812"/>
    </row>
    <row r="23770" spans="7:7">
      <c r="G23770" s="812"/>
    </row>
    <row r="23771" spans="7:7">
      <c r="G23771" s="812"/>
    </row>
    <row r="23772" spans="7:7">
      <c r="G23772" s="812"/>
    </row>
    <row r="23773" spans="7:7">
      <c r="G23773" s="812"/>
    </row>
    <row r="23774" spans="7:7">
      <c r="G23774" s="812"/>
    </row>
    <row r="23775" spans="7:7">
      <c r="G23775" s="812"/>
    </row>
    <row r="23776" spans="7:7">
      <c r="G23776" s="812"/>
    </row>
    <row r="23777" spans="7:7">
      <c r="G23777" s="812"/>
    </row>
    <row r="23778" spans="7:7">
      <c r="G23778" s="812"/>
    </row>
    <row r="23779" spans="7:7">
      <c r="G23779" s="812"/>
    </row>
    <row r="23780" spans="7:7">
      <c r="G23780" s="812"/>
    </row>
    <row r="23781" spans="7:7">
      <c r="G23781" s="812"/>
    </row>
    <row r="23782" spans="7:7">
      <c r="G23782" s="812"/>
    </row>
    <row r="23783" spans="7:7">
      <c r="G23783" s="812"/>
    </row>
    <row r="23784" spans="7:7">
      <c r="G23784" s="812"/>
    </row>
    <row r="23785" spans="7:7">
      <c r="G23785" s="812"/>
    </row>
    <row r="23786" spans="7:7">
      <c r="G23786" s="812"/>
    </row>
    <row r="23787" spans="7:7">
      <c r="G23787" s="812"/>
    </row>
    <row r="23788" spans="7:7">
      <c r="G23788" s="812"/>
    </row>
    <row r="23789" spans="7:7">
      <c r="G23789" s="812"/>
    </row>
    <row r="23790" spans="7:7">
      <c r="G23790" s="812"/>
    </row>
    <row r="23791" spans="7:7">
      <c r="G23791" s="812"/>
    </row>
    <row r="23792" spans="7:7">
      <c r="G23792" s="812"/>
    </row>
    <row r="23793" spans="7:7">
      <c r="G23793" s="812"/>
    </row>
    <row r="23794" spans="7:7">
      <c r="G23794" s="812"/>
    </row>
    <row r="23795" spans="7:7">
      <c r="G23795" s="812"/>
    </row>
    <row r="23796" spans="7:7">
      <c r="G23796" s="812"/>
    </row>
    <row r="23797" spans="7:7">
      <c r="G23797" s="812"/>
    </row>
    <row r="23798" spans="7:7">
      <c r="G23798" s="812"/>
    </row>
    <row r="23799" spans="7:7">
      <c r="G23799" s="812"/>
    </row>
    <row r="23800" spans="7:7">
      <c r="G23800" s="812"/>
    </row>
    <row r="23801" spans="7:7">
      <c r="G23801" s="812"/>
    </row>
    <row r="23802" spans="7:7">
      <c r="G23802" s="812"/>
    </row>
    <row r="23803" spans="7:7">
      <c r="G23803" s="812"/>
    </row>
    <row r="23804" spans="7:7">
      <c r="G23804" s="812"/>
    </row>
    <row r="23805" spans="7:7">
      <c r="G23805" s="812"/>
    </row>
    <row r="23806" spans="7:7">
      <c r="G23806" s="812"/>
    </row>
    <row r="23807" spans="7:7">
      <c r="G23807" s="812"/>
    </row>
    <row r="23808" spans="7:7">
      <c r="G23808" s="812"/>
    </row>
    <row r="23809" spans="7:7">
      <c r="G23809" s="812"/>
    </row>
    <row r="23810" spans="7:7">
      <c r="G23810" s="812"/>
    </row>
    <row r="23811" spans="7:7">
      <c r="G23811" s="812"/>
    </row>
    <row r="23812" spans="7:7">
      <c r="G23812" s="812"/>
    </row>
    <row r="23813" spans="7:7">
      <c r="G23813" s="812"/>
    </row>
    <row r="23814" spans="7:7">
      <c r="G23814" s="812"/>
    </row>
    <row r="23815" spans="7:7">
      <c r="G23815" s="812"/>
    </row>
    <row r="23816" spans="7:7">
      <c r="G23816" s="812"/>
    </row>
    <row r="23817" spans="7:7">
      <c r="G23817" s="812"/>
    </row>
    <row r="23818" spans="7:7">
      <c r="G23818" s="812"/>
    </row>
    <row r="23819" spans="7:7">
      <c r="G23819" s="812"/>
    </row>
    <row r="23820" spans="7:7">
      <c r="G23820" s="812"/>
    </row>
    <row r="23821" spans="7:7">
      <c r="G23821" s="812"/>
    </row>
    <row r="23822" spans="7:7">
      <c r="G23822" s="812"/>
    </row>
    <row r="23823" spans="7:7">
      <c r="G23823" s="812"/>
    </row>
    <row r="23824" spans="7:7">
      <c r="G23824" s="812"/>
    </row>
    <row r="23825" spans="7:7">
      <c r="G23825" s="812"/>
    </row>
    <row r="23826" spans="7:7">
      <c r="G23826" s="812"/>
    </row>
    <row r="23827" spans="7:7">
      <c r="G23827" s="812"/>
    </row>
    <row r="23828" spans="7:7">
      <c r="G23828" s="812"/>
    </row>
    <row r="23829" spans="7:7">
      <c r="G23829" s="812"/>
    </row>
    <row r="23830" spans="7:7">
      <c r="G23830" s="812"/>
    </row>
    <row r="23831" spans="7:7">
      <c r="G23831" s="812"/>
    </row>
    <row r="23832" spans="7:7">
      <c r="G23832" s="812"/>
    </row>
    <row r="23833" spans="7:7">
      <c r="G23833" s="812"/>
    </row>
    <row r="23834" spans="7:7">
      <c r="G23834" s="812"/>
    </row>
    <row r="23835" spans="7:7">
      <c r="G23835" s="812"/>
    </row>
    <row r="23836" spans="7:7">
      <c r="G23836" s="812"/>
    </row>
    <row r="23837" spans="7:7">
      <c r="G23837" s="812"/>
    </row>
    <row r="23838" spans="7:7">
      <c r="G23838" s="812"/>
    </row>
    <row r="23839" spans="7:7">
      <c r="G23839" s="812"/>
    </row>
    <row r="23840" spans="7:7">
      <c r="G23840" s="812"/>
    </row>
    <row r="23841" spans="7:7">
      <c r="G23841" s="812"/>
    </row>
    <row r="23842" spans="7:7">
      <c r="G23842" s="812"/>
    </row>
    <row r="23843" spans="7:7">
      <c r="G23843" s="812"/>
    </row>
    <row r="23844" spans="7:7">
      <c r="G23844" s="812"/>
    </row>
    <row r="23845" spans="7:7">
      <c r="G23845" s="812"/>
    </row>
    <row r="23846" spans="7:7">
      <c r="G23846" s="812"/>
    </row>
    <row r="23847" spans="7:7">
      <c r="G23847" s="812"/>
    </row>
    <row r="23848" spans="7:7">
      <c r="G23848" s="812"/>
    </row>
    <row r="23849" spans="7:7">
      <c r="G23849" s="812"/>
    </row>
    <row r="23850" spans="7:7">
      <c r="G23850" s="812"/>
    </row>
    <row r="23851" spans="7:7">
      <c r="G23851" s="812"/>
    </row>
    <row r="23852" spans="7:7">
      <c r="G23852" s="812"/>
    </row>
    <row r="23853" spans="7:7">
      <c r="G23853" s="812"/>
    </row>
    <row r="23854" spans="7:7">
      <c r="G23854" s="812"/>
    </row>
    <row r="23855" spans="7:7">
      <c r="G23855" s="812"/>
    </row>
    <row r="23856" spans="7:7">
      <c r="G23856" s="812"/>
    </row>
    <row r="23857" spans="7:7">
      <c r="G23857" s="812"/>
    </row>
    <row r="23858" spans="7:7">
      <c r="G23858" s="812"/>
    </row>
    <row r="23859" spans="7:7">
      <c r="G23859" s="812"/>
    </row>
    <row r="23860" spans="7:7">
      <c r="G23860" s="812"/>
    </row>
    <row r="23861" spans="7:7">
      <c r="G23861" s="812"/>
    </row>
    <row r="23862" spans="7:7">
      <c r="G23862" s="812"/>
    </row>
    <row r="23863" spans="7:7">
      <c r="G23863" s="812"/>
    </row>
    <row r="23864" spans="7:7">
      <c r="G23864" s="812"/>
    </row>
    <row r="23865" spans="7:7">
      <c r="G23865" s="812"/>
    </row>
    <row r="23866" spans="7:7">
      <c r="G23866" s="812"/>
    </row>
    <row r="23867" spans="7:7">
      <c r="G23867" s="812"/>
    </row>
    <row r="23868" spans="7:7">
      <c r="G23868" s="812"/>
    </row>
    <row r="23869" spans="7:7">
      <c r="G23869" s="812"/>
    </row>
    <row r="23870" spans="7:7">
      <c r="G23870" s="812"/>
    </row>
    <row r="23871" spans="7:7">
      <c r="G23871" s="812"/>
    </row>
    <row r="23872" spans="7:7">
      <c r="G23872" s="812"/>
    </row>
    <row r="23873" spans="7:7">
      <c r="G23873" s="812"/>
    </row>
    <row r="23874" spans="7:7">
      <c r="G23874" s="812"/>
    </row>
    <row r="23875" spans="7:7">
      <c r="G23875" s="812"/>
    </row>
    <row r="23876" spans="7:7">
      <c r="G23876" s="812"/>
    </row>
    <row r="23877" spans="7:7">
      <c r="G23877" s="812"/>
    </row>
    <row r="23878" spans="7:7">
      <c r="G23878" s="812"/>
    </row>
    <row r="23879" spans="7:7">
      <c r="G23879" s="812"/>
    </row>
    <row r="23880" spans="7:7">
      <c r="G23880" s="812"/>
    </row>
    <row r="23881" spans="7:7">
      <c r="G23881" s="812"/>
    </row>
    <row r="23882" spans="7:7">
      <c r="G23882" s="812"/>
    </row>
    <row r="23883" spans="7:7">
      <c r="G23883" s="812"/>
    </row>
    <row r="23884" spans="7:7">
      <c r="G23884" s="812"/>
    </row>
    <row r="23885" spans="7:7">
      <c r="G23885" s="812"/>
    </row>
    <row r="23886" spans="7:7">
      <c r="G23886" s="812"/>
    </row>
    <row r="23887" spans="7:7">
      <c r="G23887" s="812"/>
    </row>
    <row r="23888" spans="7:7">
      <c r="G23888" s="812"/>
    </row>
    <row r="23889" spans="7:7">
      <c r="G23889" s="812"/>
    </row>
    <row r="23890" spans="7:7">
      <c r="G23890" s="812"/>
    </row>
    <row r="23891" spans="7:7">
      <c r="G23891" s="812"/>
    </row>
    <row r="23892" spans="7:7">
      <c r="G23892" s="812"/>
    </row>
    <row r="23893" spans="7:7">
      <c r="G23893" s="812"/>
    </row>
    <row r="23894" spans="7:7">
      <c r="G23894" s="812"/>
    </row>
    <row r="23895" spans="7:7">
      <c r="G23895" s="812"/>
    </row>
    <row r="23896" spans="7:7">
      <c r="G23896" s="812"/>
    </row>
    <row r="23897" spans="7:7">
      <c r="G23897" s="812"/>
    </row>
    <row r="23898" spans="7:7">
      <c r="G23898" s="812"/>
    </row>
    <row r="23899" spans="7:7">
      <c r="G23899" s="812"/>
    </row>
    <row r="23900" spans="7:7">
      <c r="G23900" s="812"/>
    </row>
    <row r="23901" spans="7:7">
      <c r="G23901" s="812"/>
    </row>
    <row r="23902" spans="7:7">
      <c r="G23902" s="812"/>
    </row>
    <row r="23903" spans="7:7">
      <c r="G23903" s="812"/>
    </row>
    <row r="23904" spans="7:7">
      <c r="G23904" s="812"/>
    </row>
    <row r="23905" spans="7:7">
      <c r="G23905" s="812"/>
    </row>
    <row r="23906" spans="7:7">
      <c r="G23906" s="812"/>
    </row>
    <row r="23907" spans="7:7">
      <c r="G23907" s="812"/>
    </row>
    <row r="23908" spans="7:7">
      <c r="G23908" s="812"/>
    </row>
    <row r="23909" spans="7:7">
      <c r="G23909" s="812"/>
    </row>
    <row r="23910" spans="7:7">
      <c r="G23910" s="812"/>
    </row>
    <row r="23911" spans="7:7">
      <c r="G23911" s="812"/>
    </row>
    <row r="23912" spans="7:7">
      <c r="G23912" s="812"/>
    </row>
    <row r="23913" spans="7:7">
      <c r="G23913" s="812"/>
    </row>
    <row r="23914" spans="7:7">
      <c r="G23914" s="812"/>
    </row>
    <row r="23915" spans="7:7">
      <c r="G23915" s="812"/>
    </row>
    <row r="23916" spans="7:7">
      <c r="G23916" s="812"/>
    </row>
    <row r="23917" spans="7:7">
      <c r="G23917" s="812"/>
    </row>
    <row r="23918" spans="7:7">
      <c r="G23918" s="812"/>
    </row>
    <row r="23919" spans="7:7">
      <c r="G23919" s="812"/>
    </row>
    <row r="23920" spans="7:7">
      <c r="G23920" s="812"/>
    </row>
    <row r="23921" spans="7:7">
      <c r="G23921" s="812"/>
    </row>
    <row r="23922" spans="7:7">
      <c r="G23922" s="812"/>
    </row>
    <row r="23923" spans="7:7">
      <c r="G23923" s="812"/>
    </row>
    <row r="23924" spans="7:7">
      <c r="G23924" s="812"/>
    </row>
    <row r="23925" spans="7:7">
      <c r="G23925" s="812"/>
    </row>
    <row r="23926" spans="7:7">
      <c r="G23926" s="812"/>
    </row>
    <row r="23927" spans="7:7">
      <c r="G23927" s="812"/>
    </row>
    <row r="23928" spans="7:7">
      <c r="G23928" s="812"/>
    </row>
    <row r="23929" spans="7:7">
      <c r="G23929" s="812"/>
    </row>
    <row r="23930" spans="7:7">
      <c r="G23930" s="812"/>
    </row>
    <row r="23931" spans="7:7">
      <c r="G23931" s="812"/>
    </row>
    <row r="23932" spans="7:7">
      <c r="G23932" s="812"/>
    </row>
    <row r="23933" spans="7:7">
      <c r="G23933" s="812"/>
    </row>
    <row r="23934" spans="7:7">
      <c r="G23934" s="812"/>
    </row>
    <row r="23935" spans="7:7">
      <c r="G23935" s="812"/>
    </row>
    <row r="23936" spans="7:7">
      <c r="G23936" s="812"/>
    </row>
    <row r="23937" spans="7:7">
      <c r="G23937" s="812"/>
    </row>
    <row r="23938" spans="7:7">
      <c r="G23938" s="812"/>
    </row>
    <row r="23939" spans="7:7">
      <c r="G23939" s="812"/>
    </row>
    <row r="23940" spans="7:7">
      <c r="G23940" s="812"/>
    </row>
    <row r="23941" spans="7:7">
      <c r="G23941" s="812"/>
    </row>
    <row r="23942" spans="7:7">
      <c r="G23942" s="812"/>
    </row>
    <row r="23943" spans="7:7">
      <c r="G23943" s="812"/>
    </row>
    <row r="23944" spans="7:7">
      <c r="G23944" s="812"/>
    </row>
    <row r="23945" spans="7:7">
      <c r="G23945" s="812"/>
    </row>
    <row r="23946" spans="7:7">
      <c r="G23946" s="812"/>
    </row>
    <row r="23947" spans="7:7">
      <c r="G23947" s="812"/>
    </row>
    <row r="23948" spans="7:7">
      <c r="G23948" s="812"/>
    </row>
    <row r="23949" spans="7:7">
      <c r="G23949" s="812"/>
    </row>
    <row r="23950" spans="7:7">
      <c r="G23950" s="812"/>
    </row>
    <row r="23951" spans="7:7">
      <c r="G23951" s="812"/>
    </row>
    <row r="23952" spans="7:7">
      <c r="G23952" s="812"/>
    </row>
    <row r="23953" spans="7:7">
      <c r="G23953" s="812"/>
    </row>
    <row r="23954" spans="7:7">
      <c r="G23954" s="812"/>
    </row>
    <row r="23955" spans="7:7">
      <c r="G23955" s="812"/>
    </row>
    <row r="23956" spans="7:7">
      <c r="G23956" s="812"/>
    </row>
    <row r="23957" spans="7:7">
      <c r="G23957" s="812"/>
    </row>
    <row r="23958" spans="7:7">
      <c r="G23958" s="812"/>
    </row>
    <row r="23959" spans="7:7">
      <c r="G23959" s="812"/>
    </row>
    <row r="23960" spans="7:7">
      <c r="G23960" s="812"/>
    </row>
    <row r="23961" spans="7:7">
      <c r="G23961" s="812"/>
    </row>
    <row r="23962" spans="7:7">
      <c r="G23962" s="812"/>
    </row>
    <row r="23963" spans="7:7">
      <c r="G23963" s="812"/>
    </row>
    <row r="23964" spans="7:7">
      <c r="G23964" s="812"/>
    </row>
    <row r="23965" spans="7:7">
      <c r="G23965" s="812"/>
    </row>
    <row r="23966" spans="7:7">
      <c r="G23966" s="812"/>
    </row>
    <row r="23967" spans="7:7">
      <c r="G23967" s="812"/>
    </row>
    <row r="23968" spans="7:7">
      <c r="G23968" s="812"/>
    </row>
    <row r="23969" spans="7:7">
      <c r="G23969" s="812"/>
    </row>
    <row r="23970" spans="7:7">
      <c r="G23970" s="812"/>
    </row>
    <row r="23971" spans="7:7">
      <c r="G23971" s="812"/>
    </row>
    <row r="23972" spans="7:7">
      <c r="G23972" s="812"/>
    </row>
    <row r="23973" spans="7:7">
      <c r="G23973" s="812"/>
    </row>
    <row r="23974" spans="7:7">
      <c r="G23974" s="812"/>
    </row>
    <row r="23975" spans="7:7">
      <c r="G23975" s="812"/>
    </row>
    <row r="23976" spans="7:7">
      <c r="G23976" s="812"/>
    </row>
    <row r="23977" spans="7:7">
      <c r="G23977" s="812"/>
    </row>
    <row r="23978" spans="7:7">
      <c r="G23978" s="812"/>
    </row>
    <row r="23979" spans="7:7">
      <c r="G23979" s="812"/>
    </row>
    <row r="23980" spans="7:7">
      <c r="G23980" s="812"/>
    </row>
    <row r="23981" spans="7:7">
      <c r="G23981" s="812"/>
    </row>
    <row r="23982" spans="7:7">
      <c r="G23982" s="812"/>
    </row>
    <row r="23983" spans="7:7">
      <c r="G23983" s="812"/>
    </row>
    <row r="23984" spans="7:7">
      <c r="G23984" s="812"/>
    </row>
    <row r="23985" spans="7:7">
      <c r="G23985" s="812"/>
    </row>
    <row r="23986" spans="7:7">
      <c r="G23986" s="812"/>
    </row>
    <row r="23987" spans="7:7">
      <c r="G23987" s="812"/>
    </row>
    <row r="23988" spans="7:7">
      <c r="G23988" s="812"/>
    </row>
    <row r="23989" spans="7:7">
      <c r="G23989" s="812"/>
    </row>
    <row r="23990" spans="7:7">
      <c r="G23990" s="812"/>
    </row>
    <row r="23991" spans="7:7">
      <c r="G23991" s="812"/>
    </row>
    <row r="23992" spans="7:7">
      <c r="G23992" s="812"/>
    </row>
    <row r="23993" spans="7:7">
      <c r="G23993" s="812"/>
    </row>
    <row r="23994" spans="7:7">
      <c r="G23994" s="812"/>
    </row>
    <row r="23995" spans="7:7">
      <c r="G23995" s="812"/>
    </row>
    <row r="23996" spans="7:7">
      <c r="G23996" s="812"/>
    </row>
    <row r="23997" spans="7:7">
      <c r="G23997" s="812"/>
    </row>
    <row r="23998" spans="7:7">
      <c r="G23998" s="812"/>
    </row>
    <row r="23999" spans="7:7">
      <c r="G23999" s="812"/>
    </row>
    <row r="24000" spans="7:7">
      <c r="G24000" s="812"/>
    </row>
    <row r="24001" spans="7:7">
      <c r="G24001" s="812"/>
    </row>
    <row r="24002" spans="7:7">
      <c r="G24002" s="812"/>
    </row>
    <row r="24003" spans="7:7">
      <c r="G24003" s="812"/>
    </row>
    <row r="24004" spans="7:7">
      <c r="G24004" s="812"/>
    </row>
    <row r="24005" spans="7:7">
      <c r="G24005" s="812"/>
    </row>
    <row r="24006" spans="7:7">
      <c r="G24006" s="812"/>
    </row>
    <row r="24007" spans="7:7">
      <c r="G24007" s="812"/>
    </row>
    <row r="24008" spans="7:7">
      <c r="G24008" s="812"/>
    </row>
    <row r="24009" spans="7:7">
      <c r="G24009" s="812"/>
    </row>
    <row r="24010" spans="7:7">
      <c r="G24010" s="812"/>
    </row>
    <row r="24011" spans="7:7">
      <c r="G24011" s="812"/>
    </row>
    <row r="24012" spans="7:7">
      <c r="G24012" s="812"/>
    </row>
    <row r="24013" spans="7:7">
      <c r="G24013" s="812"/>
    </row>
    <row r="24014" spans="7:7">
      <c r="G24014" s="812"/>
    </row>
    <row r="24015" spans="7:7">
      <c r="G24015" s="812"/>
    </row>
    <row r="24016" spans="7:7">
      <c r="G24016" s="812"/>
    </row>
    <row r="24017" spans="7:7">
      <c r="G24017" s="812"/>
    </row>
    <row r="24018" spans="7:7">
      <c r="G24018" s="812"/>
    </row>
    <row r="24019" spans="7:7">
      <c r="G24019" s="812"/>
    </row>
    <row r="24020" spans="7:7">
      <c r="G24020" s="812"/>
    </row>
    <row r="24021" spans="7:7">
      <c r="G24021" s="812"/>
    </row>
    <row r="24022" spans="7:7">
      <c r="G24022" s="812"/>
    </row>
    <row r="24023" spans="7:7">
      <c r="G24023" s="812"/>
    </row>
    <row r="24024" spans="7:7">
      <c r="G24024" s="812"/>
    </row>
    <row r="24025" spans="7:7">
      <c r="G24025" s="812"/>
    </row>
    <row r="24026" spans="7:7">
      <c r="G24026" s="812"/>
    </row>
    <row r="24027" spans="7:7">
      <c r="G24027" s="812"/>
    </row>
    <row r="24028" spans="7:7">
      <c r="G24028" s="812"/>
    </row>
    <row r="24029" spans="7:7">
      <c r="G24029" s="812"/>
    </row>
    <row r="24030" spans="7:7">
      <c r="G24030" s="812"/>
    </row>
    <row r="24031" spans="7:7">
      <c r="G24031" s="812"/>
    </row>
    <row r="24032" spans="7:7">
      <c r="G24032" s="812"/>
    </row>
    <row r="24033" spans="7:7">
      <c r="G24033" s="812"/>
    </row>
    <row r="24034" spans="7:7">
      <c r="G24034" s="812"/>
    </row>
    <row r="24035" spans="7:7">
      <c r="G24035" s="812"/>
    </row>
    <row r="24036" spans="7:7">
      <c r="G24036" s="812"/>
    </row>
    <row r="24037" spans="7:7">
      <c r="G24037" s="812"/>
    </row>
    <row r="24038" spans="7:7">
      <c r="G24038" s="812"/>
    </row>
    <row r="24039" spans="7:7">
      <c r="G24039" s="812"/>
    </row>
    <row r="24040" spans="7:7">
      <c r="G24040" s="812"/>
    </row>
    <row r="24041" spans="7:7">
      <c r="G24041" s="812"/>
    </row>
    <row r="24042" spans="7:7">
      <c r="G24042" s="812"/>
    </row>
    <row r="24043" spans="7:7">
      <c r="G24043" s="812"/>
    </row>
    <row r="24044" spans="7:7">
      <c r="G24044" s="812"/>
    </row>
    <row r="24045" spans="7:7">
      <c r="G24045" s="812"/>
    </row>
    <row r="24046" spans="7:7">
      <c r="G24046" s="812"/>
    </row>
    <row r="24047" spans="7:7">
      <c r="G24047" s="812"/>
    </row>
    <row r="24048" spans="7:7">
      <c r="G24048" s="812"/>
    </row>
    <row r="24049" spans="7:7">
      <c r="G24049" s="812"/>
    </row>
    <row r="24050" spans="7:7">
      <c r="G24050" s="812"/>
    </row>
    <row r="24051" spans="7:7">
      <c r="G24051" s="812"/>
    </row>
    <row r="24052" spans="7:7">
      <c r="G24052" s="812"/>
    </row>
    <row r="24053" spans="7:7">
      <c r="G24053" s="812"/>
    </row>
    <row r="24054" spans="7:7">
      <c r="G24054" s="812"/>
    </row>
    <row r="24055" spans="7:7">
      <c r="G24055" s="812"/>
    </row>
    <row r="24056" spans="7:7">
      <c r="G24056" s="812"/>
    </row>
    <row r="24057" spans="7:7">
      <c r="G24057" s="812"/>
    </row>
    <row r="24058" spans="7:7">
      <c r="G24058" s="812"/>
    </row>
    <row r="24059" spans="7:7">
      <c r="G24059" s="812"/>
    </row>
    <row r="24060" spans="7:7">
      <c r="G24060" s="812"/>
    </row>
    <row r="24061" spans="7:7">
      <c r="G24061" s="812"/>
    </row>
    <row r="24062" spans="7:7">
      <c r="G24062" s="812"/>
    </row>
    <row r="24063" spans="7:7">
      <c r="G24063" s="812"/>
    </row>
    <row r="24064" spans="7:7">
      <c r="G24064" s="812"/>
    </row>
    <row r="24065" spans="7:7">
      <c r="G24065" s="812"/>
    </row>
    <row r="24066" spans="7:7">
      <c r="G24066" s="812"/>
    </row>
    <row r="24067" spans="7:7">
      <c r="G24067" s="812"/>
    </row>
    <row r="24068" spans="7:7">
      <c r="G24068" s="812"/>
    </row>
    <row r="24069" spans="7:7">
      <c r="G24069" s="812"/>
    </row>
    <row r="24070" spans="7:7">
      <c r="G24070" s="812"/>
    </row>
    <row r="24071" spans="7:7">
      <c r="G24071" s="812"/>
    </row>
    <row r="24072" spans="7:7">
      <c r="G24072" s="812"/>
    </row>
    <row r="24073" spans="7:7">
      <c r="G24073" s="812"/>
    </row>
    <row r="24074" spans="7:7">
      <c r="G24074" s="812"/>
    </row>
    <row r="24075" spans="7:7">
      <c r="G24075" s="812"/>
    </row>
    <row r="24076" spans="7:7">
      <c r="G24076" s="812"/>
    </row>
    <row r="24077" spans="7:7">
      <c r="G24077" s="812"/>
    </row>
    <row r="24078" spans="7:7">
      <c r="G24078" s="812"/>
    </row>
    <row r="24079" spans="7:7">
      <c r="G24079" s="812"/>
    </row>
    <row r="24080" spans="7:7">
      <c r="G24080" s="812"/>
    </row>
    <row r="24081" spans="7:7">
      <c r="G24081" s="812"/>
    </row>
    <row r="24082" spans="7:7">
      <c r="G24082" s="812"/>
    </row>
    <row r="24083" spans="7:7">
      <c r="G24083" s="812"/>
    </row>
    <row r="24084" spans="7:7">
      <c r="G24084" s="812"/>
    </row>
    <row r="24085" spans="7:7">
      <c r="G24085" s="812"/>
    </row>
    <row r="24086" spans="7:7">
      <c r="G24086" s="812"/>
    </row>
    <row r="24087" spans="7:7">
      <c r="G24087" s="812"/>
    </row>
    <row r="24088" spans="7:7">
      <c r="G24088" s="812"/>
    </row>
    <row r="24089" spans="7:7">
      <c r="G24089" s="812"/>
    </row>
    <row r="24090" spans="7:7">
      <c r="G24090" s="812"/>
    </row>
    <row r="24091" spans="7:7">
      <c r="G24091" s="812"/>
    </row>
    <row r="24092" spans="7:7">
      <c r="G24092" s="812"/>
    </row>
    <row r="24093" spans="7:7">
      <c r="G24093" s="812"/>
    </row>
    <row r="24094" spans="7:7">
      <c r="G24094" s="812"/>
    </row>
    <row r="24095" spans="7:7">
      <c r="G24095" s="812"/>
    </row>
    <row r="24096" spans="7:7">
      <c r="G24096" s="812"/>
    </row>
    <row r="24097" spans="7:7">
      <c r="G24097" s="812"/>
    </row>
    <row r="24098" spans="7:7">
      <c r="G24098" s="812"/>
    </row>
    <row r="24099" spans="7:7">
      <c r="G24099" s="812"/>
    </row>
    <row r="24100" spans="7:7">
      <c r="G24100" s="812"/>
    </row>
    <row r="24101" spans="7:7">
      <c r="G24101" s="812"/>
    </row>
    <row r="24102" spans="7:7">
      <c r="G24102" s="812"/>
    </row>
    <row r="24103" spans="7:7">
      <c r="G24103" s="812"/>
    </row>
    <row r="24104" spans="7:7">
      <c r="G24104" s="812"/>
    </row>
    <row r="24105" spans="7:7">
      <c r="G24105" s="812"/>
    </row>
    <row r="24106" spans="7:7">
      <c r="G24106" s="812"/>
    </row>
    <row r="24107" spans="7:7">
      <c r="G24107" s="812"/>
    </row>
    <row r="24108" spans="7:7">
      <c r="G24108" s="812"/>
    </row>
    <row r="24109" spans="7:7">
      <c r="G24109" s="812"/>
    </row>
    <row r="24110" spans="7:7">
      <c r="G24110" s="812"/>
    </row>
    <row r="24111" spans="7:7">
      <c r="G24111" s="812"/>
    </row>
    <row r="24112" spans="7:7">
      <c r="G24112" s="812"/>
    </row>
    <row r="24113" spans="7:7">
      <c r="G24113" s="812"/>
    </row>
    <row r="24114" spans="7:7">
      <c r="G24114" s="812"/>
    </row>
    <row r="24115" spans="7:7">
      <c r="G24115" s="812"/>
    </row>
    <row r="24116" spans="7:7">
      <c r="G24116" s="812"/>
    </row>
    <row r="24117" spans="7:7">
      <c r="G24117" s="812"/>
    </row>
    <row r="24118" spans="7:7">
      <c r="G24118" s="812"/>
    </row>
    <row r="24119" spans="7:7">
      <c r="G24119" s="812"/>
    </row>
    <row r="24120" spans="7:7">
      <c r="G24120" s="812"/>
    </row>
    <row r="24121" spans="7:7">
      <c r="G24121" s="812"/>
    </row>
    <row r="24122" spans="7:7">
      <c r="G24122" s="812"/>
    </row>
    <row r="24123" spans="7:7">
      <c r="G24123" s="812"/>
    </row>
    <row r="24124" spans="7:7">
      <c r="G24124" s="812"/>
    </row>
    <row r="24125" spans="7:7">
      <c r="G24125" s="812"/>
    </row>
    <row r="24126" spans="7:7">
      <c r="G24126" s="812"/>
    </row>
    <row r="24127" spans="7:7">
      <c r="G24127" s="812"/>
    </row>
    <row r="24128" spans="7:7">
      <c r="G24128" s="812"/>
    </row>
    <row r="24129" spans="7:7">
      <c r="G24129" s="812"/>
    </row>
    <row r="24130" spans="7:7">
      <c r="G24130" s="812"/>
    </row>
    <row r="24131" spans="7:7">
      <c r="G24131" s="812"/>
    </row>
    <row r="24132" spans="7:7">
      <c r="G24132" s="812"/>
    </row>
    <row r="24133" spans="7:7">
      <c r="G24133" s="812"/>
    </row>
    <row r="24134" spans="7:7">
      <c r="G24134" s="812"/>
    </row>
    <row r="24135" spans="7:7">
      <c r="G24135" s="812"/>
    </row>
    <row r="24136" spans="7:7">
      <c r="G24136" s="812"/>
    </row>
    <row r="24137" spans="7:7">
      <c r="G24137" s="812"/>
    </row>
    <row r="24138" spans="7:7">
      <c r="G24138" s="812"/>
    </row>
    <row r="24139" spans="7:7">
      <c r="G24139" s="812"/>
    </row>
    <row r="24140" spans="7:7">
      <c r="G24140" s="812"/>
    </row>
    <row r="24141" spans="7:7">
      <c r="G24141" s="812"/>
    </row>
    <row r="24142" spans="7:7">
      <c r="G24142" s="812"/>
    </row>
    <row r="24143" spans="7:7">
      <c r="G24143" s="812"/>
    </row>
    <row r="24144" spans="7:7">
      <c r="G24144" s="812"/>
    </row>
    <row r="24145" spans="7:7">
      <c r="G24145" s="812"/>
    </row>
    <row r="24146" spans="7:7">
      <c r="G24146" s="812"/>
    </row>
    <row r="24147" spans="7:7">
      <c r="G24147" s="812"/>
    </row>
    <row r="24148" spans="7:7">
      <c r="G24148" s="812"/>
    </row>
    <row r="24149" spans="7:7">
      <c r="G24149" s="812"/>
    </row>
    <row r="24150" spans="7:7">
      <c r="G24150" s="812"/>
    </row>
    <row r="24151" spans="7:7">
      <c r="G24151" s="812"/>
    </row>
    <row r="24152" spans="7:7">
      <c r="G24152" s="812"/>
    </row>
    <row r="24153" spans="7:7">
      <c r="G24153" s="812"/>
    </row>
    <row r="24154" spans="7:7">
      <c r="G24154" s="812"/>
    </row>
    <row r="24155" spans="7:7">
      <c r="G24155" s="812"/>
    </row>
    <row r="24156" spans="7:7">
      <c r="G24156" s="812"/>
    </row>
    <row r="24157" spans="7:7">
      <c r="G24157" s="812"/>
    </row>
    <row r="24158" spans="7:7">
      <c r="G24158" s="812"/>
    </row>
    <row r="24159" spans="7:7">
      <c r="G24159" s="812"/>
    </row>
    <row r="24160" spans="7:7">
      <c r="G24160" s="812"/>
    </row>
    <row r="24161" spans="7:7">
      <c r="G24161" s="812"/>
    </row>
    <row r="24162" spans="7:7">
      <c r="G24162" s="812"/>
    </row>
    <row r="24163" spans="7:7">
      <c r="G24163" s="812"/>
    </row>
    <row r="24164" spans="7:7">
      <c r="G24164" s="812"/>
    </row>
    <row r="24165" spans="7:7">
      <c r="G24165" s="812"/>
    </row>
    <row r="24166" spans="7:7">
      <c r="G24166" s="812"/>
    </row>
    <row r="24167" spans="7:7">
      <c r="G24167" s="812"/>
    </row>
    <row r="24168" spans="7:7">
      <c r="G24168" s="812"/>
    </row>
    <row r="24169" spans="7:7">
      <c r="G24169" s="812"/>
    </row>
    <row r="24170" spans="7:7">
      <c r="G24170" s="812"/>
    </row>
    <row r="24171" spans="7:7">
      <c r="G24171" s="812"/>
    </row>
    <row r="24172" spans="7:7">
      <c r="G24172" s="812"/>
    </row>
    <row r="24173" spans="7:7">
      <c r="G24173" s="812"/>
    </row>
    <row r="24174" spans="7:7">
      <c r="G24174" s="812"/>
    </row>
    <row r="24175" spans="7:7">
      <c r="G24175" s="812"/>
    </row>
    <row r="24176" spans="7:7">
      <c r="G24176" s="812"/>
    </row>
    <row r="24177" spans="7:7">
      <c r="G24177" s="812"/>
    </row>
    <row r="24178" spans="7:7">
      <c r="G24178" s="812"/>
    </row>
    <row r="24179" spans="7:7">
      <c r="G24179" s="812"/>
    </row>
    <row r="24180" spans="7:7">
      <c r="G24180" s="812"/>
    </row>
    <row r="24181" spans="7:7">
      <c r="G24181" s="812"/>
    </row>
    <row r="24182" spans="7:7">
      <c r="G24182" s="812"/>
    </row>
    <row r="24183" spans="7:7">
      <c r="G24183" s="812"/>
    </row>
    <row r="24184" spans="7:7">
      <c r="G24184" s="812"/>
    </row>
    <row r="24185" spans="7:7">
      <c r="G24185" s="812"/>
    </row>
    <row r="24186" spans="7:7">
      <c r="G24186" s="812"/>
    </row>
    <row r="24187" spans="7:7">
      <c r="G24187" s="812"/>
    </row>
    <row r="24188" spans="7:7">
      <c r="G24188" s="812"/>
    </row>
    <row r="24189" spans="7:7">
      <c r="G24189" s="812"/>
    </row>
    <row r="24190" spans="7:7">
      <c r="G24190" s="812"/>
    </row>
    <row r="24191" spans="7:7">
      <c r="G24191" s="812"/>
    </row>
    <row r="24192" spans="7:7">
      <c r="G24192" s="812"/>
    </row>
    <row r="24193" spans="7:7">
      <c r="G24193" s="812"/>
    </row>
    <row r="24194" spans="7:7">
      <c r="G24194" s="812"/>
    </row>
    <row r="24195" spans="7:7">
      <c r="G24195" s="812"/>
    </row>
    <row r="24196" spans="7:7">
      <c r="G24196" s="812"/>
    </row>
    <row r="24197" spans="7:7">
      <c r="G24197" s="812"/>
    </row>
    <row r="24198" spans="7:7">
      <c r="G24198" s="812"/>
    </row>
    <row r="24199" spans="7:7">
      <c r="G24199" s="812"/>
    </row>
    <row r="24200" spans="7:7">
      <c r="G24200" s="812"/>
    </row>
    <row r="24201" spans="7:7">
      <c r="G24201" s="812"/>
    </row>
    <row r="24202" spans="7:7">
      <c r="G24202" s="812"/>
    </row>
    <row r="24203" spans="7:7">
      <c r="G24203" s="812"/>
    </row>
    <row r="24204" spans="7:7">
      <c r="G24204" s="812"/>
    </row>
    <row r="24205" spans="7:7">
      <c r="G24205" s="812"/>
    </row>
    <row r="24206" spans="7:7">
      <c r="G24206" s="812"/>
    </row>
    <row r="24207" spans="7:7">
      <c r="G24207" s="812"/>
    </row>
    <row r="24208" spans="7:7">
      <c r="G24208" s="812"/>
    </row>
    <row r="24209" spans="7:7">
      <c r="G24209" s="812"/>
    </row>
    <row r="24210" spans="7:7">
      <c r="G24210" s="812"/>
    </row>
    <row r="24211" spans="7:7">
      <c r="G24211" s="812"/>
    </row>
    <row r="24212" spans="7:7">
      <c r="G24212" s="812"/>
    </row>
    <row r="24213" spans="7:7">
      <c r="G24213" s="812"/>
    </row>
    <row r="24214" spans="7:7">
      <c r="G24214" s="812"/>
    </row>
    <row r="24215" spans="7:7">
      <c r="G24215" s="812"/>
    </row>
    <row r="24216" spans="7:7">
      <c r="G24216" s="812"/>
    </row>
    <row r="24217" spans="7:7">
      <c r="G24217" s="812"/>
    </row>
    <row r="24218" spans="7:7">
      <c r="G24218" s="812"/>
    </row>
    <row r="24219" spans="7:7">
      <c r="G24219" s="812"/>
    </row>
    <row r="24220" spans="7:7">
      <c r="G24220" s="812"/>
    </row>
    <row r="24221" spans="7:7">
      <c r="G24221" s="812"/>
    </row>
    <row r="24222" spans="7:7">
      <c r="G24222" s="812"/>
    </row>
    <row r="24223" spans="7:7">
      <c r="G24223" s="812"/>
    </row>
    <row r="24224" spans="7:7">
      <c r="G24224" s="812"/>
    </row>
    <row r="24225" spans="7:7">
      <c r="G24225" s="812"/>
    </row>
    <row r="24226" spans="7:7">
      <c r="G24226" s="812"/>
    </row>
    <row r="24227" spans="7:7">
      <c r="G24227" s="812"/>
    </row>
    <row r="24228" spans="7:7">
      <c r="G24228" s="812"/>
    </row>
    <row r="24229" spans="7:7">
      <c r="G24229" s="812"/>
    </row>
    <row r="24230" spans="7:7">
      <c r="G24230" s="812"/>
    </row>
    <row r="24231" spans="7:7">
      <c r="G24231" s="812"/>
    </row>
    <row r="24232" spans="7:7">
      <c r="G24232" s="812"/>
    </row>
    <row r="24233" spans="7:7">
      <c r="G24233" s="812"/>
    </row>
    <row r="24234" spans="7:7">
      <c r="G24234" s="812"/>
    </row>
    <row r="24235" spans="7:7">
      <c r="G24235" s="812"/>
    </row>
    <row r="24236" spans="7:7">
      <c r="G24236" s="812"/>
    </row>
    <row r="24237" spans="7:7">
      <c r="G24237" s="812"/>
    </row>
    <row r="24238" spans="7:7">
      <c r="G24238" s="812"/>
    </row>
    <row r="24239" spans="7:7">
      <c r="G24239" s="812"/>
    </row>
    <row r="24240" spans="7:7">
      <c r="G24240" s="812"/>
    </row>
    <row r="24241" spans="7:7">
      <c r="G24241" s="812"/>
    </row>
    <row r="24242" spans="7:7">
      <c r="G24242" s="812"/>
    </row>
    <row r="24243" spans="7:7">
      <c r="G24243" s="812"/>
    </row>
    <row r="24244" spans="7:7">
      <c r="G24244" s="812"/>
    </row>
    <row r="24245" spans="7:7">
      <c r="G24245" s="812"/>
    </row>
    <row r="24246" spans="7:7">
      <c r="G24246" s="812"/>
    </row>
    <row r="24247" spans="7:7">
      <c r="G24247" s="812"/>
    </row>
    <row r="24248" spans="7:7">
      <c r="G24248" s="812"/>
    </row>
    <row r="24249" spans="7:7">
      <c r="G24249" s="812"/>
    </row>
    <row r="24250" spans="7:7">
      <c r="G24250" s="812"/>
    </row>
    <row r="24251" spans="7:7">
      <c r="G24251" s="812"/>
    </row>
    <row r="24252" spans="7:7">
      <c r="G24252" s="812"/>
    </row>
    <row r="24253" spans="7:7">
      <c r="G24253" s="812"/>
    </row>
    <row r="24254" spans="7:7">
      <c r="G24254" s="812"/>
    </row>
    <row r="24255" spans="7:7">
      <c r="G24255" s="812"/>
    </row>
    <row r="24256" spans="7:7">
      <c r="G24256" s="812"/>
    </row>
    <row r="24257" spans="7:7">
      <c r="G24257" s="812"/>
    </row>
    <row r="24258" spans="7:7">
      <c r="G24258" s="812"/>
    </row>
    <row r="24259" spans="7:7">
      <c r="G24259" s="812"/>
    </row>
    <row r="24260" spans="7:7">
      <c r="G24260" s="812"/>
    </row>
    <row r="24261" spans="7:7">
      <c r="G24261" s="812"/>
    </row>
    <row r="24262" spans="7:7">
      <c r="G24262" s="812"/>
    </row>
    <row r="24263" spans="7:7">
      <c r="G24263" s="812"/>
    </row>
    <row r="24264" spans="7:7">
      <c r="G24264" s="812"/>
    </row>
    <row r="24265" spans="7:7">
      <c r="G24265" s="812"/>
    </row>
    <row r="24266" spans="7:7">
      <c r="G24266" s="812"/>
    </row>
    <row r="24267" spans="7:7">
      <c r="G24267" s="812"/>
    </row>
    <row r="24268" spans="7:7">
      <c r="G24268" s="812"/>
    </row>
    <row r="24269" spans="7:7">
      <c r="G24269" s="812"/>
    </row>
    <row r="24270" spans="7:7">
      <c r="G24270" s="812"/>
    </row>
    <row r="24271" spans="7:7">
      <c r="G24271" s="812"/>
    </row>
    <row r="24272" spans="7:7">
      <c r="G24272" s="812"/>
    </row>
    <row r="24273" spans="7:7">
      <c r="G24273" s="812"/>
    </row>
    <row r="24274" spans="7:7">
      <c r="G24274" s="812"/>
    </row>
    <row r="24275" spans="7:7">
      <c r="G24275" s="812"/>
    </row>
    <row r="24276" spans="7:7">
      <c r="G24276" s="812"/>
    </row>
    <row r="24277" spans="7:7">
      <c r="G24277" s="812"/>
    </row>
    <row r="24278" spans="7:7">
      <c r="G24278" s="812"/>
    </row>
    <row r="24279" spans="7:7">
      <c r="G24279" s="812"/>
    </row>
    <row r="24280" spans="7:7">
      <c r="G24280" s="812"/>
    </row>
    <row r="24281" spans="7:7">
      <c r="G24281" s="812"/>
    </row>
    <row r="24282" spans="7:7">
      <c r="G24282" s="812"/>
    </row>
    <row r="24283" spans="7:7">
      <c r="G24283" s="812"/>
    </row>
    <row r="24284" spans="7:7">
      <c r="G24284" s="812"/>
    </row>
    <row r="24285" spans="7:7">
      <c r="G24285" s="812"/>
    </row>
    <row r="24286" spans="7:7">
      <c r="G24286" s="812"/>
    </row>
    <row r="24287" spans="7:7">
      <c r="G24287" s="812"/>
    </row>
    <row r="24288" spans="7:7">
      <c r="G24288" s="812"/>
    </row>
    <row r="24289" spans="7:7">
      <c r="G24289" s="812"/>
    </row>
    <row r="24290" spans="7:7">
      <c r="G24290" s="812"/>
    </row>
    <row r="24291" spans="7:7">
      <c r="G24291" s="812"/>
    </row>
    <row r="24292" spans="7:7">
      <c r="G24292" s="812"/>
    </row>
    <row r="24293" spans="7:7">
      <c r="G24293" s="812"/>
    </row>
    <row r="24294" spans="7:7">
      <c r="G24294" s="812"/>
    </row>
    <row r="24295" spans="7:7">
      <c r="G24295" s="812"/>
    </row>
    <row r="24296" spans="7:7">
      <c r="G24296" s="812"/>
    </row>
    <row r="24297" spans="7:7">
      <c r="G24297" s="812"/>
    </row>
    <row r="24298" spans="7:7">
      <c r="G24298" s="812"/>
    </row>
    <row r="24299" spans="7:7">
      <c r="G24299" s="812"/>
    </row>
    <row r="24300" spans="7:7">
      <c r="G24300" s="812"/>
    </row>
    <row r="24301" spans="7:7">
      <c r="G24301" s="812"/>
    </row>
    <row r="24302" spans="7:7">
      <c r="G24302" s="812"/>
    </row>
    <row r="24303" spans="7:7">
      <c r="G24303" s="812"/>
    </row>
    <row r="24304" spans="7:7">
      <c r="G24304" s="812"/>
    </row>
    <row r="24305" spans="7:7">
      <c r="G24305" s="812"/>
    </row>
    <row r="24306" spans="7:7">
      <c r="G24306" s="812"/>
    </row>
    <row r="24307" spans="7:7">
      <c r="G24307" s="812"/>
    </row>
    <row r="24308" spans="7:7">
      <c r="G24308" s="812"/>
    </row>
    <row r="24309" spans="7:7">
      <c r="G24309" s="812"/>
    </row>
    <row r="24310" spans="7:7">
      <c r="G24310" s="812"/>
    </row>
    <row r="24311" spans="7:7">
      <c r="G24311" s="812"/>
    </row>
    <row r="24312" spans="7:7">
      <c r="G24312" s="812"/>
    </row>
    <row r="24313" spans="7:7">
      <c r="G24313" s="812"/>
    </row>
    <row r="24314" spans="7:7">
      <c r="G24314" s="812"/>
    </row>
    <row r="24315" spans="7:7">
      <c r="G24315" s="812"/>
    </row>
    <row r="24316" spans="7:7">
      <c r="G24316" s="812"/>
    </row>
    <row r="24317" spans="7:7">
      <c r="G24317" s="812"/>
    </row>
    <row r="24318" spans="7:7">
      <c r="G24318" s="812"/>
    </row>
    <row r="24319" spans="7:7">
      <c r="G24319" s="812"/>
    </row>
    <row r="24320" spans="7:7">
      <c r="G24320" s="812"/>
    </row>
    <row r="24321" spans="7:7">
      <c r="G24321" s="812"/>
    </row>
    <row r="24322" spans="7:7">
      <c r="G24322" s="812"/>
    </row>
    <row r="24323" spans="7:7">
      <c r="G24323" s="812"/>
    </row>
    <row r="24324" spans="7:7">
      <c r="G24324" s="812"/>
    </row>
    <row r="24325" spans="7:7">
      <c r="G24325" s="812"/>
    </row>
    <row r="24326" spans="7:7">
      <c r="G24326" s="812"/>
    </row>
    <row r="24327" spans="7:7">
      <c r="G24327" s="812"/>
    </row>
    <row r="24328" spans="7:7">
      <c r="G24328" s="812"/>
    </row>
    <row r="24329" spans="7:7">
      <c r="G24329" s="812"/>
    </row>
    <row r="24330" spans="7:7">
      <c r="G24330" s="812"/>
    </row>
    <row r="24331" spans="7:7">
      <c r="G24331" s="812"/>
    </row>
    <row r="24332" spans="7:7">
      <c r="G24332" s="812"/>
    </row>
    <row r="24333" spans="7:7">
      <c r="G24333" s="812"/>
    </row>
    <row r="24334" spans="7:7">
      <c r="G24334" s="812"/>
    </row>
    <row r="24335" spans="7:7">
      <c r="G24335" s="812"/>
    </row>
    <row r="24336" spans="7:7">
      <c r="G24336" s="812"/>
    </row>
    <row r="24337" spans="7:7">
      <c r="G24337" s="812"/>
    </row>
    <row r="24338" spans="7:7">
      <c r="G24338" s="812"/>
    </row>
    <row r="24339" spans="7:7">
      <c r="G24339" s="812"/>
    </row>
    <row r="24340" spans="7:7">
      <c r="G24340" s="812"/>
    </row>
    <row r="24341" spans="7:7">
      <c r="G24341" s="812"/>
    </row>
    <row r="24342" spans="7:7">
      <c r="G24342" s="812"/>
    </row>
    <row r="24343" spans="7:7">
      <c r="G24343" s="812"/>
    </row>
    <row r="24344" spans="7:7">
      <c r="G24344" s="812"/>
    </row>
    <row r="24345" spans="7:7">
      <c r="G24345" s="812"/>
    </row>
    <row r="24346" spans="7:7">
      <c r="G24346" s="812"/>
    </row>
    <row r="24347" spans="7:7">
      <c r="G24347" s="812"/>
    </row>
    <row r="24348" spans="7:7">
      <c r="G24348" s="812"/>
    </row>
    <row r="24349" spans="7:7">
      <c r="G24349" s="812"/>
    </row>
    <row r="24350" spans="7:7">
      <c r="G24350" s="812"/>
    </row>
    <row r="24351" spans="7:7">
      <c r="G24351" s="812"/>
    </row>
    <row r="24352" spans="7:7">
      <c r="G24352" s="812"/>
    </row>
    <row r="24353" spans="7:7">
      <c r="G24353" s="812"/>
    </row>
    <row r="24354" spans="7:7">
      <c r="G24354" s="812"/>
    </row>
    <row r="24355" spans="7:7">
      <c r="G24355" s="812"/>
    </row>
    <row r="24356" spans="7:7">
      <c r="G24356" s="812"/>
    </row>
    <row r="24357" spans="7:7">
      <c r="G24357" s="812"/>
    </row>
    <row r="24358" spans="7:7">
      <c r="G24358" s="812"/>
    </row>
    <row r="24359" spans="7:7">
      <c r="G24359" s="812"/>
    </row>
    <row r="24360" spans="7:7">
      <c r="G24360" s="812"/>
    </row>
    <row r="24361" spans="7:7">
      <c r="G24361" s="812"/>
    </row>
    <row r="24362" spans="7:7">
      <c r="G24362" s="812"/>
    </row>
    <row r="24363" spans="7:7">
      <c r="G24363" s="812"/>
    </row>
    <row r="24364" spans="7:7">
      <c r="G24364" s="812"/>
    </row>
    <row r="24365" spans="7:7">
      <c r="G24365" s="812"/>
    </row>
    <row r="24366" spans="7:7">
      <c r="G24366" s="812"/>
    </row>
    <row r="24367" spans="7:7">
      <c r="G24367" s="812"/>
    </row>
    <row r="24368" spans="7:7">
      <c r="G24368" s="812"/>
    </row>
    <row r="24369" spans="7:7">
      <c r="G24369" s="812"/>
    </row>
    <row r="24370" spans="7:7">
      <c r="G24370" s="812"/>
    </row>
    <row r="24371" spans="7:7">
      <c r="G24371" s="812"/>
    </row>
    <row r="24372" spans="7:7">
      <c r="G24372" s="812"/>
    </row>
    <row r="24373" spans="7:7">
      <c r="G24373" s="812"/>
    </row>
    <row r="24374" spans="7:7">
      <c r="G24374" s="812"/>
    </row>
    <row r="24375" spans="7:7">
      <c r="G24375" s="812"/>
    </row>
    <row r="24376" spans="7:7">
      <c r="G24376" s="812"/>
    </row>
    <row r="24377" spans="7:7">
      <c r="G24377" s="812"/>
    </row>
    <row r="24378" spans="7:7">
      <c r="G24378" s="812"/>
    </row>
    <row r="24379" spans="7:7">
      <c r="G24379" s="812"/>
    </row>
    <row r="24380" spans="7:7">
      <c r="G24380" s="812"/>
    </row>
    <row r="24381" spans="7:7">
      <c r="G24381" s="812"/>
    </row>
    <row r="24382" spans="7:7">
      <c r="G24382" s="812"/>
    </row>
    <row r="24383" spans="7:7">
      <c r="G24383" s="812"/>
    </row>
    <row r="24384" spans="7:7">
      <c r="G24384" s="812"/>
    </row>
    <row r="24385" spans="7:7">
      <c r="G24385" s="812"/>
    </row>
    <row r="24386" spans="7:7">
      <c r="G24386" s="812"/>
    </row>
    <row r="24387" spans="7:7">
      <c r="G24387" s="812"/>
    </row>
    <row r="24388" spans="7:7">
      <c r="G24388" s="812"/>
    </row>
    <row r="24389" spans="7:7">
      <c r="G24389" s="812"/>
    </row>
    <row r="24390" spans="7:7">
      <c r="G24390" s="812"/>
    </row>
    <row r="24391" spans="7:7">
      <c r="G24391" s="812"/>
    </row>
    <row r="24392" spans="7:7">
      <c r="G24392" s="812"/>
    </row>
    <row r="24393" spans="7:7">
      <c r="G24393" s="812"/>
    </row>
    <row r="24394" spans="7:7">
      <c r="G24394" s="812"/>
    </row>
    <row r="24395" spans="7:7">
      <c r="G24395" s="812"/>
    </row>
    <row r="24396" spans="7:7">
      <c r="G24396" s="812"/>
    </row>
    <row r="24397" spans="7:7">
      <c r="G24397" s="812"/>
    </row>
    <row r="24398" spans="7:7">
      <c r="G24398" s="812"/>
    </row>
    <row r="24399" spans="7:7">
      <c r="G24399" s="812"/>
    </row>
    <row r="24400" spans="7:7">
      <c r="G24400" s="812"/>
    </row>
    <row r="24401" spans="7:7">
      <c r="G24401" s="812"/>
    </row>
    <row r="24402" spans="7:7">
      <c r="G24402" s="812"/>
    </row>
    <row r="24403" spans="7:7">
      <c r="G24403" s="812"/>
    </row>
    <row r="24404" spans="7:7">
      <c r="G24404" s="812"/>
    </row>
    <row r="24405" spans="7:7">
      <c r="G24405" s="812"/>
    </row>
    <row r="24406" spans="7:7">
      <c r="G24406" s="812"/>
    </row>
    <row r="24407" spans="7:7">
      <c r="G24407" s="812"/>
    </row>
    <row r="24408" spans="7:7">
      <c r="G24408" s="812"/>
    </row>
    <row r="24409" spans="7:7">
      <c r="G24409" s="812"/>
    </row>
    <row r="24410" spans="7:7">
      <c r="G24410" s="812"/>
    </row>
    <row r="24411" spans="7:7">
      <c r="G24411" s="812"/>
    </row>
    <row r="24412" spans="7:7">
      <c r="G24412" s="812"/>
    </row>
    <row r="24413" spans="7:7">
      <c r="G24413" s="812"/>
    </row>
    <row r="24414" spans="7:7">
      <c r="G24414" s="812"/>
    </row>
    <row r="24415" spans="7:7">
      <c r="G24415" s="812"/>
    </row>
    <row r="24416" spans="7:7">
      <c r="G24416" s="812"/>
    </row>
    <row r="24417" spans="7:7">
      <c r="G24417" s="812"/>
    </row>
    <row r="24418" spans="7:7">
      <c r="G24418" s="812"/>
    </row>
    <row r="24419" spans="7:7">
      <c r="G24419" s="812"/>
    </row>
    <row r="24420" spans="7:7">
      <c r="G24420" s="812"/>
    </row>
    <row r="24421" spans="7:7">
      <c r="G24421" s="812"/>
    </row>
    <row r="24422" spans="7:7">
      <c r="G24422" s="812"/>
    </row>
    <row r="24423" spans="7:7">
      <c r="G24423" s="812"/>
    </row>
    <row r="24424" spans="7:7">
      <c r="G24424" s="812"/>
    </row>
    <row r="24425" spans="7:7">
      <c r="G24425" s="812"/>
    </row>
    <row r="24426" spans="7:7">
      <c r="G24426" s="812"/>
    </row>
    <row r="24427" spans="7:7">
      <c r="G24427" s="812"/>
    </row>
    <row r="24428" spans="7:7">
      <c r="G24428" s="812"/>
    </row>
    <row r="24429" spans="7:7">
      <c r="G24429" s="812"/>
    </row>
    <row r="24430" spans="7:7">
      <c r="G24430" s="812"/>
    </row>
    <row r="24431" spans="7:7">
      <c r="G24431" s="812"/>
    </row>
    <row r="24432" spans="7:7">
      <c r="G24432" s="812"/>
    </row>
    <row r="24433" spans="7:7">
      <c r="G24433" s="812"/>
    </row>
    <row r="24434" spans="7:7">
      <c r="G24434" s="812"/>
    </row>
    <row r="24435" spans="7:7">
      <c r="G24435" s="812"/>
    </row>
    <row r="24436" spans="7:7">
      <c r="G24436" s="812"/>
    </row>
    <row r="24437" spans="7:7">
      <c r="G24437" s="812"/>
    </row>
    <row r="24438" spans="7:7">
      <c r="G24438" s="812"/>
    </row>
    <row r="24439" spans="7:7">
      <c r="G24439" s="812"/>
    </row>
    <row r="24440" spans="7:7">
      <c r="G24440" s="812"/>
    </row>
    <row r="24441" spans="7:7">
      <c r="G24441" s="812"/>
    </row>
    <row r="24442" spans="7:7">
      <c r="G24442" s="812"/>
    </row>
    <row r="24443" spans="7:7">
      <c r="G24443" s="812"/>
    </row>
    <row r="24444" spans="7:7">
      <c r="G24444" s="812"/>
    </row>
    <row r="24445" spans="7:7">
      <c r="G24445" s="812"/>
    </row>
    <row r="24446" spans="7:7">
      <c r="G24446" s="812"/>
    </row>
    <row r="24447" spans="7:7">
      <c r="G24447" s="812"/>
    </row>
    <row r="24448" spans="7:7">
      <c r="G24448" s="812"/>
    </row>
    <row r="24449" spans="7:7">
      <c r="G24449" s="812"/>
    </row>
    <row r="24450" spans="7:7">
      <c r="G24450" s="812"/>
    </row>
    <row r="24451" spans="7:7">
      <c r="G24451" s="812"/>
    </row>
    <row r="24452" spans="7:7">
      <c r="G24452" s="812"/>
    </row>
    <row r="24453" spans="7:7">
      <c r="G24453" s="812"/>
    </row>
    <row r="24454" spans="7:7">
      <c r="G24454" s="812"/>
    </row>
    <row r="24455" spans="7:7">
      <c r="G24455" s="812"/>
    </row>
    <row r="24456" spans="7:7">
      <c r="G24456" s="812"/>
    </row>
    <row r="24457" spans="7:7">
      <c r="G24457" s="812"/>
    </row>
    <row r="24458" spans="7:7">
      <c r="G24458" s="812"/>
    </row>
    <row r="24459" spans="7:7">
      <c r="G24459" s="812"/>
    </row>
    <row r="24460" spans="7:7">
      <c r="G24460" s="812"/>
    </row>
    <row r="24461" spans="7:7">
      <c r="G24461" s="812"/>
    </row>
    <row r="24462" spans="7:7">
      <c r="G24462" s="812"/>
    </row>
    <row r="24463" spans="7:7">
      <c r="G24463" s="812"/>
    </row>
    <row r="24464" spans="7:7">
      <c r="G24464" s="812"/>
    </row>
    <row r="24465" spans="7:7">
      <c r="G24465" s="812"/>
    </row>
    <row r="24466" spans="7:7">
      <c r="G24466" s="812"/>
    </row>
    <row r="24467" spans="7:7">
      <c r="G24467" s="812"/>
    </row>
    <row r="24468" spans="7:7">
      <c r="G24468" s="812"/>
    </row>
    <row r="24469" spans="7:7">
      <c r="G24469" s="812"/>
    </row>
    <row r="24470" spans="7:7">
      <c r="G24470" s="812"/>
    </row>
    <row r="24471" spans="7:7">
      <c r="G24471" s="812"/>
    </row>
    <row r="24472" spans="7:7">
      <c r="G24472" s="812"/>
    </row>
    <row r="24473" spans="7:7">
      <c r="G24473" s="812"/>
    </row>
    <row r="24474" spans="7:7">
      <c r="G24474" s="812"/>
    </row>
    <row r="24475" spans="7:7">
      <c r="G24475" s="812"/>
    </row>
    <row r="24476" spans="7:7">
      <c r="G24476" s="812"/>
    </row>
    <row r="24477" spans="7:7">
      <c r="G24477" s="812"/>
    </row>
    <row r="24478" spans="7:7">
      <c r="G24478" s="812"/>
    </row>
    <row r="24479" spans="7:7">
      <c r="G24479" s="812"/>
    </row>
    <row r="24480" spans="7:7">
      <c r="G24480" s="812"/>
    </row>
    <row r="24481" spans="7:7">
      <c r="G24481" s="812"/>
    </row>
    <row r="24482" spans="7:7">
      <c r="G24482" s="812"/>
    </row>
    <row r="24483" spans="7:7">
      <c r="G24483" s="812"/>
    </row>
    <row r="24484" spans="7:7">
      <c r="G24484" s="812"/>
    </row>
    <row r="24485" spans="7:7">
      <c r="G24485" s="812"/>
    </row>
    <row r="24486" spans="7:7">
      <c r="G24486" s="812"/>
    </row>
    <row r="24487" spans="7:7">
      <c r="G24487" s="812"/>
    </row>
    <row r="24488" spans="7:7">
      <c r="G24488" s="812"/>
    </row>
    <row r="24489" spans="7:7">
      <c r="G24489" s="812"/>
    </row>
    <row r="24490" spans="7:7">
      <c r="G24490" s="812"/>
    </row>
    <row r="24491" spans="7:7">
      <c r="G24491" s="812"/>
    </row>
    <row r="24492" spans="7:7">
      <c r="G24492" s="812"/>
    </row>
    <row r="24493" spans="7:7">
      <c r="G24493" s="812"/>
    </row>
    <row r="24494" spans="7:7">
      <c r="G24494" s="812"/>
    </row>
    <row r="24495" spans="7:7">
      <c r="G24495" s="812"/>
    </row>
    <row r="24496" spans="7:7">
      <c r="G24496" s="812"/>
    </row>
    <row r="24497" spans="7:7">
      <c r="G24497" s="812"/>
    </row>
    <row r="24498" spans="7:7">
      <c r="G24498" s="812"/>
    </row>
    <row r="24499" spans="7:7">
      <c r="G24499" s="812"/>
    </row>
    <row r="24500" spans="7:7">
      <c r="G24500" s="812"/>
    </row>
    <row r="24501" spans="7:7">
      <c r="G24501" s="812"/>
    </row>
    <row r="24502" spans="7:7">
      <c r="G24502" s="812"/>
    </row>
    <row r="24503" spans="7:7">
      <c r="G24503" s="812"/>
    </row>
    <row r="24504" spans="7:7">
      <c r="G24504" s="812"/>
    </row>
    <row r="24505" spans="7:7">
      <c r="G24505" s="812"/>
    </row>
    <row r="24506" spans="7:7">
      <c r="G24506" s="812"/>
    </row>
    <row r="24507" spans="7:7">
      <c r="G24507" s="812"/>
    </row>
    <row r="24508" spans="7:7">
      <c r="G24508" s="812"/>
    </row>
    <row r="24509" spans="7:7">
      <c r="G24509" s="812"/>
    </row>
    <row r="24510" spans="7:7">
      <c r="G24510" s="812"/>
    </row>
    <row r="24511" spans="7:7">
      <c r="G24511" s="812"/>
    </row>
    <row r="24512" spans="7:7">
      <c r="G24512" s="812"/>
    </row>
    <row r="24513" spans="7:7">
      <c r="G24513" s="812"/>
    </row>
    <row r="24514" spans="7:7">
      <c r="G24514" s="812"/>
    </row>
    <row r="24515" spans="7:7">
      <c r="G24515" s="812"/>
    </row>
    <row r="24516" spans="7:7">
      <c r="G24516" s="812"/>
    </row>
    <row r="24517" spans="7:7">
      <c r="G24517" s="812"/>
    </row>
    <row r="24518" spans="7:7">
      <c r="G24518" s="812"/>
    </row>
    <row r="24519" spans="7:7">
      <c r="G24519" s="812"/>
    </row>
    <row r="24520" spans="7:7">
      <c r="G24520" s="812"/>
    </row>
    <row r="24521" spans="7:7">
      <c r="G24521" s="812"/>
    </row>
    <row r="24522" spans="7:7">
      <c r="G24522" s="812"/>
    </row>
    <row r="24523" spans="7:7">
      <c r="G24523" s="812"/>
    </row>
    <row r="24524" spans="7:7">
      <c r="G24524" s="812"/>
    </row>
    <row r="24525" spans="7:7">
      <c r="G24525" s="812"/>
    </row>
    <row r="24526" spans="7:7">
      <c r="G24526" s="812"/>
    </row>
    <row r="24527" spans="7:7">
      <c r="G24527" s="812"/>
    </row>
    <row r="24528" spans="7:7">
      <c r="G24528" s="812"/>
    </row>
    <row r="24529" spans="7:7">
      <c r="G24529" s="812"/>
    </row>
    <row r="24530" spans="7:7">
      <c r="G24530" s="812"/>
    </row>
    <row r="24531" spans="7:7">
      <c r="G24531" s="812"/>
    </row>
    <row r="24532" spans="7:7">
      <c r="G24532" s="812"/>
    </row>
    <row r="24533" spans="7:7">
      <c r="G24533" s="812"/>
    </row>
    <row r="24534" spans="7:7">
      <c r="G24534" s="812"/>
    </row>
    <row r="24535" spans="7:7">
      <c r="G24535" s="812"/>
    </row>
    <row r="24536" spans="7:7">
      <c r="G24536" s="812"/>
    </row>
    <row r="24537" spans="7:7">
      <c r="G24537" s="812"/>
    </row>
    <row r="24538" spans="7:7">
      <c r="G24538" s="812"/>
    </row>
    <row r="24539" spans="7:7">
      <c r="G24539" s="812"/>
    </row>
    <row r="24540" spans="7:7">
      <c r="G24540" s="812"/>
    </row>
    <row r="24541" spans="7:7">
      <c r="G24541" s="812"/>
    </row>
    <row r="24542" spans="7:7">
      <c r="G24542" s="812"/>
    </row>
    <row r="24543" spans="7:7">
      <c r="G24543" s="812"/>
    </row>
    <row r="24544" spans="7:7">
      <c r="G24544" s="812"/>
    </row>
    <row r="24545" spans="7:7">
      <c r="G24545" s="812"/>
    </row>
    <row r="24546" spans="7:7">
      <c r="G24546" s="812"/>
    </row>
    <row r="24547" spans="7:7">
      <c r="G24547" s="812"/>
    </row>
    <row r="24548" spans="7:7">
      <c r="G24548" s="812"/>
    </row>
    <row r="24549" spans="7:7">
      <c r="G24549" s="812"/>
    </row>
    <row r="24550" spans="7:7">
      <c r="G24550" s="812"/>
    </row>
    <row r="24551" spans="7:7">
      <c r="G24551" s="812"/>
    </row>
    <row r="24552" spans="7:7">
      <c r="G24552" s="812"/>
    </row>
    <row r="24553" spans="7:7">
      <c r="G24553" s="812"/>
    </row>
    <row r="24554" spans="7:7">
      <c r="G24554" s="812"/>
    </row>
    <row r="24555" spans="7:7">
      <c r="G24555" s="812"/>
    </row>
    <row r="24556" spans="7:7">
      <c r="G24556" s="812"/>
    </row>
    <row r="24557" spans="7:7">
      <c r="G24557" s="812"/>
    </row>
    <row r="24558" spans="7:7">
      <c r="G24558" s="812"/>
    </row>
    <row r="24559" spans="7:7">
      <c r="G24559" s="812"/>
    </row>
    <row r="24560" spans="7:7">
      <c r="G24560" s="812"/>
    </row>
    <row r="24561" spans="7:7">
      <c r="G24561" s="812"/>
    </row>
    <row r="24562" spans="7:7">
      <c r="G24562" s="812"/>
    </row>
    <row r="24563" spans="7:7">
      <c r="G24563" s="812"/>
    </row>
    <row r="24564" spans="7:7">
      <c r="G24564" s="812"/>
    </row>
    <row r="24565" spans="7:7">
      <c r="G24565" s="812"/>
    </row>
    <row r="24566" spans="7:7">
      <c r="G24566" s="812"/>
    </row>
    <row r="24567" spans="7:7">
      <c r="G24567" s="812"/>
    </row>
    <row r="24568" spans="7:7">
      <c r="G24568" s="812"/>
    </row>
    <row r="24569" spans="7:7">
      <c r="G24569" s="812"/>
    </row>
    <row r="24570" spans="7:7">
      <c r="G24570" s="812"/>
    </row>
    <row r="24571" spans="7:7">
      <c r="G24571" s="812"/>
    </row>
    <row r="24572" spans="7:7">
      <c r="G24572" s="812"/>
    </row>
    <row r="24573" spans="7:7">
      <c r="G24573" s="812"/>
    </row>
    <row r="24574" spans="7:7">
      <c r="G24574" s="812"/>
    </row>
    <row r="24575" spans="7:7">
      <c r="G24575" s="812"/>
    </row>
    <row r="24576" spans="7:7">
      <c r="G24576" s="812"/>
    </row>
    <row r="24577" spans="7:7">
      <c r="G24577" s="812"/>
    </row>
    <row r="24578" spans="7:7">
      <c r="G24578" s="812"/>
    </row>
    <row r="24579" spans="7:7">
      <c r="G24579" s="812"/>
    </row>
    <row r="24580" spans="7:7">
      <c r="G24580" s="812"/>
    </row>
    <row r="24581" spans="7:7">
      <c r="G24581" s="812"/>
    </row>
    <row r="24582" spans="7:7">
      <c r="G24582" s="812"/>
    </row>
    <row r="24583" spans="7:7">
      <c r="G24583" s="812"/>
    </row>
    <row r="24584" spans="7:7">
      <c r="G24584" s="812"/>
    </row>
    <row r="24585" spans="7:7">
      <c r="G24585" s="812"/>
    </row>
    <row r="24586" spans="7:7">
      <c r="G24586" s="812"/>
    </row>
    <row r="24587" spans="7:7">
      <c r="G24587" s="812"/>
    </row>
    <row r="24588" spans="7:7">
      <c r="G24588" s="812"/>
    </row>
    <row r="24589" spans="7:7">
      <c r="G24589" s="812"/>
    </row>
    <row r="24590" spans="7:7">
      <c r="G24590" s="812"/>
    </row>
    <row r="24591" spans="7:7">
      <c r="G24591" s="812"/>
    </row>
    <row r="24592" spans="7:7">
      <c r="G24592" s="812"/>
    </row>
    <row r="24593" spans="7:7">
      <c r="G24593" s="812"/>
    </row>
    <row r="24594" spans="7:7">
      <c r="G24594" s="812"/>
    </row>
    <row r="24595" spans="7:7">
      <c r="G24595" s="812"/>
    </row>
    <row r="24596" spans="7:7">
      <c r="G24596" s="812"/>
    </row>
    <row r="24597" spans="7:7">
      <c r="G24597" s="812"/>
    </row>
    <row r="24598" spans="7:7">
      <c r="G24598" s="812"/>
    </row>
    <row r="24599" spans="7:7">
      <c r="G24599" s="812"/>
    </row>
    <row r="24600" spans="7:7">
      <c r="G24600" s="812"/>
    </row>
    <row r="24601" spans="7:7">
      <c r="G24601" s="812"/>
    </row>
    <row r="24602" spans="7:7">
      <c r="G24602" s="812"/>
    </row>
    <row r="24603" spans="7:7">
      <c r="G24603" s="812"/>
    </row>
    <row r="24604" spans="7:7">
      <c r="G24604" s="812"/>
    </row>
    <row r="24605" spans="7:7">
      <c r="G24605" s="812"/>
    </row>
    <row r="24606" spans="7:7">
      <c r="G24606" s="812"/>
    </row>
    <row r="24607" spans="7:7">
      <c r="G24607" s="812"/>
    </row>
    <row r="24608" spans="7:7">
      <c r="G24608" s="812"/>
    </row>
    <row r="24609" spans="7:7">
      <c r="G24609" s="812"/>
    </row>
    <row r="24610" spans="7:7">
      <c r="G24610" s="812"/>
    </row>
    <row r="24611" spans="7:7">
      <c r="G24611" s="812"/>
    </row>
    <row r="24612" spans="7:7">
      <c r="G24612" s="812"/>
    </row>
    <row r="24613" spans="7:7">
      <c r="G24613" s="812"/>
    </row>
    <row r="24614" spans="7:7">
      <c r="G24614" s="812"/>
    </row>
    <row r="24615" spans="7:7">
      <c r="G24615" s="812"/>
    </row>
    <row r="24616" spans="7:7">
      <c r="G24616" s="812"/>
    </row>
    <row r="24617" spans="7:7">
      <c r="G24617" s="812"/>
    </row>
    <row r="24618" spans="7:7">
      <c r="G24618" s="812"/>
    </row>
    <row r="24619" spans="7:7">
      <c r="G24619" s="812"/>
    </row>
    <row r="24620" spans="7:7">
      <c r="G24620" s="812"/>
    </row>
    <row r="24621" spans="7:7">
      <c r="G24621" s="812"/>
    </row>
    <row r="24622" spans="7:7">
      <c r="G24622" s="812"/>
    </row>
    <row r="24623" spans="7:7">
      <c r="G24623" s="812"/>
    </row>
    <row r="24624" spans="7:7">
      <c r="G24624" s="812"/>
    </row>
    <row r="24625" spans="7:7">
      <c r="G24625" s="812"/>
    </row>
    <row r="24626" spans="7:7">
      <c r="G24626" s="812"/>
    </row>
    <row r="24627" spans="7:7">
      <c r="G24627" s="812"/>
    </row>
    <row r="24628" spans="7:7">
      <c r="G24628" s="812"/>
    </row>
    <row r="24629" spans="7:7">
      <c r="G24629" s="812"/>
    </row>
    <row r="24630" spans="7:7">
      <c r="G24630" s="812"/>
    </row>
    <row r="24631" spans="7:7">
      <c r="G24631" s="812"/>
    </row>
    <row r="24632" spans="7:7">
      <c r="G24632" s="812"/>
    </row>
    <row r="24633" spans="7:7">
      <c r="G24633" s="812"/>
    </row>
    <row r="24634" spans="7:7">
      <c r="G24634" s="812"/>
    </row>
    <row r="24635" spans="7:7">
      <c r="G24635" s="812"/>
    </row>
    <row r="24636" spans="7:7">
      <c r="G24636" s="812"/>
    </row>
    <row r="24637" spans="7:7">
      <c r="G24637" s="812"/>
    </row>
    <row r="24638" spans="7:7">
      <c r="G24638" s="812"/>
    </row>
    <row r="24639" spans="7:7">
      <c r="G24639" s="812"/>
    </row>
    <row r="24640" spans="7:7">
      <c r="G24640" s="812"/>
    </row>
    <row r="24641" spans="7:7">
      <c r="G24641" s="812"/>
    </row>
    <row r="24642" spans="7:7">
      <c r="G24642" s="812"/>
    </row>
    <row r="24643" spans="7:7">
      <c r="G24643" s="812"/>
    </row>
    <row r="24644" spans="7:7">
      <c r="G24644" s="812"/>
    </row>
    <row r="24645" spans="7:7">
      <c r="G24645" s="812"/>
    </row>
    <row r="24646" spans="7:7">
      <c r="G24646" s="812"/>
    </row>
    <row r="24647" spans="7:7">
      <c r="G24647" s="812"/>
    </row>
    <row r="24648" spans="7:7">
      <c r="G24648" s="812"/>
    </row>
    <row r="24649" spans="7:7">
      <c r="G24649" s="812"/>
    </row>
    <row r="24650" spans="7:7">
      <c r="G24650" s="812"/>
    </row>
    <row r="24651" spans="7:7">
      <c r="G24651" s="812"/>
    </row>
    <row r="24652" spans="7:7">
      <c r="G24652" s="812"/>
    </row>
    <row r="24653" spans="7:7">
      <c r="G24653" s="812"/>
    </row>
    <row r="24654" spans="7:7">
      <c r="G24654" s="812"/>
    </row>
    <row r="24655" spans="7:7">
      <c r="G24655" s="812"/>
    </row>
    <row r="24656" spans="7:7">
      <c r="G24656" s="812"/>
    </row>
    <row r="24657" spans="7:7">
      <c r="G24657" s="812"/>
    </row>
    <row r="24658" spans="7:7">
      <c r="G24658" s="812"/>
    </row>
    <row r="24659" spans="7:7">
      <c r="G24659" s="812"/>
    </row>
    <row r="24660" spans="7:7">
      <c r="G24660" s="812"/>
    </row>
    <row r="24661" spans="7:7">
      <c r="G24661" s="812"/>
    </row>
    <row r="24662" spans="7:7">
      <c r="G24662" s="812"/>
    </row>
    <row r="24663" spans="7:7">
      <c r="G24663" s="812"/>
    </row>
    <row r="24664" spans="7:7">
      <c r="G24664" s="812"/>
    </row>
    <row r="24665" spans="7:7">
      <c r="G24665" s="812"/>
    </row>
    <row r="24666" spans="7:7">
      <c r="G24666" s="812"/>
    </row>
    <row r="24667" spans="7:7">
      <c r="G24667" s="812"/>
    </row>
    <row r="24668" spans="7:7">
      <c r="G24668" s="812"/>
    </row>
    <row r="24669" spans="7:7">
      <c r="G24669" s="812"/>
    </row>
    <row r="24670" spans="7:7">
      <c r="G24670" s="812"/>
    </row>
    <row r="24671" spans="7:7">
      <c r="G24671" s="812"/>
    </row>
    <row r="24672" spans="7:7">
      <c r="G24672" s="812"/>
    </row>
    <row r="24673" spans="7:7">
      <c r="G24673" s="812"/>
    </row>
    <row r="24674" spans="7:7">
      <c r="G24674" s="812"/>
    </row>
    <row r="24675" spans="7:7">
      <c r="G24675" s="812"/>
    </row>
    <row r="24676" spans="7:7">
      <c r="G24676" s="812"/>
    </row>
    <row r="24677" spans="7:7">
      <c r="G24677" s="812"/>
    </row>
    <row r="24678" spans="7:7">
      <c r="G24678" s="812"/>
    </row>
    <row r="24679" spans="7:7">
      <c r="G24679" s="812"/>
    </row>
    <row r="24680" spans="7:7">
      <c r="G24680" s="812"/>
    </row>
    <row r="24681" spans="7:7">
      <c r="G24681" s="812"/>
    </row>
    <row r="24682" spans="7:7">
      <c r="G24682" s="812"/>
    </row>
    <row r="24683" spans="7:7">
      <c r="G24683" s="812"/>
    </row>
    <row r="24684" spans="7:7">
      <c r="G24684" s="812"/>
    </row>
    <row r="24685" spans="7:7">
      <c r="G24685" s="812"/>
    </row>
    <row r="24686" spans="7:7">
      <c r="G24686" s="812"/>
    </row>
    <row r="24687" spans="7:7">
      <c r="G24687" s="812"/>
    </row>
    <row r="24688" spans="7:7">
      <c r="G24688" s="812"/>
    </row>
    <row r="24689" spans="7:7">
      <c r="G24689" s="812"/>
    </row>
    <row r="24690" spans="7:7">
      <c r="G24690" s="812"/>
    </row>
    <row r="24691" spans="7:7">
      <c r="G24691" s="812"/>
    </row>
    <row r="24692" spans="7:7">
      <c r="G24692" s="812"/>
    </row>
    <row r="24693" spans="7:7">
      <c r="G24693" s="812"/>
    </row>
    <row r="24694" spans="7:7">
      <c r="G24694" s="812"/>
    </row>
    <row r="24695" spans="7:7">
      <c r="G24695" s="812"/>
    </row>
    <row r="24696" spans="7:7">
      <c r="G24696" s="812"/>
    </row>
    <row r="24697" spans="7:7">
      <c r="G24697" s="812"/>
    </row>
    <row r="24698" spans="7:7">
      <c r="G24698" s="812"/>
    </row>
    <row r="24699" spans="7:7">
      <c r="G24699" s="812"/>
    </row>
    <row r="24700" spans="7:7">
      <c r="G24700" s="812"/>
    </row>
    <row r="24701" spans="7:7">
      <c r="G24701" s="812"/>
    </row>
    <row r="24702" spans="7:7">
      <c r="G24702" s="812"/>
    </row>
    <row r="24703" spans="7:7">
      <c r="G24703" s="812"/>
    </row>
    <row r="24704" spans="7:7">
      <c r="G24704" s="812"/>
    </row>
    <row r="24705" spans="7:7">
      <c r="G24705" s="812"/>
    </row>
    <row r="24706" spans="7:7">
      <c r="G24706" s="812"/>
    </row>
    <row r="24707" spans="7:7">
      <c r="G24707" s="812"/>
    </row>
    <row r="24708" spans="7:7">
      <c r="G24708" s="812"/>
    </row>
    <row r="24709" spans="7:7">
      <c r="G24709" s="812"/>
    </row>
    <row r="24710" spans="7:7">
      <c r="G24710" s="812"/>
    </row>
    <row r="24711" spans="7:7">
      <c r="G24711" s="812"/>
    </row>
    <row r="24712" spans="7:7">
      <c r="G24712" s="812"/>
    </row>
    <row r="24713" spans="7:7">
      <c r="G24713" s="812"/>
    </row>
    <row r="24714" spans="7:7">
      <c r="G24714" s="812"/>
    </row>
    <row r="24715" spans="7:7">
      <c r="G24715" s="812"/>
    </row>
    <row r="24716" spans="7:7">
      <c r="G24716" s="812"/>
    </row>
    <row r="24717" spans="7:7">
      <c r="G24717" s="812"/>
    </row>
    <row r="24718" spans="7:7">
      <c r="G24718" s="812"/>
    </row>
    <row r="24719" spans="7:7">
      <c r="G24719" s="812"/>
    </row>
    <row r="24720" spans="7:7">
      <c r="G24720" s="812"/>
    </row>
    <row r="24721" spans="7:7">
      <c r="G24721" s="812"/>
    </row>
    <row r="24722" spans="7:7">
      <c r="G24722" s="812"/>
    </row>
    <row r="24723" spans="7:7">
      <c r="G24723" s="812"/>
    </row>
    <row r="24724" spans="7:7">
      <c r="G24724" s="812"/>
    </row>
    <row r="24725" spans="7:7">
      <c r="G24725" s="812"/>
    </row>
    <row r="24726" spans="7:7">
      <c r="G24726" s="812"/>
    </row>
    <row r="24727" spans="7:7">
      <c r="G24727" s="812"/>
    </row>
    <row r="24728" spans="7:7">
      <c r="G24728" s="812"/>
    </row>
    <row r="24729" spans="7:7">
      <c r="G24729" s="812"/>
    </row>
    <row r="24730" spans="7:7">
      <c r="G24730" s="812"/>
    </row>
    <row r="24731" spans="7:7">
      <c r="G24731" s="812"/>
    </row>
    <row r="24732" spans="7:7">
      <c r="G24732" s="812"/>
    </row>
    <row r="24733" spans="7:7">
      <c r="G24733" s="812"/>
    </row>
    <row r="24734" spans="7:7">
      <c r="G24734" s="812"/>
    </row>
    <row r="24735" spans="7:7">
      <c r="G24735" s="812"/>
    </row>
    <row r="24736" spans="7:7">
      <c r="G24736" s="812"/>
    </row>
    <row r="24737" spans="7:7">
      <c r="G24737" s="812"/>
    </row>
    <row r="24738" spans="7:7">
      <c r="G24738" s="812"/>
    </row>
    <row r="24739" spans="7:7">
      <c r="G24739" s="812"/>
    </row>
    <row r="24740" spans="7:7">
      <c r="G24740" s="812"/>
    </row>
    <row r="24741" spans="7:7">
      <c r="G24741" s="812"/>
    </row>
    <row r="24742" spans="7:7">
      <c r="G24742" s="812"/>
    </row>
    <row r="24743" spans="7:7">
      <c r="G24743" s="812"/>
    </row>
    <row r="24744" spans="7:7">
      <c r="G24744" s="812"/>
    </row>
    <row r="24745" spans="7:7">
      <c r="G24745" s="812"/>
    </row>
    <row r="24746" spans="7:7">
      <c r="G24746" s="812"/>
    </row>
    <row r="24747" spans="7:7">
      <c r="G24747" s="812"/>
    </row>
    <row r="24748" spans="7:7">
      <c r="G24748" s="812"/>
    </row>
    <row r="24749" spans="7:7">
      <c r="G24749" s="812"/>
    </row>
    <row r="24750" spans="7:7">
      <c r="G24750" s="812"/>
    </row>
    <row r="24751" spans="7:7">
      <c r="G24751" s="812"/>
    </row>
    <row r="24752" spans="7:7">
      <c r="G24752" s="812"/>
    </row>
    <row r="24753" spans="7:7">
      <c r="G24753" s="812"/>
    </row>
    <row r="24754" spans="7:7">
      <c r="G24754" s="812"/>
    </row>
    <row r="24755" spans="7:7">
      <c r="G24755" s="812"/>
    </row>
    <row r="24756" spans="7:7">
      <c r="G24756" s="812"/>
    </row>
    <row r="24757" spans="7:7">
      <c r="G24757" s="812"/>
    </row>
    <row r="24758" spans="7:7">
      <c r="G24758" s="812"/>
    </row>
    <row r="24759" spans="7:7">
      <c r="G24759" s="812"/>
    </row>
    <row r="24760" spans="7:7">
      <c r="G24760" s="812"/>
    </row>
    <row r="24761" spans="7:7">
      <c r="G24761" s="812"/>
    </row>
    <row r="24762" spans="7:7">
      <c r="G24762" s="812"/>
    </row>
    <row r="24763" spans="7:7">
      <c r="G24763" s="812"/>
    </row>
    <row r="24764" spans="7:7">
      <c r="G24764" s="812"/>
    </row>
    <row r="24765" spans="7:7">
      <c r="G24765" s="812"/>
    </row>
    <row r="24766" spans="7:7">
      <c r="G24766" s="812"/>
    </row>
    <row r="24767" spans="7:7">
      <c r="G24767" s="812"/>
    </row>
    <row r="24768" spans="7:7">
      <c r="G24768" s="812"/>
    </row>
    <row r="24769" spans="7:7">
      <c r="G24769" s="812"/>
    </row>
    <row r="24770" spans="7:7">
      <c r="G24770" s="812"/>
    </row>
    <row r="24771" spans="7:7">
      <c r="G24771" s="812"/>
    </row>
    <row r="24772" spans="7:7">
      <c r="G24772" s="812"/>
    </row>
    <row r="24773" spans="7:7">
      <c r="G24773" s="812"/>
    </row>
    <row r="24774" spans="7:7">
      <c r="G24774" s="812"/>
    </row>
    <row r="24775" spans="7:7">
      <c r="G24775" s="812"/>
    </row>
    <row r="24776" spans="7:7">
      <c r="G24776" s="812"/>
    </row>
    <row r="24777" spans="7:7">
      <c r="G24777" s="812"/>
    </row>
    <row r="24778" spans="7:7">
      <c r="G24778" s="812"/>
    </row>
    <row r="24779" spans="7:7">
      <c r="G24779" s="812"/>
    </row>
    <row r="24780" spans="7:7">
      <c r="G24780" s="812"/>
    </row>
    <row r="24781" spans="7:7">
      <c r="G24781" s="812"/>
    </row>
    <row r="24782" spans="7:7">
      <c r="G24782" s="812"/>
    </row>
    <row r="24783" spans="7:7">
      <c r="G24783" s="812"/>
    </row>
    <row r="24784" spans="7:7">
      <c r="G24784" s="812"/>
    </row>
    <row r="24785" spans="7:7">
      <c r="G24785" s="812"/>
    </row>
    <row r="24786" spans="7:7">
      <c r="G24786" s="812"/>
    </row>
    <row r="24787" spans="7:7">
      <c r="G24787" s="812"/>
    </row>
    <row r="24788" spans="7:7">
      <c r="G24788" s="812"/>
    </row>
    <row r="24789" spans="7:7">
      <c r="G24789" s="812"/>
    </row>
    <row r="24790" spans="7:7">
      <c r="G24790" s="812"/>
    </row>
    <row r="24791" spans="7:7">
      <c r="G24791" s="812"/>
    </row>
    <row r="24792" spans="7:7">
      <c r="G24792" s="812"/>
    </row>
    <row r="24793" spans="7:7">
      <c r="G24793" s="812"/>
    </row>
    <row r="24794" spans="7:7">
      <c r="G24794" s="812"/>
    </row>
    <row r="24795" spans="7:7">
      <c r="G24795" s="812"/>
    </row>
    <row r="24796" spans="7:7">
      <c r="G24796" s="812"/>
    </row>
    <row r="24797" spans="7:7">
      <c r="G24797" s="812"/>
    </row>
    <row r="24798" spans="7:7">
      <c r="G24798" s="812"/>
    </row>
    <row r="24799" spans="7:7">
      <c r="G24799" s="812"/>
    </row>
    <row r="24800" spans="7:7">
      <c r="G24800" s="812"/>
    </row>
    <row r="24801" spans="7:7">
      <c r="G24801" s="812"/>
    </row>
    <row r="24802" spans="7:7">
      <c r="G24802" s="812"/>
    </row>
    <row r="24803" spans="7:7">
      <c r="G24803" s="812"/>
    </row>
    <row r="24804" spans="7:7">
      <c r="G24804" s="812"/>
    </row>
    <row r="24805" spans="7:7">
      <c r="G24805" s="812"/>
    </row>
    <row r="24806" spans="7:7">
      <c r="G24806" s="812"/>
    </row>
    <row r="24807" spans="7:7">
      <c r="G24807" s="812"/>
    </row>
    <row r="24808" spans="7:7">
      <c r="G24808" s="812"/>
    </row>
    <row r="24809" spans="7:7">
      <c r="G24809" s="812"/>
    </row>
    <row r="24810" spans="7:7">
      <c r="G24810" s="812"/>
    </row>
    <row r="24811" spans="7:7">
      <c r="G24811" s="812"/>
    </row>
    <row r="24812" spans="7:7">
      <c r="G24812" s="812"/>
    </row>
    <row r="24813" spans="7:7">
      <c r="G24813" s="812"/>
    </row>
    <row r="24814" spans="7:7">
      <c r="G24814" s="812"/>
    </row>
    <row r="24815" spans="7:7">
      <c r="G24815" s="812"/>
    </row>
    <row r="24816" spans="7:7">
      <c r="G24816" s="812"/>
    </row>
    <row r="24817" spans="7:7">
      <c r="G24817" s="812"/>
    </row>
    <row r="24818" spans="7:7">
      <c r="G24818" s="812"/>
    </row>
    <row r="24819" spans="7:7">
      <c r="G24819" s="812"/>
    </row>
    <row r="24820" spans="7:7">
      <c r="G24820" s="812"/>
    </row>
    <row r="24821" spans="7:7">
      <c r="G24821" s="812"/>
    </row>
    <row r="24822" spans="7:7">
      <c r="G24822" s="812"/>
    </row>
    <row r="24823" spans="7:7">
      <c r="G24823" s="812"/>
    </row>
    <row r="24824" spans="7:7">
      <c r="G24824" s="812"/>
    </row>
    <row r="24825" spans="7:7">
      <c r="G24825" s="812"/>
    </row>
    <row r="24826" spans="7:7">
      <c r="G24826" s="812"/>
    </row>
    <row r="24827" spans="7:7">
      <c r="G24827" s="812"/>
    </row>
    <row r="24828" spans="7:7">
      <c r="G24828" s="812"/>
    </row>
    <row r="24829" spans="7:7">
      <c r="G24829" s="812"/>
    </row>
    <row r="24830" spans="7:7">
      <c r="G24830" s="812"/>
    </row>
    <row r="24831" spans="7:7">
      <c r="G24831" s="812"/>
    </row>
    <row r="24832" spans="7:7">
      <c r="G24832" s="812"/>
    </row>
    <row r="24833" spans="7:7">
      <c r="G24833" s="812"/>
    </row>
    <row r="24834" spans="7:7">
      <c r="G24834" s="812"/>
    </row>
    <row r="24835" spans="7:7">
      <c r="G24835" s="812"/>
    </row>
    <row r="24836" spans="7:7">
      <c r="G24836" s="812"/>
    </row>
    <row r="24837" spans="7:7">
      <c r="G24837" s="812"/>
    </row>
    <row r="24838" spans="7:7">
      <c r="G24838" s="812"/>
    </row>
    <row r="24839" spans="7:7">
      <c r="G24839" s="812"/>
    </row>
    <row r="24840" spans="7:7">
      <c r="G24840" s="812"/>
    </row>
    <row r="24841" spans="7:7">
      <c r="G24841" s="812"/>
    </row>
    <row r="24842" spans="7:7">
      <c r="G24842" s="812"/>
    </row>
    <row r="24843" spans="7:7">
      <c r="G24843" s="812"/>
    </row>
    <row r="24844" spans="7:7">
      <c r="G24844" s="812"/>
    </row>
    <row r="24845" spans="7:7">
      <c r="G24845" s="812"/>
    </row>
    <row r="24846" spans="7:7">
      <c r="G24846" s="812"/>
    </row>
    <row r="24847" spans="7:7">
      <c r="G24847" s="812"/>
    </row>
    <row r="24848" spans="7:7">
      <c r="G24848" s="812"/>
    </row>
    <row r="24849" spans="7:7">
      <c r="G24849" s="812"/>
    </row>
    <row r="24850" spans="7:7">
      <c r="G24850" s="812"/>
    </row>
    <row r="24851" spans="7:7">
      <c r="G24851" s="812"/>
    </row>
    <row r="24852" spans="7:7">
      <c r="G24852" s="812"/>
    </row>
    <row r="24853" spans="7:7">
      <c r="G24853" s="812"/>
    </row>
    <row r="24854" spans="7:7">
      <c r="G24854" s="812"/>
    </row>
    <row r="24855" spans="7:7">
      <c r="G24855" s="812"/>
    </row>
    <row r="24856" spans="7:7">
      <c r="G24856" s="812"/>
    </row>
    <row r="24857" spans="7:7">
      <c r="G24857" s="812"/>
    </row>
    <row r="24858" spans="7:7">
      <c r="G24858" s="812"/>
    </row>
    <row r="24859" spans="7:7">
      <c r="G24859" s="812"/>
    </row>
    <row r="24860" spans="7:7">
      <c r="G24860" s="812"/>
    </row>
    <row r="24861" spans="7:7">
      <c r="G24861" s="812"/>
    </row>
    <row r="24862" spans="7:7">
      <c r="G24862" s="812"/>
    </row>
    <row r="24863" spans="7:7">
      <c r="G24863" s="812"/>
    </row>
    <row r="24864" spans="7:7">
      <c r="G24864" s="812"/>
    </row>
    <row r="24865" spans="7:7">
      <c r="G24865" s="812"/>
    </row>
    <row r="24866" spans="7:7">
      <c r="G24866" s="812"/>
    </row>
    <row r="24867" spans="7:7">
      <c r="G24867" s="812"/>
    </row>
    <row r="24868" spans="7:7">
      <c r="G24868" s="812"/>
    </row>
    <row r="24869" spans="7:7">
      <c r="G24869" s="812"/>
    </row>
    <row r="24870" spans="7:7">
      <c r="G24870" s="812"/>
    </row>
    <row r="24871" spans="7:7">
      <c r="G24871" s="812"/>
    </row>
    <row r="24872" spans="7:7">
      <c r="G24872" s="812"/>
    </row>
    <row r="24873" spans="7:7">
      <c r="G24873" s="812"/>
    </row>
    <row r="24874" spans="7:7">
      <c r="G24874" s="812"/>
    </row>
    <row r="24875" spans="7:7">
      <c r="G24875" s="812"/>
    </row>
    <row r="24876" spans="7:7">
      <c r="G24876" s="812"/>
    </row>
    <row r="24877" spans="7:7">
      <c r="G24877" s="812"/>
    </row>
    <row r="24878" spans="7:7">
      <c r="G24878" s="812"/>
    </row>
    <row r="24879" spans="7:7">
      <c r="G24879" s="812"/>
    </row>
    <row r="24880" spans="7:7">
      <c r="G24880" s="812"/>
    </row>
    <row r="24881" spans="7:7">
      <c r="G24881" s="812"/>
    </row>
    <row r="24882" spans="7:7">
      <c r="G24882" s="812"/>
    </row>
    <row r="24883" spans="7:7">
      <c r="G24883" s="812"/>
    </row>
    <row r="24884" spans="7:7">
      <c r="G24884" s="812"/>
    </row>
    <row r="24885" spans="7:7">
      <c r="G24885" s="812"/>
    </row>
    <row r="24886" spans="7:7">
      <c r="G24886" s="812"/>
    </row>
    <row r="24887" spans="7:7">
      <c r="G24887" s="812"/>
    </row>
    <row r="24888" spans="7:7">
      <c r="G24888" s="812"/>
    </row>
    <row r="24889" spans="7:7">
      <c r="G24889" s="812"/>
    </row>
    <row r="24890" spans="7:7">
      <c r="G24890" s="812"/>
    </row>
    <row r="24891" spans="7:7">
      <c r="G24891" s="812"/>
    </row>
    <row r="24892" spans="7:7">
      <c r="G24892" s="812"/>
    </row>
    <row r="24893" spans="7:7">
      <c r="G24893" s="812"/>
    </row>
    <row r="24894" spans="7:7">
      <c r="G24894" s="812"/>
    </row>
    <row r="24895" spans="7:7">
      <c r="G24895" s="812"/>
    </row>
    <row r="24896" spans="7:7">
      <c r="G24896" s="812"/>
    </row>
    <row r="24897" spans="7:7">
      <c r="G24897" s="812"/>
    </row>
    <row r="24898" spans="7:7">
      <c r="G24898" s="812"/>
    </row>
    <row r="24899" spans="7:7">
      <c r="G24899" s="812"/>
    </row>
    <row r="24900" spans="7:7">
      <c r="G24900" s="812"/>
    </row>
    <row r="24901" spans="7:7">
      <c r="G24901" s="812"/>
    </row>
    <row r="24902" spans="7:7">
      <c r="G24902" s="812"/>
    </row>
    <row r="24903" spans="7:7">
      <c r="G24903" s="812"/>
    </row>
    <row r="24904" spans="7:7">
      <c r="G24904" s="812"/>
    </row>
    <row r="24905" spans="7:7">
      <c r="G24905" s="812"/>
    </row>
    <row r="24906" spans="7:7">
      <c r="G24906" s="812"/>
    </row>
    <row r="24907" spans="7:7">
      <c r="G24907" s="812"/>
    </row>
    <row r="24908" spans="7:7">
      <c r="G24908" s="812"/>
    </row>
    <row r="24909" spans="7:7">
      <c r="G24909" s="812"/>
    </row>
    <row r="24910" spans="7:7">
      <c r="G24910" s="812"/>
    </row>
    <row r="24911" spans="7:7">
      <c r="G24911" s="812"/>
    </row>
    <row r="24912" spans="7:7">
      <c r="G24912" s="812"/>
    </row>
    <row r="24913" spans="7:7">
      <c r="G24913" s="812"/>
    </row>
    <row r="24914" spans="7:7">
      <c r="G24914" s="812"/>
    </row>
    <row r="24915" spans="7:7">
      <c r="G24915" s="812"/>
    </row>
    <row r="24916" spans="7:7">
      <c r="G24916" s="812"/>
    </row>
    <row r="24917" spans="7:7">
      <c r="G24917" s="812"/>
    </row>
    <row r="24918" spans="7:7">
      <c r="G24918" s="812"/>
    </row>
    <row r="24919" spans="7:7">
      <c r="G24919" s="812"/>
    </row>
    <row r="24920" spans="7:7">
      <c r="G24920" s="812"/>
    </row>
    <row r="24921" spans="7:7">
      <c r="G24921" s="812"/>
    </row>
    <row r="24922" spans="7:7">
      <c r="G24922" s="812"/>
    </row>
    <row r="24923" spans="7:7">
      <c r="G24923" s="812"/>
    </row>
    <row r="24924" spans="7:7">
      <c r="G24924" s="812"/>
    </row>
    <row r="24925" spans="7:7">
      <c r="G24925" s="812"/>
    </row>
    <row r="24926" spans="7:7">
      <c r="G24926" s="812"/>
    </row>
    <row r="24927" spans="7:7">
      <c r="G24927" s="812"/>
    </row>
    <row r="24928" spans="7:7">
      <c r="G24928" s="812"/>
    </row>
    <row r="24929" spans="7:7">
      <c r="G24929" s="812"/>
    </row>
    <row r="24930" spans="7:7">
      <c r="G24930" s="812"/>
    </row>
    <row r="24931" spans="7:7">
      <c r="G24931" s="812"/>
    </row>
    <row r="24932" spans="7:7">
      <c r="G24932" s="812"/>
    </row>
    <row r="24933" spans="7:7">
      <c r="G24933" s="812"/>
    </row>
    <row r="24934" spans="7:7">
      <c r="G24934" s="812"/>
    </row>
    <row r="24935" spans="7:7">
      <c r="G24935" s="812"/>
    </row>
    <row r="24936" spans="7:7">
      <c r="G24936" s="812"/>
    </row>
    <row r="24937" spans="7:7">
      <c r="G24937" s="812"/>
    </row>
    <row r="24938" spans="7:7">
      <c r="G24938" s="812"/>
    </row>
    <row r="24939" spans="7:7">
      <c r="G24939" s="812"/>
    </row>
    <row r="24940" spans="7:7">
      <c r="G24940" s="812"/>
    </row>
    <row r="24941" spans="7:7">
      <c r="G24941" s="812"/>
    </row>
    <row r="24942" spans="7:7">
      <c r="G24942" s="812"/>
    </row>
    <row r="24943" spans="7:7">
      <c r="G24943" s="812"/>
    </row>
    <row r="24944" spans="7:7">
      <c r="G24944" s="812"/>
    </row>
    <row r="24945" spans="7:7">
      <c r="G24945" s="812"/>
    </row>
    <row r="24946" spans="7:7">
      <c r="G24946" s="812"/>
    </row>
    <row r="24947" spans="7:7">
      <c r="G24947" s="812"/>
    </row>
    <row r="24948" spans="7:7">
      <c r="G24948" s="812"/>
    </row>
    <row r="24949" spans="7:7">
      <c r="G24949" s="812"/>
    </row>
    <row r="24950" spans="7:7">
      <c r="G24950" s="812"/>
    </row>
    <row r="24951" spans="7:7">
      <c r="G24951" s="812"/>
    </row>
    <row r="24952" spans="7:7">
      <c r="G24952" s="812"/>
    </row>
    <row r="24953" spans="7:7">
      <c r="G24953" s="812"/>
    </row>
    <row r="24954" spans="7:7">
      <c r="G24954" s="812"/>
    </row>
    <row r="24955" spans="7:7">
      <c r="G24955" s="812"/>
    </row>
    <row r="24956" spans="7:7">
      <c r="G24956" s="812"/>
    </row>
    <row r="24957" spans="7:7">
      <c r="G24957" s="812"/>
    </row>
    <row r="24958" spans="7:7">
      <c r="G24958" s="812"/>
    </row>
    <row r="24959" spans="7:7">
      <c r="G24959" s="812"/>
    </row>
    <row r="24960" spans="7:7">
      <c r="G24960" s="812"/>
    </row>
    <row r="24961" spans="7:7">
      <c r="G24961" s="812"/>
    </row>
    <row r="24962" spans="7:7">
      <c r="G24962" s="812"/>
    </row>
    <row r="24963" spans="7:7">
      <c r="G24963" s="812"/>
    </row>
    <row r="24964" spans="7:7">
      <c r="G24964" s="812"/>
    </row>
    <row r="24965" spans="7:7">
      <c r="G24965" s="812"/>
    </row>
    <row r="24966" spans="7:7">
      <c r="G24966" s="812"/>
    </row>
    <row r="24967" spans="7:7">
      <c r="G24967" s="812"/>
    </row>
    <row r="24968" spans="7:7">
      <c r="G24968" s="812"/>
    </row>
    <row r="24969" spans="7:7">
      <c r="G24969" s="812"/>
    </row>
    <row r="24970" spans="7:7">
      <c r="G24970" s="812"/>
    </row>
    <row r="24971" spans="7:7">
      <c r="G24971" s="812"/>
    </row>
    <row r="24972" spans="7:7">
      <c r="G24972" s="812"/>
    </row>
    <row r="24973" spans="7:7">
      <c r="G24973" s="812"/>
    </row>
    <row r="24974" spans="7:7">
      <c r="G24974" s="812"/>
    </row>
    <row r="24975" spans="7:7">
      <c r="G24975" s="812"/>
    </row>
    <row r="24976" spans="7:7">
      <c r="G24976" s="812"/>
    </row>
    <row r="24977" spans="7:7">
      <c r="G24977" s="812"/>
    </row>
    <row r="24978" spans="7:7">
      <c r="G24978" s="812"/>
    </row>
    <row r="24979" spans="7:7">
      <c r="G24979" s="812"/>
    </row>
    <row r="24980" spans="7:7">
      <c r="G24980" s="812"/>
    </row>
    <row r="24981" spans="7:7">
      <c r="G24981" s="812"/>
    </row>
    <row r="24982" spans="7:7">
      <c r="G24982" s="812"/>
    </row>
    <row r="24983" spans="7:7">
      <c r="G24983" s="812"/>
    </row>
    <row r="24984" spans="7:7">
      <c r="G24984" s="812"/>
    </row>
    <row r="24985" spans="7:7">
      <c r="G24985" s="812"/>
    </row>
    <row r="24986" spans="7:7">
      <c r="G24986" s="812"/>
    </row>
    <row r="24987" spans="7:7">
      <c r="G24987" s="812"/>
    </row>
    <row r="24988" spans="7:7">
      <c r="G24988" s="812"/>
    </row>
    <row r="24989" spans="7:7">
      <c r="G24989" s="812"/>
    </row>
    <row r="24990" spans="7:7">
      <c r="G24990" s="812"/>
    </row>
    <row r="24991" spans="7:7">
      <c r="G24991" s="812"/>
    </row>
    <row r="24992" spans="7:7">
      <c r="G24992" s="812"/>
    </row>
    <row r="24993" spans="7:7">
      <c r="G24993" s="812"/>
    </row>
    <row r="24994" spans="7:7">
      <c r="G24994" s="812"/>
    </row>
    <row r="24995" spans="7:7">
      <c r="G24995" s="812"/>
    </row>
    <row r="24996" spans="7:7">
      <c r="G24996" s="812"/>
    </row>
    <row r="24997" spans="7:7">
      <c r="G24997" s="812"/>
    </row>
    <row r="24998" spans="7:7">
      <c r="G24998" s="812"/>
    </row>
    <row r="24999" spans="7:7">
      <c r="G24999" s="812"/>
    </row>
    <row r="25000" spans="7:7">
      <c r="G25000" s="812"/>
    </row>
    <row r="25001" spans="7:7">
      <c r="G25001" s="812"/>
    </row>
    <row r="25002" spans="7:7">
      <c r="G25002" s="812"/>
    </row>
    <row r="25003" spans="7:7">
      <c r="G25003" s="812"/>
    </row>
    <row r="25004" spans="7:7">
      <c r="G25004" s="812"/>
    </row>
    <row r="25005" spans="7:7">
      <c r="G25005" s="812"/>
    </row>
    <row r="25006" spans="7:7">
      <c r="G25006" s="812"/>
    </row>
    <row r="25007" spans="7:7">
      <c r="G25007" s="812"/>
    </row>
    <row r="25008" spans="7:7">
      <c r="G25008" s="812"/>
    </row>
    <row r="25009" spans="7:7">
      <c r="G25009" s="812"/>
    </row>
    <row r="25010" spans="7:7">
      <c r="G25010" s="812"/>
    </row>
    <row r="25011" spans="7:7">
      <c r="G25011" s="812"/>
    </row>
    <row r="25012" spans="7:7">
      <c r="G25012" s="812"/>
    </row>
    <row r="25013" spans="7:7">
      <c r="G25013" s="812"/>
    </row>
    <row r="25014" spans="7:7">
      <c r="G25014" s="812"/>
    </row>
    <row r="25015" spans="7:7">
      <c r="G25015" s="812"/>
    </row>
    <row r="25016" spans="7:7">
      <c r="G25016" s="812"/>
    </row>
    <row r="25017" spans="7:7">
      <c r="G25017" s="812"/>
    </row>
    <row r="25018" spans="7:7">
      <c r="G25018" s="812"/>
    </row>
    <row r="25019" spans="7:7">
      <c r="G25019" s="812"/>
    </row>
    <row r="25020" spans="7:7">
      <c r="G25020" s="812"/>
    </row>
    <row r="25021" spans="7:7">
      <c r="G25021" s="812"/>
    </row>
    <row r="25022" spans="7:7">
      <c r="G25022" s="812"/>
    </row>
    <row r="25023" spans="7:7">
      <c r="G25023" s="812"/>
    </row>
    <row r="25024" spans="7:7">
      <c r="G25024" s="812"/>
    </row>
    <row r="25025" spans="7:7">
      <c r="G25025" s="812"/>
    </row>
    <row r="25026" spans="7:7">
      <c r="G25026" s="812"/>
    </row>
    <row r="25027" spans="7:7">
      <c r="G25027" s="812"/>
    </row>
    <row r="25028" spans="7:7">
      <c r="G25028" s="812"/>
    </row>
    <row r="25029" spans="7:7">
      <c r="G25029" s="812"/>
    </row>
    <row r="25030" spans="7:7">
      <c r="G25030" s="812"/>
    </row>
    <row r="25031" spans="7:7">
      <c r="G25031" s="812"/>
    </row>
    <row r="25032" spans="7:7">
      <c r="G25032" s="812"/>
    </row>
    <row r="25033" spans="7:7">
      <c r="G25033" s="812"/>
    </row>
    <row r="25034" spans="7:7">
      <c r="G25034" s="812"/>
    </row>
    <row r="25035" spans="7:7">
      <c r="G25035" s="812"/>
    </row>
    <row r="25036" spans="7:7">
      <c r="G25036" s="812"/>
    </row>
    <row r="25037" spans="7:7">
      <c r="G25037" s="812"/>
    </row>
    <row r="25038" spans="7:7">
      <c r="G25038" s="812"/>
    </row>
    <row r="25039" spans="7:7">
      <c r="G25039" s="812"/>
    </row>
    <row r="25040" spans="7:7">
      <c r="G25040" s="812"/>
    </row>
    <row r="25041" spans="7:7">
      <c r="G25041" s="812"/>
    </row>
    <row r="25042" spans="7:7">
      <c r="G25042" s="812"/>
    </row>
    <row r="25043" spans="7:7">
      <c r="G25043" s="812"/>
    </row>
    <row r="25044" spans="7:7">
      <c r="G25044" s="812"/>
    </row>
    <row r="25045" spans="7:7">
      <c r="G25045" s="812"/>
    </row>
    <row r="25046" spans="7:7">
      <c r="G25046" s="812"/>
    </row>
    <row r="25047" spans="7:7">
      <c r="G25047" s="812"/>
    </row>
    <row r="25048" spans="7:7">
      <c r="G25048" s="812"/>
    </row>
    <row r="25049" spans="7:7">
      <c r="G25049" s="812"/>
    </row>
    <row r="25050" spans="7:7">
      <c r="G25050" s="812"/>
    </row>
    <row r="25051" spans="7:7">
      <c r="G25051" s="812"/>
    </row>
    <row r="25052" spans="7:7">
      <c r="G25052" s="812"/>
    </row>
    <row r="25053" spans="7:7">
      <c r="G25053" s="812"/>
    </row>
    <row r="25054" spans="7:7">
      <c r="G25054" s="812"/>
    </row>
    <row r="25055" spans="7:7">
      <c r="G25055" s="812"/>
    </row>
    <row r="25056" spans="7:7">
      <c r="G25056" s="812"/>
    </row>
    <row r="25057" spans="7:7">
      <c r="G25057" s="812"/>
    </row>
    <row r="25058" spans="7:7">
      <c r="G25058" s="812"/>
    </row>
    <row r="25059" spans="7:7">
      <c r="G25059" s="812"/>
    </row>
    <row r="25060" spans="7:7">
      <c r="G25060" s="812"/>
    </row>
    <row r="25061" spans="7:7">
      <c r="G25061" s="812"/>
    </row>
    <row r="25062" spans="7:7">
      <c r="G25062" s="812"/>
    </row>
    <row r="25063" spans="7:7">
      <c r="G25063" s="812"/>
    </row>
    <row r="25064" spans="7:7">
      <c r="G25064" s="812"/>
    </row>
    <row r="25065" spans="7:7">
      <c r="G25065" s="812"/>
    </row>
    <row r="25066" spans="7:7">
      <c r="G25066" s="812"/>
    </row>
    <row r="25067" spans="7:7">
      <c r="G25067" s="812"/>
    </row>
    <row r="25068" spans="7:7">
      <c r="G25068" s="812"/>
    </row>
    <row r="25069" spans="7:7">
      <c r="G25069" s="812"/>
    </row>
    <row r="25070" spans="7:7">
      <c r="G25070" s="812"/>
    </row>
    <row r="25071" spans="7:7">
      <c r="G25071" s="812"/>
    </row>
    <row r="25072" spans="7:7">
      <c r="G25072" s="812"/>
    </row>
    <row r="25073" spans="7:7">
      <c r="G25073" s="812"/>
    </row>
    <row r="25074" spans="7:7">
      <c r="G25074" s="812"/>
    </row>
    <row r="25075" spans="7:7">
      <c r="G25075" s="812"/>
    </row>
    <row r="25076" spans="7:7">
      <c r="G25076" s="812"/>
    </row>
    <row r="25077" spans="7:7">
      <c r="G25077" s="812"/>
    </row>
    <row r="25078" spans="7:7">
      <c r="G25078" s="812"/>
    </row>
    <row r="25079" spans="7:7">
      <c r="G25079" s="812"/>
    </row>
    <row r="25080" spans="7:7">
      <c r="G25080" s="812"/>
    </row>
    <row r="25081" spans="7:7">
      <c r="G25081" s="812"/>
    </row>
    <row r="25082" spans="7:7">
      <c r="G25082" s="812"/>
    </row>
    <row r="25083" spans="7:7">
      <c r="G25083" s="812"/>
    </row>
    <row r="25084" spans="7:7">
      <c r="G25084" s="812"/>
    </row>
    <row r="25085" spans="7:7">
      <c r="G25085" s="812"/>
    </row>
    <row r="25086" spans="7:7">
      <c r="G25086" s="812"/>
    </row>
    <row r="25087" spans="7:7">
      <c r="G25087" s="812"/>
    </row>
    <row r="25088" spans="7:7">
      <c r="G25088" s="812"/>
    </row>
    <row r="25089" spans="7:7">
      <c r="G25089" s="812"/>
    </row>
    <row r="25090" spans="7:7">
      <c r="G25090" s="812"/>
    </row>
    <row r="25091" spans="7:7">
      <c r="G25091" s="812"/>
    </row>
    <row r="25092" spans="7:7">
      <c r="G25092" s="812"/>
    </row>
    <row r="25093" spans="7:7">
      <c r="G25093" s="812"/>
    </row>
    <row r="25094" spans="7:7">
      <c r="G25094" s="812"/>
    </row>
    <row r="25095" spans="7:7">
      <c r="G25095" s="812"/>
    </row>
    <row r="25096" spans="7:7">
      <c r="G25096" s="812"/>
    </row>
    <row r="25097" spans="7:7">
      <c r="G25097" s="812"/>
    </row>
    <row r="25098" spans="7:7">
      <c r="G25098" s="812"/>
    </row>
    <row r="25099" spans="7:7">
      <c r="G25099" s="812"/>
    </row>
    <row r="25100" spans="7:7">
      <c r="G25100" s="812"/>
    </row>
    <row r="25101" spans="7:7">
      <c r="G25101" s="812"/>
    </row>
    <row r="25102" spans="7:7">
      <c r="G25102" s="812"/>
    </row>
    <row r="25103" spans="7:7">
      <c r="G25103" s="812"/>
    </row>
    <row r="25104" spans="7:7">
      <c r="G25104" s="812"/>
    </row>
    <row r="25105" spans="7:7">
      <c r="G25105" s="812"/>
    </row>
    <row r="25106" spans="7:7">
      <c r="G25106" s="812"/>
    </row>
    <row r="25107" spans="7:7">
      <c r="G25107" s="812"/>
    </row>
    <row r="25108" spans="7:7">
      <c r="G25108" s="812"/>
    </row>
    <row r="25109" spans="7:7">
      <c r="G25109" s="812"/>
    </row>
    <row r="25110" spans="7:7">
      <c r="G25110" s="812"/>
    </row>
    <row r="25111" spans="7:7">
      <c r="G25111" s="812"/>
    </row>
    <row r="25112" spans="7:7">
      <c r="G25112" s="812"/>
    </row>
    <row r="25113" spans="7:7">
      <c r="G25113" s="812"/>
    </row>
    <row r="25114" spans="7:7">
      <c r="G25114" s="812"/>
    </row>
    <row r="25115" spans="7:7">
      <c r="G25115" s="812"/>
    </row>
    <row r="25116" spans="7:7">
      <c r="G25116" s="812"/>
    </row>
    <row r="25117" spans="7:7">
      <c r="G25117" s="812"/>
    </row>
    <row r="25118" spans="7:7">
      <c r="G25118" s="812"/>
    </row>
    <row r="25119" spans="7:7">
      <c r="G25119" s="812"/>
    </row>
    <row r="25120" spans="7:7">
      <c r="G25120" s="812"/>
    </row>
    <row r="25121" spans="7:7">
      <c r="G25121" s="812"/>
    </row>
    <row r="25122" spans="7:7">
      <c r="G25122" s="812"/>
    </row>
    <row r="25123" spans="7:7">
      <c r="G25123" s="812"/>
    </row>
    <row r="25124" spans="7:7">
      <c r="G25124" s="812"/>
    </row>
    <row r="25125" spans="7:7">
      <c r="G25125" s="812"/>
    </row>
    <row r="25126" spans="7:7">
      <c r="G25126" s="812"/>
    </row>
    <row r="25127" spans="7:7">
      <c r="G25127" s="812"/>
    </row>
    <row r="25128" spans="7:7">
      <c r="G25128" s="812"/>
    </row>
    <row r="25129" spans="7:7">
      <c r="G25129" s="812"/>
    </row>
    <row r="25130" spans="7:7">
      <c r="G25130" s="812"/>
    </row>
    <row r="25131" spans="7:7">
      <c r="G25131" s="812"/>
    </row>
    <row r="25132" spans="7:7">
      <c r="G25132" s="812"/>
    </row>
    <row r="25133" spans="7:7">
      <c r="G25133" s="812"/>
    </row>
    <row r="25134" spans="7:7">
      <c r="G25134" s="812"/>
    </row>
    <row r="25135" spans="7:7">
      <c r="G25135" s="812"/>
    </row>
    <row r="25136" spans="7:7">
      <c r="G25136" s="812"/>
    </row>
    <row r="25137" spans="7:7">
      <c r="G25137" s="812"/>
    </row>
    <row r="25138" spans="7:7">
      <c r="G25138" s="812"/>
    </row>
    <row r="25139" spans="7:7">
      <c r="G25139" s="812"/>
    </row>
    <row r="25140" spans="7:7">
      <c r="G25140" s="812"/>
    </row>
    <row r="25141" spans="7:7">
      <c r="G25141" s="812"/>
    </row>
    <row r="25142" spans="7:7">
      <c r="G25142" s="812"/>
    </row>
    <row r="25143" spans="7:7">
      <c r="G25143" s="812"/>
    </row>
    <row r="25144" spans="7:7">
      <c r="G25144" s="812"/>
    </row>
    <row r="25145" spans="7:7">
      <c r="G25145" s="812"/>
    </row>
    <row r="25146" spans="7:7">
      <c r="G25146" s="812"/>
    </row>
    <row r="25147" spans="7:7">
      <c r="G25147" s="812"/>
    </row>
    <row r="25148" spans="7:7">
      <c r="G25148" s="812"/>
    </row>
    <row r="25149" spans="7:7">
      <c r="G25149" s="812"/>
    </row>
    <row r="25150" spans="7:7">
      <c r="G25150" s="812"/>
    </row>
    <row r="25151" spans="7:7">
      <c r="G25151" s="812"/>
    </row>
    <row r="25152" spans="7:7">
      <c r="G25152" s="812"/>
    </row>
    <row r="25153" spans="7:7">
      <c r="G25153" s="812"/>
    </row>
    <row r="25154" spans="7:7">
      <c r="G25154" s="812"/>
    </row>
    <row r="25155" spans="7:7">
      <c r="G25155" s="812"/>
    </row>
    <row r="25156" spans="7:7">
      <c r="G25156" s="812"/>
    </row>
    <row r="25157" spans="7:7">
      <c r="G25157" s="812"/>
    </row>
    <row r="25158" spans="7:7">
      <c r="G25158" s="812"/>
    </row>
    <row r="25159" spans="7:7">
      <c r="G25159" s="812"/>
    </row>
    <row r="25160" spans="7:7">
      <c r="G25160" s="812"/>
    </row>
    <row r="25161" spans="7:7">
      <c r="G25161" s="812"/>
    </row>
    <row r="25162" spans="7:7">
      <c r="G25162" s="812"/>
    </row>
    <row r="25163" spans="7:7">
      <c r="G25163" s="812"/>
    </row>
    <row r="25164" spans="7:7">
      <c r="G25164" s="812"/>
    </row>
    <row r="25165" spans="7:7">
      <c r="G25165" s="812"/>
    </row>
    <row r="25166" spans="7:7">
      <c r="G25166" s="812"/>
    </row>
    <row r="25167" spans="7:7">
      <c r="G25167" s="812"/>
    </row>
    <row r="25168" spans="7:7">
      <c r="G25168" s="812"/>
    </row>
    <row r="25169" spans="7:7">
      <c r="G25169" s="812"/>
    </row>
    <row r="25170" spans="7:7">
      <c r="G25170" s="812"/>
    </row>
    <row r="25171" spans="7:7">
      <c r="G25171" s="812"/>
    </row>
    <row r="25172" spans="7:7">
      <c r="G25172" s="812"/>
    </row>
    <row r="25173" spans="7:7">
      <c r="G25173" s="812"/>
    </row>
    <row r="25174" spans="7:7">
      <c r="G25174" s="812"/>
    </row>
    <row r="25175" spans="7:7">
      <c r="G25175" s="812"/>
    </row>
    <row r="25176" spans="7:7">
      <c r="G25176" s="812"/>
    </row>
    <row r="25177" spans="7:7">
      <c r="G25177" s="812"/>
    </row>
    <row r="25178" spans="7:7">
      <c r="G25178" s="812"/>
    </row>
    <row r="25179" spans="7:7">
      <c r="G25179" s="812"/>
    </row>
    <row r="25180" spans="7:7">
      <c r="G25180" s="812"/>
    </row>
    <row r="25181" spans="7:7">
      <c r="G25181" s="812"/>
    </row>
    <row r="25182" spans="7:7">
      <c r="G25182" s="812"/>
    </row>
    <row r="25183" spans="7:7">
      <c r="G25183" s="812"/>
    </row>
    <row r="25184" spans="7:7">
      <c r="G25184" s="812"/>
    </row>
    <row r="25185" spans="7:7">
      <c r="G25185" s="812"/>
    </row>
    <row r="25186" spans="7:7">
      <c r="G25186" s="812"/>
    </row>
    <row r="25187" spans="7:7">
      <c r="G25187" s="812"/>
    </row>
    <row r="25188" spans="7:7">
      <c r="G25188" s="812"/>
    </row>
    <row r="25189" spans="7:7">
      <c r="G25189" s="812"/>
    </row>
    <row r="25190" spans="7:7">
      <c r="G25190" s="812"/>
    </row>
    <row r="25191" spans="7:7">
      <c r="G25191" s="812"/>
    </row>
    <row r="25192" spans="7:7">
      <c r="G25192" s="812"/>
    </row>
    <row r="25193" spans="7:7">
      <c r="G25193" s="812"/>
    </row>
    <row r="25194" spans="7:7">
      <c r="G25194" s="812"/>
    </row>
    <row r="25195" spans="7:7">
      <c r="G25195" s="812"/>
    </row>
    <row r="25196" spans="7:7">
      <c r="G25196" s="812"/>
    </row>
    <row r="25197" spans="7:7">
      <c r="G25197" s="812"/>
    </row>
    <row r="25198" spans="7:7">
      <c r="G25198" s="812"/>
    </row>
    <row r="25199" spans="7:7">
      <c r="G25199" s="812"/>
    </row>
    <row r="25200" spans="7:7">
      <c r="G25200" s="812"/>
    </row>
    <row r="25201" spans="7:7">
      <c r="G25201" s="812"/>
    </row>
    <row r="25202" spans="7:7">
      <c r="G25202" s="812"/>
    </row>
    <row r="25203" spans="7:7">
      <c r="G25203" s="812"/>
    </row>
    <row r="25204" spans="7:7">
      <c r="G25204" s="812"/>
    </row>
    <row r="25205" spans="7:7">
      <c r="G25205" s="812"/>
    </row>
    <row r="25206" spans="7:7">
      <c r="G25206" s="812"/>
    </row>
    <row r="25207" spans="7:7">
      <c r="G25207" s="812"/>
    </row>
    <row r="25208" spans="7:7">
      <c r="G25208" s="812"/>
    </row>
    <row r="25209" spans="7:7">
      <c r="G25209" s="812"/>
    </row>
    <row r="25210" spans="7:7">
      <c r="G25210" s="812"/>
    </row>
    <row r="25211" spans="7:7">
      <c r="G25211" s="812"/>
    </row>
    <row r="25212" spans="7:7">
      <c r="G25212" s="812"/>
    </row>
    <row r="25213" spans="7:7">
      <c r="G25213" s="812"/>
    </row>
    <row r="25214" spans="7:7">
      <c r="G25214" s="812"/>
    </row>
    <row r="25215" spans="7:7">
      <c r="G25215" s="812"/>
    </row>
    <row r="25216" spans="7:7">
      <c r="G25216" s="812"/>
    </row>
    <row r="25217" spans="7:7">
      <c r="G25217" s="812"/>
    </row>
    <row r="25218" spans="7:7">
      <c r="G25218" s="812"/>
    </row>
    <row r="25219" spans="7:7">
      <c r="G25219" s="812"/>
    </row>
    <row r="25220" spans="7:7">
      <c r="G25220" s="812"/>
    </row>
    <row r="25221" spans="7:7">
      <c r="G25221" s="812"/>
    </row>
    <row r="25222" spans="7:7">
      <c r="G25222" s="812"/>
    </row>
    <row r="25223" spans="7:7">
      <c r="G25223" s="812"/>
    </row>
    <row r="25224" spans="7:7">
      <c r="G25224" s="812"/>
    </row>
    <row r="25225" spans="7:7">
      <c r="G25225" s="812"/>
    </row>
    <row r="25226" spans="7:7">
      <c r="G25226" s="812"/>
    </row>
    <row r="25227" spans="7:7">
      <c r="G25227" s="812"/>
    </row>
    <row r="25228" spans="7:7">
      <c r="G25228" s="812"/>
    </row>
    <row r="25229" spans="7:7">
      <c r="G25229" s="812"/>
    </row>
    <row r="25230" spans="7:7">
      <c r="G25230" s="812"/>
    </row>
    <row r="25231" spans="7:7">
      <c r="G25231" s="812"/>
    </row>
    <row r="25232" spans="7:7">
      <c r="G25232" s="812"/>
    </row>
    <row r="25233" spans="7:7">
      <c r="G25233" s="812"/>
    </row>
    <row r="25234" spans="7:7">
      <c r="G25234" s="812"/>
    </row>
    <row r="25235" spans="7:7">
      <c r="G25235" s="812"/>
    </row>
    <row r="25236" spans="7:7">
      <c r="G25236" s="812"/>
    </row>
    <row r="25237" spans="7:7">
      <c r="G25237" s="812"/>
    </row>
    <row r="25238" spans="7:7">
      <c r="G25238" s="812"/>
    </row>
    <row r="25239" spans="7:7">
      <c r="G25239" s="812"/>
    </row>
    <row r="25240" spans="7:7">
      <c r="G25240" s="812"/>
    </row>
    <row r="25241" spans="7:7">
      <c r="G25241" s="812"/>
    </row>
    <row r="25242" spans="7:7">
      <c r="G25242" s="812"/>
    </row>
    <row r="25243" spans="7:7">
      <c r="G25243" s="812"/>
    </row>
    <row r="25244" spans="7:7">
      <c r="G25244" s="812"/>
    </row>
    <row r="25245" spans="7:7">
      <c r="G25245" s="812"/>
    </row>
    <row r="25246" spans="7:7">
      <c r="G25246" s="812"/>
    </row>
    <row r="25247" spans="7:7">
      <c r="G25247" s="812"/>
    </row>
    <row r="25248" spans="7:7">
      <c r="G25248" s="812"/>
    </row>
    <row r="25249" spans="7:7">
      <c r="G25249" s="812"/>
    </row>
    <row r="25250" spans="7:7">
      <c r="G25250" s="812"/>
    </row>
    <row r="25251" spans="7:7">
      <c r="G25251" s="812"/>
    </row>
    <row r="25252" spans="7:7">
      <c r="G25252" s="812"/>
    </row>
    <row r="25253" spans="7:7">
      <c r="G25253" s="812"/>
    </row>
    <row r="25254" spans="7:7">
      <c r="G25254" s="812"/>
    </row>
    <row r="25255" spans="7:7">
      <c r="G25255" s="812"/>
    </row>
    <row r="25256" spans="7:7">
      <c r="G25256" s="812"/>
    </row>
    <row r="25257" spans="7:7">
      <c r="G25257" s="812"/>
    </row>
    <row r="25258" spans="7:7">
      <c r="G25258" s="812"/>
    </row>
    <row r="25259" spans="7:7">
      <c r="G25259" s="812"/>
    </row>
    <row r="25260" spans="7:7">
      <c r="G25260" s="812"/>
    </row>
    <row r="25261" spans="7:7">
      <c r="G25261" s="812"/>
    </row>
    <row r="25262" spans="7:7">
      <c r="G25262" s="812"/>
    </row>
    <row r="25263" spans="7:7">
      <c r="G25263" s="812"/>
    </row>
    <row r="25264" spans="7:7">
      <c r="G25264" s="812"/>
    </row>
    <row r="25265" spans="7:7">
      <c r="G25265" s="812"/>
    </row>
    <row r="25266" spans="7:7">
      <c r="G25266" s="812"/>
    </row>
    <row r="25267" spans="7:7">
      <c r="G25267" s="812"/>
    </row>
    <row r="25268" spans="7:7">
      <c r="G25268" s="812"/>
    </row>
    <row r="25269" spans="7:7">
      <c r="G25269" s="812"/>
    </row>
    <row r="25270" spans="7:7">
      <c r="G25270" s="812"/>
    </row>
    <row r="25271" spans="7:7">
      <c r="G25271" s="812"/>
    </row>
    <row r="25272" spans="7:7">
      <c r="G25272" s="812"/>
    </row>
    <row r="25273" spans="7:7">
      <c r="G25273" s="812"/>
    </row>
    <row r="25274" spans="7:7">
      <c r="G25274" s="812"/>
    </row>
    <row r="25275" spans="7:7">
      <c r="G25275" s="812"/>
    </row>
    <row r="25276" spans="7:7">
      <c r="G25276" s="812"/>
    </row>
    <row r="25277" spans="7:7">
      <c r="G25277" s="812"/>
    </row>
    <row r="25278" spans="7:7">
      <c r="G25278" s="812"/>
    </row>
    <row r="25279" spans="7:7">
      <c r="G25279" s="812"/>
    </row>
    <row r="25280" spans="7:7">
      <c r="G25280" s="812"/>
    </row>
    <row r="25281" spans="7:7">
      <c r="G25281" s="812"/>
    </row>
    <row r="25282" spans="7:7">
      <c r="G25282" s="812"/>
    </row>
    <row r="25283" spans="7:7">
      <c r="G25283" s="812"/>
    </row>
    <row r="25284" spans="7:7">
      <c r="G25284" s="812"/>
    </row>
    <row r="25285" spans="7:7">
      <c r="G25285" s="812"/>
    </row>
    <row r="25286" spans="7:7">
      <c r="G25286" s="812"/>
    </row>
    <row r="25287" spans="7:7">
      <c r="G25287" s="812"/>
    </row>
    <row r="25288" spans="7:7">
      <c r="G25288" s="812"/>
    </row>
    <row r="25289" spans="7:7">
      <c r="G25289" s="812"/>
    </row>
    <row r="25290" spans="7:7">
      <c r="G25290" s="812"/>
    </row>
    <row r="25291" spans="7:7">
      <c r="G25291" s="812"/>
    </row>
    <row r="25292" spans="7:7">
      <c r="G25292" s="812"/>
    </row>
    <row r="25293" spans="7:7">
      <c r="G25293" s="812"/>
    </row>
    <row r="25294" spans="7:7">
      <c r="G25294" s="812"/>
    </row>
    <row r="25295" spans="7:7">
      <c r="G25295" s="812"/>
    </row>
    <row r="25296" spans="7:7">
      <c r="G25296" s="812"/>
    </row>
    <row r="25297" spans="7:7">
      <c r="G25297" s="812"/>
    </row>
    <row r="25298" spans="7:7">
      <c r="G25298" s="812"/>
    </row>
    <row r="25299" spans="7:7">
      <c r="G25299" s="812"/>
    </row>
    <row r="25300" spans="7:7">
      <c r="G25300" s="812"/>
    </row>
    <row r="25301" spans="7:7">
      <c r="G25301" s="812"/>
    </row>
    <row r="25302" spans="7:7">
      <c r="G25302" s="812"/>
    </row>
    <row r="25303" spans="7:7">
      <c r="G25303" s="812"/>
    </row>
    <row r="25304" spans="7:7">
      <c r="G25304" s="812"/>
    </row>
    <row r="25305" spans="7:7">
      <c r="G25305" s="812"/>
    </row>
    <row r="25306" spans="7:7">
      <c r="G25306" s="812"/>
    </row>
    <row r="25307" spans="7:7">
      <c r="G25307" s="812"/>
    </row>
    <row r="25308" spans="7:7">
      <c r="G25308" s="812"/>
    </row>
    <row r="25309" spans="7:7">
      <c r="G25309" s="812"/>
    </row>
    <row r="25310" spans="7:7">
      <c r="G25310" s="812"/>
    </row>
    <row r="25311" spans="7:7">
      <c r="G25311" s="812"/>
    </row>
    <row r="25312" spans="7:7">
      <c r="G25312" s="812"/>
    </row>
    <row r="25313" spans="7:7">
      <c r="G25313" s="812"/>
    </row>
    <row r="25314" spans="7:7">
      <c r="G25314" s="812"/>
    </row>
    <row r="25315" spans="7:7">
      <c r="G25315" s="812"/>
    </row>
    <row r="25316" spans="7:7">
      <c r="G25316" s="812"/>
    </row>
    <row r="25317" spans="7:7">
      <c r="G25317" s="812"/>
    </row>
    <row r="25318" spans="7:7">
      <c r="G25318" s="812"/>
    </row>
    <row r="25319" spans="7:7">
      <c r="G25319" s="812"/>
    </row>
    <row r="25320" spans="7:7">
      <c r="G25320" s="812"/>
    </row>
    <row r="25321" spans="7:7">
      <c r="G25321" s="812"/>
    </row>
    <row r="25322" spans="7:7">
      <c r="G25322" s="812"/>
    </row>
    <row r="25323" spans="7:7">
      <c r="G25323" s="812"/>
    </row>
    <row r="25324" spans="7:7">
      <c r="G25324" s="812"/>
    </row>
    <row r="25325" spans="7:7">
      <c r="G25325" s="812"/>
    </row>
    <row r="25326" spans="7:7">
      <c r="G25326" s="812"/>
    </row>
    <row r="25327" spans="7:7">
      <c r="G25327" s="812"/>
    </row>
    <row r="25328" spans="7:7">
      <c r="G25328" s="812"/>
    </row>
    <row r="25329" spans="7:7">
      <c r="G25329" s="812"/>
    </row>
    <row r="25330" spans="7:7">
      <c r="G25330" s="812"/>
    </row>
    <row r="25331" spans="7:7">
      <c r="G25331" s="812"/>
    </row>
    <row r="25332" spans="7:7">
      <c r="G25332" s="812"/>
    </row>
    <row r="25333" spans="7:7">
      <c r="G25333" s="812"/>
    </row>
    <row r="25334" spans="7:7">
      <c r="G25334" s="812"/>
    </row>
    <row r="25335" spans="7:7">
      <c r="G25335" s="812"/>
    </row>
    <row r="25336" spans="7:7">
      <c r="G25336" s="812"/>
    </row>
    <row r="25337" spans="7:7">
      <c r="G25337" s="812"/>
    </row>
    <row r="25338" spans="7:7">
      <c r="G25338" s="812"/>
    </row>
    <row r="25339" spans="7:7">
      <c r="G25339" s="812"/>
    </row>
    <row r="25340" spans="7:7">
      <c r="G25340" s="812"/>
    </row>
    <row r="25341" spans="7:7">
      <c r="G25341" s="812"/>
    </row>
    <row r="25342" spans="7:7">
      <c r="G25342" s="812"/>
    </row>
    <row r="25343" spans="7:7">
      <c r="G25343" s="812"/>
    </row>
    <row r="25344" spans="7:7">
      <c r="G25344" s="812"/>
    </row>
    <row r="25345" spans="7:7">
      <c r="G25345" s="812"/>
    </row>
    <row r="25346" spans="7:7">
      <c r="G25346" s="812"/>
    </row>
    <row r="25347" spans="7:7">
      <c r="G25347" s="812"/>
    </row>
    <row r="25348" spans="7:7">
      <c r="G25348" s="812"/>
    </row>
    <row r="25349" spans="7:7">
      <c r="G25349" s="812"/>
    </row>
    <row r="25350" spans="7:7">
      <c r="G25350" s="812"/>
    </row>
    <row r="25351" spans="7:7">
      <c r="G25351" s="812"/>
    </row>
    <row r="25352" spans="7:7">
      <c r="G25352" s="812"/>
    </row>
    <row r="25353" spans="7:7">
      <c r="G25353" s="812"/>
    </row>
    <row r="25354" spans="7:7">
      <c r="G25354" s="812"/>
    </row>
    <row r="25355" spans="7:7">
      <c r="G25355" s="812"/>
    </row>
    <row r="25356" spans="7:7">
      <c r="G25356" s="812"/>
    </row>
    <row r="25357" spans="7:7">
      <c r="G25357" s="812"/>
    </row>
    <row r="25358" spans="7:7">
      <c r="G25358" s="812"/>
    </row>
    <row r="25359" spans="7:7">
      <c r="G25359" s="812"/>
    </row>
    <row r="25360" spans="7:7">
      <c r="G25360" s="812"/>
    </row>
    <row r="25361" spans="7:7">
      <c r="G25361" s="812"/>
    </row>
    <row r="25362" spans="7:7">
      <c r="G25362" s="812"/>
    </row>
    <row r="25363" spans="7:7">
      <c r="G25363" s="812"/>
    </row>
    <row r="25364" spans="7:7">
      <c r="G25364" s="812"/>
    </row>
    <row r="25365" spans="7:7">
      <c r="G25365" s="812"/>
    </row>
    <row r="25366" spans="7:7">
      <c r="G25366" s="812"/>
    </row>
    <row r="25367" spans="7:7">
      <c r="G25367" s="812"/>
    </row>
    <row r="25368" spans="7:7">
      <c r="G25368" s="812"/>
    </row>
    <row r="25369" spans="7:7">
      <c r="G25369" s="812"/>
    </row>
    <row r="25370" spans="7:7">
      <c r="G25370" s="812"/>
    </row>
    <row r="25371" spans="7:7">
      <c r="G25371" s="812"/>
    </row>
    <row r="25372" spans="7:7">
      <c r="G25372" s="812"/>
    </row>
    <row r="25373" spans="7:7">
      <c r="G25373" s="812"/>
    </row>
    <row r="25374" spans="7:7">
      <c r="G25374" s="812"/>
    </row>
    <row r="25375" spans="7:7">
      <c r="G25375" s="812"/>
    </row>
    <row r="25376" spans="7:7">
      <c r="G25376" s="812"/>
    </row>
    <row r="25377" spans="7:7">
      <c r="G25377" s="812"/>
    </row>
    <row r="25378" spans="7:7">
      <c r="G25378" s="812"/>
    </row>
    <row r="25379" spans="7:7">
      <c r="G25379" s="812"/>
    </row>
    <row r="25380" spans="7:7">
      <c r="G25380" s="812"/>
    </row>
    <row r="25381" spans="7:7">
      <c r="G25381" s="812"/>
    </row>
    <row r="25382" spans="7:7">
      <c r="G25382" s="812"/>
    </row>
    <row r="25383" spans="7:7">
      <c r="G25383" s="812"/>
    </row>
    <row r="25384" spans="7:7">
      <c r="G25384" s="812"/>
    </row>
    <row r="25385" spans="7:7">
      <c r="G25385" s="812"/>
    </row>
    <row r="25386" spans="7:7">
      <c r="G25386" s="812"/>
    </row>
    <row r="25387" spans="7:7">
      <c r="G25387" s="812"/>
    </row>
    <row r="25388" spans="7:7">
      <c r="G25388" s="812"/>
    </row>
    <row r="25389" spans="7:7">
      <c r="G25389" s="812"/>
    </row>
    <row r="25390" spans="7:7">
      <c r="G25390" s="812"/>
    </row>
    <row r="25391" spans="7:7">
      <c r="G25391" s="812"/>
    </row>
    <row r="25392" spans="7:7">
      <c r="G25392" s="812"/>
    </row>
    <row r="25393" spans="7:7">
      <c r="G25393" s="812"/>
    </row>
    <row r="25394" spans="7:7">
      <c r="G25394" s="812"/>
    </row>
    <row r="25395" spans="7:7">
      <c r="G25395" s="812"/>
    </row>
    <row r="25396" spans="7:7">
      <c r="G25396" s="812"/>
    </row>
    <row r="25397" spans="7:7">
      <c r="G25397" s="812"/>
    </row>
    <row r="25398" spans="7:7">
      <c r="G25398" s="812"/>
    </row>
    <row r="25399" spans="7:7">
      <c r="G25399" s="812"/>
    </row>
    <row r="25400" spans="7:7">
      <c r="G25400" s="812"/>
    </row>
    <row r="25401" spans="7:7">
      <c r="G25401" s="812"/>
    </row>
    <row r="25402" spans="7:7">
      <c r="G25402" s="812"/>
    </row>
    <row r="25403" spans="7:7">
      <c r="G25403" s="812"/>
    </row>
    <row r="25404" spans="7:7">
      <c r="G25404" s="812"/>
    </row>
    <row r="25405" spans="7:7">
      <c r="G25405" s="812"/>
    </row>
    <row r="25406" spans="7:7">
      <c r="G25406" s="812"/>
    </row>
    <row r="25407" spans="7:7">
      <c r="G25407" s="812"/>
    </row>
    <row r="25408" spans="7:7">
      <c r="G25408" s="812"/>
    </row>
    <row r="25409" spans="7:7">
      <c r="G25409" s="812"/>
    </row>
    <row r="25410" spans="7:7">
      <c r="G25410" s="812"/>
    </row>
    <row r="25411" spans="7:7">
      <c r="G25411" s="812"/>
    </row>
    <row r="25412" spans="7:7">
      <c r="G25412" s="812"/>
    </row>
    <row r="25413" spans="7:7">
      <c r="G25413" s="812"/>
    </row>
    <row r="25414" spans="7:7">
      <c r="G25414" s="812"/>
    </row>
    <row r="25415" spans="7:7">
      <c r="G25415" s="812"/>
    </row>
    <row r="25416" spans="7:7">
      <c r="G25416" s="812"/>
    </row>
    <row r="25417" spans="7:7">
      <c r="G25417" s="812"/>
    </row>
    <row r="25418" spans="7:7">
      <c r="G25418" s="812"/>
    </row>
    <row r="25419" spans="7:7">
      <c r="G25419" s="812"/>
    </row>
    <row r="25420" spans="7:7">
      <c r="G25420" s="812"/>
    </row>
    <row r="25421" spans="7:7">
      <c r="G25421" s="812"/>
    </row>
    <row r="25422" spans="7:7">
      <c r="G25422" s="812"/>
    </row>
    <row r="25423" spans="7:7">
      <c r="G25423" s="812"/>
    </row>
    <row r="25424" spans="7:7">
      <c r="G25424" s="812"/>
    </row>
    <row r="25425" spans="7:7">
      <c r="G25425" s="812"/>
    </row>
    <row r="25426" spans="7:7">
      <c r="G25426" s="812"/>
    </row>
    <row r="25427" spans="7:7">
      <c r="G25427" s="812"/>
    </row>
    <row r="25428" spans="7:7">
      <c r="G25428" s="812"/>
    </row>
    <row r="25429" spans="7:7">
      <c r="G25429" s="812"/>
    </row>
    <row r="25430" spans="7:7">
      <c r="G25430" s="812"/>
    </row>
    <row r="25431" spans="7:7">
      <c r="G25431" s="812"/>
    </row>
    <row r="25432" spans="7:7">
      <c r="G25432" s="812"/>
    </row>
    <row r="25433" spans="7:7">
      <c r="G25433" s="812"/>
    </row>
    <row r="25434" spans="7:7">
      <c r="G25434" s="812"/>
    </row>
    <row r="25435" spans="7:7">
      <c r="G25435" s="812"/>
    </row>
    <row r="25436" spans="7:7">
      <c r="G25436" s="812"/>
    </row>
    <row r="25437" spans="7:7">
      <c r="G25437" s="812"/>
    </row>
    <row r="25438" spans="7:7">
      <c r="G25438" s="812"/>
    </row>
    <row r="25439" spans="7:7">
      <c r="G25439" s="812"/>
    </row>
    <row r="25440" spans="7:7">
      <c r="G25440" s="812"/>
    </row>
    <row r="25441" spans="7:7">
      <c r="G25441" s="812"/>
    </row>
    <row r="25442" spans="7:7">
      <c r="G25442" s="812"/>
    </row>
    <row r="25443" spans="7:7">
      <c r="G25443" s="812"/>
    </row>
    <row r="25444" spans="7:7">
      <c r="G25444" s="812"/>
    </row>
    <row r="25445" spans="7:7">
      <c r="G25445" s="812"/>
    </row>
    <row r="25446" spans="7:7">
      <c r="G25446" s="812"/>
    </row>
    <row r="25447" spans="7:7">
      <c r="G25447" s="812"/>
    </row>
    <row r="25448" spans="7:7">
      <c r="G25448" s="812"/>
    </row>
    <row r="25449" spans="7:7">
      <c r="G25449" s="812"/>
    </row>
    <row r="25450" spans="7:7">
      <c r="G25450" s="812"/>
    </row>
    <row r="25451" spans="7:7">
      <c r="G25451" s="812"/>
    </row>
    <row r="25452" spans="7:7">
      <c r="G25452" s="812"/>
    </row>
    <row r="25453" spans="7:7">
      <c r="G25453" s="812"/>
    </row>
    <row r="25454" spans="7:7">
      <c r="G25454" s="812"/>
    </row>
    <row r="25455" spans="7:7">
      <c r="G25455" s="812"/>
    </row>
    <row r="25456" spans="7:7">
      <c r="G25456" s="812"/>
    </row>
    <row r="25457" spans="7:7">
      <c r="G25457" s="812"/>
    </row>
    <row r="25458" spans="7:7">
      <c r="G25458" s="812"/>
    </row>
    <row r="25459" spans="7:7">
      <c r="G25459" s="812"/>
    </row>
    <row r="25460" spans="7:7">
      <c r="G25460" s="812"/>
    </row>
    <row r="25461" spans="7:7">
      <c r="G25461" s="812"/>
    </row>
    <row r="25462" spans="7:7">
      <c r="G25462" s="812"/>
    </row>
    <row r="25463" spans="7:7">
      <c r="G25463" s="812"/>
    </row>
    <row r="25464" spans="7:7">
      <c r="G25464" s="812"/>
    </row>
    <row r="25465" spans="7:7">
      <c r="G25465" s="812"/>
    </row>
    <row r="25466" spans="7:7">
      <c r="G25466" s="812"/>
    </row>
    <row r="25467" spans="7:7">
      <c r="G25467" s="812"/>
    </row>
    <row r="25468" spans="7:7">
      <c r="G25468" s="812"/>
    </row>
    <row r="25469" spans="7:7">
      <c r="G25469" s="812"/>
    </row>
    <row r="25470" spans="7:7">
      <c r="G25470" s="812"/>
    </row>
    <row r="25471" spans="7:7">
      <c r="G25471" s="812"/>
    </row>
    <row r="25472" spans="7:7">
      <c r="G25472" s="812"/>
    </row>
    <row r="25473" spans="7:7">
      <c r="G25473" s="812"/>
    </row>
    <row r="25474" spans="7:7">
      <c r="G25474" s="812"/>
    </row>
    <row r="25475" spans="7:7">
      <c r="G25475" s="812"/>
    </row>
    <row r="25476" spans="7:7">
      <c r="G25476" s="812"/>
    </row>
    <row r="25477" spans="7:7">
      <c r="G25477" s="812"/>
    </row>
    <row r="25478" spans="7:7">
      <c r="G25478" s="812"/>
    </row>
    <row r="25479" spans="7:7">
      <c r="G25479" s="812"/>
    </row>
    <row r="25480" spans="7:7">
      <c r="G25480" s="812"/>
    </row>
    <row r="25481" spans="7:7">
      <c r="G25481" s="812"/>
    </row>
    <row r="25482" spans="7:7">
      <c r="G25482" s="812"/>
    </row>
    <row r="25483" spans="7:7">
      <c r="G25483" s="812"/>
    </row>
    <row r="25484" spans="7:7">
      <c r="G25484" s="812"/>
    </row>
    <row r="25485" spans="7:7">
      <c r="G25485" s="812"/>
    </row>
    <row r="25486" spans="7:7">
      <c r="G25486" s="812"/>
    </row>
    <row r="25487" spans="7:7">
      <c r="G25487" s="812"/>
    </row>
    <row r="25488" spans="7:7">
      <c r="G25488" s="812"/>
    </row>
    <row r="25489" spans="7:7">
      <c r="G25489" s="812"/>
    </row>
    <row r="25490" spans="7:7">
      <c r="G25490" s="812"/>
    </row>
    <row r="25491" spans="7:7">
      <c r="G25491" s="812"/>
    </row>
    <row r="25492" spans="7:7">
      <c r="G25492" s="812"/>
    </row>
    <row r="25493" spans="7:7">
      <c r="G25493" s="812"/>
    </row>
    <row r="25494" spans="7:7">
      <c r="G25494" s="812"/>
    </row>
    <row r="25495" spans="7:7">
      <c r="G25495" s="812"/>
    </row>
    <row r="25496" spans="7:7">
      <c r="G25496" s="812"/>
    </row>
    <row r="25497" spans="7:7">
      <c r="G25497" s="812"/>
    </row>
    <row r="25498" spans="7:7">
      <c r="G25498" s="812"/>
    </row>
    <row r="25499" spans="7:7">
      <c r="G25499" s="812"/>
    </row>
    <row r="25500" spans="7:7">
      <c r="G25500" s="812"/>
    </row>
    <row r="25501" spans="7:7">
      <c r="G25501" s="812"/>
    </row>
    <row r="25502" spans="7:7">
      <c r="G25502" s="812"/>
    </row>
    <row r="25503" spans="7:7">
      <c r="G25503" s="812"/>
    </row>
    <row r="25504" spans="7:7">
      <c r="G25504" s="812"/>
    </row>
    <row r="25505" spans="7:7">
      <c r="G25505" s="812"/>
    </row>
    <row r="25506" spans="7:7">
      <c r="G25506" s="812"/>
    </row>
    <row r="25507" spans="7:7">
      <c r="G25507" s="812"/>
    </row>
    <row r="25508" spans="7:7">
      <c r="G25508" s="812"/>
    </row>
    <row r="25509" spans="7:7">
      <c r="G25509" s="812"/>
    </row>
    <row r="25510" spans="7:7">
      <c r="G25510" s="812"/>
    </row>
    <row r="25511" spans="7:7">
      <c r="G25511" s="812"/>
    </row>
    <row r="25512" spans="7:7">
      <c r="G25512" s="812"/>
    </row>
    <row r="25513" spans="7:7">
      <c r="G25513" s="812"/>
    </row>
    <row r="25514" spans="7:7">
      <c r="G25514" s="812"/>
    </row>
    <row r="25515" spans="7:7">
      <c r="G25515" s="812"/>
    </row>
    <row r="25516" spans="7:7">
      <c r="G25516" s="812"/>
    </row>
    <row r="25517" spans="7:7">
      <c r="G25517" s="812"/>
    </row>
    <row r="25518" spans="7:7">
      <c r="G25518" s="812"/>
    </row>
    <row r="25519" spans="7:7">
      <c r="G25519" s="812"/>
    </row>
    <row r="25520" spans="7:7">
      <c r="G25520" s="812"/>
    </row>
    <row r="25521" spans="7:7">
      <c r="G25521" s="812"/>
    </row>
    <row r="25522" spans="7:7">
      <c r="G25522" s="812"/>
    </row>
    <row r="25523" spans="7:7">
      <c r="G25523" s="812"/>
    </row>
    <row r="25524" spans="7:7">
      <c r="G25524" s="812"/>
    </row>
    <row r="25525" spans="7:7">
      <c r="G25525" s="812"/>
    </row>
    <row r="25526" spans="7:7">
      <c r="G25526" s="812"/>
    </row>
    <row r="25527" spans="7:7">
      <c r="G25527" s="812"/>
    </row>
    <row r="25528" spans="7:7">
      <c r="G25528" s="812"/>
    </row>
    <row r="25529" spans="7:7">
      <c r="G25529" s="812"/>
    </row>
    <row r="25530" spans="7:7">
      <c r="G25530" s="812"/>
    </row>
    <row r="25531" spans="7:7">
      <c r="G25531" s="812"/>
    </row>
    <row r="25532" spans="7:7">
      <c r="G25532" s="812"/>
    </row>
    <row r="25533" spans="7:7">
      <c r="G25533" s="812"/>
    </row>
    <row r="25534" spans="7:7">
      <c r="G25534" s="812"/>
    </row>
    <row r="25535" spans="7:7">
      <c r="G25535" s="812"/>
    </row>
    <row r="25536" spans="7:7">
      <c r="G25536" s="812"/>
    </row>
    <row r="25537" spans="7:7">
      <c r="G25537" s="812"/>
    </row>
    <row r="25538" spans="7:7">
      <c r="G25538" s="812"/>
    </row>
    <row r="25539" spans="7:7">
      <c r="G25539" s="812"/>
    </row>
    <row r="25540" spans="7:7">
      <c r="G25540" s="812"/>
    </row>
    <row r="25541" spans="7:7">
      <c r="G25541" s="812"/>
    </row>
    <row r="25542" spans="7:7">
      <c r="G25542" s="812"/>
    </row>
    <row r="25543" spans="7:7">
      <c r="G25543" s="812"/>
    </row>
    <row r="25544" spans="7:7">
      <c r="G25544" s="812"/>
    </row>
    <row r="25545" spans="7:7">
      <c r="G25545" s="812"/>
    </row>
    <row r="25546" spans="7:7">
      <c r="G25546" s="812"/>
    </row>
    <row r="25547" spans="7:7">
      <c r="G25547" s="812"/>
    </row>
    <row r="25548" spans="7:7">
      <c r="G25548" s="812"/>
    </row>
    <row r="25549" spans="7:7">
      <c r="G25549" s="812"/>
    </row>
    <row r="25550" spans="7:7">
      <c r="G25550" s="812"/>
    </row>
    <row r="25551" spans="7:7">
      <c r="G25551" s="812"/>
    </row>
    <row r="25552" spans="7:7">
      <c r="G25552" s="812"/>
    </row>
    <row r="25553" spans="7:7">
      <c r="G25553" s="812"/>
    </row>
    <row r="25554" spans="7:7">
      <c r="G25554" s="812"/>
    </row>
    <row r="25555" spans="7:7">
      <c r="G25555" s="812"/>
    </row>
    <row r="25556" spans="7:7">
      <c r="G25556" s="812"/>
    </row>
    <row r="25557" spans="7:7">
      <c r="G25557" s="812"/>
    </row>
    <row r="25558" spans="7:7">
      <c r="G25558" s="812"/>
    </row>
    <row r="25559" spans="7:7">
      <c r="G25559" s="812"/>
    </row>
    <row r="25560" spans="7:7">
      <c r="G25560" s="812"/>
    </row>
    <row r="25561" spans="7:7">
      <c r="G25561" s="812"/>
    </row>
    <row r="25562" spans="7:7">
      <c r="G25562" s="812"/>
    </row>
    <row r="25563" spans="7:7">
      <c r="G25563" s="812"/>
    </row>
    <row r="25564" spans="7:7">
      <c r="G25564" s="812"/>
    </row>
    <row r="25565" spans="7:7">
      <c r="G25565" s="812"/>
    </row>
    <row r="25566" spans="7:7">
      <c r="G25566" s="812"/>
    </row>
    <row r="25567" spans="7:7">
      <c r="G25567" s="812"/>
    </row>
    <row r="25568" spans="7:7">
      <c r="G25568" s="812"/>
    </row>
    <row r="25569" spans="7:7">
      <c r="G25569" s="812"/>
    </row>
    <row r="25570" spans="7:7">
      <c r="G25570" s="812"/>
    </row>
    <row r="25571" spans="7:7">
      <c r="G25571" s="812"/>
    </row>
    <row r="25572" spans="7:7">
      <c r="G25572" s="812"/>
    </row>
    <row r="25573" spans="7:7">
      <c r="G25573" s="812"/>
    </row>
    <row r="25574" spans="7:7">
      <c r="G25574" s="812"/>
    </row>
    <row r="25575" spans="7:7">
      <c r="G25575" s="812"/>
    </row>
    <row r="25576" spans="7:7">
      <c r="G25576" s="812"/>
    </row>
    <row r="25577" spans="7:7">
      <c r="G25577" s="812"/>
    </row>
    <row r="25578" spans="7:7">
      <c r="G25578" s="812"/>
    </row>
    <row r="25579" spans="7:7">
      <c r="G25579" s="812"/>
    </row>
    <row r="25580" spans="7:7">
      <c r="G25580" s="812"/>
    </row>
    <row r="25581" spans="7:7">
      <c r="G25581" s="812"/>
    </row>
    <row r="25582" spans="7:7">
      <c r="G25582" s="812"/>
    </row>
    <row r="25583" spans="7:7">
      <c r="G25583" s="812"/>
    </row>
    <row r="25584" spans="7:7">
      <c r="G25584" s="812"/>
    </row>
    <row r="25585" spans="7:7">
      <c r="G25585" s="812"/>
    </row>
    <row r="25586" spans="7:7">
      <c r="G25586" s="812"/>
    </row>
    <row r="25587" spans="7:7">
      <c r="G25587" s="812"/>
    </row>
    <row r="25588" spans="7:7">
      <c r="G25588" s="812"/>
    </row>
    <row r="25589" spans="7:7">
      <c r="G25589" s="812"/>
    </row>
    <row r="25590" spans="7:7">
      <c r="G25590" s="812"/>
    </row>
    <row r="25591" spans="7:7">
      <c r="G25591" s="812"/>
    </row>
    <row r="25592" spans="7:7">
      <c r="G25592" s="812"/>
    </row>
    <row r="25593" spans="7:7">
      <c r="G25593" s="812"/>
    </row>
    <row r="25594" spans="7:7">
      <c r="G25594" s="812"/>
    </row>
    <row r="25595" spans="7:7">
      <c r="G25595" s="812"/>
    </row>
    <row r="25596" spans="7:7">
      <c r="G25596" s="812"/>
    </row>
    <row r="25597" spans="7:7">
      <c r="G25597" s="812"/>
    </row>
    <row r="25598" spans="7:7">
      <c r="G25598" s="812"/>
    </row>
    <row r="25599" spans="7:7">
      <c r="G25599" s="812"/>
    </row>
    <row r="25600" spans="7:7">
      <c r="G25600" s="812"/>
    </row>
    <row r="25601" spans="7:7">
      <c r="G25601" s="812"/>
    </row>
    <row r="25602" spans="7:7">
      <c r="G25602" s="812"/>
    </row>
    <row r="25603" spans="7:7">
      <c r="G25603" s="812"/>
    </row>
    <row r="25604" spans="7:7">
      <c r="G25604" s="812"/>
    </row>
    <row r="25605" spans="7:7">
      <c r="G25605" s="812"/>
    </row>
    <row r="25606" spans="7:7">
      <c r="G25606" s="812"/>
    </row>
    <row r="25607" spans="7:7">
      <c r="G25607" s="812"/>
    </row>
    <row r="25608" spans="7:7">
      <c r="G25608" s="812"/>
    </row>
    <row r="25609" spans="7:7">
      <c r="G25609" s="812"/>
    </row>
    <row r="25610" spans="7:7">
      <c r="G25610" s="812"/>
    </row>
    <row r="25611" spans="7:7">
      <c r="G25611" s="812"/>
    </row>
    <row r="25612" spans="7:7">
      <c r="G25612" s="812"/>
    </row>
    <row r="25613" spans="7:7">
      <c r="G25613" s="812"/>
    </row>
    <row r="25614" spans="7:7">
      <c r="G25614" s="812"/>
    </row>
    <row r="25615" spans="7:7">
      <c r="G25615" s="812"/>
    </row>
    <row r="25616" spans="7:7">
      <c r="G25616" s="812"/>
    </row>
    <row r="25617" spans="7:7">
      <c r="G25617" s="812"/>
    </row>
    <row r="25618" spans="7:7">
      <c r="G25618" s="812"/>
    </row>
    <row r="25619" spans="7:7">
      <c r="G25619" s="812"/>
    </row>
    <row r="25620" spans="7:7">
      <c r="G25620" s="812"/>
    </row>
    <row r="25621" spans="7:7">
      <c r="G25621" s="812"/>
    </row>
    <row r="25622" spans="7:7">
      <c r="G25622" s="812"/>
    </row>
    <row r="25623" spans="7:7">
      <c r="G25623" s="812"/>
    </row>
    <row r="25624" spans="7:7">
      <c r="G25624" s="812"/>
    </row>
    <row r="25625" spans="7:7">
      <c r="G25625" s="812"/>
    </row>
    <row r="25626" spans="7:7">
      <c r="G25626" s="812"/>
    </row>
    <row r="25627" spans="7:7">
      <c r="G25627" s="812"/>
    </row>
    <row r="25628" spans="7:7">
      <c r="G25628" s="812"/>
    </row>
    <row r="25629" spans="7:7">
      <c r="G25629" s="812"/>
    </row>
    <row r="25630" spans="7:7">
      <c r="G25630" s="812"/>
    </row>
    <row r="25631" spans="7:7">
      <c r="G25631" s="812"/>
    </row>
    <row r="25632" spans="7:7">
      <c r="G25632" s="812"/>
    </row>
    <row r="25633" spans="7:7">
      <c r="G25633" s="812"/>
    </row>
    <row r="25634" spans="7:7">
      <c r="G25634" s="812"/>
    </row>
    <row r="25635" spans="7:7">
      <c r="G25635" s="812"/>
    </row>
    <row r="25636" spans="7:7">
      <c r="G25636" s="812"/>
    </row>
    <row r="25637" spans="7:7">
      <c r="G25637" s="812"/>
    </row>
    <row r="25638" spans="7:7">
      <c r="G25638" s="812"/>
    </row>
    <row r="25639" spans="7:7">
      <c r="G25639" s="812"/>
    </row>
    <row r="25640" spans="7:7">
      <c r="G25640" s="812"/>
    </row>
    <row r="25641" spans="7:7">
      <c r="G25641" s="812"/>
    </row>
    <row r="25642" spans="7:7">
      <c r="G25642" s="812"/>
    </row>
    <row r="25643" spans="7:7">
      <c r="G25643" s="812"/>
    </row>
    <row r="25644" spans="7:7">
      <c r="G25644" s="812"/>
    </row>
    <row r="25645" spans="7:7">
      <c r="G25645" s="812"/>
    </row>
    <row r="25646" spans="7:7">
      <c r="G25646" s="812"/>
    </row>
    <row r="25647" spans="7:7">
      <c r="G25647" s="812"/>
    </row>
    <row r="25648" spans="7:7">
      <c r="G25648" s="812"/>
    </row>
    <row r="25649" spans="7:7">
      <c r="G25649" s="812"/>
    </row>
    <row r="25650" spans="7:7">
      <c r="G25650" s="812"/>
    </row>
    <row r="25651" spans="7:7">
      <c r="G25651" s="812"/>
    </row>
    <row r="25652" spans="7:7">
      <c r="G25652" s="812"/>
    </row>
    <row r="25653" spans="7:7">
      <c r="G25653" s="812"/>
    </row>
    <row r="25654" spans="7:7">
      <c r="G25654" s="812"/>
    </row>
    <row r="25655" spans="7:7">
      <c r="G25655" s="812"/>
    </row>
    <row r="25656" spans="7:7">
      <c r="G25656" s="812"/>
    </row>
    <row r="25657" spans="7:7">
      <c r="G25657" s="812"/>
    </row>
    <row r="25658" spans="7:7">
      <c r="G25658" s="812"/>
    </row>
    <row r="25659" spans="7:7">
      <c r="G25659" s="812"/>
    </row>
    <row r="25660" spans="7:7">
      <c r="G25660" s="812"/>
    </row>
    <row r="25661" spans="7:7">
      <c r="G25661" s="812"/>
    </row>
    <row r="25662" spans="7:7">
      <c r="G25662" s="812"/>
    </row>
    <row r="25663" spans="7:7">
      <c r="G25663" s="812"/>
    </row>
    <row r="25664" spans="7:7">
      <c r="G25664" s="812"/>
    </row>
    <row r="25665" spans="7:7">
      <c r="G25665" s="812"/>
    </row>
    <row r="25666" spans="7:7">
      <c r="G25666" s="812"/>
    </row>
    <row r="25667" spans="7:7">
      <c r="G25667" s="812"/>
    </row>
    <row r="25668" spans="7:7">
      <c r="G25668" s="812"/>
    </row>
    <row r="25669" spans="7:7">
      <c r="G25669" s="812"/>
    </row>
    <row r="25670" spans="7:7">
      <c r="G25670" s="812"/>
    </row>
    <row r="25671" spans="7:7">
      <c r="G25671" s="812"/>
    </row>
    <row r="25672" spans="7:7">
      <c r="G25672" s="812"/>
    </row>
    <row r="25673" spans="7:7">
      <c r="G25673" s="812"/>
    </row>
    <row r="25674" spans="7:7">
      <c r="G25674" s="812"/>
    </row>
    <row r="25675" spans="7:7">
      <c r="G25675" s="812"/>
    </row>
    <row r="25676" spans="7:7">
      <c r="G25676" s="812"/>
    </row>
    <row r="25677" spans="7:7">
      <c r="G25677" s="812"/>
    </row>
    <row r="25678" spans="7:7">
      <c r="G25678" s="812"/>
    </row>
    <row r="25679" spans="7:7">
      <c r="G25679" s="812"/>
    </row>
    <row r="25680" spans="7:7">
      <c r="G25680" s="812"/>
    </row>
    <row r="25681" spans="7:7">
      <c r="G25681" s="812"/>
    </row>
    <row r="25682" spans="7:7">
      <c r="G25682" s="812"/>
    </row>
    <row r="25683" spans="7:7">
      <c r="G25683" s="812"/>
    </row>
    <row r="25684" spans="7:7">
      <c r="G25684" s="812"/>
    </row>
    <row r="25685" spans="7:7">
      <c r="G25685" s="812"/>
    </row>
    <row r="25686" spans="7:7">
      <c r="G25686" s="812"/>
    </row>
    <row r="25687" spans="7:7">
      <c r="G25687" s="812"/>
    </row>
    <row r="25688" spans="7:7">
      <c r="G25688" s="812"/>
    </row>
    <row r="25689" spans="7:7">
      <c r="G25689" s="812"/>
    </row>
    <row r="25690" spans="7:7">
      <c r="G25690" s="812"/>
    </row>
    <row r="25691" spans="7:7">
      <c r="G25691" s="812"/>
    </row>
    <row r="25692" spans="7:7">
      <c r="G25692" s="812"/>
    </row>
    <row r="25693" spans="7:7">
      <c r="G25693" s="812"/>
    </row>
    <row r="25694" spans="7:7">
      <c r="G25694" s="812"/>
    </row>
    <row r="25695" spans="7:7">
      <c r="G25695" s="812"/>
    </row>
    <row r="25696" spans="7:7">
      <c r="G25696" s="812"/>
    </row>
    <row r="25697" spans="7:7">
      <c r="G25697" s="812"/>
    </row>
    <row r="25698" spans="7:7">
      <c r="G25698" s="812"/>
    </row>
    <row r="25699" spans="7:7">
      <c r="G25699" s="812"/>
    </row>
    <row r="25700" spans="7:7">
      <c r="G25700" s="812"/>
    </row>
    <row r="25701" spans="7:7">
      <c r="G25701" s="812"/>
    </row>
    <row r="25702" spans="7:7">
      <c r="G25702" s="812"/>
    </row>
    <row r="25703" spans="7:7">
      <c r="G25703" s="812"/>
    </row>
    <row r="25704" spans="7:7">
      <c r="G25704" s="812"/>
    </row>
    <row r="25705" spans="7:7">
      <c r="G25705" s="812"/>
    </row>
    <row r="25706" spans="7:7">
      <c r="G25706" s="812"/>
    </row>
    <row r="25707" spans="7:7">
      <c r="G25707" s="812"/>
    </row>
    <row r="25708" spans="7:7">
      <c r="G25708" s="812"/>
    </row>
    <row r="25709" spans="7:7">
      <c r="G25709" s="812"/>
    </row>
    <row r="25710" spans="7:7">
      <c r="G25710" s="812"/>
    </row>
    <row r="25711" spans="7:7">
      <c r="G25711" s="812"/>
    </row>
    <row r="25712" spans="7:7">
      <c r="G25712" s="812"/>
    </row>
    <row r="25713" spans="7:7">
      <c r="G25713" s="812"/>
    </row>
    <row r="25714" spans="7:7">
      <c r="G25714" s="812"/>
    </row>
    <row r="25715" spans="7:7">
      <c r="G25715" s="812"/>
    </row>
    <row r="25716" spans="7:7">
      <c r="G25716" s="812"/>
    </row>
    <row r="25717" spans="7:7">
      <c r="G25717" s="812"/>
    </row>
    <row r="25718" spans="7:7">
      <c r="G25718" s="812"/>
    </row>
    <row r="25719" spans="7:7">
      <c r="G25719" s="812"/>
    </row>
    <row r="25720" spans="7:7">
      <c r="G25720" s="812"/>
    </row>
    <row r="25721" spans="7:7">
      <c r="G25721" s="812"/>
    </row>
    <row r="25722" spans="7:7">
      <c r="G25722" s="812"/>
    </row>
    <row r="25723" spans="7:7">
      <c r="G25723" s="812"/>
    </row>
    <row r="25724" spans="7:7">
      <c r="G25724" s="812"/>
    </row>
    <row r="25725" spans="7:7">
      <c r="G25725" s="812"/>
    </row>
    <row r="25726" spans="7:7">
      <c r="G25726" s="812"/>
    </row>
    <row r="25727" spans="7:7">
      <c r="G25727" s="812"/>
    </row>
    <row r="25728" spans="7:7">
      <c r="G25728" s="812"/>
    </row>
    <row r="25729" spans="7:7">
      <c r="G25729" s="812"/>
    </row>
    <row r="25730" spans="7:7">
      <c r="G25730" s="812"/>
    </row>
    <row r="25731" spans="7:7">
      <c r="G25731" s="812"/>
    </row>
    <row r="25732" spans="7:7">
      <c r="G25732" s="812"/>
    </row>
    <row r="25733" spans="7:7">
      <c r="G25733" s="812"/>
    </row>
    <row r="25734" spans="7:7">
      <c r="G25734" s="812"/>
    </row>
    <row r="25735" spans="7:7">
      <c r="G25735" s="812"/>
    </row>
    <row r="25736" spans="7:7">
      <c r="G25736" s="812"/>
    </row>
    <row r="25737" spans="7:7">
      <c r="G25737" s="812"/>
    </row>
    <row r="25738" spans="7:7">
      <c r="G25738" s="812"/>
    </row>
    <row r="25739" spans="7:7">
      <c r="G25739" s="812"/>
    </row>
    <row r="25740" spans="7:7">
      <c r="G25740" s="812"/>
    </row>
    <row r="25741" spans="7:7">
      <c r="G25741" s="812"/>
    </row>
    <row r="25742" spans="7:7">
      <c r="G25742" s="812"/>
    </row>
    <row r="25743" spans="7:7">
      <c r="G25743" s="812"/>
    </row>
    <row r="25744" spans="7:7">
      <c r="G25744" s="812"/>
    </row>
    <row r="25745" spans="7:7">
      <c r="G25745" s="812"/>
    </row>
    <row r="25746" spans="7:7">
      <c r="G25746" s="812"/>
    </row>
    <row r="25747" spans="7:7">
      <c r="G25747" s="812"/>
    </row>
    <row r="25748" spans="7:7">
      <c r="G25748" s="812"/>
    </row>
    <row r="25749" spans="7:7">
      <c r="G25749" s="812"/>
    </row>
    <row r="25750" spans="7:7">
      <c r="G25750" s="812"/>
    </row>
    <row r="25751" spans="7:7">
      <c r="G25751" s="812"/>
    </row>
    <row r="25752" spans="7:7">
      <c r="G25752" s="812"/>
    </row>
    <row r="25753" spans="7:7">
      <c r="G25753" s="812"/>
    </row>
    <row r="25754" spans="7:7">
      <c r="G25754" s="812"/>
    </row>
    <row r="25755" spans="7:7">
      <c r="G25755" s="812"/>
    </row>
    <row r="25756" spans="7:7">
      <c r="G25756" s="812"/>
    </row>
    <row r="25757" spans="7:7">
      <c r="G25757" s="812"/>
    </row>
    <row r="25758" spans="7:7">
      <c r="G25758" s="812"/>
    </row>
    <row r="25759" spans="7:7">
      <c r="G25759" s="812"/>
    </row>
    <row r="25760" spans="7:7">
      <c r="G25760" s="812"/>
    </row>
    <row r="25761" spans="7:7">
      <c r="G25761" s="812"/>
    </row>
    <row r="25762" spans="7:7">
      <c r="G25762" s="812"/>
    </row>
    <row r="25763" spans="7:7">
      <c r="G25763" s="812"/>
    </row>
    <row r="25764" spans="7:7">
      <c r="G25764" s="812"/>
    </row>
    <row r="25765" spans="7:7">
      <c r="G25765" s="812"/>
    </row>
    <row r="25766" spans="7:7">
      <c r="G25766" s="812"/>
    </row>
    <row r="25767" spans="7:7">
      <c r="G25767" s="812"/>
    </row>
    <row r="25768" spans="7:7">
      <c r="G25768" s="812"/>
    </row>
    <row r="25769" spans="7:7">
      <c r="G25769" s="812"/>
    </row>
    <row r="25770" spans="7:7">
      <c r="G25770" s="812"/>
    </row>
    <row r="25771" spans="7:7">
      <c r="G25771" s="812"/>
    </row>
    <row r="25772" spans="7:7">
      <c r="G25772" s="812"/>
    </row>
    <row r="25773" spans="7:7">
      <c r="G25773" s="812"/>
    </row>
    <row r="25774" spans="7:7">
      <c r="G25774" s="812"/>
    </row>
    <row r="25775" spans="7:7">
      <c r="G25775" s="812"/>
    </row>
    <row r="25776" spans="7:7">
      <c r="G25776" s="812"/>
    </row>
    <row r="25777" spans="7:7">
      <c r="G25777" s="812"/>
    </row>
    <row r="25778" spans="7:7">
      <c r="G25778" s="812"/>
    </row>
    <row r="25779" spans="7:7">
      <c r="G25779" s="812"/>
    </row>
    <row r="25780" spans="7:7">
      <c r="G25780" s="812"/>
    </row>
    <row r="25781" spans="7:7">
      <c r="G25781" s="812"/>
    </row>
    <row r="25782" spans="7:7">
      <c r="G25782" s="812"/>
    </row>
    <row r="25783" spans="7:7">
      <c r="G25783" s="812"/>
    </row>
    <row r="25784" spans="7:7">
      <c r="G25784" s="812"/>
    </row>
    <row r="25785" spans="7:7">
      <c r="G25785" s="812"/>
    </row>
    <row r="25786" spans="7:7">
      <c r="G25786" s="812"/>
    </row>
    <row r="25787" spans="7:7">
      <c r="G25787" s="812"/>
    </row>
    <row r="25788" spans="7:7">
      <c r="G25788" s="812"/>
    </row>
    <row r="25789" spans="7:7">
      <c r="G25789" s="812"/>
    </row>
    <row r="25790" spans="7:7">
      <c r="G25790" s="812"/>
    </row>
    <row r="25791" spans="7:7">
      <c r="G25791" s="812"/>
    </row>
    <row r="25792" spans="7:7">
      <c r="G25792" s="812"/>
    </row>
    <row r="25793" spans="7:7">
      <c r="G25793" s="812"/>
    </row>
    <row r="25794" spans="7:7">
      <c r="G25794" s="812"/>
    </row>
    <row r="25795" spans="7:7">
      <c r="G25795" s="812"/>
    </row>
    <row r="25796" spans="7:7">
      <c r="G25796" s="812"/>
    </row>
    <row r="25797" spans="7:7">
      <c r="G25797" s="812"/>
    </row>
    <row r="25798" spans="7:7">
      <c r="G25798" s="812"/>
    </row>
    <row r="25799" spans="7:7">
      <c r="G25799" s="812"/>
    </row>
    <row r="25800" spans="7:7">
      <c r="G25800" s="812"/>
    </row>
    <row r="25801" spans="7:7">
      <c r="G25801" s="812"/>
    </row>
    <row r="25802" spans="7:7">
      <c r="G25802" s="812"/>
    </row>
    <row r="25803" spans="7:7">
      <c r="G25803" s="812"/>
    </row>
    <row r="25804" spans="7:7">
      <c r="G25804" s="812"/>
    </row>
    <row r="25805" spans="7:7">
      <c r="G25805" s="812"/>
    </row>
    <row r="25806" spans="7:7">
      <c r="G25806" s="812"/>
    </row>
    <row r="25807" spans="7:7">
      <c r="G25807" s="812"/>
    </row>
    <row r="25808" spans="7:7">
      <c r="G25808" s="812"/>
    </row>
    <row r="25809" spans="7:7">
      <c r="G25809" s="812"/>
    </row>
    <row r="25810" spans="7:7">
      <c r="G25810" s="812"/>
    </row>
    <row r="25811" spans="7:7">
      <c r="G25811" s="812"/>
    </row>
    <row r="25812" spans="7:7">
      <c r="G25812" s="812"/>
    </row>
    <row r="25813" spans="7:7">
      <c r="G25813" s="812"/>
    </row>
    <row r="25814" spans="7:7">
      <c r="G25814" s="812"/>
    </row>
    <row r="25815" spans="7:7">
      <c r="G25815" s="812"/>
    </row>
    <row r="25816" spans="7:7">
      <c r="G25816" s="812"/>
    </row>
    <row r="25817" spans="7:7">
      <c r="G25817" s="812"/>
    </row>
    <row r="25818" spans="7:7">
      <c r="G25818" s="812"/>
    </row>
    <row r="25819" spans="7:7">
      <c r="G25819" s="812"/>
    </row>
    <row r="25820" spans="7:7">
      <c r="G25820" s="812"/>
    </row>
    <row r="25821" spans="7:7">
      <c r="G25821" s="812"/>
    </row>
    <row r="25822" spans="7:7">
      <c r="G25822" s="812"/>
    </row>
    <row r="25823" spans="7:7">
      <c r="G25823" s="812"/>
    </row>
    <row r="25824" spans="7:7">
      <c r="G25824" s="812"/>
    </row>
    <row r="25825" spans="7:7">
      <c r="G25825" s="812"/>
    </row>
    <row r="25826" spans="7:7">
      <c r="G25826" s="812"/>
    </row>
    <row r="25827" spans="7:7">
      <c r="G25827" s="812"/>
    </row>
    <row r="25828" spans="7:7">
      <c r="G25828" s="812"/>
    </row>
    <row r="25829" spans="7:7">
      <c r="G25829" s="812"/>
    </row>
    <row r="25830" spans="7:7">
      <c r="G25830" s="812"/>
    </row>
    <row r="25831" spans="7:7">
      <c r="G25831" s="812"/>
    </row>
    <row r="25832" spans="7:7">
      <c r="G25832" s="812"/>
    </row>
    <row r="25833" spans="7:7">
      <c r="G25833" s="812"/>
    </row>
    <row r="25834" spans="7:7">
      <c r="G25834" s="812"/>
    </row>
    <row r="25835" spans="7:7">
      <c r="G25835" s="812"/>
    </row>
    <row r="25836" spans="7:7">
      <c r="G25836" s="812"/>
    </row>
    <row r="25837" spans="7:7">
      <c r="G25837" s="812"/>
    </row>
    <row r="25838" spans="7:7">
      <c r="G25838" s="812"/>
    </row>
    <row r="25839" spans="7:7">
      <c r="G25839" s="812"/>
    </row>
    <row r="25840" spans="7:7">
      <c r="G25840" s="812"/>
    </row>
    <row r="25841" spans="7:7">
      <c r="G25841" s="812"/>
    </row>
    <row r="25842" spans="7:7">
      <c r="G25842" s="812"/>
    </row>
    <row r="25843" spans="7:7">
      <c r="G25843" s="812"/>
    </row>
    <row r="25844" spans="7:7">
      <c r="G25844" s="812"/>
    </row>
    <row r="25845" spans="7:7">
      <c r="G25845" s="812"/>
    </row>
    <row r="25846" spans="7:7">
      <c r="G25846" s="812"/>
    </row>
    <row r="25847" spans="7:7">
      <c r="G25847" s="812"/>
    </row>
    <row r="25848" spans="7:7">
      <c r="G25848" s="812"/>
    </row>
    <row r="25849" spans="7:7">
      <c r="G25849" s="812"/>
    </row>
    <row r="25850" spans="7:7">
      <c r="G25850" s="812"/>
    </row>
    <row r="25851" spans="7:7">
      <c r="G25851" s="812"/>
    </row>
    <row r="25852" spans="7:7">
      <c r="G25852" s="812"/>
    </row>
    <row r="25853" spans="7:7">
      <c r="G25853" s="812"/>
    </row>
    <row r="25854" spans="7:7">
      <c r="G25854" s="812"/>
    </row>
    <row r="25855" spans="7:7">
      <c r="G25855" s="812"/>
    </row>
    <row r="25856" spans="7:7">
      <c r="G25856" s="812"/>
    </row>
    <row r="25857" spans="7:7">
      <c r="G25857" s="812"/>
    </row>
    <row r="25858" spans="7:7">
      <c r="G25858" s="812"/>
    </row>
    <row r="25859" spans="7:7">
      <c r="G25859" s="812"/>
    </row>
    <row r="25860" spans="7:7">
      <c r="G25860" s="812"/>
    </row>
    <row r="25861" spans="7:7">
      <c r="G25861" s="812"/>
    </row>
    <row r="25862" spans="7:7">
      <c r="G25862" s="812"/>
    </row>
    <row r="25863" spans="7:7">
      <c r="G25863" s="812"/>
    </row>
    <row r="25864" spans="7:7">
      <c r="G25864" s="812"/>
    </row>
    <row r="25865" spans="7:7">
      <c r="G25865" s="812"/>
    </row>
    <row r="25866" spans="7:7">
      <c r="G25866" s="812"/>
    </row>
    <row r="25867" spans="7:7">
      <c r="G25867" s="812"/>
    </row>
    <row r="25868" spans="7:7">
      <c r="G25868" s="812"/>
    </row>
    <row r="25869" spans="7:7">
      <c r="G25869" s="812"/>
    </row>
    <row r="25870" spans="7:7">
      <c r="G25870" s="812"/>
    </row>
    <row r="25871" spans="7:7">
      <c r="G25871" s="812"/>
    </row>
    <row r="25872" spans="7:7">
      <c r="G25872" s="812"/>
    </row>
    <row r="25873" spans="7:7">
      <c r="G25873" s="812"/>
    </row>
    <row r="25874" spans="7:7">
      <c r="G25874" s="812"/>
    </row>
    <row r="25875" spans="7:7">
      <c r="G25875" s="812"/>
    </row>
    <row r="25876" spans="7:7">
      <c r="G25876" s="812"/>
    </row>
    <row r="25877" spans="7:7">
      <c r="G25877" s="812"/>
    </row>
    <row r="25878" spans="7:7">
      <c r="G25878" s="812"/>
    </row>
    <row r="25879" spans="7:7">
      <c r="G25879" s="812"/>
    </row>
    <row r="25880" spans="7:7">
      <c r="G25880" s="812"/>
    </row>
    <row r="25881" spans="7:7">
      <c r="G25881" s="812"/>
    </row>
    <row r="25882" spans="7:7">
      <c r="G25882" s="812"/>
    </row>
    <row r="25883" spans="7:7">
      <c r="G25883" s="812"/>
    </row>
    <row r="25884" spans="7:7">
      <c r="G25884" s="812"/>
    </row>
    <row r="25885" spans="7:7">
      <c r="G25885" s="812"/>
    </row>
    <row r="25886" spans="7:7">
      <c r="G25886" s="812"/>
    </row>
    <row r="25887" spans="7:7">
      <c r="G25887" s="812"/>
    </row>
    <row r="25888" spans="7:7">
      <c r="G25888" s="812"/>
    </row>
    <row r="25889" spans="7:7">
      <c r="G25889" s="812"/>
    </row>
    <row r="25890" spans="7:7">
      <c r="G25890" s="812"/>
    </row>
    <row r="25891" spans="7:7">
      <c r="G25891" s="812"/>
    </row>
    <row r="25892" spans="7:7">
      <c r="G25892" s="812"/>
    </row>
    <row r="25893" spans="7:7">
      <c r="G25893" s="812"/>
    </row>
    <row r="25894" spans="7:7">
      <c r="G25894" s="812"/>
    </row>
    <row r="25895" spans="7:7">
      <c r="G25895" s="812"/>
    </row>
    <row r="25896" spans="7:7">
      <c r="G25896" s="812"/>
    </row>
    <row r="25897" spans="7:7">
      <c r="G25897" s="812"/>
    </row>
    <row r="25898" spans="7:7">
      <c r="G25898" s="812"/>
    </row>
    <row r="25899" spans="7:7">
      <c r="G25899" s="812"/>
    </row>
    <row r="25900" spans="7:7">
      <c r="G25900" s="812"/>
    </row>
    <row r="25901" spans="7:7">
      <c r="G25901" s="812"/>
    </row>
    <row r="25902" spans="7:7">
      <c r="G25902" s="812"/>
    </row>
    <row r="25903" spans="7:7">
      <c r="G25903" s="812"/>
    </row>
    <row r="25904" spans="7:7">
      <c r="G25904" s="812"/>
    </row>
    <row r="25905" spans="7:7">
      <c r="G25905" s="812"/>
    </row>
    <row r="25906" spans="7:7">
      <c r="G25906" s="812"/>
    </row>
    <row r="25907" spans="7:7">
      <c r="G25907" s="812"/>
    </row>
    <row r="25908" spans="7:7">
      <c r="G25908" s="812"/>
    </row>
    <row r="25909" spans="7:7">
      <c r="G25909" s="812"/>
    </row>
    <row r="25910" spans="7:7">
      <c r="G25910" s="812"/>
    </row>
    <row r="25911" spans="7:7">
      <c r="G25911" s="812"/>
    </row>
    <row r="25912" spans="7:7">
      <c r="G25912" s="812"/>
    </row>
    <row r="25913" spans="7:7">
      <c r="G25913" s="812"/>
    </row>
    <row r="25914" spans="7:7">
      <c r="G25914" s="812"/>
    </row>
    <row r="25915" spans="7:7">
      <c r="G25915" s="812"/>
    </row>
    <row r="25916" spans="7:7">
      <c r="G25916" s="812"/>
    </row>
    <row r="25917" spans="7:7">
      <c r="G25917" s="812"/>
    </row>
    <row r="25918" spans="7:7">
      <c r="G25918" s="812"/>
    </row>
    <row r="25919" spans="7:7">
      <c r="G25919" s="812"/>
    </row>
    <row r="25920" spans="7:7">
      <c r="G25920" s="812"/>
    </row>
    <row r="25921" spans="7:7">
      <c r="G25921" s="812"/>
    </row>
    <row r="25922" spans="7:7">
      <c r="G25922" s="812"/>
    </row>
    <row r="25923" spans="7:7">
      <c r="G25923" s="812"/>
    </row>
    <row r="25924" spans="7:7">
      <c r="G25924" s="812"/>
    </row>
    <row r="25925" spans="7:7">
      <c r="G25925" s="812"/>
    </row>
    <row r="25926" spans="7:7">
      <c r="G25926" s="812"/>
    </row>
    <row r="25927" spans="7:7">
      <c r="G25927" s="812"/>
    </row>
    <row r="25928" spans="7:7">
      <c r="G25928" s="812"/>
    </row>
    <row r="25929" spans="7:7">
      <c r="G25929" s="812"/>
    </row>
    <row r="25930" spans="7:7">
      <c r="G25930" s="812"/>
    </row>
    <row r="25931" spans="7:7">
      <c r="G25931" s="812"/>
    </row>
    <row r="25932" spans="7:7">
      <c r="G25932" s="812"/>
    </row>
    <row r="25933" spans="7:7">
      <c r="G25933" s="812"/>
    </row>
    <row r="25934" spans="7:7">
      <c r="G25934" s="812"/>
    </row>
    <row r="25935" spans="7:7">
      <c r="G25935" s="812"/>
    </row>
    <row r="25936" spans="7:7">
      <c r="G25936" s="812"/>
    </row>
    <row r="25937" spans="7:7">
      <c r="G25937" s="812"/>
    </row>
    <row r="25938" spans="7:7">
      <c r="G25938" s="812"/>
    </row>
    <row r="25939" spans="7:7">
      <c r="G25939" s="812"/>
    </row>
    <row r="25940" spans="7:7">
      <c r="G25940" s="812"/>
    </row>
    <row r="25941" spans="7:7">
      <c r="G25941" s="812"/>
    </row>
    <row r="25942" spans="7:7">
      <c r="G25942" s="812"/>
    </row>
    <row r="25943" spans="7:7">
      <c r="G25943" s="812"/>
    </row>
    <row r="25944" spans="7:7">
      <c r="G25944" s="812"/>
    </row>
    <row r="25945" spans="7:7">
      <c r="G25945" s="812"/>
    </row>
    <row r="25946" spans="7:7">
      <c r="G25946" s="812"/>
    </row>
    <row r="25947" spans="7:7">
      <c r="G25947" s="812"/>
    </row>
    <row r="25948" spans="7:7">
      <c r="G25948" s="812"/>
    </row>
    <row r="25949" spans="7:7">
      <c r="G25949" s="812"/>
    </row>
    <row r="25950" spans="7:7">
      <c r="G25950" s="812"/>
    </row>
    <row r="25951" spans="7:7">
      <c r="G25951" s="812"/>
    </row>
    <row r="25952" spans="7:7">
      <c r="G25952" s="812"/>
    </row>
    <row r="25953" spans="7:7">
      <c r="G25953" s="812"/>
    </row>
    <row r="25954" spans="7:7">
      <c r="G25954" s="812"/>
    </row>
    <row r="25955" spans="7:7">
      <c r="G25955" s="812"/>
    </row>
    <row r="25956" spans="7:7">
      <c r="G25956" s="812"/>
    </row>
    <row r="25957" spans="7:7">
      <c r="G25957" s="812"/>
    </row>
    <row r="25958" spans="7:7">
      <c r="G25958" s="812"/>
    </row>
    <row r="25959" spans="7:7">
      <c r="G25959" s="812"/>
    </row>
    <row r="25960" spans="7:7">
      <c r="G25960" s="812"/>
    </row>
    <row r="25961" spans="7:7">
      <c r="G25961" s="812"/>
    </row>
    <row r="25962" spans="7:7">
      <c r="G25962" s="812"/>
    </row>
    <row r="25963" spans="7:7">
      <c r="G25963" s="812"/>
    </row>
    <row r="25964" spans="7:7">
      <c r="G25964" s="812"/>
    </row>
    <row r="25965" spans="7:7">
      <c r="G25965" s="812"/>
    </row>
    <row r="25966" spans="7:7">
      <c r="G25966" s="812"/>
    </row>
    <row r="25967" spans="7:7">
      <c r="G25967" s="812"/>
    </row>
    <row r="25968" spans="7:7">
      <c r="G25968" s="812"/>
    </row>
    <row r="25969" spans="7:7">
      <c r="G25969" s="812"/>
    </row>
    <row r="25970" spans="7:7">
      <c r="G25970" s="812"/>
    </row>
    <row r="25971" spans="7:7">
      <c r="G25971" s="812"/>
    </row>
    <row r="25972" spans="7:7">
      <c r="G25972" s="812"/>
    </row>
    <row r="25973" spans="7:7">
      <c r="G25973" s="812"/>
    </row>
    <row r="25974" spans="7:7">
      <c r="G25974" s="812"/>
    </row>
    <row r="25975" spans="7:7">
      <c r="G25975" s="812"/>
    </row>
    <row r="25976" spans="7:7">
      <c r="G25976" s="812"/>
    </row>
    <row r="25977" spans="7:7">
      <c r="G25977" s="812"/>
    </row>
    <row r="25978" spans="7:7">
      <c r="G25978" s="812"/>
    </row>
    <row r="25979" spans="7:7">
      <c r="G25979" s="812"/>
    </row>
    <row r="25980" spans="7:7">
      <c r="G25980" s="812"/>
    </row>
    <row r="25981" spans="7:7">
      <c r="G25981" s="812"/>
    </row>
    <row r="25982" spans="7:7">
      <c r="G25982" s="812"/>
    </row>
    <row r="25983" spans="7:7">
      <c r="G25983" s="812"/>
    </row>
    <row r="25984" spans="7:7">
      <c r="G25984" s="812"/>
    </row>
    <row r="25985" spans="7:7">
      <c r="G25985" s="812"/>
    </row>
    <row r="25986" spans="7:7">
      <c r="G25986" s="812"/>
    </row>
    <row r="25987" spans="7:7">
      <c r="G25987" s="812"/>
    </row>
    <row r="25988" spans="7:7">
      <c r="G25988" s="812"/>
    </row>
    <row r="25989" spans="7:7">
      <c r="G25989" s="812"/>
    </row>
    <row r="25990" spans="7:7">
      <c r="G25990" s="812"/>
    </row>
    <row r="25991" spans="7:7">
      <c r="G25991" s="812"/>
    </row>
    <row r="25992" spans="7:7">
      <c r="G25992" s="812"/>
    </row>
    <row r="25993" spans="7:7">
      <c r="G25993" s="812"/>
    </row>
    <row r="25994" spans="7:7">
      <c r="G25994" s="812"/>
    </row>
    <row r="25995" spans="7:7">
      <c r="G25995" s="812"/>
    </row>
    <row r="25996" spans="7:7">
      <c r="G25996" s="812"/>
    </row>
    <row r="25997" spans="7:7">
      <c r="G25997" s="812"/>
    </row>
    <row r="25998" spans="7:7">
      <c r="G25998" s="812"/>
    </row>
    <row r="25999" spans="7:7">
      <c r="G25999" s="812"/>
    </row>
    <row r="26000" spans="7:7">
      <c r="G26000" s="812"/>
    </row>
    <row r="26001" spans="7:7">
      <c r="G26001" s="812"/>
    </row>
    <row r="26002" spans="7:7">
      <c r="G26002" s="812"/>
    </row>
    <row r="26003" spans="7:7">
      <c r="G26003" s="812"/>
    </row>
    <row r="26004" spans="7:7">
      <c r="G26004" s="812"/>
    </row>
    <row r="26005" spans="7:7">
      <c r="G26005" s="812"/>
    </row>
    <row r="26006" spans="7:7">
      <c r="G26006" s="812"/>
    </row>
    <row r="26007" spans="7:7">
      <c r="G26007" s="812"/>
    </row>
    <row r="26008" spans="7:7">
      <c r="G26008" s="812"/>
    </row>
    <row r="26009" spans="7:7">
      <c r="G26009" s="812"/>
    </row>
    <row r="26010" spans="7:7">
      <c r="G26010" s="812"/>
    </row>
    <row r="26011" spans="7:7">
      <c r="G26011" s="812"/>
    </row>
    <row r="26012" spans="7:7">
      <c r="G26012" s="812"/>
    </row>
    <row r="26013" spans="7:7">
      <c r="G26013" s="812"/>
    </row>
    <row r="26014" spans="7:7">
      <c r="G26014" s="812"/>
    </row>
    <row r="26015" spans="7:7">
      <c r="G26015" s="812"/>
    </row>
    <row r="26016" spans="7:7">
      <c r="G26016" s="812"/>
    </row>
    <row r="26017" spans="7:7">
      <c r="G26017" s="812"/>
    </row>
    <row r="26018" spans="7:7">
      <c r="G26018" s="812"/>
    </row>
    <row r="26019" spans="7:7">
      <c r="G26019" s="812"/>
    </row>
    <row r="26020" spans="7:7">
      <c r="G26020" s="812"/>
    </row>
    <row r="26021" spans="7:7">
      <c r="G26021" s="812"/>
    </row>
    <row r="26022" spans="7:7">
      <c r="G26022" s="812"/>
    </row>
    <row r="26023" spans="7:7">
      <c r="G26023" s="812"/>
    </row>
    <row r="26024" spans="7:7">
      <c r="G26024" s="812"/>
    </row>
    <row r="26025" spans="7:7">
      <c r="G26025" s="812"/>
    </row>
    <row r="26026" spans="7:7">
      <c r="G26026" s="812"/>
    </row>
    <row r="26027" spans="7:7">
      <c r="G26027" s="812"/>
    </row>
    <row r="26028" spans="7:7">
      <c r="G26028" s="812"/>
    </row>
    <row r="26029" spans="7:7">
      <c r="G26029" s="812"/>
    </row>
    <row r="26030" spans="7:7">
      <c r="G26030" s="812"/>
    </row>
    <row r="26031" spans="7:7">
      <c r="G26031" s="812"/>
    </row>
    <row r="26032" spans="7:7">
      <c r="G26032" s="812"/>
    </row>
    <row r="26033" spans="7:7">
      <c r="G26033" s="812"/>
    </row>
    <row r="26034" spans="7:7">
      <c r="G26034" s="812"/>
    </row>
    <row r="26035" spans="7:7">
      <c r="G26035" s="812"/>
    </row>
    <row r="26036" spans="7:7">
      <c r="G26036" s="812"/>
    </row>
    <row r="26037" spans="7:7">
      <c r="G26037" s="812"/>
    </row>
    <row r="26038" spans="7:7">
      <c r="G26038" s="812"/>
    </row>
    <row r="26039" spans="7:7">
      <c r="G26039" s="812"/>
    </row>
    <row r="26040" spans="7:7">
      <c r="G26040" s="812"/>
    </row>
    <row r="26041" spans="7:7">
      <c r="G26041" s="812"/>
    </row>
    <row r="26042" spans="7:7">
      <c r="G26042" s="812"/>
    </row>
    <row r="26043" spans="7:7">
      <c r="G26043" s="812"/>
    </row>
    <row r="26044" spans="7:7">
      <c r="G26044" s="812"/>
    </row>
    <row r="26045" spans="7:7">
      <c r="G26045" s="812"/>
    </row>
    <row r="26046" spans="7:7">
      <c r="G26046" s="812"/>
    </row>
    <row r="26047" spans="7:7">
      <c r="G26047" s="812"/>
    </row>
    <row r="26048" spans="7:7">
      <c r="G26048" s="812"/>
    </row>
    <row r="26049" spans="7:7">
      <c r="G26049" s="812"/>
    </row>
    <row r="26050" spans="7:7">
      <c r="G26050" s="812"/>
    </row>
    <row r="26051" spans="7:7">
      <c r="G26051" s="812"/>
    </row>
    <row r="26052" spans="7:7">
      <c r="G26052" s="812"/>
    </row>
    <row r="26053" spans="7:7">
      <c r="G26053" s="812"/>
    </row>
    <row r="26054" spans="7:7">
      <c r="G26054" s="812"/>
    </row>
    <row r="26055" spans="7:7">
      <c r="G26055" s="812"/>
    </row>
    <row r="26056" spans="7:7">
      <c r="G26056" s="812"/>
    </row>
    <row r="26057" spans="7:7">
      <c r="G26057" s="812"/>
    </row>
    <row r="26058" spans="7:7">
      <c r="G26058" s="812"/>
    </row>
    <row r="26059" spans="7:7">
      <c r="G26059" s="812"/>
    </row>
    <row r="26060" spans="7:7">
      <c r="G26060" s="812"/>
    </row>
    <row r="26061" spans="7:7">
      <c r="G26061" s="812"/>
    </row>
    <row r="26062" spans="7:7">
      <c r="G26062" s="812"/>
    </row>
    <row r="26063" spans="7:7">
      <c r="G26063" s="812"/>
    </row>
    <row r="26064" spans="7:7">
      <c r="G26064" s="812"/>
    </row>
    <row r="26065" spans="7:7">
      <c r="G26065" s="812"/>
    </row>
    <row r="26066" spans="7:7">
      <c r="G26066" s="812"/>
    </row>
    <row r="26067" spans="7:7">
      <c r="G26067" s="812"/>
    </row>
    <row r="26068" spans="7:7">
      <c r="G26068" s="812"/>
    </row>
    <row r="26069" spans="7:7">
      <c r="G26069" s="812"/>
    </row>
    <row r="26070" spans="7:7">
      <c r="G26070" s="812"/>
    </row>
    <row r="26071" spans="7:7">
      <c r="G26071" s="812"/>
    </row>
    <row r="26072" spans="7:7">
      <c r="G26072" s="812"/>
    </row>
    <row r="26073" spans="7:7">
      <c r="G26073" s="812"/>
    </row>
    <row r="26074" spans="7:7">
      <c r="G26074" s="812"/>
    </row>
    <row r="26075" spans="7:7">
      <c r="G26075" s="812"/>
    </row>
    <row r="26076" spans="7:7">
      <c r="G26076" s="812"/>
    </row>
    <row r="26077" spans="7:7">
      <c r="G26077" s="812"/>
    </row>
    <row r="26078" spans="7:7">
      <c r="G26078" s="812"/>
    </row>
    <row r="26079" spans="7:7">
      <c r="G26079" s="812"/>
    </row>
    <row r="26080" spans="7:7">
      <c r="G26080" s="812"/>
    </row>
    <row r="26081" spans="7:7">
      <c r="G26081" s="812"/>
    </row>
    <row r="26082" spans="7:7">
      <c r="G26082" s="812"/>
    </row>
    <row r="26083" spans="7:7">
      <c r="G26083" s="812"/>
    </row>
    <row r="26084" spans="7:7">
      <c r="G26084" s="812"/>
    </row>
    <row r="26085" spans="7:7">
      <c r="G26085" s="812"/>
    </row>
    <row r="26086" spans="7:7">
      <c r="G26086" s="812"/>
    </row>
    <row r="26087" spans="7:7">
      <c r="G26087" s="812"/>
    </row>
    <row r="26088" spans="7:7">
      <c r="G26088" s="812"/>
    </row>
    <row r="26089" spans="7:7">
      <c r="G26089" s="812"/>
    </row>
    <row r="26090" spans="7:7">
      <c r="G26090" s="812"/>
    </row>
    <row r="26091" spans="7:7">
      <c r="G26091" s="812"/>
    </row>
    <row r="26092" spans="7:7">
      <c r="G26092" s="812"/>
    </row>
    <row r="26093" spans="7:7">
      <c r="G26093" s="812"/>
    </row>
    <row r="26094" spans="7:7">
      <c r="G26094" s="812"/>
    </row>
    <row r="26095" spans="7:7">
      <c r="G26095" s="812"/>
    </row>
    <row r="26096" spans="7:7">
      <c r="G26096" s="812"/>
    </row>
    <row r="26097" spans="7:7">
      <c r="G26097" s="812"/>
    </row>
    <row r="26098" spans="7:7">
      <c r="G26098" s="812"/>
    </row>
    <row r="26099" spans="7:7">
      <c r="G26099" s="812"/>
    </row>
    <row r="26100" spans="7:7">
      <c r="G26100" s="812"/>
    </row>
    <row r="26101" spans="7:7">
      <c r="G26101" s="812"/>
    </row>
    <row r="26102" spans="7:7">
      <c r="G26102" s="812"/>
    </row>
    <row r="26103" spans="7:7">
      <c r="G26103" s="812"/>
    </row>
    <row r="26104" spans="7:7">
      <c r="G26104" s="812"/>
    </row>
    <row r="26105" spans="7:7">
      <c r="G26105" s="812"/>
    </row>
    <row r="26106" spans="7:7">
      <c r="G26106" s="812"/>
    </row>
    <row r="26107" spans="7:7">
      <c r="G26107" s="812"/>
    </row>
    <row r="26108" spans="7:7">
      <c r="G26108" s="812"/>
    </row>
    <row r="26109" spans="7:7">
      <c r="G26109" s="812"/>
    </row>
    <row r="26110" spans="7:7">
      <c r="G26110" s="812"/>
    </row>
    <row r="26111" spans="7:7">
      <c r="G26111" s="812"/>
    </row>
    <row r="26112" spans="7:7">
      <c r="G26112" s="812"/>
    </row>
    <row r="26113" spans="7:7">
      <c r="G26113" s="812"/>
    </row>
    <row r="26114" spans="7:7">
      <c r="G26114" s="812"/>
    </row>
    <row r="26115" spans="7:7">
      <c r="G26115" s="812"/>
    </row>
    <row r="26116" spans="7:7">
      <c r="G26116" s="812"/>
    </row>
    <row r="26117" spans="7:7">
      <c r="G26117" s="812"/>
    </row>
    <row r="26118" spans="7:7">
      <c r="G26118" s="812"/>
    </row>
    <row r="26119" spans="7:7">
      <c r="G26119" s="812"/>
    </row>
    <row r="26120" spans="7:7">
      <c r="G26120" s="812"/>
    </row>
    <row r="26121" spans="7:7">
      <c r="G26121" s="812"/>
    </row>
    <row r="26122" spans="7:7">
      <c r="G26122" s="812"/>
    </row>
    <row r="26123" spans="7:7">
      <c r="G26123" s="812"/>
    </row>
    <row r="26124" spans="7:7">
      <c r="G26124" s="812"/>
    </row>
    <row r="26125" spans="7:7">
      <c r="G26125" s="812"/>
    </row>
    <row r="26126" spans="7:7">
      <c r="G26126" s="812"/>
    </row>
    <row r="26127" spans="7:7">
      <c r="G26127" s="812"/>
    </row>
    <row r="26128" spans="7:7">
      <c r="G26128" s="812"/>
    </row>
    <row r="26129" spans="7:7">
      <c r="G26129" s="812"/>
    </row>
    <row r="26130" spans="7:7">
      <c r="G26130" s="812"/>
    </row>
    <row r="26131" spans="7:7">
      <c r="G26131" s="812"/>
    </row>
    <row r="26132" spans="7:7">
      <c r="G26132" s="812"/>
    </row>
    <row r="26133" spans="7:7">
      <c r="G26133" s="812"/>
    </row>
    <row r="26134" spans="7:7">
      <c r="G26134" s="812"/>
    </row>
    <row r="26135" spans="7:7">
      <c r="G26135" s="812"/>
    </row>
    <row r="26136" spans="7:7">
      <c r="G26136" s="812"/>
    </row>
    <row r="26137" spans="7:7">
      <c r="G26137" s="812"/>
    </row>
    <row r="26138" spans="7:7">
      <c r="G26138" s="812"/>
    </row>
    <row r="26139" spans="7:7">
      <c r="G26139" s="812"/>
    </row>
    <row r="26140" spans="7:7">
      <c r="G26140" s="812"/>
    </row>
    <row r="26141" spans="7:7">
      <c r="G26141" s="812"/>
    </row>
    <row r="26142" spans="7:7">
      <c r="G26142" s="812"/>
    </row>
    <row r="26143" spans="7:7">
      <c r="G26143" s="812"/>
    </row>
    <row r="26144" spans="7:7">
      <c r="G26144" s="812"/>
    </row>
    <row r="26145" spans="7:7">
      <c r="G26145" s="812"/>
    </row>
    <row r="26146" spans="7:7">
      <c r="G26146" s="812"/>
    </row>
    <row r="26147" spans="7:7">
      <c r="G26147" s="812"/>
    </row>
    <row r="26148" spans="7:7">
      <c r="G26148" s="812"/>
    </row>
    <row r="26149" spans="7:7">
      <c r="G26149" s="812"/>
    </row>
    <row r="26150" spans="7:7">
      <c r="G26150" s="812"/>
    </row>
    <row r="26151" spans="7:7">
      <c r="G26151" s="812"/>
    </row>
    <row r="26152" spans="7:7">
      <c r="G26152" s="812"/>
    </row>
    <row r="26153" spans="7:7">
      <c r="G26153" s="812"/>
    </row>
    <row r="26154" spans="7:7">
      <c r="G26154" s="812"/>
    </row>
    <row r="26155" spans="7:7">
      <c r="G26155" s="812"/>
    </row>
    <row r="26156" spans="7:7">
      <c r="G26156" s="812"/>
    </row>
    <row r="26157" spans="7:7">
      <c r="G26157" s="812"/>
    </row>
    <row r="26158" spans="7:7">
      <c r="G26158" s="812"/>
    </row>
    <row r="26159" spans="7:7">
      <c r="G26159" s="812"/>
    </row>
    <row r="26160" spans="7:7">
      <c r="G26160" s="812"/>
    </row>
    <row r="26161" spans="7:7">
      <c r="G26161" s="812"/>
    </row>
    <row r="26162" spans="7:7">
      <c r="G26162" s="812"/>
    </row>
    <row r="26163" spans="7:7">
      <c r="G26163" s="812"/>
    </row>
    <row r="26164" spans="7:7">
      <c r="G26164" s="812"/>
    </row>
    <row r="26165" spans="7:7">
      <c r="G26165" s="812"/>
    </row>
    <row r="26166" spans="7:7">
      <c r="G26166" s="812"/>
    </row>
    <row r="26167" spans="7:7">
      <c r="G26167" s="812"/>
    </row>
    <row r="26168" spans="7:7">
      <c r="G26168" s="812"/>
    </row>
    <row r="26169" spans="7:7">
      <c r="G26169" s="812"/>
    </row>
    <row r="26170" spans="7:7">
      <c r="G26170" s="812"/>
    </row>
    <row r="26171" spans="7:7">
      <c r="G26171" s="812"/>
    </row>
    <row r="26172" spans="7:7">
      <c r="G26172" s="812"/>
    </row>
    <row r="26173" spans="7:7">
      <c r="G26173" s="812"/>
    </row>
    <row r="26174" spans="7:7">
      <c r="G26174" s="812"/>
    </row>
    <row r="26175" spans="7:7">
      <c r="G26175" s="812"/>
    </row>
    <row r="26176" spans="7:7">
      <c r="G26176" s="812"/>
    </row>
    <row r="26177" spans="7:7">
      <c r="G26177" s="812"/>
    </row>
    <row r="26178" spans="7:7">
      <c r="G26178" s="812"/>
    </row>
    <row r="26179" spans="7:7">
      <c r="G26179" s="812"/>
    </row>
    <row r="26180" spans="7:7">
      <c r="G26180" s="812"/>
    </row>
    <row r="26181" spans="7:7">
      <c r="G26181" s="812"/>
    </row>
    <row r="26182" spans="7:7">
      <c r="G26182" s="812"/>
    </row>
    <row r="26183" spans="7:7">
      <c r="G26183" s="812"/>
    </row>
    <row r="26184" spans="7:7">
      <c r="G26184" s="812"/>
    </row>
    <row r="26185" spans="7:7">
      <c r="G26185" s="812"/>
    </row>
    <row r="26186" spans="7:7">
      <c r="G26186" s="812"/>
    </row>
    <row r="26187" spans="7:7">
      <c r="G26187" s="812"/>
    </row>
    <row r="26188" spans="7:7">
      <c r="G26188" s="812"/>
    </row>
    <row r="26189" spans="7:7">
      <c r="G26189" s="812"/>
    </row>
    <row r="26190" spans="7:7">
      <c r="G26190" s="812"/>
    </row>
    <row r="26191" spans="7:7">
      <c r="G26191" s="812"/>
    </row>
    <row r="26192" spans="7:7">
      <c r="G26192" s="812"/>
    </row>
    <row r="26193" spans="7:7">
      <c r="G26193" s="812"/>
    </row>
    <row r="26194" spans="7:7">
      <c r="G26194" s="812"/>
    </row>
    <row r="26195" spans="7:7">
      <c r="G26195" s="812"/>
    </row>
    <row r="26196" spans="7:7">
      <c r="G26196" s="812"/>
    </row>
    <row r="26197" spans="7:7">
      <c r="G26197" s="812"/>
    </row>
    <row r="26198" spans="7:7">
      <c r="G26198" s="812"/>
    </row>
    <row r="26199" spans="7:7">
      <c r="G26199" s="812"/>
    </row>
    <row r="26200" spans="7:7">
      <c r="G26200" s="812"/>
    </row>
    <row r="26201" spans="7:7">
      <c r="G26201" s="812"/>
    </row>
    <row r="26202" spans="7:7">
      <c r="G26202" s="812"/>
    </row>
    <row r="26203" spans="7:7">
      <c r="G26203" s="812"/>
    </row>
    <row r="26204" spans="7:7">
      <c r="G26204" s="812"/>
    </row>
    <row r="26205" spans="7:7">
      <c r="G26205" s="812"/>
    </row>
    <row r="26206" spans="7:7">
      <c r="G26206" s="812"/>
    </row>
    <row r="26207" spans="7:7">
      <c r="G26207" s="812"/>
    </row>
    <row r="26208" spans="7:7">
      <c r="G26208" s="812"/>
    </row>
    <row r="26209" spans="7:7">
      <c r="G26209" s="812"/>
    </row>
    <row r="26210" spans="7:7">
      <c r="G26210" s="812"/>
    </row>
    <row r="26211" spans="7:7">
      <c r="G26211" s="812"/>
    </row>
    <row r="26212" spans="7:7">
      <c r="G26212" s="812"/>
    </row>
    <row r="26213" spans="7:7">
      <c r="G26213" s="812"/>
    </row>
    <row r="26214" spans="7:7">
      <c r="G26214" s="812"/>
    </row>
    <row r="26215" spans="7:7">
      <c r="G26215" s="812"/>
    </row>
    <row r="26216" spans="7:7">
      <c r="G26216" s="812"/>
    </row>
    <row r="26217" spans="7:7">
      <c r="G26217" s="812"/>
    </row>
    <row r="26218" spans="7:7">
      <c r="G26218" s="812"/>
    </row>
    <row r="26219" spans="7:7">
      <c r="G26219" s="812"/>
    </row>
    <row r="26220" spans="7:7">
      <c r="G26220" s="812"/>
    </row>
    <row r="26221" spans="7:7">
      <c r="G26221" s="812"/>
    </row>
    <row r="26222" spans="7:7">
      <c r="G26222" s="812"/>
    </row>
    <row r="26223" spans="7:7">
      <c r="G26223" s="812"/>
    </row>
    <row r="26224" spans="7:7">
      <c r="G26224" s="812"/>
    </row>
    <row r="26225" spans="7:7">
      <c r="G26225" s="812"/>
    </row>
    <row r="26226" spans="7:7">
      <c r="G26226" s="812"/>
    </row>
    <row r="26227" spans="7:7">
      <c r="G26227" s="812"/>
    </row>
    <row r="26228" spans="7:7">
      <c r="G26228" s="812"/>
    </row>
    <row r="26229" spans="7:7">
      <c r="G26229" s="812"/>
    </row>
    <row r="26230" spans="7:7">
      <c r="G26230" s="812"/>
    </row>
    <row r="26231" spans="7:7">
      <c r="G26231" s="812"/>
    </row>
    <row r="26232" spans="7:7">
      <c r="G26232" s="812"/>
    </row>
    <row r="26233" spans="7:7">
      <c r="G26233" s="812"/>
    </row>
    <row r="26234" spans="7:7">
      <c r="G26234" s="812"/>
    </row>
    <row r="26235" spans="7:7">
      <c r="G26235" s="812"/>
    </row>
    <row r="26236" spans="7:7">
      <c r="G26236" s="812"/>
    </row>
    <row r="26237" spans="7:7">
      <c r="G26237" s="812"/>
    </row>
    <row r="26238" spans="7:7">
      <c r="G26238" s="812"/>
    </row>
    <row r="26239" spans="7:7">
      <c r="G26239" s="812"/>
    </row>
    <row r="26240" spans="7:7">
      <c r="G26240" s="812"/>
    </row>
    <row r="26241" spans="7:7">
      <c r="G26241" s="812"/>
    </row>
    <row r="26242" spans="7:7">
      <c r="G26242" s="812"/>
    </row>
    <row r="26243" spans="7:7">
      <c r="G26243" s="812"/>
    </row>
    <row r="26244" spans="7:7">
      <c r="G26244" s="812"/>
    </row>
    <row r="26245" spans="7:7">
      <c r="G26245" s="812"/>
    </row>
    <row r="26246" spans="7:7">
      <c r="G26246" s="812"/>
    </row>
    <row r="26247" spans="7:7">
      <c r="G26247" s="812"/>
    </row>
    <row r="26248" spans="7:7">
      <c r="G26248" s="812"/>
    </row>
    <row r="26249" spans="7:7">
      <c r="G26249" s="812"/>
    </row>
    <row r="26250" spans="7:7">
      <c r="G26250" s="812"/>
    </row>
    <row r="26251" spans="7:7">
      <c r="G26251" s="812"/>
    </row>
    <row r="26252" spans="7:7">
      <c r="G26252" s="812"/>
    </row>
    <row r="26253" spans="7:7">
      <c r="G26253" s="812"/>
    </row>
    <row r="26254" spans="7:7">
      <c r="G26254" s="812"/>
    </row>
    <row r="26255" spans="7:7">
      <c r="G26255" s="812"/>
    </row>
    <row r="26256" spans="7:7">
      <c r="G26256" s="812"/>
    </row>
    <row r="26257" spans="7:7">
      <c r="G26257" s="812"/>
    </row>
    <row r="26258" spans="7:7">
      <c r="G26258" s="812"/>
    </row>
    <row r="26259" spans="7:7">
      <c r="G26259" s="812"/>
    </row>
    <row r="26260" spans="7:7">
      <c r="G26260" s="812"/>
    </row>
    <row r="26261" spans="7:7">
      <c r="G26261" s="812"/>
    </row>
    <row r="26262" spans="7:7">
      <c r="G26262" s="812"/>
    </row>
    <row r="26263" spans="7:7">
      <c r="G26263" s="812"/>
    </row>
    <row r="26264" spans="7:7">
      <c r="G26264" s="812"/>
    </row>
    <row r="26265" spans="7:7">
      <c r="G26265" s="812"/>
    </row>
    <row r="26266" spans="7:7">
      <c r="G26266" s="812"/>
    </row>
    <row r="26267" spans="7:7">
      <c r="G26267" s="812"/>
    </row>
    <row r="26268" spans="7:7">
      <c r="G26268" s="812"/>
    </row>
    <row r="26269" spans="7:7">
      <c r="G26269" s="812"/>
    </row>
    <row r="26270" spans="7:7">
      <c r="G26270" s="812"/>
    </row>
    <row r="26271" spans="7:7">
      <c r="G26271" s="812"/>
    </row>
    <row r="26272" spans="7:7">
      <c r="G26272" s="812"/>
    </row>
    <row r="26273" spans="7:7">
      <c r="G26273" s="812"/>
    </row>
    <row r="26274" spans="7:7">
      <c r="G26274" s="812"/>
    </row>
    <row r="26275" spans="7:7">
      <c r="G26275" s="812"/>
    </row>
    <row r="26276" spans="7:7">
      <c r="G26276" s="812"/>
    </row>
    <row r="26277" spans="7:7">
      <c r="G26277" s="812"/>
    </row>
    <row r="26278" spans="7:7">
      <c r="G26278" s="812"/>
    </row>
    <row r="26279" spans="7:7">
      <c r="G26279" s="812"/>
    </row>
    <row r="26280" spans="7:7">
      <c r="G26280" s="812"/>
    </row>
    <row r="26281" spans="7:7">
      <c r="G26281" s="812"/>
    </row>
    <row r="26282" spans="7:7">
      <c r="G26282" s="812"/>
    </row>
    <row r="26283" spans="7:7">
      <c r="G26283" s="812"/>
    </row>
    <row r="26284" spans="7:7">
      <c r="G26284" s="812"/>
    </row>
    <row r="26285" spans="7:7">
      <c r="G26285" s="812"/>
    </row>
    <row r="26286" spans="7:7">
      <c r="G26286" s="812"/>
    </row>
    <row r="26287" spans="7:7">
      <c r="G26287" s="812"/>
    </row>
    <row r="26288" spans="7:7">
      <c r="G26288" s="812"/>
    </row>
    <row r="26289" spans="7:7">
      <c r="G26289" s="812"/>
    </row>
    <row r="26290" spans="7:7">
      <c r="G26290" s="812"/>
    </row>
    <row r="26291" spans="7:7">
      <c r="G26291" s="812"/>
    </row>
    <row r="26292" spans="7:7">
      <c r="G26292" s="812"/>
    </row>
    <row r="26293" spans="7:7">
      <c r="G26293" s="812"/>
    </row>
    <row r="26294" spans="7:7">
      <c r="G26294" s="812"/>
    </row>
    <row r="26295" spans="7:7">
      <c r="G26295" s="812"/>
    </row>
    <row r="26296" spans="7:7">
      <c r="G26296" s="812"/>
    </row>
    <row r="26297" spans="7:7">
      <c r="G26297" s="812"/>
    </row>
    <row r="26298" spans="7:7">
      <c r="G26298" s="812"/>
    </row>
    <row r="26299" spans="7:7">
      <c r="G26299" s="812"/>
    </row>
    <row r="26300" spans="7:7">
      <c r="G26300" s="812"/>
    </row>
    <row r="26301" spans="7:7">
      <c r="G26301" s="812"/>
    </row>
    <row r="26302" spans="7:7">
      <c r="G26302" s="812"/>
    </row>
    <row r="26303" spans="7:7">
      <c r="G26303" s="812"/>
    </row>
    <row r="26304" spans="7:7">
      <c r="G26304" s="812"/>
    </row>
    <row r="26305" spans="7:7">
      <c r="G26305" s="812"/>
    </row>
    <row r="26306" spans="7:7">
      <c r="G26306" s="812"/>
    </row>
    <row r="26307" spans="7:7">
      <c r="G26307" s="812"/>
    </row>
    <row r="26308" spans="7:7">
      <c r="G26308" s="812"/>
    </row>
    <row r="26309" spans="7:7">
      <c r="G26309" s="812"/>
    </row>
    <row r="26310" spans="7:7">
      <c r="G26310" s="812"/>
    </row>
    <row r="26311" spans="7:7">
      <c r="G26311" s="812"/>
    </row>
    <row r="26312" spans="7:7">
      <c r="G26312" s="812"/>
    </row>
    <row r="26313" spans="7:7">
      <c r="G26313" s="812"/>
    </row>
    <row r="26314" spans="7:7">
      <c r="G26314" s="812"/>
    </row>
    <row r="26315" spans="7:7">
      <c r="G26315" s="812"/>
    </row>
    <row r="26316" spans="7:7">
      <c r="G26316" s="812"/>
    </row>
    <row r="26317" spans="7:7">
      <c r="G26317" s="812"/>
    </row>
    <row r="26318" spans="7:7">
      <c r="G26318" s="812"/>
    </row>
    <row r="26319" spans="7:7">
      <c r="G26319" s="812"/>
    </row>
    <row r="26320" spans="7:7">
      <c r="G26320" s="812"/>
    </row>
    <row r="26321" spans="7:7">
      <c r="G26321" s="812"/>
    </row>
    <row r="26322" spans="7:7">
      <c r="G26322" s="812"/>
    </row>
    <row r="26323" spans="7:7">
      <c r="G26323" s="812"/>
    </row>
    <row r="26324" spans="7:7">
      <c r="G26324" s="812"/>
    </row>
    <row r="26325" spans="7:7">
      <c r="G26325" s="812"/>
    </row>
    <row r="26326" spans="7:7">
      <c r="G26326" s="812"/>
    </row>
    <row r="26327" spans="7:7">
      <c r="G26327" s="812"/>
    </row>
    <row r="26328" spans="7:7">
      <c r="G26328" s="812"/>
    </row>
    <row r="26329" spans="7:7">
      <c r="G26329" s="812"/>
    </row>
    <row r="26330" spans="7:7">
      <c r="G26330" s="812"/>
    </row>
    <row r="26331" spans="7:7">
      <c r="G26331" s="812"/>
    </row>
    <row r="26332" spans="7:7">
      <c r="G26332" s="812"/>
    </row>
    <row r="26333" spans="7:7">
      <c r="G26333" s="812"/>
    </row>
    <row r="26334" spans="7:7">
      <c r="G26334" s="812"/>
    </row>
    <row r="26335" spans="7:7">
      <c r="G26335" s="812"/>
    </row>
    <row r="26336" spans="7:7">
      <c r="G26336" s="812"/>
    </row>
    <row r="26337" spans="7:7">
      <c r="G26337" s="812"/>
    </row>
    <row r="26338" spans="7:7">
      <c r="G26338" s="812"/>
    </row>
    <row r="26339" spans="7:7">
      <c r="G26339" s="812"/>
    </row>
    <row r="26340" spans="7:7">
      <c r="G26340" s="812"/>
    </row>
    <row r="26341" spans="7:7">
      <c r="G26341" s="812"/>
    </row>
    <row r="26342" spans="7:7">
      <c r="G26342" s="812"/>
    </row>
    <row r="26343" spans="7:7">
      <c r="G26343" s="812"/>
    </row>
    <row r="26344" spans="7:7">
      <c r="G26344" s="812"/>
    </row>
    <row r="26345" spans="7:7">
      <c r="G26345" s="812"/>
    </row>
    <row r="26346" spans="7:7">
      <c r="G26346" s="812"/>
    </row>
    <row r="26347" spans="7:7">
      <c r="G26347" s="812"/>
    </row>
    <row r="26348" spans="7:7">
      <c r="G26348" s="812"/>
    </row>
    <row r="26349" spans="7:7">
      <c r="G26349" s="812"/>
    </row>
    <row r="26350" spans="7:7">
      <c r="G26350" s="812"/>
    </row>
    <row r="26351" spans="7:7">
      <c r="G26351" s="812"/>
    </row>
    <row r="26352" spans="7:7">
      <c r="G26352" s="812"/>
    </row>
    <row r="26353" spans="7:7">
      <c r="G26353" s="812"/>
    </row>
    <row r="26354" spans="7:7">
      <c r="G26354" s="812"/>
    </row>
    <row r="26355" spans="7:7">
      <c r="G26355" s="812"/>
    </row>
    <row r="26356" spans="7:7">
      <c r="G26356" s="812"/>
    </row>
    <row r="26357" spans="7:7">
      <c r="G26357" s="812"/>
    </row>
    <row r="26358" spans="7:7">
      <c r="G26358" s="812"/>
    </row>
    <row r="26359" spans="7:7">
      <c r="G26359" s="812"/>
    </row>
    <row r="26360" spans="7:7">
      <c r="G26360" s="812"/>
    </row>
    <row r="26361" spans="7:7">
      <c r="G26361" s="812"/>
    </row>
    <row r="26362" spans="7:7">
      <c r="G26362" s="812"/>
    </row>
    <row r="26363" spans="7:7">
      <c r="G26363" s="812"/>
    </row>
    <row r="26364" spans="7:7">
      <c r="G26364" s="812"/>
    </row>
    <row r="26365" spans="7:7">
      <c r="G26365" s="812"/>
    </row>
    <row r="26366" spans="7:7">
      <c r="G26366" s="812"/>
    </row>
    <row r="26367" spans="7:7">
      <c r="G26367" s="812"/>
    </row>
    <row r="26368" spans="7:7">
      <c r="G26368" s="812"/>
    </row>
    <row r="26369" spans="7:7">
      <c r="G26369" s="812"/>
    </row>
    <row r="26370" spans="7:7">
      <c r="G26370" s="812"/>
    </row>
    <row r="26371" spans="7:7">
      <c r="G26371" s="812"/>
    </row>
    <row r="26372" spans="7:7">
      <c r="G26372" s="812"/>
    </row>
    <row r="26373" spans="7:7">
      <c r="G26373" s="812"/>
    </row>
    <row r="26374" spans="7:7">
      <c r="G26374" s="812"/>
    </row>
    <row r="26375" spans="7:7">
      <c r="G26375" s="812"/>
    </row>
    <row r="26376" spans="7:7">
      <c r="G26376" s="812"/>
    </row>
    <row r="26377" spans="7:7">
      <c r="G26377" s="812"/>
    </row>
    <row r="26378" spans="7:7">
      <c r="G26378" s="812"/>
    </row>
    <row r="26379" spans="7:7">
      <c r="G26379" s="812"/>
    </row>
    <row r="26380" spans="7:7">
      <c r="G26380" s="812"/>
    </row>
    <row r="26381" spans="7:7">
      <c r="G26381" s="812"/>
    </row>
    <row r="26382" spans="7:7">
      <c r="G26382" s="812"/>
    </row>
    <row r="26383" spans="7:7">
      <c r="G26383" s="812"/>
    </row>
    <row r="26384" spans="7:7">
      <c r="G26384" s="812"/>
    </row>
    <row r="26385" spans="7:7">
      <c r="G26385" s="812"/>
    </row>
    <row r="26386" spans="7:7">
      <c r="G26386" s="812"/>
    </row>
    <row r="26387" spans="7:7">
      <c r="G26387" s="812"/>
    </row>
    <row r="26388" spans="7:7">
      <c r="G26388" s="812"/>
    </row>
    <row r="26389" spans="7:7">
      <c r="G26389" s="812"/>
    </row>
    <row r="26390" spans="7:7">
      <c r="G26390" s="812"/>
    </row>
    <row r="26391" spans="7:7">
      <c r="G26391" s="812"/>
    </row>
    <row r="26392" spans="7:7">
      <c r="G26392" s="812"/>
    </row>
    <row r="26393" spans="7:7">
      <c r="G26393" s="812"/>
    </row>
    <row r="26394" spans="7:7">
      <c r="G26394" s="812"/>
    </row>
    <row r="26395" spans="7:7">
      <c r="G26395" s="812"/>
    </row>
    <row r="26396" spans="7:7">
      <c r="G26396" s="812"/>
    </row>
    <row r="26397" spans="7:7">
      <c r="G26397" s="812"/>
    </row>
    <row r="26398" spans="7:7">
      <c r="G26398" s="812"/>
    </row>
    <row r="26399" spans="7:7">
      <c r="G26399" s="812"/>
    </row>
    <row r="26400" spans="7:7">
      <c r="G26400" s="812"/>
    </row>
    <row r="26401" spans="7:7">
      <c r="G26401" s="812"/>
    </row>
    <row r="26402" spans="7:7">
      <c r="G26402" s="812"/>
    </row>
    <row r="26403" spans="7:7">
      <c r="G26403" s="812"/>
    </row>
    <row r="26404" spans="7:7">
      <c r="G26404" s="812"/>
    </row>
    <row r="26405" spans="7:7">
      <c r="G26405" s="812"/>
    </row>
    <row r="26406" spans="7:7">
      <c r="G26406" s="812"/>
    </row>
    <row r="26407" spans="7:7">
      <c r="G26407" s="812"/>
    </row>
    <row r="26408" spans="7:7">
      <c r="G26408" s="812"/>
    </row>
    <row r="26409" spans="7:7">
      <c r="G26409" s="812"/>
    </row>
    <row r="26410" spans="7:7">
      <c r="G26410" s="812"/>
    </row>
    <row r="26411" spans="7:7">
      <c r="G26411" s="812"/>
    </row>
    <row r="26412" spans="7:7">
      <c r="G26412" s="812"/>
    </row>
    <row r="26413" spans="7:7">
      <c r="G26413" s="812"/>
    </row>
    <row r="26414" spans="7:7">
      <c r="G26414" s="812"/>
    </row>
    <row r="26415" spans="7:7">
      <c r="G26415" s="812"/>
    </row>
    <row r="26416" spans="7:7">
      <c r="G26416" s="812"/>
    </row>
    <row r="26417" spans="7:7">
      <c r="G26417" s="812"/>
    </row>
    <row r="26418" spans="7:7">
      <c r="G26418" s="812"/>
    </row>
    <row r="26419" spans="7:7">
      <c r="G26419" s="812"/>
    </row>
    <row r="26420" spans="7:7">
      <c r="G26420" s="812"/>
    </row>
    <row r="26421" spans="7:7">
      <c r="G26421" s="812"/>
    </row>
    <row r="26422" spans="7:7">
      <c r="G26422" s="812"/>
    </row>
    <row r="26423" spans="7:7">
      <c r="G26423" s="812"/>
    </row>
    <row r="26424" spans="7:7">
      <c r="G26424" s="812"/>
    </row>
    <row r="26425" spans="7:7">
      <c r="G26425" s="812"/>
    </row>
    <row r="26426" spans="7:7">
      <c r="G26426" s="812"/>
    </row>
    <row r="26427" spans="7:7">
      <c r="G26427" s="812"/>
    </row>
    <row r="26428" spans="7:7">
      <c r="G26428" s="812"/>
    </row>
    <row r="26429" spans="7:7">
      <c r="G26429" s="812"/>
    </row>
    <row r="26430" spans="7:7">
      <c r="G26430" s="812"/>
    </row>
    <row r="26431" spans="7:7">
      <c r="G26431" s="812"/>
    </row>
    <row r="26432" spans="7:7">
      <c r="G26432" s="812"/>
    </row>
    <row r="26433" spans="7:7">
      <c r="G26433" s="812"/>
    </row>
    <row r="26434" spans="7:7">
      <c r="G26434" s="812"/>
    </row>
    <row r="26435" spans="7:7">
      <c r="G26435" s="812"/>
    </row>
    <row r="26436" spans="7:7">
      <c r="G26436" s="812"/>
    </row>
    <row r="26437" spans="7:7">
      <c r="G26437" s="812"/>
    </row>
    <row r="26438" spans="7:7">
      <c r="G26438" s="812"/>
    </row>
    <row r="26439" spans="7:7">
      <c r="G26439" s="812"/>
    </row>
    <row r="26440" spans="7:7">
      <c r="G26440" s="812"/>
    </row>
    <row r="26441" spans="7:7">
      <c r="G26441" s="812"/>
    </row>
    <row r="26442" spans="7:7">
      <c r="G26442" s="812"/>
    </row>
    <row r="26443" spans="7:7">
      <c r="G26443" s="812"/>
    </row>
    <row r="26444" spans="7:7">
      <c r="G26444" s="812"/>
    </row>
    <row r="26445" spans="7:7">
      <c r="G26445" s="812"/>
    </row>
    <row r="26446" spans="7:7">
      <c r="G26446" s="812"/>
    </row>
    <row r="26447" spans="7:7">
      <c r="G26447" s="812"/>
    </row>
    <row r="26448" spans="7:7">
      <c r="G26448" s="812"/>
    </row>
    <row r="26449" spans="7:7">
      <c r="G26449" s="812"/>
    </row>
    <row r="26450" spans="7:7">
      <c r="G26450" s="812"/>
    </row>
    <row r="26451" spans="7:7">
      <c r="G26451" s="812"/>
    </row>
    <row r="26452" spans="7:7">
      <c r="G26452" s="812"/>
    </row>
    <row r="26453" spans="7:7">
      <c r="G26453" s="812"/>
    </row>
    <row r="26454" spans="7:7">
      <c r="G26454" s="812"/>
    </row>
    <row r="26455" spans="7:7">
      <c r="G26455" s="812"/>
    </row>
    <row r="26456" spans="7:7">
      <c r="G26456" s="812"/>
    </row>
    <row r="26457" spans="7:7">
      <c r="G26457" s="812"/>
    </row>
    <row r="26458" spans="7:7">
      <c r="G26458" s="812"/>
    </row>
    <row r="26459" spans="7:7">
      <c r="G26459" s="812"/>
    </row>
    <row r="26460" spans="7:7">
      <c r="G26460" s="812"/>
    </row>
    <row r="26461" spans="7:7">
      <c r="G26461" s="812"/>
    </row>
    <row r="26462" spans="7:7">
      <c r="G26462" s="812"/>
    </row>
    <row r="26463" spans="7:7">
      <c r="G26463" s="812"/>
    </row>
    <row r="26464" spans="7:7">
      <c r="G26464" s="812"/>
    </row>
    <row r="26465" spans="7:7">
      <c r="G26465" s="812"/>
    </row>
    <row r="26466" spans="7:7">
      <c r="G26466" s="812"/>
    </row>
    <row r="26467" spans="7:7">
      <c r="G26467" s="812"/>
    </row>
    <row r="26468" spans="7:7">
      <c r="G26468" s="812"/>
    </row>
    <row r="26469" spans="7:7">
      <c r="G26469" s="812"/>
    </row>
    <row r="26470" spans="7:7">
      <c r="G26470" s="812"/>
    </row>
    <row r="26471" spans="7:7">
      <c r="G26471" s="812"/>
    </row>
    <row r="26472" spans="7:7">
      <c r="G26472" s="812"/>
    </row>
    <row r="26473" spans="7:7">
      <c r="G26473" s="812"/>
    </row>
    <row r="26474" spans="7:7">
      <c r="G26474" s="812"/>
    </row>
    <row r="26475" spans="7:7">
      <c r="G26475" s="812"/>
    </row>
    <row r="26476" spans="7:7">
      <c r="G26476" s="812"/>
    </row>
    <row r="26477" spans="7:7">
      <c r="G26477" s="812"/>
    </row>
    <row r="26478" spans="7:7">
      <c r="G26478" s="812"/>
    </row>
    <row r="26479" spans="7:7">
      <c r="G26479" s="812"/>
    </row>
    <row r="26480" spans="7:7">
      <c r="G26480" s="812"/>
    </row>
    <row r="26481" spans="7:7">
      <c r="G26481" s="812"/>
    </row>
    <row r="26482" spans="7:7">
      <c r="G26482" s="812"/>
    </row>
    <row r="26483" spans="7:7">
      <c r="G26483" s="812"/>
    </row>
    <row r="26484" spans="7:7">
      <c r="G26484" s="812"/>
    </row>
    <row r="26485" spans="7:7">
      <c r="G26485" s="812"/>
    </row>
    <row r="26486" spans="7:7">
      <c r="G26486" s="812"/>
    </row>
    <row r="26487" spans="7:7">
      <c r="G26487" s="812"/>
    </row>
    <row r="26488" spans="7:7">
      <c r="G26488" s="812"/>
    </row>
    <row r="26489" spans="7:7">
      <c r="G26489" s="812"/>
    </row>
    <row r="26490" spans="7:7">
      <c r="G26490" s="812"/>
    </row>
    <row r="26491" spans="7:7">
      <c r="G26491" s="812"/>
    </row>
    <row r="26492" spans="7:7">
      <c r="G26492" s="812"/>
    </row>
    <row r="26493" spans="7:7">
      <c r="G26493" s="812"/>
    </row>
    <row r="26494" spans="7:7">
      <c r="G26494" s="812"/>
    </row>
    <row r="26495" spans="7:7">
      <c r="G26495" s="812"/>
    </row>
    <row r="26496" spans="7:7">
      <c r="G26496" s="812"/>
    </row>
    <row r="26497" spans="7:7">
      <c r="G26497" s="812"/>
    </row>
    <row r="26498" spans="7:7">
      <c r="G26498" s="812"/>
    </row>
    <row r="26499" spans="7:7">
      <c r="G26499" s="812"/>
    </row>
    <row r="26500" spans="7:7">
      <c r="G26500" s="812"/>
    </row>
    <row r="26501" spans="7:7">
      <c r="G26501" s="812"/>
    </row>
    <row r="26502" spans="7:7">
      <c r="G26502" s="812"/>
    </row>
    <row r="26503" spans="7:7">
      <c r="G26503" s="812"/>
    </row>
    <row r="26504" spans="7:7">
      <c r="G26504" s="812"/>
    </row>
    <row r="26505" spans="7:7">
      <c r="G26505" s="812"/>
    </row>
    <row r="26506" spans="7:7">
      <c r="G26506" s="812"/>
    </row>
    <row r="26507" spans="7:7">
      <c r="G26507" s="812"/>
    </row>
    <row r="26508" spans="7:7">
      <c r="G26508" s="812"/>
    </row>
    <row r="26509" spans="7:7">
      <c r="G26509" s="812"/>
    </row>
    <row r="26510" spans="7:7">
      <c r="G26510" s="812"/>
    </row>
    <row r="26511" spans="7:7">
      <c r="G26511" s="812"/>
    </row>
    <row r="26512" spans="7:7">
      <c r="G26512" s="812"/>
    </row>
    <row r="26513" spans="7:7">
      <c r="G26513" s="812"/>
    </row>
    <row r="26514" spans="7:7">
      <c r="G26514" s="812"/>
    </row>
    <row r="26515" spans="7:7">
      <c r="G26515" s="812"/>
    </row>
    <row r="26516" spans="7:7">
      <c r="G26516" s="812"/>
    </row>
    <row r="26517" spans="7:7">
      <c r="G26517" s="812"/>
    </row>
    <row r="26518" spans="7:7">
      <c r="G26518" s="812"/>
    </row>
    <row r="26519" spans="7:7">
      <c r="G26519" s="812"/>
    </row>
    <row r="26520" spans="7:7">
      <c r="G26520" s="812"/>
    </row>
    <row r="26521" spans="7:7">
      <c r="G26521" s="812"/>
    </row>
    <row r="26522" spans="7:7">
      <c r="G26522" s="812"/>
    </row>
    <row r="26523" spans="7:7">
      <c r="G26523" s="812"/>
    </row>
    <row r="26524" spans="7:7">
      <c r="G26524" s="812"/>
    </row>
    <row r="26525" spans="7:7">
      <c r="G26525" s="812"/>
    </row>
    <row r="26526" spans="7:7">
      <c r="G26526" s="812"/>
    </row>
    <row r="26527" spans="7:7">
      <c r="G26527" s="812"/>
    </row>
    <row r="26528" spans="7:7">
      <c r="G26528" s="812"/>
    </row>
    <row r="26529" spans="7:7">
      <c r="G26529" s="812"/>
    </row>
    <row r="26530" spans="7:7">
      <c r="G26530" s="812"/>
    </row>
    <row r="26531" spans="7:7">
      <c r="G26531" s="812"/>
    </row>
    <row r="26532" spans="7:7">
      <c r="G26532" s="812"/>
    </row>
    <row r="26533" spans="7:7">
      <c r="G26533" s="812"/>
    </row>
    <row r="26534" spans="7:7">
      <c r="G26534" s="812"/>
    </row>
    <row r="26535" spans="7:7">
      <c r="G26535" s="812"/>
    </row>
    <row r="26536" spans="7:7">
      <c r="G26536" s="812"/>
    </row>
    <row r="26537" spans="7:7">
      <c r="G26537" s="812"/>
    </row>
    <row r="26538" spans="7:7">
      <c r="G26538" s="812"/>
    </row>
    <row r="26539" spans="7:7">
      <c r="G26539" s="812"/>
    </row>
    <row r="26540" spans="7:7">
      <c r="G26540" s="812"/>
    </row>
    <row r="26541" spans="7:7">
      <c r="G26541" s="812"/>
    </row>
    <row r="26542" spans="7:7">
      <c r="G26542" s="812"/>
    </row>
    <row r="26543" spans="7:7">
      <c r="G26543" s="812"/>
    </row>
    <row r="26544" spans="7:7">
      <c r="G26544" s="812"/>
    </row>
    <row r="26545" spans="7:7">
      <c r="G26545" s="812"/>
    </row>
    <row r="26546" spans="7:7">
      <c r="G26546" s="812"/>
    </row>
    <row r="26547" spans="7:7">
      <c r="G26547" s="812"/>
    </row>
    <row r="26548" spans="7:7">
      <c r="G26548" s="812"/>
    </row>
    <row r="26549" spans="7:7">
      <c r="G26549" s="812"/>
    </row>
    <row r="26550" spans="7:7">
      <c r="G26550" s="812"/>
    </row>
    <row r="26551" spans="7:7">
      <c r="G26551" s="812"/>
    </row>
    <row r="26552" spans="7:7">
      <c r="G26552" s="812"/>
    </row>
    <row r="26553" spans="7:7">
      <c r="G26553" s="812"/>
    </row>
    <row r="26554" spans="7:7">
      <c r="G26554" s="812"/>
    </row>
    <row r="26555" spans="7:7">
      <c r="G26555" s="812"/>
    </row>
    <row r="26556" spans="7:7">
      <c r="G26556" s="812"/>
    </row>
    <row r="26557" spans="7:7">
      <c r="G26557" s="812"/>
    </row>
    <row r="26558" spans="7:7">
      <c r="G26558" s="812"/>
    </row>
    <row r="26559" spans="7:7">
      <c r="G26559" s="812"/>
    </row>
    <row r="26560" spans="7:7">
      <c r="G26560" s="812"/>
    </row>
    <row r="26561" spans="7:7">
      <c r="G26561" s="812"/>
    </row>
    <row r="26562" spans="7:7">
      <c r="G26562" s="812"/>
    </row>
    <row r="26563" spans="7:7">
      <c r="G26563" s="812"/>
    </row>
    <row r="26564" spans="7:7">
      <c r="G26564" s="812"/>
    </row>
    <row r="26565" spans="7:7">
      <c r="G26565" s="812"/>
    </row>
    <row r="26566" spans="7:7">
      <c r="G26566" s="812"/>
    </row>
    <row r="26567" spans="7:7">
      <c r="G26567" s="812"/>
    </row>
    <row r="26568" spans="7:7">
      <c r="G26568" s="812"/>
    </row>
    <row r="26569" spans="7:7">
      <c r="G26569" s="812"/>
    </row>
    <row r="26570" spans="7:7">
      <c r="G26570" s="812"/>
    </row>
    <row r="26571" spans="7:7">
      <c r="G26571" s="812"/>
    </row>
    <row r="26572" spans="7:7">
      <c r="G26572" s="812"/>
    </row>
    <row r="26573" spans="7:7">
      <c r="G26573" s="812"/>
    </row>
    <row r="26574" spans="7:7">
      <c r="G26574" s="812"/>
    </row>
    <row r="26575" spans="7:7">
      <c r="G26575" s="812"/>
    </row>
    <row r="26576" spans="7:7">
      <c r="G26576" s="812"/>
    </row>
    <row r="26577" spans="7:7">
      <c r="G26577" s="812"/>
    </row>
    <row r="26578" spans="7:7">
      <c r="G26578" s="812"/>
    </row>
    <row r="26579" spans="7:7">
      <c r="G26579" s="812"/>
    </row>
    <row r="26580" spans="7:7">
      <c r="G26580" s="812"/>
    </row>
    <row r="26581" spans="7:7">
      <c r="G26581" s="812"/>
    </row>
    <row r="26582" spans="7:7">
      <c r="G26582" s="812"/>
    </row>
    <row r="26583" spans="7:7">
      <c r="G26583" s="812"/>
    </row>
    <row r="26584" spans="7:7">
      <c r="G26584" s="812"/>
    </row>
    <row r="26585" spans="7:7">
      <c r="G26585" s="812"/>
    </row>
    <row r="26586" spans="7:7">
      <c r="G26586" s="812"/>
    </row>
    <row r="26587" spans="7:7">
      <c r="G26587" s="812"/>
    </row>
    <row r="26588" spans="7:7">
      <c r="G26588" s="812"/>
    </row>
    <row r="26589" spans="7:7">
      <c r="G26589" s="812"/>
    </row>
    <row r="26590" spans="7:7">
      <c r="G26590" s="812"/>
    </row>
    <row r="26591" spans="7:7">
      <c r="G26591" s="812"/>
    </row>
    <row r="26592" spans="7:7">
      <c r="G26592" s="812"/>
    </row>
    <row r="26593" spans="7:7">
      <c r="G26593" s="812"/>
    </row>
    <row r="26594" spans="7:7">
      <c r="G26594" s="812"/>
    </row>
    <row r="26595" spans="7:7">
      <c r="G26595" s="812"/>
    </row>
    <row r="26596" spans="7:7">
      <c r="G26596" s="812"/>
    </row>
    <row r="26597" spans="7:7">
      <c r="G26597" s="812"/>
    </row>
    <row r="26598" spans="7:7">
      <c r="G26598" s="812"/>
    </row>
    <row r="26599" spans="7:7">
      <c r="G26599" s="812"/>
    </row>
    <row r="26600" spans="7:7">
      <c r="G26600" s="812"/>
    </row>
    <row r="26601" spans="7:7">
      <c r="G26601" s="812"/>
    </row>
    <row r="26602" spans="7:7">
      <c r="G26602" s="812"/>
    </row>
    <row r="26603" spans="7:7">
      <c r="G26603" s="812"/>
    </row>
    <row r="26604" spans="7:7">
      <c r="G26604" s="812"/>
    </row>
    <row r="26605" spans="7:7">
      <c r="G26605" s="812"/>
    </row>
    <row r="26606" spans="7:7">
      <c r="G26606" s="812"/>
    </row>
    <row r="26607" spans="7:7">
      <c r="G26607" s="812"/>
    </row>
    <row r="26608" spans="7:7">
      <c r="G26608" s="812"/>
    </row>
    <row r="26609" spans="7:7">
      <c r="G26609" s="812"/>
    </row>
    <row r="26610" spans="7:7">
      <c r="G26610" s="812"/>
    </row>
    <row r="26611" spans="7:7">
      <c r="G26611" s="812"/>
    </row>
    <row r="26612" spans="7:7">
      <c r="G26612" s="812"/>
    </row>
    <row r="26613" spans="7:7">
      <c r="G26613" s="812"/>
    </row>
    <row r="26614" spans="7:7">
      <c r="G26614" s="812"/>
    </row>
    <row r="26615" spans="7:7">
      <c r="G26615" s="812"/>
    </row>
    <row r="26616" spans="7:7">
      <c r="G26616" s="812"/>
    </row>
    <row r="26617" spans="7:7">
      <c r="G26617" s="812"/>
    </row>
    <row r="26618" spans="7:7">
      <c r="G26618" s="812"/>
    </row>
    <row r="26619" spans="7:7">
      <c r="G26619" s="812"/>
    </row>
    <row r="26620" spans="7:7">
      <c r="G26620" s="812"/>
    </row>
    <row r="26621" spans="7:7">
      <c r="G26621" s="812"/>
    </row>
    <row r="26622" spans="7:7">
      <c r="G26622" s="812"/>
    </row>
    <row r="26623" spans="7:7">
      <c r="G26623" s="812"/>
    </row>
    <row r="26624" spans="7:7">
      <c r="G26624" s="812"/>
    </row>
    <row r="26625" spans="7:7">
      <c r="G26625" s="812"/>
    </row>
    <row r="26626" spans="7:7">
      <c r="G26626" s="812"/>
    </row>
    <row r="26627" spans="7:7">
      <c r="G26627" s="812"/>
    </row>
    <row r="26628" spans="7:7">
      <c r="G26628" s="812"/>
    </row>
    <row r="26629" spans="7:7">
      <c r="G26629" s="812"/>
    </row>
    <row r="26630" spans="7:7">
      <c r="G26630" s="812"/>
    </row>
    <row r="26631" spans="7:7">
      <c r="G26631" s="812"/>
    </row>
    <row r="26632" spans="7:7">
      <c r="G26632" s="812"/>
    </row>
    <row r="26633" spans="7:7">
      <c r="G26633" s="812"/>
    </row>
    <row r="26634" spans="7:7">
      <c r="G26634" s="812"/>
    </row>
    <row r="26635" spans="7:7">
      <c r="G26635" s="812"/>
    </row>
    <row r="26636" spans="7:7">
      <c r="G26636" s="812"/>
    </row>
    <row r="26637" spans="7:7">
      <c r="G26637" s="812"/>
    </row>
    <row r="26638" spans="7:7">
      <c r="G26638" s="812"/>
    </row>
    <row r="26639" spans="7:7">
      <c r="G26639" s="812"/>
    </row>
    <row r="26640" spans="7:7">
      <c r="G26640" s="812"/>
    </row>
    <row r="26641" spans="7:7">
      <c r="G26641" s="812"/>
    </row>
    <row r="26642" spans="7:7">
      <c r="G26642" s="812"/>
    </row>
    <row r="26643" spans="7:7">
      <c r="G26643" s="812"/>
    </row>
    <row r="26644" spans="7:7">
      <c r="G26644" s="812"/>
    </row>
    <row r="26645" spans="7:7">
      <c r="G26645" s="812"/>
    </row>
    <row r="26646" spans="7:7">
      <c r="G26646" s="812"/>
    </row>
    <row r="26647" spans="7:7">
      <c r="G26647" s="812"/>
    </row>
    <row r="26648" spans="7:7">
      <c r="G26648" s="812"/>
    </row>
    <row r="26649" spans="7:7">
      <c r="G26649" s="812"/>
    </row>
    <row r="26650" spans="7:7">
      <c r="G26650" s="812"/>
    </row>
    <row r="26651" spans="7:7">
      <c r="G26651" s="812"/>
    </row>
    <row r="26652" spans="7:7">
      <c r="G26652" s="812"/>
    </row>
    <row r="26653" spans="7:7">
      <c r="G26653" s="812"/>
    </row>
    <row r="26654" spans="7:7">
      <c r="G26654" s="812"/>
    </row>
    <row r="26655" spans="7:7">
      <c r="G26655" s="812"/>
    </row>
    <row r="26656" spans="7:7">
      <c r="G26656" s="812"/>
    </row>
    <row r="26657" spans="7:7">
      <c r="G26657" s="812"/>
    </row>
    <row r="26658" spans="7:7">
      <c r="G26658" s="812"/>
    </row>
    <row r="26659" spans="7:7">
      <c r="G26659" s="812"/>
    </row>
    <row r="26660" spans="7:7">
      <c r="G26660" s="812"/>
    </row>
    <row r="26661" spans="7:7">
      <c r="G26661" s="812"/>
    </row>
    <row r="26662" spans="7:7">
      <c r="G26662" s="812"/>
    </row>
    <row r="26663" spans="7:7">
      <c r="G26663" s="812"/>
    </row>
    <row r="26664" spans="7:7">
      <c r="G26664" s="812"/>
    </row>
    <row r="26665" spans="7:7">
      <c r="G26665" s="812"/>
    </row>
    <row r="26666" spans="7:7">
      <c r="G26666" s="812"/>
    </row>
    <row r="26667" spans="7:7">
      <c r="G26667" s="812"/>
    </row>
    <row r="26668" spans="7:7">
      <c r="G26668" s="812"/>
    </row>
    <row r="26669" spans="7:7">
      <c r="G26669" s="812"/>
    </row>
    <row r="26670" spans="7:7">
      <c r="G26670" s="812"/>
    </row>
    <row r="26671" spans="7:7">
      <c r="G26671" s="812"/>
    </row>
    <row r="26672" spans="7:7">
      <c r="G26672" s="812"/>
    </row>
    <row r="26673" spans="7:7">
      <c r="G26673" s="812"/>
    </row>
    <row r="26674" spans="7:7">
      <c r="G26674" s="812"/>
    </row>
    <row r="26675" spans="7:7">
      <c r="G26675" s="812"/>
    </row>
    <row r="26676" spans="7:7">
      <c r="G26676" s="812"/>
    </row>
    <row r="26677" spans="7:7">
      <c r="G26677" s="812"/>
    </row>
    <row r="26678" spans="7:7">
      <c r="G26678" s="812"/>
    </row>
    <row r="26679" spans="7:7">
      <c r="G26679" s="812"/>
    </row>
    <row r="26680" spans="7:7">
      <c r="G26680" s="812"/>
    </row>
    <row r="26681" spans="7:7">
      <c r="G26681" s="812"/>
    </row>
    <row r="26682" spans="7:7">
      <c r="G26682" s="812"/>
    </row>
    <row r="26683" spans="7:7">
      <c r="G26683" s="812"/>
    </row>
    <row r="26684" spans="7:7">
      <c r="G26684" s="812"/>
    </row>
    <row r="26685" spans="7:7">
      <c r="G26685" s="812"/>
    </row>
    <row r="26686" spans="7:7">
      <c r="G26686" s="812"/>
    </row>
    <row r="26687" spans="7:7">
      <c r="G26687" s="812"/>
    </row>
    <row r="26688" spans="7:7">
      <c r="G26688" s="812"/>
    </row>
    <row r="26689" spans="7:7">
      <c r="G26689" s="812"/>
    </row>
    <row r="26690" spans="7:7">
      <c r="G26690" s="812"/>
    </row>
    <row r="26691" spans="7:7">
      <c r="G26691" s="812"/>
    </row>
    <row r="26692" spans="7:7">
      <c r="G26692" s="812"/>
    </row>
    <row r="26693" spans="7:7">
      <c r="G26693" s="812"/>
    </row>
    <row r="26694" spans="7:7">
      <c r="G26694" s="812"/>
    </row>
    <row r="26695" spans="7:7">
      <c r="G26695" s="812"/>
    </row>
    <row r="26696" spans="7:7">
      <c r="G26696" s="812"/>
    </row>
    <row r="26697" spans="7:7">
      <c r="G26697" s="812"/>
    </row>
    <row r="26698" spans="7:7">
      <c r="G26698" s="812"/>
    </row>
    <row r="26699" spans="7:7">
      <c r="G26699" s="812"/>
    </row>
    <row r="26700" spans="7:7">
      <c r="G26700" s="812"/>
    </row>
    <row r="26701" spans="7:7">
      <c r="G26701" s="812"/>
    </row>
    <row r="26702" spans="7:7">
      <c r="G26702" s="812"/>
    </row>
    <row r="26703" spans="7:7">
      <c r="G26703" s="812"/>
    </row>
    <row r="26704" spans="7:7">
      <c r="G26704" s="812"/>
    </row>
    <row r="26705" spans="7:7">
      <c r="G26705" s="812"/>
    </row>
    <row r="26706" spans="7:7">
      <c r="G26706" s="812"/>
    </row>
    <row r="26707" spans="7:7">
      <c r="G26707" s="812"/>
    </row>
    <row r="26708" spans="7:7">
      <c r="G26708" s="812"/>
    </row>
    <row r="26709" spans="7:7">
      <c r="G26709" s="812"/>
    </row>
    <row r="26710" spans="7:7">
      <c r="G26710" s="812"/>
    </row>
    <row r="26711" spans="7:7">
      <c r="G26711" s="812"/>
    </row>
    <row r="26712" spans="7:7">
      <c r="G26712" s="812"/>
    </row>
    <row r="26713" spans="7:7">
      <c r="G26713" s="812"/>
    </row>
    <row r="26714" spans="7:7">
      <c r="G26714" s="812"/>
    </row>
    <row r="26715" spans="7:7">
      <c r="G26715" s="812"/>
    </row>
    <row r="26716" spans="7:7">
      <c r="G26716" s="812"/>
    </row>
    <row r="26717" spans="7:7">
      <c r="G26717" s="812"/>
    </row>
    <row r="26718" spans="7:7">
      <c r="G26718" s="812"/>
    </row>
    <row r="26719" spans="7:7">
      <c r="G26719" s="812"/>
    </row>
    <row r="26720" spans="7:7">
      <c r="G26720" s="812"/>
    </row>
    <row r="26721" spans="7:7">
      <c r="G26721" s="812"/>
    </row>
    <row r="26722" spans="7:7">
      <c r="G26722" s="812"/>
    </row>
    <row r="26723" spans="7:7">
      <c r="G26723" s="812"/>
    </row>
    <row r="26724" spans="7:7">
      <c r="G26724" s="812"/>
    </row>
    <row r="26725" spans="7:7">
      <c r="G26725" s="812"/>
    </row>
    <row r="26726" spans="7:7">
      <c r="G26726" s="812"/>
    </row>
    <row r="26727" spans="7:7">
      <c r="G26727" s="812"/>
    </row>
    <row r="26728" spans="7:7">
      <c r="G26728" s="812"/>
    </row>
    <row r="26729" spans="7:7">
      <c r="G26729" s="812"/>
    </row>
    <row r="26730" spans="7:7">
      <c r="G26730" s="812"/>
    </row>
    <row r="26731" spans="7:7">
      <c r="G26731" s="812"/>
    </row>
    <row r="26732" spans="7:7">
      <c r="G26732" s="812"/>
    </row>
    <row r="26733" spans="7:7">
      <c r="G26733" s="812"/>
    </row>
    <row r="26734" spans="7:7">
      <c r="G26734" s="812"/>
    </row>
    <row r="26735" spans="7:7">
      <c r="G26735" s="812"/>
    </row>
    <row r="26736" spans="7:7">
      <c r="G26736" s="812"/>
    </row>
    <row r="26737" spans="7:7">
      <c r="G26737" s="812"/>
    </row>
    <row r="26738" spans="7:7">
      <c r="G26738" s="812"/>
    </row>
    <row r="26739" spans="7:7">
      <c r="G26739" s="812"/>
    </row>
    <row r="26740" spans="7:7">
      <c r="G26740" s="812"/>
    </row>
    <row r="26741" spans="7:7">
      <c r="G26741" s="812"/>
    </row>
    <row r="26742" spans="7:7">
      <c r="G26742" s="812"/>
    </row>
    <row r="26743" spans="7:7">
      <c r="G26743" s="812"/>
    </row>
    <row r="26744" spans="7:7">
      <c r="G26744" s="812"/>
    </row>
    <row r="26745" spans="7:7">
      <c r="G26745" s="812"/>
    </row>
    <row r="26746" spans="7:7">
      <c r="G26746" s="812"/>
    </row>
    <row r="26747" spans="7:7">
      <c r="G26747" s="812"/>
    </row>
    <row r="26748" spans="7:7">
      <c r="G26748" s="812"/>
    </row>
    <row r="26749" spans="7:7">
      <c r="G26749" s="812"/>
    </row>
    <row r="26750" spans="7:7">
      <c r="G26750" s="812"/>
    </row>
    <row r="26751" spans="7:7">
      <c r="G26751" s="812"/>
    </row>
    <row r="26752" spans="7:7">
      <c r="G26752" s="812"/>
    </row>
    <row r="26753" spans="7:7">
      <c r="G26753" s="812"/>
    </row>
    <row r="26754" spans="7:7">
      <c r="G26754" s="812"/>
    </row>
    <row r="26755" spans="7:7">
      <c r="G26755" s="812"/>
    </row>
    <row r="26756" spans="7:7">
      <c r="G26756" s="812"/>
    </row>
    <row r="26757" spans="7:7">
      <c r="G26757" s="812"/>
    </row>
    <row r="26758" spans="7:7">
      <c r="G26758" s="812"/>
    </row>
    <row r="26759" spans="7:7">
      <c r="G26759" s="812"/>
    </row>
    <row r="26760" spans="7:7">
      <c r="G26760" s="812"/>
    </row>
    <row r="26761" spans="7:7">
      <c r="G26761" s="812"/>
    </row>
    <row r="26762" spans="7:7">
      <c r="G26762" s="812"/>
    </row>
    <row r="26763" spans="7:7">
      <c r="G26763" s="812"/>
    </row>
    <row r="26764" spans="7:7">
      <c r="G26764" s="812"/>
    </row>
    <row r="26765" spans="7:7">
      <c r="G26765" s="812"/>
    </row>
    <row r="26766" spans="7:7">
      <c r="G26766" s="812"/>
    </row>
    <row r="26767" spans="7:7">
      <c r="G26767" s="812"/>
    </row>
    <row r="26768" spans="7:7">
      <c r="G26768" s="812"/>
    </row>
    <row r="26769" spans="7:7">
      <c r="G26769" s="812"/>
    </row>
    <row r="26770" spans="7:7">
      <c r="G26770" s="812"/>
    </row>
    <row r="26771" spans="7:7">
      <c r="G26771" s="812"/>
    </row>
    <row r="26772" spans="7:7">
      <c r="G26772" s="812"/>
    </row>
    <row r="26773" spans="7:7">
      <c r="G26773" s="812"/>
    </row>
    <row r="26774" spans="7:7">
      <c r="G26774" s="812"/>
    </row>
    <row r="26775" spans="7:7">
      <c r="G26775" s="812"/>
    </row>
    <row r="26776" spans="7:7">
      <c r="G26776" s="812"/>
    </row>
    <row r="26777" spans="7:7">
      <c r="G26777" s="812"/>
    </row>
    <row r="26778" spans="7:7">
      <c r="G26778" s="812"/>
    </row>
    <row r="26779" spans="7:7">
      <c r="G26779" s="812"/>
    </row>
    <row r="26780" spans="7:7">
      <c r="G26780" s="812"/>
    </row>
    <row r="26781" spans="7:7">
      <c r="G26781" s="812"/>
    </row>
    <row r="26782" spans="7:7">
      <c r="G26782" s="812"/>
    </row>
    <row r="26783" spans="7:7">
      <c r="G26783" s="812"/>
    </row>
    <row r="26784" spans="7:7">
      <c r="G26784" s="812"/>
    </row>
    <row r="26785" spans="7:7">
      <c r="G26785" s="812"/>
    </row>
    <row r="26786" spans="7:7">
      <c r="G26786" s="812"/>
    </row>
    <row r="26787" spans="7:7">
      <c r="G26787" s="812"/>
    </row>
    <row r="26788" spans="7:7">
      <c r="G26788" s="812"/>
    </row>
    <row r="26789" spans="7:7">
      <c r="G26789" s="812"/>
    </row>
    <row r="26790" spans="7:7">
      <c r="G26790" s="812"/>
    </row>
    <row r="26791" spans="7:7">
      <c r="G26791" s="812"/>
    </row>
    <row r="26792" spans="7:7">
      <c r="G26792" s="812"/>
    </row>
    <row r="26793" spans="7:7">
      <c r="G26793" s="812"/>
    </row>
    <row r="26794" spans="7:7">
      <c r="G26794" s="812"/>
    </row>
    <row r="26795" spans="7:7">
      <c r="G26795" s="812"/>
    </row>
    <row r="26796" spans="7:7">
      <c r="G26796" s="812"/>
    </row>
    <row r="26797" spans="7:7">
      <c r="G26797" s="812"/>
    </row>
    <row r="26798" spans="7:7">
      <c r="G26798" s="812"/>
    </row>
    <row r="26799" spans="7:7">
      <c r="G26799" s="812"/>
    </row>
    <row r="26800" spans="7:7">
      <c r="G26800" s="812"/>
    </row>
    <row r="26801" spans="7:7">
      <c r="G26801" s="812"/>
    </row>
    <row r="26802" spans="7:7">
      <c r="G26802" s="812"/>
    </row>
    <row r="26803" spans="7:7">
      <c r="G26803" s="812"/>
    </row>
    <row r="26804" spans="7:7">
      <c r="G26804" s="812"/>
    </row>
    <row r="26805" spans="7:7">
      <c r="G26805" s="812"/>
    </row>
    <row r="26806" spans="7:7">
      <c r="G26806" s="812"/>
    </row>
    <row r="26807" spans="7:7">
      <c r="G26807" s="812"/>
    </row>
    <row r="26808" spans="7:7">
      <c r="G26808" s="812"/>
    </row>
    <row r="26809" spans="7:7">
      <c r="G26809" s="812"/>
    </row>
    <row r="26810" spans="7:7">
      <c r="G26810" s="812"/>
    </row>
    <row r="26811" spans="7:7">
      <c r="G26811" s="812"/>
    </row>
    <row r="26812" spans="7:7">
      <c r="G26812" s="812"/>
    </row>
    <row r="26813" spans="7:7">
      <c r="G26813" s="812"/>
    </row>
    <row r="26814" spans="7:7">
      <c r="G26814" s="812"/>
    </row>
    <row r="26815" spans="7:7">
      <c r="G26815" s="812"/>
    </row>
    <row r="26816" spans="7:7">
      <c r="G26816" s="812"/>
    </row>
    <row r="26817" spans="7:7">
      <c r="G26817" s="812"/>
    </row>
    <row r="26818" spans="7:7">
      <c r="G26818" s="812"/>
    </row>
    <row r="26819" spans="7:7">
      <c r="G26819" s="812"/>
    </row>
    <row r="26820" spans="7:7">
      <c r="G26820" s="812"/>
    </row>
    <row r="26821" spans="7:7">
      <c r="G26821" s="812"/>
    </row>
    <row r="26822" spans="7:7">
      <c r="G26822" s="812"/>
    </row>
    <row r="26823" spans="7:7">
      <c r="G26823" s="812"/>
    </row>
    <row r="26824" spans="7:7">
      <c r="G26824" s="812"/>
    </row>
    <row r="26825" spans="7:7">
      <c r="G26825" s="812"/>
    </row>
    <row r="26826" spans="7:7">
      <c r="G26826" s="812"/>
    </row>
    <row r="26827" spans="7:7">
      <c r="G26827" s="812"/>
    </row>
    <row r="26828" spans="7:7">
      <c r="G26828" s="812"/>
    </row>
    <row r="26829" spans="7:7">
      <c r="G26829" s="812"/>
    </row>
    <row r="26830" spans="7:7">
      <c r="G26830" s="812"/>
    </row>
    <row r="26831" spans="7:7">
      <c r="G26831" s="812"/>
    </row>
    <row r="26832" spans="7:7">
      <c r="G26832" s="812"/>
    </row>
    <row r="26833" spans="7:7">
      <c r="G26833" s="812"/>
    </row>
    <row r="26834" spans="7:7">
      <c r="G26834" s="812"/>
    </row>
    <row r="26835" spans="7:7">
      <c r="G26835" s="812"/>
    </row>
    <row r="26836" spans="7:7">
      <c r="G26836" s="812"/>
    </row>
    <row r="26837" spans="7:7">
      <c r="G26837" s="812"/>
    </row>
    <row r="26838" spans="7:7">
      <c r="G26838" s="812"/>
    </row>
    <row r="26839" spans="7:7">
      <c r="G26839" s="812"/>
    </row>
    <row r="26840" spans="7:7">
      <c r="G26840" s="812"/>
    </row>
    <row r="26841" spans="7:7">
      <c r="G26841" s="812"/>
    </row>
    <row r="26842" spans="7:7">
      <c r="G26842" s="812"/>
    </row>
    <row r="26843" spans="7:7">
      <c r="G26843" s="812"/>
    </row>
    <row r="26844" spans="7:7">
      <c r="G26844" s="812"/>
    </row>
    <row r="26845" spans="7:7">
      <c r="G26845" s="812"/>
    </row>
    <row r="26846" spans="7:7">
      <c r="G26846" s="812"/>
    </row>
    <row r="26847" spans="7:7">
      <c r="G26847" s="812"/>
    </row>
    <row r="26848" spans="7:7">
      <c r="G26848" s="812"/>
    </row>
    <row r="26849" spans="7:7">
      <c r="G26849" s="812"/>
    </row>
    <row r="26850" spans="7:7">
      <c r="G26850" s="812"/>
    </row>
    <row r="26851" spans="7:7">
      <c r="G26851" s="812"/>
    </row>
    <row r="26852" spans="7:7">
      <c r="G26852" s="812"/>
    </row>
    <row r="26853" spans="7:7">
      <c r="G26853" s="812"/>
    </row>
    <row r="26854" spans="7:7">
      <c r="G26854" s="812"/>
    </row>
    <row r="26855" spans="7:7">
      <c r="G26855" s="812"/>
    </row>
    <row r="26856" spans="7:7">
      <c r="G26856" s="812"/>
    </row>
    <row r="26857" spans="7:7">
      <c r="G26857" s="812"/>
    </row>
    <row r="26858" spans="7:7">
      <c r="G26858" s="812"/>
    </row>
    <row r="26859" spans="7:7">
      <c r="G26859" s="812"/>
    </row>
    <row r="26860" spans="7:7">
      <c r="G26860" s="812"/>
    </row>
    <row r="26861" spans="7:7">
      <c r="G26861" s="812"/>
    </row>
    <row r="26862" spans="7:7">
      <c r="G26862" s="812"/>
    </row>
    <row r="26863" spans="7:7">
      <c r="G26863" s="812"/>
    </row>
    <row r="26864" spans="7:7">
      <c r="G26864" s="812"/>
    </row>
    <row r="26865" spans="7:7">
      <c r="G26865" s="812"/>
    </row>
    <row r="26866" spans="7:7">
      <c r="G26866" s="812"/>
    </row>
    <row r="26867" spans="7:7">
      <c r="G26867" s="812"/>
    </row>
    <row r="26868" spans="7:7">
      <c r="G26868" s="812"/>
    </row>
    <row r="26869" spans="7:7">
      <c r="G26869" s="812"/>
    </row>
    <row r="26870" spans="7:7">
      <c r="G26870" s="812"/>
    </row>
    <row r="26871" spans="7:7">
      <c r="G26871" s="812"/>
    </row>
    <row r="26872" spans="7:7">
      <c r="G26872" s="812"/>
    </row>
    <row r="26873" spans="7:7">
      <c r="G26873" s="812"/>
    </row>
    <row r="26874" spans="7:7">
      <c r="G26874" s="812"/>
    </row>
    <row r="26875" spans="7:7">
      <c r="G26875" s="812"/>
    </row>
    <row r="26876" spans="7:7">
      <c r="G26876" s="812"/>
    </row>
    <row r="26877" spans="7:7">
      <c r="G26877" s="812"/>
    </row>
    <row r="26878" spans="7:7">
      <c r="G26878" s="812"/>
    </row>
    <row r="26879" spans="7:7">
      <c r="G26879" s="812"/>
    </row>
    <row r="26880" spans="7:7">
      <c r="G26880" s="812"/>
    </row>
    <row r="26881" spans="7:7">
      <c r="G26881" s="812"/>
    </row>
    <row r="26882" spans="7:7">
      <c r="G26882" s="812"/>
    </row>
    <row r="26883" spans="7:7">
      <c r="G26883" s="812"/>
    </row>
    <row r="26884" spans="7:7">
      <c r="G26884" s="812"/>
    </row>
    <row r="26885" spans="7:7">
      <c r="G26885" s="812"/>
    </row>
    <row r="26886" spans="7:7">
      <c r="G26886" s="812"/>
    </row>
    <row r="26887" spans="7:7">
      <c r="G26887" s="812"/>
    </row>
    <row r="26888" spans="7:7">
      <c r="G26888" s="812"/>
    </row>
    <row r="26889" spans="7:7">
      <c r="G26889" s="812"/>
    </row>
    <row r="26890" spans="7:7">
      <c r="G26890" s="812"/>
    </row>
    <row r="26891" spans="7:7">
      <c r="G26891" s="812"/>
    </row>
    <row r="26892" spans="7:7">
      <c r="G26892" s="812"/>
    </row>
    <row r="26893" spans="7:7">
      <c r="G26893" s="812"/>
    </row>
    <row r="26894" spans="7:7">
      <c r="G26894" s="812"/>
    </row>
    <row r="26895" spans="7:7">
      <c r="G26895" s="812"/>
    </row>
    <row r="26896" spans="7:7">
      <c r="G26896" s="812"/>
    </row>
    <row r="26897" spans="7:7">
      <c r="G26897" s="812"/>
    </row>
    <row r="26898" spans="7:7">
      <c r="G26898" s="812"/>
    </row>
    <row r="26899" spans="7:7">
      <c r="G26899" s="812"/>
    </row>
    <row r="26900" spans="7:7">
      <c r="G26900" s="812"/>
    </row>
    <row r="26901" spans="7:7">
      <c r="G26901" s="812"/>
    </row>
    <row r="26902" spans="7:7">
      <c r="G26902" s="812"/>
    </row>
    <row r="26903" spans="7:7">
      <c r="G26903" s="812"/>
    </row>
    <row r="26904" spans="7:7">
      <c r="G26904" s="812"/>
    </row>
    <row r="26905" spans="7:7">
      <c r="G26905" s="812"/>
    </row>
    <row r="26906" spans="7:7">
      <c r="G26906" s="812"/>
    </row>
    <row r="26907" spans="7:7">
      <c r="G26907" s="812"/>
    </row>
    <row r="26908" spans="7:7">
      <c r="G26908" s="812"/>
    </row>
    <row r="26909" spans="7:7">
      <c r="G26909" s="812"/>
    </row>
    <row r="26910" spans="7:7">
      <c r="G26910" s="812"/>
    </row>
    <row r="26911" spans="7:7">
      <c r="G26911" s="812"/>
    </row>
    <row r="26912" spans="7:7">
      <c r="G26912" s="812"/>
    </row>
    <row r="26913" spans="7:7">
      <c r="G26913" s="812"/>
    </row>
    <row r="26914" spans="7:7">
      <c r="G26914" s="812"/>
    </row>
    <row r="26915" spans="7:7">
      <c r="G26915" s="812"/>
    </row>
    <row r="26916" spans="7:7">
      <c r="G26916" s="812"/>
    </row>
    <row r="26917" spans="7:7">
      <c r="G26917" s="812"/>
    </row>
    <row r="26918" spans="7:7">
      <c r="G26918" s="812"/>
    </row>
    <row r="26919" spans="7:7">
      <c r="G26919" s="812"/>
    </row>
    <row r="26920" spans="7:7">
      <c r="G26920" s="812"/>
    </row>
    <row r="26921" spans="7:7">
      <c r="G26921" s="812"/>
    </row>
    <row r="26922" spans="7:7">
      <c r="G26922" s="812"/>
    </row>
    <row r="26923" spans="7:7">
      <c r="G26923" s="812"/>
    </row>
    <row r="26924" spans="7:7">
      <c r="G26924" s="812"/>
    </row>
    <row r="26925" spans="7:7">
      <c r="G26925" s="812"/>
    </row>
    <row r="26926" spans="7:7">
      <c r="G26926" s="812"/>
    </row>
    <row r="26927" spans="7:7">
      <c r="G26927" s="812"/>
    </row>
    <row r="26928" spans="7:7">
      <c r="G26928" s="812"/>
    </row>
    <row r="26929" spans="7:7">
      <c r="G26929" s="812"/>
    </row>
    <row r="26930" spans="7:7">
      <c r="G26930" s="812"/>
    </row>
    <row r="26931" spans="7:7">
      <c r="G26931" s="812"/>
    </row>
    <row r="26932" spans="7:7">
      <c r="G26932" s="812"/>
    </row>
    <row r="26933" spans="7:7">
      <c r="G26933" s="812"/>
    </row>
    <row r="26934" spans="7:7">
      <c r="G26934" s="812"/>
    </row>
    <row r="26935" spans="7:7">
      <c r="G26935" s="812"/>
    </row>
    <row r="26936" spans="7:7">
      <c r="G26936" s="812"/>
    </row>
    <row r="26937" spans="7:7">
      <c r="G26937" s="812"/>
    </row>
    <row r="26938" spans="7:7">
      <c r="G26938" s="812"/>
    </row>
    <row r="26939" spans="7:7">
      <c r="G26939" s="812"/>
    </row>
    <row r="26940" spans="7:7">
      <c r="G26940" s="812"/>
    </row>
    <row r="26941" spans="7:7">
      <c r="G26941" s="812"/>
    </row>
    <row r="26942" spans="7:7">
      <c r="G26942" s="812"/>
    </row>
    <row r="26943" spans="7:7">
      <c r="G26943" s="812"/>
    </row>
    <row r="26944" spans="7:7">
      <c r="G26944" s="812"/>
    </row>
    <row r="26945" spans="7:7">
      <c r="G26945" s="812"/>
    </row>
    <row r="26946" spans="7:7">
      <c r="G26946" s="812"/>
    </row>
    <row r="26947" spans="7:7">
      <c r="G26947" s="812"/>
    </row>
    <row r="26948" spans="7:7">
      <c r="G26948" s="812"/>
    </row>
    <row r="26949" spans="7:7">
      <c r="G26949" s="812"/>
    </row>
    <row r="26950" spans="7:7">
      <c r="G26950" s="812"/>
    </row>
    <row r="26951" spans="7:7">
      <c r="G26951" s="812"/>
    </row>
    <row r="26952" spans="7:7">
      <c r="G26952" s="812"/>
    </row>
    <row r="26953" spans="7:7">
      <c r="G26953" s="812"/>
    </row>
    <row r="26954" spans="7:7">
      <c r="G26954" s="812"/>
    </row>
    <row r="26955" spans="7:7">
      <c r="G26955" s="812"/>
    </row>
    <row r="26956" spans="7:7">
      <c r="G26956" s="812"/>
    </row>
    <row r="26957" spans="7:7">
      <c r="G26957" s="812"/>
    </row>
    <row r="26958" spans="7:7">
      <c r="G26958" s="812"/>
    </row>
    <row r="26959" spans="7:7">
      <c r="G26959" s="812"/>
    </row>
    <row r="26960" spans="7:7">
      <c r="G26960" s="812"/>
    </row>
    <row r="26961" spans="7:7">
      <c r="G26961" s="812"/>
    </row>
    <row r="26962" spans="7:7">
      <c r="G26962" s="812"/>
    </row>
    <row r="26963" spans="7:7">
      <c r="G26963" s="812"/>
    </row>
    <row r="26964" spans="7:7">
      <c r="G26964" s="812"/>
    </row>
    <row r="26965" spans="7:7">
      <c r="G26965" s="812"/>
    </row>
    <row r="26966" spans="7:7">
      <c r="G26966" s="812"/>
    </row>
    <row r="26967" spans="7:7">
      <c r="G26967" s="812"/>
    </row>
    <row r="26968" spans="7:7">
      <c r="G26968" s="812"/>
    </row>
    <row r="26969" spans="7:7">
      <c r="G26969" s="812"/>
    </row>
    <row r="26970" spans="7:7">
      <c r="G26970" s="812"/>
    </row>
    <row r="26971" spans="7:7">
      <c r="G26971" s="812"/>
    </row>
    <row r="26972" spans="7:7">
      <c r="G26972" s="812"/>
    </row>
    <row r="26973" spans="7:7">
      <c r="G26973" s="812"/>
    </row>
    <row r="26974" spans="7:7">
      <c r="G26974" s="812"/>
    </row>
    <row r="26975" spans="7:7">
      <c r="G26975" s="812"/>
    </row>
    <row r="26976" spans="7:7">
      <c r="G26976" s="812"/>
    </row>
    <row r="26977" spans="7:7">
      <c r="G26977" s="812"/>
    </row>
    <row r="26978" spans="7:7">
      <c r="G26978" s="812"/>
    </row>
    <row r="26979" spans="7:7">
      <c r="G26979" s="812"/>
    </row>
    <row r="26980" spans="7:7">
      <c r="G26980" s="812"/>
    </row>
    <row r="26981" spans="7:7">
      <c r="G26981" s="812"/>
    </row>
    <row r="26982" spans="7:7">
      <c r="G26982" s="812"/>
    </row>
    <row r="26983" spans="7:7">
      <c r="G26983" s="812"/>
    </row>
    <row r="26984" spans="7:7">
      <c r="G26984" s="812"/>
    </row>
    <row r="26985" spans="7:7">
      <c r="G26985" s="812"/>
    </row>
    <row r="26986" spans="7:7">
      <c r="G26986" s="812"/>
    </row>
    <row r="26987" spans="7:7">
      <c r="G26987" s="812"/>
    </row>
    <row r="26988" spans="7:7">
      <c r="G26988" s="812"/>
    </row>
    <row r="26989" spans="7:7">
      <c r="G26989" s="812"/>
    </row>
    <row r="26990" spans="7:7">
      <c r="G26990" s="812"/>
    </row>
    <row r="26991" spans="7:7">
      <c r="G26991" s="812"/>
    </row>
    <row r="26992" spans="7:7">
      <c r="G26992" s="812"/>
    </row>
    <row r="26993" spans="7:7">
      <c r="G26993" s="812"/>
    </row>
    <row r="26994" spans="7:7">
      <c r="G26994" s="812"/>
    </row>
    <row r="26995" spans="7:7">
      <c r="G26995" s="812"/>
    </row>
    <row r="26996" spans="7:7">
      <c r="G26996" s="812"/>
    </row>
    <row r="26997" spans="7:7">
      <c r="G26997" s="812"/>
    </row>
    <row r="26998" spans="7:7">
      <c r="G26998" s="812"/>
    </row>
    <row r="26999" spans="7:7">
      <c r="G26999" s="812"/>
    </row>
    <row r="27000" spans="7:7">
      <c r="G27000" s="812"/>
    </row>
    <row r="27001" spans="7:7">
      <c r="G27001" s="812"/>
    </row>
    <row r="27002" spans="7:7">
      <c r="G27002" s="812"/>
    </row>
    <row r="27003" spans="7:7">
      <c r="G27003" s="812"/>
    </row>
    <row r="27004" spans="7:7">
      <c r="G27004" s="812"/>
    </row>
    <row r="27005" spans="7:7">
      <c r="G27005" s="812"/>
    </row>
    <row r="27006" spans="7:7">
      <c r="G27006" s="812"/>
    </row>
    <row r="27007" spans="7:7">
      <c r="G27007" s="812"/>
    </row>
    <row r="27008" spans="7:7">
      <c r="G27008" s="812"/>
    </row>
    <row r="27009" spans="7:7">
      <c r="G27009" s="812"/>
    </row>
    <row r="27010" spans="7:7">
      <c r="G27010" s="812"/>
    </row>
    <row r="27011" spans="7:7">
      <c r="G27011" s="812"/>
    </row>
    <row r="27012" spans="7:7">
      <c r="G27012" s="812"/>
    </row>
    <row r="27013" spans="7:7">
      <c r="G27013" s="812"/>
    </row>
    <row r="27014" spans="7:7">
      <c r="G27014" s="812"/>
    </row>
    <row r="27015" spans="7:7">
      <c r="G27015" s="812"/>
    </row>
    <row r="27016" spans="7:7">
      <c r="G27016" s="812"/>
    </row>
    <row r="27017" spans="7:7">
      <c r="G27017" s="812"/>
    </row>
    <row r="27018" spans="7:7">
      <c r="G27018" s="812"/>
    </row>
    <row r="27019" spans="7:7">
      <c r="G27019" s="812"/>
    </row>
    <row r="27020" spans="7:7">
      <c r="G27020" s="812"/>
    </row>
    <row r="27021" spans="7:7">
      <c r="G27021" s="812"/>
    </row>
    <row r="27022" spans="7:7">
      <c r="G27022" s="812"/>
    </row>
    <row r="27023" spans="7:7">
      <c r="G27023" s="812"/>
    </row>
    <row r="27024" spans="7:7">
      <c r="G27024" s="812"/>
    </row>
    <row r="27025" spans="7:7">
      <c r="G27025" s="812"/>
    </row>
    <row r="27026" spans="7:7">
      <c r="G27026" s="812"/>
    </row>
    <row r="27027" spans="7:7">
      <c r="G27027" s="812"/>
    </row>
    <row r="27028" spans="7:7">
      <c r="G27028" s="812"/>
    </row>
    <row r="27029" spans="7:7">
      <c r="G27029" s="812"/>
    </row>
    <row r="27030" spans="7:7">
      <c r="G27030" s="812"/>
    </row>
    <row r="27031" spans="7:7">
      <c r="G27031" s="812"/>
    </row>
    <row r="27032" spans="7:7">
      <c r="G27032" s="812"/>
    </row>
    <row r="27033" spans="7:7">
      <c r="G27033" s="812"/>
    </row>
    <row r="27034" spans="7:7">
      <c r="G27034" s="812"/>
    </row>
    <row r="27035" spans="7:7">
      <c r="G27035" s="812"/>
    </row>
    <row r="27036" spans="7:7">
      <c r="G27036" s="812"/>
    </row>
    <row r="27037" spans="7:7">
      <c r="G27037" s="812"/>
    </row>
    <row r="27038" spans="7:7">
      <c r="G27038" s="812"/>
    </row>
    <row r="27039" spans="7:7">
      <c r="G27039" s="812"/>
    </row>
    <row r="27040" spans="7:7">
      <c r="G27040" s="812"/>
    </row>
    <row r="27041" spans="7:7">
      <c r="G27041" s="812"/>
    </row>
    <row r="27042" spans="7:7">
      <c r="G27042" s="812"/>
    </row>
    <row r="27043" spans="7:7">
      <c r="G27043" s="812"/>
    </row>
    <row r="27044" spans="7:7">
      <c r="G27044" s="812"/>
    </row>
    <row r="27045" spans="7:7">
      <c r="G27045" s="812"/>
    </row>
    <row r="27046" spans="7:7">
      <c r="G27046" s="812"/>
    </row>
    <row r="27047" spans="7:7">
      <c r="G27047" s="812"/>
    </row>
    <row r="27048" spans="7:7">
      <c r="G27048" s="812"/>
    </row>
    <row r="27049" spans="7:7">
      <c r="G27049" s="812"/>
    </row>
    <row r="27050" spans="7:7">
      <c r="G27050" s="812"/>
    </row>
    <row r="27051" spans="7:7">
      <c r="G27051" s="812"/>
    </row>
    <row r="27052" spans="7:7">
      <c r="G27052" s="812"/>
    </row>
    <row r="27053" spans="7:7">
      <c r="G27053" s="812"/>
    </row>
    <row r="27054" spans="7:7">
      <c r="G27054" s="812"/>
    </row>
    <row r="27055" spans="7:7">
      <c r="G27055" s="812"/>
    </row>
    <row r="27056" spans="7:7">
      <c r="G27056" s="812"/>
    </row>
    <row r="27057" spans="7:7">
      <c r="G27057" s="812"/>
    </row>
    <row r="27058" spans="7:7">
      <c r="G27058" s="812"/>
    </row>
    <row r="27059" spans="7:7">
      <c r="G27059" s="812"/>
    </row>
    <row r="27060" spans="7:7">
      <c r="G27060" s="812"/>
    </row>
    <row r="27061" spans="7:7">
      <c r="G27061" s="812"/>
    </row>
    <row r="27062" spans="7:7">
      <c r="G27062" s="812"/>
    </row>
    <row r="27063" spans="7:7">
      <c r="G27063" s="812"/>
    </row>
    <row r="27064" spans="7:7">
      <c r="G27064" s="812"/>
    </row>
    <row r="27065" spans="7:7">
      <c r="G27065" s="812"/>
    </row>
    <row r="27066" spans="7:7">
      <c r="G27066" s="812"/>
    </row>
    <row r="27067" spans="7:7">
      <c r="G27067" s="812"/>
    </row>
    <row r="27068" spans="7:7">
      <c r="G27068" s="812"/>
    </row>
    <row r="27069" spans="7:7">
      <c r="G27069" s="812"/>
    </row>
    <row r="27070" spans="7:7">
      <c r="G27070" s="812"/>
    </row>
    <row r="27071" spans="7:7">
      <c r="G27071" s="812"/>
    </row>
    <row r="27072" spans="7:7">
      <c r="G27072" s="812"/>
    </row>
    <row r="27073" spans="7:7">
      <c r="G27073" s="812"/>
    </row>
    <row r="27074" spans="7:7">
      <c r="G27074" s="812"/>
    </row>
    <row r="27075" spans="7:7">
      <c r="G27075" s="812"/>
    </row>
    <row r="27076" spans="7:7">
      <c r="G27076" s="812"/>
    </row>
    <row r="27077" spans="7:7">
      <c r="G27077" s="812"/>
    </row>
    <row r="27078" spans="7:7">
      <c r="G27078" s="812"/>
    </row>
    <row r="27079" spans="7:7">
      <c r="G27079" s="812"/>
    </row>
    <row r="27080" spans="7:7">
      <c r="G27080" s="812"/>
    </row>
    <row r="27081" spans="7:7">
      <c r="G27081" s="812"/>
    </row>
    <row r="27082" spans="7:7">
      <c r="G27082" s="812"/>
    </row>
    <row r="27083" spans="7:7">
      <c r="G27083" s="812"/>
    </row>
    <row r="27084" spans="7:7">
      <c r="G27084" s="812"/>
    </row>
    <row r="27085" spans="7:7">
      <c r="G27085" s="812"/>
    </row>
    <row r="27086" spans="7:7">
      <c r="G27086" s="812"/>
    </row>
    <row r="27087" spans="7:7">
      <c r="G27087" s="812"/>
    </row>
    <row r="27088" spans="7:7">
      <c r="G27088" s="812"/>
    </row>
    <row r="27089" spans="7:7">
      <c r="G27089" s="812"/>
    </row>
    <row r="27090" spans="7:7">
      <c r="G27090" s="812"/>
    </row>
    <row r="27091" spans="7:7">
      <c r="G27091" s="812"/>
    </row>
    <row r="27092" spans="7:7">
      <c r="G27092" s="812"/>
    </row>
    <row r="27093" spans="7:7">
      <c r="G27093" s="812"/>
    </row>
    <row r="27094" spans="7:7">
      <c r="G27094" s="812"/>
    </row>
    <row r="27095" spans="7:7">
      <c r="G27095" s="812"/>
    </row>
    <row r="27096" spans="7:7">
      <c r="G27096" s="812"/>
    </row>
    <row r="27097" spans="7:7">
      <c r="G27097" s="812"/>
    </row>
    <row r="27098" spans="7:7">
      <c r="G27098" s="812"/>
    </row>
    <row r="27099" spans="7:7">
      <c r="G27099" s="812"/>
    </row>
    <row r="27100" spans="7:7">
      <c r="G27100" s="812"/>
    </row>
    <row r="27101" spans="7:7">
      <c r="G27101" s="812"/>
    </row>
    <row r="27102" spans="7:7">
      <c r="G27102" s="812"/>
    </row>
    <row r="27103" spans="7:7">
      <c r="G27103" s="812"/>
    </row>
    <row r="27104" spans="7:7">
      <c r="G27104" s="812"/>
    </row>
    <row r="27105" spans="7:7">
      <c r="G27105" s="812"/>
    </row>
    <row r="27106" spans="7:7">
      <c r="G27106" s="812"/>
    </row>
    <row r="27107" spans="7:7">
      <c r="G27107" s="812"/>
    </row>
    <row r="27108" spans="7:7">
      <c r="G27108" s="812"/>
    </row>
    <row r="27109" spans="7:7">
      <c r="G27109" s="812"/>
    </row>
    <row r="27110" spans="7:7">
      <c r="G27110" s="812"/>
    </row>
    <row r="27111" spans="7:7">
      <c r="G27111" s="812"/>
    </row>
    <row r="27112" spans="7:7">
      <c r="G27112" s="812"/>
    </row>
    <row r="27113" spans="7:7">
      <c r="G27113" s="812"/>
    </row>
    <row r="27114" spans="7:7">
      <c r="G27114" s="812"/>
    </row>
    <row r="27115" spans="7:7">
      <c r="G27115" s="812"/>
    </row>
    <row r="27116" spans="7:7">
      <c r="G27116" s="812"/>
    </row>
    <row r="27117" spans="7:7">
      <c r="G27117" s="812"/>
    </row>
    <row r="27118" spans="7:7">
      <c r="G27118" s="812"/>
    </row>
    <row r="27119" spans="7:7">
      <c r="G27119" s="812"/>
    </row>
    <row r="27120" spans="7:7">
      <c r="G27120" s="812"/>
    </row>
    <row r="27121" spans="7:7">
      <c r="G27121" s="812"/>
    </row>
    <row r="27122" spans="7:7">
      <c r="G27122" s="812"/>
    </row>
    <row r="27123" spans="7:7">
      <c r="G27123" s="812"/>
    </row>
    <row r="27124" spans="7:7">
      <c r="G27124" s="812"/>
    </row>
    <row r="27125" spans="7:7">
      <c r="G27125" s="812"/>
    </row>
    <row r="27126" spans="7:7">
      <c r="G27126" s="812"/>
    </row>
    <row r="27127" spans="7:7">
      <c r="G27127" s="812"/>
    </row>
    <row r="27128" spans="7:7">
      <c r="G27128" s="812"/>
    </row>
    <row r="27129" spans="7:7">
      <c r="G27129" s="812"/>
    </row>
    <row r="27130" spans="7:7">
      <c r="G27130" s="812"/>
    </row>
    <row r="27131" spans="7:7">
      <c r="G27131" s="812"/>
    </row>
    <row r="27132" spans="7:7">
      <c r="G27132" s="812"/>
    </row>
    <row r="27133" spans="7:7">
      <c r="G27133" s="812"/>
    </row>
    <row r="27134" spans="7:7">
      <c r="G27134" s="812"/>
    </row>
    <row r="27135" spans="7:7">
      <c r="G27135" s="812"/>
    </row>
    <row r="27136" spans="7:7">
      <c r="G27136" s="812"/>
    </row>
    <row r="27137" spans="7:7">
      <c r="G27137" s="812"/>
    </row>
    <row r="27138" spans="7:7">
      <c r="G27138" s="812"/>
    </row>
    <row r="27139" spans="7:7">
      <c r="G27139" s="812"/>
    </row>
    <row r="27140" spans="7:7">
      <c r="G27140" s="812"/>
    </row>
    <row r="27141" spans="7:7">
      <c r="G27141" s="812"/>
    </row>
    <row r="27142" spans="7:7">
      <c r="G27142" s="812"/>
    </row>
    <row r="27143" spans="7:7">
      <c r="G27143" s="812"/>
    </row>
    <row r="27144" spans="7:7">
      <c r="G27144" s="812"/>
    </row>
    <row r="27145" spans="7:7">
      <c r="G27145" s="812"/>
    </row>
    <row r="27146" spans="7:7">
      <c r="G27146" s="812"/>
    </row>
    <row r="27147" spans="7:7">
      <c r="G27147" s="812"/>
    </row>
    <row r="27148" spans="7:7">
      <c r="G27148" s="812"/>
    </row>
    <row r="27149" spans="7:7">
      <c r="G27149" s="812"/>
    </row>
    <row r="27150" spans="7:7">
      <c r="G27150" s="812"/>
    </row>
    <row r="27151" spans="7:7">
      <c r="G27151" s="812"/>
    </row>
    <row r="27152" spans="7:7">
      <c r="G27152" s="812"/>
    </row>
    <row r="27153" spans="7:7">
      <c r="G27153" s="812"/>
    </row>
    <row r="27154" spans="7:7">
      <c r="G27154" s="812"/>
    </row>
    <row r="27155" spans="7:7">
      <c r="G27155" s="812"/>
    </row>
    <row r="27156" spans="7:7">
      <c r="G27156" s="812"/>
    </row>
    <row r="27157" spans="7:7">
      <c r="G27157" s="812"/>
    </row>
    <row r="27158" spans="7:7">
      <c r="G27158" s="812"/>
    </row>
    <row r="27159" spans="7:7">
      <c r="G27159" s="812"/>
    </row>
    <row r="27160" spans="7:7">
      <c r="G27160" s="812"/>
    </row>
    <row r="27161" spans="7:7">
      <c r="G27161" s="812"/>
    </row>
    <row r="27162" spans="7:7">
      <c r="G27162" s="812"/>
    </row>
    <row r="27163" spans="7:7">
      <c r="G27163" s="812"/>
    </row>
    <row r="27164" spans="7:7">
      <c r="G27164" s="812"/>
    </row>
    <row r="27165" spans="7:7">
      <c r="G27165" s="812"/>
    </row>
    <row r="27166" spans="7:7">
      <c r="G27166" s="812"/>
    </row>
    <row r="27167" spans="7:7">
      <c r="G27167" s="812"/>
    </row>
    <row r="27168" spans="7:7">
      <c r="G27168" s="812"/>
    </row>
    <row r="27169" spans="7:7">
      <c r="G27169" s="812"/>
    </row>
    <row r="27170" spans="7:7">
      <c r="G27170" s="812"/>
    </row>
    <row r="27171" spans="7:7">
      <c r="G27171" s="812"/>
    </row>
    <row r="27172" spans="7:7">
      <c r="G27172" s="812"/>
    </row>
    <row r="27173" spans="7:7">
      <c r="G27173" s="812"/>
    </row>
    <row r="27174" spans="7:7">
      <c r="G27174" s="812"/>
    </row>
    <row r="27175" spans="7:7">
      <c r="G27175" s="812"/>
    </row>
    <row r="27176" spans="7:7">
      <c r="G27176" s="812"/>
    </row>
    <row r="27177" spans="7:7">
      <c r="G27177" s="812"/>
    </row>
    <row r="27178" spans="7:7">
      <c r="G27178" s="812"/>
    </row>
    <row r="27179" spans="7:7">
      <c r="G27179" s="812"/>
    </row>
    <row r="27180" spans="7:7">
      <c r="G27180" s="812"/>
    </row>
    <row r="27181" spans="7:7">
      <c r="G27181" s="812"/>
    </row>
    <row r="27182" spans="7:7">
      <c r="G27182" s="812"/>
    </row>
    <row r="27183" spans="7:7">
      <c r="G27183" s="812"/>
    </row>
    <row r="27184" spans="7:7">
      <c r="G27184" s="812"/>
    </row>
    <row r="27185" spans="7:7">
      <c r="G27185" s="812"/>
    </row>
    <row r="27186" spans="7:7">
      <c r="G27186" s="812"/>
    </row>
    <row r="27187" spans="7:7">
      <c r="G27187" s="812"/>
    </row>
    <row r="27188" spans="7:7">
      <c r="G27188" s="812"/>
    </row>
    <row r="27189" spans="7:7">
      <c r="G27189" s="812"/>
    </row>
    <row r="27190" spans="7:7">
      <c r="G27190" s="812"/>
    </row>
    <row r="27191" spans="7:7">
      <c r="G27191" s="812"/>
    </row>
    <row r="27192" spans="7:7">
      <c r="G27192" s="812"/>
    </row>
    <row r="27193" spans="7:7">
      <c r="G27193" s="812"/>
    </row>
    <row r="27194" spans="7:7">
      <c r="G27194" s="812"/>
    </row>
    <row r="27195" spans="7:7">
      <c r="G27195" s="812"/>
    </row>
    <row r="27196" spans="7:7">
      <c r="G27196" s="812"/>
    </row>
    <row r="27197" spans="7:7">
      <c r="G27197" s="812"/>
    </row>
    <row r="27198" spans="7:7">
      <c r="G27198" s="812"/>
    </row>
    <row r="27199" spans="7:7">
      <c r="G27199" s="812"/>
    </row>
    <row r="27200" spans="7:7">
      <c r="G27200" s="812"/>
    </row>
    <row r="27201" spans="7:7">
      <c r="G27201" s="812"/>
    </row>
    <row r="27202" spans="7:7">
      <c r="G27202" s="812"/>
    </row>
    <row r="27203" spans="7:7">
      <c r="G27203" s="812"/>
    </row>
    <row r="27204" spans="7:7">
      <c r="G27204" s="812"/>
    </row>
    <row r="27205" spans="7:7">
      <c r="G27205" s="812"/>
    </row>
    <row r="27206" spans="7:7">
      <c r="G27206" s="812"/>
    </row>
    <row r="27207" spans="7:7">
      <c r="G27207" s="812"/>
    </row>
    <row r="27208" spans="7:7">
      <c r="G27208" s="812"/>
    </row>
    <row r="27209" spans="7:7">
      <c r="G27209" s="812"/>
    </row>
    <row r="27210" spans="7:7">
      <c r="G27210" s="812"/>
    </row>
    <row r="27211" spans="7:7">
      <c r="G27211" s="812"/>
    </row>
    <row r="27212" spans="7:7">
      <c r="G27212" s="812"/>
    </row>
    <row r="27213" spans="7:7">
      <c r="G27213" s="812"/>
    </row>
    <row r="27214" spans="7:7">
      <c r="G27214" s="812"/>
    </row>
    <row r="27215" spans="7:7">
      <c r="G27215" s="812"/>
    </row>
    <row r="27216" spans="7:7">
      <c r="G27216" s="812"/>
    </row>
    <row r="27217" spans="7:7">
      <c r="G27217" s="812"/>
    </row>
    <row r="27218" spans="7:7">
      <c r="G27218" s="812"/>
    </row>
    <row r="27219" spans="7:7">
      <c r="G27219" s="812"/>
    </row>
    <row r="27220" spans="7:7">
      <c r="G27220" s="812"/>
    </row>
    <row r="27221" spans="7:7">
      <c r="G27221" s="812"/>
    </row>
    <row r="27222" spans="7:7">
      <c r="G27222" s="812"/>
    </row>
    <row r="27223" spans="7:7">
      <c r="G27223" s="812"/>
    </row>
    <row r="27224" spans="7:7">
      <c r="G27224" s="812"/>
    </row>
    <row r="27225" spans="7:7">
      <c r="G27225" s="812"/>
    </row>
    <row r="27226" spans="7:7">
      <c r="G27226" s="812"/>
    </row>
    <row r="27227" spans="7:7">
      <c r="G27227" s="812"/>
    </row>
    <row r="27228" spans="7:7">
      <c r="G27228" s="812"/>
    </row>
    <row r="27229" spans="7:7">
      <c r="G27229" s="812"/>
    </row>
    <row r="27230" spans="7:7">
      <c r="G27230" s="812"/>
    </row>
    <row r="27231" spans="7:7">
      <c r="G27231" s="812"/>
    </row>
    <row r="27232" spans="7:7">
      <c r="G27232" s="812"/>
    </row>
    <row r="27233" spans="7:7">
      <c r="G27233" s="812"/>
    </row>
    <row r="27234" spans="7:7">
      <c r="G27234" s="812"/>
    </row>
    <row r="27235" spans="7:7">
      <c r="G27235" s="812"/>
    </row>
    <row r="27236" spans="7:7">
      <c r="G27236" s="812"/>
    </row>
    <row r="27237" spans="7:7">
      <c r="G27237" s="812"/>
    </row>
    <row r="27238" spans="7:7">
      <c r="G27238" s="812"/>
    </row>
    <row r="27239" spans="7:7">
      <c r="G27239" s="812"/>
    </row>
    <row r="27240" spans="7:7">
      <c r="G27240" s="812"/>
    </row>
    <row r="27241" spans="7:7">
      <c r="G27241" s="812"/>
    </row>
    <row r="27242" spans="7:7">
      <c r="G27242" s="812"/>
    </row>
    <row r="27243" spans="7:7">
      <c r="G27243" s="812"/>
    </row>
    <row r="27244" spans="7:7">
      <c r="G27244" s="812"/>
    </row>
    <row r="27245" spans="7:7">
      <c r="G27245" s="812"/>
    </row>
    <row r="27246" spans="7:7">
      <c r="G27246" s="812"/>
    </row>
    <row r="27247" spans="7:7">
      <c r="G27247" s="812"/>
    </row>
    <row r="27248" spans="7:7">
      <c r="G27248" s="812"/>
    </row>
    <row r="27249" spans="7:7">
      <c r="G27249" s="812"/>
    </row>
    <row r="27250" spans="7:7">
      <c r="G27250" s="812"/>
    </row>
    <row r="27251" spans="7:7">
      <c r="G27251" s="812"/>
    </row>
    <row r="27252" spans="7:7">
      <c r="G27252" s="812"/>
    </row>
    <row r="27253" spans="7:7">
      <c r="G27253" s="812"/>
    </row>
    <row r="27254" spans="7:7">
      <c r="G27254" s="812"/>
    </row>
    <row r="27255" spans="7:7">
      <c r="G27255" s="812"/>
    </row>
    <row r="27256" spans="7:7">
      <c r="G27256" s="812"/>
    </row>
    <row r="27257" spans="7:7">
      <c r="G27257" s="812"/>
    </row>
    <row r="27258" spans="7:7">
      <c r="G27258" s="812"/>
    </row>
    <row r="27259" spans="7:7">
      <c r="G27259" s="812"/>
    </row>
    <row r="27260" spans="7:7">
      <c r="G27260" s="812"/>
    </row>
    <row r="27261" spans="7:7">
      <c r="G27261" s="812"/>
    </row>
    <row r="27262" spans="7:7">
      <c r="G27262" s="812"/>
    </row>
    <row r="27263" spans="7:7">
      <c r="G27263" s="812"/>
    </row>
    <row r="27264" spans="7:7">
      <c r="G27264" s="812"/>
    </row>
    <row r="27265" spans="7:7">
      <c r="G27265" s="812"/>
    </row>
    <row r="27266" spans="7:7">
      <c r="G27266" s="812"/>
    </row>
    <row r="27267" spans="7:7">
      <c r="G27267" s="812"/>
    </row>
    <row r="27268" spans="7:7">
      <c r="G27268" s="812"/>
    </row>
    <row r="27269" spans="7:7">
      <c r="G27269" s="812"/>
    </row>
    <row r="27270" spans="7:7">
      <c r="G27270" s="812"/>
    </row>
    <row r="27271" spans="7:7">
      <c r="G27271" s="812"/>
    </row>
    <row r="27272" spans="7:7">
      <c r="G27272" s="812"/>
    </row>
    <row r="27273" spans="7:7">
      <c r="G27273" s="812"/>
    </row>
    <row r="27274" spans="7:7">
      <c r="G27274" s="812"/>
    </row>
    <row r="27275" spans="7:7">
      <c r="G27275" s="812"/>
    </row>
    <row r="27276" spans="7:7">
      <c r="G27276" s="812"/>
    </row>
    <row r="27277" spans="7:7">
      <c r="G27277" s="812"/>
    </row>
    <row r="27278" spans="7:7">
      <c r="G27278" s="812"/>
    </row>
    <row r="27279" spans="7:7">
      <c r="G27279" s="812"/>
    </row>
    <row r="27280" spans="7:7">
      <c r="G27280" s="812"/>
    </row>
    <row r="27281" spans="7:7">
      <c r="G27281" s="812"/>
    </row>
    <row r="27282" spans="7:7">
      <c r="G27282" s="812"/>
    </row>
    <row r="27283" spans="7:7">
      <c r="G27283" s="812"/>
    </row>
    <row r="27284" spans="7:7">
      <c r="G27284" s="812"/>
    </row>
    <row r="27285" spans="7:7">
      <c r="G27285" s="812"/>
    </row>
    <row r="27286" spans="7:7">
      <c r="G27286" s="812"/>
    </row>
    <row r="27287" spans="7:7">
      <c r="G27287" s="812"/>
    </row>
    <row r="27288" spans="7:7">
      <c r="G27288" s="812"/>
    </row>
    <row r="27289" spans="7:7">
      <c r="G27289" s="812"/>
    </row>
    <row r="27290" spans="7:7">
      <c r="G27290" s="812"/>
    </row>
    <row r="27291" spans="7:7">
      <c r="G27291" s="812"/>
    </row>
    <row r="27292" spans="7:7">
      <c r="G27292" s="812"/>
    </row>
    <row r="27293" spans="7:7">
      <c r="G27293" s="812"/>
    </row>
    <row r="27294" spans="7:7">
      <c r="G27294" s="812"/>
    </row>
    <row r="27295" spans="7:7">
      <c r="G27295" s="812"/>
    </row>
    <row r="27296" spans="7:7">
      <c r="G27296" s="812"/>
    </row>
    <row r="27297" spans="7:7">
      <c r="G27297" s="812"/>
    </row>
    <row r="27298" spans="7:7">
      <c r="G27298" s="812"/>
    </row>
    <row r="27299" spans="7:7">
      <c r="G27299" s="812"/>
    </row>
    <row r="27300" spans="7:7">
      <c r="G27300" s="812"/>
    </row>
    <row r="27301" spans="7:7">
      <c r="G27301" s="812"/>
    </row>
    <row r="27302" spans="7:7">
      <c r="G27302" s="812"/>
    </row>
    <row r="27303" spans="7:7">
      <c r="G27303" s="812"/>
    </row>
    <row r="27304" spans="7:7">
      <c r="G27304" s="812"/>
    </row>
    <row r="27305" spans="7:7">
      <c r="G27305" s="812"/>
    </row>
    <row r="27306" spans="7:7">
      <c r="G27306" s="812"/>
    </row>
    <row r="27307" spans="7:7">
      <c r="G27307" s="812"/>
    </row>
    <row r="27308" spans="7:7">
      <c r="G27308" s="812"/>
    </row>
    <row r="27309" spans="7:7">
      <c r="G27309" s="812"/>
    </row>
    <row r="27310" spans="7:7">
      <c r="G27310" s="812"/>
    </row>
    <row r="27311" spans="7:7">
      <c r="G27311" s="812"/>
    </row>
    <row r="27312" spans="7:7">
      <c r="G27312" s="812"/>
    </row>
    <row r="27313" spans="7:7">
      <c r="G27313" s="812"/>
    </row>
    <row r="27314" spans="7:7">
      <c r="G27314" s="812"/>
    </row>
    <row r="27315" spans="7:7">
      <c r="G27315" s="812"/>
    </row>
    <row r="27316" spans="7:7">
      <c r="G27316" s="812"/>
    </row>
    <row r="27317" spans="7:7">
      <c r="G27317" s="812"/>
    </row>
    <row r="27318" spans="7:7">
      <c r="G27318" s="812"/>
    </row>
    <row r="27319" spans="7:7">
      <c r="G27319" s="812"/>
    </row>
    <row r="27320" spans="7:7">
      <c r="G27320" s="812"/>
    </row>
    <row r="27321" spans="7:7">
      <c r="G27321" s="812"/>
    </row>
    <row r="27322" spans="7:7">
      <c r="G27322" s="812"/>
    </row>
    <row r="27323" spans="7:7">
      <c r="G27323" s="812"/>
    </row>
    <row r="27324" spans="7:7">
      <c r="G27324" s="812"/>
    </row>
    <row r="27325" spans="7:7">
      <c r="G27325" s="812"/>
    </row>
    <row r="27326" spans="7:7">
      <c r="G27326" s="812"/>
    </row>
    <row r="27327" spans="7:7">
      <c r="G27327" s="812"/>
    </row>
    <row r="27328" spans="7:7">
      <c r="G27328" s="812"/>
    </row>
    <row r="27329" spans="7:7">
      <c r="G27329" s="812"/>
    </row>
    <row r="27330" spans="7:7">
      <c r="G27330" s="812"/>
    </row>
    <row r="27331" spans="7:7">
      <c r="G27331" s="812"/>
    </row>
    <row r="27332" spans="7:7">
      <c r="G27332" s="812"/>
    </row>
    <row r="27333" spans="7:7">
      <c r="G27333" s="812"/>
    </row>
    <row r="27334" spans="7:7">
      <c r="G27334" s="812"/>
    </row>
    <row r="27335" spans="7:7">
      <c r="G27335" s="812"/>
    </row>
    <row r="27336" spans="7:7">
      <c r="G27336" s="812"/>
    </row>
    <row r="27337" spans="7:7">
      <c r="G27337" s="812"/>
    </row>
    <row r="27338" spans="7:7">
      <c r="G27338" s="812"/>
    </row>
    <row r="27339" spans="7:7">
      <c r="G27339" s="812"/>
    </row>
    <row r="27340" spans="7:7">
      <c r="G27340" s="812"/>
    </row>
    <row r="27341" spans="7:7">
      <c r="G27341" s="812"/>
    </row>
    <row r="27342" spans="7:7">
      <c r="G27342" s="812"/>
    </row>
    <row r="27343" spans="7:7">
      <c r="G27343" s="812"/>
    </row>
    <row r="27344" spans="7:7">
      <c r="G27344" s="812"/>
    </row>
    <row r="27345" spans="7:7">
      <c r="G27345" s="812"/>
    </row>
    <row r="27346" spans="7:7">
      <c r="G27346" s="812"/>
    </row>
    <row r="27347" spans="7:7">
      <c r="G27347" s="812"/>
    </row>
    <row r="27348" spans="7:7">
      <c r="G27348" s="812"/>
    </row>
    <row r="27349" spans="7:7">
      <c r="G27349" s="812"/>
    </row>
    <row r="27350" spans="7:7">
      <c r="G27350" s="812"/>
    </row>
    <row r="27351" spans="7:7">
      <c r="G27351" s="812"/>
    </row>
    <row r="27352" spans="7:7">
      <c r="G27352" s="812"/>
    </row>
    <row r="27353" spans="7:7">
      <c r="G27353" s="812"/>
    </row>
    <row r="27354" spans="7:7">
      <c r="G27354" s="812"/>
    </row>
    <row r="27355" spans="7:7">
      <c r="G27355" s="812"/>
    </row>
    <row r="27356" spans="7:7">
      <c r="G27356" s="812"/>
    </row>
    <row r="27357" spans="7:7">
      <c r="G27357" s="812"/>
    </row>
    <row r="27358" spans="7:7">
      <c r="G27358" s="812"/>
    </row>
    <row r="27359" spans="7:7">
      <c r="G27359" s="812"/>
    </row>
    <row r="27360" spans="7:7">
      <c r="G27360" s="812"/>
    </row>
    <row r="27361" spans="7:7">
      <c r="G27361" s="812"/>
    </row>
    <row r="27362" spans="7:7">
      <c r="G27362" s="812"/>
    </row>
    <row r="27363" spans="7:7">
      <c r="G27363" s="812"/>
    </row>
    <row r="27364" spans="7:7">
      <c r="G27364" s="812"/>
    </row>
    <row r="27365" spans="7:7">
      <c r="G27365" s="812"/>
    </row>
    <row r="27366" spans="7:7">
      <c r="G27366" s="812"/>
    </row>
    <row r="27367" spans="7:7">
      <c r="G27367" s="812"/>
    </row>
    <row r="27368" spans="7:7">
      <c r="G27368" s="812"/>
    </row>
    <row r="27369" spans="7:7">
      <c r="G27369" s="812"/>
    </row>
    <row r="27370" spans="7:7">
      <c r="G27370" s="812"/>
    </row>
    <row r="27371" spans="7:7">
      <c r="G27371" s="812"/>
    </row>
    <row r="27372" spans="7:7">
      <c r="G27372" s="812"/>
    </row>
    <row r="27373" spans="7:7">
      <c r="G27373" s="812"/>
    </row>
    <row r="27374" spans="7:7">
      <c r="G27374" s="812"/>
    </row>
    <row r="27375" spans="7:7">
      <c r="G27375" s="812"/>
    </row>
    <row r="27376" spans="7:7">
      <c r="G27376" s="812"/>
    </row>
    <row r="27377" spans="7:7">
      <c r="G27377" s="812"/>
    </row>
    <row r="27378" spans="7:7">
      <c r="G27378" s="812"/>
    </row>
    <row r="27379" spans="7:7">
      <c r="G27379" s="812"/>
    </row>
    <row r="27380" spans="7:7">
      <c r="G27380" s="812"/>
    </row>
    <row r="27381" spans="7:7">
      <c r="G27381" s="812"/>
    </row>
    <row r="27382" spans="7:7">
      <c r="G27382" s="812"/>
    </row>
    <row r="27383" spans="7:7">
      <c r="G27383" s="812"/>
    </row>
    <row r="27384" spans="7:7">
      <c r="G27384" s="812"/>
    </row>
    <row r="27385" spans="7:7">
      <c r="G27385" s="812"/>
    </row>
    <row r="27386" spans="7:7">
      <c r="G27386" s="812"/>
    </row>
    <row r="27387" spans="7:7">
      <c r="G27387" s="812"/>
    </row>
    <row r="27388" spans="7:7">
      <c r="G27388" s="812"/>
    </row>
    <row r="27389" spans="7:7">
      <c r="G27389" s="812"/>
    </row>
    <row r="27390" spans="7:7">
      <c r="G27390" s="812"/>
    </row>
    <row r="27391" spans="7:7">
      <c r="G27391" s="812"/>
    </row>
    <row r="27392" spans="7:7">
      <c r="G27392" s="812"/>
    </row>
    <row r="27393" spans="7:7">
      <c r="G27393" s="812"/>
    </row>
    <row r="27394" spans="7:7">
      <c r="G27394" s="812"/>
    </row>
    <row r="27395" spans="7:7">
      <c r="G27395" s="812"/>
    </row>
    <row r="27396" spans="7:7">
      <c r="G27396" s="812"/>
    </row>
    <row r="27397" spans="7:7">
      <c r="G27397" s="812"/>
    </row>
    <row r="27398" spans="7:7">
      <c r="G27398" s="812"/>
    </row>
    <row r="27399" spans="7:7">
      <c r="G27399" s="812"/>
    </row>
    <row r="27400" spans="7:7">
      <c r="G27400" s="812"/>
    </row>
    <row r="27401" spans="7:7">
      <c r="G27401" s="812"/>
    </row>
    <row r="27402" spans="7:7">
      <c r="G27402" s="812"/>
    </row>
    <row r="27403" spans="7:7">
      <c r="G27403" s="812"/>
    </row>
    <row r="27404" spans="7:7">
      <c r="G27404" s="812"/>
    </row>
    <row r="27405" spans="7:7">
      <c r="G27405" s="812"/>
    </row>
    <row r="27406" spans="7:7">
      <c r="G27406" s="812"/>
    </row>
    <row r="27407" spans="7:7">
      <c r="G27407" s="812"/>
    </row>
    <row r="27408" spans="7:7">
      <c r="G27408" s="812"/>
    </row>
    <row r="27409" spans="7:7">
      <c r="G27409" s="812"/>
    </row>
    <row r="27410" spans="7:7">
      <c r="G27410" s="812"/>
    </row>
    <row r="27411" spans="7:7">
      <c r="G27411" s="812"/>
    </row>
    <row r="27412" spans="7:7">
      <c r="G27412" s="812"/>
    </row>
    <row r="27413" spans="7:7">
      <c r="G27413" s="812"/>
    </row>
    <row r="27414" spans="7:7">
      <c r="G27414" s="812"/>
    </row>
    <row r="27415" spans="7:7">
      <c r="G27415" s="812"/>
    </row>
    <row r="27416" spans="7:7">
      <c r="G27416" s="812"/>
    </row>
    <row r="27417" spans="7:7">
      <c r="G27417" s="812"/>
    </row>
    <row r="27418" spans="7:7">
      <c r="G27418" s="812"/>
    </row>
    <row r="27419" spans="7:7">
      <c r="G27419" s="812"/>
    </row>
    <row r="27420" spans="7:7">
      <c r="G27420" s="812"/>
    </row>
    <row r="27421" spans="7:7">
      <c r="G27421" s="812"/>
    </row>
    <row r="27422" spans="7:7">
      <c r="G27422" s="812"/>
    </row>
    <row r="27423" spans="7:7">
      <c r="G27423" s="812"/>
    </row>
    <row r="27424" spans="7:7">
      <c r="G27424" s="812"/>
    </row>
    <row r="27425" spans="7:7">
      <c r="G27425" s="812"/>
    </row>
    <row r="27426" spans="7:7">
      <c r="G27426" s="812"/>
    </row>
    <row r="27427" spans="7:7">
      <c r="G27427" s="812"/>
    </row>
    <row r="27428" spans="7:7">
      <c r="G27428" s="812"/>
    </row>
    <row r="27429" spans="7:7">
      <c r="G27429" s="812"/>
    </row>
    <row r="27430" spans="7:7">
      <c r="G27430" s="812"/>
    </row>
    <row r="27431" spans="7:7">
      <c r="G27431" s="812"/>
    </row>
    <row r="27432" spans="7:7">
      <c r="G27432" s="812"/>
    </row>
    <row r="27433" spans="7:7">
      <c r="G27433" s="812"/>
    </row>
    <row r="27434" spans="7:7">
      <c r="G27434" s="812"/>
    </row>
    <row r="27435" spans="7:7">
      <c r="G27435" s="812"/>
    </row>
    <row r="27436" spans="7:7">
      <c r="G27436" s="812"/>
    </row>
    <row r="27437" spans="7:7">
      <c r="G27437" s="812"/>
    </row>
    <row r="27438" spans="7:7">
      <c r="G27438" s="812"/>
    </row>
    <row r="27439" spans="7:7">
      <c r="G27439" s="812"/>
    </row>
    <row r="27440" spans="7:7">
      <c r="G27440" s="812"/>
    </row>
    <row r="27441" spans="7:7">
      <c r="G27441" s="812"/>
    </row>
    <row r="27442" spans="7:7">
      <c r="G27442" s="812"/>
    </row>
    <row r="27443" spans="7:7">
      <c r="G27443" s="812"/>
    </row>
    <row r="27444" spans="7:7">
      <c r="G27444" s="812"/>
    </row>
    <row r="27445" spans="7:7">
      <c r="G27445" s="812"/>
    </row>
    <row r="27446" spans="7:7">
      <c r="G27446" s="812"/>
    </row>
    <row r="27447" spans="7:7">
      <c r="G27447" s="812"/>
    </row>
    <row r="27448" spans="7:7">
      <c r="G27448" s="812"/>
    </row>
    <row r="27449" spans="7:7">
      <c r="G27449" s="812"/>
    </row>
    <row r="27450" spans="7:7">
      <c r="G27450" s="812"/>
    </row>
    <row r="27451" spans="7:7">
      <c r="G27451" s="812"/>
    </row>
    <row r="27452" spans="7:7">
      <c r="G27452" s="812"/>
    </row>
    <row r="27453" spans="7:7">
      <c r="G27453" s="812"/>
    </row>
    <row r="27454" spans="7:7">
      <c r="G27454" s="812"/>
    </row>
    <row r="27455" spans="7:7">
      <c r="G27455" s="812"/>
    </row>
    <row r="27456" spans="7:7">
      <c r="G27456" s="812"/>
    </row>
    <row r="27457" spans="7:7">
      <c r="G27457" s="812"/>
    </row>
    <row r="27458" spans="7:7">
      <c r="G27458" s="812"/>
    </row>
    <row r="27459" spans="7:7">
      <c r="G27459" s="812"/>
    </row>
    <row r="27460" spans="7:7">
      <c r="G27460" s="812"/>
    </row>
    <row r="27461" spans="7:7">
      <c r="G27461" s="812"/>
    </row>
    <row r="27462" spans="7:7">
      <c r="G27462" s="812"/>
    </row>
    <row r="27463" spans="7:7">
      <c r="G27463" s="812"/>
    </row>
    <row r="27464" spans="7:7">
      <c r="G27464" s="812"/>
    </row>
    <row r="27465" spans="7:7">
      <c r="G27465" s="812"/>
    </row>
    <row r="27466" spans="7:7">
      <c r="G27466" s="812"/>
    </row>
    <row r="27467" spans="7:7">
      <c r="G27467" s="812"/>
    </row>
    <row r="27468" spans="7:7">
      <c r="G27468" s="812"/>
    </row>
    <row r="27469" spans="7:7">
      <c r="G27469" s="812"/>
    </row>
    <row r="27470" spans="7:7">
      <c r="G27470" s="812"/>
    </row>
    <row r="27471" spans="7:7">
      <c r="G27471" s="812"/>
    </row>
    <row r="27472" spans="7:7">
      <c r="G27472" s="812"/>
    </row>
    <row r="27473" spans="7:7">
      <c r="G27473" s="812"/>
    </row>
    <row r="27474" spans="7:7">
      <c r="G27474" s="812"/>
    </row>
    <row r="27475" spans="7:7">
      <c r="G27475" s="812"/>
    </row>
    <row r="27476" spans="7:7">
      <c r="G27476" s="812"/>
    </row>
    <row r="27477" spans="7:7">
      <c r="G27477" s="812"/>
    </row>
    <row r="27478" spans="7:7">
      <c r="G27478" s="812"/>
    </row>
    <row r="27479" spans="7:7">
      <c r="G27479" s="812"/>
    </row>
    <row r="27480" spans="7:7">
      <c r="G27480" s="812"/>
    </row>
    <row r="27481" spans="7:7">
      <c r="G27481" s="812"/>
    </row>
    <row r="27482" spans="7:7">
      <c r="G27482" s="812"/>
    </row>
    <row r="27483" spans="7:7">
      <c r="G27483" s="812"/>
    </row>
    <row r="27484" spans="7:7">
      <c r="G27484" s="812"/>
    </row>
    <row r="27485" spans="7:7">
      <c r="G27485" s="812"/>
    </row>
    <row r="27486" spans="7:7">
      <c r="G27486" s="812"/>
    </row>
    <row r="27487" spans="7:7">
      <c r="G27487" s="812"/>
    </row>
    <row r="27488" spans="7:7">
      <c r="G27488" s="812"/>
    </row>
    <row r="27489" spans="7:7">
      <c r="G27489" s="812"/>
    </row>
    <row r="27490" spans="7:7">
      <c r="G27490" s="812"/>
    </row>
    <row r="27491" spans="7:7">
      <c r="G27491" s="812"/>
    </row>
    <row r="27492" spans="7:7">
      <c r="G27492" s="812"/>
    </row>
    <row r="27493" spans="7:7">
      <c r="G27493" s="812"/>
    </row>
    <row r="27494" spans="7:7">
      <c r="G27494" s="812"/>
    </row>
    <row r="27495" spans="7:7">
      <c r="G27495" s="812"/>
    </row>
    <row r="27496" spans="7:7">
      <c r="G27496" s="812"/>
    </row>
    <row r="27497" spans="7:7">
      <c r="G27497" s="812"/>
    </row>
    <row r="27498" spans="7:7">
      <c r="G27498" s="812"/>
    </row>
    <row r="27499" spans="7:7">
      <c r="G27499" s="812"/>
    </row>
    <row r="27500" spans="7:7">
      <c r="G27500" s="812"/>
    </row>
    <row r="27501" spans="7:7">
      <c r="G27501" s="812"/>
    </row>
    <row r="27502" spans="7:7">
      <c r="G27502" s="812"/>
    </row>
    <row r="27503" spans="7:7">
      <c r="G27503" s="812"/>
    </row>
    <row r="27504" spans="7:7">
      <c r="G27504" s="812"/>
    </row>
    <row r="27505" spans="7:7">
      <c r="G27505" s="812"/>
    </row>
    <row r="27506" spans="7:7">
      <c r="G27506" s="812"/>
    </row>
    <row r="27507" spans="7:7">
      <c r="G27507" s="812"/>
    </row>
    <row r="27508" spans="7:7">
      <c r="G27508" s="812"/>
    </row>
    <row r="27509" spans="7:7">
      <c r="G27509" s="812"/>
    </row>
    <row r="27510" spans="7:7">
      <c r="G27510" s="812"/>
    </row>
    <row r="27511" spans="7:7">
      <c r="G27511" s="812"/>
    </row>
    <row r="27512" spans="7:7">
      <c r="G27512" s="812"/>
    </row>
    <row r="27513" spans="7:7">
      <c r="G27513" s="812"/>
    </row>
    <row r="27514" spans="7:7">
      <c r="G27514" s="812"/>
    </row>
    <row r="27515" spans="7:7">
      <c r="G27515" s="812"/>
    </row>
    <row r="27516" spans="7:7">
      <c r="G27516" s="812"/>
    </row>
    <row r="27517" spans="7:7">
      <c r="G27517" s="812"/>
    </row>
    <row r="27518" spans="7:7">
      <c r="G27518" s="812"/>
    </row>
    <row r="27519" spans="7:7">
      <c r="G27519" s="812"/>
    </row>
    <row r="27520" spans="7:7">
      <c r="G27520" s="812"/>
    </row>
    <row r="27521" spans="7:7">
      <c r="G27521" s="812"/>
    </row>
    <row r="27522" spans="7:7">
      <c r="G27522" s="812"/>
    </row>
    <row r="27523" spans="7:7">
      <c r="G27523" s="812"/>
    </row>
    <row r="27524" spans="7:7">
      <c r="G27524" s="812"/>
    </row>
    <row r="27525" spans="7:7">
      <c r="G27525" s="812"/>
    </row>
    <row r="27526" spans="7:7">
      <c r="G27526" s="812"/>
    </row>
    <row r="27527" spans="7:7">
      <c r="G27527" s="812"/>
    </row>
    <row r="27528" spans="7:7">
      <c r="G27528" s="812"/>
    </row>
    <row r="27529" spans="7:7">
      <c r="G27529" s="812"/>
    </row>
    <row r="27530" spans="7:7">
      <c r="G27530" s="812"/>
    </row>
    <row r="27531" spans="7:7">
      <c r="G27531" s="812"/>
    </row>
    <row r="27532" spans="7:7">
      <c r="G27532" s="812"/>
    </row>
    <row r="27533" spans="7:7">
      <c r="G27533" s="812"/>
    </row>
    <row r="27534" spans="7:7">
      <c r="G27534" s="812"/>
    </row>
    <row r="27535" spans="7:7">
      <c r="G27535" s="812"/>
    </row>
    <row r="27536" spans="7:7">
      <c r="G27536" s="812"/>
    </row>
    <row r="27537" spans="7:7">
      <c r="G27537" s="812"/>
    </row>
    <row r="27538" spans="7:7">
      <c r="G27538" s="812"/>
    </row>
    <row r="27539" spans="7:7">
      <c r="G27539" s="812"/>
    </row>
    <row r="27540" spans="7:7">
      <c r="G27540" s="812"/>
    </row>
    <row r="27541" spans="7:7">
      <c r="G27541" s="812"/>
    </row>
    <row r="27542" spans="7:7">
      <c r="G27542" s="812"/>
    </row>
    <row r="27543" spans="7:7">
      <c r="G27543" s="812"/>
    </row>
    <row r="27544" spans="7:7">
      <c r="G27544" s="812"/>
    </row>
    <row r="27545" spans="7:7">
      <c r="G27545" s="812"/>
    </row>
    <row r="27546" spans="7:7">
      <c r="G27546" s="812"/>
    </row>
    <row r="27547" spans="7:7">
      <c r="G27547" s="812"/>
    </row>
    <row r="27548" spans="7:7">
      <c r="G27548" s="812"/>
    </row>
    <row r="27549" spans="7:7">
      <c r="G27549" s="812"/>
    </row>
    <row r="27550" spans="7:7">
      <c r="G27550" s="812"/>
    </row>
    <row r="27551" spans="7:7">
      <c r="G27551" s="812"/>
    </row>
    <row r="27552" spans="7:7">
      <c r="G27552" s="812"/>
    </row>
    <row r="27553" spans="7:7">
      <c r="G27553" s="812"/>
    </row>
    <row r="27554" spans="7:7">
      <c r="G27554" s="812"/>
    </row>
    <row r="27555" spans="7:7">
      <c r="G27555" s="812"/>
    </row>
    <row r="27556" spans="7:7">
      <c r="G27556" s="812"/>
    </row>
    <row r="27557" spans="7:7">
      <c r="G27557" s="812"/>
    </row>
    <row r="27558" spans="7:7">
      <c r="G27558" s="812"/>
    </row>
    <row r="27559" spans="7:7">
      <c r="G27559" s="812"/>
    </row>
    <row r="27560" spans="7:7">
      <c r="G27560" s="812"/>
    </row>
    <row r="27561" spans="7:7">
      <c r="G27561" s="812"/>
    </row>
    <row r="27562" spans="7:7">
      <c r="G27562" s="812"/>
    </row>
    <row r="27563" spans="7:7">
      <c r="G27563" s="812"/>
    </row>
    <row r="27564" spans="7:7">
      <c r="G27564" s="812"/>
    </row>
    <row r="27565" spans="7:7">
      <c r="G27565" s="812"/>
    </row>
    <row r="27566" spans="7:7">
      <c r="G27566" s="812"/>
    </row>
    <row r="27567" spans="7:7">
      <c r="G27567" s="812"/>
    </row>
    <row r="27568" spans="7:7">
      <c r="G27568" s="812"/>
    </row>
    <row r="27569" spans="7:7">
      <c r="G27569" s="812"/>
    </row>
    <row r="27570" spans="7:7">
      <c r="G27570" s="812"/>
    </row>
    <row r="27571" spans="7:7">
      <c r="G27571" s="812"/>
    </row>
    <row r="27572" spans="7:7">
      <c r="G27572" s="812"/>
    </row>
    <row r="27573" spans="7:7">
      <c r="G27573" s="812"/>
    </row>
    <row r="27574" spans="7:7">
      <c r="G27574" s="812"/>
    </row>
    <row r="27575" spans="7:7">
      <c r="G27575" s="812"/>
    </row>
    <row r="27576" spans="7:7">
      <c r="G27576" s="812"/>
    </row>
    <row r="27577" spans="7:7">
      <c r="G27577" s="812"/>
    </row>
    <row r="27578" spans="7:7">
      <c r="G27578" s="812"/>
    </row>
    <row r="27579" spans="7:7">
      <c r="G27579" s="812"/>
    </row>
    <row r="27580" spans="7:7">
      <c r="G27580" s="812"/>
    </row>
    <row r="27581" spans="7:7">
      <c r="G27581" s="812"/>
    </row>
    <row r="27582" spans="7:7">
      <c r="G27582" s="812"/>
    </row>
    <row r="27583" spans="7:7">
      <c r="G27583" s="812"/>
    </row>
    <row r="27584" spans="7:7">
      <c r="G27584" s="812"/>
    </row>
    <row r="27585" spans="7:7">
      <c r="G27585" s="812"/>
    </row>
    <row r="27586" spans="7:7">
      <c r="G27586" s="812"/>
    </row>
    <row r="27587" spans="7:7">
      <c r="G27587" s="812"/>
    </row>
    <row r="27588" spans="7:7">
      <c r="G27588" s="812"/>
    </row>
    <row r="27589" spans="7:7">
      <c r="G27589" s="812"/>
    </row>
    <row r="27590" spans="7:7">
      <c r="G27590" s="812"/>
    </row>
    <row r="27591" spans="7:7">
      <c r="G27591" s="812"/>
    </row>
    <row r="27592" spans="7:7">
      <c r="G27592" s="812"/>
    </row>
    <row r="27593" spans="7:7">
      <c r="G27593" s="812"/>
    </row>
    <row r="27594" spans="7:7">
      <c r="G27594" s="812"/>
    </row>
    <row r="27595" spans="7:7">
      <c r="G27595" s="812"/>
    </row>
    <row r="27596" spans="7:7">
      <c r="G27596" s="812"/>
    </row>
    <row r="27597" spans="7:7">
      <c r="G27597" s="812"/>
    </row>
    <row r="27598" spans="7:7">
      <c r="G27598" s="812"/>
    </row>
    <row r="27599" spans="7:7">
      <c r="G27599" s="812"/>
    </row>
    <row r="27600" spans="7:7">
      <c r="G27600" s="812"/>
    </row>
    <row r="27601" spans="7:7">
      <c r="G27601" s="812"/>
    </row>
    <row r="27602" spans="7:7">
      <c r="G27602" s="812"/>
    </row>
    <row r="27603" spans="7:7">
      <c r="G27603" s="812"/>
    </row>
    <row r="27604" spans="7:7">
      <c r="G27604" s="812"/>
    </row>
    <row r="27605" spans="7:7">
      <c r="G27605" s="812"/>
    </row>
    <row r="27606" spans="7:7">
      <c r="G27606" s="812"/>
    </row>
    <row r="27607" spans="7:7">
      <c r="G27607" s="812"/>
    </row>
    <row r="27608" spans="7:7">
      <c r="G27608" s="812"/>
    </row>
    <row r="27609" spans="7:7">
      <c r="G27609" s="812"/>
    </row>
    <row r="27610" spans="7:7">
      <c r="G27610" s="812"/>
    </row>
    <row r="27611" spans="7:7">
      <c r="G27611" s="812"/>
    </row>
    <row r="27612" spans="7:7">
      <c r="G27612" s="812"/>
    </row>
    <row r="27613" spans="7:7">
      <c r="G27613" s="812"/>
    </row>
    <row r="27614" spans="7:7">
      <c r="G27614" s="812"/>
    </row>
    <row r="27615" spans="7:7">
      <c r="G27615" s="812"/>
    </row>
    <row r="27616" spans="7:7">
      <c r="G27616" s="812"/>
    </row>
    <row r="27617" spans="7:7">
      <c r="G27617" s="812"/>
    </row>
    <row r="27618" spans="7:7">
      <c r="G27618" s="812"/>
    </row>
    <row r="27619" spans="7:7">
      <c r="G27619" s="812"/>
    </row>
    <row r="27620" spans="7:7">
      <c r="G27620" s="812"/>
    </row>
    <row r="27621" spans="7:7">
      <c r="G27621" s="812"/>
    </row>
    <row r="27622" spans="7:7">
      <c r="G27622" s="812"/>
    </row>
    <row r="27623" spans="7:7">
      <c r="G27623" s="812"/>
    </row>
    <row r="27624" spans="7:7">
      <c r="G27624" s="812"/>
    </row>
    <row r="27625" spans="7:7">
      <c r="G27625" s="812"/>
    </row>
    <row r="27626" spans="7:7">
      <c r="G27626" s="812"/>
    </row>
    <row r="27627" spans="7:7">
      <c r="G27627" s="812"/>
    </row>
    <row r="27628" spans="7:7">
      <c r="G27628" s="812"/>
    </row>
    <row r="27629" spans="7:7">
      <c r="G27629" s="812"/>
    </row>
    <row r="27630" spans="7:7">
      <c r="G27630" s="812"/>
    </row>
    <row r="27631" spans="7:7">
      <c r="G27631" s="812"/>
    </row>
    <row r="27632" spans="7:7">
      <c r="G27632" s="812"/>
    </row>
    <row r="27633" spans="7:7">
      <c r="G27633" s="812"/>
    </row>
    <row r="27634" spans="7:7">
      <c r="G27634" s="812"/>
    </row>
    <row r="27635" spans="7:7">
      <c r="G27635" s="812"/>
    </row>
    <row r="27636" spans="7:7">
      <c r="G27636" s="812"/>
    </row>
    <row r="27637" spans="7:7">
      <c r="G27637" s="812"/>
    </row>
    <row r="27638" spans="7:7">
      <c r="G27638" s="812"/>
    </row>
    <row r="27639" spans="7:7">
      <c r="G27639" s="812"/>
    </row>
    <row r="27640" spans="7:7">
      <c r="G27640" s="812"/>
    </row>
    <row r="27641" spans="7:7">
      <c r="G27641" s="812"/>
    </row>
    <row r="27642" spans="7:7">
      <c r="G27642" s="812"/>
    </row>
    <row r="27643" spans="7:7">
      <c r="G27643" s="812"/>
    </row>
    <row r="27644" spans="7:7">
      <c r="G27644" s="812"/>
    </row>
    <row r="27645" spans="7:7">
      <c r="G27645" s="812"/>
    </row>
    <row r="27646" spans="7:7">
      <c r="G27646" s="812"/>
    </row>
    <row r="27647" spans="7:7">
      <c r="G27647" s="812"/>
    </row>
    <row r="27648" spans="7:7">
      <c r="G27648" s="812"/>
    </row>
    <row r="27649" spans="7:7">
      <c r="G27649" s="812"/>
    </row>
    <row r="27650" spans="7:7">
      <c r="G27650" s="812"/>
    </row>
    <row r="27651" spans="7:7">
      <c r="G27651" s="812"/>
    </row>
    <row r="27652" spans="7:7">
      <c r="G27652" s="812"/>
    </row>
    <row r="27653" spans="7:7">
      <c r="G27653" s="812"/>
    </row>
    <row r="27654" spans="7:7">
      <c r="G27654" s="812"/>
    </row>
    <row r="27655" spans="7:7">
      <c r="G27655" s="812"/>
    </row>
    <row r="27656" spans="7:7">
      <c r="G27656" s="812"/>
    </row>
    <row r="27657" spans="7:7">
      <c r="G27657" s="812"/>
    </row>
    <row r="27658" spans="7:7">
      <c r="G27658" s="812"/>
    </row>
    <row r="27659" spans="7:7">
      <c r="G27659" s="812"/>
    </row>
    <row r="27660" spans="7:7">
      <c r="G27660" s="812"/>
    </row>
    <row r="27661" spans="7:7">
      <c r="G27661" s="812"/>
    </row>
    <row r="27662" spans="7:7">
      <c r="G27662" s="812"/>
    </row>
    <row r="27663" spans="7:7">
      <c r="G27663" s="812"/>
    </row>
    <row r="27664" spans="7:7">
      <c r="G27664" s="812"/>
    </row>
    <row r="27665" spans="7:7">
      <c r="G27665" s="812"/>
    </row>
    <row r="27666" spans="7:7">
      <c r="G27666" s="812"/>
    </row>
    <row r="27667" spans="7:7">
      <c r="G27667" s="812"/>
    </row>
    <row r="27668" spans="7:7">
      <c r="G27668" s="812"/>
    </row>
    <row r="27669" spans="7:7">
      <c r="G27669" s="812"/>
    </row>
    <row r="27670" spans="7:7">
      <c r="G27670" s="812"/>
    </row>
    <row r="27671" spans="7:7">
      <c r="G27671" s="812"/>
    </row>
    <row r="27672" spans="7:7">
      <c r="G27672" s="812"/>
    </row>
    <row r="27673" spans="7:7">
      <c r="G27673" s="812"/>
    </row>
    <row r="27674" spans="7:7">
      <c r="G27674" s="812"/>
    </row>
    <row r="27675" spans="7:7">
      <c r="G27675" s="812"/>
    </row>
    <row r="27676" spans="7:7">
      <c r="G27676" s="812"/>
    </row>
    <row r="27677" spans="7:7">
      <c r="G27677" s="812"/>
    </row>
    <row r="27678" spans="7:7">
      <c r="G27678" s="812"/>
    </row>
    <row r="27679" spans="7:7">
      <c r="G27679" s="812"/>
    </row>
    <row r="27680" spans="7:7">
      <c r="G27680" s="812"/>
    </row>
    <row r="27681" spans="7:7">
      <c r="G27681" s="812"/>
    </row>
    <row r="27682" spans="7:7">
      <c r="G27682" s="812"/>
    </row>
    <row r="27683" spans="7:7">
      <c r="G27683" s="812"/>
    </row>
    <row r="27684" spans="7:7">
      <c r="G27684" s="812"/>
    </row>
    <row r="27685" spans="7:7">
      <c r="G27685" s="812"/>
    </row>
    <row r="27686" spans="7:7">
      <c r="G27686" s="812"/>
    </row>
    <row r="27687" spans="7:7">
      <c r="G27687" s="812"/>
    </row>
    <row r="27688" spans="7:7">
      <c r="G27688" s="812"/>
    </row>
    <row r="27689" spans="7:7">
      <c r="G27689" s="812"/>
    </row>
    <row r="27690" spans="7:7">
      <c r="G27690" s="812"/>
    </row>
    <row r="27691" spans="7:7">
      <c r="G27691" s="812"/>
    </row>
    <row r="27692" spans="7:7">
      <c r="G27692" s="812"/>
    </row>
    <row r="27693" spans="7:7">
      <c r="G27693" s="812"/>
    </row>
    <row r="27694" spans="7:7">
      <c r="G27694" s="812"/>
    </row>
    <row r="27695" spans="7:7">
      <c r="G27695" s="812"/>
    </row>
    <row r="27696" spans="7:7">
      <c r="G27696" s="812"/>
    </row>
    <row r="27697" spans="7:7">
      <c r="G27697" s="812"/>
    </row>
    <row r="27698" spans="7:7">
      <c r="G27698" s="812"/>
    </row>
    <row r="27699" spans="7:7">
      <c r="G27699" s="812"/>
    </row>
    <row r="27700" spans="7:7">
      <c r="G27700" s="812"/>
    </row>
    <row r="27701" spans="7:7">
      <c r="G27701" s="812"/>
    </row>
    <row r="27702" spans="7:7">
      <c r="G27702" s="812"/>
    </row>
    <row r="27703" spans="7:7">
      <c r="G27703" s="812"/>
    </row>
    <row r="27704" spans="7:7">
      <c r="G27704" s="812"/>
    </row>
    <row r="27705" spans="7:7">
      <c r="G27705" s="812"/>
    </row>
    <row r="27706" spans="7:7">
      <c r="G27706" s="812"/>
    </row>
    <row r="27707" spans="7:7">
      <c r="G27707" s="812"/>
    </row>
    <row r="27708" spans="7:7">
      <c r="G27708" s="812"/>
    </row>
    <row r="27709" spans="7:7">
      <c r="G27709" s="812"/>
    </row>
    <row r="27710" spans="7:7">
      <c r="G27710" s="812"/>
    </row>
    <row r="27711" spans="7:7">
      <c r="G27711" s="812"/>
    </row>
    <row r="27712" spans="7:7">
      <c r="G27712" s="812"/>
    </row>
    <row r="27713" spans="7:7">
      <c r="G27713" s="812"/>
    </row>
    <row r="27714" spans="7:7">
      <c r="G27714" s="812"/>
    </row>
    <row r="27715" spans="7:7">
      <c r="G27715" s="812"/>
    </row>
    <row r="27716" spans="7:7">
      <c r="G27716" s="812"/>
    </row>
    <row r="27717" spans="7:7">
      <c r="G27717" s="812"/>
    </row>
    <row r="27718" spans="7:7">
      <c r="G27718" s="812"/>
    </row>
    <row r="27719" spans="7:7">
      <c r="G27719" s="812"/>
    </row>
    <row r="27720" spans="7:7">
      <c r="G27720" s="812"/>
    </row>
    <row r="27721" spans="7:7">
      <c r="G27721" s="812"/>
    </row>
    <row r="27722" spans="7:7">
      <c r="G27722" s="812"/>
    </row>
    <row r="27723" spans="7:7">
      <c r="G27723" s="812"/>
    </row>
    <row r="27724" spans="7:7">
      <c r="G27724" s="812"/>
    </row>
    <row r="27725" spans="7:7">
      <c r="G27725" s="812"/>
    </row>
    <row r="27726" spans="7:7">
      <c r="G27726" s="812"/>
    </row>
    <row r="27727" spans="7:7">
      <c r="G27727" s="812"/>
    </row>
    <row r="27728" spans="7:7">
      <c r="G27728" s="812"/>
    </row>
    <row r="27729" spans="7:7">
      <c r="G27729" s="812"/>
    </row>
    <row r="27730" spans="7:7">
      <c r="G27730" s="812"/>
    </row>
    <row r="27731" spans="7:7">
      <c r="G27731" s="812"/>
    </row>
    <row r="27732" spans="7:7">
      <c r="G27732" s="812"/>
    </row>
    <row r="27733" spans="7:7">
      <c r="G27733" s="812"/>
    </row>
    <row r="27734" spans="7:7">
      <c r="G27734" s="812"/>
    </row>
    <row r="27735" spans="7:7">
      <c r="G27735" s="812"/>
    </row>
    <row r="27736" spans="7:7">
      <c r="G27736" s="812"/>
    </row>
    <row r="27737" spans="7:7">
      <c r="G27737" s="812"/>
    </row>
    <row r="27738" spans="7:7">
      <c r="G27738" s="812"/>
    </row>
    <row r="27739" spans="7:7">
      <c r="G27739" s="812"/>
    </row>
    <row r="27740" spans="7:7">
      <c r="G27740" s="812"/>
    </row>
    <row r="27741" spans="7:7">
      <c r="G27741" s="812"/>
    </row>
    <row r="27742" spans="7:7">
      <c r="G27742" s="812"/>
    </row>
    <row r="27743" spans="7:7">
      <c r="G27743" s="812"/>
    </row>
    <row r="27744" spans="7:7">
      <c r="G27744" s="812"/>
    </row>
    <row r="27745" spans="7:7">
      <c r="G27745" s="812"/>
    </row>
    <row r="27746" spans="7:7">
      <c r="G27746" s="812"/>
    </row>
    <row r="27747" spans="7:7">
      <c r="G27747" s="812"/>
    </row>
    <row r="27748" spans="7:7">
      <c r="G27748" s="812"/>
    </row>
    <row r="27749" spans="7:7">
      <c r="G27749" s="812"/>
    </row>
    <row r="27750" spans="7:7">
      <c r="G27750" s="812"/>
    </row>
    <row r="27751" spans="7:7">
      <c r="G27751" s="812"/>
    </row>
    <row r="27752" spans="7:7">
      <c r="G27752" s="812"/>
    </row>
    <row r="27753" spans="7:7">
      <c r="G27753" s="812"/>
    </row>
    <row r="27754" spans="7:7">
      <c r="G27754" s="812"/>
    </row>
    <row r="27755" spans="7:7">
      <c r="G27755" s="812"/>
    </row>
    <row r="27756" spans="7:7">
      <c r="G27756" s="812"/>
    </row>
    <row r="27757" spans="7:7">
      <c r="G27757" s="812"/>
    </row>
    <row r="27758" spans="7:7">
      <c r="G27758" s="812"/>
    </row>
    <row r="27759" spans="7:7">
      <c r="G27759" s="812"/>
    </row>
    <row r="27760" spans="7:7">
      <c r="G27760" s="812"/>
    </row>
    <row r="27761" spans="7:7">
      <c r="G27761" s="812"/>
    </row>
    <row r="27762" spans="7:7">
      <c r="G27762" s="812"/>
    </row>
    <row r="27763" spans="7:7">
      <c r="G27763" s="812"/>
    </row>
    <row r="27764" spans="7:7">
      <c r="G27764" s="812"/>
    </row>
    <row r="27765" spans="7:7">
      <c r="G27765" s="812"/>
    </row>
    <row r="27766" spans="7:7">
      <c r="G27766" s="812"/>
    </row>
    <row r="27767" spans="7:7">
      <c r="G27767" s="812"/>
    </row>
    <row r="27768" spans="7:7">
      <c r="G27768" s="812"/>
    </row>
    <row r="27769" spans="7:7">
      <c r="G27769" s="812"/>
    </row>
    <row r="27770" spans="7:7">
      <c r="G27770" s="812"/>
    </row>
    <row r="27771" spans="7:7">
      <c r="G27771" s="812"/>
    </row>
    <row r="27772" spans="7:7">
      <c r="G27772" s="812"/>
    </row>
    <row r="27773" spans="7:7">
      <c r="G27773" s="812"/>
    </row>
    <row r="27774" spans="7:7">
      <c r="G27774" s="812"/>
    </row>
    <row r="27775" spans="7:7">
      <c r="G27775" s="812"/>
    </row>
    <row r="27776" spans="7:7">
      <c r="G27776" s="812"/>
    </row>
    <row r="27777" spans="7:7">
      <c r="G27777" s="812"/>
    </row>
    <row r="27778" spans="7:7">
      <c r="G27778" s="812"/>
    </row>
    <row r="27779" spans="7:7">
      <c r="G27779" s="812"/>
    </row>
    <row r="27780" spans="7:7">
      <c r="G27780" s="812"/>
    </row>
    <row r="27781" spans="7:7">
      <c r="G27781" s="812"/>
    </row>
    <row r="27782" spans="7:7">
      <c r="G27782" s="812"/>
    </row>
    <row r="27783" spans="7:7">
      <c r="G27783" s="812"/>
    </row>
    <row r="27784" spans="7:7">
      <c r="G27784" s="812"/>
    </row>
    <row r="27785" spans="7:7">
      <c r="G27785" s="812"/>
    </row>
    <row r="27786" spans="7:7">
      <c r="G27786" s="812"/>
    </row>
    <row r="27787" spans="7:7">
      <c r="G27787" s="812"/>
    </row>
    <row r="27788" spans="7:7">
      <c r="G27788" s="812"/>
    </row>
    <row r="27789" spans="7:7">
      <c r="G27789" s="812"/>
    </row>
    <row r="27790" spans="7:7">
      <c r="G27790" s="812"/>
    </row>
    <row r="27791" spans="7:7">
      <c r="G27791" s="812"/>
    </row>
    <row r="27792" spans="7:7">
      <c r="G27792" s="812"/>
    </row>
    <row r="27793" spans="7:7">
      <c r="G27793" s="812"/>
    </row>
    <row r="27794" spans="7:7">
      <c r="G27794" s="812"/>
    </row>
    <row r="27795" spans="7:7">
      <c r="G27795" s="812"/>
    </row>
    <row r="27796" spans="7:7">
      <c r="G27796" s="812"/>
    </row>
    <row r="27797" spans="7:7">
      <c r="G27797" s="812"/>
    </row>
    <row r="27798" spans="7:7">
      <c r="G27798" s="812"/>
    </row>
    <row r="27799" spans="7:7">
      <c r="G27799" s="812"/>
    </row>
    <row r="27800" spans="7:7">
      <c r="G27800" s="812"/>
    </row>
    <row r="27801" spans="7:7">
      <c r="G27801" s="812"/>
    </row>
    <row r="27802" spans="7:7">
      <c r="G27802" s="812"/>
    </row>
    <row r="27803" spans="7:7">
      <c r="G27803" s="812"/>
    </row>
    <row r="27804" spans="7:7">
      <c r="G27804" s="812"/>
    </row>
    <row r="27805" spans="7:7">
      <c r="G27805" s="812"/>
    </row>
    <row r="27806" spans="7:7">
      <c r="G27806" s="812"/>
    </row>
    <row r="27807" spans="7:7">
      <c r="G27807" s="812"/>
    </row>
    <row r="27808" spans="7:7">
      <c r="G27808" s="812"/>
    </row>
    <row r="27809" spans="7:7">
      <c r="G27809" s="812"/>
    </row>
    <row r="27810" spans="7:7">
      <c r="G27810" s="812"/>
    </row>
    <row r="27811" spans="7:7">
      <c r="G27811" s="812"/>
    </row>
    <row r="27812" spans="7:7">
      <c r="G27812" s="812"/>
    </row>
    <row r="27813" spans="7:7">
      <c r="G27813" s="812"/>
    </row>
    <row r="27814" spans="7:7">
      <c r="G27814" s="812"/>
    </row>
    <row r="27815" spans="7:7">
      <c r="G27815" s="812"/>
    </row>
    <row r="27816" spans="7:7">
      <c r="G27816" s="812"/>
    </row>
    <row r="27817" spans="7:7">
      <c r="G27817" s="812"/>
    </row>
    <row r="27818" spans="7:7">
      <c r="G27818" s="812"/>
    </row>
    <row r="27819" spans="7:7">
      <c r="G27819" s="812"/>
    </row>
    <row r="27820" spans="7:7">
      <c r="G27820" s="812"/>
    </row>
    <row r="27821" spans="7:7">
      <c r="G27821" s="812"/>
    </row>
    <row r="27822" spans="7:7">
      <c r="G27822" s="812"/>
    </row>
    <row r="27823" spans="7:7">
      <c r="G27823" s="812"/>
    </row>
    <row r="27824" spans="7:7">
      <c r="G27824" s="812"/>
    </row>
    <row r="27825" spans="7:7">
      <c r="G27825" s="812"/>
    </row>
    <row r="27826" spans="7:7">
      <c r="G27826" s="812"/>
    </row>
    <row r="27827" spans="7:7">
      <c r="G27827" s="812"/>
    </row>
    <row r="27828" spans="7:7">
      <c r="G27828" s="812"/>
    </row>
    <row r="27829" spans="7:7">
      <c r="G27829" s="812"/>
    </row>
    <row r="27830" spans="7:7">
      <c r="G27830" s="812"/>
    </row>
    <row r="27831" spans="7:7">
      <c r="G27831" s="812"/>
    </row>
    <row r="27832" spans="7:7">
      <c r="G27832" s="812"/>
    </row>
    <row r="27833" spans="7:7">
      <c r="G27833" s="812"/>
    </row>
    <row r="27834" spans="7:7">
      <c r="G27834" s="812"/>
    </row>
    <row r="27835" spans="7:7">
      <c r="G27835" s="812"/>
    </row>
    <row r="27836" spans="7:7">
      <c r="G27836" s="812"/>
    </row>
    <row r="27837" spans="7:7">
      <c r="G27837" s="812"/>
    </row>
    <row r="27838" spans="7:7">
      <c r="G27838" s="812"/>
    </row>
    <row r="27839" spans="7:7">
      <c r="G27839" s="812"/>
    </row>
    <row r="27840" spans="7:7">
      <c r="G27840" s="812"/>
    </row>
    <row r="27841" spans="7:7">
      <c r="G27841" s="812"/>
    </row>
    <row r="27842" spans="7:7">
      <c r="G27842" s="812"/>
    </row>
    <row r="27843" spans="7:7">
      <c r="G27843" s="812"/>
    </row>
    <row r="27844" spans="7:7">
      <c r="G27844" s="812"/>
    </row>
    <row r="27845" spans="7:7">
      <c r="G27845" s="812"/>
    </row>
    <row r="27846" spans="7:7">
      <c r="G27846" s="812"/>
    </row>
    <row r="27847" spans="7:7">
      <c r="G27847" s="812"/>
    </row>
    <row r="27848" spans="7:7">
      <c r="G27848" s="812"/>
    </row>
    <row r="27849" spans="7:7">
      <c r="G27849" s="812"/>
    </row>
    <row r="27850" spans="7:7">
      <c r="G27850" s="812"/>
    </row>
    <row r="27851" spans="7:7">
      <c r="G27851" s="812"/>
    </row>
    <row r="27852" spans="7:7">
      <c r="G27852" s="812"/>
    </row>
    <row r="27853" spans="7:7">
      <c r="G27853" s="812"/>
    </row>
    <row r="27854" spans="7:7">
      <c r="G27854" s="812"/>
    </row>
    <row r="27855" spans="7:7">
      <c r="G27855" s="812"/>
    </row>
    <row r="27856" spans="7:7">
      <c r="G27856" s="812"/>
    </row>
    <row r="27857" spans="7:7">
      <c r="G27857" s="812"/>
    </row>
    <row r="27858" spans="7:7">
      <c r="G27858" s="812"/>
    </row>
    <row r="27859" spans="7:7">
      <c r="G27859" s="812"/>
    </row>
    <row r="27860" spans="7:7">
      <c r="G27860" s="812"/>
    </row>
    <row r="27861" spans="7:7">
      <c r="G27861" s="812"/>
    </row>
    <row r="27862" spans="7:7">
      <c r="G27862" s="812"/>
    </row>
    <row r="27863" spans="7:7">
      <c r="G27863" s="812"/>
    </row>
    <row r="27864" spans="7:7">
      <c r="G27864" s="812"/>
    </row>
    <row r="27865" spans="7:7">
      <c r="G27865" s="812"/>
    </row>
    <row r="27866" spans="7:7">
      <c r="G27866" s="812"/>
    </row>
    <row r="27867" spans="7:7">
      <c r="G27867" s="812"/>
    </row>
    <row r="27868" spans="7:7">
      <c r="G27868" s="812"/>
    </row>
    <row r="27869" spans="7:7">
      <c r="G27869" s="812"/>
    </row>
    <row r="27870" spans="7:7">
      <c r="G27870" s="812"/>
    </row>
    <row r="27871" spans="7:7">
      <c r="G27871" s="812"/>
    </row>
    <row r="27872" spans="7:7">
      <c r="G27872" s="812"/>
    </row>
    <row r="27873" spans="7:7">
      <c r="G27873" s="812"/>
    </row>
    <row r="27874" spans="7:7">
      <c r="G27874" s="812"/>
    </row>
    <row r="27875" spans="7:7">
      <c r="G27875" s="812"/>
    </row>
    <row r="27876" spans="7:7">
      <c r="G27876" s="812"/>
    </row>
    <row r="27877" spans="7:7">
      <c r="G27877" s="812"/>
    </row>
    <row r="27878" spans="7:7">
      <c r="G27878" s="812"/>
    </row>
    <row r="27879" spans="7:7">
      <c r="G27879" s="812"/>
    </row>
    <row r="27880" spans="7:7">
      <c r="G27880" s="812"/>
    </row>
    <row r="27881" spans="7:7">
      <c r="G27881" s="812"/>
    </row>
    <row r="27882" spans="7:7">
      <c r="G27882" s="812"/>
    </row>
    <row r="27883" spans="7:7">
      <c r="G27883" s="812"/>
    </row>
    <row r="27884" spans="7:7">
      <c r="G27884" s="812"/>
    </row>
    <row r="27885" spans="7:7">
      <c r="G27885" s="812"/>
    </row>
    <row r="27886" spans="7:7">
      <c r="G27886" s="812"/>
    </row>
    <row r="27887" spans="7:7">
      <c r="G27887" s="812"/>
    </row>
    <row r="27888" spans="7:7">
      <c r="G27888" s="812"/>
    </row>
    <row r="27889" spans="7:7">
      <c r="G27889" s="812"/>
    </row>
    <row r="27890" spans="7:7">
      <c r="G27890" s="812"/>
    </row>
    <row r="27891" spans="7:7">
      <c r="G27891" s="812"/>
    </row>
    <row r="27892" spans="7:7">
      <c r="G27892" s="812"/>
    </row>
    <row r="27893" spans="7:7">
      <c r="G27893" s="812"/>
    </row>
    <row r="27894" spans="7:7">
      <c r="G27894" s="812"/>
    </row>
    <row r="27895" spans="7:7">
      <c r="G27895" s="812"/>
    </row>
    <row r="27896" spans="7:7">
      <c r="G27896" s="812"/>
    </row>
    <row r="27897" spans="7:7">
      <c r="G27897" s="812"/>
    </row>
    <row r="27898" spans="7:7">
      <c r="G27898" s="812"/>
    </row>
    <row r="27899" spans="7:7">
      <c r="G27899" s="812"/>
    </row>
    <row r="27900" spans="7:7">
      <c r="G27900" s="812"/>
    </row>
    <row r="27901" spans="7:7">
      <c r="G27901" s="812"/>
    </row>
    <row r="27902" spans="7:7">
      <c r="G27902" s="812"/>
    </row>
    <row r="27903" spans="7:7">
      <c r="G27903" s="812"/>
    </row>
    <row r="27904" spans="7:7">
      <c r="G27904" s="812"/>
    </row>
    <row r="27905" spans="7:7">
      <c r="G27905" s="812"/>
    </row>
    <row r="27906" spans="7:7">
      <c r="G27906" s="812"/>
    </row>
    <row r="27907" spans="7:7">
      <c r="G27907" s="812"/>
    </row>
    <row r="27908" spans="7:7">
      <c r="G27908" s="812"/>
    </row>
    <row r="27909" spans="7:7">
      <c r="G27909" s="812"/>
    </row>
    <row r="27910" spans="7:7">
      <c r="G27910" s="812"/>
    </row>
    <row r="27911" spans="7:7">
      <c r="G27911" s="812"/>
    </row>
    <row r="27912" spans="7:7">
      <c r="G27912" s="812"/>
    </row>
    <row r="27913" spans="7:7">
      <c r="G27913" s="812"/>
    </row>
    <row r="27914" spans="7:7">
      <c r="G27914" s="812"/>
    </row>
    <row r="27915" spans="7:7">
      <c r="G27915" s="812"/>
    </row>
    <row r="27916" spans="7:7">
      <c r="G27916" s="812"/>
    </row>
    <row r="27917" spans="7:7">
      <c r="G27917" s="812"/>
    </row>
    <row r="27918" spans="7:7">
      <c r="G27918" s="812"/>
    </row>
    <row r="27919" spans="7:7">
      <c r="G27919" s="812"/>
    </row>
    <row r="27920" spans="7:7">
      <c r="G27920" s="812"/>
    </row>
    <row r="27921" spans="7:7">
      <c r="G27921" s="812"/>
    </row>
    <row r="27922" spans="7:7">
      <c r="G27922" s="812"/>
    </row>
    <row r="27923" spans="7:7">
      <c r="G27923" s="812"/>
    </row>
    <row r="27924" spans="7:7">
      <c r="G27924" s="812"/>
    </row>
    <row r="27925" spans="7:7">
      <c r="G27925" s="812"/>
    </row>
    <row r="27926" spans="7:7">
      <c r="G27926" s="812"/>
    </row>
    <row r="27927" spans="7:7">
      <c r="G27927" s="812"/>
    </row>
    <row r="27928" spans="7:7">
      <c r="G27928" s="812"/>
    </row>
    <row r="27929" spans="7:7">
      <c r="G27929" s="812"/>
    </row>
    <row r="27930" spans="7:7">
      <c r="G27930" s="812"/>
    </row>
    <row r="27931" spans="7:7">
      <c r="G27931" s="812"/>
    </row>
    <row r="27932" spans="7:7">
      <c r="G27932" s="812"/>
    </row>
    <row r="27933" spans="7:7">
      <c r="G27933" s="812"/>
    </row>
    <row r="27934" spans="7:7">
      <c r="G27934" s="812"/>
    </row>
    <row r="27935" spans="7:7">
      <c r="G27935" s="812"/>
    </row>
    <row r="27936" spans="7:7">
      <c r="G27936" s="812"/>
    </row>
    <row r="27937" spans="7:7">
      <c r="G27937" s="812"/>
    </row>
    <row r="27938" spans="7:7">
      <c r="G27938" s="812"/>
    </row>
    <row r="27939" spans="7:7">
      <c r="G27939" s="812"/>
    </row>
    <row r="27940" spans="7:7">
      <c r="G27940" s="812"/>
    </row>
    <row r="27941" spans="7:7">
      <c r="G27941" s="812"/>
    </row>
    <row r="27942" spans="7:7">
      <c r="G27942" s="812"/>
    </row>
    <row r="27943" spans="7:7">
      <c r="G27943" s="812"/>
    </row>
    <row r="27944" spans="7:7">
      <c r="G27944" s="812"/>
    </row>
    <row r="27945" spans="7:7">
      <c r="G27945" s="812"/>
    </row>
    <row r="27946" spans="7:7">
      <c r="G27946" s="812"/>
    </row>
    <row r="27947" spans="7:7">
      <c r="G27947" s="812"/>
    </row>
    <row r="27948" spans="7:7">
      <c r="G27948" s="812"/>
    </row>
    <row r="27949" spans="7:7">
      <c r="G27949" s="812"/>
    </row>
    <row r="27950" spans="7:7">
      <c r="G27950" s="812"/>
    </row>
    <row r="27951" spans="7:7">
      <c r="G27951" s="812"/>
    </row>
    <row r="27952" spans="7:7">
      <c r="G27952" s="812"/>
    </row>
    <row r="27953" spans="7:7">
      <c r="G27953" s="812"/>
    </row>
    <row r="27954" spans="7:7">
      <c r="G27954" s="812"/>
    </row>
    <row r="27955" spans="7:7">
      <c r="G27955" s="812"/>
    </row>
    <row r="27956" spans="7:7">
      <c r="G27956" s="812"/>
    </row>
    <row r="27957" spans="7:7">
      <c r="G27957" s="812"/>
    </row>
    <row r="27958" spans="7:7">
      <c r="G27958" s="812"/>
    </row>
    <row r="27959" spans="7:7">
      <c r="G27959" s="812"/>
    </row>
    <row r="27960" spans="7:7">
      <c r="G27960" s="812"/>
    </row>
    <row r="27961" spans="7:7">
      <c r="G27961" s="812"/>
    </row>
    <row r="27962" spans="7:7">
      <c r="G27962" s="812"/>
    </row>
    <row r="27963" spans="7:7">
      <c r="G27963" s="812"/>
    </row>
    <row r="27964" spans="7:7">
      <c r="G27964" s="812"/>
    </row>
    <row r="27965" spans="7:7">
      <c r="G27965" s="812"/>
    </row>
    <row r="27966" spans="7:7">
      <c r="G27966" s="812"/>
    </row>
    <row r="27967" spans="7:7">
      <c r="G27967" s="812"/>
    </row>
    <row r="27968" spans="7:7">
      <c r="G27968" s="812"/>
    </row>
    <row r="27969" spans="7:7">
      <c r="G27969" s="812"/>
    </row>
    <row r="27970" spans="7:7">
      <c r="G27970" s="812"/>
    </row>
    <row r="27971" spans="7:7">
      <c r="G27971" s="812"/>
    </row>
    <row r="27972" spans="7:7">
      <c r="G27972" s="812"/>
    </row>
    <row r="27973" spans="7:7">
      <c r="G27973" s="812"/>
    </row>
    <row r="27974" spans="7:7">
      <c r="G27974" s="812"/>
    </row>
    <row r="27975" spans="7:7">
      <c r="G27975" s="812"/>
    </row>
    <row r="27976" spans="7:7">
      <c r="G27976" s="812"/>
    </row>
    <row r="27977" spans="7:7">
      <c r="G27977" s="812"/>
    </row>
    <row r="27978" spans="7:7">
      <c r="G27978" s="812"/>
    </row>
    <row r="27979" spans="7:7">
      <c r="G27979" s="812"/>
    </row>
    <row r="27980" spans="7:7">
      <c r="G27980" s="812"/>
    </row>
    <row r="27981" spans="7:7">
      <c r="G27981" s="812"/>
    </row>
    <row r="27982" spans="7:7">
      <c r="G27982" s="812"/>
    </row>
    <row r="27983" spans="7:7">
      <c r="G27983" s="812"/>
    </row>
    <row r="27984" spans="7:7">
      <c r="G27984" s="812"/>
    </row>
    <row r="27985" spans="7:7">
      <c r="G27985" s="812"/>
    </row>
    <row r="27986" spans="7:7">
      <c r="G27986" s="812"/>
    </row>
    <row r="27987" spans="7:7">
      <c r="G27987" s="812"/>
    </row>
    <row r="27988" spans="7:7">
      <c r="G27988" s="812"/>
    </row>
    <row r="27989" spans="7:7">
      <c r="G27989" s="812"/>
    </row>
    <row r="27990" spans="7:7">
      <c r="G27990" s="812"/>
    </row>
    <row r="27991" spans="7:7">
      <c r="G27991" s="812"/>
    </row>
    <row r="27992" spans="7:7">
      <c r="G27992" s="812"/>
    </row>
    <row r="27993" spans="7:7">
      <c r="G27993" s="812"/>
    </row>
    <row r="27994" spans="7:7">
      <c r="G27994" s="812"/>
    </row>
    <row r="27995" spans="7:7">
      <c r="G27995" s="812"/>
    </row>
    <row r="27996" spans="7:7">
      <c r="G27996" s="812"/>
    </row>
    <row r="27997" spans="7:7">
      <c r="G27997" s="812"/>
    </row>
    <row r="27998" spans="7:7">
      <c r="G27998" s="812"/>
    </row>
    <row r="27999" spans="7:7">
      <c r="G27999" s="812"/>
    </row>
    <row r="28000" spans="7:7">
      <c r="G28000" s="812"/>
    </row>
    <row r="28001" spans="7:7">
      <c r="G28001" s="812"/>
    </row>
    <row r="28002" spans="7:7">
      <c r="G28002" s="812"/>
    </row>
    <row r="28003" spans="7:7">
      <c r="G28003" s="812"/>
    </row>
    <row r="28004" spans="7:7">
      <c r="G28004" s="812"/>
    </row>
    <row r="28005" spans="7:7">
      <c r="G28005" s="812"/>
    </row>
    <row r="28006" spans="7:7">
      <c r="G28006" s="812"/>
    </row>
    <row r="28007" spans="7:7">
      <c r="G28007" s="812"/>
    </row>
    <row r="28008" spans="7:7">
      <c r="G28008" s="812"/>
    </row>
    <row r="28009" spans="7:7">
      <c r="G28009" s="812"/>
    </row>
    <row r="28010" spans="7:7">
      <c r="G28010" s="812"/>
    </row>
    <row r="28011" spans="7:7">
      <c r="G28011" s="812"/>
    </row>
    <row r="28012" spans="7:7">
      <c r="G28012" s="812"/>
    </row>
    <row r="28013" spans="7:7">
      <c r="G28013" s="812"/>
    </row>
    <row r="28014" spans="7:7">
      <c r="G28014" s="812"/>
    </row>
    <row r="28015" spans="7:7">
      <c r="G28015" s="812"/>
    </row>
    <row r="28016" spans="7:7">
      <c r="G28016" s="812"/>
    </row>
    <row r="28017" spans="7:7">
      <c r="G28017" s="812"/>
    </row>
    <row r="28018" spans="7:7">
      <c r="G28018" s="812"/>
    </row>
    <row r="28019" spans="7:7">
      <c r="G28019" s="812"/>
    </row>
    <row r="28020" spans="7:7">
      <c r="G28020" s="812"/>
    </row>
    <row r="28021" spans="7:7">
      <c r="G28021" s="812"/>
    </row>
    <row r="28022" spans="7:7">
      <c r="G28022" s="812"/>
    </row>
    <row r="28023" spans="7:7">
      <c r="G28023" s="812"/>
    </row>
    <row r="28024" spans="7:7">
      <c r="G28024" s="812"/>
    </row>
    <row r="28025" spans="7:7">
      <c r="G28025" s="812"/>
    </row>
    <row r="28026" spans="7:7">
      <c r="G28026" s="812"/>
    </row>
    <row r="28027" spans="7:7">
      <c r="G28027" s="812"/>
    </row>
    <row r="28028" spans="7:7">
      <c r="G28028" s="812"/>
    </row>
    <row r="28029" spans="7:7">
      <c r="G28029" s="812"/>
    </row>
    <row r="28030" spans="7:7">
      <c r="G28030" s="812"/>
    </row>
    <row r="28031" spans="7:7">
      <c r="G28031" s="812"/>
    </row>
    <row r="28032" spans="7:7">
      <c r="G28032" s="812"/>
    </row>
    <row r="28033" spans="7:7">
      <c r="G28033" s="812"/>
    </row>
    <row r="28034" spans="7:7">
      <c r="G28034" s="812"/>
    </row>
    <row r="28035" spans="7:7">
      <c r="G28035" s="812"/>
    </row>
    <row r="28036" spans="7:7">
      <c r="G28036" s="812"/>
    </row>
    <row r="28037" spans="7:7">
      <c r="G28037" s="812"/>
    </row>
    <row r="28038" spans="7:7">
      <c r="G28038" s="812"/>
    </row>
    <row r="28039" spans="7:7">
      <c r="G28039" s="812"/>
    </row>
    <row r="28040" spans="7:7">
      <c r="G28040" s="812"/>
    </row>
    <row r="28041" spans="7:7">
      <c r="G28041" s="812"/>
    </row>
    <row r="28042" spans="7:7">
      <c r="G28042" s="812"/>
    </row>
    <row r="28043" spans="7:7">
      <c r="G28043" s="812"/>
    </row>
    <row r="28044" spans="7:7">
      <c r="G28044" s="812"/>
    </row>
    <row r="28045" spans="7:7">
      <c r="G28045" s="812"/>
    </row>
    <row r="28046" spans="7:7">
      <c r="G28046" s="812"/>
    </row>
    <row r="28047" spans="7:7">
      <c r="G28047" s="812"/>
    </row>
    <row r="28048" spans="7:7">
      <c r="G28048" s="812"/>
    </row>
    <row r="28049" spans="7:7">
      <c r="G28049" s="812"/>
    </row>
    <row r="28050" spans="7:7">
      <c r="G28050" s="812"/>
    </row>
    <row r="28051" spans="7:7">
      <c r="G28051" s="812"/>
    </row>
    <row r="28052" spans="7:7">
      <c r="G28052" s="812"/>
    </row>
    <row r="28053" spans="7:7">
      <c r="G28053" s="812"/>
    </row>
    <row r="28054" spans="7:7">
      <c r="G28054" s="812"/>
    </row>
    <row r="28055" spans="7:7">
      <c r="G28055" s="812"/>
    </row>
    <row r="28056" spans="7:7">
      <c r="G28056" s="812"/>
    </row>
    <row r="28057" spans="7:7">
      <c r="G28057" s="812"/>
    </row>
    <row r="28058" spans="7:7">
      <c r="G28058" s="812"/>
    </row>
    <row r="28059" spans="7:7">
      <c r="G28059" s="812"/>
    </row>
    <row r="28060" spans="7:7">
      <c r="G28060" s="812"/>
    </row>
    <row r="28061" spans="7:7">
      <c r="G28061" s="812"/>
    </row>
    <row r="28062" spans="7:7">
      <c r="G28062" s="812"/>
    </row>
    <row r="28063" spans="7:7">
      <c r="G28063" s="812"/>
    </row>
    <row r="28064" spans="7:7">
      <c r="G28064" s="812"/>
    </row>
    <row r="28065" spans="7:7">
      <c r="G28065" s="812"/>
    </row>
    <row r="28066" spans="7:7">
      <c r="G28066" s="812"/>
    </row>
    <row r="28067" spans="7:7">
      <c r="G28067" s="812"/>
    </row>
    <row r="28068" spans="7:7">
      <c r="G28068" s="812"/>
    </row>
    <row r="28069" spans="7:7">
      <c r="G28069" s="812"/>
    </row>
    <row r="28070" spans="7:7">
      <c r="G28070" s="812"/>
    </row>
    <row r="28071" spans="7:7">
      <c r="G28071" s="812"/>
    </row>
    <row r="28072" spans="7:7">
      <c r="G28072" s="812"/>
    </row>
    <row r="28073" spans="7:7">
      <c r="G28073" s="812"/>
    </row>
    <row r="28074" spans="7:7">
      <c r="G28074" s="812"/>
    </row>
    <row r="28075" spans="7:7">
      <c r="G28075" s="812"/>
    </row>
    <row r="28076" spans="7:7">
      <c r="G28076" s="812"/>
    </row>
    <row r="28077" spans="7:7">
      <c r="G28077" s="812"/>
    </row>
    <row r="28078" spans="7:7">
      <c r="G28078" s="812"/>
    </row>
    <row r="28079" spans="7:7">
      <c r="G28079" s="812"/>
    </row>
    <row r="28080" spans="7:7">
      <c r="G28080" s="812"/>
    </row>
    <row r="28081" spans="7:7">
      <c r="G28081" s="812"/>
    </row>
    <row r="28082" spans="7:7">
      <c r="G28082" s="812"/>
    </row>
    <row r="28083" spans="7:7">
      <c r="G28083" s="812"/>
    </row>
    <row r="28084" spans="7:7">
      <c r="G28084" s="812"/>
    </row>
    <row r="28085" spans="7:7">
      <c r="G28085" s="812"/>
    </row>
    <row r="28086" spans="7:7">
      <c r="G28086" s="812"/>
    </row>
    <row r="28087" spans="7:7">
      <c r="G28087" s="812"/>
    </row>
    <row r="28088" spans="7:7">
      <c r="G28088" s="812"/>
    </row>
    <row r="28089" spans="7:7">
      <c r="G28089" s="812"/>
    </row>
    <row r="28090" spans="7:7">
      <c r="G28090" s="812"/>
    </row>
    <row r="28091" spans="7:7">
      <c r="G28091" s="812"/>
    </row>
    <row r="28092" spans="7:7">
      <c r="G28092" s="812"/>
    </row>
    <row r="28093" spans="7:7">
      <c r="G28093" s="812"/>
    </row>
    <row r="28094" spans="7:7">
      <c r="G28094" s="812"/>
    </row>
    <row r="28095" spans="7:7">
      <c r="G28095" s="812"/>
    </row>
    <row r="28096" spans="7:7">
      <c r="G28096" s="812"/>
    </row>
    <row r="28097" spans="7:7">
      <c r="G28097" s="812"/>
    </row>
    <row r="28098" spans="7:7">
      <c r="G28098" s="812"/>
    </row>
    <row r="28099" spans="7:7">
      <c r="G28099" s="812"/>
    </row>
    <row r="28100" spans="7:7">
      <c r="G28100" s="812"/>
    </row>
    <row r="28101" spans="7:7">
      <c r="G28101" s="812"/>
    </row>
    <row r="28102" spans="7:7">
      <c r="G28102" s="812"/>
    </row>
    <row r="28103" spans="7:7">
      <c r="G28103" s="812"/>
    </row>
    <row r="28104" spans="7:7">
      <c r="G28104" s="812"/>
    </row>
    <row r="28105" spans="7:7">
      <c r="G28105" s="812"/>
    </row>
    <row r="28106" spans="7:7">
      <c r="G28106" s="812"/>
    </row>
    <row r="28107" spans="7:7">
      <c r="G28107" s="812"/>
    </row>
    <row r="28108" spans="7:7">
      <c r="G28108" s="812"/>
    </row>
    <row r="28109" spans="7:7">
      <c r="G28109" s="812"/>
    </row>
    <row r="28110" spans="7:7">
      <c r="G28110" s="812"/>
    </row>
    <row r="28111" spans="7:7">
      <c r="G28111" s="812"/>
    </row>
    <row r="28112" spans="7:7">
      <c r="G28112" s="812"/>
    </row>
    <row r="28113" spans="7:7">
      <c r="G28113" s="812"/>
    </row>
    <row r="28114" spans="7:7">
      <c r="G28114" s="812"/>
    </row>
    <row r="28115" spans="7:7">
      <c r="G28115" s="812"/>
    </row>
    <row r="28116" spans="7:7">
      <c r="G28116" s="812"/>
    </row>
    <row r="28117" spans="7:7">
      <c r="G28117" s="812"/>
    </row>
    <row r="28118" spans="7:7">
      <c r="G28118" s="812"/>
    </row>
    <row r="28119" spans="7:7">
      <c r="G28119" s="812"/>
    </row>
    <row r="28120" spans="7:7">
      <c r="G28120" s="812"/>
    </row>
    <row r="28121" spans="7:7">
      <c r="G28121" s="812"/>
    </row>
    <row r="28122" spans="7:7">
      <c r="G28122" s="812"/>
    </row>
    <row r="28123" spans="7:7">
      <c r="G28123" s="812"/>
    </row>
    <row r="28124" spans="7:7">
      <c r="G28124" s="812"/>
    </row>
    <row r="28125" spans="7:7">
      <c r="G28125" s="812"/>
    </row>
    <row r="28126" spans="7:7">
      <c r="G28126" s="812"/>
    </row>
    <row r="28127" spans="7:7">
      <c r="G28127" s="812"/>
    </row>
    <row r="28128" spans="7:7">
      <c r="G28128" s="812"/>
    </row>
    <row r="28129" spans="7:7">
      <c r="G28129" s="812"/>
    </row>
    <row r="28130" spans="7:7">
      <c r="G28130" s="812"/>
    </row>
    <row r="28131" spans="7:7">
      <c r="G28131" s="812"/>
    </row>
    <row r="28132" spans="7:7">
      <c r="G28132" s="812"/>
    </row>
    <row r="28133" spans="7:7">
      <c r="G28133" s="812"/>
    </row>
    <row r="28134" spans="7:7">
      <c r="G28134" s="812"/>
    </row>
    <row r="28135" spans="7:7">
      <c r="G28135" s="812"/>
    </row>
    <row r="28136" spans="7:7">
      <c r="G28136" s="812"/>
    </row>
    <row r="28137" spans="7:7">
      <c r="G28137" s="812"/>
    </row>
    <row r="28138" spans="7:7">
      <c r="G28138" s="812"/>
    </row>
    <row r="28139" spans="7:7">
      <c r="G28139" s="812"/>
    </row>
    <row r="28140" spans="7:7">
      <c r="G28140" s="812"/>
    </row>
    <row r="28141" spans="7:7">
      <c r="G28141" s="812"/>
    </row>
    <row r="28142" spans="7:7">
      <c r="G28142" s="812"/>
    </row>
    <row r="28143" spans="7:7">
      <c r="G28143" s="812"/>
    </row>
    <row r="28144" spans="7:7">
      <c r="G28144" s="812"/>
    </row>
    <row r="28145" spans="7:7">
      <c r="G28145" s="812"/>
    </row>
    <row r="28146" spans="7:7">
      <c r="G28146" s="812"/>
    </row>
    <row r="28147" spans="7:7">
      <c r="G28147" s="812"/>
    </row>
    <row r="28148" spans="7:7">
      <c r="G28148" s="812"/>
    </row>
    <row r="28149" spans="7:7">
      <c r="G28149" s="812"/>
    </row>
    <row r="28150" spans="7:7">
      <c r="G28150" s="812"/>
    </row>
    <row r="28151" spans="7:7">
      <c r="G28151" s="812"/>
    </row>
    <row r="28152" spans="7:7">
      <c r="G28152" s="812"/>
    </row>
    <row r="28153" spans="7:7">
      <c r="G28153" s="812"/>
    </row>
    <row r="28154" spans="7:7">
      <c r="G28154" s="812"/>
    </row>
    <row r="28155" spans="7:7">
      <c r="G28155" s="812"/>
    </row>
    <row r="28156" spans="7:7">
      <c r="G28156" s="812"/>
    </row>
    <row r="28157" spans="7:7">
      <c r="G28157" s="812"/>
    </row>
    <row r="28158" spans="7:7">
      <c r="G28158" s="812"/>
    </row>
    <row r="28159" spans="7:7">
      <c r="G28159" s="812"/>
    </row>
    <row r="28160" spans="7:7">
      <c r="G28160" s="812"/>
    </row>
    <row r="28161" spans="7:7">
      <c r="G28161" s="812"/>
    </row>
    <row r="28162" spans="7:7">
      <c r="G28162" s="812"/>
    </row>
    <row r="28163" spans="7:7">
      <c r="G28163" s="812"/>
    </row>
    <row r="28164" spans="7:7">
      <c r="G28164" s="812"/>
    </row>
    <row r="28165" spans="7:7">
      <c r="G28165" s="812"/>
    </row>
    <row r="28166" spans="7:7">
      <c r="G28166" s="812"/>
    </row>
    <row r="28167" spans="7:7">
      <c r="G28167" s="812"/>
    </row>
    <row r="28168" spans="7:7">
      <c r="G28168" s="812"/>
    </row>
    <row r="28169" spans="7:7">
      <c r="G28169" s="812"/>
    </row>
    <row r="28170" spans="7:7">
      <c r="G28170" s="812"/>
    </row>
    <row r="28171" spans="7:7">
      <c r="G28171" s="812"/>
    </row>
    <row r="28172" spans="7:7">
      <c r="G28172" s="812"/>
    </row>
    <row r="28173" spans="7:7">
      <c r="G28173" s="812"/>
    </row>
    <row r="28174" spans="7:7">
      <c r="G28174" s="812"/>
    </row>
    <row r="28175" spans="7:7">
      <c r="G28175" s="812"/>
    </row>
    <row r="28176" spans="7:7">
      <c r="G28176" s="812"/>
    </row>
    <row r="28177" spans="7:7">
      <c r="G28177" s="812"/>
    </row>
    <row r="28178" spans="7:7">
      <c r="G28178" s="812"/>
    </row>
    <row r="28179" spans="7:7">
      <c r="G28179" s="812"/>
    </row>
    <row r="28180" spans="7:7">
      <c r="G28180" s="812"/>
    </row>
    <row r="28181" spans="7:7">
      <c r="G28181" s="812"/>
    </row>
    <row r="28182" spans="7:7">
      <c r="G28182" s="812"/>
    </row>
    <row r="28183" spans="7:7">
      <c r="G28183" s="812"/>
    </row>
    <row r="28184" spans="7:7">
      <c r="G28184" s="812"/>
    </row>
    <row r="28185" spans="7:7">
      <c r="G28185" s="812"/>
    </row>
    <row r="28186" spans="7:7">
      <c r="G28186" s="812"/>
    </row>
    <row r="28187" spans="7:7">
      <c r="G28187" s="812"/>
    </row>
    <row r="28188" spans="7:7">
      <c r="G28188" s="812"/>
    </row>
    <row r="28189" spans="7:7">
      <c r="G28189" s="812"/>
    </row>
    <row r="28190" spans="7:7">
      <c r="G28190" s="812"/>
    </row>
    <row r="28191" spans="7:7">
      <c r="G28191" s="812"/>
    </row>
    <row r="28192" spans="7:7">
      <c r="G28192" s="812"/>
    </row>
    <row r="28193" spans="7:7">
      <c r="G28193" s="812"/>
    </row>
    <row r="28194" spans="7:7">
      <c r="G28194" s="812"/>
    </row>
    <row r="28195" spans="7:7">
      <c r="G28195" s="812"/>
    </row>
    <row r="28196" spans="7:7">
      <c r="G28196" s="812"/>
    </row>
    <row r="28197" spans="7:7">
      <c r="G28197" s="812"/>
    </row>
    <row r="28198" spans="7:7">
      <c r="G28198" s="812"/>
    </row>
    <row r="28199" spans="7:7">
      <c r="G28199" s="812"/>
    </row>
    <row r="28200" spans="7:7">
      <c r="G28200" s="812"/>
    </row>
    <row r="28201" spans="7:7">
      <c r="G28201" s="812"/>
    </row>
    <row r="28202" spans="7:7">
      <c r="G28202" s="812"/>
    </row>
    <row r="28203" spans="7:7">
      <c r="G28203" s="812"/>
    </row>
    <row r="28204" spans="7:7">
      <c r="G28204" s="812"/>
    </row>
    <row r="28205" spans="7:7">
      <c r="G28205" s="812"/>
    </row>
    <row r="28206" spans="7:7">
      <c r="G28206" s="812"/>
    </row>
    <row r="28207" spans="7:7">
      <c r="G28207" s="812"/>
    </row>
    <row r="28208" spans="7:7">
      <c r="G28208" s="812"/>
    </row>
    <row r="28209" spans="7:7">
      <c r="G28209" s="812"/>
    </row>
    <row r="28210" spans="7:7">
      <c r="G28210" s="812"/>
    </row>
    <row r="28211" spans="7:7">
      <c r="G28211" s="812"/>
    </row>
    <row r="28212" spans="7:7">
      <c r="G28212" s="812"/>
    </row>
    <row r="28213" spans="7:7">
      <c r="G28213" s="812"/>
    </row>
    <row r="28214" spans="7:7">
      <c r="G28214" s="812"/>
    </row>
    <row r="28215" spans="7:7">
      <c r="G28215" s="812"/>
    </row>
    <row r="28216" spans="7:7">
      <c r="G28216" s="812"/>
    </row>
    <row r="28217" spans="7:7">
      <c r="G28217" s="812"/>
    </row>
    <row r="28218" spans="7:7">
      <c r="G28218" s="812"/>
    </row>
    <row r="28219" spans="7:7">
      <c r="G28219" s="812"/>
    </row>
    <row r="28220" spans="7:7">
      <c r="G28220" s="812"/>
    </row>
    <row r="28221" spans="7:7">
      <c r="G28221" s="812"/>
    </row>
    <row r="28222" spans="7:7">
      <c r="G28222" s="812"/>
    </row>
    <row r="28223" spans="7:7">
      <c r="G28223" s="812"/>
    </row>
    <row r="28224" spans="7:7">
      <c r="G28224" s="812"/>
    </row>
    <row r="28225" spans="7:7">
      <c r="G28225" s="812"/>
    </row>
    <row r="28226" spans="7:7">
      <c r="G28226" s="812"/>
    </row>
    <row r="28227" spans="7:7">
      <c r="G28227" s="812"/>
    </row>
    <row r="28228" spans="7:7">
      <c r="G28228" s="812"/>
    </row>
    <row r="28229" spans="7:7">
      <c r="G28229" s="812"/>
    </row>
    <row r="28230" spans="7:7">
      <c r="G28230" s="812"/>
    </row>
    <row r="28231" spans="7:7">
      <c r="G28231" s="812"/>
    </row>
    <row r="28232" spans="7:7">
      <c r="G28232" s="812"/>
    </row>
    <row r="28233" spans="7:7">
      <c r="G28233" s="812"/>
    </row>
    <row r="28234" spans="7:7">
      <c r="G28234" s="812"/>
    </row>
    <row r="28235" spans="7:7">
      <c r="G28235" s="812"/>
    </row>
    <row r="28236" spans="7:7">
      <c r="G28236" s="812"/>
    </row>
    <row r="28237" spans="7:7">
      <c r="G28237" s="812"/>
    </row>
    <row r="28238" spans="7:7">
      <c r="G28238" s="812"/>
    </row>
    <row r="28239" spans="7:7">
      <c r="G28239" s="812"/>
    </row>
    <row r="28240" spans="7:7">
      <c r="G28240" s="812"/>
    </row>
    <row r="28241" spans="7:7">
      <c r="G28241" s="812"/>
    </row>
    <row r="28242" spans="7:7">
      <c r="G28242" s="812"/>
    </row>
    <row r="28243" spans="7:7">
      <c r="G28243" s="812"/>
    </row>
    <row r="28244" spans="7:7">
      <c r="G28244" s="812"/>
    </row>
    <row r="28245" spans="7:7">
      <c r="G28245" s="812"/>
    </row>
    <row r="28246" spans="7:7">
      <c r="G28246" s="812"/>
    </row>
    <row r="28247" spans="7:7">
      <c r="G28247" s="812"/>
    </row>
    <row r="28248" spans="7:7">
      <c r="G28248" s="812"/>
    </row>
    <row r="28249" spans="7:7">
      <c r="G28249" s="812"/>
    </row>
    <row r="28250" spans="7:7">
      <c r="G28250" s="812"/>
    </row>
    <row r="28251" spans="7:7">
      <c r="G28251" s="812"/>
    </row>
    <row r="28252" spans="7:7">
      <c r="G28252" s="812"/>
    </row>
    <row r="28253" spans="7:7">
      <c r="G28253" s="812"/>
    </row>
    <row r="28254" spans="7:7">
      <c r="G28254" s="812"/>
    </row>
    <row r="28255" spans="7:7">
      <c r="G28255" s="812"/>
    </row>
    <row r="28256" spans="7:7">
      <c r="G28256" s="812"/>
    </row>
    <row r="28257" spans="7:7">
      <c r="G28257" s="812"/>
    </row>
    <row r="28258" spans="7:7">
      <c r="G28258" s="812"/>
    </row>
    <row r="28259" spans="7:7">
      <c r="G28259" s="812"/>
    </row>
    <row r="28260" spans="7:7">
      <c r="G28260" s="812"/>
    </row>
    <row r="28261" spans="7:7">
      <c r="G28261" s="812"/>
    </row>
    <row r="28262" spans="7:7">
      <c r="G28262" s="812"/>
    </row>
    <row r="28263" spans="7:7">
      <c r="G28263" s="812"/>
    </row>
    <row r="28264" spans="7:7">
      <c r="G28264" s="812"/>
    </row>
    <row r="28265" spans="7:7">
      <c r="G28265" s="812"/>
    </row>
    <row r="28266" spans="7:7">
      <c r="G28266" s="812"/>
    </row>
    <row r="28267" spans="7:7">
      <c r="G28267" s="812"/>
    </row>
    <row r="28268" spans="7:7">
      <c r="G28268" s="812"/>
    </row>
    <row r="28269" spans="7:7">
      <c r="G28269" s="812"/>
    </row>
    <row r="28270" spans="7:7">
      <c r="G28270" s="812"/>
    </row>
    <row r="28271" spans="7:7">
      <c r="G28271" s="812"/>
    </row>
    <row r="28272" spans="7:7">
      <c r="G28272" s="812"/>
    </row>
    <row r="28273" spans="7:7">
      <c r="G28273" s="812"/>
    </row>
    <row r="28274" spans="7:7">
      <c r="G28274" s="812"/>
    </row>
    <row r="28275" spans="7:7">
      <c r="G28275" s="812"/>
    </row>
    <row r="28276" spans="7:7">
      <c r="G28276" s="812"/>
    </row>
    <row r="28277" spans="7:7">
      <c r="G28277" s="812"/>
    </row>
    <row r="28278" spans="7:7">
      <c r="G28278" s="812"/>
    </row>
    <row r="28279" spans="7:7">
      <c r="G28279" s="812"/>
    </row>
    <row r="28280" spans="7:7">
      <c r="G28280" s="812"/>
    </row>
    <row r="28281" spans="7:7">
      <c r="G28281" s="812"/>
    </row>
    <row r="28282" spans="7:7">
      <c r="G28282" s="812"/>
    </row>
    <row r="28283" spans="7:7">
      <c r="G28283" s="812"/>
    </row>
    <row r="28284" spans="7:7">
      <c r="G28284" s="812"/>
    </row>
    <row r="28285" spans="7:7">
      <c r="G28285" s="812"/>
    </row>
    <row r="28286" spans="7:7">
      <c r="G28286" s="812"/>
    </row>
    <row r="28287" spans="7:7">
      <c r="G28287" s="812"/>
    </row>
    <row r="28288" spans="7:7">
      <c r="G28288" s="812"/>
    </row>
    <row r="28289" spans="7:7">
      <c r="G28289" s="812"/>
    </row>
    <row r="28290" spans="7:7">
      <c r="G28290" s="812"/>
    </row>
    <row r="28291" spans="7:7">
      <c r="G28291" s="812"/>
    </row>
    <row r="28292" spans="7:7">
      <c r="G28292" s="812"/>
    </row>
    <row r="28293" spans="7:7">
      <c r="G28293" s="812"/>
    </row>
    <row r="28294" spans="7:7">
      <c r="G28294" s="812"/>
    </row>
    <row r="28295" spans="7:7">
      <c r="G28295" s="812"/>
    </row>
    <row r="28296" spans="7:7">
      <c r="G28296" s="812"/>
    </row>
    <row r="28297" spans="7:7">
      <c r="G28297" s="812"/>
    </row>
    <row r="28298" spans="7:7">
      <c r="G28298" s="812"/>
    </row>
    <row r="28299" spans="7:7">
      <c r="G28299" s="812"/>
    </row>
    <row r="28300" spans="7:7">
      <c r="G28300" s="812"/>
    </row>
    <row r="28301" spans="7:7">
      <c r="G28301" s="812"/>
    </row>
    <row r="28302" spans="7:7">
      <c r="G28302" s="812"/>
    </row>
    <row r="28303" spans="7:7">
      <c r="G28303" s="812"/>
    </row>
    <row r="28304" spans="7:7">
      <c r="G28304" s="812"/>
    </row>
    <row r="28305" spans="7:7">
      <c r="G28305" s="812"/>
    </row>
    <row r="28306" spans="7:7">
      <c r="G28306" s="812"/>
    </row>
    <row r="28307" spans="7:7">
      <c r="G28307" s="812"/>
    </row>
    <row r="28308" spans="7:7">
      <c r="G28308" s="812"/>
    </row>
    <row r="28309" spans="7:7">
      <c r="G28309" s="812"/>
    </row>
    <row r="28310" spans="7:7">
      <c r="G28310" s="812"/>
    </row>
    <row r="28311" spans="7:7">
      <c r="G28311" s="812"/>
    </row>
    <row r="28312" spans="7:7">
      <c r="G28312" s="812"/>
    </row>
    <row r="28313" spans="7:7">
      <c r="G28313" s="812"/>
    </row>
    <row r="28314" spans="7:7">
      <c r="G28314" s="812"/>
    </row>
    <row r="28315" spans="7:7">
      <c r="G28315" s="812"/>
    </row>
    <row r="28316" spans="7:7">
      <c r="G28316" s="812"/>
    </row>
    <row r="28317" spans="7:7">
      <c r="G28317" s="812"/>
    </row>
    <row r="28318" spans="7:7">
      <c r="G28318" s="812"/>
    </row>
    <row r="28319" spans="7:7">
      <c r="G28319" s="812"/>
    </row>
    <row r="28320" spans="7:7">
      <c r="G28320" s="812"/>
    </row>
    <row r="28321" spans="7:7">
      <c r="G28321" s="812"/>
    </row>
    <row r="28322" spans="7:7">
      <c r="G28322" s="812"/>
    </row>
    <row r="28323" spans="7:7">
      <c r="G28323" s="812"/>
    </row>
    <row r="28324" spans="7:7">
      <c r="G28324" s="812"/>
    </row>
    <row r="28325" spans="7:7">
      <c r="G28325" s="812"/>
    </row>
    <row r="28326" spans="7:7">
      <c r="G28326" s="812"/>
    </row>
    <row r="28327" spans="7:7">
      <c r="G28327" s="812"/>
    </row>
    <row r="28328" spans="7:7">
      <c r="G28328" s="812"/>
    </row>
    <row r="28329" spans="7:7">
      <c r="G28329" s="812"/>
    </row>
    <row r="28330" spans="7:7">
      <c r="G28330" s="812"/>
    </row>
    <row r="28331" spans="7:7">
      <c r="G28331" s="812"/>
    </row>
    <row r="28332" spans="7:7">
      <c r="G28332" s="812"/>
    </row>
    <row r="28333" spans="7:7">
      <c r="G28333" s="812"/>
    </row>
    <row r="28334" spans="7:7">
      <c r="G28334" s="812"/>
    </row>
    <row r="28335" spans="7:7">
      <c r="G28335" s="812"/>
    </row>
    <row r="28336" spans="7:7">
      <c r="G28336" s="812"/>
    </row>
    <row r="28337" spans="7:7">
      <c r="G28337" s="812"/>
    </row>
    <row r="28338" spans="7:7">
      <c r="G28338" s="812"/>
    </row>
    <row r="28339" spans="7:7">
      <c r="G28339" s="812"/>
    </row>
    <row r="28340" spans="7:7">
      <c r="G28340" s="812"/>
    </row>
    <row r="28341" spans="7:7">
      <c r="G28341" s="812"/>
    </row>
    <row r="28342" spans="7:7">
      <c r="G28342" s="812"/>
    </row>
    <row r="28343" spans="7:7">
      <c r="G28343" s="812"/>
    </row>
    <row r="28344" spans="7:7">
      <c r="G28344" s="812"/>
    </row>
    <row r="28345" spans="7:7">
      <c r="G28345" s="812"/>
    </row>
    <row r="28346" spans="7:7">
      <c r="G28346" s="812"/>
    </row>
    <row r="28347" spans="7:7">
      <c r="G28347" s="812"/>
    </row>
    <row r="28348" spans="7:7">
      <c r="G28348" s="812"/>
    </row>
    <row r="28349" spans="7:7">
      <c r="G28349" s="812"/>
    </row>
    <row r="28350" spans="7:7">
      <c r="G28350" s="812"/>
    </row>
    <row r="28351" spans="7:7">
      <c r="G28351" s="812"/>
    </row>
    <row r="28352" spans="7:7">
      <c r="G28352" s="812"/>
    </row>
    <row r="28353" spans="7:7">
      <c r="G28353" s="812"/>
    </row>
    <row r="28354" spans="7:7">
      <c r="G28354" s="812"/>
    </row>
    <row r="28355" spans="7:7">
      <c r="G28355" s="812"/>
    </row>
    <row r="28356" spans="7:7">
      <c r="G28356" s="812"/>
    </row>
    <row r="28357" spans="7:7">
      <c r="G28357" s="812"/>
    </row>
    <row r="28358" spans="7:7">
      <c r="G28358" s="812"/>
    </row>
    <row r="28359" spans="7:7">
      <c r="G28359" s="812"/>
    </row>
    <row r="28360" spans="7:7">
      <c r="G28360" s="812"/>
    </row>
    <row r="28361" spans="7:7">
      <c r="G28361" s="812"/>
    </row>
    <row r="28362" spans="7:7">
      <c r="G28362" s="812"/>
    </row>
    <row r="28363" spans="7:7">
      <c r="G28363" s="812"/>
    </row>
    <row r="28364" spans="7:7">
      <c r="G28364" s="812"/>
    </row>
    <row r="28365" spans="7:7">
      <c r="G28365" s="812"/>
    </row>
    <row r="28366" spans="7:7">
      <c r="G28366" s="812"/>
    </row>
    <row r="28367" spans="7:7">
      <c r="G28367" s="812"/>
    </row>
    <row r="28368" spans="7:7">
      <c r="G28368" s="812"/>
    </row>
    <row r="28369" spans="7:7">
      <c r="G28369" s="812"/>
    </row>
    <row r="28370" spans="7:7">
      <c r="G28370" s="812"/>
    </row>
    <row r="28371" spans="7:7">
      <c r="G28371" s="812"/>
    </row>
    <row r="28372" spans="7:7">
      <c r="G28372" s="812"/>
    </row>
    <row r="28373" spans="7:7">
      <c r="G28373" s="812"/>
    </row>
    <row r="28374" spans="7:7">
      <c r="G28374" s="812"/>
    </row>
    <row r="28375" spans="7:7">
      <c r="G28375" s="812"/>
    </row>
    <row r="28376" spans="7:7">
      <c r="G28376" s="812"/>
    </row>
    <row r="28377" spans="7:7">
      <c r="G28377" s="812"/>
    </row>
    <row r="28378" spans="7:7">
      <c r="G28378" s="812"/>
    </row>
    <row r="28379" spans="7:7">
      <c r="G28379" s="812"/>
    </row>
    <row r="28380" spans="7:7">
      <c r="G28380" s="812"/>
    </row>
    <row r="28381" spans="7:7">
      <c r="G28381" s="812"/>
    </row>
    <row r="28382" spans="7:7">
      <c r="G28382" s="812"/>
    </row>
    <row r="28383" spans="7:7">
      <c r="G28383" s="812"/>
    </row>
    <row r="28384" spans="7:7">
      <c r="G28384" s="812"/>
    </row>
    <row r="28385" spans="7:7">
      <c r="G28385" s="812"/>
    </row>
    <row r="28386" spans="7:7">
      <c r="G28386" s="812"/>
    </row>
    <row r="28387" spans="7:7">
      <c r="G28387" s="812"/>
    </row>
    <row r="28388" spans="7:7">
      <c r="G28388" s="812"/>
    </row>
    <row r="28389" spans="7:7">
      <c r="G28389" s="812"/>
    </row>
    <row r="28390" spans="7:7">
      <c r="G28390" s="812"/>
    </row>
    <row r="28391" spans="7:7">
      <c r="G28391" s="812"/>
    </row>
    <row r="28392" spans="7:7">
      <c r="G28392" s="812"/>
    </row>
    <row r="28393" spans="7:7">
      <c r="G28393" s="812"/>
    </row>
    <row r="28394" spans="7:7">
      <c r="G28394" s="812"/>
    </row>
    <row r="28395" spans="7:7">
      <c r="G28395" s="812"/>
    </row>
    <row r="28396" spans="7:7">
      <c r="G28396" s="812"/>
    </row>
    <row r="28397" spans="7:7">
      <c r="G28397" s="812"/>
    </row>
    <row r="28398" spans="7:7">
      <c r="G28398" s="812"/>
    </row>
    <row r="28399" spans="7:7">
      <c r="G28399" s="812"/>
    </row>
    <row r="28400" spans="7:7">
      <c r="G28400" s="812"/>
    </row>
    <row r="28401" spans="7:7">
      <c r="G28401" s="812"/>
    </row>
    <row r="28402" spans="7:7">
      <c r="G28402" s="812"/>
    </row>
    <row r="28403" spans="7:7">
      <c r="G28403" s="812"/>
    </row>
    <row r="28404" spans="7:7">
      <c r="G28404" s="812"/>
    </row>
    <row r="28405" spans="7:7">
      <c r="G28405" s="812"/>
    </row>
    <row r="28406" spans="7:7">
      <c r="G28406" s="812"/>
    </row>
    <row r="28407" spans="7:7">
      <c r="G28407" s="812"/>
    </row>
    <row r="28408" spans="7:7">
      <c r="G28408" s="812"/>
    </row>
    <row r="28409" spans="7:7">
      <c r="G28409" s="812"/>
    </row>
    <row r="28410" spans="7:7">
      <c r="G28410" s="812"/>
    </row>
    <row r="28411" spans="7:7">
      <c r="G28411" s="812"/>
    </row>
    <row r="28412" spans="7:7">
      <c r="G28412" s="812"/>
    </row>
    <row r="28413" spans="7:7">
      <c r="G28413" s="812"/>
    </row>
    <row r="28414" spans="7:7">
      <c r="G28414" s="812"/>
    </row>
    <row r="28415" spans="7:7">
      <c r="G28415" s="812"/>
    </row>
    <row r="28416" spans="7:7">
      <c r="G28416" s="812"/>
    </row>
    <row r="28417" spans="7:7">
      <c r="G28417" s="812"/>
    </row>
    <row r="28418" spans="7:7">
      <c r="G28418" s="812"/>
    </row>
    <row r="28419" spans="7:7">
      <c r="G28419" s="812"/>
    </row>
    <row r="28420" spans="7:7">
      <c r="G28420" s="812"/>
    </row>
    <row r="28421" spans="7:7">
      <c r="G28421" s="812"/>
    </row>
    <row r="28422" spans="7:7">
      <c r="G28422" s="812"/>
    </row>
    <row r="28423" spans="7:7">
      <c r="G28423" s="812"/>
    </row>
    <row r="28424" spans="7:7">
      <c r="G28424" s="812"/>
    </row>
    <row r="28425" spans="7:7">
      <c r="G28425" s="812"/>
    </row>
    <row r="28426" spans="7:7">
      <c r="G28426" s="812"/>
    </row>
    <row r="28427" spans="7:7">
      <c r="G28427" s="812"/>
    </row>
    <row r="28428" spans="7:7">
      <c r="G28428" s="812"/>
    </row>
    <row r="28429" spans="7:7">
      <c r="G28429" s="812"/>
    </row>
    <row r="28430" spans="7:7">
      <c r="G28430" s="812"/>
    </row>
    <row r="28431" spans="7:7">
      <c r="G28431" s="812"/>
    </row>
    <row r="28432" spans="7:7">
      <c r="G28432" s="812"/>
    </row>
    <row r="28433" spans="7:7">
      <c r="G28433" s="812"/>
    </row>
    <row r="28434" spans="7:7">
      <c r="G28434" s="812"/>
    </row>
    <row r="28435" spans="7:7">
      <c r="G28435" s="812"/>
    </row>
    <row r="28436" spans="7:7">
      <c r="G28436" s="812"/>
    </row>
    <row r="28437" spans="7:7">
      <c r="G28437" s="812"/>
    </row>
    <row r="28438" spans="7:7">
      <c r="G28438" s="812"/>
    </row>
    <row r="28439" spans="7:7">
      <c r="G28439" s="812"/>
    </row>
    <row r="28440" spans="7:7">
      <c r="G28440" s="812"/>
    </row>
    <row r="28441" spans="7:7">
      <c r="G28441" s="812"/>
    </row>
    <row r="28442" spans="7:7">
      <c r="G28442" s="812"/>
    </row>
    <row r="28443" spans="7:7">
      <c r="G28443" s="812"/>
    </row>
    <row r="28444" spans="7:7">
      <c r="G28444" s="812"/>
    </row>
    <row r="28445" spans="7:7">
      <c r="G28445" s="812"/>
    </row>
    <row r="28446" spans="7:7">
      <c r="G28446" s="812"/>
    </row>
    <row r="28447" spans="7:7">
      <c r="G28447" s="812"/>
    </row>
    <row r="28448" spans="7:7">
      <c r="G28448" s="812"/>
    </row>
    <row r="28449" spans="7:7">
      <c r="G28449" s="812"/>
    </row>
    <row r="28450" spans="7:7">
      <c r="G28450" s="812"/>
    </row>
    <row r="28451" spans="7:7">
      <c r="G28451" s="812"/>
    </row>
    <row r="28452" spans="7:7">
      <c r="G28452" s="812"/>
    </row>
    <row r="28453" spans="7:7">
      <c r="G28453" s="812"/>
    </row>
    <row r="28454" spans="7:7">
      <c r="G28454" s="812"/>
    </row>
    <row r="28455" spans="7:7">
      <c r="G28455" s="812"/>
    </row>
    <row r="28456" spans="7:7">
      <c r="G28456" s="812"/>
    </row>
    <row r="28457" spans="7:7">
      <c r="G28457" s="812"/>
    </row>
    <row r="28458" spans="7:7">
      <c r="G28458" s="812"/>
    </row>
    <row r="28459" spans="7:7">
      <c r="G28459" s="812"/>
    </row>
    <row r="28460" spans="7:7">
      <c r="G28460" s="812"/>
    </row>
    <row r="28461" spans="7:7">
      <c r="G28461" s="812"/>
    </row>
    <row r="28462" spans="7:7">
      <c r="G28462" s="812"/>
    </row>
    <row r="28463" spans="7:7">
      <c r="G28463" s="812"/>
    </row>
    <row r="28464" spans="7:7">
      <c r="G28464" s="812"/>
    </row>
    <row r="28465" spans="7:7">
      <c r="G28465" s="812"/>
    </row>
    <row r="28466" spans="7:7">
      <c r="G28466" s="812"/>
    </row>
    <row r="28467" spans="7:7">
      <c r="G28467" s="812"/>
    </row>
    <row r="28468" spans="7:7">
      <c r="G28468" s="812"/>
    </row>
    <row r="28469" spans="7:7">
      <c r="G28469" s="812"/>
    </row>
    <row r="28470" spans="7:7">
      <c r="G28470" s="812"/>
    </row>
    <row r="28471" spans="7:7">
      <c r="G28471" s="812"/>
    </row>
    <row r="28472" spans="7:7">
      <c r="G28472" s="812"/>
    </row>
    <row r="28473" spans="7:7">
      <c r="G28473" s="812"/>
    </row>
    <row r="28474" spans="7:7">
      <c r="G28474" s="812"/>
    </row>
    <row r="28475" spans="7:7">
      <c r="G28475" s="812"/>
    </row>
    <row r="28476" spans="7:7">
      <c r="G28476" s="812"/>
    </row>
    <row r="28477" spans="7:7">
      <c r="G28477" s="812"/>
    </row>
    <row r="28478" spans="7:7">
      <c r="G28478" s="812"/>
    </row>
    <row r="28479" spans="7:7">
      <c r="G28479" s="812"/>
    </row>
    <row r="28480" spans="7:7">
      <c r="G28480" s="812"/>
    </row>
    <row r="28481" spans="7:7">
      <c r="G28481" s="812"/>
    </row>
    <row r="28482" spans="7:7">
      <c r="G28482" s="812"/>
    </row>
    <row r="28483" spans="7:7">
      <c r="G28483" s="812"/>
    </row>
    <row r="28484" spans="7:7">
      <c r="G28484" s="812"/>
    </row>
    <row r="28485" spans="7:7">
      <c r="G28485" s="812"/>
    </row>
    <row r="28486" spans="7:7">
      <c r="G28486" s="812"/>
    </row>
    <row r="28487" spans="7:7">
      <c r="G28487" s="812"/>
    </row>
    <row r="28488" spans="7:7">
      <c r="G28488" s="812"/>
    </row>
    <row r="28489" spans="7:7">
      <c r="G28489" s="812"/>
    </row>
    <row r="28490" spans="7:7">
      <c r="G28490" s="812"/>
    </row>
    <row r="28491" spans="7:7">
      <c r="G28491" s="812"/>
    </row>
    <row r="28492" spans="7:7">
      <c r="G28492" s="812"/>
    </row>
    <row r="28493" spans="7:7">
      <c r="G28493" s="812"/>
    </row>
    <row r="28494" spans="7:7">
      <c r="G28494" s="812"/>
    </row>
    <row r="28495" spans="7:7">
      <c r="G28495" s="812"/>
    </row>
    <row r="28496" spans="7:7">
      <c r="G28496" s="812"/>
    </row>
    <row r="28497" spans="7:7">
      <c r="G28497" s="812"/>
    </row>
    <row r="28498" spans="7:7">
      <c r="G28498" s="812"/>
    </row>
    <row r="28499" spans="7:7">
      <c r="G28499" s="812"/>
    </row>
    <row r="28500" spans="7:7">
      <c r="G28500" s="812"/>
    </row>
    <row r="28501" spans="7:7">
      <c r="G28501" s="812"/>
    </row>
    <row r="28502" spans="7:7">
      <c r="G28502" s="812"/>
    </row>
    <row r="28503" spans="7:7">
      <c r="G28503" s="812"/>
    </row>
    <row r="28504" spans="7:7">
      <c r="G28504" s="812"/>
    </row>
    <row r="28505" spans="7:7">
      <c r="G28505" s="812"/>
    </row>
    <row r="28506" spans="7:7">
      <c r="G28506" s="812"/>
    </row>
    <row r="28507" spans="7:7">
      <c r="G28507" s="812"/>
    </row>
    <row r="28508" spans="7:7">
      <c r="G28508" s="812"/>
    </row>
    <row r="28509" spans="7:7">
      <c r="G28509" s="812"/>
    </row>
    <row r="28510" spans="7:7">
      <c r="G28510" s="812"/>
    </row>
    <row r="28511" spans="7:7">
      <c r="G28511" s="812"/>
    </row>
    <row r="28512" spans="7:7">
      <c r="G28512" s="812"/>
    </row>
    <row r="28513" spans="7:7">
      <c r="G28513" s="812"/>
    </row>
    <row r="28514" spans="7:7">
      <c r="G28514" s="812"/>
    </row>
    <row r="28515" spans="7:7">
      <c r="G28515" s="812"/>
    </row>
    <row r="28516" spans="7:7">
      <c r="G28516" s="812"/>
    </row>
    <row r="28517" spans="7:7">
      <c r="G28517" s="812"/>
    </row>
    <row r="28518" spans="7:7">
      <c r="G28518" s="812"/>
    </row>
    <row r="28519" spans="7:7">
      <c r="G28519" s="812"/>
    </row>
    <row r="28520" spans="7:7">
      <c r="G28520" s="812"/>
    </row>
    <row r="28521" spans="7:7">
      <c r="G28521" s="812"/>
    </row>
    <row r="28522" spans="7:7">
      <c r="G28522" s="812"/>
    </row>
    <row r="28523" spans="7:7">
      <c r="G28523" s="812"/>
    </row>
    <row r="28524" spans="7:7">
      <c r="G28524" s="812"/>
    </row>
    <row r="28525" spans="7:7">
      <c r="G28525" s="812"/>
    </row>
    <row r="28526" spans="7:7">
      <c r="G28526" s="812"/>
    </row>
    <row r="28527" spans="7:7">
      <c r="G28527" s="812"/>
    </row>
    <row r="28528" spans="7:7">
      <c r="G28528" s="812"/>
    </row>
    <row r="28529" spans="7:7">
      <c r="G28529" s="812"/>
    </row>
    <row r="28530" spans="7:7">
      <c r="G28530" s="812"/>
    </row>
    <row r="28531" spans="7:7">
      <c r="G28531" s="812"/>
    </row>
    <row r="28532" spans="7:7">
      <c r="G28532" s="812"/>
    </row>
    <row r="28533" spans="7:7">
      <c r="G28533" s="812"/>
    </row>
    <row r="28534" spans="7:7">
      <c r="G28534" s="812"/>
    </row>
    <row r="28535" spans="7:7">
      <c r="G28535" s="812"/>
    </row>
    <row r="28536" spans="7:7">
      <c r="G28536" s="812"/>
    </row>
    <row r="28537" spans="7:7">
      <c r="G28537" s="812"/>
    </row>
    <row r="28538" spans="7:7">
      <c r="G28538" s="812"/>
    </row>
    <row r="28539" spans="7:7">
      <c r="G28539" s="812"/>
    </row>
    <row r="28540" spans="7:7">
      <c r="G28540" s="812"/>
    </row>
    <row r="28541" spans="7:7">
      <c r="G28541" s="812"/>
    </row>
    <row r="28542" spans="7:7">
      <c r="G28542" s="812"/>
    </row>
    <row r="28543" spans="7:7">
      <c r="G28543" s="812"/>
    </row>
    <row r="28544" spans="7:7">
      <c r="G28544" s="812"/>
    </row>
    <row r="28545" spans="7:7">
      <c r="G28545" s="812"/>
    </row>
    <row r="28546" spans="7:7">
      <c r="G28546" s="812"/>
    </row>
    <row r="28547" spans="7:7">
      <c r="G28547" s="812"/>
    </row>
    <row r="28548" spans="7:7">
      <c r="G28548" s="812"/>
    </row>
    <row r="28549" spans="7:7">
      <c r="G28549" s="812"/>
    </row>
    <row r="28550" spans="7:7">
      <c r="G28550" s="812"/>
    </row>
    <row r="28551" spans="7:7">
      <c r="G28551" s="812"/>
    </row>
    <row r="28552" spans="7:7">
      <c r="G28552" s="812"/>
    </row>
    <row r="28553" spans="7:7">
      <c r="G28553" s="812"/>
    </row>
    <row r="28554" spans="7:7">
      <c r="G28554" s="812"/>
    </row>
    <row r="28555" spans="7:7">
      <c r="G28555" s="812"/>
    </row>
    <row r="28556" spans="7:7">
      <c r="G28556" s="812"/>
    </row>
    <row r="28557" spans="7:7">
      <c r="G28557" s="812"/>
    </row>
    <row r="28558" spans="7:7">
      <c r="G28558" s="812"/>
    </row>
    <row r="28559" spans="7:7">
      <c r="G28559" s="812"/>
    </row>
    <row r="28560" spans="7:7">
      <c r="G28560" s="812"/>
    </row>
    <row r="28561" spans="7:7">
      <c r="G28561" s="812"/>
    </row>
    <row r="28562" spans="7:7">
      <c r="G28562" s="812"/>
    </row>
    <row r="28563" spans="7:7">
      <c r="G28563" s="812"/>
    </row>
    <row r="28564" spans="7:7">
      <c r="G28564" s="812"/>
    </row>
    <row r="28565" spans="7:7">
      <c r="G28565" s="812"/>
    </row>
    <row r="28566" spans="7:7">
      <c r="G28566" s="812"/>
    </row>
    <row r="28567" spans="7:7">
      <c r="G28567" s="812"/>
    </row>
    <row r="28568" spans="7:7">
      <c r="G28568" s="812"/>
    </row>
    <row r="28569" spans="7:7">
      <c r="G28569" s="812"/>
    </row>
    <row r="28570" spans="7:7">
      <c r="G28570" s="812"/>
    </row>
    <row r="28571" spans="7:7">
      <c r="G28571" s="812"/>
    </row>
    <row r="28572" spans="7:7">
      <c r="G28572" s="812"/>
    </row>
    <row r="28573" spans="7:7">
      <c r="G28573" s="812"/>
    </row>
    <row r="28574" spans="7:7">
      <c r="G28574" s="812"/>
    </row>
    <row r="28575" spans="7:7">
      <c r="G28575" s="812"/>
    </row>
    <row r="28576" spans="7:7">
      <c r="G28576" s="812"/>
    </row>
    <row r="28577" spans="7:7">
      <c r="G28577" s="812"/>
    </row>
    <row r="28578" spans="7:7">
      <c r="G28578" s="812"/>
    </row>
    <row r="28579" spans="7:7">
      <c r="G28579" s="812"/>
    </row>
    <row r="28580" spans="7:7">
      <c r="G28580" s="812"/>
    </row>
    <row r="28581" spans="7:7">
      <c r="G28581" s="812"/>
    </row>
    <row r="28582" spans="7:7">
      <c r="G28582" s="812"/>
    </row>
    <row r="28583" spans="7:7">
      <c r="G28583" s="812"/>
    </row>
    <row r="28584" spans="7:7">
      <c r="G28584" s="812"/>
    </row>
    <row r="28585" spans="7:7">
      <c r="G28585" s="812"/>
    </row>
    <row r="28586" spans="7:7">
      <c r="G28586" s="812"/>
    </row>
    <row r="28587" spans="7:7">
      <c r="G28587" s="812"/>
    </row>
    <row r="28588" spans="7:7">
      <c r="G28588" s="812"/>
    </row>
    <row r="28589" spans="7:7">
      <c r="G28589" s="812"/>
    </row>
    <row r="28590" spans="7:7">
      <c r="G28590" s="812"/>
    </row>
    <row r="28591" spans="7:7">
      <c r="G28591" s="812"/>
    </row>
    <row r="28592" spans="7:7">
      <c r="G28592" s="812"/>
    </row>
    <row r="28593" spans="7:7">
      <c r="G28593" s="812"/>
    </row>
    <row r="28594" spans="7:7">
      <c r="G28594" s="812"/>
    </row>
    <row r="28595" spans="7:7">
      <c r="G28595" s="812"/>
    </row>
    <row r="28596" spans="7:7">
      <c r="G28596" s="812"/>
    </row>
    <row r="28597" spans="7:7">
      <c r="G28597" s="812"/>
    </row>
    <row r="28598" spans="7:7">
      <c r="G28598" s="812"/>
    </row>
    <row r="28599" spans="7:7">
      <c r="G28599" s="812"/>
    </row>
    <row r="28600" spans="7:7">
      <c r="G28600" s="812"/>
    </row>
    <row r="28601" spans="7:7">
      <c r="G28601" s="812"/>
    </row>
    <row r="28602" spans="7:7">
      <c r="G28602" s="812"/>
    </row>
    <row r="28603" spans="7:7">
      <c r="G28603" s="812"/>
    </row>
    <row r="28604" spans="7:7">
      <c r="G28604" s="812"/>
    </row>
    <row r="28605" spans="7:7">
      <c r="G28605" s="812"/>
    </row>
    <row r="28606" spans="7:7">
      <c r="G28606" s="812"/>
    </row>
    <row r="28607" spans="7:7">
      <c r="G28607" s="812"/>
    </row>
    <row r="28608" spans="7:7">
      <c r="G28608" s="812"/>
    </row>
    <row r="28609" spans="7:7">
      <c r="G28609" s="812"/>
    </row>
    <row r="28610" spans="7:7">
      <c r="G28610" s="812"/>
    </row>
    <row r="28611" spans="7:7">
      <c r="G28611" s="812"/>
    </row>
    <row r="28612" spans="7:7">
      <c r="G28612" s="812"/>
    </row>
    <row r="28613" spans="7:7">
      <c r="G28613" s="812"/>
    </row>
    <row r="28614" spans="7:7">
      <c r="G28614" s="812"/>
    </row>
    <row r="28615" spans="7:7">
      <c r="G28615" s="812"/>
    </row>
    <row r="28616" spans="7:7">
      <c r="G28616" s="812"/>
    </row>
    <row r="28617" spans="7:7">
      <c r="G28617" s="812"/>
    </row>
    <row r="28618" spans="7:7">
      <c r="G28618" s="812"/>
    </row>
    <row r="28619" spans="7:7">
      <c r="G28619" s="812"/>
    </row>
    <row r="28620" spans="7:7">
      <c r="G28620" s="812"/>
    </row>
    <row r="28621" spans="7:7">
      <c r="G28621" s="812"/>
    </row>
    <row r="28622" spans="7:7">
      <c r="G28622" s="812"/>
    </row>
    <row r="28623" spans="7:7">
      <c r="G28623" s="812"/>
    </row>
    <row r="28624" spans="7:7">
      <c r="G28624" s="812"/>
    </row>
    <row r="28625" spans="7:7">
      <c r="G28625" s="812"/>
    </row>
    <row r="28626" spans="7:7">
      <c r="G28626" s="812"/>
    </row>
    <row r="28627" spans="7:7">
      <c r="G28627" s="812"/>
    </row>
    <row r="28628" spans="7:7">
      <c r="G28628" s="812"/>
    </row>
    <row r="28629" spans="7:7">
      <c r="G28629" s="812"/>
    </row>
    <row r="28630" spans="7:7">
      <c r="G28630" s="812"/>
    </row>
    <row r="28631" spans="7:7">
      <c r="G28631" s="812"/>
    </row>
    <row r="28632" spans="7:7">
      <c r="G28632" s="812"/>
    </row>
    <row r="28633" spans="7:7">
      <c r="G28633" s="812"/>
    </row>
    <row r="28634" spans="7:7">
      <c r="G28634" s="812"/>
    </row>
    <row r="28635" spans="7:7">
      <c r="G28635" s="812"/>
    </row>
    <row r="28636" spans="7:7">
      <c r="G28636" s="812"/>
    </row>
    <row r="28637" spans="7:7">
      <c r="G28637" s="812"/>
    </row>
    <row r="28638" spans="7:7">
      <c r="G28638" s="812"/>
    </row>
    <row r="28639" spans="7:7">
      <c r="G28639" s="812"/>
    </row>
    <row r="28640" spans="7:7">
      <c r="G28640" s="812"/>
    </row>
    <row r="28641" spans="7:7">
      <c r="G28641" s="812"/>
    </row>
    <row r="28642" spans="7:7">
      <c r="G28642" s="812"/>
    </row>
    <row r="28643" spans="7:7">
      <c r="G28643" s="812"/>
    </row>
    <row r="28644" spans="7:7">
      <c r="G28644" s="812"/>
    </row>
    <row r="28645" spans="7:7">
      <c r="G28645" s="812"/>
    </row>
    <row r="28646" spans="7:7">
      <c r="G28646" s="812"/>
    </row>
    <row r="28647" spans="7:7">
      <c r="G28647" s="812"/>
    </row>
    <row r="28648" spans="7:7">
      <c r="G28648" s="812"/>
    </row>
    <row r="28649" spans="7:7">
      <c r="G28649" s="812"/>
    </row>
    <row r="28650" spans="7:7">
      <c r="G28650" s="812"/>
    </row>
    <row r="28651" spans="7:7">
      <c r="G28651" s="812"/>
    </row>
    <row r="28652" spans="7:7">
      <c r="G28652" s="812"/>
    </row>
    <row r="28653" spans="7:7">
      <c r="G28653" s="812"/>
    </row>
    <row r="28654" spans="7:7">
      <c r="G28654" s="812"/>
    </row>
    <row r="28655" spans="7:7">
      <c r="G28655" s="812"/>
    </row>
    <row r="28656" spans="7:7">
      <c r="G28656" s="812"/>
    </row>
    <row r="28657" spans="7:7">
      <c r="G28657" s="812"/>
    </row>
    <row r="28658" spans="7:7">
      <c r="G28658" s="812"/>
    </row>
    <row r="28659" spans="7:7">
      <c r="G28659" s="812"/>
    </row>
    <row r="28660" spans="7:7">
      <c r="G28660" s="812"/>
    </row>
    <row r="28661" spans="7:7">
      <c r="G28661" s="812"/>
    </row>
    <row r="28662" spans="7:7">
      <c r="G28662" s="812"/>
    </row>
    <row r="28663" spans="7:7">
      <c r="G28663" s="812"/>
    </row>
    <row r="28664" spans="7:7">
      <c r="G28664" s="812"/>
    </row>
    <row r="28665" spans="7:7">
      <c r="G28665" s="812"/>
    </row>
    <row r="28666" spans="7:7">
      <c r="G28666" s="812"/>
    </row>
    <row r="28667" spans="7:7">
      <c r="G28667" s="812"/>
    </row>
    <row r="28668" spans="7:7">
      <c r="G28668" s="812"/>
    </row>
    <row r="28669" spans="7:7">
      <c r="G28669" s="812"/>
    </row>
    <row r="28670" spans="7:7">
      <c r="G28670" s="812"/>
    </row>
    <row r="28671" spans="7:7">
      <c r="G28671" s="812"/>
    </row>
    <row r="28672" spans="7:7">
      <c r="G28672" s="812"/>
    </row>
    <row r="28673" spans="7:7">
      <c r="G28673" s="812"/>
    </row>
    <row r="28674" spans="7:7">
      <c r="G28674" s="812"/>
    </row>
    <row r="28675" spans="7:7">
      <c r="G28675" s="812"/>
    </row>
    <row r="28676" spans="7:7">
      <c r="G28676" s="812"/>
    </row>
    <row r="28677" spans="7:7">
      <c r="G28677" s="812"/>
    </row>
    <row r="28678" spans="7:7">
      <c r="G28678" s="812"/>
    </row>
    <row r="28679" spans="7:7">
      <c r="G28679" s="812"/>
    </row>
    <row r="28680" spans="7:7">
      <c r="G28680" s="812"/>
    </row>
    <row r="28681" spans="7:7">
      <c r="G28681" s="812"/>
    </row>
    <row r="28682" spans="7:7">
      <c r="G28682" s="812"/>
    </row>
    <row r="28683" spans="7:7">
      <c r="G28683" s="812"/>
    </row>
    <row r="28684" spans="7:7">
      <c r="G28684" s="812"/>
    </row>
    <row r="28685" spans="7:7">
      <c r="G28685" s="812"/>
    </row>
    <row r="28686" spans="7:7">
      <c r="G28686" s="812"/>
    </row>
    <row r="28687" spans="7:7">
      <c r="G28687" s="812"/>
    </row>
    <row r="28688" spans="7:7">
      <c r="G28688" s="812"/>
    </row>
    <row r="28689" spans="7:7">
      <c r="G28689" s="812"/>
    </row>
    <row r="28690" spans="7:7">
      <c r="G28690" s="812"/>
    </row>
    <row r="28691" spans="7:7">
      <c r="G28691" s="812"/>
    </row>
    <row r="28692" spans="7:7">
      <c r="G28692" s="812"/>
    </row>
    <row r="28693" spans="7:7">
      <c r="G28693" s="812"/>
    </row>
    <row r="28694" spans="7:7">
      <c r="G28694" s="812"/>
    </row>
    <row r="28695" spans="7:7">
      <c r="G28695" s="812"/>
    </row>
    <row r="28696" spans="7:7">
      <c r="G28696" s="812"/>
    </row>
    <row r="28697" spans="7:7">
      <c r="G28697" s="812"/>
    </row>
    <row r="28698" spans="7:7">
      <c r="G28698" s="812"/>
    </row>
    <row r="28699" spans="7:7">
      <c r="G28699" s="812"/>
    </row>
    <row r="28700" spans="7:7">
      <c r="G28700" s="812"/>
    </row>
    <row r="28701" spans="7:7">
      <c r="G28701" s="812"/>
    </row>
    <row r="28702" spans="7:7">
      <c r="G28702" s="812"/>
    </row>
    <row r="28703" spans="7:7">
      <c r="G28703" s="812"/>
    </row>
    <row r="28704" spans="7:7">
      <c r="G28704" s="812"/>
    </row>
    <row r="28705" spans="7:7">
      <c r="G28705" s="812"/>
    </row>
    <row r="28706" spans="7:7">
      <c r="G28706" s="812"/>
    </row>
    <row r="28707" spans="7:7">
      <c r="G28707" s="812"/>
    </row>
    <row r="28708" spans="7:7">
      <c r="G28708" s="812"/>
    </row>
    <row r="28709" spans="7:7">
      <c r="G28709" s="812"/>
    </row>
    <row r="28710" spans="7:7">
      <c r="G28710" s="812"/>
    </row>
    <row r="28711" spans="7:7">
      <c r="G28711" s="812"/>
    </row>
    <row r="28712" spans="7:7">
      <c r="G28712" s="812"/>
    </row>
    <row r="28713" spans="7:7">
      <c r="G28713" s="812"/>
    </row>
    <row r="28714" spans="7:7">
      <c r="G28714" s="812"/>
    </row>
    <row r="28715" spans="7:7">
      <c r="G28715" s="812"/>
    </row>
    <row r="28716" spans="7:7">
      <c r="G28716" s="812"/>
    </row>
    <row r="28717" spans="7:7">
      <c r="G28717" s="812"/>
    </row>
    <row r="28718" spans="7:7">
      <c r="G28718" s="812"/>
    </row>
    <row r="28719" spans="7:7">
      <c r="G28719" s="812"/>
    </row>
    <row r="28720" spans="7:7">
      <c r="G28720" s="812"/>
    </row>
    <row r="28721" spans="7:7">
      <c r="G28721" s="812"/>
    </row>
    <row r="28722" spans="7:7">
      <c r="G28722" s="812"/>
    </row>
    <row r="28723" spans="7:7">
      <c r="G28723" s="812"/>
    </row>
    <row r="28724" spans="7:7">
      <c r="G28724" s="812"/>
    </row>
    <row r="28725" spans="7:7">
      <c r="G28725" s="812"/>
    </row>
    <row r="28726" spans="7:7">
      <c r="G28726" s="812"/>
    </row>
    <row r="28727" spans="7:7">
      <c r="G28727" s="812"/>
    </row>
    <row r="28728" spans="7:7">
      <c r="G28728" s="812"/>
    </row>
    <row r="28729" spans="7:7">
      <c r="G28729" s="812"/>
    </row>
    <row r="28730" spans="7:7">
      <c r="G28730" s="812"/>
    </row>
    <row r="28731" spans="7:7">
      <c r="G28731" s="812"/>
    </row>
    <row r="28732" spans="7:7">
      <c r="G28732" s="812"/>
    </row>
    <row r="28733" spans="7:7">
      <c r="G28733" s="812"/>
    </row>
    <row r="28734" spans="7:7">
      <c r="G28734" s="812"/>
    </row>
    <row r="28735" spans="7:7">
      <c r="G28735" s="812"/>
    </row>
    <row r="28736" spans="7:7">
      <c r="G28736" s="812"/>
    </row>
    <row r="28737" spans="7:7">
      <c r="G28737" s="812"/>
    </row>
    <row r="28738" spans="7:7">
      <c r="G28738" s="812"/>
    </row>
    <row r="28739" spans="7:7">
      <c r="G28739" s="812"/>
    </row>
    <row r="28740" spans="7:7">
      <c r="G28740" s="812"/>
    </row>
    <row r="28741" spans="7:7">
      <c r="G28741" s="812"/>
    </row>
    <row r="28742" spans="7:7">
      <c r="G28742" s="812"/>
    </row>
    <row r="28743" spans="7:7">
      <c r="G28743" s="812"/>
    </row>
    <row r="28744" spans="7:7">
      <c r="G28744" s="812"/>
    </row>
    <row r="28745" spans="7:7">
      <c r="G28745" s="812"/>
    </row>
    <row r="28746" spans="7:7">
      <c r="G28746" s="812"/>
    </row>
    <row r="28747" spans="7:7">
      <c r="G28747" s="812"/>
    </row>
    <row r="28748" spans="7:7">
      <c r="G28748" s="812"/>
    </row>
    <row r="28749" spans="7:7">
      <c r="G28749" s="812"/>
    </row>
    <row r="28750" spans="7:7">
      <c r="G28750" s="812"/>
    </row>
    <row r="28751" spans="7:7">
      <c r="G28751" s="812"/>
    </row>
    <row r="28752" spans="7:7">
      <c r="G28752" s="812"/>
    </row>
    <row r="28753" spans="7:7">
      <c r="G28753" s="812"/>
    </row>
    <row r="28754" spans="7:7">
      <c r="G28754" s="812"/>
    </row>
    <row r="28755" spans="7:7">
      <c r="G28755" s="812"/>
    </row>
    <row r="28756" spans="7:7">
      <c r="G28756" s="812"/>
    </row>
    <row r="28757" spans="7:7">
      <c r="G28757" s="812"/>
    </row>
    <row r="28758" spans="7:7">
      <c r="G28758" s="812"/>
    </row>
    <row r="28759" spans="7:7">
      <c r="G28759" s="812"/>
    </row>
    <row r="28760" spans="7:7">
      <c r="G28760" s="812"/>
    </row>
    <row r="28761" spans="7:7">
      <c r="G28761" s="812"/>
    </row>
    <row r="28762" spans="7:7">
      <c r="G28762" s="812"/>
    </row>
    <row r="28763" spans="7:7">
      <c r="G28763" s="812"/>
    </row>
    <row r="28764" spans="7:7">
      <c r="G28764" s="812"/>
    </row>
    <row r="28765" spans="7:7">
      <c r="G28765" s="812"/>
    </row>
    <row r="28766" spans="7:7">
      <c r="G28766" s="812"/>
    </row>
    <row r="28767" spans="7:7">
      <c r="G28767" s="812"/>
    </row>
    <row r="28768" spans="7:7">
      <c r="G28768" s="812"/>
    </row>
    <row r="28769" spans="7:7">
      <c r="G28769" s="812"/>
    </row>
    <row r="28770" spans="7:7">
      <c r="G28770" s="812"/>
    </row>
    <row r="28771" spans="7:7">
      <c r="G28771" s="812"/>
    </row>
    <row r="28772" spans="7:7">
      <c r="G28772" s="812"/>
    </row>
    <row r="28773" spans="7:7">
      <c r="G28773" s="812"/>
    </row>
    <row r="28774" spans="7:7">
      <c r="G28774" s="812"/>
    </row>
    <row r="28775" spans="7:7">
      <c r="G28775" s="812"/>
    </row>
    <row r="28776" spans="7:7">
      <c r="G28776" s="812"/>
    </row>
    <row r="28777" spans="7:7">
      <c r="G28777" s="812"/>
    </row>
    <row r="28778" spans="7:7">
      <c r="G28778" s="812"/>
    </row>
    <row r="28779" spans="7:7">
      <c r="G28779" s="812"/>
    </row>
    <row r="28780" spans="7:7">
      <c r="G28780" s="812"/>
    </row>
    <row r="28781" spans="7:7">
      <c r="G28781" s="812"/>
    </row>
    <row r="28782" spans="7:7">
      <c r="G28782" s="812"/>
    </row>
    <row r="28783" spans="7:7">
      <c r="G28783" s="812"/>
    </row>
    <row r="28784" spans="7:7">
      <c r="G28784" s="812"/>
    </row>
    <row r="28785" spans="7:7">
      <c r="G28785" s="812"/>
    </row>
    <row r="28786" spans="7:7">
      <c r="G28786" s="812"/>
    </row>
    <row r="28787" spans="7:7">
      <c r="G28787" s="812"/>
    </row>
    <row r="28788" spans="7:7">
      <c r="G28788" s="812"/>
    </row>
    <row r="28789" spans="7:7">
      <c r="G28789" s="812"/>
    </row>
    <row r="28790" spans="7:7">
      <c r="G28790" s="812"/>
    </row>
    <row r="28791" spans="7:7">
      <c r="G28791" s="812"/>
    </row>
    <row r="28792" spans="7:7">
      <c r="G28792" s="812"/>
    </row>
    <row r="28793" spans="7:7">
      <c r="G28793" s="812"/>
    </row>
    <row r="28794" spans="7:7">
      <c r="G28794" s="812"/>
    </row>
    <row r="28795" spans="7:7">
      <c r="G28795" s="812"/>
    </row>
    <row r="28796" spans="7:7">
      <c r="G28796" s="812"/>
    </row>
    <row r="28797" spans="7:7">
      <c r="G28797" s="812"/>
    </row>
    <row r="28798" spans="7:7">
      <c r="G28798" s="812"/>
    </row>
    <row r="28799" spans="7:7">
      <c r="G28799" s="812"/>
    </row>
    <row r="28800" spans="7:7">
      <c r="G28800" s="812"/>
    </row>
    <row r="28801" spans="7:7">
      <c r="G28801" s="812"/>
    </row>
    <row r="28802" spans="7:7">
      <c r="G28802" s="812"/>
    </row>
    <row r="28803" spans="7:7">
      <c r="G28803" s="812"/>
    </row>
    <row r="28804" spans="7:7">
      <c r="G28804" s="812"/>
    </row>
    <row r="28805" spans="7:7">
      <c r="G28805" s="812"/>
    </row>
    <row r="28806" spans="7:7">
      <c r="G28806" s="812"/>
    </row>
    <row r="28807" spans="7:7">
      <c r="G28807" s="812"/>
    </row>
    <row r="28808" spans="7:7">
      <c r="G28808" s="812"/>
    </row>
    <row r="28809" spans="7:7">
      <c r="G28809" s="812"/>
    </row>
    <row r="28810" spans="7:7">
      <c r="G28810" s="812"/>
    </row>
    <row r="28811" spans="7:7">
      <c r="G28811" s="812"/>
    </row>
    <row r="28812" spans="7:7">
      <c r="G28812" s="812"/>
    </row>
    <row r="28813" spans="7:7">
      <c r="G28813" s="812"/>
    </row>
    <row r="28814" spans="7:7">
      <c r="G28814" s="812"/>
    </row>
    <row r="28815" spans="7:7">
      <c r="G28815" s="812"/>
    </row>
    <row r="28816" spans="7:7">
      <c r="G28816" s="812"/>
    </row>
    <row r="28817" spans="7:7">
      <c r="G28817" s="812"/>
    </row>
    <row r="28818" spans="7:7">
      <c r="G28818" s="812"/>
    </row>
    <row r="28819" spans="7:7">
      <c r="G28819" s="812"/>
    </row>
    <row r="28820" spans="7:7">
      <c r="G28820" s="812"/>
    </row>
    <row r="28821" spans="7:7">
      <c r="G28821" s="812"/>
    </row>
    <row r="28822" spans="7:7">
      <c r="G28822" s="812"/>
    </row>
    <row r="28823" spans="7:7">
      <c r="G28823" s="812"/>
    </row>
    <row r="28824" spans="7:7">
      <c r="G28824" s="812"/>
    </row>
    <row r="28825" spans="7:7">
      <c r="G28825" s="812"/>
    </row>
    <row r="28826" spans="7:7">
      <c r="G28826" s="812"/>
    </row>
    <row r="28827" spans="7:7">
      <c r="G28827" s="812"/>
    </row>
    <row r="28828" spans="7:7">
      <c r="G28828" s="812"/>
    </row>
    <row r="28829" spans="7:7">
      <c r="G28829" s="812"/>
    </row>
    <row r="28830" spans="7:7">
      <c r="G28830" s="812"/>
    </row>
    <row r="28831" spans="7:7">
      <c r="G28831" s="812"/>
    </row>
    <row r="28832" spans="7:7">
      <c r="G28832" s="812"/>
    </row>
    <row r="28833" spans="7:7">
      <c r="G28833" s="812"/>
    </row>
    <row r="28834" spans="7:7">
      <c r="G28834" s="812"/>
    </row>
    <row r="28835" spans="7:7">
      <c r="G28835" s="812"/>
    </row>
    <row r="28836" spans="7:7">
      <c r="G28836" s="812"/>
    </row>
    <row r="28837" spans="7:7">
      <c r="G28837" s="812"/>
    </row>
    <row r="28838" spans="7:7">
      <c r="G28838" s="812"/>
    </row>
    <row r="28839" spans="7:7">
      <c r="G28839" s="812"/>
    </row>
    <row r="28840" spans="7:7">
      <c r="G28840" s="812"/>
    </row>
    <row r="28841" spans="7:7">
      <c r="G28841" s="812"/>
    </row>
    <row r="28842" spans="7:7">
      <c r="G28842" s="812"/>
    </row>
    <row r="28843" spans="7:7">
      <c r="G28843" s="812"/>
    </row>
    <row r="28844" spans="7:7">
      <c r="G28844" s="812"/>
    </row>
    <row r="28845" spans="7:7">
      <c r="G28845" s="812"/>
    </row>
    <row r="28846" spans="7:7">
      <c r="G28846" s="812"/>
    </row>
    <row r="28847" spans="7:7">
      <c r="G28847" s="812"/>
    </row>
    <row r="28848" spans="7:7">
      <c r="G28848" s="812"/>
    </row>
    <row r="28849" spans="7:7">
      <c r="G28849" s="812"/>
    </row>
    <row r="28850" spans="7:7">
      <c r="G28850" s="812"/>
    </row>
    <row r="28851" spans="7:7">
      <c r="G28851" s="812"/>
    </row>
    <row r="28852" spans="7:7">
      <c r="G28852" s="812"/>
    </row>
    <row r="28853" spans="7:7">
      <c r="G28853" s="812"/>
    </row>
    <row r="28854" spans="7:7">
      <c r="G28854" s="812"/>
    </row>
    <row r="28855" spans="7:7">
      <c r="G28855" s="812"/>
    </row>
    <row r="28856" spans="7:7">
      <c r="G28856" s="812"/>
    </row>
    <row r="28857" spans="7:7">
      <c r="G28857" s="812"/>
    </row>
    <row r="28858" spans="7:7">
      <c r="G28858" s="812"/>
    </row>
    <row r="28859" spans="7:7">
      <c r="G28859" s="812"/>
    </row>
    <row r="28860" spans="7:7">
      <c r="G28860" s="812"/>
    </row>
    <row r="28861" spans="7:7">
      <c r="G28861" s="812"/>
    </row>
    <row r="28862" spans="7:7">
      <c r="G28862" s="812"/>
    </row>
    <row r="28863" spans="7:7">
      <c r="G28863" s="812"/>
    </row>
    <row r="28864" spans="7:7">
      <c r="G28864" s="812"/>
    </row>
    <row r="28865" spans="7:7">
      <c r="G28865" s="812"/>
    </row>
    <row r="28866" spans="7:7">
      <c r="G28866" s="812"/>
    </row>
    <row r="28867" spans="7:7">
      <c r="G28867" s="812"/>
    </row>
    <row r="28868" spans="7:7">
      <c r="G28868" s="812"/>
    </row>
    <row r="28869" spans="7:7">
      <c r="G28869" s="812"/>
    </row>
    <row r="28870" spans="7:7">
      <c r="G28870" s="812"/>
    </row>
    <row r="28871" spans="7:7">
      <c r="G28871" s="812"/>
    </row>
    <row r="28872" spans="7:7">
      <c r="G28872" s="812"/>
    </row>
    <row r="28873" spans="7:7">
      <c r="G28873" s="812"/>
    </row>
    <row r="28874" spans="7:7">
      <c r="G28874" s="812"/>
    </row>
    <row r="28875" spans="7:7">
      <c r="G28875" s="812"/>
    </row>
    <row r="28876" spans="7:7">
      <c r="G28876" s="812"/>
    </row>
    <row r="28877" spans="7:7">
      <c r="G28877" s="812"/>
    </row>
    <row r="28878" spans="7:7">
      <c r="G28878" s="812"/>
    </row>
    <row r="28879" spans="7:7">
      <c r="G28879" s="812"/>
    </row>
    <row r="28880" spans="7:7">
      <c r="G28880" s="812"/>
    </row>
    <row r="28881" spans="7:7">
      <c r="G28881" s="812"/>
    </row>
    <row r="28882" spans="7:7">
      <c r="G28882" s="812"/>
    </row>
    <row r="28883" spans="7:7">
      <c r="G28883" s="812"/>
    </row>
    <row r="28884" spans="7:7">
      <c r="G28884" s="812"/>
    </row>
    <row r="28885" spans="7:7">
      <c r="G28885" s="812"/>
    </row>
    <row r="28886" spans="7:7">
      <c r="G28886" s="812"/>
    </row>
    <row r="28887" spans="7:7">
      <c r="G28887" s="812"/>
    </row>
    <row r="28888" spans="7:7">
      <c r="G28888" s="812"/>
    </row>
    <row r="28889" spans="7:7">
      <c r="G28889" s="812"/>
    </row>
    <row r="28890" spans="7:7">
      <c r="G28890" s="812"/>
    </row>
    <row r="28891" spans="7:7">
      <c r="G28891" s="812"/>
    </row>
    <row r="28892" spans="7:7">
      <c r="G28892" s="812"/>
    </row>
    <row r="28893" spans="7:7">
      <c r="G28893" s="812"/>
    </row>
    <row r="28894" spans="7:7">
      <c r="G28894" s="812"/>
    </row>
    <row r="28895" spans="7:7">
      <c r="G28895" s="812"/>
    </row>
    <row r="28896" spans="7:7">
      <c r="G28896" s="812"/>
    </row>
    <row r="28897" spans="7:7">
      <c r="G28897" s="812"/>
    </row>
    <row r="28898" spans="7:7">
      <c r="G28898" s="812"/>
    </row>
    <row r="28899" spans="7:7">
      <c r="G28899" s="812"/>
    </row>
    <row r="28900" spans="7:7">
      <c r="G28900" s="812"/>
    </row>
    <row r="28901" spans="7:7">
      <c r="G28901" s="812"/>
    </row>
    <row r="28902" spans="7:7">
      <c r="G28902" s="812"/>
    </row>
    <row r="28903" spans="7:7">
      <c r="G28903" s="812"/>
    </row>
    <row r="28904" spans="7:7">
      <c r="G28904" s="812"/>
    </row>
    <row r="28905" spans="7:7">
      <c r="G28905" s="812"/>
    </row>
    <row r="28906" spans="7:7">
      <c r="G28906" s="812"/>
    </row>
    <row r="28907" spans="7:7">
      <c r="G28907" s="812"/>
    </row>
    <row r="28908" spans="7:7">
      <c r="G28908" s="812"/>
    </row>
    <row r="28909" spans="7:7">
      <c r="G28909" s="812"/>
    </row>
    <row r="28910" spans="7:7">
      <c r="G28910" s="812"/>
    </row>
    <row r="28911" spans="7:7">
      <c r="G28911" s="812"/>
    </row>
    <row r="28912" spans="7:7">
      <c r="G28912" s="812"/>
    </row>
    <row r="28913" spans="7:7">
      <c r="G28913" s="812"/>
    </row>
    <row r="28914" spans="7:7">
      <c r="G28914" s="812"/>
    </row>
    <row r="28915" spans="7:7">
      <c r="G28915" s="812"/>
    </row>
    <row r="28916" spans="7:7">
      <c r="G28916" s="812"/>
    </row>
    <row r="28917" spans="7:7">
      <c r="G28917" s="812"/>
    </row>
    <row r="28918" spans="7:7">
      <c r="G28918" s="812"/>
    </row>
    <row r="28919" spans="7:7">
      <c r="G28919" s="812"/>
    </row>
    <row r="28920" spans="7:7">
      <c r="G28920" s="812"/>
    </row>
    <row r="28921" spans="7:7">
      <c r="G28921" s="812"/>
    </row>
    <row r="28922" spans="7:7">
      <c r="G28922" s="812"/>
    </row>
    <row r="28923" spans="7:7">
      <c r="G28923" s="812"/>
    </row>
    <row r="28924" spans="7:7">
      <c r="G28924" s="812"/>
    </row>
    <row r="28925" spans="7:7">
      <c r="G28925" s="812"/>
    </row>
    <row r="28926" spans="7:7">
      <c r="G28926" s="812"/>
    </row>
    <row r="28927" spans="7:7">
      <c r="G28927" s="812"/>
    </row>
    <row r="28928" spans="7:7">
      <c r="G28928" s="812"/>
    </row>
    <row r="28929" spans="7:7">
      <c r="G28929" s="812"/>
    </row>
    <row r="28930" spans="7:7">
      <c r="G28930" s="812"/>
    </row>
    <row r="28931" spans="7:7">
      <c r="G28931" s="812"/>
    </row>
    <row r="28932" spans="7:7">
      <c r="G28932" s="812"/>
    </row>
    <row r="28933" spans="7:7">
      <c r="G28933" s="812"/>
    </row>
    <row r="28934" spans="7:7">
      <c r="G28934" s="812"/>
    </row>
    <row r="28935" spans="7:7">
      <c r="G28935" s="812"/>
    </row>
    <row r="28936" spans="7:7">
      <c r="G28936" s="812"/>
    </row>
    <row r="28937" spans="7:7">
      <c r="G28937" s="812"/>
    </row>
    <row r="28938" spans="7:7">
      <c r="G28938" s="812"/>
    </row>
    <row r="28939" spans="7:7">
      <c r="G28939" s="812"/>
    </row>
    <row r="28940" spans="7:7">
      <c r="G28940" s="812"/>
    </row>
    <row r="28941" spans="7:7">
      <c r="G28941" s="812"/>
    </row>
    <row r="28942" spans="7:7">
      <c r="G28942" s="812"/>
    </row>
    <row r="28943" spans="7:7">
      <c r="G28943" s="812"/>
    </row>
    <row r="28944" spans="7:7">
      <c r="G28944" s="812"/>
    </row>
    <row r="28945" spans="7:7">
      <c r="G28945" s="812"/>
    </row>
    <row r="28946" spans="7:7">
      <c r="G28946" s="812"/>
    </row>
    <row r="28947" spans="7:7">
      <c r="G28947" s="812"/>
    </row>
    <row r="28948" spans="7:7">
      <c r="G28948" s="812"/>
    </row>
    <row r="28949" spans="7:7">
      <c r="G28949" s="812"/>
    </row>
    <row r="28950" spans="7:7">
      <c r="G28950" s="812"/>
    </row>
    <row r="28951" spans="7:7">
      <c r="G28951" s="812"/>
    </row>
    <row r="28952" spans="7:7">
      <c r="G28952" s="812"/>
    </row>
    <row r="28953" spans="7:7">
      <c r="G28953" s="812"/>
    </row>
    <row r="28954" spans="7:7">
      <c r="G28954" s="812"/>
    </row>
    <row r="28955" spans="7:7">
      <c r="G28955" s="812"/>
    </row>
    <row r="28956" spans="7:7">
      <c r="G28956" s="812"/>
    </row>
    <row r="28957" spans="7:7">
      <c r="G28957" s="812"/>
    </row>
    <row r="28958" spans="7:7">
      <c r="G28958" s="812"/>
    </row>
    <row r="28959" spans="7:7">
      <c r="G28959" s="812"/>
    </row>
    <row r="28960" spans="7:7">
      <c r="G28960" s="812"/>
    </row>
    <row r="28961" spans="7:7">
      <c r="G28961" s="812"/>
    </row>
    <row r="28962" spans="7:7">
      <c r="G28962" s="812"/>
    </row>
    <row r="28963" spans="7:7">
      <c r="G28963" s="812"/>
    </row>
    <row r="28964" spans="7:7">
      <c r="G28964" s="812"/>
    </row>
    <row r="28965" spans="7:7">
      <c r="G28965" s="812"/>
    </row>
    <row r="28966" spans="7:7">
      <c r="G28966" s="812"/>
    </row>
    <row r="28967" spans="7:7">
      <c r="G28967" s="812"/>
    </row>
    <row r="28968" spans="7:7">
      <c r="G28968" s="812"/>
    </row>
    <row r="28969" spans="7:7">
      <c r="G28969" s="812"/>
    </row>
    <row r="28970" spans="7:7">
      <c r="G28970" s="812"/>
    </row>
    <row r="28971" spans="7:7">
      <c r="G28971" s="812"/>
    </row>
    <row r="28972" spans="7:7">
      <c r="G28972" s="812"/>
    </row>
    <row r="28973" spans="7:7">
      <c r="G28973" s="812"/>
    </row>
    <row r="28974" spans="7:7">
      <c r="G28974" s="812"/>
    </row>
    <row r="28975" spans="7:7">
      <c r="G28975" s="812"/>
    </row>
    <row r="28976" spans="7:7">
      <c r="G28976" s="812"/>
    </row>
    <row r="28977" spans="7:7">
      <c r="G28977" s="812"/>
    </row>
    <row r="28978" spans="7:7">
      <c r="G28978" s="812"/>
    </row>
    <row r="28979" spans="7:7">
      <c r="G28979" s="812"/>
    </row>
    <row r="28980" spans="7:7">
      <c r="G28980" s="812"/>
    </row>
    <row r="28981" spans="7:7">
      <c r="G28981" s="812"/>
    </row>
    <row r="28982" spans="7:7">
      <c r="G28982" s="812"/>
    </row>
    <row r="28983" spans="7:7">
      <c r="G28983" s="812"/>
    </row>
    <row r="28984" spans="7:7">
      <c r="G28984" s="812"/>
    </row>
    <row r="28985" spans="7:7">
      <c r="G28985" s="812"/>
    </row>
    <row r="28986" spans="7:7">
      <c r="G28986" s="812"/>
    </row>
    <row r="28987" spans="7:7">
      <c r="G28987" s="812"/>
    </row>
    <row r="28988" spans="7:7">
      <c r="G28988" s="812"/>
    </row>
    <row r="28989" spans="7:7">
      <c r="G28989" s="812"/>
    </row>
    <row r="28990" spans="7:7">
      <c r="G28990" s="812"/>
    </row>
    <row r="28991" spans="7:7">
      <c r="G28991" s="812"/>
    </row>
    <row r="28992" spans="7:7">
      <c r="G28992" s="812"/>
    </row>
    <row r="28993" spans="7:7">
      <c r="G28993" s="812"/>
    </row>
    <row r="28994" spans="7:7">
      <c r="G28994" s="812"/>
    </row>
    <row r="28995" spans="7:7">
      <c r="G28995" s="812"/>
    </row>
    <row r="28996" spans="7:7">
      <c r="G28996" s="812"/>
    </row>
    <row r="28997" spans="7:7">
      <c r="G28997" s="812"/>
    </row>
    <row r="28998" spans="7:7">
      <c r="G28998" s="812"/>
    </row>
    <row r="28999" spans="7:7">
      <c r="G28999" s="812"/>
    </row>
    <row r="29000" spans="7:7">
      <c r="G29000" s="812"/>
    </row>
    <row r="29001" spans="7:7">
      <c r="G29001" s="812"/>
    </row>
    <row r="29002" spans="7:7">
      <c r="G29002" s="812"/>
    </row>
    <row r="29003" spans="7:7">
      <c r="G29003" s="812"/>
    </row>
    <row r="29004" spans="7:7">
      <c r="G29004" s="812"/>
    </row>
    <row r="29005" spans="7:7">
      <c r="G29005" s="812"/>
    </row>
    <row r="29006" spans="7:7">
      <c r="G29006" s="812"/>
    </row>
    <row r="29007" spans="7:7">
      <c r="G29007" s="812"/>
    </row>
    <row r="29008" spans="7:7">
      <c r="G29008" s="812"/>
    </row>
    <row r="29009" spans="7:7">
      <c r="G29009" s="812"/>
    </row>
    <row r="29010" spans="7:7">
      <c r="G29010" s="812"/>
    </row>
    <row r="29011" spans="7:7">
      <c r="G29011" s="812"/>
    </row>
    <row r="29012" spans="7:7">
      <c r="G29012" s="812"/>
    </row>
    <row r="29013" spans="7:7">
      <c r="G29013" s="812"/>
    </row>
    <row r="29014" spans="7:7">
      <c r="G29014" s="812"/>
    </row>
    <row r="29015" spans="7:7">
      <c r="G29015" s="812"/>
    </row>
    <row r="29016" spans="7:7">
      <c r="G29016" s="812"/>
    </row>
    <row r="29017" spans="7:7">
      <c r="G29017" s="812"/>
    </row>
    <row r="29018" spans="7:7">
      <c r="G29018" s="812"/>
    </row>
    <row r="29019" spans="7:7">
      <c r="G29019" s="812"/>
    </row>
    <row r="29020" spans="7:7">
      <c r="G29020" s="812"/>
    </row>
    <row r="29021" spans="7:7">
      <c r="G29021" s="812"/>
    </row>
    <row r="29022" spans="7:7">
      <c r="G29022" s="812"/>
    </row>
    <row r="29023" spans="7:7">
      <c r="G29023" s="812"/>
    </row>
    <row r="29024" spans="7:7">
      <c r="G29024" s="812"/>
    </row>
    <row r="29025" spans="7:7">
      <c r="G29025" s="812"/>
    </row>
    <row r="29026" spans="7:7">
      <c r="G29026" s="812"/>
    </row>
    <row r="29027" spans="7:7">
      <c r="G29027" s="812"/>
    </row>
    <row r="29028" spans="7:7">
      <c r="G29028" s="812"/>
    </row>
    <row r="29029" spans="7:7">
      <c r="G29029" s="812"/>
    </row>
    <row r="29030" spans="7:7">
      <c r="G29030" s="812"/>
    </row>
    <row r="29031" spans="7:7">
      <c r="G29031" s="812"/>
    </row>
    <row r="29032" spans="7:7">
      <c r="G29032" s="812"/>
    </row>
    <row r="29033" spans="7:7">
      <c r="G29033" s="812"/>
    </row>
    <row r="29034" spans="7:7">
      <c r="G29034" s="812"/>
    </row>
    <row r="29035" spans="7:7">
      <c r="G29035" s="812"/>
    </row>
    <row r="29036" spans="7:7">
      <c r="G29036" s="812"/>
    </row>
    <row r="29037" spans="7:7">
      <c r="G29037" s="812"/>
    </row>
    <row r="29038" spans="7:7">
      <c r="G29038" s="812"/>
    </row>
    <row r="29039" spans="7:7">
      <c r="G29039" s="812"/>
    </row>
    <row r="29040" spans="7:7">
      <c r="G29040" s="812"/>
    </row>
    <row r="29041" spans="7:7">
      <c r="G29041" s="812"/>
    </row>
    <row r="29042" spans="7:7">
      <c r="G29042" s="812"/>
    </row>
    <row r="29043" spans="7:7">
      <c r="G29043" s="812"/>
    </row>
    <row r="29044" spans="7:7">
      <c r="G29044" s="812"/>
    </row>
    <row r="29045" spans="7:7">
      <c r="G29045" s="812"/>
    </row>
    <row r="29046" spans="7:7">
      <c r="G29046" s="812"/>
    </row>
    <row r="29047" spans="7:7">
      <c r="G29047" s="812"/>
    </row>
    <row r="29048" spans="7:7">
      <c r="G29048" s="812"/>
    </row>
    <row r="29049" spans="7:7">
      <c r="G29049" s="812"/>
    </row>
    <row r="29050" spans="7:7">
      <c r="G29050" s="812"/>
    </row>
    <row r="29051" spans="7:7">
      <c r="G29051" s="812"/>
    </row>
    <row r="29052" spans="7:7">
      <c r="G29052" s="812"/>
    </row>
    <row r="29053" spans="7:7">
      <c r="G29053" s="812"/>
    </row>
    <row r="29054" spans="7:7">
      <c r="G29054" s="812"/>
    </row>
    <row r="29055" spans="7:7">
      <c r="G29055" s="812"/>
    </row>
    <row r="29056" spans="7:7">
      <c r="G29056" s="812"/>
    </row>
    <row r="29057" spans="7:7">
      <c r="G29057" s="812"/>
    </row>
    <row r="29058" spans="7:7">
      <c r="G29058" s="812"/>
    </row>
    <row r="29059" spans="7:7">
      <c r="G29059" s="812"/>
    </row>
    <row r="29060" spans="7:7">
      <c r="G29060" s="812"/>
    </row>
    <row r="29061" spans="7:7">
      <c r="G29061" s="812"/>
    </row>
    <row r="29062" spans="7:7">
      <c r="G29062" s="812"/>
    </row>
    <row r="29063" spans="7:7">
      <c r="G29063" s="812"/>
    </row>
    <row r="29064" spans="7:7">
      <c r="G29064" s="812"/>
    </row>
    <row r="29065" spans="7:7">
      <c r="G29065" s="812"/>
    </row>
    <row r="29066" spans="7:7">
      <c r="G29066" s="812"/>
    </row>
    <row r="29067" spans="7:7">
      <c r="G29067" s="812"/>
    </row>
    <row r="29068" spans="7:7">
      <c r="G29068" s="812"/>
    </row>
    <row r="29069" spans="7:7">
      <c r="G29069" s="812"/>
    </row>
    <row r="29070" spans="7:7">
      <c r="G29070" s="812"/>
    </row>
    <row r="29071" spans="7:7">
      <c r="G29071" s="812"/>
    </row>
    <row r="29072" spans="7:7">
      <c r="G29072" s="812"/>
    </row>
    <row r="29073" spans="7:7">
      <c r="G29073" s="812"/>
    </row>
    <row r="29074" spans="7:7">
      <c r="G29074" s="812"/>
    </row>
    <row r="29075" spans="7:7">
      <c r="G29075" s="812"/>
    </row>
    <row r="29076" spans="7:7">
      <c r="G29076" s="812"/>
    </row>
    <row r="29077" spans="7:7">
      <c r="G29077" s="812"/>
    </row>
    <row r="29078" spans="7:7">
      <c r="G29078" s="812"/>
    </row>
    <row r="29079" spans="7:7">
      <c r="G29079" s="812"/>
    </row>
    <row r="29080" spans="7:7">
      <c r="G29080" s="812"/>
    </row>
    <row r="29081" spans="7:7">
      <c r="G29081" s="812"/>
    </row>
    <row r="29082" spans="7:7">
      <c r="G29082" s="812"/>
    </row>
    <row r="29083" spans="7:7">
      <c r="G29083" s="812"/>
    </row>
    <row r="29084" spans="7:7">
      <c r="G29084" s="812"/>
    </row>
    <row r="29085" spans="7:7">
      <c r="G29085" s="812"/>
    </row>
    <row r="29086" spans="7:7">
      <c r="G29086" s="812"/>
    </row>
    <row r="29087" spans="7:7">
      <c r="G29087" s="812"/>
    </row>
    <row r="29088" spans="7:7">
      <c r="G29088" s="812"/>
    </row>
    <row r="29089" spans="7:7">
      <c r="G29089" s="812"/>
    </row>
    <row r="29090" spans="7:7">
      <c r="G29090" s="812"/>
    </row>
    <row r="29091" spans="7:7">
      <c r="G29091" s="812"/>
    </row>
    <row r="29092" spans="7:7">
      <c r="G29092" s="812"/>
    </row>
    <row r="29093" spans="7:7">
      <c r="G29093" s="812"/>
    </row>
    <row r="29094" spans="7:7">
      <c r="G29094" s="812"/>
    </row>
    <row r="29095" spans="7:7">
      <c r="G29095" s="812"/>
    </row>
    <row r="29096" spans="7:7">
      <c r="G29096" s="812"/>
    </row>
    <row r="29097" spans="7:7">
      <c r="G29097" s="812"/>
    </row>
    <row r="29098" spans="7:7">
      <c r="G29098" s="812"/>
    </row>
    <row r="29099" spans="7:7">
      <c r="G29099" s="812"/>
    </row>
    <row r="29100" spans="7:7">
      <c r="G29100" s="812"/>
    </row>
    <row r="29101" spans="7:7">
      <c r="G29101" s="812"/>
    </row>
    <row r="29102" spans="7:7">
      <c r="G29102" s="812"/>
    </row>
    <row r="29103" spans="7:7">
      <c r="G29103" s="812"/>
    </row>
    <row r="29104" spans="7:7">
      <c r="G29104" s="812"/>
    </row>
    <row r="29105" spans="7:7">
      <c r="G29105" s="812"/>
    </row>
    <row r="29106" spans="7:7">
      <c r="G29106" s="812"/>
    </row>
    <row r="29107" spans="7:7">
      <c r="G29107" s="812"/>
    </row>
    <row r="29108" spans="7:7">
      <c r="G29108" s="812"/>
    </row>
    <row r="29109" spans="7:7">
      <c r="G29109" s="812"/>
    </row>
    <row r="29110" spans="7:7">
      <c r="G29110" s="812"/>
    </row>
    <row r="29111" spans="7:7">
      <c r="G29111" s="812"/>
    </row>
    <row r="29112" spans="7:7">
      <c r="G29112" s="812"/>
    </row>
    <row r="29113" spans="7:7">
      <c r="G29113" s="812"/>
    </row>
    <row r="29114" spans="7:7">
      <c r="G29114" s="812"/>
    </row>
    <row r="29115" spans="7:7">
      <c r="G29115" s="812"/>
    </row>
    <row r="29116" spans="7:7">
      <c r="G29116" s="812"/>
    </row>
    <row r="29117" spans="7:7">
      <c r="G29117" s="812"/>
    </row>
    <row r="29118" spans="7:7">
      <c r="G29118" s="812"/>
    </row>
    <row r="29119" spans="7:7">
      <c r="G29119" s="812"/>
    </row>
    <row r="29120" spans="7:7">
      <c r="G29120" s="812"/>
    </row>
    <row r="29121" spans="7:7">
      <c r="G29121" s="812"/>
    </row>
    <row r="29122" spans="7:7">
      <c r="G29122" s="812"/>
    </row>
    <row r="29123" spans="7:7">
      <c r="G29123" s="812"/>
    </row>
    <row r="29124" spans="7:7">
      <c r="G29124" s="812"/>
    </row>
    <row r="29125" spans="7:7">
      <c r="G29125" s="812"/>
    </row>
    <row r="29126" spans="7:7">
      <c r="G29126" s="812"/>
    </row>
    <row r="29127" spans="7:7">
      <c r="G29127" s="812"/>
    </row>
    <row r="29128" spans="7:7">
      <c r="G29128" s="812"/>
    </row>
    <row r="29129" spans="7:7">
      <c r="G29129" s="812"/>
    </row>
    <row r="29130" spans="7:7">
      <c r="G29130" s="812"/>
    </row>
    <row r="29131" spans="7:7">
      <c r="G29131" s="812"/>
    </row>
    <row r="29132" spans="7:7">
      <c r="G29132" s="812"/>
    </row>
    <row r="29133" spans="7:7">
      <c r="G29133" s="812"/>
    </row>
    <row r="29134" spans="7:7">
      <c r="G29134" s="812"/>
    </row>
    <row r="29135" spans="7:7">
      <c r="G29135" s="812"/>
    </row>
    <row r="29136" spans="7:7">
      <c r="G29136" s="812"/>
    </row>
    <row r="29137" spans="7:7">
      <c r="G29137" s="812"/>
    </row>
    <row r="29138" spans="7:7">
      <c r="G29138" s="812"/>
    </row>
    <row r="29139" spans="7:7">
      <c r="G29139" s="812"/>
    </row>
    <row r="29140" spans="7:7">
      <c r="G29140" s="812"/>
    </row>
    <row r="29141" spans="7:7">
      <c r="G29141" s="812"/>
    </row>
    <row r="29142" spans="7:7">
      <c r="G29142" s="812"/>
    </row>
    <row r="29143" spans="7:7">
      <c r="G29143" s="812"/>
    </row>
    <row r="29144" spans="7:7">
      <c r="G29144" s="812"/>
    </row>
    <row r="29145" spans="7:7">
      <c r="G29145" s="812"/>
    </row>
    <row r="29146" spans="7:7">
      <c r="G29146" s="812"/>
    </row>
    <row r="29147" spans="7:7">
      <c r="G29147" s="812"/>
    </row>
    <row r="29148" spans="7:7">
      <c r="G29148" s="812"/>
    </row>
    <row r="29149" spans="7:7">
      <c r="G29149" s="812"/>
    </row>
    <row r="29150" spans="7:7">
      <c r="G29150" s="812"/>
    </row>
    <row r="29151" spans="7:7">
      <c r="G29151" s="812"/>
    </row>
    <row r="29152" spans="7:7">
      <c r="G29152" s="812"/>
    </row>
    <row r="29153" spans="7:7">
      <c r="G29153" s="812"/>
    </row>
    <row r="29154" spans="7:7">
      <c r="G29154" s="812"/>
    </row>
    <row r="29155" spans="7:7">
      <c r="G29155" s="812"/>
    </row>
    <row r="29156" spans="7:7">
      <c r="G29156" s="812"/>
    </row>
    <row r="29157" spans="7:7">
      <c r="G29157" s="812"/>
    </row>
    <row r="29158" spans="7:7">
      <c r="G29158" s="812"/>
    </row>
    <row r="29159" spans="7:7">
      <c r="G29159" s="812"/>
    </row>
    <row r="29160" spans="7:7">
      <c r="G29160" s="812"/>
    </row>
    <row r="29161" spans="7:7">
      <c r="G29161" s="812"/>
    </row>
    <row r="29162" spans="7:7">
      <c r="G29162" s="812"/>
    </row>
    <row r="29163" spans="7:7">
      <c r="G29163" s="812"/>
    </row>
    <row r="29164" spans="7:7">
      <c r="G29164" s="812"/>
    </row>
    <row r="29165" spans="7:7">
      <c r="G29165" s="812"/>
    </row>
    <row r="29166" spans="7:7">
      <c r="G29166" s="812"/>
    </row>
    <row r="29167" spans="7:7">
      <c r="G29167" s="812"/>
    </row>
    <row r="29168" spans="7:7">
      <c r="G29168" s="812"/>
    </row>
    <row r="29169" spans="7:7">
      <c r="G29169" s="812"/>
    </row>
    <row r="29170" spans="7:7">
      <c r="G29170" s="812"/>
    </row>
    <row r="29171" spans="7:7">
      <c r="G29171" s="812"/>
    </row>
    <row r="29172" spans="7:7">
      <c r="G29172" s="812"/>
    </row>
    <row r="29173" spans="7:7">
      <c r="G29173" s="812"/>
    </row>
    <row r="29174" spans="7:7">
      <c r="G29174" s="812"/>
    </row>
    <row r="29175" spans="7:7">
      <c r="G29175" s="812"/>
    </row>
    <row r="29176" spans="7:7">
      <c r="G29176" s="812"/>
    </row>
    <row r="29177" spans="7:7">
      <c r="G29177" s="812"/>
    </row>
    <row r="29178" spans="7:7">
      <c r="G29178" s="812"/>
    </row>
    <row r="29179" spans="7:7">
      <c r="G29179" s="812"/>
    </row>
    <row r="29180" spans="7:7">
      <c r="G29180" s="812"/>
    </row>
    <row r="29181" spans="7:7">
      <c r="G29181" s="812"/>
    </row>
    <row r="29182" spans="7:7">
      <c r="G29182" s="812"/>
    </row>
    <row r="29183" spans="7:7">
      <c r="G29183" s="812"/>
    </row>
    <row r="29184" spans="7:7">
      <c r="G29184" s="812"/>
    </row>
    <row r="29185" spans="7:7">
      <c r="G29185" s="812"/>
    </row>
    <row r="29186" spans="7:7">
      <c r="G29186" s="812"/>
    </row>
    <row r="29187" spans="7:7">
      <c r="G29187" s="812"/>
    </row>
    <row r="29188" spans="7:7">
      <c r="G29188" s="812"/>
    </row>
    <row r="29189" spans="7:7">
      <c r="G29189" s="812"/>
    </row>
    <row r="29190" spans="7:7">
      <c r="G29190" s="812"/>
    </row>
    <row r="29191" spans="7:7">
      <c r="G29191" s="812"/>
    </row>
    <row r="29192" spans="7:7">
      <c r="G29192" s="812"/>
    </row>
    <row r="29193" spans="7:7">
      <c r="G29193" s="812"/>
    </row>
    <row r="29194" spans="7:7">
      <c r="G29194" s="812"/>
    </row>
    <row r="29195" spans="7:7">
      <c r="G29195" s="812"/>
    </row>
    <row r="29196" spans="7:7">
      <c r="G29196" s="812"/>
    </row>
    <row r="29197" spans="7:7">
      <c r="G29197" s="812"/>
    </row>
    <row r="29198" spans="7:7">
      <c r="G29198" s="812"/>
    </row>
    <row r="29199" spans="7:7">
      <c r="G29199" s="812"/>
    </row>
    <row r="29200" spans="7:7">
      <c r="G29200" s="812"/>
    </row>
    <row r="29201" spans="7:7">
      <c r="G29201" s="812"/>
    </row>
    <row r="29202" spans="7:7">
      <c r="G29202" s="812"/>
    </row>
    <row r="29203" spans="7:7">
      <c r="G29203" s="812"/>
    </row>
    <row r="29204" spans="7:7">
      <c r="G29204" s="812"/>
    </row>
    <row r="29205" spans="7:7">
      <c r="G29205" s="812"/>
    </row>
    <row r="29206" spans="7:7">
      <c r="G29206" s="812"/>
    </row>
    <row r="29207" spans="7:7">
      <c r="G29207" s="812"/>
    </row>
    <row r="29208" spans="7:7">
      <c r="G29208" s="812"/>
    </row>
    <row r="29209" spans="7:7">
      <c r="G29209" s="812"/>
    </row>
    <row r="29210" spans="7:7">
      <c r="G29210" s="812"/>
    </row>
    <row r="29211" spans="7:7">
      <c r="G29211" s="812"/>
    </row>
    <row r="29212" spans="7:7">
      <c r="G29212" s="812"/>
    </row>
    <row r="29213" spans="7:7">
      <c r="G29213" s="812"/>
    </row>
    <row r="29214" spans="7:7">
      <c r="G29214" s="812"/>
    </row>
    <row r="29215" spans="7:7">
      <c r="G29215" s="812"/>
    </row>
    <row r="29216" spans="7:7">
      <c r="G29216" s="812"/>
    </row>
    <row r="29217" spans="7:7">
      <c r="G29217" s="812"/>
    </row>
    <row r="29218" spans="7:7">
      <c r="G29218" s="812"/>
    </row>
    <row r="29219" spans="7:7">
      <c r="G29219" s="812"/>
    </row>
    <row r="29220" spans="7:7">
      <c r="G29220" s="812"/>
    </row>
    <row r="29221" spans="7:7">
      <c r="G29221" s="812"/>
    </row>
    <row r="29222" spans="7:7">
      <c r="G29222" s="812"/>
    </row>
    <row r="29223" spans="7:7">
      <c r="G29223" s="812"/>
    </row>
    <row r="29224" spans="7:7">
      <c r="G29224" s="812"/>
    </row>
    <row r="29225" spans="7:7">
      <c r="G29225" s="812"/>
    </row>
    <row r="29226" spans="7:7">
      <c r="G29226" s="812"/>
    </row>
    <row r="29227" spans="7:7">
      <c r="G29227" s="812"/>
    </row>
    <row r="29228" spans="7:7">
      <c r="G29228" s="812"/>
    </row>
    <row r="29229" spans="7:7">
      <c r="G29229" s="812"/>
    </row>
    <row r="29230" spans="7:7">
      <c r="G29230" s="812"/>
    </row>
    <row r="29231" spans="7:7">
      <c r="G29231" s="812"/>
    </row>
    <row r="29232" spans="7:7">
      <c r="G29232" s="812"/>
    </row>
    <row r="29233" spans="7:7">
      <c r="G29233" s="812"/>
    </row>
    <row r="29234" spans="7:7">
      <c r="G29234" s="812"/>
    </row>
    <row r="29235" spans="7:7">
      <c r="G29235" s="812"/>
    </row>
    <row r="29236" spans="7:7">
      <c r="G29236" s="812"/>
    </row>
    <row r="29237" spans="7:7">
      <c r="G29237" s="812"/>
    </row>
    <row r="29238" spans="7:7">
      <c r="G29238" s="812"/>
    </row>
    <row r="29239" spans="7:7">
      <c r="G29239" s="812"/>
    </row>
    <row r="29240" spans="7:7">
      <c r="G29240" s="812"/>
    </row>
    <row r="29241" spans="7:7">
      <c r="G29241" s="812"/>
    </row>
    <row r="29242" spans="7:7">
      <c r="G29242" s="812"/>
    </row>
    <row r="29243" spans="7:7">
      <c r="G29243" s="812"/>
    </row>
    <row r="29244" spans="7:7">
      <c r="G29244" s="812"/>
    </row>
    <row r="29245" spans="7:7">
      <c r="G29245" s="812"/>
    </row>
    <row r="29246" spans="7:7">
      <c r="G29246" s="812"/>
    </row>
    <row r="29247" spans="7:7">
      <c r="G29247" s="812"/>
    </row>
    <row r="29248" spans="7:7">
      <c r="G29248" s="812"/>
    </row>
    <row r="29249" spans="7:7">
      <c r="G29249" s="812"/>
    </row>
    <row r="29250" spans="7:7">
      <c r="G29250" s="812"/>
    </row>
    <row r="29251" spans="7:7">
      <c r="G29251" s="812"/>
    </row>
    <row r="29252" spans="7:7">
      <c r="G29252" s="812"/>
    </row>
    <row r="29253" spans="7:7">
      <c r="G29253" s="812"/>
    </row>
    <row r="29254" spans="7:7">
      <c r="G29254" s="812"/>
    </row>
    <row r="29255" spans="7:7">
      <c r="G29255" s="812"/>
    </row>
    <row r="29256" spans="7:7">
      <c r="G29256" s="812"/>
    </row>
    <row r="29257" spans="7:7">
      <c r="G29257" s="812"/>
    </row>
    <row r="29258" spans="7:7">
      <c r="G29258" s="812"/>
    </row>
    <row r="29259" spans="7:7">
      <c r="G29259" s="812"/>
    </row>
    <row r="29260" spans="7:7">
      <c r="G29260" s="812"/>
    </row>
    <row r="29261" spans="7:7">
      <c r="G29261" s="812"/>
    </row>
    <row r="29262" spans="7:7">
      <c r="G29262" s="812"/>
    </row>
    <row r="29263" spans="7:7">
      <c r="G29263" s="812"/>
    </row>
    <row r="29264" spans="7:7">
      <c r="G29264" s="812"/>
    </row>
    <row r="29265" spans="7:7">
      <c r="G29265" s="812"/>
    </row>
    <row r="29266" spans="7:7">
      <c r="G29266" s="812"/>
    </row>
    <row r="29267" spans="7:7">
      <c r="G29267" s="812"/>
    </row>
    <row r="29268" spans="7:7">
      <c r="G29268" s="812"/>
    </row>
    <row r="29269" spans="7:7">
      <c r="G29269" s="812"/>
    </row>
    <row r="29270" spans="7:7">
      <c r="G29270" s="812"/>
    </row>
    <row r="29271" spans="7:7">
      <c r="G29271" s="812"/>
    </row>
    <row r="29272" spans="7:7">
      <c r="G29272" s="812"/>
    </row>
    <row r="29273" spans="7:7">
      <c r="G29273" s="812"/>
    </row>
    <row r="29274" spans="7:7">
      <c r="G29274" s="812"/>
    </row>
    <row r="29275" spans="7:7">
      <c r="G29275" s="812"/>
    </row>
    <row r="29276" spans="7:7">
      <c r="G29276" s="812"/>
    </row>
    <row r="29277" spans="7:7">
      <c r="G29277" s="812"/>
    </row>
    <row r="29278" spans="7:7">
      <c r="G29278" s="812"/>
    </row>
    <row r="29279" spans="7:7">
      <c r="G29279" s="812"/>
    </row>
    <row r="29280" spans="7:7">
      <c r="G29280" s="812"/>
    </row>
    <row r="29281" spans="7:7">
      <c r="G29281" s="812"/>
    </row>
    <row r="29282" spans="7:7">
      <c r="G29282" s="812"/>
    </row>
    <row r="29283" spans="7:7">
      <c r="G29283" s="812"/>
    </row>
    <row r="29284" spans="7:7">
      <c r="G29284" s="812"/>
    </row>
    <row r="29285" spans="7:7">
      <c r="G29285" s="812"/>
    </row>
    <row r="29286" spans="7:7">
      <c r="G29286" s="812"/>
    </row>
    <row r="29287" spans="7:7">
      <c r="G29287" s="812"/>
    </row>
    <row r="29288" spans="7:7">
      <c r="G29288" s="812"/>
    </row>
    <row r="29289" spans="7:7">
      <c r="G29289" s="812"/>
    </row>
    <row r="29290" spans="7:7">
      <c r="G29290" s="812"/>
    </row>
    <row r="29291" spans="7:7">
      <c r="G29291" s="812"/>
    </row>
    <row r="29292" spans="7:7">
      <c r="G29292" s="812"/>
    </row>
    <row r="29293" spans="7:7">
      <c r="G29293" s="812"/>
    </row>
    <row r="29294" spans="7:7">
      <c r="G29294" s="812"/>
    </row>
    <row r="29295" spans="7:7">
      <c r="G29295" s="812"/>
    </row>
    <row r="29296" spans="7:7">
      <c r="G29296" s="812"/>
    </row>
    <row r="29297" spans="7:7">
      <c r="G29297" s="812"/>
    </row>
    <row r="29298" spans="7:7">
      <c r="G29298" s="812"/>
    </row>
    <row r="29299" spans="7:7">
      <c r="G29299" s="812"/>
    </row>
    <row r="29300" spans="7:7">
      <c r="G29300" s="812"/>
    </row>
    <row r="29301" spans="7:7">
      <c r="G29301" s="812"/>
    </row>
    <row r="29302" spans="7:7">
      <c r="G29302" s="812"/>
    </row>
    <row r="29303" spans="7:7">
      <c r="G29303" s="812"/>
    </row>
    <row r="29304" spans="7:7">
      <c r="G29304" s="812"/>
    </row>
    <row r="29305" spans="7:7">
      <c r="G29305" s="812"/>
    </row>
    <row r="29306" spans="7:7">
      <c r="G29306" s="812"/>
    </row>
    <row r="29307" spans="7:7">
      <c r="G29307" s="812"/>
    </row>
    <row r="29308" spans="7:7">
      <c r="G29308" s="812"/>
    </row>
    <row r="29309" spans="7:7">
      <c r="G29309" s="812"/>
    </row>
    <row r="29310" spans="7:7">
      <c r="G29310" s="812"/>
    </row>
    <row r="29311" spans="7:7">
      <c r="G29311" s="812"/>
    </row>
    <row r="29312" spans="7:7">
      <c r="G29312" s="812"/>
    </row>
    <row r="29313" spans="7:7">
      <c r="G29313" s="812"/>
    </row>
    <row r="29314" spans="7:7">
      <c r="G29314" s="812"/>
    </row>
    <row r="29315" spans="7:7">
      <c r="G29315" s="812"/>
    </row>
    <row r="29316" spans="7:7">
      <c r="G29316" s="812"/>
    </row>
    <row r="29317" spans="7:7">
      <c r="G29317" s="812"/>
    </row>
    <row r="29318" spans="7:7">
      <c r="G29318" s="812"/>
    </row>
    <row r="29319" spans="7:7">
      <c r="G29319" s="812"/>
    </row>
    <row r="29320" spans="7:7">
      <c r="G29320" s="812"/>
    </row>
    <row r="29321" spans="7:7">
      <c r="G29321" s="812"/>
    </row>
    <row r="29322" spans="7:7">
      <c r="G29322" s="812"/>
    </row>
    <row r="29323" spans="7:7">
      <c r="G29323" s="812"/>
    </row>
    <row r="29324" spans="7:7">
      <c r="G29324" s="812"/>
    </row>
    <row r="29325" spans="7:7">
      <c r="G29325" s="812"/>
    </row>
    <row r="29326" spans="7:7">
      <c r="G29326" s="812"/>
    </row>
    <row r="29327" spans="7:7">
      <c r="G29327" s="812"/>
    </row>
    <row r="29328" spans="7:7">
      <c r="G29328" s="812"/>
    </row>
    <row r="29329" spans="7:7">
      <c r="G29329" s="812"/>
    </row>
    <row r="29330" spans="7:7">
      <c r="G29330" s="812"/>
    </row>
    <row r="29331" spans="7:7">
      <c r="G29331" s="812"/>
    </row>
    <row r="29332" spans="7:7">
      <c r="G29332" s="812"/>
    </row>
    <row r="29333" spans="7:7">
      <c r="G29333" s="812"/>
    </row>
    <row r="29334" spans="7:7">
      <c r="G29334" s="812"/>
    </row>
    <row r="29335" spans="7:7">
      <c r="G29335" s="812"/>
    </row>
    <row r="29336" spans="7:7">
      <c r="G29336" s="812"/>
    </row>
    <row r="29337" spans="7:7">
      <c r="G29337" s="812"/>
    </row>
    <row r="29338" spans="7:7">
      <c r="G29338" s="812"/>
    </row>
    <row r="29339" spans="7:7">
      <c r="G29339" s="812"/>
    </row>
    <row r="29340" spans="7:7">
      <c r="G29340" s="812"/>
    </row>
    <row r="29341" spans="7:7">
      <c r="G29341" s="812"/>
    </row>
    <row r="29342" spans="7:7">
      <c r="G29342" s="812"/>
    </row>
    <row r="29343" spans="7:7">
      <c r="G29343" s="812"/>
    </row>
    <row r="29344" spans="7:7">
      <c r="G29344" s="812"/>
    </row>
    <row r="29345" spans="7:7">
      <c r="G29345" s="812"/>
    </row>
    <row r="29346" spans="7:7">
      <c r="G29346" s="812"/>
    </row>
    <row r="29347" spans="7:7">
      <c r="G29347" s="812"/>
    </row>
    <row r="29348" spans="7:7">
      <c r="G29348" s="812"/>
    </row>
    <row r="29349" spans="7:7">
      <c r="G29349" s="812"/>
    </row>
    <row r="29350" spans="7:7">
      <c r="G29350" s="812"/>
    </row>
    <row r="29351" spans="7:7">
      <c r="G29351" s="812"/>
    </row>
    <row r="29352" spans="7:7">
      <c r="G29352" s="812"/>
    </row>
    <row r="29353" spans="7:7">
      <c r="G29353" s="812"/>
    </row>
    <row r="29354" spans="7:7">
      <c r="G29354" s="812"/>
    </row>
    <row r="29355" spans="7:7">
      <c r="G29355" s="812"/>
    </row>
    <row r="29356" spans="7:7">
      <c r="G29356" s="812"/>
    </row>
    <row r="29357" spans="7:7">
      <c r="G29357" s="812"/>
    </row>
    <row r="29358" spans="7:7">
      <c r="G29358" s="812"/>
    </row>
    <row r="29359" spans="7:7">
      <c r="G29359" s="812"/>
    </row>
    <row r="29360" spans="7:7">
      <c r="G29360" s="812"/>
    </row>
    <row r="29361" spans="7:7">
      <c r="G29361" s="812"/>
    </row>
    <row r="29362" spans="7:7">
      <c r="G29362" s="812"/>
    </row>
    <row r="29363" spans="7:7">
      <c r="G29363" s="812"/>
    </row>
    <row r="29364" spans="7:7">
      <c r="G29364" s="812"/>
    </row>
    <row r="29365" spans="7:7">
      <c r="G29365" s="812"/>
    </row>
    <row r="29366" spans="7:7">
      <c r="G29366" s="812"/>
    </row>
    <row r="29367" spans="7:7">
      <c r="G29367" s="812"/>
    </row>
    <row r="29368" spans="7:7">
      <c r="G29368" s="812"/>
    </row>
    <row r="29369" spans="7:7">
      <c r="G29369" s="812"/>
    </row>
    <row r="29370" spans="7:7">
      <c r="G29370" s="812"/>
    </row>
    <row r="29371" spans="7:7">
      <c r="G29371" s="812"/>
    </row>
    <row r="29372" spans="7:7">
      <c r="G29372" s="812"/>
    </row>
    <row r="29373" spans="7:7">
      <c r="G29373" s="812"/>
    </row>
    <row r="29374" spans="7:7">
      <c r="G29374" s="812"/>
    </row>
    <row r="29375" spans="7:7">
      <c r="G29375" s="812"/>
    </row>
    <row r="29376" spans="7:7">
      <c r="G29376" s="812"/>
    </row>
    <row r="29377" spans="7:7">
      <c r="G29377" s="812"/>
    </row>
    <row r="29378" spans="7:7">
      <c r="G29378" s="812"/>
    </row>
    <row r="29379" spans="7:7">
      <c r="G29379" s="812"/>
    </row>
    <row r="29380" spans="7:7">
      <c r="G29380" s="812"/>
    </row>
    <row r="29381" spans="7:7">
      <c r="G29381" s="812"/>
    </row>
    <row r="29382" spans="7:7">
      <c r="G29382" s="812"/>
    </row>
    <row r="29383" spans="7:7">
      <c r="G29383" s="812"/>
    </row>
    <row r="29384" spans="7:7">
      <c r="G29384" s="812"/>
    </row>
    <row r="29385" spans="7:7">
      <c r="G29385" s="812"/>
    </row>
    <row r="29386" spans="7:7">
      <c r="G29386" s="812"/>
    </row>
    <row r="29387" spans="7:7">
      <c r="G29387" s="812"/>
    </row>
    <row r="29388" spans="7:7">
      <c r="G29388" s="812"/>
    </row>
    <row r="29389" spans="7:7">
      <c r="G29389" s="812"/>
    </row>
    <row r="29390" spans="7:7">
      <c r="G29390" s="812"/>
    </row>
    <row r="29391" spans="7:7">
      <c r="G29391" s="812"/>
    </row>
    <row r="29392" spans="7:7">
      <c r="G29392" s="812"/>
    </row>
    <row r="29393" spans="7:7">
      <c r="G29393" s="812"/>
    </row>
    <row r="29394" spans="7:7">
      <c r="G29394" s="812"/>
    </row>
    <row r="29395" spans="7:7">
      <c r="G29395" s="812"/>
    </row>
    <row r="29396" spans="7:7">
      <c r="G29396" s="812"/>
    </row>
    <row r="29397" spans="7:7">
      <c r="G29397" s="812"/>
    </row>
    <row r="29398" spans="7:7">
      <c r="G29398" s="812"/>
    </row>
    <row r="29399" spans="7:7">
      <c r="G29399" s="812"/>
    </row>
    <row r="29400" spans="7:7">
      <c r="G29400" s="812"/>
    </row>
    <row r="29401" spans="7:7">
      <c r="G29401" s="812"/>
    </row>
    <row r="29402" spans="7:7">
      <c r="G29402" s="812"/>
    </row>
    <row r="29403" spans="7:7">
      <c r="G29403" s="812"/>
    </row>
    <row r="29404" spans="7:7">
      <c r="G29404" s="812"/>
    </row>
    <row r="29405" spans="7:7">
      <c r="G29405" s="812"/>
    </row>
    <row r="29406" spans="7:7">
      <c r="G29406" s="812"/>
    </row>
    <row r="29407" spans="7:7">
      <c r="G29407" s="812"/>
    </row>
    <row r="29408" spans="7:7">
      <c r="G29408" s="812"/>
    </row>
    <row r="29409" spans="7:7">
      <c r="G29409" s="812"/>
    </row>
    <row r="29410" spans="7:7">
      <c r="G29410" s="812"/>
    </row>
    <row r="29411" spans="7:7">
      <c r="G29411" s="812"/>
    </row>
    <row r="29412" spans="7:7">
      <c r="G29412" s="812"/>
    </row>
    <row r="29413" spans="7:7">
      <c r="G29413" s="812"/>
    </row>
    <row r="29414" spans="7:7">
      <c r="G29414" s="812"/>
    </row>
    <row r="29415" spans="7:7">
      <c r="G29415" s="812"/>
    </row>
    <row r="29416" spans="7:7">
      <c r="G29416" s="812"/>
    </row>
    <row r="29417" spans="7:7">
      <c r="G29417" s="812"/>
    </row>
    <row r="29418" spans="7:7">
      <c r="G29418" s="812"/>
    </row>
    <row r="29419" spans="7:7">
      <c r="G29419" s="812"/>
    </row>
    <row r="29420" spans="7:7">
      <c r="G29420" s="812"/>
    </row>
    <row r="29421" spans="7:7">
      <c r="G29421" s="812"/>
    </row>
    <row r="29422" spans="7:7">
      <c r="G29422" s="812"/>
    </row>
    <row r="29423" spans="7:7">
      <c r="G29423" s="812"/>
    </row>
    <row r="29424" spans="7:7">
      <c r="G29424" s="812"/>
    </row>
    <row r="29425" spans="7:7">
      <c r="G29425" s="812"/>
    </row>
    <row r="29426" spans="7:7">
      <c r="G29426" s="812"/>
    </row>
    <row r="29427" spans="7:7">
      <c r="G29427" s="812"/>
    </row>
    <row r="29428" spans="7:7">
      <c r="G29428" s="812"/>
    </row>
    <row r="29429" spans="7:7">
      <c r="G29429" s="812"/>
    </row>
    <row r="29430" spans="7:7">
      <c r="G29430" s="812"/>
    </row>
    <row r="29431" spans="7:7">
      <c r="G29431" s="812"/>
    </row>
    <row r="29432" spans="7:7">
      <c r="G29432" s="812"/>
    </row>
    <row r="29433" spans="7:7">
      <c r="G29433" s="812"/>
    </row>
    <row r="29434" spans="7:7">
      <c r="G29434" s="812"/>
    </row>
    <row r="29435" spans="7:7">
      <c r="G29435" s="812"/>
    </row>
    <row r="29436" spans="7:7">
      <c r="G29436" s="812"/>
    </row>
    <row r="29437" spans="7:7">
      <c r="G29437" s="812"/>
    </row>
    <row r="29438" spans="7:7">
      <c r="G29438" s="812"/>
    </row>
    <row r="29439" spans="7:7">
      <c r="G29439" s="812"/>
    </row>
    <row r="29440" spans="7:7">
      <c r="G29440" s="812"/>
    </row>
    <row r="29441" spans="7:7">
      <c r="G29441" s="812"/>
    </row>
    <row r="29442" spans="7:7">
      <c r="G29442" s="812"/>
    </row>
    <row r="29443" spans="7:7">
      <c r="G29443" s="812"/>
    </row>
    <row r="29444" spans="7:7">
      <c r="G29444" s="812"/>
    </row>
    <row r="29445" spans="7:7">
      <c r="G29445" s="812"/>
    </row>
    <row r="29446" spans="7:7">
      <c r="G29446" s="812"/>
    </row>
    <row r="29447" spans="7:7">
      <c r="G29447" s="812"/>
    </row>
    <row r="29448" spans="7:7">
      <c r="G29448" s="812"/>
    </row>
    <row r="29449" spans="7:7">
      <c r="G29449" s="812"/>
    </row>
    <row r="29450" spans="7:7">
      <c r="G29450" s="812"/>
    </row>
    <row r="29451" spans="7:7">
      <c r="G29451" s="812"/>
    </row>
    <row r="29452" spans="7:7">
      <c r="G29452" s="812"/>
    </row>
    <row r="29453" spans="7:7">
      <c r="G29453" s="812"/>
    </row>
    <row r="29454" spans="7:7">
      <c r="G29454" s="812"/>
    </row>
    <row r="29455" spans="7:7">
      <c r="G29455" s="812"/>
    </row>
    <row r="29456" spans="7:7">
      <c r="G29456" s="812"/>
    </row>
    <row r="29457" spans="7:7">
      <c r="G29457" s="812"/>
    </row>
    <row r="29458" spans="7:7">
      <c r="G29458" s="812"/>
    </row>
    <row r="29459" spans="7:7">
      <c r="G29459" s="812"/>
    </row>
    <row r="29460" spans="7:7">
      <c r="G29460" s="812"/>
    </row>
    <row r="29461" spans="7:7">
      <c r="G29461" s="812"/>
    </row>
    <row r="29462" spans="7:7">
      <c r="G29462" s="812"/>
    </row>
    <row r="29463" spans="7:7">
      <c r="G29463" s="812"/>
    </row>
    <row r="29464" spans="7:7">
      <c r="G29464" s="812"/>
    </row>
    <row r="29465" spans="7:7">
      <c r="G29465" s="812"/>
    </row>
    <row r="29466" spans="7:7">
      <c r="G29466" s="812"/>
    </row>
    <row r="29467" spans="7:7">
      <c r="G29467" s="812"/>
    </row>
    <row r="29468" spans="7:7">
      <c r="G29468" s="812"/>
    </row>
    <row r="29469" spans="7:7">
      <c r="G29469" s="812"/>
    </row>
    <row r="29470" spans="7:7">
      <c r="G29470" s="812"/>
    </row>
    <row r="29471" spans="7:7">
      <c r="G29471" s="812"/>
    </row>
    <row r="29472" spans="7:7">
      <c r="G29472" s="812"/>
    </row>
    <row r="29473" spans="7:7">
      <c r="G29473" s="812"/>
    </row>
    <row r="29474" spans="7:7">
      <c r="G29474" s="812"/>
    </row>
    <row r="29475" spans="7:7">
      <c r="G29475" s="812"/>
    </row>
    <row r="29476" spans="7:7">
      <c r="G29476" s="812"/>
    </row>
    <row r="29477" spans="7:7">
      <c r="G29477" s="812"/>
    </row>
    <row r="29478" spans="7:7">
      <c r="G29478" s="812"/>
    </row>
    <row r="29479" spans="7:7">
      <c r="G29479" s="812"/>
    </row>
    <row r="29480" spans="7:7">
      <c r="G29480" s="812"/>
    </row>
    <row r="29481" spans="7:7">
      <c r="G29481" s="812"/>
    </row>
    <row r="29482" spans="7:7">
      <c r="G29482" s="812"/>
    </row>
    <row r="29483" spans="7:7">
      <c r="G29483" s="812"/>
    </row>
    <row r="29484" spans="7:7">
      <c r="G29484" s="812"/>
    </row>
    <row r="29485" spans="7:7">
      <c r="G29485" s="812"/>
    </row>
    <row r="29486" spans="7:7">
      <c r="G29486" s="812"/>
    </row>
    <row r="29487" spans="7:7">
      <c r="G29487" s="812"/>
    </row>
    <row r="29488" spans="7:7">
      <c r="G29488" s="812"/>
    </row>
    <row r="29489" spans="7:7">
      <c r="G29489" s="812"/>
    </row>
    <row r="29490" spans="7:7">
      <c r="G29490" s="812"/>
    </row>
    <row r="29491" spans="7:7">
      <c r="G29491" s="812"/>
    </row>
    <row r="29492" spans="7:7">
      <c r="G29492" s="812"/>
    </row>
    <row r="29493" spans="7:7">
      <c r="G29493" s="812"/>
    </row>
    <row r="29494" spans="7:7">
      <c r="G29494" s="812"/>
    </row>
    <row r="29495" spans="7:7">
      <c r="G29495" s="812"/>
    </row>
    <row r="29496" spans="7:7">
      <c r="G29496" s="812"/>
    </row>
    <row r="29497" spans="7:7">
      <c r="G29497" s="812"/>
    </row>
    <row r="29498" spans="7:7">
      <c r="G29498" s="812"/>
    </row>
    <row r="29499" spans="7:7">
      <c r="G29499" s="812"/>
    </row>
    <row r="29500" spans="7:7">
      <c r="G29500" s="812"/>
    </row>
    <row r="29501" spans="7:7">
      <c r="G29501" s="812"/>
    </row>
    <row r="29502" spans="7:7">
      <c r="G29502" s="812"/>
    </row>
    <row r="29503" spans="7:7">
      <c r="G29503" s="812"/>
    </row>
    <row r="29504" spans="7:7">
      <c r="G29504" s="812"/>
    </row>
    <row r="29505" spans="7:7">
      <c r="G29505" s="812"/>
    </row>
    <row r="29506" spans="7:7">
      <c r="G29506" s="812"/>
    </row>
    <row r="29507" spans="7:7">
      <c r="G29507" s="812"/>
    </row>
    <row r="29508" spans="7:7">
      <c r="G29508" s="812"/>
    </row>
    <row r="29509" spans="7:7">
      <c r="G29509" s="812"/>
    </row>
    <row r="29510" spans="7:7">
      <c r="G29510" s="812"/>
    </row>
    <row r="29511" spans="7:7">
      <c r="G29511" s="812"/>
    </row>
    <row r="29512" spans="7:7">
      <c r="G29512" s="812"/>
    </row>
    <row r="29513" spans="7:7">
      <c r="G29513" s="812"/>
    </row>
    <row r="29514" spans="7:7">
      <c r="G29514" s="812"/>
    </row>
    <row r="29515" spans="7:7">
      <c r="G29515" s="812"/>
    </row>
    <row r="29516" spans="7:7">
      <c r="G29516" s="812"/>
    </row>
    <row r="29517" spans="7:7">
      <c r="G29517" s="812"/>
    </row>
    <row r="29518" spans="7:7">
      <c r="G29518" s="812"/>
    </row>
    <row r="29519" spans="7:7">
      <c r="G29519" s="812"/>
    </row>
    <row r="29520" spans="7:7">
      <c r="G29520" s="812"/>
    </row>
    <row r="29521" spans="7:7">
      <c r="G29521" s="812"/>
    </row>
    <row r="29522" spans="7:7">
      <c r="G29522" s="812"/>
    </row>
    <row r="29523" spans="7:7">
      <c r="G29523" s="812"/>
    </row>
    <row r="29524" spans="7:7">
      <c r="G29524" s="812"/>
    </row>
    <row r="29525" spans="7:7">
      <c r="G29525" s="812"/>
    </row>
    <row r="29526" spans="7:7">
      <c r="G29526" s="812"/>
    </row>
    <row r="29527" spans="7:7">
      <c r="G29527" s="812"/>
    </row>
    <row r="29528" spans="7:7">
      <c r="G29528" s="812"/>
    </row>
    <row r="29529" spans="7:7">
      <c r="G29529" s="812"/>
    </row>
    <row r="29530" spans="7:7">
      <c r="G29530" s="812"/>
    </row>
    <row r="29531" spans="7:7">
      <c r="G29531" s="812"/>
    </row>
    <row r="29532" spans="7:7">
      <c r="G29532" s="812"/>
    </row>
    <row r="29533" spans="7:7">
      <c r="G29533" s="812"/>
    </row>
    <row r="29534" spans="7:7">
      <c r="G29534" s="812"/>
    </row>
    <row r="29535" spans="7:7">
      <c r="G29535" s="812"/>
    </row>
    <row r="29536" spans="7:7">
      <c r="G29536" s="812"/>
    </row>
    <row r="29537" spans="7:7">
      <c r="G29537" s="812"/>
    </row>
    <row r="29538" spans="7:7">
      <c r="G29538" s="812"/>
    </row>
    <row r="29539" spans="7:7">
      <c r="G29539" s="812"/>
    </row>
    <row r="29540" spans="7:7">
      <c r="G29540" s="812"/>
    </row>
    <row r="29541" spans="7:7">
      <c r="G29541" s="812"/>
    </row>
    <row r="29542" spans="7:7">
      <c r="G29542" s="812"/>
    </row>
    <row r="29543" spans="7:7">
      <c r="G29543" s="812"/>
    </row>
    <row r="29544" spans="7:7">
      <c r="G29544" s="812"/>
    </row>
    <row r="29545" spans="7:7">
      <c r="G29545" s="812"/>
    </row>
    <row r="29546" spans="7:7">
      <c r="G29546" s="812"/>
    </row>
    <row r="29547" spans="7:7">
      <c r="G29547" s="812"/>
    </row>
    <row r="29548" spans="7:7">
      <c r="G29548" s="812"/>
    </row>
    <row r="29549" spans="7:7">
      <c r="G29549" s="812"/>
    </row>
    <row r="29550" spans="7:7">
      <c r="G29550" s="812"/>
    </row>
    <row r="29551" spans="7:7">
      <c r="G29551" s="812"/>
    </row>
    <row r="29552" spans="7:7">
      <c r="G29552" s="812"/>
    </row>
    <row r="29553" spans="7:7">
      <c r="G29553" s="812"/>
    </row>
    <row r="29554" spans="7:7">
      <c r="G29554" s="812"/>
    </row>
    <row r="29555" spans="7:7">
      <c r="G29555" s="812"/>
    </row>
    <row r="29556" spans="7:7">
      <c r="G29556" s="812"/>
    </row>
    <row r="29557" spans="7:7">
      <c r="G29557" s="812"/>
    </row>
    <row r="29558" spans="7:7">
      <c r="G29558" s="812"/>
    </row>
    <row r="29559" spans="7:7">
      <c r="G29559" s="812"/>
    </row>
    <row r="29560" spans="7:7">
      <c r="G29560" s="812"/>
    </row>
    <row r="29561" spans="7:7">
      <c r="G29561" s="812"/>
    </row>
    <row r="29562" spans="7:7">
      <c r="G29562" s="812"/>
    </row>
    <row r="29563" spans="7:7">
      <c r="G29563" s="812"/>
    </row>
    <row r="29564" spans="7:7">
      <c r="G29564" s="812"/>
    </row>
    <row r="29565" spans="7:7">
      <c r="G29565" s="812"/>
    </row>
    <row r="29566" spans="7:7">
      <c r="G29566" s="812"/>
    </row>
    <row r="29567" spans="7:7">
      <c r="G29567" s="812"/>
    </row>
    <row r="29568" spans="7:7">
      <c r="G29568" s="812"/>
    </row>
    <row r="29569" spans="7:7">
      <c r="G29569" s="812"/>
    </row>
    <row r="29570" spans="7:7">
      <c r="G29570" s="812"/>
    </row>
    <row r="29571" spans="7:7">
      <c r="G29571" s="812"/>
    </row>
    <row r="29572" spans="7:7">
      <c r="G29572" s="812"/>
    </row>
    <row r="29573" spans="7:7">
      <c r="G29573" s="812"/>
    </row>
    <row r="29574" spans="7:7">
      <c r="G29574" s="812"/>
    </row>
    <row r="29575" spans="7:7">
      <c r="G29575" s="812"/>
    </row>
    <row r="29576" spans="7:7">
      <c r="G29576" s="812"/>
    </row>
    <row r="29577" spans="7:7">
      <c r="G29577" s="812"/>
    </row>
    <row r="29578" spans="7:7">
      <c r="G29578" s="812"/>
    </row>
    <row r="29579" spans="7:7">
      <c r="G29579" s="812"/>
    </row>
    <row r="29580" spans="7:7">
      <c r="G29580" s="812"/>
    </row>
    <row r="29581" spans="7:7">
      <c r="G29581" s="812"/>
    </row>
    <row r="29582" spans="7:7">
      <c r="G29582" s="812"/>
    </row>
    <row r="29583" spans="7:7">
      <c r="G29583" s="812"/>
    </row>
    <row r="29584" spans="7:7">
      <c r="G29584" s="812"/>
    </row>
    <row r="29585" spans="7:7">
      <c r="G29585" s="812"/>
    </row>
    <row r="29586" spans="7:7">
      <c r="G29586" s="812"/>
    </row>
    <row r="29587" spans="7:7">
      <c r="G29587" s="812"/>
    </row>
    <row r="29588" spans="7:7">
      <c r="G29588" s="812"/>
    </row>
    <row r="29589" spans="7:7">
      <c r="G29589" s="812"/>
    </row>
    <row r="29590" spans="7:7">
      <c r="G29590" s="812"/>
    </row>
    <row r="29591" spans="7:7">
      <c r="G29591" s="812"/>
    </row>
    <row r="29592" spans="7:7">
      <c r="G29592" s="812"/>
    </row>
    <row r="29593" spans="7:7">
      <c r="G29593" s="812"/>
    </row>
    <row r="29594" spans="7:7">
      <c r="G29594" s="812"/>
    </row>
    <row r="29595" spans="7:7">
      <c r="G29595" s="812"/>
    </row>
    <row r="29596" spans="7:7">
      <c r="G29596" s="812"/>
    </row>
    <row r="29597" spans="7:7">
      <c r="G29597" s="812"/>
    </row>
    <row r="29598" spans="7:7">
      <c r="G29598" s="812"/>
    </row>
    <row r="29599" spans="7:7">
      <c r="G29599" s="812"/>
    </row>
    <row r="29600" spans="7:7">
      <c r="G29600" s="812"/>
    </row>
    <row r="29601" spans="7:7">
      <c r="G29601" s="812"/>
    </row>
    <row r="29602" spans="7:7">
      <c r="G29602" s="812"/>
    </row>
    <row r="29603" spans="7:7">
      <c r="G29603" s="812"/>
    </row>
    <row r="29604" spans="7:7">
      <c r="G29604" s="812"/>
    </row>
    <row r="29605" spans="7:7">
      <c r="G29605" s="812"/>
    </row>
    <row r="29606" spans="7:7">
      <c r="G29606" s="812"/>
    </row>
    <row r="29607" spans="7:7">
      <c r="G29607" s="812"/>
    </row>
    <row r="29608" spans="7:7">
      <c r="G29608" s="812"/>
    </row>
    <row r="29609" spans="7:7">
      <c r="G29609" s="812"/>
    </row>
    <row r="29610" spans="7:7">
      <c r="G29610" s="812"/>
    </row>
    <row r="29611" spans="7:7">
      <c r="G29611" s="812"/>
    </row>
    <row r="29612" spans="7:7">
      <c r="G29612" s="812"/>
    </row>
    <row r="29613" spans="7:7">
      <c r="G29613" s="812"/>
    </row>
    <row r="29614" spans="7:7">
      <c r="G29614" s="812"/>
    </row>
    <row r="29615" spans="7:7">
      <c r="G29615" s="812"/>
    </row>
    <row r="29616" spans="7:7">
      <c r="G29616" s="812"/>
    </row>
    <row r="29617" spans="7:7">
      <c r="G29617" s="812"/>
    </row>
    <row r="29618" spans="7:7">
      <c r="G29618" s="812"/>
    </row>
    <row r="29619" spans="7:7">
      <c r="G29619" s="812"/>
    </row>
    <row r="29620" spans="7:7">
      <c r="G29620" s="812"/>
    </row>
    <row r="29621" spans="7:7">
      <c r="G29621" s="812"/>
    </row>
    <row r="29622" spans="7:7">
      <c r="G29622" s="812"/>
    </row>
    <row r="29623" spans="7:7">
      <c r="G29623" s="812"/>
    </row>
    <row r="29624" spans="7:7">
      <c r="G29624" s="812"/>
    </row>
    <row r="29625" spans="7:7">
      <c r="G29625" s="812"/>
    </row>
    <row r="29626" spans="7:7">
      <c r="G29626" s="812"/>
    </row>
    <row r="29627" spans="7:7">
      <c r="G29627" s="812"/>
    </row>
    <row r="29628" spans="7:7">
      <c r="G29628" s="812"/>
    </row>
    <row r="29629" spans="7:7">
      <c r="G29629" s="812"/>
    </row>
    <row r="29630" spans="7:7">
      <c r="G29630" s="812"/>
    </row>
    <row r="29631" spans="7:7">
      <c r="G29631" s="812"/>
    </row>
    <row r="29632" spans="7:7">
      <c r="G29632" s="812"/>
    </row>
    <row r="29633" spans="7:7">
      <c r="G29633" s="812"/>
    </row>
    <row r="29634" spans="7:7">
      <c r="G29634" s="812"/>
    </row>
    <row r="29635" spans="7:7">
      <c r="G29635" s="812"/>
    </row>
    <row r="29636" spans="7:7">
      <c r="G29636" s="812"/>
    </row>
    <row r="29637" spans="7:7">
      <c r="G29637" s="812"/>
    </row>
    <row r="29638" spans="7:7">
      <c r="G29638" s="812"/>
    </row>
    <row r="29639" spans="7:7">
      <c r="G29639" s="812"/>
    </row>
    <row r="29640" spans="7:7">
      <c r="G29640" s="812"/>
    </row>
    <row r="29641" spans="7:7">
      <c r="G29641" s="812"/>
    </row>
    <row r="29642" spans="7:7">
      <c r="G29642" s="812"/>
    </row>
    <row r="29643" spans="7:7">
      <c r="G29643" s="812"/>
    </row>
    <row r="29644" spans="7:7">
      <c r="G29644" s="812"/>
    </row>
    <row r="29645" spans="7:7">
      <c r="G29645" s="812"/>
    </row>
    <row r="29646" spans="7:7">
      <c r="G29646" s="812"/>
    </row>
    <row r="29647" spans="7:7">
      <c r="G29647" s="812"/>
    </row>
    <row r="29648" spans="7:7">
      <c r="G29648" s="812"/>
    </row>
    <row r="29649" spans="7:7">
      <c r="G29649" s="812"/>
    </row>
    <row r="29650" spans="7:7">
      <c r="G29650" s="812"/>
    </row>
    <row r="29651" spans="7:7">
      <c r="G29651" s="812"/>
    </row>
    <row r="29652" spans="7:7">
      <c r="G29652" s="812"/>
    </row>
    <row r="29653" spans="7:7">
      <c r="G29653" s="812"/>
    </row>
    <row r="29654" spans="7:7">
      <c r="G29654" s="812"/>
    </row>
    <row r="29655" spans="7:7">
      <c r="G29655" s="812"/>
    </row>
    <row r="29656" spans="7:7">
      <c r="G29656" s="812"/>
    </row>
    <row r="29657" spans="7:7">
      <c r="G29657" s="812"/>
    </row>
    <row r="29658" spans="7:7">
      <c r="G29658" s="812"/>
    </row>
    <row r="29659" spans="7:7">
      <c r="G29659" s="812"/>
    </row>
    <row r="29660" spans="7:7">
      <c r="G29660" s="812"/>
    </row>
    <row r="29661" spans="7:7">
      <c r="G29661" s="812"/>
    </row>
    <row r="29662" spans="7:7">
      <c r="G29662" s="812"/>
    </row>
    <row r="29663" spans="7:7">
      <c r="G29663" s="812"/>
    </row>
    <row r="29664" spans="7:7">
      <c r="G29664" s="812"/>
    </row>
    <row r="29665" spans="7:7">
      <c r="G29665" s="812"/>
    </row>
    <row r="29666" spans="7:7">
      <c r="G29666" s="812"/>
    </row>
    <row r="29667" spans="7:7">
      <c r="G29667" s="812"/>
    </row>
    <row r="29668" spans="7:7">
      <c r="G29668" s="812"/>
    </row>
    <row r="29669" spans="7:7">
      <c r="G29669" s="812"/>
    </row>
    <row r="29670" spans="7:7">
      <c r="G29670" s="812"/>
    </row>
    <row r="29671" spans="7:7">
      <c r="G29671" s="812"/>
    </row>
    <row r="29672" spans="7:7">
      <c r="G29672" s="812"/>
    </row>
    <row r="29673" spans="7:7">
      <c r="G29673" s="812"/>
    </row>
    <row r="29674" spans="7:7">
      <c r="G29674" s="812"/>
    </row>
    <row r="29675" spans="7:7">
      <c r="G29675" s="812"/>
    </row>
    <row r="29676" spans="7:7">
      <c r="G29676" s="812"/>
    </row>
    <row r="29677" spans="7:7">
      <c r="G29677" s="812"/>
    </row>
    <row r="29678" spans="7:7">
      <c r="G29678" s="812"/>
    </row>
    <row r="29679" spans="7:7">
      <c r="G29679" s="812"/>
    </row>
    <row r="29680" spans="7:7">
      <c r="G29680" s="812"/>
    </row>
    <row r="29681" spans="7:7">
      <c r="G29681" s="812"/>
    </row>
    <row r="29682" spans="7:7">
      <c r="G29682" s="812"/>
    </row>
    <row r="29683" spans="7:7">
      <c r="G29683" s="812"/>
    </row>
    <row r="29684" spans="7:7">
      <c r="G29684" s="812"/>
    </row>
    <row r="29685" spans="7:7">
      <c r="G29685" s="812"/>
    </row>
    <row r="29686" spans="7:7">
      <c r="G29686" s="812"/>
    </row>
    <row r="29687" spans="7:7">
      <c r="G29687" s="812"/>
    </row>
    <row r="29688" spans="7:7">
      <c r="G29688" s="812"/>
    </row>
    <row r="29689" spans="7:7">
      <c r="G29689" s="812"/>
    </row>
    <row r="29690" spans="7:7">
      <c r="G29690" s="812"/>
    </row>
    <row r="29691" spans="7:7">
      <c r="G29691" s="812"/>
    </row>
    <row r="29692" spans="7:7">
      <c r="G29692" s="812"/>
    </row>
    <row r="29693" spans="7:7">
      <c r="G29693" s="812"/>
    </row>
    <row r="29694" spans="7:7">
      <c r="G29694" s="812"/>
    </row>
    <row r="29695" spans="7:7">
      <c r="G29695" s="812"/>
    </row>
    <row r="29696" spans="7:7">
      <c r="G29696" s="812"/>
    </row>
    <row r="29697" spans="7:7">
      <c r="G29697" s="812"/>
    </row>
    <row r="29698" spans="7:7">
      <c r="G29698" s="812"/>
    </row>
    <row r="29699" spans="7:7">
      <c r="G29699" s="812"/>
    </row>
    <row r="29700" spans="7:7">
      <c r="G29700" s="812"/>
    </row>
    <row r="29701" spans="7:7">
      <c r="G29701" s="812"/>
    </row>
    <row r="29702" spans="7:7">
      <c r="G29702" s="812"/>
    </row>
    <row r="29703" spans="7:7">
      <c r="G29703" s="812"/>
    </row>
    <row r="29704" spans="7:7">
      <c r="G29704" s="812"/>
    </row>
    <row r="29705" spans="7:7">
      <c r="G29705" s="812"/>
    </row>
    <row r="29706" spans="7:7">
      <c r="G29706" s="812"/>
    </row>
    <row r="29707" spans="7:7">
      <c r="G29707" s="812"/>
    </row>
    <row r="29708" spans="7:7">
      <c r="G29708" s="812"/>
    </row>
    <row r="29709" spans="7:7">
      <c r="G29709" s="812"/>
    </row>
    <row r="29710" spans="7:7">
      <c r="G29710" s="812"/>
    </row>
    <row r="29711" spans="7:7">
      <c r="G29711" s="812"/>
    </row>
    <row r="29712" spans="7:7">
      <c r="G29712" s="812"/>
    </row>
    <row r="29713" spans="7:7">
      <c r="G29713" s="812"/>
    </row>
    <row r="29714" spans="7:7">
      <c r="G29714" s="812"/>
    </row>
    <row r="29715" spans="7:7">
      <c r="G29715" s="812"/>
    </row>
    <row r="29716" spans="7:7">
      <c r="G29716" s="812"/>
    </row>
    <row r="29717" spans="7:7">
      <c r="G29717" s="812"/>
    </row>
    <row r="29718" spans="7:7">
      <c r="G29718" s="812"/>
    </row>
    <row r="29719" spans="7:7">
      <c r="G29719" s="812"/>
    </row>
    <row r="29720" spans="7:7">
      <c r="G29720" s="812"/>
    </row>
    <row r="29721" spans="7:7">
      <c r="G29721" s="812"/>
    </row>
    <row r="29722" spans="7:7">
      <c r="G29722" s="812"/>
    </row>
    <row r="29723" spans="7:7">
      <c r="G29723" s="812"/>
    </row>
    <row r="29724" spans="7:7">
      <c r="G29724" s="812"/>
    </row>
    <row r="29725" spans="7:7">
      <c r="G29725" s="812"/>
    </row>
    <row r="29726" spans="7:7">
      <c r="G29726" s="812"/>
    </row>
    <row r="29727" spans="7:7">
      <c r="G29727" s="812"/>
    </row>
    <row r="29728" spans="7:7">
      <c r="G29728" s="812"/>
    </row>
    <row r="29729" spans="7:7">
      <c r="G29729" s="812"/>
    </row>
    <row r="29730" spans="7:7">
      <c r="G29730" s="812"/>
    </row>
    <row r="29731" spans="7:7">
      <c r="G29731" s="812"/>
    </row>
    <row r="29732" spans="7:7">
      <c r="G29732" s="812"/>
    </row>
    <row r="29733" spans="7:7">
      <c r="G29733" s="812"/>
    </row>
    <row r="29734" spans="7:7">
      <c r="G29734" s="812"/>
    </row>
    <row r="29735" spans="7:7">
      <c r="G29735" s="812"/>
    </row>
    <row r="29736" spans="7:7">
      <c r="G29736" s="812"/>
    </row>
    <row r="29737" spans="7:7">
      <c r="G29737" s="812"/>
    </row>
    <row r="29738" spans="7:7">
      <c r="G29738" s="812"/>
    </row>
    <row r="29739" spans="7:7">
      <c r="G29739" s="812"/>
    </row>
    <row r="29740" spans="7:7">
      <c r="G29740" s="812"/>
    </row>
    <row r="29741" spans="7:7">
      <c r="G29741" s="812"/>
    </row>
    <row r="29742" spans="7:7">
      <c r="G29742" s="812"/>
    </row>
    <row r="29743" spans="7:7">
      <c r="G29743" s="812"/>
    </row>
    <row r="29744" spans="7:7">
      <c r="G29744" s="812"/>
    </row>
    <row r="29745" spans="7:7">
      <c r="G29745" s="812"/>
    </row>
    <row r="29746" spans="7:7">
      <c r="G29746" s="812"/>
    </row>
    <row r="29747" spans="7:7">
      <c r="G29747" s="812"/>
    </row>
    <row r="29748" spans="7:7">
      <c r="G29748" s="812"/>
    </row>
    <row r="29749" spans="7:7">
      <c r="G29749" s="812"/>
    </row>
    <row r="29750" spans="7:7">
      <c r="G29750" s="812"/>
    </row>
    <row r="29751" spans="7:7">
      <c r="G29751" s="812"/>
    </row>
    <row r="29752" spans="7:7">
      <c r="G29752" s="812"/>
    </row>
    <row r="29753" spans="7:7">
      <c r="G29753" s="812"/>
    </row>
    <row r="29754" spans="7:7">
      <c r="G29754" s="812"/>
    </row>
    <row r="29755" spans="7:7">
      <c r="G29755" s="812"/>
    </row>
    <row r="29756" spans="7:7">
      <c r="G29756" s="812"/>
    </row>
    <row r="29757" spans="7:7">
      <c r="G29757" s="812"/>
    </row>
    <row r="29758" spans="7:7">
      <c r="G29758" s="812"/>
    </row>
    <row r="29759" spans="7:7">
      <c r="G29759" s="812"/>
    </row>
    <row r="29760" spans="7:7">
      <c r="G29760" s="812"/>
    </row>
    <row r="29761" spans="7:7">
      <c r="G29761" s="812"/>
    </row>
    <row r="29762" spans="7:7">
      <c r="G29762" s="812"/>
    </row>
    <row r="29763" spans="7:7">
      <c r="G29763" s="812"/>
    </row>
    <row r="29764" spans="7:7">
      <c r="G29764" s="812"/>
    </row>
    <row r="29765" spans="7:7">
      <c r="G29765" s="812"/>
    </row>
    <row r="29766" spans="7:7">
      <c r="G29766" s="812"/>
    </row>
    <row r="29767" spans="7:7">
      <c r="G29767" s="812"/>
    </row>
    <row r="29768" spans="7:7">
      <c r="G29768" s="812"/>
    </row>
    <row r="29769" spans="7:7">
      <c r="G29769" s="812"/>
    </row>
    <row r="29770" spans="7:7">
      <c r="G29770" s="812"/>
    </row>
    <row r="29771" spans="7:7">
      <c r="G29771" s="812"/>
    </row>
    <row r="29772" spans="7:7">
      <c r="G29772" s="812"/>
    </row>
    <row r="29773" spans="7:7">
      <c r="G29773" s="812"/>
    </row>
    <row r="29774" spans="7:7">
      <c r="G29774" s="812"/>
    </row>
    <row r="29775" spans="7:7">
      <c r="G29775" s="812"/>
    </row>
    <row r="29776" spans="7:7">
      <c r="G29776" s="812"/>
    </row>
    <row r="29777" spans="7:7">
      <c r="G29777" s="812"/>
    </row>
    <row r="29778" spans="7:7">
      <c r="G29778" s="812"/>
    </row>
    <row r="29779" spans="7:7">
      <c r="G29779" s="812"/>
    </row>
    <row r="29780" spans="7:7">
      <c r="G29780" s="812"/>
    </row>
    <row r="29781" spans="7:7">
      <c r="G29781" s="812"/>
    </row>
    <row r="29782" spans="7:7">
      <c r="G29782" s="812"/>
    </row>
    <row r="29783" spans="7:7">
      <c r="G29783" s="812"/>
    </row>
    <row r="29784" spans="7:7">
      <c r="G29784" s="812"/>
    </row>
    <row r="29785" spans="7:7">
      <c r="G29785" s="812"/>
    </row>
    <row r="29786" spans="7:7">
      <c r="G29786" s="812"/>
    </row>
    <row r="29787" spans="7:7">
      <c r="G29787" s="812"/>
    </row>
    <row r="29788" spans="7:7">
      <c r="G29788" s="812"/>
    </row>
    <row r="29789" spans="7:7">
      <c r="G29789" s="812"/>
    </row>
    <row r="29790" spans="7:7">
      <c r="G29790" s="812"/>
    </row>
    <row r="29791" spans="7:7">
      <c r="G29791" s="812"/>
    </row>
    <row r="29792" spans="7:7">
      <c r="G29792" s="812"/>
    </row>
    <row r="29793" spans="7:7">
      <c r="G29793" s="812"/>
    </row>
    <row r="29794" spans="7:7">
      <c r="G29794" s="812"/>
    </row>
    <row r="29795" spans="7:7">
      <c r="G29795" s="812"/>
    </row>
    <row r="29796" spans="7:7">
      <c r="G29796" s="812"/>
    </row>
    <row r="29797" spans="7:7">
      <c r="G29797" s="812"/>
    </row>
    <row r="29798" spans="7:7">
      <c r="G29798" s="812"/>
    </row>
    <row r="29799" spans="7:7">
      <c r="G29799" s="812"/>
    </row>
    <row r="29800" spans="7:7">
      <c r="G29800" s="812"/>
    </row>
    <row r="29801" spans="7:7">
      <c r="G29801" s="812"/>
    </row>
    <row r="29802" spans="7:7">
      <c r="G29802" s="812"/>
    </row>
    <row r="29803" spans="7:7">
      <c r="G29803" s="812"/>
    </row>
    <row r="29804" spans="7:7">
      <c r="G29804" s="812"/>
    </row>
    <row r="29805" spans="7:7">
      <c r="G29805" s="812"/>
    </row>
    <row r="29806" spans="7:7">
      <c r="G29806" s="812"/>
    </row>
    <row r="29807" spans="7:7">
      <c r="G29807" s="812"/>
    </row>
    <row r="29808" spans="7:7">
      <c r="G29808" s="812"/>
    </row>
    <row r="29809" spans="7:7">
      <c r="G29809" s="812"/>
    </row>
    <row r="29810" spans="7:7">
      <c r="G29810" s="812"/>
    </row>
    <row r="29811" spans="7:7">
      <c r="G29811" s="812"/>
    </row>
    <row r="29812" spans="7:7">
      <c r="G29812" s="812"/>
    </row>
    <row r="29813" spans="7:7">
      <c r="G29813" s="812"/>
    </row>
    <row r="29814" spans="7:7">
      <c r="G29814" s="812"/>
    </row>
    <row r="29815" spans="7:7">
      <c r="G29815" s="812"/>
    </row>
    <row r="29816" spans="7:7">
      <c r="G29816" s="812"/>
    </row>
    <row r="29817" spans="7:7">
      <c r="G29817" s="812"/>
    </row>
    <row r="29818" spans="7:7">
      <c r="G29818" s="812"/>
    </row>
    <row r="29819" spans="7:7">
      <c r="G29819" s="812"/>
    </row>
    <row r="29820" spans="7:7">
      <c r="G29820" s="812"/>
    </row>
    <row r="29821" spans="7:7">
      <c r="G29821" s="812"/>
    </row>
    <row r="29822" spans="7:7">
      <c r="G29822" s="812"/>
    </row>
    <row r="29823" spans="7:7">
      <c r="G29823" s="812"/>
    </row>
    <row r="29824" spans="7:7">
      <c r="G29824" s="812"/>
    </row>
    <row r="29825" spans="7:7">
      <c r="G29825" s="812"/>
    </row>
    <row r="29826" spans="7:7">
      <c r="G29826" s="812"/>
    </row>
    <row r="29827" spans="7:7">
      <c r="G29827" s="812"/>
    </row>
    <row r="29828" spans="7:7">
      <c r="G29828" s="812"/>
    </row>
    <row r="29829" spans="7:7">
      <c r="G29829" s="812"/>
    </row>
    <row r="29830" spans="7:7">
      <c r="G29830" s="812"/>
    </row>
    <row r="29831" spans="7:7">
      <c r="G29831" s="812"/>
    </row>
    <row r="29832" spans="7:7">
      <c r="G29832" s="812"/>
    </row>
    <row r="29833" spans="7:7">
      <c r="G29833" s="812"/>
    </row>
    <row r="29834" spans="7:7">
      <c r="G29834" s="812"/>
    </row>
    <row r="29835" spans="7:7">
      <c r="G29835" s="812"/>
    </row>
    <row r="29836" spans="7:7">
      <c r="G29836" s="812"/>
    </row>
    <row r="29837" spans="7:7">
      <c r="G29837" s="812"/>
    </row>
    <row r="29838" spans="7:7">
      <c r="G29838" s="812"/>
    </row>
    <row r="29839" spans="7:7">
      <c r="G29839" s="812"/>
    </row>
    <row r="29840" spans="7:7">
      <c r="G29840" s="812"/>
    </row>
    <row r="29841" spans="7:7">
      <c r="G29841" s="812"/>
    </row>
    <row r="29842" spans="7:7">
      <c r="G29842" s="812"/>
    </row>
    <row r="29843" spans="7:7">
      <c r="G29843" s="812"/>
    </row>
    <row r="29844" spans="7:7">
      <c r="G29844" s="812"/>
    </row>
    <row r="29845" spans="7:7">
      <c r="G29845" s="812"/>
    </row>
    <row r="29846" spans="7:7">
      <c r="G29846" s="812"/>
    </row>
    <row r="29847" spans="7:7">
      <c r="G29847" s="812"/>
    </row>
    <row r="29848" spans="7:7">
      <c r="G29848" s="812"/>
    </row>
    <row r="29849" spans="7:7">
      <c r="G29849" s="812"/>
    </row>
    <row r="29850" spans="7:7">
      <c r="G29850" s="812"/>
    </row>
    <row r="29851" spans="7:7">
      <c r="G29851" s="812"/>
    </row>
    <row r="29852" spans="7:7">
      <c r="G29852" s="812"/>
    </row>
    <row r="29853" spans="7:7">
      <c r="G29853" s="812"/>
    </row>
    <row r="29854" spans="7:7">
      <c r="G29854" s="812"/>
    </row>
    <row r="29855" spans="7:7">
      <c r="G29855" s="812"/>
    </row>
    <row r="29856" spans="7:7">
      <c r="G29856" s="812"/>
    </row>
    <row r="29857" spans="7:7">
      <c r="G29857" s="812"/>
    </row>
    <row r="29858" spans="7:7">
      <c r="G29858" s="812"/>
    </row>
    <row r="29859" spans="7:7">
      <c r="G29859" s="812"/>
    </row>
    <row r="29860" spans="7:7">
      <c r="G29860" s="812"/>
    </row>
    <row r="29861" spans="7:7">
      <c r="G29861" s="812"/>
    </row>
    <row r="29862" spans="7:7">
      <c r="G29862" s="812"/>
    </row>
    <row r="29863" spans="7:7">
      <c r="G29863" s="812"/>
    </row>
    <row r="29864" spans="7:7">
      <c r="G29864" s="812"/>
    </row>
    <row r="29865" spans="7:7">
      <c r="G29865" s="812"/>
    </row>
    <row r="29866" spans="7:7">
      <c r="G29866" s="812"/>
    </row>
    <row r="29867" spans="7:7">
      <c r="G29867" s="812"/>
    </row>
    <row r="29868" spans="7:7">
      <c r="G29868" s="812"/>
    </row>
    <row r="29869" spans="7:7">
      <c r="G29869" s="812"/>
    </row>
    <row r="29870" spans="7:7">
      <c r="G29870" s="812"/>
    </row>
    <row r="29871" spans="7:7">
      <c r="G29871" s="812"/>
    </row>
    <row r="29872" spans="7:7">
      <c r="G29872" s="812"/>
    </row>
    <row r="29873" spans="7:7">
      <c r="G29873" s="812"/>
    </row>
    <row r="29874" spans="7:7">
      <c r="G29874" s="812"/>
    </row>
    <row r="29875" spans="7:7">
      <c r="G29875" s="812"/>
    </row>
    <row r="29876" spans="7:7">
      <c r="G29876" s="812"/>
    </row>
    <row r="29877" spans="7:7">
      <c r="G29877" s="812"/>
    </row>
    <row r="29878" spans="7:7">
      <c r="G29878" s="812"/>
    </row>
    <row r="29879" spans="7:7">
      <c r="G29879" s="812"/>
    </row>
    <row r="29880" spans="7:7">
      <c r="G29880" s="812"/>
    </row>
    <row r="29881" spans="7:7">
      <c r="G29881" s="812"/>
    </row>
    <row r="29882" spans="7:7">
      <c r="G29882" s="812"/>
    </row>
    <row r="29883" spans="7:7">
      <c r="G29883" s="812"/>
    </row>
    <row r="29884" spans="7:7">
      <c r="G29884" s="812"/>
    </row>
    <row r="29885" spans="7:7">
      <c r="G29885" s="812"/>
    </row>
    <row r="29886" spans="7:7">
      <c r="G29886" s="812"/>
    </row>
    <row r="29887" spans="7:7">
      <c r="G29887" s="812"/>
    </row>
    <row r="29888" spans="7:7">
      <c r="G29888" s="812"/>
    </row>
    <row r="29889" spans="7:7">
      <c r="G29889" s="812"/>
    </row>
    <row r="29890" spans="7:7">
      <c r="G29890" s="812"/>
    </row>
    <row r="29891" spans="7:7">
      <c r="G29891" s="812"/>
    </row>
    <row r="29892" spans="7:7">
      <c r="G29892" s="812"/>
    </row>
    <row r="29893" spans="7:7">
      <c r="G29893" s="812"/>
    </row>
    <row r="29894" spans="7:7">
      <c r="G29894" s="812"/>
    </row>
    <row r="29895" spans="7:7">
      <c r="G29895" s="812"/>
    </row>
    <row r="29896" spans="7:7">
      <c r="G29896" s="812"/>
    </row>
    <row r="29897" spans="7:7">
      <c r="G29897" s="812"/>
    </row>
    <row r="29898" spans="7:7">
      <c r="G29898" s="812"/>
    </row>
    <row r="29899" spans="7:7">
      <c r="G29899" s="812"/>
    </row>
    <row r="29900" spans="7:7">
      <c r="G29900" s="812"/>
    </row>
    <row r="29901" spans="7:7">
      <c r="G29901" s="812"/>
    </row>
    <row r="29902" spans="7:7">
      <c r="G29902" s="812"/>
    </row>
    <row r="29903" spans="7:7">
      <c r="G29903" s="812"/>
    </row>
    <row r="29904" spans="7:7">
      <c r="G29904" s="812"/>
    </row>
    <row r="29905" spans="7:7">
      <c r="G29905" s="812"/>
    </row>
    <row r="29906" spans="7:7">
      <c r="G29906" s="812"/>
    </row>
    <row r="29907" spans="7:7">
      <c r="G29907" s="812"/>
    </row>
    <row r="29908" spans="7:7">
      <c r="G29908" s="812"/>
    </row>
    <row r="29909" spans="7:7">
      <c r="G29909" s="812"/>
    </row>
    <row r="29910" spans="7:7">
      <c r="G29910" s="812"/>
    </row>
    <row r="29911" spans="7:7">
      <c r="G29911" s="812"/>
    </row>
    <row r="29912" spans="7:7">
      <c r="G29912" s="812"/>
    </row>
    <row r="29913" spans="7:7">
      <c r="G29913" s="812"/>
    </row>
    <row r="29914" spans="7:7">
      <c r="G29914" s="812"/>
    </row>
    <row r="29915" spans="7:7">
      <c r="G29915" s="812"/>
    </row>
    <row r="29916" spans="7:7">
      <c r="G29916" s="812"/>
    </row>
    <row r="29917" spans="7:7">
      <c r="G29917" s="812"/>
    </row>
    <row r="29918" spans="7:7">
      <c r="G29918" s="812"/>
    </row>
    <row r="29919" spans="7:7">
      <c r="G29919" s="812"/>
    </row>
    <row r="29920" spans="7:7">
      <c r="G29920" s="812"/>
    </row>
    <row r="29921" spans="7:7">
      <c r="G29921" s="812"/>
    </row>
    <row r="29922" spans="7:7">
      <c r="G29922" s="812"/>
    </row>
    <row r="29923" spans="7:7">
      <c r="G29923" s="812"/>
    </row>
    <row r="29924" spans="7:7">
      <c r="G29924" s="812"/>
    </row>
    <row r="29925" spans="7:7">
      <c r="G29925" s="812"/>
    </row>
    <row r="29926" spans="7:7">
      <c r="G29926" s="812"/>
    </row>
    <row r="29927" spans="7:7">
      <c r="G29927" s="812"/>
    </row>
    <row r="29928" spans="7:7">
      <c r="G29928" s="812"/>
    </row>
    <row r="29929" spans="7:7">
      <c r="G29929" s="812"/>
    </row>
    <row r="29930" spans="7:7">
      <c r="G29930" s="812"/>
    </row>
    <row r="29931" spans="7:7">
      <c r="G29931" s="812"/>
    </row>
    <row r="29932" spans="7:7">
      <c r="G29932" s="812"/>
    </row>
    <row r="29933" spans="7:7">
      <c r="G29933" s="812"/>
    </row>
    <row r="29934" spans="7:7">
      <c r="G29934" s="812"/>
    </row>
    <row r="29935" spans="7:7">
      <c r="G29935" s="812"/>
    </row>
    <row r="29936" spans="7:7">
      <c r="G29936" s="812"/>
    </row>
    <row r="29937" spans="7:7">
      <c r="G29937" s="812"/>
    </row>
    <row r="29938" spans="7:7">
      <c r="G29938" s="812"/>
    </row>
    <row r="29939" spans="7:7">
      <c r="G29939" s="812"/>
    </row>
    <row r="29940" spans="7:7">
      <c r="G29940" s="812"/>
    </row>
    <row r="29941" spans="7:7">
      <c r="G29941" s="812"/>
    </row>
    <row r="29942" spans="7:7">
      <c r="G29942" s="812"/>
    </row>
    <row r="29943" spans="7:7">
      <c r="G29943" s="812"/>
    </row>
    <row r="29944" spans="7:7">
      <c r="G29944" s="812"/>
    </row>
    <row r="29945" spans="7:7">
      <c r="G29945" s="812"/>
    </row>
    <row r="29946" spans="7:7">
      <c r="G29946" s="812"/>
    </row>
    <row r="29947" spans="7:7">
      <c r="G29947" s="812"/>
    </row>
    <row r="29948" spans="7:7">
      <c r="G29948" s="812"/>
    </row>
    <row r="29949" spans="7:7">
      <c r="G29949" s="812"/>
    </row>
    <row r="29950" spans="7:7">
      <c r="G29950" s="812"/>
    </row>
    <row r="29951" spans="7:7">
      <c r="G29951" s="812"/>
    </row>
    <row r="29952" spans="7:7">
      <c r="G29952" s="812"/>
    </row>
    <row r="29953" spans="7:7">
      <c r="G29953" s="812"/>
    </row>
    <row r="29954" spans="7:7">
      <c r="G29954" s="812"/>
    </row>
    <row r="29955" spans="7:7">
      <c r="G29955" s="812"/>
    </row>
    <row r="29956" spans="7:7">
      <c r="G29956" s="812"/>
    </row>
    <row r="29957" spans="7:7">
      <c r="G29957" s="812"/>
    </row>
    <row r="29958" spans="7:7">
      <c r="G29958" s="812"/>
    </row>
    <row r="29959" spans="7:7">
      <c r="G29959" s="812"/>
    </row>
    <row r="29960" spans="7:7">
      <c r="G29960" s="812"/>
    </row>
    <row r="29961" spans="7:7">
      <c r="G29961" s="812"/>
    </row>
    <row r="29962" spans="7:7">
      <c r="G29962" s="812"/>
    </row>
    <row r="29963" spans="7:7">
      <c r="G29963" s="812"/>
    </row>
    <row r="29964" spans="7:7">
      <c r="G29964" s="812"/>
    </row>
    <row r="29965" spans="7:7">
      <c r="G29965" s="812"/>
    </row>
    <row r="29966" spans="7:7">
      <c r="G29966" s="812"/>
    </row>
    <row r="29967" spans="7:7">
      <c r="G29967" s="812"/>
    </row>
    <row r="29968" spans="7:7">
      <c r="G29968" s="812"/>
    </row>
    <row r="29969" spans="7:7">
      <c r="G29969" s="812"/>
    </row>
    <row r="29970" spans="7:7">
      <c r="G29970" s="812"/>
    </row>
    <row r="29971" spans="7:7">
      <c r="G29971" s="812"/>
    </row>
    <row r="29972" spans="7:7">
      <c r="G29972" s="812"/>
    </row>
    <row r="29973" spans="7:7">
      <c r="G29973" s="812"/>
    </row>
    <row r="29974" spans="7:7">
      <c r="G29974" s="812"/>
    </row>
    <row r="29975" spans="7:7">
      <c r="G29975" s="812"/>
    </row>
    <row r="29976" spans="7:7">
      <c r="G29976" s="812"/>
    </row>
    <row r="29977" spans="7:7">
      <c r="G29977" s="812"/>
    </row>
    <row r="29978" spans="7:7">
      <c r="G29978" s="812"/>
    </row>
    <row r="29979" spans="7:7">
      <c r="G29979" s="812"/>
    </row>
    <row r="29980" spans="7:7">
      <c r="G29980" s="812"/>
    </row>
    <row r="29981" spans="7:7">
      <c r="G29981" s="812"/>
    </row>
    <row r="29982" spans="7:7">
      <c r="G29982" s="812"/>
    </row>
    <row r="29983" spans="7:7">
      <c r="G29983" s="812"/>
    </row>
    <row r="29984" spans="7:7">
      <c r="G29984" s="812"/>
    </row>
    <row r="29985" spans="7:7">
      <c r="G29985" s="812"/>
    </row>
    <row r="29986" spans="7:7">
      <c r="G29986" s="812"/>
    </row>
    <row r="29987" spans="7:7">
      <c r="G29987" s="812"/>
    </row>
    <row r="29988" spans="7:7">
      <c r="G29988" s="812"/>
    </row>
    <row r="29989" spans="7:7">
      <c r="G29989" s="812"/>
    </row>
    <row r="29990" spans="7:7">
      <c r="G29990" s="812"/>
    </row>
    <row r="29991" spans="7:7">
      <c r="G29991" s="812"/>
    </row>
    <row r="29992" spans="7:7">
      <c r="G29992" s="812"/>
    </row>
    <row r="29993" spans="7:7">
      <c r="G29993" s="812"/>
    </row>
    <row r="29994" spans="7:7">
      <c r="G29994" s="812"/>
    </row>
    <row r="29995" spans="7:7">
      <c r="G29995" s="812"/>
    </row>
    <row r="29996" spans="7:7">
      <c r="G29996" s="812"/>
    </row>
    <row r="29997" spans="7:7">
      <c r="G29997" s="812"/>
    </row>
    <row r="29998" spans="7:7">
      <c r="G29998" s="812"/>
    </row>
    <row r="29999" spans="7:7">
      <c r="G29999" s="812"/>
    </row>
    <row r="30000" spans="7:7">
      <c r="G30000" s="812"/>
    </row>
    <row r="30001" spans="7:7">
      <c r="G30001" s="812"/>
    </row>
    <row r="30002" spans="7:7">
      <c r="G30002" s="812"/>
    </row>
    <row r="30003" spans="7:7">
      <c r="G30003" s="812"/>
    </row>
    <row r="30004" spans="7:7">
      <c r="G30004" s="812"/>
    </row>
    <row r="30005" spans="7:7">
      <c r="G30005" s="812"/>
    </row>
    <row r="30006" spans="7:7">
      <c r="G30006" s="812"/>
    </row>
    <row r="30007" spans="7:7">
      <c r="G30007" s="812"/>
    </row>
    <row r="30008" spans="7:7">
      <c r="G30008" s="812"/>
    </row>
    <row r="30009" spans="7:7">
      <c r="G30009" s="812"/>
    </row>
    <row r="30010" spans="7:7">
      <c r="G30010" s="812"/>
    </row>
    <row r="30011" spans="7:7">
      <c r="G30011" s="812"/>
    </row>
    <row r="30012" spans="7:7">
      <c r="G30012" s="812"/>
    </row>
    <row r="30013" spans="7:7">
      <c r="G30013" s="812"/>
    </row>
    <row r="30014" spans="7:7">
      <c r="G30014" s="812"/>
    </row>
    <row r="30015" spans="7:7">
      <c r="G30015" s="812"/>
    </row>
    <row r="30016" spans="7:7">
      <c r="G30016" s="812"/>
    </row>
    <row r="30017" spans="7:7">
      <c r="G30017" s="812"/>
    </row>
    <row r="30018" spans="7:7">
      <c r="G30018" s="812"/>
    </row>
    <row r="30019" spans="7:7">
      <c r="G30019" s="812"/>
    </row>
    <row r="30020" spans="7:7">
      <c r="G30020" s="812"/>
    </row>
    <row r="30021" spans="7:7">
      <c r="G30021" s="812"/>
    </row>
    <row r="30022" spans="7:7">
      <c r="G30022" s="812"/>
    </row>
    <row r="30023" spans="7:7">
      <c r="G30023" s="812"/>
    </row>
    <row r="30024" spans="7:7">
      <c r="G30024" s="812"/>
    </row>
    <row r="30025" spans="7:7">
      <c r="G30025" s="812"/>
    </row>
    <row r="30026" spans="7:7">
      <c r="G30026" s="812"/>
    </row>
    <row r="30027" spans="7:7">
      <c r="G30027" s="812"/>
    </row>
    <row r="30028" spans="7:7">
      <c r="G30028" s="812"/>
    </row>
    <row r="30029" spans="7:7">
      <c r="G30029" s="812"/>
    </row>
    <row r="30030" spans="7:7">
      <c r="G30030" s="812"/>
    </row>
    <row r="30031" spans="7:7">
      <c r="G30031" s="812"/>
    </row>
    <row r="30032" spans="7:7">
      <c r="G30032" s="812"/>
    </row>
    <row r="30033" spans="7:7">
      <c r="G30033" s="812"/>
    </row>
    <row r="30034" spans="7:7">
      <c r="G30034" s="812"/>
    </row>
    <row r="30035" spans="7:7">
      <c r="G30035" s="812"/>
    </row>
    <row r="30036" spans="7:7">
      <c r="G30036" s="812"/>
    </row>
    <row r="30037" spans="7:7">
      <c r="G30037" s="812"/>
    </row>
    <row r="30038" spans="7:7">
      <c r="G30038" s="812"/>
    </row>
    <row r="30039" spans="7:7">
      <c r="G30039" s="812"/>
    </row>
    <row r="30040" spans="7:7">
      <c r="G30040" s="812"/>
    </row>
    <row r="30041" spans="7:7">
      <c r="G30041" s="812"/>
    </row>
    <row r="30042" spans="7:7">
      <c r="G30042" s="812"/>
    </row>
    <row r="30043" spans="7:7">
      <c r="G30043" s="812"/>
    </row>
    <row r="30044" spans="7:7">
      <c r="G30044" s="812"/>
    </row>
    <row r="30045" spans="7:7">
      <c r="G30045" s="812"/>
    </row>
    <row r="30046" spans="7:7">
      <c r="G30046" s="812"/>
    </row>
    <row r="30047" spans="7:7">
      <c r="G30047" s="812"/>
    </row>
    <row r="30048" spans="7:7">
      <c r="G30048" s="812"/>
    </row>
    <row r="30049" spans="7:7">
      <c r="G30049" s="812"/>
    </row>
    <row r="30050" spans="7:7">
      <c r="G30050" s="812"/>
    </row>
    <row r="30051" spans="7:7">
      <c r="G30051" s="812"/>
    </row>
    <row r="30052" spans="7:7">
      <c r="G30052" s="812"/>
    </row>
    <row r="30053" spans="7:7">
      <c r="G30053" s="812"/>
    </row>
    <row r="30054" spans="7:7">
      <c r="G30054" s="812"/>
    </row>
    <row r="30055" spans="7:7">
      <c r="G30055" s="812"/>
    </row>
    <row r="30056" spans="7:7">
      <c r="G30056" s="812"/>
    </row>
    <row r="30057" spans="7:7">
      <c r="G30057" s="812"/>
    </row>
    <row r="30058" spans="7:7">
      <c r="G30058" s="812"/>
    </row>
    <row r="30059" spans="7:7">
      <c r="G30059" s="812"/>
    </row>
    <row r="30060" spans="7:7">
      <c r="G30060" s="812"/>
    </row>
    <row r="30061" spans="7:7">
      <c r="G30061" s="812"/>
    </row>
    <row r="30062" spans="7:7">
      <c r="G30062" s="812"/>
    </row>
    <row r="30063" spans="7:7">
      <c r="G30063" s="812"/>
    </row>
    <row r="30064" spans="7:7">
      <c r="G30064" s="812"/>
    </row>
    <row r="30065" spans="7:7">
      <c r="G30065" s="812"/>
    </row>
    <row r="30066" spans="7:7">
      <c r="G30066" s="812"/>
    </row>
    <row r="30067" spans="7:7">
      <c r="G30067" s="812"/>
    </row>
    <row r="30068" spans="7:7">
      <c r="G30068" s="812"/>
    </row>
    <row r="30069" spans="7:7">
      <c r="G30069" s="812"/>
    </row>
    <row r="30070" spans="7:7">
      <c r="G30070" s="812"/>
    </row>
    <row r="30071" spans="7:7">
      <c r="G30071" s="812"/>
    </row>
    <row r="30072" spans="7:7">
      <c r="G30072" s="812"/>
    </row>
    <row r="30073" spans="7:7">
      <c r="G30073" s="812"/>
    </row>
    <row r="30074" spans="7:7">
      <c r="G30074" s="812"/>
    </row>
    <row r="30075" spans="7:7">
      <c r="G30075" s="812"/>
    </row>
    <row r="30076" spans="7:7">
      <c r="G30076" s="812"/>
    </row>
    <row r="30077" spans="7:7">
      <c r="G30077" s="812"/>
    </row>
    <row r="30078" spans="7:7">
      <c r="G30078" s="812"/>
    </row>
    <row r="30079" spans="7:7">
      <c r="G30079" s="812"/>
    </row>
    <row r="30080" spans="7:7">
      <c r="G30080" s="812"/>
    </row>
    <row r="30081" spans="7:7">
      <c r="G30081" s="812"/>
    </row>
    <row r="30082" spans="7:7">
      <c r="G30082" s="812"/>
    </row>
    <row r="30083" spans="7:7">
      <c r="G30083" s="812"/>
    </row>
    <row r="30084" spans="7:7">
      <c r="G30084" s="812"/>
    </row>
    <row r="30085" spans="7:7">
      <c r="G30085" s="812"/>
    </row>
    <row r="30086" spans="7:7">
      <c r="G30086" s="812"/>
    </row>
    <row r="30087" spans="7:7">
      <c r="G30087" s="812"/>
    </row>
    <row r="30088" spans="7:7">
      <c r="G30088" s="812"/>
    </row>
    <row r="30089" spans="7:7">
      <c r="G30089" s="812"/>
    </row>
    <row r="30090" spans="7:7">
      <c r="G30090" s="812"/>
    </row>
    <row r="30091" spans="7:7">
      <c r="G30091" s="812"/>
    </row>
    <row r="30092" spans="7:7">
      <c r="G30092" s="812"/>
    </row>
    <row r="30093" spans="7:7">
      <c r="G30093" s="812"/>
    </row>
    <row r="30094" spans="7:7">
      <c r="G30094" s="812"/>
    </row>
    <row r="30095" spans="7:7">
      <c r="G30095" s="812"/>
    </row>
    <row r="30096" spans="7:7">
      <c r="G30096" s="812"/>
    </row>
    <row r="30097" spans="7:7">
      <c r="G30097" s="812"/>
    </row>
    <row r="30098" spans="7:7">
      <c r="G30098" s="812"/>
    </row>
    <row r="30099" spans="7:7">
      <c r="G30099" s="812"/>
    </row>
    <row r="30100" spans="7:7">
      <c r="G30100" s="812"/>
    </row>
    <row r="30101" spans="7:7">
      <c r="G30101" s="812"/>
    </row>
    <row r="30102" spans="7:7">
      <c r="G30102" s="812"/>
    </row>
    <row r="30103" spans="7:7">
      <c r="G30103" s="812"/>
    </row>
    <row r="30104" spans="7:7">
      <c r="G30104" s="812"/>
    </row>
    <row r="30105" spans="7:7">
      <c r="G30105" s="812"/>
    </row>
    <row r="30106" spans="7:7">
      <c r="G30106" s="812"/>
    </row>
    <row r="30107" spans="7:7">
      <c r="G30107" s="812"/>
    </row>
    <row r="30108" spans="7:7">
      <c r="G30108" s="812"/>
    </row>
    <row r="30109" spans="7:7">
      <c r="G30109" s="812"/>
    </row>
    <row r="30110" spans="7:7">
      <c r="G30110" s="812"/>
    </row>
    <row r="30111" spans="7:7">
      <c r="G30111" s="812"/>
    </row>
    <row r="30112" spans="7:7">
      <c r="G30112" s="812"/>
    </row>
    <row r="30113" spans="7:7">
      <c r="G30113" s="812"/>
    </row>
    <row r="30114" spans="7:7">
      <c r="G30114" s="812"/>
    </row>
    <row r="30115" spans="7:7">
      <c r="G30115" s="812"/>
    </row>
    <row r="30116" spans="7:7">
      <c r="G30116" s="812"/>
    </row>
    <row r="30117" spans="7:7">
      <c r="G30117" s="812"/>
    </row>
    <row r="30118" spans="7:7">
      <c r="G30118" s="812"/>
    </row>
    <row r="30119" spans="7:7">
      <c r="G30119" s="812"/>
    </row>
    <row r="30120" spans="7:7">
      <c r="G30120" s="812"/>
    </row>
    <row r="30121" spans="7:7">
      <c r="G30121" s="812"/>
    </row>
    <row r="30122" spans="7:7">
      <c r="G30122" s="812"/>
    </row>
    <row r="30123" spans="7:7">
      <c r="G30123" s="812"/>
    </row>
    <row r="30124" spans="7:7">
      <c r="G30124" s="812"/>
    </row>
    <row r="30125" spans="7:7">
      <c r="G30125" s="812"/>
    </row>
    <row r="30126" spans="7:7">
      <c r="G30126" s="812"/>
    </row>
    <row r="30127" spans="7:7">
      <c r="G30127" s="812"/>
    </row>
    <row r="30128" spans="7:7">
      <c r="G30128" s="812"/>
    </row>
    <row r="30129" spans="7:7">
      <c r="G30129" s="812"/>
    </row>
    <row r="30130" spans="7:7">
      <c r="G30130" s="812"/>
    </row>
    <row r="30131" spans="7:7">
      <c r="G30131" s="812"/>
    </row>
    <row r="30132" spans="7:7">
      <c r="G30132" s="812"/>
    </row>
    <row r="30133" spans="7:7">
      <c r="G30133" s="812"/>
    </row>
    <row r="30134" spans="7:7">
      <c r="G30134" s="812"/>
    </row>
    <row r="30135" spans="7:7">
      <c r="G30135" s="812"/>
    </row>
    <row r="30136" spans="7:7">
      <c r="G30136" s="812"/>
    </row>
    <row r="30137" spans="7:7">
      <c r="G30137" s="812"/>
    </row>
    <row r="30138" spans="7:7">
      <c r="G30138" s="812"/>
    </row>
    <row r="30139" spans="7:7">
      <c r="G30139" s="812"/>
    </row>
    <row r="30140" spans="7:7">
      <c r="G30140" s="812"/>
    </row>
    <row r="30141" spans="7:7">
      <c r="G30141" s="812"/>
    </row>
    <row r="30142" spans="7:7">
      <c r="G30142" s="812"/>
    </row>
    <row r="30143" spans="7:7">
      <c r="G30143" s="812"/>
    </row>
    <row r="30144" spans="7:7">
      <c r="G30144" s="812"/>
    </row>
    <row r="30145" spans="7:7">
      <c r="G30145" s="812"/>
    </row>
    <row r="30146" spans="7:7">
      <c r="G30146" s="812"/>
    </row>
    <row r="30147" spans="7:7">
      <c r="G30147" s="812"/>
    </row>
    <row r="30148" spans="7:7">
      <c r="G30148" s="812"/>
    </row>
    <row r="30149" spans="7:7">
      <c r="G30149" s="812"/>
    </row>
    <row r="30150" spans="7:7">
      <c r="G30150" s="812"/>
    </row>
    <row r="30151" spans="7:7">
      <c r="G30151" s="812"/>
    </row>
    <row r="30152" spans="7:7">
      <c r="G30152" s="812"/>
    </row>
    <row r="30153" spans="7:7">
      <c r="G30153" s="812"/>
    </row>
    <row r="30154" spans="7:7">
      <c r="G30154" s="812"/>
    </row>
    <row r="30155" spans="7:7">
      <c r="G30155" s="812"/>
    </row>
    <row r="30156" spans="7:7">
      <c r="G30156" s="812"/>
    </row>
    <row r="30157" spans="7:7">
      <c r="G30157" s="812"/>
    </row>
    <row r="30158" spans="7:7">
      <c r="G30158" s="812"/>
    </row>
    <row r="30159" spans="7:7">
      <c r="G30159" s="812"/>
    </row>
    <row r="30160" spans="7:7">
      <c r="G30160" s="812"/>
    </row>
    <row r="30161" spans="7:7">
      <c r="G30161" s="812"/>
    </row>
    <row r="30162" spans="7:7">
      <c r="G30162" s="812"/>
    </row>
    <row r="30163" spans="7:7">
      <c r="G30163" s="812"/>
    </row>
    <row r="30164" spans="7:7">
      <c r="G30164" s="812"/>
    </row>
    <row r="30165" spans="7:7">
      <c r="G30165" s="812"/>
    </row>
    <row r="30166" spans="7:7">
      <c r="G30166" s="812"/>
    </row>
    <row r="30167" spans="7:7">
      <c r="G30167" s="812"/>
    </row>
    <row r="30168" spans="7:7">
      <c r="G30168" s="812"/>
    </row>
    <row r="30169" spans="7:7">
      <c r="G30169" s="812"/>
    </row>
    <row r="30170" spans="7:7">
      <c r="G30170" s="812"/>
    </row>
    <row r="30171" spans="7:7">
      <c r="G30171" s="812"/>
    </row>
    <row r="30172" spans="7:7">
      <c r="G30172" s="812"/>
    </row>
    <row r="30173" spans="7:7">
      <c r="G30173" s="812"/>
    </row>
    <row r="30174" spans="7:7">
      <c r="G30174" s="812"/>
    </row>
    <row r="30175" spans="7:7">
      <c r="G30175" s="812"/>
    </row>
    <row r="30176" spans="7:7">
      <c r="G30176" s="812"/>
    </row>
    <row r="30177" spans="7:7">
      <c r="G30177" s="812"/>
    </row>
    <row r="30178" spans="7:7">
      <c r="G30178" s="812"/>
    </row>
    <row r="30179" spans="7:7">
      <c r="G30179" s="812"/>
    </row>
    <row r="30180" spans="7:7">
      <c r="G30180" s="812"/>
    </row>
    <row r="30181" spans="7:7">
      <c r="G30181" s="812"/>
    </row>
    <row r="30182" spans="7:7">
      <c r="G30182" s="812"/>
    </row>
    <row r="30183" spans="7:7">
      <c r="G30183" s="812"/>
    </row>
    <row r="30184" spans="7:7">
      <c r="G30184" s="812"/>
    </row>
    <row r="30185" spans="7:7">
      <c r="G30185" s="812"/>
    </row>
    <row r="30186" spans="7:7">
      <c r="G30186" s="812"/>
    </row>
    <row r="30187" spans="7:7">
      <c r="G30187" s="812"/>
    </row>
    <row r="30188" spans="7:7">
      <c r="G30188" s="812"/>
    </row>
    <row r="30189" spans="7:7">
      <c r="G30189" s="812"/>
    </row>
    <row r="30190" spans="7:7">
      <c r="G30190" s="812"/>
    </row>
    <row r="30191" spans="7:7">
      <c r="G30191" s="812"/>
    </row>
    <row r="30192" spans="7:7">
      <c r="G30192" s="812"/>
    </row>
    <row r="30193" spans="7:7">
      <c r="G30193" s="812"/>
    </row>
    <row r="30194" spans="7:7">
      <c r="G30194" s="812"/>
    </row>
    <row r="30195" spans="7:7">
      <c r="G30195" s="812"/>
    </row>
    <row r="30196" spans="7:7">
      <c r="G30196" s="812"/>
    </row>
    <row r="30197" spans="7:7">
      <c r="G30197" s="812"/>
    </row>
    <row r="30198" spans="7:7">
      <c r="G30198" s="812"/>
    </row>
    <row r="30199" spans="7:7">
      <c r="G30199" s="812"/>
    </row>
    <row r="30200" spans="7:7">
      <c r="G30200" s="812"/>
    </row>
    <row r="30201" spans="7:7">
      <c r="G30201" s="812"/>
    </row>
    <row r="30202" spans="7:7">
      <c r="G30202" s="812"/>
    </row>
    <row r="30203" spans="7:7">
      <c r="G30203" s="812"/>
    </row>
    <row r="30204" spans="7:7">
      <c r="G30204" s="812"/>
    </row>
    <row r="30205" spans="7:7">
      <c r="G30205" s="812"/>
    </row>
    <row r="30206" spans="7:7">
      <c r="G30206" s="812"/>
    </row>
    <row r="30207" spans="7:7">
      <c r="G30207" s="812"/>
    </row>
    <row r="30208" spans="7:7">
      <c r="G30208" s="812"/>
    </row>
    <row r="30209" spans="7:7">
      <c r="G30209" s="812"/>
    </row>
    <row r="30210" spans="7:7">
      <c r="G30210" s="812"/>
    </row>
    <row r="30211" spans="7:7">
      <c r="G30211" s="812"/>
    </row>
    <row r="30212" spans="7:7">
      <c r="G30212" s="812"/>
    </row>
    <row r="30213" spans="7:7">
      <c r="G30213" s="812"/>
    </row>
    <row r="30214" spans="7:7">
      <c r="G30214" s="812"/>
    </row>
    <row r="30215" spans="7:7">
      <c r="G30215" s="812"/>
    </row>
    <row r="30216" spans="7:7">
      <c r="G30216" s="812"/>
    </row>
    <row r="30217" spans="7:7">
      <c r="G30217" s="812"/>
    </row>
    <row r="30218" spans="7:7">
      <c r="G30218" s="812"/>
    </row>
    <row r="30219" spans="7:7">
      <c r="G30219" s="812"/>
    </row>
    <row r="30220" spans="7:7">
      <c r="G30220" s="812"/>
    </row>
    <row r="30221" spans="7:7">
      <c r="G30221" s="812"/>
    </row>
    <row r="30222" spans="7:7">
      <c r="G30222" s="812"/>
    </row>
    <row r="30223" spans="7:7">
      <c r="G30223" s="812"/>
    </row>
    <row r="30224" spans="7:7">
      <c r="G30224" s="812"/>
    </row>
    <row r="30225" spans="7:7">
      <c r="G30225" s="812"/>
    </row>
    <row r="30226" spans="7:7">
      <c r="G30226" s="812"/>
    </row>
    <row r="30227" spans="7:7">
      <c r="G30227" s="812"/>
    </row>
    <row r="30228" spans="7:7">
      <c r="G30228" s="812"/>
    </row>
    <row r="30229" spans="7:7">
      <c r="G30229" s="812"/>
    </row>
    <row r="30230" spans="7:7">
      <c r="G30230" s="812"/>
    </row>
    <row r="30231" spans="7:7">
      <c r="G30231" s="812"/>
    </row>
    <row r="30232" spans="7:7">
      <c r="G30232" s="812"/>
    </row>
    <row r="30233" spans="7:7">
      <c r="G30233" s="812"/>
    </row>
    <row r="30234" spans="7:7">
      <c r="G30234" s="812"/>
    </row>
    <row r="30235" spans="7:7">
      <c r="G30235" s="812"/>
    </row>
    <row r="30236" spans="7:7">
      <c r="G30236" s="812"/>
    </row>
    <row r="30237" spans="7:7">
      <c r="G30237" s="812"/>
    </row>
    <row r="30238" spans="7:7">
      <c r="G30238" s="812"/>
    </row>
    <row r="30239" spans="7:7">
      <c r="G30239" s="812"/>
    </row>
    <row r="30240" spans="7:7">
      <c r="G30240" s="812"/>
    </row>
    <row r="30241" spans="7:7">
      <c r="G30241" s="812"/>
    </row>
    <row r="30242" spans="7:7">
      <c r="G30242" s="812"/>
    </row>
    <row r="30243" spans="7:7">
      <c r="G30243" s="812"/>
    </row>
    <row r="30244" spans="7:7">
      <c r="G30244" s="812"/>
    </row>
    <row r="30245" spans="7:7">
      <c r="G30245" s="812"/>
    </row>
    <row r="30246" spans="7:7">
      <c r="G30246" s="812"/>
    </row>
    <row r="30247" spans="7:7">
      <c r="G30247" s="812"/>
    </row>
    <row r="30248" spans="7:7">
      <c r="G30248" s="812"/>
    </row>
    <row r="30249" spans="7:7">
      <c r="G30249" s="812"/>
    </row>
    <row r="30250" spans="7:7">
      <c r="G30250" s="812"/>
    </row>
    <row r="30251" spans="7:7">
      <c r="G30251" s="812"/>
    </row>
    <row r="30252" spans="7:7">
      <c r="G30252" s="812"/>
    </row>
    <row r="30253" spans="7:7">
      <c r="G30253" s="812"/>
    </row>
    <row r="30254" spans="7:7">
      <c r="G30254" s="812"/>
    </row>
    <row r="30255" spans="7:7">
      <c r="G30255" s="812"/>
    </row>
    <row r="30256" spans="7:7">
      <c r="G30256" s="812"/>
    </row>
    <row r="30257" spans="7:7">
      <c r="G30257" s="812"/>
    </row>
    <row r="30258" spans="7:7">
      <c r="G30258" s="812"/>
    </row>
    <row r="30259" spans="7:7">
      <c r="G30259" s="812"/>
    </row>
    <row r="30260" spans="7:7">
      <c r="G30260" s="812"/>
    </row>
    <row r="30261" spans="7:7">
      <c r="G30261" s="812"/>
    </row>
    <row r="30262" spans="7:7">
      <c r="G30262" s="812"/>
    </row>
    <row r="30263" spans="7:7">
      <c r="G30263" s="812"/>
    </row>
    <row r="30264" spans="7:7">
      <c r="G30264" s="812"/>
    </row>
    <row r="30265" spans="7:7">
      <c r="G30265" s="812"/>
    </row>
    <row r="30266" spans="7:7">
      <c r="G30266" s="812"/>
    </row>
    <row r="30267" spans="7:7">
      <c r="G30267" s="812"/>
    </row>
    <row r="30268" spans="7:7">
      <c r="G30268" s="812"/>
    </row>
    <row r="30269" spans="7:7">
      <c r="G30269" s="812"/>
    </row>
    <row r="30270" spans="7:7">
      <c r="G30270" s="812"/>
    </row>
    <row r="30271" spans="7:7">
      <c r="G30271" s="812"/>
    </row>
    <row r="30272" spans="7:7">
      <c r="G30272" s="812"/>
    </row>
    <row r="30273" spans="7:7">
      <c r="G30273" s="812"/>
    </row>
    <row r="30274" spans="7:7">
      <c r="G30274" s="812"/>
    </row>
    <row r="30275" spans="7:7">
      <c r="G30275" s="812"/>
    </row>
    <row r="30276" spans="7:7">
      <c r="G30276" s="812"/>
    </row>
    <row r="30277" spans="7:7">
      <c r="G30277" s="812"/>
    </row>
    <row r="30278" spans="7:7">
      <c r="G30278" s="812"/>
    </row>
    <row r="30279" spans="7:7">
      <c r="G30279" s="812"/>
    </row>
    <row r="30280" spans="7:7">
      <c r="G30280" s="812"/>
    </row>
    <row r="30281" spans="7:7">
      <c r="G30281" s="812"/>
    </row>
    <row r="30282" spans="7:7">
      <c r="G30282" s="812"/>
    </row>
    <row r="30283" spans="7:7">
      <c r="G30283" s="812"/>
    </row>
    <row r="30284" spans="7:7">
      <c r="G30284" s="812"/>
    </row>
    <row r="30285" spans="7:7">
      <c r="G30285" s="812"/>
    </row>
    <row r="30286" spans="7:7">
      <c r="G30286" s="812"/>
    </row>
    <row r="30287" spans="7:7">
      <c r="G30287" s="812"/>
    </row>
    <row r="30288" spans="7:7">
      <c r="G30288" s="812"/>
    </row>
    <row r="30289" spans="7:7">
      <c r="G30289" s="812"/>
    </row>
    <row r="30290" spans="7:7">
      <c r="G30290" s="812"/>
    </row>
    <row r="30291" spans="7:7">
      <c r="G30291" s="812"/>
    </row>
    <row r="30292" spans="7:7">
      <c r="G30292" s="812"/>
    </row>
    <row r="30293" spans="7:7">
      <c r="G30293" s="812"/>
    </row>
    <row r="30294" spans="7:7">
      <c r="G30294" s="812"/>
    </row>
    <row r="30295" spans="7:7">
      <c r="G30295" s="812"/>
    </row>
    <row r="30296" spans="7:7">
      <c r="G30296" s="812"/>
    </row>
    <row r="30297" spans="7:7">
      <c r="G30297" s="812"/>
    </row>
    <row r="30298" spans="7:7">
      <c r="G30298" s="812"/>
    </row>
    <row r="30299" spans="7:7">
      <c r="G30299" s="812"/>
    </row>
    <row r="30300" spans="7:7">
      <c r="G30300" s="812"/>
    </row>
    <row r="30301" spans="7:7">
      <c r="G30301" s="812"/>
    </row>
    <row r="30302" spans="7:7">
      <c r="G30302" s="812"/>
    </row>
    <row r="30303" spans="7:7">
      <c r="G30303" s="812"/>
    </row>
    <row r="30304" spans="7:7">
      <c r="G30304" s="812"/>
    </row>
    <row r="30305" spans="7:7">
      <c r="G30305" s="812"/>
    </row>
    <row r="30306" spans="7:7">
      <c r="G30306" s="812"/>
    </row>
    <row r="30307" spans="7:7">
      <c r="G30307" s="812"/>
    </row>
    <row r="30308" spans="7:7">
      <c r="G30308" s="812"/>
    </row>
    <row r="30309" spans="7:7">
      <c r="G30309" s="812"/>
    </row>
    <row r="30310" spans="7:7">
      <c r="G30310" s="812"/>
    </row>
    <row r="30311" spans="7:7">
      <c r="G30311" s="812"/>
    </row>
    <row r="30312" spans="7:7">
      <c r="G30312" s="812"/>
    </row>
    <row r="30313" spans="7:7">
      <c r="G30313" s="812"/>
    </row>
    <row r="30314" spans="7:7">
      <c r="G30314" s="812"/>
    </row>
    <row r="30315" spans="7:7">
      <c r="G30315" s="812"/>
    </row>
    <row r="30316" spans="7:7">
      <c r="G30316" s="812"/>
    </row>
    <row r="30317" spans="7:7">
      <c r="G30317" s="812"/>
    </row>
    <row r="30318" spans="7:7">
      <c r="G30318" s="812"/>
    </row>
    <row r="30319" spans="7:7">
      <c r="G30319" s="812"/>
    </row>
    <row r="30320" spans="7:7">
      <c r="G30320" s="812"/>
    </row>
    <row r="30321" spans="7:7">
      <c r="G30321" s="812"/>
    </row>
    <row r="30322" spans="7:7">
      <c r="G30322" s="812"/>
    </row>
    <row r="30323" spans="7:7">
      <c r="G30323" s="812"/>
    </row>
    <row r="30324" spans="7:7">
      <c r="G30324" s="812"/>
    </row>
    <row r="30325" spans="7:7">
      <c r="G30325" s="812"/>
    </row>
    <row r="30326" spans="7:7">
      <c r="G30326" s="812"/>
    </row>
    <row r="30327" spans="7:7">
      <c r="G30327" s="812"/>
    </row>
    <row r="30328" spans="7:7">
      <c r="G30328" s="812"/>
    </row>
    <row r="30329" spans="7:7">
      <c r="G30329" s="812"/>
    </row>
    <row r="30330" spans="7:7">
      <c r="G30330" s="812"/>
    </row>
    <row r="30331" spans="7:7">
      <c r="G30331" s="812"/>
    </row>
    <row r="30332" spans="7:7">
      <c r="G30332" s="812"/>
    </row>
    <row r="30333" spans="7:7">
      <c r="G30333" s="812"/>
    </row>
    <row r="30334" spans="7:7">
      <c r="G30334" s="812"/>
    </row>
    <row r="30335" spans="7:7">
      <c r="G30335" s="812"/>
    </row>
    <row r="30336" spans="7:7">
      <c r="G30336" s="812"/>
    </row>
    <row r="30337" spans="7:7">
      <c r="G30337" s="812"/>
    </row>
    <row r="30338" spans="7:7">
      <c r="G30338" s="812"/>
    </row>
    <row r="30339" spans="7:7">
      <c r="G30339" s="812"/>
    </row>
    <row r="30340" spans="7:7">
      <c r="G30340" s="812"/>
    </row>
    <row r="30341" spans="7:7">
      <c r="G30341" s="812"/>
    </row>
    <row r="30342" spans="7:7">
      <c r="G30342" s="812"/>
    </row>
    <row r="30343" spans="7:7">
      <c r="G30343" s="812"/>
    </row>
    <row r="30344" spans="7:7">
      <c r="G30344" s="812"/>
    </row>
    <row r="30345" spans="7:7">
      <c r="G30345" s="812"/>
    </row>
    <row r="30346" spans="7:7">
      <c r="G30346" s="812"/>
    </row>
    <row r="30347" spans="7:7">
      <c r="G30347" s="812"/>
    </row>
    <row r="30348" spans="7:7">
      <c r="G30348" s="812"/>
    </row>
    <row r="30349" spans="7:7">
      <c r="G30349" s="812"/>
    </row>
    <row r="30350" spans="7:7">
      <c r="G30350" s="812"/>
    </row>
    <row r="30351" spans="7:7">
      <c r="G30351" s="812"/>
    </row>
    <row r="30352" spans="7:7">
      <c r="G30352" s="812"/>
    </row>
    <row r="30353" spans="7:7">
      <c r="G30353" s="812"/>
    </row>
    <row r="30354" spans="7:7">
      <c r="G30354" s="812"/>
    </row>
    <row r="30355" spans="7:7">
      <c r="G30355" s="812"/>
    </row>
    <row r="30356" spans="7:7">
      <c r="G30356" s="812"/>
    </row>
    <row r="30357" spans="7:7">
      <c r="G30357" s="812"/>
    </row>
    <row r="30358" spans="7:7">
      <c r="G30358" s="812"/>
    </row>
    <row r="30359" spans="7:7">
      <c r="G30359" s="812"/>
    </row>
    <row r="30360" spans="7:7">
      <c r="G30360" s="812"/>
    </row>
    <row r="30361" spans="7:7">
      <c r="G30361" s="812"/>
    </row>
    <row r="30362" spans="7:7">
      <c r="G30362" s="812"/>
    </row>
    <row r="30363" spans="7:7">
      <c r="G30363" s="812"/>
    </row>
    <row r="30364" spans="7:7">
      <c r="G30364" s="812"/>
    </row>
    <row r="30365" spans="7:7">
      <c r="G30365" s="812"/>
    </row>
    <row r="30366" spans="7:7">
      <c r="G30366" s="812"/>
    </row>
    <row r="30367" spans="7:7">
      <c r="G30367" s="812"/>
    </row>
    <row r="30368" spans="7:7">
      <c r="G30368" s="812"/>
    </row>
    <row r="30369" spans="7:7">
      <c r="G30369" s="812"/>
    </row>
    <row r="30370" spans="7:7">
      <c r="G30370" s="812"/>
    </row>
    <row r="30371" spans="7:7">
      <c r="G30371" s="812"/>
    </row>
    <row r="30372" spans="7:7">
      <c r="G30372" s="812"/>
    </row>
    <row r="30373" spans="7:7">
      <c r="G30373" s="812"/>
    </row>
    <row r="30374" spans="7:7">
      <c r="G30374" s="812"/>
    </row>
    <row r="30375" spans="7:7">
      <c r="G30375" s="812"/>
    </row>
    <row r="30376" spans="7:7">
      <c r="G30376" s="812"/>
    </row>
    <row r="30377" spans="7:7">
      <c r="G30377" s="812"/>
    </row>
    <row r="30378" spans="7:7">
      <c r="G30378" s="812"/>
    </row>
    <row r="30379" spans="7:7">
      <c r="G30379" s="812"/>
    </row>
    <row r="30380" spans="7:7">
      <c r="G30380" s="812"/>
    </row>
    <row r="30381" spans="7:7">
      <c r="G30381" s="812"/>
    </row>
    <row r="30382" spans="7:7">
      <c r="G30382" s="812"/>
    </row>
    <row r="30383" spans="7:7">
      <c r="G30383" s="812"/>
    </row>
    <row r="30384" spans="7:7">
      <c r="G30384" s="812"/>
    </row>
    <row r="30385" spans="7:7">
      <c r="G30385" s="812"/>
    </row>
    <row r="30386" spans="7:7">
      <c r="G30386" s="812"/>
    </row>
    <row r="30387" spans="7:7">
      <c r="G30387" s="812"/>
    </row>
    <row r="30388" spans="7:7">
      <c r="G30388" s="812"/>
    </row>
    <row r="30389" spans="7:7">
      <c r="G30389" s="812"/>
    </row>
    <row r="30390" spans="7:7">
      <c r="G30390" s="812"/>
    </row>
    <row r="30391" spans="7:7">
      <c r="G30391" s="812"/>
    </row>
    <row r="30392" spans="7:7">
      <c r="G30392" s="812"/>
    </row>
    <row r="30393" spans="7:7">
      <c r="G30393" s="812"/>
    </row>
    <row r="30394" spans="7:7">
      <c r="G30394" s="812"/>
    </row>
    <row r="30395" spans="7:7">
      <c r="G30395" s="812"/>
    </row>
    <row r="30396" spans="7:7">
      <c r="G30396" s="812"/>
    </row>
    <row r="30397" spans="7:7">
      <c r="G30397" s="812"/>
    </row>
    <row r="30398" spans="7:7">
      <c r="G30398" s="812"/>
    </row>
    <row r="30399" spans="7:7">
      <c r="G30399" s="812"/>
    </row>
    <row r="30400" spans="7:7">
      <c r="G30400" s="812"/>
    </row>
    <row r="30401" spans="7:7">
      <c r="G30401" s="812"/>
    </row>
    <row r="30402" spans="7:7">
      <c r="G30402" s="812"/>
    </row>
    <row r="30403" spans="7:7">
      <c r="G30403" s="812"/>
    </row>
    <row r="30404" spans="7:7">
      <c r="G30404" s="812"/>
    </row>
    <row r="30405" spans="7:7">
      <c r="G30405" s="812"/>
    </row>
    <row r="30406" spans="7:7">
      <c r="G30406" s="812"/>
    </row>
    <row r="30407" spans="7:7">
      <c r="G30407" s="812"/>
    </row>
    <row r="30408" spans="7:7">
      <c r="G30408" s="812"/>
    </row>
    <row r="30409" spans="7:7">
      <c r="G30409" s="812"/>
    </row>
    <row r="30410" spans="7:7">
      <c r="G30410" s="812"/>
    </row>
    <row r="30411" spans="7:7">
      <c r="G30411" s="812"/>
    </row>
    <row r="30412" spans="7:7">
      <c r="G30412" s="812"/>
    </row>
    <row r="30413" spans="7:7">
      <c r="G30413" s="812"/>
    </row>
    <row r="30414" spans="7:7">
      <c r="G30414" s="812"/>
    </row>
    <row r="30415" spans="7:7">
      <c r="G30415" s="812"/>
    </row>
    <row r="30416" spans="7:7">
      <c r="G30416" s="812"/>
    </row>
    <row r="30417" spans="7:7">
      <c r="G30417" s="812"/>
    </row>
    <row r="30418" spans="7:7">
      <c r="G30418" s="812"/>
    </row>
    <row r="30419" spans="7:7">
      <c r="G30419" s="812"/>
    </row>
    <row r="30420" spans="7:7">
      <c r="G30420" s="812"/>
    </row>
    <row r="30421" spans="7:7">
      <c r="G30421" s="812"/>
    </row>
    <row r="30422" spans="7:7">
      <c r="G30422" s="812"/>
    </row>
    <row r="30423" spans="7:7">
      <c r="G30423" s="812"/>
    </row>
    <row r="30424" spans="7:7">
      <c r="G30424" s="812"/>
    </row>
    <row r="30425" spans="7:7">
      <c r="G30425" s="812"/>
    </row>
    <row r="30426" spans="7:7">
      <c r="G30426" s="812"/>
    </row>
    <row r="30427" spans="7:7">
      <c r="G30427" s="812"/>
    </row>
    <row r="30428" spans="7:7">
      <c r="G30428" s="812"/>
    </row>
    <row r="30429" spans="7:7">
      <c r="G30429" s="812"/>
    </row>
    <row r="30430" spans="7:7">
      <c r="G30430" s="812"/>
    </row>
    <row r="30431" spans="7:7">
      <c r="G30431" s="812"/>
    </row>
    <row r="30432" spans="7:7">
      <c r="G30432" s="812"/>
    </row>
    <row r="30433" spans="7:7">
      <c r="G30433" s="812"/>
    </row>
    <row r="30434" spans="7:7">
      <c r="G30434" s="812"/>
    </row>
    <row r="30435" spans="7:7">
      <c r="G30435" s="812"/>
    </row>
    <row r="30436" spans="7:7">
      <c r="G30436" s="812"/>
    </row>
    <row r="30437" spans="7:7">
      <c r="G30437" s="812"/>
    </row>
    <row r="30438" spans="7:7">
      <c r="G30438" s="812"/>
    </row>
    <row r="30439" spans="7:7">
      <c r="G30439" s="812"/>
    </row>
    <row r="30440" spans="7:7">
      <c r="G30440" s="812"/>
    </row>
    <row r="30441" spans="7:7">
      <c r="G30441" s="812"/>
    </row>
    <row r="30442" spans="7:7">
      <c r="G30442" s="812"/>
    </row>
    <row r="30443" spans="7:7">
      <c r="G30443" s="812"/>
    </row>
    <row r="30444" spans="7:7">
      <c r="G30444" s="812"/>
    </row>
    <row r="30445" spans="7:7">
      <c r="G30445" s="812"/>
    </row>
    <row r="30446" spans="7:7">
      <c r="G30446" s="812"/>
    </row>
    <row r="30447" spans="7:7">
      <c r="G30447" s="812"/>
    </row>
    <row r="30448" spans="7:7">
      <c r="G30448" s="812"/>
    </row>
    <row r="30449" spans="7:7">
      <c r="G30449" s="812"/>
    </row>
    <row r="30450" spans="7:7">
      <c r="G30450" s="812"/>
    </row>
    <row r="30451" spans="7:7">
      <c r="G30451" s="812"/>
    </row>
    <row r="30452" spans="7:7">
      <c r="G30452" s="812"/>
    </row>
    <row r="30453" spans="7:7">
      <c r="G30453" s="812"/>
    </row>
    <row r="30454" spans="7:7">
      <c r="G30454" s="812"/>
    </row>
    <row r="30455" spans="7:7">
      <c r="G30455" s="812"/>
    </row>
    <row r="30456" spans="7:7">
      <c r="G30456" s="812"/>
    </row>
    <row r="30457" spans="7:7">
      <c r="G30457" s="812"/>
    </row>
    <row r="30458" spans="7:7">
      <c r="G30458" s="812"/>
    </row>
    <row r="30459" spans="7:7">
      <c r="G30459" s="812"/>
    </row>
    <row r="30460" spans="7:7">
      <c r="G30460" s="812"/>
    </row>
    <row r="30461" spans="7:7">
      <c r="G30461" s="812"/>
    </row>
    <row r="30462" spans="7:7">
      <c r="G30462" s="812"/>
    </row>
    <row r="30463" spans="7:7">
      <c r="G30463" s="812"/>
    </row>
    <row r="30464" spans="7:7">
      <c r="G30464" s="812"/>
    </row>
    <row r="30465" spans="7:7">
      <c r="G30465" s="812"/>
    </row>
    <row r="30466" spans="7:7">
      <c r="G30466" s="812"/>
    </row>
    <row r="30467" spans="7:7">
      <c r="G30467" s="812"/>
    </row>
    <row r="30468" spans="7:7">
      <c r="G30468" s="812"/>
    </row>
    <row r="30469" spans="7:7">
      <c r="G30469" s="812"/>
    </row>
    <row r="30470" spans="7:7">
      <c r="G30470" s="812"/>
    </row>
    <row r="30471" spans="7:7">
      <c r="G30471" s="812"/>
    </row>
    <row r="30472" spans="7:7">
      <c r="G30472" s="812"/>
    </row>
    <row r="30473" spans="7:7">
      <c r="G30473" s="812"/>
    </row>
    <row r="30474" spans="7:7">
      <c r="G30474" s="812"/>
    </row>
    <row r="30475" spans="7:7">
      <c r="G30475" s="812"/>
    </row>
    <row r="30476" spans="7:7">
      <c r="G30476" s="812"/>
    </row>
    <row r="30477" spans="7:7">
      <c r="G30477" s="812"/>
    </row>
    <row r="30478" spans="7:7">
      <c r="G30478" s="812"/>
    </row>
    <row r="30479" spans="7:7">
      <c r="G30479" s="812"/>
    </row>
    <row r="30480" spans="7:7">
      <c r="G30480" s="812"/>
    </row>
    <row r="30481" spans="7:7">
      <c r="G30481" s="812"/>
    </row>
    <row r="30482" spans="7:7">
      <c r="G30482" s="812"/>
    </row>
    <row r="30483" spans="7:7">
      <c r="G30483" s="812"/>
    </row>
    <row r="30484" spans="7:7">
      <c r="G30484" s="812"/>
    </row>
    <row r="30485" spans="7:7">
      <c r="G30485" s="812"/>
    </row>
    <row r="30486" spans="7:7">
      <c r="G30486" s="812"/>
    </row>
    <row r="30487" spans="7:7">
      <c r="G30487" s="812"/>
    </row>
    <row r="30488" spans="7:7">
      <c r="G30488" s="812"/>
    </row>
    <row r="30489" spans="7:7">
      <c r="G30489" s="812"/>
    </row>
    <row r="30490" spans="7:7">
      <c r="G30490" s="812"/>
    </row>
    <row r="30491" spans="7:7">
      <c r="G30491" s="812"/>
    </row>
    <row r="30492" spans="7:7">
      <c r="G30492" s="812"/>
    </row>
    <row r="30493" spans="7:7">
      <c r="G30493" s="812"/>
    </row>
    <row r="30494" spans="7:7">
      <c r="G30494" s="812"/>
    </row>
    <row r="30495" spans="7:7">
      <c r="G30495" s="812"/>
    </row>
    <row r="30496" spans="7:7">
      <c r="G30496" s="812"/>
    </row>
    <row r="30497" spans="7:7">
      <c r="G30497" s="812"/>
    </row>
    <row r="30498" spans="7:7">
      <c r="G30498" s="812"/>
    </row>
    <row r="30499" spans="7:7">
      <c r="G30499" s="812"/>
    </row>
    <row r="30500" spans="7:7">
      <c r="G30500" s="812"/>
    </row>
    <row r="30501" spans="7:7">
      <c r="G30501" s="812"/>
    </row>
    <row r="30502" spans="7:7">
      <c r="G30502" s="812"/>
    </row>
    <row r="30503" spans="7:7">
      <c r="G30503" s="812"/>
    </row>
    <row r="30504" spans="7:7">
      <c r="G30504" s="812"/>
    </row>
    <row r="30505" spans="7:7">
      <c r="G30505" s="812"/>
    </row>
    <row r="30506" spans="7:7">
      <c r="G30506" s="812"/>
    </row>
    <row r="30507" spans="7:7">
      <c r="G30507" s="812"/>
    </row>
    <row r="30508" spans="7:7">
      <c r="G30508" s="812"/>
    </row>
    <row r="30509" spans="7:7">
      <c r="G30509" s="812"/>
    </row>
    <row r="30510" spans="7:7">
      <c r="G30510" s="812"/>
    </row>
    <row r="30511" spans="7:7">
      <c r="G30511" s="812"/>
    </row>
    <row r="30512" spans="7:7">
      <c r="G30512" s="812"/>
    </row>
    <row r="30513" spans="7:7">
      <c r="G30513" s="812"/>
    </row>
    <row r="30514" spans="7:7">
      <c r="G30514" s="812"/>
    </row>
    <row r="30515" spans="7:7">
      <c r="G30515" s="812"/>
    </row>
    <row r="30516" spans="7:7">
      <c r="G30516" s="812"/>
    </row>
    <row r="30517" spans="7:7">
      <c r="G30517" s="812"/>
    </row>
    <row r="30518" spans="7:7">
      <c r="G30518" s="812"/>
    </row>
    <row r="30519" spans="7:7">
      <c r="G30519" s="812"/>
    </row>
    <row r="30520" spans="7:7">
      <c r="G30520" s="812"/>
    </row>
    <row r="30521" spans="7:7">
      <c r="G30521" s="812"/>
    </row>
    <row r="30522" spans="7:7">
      <c r="G30522" s="812"/>
    </row>
    <row r="30523" spans="7:7">
      <c r="G30523" s="812"/>
    </row>
    <row r="30524" spans="7:7">
      <c r="G30524" s="812"/>
    </row>
    <row r="30525" spans="7:7">
      <c r="G30525" s="812"/>
    </row>
    <row r="30526" spans="7:7">
      <c r="G30526" s="812"/>
    </row>
    <row r="30527" spans="7:7">
      <c r="G30527" s="812"/>
    </row>
    <row r="30528" spans="7:7">
      <c r="G30528" s="812"/>
    </row>
    <row r="30529" spans="7:7">
      <c r="G30529" s="812"/>
    </row>
    <row r="30530" spans="7:7">
      <c r="G30530" s="812"/>
    </row>
    <row r="30531" spans="7:7">
      <c r="G30531" s="812"/>
    </row>
    <row r="30532" spans="7:7">
      <c r="G30532" s="812"/>
    </row>
    <row r="30533" spans="7:7">
      <c r="G30533" s="812"/>
    </row>
    <row r="30534" spans="7:7">
      <c r="G30534" s="812"/>
    </row>
    <row r="30535" spans="7:7">
      <c r="G30535" s="812"/>
    </row>
    <row r="30536" spans="7:7">
      <c r="G30536" s="812"/>
    </row>
    <row r="30537" spans="7:7">
      <c r="G30537" s="812"/>
    </row>
    <row r="30538" spans="7:7">
      <c r="G30538" s="812"/>
    </row>
    <row r="30539" spans="7:7">
      <c r="G30539" s="812"/>
    </row>
    <row r="30540" spans="7:7">
      <c r="G30540" s="812"/>
    </row>
    <row r="30541" spans="7:7">
      <c r="G30541" s="812"/>
    </row>
    <row r="30542" spans="7:7">
      <c r="G30542" s="812"/>
    </row>
    <row r="30543" spans="7:7">
      <c r="G30543" s="812"/>
    </row>
    <row r="30544" spans="7:7">
      <c r="G30544" s="812"/>
    </row>
    <row r="30545" spans="7:7">
      <c r="G30545" s="812"/>
    </row>
    <row r="30546" spans="7:7">
      <c r="G30546" s="812"/>
    </row>
    <row r="30547" spans="7:7">
      <c r="G30547" s="812"/>
    </row>
    <row r="30548" spans="7:7">
      <c r="G30548" s="812"/>
    </row>
    <row r="30549" spans="7:7">
      <c r="G30549" s="812"/>
    </row>
    <row r="30550" spans="7:7">
      <c r="G30550" s="812"/>
    </row>
    <row r="30551" spans="7:7">
      <c r="G30551" s="812"/>
    </row>
    <row r="30552" spans="7:7">
      <c r="G30552" s="812"/>
    </row>
    <row r="30553" spans="7:7">
      <c r="G30553" s="812"/>
    </row>
    <row r="30554" spans="7:7">
      <c r="G30554" s="812"/>
    </row>
    <row r="30555" spans="7:7">
      <c r="G30555" s="812"/>
    </row>
    <row r="30556" spans="7:7">
      <c r="G30556" s="812"/>
    </row>
    <row r="30557" spans="7:7">
      <c r="G30557" s="812"/>
    </row>
    <row r="30558" spans="7:7">
      <c r="G30558" s="812"/>
    </row>
    <row r="30559" spans="7:7">
      <c r="G30559" s="812"/>
    </row>
    <row r="30560" spans="7:7">
      <c r="G30560" s="812"/>
    </row>
    <row r="30561" spans="7:7">
      <c r="G30561" s="812"/>
    </row>
    <row r="30562" spans="7:7">
      <c r="G30562" s="812"/>
    </row>
    <row r="30563" spans="7:7">
      <c r="G30563" s="812"/>
    </row>
    <row r="30564" spans="7:7">
      <c r="G30564" s="812"/>
    </row>
    <row r="30565" spans="7:7">
      <c r="G30565" s="812"/>
    </row>
    <row r="30566" spans="7:7">
      <c r="G30566" s="812"/>
    </row>
    <row r="30567" spans="7:7">
      <c r="G30567" s="812"/>
    </row>
    <row r="30568" spans="7:7">
      <c r="G30568" s="812"/>
    </row>
    <row r="30569" spans="7:7">
      <c r="G30569" s="812"/>
    </row>
    <row r="30570" spans="7:7">
      <c r="G30570" s="812"/>
    </row>
    <row r="30571" spans="7:7">
      <c r="G30571" s="812"/>
    </row>
    <row r="30572" spans="7:7">
      <c r="G30572" s="812"/>
    </row>
    <row r="30573" spans="7:7">
      <c r="G30573" s="812"/>
    </row>
    <row r="30574" spans="7:7">
      <c r="G30574" s="812"/>
    </row>
    <row r="30575" spans="7:7">
      <c r="G30575" s="812"/>
    </row>
    <row r="30576" spans="7:7">
      <c r="G30576" s="812"/>
    </row>
    <row r="30577" spans="7:7">
      <c r="G30577" s="812"/>
    </row>
    <row r="30578" spans="7:7">
      <c r="G30578" s="812"/>
    </row>
    <row r="30579" spans="7:7">
      <c r="G30579" s="812"/>
    </row>
    <row r="30580" spans="7:7">
      <c r="G30580" s="812"/>
    </row>
    <row r="30581" spans="7:7">
      <c r="G30581" s="812"/>
    </row>
    <row r="30582" spans="7:7">
      <c r="G30582" s="812"/>
    </row>
    <row r="30583" spans="7:7">
      <c r="G30583" s="812"/>
    </row>
    <row r="30584" spans="7:7">
      <c r="G30584" s="812"/>
    </row>
    <row r="30585" spans="7:7">
      <c r="G30585" s="812"/>
    </row>
    <row r="30586" spans="7:7">
      <c r="G30586" s="812"/>
    </row>
    <row r="30587" spans="7:7">
      <c r="G30587" s="812"/>
    </row>
    <row r="30588" spans="7:7">
      <c r="G30588" s="812"/>
    </row>
    <row r="30589" spans="7:7">
      <c r="G30589" s="812"/>
    </row>
    <row r="30590" spans="7:7">
      <c r="G30590" s="812"/>
    </row>
    <row r="30591" spans="7:7">
      <c r="G30591" s="812"/>
    </row>
    <row r="30592" spans="7:7">
      <c r="G30592" s="812"/>
    </row>
    <row r="30593" spans="7:7">
      <c r="G30593" s="812"/>
    </row>
    <row r="30594" spans="7:7">
      <c r="G30594" s="812"/>
    </row>
    <row r="30595" spans="7:7">
      <c r="G30595" s="812"/>
    </row>
    <row r="30596" spans="7:7">
      <c r="G30596" s="812"/>
    </row>
    <row r="30597" spans="7:7">
      <c r="G30597" s="812"/>
    </row>
    <row r="30598" spans="7:7">
      <c r="G30598" s="812"/>
    </row>
    <row r="30599" spans="7:7">
      <c r="G30599" s="812"/>
    </row>
    <row r="30600" spans="7:7">
      <c r="G30600" s="812"/>
    </row>
    <row r="30601" spans="7:7">
      <c r="G30601" s="812"/>
    </row>
    <row r="30602" spans="7:7">
      <c r="G30602" s="812"/>
    </row>
    <row r="30603" spans="7:7">
      <c r="G30603" s="812"/>
    </row>
    <row r="30604" spans="7:7">
      <c r="G30604" s="812"/>
    </row>
    <row r="30605" spans="7:7">
      <c r="G30605" s="812"/>
    </row>
    <row r="30606" spans="7:7">
      <c r="G30606" s="812"/>
    </row>
    <row r="30607" spans="7:7">
      <c r="G30607" s="812"/>
    </row>
    <row r="30608" spans="7:7">
      <c r="G30608" s="812"/>
    </row>
    <row r="30609" spans="7:7">
      <c r="G30609" s="812"/>
    </row>
    <row r="30610" spans="7:7">
      <c r="G30610" s="812"/>
    </row>
    <row r="30611" spans="7:7">
      <c r="G30611" s="812"/>
    </row>
    <row r="30612" spans="7:7">
      <c r="G30612" s="812"/>
    </row>
    <row r="30613" spans="7:7">
      <c r="G30613" s="812"/>
    </row>
    <row r="30614" spans="7:7">
      <c r="G30614" s="812"/>
    </row>
    <row r="30615" spans="7:7">
      <c r="G30615" s="812"/>
    </row>
    <row r="30616" spans="7:7">
      <c r="G30616" s="812"/>
    </row>
    <row r="30617" spans="7:7">
      <c r="G30617" s="812"/>
    </row>
    <row r="30618" spans="7:7">
      <c r="G30618" s="812"/>
    </row>
    <row r="30619" spans="7:7">
      <c r="G30619" s="812"/>
    </row>
    <row r="30620" spans="7:7">
      <c r="G30620" s="812"/>
    </row>
    <row r="30621" spans="7:7">
      <c r="G30621" s="812"/>
    </row>
    <row r="30622" spans="7:7">
      <c r="G30622" s="812"/>
    </row>
    <row r="30623" spans="7:7">
      <c r="G30623" s="812"/>
    </row>
    <row r="30624" spans="7:7">
      <c r="G30624" s="812"/>
    </row>
    <row r="30625" spans="7:7">
      <c r="G30625" s="812"/>
    </row>
    <row r="30626" spans="7:7">
      <c r="G30626" s="812"/>
    </row>
    <row r="30627" spans="7:7">
      <c r="G30627" s="812"/>
    </row>
    <row r="30628" spans="7:7">
      <c r="G30628" s="812"/>
    </row>
    <row r="30629" spans="7:7">
      <c r="G30629" s="812"/>
    </row>
    <row r="30630" spans="7:7">
      <c r="G30630" s="812"/>
    </row>
    <row r="30631" spans="7:7">
      <c r="G30631" s="812"/>
    </row>
    <row r="30632" spans="7:7">
      <c r="G30632" s="812"/>
    </row>
    <row r="30633" spans="7:7">
      <c r="G30633" s="812"/>
    </row>
    <row r="30634" spans="7:7">
      <c r="G30634" s="812"/>
    </row>
    <row r="30635" spans="7:7">
      <c r="G30635" s="812"/>
    </row>
    <row r="30636" spans="7:7">
      <c r="G30636" s="812"/>
    </row>
    <row r="30637" spans="7:7">
      <c r="G30637" s="812"/>
    </row>
    <row r="30638" spans="7:7">
      <c r="G30638" s="812"/>
    </row>
    <row r="30639" spans="7:7">
      <c r="G30639" s="812"/>
    </row>
    <row r="30640" spans="7:7">
      <c r="G30640" s="812"/>
    </row>
    <row r="30641" spans="7:7">
      <c r="G30641" s="812"/>
    </row>
    <row r="30642" spans="7:7">
      <c r="G30642" s="812"/>
    </row>
    <row r="30643" spans="7:7">
      <c r="G30643" s="812"/>
    </row>
    <row r="30644" spans="7:7">
      <c r="G30644" s="812"/>
    </row>
    <row r="30645" spans="7:7">
      <c r="G30645" s="812"/>
    </row>
    <row r="30646" spans="7:7">
      <c r="G30646" s="812"/>
    </row>
    <row r="30647" spans="7:7">
      <c r="G30647" s="812"/>
    </row>
    <row r="30648" spans="7:7">
      <c r="G30648" s="812"/>
    </row>
    <row r="30649" spans="7:7">
      <c r="G30649" s="812"/>
    </row>
    <row r="30650" spans="7:7">
      <c r="G30650" s="812"/>
    </row>
    <row r="30651" spans="7:7">
      <c r="G30651" s="812"/>
    </row>
    <row r="30652" spans="7:7">
      <c r="G30652" s="812"/>
    </row>
    <row r="30653" spans="7:7">
      <c r="G30653" s="812"/>
    </row>
    <row r="30654" spans="7:7">
      <c r="G30654" s="812"/>
    </row>
    <row r="30655" spans="7:7">
      <c r="G30655" s="812"/>
    </row>
    <row r="30656" spans="7:7">
      <c r="G30656" s="812"/>
    </row>
    <row r="30657" spans="7:7">
      <c r="G30657" s="812"/>
    </row>
    <row r="30658" spans="7:7">
      <c r="G30658" s="812"/>
    </row>
    <row r="30659" spans="7:7">
      <c r="G30659" s="812"/>
    </row>
    <row r="30660" spans="7:7">
      <c r="G30660" s="812"/>
    </row>
    <row r="30661" spans="7:7">
      <c r="G30661" s="812"/>
    </row>
    <row r="30662" spans="7:7">
      <c r="G30662" s="812"/>
    </row>
    <row r="30663" spans="7:7">
      <c r="G30663" s="812"/>
    </row>
    <row r="30664" spans="7:7">
      <c r="G30664" s="812"/>
    </row>
    <row r="30665" spans="7:7">
      <c r="G30665" s="812"/>
    </row>
    <row r="30666" spans="7:7">
      <c r="G30666" s="812"/>
    </row>
    <row r="30667" spans="7:7">
      <c r="G30667" s="812"/>
    </row>
    <row r="30668" spans="7:7">
      <c r="G30668" s="812"/>
    </row>
    <row r="30669" spans="7:7">
      <c r="G30669" s="812"/>
    </row>
    <row r="30670" spans="7:7">
      <c r="G30670" s="812"/>
    </row>
    <row r="30671" spans="7:7">
      <c r="G30671" s="812"/>
    </row>
    <row r="30672" spans="7:7">
      <c r="G30672" s="812"/>
    </row>
    <row r="30673" spans="7:7">
      <c r="G30673" s="812"/>
    </row>
    <row r="30674" spans="7:7">
      <c r="G30674" s="812"/>
    </row>
    <row r="30675" spans="7:7">
      <c r="G30675" s="812"/>
    </row>
    <row r="30676" spans="7:7">
      <c r="G30676" s="812"/>
    </row>
    <row r="30677" spans="7:7">
      <c r="G30677" s="812"/>
    </row>
    <row r="30678" spans="7:7">
      <c r="G30678" s="812"/>
    </row>
    <row r="30679" spans="7:7">
      <c r="G30679" s="812"/>
    </row>
    <row r="30680" spans="7:7">
      <c r="G30680" s="812"/>
    </row>
    <row r="30681" spans="7:7">
      <c r="G30681" s="812"/>
    </row>
    <row r="30682" spans="7:7">
      <c r="G30682" s="812"/>
    </row>
    <row r="30683" spans="7:7">
      <c r="G30683" s="812"/>
    </row>
    <row r="30684" spans="7:7">
      <c r="G30684" s="812"/>
    </row>
    <row r="30685" spans="7:7">
      <c r="G30685" s="812"/>
    </row>
    <row r="30686" spans="7:7">
      <c r="G30686" s="812"/>
    </row>
    <row r="30687" spans="7:7">
      <c r="G30687" s="812"/>
    </row>
    <row r="30688" spans="7:7">
      <c r="G30688" s="812"/>
    </row>
    <row r="30689" spans="7:7">
      <c r="G30689" s="812"/>
    </row>
    <row r="30690" spans="7:7">
      <c r="G30690" s="812"/>
    </row>
    <row r="30691" spans="7:7">
      <c r="G30691" s="812"/>
    </row>
    <row r="30692" spans="7:7">
      <c r="G30692" s="812"/>
    </row>
    <row r="30693" spans="7:7">
      <c r="G30693" s="812"/>
    </row>
    <row r="30694" spans="7:7">
      <c r="G30694" s="812"/>
    </row>
    <row r="30695" spans="7:7">
      <c r="G30695" s="812"/>
    </row>
    <row r="30696" spans="7:7">
      <c r="G30696" s="812"/>
    </row>
    <row r="30697" spans="7:7">
      <c r="G30697" s="812"/>
    </row>
    <row r="30698" spans="7:7">
      <c r="G30698" s="812"/>
    </row>
    <row r="30699" spans="7:7">
      <c r="G30699" s="812"/>
    </row>
    <row r="30700" spans="7:7">
      <c r="G30700" s="812"/>
    </row>
    <row r="30701" spans="7:7">
      <c r="G30701" s="812"/>
    </row>
    <row r="30702" spans="7:7">
      <c r="G30702" s="812"/>
    </row>
    <row r="30703" spans="7:7">
      <c r="G30703" s="812"/>
    </row>
    <row r="30704" spans="7:7">
      <c r="G30704" s="812"/>
    </row>
    <row r="30705" spans="7:7">
      <c r="G30705" s="812"/>
    </row>
    <row r="30706" spans="7:7">
      <c r="G30706" s="812"/>
    </row>
    <row r="30707" spans="7:7">
      <c r="G30707" s="812"/>
    </row>
    <row r="30708" spans="7:7">
      <c r="G30708" s="812"/>
    </row>
    <row r="30709" spans="7:7">
      <c r="G30709" s="812"/>
    </row>
    <row r="30710" spans="7:7">
      <c r="G30710" s="812"/>
    </row>
    <row r="30711" spans="7:7">
      <c r="G30711" s="812"/>
    </row>
    <row r="30712" spans="7:7">
      <c r="G30712" s="812"/>
    </row>
    <row r="30713" spans="7:7">
      <c r="G30713" s="812"/>
    </row>
    <row r="30714" spans="7:7">
      <c r="G30714" s="812"/>
    </row>
    <row r="30715" spans="7:7">
      <c r="G30715" s="812"/>
    </row>
    <row r="30716" spans="7:7">
      <c r="G30716" s="812"/>
    </row>
    <row r="30717" spans="7:7">
      <c r="G30717" s="812"/>
    </row>
    <row r="30718" spans="7:7">
      <c r="G30718" s="812"/>
    </row>
    <row r="30719" spans="7:7">
      <c r="G30719" s="812"/>
    </row>
    <row r="30720" spans="7:7">
      <c r="G30720" s="812"/>
    </row>
    <row r="30721" spans="7:7">
      <c r="G30721" s="812"/>
    </row>
    <row r="30722" spans="7:7">
      <c r="G30722" s="812"/>
    </row>
    <row r="30723" spans="7:7">
      <c r="G30723" s="812"/>
    </row>
    <row r="30724" spans="7:7">
      <c r="G30724" s="812"/>
    </row>
    <row r="30725" spans="7:7">
      <c r="G30725" s="812"/>
    </row>
    <row r="30726" spans="7:7">
      <c r="G30726" s="812"/>
    </row>
    <row r="30727" spans="7:7">
      <c r="G30727" s="812"/>
    </row>
    <row r="30728" spans="7:7">
      <c r="G30728" s="812"/>
    </row>
    <row r="30729" spans="7:7">
      <c r="G30729" s="812"/>
    </row>
    <row r="30730" spans="7:7">
      <c r="G30730" s="812"/>
    </row>
    <row r="30731" spans="7:7">
      <c r="G30731" s="812"/>
    </row>
    <row r="30732" spans="7:7">
      <c r="G30732" s="812"/>
    </row>
    <row r="30733" spans="7:7">
      <c r="G30733" s="812"/>
    </row>
    <row r="30734" spans="7:7">
      <c r="G30734" s="812"/>
    </row>
    <row r="30735" spans="7:7">
      <c r="G30735" s="812"/>
    </row>
    <row r="30736" spans="7:7">
      <c r="G30736" s="812"/>
    </row>
    <row r="30737" spans="7:7">
      <c r="G30737" s="812"/>
    </row>
    <row r="30738" spans="7:7">
      <c r="G30738" s="812"/>
    </row>
    <row r="30739" spans="7:7">
      <c r="G30739" s="812"/>
    </row>
    <row r="30740" spans="7:7">
      <c r="G30740" s="812"/>
    </row>
    <row r="30741" spans="7:7">
      <c r="G30741" s="812"/>
    </row>
    <row r="30742" spans="7:7">
      <c r="G30742" s="812"/>
    </row>
    <row r="30743" spans="7:7">
      <c r="G30743" s="812"/>
    </row>
    <row r="30744" spans="7:7">
      <c r="G30744" s="812"/>
    </row>
    <row r="30745" spans="7:7">
      <c r="G30745" s="812"/>
    </row>
    <row r="30746" spans="7:7">
      <c r="G30746" s="812"/>
    </row>
    <row r="30747" spans="7:7">
      <c r="G30747" s="812"/>
    </row>
    <row r="30748" spans="7:7">
      <c r="G30748" s="812"/>
    </row>
    <row r="30749" spans="7:7">
      <c r="G30749" s="812"/>
    </row>
    <row r="30750" spans="7:7">
      <c r="G30750" s="812"/>
    </row>
    <row r="30751" spans="7:7">
      <c r="G30751" s="812"/>
    </row>
    <row r="30752" spans="7:7">
      <c r="G30752" s="812"/>
    </row>
    <row r="30753" spans="7:7">
      <c r="G30753" s="812"/>
    </row>
    <row r="30754" spans="7:7">
      <c r="G30754" s="812"/>
    </row>
    <row r="30755" spans="7:7">
      <c r="G30755" s="812"/>
    </row>
    <row r="30756" spans="7:7">
      <c r="G30756" s="812"/>
    </row>
    <row r="30757" spans="7:7">
      <c r="G30757" s="812"/>
    </row>
    <row r="30758" spans="7:7">
      <c r="G30758" s="812"/>
    </row>
    <row r="30759" spans="7:7">
      <c r="G30759" s="812"/>
    </row>
    <row r="30760" spans="7:7">
      <c r="G30760" s="812"/>
    </row>
    <row r="30761" spans="7:7">
      <c r="G30761" s="812"/>
    </row>
    <row r="30762" spans="7:7">
      <c r="G30762" s="812"/>
    </row>
    <row r="30763" spans="7:7">
      <c r="G30763" s="812"/>
    </row>
    <row r="30764" spans="7:7">
      <c r="G30764" s="812"/>
    </row>
    <row r="30765" spans="7:7">
      <c r="G30765" s="812"/>
    </row>
    <row r="30766" spans="7:7">
      <c r="G30766" s="812"/>
    </row>
    <row r="30767" spans="7:7">
      <c r="G30767" s="812"/>
    </row>
    <row r="30768" spans="7:7">
      <c r="G30768" s="812"/>
    </row>
    <row r="30769" spans="7:7">
      <c r="G30769" s="812"/>
    </row>
    <row r="30770" spans="7:7">
      <c r="G30770" s="812"/>
    </row>
    <row r="30771" spans="7:7">
      <c r="G30771" s="812"/>
    </row>
    <row r="30772" spans="7:7">
      <c r="G30772" s="812"/>
    </row>
    <row r="30773" spans="7:7">
      <c r="G30773" s="812"/>
    </row>
    <row r="30774" spans="7:7">
      <c r="G30774" s="812"/>
    </row>
    <row r="30775" spans="7:7">
      <c r="G30775" s="812"/>
    </row>
    <row r="30776" spans="7:7">
      <c r="G30776" s="812"/>
    </row>
    <row r="30777" spans="7:7">
      <c r="G30777" s="812"/>
    </row>
    <row r="30778" spans="7:7">
      <c r="G30778" s="812"/>
    </row>
    <row r="30779" spans="7:7">
      <c r="G30779" s="812"/>
    </row>
    <row r="30780" spans="7:7">
      <c r="G30780" s="812"/>
    </row>
    <row r="30781" spans="7:7">
      <c r="G30781" s="812"/>
    </row>
    <row r="30782" spans="7:7">
      <c r="G30782" s="812"/>
    </row>
    <row r="30783" spans="7:7">
      <c r="G30783" s="812"/>
    </row>
    <row r="30784" spans="7:7">
      <c r="G30784" s="812"/>
    </row>
    <row r="30785" spans="7:7">
      <c r="G30785" s="812"/>
    </row>
    <row r="30786" spans="7:7">
      <c r="G30786" s="812"/>
    </row>
    <row r="30787" spans="7:7">
      <c r="G30787" s="812"/>
    </row>
    <row r="30788" spans="7:7">
      <c r="G30788" s="812"/>
    </row>
    <row r="30789" spans="7:7">
      <c r="G30789" s="812"/>
    </row>
    <row r="30790" spans="7:7">
      <c r="G30790" s="812"/>
    </row>
    <row r="30791" spans="7:7">
      <c r="G30791" s="812"/>
    </row>
    <row r="30792" spans="7:7">
      <c r="G30792" s="812"/>
    </row>
    <row r="30793" spans="7:7">
      <c r="G30793" s="812"/>
    </row>
    <row r="30794" spans="7:7">
      <c r="G30794" s="812"/>
    </row>
    <row r="30795" spans="7:7">
      <c r="G30795" s="812"/>
    </row>
    <row r="30796" spans="7:7">
      <c r="G30796" s="812"/>
    </row>
    <row r="30797" spans="7:7">
      <c r="G30797" s="812"/>
    </row>
    <row r="30798" spans="7:7">
      <c r="G30798" s="812"/>
    </row>
    <row r="30799" spans="7:7">
      <c r="G30799" s="812"/>
    </row>
    <row r="30800" spans="7:7">
      <c r="G30800" s="812"/>
    </row>
    <row r="30801" spans="7:7">
      <c r="G30801" s="812"/>
    </row>
    <row r="30802" spans="7:7">
      <c r="G30802" s="812"/>
    </row>
    <row r="30803" spans="7:7">
      <c r="G30803" s="812"/>
    </row>
    <row r="30804" spans="7:7">
      <c r="G30804" s="812"/>
    </row>
    <row r="30805" spans="7:7">
      <c r="G30805" s="812"/>
    </row>
    <row r="30806" spans="7:7">
      <c r="G30806" s="812"/>
    </row>
    <row r="30807" spans="7:7">
      <c r="G30807" s="812"/>
    </row>
    <row r="30808" spans="7:7">
      <c r="G30808" s="812"/>
    </row>
    <row r="30809" spans="7:7">
      <c r="G30809" s="812"/>
    </row>
    <row r="30810" spans="7:7">
      <c r="G30810" s="812"/>
    </row>
    <row r="30811" spans="7:7">
      <c r="G30811" s="812"/>
    </row>
    <row r="30812" spans="7:7">
      <c r="G30812" s="812"/>
    </row>
    <row r="30813" spans="7:7">
      <c r="G30813" s="812"/>
    </row>
    <row r="30814" spans="7:7">
      <c r="G30814" s="812"/>
    </row>
    <row r="30815" spans="7:7">
      <c r="G30815" s="812"/>
    </row>
    <row r="30816" spans="7:7">
      <c r="G30816" s="812"/>
    </row>
    <row r="30817" spans="7:7">
      <c r="G30817" s="812"/>
    </row>
    <row r="30818" spans="7:7">
      <c r="G30818" s="812"/>
    </row>
    <row r="30819" spans="7:7">
      <c r="G30819" s="812"/>
    </row>
    <row r="30820" spans="7:7">
      <c r="G30820" s="812"/>
    </row>
    <row r="30821" spans="7:7">
      <c r="G30821" s="812"/>
    </row>
    <row r="30822" spans="7:7">
      <c r="G30822" s="812"/>
    </row>
    <row r="30823" spans="7:7">
      <c r="G30823" s="812"/>
    </row>
    <row r="30824" spans="7:7">
      <c r="G30824" s="812"/>
    </row>
    <row r="30825" spans="7:7">
      <c r="G30825" s="812"/>
    </row>
    <row r="30826" spans="7:7">
      <c r="G30826" s="812"/>
    </row>
    <row r="30827" spans="7:7">
      <c r="G30827" s="812"/>
    </row>
    <row r="30828" spans="7:7">
      <c r="G30828" s="812"/>
    </row>
    <row r="30829" spans="7:7">
      <c r="G30829" s="812"/>
    </row>
    <row r="30830" spans="7:7">
      <c r="G30830" s="812"/>
    </row>
    <row r="30831" spans="7:7">
      <c r="G30831" s="812"/>
    </row>
    <row r="30832" spans="7:7">
      <c r="G30832" s="812"/>
    </row>
    <row r="30833" spans="7:7">
      <c r="G30833" s="812"/>
    </row>
    <row r="30834" spans="7:7">
      <c r="G30834" s="812"/>
    </row>
    <row r="30835" spans="7:7">
      <c r="G30835" s="812"/>
    </row>
    <row r="30836" spans="7:7">
      <c r="G30836" s="812"/>
    </row>
    <row r="30837" spans="7:7">
      <c r="G30837" s="812"/>
    </row>
    <row r="30838" spans="7:7">
      <c r="G30838" s="812"/>
    </row>
    <row r="30839" spans="7:7">
      <c r="G30839" s="812"/>
    </row>
    <row r="30840" spans="7:7">
      <c r="G30840" s="812"/>
    </row>
    <row r="30841" spans="7:7">
      <c r="G30841" s="812"/>
    </row>
    <row r="30842" spans="7:7">
      <c r="G30842" s="812"/>
    </row>
    <row r="30843" spans="7:7">
      <c r="G30843" s="812"/>
    </row>
    <row r="30844" spans="7:7">
      <c r="G30844" s="812"/>
    </row>
    <row r="30845" spans="7:7">
      <c r="G30845" s="812"/>
    </row>
    <row r="30846" spans="7:7">
      <c r="G30846" s="812"/>
    </row>
    <row r="30847" spans="7:7">
      <c r="G30847" s="812"/>
    </row>
    <row r="30848" spans="7:7">
      <c r="G30848" s="812"/>
    </row>
    <row r="30849" spans="7:7">
      <c r="G30849" s="812"/>
    </row>
    <row r="30850" spans="7:7">
      <c r="G30850" s="812"/>
    </row>
    <row r="30851" spans="7:7">
      <c r="G30851" s="812"/>
    </row>
    <row r="30852" spans="7:7">
      <c r="G30852" s="812"/>
    </row>
    <row r="30853" spans="7:7">
      <c r="G30853" s="812"/>
    </row>
    <row r="30854" spans="7:7">
      <c r="G30854" s="812"/>
    </row>
    <row r="30855" spans="7:7">
      <c r="G30855" s="812"/>
    </row>
    <row r="30856" spans="7:7">
      <c r="G30856" s="812"/>
    </row>
    <row r="30857" spans="7:7">
      <c r="G30857" s="812"/>
    </row>
    <row r="30858" spans="7:7">
      <c r="G30858" s="812"/>
    </row>
    <row r="30859" spans="7:7">
      <c r="G30859" s="812"/>
    </row>
    <row r="30860" spans="7:7">
      <c r="G30860" s="812"/>
    </row>
    <row r="30861" spans="7:7">
      <c r="G30861" s="812"/>
    </row>
    <row r="30862" spans="7:7">
      <c r="G30862" s="812"/>
    </row>
    <row r="30863" spans="7:7">
      <c r="G30863" s="812"/>
    </row>
    <row r="30864" spans="7:7">
      <c r="G30864" s="812"/>
    </row>
    <row r="30865" spans="7:7">
      <c r="G30865" s="812"/>
    </row>
    <row r="30866" spans="7:7">
      <c r="G30866" s="812"/>
    </row>
    <row r="30867" spans="7:7">
      <c r="G30867" s="812"/>
    </row>
    <row r="30868" spans="7:7">
      <c r="G30868" s="812"/>
    </row>
    <row r="30869" spans="7:7">
      <c r="G30869" s="812"/>
    </row>
    <row r="30870" spans="7:7">
      <c r="G30870" s="812"/>
    </row>
    <row r="30871" spans="7:7">
      <c r="G30871" s="812"/>
    </row>
    <row r="30872" spans="7:7">
      <c r="G30872" s="812"/>
    </row>
    <row r="30873" spans="7:7">
      <c r="G30873" s="812"/>
    </row>
    <row r="30874" spans="7:7">
      <c r="G30874" s="812"/>
    </row>
    <row r="30875" spans="7:7">
      <c r="G30875" s="812"/>
    </row>
    <row r="30876" spans="7:7">
      <c r="G30876" s="812"/>
    </row>
    <row r="30877" spans="7:7">
      <c r="G30877" s="812"/>
    </row>
    <row r="30878" spans="7:7">
      <c r="G30878" s="812"/>
    </row>
    <row r="30879" spans="7:7">
      <c r="G30879" s="812"/>
    </row>
    <row r="30880" spans="7:7">
      <c r="G30880" s="812"/>
    </row>
    <row r="30881" spans="7:7">
      <c r="G30881" s="812"/>
    </row>
    <row r="30882" spans="7:7">
      <c r="G30882" s="812"/>
    </row>
    <row r="30883" spans="7:7">
      <c r="G30883" s="812"/>
    </row>
    <row r="30884" spans="7:7">
      <c r="G30884" s="812"/>
    </row>
    <row r="30885" spans="7:7">
      <c r="G30885" s="812"/>
    </row>
    <row r="30886" spans="7:7">
      <c r="G30886" s="812"/>
    </row>
    <row r="30887" spans="7:7">
      <c r="G30887" s="812"/>
    </row>
    <row r="30888" spans="7:7">
      <c r="G30888" s="812"/>
    </row>
    <row r="30889" spans="7:7">
      <c r="G30889" s="812"/>
    </row>
    <row r="30890" spans="7:7">
      <c r="G30890" s="812"/>
    </row>
    <row r="30891" spans="7:7">
      <c r="G30891" s="812"/>
    </row>
    <row r="30892" spans="7:7">
      <c r="G30892" s="812"/>
    </row>
    <row r="30893" spans="7:7">
      <c r="G30893" s="812"/>
    </row>
    <row r="30894" spans="7:7">
      <c r="G30894" s="812"/>
    </row>
    <row r="30895" spans="7:7">
      <c r="G30895" s="812"/>
    </row>
    <row r="30896" spans="7:7">
      <c r="G30896" s="812"/>
    </row>
    <row r="30897" spans="7:7">
      <c r="G30897" s="812"/>
    </row>
    <row r="30898" spans="7:7">
      <c r="G30898" s="812"/>
    </row>
    <row r="30899" spans="7:7">
      <c r="G30899" s="812"/>
    </row>
    <row r="30900" spans="7:7">
      <c r="G30900" s="812"/>
    </row>
    <row r="30901" spans="7:7">
      <c r="G30901" s="812"/>
    </row>
    <row r="30902" spans="7:7">
      <c r="G30902" s="812"/>
    </row>
    <row r="30903" spans="7:7">
      <c r="G30903" s="812"/>
    </row>
    <row r="30904" spans="7:7">
      <c r="G30904" s="812"/>
    </row>
    <row r="30905" spans="7:7">
      <c r="G30905" s="812"/>
    </row>
    <row r="30906" spans="7:7">
      <c r="G30906" s="812"/>
    </row>
    <row r="30907" spans="7:7">
      <c r="G30907" s="812"/>
    </row>
    <row r="30908" spans="7:7">
      <c r="G30908" s="812"/>
    </row>
    <row r="30909" spans="7:7">
      <c r="G30909" s="812"/>
    </row>
    <row r="30910" spans="7:7">
      <c r="G30910" s="812"/>
    </row>
    <row r="30911" spans="7:7">
      <c r="G30911" s="812"/>
    </row>
    <row r="30912" spans="7:7">
      <c r="G30912" s="812"/>
    </row>
    <row r="30913" spans="7:7">
      <c r="G30913" s="812"/>
    </row>
    <row r="30914" spans="7:7">
      <c r="G30914" s="812"/>
    </row>
    <row r="30915" spans="7:7">
      <c r="G30915" s="812"/>
    </row>
    <row r="30916" spans="7:7">
      <c r="G30916" s="812"/>
    </row>
    <row r="30917" spans="7:7">
      <c r="G30917" s="812"/>
    </row>
    <row r="30918" spans="7:7">
      <c r="G30918" s="812"/>
    </row>
    <row r="30919" spans="7:7">
      <c r="G30919" s="812"/>
    </row>
    <row r="30920" spans="7:7">
      <c r="G30920" s="812"/>
    </row>
    <row r="30921" spans="7:7">
      <c r="G30921" s="812"/>
    </row>
    <row r="30922" spans="7:7">
      <c r="G30922" s="812"/>
    </row>
    <row r="30923" spans="7:7">
      <c r="G30923" s="812"/>
    </row>
    <row r="30924" spans="7:7">
      <c r="G30924" s="812"/>
    </row>
    <row r="30925" spans="7:7">
      <c r="G30925" s="812"/>
    </row>
    <row r="30926" spans="7:7">
      <c r="G30926" s="812"/>
    </row>
    <row r="30927" spans="7:7">
      <c r="G30927" s="812"/>
    </row>
    <row r="30928" spans="7:7">
      <c r="G30928" s="812"/>
    </row>
    <row r="30929" spans="7:7">
      <c r="G30929" s="812"/>
    </row>
    <row r="30930" spans="7:7">
      <c r="G30930" s="812"/>
    </row>
    <row r="30931" spans="7:7">
      <c r="G30931" s="812"/>
    </row>
    <row r="30932" spans="7:7">
      <c r="G30932" s="812"/>
    </row>
    <row r="30933" spans="7:7">
      <c r="G30933" s="812"/>
    </row>
    <row r="30934" spans="7:7">
      <c r="G30934" s="812"/>
    </row>
    <row r="30935" spans="7:7">
      <c r="G30935" s="812"/>
    </row>
    <row r="30936" spans="7:7">
      <c r="G30936" s="812"/>
    </row>
    <row r="30937" spans="7:7">
      <c r="G30937" s="812"/>
    </row>
    <row r="30938" spans="7:7">
      <c r="G30938" s="812"/>
    </row>
    <row r="30939" spans="7:7">
      <c r="G30939" s="812"/>
    </row>
    <row r="30940" spans="7:7">
      <c r="G30940" s="812"/>
    </row>
    <row r="30941" spans="7:7">
      <c r="G30941" s="812"/>
    </row>
    <row r="30942" spans="7:7">
      <c r="G30942" s="812"/>
    </row>
    <row r="30943" spans="7:7">
      <c r="G30943" s="812"/>
    </row>
    <row r="30944" spans="7:7">
      <c r="G30944" s="812"/>
    </row>
    <row r="30945" spans="7:7">
      <c r="G30945" s="812"/>
    </row>
    <row r="30946" spans="7:7">
      <c r="G30946" s="812"/>
    </row>
    <row r="30947" spans="7:7">
      <c r="G30947" s="812"/>
    </row>
    <row r="30948" spans="7:7">
      <c r="G30948" s="812"/>
    </row>
    <row r="30949" spans="7:7">
      <c r="G30949" s="812"/>
    </row>
    <row r="30950" spans="7:7">
      <c r="G30950" s="812"/>
    </row>
    <row r="30951" spans="7:7">
      <c r="G30951" s="812"/>
    </row>
    <row r="30952" spans="7:7">
      <c r="G30952" s="812"/>
    </row>
    <row r="30953" spans="7:7">
      <c r="G30953" s="812"/>
    </row>
    <row r="30954" spans="7:7">
      <c r="G30954" s="812"/>
    </row>
    <row r="30955" spans="7:7">
      <c r="G30955" s="812"/>
    </row>
    <row r="30956" spans="7:7">
      <c r="G30956" s="812"/>
    </row>
    <row r="30957" spans="7:7">
      <c r="G30957" s="812"/>
    </row>
    <row r="30958" spans="7:7">
      <c r="G30958" s="812"/>
    </row>
    <row r="30959" spans="7:7">
      <c r="G30959" s="812"/>
    </row>
    <row r="30960" spans="7:7">
      <c r="G30960" s="812"/>
    </row>
    <row r="30961" spans="7:7">
      <c r="G30961" s="812"/>
    </row>
    <row r="30962" spans="7:7">
      <c r="G30962" s="812"/>
    </row>
    <row r="30963" spans="7:7">
      <c r="G30963" s="812"/>
    </row>
    <row r="30964" spans="7:7">
      <c r="G30964" s="812"/>
    </row>
    <row r="30965" spans="7:7">
      <c r="G30965" s="812"/>
    </row>
    <row r="30966" spans="7:7">
      <c r="G30966" s="812"/>
    </row>
    <row r="30967" spans="7:7">
      <c r="G30967" s="812"/>
    </row>
    <row r="30968" spans="7:7">
      <c r="G30968" s="812"/>
    </row>
    <row r="30969" spans="7:7">
      <c r="G30969" s="812"/>
    </row>
    <row r="30970" spans="7:7">
      <c r="G30970" s="812"/>
    </row>
    <row r="30971" spans="7:7">
      <c r="G30971" s="812"/>
    </row>
    <row r="30972" spans="7:7">
      <c r="G30972" s="812"/>
    </row>
    <row r="30973" spans="7:7">
      <c r="G30973" s="812"/>
    </row>
    <row r="30974" spans="7:7">
      <c r="G30974" s="812"/>
    </row>
    <row r="30975" spans="7:7">
      <c r="G30975" s="812"/>
    </row>
    <row r="30976" spans="7:7">
      <c r="G30976" s="812"/>
    </row>
    <row r="30977" spans="7:7">
      <c r="G30977" s="812"/>
    </row>
    <row r="30978" spans="7:7">
      <c r="G30978" s="812"/>
    </row>
    <row r="30979" spans="7:7">
      <c r="G30979" s="812"/>
    </row>
    <row r="30980" spans="7:7">
      <c r="G30980" s="812"/>
    </row>
    <row r="30981" spans="7:7">
      <c r="G30981" s="812"/>
    </row>
    <row r="30982" spans="7:7">
      <c r="G30982" s="812"/>
    </row>
    <row r="30983" spans="7:7">
      <c r="G30983" s="812"/>
    </row>
    <row r="30984" spans="7:7">
      <c r="G30984" s="812"/>
    </row>
    <row r="30985" spans="7:7">
      <c r="G30985" s="812"/>
    </row>
    <row r="30986" spans="7:7">
      <c r="G30986" s="812"/>
    </row>
    <row r="30987" spans="7:7">
      <c r="G30987" s="812"/>
    </row>
    <row r="30988" spans="7:7">
      <c r="G30988" s="812"/>
    </row>
    <row r="30989" spans="7:7">
      <c r="G30989" s="812"/>
    </row>
    <row r="30990" spans="7:7">
      <c r="G30990" s="812"/>
    </row>
    <row r="30991" spans="7:7">
      <c r="G30991" s="812"/>
    </row>
    <row r="30992" spans="7:7">
      <c r="G30992" s="812"/>
    </row>
    <row r="30993" spans="7:7">
      <c r="G30993" s="812"/>
    </row>
    <row r="30994" spans="7:7">
      <c r="G30994" s="812"/>
    </row>
    <row r="30995" spans="7:7">
      <c r="G30995" s="812"/>
    </row>
    <row r="30996" spans="7:7">
      <c r="G30996" s="812"/>
    </row>
    <row r="30997" spans="7:7">
      <c r="G30997" s="812"/>
    </row>
    <row r="30998" spans="7:7">
      <c r="G30998" s="812"/>
    </row>
    <row r="30999" spans="7:7">
      <c r="G30999" s="812"/>
    </row>
    <row r="31000" spans="7:7">
      <c r="G31000" s="812"/>
    </row>
    <row r="31001" spans="7:7">
      <c r="G31001" s="812"/>
    </row>
    <row r="31002" spans="7:7">
      <c r="G31002" s="812"/>
    </row>
    <row r="31003" spans="7:7">
      <c r="G31003" s="812"/>
    </row>
    <row r="31004" spans="7:7">
      <c r="G31004" s="812"/>
    </row>
    <row r="31005" spans="7:7">
      <c r="G31005" s="812"/>
    </row>
    <row r="31006" spans="7:7">
      <c r="G31006" s="812"/>
    </row>
    <row r="31007" spans="7:7">
      <c r="G31007" s="812"/>
    </row>
    <row r="31008" spans="7:7">
      <c r="G31008" s="812"/>
    </row>
    <row r="31009" spans="7:7">
      <c r="G31009" s="812"/>
    </row>
    <row r="31010" spans="7:7">
      <c r="G31010" s="812"/>
    </row>
    <row r="31011" spans="7:7">
      <c r="G31011" s="812"/>
    </row>
    <row r="31012" spans="7:7">
      <c r="G31012" s="812"/>
    </row>
    <row r="31013" spans="7:7">
      <c r="G31013" s="812"/>
    </row>
    <row r="31014" spans="7:7">
      <c r="G31014" s="812"/>
    </row>
    <row r="31015" spans="7:7">
      <c r="G31015" s="812"/>
    </row>
    <row r="31016" spans="7:7">
      <c r="G31016" s="812"/>
    </row>
    <row r="31017" spans="7:7">
      <c r="G31017" s="812"/>
    </row>
    <row r="31018" spans="7:7">
      <c r="G31018" s="812"/>
    </row>
    <row r="31019" spans="7:7">
      <c r="G31019" s="812"/>
    </row>
    <row r="31020" spans="7:7">
      <c r="G31020" s="812"/>
    </row>
    <row r="31021" spans="7:7">
      <c r="G31021" s="812"/>
    </row>
    <row r="31022" spans="7:7">
      <c r="G31022" s="812"/>
    </row>
    <row r="31023" spans="7:7">
      <c r="G31023" s="812"/>
    </row>
    <row r="31024" spans="7:7">
      <c r="G31024" s="812"/>
    </row>
    <row r="31025" spans="7:7">
      <c r="G31025" s="812"/>
    </row>
    <row r="31026" spans="7:7">
      <c r="G31026" s="812"/>
    </row>
    <row r="31027" spans="7:7">
      <c r="G31027" s="812"/>
    </row>
    <row r="31028" spans="7:7">
      <c r="G31028" s="812"/>
    </row>
    <row r="31029" spans="7:7">
      <c r="G31029" s="812"/>
    </row>
    <row r="31030" spans="7:7">
      <c r="G31030" s="812"/>
    </row>
    <row r="31031" spans="7:7">
      <c r="G31031" s="812"/>
    </row>
    <row r="31032" spans="7:7">
      <c r="G31032" s="812"/>
    </row>
    <row r="31033" spans="7:7">
      <c r="G31033" s="812"/>
    </row>
    <row r="31034" spans="7:7">
      <c r="G31034" s="812"/>
    </row>
    <row r="31035" spans="7:7">
      <c r="G31035" s="812"/>
    </row>
    <row r="31036" spans="7:7">
      <c r="G31036" s="812"/>
    </row>
    <row r="31037" spans="7:7">
      <c r="G31037" s="812"/>
    </row>
    <row r="31038" spans="7:7">
      <c r="G31038" s="812"/>
    </row>
    <row r="31039" spans="7:7">
      <c r="G31039" s="812"/>
    </row>
    <row r="31040" spans="7:7">
      <c r="G31040" s="812"/>
    </row>
    <row r="31041" spans="7:7">
      <c r="G31041" s="812"/>
    </row>
    <row r="31042" spans="7:7">
      <c r="G31042" s="812"/>
    </row>
    <row r="31043" spans="7:7">
      <c r="G31043" s="812"/>
    </row>
    <row r="31044" spans="7:7">
      <c r="G31044" s="812"/>
    </row>
    <row r="31045" spans="7:7">
      <c r="G31045" s="812"/>
    </row>
    <row r="31046" spans="7:7">
      <c r="G31046" s="812"/>
    </row>
    <row r="31047" spans="7:7">
      <c r="G31047" s="812"/>
    </row>
    <row r="31048" spans="7:7">
      <c r="G31048" s="812"/>
    </row>
    <row r="31049" spans="7:7">
      <c r="G31049" s="812"/>
    </row>
    <row r="31050" spans="7:7">
      <c r="G31050" s="812"/>
    </row>
    <row r="31051" spans="7:7">
      <c r="G31051" s="812"/>
    </row>
    <row r="31052" spans="7:7">
      <c r="G31052" s="812"/>
    </row>
    <row r="31053" spans="7:7">
      <c r="G31053" s="812"/>
    </row>
    <row r="31054" spans="7:7">
      <c r="G31054" s="812"/>
    </row>
    <row r="31055" spans="7:7">
      <c r="G31055" s="812"/>
    </row>
    <row r="31056" spans="7:7">
      <c r="G31056" s="812"/>
    </row>
    <row r="31057" spans="7:7">
      <c r="G31057" s="812"/>
    </row>
    <row r="31058" spans="7:7">
      <c r="G31058" s="812"/>
    </row>
    <row r="31059" spans="7:7">
      <c r="G31059" s="812"/>
    </row>
    <row r="31060" spans="7:7">
      <c r="G31060" s="812"/>
    </row>
    <row r="31061" spans="7:7">
      <c r="G31061" s="812"/>
    </row>
    <row r="31062" spans="7:7">
      <c r="G31062" s="812"/>
    </row>
    <row r="31063" spans="7:7">
      <c r="G31063" s="812"/>
    </row>
    <row r="31064" spans="7:7">
      <c r="G31064" s="812"/>
    </row>
    <row r="31065" spans="7:7">
      <c r="G31065" s="812"/>
    </row>
    <row r="31066" spans="7:7">
      <c r="G31066" s="812"/>
    </row>
    <row r="31067" spans="7:7">
      <c r="G31067" s="812"/>
    </row>
    <row r="31068" spans="7:7">
      <c r="G31068" s="812"/>
    </row>
    <row r="31069" spans="7:7">
      <c r="G31069" s="812"/>
    </row>
    <row r="31070" spans="7:7">
      <c r="G31070" s="812"/>
    </row>
    <row r="31071" spans="7:7">
      <c r="G31071" s="812"/>
    </row>
    <row r="31072" spans="7:7">
      <c r="G31072" s="812"/>
    </row>
    <row r="31073" spans="7:7">
      <c r="G31073" s="812"/>
    </row>
    <row r="31074" spans="7:7">
      <c r="G31074" s="812"/>
    </row>
    <row r="31075" spans="7:7">
      <c r="G31075" s="812"/>
    </row>
    <row r="31076" spans="7:7">
      <c r="G31076" s="812"/>
    </row>
    <row r="31077" spans="7:7">
      <c r="G31077" s="812"/>
    </row>
    <row r="31078" spans="7:7">
      <c r="G31078" s="812"/>
    </row>
    <row r="31079" spans="7:7">
      <c r="G31079" s="812"/>
    </row>
    <row r="31080" spans="7:7">
      <c r="G31080" s="812"/>
    </row>
    <row r="31081" spans="7:7">
      <c r="G31081" s="812"/>
    </row>
    <row r="31082" spans="7:7">
      <c r="G31082" s="812"/>
    </row>
    <row r="31083" spans="7:7">
      <c r="G31083" s="812"/>
    </row>
    <row r="31084" spans="7:7">
      <c r="G31084" s="812"/>
    </row>
    <row r="31085" spans="7:7">
      <c r="G31085" s="812"/>
    </row>
    <row r="31086" spans="7:7">
      <c r="G31086" s="812"/>
    </row>
    <row r="31087" spans="7:7">
      <c r="G31087" s="812"/>
    </row>
    <row r="31088" spans="7:7">
      <c r="G31088" s="812"/>
    </row>
    <row r="31089" spans="7:7">
      <c r="G31089" s="812"/>
    </row>
    <row r="31090" spans="7:7">
      <c r="G31090" s="812"/>
    </row>
    <row r="31091" spans="7:7">
      <c r="G31091" s="812"/>
    </row>
    <row r="31092" spans="7:7">
      <c r="G31092" s="812"/>
    </row>
    <row r="31093" spans="7:7">
      <c r="G31093" s="812"/>
    </row>
    <row r="31094" spans="7:7">
      <c r="G31094" s="812"/>
    </row>
    <row r="31095" spans="7:7">
      <c r="G31095" s="812"/>
    </row>
    <row r="31096" spans="7:7">
      <c r="G31096" s="812"/>
    </row>
    <row r="31097" spans="7:7">
      <c r="G31097" s="812"/>
    </row>
    <row r="31098" spans="7:7">
      <c r="G31098" s="812"/>
    </row>
    <row r="31099" spans="7:7">
      <c r="G31099" s="812"/>
    </row>
    <row r="31100" spans="7:7">
      <c r="G31100" s="812"/>
    </row>
    <row r="31101" spans="7:7">
      <c r="G31101" s="812"/>
    </row>
    <row r="31102" spans="7:7">
      <c r="G31102" s="812"/>
    </row>
    <row r="31103" spans="7:7">
      <c r="G31103" s="812"/>
    </row>
    <row r="31104" spans="7:7">
      <c r="G31104" s="812"/>
    </row>
    <row r="31105" spans="7:7">
      <c r="G31105" s="812"/>
    </row>
    <row r="31106" spans="7:7">
      <c r="G31106" s="812"/>
    </row>
    <row r="31107" spans="7:7">
      <c r="G31107" s="812"/>
    </row>
    <row r="31108" spans="7:7">
      <c r="G31108" s="812"/>
    </row>
    <row r="31109" spans="7:7">
      <c r="G31109" s="812"/>
    </row>
    <row r="31110" spans="7:7">
      <c r="G31110" s="812"/>
    </row>
    <row r="31111" spans="7:7">
      <c r="G31111" s="812"/>
    </row>
    <row r="31112" spans="7:7">
      <c r="G31112" s="812"/>
    </row>
    <row r="31113" spans="7:7">
      <c r="G31113" s="812"/>
    </row>
    <row r="31114" spans="7:7">
      <c r="G31114" s="812"/>
    </row>
    <row r="31115" spans="7:7">
      <c r="G31115" s="812"/>
    </row>
    <row r="31116" spans="7:7">
      <c r="G31116" s="812"/>
    </row>
    <row r="31117" spans="7:7">
      <c r="G31117" s="812"/>
    </row>
    <row r="31118" spans="7:7">
      <c r="G31118" s="812"/>
    </row>
    <row r="31119" spans="7:7">
      <c r="G31119" s="812"/>
    </row>
    <row r="31120" spans="7:7">
      <c r="G31120" s="812"/>
    </row>
    <row r="31121" spans="7:7">
      <c r="G31121" s="812"/>
    </row>
    <row r="31122" spans="7:7">
      <c r="G31122" s="812"/>
    </row>
    <row r="31123" spans="7:7">
      <c r="G31123" s="812"/>
    </row>
    <row r="31124" spans="7:7">
      <c r="G31124" s="812"/>
    </row>
    <row r="31125" spans="7:7">
      <c r="G31125" s="812"/>
    </row>
    <row r="31126" spans="7:7">
      <c r="G31126" s="812"/>
    </row>
    <row r="31127" spans="7:7">
      <c r="G31127" s="812"/>
    </row>
    <row r="31128" spans="7:7">
      <c r="G31128" s="812"/>
    </row>
    <row r="31129" spans="7:7">
      <c r="G31129" s="812"/>
    </row>
    <row r="31130" spans="7:7">
      <c r="G31130" s="812"/>
    </row>
    <row r="31131" spans="7:7">
      <c r="G31131" s="812"/>
    </row>
    <row r="31132" spans="7:7">
      <c r="G31132" s="812"/>
    </row>
    <row r="31133" spans="7:7">
      <c r="G31133" s="812"/>
    </row>
    <row r="31134" spans="7:7">
      <c r="G31134" s="812"/>
    </row>
    <row r="31135" spans="7:7">
      <c r="G31135" s="812"/>
    </row>
    <row r="31136" spans="7:7">
      <c r="G31136" s="812"/>
    </row>
    <row r="31137" spans="7:7">
      <c r="G31137" s="812"/>
    </row>
    <row r="31138" spans="7:7">
      <c r="G31138" s="812"/>
    </row>
    <row r="31139" spans="7:7">
      <c r="G31139" s="812"/>
    </row>
    <row r="31140" spans="7:7">
      <c r="G31140" s="812"/>
    </row>
    <row r="31141" spans="7:7">
      <c r="G31141" s="812"/>
    </row>
    <row r="31142" spans="7:7">
      <c r="G31142" s="812"/>
    </row>
    <row r="31143" spans="7:7">
      <c r="G31143" s="812"/>
    </row>
    <row r="31144" spans="7:7">
      <c r="G31144" s="812"/>
    </row>
    <row r="31145" spans="7:7">
      <c r="G31145" s="812"/>
    </row>
    <row r="31146" spans="7:7">
      <c r="G31146" s="812"/>
    </row>
    <row r="31147" spans="7:7">
      <c r="G31147" s="812"/>
    </row>
    <row r="31148" spans="7:7">
      <c r="G31148" s="812"/>
    </row>
    <row r="31149" spans="7:7">
      <c r="G31149" s="812"/>
    </row>
    <row r="31150" spans="7:7">
      <c r="G31150" s="812"/>
    </row>
    <row r="31151" spans="7:7">
      <c r="G31151" s="812"/>
    </row>
    <row r="31152" spans="7:7">
      <c r="G31152" s="812"/>
    </row>
    <row r="31153" spans="7:7">
      <c r="G31153" s="812"/>
    </row>
    <row r="31154" spans="7:7">
      <c r="G31154" s="812"/>
    </row>
    <row r="31155" spans="7:7">
      <c r="G31155" s="812"/>
    </row>
    <row r="31156" spans="7:7">
      <c r="G31156" s="812"/>
    </row>
    <row r="31157" spans="7:7">
      <c r="G31157" s="812"/>
    </row>
    <row r="31158" spans="7:7">
      <c r="G31158" s="812"/>
    </row>
    <row r="31159" spans="7:7">
      <c r="G31159" s="812"/>
    </row>
    <row r="31160" spans="7:7">
      <c r="G31160" s="812"/>
    </row>
    <row r="31161" spans="7:7">
      <c r="G31161" s="812"/>
    </row>
    <row r="31162" spans="7:7">
      <c r="G31162" s="812"/>
    </row>
    <row r="31163" spans="7:7">
      <c r="G31163" s="812"/>
    </row>
    <row r="31164" spans="7:7">
      <c r="G31164" s="812"/>
    </row>
    <row r="31165" spans="7:7">
      <c r="G31165" s="812"/>
    </row>
    <row r="31166" spans="7:7">
      <c r="G31166" s="812"/>
    </row>
    <row r="31167" spans="7:7">
      <c r="G31167" s="812"/>
    </row>
    <row r="31168" spans="7:7">
      <c r="G31168" s="812"/>
    </row>
    <row r="31169" spans="7:7">
      <c r="G31169" s="812"/>
    </row>
    <row r="31170" spans="7:7">
      <c r="G31170" s="812"/>
    </row>
    <row r="31171" spans="7:7">
      <c r="G31171" s="812"/>
    </row>
    <row r="31172" spans="7:7">
      <c r="G31172" s="812"/>
    </row>
    <row r="31173" spans="7:7">
      <c r="G31173" s="812"/>
    </row>
    <row r="31174" spans="7:7">
      <c r="G31174" s="812"/>
    </row>
    <row r="31175" spans="7:7">
      <c r="G31175" s="812"/>
    </row>
    <row r="31176" spans="7:7">
      <c r="G31176" s="812"/>
    </row>
    <row r="31177" spans="7:7">
      <c r="G31177" s="812"/>
    </row>
    <row r="31178" spans="7:7">
      <c r="G31178" s="812"/>
    </row>
    <row r="31179" spans="7:7">
      <c r="G31179" s="812"/>
    </row>
    <row r="31180" spans="7:7">
      <c r="G31180" s="812"/>
    </row>
    <row r="31181" spans="7:7">
      <c r="G31181" s="812"/>
    </row>
    <row r="31182" spans="7:7">
      <c r="G31182" s="812"/>
    </row>
    <row r="31183" spans="7:7">
      <c r="G31183" s="812"/>
    </row>
    <row r="31184" spans="7:7">
      <c r="G31184" s="812"/>
    </row>
    <row r="31185" spans="7:7">
      <c r="G31185" s="812"/>
    </row>
    <row r="31186" spans="7:7">
      <c r="G31186" s="812"/>
    </row>
    <row r="31187" spans="7:7">
      <c r="G31187" s="812"/>
    </row>
    <row r="31188" spans="7:7">
      <c r="G31188" s="812"/>
    </row>
    <row r="31189" spans="7:7">
      <c r="G31189" s="812"/>
    </row>
    <row r="31190" spans="7:7">
      <c r="G31190" s="812"/>
    </row>
    <row r="31191" spans="7:7">
      <c r="G31191" s="812"/>
    </row>
    <row r="31192" spans="7:7">
      <c r="G31192" s="812"/>
    </row>
    <row r="31193" spans="7:7">
      <c r="G31193" s="812"/>
    </row>
    <row r="31194" spans="7:7">
      <c r="G31194" s="812"/>
    </row>
    <row r="31195" spans="7:7">
      <c r="G31195" s="812"/>
    </row>
    <row r="31196" spans="7:7">
      <c r="G31196" s="812"/>
    </row>
    <row r="31197" spans="7:7">
      <c r="G31197" s="812"/>
    </row>
    <row r="31198" spans="7:7">
      <c r="G31198" s="812"/>
    </row>
    <row r="31199" spans="7:7">
      <c r="G31199" s="812"/>
    </row>
    <row r="31200" spans="7:7">
      <c r="G31200" s="812"/>
    </row>
    <row r="31201" spans="7:7">
      <c r="G31201" s="812"/>
    </row>
    <row r="31202" spans="7:7">
      <c r="G31202" s="812"/>
    </row>
    <row r="31203" spans="7:7">
      <c r="G31203" s="812"/>
    </row>
    <row r="31204" spans="7:7">
      <c r="G31204" s="812"/>
    </row>
    <row r="31205" spans="7:7">
      <c r="G31205" s="812"/>
    </row>
    <row r="31206" spans="7:7">
      <c r="G31206" s="812"/>
    </row>
    <row r="31207" spans="7:7">
      <c r="G31207" s="812"/>
    </row>
    <row r="31208" spans="7:7">
      <c r="G31208" s="812"/>
    </row>
    <row r="31209" spans="7:7">
      <c r="G31209" s="812"/>
    </row>
    <row r="31210" spans="7:7">
      <c r="G31210" s="812"/>
    </row>
    <row r="31211" spans="7:7">
      <c r="G31211" s="812"/>
    </row>
    <row r="31212" spans="7:7">
      <c r="G31212" s="812"/>
    </row>
    <row r="31213" spans="7:7">
      <c r="G31213" s="812"/>
    </row>
    <row r="31214" spans="7:7">
      <c r="G31214" s="812"/>
    </row>
    <row r="31215" spans="7:7">
      <c r="G31215" s="812"/>
    </row>
    <row r="31216" spans="7:7">
      <c r="G31216" s="812"/>
    </row>
    <row r="31217" spans="7:7">
      <c r="G31217" s="812"/>
    </row>
    <row r="31218" spans="7:7">
      <c r="G31218" s="812"/>
    </row>
    <row r="31219" spans="7:7">
      <c r="G31219" s="812"/>
    </row>
    <row r="31220" spans="7:7">
      <c r="G31220" s="812"/>
    </row>
    <row r="31221" spans="7:7">
      <c r="G31221" s="812"/>
    </row>
    <row r="31222" spans="7:7">
      <c r="G31222" s="812"/>
    </row>
    <row r="31223" spans="7:7">
      <c r="G31223" s="812"/>
    </row>
    <row r="31224" spans="7:7">
      <c r="G31224" s="812"/>
    </row>
    <row r="31225" spans="7:7">
      <c r="G31225" s="812"/>
    </row>
    <row r="31226" spans="7:7">
      <c r="G31226" s="812"/>
    </row>
    <row r="31227" spans="7:7">
      <c r="G31227" s="812"/>
    </row>
    <row r="31228" spans="7:7">
      <c r="G31228" s="812"/>
    </row>
    <row r="31229" spans="7:7">
      <c r="G31229" s="812"/>
    </row>
    <row r="31230" spans="7:7">
      <c r="G31230" s="812"/>
    </row>
    <row r="31231" spans="7:7">
      <c r="G31231" s="812"/>
    </row>
    <row r="31232" spans="7:7">
      <c r="G31232" s="812"/>
    </row>
    <row r="31233" spans="7:7">
      <c r="G31233" s="812"/>
    </row>
    <row r="31234" spans="7:7">
      <c r="G31234" s="812"/>
    </row>
    <row r="31235" spans="7:7">
      <c r="G31235" s="812"/>
    </row>
    <row r="31236" spans="7:7">
      <c r="G31236" s="812"/>
    </row>
    <row r="31237" spans="7:7">
      <c r="G31237" s="812"/>
    </row>
    <row r="31238" spans="7:7">
      <c r="G31238" s="812"/>
    </row>
    <row r="31239" spans="7:7">
      <c r="G31239" s="812"/>
    </row>
    <row r="31240" spans="7:7">
      <c r="G31240" s="812"/>
    </row>
    <row r="31241" spans="7:7">
      <c r="G31241" s="812"/>
    </row>
    <row r="31242" spans="7:7">
      <c r="G31242" s="812"/>
    </row>
    <row r="31243" spans="7:7">
      <c r="G31243" s="812"/>
    </row>
    <row r="31244" spans="7:7">
      <c r="G31244" s="812"/>
    </row>
    <row r="31245" spans="7:7">
      <c r="G31245" s="812"/>
    </row>
    <row r="31246" spans="7:7">
      <c r="G31246" s="812"/>
    </row>
    <row r="31247" spans="7:7">
      <c r="G31247" s="812"/>
    </row>
    <row r="31248" spans="7:7">
      <c r="G31248" s="812"/>
    </row>
    <row r="31249" spans="7:7">
      <c r="G31249" s="812"/>
    </row>
    <row r="31250" spans="7:7">
      <c r="G31250" s="812"/>
    </row>
    <row r="31251" spans="7:7">
      <c r="G31251" s="812"/>
    </row>
    <row r="31252" spans="7:7">
      <c r="G31252" s="812"/>
    </row>
    <row r="31253" spans="7:7">
      <c r="G31253" s="812"/>
    </row>
    <row r="31254" spans="7:7">
      <c r="G31254" s="812"/>
    </row>
    <row r="31255" spans="7:7">
      <c r="G31255" s="812"/>
    </row>
    <row r="31256" spans="7:7">
      <c r="G31256" s="812"/>
    </row>
    <row r="31257" spans="7:7">
      <c r="G31257" s="812"/>
    </row>
    <row r="31258" spans="7:7">
      <c r="G31258" s="812"/>
    </row>
    <row r="31259" spans="7:7">
      <c r="G31259" s="812"/>
    </row>
    <row r="31260" spans="7:7">
      <c r="G31260" s="812"/>
    </row>
    <row r="31261" spans="7:7">
      <c r="G31261" s="812"/>
    </row>
    <row r="31262" spans="7:7">
      <c r="G31262" s="812"/>
    </row>
    <row r="31263" spans="7:7">
      <c r="G31263" s="812"/>
    </row>
    <row r="31264" spans="7:7">
      <c r="G31264" s="812"/>
    </row>
    <row r="31265" spans="7:7">
      <c r="G31265" s="812"/>
    </row>
    <row r="31266" spans="7:7">
      <c r="G31266" s="812"/>
    </row>
    <row r="31267" spans="7:7">
      <c r="G31267" s="812"/>
    </row>
    <row r="31268" spans="7:7">
      <c r="G31268" s="812"/>
    </row>
    <row r="31269" spans="7:7">
      <c r="G31269" s="812"/>
    </row>
    <row r="31270" spans="7:7">
      <c r="G31270" s="812"/>
    </row>
    <row r="31271" spans="7:7">
      <c r="G31271" s="812"/>
    </row>
    <row r="31272" spans="7:7">
      <c r="G31272" s="812"/>
    </row>
    <row r="31273" spans="7:7">
      <c r="G31273" s="812"/>
    </row>
    <row r="31274" spans="7:7">
      <c r="G31274" s="812"/>
    </row>
    <row r="31275" spans="7:7">
      <c r="G31275" s="812"/>
    </row>
    <row r="31276" spans="7:7">
      <c r="G31276" s="812"/>
    </row>
    <row r="31277" spans="7:7">
      <c r="G31277" s="812"/>
    </row>
    <row r="31278" spans="7:7">
      <c r="G31278" s="812"/>
    </row>
    <row r="31279" spans="7:7">
      <c r="G31279" s="812"/>
    </row>
    <row r="31280" spans="7:7">
      <c r="G31280" s="812"/>
    </row>
    <row r="31281" spans="7:7">
      <c r="G31281" s="812"/>
    </row>
    <row r="31282" spans="7:7">
      <c r="G31282" s="812"/>
    </row>
    <row r="31283" spans="7:7">
      <c r="G31283" s="812"/>
    </row>
    <row r="31284" spans="7:7">
      <c r="G31284" s="812"/>
    </row>
    <row r="31285" spans="7:7">
      <c r="G31285" s="812"/>
    </row>
    <row r="31286" spans="7:7">
      <c r="G31286" s="812"/>
    </row>
    <row r="31287" spans="7:7">
      <c r="G31287" s="812"/>
    </row>
    <row r="31288" spans="7:7">
      <c r="G31288" s="812"/>
    </row>
    <row r="31289" spans="7:7">
      <c r="G31289" s="812"/>
    </row>
    <row r="31290" spans="7:7">
      <c r="G31290" s="812"/>
    </row>
    <row r="31291" spans="7:7">
      <c r="G31291" s="812"/>
    </row>
    <row r="31292" spans="7:7">
      <c r="G31292" s="812"/>
    </row>
    <row r="31293" spans="7:7">
      <c r="G31293" s="812"/>
    </row>
    <row r="31294" spans="7:7">
      <c r="G31294" s="812"/>
    </row>
    <row r="31295" spans="7:7">
      <c r="G31295" s="812"/>
    </row>
    <row r="31296" spans="7:7">
      <c r="G31296" s="812"/>
    </row>
    <row r="31297" spans="7:7">
      <c r="G31297" s="812"/>
    </row>
    <row r="31298" spans="7:7">
      <c r="G31298" s="812"/>
    </row>
    <row r="31299" spans="7:7">
      <c r="G31299" s="812"/>
    </row>
    <row r="31300" spans="7:7">
      <c r="G31300" s="812"/>
    </row>
    <row r="31301" spans="7:7">
      <c r="G31301" s="812"/>
    </row>
    <row r="31302" spans="7:7">
      <c r="G31302" s="812"/>
    </row>
    <row r="31303" spans="7:7">
      <c r="G31303" s="812"/>
    </row>
    <row r="31304" spans="7:7">
      <c r="G31304" s="812"/>
    </row>
    <row r="31305" spans="7:7">
      <c r="G31305" s="812"/>
    </row>
    <row r="31306" spans="7:7">
      <c r="G31306" s="812"/>
    </row>
    <row r="31307" spans="7:7">
      <c r="G31307" s="812"/>
    </row>
    <row r="31308" spans="7:7">
      <c r="G31308" s="812"/>
    </row>
    <row r="31309" spans="7:7">
      <c r="G31309" s="812"/>
    </row>
    <row r="31310" spans="7:7">
      <c r="G31310" s="812"/>
    </row>
    <row r="31311" spans="7:7">
      <c r="G31311" s="812"/>
    </row>
    <row r="31312" spans="7:7">
      <c r="G31312" s="812"/>
    </row>
    <row r="31313" spans="7:7">
      <c r="G31313" s="812"/>
    </row>
    <row r="31314" spans="7:7">
      <c r="G31314" s="812"/>
    </row>
    <row r="31315" spans="7:7">
      <c r="G31315" s="812"/>
    </row>
    <row r="31316" spans="7:7">
      <c r="G31316" s="812"/>
    </row>
    <row r="31317" spans="7:7">
      <c r="G31317" s="812"/>
    </row>
    <row r="31318" spans="7:7">
      <c r="G31318" s="812"/>
    </row>
    <row r="31319" spans="7:7">
      <c r="G31319" s="812"/>
    </row>
    <row r="31320" spans="7:7">
      <c r="G31320" s="812"/>
    </row>
    <row r="31321" spans="7:7">
      <c r="G31321" s="812"/>
    </row>
    <row r="31322" spans="7:7">
      <c r="G31322" s="812"/>
    </row>
    <row r="31323" spans="7:7">
      <c r="G31323" s="812"/>
    </row>
    <row r="31324" spans="7:7">
      <c r="G31324" s="812"/>
    </row>
    <row r="31325" spans="7:7">
      <c r="G31325" s="812"/>
    </row>
    <row r="31326" spans="7:7">
      <c r="G31326" s="812"/>
    </row>
    <row r="31327" spans="7:7">
      <c r="G31327" s="812"/>
    </row>
    <row r="31328" spans="7:7">
      <c r="G31328" s="812"/>
    </row>
    <row r="31329" spans="7:7">
      <c r="G31329" s="812"/>
    </row>
    <row r="31330" spans="7:7">
      <c r="G31330" s="812"/>
    </row>
    <row r="31331" spans="7:7">
      <c r="G31331" s="812"/>
    </row>
    <row r="31332" spans="7:7">
      <c r="G31332" s="812"/>
    </row>
    <row r="31333" spans="7:7">
      <c r="G31333" s="812"/>
    </row>
    <row r="31334" spans="7:7">
      <c r="G31334" s="812"/>
    </row>
    <row r="31335" spans="7:7">
      <c r="G31335" s="812"/>
    </row>
    <row r="31336" spans="7:7">
      <c r="G31336" s="812"/>
    </row>
    <row r="31337" spans="7:7">
      <c r="G31337" s="812"/>
    </row>
    <row r="31338" spans="7:7">
      <c r="G31338" s="812"/>
    </row>
    <row r="31339" spans="7:7">
      <c r="G31339" s="812"/>
    </row>
    <row r="31340" spans="7:7">
      <c r="G31340" s="812"/>
    </row>
    <row r="31341" spans="7:7">
      <c r="G31341" s="812"/>
    </row>
    <row r="31342" spans="7:7">
      <c r="G31342" s="812"/>
    </row>
    <row r="31343" spans="7:7">
      <c r="G31343" s="812"/>
    </row>
    <row r="31344" spans="7:7">
      <c r="G31344" s="812"/>
    </row>
    <row r="31345" spans="7:7">
      <c r="G31345" s="812"/>
    </row>
    <row r="31346" spans="7:7">
      <c r="G31346" s="812"/>
    </row>
    <row r="31347" spans="7:7">
      <c r="G31347" s="812"/>
    </row>
    <row r="31348" spans="7:7">
      <c r="G31348" s="812"/>
    </row>
    <row r="31349" spans="7:7">
      <c r="G31349" s="812"/>
    </row>
    <row r="31350" spans="7:7">
      <c r="G31350" s="812"/>
    </row>
    <row r="31351" spans="7:7">
      <c r="G31351" s="812"/>
    </row>
    <row r="31352" spans="7:7">
      <c r="G31352" s="812"/>
    </row>
    <row r="31353" spans="7:7">
      <c r="G31353" s="812"/>
    </row>
    <row r="31354" spans="7:7">
      <c r="G31354" s="812"/>
    </row>
    <row r="31355" spans="7:7">
      <c r="G31355" s="812"/>
    </row>
    <row r="31356" spans="7:7">
      <c r="G31356" s="812"/>
    </row>
    <row r="31357" spans="7:7">
      <c r="G31357" s="812"/>
    </row>
    <row r="31358" spans="7:7">
      <c r="G31358" s="812"/>
    </row>
    <row r="31359" spans="7:7">
      <c r="G31359" s="812"/>
    </row>
    <row r="31360" spans="7:7">
      <c r="G31360" s="812"/>
    </row>
    <row r="31361" spans="7:7">
      <c r="G31361" s="812"/>
    </row>
    <row r="31362" spans="7:7">
      <c r="G31362" s="812"/>
    </row>
    <row r="31363" spans="7:7">
      <c r="G31363" s="812"/>
    </row>
    <row r="31364" spans="7:7">
      <c r="G31364" s="812"/>
    </row>
    <row r="31365" spans="7:7">
      <c r="G31365" s="812"/>
    </row>
    <row r="31366" spans="7:7">
      <c r="G31366" s="812"/>
    </row>
    <row r="31367" spans="7:7">
      <c r="G31367" s="812"/>
    </row>
    <row r="31368" spans="7:7">
      <c r="G31368" s="812"/>
    </row>
    <row r="31369" spans="7:7">
      <c r="G31369" s="812"/>
    </row>
    <row r="31370" spans="7:7">
      <c r="G31370" s="812"/>
    </row>
    <row r="31371" spans="7:7">
      <c r="G31371" s="812"/>
    </row>
    <row r="31372" spans="7:7">
      <c r="G31372" s="812"/>
    </row>
    <row r="31373" spans="7:7">
      <c r="G31373" s="812"/>
    </row>
    <row r="31374" spans="7:7">
      <c r="G31374" s="812"/>
    </row>
    <row r="31375" spans="7:7">
      <c r="G31375" s="812"/>
    </row>
    <row r="31376" spans="7:7">
      <c r="G31376" s="812"/>
    </row>
    <row r="31377" spans="7:7">
      <c r="G31377" s="812"/>
    </row>
    <row r="31378" spans="7:7">
      <c r="G31378" s="812"/>
    </row>
    <row r="31379" spans="7:7">
      <c r="G31379" s="812"/>
    </row>
    <row r="31380" spans="7:7">
      <c r="G31380" s="812"/>
    </row>
    <row r="31381" spans="7:7">
      <c r="G31381" s="812"/>
    </row>
    <row r="31382" spans="7:7">
      <c r="G31382" s="812"/>
    </row>
    <row r="31383" spans="7:7">
      <c r="G31383" s="812"/>
    </row>
    <row r="31384" spans="7:7">
      <c r="G31384" s="812"/>
    </row>
    <row r="31385" spans="7:7">
      <c r="G31385" s="812"/>
    </row>
    <row r="31386" spans="7:7">
      <c r="G31386" s="812"/>
    </row>
    <row r="31387" spans="7:7">
      <c r="G31387" s="812"/>
    </row>
    <row r="31388" spans="7:7">
      <c r="G31388" s="812"/>
    </row>
    <row r="31389" spans="7:7">
      <c r="G31389" s="812"/>
    </row>
    <row r="31390" spans="7:7">
      <c r="G31390" s="812"/>
    </row>
    <row r="31391" spans="7:7">
      <c r="G31391" s="812"/>
    </row>
    <row r="31392" spans="7:7">
      <c r="G31392" s="812"/>
    </row>
    <row r="31393" spans="7:7">
      <c r="G31393" s="812"/>
    </row>
    <row r="31394" spans="7:7">
      <c r="G31394" s="812"/>
    </row>
    <row r="31395" spans="7:7">
      <c r="G31395" s="812"/>
    </row>
    <row r="31396" spans="7:7">
      <c r="G31396" s="812"/>
    </row>
    <row r="31397" spans="7:7">
      <c r="G31397" s="812"/>
    </row>
    <row r="31398" spans="7:7">
      <c r="G31398" s="812"/>
    </row>
    <row r="31399" spans="7:7">
      <c r="G31399" s="812"/>
    </row>
    <row r="31400" spans="7:7">
      <c r="G31400" s="812"/>
    </row>
    <row r="31401" spans="7:7">
      <c r="G31401" s="812"/>
    </row>
    <row r="31402" spans="7:7">
      <c r="G31402" s="812"/>
    </row>
    <row r="31403" spans="7:7">
      <c r="G31403" s="812"/>
    </row>
    <row r="31404" spans="7:7">
      <c r="G31404" s="812"/>
    </row>
    <row r="31405" spans="7:7">
      <c r="G31405" s="812"/>
    </row>
    <row r="31406" spans="7:7">
      <c r="G31406" s="812"/>
    </row>
    <row r="31407" spans="7:7">
      <c r="G31407" s="812"/>
    </row>
    <row r="31408" spans="7:7">
      <c r="G31408" s="812"/>
    </row>
    <row r="31409" spans="7:7">
      <c r="G31409" s="812"/>
    </row>
    <row r="31410" spans="7:7">
      <c r="G31410" s="812"/>
    </row>
    <row r="31411" spans="7:7">
      <c r="G31411" s="812"/>
    </row>
    <row r="31412" spans="7:7">
      <c r="G31412" s="812"/>
    </row>
    <row r="31413" spans="7:7">
      <c r="G31413" s="812"/>
    </row>
    <row r="31414" spans="7:7">
      <c r="G31414" s="812"/>
    </row>
    <row r="31415" spans="7:7">
      <c r="G31415" s="812"/>
    </row>
    <row r="31416" spans="7:7">
      <c r="G31416" s="812"/>
    </row>
    <row r="31417" spans="7:7">
      <c r="G31417" s="812"/>
    </row>
    <row r="31418" spans="7:7">
      <c r="G31418" s="812"/>
    </row>
    <row r="31419" spans="7:7">
      <c r="G31419" s="812"/>
    </row>
    <row r="31420" spans="7:7">
      <c r="G31420" s="812"/>
    </row>
    <row r="31421" spans="7:7">
      <c r="G31421" s="812"/>
    </row>
    <row r="31422" spans="7:7">
      <c r="G31422" s="812"/>
    </row>
    <row r="31423" spans="7:7">
      <c r="G31423" s="812"/>
    </row>
    <row r="31424" spans="7:7">
      <c r="G31424" s="812"/>
    </row>
    <row r="31425" spans="7:7">
      <c r="G31425" s="812"/>
    </row>
    <row r="31426" spans="7:7">
      <c r="G31426" s="812"/>
    </row>
    <row r="31427" spans="7:7">
      <c r="G31427" s="812"/>
    </row>
    <row r="31428" spans="7:7">
      <c r="G31428" s="812"/>
    </row>
    <row r="31429" spans="7:7">
      <c r="G31429" s="812"/>
    </row>
    <row r="31430" spans="7:7">
      <c r="G31430" s="812"/>
    </row>
    <row r="31431" spans="7:7">
      <c r="G31431" s="812"/>
    </row>
    <row r="31432" spans="7:7">
      <c r="G31432" s="812"/>
    </row>
    <row r="31433" spans="7:7">
      <c r="G31433" s="812"/>
    </row>
    <row r="31434" spans="7:7">
      <c r="G31434" s="812"/>
    </row>
    <row r="31435" spans="7:7">
      <c r="G31435" s="812"/>
    </row>
    <row r="31436" spans="7:7">
      <c r="G31436" s="812"/>
    </row>
    <row r="31437" spans="7:7">
      <c r="G31437" s="812"/>
    </row>
    <row r="31438" spans="7:7">
      <c r="G31438" s="812"/>
    </row>
    <row r="31439" spans="7:7">
      <c r="G31439" s="812"/>
    </row>
    <row r="31440" spans="7:7">
      <c r="G31440" s="812"/>
    </row>
    <row r="31441" spans="7:7">
      <c r="G31441" s="812"/>
    </row>
    <row r="31442" spans="7:7">
      <c r="G31442" s="812"/>
    </row>
    <row r="31443" spans="7:7">
      <c r="G31443" s="812"/>
    </row>
    <row r="31444" spans="7:7">
      <c r="G31444" s="812"/>
    </row>
    <row r="31445" spans="7:7">
      <c r="G31445" s="812"/>
    </row>
    <row r="31446" spans="7:7">
      <c r="G31446" s="812"/>
    </row>
    <row r="31447" spans="7:7">
      <c r="G31447" s="812"/>
    </row>
    <row r="31448" spans="7:7">
      <c r="G31448" s="812"/>
    </row>
    <row r="31449" spans="7:7">
      <c r="G31449" s="812"/>
    </row>
    <row r="31450" spans="7:7">
      <c r="G31450" s="812"/>
    </row>
    <row r="31451" spans="7:7">
      <c r="G31451" s="812"/>
    </row>
    <row r="31452" spans="7:7">
      <c r="G31452" s="812"/>
    </row>
    <row r="31453" spans="7:7">
      <c r="G31453" s="812"/>
    </row>
    <row r="31454" spans="7:7">
      <c r="G31454" s="812"/>
    </row>
    <row r="31455" spans="7:7">
      <c r="G31455" s="812"/>
    </row>
    <row r="31456" spans="7:7">
      <c r="G31456" s="812"/>
    </row>
    <row r="31457" spans="7:7">
      <c r="G31457" s="812"/>
    </row>
    <row r="31458" spans="7:7">
      <c r="G31458" s="812"/>
    </row>
    <row r="31459" spans="7:7">
      <c r="G31459" s="812"/>
    </row>
    <row r="31460" spans="7:7">
      <c r="G31460" s="812"/>
    </row>
    <row r="31461" spans="7:7">
      <c r="G31461" s="812"/>
    </row>
    <row r="31462" spans="7:7">
      <c r="G31462" s="812"/>
    </row>
    <row r="31463" spans="7:7">
      <c r="G31463" s="812"/>
    </row>
    <row r="31464" spans="7:7">
      <c r="G31464" s="812"/>
    </row>
    <row r="31465" spans="7:7">
      <c r="G31465" s="812"/>
    </row>
    <row r="31466" spans="7:7">
      <c r="G31466" s="812"/>
    </row>
    <row r="31467" spans="7:7">
      <c r="G31467" s="812"/>
    </row>
    <row r="31468" spans="7:7">
      <c r="G31468" s="812"/>
    </row>
    <row r="31469" spans="7:7">
      <c r="G31469" s="812"/>
    </row>
    <row r="31470" spans="7:7">
      <c r="G31470" s="812"/>
    </row>
    <row r="31471" spans="7:7">
      <c r="G31471" s="812"/>
    </row>
    <row r="31472" spans="7:7">
      <c r="G31472" s="812"/>
    </row>
    <row r="31473" spans="7:7">
      <c r="G31473" s="812"/>
    </row>
    <row r="31474" spans="7:7">
      <c r="G31474" s="812"/>
    </row>
    <row r="31475" spans="7:7">
      <c r="G31475" s="812"/>
    </row>
    <row r="31476" spans="7:7">
      <c r="G31476" s="812"/>
    </row>
    <row r="31477" spans="7:7">
      <c r="G31477" s="812"/>
    </row>
    <row r="31478" spans="7:7">
      <c r="G31478" s="812"/>
    </row>
    <row r="31479" spans="7:7">
      <c r="G31479" s="812"/>
    </row>
    <row r="31480" spans="7:7">
      <c r="G31480" s="812"/>
    </row>
    <row r="31481" spans="7:7">
      <c r="G31481" s="812"/>
    </row>
    <row r="31482" spans="7:7">
      <c r="G31482" s="812"/>
    </row>
    <row r="31483" spans="7:7">
      <c r="G31483" s="812"/>
    </row>
    <row r="31484" spans="7:7">
      <c r="G31484" s="812"/>
    </row>
    <row r="31485" spans="7:7">
      <c r="G31485" s="812"/>
    </row>
    <row r="31486" spans="7:7">
      <c r="G31486" s="812"/>
    </row>
    <row r="31487" spans="7:7">
      <c r="G31487" s="812"/>
    </row>
    <row r="31488" spans="7:7">
      <c r="G31488" s="812"/>
    </row>
    <row r="31489" spans="7:7">
      <c r="G31489" s="812"/>
    </row>
    <row r="31490" spans="7:7">
      <c r="G31490" s="812"/>
    </row>
    <row r="31491" spans="7:7">
      <c r="G31491" s="812"/>
    </row>
    <row r="31492" spans="7:7">
      <c r="G31492" s="812"/>
    </row>
    <row r="31493" spans="7:7">
      <c r="G31493" s="812"/>
    </row>
    <row r="31494" spans="7:7">
      <c r="G31494" s="812"/>
    </row>
    <row r="31495" spans="7:7">
      <c r="G31495" s="812"/>
    </row>
    <row r="31496" spans="7:7">
      <c r="G31496" s="812"/>
    </row>
    <row r="31497" spans="7:7">
      <c r="G31497" s="812"/>
    </row>
    <row r="31498" spans="7:7">
      <c r="G31498" s="812"/>
    </row>
    <row r="31499" spans="7:7">
      <c r="G31499" s="812"/>
    </row>
    <row r="31500" spans="7:7">
      <c r="G31500" s="812"/>
    </row>
    <row r="31501" spans="7:7">
      <c r="G31501" s="812"/>
    </row>
    <row r="31502" spans="7:7">
      <c r="G31502" s="812"/>
    </row>
    <row r="31503" spans="7:7">
      <c r="G31503" s="812"/>
    </row>
    <row r="31504" spans="7:7">
      <c r="G31504" s="812"/>
    </row>
    <row r="31505" spans="7:7">
      <c r="G31505" s="812"/>
    </row>
    <row r="31506" spans="7:7">
      <c r="G31506" s="812"/>
    </row>
    <row r="31507" spans="7:7">
      <c r="G31507" s="812"/>
    </row>
    <row r="31508" spans="7:7">
      <c r="G31508" s="812"/>
    </row>
    <row r="31509" spans="7:7">
      <c r="G31509" s="812"/>
    </row>
    <row r="31510" spans="7:7">
      <c r="G31510" s="812"/>
    </row>
    <row r="31511" spans="7:7">
      <c r="G31511" s="812"/>
    </row>
    <row r="31512" spans="7:7">
      <c r="G31512" s="812"/>
    </row>
    <row r="31513" spans="7:7">
      <c r="G31513" s="812"/>
    </row>
    <row r="31514" spans="7:7">
      <c r="G31514" s="812"/>
    </row>
    <row r="31515" spans="7:7">
      <c r="G31515" s="812"/>
    </row>
    <row r="31516" spans="7:7">
      <c r="G31516" s="812"/>
    </row>
    <row r="31517" spans="7:7">
      <c r="G31517" s="812"/>
    </row>
    <row r="31518" spans="7:7">
      <c r="G31518" s="812"/>
    </row>
    <row r="31519" spans="7:7">
      <c r="G31519" s="812"/>
    </row>
    <row r="31520" spans="7:7">
      <c r="G31520" s="812"/>
    </row>
    <row r="31521" spans="7:7">
      <c r="G31521" s="812"/>
    </row>
    <row r="31522" spans="7:7">
      <c r="G31522" s="812"/>
    </row>
    <row r="31523" spans="7:7">
      <c r="G31523" s="812"/>
    </row>
    <row r="31524" spans="7:7">
      <c r="G31524" s="812"/>
    </row>
    <row r="31525" spans="7:7">
      <c r="G31525" s="812"/>
    </row>
    <row r="31526" spans="7:7">
      <c r="G31526" s="812"/>
    </row>
    <row r="31527" spans="7:7">
      <c r="G31527" s="812"/>
    </row>
    <row r="31528" spans="7:7">
      <c r="G31528" s="812"/>
    </row>
    <row r="31529" spans="7:7">
      <c r="G31529" s="812"/>
    </row>
    <row r="31530" spans="7:7">
      <c r="G31530" s="812"/>
    </row>
    <row r="31531" spans="7:7">
      <c r="G31531" s="812"/>
    </row>
    <row r="31532" spans="7:7">
      <c r="G31532" s="812"/>
    </row>
    <row r="31533" spans="7:7">
      <c r="G31533" s="812"/>
    </row>
    <row r="31534" spans="7:7">
      <c r="G31534" s="812"/>
    </row>
    <row r="31535" spans="7:7">
      <c r="G31535" s="812"/>
    </row>
    <row r="31536" spans="7:7">
      <c r="G31536" s="812"/>
    </row>
    <row r="31537" spans="7:7">
      <c r="G31537" s="812"/>
    </row>
    <row r="31538" spans="7:7">
      <c r="G31538" s="812"/>
    </row>
    <row r="31539" spans="7:7">
      <c r="G31539" s="812"/>
    </row>
    <row r="31540" spans="7:7">
      <c r="G31540" s="812"/>
    </row>
    <row r="31541" spans="7:7">
      <c r="G31541" s="812"/>
    </row>
    <row r="31542" spans="7:7">
      <c r="G31542" s="812"/>
    </row>
    <row r="31543" spans="7:7">
      <c r="G31543" s="812"/>
    </row>
    <row r="31544" spans="7:7">
      <c r="G31544" s="812"/>
    </row>
    <row r="31545" spans="7:7">
      <c r="G31545" s="812"/>
    </row>
    <row r="31546" spans="7:7">
      <c r="G31546" s="812"/>
    </row>
    <row r="31547" spans="7:7">
      <c r="G31547" s="812"/>
    </row>
    <row r="31548" spans="7:7">
      <c r="G31548" s="812"/>
    </row>
    <row r="31549" spans="7:7">
      <c r="G31549" s="812"/>
    </row>
    <row r="31550" spans="7:7">
      <c r="G31550" s="812"/>
    </row>
    <row r="31551" spans="7:7">
      <c r="G31551" s="812"/>
    </row>
    <row r="31552" spans="7:7">
      <c r="G31552" s="812"/>
    </row>
    <row r="31553" spans="7:7">
      <c r="G31553" s="812"/>
    </row>
    <row r="31554" spans="7:7">
      <c r="G31554" s="812"/>
    </row>
    <row r="31555" spans="7:7">
      <c r="G31555" s="812"/>
    </row>
    <row r="31556" spans="7:7">
      <c r="G31556" s="812"/>
    </row>
    <row r="31557" spans="7:7">
      <c r="G31557" s="812"/>
    </row>
    <row r="31558" spans="7:7">
      <c r="G31558" s="812"/>
    </row>
    <row r="31559" spans="7:7">
      <c r="G31559" s="812"/>
    </row>
    <row r="31560" spans="7:7">
      <c r="G31560" s="812"/>
    </row>
    <row r="31561" spans="7:7">
      <c r="G31561" s="812"/>
    </row>
    <row r="31562" spans="7:7">
      <c r="G31562" s="812"/>
    </row>
    <row r="31563" spans="7:7">
      <c r="G31563" s="812"/>
    </row>
    <row r="31564" spans="7:7">
      <c r="G31564" s="812"/>
    </row>
    <row r="31565" spans="7:7">
      <c r="G31565" s="812"/>
    </row>
    <row r="31566" spans="7:7">
      <c r="G31566" s="812"/>
    </row>
    <row r="31567" spans="7:7">
      <c r="G31567" s="812"/>
    </row>
    <row r="31568" spans="7:7">
      <c r="G31568" s="812"/>
    </row>
    <row r="31569" spans="7:7">
      <c r="G31569" s="812"/>
    </row>
    <row r="31570" spans="7:7">
      <c r="G31570" s="812"/>
    </row>
    <row r="31571" spans="7:7">
      <c r="G31571" s="812"/>
    </row>
    <row r="31572" spans="7:7">
      <c r="G31572" s="812"/>
    </row>
    <row r="31573" spans="7:7">
      <c r="G31573" s="812"/>
    </row>
    <row r="31574" spans="7:7">
      <c r="G31574" s="812"/>
    </row>
    <row r="31575" spans="7:7">
      <c r="G31575" s="812"/>
    </row>
    <row r="31576" spans="7:7">
      <c r="G31576" s="812"/>
    </row>
    <row r="31577" spans="7:7">
      <c r="G31577" s="812"/>
    </row>
    <row r="31578" spans="7:7">
      <c r="G31578" s="812"/>
    </row>
    <row r="31579" spans="7:7">
      <c r="G31579" s="812"/>
    </row>
    <row r="31580" spans="7:7">
      <c r="G31580" s="812"/>
    </row>
    <row r="31581" spans="7:7">
      <c r="G31581" s="812"/>
    </row>
    <row r="31582" spans="7:7">
      <c r="G31582" s="812"/>
    </row>
    <row r="31583" spans="7:7">
      <c r="G31583" s="812"/>
    </row>
    <row r="31584" spans="7:7">
      <c r="G31584" s="812"/>
    </row>
    <row r="31585" spans="7:7">
      <c r="G31585" s="812"/>
    </row>
    <row r="31586" spans="7:7">
      <c r="G31586" s="812"/>
    </row>
    <row r="31587" spans="7:7">
      <c r="G31587" s="812"/>
    </row>
    <row r="31588" spans="7:7">
      <c r="G31588" s="812"/>
    </row>
    <row r="31589" spans="7:7">
      <c r="G31589" s="812"/>
    </row>
    <row r="31590" spans="7:7">
      <c r="G31590" s="812"/>
    </row>
    <row r="31591" spans="7:7">
      <c r="G31591" s="812"/>
    </row>
    <row r="31592" spans="7:7">
      <c r="G31592" s="812"/>
    </row>
    <row r="31593" spans="7:7">
      <c r="G31593" s="812"/>
    </row>
    <row r="31594" spans="7:7">
      <c r="G31594" s="812"/>
    </row>
    <row r="31595" spans="7:7">
      <c r="G31595" s="812"/>
    </row>
    <row r="31596" spans="7:7">
      <c r="G31596" s="812"/>
    </row>
    <row r="31597" spans="7:7">
      <c r="G31597" s="812"/>
    </row>
    <row r="31598" spans="7:7">
      <c r="G31598" s="812"/>
    </row>
    <row r="31599" spans="7:7">
      <c r="G31599" s="812"/>
    </row>
    <row r="31600" spans="7:7">
      <c r="G31600" s="812"/>
    </row>
    <row r="31601" spans="7:7">
      <c r="G31601" s="812"/>
    </row>
    <row r="31602" spans="7:7">
      <c r="G31602" s="812"/>
    </row>
    <row r="31603" spans="7:7">
      <c r="G31603" s="812"/>
    </row>
    <row r="31604" spans="7:7">
      <c r="G31604" s="812"/>
    </row>
    <row r="31605" spans="7:7">
      <c r="G31605" s="812"/>
    </row>
    <row r="31606" spans="7:7">
      <c r="G31606" s="812"/>
    </row>
    <row r="31607" spans="7:7">
      <c r="G31607" s="812"/>
    </row>
    <row r="31608" spans="7:7">
      <c r="G31608" s="812"/>
    </row>
    <row r="31609" spans="7:7">
      <c r="G31609" s="812"/>
    </row>
    <row r="31610" spans="7:7">
      <c r="G31610" s="812"/>
    </row>
    <row r="31611" spans="7:7">
      <c r="G31611" s="812"/>
    </row>
    <row r="31612" spans="7:7">
      <c r="G31612" s="812"/>
    </row>
    <row r="31613" spans="7:7">
      <c r="G31613" s="812"/>
    </row>
    <row r="31614" spans="7:7">
      <c r="G31614" s="812"/>
    </row>
    <row r="31615" spans="7:7">
      <c r="G31615" s="812"/>
    </row>
    <row r="31616" spans="7:7">
      <c r="G31616" s="812"/>
    </row>
    <row r="31617" spans="7:7">
      <c r="G31617" s="812"/>
    </row>
    <row r="31618" spans="7:7">
      <c r="G31618" s="812"/>
    </row>
    <row r="31619" spans="7:7">
      <c r="G31619" s="812"/>
    </row>
    <row r="31620" spans="7:7">
      <c r="G31620" s="812"/>
    </row>
    <row r="31621" spans="7:7">
      <c r="G31621" s="812"/>
    </row>
    <row r="31622" spans="7:7">
      <c r="G31622" s="812"/>
    </row>
    <row r="31623" spans="7:7">
      <c r="G31623" s="812"/>
    </row>
    <row r="31624" spans="7:7">
      <c r="G31624" s="812"/>
    </row>
    <row r="31625" spans="7:7">
      <c r="G31625" s="812"/>
    </row>
    <row r="31626" spans="7:7">
      <c r="G31626" s="812"/>
    </row>
    <row r="31627" spans="7:7">
      <c r="G31627" s="812"/>
    </row>
    <row r="31628" spans="7:7">
      <c r="G31628" s="812"/>
    </row>
    <row r="31629" spans="7:7">
      <c r="G31629" s="812"/>
    </row>
    <row r="31630" spans="7:7">
      <c r="G31630" s="812"/>
    </row>
    <row r="31631" spans="7:7">
      <c r="G31631" s="812"/>
    </row>
    <row r="31632" spans="7:7">
      <c r="G31632" s="812"/>
    </row>
    <row r="31633" spans="7:7">
      <c r="G31633" s="812"/>
    </row>
    <row r="31634" spans="7:7">
      <c r="G31634" s="812"/>
    </row>
    <row r="31635" spans="7:7">
      <c r="G31635" s="812"/>
    </row>
    <row r="31636" spans="7:7">
      <c r="G31636" s="812"/>
    </row>
    <row r="31637" spans="7:7">
      <c r="G31637" s="812"/>
    </row>
    <row r="31638" spans="7:7">
      <c r="G31638" s="812"/>
    </row>
    <row r="31639" spans="7:7">
      <c r="G31639" s="812"/>
    </row>
    <row r="31640" spans="7:7">
      <c r="G31640" s="812"/>
    </row>
    <row r="31641" spans="7:7">
      <c r="G31641" s="812"/>
    </row>
    <row r="31642" spans="7:7">
      <c r="G31642" s="812"/>
    </row>
    <row r="31643" spans="7:7">
      <c r="G31643" s="812"/>
    </row>
    <row r="31644" spans="7:7">
      <c r="G31644" s="812"/>
    </row>
    <row r="31645" spans="7:7">
      <c r="G31645" s="812"/>
    </row>
    <row r="31646" spans="7:7">
      <c r="G31646" s="812"/>
    </row>
    <row r="31647" spans="7:7">
      <c r="G31647" s="812"/>
    </row>
    <row r="31648" spans="7:7">
      <c r="G31648" s="812"/>
    </row>
    <row r="31649" spans="7:7">
      <c r="G31649" s="812"/>
    </row>
    <row r="31650" spans="7:7">
      <c r="G31650" s="812"/>
    </row>
    <row r="31651" spans="7:7">
      <c r="G31651" s="812"/>
    </row>
    <row r="31652" spans="7:7">
      <c r="G31652" s="812"/>
    </row>
    <row r="31653" spans="7:7">
      <c r="G31653" s="812"/>
    </row>
    <row r="31654" spans="7:7">
      <c r="G31654" s="812"/>
    </row>
    <row r="31655" spans="7:7">
      <c r="G31655" s="812"/>
    </row>
    <row r="31656" spans="7:7">
      <c r="G31656" s="812"/>
    </row>
    <row r="31657" spans="7:7">
      <c r="G31657" s="812"/>
    </row>
    <row r="31658" spans="7:7">
      <c r="G31658" s="812"/>
    </row>
    <row r="31659" spans="7:7">
      <c r="G31659" s="812"/>
    </row>
    <row r="31660" spans="7:7">
      <c r="G31660" s="812"/>
    </row>
    <row r="31661" spans="7:7">
      <c r="G31661" s="812"/>
    </row>
    <row r="31662" spans="7:7">
      <c r="G31662" s="812"/>
    </row>
    <row r="31663" spans="7:7">
      <c r="G31663" s="812"/>
    </row>
    <row r="31664" spans="7:7">
      <c r="G31664" s="812"/>
    </row>
    <row r="31665" spans="7:7">
      <c r="G31665" s="812"/>
    </row>
    <row r="31666" spans="7:7">
      <c r="G31666" s="812"/>
    </row>
    <row r="31667" spans="7:7">
      <c r="G31667" s="812"/>
    </row>
    <row r="31668" spans="7:7">
      <c r="G31668" s="812"/>
    </row>
    <row r="31669" spans="7:7">
      <c r="G31669" s="812"/>
    </row>
    <row r="31670" spans="7:7">
      <c r="G31670" s="812"/>
    </row>
    <row r="31671" spans="7:7">
      <c r="G31671" s="812"/>
    </row>
    <row r="31672" spans="7:7">
      <c r="G31672" s="812"/>
    </row>
    <row r="31673" spans="7:7">
      <c r="G31673" s="812"/>
    </row>
    <row r="31674" spans="7:7">
      <c r="G31674" s="812"/>
    </row>
    <row r="31675" spans="7:7">
      <c r="G31675" s="812"/>
    </row>
    <row r="31676" spans="7:7">
      <c r="G31676" s="812"/>
    </row>
    <row r="31677" spans="7:7">
      <c r="G31677" s="812"/>
    </row>
    <row r="31678" spans="7:7">
      <c r="G31678" s="812"/>
    </row>
    <row r="31679" spans="7:7">
      <c r="G31679" s="812"/>
    </row>
    <row r="31680" spans="7:7">
      <c r="G31680" s="812"/>
    </row>
    <row r="31681" spans="7:7">
      <c r="G31681" s="812"/>
    </row>
    <row r="31682" spans="7:7">
      <c r="G31682" s="812"/>
    </row>
    <row r="31683" spans="7:7">
      <c r="G31683" s="812"/>
    </row>
    <row r="31684" spans="7:7">
      <c r="G31684" s="812"/>
    </row>
    <row r="31685" spans="7:7">
      <c r="G31685" s="812"/>
    </row>
    <row r="31686" spans="7:7">
      <c r="G31686" s="812"/>
    </row>
    <row r="31687" spans="7:7">
      <c r="G31687" s="812"/>
    </row>
    <row r="31688" spans="7:7">
      <c r="G31688" s="812"/>
    </row>
    <row r="31689" spans="7:7">
      <c r="G31689" s="812"/>
    </row>
    <row r="31690" spans="7:7">
      <c r="G31690" s="812"/>
    </row>
    <row r="31691" spans="7:7">
      <c r="G31691" s="812"/>
    </row>
    <row r="31692" spans="7:7">
      <c r="G31692" s="812"/>
    </row>
    <row r="31693" spans="7:7">
      <c r="G31693" s="812"/>
    </row>
    <row r="31694" spans="7:7">
      <c r="G31694" s="812"/>
    </row>
    <row r="31695" spans="7:7">
      <c r="G31695" s="812"/>
    </row>
    <row r="31696" spans="7:7">
      <c r="G31696" s="812"/>
    </row>
    <row r="31697" spans="7:7">
      <c r="G31697" s="812"/>
    </row>
    <row r="31698" spans="7:7">
      <c r="G31698" s="812"/>
    </row>
    <row r="31699" spans="7:7">
      <c r="G31699" s="812"/>
    </row>
    <row r="31700" spans="7:7">
      <c r="G31700" s="812"/>
    </row>
    <row r="31701" spans="7:7">
      <c r="G31701" s="812"/>
    </row>
    <row r="31702" spans="7:7">
      <c r="G31702" s="812"/>
    </row>
    <row r="31703" spans="7:7">
      <c r="G31703" s="812"/>
    </row>
    <row r="31704" spans="7:7">
      <c r="G31704" s="812"/>
    </row>
    <row r="31705" spans="7:7">
      <c r="G31705" s="812"/>
    </row>
    <row r="31706" spans="7:7">
      <c r="G31706" s="812"/>
    </row>
    <row r="31707" spans="7:7">
      <c r="G31707" s="812"/>
    </row>
    <row r="31708" spans="7:7">
      <c r="G31708" s="812"/>
    </row>
    <row r="31709" spans="7:7">
      <c r="G31709" s="812"/>
    </row>
    <row r="31710" spans="7:7">
      <c r="G31710" s="812"/>
    </row>
    <row r="31711" spans="7:7">
      <c r="G31711" s="812"/>
    </row>
    <row r="31712" spans="7:7">
      <c r="G31712" s="812"/>
    </row>
    <row r="31713" spans="7:7">
      <c r="G31713" s="812"/>
    </row>
    <row r="31714" spans="7:7">
      <c r="G31714" s="812"/>
    </row>
    <row r="31715" spans="7:7">
      <c r="G31715" s="812"/>
    </row>
    <row r="31716" spans="7:7">
      <c r="G31716" s="812"/>
    </row>
    <row r="31717" spans="7:7">
      <c r="G31717" s="812"/>
    </row>
    <row r="31718" spans="7:7">
      <c r="G31718" s="812"/>
    </row>
    <row r="31719" spans="7:7">
      <c r="G31719" s="812"/>
    </row>
    <row r="31720" spans="7:7">
      <c r="G31720" s="812"/>
    </row>
    <row r="31721" spans="7:7">
      <c r="G31721" s="812"/>
    </row>
    <row r="31722" spans="7:7">
      <c r="G31722" s="812"/>
    </row>
    <row r="31723" spans="7:7">
      <c r="G31723" s="812"/>
    </row>
    <row r="31724" spans="7:7">
      <c r="G31724" s="812"/>
    </row>
    <row r="31725" spans="7:7">
      <c r="G31725" s="812"/>
    </row>
    <row r="31726" spans="7:7">
      <c r="G31726" s="812"/>
    </row>
    <row r="31727" spans="7:7">
      <c r="G31727" s="812"/>
    </row>
    <row r="31728" spans="7:7">
      <c r="G31728" s="812"/>
    </row>
    <row r="31729" spans="7:7">
      <c r="G31729" s="812"/>
    </row>
    <row r="31730" spans="7:7">
      <c r="G31730" s="812"/>
    </row>
    <row r="31731" spans="7:7">
      <c r="G31731" s="812"/>
    </row>
    <row r="31732" spans="7:7">
      <c r="G31732" s="812"/>
    </row>
    <row r="31733" spans="7:7">
      <c r="G31733" s="812"/>
    </row>
    <row r="31734" spans="7:7">
      <c r="G31734" s="812"/>
    </row>
    <row r="31735" spans="7:7">
      <c r="G31735" s="812"/>
    </row>
    <row r="31736" spans="7:7">
      <c r="G31736" s="812"/>
    </row>
    <row r="31737" spans="7:7">
      <c r="G31737" s="812"/>
    </row>
    <row r="31738" spans="7:7">
      <c r="G31738" s="812"/>
    </row>
    <row r="31739" spans="7:7">
      <c r="G31739" s="812"/>
    </row>
    <row r="31740" spans="7:7">
      <c r="G31740" s="812"/>
    </row>
    <row r="31741" spans="7:7">
      <c r="G31741" s="812"/>
    </row>
    <row r="31742" spans="7:7">
      <c r="G31742" s="812"/>
    </row>
    <row r="31743" spans="7:7">
      <c r="G31743" s="812"/>
    </row>
    <row r="31744" spans="7:7">
      <c r="G31744" s="812"/>
    </row>
    <row r="31745" spans="7:7">
      <c r="G31745" s="812"/>
    </row>
    <row r="31746" spans="7:7">
      <c r="G31746" s="812"/>
    </row>
    <row r="31747" spans="7:7">
      <c r="G31747" s="812"/>
    </row>
    <row r="31748" spans="7:7">
      <c r="G31748" s="812"/>
    </row>
    <row r="31749" spans="7:7">
      <c r="G31749" s="812"/>
    </row>
    <row r="31750" spans="7:7">
      <c r="G31750" s="812"/>
    </row>
    <row r="31751" spans="7:7">
      <c r="G31751" s="812"/>
    </row>
    <row r="31752" spans="7:7">
      <c r="G31752" s="812"/>
    </row>
    <row r="31753" spans="7:7">
      <c r="G31753" s="812"/>
    </row>
    <row r="31754" spans="7:7">
      <c r="G31754" s="812"/>
    </row>
    <row r="31755" spans="7:7">
      <c r="G31755" s="812"/>
    </row>
    <row r="31756" spans="7:7">
      <c r="G31756" s="812"/>
    </row>
    <row r="31757" spans="7:7">
      <c r="G31757" s="812"/>
    </row>
    <row r="31758" spans="7:7">
      <c r="G31758" s="812"/>
    </row>
    <row r="31759" spans="7:7">
      <c r="G31759" s="812"/>
    </row>
    <row r="31760" spans="7:7">
      <c r="G31760" s="812"/>
    </row>
    <row r="31761" spans="7:7">
      <c r="G31761" s="812"/>
    </row>
    <row r="31762" spans="7:7">
      <c r="G31762" s="812"/>
    </row>
    <row r="31763" spans="7:7">
      <c r="G31763" s="812"/>
    </row>
    <row r="31764" spans="7:7">
      <c r="G31764" s="812"/>
    </row>
    <row r="31765" spans="7:7">
      <c r="G31765" s="812"/>
    </row>
    <row r="31766" spans="7:7">
      <c r="G31766" s="812"/>
    </row>
    <row r="31767" spans="7:7">
      <c r="G31767" s="812"/>
    </row>
    <row r="31768" spans="7:7">
      <c r="G31768" s="812"/>
    </row>
    <row r="31769" spans="7:7">
      <c r="G31769" s="812"/>
    </row>
    <row r="31770" spans="7:7">
      <c r="G31770" s="812"/>
    </row>
    <row r="31771" spans="7:7">
      <c r="G31771" s="812"/>
    </row>
    <row r="31772" spans="7:7">
      <c r="G31772" s="812"/>
    </row>
    <row r="31773" spans="7:7">
      <c r="G31773" s="812"/>
    </row>
    <row r="31774" spans="7:7">
      <c r="G31774" s="812"/>
    </row>
    <row r="31775" spans="7:7">
      <c r="G31775" s="812"/>
    </row>
    <row r="31776" spans="7:7">
      <c r="G31776" s="812"/>
    </row>
    <row r="31777" spans="7:7">
      <c r="G31777" s="812"/>
    </row>
    <row r="31778" spans="7:7">
      <c r="G31778" s="812"/>
    </row>
    <row r="31779" spans="7:7">
      <c r="G31779" s="812"/>
    </row>
    <row r="31780" spans="7:7">
      <c r="G31780" s="812"/>
    </row>
    <row r="31781" spans="7:7">
      <c r="G31781" s="812"/>
    </row>
    <row r="31782" spans="7:7">
      <c r="G31782" s="812"/>
    </row>
    <row r="31783" spans="7:7">
      <c r="G31783" s="812"/>
    </row>
    <row r="31784" spans="7:7">
      <c r="G31784" s="812"/>
    </row>
    <row r="31785" spans="7:7">
      <c r="G31785" s="812"/>
    </row>
    <row r="31786" spans="7:7">
      <c r="G31786" s="812"/>
    </row>
    <row r="31787" spans="7:7">
      <c r="G31787" s="812"/>
    </row>
    <row r="31788" spans="7:7">
      <c r="G31788" s="812"/>
    </row>
    <row r="31789" spans="7:7">
      <c r="G31789" s="812"/>
    </row>
    <row r="31790" spans="7:7">
      <c r="G31790" s="812"/>
    </row>
    <row r="31791" spans="7:7">
      <c r="G31791" s="812"/>
    </row>
    <row r="31792" spans="7:7">
      <c r="G31792" s="812"/>
    </row>
    <row r="31793" spans="7:7">
      <c r="G31793" s="812"/>
    </row>
    <row r="31794" spans="7:7">
      <c r="G31794" s="812"/>
    </row>
    <row r="31795" spans="7:7">
      <c r="G31795" s="812"/>
    </row>
    <row r="31796" spans="7:7">
      <c r="G31796" s="812"/>
    </row>
    <row r="31797" spans="7:7">
      <c r="G31797" s="812"/>
    </row>
    <row r="31798" spans="7:7">
      <c r="G31798" s="812"/>
    </row>
    <row r="31799" spans="7:7">
      <c r="G31799" s="812"/>
    </row>
    <row r="31800" spans="7:7">
      <c r="G31800" s="812"/>
    </row>
    <row r="31801" spans="7:7">
      <c r="G31801" s="812"/>
    </row>
    <row r="31802" spans="7:7">
      <c r="G31802" s="812"/>
    </row>
    <row r="31803" spans="7:7">
      <c r="G31803" s="812"/>
    </row>
    <row r="31804" spans="7:7">
      <c r="G31804" s="812"/>
    </row>
    <row r="31805" spans="7:7">
      <c r="G31805" s="812"/>
    </row>
    <row r="31806" spans="7:7">
      <c r="G31806" s="812"/>
    </row>
    <row r="31807" spans="7:7">
      <c r="G31807" s="812"/>
    </row>
    <row r="31808" spans="7:7">
      <c r="G31808" s="812"/>
    </row>
    <row r="31809" spans="7:7">
      <c r="G31809" s="812"/>
    </row>
    <row r="31810" spans="7:7">
      <c r="G31810" s="812"/>
    </row>
    <row r="31811" spans="7:7">
      <c r="G31811" s="812"/>
    </row>
    <row r="31812" spans="7:7">
      <c r="G31812" s="812"/>
    </row>
    <row r="31813" spans="7:7">
      <c r="G31813" s="812"/>
    </row>
    <row r="31814" spans="7:7">
      <c r="G31814" s="812"/>
    </row>
    <row r="31815" spans="7:7">
      <c r="G31815" s="812"/>
    </row>
    <row r="31816" spans="7:7">
      <c r="G31816" s="812"/>
    </row>
    <row r="31817" spans="7:7">
      <c r="G31817" s="812"/>
    </row>
    <row r="31818" spans="7:7">
      <c r="G31818" s="812"/>
    </row>
    <row r="31819" spans="7:7">
      <c r="G31819" s="812"/>
    </row>
    <row r="31820" spans="7:7">
      <c r="G31820" s="812"/>
    </row>
    <row r="31821" spans="7:7">
      <c r="G31821" s="812"/>
    </row>
    <row r="31822" spans="7:7">
      <c r="G31822" s="812"/>
    </row>
    <row r="31823" spans="7:7">
      <c r="G31823" s="812"/>
    </row>
    <row r="31824" spans="7:7">
      <c r="G31824" s="812"/>
    </row>
    <row r="31825" spans="7:7">
      <c r="G31825" s="812"/>
    </row>
    <row r="31826" spans="7:7">
      <c r="G31826" s="812"/>
    </row>
    <row r="31827" spans="7:7">
      <c r="G31827" s="812"/>
    </row>
    <row r="31828" spans="7:7">
      <c r="G31828" s="812"/>
    </row>
    <row r="31829" spans="7:7">
      <c r="G31829" s="812"/>
    </row>
    <row r="31830" spans="7:7">
      <c r="G31830" s="812"/>
    </row>
    <row r="31831" spans="7:7">
      <c r="G31831" s="812"/>
    </row>
    <row r="31832" spans="7:7">
      <c r="G31832" s="812"/>
    </row>
    <row r="31833" spans="7:7">
      <c r="G31833" s="812"/>
    </row>
    <row r="31834" spans="7:7">
      <c r="G31834" s="812"/>
    </row>
    <row r="31835" spans="7:7">
      <c r="G31835" s="812"/>
    </row>
    <row r="31836" spans="7:7">
      <c r="G31836" s="812"/>
    </row>
    <row r="31837" spans="7:7">
      <c r="G31837" s="812"/>
    </row>
    <row r="31838" spans="7:7">
      <c r="G31838" s="812"/>
    </row>
    <row r="31839" spans="7:7">
      <c r="G31839" s="812"/>
    </row>
    <row r="31840" spans="7:7">
      <c r="G31840" s="812"/>
    </row>
    <row r="31841" spans="7:7">
      <c r="G31841" s="812"/>
    </row>
    <row r="31842" spans="7:7">
      <c r="G31842" s="812"/>
    </row>
    <row r="31843" spans="7:7">
      <c r="G31843" s="812"/>
    </row>
    <row r="31844" spans="7:7">
      <c r="G31844" s="812"/>
    </row>
    <row r="31845" spans="7:7">
      <c r="G31845" s="812"/>
    </row>
    <row r="31846" spans="7:7">
      <c r="G31846" s="812"/>
    </row>
    <row r="31847" spans="7:7">
      <c r="G31847" s="812"/>
    </row>
    <row r="31848" spans="7:7">
      <c r="G31848" s="812"/>
    </row>
    <row r="31849" spans="7:7">
      <c r="G31849" s="812"/>
    </row>
    <row r="31850" spans="7:7">
      <c r="G31850" s="812"/>
    </row>
    <row r="31851" spans="7:7">
      <c r="G31851" s="812"/>
    </row>
    <row r="31852" spans="7:7">
      <c r="G31852" s="812"/>
    </row>
    <row r="31853" spans="7:7">
      <c r="G31853" s="812"/>
    </row>
    <row r="31854" spans="7:7">
      <c r="G31854" s="812"/>
    </row>
    <row r="31855" spans="7:7">
      <c r="G31855" s="812"/>
    </row>
    <row r="31856" spans="7:7">
      <c r="G31856" s="812"/>
    </row>
    <row r="31857" spans="7:7">
      <c r="G31857" s="812"/>
    </row>
    <row r="31858" spans="7:7">
      <c r="G31858" s="812"/>
    </row>
    <row r="31859" spans="7:7">
      <c r="G31859" s="812"/>
    </row>
    <row r="31860" spans="7:7">
      <c r="G31860" s="812"/>
    </row>
    <row r="31861" spans="7:7">
      <c r="G31861" s="812"/>
    </row>
    <row r="31862" spans="7:7">
      <c r="G31862" s="812"/>
    </row>
    <row r="31863" spans="7:7">
      <c r="G31863" s="812"/>
    </row>
    <row r="31864" spans="7:7">
      <c r="G31864" s="812"/>
    </row>
    <row r="31865" spans="7:7">
      <c r="G31865" s="812"/>
    </row>
    <row r="31866" spans="7:7">
      <c r="G31866" s="812"/>
    </row>
    <row r="31867" spans="7:7">
      <c r="G31867" s="812"/>
    </row>
    <row r="31868" spans="7:7">
      <c r="G31868" s="812"/>
    </row>
    <row r="31869" spans="7:7">
      <c r="G31869" s="812"/>
    </row>
    <row r="31870" spans="7:7">
      <c r="G31870" s="812"/>
    </row>
    <row r="31871" spans="7:7">
      <c r="G31871" s="812"/>
    </row>
    <row r="31872" spans="7:7">
      <c r="G31872" s="812"/>
    </row>
    <row r="31873" spans="7:7">
      <c r="G31873" s="812"/>
    </row>
    <row r="31874" spans="7:7">
      <c r="G31874" s="812"/>
    </row>
    <row r="31875" spans="7:7">
      <c r="G31875" s="812"/>
    </row>
    <row r="31876" spans="7:7">
      <c r="G31876" s="812"/>
    </row>
    <row r="31877" spans="7:7">
      <c r="G31877" s="812"/>
    </row>
    <row r="31878" spans="7:7">
      <c r="G31878" s="812"/>
    </row>
    <row r="31879" spans="7:7">
      <c r="G31879" s="812"/>
    </row>
    <row r="31880" spans="7:7">
      <c r="G31880" s="812"/>
    </row>
    <row r="31881" spans="7:7">
      <c r="G31881" s="812"/>
    </row>
    <row r="31882" spans="7:7">
      <c r="G31882" s="812"/>
    </row>
    <row r="31883" spans="7:7">
      <c r="G31883" s="812"/>
    </row>
    <row r="31884" spans="7:7">
      <c r="G31884" s="812"/>
    </row>
    <row r="31885" spans="7:7">
      <c r="G31885" s="812"/>
    </row>
    <row r="31886" spans="7:7">
      <c r="G31886" s="812"/>
    </row>
    <row r="31887" spans="7:7">
      <c r="G31887" s="812"/>
    </row>
    <row r="31888" spans="7:7">
      <c r="G31888" s="812"/>
    </row>
    <row r="31889" spans="7:7">
      <c r="G31889" s="812"/>
    </row>
    <row r="31890" spans="7:7">
      <c r="G31890" s="812"/>
    </row>
    <row r="31891" spans="7:7">
      <c r="G31891" s="812"/>
    </row>
    <row r="31892" spans="7:7">
      <c r="G31892" s="812"/>
    </row>
    <row r="31893" spans="7:7">
      <c r="G31893" s="812"/>
    </row>
    <row r="31894" spans="7:7">
      <c r="G31894" s="812"/>
    </row>
    <row r="31895" spans="7:7">
      <c r="G31895" s="812"/>
    </row>
    <row r="31896" spans="7:7">
      <c r="G31896" s="812"/>
    </row>
    <row r="31897" spans="7:7">
      <c r="G31897" s="812"/>
    </row>
    <row r="31898" spans="7:7">
      <c r="G31898" s="812"/>
    </row>
    <row r="31899" spans="7:7">
      <c r="G31899" s="812"/>
    </row>
    <row r="31900" spans="7:7">
      <c r="G31900" s="812"/>
    </row>
    <row r="31901" spans="7:7">
      <c r="G31901" s="812"/>
    </row>
    <row r="31902" spans="7:7">
      <c r="G31902" s="812"/>
    </row>
    <row r="31903" spans="7:7">
      <c r="G31903" s="812"/>
    </row>
    <row r="31904" spans="7:7">
      <c r="G31904" s="812"/>
    </row>
    <row r="31905" spans="7:7">
      <c r="G31905" s="812"/>
    </row>
    <row r="31906" spans="7:7">
      <c r="G31906" s="812"/>
    </row>
    <row r="31907" spans="7:7">
      <c r="G31907" s="812"/>
    </row>
    <row r="31908" spans="7:7">
      <c r="G31908" s="812"/>
    </row>
    <row r="31909" spans="7:7">
      <c r="G31909" s="812"/>
    </row>
    <row r="31910" spans="7:7">
      <c r="G31910" s="812"/>
    </row>
    <row r="31911" spans="7:7">
      <c r="G31911" s="812"/>
    </row>
    <row r="31912" spans="7:7">
      <c r="G31912" s="812"/>
    </row>
    <row r="31913" spans="7:7">
      <c r="G31913" s="812"/>
    </row>
    <row r="31914" spans="7:7">
      <c r="G31914" s="812"/>
    </row>
    <row r="31915" spans="7:7">
      <c r="G31915" s="812"/>
    </row>
    <row r="31916" spans="7:7">
      <c r="G31916" s="812"/>
    </row>
    <row r="31917" spans="7:7">
      <c r="G31917" s="812"/>
    </row>
    <row r="31918" spans="7:7">
      <c r="G31918" s="812"/>
    </row>
    <row r="31919" spans="7:7">
      <c r="G31919" s="812"/>
    </row>
    <row r="31920" spans="7:7">
      <c r="G31920" s="812"/>
    </row>
    <row r="31921" spans="7:7">
      <c r="G31921" s="812"/>
    </row>
    <row r="31922" spans="7:7">
      <c r="G31922" s="812"/>
    </row>
    <row r="31923" spans="7:7">
      <c r="G31923" s="812"/>
    </row>
    <row r="31924" spans="7:7">
      <c r="G31924" s="812"/>
    </row>
    <row r="31925" spans="7:7">
      <c r="G31925" s="812"/>
    </row>
    <row r="31926" spans="7:7">
      <c r="G31926" s="812"/>
    </row>
    <row r="31927" spans="7:7">
      <c r="G31927" s="812"/>
    </row>
    <row r="31928" spans="7:7">
      <c r="G31928" s="812"/>
    </row>
    <row r="31929" spans="7:7">
      <c r="G31929" s="812"/>
    </row>
    <row r="31930" spans="7:7">
      <c r="G31930" s="812"/>
    </row>
    <row r="31931" spans="7:7">
      <c r="G31931" s="812"/>
    </row>
    <row r="31932" spans="7:7">
      <c r="G31932" s="812"/>
    </row>
    <row r="31933" spans="7:7">
      <c r="G31933" s="812"/>
    </row>
    <row r="31934" spans="7:7">
      <c r="G31934" s="812"/>
    </row>
    <row r="31935" spans="7:7">
      <c r="G31935" s="812"/>
    </row>
    <row r="31936" spans="7:7">
      <c r="G31936" s="812"/>
    </row>
    <row r="31937" spans="7:7">
      <c r="G31937" s="812"/>
    </row>
    <row r="31938" spans="7:7">
      <c r="G31938" s="812"/>
    </row>
    <row r="31939" spans="7:7">
      <c r="G31939" s="812"/>
    </row>
    <row r="31940" spans="7:7">
      <c r="G31940" s="812"/>
    </row>
    <row r="31941" spans="7:7">
      <c r="G31941" s="812"/>
    </row>
    <row r="31942" spans="7:7">
      <c r="G31942" s="812"/>
    </row>
    <row r="31943" spans="7:7">
      <c r="G31943" s="812"/>
    </row>
    <row r="31944" spans="7:7">
      <c r="G31944" s="812"/>
    </row>
    <row r="31945" spans="7:7">
      <c r="G31945" s="812"/>
    </row>
    <row r="31946" spans="7:7">
      <c r="G31946" s="812"/>
    </row>
    <row r="31947" spans="7:7">
      <c r="G31947" s="812"/>
    </row>
    <row r="31948" spans="7:7">
      <c r="G31948" s="812"/>
    </row>
    <row r="31949" spans="7:7">
      <c r="G31949" s="812"/>
    </row>
    <row r="31950" spans="7:7">
      <c r="G31950" s="812"/>
    </row>
    <row r="31951" spans="7:7">
      <c r="G31951" s="812"/>
    </row>
    <row r="31952" spans="7:7">
      <c r="G31952" s="812"/>
    </row>
    <row r="31953" spans="7:7">
      <c r="G31953" s="812"/>
    </row>
    <row r="31954" spans="7:7">
      <c r="G31954" s="812"/>
    </row>
    <row r="31955" spans="7:7">
      <c r="G31955" s="812"/>
    </row>
    <row r="31956" spans="7:7">
      <c r="G31956" s="812"/>
    </row>
    <row r="31957" spans="7:7">
      <c r="G31957" s="812"/>
    </row>
    <row r="31958" spans="7:7">
      <c r="G31958" s="812"/>
    </row>
    <row r="31959" spans="7:7">
      <c r="G31959" s="812"/>
    </row>
    <row r="31960" spans="7:7">
      <c r="G31960" s="812"/>
    </row>
    <row r="31961" spans="7:7">
      <c r="G31961" s="812"/>
    </row>
    <row r="31962" spans="7:7">
      <c r="G31962" s="812"/>
    </row>
    <row r="31963" spans="7:7">
      <c r="G31963" s="812"/>
    </row>
    <row r="31964" spans="7:7">
      <c r="G31964" s="812"/>
    </row>
    <row r="31965" spans="7:7">
      <c r="G31965" s="812"/>
    </row>
    <row r="31966" spans="7:7">
      <c r="G31966" s="812"/>
    </row>
    <row r="31967" spans="7:7">
      <c r="G31967" s="812"/>
    </row>
    <row r="31968" spans="7:7">
      <c r="G31968" s="812"/>
    </row>
    <row r="31969" spans="7:7">
      <c r="G31969" s="812"/>
    </row>
    <row r="31970" spans="7:7">
      <c r="G31970" s="812"/>
    </row>
    <row r="31971" spans="7:7">
      <c r="G31971" s="812"/>
    </row>
    <row r="31972" spans="7:7">
      <c r="G31972" s="812"/>
    </row>
    <row r="31973" spans="7:7">
      <c r="G31973" s="812"/>
    </row>
    <row r="31974" spans="7:7">
      <c r="G31974" s="812"/>
    </row>
    <row r="31975" spans="7:7">
      <c r="G31975" s="812"/>
    </row>
    <row r="31976" spans="7:7">
      <c r="G31976" s="812"/>
    </row>
    <row r="31977" spans="7:7">
      <c r="G31977" s="812"/>
    </row>
    <row r="31978" spans="7:7">
      <c r="G31978" s="812"/>
    </row>
    <row r="31979" spans="7:7">
      <c r="G31979" s="812"/>
    </row>
    <row r="31980" spans="7:7">
      <c r="G31980" s="812"/>
    </row>
    <row r="31981" spans="7:7">
      <c r="G31981" s="812"/>
    </row>
    <row r="31982" spans="7:7">
      <c r="G31982" s="812"/>
    </row>
    <row r="31983" spans="7:7">
      <c r="G31983" s="812"/>
    </row>
    <row r="31984" spans="7:7">
      <c r="G31984" s="812"/>
    </row>
    <row r="31985" spans="7:7">
      <c r="G31985" s="812"/>
    </row>
    <row r="31986" spans="7:7">
      <c r="G31986" s="812"/>
    </row>
    <row r="31987" spans="7:7">
      <c r="G31987" s="812"/>
    </row>
    <row r="31988" spans="7:7">
      <c r="G31988" s="812"/>
    </row>
    <row r="31989" spans="7:7">
      <c r="G31989" s="812"/>
    </row>
    <row r="31990" spans="7:7">
      <c r="G31990" s="812"/>
    </row>
    <row r="31991" spans="7:7">
      <c r="G31991" s="812"/>
    </row>
    <row r="31992" spans="7:7">
      <c r="G31992" s="812"/>
    </row>
    <row r="31993" spans="7:7">
      <c r="G31993" s="812"/>
    </row>
    <row r="31994" spans="7:7">
      <c r="G31994" s="812"/>
    </row>
    <row r="31995" spans="7:7">
      <c r="G31995" s="812"/>
    </row>
    <row r="31996" spans="7:7">
      <c r="G31996" s="812"/>
    </row>
    <row r="31997" spans="7:7">
      <c r="G31997" s="812"/>
    </row>
    <row r="31998" spans="7:7">
      <c r="G31998" s="812"/>
    </row>
    <row r="31999" spans="7:7">
      <c r="G31999" s="812"/>
    </row>
    <row r="32000" spans="7:7">
      <c r="G32000" s="812"/>
    </row>
    <row r="32001" spans="7:7">
      <c r="G32001" s="812"/>
    </row>
    <row r="32002" spans="7:7">
      <c r="G32002" s="812"/>
    </row>
    <row r="32003" spans="7:7">
      <c r="G32003" s="812"/>
    </row>
    <row r="32004" spans="7:7">
      <c r="G32004" s="812"/>
    </row>
    <row r="32005" spans="7:7">
      <c r="G32005" s="812"/>
    </row>
    <row r="32006" spans="7:7">
      <c r="G32006" s="812"/>
    </row>
    <row r="32007" spans="7:7">
      <c r="G32007" s="812"/>
    </row>
    <row r="32008" spans="7:7">
      <c r="G32008" s="812"/>
    </row>
    <row r="32009" spans="7:7">
      <c r="G32009" s="812"/>
    </row>
    <row r="32010" spans="7:7">
      <c r="G32010" s="812"/>
    </row>
    <row r="32011" spans="7:7">
      <c r="G32011" s="812"/>
    </row>
    <row r="32012" spans="7:7">
      <c r="G32012" s="812"/>
    </row>
    <row r="32013" spans="7:7">
      <c r="G32013" s="812"/>
    </row>
    <row r="32014" spans="7:7">
      <c r="G32014" s="812"/>
    </row>
    <row r="32015" spans="7:7">
      <c r="G32015" s="812"/>
    </row>
    <row r="32016" spans="7:7">
      <c r="G32016" s="812"/>
    </row>
    <row r="32017" spans="7:7">
      <c r="G32017" s="812"/>
    </row>
    <row r="32018" spans="7:7">
      <c r="G32018" s="812"/>
    </row>
    <row r="32019" spans="7:7">
      <c r="G32019" s="812"/>
    </row>
    <row r="32020" spans="7:7">
      <c r="G32020" s="812"/>
    </row>
    <row r="32021" spans="7:7">
      <c r="G32021" s="812"/>
    </row>
    <row r="32022" spans="7:7">
      <c r="G32022" s="812"/>
    </row>
    <row r="32023" spans="7:7">
      <c r="G32023" s="812"/>
    </row>
    <row r="32024" spans="7:7">
      <c r="G32024" s="812"/>
    </row>
    <row r="32025" spans="7:7">
      <c r="G32025" s="812"/>
    </row>
    <row r="32026" spans="7:7">
      <c r="G32026" s="812"/>
    </row>
    <row r="32027" spans="7:7">
      <c r="G32027" s="812"/>
    </row>
    <row r="32028" spans="7:7">
      <c r="G32028" s="812"/>
    </row>
    <row r="32029" spans="7:7">
      <c r="G32029" s="812"/>
    </row>
    <row r="32030" spans="7:7">
      <c r="G32030" s="812"/>
    </row>
    <row r="32031" spans="7:7">
      <c r="G32031" s="812"/>
    </row>
    <row r="32032" spans="7:7">
      <c r="G32032" s="812"/>
    </row>
    <row r="32033" spans="7:7">
      <c r="G32033" s="812"/>
    </row>
    <row r="32034" spans="7:7">
      <c r="G32034" s="812"/>
    </row>
    <row r="32035" spans="7:7">
      <c r="G32035" s="812"/>
    </row>
    <row r="32036" spans="7:7">
      <c r="G32036" s="812"/>
    </row>
    <row r="32037" spans="7:7">
      <c r="G32037" s="812"/>
    </row>
    <row r="32038" spans="7:7">
      <c r="G32038" s="812"/>
    </row>
    <row r="32039" spans="7:7">
      <c r="G32039" s="812"/>
    </row>
    <row r="32040" spans="7:7">
      <c r="G32040" s="812"/>
    </row>
    <row r="32041" spans="7:7">
      <c r="G32041" s="812"/>
    </row>
    <row r="32042" spans="7:7">
      <c r="G32042" s="812"/>
    </row>
    <row r="32043" spans="7:7">
      <c r="G32043" s="812"/>
    </row>
    <row r="32044" spans="7:7">
      <c r="G32044" s="812"/>
    </row>
    <row r="32045" spans="7:7">
      <c r="G32045" s="812"/>
    </row>
    <row r="32046" spans="7:7">
      <c r="G32046" s="812"/>
    </row>
    <row r="32047" spans="7:7">
      <c r="G32047" s="812"/>
    </row>
    <row r="32048" spans="7:7">
      <c r="G32048" s="812"/>
    </row>
    <row r="32049" spans="7:7">
      <c r="G32049" s="812"/>
    </row>
    <row r="32050" spans="7:7">
      <c r="G32050" s="812"/>
    </row>
    <row r="32051" spans="7:7">
      <c r="G32051" s="812"/>
    </row>
    <row r="32052" spans="7:7">
      <c r="G32052" s="812"/>
    </row>
    <row r="32053" spans="7:7">
      <c r="G32053" s="812"/>
    </row>
    <row r="32054" spans="7:7">
      <c r="G32054" s="812"/>
    </row>
    <row r="32055" spans="7:7">
      <c r="G32055" s="812"/>
    </row>
    <row r="32056" spans="7:7">
      <c r="G32056" s="812"/>
    </row>
    <row r="32057" spans="7:7">
      <c r="G32057" s="812"/>
    </row>
    <row r="32058" spans="7:7">
      <c r="G32058" s="812"/>
    </row>
    <row r="32059" spans="7:7">
      <c r="G32059" s="812"/>
    </row>
    <row r="32060" spans="7:7">
      <c r="G32060" s="812"/>
    </row>
    <row r="32061" spans="7:7">
      <c r="G32061" s="812"/>
    </row>
    <row r="32062" spans="7:7">
      <c r="G32062" s="812"/>
    </row>
    <row r="32063" spans="7:7">
      <c r="G32063" s="812"/>
    </row>
    <row r="32064" spans="7:7">
      <c r="G32064" s="812"/>
    </row>
    <row r="32065" spans="7:7">
      <c r="G32065" s="812"/>
    </row>
    <row r="32066" spans="7:7">
      <c r="G32066" s="812"/>
    </row>
    <row r="32067" spans="7:7">
      <c r="G32067" s="812"/>
    </row>
    <row r="32068" spans="7:7">
      <c r="G32068" s="812"/>
    </row>
    <row r="32069" spans="7:7">
      <c r="G32069" s="812"/>
    </row>
    <row r="32070" spans="7:7">
      <c r="G32070" s="812"/>
    </row>
    <row r="32071" spans="7:7">
      <c r="G32071" s="812"/>
    </row>
    <row r="32072" spans="7:7">
      <c r="G32072" s="812"/>
    </row>
    <row r="32073" spans="7:7">
      <c r="G32073" s="812"/>
    </row>
    <row r="32074" spans="7:7">
      <c r="G32074" s="812"/>
    </row>
    <row r="32075" spans="7:7">
      <c r="G32075" s="812"/>
    </row>
    <row r="32076" spans="7:7">
      <c r="G32076" s="812"/>
    </row>
    <row r="32077" spans="7:7">
      <c r="G32077" s="812"/>
    </row>
    <row r="32078" spans="7:7">
      <c r="G32078" s="812"/>
    </row>
    <row r="32079" spans="7:7">
      <c r="G32079" s="812"/>
    </row>
    <row r="32080" spans="7:7">
      <c r="G32080" s="812"/>
    </row>
    <row r="32081" spans="7:7">
      <c r="G32081" s="812"/>
    </row>
    <row r="32082" spans="7:7">
      <c r="G32082" s="812"/>
    </row>
    <row r="32083" spans="7:7">
      <c r="G32083" s="812"/>
    </row>
    <row r="32084" spans="7:7">
      <c r="G32084" s="812"/>
    </row>
    <row r="32085" spans="7:7">
      <c r="G32085" s="812"/>
    </row>
    <row r="32086" spans="7:7">
      <c r="G32086" s="812"/>
    </row>
    <row r="32087" spans="7:7">
      <c r="G32087" s="812"/>
    </row>
    <row r="32088" spans="7:7">
      <c r="G32088" s="812"/>
    </row>
    <row r="32089" spans="7:7">
      <c r="G32089" s="812"/>
    </row>
    <row r="32090" spans="7:7">
      <c r="G32090" s="812"/>
    </row>
    <row r="32091" spans="7:7">
      <c r="G32091" s="812"/>
    </row>
    <row r="32092" spans="7:7">
      <c r="G32092" s="812"/>
    </row>
    <row r="32093" spans="7:7">
      <c r="G32093" s="812"/>
    </row>
    <row r="32094" spans="7:7">
      <c r="G32094" s="812"/>
    </row>
    <row r="32095" spans="7:7">
      <c r="G32095" s="812"/>
    </row>
    <row r="32096" spans="7:7">
      <c r="G32096" s="812"/>
    </row>
    <row r="32097" spans="7:7">
      <c r="G32097" s="812"/>
    </row>
    <row r="32098" spans="7:7">
      <c r="G32098" s="812"/>
    </row>
    <row r="32099" spans="7:7">
      <c r="G32099" s="812"/>
    </row>
    <row r="32100" spans="7:7">
      <c r="G32100" s="812"/>
    </row>
    <row r="32101" spans="7:7">
      <c r="G32101" s="812"/>
    </row>
    <row r="32102" spans="7:7">
      <c r="G32102" s="812"/>
    </row>
    <row r="32103" spans="7:7">
      <c r="G32103" s="812"/>
    </row>
    <row r="32104" spans="7:7">
      <c r="G32104" s="812"/>
    </row>
    <row r="32105" spans="7:7">
      <c r="G32105" s="812"/>
    </row>
    <row r="32106" spans="7:7">
      <c r="G32106" s="812"/>
    </row>
    <row r="32107" spans="7:7">
      <c r="G32107" s="812"/>
    </row>
    <row r="32108" spans="7:7">
      <c r="G32108" s="812"/>
    </row>
    <row r="32109" spans="7:7">
      <c r="G32109" s="812"/>
    </row>
    <row r="32110" spans="7:7">
      <c r="G32110" s="812"/>
    </row>
    <row r="32111" spans="7:7">
      <c r="G32111" s="812"/>
    </row>
    <row r="32112" spans="7:7">
      <c r="G32112" s="812"/>
    </row>
    <row r="32113" spans="7:7">
      <c r="G32113" s="812"/>
    </row>
    <row r="32114" spans="7:7">
      <c r="G32114" s="812"/>
    </row>
    <row r="32115" spans="7:7">
      <c r="G32115" s="812"/>
    </row>
    <row r="32116" spans="7:7">
      <c r="G32116" s="812"/>
    </row>
    <row r="32117" spans="7:7">
      <c r="G32117" s="812"/>
    </row>
    <row r="32118" spans="7:7">
      <c r="G32118" s="812"/>
    </row>
    <row r="32119" spans="7:7">
      <c r="G32119" s="812"/>
    </row>
    <row r="32120" spans="7:7">
      <c r="G32120" s="812"/>
    </row>
    <row r="32121" spans="7:7">
      <c r="G32121" s="812"/>
    </row>
    <row r="32122" spans="7:7">
      <c r="G32122" s="812"/>
    </row>
    <row r="32123" spans="7:7">
      <c r="G32123" s="812"/>
    </row>
    <row r="32124" spans="7:7">
      <c r="G32124" s="812"/>
    </row>
    <row r="32125" spans="7:7">
      <c r="G32125" s="812"/>
    </row>
    <row r="32126" spans="7:7">
      <c r="G32126" s="812"/>
    </row>
    <row r="32127" spans="7:7">
      <c r="G32127" s="812"/>
    </row>
    <row r="32128" spans="7:7">
      <c r="G32128" s="812"/>
    </row>
    <row r="32129" spans="7:7">
      <c r="G32129" s="812"/>
    </row>
    <row r="32130" spans="7:7">
      <c r="G32130" s="812"/>
    </row>
    <row r="32131" spans="7:7">
      <c r="G32131" s="812"/>
    </row>
    <row r="32132" spans="7:7">
      <c r="G32132" s="812"/>
    </row>
    <row r="32133" spans="7:7">
      <c r="G32133" s="812"/>
    </row>
    <row r="32134" spans="7:7">
      <c r="G32134" s="812"/>
    </row>
    <row r="32135" spans="7:7">
      <c r="G32135" s="812"/>
    </row>
    <row r="32136" spans="7:7">
      <c r="G32136" s="812"/>
    </row>
    <row r="32137" spans="7:7">
      <c r="G32137" s="812"/>
    </row>
    <row r="32138" spans="7:7">
      <c r="G32138" s="812"/>
    </row>
    <row r="32139" spans="7:7">
      <c r="G32139" s="812"/>
    </row>
    <row r="32140" spans="7:7">
      <c r="G32140" s="812"/>
    </row>
    <row r="32141" spans="7:7">
      <c r="G32141" s="812"/>
    </row>
    <row r="32142" spans="7:7">
      <c r="G32142" s="812"/>
    </row>
    <row r="32143" spans="7:7">
      <c r="G32143" s="812"/>
    </row>
    <row r="32144" spans="7:7">
      <c r="G32144" s="812"/>
    </row>
    <row r="32145" spans="7:7">
      <c r="G32145" s="812"/>
    </row>
    <row r="32146" spans="7:7">
      <c r="G32146" s="812"/>
    </row>
    <row r="32147" spans="7:7">
      <c r="G32147" s="812"/>
    </row>
    <row r="32148" spans="7:7">
      <c r="G32148" s="812"/>
    </row>
    <row r="32149" spans="7:7">
      <c r="G32149" s="812"/>
    </row>
    <row r="32150" spans="7:7">
      <c r="G32150" s="812"/>
    </row>
    <row r="32151" spans="7:7">
      <c r="G32151" s="812"/>
    </row>
    <row r="32152" spans="7:7">
      <c r="G32152" s="812"/>
    </row>
    <row r="32153" spans="7:7">
      <c r="G32153" s="812"/>
    </row>
    <row r="32154" spans="7:7">
      <c r="G32154" s="812"/>
    </row>
    <row r="32155" spans="7:7">
      <c r="G32155" s="812"/>
    </row>
    <row r="32156" spans="7:7">
      <c r="G32156" s="812"/>
    </row>
    <row r="32157" spans="7:7">
      <c r="G32157" s="812"/>
    </row>
    <row r="32158" spans="7:7">
      <c r="G32158" s="812"/>
    </row>
    <row r="32159" spans="7:7">
      <c r="G32159" s="812"/>
    </row>
    <row r="32160" spans="7:7">
      <c r="G32160" s="812"/>
    </row>
    <row r="32161" spans="7:7">
      <c r="G32161" s="812"/>
    </row>
    <row r="32162" spans="7:7">
      <c r="G32162" s="812"/>
    </row>
    <row r="32163" spans="7:7">
      <c r="G32163" s="812"/>
    </row>
    <row r="32164" spans="7:7">
      <c r="G32164" s="812"/>
    </row>
    <row r="32165" spans="7:7">
      <c r="G32165" s="812"/>
    </row>
    <row r="32166" spans="7:7">
      <c r="G32166" s="812"/>
    </row>
    <row r="32167" spans="7:7">
      <c r="G32167" s="812"/>
    </row>
    <row r="32168" spans="7:7">
      <c r="G32168" s="812"/>
    </row>
    <row r="32169" spans="7:7">
      <c r="G32169" s="812"/>
    </row>
    <row r="32170" spans="7:7">
      <c r="G32170" s="812"/>
    </row>
    <row r="32171" spans="7:7">
      <c r="G32171" s="812"/>
    </row>
    <row r="32172" spans="7:7">
      <c r="G32172" s="812"/>
    </row>
    <row r="32173" spans="7:7">
      <c r="G32173" s="812"/>
    </row>
    <row r="32174" spans="7:7">
      <c r="G32174" s="812"/>
    </row>
    <row r="32175" spans="7:7">
      <c r="G32175" s="812"/>
    </row>
    <row r="32176" spans="7:7">
      <c r="G32176" s="812"/>
    </row>
    <row r="32177" spans="7:7">
      <c r="G32177" s="812"/>
    </row>
    <row r="32178" spans="7:7">
      <c r="G32178" s="812"/>
    </row>
    <row r="32179" spans="7:7">
      <c r="G32179" s="812"/>
    </row>
    <row r="32180" spans="7:7">
      <c r="G32180" s="812"/>
    </row>
    <row r="32181" spans="7:7">
      <c r="G32181" s="812"/>
    </row>
    <row r="32182" spans="7:7">
      <c r="G32182" s="812"/>
    </row>
    <row r="32183" spans="7:7">
      <c r="G32183" s="812"/>
    </row>
    <row r="32184" spans="7:7">
      <c r="G32184" s="812"/>
    </row>
    <row r="32185" spans="7:7">
      <c r="G32185" s="812"/>
    </row>
    <row r="32186" spans="7:7">
      <c r="G32186" s="812"/>
    </row>
    <row r="32187" spans="7:7">
      <c r="G32187" s="812"/>
    </row>
    <row r="32188" spans="7:7">
      <c r="G32188" s="812"/>
    </row>
    <row r="32189" spans="7:7">
      <c r="G32189" s="812"/>
    </row>
    <row r="32190" spans="7:7">
      <c r="G32190" s="812"/>
    </row>
    <row r="32191" spans="7:7">
      <c r="G32191" s="812"/>
    </row>
    <row r="32192" spans="7:7">
      <c r="G32192" s="812"/>
    </row>
    <row r="32193" spans="7:7">
      <c r="G32193" s="812"/>
    </row>
    <row r="32194" spans="7:7">
      <c r="G32194" s="812"/>
    </row>
    <row r="32195" spans="7:7">
      <c r="G32195" s="812"/>
    </row>
    <row r="32196" spans="7:7">
      <c r="G32196" s="812"/>
    </row>
    <row r="32197" spans="7:7">
      <c r="G32197" s="812"/>
    </row>
    <row r="32198" spans="7:7">
      <c r="G32198" s="812"/>
    </row>
    <row r="32199" spans="7:7">
      <c r="G32199" s="812"/>
    </row>
    <row r="32200" spans="7:7">
      <c r="G32200" s="812"/>
    </row>
    <row r="32201" spans="7:7">
      <c r="G32201" s="812"/>
    </row>
    <row r="32202" spans="7:7">
      <c r="G32202" s="812"/>
    </row>
    <row r="32203" spans="7:7">
      <c r="G32203" s="812"/>
    </row>
    <row r="32204" spans="7:7">
      <c r="G32204" s="812"/>
    </row>
    <row r="32205" spans="7:7">
      <c r="G32205" s="812"/>
    </row>
    <row r="32206" spans="7:7">
      <c r="G32206" s="812"/>
    </row>
    <row r="32207" spans="7:7">
      <c r="G32207" s="812"/>
    </row>
    <row r="32208" spans="7:7">
      <c r="G32208" s="812"/>
    </row>
    <row r="32209" spans="7:7">
      <c r="G32209" s="812"/>
    </row>
    <row r="32210" spans="7:7">
      <c r="G32210" s="812"/>
    </row>
    <row r="32211" spans="7:7">
      <c r="G32211" s="812"/>
    </row>
    <row r="32212" spans="7:7">
      <c r="G32212" s="812"/>
    </row>
    <row r="32213" spans="7:7">
      <c r="G32213" s="812"/>
    </row>
    <row r="32214" spans="7:7">
      <c r="G32214" s="812"/>
    </row>
    <row r="32215" spans="7:7">
      <c r="G32215" s="812"/>
    </row>
    <row r="32216" spans="7:7">
      <c r="G32216" s="812"/>
    </row>
    <row r="32217" spans="7:7">
      <c r="G32217" s="812"/>
    </row>
    <row r="32218" spans="7:7">
      <c r="G32218" s="812"/>
    </row>
    <row r="32219" spans="7:7">
      <c r="G32219" s="812"/>
    </row>
    <row r="32220" spans="7:7">
      <c r="G32220" s="812"/>
    </row>
    <row r="32221" spans="7:7">
      <c r="G32221" s="812"/>
    </row>
    <row r="32222" spans="7:7">
      <c r="G32222" s="812"/>
    </row>
    <row r="32223" spans="7:7">
      <c r="G32223" s="812"/>
    </row>
    <row r="32224" spans="7:7">
      <c r="G32224" s="812"/>
    </row>
    <row r="32225" spans="7:7">
      <c r="G32225" s="812"/>
    </row>
    <row r="32226" spans="7:7">
      <c r="G32226" s="812"/>
    </row>
    <row r="32227" spans="7:7">
      <c r="G32227" s="812"/>
    </row>
    <row r="32228" spans="7:7">
      <c r="G32228" s="812"/>
    </row>
    <row r="32229" spans="7:7">
      <c r="G32229" s="812"/>
    </row>
    <row r="32230" spans="7:7">
      <c r="G32230" s="812"/>
    </row>
    <row r="32231" spans="7:7">
      <c r="G32231" s="812"/>
    </row>
    <row r="32232" spans="7:7">
      <c r="G32232" s="812"/>
    </row>
    <row r="32233" spans="7:7">
      <c r="G32233" s="812"/>
    </row>
    <row r="32234" spans="7:7">
      <c r="G32234" s="812"/>
    </row>
    <row r="32235" spans="7:7">
      <c r="G32235" s="812"/>
    </row>
    <row r="32236" spans="7:7">
      <c r="G32236" s="812"/>
    </row>
    <row r="32237" spans="7:7">
      <c r="G32237" s="812"/>
    </row>
    <row r="32238" spans="7:7">
      <c r="G32238" s="812"/>
    </row>
    <row r="32239" spans="7:7">
      <c r="G32239" s="812"/>
    </row>
    <row r="32240" spans="7:7">
      <c r="G32240" s="812"/>
    </row>
    <row r="32241" spans="7:7">
      <c r="G32241" s="812"/>
    </row>
    <row r="32242" spans="7:7">
      <c r="G32242" s="812"/>
    </row>
    <row r="32243" spans="7:7">
      <c r="G32243" s="812"/>
    </row>
    <row r="32244" spans="7:7">
      <c r="G32244" s="812"/>
    </row>
    <row r="32245" spans="7:7">
      <c r="G32245" s="812"/>
    </row>
    <row r="32246" spans="7:7">
      <c r="G32246" s="812"/>
    </row>
    <row r="32247" spans="7:7">
      <c r="G32247" s="812"/>
    </row>
    <row r="32248" spans="7:7">
      <c r="G32248" s="812"/>
    </row>
    <row r="32249" spans="7:7">
      <c r="G32249" s="812"/>
    </row>
    <row r="32250" spans="7:7">
      <c r="G32250" s="812"/>
    </row>
    <row r="32251" spans="7:7">
      <c r="G32251" s="812"/>
    </row>
    <row r="32252" spans="7:7">
      <c r="G32252" s="812"/>
    </row>
    <row r="32253" spans="7:7">
      <c r="G32253" s="812"/>
    </row>
    <row r="32254" spans="7:7">
      <c r="G32254" s="812"/>
    </row>
    <row r="32255" spans="7:7">
      <c r="G32255" s="812"/>
    </row>
    <row r="32256" spans="7:7">
      <c r="G32256" s="812"/>
    </row>
    <row r="32257" spans="7:7">
      <c r="G32257" s="812"/>
    </row>
    <row r="32258" spans="7:7">
      <c r="G32258" s="812"/>
    </row>
    <row r="32259" spans="7:7">
      <c r="G32259" s="812"/>
    </row>
    <row r="32260" spans="7:7">
      <c r="G32260" s="812"/>
    </row>
    <row r="32261" spans="7:7">
      <c r="G32261" s="812"/>
    </row>
    <row r="32262" spans="7:7">
      <c r="G32262" s="812"/>
    </row>
    <row r="32263" spans="7:7">
      <c r="G32263" s="812"/>
    </row>
    <row r="32264" spans="7:7">
      <c r="G32264" s="812"/>
    </row>
    <row r="32265" spans="7:7">
      <c r="G32265" s="812"/>
    </row>
    <row r="32266" spans="7:7">
      <c r="G32266" s="812"/>
    </row>
    <row r="32267" spans="7:7">
      <c r="G32267" s="812"/>
    </row>
    <row r="32268" spans="7:7">
      <c r="G32268" s="812"/>
    </row>
    <row r="32269" spans="7:7">
      <c r="G32269" s="812"/>
    </row>
    <row r="32270" spans="7:7">
      <c r="G32270" s="812"/>
    </row>
    <row r="32271" spans="7:7">
      <c r="G32271" s="812"/>
    </row>
    <row r="32272" spans="7:7">
      <c r="G32272" s="812"/>
    </row>
    <row r="32273" spans="7:7">
      <c r="G32273" s="812"/>
    </row>
    <row r="32274" spans="7:7">
      <c r="G32274" s="812"/>
    </row>
    <row r="32275" spans="7:7">
      <c r="G32275" s="812"/>
    </row>
    <row r="32276" spans="7:7">
      <c r="G32276" s="812"/>
    </row>
    <row r="32277" spans="7:7">
      <c r="G32277" s="812"/>
    </row>
    <row r="32278" spans="7:7">
      <c r="G32278" s="812"/>
    </row>
    <row r="32279" spans="7:7">
      <c r="G32279" s="812"/>
    </row>
    <row r="32280" spans="7:7">
      <c r="G32280" s="812"/>
    </row>
    <row r="32281" spans="7:7">
      <c r="G32281" s="812"/>
    </row>
    <row r="32282" spans="7:7">
      <c r="G32282" s="812"/>
    </row>
    <row r="32283" spans="7:7">
      <c r="G32283" s="812"/>
    </row>
    <row r="32284" spans="7:7">
      <c r="G32284" s="812"/>
    </row>
    <row r="32285" spans="7:7">
      <c r="G32285" s="812"/>
    </row>
    <row r="32286" spans="7:7">
      <c r="G32286" s="812"/>
    </row>
    <row r="32287" spans="7:7">
      <c r="G32287" s="812"/>
    </row>
    <row r="32288" spans="7:7">
      <c r="G32288" s="812"/>
    </row>
    <row r="32289" spans="7:7">
      <c r="G32289" s="812"/>
    </row>
    <row r="32290" spans="7:7">
      <c r="G32290" s="812"/>
    </row>
    <row r="32291" spans="7:7">
      <c r="G32291" s="812"/>
    </row>
    <row r="32292" spans="7:7">
      <c r="G32292" s="812"/>
    </row>
    <row r="32293" spans="7:7">
      <c r="G32293" s="812"/>
    </row>
    <row r="32294" spans="7:7">
      <c r="G32294" s="812"/>
    </row>
    <row r="32295" spans="7:7">
      <c r="G32295" s="812"/>
    </row>
    <row r="32296" spans="7:7">
      <c r="G32296" s="812"/>
    </row>
    <row r="32297" spans="7:7">
      <c r="G32297" s="812"/>
    </row>
    <row r="32298" spans="7:7">
      <c r="G32298" s="812"/>
    </row>
    <row r="32299" spans="7:7">
      <c r="G32299" s="812"/>
    </row>
    <row r="32300" spans="7:7">
      <c r="G32300" s="812"/>
    </row>
    <row r="32301" spans="7:7">
      <c r="G32301" s="812"/>
    </row>
    <row r="32302" spans="7:7">
      <c r="G32302" s="812"/>
    </row>
    <row r="32303" spans="7:7">
      <c r="G32303" s="812"/>
    </row>
    <row r="32304" spans="7:7">
      <c r="G32304" s="812"/>
    </row>
    <row r="32305" spans="7:7">
      <c r="G32305" s="812"/>
    </row>
    <row r="32306" spans="7:7">
      <c r="G32306" s="812"/>
    </row>
    <row r="32307" spans="7:7">
      <c r="G32307" s="812"/>
    </row>
    <row r="32308" spans="7:7">
      <c r="G32308" s="812"/>
    </row>
    <row r="32309" spans="7:7">
      <c r="G32309" s="812"/>
    </row>
    <row r="32310" spans="7:7">
      <c r="G32310" s="812"/>
    </row>
    <row r="32311" spans="7:7">
      <c r="G32311" s="812"/>
    </row>
    <row r="32312" spans="7:7">
      <c r="G32312" s="812"/>
    </row>
    <row r="32313" spans="7:7">
      <c r="G32313" s="812"/>
    </row>
    <row r="32314" spans="7:7">
      <c r="G32314" s="812"/>
    </row>
    <row r="32315" spans="7:7">
      <c r="G32315" s="812"/>
    </row>
    <row r="32316" spans="7:7">
      <c r="G32316" s="812"/>
    </row>
    <row r="32317" spans="7:7">
      <c r="G32317" s="812"/>
    </row>
    <row r="32318" spans="7:7">
      <c r="G32318" s="812"/>
    </row>
    <row r="32319" spans="7:7">
      <c r="G32319" s="812"/>
    </row>
    <row r="32320" spans="7:7">
      <c r="G32320" s="812"/>
    </row>
    <row r="32321" spans="7:7">
      <c r="G32321" s="812"/>
    </row>
    <row r="32322" spans="7:7">
      <c r="G32322" s="812"/>
    </row>
    <row r="32323" spans="7:7">
      <c r="G32323" s="812"/>
    </row>
    <row r="32324" spans="7:7">
      <c r="G32324" s="812"/>
    </row>
    <row r="32325" spans="7:7">
      <c r="G32325" s="812"/>
    </row>
    <row r="32326" spans="7:7">
      <c r="G32326" s="812"/>
    </row>
    <row r="32327" spans="7:7">
      <c r="G32327" s="812"/>
    </row>
    <row r="32328" spans="7:7">
      <c r="G32328" s="812"/>
    </row>
    <row r="32329" spans="7:7">
      <c r="G32329" s="812"/>
    </row>
    <row r="32330" spans="7:7">
      <c r="G32330" s="812"/>
    </row>
    <row r="32331" spans="7:7">
      <c r="G32331" s="812"/>
    </row>
    <row r="32332" spans="7:7">
      <c r="G32332" s="812"/>
    </row>
    <row r="32333" spans="7:7">
      <c r="G32333" s="812"/>
    </row>
    <row r="32334" spans="7:7">
      <c r="G32334" s="812"/>
    </row>
    <row r="32335" spans="7:7">
      <c r="G32335" s="812"/>
    </row>
    <row r="32336" spans="7:7">
      <c r="G32336" s="812"/>
    </row>
    <row r="32337" spans="7:7">
      <c r="G32337" s="812"/>
    </row>
    <row r="32338" spans="7:7">
      <c r="G32338" s="812"/>
    </row>
    <row r="32339" spans="7:7">
      <c r="G32339" s="812"/>
    </row>
    <row r="32340" spans="7:7">
      <c r="G32340" s="812"/>
    </row>
    <row r="32341" spans="7:7">
      <c r="G32341" s="812"/>
    </row>
    <row r="32342" spans="7:7">
      <c r="G32342" s="812"/>
    </row>
    <row r="32343" spans="7:7">
      <c r="G32343" s="812"/>
    </row>
    <row r="32344" spans="7:7">
      <c r="G32344" s="812"/>
    </row>
    <row r="32345" spans="7:7">
      <c r="G32345" s="812"/>
    </row>
    <row r="32346" spans="7:7">
      <c r="G32346" s="812"/>
    </row>
    <row r="32347" spans="7:7">
      <c r="G32347" s="812"/>
    </row>
    <row r="32348" spans="7:7">
      <c r="G32348" s="812"/>
    </row>
    <row r="32349" spans="7:7">
      <c r="G32349" s="812"/>
    </row>
    <row r="32350" spans="7:7">
      <c r="G32350" s="812"/>
    </row>
    <row r="32351" spans="7:7">
      <c r="G32351" s="812"/>
    </row>
    <row r="32352" spans="7:7">
      <c r="G32352" s="812"/>
    </row>
    <row r="32353" spans="7:7">
      <c r="G32353" s="812"/>
    </row>
    <row r="32354" spans="7:7">
      <c r="G32354" s="812"/>
    </row>
    <row r="32355" spans="7:7">
      <c r="G32355" s="812"/>
    </row>
    <row r="32356" spans="7:7">
      <c r="G32356" s="812"/>
    </row>
    <row r="32357" spans="7:7">
      <c r="G32357" s="812"/>
    </row>
    <row r="32358" spans="7:7">
      <c r="G32358" s="812"/>
    </row>
    <row r="32359" spans="7:7">
      <c r="G32359" s="812"/>
    </row>
    <row r="32360" spans="7:7">
      <c r="G32360" s="812"/>
    </row>
    <row r="32361" spans="7:7">
      <c r="G32361" s="812"/>
    </row>
    <row r="32362" spans="7:7">
      <c r="G32362" s="812"/>
    </row>
    <row r="32363" spans="7:7">
      <c r="G32363" s="812"/>
    </row>
    <row r="32364" spans="7:7">
      <c r="G32364" s="812"/>
    </row>
    <row r="32365" spans="7:7">
      <c r="G32365" s="812"/>
    </row>
    <row r="32366" spans="7:7">
      <c r="G32366" s="812"/>
    </row>
    <row r="32367" spans="7:7">
      <c r="G32367" s="812"/>
    </row>
    <row r="32368" spans="7:7">
      <c r="G32368" s="812"/>
    </row>
    <row r="32369" spans="7:7">
      <c r="G32369" s="812"/>
    </row>
    <row r="32370" spans="7:7">
      <c r="G32370" s="812"/>
    </row>
    <row r="32371" spans="7:7">
      <c r="G32371" s="812"/>
    </row>
    <row r="32372" spans="7:7">
      <c r="G32372" s="812"/>
    </row>
    <row r="32373" spans="7:7">
      <c r="G32373" s="812"/>
    </row>
    <row r="32374" spans="7:7">
      <c r="G32374" s="812"/>
    </row>
    <row r="32375" spans="7:7">
      <c r="G32375" s="812"/>
    </row>
    <row r="32376" spans="7:7">
      <c r="G32376" s="812"/>
    </row>
    <row r="32377" spans="7:7">
      <c r="G32377" s="812"/>
    </row>
    <row r="32378" spans="7:7">
      <c r="G32378" s="812"/>
    </row>
    <row r="32379" spans="7:7">
      <c r="G32379" s="812"/>
    </row>
    <row r="32380" spans="7:7">
      <c r="G32380" s="812"/>
    </row>
    <row r="32381" spans="7:7">
      <c r="G32381" s="812"/>
    </row>
    <row r="32382" spans="7:7">
      <c r="G32382" s="812"/>
    </row>
    <row r="32383" spans="7:7">
      <c r="G32383" s="812"/>
    </row>
    <row r="32384" spans="7:7">
      <c r="G32384" s="812"/>
    </row>
    <row r="32385" spans="7:7">
      <c r="G32385" s="812"/>
    </row>
    <row r="32386" spans="7:7">
      <c r="G32386" s="812"/>
    </row>
    <row r="32387" spans="7:7">
      <c r="G32387" s="812"/>
    </row>
    <row r="32388" spans="7:7">
      <c r="G32388" s="812"/>
    </row>
    <row r="32389" spans="7:7">
      <c r="G32389" s="812"/>
    </row>
    <row r="32390" spans="7:7">
      <c r="G32390" s="812"/>
    </row>
    <row r="32391" spans="7:7">
      <c r="G32391" s="812"/>
    </row>
    <row r="32392" spans="7:7">
      <c r="G32392" s="812"/>
    </row>
    <row r="32393" spans="7:7">
      <c r="G32393" s="812"/>
    </row>
    <row r="32394" spans="7:7">
      <c r="G32394" s="812"/>
    </row>
    <row r="32395" spans="7:7">
      <c r="G32395" s="812"/>
    </row>
    <row r="32396" spans="7:7">
      <c r="G32396" s="812"/>
    </row>
    <row r="32397" spans="7:7">
      <c r="G32397" s="812"/>
    </row>
    <row r="32398" spans="7:7">
      <c r="G32398" s="812"/>
    </row>
    <row r="32399" spans="7:7">
      <c r="G32399" s="812"/>
    </row>
    <row r="32400" spans="7:7">
      <c r="G32400" s="812"/>
    </row>
    <row r="32401" spans="7:7">
      <c r="G32401" s="812"/>
    </row>
    <row r="32402" spans="7:7">
      <c r="G32402" s="812"/>
    </row>
    <row r="32403" spans="7:7">
      <c r="G32403" s="812"/>
    </row>
    <row r="32404" spans="7:7">
      <c r="G32404" s="812"/>
    </row>
    <row r="32405" spans="7:7">
      <c r="G32405" s="812"/>
    </row>
    <row r="32406" spans="7:7">
      <c r="G32406" s="812"/>
    </row>
    <row r="32407" spans="7:7">
      <c r="G32407" s="812"/>
    </row>
    <row r="32408" spans="7:7">
      <c r="G32408" s="812"/>
    </row>
    <row r="32409" spans="7:7">
      <c r="G32409" s="812"/>
    </row>
    <row r="32410" spans="7:7">
      <c r="G32410" s="812"/>
    </row>
    <row r="32411" spans="7:7">
      <c r="G32411" s="812"/>
    </row>
    <row r="32412" spans="7:7">
      <c r="G32412" s="812"/>
    </row>
    <row r="32413" spans="7:7">
      <c r="G32413" s="812"/>
    </row>
    <row r="32414" spans="7:7">
      <c r="G32414" s="812"/>
    </row>
    <row r="32415" spans="7:7">
      <c r="G32415" s="812"/>
    </row>
    <row r="32416" spans="7:7">
      <c r="G32416" s="812"/>
    </row>
    <row r="32417" spans="7:7">
      <c r="G32417" s="812"/>
    </row>
    <row r="32418" spans="7:7">
      <c r="G32418" s="812"/>
    </row>
    <row r="32419" spans="7:7">
      <c r="G32419" s="812"/>
    </row>
    <row r="32420" spans="7:7">
      <c r="G32420" s="812"/>
    </row>
    <row r="32421" spans="7:7">
      <c r="G32421" s="812"/>
    </row>
    <row r="32422" spans="7:7">
      <c r="G32422" s="812"/>
    </row>
    <row r="32423" spans="7:7">
      <c r="G32423" s="812"/>
    </row>
    <row r="32424" spans="7:7">
      <c r="G32424" s="812"/>
    </row>
    <row r="32425" spans="7:7">
      <c r="G32425" s="812"/>
    </row>
    <row r="32426" spans="7:7">
      <c r="G32426" s="812"/>
    </row>
    <row r="32427" spans="7:7">
      <c r="G32427" s="812"/>
    </row>
    <row r="32428" spans="7:7">
      <c r="G32428" s="812"/>
    </row>
    <row r="32429" spans="7:7">
      <c r="G32429" s="812"/>
    </row>
    <row r="32430" spans="7:7">
      <c r="G32430" s="812"/>
    </row>
    <row r="32431" spans="7:7">
      <c r="G32431" s="812"/>
    </row>
    <row r="32432" spans="7:7">
      <c r="G32432" s="812"/>
    </row>
    <row r="32433" spans="7:7">
      <c r="G32433" s="812"/>
    </row>
    <row r="32434" spans="7:7">
      <c r="G32434" s="812"/>
    </row>
    <row r="32435" spans="7:7">
      <c r="G32435" s="812"/>
    </row>
    <row r="32436" spans="7:7">
      <c r="G32436" s="812"/>
    </row>
    <row r="32437" spans="7:7">
      <c r="G32437" s="812"/>
    </row>
    <row r="32438" spans="7:7">
      <c r="G32438" s="812"/>
    </row>
    <row r="32439" spans="7:7">
      <c r="G32439" s="812"/>
    </row>
    <row r="32440" spans="7:7">
      <c r="G32440" s="812"/>
    </row>
    <row r="32441" spans="7:7">
      <c r="G32441" s="812"/>
    </row>
    <row r="32442" spans="7:7">
      <c r="G32442" s="812"/>
    </row>
    <row r="32443" spans="7:7">
      <c r="G32443" s="812"/>
    </row>
    <row r="32444" spans="7:7">
      <c r="G32444" s="812"/>
    </row>
    <row r="32445" spans="7:7">
      <c r="G32445" s="812"/>
    </row>
    <row r="32446" spans="7:7">
      <c r="G32446" s="812"/>
    </row>
    <row r="32447" spans="7:7">
      <c r="G32447" s="812"/>
    </row>
    <row r="32448" spans="7:7">
      <c r="G32448" s="812"/>
    </row>
    <row r="32449" spans="7:7">
      <c r="G32449" s="812"/>
    </row>
    <row r="32450" spans="7:7">
      <c r="G32450" s="812"/>
    </row>
    <row r="32451" spans="7:7">
      <c r="G32451" s="812"/>
    </row>
    <row r="32452" spans="7:7">
      <c r="G32452" s="812"/>
    </row>
    <row r="32453" spans="7:7">
      <c r="G32453" s="812"/>
    </row>
    <row r="32454" spans="7:7">
      <c r="G32454" s="812"/>
    </row>
    <row r="32455" spans="7:7">
      <c r="G32455" s="812"/>
    </row>
    <row r="32456" spans="7:7">
      <c r="G32456" s="812"/>
    </row>
    <row r="32457" spans="7:7">
      <c r="G32457" s="812"/>
    </row>
    <row r="32458" spans="7:7">
      <c r="G32458" s="812"/>
    </row>
    <row r="32459" spans="7:7">
      <c r="G32459" s="812"/>
    </row>
    <row r="32460" spans="7:7">
      <c r="G32460" s="812"/>
    </row>
    <row r="32461" spans="7:7">
      <c r="G32461" s="812"/>
    </row>
    <row r="32462" spans="7:7">
      <c r="G32462" s="812"/>
    </row>
    <row r="32463" spans="7:7">
      <c r="G32463" s="812"/>
    </row>
    <row r="32464" spans="7:7">
      <c r="G32464" s="812"/>
    </row>
    <row r="32465" spans="7:7">
      <c r="G32465" s="812"/>
    </row>
    <row r="32466" spans="7:7">
      <c r="G32466" s="812"/>
    </row>
    <row r="32467" spans="7:7">
      <c r="G32467" s="812"/>
    </row>
    <row r="32468" spans="7:7">
      <c r="G32468" s="812"/>
    </row>
    <row r="32469" spans="7:7">
      <c r="G32469" s="812"/>
    </row>
    <row r="32470" spans="7:7">
      <c r="G32470" s="812"/>
    </row>
    <row r="32471" spans="7:7">
      <c r="G32471" s="812"/>
    </row>
    <row r="32472" spans="7:7">
      <c r="G32472" s="812"/>
    </row>
    <row r="32473" spans="7:7">
      <c r="G32473" s="812"/>
    </row>
    <row r="32474" spans="7:7">
      <c r="G32474" s="812"/>
    </row>
    <row r="32475" spans="7:7">
      <c r="G32475" s="812"/>
    </row>
    <row r="32476" spans="7:7">
      <c r="G32476" s="812"/>
    </row>
    <row r="32477" spans="7:7">
      <c r="G32477" s="812"/>
    </row>
    <row r="32478" spans="7:7">
      <c r="G32478" s="812"/>
    </row>
    <row r="32479" spans="7:7">
      <c r="G32479" s="812"/>
    </row>
    <row r="32480" spans="7:7">
      <c r="G32480" s="812"/>
    </row>
    <row r="32481" spans="7:7">
      <c r="G32481" s="812"/>
    </row>
    <row r="32482" spans="7:7">
      <c r="G32482" s="812"/>
    </row>
    <row r="32483" spans="7:7">
      <c r="G32483" s="812"/>
    </row>
    <row r="32484" spans="7:7">
      <c r="G32484" s="812"/>
    </row>
    <row r="32485" spans="7:7">
      <c r="G32485" s="812"/>
    </row>
    <row r="32486" spans="7:7">
      <c r="G32486" s="812"/>
    </row>
    <row r="32487" spans="7:7">
      <c r="G32487" s="812"/>
    </row>
    <row r="32488" spans="7:7">
      <c r="G32488" s="812"/>
    </row>
    <row r="32489" spans="7:7">
      <c r="G32489" s="812"/>
    </row>
    <row r="32490" spans="7:7">
      <c r="G32490" s="812"/>
    </row>
    <row r="32491" spans="7:7">
      <c r="G32491" s="812"/>
    </row>
    <row r="32492" spans="7:7">
      <c r="G32492" s="812"/>
    </row>
    <row r="32493" spans="7:7">
      <c r="G32493" s="812"/>
    </row>
    <row r="32494" spans="7:7">
      <c r="G32494" s="812"/>
    </row>
    <row r="32495" spans="7:7">
      <c r="G32495" s="812"/>
    </row>
    <row r="32496" spans="7:7">
      <c r="G32496" s="812"/>
    </row>
    <row r="32497" spans="7:7">
      <c r="G32497" s="812"/>
    </row>
    <row r="32498" spans="7:7">
      <c r="G32498" s="812"/>
    </row>
    <row r="32499" spans="7:7">
      <c r="G32499" s="812"/>
    </row>
    <row r="32500" spans="7:7">
      <c r="G32500" s="812"/>
    </row>
    <row r="32501" spans="7:7">
      <c r="G32501" s="812"/>
    </row>
    <row r="32502" spans="7:7">
      <c r="G32502" s="812"/>
    </row>
    <row r="32503" spans="7:7">
      <c r="G32503" s="812"/>
    </row>
    <row r="32504" spans="7:7">
      <c r="G32504" s="812"/>
    </row>
    <row r="32505" spans="7:7">
      <c r="G32505" s="812"/>
    </row>
    <row r="32506" spans="7:7">
      <c r="G32506" s="812"/>
    </row>
    <row r="32507" spans="7:7">
      <c r="G32507" s="812"/>
    </row>
    <row r="32508" spans="7:7">
      <c r="G32508" s="812"/>
    </row>
    <row r="32509" spans="7:7">
      <c r="G32509" s="812"/>
    </row>
    <row r="32510" spans="7:7">
      <c r="G32510" s="812"/>
    </row>
    <row r="32511" spans="7:7">
      <c r="G32511" s="812"/>
    </row>
    <row r="32512" spans="7:7">
      <c r="G32512" s="812"/>
    </row>
    <row r="32513" spans="7:7">
      <c r="G32513" s="812"/>
    </row>
    <row r="32514" spans="7:7">
      <c r="G32514" s="812"/>
    </row>
    <row r="32515" spans="7:7">
      <c r="G32515" s="812"/>
    </row>
    <row r="32516" spans="7:7">
      <c r="G32516" s="812"/>
    </row>
    <row r="32517" spans="7:7">
      <c r="G32517" s="812"/>
    </row>
    <row r="32518" spans="7:7">
      <c r="G32518" s="812"/>
    </row>
    <row r="32519" spans="7:7">
      <c r="G32519" s="812"/>
    </row>
    <row r="32520" spans="7:7">
      <c r="G32520" s="812"/>
    </row>
    <row r="32521" spans="7:7">
      <c r="G32521" s="812"/>
    </row>
    <row r="32522" spans="7:7">
      <c r="G32522" s="812"/>
    </row>
    <row r="32523" spans="7:7">
      <c r="G32523" s="812"/>
    </row>
    <row r="32524" spans="7:7">
      <c r="G32524" s="812"/>
    </row>
    <row r="32525" spans="7:7">
      <c r="G32525" s="812"/>
    </row>
    <row r="32526" spans="7:7">
      <c r="G32526" s="812"/>
    </row>
    <row r="32527" spans="7:7">
      <c r="G32527" s="812"/>
    </row>
    <row r="32528" spans="7:7">
      <c r="G32528" s="812"/>
    </row>
    <row r="32529" spans="7:7">
      <c r="G32529" s="812"/>
    </row>
    <row r="32530" spans="7:7">
      <c r="G32530" s="812"/>
    </row>
    <row r="32531" spans="7:7">
      <c r="G32531" s="812"/>
    </row>
    <row r="32532" spans="7:7">
      <c r="G32532" s="812"/>
    </row>
    <row r="32533" spans="7:7">
      <c r="G32533" s="812"/>
    </row>
    <row r="32534" spans="7:7">
      <c r="G32534" s="812"/>
    </row>
    <row r="32535" spans="7:7">
      <c r="G32535" s="812"/>
    </row>
    <row r="32536" spans="7:7">
      <c r="G32536" s="812"/>
    </row>
    <row r="32537" spans="7:7">
      <c r="G32537" s="812"/>
    </row>
    <row r="32538" spans="7:7">
      <c r="G32538" s="812"/>
    </row>
    <row r="32539" spans="7:7">
      <c r="G32539" s="812"/>
    </row>
    <row r="32540" spans="7:7">
      <c r="G32540" s="812"/>
    </row>
    <row r="32541" spans="7:7">
      <c r="G32541" s="812"/>
    </row>
    <row r="32542" spans="7:7">
      <c r="G32542" s="812"/>
    </row>
    <row r="32543" spans="7:7">
      <c r="G32543" s="812"/>
    </row>
    <row r="32544" spans="7:7">
      <c r="G32544" s="812"/>
    </row>
    <row r="32545" spans="7:7">
      <c r="G32545" s="812"/>
    </row>
    <row r="32546" spans="7:7">
      <c r="G32546" s="812"/>
    </row>
    <row r="32547" spans="7:7">
      <c r="G32547" s="812"/>
    </row>
    <row r="32548" spans="7:7">
      <c r="G32548" s="812"/>
    </row>
    <row r="32549" spans="7:7">
      <c r="G32549" s="812"/>
    </row>
    <row r="32550" spans="7:7">
      <c r="G32550" s="812"/>
    </row>
    <row r="32551" spans="7:7">
      <c r="G32551" s="812"/>
    </row>
    <row r="32552" spans="7:7">
      <c r="G32552" s="812"/>
    </row>
    <row r="32553" spans="7:7">
      <c r="G32553" s="812"/>
    </row>
    <row r="32554" spans="7:7">
      <c r="G32554" s="812"/>
    </row>
    <row r="32555" spans="7:7">
      <c r="G32555" s="812"/>
    </row>
    <row r="32556" spans="7:7">
      <c r="G32556" s="812"/>
    </row>
    <row r="32557" spans="7:7">
      <c r="G32557" s="812"/>
    </row>
    <row r="32558" spans="7:7">
      <c r="G32558" s="812"/>
    </row>
    <row r="32559" spans="7:7">
      <c r="G32559" s="812"/>
    </row>
    <row r="32560" spans="7:7">
      <c r="G32560" s="812"/>
    </row>
    <row r="32561" spans="7:7">
      <c r="G32561" s="812"/>
    </row>
    <row r="32562" spans="7:7">
      <c r="G32562" s="812"/>
    </row>
    <row r="32563" spans="7:7">
      <c r="G32563" s="812"/>
    </row>
    <row r="32564" spans="7:7">
      <c r="G32564" s="812"/>
    </row>
    <row r="32565" spans="7:7">
      <c r="G32565" s="812"/>
    </row>
    <row r="32566" spans="7:7">
      <c r="G32566" s="812"/>
    </row>
    <row r="32567" spans="7:7">
      <c r="G32567" s="812"/>
    </row>
    <row r="32568" spans="7:7">
      <c r="G32568" s="812"/>
    </row>
    <row r="32569" spans="7:7">
      <c r="G32569" s="812"/>
    </row>
    <row r="32570" spans="7:7">
      <c r="G32570" s="812"/>
    </row>
    <row r="32571" spans="7:7">
      <c r="G32571" s="812"/>
    </row>
    <row r="32572" spans="7:7">
      <c r="G32572" s="812"/>
    </row>
    <row r="32573" spans="7:7">
      <c r="G32573" s="812"/>
    </row>
    <row r="32574" spans="7:7">
      <c r="G32574" s="812"/>
    </row>
    <row r="32575" spans="7:7">
      <c r="G32575" s="812"/>
    </row>
    <row r="32576" spans="7:7">
      <c r="G32576" s="812"/>
    </row>
    <row r="32577" spans="7:7">
      <c r="G32577" s="812"/>
    </row>
    <row r="32578" spans="7:7">
      <c r="G32578" s="812"/>
    </row>
    <row r="32579" spans="7:7">
      <c r="G32579" s="812"/>
    </row>
    <row r="32580" spans="7:7">
      <c r="G32580" s="812"/>
    </row>
    <row r="32581" spans="7:7">
      <c r="G32581" s="812"/>
    </row>
    <row r="32582" spans="7:7">
      <c r="G32582" s="812"/>
    </row>
    <row r="32583" spans="7:7">
      <c r="G32583" s="812"/>
    </row>
    <row r="32584" spans="7:7">
      <c r="G32584" s="812"/>
    </row>
    <row r="32585" spans="7:7">
      <c r="G32585" s="812"/>
    </row>
    <row r="32586" spans="7:7">
      <c r="G32586" s="812"/>
    </row>
    <row r="32587" spans="7:7">
      <c r="G32587" s="812"/>
    </row>
    <row r="32588" spans="7:7">
      <c r="G32588" s="812"/>
    </row>
    <row r="32589" spans="7:7">
      <c r="G32589" s="812"/>
    </row>
    <row r="32590" spans="7:7">
      <c r="G32590" s="812"/>
    </row>
    <row r="32591" spans="7:7">
      <c r="G32591" s="812"/>
    </row>
    <row r="32592" spans="7:7">
      <c r="G32592" s="812"/>
    </row>
    <row r="32593" spans="7:7">
      <c r="G32593" s="812"/>
    </row>
    <row r="32594" spans="7:7">
      <c r="G32594" s="812"/>
    </row>
    <row r="32595" spans="7:7">
      <c r="G32595" s="812"/>
    </row>
    <row r="32596" spans="7:7">
      <c r="G32596" s="812"/>
    </row>
    <row r="32597" spans="7:7">
      <c r="G32597" s="812"/>
    </row>
    <row r="32598" spans="7:7">
      <c r="G32598" s="812"/>
    </row>
    <row r="32599" spans="7:7">
      <c r="G32599" s="812"/>
    </row>
    <row r="32600" spans="7:7">
      <c r="G32600" s="812"/>
    </row>
    <row r="32601" spans="7:7">
      <c r="G32601" s="812"/>
    </row>
    <row r="32602" spans="7:7">
      <c r="G32602" s="812"/>
    </row>
    <row r="32603" spans="7:7">
      <c r="G32603" s="812"/>
    </row>
    <row r="32604" spans="7:7">
      <c r="G32604" s="812"/>
    </row>
    <row r="32605" spans="7:7">
      <c r="G32605" s="812"/>
    </row>
    <row r="32606" spans="7:7">
      <c r="G32606" s="812"/>
    </row>
    <row r="32607" spans="7:7">
      <c r="G32607" s="812"/>
    </row>
    <row r="32608" spans="7:7">
      <c r="G32608" s="812"/>
    </row>
    <row r="32609" spans="7:7">
      <c r="G32609" s="812"/>
    </row>
    <row r="32610" spans="7:7">
      <c r="G32610" s="812"/>
    </row>
    <row r="32611" spans="7:7">
      <c r="G32611" s="812"/>
    </row>
    <row r="32612" spans="7:7">
      <c r="G32612" s="812"/>
    </row>
    <row r="32613" spans="7:7">
      <c r="G32613" s="812"/>
    </row>
    <row r="32614" spans="7:7">
      <c r="G32614" s="812"/>
    </row>
    <row r="32615" spans="7:7">
      <c r="G32615" s="812"/>
    </row>
    <row r="32616" spans="7:7">
      <c r="G32616" s="812"/>
    </row>
    <row r="32617" spans="7:7">
      <c r="G32617" s="812"/>
    </row>
    <row r="32618" spans="7:7">
      <c r="G32618" s="812"/>
    </row>
    <row r="32619" spans="7:7">
      <c r="G32619" s="812"/>
    </row>
    <row r="32620" spans="7:7">
      <c r="G32620" s="812"/>
    </row>
    <row r="32621" spans="7:7">
      <c r="G32621" s="812"/>
    </row>
    <row r="32622" spans="7:7">
      <c r="G32622" s="812"/>
    </row>
    <row r="32623" spans="7:7">
      <c r="G32623" s="812"/>
    </row>
    <row r="32624" spans="7:7">
      <c r="G32624" s="812"/>
    </row>
    <row r="32625" spans="7:7">
      <c r="G32625" s="812"/>
    </row>
    <row r="32626" spans="7:7">
      <c r="G32626" s="812"/>
    </row>
    <row r="32627" spans="7:7">
      <c r="G32627" s="812"/>
    </row>
    <row r="32628" spans="7:7">
      <c r="G32628" s="812"/>
    </row>
    <row r="32629" spans="7:7">
      <c r="G32629" s="812"/>
    </row>
    <row r="32630" spans="7:7">
      <c r="G32630" s="812"/>
    </row>
    <row r="32631" spans="7:7">
      <c r="G32631" s="812"/>
    </row>
    <row r="32632" spans="7:7">
      <c r="G32632" s="812"/>
    </row>
    <row r="32633" spans="7:7">
      <c r="G32633" s="812"/>
    </row>
    <row r="32634" spans="7:7">
      <c r="G32634" s="812"/>
    </row>
    <row r="32635" spans="7:7">
      <c r="G32635" s="812"/>
    </row>
    <row r="32636" spans="7:7">
      <c r="G32636" s="812"/>
    </row>
    <row r="32637" spans="7:7">
      <c r="G32637" s="812"/>
    </row>
    <row r="32638" spans="7:7">
      <c r="G32638" s="812"/>
    </row>
    <row r="32639" spans="7:7">
      <c r="G32639" s="812"/>
    </row>
    <row r="32640" spans="7:7">
      <c r="G32640" s="812"/>
    </row>
    <row r="32641" spans="7:7">
      <c r="G32641" s="812"/>
    </row>
    <row r="32642" spans="7:7">
      <c r="G32642" s="812"/>
    </row>
    <row r="32643" spans="7:7">
      <c r="G32643" s="812"/>
    </row>
    <row r="32644" spans="7:7">
      <c r="G32644" s="812"/>
    </row>
    <row r="32645" spans="7:7">
      <c r="G32645" s="812"/>
    </row>
    <row r="32646" spans="7:7">
      <c r="G32646" s="812"/>
    </row>
    <row r="32647" spans="7:7">
      <c r="G32647" s="812"/>
    </row>
    <row r="32648" spans="7:7">
      <c r="G32648" s="812"/>
    </row>
    <row r="32649" spans="7:7">
      <c r="G32649" s="812"/>
    </row>
    <row r="32650" spans="7:7">
      <c r="G32650" s="812"/>
    </row>
    <row r="32651" spans="7:7">
      <c r="G32651" s="812"/>
    </row>
    <row r="32652" spans="7:7">
      <c r="G32652" s="812"/>
    </row>
    <row r="32653" spans="7:7">
      <c r="G32653" s="812"/>
    </row>
    <row r="32654" spans="7:7">
      <c r="G32654" s="812"/>
    </row>
    <row r="32655" spans="7:7">
      <c r="G32655" s="812"/>
    </row>
    <row r="32656" spans="7:7">
      <c r="G32656" s="812"/>
    </row>
    <row r="32657" spans="7:7">
      <c r="G32657" s="812"/>
    </row>
    <row r="32658" spans="7:7">
      <c r="G32658" s="812"/>
    </row>
    <row r="32659" spans="7:7">
      <c r="G32659" s="812"/>
    </row>
    <row r="32660" spans="7:7">
      <c r="G32660" s="812"/>
    </row>
    <row r="32661" spans="7:7">
      <c r="G32661" s="812"/>
    </row>
    <row r="32662" spans="7:7">
      <c r="G32662" s="812"/>
    </row>
    <row r="32663" spans="7:7">
      <c r="G32663" s="812"/>
    </row>
    <row r="32664" spans="7:7">
      <c r="G32664" s="812"/>
    </row>
    <row r="32665" spans="7:7">
      <c r="G32665" s="812"/>
    </row>
    <row r="32666" spans="7:7">
      <c r="G32666" s="812"/>
    </row>
    <row r="32667" spans="7:7">
      <c r="G32667" s="812"/>
    </row>
    <row r="32668" spans="7:7">
      <c r="G32668" s="812"/>
    </row>
    <row r="32669" spans="7:7">
      <c r="G32669" s="812"/>
    </row>
    <row r="32670" spans="7:7">
      <c r="G32670" s="812"/>
    </row>
    <row r="32671" spans="7:7">
      <c r="G32671" s="812"/>
    </row>
    <row r="32672" spans="7:7">
      <c r="G32672" s="812"/>
    </row>
    <row r="32673" spans="7:7">
      <c r="G32673" s="812"/>
    </row>
    <row r="32674" spans="7:7">
      <c r="G32674" s="812"/>
    </row>
    <row r="32675" spans="7:7">
      <c r="G32675" s="812"/>
    </row>
    <row r="32676" spans="7:7">
      <c r="G32676" s="812"/>
    </row>
    <row r="32677" spans="7:7">
      <c r="G32677" s="812"/>
    </row>
    <row r="32678" spans="7:7">
      <c r="G32678" s="812"/>
    </row>
    <row r="32679" spans="7:7">
      <c r="G32679" s="812"/>
    </row>
    <row r="32680" spans="7:7">
      <c r="G32680" s="812"/>
    </row>
    <row r="32681" spans="7:7">
      <c r="G32681" s="812"/>
    </row>
    <row r="32682" spans="7:7">
      <c r="G32682" s="812"/>
    </row>
    <row r="32683" spans="7:7">
      <c r="G32683" s="812"/>
    </row>
    <row r="32684" spans="7:7">
      <c r="G32684" s="812"/>
    </row>
    <row r="32685" spans="7:7">
      <c r="G32685" s="812"/>
    </row>
    <row r="32686" spans="7:7">
      <c r="G32686" s="812"/>
    </row>
    <row r="32687" spans="7:7">
      <c r="G32687" s="812"/>
    </row>
    <row r="32688" spans="7:7">
      <c r="G32688" s="812"/>
    </row>
    <row r="32689" spans="7:7">
      <c r="G32689" s="812"/>
    </row>
    <row r="32690" spans="7:7">
      <c r="G32690" s="812"/>
    </row>
    <row r="32691" spans="7:7">
      <c r="G32691" s="812"/>
    </row>
    <row r="32692" spans="7:7">
      <c r="G32692" s="812"/>
    </row>
    <row r="32693" spans="7:7">
      <c r="G32693" s="812"/>
    </row>
    <row r="32694" spans="7:7">
      <c r="G32694" s="812"/>
    </row>
    <row r="32695" spans="7:7">
      <c r="G32695" s="812"/>
    </row>
    <row r="32696" spans="7:7">
      <c r="G32696" s="812"/>
    </row>
    <row r="32697" spans="7:7">
      <c r="G32697" s="812"/>
    </row>
    <row r="32698" spans="7:7">
      <c r="G32698" s="812"/>
    </row>
    <row r="32699" spans="7:7">
      <c r="G32699" s="812"/>
    </row>
    <row r="32700" spans="7:7">
      <c r="G32700" s="812"/>
    </row>
    <row r="32701" spans="7:7">
      <c r="G32701" s="812"/>
    </row>
    <row r="32702" spans="7:7">
      <c r="G32702" s="812"/>
    </row>
    <row r="32703" spans="7:7">
      <c r="G32703" s="812"/>
    </row>
    <row r="32704" spans="7:7">
      <c r="G32704" s="812"/>
    </row>
    <row r="32705" spans="7:7">
      <c r="G32705" s="812"/>
    </row>
    <row r="32706" spans="7:7">
      <c r="G32706" s="812"/>
    </row>
    <row r="32707" spans="7:7">
      <c r="G32707" s="812"/>
    </row>
    <row r="32708" spans="7:7">
      <c r="G32708" s="812"/>
    </row>
    <row r="32709" spans="7:7">
      <c r="G32709" s="812"/>
    </row>
    <row r="32710" spans="7:7">
      <c r="G32710" s="812"/>
    </row>
    <row r="32711" spans="7:7">
      <c r="G32711" s="812"/>
    </row>
    <row r="32712" spans="7:7">
      <c r="G32712" s="812"/>
    </row>
    <row r="32713" spans="7:7">
      <c r="G32713" s="812"/>
    </row>
    <row r="32714" spans="7:7">
      <c r="G32714" s="812"/>
    </row>
    <row r="32715" spans="7:7">
      <c r="G32715" s="812"/>
    </row>
    <row r="32716" spans="7:7">
      <c r="G32716" s="812"/>
    </row>
    <row r="32717" spans="7:7">
      <c r="G32717" s="812"/>
    </row>
    <row r="32718" spans="7:7">
      <c r="G32718" s="812"/>
    </row>
    <row r="32719" spans="7:7">
      <c r="G32719" s="812"/>
    </row>
    <row r="32720" spans="7:7">
      <c r="G32720" s="812"/>
    </row>
    <row r="32721" spans="7:7">
      <c r="G32721" s="812"/>
    </row>
    <row r="32722" spans="7:7">
      <c r="G32722" s="812"/>
    </row>
    <row r="32723" spans="7:7">
      <c r="G32723" s="812"/>
    </row>
    <row r="32724" spans="7:7">
      <c r="G32724" s="812"/>
    </row>
    <row r="32725" spans="7:7">
      <c r="G32725" s="812"/>
    </row>
    <row r="32726" spans="7:7">
      <c r="G32726" s="812"/>
    </row>
    <row r="32727" spans="7:7">
      <c r="G32727" s="812"/>
    </row>
    <row r="32728" spans="7:7">
      <c r="G32728" s="812"/>
    </row>
    <row r="32729" spans="7:7">
      <c r="G32729" s="812"/>
    </row>
    <row r="32730" spans="7:7">
      <c r="G32730" s="812"/>
    </row>
    <row r="32731" spans="7:7">
      <c r="G32731" s="812"/>
    </row>
    <row r="32732" spans="7:7">
      <c r="G32732" s="812"/>
    </row>
    <row r="32733" spans="7:7">
      <c r="G32733" s="812"/>
    </row>
    <row r="32734" spans="7:7">
      <c r="G32734" s="812"/>
    </row>
    <row r="32735" spans="7:7">
      <c r="G32735" s="812"/>
    </row>
    <row r="32736" spans="7:7">
      <c r="G32736" s="812"/>
    </row>
    <row r="32737" spans="7:7">
      <c r="G32737" s="812"/>
    </row>
    <row r="32738" spans="7:7">
      <c r="G32738" s="812"/>
    </row>
    <row r="32739" spans="7:7">
      <c r="G32739" s="812"/>
    </row>
    <row r="32740" spans="7:7">
      <c r="G32740" s="812"/>
    </row>
    <row r="32741" spans="7:7">
      <c r="G32741" s="812"/>
    </row>
    <row r="32742" spans="7:7">
      <c r="G32742" s="812"/>
    </row>
    <row r="32743" spans="7:7">
      <c r="G32743" s="812"/>
    </row>
    <row r="32744" spans="7:7">
      <c r="G32744" s="812"/>
    </row>
    <row r="32745" spans="7:7">
      <c r="G32745" s="812"/>
    </row>
    <row r="32746" spans="7:7">
      <c r="G32746" s="812"/>
    </row>
    <row r="32747" spans="7:7">
      <c r="G32747" s="812"/>
    </row>
    <row r="32748" spans="7:7">
      <c r="G32748" s="812"/>
    </row>
    <row r="32749" spans="7:7">
      <c r="G32749" s="812"/>
    </row>
    <row r="32750" spans="7:7">
      <c r="G32750" s="812"/>
    </row>
    <row r="32751" spans="7:7">
      <c r="G32751" s="812"/>
    </row>
    <row r="32752" spans="7:7">
      <c r="G32752" s="812"/>
    </row>
    <row r="32753" spans="7:7">
      <c r="G32753" s="812"/>
    </row>
    <row r="32754" spans="7:7">
      <c r="G32754" s="812"/>
    </row>
    <row r="32755" spans="7:7">
      <c r="G32755" s="812"/>
    </row>
    <row r="32756" spans="7:7">
      <c r="G32756" s="812"/>
    </row>
    <row r="32757" spans="7:7">
      <c r="G32757" s="812"/>
    </row>
    <row r="32758" spans="7:7">
      <c r="G32758" s="812"/>
    </row>
    <row r="32759" spans="7:7">
      <c r="G32759" s="812"/>
    </row>
    <row r="32760" spans="7:7">
      <c r="G32760" s="812"/>
    </row>
    <row r="32761" spans="7:7">
      <c r="G32761" s="812"/>
    </row>
    <row r="32762" spans="7:7">
      <c r="G32762" s="812"/>
    </row>
    <row r="32763" spans="7:7">
      <c r="G32763" s="812"/>
    </row>
    <row r="32764" spans="7:7">
      <c r="G32764" s="812"/>
    </row>
    <row r="32765" spans="7:7">
      <c r="G32765" s="812"/>
    </row>
    <row r="32766" spans="7:7">
      <c r="G32766" s="812"/>
    </row>
    <row r="32767" spans="7:7">
      <c r="G32767" s="812"/>
    </row>
    <row r="32768" spans="7:7">
      <c r="G32768" s="812"/>
    </row>
    <row r="32769" spans="7:7">
      <c r="G32769" s="812"/>
    </row>
    <row r="32770" spans="7:7">
      <c r="G32770" s="812"/>
    </row>
    <row r="32771" spans="7:7">
      <c r="G32771" s="812"/>
    </row>
    <row r="32772" spans="7:7">
      <c r="G32772" s="812"/>
    </row>
    <row r="32773" spans="7:7">
      <c r="G32773" s="812"/>
    </row>
    <row r="32774" spans="7:7">
      <c r="G32774" s="812"/>
    </row>
    <row r="32775" spans="7:7">
      <c r="G32775" s="812"/>
    </row>
    <row r="32776" spans="7:7">
      <c r="G32776" s="812"/>
    </row>
    <row r="32777" spans="7:7">
      <c r="G32777" s="812"/>
    </row>
    <row r="32778" spans="7:7">
      <c r="G32778" s="812"/>
    </row>
    <row r="32779" spans="7:7">
      <c r="G32779" s="812"/>
    </row>
    <row r="32780" spans="7:7">
      <c r="G32780" s="812"/>
    </row>
    <row r="32781" spans="7:7">
      <c r="G32781" s="812"/>
    </row>
    <row r="32782" spans="7:7">
      <c r="G32782" s="812"/>
    </row>
    <row r="32783" spans="7:7">
      <c r="G32783" s="812"/>
    </row>
    <row r="32784" spans="7:7">
      <c r="G32784" s="812"/>
    </row>
    <row r="32785" spans="7:7">
      <c r="G32785" s="812"/>
    </row>
    <row r="32786" spans="7:7">
      <c r="G32786" s="812"/>
    </row>
    <row r="32787" spans="7:7">
      <c r="G32787" s="812"/>
    </row>
    <row r="32788" spans="7:7">
      <c r="G32788" s="812"/>
    </row>
    <row r="32789" spans="7:7">
      <c r="G32789" s="812"/>
    </row>
    <row r="32790" spans="7:7">
      <c r="G32790" s="812"/>
    </row>
    <row r="32791" spans="7:7">
      <c r="G32791" s="812"/>
    </row>
    <row r="32792" spans="7:7">
      <c r="G32792" s="812"/>
    </row>
    <row r="32793" spans="7:7">
      <c r="G32793" s="812"/>
    </row>
    <row r="32794" spans="7:7">
      <c r="G32794" s="812"/>
    </row>
    <row r="32795" spans="7:7">
      <c r="G32795" s="812"/>
    </row>
    <row r="32796" spans="7:7">
      <c r="G32796" s="812"/>
    </row>
    <row r="32797" spans="7:7">
      <c r="G32797" s="812"/>
    </row>
    <row r="32798" spans="7:7">
      <c r="G32798" s="812"/>
    </row>
    <row r="32799" spans="7:7">
      <c r="G32799" s="812"/>
    </row>
    <row r="32800" spans="7:7">
      <c r="G32800" s="812"/>
    </row>
    <row r="32801" spans="7:7">
      <c r="G32801" s="812"/>
    </row>
    <row r="32802" spans="7:7">
      <c r="G32802" s="812"/>
    </row>
    <row r="32803" spans="7:7">
      <c r="G32803" s="812"/>
    </row>
    <row r="32804" spans="7:7">
      <c r="G32804" s="812"/>
    </row>
    <row r="32805" spans="7:7">
      <c r="G32805" s="812"/>
    </row>
    <row r="32806" spans="7:7">
      <c r="G32806" s="812"/>
    </row>
    <row r="32807" spans="7:7">
      <c r="G32807" s="812"/>
    </row>
    <row r="32808" spans="7:7">
      <c r="G32808" s="812"/>
    </row>
    <row r="32809" spans="7:7">
      <c r="G32809" s="812"/>
    </row>
    <row r="32810" spans="7:7">
      <c r="G32810" s="812"/>
    </row>
    <row r="32811" spans="7:7">
      <c r="G32811" s="812"/>
    </row>
    <row r="32812" spans="7:7">
      <c r="G32812" s="812"/>
    </row>
    <row r="32813" spans="7:7">
      <c r="G32813" s="812"/>
    </row>
    <row r="32814" spans="7:7">
      <c r="G32814" s="812"/>
    </row>
    <row r="32815" spans="7:7">
      <c r="G32815" s="812"/>
    </row>
    <row r="32816" spans="7:7">
      <c r="G32816" s="812"/>
    </row>
    <row r="32817" spans="7:7">
      <c r="G32817" s="812"/>
    </row>
    <row r="32818" spans="7:7">
      <c r="G32818" s="812"/>
    </row>
    <row r="32819" spans="7:7">
      <c r="G32819" s="812"/>
    </row>
    <row r="32820" spans="7:7">
      <c r="G32820" s="812"/>
    </row>
    <row r="32821" spans="7:7">
      <c r="G32821" s="812"/>
    </row>
    <row r="32822" spans="7:7">
      <c r="G32822" s="812"/>
    </row>
    <row r="32823" spans="7:7">
      <c r="G32823" s="812"/>
    </row>
    <row r="32824" spans="7:7">
      <c r="G32824" s="812"/>
    </row>
    <row r="32825" spans="7:7">
      <c r="G32825" s="812"/>
    </row>
    <row r="32826" spans="7:7">
      <c r="G32826" s="812"/>
    </row>
    <row r="32827" spans="7:7">
      <c r="G32827" s="812"/>
    </row>
    <row r="32828" spans="7:7">
      <c r="G32828" s="812"/>
    </row>
    <row r="32829" spans="7:7">
      <c r="G32829" s="812"/>
    </row>
    <row r="32830" spans="7:7">
      <c r="G32830" s="812"/>
    </row>
    <row r="32831" spans="7:7">
      <c r="G32831" s="812"/>
    </row>
    <row r="32832" spans="7:7">
      <c r="G32832" s="812"/>
    </row>
    <row r="32833" spans="7:7">
      <c r="G32833" s="812"/>
    </row>
    <row r="32834" spans="7:7">
      <c r="G32834" s="812"/>
    </row>
    <row r="32835" spans="7:7">
      <c r="G32835" s="812"/>
    </row>
    <row r="32836" spans="7:7">
      <c r="G32836" s="812"/>
    </row>
    <row r="32837" spans="7:7">
      <c r="G32837" s="812"/>
    </row>
    <row r="32838" spans="7:7">
      <c r="G32838" s="812"/>
    </row>
    <row r="32839" spans="7:7">
      <c r="G32839" s="812"/>
    </row>
    <row r="32840" spans="7:7">
      <c r="G32840" s="812"/>
    </row>
    <row r="32841" spans="7:7">
      <c r="G32841" s="812"/>
    </row>
    <row r="32842" spans="7:7">
      <c r="G32842" s="812"/>
    </row>
    <row r="32843" spans="7:7">
      <c r="G32843" s="812"/>
    </row>
    <row r="32844" spans="7:7">
      <c r="G32844" s="812"/>
    </row>
    <row r="32845" spans="7:7">
      <c r="G32845" s="812"/>
    </row>
    <row r="32846" spans="7:7">
      <c r="G32846" s="812"/>
    </row>
    <row r="32847" spans="7:7">
      <c r="G32847" s="812"/>
    </row>
    <row r="32848" spans="7:7">
      <c r="G32848" s="812"/>
    </row>
    <row r="32849" spans="7:7">
      <c r="G32849" s="812"/>
    </row>
    <row r="32850" spans="7:7">
      <c r="G32850" s="812"/>
    </row>
    <row r="32851" spans="7:7">
      <c r="G32851" s="812"/>
    </row>
    <row r="32852" spans="7:7">
      <c r="G32852" s="812"/>
    </row>
    <row r="32853" spans="7:7">
      <c r="G32853" s="812"/>
    </row>
    <row r="32854" spans="7:7">
      <c r="G32854" s="812"/>
    </row>
    <row r="32855" spans="7:7">
      <c r="G32855" s="812"/>
    </row>
    <row r="32856" spans="7:7">
      <c r="G32856" s="812"/>
    </row>
    <row r="32857" spans="7:7">
      <c r="G32857" s="812"/>
    </row>
    <row r="32858" spans="7:7">
      <c r="G32858" s="812"/>
    </row>
    <row r="32859" spans="7:7">
      <c r="G32859" s="812"/>
    </row>
    <row r="32860" spans="7:7">
      <c r="G32860" s="812"/>
    </row>
    <row r="32861" spans="7:7">
      <c r="G32861" s="812"/>
    </row>
    <row r="32862" spans="7:7">
      <c r="G32862" s="812"/>
    </row>
    <row r="32863" spans="7:7">
      <c r="G32863" s="812"/>
    </row>
    <row r="32864" spans="7:7">
      <c r="G32864" s="812"/>
    </row>
    <row r="32865" spans="7:7">
      <c r="G32865" s="812"/>
    </row>
    <row r="32866" spans="7:7">
      <c r="G32866" s="812"/>
    </row>
    <row r="32867" spans="7:7">
      <c r="G32867" s="812"/>
    </row>
    <row r="32868" spans="7:7">
      <c r="G32868" s="812"/>
    </row>
    <row r="32869" spans="7:7">
      <c r="G32869" s="812"/>
    </row>
    <row r="32870" spans="7:7">
      <c r="G32870" s="812"/>
    </row>
    <row r="32871" spans="7:7">
      <c r="G32871" s="812"/>
    </row>
    <row r="32872" spans="7:7">
      <c r="G32872" s="812"/>
    </row>
    <row r="32873" spans="7:7">
      <c r="G32873" s="812"/>
    </row>
    <row r="32874" spans="7:7">
      <c r="G32874" s="812"/>
    </row>
    <row r="32875" spans="7:7">
      <c r="G32875" s="812"/>
    </row>
    <row r="32876" spans="7:7">
      <c r="G32876" s="812"/>
    </row>
    <row r="32877" spans="7:7">
      <c r="G32877" s="812"/>
    </row>
    <row r="32878" spans="7:7">
      <c r="G32878" s="812"/>
    </row>
    <row r="32879" spans="7:7">
      <c r="G32879" s="812"/>
    </row>
    <row r="32880" spans="7:7">
      <c r="G32880" s="812"/>
    </row>
    <row r="32881" spans="7:7">
      <c r="G32881" s="812"/>
    </row>
    <row r="32882" spans="7:7">
      <c r="G32882" s="812"/>
    </row>
    <row r="32883" spans="7:7">
      <c r="G32883" s="812"/>
    </row>
    <row r="32884" spans="7:7">
      <c r="G32884" s="812"/>
    </row>
    <row r="32885" spans="7:7">
      <c r="G32885" s="812"/>
    </row>
    <row r="32886" spans="7:7">
      <c r="G32886" s="812"/>
    </row>
    <row r="32887" spans="7:7">
      <c r="G32887" s="812"/>
    </row>
    <row r="32888" spans="7:7">
      <c r="G32888" s="812"/>
    </row>
    <row r="32889" spans="7:7">
      <c r="G32889" s="812"/>
    </row>
    <row r="32890" spans="7:7">
      <c r="G32890" s="812"/>
    </row>
    <row r="32891" spans="7:7">
      <c r="G32891" s="812"/>
    </row>
    <row r="32892" spans="7:7">
      <c r="G32892" s="812"/>
    </row>
    <row r="32893" spans="7:7">
      <c r="G32893" s="812"/>
    </row>
    <row r="32894" spans="7:7">
      <c r="G32894" s="812"/>
    </row>
    <row r="32895" spans="7:7">
      <c r="G32895" s="812"/>
    </row>
    <row r="32896" spans="7:7">
      <c r="G32896" s="812"/>
    </row>
    <row r="32897" spans="7:7">
      <c r="G32897" s="812"/>
    </row>
    <row r="32898" spans="7:7">
      <c r="G32898" s="812"/>
    </row>
    <row r="32899" spans="7:7">
      <c r="G32899" s="812"/>
    </row>
    <row r="32900" spans="7:7">
      <c r="G32900" s="812"/>
    </row>
    <row r="32901" spans="7:7">
      <c r="G32901" s="812"/>
    </row>
    <row r="32902" spans="7:7">
      <c r="G32902" s="812"/>
    </row>
    <row r="32903" spans="7:7">
      <c r="G32903" s="812"/>
    </row>
    <row r="32904" spans="7:7">
      <c r="G32904" s="812"/>
    </row>
    <row r="32905" spans="7:7">
      <c r="G32905" s="812"/>
    </row>
    <row r="32906" spans="7:7">
      <c r="G32906" s="812"/>
    </row>
    <row r="32907" spans="7:7">
      <c r="G32907" s="812"/>
    </row>
    <row r="32908" spans="7:7">
      <c r="G32908" s="812"/>
    </row>
    <row r="32909" spans="7:7">
      <c r="G32909" s="812"/>
    </row>
    <row r="32910" spans="7:7">
      <c r="G32910" s="812"/>
    </row>
    <row r="32911" spans="7:7">
      <c r="G32911" s="812"/>
    </row>
    <row r="32912" spans="7:7">
      <c r="G32912" s="812"/>
    </row>
    <row r="32913" spans="7:7">
      <c r="G32913" s="812"/>
    </row>
    <row r="32914" spans="7:7">
      <c r="G32914" s="812"/>
    </row>
    <row r="32915" spans="7:7">
      <c r="G32915" s="812"/>
    </row>
    <row r="32916" spans="7:7">
      <c r="G32916" s="812"/>
    </row>
    <row r="32917" spans="7:7">
      <c r="G32917" s="812"/>
    </row>
    <row r="32918" spans="7:7">
      <c r="G32918" s="812"/>
    </row>
    <row r="32919" spans="7:7">
      <c r="G32919" s="812"/>
    </row>
    <row r="32920" spans="7:7">
      <c r="G32920" s="812"/>
    </row>
    <row r="32921" spans="7:7">
      <c r="G32921" s="812"/>
    </row>
    <row r="32922" spans="7:7">
      <c r="G32922" s="812"/>
    </row>
    <row r="32923" spans="7:7">
      <c r="G32923" s="812"/>
    </row>
    <row r="32924" spans="7:7">
      <c r="G32924" s="812"/>
    </row>
    <row r="32925" spans="7:7">
      <c r="G32925" s="812"/>
    </row>
    <row r="32926" spans="7:7">
      <c r="G32926" s="812"/>
    </row>
    <row r="32927" spans="7:7">
      <c r="G32927" s="812"/>
    </row>
    <row r="32928" spans="7:7">
      <c r="G32928" s="812"/>
    </row>
    <row r="32929" spans="7:7">
      <c r="G32929" s="812"/>
    </row>
    <row r="32930" spans="7:7">
      <c r="G32930" s="812"/>
    </row>
    <row r="32931" spans="7:7">
      <c r="G32931" s="812"/>
    </row>
    <row r="32932" spans="7:7">
      <c r="G32932" s="812"/>
    </row>
    <row r="32933" spans="7:7">
      <c r="G32933" s="812"/>
    </row>
    <row r="32934" spans="7:7">
      <c r="G32934" s="812"/>
    </row>
    <row r="32935" spans="7:7">
      <c r="G32935" s="812"/>
    </row>
    <row r="32936" spans="7:7">
      <c r="G32936" s="812"/>
    </row>
    <row r="32937" spans="7:7">
      <c r="G32937" s="812"/>
    </row>
    <row r="32938" spans="7:7">
      <c r="G32938" s="812"/>
    </row>
    <row r="32939" spans="7:7">
      <c r="G32939" s="812"/>
    </row>
    <row r="32940" spans="7:7">
      <c r="G32940" s="812"/>
    </row>
    <row r="32941" spans="7:7">
      <c r="G32941" s="812"/>
    </row>
    <row r="32942" spans="7:7">
      <c r="G32942" s="812"/>
    </row>
    <row r="32943" spans="7:7">
      <c r="G32943" s="812"/>
    </row>
    <row r="32944" spans="7:7">
      <c r="G32944" s="812"/>
    </row>
    <row r="32945" spans="7:7">
      <c r="G32945" s="812"/>
    </row>
    <row r="32946" spans="7:7">
      <c r="G32946" s="812"/>
    </row>
    <row r="32947" spans="7:7">
      <c r="G32947" s="812"/>
    </row>
    <row r="32948" spans="7:7">
      <c r="G32948" s="812"/>
    </row>
    <row r="32949" spans="7:7">
      <c r="G32949" s="812"/>
    </row>
    <row r="32950" spans="7:7">
      <c r="G32950" s="812"/>
    </row>
    <row r="32951" spans="7:7">
      <c r="G32951" s="812"/>
    </row>
    <row r="32952" spans="7:7">
      <c r="G32952" s="812"/>
    </row>
    <row r="32953" spans="7:7">
      <c r="G32953" s="812"/>
    </row>
    <row r="32954" spans="7:7">
      <c r="G32954" s="812"/>
    </row>
    <row r="32955" spans="7:7">
      <c r="G32955" s="812"/>
    </row>
    <row r="32956" spans="7:7">
      <c r="G32956" s="812"/>
    </row>
    <row r="32957" spans="7:7">
      <c r="G32957" s="812"/>
    </row>
    <row r="32958" spans="7:7">
      <c r="G32958" s="812"/>
    </row>
    <row r="32959" spans="7:7">
      <c r="G32959" s="812"/>
    </row>
    <row r="32960" spans="7:7">
      <c r="G32960" s="812"/>
    </row>
    <row r="32961" spans="7:7">
      <c r="G32961" s="812"/>
    </row>
    <row r="32962" spans="7:7">
      <c r="G32962" s="812"/>
    </row>
    <row r="32963" spans="7:7">
      <c r="G32963" s="812"/>
    </row>
    <row r="32964" spans="7:7">
      <c r="G32964" s="812"/>
    </row>
    <row r="32965" spans="7:7">
      <c r="G32965" s="812"/>
    </row>
    <row r="32966" spans="7:7">
      <c r="G32966" s="812"/>
    </row>
    <row r="32967" spans="7:7">
      <c r="G32967" s="812"/>
    </row>
    <row r="32968" spans="7:7">
      <c r="G32968" s="812"/>
    </row>
    <row r="32969" spans="7:7">
      <c r="G32969" s="812"/>
    </row>
    <row r="32970" spans="7:7">
      <c r="G32970" s="812"/>
    </row>
    <row r="32971" spans="7:7">
      <c r="G32971" s="812"/>
    </row>
    <row r="32972" spans="7:7">
      <c r="G32972" s="812"/>
    </row>
    <row r="32973" spans="7:7">
      <c r="G32973" s="812"/>
    </row>
    <row r="32974" spans="7:7">
      <c r="G32974" s="812"/>
    </row>
    <row r="32975" spans="7:7">
      <c r="G32975" s="812"/>
    </row>
    <row r="32976" spans="7:7">
      <c r="G32976" s="812"/>
    </row>
    <row r="32977" spans="7:7">
      <c r="G32977" s="812"/>
    </row>
    <row r="32978" spans="7:7">
      <c r="G32978" s="812"/>
    </row>
    <row r="32979" spans="7:7">
      <c r="G32979" s="812"/>
    </row>
    <row r="32980" spans="7:7">
      <c r="G32980" s="812"/>
    </row>
    <row r="32981" spans="7:7">
      <c r="G32981" s="812"/>
    </row>
    <row r="32982" spans="7:7">
      <c r="G32982" s="812"/>
    </row>
    <row r="32983" spans="7:7">
      <c r="G32983" s="812"/>
    </row>
    <row r="32984" spans="7:7">
      <c r="G32984" s="812"/>
    </row>
    <row r="32985" spans="7:7">
      <c r="G32985" s="812"/>
    </row>
    <row r="32986" spans="7:7">
      <c r="G32986" s="812"/>
    </row>
    <row r="32987" spans="7:7">
      <c r="G32987" s="812"/>
    </row>
    <row r="32988" spans="7:7">
      <c r="G32988" s="812"/>
    </row>
    <row r="32989" spans="7:7">
      <c r="G32989" s="812"/>
    </row>
    <row r="32990" spans="7:7">
      <c r="G32990" s="812"/>
    </row>
    <row r="32991" spans="7:7">
      <c r="G32991" s="812"/>
    </row>
    <row r="32992" spans="7:7">
      <c r="G32992" s="812"/>
    </row>
    <row r="32993" spans="7:7">
      <c r="G32993" s="812"/>
    </row>
    <row r="32994" spans="7:7">
      <c r="G32994" s="812"/>
    </row>
    <row r="32995" spans="7:7">
      <c r="G32995" s="812"/>
    </row>
    <row r="32996" spans="7:7">
      <c r="G32996" s="812"/>
    </row>
    <row r="32997" spans="7:7">
      <c r="G32997" s="812"/>
    </row>
    <row r="32998" spans="7:7">
      <c r="G32998" s="812"/>
    </row>
    <row r="32999" spans="7:7">
      <c r="G32999" s="812"/>
    </row>
    <row r="33000" spans="7:7">
      <c r="G33000" s="812"/>
    </row>
    <row r="33001" spans="7:7">
      <c r="G33001" s="812"/>
    </row>
    <row r="33002" spans="7:7">
      <c r="G33002" s="812"/>
    </row>
    <row r="33003" spans="7:7">
      <c r="G33003" s="812"/>
    </row>
    <row r="33004" spans="7:7">
      <c r="G33004" s="812"/>
    </row>
    <row r="33005" spans="7:7">
      <c r="G33005" s="812"/>
    </row>
    <row r="33006" spans="7:7">
      <c r="G33006" s="812"/>
    </row>
    <row r="33007" spans="7:7">
      <c r="G33007" s="812"/>
    </row>
    <row r="33008" spans="7:7">
      <c r="G33008" s="812"/>
    </row>
    <row r="33009" spans="7:7">
      <c r="G33009" s="812"/>
    </row>
    <row r="33010" spans="7:7">
      <c r="G33010" s="812"/>
    </row>
    <row r="33011" spans="7:7">
      <c r="G33011" s="812"/>
    </row>
    <row r="33012" spans="7:7">
      <c r="G33012" s="812"/>
    </row>
    <row r="33013" spans="7:7">
      <c r="G33013" s="812"/>
    </row>
    <row r="33014" spans="7:7">
      <c r="G33014" s="812"/>
    </row>
    <row r="33015" spans="7:7">
      <c r="G33015" s="812"/>
    </row>
    <row r="33016" spans="7:7">
      <c r="G33016" s="812"/>
    </row>
    <row r="33017" spans="7:7">
      <c r="G33017" s="812"/>
    </row>
    <row r="33018" spans="7:7">
      <c r="G33018" s="812"/>
    </row>
    <row r="33019" spans="7:7">
      <c r="G33019" s="812"/>
    </row>
    <row r="33020" spans="7:7">
      <c r="G33020" s="812"/>
    </row>
    <row r="33021" spans="7:7">
      <c r="G33021" s="812"/>
    </row>
    <row r="33022" spans="7:7">
      <c r="G33022" s="812"/>
    </row>
    <row r="33023" spans="7:7">
      <c r="G33023" s="812"/>
    </row>
    <row r="33024" spans="7:7">
      <c r="G33024" s="812"/>
    </row>
    <row r="33025" spans="7:7">
      <c r="G33025" s="812"/>
    </row>
    <row r="33026" spans="7:7">
      <c r="G33026" s="812"/>
    </row>
    <row r="33027" spans="7:7">
      <c r="G33027" s="812"/>
    </row>
    <row r="33028" spans="7:7">
      <c r="G33028" s="812"/>
    </row>
    <row r="33029" spans="7:7">
      <c r="G33029" s="812"/>
    </row>
    <row r="33030" spans="7:7">
      <c r="G33030" s="812"/>
    </row>
    <row r="33031" spans="7:7">
      <c r="G33031" s="812"/>
    </row>
    <row r="33032" spans="7:7">
      <c r="G33032" s="812"/>
    </row>
    <row r="33033" spans="7:7">
      <c r="G33033" s="812"/>
    </row>
    <row r="33034" spans="7:7">
      <c r="G33034" s="812"/>
    </row>
    <row r="33035" spans="7:7">
      <c r="G33035" s="812"/>
    </row>
    <row r="33036" spans="7:7">
      <c r="G33036" s="812"/>
    </row>
    <row r="33037" spans="7:7">
      <c r="G33037" s="812"/>
    </row>
    <row r="33038" spans="7:7">
      <c r="G33038" s="812"/>
    </row>
    <row r="33039" spans="7:7">
      <c r="G33039" s="812"/>
    </row>
    <row r="33040" spans="7:7">
      <c r="G33040" s="812"/>
    </row>
    <row r="33041" spans="7:7">
      <c r="G33041" s="812"/>
    </row>
    <row r="33042" spans="7:7">
      <c r="G33042" s="812"/>
    </row>
    <row r="33043" spans="7:7">
      <c r="G33043" s="812"/>
    </row>
    <row r="33044" spans="7:7">
      <c r="G33044" s="812"/>
    </row>
    <row r="33045" spans="7:7">
      <c r="G33045" s="812"/>
    </row>
    <row r="33046" spans="7:7">
      <c r="G33046" s="812"/>
    </row>
    <row r="33047" spans="7:7">
      <c r="G33047" s="812"/>
    </row>
    <row r="33048" spans="7:7">
      <c r="G33048" s="812"/>
    </row>
    <row r="33049" spans="7:7">
      <c r="G33049" s="812"/>
    </row>
    <row r="33050" spans="7:7">
      <c r="G33050" s="812"/>
    </row>
    <row r="33051" spans="7:7">
      <c r="G33051" s="812"/>
    </row>
    <row r="33052" spans="7:7">
      <c r="G33052" s="812"/>
    </row>
    <row r="33053" spans="7:7">
      <c r="G33053" s="812"/>
    </row>
    <row r="33054" spans="7:7">
      <c r="G33054" s="812"/>
    </row>
    <row r="33055" spans="7:7">
      <c r="G33055" s="812"/>
    </row>
    <row r="33056" spans="7:7">
      <c r="G33056" s="812"/>
    </row>
    <row r="33057" spans="7:7">
      <c r="G33057" s="812"/>
    </row>
    <row r="33058" spans="7:7">
      <c r="G33058" s="812"/>
    </row>
    <row r="33059" spans="7:7">
      <c r="G33059" s="812"/>
    </row>
    <row r="33060" spans="7:7">
      <c r="G33060" s="812"/>
    </row>
    <row r="33061" spans="7:7">
      <c r="G33061" s="812"/>
    </row>
    <row r="33062" spans="7:7">
      <c r="G33062" s="812"/>
    </row>
    <row r="33063" spans="7:7">
      <c r="G33063" s="812"/>
    </row>
    <row r="33064" spans="7:7">
      <c r="G33064" s="812"/>
    </row>
    <row r="33065" spans="7:7">
      <c r="G33065" s="812"/>
    </row>
    <row r="33066" spans="7:7">
      <c r="G33066" s="812"/>
    </row>
    <row r="33067" spans="7:7">
      <c r="G33067" s="812"/>
    </row>
    <row r="33068" spans="7:7">
      <c r="G33068" s="812"/>
    </row>
    <row r="33069" spans="7:7">
      <c r="G33069" s="812"/>
    </row>
    <row r="33070" spans="7:7">
      <c r="G33070" s="812"/>
    </row>
    <row r="33071" spans="7:7">
      <c r="G33071" s="812"/>
    </row>
    <row r="33072" spans="7:7">
      <c r="G33072" s="812"/>
    </row>
    <row r="33073" spans="7:7">
      <c r="G33073" s="812"/>
    </row>
    <row r="33074" spans="7:7">
      <c r="G33074" s="812"/>
    </row>
    <row r="33075" spans="7:7">
      <c r="G33075" s="812"/>
    </row>
    <row r="33076" spans="7:7">
      <c r="G33076" s="812"/>
    </row>
    <row r="33077" spans="7:7">
      <c r="G33077" s="812"/>
    </row>
    <row r="33078" spans="7:7">
      <c r="G33078" s="812"/>
    </row>
    <row r="33079" spans="7:7">
      <c r="G33079" s="812"/>
    </row>
    <row r="33080" spans="7:7">
      <c r="G33080" s="812"/>
    </row>
    <row r="33081" spans="7:7">
      <c r="G33081" s="812"/>
    </row>
    <row r="33082" spans="7:7">
      <c r="G33082" s="812"/>
    </row>
    <row r="33083" spans="7:7">
      <c r="G33083" s="812"/>
    </row>
    <row r="33084" spans="7:7">
      <c r="G33084" s="812"/>
    </row>
    <row r="33085" spans="7:7">
      <c r="G33085" s="812"/>
    </row>
    <row r="33086" spans="7:7">
      <c r="G33086" s="812"/>
    </row>
    <row r="33087" spans="7:7">
      <c r="G33087" s="812"/>
    </row>
    <row r="33088" spans="7:7">
      <c r="G33088" s="812"/>
    </row>
    <row r="33089" spans="7:7">
      <c r="G33089" s="812"/>
    </row>
    <row r="33090" spans="7:7">
      <c r="G33090" s="812"/>
    </row>
    <row r="33091" spans="7:7">
      <c r="G33091" s="812"/>
    </row>
    <row r="33092" spans="7:7">
      <c r="G33092" s="812"/>
    </row>
    <row r="33093" spans="7:7">
      <c r="G33093" s="812"/>
    </row>
    <row r="33094" spans="7:7">
      <c r="G33094" s="812"/>
    </row>
    <row r="33095" spans="7:7">
      <c r="G33095" s="812"/>
    </row>
    <row r="33096" spans="7:7">
      <c r="G33096" s="812"/>
    </row>
    <row r="33097" spans="7:7">
      <c r="G33097" s="812"/>
    </row>
    <row r="33098" spans="7:7">
      <c r="G33098" s="812"/>
    </row>
    <row r="33099" spans="7:7">
      <c r="G33099" s="812"/>
    </row>
    <row r="33100" spans="7:7">
      <c r="G33100" s="812"/>
    </row>
    <row r="33101" spans="7:7">
      <c r="G33101" s="812"/>
    </row>
    <row r="33102" spans="7:7">
      <c r="G33102" s="812"/>
    </row>
    <row r="33103" spans="7:7">
      <c r="G33103" s="812"/>
    </row>
    <row r="33104" spans="7:7">
      <c r="G33104" s="812"/>
    </row>
    <row r="33105" spans="7:7">
      <c r="G33105" s="812"/>
    </row>
    <row r="33106" spans="7:7">
      <c r="G33106" s="812"/>
    </row>
    <row r="33107" spans="7:7">
      <c r="G33107" s="812"/>
    </row>
    <row r="33108" spans="7:7">
      <c r="G33108" s="812"/>
    </row>
    <row r="33109" spans="7:7">
      <c r="G33109" s="812"/>
    </row>
    <row r="33110" spans="7:7">
      <c r="G33110" s="812"/>
    </row>
    <row r="33111" spans="7:7">
      <c r="G33111" s="812"/>
    </row>
    <row r="33112" spans="7:7">
      <c r="G33112" s="812"/>
    </row>
    <row r="33113" spans="7:7">
      <c r="G33113" s="812"/>
    </row>
    <row r="33114" spans="7:7">
      <c r="G33114" s="812"/>
    </row>
    <row r="33115" spans="7:7">
      <c r="G33115" s="812"/>
    </row>
    <row r="33116" spans="7:7">
      <c r="G33116" s="812"/>
    </row>
    <row r="33117" spans="7:7">
      <c r="G33117" s="812"/>
    </row>
    <row r="33118" spans="7:7">
      <c r="G33118" s="812"/>
    </row>
    <row r="33119" spans="7:7">
      <c r="G33119" s="812"/>
    </row>
    <row r="33120" spans="7:7">
      <c r="G33120" s="812"/>
    </row>
    <row r="33121" spans="7:7">
      <c r="G33121" s="812"/>
    </row>
    <row r="33122" spans="7:7">
      <c r="G33122" s="812"/>
    </row>
    <row r="33123" spans="7:7">
      <c r="G33123" s="812"/>
    </row>
    <row r="33124" spans="7:7">
      <c r="G33124" s="812"/>
    </row>
    <row r="33125" spans="7:7">
      <c r="G33125" s="812"/>
    </row>
    <row r="33126" spans="7:7">
      <c r="G33126" s="812"/>
    </row>
    <row r="33127" spans="7:7">
      <c r="G33127" s="812"/>
    </row>
    <row r="33128" spans="7:7">
      <c r="G33128" s="812"/>
    </row>
    <row r="33129" spans="7:7">
      <c r="G33129" s="812"/>
    </row>
    <row r="33130" spans="7:7">
      <c r="G33130" s="812"/>
    </row>
    <row r="33131" spans="7:7">
      <c r="G33131" s="812"/>
    </row>
    <row r="33132" spans="7:7">
      <c r="G33132" s="812"/>
    </row>
    <row r="33133" spans="7:7">
      <c r="G33133" s="812"/>
    </row>
    <row r="33134" spans="7:7">
      <c r="G33134" s="812"/>
    </row>
    <row r="33135" spans="7:7">
      <c r="G33135" s="812"/>
    </row>
    <row r="33136" spans="7:7">
      <c r="G33136" s="812"/>
    </row>
    <row r="33137" spans="7:7">
      <c r="G33137" s="812"/>
    </row>
    <row r="33138" spans="7:7">
      <c r="G33138" s="812"/>
    </row>
    <row r="33139" spans="7:7">
      <c r="G33139" s="812"/>
    </row>
    <row r="33140" spans="7:7">
      <c r="G33140" s="812"/>
    </row>
    <row r="33141" spans="7:7">
      <c r="G33141" s="812"/>
    </row>
    <row r="33142" spans="7:7">
      <c r="G33142" s="812"/>
    </row>
    <row r="33143" spans="7:7">
      <c r="G33143" s="812"/>
    </row>
    <row r="33144" spans="7:7">
      <c r="G33144" s="812"/>
    </row>
    <row r="33145" spans="7:7">
      <c r="G33145" s="812"/>
    </row>
    <row r="33146" spans="7:7">
      <c r="G33146" s="812"/>
    </row>
    <row r="33147" spans="7:7">
      <c r="G33147" s="812"/>
    </row>
    <row r="33148" spans="7:7">
      <c r="G33148" s="812"/>
    </row>
    <row r="33149" spans="7:7">
      <c r="G33149" s="812"/>
    </row>
    <row r="33150" spans="7:7">
      <c r="G33150" s="812"/>
    </row>
    <row r="33151" spans="7:7">
      <c r="G33151" s="812"/>
    </row>
    <row r="33152" spans="7:7">
      <c r="G33152" s="812"/>
    </row>
    <row r="33153" spans="7:7">
      <c r="G33153" s="812"/>
    </row>
    <row r="33154" spans="7:7">
      <c r="G33154" s="812"/>
    </row>
    <row r="33155" spans="7:7">
      <c r="G33155" s="812"/>
    </row>
    <row r="33156" spans="7:7">
      <c r="G33156" s="812"/>
    </row>
    <row r="33157" spans="7:7">
      <c r="G33157" s="812"/>
    </row>
    <row r="33158" spans="7:7">
      <c r="G33158" s="812"/>
    </row>
    <row r="33159" spans="7:7">
      <c r="G33159" s="812"/>
    </row>
    <row r="33160" spans="7:7">
      <c r="G33160" s="812"/>
    </row>
    <row r="33161" spans="7:7">
      <c r="G33161" s="812"/>
    </row>
    <row r="33162" spans="7:7">
      <c r="G33162" s="812"/>
    </row>
    <row r="33163" spans="7:7">
      <c r="G33163" s="812"/>
    </row>
    <row r="33164" spans="7:7">
      <c r="G33164" s="812"/>
    </row>
    <row r="33165" spans="7:7">
      <c r="G33165" s="812"/>
    </row>
    <row r="33166" spans="7:7">
      <c r="G33166" s="812"/>
    </row>
    <row r="33167" spans="7:7">
      <c r="G33167" s="812"/>
    </row>
    <row r="33168" spans="7:7">
      <c r="G33168" s="812"/>
    </row>
    <row r="33169" spans="7:7">
      <c r="G33169" s="812"/>
    </row>
    <row r="33170" spans="7:7">
      <c r="G33170" s="812"/>
    </row>
    <row r="33171" spans="7:7">
      <c r="G33171" s="812"/>
    </row>
    <row r="33172" spans="7:7">
      <c r="G33172" s="812"/>
    </row>
    <row r="33173" spans="7:7">
      <c r="G33173" s="812"/>
    </row>
    <row r="33174" spans="7:7">
      <c r="G33174" s="812"/>
    </row>
    <row r="33175" spans="7:7">
      <c r="G33175" s="812"/>
    </row>
    <row r="33176" spans="7:7">
      <c r="G33176" s="812"/>
    </row>
    <row r="33177" spans="7:7">
      <c r="G33177" s="812"/>
    </row>
    <row r="33178" spans="7:7">
      <c r="G33178" s="812"/>
    </row>
    <row r="33179" spans="7:7">
      <c r="G33179" s="812"/>
    </row>
    <row r="33180" spans="7:7">
      <c r="G33180" s="812"/>
    </row>
    <row r="33181" spans="7:7">
      <c r="G33181" s="812"/>
    </row>
    <row r="33182" spans="7:7">
      <c r="G33182" s="812"/>
    </row>
    <row r="33183" spans="7:7">
      <c r="G33183" s="812"/>
    </row>
    <row r="33184" spans="7:7">
      <c r="G33184" s="812"/>
    </row>
    <row r="33185" spans="7:7">
      <c r="G33185" s="812"/>
    </row>
    <row r="33186" spans="7:7">
      <c r="G33186" s="812"/>
    </row>
    <row r="33187" spans="7:7">
      <c r="G33187" s="812"/>
    </row>
    <row r="33188" spans="7:7">
      <c r="G33188" s="812"/>
    </row>
    <row r="33189" spans="7:7">
      <c r="G33189" s="812"/>
    </row>
    <row r="33190" spans="7:7">
      <c r="G33190" s="812"/>
    </row>
    <row r="33191" spans="7:7">
      <c r="G33191" s="812"/>
    </row>
    <row r="33192" spans="7:7">
      <c r="G33192" s="812"/>
    </row>
    <row r="33193" spans="7:7">
      <c r="G33193" s="812"/>
    </row>
    <row r="33194" spans="7:7">
      <c r="G33194" s="812"/>
    </row>
    <row r="33195" spans="7:7">
      <c r="G33195" s="812"/>
    </row>
    <row r="33196" spans="7:7">
      <c r="G33196" s="812"/>
    </row>
    <row r="33197" spans="7:7">
      <c r="G33197" s="812"/>
    </row>
    <row r="33198" spans="7:7">
      <c r="G33198" s="812"/>
    </row>
    <row r="33199" spans="7:7">
      <c r="G33199" s="812"/>
    </row>
    <row r="33200" spans="7:7">
      <c r="G33200" s="812"/>
    </row>
    <row r="33201" spans="7:7">
      <c r="G33201" s="812"/>
    </row>
    <row r="33202" spans="7:7">
      <c r="G33202" s="812"/>
    </row>
    <row r="33203" spans="7:7">
      <c r="G33203" s="812"/>
    </row>
    <row r="33204" spans="7:7">
      <c r="G33204" s="812"/>
    </row>
    <row r="33205" spans="7:7">
      <c r="G33205" s="812"/>
    </row>
    <row r="33206" spans="7:7">
      <c r="G33206" s="812"/>
    </row>
    <row r="33207" spans="7:7">
      <c r="G33207" s="812"/>
    </row>
    <row r="33208" spans="7:7">
      <c r="G33208" s="812"/>
    </row>
    <row r="33209" spans="7:7">
      <c r="G33209" s="812"/>
    </row>
    <row r="33210" spans="7:7">
      <c r="G33210" s="812"/>
    </row>
    <row r="33211" spans="7:7">
      <c r="G33211" s="812"/>
    </row>
    <row r="33212" spans="7:7">
      <c r="G33212" s="812"/>
    </row>
    <row r="33213" spans="7:7">
      <c r="G33213" s="812"/>
    </row>
    <row r="33214" spans="7:7">
      <c r="G33214" s="812"/>
    </row>
    <row r="33215" spans="7:7">
      <c r="G33215" s="812"/>
    </row>
    <row r="33216" spans="7:7">
      <c r="G33216" s="812"/>
    </row>
    <row r="33217" spans="7:7">
      <c r="G33217" s="812"/>
    </row>
    <row r="33218" spans="7:7">
      <c r="G33218" s="812"/>
    </row>
    <row r="33219" spans="7:7">
      <c r="G33219" s="812"/>
    </row>
    <row r="33220" spans="7:7">
      <c r="G33220" s="812"/>
    </row>
    <row r="33221" spans="7:7">
      <c r="G33221" s="812"/>
    </row>
    <row r="33222" spans="7:7">
      <c r="G33222" s="812"/>
    </row>
    <row r="33223" spans="7:7">
      <c r="G33223" s="812"/>
    </row>
    <row r="33224" spans="7:7">
      <c r="G33224" s="812"/>
    </row>
    <row r="33225" spans="7:7">
      <c r="G33225" s="812"/>
    </row>
    <row r="33226" spans="7:7">
      <c r="G33226" s="812"/>
    </row>
    <row r="33227" spans="7:7">
      <c r="G33227" s="812"/>
    </row>
    <row r="33228" spans="7:7">
      <c r="G33228" s="812"/>
    </row>
    <row r="33229" spans="7:7">
      <c r="G33229" s="812"/>
    </row>
    <row r="33230" spans="7:7">
      <c r="G33230" s="812"/>
    </row>
    <row r="33231" spans="7:7">
      <c r="G33231" s="812"/>
    </row>
    <row r="33232" spans="7:7">
      <c r="G33232" s="812"/>
    </row>
    <row r="33233" spans="7:7">
      <c r="G33233" s="812"/>
    </row>
    <row r="33234" spans="7:7">
      <c r="G33234" s="812"/>
    </row>
    <row r="33235" spans="7:7">
      <c r="G33235" s="812"/>
    </row>
    <row r="33236" spans="7:7">
      <c r="G33236" s="812"/>
    </row>
    <row r="33237" spans="7:7">
      <c r="G33237" s="812"/>
    </row>
    <row r="33238" spans="7:7">
      <c r="G33238" s="812"/>
    </row>
    <row r="33239" spans="7:7">
      <c r="G33239" s="812"/>
    </row>
    <row r="33240" spans="7:7">
      <c r="G33240" s="812"/>
    </row>
    <row r="33241" spans="7:7">
      <c r="G33241" s="812"/>
    </row>
    <row r="33242" spans="7:7">
      <c r="G33242" s="812"/>
    </row>
    <row r="33243" spans="7:7">
      <c r="G33243" s="812"/>
    </row>
    <row r="33244" spans="7:7">
      <c r="G33244" s="812"/>
    </row>
    <row r="33245" spans="7:7">
      <c r="G33245" s="812"/>
    </row>
    <row r="33246" spans="7:7">
      <c r="G33246" s="812"/>
    </row>
    <row r="33247" spans="7:7">
      <c r="G33247" s="812"/>
    </row>
    <row r="33248" spans="7:7">
      <c r="G33248" s="812"/>
    </row>
    <row r="33249" spans="7:7">
      <c r="G33249" s="812"/>
    </row>
    <row r="33250" spans="7:7">
      <c r="G33250" s="812"/>
    </row>
    <row r="33251" spans="7:7">
      <c r="G33251" s="812"/>
    </row>
    <row r="33252" spans="7:7">
      <c r="G33252" s="812"/>
    </row>
    <row r="33253" spans="7:7">
      <c r="G33253" s="812"/>
    </row>
    <row r="33254" spans="7:7">
      <c r="G33254" s="812"/>
    </row>
    <row r="33255" spans="7:7">
      <c r="G33255" s="812"/>
    </row>
    <row r="33256" spans="7:7">
      <c r="G33256" s="812"/>
    </row>
    <row r="33257" spans="7:7">
      <c r="G33257" s="812"/>
    </row>
    <row r="33258" spans="7:7">
      <c r="G33258" s="812"/>
    </row>
    <row r="33259" spans="7:7">
      <c r="G33259" s="812"/>
    </row>
    <row r="33260" spans="7:7">
      <c r="G33260" s="812"/>
    </row>
    <row r="33261" spans="7:7">
      <c r="G33261" s="812"/>
    </row>
    <row r="33262" spans="7:7">
      <c r="G33262" s="812"/>
    </row>
    <row r="33263" spans="7:7">
      <c r="G33263" s="812"/>
    </row>
    <row r="33264" spans="7:7">
      <c r="G33264" s="812"/>
    </row>
    <row r="33265" spans="7:7">
      <c r="G33265" s="812"/>
    </row>
    <row r="33266" spans="7:7">
      <c r="G33266" s="812"/>
    </row>
    <row r="33267" spans="7:7">
      <c r="G33267" s="812"/>
    </row>
    <row r="33268" spans="7:7">
      <c r="G33268" s="812"/>
    </row>
    <row r="33269" spans="7:7">
      <c r="G33269" s="812"/>
    </row>
    <row r="33270" spans="7:7">
      <c r="G33270" s="812"/>
    </row>
    <row r="33271" spans="7:7">
      <c r="G33271" s="812"/>
    </row>
    <row r="33272" spans="7:7">
      <c r="G33272" s="812"/>
    </row>
    <row r="33273" spans="7:7">
      <c r="G33273" s="812"/>
    </row>
    <row r="33274" spans="7:7">
      <c r="G33274" s="812"/>
    </row>
    <row r="33275" spans="7:7">
      <c r="G33275" s="812"/>
    </row>
    <row r="33276" spans="7:7">
      <c r="G33276" s="812"/>
    </row>
    <row r="33277" spans="7:7">
      <c r="G33277" s="812"/>
    </row>
    <row r="33278" spans="7:7">
      <c r="G33278" s="812"/>
    </row>
    <row r="33279" spans="7:7">
      <c r="G33279" s="812"/>
    </row>
    <row r="33280" spans="7:7">
      <c r="G33280" s="812"/>
    </row>
    <row r="33281" spans="7:7">
      <c r="G33281" s="812"/>
    </row>
    <row r="33282" spans="7:7">
      <c r="G33282" s="812"/>
    </row>
    <row r="33283" spans="7:7">
      <c r="G33283" s="812"/>
    </row>
    <row r="33284" spans="7:7">
      <c r="G33284" s="812"/>
    </row>
    <row r="33285" spans="7:7">
      <c r="G33285" s="812"/>
    </row>
    <row r="33286" spans="7:7">
      <c r="G33286" s="812"/>
    </row>
    <row r="33287" spans="7:7">
      <c r="G33287" s="812"/>
    </row>
    <row r="33288" spans="7:7">
      <c r="G33288" s="812"/>
    </row>
    <row r="33289" spans="7:7">
      <c r="G33289" s="812"/>
    </row>
    <row r="33290" spans="7:7">
      <c r="G33290" s="812"/>
    </row>
    <row r="33291" spans="7:7">
      <c r="G33291" s="812"/>
    </row>
    <row r="33292" spans="7:7">
      <c r="G33292" s="812"/>
    </row>
    <row r="33293" spans="7:7">
      <c r="G33293" s="812"/>
    </row>
    <row r="33294" spans="7:7">
      <c r="G33294" s="812"/>
    </row>
    <row r="33295" spans="7:7">
      <c r="G33295" s="812"/>
    </row>
    <row r="33296" spans="7:7">
      <c r="G33296" s="812"/>
    </row>
    <row r="33297" spans="7:7">
      <c r="G33297" s="812"/>
    </row>
    <row r="33298" spans="7:7">
      <c r="G33298" s="812"/>
    </row>
    <row r="33299" spans="7:7">
      <c r="G33299" s="812"/>
    </row>
    <row r="33300" spans="7:7">
      <c r="G33300" s="812"/>
    </row>
    <row r="33301" spans="7:7">
      <c r="G33301" s="812"/>
    </row>
    <row r="33302" spans="7:7">
      <c r="G33302" s="812"/>
    </row>
    <row r="33303" spans="7:7">
      <c r="G33303" s="812"/>
    </row>
    <row r="33304" spans="7:7">
      <c r="G33304" s="812"/>
    </row>
    <row r="33305" spans="7:7">
      <c r="G33305" s="812"/>
    </row>
    <row r="33306" spans="7:7">
      <c r="G33306" s="812"/>
    </row>
    <row r="33307" spans="7:7">
      <c r="G33307" s="812"/>
    </row>
    <row r="33308" spans="7:7">
      <c r="G33308" s="812"/>
    </row>
    <row r="33309" spans="7:7">
      <c r="G33309" s="812"/>
    </row>
    <row r="33310" spans="7:7">
      <c r="G33310" s="812"/>
    </row>
    <row r="33311" spans="7:7">
      <c r="G33311" s="812"/>
    </row>
    <row r="33312" spans="7:7">
      <c r="G33312" s="812"/>
    </row>
    <row r="33313" spans="7:7">
      <c r="G33313" s="812"/>
    </row>
    <row r="33314" spans="7:7">
      <c r="G33314" s="812"/>
    </row>
    <row r="33315" spans="7:7">
      <c r="G33315" s="812"/>
    </row>
    <row r="33316" spans="7:7">
      <c r="G33316" s="812"/>
    </row>
    <row r="33317" spans="7:7">
      <c r="G33317" s="812"/>
    </row>
    <row r="33318" spans="7:7">
      <c r="G33318" s="812"/>
    </row>
    <row r="33319" spans="7:7">
      <c r="G33319" s="812"/>
    </row>
    <row r="33320" spans="7:7">
      <c r="G33320" s="812"/>
    </row>
    <row r="33321" spans="7:7">
      <c r="G33321" s="812"/>
    </row>
    <row r="33322" spans="7:7">
      <c r="G33322" s="812"/>
    </row>
    <row r="33323" spans="7:7">
      <c r="G33323" s="812"/>
    </row>
    <row r="33324" spans="7:7">
      <c r="G33324" s="812"/>
    </row>
    <row r="33325" spans="7:7">
      <c r="G33325" s="812"/>
    </row>
    <row r="33326" spans="7:7">
      <c r="G33326" s="812"/>
    </row>
    <row r="33327" spans="7:7">
      <c r="G33327" s="812"/>
    </row>
    <row r="33328" spans="7:7">
      <c r="G33328" s="812"/>
    </row>
    <row r="33329" spans="7:7">
      <c r="G33329" s="812"/>
    </row>
    <row r="33330" spans="7:7">
      <c r="G33330" s="812"/>
    </row>
    <row r="33331" spans="7:7">
      <c r="G33331" s="812"/>
    </row>
    <row r="33332" spans="7:7">
      <c r="G33332" s="812"/>
    </row>
    <row r="33333" spans="7:7">
      <c r="G33333" s="812"/>
    </row>
    <row r="33334" spans="7:7">
      <c r="G33334" s="812"/>
    </row>
    <row r="33335" spans="7:7">
      <c r="G33335" s="812"/>
    </row>
    <row r="33336" spans="7:7">
      <c r="G33336" s="812"/>
    </row>
    <row r="33337" spans="7:7">
      <c r="G33337" s="812"/>
    </row>
    <row r="33338" spans="7:7">
      <c r="G33338" s="812"/>
    </row>
    <row r="33339" spans="7:7">
      <c r="G33339" s="812"/>
    </row>
    <row r="33340" spans="7:7">
      <c r="G33340" s="812"/>
    </row>
    <row r="33341" spans="7:7">
      <c r="G33341" s="812"/>
    </row>
    <row r="33342" spans="7:7">
      <c r="G33342" s="812"/>
    </row>
    <row r="33343" spans="7:7">
      <c r="G33343" s="812"/>
    </row>
    <row r="33344" spans="7:7">
      <c r="G33344" s="812"/>
    </row>
    <row r="33345" spans="7:7">
      <c r="G33345" s="812"/>
    </row>
    <row r="33346" spans="7:7">
      <c r="G33346" s="812"/>
    </row>
    <row r="33347" spans="7:7">
      <c r="G33347" s="812"/>
    </row>
    <row r="33348" spans="7:7">
      <c r="G33348" s="812"/>
    </row>
    <row r="33349" spans="7:7">
      <c r="G33349" s="812"/>
    </row>
    <row r="33350" spans="7:7">
      <c r="G33350" s="812"/>
    </row>
    <row r="33351" spans="7:7">
      <c r="G33351" s="812"/>
    </row>
    <row r="33352" spans="7:7">
      <c r="G33352" s="812"/>
    </row>
    <row r="33353" spans="7:7">
      <c r="G33353" s="812"/>
    </row>
    <row r="33354" spans="7:7">
      <c r="G33354" s="812"/>
    </row>
    <row r="33355" spans="7:7">
      <c r="G33355" s="812"/>
    </row>
    <row r="33356" spans="7:7">
      <c r="G33356" s="812"/>
    </row>
    <row r="33357" spans="7:7">
      <c r="G33357" s="812"/>
    </row>
    <row r="33358" spans="7:7">
      <c r="G33358" s="812"/>
    </row>
    <row r="33359" spans="7:7">
      <c r="G33359" s="812"/>
    </row>
    <row r="33360" spans="7:7">
      <c r="G33360" s="812"/>
    </row>
    <row r="33361" spans="7:7">
      <c r="G33361" s="812"/>
    </row>
    <row r="33362" spans="7:7">
      <c r="G33362" s="812"/>
    </row>
    <row r="33363" spans="7:7">
      <c r="G33363" s="812"/>
    </row>
    <row r="33364" spans="7:7">
      <c r="G33364" s="812"/>
    </row>
    <row r="33365" spans="7:7">
      <c r="G33365" s="812"/>
    </row>
    <row r="33366" spans="7:7">
      <c r="G33366" s="812"/>
    </row>
    <row r="33367" spans="7:7">
      <c r="G33367" s="812"/>
    </row>
    <row r="33368" spans="7:7">
      <c r="G33368" s="812"/>
    </row>
    <row r="33369" spans="7:7">
      <c r="G33369" s="812"/>
    </row>
    <row r="33370" spans="7:7">
      <c r="G33370" s="812"/>
    </row>
    <row r="33371" spans="7:7">
      <c r="G33371" s="812"/>
    </row>
    <row r="33372" spans="7:7">
      <c r="G33372" s="812"/>
    </row>
    <row r="33373" spans="7:7">
      <c r="G33373" s="812"/>
    </row>
    <row r="33374" spans="7:7">
      <c r="G33374" s="812"/>
    </row>
    <row r="33375" spans="7:7">
      <c r="G33375" s="812"/>
    </row>
    <row r="33376" spans="7:7">
      <c r="G33376" s="812"/>
    </row>
    <row r="33377" spans="7:7">
      <c r="G33377" s="812"/>
    </row>
    <row r="33378" spans="7:7">
      <c r="G33378" s="812"/>
    </row>
    <row r="33379" spans="7:7">
      <c r="G33379" s="812"/>
    </row>
    <row r="33380" spans="7:7">
      <c r="G33380" s="812"/>
    </row>
    <row r="33381" spans="7:7">
      <c r="G33381" s="812"/>
    </row>
    <row r="33382" spans="7:7">
      <c r="G33382" s="812"/>
    </row>
    <row r="33383" spans="7:7">
      <c r="G33383" s="812"/>
    </row>
    <row r="33384" spans="7:7">
      <c r="G33384" s="812"/>
    </row>
    <row r="33385" spans="7:7">
      <c r="G33385" s="812"/>
    </row>
    <row r="33386" spans="7:7">
      <c r="G33386" s="812"/>
    </row>
    <row r="33387" spans="7:7">
      <c r="G33387" s="812"/>
    </row>
    <row r="33388" spans="7:7">
      <c r="G33388" s="812"/>
    </row>
    <row r="33389" spans="7:7">
      <c r="G33389" s="812"/>
    </row>
    <row r="33390" spans="7:7">
      <c r="G33390" s="812"/>
    </row>
    <row r="33391" spans="7:7">
      <c r="G33391" s="812"/>
    </row>
    <row r="33392" spans="7:7">
      <c r="G33392" s="812"/>
    </row>
    <row r="33393" spans="7:7">
      <c r="G33393" s="812"/>
    </row>
    <row r="33394" spans="7:7">
      <c r="G33394" s="812"/>
    </row>
    <row r="33395" spans="7:7">
      <c r="G33395" s="812"/>
    </row>
    <row r="33396" spans="7:7">
      <c r="G33396" s="812"/>
    </row>
    <row r="33397" spans="7:7">
      <c r="G33397" s="812"/>
    </row>
    <row r="33398" spans="7:7">
      <c r="G33398" s="812"/>
    </row>
    <row r="33399" spans="7:7">
      <c r="G33399" s="812"/>
    </row>
    <row r="33400" spans="7:7">
      <c r="G33400" s="812"/>
    </row>
    <row r="33401" spans="7:7">
      <c r="G33401" s="812"/>
    </row>
    <row r="33402" spans="7:7">
      <c r="G33402" s="812"/>
    </row>
    <row r="33403" spans="7:7">
      <c r="G33403" s="812"/>
    </row>
    <row r="33404" spans="7:7">
      <c r="G33404" s="812"/>
    </row>
    <row r="33405" spans="7:7">
      <c r="G33405" s="812"/>
    </row>
    <row r="33406" spans="7:7">
      <c r="G33406" s="812"/>
    </row>
    <row r="33407" spans="7:7">
      <c r="G33407" s="812"/>
    </row>
    <row r="33408" spans="7:7">
      <c r="G33408" s="812"/>
    </row>
    <row r="33409" spans="7:7">
      <c r="G33409" s="812"/>
    </row>
    <row r="33410" spans="7:7">
      <c r="G33410" s="812"/>
    </row>
    <row r="33411" spans="7:7">
      <c r="G33411" s="812"/>
    </row>
    <row r="33412" spans="7:7">
      <c r="G33412" s="812"/>
    </row>
    <row r="33413" spans="7:7">
      <c r="G33413" s="812"/>
    </row>
    <row r="33414" spans="7:7">
      <c r="G33414" s="812"/>
    </row>
    <row r="33415" spans="7:7">
      <c r="G33415" s="812"/>
    </row>
    <row r="33416" spans="7:7">
      <c r="G33416" s="812"/>
    </row>
    <row r="33417" spans="7:7">
      <c r="G33417" s="812"/>
    </row>
    <row r="33418" spans="7:7">
      <c r="G33418" s="812"/>
    </row>
    <row r="33419" spans="7:7">
      <c r="G33419" s="812"/>
    </row>
    <row r="33420" spans="7:7">
      <c r="G33420" s="812"/>
    </row>
    <row r="33421" spans="7:7">
      <c r="G33421" s="812"/>
    </row>
    <row r="33422" spans="7:7">
      <c r="G33422" s="812"/>
    </row>
    <row r="33423" spans="7:7">
      <c r="G33423" s="812"/>
    </row>
    <row r="33424" spans="7:7">
      <c r="G33424" s="812"/>
    </row>
    <row r="33425" spans="7:7">
      <c r="G33425" s="812"/>
    </row>
    <row r="33426" spans="7:7">
      <c r="G33426" s="812"/>
    </row>
    <row r="33427" spans="7:7">
      <c r="G33427" s="812"/>
    </row>
    <row r="33428" spans="7:7">
      <c r="G33428" s="812"/>
    </row>
    <row r="33429" spans="7:7">
      <c r="G33429" s="812"/>
    </row>
    <row r="33430" spans="7:7">
      <c r="G33430" s="812"/>
    </row>
    <row r="33431" spans="7:7">
      <c r="G33431" s="812"/>
    </row>
    <row r="33432" spans="7:7">
      <c r="G33432" s="812"/>
    </row>
    <row r="33433" spans="7:7">
      <c r="G33433" s="812"/>
    </row>
    <row r="33434" spans="7:7">
      <c r="G33434" s="812"/>
    </row>
    <row r="33435" spans="7:7">
      <c r="G33435" s="812"/>
    </row>
    <row r="33436" spans="7:7">
      <c r="G33436" s="812"/>
    </row>
    <row r="33437" spans="7:7">
      <c r="G33437" s="812"/>
    </row>
    <row r="33438" spans="7:7">
      <c r="G33438" s="812"/>
    </row>
    <row r="33439" spans="7:7">
      <c r="G33439" s="812"/>
    </row>
    <row r="33440" spans="7:7">
      <c r="G33440" s="812"/>
    </row>
    <row r="33441" spans="7:7">
      <c r="G33441" s="812"/>
    </row>
    <row r="33442" spans="7:7">
      <c r="G33442" s="812"/>
    </row>
    <row r="33443" spans="7:7">
      <c r="G33443" s="812"/>
    </row>
    <row r="33444" spans="7:7">
      <c r="G33444" s="812"/>
    </row>
    <row r="33445" spans="7:7">
      <c r="G33445" s="812"/>
    </row>
    <row r="33446" spans="7:7">
      <c r="G33446" s="812"/>
    </row>
    <row r="33447" spans="7:7">
      <c r="G33447" s="812"/>
    </row>
    <row r="33448" spans="7:7">
      <c r="G33448" s="812"/>
    </row>
    <row r="33449" spans="7:7">
      <c r="G33449" s="812"/>
    </row>
    <row r="33450" spans="7:7">
      <c r="G33450" s="812"/>
    </row>
    <row r="33451" spans="7:7">
      <c r="G33451" s="812"/>
    </row>
    <row r="33452" spans="7:7">
      <c r="G33452" s="812"/>
    </row>
    <row r="33453" spans="7:7">
      <c r="G33453" s="812"/>
    </row>
    <row r="33454" spans="7:7">
      <c r="G33454" s="812"/>
    </row>
    <row r="33455" spans="7:7">
      <c r="G33455" s="812"/>
    </row>
    <row r="33456" spans="7:7">
      <c r="G33456" s="812"/>
    </row>
    <row r="33457" spans="7:7">
      <c r="G33457" s="812"/>
    </row>
    <row r="33458" spans="7:7">
      <c r="G33458" s="812"/>
    </row>
    <row r="33459" spans="7:7">
      <c r="G33459" s="812"/>
    </row>
    <row r="33460" spans="7:7">
      <c r="G33460" s="812"/>
    </row>
    <row r="33461" spans="7:7">
      <c r="G33461" s="812"/>
    </row>
    <row r="33462" spans="7:7">
      <c r="G33462" s="812"/>
    </row>
    <row r="33463" spans="7:7">
      <c r="G33463" s="812"/>
    </row>
    <row r="33464" spans="7:7">
      <c r="G33464" s="812"/>
    </row>
    <row r="33465" spans="7:7">
      <c r="G33465" s="812"/>
    </row>
    <row r="33466" spans="7:7">
      <c r="G33466" s="812"/>
    </row>
    <row r="33467" spans="7:7">
      <c r="G33467" s="812"/>
    </row>
    <row r="33468" spans="7:7">
      <c r="G33468" s="812"/>
    </row>
    <row r="33469" spans="7:7">
      <c r="G33469" s="812"/>
    </row>
    <row r="33470" spans="7:7">
      <c r="G33470" s="812"/>
    </row>
    <row r="33471" spans="7:7">
      <c r="G33471" s="812"/>
    </row>
    <row r="33472" spans="7:7">
      <c r="G33472" s="812"/>
    </row>
    <row r="33473" spans="7:7">
      <c r="G33473" s="812"/>
    </row>
    <row r="33474" spans="7:7">
      <c r="G33474" s="812"/>
    </row>
    <row r="33475" spans="7:7">
      <c r="G33475" s="812"/>
    </row>
    <row r="33476" spans="7:7">
      <c r="G33476" s="812"/>
    </row>
    <row r="33477" spans="7:7">
      <c r="G33477" s="812"/>
    </row>
    <row r="33478" spans="7:7">
      <c r="G33478" s="812"/>
    </row>
    <row r="33479" spans="7:7">
      <c r="G33479" s="812"/>
    </row>
    <row r="33480" spans="7:7">
      <c r="G33480" s="812"/>
    </row>
    <row r="33481" spans="7:7">
      <c r="G33481" s="812"/>
    </row>
    <row r="33482" spans="7:7">
      <c r="G33482" s="812"/>
    </row>
    <row r="33483" spans="7:7">
      <c r="G33483" s="812"/>
    </row>
    <row r="33484" spans="7:7">
      <c r="G33484" s="812"/>
    </row>
    <row r="33485" spans="7:7">
      <c r="G33485" s="812"/>
    </row>
    <row r="33486" spans="7:7">
      <c r="G33486" s="812"/>
    </row>
    <row r="33487" spans="7:7">
      <c r="G33487" s="812"/>
    </row>
    <row r="33488" spans="7:7">
      <c r="G33488" s="812"/>
    </row>
    <row r="33489" spans="7:7">
      <c r="G33489" s="812"/>
    </row>
    <row r="33490" spans="7:7">
      <c r="G33490" s="812"/>
    </row>
    <row r="33491" spans="7:7">
      <c r="G33491" s="812"/>
    </row>
    <row r="33492" spans="7:7">
      <c r="G33492" s="812"/>
    </row>
    <row r="33493" spans="7:7">
      <c r="G33493" s="812"/>
    </row>
    <row r="33494" spans="7:7">
      <c r="G33494" s="812"/>
    </row>
    <row r="33495" spans="7:7">
      <c r="G33495" s="812"/>
    </row>
    <row r="33496" spans="7:7">
      <c r="G33496" s="812"/>
    </row>
    <row r="33497" spans="7:7">
      <c r="G33497" s="812"/>
    </row>
    <row r="33498" spans="7:7">
      <c r="G33498" s="812"/>
    </row>
    <row r="33499" spans="7:7">
      <c r="G33499" s="812"/>
    </row>
    <row r="33500" spans="7:7">
      <c r="G33500" s="812"/>
    </row>
    <row r="33501" spans="7:7">
      <c r="G33501" s="812"/>
    </row>
    <row r="33502" spans="7:7">
      <c r="G33502" s="812"/>
    </row>
    <row r="33503" spans="7:7">
      <c r="G33503" s="812"/>
    </row>
    <row r="33504" spans="7:7">
      <c r="G33504" s="812"/>
    </row>
    <row r="33505" spans="7:7">
      <c r="G33505" s="812"/>
    </row>
    <row r="33506" spans="7:7">
      <c r="G33506" s="812"/>
    </row>
    <row r="33507" spans="7:7">
      <c r="G33507" s="812"/>
    </row>
    <row r="33508" spans="7:7">
      <c r="G33508" s="812"/>
    </row>
    <row r="33509" spans="7:7">
      <c r="G33509" s="812"/>
    </row>
    <row r="33510" spans="7:7">
      <c r="G33510" s="812"/>
    </row>
    <row r="33511" spans="7:7">
      <c r="G33511" s="812"/>
    </row>
    <row r="33512" spans="7:7">
      <c r="G33512" s="812"/>
    </row>
    <row r="33513" spans="7:7">
      <c r="G33513" s="812"/>
    </row>
    <row r="33514" spans="7:7">
      <c r="G33514" s="812"/>
    </row>
    <row r="33515" spans="7:7">
      <c r="G33515" s="812"/>
    </row>
    <row r="33516" spans="7:7">
      <c r="G33516" s="812"/>
    </row>
    <row r="33517" spans="7:7">
      <c r="G33517" s="812"/>
    </row>
    <row r="33518" spans="7:7">
      <c r="G33518" s="812"/>
    </row>
    <row r="33519" spans="7:7">
      <c r="G33519" s="812"/>
    </row>
    <row r="33520" spans="7:7">
      <c r="G33520" s="812"/>
    </row>
    <row r="33521" spans="7:7">
      <c r="G33521" s="812"/>
    </row>
    <row r="33522" spans="7:7">
      <c r="G33522" s="812"/>
    </row>
    <row r="33523" spans="7:7">
      <c r="G33523" s="812"/>
    </row>
    <row r="33524" spans="7:7">
      <c r="G33524" s="812"/>
    </row>
    <row r="33525" spans="7:7">
      <c r="G33525" s="812"/>
    </row>
    <row r="33526" spans="7:7">
      <c r="G33526" s="812"/>
    </row>
    <row r="33527" spans="7:7">
      <c r="G33527" s="812"/>
    </row>
    <row r="33528" spans="7:7">
      <c r="G33528" s="812"/>
    </row>
    <row r="33529" spans="7:7">
      <c r="G33529" s="812"/>
    </row>
    <row r="33530" spans="7:7">
      <c r="G33530" s="812"/>
    </row>
    <row r="33531" spans="7:7">
      <c r="G33531" s="812"/>
    </row>
    <row r="33532" spans="7:7">
      <c r="G33532" s="812"/>
    </row>
    <row r="33533" spans="7:7">
      <c r="G33533" s="812"/>
    </row>
    <row r="33534" spans="7:7">
      <c r="G33534" s="812"/>
    </row>
    <row r="33535" spans="7:7">
      <c r="G33535" s="812"/>
    </row>
    <row r="33536" spans="7:7">
      <c r="G33536" s="812"/>
    </row>
    <row r="33537" spans="7:7">
      <c r="G33537" s="812"/>
    </row>
    <row r="33538" spans="7:7">
      <c r="G33538" s="812"/>
    </row>
    <row r="33539" spans="7:7">
      <c r="G33539" s="812"/>
    </row>
    <row r="33540" spans="7:7">
      <c r="G33540" s="812"/>
    </row>
    <row r="33541" spans="7:7">
      <c r="G33541" s="812"/>
    </row>
    <row r="33542" spans="7:7">
      <c r="G33542" s="812"/>
    </row>
    <row r="33543" spans="7:7">
      <c r="G33543" s="812"/>
    </row>
    <row r="33544" spans="7:7">
      <c r="G33544" s="812"/>
    </row>
    <row r="33545" spans="7:7">
      <c r="G33545" s="812"/>
    </row>
    <row r="33546" spans="7:7">
      <c r="G33546" s="812"/>
    </row>
    <row r="33547" spans="7:7">
      <c r="G33547" s="812"/>
    </row>
    <row r="33548" spans="7:7">
      <c r="G33548" s="812"/>
    </row>
    <row r="33549" spans="7:7">
      <c r="G33549" s="812"/>
    </row>
    <row r="33550" spans="7:7">
      <c r="G33550" s="812"/>
    </row>
    <row r="33551" spans="7:7">
      <c r="G33551" s="812"/>
    </row>
    <row r="33552" spans="7:7">
      <c r="G33552" s="812"/>
    </row>
    <row r="33553" spans="7:7">
      <c r="G33553" s="812"/>
    </row>
    <row r="33554" spans="7:7">
      <c r="G33554" s="812"/>
    </row>
    <row r="33555" spans="7:7">
      <c r="G33555" s="812"/>
    </row>
    <row r="33556" spans="7:7">
      <c r="G33556" s="812"/>
    </row>
    <row r="33557" spans="7:7">
      <c r="G33557" s="812"/>
    </row>
    <row r="33558" spans="7:7">
      <c r="G33558" s="812"/>
    </row>
    <row r="33559" spans="7:7">
      <c r="G33559" s="812"/>
    </row>
    <row r="33560" spans="7:7">
      <c r="G33560" s="812"/>
    </row>
    <row r="33561" spans="7:7">
      <c r="G33561" s="812"/>
    </row>
    <row r="33562" spans="7:7">
      <c r="G33562" s="812"/>
    </row>
    <row r="33563" spans="7:7">
      <c r="G33563" s="812"/>
    </row>
    <row r="33564" spans="7:7">
      <c r="G33564" s="812"/>
    </row>
    <row r="33565" spans="7:7">
      <c r="G33565" s="812"/>
    </row>
    <row r="33566" spans="7:7">
      <c r="G33566" s="812"/>
    </row>
    <row r="33567" spans="7:7">
      <c r="G33567" s="812"/>
    </row>
    <row r="33568" spans="7:7">
      <c r="G33568" s="812"/>
    </row>
    <row r="33569" spans="7:7">
      <c r="G33569" s="812"/>
    </row>
    <row r="33570" spans="7:7">
      <c r="G33570" s="812"/>
    </row>
    <row r="33571" spans="7:7">
      <c r="G33571" s="812"/>
    </row>
    <row r="33572" spans="7:7">
      <c r="G33572" s="812"/>
    </row>
    <row r="33573" spans="7:7">
      <c r="G33573" s="812"/>
    </row>
    <row r="33574" spans="7:7">
      <c r="G33574" s="812"/>
    </row>
    <row r="33575" spans="7:7">
      <c r="G33575" s="812"/>
    </row>
    <row r="33576" spans="7:7">
      <c r="G33576" s="812"/>
    </row>
    <row r="33577" spans="7:7">
      <c r="G33577" s="812"/>
    </row>
    <row r="33578" spans="7:7">
      <c r="G33578" s="812"/>
    </row>
    <row r="33579" spans="7:7">
      <c r="G33579" s="812"/>
    </row>
    <row r="33580" spans="7:7">
      <c r="G33580" s="812"/>
    </row>
    <row r="33581" spans="7:7">
      <c r="G33581" s="812"/>
    </row>
    <row r="33582" spans="7:7">
      <c r="G33582" s="812"/>
    </row>
    <row r="33583" spans="7:7">
      <c r="G33583" s="812"/>
    </row>
    <row r="33584" spans="7:7">
      <c r="G33584" s="812"/>
    </row>
    <row r="33585" spans="7:7">
      <c r="G33585" s="812"/>
    </row>
    <row r="33586" spans="7:7">
      <c r="G33586" s="812"/>
    </row>
    <row r="33587" spans="7:7">
      <c r="G33587" s="812"/>
    </row>
    <row r="33588" spans="7:7">
      <c r="G33588" s="812"/>
    </row>
    <row r="33589" spans="7:7">
      <c r="G33589" s="812"/>
    </row>
    <row r="33590" spans="7:7">
      <c r="G33590" s="812"/>
    </row>
    <row r="33591" spans="7:7">
      <c r="G33591" s="812"/>
    </row>
    <row r="33592" spans="7:7">
      <c r="G33592" s="812"/>
    </row>
    <row r="33593" spans="7:7">
      <c r="G33593" s="812"/>
    </row>
    <row r="33594" spans="7:7">
      <c r="G33594" s="812"/>
    </row>
    <row r="33595" spans="7:7">
      <c r="G33595" s="812"/>
    </row>
    <row r="33596" spans="7:7">
      <c r="G33596" s="812"/>
    </row>
    <row r="33597" spans="7:7">
      <c r="G33597" s="812"/>
    </row>
    <row r="33598" spans="7:7">
      <c r="G33598" s="812"/>
    </row>
    <row r="33599" spans="7:7">
      <c r="G33599" s="812"/>
    </row>
    <row r="33600" spans="7:7">
      <c r="G33600" s="812"/>
    </row>
    <row r="33601" spans="7:7">
      <c r="G33601" s="812"/>
    </row>
    <row r="33602" spans="7:7">
      <c r="G33602" s="812"/>
    </row>
    <row r="33603" spans="7:7">
      <c r="G33603" s="812"/>
    </row>
    <row r="33604" spans="7:7">
      <c r="G33604" s="812"/>
    </row>
    <row r="33605" spans="7:7">
      <c r="G33605" s="812"/>
    </row>
    <row r="33606" spans="7:7">
      <c r="G33606" s="812"/>
    </row>
    <row r="33607" spans="7:7">
      <c r="G33607" s="812"/>
    </row>
    <row r="33608" spans="7:7">
      <c r="G33608" s="812"/>
    </row>
    <row r="33609" spans="7:7">
      <c r="G33609" s="812"/>
    </row>
    <row r="33610" spans="7:7">
      <c r="G33610" s="812"/>
    </row>
    <row r="33611" spans="7:7">
      <c r="G33611" s="812"/>
    </row>
    <row r="33612" spans="7:7">
      <c r="G33612" s="812"/>
    </row>
    <row r="33613" spans="7:7">
      <c r="G33613" s="812"/>
    </row>
    <row r="33614" spans="7:7">
      <c r="G33614" s="812"/>
    </row>
    <row r="33615" spans="7:7">
      <c r="G33615" s="812"/>
    </row>
    <row r="33616" spans="7:7">
      <c r="G33616" s="812"/>
    </row>
    <row r="33617" spans="7:7">
      <c r="G33617" s="812"/>
    </row>
    <row r="33618" spans="7:7">
      <c r="G33618" s="812"/>
    </row>
    <row r="33619" spans="7:7">
      <c r="G33619" s="812"/>
    </row>
    <row r="33620" spans="7:7">
      <c r="G33620" s="812"/>
    </row>
    <row r="33621" spans="7:7">
      <c r="G33621" s="812"/>
    </row>
    <row r="33622" spans="7:7">
      <c r="G33622" s="812"/>
    </row>
    <row r="33623" spans="7:7">
      <c r="G33623" s="812"/>
    </row>
    <row r="33624" spans="7:7">
      <c r="G33624" s="812"/>
    </row>
    <row r="33625" spans="7:7">
      <c r="G33625" s="812"/>
    </row>
    <row r="33626" spans="7:7">
      <c r="G33626" s="812"/>
    </row>
    <row r="33627" spans="7:7">
      <c r="G33627" s="812"/>
    </row>
    <row r="33628" spans="7:7">
      <c r="G33628" s="812"/>
    </row>
    <row r="33629" spans="7:7">
      <c r="G33629" s="812"/>
    </row>
    <row r="33630" spans="7:7">
      <c r="G33630" s="812"/>
    </row>
    <row r="33631" spans="7:7">
      <c r="G33631" s="812"/>
    </row>
    <row r="33632" spans="7:7">
      <c r="G33632" s="812"/>
    </row>
    <row r="33633" spans="7:7">
      <c r="G33633" s="812"/>
    </row>
    <row r="33634" spans="7:7">
      <c r="G33634" s="812"/>
    </row>
    <row r="33635" spans="7:7">
      <c r="G33635" s="812"/>
    </row>
    <row r="33636" spans="7:7">
      <c r="G33636" s="812"/>
    </row>
    <row r="33637" spans="7:7">
      <c r="G33637" s="812"/>
    </row>
    <row r="33638" spans="7:7">
      <c r="G33638" s="812"/>
    </row>
    <row r="33639" spans="7:7">
      <c r="G33639" s="812"/>
    </row>
    <row r="33640" spans="7:7">
      <c r="G33640" s="812"/>
    </row>
    <row r="33641" spans="7:7">
      <c r="G33641" s="812"/>
    </row>
    <row r="33642" spans="7:7">
      <c r="G33642" s="812"/>
    </row>
    <row r="33643" spans="7:7">
      <c r="G33643" s="812"/>
    </row>
    <row r="33644" spans="7:7">
      <c r="G33644" s="812"/>
    </row>
    <row r="33645" spans="7:7">
      <c r="G33645" s="812"/>
    </row>
    <row r="33646" spans="7:7">
      <c r="G33646" s="812"/>
    </row>
    <row r="33647" spans="7:7">
      <c r="G33647" s="812"/>
    </row>
    <row r="33648" spans="7:7">
      <c r="G33648" s="812"/>
    </row>
    <row r="33649" spans="7:7">
      <c r="G33649" s="812"/>
    </row>
    <row r="33650" spans="7:7">
      <c r="G33650" s="812"/>
    </row>
    <row r="33651" spans="7:7">
      <c r="G33651" s="812"/>
    </row>
    <row r="33652" spans="7:7">
      <c r="G33652" s="812"/>
    </row>
    <row r="33653" spans="7:7">
      <c r="G33653" s="812"/>
    </row>
    <row r="33654" spans="7:7">
      <c r="G33654" s="812"/>
    </row>
    <row r="33655" spans="7:7">
      <c r="G33655" s="812"/>
    </row>
    <row r="33656" spans="7:7">
      <c r="G33656" s="812"/>
    </row>
    <row r="33657" spans="7:7">
      <c r="G33657" s="812"/>
    </row>
    <row r="33658" spans="7:7">
      <c r="G33658" s="812"/>
    </row>
    <row r="33659" spans="7:7">
      <c r="G33659" s="812"/>
    </row>
    <row r="33660" spans="7:7">
      <c r="G33660" s="812"/>
    </row>
    <row r="33661" spans="7:7">
      <c r="G33661" s="812"/>
    </row>
    <row r="33662" spans="7:7">
      <c r="G33662" s="812"/>
    </row>
    <row r="33663" spans="7:7">
      <c r="G33663" s="812"/>
    </row>
    <row r="33664" spans="7:7">
      <c r="G33664" s="812"/>
    </row>
    <row r="33665" spans="7:7">
      <c r="G33665" s="812"/>
    </row>
    <row r="33666" spans="7:7">
      <c r="G33666" s="812"/>
    </row>
    <row r="33667" spans="7:7">
      <c r="G33667" s="812"/>
    </row>
    <row r="33668" spans="7:7">
      <c r="G33668" s="812"/>
    </row>
    <row r="33669" spans="7:7">
      <c r="G33669" s="812"/>
    </row>
    <row r="33670" spans="7:7">
      <c r="G33670" s="812"/>
    </row>
    <row r="33671" spans="7:7">
      <c r="G33671" s="812"/>
    </row>
    <row r="33672" spans="7:7">
      <c r="G33672" s="812"/>
    </row>
    <row r="33673" spans="7:7">
      <c r="G33673" s="812"/>
    </row>
    <row r="33674" spans="7:7">
      <c r="G33674" s="812"/>
    </row>
    <row r="33675" spans="7:7">
      <c r="G33675" s="812"/>
    </row>
    <row r="33676" spans="7:7">
      <c r="G33676" s="812"/>
    </row>
    <row r="33677" spans="7:7">
      <c r="G33677" s="812"/>
    </row>
    <row r="33678" spans="7:7">
      <c r="G33678" s="812"/>
    </row>
    <row r="33679" spans="7:7">
      <c r="G33679" s="812"/>
    </row>
    <row r="33680" spans="7:7">
      <c r="G33680" s="812"/>
    </row>
    <row r="33681" spans="7:7">
      <c r="G33681" s="812"/>
    </row>
    <row r="33682" spans="7:7">
      <c r="G33682" s="812"/>
    </row>
    <row r="33683" spans="7:7">
      <c r="G33683" s="812"/>
    </row>
    <row r="33684" spans="7:7">
      <c r="G33684" s="812"/>
    </row>
    <row r="33685" spans="7:7">
      <c r="G33685" s="812"/>
    </row>
    <row r="33686" spans="7:7">
      <c r="G33686" s="812"/>
    </row>
    <row r="33687" spans="7:7">
      <c r="G33687" s="812"/>
    </row>
    <row r="33688" spans="7:7">
      <c r="G33688" s="812"/>
    </row>
    <row r="33689" spans="7:7">
      <c r="G33689" s="812"/>
    </row>
    <row r="33690" spans="7:7">
      <c r="G33690" s="812"/>
    </row>
    <row r="33691" spans="7:7">
      <c r="G33691" s="812"/>
    </row>
    <row r="33692" spans="7:7">
      <c r="G33692" s="812"/>
    </row>
    <row r="33693" spans="7:7">
      <c r="G33693" s="812"/>
    </row>
    <row r="33694" spans="7:7">
      <c r="G33694" s="812"/>
    </row>
    <row r="33695" spans="7:7">
      <c r="G33695" s="812"/>
    </row>
    <row r="33696" spans="7:7">
      <c r="G33696" s="812"/>
    </row>
    <row r="33697" spans="7:7">
      <c r="G33697" s="812"/>
    </row>
    <row r="33698" spans="7:7">
      <c r="G33698" s="812"/>
    </row>
    <row r="33699" spans="7:7">
      <c r="G33699" s="812"/>
    </row>
    <row r="33700" spans="7:7">
      <c r="G33700" s="812"/>
    </row>
    <row r="33701" spans="7:7">
      <c r="G33701" s="812"/>
    </row>
    <row r="33702" spans="7:7">
      <c r="G33702" s="812"/>
    </row>
    <row r="33703" spans="7:7">
      <c r="G33703" s="812"/>
    </row>
    <row r="33704" spans="7:7">
      <c r="G33704" s="812"/>
    </row>
    <row r="33705" spans="7:7">
      <c r="G33705" s="812"/>
    </row>
    <row r="33706" spans="7:7">
      <c r="G33706" s="812"/>
    </row>
    <row r="33707" spans="7:7">
      <c r="G33707" s="812"/>
    </row>
    <row r="33708" spans="7:7">
      <c r="G33708" s="812"/>
    </row>
    <row r="33709" spans="7:7">
      <c r="G33709" s="812"/>
    </row>
    <row r="33710" spans="7:7">
      <c r="G33710" s="812"/>
    </row>
    <row r="33711" spans="7:7">
      <c r="G33711" s="812"/>
    </row>
    <row r="33712" spans="7:7">
      <c r="G33712" s="812"/>
    </row>
    <row r="33713" spans="7:7">
      <c r="G33713" s="812"/>
    </row>
    <row r="33714" spans="7:7">
      <c r="G33714" s="812"/>
    </row>
    <row r="33715" spans="7:7">
      <c r="G33715" s="812"/>
    </row>
    <row r="33716" spans="7:7">
      <c r="G33716" s="812"/>
    </row>
    <row r="33717" spans="7:7">
      <c r="G33717" s="812"/>
    </row>
    <row r="33718" spans="7:7">
      <c r="G33718" s="812"/>
    </row>
    <row r="33719" spans="7:7">
      <c r="G33719" s="812"/>
    </row>
    <row r="33720" spans="7:7">
      <c r="G33720" s="812"/>
    </row>
    <row r="33721" spans="7:7">
      <c r="G33721" s="812"/>
    </row>
    <row r="33722" spans="7:7">
      <c r="G33722" s="812"/>
    </row>
    <row r="33723" spans="7:7">
      <c r="G33723" s="812"/>
    </row>
    <row r="33724" spans="7:7">
      <c r="G33724" s="812"/>
    </row>
    <row r="33725" spans="7:7">
      <c r="G33725" s="812"/>
    </row>
    <row r="33726" spans="7:7">
      <c r="G33726" s="812"/>
    </row>
    <row r="33727" spans="7:7">
      <c r="G33727" s="812"/>
    </row>
    <row r="33728" spans="7:7">
      <c r="G33728" s="812"/>
    </row>
    <row r="33729" spans="7:7">
      <c r="G33729" s="812"/>
    </row>
    <row r="33730" spans="7:7">
      <c r="G33730" s="812"/>
    </row>
    <row r="33731" spans="7:7">
      <c r="G33731" s="812"/>
    </row>
    <row r="33732" spans="7:7">
      <c r="G33732" s="812"/>
    </row>
    <row r="33733" spans="7:7">
      <c r="G33733" s="812"/>
    </row>
    <row r="33734" spans="7:7">
      <c r="G33734" s="812"/>
    </row>
    <row r="33735" spans="7:7">
      <c r="G33735" s="812"/>
    </row>
    <row r="33736" spans="7:7">
      <c r="G33736" s="812"/>
    </row>
    <row r="33737" spans="7:7">
      <c r="G33737" s="812"/>
    </row>
    <row r="33738" spans="7:7">
      <c r="G33738" s="812"/>
    </row>
    <row r="33739" spans="7:7">
      <c r="G33739" s="812"/>
    </row>
    <row r="33740" spans="7:7">
      <c r="G33740" s="812"/>
    </row>
    <row r="33741" spans="7:7">
      <c r="G33741" s="812"/>
    </row>
    <row r="33742" spans="7:7">
      <c r="G33742" s="812"/>
    </row>
    <row r="33743" spans="7:7">
      <c r="G33743" s="812"/>
    </row>
    <row r="33744" spans="7:7">
      <c r="G33744" s="812"/>
    </row>
    <row r="33745" spans="7:7">
      <c r="G33745" s="812"/>
    </row>
    <row r="33746" spans="7:7">
      <c r="G33746" s="812"/>
    </row>
    <row r="33747" spans="7:7">
      <c r="G33747" s="812"/>
    </row>
    <row r="33748" spans="7:7">
      <c r="G33748" s="812"/>
    </row>
    <row r="33749" spans="7:7">
      <c r="G33749" s="812"/>
    </row>
    <row r="33750" spans="7:7">
      <c r="G33750" s="812"/>
    </row>
    <row r="33751" spans="7:7">
      <c r="G33751" s="812"/>
    </row>
    <row r="33752" spans="7:7">
      <c r="G33752" s="812"/>
    </row>
    <row r="33753" spans="7:7">
      <c r="G33753" s="812"/>
    </row>
    <row r="33754" spans="7:7">
      <c r="G33754" s="812"/>
    </row>
    <row r="33755" spans="7:7">
      <c r="G33755" s="812"/>
    </row>
    <row r="33756" spans="7:7">
      <c r="G33756" s="812"/>
    </row>
    <row r="33757" spans="7:7">
      <c r="G33757" s="812"/>
    </row>
    <row r="33758" spans="7:7">
      <c r="G33758" s="812"/>
    </row>
    <row r="33759" spans="7:7">
      <c r="G33759" s="812"/>
    </row>
    <row r="33760" spans="7:7">
      <c r="G33760" s="812"/>
    </row>
    <row r="33761" spans="7:7">
      <c r="G33761" s="812"/>
    </row>
    <row r="33762" spans="7:7">
      <c r="G33762" s="812"/>
    </row>
    <row r="33763" spans="7:7">
      <c r="G33763" s="812"/>
    </row>
    <row r="33764" spans="7:7">
      <c r="G33764" s="812"/>
    </row>
    <row r="33765" spans="7:7">
      <c r="G33765" s="812"/>
    </row>
    <row r="33766" spans="7:7">
      <c r="G33766" s="812"/>
    </row>
    <row r="33767" spans="7:7">
      <c r="G33767" s="812"/>
    </row>
    <row r="33768" spans="7:7">
      <c r="G33768" s="812"/>
    </row>
    <row r="33769" spans="7:7">
      <c r="G33769" s="812"/>
    </row>
    <row r="33770" spans="7:7">
      <c r="G33770" s="812"/>
    </row>
    <row r="33771" spans="7:7">
      <c r="G33771" s="812"/>
    </row>
    <row r="33772" spans="7:7">
      <c r="G33772" s="812"/>
    </row>
    <row r="33773" spans="7:7">
      <c r="G33773" s="812"/>
    </row>
    <row r="33774" spans="7:7">
      <c r="G33774" s="812"/>
    </row>
    <row r="33775" spans="7:7">
      <c r="G33775" s="812"/>
    </row>
    <row r="33776" spans="7:7">
      <c r="G33776" s="812"/>
    </row>
    <row r="33777" spans="7:7">
      <c r="G33777" s="812"/>
    </row>
    <row r="33778" spans="7:7">
      <c r="G33778" s="812"/>
    </row>
    <row r="33779" spans="7:7">
      <c r="G33779" s="812"/>
    </row>
    <row r="33780" spans="7:7">
      <c r="G33780" s="812"/>
    </row>
    <row r="33781" spans="7:7">
      <c r="G33781" s="812"/>
    </row>
    <row r="33782" spans="7:7">
      <c r="G33782" s="812"/>
    </row>
    <row r="33783" spans="7:7">
      <c r="G33783" s="812"/>
    </row>
    <row r="33784" spans="7:7">
      <c r="G33784" s="812"/>
    </row>
    <row r="33785" spans="7:7">
      <c r="G33785" s="812"/>
    </row>
    <row r="33786" spans="7:7">
      <c r="G33786" s="812"/>
    </row>
    <row r="33787" spans="7:7">
      <c r="G33787" s="812"/>
    </row>
    <row r="33788" spans="7:7">
      <c r="G33788" s="812"/>
    </row>
    <row r="33789" spans="7:7">
      <c r="G33789" s="812"/>
    </row>
    <row r="33790" spans="7:7">
      <c r="G33790" s="812"/>
    </row>
    <row r="33791" spans="7:7">
      <c r="G33791" s="812"/>
    </row>
    <row r="33792" spans="7:7">
      <c r="G33792" s="812"/>
    </row>
    <row r="33793" spans="7:7">
      <c r="G33793" s="812"/>
    </row>
    <row r="33794" spans="7:7">
      <c r="G33794" s="812"/>
    </row>
    <row r="33795" spans="7:7">
      <c r="G33795" s="812"/>
    </row>
    <row r="33796" spans="7:7">
      <c r="G33796" s="812"/>
    </row>
    <row r="33797" spans="7:7">
      <c r="G33797" s="812"/>
    </row>
    <row r="33798" spans="7:7">
      <c r="G33798" s="812"/>
    </row>
    <row r="33799" spans="7:7">
      <c r="G33799" s="812"/>
    </row>
    <row r="33800" spans="7:7">
      <c r="G33800" s="812"/>
    </row>
    <row r="33801" spans="7:7">
      <c r="G33801" s="812"/>
    </row>
    <row r="33802" spans="7:7">
      <c r="G33802" s="812"/>
    </row>
    <row r="33803" spans="7:7">
      <c r="G33803" s="812"/>
    </row>
    <row r="33804" spans="7:7">
      <c r="G33804" s="812"/>
    </row>
    <row r="33805" spans="7:7">
      <c r="G33805" s="812"/>
    </row>
    <row r="33806" spans="7:7">
      <c r="G33806" s="812"/>
    </row>
    <row r="33807" spans="7:7">
      <c r="G33807" s="812"/>
    </row>
    <row r="33808" spans="7:7">
      <c r="G33808" s="812"/>
    </row>
    <row r="33809" spans="7:7">
      <c r="G33809" s="812"/>
    </row>
    <row r="33810" spans="7:7">
      <c r="G33810" s="812"/>
    </row>
    <row r="33811" spans="7:7">
      <c r="G33811" s="812"/>
    </row>
    <row r="33812" spans="7:7">
      <c r="G33812" s="812"/>
    </row>
    <row r="33813" spans="7:7">
      <c r="G33813" s="812"/>
    </row>
    <row r="33814" spans="7:7">
      <c r="G33814" s="812"/>
    </row>
    <row r="33815" spans="7:7">
      <c r="G33815" s="812"/>
    </row>
    <row r="33816" spans="7:7">
      <c r="G33816" s="812"/>
    </row>
    <row r="33817" spans="7:7">
      <c r="G33817" s="812"/>
    </row>
    <row r="33818" spans="7:7">
      <c r="G33818" s="812"/>
    </row>
    <row r="33819" spans="7:7">
      <c r="G33819" s="812"/>
    </row>
    <row r="33820" spans="7:7">
      <c r="G33820" s="812"/>
    </row>
    <row r="33821" spans="7:7">
      <c r="G33821" s="812"/>
    </row>
    <row r="33822" spans="7:7">
      <c r="G33822" s="812"/>
    </row>
    <row r="33823" spans="7:7">
      <c r="G33823" s="812"/>
    </row>
    <row r="33824" spans="7:7">
      <c r="G33824" s="812"/>
    </row>
    <row r="33825" spans="7:7">
      <c r="G33825" s="812"/>
    </row>
    <row r="33826" spans="7:7">
      <c r="G33826" s="812"/>
    </row>
    <row r="33827" spans="7:7">
      <c r="G33827" s="812"/>
    </row>
    <row r="33828" spans="7:7">
      <c r="G33828" s="812"/>
    </row>
    <row r="33829" spans="7:7">
      <c r="G33829" s="812"/>
    </row>
    <row r="33830" spans="7:7">
      <c r="G33830" s="812"/>
    </row>
    <row r="33831" spans="7:7">
      <c r="G33831" s="812"/>
    </row>
    <row r="33832" spans="7:7">
      <c r="G33832" s="812"/>
    </row>
    <row r="33833" spans="7:7">
      <c r="G33833" s="812"/>
    </row>
    <row r="33834" spans="7:7">
      <c r="G33834" s="812"/>
    </row>
    <row r="33835" spans="7:7">
      <c r="G33835" s="812"/>
    </row>
    <row r="33836" spans="7:7">
      <c r="G33836" s="812"/>
    </row>
    <row r="33837" spans="7:7">
      <c r="G33837" s="812"/>
    </row>
    <row r="33838" spans="7:7">
      <c r="G33838" s="812"/>
    </row>
    <row r="33839" spans="7:7">
      <c r="G33839" s="812"/>
    </row>
    <row r="33840" spans="7:7">
      <c r="G33840" s="812"/>
    </row>
    <row r="33841" spans="7:7">
      <c r="G33841" s="812"/>
    </row>
    <row r="33842" spans="7:7">
      <c r="G33842" s="812"/>
    </row>
    <row r="33843" spans="7:7">
      <c r="G33843" s="812"/>
    </row>
    <row r="33844" spans="7:7">
      <c r="G33844" s="812"/>
    </row>
    <row r="33845" spans="7:7">
      <c r="G33845" s="812"/>
    </row>
    <row r="33846" spans="7:7">
      <c r="G33846" s="812"/>
    </row>
    <row r="33847" spans="7:7">
      <c r="G33847" s="812"/>
    </row>
    <row r="33848" spans="7:7">
      <c r="G33848" s="812"/>
    </row>
    <row r="33849" spans="7:7">
      <c r="G33849" s="812"/>
    </row>
    <row r="33850" spans="7:7">
      <c r="G33850" s="812"/>
    </row>
    <row r="33851" spans="7:7">
      <c r="G33851" s="812"/>
    </row>
    <row r="33852" spans="7:7">
      <c r="G33852" s="812"/>
    </row>
    <row r="33853" spans="7:7">
      <c r="G33853" s="812"/>
    </row>
    <row r="33854" spans="7:7">
      <c r="G33854" s="812"/>
    </row>
    <row r="33855" spans="7:7">
      <c r="G33855" s="812"/>
    </row>
    <row r="33856" spans="7:7">
      <c r="G33856" s="812"/>
    </row>
    <row r="33857" spans="7:7">
      <c r="G33857" s="812"/>
    </row>
    <row r="33858" spans="7:7">
      <c r="G33858" s="812"/>
    </row>
    <row r="33859" spans="7:7">
      <c r="G33859" s="812"/>
    </row>
    <row r="33860" spans="7:7">
      <c r="G33860" s="812"/>
    </row>
    <row r="33861" spans="7:7">
      <c r="G33861" s="812"/>
    </row>
    <row r="33862" spans="7:7">
      <c r="G33862" s="812"/>
    </row>
    <row r="33863" spans="7:7">
      <c r="G33863" s="812"/>
    </row>
    <row r="33864" spans="7:7">
      <c r="G33864" s="812"/>
    </row>
    <row r="33865" spans="7:7">
      <c r="G33865" s="812"/>
    </row>
    <row r="33866" spans="7:7">
      <c r="G33866" s="812"/>
    </row>
    <row r="33867" spans="7:7">
      <c r="G33867" s="812"/>
    </row>
    <row r="33868" spans="7:7">
      <c r="G33868" s="812"/>
    </row>
    <row r="33869" spans="7:7">
      <c r="G33869" s="812"/>
    </row>
    <row r="33870" spans="7:7">
      <c r="G33870" s="812"/>
    </row>
    <row r="33871" spans="7:7">
      <c r="G33871" s="812"/>
    </row>
    <row r="33872" spans="7:7">
      <c r="G33872" s="812"/>
    </row>
    <row r="33873" spans="7:7">
      <c r="G33873" s="812"/>
    </row>
    <row r="33874" spans="7:7">
      <c r="G33874" s="812"/>
    </row>
    <row r="33875" spans="7:7">
      <c r="G33875" s="812"/>
    </row>
    <row r="33876" spans="7:7">
      <c r="G33876" s="812"/>
    </row>
    <row r="33877" spans="7:7">
      <c r="G33877" s="812"/>
    </row>
    <row r="33878" spans="7:7">
      <c r="G33878" s="812"/>
    </row>
    <row r="33879" spans="7:7">
      <c r="G33879" s="812"/>
    </row>
    <row r="33880" spans="7:7">
      <c r="G33880" s="812"/>
    </row>
    <row r="33881" spans="7:7">
      <c r="G33881" s="812"/>
    </row>
    <row r="33882" spans="7:7">
      <c r="G33882" s="812"/>
    </row>
    <row r="33883" spans="7:7">
      <c r="G33883" s="812"/>
    </row>
    <row r="33884" spans="7:7">
      <c r="G33884" s="812"/>
    </row>
    <row r="33885" spans="7:7">
      <c r="G33885" s="812"/>
    </row>
    <row r="33886" spans="7:7">
      <c r="G33886" s="812"/>
    </row>
    <row r="33887" spans="7:7">
      <c r="G33887" s="812"/>
    </row>
    <row r="33888" spans="7:7">
      <c r="G33888" s="812"/>
    </row>
    <row r="33889" spans="7:7">
      <c r="G33889" s="812"/>
    </row>
    <row r="33890" spans="7:7">
      <c r="G33890" s="812"/>
    </row>
    <row r="33891" spans="7:7">
      <c r="G33891" s="812"/>
    </row>
    <row r="33892" spans="7:7">
      <c r="G33892" s="812"/>
    </row>
    <row r="33893" spans="7:7">
      <c r="G33893" s="812"/>
    </row>
    <row r="33894" spans="7:7">
      <c r="G33894" s="812"/>
    </row>
    <row r="33895" spans="7:7">
      <c r="G33895" s="812"/>
    </row>
    <row r="33896" spans="7:7">
      <c r="G33896" s="812"/>
    </row>
    <row r="33897" spans="7:7">
      <c r="G33897" s="812"/>
    </row>
    <row r="33898" spans="7:7">
      <c r="G33898" s="812"/>
    </row>
    <row r="33899" spans="7:7">
      <c r="G33899" s="812"/>
    </row>
    <row r="33900" spans="7:7">
      <c r="G33900" s="812"/>
    </row>
    <row r="33901" spans="7:7">
      <c r="G33901" s="812"/>
    </row>
    <row r="33902" spans="7:7">
      <c r="G33902" s="812"/>
    </row>
    <row r="33903" spans="7:7">
      <c r="G33903" s="812"/>
    </row>
    <row r="33904" spans="7:7">
      <c r="G33904" s="812"/>
    </row>
    <row r="33905" spans="7:7">
      <c r="G33905" s="812"/>
    </row>
    <row r="33906" spans="7:7">
      <c r="G33906" s="812"/>
    </row>
    <row r="33907" spans="7:7">
      <c r="G33907" s="812"/>
    </row>
    <row r="33908" spans="7:7">
      <c r="G33908" s="812"/>
    </row>
    <row r="33909" spans="7:7">
      <c r="G33909" s="812"/>
    </row>
    <row r="33910" spans="7:7">
      <c r="G33910" s="812"/>
    </row>
    <row r="33911" spans="7:7">
      <c r="G33911" s="812"/>
    </row>
    <row r="33912" spans="7:7">
      <c r="G33912" s="812"/>
    </row>
    <row r="33913" spans="7:7">
      <c r="G33913" s="812"/>
    </row>
    <row r="33914" spans="7:7">
      <c r="G33914" s="812"/>
    </row>
    <row r="33915" spans="7:7">
      <c r="G33915" s="812"/>
    </row>
    <row r="33916" spans="7:7">
      <c r="G33916" s="812"/>
    </row>
    <row r="33917" spans="7:7">
      <c r="G33917" s="812"/>
    </row>
    <row r="33918" spans="7:7">
      <c r="G33918" s="812"/>
    </row>
    <row r="33919" spans="7:7">
      <c r="G33919" s="812"/>
    </row>
    <row r="33920" spans="7:7">
      <c r="G33920" s="812"/>
    </row>
    <row r="33921" spans="7:7">
      <c r="G33921" s="812"/>
    </row>
    <row r="33922" spans="7:7">
      <c r="G33922" s="812"/>
    </row>
    <row r="33923" spans="7:7">
      <c r="G33923" s="812"/>
    </row>
    <row r="33924" spans="7:7">
      <c r="G33924" s="812"/>
    </row>
    <row r="33925" spans="7:7">
      <c r="G33925" s="812"/>
    </row>
    <row r="33926" spans="7:7">
      <c r="G33926" s="812"/>
    </row>
    <row r="33927" spans="7:7">
      <c r="G33927" s="812"/>
    </row>
    <row r="33928" spans="7:7">
      <c r="G33928" s="812"/>
    </row>
    <row r="33929" spans="7:7">
      <c r="G33929" s="812"/>
    </row>
    <row r="33930" spans="7:7">
      <c r="G33930" s="812"/>
    </row>
    <row r="33931" spans="7:7">
      <c r="G33931" s="812"/>
    </row>
    <row r="33932" spans="7:7">
      <c r="G33932" s="812"/>
    </row>
    <row r="33933" spans="7:7">
      <c r="G33933" s="812"/>
    </row>
    <row r="33934" spans="7:7">
      <c r="G33934" s="812"/>
    </row>
    <row r="33935" spans="7:7">
      <c r="G33935" s="812"/>
    </row>
    <row r="33936" spans="7:7">
      <c r="G33936" s="812"/>
    </row>
    <row r="33937" spans="7:7">
      <c r="G33937" s="812"/>
    </row>
    <row r="33938" spans="7:7">
      <c r="G33938" s="812"/>
    </row>
    <row r="33939" spans="7:7">
      <c r="G33939" s="812"/>
    </row>
    <row r="33940" spans="7:7">
      <c r="G33940" s="812"/>
    </row>
    <row r="33941" spans="7:7">
      <c r="G33941" s="812"/>
    </row>
    <row r="33942" spans="7:7">
      <c r="G33942" s="812"/>
    </row>
    <row r="33943" spans="7:7">
      <c r="G33943" s="812"/>
    </row>
    <row r="33944" spans="7:7">
      <c r="G33944" s="812"/>
    </row>
    <row r="33945" spans="7:7">
      <c r="G33945" s="812"/>
    </row>
    <row r="33946" spans="7:7">
      <c r="G33946" s="812"/>
    </row>
    <row r="33947" spans="7:7">
      <c r="G33947" s="812"/>
    </row>
    <row r="33948" spans="7:7">
      <c r="G33948" s="812"/>
    </row>
    <row r="33949" spans="7:7">
      <c r="G33949" s="812"/>
    </row>
    <row r="33950" spans="7:7">
      <c r="G33950" s="812"/>
    </row>
    <row r="33951" spans="7:7">
      <c r="G33951" s="812"/>
    </row>
    <row r="33952" spans="7:7">
      <c r="G33952" s="812"/>
    </row>
    <row r="33953" spans="7:7">
      <c r="G33953" s="812"/>
    </row>
    <row r="33954" spans="7:7">
      <c r="G33954" s="812"/>
    </row>
    <row r="33955" spans="7:7">
      <c r="G33955" s="812"/>
    </row>
    <row r="33956" spans="7:7">
      <c r="G33956" s="812"/>
    </row>
    <row r="33957" spans="7:7">
      <c r="G33957" s="812"/>
    </row>
    <row r="33958" spans="7:7">
      <c r="G33958" s="812"/>
    </row>
    <row r="33959" spans="7:7">
      <c r="G33959" s="812"/>
    </row>
    <row r="33960" spans="7:7">
      <c r="G33960" s="812"/>
    </row>
    <row r="33961" spans="7:7">
      <c r="G33961" s="812"/>
    </row>
    <row r="33962" spans="7:7">
      <c r="G33962" s="812"/>
    </row>
    <row r="33963" spans="7:7">
      <c r="G33963" s="812"/>
    </row>
    <row r="33964" spans="7:7">
      <c r="G33964" s="812"/>
    </row>
    <row r="33965" spans="7:7">
      <c r="G33965" s="812"/>
    </row>
    <row r="33966" spans="7:7">
      <c r="G33966" s="812"/>
    </row>
    <row r="33967" spans="7:7">
      <c r="G33967" s="812"/>
    </row>
    <row r="33968" spans="7:7">
      <c r="G33968" s="812"/>
    </row>
    <row r="33969" spans="7:7">
      <c r="G33969" s="812"/>
    </row>
    <row r="33970" spans="7:7">
      <c r="G33970" s="812"/>
    </row>
    <row r="33971" spans="7:7">
      <c r="G33971" s="812"/>
    </row>
    <row r="33972" spans="7:7">
      <c r="G33972" s="812"/>
    </row>
    <row r="33973" spans="7:7">
      <c r="G33973" s="812"/>
    </row>
    <row r="33974" spans="7:7">
      <c r="G33974" s="812"/>
    </row>
    <row r="33975" spans="7:7">
      <c r="G33975" s="812"/>
    </row>
    <row r="33976" spans="7:7">
      <c r="G33976" s="812"/>
    </row>
    <row r="33977" spans="7:7">
      <c r="G33977" s="812"/>
    </row>
    <row r="33978" spans="7:7">
      <c r="G33978" s="812"/>
    </row>
    <row r="33979" spans="7:7">
      <c r="G33979" s="812"/>
    </row>
    <row r="33980" spans="7:7">
      <c r="G33980" s="812"/>
    </row>
    <row r="33981" spans="7:7">
      <c r="G33981" s="812"/>
    </row>
    <row r="33982" spans="7:7">
      <c r="G33982" s="812"/>
    </row>
    <row r="33983" spans="7:7">
      <c r="G33983" s="812"/>
    </row>
    <row r="33984" spans="7:7">
      <c r="G33984" s="812"/>
    </row>
    <row r="33985" spans="7:7">
      <c r="G33985" s="812"/>
    </row>
    <row r="33986" spans="7:7">
      <c r="G33986" s="812"/>
    </row>
    <row r="33987" spans="7:7">
      <c r="G33987" s="812"/>
    </row>
    <row r="33988" spans="7:7">
      <c r="G33988" s="812"/>
    </row>
    <row r="33989" spans="7:7">
      <c r="G33989" s="812"/>
    </row>
    <row r="33990" spans="7:7">
      <c r="G33990" s="812"/>
    </row>
    <row r="33991" spans="7:7">
      <c r="G33991" s="812"/>
    </row>
    <row r="33992" spans="7:7">
      <c r="G33992" s="812"/>
    </row>
    <row r="33993" spans="7:7">
      <c r="G33993" s="812"/>
    </row>
    <row r="33994" spans="7:7">
      <c r="G33994" s="812"/>
    </row>
    <row r="33995" spans="7:7">
      <c r="G33995" s="812"/>
    </row>
    <row r="33996" spans="7:7">
      <c r="G33996" s="812"/>
    </row>
    <row r="33997" spans="7:7">
      <c r="G33997" s="812"/>
    </row>
    <row r="33998" spans="7:7">
      <c r="G33998" s="812"/>
    </row>
    <row r="33999" spans="7:7">
      <c r="G33999" s="812"/>
    </row>
    <row r="34000" spans="7:7">
      <c r="G34000" s="812"/>
    </row>
    <row r="34001" spans="7:7">
      <c r="G34001" s="812"/>
    </row>
    <row r="34002" spans="7:7">
      <c r="G34002" s="812"/>
    </row>
    <row r="34003" spans="7:7">
      <c r="G34003" s="812"/>
    </row>
    <row r="34004" spans="7:7">
      <c r="G34004" s="812"/>
    </row>
    <row r="34005" spans="7:7">
      <c r="G34005" s="812"/>
    </row>
    <row r="34006" spans="7:7">
      <c r="G34006" s="812"/>
    </row>
    <row r="34007" spans="7:7">
      <c r="G34007" s="812"/>
    </row>
    <row r="34008" spans="7:7">
      <c r="G34008" s="812"/>
    </row>
    <row r="34009" spans="7:7">
      <c r="G34009" s="812"/>
    </row>
    <row r="34010" spans="7:7">
      <c r="G34010" s="812"/>
    </row>
    <row r="34011" spans="7:7">
      <c r="G34011" s="812"/>
    </row>
    <row r="34012" spans="7:7">
      <c r="G34012" s="812"/>
    </row>
    <row r="34013" spans="7:7">
      <c r="G34013" s="812"/>
    </row>
    <row r="34014" spans="7:7">
      <c r="G34014" s="812"/>
    </row>
    <row r="34015" spans="7:7">
      <c r="G34015" s="812"/>
    </row>
    <row r="34016" spans="7:7">
      <c r="G34016" s="812"/>
    </row>
    <row r="34017" spans="7:7">
      <c r="G34017" s="812"/>
    </row>
    <row r="34018" spans="7:7">
      <c r="G34018" s="812"/>
    </row>
    <row r="34019" spans="7:7">
      <c r="G34019" s="812"/>
    </row>
    <row r="34020" spans="7:7">
      <c r="G34020" s="812"/>
    </row>
    <row r="34021" spans="7:7">
      <c r="G34021" s="812"/>
    </row>
    <row r="34022" spans="7:7">
      <c r="G34022" s="812"/>
    </row>
    <row r="34023" spans="7:7">
      <c r="G34023" s="812"/>
    </row>
    <row r="34024" spans="7:7">
      <c r="G34024" s="812"/>
    </row>
    <row r="34025" spans="7:7">
      <c r="G34025" s="812"/>
    </row>
    <row r="34026" spans="7:7">
      <c r="G34026" s="812"/>
    </row>
    <row r="34027" spans="7:7">
      <c r="G34027" s="812"/>
    </row>
    <row r="34028" spans="7:7">
      <c r="G34028" s="812"/>
    </row>
    <row r="34029" spans="7:7">
      <c r="G34029" s="812"/>
    </row>
    <row r="34030" spans="7:7">
      <c r="G34030" s="812"/>
    </row>
    <row r="34031" spans="7:7">
      <c r="G34031" s="812"/>
    </row>
    <row r="34032" spans="7:7">
      <c r="G34032" s="812"/>
    </row>
    <row r="34033" spans="7:7">
      <c r="G34033" s="812"/>
    </row>
    <row r="34034" spans="7:7">
      <c r="G34034" s="812"/>
    </row>
    <row r="34035" spans="7:7">
      <c r="G34035" s="812"/>
    </row>
    <row r="34036" spans="7:7">
      <c r="G34036" s="812"/>
    </row>
    <row r="34037" spans="7:7">
      <c r="G34037" s="812"/>
    </row>
    <row r="34038" spans="7:7">
      <c r="G34038" s="812"/>
    </row>
    <row r="34039" spans="7:7">
      <c r="G34039" s="812"/>
    </row>
    <row r="34040" spans="7:7">
      <c r="G34040" s="812"/>
    </row>
    <row r="34041" spans="7:7">
      <c r="G34041" s="812"/>
    </row>
    <row r="34042" spans="7:7">
      <c r="G34042" s="812"/>
    </row>
    <row r="34043" spans="7:7">
      <c r="G34043" s="812"/>
    </row>
    <row r="34044" spans="7:7">
      <c r="G34044" s="812"/>
    </row>
    <row r="34045" spans="7:7">
      <c r="G34045" s="812"/>
    </row>
    <row r="34046" spans="7:7">
      <c r="G34046" s="812"/>
    </row>
    <row r="34047" spans="7:7">
      <c r="G34047" s="812"/>
    </row>
    <row r="34048" spans="7:7">
      <c r="G34048" s="812"/>
    </row>
    <row r="34049" spans="7:7">
      <c r="G34049" s="812"/>
    </row>
    <row r="34050" spans="7:7">
      <c r="G34050" s="812"/>
    </row>
    <row r="34051" spans="7:7">
      <c r="G34051" s="812"/>
    </row>
    <row r="34052" spans="7:7">
      <c r="G34052" s="812"/>
    </row>
    <row r="34053" spans="7:7">
      <c r="G34053" s="812"/>
    </row>
    <row r="34054" spans="7:7">
      <c r="G34054" s="812"/>
    </row>
    <row r="34055" spans="7:7">
      <c r="G34055" s="812"/>
    </row>
    <row r="34056" spans="7:7">
      <c r="G34056" s="812"/>
    </row>
    <row r="34057" spans="7:7">
      <c r="G34057" s="812"/>
    </row>
    <row r="34058" spans="7:7">
      <c r="G34058" s="812"/>
    </row>
    <row r="34059" spans="7:7">
      <c r="G34059" s="812"/>
    </row>
    <row r="34060" spans="7:7">
      <c r="G34060" s="812"/>
    </row>
    <row r="34061" spans="7:7">
      <c r="G34061" s="812"/>
    </row>
    <row r="34062" spans="7:7">
      <c r="G34062" s="812"/>
    </row>
    <row r="34063" spans="7:7">
      <c r="G34063" s="812"/>
    </row>
    <row r="34064" spans="7:7">
      <c r="G34064" s="812"/>
    </row>
    <row r="34065" spans="7:7">
      <c r="G34065" s="812"/>
    </row>
    <row r="34066" spans="7:7">
      <c r="G34066" s="812"/>
    </row>
    <row r="34067" spans="7:7">
      <c r="G34067" s="812"/>
    </row>
    <row r="34068" spans="7:7">
      <c r="G34068" s="812"/>
    </row>
    <row r="34069" spans="7:7">
      <c r="G34069" s="812"/>
    </row>
    <row r="34070" spans="7:7">
      <c r="G34070" s="812"/>
    </row>
    <row r="34071" spans="7:7">
      <c r="G34071" s="812"/>
    </row>
    <row r="34072" spans="7:7">
      <c r="G34072" s="812"/>
    </row>
    <row r="34073" spans="7:7">
      <c r="G34073" s="812"/>
    </row>
    <row r="34074" spans="7:7">
      <c r="G34074" s="812"/>
    </row>
    <row r="34075" spans="7:7">
      <c r="G34075" s="812"/>
    </row>
    <row r="34076" spans="7:7">
      <c r="G34076" s="812"/>
    </row>
    <row r="34077" spans="7:7">
      <c r="G34077" s="812"/>
    </row>
    <row r="34078" spans="7:7">
      <c r="G34078" s="812"/>
    </row>
    <row r="34079" spans="7:7">
      <c r="G34079" s="812"/>
    </row>
    <row r="34080" spans="7:7">
      <c r="G34080" s="812"/>
    </row>
    <row r="34081" spans="7:7">
      <c r="G34081" s="812"/>
    </row>
    <row r="34082" spans="7:7">
      <c r="G34082" s="812"/>
    </row>
    <row r="34083" spans="7:7">
      <c r="G34083" s="812"/>
    </row>
    <row r="34084" spans="7:7">
      <c r="G34084" s="812"/>
    </row>
    <row r="34085" spans="7:7">
      <c r="G34085" s="812"/>
    </row>
    <row r="34086" spans="7:7">
      <c r="G34086" s="812"/>
    </row>
    <row r="34087" spans="7:7">
      <c r="G34087" s="812"/>
    </row>
    <row r="34088" spans="7:7">
      <c r="G34088" s="812"/>
    </row>
    <row r="34089" spans="7:7">
      <c r="G34089" s="812"/>
    </row>
    <row r="34090" spans="7:7">
      <c r="G34090" s="812"/>
    </row>
    <row r="34091" spans="7:7">
      <c r="G34091" s="812"/>
    </row>
    <row r="34092" spans="7:7">
      <c r="G34092" s="812"/>
    </row>
    <row r="34093" spans="7:7">
      <c r="G34093" s="812"/>
    </row>
    <row r="34094" spans="7:7">
      <c r="G34094" s="812"/>
    </row>
    <row r="34095" spans="7:7">
      <c r="G34095" s="812"/>
    </row>
    <row r="34096" spans="7:7">
      <c r="G34096" s="812"/>
    </row>
    <row r="34097" spans="7:7">
      <c r="G34097" s="812"/>
    </row>
    <row r="34098" spans="7:7">
      <c r="G34098" s="812"/>
    </row>
    <row r="34099" spans="7:7">
      <c r="G34099" s="812"/>
    </row>
    <row r="34100" spans="7:7">
      <c r="G34100" s="812"/>
    </row>
    <row r="34101" spans="7:7">
      <c r="G34101" s="812"/>
    </row>
    <row r="34102" spans="7:7">
      <c r="G34102" s="812"/>
    </row>
    <row r="34103" spans="7:7">
      <c r="G34103" s="812"/>
    </row>
    <row r="34104" spans="7:7">
      <c r="G34104" s="812"/>
    </row>
    <row r="34105" spans="7:7">
      <c r="G34105" s="812"/>
    </row>
    <row r="34106" spans="7:7">
      <c r="G34106" s="812"/>
    </row>
    <row r="34107" spans="7:7">
      <c r="G34107" s="812"/>
    </row>
    <row r="34108" spans="7:7">
      <c r="G34108" s="812"/>
    </row>
    <row r="34109" spans="7:7">
      <c r="G34109" s="812"/>
    </row>
    <row r="34110" spans="7:7">
      <c r="G34110" s="812"/>
    </row>
    <row r="34111" spans="7:7">
      <c r="G34111" s="812"/>
    </row>
    <row r="34112" spans="7:7">
      <c r="G34112" s="812"/>
    </row>
    <row r="34113" spans="7:7">
      <c r="G34113" s="812"/>
    </row>
    <row r="34114" spans="7:7">
      <c r="G34114" s="812"/>
    </row>
    <row r="34115" spans="7:7">
      <c r="G34115" s="812"/>
    </row>
    <row r="34116" spans="7:7">
      <c r="G34116" s="812"/>
    </row>
    <row r="34117" spans="7:7">
      <c r="G34117" s="812"/>
    </row>
    <row r="34118" spans="7:7">
      <c r="G34118" s="812"/>
    </row>
    <row r="34119" spans="7:7">
      <c r="G34119" s="812"/>
    </row>
    <row r="34120" spans="7:7">
      <c r="G34120" s="812"/>
    </row>
    <row r="34121" spans="7:7">
      <c r="G34121" s="812"/>
    </row>
    <row r="34122" spans="7:7">
      <c r="G34122" s="812"/>
    </row>
    <row r="34123" spans="7:7">
      <c r="G34123" s="812"/>
    </row>
    <row r="34124" spans="7:7">
      <c r="G34124" s="812"/>
    </row>
    <row r="34125" spans="7:7">
      <c r="G34125" s="812"/>
    </row>
    <row r="34126" spans="7:7">
      <c r="G34126" s="812"/>
    </row>
    <row r="34127" spans="7:7">
      <c r="G34127" s="812"/>
    </row>
    <row r="34128" spans="7:7">
      <c r="G34128" s="812"/>
    </row>
    <row r="34129" spans="7:7">
      <c r="G34129" s="812"/>
    </row>
    <row r="34130" spans="7:7">
      <c r="G34130" s="812"/>
    </row>
    <row r="34131" spans="7:7">
      <c r="G34131" s="812"/>
    </row>
    <row r="34132" spans="7:7">
      <c r="G34132" s="812"/>
    </row>
    <row r="34133" spans="7:7">
      <c r="G34133" s="812"/>
    </row>
    <row r="34134" spans="7:7">
      <c r="G34134" s="812"/>
    </row>
    <row r="34135" spans="7:7">
      <c r="G34135" s="812"/>
    </row>
    <row r="34136" spans="7:7">
      <c r="G34136" s="812"/>
    </row>
    <row r="34137" spans="7:7">
      <c r="G34137" s="812"/>
    </row>
    <row r="34138" spans="7:7">
      <c r="G34138" s="812"/>
    </row>
    <row r="34139" spans="7:7">
      <c r="G34139" s="812"/>
    </row>
    <row r="34140" spans="7:7">
      <c r="G34140" s="812"/>
    </row>
    <row r="34141" spans="7:7">
      <c r="G34141" s="812"/>
    </row>
    <row r="34142" spans="7:7">
      <c r="G34142" s="812"/>
    </row>
    <row r="34143" spans="7:7">
      <c r="G34143" s="812"/>
    </row>
    <row r="34144" spans="7:7">
      <c r="G34144" s="812"/>
    </row>
    <row r="34145" spans="7:7">
      <c r="G34145" s="812"/>
    </row>
    <row r="34146" spans="7:7">
      <c r="G34146" s="812"/>
    </row>
    <row r="34147" spans="7:7">
      <c r="G34147" s="812"/>
    </row>
    <row r="34148" spans="7:7">
      <c r="G34148" s="812"/>
    </row>
    <row r="34149" spans="7:7">
      <c r="G34149" s="812"/>
    </row>
    <row r="34150" spans="7:7">
      <c r="G34150" s="812"/>
    </row>
    <row r="34151" spans="7:7">
      <c r="G34151" s="812"/>
    </row>
    <row r="34152" spans="7:7">
      <c r="G34152" s="812"/>
    </row>
    <row r="34153" spans="7:7">
      <c r="G34153" s="812"/>
    </row>
    <row r="34154" spans="7:7">
      <c r="G34154" s="812"/>
    </row>
    <row r="34155" spans="7:7">
      <c r="G34155" s="812"/>
    </row>
    <row r="34156" spans="7:7">
      <c r="G34156" s="812"/>
    </row>
    <row r="34157" spans="7:7">
      <c r="G34157" s="812"/>
    </row>
    <row r="34158" spans="7:7">
      <c r="G34158" s="812"/>
    </row>
    <row r="34159" spans="7:7">
      <c r="G34159" s="812"/>
    </row>
    <row r="34160" spans="7:7">
      <c r="G34160" s="812"/>
    </row>
    <row r="34161" spans="7:7">
      <c r="G34161" s="812"/>
    </row>
    <row r="34162" spans="7:7">
      <c r="G34162" s="812"/>
    </row>
    <row r="34163" spans="7:7">
      <c r="G34163" s="812"/>
    </row>
    <row r="34164" spans="7:7">
      <c r="G34164" s="812"/>
    </row>
    <row r="34165" spans="7:7">
      <c r="G34165" s="812"/>
    </row>
    <row r="34166" spans="7:7">
      <c r="G34166" s="812"/>
    </row>
    <row r="34167" spans="7:7">
      <c r="G34167" s="812"/>
    </row>
    <row r="34168" spans="7:7">
      <c r="G34168" s="812"/>
    </row>
    <row r="34169" spans="7:7">
      <c r="G34169" s="812"/>
    </row>
    <row r="34170" spans="7:7">
      <c r="G34170" s="812"/>
    </row>
    <row r="34171" spans="7:7">
      <c r="G34171" s="812"/>
    </row>
    <row r="34172" spans="7:7">
      <c r="G34172" s="812"/>
    </row>
    <row r="34173" spans="7:7">
      <c r="G34173" s="812"/>
    </row>
    <row r="34174" spans="7:7">
      <c r="G34174" s="812"/>
    </row>
    <row r="34175" spans="7:7">
      <c r="G34175" s="812"/>
    </row>
    <row r="34176" spans="7:7">
      <c r="G34176" s="812"/>
    </row>
    <row r="34177" spans="7:7">
      <c r="G34177" s="812"/>
    </row>
    <row r="34178" spans="7:7">
      <c r="G34178" s="812"/>
    </row>
    <row r="34179" spans="7:7">
      <c r="G34179" s="812"/>
    </row>
    <row r="34180" spans="7:7">
      <c r="G34180" s="812"/>
    </row>
    <row r="34181" spans="7:7">
      <c r="G34181" s="812"/>
    </row>
    <row r="34182" spans="7:7">
      <c r="G34182" s="812"/>
    </row>
    <row r="34183" spans="7:7">
      <c r="G34183" s="812"/>
    </row>
    <row r="34184" spans="7:7">
      <c r="G34184" s="812"/>
    </row>
    <row r="34185" spans="7:7">
      <c r="G34185" s="812"/>
    </row>
    <row r="34186" spans="7:7">
      <c r="G34186" s="812"/>
    </row>
    <row r="34187" spans="7:7">
      <c r="G34187" s="812"/>
    </row>
    <row r="34188" spans="7:7">
      <c r="G34188" s="812"/>
    </row>
    <row r="34189" spans="7:7">
      <c r="G34189" s="812"/>
    </row>
    <row r="34190" spans="7:7">
      <c r="G34190" s="812"/>
    </row>
    <row r="34191" spans="7:7">
      <c r="G34191" s="812"/>
    </row>
    <row r="34192" spans="7:7">
      <c r="G34192" s="812"/>
    </row>
    <row r="34193" spans="7:7">
      <c r="G34193" s="812"/>
    </row>
    <row r="34194" spans="7:7">
      <c r="G34194" s="812"/>
    </row>
    <row r="34195" spans="7:7">
      <c r="G34195" s="812"/>
    </row>
    <row r="34196" spans="7:7">
      <c r="G34196" s="812"/>
    </row>
    <row r="34197" spans="7:7">
      <c r="G34197" s="812"/>
    </row>
    <row r="34198" spans="7:7">
      <c r="G34198" s="812"/>
    </row>
    <row r="34199" spans="7:7">
      <c r="G34199" s="812"/>
    </row>
    <row r="34200" spans="7:7">
      <c r="G34200" s="812"/>
    </row>
    <row r="34201" spans="7:7">
      <c r="G34201" s="812"/>
    </row>
    <row r="34202" spans="7:7">
      <c r="G34202" s="812"/>
    </row>
    <row r="34203" spans="7:7">
      <c r="G34203" s="812"/>
    </row>
    <row r="34204" spans="7:7">
      <c r="G34204" s="812"/>
    </row>
    <row r="34205" spans="7:7">
      <c r="G34205" s="812"/>
    </row>
    <row r="34206" spans="7:7">
      <c r="G34206" s="812"/>
    </row>
    <row r="34207" spans="7:7">
      <c r="G34207" s="812"/>
    </row>
    <row r="34208" spans="7:7">
      <c r="G34208" s="812"/>
    </row>
    <row r="34209" spans="7:7">
      <c r="G34209" s="812"/>
    </row>
    <row r="34210" spans="7:7">
      <c r="G34210" s="812"/>
    </row>
    <row r="34211" spans="7:7">
      <c r="G34211" s="812"/>
    </row>
    <row r="34212" spans="7:7">
      <c r="G34212" s="812"/>
    </row>
    <row r="34213" spans="7:7">
      <c r="G34213" s="812"/>
    </row>
    <row r="34214" spans="7:7">
      <c r="G34214" s="812"/>
    </row>
    <row r="34215" spans="7:7">
      <c r="G34215" s="812"/>
    </row>
    <row r="34216" spans="7:7">
      <c r="G34216" s="812"/>
    </row>
    <row r="34217" spans="7:7">
      <c r="G34217" s="812"/>
    </row>
    <row r="34218" spans="7:7">
      <c r="G34218" s="812"/>
    </row>
    <row r="34219" spans="7:7">
      <c r="G34219" s="812"/>
    </row>
    <row r="34220" spans="7:7">
      <c r="G34220" s="812"/>
    </row>
    <row r="34221" spans="7:7">
      <c r="G34221" s="812"/>
    </row>
    <row r="34222" spans="7:7">
      <c r="G34222" s="812"/>
    </row>
    <row r="34223" spans="7:7">
      <c r="G34223" s="812"/>
    </row>
    <row r="34224" spans="7:7">
      <c r="G34224" s="812"/>
    </row>
    <row r="34225" spans="7:7">
      <c r="G34225" s="812"/>
    </row>
    <row r="34226" spans="7:7">
      <c r="G34226" s="812"/>
    </row>
    <row r="34227" spans="7:7">
      <c r="G34227" s="812"/>
    </row>
    <row r="34228" spans="7:7">
      <c r="G34228" s="812"/>
    </row>
    <row r="34229" spans="7:7">
      <c r="G34229" s="812"/>
    </row>
    <row r="34230" spans="7:7">
      <c r="G34230" s="812"/>
    </row>
    <row r="34231" spans="7:7">
      <c r="G34231" s="812"/>
    </row>
    <row r="34232" spans="7:7">
      <c r="G34232" s="812"/>
    </row>
    <row r="34233" spans="7:7">
      <c r="G34233" s="812"/>
    </row>
    <row r="34234" spans="7:7">
      <c r="G34234" s="812"/>
    </row>
    <row r="34235" spans="7:7">
      <c r="G34235" s="812"/>
    </row>
    <row r="34236" spans="7:7">
      <c r="G34236" s="812"/>
    </row>
    <row r="34237" spans="7:7">
      <c r="G34237" s="812"/>
    </row>
    <row r="34238" spans="7:7">
      <c r="G34238" s="812"/>
    </row>
    <row r="34239" spans="7:7">
      <c r="G34239" s="812"/>
    </row>
    <row r="34240" spans="7:7">
      <c r="G34240" s="812"/>
    </row>
    <row r="34241" spans="7:7">
      <c r="G34241" s="812"/>
    </row>
    <row r="34242" spans="7:7">
      <c r="G34242" s="812"/>
    </row>
    <row r="34243" spans="7:7">
      <c r="G34243" s="812"/>
    </row>
    <row r="34244" spans="7:7">
      <c r="G34244" s="812"/>
    </row>
    <row r="34245" spans="7:7">
      <c r="G34245" s="812"/>
    </row>
    <row r="34246" spans="7:7">
      <c r="G34246" s="812"/>
    </row>
    <row r="34247" spans="7:7">
      <c r="G34247" s="812"/>
    </row>
    <row r="34248" spans="7:7">
      <c r="G34248" s="812"/>
    </row>
    <row r="34249" spans="7:7">
      <c r="G34249" s="812"/>
    </row>
    <row r="34250" spans="7:7">
      <c r="G34250" s="812"/>
    </row>
    <row r="34251" spans="7:7">
      <c r="G34251" s="812"/>
    </row>
    <row r="34252" spans="7:7">
      <c r="G34252" s="812"/>
    </row>
    <row r="34253" spans="7:7">
      <c r="G34253" s="812"/>
    </row>
    <row r="34254" spans="7:7">
      <c r="G34254" s="812"/>
    </row>
    <row r="34255" spans="7:7">
      <c r="G34255" s="812"/>
    </row>
    <row r="34256" spans="7:7">
      <c r="G34256" s="812"/>
    </row>
    <row r="34257" spans="7:7">
      <c r="G34257" s="812"/>
    </row>
    <row r="34258" spans="7:7">
      <c r="G34258" s="812"/>
    </row>
    <row r="34259" spans="7:7">
      <c r="G34259" s="812"/>
    </row>
    <row r="34260" spans="7:7">
      <c r="G34260" s="812"/>
    </row>
    <row r="34261" spans="7:7">
      <c r="G34261" s="812"/>
    </row>
    <row r="34262" spans="7:7">
      <c r="G34262" s="812"/>
    </row>
    <row r="34263" spans="7:7">
      <c r="G34263" s="812"/>
    </row>
    <row r="34264" spans="7:7">
      <c r="G34264" s="812"/>
    </row>
    <row r="34265" spans="7:7">
      <c r="G34265" s="812"/>
    </row>
    <row r="34266" spans="7:7">
      <c r="G34266" s="812"/>
    </row>
    <row r="34267" spans="7:7">
      <c r="G34267" s="812"/>
    </row>
    <row r="34268" spans="7:7">
      <c r="G34268" s="812"/>
    </row>
    <row r="34269" spans="7:7">
      <c r="G34269" s="812"/>
    </row>
    <row r="34270" spans="7:7">
      <c r="G34270" s="812"/>
    </row>
    <row r="34271" spans="7:7">
      <c r="G34271" s="812"/>
    </row>
    <row r="34272" spans="7:7">
      <c r="G34272" s="812"/>
    </row>
    <row r="34273" spans="7:7">
      <c r="G34273" s="812"/>
    </row>
    <row r="34274" spans="7:7">
      <c r="G34274" s="812"/>
    </row>
    <row r="34275" spans="7:7">
      <c r="G34275" s="812"/>
    </row>
    <row r="34276" spans="7:7">
      <c r="G34276" s="812"/>
    </row>
    <row r="34277" spans="7:7">
      <c r="G34277" s="812"/>
    </row>
    <row r="34278" spans="7:7">
      <c r="G34278" s="812"/>
    </row>
    <row r="34279" spans="7:7">
      <c r="G34279" s="812"/>
    </row>
    <row r="34280" spans="7:7">
      <c r="G34280" s="812"/>
    </row>
    <row r="34281" spans="7:7">
      <c r="G34281" s="812"/>
    </row>
    <row r="34282" spans="7:7">
      <c r="G34282" s="812"/>
    </row>
    <row r="34283" spans="7:7">
      <c r="G34283" s="812"/>
    </row>
    <row r="34284" spans="7:7">
      <c r="G34284" s="812"/>
    </row>
    <row r="34285" spans="7:7">
      <c r="G34285" s="812"/>
    </row>
    <row r="34286" spans="7:7">
      <c r="G34286" s="812"/>
    </row>
    <row r="34287" spans="7:7">
      <c r="G34287" s="812"/>
    </row>
    <row r="34288" spans="7:7">
      <c r="G34288" s="812"/>
    </row>
    <row r="34289" spans="7:7">
      <c r="G34289" s="812"/>
    </row>
    <row r="34290" spans="7:7">
      <c r="G34290" s="812"/>
    </row>
    <row r="34291" spans="7:7">
      <c r="G34291" s="812"/>
    </row>
    <row r="34292" spans="7:7">
      <c r="G34292" s="812"/>
    </row>
    <row r="34293" spans="7:7">
      <c r="G34293" s="812"/>
    </row>
    <row r="34294" spans="7:7">
      <c r="G34294" s="812"/>
    </row>
    <row r="34295" spans="7:7">
      <c r="G34295" s="812"/>
    </row>
    <row r="34296" spans="7:7">
      <c r="G34296" s="812"/>
    </row>
    <row r="34297" spans="7:7">
      <c r="G34297" s="812"/>
    </row>
    <row r="34298" spans="7:7">
      <c r="G34298" s="812"/>
    </row>
    <row r="34299" spans="7:7">
      <c r="G34299" s="812"/>
    </row>
    <row r="34300" spans="7:7">
      <c r="G34300" s="812"/>
    </row>
    <row r="34301" spans="7:7">
      <c r="G34301" s="812"/>
    </row>
    <row r="34302" spans="7:7">
      <c r="G34302" s="812"/>
    </row>
    <row r="34303" spans="7:7">
      <c r="G34303" s="812"/>
    </row>
    <row r="34304" spans="7:7">
      <c r="G34304" s="812"/>
    </row>
    <row r="34305" spans="7:7">
      <c r="G34305" s="812"/>
    </row>
    <row r="34306" spans="7:7">
      <c r="G34306" s="812"/>
    </row>
    <row r="34307" spans="7:7">
      <c r="G34307" s="812"/>
    </row>
    <row r="34308" spans="7:7">
      <c r="G34308" s="812"/>
    </row>
    <row r="34309" spans="7:7">
      <c r="G34309" s="812"/>
    </row>
    <row r="34310" spans="7:7">
      <c r="G34310" s="812"/>
    </row>
    <row r="34311" spans="7:7">
      <c r="G34311" s="812"/>
    </row>
    <row r="34312" spans="7:7">
      <c r="G34312" s="812"/>
    </row>
    <row r="34313" spans="7:7">
      <c r="G34313" s="812"/>
    </row>
    <row r="34314" spans="7:7">
      <c r="G34314" s="812"/>
    </row>
    <row r="34315" spans="7:7">
      <c r="G34315" s="812"/>
    </row>
    <row r="34316" spans="7:7">
      <c r="G34316" s="812"/>
    </row>
    <row r="34317" spans="7:7">
      <c r="G34317" s="812"/>
    </row>
    <row r="34318" spans="7:7">
      <c r="G34318" s="812"/>
    </row>
    <row r="34319" spans="7:7">
      <c r="G34319" s="812"/>
    </row>
    <row r="34320" spans="7:7">
      <c r="G34320" s="812"/>
    </row>
    <row r="34321" spans="7:7">
      <c r="G34321" s="812"/>
    </row>
    <row r="34322" spans="7:7">
      <c r="G34322" s="812"/>
    </row>
    <row r="34323" spans="7:7">
      <c r="G34323" s="812"/>
    </row>
    <row r="34324" spans="7:7">
      <c r="G34324" s="812"/>
    </row>
    <row r="34325" spans="7:7">
      <c r="G34325" s="812"/>
    </row>
    <row r="34326" spans="7:7">
      <c r="G34326" s="812"/>
    </row>
    <row r="34327" spans="7:7">
      <c r="G34327" s="812"/>
    </row>
    <row r="34328" spans="7:7">
      <c r="G34328" s="812"/>
    </row>
    <row r="34329" spans="7:7">
      <c r="G34329" s="812"/>
    </row>
    <row r="34330" spans="7:7">
      <c r="G34330" s="812"/>
    </row>
    <row r="34331" spans="7:7">
      <c r="G34331" s="812"/>
    </row>
    <row r="34332" spans="7:7">
      <c r="G34332" s="812"/>
    </row>
    <row r="34333" spans="7:7">
      <c r="G34333" s="812"/>
    </row>
    <row r="34334" spans="7:7">
      <c r="G34334" s="812"/>
    </row>
    <row r="34335" spans="7:7">
      <c r="G34335" s="812"/>
    </row>
    <row r="34336" spans="7:7">
      <c r="G34336" s="812"/>
    </row>
    <row r="34337" spans="7:7">
      <c r="G34337" s="812"/>
    </row>
    <row r="34338" spans="7:7">
      <c r="G34338" s="812"/>
    </row>
    <row r="34339" spans="7:7">
      <c r="G34339" s="812"/>
    </row>
    <row r="34340" spans="7:7">
      <c r="G34340" s="812"/>
    </row>
    <row r="34341" spans="7:7">
      <c r="G34341" s="812"/>
    </row>
    <row r="34342" spans="7:7">
      <c r="G34342" s="812"/>
    </row>
    <row r="34343" spans="7:7">
      <c r="G34343" s="812"/>
    </row>
    <row r="34344" spans="7:7">
      <c r="G34344" s="812"/>
    </row>
    <row r="34345" spans="7:7">
      <c r="G34345" s="812"/>
    </row>
    <row r="34346" spans="7:7">
      <c r="G34346" s="812"/>
    </row>
    <row r="34347" spans="7:7">
      <c r="G34347" s="812"/>
    </row>
    <row r="34348" spans="7:7">
      <c r="G34348" s="812"/>
    </row>
    <row r="34349" spans="7:7">
      <c r="G34349" s="812"/>
    </row>
    <row r="34350" spans="7:7">
      <c r="G34350" s="812"/>
    </row>
    <row r="34351" spans="7:7">
      <c r="G34351" s="812"/>
    </row>
    <row r="34352" spans="7:7">
      <c r="G34352" s="812"/>
    </row>
    <row r="34353" spans="7:7">
      <c r="G34353" s="812"/>
    </row>
    <row r="34354" spans="7:7">
      <c r="G34354" s="812"/>
    </row>
    <row r="34355" spans="7:7">
      <c r="G34355" s="812"/>
    </row>
    <row r="34356" spans="7:7">
      <c r="G34356" s="812"/>
    </row>
    <row r="34357" spans="7:7">
      <c r="G34357" s="812"/>
    </row>
    <row r="34358" spans="7:7">
      <c r="G34358" s="812"/>
    </row>
    <row r="34359" spans="7:7">
      <c r="G34359" s="812"/>
    </row>
    <row r="34360" spans="7:7">
      <c r="G34360" s="812"/>
    </row>
    <row r="34361" spans="7:7">
      <c r="G34361" s="812"/>
    </row>
    <row r="34362" spans="7:7">
      <c r="G34362" s="812"/>
    </row>
    <row r="34363" spans="7:7">
      <c r="G34363" s="812"/>
    </row>
    <row r="34364" spans="7:7">
      <c r="G34364" s="812"/>
    </row>
    <row r="34365" spans="7:7">
      <c r="G34365" s="812"/>
    </row>
    <row r="34366" spans="7:7">
      <c r="G34366" s="812"/>
    </row>
    <row r="34367" spans="7:7">
      <c r="G34367" s="812"/>
    </row>
    <row r="34368" spans="7:7">
      <c r="G34368" s="812"/>
    </row>
    <row r="34369" spans="7:7">
      <c r="G34369" s="812"/>
    </row>
    <row r="34370" spans="7:7">
      <c r="G34370" s="812"/>
    </row>
    <row r="34371" spans="7:7">
      <c r="G34371" s="812"/>
    </row>
    <row r="34372" spans="7:7">
      <c r="G34372" s="812"/>
    </row>
    <row r="34373" spans="7:7">
      <c r="G34373" s="812"/>
    </row>
    <row r="34374" spans="7:7">
      <c r="G34374" s="812"/>
    </row>
    <row r="34375" spans="7:7">
      <c r="G34375" s="812"/>
    </row>
    <row r="34376" spans="7:7">
      <c r="G34376" s="812"/>
    </row>
    <row r="34377" spans="7:7">
      <c r="G34377" s="812"/>
    </row>
    <row r="34378" spans="7:7">
      <c r="G34378" s="812"/>
    </row>
    <row r="34379" spans="7:7">
      <c r="G34379" s="812"/>
    </row>
    <row r="34380" spans="7:7">
      <c r="G34380" s="812"/>
    </row>
    <row r="34381" spans="7:7">
      <c r="G34381" s="812"/>
    </row>
    <row r="34382" spans="7:7">
      <c r="G34382" s="812"/>
    </row>
    <row r="34383" spans="7:7">
      <c r="G34383" s="812"/>
    </row>
    <row r="34384" spans="7:7">
      <c r="G34384" s="812"/>
    </row>
    <row r="34385" spans="7:7">
      <c r="G34385" s="812"/>
    </row>
    <row r="34386" spans="7:7">
      <c r="G34386" s="812"/>
    </row>
    <row r="34387" spans="7:7">
      <c r="G34387" s="812"/>
    </row>
    <row r="34388" spans="7:7">
      <c r="G34388" s="812"/>
    </row>
    <row r="34389" spans="7:7">
      <c r="G34389" s="812"/>
    </row>
    <row r="34390" spans="7:7">
      <c r="G34390" s="812"/>
    </row>
    <row r="34391" spans="7:7">
      <c r="G34391" s="812"/>
    </row>
    <row r="34392" spans="7:7">
      <c r="G34392" s="812"/>
    </row>
    <row r="34393" spans="7:7">
      <c r="G34393" s="812"/>
    </row>
    <row r="34394" spans="7:7">
      <c r="G34394" s="812"/>
    </row>
    <row r="34395" spans="7:7">
      <c r="G34395" s="812"/>
    </row>
    <row r="34396" spans="7:7">
      <c r="G34396" s="812"/>
    </row>
    <row r="34397" spans="7:7">
      <c r="G34397" s="812"/>
    </row>
    <row r="34398" spans="7:7">
      <c r="G34398" s="812"/>
    </row>
    <row r="34399" spans="7:7">
      <c r="G34399" s="812"/>
    </row>
    <row r="34400" spans="7:7">
      <c r="G34400" s="812"/>
    </row>
    <row r="34401" spans="7:7">
      <c r="G34401" s="812"/>
    </row>
    <row r="34402" spans="7:7">
      <c r="G34402" s="812"/>
    </row>
    <row r="34403" spans="7:7">
      <c r="G34403" s="812"/>
    </row>
    <row r="34404" spans="7:7">
      <c r="G34404" s="812"/>
    </row>
    <row r="34405" spans="7:7">
      <c r="G34405" s="812"/>
    </row>
    <row r="34406" spans="7:7">
      <c r="G34406" s="812"/>
    </row>
    <row r="34407" spans="7:7">
      <c r="G34407" s="812"/>
    </row>
    <row r="34408" spans="7:7">
      <c r="G34408" s="812"/>
    </row>
    <row r="34409" spans="7:7">
      <c r="G34409" s="812"/>
    </row>
    <row r="34410" spans="7:7">
      <c r="G34410" s="812"/>
    </row>
    <row r="34411" spans="7:7">
      <c r="G34411" s="812"/>
    </row>
    <row r="34412" spans="7:7">
      <c r="G34412" s="812"/>
    </row>
    <row r="34413" spans="7:7">
      <c r="G34413" s="812"/>
    </row>
    <row r="34414" spans="7:7">
      <c r="G34414" s="812"/>
    </row>
    <row r="34415" spans="7:7">
      <c r="G34415" s="812"/>
    </row>
    <row r="34416" spans="7:7">
      <c r="G34416" s="812"/>
    </row>
    <row r="34417" spans="7:7">
      <c r="G34417" s="812"/>
    </row>
    <row r="34418" spans="7:7">
      <c r="G34418" s="812"/>
    </row>
    <row r="34419" spans="7:7">
      <c r="G34419" s="812"/>
    </row>
    <row r="34420" spans="7:7">
      <c r="G34420" s="812"/>
    </row>
    <row r="34421" spans="7:7">
      <c r="G34421" s="812"/>
    </row>
    <row r="34422" spans="7:7">
      <c r="G34422" s="812"/>
    </row>
    <row r="34423" spans="7:7">
      <c r="G34423" s="812"/>
    </row>
    <row r="34424" spans="7:7">
      <c r="G34424" s="812"/>
    </row>
    <row r="34425" spans="7:7">
      <c r="G34425" s="812"/>
    </row>
    <row r="34426" spans="7:7">
      <c r="G34426" s="812"/>
    </row>
    <row r="34427" spans="7:7">
      <c r="G34427" s="812"/>
    </row>
    <row r="34428" spans="7:7">
      <c r="G34428" s="812"/>
    </row>
    <row r="34429" spans="7:7">
      <c r="G34429" s="812"/>
    </row>
    <row r="34430" spans="7:7">
      <c r="G34430" s="812"/>
    </row>
    <row r="34431" spans="7:7">
      <c r="G34431" s="812"/>
    </row>
    <row r="34432" spans="7:7">
      <c r="G34432" s="812"/>
    </row>
    <row r="34433" spans="7:7">
      <c r="G34433" s="812"/>
    </row>
    <row r="34434" spans="7:7">
      <c r="G34434" s="812"/>
    </row>
    <row r="34435" spans="7:7">
      <c r="G34435" s="812"/>
    </row>
    <row r="34436" spans="7:7">
      <c r="G34436" s="812"/>
    </row>
    <row r="34437" spans="7:7">
      <c r="G34437" s="812"/>
    </row>
    <row r="34438" spans="7:7">
      <c r="G34438" s="812"/>
    </row>
    <row r="34439" spans="7:7">
      <c r="G34439" s="812"/>
    </row>
    <row r="34440" spans="7:7">
      <c r="G34440" s="812"/>
    </row>
    <row r="34441" spans="7:7">
      <c r="G34441" s="812"/>
    </row>
    <row r="34442" spans="7:7">
      <c r="G34442" s="812"/>
    </row>
    <row r="34443" spans="7:7">
      <c r="G34443" s="812"/>
    </row>
    <row r="34444" spans="7:7">
      <c r="G34444" s="812"/>
    </row>
    <row r="34445" spans="7:7">
      <c r="G34445" s="812"/>
    </row>
    <row r="34446" spans="7:7">
      <c r="G34446" s="812"/>
    </row>
    <row r="34447" spans="7:7">
      <c r="G34447" s="812"/>
    </row>
    <row r="34448" spans="7:7">
      <c r="G34448" s="812"/>
    </row>
    <row r="34449" spans="7:7">
      <c r="G34449" s="812"/>
    </row>
    <row r="34450" spans="7:7">
      <c r="G34450" s="812"/>
    </row>
    <row r="34451" spans="7:7">
      <c r="G34451" s="812"/>
    </row>
    <row r="34452" spans="7:7">
      <c r="G34452" s="812"/>
    </row>
    <row r="34453" spans="7:7">
      <c r="G34453" s="812"/>
    </row>
    <row r="34454" spans="7:7">
      <c r="G34454" s="812"/>
    </row>
    <row r="34455" spans="7:7">
      <c r="G34455" s="812"/>
    </row>
    <row r="34456" spans="7:7">
      <c r="G34456" s="812"/>
    </row>
    <row r="34457" spans="7:7">
      <c r="G34457" s="812"/>
    </row>
    <row r="34458" spans="7:7">
      <c r="G34458" s="812"/>
    </row>
    <row r="34459" spans="7:7">
      <c r="G34459" s="812"/>
    </row>
    <row r="34460" spans="7:7">
      <c r="G34460" s="812"/>
    </row>
    <row r="34461" spans="7:7">
      <c r="G34461" s="812"/>
    </row>
    <row r="34462" spans="7:7">
      <c r="G34462" s="812"/>
    </row>
    <row r="34463" spans="7:7">
      <c r="G34463" s="812"/>
    </row>
    <row r="34464" spans="7:7">
      <c r="G34464" s="812"/>
    </row>
    <row r="34465" spans="7:7">
      <c r="G34465" s="812"/>
    </row>
    <row r="34466" spans="7:7">
      <c r="G34466" s="812"/>
    </row>
    <row r="34467" spans="7:7">
      <c r="G34467" s="812"/>
    </row>
    <row r="34468" spans="7:7">
      <c r="G34468" s="812"/>
    </row>
    <row r="34469" spans="7:7">
      <c r="G34469" s="812"/>
    </row>
    <row r="34470" spans="7:7">
      <c r="G34470" s="812"/>
    </row>
    <row r="34471" spans="7:7">
      <c r="G34471" s="812"/>
    </row>
    <row r="34472" spans="7:7">
      <c r="G34472" s="812"/>
    </row>
    <row r="34473" spans="7:7">
      <c r="G34473" s="812"/>
    </row>
    <row r="34474" spans="7:7">
      <c r="G34474" s="812"/>
    </row>
    <row r="34475" spans="7:7">
      <c r="G34475" s="812"/>
    </row>
    <row r="34476" spans="7:7">
      <c r="G34476" s="812"/>
    </row>
    <row r="34477" spans="7:7">
      <c r="G34477" s="812"/>
    </row>
    <row r="34478" spans="7:7">
      <c r="G34478" s="812"/>
    </row>
    <row r="34479" spans="7:7">
      <c r="G34479" s="812"/>
    </row>
    <row r="34480" spans="7:7">
      <c r="G34480" s="812"/>
    </row>
    <row r="34481" spans="7:7">
      <c r="G34481" s="812"/>
    </row>
    <row r="34482" spans="7:7">
      <c r="G34482" s="812"/>
    </row>
    <row r="34483" spans="7:7">
      <c r="G34483" s="812"/>
    </row>
    <row r="34484" spans="7:7">
      <c r="G34484" s="812"/>
    </row>
    <row r="34485" spans="7:7">
      <c r="G34485" s="812"/>
    </row>
    <row r="34486" spans="7:7">
      <c r="G34486" s="812"/>
    </row>
    <row r="34487" spans="7:7">
      <c r="G34487" s="812"/>
    </row>
    <row r="34488" spans="7:7">
      <c r="G34488" s="812"/>
    </row>
    <row r="34489" spans="7:7">
      <c r="G34489" s="812"/>
    </row>
    <row r="34490" spans="7:7">
      <c r="G34490" s="812"/>
    </row>
    <row r="34491" spans="7:7">
      <c r="G34491" s="812"/>
    </row>
    <row r="34492" spans="7:7">
      <c r="G34492" s="812"/>
    </row>
    <row r="34493" spans="7:7">
      <c r="G34493" s="812"/>
    </row>
    <row r="34494" spans="7:7">
      <c r="G34494" s="812"/>
    </row>
    <row r="34495" spans="7:7">
      <c r="G34495" s="812"/>
    </row>
    <row r="34496" spans="7:7">
      <c r="G34496" s="812"/>
    </row>
    <row r="34497" spans="7:7">
      <c r="G34497" s="812"/>
    </row>
    <row r="34498" spans="7:7">
      <c r="G34498" s="812"/>
    </row>
    <row r="34499" spans="7:7">
      <c r="G34499" s="812"/>
    </row>
    <row r="34500" spans="7:7">
      <c r="G34500" s="812"/>
    </row>
    <row r="34501" spans="7:7">
      <c r="G34501" s="812"/>
    </row>
    <row r="34502" spans="7:7">
      <c r="G34502" s="812"/>
    </row>
    <row r="34503" spans="7:7">
      <c r="G34503" s="812"/>
    </row>
    <row r="34504" spans="7:7">
      <c r="G34504" s="812"/>
    </row>
    <row r="34505" spans="7:7">
      <c r="G34505" s="812"/>
    </row>
    <row r="34506" spans="7:7">
      <c r="G34506" s="812"/>
    </row>
    <row r="34507" spans="7:7">
      <c r="G34507" s="812"/>
    </row>
    <row r="34508" spans="7:7">
      <c r="G34508" s="812"/>
    </row>
    <row r="34509" spans="7:7">
      <c r="G34509" s="812"/>
    </row>
    <row r="34510" spans="7:7">
      <c r="G34510" s="812"/>
    </row>
    <row r="34511" spans="7:7">
      <c r="G34511" s="812"/>
    </row>
    <row r="34512" spans="7:7">
      <c r="G34512" s="812"/>
    </row>
    <row r="34513" spans="7:7">
      <c r="G34513" s="812"/>
    </row>
    <row r="34514" spans="7:7">
      <c r="G34514" s="812"/>
    </row>
    <row r="34515" spans="7:7">
      <c r="G34515" s="812"/>
    </row>
    <row r="34516" spans="7:7">
      <c r="G34516" s="812"/>
    </row>
    <row r="34517" spans="7:7">
      <c r="G34517" s="812"/>
    </row>
    <row r="34518" spans="7:7">
      <c r="G34518" s="812"/>
    </row>
    <row r="34519" spans="7:7">
      <c r="G34519" s="812"/>
    </row>
    <row r="34520" spans="7:7">
      <c r="G34520" s="812"/>
    </row>
    <row r="34521" spans="7:7">
      <c r="G34521" s="812"/>
    </row>
    <row r="34522" spans="7:7">
      <c r="G34522" s="812"/>
    </row>
    <row r="34523" spans="7:7">
      <c r="G34523" s="812"/>
    </row>
    <row r="34524" spans="7:7">
      <c r="G34524" s="812"/>
    </row>
    <row r="34525" spans="7:7">
      <c r="G34525" s="812"/>
    </row>
    <row r="34526" spans="7:7">
      <c r="G34526" s="812"/>
    </row>
    <row r="34527" spans="7:7">
      <c r="G34527" s="812"/>
    </row>
    <row r="34528" spans="7:7">
      <c r="G34528" s="812"/>
    </row>
    <row r="34529" spans="7:7">
      <c r="G34529" s="812"/>
    </row>
    <row r="34530" spans="7:7">
      <c r="G34530" s="812"/>
    </row>
    <row r="34531" spans="7:7">
      <c r="G34531" s="812"/>
    </row>
    <row r="34532" spans="7:7">
      <c r="G34532" s="812"/>
    </row>
    <row r="34533" spans="7:7">
      <c r="G34533" s="812"/>
    </row>
    <row r="34534" spans="7:7">
      <c r="G34534" s="812"/>
    </row>
    <row r="34535" spans="7:7">
      <c r="G34535" s="812"/>
    </row>
    <row r="34536" spans="7:7">
      <c r="G34536" s="812"/>
    </row>
    <row r="34537" spans="7:7">
      <c r="G34537" s="812"/>
    </row>
    <row r="34538" spans="7:7">
      <c r="G34538" s="812"/>
    </row>
    <row r="34539" spans="7:7">
      <c r="G34539" s="812"/>
    </row>
    <row r="34540" spans="7:7">
      <c r="G34540" s="812"/>
    </row>
    <row r="34541" spans="7:7">
      <c r="G34541" s="812"/>
    </row>
    <row r="34542" spans="7:7">
      <c r="G34542" s="812"/>
    </row>
    <row r="34543" spans="7:7">
      <c r="G34543" s="812"/>
    </row>
    <row r="34544" spans="7:7">
      <c r="G34544" s="812"/>
    </row>
    <row r="34545" spans="7:7">
      <c r="G34545" s="812"/>
    </row>
    <row r="34546" spans="7:7">
      <c r="G34546" s="812"/>
    </row>
    <row r="34547" spans="7:7">
      <c r="G34547" s="812"/>
    </row>
    <row r="34548" spans="7:7">
      <c r="G34548" s="812"/>
    </row>
    <row r="34549" spans="7:7">
      <c r="G34549" s="812"/>
    </row>
    <row r="34550" spans="7:7">
      <c r="G34550" s="812"/>
    </row>
    <row r="34551" spans="7:7">
      <c r="G34551" s="812"/>
    </row>
    <row r="34552" spans="7:7">
      <c r="G34552" s="812"/>
    </row>
    <row r="34553" spans="7:7">
      <c r="G34553" s="812"/>
    </row>
    <row r="34554" spans="7:7">
      <c r="G34554" s="812"/>
    </row>
    <row r="34555" spans="7:7">
      <c r="G34555" s="812"/>
    </row>
    <row r="34556" spans="7:7">
      <c r="G34556" s="812"/>
    </row>
    <row r="34557" spans="7:7">
      <c r="G34557" s="812"/>
    </row>
    <row r="34558" spans="7:7">
      <c r="G34558" s="812"/>
    </row>
    <row r="34559" spans="7:7">
      <c r="G34559" s="812"/>
    </row>
    <row r="34560" spans="7:7">
      <c r="G34560" s="812"/>
    </row>
    <row r="34561" spans="7:7">
      <c r="G34561" s="812"/>
    </row>
    <row r="34562" spans="7:7">
      <c r="G34562" s="812"/>
    </row>
    <row r="34563" spans="7:7">
      <c r="G34563" s="812"/>
    </row>
    <row r="34564" spans="7:7">
      <c r="G34564" s="812"/>
    </row>
    <row r="34565" spans="7:7">
      <c r="G34565" s="812"/>
    </row>
    <row r="34566" spans="7:7">
      <c r="G34566" s="812"/>
    </row>
    <row r="34567" spans="7:7">
      <c r="G34567" s="812"/>
    </row>
    <row r="34568" spans="7:7">
      <c r="G34568" s="812"/>
    </row>
    <row r="34569" spans="7:7">
      <c r="G34569" s="812"/>
    </row>
    <row r="34570" spans="7:7">
      <c r="G34570" s="812"/>
    </row>
    <row r="34571" spans="7:7">
      <c r="G34571" s="812"/>
    </row>
    <row r="34572" spans="7:7">
      <c r="G34572" s="812"/>
    </row>
    <row r="34573" spans="7:7">
      <c r="G34573" s="812"/>
    </row>
    <row r="34574" spans="7:7">
      <c r="G34574" s="812"/>
    </row>
    <row r="34575" spans="7:7">
      <c r="G34575" s="812"/>
    </row>
    <row r="34576" spans="7:7">
      <c r="G34576" s="812"/>
    </row>
    <row r="34577" spans="7:7">
      <c r="G34577" s="812"/>
    </row>
    <row r="34578" spans="7:7">
      <c r="G34578" s="812"/>
    </row>
    <row r="34579" spans="7:7">
      <c r="G34579" s="812"/>
    </row>
    <row r="34580" spans="7:7">
      <c r="G34580" s="812"/>
    </row>
    <row r="34581" spans="7:7">
      <c r="G34581" s="812"/>
    </row>
    <row r="34582" spans="7:7">
      <c r="G34582" s="812"/>
    </row>
    <row r="34583" spans="7:7">
      <c r="G34583" s="812"/>
    </row>
    <row r="34584" spans="7:7">
      <c r="G34584" s="812"/>
    </row>
    <row r="34585" spans="7:7">
      <c r="G34585" s="812"/>
    </row>
    <row r="34586" spans="7:7">
      <c r="G34586" s="812"/>
    </row>
    <row r="34587" spans="7:7">
      <c r="G34587" s="812"/>
    </row>
    <row r="34588" spans="7:7">
      <c r="G34588" s="812"/>
    </row>
    <row r="34589" spans="7:7">
      <c r="G34589" s="812"/>
    </row>
    <row r="34590" spans="7:7">
      <c r="G34590" s="812"/>
    </row>
    <row r="34591" spans="7:7">
      <c r="G34591" s="812"/>
    </row>
    <row r="34592" spans="7:7">
      <c r="G34592" s="812"/>
    </row>
    <row r="34593" spans="7:7">
      <c r="G34593" s="812"/>
    </row>
    <row r="34594" spans="7:7">
      <c r="G34594" s="812"/>
    </row>
    <row r="34595" spans="7:7">
      <c r="G34595" s="812"/>
    </row>
    <row r="34596" spans="7:7">
      <c r="G34596" s="812"/>
    </row>
    <row r="34597" spans="7:7">
      <c r="G34597" s="812"/>
    </row>
    <row r="34598" spans="7:7">
      <c r="G34598" s="812"/>
    </row>
    <row r="34599" spans="7:7">
      <c r="G34599" s="812"/>
    </row>
    <row r="34600" spans="7:7">
      <c r="G34600" s="812"/>
    </row>
    <row r="34601" spans="7:7">
      <c r="G34601" s="812"/>
    </row>
    <row r="34602" spans="7:7">
      <c r="G34602" s="812"/>
    </row>
    <row r="34603" spans="7:7">
      <c r="G34603" s="812"/>
    </row>
    <row r="34604" spans="7:7">
      <c r="G34604" s="812"/>
    </row>
    <row r="34605" spans="7:7">
      <c r="G34605" s="812"/>
    </row>
    <row r="34606" spans="7:7">
      <c r="G34606" s="812"/>
    </row>
    <row r="34607" spans="7:7">
      <c r="G34607" s="812"/>
    </row>
    <row r="34608" spans="7:7">
      <c r="G34608" s="812"/>
    </row>
    <row r="34609" spans="7:7">
      <c r="G34609" s="812"/>
    </row>
    <row r="34610" spans="7:7">
      <c r="G34610" s="812"/>
    </row>
    <row r="34611" spans="7:7">
      <c r="G34611" s="812"/>
    </row>
    <row r="34612" spans="7:7">
      <c r="G34612" s="812"/>
    </row>
    <row r="34613" spans="7:7">
      <c r="G34613" s="812"/>
    </row>
    <row r="34614" spans="7:7">
      <c r="G34614" s="812"/>
    </row>
    <row r="34615" spans="7:7">
      <c r="G34615" s="812"/>
    </row>
    <row r="34616" spans="7:7">
      <c r="G34616" s="812"/>
    </row>
    <row r="34617" spans="7:7">
      <c r="G34617" s="812"/>
    </row>
    <row r="34618" spans="7:7">
      <c r="G34618" s="812"/>
    </row>
    <row r="34619" spans="7:7">
      <c r="G34619" s="812"/>
    </row>
    <row r="34620" spans="7:7">
      <c r="G34620" s="812"/>
    </row>
    <row r="34621" spans="7:7">
      <c r="G34621" s="812"/>
    </row>
    <row r="34622" spans="7:7">
      <c r="G34622" s="812"/>
    </row>
    <row r="34623" spans="7:7">
      <c r="G34623" s="812"/>
    </row>
    <row r="34624" spans="7:7">
      <c r="G34624" s="812"/>
    </row>
    <row r="34625" spans="7:7">
      <c r="G34625" s="812"/>
    </row>
    <row r="34626" spans="7:7">
      <c r="G34626" s="812"/>
    </row>
    <row r="34627" spans="7:7">
      <c r="G34627" s="812"/>
    </row>
    <row r="34628" spans="7:7">
      <c r="G34628" s="812"/>
    </row>
    <row r="34629" spans="7:7">
      <c r="G34629" s="812"/>
    </row>
    <row r="34630" spans="7:7">
      <c r="G34630" s="812"/>
    </row>
    <row r="34631" spans="7:7">
      <c r="G34631" s="812"/>
    </row>
    <row r="34632" spans="7:7">
      <c r="G34632" s="812"/>
    </row>
    <row r="34633" spans="7:7">
      <c r="G34633" s="812"/>
    </row>
    <row r="34634" spans="7:7">
      <c r="G34634" s="812"/>
    </row>
    <row r="34635" spans="7:7">
      <c r="G34635" s="812"/>
    </row>
    <row r="34636" spans="7:7">
      <c r="G34636" s="812"/>
    </row>
    <row r="34637" spans="7:7">
      <c r="G34637" s="812"/>
    </row>
    <row r="34638" spans="7:7">
      <c r="G34638" s="812"/>
    </row>
    <row r="34639" spans="7:7">
      <c r="G34639" s="812"/>
    </row>
    <row r="34640" spans="7:7">
      <c r="G34640" s="812"/>
    </row>
    <row r="34641" spans="7:7">
      <c r="G34641" s="812"/>
    </row>
    <row r="34642" spans="7:7">
      <c r="G34642" s="812"/>
    </row>
    <row r="34643" spans="7:7">
      <c r="G34643" s="812"/>
    </row>
    <row r="34644" spans="7:7">
      <c r="G34644" s="812"/>
    </row>
    <row r="34645" spans="7:7">
      <c r="G34645" s="812"/>
    </row>
    <row r="34646" spans="7:7">
      <c r="G34646" s="812"/>
    </row>
    <row r="34647" spans="7:7">
      <c r="G34647" s="812"/>
    </row>
    <row r="34648" spans="7:7">
      <c r="G34648" s="812"/>
    </row>
    <row r="34649" spans="7:7">
      <c r="G34649" s="812"/>
    </row>
    <row r="34650" spans="7:7">
      <c r="G34650" s="812"/>
    </row>
    <row r="34651" spans="7:7">
      <c r="G34651" s="812"/>
    </row>
    <row r="34652" spans="7:7">
      <c r="G34652" s="812"/>
    </row>
    <row r="34653" spans="7:7">
      <c r="G34653" s="812"/>
    </row>
    <row r="34654" spans="7:7">
      <c r="G34654" s="812"/>
    </row>
    <row r="34655" spans="7:7">
      <c r="G34655" s="812"/>
    </row>
    <row r="34656" spans="7:7">
      <c r="G34656" s="812"/>
    </row>
    <row r="34657" spans="7:7">
      <c r="G34657" s="812"/>
    </row>
    <row r="34658" spans="7:7">
      <c r="G34658" s="812"/>
    </row>
    <row r="34659" spans="7:7">
      <c r="G34659" s="812"/>
    </row>
    <row r="34660" spans="7:7">
      <c r="G34660" s="812"/>
    </row>
    <row r="34661" spans="7:7">
      <c r="G34661" s="812"/>
    </row>
    <row r="34662" spans="7:7">
      <c r="G34662" s="812"/>
    </row>
    <row r="34663" spans="7:7">
      <c r="G34663" s="812"/>
    </row>
    <row r="34664" spans="7:7">
      <c r="G34664" s="812"/>
    </row>
    <row r="34665" spans="7:7">
      <c r="G34665" s="812"/>
    </row>
    <row r="34666" spans="7:7">
      <c r="G34666" s="812"/>
    </row>
    <row r="34667" spans="7:7">
      <c r="G34667" s="812"/>
    </row>
    <row r="34668" spans="7:7">
      <c r="G34668" s="812"/>
    </row>
    <row r="34669" spans="7:7">
      <c r="G34669" s="812"/>
    </row>
    <row r="34670" spans="7:7">
      <c r="G34670" s="812"/>
    </row>
    <row r="34671" spans="7:7">
      <c r="G34671" s="812"/>
    </row>
    <row r="34672" spans="7:7">
      <c r="G34672" s="812"/>
    </row>
    <row r="34673" spans="7:7">
      <c r="G34673" s="812"/>
    </row>
    <row r="34674" spans="7:7">
      <c r="G34674" s="812"/>
    </row>
    <row r="34675" spans="7:7">
      <c r="G34675" s="812"/>
    </row>
    <row r="34676" spans="7:7">
      <c r="G34676" s="812"/>
    </row>
    <row r="34677" spans="7:7">
      <c r="G34677" s="812"/>
    </row>
    <row r="34678" spans="7:7">
      <c r="G34678" s="812"/>
    </row>
    <row r="34679" spans="7:7">
      <c r="G34679" s="812"/>
    </row>
    <row r="34680" spans="7:7">
      <c r="G34680" s="812"/>
    </row>
    <row r="34681" spans="7:7">
      <c r="G34681" s="812"/>
    </row>
    <row r="34682" spans="7:7">
      <c r="G34682" s="812"/>
    </row>
    <row r="34683" spans="7:7">
      <c r="G34683" s="812"/>
    </row>
    <row r="34684" spans="7:7">
      <c r="G34684" s="812"/>
    </row>
    <row r="34685" spans="7:7">
      <c r="G34685" s="812"/>
    </row>
    <row r="34686" spans="7:7">
      <c r="G34686" s="812"/>
    </row>
    <row r="34687" spans="7:7">
      <c r="G34687" s="812"/>
    </row>
    <row r="34688" spans="7:7">
      <c r="G34688" s="812"/>
    </row>
    <row r="34689" spans="7:7">
      <c r="G34689" s="812"/>
    </row>
    <row r="34690" spans="7:7">
      <c r="G34690" s="812"/>
    </row>
    <row r="34691" spans="7:7">
      <c r="G34691" s="812"/>
    </row>
    <row r="34692" spans="7:7">
      <c r="G34692" s="812"/>
    </row>
    <row r="34693" spans="7:7">
      <c r="G34693" s="812"/>
    </row>
    <row r="34694" spans="7:7">
      <c r="G34694" s="812"/>
    </row>
    <row r="34695" spans="7:7">
      <c r="G34695" s="812"/>
    </row>
    <row r="34696" spans="7:7">
      <c r="G34696" s="812"/>
    </row>
    <row r="34697" spans="7:7">
      <c r="G34697" s="812"/>
    </row>
    <row r="34698" spans="7:7">
      <c r="G34698" s="812"/>
    </row>
    <row r="34699" spans="7:7">
      <c r="G34699" s="812"/>
    </row>
    <row r="34700" spans="7:7">
      <c r="G34700" s="812"/>
    </row>
    <row r="34701" spans="7:7">
      <c r="G34701" s="812"/>
    </row>
    <row r="34702" spans="7:7">
      <c r="G34702" s="812"/>
    </row>
    <row r="34703" spans="7:7">
      <c r="G34703" s="812"/>
    </row>
    <row r="34704" spans="7:7">
      <c r="G34704" s="812"/>
    </row>
    <row r="34705" spans="7:7">
      <c r="G34705" s="812"/>
    </row>
    <row r="34706" spans="7:7">
      <c r="G34706" s="812"/>
    </row>
    <row r="34707" spans="7:7">
      <c r="G34707" s="812"/>
    </row>
    <row r="34708" spans="7:7">
      <c r="G34708" s="812"/>
    </row>
    <row r="34709" spans="7:7">
      <c r="G34709" s="812"/>
    </row>
    <row r="34710" spans="7:7">
      <c r="G34710" s="812"/>
    </row>
    <row r="34711" spans="7:7">
      <c r="G34711" s="812"/>
    </row>
    <row r="34712" spans="7:7">
      <c r="G34712" s="812"/>
    </row>
    <row r="34713" spans="7:7">
      <c r="G34713" s="812"/>
    </row>
    <row r="34714" spans="7:7">
      <c r="G34714" s="812"/>
    </row>
    <row r="34715" spans="7:7">
      <c r="G34715" s="812"/>
    </row>
    <row r="34716" spans="7:7">
      <c r="G34716" s="812"/>
    </row>
    <row r="34717" spans="7:7">
      <c r="G34717" s="812"/>
    </row>
    <row r="34718" spans="7:7">
      <c r="G34718" s="812"/>
    </row>
    <row r="34719" spans="7:7">
      <c r="G34719" s="812"/>
    </row>
    <row r="34720" spans="7:7">
      <c r="G34720" s="812"/>
    </row>
    <row r="34721" spans="7:7">
      <c r="G34721" s="812"/>
    </row>
    <row r="34722" spans="7:7">
      <c r="G34722" s="812"/>
    </row>
    <row r="34723" spans="7:7">
      <c r="G34723" s="812"/>
    </row>
    <row r="34724" spans="7:7">
      <c r="G34724" s="812"/>
    </row>
    <row r="34725" spans="7:7">
      <c r="G34725" s="812"/>
    </row>
    <row r="34726" spans="7:7">
      <c r="G34726" s="812"/>
    </row>
    <row r="34727" spans="7:7">
      <c r="G34727" s="812"/>
    </row>
    <row r="34728" spans="7:7">
      <c r="G34728" s="812"/>
    </row>
    <row r="34729" spans="7:7">
      <c r="G34729" s="812"/>
    </row>
    <row r="34730" spans="7:7">
      <c r="G34730" s="812"/>
    </row>
    <row r="34731" spans="7:7">
      <c r="G34731" s="812"/>
    </row>
    <row r="34732" spans="7:7">
      <c r="G34732" s="812"/>
    </row>
    <row r="34733" spans="7:7">
      <c r="G34733" s="812"/>
    </row>
    <row r="34734" spans="7:7">
      <c r="G34734" s="812"/>
    </row>
    <row r="34735" spans="7:7">
      <c r="G34735" s="812"/>
    </row>
    <row r="34736" spans="7:7">
      <c r="G34736" s="812"/>
    </row>
    <row r="34737" spans="7:7">
      <c r="G34737" s="812"/>
    </row>
    <row r="34738" spans="7:7">
      <c r="G34738" s="812"/>
    </row>
    <row r="34739" spans="7:7">
      <c r="G34739" s="812"/>
    </row>
    <row r="34740" spans="7:7">
      <c r="G34740" s="812"/>
    </row>
    <row r="34741" spans="7:7">
      <c r="G34741" s="812"/>
    </row>
    <row r="34742" spans="7:7">
      <c r="G34742" s="812"/>
    </row>
    <row r="34743" spans="7:7">
      <c r="G34743" s="812"/>
    </row>
    <row r="34744" spans="7:7">
      <c r="G34744" s="812"/>
    </row>
    <row r="34745" spans="7:7">
      <c r="G34745" s="812"/>
    </row>
    <row r="34746" spans="7:7">
      <c r="G34746" s="812"/>
    </row>
    <row r="34747" spans="7:7">
      <c r="G34747" s="812"/>
    </row>
    <row r="34748" spans="7:7">
      <c r="G34748" s="812"/>
    </row>
    <row r="34749" spans="7:7">
      <c r="G34749" s="812"/>
    </row>
    <row r="34750" spans="7:7">
      <c r="G34750" s="812"/>
    </row>
    <row r="34751" spans="7:7">
      <c r="G34751" s="812"/>
    </row>
    <row r="34752" spans="7:7">
      <c r="G34752" s="812"/>
    </row>
    <row r="34753" spans="7:7">
      <c r="G34753" s="812"/>
    </row>
    <row r="34754" spans="7:7">
      <c r="G34754" s="812"/>
    </row>
    <row r="34755" spans="7:7">
      <c r="G34755" s="812"/>
    </row>
    <row r="34756" spans="7:7">
      <c r="G34756" s="812"/>
    </row>
    <row r="34757" spans="7:7">
      <c r="G34757" s="812"/>
    </row>
    <row r="34758" spans="7:7">
      <c r="G34758" s="812"/>
    </row>
    <row r="34759" spans="7:7">
      <c r="G34759" s="812"/>
    </row>
    <row r="34760" spans="7:7">
      <c r="G34760" s="812"/>
    </row>
    <row r="34761" spans="7:7">
      <c r="G34761" s="812"/>
    </row>
    <row r="34762" spans="7:7">
      <c r="G34762" s="812"/>
    </row>
    <row r="34763" spans="7:7">
      <c r="G34763" s="812"/>
    </row>
    <row r="34764" spans="7:7">
      <c r="G34764" s="812"/>
    </row>
    <row r="34765" spans="7:7">
      <c r="G34765" s="812"/>
    </row>
    <row r="34766" spans="7:7">
      <c r="G34766" s="812"/>
    </row>
    <row r="34767" spans="7:7">
      <c r="G34767" s="812"/>
    </row>
    <row r="34768" spans="7:7">
      <c r="G34768" s="812"/>
    </row>
    <row r="34769" spans="7:7">
      <c r="G34769" s="812"/>
    </row>
    <row r="34770" spans="7:7">
      <c r="G34770" s="812"/>
    </row>
    <row r="34771" spans="7:7">
      <c r="G34771" s="812"/>
    </row>
    <row r="34772" spans="7:7">
      <c r="G34772" s="812"/>
    </row>
    <row r="34773" spans="7:7">
      <c r="G34773" s="812"/>
    </row>
    <row r="34774" spans="7:7">
      <c r="G34774" s="812"/>
    </row>
    <row r="34775" spans="7:7">
      <c r="G34775" s="812"/>
    </row>
    <row r="34776" spans="7:7">
      <c r="G34776" s="812"/>
    </row>
    <row r="34777" spans="7:7">
      <c r="G34777" s="812"/>
    </row>
    <row r="34778" spans="7:7">
      <c r="G34778" s="812"/>
    </row>
    <row r="34779" spans="7:7">
      <c r="G34779" s="812"/>
    </row>
    <row r="34780" spans="7:7">
      <c r="G34780" s="812"/>
    </row>
    <row r="34781" spans="7:7">
      <c r="G34781" s="812"/>
    </row>
    <row r="34782" spans="7:7">
      <c r="G34782" s="812"/>
    </row>
    <row r="34783" spans="7:7">
      <c r="G34783" s="812"/>
    </row>
    <row r="34784" spans="7:7">
      <c r="G34784" s="812"/>
    </row>
    <row r="34785" spans="7:7">
      <c r="G34785" s="812"/>
    </row>
    <row r="34786" spans="7:7">
      <c r="G34786" s="812"/>
    </row>
    <row r="34787" spans="7:7">
      <c r="G34787" s="812"/>
    </row>
    <row r="34788" spans="7:7">
      <c r="G34788" s="812"/>
    </row>
    <row r="34789" spans="7:7">
      <c r="G34789" s="812"/>
    </row>
    <row r="34790" spans="7:7">
      <c r="G34790" s="812"/>
    </row>
    <row r="34791" spans="7:7">
      <c r="G34791" s="812"/>
    </row>
    <row r="34792" spans="7:7">
      <c r="G34792" s="812"/>
    </row>
    <row r="34793" spans="7:7">
      <c r="G34793" s="812"/>
    </row>
    <row r="34794" spans="7:7">
      <c r="G34794" s="812"/>
    </row>
    <row r="34795" spans="7:7">
      <c r="G34795" s="812"/>
    </row>
    <row r="34796" spans="7:7">
      <c r="G34796" s="812"/>
    </row>
    <row r="34797" spans="7:7">
      <c r="G34797" s="812"/>
    </row>
    <row r="34798" spans="7:7">
      <c r="G34798" s="812"/>
    </row>
    <row r="34799" spans="7:7">
      <c r="G34799" s="812"/>
    </row>
    <row r="34800" spans="7:7">
      <c r="G34800" s="812"/>
    </row>
    <row r="34801" spans="7:7">
      <c r="G34801" s="812"/>
    </row>
    <row r="34802" spans="7:7">
      <c r="G34802" s="812"/>
    </row>
    <row r="34803" spans="7:7">
      <c r="G34803" s="812"/>
    </row>
    <row r="34804" spans="7:7">
      <c r="G34804" s="812"/>
    </row>
    <row r="34805" spans="7:7">
      <c r="G34805" s="812"/>
    </row>
    <row r="34806" spans="7:7">
      <c r="G34806" s="812"/>
    </row>
    <row r="34807" spans="7:7">
      <c r="G34807" s="812"/>
    </row>
    <row r="34808" spans="7:7">
      <c r="G34808" s="812"/>
    </row>
    <row r="34809" spans="7:7">
      <c r="G34809" s="812"/>
    </row>
    <row r="34810" spans="7:7">
      <c r="G34810" s="812"/>
    </row>
    <row r="34811" spans="7:7">
      <c r="G34811" s="812"/>
    </row>
    <row r="34812" spans="7:7">
      <c r="G34812" s="812"/>
    </row>
    <row r="34813" spans="7:7">
      <c r="G34813" s="812"/>
    </row>
    <row r="34814" spans="7:7">
      <c r="G34814" s="812"/>
    </row>
    <row r="34815" spans="7:7">
      <c r="G34815" s="812"/>
    </row>
    <row r="34816" spans="7:7">
      <c r="G34816" s="812"/>
    </row>
    <row r="34817" spans="7:7">
      <c r="G34817" s="812"/>
    </row>
    <row r="34818" spans="7:7">
      <c r="G34818" s="812"/>
    </row>
    <row r="34819" spans="7:7">
      <c r="G34819" s="812"/>
    </row>
    <row r="34820" spans="7:7">
      <c r="G34820" s="812"/>
    </row>
    <row r="34821" spans="7:7">
      <c r="G34821" s="812"/>
    </row>
    <row r="34822" spans="7:7">
      <c r="G34822" s="812"/>
    </row>
    <row r="34823" spans="7:7">
      <c r="G34823" s="812"/>
    </row>
    <row r="34824" spans="7:7">
      <c r="G34824" s="812"/>
    </row>
    <row r="34825" spans="7:7">
      <c r="G34825" s="812"/>
    </row>
    <row r="34826" spans="7:7">
      <c r="G34826" s="812"/>
    </row>
    <row r="34827" spans="7:7">
      <c r="G34827" s="812"/>
    </row>
    <row r="34828" spans="7:7">
      <c r="G34828" s="812"/>
    </row>
    <row r="34829" spans="7:7">
      <c r="G34829" s="812"/>
    </row>
    <row r="34830" spans="7:7">
      <c r="G34830" s="812"/>
    </row>
    <row r="34831" spans="7:7">
      <c r="G34831" s="812"/>
    </row>
    <row r="34832" spans="7:7">
      <c r="G34832" s="812"/>
    </row>
    <row r="34833" spans="7:7">
      <c r="G34833" s="812"/>
    </row>
    <row r="34834" spans="7:7">
      <c r="G34834" s="812"/>
    </row>
    <row r="34835" spans="7:7">
      <c r="G34835" s="812"/>
    </row>
    <row r="34836" spans="7:7">
      <c r="G34836" s="812"/>
    </row>
    <row r="34837" spans="7:7">
      <c r="G34837" s="812"/>
    </row>
    <row r="34838" spans="7:7">
      <c r="G34838" s="812"/>
    </row>
    <row r="34839" spans="7:7">
      <c r="G34839" s="812"/>
    </row>
    <row r="34840" spans="7:7">
      <c r="G34840" s="812"/>
    </row>
    <row r="34841" spans="7:7">
      <c r="G34841" s="812"/>
    </row>
    <row r="34842" spans="7:7">
      <c r="G34842" s="812"/>
    </row>
    <row r="34843" spans="7:7">
      <c r="G34843" s="812"/>
    </row>
    <row r="34844" spans="7:7">
      <c r="G34844" s="812"/>
    </row>
    <row r="34845" spans="7:7">
      <c r="G34845" s="812"/>
    </row>
    <row r="34846" spans="7:7">
      <c r="G34846" s="812"/>
    </row>
    <row r="34847" spans="7:7">
      <c r="G34847" s="812"/>
    </row>
    <row r="34848" spans="7:7">
      <c r="G34848" s="812"/>
    </row>
    <row r="34849" spans="7:7">
      <c r="G34849" s="812"/>
    </row>
    <row r="34850" spans="7:7">
      <c r="G34850" s="812"/>
    </row>
    <row r="34851" spans="7:7">
      <c r="G34851" s="812"/>
    </row>
    <row r="34852" spans="7:7">
      <c r="G34852" s="812"/>
    </row>
    <row r="34853" spans="7:7">
      <c r="G34853" s="812"/>
    </row>
    <row r="34854" spans="7:7">
      <c r="G34854" s="812"/>
    </row>
    <row r="34855" spans="7:7">
      <c r="G34855" s="812"/>
    </row>
    <row r="34856" spans="7:7">
      <c r="G34856" s="812"/>
    </row>
    <row r="34857" spans="7:7">
      <c r="G34857" s="812"/>
    </row>
    <row r="34858" spans="7:7">
      <c r="G34858" s="812"/>
    </row>
    <row r="34859" spans="7:7">
      <c r="G34859" s="812"/>
    </row>
    <row r="34860" spans="7:7">
      <c r="G34860" s="812"/>
    </row>
    <row r="34861" spans="7:7">
      <c r="G34861" s="812"/>
    </row>
    <row r="34862" spans="7:7">
      <c r="G34862" s="812"/>
    </row>
    <row r="34863" spans="7:7">
      <c r="G34863" s="812"/>
    </row>
    <row r="34864" spans="7:7">
      <c r="G34864" s="812"/>
    </row>
    <row r="34865" spans="7:7">
      <c r="G34865" s="812"/>
    </row>
    <row r="34866" spans="7:7">
      <c r="G34866" s="812"/>
    </row>
    <row r="34867" spans="7:7">
      <c r="G34867" s="812"/>
    </row>
    <row r="34868" spans="7:7">
      <c r="G34868" s="812"/>
    </row>
    <row r="34869" spans="7:7">
      <c r="G34869" s="812"/>
    </row>
    <row r="34870" spans="7:7">
      <c r="G34870" s="812"/>
    </row>
    <row r="34871" spans="7:7">
      <c r="G34871" s="812"/>
    </row>
    <row r="34872" spans="7:7">
      <c r="G34872" s="812"/>
    </row>
    <row r="34873" spans="7:7">
      <c r="G34873" s="812"/>
    </row>
    <row r="34874" spans="7:7">
      <c r="G34874" s="812"/>
    </row>
    <row r="34875" spans="7:7">
      <c r="G34875" s="812"/>
    </row>
    <row r="34876" spans="7:7">
      <c r="G34876" s="812"/>
    </row>
    <row r="34877" spans="7:7">
      <c r="G34877" s="812"/>
    </row>
    <row r="34878" spans="7:7">
      <c r="G34878" s="812"/>
    </row>
    <row r="34879" spans="7:7">
      <c r="G34879" s="812"/>
    </row>
    <row r="34880" spans="7:7">
      <c r="G34880" s="812"/>
    </row>
    <row r="34881" spans="7:7">
      <c r="G34881" s="812"/>
    </row>
    <row r="34882" spans="7:7">
      <c r="G34882" s="812"/>
    </row>
    <row r="34883" spans="7:7">
      <c r="G34883" s="812"/>
    </row>
    <row r="34884" spans="7:7">
      <c r="G34884" s="812"/>
    </row>
    <row r="34885" spans="7:7">
      <c r="G34885" s="812"/>
    </row>
    <row r="34886" spans="7:7">
      <c r="G34886" s="812"/>
    </row>
    <row r="34887" spans="7:7">
      <c r="G34887" s="812"/>
    </row>
    <row r="34888" spans="7:7">
      <c r="G34888" s="812"/>
    </row>
    <row r="34889" spans="7:7">
      <c r="G34889" s="812"/>
    </row>
    <row r="34890" spans="7:7">
      <c r="G34890" s="812"/>
    </row>
    <row r="34891" spans="7:7">
      <c r="G34891" s="812"/>
    </row>
    <row r="34892" spans="7:7">
      <c r="G34892" s="812"/>
    </row>
    <row r="34893" spans="7:7">
      <c r="G34893" s="812"/>
    </row>
    <row r="34894" spans="7:7">
      <c r="G34894" s="812"/>
    </row>
    <row r="34895" spans="7:7">
      <c r="G34895" s="812"/>
    </row>
    <row r="34896" spans="7:7">
      <c r="G34896" s="812"/>
    </row>
    <row r="34897" spans="7:7">
      <c r="G34897" s="812"/>
    </row>
    <row r="34898" spans="7:7">
      <c r="G34898" s="812"/>
    </row>
    <row r="34899" spans="7:7">
      <c r="G34899" s="812"/>
    </row>
    <row r="34900" spans="7:7">
      <c r="G34900" s="812"/>
    </row>
    <row r="34901" spans="7:7">
      <c r="G34901" s="812"/>
    </row>
    <row r="34902" spans="7:7">
      <c r="G34902" s="812"/>
    </row>
    <row r="34903" spans="7:7">
      <c r="G34903" s="812"/>
    </row>
    <row r="34904" spans="7:7">
      <c r="G34904" s="812"/>
    </row>
    <row r="34905" spans="7:7">
      <c r="G34905" s="812"/>
    </row>
    <row r="34906" spans="7:7">
      <c r="G34906" s="812"/>
    </row>
    <row r="34907" spans="7:7">
      <c r="G34907" s="812"/>
    </row>
    <row r="34908" spans="7:7">
      <c r="G34908" s="812"/>
    </row>
    <row r="34909" spans="7:7">
      <c r="G34909" s="812"/>
    </row>
    <row r="34910" spans="7:7">
      <c r="G34910" s="812"/>
    </row>
    <row r="34911" spans="7:7">
      <c r="G34911" s="812"/>
    </row>
    <row r="34912" spans="7:7">
      <c r="G34912" s="812"/>
    </row>
    <row r="34913" spans="7:7">
      <c r="G34913" s="812"/>
    </row>
    <row r="34914" spans="7:7">
      <c r="G34914" s="812"/>
    </row>
    <row r="34915" spans="7:7">
      <c r="G34915" s="812"/>
    </row>
    <row r="34916" spans="7:7">
      <c r="G34916" s="812"/>
    </row>
    <row r="34917" spans="7:7">
      <c r="G34917" s="812"/>
    </row>
    <row r="34918" spans="7:7">
      <c r="G34918" s="812"/>
    </row>
    <row r="34919" spans="7:7">
      <c r="G34919" s="812"/>
    </row>
    <row r="34920" spans="7:7">
      <c r="G34920" s="812"/>
    </row>
    <row r="34921" spans="7:7">
      <c r="G34921" s="812"/>
    </row>
    <row r="34922" spans="7:7">
      <c r="G34922" s="812"/>
    </row>
    <row r="34923" spans="7:7">
      <c r="G34923" s="812"/>
    </row>
    <row r="34924" spans="7:7">
      <c r="G34924" s="812"/>
    </row>
    <row r="34925" spans="7:7">
      <c r="G34925" s="812"/>
    </row>
    <row r="34926" spans="7:7">
      <c r="G34926" s="812"/>
    </row>
    <row r="34927" spans="7:7">
      <c r="G34927" s="812"/>
    </row>
    <row r="34928" spans="7:7">
      <c r="G34928" s="812"/>
    </row>
    <row r="34929" spans="7:7">
      <c r="G34929" s="812"/>
    </row>
    <row r="34930" spans="7:7">
      <c r="G34930" s="812"/>
    </row>
    <row r="34931" spans="7:7">
      <c r="G34931" s="812"/>
    </row>
    <row r="34932" spans="7:7">
      <c r="G34932" s="812"/>
    </row>
    <row r="34933" spans="7:7">
      <c r="G34933" s="812"/>
    </row>
    <row r="34934" spans="7:7">
      <c r="G34934" s="812"/>
    </row>
    <row r="34935" spans="7:7">
      <c r="G34935" s="812"/>
    </row>
    <row r="34936" spans="7:7">
      <c r="G34936" s="812"/>
    </row>
    <row r="34937" spans="7:7">
      <c r="G34937" s="812"/>
    </row>
    <row r="34938" spans="7:7">
      <c r="G34938" s="812"/>
    </row>
    <row r="34939" spans="7:7">
      <c r="G34939" s="812"/>
    </row>
    <row r="34940" spans="7:7">
      <c r="G34940" s="812"/>
    </row>
    <row r="34941" spans="7:7">
      <c r="G34941" s="812"/>
    </row>
    <row r="34942" spans="7:7">
      <c r="G34942" s="812"/>
    </row>
    <row r="34943" spans="7:7">
      <c r="G34943" s="812"/>
    </row>
    <row r="34944" spans="7:7">
      <c r="G34944" s="812"/>
    </row>
    <row r="34945" spans="7:7">
      <c r="G34945" s="812"/>
    </row>
    <row r="34946" spans="7:7">
      <c r="G34946" s="812"/>
    </row>
    <row r="34947" spans="7:7">
      <c r="G34947" s="812"/>
    </row>
    <row r="34948" spans="7:7">
      <c r="G34948" s="812"/>
    </row>
    <row r="34949" spans="7:7">
      <c r="G34949" s="812"/>
    </row>
    <row r="34950" spans="7:7">
      <c r="G34950" s="812"/>
    </row>
    <row r="34951" spans="7:7">
      <c r="G34951" s="812"/>
    </row>
    <row r="34952" spans="7:7">
      <c r="G34952" s="812"/>
    </row>
    <row r="34953" spans="7:7">
      <c r="G34953" s="812"/>
    </row>
    <row r="34954" spans="7:7">
      <c r="G34954" s="812"/>
    </row>
    <row r="34955" spans="7:7">
      <c r="G34955" s="812"/>
    </row>
    <row r="34956" spans="7:7">
      <c r="G34956" s="812"/>
    </row>
    <row r="34957" spans="7:7">
      <c r="G34957" s="812"/>
    </row>
    <row r="34958" spans="7:7">
      <c r="G34958" s="812"/>
    </row>
    <row r="34959" spans="7:7">
      <c r="G34959" s="812"/>
    </row>
    <row r="34960" spans="7:7">
      <c r="G34960" s="812"/>
    </row>
    <row r="34961" spans="7:7">
      <c r="G34961" s="812"/>
    </row>
    <row r="34962" spans="7:7">
      <c r="G34962" s="812"/>
    </row>
    <row r="34963" spans="7:7">
      <c r="G34963" s="812"/>
    </row>
    <row r="34964" spans="7:7">
      <c r="G34964" s="812"/>
    </row>
    <row r="34965" spans="7:7">
      <c r="G34965" s="812"/>
    </row>
    <row r="34966" spans="7:7">
      <c r="G34966" s="812"/>
    </row>
    <row r="34967" spans="7:7">
      <c r="G34967" s="812"/>
    </row>
    <row r="34968" spans="7:7">
      <c r="G34968" s="812"/>
    </row>
    <row r="34969" spans="7:7">
      <c r="G34969" s="812"/>
    </row>
    <row r="34970" spans="7:7">
      <c r="G34970" s="812"/>
    </row>
    <row r="34971" spans="7:7">
      <c r="G34971" s="812"/>
    </row>
    <row r="34972" spans="7:7">
      <c r="G34972" s="812"/>
    </row>
    <row r="34973" spans="7:7">
      <c r="G34973" s="812"/>
    </row>
    <row r="34974" spans="7:7">
      <c r="G34974" s="812"/>
    </row>
    <row r="34975" spans="7:7">
      <c r="G34975" s="812"/>
    </row>
    <row r="34976" spans="7:7">
      <c r="G34976" s="812"/>
    </row>
    <row r="34977" spans="7:7">
      <c r="G34977" s="812"/>
    </row>
    <row r="34978" spans="7:7">
      <c r="G34978" s="812"/>
    </row>
    <row r="34979" spans="7:7">
      <c r="G34979" s="812"/>
    </row>
    <row r="34980" spans="7:7">
      <c r="G34980" s="812"/>
    </row>
    <row r="34981" spans="7:7">
      <c r="G34981" s="812"/>
    </row>
    <row r="34982" spans="7:7">
      <c r="G34982" s="812"/>
    </row>
    <row r="34983" spans="7:7">
      <c r="G34983" s="812"/>
    </row>
    <row r="34984" spans="7:7">
      <c r="G34984" s="812"/>
    </row>
    <row r="34985" spans="7:7">
      <c r="G34985" s="812"/>
    </row>
    <row r="34986" spans="7:7">
      <c r="G34986" s="812"/>
    </row>
    <row r="34987" spans="7:7">
      <c r="G34987" s="812"/>
    </row>
    <row r="34988" spans="7:7">
      <c r="G34988" s="812"/>
    </row>
    <row r="34989" spans="7:7">
      <c r="G34989" s="812"/>
    </row>
    <row r="34990" spans="7:7">
      <c r="G34990" s="812"/>
    </row>
    <row r="34991" spans="7:7">
      <c r="G34991" s="812"/>
    </row>
    <row r="34992" spans="7:7">
      <c r="G34992" s="812"/>
    </row>
    <row r="34993" spans="7:7">
      <c r="G34993" s="812"/>
    </row>
    <row r="34994" spans="7:7">
      <c r="G34994" s="812"/>
    </row>
    <row r="34995" spans="7:7">
      <c r="G34995" s="812"/>
    </row>
    <row r="34996" spans="7:7">
      <c r="G34996" s="812"/>
    </row>
    <row r="34997" spans="7:7">
      <c r="G34997" s="812"/>
    </row>
    <row r="34998" spans="7:7">
      <c r="G34998" s="812"/>
    </row>
    <row r="34999" spans="7:7">
      <c r="G34999" s="812"/>
    </row>
    <row r="35000" spans="7:7">
      <c r="G35000" s="812"/>
    </row>
    <row r="35001" spans="7:7">
      <c r="G35001" s="812"/>
    </row>
    <row r="35002" spans="7:7">
      <c r="G35002" s="812"/>
    </row>
    <row r="35003" spans="7:7">
      <c r="G35003" s="812"/>
    </row>
    <row r="35004" spans="7:7">
      <c r="G35004" s="812"/>
    </row>
    <row r="35005" spans="7:7">
      <c r="G35005" s="812"/>
    </row>
    <row r="35006" spans="7:7">
      <c r="G35006" s="812"/>
    </row>
    <row r="35007" spans="7:7">
      <c r="G35007" s="812"/>
    </row>
    <row r="35008" spans="7:7">
      <c r="G35008" s="812"/>
    </row>
    <row r="35009" spans="7:7">
      <c r="G35009" s="812"/>
    </row>
    <row r="35010" spans="7:7">
      <c r="G35010" s="812"/>
    </row>
    <row r="35011" spans="7:7">
      <c r="G35011" s="812"/>
    </row>
    <row r="35012" spans="7:7">
      <c r="G35012" s="812"/>
    </row>
    <row r="35013" spans="7:7">
      <c r="G35013" s="812"/>
    </row>
    <row r="35014" spans="7:7">
      <c r="G35014" s="812"/>
    </row>
    <row r="35015" spans="7:7">
      <c r="G35015" s="812"/>
    </row>
    <row r="35016" spans="7:7">
      <c r="G35016" s="812"/>
    </row>
    <row r="35017" spans="7:7">
      <c r="G35017" s="812"/>
    </row>
    <row r="35018" spans="7:7">
      <c r="G35018" s="812"/>
    </row>
    <row r="35019" spans="7:7">
      <c r="G35019" s="812"/>
    </row>
    <row r="35020" spans="7:7">
      <c r="G35020" s="812"/>
    </row>
    <row r="35021" spans="7:7">
      <c r="G35021" s="812"/>
    </row>
    <row r="35022" spans="7:7">
      <c r="G35022" s="812"/>
    </row>
    <row r="35023" spans="7:7">
      <c r="G35023" s="812"/>
    </row>
    <row r="35024" spans="7:7">
      <c r="G35024" s="812"/>
    </row>
    <row r="35025" spans="7:7">
      <c r="G35025" s="812"/>
    </row>
    <row r="35026" spans="7:7">
      <c r="G35026" s="812"/>
    </row>
    <row r="35027" spans="7:7">
      <c r="G35027" s="812"/>
    </row>
    <row r="35028" spans="7:7">
      <c r="G35028" s="812"/>
    </row>
    <row r="35029" spans="7:7">
      <c r="G35029" s="812"/>
    </row>
    <row r="35030" spans="7:7">
      <c r="G35030" s="812"/>
    </row>
    <row r="35031" spans="7:7">
      <c r="G35031" s="812"/>
    </row>
    <row r="35032" spans="7:7">
      <c r="G35032" s="812"/>
    </row>
    <row r="35033" spans="7:7">
      <c r="G35033" s="812"/>
    </row>
    <row r="35034" spans="7:7">
      <c r="G35034" s="812"/>
    </row>
    <row r="35035" spans="7:7">
      <c r="G35035" s="812"/>
    </row>
    <row r="35036" spans="7:7">
      <c r="G35036" s="812"/>
    </row>
    <row r="35037" spans="7:7">
      <c r="G35037" s="812"/>
    </row>
    <row r="35038" spans="7:7">
      <c r="G35038" s="812"/>
    </row>
    <row r="35039" spans="7:7">
      <c r="G35039" s="812"/>
    </row>
    <row r="35040" spans="7:7">
      <c r="G35040" s="812"/>
    </row>
    <row r="35041" spans="7:7">
      <c r="G35041" s="812"/>
    </row>
    <row r="35042" spans="7:7">
      <c r="G35042" s="812"/>
    </row>
    <row r="35043" spans="7:7">
      <c r="G35043" s="812"/>
    </row>
    <row r="35044" spans="7:7">
      <c r="G35044" s="812"/>
    </row>
    <row r="35045" spans="7:7">
      <c r="G35045" s="812"/>
    </row>
    <row r="35046" spans="7:7">
      <c r="G35046" s="812"/>
    </row>
    <row r="35047" spans="7:7">
      <c r="G35047" s="812"/>
    </row>
    <row r="35048" spans="7:7">
      <c r="G35048" s="812"/>
    </row>
    <row r="35049" spans="7:7">
      <c r="G35049" s="812"/>
    </row>
    <row r="35050" spans="7:7">
      <c r="G35050" s="812"/>
    </row>
    <row r="35051" spans="7:7">
      <c r="G35051" s="812"/>
    </row>
    <row r="35052" spans="7:7">
      <c r="G35052" s="812"/>
    </row>
    <row r="35053" spans="7:7">
      <c r="G35053" s="812"/>
    </row>
    <row r="35054" spans="7:7">
      <c r="G35054" s="812"/>
    </row>
    <row r="35055" spans="7:7">
      <c r="G35055" s="812"/>
    </row>
    <row r="35056" spans="7:7">
      <c r="G35056" s="812"/>
    </row>
    <row r="35057" spans="7:7">
      <c r="G35057" s="812"/>
    </row>
    <row r="35058" spans="7:7">
      <c r="G35058" s="812"/>
    </row>
    <row r="35059" spans="7:7">
      <c r="G35059" s="812"/>
    </row>
    <row r="35060" spans="7:7">
      <c r="G35060" s="812"/>
    </row>
    <row r="35061" spans="7:7">
      <c r="G35061" s="812"/>
    </row>
    <row r="35062" spans="7:7">
      <c r="G35062" s="812"/>
    </row>
    <row r="35063" spans="7:7">
      <c r="G35063" s="812"/>
    </row>
    <row r="35064" spans="7:7">
      <c r="G35064" s="812"/>
    </row>
    <row r="35065" spans="7:7">
      <c r="G35065" s="812"/>
    </row>
    <row r="35066" spans="7:7">
      <c r="G35066" s="812"/>
    </row>
    <row r="35067" spans="7:7">
      <c r="G35067" s="812"/>
    </row>
    <row r="35068" spans="7:7">
      <c r="G35068" s="812"/>
    </row>
    <row r="35069" spans="7:7">
      <c r="G35069" s="812"/>
    </row>
    <row r="35070" spans="7:7">
      <c r="G35070" s="812"/>
    </row>
    <row r="35071" spans="7:7">
      <c r="G35071" s="812"/>
    </row>
    <row r="35072" spans="7:7">
      <c r="G35072" s="812"/>
    </row>
    <row r="35073" spans="7:7">
      <c r="G35073" s="812"/>
    </row>
    <row r="35074" spans="7:7">
      <c r="G35074" s="812"/>
    </row>
    <row r="35075" spans="7:7">
      <c r="G35075" s="812"/>
    </row>
    <row r="35076" spans="7:7">
      <c r="G35076" s="812"/>
    </row>
    <row r="35077" spans="7:7">
      <c r="G35077" s="812"/>
    </row>
    <row r="35078" spans="7:7">
      <c r="G35078" s="812"/>
    </row>
    <row r="35079" spans="7:7">
      <c r="G35079" s="812"/>
    </row>
    <row r="35080" spans="7:7">
      <c r="G35080" s="812"/>
    </row>
    <row r="35081" spans="7:7">
      <c r="G35081" s="812"/>
    </row>
    <row r="35082" spans="7:7">
      <c r="G35082" s="812"/>
    </row>
    <row r="35083" spans="7:7">
      <c r="G35083" s="812"/>
    </row>
    <row r="35084" spans="7:7">
      <c r="G35084" s="812"/>
    </row>
    <row r="35085" spans="7:7">
      <c r="G35085" s="812"/>
    </row>
    <row r="35086" spans="7:7">
      <c r="G35086" s="812"/>
    </row>
    <row r="35087" spans="7:7">
      <c r="G35087" s="812"/>
    </row>
    <row r="35088" spans="7:7">
      <c r="G35088" s="812"/>
    </row>
    <row r="35089" spans="7:7">
      <c r="G35089" s="812"/>
    </row>
    <row r="35090" spans="7:7">
      <c r="G35090" s="812"/>
    </row>
    <row r="35091" spans="7:7">
      <c r="G35091" s="812"/>
    </row>
    <row r="35092" spans="7:7">
      <c r="G35092" s="812"/>
    </row>
    <row r="35093" spans="7:7">
      <c r="G35093" s="812"/>
    </row>
    <row r="35094" spans="7:7">
      <c r="G35094" s="812"/>
    </row>
    <row r="35095" spans="7:7">
      <c r="G35095" s="812"/>
    </row>
    <row r="35096" spans="7:7">
      <c r="G35096" s="812"/>
    </row>
    <row r="35097" spans="7:7">
      <c r="G35097" s="812"/>
    </row>
    <row r="35098" spans="7:7">
      <c r="G35098" s="812"/>
    </row>
    <row r="35099" spans="7:7">
      <c r="G35099" s="812"/>
    </row>
    <row r="35100" spans="7:7">
      <c r="G35100" s="812"/>
    </row>
    <row r="35101" spans="7:7">
      <c r="G35101" s="812"/>
    </row>
    <row r="35102" spans="7:7">
      <c r="G35102" s="812"/>
    </row>
    <row r="35103" spans="7:7">
      <c r="G35103" s="812"/>
    </row>
    <row r="35104" spans="7:7">
      <c r="G35104" s="812"/>
    </row>
    <row r="35105" spans="7:7">
      <c r="G35105" s="812"/>
    </row>
    <row r="35106" spans="7:7">
      <c r="G35106" s="812"/>
    </row>
    <row r="35107" spans="7:7">
      <c r="G35107" s="812"/>
    </row>
    <row r="35108" spans="7:7">
      <c r="G35108" s="812"/>
    </row>
    <row r="35109" spans="7:7">
      <c r="G35109" s="812"/>
    </row>
    <row r="35110" spans="7:7">
      <c r="G35110" s="812"/>
    </row>
    <row r="35111" spans="7:7">
      <c r="G35111" s="812"/>
    </row>
    <row r="35112" spans="7:7">
      <c r="G35112" s="812"/>
    </row>
    <row r="35113" spans="7:7">
      <c r="G35113" s="812"/>
    </row>
    <row r="35114" spans="7:7">
      <c r="G35114" s="812"/>
    </row>
    <row r="35115" spans="7:7">
      <c r="G35115" s="812"/>
    </row>
    <row r="35116" spans="7:7">
      <c r="G35116" s="812"/>
    </row>
    <row r="35117" spans="7:7">
      <c r="G35117" s="812"/>
    </row>
    <row r="35118" spans="7:7">
      <c r="G35118" s="812"/>
    </row>
    <row r="35119" spans="7:7">
      <c r="G35119" s="812"/>
    </row>
    <row r="35120" spans="7:7">
      <c r="G35120" s="812"/>
    </row>
    <row r="35121" spans="7:7">
      <c r="G35121" s="812"/>
    </row>
    <row r="35122" spans="7:7">
      <c r="G35122" s="812"/>
    </row>
    <row r="35123" spans="7:7">
      <c r="G35123" s="812"/>
    </row>
    <row r="35124" spans="7:7">
      <c r="G35124" s="812"/>
    </row>
    <row r="35125" spans="7:7">
      <c r="G35125" s="812"/>
    </row>
    <row r="35126" spans="7:7">
      <c r="G35126" s="812"/>
    </row>
    <row r="35127" spans="7:7">
      <c r="G35127" s="812"/>
    </row>
    <row r="35128" spans="7:7">
      <c r="G35128" s="812"/>
    </row>
    <row r="35129" spans="7:7">
      <c r="G35129" s="812"/>
    </row>
    <row r="35130" spans="7:7">
      <c r="G35130" s="812"/>
    </row>
    <row r="35131" spans="7:7">
      <c r="G35131" s="812"/>
    </row>
    <row r="35132" spans="7:7">
      <c r="G35132" s="812"/>
    </row>
    <row r="35133" spans="7:7">
      <c r="G35133" s="812"/>
    </row>
    <row r="35134" spans="7:7">
      <c r="G35134" s="812"/>
    </row>
    <row r="35135" spans="7:7">
      <c r="G35135" s="812"/>
    </row>
    <row r="35136" spans="7:7">
      <c r="G35136" s="812"/>
    </row>
    <row r="35137" spans="7:7">
      <c r="G35137" s="812"/>
    </row>
    <row r="35138" spans="7:7">
      <c r="G35138" s="812"/>
    </row>
    <row r="35139" spans="7:7">
      <c r="G35139" s="812"/>
    </row>
    <row r="35140" spans="7:7">
      <c r="G35140" s="812"/>
    </row>
    <row r="35141" spans="7:7">
      <c r="G35141" s="812"/>
    </row>
    <row r="35142" spans="7:7">
      <c r="G35142" s="812"/>
    </row>
    <row r="35143" spans="7:7">
      <c r="G35143" s="812"/>
    </row>
    <row r="35144" spans="7:7">
      <c r="G35144" s="812"/>
    </row>
    <row r="35145" spans="7:7">
      <c r="G35145" s="812"/>
    </row>
    <row r="35146" spans="7:7">
      <c r="G35146" s="812"/>
    </row>
    <row r="35147" spans="7:7">
      <c r="G35147" s="812"/>
    </row>
    <row r="35148" spans="7:7">
      <c r="G35148" s="812"/>
    </row>
    <row r="35149" spans="7:7">
      <c r="G35149" s="812"/>
    </row>
    <row r="35150" spans="7:7">
      <c r="G35150" s="812"/>
    </row>
    <row r="35151" spans="7:7">
      <c r="G35151" s="812"/>
    </row>
    <row r="35152" spans="7:7">
      <c r="G35152" s="812"/>
    </row>
    <row r="35153" spans="7:7">
      <c r="G35153" s="812"/>
    </row>
    <row r="35154" spans="7:7">
      <c r="G35154" s="812"/>
    </row>
    <row r="35155" spans="7:7">
      <c r="G35155" s="812"/>
    </row>
    <row r="35156" spans="7:7">
      <c r="G35156" s="812"/>
    </row>
    <row r="35157" spans="7:7">
      <c r="G35157" s="812"/>
    </row>
    <row r="35158" spans="7:7">
      <c r="G35158" s="812"/>
    </row>
    <row r="35159" spans="7:7">
      <c r="G35159" s="812"/>
    </row>
    <row r="35160" spans="7:7">
      <c r="G35160" s="812"/>
    </row>
    <row r="35161" spans="7:7">
      <c r="G35161" s="812"/>
    </row>
    <row r="35162" spans="7:7">
      <c r="G35162" s="812"/>
    </row>
    <row r="35163" spans="7:7">
      <c r="G35163" s="812"/>
    </row>
    <row r="35164" spans="7:7">
      <c r="G35164" s="812"/>
    </row>
    <row r="35165" spans="7:7">
      <c r="G35165" s="812"/>
    </row>
    <row r="35166" spans="7:7">
      <c r="G35166" s="812"/>
    </row>
    <row r="35167" spans="7:7">
      <c r="G35167" s="812"/>
    </row>
    <row r="35168" spans="7:7">
      <c r="G35168" s="812"/>
    </row>
    <row r="35169" spans="7:7">
      <c r="G35169" s="812"/>
    </row>
    <row r="35170" spans="7:7">
      <c r="G35170" s="812"/>
    </row>
    <row r="35171" spans="7:7">
      <c r="G35171" s="812"/>
    </row>
    <row r="35172" spans="7:7">
      <c r="G35172" s="812"/>
    </row>
    <row r="35173" spans="7:7">
      <c r="G35173" s="812"/>
    </row>
    <row r="35174" spans="7:7">
      <c r="G35174" s="812"/>
    </row>
    <row r="35175" spans="7:7">
      <c r="G35175" s="812"/>
    </row>
    <row r="35176" spans="7:7">
      <c r="G35176" s="812"/>
    </row>
    <row r="35177" spans="7:7">
      <c r="G35177" s="812"/>
    </row>
    <row r="35178" spans="7:7">
      <c r="G35178" s="812"/>
    </row>
    <row r="35179" spans="7:7">
      <c r="G35179" s="812"/>
    </row>
    <row r="35180" spans="7:7">
      <c r="G35180" s="812"/>
    </row>
    <row r="35181" spans="7:7">
      <c r="G35181" s="812"/>
    </row>
    <row r="35182" spans="7:7">
      <c r="G35182" s="812"/>
    </row>
    <row r="35183" spans="7:7">
      <c r="G35183" s="812"/>
    </row>
    <row r="35184" spans="7:7">
      <c r="G35184" s="812"/>
    </row>
    <row r="35185" spans="7:7">
      <c r="G35185" s="812"/>
    </row>
    <row r="35186" spans="7:7">
      <c r="G35186" s="812"/>
    </row>
    <row r="35187" spans="7:7">
      <c r="G35187" s="812"/>
    </row>
    <row r="35188" spans="7:7">
      <c r="G35188" s="812"/>
    </row>
    <row r="35189" spans="7:7">
      <c r="G35189" s="812"/>
    </row>
    <row r="35190" spans="7:7">
      <c r="G35190" s="812"/>
    </row>
    <row r="35191" spans="7:7">
      <c r="G35191" s="812"/>
    </row>
    <row r="35192" spans="7:7">
      <c r="G35192" s="812"/>
    </row>
    <row r="35193" spans="7:7">
      <c r="G35193" s="812"/>
    </row>
    <row r="35194" spans="7:7">
      <c r="G35194" s="812"/>
    </row>
    <row r="35195" spans="7:7">
      <c r="G35195" s="812"/>
    </row>
    <row r="35196" spans="7:7">
      <c r="G35196" s="812"/>
    </row>
    <row r="35197" spans="7:7">
      <c r="G35197" s="812"/>
    </row>
    <row r="35198" spans="7:7">
      <c r="G35198" s="812"/>
    </row>
    <row r="35199" spans="7:7">
      <c r="G35199" s="812"/>
    </row>
    <row r="35200" spans="7:7">
      <c r="G35200" s="812"/>
    </row>
    <row r="35201" spans="7:7">
      <c r="G35201" s="812"/>
    </row>
    <row r="35202" spans="7:7">
      <c r="G35202" s="812"/>
    </row>
    <row r="35203" spans="7:7">
      <c r="G35203" s="812"/>
    </row>
    <row r="35204" spans="7:7">
      <c r="G35204" s="812"/>
    </row>
    <row r="35205" spans="7:7">
      <c r="G35205" s="812"/>
    </row>
    <row r="35206" spans="7:7">
      <c r="G35206" s="812"/>
    </row>
    <row r="35207" spans="7:7">
      <c r="G35207" s="812"/>
    </row>
    <row r="35208" spans="7:7">
      <c r="G35208" s="812"/>
    </row>
    <row r="35209" spans="7:7">
      <c r="G35209" s="812"/>
    </row>
    <row r="35210" spans="7:7">
      <c r="G35210" s="812"/>
    </row>
    <row r="35211" spans="7:7">
      <c r="G35211" s="812"/>
    </row>
    <row r="35212" spans="7:7">
      <c r="G35212" s="812"/>
    </row>
    <row r="35213" spans="7:7">
      <c r="G35213" s="812"/>
    </row>
    <row r="35214" spans="7:7">
      <c r="G35214" s="812"/>
    </row>
    <row r="35215" spans="7:7">
      <c r="G35215" s="812"/>
    </row>
    <row r="35216" spans="7:7">
      <c r="G35216" s="812"/>
    </row>
    <row r="35217" spans="7:7">
      <c r="G35217" s="812"/>
    </row>
    <row r="35218" spans="7:7">
      <c r="G35218" s="812"/>
    </row>
    <row r="35219" spans="7:7">
      <c r="G35219" s="812"/>
    </row>
    <row r="35220" spans="7:7">
      <c r="G35220" s="812"/>
    </row>
    <row r="35221" spans="7:7">
      <c r="G35221" s="812"/>
    </row>
    <row r="35222" spans="7:7">
      <c r="G35222" s="812"/>
    </row>
    <row r="35223" spans="7:7">
      <c r="G35223" s="812"/>
    </row>
    <row r="35224" spans="7:7">
      <c r="G35224" s="812"/>
    </row>
    <row r="35225" spans="7:7">
      <c r="G35225" s="812"/>
    </row>
    <row r="35226" spans="7:7">
      <c r="G35226" s="812"/>
    </row>
    <row r="35227" spans="7:7">
      <c r="G35227" s="812"/>
    </row>
    <row r="35228" spans="7:7">
      <c r="G35228" s="812"/>
    </row>
    <row r="35229" spans="7:7">
      <c r="G35229" s="812"/>
    </row>
    <row r="35230" spans="7:7">
      <c r="G35230" s="812"/>
    </row>
    <row r="35231" spans="7:7">
      <c r="G35231" s="812"/>
    </row>
    <row r="35232" spans="7:7">
      <c r="G35232" s="812"/>
    </row>
    <row r="35233" spans="7:7">
      <c r="G35233" s="812"/>
    </row>
    <row r="35234" spans="7:7">
      <c r="G35234" s="812"/>
    </row>
    <row r="35235" spans="7:7">
      <c r="G35235" s="812"/>
    </row>
    <row r="35236" spans="7:7">
      <c r="G35236" s="812"/>
    </row>
    <row r="35237" spans="7:7">
      <c r="G35237" s="812"/>
    </row>
    <row r="35238" spans="7:7">
      <c r="G35238" s="812"/>
    </row>
    <row r="35239" spans="7:7">
      <c r="G35239" s="812"/>
    </row>
    <row r="35240" spans="7:7">
      <c r="G35240" s="812"/>
    </row>
    <row r="35241" spans="7:7">
      <c r="G35241" s="812"/>
    </row>
    <row r="35242" spans="7:7">
      <c r="G35242" s="812"/>
    </row>
    <row r="35243" spans="7:7">
      <c r="G35243" s="812"/>
    </row>
    <row r="35244" spans="7:7">
      <c r="G35244" s="812"/>
    </row>
    <row r="35245" spans="7:7">
      <c r="G35245" s="812"/>
    </row>
    <row r="35246" spans="7:7">
      <c r="G35246" s="812"/>
    </row>
    <row r="35247" spans="7:7">
      <c r="G35247" s="812"/>
    </row>
    <row r="35248" spans="7:7">
      <c r="G35248" s="812"/>
    </row>
    <row r="35249" spans="7:7">
      <c r="G35249" s="812"/>
    </row>
    <row r="35250" spans="7:7">
      <c r="G35250" s="812"/>
    </row>
    <row r="35251" spans="7:7">
      <c r="G35251" s="812"/>
    </row>
    <row r="35252" spans="7:7">
      <c r="G35252" s="812"/>
    </row>
    <row r="35253" spans="7:7">
      <c r="G35253" s="812"/>
    </row>
    <row r="35254" spans="7:7">
      <c r="G35254" s="812"/>
    </row>
    <row r="35255" spans="7:7">
      <c r="G35255" s="812"/>
    </row>
    <row r="35256" spans="7:7">
      <c r="G35256" s="812"/>
    </row>
    <row r="35257" spans="7:7">
      <c r="G35257" s="812"/>
    </row>
    <row r="35258" spans="7:7">
      <c r="G35258" s="812"/>
    </row>
    <row r="35259" spans="7:7">
      <c r="G35259" s="812"/>
    </row>
    <row r="35260" spans="7:7">
      <c r="G35260" s="812"/>
    </row>
    <row r="35261" spans="7:7">
      <c r="G35261" s="812"/>
    </row>
    <row r="35262" spans="7:7">
      <c r="G35262" s="812"/>
    </row>
    <row r="35263" spans="7:7">
      <c r="G35263" s="812"/>
    </row>
    <row r="35264" spans="7:7">
      <c r="G35264" s="812"/>
    </row>
    <row r="35265" spans="7:7">
      <c r="G35265" s="812"/>
    </row>
    <row r="35266" spans="7:7">
      <c r="G35266" s="812"/>
    </row>
    <row r="35267" spans="7:7">
      <c r="G35267" s="812"/>
    </row>
    <row r="35268" spans="7:7">
      <c r="G35268" s="812"/>
    </row>
    <row r="35269" spans="7:7">
      <c r="G35269" s="812"/>
    </row>
    <row r="35270" spans="7:7">
      <c r="G35270" s="812"/>
    </row>
    <row r="35271" spans="7:7">
      <c r="G35271" s="812"/>
    </row>
    <row r="35272" spans="7:7">
      <c r="G35272" s="812"/>
    </row>
    <row r="35273" spans="7:7">
      <c r="G35273" s="812"/>
    </row>
    <row r="35274" spans="7:7">
      <c r="G35274" s="812"/>
    </row>
    <row r="35275" spans="7:7">
      <c r="G35275" s="812"/>
    </row>
    <row r="35276" spans="7:7">
      <c r="G35276" s="812"/>
    </row>
    <row r="35277" spans="7:7">
      <c r="G35277" s="812"/>
    </row>
    <row r="35278" spans="7:7">
      <c r="G35278" s="812"/>
    </row>
    <row r="35279" spans="7:7">
      <c r="G35279" s="812"/>
    </row>
    <row r="35280" spans="7:7">
      <c r="G35280" s="812"/>
    </row>
    <row r="35281" spans="7:7">
      <c r="G35281" s="812"/>
    </row>
    <row r="35282" spans="7:7">
      <c r="G35282" s="812"/>
    </row>
    <row r="35283" spans="7:7">
      <c r="G35283" s="812"/>
    </row>
    <row r="35284" spans="7:7">
      <c r="G35284" s="812"/>
    </row>
    <row r="35285" spans="7:7">
      <c r="G35285" s="812"/>
    </row>
    <row r="35286" spans="7:7">
      <c r="G35286" s="812"/>
    </row>
    <row r="35287" spans="7:7">
      <c r="G35287" s="812"/>
    </row>
    <row r="35288" spans="7:7">
      <c r="G35288" s="812"/>
    </row>
    <row r="35289" spans="7:7">
      <c r="G35289" s="812"/>
    </row>
    <row r="35290" spans="7:7">
      <c r="G35290" s="812"/>
    </row>
    <row r="35291" spans="7:7">
      <c r="G35291" s="812"/>
    </row>
    <row r="35292" spans="7:7">
      <c r="G35292" s="812"/>
    </row>
    <row r="35293" spans="7:7">
      <c r="G35293" s="812"/>
    </row>
    <row r="35294" spans="7:7">
      <c r="G35294" s="812"/>
    </row>
    <row r="35295" spans="7:7">
      <c r="G35295" s="812"/>
    </row>
    <row r="35296" spans="7:7">
      <c r="G35296" s="812"/>
    </row>
    <row r="35297" spans="7:7">
      <c r="G35297" s="812"/>
    </row>
    <row r="35298" spans="7:7">
      <c r="G35298" s="812"/>
    </row>
    <row r="35299" spans="7:7">
      <c r="G35299" s="812"/>
    </row>
    <row r="35300" spans="7:7">
      <c r="G35300" s="812"/>
    </row>
    <row r="35301" spans="7:7">
      <c r="G35301" s="812"/>
    </row>
    <row r="35302" spans="7:7">
      <c r="G35302" s="812"/>
    </row>
    <row r="35303" spans="7:7">
      <c r="G35303" s="812"/>
    </row>
    <row r="35304" spans="7:7">
      <c r="G35304" s="812"/>
    </row>
    <row r="35305" spans="7:7">
      <c r="G35305" s="812"/>
    </row>
    <row r="35306" spans="7:7">
      <c r="G35306" s="812"/>
    </row>
    <row r="35307" spans="7:7">
      <c r="G35307" s="812"/>
    </row>
    <row r="35308" spans="7:7">
      <c r="G35308" s="812"/>
    </row>
    <row r="35309" spans="7:7">
      <c r="G35309" s="812"/>
    </row>
    <row r="35310" spans="7:7">
      <c r="G35310" s="812"/>
    </row>
    <row r="35311" spans="7:7">
      <c r="G35311" s="812"/>
    </row>
    <row r="35312" spans="7:7">
      <c r="G35312" s="812"/>
    </row>
    <row r="35313" spans="7:7">
      <c r="G35313" s="812"/>
    </row>
    <row r="35314" spans="7:7">
      <c r="G35314" s="812"/>
    </row>
    <row r="35315" spans="7:7">
      <c r="G35315" s="812"/>
    </row>
    <row r="35316" spans="7:7">
      <c r="G35316" s="812"/>
    </row>
    <row r="35317" spans="7:7">
      <c r="G35317" s="812"/>
    </row>
    <row r="35318" spans="7:7">
      <c r="G35318" s="812"/>
    </row>
    <row r="35319" spans="7:7">
      <c r="G35319" s="812"/>
    </row>
    <row r="35320" spans="7:7">
      <c r="G35320" s="812"/>
    </row>
    <row r="35321" spans="7:7">
      <c r="G35321" s="812"/>
    </row>
    <row r="35322" spans="7:7">
      <c r="G35322" s="812"/>
    </row>
    <row r="35323" spans="7:7">
      <c r="G35323" s="812"/>
    </row>
    <row r="35324" spans="7:7">
      <c r="G35324" s="812"/>
    </row>
    <row r="35325" spans="7:7">
      <c r="G35325" s="812"/>
    </row>
    <row r="35326" spans="7:7">
      <c r="G35326" s="812"/>
    </row>
    <row r="35327" spans="7:7">
      <c r="G35327" s="812"/>
    </row>
    <row r="35328" spans="7:7">
      <c r="G35328" s="812"/>
    </row>
    <row r="35329" spans="7:7">
      <c r="G35329" s="812"/>
    </row>
    <row r="35330" spans="7:7">
      <c r="G35330" s="812"/>
    </row>
    <row r="35331" spans="7:7">
      <c r="G35331" s="812"/>
    </row>
    <row r="35332" spans="7:7">
      <c r="G35332" s="812"/>
    </row>
    <row r="35333" spans="7:7">
      <c r="G35333" s="812"/>
    </row>
    <row r="35334" spans="7:7">
      <c r="G35334" s="812"/>
    </row>
    <row r="35335" spans="7:7">
      <c r="G35335" s="812"/>
    </row>
    <row r="35336" spans="7:7">
      <c r="G35336" s="812"/>
    </row>
    <row r="35337" spans="7:7">
      <c r="G35337" s="812"/>
    </row>
    <row r="35338" spans="7:7">
      <c r="G35338" s="812"/>
    </row>
    <row r="35339" spans="7:7">
      <c r="G35339" s="812"/>
    </row>
    <row r="35340" spans="7:7">
      <c r="G35340" s="812"/>
    </row>
    <row r="35341" spans="7:7">
      <c r="G35341" s="812"/>
    </row>
    <row r="35342" spans="7:7">
      <c r="G35342" s="812"/>
    </row>
    <row r="35343" spans="7:7">
      <c r="G35343" s="812"/>
    </row>
    <row r="35344" spans="7:7">
      <c r="G35344" s="812"/>
    </row>
    <row r="35345" spans="7:7">
      <c r="G35345" s="812"/>
    </row>
    <row r="35346" spans="7:7">
      <c r="G35346" s="812"/>
    </row>
    <row r="35347" spans="7:7">
      <c r="G35347" s="812"/>
    </row>
    <row r="35348" spans="7:7">
      <c r="G35348" s="812"/>
    </row>
    <row r="35349" spans="7:7">
      <c r="G35349" s="812"/>
    </row>
    <row r="35350" spans="7:7">
      <c r="G35350" s="812"/>
    </row>
    <row r="35351" spans="7:7">
      <c r="G35351" s="812"/>
    </row>
    <row r="35352" spans="7:7">
      <c r="G35352" s="812"/>
    </row>
    <row r="35353" spans="7:7">
      <c r="G35353" s="812"/>
    </row>
    <row r="35354" spans="7:7">
      <c r="G35354" s="812"/>
    </row>
    <row r="35355" spans="7:7">
      <c r="G35355" s="812"/>
    </row>
    <row r="35356" spans="7:7">
      <c r="G35356" s="812"/>
    </row>
    <row r="35357" spans="7:7">
      <c r="G35357" s="812"/>
    </row>
    <row r="35358" spans="7:7">
      <c r="G35358" s="812"/>
    </row>
    <row r="35359" spans="7:7">
      <c r="G35359" s="812"/>
    </row>
    <row r="35360" spans="7:7">
      <c r="G35360" s="812"/>
    </row>
    <row r="35361" spans="7:7">
      <c r="G35361" s="812"/>
    </row>
    <row r="35362" spans="7:7">
      <c r="G35362" s="812"/>
    </row>
    <row r="35363" spans="7:7">
      <c r="G35363" s="812"/>
    </row>
    <row r="35364" spans="7:7">
      <c r="G35364" s="812"/>
    </row>
    <row r="35365" spans="7:7">
      <c r="G35365" s="812"/>
    </row>
    <row r="35366" spans="7:7">
      <c r="G35366" s="812"/>
    </row>
    <row r="35367" spans="7:7">
      <c r="G35367" s="812"/>
    </row>
    <row r="35368" spans="7:7">
      <c r="G35368" s="812"/>
    </row>
    <row r="35369" spans="7:7">
      <c r="G35369" s="812"/>
    </row>
    <row r="35370" spans="7:7">
      <c r="G35370" s="812"/>
    </row>
    <row r="35371" spans="7:7">
      <c r="G35371" s="812"/>
    </row>
    <row r="35372" spans="7:7">
      <c r="G35372" s="812"/>
    </row>
    <row r="35373" spans="7:7">
      <c r="G35373" s="812"/>
    </row>
    <row r="35374" spans="7:7">
      <c r="G35374" s="812"/>
    </row>
    <row r="35375" spans="7:7">
      <c r="G35375" s="812"/>
    </row>
    <row r="35376" spans="7:7">
      <c r="G35376" s="812"/>
    </row>
    <row r="35377" spans="7:7">
      <c r="G35377" s="812"/>
    </row>
    <row r="35378" spans="7:7">
      <c r="G35378" s="812"/>
    </row>
    <row r="35379" spans="7:7">
      <c r="G35379" s="812"/>
    </row>
    <row r="35380" spans="7:7">
      <c r="G35380" s="812"/>
    </row>
    <row r="35381" spans="7:7">
      <c r="G35381" s="812"/>
    </row>
    <row r="35382" spans="7:7">
      <c r="G35382" s="812"/>
    </row>
    <row r="35383" spans="7:7">
      <c r="G35383" s="812"/>
    </row>
    <row r="35384" spans="7:7">
      <c r="G35384" s="812"/>
    </row>
    <row r="35385" spans="7:7">
      <c r="G35385" s="812"/>
    </row>
    <row r="35386" spans="7:7">
      <c r="G35386" s="812"/>
    </row>
    <row r="35387" spans="7:7">
      <c r="G35387" s="812"/>
    </row>
    <row r="35388" spans="7:7">
      <c r="G35388" s="812"/>
    </row>
    <row r="35389" spans="7:7">
      <c r="G35389" s="812"/>
    </row>
    <row r="35390" spans="7:7">
      <c r="G35390" s="812"/>
    </row>
    <row r="35391" spans="7:7">
      <c r="G35391" s="812"/>
    </row>
    <row r="35392" spans="7:7">
      <c r="G35392" s="812"/>
    </row>
    <row r="35393" spans="7:7">
      <c r="G35393" s="812"/>
    </row>
    <row r="35394" spans="7:7">
      <c r="G35394" s="812"/>
    </row>
    <row r="35395" spans="7:7">
      <c r="G35395" s="812"/>
    </row>
    <row r="35396" spans="7:7">
      <c r="G35396" s="812"/>
    </row>
    <row r="35397" spans="7:7">
      <c r="G35397" s="812"/>
    </row>
    <row r="35398" spans="7:7">
      <c r="G35398" s="812"/>
    </row>
    <row r="35399" spans="7:7">
      <c r="G35399" s="812"/>
    </row>
    <row r="35400" spans="7:7">
      <c r="G35400" s="812"/>
    </row>
    <row r="35401" spans="7:7">
      <c r="G35401" s="812"/>
    </row>
    <row r="35402" spans="7:7">
      <c r="G35402" s="812"/>
    </row>
    <row r="35403" spans="7:7">
      <c r="G35403" s="812"/>
    </row>
    <row r="35404" spans="7:7">
      <c r="G35404" s="812"/>
    </row>
    <row r="35405" spans="7:7">
      <c r="G35405" s="812"/>
    </row>
    <row r="35406" spans="7:7">
      <c r="G35406" s="812"/>
    </row>
    <row r="35407" spans="7:7">
      <c r="G35407" s="812"/>
    </row>
    <row r="35408" spans="7:7">
      <c r="G35408" s="812"/>
    </row>
    <row r="35409" spans="7:7">
      <c r="G35409" s="812"/>
    </row>
    <row r="35410" spans="7:7">
      <c r="G35410" s="812"/>
    </row>
    <row r="35411" spans="7:7">
      <c r="G35411" s="812"/>
    </row>
    <row r="35412" spans="7:7">
      <c r="G35412" s="812"/>
    </row>
    <row r="35413" spans="7:7">
      <c r="G35413" s="812"/>
    </row>
    <row r="35414" spans="7:7">
      <c r="G35414" s="812"/>
    </row>
    <row r="35415" spans="7:7">
      <c r="G35415" s="812"/>
    </row>
    <row r="35416" spans="7:7">
      <c r="G35416" s="812"/>
    </row>
    <row r="35417" spans="7:7">
      <c r="G35417" s="812"/>
    </row>
    <row r="35418" spans="7:7">
      <c r="G35418" s="812"/>
    </row>
    <row r="35419" spans="7:7">
      <c r="G35419" s="812"/>
    </row>
    <row r="35420" spans="7:7">
      <c r="G35420" s="812"/>
    </row>
    <row r="35421" spans="7:7">
      <c r="G35421" s="812"/>
    </row>
    <row r="35422" spans="7:7">
      <c r="G35422" s="812"/>
    </row>
    <row r="35423" spans="7:7">
      <c r="G35423" s="812"/>
    </row>
    <row r="35424" spans="7:7">
      <c r="G35424" s="812"/>
    </row>
    <row r="35425" spans="7:7">
      <c r="G35425" s="812"/>
    </row>
    <row r="35426" spans="7:7">
      <c r="G35426" s="812"/>
    </row>
    <row r="35427" spans="7:7">
      <c r="G35427" s="812"/>
    </row>
    <row r="35428" spans="7:7">
      <c r="G35428" s="812"/>
    </row>
    <row r="35429" spans="7:7">
      <c r="G35429" s="812"/>
    </row>
    <row r="35430" spans="7:7">
      <c r="G35430" s="812"/>
    </row>
    <row r="35431" spans="7:7">
      <c r="G35431" s="812"/>
    </row>
    <row r="35432" spans="7:7">
      <c r="G35432" s="812"/>
    </row>
    <row r="35433" spans="7:7">
      <c r="G35433" s="812"/>
    </row>
    <row r="35434" spans="7:7">
      <c r="G35434" s="812"/>
    </row>
    <row r="35435" spans="7:7">
      <c r="G35435" s="812"/>
    </row>
    <row r="35436" spans="7:7">
      <c r="G35436" s="812"/>
    </row>
    <row r="35437" spans="7:7">
      <c r="G35437" s="812"/>
    </row>
    <row r="35438" spans="7:7">
      <c r="G35438" s="812"/>
    </row>
    <row r="35439" spans="7:7">
      <c r="G35439" s="812"/>
    </row>
    <row r="35440" spans="7:7">
      <c r="G35440" s="812"/>
    </row>
    <row r="35441" spans="7:7">
      <c r="G35441" s="812"/>
    </row>
    <row r="35442" spans="7:7">
      <c r="G35442" s="812"/>
    </row>
    <row r="35443" spans="7:7">
      <c r="G35443" s="812"/>
    </row>
    <row r="35444" spans="7:7">
      <c r="G35444" s="812"/>
    </row>
    <row r="35445" spans="7:7">
      <c r="G35445" s="812"/>
    </row>
    <row r="35446" spans="7:7">
      <c r="G35446" s="812"/>
    </row>
    <row r="35447" spans="7:7">
      <c r="G35447" s="812"/>
    </row>
    <row r="35448" spans="7:7">
      <c r="G35448" s="812"/>
    </row>
    <row r="35449" spans="7:7">
      <c r="G35449" s="812"/>
    </row>
    <row r="35450" spans="7:7">
      <c r="G35450" s="812"/>
    </row>
    <row r="35451" spans="7:7">
      <c r="G35451" s="812"/>
    </row>
    <row r="35452" spans="7:7">
      <c r="G35452" s="812"/>
    </row>
    <row r="35453" spans="7:7">
      <c r="G35453" s="812"/>
    </row>
    <row r="35454" spans="7:7">
      <c r="G35454" s="812"/>
    </row>
    <row r="35455" spans="7:7">
      <c r="G35455" s="812"/>
    </row>
    <row r="35456" spans="7:7">
      <c r="G35456" s="812"/>
    </row>
    <row r="35457" spans="7:7">
      <c r="G35457" s="812"/>
    </row>
    <row r="35458" spans="7:7">
      <c r="G35458" s="812"/>
    </row>
    <row r="35459" spans="7:7">
      <c r="G35459" s="812"/>
    </row>
    <row r="35460" spans="7:7">
      <c r="G35460" s="812"/>
    </row>
    <row r="35461" spans="7:7">
      <c r="G35461" s="812"/>
    </row>
    <row r="35462" spans="7:7">
      <c r="G35462" s="812"/>
    </row>
    <row r="35463" spans="7:7">
      <c r="G35463" s="812"/>
    </row>
    <row r="35464" spans="7:7">
      <c r="G35464" s="812"/>
    </row>
    <row r="35465" spans="7:7">
      <c r="G35465" s="812"/>
    </row>
    <row r="35466" spans="7:7">
      <c r="G35466" s="812"/>
    </row>
    <row r="35467" spans="7:7">
      <c r="G35467" s="812"/>
    </row>
    <row r="35468" spans="7:7">
      <c r="G35468" s="812"/>
    </row>
    <row r="35469" spans="7:7">
      <c r="G35469" s="812"/>
    </row>
    <row r="35470" spans="7:7">
      <c r="G35470" s="812"/>
    </row>
    <row r="35471" spans="7:7">
      <c r="G35471" s="812"/>
    </row>
    <row r="35472" spans="7:7">
      <c r="G35472" s="812"/>
    </row>
    <row r="35473" spans="7:7">
      <c r="G35473" s="812"/>
    </row>
    <row r="35474" spans="7:7">
      <c r="G35474" s="812"/>
    </row>
    <row r="35475" spans="7:7">
      <c r="G35475" s="812"/>
    </row>
    <row r="35476" spans="7:7">
      <c r="G35476" s="812"/>
    </row>
    <row r="35477" spans="7:7">
      <c r="G35477" s="812"/>
    </row>
    <row r="35478" spans="7:7">
      <c r="G35478" s="812"/>
    </row>
    <row r="35479" spans="7:7">
      <c r="G35479" s="812"/>
    </row>
    <row r="35480" spans="7:7">
      <c r="G35480" s="812"/>
    </row>
    <row r="35481" spans="7:7">
      <c r="G35481" s="812"/>
    </row>
    <row r="35482" spans="7:7">
      <c r="G35482" s="812"/>
    </row>
    <row r="35483" spans="7:7">
      <c r="G35483" s="812"/>
    </row>
    <row r="35484" spans="7:7">
      <c r="G35484" s="812"/>
    </row>
    <row r="35485" spans="7:7">
      <c r="G35485" s="812"/>
    </row>
    <row r="35486" spans="7:7">
      <c r="G35486" s="812"/>
    </row>
    <row r="35487" spans="7:7">
      <c r="G35487" s="812"/>
    </row>
    <row r="35488" spans="7:7">
      <c r="G35488" s="812"/>
    </row>
    <row r="35489" spans="7:7">
      <c r="G35489" s="812"/>
    </row>
    <row r="35490" spans="7:7">
      <c r="G35490" s="812"/>
    </row>
    <row r="35491" spans="7:7">
      <c r="G35491" s="812"/>
    </row>
    <row r="35492" spans="7:7">
      <c r="G35492" s="812"/>
    </row>
    <row r="35493" spans="7:7">
      <c r="G35493" s="812"/>
    </row>
    <row r="35494" spans="7:7">
      <c r="G35494" s="812"/>
    </row>
    <row r="35495" spans="7:7">
      <c r="G35495" s="812"/>
    </row>
    <row r="35496" spans="7:7">
      <c r="G35496" s="812"/>
    </row>
    <row r="35497" spans="7:7">
      <c r="G35497" s="812"/>
    </row>
    <row r="35498" spans="7:7">
      <c r="G35498" s="812"/>
    </row>
    <row r="35499" spans="7:7">
      <c r="G35499" s="812"/>
    </row>
    <row r="35500" spans="7:7">
      <c r="G35500" s="812"/>
    </row>
    <row r="35501" spans="7:7">
      <c r="G35501" s="812"/>
    </row>
    <row r="35502" spans="7:7">
      <c r="G35502" s="812"/>
    </row>
    <row r="35503" spans="7:7">
      <c r="G35503" s="812"/>
    </row>
    <row r="35504" spans="7:7">
      <c r="G35504" s="812"/>
    </row>
    <row r="35505" spans="7:7">
      <c r="G35505" s="812"/>
    </row>
    <row r="35506" spans="7:7">
      <c r="G35506" s="812"/>
    </row>
    <row r="35507" spans="7:7">
      <c r="G35507" s="812"/>
    </row>
    <row r="35508" spans="7:7">
      <c r="G35508" s="812"/>
    </row>
    <row r="35509" spans="7:7">
      <c r="G35509" s="812"/>
    </row>
    <row r="35510" spans="7:7">
      <c r="G35510" s="812"/>
    </row>
    <row r="35511" spans="7:7">
      <c r="G35511" s="812"/>
    </row>
    <row r="35512" spans="7:7">
      <c r="G35512" s="812"/>
    </row>
    <row r="35513" spans="7:7">
      <c r="G35513" s="812"/>
    </row>
    <row r="35514" spans="7:7">
      <c r="G35514" s="812"/>
    </row>
    <row r="35515" spans="7:7">
      <c r="G35515" s="812"/>
    </row>
    <row r="35516" spans="7:7">
      <c r="G35516" s="812"/>
    </row>
    <row r="35517" spans="7:7">
      <c r="G35517" s="812"/>
    </row>
    <row r="35518" spans="7:7">
      <c r="G35518" s="812"/>
    </row>
    <row r="35519" spans="7:7">
      <c r="G35519" s="812"/>
    </row>
    <row r="35520" spans="7:7">
      <c r="G35520" s="812"/>
    </row>
    <row r="35521" spans="7:7">
      <c r="G35521" s="812"/>
    </row>
    <row r="35522" spans="7:7">
      <c r="G35522" s="812"/>
    </row>
    <row r="35523" spans="7:7">
      <c r="G35523" s="812"/>
    </row>
    <row r="35524" spans="7:7">
      <c r="G35524" s="812"/>
    </row>
    <row r="35525" spans="7:7">
      <c r="G35525" s="812"/>
    </row>
    <row r="35526" spans="7:7">
      <c r="G35526" s="812"/>
    </row>
    <row r="35527" spans="7:7">
      <c r="G35527" s="812"/>
    </row>
    <row r="35528" spans="7:7">
      <c r="G35528" s="812"/>
    </row>
    <row r="35529" spans="7:7">
      <c r="G35529" s="812"/>
    </row>
    <row r="35530" spans="7:7">
      <c r="G35530" s="812"/>
    </row>
    <row r="35531" spans="7:7">
      <c r="G35531" s="812"/>
    </row>
    <row r="35532" spans="7:7">
      <c r="G35532" s="812"/>
    </row>
    <row r="35533" spans="7:7">
      <c r="G35533" s="812"/>
    </row>
    <row r="35534" spans="7:7">
      <c r="G35534" s="812"/>
    </row>
    <row r="35535" spans="7:7">
      <c r="G35535" s="812"/>
    </row>
    <row r="35536" spans="7:7">
      <c r="G35536" s="812"/>
    </row>
    <row r="35537" spans="7:7">
      <c r="G35537" s="812"/>
    </row>
    <row r="35538" spans="7:7">
      <c r="G35538" s="812"/>
    </row>
    <row r="35539" spans="7:7">
      <c r="G35539" s="812"/>
    </row>
    <row r="35540" spans="7:7">
      <c r="G35540" s="812"/>
    </row>
    <row r="35541" spans="7:7">
      <c r="G35541" s="812"/>
    </row>
    <row r="35542" spans="7:7">
      <c r="G35542" s="812"/>
    </row>
    <row r="35543" spans="7:7">
      <c r="G35543" s="812"/>
    </row>
    <row r="35544" spans="7:7">
      <c r="G35544" s="812"/>
    </row>
    <row r="35545" spans="7:7">
      <c r="G35545" s="812"/>
    </row>
    <row r="35546" spans="7:7">
      <c r="G35546" s="812"/>
    </row>
    <row r="35547" spans="7:7">
      <c r="G35547" s="812"/>
    </row>
    <row r="35548" spans="7:7">
      <c r="G35548" s="812"/>
    </row>
    <row r="35549" spans="7:7">
      <c r="G35549" s="812"/>
    </row>
    <row r="35550" spans="7:7">
      <c r="G35550" s="812"/>
    </row>
    <row r="35551" spans="7:7">
      <c r="G35551" s="812"/>
    </row>
    <row r="35552" spans="7:7">
      <c r="G35552" s="812"/>
    </row>
    <row r="35553" spans="7:7">
      <c r="G35553" s="812"/>
    </row>
    <row r="35554" spans="7:7">
      <c r="G35554" s="812"/>
    </row>
    <row r="35555" spans="7:7">
      <c r="G35555" s="812"/>
    </row>
    <row r="35556" spans="7:7">
      <c r="G35556" s="812"/>
    </row>
    <row r="35557" spans="7:7">
      <c r="G35557" s="812"/>
    </row>
    <row r="35558" spans="7:7">
      <c r="G35558" s="812"/>
    </row>
    <row r="35559" spans="7:7">
      <c r="G35559" s="812"/>
    </row>
    <row r="35560" spans="7:7">
      <c r="G35560" s="812"/>
    </row>
    <row r="35561" spans="7:7">
      <c r="G35561" s="812"/>
    </row>
    <row r="35562" spans="7:7">
      <c r="G35562" s="812"/>
    </row>
    <row r="35563" spans="7:7">
      <c r="G35563" s="812"/>
    </row>
    <row r="35564" spans="7:7">
      <c r="G35564" s="812"/>
    </row>
    <row r="35565" spans="7:7">
      <c r="G35565" s="812"/>
    </row>
    <row r="35566" spans="7:7">
      <c r="G35566" s="812"/>
    </row>
    <row r="35567" spans="7:7">
      <c r="G35567" s="812"/>
    </row>
    <row r="35568" spans="7:7">
      <c r="G35568" s="812"/>
    </row>
    <row r="35569" spans="7:7">
      <c r="G35569" s="812"/>
    </row>
    <row r="35570" spans="7:7">
      <c r="G35570" s="812"/>
    </row>
    <row r="35571" spans="7:7">
      <c r="G35571" s="812"/>
    </row>
    <row r="35572" spans="7:7">
      <c r="G35572" s="812"/>
    </row>
    <row r="35573" spans="7:7">
      <c r="G35573" s="812"/>
    </row>
    <row r="35574" spans="7:7">
      <c r="G35574" s="812"/>
    </row>
    <row r="35575" spans="7:7">
      <c r="G35575" s="812"/>
    </row>
    <row r="35576" spans="7:7">
      <c r="G35576" s="812"/>
    </row>
    <row r="35577" spans="7:7">
      <c r="G35577" s="812"/>
    </row>
    <row r="35578" spans="7:7">
      <c r="G35578" s="812"/>
    </row>
    <row r="35579" spans="7:7">
      <c r="G35579" s="812"/>
    </row>
    <row r="35580" spans="7:7">
      <c r="G35580" s="812"/>
    </row>
    <row r="35581" spans="7:7">
      <c r="G35581" s="812"/>
    </row>
    <row r="35582" spans="7:7">
      <c r="G35582" s="812"/>
    </row>
    <row r="35583" spans="7:7">
      <c r="G35583" s="812"/>
    </row>
    <row r="35584" spans="7:7">
      <c r="G35584" s="812"/>
    </row>
    <row r="35585" spans="7:7">
      <c r="G35585" s="812"/>
    </row>
    <row r="35586" spans="7:7">
      <c r="G35586" s="812"/>
    </row>
    <row r="35587" spans="7:7">
      <c r="G35587" s="812"/>
    </row>
    <row r="35588" spans="7:7">
      <c r="G35588" s="812"/>
    </row>
    <row r="35589" spans="7:7">
      <c r="G35589" s="812"/>
    </row>
    <row r="35590" spans="7:7">
      <c r="G35590" s="812"/>
    </row>
    <row r="35591" spans="7:7">
      <c r="G35591" s="812"/>
    </row>
    <row r="35592" spans="7:7">
      <c r="G35592" s="812"/>
    </row>
    <row r="35593" spans="7:7">
      <c r="G35593" s="812"/>
    </row>
    <row r="35594" spans="7:7">
      <c r="G35594" s="812"/>
    </row>
    <row r="35595" spans="7:7">
      <c r="G35595" s="812"/>
    </row>
    <row r="35596" spans="7:7">
      <c r="G35596" s="812"/>
    </row>
    <row r="35597" spans="7:7">
      <c r="G35597" s="812"/>
    </row>
    <row r="35598" spans="7:7">
      <c r="G35598" s="812"/>
    </row>
    <row r="35599" spans="7:7">
      <c r="G35599" s="812"/>
    </row>
    <row r="35600" spans="7:7">
      <c r="G35600" s="812"/>
    </row>
    <row r="35601" spans="7:7">
      <c r="G35601" s="812"/>
    </row>
    <row r="35602" spans="7:7">
      <c r="G35602" s="812"/>
    </row>
    <row r="35603" spans="7:7">
      <c r="G35603" s="812"/>
    </row>
    <row r="35604" spans="7:7">
      <c r="G35604" s="812"/>
    </row>
    <row r="35605" spans="7:7">
      <c r="G35605" s="812"/>
    </row>
    <row r="35606" spans="7:7">
      <c r="G35606" s="812"/>
    </row>
    <row r="35607" spans="7:7">
      <c r="G35607" s="812"/>
    </row>
    <row r="35608" spans="7:7">
      <c r="G35608" s="812"/>
    </row>
    <row r="35609" spans="7:7">
      <c r="G35609" s="812"/>
    </row>
    <row r="35610" spans="7:7">
      <c r="G35610" s="812"/>
    </row>
    <row r="35611" spans="7:7">
      <c r="G35611" s="812"/>
    </row>
    <row r="35612" spans="7:7">
      <c r="G35612" s="812"/>
    </row>
    <row r="35613" spans="7:7">
      <c r="G35613" s="812"/>
    </row>
    <row r="35614" spans="7:7">
      <c r="G35614" s="812"/>
    </row>
    <row r="35615" spans="7:7">
      <c r="G35615" s="812"/>
    </row>
    <row r="35616" spans="7:7">
      <c r="G35616" s="812"/>
    </row>
    <row r="35617" spans="7:7">
      <c r="G35617" s="812"/>
    </row>
    <row r="35618" spans="7:7">
      <c r="G35618" s="812"/>
    </row>
    <row r="35619" spans="7:7">
      <c r="G35619" s="812"/>
    </row>
    <row r="35620" spans="7:7">
      <c r="G35620" s="812"/>
    </row>
    <row r="35621" spans="7:7">
      <c r="G35621" s="812"/>
    </row>
    <row r="35622" spans="7:7">
      <c r="G35622" s="812"/>
    </row>
    <row r="35623" spans="7:7">
      <c r="G35623" s="812"/>
    </row>
    <row r="35624" spans="7:7">
      <c r="G35624" s="812"/>
    </row>
    <row r="35625" spans="7:7">
      <c r="G35625" s="812"/>
    </row>
    <row r="35626" spans="7:7">
      <c r="G35626" s="812"/>
    </row>
    <row r="35627" spans="7:7">
      <c r="G35627" s="812"/>
    </row>
    <row r="35628" spans="7:7">
      <c r="G35628" s="812"/>
    </row>
    <row r="35629" spans="7:7">
      <c r="G35629" s="812"/>
    </row>
    <row r="35630" spans="7:7">
      <c r="G35630" s="812"/>
    </row>
    <row r="35631" spans="7:7">
      <c r="G35631" s="812"/>
    </row>
    <row r="35632" spans="7:7">
      <c r="G35632" s="812"/>
    </row>
    <row r="35633" spans="7:7">
      <c r="G35633" s="812"/>
    </row>
    <row r="35634" spans="7:7">
      <c r="G35634" s="812"/>
    </row>
    <row r="35635" spans="7:7">
      <c r="G35635" s="812"/>
    </row>
    <row r="35636" spans="7:7">
      <c r="G35636" s="812"/>
    </row>
    <row r="35637" spans="7:7">
      <c r="G35637" s="812"/>
    </row>
    <row r="35638" spans="7:7">
      <c r="G35638" s="812"/>
    </row>
    <row r="35639" spans="7:7">
      <c r="G35639" s="812"/>
    </row>
    <row r="35640" spans="7:7">
      <c r="G35640" s="812"/>
    </row>
    <row r="35641" spans="7:7">
      <c r="G35641" s="812"/>
    </row>
    <row r="35642" spans="7:7">
      <c r="G35642" s="812"/>
    </row>
    <row r="35643" spans="7:7">
      <c r="G35643" s="812"/>
    </row>
    <row r="35644" spans="7:7">
      <c r="G35644" s="812"/>
    </row>
    <row r="35645" spans="7:7">
      <c r="G35645" s="812"/>
    </row>
    <row r="35646" spans="7:7">
      <c r="G35646" s="812"/>
    </row>
    <row r="35647" spans="7:7">
      <c r="G35647" s="812"/>
    </row>
    <row r="35648" spans="7:7">
      <c r="G35648" s="812"/>
    </row>
    <row r="35649" spans="7:7">
      <c r="G35649" s="812"/>
    </row>
    <row r="35650" spans="7:7">
      <c r="G35650" s="812"/>
    </row>
    <row r="35651" spans="7:7">
      <c r="G35651" s="812"/>
    </row>
    <row r="35652" spans="7:7">
      <c r="G35652" s="812"/>
    </row>
    <row r="35653" spans="7:7">
      <c r="G35653" s="812"/>
    </row>
    <row r="35654" spans="7:7">
      <c r="G35654" s="812"/>
    </row>
    <row r="35655" spans="7:7">
      <c r="G35655" s="812"/>
    </row>
    <row r="35656" spans="7:7">
      <c r="G35656" s="812"/>
    </row>
    <row r="35657" spans="7:7">
      <c r="G35657" s="812"/>
    </row>
    <row r="35658" spans="7:7">
      <c r="G35658" s="812"/>
    </row>
    <row r="35659" spans="7:7">
      <c r="G35659" s="812"/>
    </row>
    <row r="35660" spans="7:7">
      <c r="G35660" s="812"/>
    </row>
    <row r="35661" spans="7:7">
      <c r="G35661" s="812"/>
    </row>
    <row r="35662" spans="7:7">
      <c r="G35662" s="812"/>
    </row>
    <row r="35663" spans="7:7">
      <c r="G35663" s="812"/>
    </row>
    <row r="35664" spans="7:7">
      <c r="G35664" s="812"/>
    </row>
    <row r="35665" spans="7:7">
      <c r="G35665" s="812"/>
    </row>
    <row r="35666" spans="7:7">
      <c r="G35666" s="812"/>
    </row>
    <row r="35667" spans="7:7">
      <c r="G35667" s="812"/>
    </row>
    <row r="35668" spans="7:7">
      <c r="G35668" s="812"/>
    </row>
    <row r="35669" spans="7:7">
      <c r="G35669" s="812"/>
    </row>
    <row r="35670" spans="7:7">
      <c r="G35670" s="812"/>
    </row>
    <row r="35671" spans="7:7">
      <c r="G35671" s="812"/>
    </row>
    <row r="35672" spans="7:7">
      <c r="G35672" s="812"/>
    </row>
    <row r="35673" spans="7:7">
      <c r="G35673" s="812"/>
    </row>
    <row r="35674" spans="7:7">
      <c r="G35674" s="812"/>
    </row>
    <row r="35675" spans="7:7">
      <c r="G35675" s="812"/>
    </row>
    <row r="35676" spans="7:7">
      <c r="G35676" s="812"/>
    </row>
    <row r="35677" spans="7:7">
      <c r="G35677" s="812"/>
    </row>
    <row r="35678" spans="7:7">
      <c r="G35678" s="812"/>
    </row>
    <row r="35679" spans="7:7">
      <c r="G35679" s="812"/>
    </row>
    <row r="35680" spans="7:7">
      <c r="G35680" s="812"/>
    </row>
    <row r="35681" spans="7:7">
      <c r="G35681" s="812"/>
    </row>
    <row r="35682" spans="7:7">
      <c r="G35682" s="812"/>
    </row>
    <row r="35683" spans="7:7">
      <c r="G35683" s="812"/>
    </row>
    <row r="35684" spans="7:7">
      <c r="G35684" s="812"/>
    </row>
    <row r="35685" spans="7:7">
      <c r="G35685" s="812"/>
    </row>
    <row r="35686" spans="7:7">
      <c r="G35686" s="812"/>
    </row>
    <row r="35687" spans="7:7">
      <c r="G35687" s="812"/>
    </row>
    <row r="35688" spans="7:7">
      <c r="G35688" s="812"/>
    </row>
    <row r="35689" spans="7:7">
      <c r="G35689" s="812"/>
    </row>
    <row r="35690" spans="7:7">
      <c r="G35690" s="812"/>
    </row>
    <row r="35691" spans="7:7">
      <c r="G35691" s="812"/>
    </row>
    <row r="35692" spans="7:7">
      <c r="G35692" s="812"/>
    </row>
    <row r="35693" spans="7:7">
      <c r="G35693" s="812"/>
    </row>
    <row r="35694" spans="7:7">
      <c r="G35694" s="812"/>
    </row>
    <row r="35695" spans="7:7">
      <c r="G35695" s="812"/>
    </row>
    <row r="35696" spans="7:7">
      <c r="G35696" s="812"/>
    </row>
    <row r="35697" spans="7:7">
      <c r="G35697" s="812"/>
    </row>
    <row r="35698" spans="7:7">
      <c r="G35698" s="812"/>
    </row>
    <row r="35699" spans="7:7">
      <c r="G35699" s="812"/>
    </row>
    <row r="35700" spans="7:7">
      <c r="G35700" s="812"/>
    </row>
    <row r="35701" spans="7:7">
      <c r="G35701" s="812"/>
    </row>
    <row r="35702" spans="7:7">
      <c r="G35702" s="812"/>
    </row>
    <row r="35703" spans="7:7">
      <c r="G35703" s="812"/>
    </row>
    <row r="35704" spans="7:7">
      <c r="G35704" s="812"/>
    </row>
    <row r="35705" spans="7:7">
      <c r="G35705" s="812"/>
    </row>
    <row r="35706" spans="7:7">
      <c r="G35706" s="812"/>
    </row>
    <row r="35707" spans="7:7">
      <c r="G35707" s="812"/>
    </row>
    <row r="35708" spans="7:7">
      <c r="G35708" s="812"/>
    </row>
    <row r="35709" spans="7:7">
      <c r="G35709" s="812"/>
    </row>
    <row r="35710" spans="7:7">
      <c r="G35710" s="812"/>
    </row>
    <row r="35711" spans="7:7">
      <c r="G35711" s="812"/>
    </row>
    <row r="35712" spans="7:7">
      <c r="G35712" s="812"/>
    </row>
    <row r="35713" spans="7:7">
      <c r="G35713" s="812"/>
    </row>
    <row r="35714" spans="7:7">
      <c r="G35714" s="812"/>
    </row>
    <row r="35715" spans="7:7">
      <c r="G35715" s="812"/>
    </row>
    <row r="35716" spans="7:7">
      <c r="G35716" s="812"/>
    </row>
    <row r="35717" spans="7:7">
      <c r="G35717" s="812"/>
    </row>
    <row r="35718" spans="7:7">
      <c r="G35718" s="812"/>
    </row>
    <row r="35719" spans="7:7">
      <c r="G35719" s="812"/>
    </row>
    <row r="35720" spans="7:7">
      <c r="G35720" s="812"/>
    </row>
    <row r="35721" spans="7:7">
      <c r="G35721" s="812"/>
    </row>
    <row r="35722" spans="7:7">
      <c r="G35722" s="812"/>
    </row>
    <row r="35723" spans="7:7">
      <c r="G35723" s="812"/>
    </row>
    <row r="35724" spans="7:7">
      <c r="G35724" s="812"/>
    </row>
    <row r="35725" spans="7:7">
      <c r="G35725" s="812"/>
    </row>
    <row r="35726" spans="7:7">
      <c r="G35726" s="812"/>
    </row>
    <row r="35727" spans="7:7">
      <c r="G35727" s="812"/>
    </row>
    <row r="35728" spans="7:7">
      <c r="G35728" s="812"/>
    </row>
    <row r="35729" spans="7:7">
      <c r="G35729" s="812"/>
    </row>
    <row r="35730" spans="7:7">
      <c r="G35730" s="812"/>
    </row>
    <row r="35731" spans="7:7">
      <c r="G35731" s="812"/>
    </row>
    <row r="35732" spans="7:7">
      <c r="G35732" s="812"/>
    </row>
    <row r="35733" spans="7:7">
      <c r="G35733" s="812"/>
    </row>
    <row r="35734" spans="7:7">
      <c r="G35734" s="812"/>
    </row>
    <row r="35735" spans="7:7">
      <c r="G35735" s="812"/>
    </row>
    <row r="35736" spans="7:7">
      <c r="G35736" s="812"/>
    </row>
    <row r="35737" spans="7:7">
      <c r="G35737" s="812"/>
    </row>
    <row r="35738" spans="7:7">
      <c r="G35738" s="812"/>
    </row>
    <row r="35739" spans="7:7">
      <c r="G35739" s="812"/>
    </row>
    <row r="35740" spans="7:7">
      <c r="G35740" s="812"/>
    </row>
    <row r="35741" spans="7:7">
      <c r="G35741" s="812"/>
    </row>
    <row r="35742" spans="7:7">
      <c r="G35742" s="812"/>
    </row>
    <row r="35743" spans="7:7">
      <c r="G35743" s="812"/>
    </row>
    <row r="35744" spans="7:7">
      <c r="G35744" s="812"/>
    </row>
    <row r="35745" spans="7:7">
      <c r="G35745" s="812"/>
    </row>
    <row r="35746" spans="7:7">
      <c r="G35746" s="812"/>
    </row>
    <row r="35747" spans="7:7">
      <c r="G35747" s="812"/>
    </row>
    <row r="35748" spans="7:7">
      <c r="G35748" s="812"/>
    </row>
    <row r="35749" spans="7:7">
      <c r="G35749" s="812"/>
    </row>
    <row r="35750" spans="7:7">
      <c r="G35750" s="812"/>
    </row>
    <row r="35751" spans="7:7">
      <c r="G35751" s="812"/>
    </row>
    <row r="35752" spans="7:7">
      <c r="G35752" s="812"/>
    </row>
    <row r="35753" spans="7:7">
      <c r="G35753" s="812"/>
    </row>
    <row r="35754" spans="7:7">
      <c r="G35754" s="812"/>
    </row>
    <row r="35755" spans="7:7">
      <c r="G35755" s="812"/>
    </row>
    <row r="35756" spans="7:7">
      <c r="G35756" s="812"/>
    </row>
    <row r="35757" spans="7:7">
      <c r="G35757" s="812"/>
    </row>
    <row r="35758" spans="7:7">
      <c r="G35758" s="812"/>
    </row>
    <row r="35759" spans="7:7">
      <c r="G35759" s="812"/>
    </row>
    <row r="35760" spans="7:7">
      <c r="G35760" s="812"/>
    </row>
    <row r="35761" spans="7:7">
      <c r="G35761" s="812"/>
    </row>
    <row r="35762" spans="7:7">
      <c r="G35762" s="812"/>
    </row>
    <row r="35763" spans="7:7">
      <c r="G35763" s="812"/>
    </row>
    <row r="35764" spans="7:7">
      <c r="G35764" s="812"/>
    </row>
    <row r="35765" spans="7:7">
      <c r="G35765" s="812"/>
    </row>
    <row r="35766" spans="7:7">
      <c r="G35766" s="812"/>
    </row>
    <row r="35767" spans="7:7">
      <c r="G35767" s="812"/>
    </row>
    <row r="35768" spans="7:7">
      <c r="G35768" s="812"/>
    </row>
    <row r="35769" spans="7:7">
      <c r="G35769" s="812"/>
    </row>
    <row r="35770" spans="7:7">
      <c r="G35770" s="812"/>
    </row>
    <row r="35771" spans="7:7">
      <c r="G35771" s="812"/>
    </row>
    <row r="35772" spans="7:7">
      <c r="G35772" s="812"/>
    </row>
    <row r="35773" spans="7:7">
      <c r="G35773" s="812"/>
    </row>
    <row r="35774" spans="7:7">
      <c r="G35774" s="812"/>
    </row>
    <row r="35775" spans="7:7">
      <c r="G35775" s="812"/>
    </row>
    <row r="35776" spans="7:7">
      <c r="G35776" s="812"/>
    </row>
    <row r="35777" spans="7:7">
      <c r="G35777" s="812"/>
    </row>
    <row r="35778" spans="7:7">
      <c r="G35778" s="812"/>
    </row>
    <row r="35779" spans="7:7">
      <c r="G35779" s="812"/>
    </row>
    <row r="35780" spans="7:7">
      <c r="G35780" s="812"/>
    </row>
    <row r="35781" spans="7:7">
      <c r="G35781" s="812"/>
    </row>
    <row r="35782" spans="7:7">
      <c r="G35782" s="812"/>
    </row>
    <row r="35783" spans="7:7">
      <c r="G35783" s="812"/>
    </row>
    <row r="35784" spans="7:7">
      <c r="G35784" s="812"/>
    </row>
    <row r="35785" spans="7:7">
      <c r="G35785" s="812"/>
    </row>
    <row r="35786" spans="7:7">
      <c r="G35786" s="812"/>
    </row>
    <row r="35787" spans="7:7">
      <c r="G35787" s="812"/>
    </row>
    <row r="35788" spans="7:7">
      <c r="G35788" s="812"/>
    </row>
    <row r="35789" spans="7:7">
      <c r="G35789" s="812"/>
    </row>
    <row r="35790" spans="7:7">
      <c r="G35790" s="812"/>
    </row>
    <row r="35791" spans="7:7">
      <c r="G35791" s="812"/>
    </row>
    <row r="35792" spans="7:7">
      <c r="G35792" s="812"/>
    </row>
    <row r="35793" spans="7:7">
      <c r="G35793" s="812"/>
    </row>
    <row r="35794" spans="7:7">
      <c r="G35794" s="812"/>
    </row>
    <row r="35795" spans="7:7">
      <c r="G35795" s="812"/>
    </row>
    <row r="35796" spans="7:7">
      <c r="G35796" s="812"/>
    </row>
    <row r="35797" spans="7:7">
      <c r="G35797" s="812"/>
    </row>
    <row r="35798" spans="7:7">
      <c r="G35798" s="812"/>
    </row>
    <row r="35799" spans="7:7">
      <c r="G35799" s="812"/>
    </row>
    <row r="35800" spans="7:7">
      <c r="G35800" s="812"/>
    </row>
    <row r="35801" spans="7:7">
      <c r="G35801" s="812"/>
    </row>
    <row r="35802" spans="7:7">
      <c r="G35802" s="812"/>
    </row>
    <row r="35803" spans="7:7">
      <c r="G35803" s="812"/>
    </row>
    <row r="35804" spans="7:7">
      <c r="G35804" s="812"/>
    </row>
    <row r="35805" spans="7:7">
      <c r="G35805" s="812"/>
    </row>
    <row r="35806" spans="7:7">
      <c r="G35806" s="812"/>
    </row>
    <row r="35807" spans="7:7">
      <c r="G35807" s="812"/>
    </row>
    <row r="35808" spans="7:7">
      <c r="G35808" s="812"/>
    </row>
    <row r="35809" spans="7:7">
      <c r="G35809" s="812"/>
    </row>
    <row r="35810" spans="7:7">
      <c r="G35810" s="812"/>
    </row>
    <row r="35811" spans="7:7">
      <c r="G35811" s="812"/>
    </row>
    <row r="35812" spans="7:7">
      <c r="G35812" s="812"/>
    </row>
    <row r="35813" spans="7:7">
      <c r="G35813" s="812"/>
    </row>
    <row r="35814" spans="7:7">
      <c r="G35814" s="812"/>
    </row>
    <row r="35815" spans="7:7">
      <c r="G35815" s="812"/>
    </row>
    <row r="35816" spans="7:7">
      <c r="G35816" s="812"/>
    </row>
    <row r="35817" spans="7:7">
      <c r="G35817" s="812"/>
    </row>
    <row r="35818" spans="7:7">
      <c r="G35818" s="812"/>
    </row>
    <row r="35819" spans="7:7">
      <c r="G35819" s="812"/>
    </row>
    <row r="35820" spans="7:7">
      <c r="G35820" s="812"/>
    </row>
    <row r="35821" spans="7:7">
      <c r="G35821" s="812"/>
    </row>
    <row r="35822" spans="7:7">
      <c r="G35822" s="812"/>
    </row>
    <row r="35823" spans="7:7">
      <c r="G35823" s="812"/>
    </row>
    <row r="35824" spans="7:7">
      <c r="G35824" s="812"/>
    </row>
    <row r="35825" spans="7:7">
      <c r="G35825" s="812"/>
    </row>
    <row r="35826" spans="7:7">
      <c r="G35826" s="812"/>
    </row>
    <row r="35827" spans="7:7">
      <c r="G35827" s="812"/>
    </row>
    <row r="35828" spans="7:7">
      <c r="G35828" s="812"/>
    </row>
    <row r="35829" spans="7:7">
      <c r="G35829" s="812"/>
    </row>
    <row r="35830" spans="7:7">
      <c r="G35830" s="812"/>
    </row>
    <row r="35831" spans="7:7">
      <c r="G35831" s="812"/>
    </row>
    <row r="35832" spans="7:7">
      <c r="G35832" s="812"/>
    </row>
    <row r="35833" spans="7:7">
      <c r="G35833" s="812"/>
    </row>
    <row r="35834" spans="7:7">
      <c r="G35834" s="812"/>
    </row>
    <row r="35835" spans="7:7">
      <c r="G35835" s="812"/>
    </row>
    <row r="35836" spans="7:7">
      <c r="G35836" s="812"/>
    </row>
    <row r="35837" spans="7:7">
      <c r="G35837" s="812"/>
    </row>
    <row r="35838" spans="7:7">
      <c r="G35838" s="812"/>
    </row>
    <row r="35839" spans="7:7">
      <c r="G35839" s="812"/>
    </row>
    <row r="35840" spans="7:7">
      <c r="G35840" s="812"/>
    </row>
    <row r="35841" spans="7:7">
      <c r="G35841" s="812"/>
    </row>
    <row r="35842" spans="7:7">
      <c r="G35842" s="812"/>
    </row>
    <row r="35843" spans="7:7">
      <c r="G35843" s="812"/>
    </row>
    <row r="35844" spans="7:7">
      <c r="G35844" s="812"/>
    </row>
    <row r="35845" spans="7:7">
      <c r="G35845" s="812"/>
    </row>
    <row r="35846" spans="7:7">
      <c r="G35846" s="812"/>
    </row>
    <row r="35847" spans="7:7">
      <c r="G35847" s="812"/>
    </row>
    <row r="35848" spans="7:7">
      <c r="G35848" s="812"/>
    </row>
    <row r="35849" spans="7:7">
      <c r="G35849" s="812"/>
    </row>
    <row r="35850" spans="7:7">
      <c r="G35850" s="812"/>
    </row>
    <row r="35851" spans="7:7">
      <c r="G35851" s="812"/>
    </row>
    <row r="35852" spans="7:7">
      <c r="G35852" s="812"/>
    </row>
    <row r="35853" spans="7:7">
      <c r="G35853" s="812"/>
    </row>
    <row r="35854" spans="7:7">
      <c r="G35854" s="812"/>
    </row>
    <row r="35855" spans="7:7">
      <c r="G35855" s="812"/>
    </row>
    <row r="35856" spans="7:7">
      <c r="G35856" s="812"/>
    </row>
    <row r="35857" spans="7:7">
      <c r="G35857" s="812"/>
    </row>
    <row r="35858" spans="7:7">
      <c r="G35858" s="812"/>
    </row>
    <row r="35859" spans="7:7">
      <c r="G35859" s="812"/>
    </row>
    <row r="35860" spans="7:7">
      <c r="G35860" s="812"/>
    </row>
    <row r="35861" spans="7:7">
      <c r="G35861" s="812"/>
    </row>
    <row r="35862" spans="7:7">
      <c r="G35862" s="812"/>
    </row>
    <row r="35863" spans="7:7">
      <c r="G35863" s="812"/>
    </row>
    <row r="35864" spans="7:7">
      <c r="G35864" s="812"/>
    </row>
    <row r="35865" spans="7:7">
      <c r="G35865" s="812"/>
    </row>
    <row r="35866" spans="7:7">
      <c r="G35866" s="812"/>
    </row>
    <row r="35867" spans="7:7">
      <c r="G35867" s="812"/>
    </row>
    <row r="35868" spans="7:7">
      <c r="G35868" s="812"/>
    </row>
    <row r="35869" spans="7:7">
      <c r="G35869" s="812"/>
    </row>
    <row r="35870" spans="7:7">
      <c r="G35870" s="812"/>
    </row>
    <row r="35871" spans="7:7">
      <c r="G35871" s="812"/>
    </row>
    <row r="35872" spans="7:7">
      <c r="G35872" s="812"/>
    </row>
    <row r="35873" spans="7:7">
      <c r="G35873" s="812"/>
    </row>
    <row r="35874" spans="7:7">
      <c r="G35874" s="812"/>
    </row>
    <row r="35875" spans="7:7">
      <c r="G35875" s="812"/>
    </row>
    <row r="35876" spans="7:7">
      <c r="G35876" s="812"/>
    </row>
    <row r="35877" spans="7:7">
      <c r="G35877" s="812"/>
    </row>
    <row r="35878" spans="7:7">
      <c r="G35878" s="812"/>
    </row>
    <row r="35879" spans="7:7">
      <c r="G35879" s="812"/>
    </row>
    <row r="35880" spans="7:7">
      <c r="G35880" s="812"/>
    </row>
    <row r="35881" spans="7:7">
      <c r="G35881" s="812"/>
    </row>
    <row r="35882" spans="7:7">
      <c r="G35882" s="812"/>
    </row>
    <row r="35883" spans="7:7">
      <c r="G35883" s="812"/>
    </row>
    <row r="35884" spans="7:7">
      <c r="G35884" s="812"/>
    </row>
    <row r="35885" spans="7:7">
      <c r="G35885" s="812"/>
    </row>
    <row r="35886" spans="7:7">
      <c r="G35886" s="812"/>
    </row>
    <row r="35887" spans="7:7">
      <c r="G35887" s="812"/>
    </row>
    <row r="35888" spans="7:7">
      <c r="G35888" s="812"/>
    </row>
    <row r="35889" spans="7:7">
      <c r="G35889" s="812"/>
    </row>
    <row r="35890" spans="7:7">
      <c r="G35890" s="812"/>
    </row>
    <row r="35891" spans="7:7">
      <c r="G35891" s="812"/>
    </row>
    <row r="35892" spans="7:7">
      <c r="G35892" s="812"/>
    </row>
    <row r="35893" spans="7:7">
      <c r="G35893" s="812"/>
    </row>
    <row r="35894" spans="7:7">
      <c r="G35894" s="812"/>
    </row>
    <row r="35895" spans="7:7">
      <c r="G35895" s="812"/>
    </row>
    <row r="35896" spans="7:7">
      <c r="G35896" s="812"/>
    </row>
    <row r="35897" spans="7:7">
      <c r="G35897" s="812"/>
    </row>
    <row r="35898" spans="7:7">
      <c r="G35898" s="812"/>
    </row>
    <row r="35899" spans="7:7">
      <c r="G35899" s="812"/>
    </row>
    <row r="35900" spans="7:7">
      <c r="G35900" s="812"/>
    </row>
    <row r="35901" spans="7:7">
      <c r="G35901" s="812"/>
    </row>
    <row r="35902" spans="7:7">
      <c r="G35902" s="812"/>
    </row>
    <row r="35903" spans="7:7">
      <c r="G35903" s="812"/>
    </row>
    <row r="35904" spans="7:7">
      <c r="G35904" s="812"/>
    </row>
    <row r="35905" spans="7:7">
      <c r="G35905" s="812"/>
    </row>
    <row r="35906" spans="7:7">
      <c r="G35906" s="812"/>
    </row>
    <row r="35907" spans="7:7">
      <c r="G35907" s="812"/>
    </row>
    <row r="35908" spans="7:7">
      <c r="G35908" s="812"/>
    </row>
    <row r="35909" spans="7:7">
      <c r="G35909" s="812"/>
    </row>
    <row r="35910" spans="7:7">
      <c r="G35910" s="812"/>
    </row>
    <row r="35911" spans="7:7">
      <c r="G35911" s="812"/>
    </row>
    <row r="35912" spans="7:7">
      <c r="G35912" s="812"/>
    </row>
    <row r="35913" spans="7:7">
      <c r="G35913" s="812"/>
    </row>
    <row r="35914" spans="7:7">
      <c r="G35914" s="812"/>
    </row>
    <row r="35915" spans="7:7">
      <c r="G35915" s="812"/>
    </row>
    <row r="35916" spans="7:7">
      <c r="G35916" s="812"/>
    </row>
    <row r="35917" spans="7:7">
      <c r="G35917" s="812"/>
    </row>
    <row r="35918" spans="7:7">
      <c r="G35918" s="812"/>
    </row>
    <row r="35919" spans="7:7">
      <c r="G35919" s="812"/>
    </row>
    <row r="35920" spans="7:7">
      <c r="G35920" s="812"/>
    </row>
    <row r="35921" spans="7:7">
      <c r="G35921" s="812"/>
    </row>
    <row r="35922" spans="7:7">
      <c r="G35922" s="812"/>
    </row>
    <row r="35923" spans="7:7">
      <c r="G35923" s="812"/>
    </row>
    <row r="35924" spans="7:7">
      <c r="G35924" s="812"/>
    </row>
    <row r="35925" spans="7:7">
      <c r="G35925" s="812"/>
    </row>
    <row r="35926" spans="7:7">
      <c r="G35926" s="812"/>
    </row>
    <row r="35927" spans="7:7">
      <c r="G35927" s="812"/>
    </row>
    <row r="35928" spans="7:7">
      <c r="G35928" s="812"/>
    </row>
    <row r="35929" spans="7:7">
      <c r="G35929" s="812"/>
    </row>
    <row r="35930" spans="7:7">
      <c r="G35930" s="812"/>
    </row>
    <row r="35931" spans="7:7">
      <c r="G35931" s="812"/>
    </row>
    <row r="35932" spans="7:7">
      <c r="G35932" s="812"/>
    </row>
    <row r="35933" spans="7:7">
      <c r="G35933" s="812"/>
    </row>
    <row r="35934" spans="7:7">
      <c r="G35934" s="812"/>
    </row>
    <row r="35935" spans="7:7">
      <c r="G35935" s="812"/>
    </row>
    <row r="35936" spans="7:7">
      <c r="G35936" s="812"/>
    </row>
    <row r="35937" spans="7:7">
      <c r="G35937" s="812"/>
    </row>
    <row r="35938" spans="7:7">
      <c r="G35938" s="812"/>
    </row>
    <row r="35939" spans="7:7">
      <c r="G35939" s="812"/>
    </row>
    <row r="35940" spans="7:7">
      <c r="G35940" s="812"/>
    </row>
    <row r="35941" spans="7:7">
      <c r="G35941" s="812"/>
    </row>
    <row r="35942" spans="7:7">
      <c r="G35942" s="812"/>
    </row>
    <row r="35943" spans="7:7">
      <c r="G35943" s="812"/>
    </row>
    <row r="35944" spans="7:7">
      <c r="G35944" s="812"/>
    </row>
    <row r="35945" spans="7:7">
      <c r="G35945" s="812"/>
    </row>
    <row r="35946" spans="7:7">
      <c r="G35946" s="812"/>
    </row>
    <row r="35947" spans="7:7">
      <c r="G35947" s="812"/>
    </row>
    <row r="35948" spans="7:7">
      <c r="G35948" s="812"/>
    </row>
    <row r="35949" spans="7:7">
      <c r="G35949" s="812"/>
    </row>
    <row r="35950" spans="7:7">
      <c r="G35950" s="812"/>
    </row>
    <row r="35951" spans="7:7">
      <c r="G35951" s="812"/>
    </row>
    <row r="35952" spans="7:7">
      <c r="G35952" s="812"/>
    </row>
    <row r="35953" spans="7:7">
      <c r="G35953" s="812"/>
    </row>
    <row r="35954" spans="7:7">
      <c r="G35954" s="812"/>
    </row>
    <row r="35955" spans="7:7">
      <c r="G35955" s="812"/>
    </row>
    <row r="35956" spans="7:7">
      <c r="G35956" s="812"/>
    </row>
    <row r="35957" spans="7:7">
      <c r="G35957" s="812"/>
    </row>
    <row r="35958" spans="7:7">
      <c r="G35958" s="812"/>
    </row>
    <row r="35959" spans="7:7">
      <c r="G35959" s="812"/>
    </row>
    <row r="35960" spans="7:7">
      <c r="G35960" s="812"/>
    </row>
    <row r="35961" spans="7:7">
      <c r="G35961" s="812"/>
    </row>
    <row r="35962" spans="7:7">
      <c r="G35962" s="812"/>
    </row>
    <row r="35963" spans="7:7">
      <c r="G35963" s="812"/>
    </row>
    <row r="35964" spans="7:7">
      <c r="G35964" s="812"/>
    </row>
    <row r="35965" spans="7:7">
      <c r="G35965" s="812"/>
    </row>
    <row r="35966" spans="7:7">
      <c r="G35966" s="812"/>
    </row>
    <row r="35967" spans="7:7">
      <c r="G35967" s="812"/>
    </row>
    <row r="35968" spans="7:7">
      <c r="G35968" s="812"/>
    </row>
    <row r="35969" spans="7:7">
      <c r="G35969" s="812"/>
    </row>
    <row r="35970" spans="7:7">
      <c r="G35970" s="812"/>
    </row>
    <row r="35971" spans="7:7">
      <c r="G35971" s="812"/>
    </row>
    <row r="35972" spans="7:7">
      <c r="G35972" s="812"/>
    </row>
    <row r="35973" spans="7:7">
      <c r="G35973" s="812"/>
    </row>
    <row r="35974" spans="7:7">
      <c r="G35974" s="812"/>
    </row>
    <row r="35975" spans="7:7">
      <c r="G35975" s="812"/>
    </row>
    <row r="35976" spans="7:7">
      <c r="G35976" s="812"/>
    </row>
    <row r="35977" spans="7:7">
      <c r="G35977" s="812"/>
    </row>
    <row r="35978" spans="7:7">
      <c r="G35978" s="812"/>
    </row>
    <row r="35979" spans="7:7">
      <c r="G35979" s="812"/>
    </row>
    <row r="35980" spans="7:7">
      <c r="G35980" s="812"/>
    </row>
    <row r="35981" spans="7:7">
      <c r="G35981" s="812"/>
    </row>
    <row r="35982" spans="7:7">
      <c r="G35982" s="812"/>
    </row>
    <row r="35983" spans="7:7">
      <c r="G35983" s="812"/>
    </row>
    <row r="35984" spans="7:7">
      <c r="G35984" s="812"/>
    </row>
    <row r="35985" spans="7:7">
      <c r="G35985" s="812"/>
    </row>
    <row r="35986" spans="7:7">
      <c r="G35986" s="812"/>
    </row>
    <row r="35987" spans="7:7">
      <c r="G35987" s="812"/>
    </row>
    <row r="35988" spans="7:7">
      <c r="G35988" s="812"/>
    </row>
    <row r="35989" spans="7:7">
      <c r="G35989" s="812"/>
    </row>
    <row r="35990" spans="7:7">
      <c r="G35990" s="812"/>
    </row>
    <row r="35991" spans="7:7">
      <c r="G35991" s="812"/>
    </row>
    <row r="35992" spans="7:7">
      <c r="G35992" s="812"/>
    </row>
    <row r="35993" spans="7:7">
      <c r="G35993" s="812"/>
    </row>
    <row r="35994" spans="7:7">
      <c r="G35994" s="812"/>
    </row>
    <row r="35995" spans="7:7">
      <c r="G35995" s="812"/>
    </row>
    <row r="35996" spans="7:7">
      <c r="G35996" s="812"/>
    </row>
    <row r="35997" spans="7:7">
      <c r="G35997" s="812"/>
    </row>
    <row r="35998" spans="7:7">
      <c r="G35998" s="812"/>
    </row>
    <row r="35999" spans="7:7">
      <c r="G35999" s="812"/>
    </row>
    <row r="36000" spans="7:7">
      <c r="G36000" s="812"/>
    </row>
    <row r="36001" spans="7:7">
      <c r="G36001" s="812"/>
    </row>
    <row r="36002" spans="7:7">
      <c r="G36002" s="812"/>
    </row>
    <row r="36003" spans="7:7">
      <c r="G36003" s="812"/>
    </row>
    <row r="36004" spans="7:7">
      <c r="G36004" s="812"/>
    </row>
    <row r="36005" spans="7:7">
      <c r="G36005" s="812"/>
    </row>
    <row r="36006" spans="7:7">
      <c r="G36006" s="812"/>
    </row>
    <row r="36007" spans="7:7">
      <c r="G36007" s="812"/>
    </row>
    <row r="36008" spans="7:7">
      <c r="G36008" s="812"/>
    </row>
    <row r="36009" spans="7:7">
      <c r="G36009" s="812"/>
    </row>
    <row r="36010" spans="7:7">
      <c r="G36010" s="812"/>
    </row>
    <row r="36011" spans="7:7">
      <c r="G36011" s="812"/>
    </row>
    <row r="36012" spans="7:7">
      <c r="G36012" s="812"/>
    </row>
    <row r="36013" spans="7:7">
      <c r="G36013" s="812"/>
    </row>
    <row r="36014" spans="7:7">
      <c r="G36014" s="812"/>
    </row>
    <row r="36015" spans="7:7">
      <c r="G36015" s="812"/>
    </row>
    <row r="36016" spans="7:7">
      <c r="G36016" s="812"/>
    </row>
    <row r="36017" spans="7:7">
      <c r="G36017" s="812"/>
    </row>
    <row r="36018" spans="7:7">
      <c r="G36018" s="812"/>
    </row>
    <row r="36019" spans="7:7">
      <c r="G36019" s="812"/>
    </row>
    <row r="36020" spans="7:7">
      <c r="G36020" s="812"/>
    </row>
    <row r="36021" spans="7:7">
      <c r="G36021" s="812"/>
    </row>
    <row r="36022" spans="7:7">
      <c r="G36022" s="812"/>
    </row>
    <row r="36023" spans="7:7">
      <c r="G36023" s="812"/>
    </row>
    <row r="36024" spans="7:7">
      <c r="G36024" s="812"/>
    </row>
    <row r="36025" spans="7:7">
      <c r="G36025" s="812"/>
    </row>
    <row r="36026" spans="7:7">
      <c r="G36026" s="812"/>
    </row>
    <row r="36027" spans="7:7">
      <c r="G36027" s="812"/>
    </row>
    <row r="36028" spans="7:7">
      <c r="G36028" s="812"/>
    </row>
    <row r="36029" spans="7:7">
      <c r="G36029" s="812"/>
    </row>
    <row r="36030" spans="7:7">
      <c r="G36030" s="812"/>
    </row>
    <row r="36031" spans="7:7">
      <c r="G36031" s="812"/>
    </row>
    <row r="36032" spans="7:7">
      <c r="G36032" s="812"/>
    </row>
    <row r="36033" spans="7:7">
      <c r="G36033" s="812"/>
    </row>
    <row r="36034" spans="7:7">
      <c r="G36034" s="812"/>
    </row>
    <row r="36035" spans="7:7">
      <c r="G36035" s="812"/>
    </row>
    <row r="36036" spans="7:7">
      <c r="G36036" s="812"/>
    </row>
    <row r="36037" spans="7:7">
      <c r="G36037" s="812"/>
    </row>
    <row r="36038" spans="7:7">
      <c r="G36038" s="812"/>
    </row>
    <row r="36039" spans="7:7">
      <c r="G36039" s="812"/>
    </row>
    <row r="36040" spans="7:7">
      <c r="G36040" s="812"/>
    </row>
    <row r="36041" spans="7:7">
      <c r="G36041" s="812"/>
    </row>
    <row r="36042" spans="7:7">
      <c r="G36042" s="812"/>
    </row>
    <row r="36043" spans="7:7">
      <c r="G36043" s="812"/>
    </row>
    <row r="36044" spans="7:7">
      <c r="G36044" s="812"/>
    </row>
    <row r="36045" spans="7:7">
      <c r="G36045" s="812"/>
    </row>
    <row r="36046" spans="7:7">
      <c r="G36046" s="812"/>
    </row>
    <row r="36047" spans="7:7">
      <c r="G36047" s="812"/>
    </row>
    <row r="36048" spans="7:7">
      <c r="G36048" s="812"/>
    </row>
    <row r="36049" spans="7:7">
      <c r="G36049" s="812"/>
    </row>
    <row r="36050" spans="7:7">
      <c r="G36050" s="812"/>
    </row>
    <row r="36051" spans="7:7">
      <c r="G36051" s="812"/>
    </row>
    <row r="36052" spans="7:7">
      <c r="G36052" s="812"/>
    </row>
    <row r="36053" spans="7:7">
      <c r="G36053" s="812"/>
    </row>
    <row r="36054" spans="7:7">
      <c r="G36054" s="812"/>
    </row>
    <row r="36055" spans="7:7">
      <c r="G36055" s="812"/>
    </row>
    <row r="36056" spans="7:7">
      <c r="G36056" s="812"/>
    </row>
    <row r="36057" spans="7:7">
      <c r="G36057" s="812"/>
    </row>
    <row r="36058" spans="7:7">
      <c r="G36058" s="812"/>
    </row>
    <row r="36059" spans="7:7">
      <c r="G36059" s="812"/>
    </row>
    <row r="36060" spans="7:7">
      <c r="G36060" s="812"/>
    </row>
    <row r="36061" spans="7:7">
      <c r="G36061" s="812"/>
    </row>
    <row r="36062" spans="7:7">
      <c r="G36062" s="812"/>
    </row>
    <row r="36063" spans="7:7">
      <c r="G36063" s="812"/>
    </row>
    <row r="36064" spans="7:7">
      <c r="G36064" s="812"/>
    </row>
    <row r="36065" spans="7:7">
      <c r="G36065" s="812"/>
    </row>
    <row r="36066" spans="7:7">
      <c r="G36066" s="812"/>
    </row>
    <row r="36067" spans="7:7">
      <c r="G36067" s="812"/>
    </row>
    <row r="36068" spans="7:7">
      <c r="G36068" s="812"/>
    </row>
    <row r="36069" spans="7:7">
      <c r="G36069" s="812"/>
    </row>
    <row r="36070" spans="7:7">
      <c r="G36070" s="812"/>
    </row>
    <row r="36071" spans="7:7">
      <c r="G36071" s="812"/>
    </row>
    <row r="36072" spans="7:7">
      <c r="G36072" s="812"/>
    </row>
    <row r="36073" spans="7:7">
      <c r="G36073" s="812"/>
    </row>
    <row r="36074" spans="7:7">
      <c r="G36074" s="812"/>
    </row>
    <row r="36075" spans="7:7">
      <c r="G36075" s="812"/>
    </row>
    <row r="36076" spans="7:7">
      <c r="G36076" s="812"/>
    </row>
    <row r="36077" spans="7:7">
      <c r="G36077" s="812"/>
    </row>
    <row r="36078" spans="7:7">
      <c r="G36078" s="812"/>
    </row>
    <row r="36079" spans="7:7">
      <c r="G36079" s="812"/>
    </row>
    <row r="36080" spans="7:7">
      <c r="G36080" s="812"/>
    </row>
    <row r="36081" spans="7:7">
      <c r="G36081" s="812"/>
    </row>
    <row r="36082" spans="7:7">
      <c r="G36082" s="812"/>
    </row>
    <row r="36083" spans="7:7">
      <c r="G36083" s="812"/>
    </row>
    <row r="36084" spans="7:7">
      <c r="G36084" s="812"/>
    </row>
    <row r="36085" spans="7:7">
      <c r="G36085" s="812"/>
    </row>
    <row r="36086" spans="7:7">
      <c r="G36086" s="812"/>
    </row>
    <row r="36087" spans="7:7">
      <c r="G36087" s="812"/>
    </row>
    <row r="36088" spans="7:7">
      <c r="G36088" s="812"/>
    </row>
    <row r="36089" spans="7:7">
      <c r="G36089" s="812"/>
    </row>
    <row r="36090" spans="7:7">
      <c r="G36090" s="812"/>
    </row>
    <row r="36091" spans="7:7">
      <c r="G36091" s="812"/>
    </row>
    <row r="36092" spans="7:7">
      <c r="G36092" s="812"/>
    </row>
    <row r="36093" spans="7:7">
      <c r="G36093" s="812"/>
    </row>
    <row r="36094" spans="7:7">
      <c r="G36094" s="812"/>
    </row>
    <row r="36095" spans="7:7">
      <c r="G36095" s="812"/>
    </row>
    <row r="36096" spans="7:7">
      <c r="G36096" s="812"/>
    </row>
    <row r="36097" spans="7:7">
      <c r="G36097" s="812"/>
    </row>
    <row r="36098" spans="7:7">
      <c r="G36098" s="812"/>
    </row>
    <row r="36099" spans="7:7">
      <c r="G36099" s="812"/>
    </row>
    <row r="36100" spans="7:7">
      <c r="G36100" s="812"/>
    </row>
    <row r="36101" spans="7:7">
      <c r="G36101" s="812"/>
    </row>
    <row r="36102" spans="7:7">
      <c r="G36102" s="812"/>
    </row>
    <row r="36103" spans="7:7">
      <c r="G36103" s="812"/>
    </row>
    <row r="36104" spans="7:7">
      <c r="G36104" s="812"/>
    </row>
    <row r="36105" spans="7:7">
      <c r="G36105" s="812"/>
    </row>
    <row r="36106" spans="7:7">
      <c r="G36106" s="812"/>
    </row>
    <row r="36107" spans="7:7">
      <c r="G36107" s="812"/>
    </row>
    <row r="36108" spans="7:7">
      <c r="G36108" s="812"/>
    </row>
    <row r="36109" spans="7:7">
      <c r="G36109" s="812"/>
    </row>
    <row r="36110" spans="7:7">
      <c r="G36110" s="812"/>
    </row>
    <row r="36111" spans="7:7">
      <c r="G36111" s="812"/>
    </row>
    <row r="36112" spans="7:7">
      <c r="G36112" s="812"/>
    </row>
    <row r="36113" spans="7:7">
      <c r="G36113" s="812"/>
    </row>
    <row r="36114" spans="7:7">
      <c r="G36114" s="812"/>
    </row>
    <row r="36115" spans="7:7">
      <c r="G36115" s="812"/>
    </row>
    <row r="36116" spans="7:7">
      <c r="G36116" s="812"/>
    </row>
    <row r="36117" spans="7:7">
      <c r="G36117" s="812"/>
    </row>
    <row r="36118" spans="7:7">
      <c r="G36118" s="812"/>
    </row>
    <row r="36119" spans="7:7">
      <c r="G36119" s="812"/>
    </row>
    <row r="36120" spans="7:7">
      <c r="G36120" s="812"/>
    </row>
    <row r="36121" spans="7:7">
      <c r="G36121" s="812"/>
    </row>
    <row r="36122" spans="7:7">
      <c r="G36122" s="812"/>
    </row>
    <row r="36123" spans="7:7">
      <c r="G36123" s="812"/>
    </row>
    <row r="36124" spans="7:7">
      <c r="G36124" s="812"/>
    </row>
    <row r="36125" spans="7:7">
      <c r="G36125" s="812"/>
    </row>
    <row r="36126" spans="7:7">
      <c r="G36126" s="812"/>
    </row>
    <row r="36127" spans="7:7">
      <c r="G36127" s="812"/>
    </row>
    <row r="36128" spans="7:7">
      <c r="G36128" s="812"/>
    </row>
    <row r="36129" spans="7:7">
      <c r="G36129" s="812"/>
    </row>
    <row r="36130" spans="7:7">
      <c r="G36130" s="812"/>
    </row>
    <row r="36131" spans="7:7">
      <c r="G36131" s="812"/>
    </row>
    <row r="36132" spans="7:7">
      <c r="G36132" s="812"/>
    </row>
    <row r="36133" spans="7:7">
      <c r="G36133" s="812"/>
    </row>
    <row r="36134" spans="7:7">
      <c r="G36134" s="812"/>
    </row>
    <row r="36135" spans="7:7">
      <c r="G36135" s="812"/>
    </row>
    <row r="36136" spans="7:7">
      <c r="G36136" s="812"/>
    </row>
    <row r="36137" spans="7:7">
      <c r="G36137" s="812"/>
    </row>
    <row r="36138" spans="7:7">
      <c r="G36138" s="812"/>
    </row>
    <row r="36139" spans="7:7">
      <c r="G36139" s="812"/>
    </row>
    <row r="36140" spans="7:7">
      <c r="G36140" s="812"/>
    </row>
    <row r="36141" spans="7:7">
      <c r="G36141" s="812"/>
    </row>
    <row r="36142" spans="7:7">
      <c r="G36142" s="812"/>
    </row>
    <row r="36143" spans="7:7">
      <c r="G36143" s="812"/>
    </row>
    <row r="36144" spans="7:7">
      <c r="G36144" s="812"/>
    </row>
    <row r="36145" spans="7:7">
      <c r="G36145" s="812"/>
    </row>
    <row r="36146" spans="7:7">
      <c r="G36146" s="812"/>
    </row>
    <row r="36147" spans="7:7">
      <c r="G36147" s="812"/>
    </row>
    <row r="36148" spans="7:7">
      <c r="G36148" s="812"/>
    </row>
    <row r="36149" spans="7:7">
      <c r="G36149" s="812"/>
    </row>
    <row r="36150" spans="7:7">
      <c r="G36150" s="812"/>
    </row>
    <row r="36151" spans="7:7">
      <c r="G36151" s="812"/>
    </row>
    <row r="36152" spans="7:7">
      <c r="G36152" s="812"/>
    </row>
    <row r="36153" spans="7:7">
      <c r="G36153" s="812"/>
    </row>
    <row r="36154" spans="7:7">
      <c r="G36154" s="812"/>
    </row>
    <row r="36155" spans="7:7">
      <c r="G36155" s="812"/>
    </row>
    <row r="36156" spans="7:7">
      <c r="G36156" s="812"/>
    </row>
    <row r="36157" spans="7:7">
      <c r="G36157" s="812"/>
    </row>
    <row r="36158" spans="7:7">
      <c r="G36158" s="812"/>
    </row>
    <row r="36159" spans="7:7">
      <c r="G36159" s="812"/>
    </row>
    <row r="36160" spans="7:7">
      <c r="G36160" s="812"/>
    </row>
    <row r="36161" spans="7:7">
      <c r="G36161" s="812"/>
    </row>
    <row r="36162" spans="7:7">
      <c r="G36162" s="812"/>
    </row>
    <row r="36163" spans="7:7">
      <c r="G36163" s="812"/>
    </row>
    <row r="36164" spans="7:7">
      <c r="G36164" s="812"/>
    </row>
    <row r="36165" spans="7:7">
      <c r="G36165" s="812"/>
    </row>
    <row r="36166" spans="7:7">
      <c r="G36166" s="812"/>
    </row>
    <row r="36167" spans="7:7">
      <c r="G36167" s="812"/>
    </row>
    <row r="36168" spans="7:7">
      <c r="G36168" s="812"/>
    </row>
    <row r="36169" spans="7:7">
      <c r="G36169" s="812"/>
    </row>
    <row r="36170" spans="7:7">
      <c r="G36170" s="812"/>
    </row>
    <row r="36171" spans="7:7">
      <c r="G36171" s="812"/>
    </row>
    <row r="36172" spans="7:7">
      <c r="G36172" s="812"/>
    </row>
    <row r="36173" spans="7:7">
      <c r="G36173" s="812"/>
    </row>
    <row r="36174" spans="7:7">
      <c r="G36174" s="812"/>
    </row>
    <row r="36175" spans="7:7">
      <c r="G36175" s="812"/>
    </row>
    <row r="36176" spans="7:7">
      <c r="G36176" s="812"/>
    </row>
    <row r="36177" spans="7:7">
      <c r="G36177" s="812"/>
    </row>
    <row r="36178" spans="7:7">
      <c r="G36178" s="812"/>
    </row>
    <row r="36179" spans="7:7">
      <c r="G36179" s="812"/>
    </row>
    <row r="36180" spans="7:7">
      <c r="G36180" s="812"/>
    </row>
    <row r="36181" spans="7:7">
      <c r="G36181" s="812"/>
    </row>
    <row r="36182" spans="7:7">
      <c r="G36182" s="812"/>
    </row>
    <row r="36183" spans="7:7">
      <c r="G36183" s="812"/>
    </row>
    <row r="36184" spans="7:7">
      <c r="G36184" s="812"/>
    </row>
    <row r="36185" spans="7:7">
      <c r="G36185" s="812"/>
    </row>
    <row r="36186" spans="7:7">
      <c r="G36186" s="812"/>
    </row>
    <row r="36187" spans="7:7">
      <c r="G36187" s="812"/>
    </row>
    <row r="36188" spans="7:7">
      <c r="G36188" s="812"/>
    </row>
    <row r="36189" spans="7:7">
      <c r="G36189" s="812"/>
    </row>
    <row r="36190" spans="7:7">
      <c r="G36190" s="812"/>
    </row>
    <row r="36191" spans="7:7">
      <c r="G36191" s="812"/>
    </row>
    <row r="36192" spans="7:7">
      <c r="G36192" s="812"/>
    </row>
    <row r="36193" spans="7:7">
      <c r="G36193" s="812"/>
    </row>
    <row r="36194" spans="7:7">
      <c r="G36194" s="812"/>
    </row>
    <row r="36195" spans="7:7">
      <c r="G36195" s="812"/>
    </row>
    <row r="36196" spans="7:7">
      <c r="G36196" s="812"/>
    </row>
    <row r="36197" spans="7:7">
      <c r="G36197" s="812"/>
    </row>
    <row r="36198" spans="7:7">
      <c r="G36198" s="812"/>
    </row>
    <row r="36199" spans="7:7">
      <c r="G36199" s="812"/>
    </row>
    <row r="36200" spans="7:7">
      <c r="G36200" s="812"/>
    </row>
    <row r="36201" spans="7:7">
      <c r="G36201" s="812"/>
    </row>
    <row r="36202" spans="7:7">
      <c r="G36202" s="812"/>
    </row>
    <row r="36203" spans="7:7">
      <c r="G36203" s="812"/>
    </row>
    <row r="36204" spans="7:7">
      <c r="G36204" s="812"/>
    </row>
    <row r="36205" spans="7:7">
      <c r="G36205" s="812"/>
    </row>
    <row r="36206" spans="7:7">
      <c r="G36206" s="812"/>
    </row>
    <row r="36207" spans="7:7">
      <c r="G36207" s="812"/>
    </row>
    <row r="36208" spans="7:7">
      <c r="G36208" s="812"/>
    </row>
    <row r="36209" spans="7:7">
      <c r="G36209" s="812"/>
    </row>
    <row r="36210" spans="7:7">
      <c r="G36210" s="812"/>
    </row>
    <row r="36211" spans="7:7">
      <c r="G36211" s="812"/>
    </row>
    <row r="36212" spans="7:7">
      <c r="G36212" s="812"/>
    </row>
    <row r="36213" spans="7:7">
      <c r="G36213" s="812"/>
    </row>
    <row r="36214" spans="7:7">
      <c r="G36214" s="812"/>
    </row>
    <row r="36215" spans="7:7">
      <c r="G36215" s="812"/>
    </row>
    <row r="36216" spans="7:7">
      <c r="G36216" s="812"/>
    </row>
    <row r="36217" spans="7:7">
      <c r="G36217" s="812"/>
    </row>
    <row r="36218" spans="7:7">
      <c r="G36218" s="812"/>
    </row>
    <row r="36219" spans="7:7">
      <c r="G36219" s="812"/>
    </row>
    <row r="36220" spans="7:7">
      <c r="G36220" s="812"/>
    </row>
    <row r="36221" spans="7:7">
      <c r="G36221" s="812"/>
    </row>
    <row r="36222" spans="7:7">
      <c r="G36222" s="812"/>
    </row>
    <row r="36223" spans="7:7">
      <c r="G36223" s="812"/>
    </row>
    <row r="36224" spans="7:7">
      <c r="G36224" s="812"/>
    </row>
    <row r="36225" spans="7:7">
      <c r="G36225" s="812"/>
    </row>
    <row r="36226" spans="7:7">
      <c r="G36226" s="812"/>
    </row>
    <row r="36227" spans="7:7">
      <c r="G36227" s="812"/>
    </row>
    <row r="36228" spans="7:7">
      <c r="G36228" s="812"/>
    </row>
    <row r="36229" spans="7:7">
      <c r="G36229" s="812"/>
    </row>
    <row r="36230" spans="7:7">
      <c r="G36230" s="812"/>
    </row>
    <row r="36231" spans="7:7">
      <c r="G36231" s="812"/>
    </row>
    <row r="36232" spans="7:7">
      <c r="G36232" s="812"/>
    </row>
    <row r="36233" spans="7:7">
      <c r="G36233" s="812"/>
    </row>
    <row r="36234" spans="7:7">
      <c r="G36234" s="812"/>
    </row>
    <row r="36235" spans="7:7">
      <c r="G36235" s="812"/>
    </row>
    <row r="36236" spans="7:7">
      <c r="G36236" s="812"/>
    </row>
    <row r="36237" spans="7:7">
      <c r="G36237" s="812"/>
    </row>
    <row r="36238" spans="7:7">
      <c r="G36238" s="812"/>
    </row>
    <row r="36239" spans="7:7">
      <c r="G36239" s="812"/>
    </row>
    <row r="36240" spans="7:7">
      <c r="G36240" s="812"/>
    </row>
    <row r="36241" spans="7:7">
      <c r="G36241" s="812"/>
    </row>
    <row r="36242" spans="7:7">
      <c r="G36242" s="812"/>
    </row>
    <row r="36243" spans="7:7">
      <c r="G36243" s="812"/>
    </row>
    <row r="36244" spans="7:7">
      <c r="G36244" s="812"/>
    </row>
    <row r="36245" spans="7:7">
      <c r="G36245" s="812"/>
    </row>
    <row r="36246" spans="7:7">
      <c r="G36246" s="812"/>
    </row>
    <row r="36247" spans="7:7">
      <c r="G36247" s="812"/>
    </row>
    <row r="36248" spans="7:7">
      <c r="G36248" s="812"/>
    </row>
    <row r="36249" spans="7:7">
      <c r="G36249" s="812"/>
    </row>
    <row r="36250" spans="7:7">
      <c r="G36250" s="812"/>
    </row>
    <row r="36251" spans="7:7">
      <c r="G36251" s="812"/>
    </row>
    <row r="36252" spans="7:7">
      <c r="G36252" s="812"/>
    </row>
    <row r="36253" spans="7:7">
      <c r="G36253" s="812"/>
    </row>
    <row r="36254" spans="7:7">
      <c r="G36254" s="812"/>
    </row>
    <row r="36255" spans="7:7">
      <c r="G36255" s="812"/>
    </row>
    <row r="36256" spans="7:7">
      <c r="G36256" s="812"/>
    </row>
    <row r="36257" spans="7:7">
      <c r="G36257" s="812"/>
    </row>
    <row r="36258" spans="7:7">
      <c r="G36258" s="812"/>
    </row>
    <row r="36259" spans="7:7">
      <c r="G36259" s="812"/>
    </row>
    <row r="36260" spans="7:7">
      <c r="G36260" s="812"/>
    </row>
    <row r="36261" spans="7:7">
      <c r="G36261" s="812"/>
    </row>
    <row r="36262" spans="7:7">
      <c r="G36262" s="812"/>
    </row>
    <row r="36263" spans="7:7">
      <c r="G36263" s="812"/>
    </row>
    <row r="36264" spans="7:7">
      <c r="G36264" s="812"/>
    </row>
    <row r="36265" spans="7:7">
      <c r="G36265" s="812"/>
    </row>
    <row r="36266" spans="7:7">
      <c r="G36266" s="812"/>
    </row>
    <row r="36267" spans="7:7">
      <c r="G36267" s="812"/>
    </row>
    <row r="36268" spans="7:7">
      <c r="G36268" s="812"/>
    </row>
    <row r="36269" spans="7:7">
      <c r="G36269" s="812"/>
    </row>
    <row r="36270" spans="7:7">
      <c r="G36270" s="812"/>
    </row>
    <row r="36271" spans="7:7">
      <c r="G36271" s="812"/>
    </row>
    <row r="36272" spans="7:7">
      <c r="G36272" s="812"/>
    </row>
    <row r="36273" spans="7:7">
      <c r="G36273" s="812"/>
    </row>
    <row r="36274" spans="7:7">
      <c r="G36274" s="812"/>
    </row>
    <row r="36275" spans="7:7">
      <c r="G36275" s="812"/>
    </row>
    <row r="36276" spans="7:7">
      <c r="G36276" s="812"/>
    </row>
    <row r="36277" spans="7:7">
      <c r="G36277" s="812"/>
    </row>
    <row r="36278" spans="7:7">
      <c r="G36278" s="812"/>
    </row>
    <row r="36279" spans="7:7">
      <c r="G36279" s="812"/>
    </row>
    <row r="36280" spans="7:7">
      <c r="G36280" s="812"/>
    </row>
    <row r="36281" spans="7:7">
      <c r="G36281" s="812"/>
    </row>
    <row r="36282" spans="7:7">
      <c r="G36282" s="812"/>
    </row>
    <row r="36283" spans="7:7">
      <c r="G36283" s="812"/>
    </row>
    <row r="36284" spans="7:7">
      <c r="G36284" s="812"/>
    </row>
    <row r="36285" spans="7:7">
      <c r="G36285" s="812"/>
    </row>
    <row r="36286" spans="7:7">
      <c r="G36286" s="812"/>
    </row>
    <row r="36287" spans="7:7">
      <c r="G36287" s="812"/>
    </row>
    <row r="36288" spans="7:7">
      <c r="G36288" s="812"/>
    </row>
    <row r="36289" spans="7:7">
      <c r="G36289" s="812"/>
    </row>
    <row r="36290" spans="7:7">
      <c r="G36290" s="812"/>
    </row>
    <row r="36291" spans="7:7">
      <c r="G36291" s="812"/>
    </row>
    <row r="36292" spans="7:7">
      <c r="G36292" s="812"/>
    </row>
    <row r="36293" spans="7:7">
      <c r="G36293" s="812"/>
    </row>
    <row r="36294" spans="7:7">
      <c r="G36294" s="812"/>
    </row>
    <row r="36295" spans="7:7">
      <c r="G36295" s="812"/>
    </row>
    <row r="36296" spans="7:7">
      <c r="G36296" s="812"/>
    </row>
    <row r="36297" spans="7:7">
      <c r="G36297" s="812"/>
    </row>
    <row r="36298" spans="7:7">
      <c r="G36298" s="812"/>
    </row>
    <row r="36299" spans="7:7">
      <c r="G36299" s="812"/>
    </row>
    <row r="36300" spans="7:7">
      <c r="G36300" s="812"/>
    </row>
    <row r="36301" spans="7:7">
      <c r="G36301" s="812"/>
    </row>
    <row r="36302" spans="7:7">
      <c r="G36302" s="812"/>
    </row>
    <row r="36303" spans="7:7">
      <c r="G36303" s="812"/>
    </row>
    <row r="36304" spans="7:7">
      <c r="G36304" s="812"/>
    </row>
    <row r="36305" spans="7:7">
      <c r="G36305" s="812"/>
    </row>
    <row r="36306" spans="7:7">
      <c r="G36306" s="812"/>
    </row>
    <row r="36307" spans="7:7">
      <c r="G36307" s="812"/>
    </row>
    <row r="36308" spans="7:7">
      <c r="G36308" s="812"/>
    </row>
    <row r="36309" spans="7:7">
      <c r="G36309" s="812"/>
    </row>
    <row r="36310" spans="7:7">
      <c r="G36310" s="812"/>
    </row>
    <row r="36311" spans="7:7">
      <c r="G36311" s="812"/>
    </row>
    <row r="36312" spans="7:7">
      <c r="G36312" s="812"/>
    </row>
    <row r="36313" spans="7:7">
      <c r="G36313" s="812"/>
    </row>
    <row r="36314" spans="7:7">
      <c r="G36314" s="812"/>
    </row>
    <row r="36315" spans="7:7">
      <c r="G36315" s="812"/>
    </row>
    <row r="36316" spans="7:7">
      <c r="G36316" s="812"/>
    </row>
    <row r="36317" spans="7:7">
      <c r="G36317" s="812"/>
    </row>
    <row r="36318" spans="7:7">
      <c r="G36318" s="812"/>
    </row>
    <row r="36319" spans="7:7">
      <c r="G36319" s="812"/>
    </row>
    <row r="36320" spans="7:7">
      <c r="G36320" s="812"/>
    </row>
    <row r="36321" spans="7:7">
      <c r="G36321" s="812"/>
    </row>
    <row r="36322" spans="7:7">
      <c r="G36322" s="812"/>
    </row>
    <row r="36323" spans="7:7">
      <c r="G36323" s="812"/>
    </row>
    <row r="36324" spans="7:7">
      <c r="G36324" s="812"/>
    </row>
    <row r="36325" spans="7:7">
      <c r="G36325" s="812"/>
    </row>
    <row r="36326" spans="7:7">
      <c r="G36326" s="812"/>
    </row>
    <row r="36327" spans="7:7">
      <c r="G36327" s="812"/>
    </row>
    <row r="36328" spans="7:7">
      <c r="G36328" s="812"/>
    </row>
    <row r="36329" spans="7:7">
      <c r="G36329" s="812"/>
    </row>
    <row r="36330" spans="7:7">
      <c r="G36330" s="812"/>
    </row>
    <row r="36331" spans="7:7">
      <c r="G36331" s="812"/>
    </row>
    <row r="36332" spans="7:7">
      <c r="G36332" s="812"/>
    </row>
    <row r="36333" spans="7:7">
      <c r="G36333" s="812"/>
    </row>
    <row r="36334" spans="7:7">
      <c r="G36334" s="812"/>
    </row>
    <row r="36335" spans="7:7">
      <c r="G36335" s="812"/>
    </row>
    <row r="36336" spans="7:7">
      <c r="G36336" s="812"/>
    </row>
    <row r="36337" spans="7:7">
      <c r="G36337" s="812"/>
    </row>
    <row r="36338" spans="7:7">
      <c r="G36338" s="812"/>
    </row>
    <row r="36339" spans="7:7">
      <c r="G36339" s="812"/>
    </row>
    <row r="36340" spans="7:7">
      <c r="G36340" s="812"/>
    </row>
    <row r="36341" spans="7:7">
      <c r="G36341" s="812"/>
    </row>
    <row r="36342" spans="7:7">
      <c r="G36342" s="812"/>
    </row>
    <row r="36343" spans="7:7">
      <c r="G36343" s="812"/>
    </row>
    <row r="36344" spans="7:7">
      <c r="G36344" s="812"/>
    </row>
    <row r="36345" spans="7:7">
      <c r="G36345" s="812"/>
    </row>
    <row r="36346" spans="7:7">
      <c r="G36346" s="812"/>
    </row>
    <row r="36347" spans="7:7">
      <c r="G36347" s="812"/>
    </row>
    <row r="36348" spans="7:7">
      <c r="G36348" s="812"/>
    </row>
    <row r="36349" spans="7:7">
      <c r="G36349" s="812"/>
    </row>
    <row r="36350" spans="7:7">
      <c r="G36350" s="812"/>
    </row>
    <row r="36351" spans="7:7">
      <c r="G36351" s="812"/>
    </row>
    <row r="36352" spans="7:7">
      <c r="G36352" s="812"/>
    </row>
    <row r="36353" spans="7:7">
      <c r="G36353" s="812"/>
    </row>
    <row r="36354" spans="7:7">
      <c r="G36354" s="812"/>
    </row>
    <row r="36355" spans="7:7">
      <c r="G36355" s="812"/>
    </row>
    <row r="36356" spans="7:7">
      <c r="G36356" s="812"/>
    </row>
    <row r="36357" spans="7:7">
      <c r="G36357" s="812"/>
    </row>
    <row r="36358" spans="7:7">
      <c r="G36358" s="812"/>
    </row>
    <row r="36359" spans="7:7">
      <c r="G36359" s="812"/>
    </row>
    <row r="36360" spans="7:7">
      <c r="G36360" s="812"/>
    </row>
    <row r="36361" spans="7:7">
      <c r="G36361" s="812"/>
    </row>
    <row r="36362" spans="7:7">
      <c r="G36362" s="812"/>
    </row>
    <row r="36363" spans="7:7">
      <c r="G36363" s="812"/>
    </row>
    <row r="36364" spans="7:7">
      <c r="G36364" s="812"/>
    </row>
    <row r="36365" spans="7:7">
      <c r="G36365" s="812"/>
    </row>
    <row r="36366" spans="7:7">
      <c r="G36366" s="812"/>
    </row>
    <row r="36367" spans="7:7">
      <c r="G36367" s="812"/>
    </row>
    <row r="36368" spans="7:7">
      <c r="G36368" s="812"/>
    </row>
    <row r="36369" spans="7:7">
      <c r="G36369" s="812"/>
    </row>
    <row r="36370" spans="7:7">
      <c r="G36370" s="812"/>
    </row>
    <row r="36371" spans="7:7">
      <c r="G36371" s="812"/>
    </row>
    <row r="36372" spans="7:7">
      <c r="G36372" s="812"/>
    </row>
    <row r="36373" spans="7:7">
      <c r="G36373" s="812"/>
    </row>
    <row r="36374" spans="7:7">
      <c r="G36374" s="812"/>
    </row>
    <row r="36375" spans="7:7">
      <c r="G36375" s="812"/>
    </row>
    <row r="36376" spans="7:7">
      <c r="G36376" s="812"/>
    </row>
    <row r="36377" spans="7:7">
      <c r="G36377" s="812"/>
    </row>
    <row r="36378" spans="7:7">
      <c r="G36378" s="812"/>
    </row>
    <row r="36379" spans="7:7">
      <c r="G36379" s="812"/>
    </row>
    <row r="36380" spans="7:7">
      <c r="G36380" s="812"/>
    </row>
    <row r="36381" spans="7:7">
      <c r="G36381" s="812"/>
    </row>
    <row r="36382" spans="7:7">
      <c r="G36382" s="812"/>
    </row>
    <row r="36383" spans="7:7">
      <c r="G36383" s="812"/>
    </row>
    <row r="36384" spans="7:7">
      <c r="G36384" s="812"/>
    </row>
    <row r="36385" spans="7:7">
      <c r="G36385" s="812"/>
    </row>
    <row r="36386" spans="7:7">
      <c r="G36386" s="812"/>
    </row>
    <row r="36387" spans="7:7">
      <c r="G36387" s="812"/>
    </row>
    <row r="36388" spans="7:7">
      <c r="G36388" s="812"/>
    </row>
    <row r="36389" spans="7:7">
      <c r="G36389" s="812"/>
    </row>
    <row r="36390" spans="7:7">
      <c r="G36390" s="812"/>
    </row>
    <row r="36391" spans="7:7">
      <c r="G36391" s="812"/>
    </row>
    <row r="36392" spans="7:7">
      <c r="G36392" s="812"/>
    </row>
    <row r="36393" spans="7:7">
      <c r="G36393" s="812"/>
    </row>
    <row r="36394" spans="7:7">
      <c r="G36394" s="812"/>
    </row>
    <row r="36395" spans="7:7">
      <c r="G36395" s="812"/>
    </row>
    <row r="36396" spans="7:7">
      <c r="G36396" s="812"/>
    </row>
    <row r="36397" spans="7:7">
      <c r="G36397" s="812"/>
    </row>
    <row r="36398" spans="7:7">
      <c r="G36398" s="812"/>
    </row>
    <row r="36399" spans="7:7">
      <c r="G36399" s="812"/>
    </row>
    <row r="36400" spans="7:7">
      <c r="G36400" s="812"/>
    </row>
    <row r="36401" spans="7:7">
      <c r="G36401" s="812"/>
    </row>
    <row r="36402" spans="7:7">
      <c r="G36402" s="812"/>
    </row>
    <row r="36403" spans="7:7">
      <c r="G36403" s="812"/>
    </row>
    <row r="36404" spans="7:7">
      <c r="G36404" s="812"/>
    </row>
    <row r="36405" spans="7:7">
      <c r="G36405" s="812"/>
    </row>
    <row r="36406" spans="7:7">
      <c r="G36406" s="812"/>
    </row>
    <row r="36407" spans="7:7">
      <c r="G36407" s="812"/>
    </row>
    <row r="36408" spans="7:7">
      <c r="G36408" s="812"/>
    </row>
    <row r="36409" spans="7:7">
      <c r="G36409" s="812"/>
    </row>
    <row r="36410" spans="7:7">
      <c r="G36410" s="812"/>
    </row>
    <row r="36411" spans="7:7">
      <c r="G36411" s="812"/>
    </row>
    <row r="36412" spans="7:7">
      <c r="G36412" s="812"/>
    </row>
    <row r="36413" spans="7:7">
      <c r="G36413" s="812"/>
    </row>
    <row r="36414" spans="7:7">
      <c r="G36414" s="812"/>
    </row>
    <row r="36415" spans="7:7">
      <c r="G36415" s="812"/>
    </row>
    <row r="36416" spans="7:7">
      <c r="G36416" s="812"/>
    </row>
    <row r="36417" spans="7:7">
      <c r="G36417" s="812"/>
    </row>
    <row r="36418" spans="7:7">
      <c r="G36418" s="812"/>
    </row>
    <row r="36419" spans="7:7">
      <c r="G36419" s="812"/>
    </row>
    <row r="36420" spans="7:7">
      <c r="G36420" s="812"/>
    </row>
    <row r="36421" spans="7:7">
      <c r="G36421" s="812"/>
    </row>
    <row r="36422" spans="7:7">
      <c r="G36422" s="812"/>
    </row>
    <row r="36423" spans="7:7">
      <c r="G36423" s="812"/>
    </row>
    <row r="36424" spans="7:7">
      <c r="G36424" s="812"/>
    </row>
    <row r="36425" spans="7:7">
      <c r="G36425" s="812"/>
    </row>
    <row r="36426" spans="7:7">
      <c r="G36426" s="812"/>
    </row>
    <row r="36427" spans="7:7">
      <c r="G36427" s="812"/>
    </row>
    <row r="36428" spans="7:7">
      <c r="G36428" s="812"/>
    </row>
    <row r="36429" spans="7:7">
      <c r="G36429" s="812"/>
    </row>
    <row r="36430" spans="7:7">
      <c r="G36430" s="812"/>
    </row>
    <row r="36431" spans="7:7">
      <c r="G36431" s="812"/>
    </row>
    <row r="36432" spans="7:7">
      <c r="G36432" s="812"/>
    </row>
    <row r="36433" spans="7:7">
      <c r="G36433" s="812"/>
    </row>
    <row r="36434" spans="7:7">
      <c r="G36434" s="812"/>
    </row>
    <row r="36435" spans="7:7">
      <c r="G36435" s="812"/>
    </row>
    <row r="36436" spans="7:7">
      <c r="G36436" s="812"/>
    </row>
    <row r="36437" spans="7:7">
      <c r="G36437" s="812"/>
    </row>
    <row r="36438" spans="7:7">
      <c r="G36438" s="812"/>
    </row>
    <row r="36439" spans="7:7">
      <c r="G36439" s="812"/>
    </row>
    <row r="36440" spans="7:7">
      <c r="G36440" s="812"/>
    </row>
    <row r="36441" spans="7:7">
      <c r="G36441" s="812"/>
    </row>
    <row r="36442" spans="7:7">
      <c r="G36442" s="812"/>
    </row>
    <row r="36443" spans="7:7">
      <c r="G36443" s="812"/>
    </row>
    <row r="36444" spans="7:7">
      <c r="G36444" s="812"/>
    </row>
    <row r="36445" spans="7:7">
      <c r="G36445" s="812"/>
    </row>
    <row r="36446" spans="7:7">
      <c r="G36446" s="812"/>
    </row>
    <row r="36447" spans="7:7">
      <c r="G36447" s="812"/>
    </row>
    <row r="36448" spans="7:7">
      <c r="G36448" s="812"/>
    </row>
    <row r="36449" spans="7:7">
      <c r="G36449" s="812"/>
    </row>
    <row r="36450" spans="7:7">
      <c r="G36450" s="812"/>
    </row>
    <row r="36451" spans="7:7">
      <c r="G36451" s="812"/>
    </row>
    <row r="36452" spans="7:7">
      <c r="G36452" s="812"/>
    </row>
    <row r="36453" spans="7:7">
      <c r="G36453" s="812"/>
    </row>
    <row r="36454" spans="7:7">
      <c r="G36454" s="812"/>
    </row>
    <row r="36455" spans="7:7">
      <c r="G36455" s="812"/>
    </row>
    <row r="36456" spans="7:7">
      <c r="G36456" s="812"/>
    </row>
    <row r="36457" spans="7:7">
      <c r="G36457" s="812"/>
    </row>
    <row r="36458" spans="7:7">
      <c r="G36458" s="812"/>
    </row>
    <row r="36459" spans="7:7">
      <c r="G36459" s="812"/>
    </row>
    <row r="36460" spans="7:7">
      <c r="G36460" s="812"/>
    </row>
    <row r="36461" spans="7:7">
      <c r="G36461" s="812"/>
    </row>
    <row r="36462" spans="7:7">
      <c r="G36462" s="812"/>
    </row>
    <row r="36463" spans="7:7">
      <c r="G36463" s="812"/>
    </row>
    <row r="36464" spans="7:7">
      <c r="G36464" s="812"/>
    </row>
    <row r="36465" spans="7:7">
      <c r="G36465" s="812"/>
    </row>
    <row r="36466" spans="7:7">
      <c r="G36466" s="812"/>
    </row>
    <row r="36467" spans="7:7">
      <c r="G36467" s="812"/>
    </row>
    <row r="36468" spans="7:7">
      <c r="G36468" s="812"/>
    </row>
    <row r="36469" spans="7:7">
      <c r="G36469" s="812"/>
    </row>
    <row r="36470" spans="7:7">
      <c r="G36470" s="812"/>
    </row>
    <row r="36471" spans="7:7">
      <c r="G36471" s="812"/>
    </row>
    <row r="36472" spans="7:7">
      <c r="G36472" s="812"/>
    </row>
    <row r="36473" spans="7:7">
      <c r="G36473" s="812"/>
    </row>
    <row r="36474" spans="7:7">
      <c r="G36474" s="812"/>
    </row>
    <row r="36475" spans="7:7">
      <c r="G36475" s="812"/>
    </row>
    <row r="36476" spans="7:7">
      <c r="G36476" s="812"/>
    </row>
    <row r="36477" spans="7:7">
      <c r="G36477" s="812"/>
    </row>
    <row r="36478" spans="7:7">
      <c r="G36478" s="812"/>
    </row>
    <row r="36479" spans="7:7">
      <c r="G36479" s="812"/>
    </row>
    <row r="36480" spans="7:7">
      <c r="G36480" s="812"/>
    </row>
    <row r="36481" spans="7:7">
      <c r="G36481" s="812"/>
    </row>
    <row r="36482" spans="7:7">
      <c r="G36482" s="812"/>
    </row>
    <row r="36483" spans="7:7">
      <c r="G36483" s="812"/>
    </row>
    <row r="36484" spans="7:7">
      <c r="G36484" s="812"/>
    </row>
    <row r="36485" spans="7:7">
      <c r="G36485" s="812"/>
    </row>
    <row r="36486" spans="7:7">
      <c r="G36486" s="812"/>
    </row>
    <row r="36487" spans="7:7">
      <c r="G36487" s="812"/>
    </row>
    <row r="36488" spans="7:7">
      <c r="G36488" s="812"/>
    </row>
    <row r="36489" spans="7:7">
      <c r="G36489" s="812"/>
    </row>
    <row r="36490" spans="7:7">
      <c r="G36490" s="812"/>
    </row>
    <row r="36491" spans="7:7">
      <c r="G36491" s="812"/>
    </row>
    <row r="36492" spans="7:7">
      <c r="G36492" s="812"/>
    </row>
    <row r="36493" spans="7:7">
      <c r="G36493" s="812"/>
    </row>
    <row r="36494" spans="7:7">
      <c r="G36494" s="812"/>
    </row>
    <row r="36495" spans="7:7">
      <c r="G36495" s="812"/>
    </row>
    <row r="36496" spans="7:7">
      <c r="G36496" s="812"/>
    </row>
    <row r="36497" spans="7:7">
      <c r="G36497" s="812"/>
    </row>
    <row r="36498" spans="7:7">
      <c r="G36498" s="812"/>
    </row>
    <row r="36499" spans="7:7">
      <c r="G36499" s="812"/>
    </row>
    <row r="36500" spans="7:7">
      <c r="G36500" s="812"/>
    </row>
    <row r="36501" spans="7:7">
      <c r="G36501" s="812"/>
    </row>
    <row r="36502" spans="7:7">
      <c r="G36502" s="812"/>
    </row>
    <row r="36503" spans="7:7">
      <c r="G36503" s="812"/>
    </row>
    <row r="36504" spans="7:7">
      <c r="G36504" s="812"/>
    </row>
    <row r="36505" spans="7:7">
      <c r="G36505" s="812"/>
    </row>
    <row r="36506" spans="7:7">
      <c r="G36506" s="812"/>
    </row>
    <row r="36507" spans="7:7">
      <c r="G36507" s="812"/>
    </row>
    <row r="36508" spans="7:7">
      <c r="G36508" s="812"/>
    </row>
    <row r="36509" spans="7:7">
      <c r="G36509" s="812"/>
    </row>
    <row r="36510" spans="7:7">
      <c r="G36510" s="812"/>
    </row>
    <row r="36511" spans="7:7">
      <c r="G36511" s="812"/>
    </row>
    <row r="36512" spans="7:7">
      <c r="G36512" s="812"/>
    </row>
    <row r="36513" spans="7:7">
      <c r="G36513" s="812"/>
    </row>
    <row r="36514" spans="7:7">
      <c r="G36514" s="812"/>
    </row>
    <row r="36515" spans="7:7">
      <c r="G36515" s="812"/>
    </row>
    <row r="36516" spans="7:7">
      <c r="G36516" s="812"/>
    </row>
    <row r="36517" spans="7:7">
      <c r="G36517" s="812"/>
    </row>
    <row r="36518" spans="7:7">
      <c r="G36518" s="812"/>
    </row>
    <row r="36519" spans="7:7">
      <c r="G36519" s="812"/>
    </row>
    <row r="36520" spans="7:7">
      <c r="G36520" s="812"/>
    </row>
    <row r="36521" spans="7:7">
      <c r="G36521" s="812"/>
    </row>
    <row r="36522" spans="7:7">
      <c r="G36522" s="812"/>
    </row>
    <row r="36523" spans="7:7">
      <c r="G36523" s="812"/>
    </row>
    <row r="36524" spans="7:7">
      <c r="G36524" s="812"/>
    </row>
    <row r="36525" spans="7:7">
      <c r="G36525" s="812"/>
    </row>
    <row r="36526" spans="7:7">
      <c r="G36526" s="812"/>
    </row>
    <row r="36527" spans="7:7">
      <c r="G36527" s="812"/>
    </row>
    <row r="36528" spans="7:7">
      <c r="G36528" s="812"/>
    </row>
    <row r="36529" spans="7:7">
      <c r="G36529" s="812"/>
    </row>
    <row r="36530" spans="7:7">
      <c r="G36530" s="812"/>
    </row>
    <row r="36531" spans="7:7">
      <c r="G36531" s="812"/>
    </row>
    <row r="36532" spans="7:7">
      <c r="G36532" s="812"/>
    </row>
    <row r="36533" spans="7:7">
      <c r="G36533" s="812"/>
    </row>
    <row r="36534" spans="7:7">
      <c r="G36534" s="812"/>
    </row>
    <row r="36535" spans="7:7">
      <c r="G36535" s="812"/>
    </row>
    <row r="36536" spans="7:7">
      <c r="G36536" s="812"/>
    </row>
    <row r="36537" spans="7:7">
      <c r="G36537" s="812"/>
    </row>
    <row r="36538" spans="7:7">
      <c r="G36538" s="812"/>
    </row>
    <row r="36539" spans="7:7">
      <c r="G36539" s="812"/>
    </row>
    <row r="36540" spans="7:7">
      <c r="G36540" s="812"/>
    </row>
    <row r="36541" spans="7:7">
      <c r="G36541" s="812"/>
    </row>
    <row r="36542" spans="7:7">
      <c r="G36542" s="812"/>
    </row>
    <row r="36543" spans="7:7">
      <c r="G36543" s="812"/>
    </row>
    <row r="36544" spans="7:7">
      <c r="G36544" s="812"/>
    </row>
    <row r="36545" spans="7:7">
      <c r="G36545" s="812"/>
    </row>
    <row r="36546" spans="7:7">
      <c r="G36546" s="812"/>
    </row>
    <row r="36547" spans="7:7">
      <c r="G36547" s="812"/>
    </row>
    <row r="36548" spans="7:7">
      <c r="G36548" s="812"/>
    </row>
    <row r="36549" spans="7:7">
      <c r="G36549" s="812"/>
    </row>
    <row r="36550" spans="7:7">
      <c r="G36550" s="812"/>
    </row>
    <row r="36551" spans="7:7">
      <c r="G36551" s="812"/>
    </row>
    <row r="36552" spans="7:7">
      <c r="G36552" s="812"/>
    </row>
    <row r="36553" spans="7:7">
      <c r="G36553" s="812"/>
    </row>
    <row r="36554" spans="7:7">
      <c r="G36554" s="812"/>
    </row>
    <row r="36555" spans="7:7">
      <c r="G36555" s="812"/>
    </row>
    <row r="36556" spans="7:7">
      <c r="G36556" s="812"/>
    </row>
    <row r="36557" spans="7:7">
      <c r="G36557" s="812"/>
    </row>
    <row r="36558" spans="7:7">
      <c r="G36558" s="812"/>
    </row>
    <row r="36559" spans="7:7">
      <c r="G36559" s="812"/>
    </row>
    <row r="36560" spans="7:7">
      <c r="G36560" s="812"/>
    </row>
    <row r="36561" spans="7:7">
      <c r="G36561" s="812"/>
    </row>
    <row r="36562" spans="7:7">
      <c r="G36562" s="812"/>
    </row>
    <row r="36563" spans="7:7">
      <c r="G36563" s="812"/>
    </row>
    <row r="36564" spans="7:7">
      <c r="G36564" s="812"/>
    </row>
    <row r="36565" spans="7:7">
      <c r="G36565" s="812"/>
    </row>
    <row r="36566" spans="7:7">
      <c r="G36566" s="812"/>
    </row>
    <row r="36567" spans="7:7">
      <c r="G36567" s="812"/>
    </row>
    <row r="36568" spans="7:7">
      <c r="G36568" s="812"/>
    </row>
    <row r="36569" spans="7:7">
      <c r="G36569" s="812"/>
    </row>
    <row r="36570" spans="7:7">
      <c r="G36570" s="812"/>
    </row>
    <row r="36571" spans="7:7">
      <c r="G36571" s="812"/>
    </row>
    <row r="36572" spans="7:7">
      <c r="G36572" s="812"/>
    </row>
    <row r="36573" spans="7:7">
      <c r="G36573" s="812"/>
    </row>
    <row r="36574" spans="7:7">
      <c r="G36574" s="812"/>
    </row>
    <row r="36575" spans="7:7">
      <c r="G36575" s="812"/>
    </row>
    <row r="36576" spans="7:7">
      <c r="G36576" s="812"/>
    </row>
    <row r="36577" spans="7:7">
      <c r="G36577" s="812"/>
    </row>
    <row r="36578" spans="7:7">
      <c r="G36578" s="812"/>
    </row>
    <row r="36579" spans="7:7">
      <c r="G36579" s="812"/>
    </row>
    <row r="36580" spans="7:7">
      <c r="G36580" s="812"/>
    </row>
    <row r="36581" spans="7:7">
      <c r="G36581" s="812"/>
    </row>
    <row r="36582" spans="7:7">
      <c r="G36582" s="812"/>
    </row>
    <row r="36583" spans="7:7">
      <c r="G36583" s="812"/>
    </row>
    <row r="36584" spans="7:7">
      <c r="G36584" s="812"/>
    </row>
    <row r="36585" spans="7:7">
      <c r="G36585" s="812"/>
    </row>
    <row r="36586" spans="7:7">
      <c r="G36586" s="812"/>
    </row>
    <row r="36587" spans="7:7">
      <c r="G36587" s="812"/>
    </row>
    <row r="36588" spans="7:7">
      <c r="G36588" s="812"/>
    </row>
    <row r="36589" spans="7:7">
      <c r="G36589" s="812"/>
    </row>
    <row r="36590" spans="7:7">
      <c r="G36590" s="812"/>
    </row>
    <row r="36591" spans="7:7">
      <c r="G36591" s="812"/>
    </row>
    <row r="36592" spans="7:7">
      <c r="G36592" s="812"/>
    </row>
    <row r="36593" spans="7:7">
      <c r="G36593" s="812"/>
    </row>
    <row r="36594" spans="7:7">
      <c r="G36594" s="812"/>
    </row>
    <row r="36595" spans="7:7">
      <c r="G36595" s="812"/>
    </row>
    <row r="36596" spans="7:7">
      <c r="G36596" s="812"/>
    </row>
    <row r="36597" spans="7:7">
      <c r="G36597" s="812"/>
    </row>
    <row r="36598" spans="7:7">
      <c r="G36598" s="812"/>
    </row>
    <row r="36599" spans="7:7">
      <c r="G36599" s="812"/>
    </row>
    <row r="36600" spans="7:7">
      <c r="G36600" s="812"/>
    </row>
    <row r="36601" spans="7:7">
      <c r="G36601" s="812"/>
    </row>
    <row r="36602" spans="7:7">
      <c r="G36602" s="812"/>
    </row>
    <row r="36603" spans="7:7">
      <c r="G36603" s="812"/>
    </row>
    <row r="36604" spans="7:7">
      <c r="G36604" s="812"/>
    </row>
    <row r="36605" spans="7:7">
      <c r="G36605" s="812"/>
    </row>
    <row r="36606" spans="7:7">
      <c r="G36606" s="812"/>
    </row>
    <row r="36607" spans="7:7">
      <c r="G36607" s="812"/>
    </row>
    <row r="36608" spans="7:7">
      <c r="G36608" s="812"/>
    </row>
    <row r="36609" spans="7:7">
      <c r="G36609" s="812"/>
    </row>
    <row r="36610" spans="7:7">
      <c r="G36610" s="812"/>
    </row>
    <row r="36611" spans="7:7">
      <c r="G36611" s="812"/>
    </row>
    <row r="36612" spans="7:7">
      <c r="G36612" s="812"/>
    </row>
    <row r="36613" spans="7:7">
      <c r="G36613" s="812"/>
    </row>
    <row r="36614" spans="7:7">
      <c r="G36614" s="812"/>
    </row>
    <row r="36615" spans="7:7">
      <c r="G36615" s="812"/>
    </row>
    <row r="36616" spans="7:7">
      <c r="G36616" s="812"/>
    </row>
    <row r="36617" spans="7:7">
      <c r="G36617" s="812"/>
    </row>
    <row r="36618" spans="7:7">
      <c r="G36618" s="812"/>
    </row>
    <row r="36619" spans="7:7">
      <c r="G36619" s="812"/>
    </row>
    <row r="36620" spans="7:7">
      <c r="G36620" s="812"/>
    </row>
    <row r="36621" spans="7:7">
      <c r="G36621" s="812"/>
    </row>
    <row r="36622" spans="7:7">
      <c r="G36622" s="812"/>
    </row>
    <row r="36623" spans="7:7">
      <c r="G36623" s="812"/>
    </row>
    <row r="36624" spans="7:7">
      <c r="G36624" s="812"/>
    </row>
    <row r="36625" spans="7:7">
      <c r="G36625" s="812"/>
    </row>
    <row r="36626" spans="7:7">
      <c r="G36626" s="812"/>
    </row>
    <row r="36627" spans="7:7">
      <c r="G36627" s="812"/>
    </row>
    <row r="36628" spans="7:7">
      <c r="G36628" s="812"/>
    </row>
    <row r="36629" spans="7:7">
      <c r="G36629" s="812"/>
    </row>
    <row r="36630" spans="7:7">
      <c r="G36630" s="812"/>
    </row>
    <row r="36631" spans="7:7">
      <c r="G36631" s="812"/>
    </row>
    <row r="36632" spans="7:7">
      <c r="G36632" s="812"/>
    </row>
    <row r="36633" spans="7:7">
      <c r="G36633" s="812"/>
    </row>
    <row r="36634" spans="7:7">
      <c r="G36634" s="812"/>
    </row>
    <row r="36635" spans="7:7">
      <c r="G36635" s="812"/>
    </row>
    <row r="36636" spans="7:7">
      <c r="G36636" s="812"/>
    </row>
    <row r="36637" spans="7:7">
      <c r="G36637" s="812"/>
    </row>
    <row r="36638" spans="7:7">
      <c r="G36638" s="812"/>
    </row>
    <row r="36639" spans="7:7">
      <c r="G36639" s="812"/>
    </row>
    <row r="36640" spans="7:7">
      <c r="G36640" s="812"/>
    </row>
    <row r="36641" spans="7:7">
      <c r="G36641" s="812"/>
    </row>
    <row r="36642" spans="7:7">
      <c r="G36642" s="812"/>
    </row>
    <row r="36643" spans="7:7">
      <c r="G36643" s="812"/>
    </row>
    <row r="36644" spans="7:7">
      <c r="G36644" s="812"/>
    </row>
    <row r="36645" spans="7:7">
      <c r="G36645" s="812"/>
    </row>
    <row r="36646" spans="7:7">
      <c r="G36646" s="812"/>
    </row>
    <row r="36647" spans="7:7">
      <c r="G36647" s="812"/>
    </row>
    <row r="36648" spans="7:7">
      <c r="G36648" s="812"/>
    </row>
    <row r="36649" spans="7:7">
      <c r="G36649" s="812"/>
    </row>
    <row r="36650" spans="7:7">
      <c r="G36650" s="812"/>
    </row>
    <row r="36651" spans="7:7">
      <c r="G36651" s="812"/>
    </row>
    <row r="36652" spans="7:7">
      <c r="G36652" s="812"/>
    </row>
    <row r="36653" spans="7:7">
      <c r="G36653" s="812"/>
    </row>
    <row r="36654" spans="7:7">
      <c r="G36654" s="812"/>
    </row>
    <row r="36655" spans="7:7">
      <c r="G36655" s="812"/>
    </row>
    <row r="36656" spans="7:7">
      <c r="G36656" s="812"/>
    </row>
    <row r="36657" spans="7:7">
      <c r="G36657" s="812"/>
    </row>
    <row r="36658" spans="7:7">
      <c r="G36658" s="812"/>
    </row>
    <row r="36659" spans="7:7">
      <c r="G36659" s="812"/>
    </row>
    <row r="36660" spans="7:7">
      <c r="G36660" s="812"/>
    </row>
    <row r="36661" spans="7:7">
      <c r="G36661" s="812"/>
    </row>
    <row r="36662" spans="7:7">
      <c r="G36662" s="812"/>
    </row>
    <row r="36663" spans="7:7">
      <c r="G36663" s="812"/>
    </row>
    <row r="36664" spans="7:7">
      <c r="G36664" s="812"/>
    </row>
    <row r="36665" spans="7:7">
      <c r="G36665" s="812"/>
    </row>
    <row r="36666" spans="7:7">
      <c r="G36666" s="812"/>
    </row>
    <row r="36667" spans="7:7">
      <c r="G36667" s="812"/>
    </row>
    <row r="36668" spans="7:7">
      <c r="G36668" s="812"/>
    </row>
    <row r="36669" spans="7:7">
      <c r="G36669" s="812"/>
    </row>
    <row r="36670" spans="7:7">
      <c r="G36670" s="812"/>
    </row>
    <row r="36671" spans="7:7">
      <c r="G36671" s="812"/>
    </row>
    <row r="36672" spans="7:7">
      <c r="G36672" s="812"/>
    </row>
    <row r="36673" spans="7:7">
      <c r="G36673" s="812"/>
    </row>
    <row r="36674" spans="7:7">
      <c r="G36674" s="812"/>
    </row>
    <row r="36675" spans="7:7">
      <c r="G36675" s="812"/>
    </row>
    <row r="36676" spans="7:7">
      <c r="G36676" s="812"/>
    </row>
    <row r="36677" spans="7:7">
      <c r="G36677" s="812"/>
    </row>
    <row r="36678" spans="7:7">
      <c r="G36678" s="812"/>
    </row>
    <row r="36679" spans="7:7">
      <c r="G36679" s="812"/>
    </row>
    <row r="36680" spans="7:7">
      <c r="G36680" s="812"/>
    </row>
    <row r="36681" spans="7:7">
      <c r="G36681" s="812"/>
    </row>
    <row r="36682" spans="7:7">
      <c r="G36682" s="812"/>
    </row>
    <row r="36683" spans="7:7">
      <c r="G36683" s="812"/>
    </row>
    <row r="36684" spans="7:7">
      <c r="G36684" s="812"/>
    </row>
    <row r="36685" spans="7:7">
      <c r="G36685" s="812"/>
    </row>
    <row r="36686" spans="7:7">
      <c r="G36686" s="812"/>
    </row>
    <row r="36687" spans="7:7">
      <c r="G36687" s="812"/>
    </row>
    <row r="36688" spans="7:7">
      <c r="G36688" s="812"/>
    </row>
    <row r="36689" spans="7:7">
      <c r="G36689" s="812"/>
    </row>
    <row r="36690" spans="7:7">
      <c r="G36690" s="812"/>
    </row>
    <row r="36691" spans="7:7">
      <c r="G36691" s="812"/>
    </row>
    <row r="36692" spans="7:7">
      <c r="G36692" s="812"/>
    </row>
    <row r="36693" spans="7:7">
      <c r="G36693" s="812"/>
    </row>
    <row r="36694" spans="7:7">
      <c r="G36694" s="812"/>
    </row>
    <row r="36695" spans="7:7">
      <c r="G36695" s="812"/>
    </row>
    <row r="36696" spans="7:7">
      <c r="G36696" s="812"/>
    </row>
    <row r="36697" spans="7:7">
      <c r="G36697" s="812"/>
    </row>
    <row r="36698" spans="7:7">
      <c r="G36698" s="812"/>
    </row>
    <row r="36699" spans="7:7">
      <c r="G36699" s="812"/>
    </row>
    <row r="36700" spans="7:7">
      <c r="G36700" s="812"/>
    </row>
    <row r="36701" spans="7:7">
      <c r="G36701" s="812"/>
    </row>
    <row r="36702" spans="7:7">
      <c r="G36702" s="812"/>
    </row>
    <row r="36703" spans="7:7">
      <c r="G36703" s="812"/>
    </row>
    <row r="36704" spans="7:7">
      <c r="G36704" s="812"/>
    </row>
    <row r="36705" spans="7:7">
      <c r="G36705" s="812"/>
    </row>
    <row r="36706" spans="7:7">
      <c r="G36706" s="812"/>
    </row>
    <row r="36707" spans="7:7">
      <c r="G36707" s="812"/>
    </row>
    <row r="36708" spans="7:7">
      <c r="G36708" s="812"/>
    </row>
    <row r="36709" spans="7:7">
      <c r="G36709" s="812"/>
    </row>
    <row r="36710" spans="7:7">
      <c r="G36710" s="812"/>
    </row>
    <row r="36711" spans="7:7">
      <c r="G36711" s="812"/>
    </row>
    <row r="36712" spans="7:7">
      <c r="G36712" s="812"/>
    </row>
    <row r="36713" spans="7:7">
      <c r="G36713" s="812"/>
    </row>
    <row r="36714" spans="7:7">
      <c r="G36714" s="812"/>
    </row>
    <row r="36715" spans="7:7">
      <c r="G36715" s="812"/>
    </row>
    <row r="36716" spans="7:7">
      <c r="G36716" s="812"/>
    </row>
    <row r="36717" spans="7:7">
      <c r="G36717" s="812"/>
    </row>
    <row r="36718" spans="7:7">
      <c r="G36718" s="812"/>
    </row>
    <row r="36719" spans="7:7">
      <c r="G36719" s="812"/>
    </row>
    <row r="36720" spans="7:7">
      <c r="G36720" s="812"/>
    </row>
    <row r="36721" spans="7:7">
      <c r="G36721" s="812"/>
    </row>
    <row r="36722" spans="7:7">
      <c r="G36722" s="812"/>
    </row>
    <row r="36723" spans="7:7">
      <c r="G36723" s="812"/>
    </row>
    <row r="36724" spans="7:7">
      <c r="G36724" s="812"/>
    </row>
    <row r="36725" spans="7:7">
      <c r="G36725" s="812"/>
    </row>
    <row r="36726" spans="7:7">
      <c r="G36726" s="812"/>
    </row>
    <row r="36727" spans="7:7">
      <c r="G36727" s="812"/>
    </row>
    <row r="36728" spans="7:7">
      <c r="G36728" s="812"/>
    </row>
    <row r="36729" spans="7:7">
      <c r="G36729" s="812"/>
    </row>
    <row r="36730" spans="7:7">
      <c r="G36730" s="812"/>
    </row>
    <row r="36731" spans="7:7">
      <c r="G36731" s="812"/>
    </row>
    <row r="36732" spans="7:7">
      <c r="G36732" s="812"/>
    </row>
    <row r="36733" spans="7:7">
      <c r="G36733" s="812"/>
    </row>
    <row r="36734" spans="7:7">
      <c r="G36734" s="812"/>
    </row>
    <row r="36735" spans="7:7">
      <c r="G36735" s="812"/>
    </row>
    <row r="36736" spans="7:7">
      <c r="G36736" s="812"/>
    </row>
    <row r="36737" spans="7:7">
      <c r="G36737" s="812"/>
    </row>
    <row r="36738" spans="7:7">
      <c r="G36738" s="812"/>
    </row>
    <row r="36739" spans="7:7">
      <c r="G36739" s="812"/>
    </row>
    <row r="36740" spans="7:7">
      <c r="G36740" s="812"/>
    </row>
    <row r="36741" spans="7:7">
      <c r="G36741" s="812"/>
    </row>
    <row r="36742" spans="7:7">
      <c r="G36742" s="812"/>
    </row>
    <row r="36743" spans="7:7">
      <c r="G36743" s="812"/>
    </row>
    <row r="36744" spans="7:7">
      <c r="G36744" s="812"/>
    </row>
    <row r="36745" spans="7:7">
      <c r="G36745" s="812"/>
    </row>
    <row r="36746" spans="7:7">
      <c r="G36746" s="812"/>
    </row>
    <row r="36747" spans="7:7">
      <c r="G36747" s="812"/>
    </row>
    <row r="36748" spans="7:7">
      <c r="G36748" s="812"/>
    </row>
    <row r="36749" spans="7:7">
      <c r="G36749" s="812"/>
    </row>
    <row r="36750" spans="7:7">
      <c r="G36750" s="812"/>
    </row>
    <row r="36751" spans="7:7">
      <c r="G36751" s="812"/>
    </row>
    <row r="36752" spans="7:7">
      <c r="G36752" s="812"/>
    </row>
    <row r="36753" spans="7:7">
      <c r="G36753" s="812"/>
    </row>
    <row r="36754" spans="7:7">
      <c r="G36754" s="812"/>
    </row>
    <row r="36755" spans="7:7">
      <c r="G36755" s="812"/>
    </row>
    <row r="36756" spans="7:7">
      <c r="G36756" s="812"/>
    </row>
    <row r="36757" spans="7:7">
      <c r="G36757" s="812"/>
    </row>
    <row r="36758" spans="7:7">
      <c r="G36758" s="812"/>
    </row>
    <row r="36759" spans="7:7">
      <c r="G36759" s="812"/>
    </row>
    <row r="36760" spans="7:7">
      <c r="G36760" s="812"/>
    </row>
    <row r="36761" spans="7:7">
      <c r="G36761" s="812"/>
    </row>
    <row r="36762" spans="7:7">
      <c r="G36762" s="812"/>
    </row>
    <row r="36763" spans="7:7">
      <c r="G36763" s="812"/>
    </row>
    <row r="36764" spans="7:7">
      <c r="G36764" s="812"/>
    </row>
    <row r="36765" spans="7:7">
      <c r="G36765" s="812"/>
    </row>
    <row r="36766" spans="7:7">
      <c r="G36766" s="812"/>
    </row>
    <row r="36767" spans="7:7">
      <c r="G36767" s="812"/>
    </row>
    <row r="36768" spans="7:7">
      <c r="G36768" s="812"/>
    </row>
    <row r="36769" spans="7:7">
      <c r="G36769" s="812"/>
    </row>
    <row r="36770" spans="7:7">
      <c r="G36770" s="812"/>
    </row>
    <row r="36771" spans="7:7">
      <c r="G36771" s="812"/>
    </row>
    <row r="36772" spans="7:7">
      <c r="G36772" s="812"/>
    </row>
    <row r="36773" spans="7:7">
      <c r="G36773" s="812"/>
    </row>
    <row r="36774" spans="7:7">
      <c r="G36774" s="812"/>
    </row>
    <row r="36775" spans="7:7">
      <c r="G36775" s="812"/>
    </row>
    <row r="36776" spans="7:7">
      <c r="G36776" s="812"/>
    </row>
    <row r="36777" spans="7:7">
      <c r="G36777" s="812"/>
    </row>
    <row r="36778" spans="7:7">
      <c r="G36778" s="812"/>
    </row>
    <row r="36779" spans="7:7">
      <c r="G36779" s="812"/>
    </row>
    <row r="36780" spans="7:7">
      <c r="G36780" s="812"/>
    </row>
    <row r="36781" spans="7:7">
      <c r="G36781" s="812"/>
    </row>
    <row r="36782" spans="7:7">
      <c r="G36782" s="812"/>
    </row>
    <row r="36783" spans="7:7">
      <c r="G36783" s="812"/>
    </row>
    <row r="36784" spans="7:7">
      <c r="G36784" s="812"/>
    </row>
    <row r="36785" spans="7:7">
      <c r="G36785" s="812"/>
    </row>
    <row r="36786" spans="7:7">
      <c r="G36786" s="812"/>
    </row>
    <row r="36787" spans="7:7">
      <c r="G36787" s="812"/>
    </row>
    <row r="36788" spans="7:7">
      <c r="G36788" s="812"/>
    </row>
    <row r="36789" spans="7:7">
      <c r="G36789" s="812"/>
    </row>
    <row r="36790" spans="7:7">
      <c r="G36790" s="812"/>
    </row>
    <row r="36791" spans="7:7">
      <c r="G36791" s="812"/>
    </row>
    <row r="36792" spans="7:7">
      <c r="G36792" s="812"/>
    </row>
    <row r="36793" spans="7:7">
      <c r="G36793" s="812"/>
    </row>
    <row r="36794" spans="7:7">
      <c r="G36794" s="812"/>
    </row>
    <row r="36795" spans="7:7">
      <c r="G36795" s="812"/>
    </row>
    <row r="36796" spans="7:7">
      <c r="G36796" s="812"/>
    </row>
    <row r="36797" spans="7:7">
      <c r="G36797" s="812"/>
    </row>
    <row r="36798" spans="7:7">
      <c r="G36798" s="812"/>
    </row>
    <row r="36799" spans="7:7">
      <c r="G36799" s="812"/>
    </row>
    <row r="36800" spans="7:7">
      <c r="G36800" s="812"/>
    </row>
    <row r="36801" spans="7:7">
      <c r="G36801" s="812"/>
    </row>
    <row r="36802" spans="7:7">
      <c r="G36802" s="812"/>
    </row>
    <row r="36803" spans="7:7">
      <c r="G36803" s="812"/>
    </row>
    <row r="36804" spans="7:7">
      <c r="G36804" s="812"/>
    </row>
    <row r="36805" spans="7:7">
      <c r="G36805" s="812"/>
    </row>
    <row r="36806" spans="7:7">
      <c r="G36806" s="812"/>
    </row>
    <row r="36807" spans="7:7">
      <c r="G36807" s="812"/>
    </row>
    <row r="36808" spans="7:7">
      <c r="G36808" s="812"/>
    </row>
    <row r="36809" spans="7:7">
      <c r="G36809" s="812"/>
    </row>
    <row r="36810" spans="7:7">
      <c r="G36810" s="812"/>
    </row>
    <row r="36811" spans="7:7">
      <c r="G36811" s="812"/>
    </row>
    <row r="36812" spans="7:7">
      <c r="G36812" s="812"/>
    </row>
    <row r="36813" spans="7:7">
      <c r="G36813" s="812"/>
    </row>
    <row r="36814" spans="7:7">
      <c r="G36814" s="812"/>
    </row>
    <row r="36815" spans="7:7">
      <c r="G36815" s="812"/>
    </row>
    <row r="36816" spans="7:7">
      <c r="G36816" s="812"/>
    </row>
    <row r="36817" spans="7:7">
      <c r="G36817" s="812"/>
    </row>
    <row r="36818" spans="7:7">
      <c r="G36818" s="812"/>
    </row>
    <row r="36819" spans="7:7">
      <c r="G36819" s="812"/>
    </row>
    <row r="36820" spans="7:7">
      <c r="G36820" s="812"/>
    </row>
    <row r="36821" spans="7:7">
      <c r="G36821" s="812"/>
    </row>
    <row r="36822" spans="7:7">
      <c r="G36822" s="812"/>
    </row>
    <row r="36823" spans="7:7">
      <c r="G36823" s="812"/>
    </row>
    <row r="36824" spans="7:7">
      <c r="G36824" s="812"/>
    </row>
    <row r="36825" spans="7:7">
      <c r="G36825" s="812"/>
    </row>
    <row r="36826" spans="7:7">
      <c r="G36826" s="812"/>
    </row>
    <row r="36827" spans="7:7">
      <c r="G36827" s="812"/>
    </row>
    <row r="36828" spans="7:7">
      <c r="G36828" s="812"/>
    </row>
    <row r="36829" spans="7:7">
      <c r="G36829" s="812"/>
    </row>
    <row r="36830" spans="7:7">
      <c r="G36830" s="812"/>
    </row>
    <row r="36831" spans="7:7">
      <c r="G36831" s="812"/>
    </row>
    <row r="36832" spans="7:7">
      <c r="G36832" s="812"/>
    </row>
    <row r="36833" spans="7:7">
      <c r="G36833" s="812"/>
    </row>
    <row r="36834" spans="7:7">
      <c r="G36834" s="812"/>
    </row>
    <row r="36835" spans="7:7">
      <c r="G36835" s="812"/>
    </row>
    <row r="36836" spans="7:7">
      <c r="G36836" s="812"/>
    </row>
    <row r="36837" spans="7:7">
      <c r="G36837" s="812"/>
    </row>
    <row r="36838" spans="7:7">
      <c r="G36838" s="812"/>
    </row>
    <row r="36839" spans="7:7">
      <c r="G36839" s="812"/>
    </row>
    <row r="36840" spans="7:7">
      <c r="G36840" s="812"/>
    </row>
    <row r="36841" spans="7:7">
      <c r="G36841" s="812"/>
    </row>
    <row r="36842" spans="7:7">
      <c r="G36842" s="812"/>
    </row>
    <row r="36843" spans="7:7">
      <c r="G36843" s="812"/>
    </row>
    <row r="36844" spans="7:7">
      <c r="G36844" s="812"/>
    </row>
    <row r="36845" spans="7:7">
      <c r="G36845" s="812"/>
    </row>
    <row r="36846" spans="7:7">
      <c r="G36846" s="812"/>
    </row>
    <row r="36847" spans="7:7">
      <c r="G36847" s="812"/>
    </row>
    <row r="36848" spans="7:7">
      <c r="G36848" s="812"/>
    </row>
    <row r="36849" spans="7:7">
      <c r="G36849" s="812"/>
    </row>
    <row r="36850" spans="7:7">
      <c r="G36850" s="812"/>
    </row>
    <row r="36851" spans="7:7">
      <c r="G36851" s="812"/>
    </row>
    <row r="36852" spans="7:7">
      <c r="G36852" s="812"/>
    </row>
    <row r="36853" spans="7:7">
      <c r="G36853" s="812"/>
    </row>
    <row r="36854" spans="7:7">
      <c r="G36854" s="812"/>
    </row>
    <row r="36855" spans="7:7">
      <c r="G36855" s="812"/>
    </row>
    <row r="36856" spans="7:7">
      <c r="G36856" s="812"/>
    </row>
    <row r="36857" spans="7:7">
      <c r="G36857" s="812"/>
    </row>
    <row r="36858" spans="7:7">
      <c r="G36858" s="812"/>
    </row>
    <row r="36859" spans="7:7">
      <c r="G36859" s="812"/>
    </row>
    <row r="36860" spans="7:7">
      <c r="G36860" s="812"/>
    </row>
    <row r="36861" spans="7:7">
      <c r="G36861" s="812"/>
    </row>
    <row r="36862" spans="7:7">
      <c r="G36862" s="812"/>
    </row>
    <row r="36863" spans="7:7">
      <c r="G36863" s="812"/>
    </row>
    <row r="36864" spans="7:7">
      <c r="G36864" s="812"/>
    </row>
    <row r="36865" spans="7:7">
      <c r="G36865" s="812"/>
    </row>
    <row r="36866" spans="7:7">
      <c r="G36866" s="812"/>
    </row>
    <row r="36867" spans="7:7">
      <c r="G36867" s="812"/>
    </row>
    <row r="36868" spans="7:7">
      <c r="G36868" s="812"/>
    </row>
    <row r="36869" spans="7:7">
      <c r="G36869" s="812"/>
    </row>
    <row r="36870" spans="7:7">
      <c r="G36870" s="812"/>
    </row>
    <row r="36871" spans="7:7">
      <c r="G36871" s="812"/>
    </row>
    <row r="36872" spans="7:7">
      <c r="G36872" s="812"/>
    </row>
    <row r="36873" spans="7:7">
      <c r="G36873" s="812"/>
    </row>
    <row r="36874" spans="7:7">
      <c r="G36874" s="812"/>
    </row>
    <row r="36875" spans="7:7">
      <c r="G36875" s="812"/>
    </row>
    <row r="36876" spans="7:7">
      <c r="G36876" s="812"/>
    </row>
    <row r="36877" spans="7:7">
      <c r="G36877" s="812"/>
    </row>
    <row r="36878" spans="7:7">
      <c r="G36878" s="812"/>
    </row>
    <row r="36879" spans="7:7">
      <c r="G36879" s="812"/>
    </row>
    <row r="36880" spans="7:7">
      <c r="G36880" s="812"/>
    </row>
    <row r="36881" spans="7:7">
      <c r="G36881" s="812"/>
    </row>
    <row r="36882" spans="7:7">
      <c r="G36882" s="812"/>
    </row>
    <row r="36883" spans="7:7">
      <c r="G36883" s="812"/>
    </row>
    <row r="36884" spans="7:7">
      <c r="G36884" s="812"/>
    </row>
    <row r="36885" spans="7:7">
      <c r="G36885" s="812"/>
    </row>
    <row r="36886" spans="7:7">
      <c r="G36886" s="812"/>
    </row>
    <row r="36887" spans="7:7">
      <c r="G36887" s="812"/>
    </row>
    <row r="36888" spans="7:7">
      <c r="G36888" s="812"/>
    </row>
    <row r="36889" spans="7:7">
      <c r="G36889" s="812"/>
    </row>
    <row r="36890" spans="7:7">
      <c r="G36890" s="812"/>
    </row>
    <row r="36891" spans="7:7">
      <c r="G36891" s="812"/>
    </row>
    <row r="36892" spans="7:7">
      <c r="G36892" s="812"/>
    </row>
    <row r="36893" spans="7:7">
      <c r="G36893" s="812"/>
    </row>
    <row r="36894" spans="7:7">
      <c r="G36894" s="812"/>
    </row>
    <row r="36895" spans="7:7">
      <c r="G36895" s="812"/>
    </row>
    <row r="36896" spans="7:7">
      <c r="G36896" s="812"/>
    </row>
    <row r="36897" spans="7:7">
      <c r="G36897" s="812"/>
    </row>
    <row r="36898" spans="7:7">
      <c r="G36898" s="812"/>
    </row>
    <row r="36899" spans="7:7">
      <c r="G36899" s="812"/>
    </row>
    <row r="36900" spans="7:7">
      <c r="G36900" s="812"/>
    </row>
    <row r="36901" spans="7:7">
      <c r="G36901" s="812"/>
    </row>
    <row r="36902" spans="7:7">
      <c r="G36902" s="812"/>
    </row>
    <row r="36903" spans="7:7">
      <c r="G36903" s="812"/>
    </row>
    <row r="36904" spans="7:7">
      <c r="G36904" s="812"/>
    </row>
    <row r="36905" spans="7:7">
      <c r="G36905" s="812"/>
    </row>
    <row r="36906" spans="7:7">
      <c r="G36906" s="812"/>
    </row>
    <row r="36907" spans="7:7">
      <c r="G36907" s="812"/>
    </row>
    <row r="36908" spans="7:7">
      <c r="G36908" s="812"/>
    </row>
    <row r="36909" spans="7:7">
      <c r="G36909" s="812"/>
    </row>
    <row r="36910" spans="7:7">
      <c r="G36910" s="812"/>
    </row>
    <row r="36911" spans="7:7">
      <c r="G36911" s="812"/>
    </row>
    <row r="36912" spans="7:7">
      <c r="G36912" s="812"/>
    </row>
    <row r="36913" spans="7:7">
      <c r="G36913" s="812"/>
    </row>
    <row r="36914" spans="7:7">
      <c r="G36914" s="812"/>
    </row>
    <row r="36915" spans="7:7">
      <c r="G36915" s="812"/>
    </row>
    <row r="36916" spans="7:7">
      <c r="G36916" s="812"/>
    </row>
    <row r="36917" spans="7:7">
      <c r="G36917" s="812"/>
    </row>
    <row r="36918" spans="7:7">
      <c r="G36918" s="812"/>
    </row>
    <row r="36919" spans="7:7">
      <c r="G36919" s="812"/>
    </row>
    <row r="36920" spans="7:7">
      <c r="G36920" s="812"/>
    </row>
    <row r="36921" spans="7:7">
      <c r="G36921" s="812"/>
    </row>
    <row r="36922" spans="7:7">
      <c r="G36922" s="812"/>
    </row>
    <row r="36923" spans="7:7">
      <c r="G36923" s="812"/>
    </row>
    <row r="36924" spans="7:7">
      <c r="G36924" s="812"/>
    </row>
    <row r="36925" spans="7:7">
      <c r="G36925" s="812"/>
    </row>
    <row r="36926" spans="7:7">
      <c r="G36926" s="812"/>
    </row>
    <row r="36927" spans="7:7">
      <c r="G36927" s="812"/>
    </row>
    <row r="36928" spans="7:7">
      <c r="G36928" s="812"/>
    </row>
    <row r="36929" spans="7:7">
      <c r="G36929" s="812"/>
    </row>
    <row r="36930" spans="7:7">
      <c r="G36930" s="812"/>
    </row>
    <row r="36931" spans="7:7">
      <c r="G36931" s="812"/>
    </row>
    <row r="36932" spans="7:7">
      <c r="G36932" s="812"/>
    </row>
    <row r="36933" spans="7:7">
      <c r="G36933" s="812"/>
    </row>
    <row r="36934" spans="7:7">
      <c r="G36934" s="812"/>
    </row>
    <row r="36935" spans="7:7">
      <c r="G36935" s="812"/>
    </row>
    <row r="36936" spans="7:7">
      <c r="G36936" s="812"/>
    </row>
    <row r="36937" spans="7:7">
      <c r="G36937" s="812"/>
    </row>
    <row r="36938" spans="7:7">
      <c r="G36938" s="812"/>
    </row>
    <row r="36939" spans="7:7">
      <c r="G36939" s="812"/>
    </row>
    <row r="36940" spans="7:7">
      <c r="G36940" s="812"/>
    </row>
    <row r="36941" spans="7:7">
      <c r="G36941" s="812"/>
    </row>
    <row r="36942" spans="7:7">
      <c r="G36942" s="812"/>
    </row>
    <row r="36943" spans="7:7">
      <c r="G36943" s="812"/>
    </row>
    <row r="36944" spans="7:7">
      <c r="G36944" s="812"/>
    </row>
    <row r="36945" spans="7:7">
      <c r="G36945" s="812"/>
    </row>
    <row r="36946" spans="7:7">
      <c r="G36946" s="812"/>
    </row>
    <row r="36947" spans="7:7">
      <c r="G36947" s="812"/>
    </row>
    <row r="36948" spans="7:7">
      <c r="G36948" s="812"/>
    </row>
    <row r="36949" spans="7:7">
      <c r="G36949" s="812"/>
    </row>
    <row r="36950" spans="7:7">
      <c r="G36950" s="812"/>
    </row>
    <row r="36951" spans="7:7">
      <c r="G36951" s="812"/>
    </row>
    <row r="36952" spans="7:7">
      <c r="G36952" s="812"/>
    </row>
    <row r="36953" spans="7:7">
      <c r="G36953" s="812"/>
    </row>
    <row r="36954" spans="7:7">
      <c r="G36954" s="812"/>
    </row>
    <row r="36955" spans="7:7">
      <c r="G36955" s="812"/>
    </row>
    <row r="36956" spans="7:7">
      <c r="G36956" s="812"/>
    </row>
    <row r="36957" spans="7:7">
      <c r="G36957" s="812"/>
    </row>
    <row r="36958" spans="7:7">
      <c r="G36958" s="812"/>
    </row>
    <row r="36959" spans="7:7">
      <c r="G36959" s="812"/>
    </row>
    <row r="36960" spans="7:7">
      <c r="G36960" s="812"/>
    </row>
    <row r="36961" spans="7:7">
      <c r="G36961" s="812"/>
    </row>
    <row r="36962" spans="7:7">
      <c r="G36962" s="812"/>
    </row>
    <row r="36963" spans="7:7">
      <c r="G36963" s="812"/>
    </row>
    <row r="36964" spans="7:7">
      <c r="G36964" s="812"/>
    </row>
    <row r="36965" spans="7:7">
      <c r="G36965" s="812"/>
    </row>
    <row r="36966" spans="7:7">
      <c r="G36966" s="812"/>
    </row>
    <row r="36967" spans="7:7">
      <c r="G36967" s="812"/>
    </row>
    <row r="36968" spans="7:7">
      <c r="G36968" s="812"/>
    </row>
    <row r="36969" spans="7:7">
      <c r="G36969" s="812"/>
    </row>
    <row r="36970" spans="7:7">
      <c r="G36970" s="812"/>
    </row>
    <row r="36971" spans="7:7">
      <c r="G36971" s="812"/>
    </row>
    <row r="36972" spans="7:7">
      <c r="G36972" s="812"/>
    </row>
    <row r="36973" spans="7:7">
      <c r="G36973" s="812"/>
    </row>
    <row r="36974" spans="7:7">
      <c r="G36974" s="812"/>
    </row>
    <row r="36975" spans="7:7">
      <c r="G36975" s="812"/>
    </row>
    <row r="36976" spans="7:7">
      <c r="G36976" s="812"/>
    </row>
    <row r="36977" spans="7:7">
      <c r="G36977" s="812"/>
    </row>
    <row r="36978" spans="7:7">
      <c r="G36978" s="812"/>
    </row>
    <row r="36979" spans="7:7">
      <c r="G36979" s="812"/>
    </row>
    <row r="36980" spans="7:7">
      <c r="G36980" s="812"/>
    </row>
    <row r="36981" spans="7:7">
      <c r="G36981" s="812"/>
    </row>
    <row r="36982" spans="7:7">
      <c r="G36982" s="812"/>
    </row>
    <row r="36983" spans="7:7">
      <c r="G36983" s="812"/>
    </row>
    <row r="36984" spans="7:7">
      <c r="G36984" s="812"/>
    </row>
    <row r="36985" spans="7:7">
      <c r="G36985" s="812"/>
    </row>
    <row r="36986" spans="7:7">
      <c r="G36986" s="812"/>
    </row>
    <row r="36987" spans="7:7">
      <c r="G36987" s="812"/>
    </row>
    <row r="36988" spans="7:7">
      <c r="G36988" s="812"/>
    </row>
    <row r="36989" spans="7:7">
      <c r="G36989" s="812"/>
    </row>
    <row r="36990" spans="7:7">
      <c r="G36990" s="812"/>
    </row>
    <row r="36991" spans="7:7">
      <c r="G36991" s="812"/>
    </row>
    <row r="36992" spans="7:7">
      <c r="G36992" s="812"/>
    </row>
    <row r="36993" spans="7:7">
      <c r="G36993" s="812"/>
    </row>
    <row r="36994" spans="7:7">
      <c r="G36994" s="812"/>
    </row>
    <row r="36995" spans="7:7">
      <c r="G36995" s="812"/>
    </row>
    <row r="36996" spans="7:7">
      <c r="G36996" s="812"/>
    </row>
    <row r="36997" spans="7:7">
      <c r="G36997" s="812"/>
    </row>
    <row r="36998" spans="7:7">
      <c r="G36998" s="812"/>
    </row>
    <row r="36999" spans="7:7">
      <c r="G36999" s="812"/>
    </row>
    <row r="37000" spans="7:7">
      <c r="G37000" s="812"/>
    </row>
    <row r="37001" spans="7:7">
      <c r="G37001" s="812"/>
    </row>
    <row r="37002" spans="7:7">
      <c r="G37002" s="812"/>
    </row>
    <row r="37003" spans="7:7">
      <c r="G37003" s="812"/>
    </row>
    <row r="37004" spans="7:7">
      <c r="G37004" s="812"/>
    </row>
    <row r="37005" spans="7:7">
      <c r="G37005" s="812"/>
    </row>
    <row r="37006" spans="7:7">
      <c r="G37006" s="812"/>
    </row>
    <row r="37007" spans="7:7">
      <c r="G37007" s="812"/>
    </row>
    <row r="37008" spans="7:7">
      <c r="G37008" s="812"/>
    </row>
    <row r="37009" spans="7:7">
      <c r="G37009" s="812"/>
    </row>
    <row r="37010" spans="7:7">
      <c r="G37010" s="812"/>
    </row>
    <row r="37011" spans="7:7">
      <c r="G37011" s="812"/>
    </row>
    <row r="37012" spans="7:7">
      <c r="G37012" s="812"/>
    </row>
    <row r="37013" spans="7:7">
      <c r="G37013" s="812"/>
    </row>
    <row r="37014" spans="7:7">
      <c r="G37014" s="812"/>
    </row>
    <row r="37015" spans="7:7">
      <c r="G37015" s="812"/>
    </row>
    <row r="37016" spans="7:7">
      <c r="G37016" s="812"/>
    </row>
    <row r="37017" spans="7:7">
      <c r="G37017" s="812"/>
    </row>
    <row r="37018" spans="7:7">
      <c r="G37018" s="812"/>
    </row>
    <row r="37019" spans="7:7">
      <c r="G37019" s="812"/>
    </row>
    <row r="37020" spans="7:7">
      <c r="G37020" s="812"/>
    </row>
    <row r="37021" spans="7:7">
      <c r="G37021" s="812"/>
    </row>
    <row r="37022" spans="7:7">
      <c r="G37022" s="812"/>
    </row>
    <row r="37023" spans="7:7">
      <c r="G37023" s="812"/>
    </row>
    <row r="37024" spans="7:7">
      <c r="G37024" s="812"/>
    </row>
    <row r="37025" spans="7:7">
      <c r="G37025" s="812"/>
    </row>
    <row r="37026" spans="7:7">
      <c r="G37026" s="812"/>
    </row>
    <row r="37027" spans="7:7">
      <c r="G37027" s="812"/>
    </row>
    <row r="37028" spans="7:7">
      <c r="G37028" s="812"/>
    </row>
    <row r="37029" spans="7:7">
      <c r="G37029" s="812"/>
    </row>
    <row r="37030" spans="7:7">
      <c r="G37030" s="812"/>
    </row>
    <row r="37031" spans="7:7">
      <c r="G37031" s="812"/>
    </row>
    <row r="37032" spans="7:7">
      <c r="G37032" s="812"/>
    </row>
    <row r="37033" spans="7:7">
      <c r="G37033" s="812"/>
    </row>
    <row r="37034" spans="7:7">
      <c r="G37034" s="812"/>
    </row>
    <row r="37035" spans="7:7">
      <c r="G37035" s="812"/>
    </row>
    <row r="37036" spans="7:7">
      <c r="G37036" s="812"/>
    </row>
    <row r="37037" spans="7:7">
      <c r="G37037" s="812"/>
    </row>
    <row r="37038" spans="7:7">
      <c r="G37038" s="812"/>
    </row>
    <row r="37039" spans="7:7">
      <c r="G37039" s="812"/>
    </row>
    <row r="37040" spans="7:7">
      <c r="G37040" s="812"/>
    </row>
    <row r="37041" spans="7:7">
      <c r="G37041" s="812"/>
    </row>
    <row r="37042" spans="7:7">
      <c r="G37042" s="812"/>
    </row>
    <row r="37043" spans="7:7">
      <c r="G37043" s="812"/>
    </row>
    <row r="37044" spans="7:7">
      <c r="G37044" s="812"/>
    </row>
    <row r="37045" spans="7:7">
      <c r="G37045" s="812"/>
    </row>
    <row r="37046" spans="7:7">
      <c r="G37046" s="812"/>
    </row>
    <row r="37047" spans="7:7">
      <c r="G37047" s="812"/>
    </row>
    <row r="37048" spans="7:7">
      <c r="G37048" s="812"/>
    </row>
    <row r="37049" spans="7:7">
      <c r="G37049" s="812"/>
    </row>
    <row r="37050" spans="7:7">
      <c r="G37050" s="812"/>
    </row>
    <row r="37051" spans="7:7">
      <c r="G37051" s="812"/>
    </row>
    <row r="37052" spans="7:7">
      <c r="G37052" s="812"/>
    </row>
    <row r="37053" spans="7:7">
      <c r="G37053" s="812"/>
    </row>
    <row r="37054" spans="7:7">
      <c r="G37054" s="812"/>
    </row>
    <row r="37055" spans="7:7">
      <c r="G37055" s="812"/>
    </row>
    <row r="37056" spans="7:7">
      <c r="G37056" s="812"/>
    </row>
    <row r="37057" spans="7:7">
      <c r="G37057" s="812"/>
    </row>
    <row r="37058" spans="7:7">
      <c r="G37058" s="812"/>
    </row>
    <row r="37059" spans="7:7">
      <c r="G37059" s="812"/>
    </row>
    <row r="37060" spans="7:7">
      <c r="G37060" s="812"/>
    </row>
    <row r="37061" spans="7:7">
      <c r="G37061" s="812"/>
    </row>
    <row r="37062" spans="7:7">
      <c r="G37062" s="812"/>
    </row>
    <row r="37063" spans="7:7">
      <c r="G37063" s="812"/>
    </row>
    <row r="37064" spans="7:7">
      <c r="G37064" s="812"/>
    </row>
    <row r="37065" spans="7:7">
      <c r="G37065" s="812"/>
    </row>
    <row r="37066" spans="7:7">
      <c r="G37066" s="812"/>
    </row>
    <row r="37067" spans="7:7">
      <c r="G37067" s="812"/>
    </row>
    <row r="37068" spans="7:7">
      <c r="G37068" s="812"/>
    </row>
    <row r="37069" spans="7:7">
      <c r="G37069" s="812"/>
    </row>
    <row r="37070" spans="7:7">
      <c r="G37070" s="812"/>
    </row>
    <row r="37071" spans="7:7">
      <c r="G37071" s="812"/>
    </row>
    <row r="37072" spans="7:7">
      <c r="G37072" s="812"/>
    </row>
    <row r="37073" spans="7:7">
      <c r="G37073" s="812"/>
    </row>
    <row r="37074" spans="7:7">
      <c r="G37074" s="812"/>
    </row>
    <row r="37075" spans="7:7">
      <c r="G37075" s="812"/>
    </row>
    <row r="37076" spans="7:7">
      <c r="G37076" s="812"/>
    </row>
    <row r="37077" spans="7:7">
      <c r="G37077" s="812"/>
    </row>
    <row r="37078" spans="7:7">
      <c r="G37078" s="812"/>
    </row>
    <row r="37079" spans="7:7">
      <c r="G37079" s="812"/>
    </row>
    <row r="37080" spans="7:7">
      <c r="G37080" s="812"/>
    </row>
    <row r="37081" spans="7:7">
      <c r="G37081" s="812"/>
    </row>
    <row r="37082" spans="7:7">
      <c r="G37082" s="812"/>
    </row>
    <row r="37083" spans="7:7">
      <c r="G37083" s="812"/>
    </row>
    <row r="37084" spans="7:7">
      <c r="G37084" s="812"/>
    </row>
    <row r="37085" spans="7:7">
      <c r="G37085" s="812"/>
    </row>
    <row r="37086" spans="7:7">
      <c r="G37086" s="812"/>
    </row>
    <row r="37087" spans="7:7">
      <c r="G37087" s="812"/>
    </row>
    <row r="37088" spans="7:7">
      <c r="G37088" s="812"/>
    </row>
    <row r="37089" spans="7:7">
      <c r="G37089" s="812"/>
    </row>
    <row r="37090" spans="7:7">
      <c r="G37090" s="812"/>
    </row>
    <row r="37091" spans="7:7">
      <c r="G37091" s="812"/>
    </row>
    <row r="37092" spans="7:7">
      <c r="G37092" s="812"/>
    </row>
    <row r="37093" spans="7:7">
      <c r="G37093" s="812"/>
    </row>
    <row r="37094" spans="7:7">
      <c r="G37094" s="812"/>
    </row>
    <row r="37095" spans="7:7">
      <c r="G37095" s="812"/>
    </row>
    <row r="37096" spans="7:7">
      <c r="G37096" s="812"/>
    </row>
    <row r="37097" spans="7:7">
      <c r="G37097" s="812"/>
    </row>
    <row r="37098" spans="7:7">
      <c r="G37098" s="812"/>
    </row>
    <row r="37099" spans="7:7">
      <c r="G37099" s="812"/>
    </row>
    <row r="37100" spans="7:7">
      <c r="G37100" s="812"/>
    </row>
    <row r="37101" spans="7:7">
      <c r="G37101" s="812"/>
    </row>
    <row r="37102" spans="7:7">
      <c r="G37102" s="812"/>
    </row>
    <row r="37103" spans="7:7">
      <c r="G37103" s="812"/>
    </row>
    <row r="37104" spans="7:7">
      <c r="G37104" s="812"/>
    </row>
    <row r="37105" spans="7:7">
      <c r="G37105" s="812"/>
    </row>
    <row r="37106" spans="7:7">
      <c r="G37106" s="812"/>
    </row>
    <row r="37107" spans="7:7">
      <c r="G37107" s="812"/>
    </row>
    <row r="37108" spans="7:7">
      <c r="G37108" s="812"/>
    </row>
    <row r="37109" spans="7:7">
      <c r="G37109" s="812"/>
    </row>
    <row r="37110" spans="7:7">
      <c r="G37110" s="812"/>
    </row>
    <row r="37111" spans="7:7">
      <c r="G37111" s="812"/>
    </row>
    <row r="37112" spans="7:7">
      <c r="G37112" s="812"/>
    </row>
    <row r="37113" spans="7:7">
      <c r="G37113" s="812"/>
    </row>
    <row r="37114" spans="7:7">
      <c r="G37114" s="812"/>
    </row>
    <row r="37115" spans="7:7">
      <c r="G37115" s="812"/>
    </row>
    <row r="37116" spans="7:7">
      <c r="G37116" s="812"/>
    </row>
    <row r="37117" spans="7:7">
      <c r="G37117" s="812"/>
    </row>
    <row r="37118" spans="7:7">
      <c r="G37118" s="812"/>
    </row>
    <row r="37119" spans="7:7">
      <c r="G37119" s="812"/>
    </row>
    <row r="37120" spans="7:7">
      <c r="G37120" s="812"/>
    </row>
    <row r="37121" spans="7:7">
      <c r="G37121" s="812"/>
    </row>
    <row r="37122" spans="7:7">
      <c r="G37122" s="812"/>
    </row>
    <row r="37123" spans="7:7">
      <c r="G37123" s="812"/>
    </row>
    <row r="37124" spans="7:7">
      <c r="G37124" s="812"/>
    </row>
    <row r="37125" spans="7:7">
      <c r="G37125" s="812"/>
    </row>
    <row r="37126" spans="7:7">
      <c r="G37126" s="812"/>
    </row>
    <row r="37127" spans="7:7">
      <c r="G37127" s="812"/>
    </row>
    <row r="37128" spans="7:7">
      <c r="G37128" s="812"/>
    </row>
    <row r="37129" spans="7:7">
      <c r="G37129" s="812"/>
    </row>
    <row r="37130" spans="7:7">
      <c r="G37130" s="812"/>
    </row>
    <row r="37131" spans="7:7">
      <c r="G37131" s="812"/>
    </row>
    <row r="37132" spans="7:7">
      <c r="G37132" s="812"/>
    </row>
    <row r="37133" spans="7:7">
      <c r="G37133" s="812"/>
    </row>
    <row r="37134" spans="7:7">
      <c r="G37134" s="812"/>
    </row>
    <row r="37135" spans="7:7">
      <c r="G37135" s="812"/>
    </row>
    <row r="37136" spans="7:7">
      <c r="G37136" s="812"/>
    </row>
    <row r="37137" spans="7:7">
      <c r="G37137" s="812"/>
    </row>
    <row r="37138" spans="7:7">
      <c r="G37138" s="812"/>
    </row>
    <row r="37139" spans="7:7">
      <c r="G37139" s="812"/>
    </row>
    <row r="37140" spans="7:7">
      <c r="G37140" s="812"/>
    </row>
    <row r="37141" spans="7:7">
      <c r="G37141" s="812"/>
    </row>
    <row r="37142" spans="7:7">
      <c r="G37142" s="812"/>
    </row>
    <row r="37143" spans="7:7">
      <c r="G37143" s="812"/>
    </row>
    <row r="37144" spans="7:7">
      <c r="G37144" s="812"/>
    </row>
    <row r="37145" spans="7:7">
      <c r="G37145" s="812"/>
    </row>
    <row r="37146" spans="7:7">
      <c r="G37146" s="812"/>
    </row>
    <row r="37147" spans="7:7">
      <c r="G37147" s="812"/>
    </row>
    <row r="37148" spans="7:7">
      <c r="G37148" s="812"/>
    </row>
    <row r="37149" spans="7:7">
      <c r="G37149" s="812"/>
    </row>
    <row r="37150" spans="7:7">
      <c r="G37150" s="812"/>
    </row>
    <row r="37151" spans="7:7">
      <c r="G37151" s="812"/>
    </row>
    <row r="37152" spans="7:7">
      <c r="G37152" s="812"/>
    </row>
    <row r="37153" spans="7:7">
      <c r="G37153" s="812"/>
    </row>
    <row r="37154" spans="7:7">
      <c r="G37154" s="812"/>
    </row>
    <row r="37155" spans="7:7">
      <c r="G37155" s="812"/>
    </row>
    <row r="37156" spans="7:7">
      <c r="G37156" s="812"/>
    </row>
    <row r="37157" spans="7:7">
      <c r="G37157" s="812"/>
    </row>
    <row r="37158" spans="7:7">
      <c r="G37158" s="812"/>
    </row>
    <row r="37159" spans="7:7">
      <c r="G37159" s="812"/>
    </row>
    <row r="37160" spans="7:7">
      <c r="G37160" s="812"/>
    </row>
    <row r="37161" spans="7:7">
      <c r="G37161" s="812"/>
    </row>
    <row r="37162" spans="7:7">
      <c r="G37162" s="812"/>
    </row>
    <row r="37163" spans="7:7">
      <c r="G37163" s="812"/>
    </row>
    <row r="37164" spans="7:7">
      <c r="G37164" s="812"/>
    </row>
    <row r="37165" spans="7:7">
      <c r="G37165" s="812"/>
    </row>
    <row r="37166" spans="7:7">
      <c r="G37166" s="812"/>
    </row>
    <row r="37167" spans="7:7">
      <c r="G37167" s="812"/>
    </row>
    <row r="37168" spans="7:7">
      <c r="G37168" s="812"/>
    </row>
    <row r="37169" spans="7:7">
      <c r="G37169" s="812"/>
    </row>
    <row r="37170" spans="7:7">
      <c r="G37170" s="812"/>
    </row>
    <row r="37171" spans="7:7">
      <c r="G37171" s="812"/>
    </row>
    <row r="37172" spans="7:7">
      <c r="G37172" s="812"/>
    </row>
    <row r="37173" spans="7:7">
      <c r="G37173" s="812"/>
    </row>
    <row r="37174" spans="7:7">
      <c r="G37174" s="812"/>
    </row>
    <row r="37175" spans="7:7">
      <c r="G37175" s="812"/>
    </row>
    <row r="37176" spans="7:7">
      <c r="G37176" s="812"/>
    </row>
    <row r="37177" spans="7:7">
      <c r="G37177" s="812"/>
    </row>
    <row r="37178" spans="7:7">
      <c r="G37178" s="812"/>
    </row>
    <row r="37179" spans="7:7">
      <c r="G37179" s="812"/>
    </row>
    <row r="37180" spans="7:7">
      <c r="G37180" s="812"/>
    </row>
    <row r="37181" spans="7:7">
      <c r="G37181" s="812"/>
    </row>
    <row r="37182" spans="7:7">
      <c r="G37182" s="812"/>
    </row>
    <row r="37183" spans="7:7">
      <c r="G37183" s="812"/>
    </row>
    <row r="37184" spans="7:7">
      <c r="G37184" s="812"/>
    </row>
    <row r="37185" spans="7:7">
      <c r="G37185" s="812"/>
    </row>
    <row r="37186" spans="7:7">
      <c r="G37186" s="812"/>
    </row>
    <row r="37187" spans="7:7">
      <c r="G37187" s="812"/>
    </row>
    <row r="37188" spans="7:7">
      <c r="G37188" s="812"/>
    </row>
    <row r="37189" spans="7:7">
      <c r="G37189" s="812"/>
    </row>
    <row r="37190" spans="7:7">
      <c r="G37190" s="812"/>
    </row>
    <row r="37191" spans="7:7">
      <c r="G37191" s="812"/>
    </row>
    <row r="37192" spans="7:7">
      <c r="G37192" s="812"/>
    </row>
    <row r="37193" spans="7:7">
      <c r="G37193" s="812"/>
    </row>
    <row r="37194" spans="7:7">
      <c r="G37194" s="812"/>
    </row>
    <row r="37195" spans="7:7">
      <c r="G37195" s="812"/>
    </row>
    <row r="37196" spans="7:7">
      <c r="G37196" s="812"/>
    </row>
    <row r="37197" spans="7:7">
      <c r="G37197" s="812"/>
    </row>
    <row r="37198" spans="7:7">
      <c r="G37198" s="812"/>
    </row>
    <row r="37199" spans="7:7">
      <c r="G37199" s="812"/>
    </row>
    <row r="37200" spans="7:7">
      <c r="G37200" s="812"/>
    </row>
    <row r="37201" spans="7:7">
      <c r="G37201" s="812"/>
    </row>
    <row r="37202" spans="7:7">
      <c r="G37202" s="812"/>
    </row>
    <row r="37203" spans="7:7">
      <c r="G37203" s="812"/>
    </row>
    <row r="37204" spans="7:7">
      <c r="G37204" s="812"/>
    </row>
    <row r="37205" spans="7:7">
      <c r="G37205" s="812"/>
    </row>
    <row r="37206" spans="7:7">
      <c r="G37206" s="812"/>
    </row>
    <row r="37207" spans="7:7">
      <c r="G37207" s="812"/>
    </row>
    <row r="37208" spans="7:7">
      <c r="G37208" s="812"/>
    </row>
    <row r="37209" spans="7:7">
      <c r="G37209" s="812"/>
    </row>
    <row r="37210" spans="7:7">
      <c r="G37210" s="812"/>
    </row>
    <row r="37211" spans="7:7">
      <c r="G37211" s="812"/>
    </row>
    <row r="37212" spans="7:7">
      <c r="G37212" s="812"/>
    </row>
    <row r="37213" spans="7:7">
      <c r="G37213" s="812"/>
    </row>
    <row r="37214" spans="7:7">
      <c r="G37214" s="812"/>
    </row>
    <row r="37215" spans="7:7">
      <c r="G37215" s="812"/>
    </row>
    <row r="37216" spans="7:7">
      <c r="G37216" s="812"/>
    </row>
    <row r="37217" spans="7:7">
      <c r="G37217" s="812"/>
    </row>
    <row r="37218" spans="7:7">
      <c r="G37218" s="812"/>
    </row>
    <row r="37219" spans="7:7">
      <c r="G37219" s="812"/>
    </row>
    <row r="37220" spans="7:7">
      <c r="G37220" s="812"/>
    </row>
    <row r="37221" spans="7:7">
      <c r="G37221" s="812"/>
    </row>
    <row r="37222" spans="7:7">
      <c r="G37222" s="812"/>
    </row>
    <row r="37223" spans="7:7">
      <c r="G37223" s="812"/>
    </row>
    <row r="37224" spans="7:7">
      <c r="G37224" s="812"/>
    </row>
    <row r="37225" spans="7:7">
      <c r="G37225" s="812"/>
    </row>
    <row r="37226" spans="7:7">
      <c r="G37226" s="812"/>
    </row>
    <row r="37227" spans="7:7">
      <c r="G37227" s="812"/>
    </row>
    <row r="37228" spans="7:7">
      <c r="G37228" s="812"/>
    </row>
    <row r="37229" spans="7:7">
      <c r="G37229" s="812"/>
    </row>
    <row r="37230" spans="7:7">
      <c r="G37230" s="812"/>
    </row>
    <row r="37231" spans="7:7">
      <c r="G37231" s="812"/>
    </row>
    <row r="37232" spans="7:7">
      <c r="G37232" s="812"/>
    </row>
    <row r="37233" spans="7:7">
      <c r="G37233" s="812"/>
    </row>
    <row r="37234" spans="7:7">
      <c r="G37234" s="812"/>
    </row>
    <row r="37235" spans="7:7">
      <c r="G37235" s="812"/>
    </row>
    <row r="37236" spans="7:7">
      <c r="G37236" s="812"/>
    </row>
    <row r="37237" spans="7:7">
      <c r="G37237" s="812"/>
    </row>
    <row r="37238" spans="7:7">
      <c r="G37238" s="812"/>
    </row>
    <row r="37239" spans="7:7">
      <c r="G37239" s="812"/>
    </row>
    <row r="37240" spans="7:7">
      <c r="G37240" s="812"/>
    </row>
    <row r="37241" spans="7:7">
      <c r="G37241" s="812"/>
    </row>
    <row r="37242" spans="7:7">
      <c r="G37242" s="812"/>
    </row>
    <row r="37243" spans="7:7">
      <c r="G37243" s="812"/>
    </row>
    <row r="37244" spans="7:7">
      <c r="G37244" s="812"/>
    </row>
    <row r="37245" spans="7:7">
      <c r="G37245" s="812"/>
    </row>
    <row r="37246" spans="7:7">
      <c r="G37246" s="812"/>
    </row>
    <row r="37247" spans="7:7">
      <c r="G37247" s="812"/>
    </row>
    <row r="37248" spans="7:7">
      <c r="G37248" s="812"/>
    </row>
    <row r="37249" spans="7:7">
      <c r="G37249" s="812"/>
    </row>
    <row r="37250" spans="7:7">
      <c r="G37250" s="812"/>
    </row>
    <row r="37251" spans="7:7">
      <c r="G37251" s="812"/>
    </row>
    <row r="37252" spans="7:7">
      <c r="G37252" s="812"/>
    </row>
    <row r="37253" spans="7:7">
      <c r="G37253" s="812"/>
    </row>
    <row r="37254" spans="7:7">
      <c r="G37254" s="812"/>
    </row>
    <row r="37255" spans="7:7">
      <c r="G37255" s="812"/>
    </row>
    <row r="37256" spans="7:7">
      <c r="G37256" s="812"/>
    </row>
    <row r="37257" spans="7:7">
      <c r="G37257" s="812"/>
    </row>
    <row r="37258" spans="7:7">
      <c r="G37258" s="812"/>
    </row>
    <row r="37259" spans="7:7">
      <c r="G37259" s="812"/>
    </row>
    <row r="37260" spans="7:7">
      <c r="G37260" s="812"/>
    </row>
    <row r="37261" spans="7:7">
      <c r="G37261" s="812"/>
    </row>
    <row r="37262" spans="7:7">
      <c r="G37262" s="812"/>
    </row>
    <row r="37263" spans="7:7">
      <c r="G37263" s="812"/>
    </row>
    <row r="37264" spans="7:7">
      <c r="G37264" s="812"/>
    </row>
    <row r="37265" spans="7:7">
      <c r="G37265" s="812"/>
    </row>
    <row r="37266" spans="7:7">
      <c r="G37266" s="812"/>
    </row>
    <row r="37267" spans="7:7">
      <c r="G37267" s="812"/>
    </row>
    <row r="37268" spans="7:7">
      <c r="G37268" s="812"/>
    </row>
    <row r="37269" spans="7:7">
      <c r="G37269" s="812"/>
    </row>
    <row r="37270" spans="7:7">
      <c r="G37270" s="812"/>
    </row>
    <row r="37271" spans="7:7">
      <c r="G37271" s="812"/>
    </row>
    <row r="37272" spans="7:7">
      <c r="G37272" s="812"/>
    </row>
    <row r="37273" spans="7:7">
      <c r="G37273" s="812"/>
    </row>
    <row r="37274" spans="7:7">
      <c r="G37274" s="812"/>
    </row>
    <row r="37275" spans="7:7">
      <c r="G37275" s="812"/>
    </row>
    <row r="37276" spans="7:7">
      <c r="G37276" s="812"/>
    </row>
    <row r="37277" spans="7:7">
      <c r="G37277" s="812"/>
    </row>
    <row r="37278" spans="7:7">
      <c r="G37278" s="812"/>
    </row>
    <row r="37279" spans="7:7">
      <c r="G37279" s="812"/>
    </row>
    <row r="37280" spans="7:7">
      <c r="G37280" s="812"/>
    </row>
    <row r="37281" spans="7:7">
      <c r="G37281" s="812"/>
    </row>
    <row r="37282" spans="7:7">
      <c r="G37282" s="812"/>
    </row>
    <row r="37283" spans="7:7">
      <c r="G37283" s="812"/>
    </row>
    <row r="37284" spans="7:7">
      <c r="G37284" s="812"/>
    </row>
    <row r="37285" spans="7:7">
      <c r="G37285" s="812"/>
    </row>
    <row r="37286" spans="7:7">
      <c r="G37286" s="812"/>
    </row>
    <row r="37287" spans="7:7">
      <c r="G37287" s="812"/>
    </row>
    <row r="37288" spans="7:7">
      <c r="G37288" s="812"/>
    </row>
    <row r="37289" spans="7:7">
      <c r="G37289" s="812"/>
    </row>
    <row r="37290" spans="7:7">
      <c r="G37290" s="812"/>
    </row>
    <row r="37291" spans="7:7">
      <c r="G37291" s="812"/>
    </row>
    <row r="37292" spans="7:7">
      <c r="G37292" s="812"/>
    </row>
    <row r="37293" spans="7:7">
      <c r="G37293" s="812"/>
    </row>
    <row r="37294" spans="7:7">
      <c r="G37294" s="812"/>
    </row>
    <row r="37295" spans="7:7">
      <c r="G37295" s="812"/>
    </row>
    <row r="37296" spans="7:7">
      <c r="G37296" s="812"/>
    </row>
    <row r="37297" spans="7:7">
      <c r="G37297" s="812"/>
    </row>
    <row r="37298" spans="7:7">
      <c r="G37298" s="812"/>
    </row>
    <row r="37299" spans="7:7">
      <c r="G37299" s="812"/>
    </row>
    <row r="37300" spans="7:7">
      <c r="G37300" s="812"/>
    </row>
    <row r="37301" spans="7:7">
      <c r="G37301" s="812"/>
    </row>
    <row r="37302" spans="7:7">
      <c r="G37302" s="812"/>
    </row>
    <row r="37303" spans="7:7">
      <c r="G37303" s="812"/>
    </row>
    <row r="37304" spans="7:7">
      <c r="G37304" s="812"/>
    </row>
    <row r="37305" spans="7:7">
      <c r="G37305" s="812"/>
    </row>
    <row r="37306" spans="7:7">
      <c r="G37306" s="812"/>
    </row>
    <row r="37307" spans="7:7">
      <c r="G37307" s="812"/>
    </row>
    <row r="37308" spans="7:7">
      <c r="G37308" s="812"/>
    </row>
    <row r="37309" spans="7:7">
      <c r="G37309" s="812"/>
    </row>
    <row r="37310" spans="7:7">
      <c r="G37310" s="812"/>
    </row>
    <row r="37311" spans="7:7">
      <c r="G37311" s="812"/>
    </row>
    <row r="37312" spans="7:7">
      <c r="G37312" s="812"/>
    </row>
    <row r="37313" spans="7:7">
      <c r="G37313" s="812"/>
    </row>
    <row r="37314" spans="7:7">
      <c r="G37314" s="812"/>
    </row>
    <row r="37315" spans="7:7">
      <c r="G37315" s="812"/>
    </row>
    <row r="37316" spans="7:7">
      <c r="G37316" s="812"/>
    </row>
    <row r="37317" spans="7:7">
      <c r="G37317" s="812"/>
    </row>
    <row r="37318" spans="7:7">
      <c r="G37318" s="812"/>
    </row>
    <row r="37319" spans="7:7">
      <c r="G37319" s="812"/>
    </row>
    <row r="37320" spans="7:7">
      <c r="G37320" s="812"/>
    </row>
    <row r="37321" spans="7:7">
      <c r="G37321" s="812"/>
    </row>
    <row r="37322" spans="7:7">
      <c r="G37322" s="812"/>
    </row>
    <row r="37323" spans="7:7">
      <c r="G37323" s="812"/>
    </row>
    <row r="37324" spans="7:7">
      <c r="G37324" s="812"/>
    </row>
    <row r="37325" spans="7:7">
      <c r="G37325" s="812"/>
    </row>
    <row r="37326" spans="7:7">
      <c r="G37326" s="812"/>
    </row>
    <row r="37327" spans="7:7">
      <c r="G37327" s="812"/>
    </row>
    <row r="37328" spans="7:7">
      <c r="G37328" s="812"/>
    </row>
    <row r="37329" spans="7:7">
      <c r="G37329" s="812"/>
    </row>
    <row r="37330" spans="7:7">
      <c r="G37330" s="812"/>
    </row>
    <row r="37331" spans="7:7">
      <c r="G37331" s="812"/>
    </row>
    <row r="37332" spans="7:7">
      <c r="G37332" s="812"/>
    </row>
    <row r="37333" spans="7:7">
      <c r="G37333" s="812"/>
    </row>
    <row r="37334" spans="7:7">
      <c r="G37334" s="812"/>
    </row>
    <row r="37335" spans="7:7">
      <c r="G37335" s="812"/>
    </row>
    <row r="37336" spans="7:7">
      <c r="G37336" s="812"/>
    </row>
    <row r="37337" spans="7:7">
      <c r="G37337" s="812"/>
    </row>
    <row r="37338" spans="7:7">
      <c r="G37338" s="812"/>
    </row>
    <row r="37339" spans="7:7">
      <c r="G37339" s="812"/>
    </row>
    <row r="37340" spans="7:7">
      <c r="G37340" s="812"/>
    </row>
    <row r="37341" spans="7:7">
      <c r="G37341" s="812"/>
    </row>
    <row r="37342" spans="7:7">
      <c r="G37342" s="812"/>
    </row>
    <row r="37343" spans="7:7">
      <c r="G37343" s="812"/>
    </row>
    <row r="37344" spans="7:7">
      <c r="G37344" s="812"/>
    </row>
    <row r="37345" spans="7:7">
      <c r="G37345" s="812"/>
    </row>
    <row r="37346" spans="7:7">
      <c r="G37346" s="812"/>
    </row>
    <row r="37347" spans="7:7">
      <c r="G37347" s="812"/>
    </row>
    <row r="37348" spans="7:7">
      <c r="G37348" s="812"/>
    </row>
    <row r="37349" spans="7:7">
      <c r="G37349" s="812"/>
    </row>
    <row r="37350" spans="7:7">
      <c r="G37350" s="812"/>
    </row>
    <row r="37351" spans="7:7">
      <c r="G37351" s="812"/>
    </row>
    <row r="37352" spans="7:7">
      <c r="G37352" s="812"/>
    </row>
    <row r="37353" spans="7:7">
      <c r="G37353" s="812"/>
    </row>
    <row r="37354" spans="7:7">
      <c r="G37354" s="812"/>
    </row>
    <row r="37355" spans="7:7">
      <c r="G37355" s="812"/>
    </row>
    <row r="37356" spans="7:7">
      <c r="G37356" s="812"/>
    </row>
    <row r="37357" spans="7:7">
      <c r="G37357" s="812"/>
    </row>
    <row r="37358" spans="7:7">
      <c r="G37358" s="812"/>
    </row>
    <row r="37359" spans="7:7">
      <c r="G37359" s="812"/>
    </row>
    <row r="37360" spans="7:7">
      <c r="G37360" s="812"/>
    </row>
    <row r="37361" spans="7:7">
      <c r="G37361" s="812"/>
    </row>
    <row r="37362" spans="7:7">
      <c r="G37362" s="812"/>
    </row>
    <row r="37363" spans="7:7">
      <c r="G37363" s="812"/>
    </row>
    <row r="37364" spans="7:7">
      <c r="G37364" s="812"/>
    </row>
    <row r="37365" spans="7:7">
      <c r="G37365" s="812"/>
    </row>
    <row r="37366" spans="7:7">
      <c r="G37366" s="812"/>
    </row>
    <row r="37367" spans="7:7">
      <c r="G37367" s="812"/>
    </row>
    <row r="37368" spans="7:7">
      <c r="G37368" s="812"/>
    </row>
    <row r="37369" spans="7:7">
      <c r="G37369" s="812"/>
    </row>
    <row r="37370" spans="7:7">
      <c r="G37370" s="812"/>
    </row>
    <row r="37371" spans="7:7">
      <c r="G37371" s="812"/>
    </row>
    <row r="37372" spans="7:7">
      <c r="G37372" s="812"/>
    </row>
    <row r="37373" spans="7:7">
      <c r="G37373" s="812"/>
    </row>
    <row r="37374" spans="7:7">
      <c r="G37374" s="812"/>
    </row>
    <row r="37375" spans="7:7">
      <c r="G37375" s="812"/>
    </row>
    <row r="37376" spans="7:7">
      <c r="G37376" s="812"/>
    </row>
    <row r="37377" spans="7:7">
      <c r="G37377" s="812"/>
    </row>
    <row r="37378" spans="7:7">
      <c r="G37378" s="812"/>
    </row>
    <row r="37379" spans="7:7">
      <c r="G37379" s="812"/>
    </row>
    <row r="37380" spans="7:7">
      <c r="G37380" s="812"/>
    </row>
    <row r="37381" spans="7:7">
      <c r="G37381" s="812"/>
    </row>
    <row r="37382" spans="7:7">
      <c r="G37382" s="812"/>
    </row>
    <row r="37383" spans="7:7">
      <c r="G37383" s="812"/>
    </row>
    <row r="37384" spans="7:7">
      <c r="G37384" s="812"/>
    </row>
    <row r="37385" spans="7:7">
      <c r="G37385" s="812"/>
    </row>
    <row r="37386" spans="7:7">
      <c r="G37386" s="812"/>
    </row>
    <row r="37387" spans="7:7">
      <c r="G37387" s="812"/>
    </row>
    <row r="37388" spans="7:7">
      <c r="G37388" s="812"/>
    </row>
    <row r="37389" spans="7:7">
      <c r="G37389" s="812"/>
    </row>
    <row r="37390" spans="7:7">
      <c r="G37390" s="812"/>
    </row>
    <row r="37391" spans="7:7">
      <c r="G37391" s="812"/>
    </row>
    <row r="37392" spans="7:7">
      <c r="G37392" s="812"/>
    </row>
    <row r="37393" spans="7:7">
      <c r="G37393" s="812"/>
    </row>
    <row r="37394" spans="7:7">
      <c r="G37394" s="812"/>
    </row>
    <row r="37395" spans="7:7">
      <c r="G37395" s="812"/>
    </row>
    <row r="37396" spans="7:7">
      <c r="G37396" s="812"/>
    </row>
    <row r="37397" spans="7:7">
      <c r="G37397" s="812"/>
    </row>
    <row r="37398" spans="7:7">
      <c r="G37398" s="812"/>
    </row>
    <row r="37399" spans="7:7">
      <c r="G37399" s="812"/>
    </row>
    <row r="37400" spans="7:7">
      <c r="G37400" s="812"/>
    </row>
    <row r="37401" spans="7:7">
      <c r="G37401" s="812"/>
    </row>
    <row r="37402" spans="7:7">
      <c r="G37402" s="812"/>
    </row>
    <row r="37403" spans="7:7">
      <c r="G37403" s="812"/>
    </row>
    <row r="37404" spans="7:7">
      <c r="G37404" s="812"/>
    </row>
    <row r="37405" spans="7:7">
      <c r="G37405" s="812"/>
    </row>
    <row r="37406" spans="7:7">
      <c r="G37406" s="812"/>
    </row>
    <row r="37407" spans="7:7">
      <c r="G37407" s="812"/>
    </row>
    <row r="37408" spans="7:7">
      <c r="G37408" s="812"/>
    </row>
    <row r="37409" spans="7:7">
      <c r="G37409" s="812"/>
    </row>
    <row r="37410" spans="7:7">
      <c r="G37410" s="812"/>
    </row>
    <row r="37411" spans="7:7">
      <c r="G37411" s="812"/>
    </row>
    <row r="37412" spans="7:7">
      <c r="G37412" s="812"/>
    </row>
    <row r="37413" spans="7:7">
      <c r="G37413" s="812"/>
    </row>
    <row r="37414" spans="7:7">
      <c r="G37414" s="812"/>
    </row>
    <row r="37415" spans="7:7">
      <c r="G37415" s="812"/>
    </row>
    <row r="37416" spans="7:7">
      <c r="G37416" s="812"/>
    </row>
    <row r="37417" spans="7:7">
      <c r="G37417" s="812"/>
    </row>
    <row r="37418" spans="7:7">
      <c r="G37418" s="812"/>
    </row>
    <row r="37419" spans="7:7">
      <c r="G37419" s="812"/>
    </row>
    <row r="37420" spans="7:7">
      <c r="G37420" s="812"/>
    </row>
    <row r="37421" spans="7:7">
      <c r="G37421" s="812"/>
    </row>
    <row r="37422" spans="7:7">
      <c r="G37422" s="812"/>
    </row>
    <row r="37423" spans="7:7">
      <c r="G37423" s="812"/>
    </row>
    <row r="37424" spans="7:7">
      <c r="G37424" s="812"/>
    </row>
    <row r="37425" spans="7:7">
      <c r="G37425" s="812"/>
    </row>
    <row r="37426" spans="7:7">
      <c r="G37426" s="812"/>
    </row>
    <row r="37427" spans="7:7">
      <c r="G37427" s="812"/>
    </row>
    <row r="37428" spans="7:7">
      <c r="G37428" s="812"/>
    </row>
    <row r="37429" spans="7:7">
      <c r="G37429" s="812"/>
    </row>
    <row r="37430" spans="7:7">
      <c r="G37430" s="812"/>
    </row>
    <row r="37431" spans="7:7">
      <c r="G37431" s="812"/>
    </row>
    <row r="37432" spans="7:7">
      <c r="G37432" s="812"/>
    </row>
    <row r="37433" spans="7:7">
      <c r="G37433" s="812"/>
    </row>
    <row r="37434" spans="7:7">
      <c r="G37434" s="812"/>
    </row>
    <row r="37435" spans="7:7">
      <c r="G37435" s="812"/>
    </row>
    <row r="37436" spans="7:7">
      <c r="G37436" s="812"/>
    </row>
    <row r="37437" spans="7:7">
      <c r="G37437" s="812"/>
    </row>
    <row r="37438" spans="7:7">
      <c r="G37438" s="812"/>
    </row>
    <row r="37439" spans="7:7">
      <c r="G37439" s="812"/>
    </row>
    <row r="37440" spans="7:7">
      <c r="G37440" s="812"/>
    </row>
    <row r="37441" spans="7:7">
      <c r="G37441" s="812"/>
    </row>
    <row r="37442" spans="7:7">
      <c r="G37442" s="812"/>
    </row>
    <row r="37443" spans="7:7">
      <c r="G37443" s="812"/>
    </row>
    <row r="37444" spans="7:7">
      <c r="G37444" s="812"/>
    </row>
    <row r="37445" spans="7:7">
      <c r="G37445" s="812"/>
    </row>
    <row r="37446" spans="7:7">
      <c r="G37446" s="812"/>
    </row>
    <row r="37447" spans="7:7">
      <c r="G37447" s="812"/>
    </row>
    <row r="37448" spans="7:7">
      <c r="G37448" s="812"/>
    </row>
    <row r="37449" spans="7:7">
      <c r="G37449" s="812"/>
    </row>
    <row r="37450" spans="7:7">
      <c r="G37450" s="812"/>
    </row>
    <row r="37451" spans="7:7">
      <c r="G37451" s="812"/>
    </row>
    <row r="37452" spans="7:7">
      <c r="G37452" s="812"/>
    </row>
    <row r="37453" spans="7:7">
      <c r="G37453" s="812"/>
    </row>
    <row r="37454" spans="7:7">
      <c r="G37454" s="812"/>
    </row>
    <row r="37455" spans="7:7">
      <c r="G37455" s="812"/>
    </row>
    <row r="37456" spans="7:7">
      <c r="G37456" s="812"/>
    </row>
    <row r="37457" spans="7:7">
      <c r="G37457" s="812"/>
    </row>
    <row r="37458" spans="7:7">
      <c r="G37458" s="812"/>
    </row>
    <row r="37459" spans="7:7">
      <c r="G37459" s="812"/>
    </row>
    <row r="37460" spans="7:7">
      <c r="G37460" s="812"/>
    </row>
    <row r="37461" spans="7:7">
      <c r="G37461" s="812"/>
    </row>
    <row r="37462" spans="7:7">
      <c r="G37462" s="812"/>
    </row>
    <row r="37463" spans="7:7">
      <c r="G37463" s="812"/>
    </row>
    <row r="37464" spans="7:7">
      <c r="G37464" s="812"/>
    </row>
    <row r="37465" spans="7:7">
      <c r="G37465" s="812"/>
    </row>
    <row r="37466" spans="7:7">
      <c r="G37466" s="812"/>
    </row>
    <row r="37467" spans="7:7">
      <c r="G37467" s="812"/>
    </row>
    <row r="37468" spans="7:7">
      <c r="G37468" s="812"/>
    </row>
    <row r="37469" spans="7:7">
      <c r="G37469" s="812"/>
    </row>
    <row r="37470" spans="7:7">
      <c r="G37470" s="812"/>
    </row>
    <row r="37471" spans="7:7">
      <c r="G37471" s="812"/>
    </row>
    <row r="37472" spans="7:7">
      <c r="G37472" s="812"/>
    </row>
    <row r="37473" spans="7:7">
      <c r="G37473" s="812"/>
    </row>
    <row r="37474" spans="7:7">
      <c r="G37474" s="812"/>
    </row>
    <row r="37475" spans="7:7">
      <c r="G37475" s="812"/>
    </row>
    <row r="37476" spans="7:7">
      <c r="G37476" s="812"/>
    </row>
    <row r="37477" spans="7:7">
      <c r="G37477" s="812"/>
    </row>
    <row r="37478" spans="7:7">
      <c r="G37478" s="812"/>
    </row>
    <row r="37479" spans="7:7">
      <c r="G37479" s="812"/>
    </row>
    <row r="37480" spans="7:7">
      <c r="G37480" s="812"/>
    </row>
    <row r="37481" spans="7:7">
      <c r="G37481" s="812"/>
    </row>
    <row r="37482" spans="7:7">
      <c r="G37482" s="812"/>
    </row>
    <row r="37483" spans="7:7">
      <c r="G37483" s="812"/>
    </row>
    <row r="37484" spans="7:7">
      <c r="G37484" s="812"/>
    </row>
    <row r="37485" spans="7:7">
      <c r="G37485" s="812"/>
    </row>
    <row r="37486" spans="7:7">
      <c r="G37486" s="812"/>
    </row>
    <row r="37487" spans="7:7">
      <c r="G37487" s="812"/>
    </row>
    <row r="37488" spans="7:7">
      <c r="G37488" s="812"/>
    </row>
    <row r="37489" spans="7:7">
      <c r="G37489" s="812"/>
    </row>
    <row r="37490" spans="7:7">
      <c r="G37490" s="812"/>
    </row>
    <row r="37491" spans="7:7">
      <c r="G37491" s="812"/>
    </row>
    <row r="37492" spans="7:7">
      <c r="G37492" s="812"/>
    </row>
    <row r="37493" spans="7:7">
      <c r="G37493" s="812"/>
    </row>
    <row r="37494" spans="7:7">
      <c r="G37494" s="812"/>
    </row>
    <row r="37495" spans="7:7">
      <c r="G37495" s="812"/>
    </row>
    <row r="37496" spans="7:7">
      <c r="G37496" s="812"/>
    </row>
    <row r="37497" spans="7:7">
      <c r="G37497" s="812"/>
    </row>
    <row r="37498" spans="7:7">
      <c r="G37498" s="812"/>
    </row>
    <row r="37499" spans="7:7">
      <c r="G37499" s="812"/>
    </row>
    <row r="37500" spans="7:7">
      <c r="G37500" s="812"/>
    </row>
    <row r="37501" spans="7:7">
      <c r="G37501" s="812"/>
    </row>
    <row r="37502" spans="7:7">
      <c r="G37502" s="812"/>
    </row>
    <row r="37503" spans="7:7">
      <c r="G37503" s="812"/>
    </row>
    <row r="37504" spans="7:7">
      <c r="G37504" s="812"/>
    </row>
    <row r="37505" spans="7:7">
      <c r="G37505" s="812"/>
    </row>
    <row r="37506" spans="7:7">
      <c r="G37506" s="812"/>
    </row>
    <row r="37507" spans="7:7">
      <c r="G37507" s="812"/>
    </row>
    <row r="37508" spans="7:7">
      <c r="G37508" s="812"/>
    </row>
    <row r="37509" spans="7:7">
      <c r="G37509" s="812"/>
    </row>
    <row r="37510" spans="7:7">
      <c r="G37510" s="812"/>
    </row>
    <row r="37511" spans="7:7">
      <c r="G37511" s="812"/>
    </row>
    <row r="37512" spans="7:7">
      <c r="G37512" s="812"/>
    </row>
    <row r="37513" spans="7:7">
      <c r="G37513" s="812"/>
    </row>
    <row r="37514" spans="7:7">
      <c r="G37514" s="812"/>
    </row>
    <row r="37515" spans="7:7">
      <c r="G37515" s="812"/>
    </row>
    <row r="37516" spans="7:7">
      <c r="G37516" s="812"/>
    </row>
    <row r="37517" spans="7:7">
      <c r="G37517" s="812"/>
    </row>
    <row r="37518" spans="7:7">
      <c r="G37518" s="812"/>
    </row>
    <row r="37519" spans="7:7">
      <c r="G37519" s="812"/>
    </row>
    <row r="37520" spans="7:7">
      <c r="G37520" s="812"/>
    </row>
    <row r="37521" spans="7:7">
      <c r="G37521" s="812"/>
    </row>
    <row r="37522" spans="7:7">
      <c r="G37522" s="812"/>
    </row>
    <row r="37523" spans="7:7">
      <c r="G37523" s="812"/>
    </row>
    <row r="37524" spans="7:7">
      <c r="G37524" s="812"/>
    </row>
    <row r="37525" spans="7:7">
      <c r="G37525" s="812"/>
    </row>
    <row r="37526" spans="7:7">
      <c r="G37526" s="812"/>
    </row>
    <row r="37527" spans="7:7">
      <c r="G37527" s="812"/>
    </row>
    <row r="37528" spans="7:7">
      <c r="G37528" s="812"/>
    </row>
    <row r="37529" spans="7:7">
      <c r="G37529" s="812"/>
    </row>
    <row r="37530" spans="7:7">
      <c r="G37530" s="812"/>
    </row>
    <row r="37531" spans="7:7">
      <c r="G37531" s="812"/>
    </row>
    <row r="37532" spans="7:7">
      <c r="G37532" s="812"/>
    </row>
    <row r="37533" spans="7:7">
      <c r="G37533" s="812"/>
    </row>
    <row r="37534" spans="7:7">
      <c r="G37534" s="812"/>
    </row>
    <row r="37535" spans="7:7">
      <c r="G37535" s="812"/>
    </row>
    <row r="37536" spans="7:7">
      <c r="G37536" s="812"/>
    </row>
    <row r="37537" spans="7:7">
      <c r="G37537" s="812"/>
    </row>
    <row r="37538" spans="7:7">
      <c r="G37538" s="812"/>
    </row>
    <row r="37539" spans="7:7">
      <c r="G37539" s="812"/>
    </row>
    <row r="37540" spans="7:7">
      <c r="G37540" s="812"/>
    </row>
    <row r="37541" spans="7:7">
      <c r="G37541" s="812"/>
    </row>
    <row r="37542" spans="7:7">
      <c r="G37542" s="812"/>
    </row>
    <row r="37543" spans="7:7">
      <c r="G37543" s="812"/>
    </row>
    <row r="37544" spans="7:7">
      <c r="G37544" s="812"/>
    </row>
    <row r="37545" spans="7:7">
      <c r="G37545" s="812"/>
    </row>
    <row r="37546" spans="7:7">
      <c r="G37546" s="812"/>
    </row>
    <row r="37547" spans="7:7">
      <c r="G37547" s="812"/>
    </row>
    <row r="37548" spans="7:7">
      <c r="G37548" s="812"/>
    </row>
    <row r="37549" spans="7:7">
      <c r="G37549" s="812"/>
    </row>
    <row r="37550" spans="7:7">
      <c r="G37550" s="812"/>
    </row>
    <row r="37551" spans="7:7">
      <c r="G37551" s="812"/>
    </row>
    <row r="37552" spans="7:7">
      <c r="G37552" s="812"/>
    </row>
    <row r="37553" spans="7:7">
      <c r="G37553" s="812"/>
    </row>
    <row r="37554" spans="7:7">
      <c r="G37554" s="812"/>
    </row>
    <row r="37555" spans="7:7">
      <c r="G37555" s="812"/>
    </row>
    <row r="37556" spans="7:7">
      <c r="G37556" s="812"/>
    </row>
    <row r="37557" spans="7:7">
      <c r="G37557" s="812"/>
    </row>
    <row r="37558" spans="7:7">
      <c r="G37558" s="812"/>
    </row>
    <row r="37559" spans="7:7">
      <c r="G37559" s="812"/>
    </row>
    <row r="37560" spans="7:7">
      <c r="G37560" s="812"/>
    </row>
    <row r="37561" spans="7:7">
      <c r="G37561" s="812"/>
    </row>
    <row r="37562" spans="7:7">
      <c r="G37562" s="812"/>
    </row>
    <row r="37563" spans="7:7">
      <c r="G37563" s="812"/>
    </row>
    <row r="37564" spans="7:7">
      <c r="G37564" s="812"/>
    </row>
    <row r="37565" spans="7:7">
      <c r="G37565" s="812"/>
    </row>
    <row r="37566" spans="7:7">
      <c r="G37566" s="812"/>
    </row>
    <row r="37567" spans="7:7">
      <c r="G37567" s="812"/>
    </row>
    <row r="37568" spans="7:7">
      <c r="G37568" s="812"/>
    </row>
    <row r="37569" spans="7:7">
      <c r="G37569" s="812"/>
    </row>
    <row r="37570" spans="7:7">
      <c r="G37570" s="812"/>
    </row>
    <row r="37571" spans="7:7">
      <c r="G37571" s="812"/>
    </row>
    <row r="37572" spans="7:7">
      <c r="G37572" s="812"/>
    </row>
    <row r="37573" spans="7:7">
      <c r="G37573" s="812"/>
    </row>
    <row r="37574" spans="7:7">
      <c r="G37574" s="812"/>
    </row>
    <row r="37575" spans="7:7">
      <c r="G37575" s="812"/>
    </row>
    <row r="37576" spans="7:7">
      <c r="G37576" s="812"/>
    </row>
    <row r="37577" spans="7:7">
      <c r="G37577" s="812"/>
    </row>
    <row r="37578" spans="7:7">
      <c r="G37578" s="812"/>
    </row>
    <row r="37579" spans="7:7">
      <c r="G37579" s="812"/>
    </row>
    <row r="37580" spans="7:7">
      <c r="G37580" s="812"/>
    </row>
    <row r="37581" spans="7:7">
      <c r="G37581" s="812"/>
    </row>
    <row r="37582" spans="7:7">
      <c r="G37582" s="812"/>
    </row>
    <row r="37583" spans="7:7">
      <c r="G37583" s="812"/>
    </row>
    <row r="37584" spans="7:7">
      <c r="G37584" s="812"/>
    </row>
    <row r="37585" spans="7:7">
      <c r="G37585" s="812"/>
    </row>
    <row r="37586" spans="7:7">
      <c r="G37586" s="812"/>
    </row>
    <row r="37587" spans="7:7">
      <c r="G37587" s="812"/>
    </row>
    <row r="37588" spans="7:7">
      <c r="G37588" s="812"/>
    </row>
    <row r="37589" spans="7:7">
      <c r="G37589" s="812"/>
    </row>
    <row r="37590" spans="7:7">
      <c r="G37590" s="812"/>
    </row>
    <row r="37591" spans="7:7">
      <c r="G37591" s="812"/>
    </row>
    <row r="37592" spans="7:7">
      <c r="G37592" s="812"/>
    </row>
    <row r="37593" spans="7:7">
      <c r="G37593" s="812"/>
    </row>
    <row r="37594" spans="7:7">
      <c r="G37594" s="812"/>
    </row>
    <row r="37595" spans="7:7">
      <c r="G37595" s="812"/>
    </row>
    <row r="37596" spans="7:7">
      <c r="G37596" s="812"/>
    </row>
    <row r="37597" spans="7:7">
      <c r="G37597" s="812"/>
    </row>
    <row r="37598" spans="7:7">
      <c r="G37598" s="812"/>
    </row>
    <row r="37599" spans="7:7">
      <c r="G37599" s="812"/>
    </row>
    <row r="37600" spans="7:7">
      <c r="G37600" s="812"/>
    </row>
    <row r="37601" spans="7:7">
      <c r="G37601" s="812"/>
    </row>
    <row r="37602" spans="7:7">
      <c r="G37602" s="812"/>
    </row>
    <row r="37603" spans="7:7">
      <c r="G37603" s="812"/>
    </row>
    <row r="37604" spans="7:7">
      <c r="G37604" s="812"/>
    </row>
    <row r="37605" spans="7:7">
      <c r="G37605" s="812"/>
    </row>
    <row r="37606" spans="7:7">
      <c r="G37606" s="812"/>
    </row>
    <row r="37607" spans="7:7">
      <c r="G37607" s="812"/>
    </row>
    <row r="37608" spans="7:7">
      <c r="G37608" s="812"/>
    </row>
    <row r="37609" spans="7:7">
      <c r="G37609" s="812"/>
    </row>
    <row r="37610" spans="7:7">
      <c r="G37610" s="812"/>
    </row>
    <row r="37611" spans="7:7">
      <c r="G37611" s="812"/>
    </row>
    <row r="37612" spans="7:7">
      <c r="G37612" s="812"/>
    </row>
    <row r="37613" spans="7:7">
      <c r="G37613" s="812"/>
    </row>
    <row r="37614" spans="7:7">
      <c r="G37614" s="812"/>
    </row>
    <row r="37615" spans="7:7">
      <c r="G37615" s="812"/>
    </row>
    <row r="37616" spans="7:7">
      <c r="G37616" s="812"/>
    </row>
    <row r="37617" spans="7:7">
      <c r="G37617" s="812"/>
    </row>
    <row r="37618" spans="7:7">
      <c r="G37618" s="812"/>
    </row>
    <row r="37619" spans="7:7">
      <c r="G37619" s="812"/>
    </row>
    <row r="37620" spans="7:7">
      <c r="G37620" s="812"/>
    </row>
    <row r="37621" spans="7:7">
      <c r="G37621" s="812"/>
    </row>
    <row r="37622" spans="7:7">
      <c r="G37622" s="812"/>
    </row>
    <row r="37623" spans="7:7">
      <c r="G37623" s="812"/>
    </row>
    <row r="37624" spans="7:7">
      <c r="G37624" s="812"/>
    </row>
    <row r="37625" spans="7:7">
      <c r="G37625" s="812"/>
    </row>
    <row r="37626" spans="7:7">
      <c r="G37626" s="812"/>
    </row>
    <row r="37627" spans="7:7">
      <c r="G37627" s="812"/>
    </row>
    <row r="37628" spans="7:7">
      <c r="G37628" s="812"/>
    </row>
    <row r="37629" spans="7:7">
      <c r="G37629" s="812"/>
    </row>
    <row r="37630" spans="7:7">
      <c r="G37630" s="812"/>
    </row>
    <row r="37631" spans="7:7">
      <c r="G37631" s="812"/>
    </row>
    <row r="37632" spans="7:7">
      <c r="G37632" s="812"/>
    </row>
    <row r="37633" spans="7:7">
      <c r="G37633" s="812"/>
    </row>
    <row r="37634" spans="7:7">
      <c r="G37634" s="812"/>
    </row>
    <row r="37635" spans="7:7">
      <c r="G37635" s="812"/>
    </row>
    <row r="37636" spans="7:7">
      <c r="G37636" s="812"/>
    </row>
    <row r="37637" spans="7:7">
      <c r="G37637" s="812"/>
    </row>
    <row r="37638" spans="7:7">
      <c r="G37638" s="812"/>
    </row>
    <row r="37639" spans="7:7">
      <c r="G37639" s="812"/>
    </row>
    <row r="37640" spans="7:7">
      <c r="G37640" s="812"/>
    </row>
    <row r="37641" spans="7:7">
      <c r="G37641" s="812"/>
    </row>
    <row r="37642" spans="7:7">
      <c r="G37642" s="812"/>
    </row>
    <row r="37643" spans="7:7">
      <c r="G37643" s="812"/>
    </row>
    <row r="37644" spans="7:7">
      <c r="G37644" s="812"/>
    </row>
    <row r="37645" spans="7:7">
      <c r="G37645" s="812"/>
    </row>
    <row r="37646" spans="7:7">
      <c r="G37646" s="812"/>
    </row>
    <row r="37647" spans="7:7">
      <c r="G37647" s="812"/>
    </row>
    <row r="37648" spans="7:7">
      <c r="G37648" s="812"/>
    </row>
    <row r="37649" spans="7:7">
      <c r="G37649" s="812"/>
    </row>
    <row r="37650" spans="7:7">
      <c r="G37650" s="812"/>
    </row>
    <row r="37651" spans="7:7">
      <c r="G37651" s="812"/>
    </row>
    <row r="37652" spans="7:7">
      <c r="G37652" s="812"/>
    </row>
    <row r="37653" spans="7:7">
      <c r="G37653" s="812"/>
    </row>
    <row r="37654" spans="7:7">
      <c r="G37654" s="812"/>
    </row>
    <row r="37655" spans="7:7">
      <c r="G37655" s="812"/>
    </row>
    <row r="37656" spans="7:7">
      <c r="G37656" s="812"/>
    </row>
    <row r="37657" spans="7:7">
      <c r="G37657" s="812"/>
    </row>
    <row r="37658" spans="7:7">
      <c r="G37658" s="812"/>
    </row>
    <row r="37659" spans="7:7">
      <c r="G37659" s="812"/>
    </row>
    <row r="37660" spans="7:7">
      <c r="G37660" s="812"/>
    </row>
    <row r="37661" spans="7:7">
      <c r="G37661" s="812"/>
    </row>
    <row r="37662" spans="7:7">
      <c r="G37662" s="812"/>
    </row>
    <row r="37663" spans="7:7">
      <c r="G37663" s="812"/>
    </row>
    <row r="37664" spans="7:7">
      <c r="G37664" s="812"/>
    </row>
    <row r="37665" spans="7:7">
      <c r="G37665" s="812"/>
    </row>
    <row r="37666" spans="7:7">
      <c r="G37666" s="812"/>
    </row>
    <row r="37667" spans="7:7">
      <c r="G37667" s="812"/>
    </row>
    <row r="37668" spans="7:7">
      <c r="G37668" s="812"/>
    </row>
    <row r="37669" spans="7:7">
      <c r="G37669" s="812"/>
    </row>
    <row r="37670" spans="7:7">
      <c r="G37670" s="812"/>
    </row>
    <row r="37671" spans="7:7">
      <c r="G37671" s="812"/>
    </row>
    <row r="37672" spans="7:7">
      <c r="G37672" s="812"/>
    </row>
    <row r="37673" spans="7:7">
      <c r="G37673" s="812"/>
    </row>
    <row r="37674" spans="7:7">
      <c r="G37674" s="812"/>
    </row>
    <row r="37675" spans="7:7">
      <c r="G37675" s="812"/>
    </row>
    <row r="37676" spans="7:7">
      <c r="G37676" s="812"/>
    </row>
    <row r="37677" spans="7:7">
      <c r="G37677" s="812"/>
    </row>
    <row r="37678" spans="7:7">
      <c r="G37678" s="812"/>
    </row>
    <row r="37679" spans="7:7">
      <c r="G37679" s="812"/>
    </row>
    <row r="37680" spans="7:7">
      <c r="G37680" s="812"/>
    </row>
    <row r="37681" spans="7:7">
      <c r="G37681" s="812"/>
    </row>
    <row r="37682" spans="7:7">
      <c r="G37682" s="812"/>
    </row>
    <row r="37683" spans="7:7">
      <c r="G37683" s="812"/>
    </row>
    <row r="37684" spans="7:7">
      <c r="G37684" s="812"/>
    </row>
    <row r="37685" spans="7:7">
      <c r="G37685" s="812"/>
    </row>
    <row r="37686" spans="7:7">
      <c r="G37686" s="812"/>
    </row>
    <row r="37687" spans="7:7">
      <c r="G37687" s="812"/>
    </row>
    <row r="37688" spans="7:7">
      <c r="G37688" s="812"/>
    </row>
    <row r="37689" spans="7:7">
      <c r="G37689" s="812"/>
    </row>
    <row r="37690" spans="7:7">
      <c r="G37690" s="812"/>
    </row>
    <row r="37691" spans="7:7">
      <c r="G37691" s="812"/>
    </row>
    <row r="37692" spans="7:7">
      <c r="G37692" s="812"/>
    </row>
    <row r="37693" spans="7:7">
      <c r="G37693" s="812"/>
    </row>
    <row r="37694" spans="7:7">
      <c r="G37694" s="812"/>
    </row>
    <row r="37695" spans="7:7">
      <c r="G37695" s="812"/>
    </row>
    <row r="37696" spans="7:7">
      <c r="G37696" s="812"/>
    </row>
    <row r="37697" spans="7:7">
      <c r="G37697" s="812"/>
    </row>
    <row r="37698" spans="7:7">
      <c r="G37698" s="812"/>
    </row>
    <row r="37699" spans="7:7">
      <c r="G37699" s="812"/>
    </row>
    <row r="37700" spans="7:7">
      <c r="G37700" s="812"/>
    </row>
    <row r="37701" spans="7:7">
      <c r="G37701" s="812"/>
    </row>
    <row r="37702" spans="7:7">
      <c r="G37702" s="812"/>
    </row>
    <row r="37703" spans="7:7">
      <c r="G37703" s="812"/>
    </row>
    <row r="37704" spans="7:7">
      <c r="G37704" s="812"/>
    </row>
    <row r="37705" spans="7:7">
      <c r="G37705" s="812"/>
    </row>
    <row r="37706" spans="7:7">
      <c r="G37706" s="812"/>
    </row>
    <row r="37707" spans="7:7">
      <c r="G37707" s="812"/>
    </row>
    <row r="37708" spans="7:7">
      <c r="G37708" s="812"/>
    </row>
    <row r="37709" spans="7:7">
      <c r="G37709" s="812"/>
    </row>
    <row r="37710" spans="7:7">
      <c r="G37710" s="812"/>
    </row>
    <row r="37711" spans="7:7">
      <c r="G37711" s="812"/>
    </row>
    <row r="37712" spans="7:7">
      <c r="G37712" s="812"/>
    </row>
    <row r="37713" spans="7:7">
      <c r="G37713" s="812"/>
    </row>
    <row r="37714" spans="7:7">
      <c r="G37714" s="812"/>
    </row>
    <row r="37715" spans="7:7">
      <c r="G37715" s="812"/>
    </row>
    <row r="37716" spans="7:7">
      <c r="G37716" s="812"/>
    </row>
    <row r="37717" spans="7:7">
      <c r="G37717" s="812"/>
    </row>
    <row r="37718" spans="7:7">
      <c r="G37718" s="812"/>
    </row>
    <row r="37719" spans="7:7">
      <c r="G37719" s="812"/>
    </row>
    <row r="37720" spans="7:7">
      <c r="G37720" s="812"/>
    </row>
    <row r="37721" spans="7:7">
      <c r="G37721" s="812"/>
    </row>
    <row r="37722" spans="7:7">
      <c r="G37722" s="812"/>
    </row>
    <row r="37723" spans="7:7">
      <c r="G37723" s="812"/>
    </row>
    <row r="37724" spans="7:7">
      <c r="G37724" s="812"/>
    </row>
    <row r="37725" spans="7:7">
      <c r="G37725" s="812"/>
    </row>
    <row r="37726" spans="7:7">
      <c r="G37726" s="812"/>
    </row>
    <row r="37727" spans="7:7">
      <c r="G37727" s="812"/>
    </row>
    <row r="37728" spans="7:7">
      <c r="G37728" s="812"/>
    </row>
    <row r="37729" spans="7:7">
      <c r="G37729" s="812"/>
    </row>
    <row r="37730" spans="7:7">
      <c r="G37730" s="812"/>
    </row>
    <row r="37731" spans="7:7">
      <c r="G37731" s="812"/>
    </row>
    <row r="37732" spans="7:7">
      <c r="G37732" s="812"/>
    </row>
    <row r="37733" spans="7:7">
      <c r="G37733" s="812"/>
    </row>
    <row r="37734" spans="7:7">
      <c r="G37734" s="812"/>
    </row>
    <row r="37735" spans="7:7">
      <c r="G37735" s="812"/>
    </row>
    <row r="37736" spans="7:7">
      <c r="G37736" s="812"/>
    </row>
    <row r="37737" spans="7:7">
      <c r="G37737" s="812"/>
    </row>
    <row r="37738" spans="7:7">
      <c r="G37738" s="812"/>
    </row>
    <row r="37739" spans="7:7">
      <c r="G37739" s="812"/>
    </row>
    <row r="37740" spans="7:7">
      <c r="G37740" s="812"/>
    </row>
    <row r="37741" spans="7:7">
      <c r="G37741" s="812"/>
    </row>
    <row r="37742" spans="7:7">
      <c r="G37742" s="812"/>
    </row>
    <row r="37743" spans="7:7">
      <c r="G37743" s="812"/>
    </row>
    <row r="37744" spans="7:7">
      <c r="G37744" s="812"/>
    </row>
    <row r="37745" spans="7:7">
      <c r="G37745" s="812"/>
    </row>
    <row r="37746" spans="7:7">
      <c r="G37746" s="812"/>
    </row>
    <row r="37747" spans="7:7">
      <c r="G37747" s="812"/>
    </row>
    <row r="37748" spans="7:7">
      <c r="G37748" s="812"/>
    </row>
    <row r="37749" spans="7:7">
      <c r="G37749" s="812"/>
    </row>
    <row r="37750" spans="7:7">
      <c r="G37750" s="812"/>
    </row>
    <row r="37751" spans="7:7">
      <c r="G37751" s="812"/>
    </row>
    <row r="37752" spans="7:7">
      <c r="G37752" s="812"/>
    </row>
    <row r="37753" spans="7:7">
      <c r="G37753" s="812"/>
    </row>
    <row r="37754" spans="7:7">
      <c r="G37754" s="812"/>
    </row>
    <row r="37755" spans="7:7">
      <c r="G37755" s="812"/>
    </row>
    <row r="37756" spans="7:7">
      <c r="G37756" s="812"/>
    </row>
    <row r="37757" spans="7:7">
      <c r="G37757" s="812"/>
    </row>
    <row r="37758" spans="7:7">
      <c r="G37758" s="812"/>
    </row>
    <row r="37759" spans="7:7">
      <c r="G37759" s="812"/>
    </row>
    <row r="37760" spans="7:7">
      <c r="G37760" s="812"/>
    </row>
    <row r="37761" spans="7:7">
      <c r="G37761" s="812"/>
    </row>
    <row r="37762" spans="7:7">
      <c r="G37762" s="812"/>
    </row>
    <row r="37763" spans="7:7">
      <c r="G37763" s="812"/>
    </row>
    <row r="37764" spans="7:7">
      <c r="G37764" s="812"/>
    </row>
    <row r="37765" spans="7:7">
      <c r="G37765" s="812"/>
    </row>
    <row r="37766" spans="7:7">
      <c r="G37766" s="812"/>
    </row>
    <row r="37767" spans="7:7">
      <c r="G37767" s="812"/>
    </row>
    <row r="37768" spans="7:7">
      <c r="G37768" s="812"/>
    </row>
    <row r="37769" spans="7:7">
      <c r="G37769" s="812"/>
    </row>
    <row r="37770" spans="7:7">
      <c r="G37770" s="812"/>
    </row>
    <row r="37771" spans="7:7">
      <c r="G37771" s="812"/>
    </row>
    <row r="37772" spans="7:7">
      <c r="G37772" s="812"/>
    </row>
    <row r="37773" spans="7:7">
      <c r="G37773" s="812"/>
    </row>
    <row r="37774" spans="7:7">
      <c r="G37774" s="812"/>
    </row>
    <row r="37775" spans="7:7">
      <c r="G37775" s="812"/>
    </row>
    <row r="37776" spans="7:7">
      <c r="G37776" s="812"/>
    </row>
    <row r="37777" spans="7:7">
      <c r="G37777" s="812"/>
    </row>
    <row r="37778" spans="7:7">
      <c r="G37778" s="812"/>
    </row>
    <row r="37779" spans="7:7">
      <c r="G37779" s="812"/>
    </row>
    <row r="37780" spans="7:7">
      <c r="G37780" s="812"/>
    </row>
    <row r="37781" spans="7:7">
      <c r="G37781" s="812"/>
    </row>
    <row r="37782" spans="7:7">
      <c r="G37782" s="812"/>
    </row>
    <row r="37783" spans="7:7">
      <c r="G37783" s="812"/>
    </row>
    <row r="37784" spans="7:7">
      <c r="G37784" s="812"/>
    </row>
    <row r="37785" spans="7:7">
      <c r="G37785" s="812"/>
    </row>
    <row r="37786" spans="7:7">
      <c r="G37786" s="812"/>
    </row>
    <row r="37787" spans="7:7">
      <c r="G37787" s="812"/>
    </row>
    <row r="37788" spans="7:7">
      <c r="G37788" s="812"/>
    </row>
    <row r="37789" spans="7:7">
      <c r="G37789" s="812"/>
    </row>
    <row r="37790" spans="7:7">
      <c r="G37790" s="812"/>
    </row>
    <row r="37791" spans="7:7">
      <c r="G37791" s="812"/>
    </row>
    <row r="37792" spans="7:7">
      <c r="G37792" s="812"/>
    </row>
    <row r="37793" spans="7:7">
      <c r="G37793" s="812"/>
    </row>
    <row r="37794" spans="7:7">
      <c r="G37794" s="812"/>
    </row>
    <row r="37795" spans="7:7">
      <c r="G37795" s="812"/>
    </row>
    <row r="37796" spans="7:7">
      <c r="G37796" s="812"/>
    </row>
    <row r="37797" spans="7:7">
      <c r="G37797" s="812"/>
    </row>
    <row r="37798" spans="7:7">
      <c r="G37798" s="812"/>
    </row>
    <row r="37799" spans="7:7">
      <c r="G37799" s="812"/>
    </row>
    <row r="37800" spans="7:7">
      <c r="G37800" s="812"/>
    </row>
    <row r="37801" spans="7:7">
      <c r="G37801" s="812"/>
    </row>
    <row r="37802" spans="7:7">
      <c r="G37802" s="812"/>
    </row>
    <row r="37803" spans="7:7">
      <c r="G37803" s="812"/>
    </row>
    <row r="37804" spans="7:7">
      <c r="G37804" s="812"/>
    </row>
    <row r="37805" spans="7:7">
      <c r="G37805" s="812"/>
    </row>
    <row r="37806" spans="7:7">
      <c r="G37806" s="812"/>
    </row>
    <row r="37807" spans="7:7">
      <c r="G37807" s="812"/>
    </row>
    <row r="37808" spans="7:7">
      <c r="G37808" s="812"/>
    </row>
    <row r="37809" spans="7:7">
      <c r="G37809" s="812"/>
    </row>
    <row r="37810" spans="7:7">
      <c r="G37810" s="812"/>
    </row>
    <row r="37811" spans="7:7">
      <c r="G37811" s="812"/>
    </row>
    <row r="37812" spans="7:7">
      <c r="G37812" s="812"/>
    </row>
    <row r="37813" spans="7:7">
      <c r="G37813" s="812"/>
    </row>
    <row r="37814" spans="7:7">
      <c r="G37814" s="812"/>
    </row>
    <row r="37815" spans="7:7">
      <c r="G37815" s="812"/>
    </row>
    <row r="37816" spans="7:7">
      <c r="G37816" s="812"/>
    </row>
    <row r="37817" spans="7:7">
      <c r="G37817" s="812"/>
    </row>
    <row r="37818" spans="7:7">
      <c r="G37818" s="812"/>
    </row>
    <row r="37819" spans="7:7">
      <c r="G37819" s="812"/>
    </row>
    <row r="37820" spans="7:7">
      <c r="G37820" s="812"/>
    </row>
    <row r="37821" spans="7:7">
      <c r="G37821" s="812"/>
    </row>
    <row r="37822" spans="7:7">
      <c r="G37822" s="812"/>
    </row>
    <row r="37823" spans="7:7">
      <c r="G37823" s="812"/>
    </row>
    <row r="37824" spans="7:7">
      <c r="G37824" s="812"/>
    </row>
    <row r="37825" spans="7:7">
      <c r="G37825" s="812"/>
    </row>
    <row r="37826" spans="7:7">
      <c r="G37826" s="812"/>
    </row>
    <row r="37827" spans="7:7">
      <c r="G37827" s="812"/>
    </row>
    <row r="37828" spans="7:7">
      <c r="G37828" s="812"/>
    </row>
    <row r="37829" spans="7:7">
      <c r="G37829" s="812"/>
    </row>
    <row r="37830" spans="7:7">
      <c r="G37830" s="812"/>
    </row>
    <row r="37831" spans="7:7">
      <c r="G37831" s="812"/>
    </row>
    <row r="37832" spans="7:7">
      <c r="G37832" s="812"/>
    </row>
    <row r="37833" spans="7:7">
      <c r="G37833" s="812"/>
    </row>
    <row r="37834" spans="7:7">
      <c r="G37834" s="812"/>
    </row>
    <row r="37835" spans="7:7">
      <c r="G37835" s="812"/>
    </row>
    <row r="37836" spans="7:7">
      <c r="G37836" s="812"/>
    </row>
    <row r="37837" spans="7:7">
      <c r="G37837" s="812"/>
    </row>
    <row r="37838" spans="7:7">
      <c r="G37838" s="812"/>
    </row>
    <row r="37839" spans="7:7">
      <c r="G37839" s="812"/>
    </row>
    <row r="37840" spans="7:7">
      <c r="G37840" s="812"/>
    </row>
    <row r="37841" spans="7:7">
      <c r="G37841" s="812"/>
    </row>
    <row r="37842" spans="7:7">
      <c r="G37842" s="812"/>
    </row>
    <row r="37843" spans="7:7">
      <c r="G37843" s="812"/>
    </row>
    <row r="37844" spans="7:7">
      <c r="G37844" s="812"/>
    </row>
    <row r="37845" spans="7:7">
      <c r="G37845" s="812"/>
    </row>
    <row r="37846" spans="7:7">
      <c r="G37846" s="812"/>
    </row>
    <row r="37847" spans="7:7">
      <c r="G37847" s="812"/>
    </row>
    <row r="37848" spans="7:7">
      <c r="G37848" s="812"/>
    </row>
    <row r="37849" spans="7:7">
      <c r="G37849" s="812"/>
    </row>
    <row r="37850" spans="7:7">
      <c r="G37850" s="812"/>
    </row>
    <row r="37851" spans="7:7">
      <c r="G37851" s="812"/>
    </row>
    <row r="37852" spans="7:7">
      <c r="G37852" s="812"/>
    </row>
    <row r="37853" spans="7:7">
      <c r="G37853" s="812"/>
    </row>
    <row r="37854" spans="7:7">
      <c r="G37854" s="812"/>
    </row>
    <row r="37855" spans="7:7">
      <c r="G37855" s="812"/>
    </row>
    <row r="37856" spans="7:7">
      <c r="G37856" s="812"/>
    </row>
    <row r="37857" spans="7:7">
      <c r="G37857" s="812"/>
    </row>
    <row r="37858" spans="7:7">
      <c r="G37858" s="812"/>
    </row>
    <row r="37859" spans="7:7">
      <c r="G37859" s="812"/>
    </row>
    <row r="37860" spans="7:7">
      <c r="G37860" s="812"/>
    </row>
    <row r="37861" spans="7:7">
      <c r="G37861" s="812"/>
    </row>
    <row r="37862" spans="7:7">
      <c r="G37862" s="812"/>
    </row>
    <row r="37863" spans="7:7">
      <c r="G37863" s="812"/>
    </row>
    <row r="37864" spans="7:7">
      <c r="G37864" s="812"/>
    </row>
    <row r="37865" spans="7:7">
      <c r="G37865" s="812"/>
    </row>
    <row r="37866" spans="7:7">
      <c r="G37866" s="812"/>
    </row>
    <row r="37867" spans="7:7">
      <c r="G37867" s="812"/>
    </row>
    <row r="37868" spans="7:7">
      <c r="G37868" s="812"/>
    </row>
    <row r="37869" spans="7:7">
      <c r="G37869" s="812"/>
    </row>
    <row r="37870" spans="7:7">
      <c r="G37870" s="812"/>
    </row>
    <row r="37871" spans="7:7">
      <c r="G37871" s="812"/>
    </row>
    <row r="37872" spans="7:7">
      <c r="G37872" s="812"/>
    </row>
    <row r="37873" spans="7:7">
      <c r="G37873" s="812"/>
    </row>
    <row r="37874" spans="7:7">
      <c r="G37874" s="812"/>
    </row>
    <row r="37875" spans="7:7">
      <c r="G37875" s="812"/>
    </row>
    <row r="37876" spans="7:7">
      <c r="G37876" s="812"/>
    </row>
    <row r="37877" spans="7:7">
      <c r="G37877" s="812"/>
    </row>
    <row r="37878" spans="7:7">
      <c r="G37878" s="812"/>
    </row>
    <row r="37879" spans="7:7">
      <c r="G37879" s="812"/>
    </row>
    <row r="37880" spans="7:7">
      <c r="G37880" s="812"/>
    </row>
    <row r="37881" spans="7:7">
      <c r="G37881" s="812"/>
    </row>
    <row r="37882" spans="7:7">
      <c r="G37882" s="812"/>
    </row>
    <row r="37883" spans="7:7">
      <c r="G37883" s="812"/>
    </row>
    <row r="37884" spans="7:7">
      <c r="G37884" s="812"/>
    </row>
    <row r="37885" spans="7:7">
      <c r="G37885" s="812"/>
    </row>
    <row r="37886" spans="7:7">
      <c r="G37886" s="812"/>
    </row>
    <row r="37887" spans="7:7">
      <c r="G37887" s="812"/>
    </row>
    <row r="37888" spans="7:7">
      <c r="G37888" s="812"/>
    </row>
    <row r="37889" spans="7:7">
      <c r="G37889" s="812"/>
    </row>
    <row r="37890" spans="7:7">
      <c r="G37890" s="812"/>
    </row>
    <row r="37891" spans="7:7">
      <c r="G37891" s="812"/>
    </row>
    <row r="37892" spans="7:7">
      <c r="G37892" s="812"/>
    </row>
    <row r="37893" spans="7:7">
      <c r="G37893" s="812"/>
    </row>
    <row r="37894" spans="7:7">
      <c r="G37894" s="812"/>
    </row>
    <row r="37895" spans="7:7">
      <c r="G37895" s="812"/>
    </row>
    <row r="37896" spans="7:7">
      <c r="G37896" s="812"/>
    </row>
    <row r="37897" spans="7:7">
      <c r="G37897" s="812"/>
    </row>
    <row r="37898" spans="7:7">
      <c r="G37898" s="812"/>
    </row>
    <row r="37899" spans="7:7">
      <c r="G37899" s="812"/>
    </row>
    <row r="37900" spans="7:7">
      <c r="G37900" s="812"/>
    </row>
    <row r="37901" spans="7:7">
      <c r="G37901" s="812"/>
    </row>
    <row r="37902" spans="7:7">
      <c r="G37902" s="812"/>
    </row>
    <row r="37903" spans="7:7">
      <c r="G37903" s="812"/>
    </row>
    <row r="37904" spans="7:7">
      <c r="G37904" s="812"/>
    </row>
    <row r="37905" spans="7:7">
      <c r="G37905" s="812"/>
    </row>
    <row r="37906" spans="7:7">
      <c r="G37906" s="812"/>
    </row>
    <row r="37907" spans="7:7">
      <c r="G37907" s="812"/>
    </row>
    <row r="37908" spans="7:7">
      <c r="G37908" s="812"/>
    </row>
    <row r="37909" spans="7:7">
      <c r="G37909" s="812"/>
    </row>
    <row r="37910" spans="7:7">
      <c r="G37910" s="812"/>
    </row>
    <row r="37911" spans="7:7">
      <c r="G37911" s="812"/>
    </row>
    <row r="37912" spans="7:7">
      <c r="G37912" s="812"/>
    </row>
    <row r="37913" spans="7:7">
      <c r="G37913" s="812"/>
    </row>
    <row r="37914" spans="7:7">
      <c r="G37914" s="812"/>
    </row>
    <row r="37915" spans="7:7">
      <c r="G37915" s="812"/>
    </row>
    <row r="37916" spans="7:7">
      <c r="G37916" s="812"/>
    </row>
    <row r="37917" spans="7:7">
      <c r="G37917" s="812"/>
    </row>
    <row r="37918" spans="7:7">
      <c r="G37918" s="812"/>
    </row>
    <row r="37919" spans="7:7">
      <c r="G37919" s="812"/>
    </row>
    <row r="37920" spans="7:7">
      <c r="G37920" s="812"/>
    </row>
    <row r="37921" spans="7:7">
      <c r="G37921" s="812"/>
    </row>
    <row r="37922" spans="7:7">
      <c r="G37922" s="812"/>
    </row>
    <row r="37923" spans="7:7">
      <c r="G37923" s="812"/>
    </row>
    <row r="37924" spans="7:7">
      <c r="G37924" s="812"/>
    </row>
    <row r="37925" spans="7:7">
      <c r="G37925" s="812"/>
    </row>
    <row r="37926" spans="7:7">
      <c r="G37926" s="812"/>
    </row>
    <row r="37927" spans="7:7">
      <c r="G37927" s="812"/>
    </row>
    <row r="37928" spans="7:7">
      <c r="G37928" s="812"/>
    </row>
    <row r="37929" spans="7:7">
      <c r="G37929" s="812"/>
    </row>
    <row r="37930" spans="7:7">
      <c r="G37930" s="812"/>
    </row>
    <row r="37931" spans="7:7">
      <c r="G37931" s="812"/>
    </row>
    <row r="37932" spans="7:7">
      <c r="G37932" s="812"/>
    </row>
    <row r="37933" spans="7:7">
      <c r="G37933" s="812"/>
    </row>
    <row r="37934" spans="7:7">
      <c r="G37934" s="812"/>
    </row>
    <row r="37935" spans="7:7">
      <c r="G37935" s="812"/>
    </row>
    <row r="37936" spans="7:7">
      <c r="G37936" s="812"/>
    </row>
    <row r="37937" spans="7:7">
      <c r="G37937" s="812"/>
    </row>
    <row r="37938" spans="7:7">
      <c r="G37938" s="812"/>
    </row>
    <row r="37939" spans="7:7">
      <c r="G37939" s="812"/>
    </row>
    <row r="37940" spans="7:7">
      <c r="G37940" s="812"/>
    </row>
    <row r="37941" spans="7:7">
      <c r="G37941" s="812"/>
    </row>
    <row r="37942" spans="7:7">
      <c r="G37942" s="812"/>
    </row>
    <row r="37943" spans="7:7">
      <c r="G37943" s="812"/>
    </row>
    <row r="37944" spans="7:7">
      <c r="G37944" s="812"/>
    </row>
    <row r="37945" spans="7:7">
      <c r="G37945" s="812"/>
    </row>
    <row r="37946" spans="7:7">
      <c r="G37946" s="812"/>
    </row>
    <row r="37947" spans="7:7">
      <c r="G37947" s="812"/>
    </row>
    <row r="37948" spans="7:7">
      <c r="G37948" s="812"/>
    </row>
    <row r="37949" spans="7:7">
      <c r="G37949" s="812"/>
    </row>
    <row r="37950" spans="7:7">
      <c r="G37950" s="812"/>
    </row>
    <row r="37951" spans="7:7">
      <c r="G37951" s="812"/>
    </row>
    <row r="37952" spans="7:7">
      <c r="G37952" s="812"/>
    </row>
    <row r="37953" spans="7:7">
      <c r="G37953" s="812"/>
    </row>
    <row r="37954" spans="7:7">
      <c r="G37954" s="812"/>
    </row>
    <row r="37955" spans="7:7">
      <c r="G37955" s="812"/>
    </row>
    <row r="37956" spans="7:7">
      <c r="G37956" s="812"/>
    </row>
    <row r="37957" spans="7:7">
      <c r="G37957" s="812"/>
    </row>
    <row r="37958" spans="7:7">
      <c r="G37958" s="812"/>
    </row>
    <row r="37959" spans="7:7">
      <c r="G37959" s="812"/>
    </row>
    <row r="37960" spans="7:7">
      <c r="G37960" s="812"/>
    </row>
    <row r="37961" spans="7:7">
      <c r="G37961" s="812"/>
    </row>
    <row r="37962" spans="7:7">
      <c r="G37962" s="812"/>
    </row>
    <row r="37963" spans="7:7">
      <c r="G37963" s="812"/>
    </row>
    <row r="37964" spans="7:7">
      <c r="G37964" s="812"/>
    </row>
    <row r="37965" spans="7:7">
      <c r="G37965" s="812"/>
    </row>
    <row r="37966" spans="7:7">
      <c r="G37966" s="812"/>
    </row>
    <row r="37967" spans="7:7">
      <c r="G37967" s="812"/>
    </row>
    <row r="37968" spans="7:7">
      <c r="G37968" s="812"/>
    </row>
    <row r="37969" spans="7:7">
      <c r="G37969" s="812"/>
    </row>
    <row r="37970" spans="7:7">
      <c r="G37970" s="812"/>
    </row>
    <row r="37971" spans="7:7">
      <c r="G37971" s="812"/>
    </row>
    <row r="37972" spans="7:7">
      <c r="G37972" s="812"/>
    </row>
    <row r="37973" spans="7:7">
      <c r="G37973" s="812"/>
    </row>
    <row r="37974" spans="7:7">
      <c r="G37974" s="812"/>
    </row>
    <row r="37975" spans="7:7">
      <c r="G37975" s="812"/>
    </row>
    <row r="37976" spans="7:7">
      <c r="G37976" s="812"/>
    </row>
    <row r="37977" spans="7:7">
      <c r="G37977" s="812"/>
    </row>
    <row r="37978" spans="7:7">
      <c r="G37978" s="812"/>
    </row>
    <row r="37979" spans="7:7">
      <c r="G37979" s="812"/>
    </row>
    <row r="37980" spans="7:7">
      <c r="G37980" s="812"/>
    </row>
    <row r="37981" spans="7:7">
      <c r="G37981" s="812"/>
    </row>
    <row r="37982" spans="7:7">
      <c r="G37982" s="812"/>
    </row>
    <row r="37983" spans="7:7">
      <c r="G37983" s="812"/>
    </row>
    <row r="37984" spans="7:7">
      <c r="G37984" s="812"/>
    </row>
    <row r="37985" spans="7:7">
      <c r="G37985" s="812"/>
    </row>
    <row r="37986" spans="7:7">
      <c r="G37986" s="812"/>
    </row>
    <row r="37987" spans="7:7">
      <c r="G37987" s="812"/>
    </row>
    <row r="37988" spans="7:7">
      <c r="G37988" s="812"/>
    </row>
    <row r="37989" spans="7:7">
      <c r="G37989" s="812"/>
    </row>
    <row r="37990" spans="7:7">
      <c r="G37990" s="812"/>
    </row>
    <row r="37991" spans="7:7">
      <c r="G37991" s="812"/>
    </row>
    <row r="37992" spans="7:7">
      <c r="G37992" s="812"/>
    </row>
    <row r="37993" spans="7:7">
      <c r="G37993" s="812"/>
    </row>
    <row r="37994" spans="7:7">
      <c r="G37994" s="812"/>
    </row>
    <row r="37995" spans="7:7">
      <c r="G37995" s="812"/>
    </row>
    <row r="37996" spans="7:7">
      <c r="G37996" s="812"/>
    </row>
    <row r="37997" spans="7:7">
      <c r="G37997" s="812"/>
    </row>
    <row r="37998" spans="7:7">
      <c r="G37998" s="812"/>
    </row>
    <row r="37999" spans="7:7">
      <c r="G37999" s="812"/>
    </row>
    <row r="38000" spans="7:7">
      <c r="G38000" s="812"/>
    </row>
    <row r="38001" spans="7:7">
      <c r="G38001" s="812"/>
    </row>
    <row r="38002" spans="7:7">
      <c r="G38002" s="812"/>
    </row>
    <row r="38003" spans="7:7">
      <c r="G38003" s="812"/>
    </row>
    <row r="38004" spans="7:7">
      <c r="G38004" s="812"/>
    </row>
    <row r="38005" spans="7:7">
      <c r="G38005" s="812"/>
    </row>
    <row r="38006" spans="7:7">
      <c r="G38006" s="812"/>
    </row>
    <row r="38007" spans="7:7">
      <c r="G38007" s="812"/>
    </row>
    <row r="38008" spans="7:7">
      <c r="G38008" s="812"/>
    </row>
    <row r="38009" spans="7:7">
      <c r="G38009" s="812"/>
    </row>
    <row r="38010" spans="7:7">
      <c r="G38010" s="812"/>
    </row>
    <row r="38011" spans="7:7">
      <c r="G38011" s="812"/>
    </row>
    <row r="38012" spans="7:7">
      <c r="G38012" s="812"/>
    </row>
    <row r="38013" spans="7:7">
      <c r="G38013" s="812"/>
    </row>
    <row r="38014" spans="7:7">
      <c r="G38014" s="812"/>
    </row>
    <row r="38015" spans="7:7">
      <c r="G38015" s="812"/>
    </row>
    <row r="38016" spans="7:7">
      <c r="G38016" s="812"/>
    </row>
    <row r="38017" spans="7:7">
      <c r="G38017" s="812"/>
    </row>
    <row r="38018" spans="7:7">
      <c r="G38018" s="812"/>
    </row>
    <row r="38019" spans="7:7">
      <c r="G38019" s="812"/>
    </row>
    <row r="38020" spans="7:7">
      <c r="G38020" s="812"/>
    </row>
    <row r="38021" spans="7:7">
      <c r="G38021" s="812"/>
    </row>
    <row r="38022" spans="7:7">
      <c r="G38022" s="812"/>
    </row>
    <row r="38023" spans="7:7">
      <c r="G38023" s="812"/>
    </row>
    <row r="38024" spans="7:7">
      <c r="G38024" s="812"/>
    </row>
    <row r="38025" spans="7:7">
      <c r="G38025" s="812"/>
    </row>
    <row r="38026" spans="7:7">
      <c r="G38026" s="812"/>
    </row>
    <row r="38027" spans="7:7">
      <c r="G38027" s="812"/>
    </row>
    <row r="38028" spans="7:7">
      <c r="G38028" s="812"/>
    </row>
    <row r="38029" spans="7:7">
      <c r="G38029" s="812"/>
    </row>
    <row r="38030" spans="7:7">
      <c r="G38030" s="812"/>
    </row>
    <row r="38031" spans="7:7">
      <c r="G38031" s="812"/>
    </row>
    <row r="38032" spans="7:7">
      <c r="G38032" s="812"/>
    </row>
    <row r="38033" spans="7:7">
      <c r="G38033" s="812"/>
    </row>
    <row r="38034" spans="7:7">
      <c r="G38034" s="812"/>
    </row>
    <row r="38035" spans="7:7">
      <c r="G38035" s="812"/>
    </row>
    <row r="38036" spans="7:7">
      <c r="G38036" s="812"/>
    </row>
    <row r="38037" spans="7:7">
      <c r="G38037" s="812"/>
    </row>
    <row r="38038" spans="7:7">
      <c r="G38038" s="812"/>
    </row>
    <row r="38039" spans="7:7">
      <c r="G38039" s="812"/>
    </row>
    <row r="38040" spans="7:7">
      <c r="G38040" s="812"/>
    </row>
    <row r="38041" spans="7:7">
      <c r="G38041" s="812"/>
    </row>
    <row r="38042" spans="7:7">
      <c r="G38042" s="812"/>
    </row>
    <row r="38043" spans="7:7">
      <c r="G38043" s="812"/>
    </row>
    <row r="38044" spans="7:7">
      <c r="G38044" s="812"/>
    </row>
    <row r="38045" spans="7:7">
      <c r="G38045" s="812"/>
    </row>
    <row r="38046" spans="7:7">
      <c r="G38046" s="812"/>
    </row>
    <row r="38047" spans="7:7">
      <c r="G38047" s="812"/>
    </row>
    <row r="38048" spans="7:7">
      <c r="G38048" s="812"/>
    </row>
    <row r="38049" spans="7:7">
      <c r="G38049" s="812"/>
    </row>
    <row r="38050" spans="7:7">
      <c r="G38050" s="812"/>
    </row>
    <row r="38051" spans="7:7">
      <c r="G38051" s="812"/>
    </row>
    <row r="38052" spans="7:7">
      <c r="G38052" s="812"/>
    </row>
    <row r="38053" spans="7:7">
      <c r="G38053" s="812"/>
    </row>
    <row r="38054" spans="7:7">
      <c r="G38054" s="812"/>
    </row>
    <row r="38055" spans="7:7">
      <c r="G38055" s="812"/>
    </row>
    <row r="38056" spans="7:7">
      <c r="G38056" s="812"/>
    </row>
    <row r="38057" spans="7:7">
      <c r="G38057" s="812"/>
    </row>
    <row r="38058" spans="7:7">
      <c r="G38058" s="812"/>
    </row>
    <row r="38059" spans="7:7">
      <c r="G38059" s="812"/>
    </row>
    <row r="38060" spans="7:7">
      <c r="G38060" s="812"/>
    </row>
    <row r="38061" spans="7:7">
      <c r="G38061" s="812"/>
    </row>
    <row r="38062" spans="7:7">
      <c r="G38062" s="812"/>
    </row>
    <row r="38063" spans="7:7">
      <c r="G38063" s="812"/>
    </row>
    <row r="38064" spans="7:7">
      <c r="G38064" s="812"/>
    </row>
    <row r="38065" spans="7:7">
      <c r="G38065" s="812"/>
    </row>
    <row r="38066" spans="7:7">
      <c r="G38066" s="812"/>
    </row>
    <row r="38067" spans="7:7">
      <c r="G38067" s="812"/>
    </row>
    <row r="38068" spans="7:7">
      <c r="G38068" s="812"/>
    </row>
    <row r="38069" spans="7:7">
      <c r="G38069" s="812"/>
    </row>
    <row r="38070" spans="7:7">
      <c r="G38070" s="812"/>
    </row>
    <row r="38071" spans="7:7">
      <c r="G38071" s="812"/>
    </row>
    <row r="38072" spans="7:7">
      <c r="G38072" s="812"/>
    </row>
    <row r="38073" spans="7:7">
      <c r="G38073" s="812"/>
    </row>
    <row r="38074" spans="7:7">
      <c r="G38074" s="812"/>
    </row>
    <row r="38075" spans="7:7">
      <c r="G38075" s="812"/>
    </row>
    <row r="38076" spans="7:7">
      <c r="G38076" s="812"/>
    </row>
    <row r="38077" spans="7:7">
      <c r="G38077" s="812"/>
    </row>
    <row r="38078" spans="7:7">
      <c r="G38078" s="812"/>
    </row>
    <row r="38079" spans="7:7">
      <c r="G38079" s="812"/>
    </row>
    <row r="38080" spans="7:7">
      <c r="G38080" s="812"/>
    </row>
    <row r="38081" spans="7:7">
      <c r="G38081" s="812"/>
    </row>
    <row r="38082" spans="7:7">
      <c r="G38082" s="812"/>
    </row>
    <row r="38083" spans="7:7">
      <c r="G38083" s="812"/>
    </row>
    <row r="38084" spans="7:7">
      <c r="G38084" s="812"/>
    </row>
    <row r="38085" spans="7:7">
      <c r="G38085" s="812"/>
    </row>
    <row r="38086" spans="7:7">
      <c r="G38086" s="812"/>
    </row>
    <row r="38087" spans="7:7">
      <c r="G38087" s="812"/>
    </row>
    <row r="38088" spans="7:7">
      <c r="G38088" s="812"/>
    </row>
    <row r="38089" spans="7:7">
      <c r="G38089" s="812"/>
    </row>
    <row r="38090" spans="7:7">
      <c r="G38090" s="812"/>
    </row>
    <row r="38091" spans="7:7">
      <c r="G38091" s="812"/>
    </row>
    <row r="38092" spans="7:7">
      <c r="G38092" s="812"/>
    </row>
    <row r="38093" spans="7:7">
      <c r="G38093" s="812"/>
    </row>
    <row r="38094" spans="7:7">
      <c r="G38094" s="812"/>
    </row>
    <row r="38095" spans="7:7">
      <c r="G38095" s="812"/>
    </row>
    <row r="38096" spans="7:7">
      <c r="G38096" s="812"/>
    </row>
    <row r="38097" spans="7:7">
      <c r="G38097" s="812"/>
    </row>
    <row r="38098" spans="7:7">
      <c r="G38098" s="812"/>
    </row>
    <row r="38099" spans="7:7">
      <c r="G38099" s="812"/>
    </row>
    <row r="38100" spans="7:7">
      <c r="G38100" s="812"/>
    </row>
    <row r="38101" spans="7:7">
      <c r="G38101" s="812"/>
    </row>
    <row r="38102" spans="7:7">
      <c r="G38102" s="812"/>
    </row>
    <row r="38103" spans="7:7">
      <c r="G38103" s="812"/>
    </row>
    <row r="38104" spans="7:7">
      <c r="G38104" s="812"/>
    </row>
    <row r="38105" spans="7:7">
      <c r="G38105" s="812"/>
    </row>
    <row r="38106" spans="7:7">
      <c r="G38106" s="812"/>
    </row>
    <row r="38107" spans="7:7">
      <c r="G38107" s="812"/>
    </row>
    <row r="38108" spans="7:7">
      <c r="G38108" s="812"/>
    </row>
    <row r="38109" spans="7:7">
      <c r="G38109" s="812"/>
    </row>
    <row r="38110" spans="7:7">
      <c r="G38110" s="812"/>
    </row>
    <row r="38111" spans="7:7">
      <c r="G38111" s="812"/>
    </row>
    <row r="38112" spans="7:7">
      <c r="G38112" s="812"/>
    </row>
    <row r="38113" spans="7:7">
      <c r="G38113" s="812"/>
    </row>
    <row r="38114" spans="7:7">
      <c r="G38114" s="812"/>
    </row>
    <row r="38115" spans="7:7">
      <c r="G38115" s="812"/>
    </row>
    <row r="38116" spans="7:7">
      <c r="G38116" s="812"/>
    </row>
    <row r="38117" spans="7:7">
      <c r="G38117" s="812"/>
    </row>
    <row r="38118" spans="7:7">
      <c r="G38118" s="812"/>
    </row>
    <row r="38119" spans="7:7">
      <c r="G38119" s="812"/>
    </row>
    <row r="38120" spans="7:7">
      <c r="G38120" s="812"/>
    </row>
    <row r="38121" spans="7:7">
      <c r="G38121" s="812"/>
    </row>
    <row r="38122" spans="7:7">
      <c r="G38122" s="812"/>
    </row>
    <row r="38123" spans="7:7">
      <c r="G38123" s="812"/>
    </row>
    <row r="38124" spans="7:7">
      <c r="G38124" s="812"/>
    </row>
    <row r="38125" spans="7:7">
      <c r="G38125" s="812"/>
    </row>
    <row r="38126" spans="7:7">
      <c r="G38126" s="812"/>
    </row>
    <row r="38127" spans="7:7">
      <c r="G38127" s="812"/>
    </row>
    <row r="38128" spans="7:7">
      <c r="G38128" s="812"/>
    </row>
    <row r="38129" spans="7:7">
      <c r="G38129" s="812"/>
    </row>
    <row r="38130" spans="7:7">
      <c r="G38130" s="812"/>
    </row>
    <row r="38131" spans="7:7">
      <c r="G38131" s="812"/>
    </row>
    <row r="38132" spans="7:7">
      <c r="G38132" s="812"/>
    </row>
    <row r="38133" spans="7:7">
      <c r="G38133" s="812"/>
    </row>
    <row r="38134" spans="7:7">
      <c r="G38134" s="812"/>
    </row>
    <row r="38135" spans="7:7">
      <c r="G38135" s="812"/>
    </row>
    <row r="38136" spans="7:7">
      <c r="G38136" s="812"/>
    </row>
    <row r="38137" spans="7:7">
      <c r="G38137" s="812"/>
    </row>
    <row r="38138" spans="7:7">
      <c r="G38138" s="812"/>
    </row>
    <row r="38139" spans="7:7">
      <c r="G38139" s="812"/>
    </row>
    <row r="38140" spans="7:7">
      <c r="G38140" s="812"/>
    </row>
    <row r="38141" spans="7:7">
      <c r="G38141" s="812"/>
    </row>
    <row r="38142" spans="7:7">
      <c r="G38142" s="812"/>
    </row>
    <row r="38143" spans="7:7">
      <c r="G38143" s="812"/>
    </row>
    <row r="38144" spans="7:7">
      <c r="G38144" s="812"/>
    </row>
    <row r="38145" spans="7:7">
      <c r="G38145" s="812"/>
    </row>
    <row r="38146" spans="7:7">
      <c r="G38146" s="812"/>
    </row>
    <row r="38147" spans="7:7">
      <c r="G38147" s="812"/>
    </row>
    <row r="38148" spans="7:7">
      <c r="G38148" s="812"/>
    </row>
    <row r="38149" spans="7:7">
      <c r="G38149" s="812"/>
    </row>
    <row r="38150" spans="7:7">
      <c r="G38150" s="812"/>
    </row>
    <row r="38151" spans="7:7">
      <c r="G38151" s="812"/>
    </row>
    <row r="38152" spans="7:7">
      <c r="G38152" s="812"/>
    </row>
    <row r="38153" spans="7:7">
      <c r="G38153" s="812"/>
    </row>
    <row r="38154" spans="7:7">
      <c r="G38154" s="812"/>
    </row>
    <row r="38155" spans="7:7">
      <c r="G38155" s="812"/>
    </row>
    <row r="38156" spans="7:7">
      <c r="G38156" s="812"/>
    </row>
    <row r="38157" spans="7:7">
      <c r="G38157" s="812"/>
    </row>
    <row r="38158" spans="7:7">
      <c r="G38158" s="812"/>
    </row>
    <row r="38159" spans="7:7">
      <c r="G38159" s="812"/>
    </row>
    <row r="38160" spans="7:7">
      <c r="G38160" s="812"/>
    </row>
    <row r="38161" spans="7:7">
      <c r="G38161" s="812"/>
    </row>
    <row r="38162" spans="7:7">
      <c r="G38162" s="812"/>
    </row>
    <row r="38163" spans="7:7">
      <c r="G38163" s="812"/>
    </row>
    <row r="38164" spans="7:7">
      <c r="G38164" s="812"/>
    </row>
    <row r="38165" spans="7:7">
      <c r="G38165" s="812"/>
    </row>
    <row r="38166" spans="7:7">
      <c r="G38166" s="812"/>
    </row>
    <row r="38167" spans="7:7">
      <c r="G38167" s="812"/>
    </row>
    <row r="38168" spans="7:7">
      <c r="G38168" s="812"/>
    </row>
    <row r="38169" spans="7:7">
      <c r="G38169" s="812"/>
    </row>
    <row r="38170" spans="7:7">
      <c r="G38170" s="812"/>
    </row>
    <row r="38171" spans="7:7">
      <c r="G38171" s="812"/>
    </row>
    <row r="38172" spans="7:7">
      <c r="G38172" s="812"/>
    </row>
    <row r="38173" spans="7:7">
      <c r="G38173" s="812"/>
    </row>
    <row r="38174" spans="7:7">
      <c r="G38174" s="812"/>
    </row>
    <row r="38175" spans="7:7">
      <c r="G38175" s="812"/>
    </row>
    <row r="38176" spans="7:7">
      <c r="G38176" s="812"/>
    </row>
    <row r="38177" spans="7:7">
      <c r="G38177" s="812"/>
    </row>
    <row r="38178" spans="7:7">
      <c r="G38178" s="812"/>
    </row>
    <row r="38179" spans="7:7">
      <c r="G38179" s="812"/>
    </row>
    <row r="38180" spans="7:7">
      <c r="G38180" s="812"/>
    </row>
    <row r="38181" spans="7:7">
      <c r="G38181" s="812"/>
    </row>
    <row r="38182" spans="7:7">
      <c r="G38182" s="812"/>
    </row>
    <row r="38183" spans="7:7">
      <c r="G38183" s="812"/>
    </row>
    <row r="38184" spans="7:7">
      <c r="G38184" s="812"/>
    </row>
    <row r="38185" spans="7:7">
      <c r="G38185" s="812"/>
    </row>
    <row r="38186" spans="7:7">
      <c r="G38186" s="812"/>
    </row>
    <row r="38187" spans="7:7">
      <c r="G38187" s="812"/>
    </row>
    <row r="38188" spans="7:7">
      <c r="G38188" s="812"/>
    </row>
    <row r="38189" spans="7:7">
      <c r="G38189" s="812"/>
    </row>
    <row r="38190" spans="7:7">
      <c r="G38190" s="812"/>
    </row>
    <row r="38191" spans="7:7">
      <c r="G38191" s="812"/>
    </row>
    <row r="38192" spans="7:7">
      <c r="G38192" s="812"/>
    </row>
    <row r="38193" spans="7:7">
      <c r="G38193" s="812"/>
    </row>
    <row r="38194" spans="7:7">
      <c r="G38194" s="812"/>
    </row>
    <row r="38195" spans="7:7">
      <c r="G38195" s="812"/>
    </row>
    <row r="38196" spans="7:7">
      <c r="G38196" s="812"/>
    </row>
    <row r="38197" spans="7:7">
      <c r="G38197" s="812"/>
    </row>
    <row r="38198" spans="7:7">
      <c r="G38198" s="812"/>
    </row>
    <row r="38199" spans="7:7">
      <c r="G38199" s="812"/>
    </row>
    <row r="38200" spans="7:7">
      <c r="G38200" s="812"/>
    </row>
    <row r="38201" spans="7:7">
      <c r="G38201" s="812"/>
    </row>
    <row r="38202" spans="7:7">
      <c r="G38202" s="812"/>
    </row>
    <row r="38203" spans="7:7">
      <c r="G38203" s="812"/>
    </row>
    <row r="38204" spans="7:7">
      <c r="G38204" s="812"/>
    </row>
    <row r="38205" spans="7:7">
      <c r="G38205" s="812"/>
    </row>
    <row r="38206" spans="7:7">
      <c r="G38206" s="812"/>
    </row>
    <row r="38207" spans="7:7">
      <c r="G38207" s="812"/>
    </row>
    <row r="38208" spans="7:7">
      <c r="G38208" s="812"/>
    </row>
    <row r="38209" spans="7:7">
      <c r="G38209" s="812"/>
    </row>
    <row r="38210" spans="7:7">
      <c r="G38210" s="812"/>
    </row>
    <row r="38211" spans="7:7">
      <c r="G38211" s="812"/>
    </row>
    <row r="38212" spans="7:7">
      <c r="G38212" s="812"/>
    </row>
    <row r="38213" spans="7:7">
      <c r="G38213" s="812"/>
    </row>
    <row r="38214" spans="7:7">
      <c r="G38214" s="812"/>
    </row>
    <row r="38215" spans="7:7">
      <c r="G38215" s="812"/>
    </row>
    <row r="38216" spans="7:7">
      <c r="G38216" s="812"/>
    </row>
    <row r="38217" spans="7:7">
      <c r="G38217" s="812"/>
    </row>
    <row r="38218" spans="7:7">
      <c r="G38218" s="812"/>
    </row>
    <row r="38219" spans="7:7">
      <c r="G38219" s="812"/>
    </row>
    <row r="38220" spans="7:7">
      <c r="G38220" s="812"/>
    </row>
    <row r="38221" spans="7:7">
      <c r="G38221" s="812"/>
    </row>
    <row r="38222" spans="7:7">
      <c r="G38222" s="812"/>
    </row>
    <row r="38223" spans="7:7">
      <c r="G38223" s="812"/>
    </row>
    <row r="38224" spans="7:7">
      <c r="G38224" s="812"/>
    </row>
    <row r="38225" spans="7:7">
      <c r="G38225" s="812"/>
    </row>
    <row r="38226" spans="7:7">
      <c r="G38226" s="812"/>
    </row>
    <row r="38227" spans="7:7">
      <c r="G38227" s="812"/>
    </row>
    <row r="38228" spans="7:7">
      <c r="G38228" s="812"/>
    </row>
    <row r="38229" spans="7:7">
      <c r="G38229" s="812"/>
    </row>
    <row r="38230" spans="7:7">
      <c r="G38230" s="812"/>
    </row>
    <row r="38231" spans="7:7">
      <c r="G38231" s="812"/>
    </row>
    <row r="38232" spans="7:7">
      <c r="G38232" s="812"/>
    </row>
    <row r="38233" spans="7:7">
      <c r="G38233" s="812"/>
    </row>
    <row r="38234" spans="7:7">
      <c r="G38234" s="812"/>
    </row>
    <row r="38235" spans="7:7">
      <c r="G38235" s="812"/>
    </row>
    <row r="38236" spans="7:7">
      <c r="G38236" s="812"/>
    </row>
    <row r="38237" spans="7:7">
      <c r="G38237" s="812"/>
    </row>
    <row r="38238" spans="7:7">
      <c r="G38238" s="812"/>
    </row>
    <row r="38239" spans="7:7">
      <c r="G38239" s="812"/>
    </row>
    <row r="38240" spans="7:7">
      <c r="G38240" s="812"/>
    </row>
    <row r="38241" spans="7:7">
      <c r="G38241" s="812"/>
    </row>
    <row r="38242" spans="7:7">
      <c r="G38242" s="812"/>
    </row>
    <row r="38243" spans="7:7">
      <c r="G38243" s="812"/>
    </row>
    <row r="38244" spans="7:7">
      <c r="G38244" s="812"/>
    </row>
    <row r="38245" spans="7:7">
      <c r="G38245" s="812"/>
    </row>
    <row r="38246" spans="7:7">
      <c r="G38246" s="812"/>
    </row>
    <row r="38247" spans="7:7">
      <c r="G38247" s="812"/>
    </row>
    <row r="38248" spans="7:7">
      <c r="G38248" s="812"/>
    </row>
    <row r="38249" spans="7:7">
      <c r="G38249" s="812"/>
    </row>
    <row r="38250" spans="7:7">
      <c r="G38250" s="812"/>
    </row>
    <row r="38251" spans="7:7">
      <c r="G38251" s="812"/>
    </row>
    <row r="38252" spans="7:7">
      <c r="G38252" s="812"/>
    </row>
    <row r="38253" spans="7:7">
      <c r="G38253" s="812"/>
    </row>
    <row r="38254" spans="7:7">
      <c r="G38254" s="812"/>
    </row>
    <row r="38255" spans="7:7">
      <c r="G38255" s="812"/>
    </row>
    <row r="38256" spans="7:7">
      <c r="G38256" s="812"/>
    </row>
    <row r="38257" spans="7:7">
      <c r="G38257" s="812"/>
    </row>
    <row r="38258" spans="7:7">
      <c r="G38258" s="812"/>
    </row>
    <row r="38259" spans="7:7">
      <c r="G38259" s="812"/>
    </row>
    <row r="38260" spans="7:7">
      <c r="G38260" s="812"/>
    </row>
    <row r="38261" spans="7:7">
      <c r="G38261" s="812"/>
    </row>
    <row r="38262" spans="7:7">
      <c r="G38262" s="812"/>
    </row>
    <row r="38263" spans="7:7">
      <c r="G38263" s="812"/>
    </row>
    <row r="38264" spans="7:7">
      <c r="G38264" s="812"/>
    </row>
    <row r="38265" spans="7:7">
      <c r="G38265" s="812"/>
    </row>
    <row r="38266" spans="7:7">
      <c r="G38266" s="812"/>
    </row>
    <row r="38267" spans="7:7">
      <c r="G38267" s="812"/>
    </row>
    <row r="38268" spans="7:7">
      <c r="G38268" s="812"/>
    </row>
    <row r="38269" spans="7:7">
      <c r="G38269" s="812"/>
    </row>
    <row r="38270" spans="7:7">
      <c r="G38270" s="812"/>
    </row>
    <row r="38271" spans="7:7">
      <c r="G38271" s="812"/>
    </row>
    <row r="38272" spans="7:7">
      <c r="G38272" s="812"/>
    </row>
    <row r="38273" spans="7:7">
      <c r="G38273" s="812"/>
    </row>
    <row r="38274" spans="7:7">
      <c r="G38274" s="812"/>
    </row>
    <row r="38275" spans="7:7">
      <c r="G38275" s="812"/>
    </row>
    <row r="38276" spans="7:7">
      <c r="G38276" s="812"/>
    </row>
    <row r="38277" spans="7:7">
      <c r="G38277" s="812"/>
    </row>
    <row r="38278" spans="7:7">
      <c r="G38278" s="812"/>
    </row>
    <row r="38279" spans="7:7">
      <c r="G38279" s="812"/>
    </row>
    <row r="38280" spans="7:7">
      <c r="G38280" s="812"/>
    </row>
    <row r="38281" spans="7:7">
      <c r="G38281" s="812"/>
    </row>
    <row r="38282" spans="7:7">
      <c r="G38282" s="812"/>
    </row>
    <row r="38283" spans="7:7">
      <c r="G38283" s="812"/>
    </row>
    <row r="38284" spans="7:7">
      <c r="G38284" s="812"/>
    </row>
    <row r="38285" spans="7:7">
      <c r="G38285" s="812"/>
    </row>
    <row r="38286" spans="7:7">
      <c r="G38286" s="812"/>
    </row>
    <row r="38287" spans="7:7">
      <c r="G38287" s="812"/>
    </row>
    <row r="38288" spans="7:7">
      <c r="G38288" s="812"/>
    </row>
    <row r="38289" spans="7:7">
      <c r="G38289" s="812"/>
    </row>
    <row r="38290" spans="7:7">
      <c r="G38290" s="812"/>
    </row>
    <row r="38291" spans="7:7">
      <c r="G38291" s="812"/>
    </row>
    <row r="38292" spans="7:7">
      <c r="G38292" s="812"/>
    </row>
    <row r="38293" spans="7:7">
      <c r="G38293" s="812"/>
    </row>
    <row r="38294" spans="7:7">
      <c r="G38294" s="812"/>
    </row>
    <row r="38295" spans="7:7">
      <c r="G38295" s="812"/>
    </row>
    <row r="38296" spans="7:7">
      <c r="G38296" s="812"/>
    </row>
    <row r="38297" spans="7:7">
      <c r="G38297" s="812"/>
    </row>
    <row r="38298" spans="7:7">
      <c r="G38298" s="812"/>
    </row>
    <row r="38299" spans="7:7">
      <c r="G38299" s="812"/>
    </row>
    <row r="38300" spans="7:7">
      <c r="G38300" s="812"/>
    </row>
    <row r="38301" spans="7:7">
      <c r="G38301" s="812"/>
    </row>
    <row r="38302" spans="7:7">
      <c r="G38302" s="812"/>
    </row>
    <row r="38303" spans="7:7">
      <c r="G38303" s="812"/>
    </row>
    <row r="38304" spans="7:7">
      <c r="G38304" s="812"/>
    </row>
    <row r="38305" spans="7:7">
      <c r="G38305" s="812"/>
    </row>
    <row r="38306" spans="7:7">
      <c r="G38306" s="812"/>
    </row>
    <row r="38307" spans="7:7">
      <c r="G38307" s="812"/>
    </row>
    <row r="38308" spans="7:7">
      <c r="G38308" s="812"/>
    </row>
    <row r="38309" spans="7:7">
      <c r="G38309" s="812"/>
    </row>
    <row r="38310" spans="7:7">
      <c r="G38310" s="812"/>
    </row>
    <row r="38311" spans="7:7">
      <c r="G38311" s="812"/>
    </row>
    <row r="38312" spans="7:7">
      <c r="G38312" s="812"/>
    </row>
    <row r="38313" spans="7:7">
      <c r="G38313" s="812"/>
    </row>
    <row r="38314" spans="7:7">
      <c r="G38314" s="812"/>
    </row>
    <row r="38315" spans="7:7">
      <c r="G38315" s="812"/>
    </row>
    <row r="38316" spans="7:7">
      <c r="G38316" s="812"/>
    </row>
    <row r="38317" spans="7:7">
      <c r="G38317" s="812"/>
    </row>
    <row r="38318" spans="7:7">
      <c r="G38318" s="812"/>
    </row>
    <row r="38319" spans="7:7">
      <c r="G38319" s="812"/>
    </row>
    <row r="38320" spans="7:7">
      <c r="G38320" s="812"/>
    </row>
    <row r="38321" spans="7:7">
      <c r="G38321" s="812"/>
    </row>
    <row r="38322" spans="7:7">
      <c r="G38322" s="812"/>
    </row>
    <row r="38323" spans="7:7">
      <c r="G38323" s="812"/>
    </row>
    <row r="38324" spans="7:7">
      <c r="G38324" s="812"/>
    </row>
    <row r="38325" spans="7:7">
      <c r="G38325" s="812"/>
    </row>
    <row r="38326" spans="7:7">
      <c r="G38326" s="812"/>
    </row>
    <row r="38327" spans="7:7">
      <c r="G38327" s="812"/>
    </row>
    <row r="38328" spans="7:7">
      <c r="G38328" s="812"/>
    </row>
    <row r="38329" spans="7:7">
      <c r="G38329" s="812"/>
    </row>
    <row r="38330" spans="7:7">
      <c r="G38330" s="812"/>
    </row>
    <row r="38331" spans="7:7">
      <c r="G38331" s="812"/>
    </row>
    <row r="38332" spans="7:7">
      <c r="G38332" s="812"/>
    </row>
    <row r="38333" spans="7:7">
      <c r="G38333" s="812"/>
    </row>
    <row r="38334" spans="7:7">
      <c r="G38334" s="812"/>
    </row>
    <row r="38335" spans="7:7">
      <c r="G38335" s="812"/>
    </row>
    <row r="38336" spans="7:7">
      <c r="G38336" s="812"/>
    </row>
    <row r="38337" spans="7:7">
      <c r="G38337" s="812"/>
    </row>
    <row r="38338" spans="7:7">
      <c r="G38338" s="812"/>
    </row>
    <row r="38339" spans="7:7">
      <c r="G38339" s="812"/>
    </row>
    <row r="38340" spans="7:7">
      <c r="G38340" s="812"/>
    </row>
    <row r="38341" spans="7:7">
      <c r="G38341" s="812"/>
    </row>
    <row r="38342" spans="7:7">
      <c r="G38342" s="812"/>
    </row>
    <row r="38343" spans="7:7">
      <c r="G38343" s="812"/>
    </row>
    <row r="38344" spans="7:7">
      <c r="G38344" s="812"/>
    </row>
    <row r="38345" spans="7:7">
      <c r="G38345" s="812"/>
    </row>
    <row r="38346" spans="7:7">
      <c r="G38346" s="812"/>
    </row>
    <row r="38347" spans="7:7">
      <c r="G38347" s="812"/>
    </row>
    <row r="38348" spans="7:7">
      <c r="G38348" s="812"/>
    </row>
    <row r="38349" spans="7:7">
      <c r="G38349" s="812"/>
    </row>
    <row r="38350" spans="7:7">
      <c r="G38350" s="812"/>
    </row>
    <row r="38351" spans="7:7">
      <c r="G38351" s="812"/>
    </row>
    <row r="38352" spans="7:7">
      <c r="G38352" s="812"/>
    </row>
    <row r="38353" spans="7:7">
      <c r="G38353" s="812"/>
    </row>
    <row r="38354" spans="7:7">
      <c r="G38354" s="812"/>
    </row>
    <row r="38355" spans="7:7">
      <c r="G38355" s="812"/>
    </row>
    <row r="38356" spans="7:7">
      <c r="G38356" s="812"/>
    </row>
    <row r="38357" spans="7:7">
      <c r="G38357" s="812"/>
    </row>
    <row r="38358" spans="7:7">
      <c r="G38358" s="812"/>
    </row>
    <row r="38359" spans="7:7">
      <c r="G38359" s="812"/>
    </row>
    <row r="38360" spans="7:7">
      <c r="G38360" s="812"/>
    </row>
    <row r="38361" spans="7:7">
      <c r="G38361" s="812"/>
    </row>
    <row r="38362" spans="7:7">
      <c r="G38362" s="812"/>
    </row>
    <row r="38363" spans="7:7">
      <c r="G38363" s="812"/>
    </row>
    <row r="38364" spans="7:7">
      <c r="G38364" s="812"/>
    </row>
    <row r="38365" spans="7:7">
      <c r="G38365" s="812"/>
    </row>
    <row r="38366" spans="7:7">
      <c r="G38366" s="812"/>
    </row>
    <row r="38367" spans="7:7">
      <c r="G38367" s="812"/>
    </row>
    <row r="38368" spans="7:7">
      <c r="G38368" s="812"/>
    </row>
    <row r="38369" spans="7:7">
      <c r="G38369" s="812"/>
    </row>
    <row r="38370" spans="7:7">
      <c r="G38370" s="812"/>
    </row>
    <row r="38371" spans="7:7">
      <c r="G38371" s="812"/>
    </row>
    <row r="38372" spans="7:7">
      <c r="G38372" s="812"/>
    </row>
    <row r="38373" spans="7:7">
      <c r="G38373" s="812"/>
    </row>
    <row r="38374" spans="7:7">
      <c r="G38374" s="812"/>
    </row>
    <row r="38375" spans="7:7">
      <c r="G38375" s="812"/>
    </row>
    <row r="38376" spans="7:7">
      <c r="G38376" s="812"/>
    </row>
    <row r="38377" spans="7:7">
      <c r="G38377" s="812"/>
    </row>
    <row r="38378" spans="7:7">
      <c r="G38378" s="812"/>
    </row>
    <row r="38379" spans="7:7">
      <c r="G38379" s="812"/>
    </row>
    <row r="38380" spans="7:7">
      <c r="G38380" s="812"/>
    </row>
    <row r="38381" spans="7:7">
      <c r="G38381" s="812"/>
    </row>
    <row r="38382" spans="7:7">
      <c r="G38382" s="812"/>
    </row>
    <row r="38383" spans="7:7">
      <c r="G38383" s="812"/>
    </row>
    <row r="38384" spans="7:7">
      <c r="G38384" s="812"/>
    </row>
    <row r="38385" spans="7:7">
      <c r="G38385" s="812"/>
    </row>
    <row r="38386" spans="7:7">
      <c r="G38386" s="812"/>
    </row>
    <row r="38387" spans="7:7">
      <c r="G38387" s="812"/>
    </row>
    <row r="38388" spans="7:7">
      <c r="G38388" s="812"/>
    </row>
    <row r="38389" spans="7:7">
      <c r="G38389" s="812"/>
    </row>
    <row r="38390" spans="7:7">
      <c r="G38390" s="812"/>
    </row>
    <row r="38391" spans="7:7">
      <c r="G38391" s="812"/>
    </row>
    <row r="38392" spans="7:7">
      <c r="G38392" s="812"/>
    </row>
    <row r="38393" spans="7:7">
      <c r="G38393" s="812"/>
    </row>
    <row r="38394" spans="7:7">
      <c r="G38394" s="812"/>
    </row>
    <row r="38395" spans="7:7">
      <c r="G38395" s="812"/>
    </row>
    <row r="38396" spans="7:7">
      <c r="G38396" s="812"/>
    </row>
    <row r="38397" spans="7:7">
      <c r="G38397" s="812"/>
    </row>
    <row r="38398" spans="7:7">
      <c r="G38398" s="812"/>
    </row>
    <row r="38399" spans="7:7">
      <c r="G38399" s="812"/>
    </row>
    <row r="38400" spans="7:7">
      <c r="G38400" s="812"/>
    </row>
    <row r="38401" spans="7:7">
      <c r="G38401" s="812"/>
    </row>
    <row r="38402" spans="7:7">
      <c r="G38402" s="812"/>
    </row>
    <row r="38403" spans="7:7">
      <c r="G38403" s="812"/>
    </row>
    <row r="38404" spans="7:7">
      <c r="G38404" s="812"/>
    </row>
    <row r="38405" spans="7:7">
      <c r="G38405" s="812"/>
    </row>
    <row r="38406" spans="7:7">
      <c r="G38406" s="812"/>
    </row>
    <row r="38407" spans="7:7">
      <c r="G38407" s="812"/>
    </row>
    <row r="38408" spans="7:7">
      <c r="G38408" s="812"/>
    </row>
    <row r="38409" spans="7:7">
      <c r="G38409" s="812"/>
    </row>
    <row r="38410" spans="7:7">
      <c r="G38410" s="812"/>
    </row>
    <row r="38411" spans="7:7">
      <c r="G38411" s="812"/>
    </row>
    <row r="38412" spans="7:7">
      <c r="G38412" s="812"/>
    </row>
    <row r="38413" spans="7:7">
      <c r="G38413" s="812"/>
    </row>
    <row r="38414" spans="7:7">
      <c r="G38414" s="812"/>
    </row>
    <row r="38415" spans="7:7">
      <c r="G38415" s="812"/>
    </row>
    <row r="38416" spans="7:7">
      <c r="G38416" s="812"/>
    </row>
    <row r="38417" spans="7:7">
      <c r="G38417" s="812"/>
    </row>
    <row r="38418" spans="7:7">
      <c r="G38418" s="812"/>
    </row>
    <row r="38419" spans="7:7">
      <c r="G38419" s="812"/>
    </row>
    <row r="38420" spans="7:7">
      <c r="G38420" s="812"/>
    </row>
    <row r="38421" spans="7:7">
      <c r="G38421" s="812"/>
    </row>
    <row r="38422" spans="7:7">
      <c r="G38422" s="812"/>
    </row>
    <row r="38423" spans="7:7">
      <c r="G38423" s="812"/>
    </row>
    <row r="38424" spans="7:7">
      <c r="G38424" s="812"/>
    </row>
    <row r="38425" spans="7:7">
      <c r="G38425" s="812"/>
    </row>
    <row r="38426" spans="7:7">
      <c r="G38426" s="812"/>
    </row>
    <row r="38427" spans="7:7">
      <c r="G38427" s="812"/>
    </row>
    <row r="38428" spans="7:7">
      <c r="G38428" s="812"/>
    </row>
    <row r="38429" spans="7:7">
      <c r="G38429" s="812"/>
    </row>
    <row r="38430" spans="7:7">
      <c r="G38430" s="812"/>
    </row>
    <row r="38431" spans="7:7">
      <c r="G38431" s="812"/>
    </row>
    <row r="38432" spans="7:7">
      <c r="G38432" s="812"/>
    </row>
    <row r="38433" spans="7:7">
      <c r="G38433" s="812"/>
    </row>
    <row r="38434" spans="7:7">
      <c r="G38434" s="812"/>
    </row>
    <row r="38435" spans="7:7">
      <c r="G38435" s="812"/>
    </row>
    <row r="38436" spans="7:7">
      <c r="G38436" s="812"/>
    </row>
    <row r="38437" spans="7:7">
      <c r="G38437" s="812"/>
    </row>
    <row r="38438" spans="7:7">
      <c r="G38438" s="812"/>
    </row>
    <row r="38439" spans="7:7">
      <c r="G38439" s="812"/>
    </row>
    <row r="38440" spans="7:7">
      <c r="G38440" s="812"/>
    </row>
    <row r="38441" spans="7:7">
      <c r="G38441" s="812"/>
    </row>
    <row r="38442" spans="7:7">
      <c r="G38442" s="812"/>
    </row>
    <row r="38443" spans="7:7">
      <c r="G38443" s="812"/>
    </row>
    <row r="38444" spans="7:7">
      <c r="G38444" s="812"/>
    </row>
    <row r="38445" spans="7:7">
      <c r="G38445" s="812"/>
    </row>
    <row r="38446" spans="7:7">
      <c r="G38446" s="812"/>
    </row>
    <row r="38447" spans="7:7">
      <c r="G38447" s="812"/>
    </row>
    <row r="38448" spans="7:7">
      <c r="G38448" s="812"/>
    </row>
    <row r="38449" spans="7:7">
      <c r="G38449" s="812"/>
    </row>
    <row r="38450" spans="7:7">
      <c r="G38450" s="812"/>
    </row>
    <row r="38451" spans="7:7">
      <c r="G38451" s="812"/>
    </row>
    <row r="38452" spans="7:7">
      <c r="G38452" s="812"/>
    </row>
    <row r="38453" spans="7:7">
      <c r="G38453" s="812"/>
    </row>
    <row r="38454" spans="7:7">
      <c r="G38454" s="812"/>
    </row>
    <row r="38455" spans="7:7">
      <c r="G38455" s="812"/>
    </row>
    <row r="38456" spans="7:7">
      <c r="G38456" s="812"/>
    </row>
    <row r="38457" spans="7:7">
      <c r="G38457" s="812"/>
    </row>
    <row r="38458" spans="7:7">
      <c r="G38458" s="812"/>
    </row>
    <row r="38459" spans="7:7">
      <c r="G38459" s="812"/>
    </row>
    <row r="38460" spans="7:7">
      <c r="G38460" s="812"/>
    </row>
    <row r="38461" spans="7:7">
      <c r="G38461" s="812"/>
    </row>
    <row r="38462" spans="7:7">
      <c r="G38462" s="812"/>
    </row>
    <row r="38463" spans="7:7">
      <c r="G38463" s="812"/>
    </row>
    <row r="38464" spans="7:7">
      <c r="G38464" s="812"/>
    </row>
    <row r="38465" spans="7:7">
      <c r="G38465" s="812"/>
    </row>
    <row r="38466" spans="7:7">
      <c r="G38466" s="812"/>
    </row>
    <row r="38467" spans="7:7">
      <c r="G38467" s="812"/>
    </row>
    <row r="38468" spans="7:7">
      <c r="G38468" s="812"/>
    </row>
    <row r="38469" spans="7:7">
      <c r="G38469" s="812"/>
    </row>
    <row r="38470" spans="7:7">
      <c r="G38470" s="812"/>
    </row>
    <row r="38471" spans="7:7">
      <c r="G38471" s="812"/>
    </row>
    <row r="38472" spans="7:7">
      <c r="G38472" s="812"/>
    </row>
    <row r="38473" spans="7:7">
      <c r="G38473" s="812"/>
    </row>
    <row r="38474" spans="7:7">
      <c r="G38474" s="812"/>
    </row>
    <row r="38475" spans="7:7">
      <c r="G38475" s="812"/>
    </row>
    <row r="38476" spans="7:7">
      <c r="G38476" s="812"/>
    </row>
    <row r="38477" spans="7:7">
      <c r="G38477" s="812"/>
    </row>
    <row r="38478" spans="7:7">
      <c r="G38478" s="812"/>
    </row>
    <row r="38479" spans="7:7">
      <c r="G38479" s="812"/>
    </row>
    <row r="38480" spans="7:7">
      <c r="G38480" s="812"/>
    </row>
    <row r="38481" spans="7:7">
      <c r="G38481" s="812"/>
    </row>
    <row r="38482" spans="7:7">
      <c r="G38482" s="812"/>
    </row>
    <row r="38483" spans="7:7">
      <c r="G38483" s="812"/>
    </row>
    <row r="38484" spans="7:7">
      <c r="G38484" s="812"/>
    </row>
    <row r="38485" spans="7:7">
      <c r="G38485" s="812"/>
    </row>
    <row r="38486" spans="7:7">
      <c r="G38486" s="812"/>
    </row>
    <row r="38487" spans="7:7">
      <c r="G38487" s="812"/>
    </row>
    <row r="38488" spans="7:7">
      <c r="G38488" s="812"/>
    </row>
    <row r="38489" spans="7:7">
      <c r="G38489" s="812"/>
    </row>
    <row r="38490" spans="7:7">
      <c r="G38490" s="812"/>
    </row>
    <row r="38491" spans="7:7">
      <c r="G38491" s="812"/>
    </row>
    <row r="38492" spans="7:7">
      <c r="G38492" s="812"/>
    </row>
    <row r="38493" spans="7:7">
      <c r="G38493" s="812"/>
    </row>
    <row r="38494" spans="7:7">
      <c r="G38494" s="812"/>
    </row>
    <row r="38495" spans="7:7">
      <c r="G38495" s="812"/>
    </row>
    <row r="38496" spans="7:7">
      <c r="G38496" s="812"/>
    </row>
    <row r="38497" spans="7:7">
      <c r="G38497" s="812"/>
    </row>
    <row r="38498" spans="7:7">
      <c r="G38498" s="812"/>
    </row>
    <row r="38499" spans="7:7">
      <c r="G38499" s="812"/>
    </row>
    <row r="38500" spans="7:7">
      <c r="G38500" s="812"/>
    </row>
    <row r="38501" spans="7:7">
      <c r="G38501" s="812"/>
    </row>
    <row r="38502" spans="7:7">
      <c r="G38502" s="812"/>
    </row>
    <row r="38503" spans="7:7">
      <c r="G38503" s="812"/>
    </row>
    <row r="38504" spans="7:7">
      <c r="G38504" s="812"/>
    </row>
    <row r="38505" spans="7:7">
      <c r="G38505" s="812"/>
    </row>
    <row r="38506" spans="7:7">
      <c r="G38506" s="812"/>
    </row>
    <row r="38507" spans="7:7">
      <c r="G38507" s="812"/>
    </row>
    <row r="38508" spans="7:7">
      <c r="G38508" s="812"/>
    </row>
    <row r="38509" spans="7:7">
      <c r="G38509" s="812"/>
    </row>
    <row r="38510" spans="7:7">
      <c r="G38510" s="812"/>
    </row>
    <row r="38511" spans="7:7">
      <c r="G38511" s="812"/>
    </row>
    <row r="38512" spans="7:7">
      <c r="G38512" s="812"/>
    </row>
    <row r="38513" spans="7:7">
      <c r="G38513" s="812"/>
    </row>
    <row r="38514" spans="7:7">
      <c r="G38514" s="812"/>
    </row>
    <row r="38515" spans="7:7">
      <c r="G38515" s="812"/>
    </row>
    <row r="38516" spans="7:7">
      <c r="G38516" s="812"/>
    </row>
    <row r="38517" spans="7:7">
      <c r="G38517" s="812"/>
    </row>
    <row r="38518" spans="7:7">
      <c r="G38518" s="812"/>
    </row>
    <row r="38519" spans="7:7">
      <c r="G38519" s="812"/>
    </row>
    <row r="38520" spans="7:7">
      <c r="G38520" s="812"/>
    </row>
    <row r="38521" spans="7:7">
      <c r="G38521" s="812"/>
    </row>
    <row r="38522" spans="7:7">
      <c r="G38522" s="812"/>
    </row>
    <row r="38523" spans="7:7">
      <c r="G38523" s="812"/>
    </row>
    <row r="38524" spans="7:7">
      <c r="G38524" s="812"/>
    </row>
    <row r="38525" spans="7:7">
      <c r="G38525" s="812"/>
    </row>
    <row r="38526" spans="7:7">
      <c r="G38526" s="812"/>
    </row>
    <row r="38527" spans="7:7">
      <c r="G38527" s="812"/>
    </row>
    <row r="38528" spans="7:7">
      <c r="G38528" s="812"/>
    </row>
    <row r="38529" spans="7:7">
      <c r="G38529" s="812"/>
    </row>
    <row r="38530" spans="7:7">
      <c r="G38530" s="812"/>
    </row>
    <row r="38531" spans="7:7">
      <c r="G38531" s="812"/>
    </row>
    <row r="38532" spans="7:7">
      <c r="G38532" s="812"/>
    </row>
    <row r="38533" spans="7:7">
      <c r="G38533" s="812"/>
    </row>
    <row r="38534" spans="7:7">
      <c r="G38534" s="812"/>
    </row>
    <row r="38535" spans="7:7">
      <c r="G38535" s="812"/>
    </row>
    <row r="38536" spans="7:7">
      <c r="G38536" s="812"/>
    </row>
    <row r="38537" spans="7:7">
      <c r="G38537" s="812"/>
    </row>
    <row r="38538" spans="7:7">
      <c r="G38538" s="812"/>
    </row>
    <row r="38539" spans="7:7">
      <c r="G38539" s="812"/>
    </row>
    <row r="38540" spans="7:7">
      <c r="G38540" s="812"/>
    </row>
    <row r="38541" spans="7:7">
      <c r="G38541" s="812"/>
    </row>
    <row r="38542" spans="7:7">
      <c r="G38542" s="812"/>
    </row>
    <row r="38543" spans="7:7">
      <c r="G38543" s="812"/>
    </row>
    <row r="38544" spans="7:7">
      <c r="G38544" s="812"/>
    </row>
    <row r="38545" spans="7:7">
      <c r="G38545" s="812"/>
    </row>
    <row r="38546" spans="7:7">
      <c r="G38546" s="812"/>
    </row>
    <row r="38547" spans="7:7">
      <c r="G38547" s="812"/>
    </row>
    <row r="38548" spans="7:7">
      <c r="G38548" s="812"/>
    </row>
    <row r="38549" spans="7:7">
      <c r="G38549" s="812"/>
    </row>
    <row r="38550" spans="7:7">
      <c r="G38550" s="812"/>
    </row>
    <row r="38551" spans="7:7">
      <c r="G38551" s="812"/>
    </row>
    <row r="38552" spans="7:7">
      <c r="G38552" s="812"/>
    </row>
    <row r="38553" spans="7:7">
      <c r="G38553" s="812"/>
    </row>
    <row r="38554" spans="7:7">
      <c r="G38554" s="812"/>
    </row>
    <row r="38555" spans="7:7">
      <c r="G38555" s="812"/>
    </row>
    <row r="38556" spans="7:7">
      <c r="G38556" s="812"/>
    </row>
    <row r="38557" spans="7:7">
      <c r="G38557" s="812"/>
    </row>
    <row r="38558" spans="7:7">
      <c r="G38558" s="812"/>
    </row>
    <row r="38559" spans="7:7">
      <c r="G38559" s="812"/>
    </row>
    <row r="38560" spans="7:7">
      <c r="G38560" s="812"/>
    </row>
    <row r="38561" spans="7:7">
      <c r="G38561" s="812"/>
    </row>
    <row r="38562" spans="7:7">
      <c r="G38562" s="812"/>
    </row>
    <row r="38563" spans="7:7">
      <c r="G38563" s="812"/>
    </row>
    <row r="38564" spans="7:7">
      <c r="G38564" s="812"/>
    </row>
    <row r="38565" spans="7:7">
      <c r="G38565" s="812"/>
    </row>
    <row r="38566" spans="7:7">
      <c r="G38566" s="812"/>
    </row>
    <row r="38567" spans="7:7">
      <c r="G38567" s="812"/>
    </row>
    <row r="38568" spans="7:7">
      <c r="G38568" s="812"/>
    </row>
    <row r="38569" spans="7:7">
      <c r="G38569" s="812"/>
    </row>
    <row r="38570" spans="7:7">
      <c r="G38570" s="812"/>
    </row>
    <row r="38571" spans="7:7">
      <c r="G38571" s="812"/>
    </row>
    <row r="38572" spans="7:7">
      <c r="G38572" s="812"/>
    </row>
    <row r="38573" spans="7:7">
      <c r="G38573" s="812"/>
    </row>
    <row r="38574" spans="7:7">
      <c r="G38574" s="812"/>
    </row>
    <row r="38575" spans="7:7">
      <c r="G38575" s="812"/>
    </row>
    <row r="38576" spans="7:7">
      <c r="G38576" s="812"/>
    </row>
    <row r="38577" spans="7:7">
      <c r="G38577" s="812"/>
    </row>
    <row r="38578" spans="7:7">
      <c r="G38578" s="812"/>
    </row>
    <row r="38579" spans="7:7">
      <c r="G38579" s="812"/>
    </row>
    <row r="38580" spans="7:7">
      <c r="G38580" s="812"/>
    </row>
    <row r="38581" spans="7:7">
      <c r="G38581" s="812"/>
    </row>
    <row r="38582" spans="7:7">
      <c r="G38582" s="812"/>
    </row>
    <row r="38583" spans="7:7">
      <c r="G38583" s="812"/>
    </row>
    <row r="38584" spans="7:7">
      <c r="G38584" s="812"/>
    </row>
    <row r="38585" spans="7:7">
      <c r="G38585" s="812"/>
    </row>
    <row r="38586" spans="7:7">
      <c r="G38586" s="812"/>
    </row>
    <row r="38587" spans="7:7">
      <c r="G38587" s="812"/>
    </row>
    <row r="38588" spans="7:7">
      <c r="G38588" s="812"/>
    </row>
    <row r="38589" spans="7:7">
      <c r="G38589" s="812"/>
    </row>
    <row r="38590" spans="7:7">
      <c r="G38590" s="812"/>
    </row>
    <row r="38591" spans="7:7">
      <c r="G38591" s="812"/>
    </row>
    <row r="38592" spans="7:7">
      <c r="G38592" s="812"/>
    </row>
    <row r="38593" spans="7:7">
      <c r="G38593" s="812"/>
    </row>
    <row r="38594" spans="7:7">
      <c r="G38594" s="812"/>
    </row>
    <row r="38595" spans="7:7">
      <c r="G38595" s="812"/>
    </row>
    <row r="38596" spans="7:7">
      <c r="G38596" s="812"/>
    </row>
    <row r="38597" spans="7:7">
      <c r="G38597" s="812"/>
    </row>
    <row r="38598" spans="7:7">
      <c r="G38598" s="812"/>
    </row>
    <row r="38599" spans="7:7">
      <c r="G38599" s="812"/>
    </row>
    <row r="38600" spans="7:7">
      <c r="G38600" s="812"/>
    </row>
    <row r="38601" spans="7:7">
      <c r="G38601" s="812"/>
    </row>
    <row r="38602" spans="7:7">
      <c r="G38602" s="812"/>
    </row>
    <row r="38603" spans="7:7">
      <c r="G38603" s="812"/>
    </row>
    <row r="38604" spans="7:7">
      <c r="G38604" s="812"/>
    </row>
    <row r="38605" spans="7:7">
      <c r="G38605" s="812"/>
    </row>
    <row r="38606" spans="7:7">
      <c r="G38606" s="812"/>
    </row>
    <row r="38607" spans="7:7">
      <c r="G38607" s="812"/>
    </row>
    <row r="38608" spans="7:7">
      <c r="G38608" s="812"/>
    </row>
    <row r="38609" spans="7:7">
      <c r="G38609" s="812"/>
    </row>
    <row r="38610" spans="7:7">
      <c r="G38610" s="812"/>
    </row>
    <row r="38611" spans="7:7">
      <c r="G38611" s="812"/>
    </row>
    <row r="38612" spans="7:7">
      <c r="G38612" s="812"/>
    </row>
    <row r="38613" spans="7:7">
      <c r="G38613" s="812"/>
    </row>
    <row r="38614" spans="7:7">
      <c r="G38614" s="812"/>
    </row>
    <row r="38615" spans="7:7">
      <c r="G38615" s="812"/>
    </row>
    <row r="38616" spans="7:7">
      <c r="G38616" s="812"/>
    </row>
    <row r="38617" spans="7:7">
      <c r="G38617" s="812"/>
    </row>
    <row r="38618" spans="7:7">
      <c r="G38618" s="812"/>
    </row>
    <row r="38619" spans="7:7">
      <c r="G38619" s="812"/>
    </row>
    <row r="38620" spans="7:7">
      <c r="G38620" s="812"/>
    </row>
    <row r="38621" spans="7:7">
      <c r="G38621" s="812"/>
    </row>
    <row r="38622" spans="7:7">
      <c r="G38622" s="812"/>
    </row>
    <row r="38623" spans="7:7">
      <c r="G38623" s="812"/>
    </row>
    <row r="38624" spans="7:7">
      <c r="G38624" s="812"/>
    </row>
    <row r="38625" spans="7:7">
      <c r="G38625" s="812"/>
    </row>
    <row r="38626" spans="7:7">
      <c r="G38626" s="812"/>
    </row>
    <row r="38627" spans="7:7">
      <c r="G38627" s="812"/>
    </row>
    <row r="38628" spans="7:7">
      <c r="G38628" s="812"/>
    </row>
    <row r="38629" spans="7:7">
      <c r="G38629" s="812"/>
    </row>
    <row r="38630" spans="7:7">
      <c r="G38630" s="812"/>
    </row>
    <row r="38631" spans="7:7">
      <c r="G38631" s="812"/>
    </row>
    <row r="38632" spans="7:7">
      <c r="G38632" s="812"/>
    </row>
    <row r="38633" spans="7:7">
      <c r="G38633" s="812"/>
    </row>
    <row r="38634" spans="7:7">
      <c r="G38634" s="812"/>
    </row>
    <row r="38635" spans="7:7">
      <c r="G38635" s="812"/>
    </row>
    <row r="38636" spans="7:7">
      <c r="G38636" s="812"/>
    </row>
    <row r="38637" spans="7:7">
      <c r="G38637" s="812"/>
    </row>
    <row r="38638" spans="7:7">
      <c r="G38638" s="812"/>
    </row>
    <row r="38639" spans="7:7">
      <c r="G38639" s="812"/>
    </row>
    <row r="38640" spans="7:7">
      <c r="G38640" s="812"/>
    </row>
    <row r="38641" spans="7:7">
      <c r="G38641" s="812"/>
    </row>
    <row r="38642" spans="7:7">
      <c r="G38642" s="812"/>
    </row>
    <row r="38643" spans="7:7">
      <c r="G38643" s="812"/>
    </row>
    <row r="38644" spans="7:7">
      <c r="G38644" s="812"/>
    </row>
    <row r="38645" spans="7:7">
      <c r="G38645" s="812"/>
    </row>
    <row r="38646" spans="7:7">
      <c r="G38646" s="812"/>
    </row>
    <row r="38647" spans="7:7">
      <c r="G38647" s="812"/>
    </row>
    <row r="38648" spans="7:7">
      <c r="G38648" s="812"/>
    </row>
    <row r="38649" spans="7:7">
      <c r="G38649" s="812"/>
    </row>
    <row r="38650" spans="7:7">
      <c r="G38650" s="812"/>
    </row>
    <row r="38651" spans="7:7">
      <c r="G38651" s="812"/>
    </row>
    <row r="38652" spans="7:7">
      <c r="G38652" s="812"/>
    </row>
    <row r="38653" spans="7:7">
      <c r="G38653" s="812"/>
    </row>
    <row r="38654" spans="7:7">
      <c r="G38654" s="812"/>
    </row>
    <row r="38655" spans="7:7">
      <c r="G38655" s="812"/>
    </row>
    <row r="38656" spans="7:7">
      <c r="G38656" s="812"/>
    </row>
    <row r="38657" spans="7:7">
      <c r="G38657" s="812"/>
    </row>
    <row r="38658" spans="7:7">
      <c r="G38658" s="812"/>
    </row>
    <row r="38659" spans="7:7">
      <c r="G38659" s="812"/>
    </row>
    <row r="38660" spans="7:7">
      <c r="G38660" s="812"/>
    </row>
    <row r="38661" spans="7:7">
      <c r="G38661" s="812"/>
    </row>
    <row r="38662" spans="7:7">
      <c r="G38662" s="812"/>
    </row>
    <row r="38663" spans="7:7">
      <c r="G38663" s="812"/>
    </row>
    <row r="38664" spans="7:7">
      <c r="G38664" s="812"/>
    </row>
    <row r="38665" spans="7:7">
      <c r="G38665" s="812"/>
    </row>
    <row r="38666" spans="7:7">
      <c r="G38666" s="812"/>
    </row>
    <row r="38667" spans="7:7">
      <c r="G38667" s="812"/>
    </row>
    <row r="38668" spans="7:7">
      <c r="G38668" s="812"/>
    </row>
    <row r="38669" spans="7:7">
      <c r="G38669" s="812"/>
    </row>
    <row r="38670" spans="7:7">
      <c r="G38670" s="812"/>
    </row>
    <row r="38671" spans="7:7">
      <c r="G38671" s="812"/>
    </row>
    <row r="38672" spans="7:7">
      <c r="G38672" s="812"/>
    </row>
    <row r="38673" spans="7:7">
      <c r="G38673" s="812"/>
    </row>
    <row r="38674" spans="7:7">
      <c r="G38674" s="812"/>
    </row>
    <row r="38675" spans="7:7">
      <c r="G38675" s="812"/>
    </row>
    <row r="38676" spans="7:7">
      <c r="G38676" s="812"/>
    </row>
    <row r="38677" spans="7:7">
      <c r="G38677" s="812"/>
    </row>
    <row r="38678" spans="7:7">
      <c r="G38678" s="812"/>
    </row>
    <row r="38679" spans="7:7">
      <c r="G38679" s="812"/>
    </row>
    <row r="38680" spans="7:7">
      <c r="G38680" s="812"/>
    </row>
    <row r="38681" spans="7:7">
      <c r="G38681" s="812"/>
    </row>
    <row r="38682" spans="7:7">
      <c r="G38682" s="812"/>
    </row>
    <row r="38683" spans="7:7">
      <c r="G38683" s="812"/>
    </row>
    <row r="38684" spans="7:7">
      <c r="G38684" s="812"/>
    </row>
    <row r="38685" spans="7:7">
      <c r="G38685" s="812"/>
    </row>
    <row r="38686" spans="7:7">
      <c r="G38686" s="812"/>
    </row>
    <row r="38687" spans="7:7">
      <c r="G38687" s="812"/>
    </row>
    <row r="38688" spans="7:7">
      <c r="G38688" s="812"/>
    </row>
    <row r="38689" spans="7:7">
      <c r="G38689" s="812"/>
    </row>
    <row r="38690" spans="7:7">
      <c r="G38690" s="812"/>
    </row>
    <row r="38691" spans="7:7">
      <c r="G38691" s="812"/>
    </row>
    <row r="38692" spans="7:7">
      <c r="G38692" s="812"/>
    </row>
    <row r="38693" spans="7:7">
      <c r="G38693" s="812"/>
    </row>
    <row r="38694" spans="7:7">
      <c r="G38694" s="812"/>
    </row>
    <row r="38695" spans="7:7">
      <c r="G38695" s="812"/>
    </row>
    <row r="38696" spans="7:7">
      <c r="G38696" s="812"/>
    </row>
    <row r="38697" spans="7:7">
      <c r="G38697" s="812"/>
    </row>
    <row r="38698" spans="7:7">
      <c r="G38698" s="812"/>
    </row>
    <row r="38699" spans="7:7">
      <c r="G38699" s="812"/>
    </row>
    <row r="38700" spans="7:7">
      <c r="G38700" s="812"/>
    </row>
    <row r="38701" spans="7:7">
      <c r="G38701" s="812"/>
    </row>
    <row r="38702" spans="7:7">
      <c r="G38702" s="812"/>
    </row>
    <row r="38703" spans="7:7">
      <c r="G38703" s="812"/>
    </row>
    <row r="38704" spans="7:7">
      <c r="G38704" s="812"/>
    </row>
    <row r="38705" spans="7:7">
      <c r="G38705" s="812"/>
    </row>
    <row r="38706" spans="7:7">
      <c r="G38706" s="812"/>
    </row>
    <row r="38707" spans="7:7">
      <c r="G38707" s="812"/>
    </row>
    <row r="38708" spans="7:7">
      <c r="G38708" s="812"/>
    </row>
    <row r="38709" spans="7:7">
      <c r="G38709" s="812"/>
    </row>
    <row r="38710" spans="7:7">
      <c r="G38710" s="812"/>
    </row>
    <row r="38711" spans="7:7">
      <c r="G38711" s="812"/>
    </row>
    <row r="38712" spans="7:7">
      <c r="G38712" s="812"/>
    </row>
    <row r="38713" spans="7:7">
      <c r="G38713" s="812"/>
    </row>
    <row r="38714" spans="7:7">
      <c r="G38714" s="812"/>
    </row>
    <row r="38715" spans="7:7">
      <c r="G38715" s="812"/>
    </row>
    <row r="38716" spans="7:7">
      <c r="G38716" s="812"/>
    </row>
    <row r="38717" spans="7:7">
      <c r="G38717" s="812"/>
    </row>
    <row r="38718" spans="7:7">
      <c r="G38718" s="812"/>
    </row>
    <row r="38719" spans="7:7">
      <c r="G38719" s="812"/>
    </row>
    <row r="38720" spans="7:7">
      <c r="G38720" s="812"/>
    </row>
    <row r="38721" spans="7:7">
      <c r="G38721" s="812"/>
    </row>
    <row r="38722" spans="7:7">
      <c r="G38722" s="812"/>
    </row>
    <row r="38723" spans="7:7">
      <c r="G38723" s="812"/>
    </row>
    <row r="38724" spans="7:7">
      <c r="G38724" s="812"/>
    </row>
    <row r="38725" spans="7:7">
      <c r="G38725" s="812"/>
    </row>
    <row r="38726" spans="7:7">
      <c r="G38726" s="812"/>
    </row>
    <row r="38727" spans="7:7">
      <c r="G38727" s="812"/>
    </row>
    <row r="38728" spans="7:7">
      <c r="G38728" s="812"/>
    </row>
    <row r="38729" spans="7:7">
      <c r="G38729" s="812"/>
    </row>
    <row r="38730" spans="7:7">
      <c r="G38730" s="812"/>
    </row>
    <row r="38731" spans="7:7">
      <c r="G38731" s="812"/>
    </row>
    <row r="38732" spans="7:7">
      <c r="G38732" s="812"/>
    </row>
    <row r="38733" spans="7:7">
      <c r="G38733" s="812"/>
    </row>
    <row r="38734" spans="7:7">
      <c r="G38734" s="812"/>
    </row>
    <row r="38735" spans="7:7">
      <c r="G38735" s="812"/>
    </row>
    <row r="38736" spans="7:7">
      <c r="G38736" s="812"/>
    </row>
    <row r="38737" spans="7:7">
      <c r="G38737" s="812"/>
    </row>
    <row r="38738" spans="7:7">
      <c r="G38738" s="812"/>
    </row>
    <row r="38739" spans="7:7">
      <c r="G38739" s="812"/>
    </row>
    <row r="38740" spans="7:7">
      <c r="G38740" s="812"/>
    </row>
    <row r="38741" spans="7:7">
      <c r="G38741" s="812"/>
    </row>
    <row r="38742" spans="7:7">
      <c r="G38742" s="812"/>
    </row>
    <row r="38743" spans="7:7">
      <c r="G38743" s="812"/>
    </row>
    <row r="38744" spans="7:7">
      <c r="G38744" s="812"/>
    </row>
    <row r="38745" spans="7:7">
      <c r="G38745" s="812"/>
    </row>
    <row r="38746" spans="7:7">
      <c r="G38746" s="812"/>
    </row>
    <row r="38747" spans="7:7">
      <c r="G38747" s="812"/>
    </row>
    <row r="38748" spans="7:7">
      <c r="G38748" s="812"/>
    </row>
    <row r="38749" spans="7:7">
      <c r="G38749" s="812"/>
    </row>
    <row r="38750" spans="7:7">
      <c r="G38750" s="812"/>
    </row>
    <row r="38751" spans="7:7">
      <c r="G38751" s="812"/>
    </row>
    <row r="38752" spans="7:7">
      <c r="G38752" s="812"/>
    </row>
    <row r="38753" spans="7:7">
      <c r="G38753" s="812"/>
    </row>
    <row r="38754" spans="7:7">
      <c r="G38754" s="812"/>
    </row>
    <row r="38755" spans="7:7">
      <c r="G38755" s="812"/>
    </row>
    <row r="38756" spans="7:7">
      <c r="G38756" s="812"/>
    </row>
    <row r="38757" spans="7:7">
      <c r="G38757" s="812"/>
    </row>
    <row r="38758" spans="7:7">
      <c r="G38758" s="812"/>
    </row>
    <row r="38759" spans="7:7">
      <c r="G38759" s="812"/>
    </row>
    <row r="38760" spans="7:7">
      <c r="G38760" s="812"/>
    </row>
    <row r="38761" spans="7:7">
      <c r="G38761" s="812"/>
    </row>
    <row r="38762" spans="7:7">
      <c r="G38762" s="812"/>
    </row>
    <row r="38763" spans="7:7">
      <c r="G38763" s="812"/>
    </row>
    <row r="38764" spans="7:7">
      <c r="G38764" s="812"/>
    </row>
    <row r="38765" spans="7:7">
      <c r="G38765" s="812"/>
    </row>
    <row r="38766" spans="7:7">
      <c r="G38766" s="812"/>
    </row>
    <row r="38767" spans="7:7">
      <c r="G38767" s="812"/>
    </row>
    <row r="38768" spans="7:7">
      <c r="G38768" s="812"/>
    </row>
    <row r="38769" spans="7:7">
      <c r="G38769" s="812"/>
    </row>
    <row r="38770" spans="7:7">
      <c r="G38770" s="812"/>
    </row>
    <row r="38771" spans="7:7">
      <c r="G38771" s="812"/>
    </row>
    <row r="38772" spans="7:7">
      <c r="G38772" s="812"/>
    </row>
    <row r="38773" spans="7:7">
      <c r="G38773" s="812"/>
    </row>
    <row r="38774" spans="7:7">
      <c r="G38774" s="812"/>
    </row>
    <row r="38775" spans="7:7">
      <c r="G38775" s="812"/>
    </row>
    <row r="38776" spans="7:7">
      <c r="G38776" s="812"/>
    </row>
    <row r="38777" spans="7:7">
      <c r="G38777" s="812"/>
    </row>
    <row r="38778" spans="7:7">
      <c r="G38778" s="812"/>
    </row>
    <row r="38779" spans="7:7">
      <c r="G38779" s="812"/>
    </row>
    <row r="38780" spans="7:7">
      <c r="G38780" s="812"/>
    </row>
    <row r="38781" spans="7:7">
      <c r="G38781" s="812"/>
    </row>
    <row r="38782" spans="7:7">
      <c r="G38782" s="812"/>
    </row>
    <row r="38783" spans="7:7">
      <c r="G38783" s="812"/>
    </row>
    <row r="38784" spans="7:7">
      <c r="G38784" s="812"/>
    </row>
    <row r="38785" spans="7:7">
      <c r="G38785" s="812"/>
    </row>
    <row r="38786" spans="7:7">
      <c r="G38786" s="812"/>
    </row>
    <row r="38787" spans="7:7">
      <c r="G38787" s="812"/>
    </row>
    <row r="38788" spans="7:7">
      <c r="G38788" s="812"/>
    </row>
    <row r="38789" spans="7:7">
      <c r="G38789" s="812"/>
    </row>
    <row r="38790" spans="7:7">
      <c r="G38790" s="812"/>
    </row>
    <row r="38791" spans="7:7">
      <c r="G38791" s="812"/>
    </row>
    <row r="38792" spans="7:7">
      <c r="G38792" s="812"/>
    </row>
    <row r="38793" spans="7:7">
      <c r="G38793" s="812"/>
    </row>
    <row r="38794" spans="7:7">
      <c r="G38794" s="812"/>
    </row>
    <row r="38795" spans="7:7">
      <c r="G38795" s="812"/>
    </row>
    <row r="38796" spans="7:7">
      <c r="G38796" s="812"/>
    </row>
    <row r="38797" spans="7:7">
      <c r="G38797" s="812"/>
    </row>
    <row r="38798" spans="7:7">
      <c r="G38798" s="812"/>
    </row>
    <row r="38799" spans="7:7">
      <c r="G38799" s="812"/>
    </row>
    <row r="38800" spans="7:7">
      <c r="G38800" s="812"/>
    </row>
    <row r="38801" spans="7:7">
      <c r="G38801" s="812"/>
    </row>
    <row r="38802" spans="7:7">
      <c r="G38802" s="812"/>
    </row>
    <row r="38803" spans="7:7">
      <c r="G38803" s="812"/>
    </row>
    <row r="38804" spans="7:7">
      <c r="G38804" s="812"/>
    </row>
    <row r="38805" spans="7:7">
      <c r="G38805" s="812"/>
    </row>
    <row r="38806" spans="7:7">
      <c r="G38806" s="812"/>
    </row>
    <row r="38807" spans="7:7">
      <c r="G38807" s="812"/>
    </row>
    <row r="38808" spans="7:7">
      <c r="G38808" s="812"/>
    </row>
    <row r="38809" spans="7:7">
      <c r="G38809" s="812"/>
    </row>
    <row r="38810" spans="7:7">
      <c r="G38810" s="812"/>
    </row>
    <row r="38811" spans="7:7">
      <c r="G38811" s="812"/>
    </row>
    <row r="38812" spans="7:7">
      <c r="G38812" s="812"/>
    </row>
    <row r="38813" spans="7:7">
      <c r="G38813" s="812"/>
    </row>
    <row r="38814" spans="7:7">
      <c r="G38814" s="812"/>
    </row>
    <row r="38815" spans="7:7">
      <c r="G38815" s="812"/>
    </row>
    <row r="38816" spans="7:7">
      <c r="G38816" s="812"/>
    </row>
    <row r="38817" spans="7:7">
      <c r="G38817" s="812"/>
    </row>
    <row r="38818" spans="7:7">
      <c r="G38818" s="812"/>
    </row>
    <row r="38819" spans="7:7">
      <c r="G38819" s="812"/>
    </row>
    <row r="38820" spans="7:7">
      <c r="G38820" s="812"/>
    </row>
    <row r="38821" spans="7:7">
      <c r="G38821" s="812"/>
    </row>
    <row r="38822" spans="7:7">
      <c r="G38822" s="812"/>
    </row>
    <row r="38823" spans="7:7">
      <c r="G38823" s="812"/>
    </row>
    <row r="38824" spans="7:7">
      <c r="G38824" s="812"/>
    </row>
    <row r="38825" spans="7:7">
      <c r="G38825" s="812"/>
    </row>
    <row r="38826" spans="7:7">
      <c r="G38826" s="812"/>
    </row>
    <row r="38827" spans="7:7">
      <c r="G38827" s="812"/>
    </row>
    <row r="38828" spans="7:7">
      <c r="G38828" s="812"/>
    </row>
    <row r="38829" spans="7:7">
      <c r="G38829" s="812"/>
    </row>
    <row r="38830" spans="7:7">
      <c r="G38830" s="812"/>
    </row>
    <row r="38831" spans="7:7">
      <c r="G38831" s="812"/>
    </row>
    <row r="38832" spans="7:7">
      <c r="G38832" s="812"/>
    </row>
    <row r="38833" spans="7:7">
      <c r="G38833" s="812"/>
    </row>
    <row r="38834" spans="7:7">
      <c r="G38834" s="812"/>
    </row>
    <row r="38835" spans="7:7">
      <c r="G38835" s="812"/>
    </row>
    <row r="38836" spans="7:7">
      <c r="G38836" s="812"/>
    </row>
    <row r="38837" spans="7:7">
      <c r="G38837" s="812"/>
    </row>
    <row r="38838" spans="7:7">
      <c r="G38838" s="812"/>
    </row>
    <row r="38839" spans="7:7">
      <c r="G38839" s="812"/>
    </row>
    <row r="38840" spans="7:7">
      <c r="G38840" s="812"/>
    </row>
    <row r="38841" spans="7:7">
      <c r="G38841" s="812"/>
    </row>
    <row r="38842" spans="7:7">
      <c r="G38842" s="812"/>
    </row>
    <row r="38843" spans="7:7">
      <c r="G38843" s="812"/>
    </row>
    <row r="38844" spans="7:7">
      <c r="G38844" s="812"/>
    </row>
    <row r="38845" spans="7:7">
      <c r="G38845" s="812"/>
    </row>
    <row r="38846" spans="7:7">
      <c r="G38846" s="812"/>
    </row>
    <row r="38847" spans="7:7">
      <c r="G38847" s="812"/>
    </row>
    <row r="38848" spans="7:7">
      <c r="G38848" s="812"/>
    </row>
    <row r="38849" spans="7:7">
      <c r="G38849" s="812"/>
    </row>
    <row r="38850" spans="7:7">
      <c r="G38850" s="812"/>
    </row>
    <row r="38851" spans="7:7">
      <c r="G38851" s="812"/>
    </row>
    <row r="38852" spans="7:7">
      <c r="G38852" s="812"/>
    </row>
    <row r="38853" spans="7:7">
      <c r="G38853" s="812"/>
    </row>
    <row r="38854" spans="7:7">
      <c r="G38854" s="812"/>
    </row>
    <row r="38855" spans="7:7">
      <c r="G38855" s="812"/>
    </row>
    <row r="38856" spans="7:7">
      <c r="G38856" s="812"/>
    </row>
    <row r="38857" spans="7:7">
      <c r="G38857" s="812"/>
    </row>
    <row r="38858" spans="7:7">
      <c r="G38858" s="812"/>
    </row>
    <row r="38859" spans="7:7">
      <c r="G38859" s="812"/>
    </row>
    <row r="38860" spans="7:7">
      <c r="G38860" s="812"/>
    </row>
    <row r="38861" spans="7:7">
      <c r="G38861" s="812"/>
    </row>
    <row r="38862" spans="7:7">
      <c r="G38862" s="812"/>
    </row>
    <row r="38863" spans="7:7">
      <c r="G38863" s="812"/>
    </row>
    <row r="38864" spans="7:7">
      <c r="G38864" s="812"/>
    </row>
    <row r="38865" spans="7:7">
      <c r="G38865" s="812"/>
    </row>
    <row r="38866" spans="7:7">
      <c r="G38866" s="812"/>
    </row>
    <row r="38867" spans="7:7">
      <c r="G38867" s="812"/>
    </row>
    <row r="38868" spans="7:7">
      <c r="G38868" s="812"/>
    </row>
    <row r="38869" spans="7:7">
      <c r="G38869" s="812"/>
    </row>
    <row r="38870" spans="7:7">
      <c r="G38870" s="812"/>
    </row>
    <row r="38871" spans="7:7">
      <c r="G38871" s="812"/>
    </row>
    <row r="38872" spans="7:7">
      <c r="G38872" s="812"/>
    </row>
    <row r="38873" spans="7:7">
      <c r="G38873" s="812"/>
    </row>
    <row r="38874" spans="7:7">
      <c r="G38874" s="812"/>
    </row>
    <row r="38875" spans="7:7">
      <c r="G38875" s="812"/>
    </row>
    <row r="38876" spans="7:7">
      <c r="G38876" s="812"/>
    </row>
    <row r="38877" spans="7:7">
      <c r="G38877" s="812"/>
    </row>
    <row r="38878" spans="7:7">
      <c r="G38878" s="812"/>
    </row>
    <row r="38879" spans="7:7">
      <c r="G38879" s="812"/>
    </row>
    <row r="38880" spans="7:7">
      <c r="G38880" s="812"/>
    </row>
    <row r="38881" spans="7:7">
      <c r="G38881" s="812"/>
    </row>
    <row r="38882" spans="7:7">
      <c r="G38882" s="812"/>
    </row>
    <row r="38883" spans="7:7">
      <c r="G38883" s="812"/>
    </row>
    <row r="38884" spans="7:7">
      <c r="G38884" s="812"/>
    </row>
    <row r="38885" spans="7:7">
      <c r="G38885" s="812"/>
    </row>
    <row r="38886" spans="7:7">
      <c r="G38886" s="812"/>
    </row>
    <row r="38887" spans="7:7">
      <c r="G38887" s="812"/>
    </row>
    <row r="38888" spans="7:7">
      <c r="G38888" s="812"/>
    </row>
    <row r="38889" spans="7:7">
      <c r="G38889" s="812"/>
    </row>
    <row r="38890" spans="7:7">
      <c r="G38890" s="812"/>
    </row>
    <row r="38891" spans="7:7">
      <c r="G38891" s="812"/>
    </row>
    <row r="38892" spans="7:7">
      <c r="G38892" s="812"/>
    </row>
    <row r="38893" spans="7:7">
      <c r="G38893" s="812"/>
    </row>
    <row r="38894" spans="7:7">
      <c r="G38894" s="812"/>
    </row>
    <row r="38895" spans="7:7">
      <c r="G38895" s="812"/>
    </row>
    <row r="38896" spans="7:7">
      <c r="G38896" s="812"/>
    </row>
    <row r="38897" spans="7:7">
      <c r="G38897" s="812"/>
    </row>
    <row r="38898" spans="7:7">
      <c r="G38898" s="812"/>
    </row>
    <row r="38899" spans="7:7">
      <c r="G38899" s="812"/>
    </row>
    <row r="38900" spans="7:7">
      <c r="G38900" s="812"/>
    </row>
    <row r="38901" spans="7:7">
      <c r="G38901" s="812"/>
    </row>
    <row r="38902" spans="7:7">
      <c r="G38902" s="812"/>
    </row>
    <row r="38903" spans="7:7">
      <c r="G38903" s="812"/>
    </row>
    <row r="38904" spans="7:7">
      <c r="G38904" s="812"/>
    </row>
    <row r="38905" spans="7:7">
      <c r="G38905" s="812"/>
    </row>
    <row r="38906" spans="7:7">
      <c r="G38906" s="812"/>
    </row>
    <row r="38907" spans="7:7">
      <c r="G38907" s="812"/>
    </row>
    <row r="38908" spans="7:7">
      <c r="G38908" s="812"/>
    </row>
    <row r="38909" spans="7:7">
      <c r="G38909" s="812"/>
    </row>
    <row r="38910" spans="7:7">
      <c r="G38910" s="812"/>
    </row>
    <row r="38911" spans="7:7">
      <c r="G38911" s="812"/>
    </row>
    <row r="38912" spans="7:7">
      <c r="G38912" s="812"/>
    </row>
    <row r="38913" spans="7:7">
      <c r="G38913" s="812"/>
    </row>
    <row r="38914" spans="7:7">
      <c r="G38914" s="812"/>
    </row>
    <row r="38915" spans="7:7">
      <c r="G38915" s="812"/>
    </row>
    <row r="38916" spans="7:7">
      <c r="G38916" s="812"/>
    </row>
    <row r="38917" spans="7:7">
      <c r="G38917" s="812"/>
    </row>
    <row r="38918" spans="7:7">
      <c r="G38918" s="812"/>
    </row>
    <row r="38919" spans="7:7">
      <c r="G38919" s="812"/>
    </row>
    <row r="38920" spans="7:7">
      <c r="G38920" s="812"/>
    </row>
    <row r="38921" spans="7:7">
      <c r="G38921" s="812"/>
    </row>
    <row r="38922" spans="7:7">
      <c r="G38922" s="812"/>
    </row>
    <row r="38923" spans="7:7">
      <c r="G38923" s="812"/>
    </row>
    <row r="38924" spans="7:7">
      <c r="G38924" s="812"/>
    </row>
    <row r="38925" spans="7:7">
      <c r="G38925" s="812"/>
    </row>
    <row r="38926" spans="7:7">
      <c r="G38926" s="812"/>
    </row>
    <row r="38927" spans="7:7">
      <c r="G38927" s="812"/>
    </row>
    <row r="38928" spans="7:7">
      <c r="G38928" s="812"/>
    </row>
    <row r="38929" spans="7:7">
      <c r="G38929" s="812"/>
    </row>
    <row r="38930" spans="7:7">
      <c r="G38930" s="812"/>
    </row>
    <row r="38931" spans="7:7">
      <c r="G38931" s="812"/>
    </row>
    <row r="38932" spans="7:7">
      <c r="G38932" s="812"/>
    </row>
    <row r="38933" spans="7:7">
      <c r="G38933" s="812"/>
    </row>
    <row r="38934" spans="7:7">
      <c r="G38934" s="812"/>
    </row>
    <row r="38935" spans="7:7">
      <c r="G38935" s="812"/>
    </row>
    <row r="38936" spans="7:7">
      <c r="G38936" s="812"/>
    </row>
    <row r="38937" spans="7:7">
      <c r="G38937" s="812"/>
    </row>
    <row r="38938" spans="7:7">
      <c r="G38938" s="812"/>
    </row>
    <row r="38939" spans="7:7">
      <c r="G38939" s="812"/>
    </row>
    <row r="38940" spans="7:7">
      <c r="G38940" s="812"/>
    </row>
    <row r="38941" spans="7:7">
      <c r="G38941" s="812"/>
    </row>
    <row r="38942" spans="7:7">
      <c r="G38942" s="812"/>
    </row>
    <row r="38943" spans="7:7">
      <c r="G38943" s="812"/>
    </row>
    <row r="38944" spans="7:7">
      <c r="G38944" s="812"/>
    </row>
    <row r="38945" spans="7:7">
      <c r="G38945" s="812"/>
    </row>
    <row r="38946" spans="7:7">
      <c r="G38946" s="812"/>
    </row>
    <row r="38947" spans="7:7">
      <c r="G38947" s="812"/>
    </row>
    <row r="38948" spans="7:7">
      <c r="G38948" s="812"/>
    </row>
    <row r="38949" spans="7:7">
      <c r="G38949" s="812"/>
    </row>
    <row r="38950" spans="7:7">
      <c r="G38950" s="812"/>
    </row>
    <row r="38951" spans="7:7">
      <c r="G38951" s="812"/>
    </row>
    <row r="38952" spans="7:7">
      <c r="G38952" s="812"/>
    </row>
    <row r="38953" spans="7:7">
      <c r="G38953" s="812"/>
    </row>
    <row r="38954" spans="7:7">
      <c r="G38954" s="812"/>
    </row>
    <row r="38955" spans="7:7">
      <c r="G38955" s="812"/>
    </row>
    <row r="38956" spans="7:7">
      <c r="G38956" s="812"/>
    </row>
    <row r="38957" spans="7:7">
      <c r="G38957" s="812"/>
    </row>
    <row r="38958" spans="7:7">
      <c r="G38958" s="812"/>
    </row>
    <row r="38959" spans="7:7">
      <c r="G38959" s="812"/>
    </row>
    <row r="38960" spans="7:7">
      <c r="G38960" s="812"/>
    </row>
    <row r="38961" spans="7:7">
      <c r="G38961" s="812"/>
    </row>
    <row r="38962" spans="7:7">
      <c r="G38962" s="812"/>
    </row>
    <row r="38963" spans="7:7">
      <c r="G38963" s="812"/>
    </row>
    <row r="38964" spans="7:7">
      <c r="G38964" s="812"/>
    </row>
    <row r="38965" spans="7:7">
      <c r="G38965" s="812"/>
    </row>
    <row r="38966" spans="7:7">
      <c r="G38966" s="812"/>
    </row>
    <row r="38967" spans="7:7">
      <c r="G38967" s="812"/>
    </row>
    <row r="38968" spans="7:7">
      <c r="G38968" s="812"/>
    </row>
    <row r="38969" spans="7:7">
      <c r="G38969" s="812"/>
    </row>
    <row r="38970" spans="7:7">
      <c r="G38970" s="812"/>
    </row>
    <row r="38971" spans="7:7">
      <c r="G38971" s="812"/>
    </row>
    <row r="38972" spans="7:7">
      <c r="G38972" s="812"/>
    </row>
    <row r="38973" spans="7:7">
      <c r="G38973" s="812"/>
    </row>
    <row r="38974" spans="7:7">
      <c r="G38974" s="812"/>
    </row>
    <row r="38975" spans="7:7">
      <c r="G38975" s="812"/>
    </row>
    <row r="38976" spans="7:7">
      <c r="G38976" s="812"/>
    </row>
    <row r="38977" spans="7:7">
      <c r="G38977" s="812"/>
    </row>
    <row r="38978" spans="7:7">
      <c r="G38978" s="812"/>
    </row>
    <row r="38979" spans="7:7">
      <c r="G38979" s="812"/>
    </row>
    <row r="38980" spans="7:7">
      <c r="G38980" s="812"/>
    </row>
    <row r="38981" spans="7:7">
      <c r="G38981" s="812"/>
    </row>
    <row r="38982" spans="7:7">
      <c r="G38982" s="812"/>
    </row>
    <row r="38983" spans="7:7">
      <c r="G38983" s="812"/>
    </row>
    <row r="38984" spans="7:7">
      <c r="G38984" s="812"/>
    </row>
    <row r="38985" spans="7:7">
      <c r="G38985" s="812"/>
    </row>
    <row r="38986" spans="7:7">
      <c r="G38986" s="812"/>
    </row>
    <row r="38987" spans="7:7">
      <c r="G38987" s="812"/>
    </row>
    <row r="38988" spans="7:7">
      <c r="G38988" s="812"/>
    </row>
    <row r="38989" spans="7:7">
      <c r="G38989" s="812"/>
    </row>
    <row r="38990" spans="7:7">
      <c r="G38990" s="812"/>
    </row>
    <row r="38991" spans="7:7">
      <c r="G38991" s="812"/>
    </row>
    <row r="38992" spans="7:7">
      <c r="G38992" s="812"/>
    </row>
    <row r="38993" spans="7:7">
      <c r="G38993" s="812"/>
    </row>
    <row r="38994" spans="7:7">
      <c r="G38994" s="812"/>
    </row>
    <row r="38995" spans="7:7">
      <c r="G38995" s="812"/>
    </row>
    <row r="38996" spans="7:7">
      <c r="G38996" s="812"/>
    </row>
    <row r="38997" spans="7:7">
      <c r="G38997" s="812"/>
    </row>
    <row r="38998" spans="7:7">
      <c r="G38998" s="812"/>
    </row>
    <row r="38999" spans="7:7">
      <c r="G38999" s="812"/>
    </row>
    <row r="39000" spans="7:7">
      <c r="G39000" s="812"/>
    </row>
    <row r="39001" spans="7:7">
      <c r="G39001" s="812"/>
    </row>
    <row r="39002" spans="7:7">
      <c r="G39002" s="812"/>
    </row>
    <row r="39003" spans="7:7">
      <c r="G39003" s="812"/>
    </row>
    <row r="39004" spans="7:7">
      <c r="G39004" s="812"/>
    </row>
    <row r="39005" spans="7:7">
      <c r="G39005" s="812"/>
    </row>
    <row r="39006" spans="7:7">
      <c r="G39006" s="812"/>
    </row>
    <row r="39007" spans="7:7">
      <c r="G39007" s="812"/>
    </row>
    <row r="39008" spans="7:7">
      <c r="G39008" s="812"/>
    </row>
    <row r="39009" spans="7:7">
      <c r="G39009" s="812"/>
    </row>
    <row r="39010" spans="7:7">
      <c r="G39010" s="812"/>
    </row>
    <row r="39011" spans="7:7">
      <c r="G39011" s="812"/>
    </row>
    <row r="39012" spans="7:7">
      <c r="G39012" s="812"/>
    </row>
    <row r="39013" spans="7:7">
      <c r="G39013" s="812"/>
    </row>
    <row r="39014" spans="7:7">
      <c r="G39014" s="812"/>
    </row>
    <row r="39015" spans="7:7">
      <c r="G39015" s="812"/>
    </row>
    <row r="39016" spans="7:7">
      <c r="G39016" s="812"/>
    </row>
    <row r="39017" spans="7:7">
      <c r="G39017" s="812"/>
    </row>
    <row r="39018" spans="7:7">
      <c r="G39018" s="812"/>
    </row>
    <row r="39019" spans="7:7">
      <c r="G39019" s="812"/>
    </row>
    <row r="39020" spans="7:7">
      <c r="G39020" s="812"/>
    </row>
    <row r="39021" spans="7:7">
      <c r="G39021" s="812"/>
    </row>
    <row r="39022" spans="7:7">
      <c r="G39022" s="812"/>
    </row>
    <row r="39023" spans="7:7">
      <c r="G39023" s="812"/>
    </row>
    <row r="39024" spans="7:7">
      <c r="G39024" s="812"/>
    </row>
    <row r="39025" spans="7:7">
      <c r="G39025" s="812"/>
    </row>
    <row r="39026" spans="7:7">
      <c r="G39026" s="812"/>
    </row>
    <row r="39027" spans="7:7">
      <c r="G39027" s="812"/>
    </row>
    <row r="39028" spans="7:7">
      <c r="G39028" s="812"/>
    </row>
    <row r="39029" spans="7:7">
      <c r="G39029" s="812"/>
    </row>
    <row r="39030" spans="7:7">
      <c r="G39030" s="812"/>
    </row>
    <row r="39031" spans="7:7">
      <c r="G39031" s="812"/>
    </row>
    <row r="39032" spans="7:7">
      <c r="G39032" s="812"/>
    </row>
    <row r="39033" spans="7:7">
      <c r="G39033" s="812"/>
    </row>
    <row r="39034" spans="7:7">
      <c r="G39034" s="812"/>
    </row>
    <row r="39035" spans="7:7">
      <c r="G39035" s="812"/>
    </row>
    <row r="39036" spans="7:7">
      <c r="G39036" s="812"/>
    </row>
    <row r="39037" spans="7:7">
      <c r="G39037" s="812"/>
    </row>
    <row r="39038" spans="7:7">
      <c r="G39038" s="812"/>
    </row>
    <row r="39039" spans="7:7">
      <c r="G39039" s="812"/>
    </row>
    <row r="39040" spans="7:7">
      <c r="G39040" s="812"/>
    </row>
    <row r="39041" spans="7:7">
      <c r="G39041" s="812"/>
    </row>
    <row r="39042" spans="7:7">
      <c r="G39042" s="812"/>
    </row>
    <row r="39043" spans="7:7">
      <c r="G39043" s="812"/>
    </row>
    <row r="39044" spans="7:7">
      <c r="G39044" s="812"/>
    </row>
    <row r="39045" spans="7:7">
      <c r="G39045" s="812"/>
    </row>
    <row r="39046" spans="7:7">
      <c r="G39046" s="812"/>
    </row>
    <row r="39047" spans="7:7">
      <c r="G39047" s="812"/>
    </row>
    <row r="39048" spans="7:7">
      <c r="G39048" s="812"/>
    </row>
    <row r="39049" spans="7:7">
      <c r="G39049" s="812"/>
    </row>
    <row r="39050" spans="7:7">
      <c r="G39050" s="812"/>
    </row>
    <row r="39051" spans="7:7">
      <c r="G39051" s="812"/>
    </row>
    <row r="39052" spans="7:7">
      <c r="G39052" s="812"/>
    </row>
    <row r="39053" spans="7:7">
      <c r="G39053" s="812"/>
    </row>
    <row r="39054" spans="7:7">
      <c r="G39054" s="812"/>
    </row>
    <row r="39055" spans="7:7">
      <c r="G39055" s="812"/>
    </row>
    <row r="39056" spans="7:7">
      <c r="G39056" s="812"/>
    </row>
    <row r="39057" spans="7:7">
      <c r="G39057" s="812"/>
    </row>
    <row r="39058" spans="7:7">
      <c r="G39058" s="812"/>
    </row>
    <row r="39059" spans="7:7">
      <c r="G39059" s="812"/>
    </row>
    <row r="39060" spans="7:7">
      <c r="G39060" s="812"/>
    </row>
    <row r="39061" spans="7:7">
      <c r="G39061" s="812"/>
    </row>
    <row r="39062" spans="7:7">
      <c r="G39062" s="812"/>
    </row>
    <row r="39063" spans="7:7">
      <c r="G39063" s="812"/>
    </row>
    <row r="39064" spans="7:7">
      <c r="G39064" s="812"/>
    </row>
    <row r="39065" spans="7:7">
      <c r="G39065" s="812"/>
    </row>
    <row r="39066" spans="7:7">
      <c r="G39066" s="812"/>
    </row>
    <row r="39067" spans="7:7">
      <c r="G39067" s="812"/>
    </row>
    <row r="39068" spans="7:7">
      <c r="G39068" s="812"/>
    </row>
    <row r="39069" spans="7:7">
      <c r="G39069" s="812"/>
    </row>
    <row r="39070" spans="7:7">
      <c r="G39070" s="812"/>
    </row>
    <row r="39071" spans="7:7">
      <c r="G39071" s="812"/>
    </row>
    <row r="39072" spans="7:7">
      <c r="G39072" s="812"/>
    </row>
    <row r="39073" spans="7:7">
      <c r="G39073" s="812"/>
    </row>
    <row r="39074" spans="7:7">
      <c r="G39074" s="812"/>
    </row>
    <row r="39075" spans="7:7">
      <c r="G39075" s="812"/>
    </row>
    <row r="39076" spans="7:7">
      <c r="G39076" s="812"/>
    </row>
    <row r="39077" spans="7:7">
      <c r="G39077" s="812"/>
    </row>
    <row r="39078" spans="7:7">
      <c r="G39078" s="812"/>
    </row>
    <row r="39079" spans="7:7">
      <c r="G39079" s="812"/>
    </row>
    <row r="39080" spans="7:7">
      <c r="G39080" s="812"/>
    </row>
    <row r="39081" spans="7:7">
      <c r="G39081" s="812"/>
    </row>
    <row r="39082" spans="7:7">
      <c r="G39082" s="812"/>
    </row>
    <row r="39083" spans="7:7">
      <c r="G39083" s="812"/>
    </row>
    <row r="39084" spans="7:7">
      <c r="G39084" s="812"/>
    </row>
    <row r="39085" spans="7:7">
      <c r="G39085" s="812"/>
    </row>
    <row r="39086" spans="7:7">
      <c r="G39086" s="812"/>
    </row>
    <row r="39087" spans="7:7">
      <c r="G39087" s="812"/>
    </row>
    <row r="39088" spans="7:7">
      <c r="G39088" s="812"/>
    </row>
    <row r="39089" spans="7:7">
      <c r="G39089" s="812"/>
    </row>
    <row r="39090" spans="7:7">
      <c r="G39090" s="812"/>
    </row>
    <row r="39091" spans="7:7">
      <c r="G39091" s="812"/>
    </row>
    <row r="39092" spans="7:7">
      <c r="G39092" s="812"/>
    </row>
    <row r="39093" spans="7:7">
      <c r="G39093" s="812"/>
    </row>
    <row r="39094" spans="7:7">
      <c r="G39094" s="812"/>
    </row>
    <row r="39095" spans="7:7">
      <c r="G39095" s="812"/>
    </row>
    <row r="39096" spans="7:7">
      <c r="G39096" s="812"/>
    </row>
    <row r="39097" spans="7:7">
      <c r="G39097" s="812"/>
    </row>
    <row r="39098" spans="7:7">
      <c r="G39098" s="812"/>
    </row>
    <row r="39099" spans="7:7">
      <c r="G39099" s="812"/>
    </row>
    <row r="39100" spans="7:7">
      <c r="G39100" s="812"/>
    </row>
    <row r="39101" spans="7:7">
      <c r="G39101" s="812"/>
    </row>
    <row r="39102" spans="7:7">
      <c r="G39102" s="812"/>
    </row>
    <row r="39103" spans="7:7">
      <c r="G39103" s="812"/>
    </row>
    <row r="39104" spans="7:7">
      <c r="G39104" s="812"/>
    </row>
    <row r="39105" spans="7:7">
      <c r="G39105" s="812"/>
    </row>
    <row r="39106" spans="7:7">
      <c r="G39106" s="812"/>
    </row>
    <row r="39107" spans="7:7">
      <c r="G39107" s="812"/>
    </row>
    <row r="39108" spans="7:7">
      <c r="G39108" s="812"/>
    </row>
    <row r="39109" spans="7:7">
      <c r="G39109" s="812"/>
    </row>
    <row r="39110" spans="7:7">
      <c r="G39110" s="812"/>
    </row>
    <row r="39111" spans="7:7">
      <c r="G39111" s="812"/>
    </row>
    <row r="39112" spans="7:7">
      <c r="G39112" s="812"/>
    </row>
    <row r="39113" spans="7:7">
      <c r="G39113" s="812"/>
    </row>
    <row r="39114" spans="7:7">
      <c r="G39114" s="812"/>
    </row>
    <row r="39115" spans="7:7">
      <c r="G39115" s="812"/>
    </row>
    <row r="39116" spans="7:7">
      <c r="G39116" s="812"/>
    </row>
    <row r="39117" spans="7:7">
      <c r="G39117" s="812"/>
    </row>
    <row r="39118" spans="7:7">
      <c r="G39118" s="812"/>
    </row>
    <row r="39119" spans="7:7">
      <c r="G39119" s="812"/>
    </row>
    <row r="39120" spans="7:7">
      <c r="G39120" s="812"/>
    </row>
    <row r="39121" spans="7:7">
      <c r="G39121" s="812"/>
    </row>
    <row r="39122" spans="7:7">
      <c r="G39122" s="812"/>
    </row>
    <row r="39123" spans="7:7">
      <c r="G39123" s="812"/>
    </row>
    <row r="39124" spans="7:7">
      <c r="G39124" s="812"/>
    </row>
    <row r="39125" spans="7:7">
      <c r="G39125" s="812"/>
    </row>
    <row r="39126" spans="7:7">
      <c r="G39126" s="812"/>
    </row>
    <row r="39127" spans="7:7">
      <c r="G39127" s="812"/>
    </row>
    <row r="39128" spans="7:7">
      <c r="G39128" s="812"/>
    </row>
    <row r="39129" spans="7:7">
      <c r="G39129" s="812"/>
    </row>
    <row r="39130" spans="7:7">
      <c r="G39130" s="812"/>
    </row>
    <row r="39131" spans="7:7">
      <c r="G39131" s="812"/>
    </row>
    <row r="39132" spans="7:7">
      <c r="G39132" s="812"/>
    </row>
    <row r="39133" spans="7:7">
      <c r="G39133" s="812"/>
    </row>
    <row r="39134" spans="7:7">
      <c r="G39134" s="812"/>
    </row>
    <row r="39135" spans="7:7">
      <c r="G39135" s="812"/>
    </row>
    <row r="39136" spans="7:7">
      <c r="G39136" s="812"/>
    </row>
    <row r="39137" spans="7:7">
      <c r="G39137" s="812"/>
    </row>
    <row r="39138" spans="7:7">
      <c r="G39138" s="812"/>
    </row>
    <row r="39139" spans="7:7">
      <c r="G39139" s="812"/>
    </row>
    <row r="39140" spans="7:7">
      <c r="G39140" s="812"/>
    </row>
    <row r="39141" spans="7:7">
      <c r="G39141" s="812"/>
    </row>
    <row r="39142" spans="7:7">
      <c r="G39142" s="812"/>
    </row>
    <row r="39143" spans="7:7">
      <c r="G39143" s="812"/>
    </row>
    <row r="39144" spans="7:7">
      <c r="G39144" s="812"/>
    </row>
    <row r="39145" spans="7:7">
      <c r="G39145" s="812"/>
    </row>
    <row r="39146" spans="7:7">
      <c r="G39146" s="812"/>
    </row>
    <row r="39147" spans="7:7">
      <c r="G39147" s="812"/>
    </row>
    <row r="39148" spans="7:7">
      <c r="G39148" s="812"/>
    </row>
    <row r="39149" spans="7:7">
      <c r="G39149" s="812"/>
    </row>
    <row r="39150" spans="7:7">
      <c r="G39150" s="812"/>
    </row>
    <row r="39151" spans="7:7">
      <c r="G39151" s="812"/>
    </row>
    <row r="39152" spans="7:7">
      <c r="G39152" s="812"/>
    </row>
    <row r="39153" spans="7:7">
      <c r="G39153" s="812"/>
    </row>
    <row r="39154" spans="7:7">
      <c r="G39154" s="812"/>
    </row>
    <row r="39155" spans="7:7">
      <c r="G39155" s="812"/>
    </row>
    <row r="39156" spans="7:7">
      <c r="G39156" s="812"/>
    </row>
    <row r="39157" spans="7:7">
      <c r="G39157" s="812"/>
    </row>
    <row r="39158" spans="7:7">
      <c r="G39158" s="812"/>
    </row>
    <row r="39159" spans="7:7">
      <c r="G39159" s="812"/>
    </row>
    <row r="39160" spans="7:7">
      <c r="G39160" s="812"/>
    </row>
    <row r="39161" spans="7:7">
      <c r="G39161" s="812"/>
    </row>
    <row r="39162" spans="7:7">
      <c r="G39162" s="812"/>
    </row>
    <row r="39163" spans="7:7">
      <c r="G39163" s="812"/>
    </row>
    <row r="39164" spans="7:7">
      <c r="G39164" s="812"/>
    </row>
    <row r="39165" spans="7:7">
      <c r="G39165" s="812"/>
    </row>
    <row r="39166" spans="7:7">
      <c r="G39166" s="812"/>
    </row>
    <row r="39167" spans="7:7">
      <c r="G39167" s="812"/>
    </row>
    <row r="39168" spans="7:7">
      <c r="G39168" s="812"/>
    </row>
    <row r="39169" spans="7:7">
      <c r="G39169" s="812"/>
    </row>
    <row r="39170" spans="7:7">
      <c r="G39170" s="812"/>
    </row>
    <row r="39171" spans="7:7">
      <c r="G39171" s="812"/>
    </row>
    <row r="39172" spans="7:7">
      <c r="G39172" s="812"/>
    </row>
    <row r="39173" spans="7:7">
      <c r="G39173" s="812"/>
    </row>
    <row r="39174" spans="7:7">
      <c r="G39174" s="812"/>
    </row>
    <row r="39175" spans="7:7">
      <c r="G39175" s="812"/>
    </row>
    <row r="39176" spans="7:7">
      <c r="G39176" s="812"/>
    </row>
    <row r="39177" spans="7:7">
      <c r="G39177" s="812"/>
    </row>
    <row r="39178" spans="7:7">
      <c r="G39178" s="812"/>
    </row>
    <row r="39179" spans="7:7">
      <c r="G39179" s="812"/>
    </row>
    <row r="39180" spans="7:7">
      <c r="G39180" s="812"/>
    </row>
    <row r="39181" spans="7:7">
      <c r="G39181" s="812"/>
    </row>
    <row r="39182" spans="7:7">
      <c r="G39182" s="812"/>
    </row>
    <row r="39183" spans="7:7">
      <c r="G39183" s="812"/>
    </row>
    <row r="39184" spans="7:7">
      <c r="G39184" s="812"/>
    </row>
    <row r="39185" spans="7:7">
      <c r="G39185" s="812"/>
    </row>
    <row r="39186" spans="7:7">
      <c r="G39186" s="812"/>
    </row>
    <row r="39187" spans="7:7">
      <c r="G39187" s="812"/>
    </row>
    <row r="39188" spans="7:7">
      <c r="G39188" s="812"/>
    </row>
    <row r="39189" spans="7:7">
      <c r="G39189" s="812"/>
    </row>
    <row r="39190" spans="7:7">
      <c r="G39190" s="812"/>
    </row>
    <row r="39191" spans="7:7">
      <c r="G39191" s="812"/>
    </row>
    <row r="39192" spans="7:7">
      <c r="G39192" s="812"/>
    </row>
    <row r="39193" spans="7:7">
      <c r="G39193" s="812"/>
    </row>
    <row r="39194" spans="7:7">
      <c r="G39194" s="812"/>
    </row>
    <row r="39195" spans="7:7">
      <c r="G39195" s="812"/>
    </row>
    <row r="39196" spans="7:7">
      <c r="G39196" s="812"/>
    </row>
    <row r="39197" spans="7:7">
      <c r="G39197" s="812"/>
    </row>
    <row r="39198" spans="7:7">
      <c r="G39198" s="812"/>
    </row>
    <row r="39199" spans="7:7">
      <c r="G39199" s="812"/>
    </row>
    <row r="39200" spans="7:7">
      <c r="G39200" s="812"/>
    </row>
    <row r="39201" spans="7:7">
      <c r="G39201" s="812"/>
    </row>
    <row r="39202" spans="7:7">
      <c r="G39202" s="812"/>
    </row>
    <row r="39203" spans="7:7">
      <c r="G39203" s="812"/>
    </row>
    <row r="39204" spans="7:7">
      <c r="G39204" s="812"/>
    </row>
    <row r="39205" spans="7:7">
      <c r="G39205" s="812"/>
    </row>
    <row r="39206" spans="7:7">
      <c r="G39206" s="812"/>
    </row>
    <row r="39207" spans="7:7">
      <c r="G39207" s="812"/>
    </row>
    <row r="39208" spans="7:7">
      <c r="G39208" s="812"/>
    </row>
    <row r="39209" spans="7:7">
      <c r="G39209" s="812"/>
    </row>
    <row r="39210" spans="7:7">
      <c r="G39210" s="812"/>
    </row>
    <row r="39211" spans="7:7">
      <c r="G39211" s="812"/>
    </row>
    <row r="39212" spans="7:7">
      <c r="G39212" s="812"/>
    </row>
    <row r="39213" spans="7:7">
      <c r="G39213" s="812"/>
    </row>
    <row r="39214" spans="7:7">
      <c r="G39214" s="812"/>
    </row>
    <row r="39215" spans="7:7">
      <c r="G39215" s="812"/>
    </row>
    <row r="39216" spans="7:7">
      <c r="G39216" s="812"/>
    </row>
    <row r="39217" spans="7:7">
      <c r="G39217" s="812"/>
    </row>
    <row r="39218" spans="7:7">
      <c r="G39218" s="812"/>
    </row>
    <row r="39219" spans="7:7">
      <c r="G39219" s="812"/>
    </row>
    <row r="39220" spans="7:7">
      <c r="G39220" s="812"/>
    </row>
    <row r="39221" spans="7:7">
      <c r="G39221" s="812"/>
    </row>
    <row r="39222" spans="7:7">
      <c r="G39222" s="812"/>
    </row>
    <row r="39223" spans="7:7">
      <c r="G39223" s="812"/>
    </row>
    <row r="39224" spans="7:7">
      <c r="G39224" s="812"/>
    </row>
    <row r="39225" spans="7:7">
      <c r="G39225" s="812"/>
    </row>
    <row r="39226" spans="7:7">
      <c r="G39226" s="812"/>
    </row>
    <row r="39227" spans="7:7">
      <c r="G39227" s="812"/>
    </row>
    <row r="39228" spans="7:7">
      <c r="G39228" s="812"/>
    </row>
    <row r="39229" spans="7:7">
      <c r="G39229" s="812"/>
    </row>
    <row r="39230" spans="7:7">
      <c r="G39230" s="812"/>
    </row>
    <row r="39231" spans="7:7">
      <c r="G39231" s="812"/>
    </row>
    <row r="39232" spans="7:7">
      <c r="G39232" s="812"/>
    </row>
    <row r="39233" spans="7:7">
      <c r="G39233" s="812"/>
    </row>
    <row r="39234" spans="7:7">
      <c r="G39234" s="812"/>
    </row>
    <row r="39235" spans="7:7">
      <c r="G39235" s="812"/>
    </row>
    <row r="39236" spans="7:7">
      <c r="G39236" s="812"/>
    </row>
    <row r="39237" spans="7:7">
      <c r="G39237" s="812"/>
    </row>
    <row r="39238" spans="7:7">
      <c r="G39238" s="812"/>
    </row>
    <row r="39239" spans="7:7">
      <c r="G39239" s="812"/>
    </row>
    <row r="39240" spans="7:7">
      <c r="G39240" s="812"/>
    </row>
    <row r="39241" spans="7:7">
      <c r="G39241" s="812"/>
    </row>
    <row r="39242" spans="7:7">
      <c r="G39242" s="812"/>
    </row>
    <row r="39243" spans="7:7">
      <c r="G39243" s="812"/>
    </row>
    <row r="39244" spans="7:7">
      <c r="G39244" s="812"/>
    </row>
    <row r="39245" spans="7:7">
      <c r="G39245" s="812"/>
    </row>
    <row r="39246" spans="7:7">
      <c r="G39246" s="812"/>
    </row>
    <row r="39247" spans="7:7">
      <c r="G39247" s="812"/>
    </row>
    <row r="39248" spans="7:7">
      <c r="G39248" s="812"/>
    </row>
    <row r="39249" spans="7:7">
      <c r="G39249" s="812"/>
    </row>
    <row r="39250" spans="7:7">
      <c r="G39250" s="812"/>
    </row>
    <row r="39251" spans="7:7">
      <c r="G39251" s="812"/>
    </row>
    <row r="39252" spans="7:7">
      <c r="G39252" s="812"/>
    </row>
    <row r="39253" spans="7:7">
      <c r="G39253" s="812"/>
    </row>
    <row r="39254" spans="7:7">
      <c r="G39254" s="812"/>
    </row>
    <row r="39255" spans="7:7">
      <c r="G39255" s="812"/>
    </row>
    <row r="39256" spans="7:7">
      <c r="G39256" s="812"/>
    </row>
    <row r="39257" spans="7:7">
      <c r="G39257" s="812"/>
    </row>
    <row r="39258" spans="7:7">
      <c r="G39258" s="812"/>
    </row>
    <row r="39259" spans="7:7">
      <c r="G39259" s="812"/>
    </row>
    <row r="39260" spans="7:7">
      <c r="G39260" s="812"/>
    </row>
    <row r="39261" spans="7:7">
      <c r="G39261" s="812"/>
    </row>
    <row r="39262" spans="7:7">
      <c r="G39262" s="812"/>
    </row>
    <row r="39263" spans="7:7">
      <c r="G39263" s="812"/>
    </row>
    <row r="39264" spans="7:7">
      <c r="G39264" s="812"/>
    </row>
    <row r="39265" spans="7:7">
      <c r="G39265" s="812"/>
    </row>
    <row r="39266" spans="7:7">
      <c r="G39266" s="812"/>
    </row>
    <row r="39267" spans="7:7">
      <c r="G39267" s="812"/>
    </row>
    <row r="39268" spans="7:7">
      <c r="G39268" s="812"/>
    </row>
    <row r="39269" spans="7:7">
      <c r="G39269" s="812"/>
    </row>
    <row r="39270" spans="7:7">
      <c r="G39270" s="812"/>
    </row>
    <row r="39271" spans="7:7">
      <c r="G39271" s="812"/>
    </row>
    <row r="39272" spans="7:7">
      <c r="G39272" s="812"/>
    </row>
    <row r="39273" spans="7:7">
      <c r="G39273" s="812"/>
    </row>
    <row r="39274" spans="7:7">
      <c r="G39274" s="812"/>
    </row>
    <row r="39275" spans="7:7">
      <c r="G39275" s="812"/>
    </row>
    <row r="39276" spans="7:7">
      <c r="G39276" s="812"/>
    </row>
    <row r="39277" spans="7:7">
      <c r="G39277" s="812"/>
    </row>
    <row r="39278" spans="7:7">
      <c r="G39278" s="812"/>
    </row>
    <row r="39279" spans="7:7">
      <c r="G39279" s="812"/>
    </row>
    <row r="39280" spans="7:7">
      <c r="G39280" s="812"/>
    </row>
    <row r="39281" spans="7:7">
      <c r="G39281" s="812"/>
    </row>
    <row r="39282" spans="7:7">
      <c r="G39282" s="812"/>
    </row>
    <row r="39283" spans="7:7">
      <c r="G39283" s="812"/>
    </row>
    <row r="39284" spans="7:7">
      <c r="G39284" s="812"/>
    </row>
    <row r="39285" spans="7:7">
      <c r="G39285" s="812"/>
    </row>
    <row r="39286" spans="7:7">
      <c r="G39286" s="812"/>
    </row>
    <row r="39287" spans="7:7">
      <c r="G39287" s="812"/>
    </row>
    <row r="39288" spans="7:7">
      <c r="G39288" s="812"/>
    </row>
    <row r="39289" spans="7:7">
      <c r="G39289" s="812"/>
    </row>
    <row r="39290" spans="7:7">
      <c r="G39290" s="812"/>
    </row>
    <row r="39291" spans="7:7">
      <c r="G39291" s="812"/>
    </row>
    <row r="39292" spans="7:7">
      <c r="G39292" s="812"/>
    </row>
    <row r="39293" spans="7:7">
      <c r="G39293" s="812"/>
    </row>
    <row r="39294" spans="7:7">
      <c r="G39294" s="812"/>
    </row>
    <row r="39295" spans="7:7">
      <c r="G39295" s="812"/>
    </row>
    <row r="39296" spans="7:7">
      <c r="G39296" s="812"/>
    </row>
    <row r="39297" spans="7:7">
      <c r="G39297" s="812"/>
    </row>
    <row r="39298" spans="7:7">
      <c r="G39298" s="812"/>
    </row>
    <row r="39299" spans="7:7">
      <c r="G39299" s="812"/>
    </row>
    <row r="39300" spans="7:7">
      <c r="G39300" s="812"/>
    </row>
    <row r="39301" spans="7:7">
      <c r="G39301" s="812"/>
    </row>
    <row r="39302" spans="7:7">
      <c r="G39302" s="812"/>
    </row>
    <row r="39303" spans="7:7">
      <c r="G39303" s="812"/>
    </row>
    <row r="39304" spans="7:7">
      <c r="G39304" s="812"/>
    </row>
    <row r="39305" spans="7:7">
      <c r="G39305" s="812"/>
    </row>
    <row r="39306" spans="7:7">
      <c r="G39306" s="812"/>
    </row>
    <row r="39307" spans="7:7">
      <c r="G39307" s="812"/>
    </row>
    <row r="39308" spans="7:7">
      <c r="G39308" s="812"/>
    </row>
    <row r="39309" spans="7:7">
      <c r="G39309" s="812"/>
    </row>
    <row r="39310" spans="7:7">
      <c r="G39310" s="812"/>
    </row>
    <row r="39311" spans="7:7">
      <c r="G39311" s="812"/>
    </row>
    <row r="39312" spans="7:7">
      <c r="G39312" s="812"/>
    </row>
    <row r="39313" spans="7:7">
      <c r="G39313" s="812"/>
    </row>
    <row r="39314" spans="7:7">
      <c r="G39314" s="812"/>
    </row>
    <row r="39315" spans="7:7">
      <c r="G39315" s="812"/>
    </row>
    <row r="39316" spans="7:7">
      <c r="G39316" s="812"/>
    </row>
    <row r="39317" spans="7:7">
      <c r="G39317" s="812"/>
    </row>
    <row r="39318" spans="7:7">
      <c r="G39318" s="812"/>
    </row>
    <row r="39319" spans="7:7">
      <c r="G39319" s="812"/>
    </row>
    <row r="39320" spans="7:7">
      <c r="G39320" s="812"/>
    </row>
    <row r="39321" spans="7:7">
      <c r="G39321" s="812"/>
    </row>
    <row r="39322" spans="7:7">
      <c r="G39322" s="812"/>
    </row>
    <row r="39323" spans="7:7">
      <c r="G39323" s="812"/>
    </row>
    <row r="39324" spans="7:7">
      <c r="G39324" s="812"/>
    </row>
    <row r="39325" spans="7:7">
      <c r="G39325" s="812"/>
    </row>
    <row r="39326" spans="7:7">
      <c r="G39326" s="812"/>
    </row>
    <row r="39327" spans="7:7">
      <c r="G39327" s="812"/>
    </row>
    <row r="39328" spans="7:7">
      <c r="G39328" s="812"/>
    </row>
    <row r="39329" spans="7:7">
      <c r="G39329" s="812"/>
    </row>
    <row r="39330" spans="7:7">
      <c r="G39330" s="812"/>
    </row>
    <row r="39331" spans="7:7">
      <c r="G39331" s="812"/>
    </row>
    <row r="39332" spans="7:7">
      <c r="G39332" s="812"/>
    </row>
    <row r="39333" spans="7:7">
      <c r="G39333" s="812"/>
    </row>
    <row r="39334" spans="7:7">
      <c r="G39334" s="812"/>
    </row>
    <row r="39335" spans="7:7">
      <c r="G39335" s="812"/>
    </row>
    <row r="39336" spans="7:7">
      <c r="G39336" s="812"/>
    </row>
    <row r="39337" spans="7:7">
      <c r="G39337" s="812"/>
    </row>
    <row r="39338" spans="7:7">
      <c r="G39338" s="812"/>
    </row>
    <row r="39339" spans="7:7">
      <c r="G39339" s="812"/>
    </row>
    <row r="39340" spans="7:7">
      <c r="G39340" s="812"/>
    </row>
    <row r="39341" spans="7:7">
      <c r="G39341" s="812"/>
    </row>
    <row r="39342" spans="7:7">
      <c r="G39342" s="812"/>
    </row>
    <row r="39343" spans="7:7">
      <c r="G39343" s="812"/>
    </row>
    <row r="39344" spans="7:7">
      <c r="G39344" s="812"/>
    </row>
    <row r="39345" spans="7:7">
      <c r="G39345" s="812"/>
    </row>
    <row r="39346" spans="7:7">
      <c r="G39346" s="812"/>
    </row>
    <row r="39347" spans="7:7">
      <c r="G39347" s="812"/>
    </row>
    <row r="39348" spans="7:7">
      <c r="G39348" s="812"/>
    </row>
    <row r="39349" spans="7:7">
      <c r="G39349" s="812"/>
    </row>
    <row r="39350" spans="7:7">
      <c r="G39350" s="812"/>
    </row>
    <row r="39351" spans="7:7">
      <c r="G39351" s="812"/>
    </row>
    <row r="39352" spans="7:7">
      <c r="G39352" s="812"/>
    </row>
    <row r="39353" spans="7:7">
      <c r="G39353" s="812"/>
    </row>
    <row r="39354" spans="7:7">
      <c r="G39354" s="812"/>
    </row>
    <row r="39355" spans="7:7">
      <c r="G39355" s="812"/>
    </row>
    <row r="39356" spans="7:7">
      <c r="G39356" s="812"/>
    </row>
    <row r="39357" spans="7:7">
      <c r="G39357" s="812"/>
    </row>
    <row r="39358" spans="7:7">
      <c r="G39358" s="812"/>
    </row>
    <row r="39359" spans="7:7">
      <c r="G39359" s="812"/>
    </row>
    <row r="39360" spans="7:7">
      <c r="G39360" s="812"/>
    </row>
    <row r="39361" spans="7:7">
      <c r="G39361" s="812"/>
    </row>
    <row r="39362" spans="7:7">
      <c r="G39362" s="812"/>
    </row>
    <row r="39363" spans="7:7">
      <c r="G39363" s="812"/>
    </row>
    <row r="39364" spans="7:7">
      <c r="G39364" s="812"/>
    </row>
    <row r="39365" spans="7:7">
      <c r="G39365" s="812"/>
    </row>
    <row r="39366" spans="7:7">
      <c r="G39366" s="812"/>
    </row>
    <row r="39367" spans="7:7">
      <c r="G39367" s="812"/>
    </row>
    <row r="39368" spans="7:7">
      <c r="G39368" s="812"/>
    </row>
    <row r="39369" spans="7:7">
      <c r="G39369" s="812"/>
    </row>
    <row r="39370" spans="7:7">
      <c r="G39370" s="812"/>
    </row>
    <row r="39371" spans="7:7">
      <c r="G39371" s="812"/>
    </row>
    <row r="39372" spans="7:7">
      <c r="G39372" s="812"/>
    </row>
    <row r="39373" spans="7:7">
      <c r="G39373" s="812"/>
    </row>
    <row r="39374" spans="7:7">
      <c r="G39374" s="812"/>
    </row>
    <row r="39375" spans="7:7">
      <c r="G39375" s="812"/>
    </row>
    <row r="39376" spans="7:7">
      <c r="G39376" s="812"/>
    </row>
    <row r="39377" spans="7:7">
      <c r="G39377" s="812"/>
    </row>
    <row r="39378" spans="7:7">
      <c r="G39378" s="812"/>
    </row>
    <row r="39379" spans="7:7">
      <c r="G39379" s="812"/>
    </row>
    <row r="39380" spans="7:7">
      <c r="G39380" s="812"/>
    </row>
    <row r="39381" spans="7:7">
      <c r="G39381" s="812"/>
    </row>
    <row r="39382" spans="7:7">
      <c r="G39382" s="812"/>
    </row>
    <row r="39383" spans="7:7">
      <c r="G39383" s="812"/>
    </row>
    <row r="39384" spans="7:7">
      <c r="G39384" s="812"/>
    </row>
    <row r="39385" spans="7:7">
      <c r="G39385" s="812"/>
    </row>
    <row r="39386" spans="7:7">
      <c r="G39386" s="812"/>
    </row>
    <row r="39387" spans="7:7">
      <c r="G39387" s="812"/>
    </row>
    <row r="39388" spans="7:7">
      <c r="G39388" s="812"/>
    </row>
    <row r="39389" spans="7:7">
      <c r="G39389" s="812"/>
    </row>
    <row r="39390" spans="7:7">
      <c r="G39390" s="812"/>
    </row>
    <row r="39391" spans="7:7">
      <c r="G39391" s="812"/>
    </row>
    <row r="39392" spans="7:7">
      <c r="G39392" s="812"/>
    </row>
    <row r="39393" spans="7:7">
      <c r="G39393" s="812"/>
    </row>
    <row r="39394" spans="7:7">
      <c r="G39394" s="812"/>
    </row>
    <row r="39395" spans="7:7">
      <c r="G39395" s="812"/>
    </row>
    <row r="39396" spans="7:7">
      <c r="G39396" s="812"/>
    </row>
    <row r="39397" spans="7:7">
      <c r="G39397" s="812"/>
    </row>
    <row r="39398" spans="7:7">
      <c r="G39398" s="812"/>
    </row>
    <row r="39399" spans="7:7">
      <c r="G39399" s="812"/>
    </row>
    <row r="39400" spans="7:7">
      <c r="G39400" s="812"/>
    </row>
    <row r="39401" spans="7:7">
      <c r="G39401" s="812"/>
    </row>
    <row r="39402" spans="7:7">
      <c r="G39402" s="812"/>
    </row>
    <row r="39403" spans="7:7">
      <c r="G39403" s="812"/>
    </row>
    <row r="39404" spans="7:7">
      <c r="G39404" s="812"/>
    </row>
    <row r="39405" spans="7:7">
      <c r="G39405" s="812"/>
    </row>
    <row r="39406" spans="7:7">
      <c r="G39406" s="812"/>
    </row>
    <row r="39407" spans="7:7">
      <c r="G39407" s="812"/>
    </row>
    <row r="39408" spans="7:7">
      <c r="G39408" s="812"/>
    </row>
    <row r="39409" spans="7:7">
      <c r="G39409" s="812"/>
    </row>
    <row r="39410" spans="7:7">
      <c r="G39410" s="812"/>
    </row>
    <row r="39411" spans="7:7">
      <c r="G39411" s="812"/>
    </row>
    <row r="39412" spans="7:7">
      <c r="G39412" s="812"/>
    </row>
    <row r="39413" spans="7:7">
      <c r="G39413" s="812"/>
    </row>
    <row r="39414" spans="7:7">
      <c r="G39414" s="812"/>
    </row>
    <row r="39415" spans="7:7">
      <c r="G39415" s="812"/>
    </row>
    <row r="39416" spans="7:7">
      <c r="G39416" s="812"/>
    </row>
    <row r="39417" spans="7:7">
      <c r="G39417" s="812"/>
    </row>
    <row r="39418" spans="7:7">
      <c r="G39418" s="812"/>
    </row>
    <row r="39419" spans="7:7">
      <c r="G39419" s="812"/>
    </row>
    <row r="39420" spans="7:7">
      <c r="G39420" s="812"/>
    </row>
    <row r="39421" spans="7:7">
      <c r="G39421" s="812"/>
    </row>
    <row r="39422" spans="7:7">
      <c r="G39422" s="812"/>
    </row>
    <row r="39423" spans="7:7">
      <c r="G39423" s="812"/>
    </row>
    <row r="39424" spans="7:7">
      <c r="G39424" s="812"/>
    </row>
    <row r="39425" spans="7:7">
      <c r="G39425" s="812"/>
    </row>
    <row r="39426" spans="7:7">
      <c r="G39426" s="812"/>
    </row>
    <row r="39427" spans="7:7">
      <c r="G39427" s="812"/>
    </row>
    <row r="39428" spans="7:7">
      <c r="G39428" s="812"/>
    </row>
    <row r="39429" spans="7:7">
      <c r="G39429" s="812"/>
    </row>
    <row r="39430" spans="7:7">
      <c r="G39430" s="812"/>
    </row>
    <row r="39431" spans="7:7">
      <c r="G39431" s="812"/>
    </row>
    <row r="39432" spans="7:7">
      <c r="G39432" s="812"/>
    </row>
    <row r="39433" spans="7:7">
      <c r="G39433" s="812"/>
    </row>
    <row r="39434" spans="7:7">
      <c r="G39434" s="812"/>
    </row>
    <row r="39435" spans="7:7">
      <c r="G39435" s="812"/>
    </row>
    <row r="39436" spans="7:7">
      <c r="G39436" s="812"/>
    </row>
    <row r="39437" spans="7:7">
      <c r="G39437" s="812"/>
    </row>
    <row r="39438" spans="7:7">
      <c r="G39438" s="812"/>
    </row>
    <row r="39439" spans="7:7">
      <c r="G39439" s="812"/>
    </row>
    <row r="39440" spans="7:7">
      <c r="G39440" s="812"/>
    </row>
    <row r="39441" spans="7:7">
      <c r="G39441" s="812"/>
    </row>
    <row r="39442" spans="7:7">
      <c r="G39442" s="812"/>
    </row>
    <row r="39443" spans="7:7">
      <c r="G39443" s="812"/>
    </row>
    <row r="39444" spans="7:7">
      <c r="G39444" s="812"/>
    </row>
    <row r="39445" spans="7:7">
      <c r="G39445" s="812"/>
    </row>
    <row r="39446" spans="7:7">
      <c r="G39446" s="812"/>
    </row>
    <row r="39447" spans="7:7">
      <c r="G39447" s="812"/>
    </row>
    <row r="39448" spans="7:7">
      <c r="G39448" s="812"/>
    </row>
    <row r="39449" spans="7:7">
      <c r="G39449" s="812"/>
    </row>
    <row r="39450" spans="7:7">
      <c r="G39450" s="812"/>
    </row>
    <row r="39451" spans="7:7">
      <c r="G39451" s="812"/>
    </row>
    <row r="39452" spans="7:7">
      <c r="G39452" s="812"/>
    </row>
    <row r="39453" spans="7:7">
      <c r="G39453" s="812"/>
    </row>
    <row r="39454" spans="7:7">
      <c r="G39454" s="812"/>
    </row>
    <row r="39455" spans="7:7">
      <c r="G39455" s="812"/>
    </row>
    <row r="39456" spans="7:7">
      <c r="G39456" s="812"/>
    </row>
    <row r="39457" spans="7:7">
      <c r="G39457" s="812"/>
    </row>
    <row r="39458" spans="7:7">
      <c r="G39458" s="812"/>
    </row>
    <row r="39459" spans="7:7">
      <c r="G39459" s="812"/>
    </row>
    <row r="39460" spans="7:7">
      <c r="G39460" s="812"/>
    </row>
    <row r="39461" spans="7:7">
      <c r="G39461" s="812"/>
    </row>
    <row r="39462" spans="7:7">
      <c r="G39462" s="812"/>
    </row>
    <row r="39463" spans="7:7">
      <c r="G39463" s="812"/>
    </row>
    <row r="39464" spans="7:7">
      <c r="G39464" s="812"/>
    </row>
    <row r="39465" spans="7:7">
      <c r="G39465" s="812"/>
    </row>
    <row r="39466" spans="7:7">
      <c r="G39466" s="812"/>
    </row>
    <row r="39467" spans="7:7">
      <c r="G39467" s="812"/>
    </row>
    <row r="39468" spans="7:7">
      <c r="G39468" s="812"/>
    </row>
    <row r="39469" spans="7:7">
      <c r="G39469" s="812"/>
    </row>
    <row r="39470" spans="7:7">
      <c r="G39470" s="812"/>
    </row>
    <row r="39471" spans="7:7">
      <c r="G39471" s="812"/>
    </row>
    <row r="39472" spans="7:7">
      <c r="G39472" s="812"/>
    </row>
    <row r="39473" spans="7:7">
      <c r="G39473" s="812"/>
    </row>
    <row r="39474" spans="7:7">
      <c r="G39474" s="812"/>
    </row>
    <row r="39475" spans="7:7">
      <c r="G39475" s="812"/>
    </row>
    <row r="39476" spans="7:7">
      <c r="G39476" s="812"/>
    </row>
    <row r="39477" spans="7:7">
      <c r="G39477" s="812"/>
    </row>
    <row r="39478" spans="7:7">
      <c r="G39478" s="812"/>
    </row>
    <row r="39479" spans="7:7">
      <c r="G39479" s="812"/>
    </row>
    <row r="39480" spans="7:7">
      <c r="G39480" s="812"/>
    </row>
    <row r="39481" spans="7:7">
      <c r="G39481" s="812"/>
    </row>
    <row r="39482" spans="7:7">
      <c r="G39482" s="812"/>
    </row>
    <row r="39483" spans="7:7">
      <c r="G39483" s="812"/>
    </row>
    <row r="39484" spans="7:7">
      <c r="G39484" s="812"/>
    </row>
    <row r="39485" spans="7:7">
      <c r="G39485" s="812"/>
    </row>
    <row r="39486" spans="7:7">
      <c r="G39486" s="812"/>
    </row>
    <row r="39487" spans="7:7">
      <c r="G39487" s="812"/>
    </row>
    <row r="39488" spans="7:7">
      <c r="G39488" s="812"/>
    </row>
    <row r="39489" spans="7:7">
      <c r="G39489" s="812"/>
    </row>
    <row r="39490" spans="7:7">
      <c r="G39490" s="812"/>
    </row>
    <row r="39491" spans="7:7">
      <c r="G39491" s="812"/>
    </row>
    <row r="39492" spans="7:7">
      <c r="G39492" s="812"/>
    </row>
    <row r="39493" spans="7:7">
      <c r="G39493" s="812"/>
    </row>
    <row r="39494" spans="7:7">
      <c r="G39494" s="812"/>
    </row>
    <row r="39495" spans="7:7">
      <c r="G39495" s="812"/>
    </row>
    <row r="39496" spans="7:7">
      <c r="G39496" s="812"/>
    </row>
    <row r="39497" spans="7:7">
      <c r="G39497" s="812"/>
    </row>
    <row r="39498" spans="7:7">
      <c r="G39498" s="812"/>
    </row>
    <row r="39499" spans="7:7">
      <c r="G39499" s="812"/>
    </row>
    <row r="39500" spans="7:7">
      <c r="G39500" s="812"/>
    </row>
    <row r="39501" spans="7:7">
      <c r="G39501" s="812"/>
    </row>
    <row r="39502" spans="7:7">
      <c r="G39502" s="812"/>
    </row>
    <row r="39503" spans="7:7">
      <c r="G39503" s="812"/>
    </row>
    <row r="39504" spans="7:7">
      <c r="G39504" s="812"/>
    </row>
    <row r="39505" spans="7:7">
      <c r="G39505" s="812"/>
    </row>
    <row r="39506" spans="7:7">
      <c r="G39506" s="812"/>
    </row>
    <row r="39507" spans="7:7">
      <c r="G39507" s="812"/>
    </row>
    <row r="39508" spans="7:7">
      <c r="G39508" s="812"/>
    </row>
    <row r="39509" spans="7:7">
      <c r="G39509" s="812"/>
    </row>
    <row r="39510" spans="7:7">
      <c r="G39510" s="812"/>
    </row>
    <row r="39511" spans="7:7">
      <c r="G39511" s="812"/>
    </row>
    <row r="39512" spans="7:7">
      <c r="G39512" s="812"/>
    </row>
    <row r="39513" spans="7:7">
      <c r="G39513" s="812"/>
    </row>
    <row r="39514" spans="7:7">
      <c r="G39514" s="812"/>
    </row>
    <row r="39515" spans="7:7">
      <c r="G39515" s="812"/>
    </row>
    <row r="39516" spans="7:7">
      <c r="G39516" s="812"/>
    </row>
    <row r="39517" spans="7:7">
      <c r="G39517" s="812"/>
    </row>
    <row r="39518" spans="7:7">
      <c r="G39518" s="812"/>
    </row>
    <row r="39519" spans="7:7">
      <c r="G39519" s="812"/>
    </row>
    <row r="39520" spans="7:7">
      <c r="G39520" s="812"/>
    </row>
    <row r="39521" spans="7:7">
      <c r="G39521" s="812"/>
    </row>
    <row r="39522" spans="7:7">
      <c r="G39522" s="812"/>
    </row>
    <row r="39523" spans="7:7">
      <c r="G39523" s="812"/>
    </row>
    <row r="39524" spans="7:7">
      <c r="G39524" s="812"/>
    </row>
    <row r="39525" spans="7:7">
      <c r="G39525" s="812"/>
    </row>
    <row r="39526" spans="7:7">
      <c r="G39526" s="812"/>
    </row>
    <row r="39527" spans="7:7">
      <c r="G39527" s="812"/>
    </row>
    <row r="39528" spans="7:7">
      <c r="G39528" s="812"/>
    </row>
    <row r="39529" spans="7:7">
      <c r="G39529" s="812"/>
    </row>
    <row r="39530" spans="7:7">
      <c r="G39530" s="812"/>
    </row>
    <row r="39531" spans="7:7">
      <c r="G39531" s="812"/>
    </row>
    <row r="39532" spans="7:7">
      <c r="G39532" s="812"/>
    </row>
    <row r="39533" spans="7:7">
      <c r="G39533" s="812"/>
    </row>
    <row r="39534" spans="7:7">
      <c r="G39534" s="812"/>
    </row>
    <row r="39535" spans="7:7">
      <c r="G39535" s="812"/>
    </row>
    <row r="39536" spans="7:7">
      <c r="G39536" s="812"/>
    </row>
    <row r="39537" spans="7:7">
      <c r="G39537" s="812"/>
    </row>
    <row r="39538" spans="7:7">
      <c r="G39538" s="812"/>
    </row>
    <row r="39539" spans="7:7">
      <c r="G39539" s="812"/>
    </row>
    <row r="39540" spans="7:7">
      <c r="G39540" s="812"/>
    </row>
    <row r="39541" spans="7:7">
      <c r="G39541" s="812"/>
    </row>
    <row r="39542" spans="7:7">
      <c r="G39542" s="812"/>
    </row>
    <row r="39543" spans="7:7">
      <c r="G39543" s="812"/>
    </row>
    <row r="39544" spans="7:7">
      <c r="G39544" s="812"/>
    </row>
    <row r="39545" spans="7:7">
      <c r="G39545" s="812"/>
    </row>
    <row r="39546" spans="7:7">
      <c r="G39546" s="812"/>
    </row>
    <row r="39547" spans="7:7">
      <c r="G39547" s="812"/>
    </row>
    <row r="39548" spans="7:7">
      <c r="G39548" s="812"/>
    </row>
    <row r="39549" spans="7:7">
      <c r="G39549" s="812"/>
    </row>
    <row r="39550" spans="7:7">
      <c r="G39550" s="812"/>
    </row>
    <row r="39551" spans="7:7">
      <c r="G39551" s="812"/>
    </row>
    <row r="39552" spans="7:7">
      <c r="G39552" s="812"/>
    </row>
    <row r="39553" spans="7:7">
      <c r="G39553" s="812"/>
    </row>
    <row r="39554" spans="7:7">
      <c r="G39554" s="812"/>
    </row>
    <row r="39555" spans="7:7">
      <c r="G39555" s="812"/>
    </row>
    <row r="39556" spans="7:7">
      <c r="G39556" s="812"/>
    </row>
    <row r="39557" spans="7:7">
      <c r="G39557" s="812"/>
    </row>
    <row r="39558" spans="7:7">
      <c r="G39558" s="812"/>
    </row>
    <row r="39559" spans="7:7">
      <c r="G39559" s="812"/>
    </row>
    <row r="39560" spans="7:7">
      <c r="G39560" s="812"/>
    </row>
    <row r="39561" spans="7:7">
      <c r="G39561" s="812"/>
    </row>
    <row r="39562" spans="7:7">
      <c r="G39562" s="812"/>
    </row>
    <row r="39563" spans="7:7">
      <c r="G39563" s="812"/>
    </row>
    <row r="39564" spans="7:7">
      <c r="G39564" s="812"/>
    </row>
    <row r="39565" spans="7:7">
      <c r="G39565" s="812"/>
    </row>
    <row r="39566" spans="7:7">
      <c r="G39566" s="812"/>
    </row>
    <row r="39567" spans="7:7">
      <c r="G39567" s="812"/>
    </row>
    <row r="39568" spans="7:7">
      <c r="G39568" s="812"/>
    </row>
    <row r="39569" spans="7:7">
      <c r="G39569" s="812"/>
    </row>
    <row r="39570" spans="7:7">
      <c r="G39570" s="812"/>
    </row>
    <row r="39571" spans="7:7">
      <c r="G39571" s="812"/>
    </row>
    <row r="39572" spans="7:7">
      <c r="G39572" s="812"/>
    </row>
    <row r="39573" spans="7:7">
      <c r="G39573" s="812"/>
    </row>
    <row r="39574" spans="7:7">
      <c r="G39574" s="812"/>
    </row>
    <row r="39575" spans="7:7">
      <c r="G39575" s="812"/>
    </row>
    <row r="39576" spans="7:7">
      <c r="G39576" s="812"/>
    </row>
    <row r="39577" spans="7:7">
      <c r="G39577" s="812"/>
    </row>
    <row r="39578" spans="7:7">
      <c r="G39578" s="812"/>
    </row>
    <row r="39579" spans="7:7">
      <c r="G39579" s="812"/>
    </row>
    <row r="39580" spans="7:7">
      <c r="G39580" s="812"/>
    </row>
    <row r="39581" spans="7:7">
      <c r="G39581" s="812"/>
    </row>
    <row r="39582" spans="7:7">
      <c r="G39582" s="812"/>
    </row>
    <row r="39583" spans="7:7">
      <c r="G39583" s="812"/>
    </row>
    <row r="39584" spans="7:7">
      <c r="G39584" s="812"/>
    </row>
    <row r="39585" spans="7:7">
      <c r="G39585" s="812"/>
    </row>
    <row r="39586" spans="7:7">
      <c r="G39586" s="812"/>
    </row>
    <row r="39587" spans="7:7">
      <c r="G39587" s="812"/>
    </row>
    <row r="39588" spans="7:7">
      <c r="G39588" s="812"/>
    </row>
    <row r="39589" spans="7:7">
      <c r="G39589" s="812"/>
    </row>
    <row r="39590" spans="7:7">
      <c r="G39590" s="812"/>
    </row>
    <row r="39591" spans="7:7">
      <c r="G39591" s="812"/>
    </row>
    <row r="39592" spans="7:7">
      <c r="G39592" s="812"/>
    </row>
    <row r="39593" spans="7:7">
      <c r="G39593" s="812"/>
    </row>
    <row r="39594" spans="7:7">
      <c r="G39594" s="812"/>
    </row>
    <row r="39595" spans="7:7">
      <c r="G39595" s="812"/>
    </row>
    <row r="39596" spans="7:7">
      <c r="G39596" s="812"/>
    </row>
    <row r="39597" spans="7:7">
      <c r="G39597" s="812"/>
    </row>
    <row r="39598" spans="7:7">
      <c r="G39598" s="812"/>
    </row>
    <row r="39599" spans="7:7">
      <c r="G39599" s="812"/>
    </row>
    <row r="39600" spans="7:7">
      <c r="G39600" s="812"/>
    </row>
    <row r="39601" spans="7:7">
      <c r="G39601" s="812"/>
    </row>
    <row r="39602" spans="7:7">
      <c r="G39602" s="812"/>
    </row>
    <row r="39603" spans="7:7">
      <c r="G39603" s="812"/>
    </row>
    <row r="39604" spans="7:7">
      <c r="G39604" s="812"/>
    </row>
    <row r="39605" spans="7:7">
      <c r="G39605" s="812"/>
    </row>
    <row r="39606" spans="7:7">
      <c r="G39606" s="812"/>
    </row>
    <row r="39607" spans="7:7">
      <c r="G39607" s="812"/>
    </row>
    <row r="39608" spans="7:7">
      <c r="G39608" s="812"/>
    </row>
    <row r="39609" spans="7:7">
      <c r="G39609" s="812"/>
    </row>
    <row r="39610" spans="7:7">
      <c r="G39610" s="812"/>
    </row>
    <row r="39611" spans="7:7">
      <c r="G39611" s="812"/>
    </row>
    <row r="39612" spans="7:7">
      <c r="G39612" s="812"/>
    </row>
    <row r="39613" spans="7:7">
      <c r="G39613" s="812"/>
    </row>
    <row r="39614" spans="7:7">
      <c r="G39614" s="812"/>
    </row>
    <row r="39615" spans="7:7">
      <c r="G39615" s="812"/>
    </row>
    <row r="39616" spans="7:7">
      <c r="G39616" s="812"/>
    </row>
    <row r="39617" spans="7:7">
      <c r="G39617" s="812"/>
    </row>
    <row r="39618" spans="7:7">
      <c r="G39618" s="812"/>
    </row>
    <row r="39619" spans="7:7">
      <c r="G39619" s="812"/>
    </row>
    <row r="39620" spans="7:7">
      <c r="G39620" s="812"/>
    </row>
    <row r="39621" spans="7:7">
      <c r="G39621" s="812"/>
    </row>
    <row r="39622" spans="7:7">
      <c r="G39622" s="812"/>
    </row>
    <row r="39623" spans="7:7">
      <c r="G39623" s="812"/>
    </row>
    <row r="39624" spans="7:7">
      <c r="G39624" s="812"/>
    </row>
    <row r="39625" spans="7:7">
      <c r="G39625" s="812"/>
    </row>
    <row r="39626" spans="7:7">
      <c r="G39626" s="812"/>
    </row>
    <row r="39627" spans="7:7">
      <c r="G39627" s="812"/>
    </row>
    <row r="39628" spans="7:7">
      <c r="G39628" s="812"/>
    </row>
    <row r="39629" spans="7:7">
      <c r="G39629" s="812"/>
    </row>
    <row r="39630" spans="7:7">
      <c r="G39630" s="812"/>
    </row>
    <row r="39631" spans="7:7">
      <c r="G39631" s="812"/>
    </row>
    <row r="39632" spans="7:7">
      <c r="G39632" s="812"/>
    </row>
    <row r="39633" spans="7:7">
      <c r="G39633" s="812"/>
    </row>
    <row r="39634" spans="7:7">
      <c r="G39634" s="812"/>
    </row>
    <row r="39635" spans="7:7">
      <c r="G39635" s="812"/>
    </row>
    <row r="39636" spans="7:7">
      <c r="G39636" s="812"/>
    </row>
    <row r="39637" spans="7:7">
      <c r="G39637" s="812"/>
    </row>
    <row r="39638" spans="7:7">
      <c r="G39638" s="812"/>
    </row>
    <row r="39639" spans="7:7">
      <c r="G39639" s="812"/>
    </row>
    <row r="39640" spans="7:7">
      <c r="G39640" s="812"/>
    </row>
    <row r="39641" spans="7:7">
      <c r="G39641" s="812"/>
    </row>
    <row r="39642" spans="7:7">
      <c r="G39642" s="812"/>
    </row>
    <row r="39643" spans="7:7">
      <c r="G39643" s="812"/>
    </row>
    <row r="39644" spans="7:7">
      <c r="G39644" s="812"/>
    </row>
    <row r="39645" spans="7:7">
      <c r="G39645" s="812"/>
    </row>
    <row r="39646" spans="7:7">
      <c r="G39646" s="812"/>
    </row>
    <row r="39647" spans="7:7">
      <c r="G39647" s="812"/>
    </row>
    <row r="39648" spans="7:7">
      <c r="G39648" s="812"/>
    </row>
    <row r="39649" spans="7:7">
      <c r="G39649" s="812"/>
    </row>
    <row r="39650" spans="7:7">
      <c r="G39650" s="812"/>
    </row>
    <row r="39651" spans="7:7">
      <c r="G39651" s="812"/>
    </row>
    <row r="39652" spans="7:7">
      <c r="G39652" s="812"/>
    </row>
    <row r="39653" spans="7:7">
      <c r="G39653" s="812"/>
    </row>
    <row r="39654" spans="7:7">
      <c r="G39654" s="812"/>
    </row>
    <row r="39655" spans="7:7">
      <c r="G39655" s="812"/>
    </row>
    <row r="39656" spans="7:7">
      <c r="G39656" s="812"/>
    </row>
    <row r="39657" spans="7:7">
      <c r="G39657" s="812"/>
    </row>
    <row r="39658" spans="7:7">
      <c r="G39658" s="812"/>
    </row>
    <row r="39659" spans="7:7">
      <c r="G39659" s="812"/>
    </row>
    <row r="39660" spans="7:7">
      <c r="G39660" s="812"/>
    </row>
    <row r="39661" spans="7:7">
      <c r="G39661" s="812"/>
    </row>
    <row r="39662" spans="7:7">
      <c r="G39662" s="812"/>
    </row>
    <row r="39663" spans="7:7">
      <c r="G39663" s="812"/>
    </row>
    <row r="39664" spans="7:7">
      <c r="G39664" s="812"/>
    </row>
    <row r="39665" spans="7:7">
      <c r="G39665" s="812"/>
    </row>
    <row r="39666" spans="7:7">
      <c r="G39666" s="812"/>
    </row>
    <row r="39667" spans="7:7">
      <c r="G39667" s="812"/>
    </row>
    <row r="39668" spans="7:7">
      <c r="G39668" s="812"/>
    </row>
    <row r="39669" spans="7:7">
      <c r="G39669" s="812"/>
    </row>
    <row r="39670" spans="7:7">
      <c r="G39670" s="812"/>
    </row>
    <row r="39671" spans="7:7">
      <c r="G39671" s="812"/>
    </row>
    <row r="39672" spans="7:7">
      <c r="G39672" s="812"/>
    </row>
    <row r="39673" spans="7:7">
      <c r="G39673" s="812"/>
    </row>
    <row r="39674" spans="7:7">
      <c r="G39674" s="812"/>
    </row>
    <row r="39675" spans="7:7">
      <c r="G39675" s="812"/>
    </row>
    <row r="39676" spans="7:7">
      <c r="G39676" s="812"/>
    </row>
    <row r="39677" spans="7:7">
      <c r="G39677" s="812"/>
    </row>
    <row r="39678" spans="7:7">
      <c r="G39678" s="812"/>
    </row>
    <row r="39679" spans="7:7">
      <c r="G39679" s="812"/>
    </row>
    <row r="39680" spans="7:7">
      <c r="G39680" s="812"/>
    </row>
    <row r="39681" spans="7:7">
      <c r="G39681" s="812"/>
    </row>
    <row r="39682" spans="7:7">
      <c r="G39682" s="812"/>
    </row>
    <row r="39683" spans="7:7">
      <c r="G39683" s="812"/>
    </row>
    <row r="39684" spans="7:7">
      <c r="G39684" s="812"/>
    </row>
    <row r="39685" spans="7:7">
      <c r="G39685" s="812"/>
    </row>
    <row r="39686" spans="7:7">
      <c r="G39686" s="812"/>
    </row>
    <row r="39687" spans="7:7">
      <c r="G39687" s="812"/>
    </row>
    <row r="39688" spans="7:7">
      <c r="G39688" s="812"/>
    </row>
    <row r="39689" spans="7:7">
      <c r="G39689" s="812"/>
    </row>
    <row r="39690" spans="7:7">
      <c r="G39690" s="812"/>
    </row>
    <row r="39691" spans="7:7">
      <c r="G39691" s="812"/>
    </row>
    <row r="39692" spans="7:7">
      <c r="G39692" s="812"/>
    </row>
    <row r="39693" spans="7:7">
      <c r="G39693" s="812"/>
    </row>
    <row r="39694" spans="7:7">
      <c r="G39694" s="812"/>
    </row>
    <row r="39695" spans="7:7">
      <c r="G39695" s="812"/>
    </row>
    <row r="39696" spans="7:7">
      <c r="G39696" s="812"/>
    </row>
    <row r="39697" spans="7:7">
      <c r="G39697" s="812"/>
    </row>
    <row r="39698" spans="7:7">
      <c r="G39698" s="812"/>
    </row>
    <row r="39699" spans="7:7">
      <c r="G39699" s="812"/>
    </row>
    <row r="39700" spans="7:7">
      <c r="G39700" s="812"/>
    </row>
    <row r="39701" spans="7:7">
      <c r="G39701" s="812"/>
    </row>
    <row r="39702" spans="7:7">
      <c r="G39702" s="812"/>
    </row>
    <row r="39703" spans="7:7">
      <c r="G39703" s="812"/>
    </row>
    <row r="39704" spans="7:7">
      <c r="G39704" s="812"/>
    </row>
    <row r="39705" spans="7:7">
      <c r="G39705" s="812"/>
    </row>
    <row r="39706" spans="7:7">
      <c r="G39706" s="812"/>
    </row>
    <row r="39707" spans="7:7">
      <c r="G39707" s="812"/>
    </row>
    <row r="39708" spans="7:7">
      <c r="G39708" s="812"/>
    </row>
    <row r="39709" spans="7:7">
      <c r="G39709" s="812"/>
    </row>
    <row r="39710" spans="7:7">
      <c r="G39710" s="812"/>
    </row>
    <row r="39711" spans="7:7">
      <c r="G39711" s="812"/>
    </row>
    <row r="39712" spans="7:7">
      <c r="G39712" s="812"/>
    </row>
    <row r="39713" spans="7:7">
      <c r="G39713" s="812"/>
    </row>
    <row r="39714" spans="7:7">
      <c r="G39714" s="812"/>
    </row>
    <row r="39715" spans="7:7">
      <c r="G39715" s="812"/>
    </row>
    <row r="39716" spans="7:7">
      <c r="G39716" s="812"/>
    </row>
    <row r="39717" spans="7:7">
      <c r="G39717" s="812"/>
    </row>
    <row r="39718" spans="7:7">
      <c r="G39718" s="812"/>
    </row>
    <row r="39719" spans="7:7">
      <c r="G39719" s="812"/>
    </row>
    <row r="39720" spans="7:7">
      <c r="G39720" s="812"/>
    </row>
    <row r="39721" spans="7:7">
      <c r="G39721" s="812"/>
    </row>
    <row r="39722" spans="7:7">
      <c r="G39722" s="812"/>
    </row>
    <row r="39723" spans="7:7">
      <c r="G39723" s="812"/>
    </row>
    <row r="39724" spans="7:7">
      <c r="G39724" s="812"/>
    </row>
    <row r="39725" spans="7:7">
      <c r="G39725" s="812"/>
    </row>
    <row r="39726" spans="7:7">
      <c r="G39726" s="812"/>
    </row>
    <row r="39727" spans="7:7">
      <c r="G39727" s="812"/>
    </row>
    <row r="39728" spans="7:7">
      <c r="G39728" s="812"/>
    </row>
    <row r="39729" spans="7:7">
      <c r="G39729" s="812"/>
    </row>
    <row r="39730" spans="7:7">
      <c r="G39730" s="812"/>
    </row>
    <row r="39731" spans="7:7">
      <c r="G39731" s="812"/>
    </row>
    <row r="39732" spans="7:7">
      <c r="G39732" s="812"/>
    </row>
    <row r="39733" spans="7:7">
      <c r="G39733" s="812"/>
    </row>
    <row r="39734" spans="7:7">
      <c r="G39734" s="812"/>
    </row>
    <row r="39735" spans="7:7">
      <c r="G39735" s="812"/>
    </row>
    <row r="39736" spans="7:7">
      <c r="G39736" s="812"/>
    </row>
    <row r="39737" spans="7:7">
      <c r="G39737" s="812"/>
    </row>
    <row r="39738" spans="7:7">
      <c r="G39738" s="812"/>
    </row>
    <row r="39739" spans="7:7">
      <c r="G39739" s="812"/>
    </row>
    <row r="39740" spans="7:7">
      <c r="G39740" s="812"/>
    </row>
    <row r="39741" spans="7:7">
      <c r="G39741" s="812"/>
    </row>
    <row r="39742" spans="7:7">
      <c r="G39742" s="812"/>
    </row>
    <row r="39743" spans="7:7">
      <c r="G39743" s="812"/>
    </row>
    <row r="39744" spans="7:7">
      <c r="G39744" s="812"/>
    </row>
    <row r="39745" spans="7:7">
      <c r="G39745" s="812"/>
    </row>
    <row r="39746" spans="7:7">
      <c r="G39746" s="812"/>
    </row>
    <row r="39747" spans="7:7">
      <c r="G39747" s="812"/>
    </row>
    <row r="39748" spans="7:7">
      <c r="G39748" s="812"/>
    </row>
    <row r="39749" spans="7:7">
      <c r="G39749" s="812"/>
    </row>
    <row r="39750" spans="7:7">
      <c r="G39750" s="812"/>
    </row>
    <row r="39751" spans="7:7">
      <c r="G39751" s="812"/>
    </row>
    <row r="39752" spans="7:7">
      <c r="G39752" s="812"/>
    </row>
    <row r="39753" spans="7:7">
      <c r="G39753" s="812"/>
    </row>
    <row r="39754" spans="7:7">
      <c r="G39754" s="812"/>
    </row>
    <row r="39755" spans="7:7">
      <c r="G39755" s="812"/>
    </row>
    <row r="39756" spans="7:7">
      <c r="G39756" s="812"/>
    </row>
    <row r="39757" spans="7:7">
      <c r="G39757" s="812"/>
    </row>
    <row r="39758" spans="7:7">
      <c r="G39758" s="812"/>
    </row>
    <row r="39759" spans="7:7">
      <c r="G39759" s="812"/>
    </row>
    <row r="39760" spans="7:7">
      <c r="G39760" s="812"/>
    </row>
    <row r="39761" spans="7:7">
      <c r="G39761" s="812"/>
    </row>
    <row r="39762" spans="7:7">
      <c r="G39762" s="812"/>
    </row>
    <row r="39763" spans="7:7">
      <c r="G39763" s="812"/>
    </row>
    <row r="39764" spans="7:7">
      <c r="G39764" s="812"/>
    </row>
    <row r="39765" spans="7:7">
      <c r="G39765" s="812"/>
    </row>
    <row r="39766" spans="7:7">
      <c r="G39766" s="812"/>
    </row>
    <row r="39767" spans="7:7">
      <c r="G39767" s="812"/>
    </row>
    <row r="39768" spans="7:7">
      <c r="G39768" s="812"/>
    </row>
    <row r="39769" spans="7:7">
      <c r="G39769" s="812"/>
    </row>
    <row r="39770" spans="7:7">
      <c r="G39770" s="812"/>
    </row>
    <row r="39771" spans="7:7">
      <c r="G39771" s="812"/>
    </row>
    <row r="39772" spans="7:7">
      <c r="G39772" s="812"/>
    </row>
    <row r="39773" spans="7:7">
      <c r="G39773" s="812"/>
    </row>
    <row r="39774" spans="7:7">
      <c r="G39774" s="812"/>
    </row>
    <row r="39775" spans="7:7">
      <c r="G39775" s="812"/>
    </row>
    <row r="39776" spans="7:7">
      <c r="G39776" s="812"/>
    </row>
    <row r="39777" spans="7:7">
      <c r="G39777" s="812"/>
    </row>
    <row r="39778" spans="7:7">
      <c r="G39778" s="812"/>
    </row>
    <row r="39779" spans="7:7">
      <c r="G39779" s="812"/>
    </row>
    <row r="39780" spans="7:7">
      <c r="G39780" s="812"/>
    </row>
    <row r="39781" spans="7:7">
      <c r="G39781" s="812"/>
    </row>
    <row r="39782" spans="7:7">
      <c r="G39782" s="812"/>
    </row>
    <row r="39783" spans="7:7">
      <c r="G39783" s="812"/>
    </row>
    <row r="39784" spans="7:7">
      <c r="G39784" s="812"/>
    </row>
    <row r="39785" spans="7:7">
      <c r="G39785" s="812"/>
    </row>
    <row r="39786" spans="7:7">
      <c r="G39786" s="812"/>
    </row>
    <row r="39787" spans="7:7">
      <c r="G39787" s="812"/>
    </row>
    <row r="39788" spans="7:7">
      <c r="G39788" s="812"/>
    </row>
    <row r="39789" spans="7:7">
      <c r="G39789" s="812"/>
    </row>
    <row r="39790" spans="7:7">
      <c r="G39790" s="812"/>
    </row>
    <row r="39791" spans="7:7">
      <c r="G39791" s="812"/>
    </row>
    <row r="39792" spans="7:7">
      <c r="G39792" s="812"/>
    </row>
    <row r="39793" spans="7:7">
      <c r="G39793" s="812"/>
    </row>
    <row r="39794" spans="7:7">
      <c r="G39794" s="812"/>
    </row>
    <row r="39795" spans="7:7">
      <c r="G39795" s="812"/>
    </row>
    <row r="39796" spans="7:7">
      <c r="G39796" s="812"/>
    </row>
    <row r="39797" spans="7:7">
      <c r="G39797" s="812"/>
    </row>
    <row r="39798" spans="7:7">
      <c r="G39798" s="812"/>
    </row>
    <row r="39799" spans="7:7">
      <c r="G39799" s="812"/>
    </row>
    <row r="39800" spans="7:7">
      <c r="G39800" s="812"/>
    </row>
    <row r="39801" spans="7:7">
      <c r="G39801" s="812"/>
    </row>
    <row r="39802" spans="7:7">
      <c r="G39802" s="812"/>
    </row>
    <row r="39803" spans="7:7">
      <c r="G39803" s="812"/>
    </row>
    <row r="39804" spans="7:7">
      <c r="G39804" s="812"/>
    </row>
    <row r="39805" spans="7:7">
      <c r="G39805" s="812"/>
    </row>
    <row r="39806" spans="7:7">
      <c r="G39806" s="812"/>
    </row>
    <row r="39807" spans="7:7">
      <c r="G39807" s="812"/>
    </row>
    <row r="39808" spans="7:7">
      <c r="G39808" s="812"/>
    </row>
    <row r="39809" spans="7:7">
      <c r="G39809" s="812"/>
    </row>
    <row r="39810" spans="7:7">
      <c r="G39810" s="812"/>
    </row>
    <row r="39811" spans="7:7">
      <c r="G39811" s="812"/>
    </row>
    <row r="39812" spans="7:7">
      <c r="G39812" s="812"/>
    </row>
    <row r="39813" spans="7:7">
      <c r="G39813" s="812"/>
    </row>
    <row r="39814" spans="7:7">
      <c r="G39814" s="812"/>
    </row>
    <row r="39815" spans="7:7">
      <c r="G39815" s="812"/>
    </row>
    <row r="39816" spans="7:7">
      <c r="G39816" s="812"/>
    </row>
    <row r="39817" spans="7:7">
      <c r="G39817" s="812"/>
    </row>
    <row r="39818" spans="7:7">
      <c r="G39818" s="812"/>
    </row>
    <row r="39819" spans="7:7">
      <c r="G39819" s="812"/>
    </row>
    <row r="39820" spans="7:7">
      <c r="G39820" s="812"/>
    </row>
    <row r="39821" spans="7:7">
      <c r="G39821" s="812"/>
    </row>
    <row r="39822" spans="7:7">
      <c r="G39822" s="812"/>
    </row>
    <row r="39823" spans="7:7">
      <c r="G39823" s="812"/>
    </row>
    <row r="39824" spans="7:7">
      <c r="G39824" s="812"/>
    </row>
    <row r="39825" spans="7:7">
      <c r="G39825" s="812"/>
    </row>
    <row r="39826" spans="7:7">
      <c r="G39826" s="812"/>
    </row>
    <row r="39827" spans="7:7">
      <c r="G39827" s="812"/>
    </row>
    <row r="39828" spans="7:7">
      <c r="G39828" s="812"/>
    </row>
    <row r="39829" spans="7:7">
      <c r="G39829" s="812"/>
    </row>
    <row r="39830" spans="7:7">
      <c r="G39830" s="812"/>
    </row>
    <row r="39831" spans="7:7">
      <c r="G39831" s="812"/>
    </row>
    <row r="39832" spans="7:7">
      <c r="G39832" s="812"/>
    </row>
    <row r="39833" spans="7:7">
      <c r="G39833" s="812"/>
    </row>
    <row r="39834" spans="7:7">
      <c r="G39834" s="812"/>
    </row>
    <row r="39835" spans="7:7">
      <c r="G39835" s="812"/>
    </row>
    <row r="39836" spans="7:7">
      <c r="G39836" s="812"/>
    </row>
    <row r="39837" spans="7:7">
      <c r="G39837" s="812"/>
    </row>
    <row r="39838" spans="7:7">
      <c r="G39838" s="812"/>
    </row>
    <row r="39839" spans="7:7">
      <c r="G39839" s="812"/>
    </row>
    <row r="39840" spans="7:7">
      <c r="G39840" s="812"/>
    </row>
    <row r="39841" spans="7:7">
      <c r="G39841" s="812"/>
    </row>
    <row r="39842" spans="7:7">
      <c r="G39842" s="812"/>
    </row>
    <row r="39843" spans="7:7">
      <c r="G39843" s="812"/>
    </row>
    <row r="39844" spans="7:7">
      <c r="G39844" s="812"/>
    </row>
    <row r="39845" spans="7:7">
      <c r="G39845" s="812"/>
    </row>
    <row r="39846" spans="7:7">
      <c r="G39846" s="812"/>
    </row>
    <row r="39847" spans="7:7">
      <c r="G39847" s="812"/>
    </row>
    <row r="39848" spans="7:7">
      <c r="G39848" s="812"/>
    </row>
    <row r="39849" spans="7:7">
      <c r="G39849" s="812"/>
    </row>
    <row r="39850" spans="7:7">
      <c r="G39850" s="812"/>
    </row>
    <row r="39851" spans="7:7">
      <c r="G39851" s="812"/>
    </row>
    <row r="39852" spans="7:7">
      <c r="G39852" s="812"/>
    </row>
    <row r="39853" spans="7:7">
      <c r="G39853" s="812"/>
    </row>
    <row r="39854" spans="7:7">
      <c r="G39854" s="812"/>
    </row>
    <row r="39855" spans="7:7">
      <c r="G39855" s="812"/>
    </row>
    <row r="39856" spans="7:7">
      <c r="G39856" s="812"/>
    </row>
    <row r="39857" spans="7:7">
      <c r="G39857" s="812"/>
    </row>
    <row r="39858" spans="7:7">
      <c r="G39858" s="812"/>
    </row>
    <row r="39859" spans="7:7">
      <c r="G39859" s="812"/>
    </row>
    <row r="39860" spans="7:7">
      <c r="G39860" s="812"/>
    </row>
    <row r="39861" spans="7:7">
      <c r="G39861" s="812"/>
    </row>
    <row r="39862" spans="7:7">
      <c r="G39862" s="812"/>
    </row>
    <row r="39863" spans="7:7">
      <c r="G39863" s="812"/>
    </row>
    <row r="39864" spans="7:7">
      <c r="G39864" s="812"/>
    </row>
    <row r="39865" spans="7:7">
      <c r="G39865" s="812"/>
    </row>
    <row r="39866" spans="7:7">
      <c r="G39866" s="812"/>
    </row>
    <row r="39867" spans="7:7">
      <c r="G39867" s="812"/>
    </row>
    <row r="39868" spans="7:7">
      <c r="G39868" s="812"/>
    </row>
    <row r="39869" spans="7:7">
      <c r="G39869" s="812"/>
    </row>
    <row r="39870" spans="7:7">
      <c r="G39870" s="812"/>
    </row>
    <row r="39871" spans="7:7">
      <c r="G39871" s="812"/>
    </row>
    <row r="39872" spans="7:7">
      <c r="G39872" s="812"/>
    </row>
    <row r="39873" spans="7:7">
      <c r="G39873" s="812"/>
    </row>
    <row r="39874" spans="7:7">
      <c r="G39874" s="812"/>
    </row>
    <row r="39875" spans="7:7">
      <c r="G39875" s="812"/>
    </row>
    <row r="39876" spans="7:7">
      <c r="G39876" s="812"/>
    </row>
    <row r="39877" spans="7:7">
      <c r="G39877" s="812"/>
    </row>
    <row r="39878" spans="7:7">
      <c r="G39878" s="812"/>
    </row>
    <row r="39879" spans="7:7">
      <c r="G39879" s="812"/>
    </row>
    <row r="39880" spans="7:7">
      <c r="G39880" s="812"/>
    </row>
    <row r="39881" spans="7:7">
      <c r="G39881" s="812"/>
    </row>
    <row r="39882" spans="7:7">
      <c r="G39882" s="812"/>
    </row>
    <row r="39883" spans="7:7">
      <c r="G39883" s="812"/>
    </row>
    <row r="39884" spans="7:7">
      <c r="G39884" s="812"/>
    </row>
    <row r="39885" spans="7:7">
      <c r="G39885" s="812"/>
    </row>
    <row r="39886" spans="7:7">
      <c r="G39886" s="812"/>
    </row>
    <row r="39887" spans="7:7">
      <c r="G39887" s="812"/>
    </row>
    <row r="39888" spans="7:7">
      <c r="G39888" s="812"/>
    </row>
    <row r="39889" spans="7:7">
      <c r="G39889" s="812"/>
    </row>
    <row r="39890" spans="7:7">
      <c r="G39890" s="812"/>
    </row>
    <row r="39891" spans="7:7">
      <c r="G39891" s="812"/>
    </row>
    <row r="39892" spans="7:7">
      <c r="G39892" s="812"/>
    </row>
    <row r="39893" spans="7:7">
      <c r="G39893" s="812"/>
    </row>
    <row r="39894" spans="7:7">
      <c r="G39894" s="812"/>
    </row>
    <row r="39895" spans="7:7">
      <c r="G39895" s="812"/>
    </row>
    <row r="39896" spans="7:7">
      <c r="G39896" s="812"/>
    </row>
    <row r="39897" spans="7:7">
      <c r="G39897" s="812"/>
    </row>
    <row r="39898" spans="7:7">
      <c r="G39898" s="812"/>
    </row>
    <row r="39899" spans="7:7">
      <c r="G39899" s="812"/>
    </row>
    <row r="39900" spans="7:7">
      <c r="G39900" s="812"/>
    </row>
    <row r="39901" spans="7:7">
      <c r="G39901" s="812"/>
    </row>
    <row r="39902" spans="7:7">
      <c r="G39902" s="812"/>
    </row>
    <row r="39903" spans="7:7">
      <c r="G39903" s="812"/>
    </row>
    <row r="39904" spans="7:7">
      <c r="G39904" s="812"/>
    </row>
    <row r="39905" spans="7:7">
      <c r="G39905" s="812"/>
    </row>
    <row r="39906" spans="7:7">
      <c r="G39906" s="812"/>
    </row>
    <row r="39907" spans="7:7">
      <c r="G39907" s="812"/>
    </row>
    <row r="39908" spans="7:7">
      <c r="G39908" s="812"/>
    </row>
    <row r="39909" spans="7:7">
      <c r="G39909" s="812"/>
    </row>
    <row r="39910" spans="7:7">
      <c r="G39910" s="812"/>
    </row>
    <row r="39911" spans="7:7">
      <c r="G39911" s="812"/>
    </row>
    <row r="39912" spans="7:7">
      <c r="G39912" s="812"/>
    </row>
    <row r="39913" spans="7:7">
      <c r="G39913" s="812"/>
    </row>
    <row r="39914" spans="7:7">
      <c r="G39914" s="812"/>
    </row>
    <row r="39915" spans="7:7">
      <c r="G39915" s="812"/>
    </row>
    <row r="39916" spans="7:7">
      <c r="G39916" s="812"/>
    </row>
    <row r="39917" spans="7:7">
      <c r="G39917" s="812"/>
    </row>
    <row r="39918" spans="7:7">
      <c r="G39918" s="812"/>
    </row>
    <row r="39919" spans="7:7">
      <c r="G39919" s="812"/>
    </row>
    <row r="39920" spans="7:7">
      <c r="G39920" s="812"/>
    </row>
    <row r="39921" spans="7:7">
      <c r="G39921" s="812"/>
    </row>
    <row r="39922" spans="7:7">
      <c r="G39922" s="812"/>
    </row>
    <row r="39923" spans="7:7">
      <c r="G39923" s="812"/>
    </row>
    <row r="39924" spans="7:7">
      <c r="G39924" s="812"/>
    </row>
    <row r="39925" spans="7:7">
      <c r="G39925" s="812"/>
    </row>
    <row r="39926" spans="7:7">
      <c r="G39926" s="812"/>
    </row>
    <row r="39927" spans="7:7">
      <c r="G39927" s="812"/>
    </row>
    <row r="39928" spans="7:7">
      <c r="G39928" s="812"/>
    </row>
    <row r="39929" spans="7:7">
      <c r="G39929" s="812"/>
    </row>
    <row r="39930" spans="7:7">
      <c r="G39930" s="812"/>
    </row>
    <row r="39931" spans="7:7">
      <c r="G39931" s="812"/>
    </row>
    <row r="39932" spans="7:7">
      <c r="G39932" s="812"/>
    </row>
    <row r="39933" spans="7:7">
      <c r="G39933" s="812"/>
    </row>
    <row r="39934" spans="7:7">
      <c r="G39934" s="812"/>
    </row>
    <row r="39935" spans="7:7">
      <c r="G39935" s="812"/>
    </row>
    <row r="39936" spans="7:7">
      <c r="G39936" s="812"/>
    </row>
    <row r="39937" spans="7:7">
      <c r="G39937" s="812"/>
    </row>
    <row r="39938" spans="7:7">
      <c r="G39938" s="812"/>
    </row>
    <row r="39939" spans="7:7">
      <c r="G39939" s="812"/>
    </row>
    <row r="39940" spans="7:7">
      <c r="G39940" s="812"/>
    </row>
    <row r="39941" spans="7:7">
      <c r="G39941" s="812"/>
    </row>
    <row r="39942" spans="7:7">
      <c r="G39942" s="812"/>
    </row>
    <row r="39943" spans="7:7">
      <c r="G39943" s="812"/>
    </row>
    <row r="39944" spans="7:7">
      <c r="G39944" s="812"/>
    </row>
    <row r="39945" spans="7:7">
      <c r="G39945" s="812"/>
    </row>
    <row r="39946" spans="7:7">
      <c r="G39946" s="812"/>
    </row>
    <row r="39947" spans="7:7">
      <c r="G39947" s="812"/>
    </row>
    <row r="39948" spans="7:7">
      <c r="G39948" s="812"/>
    </row>
    <row r="39949" spans="7:7">
      <c r="G39949" s="812"/>
    </row>
    <row r="39950" spans="7:7">
      <c r="G39950" s="812"/>
    </row>
    <row r="39951" spans="7:7">
      <c r="G39951" s="812"/>
    </row>
    <row r="39952" spans="7:7">
      <c r="G39952" s="812"/>
    </row>
    <row r="39953" spans="7:7">
      <c r="G39953" s="812"/>
    </row>
    <row r="39954" spans="7:7">
      <c r="G39954" s="812"/>
    </row>
    <row r="39955" spans="7:7">
      <c r="G39955" s="812"/>
    </row>
    <row r="39956" spans="7:7">
      <c r="G39956" s="812"/>
    </row>
    <row r="39957" spans="7:7">
      <c r="G39957" s="812"/>
    </row>
    <row r="39958" spans="7:7">
      <c r="G39958" s="812"/>
    </row>
    <row r="39959" spans="7:7">
      <c r="G39959" s="812"/>
    </row>
    <row r="39960" spans="7:7">
      <c r="G39960" s="812"/>
    </row>
    <row r="39961" spans="7:7">
      <c r="G39961" s="812"/>
    </row>
    <row r="39962" spans="7:7">
      <c r="G39962" s="812"/>
    </row>
    <row r="39963" spans="7:7">
      <c r="G39963" s="812"/>
    </row>
    <row r="39964" spans="7:7">
      <c r="G39964" s="812"/>
    </row>
    <row r="39965" spans="7:7">
      <c r="G39965" s="812"/>
    </row>
    <row r="39966" spans="7:7">
      <c r="G39966" s="812"/>
    </row>
    <row r="39967" spans="7:7">
      <c r="G39967" s="812"/>
    </row>
    <row r="39968" spans="7:7">
      <c r="G39968" s="812"/>
    </row>
    <row r="39969" spans="7:7">
      <c r="G39969" s="812"/>
    </row>
    <row r="39970" spans="7:7">
      <c r="G39970" s="812"/>
    </row>
    <row r="39971" spans="7:7">
      <c r="G39971" s="812"/>
    </row>
    <row r="39972" spans="7:7">
      <c r="G39972" s="812"/>
    </row>
    <row r="39973" spans="7:7">
      <c r="G39973" s="812"/>
    </row>
    <row r="39974" spans="7:7">
      <c r="G39974" s="812"/>
    </row>
    <row r="39975" spans="7:7">
      <c r="G39975" s="812"/>
    </row>
    <row r="39976" spans="7:7">
      <c r="G39976" s="812"/>
    </row>
    <row r="39977" spans="7:7">
      <c r="G39977" s="812"/>
    </row>
    <row r="39978" spans="7:7">
      <c r="G39978" s="812"/>
    </row>
    <row r="39979" spans="7:7">
      <c r="G39979" s="812"/>
    </row>
    <row r="39980" spans="7:7">
      <c r="G39980" s="812"/>
    </row>
    <row r="39981" spans="7:7">
      <c r="G39981" s="812"/>
    </row>
    <row r="39982" spans="7:7">
      <c r="G39982" s="812"/>
    </row>
    <row r="39983" spans="7:7">
      <c r="G39983" s="812"/>
    </row>
    <row r="39984" spans="7:7">
      <c r="G39984" s="812"/>
    </row>
    <row r="39985" spans="7:7">
      <c r="G39985" s="812"/>
    </row>
    <row r="39986" spans="7:7">
      <c r="G39986" s="812"/>
    </row>
    <row r="39987" spans="7:7">
      <c r="G39987" s="812"/>
    </row>
    <row r="39988" spans="7:7">
      <c r="G39988" s="812"/>
    </row>
    <row r="39989" spans="7:7">
      <c r="G39989" s="812"/>
    </row>
    <row r="39990" spans="7:7">
      <c r="G39990" s="812"/>
    </row>
    <row r="39991" spans="7:7">
      <c r="G39991" s="812"/>
    </row>
    <row r="39992" spans="7:7">
      <c r="G39992" s="812"/>
    </row>
    <row r="39993" spans="7:7">
      <c r="G39993" s="812"/>
    </row>
    <row r="39994" spans="7:7">
      <c r="G39994" s="812"/>
    </row>
    <row r="39995" spans="7:7">
      <c r="G39995" s="812"/>
    </row>
    <row r="39996" spans="7:7">
      <c r="G39996" s="812"/>
    </row>
    <row r="39997" spans="7:7">
      <c r="G39997" s="812"/>
    </row>
    <row r="39998" spans="7:7">
      <c r="G39998" s="812"/>
    </row>
    <row r="39999" spans="7:7">
      <c r="G39999" s="812"/>
    </row>
    <row r="40000" spans="7:7">
      <c r="G40000" s="812"/>
    </row>
    <row r="40001" spans="7:7">
      <c r="G40001" s="812"/>
    </row>
    <row r="40002" spans="7:7">
      <c r="G40002" s="812"/>
    </row>
    <row r="40003" spans="7:7">
      <c r="G40003" s="812"/>
    </row>
    <row r="40004" spans="7:7">
      <c r="G40004" s="812"/>
    </row>
    <row r="40005" spans="7:7">
      <c r="G40005" s="812"/>
    </row>
    <row r="40006" spans="7:7">
      <c r="G40006" s="812"/>
    </row>
    <row r="40007" spans="7:7">
      <c r="G40007" s="812"/>
    </row>
    <row r="40008" spans="7:7">
      <c r="G40008" s="812"/>
    </row>
    <row r="40009" spans="7:7">
      <c r="G40009" s="812"/>
    </row>
    <row r="40010" spans="7:7">
      <c r="G40010" s="812"/>
    </row>
    <row r="40011" spans="7:7">
      <c r="G40011" s="812"/>
    </row>
    <row r="40012" spans="7:7">
      <c r="G40012" s="812"/>
    </row>
    <row r="40013" spans="7:7">
      <c r="G40013" s="812"/>
    </row>
    <row r="40014" spans="7:7">
      <c r="G40014" s="812"/>
    </row>
    <row r="40015" spans="7:7">
      <c r="G40015" s="812"/>
    </row>
    <row r="40016" spans="7:7">
      <c r="G40016" s="812"/>
    </row>
    <row r="40017" spans="7:7">
      <c r="G40017" s="812"/>
    </row>
    <row r="40018" spans="7:7">
      <c r="G40018" s="812"/>
    </row>
    <row r="40019" spans="7:7">
      <c r="G40019" s="812"/>
    </row>
    <row r="40020" spans="7:7">
      <c r="G40020" s="812"/>
    </row>
    <row r="40021" spans="7:7">
      <c r="G40021" s="812"/>
    </row>
    <row r="40022" spans="7:7">
      <c r="G40022" s="812"/>
    </row>
    <row r="40023" spans="7:7">
      <c r="G40023" s="812"/>
    </row>
    <row r="40024" spans="7:7">
      <c r="G40024" s="812"/>
    </row>
    <row r="40025" spans="7:7">
      <c r="G40025" s="812"/>
    </row>
    <row r="40026" spans="7:7">
      <c r="G40026" s="812"/>
    </row>
    <row r="40027" spans="7:7">
      <c r="G40027" s="812"/>
    </row>
    <row r="40028" spans="7:7">
      <c r="G40028" s="812"/>
    </row>
    <row r="40029" spans="7:7">
      <c r="G40029" s="812"/>
    </row>
    <row r="40030" spans="7:7">
      <c r="G40030" s="812"/>
    </row>
    <row r="40031" spans="7:7">
      <c r="G40031" s="812"/>
    </row>
    <row r="40032" spans="7:7">
      <c r="G40032" s="812"/>
    </row>
    <row r="40033" spans="7:7">
      <c r="G40033" s="812"/>
    </row>
    <row r="40034" spans="7:7">
      <c r="G40034" s="812"/>
    </row>
    <row r="40035" spans="7:7">
      <c r="G40035" s="812"/>
    </row>
    <row r="40036" spans="7:7">
      <c r="G40036" s="812"/>
    </row>
    <row r="40037" spans="7:7">
      <c r="G40037" s="812"/>
    </row>
    <row r="40038" spans="7:7">
      <c r="G40038" s="812"/>
    </row>
    <row r="40039" spans="7:7">
      <c r="G40039" s="812"/>
    </row>
    <row r="40040" spans="7:7">
      <c r="G40040" s="812"/>
    </row>
    <row r="40041" spans="7:7">
      <c r="G40041" s="812"/>
    </row>
    <row r="40042" spans="7:7">
      <c r="G40042" s="812"/>
    </row>
    <row r="40043" spans="7:7">
      <c r="G40043" s="812"/>
    </row>
    <row r="40044" spans="7:7">
      <c r="G40044" s="812"/>
    </row>
    <row r="40045" spans="7:7">
      <c r="G40045" s="812"/>
    </row>
    <row r="40046" spans="7:7">
      <c r="G40046" s="812"/>
    </row>
    <row r="40047" spans="7:7">
      <c r="G40047" s="812"/>
    </row>
    <row r="40048" spans="7:7">
      <c r="G40048" s="812"/>
    </row>
    <row r="40049" spans="7:7">
      <c r="G40049" s="812"/>
    </row>
    <row r="40050" spans="7:7">
      <c r="G40050" s="812"/>
    </row>
    <row r="40051" spans="7:7">
      <c r="G40051" s="812"/>
    </row>
    <row r="40052" spans="7:7">
      <c r="G40052" s="812"/>
    </row>
    <row r="40053" spans="7:7">
      <c r="G40053" s="812"/>
    </row>
    <row r="40054" spans="7:7">
      <c r="G40054" s="812"/>
    </row>
    <row r="40055" spans="7:7">
      <c r="G40055" s="812"/>
    </row>
    <row r="40056" spans="7:7">
      <c r="G40056" s="812"/>
    </row>
    <row r="40057" spans="7:7">
      <c r="G40057" s="812"/>
    </row>
    <row r="40058" spans="7:7">
      <c r="G40058" s="812"/>
    </row>
    <row r="40059" spans="7:7">
      <c r="G40059" s="812"/>
    </row>
    <row r="40060" spans="7:7">
      <c r="G40060" s="812"/>
    </row>
    <row r="40061" spans="7:7">
      <c r="G40061" s="812"/>
    </row>
    <row r="40062" spans="7:7">
      <c r="G40062" s="812"/>
    </row>
    <row r="40063" spans="7:7">
      <c r="G40063" s="812"/>
    </row>
    <row r="40064" spans="7:7">
      <c r="G40064" s="812"/>
    </row>
    <row r="40065" spans="7:7">
      <c r="G40065" s="812"/>
    </row>
    <row r="40066" spans="7:7">
      <c r="G40066" s="812"/>
    </row>
    <row r="40067" spans="7:7">
      <c r="G40067" s="812"/>
    </row>
    <row r="40068" spans="7:7">
      <c r="G40068" s="812"/>
    </row>
    <row r="40069" spans="7:7">
      <c r="G40069" s="812"/>
    </row>
    <row r="40070" spans="7:7">
      <c r="G40070" s="812"/>
    </row>
    <row r="40071" spans="7:7">
      <c r="G40071" s="812"/>
    </row>
    <row r="40072" spans="7:7">
      <c r="G40072" s="812"/>
    </row>
    <row r="40073" spans="7:7">
      <c r="G40073" s="812"/>
    </row>
    <row r="40074" spans="7:7">
      <c r="G40074" s="812"/>
    </row>
    <row r="40075" spans="7:7">
      <c r="G40075" s="812"/>
    </row>
    <row r="40076" spans="7:7">
      <c r="G40076" s="812"/>
    </row>
    <row r="40077" spans="7:7">
      <c r="G40077" s="812"/>
    </row>
    <row r="40078" spans="7:7">
      <c r="G40078" s="812"/>
    </row>
    <row r="40079" spans="7:7">
      <c r="G40079" s="812"/>
    </row>
    <row r="40080" spans="7:7">
      <c r="G40080" s="812"/>
    </row>
    <row r="40081" spans="7:7">
      <c r="G40081" s="812"/>
    </row>
    <row r="40082" spans="7:7">
      <c r="G40082" s="812"/>
    </row>
    <row r="40083" spans="7:7">
      <c r="G40083" s="812"/>
    </row>
    <row r="40084" spans="7:7">
      <c r="G40084" s="812"/>
    </row>
    <row r="40085" spans="7:7">
      <c r="G40085" s="812"/>
    </row>
    <row r="40086" spans="7:7">
      <c r="G40086" s="812"/>
    </row>
    <row r="40087" spans="7:7">
      <c r="G40087" s="812"/>
    </row>
    <row r="40088" spans="7:7">
      <c r="G40088" s="812"/>
    </row>
    <row r="40089" spans="7:7">
      <c r="G40089" s="812"/>
    </row>
    <row r="40090" spans="7:7">
      <c r="G40090" s="812"/>
    </row>
    <row r="40091" spans="7:7">
      <c r="G40091" s="812"/>
    </row>
    <row r="40092" spans="7:7">
      <c r="G40092" s="812"/>
    </row>
    <row r="40093" spans="7:7">
      <c r="G40093" s="812"/>
    </row>
    <row r="40094" spans="7:7">
      <c r="G40094" s="812"/>
    </row>
    <row r="40095" spans="7:7">
      <c r="G40095" s="812"/>
    </row>
    <row r="40096" spans="7:7">
      <c r="G40096" s="812"/>
    </row>
    <row r="40097" spans="7:7">
      <c r="G40097" s="812"/>
    </row>
    <row r="40098" spans="7:7">
      <c r="G40098" s="812"/>
    </row>
    <row r="40099" spans="7:7">
      <c r="G40099" s="812"/>
    </row>
    <row r="40100" spans="7:7">
      <c r="G40100" s="812"/>
    </row>
    <row r="40101" spans="7:7">
      <c r="G40101" s="812"/>
    </row>
    <row r="40102" spans="7:7">
      <c r="G40102" s="812"/>
    </row>
    <row r="40103" spans="7:7">
      <c r="G40103" s="812"/>
    </row>
    <row r="40104" spans="7:7">
      <c r="G40104" s="812"/>
    </row>
    <row r="40105" spans="7:7">
      <c r="G40105" s="812"/>
    </row>
    <row r="40106" spans="7:7">
      <c r="G40106" s="812"/>
    </row>
    <row r="40107" spans="7:7">
      <c r="G40107" s="812"/>
    </row>
    <row r="40108" spans="7:7">
      <c r="G40108" s="812"/>
    </row>
    <row r="40109" spans="7:7">
      <c r="G40109" s="812"/>
    </row>
    <row r="40110" spans="7:7">
      <c r="G40110" s="812"/>
    </row>
    <row r="40111" spans="7:7">
      <c r="G40111" s="812"/>
    </row>
    <row r="40112" spans="7:7">
      <c r="G40112" s="812"/>
    </row>
    <row r="40113" spans="7:7">
      <c r="G40113" s="812"/>
    </row>
    <row r="40114" spans="7:7">
      <c r="G40114" s="812"/>
    </row>
    <row r="40115" spans="7:7">
      <c r="G40115" s="812"/>
    </row>
    <row r="40116" spans="7:7">
      <c r="G40116" s="812"/>
    </row>
    <row r="40117" spans="7:7">
      <c r="G40117" s="812"/>
    </row>
    <row r="40118" spans="7:7">
      <c r="G40118" s="812"/>
    </row>
    <row r="40119" spans="7:7">
      <c r="G40119" s="812"/>
    </row>
    <row r="40120" spans="7:7">
      <c r="G40120" s="812"/>
    </row>
    <row r="40121" spans="7:7">
      <c r="G40121" s="812"/>
    </row>
    <row r="40122" spans="7:7">
      <c r="G40122" s="812"/>
    </row>
    <row r="40123" spans="7:7">
      <c r="G40123" s="812"/>
    </row>
    <row r="40124" spans="7:7">
      <c r="G40124" s="812"/>
    </row>
    <row r="40125" spans="7:7">
      <c r="G40125" s="812"/>
    </row>
    <row r="40126" spans="7:7">
      <c r="G40126" s="812"/>
    </row>
    <row r="40127" spans="7:7">
      <c r="G40127" s="812"/>
    </row>
    <row r="40128" spans="7:7">
      <c r="G40128" s="812"/>
    </row>
    <row r="40129" spans="7:7">
      <c r="G40129" s="812"/>
    </row>
    <row r="40130" spans="7:7">
      <c r="G40130" s="812"/>
    </row>
    <row r="40131" spans="7:7">
      <c r="G40131" s="812"/>
    </row>
    <row r="40132" spans="7:7">
      <c r="G40132" s="812"/>
    </row>
    <row r="40133" spans="7:7">
      <c r="G40133" s="812"/>
    </row>
    <row r="40134" spans="7:7">
      <c r="G40134" s="812"/>
    </row>
    <row r="40135" spans="7:7">
      <c r="G40135" s="812"/>
    </row>
    <row r="40136" spans="7:7">
      <c r="G40136" s="812"/>
    </row>
    <row r="40137" spans="7:7">
      <c r="G40137" s="812"/>
    </row>
    <row r="40138" spans="7:7">
      <c r="G40138" s="812"/>
    </row>
    <row r="40139" spans="7:7">
      <c r="G40139" s="812"/>
    </row>
    <row r="40140" spans="7:7">
      <c r="G40140" s="812"/>
    </row>
    <row r="40141" spans="7:7">
      <c r="G40141" s="812"/>
    </row>
    <row r="40142" spans="7:7">
      <c r="G40142" s="812"/>
    </row>
    <row r="40143" spans="7:7">
      <c r="G40143" s="812"/>
    </row>
    <row r="40144" spans="7:7">
      <c r="G40144" s="812"/>
    </row>
    <row r="40145" spans="7:7">
      <c r="G40145" s="812"/>
    </row>
    <row r="40146" spans="7:7">
      <c r="G40146" s="812"/>
    </row>
    <row r="40147" spans="7:7">
      <c r="G40147" s="812"/>
    </row>
    <row r="40148" spans="7:7">
      <c r="G40148" s="812"/>
    </row>
    <row r="40149" spans="7:7">
      <c r="G40149" s="812"/>
    </row>
    <row r="40150" spans="7:7">
      <c r="G40150" s="812"/>
    </row>
    <row r="40151" spans="7:7">
      <c r="G40151" s="812"/>
    </row>
    <row r="40152" spans="7:7">
      <c r="G40152" s="812"/>
    </row>
    <row r="40153" spans="7:7">
      <c r="G40153" s="812"/>
    </row>
    <row r="40154" spans="7:7">
      <c r="G40154" s="812"/>
    </row>
    <row r="40155" spans="7:7">
      <c r="G40155" s="812"/>
    </row>
    <row r="40156" spans="7:7">
      <c r="G40156" s="812"/>
    </row>
    <row r="40157" spans="7:7">
      <c r="G40157" s="812"/>
    </row>
    <row r="40158" spans="7:7">
      <c r="G40158" s="812"/>
    </row>
    <row r="40159" spans="7:7">
      <c r="G40159" s="812"/>
    </row>
    <row r="40160" spans="7:7">
      <c r="G40160" s="812"/>
    </row>
    <row r="40161" spans="7:7">
      <c r="G40161" s="812"/>
    </row>
    <row r="40162" spans="7:7">
      <c r="G40162" s="812"/>
    </row>
    <row r="40163" spans="7:7">
      <c r="G40163" s="812"/>
    </row>
    <row r="40164" spans="7:7">
      <c r="G40164" s="812"/>
    </row>
    <row r="40165" spans="7:7">
      <c r="G40165" s="812"/>
    </row>
    <row r="40166" spans="7:7">
      <c r="G40166" s="812"/>
    </row>
    <row r="40167" spans="7:7">
      <c r="G40167" s="812"/>
    </row>
    <row r="40168" spans="7:7">
      <c r="G40168" s="812"/>
    </row>
    <row r="40169" spans="7:7">
      <c r="G40169" s="812"/>
    </row>
    <row r="40170" spans="7:7">
      <c r="G40170" s="812"/>
    </row>
    <row r="40171" spans="7:7">
      <c r="G40171" s="812"/>
    </row>
    <row r="40172" spans="7:7">
      <c r="G40172" s="812"/>
    </row>
    <row r="40173" spans="7:7">
      <c r="G40173" s="812"/>
    </row>
    <row r="40174" spans="7:7">
      <c r="G40174" s="812"/>
    </row>
    <row r="40175" spans="7:7">
      <c r="G40175" s="812"/>
    </row>
    <row r="40176" spans="7:7">
      <c r="G40176" s="812"/>
    </row>
    <row r="40177" spans="7:7">
      <c r="G40177" s="812"/>
    </row>
    <row r="40178" spans="7:7">
      <c r="G40178" s="812"/>
    </row>
    <row r="40179" spans="7:7">
      <c r="G40179" s="812"/>
    </row>
    <row r="40180" spans="7:7">
      <c r="G40180" s="812"/>
    </row>
    <row r="40181" spans="7:7">
      <c r="G40181" s="812"/>
    </row>
    <row r="40182" spans="7:7">
      <c r="G40182" s="812"/>
    </row>
    <row r="40183" spans="7:7">
      <c r="G40183" s="812"/>
    </row>
    <row r="40184" spans="7:7">
      <c r="G40184" s="812"/>
    </row>
    <row r="40185" spans="7:7">
      <c r="G40185" s="812"/>
    </row>
    <row r="40186" spans="7:7">
      <c r="G40186" s="812"/>
    </row>
    <row r="40187" spans="7:7">
      <c r="G40187" s="812"/>
    </row>
    <row r="40188" spans="7:7">
      <c r="G40188" s="812"/>
    </row>
    <row r="40189" spans="7:7">
      <c r="G40189" s="812"/>
    </row>
    <row r="40190" spans="7:7">
      <c r="G40190" s="812"/>
    </row>
    <row r="40191" spans="7:7">
      <c r="G40191" s="812"/>
    </row>
    <row r="40192" spans="7:7">
      <c r="G40192" s="812"/>
    </row>
    <row r="40193" spans="7:7">
      <c r="G40193" s="812"/>
    </row>
    <row r="40194" spans="7:7">
      <c r="G40194" s="812"/>
    </row>
    <row r="40195" spans="7:7">
      <c r="G40195" s="812"/>
    </row>
    <row r="40196" spans="7:7">
      <c r="G40196" s="812"/>
    </row>
    <row r="40197" spans="7:7">
      <c r="G40197" s="812"/>
    </row>
    <row r="40198" spans="7:7">
      <c r="G40198" s="812"/>
    </row>
    <row r="40199" spans="7:7">
      <c r="G40199" s="812"/>
    </row>
    <row r="40200" spans="7:7">
      <c r="G40200" s="812"/>
    </row>
    <row r="40201" spans="7:7">
      <c r="G40201" s="812"/>
    </row>
    <row r="40202" spans="7:7">
      <c r="G40202" s="812"/>
    </row>
    <row r="40203" spans="7:7">
      <c r="G40203" s="812"/>
    </row>
    <row r="40204" spans="7:7">
      <c r="G40204" s="812"/>
    </row>
    <row r="40205" spans="7:7">
      <c r="G40205" s="812"/>
    </row>
    <row r="40206" spans="7:7">
      <c r="G40206" s="812"/>
    </row>
    <row r="40207" spans="7:7">
      <c r="G40207" s="812"/>
    </row>
    <row r="40208" spans="7:7">
      <c r="G40208" s="812"/>
    </row>
    <row r="40209" spans="7:7">
      <c r="G40209" s="812"/>
    </row>
    <row r="40210" spans="7:7">
      <c r="G40210" s="812"/>
    </row>
    <row r="40211" spans="7:7">
      <c r="G40211" s="812"/>
    </row>
    <row r="40212" spans="7:7">
      <c r="G40212" s="812"/>
    </row>
    <row r="40213" spans="7:7">
      <c r="G40213" s="812"/>
    </row>
    <row r="40214" spans="7:7">
      <c r="G40214" s="812"/>
    </row>
    <row r="40215" spans="7:7">
      <c r="G40215" s="812"/>
    </row>
    <row r="40216" spans="7:7">
      <c r="G40216" s="812"/>
    </row>
    <row r="40217" spans="7:7">
      <c r="G40217" s="812"/>
    </row>
    <row r="40218" spans="7:7">
      <c r="G40218" s="812"/>
    </row>
    <row r="40219" spans="7:7">
      <c r="G40219" s="812"/>
    </row>
    <row r="40220" spans="7:7">
      <c r="G40220" s="812"/>
    </row>
    <row r="40221" spans="7:7">
      <c r="G40221" s="812"/>
    </row>
    <row r="40222" spans="7:7">
      <c r="G40222" s="812"/>
    </row>
    <row r="40223" spans="7:7">
      <c r="G40223" s="812"/>
    </row>
    <row r="40224" spans="7:7">
      <c r="G40224" s="812"/>
    </row>
    <row r="40225" spans="7:7">
      <c r="G40225" s="812"/>
    </row>
    <row r="40226" spans="7:7">
      <c r="G40226" s="812"/>
    </row>
    <row r="40227" spans="7:7">
      <c r="G40227" s="812"/>
    </row>
    <row r="40228" spans="7:7">
      <c r="G40228" s="812"/>
    </row>
    <row r="40229" spans="7:7">
      <c r="G40229" s="812"/>
    </row>
    <row r="40230" spans="7:7">
      <c r="G40230" s="812"/>
    </row>
    <row r="40231" spans="7:7">
      <c r="G40231" s="812"/>
    </row>
    <row r="40232" spans="7:7">
      <c r="G40232" s="812"/>
    </row>
    <row r="40233" spans="7:7">
      <c r="G40233" s="812"/>
    </row>
    <row r="40234" spans="7:7">
      <c r="G40234" s="812"/>
    </row>
    <row r="40235" spans="7:7">
      <c r="G40235" s="812"/>
    </row>
    <row r="40236" spans="7:7">
      <c r="G40236" s="812"/>
    </row>
    <row r="40237" spans="7:7">
      <c r="G40237" s="812"/>
    </row>
    <row r="40238" spans="7:7">
      <c r="G40238" s="812"/>
    </row>
    <row r="40239" spans="7:7">
      <c r="G40239" s="812"/>
    </row>
    <row r="40240" spans="7:7">
      <c r="G40240" s="812"/>
    </row>
    <row r="40241" spans="7:7">
      <c r="G40241" s="812"/>
    </row>
    <row r="40242" spans="7:7">
      <c r="G40242" s="812"/>
    </row>
    <row r="40243" spans="7:7">
      <c r="G40243" s="812"/>
    </row>
    <row r="40244" spans="7:7">
      <c r="G40244" s="812"/>
    </row>
    <row r="40245" spans="7:7">
      <c r="G40245" s="812"/>
    </row>
    <row r="40246" spans="7:7">
      <c r="G40246" s="812"/>
    </row>
    <row r="40247" spans="7:7">
      <c r="G40247" s="812"/>
    </row>
    <row r="40248" spans="7:7">
      <c r="G40248" s="812"/>
    </row>
    <row r="40249" spans="7:7">
      <c r="G40249" s="812"/>
    </row>
    <row r="40250" spans="7:7">
      <c r="G40250" s="812"/>
    </row>
    <row r="40251" spans="7:7">
      <c r="G40251" s="812"/>
    </row>
    <row r="40252" spans="7:7">
      <c r="G40252" s="812"/>
    </row>
    <row r="40253" spans="7:7">
      <c r="G40253" s="812"/>
    </row>
    <row r="40254" spans="7:7">
      <c r="G40254" s="812"/>
    </row>
    <row r="40255" spans="7:7">
      <c r="G40255" s="812"/>
    </row>
    <row r="40256" spans="7:7">
      <c r="G40256" s="812"/>
    </row>
    <row r="40257" spans="7:7">
      <c r="G40257" s="812"/>
    </row>
    <row r="40258" spans="7:7">
      <c r="G40258" s="812"/>
    </row>
    <row r="40259" spans="7:7">
      <c r="G40259" s="812"/>
    </row>
    <row r="40260" spans="7:7">
      <c r="G40260" s="812"/>
    </row>
    <row r="40261" spans="7:7">
      <c r="G40261" s="812"/>
    </row>
    <row r="40262" spans="7:7">
      <c r="G40262" s="812"/>
    </row>
    <row r="40263" spans="7:7">
      <c r="G40263" s="812"/>
    </row>
    <row r="40264" spans="7:7">
      <c r="G40264" s="812"/>
    </row>
    <row r="40265" spans="7:7">
      <c r="G40265" s="812"/>
    </row>
    <row r="40266" spans="7:7">
      <c r="G40266" s="812"/>
    </row>
    <row r="40267" spans="7:7">
      <c r="G40267" s="812"/>
    </row>
    <row r="40268" spans="7:7">
      <c r="G40268" s="812"/>
    </row>
    <row r="40269" spans="7:7">
      <c r="G40269" s="812"/>
    </row>
    <row r="40270" spans="7:7">
      <c r="G40270" s="812"/>
    </row>
    <row r="40271" spans="7:7">
      <c r="G40271" s="812"/>
    </row>
    <row r="40272" spans="7:7">
      <c r="G40272" s="812"/>
    </row>
    <row r="40273" spans="7:7">
      <c r="G40273" s="812"/>
    </row>
    <row r="40274" spans="7:7">
      <c r="G40274" s="812"/>
    </row>
    <row r="40275" spans="7:7">
      <c r="G40275" s="812"/>
    </row>
    <row r="40276" spans="7:7">
      <c r="G40276" s="812"/>
    </row>
    <row r="40277" spans="7:7">
      <c r="G40277" s="812"/>
    </row>
    <row r="40278" spans="7:7">
      <c r="G40278" s="812"/>
    </row>
    <row r="40279" spans="7:7">
      <c r="G40279" s="812"/>
    </row>
    <row r="40280" spans="7:7">
      <c r="G40280" s="812"/>
    </row>
    <row r="40281" spans="7:7">
      <c r="G40281" s="812"/>
    </row>
    <row r="40282" spans="7:7">
      <c r="G40282" s="812"/>
    </row>
    <row r="40283" spans="7:7">
      <c r="G40283" s="812"/>
    </row>
    <row r="40284" spans="7:7">
      <c r="G40284" s="812"/>
    </row>
    <row r="40285" spans="7:7">
      <c r="G40285" s="812"/>
    </row>
    <row r="40286" spans="7:7">
      <c r="G40286" s="812"/>
    </row>
    <row r="40287" spans="7:7">
      <c r="G40287" s="812"/>
    </row>
    <row r="40288" spans="7:7">
      <c r="G40288" s="812"/>
    </row>
    <row r="40289" spans="7:7">
      <c r="G40289" s="812"/>
    </row>
    <row r="40290" spans="7:7">
      <c r="G40290" s="812"/>
    </row>
    <row r="40291" spans="7:7">
      <c r="G40291" s="812"/>
    </row>
    <row r="40292" spans="7:7">
      <c r="G40292" s="812"/>
    </row>
    <row r="40293" spans="7:7">
      <c r="G40293" s="812"/>
    </row>
    <row r="40294" spans="7:7">
      <c r="G40294" s="812"/>
    </row>
    <row r="40295" spans="7:7">
      <c r="G40295" s="812"/>
    </row>
    <row r="40296" spans="7:7">
      <c r="G40296" s="812"/>
    </row>
    <row r="40297" spans="7:7">
      <c r="G40297" s="812"/>
    </row>
    <row r="40298" spans="7:7">
      <c r="G40298" s="812"/>
    </row>
    <row r="40299" spans="7:7">
      <c r="G40299" s="812"/>
    </row>
    <row r="40300" spans="7:7">
      <c r="G40300" s="812"/>
    </row>
    <row r="40301" spans="7:7">
      <c r="G40301" s="812"/>
    </row>
    <row r="40302" spans="7:7">
      <c r="G40302" s="812"/>
    </row>
    <row r="40303" spans="7:7">
      <c r="G40303" s="812"/>
    </row>
    <row r="40304" spans="7:7">
      <c r="G40304" s="812"/>
    </row>
    <row r="40305" spans="7:7">
      <c r="G40305" s="812"/>
    </row>
    <row r="40306" spans="7:7">
      <c r="G40306" s="812"/>
    </row>
    <row r="40307" spans="7:7">
      <c r="G40307" s="812"/>
    </row>
    <row r="40308" spans="7:7">
      <c r="G40308" s="812"/>
    </row>
    <row r="40309" spans="7:7">
      <c r="G40309" s="812"/>
    </row>
    <row r="40310" spans="7:7">
      <c r="G40310" s="812"/>
    </row>
    <row r="40311" spans="7:7">
      <c r="G40311" s="812"/>
    </row>
    <row r="40312" spans="7:7">
      <c r="G40312" s="812"/>
    </row>
    <row r="40313" spans="7:7">
      <c r="G40313" s="812"/>
    </row>
    <row r="40314" spans="7:7">
      <c r="G40314" s="812"/>
    </row>
    <row r="40315" spans="7:7">
      <c r="G40315" s="812"/>
    </row>
    <row r="40316" spans="7:7">
      <c r="G40316" s="812"/>
    </row>
    <row r="40317" spans="7:7">
      <c r="G40317" s="812"/>
    </row>
    <row r="40318" spans="7:7">
      <c r="G40318" s="812"/>
    </row>
    <row r="40319" spans="7:7">
      <c r="G40319" s="812"/>
    </row>
    <row r="40320" spans="7:7">
      <c r="G40320" s="812"/>
    </row>
    <row r="40321" spans="7:7">
      <c r="G40321" s="812"/>
    </row>
    <row r="40322" spans="7:7">
      <c r="G40322" s="812"/>
    </row>
    <row r="40323" spans="7:7">
      <c r="G40323" s="812"/>
    </row>
    <row r="40324" spans="7:7">
      <c r="G40324" s="812"/>
    </row>
    <row r="40325" spans="7:7">
      <c r="G40325" s="812"/>
    </row>
    <row r="40326" spans="7:7">
      <c r="G40326" s="812"/>
    </row>
    <row r="40327" spans="7:7">
      <c r="G40327" s="812"/>
    </row>
    <row r="40328" spans="7:7">
      <c r="G40328" s="812"/>
    </row>
    <row r="40329" spans="7:7">
      <c r="G40329" s="812"/>
    </row>
    <row r="40330" spans="7:7">
      <c r="G40330" s="812"/>
    </row>
    <row r="40331" spans="7:7">
      <c r="G40331" s="812"/>
    </row>
    <row r="40332" spans="7:7">
      <c r="G40332" s="812"/>
    </row>
    <row r="40333" spans="7:7">
      <c r="G40333" s="812"/>
    </row>
    <row r="40334" spans="7:7">
      <c r="G40334" s="812"/>
    </row>
    <row r="40335" spans="7:7">
      <c r="G40335" s="812"/>
    </row>
    <row r="40336" spans="7:7">
      <c r="G40336" s="812"/>
    </row>
    <row r="40337" spans="7:7">
      <c r="G40337" s="812"/>
    </row>
    <row r="40338" spans="7:7">
      <c r="G40338" s="812"/>
    </row>
    <row r="40339" spans="7:7">
      <c r="G40339" s="812"/>
    </row>
    <row r="40340" spans="7:7">
      <c r="G40340" s="812"/>
    </row>
    <row r="40341" spans="7:7">
      <c r="G40341" s="812"/>
    </row>
    <row r="40342" spans="7:7">
      <c r="G40342" s="812"/>
    </row>
    <row r="40343" spans="7:7">
      <c r="G40343" s="812"/>
    </row>
    <row r="40344" spans="7:7">
      <c r="G40344" s="812"/>
    </row>
    <row r="40345" spans="7:7">
      <c r="G40345" s="812"/>
    </row>
    <row r="40346" spans="7:7">
      <c r="G40346" s="812"/>
    </row>
    <row r="40347" spans="7:7">
      <c r="G40347" s="812"/>
    </row>
    <row r="40348" spans="7:7">
      <c r="G40348" s="812"/>
    </row>
    <row r="40349" spans="7:7">
      <c r="G40349" s="812"/>
    </row>
    <row r="40350" spans="7:7">
      <c r="G40350" s="812"/>
    </row>
    <row r="40351" spans="7:7">
      <c r="G40351" s="812"/>
    </row>
    <row r="40352" spans="7:7">
      <c r="G40352" s="812"/>
    </row>
    <row r="40353" spans="7:7">
      <c r="G40353" s="812"/>
    </row>
    <row r="40354" spans="7:7">
      <c r="G40354" s="812"/>
    </row>
    <row r="40355" spans="7:7">
      <c r="G40355" s="812"/>
    </row>
    <row r="40356" spans="7:7">
      <c r="G40356" s="812"/>
    </row>
    <row r="40357" spans="7:7">
      <c r="G40357" s="812"/>
    </row>
    <row r="40358" spans="7:7">
      <c r="G40358" s="812"/>
    </row>
    <row r="40359" spans="7:7">
      <c r="G40359" s="812"/>
    </row>
    <row r="40360" spans="7:7">
      <c r="G40360" s="812"/>
    </row>
    <row r="40361" spans="7:7">
      <c r="G40361" s="812"/>
    </row>
    <row r="40362" spans="7:7">
      <c r="G40362" s="812"/>
    </row>
    <row r="40363" spans="7:7">
      <c r="G40363" s="812"/>
    </row>
    <row r="40364" spans="7:7">
      <c r="G40364" s="812"/>
    </row>
    <row r="40365" spans="7:7">
      <c r="G40365" s="812"/>
    </row>
    <row r="40366" spans="7:7">
      <c r="G40366" s="812"/>
    </row>
    <row r="40367" spans="7:7">
      <c r="G40367" s="812"/>
    </row>
    <row r="40368" spans="7:7">
      <c r="G40368" s="812"/>
    </row>
    <row r="40369" spans="7:7">
      <c r="G40369" s="812"/>
    </row>
    <row r="40370" spans="7:7">
      <c r="G40370" s="812"/>
    </row>
    <row r="40371" spans="7:7">
      <c r="G40371" s="812"/>
    </row>
    <row r="40372" spans="7:7">
      <c r="G40372" s="812"/>
    </row>
    <row r="40373" spans="7:7">
      <c r="G40373" s="812"/>
    </row>
    <row r="40374" spans="7:7">
      <c r="G40374" s="812"/>
    </row>
    <row r="40375" spans="7:7">
      <c r="G40375" s="812"/>
    </row>
    <row r="40376" spans="7:7">
      <c r="G40376" s="812"/>
    </row>
    <row r="40377" spans="7:7">
      <c r="G40377" s="812"/>
    </row>
    <row r="40378" spans="7:7">
      <c r="G40378" s="812"/>
    </row>
    <row r="40379" spans="7:7">
      <c r="G40379" s="812"/>
    </row>
    <row r="40380" spans="7:7">
      <c r="G40380" s="812"/>
    </row>
    <row r="40381" spans="7:7">
      <c r="G40381" s="812"/>
    </row>
    <row r="40382" spans="7:7">
      <c r="G40382" s="812"/>
    </row>
    <row r="40383" spans="7:7">
      <c r="G40383" s="812"/>
    </row>
    <row r="40384" spans="7:7">
      <c r="G40384" s="812"/>
    </row>
    <row r="40385" spans="7:7">
      <c r="G40385" s="812"/>
    </row>
    <row r="40386" spans="7:7">
      <c r="G40386" s="812"/>
    </row>
    <row r="40387" spans="7:7">
      <c r="G40387" s="812"/>
    </row>
    <row r="40388" spans="7:7">
      <c r="G40388" s="812"/>
    </row>
    <row r="40389" spans="7:7">
      <c r="G40389" s="812"/>
    </row>
    <row r="40390" spans="7:7">
      <c r="G40390" s="812"/>
    </row>
    <row r="40391" spans="7:7">
      <c r="G40391" s="812"/>
    </row>
    <row r="40392" spans="7:7">
      <c r="G40392" s="812"/>
    </row>
    <row r="40393" spans="7:7">
      <c r="G40393" s="812"/>
    </row>
    <row r="40394" spans="7:7">
      <c r="G40394" s="812"/>
    </row>
    <row r="40395" spans="7:7">
      <c r="G40395" s="812"/>
    </row>
    <row r="40396" spans="7:7">
      <c r="G40396" s="812"/>
    </row>
    <row r="40397" spans="7:7">
      <c r="G40397" s="812"/>
    </row>
    <row r="40398" spans="7:7">
      <c r="G40398" s="812"/>
    </row>
    <row r="40399" spans="7:7">
      <c r="G40399" s="812"/>
    </row>
    <row r="40400" spans="7:7">
      <c r="G40400" s="812"/>
    </row>
    <row r="40401" spans="7:7">
      <c r="G40401" s="812"/>
    </row>
    <row r="40402" spans="7:7">
      <c r="G40402" s="812"/>
    </row>
    <row r="40403" spans="7:7">
      <c r="G40403" s="812"/>
    </row>
    <row r="40404" spans="7:7">
      <c r="G40404" s="812"/>
    </row>
    <row r="40405" spans="7:7">
      <c r="G40405" s="812"/>
    </row>
    <row r="40406" spans="7:7">
      <c r="G40406" s="812"/>
    </row>
    <row r="40407" spans="7:7">
      <c r="G40407" s="812"/>
    </row>
    <row r="40408" spans="7:7">
      <c r="G40408" s="812"/>
    </row>
    <row r="40409" spans="7:7">
      <c r="G40409" s="812"/>
    </row>
    <row r="40410" spans="7:7">
      <c r="G40410" s="812"/>
    </row>
    <row r="40411" spans="7:7">
      <c r="G40411" s="812"/>
    </row>
    <row r="40412" spans="7:7">
      <c r="G40412" s="812"/>
    </row>
    <row r="40413" spans="7:7">
      <c r="G40413" s="812"/>
    </row>
    <row r="40414" spans="7:7">
      <c r="G40414" s="812"/>
    </row>
    <row r="40415" spans="7:7">
      <c r="G40415" s="812"/>
    </row>
    <row r="40416" spans="7:7">
      <c r="G40416" s="812"/>
    </row>
    <row r="40417" spans="7:7">
      <c r="G40417" s="812"/>
    </row>
    <row r="40418" spans="7:7">
      <c r="G40418" s="812"/>
    </row>
    <row r="40419" spans="7:7">
      <c r="G40419" s="812"/>
    </row>
    <row r="40420" spans="7:7">
      <c r="G40420" s="812"/>
    </row>
    <row r="40421" spans="7:7">
      <c r="G40421" s="812"/>
    </row>
    <row r="40422" spans="7:7">
      <c r="G40422" s="812"/>
    </row>
    <row r="40423" spans="7:7">
      <c r="G40423" s="812"/>
    </row>
    <row r="40424" spans="7:7">
      <c r="G40424" s="812"/>
    </row>
    <row r="40425" spans="7:7">
      <c r="G40425" s="812"/>
    </row>
    <row r="40426" spans="7:7">
      <c r="G40426" s="812"/>
    </row>
    <row r="40427" spans="7:7">
      <c r="G40427" s="812"/>
    </row>
    <row r="40428" spans="7:7">
      <c r="G40428" s="812"/>
    </row>
    <row r="40429" spans="7:7">
      <c r="G40429" s="812"/>
    </row>
    <row r="40430" spans="7:7">
      <c r="G40430" s="812"/>
    </row>
    <row r="40431" spans="7:7">
      <c r="G40431" s="812"/>
    </row>
    <row r="40432" spans="7:7">
      <c r="G40432" s="812"/>
    </row>
    <row r="40433" spans="7:7">
      <c r="G40433" s="812"/>
    </row>
    <row r="40434" spans="7:7">
      <c r="G40434" s="812"/>
    </row>
    <row r="40435" spans="7:7">
      <c r="G40435" s="812"/>
    </row>
    <row r="40436" spans="7:7">
      <c r="G40436" s="812"/>
    </row>
    <row r="40437" spans="7:7">
      <c r="G40437" s="812"/>
    </row>
    <row r="40438" spans="7:7">
      <c r="G40438" s="812"/>
    </row>
    <row r="40439" spans="7:7">
      <c r="G40439" s="812"/>
    </row>
    <row r="40440" spans="7:7">
      <c r="G40440" s="812"/>
    </row>
    <row r="40441" spans="7:7">
      <c r="G40441" s="812"/>
    </row>
    <row r="40442" spans="7:7">
      <c r="G40442" s="812"/>
    </row>
    <row r="40443" spans="7:7">
      <c r="G40443" s="812"/>
    </row>
    <row r="40444" spans="7:7">
      <c r="G40444" s="812"/>
    </row>
    <row r="40445" spans="7:7">
      <c r="G40445" s="812"/>
    </row>
    <row r="40446" spans="7:7">
      <c r="G40446" s="812"/>
    </row>
    <row r="40447" spans="7:7">
      <c r="G40447" s="812"/>
    </row>
    <row r="40448" spans="7:7">
      <c r="G40448" s="812"/>
    </row>
    <row r="40449" spans="7:7">
      <c r="G40449" s="812"/>
    </row>
    <row r="40450" spans="7:7">
      <c r="G40450" s="812"/>
    </row>
    <row r="40451" spans="7:7">
      <c r="G40451" s="812"/>
    </row>
    <row r="40452" spans="7:7">
      <c r="G40452" s="812"/>
    </row>
    <row r="40453" spans="7:7">
      <c r="G40453" s="812"/>
    </row>
    <row r="40454" spans="7:7">
      <c r="G40454" s="812"/>
    </row>
    <row r="40455" spans="7:7">
      <c r="G40455" s="812"/>
    </row>
    <row r="40456" spans="7:7">
      <c r="G40456" s="812"/>
    </row>
    <row r="40457" spans="7:7">
      <c r="G40457" s="812"/>
    </row>
    <row r="40458" spans="7:7">
      <c r="G40458" s="812"/>
    </row>
    <row r="40459" spans="7:7">
      <c r="G40459" s="812"/>
    </row>
    <row r="40460" spans="7:7">
      <c r="G40460" s="812"/>
    </row>
    <row r="40461" spans="7:7">
      <c r="G40461" s="812"/>
    </row>
    <row r="40462" spans="7:7">
      <c r="G40462" s="812"/>
    </row>
    <row r="40463" spans="7:7">
      <c r="G40463" s="812"/>
    </row>
    <row r="40464" spans="7:7">
      <c r="G40464" s="812"/>
    </row>
    <row r="40465" spans="7:7">
      <c r="G40465" s="812"/>
    </row>
    <row r="40466" spans="7:7">
      <c r="G40466" s="812"/>
    </row>
    <row r="40467" spans="7:7">
      <c r="G40467" s="812"/>
    </row>
    <row r="40468" spans="7:7">
      <c r="G40468" s="812"/>
    </row>
    <row r="40469" spans="7:7">
      <c r="G40469" s="812"/>
    </row>
    <row r="40470" spans="7:7">
      <c r="G40470" s="812"/>
    </row>
    <row r="40471" spans="7:7">
      <c r="G40471" s="812"/>
    </row>
    <row r="40472" spans="7:7">
      <c r="G40472" s="812"/>
    </row>
    <row r="40473" spans="7:7">
      <c r="G40473" s="812"/>
    </row>
    <row r="40474" spans="7:7">
      <c r="G40474" s="812"/>
    </row>
    <row r="40475" spans="7:7">
      <c r="G40475" s="812"/>
    </row>
    <row r="40476" spans="7:7">
      <c r="G40476" s="812"/>
    </row>
    <row r="40477" spans="7:7">
      <c r="G40477" s="812"/>
    </row>
    <row r="40478" spans="7:7">
      <c r="G40478" s="812"/>
    </row>
    <row r="40479" spans="7:7">
      <c r="G40479" s="812"/>
    </row>
    <row r="40480" spans="7:7">
      <c r="G40480" s="812"/>
    </row>
    <row r="40481" spans="7:7">
      <c r="G40481" s="812"/>
    </row>
    <row r="40482" spans="7:7">
      <c r="G40482" s="812"/>
    </row>
    <row r="40483" spans="7:7">
      <c r="G40483" s="812"/>
    </row>
    <row r="40484" spans="7:7">
      <c r="G40484" s="812"/>
    </row>
    <row r="40485" spans="7:7">
      <c r="G40485" s="812"/>
    </row>
    <row r="40486" spans="7:7">
      <c r="G40486" s="812"/>
    </row>
    <row r="40487" spans="7:7">
      <c r="G40487" s="812"/>
    </row>
    <row r="40488" spans="7:7">
      <c r="G40488" s="812"/>
    </row>
    <row r="40489" spans="7:7">
      <c r="G40489" s="812"/>
    </row>
    <row r="40490" spans="7:7">
      <c r="G40490" s="812"/>
    </row>
    <row r="40491" spans="7:7">
      <c r="G40491" s="812"/>
    </row>
    <row r="40492" spans="7:7">
      <c r="G40492" s="812"/>
    </row>
    <row r="40493" spans="7:7">
      <c r="G40493" s="812"/>
    </row>
    <row r="40494" spans="7:7">
      <c r="G40494" s="812"/>
    </row>
    <row r="40495" spans="7:7">
      <c r="G40495" s="812"/>
    </row>
    <row r="40496" spans="7:7">
      <c r="G40496" s="812"/>
    </row>
    <row r="40497" spans="7:7">
      <c r="G40497" s="812"/>
    </row>
    <row r="40498" spans="7:7">
      <c r="G40498" s="812"/>
    </row>
    <row r="40499" spans="7:7">
      <c r="G40499" s="812"/>
    </row>
    <row r="40500" spans="7:7">
      <c r="G40500" s="812"/>
    </row>
    <row r="40501" spans="7:7">
      <c r="G40501" s="812"/>
    </row>
    <row r="40502" spans="7:7">
      <c r="G40502" s="812"/>
    </row>
    <row r="40503" spans="7:7">
      <c r="G40503" s="812"/>
    </row>
    <row r="40504" spans="7:7">
      <c r="G40504" s="812"/>
    </row>
    <row r="40505" spans="7:7">
      <c r="G40505" s="812"/>
    </row>
    <row r="40506" spans="7:7">
      <c r="G40506" s="812"/>
    </row>
    <row r="40507" spans="7:7">
      <c r="G40507" s="812"/>
    </row>
    <row r="40508" spans="7:7">
      <c r="G40508" s="812"/>
    </row>
    <row r="40509" spans="7:7">
      <c r="G40509" s="812"/>
    </row>
    <row r="40510" spans="7:7">
      <c r="G40510" s="812"/>
    </row>
    <row r="40511" spans="7:7">
      <c r="G40511" s="812"/>
    </row>
    <row r="40512" spans="7:7">
      <c r="G40512" s="812"/>
    </row>
    <row r="40513" spans="7:7">
      <c r="G40513" s="812"/>
    </row>
    <row r="40514" spans="7:7">
      <c r="G40514" s="812"/>
    </row>
    <row r="40515" spans="7:7">
      <c r="G40515" s="812"/>
    </row>
    <row r="40516" spans="7:7">
      <c r="G40516" s="812"/>
    </row>
    <row r="40517" spans="7:7">
      <c r="G40517" s="812"/>
    </row>
    <row r="40518" spans="7:7">
      <c r="G40518" s="812"/>
    </row>
    <row r="40519" spans="7:7">
      <c r="G40519" s="812"/>
    </row>
    <row r="40520" spans="7:7">
      <c r="G40520" s="812"/>
    </row>
    <row r="40521" spans="7:7">
      <c r="G40521" s="812"/>
    </row>
    <row r="40522" spans="7:7">
      <c r="G40522" s="812"/>
    </row>
    <row r="40523" spans="7:7">
      <c r="G40523" s="812"/>
    </row>
    <row r="40524" spans="7:7">
      <c r="G40524" s="812"/>
    </row>
    <row r="40525" spans="7:7">
      <c r="G40525" s="812"/>
    </row>
    <row r="40526" spans="7:7">
      <c r="G40526" s="812"/>
    </row>
    <row r="40527" spans="7:7">
      <c r="G40527" s="812"/>
    </row>
    <row r="40528" spans="7:7">
      <c r="G40528" s="812"/>
    </row>
    <row r="40529" spans="7:7">
      <c r="G40529" s="812"/>
    </row>
    <row r="40530" spans="7:7">
      <c r="G40530" s="812"/>
    </row>
    <row r="40531" spans="7:7">
      <c r="G40531" s="812"/>
    </row>
    <row r="40532" spans="7:7">
      <c r="G40532" s="812"/>
    </row>
    <row r="40533" spans="7:7">
      <c r="G40533" s="812"/>
    </row>
    <row r="40534" spans="7:7">
      <c r="G40534" s="812"/>
    </row>
    <row r="40535" spans="7:7">
      <c r="G40535" s="812"/>
    </row>
    <row r="40536" spans="7:7">
      <c r="G40536" s="812"/>
    </row>
    <row r="40537" spans="7:7">
      <c r="G40537" s="812"/>
    </row>
    <row r="40538" spans="7:7">
      <c r="G40538" s="812"/>
    </row>
    <row r="40539" spans="7:7">
      <c r="G40539" s="812"/>
    </row>
    <row r="40540" spans="7:7">
      <c r="G40540" s="812"/>
    </row>
    <row r="40541" spans="7:7">
      <c r="G40541" s="812"/>
    </row>
    <row r="40542" spans="7:7">
      <c r="G40542" s="812"/>
    </row>
    <row r="40543" spans="7:7">
      <c r="G40543" s="812"/>
    </row>
    <row r="40544" spans="7:7">
      <c r="G40544" s="812"/>
    </row>
    <row r="40545" spans="7:7">
      <c r="G40545" s="812"/>
    </row>
    <row r="40546" spans="7:7">
      <c r="G40546" s="812"/>
    </row>
    <row r="40547" spans="7:7">
      <c r="G40547" s="812"/>
    </row>
    <row r="40548" spans="7:7">
      <c r="G40548" s="812"/>
    </row>
    <row r="40549" spans="7:7">
      <c r="G40549" s="812"/>
    </row>
    <row r="40550" spans="7:7">
      <c r="G40550" s="812"/>
    </row>
    <row r="40551" spans="7:7">
      <c r="G40551" s="812"/>
    </row>
    <row r="40552" spans="7:7">
      <c r="G40552" s="812"/>
    </row>
    <row r="40553" spans="7:7">
      <c r="G40553" s="812"/>
    </row>
    <row r="40554" spans="7:7">
      <c r="G40554" s="812"/>
    </row>
    <row r="40555" spans="7:7">
      <c r="G40555" s="812"/>
    </row>
    <row r="40556" spans="7:7">
      <c r="G40556" s="812"/>
    </row>
    <row r="40557" spans="7:7">
      <c r="G40557" s="812"/>
    </row>
    <row r="40558" spans="7:7">
      <c r="G40558" s="812"/>
    </row>
    <row r="40559" spans="7:7">
      <c r="G40559" s="812"/>
    </row>
    <row r="40560" spans="7:7">
      <c r="G40560" s="812"/>
    </row>
    <row r="40561" spans="7:7">
      <c r="G40561" s="812"/>
    </row>
    <row r="40562" spans="7:7">
      <c r="G40562" s="812"/>
    </row>
    <row r="40563" spans="7:7">
      <c r="G40563" s="812"/>
    </row>
    <row r="40564" spans="7:7">
      <c r="G40564" s="812"/>
    </row>
    <row r="40565" spans="7:7">
      <c r="G40565" s="812"/>
    </row>
    <row r="40566" spans="7:7">
      <c r="G40566" s="812"/>
    </row>
    <row r="40567" spans="7:7">
      <c r="G40567" s="812"/>
    </row>
    <row r="40568" spans="7:7">
      <c r="G40568" s="812"/>
    </row>
    <row r="40569" spans="7:7">
      <c r="G40569" s="812"/>
    </row>
    <row r="40570" spans="7:7">
      <c r="G40570" s="812"/>
    </row>
    <row r="40571" spans="7:7">
      <c r="G40571" s="812"/>
    </row>
    <row r="40572" spans="7:7">
      <c r="G40572" s="812"/>
    </row>
    <row r="40573" spans="7:7">
      <c r="G40573" s="812"/>
    </row>
    <row r="40574" spans="7:7">
      <c r="G40574" s="812"/>
    </row>
    <row r="40575" spans="7:7">
      <c r="G40575" s="812"/>
    </row>
    <row r="40576" spans="7:7">
      <c r="G40576" s="812"/>
    </row>
    <row r="40577" spans="7:7">
      <c r="G40577" s="812"/>
    </row>
    <row r="40578" spans="7:7">
      <c r="G40578" s="812"/>
    </row>
    <row r="40579" spans="7:7">
      <c r="G40579" s="812"/>
    </row>
    <row r="40580" spans="7:7">
      <c r="G40580" s="812"/>
    </row>
    <row r="40581" spans="7:7">
      <c r="G40581" s="812"/>
    </row>
    <row r="40582" spans="7:7">
      <c r="G40582" s="812"/>
    </row>
    <row r="40583" spans="7:7">
      <c r="G40583" s="812"/>
    </row>
    <row r="40584" spans="7:7">
      <c r="G40584" s="812"/>
    </row>
    <row r="40585" spans="7:7">
      <c r="G40585" s="812"/>
    </row>
    <row r="40586" spans="7:7">
      <c r="G40586" s="812"/>
    </row>
    <row r="40587" spans="7:7">
      <c r="G40587" s="812"/>
    </row>
    <row r="40588" spans="7:7">
      <c r="G40588" s="812"/>
    </row>
    <row r="40589" spans="7:7">
      <c r="G40589" s="812"/>
    </row>
    <row r="40590" spans="7:7">
      <c r="G40590" s="812"/>
    </row>
    <row r="40591" spans="7:7">
      <c r="G40591" s="812"/>
    </row>
    <row r="40592" spans="7:7">
      <c r="G40592" s="812"/>
    </row>
    <row r="40593" spans="7:7">
      <c r="G40593" s="812"/>
    </row>
    <row r="40594" spans="7:7">
      <c r="G40594" s="812"/>
    </row>
    <row r="40595" spans="7:7">
      <c r="G40595" s="812"/>
    </row>
    <row r="40596" spans="7:7">
      <c r="G40596" s="812"/>
    </row>
    <row r="40597" spans="7:7">
      <c r="G40597" s="812"/>
    </row>
    <row r="40598" spans="7:7">
      <c r="G40598" s="812"/>
    </row>
    <row r="40599" spans="7:7">
      <c r="G40599" s="812"/>
    </row>
    <row r="40600" spans="7:7">
      <c r="G40600" s="812"/>
    </row>
    <row r="40601" spans="7:7">
      <c r="G40601" s="812"/>
    </row>
    <row r="40602" spans="7:7">
      <c r="G40602" s="812"/>
    </row>
    <row r="40603" spans="7:7">
      <c r="G40603" s="812"/>
    </row>
    <row r="40604" spans="7:7">
      <c r="G40604" s="812"/>
    </row>
    <row r="40605" spans="7:7">
      <c r="G40605" s="812"/>
    </row>
    <row r="40606" spans="7:7">
      <c r="G40606" s="812"/>
    </row>
    <row r="40607" spans="7:7">
      <c r="G40607" s="812"/>
    </row>
    <row r="40608" spans="7:7">
      <c r="G40608" s="812"/>
    </row>
    <row r="40609" spans="7:7">
      <c r="G40609" s="812"/>
    </row>
    <row r="40610" spans="7:7">
      <c r="G40610" s="812"/>
    </row>
    <row r="40611" spans="7:7">
      <c r="G40611" s="812"/>
    </row>
    <row r="40612" spans="7:7">
      <c r="G40612" s="812"/>
    </row>
    <row r="40613" spans="7:7">
      <c r="G40613" s="812"/>
    </row>
    <row r="40614" spans="7:7">
      <c r="G40614" s="812"/>
    </row>
    <row r="40615" spans="7:7">
      <c r="G40615" s="812"/>
    </row>
    <row r="40616" spans="7:7">
      <c r="G40616" s="812"/>
    </row>
    <row r="40617" spans="7:7">
      <c r="G40617" s="812"/>
    </row>
    <row r="40618" spans="7:7">
      <c r="G40618" s="812"/>
    </row>
    <row r="40619" spans="7:7">
      <c r="G40619" s="812"/>
    </row>
    <row r="40620" spans="7:7">
      <c r="G40620" s="812"/>
    </row>
    <row r="40621" spans="7:7">
      <c r="G40621" s="812"/>
    </row>
    <row r="40622" spans="7:7">
      <c r="G40622" s="812"/>
    </row>
    <row r="40623" spans="7:7">
      <c r="G40623" s="812"/>
    </row>
    <row r="40624" spans="7:7">
      <c r="G40624" s="812"/>
    </row>
    <row r="40625" spans="7:7">
      <c r="G40625" s="812"/>
    </row>
    <row r="40626" spans="7:7">
      <c r="G40626" s="812"/>
    </row>
    <row r="40627" spans="7:7">
      <c r="G40627" s="812"/>
    </row>
    <row r="40628" spans="7:7">
      <c r="G40628" s="812"/>
    </row>
    <row r="40629" spans="7:7">
      <c r="G40629" s="812"/>
    </row>
    <row r="40630" spans="7:7">
      <c r="G40630" s="812"/>
    </row>
    <row r="40631" spans="7:7">
      <c r="G40631" s="812"/>
    </row>
    <row r="40632" spans="7:7">
      <c r="G40632" s="812"/>
    </row>
    <row r="40633" spans="7:7">
      <c r="G40633" s="812"/>
    </row>
    <row r="40634" spans="7:7">
      <c r="G40634" s="812"/>
    </row>
    <row r="40635" spans="7:7">
      <c r="G40635" s="812"/>
    </row>
    <row r="40636" spans="7:7">
      <c r="G40636" s="812"/>
    </row>
    <row r="40637" spans="7:7">
      <c r="G40637" s="812"/>
    </row>
    <row r="40638" spans="7:7">
      <c r="G40638" s="812"/>
    </row>
    <row r="40639" spans="7:7">
      <c r="G40639" s="812"/>
    </row>
    <row r="40640" spans="7:7">
      <c r="G40640" s="812"/>
    </row>
    <row r="40641" spans="7:7">
      <c r="G40641" s="812"/>
    </row>
    <row r="40642" spans="7:7">
      <c r="G40642" s="812"/>
    </row>
    <row r="40643" spans="7:7">
      <c r="G40643" s="812"/>
    </row>
    <row r="40644" spans="7:7">
      <c r="G40644" s="812"/>
    </row>
    <row r="40645" spans="7:7">
      <c r="G40645" s="812"/>
    </row>
    <row r="40646" spans="7:7">
      <c r="G40646" s="812"/>
    </row>
    <row r="40647" spans="7:7">
      <c r="G40647" s="812"/>
    </row>
    <row r="40648" spans="7:7">
      <c r="G40648" s="812"/>
    </row>
    <row r="40649" spans="7:7">
      <c r="G40649" s="812"/>
    </row>
    <row r="40650" spans="7:7">
      <c r="G40650" s="812"/>
    </row>
    <row r="40651" spans="7:7">
      <c r="G40651" s="812"/>
    </row>
    <row r="40652" spans="7:7">
      <c r="G40652" s="812"/>
    </row>
    <row r="40653" spans="7:7">
      <c r="G40653" s="812"/>
    </row>
    <row r="40654" spans="7:7">
      <c r="G40654" s="812"/>
    </row>
    <row r="40655" spans="7:7">
      <c r="G40655" s="812"/>
    </row>
    <row r="40656" spans="7:7">
      <c r="G40656" s="812"/>
    </row>
    <row r="40657" spans="7:7">
      <c r="G40657" s="812"/>
    </row>
    <row r="40658" spans="7:7">
      <c r="G40658" s="812"/>
    </row>
    <row r="40659" spans="7:7">
      <c r="G40659" s="812"/>
    </row>
    <row r="40660" spans="7:7">
      <c r="G40660" s="812"/>
    </row>
    <row r="40661" spans="7:7">
      <c r="G40661" s="812"/>
    </row>
    <row r="40662" spans="7:7">
      <c r="G40662" s="812"/>
    </row>
    <row r="40663" spans="7:7">
      <c r="G40663" s="812"/>
    </row>
    <row r="40664" spans="7:7">
      <c r="G40664" s="812"/>
    </row>
    <row r="40665" spans="7:7">
      <c r="G40665" s="812"/>
    </row>
    <row r="40666" spans="7:7">
      <c r="G40666" s="812"/>
    </row>
    <row r="40667" spans="7:7">
      <c r="G40667" s="812"/>
    </row>
    <row r="40668" spans="7:7">
      <c r="G40668" s="812"/>
    </row>
    <row r="40669" spans="7:7">
      <c r="G40669" s="812"/>
    </row>
    <row r="40670" spans="7:7">
      <c r="G40670" s="812"/>
    </row>
    <row r="40671" spans="7:7">
      <c r="G40671" s="812"/>
    </row>
    <row r="40672" spans="7:7">
      <c r="G40672" s="812"/>
    </row>
    <row r="40673" spans="7:7">
      <c r="G40673" s="812"/>
    </row>
    <row r="40674" spans="7:7">
      <c r="G40674" s="812"/>
    </row>
    <row r="40675" spans="7:7">
      <c r="G40675" s="812"/>
    </row>
    <row r="40676" spans="7:7">
      <c r="G40676" s="812"/>
    </row>
    <row r="40677" spans="7:7">
      <c r="G40677" s="812"/>
    </row>
    <row r="40678" spans="7:7">
      <c r="G40678" s="812"/>
    </row>
    <row r="40679" spans="7:7">
      <c r="G40679" s="812"/>
    </row>
    <row r="40680" spans="7:7">
      <c r="G40680" s="812"/>
    </row>
    <row r="40681" spans="7:7">
      <c r="G40681" s="812"/>
    </row>
    <row r="40682" spans="7:7">
      <c r="G40682" s="812"/>
    </row>
    <row r="40683" spans="7:7">
      <c r="G40683" s="812"/>
    </row>
    <row r="40684" spans="7:7">
      <c r="G40684" s="812"/>
    </row>
    <row r="40685" spans="7:7">
      <c r="G40685" s="812"/>
    </row>
    <row r="40686" spans="7:7">
      <c r="G40686" s="812"/>
    </row>
    <row r="40687" spans="7:7">
      <c r="G40687" s="812"/>
    </row>
    <row r="40688" spans="7:7">
      <c r="G40688" s="812"/>
    </row>
    <row r="40689" spans="7:7">
      <c r="G40689" s="812"/>
    </row>
    <row r="40690" spans="7:7">
      <c r="G40690" s="812"/>
    </row>
    <row r="40691" spans="7:7">
      <c r="G40691" s="812"/>
    </row>
    <row r="40692" spans="7:7">
      <c r="G40692" s="812"/>
    </row>
    <row r="40693" spans="7:7">
      <c r="G40693" s="812"/>
    </row>
    <row r="40694" spans="7:7">
      <c r="G40694" s="812"/>
    </row>
    <row r="40695" spans="7:7">
      <c r="G40695" s="812"/>
    </row>
    <row r="40696" spans="7:7">
      <c r="G40696" s="812"/>
    </row>
    <row r="40697" spans="7:7">
      <c r="G40697" s="812"/>
    </row>
    <row r="40698" spans="7:7">
      <c r="G40698" s="812"/>
    </row>
    <row r="40699" spans="7:7">
      <c r="G40699" s="812"/>
    </row>
    <row r="40700" spans="7:7">
      <c r="G40700" s="812"/>
    </row>
    <row r="40701" spans="7:7">
      <c r="G40701" s="812"/>
    </row>
    <row r="40702" spans="7:7">
      <c r="G40702" s="812"/>
    </row>
    <row r="40703" spans="7:7">
      <c r="G40703" s="812"/>
    </row>
    <row r="40704" spans="7:7">
      <c r="G40704" s="812"/>
    </row>
    <row r="40705" spans="7:7">
      <c r="G40705" s="812"/>
    </row>
    <row r="40706" spans="7:7">
      <c r="G40706" s="812"/>
    </row>
    <row r="40707" spans="7:7">
      <c r="G40707" s="812"/>
    </row>
    <row r="40708" spans="7:7">
      <c r="G40708" s="812"/>
    </row>
    <row r="40709" spans="7:7">
      <c r="G40709" s="812"/>
    </row>
    <row r="40710" spans="7:7">
      <c r="G40710" s="812"/>
    </row>
    <row r="40711" spans="7:7">
      <c r="G40711" s="812"/>
    </row>
    <row r="40712" spans="7:7">
      <c r="G40712" s="812"/>
    </row>
    <row r="40713" spans="7:7">
      <c r="G40713" s="812"/>
    </row>
    <row r="40714" spans="7:7">
      <c r="G40714" s="812"/>
    </row>
    <row r="40715" spans="7:7">
      <c r="G40715" s="812"/>
    </row>
    <row r="40716" spans="7:7">
      <c r="G40716" s="812"/>
    </row>
    <row r="40717" spans="7:7">
      <c r="G40717" s="812"/>
    </row>
    <row r="40718" spans="7:7">
      <c r="G40718" s="812"/>
    </row>
    <row r="40719" spans="7:7">
      <c r="G40719" s="812"/>
    </row>
    <row r="40720" spans="7:7">
      <c r="G40720" s="812"/>
    </row>
    <row r="40721" spans="7:7">
      <c r="G40721" s="812"/>
    </row>
    <row r="40722" spans="7:7">
      <c r="G40722" s="812"/>
    </row>
    <row r="40723" spans="7:7">
      <c r="G40723" s="812"/>
    </row>
    <row r="40724" spans="7:7">
      <c r="G40724" s="812"/>
    </row>
    <row r="40725" spans="7:7">
      <c r="G40725" s="812"/>
    </row>
    <row r="40726" spans="7:7">
      <c r="G40726" s="812"/>
    </row>
    <row r="40727" spans="7:7">
      <c r="G40727" s="812"/>
    </row>
    <row r="40728" spans="7:7">
      <c r="G40728" s="812"/>
    </row>
    <row r="40729" spans="7:7">
      <c r="G40729" s="812"/>
    </row>
    <row r="40730" spans="7:7">
      <c r="G40730" s="812"/>
    </row>
    <row r="40731" spans="7:7">
      <c r="G40731" s="812"/>
    </row>
    <row r="40732" spans="7:7">
      <c r="G40732" s="812"/>
    </row>
    <row r="40733" spans="7:7">
      <c r="G40733" s="812"/>
    </row>
    <row r="40734" spans="7:7">
      <c r="G40734" s="812"/>
    </row>
    <row r="40735" spans="7:7">
      <c r="G40735" s="812"/>
    </row>
    <row r="40736" spans="7:7">
      <c r="G40736" s="812"/>
    </row>
    <row r="40737" spans="7:7">
      <c r="G40737" s="812"/>
    </row>
    <row r="40738" spans="7:7">
      <c r="G40738" s="812"/>
    </row>
    <row r="40739" spans="7:7">
      <c r="G40739" s="812"/>
    </row>
    <row r="40740" spans="7:7">
      <c r="G40740" s="812"/>
    </row>
    <row r="40741" spans="7:7">
      <c r="G40741" s="812"/>
    </row>
    <row r="40742" spans="7:7">
      <c r="G40742" s="812"/>
    </row>
    <row r="40743" spans="7:7">
      <c r="G40743" s="812"/>
    </row>
    <row r="40744" spans="7:7">
      <c r="G40744" s="812"/>
    </row>
    <row r="40745" spans="7:7">
      <c r="G40745" s="812"/>
    </row>
    <row r="40746" spans="7:7">
      <c r="G40746" s="812"/>
    </row>
    <row r="40747" spans="7:7">
      <c r="G40747" s="812"/>
    </row>
    <row r="40748" spans="7:7">
      <c r="G40748" s="812"/>
    </row>
    <row r="40749" spans="7:7">
      <c r="G40749" s="812"/>
    </row>
    <row r="40750" spans="7:7">
      <c r="G40750" s="812"/>
    </row>
    <row r="40751" spans="7:7">
      <c r="G40751" s="812"/>
    </row>
    <row r="40752" spans="7:7">
      <c r="G40752" s="812"/>
    </row>
    <row r="40753" spans="7:7">
      <c r="G40753" s="812"/>
    </row>
    <row r="40754" spans="7:7">
      <c r="G40754" s="812"/>
    </row>
    <row r="40755" spans="7:7">
      <c r="G40755" s="812"/>
    </row>
    <row r="40756" spans="7:7">
      <c r="G40756" s="812"/>
    </row>
    <row r="40757" spans="7:7">
      <c r="G40757" s="812"/>
    </row>
    <row r="40758" spans="7:7">
      <c r="G40758" s="812"/>
    </row>
    <row r="40759" spans="7:7">
      <c r="G40759" s="812"/>
    </row>
    <row r="40760" spans="7:7">
      <c r="G40760" s="812"/>
    </row>
    <row r="40761" spans="7:7">
      <c r="G40761" s="812"/>
    </row>
    <row r="40762" spans="7:7">
      <c r="G40762" s="812"/>
    </row>
    <row r="40763" spans="7:7">
      <c r="G40763" s="812"/>
    </row>
    <row r="40764" spans="7:7">
      <c r="G40764" s="812"/>
    </row>
    <row r="40765" spans="7:7">
      <c r="G40765" s="812"/>
    </row>
    <row r="40766" spans="7:7">
      <c r="G40766" s="812"/>
    </row>
    <row r="40767" spans="7:7">
      <c r="G40767" s="812"/>
    </row>
    <row r="40768" spans="7:7">
      <c r="G40768" s="812"/>
    </row>
    <row r="40769" spans="7:7">
      <c r="G40769" s="812"/>
    </row>
    <row r="40770" spans="7:7">
      <c r="G40770" s="812"/>
    </row>
    <row r="40771" spans="7:7">
      <c r="G40771" s="812"/>
    </row>
    <row r="40772" spans="7:7">
      <c r="G40772" s="812"/>
    </row>
    <row r="40773" spans="7:7">
      <c r="G40773" s="812"/>
    </row>
    <row r="40774" spans="7:7">
      <c r="G40774" s="812"/>
    </row>
    <row r="40775" spans="7:7">
      <c r="G40775" s="812"/>
    </row>
    <row r="40776" spans="7:7">
      <c r="G40776" s="812"/>
    </row>
    <row r="40777" spans="7:7">
      <c r="G40777" s="812"/>
    </row>
    <row r="40778" spans="7:7">
      <c r="G40778" s="812"/>
    </row>
    <row r="40779" spans="7:7">
      <c r="G40779" s="812"/>
    </row>
    <row r="40780" spans="7:7">
      <c r="G40780" s="812"/>
    </row>
    <row r="40781" spans="7:7">
      <c r="G40781" s="812"/>
    </row>
    <row r="40782" spans="7:7">
      <c r="G40782" s="812"/>
    </row>
    <row r="40783" spans="7:7">
      <c r="G40783" s="812"/>
    </row>
    <row r="40784" spans="7:7">
      <c r="G40784" s="812"/>
    </row>
    <row r="40785" spans="7:7">
      <c r="G40785" s="812"/>
    </row>
    <row r="40786" spans="7:7">
      <c r="G40786" s="812"/>
    </row>
    <row r="40787" spans="7:7">
      <c r="G40787" s="812"/>
    </row>
    <row r="40788" spans="7:7">
      <c r="G40788" s="812"/>
    </row>
    <row r="40789" spans="7:7">
      <c r="G40789" s="812"/>
    </row>
    <row r="40790" spans="7:7">
      <c r="G40790" s="812"/>
    </row>
    <row r="40791" spans="7:7">
      <c r="G40791" s="812"/>
    </row>
    <row r="40792" spans="7:7">
      <c r="G40792" s="812"/>
    </row>
    <row r="40793" spans="7:7">
      <c r="G40793" s="812"/>
    </row>
    <row r="40794" spans="7:7">
      <c r="G40794" s="812"/>
    </row>
    <row r="40795" spans="7:7">
      <c r="G40795" s="812"/>
    </row>
    <row r="40796" spans="7:7">
      <c r="G40796" s="812"/>
    </row>
    <row r="40797" spans="7:7">
      <c r="G40797" s="812"/>
    </row>
    <row r="40798" spans="7:7">
      <c r="G40798" s="812"/>
    </row>
    <row r="40799" spans="7:7">
      <c r="G40799" s="812"/>
    </row>
    <row r="40800" spans="7:7">
      <c r="G40800" s="812"/>
    </row>
    <row r="40801" spans="7:7">
      <c r="G40801" s="812"/>
    </row>
    <row r="40802" spans="7:7">
      <c r="G40802" s="812"/>
    </row>
    <row r="40803" spans="7:7">
      <c r="G40803" s="812"/>
    </row>
    <row r="40804" spans="7:7">
      <c r="G40804" s="812"/>
    </row>
    <row r="40805" spans="7:7">
      <c r="G40805" s="812"/>
    </row>
    <row r="40806" spans="7:7">
      <c r="G40806" s="812"/>
    </row>
    <row r="40807" spans="7:7">
      <c r="G40807" s="812"/>
    </row>
    <row r="40808" spans="7:7">
      <c r="G40808" s="812"/>
    </row>
    <row r="40809" spans="7:7">
      <c r="G40809" s="812"/>
    </row>
    <row r="40810" spans="7:7">
      <c r="G40810" s="812"/>
    </row>
    <row r="40811" spans="7:7">
      <c r="G40811" s="812"/>
    </row>
    <row r="40812" spans="7:7">
      <c r="G40812" s="812"/>
    </row>
    <row r="40813" spans="7:7">
      <c r="G40813" s="812"/>
    </row>
    <row r="40814" spans="7:7">
      <c r="G40814" s="812"/>
    </row>
    <row r="40815" spans="7:7">
      <c r="G40815" s="812"/>
    </row>
    <row r="40816" spans="7:7">
      <c r="G40816" s="812"/>
    </row>
    <row r="40817" spans="7:7">
      <c r="G40817" s="812"/>
    </row>
    <row r="40818" spans="7:7">
      <c r="G40818" s="812"/>
    </row>
    <row r="40819" spans="7:7">
      <c r="G40819" s="812"/>
    </row>
    <row r="40820" spans="7:7">
      <c r="G40820" s="812"/>
    </row>
    <row r="40821" spans="7:7">
      <c r="G40821" s="812"/>
    </row>
    <row r="40822" spans="7:7">
      <c r="G40822" s="812"/>
    </row>
    <row r="40823" spans="7:7">
      <c r="G40823" s="812"/>
    </row>
    <row r="40824" spans="7:7">
      <c r="G40824" s="812"/>
    </row>
    <row r="40825" spans="7:7">
      <c r="G40825" s="812"/>
    </row>
    <row r="40826" spans="7:7">
      <c r="G40826" s="812"/>
    </row>
    <row r="40827" spans="7:7">
      <c r="G40827" s="812"/>
    </row>
    <row r="40828" spans="7:7">
      <c r="G40828" s="812"/>
    </row>
    <row r="40829" spans="7:7">
      <c r="G40829" s="812"/>
    </row>
    <row r="40830" spans="7:7">
      <c r="G40830" s="812"/>
    </row>
    <row r="40831" spans="7:7">
      <c r="G40831" s="812"/>
    </row>
    <row r="40832" spans="7:7">
      <c r="G40832" s="812"/>
    </row>
    <row r="40833" spans="7:7">
      <c r="G40833" s="812"/>
    </row>
    <row r="40834" spans="7:7">
      <c r="G40834" s="812"/>
    </row>
    <row r="40835" spans="7:7">
      <c r="G40835" s="812"/>
    </row>
    <row r="40836" spans="7:7">
      <c r="G40836" s="812"/>
    </row>
    <row r="40837" spans="7:7">
      <c r="G40837" s="812"/>
    </row>
    <row r="40838" spans="7:7">
      <c r="G40838" s="812"/>
    </row>
    <row r="40839" spans="7:7">
      <c r="G40839" s="812"/>
    </row>
    <row r="40840" spans="7:7">
      <c r="G40840" s="812"/>
    </row>
    <row r="40841" spans="7:7">
      <c r="G40841" s="812"/>
    </row>
    <row r="40842" spans="7:7">
      <c r="G40842" s="812"/>
    </row>
    <row r="40843" spans="7:7">
      <c r="G40843" s="812"/>
    </row>
    <row r="40844" spans="7:7">
      <c r="G40844" s="812"/>
    </row>
    <row r="40845" spans="7:7">
      <c r="G40845" s="812"/>
    </row>
    <row r="40846" spans="7:7">
      <c r="G40846" s="812"/>
    </row>
    <row r="40847" spans="7:7">
      <c r="G40847" s="812"/>
    </row>
    <row r="40848" spans="7:7">
      <c r="G40848" s="812"/>
    </row>
    <row r="40849" spans="7:7">
      <c r="G40849" s="812"/>
    </row>
    <row r="40850" spans="7:7">
      <c r="G40850" s="812"/>
    </row>
    <row r="40851" spans="7:7">
      <c r="G40851" s="812"/>
    </row>
    <row r="40852" spans="7:7">
      <c r="G40852" s="812"/>
    </row>
    <row r="40853" spans="7:7">
      <c r="G40853" s="812"/>
    </row>
    <row r="40854" spans="7:7">
      <c r="G40854" s="812"/>
    </row>
    <row r="40855" spans="7:7">
      <c r="G40855" s="812"/>
    </row>
    <row r="40856" spans="7:7">
      <c r="G40856" s="812"/>
    </row>
    <row r="40857" spans="7:7">
      <c r="G40857" s="812"/>
    </row>
    <row r="40858" spans="7:7">
      <c r="G40858" s="812"/>
    </row>
    <row r="40859" spans="7:7">
      <c r="G40859" s="812"/>
    </row>
    <row r="40860" spans="7:7">
      <c r="G40860" s="812"/>
    </row>
    <row r="40861" spans="7:7">
      <c r="G40861" s="812"/>
    </row>
    <row r="40862" spans="7:7">
      <c r="G40862" s="812"/>
    </row>
    <row r="40863" spans="7:7">
      <c r="G40863" s="812"/>
    </row>
    <row r="40864" spans="7:7">
      <c r="G40864" s="812"/>
    </row>
    <row r="40865" spans="7:7">
      <c r="G40865" s="812"/>
    </row>
    <row r="40866" spans="7:7">
      <c r="G40866" s="812"/>
    </row>
    <row r="40867" spans="7:7">
      <c r="G40867" s="812"/>
    </row>
    <row r="40868" spans="7:7">
      <c r="G40868" s="812"/>
    </row>
    <row r="40869" spans="7:7">
      <c r="G40869" s="812"/>
    </row>
    <row r="40870" spans="7:7">
      <c r="G40870" s="812"/>
    </row>
    <row r="40871" spans="7:7">
      <c r="G40871" s="812"/>
    </row>
    <row r="40872" spans="7:7">
      <c r="G40872" s="812"/>
    </row>
    <row r="40873" spans="7:7">
      <c r="G40873" s="812"/>
    </row>
    <row r="40874" spans="7:7">
      <c r="G40874" s="812"/>
    </row>
    <row r="40875" spans="7:7">
      <c r="G40875" s="812"/>
    </row>
    <row r="40876" spans="7:7">
      <c r="G40876" s="812"/>
    </row>
    <row r="40877" spans="7:7">
      <c r="G40877" s="812"/>
    </row>
    <row r="40878" spans="7:7">
      <c r="G40878" s="812"/>
    </row>
    <row r="40879" spans="7:7">
      <c r="G40879" s="812"/>
    </row>
    <row r="40880" spans="7:7">
      <c r="G40880" s="812"/>
    </row>
    <row r="40881" spans="7:7">
      <c r="G40881" s="812"/>
    </row>
    <row r="40882" spans="7:7">
      <c r="G40882" s="812"/>
    </row>
    <row r="40883" spans="7:7">
      <c r="G40883" s="812"/>
    </row>
    <row r="40884" spans="7:7">
      <c r="G40884" s="812"/>
    </row>
    <row r="40885" spans="7:7">
      <c r="G40885" s="812"/>
    </row>
    <row r="40886" spans="7:7">
      <c r="G40886" s="812"/>
    </row>
    <row r="40887" spans="7:7">
      <c r="G40887" s="812"/>
    </row>
    <row r="40888" spans="7:7">
      <c r="G40888" s="812"/>
    </row>
    <row r="40889" spans="7:7">
      <c r="G40889" s="812"/>
    </row>
    <row r="40890" spans="7:7">
      <c r="G40890" s="812"/>
    </row>
    <row r="40891" spans="7:7">
      <c r="G40891" s="812"/>
    </row>
    <row r="40892" spans="7:7">
      <c r="G40892" s="812"/>
    </row>
    <row r="40893" spans="7:7">
      <c r="G40893" s="812"/>
    </row>
    <row r="40894" spans="7:7">
      <c r="G40894" s="812"/>
    </row>
    <row r="40895" spans="7:7">
      <c r="G40895" s="812"/>
    </row>
    <row r="40896" spans="7:7">
      <c r="G40896" s="812"/>
    </row>
    <row r="40897" spans="7:7">
      <c r="G40897" s="812"/>
    </row>
    <row r="40898" spans="7:7">
      <c r="G40898" s="812"/>
    </row>
    <row r="40899" spans="7:7">
      <c r="G40899" s="812"/>
    </row>
    <row r="40900" spans="7:7">
      <c r="G40900" s="812"/>
    </row>
    <row r="40901" spans="7:7">
      <c r="G40901" s="812"/>
    </row>
    <row r="40902" spans="7:7">
      <c r="G40902" s="812"/>
    </row>
    <row r="40903" spans="7:7">
      <c r="G40903" s="812"/>
    </row>
    <row r="40904" spans="7:7">
      <c r="G40904" s="812"/>
    </row>
    <row r="40905" spans="7:7">
      <c r="G40905" s="812"/>
    </row>
    <row r="40906" spans="7:7">
      <c r="G40906" s="812"/>
    </row>
    <row r="40907" spans="7:7">
      <c r="G40907" s="812"/>
    </row>
    <row r="40908" spans="7:7">
      <c r="G40908" s="812"/>
    </row>
    <row r="40909" spans="7:7">
      <c r="G40909" s="812"/>
    </row>
    <row r="40910" spans="7:7">
      <c r="G40910" s="812"/>
    </row>
    <row r="40911" spans="7:7">
      <c r="G40911" s="812"/>
    </row>
    <row r="40912" spans="7:7">
      <c r="G40912" s="812"/>
    </row>
    <row r="40913" spans="7:7">
      <c r="G40913" s="812"/>
    </row>
    <row r="40914" spans="7:7">
      <c r="G40914" s="812"/>
    </row>
    <row r="40915" spans="7:7">
      <c r="G40915" s="812"/>
    </row>
    <row r="40916" spans="7:7">
      <c r="G40916" s="812"/>
    </row>
    <row r="40917" spans="7:7">
      <c r="G40917" s="812"/>
    </row>
    <row r="40918" spans="7:7">
      <c r="G40918" s="812"/>
    </row>
    <row r="40919" spans="7:7">
      <c r="G40919" s="812"/>
    </row>
    <row r="40920" spans="7:7">
      <c r="G40920" s="812"/>
    </row>
    <row r="40921" spans="7:7">
      <c r="G40921" s="812"/>
    </row>
    <row r="40922" spans="7:7">
      <c r="G40922" s="812"/>
    </row>
    <row r="40923" spans="7:7">
      <c r="G40923" s="812"/>
    </row>
    <row r="40924" spans="7:7">
      <c r="G40924" s="812"/>
    </row>
    <row r="40925" spans="7:7">
      <c r="G40925" s="812"/>
    </row>
    <row r="40926" spans="7:7">
      <c r="G40926" s="812"/>
    </row>
    <row r="40927" spans="7:7">
      <c r="G40927" s="812"/>
    </row>
    <row r="40928" spans="7:7">
      <c r="G40928" s="812"/>
    </row>
    <row r="40929" spans="7:7">
      <c r="G40929" s="812"/>
    </row>
    <row r="40930" spans="7:7">
      <c r="G40930" s="812"/>
    </row>
    <row r="40931" spans="7:7">
      <c r="G40931" s="812"/>
    </row>
    <row r="40932" spans="7:7">
      <c r="G40932" s="812"/>
    </row>
    <row r="40933" spans="7:7">
      <c r="G40933" s="812"/>
    </row>
    <row r="40934" spans="7:7">
      <c r="G40934" s="812"/>
    </row>
    <row r="40935" spans="7:7">
      <c r="G40935" s="812"/>
    </row>
    <row r="40936" spans="7:7">
      <c r="G40936" s="812"/>
    </row>
    <row r="40937" spans="7:7">
      <c r="G40937" s="812"/>
    </row>
    <row r="40938" spans="7:7">
      <c r="G40938" s="812"/>
    </row>
    <row r="40939" spans="7:7">
      <c r="G40939" s="812"/>
    </row>
    <row r="40940" spans="7:7">
      <c r="G40940" s="812"/>
    </row>
    <row r="40941" spans="7:7">
      <c r="G40941" s="812"/>
    </row>
    <row r="40942" spans="7:7">
      <c r="G40942" s="812"/>
    </row>
    <row r="40943" spans="7:7">
      <c r="G40943" s="812"/>
    </row>
    <row r="40944" spans="7:7">
      <c r="G40944" s="812"/>
    </row>
    <row r="40945" spans="7:7">
      <c r="G40945" s="812"/>
    </row>
    <row r="40946" spans="7:7">
      <c r="G40946" s="812"/>
    </row>
    <row r="40947" spans="7:7">
      <c r="G40947" s="812"/>
    </row>
    <row r="40948" spans="7:7">
      <c r="G40948" s="812"/>
    </row>
    <row r="40949" spans="7:7">
      <c r="G40949" s="812"/>
    </row>
    <row r="40950" spans="7:7">
      <c r="G40950" s="812"/>
    </row>
    <row r="40951" spans="7:7">
      <c r="G40951" s="812"/>
    </row>
    <row r="40952" spans="7:7">
      <c r="G40952" s="812"/>
    </row>
    <row r="40953" spans="7:7">
      <c r="G40953" s="812"/>
    </row>
    <row r="40954" spans="7:7">
      <c r="G40954" s="812"/>
    </row>
    <row r="40955" spans="7:7">
      <c r="G40955" s="812"/>
    </row>
    <row r="40956" spans="7:7">
      <c r="G40956" s="812"/>
    </row>
    <row r="40957" spans="7:7">
      <c r="G40957" s="812"/>
    </row>
    <row r="40958" spans="7:7">
      <c r="G40958" s="812"/>
    </row>
    <row r="40959" spans="7:7">
      <c r="G40959" s="812"/>
    </row>
    <row r="40960" spans="7:7">
      <c r="G40960" s="812"/>
    </row>
    <row r="40961" spans="7:7">
      <c r="G40961" s="812"/>
    </row>
    <row r="40962" spans="7:7">
      <c r="G40962" s="812"/>
    </row>
    <row r="40963" spans="7:7">
      <c r="G40963" s="812"/>
    </row>
    <row r="40964" spans="7:7">
      <c r="G40964" s="812"/>
    </row>
    <row r="40965" spans="7:7">
      <c r="G40965" s="812"/>
    </row>
    <row r="40966" spans="7:7">
      <c r="G40966" s="812"/>
    </row>
    <row r="40967" spans="7:7">
      <c r="G40967" s="812"/>
    </row>
    <row r="40968" spans="7:7">
      <c r="G40968" s="812"/>
    </row>
    <row r="40969" spans="7:7">
      <c r="G40969" s="812"/>
    </row>
    <row r="40970" spans="7:7">
      <c r="G40970" s="812"/>
    </row>
    <row r="40971" spans="7:7">
      <c r="G40971" s="812"/>
    </row>
    <row r="40972" spans="7:7">
      <c r="G40972" s="812"/>
    </row>
    <row r="40973" spans="7:7">
      <c r="G40973" s="812"/>
    </row>
    <row r="40974" spans="7:7">
      <c r="G40974" s="812"/>
    </row>
    <row r="40975" spans="7:7">
      <c r="G40975" s="812"/>
    </row>
    <row r="40976" spans="7:7">
      <c r="G40976" s="812"/>
    </row>
    <row r="40977" spans="7:7">
      <c r="G40977" s="812"/>
    </row>
    <row r="40978" spans="7:7">
      <c r="G40978" s="812"/>
    </row>
    <row r="40979" spans="7:7">
      <c r="G40979" s="812"/>
    </row>
    <row r="40980" spans="7:7">
      <c r="G40980" s="812"/>
    </row>
    <row r="40981" spans="7:7">
      <c r="G40981" s="812"/>
    </row>
    <row r="40982" spans="7:7">
      <c r="G40982" s="812"/>
    </row>
    <row r="40983" spans="7:7">
      <c r="G40983" s="812"/>
    </row>
    <row r="40984" spans="7:7">
      <c r="G40984" s="812"/>
    </row>
    <row r="40985" spans="7:7">
      <c r="G40985" s="812"/>
    </row>
    <row r="40986" spans="7:7">
      <c r="G40986" s="812"/>
    </row>
    <row r="40987" spans="7:7">
      <c r="G40987" s="812"/>
    </row>
    <row r="40988" spans="7:7">
      <c r="G40988" s="812"/>
    </row>
    <row r="40989" spans="7:7">
      <c r="G40989" s="812"/>
    </row>
    <row r="40990" spans="7:7">
      <c r="G40990" s="812"/>
    </row>
    <row r="40991" spans="7:7">
      <c r="G40991" s="812"/>
    </row>
    <row r="40992" spans="7:7">
      <c r="G40992" s="812"/>
    </row>
    <row r="40993" spans="7:7">
      <c r="G40993" s="812"/>
    </row>
    <row r="40994" spans="7:7">
      <c r="G40994" s="812"/>
    </row>
    <row r="40995" spans="7:7">
      <c r="G40995" s="812"/>
    </row>
    <row r="40996" spans="7:7">
      <c r="G40996" s="812"/>
    </row>
    <row r="40997" spans="7:7">
      <c r="G40997" s="812"/>
    </row>
    <row r="40998" spans="7:7">
      <c r="G40998" s="812"/>
    </row>
    <row r="40999" spans="7:7">
      <c r="G40999" s="812"/>
    </row>
    <row r="41000" spans="7:7">
      <c r="G41000" s="812"/>
    </row>
    <row r="41001" spans="7:7">
      <c r="G41001" s="812"/>
    </row>
    <row r="41002" spans="7:7">
      <c r="G41002" s="812"/>
    </row>
    <row r="41003" spans="7:7">
      <c r="G41003" s="812"/>
    </row>
    <row r="41004" spans="7:7">
      <c r="G41004" s="812"/>
    </row>
    <row r="41005" spans="7:7">
      <c r="G41005" s="812"/>
    </row>
    <row r="41006" spans="7:7">
      <c r="G41006" s="812"/>
    </row>
    <row r="41007" spans="7:7">
      <c r="G41007" s="812"/>
    </row>
    <row r="41008" spans="7:7">
      <c r="G41008" s="812"/>
    </row>
    <row r="41009" spans="7:7">
      <c r="G41009" s="812"/>
    </row>
    <row r="41010" spans="7:7">
      <c r="G41010" s="812"/>
    </row>
    <row r="41011" spans="7:7">
      <c r="G41011" s="812"/>
    </row>
    <row r="41012" spans="7:7">
      <c r="G41012" s="812"/>
    </row>
    <row r="41013" spans="7:7">
      <c r="G41013" s="812"/>
    </row>
    <row r="41014" spans="7:7">
      <c r="G41014" s="812"/>
    </row>
    <row r="41015" spans="7:7">
      <c r="G41015" s="812"/>
    </row>
    <row r="41016" spans="7:7">
      <c r="G41016" s="812"/>
    </row>
    <row r="41017" spans="7:7">
      <c r="G41017" s="812"/>
    </row>
    <row r="41018" spans="7:7">
      <c r="G41018" s="812"/>
    </row>
    <row r="41019" spans="7:7">
      <c r="G41019" s="812"/>
    </row>
    <row r="41020" spans="7:7">
      <c r="G41020" s="812"/>
    </row>
    <row r="41021" spans="7:7">
      <c r="G41021" s="812"/>
    </row>
    <row r="41022" spans="7:7">
      <c r="G41022" s="812"/>
    </row>
    <row r="41023" spans="7:7">
      <c r="G41023" s="812"/>
    </row>
    <row r="41024" spans="7:7">
      <c r="G41024" s="812"/>
    </row>
    <row r="41025" spans="7:7">
      <c r="G41025" s="812"/>
    </row>
    <row r="41026" spans="7:7">
      <c r="G41026" s="812"/>
    </row>
    <row r="41027" spans="7:7">
      <c r="G41027" s="812"/>
    </row>
    <row r="41028" spans="7:7">
      <c r="G41028" s="812"/>
    </row>
    <row r="41029" spans="7:7">
      <c r="G41029" s="812"/>
    </row>
    <row r="41030" spans="7:7">
      <c r="G41030" s="812"/>
    </row>
    <row r="41031" spans="7:7">
      <c r="G41031" s="812"/>
    </row>
    <row r="41032" spans="7:7">
      <c r="G41032" s="812"/>
    </row>
    <row r="41033" spans="7:7">
      <c r="G41033" s="812"/>
    </row>
    <row r="41034" spans="7:7">
      <c r="G41034" s="812"/>
    </row>
    <row r="41035" spans="7:7">
      <c r="G41035" s="812"/>
    </row>
    <row r="41036" spans="7:7">
      <c r="G41036" s="812"/>
    </row>
    <row r="41037" spans="7:7">
      <c r="G41037" s="812"/>
    </row>
    <row r="41038" spans="7:7">
      <c r="G41038" s="812"/>
    </row>
    <row r="41039" spans="7:7">
      <c r="G41039" s="812"/>
    </row>
    <row r="41040" spans="7:7">
      <c r="G41040" s="812"/>
    </row>
    <row r="41041" spans="7:7">
      <c r="G41041" s="812"/>
    </row>
    <row r="41042" spans="7:7">
      <c r="G41042" s="812"/>
    </row>
    <row r="41043" spans="7:7">
      <c r="G41043" s="812"/>
    </row>
    <row r="41044" spans="7:7">
      <c r="G41044" s="812"/>
    </row>
    <row r="41045" spans="7:7">
      <c r="G41045" s="812"/>
    </row>
    <row r="41046" spans="7:7">
      <c r="G41046" s="812"/>
    </row>
    <row r="41047" spans="7:7">
      <c r="G41047" s="812"/>
    </row>
    <row r="41048" spans="7:7">
      <c r="G41048" s="812"/>
    </row>
    <row r="41049" spans="7:7">
      <c r="G41049" s="812"/>
    </row>
    <row r="41050" spans="7:7">
      <c r="G41050" s="812"/>
    </row>
    <row r="41051" spans="7:7">
      <c r="G41051" s="812"/>
    </row>
    <row r="41052" spans="7:7">
      <c r="G41052" s="812"/>
    </row>
    <row r="41053" spans="7:7">
      <c r="G41053" s="812"/>
    </row>
    <row r="41054" spans="7:7">
      <c r="G41054" s="812"/>
    </row>
    <row r="41055" spans="7:7">
      <c r="G41055" s="812"/>
    </row>
    <row r="41056" spans="7:7">
      <c r="G41056" s="812"/>
    </row>
    <row r="41057" spans="7:7">
      <c r="G41057" s="812"/>
    </row>
    <row r="41058" spans="7:7">
      <c r="G41058" s="812"/>
    </row>
    <row r="41059" spans="7:7">
      <c r="G41059" s="812"/>
    </row>
    <row r="41060" spans="7:7">
      <c r="G41060" s="812"/>
    </row>
    <row r="41061" spans="7:7">
      <c r="G41061" s="812"/>
    </row>
    <row r="41062" spans="7:7">
      <c r="G41062" s="812"/>
    </row>
    <row r="41063" spans="7:7">
      <c r="G41063" s="812"/>
    </row>
    <row r="41064" spans="7:7">
      <c r="G41064" s="812"/>
    </row>
    <row r="41065" spans="7:7">
      <c r="G41065" s="812"/>
    </row>
    <row r="41066" spans="7:7">
      <c r="G41066" s="812"/>
    </row>
    <row r="41067" spans="7:7">
      <c r="G41067" s="812"/>
    </row>
    <row r="41068" spans="7:7">
      <c r="G41068" s="812"/>
    </row>
    <row r="41069" spans="7:7">
      <c r="G41069" s="812"/>
    </row>
    <row r="41070" spans="7:7">
      <c r="G41070" s="812"/>
    </row>
    <row r="41071" spans="7:7">
      <c r="G41071" s="812"/>
    </row>
    <row r="41072" spans="7:7">
      <c r="G41072" s="812"/>
    </row>
    <row r="41073" spans="7:7">
      <c r="G41073" s="812"/>
    </row>
    <row r="41074" spans="7:7">
      <c r="G41074" s="812"/>
    </row>
    <row r="41075" spans="7:7">
      <c r="G41075" s="812"/>
    </row>
    <row r="41076" spans="7:7">
      <c r="G41076" s="812"/>
    </row>
    <row r="41077" spans="7:7">
      <c r="G41077" s="812"/>
    </row>
    <row r="41078" spans="7:7">
      <c r="G41078" s="812"/>
    </row>
    <row r="41079" spans="7:7">
      <c r="G41079" s="812"/>
    </row>
    <row r="41080" spans="7:7">
      <c r="G41080" s="812"/>
    </row>
    <row r="41081" spans="7:7">
      <c r="G41081" s="812"/>
    </row>
    <row r="41082" spans="7:7">
      <c r="G41082" s="812"/>
    </row>
    <row r="41083" spans="7:7">
      <c r="G41083" s="812"/>
    </row>
    <row r="41084" spans="7:7">
      <c r="G41084" s="812"/>
    </row>
    <row r="41085" spans="7:7">
      <c r="G41085" s="812"/>
    </row>
    <row r="41086" spans="7:7">
      <c r="G41086" s="812"/>
    </row>
    <row r="41087" spans="7:7">
      <c r="G41087" s="812"/>
    </row>
    <row r="41088" spans="7:7">
      <c r="G41088" s="812"/>
    </row>
    <row r="41089" spans="7:7">
      <c r="G41089" s="812"/>
    </row>
    <row r="41090" spans="7:7">
      <c r="G41090" s="812"/>
    </row>
    <row r="41091" spans="7:7">
      <c r="G41091" s="812"/>
    </row>
    <row r="41092" spans="7:7">
      <c r="G41092" s="812"/>
    </row>
    <row r="41093" spans="7:7">
      <c r="G41093" s="812"/>
    </row>
    <row r="41094" spans="7:7">
      <c r="G41094" s="812"/>
    </row>
    <row r="41095" spans="7:7">
      <c r="G41095" s="812"/>
    </row>
    <row r="41096" spans="7:7">
      <c r="G41096" s="812"/>
    </row>
    <row r="41097" spans="7:7">
      <c r="G41097" s="812"/>
    </row>
    <row r="41098" spans="7:7">
      <c r="G41098" s="812"/>
    </row>
    <row r="41099" spans="7:7">
      <c r="G41099" s="812"/>
    </row>
    <row r="41100" spans="7:7">
      <c r="G41100" s="812"/>
    </row>
    <row r="41101" spans="7:7">
      <c r="G41101" s="812"/>
    </row>
    <row r="41102" spans="7:7">
      <c r="G41102" s="812"/>
    </row>
    <row r="41103" spans="7:7">
      <c r="G41103" s="812"/>
    </row>
    <row r="41104" spans="7:7">
      <c r="G41104" s="812"/>
    </row>
    <row r="41105" spans="7:7">
      <c r="G41105" s="812"/>
    </row>
    <row r="41106" spans="7:7">
      <c r="G41106" s="812"/>
    </row>
    <row r="41107" spans="7:7">
      <c r="G41107" s="812"/>
    </row>
    <row r="41108" spans="7:7">
      <c r="G41108" s="812"/>
    </row>
    <row r="41109" spans="7:7">
      <c r="G41109" s="812"/>
    </row>
    <row r="41110" spans="7:7">
      <c r="G41110" s="812"/>
    </row>
    <row r="41111" spans="7:7">
      <c r="G41111" s="812"/>
    </row>
    <row r="41112" spans="7:7">
      <c r="G41112" s="812"/>
    </row>
    <row r="41113" spans="7:7">
      <c r="G41113" s="812"/>
    </row>
    <row r="41114" spans="7:7">
      <c r="G41114" s="812"/>
    </row>
    <row r="41115" spans="7:7">
      <c r="G41115" s="812"/>
    </row>
    <row r="41116" spans="7:7">
      <c r="G41116" s="812"/>
    </row>
    <row r="41117" spans="7:7">
      <c r="G41117" s="812"/>
    </row>
    <row r="41118" spans="7:7">
      <c r="G41118" s="812"/>
    </row>
    <row r="41119" spans="7:7">
      <c r="G41119" s="812"/>
    </row>
    <row r="41120" spans="7:7">
      <c r="G41120" s="812"/>
    </row>
    <row r="41121" spans="7:7">
      <c r="G41121" s="812"/>
    </row>
    <row r="41122" spans="7:7">
      <c r="G41122" s="812"/>
    </row>
    <row r="41123" spans="7:7">
      <c r="G41123" s="812"/>
    </row>
    <row r="41124" spans="7:7">
      <c r="G41124" s="812"/>
    </row>
    <row r="41125" spans="7:7">
      <c r="G41125" s="812"/>
    </row>
    <row r="41126" spans="7:7">
      <c r="G41126" s="812"/>
    </row>
    <row r="41127" spans="7:7">
      <c r="G41127" s="812"/>
    </row>
    <row r="41128" spans="7:7">
      <c r="G41128" s="812"/>
    </row>
    <row r="41129" spans="7:7">
      <c r="G41129" s="812"/>
    </row>
    <row r="41130" spans="7:7">
      <c r="G41130" s="812"/>
    </row>
    <row r="41131" spans="7:7">
      <c r="G41131" s="812"/>
    </row>
    <row r="41132" spans="7:7">
      <c r="G41132" s="812"/>
    </row>
    <row r="41133" spans="7:7">
      <c r="G41133" s="812"/>
    </row>
    <row r="41134" spans="7:7">
      <c r="G41134" s="812"/>
    </row>
    <row r="41135" spans="7:7">
      <c r="G41135" s="812"/>
    </row>
    <row r="41136" spans="7:7">
      <c r="G41136" s="812"/>
    </row>
    <row r="41137" spans="7:7">
      <c r="G41137" s="812"/>
    </row>
    <row r="41138" spans="7:7">
      <c r="G41138" s="812"/>
    </row>
    <row r="41139" spans="7:7">
      <c r="G41139" s="812"/>
    </row>
    <row r="41140" spans="7:7">
      <c r="G41140" s="812"/>
    </row>
    <row r="41141" spans="7:7">
      <c r="G41141" s="812"/>
    </row>
    <row r="41142" spans="7:7">
      <c r="G41142" s="812"/>
    </row>
    <row r="41143" spans="7:7">
      <c r="G41143" s="812"/>
    </row>
    <row r="41144" spans="7:7">
      <c r="G41144" s="812"/>
    </row>
    <row r="41145" spans="7:7">
      <c r="G41145" s="812"/>
    </row>
    <row r="41146" spans="7:7">
      <c r="G41146" s="812"/>
    </row>
    <row r="41147" spans="7:7">
      <c r="G41147" s="812"/>
    </row>
    <row r="41148" spans="7:7">
      <c r="G41148" s="812"/>
    </row>
    <row r="41149" spans="7:7">
      <c r="G41149" s="812"/>
    </row>
    <row r="41150" spans="7:7">
      <c r="G41150" s="812"/>
    </row>
    <row r="41151" spans="7:7">
      <c r="G41151" s="812"/>
    </row>
    <row r="41152" spans="7:7">
      <c r="G41152" s="812"/>
    </row>
    <row r="41153" spans="7:7">
      <c r="G41153" s="812"/>
    </row>
    <row r="41154" spans="7:7">
      <c r="G41154" s="812"/>
    </row>
    <row r="41155" spans="7:7">
      <c r="G41155" s="812"/>
    </row>
    <row r="41156" spans="7:7">
      <c r="G41156" s="812"/>
    </row>
    <row r="41157" spans="7:7">
      <c r="G41157" s="812"/>
    </row>
    <row r="41158" spans="7:7">
      <c r="G41158" s="812"/>
    </row>
    <row r="41159" spans="7:7">
      <c r="G41159" s="812"/>
    </row>
    <row r="41160" spans="7:7">
      <c r="G41160" s="812"/>
    </row>
    <row r="41161" spans="7:7">
      <c r="G41161" s="812"/>
    </row>
    <row r="41162" spans="7:7">
      <c r="G41162" s="812"/>
    </row>
    <row r="41163" spans="7:7">
      <c r="G41163" s="812"/>
    </row>
    <row r="41164" spans="7:7">
      <c r="G41164" s="812"/>
    </row>
    <row r="41165" spans="7:7">
      <c r="G41165" s="812"/>
    </row>
    <row r="41166" spans="7:7">
      <c r="G41166" s="812"/>
    </row>
    <row r="41167" spans="7:7">
      <c r="G41167" s="812"/>
    </row>
    <row r="41168" spans="7:7">
      <c r="G41168" s="812"/>
    </row>
    <row r="41169" spans="7:7">
      <c r="G41169" s="812"/>
    </row>
    <row r="41170" spans="7:7">
      <c r="G41170" s="812"/>
    </row>
    <row r="41171" spans="7:7">
      <c r="G41171" s="812"/>
    </row>
    <row r="41172" spans="7:7">
      <c r="G41172" s="812"/>
    </row>
    <row r="41173" spans="7:7">
      <c r="G41173" s="812"/>
    </row>
    <row r="41174" spans="7:7">
      <c r="G41174" s="812"/>
    </row>
    <row r="41175" spans="7:7">
      <c r="G41175" s="812"/>
    </row>
    <row r="41176" spans="7:7">
      <c r="G41176" s="812"/>
    </row>
    <row r="41177" spans="7:7">
      <c r="G41177" s="812"/>
    </row>
    <row r="41178" spans="7:7">
      <c r="G41178" s="812"/>
    </row>
    <row r="41179" spans="7:7">
      <c r="G41179" s="812"/>
    </row>
    <row r="41180" spans="7:7">
      <c r="G41180" s="812"/>
    </row>
    <row r="41181" spans="7:7">
      <c r="G41181" s="812"/>
    </row>
    <row r="41182" spans="7:7">
      <c r="G41182" s="812"/>
    </row>
    <row r="41183" spans="7:7">
      <c r="G41183" s="812"/>
    </row>
    <row r="41184" spans="7:7">
      <c r="G41184" s="812"/>
    </row>
    <row r="41185" spans="7:7">
      <c r="G41185" s="812"/>
    </row>
    <row r="41186" spans="7:7">
      <c r="G41186" s="812"/>
    </row>
    <row r="41187" spans="7:7">
      <c r="G41187" s="812"/>
    </row>
    <row r="41188" spans="7:7">
      <c r="G41188" s="812"/>
    </row>
    <row r="41189" spans="7:7">
      <c r="G41189" s="812"/>
    </row>
    <row r="41190" spans="7:7">
      <c r="G41190" s="812"/>
    </row>
    <row r="41191" spans="7:7">
      <c r="G41191" s="812"/>
    </row>
    <row r="41192" spans="7:7">
      <c r="G41192" s="812"/>
    </row>
    <row r="41193" spans="7:7">
      <c r="G41193" s="812"/>
    </row>
    <row r="41194" spans="7:7">
      <c r="G41194" s="812"/>
    </row>
    <row r="41195" spans="7:7">
      <c r="G41195" s="812"/>
    </row>
    <row r="41196" spans="7:7">
      <c r="G41196" s="812"/>
    </row>
    <row r="41197" spans="7:7">
      <c r="G41197" s="812"/>
    </row>
    <row r="41198" spans="7:7">
      <c r="G41198" s="812"/>
    </row>
    <row r="41199" spans="7:7">
      <c r="G41199" s="812"/>
    </row>
    <row r="41200" spans="7:7">
      <c r="G41200" s="812"/>
    </row>
    <row r="41201" spans="7:7">
      <c r="G41201" s="812"/>
    </row>
    <row r="41202" spans="7:7">
      <c r="G41202" s="812"/>
    </row>
    <row r="41203" spans="7:7">
      <c r="G41203" s="812"/>
    </row>
    <row r="41204" spans="7:7">
      <c r="G41204" s="812"/>
    </row>
    <row r="41205" spans="7:7">
      <c r="G41205" s="812"/>
    </row>
    <row r="41206" spans="7:7">
      <c r="G41206" s="812"/>
    </row>
    <row r="41207" spans="7:7">
      <c r="G41207" s="812"/>
    </row>
    <row r="41208" spans="7:7">
      <c r="G41208" s="812"/>
    </row>
    <row r="41209" spans="7:7">
      <c r="G41209" s="812"/>
    </row>
    <row r="41210" spans="7:7">
      <c r="G41210" s="812"/>
    </row>
    <row r="41211" spans="7:7">
      <c r="G41211" s="812"/>
    </row>
    <row r="41212" spans="7:7">
      <c r="G41212" s="812"/>
    </row>
    <row r="41213" spans="7:7">
      <c r="G41213" s="812"/>
    </row>
    <row r="41214" spans="7:7">
      <c r="G41214" s="812"/>
    </row>
    <row r="41215" spans="7:7">
      <c r="G41215" s="812"/>
    </row>
    <row r="41216" spans="7:7">
      <c r="G41216" s="812"/>
    </row>
    <row r="41217" spans="7:7">
      <c r="G41217" s="812"/>
    </row>
    <row r="41218" spans="7:7">
      <c r="G41218" s="812"/>
    </row>
    <row r="41219" spans="7:7">
      <c r="G41219" s="812"/>
    </row>
    <row r="41220" spans="7:7">
      <c r="G41220" s="812"/>
    </row>
    <row r="41221" spans="7:7">
      <c r="G41221" s="812"/>
    </row>
    <row r="41222" spans="7:7">
      <c r="G41222" s="812"/>
    </row>
    <row r="41223" spans="7:7">
      <c r="G41223" s="812"/>
    </row>
    <row r="41224" spans="7:7">
      <c r="G41224" s="812"/>
    </row>
    <row r="41225" spans="7:7">
      <c r="G41225" s="812"/>
    </row>
    <row r="41226" spans="7:7">
      <c r="G41226" s="812"/>
    </row>
    <row r="41227" spans="7:7">
      <c r="G41227" s="812"/>
    </row>
    <row r="41228" spans="7:7">
      <c r="G41228" s="812"/>
    </row>
    <row r="41229" spans="7:7">
      <c r="G41229" s="812"/>
    </row>
    <row r="41230" spans="7:7">
      <c r="G41230" s="812"/>
    </row>
    <row r="41231" spans="7:7">
      <c r="G41231" s="812"/>
    </row>
    <row r="41232" spans="7:7">
      <c r="G41232" s="812"/>
    </row>
    <row r="41233" spans="7:7">
      <c r="G41233" s="812"/>
    </row>
    <row r="41234" spans="7:7">
      <c r="G41234" s="812"/>
    </row>
    <row r="41235" spans="7:7">
      <c r="G41235" s="812"/>
    </row>
    <row r="41236" spans="7:7">
      <c r="G41236" s="812"/>
    </row>
    <row r="41237" spans="7:7">
      <c r="G41237" s="812"/>
    </row>
    <row r="41238" spans="7:7">
      <c r="G41238" s="812"/>
    </row>
    <row r="41239" spans="7:7">
      <c r="G41239" s="812"/>
    </row>
    <row r="41240" spans="7:7">
      <c r="G41240" s="812"/>
    </row>
    <row r="41241" spans="7:7">
      <c r="G41241" s="812"/>
    </row>
    <row r="41242" spans="7:7">
      <c r="G41242" s="812"/>
    </row>
    <row r="41243" spans="7:7">
      <c r="G41243" s="812"/>
    </row>
    <row r="41244" spans="7:7">
      <c r="G41244" s="812"/>
    </row>
    <row r="41245" spans="7:7">
      <c r="G41245" s="812"/>
    </row>
    <row r="41246" spans="7:7">
      <c r="G41246" s="812"/>
    </row>
    <row r="41247" spans="7:7">
      <c r="G41247" s="812"/>
    </row>
    <row r="41248" spans="7:7">
      <c r="G41248" s="812"/>
    </row>
    <row r="41249" spans="7:7">
      <c r="G41249" s="812"/>
    </row>
    <row r="41250" spans="7:7">
      <c r="G41250" s="812"/>
    </row>
    <row r="41251" spans="7:7">
      <c r="G41251" s="812"/>
    </row>
    <row r="41252" spans="7:7">
      <c r="G41252" s="812"/>
    </row>
    <row r="41253" spans="7:7">
      <c r="G41253" s="812"/>
    </row>
    <row r="41254" spans="7:7">
      <c r="G41254" s="812"/>
    </row>
    <row r="41255" spans="7:7">
      <c r="G41255" s="812"/>
    </row>
    <row r="41256" spans="7:7">
      <c r="G41256" s="812"/>
    </row>
    <row r="41257" spans="7:7">
      <c r="G41257" s="812"/>
    </row>
    <row r="41258" spans="7:7">
      <c r="G41258" s="812"/>
    </row>
    <row r="41259" spans="7:7">
      <c r="G41259" s="812"/>
    </row>
    <row r="41260" spans="7:7">
      <c r="G41260" s="812"/>
    </row>
    <row r="41261" spans="7:7">
      <c r="G41261" s="812"/>
    </row>
    <row r="41262" spans="7:7">
      <c r="G41262" s="812"/>
    </row>
    <row r="41263" spans="7:7">
      <c r="G41263" s="812"/>
    </row>
    <row r="41264" spans="7:7">
      <c r="G41264" s="812"/>
    </row>
    <row r="41265" spans="7:7">
      <c r="G41265" s="812"/>
    </row>
    <row r="41266" spans="7:7">
      <c r="G41266" s="812"/>
    </row>
    <row r="41267" spans="7:7">
      <c r="G41267" s="812"/>
    </row>
    <row r="41268" spans="7:7">
      <c r="G41268" s="812"/>
    </row>
    <row r="41269" spans="7:7">
      <c r="G41269" s="812"/>
    </row>
    <row r="41270" spans="7:7">
      <c r="G41270" s="812"/>
    </row>
    <row r="41271" spans="7:7">
      <c r="G41271" s="812"/>
    </row>
    <row r="41272" spans="7:7">
      <c r="G41272" s="812"/>
    </row>
    <row r="41273" spans="7:7">
      <c r="G41273" s="812"/>
    </row>
    <row r="41274" spans="7:7">
      <c r="G41274" s="812"/>
    </row>
    <row r="41275" spans="7:7">
      <c r="G41275" s="812"/>
    </row>
    <row r="41276" spans="7:7">
      <c r="G41276" s="812"/>
    </row>
    <row r="41277" spans="7:7">
      <c r="G41277" s="812"/>
    </row>
    <row r="41278" spans="7:7">
      <c r="G41278" s="812"/>
    </row>
    <row r="41279" spans="7:7">
      <c r="G41279" s="812"/>
    </row>
    <row r="41280" spans="7:7">
      <c r="G41280" s="812"/>
    </row>
    <row r="41281" spans="7:7">
      <c r="G41281" s="812"/>
    </row>
    <row r="41282" spans="7:7">
      <c r="G41282" s="812"/>
    </row>
    <row r="41283" spans="7:7">
      <c r="G41283" s="812"/>
    </row>
    <row r="41284" spans="7:7">
      <c r="G41284" s="812"/>
    </row>
    <row r="41285" spans="7:7">
      <c r="G41285" s="812"/>
    </row>
    <row r="41286" spans="7:7">
      <c r="G41286" s="812"/>
    </row>
    <row r="41287" spans="7:7">
      <c r="G41287" s="812"/>
    </row>
    <row r="41288" spans="7:7">
      <c r="G41288" s="812"/>
    </row>
    <row r="41289" spans="7:7">
      <c r="G41289" s="812"/>
    </row>
    <row r="41290" spans="7:7">
      <c r="G41290" s="812"/>
    </row>
    <row r="41291" spans="7:7">
      <c r="G41291" s="812"/>
    </row>
    <row r="41292" spans="7:7">
      <c r="G41292" s="812"/>
    </row>
    <row r="41293" spans="7:7">
      <c r="G41293" s="812"/>
    </row>
    <row r="41294" spans="7:7">
      <c r="G41294" s="812"/>
    </row>
    <row r="41295" spans="7:7">
      <c r="G41295" s="812"/>
    </row>
    <row r="41296" spans="7:7">
      <c r="G41296" s="812"/>
    </row>
    <row r="41297" spans="7:7">
      <c r="G41297" s="812"/>
    </row>
    <row r="41298" spans="7:7">
      <c r="G41298" s="812"/>
    </row>
    <row r="41299" spans="7:7">
      <c r="G41299" s="812"/>
    </row>
    <row r="41300" spans="7:7">
      <c r="G41300" s="812"/>
    </row>
    <row r="41301" spans="7:7">
      <c r="G41301" s="812"/>
    </row>
    <row r="41302" spans="7:7">
      <c r="G41302" s="812"/>
    </row>
    <row r="41303" spans="7:7">
      <c r="G41303" s="812"/>
    </row>
    <row r="41304" spans="7:7">
      <c r="G41304" s="812"/>
    </row>
    <row r="41305" spans="7:7">
      <c r="G41305" s="812"/>
    </row>
    <row r="41306" spans="7:7">
      <c r="G41306" s="812"/>
    </row>
    <row r="41307" spans="7:7">
      <c r="G41307" s="812"/>
    </row>
    <row r="41308" spans="7:7">
      <c r="G41308" s="812"/>
    </row>
    <row r="41309" spans="7:7">
      <c r="G41309" s="812"/>
    </row>
    <row r="41310" spans="7:7">
      <c r="G41310" s="812"/>
    </row>
    <row r="41311" spans="7:7">
      <c r="G41311" s="812"/>
    </row>
    <row r="41312" spans="7:7">
      <c r="G41312" s="812"/>
    </row>
    <row r="41313" spans="7:7">
      <c r="G41313" s="812"/>
    </row>
    <row r="41314" spans="7:7">
      <c r="G41314" s="812"/>
    </row>
    <row r="41315" spans="7:7">
      <c r="G41315" s="812"/>
    </row>
    <row r="41316" spans="7:7">
      <c r="G41316" s="812"/>
    </row>
    <row r="41317" spans="7:7">
      <c r="G41317" s="812"/>
    </row>
    <row r="41318" spans="7:7">
      <c r="G41318" s="812"/>
    </row>
    <row r="41319" spans="7:7">
      <c r="G41319" s="812"/>
    </row>
    <row r="41320" spans="7:7">
      <c r="G41320" s="812"/>
    </row>
    <row r="41321" spans="7:7">
      <c r="G41321" s="812"/>
    </row>
    <row r="41322" spans="7:7">
      <c r="G41322" s="812"/>
    </row>
    <row r="41323" spans="7:7">
      <c r="G41323" s="812"/>
    </row>
    <row r="41324" spans="7:7">
      <c r="G41324" s="812"/>
    </row>
    <row r="41325" spans="7:7">
      <c r="G41325" s="812"/>
    </row>
    <row r="41326" spans="7:7">
      <c r="G41326" s="812"/>
    </row>
    <row r="41327" spans="7:7">
      <c r="G41327" s="812"/>
    </row>
    <row r="41328" spans="7:7">
      <c r="G41328" s="812"/>
    </row>
    <row r="41329" spans="7:7">
      <c r="G41329" s="812"/>
    </row>
    <row r="41330" spans="7:7">
      <c r="G41330" s="812"/>
    </row>
    <row r="41331" spans="7:7">
      <c r="G41331" s="812"/>
    </row>
    <row r="41332" spans="7:7">
      <c r="G41332" s="812"/>
    </row>
    <row r="41333" spans="7:7">
      <c r="G41333" s="812"/>
    </row>
    <row r="41334" spans="7:7">
      <c r="G41334" s="812"/>
    </row>
    <row r="41335" spans="7:7">
      <c r="G41335" s="812"/>
    </row>
    <row r="41336" spans="7:7">
      <c r="G41336" s="812"/>
    </row>
    <row r="41337" spans="7:7">
      <c r="G41337" s="812"/>
    </row>
    <row r="41338" spans="7:7">
      <c r="G41338" s="812"/>
    </row>
    <row r="41339" spans="7:7">
      <c r="G41339" s="812"/>
    </row>
    <row r="41340" spans="7:7">
      <c r="G41340" s="812"/>
    </row>
    <row r="41341" spans="7:7">
      <c r="G41341" s="812"/>
    </row>
    <row r="41342" spans="7:7">
      <c r="G41342" s="812"/>
    </row>
    <row r="41343" spans="7:7">
      <c r="G41343" s="812"/>
    </row>
    <row r="41344" spans="7:7">
      <c r="G41344" s="812"/>
    </row>
    <row r="41345" spans="7:7">
      <c r="G41345" s="812"/>
    </row>
    <row r="41346" spans="7:7">
      <c r="G41346" s="812"/>
    </row>
    <row r="41347" spans="7:7">
      <c r="G41347" s="812"/>
    </row>
    <row r="41348" spans="7:7">
      <c r="G41348" s="812"/>
    </row>
    <row r="41349" spans="7:7">
      <c r="G41349" s="812"/>
    </row>
    <row r="41350" spans="7:7">
      <c r="G41350" s="812"/>
    </row>
    <row r="41351" spans="7:7">
      <c r="G41351" s="812"/>
    </row>
    <row r="41352" spans="7:7">
      <c r="G41352" s="812"/>
    </row>
    <row r="41353" spans="7:7">
      <c r="G41353" s="812"/>
    </row>
    <row r="41354" spans="7:7">
      <c r="G41354" s="812"/>
    </row>
    <row r="41355" spans="7:7">
      <c r="G41355" s="812"/>
    </row>
    <row r="41356" spans="7:7">
      <c r="G41356" s="812"/>
    </row>
    <row r="41357" spans="7:7">
      <c r="G41357" s="812"/>
    </row>
    <row r="41358" spans="7:7">
      <c r="G41358" s="812"/>
    </row>
    <row r="41359" spans="7:7">
      <c r="G41359" s="812"/>
    </row>
    <row r="41360" spans="7:7">
      <c r="G41360" s="812"/>
    </row>
    <row r="41361" spans="7:7">
      <c r="G41361" s="812"/>
    </row>
    <row r="41362" spans="7:7">
      <c r="G41362" s="812"/>
    </row>
    <row r="41363" spans="7:7">
      <c r="G41363" s="812"/>
    </row>
    <row r="41364" spans="7:7">
      <c r="G41364" s="812"/>
    </row>
    <row r="41365" spans="7:7">
      <c r="G41365" s="812"/>
    </row>
    <row r="41366" spans="7:7">
      <c r="G41366" s="812"/>
    </row>
    <row r="41367" spans="7:7">
      <c r="G41367" s="812"/>
    </row>
    <row r="41368" spans="7:7">
      <c r="G41368" s="812"/>
    </row>
    <row r="41369" spans="7:7">
      <c r="G41369" s="812"/>
    </row>
    <row r="41370" spans="7:7">
      <c r="G41370" s="812"/>
    </row>
    <row r="41371" spans="7:7">
      <c r="G41371" s="812"/>
    </row>
    <row r="41372" spans="7:7">
      <c r="G41372" s="812"/>
    </row>
    <row r="41373" spans="7:7">
      <c r="G41373" s="812"/>
    </row>
    <row r="41374" spans="7:7">
      <c r="G41374" s="812"/>
    </row>
    <row r="41375" spans="7:7">
      <c r="G41375" s="812"/>
    </row>
    <row r="41376" spans="7:7">
      <c r="G41376" s="812"/>
    </row>
    <row r="41377" spans="7:7">
      <c r="G41377" s="812"/>
    </row>
    <row r="41378" spans="7:7">
      <c r="G41378" s="812"/>
    </row>
    <row r="41379" spans="7:7">
      <c r="G41379" s="812"/>
    </row>
    <row r="41380" spans="7:7">
      <c r="G41380" s="812"/>
    </row>
    <row r="41381" spans="7:7">
      <c r="G41381" s="812"/>
    </row>
    <row r="41382" spans="7:7">
      <c r="G41382" s="812"/>
    </row>
    <row r="41383" spans="7:7">
      <c r="G41383" s="812"/>
    </row>
    <row r="41384" spans="7:7">
      <c r="G41384" s="812"/>
    </row>
    <row r="41385" spans="7:7">
      <c r="G41385" s="812"/>
    </row>
    <row r="41386" spans="7:7">
      <c r="G41386" s="812"/>
    </row>
    <row r="41387" spans="7:7">
      <c r="G41387" s="812"/>
    </row>
    <row r="41388" spans="7:7">
      <c r="G41388" s="812"/>
    </row>
    <row r="41389" spans="7:7">
      <c r="G41389" s="812"/>
    </row>
    <row r="41390" spans="7:7">
      <c r="G41390" s="812"/>
    </row>
    <row r="41391" spans="7:7">
      <c r="G41391" s="812"/>
    </row>
    <row r="41392" spans="7:7">
      <c r="G41392" s="812"/>
    </row>
    <row r="41393" spans="7:7">
      <c r="G41393" s="812"/>
    </row>
    <row r="41394" spans="7:7">
      <c r="G41394" s="812"/>
    </row>
    <row r="41395" spans="7:7">
      <c r="G41395" s="812"/>
    </row>
    <row r="41396" spans="7:7">
      <c r="G41396" s="812"/>
    </row>
    <row r="41397" spans="7:7">
      <c r="G41397" s="812"/>
    </row>
    <row r="41398" spans="7:7">
      <c r="G41398" s="812"/>
    </row>
    <row r="41399" spans="7:7">
      <c r="G41399" s="812"/>
    </row>
    <row r="41400" spans="7:7">
      <c r="G41400" s="812"/>
    </row>
    <row r="41401" spans="7:7">
      <c r="G41401" s="812"/>
    </row>
    <row r="41402" spans="7:7">
      <c r="G41402" s="812"/>
    </row>
    <row r="41403" spans="7:7">
      <c r="G41403" s="812"/>
    </row>
    <row r="41404" spans="7:7">
      <c r="G41404" s="812"/>
    </row>
    <row r="41405" spans="7:7">
      <c r="G41405" s="812"/>
    </row>
    <row r="41406" spans="7:7">
      <c r="G41406" s="812"/>
    </row>
    <row r="41407" spans="7:7">
      <c r="G41407" s="812"/>
    </row>
    <row r="41408" spans="7:7">
      <c r="G41408" s="812"/>
    </row>
    <row r="41409" spans="7:7">
      <c r="G41409" s="812"/>
    </row>
    <row r="41410" spans="7:7">
      <c r="G41410" s="812"/>
    </row>
    <row r="41411" spans="7:7">
      <c r="G41411" s="812"/>
    </row>
    <row r="41412" spans="7:7">
      <c r="G41412" s="812"/>
    </row>
    <row r="41413" spans="7:7">
      <c r="G41413" s="812"/>
    </row>
    <row r="41414" spans="7:7">
      <c r="G41414" s="812"/>
    </row>
    <row r="41415" spans="7:7">
      <c r="G41415" s="812"/>
    </row>
    <row r="41416" spans="7:7">
      <c r="G41416" s="812"/>
    </row>
    <row r="41417" spans="7:7">
      <c r="G41417" s="812"/>
    </row>
    <row r="41418" spans="7:7">
      <c r="G41418" s="812"/>
    </row>
    <row r="41419" spans="7:7">
      <c r="G41419" s="812"/>
    </row>
    <row r="41420" spans="7:7">
      <c r="G41420" s="812"/>
    </row>
    <row r="41421" spans="7:7">
      <c r="G41421" s="812"/>
    </row>
    <row r="41422" spans="7:7">
      <c r="G41422" s="812"/>
    </row>
    <row r="41423" spans="7:7">
      <c r="G41423" s="812"/>
    </row>
    <row r="41424" spans="7:7">
      <c r="G41424" s="812"/>
    </row>
    <row r="41425" spans="7:7">
      <c r="G41425" s="812"/>
    </row>
    <row r="41426" spans="7:7">
      <c r="G41426" s="812"/>
    </row>
    <row r="41427" spans="7:7">
      <c r="G41427" s="812"/>
    </row>
    <row r="41428" spans="7:7">
      <c r="G41428" s="812"/>
    </row>
    <row r="41429" spans="7:7">
      <c r="G41429" s="812"/>
    </row>
    <row r="41430" spans="7:7">
      <c r="G41430" s="812"/>
    </row>
    <row r="41431" spans="7:7">
      <c r="G41431" s="812"/>
    </row>
    <row r="41432" spans="7:7">
      <c r="G41432" s="812"/>
    </row>
    <row r="41433" spans="7:7">
      <c r="G41433" s="812"/>
    </row>
    <row r="41434" spans="7:7">
      <c r="G41434" s="812"/>
    </row>
    <row r="41435" spans="7:7">
      <c r="G41435" s="812"/>
    </row>
    <row r="41436" spans="7:7">
      <c r="G41436" s="812"/>
    </row>
    <row r="41437" spans="7:7">
      <c r="G41437" s="812"/>
    </row>
    <row r="41438" spans="7:7">
      <c r="G41438" s="812"/>
    </row>
    <row r="41439" spans="7:7">
      <c r="G41439" s="812"/>
    </row>
    <row r="41440" spans="7:7">
      <c r="G41440" s="812"/>
    </row>
    <row r="41441" spans="7:7">
      <c r="G41441" s="812"/>
    </row>
    <row r="41442" spans="7:7">
      <c r="G41442" s="812"/>
    </row>
    <row r="41443" spans="7:7">
      <c r="G41443" s="812"/>
    </row>
    <row r="41444" spans="7:7">
      <c r="G41444" s="812"/>
    </row>
    <row r="41445" spans="7:7">
      <c r="G41445" s="812"/>
    </row>
    <row r="41446" spans="7:7">
      <c r="G41446" s="812"/>
    </row>
    <row r="41447" spans="7:7">
      <c r="G41447" s="812"/>
    </row>
    <row r="41448" spans="7:7">
      <c r="G41448" s="812"/>
    </row>
    <row r="41449" spans="7:7">
      <c r="G41449" s="812"/>
    </row>
    <row r="41450" spans="7:7">
      <c r="G41450" s="812"/>
    </row>
    <row r="41451" spans="7:7">
      <c r="G41451" s="812"/>
    </row>
    <row r="41452" spans="7:7">
      <c r="G41452" s="812"/>
    </row>
    <row r="41453" spans="7:7">
      <c r="G41453" s="812"/>
    </row>
    <row r="41454" spans="7:7">
      <c r="G41454" s="812"/>
    </row>
    <row r="41455" spans="7:7">
      <c r="G41455" s="812"/>
    </row>
    <row r="41456" spans="7:7">
      <c r="G41456" s="812"/>
    </row>
    <row r="41457" spans="7:7">
      <c r="G41457" s="812"/>
    </row>
    <row r="41458" spans="7:7">
      <c r="G41458" s="812"/>
    </row>
    <row r="41459" spans="7:7">
      <c r="G41459" s="812"/>
    </row>
    <row r="41460" spans="7:7">
      <c r="G41460" s="812"/>
    </row>
    <row r="41461" spans="7:7">
      <c r="G41461" s="812"/>
    </row>
    <row r="41462" spans="7:7">
      <c r="G41462" s="812"/>
    </row>
    <row r="41463" spans="7:7">
      <c r="G41463" s="812"/>
    </row>
    <row r="41464" spans="7:7">
      <c r="G41464" s="812"/>
    </row>
    <row r="41465" spans="7:7">
      <c r="G41465" s="812"/>
    </row>
    <row r="41466" spans="7:7">
      <c r="G41466" s="812"/>
    </row>
    <row r="41467" spans="7:7">
      <c r="G41467" s="812"/>
    </row>
    <row r="41468" spans="7:7">
      <c r="G41468" s="812"/>
    </row>
    <row r="41469" spans="7:7">
      <c r="G41469" s="812"/>
    </row>
    <row r="41470" spans="7:7">
      <c r="G41470" s="812"/>
    </row>
    <row r="41471" spans="7:7">
      <c r="G41471" s="812"/>
    </row>
    <row r="41472" spans="7:7">
      <c r="G41472" s="812"/>
    </row>
    <row r="41473" spans="7:7">
      <c r="G41473" s="812"/>
    </row>
    <row r="41474" spans="7:7">
      <c r="G41474" s="812"/>
    </row>
    <row r="41475" spans="7:7">
      <c r="G41475" s="812"/>
    </row>
    <row r="41476" spans="7:7">
      <c r="G41476" s="812"/>
    </row>
    <row r="41477" spans="7:7">
      <c r="G41477" s="812"/>
    </row>
    <row r="41478" spans="7:7">
      <c r="G41478" s="812"/>
    </row>
    <row r="41479" spans="7:7">
      <c r="G41479" s="812"/>
    </row>
    <row r="41480" spans="7:7">
      <c r="G41480" s="812"/>
    </row>
    <row r="41481" spans="7:7">
      <c r="G41481" s="812"/>
    </row>
    <row r="41482" spans="7:7">
      <c r="G41482" s="812"/>
    </row>
    <row r="41483" spans="7:7">
      <c r="G41483" s="812"/>
    </row>
    <row r="41484" spans="7:7">
      <c r="G41484" s="812"/>
    </row>
    <row r="41485" spans="7:7">
      <c r="G41485" s="812"/>
    </row>
    <row r="41486" spans="7:7">
      <c r="G41486" s="812"/>
    </row>
    <row r="41487" spans="7:7">
      <c r="G41487" s="812"/>
    </row>
    <row r="41488" spans="7:7">
      <c r="G41488" s="812"/>
    </row>
    <row r="41489" spans="7:7">
      <c r="G41489" s="812"/>
    </row>
    <row r="41490" spans="7:7">
      <c r="G41490" s="812"/>
    </row>
    <row r="41491" spans="7:7">
      <c r="G41491" s="812"/>
    </row>
    <row r="41492" spans="7:7">
      <c r="G41492" s="812"/>
    </row>
    <row r="41493" spans="7:7">
      <c r="G41493" s="812"/>
    </row>
    <row r="41494" spans="7:7">
      <c r="G41494" s="812"/>
    </row>
    <row r="41495" spans="7:7">
      <c r="G41495" s="812"/>
    </row>
    <row r="41496" spans="7:7">
      <c r="G41496" s="812"/>
    </row>
    <row r="41497" spans="7:7">
      <c r="G41497" s="812"/>
    </row>
    <row r="41498" spans="7:7">
      <c r="G41498" s="812"/>
    </row>
    <row r="41499" spans="7:7">
      <c r="G41499" s="812"/>
    </row>
    <row r="41500" spans="7:7">
      <c r="G41500" s="812"/>
    </row>
    <row r="41501" spans="7:7">
      <c r="G41501" s="812"/>
    </row>
    <row r="41502" spans="7:7">
      <c r="G41502" s="812"/>
    </row>
    <row r="41503" spans="7:7">
      <c r="G41503" s="812"/>
    </row>
    <row r="41504" spans="7:7">
      <c r="G41504" s="812"/>
    </row>
    <row r="41505" spans="7:7">
      <c r="G41505" s="812"/>
    </row>
    <row r="41506" spans="7:7">
      <c r="G41506" s="812"/>
    </row>
    <row r="41507" spans="7:7">
      <c r="G41507" s="812"/>
    </row>
    <row r="41508" spans="7:7">
      <c r="G41508" s="812"/>
    </row>
    <row r="41509" spans="7:7">
      <c r="G41509" s="812"/>
    </row>
    <row r="41510" spans="7:7">
      <c r="G41510" s="812"/>
    </row>
    <row r="41511" spans="7:7">
      <c r="G41511" s="812"/>
    </row>
    <row r="41512" spans="7:7">
      <c r="G41512" s="812"/>
    </row>
    <row r="41513" spans="7:7">
      <c r="G41513" s="812"/>
    </row>
    <row r="41514" spans="7:7">
      <c r="G41514" s="812"/>
    </row>
    <row r="41515" spans="7:7">
      <c r="G41515" s="812"/>
    </row>
    <row r="41516" spans="7:7">
      <c r="G41516" s="812"/>
    </row>
    <row r="41517" spans="7:7">
      <c r="G41517" s="812"/>
    </row>
    <row r="41518" spans="7:7">
      <c r="G41518" s="812"/>
    </row>
    <row r="41519" spans="7:7">
      <c r="G41519" s="812"/>
    </row>
    <row r="41520" spans="7:7">
      <c r="G41520" s="812"/>
    </row>
    <row r="41521" spans="7:7">
      <c r="G41521" s="812"/>
    </row>
    <row r="41522" spans="7:7">
      <c r="G41522" s="812"/>
    </row>
    <row r="41523" spans="7:7">
      <c r="G41523" s="812"/>
    </row>
    <row r="41524" spans="7:7">
      <c r="G41524" s="812"/>
    </row>
    <row r="41525" spans="7:7">
      <c r="G41525" s="812"/>
    </row>
    <row r="41526" spans="7:7">
      <c r="G41526" s="812"/>
    </row>
    <row r="41527" spans="7:7">
      <c r="G41527" s="812"/>
    </row>
    <row r="41528" spans="7:7">
      <c r="G41528" s="812"/>
    </row>
    <row r="41529" spans="7:7">
      <c r="G41529" s="812"/>
    </row>
    <row r="41530" spans="7:7">
      <c r="G41530" s="812"/>
    </row>
    <row r="41531" spans="7:7">
      <c r="G41531" s="812"/>
    </row>
    <row r="41532" spans="7:7">
      <c r="G41532" s="812"/>
    </row>
    <row r="41533" spans="7:7">
      <c r="G41533" s="812"/>
    </row>
    <row r="41534" spans="7:7">
      <c r="G41534" s="812"/>
    </row>
    <row r="41535" spans="7:7">
      <c r="G41535" s="812"/>
    </row>
    <row r="41536" spans="7:7">
      <c r="G41536" s="812"/>
    </row>
    <row r="41537" spans="7:7">
      <c r="G41537" s="812"/>
    </row>
    <row r="41538" spans="7:7">
      <c r="G41538" s="812"/>
    </row>
    <row r="41539" spans="7:7">
      <c r="G41539" s="812"/>
    </row>
    <row r="41540" spans="7:7">
      <c r="G41540" s="812"/>
    </row>
    <row r="41541" spans="7:7">
      <c r="G41541" s="812"/>
    </row>
    <row r="41542" spans="7:7">
      <c r="G41542" s="812"/>
    </row>
    <row r="41543" spans="7:7">
      <c r="G41543" s="812"/>
    </row>
    <row r="41544" spans="7:7">
      <c r="G41544" s="812"/>
    </row>
    <row r="41545" spans="7:7">
      <c r="G41545" s="812"/>
    </row>
    <row r="41546" spans="7:7">
      <c r="G41546" s="812"/>
    </row>
    <row r="41547" spans="7:7">
      <c r="G41547" s="812"/>
    </row>
    <row r="41548" spans="7:7">
      <c r="G41548" s="812"/>
    </row>
    <row r="41549" spans="7:7">
      <c r="G41549" s="812"/>
    </row>
    <row r="41550" spans="7:7">
      <c r="G41550" s="812"/>
    </row>
    <row r="41551" spans="7:7">
      <c r="G41551" s="812"/>
    </row>
    <row r="41552" spans="7:7">
      <c r="G41552" s="812"/>
    </row>
    <row r="41553" spans="7:7">
      <c r="G41553" s="812"/>
    </row>
    <row r="41554" spans="7:7">
      <c r="G41554" s="812"/>
    </row>
    <row r="41555" spans="7:7">
      <c r="G41555" s="812"/>
    </row>
    <row r="41556" spans="7:7">
      <c r="G41556" s="812"/>
    </row>
    <row r="41557" spans="7:7">
      <c r="G41557" s="812"/>
    </row>
    <row r="41558" spans="7:7">
      <c r="G41558" s="812"/>
    </row>
    <row r="41559" spans="7:7">
      <c r="G41559" s="812"/>
    </row>
    <row r="41560" spans="7:7">
      <c r="G41560" s="812"/>
    </row>
    <row r="41561" spans="7:7">
      <c r="G41561" s="812"/>
    </row>
    <row r="41562" spans="7:7">
      <c r="G41562" s="812"/>
    </row>
    <row r="41563" spans="7:7">
      <c r="G41563" s="812"/>
    </row>
    <row r="41564" spans="7:7">
      <c r="G41564" s="812"/>
    </row>
    <row r="41565" spans="7:7">
      <c r="G41565" s="812"/>
    </row>
    <row r="41566" spans="7:7">
      <c r="G41566" s="812"/>
    </row>
    <row r="41567" spans="7:7">
      <c r="G41567" s="812"/>
    </row>
    <row r="41568" spans="7:7">
      <c r="G41568" s="812"/>
    </row>
    <row r="41569" spans="7:7">
      <c r="G41569" s="812"/>
    </row>
    <row r="41570" spans="7:7">
      <c r="G41570" s="812"/>
    </row>
    <row r="41571" spans="7:7">
      <c r="G41571" s="812"/>
    </row>
    <row r="41572" spans="7:7">
      <c r="G41572" s="812"/>
    </row>
    <row r="41573" spans="7:7">
      <c r="G41573" s="812"/>
    </row>
    <row r="41574" spans="7:7">
      <c r="G41574" s="812"/>
    </row>
    <row r="41575" spans="7:7">
      <c r="G41575" s="812"/>
    </row>
    <row r="41576" spans="7:7">
      <c r="G41576" s="812"/>
    </row>
    <row r="41577" spans="7:7">
      <c r="G41577" s="812"/>
    </row>
    <row r="41578" spans="7:7">
      <c r="G41578" s="812"/>
    </row>
    <row r="41579" spans="7:7">
      <c r="G41579" s="812"/>
    </row>
    <row r="41580" spans="7:7">
      <c r="G41580" s="812"/>
    </row>
    <row r="41581" spans="7:7">
      <c r="G41581" s="812"/>
    </row>
    <row r="41582" spans="7:7">
      <c r="G41582" s="812"/>
    </row>
    <row r="41583" spans="7:7">
      <c r="G41583" s="812"/>
    </row>
    <row r="41584" spans="7:7">
      <c r="G41584" s="812"/>
    </row>
    <row r="41585" spans="7:7">
      <c r="G41585" s="812"/>
    </row>
    <row r="41586" spans="7:7">
      <c r="G41586" s="812"/>
    </row>
    <row r="41587" spans="7:7">
      <c r="G41587" s="812"/>
    </row>
    <row r="41588" spans="7:7">
      <c r="G41588" s="812"/>
    </row>
    <row r="41589" spans="7:7">
      <c r="G41589" s="812"/>
    </row>
    <row r="41590" spans="7:7">
      <c r="G41590" s="812"/>
    </row>
    <row r="41591" spans="7:7">
      <c r="G41591" s="812"/>
    </row>
    <row r="41592" spans="7:7">
      <c r="G41592" s="812"/>
    </row>
    <row r="41593" spans="7:7">
      <c r="G41593" s="812"/>
    </row>
    <row r="41594" spans="7:7">
      <c r="G41594" s="812"/>
    </row>
    <row r="41595" spans="7:7">
      <c r="G41595" s="812"/>
    </row>
    <row r="41596" spans="7:7">
      <c r="G41596" s="812"/>
    </row>
    <row r="41597" spans="7:7">
      <c r="G41597" s="812"/>
    </row>
    <row r="41598" spans="7:7">
      <c r="G41598" s="812"/>
    </row>
    <row r="41599" spans="7:7">
      <c r="G41599" s="812"/>
    </row>
    <row r="41600" spans="7:7">
      <c r="G41600" s="812"/>
    </row>
    <row r="41601" spans="7:7">
      <c r="G41601" s="812"/>
    </row>
    <row r="41602" spans="7:7">
      <c r="G41602" s="812"/>
    </row>
    <row r="41603" spans="7:7">
      <c r="G41603" s="812"/>
    </row>
    <row r="41604" spans="7:7">
      <c r="G41604" s="812"/>
    </row>
    <row r="41605" spans="7:7">
      <c r="G41605" s="812"/>
    </row>
    <row r="41606" spans="7:7">
      <c r="G41606" s="812"/>
    </row>
    <row r="41607" spans="7:7">
      <c r="G41607" s="812"/>
    </row>
    <row r="41608" spans="7:7">
      <c r="G41608" s="812"/>
    </row>
    <row r="41609" spans="7:7">
      <c r="G41609" s="812"/>
    </row>
    <row r="41610" spans="7:7">
      <c r="G41610" s="812"/>
    </row>
    <row r="41611" spans="7:7">
      <c r="G41611" s="812"/>
    </row>
    <row r="41612" spans="7:7">
      <c r="G41612" s="812"/>
    </row>
    <row r="41613" spans="7:7">
      <c r="G41613" s="812"/>
    </row>
    <row r="41614" spans="7:7">
      <c r="G41614" s="812"/>
    </row>
    <row r="41615" spans="7:7">
      <c r="G41615" s="812"/>
    </row>
    <row r="41616" spans="7:7">
      <c r="G41616" s="812"/>
    </row>
    <row r="41617" spans="7:7">
      <c r="G41617" s="812"/>
    </row>
    <row r="41618" spans="7:7">
      <c r="G41618" s="812"/>
    </row>
    <row r="41619" spans="7:7">
      <c r="G41619" s="812"/>
    </row>
    <row r="41620" spans="7:7">
      <c r="G41620" s="812"/>
    </row>
    <row r="41621" spans="7:7">
      <c r="G41621" s="812"/>
    </row>
    <row r="41622" spans="7:7">
      <c r="G41622" s="812"/>
    </row>
    <row r="41623" spans="7:7">
      <c r="G41623" s="812"/>
    </row>
    <row r="41624" spans="7:7">
      <c r="G41624" s="812"/>
    </row>
    <row r="41625" spans="7:7">
      <c r="G41625" s="812"/>
    </row>
    <row r="41626" spans="7:7">
      <c r="G41626" s="812"/>
    </row>
    <row r="41627" spans="7:7">
      <c r="G41627" s="812"/>
    </row>
    <row r="41628" spans="7:7">
      <c r="G41628" s="812"/>
    </row>
    <row r="41629" spans="7:7">
      <c r="G41629" s="812"/>
    </row>
    <row r="41630" spans="7:7">
      <c r="G41630" s="812"/>
    </row>
    <row r="41631" spans="7:7">
      <c r="G41631" s="812"/>
    </row>
    <row r="41632" spans="7:7">
      <c r="G41632" s="812"/>
    </row>
    <row r="41633" spans="7:7">
      <c r="G41633" s="812"/>
    </row>
    <row r="41634" spans="7:7">
      <c r="G41634" s="812"/>
    </row>
    <row r="41635" spans="7:7">
      <c r="G41635" s="812"/>
    </row>
    <row r="41636" spans="7:7">
      <c r="G41636" s="812"/>
    </row>
    <row r="41637" spans="7:7">
      <c r="G41637" s="812"/>
    </row>
    <row r="41638" spans="7:7">
      <c r="G41638" s="812"/>
    </row>
    <row r="41639" spans="7:7">
      <c r="G41639" s="812"/>
    </row>
    <row r="41640" spans="7:7">
      <c r="G41640" s="812"/>
    </row>
    <row r="41641" spans="7:7">
      <c r="G41641" s="812"/>
    </row>
    <row r="41642" spans="7:7">
      <c r="G41642" s="812"/>
    </row>
    <row r="41643" spans="7:7">
      <c r="G41643" s="812"/>
    </row>
    <row r="41644" spans="7:7">
      <c r="G41644" s="812"/>
    </row>
    <row r="41645" spans="7:7">
      <c r="G41645" s="812"/>
    </row>
    <row r="41646" spans="7:7">
      <c r="G41646" s="812"/>
    </row>
    <row r="41647" spans="7:7">
      <c r="G41647" s="812"/>
    </row>
    <row r="41648" spans="7:7">
      <c r="G41648" s="812"/>
    </row>
    <row r="41649" spans="7:7">
      <c r="G41649" s="812"/>
    </row>
    <row r="41650" spans="7:7">
      <c r="G41650" s="812"/>
    </row>
    <row r="41651" spans="7:7">
      <c r="G41651" s="812"/>
    </row>
    <row r="41652" spans="7:7">
      <c r="G41652" s="812"/>
    </row>
    <row r="41653" spans="7:7">
      <c r="G41653" s="812"/>
    </row>
    <row r="41654" spans="7:7">
      <c r="G41654" s="812"/>
    </row>
    <row r="41655" spans="7:7">
      <c r="G41655" s="812"/>
    </row>
    <row r="41656" spans="7:7">
      <c r="G41656" s="812"/>
    </row>
    <row r="41657" spans="7:7">
      <c r="G41657" s="812"/>
    </row>
    <row r="41658" spans="7:7">
      <c r="G41658" s="812"/>
    </row>
    <row r="41659" spans="7:7">
      <c r="G41659" s="812"/>
    </row>
    <row r="41660" spans="7:7">
      <c r="G41660" s="812"/>
    </row>
    <row r="41661" spans="7:7">
      <c r="G41661" s="812"/>
    </row>
    <row r="41662" spans="7:7">
      <c r="G41662" s="812"/>
    </row>
    <row r="41663" spans="7:7">
      <c r="G41663" s="812"/>
    </row>
    <row r="41664" spans="7:7">
      <c r="G41664" s="812"/>
    </row>
    <row r="41665" spans="7:7">
      <c r="G41665" s="812"/>
    </row>
    <row r="41666" spans="7:7">
      <c r="G41666" s="812"/>
    </row>
    <row r="41667" spans="7:7">
      <c r="G41667" s="812"/>
    </row>
    <row r="41668" spans="7:7">
      <c r="G41668" s="812"/>
    </row>
    <row r="41669" spans="7:7">
      <c r="G41669" s="812"/>
    </row>
    <row r="41670" spans="7:7">
      <c r="G41670" s="812"/>
    </row>
    <row r="41671" spans="7:7">
      <c r="G41671" s="812"/>
    </row>
    <row r="41672" spans="7:7">
      <c r="G41672" s="812"/>
    </row>
    <row r="41673" spans="7:7">
      <c r="G41673" s="812"/>
    </row>
    <row r="41674" spans="7:7">
      <c r="G41674" s="812"/>
    </row>
    <row r="41675" spans="7:7">
      <c r="G41675" s="812"/>
    </row>
    <row r="41676" spans="7:7">
      <c r="G41676" s="812"/>
    </row>
    <row r="41677" spans="7:7">
      <c r="G41677" s="812"/>
    </row>
    <row r="41678" spans="7:7">
      <c r="G41678" s="812"/>
    </row>
    <row r="41679" spans="7:7">
      <c r="G41679" s="812"/>
    </row>
    <row r="41680" spans="7:7">
      <c r="G41680" s="812"/>
    </row>
    <row r="41681" spans="7:7">
      <c r="G41681" s="812"/>
    </row>
    <row r="41682" spans="7:7">
      <c r="G41682" s="812"/>
    </row>
    <row r="41683" spans="7:7">
      <c r="G41683" s="812"/>
    </row>
    <row r="41684" spans="7:7">
      <c r="G41684" s="812"/>
    </row>
    <row r="41685" spans="7:7">
      <c r="G41685" s="812"/>
    </row>
    <row r="41686" spans="7:7">
      <c r="G41686" s="812"/>
    </row>
    <row r="41687" spans="7:7">
      <c r="G41687" s="812"/>
    </row>
    <row r="41688" spans="7:7">
      <c r="G41688" s="812"/>
    </row>
    <row r="41689" spans="7:7">
      <c r="G41689" s="812"/>
    </row>
    <row r="41690" spans="7:7">
      <c r="G41690" s="812"/>
    </row>
    <row r="41691" spans="7:7">
      <c r="G41691" s="812"/>
    </row>
    <row r="41692" spans="7:7">
      <c r="G41692" s="812"/>
    </row>
    <row r="41693" spans="7:7">
      <c r="G41693" s="812"/>
    </row>
    <row r="41694" spans="7:7">
      <c r="G41694" s="812"/>
    </row>
    <row r="41695" spans="7:7">
      <c r="G41695" s="812"/>
    </row>
    <row r="41696" spans="7:7">
      <c r="G41696" s="812"/>
    </row>
    <row r="41697" spans="7:7">
      <c r="G41697" s="812"/>
    </row>
    <row r="41698" spans="7:7">
      <c r="G41698" s="812"/>
    </row>
    <row r="41699" spans="7:7">
      <c r="G41699" s="812"/>
    </row>
    <row r="41700" spans="7:7">
      <c r="G41700" s="812"/>
    </row>
    <row r="41701" spans="7:7">
      <c r="G41701" s="812"/>
    </row>
    <row r="41702" spans="7:7">
      <c r="G41702" s="812"/>
    </row>
    <row r="41703" spans="7:7">
      <c r="G41703" s="812"/>
    </row>
    <row r="41704" spans="7:7">
      <c r="G41704" s="812"/>
    </row>
    <row r="41705" spans="7:7">
      <c r="G41705" s="812"/>
    </row>
    <row r="41706" spans="7:7">
      <c r="G41706" s="812"/>
    </row>
    <row r="41707" spans="7:7">
      <c r="G41707" s="812"/>
    </row>
    <row r="41708" spans="7:7">
      <c r="G41708" s="812"/>
    </row>
    <row r="41709" spans="7:7">
      <c r="G41709" s="812"/>
    </row>
    <row r="41710" spans="7:7">
      <c r="G41710" s="812"/>
    </row>
    <row r="41711" spans="7:7">
      <c r="G41711" s="812"/>
    </row>
    <row r="41712" spans="7:7">
      <c r="G41712" s="812"/>
    </row>
    <row r="41713" spans="7:7">
      <c r="G41713" s="812"/>
    </row>
    <row r="41714" spans="7:7">
      <c r="G41714" s="812"/>
    </row>
    <row r="41715" spans="7:7">
      <c r="G41715" s="812"/>
    </row>
    <row r="41716" spans="7:7">
      <c r="G41716" s="812"/>
    </row>
    <row r="41717" spans="7:7">
      <c r="G41717" s="812"/>
    </row>
    <row r="41718" spans="7:7">
      <c r="G41718" s="812"/>
    </row>
    <row r="41719" spans="7:7">
      <c r="G41719" s="812"/>
    </row>
    <row r="41720" spans="7:7">
      <c r="G41720" s="812"/>
    </row>
    <row r="41721" spans="7:7">
      <c r="G41721" s="812"/>
    </row>
    <row r="41722" spans="7:7">
      <c r="G41722" s="812"/>
    </row>
    <row r="41723" spans="7:7">
      <c r="G41723" s="812"/>
    </row>
    <row r="41724" spans="7:7">
      <c r="G41724" s="812"/>
    </row>
    <row r="41725" spans="7:7">
      <c r="G41725" s="812"/>
    </row>
    <row r="41726" spans="7:7">
      <c r="G41726" s="812"/>
    </row>
    <row r="41727" spans="7:7">
      <c r="G41727" s="812"/>
    </row>
    <row r="41728" spans="7:7">
      <c r="G41728" s="812"/>
    </row>
    <row r="41729" spans="7:7">
      <c r="G41729" s="812"/>
    </row>
    <row r="41730" spans="7:7">
      <c r="G41730" s="812"/>
    </row>
    <row r="41731" spans="7:7">
      <c r="G41731" s="812"/>
    </row>
    <row r="41732" spans="7:7">
      <c r="G41732" s="812"/>
    </row>
    <row r="41733" spans="7:7">
      <c r="G41733" s="812"/>
    </row>
    <row r="41734" spans="7:7">
      <c r="G41734" s="812"/>
    </row>
    <row r="41735" spans="7:7">
      <c r="G41735" s="812"/>
    </row>
    <row r="41736" spans="7:7">
      <c r="G41736" s="812"/>
    </row>
    <row r="41737" spans="7:7">
      <c r="G41737" s="812"/>
    </row>
    <row r="41738" spans="7:7">
      <c r="G41738" s="812"/>
    </row>
    <row r="41739" spans="7:7">
      <c r="G41739" s="812"/>
    </row>
    <row r="41740" spans="7:7">
      <c r="G41740" s="812"/>
    </row>
    <row r="41741" spans="7:7">
      <c r="G41741" s="812"/>
    </row>
    <row r="41742" spans="7:7">
      <c r="G41742" s="812"/>
    </row>
    <row r="41743" spans="7:7">
      <c r="G41743" s="812"/>
    </row>
    <row r="41744" spans="7:7">
      <c r="G41744" s="812"/>
    </row>
    <row r="41745" spans="7:7">
      <c r="G41745" s="812"/>
    </row>
    <row r="41746" spans="7:7">
      <c r="G41746" s="812"/>
    </row>
    <row r="41747" spans="7:7">
      <c r="G41747" s="812"/>
    </row>
    <row r="41748" spans="7:7">
      <c r="G41748" s="812"/>
    </row>
    <row r="41749" spans="7:7">
      <c r="G41749" s="812"/>
    </row>
    <row r="41750" spans="7:7">
      <c r="G41750" s="812"/>
    </row>
    <row r="41751" spans="7:7">
      <c r="G41751" s="812"/>
    </row>
    <row r="41752" spans="7:7">
      <c r="G41752" s="812"/>
    </row>
    <row r="41753" spans="7:7">
      <c r="G41753" s="812"/>
    </row>
    <row r="41754" spans="7:7">
      <c r="G41754" s="812"/>
    </row>
    <row r="41755" spans="7:7">
      <c r="G41755" s="812"/>
    </row>
    <row r="41756" spans="7:7">
      <c r="G41756" s="812"/>
    </row>
    <row r="41757" spans="7:7">
      <c r="G41757" s="812"/>
    </row>
    <row r="41758" spans="7:7">
      <c r="G41758" s="812"/>
    </row>
    <row r="41759" spans="7:7">
      <c r="G41759" s="812"/>
    </row>
    <row r="41760" spans="7:7">
      <c r="G41760" s="812"/>
    </row>
    <row r="41761" spans="7:7">
      <c r="G41761" s="812"/>
    </row>
    <row r="41762" spans="7:7">
      <c r="G41762" s="812"/>
    </row>
    <row r="41763" spans="7:7">
      <c r="G41763" s="812"/>
    </row>
    <row r="41764" spans="7:7">
      <c r="G41764" s="812"/>
    </row>
    <row r="41765" spans="7:7">
      <c r="G41765" s="812"/>
    </row>
    <row r="41766" spans="7:7">
      <c r="G41766" s="812"/>
    </row>
    <row r="41767" spans="7:7">
      <c r="G41767" s="812"/>
    </row>
    <row r="41768" spans="7:7">
      <c r="G41768" s="812"/>
    </row>
    <row r="41769" spans="7:7">
      <c r="G41769" s="812"/>
    </row>
    <row r="41770" spans="7:7">
      <c r="G41770" s="812"/>
    </row>
    <row r="41771" spans="7:7">
      <c r="G41771" s="812"/>
    </row>
    <row r="41772" spans="7:7">
      <c r="G41772" s="812"/>
    </row>
    <row r="41773" spans="7:7">
      <c r="G41773" s="812"/>
    </row>
    <row r="41774" spans="7:7">
      <c r="G41774" s="812"/>
    </row>
    <row r="41775" spans="7:7">
      <c r="G41775" s="812"/>
    </row>
    <row r="41776" spans="7:7">
      <c r="G41776" s="812"/>
    </row>
    <row r="41777" spans="7:7">
      <c r="G41777" s="812"/>
    </row>
    <row r="41778" spans="7:7">
      <c r="G41778" s="812"/>
    </row>
    <row r="41779" spans="7:7">
      <c r="G41779" s="812"/>
    </row>
    <row r="41780" spans="7:7">
      <c r="G41780" s="812"/>
    </row>
    <row r="41781" spans="7:7">
      <c r="G41781" s="812"/>
    </row>
    <row r="41782" spans="7:7">
      <c r="G41782" s="812"/>
    </row>
    <row r="41783" spans="7:7">
      <c r="G41783" s="812"/>
    </row>
    <row r="41784" spans="7:7">
      <c r="G41784" s="812"/>
    </row>
    <row r="41785" spans="7:7">
      <c r="G41785" s="812"/>
    </row>
    <row r="41786" spans="7:7">
      <c r="G41786" s="812"/>
    </row>
    <row r="41787" spans="7:7">
      <c r="G41787" s="812"/>
    </row>
    <row r="41788" spans="7:7">
      <c r="G41788" s="812"/>
    </row>
    <row r="41789" spans="7:7">
      <c r="G41789" s="812"/>
    </row>
    <row r="41790" spans="7:7">
      <c r="G41790" s="812"/>
    </row>
    <row r="41791" spans="7:7">
      <c r="G41791" s="812"/>
    </row>
    <row r="41792" spans="7:7">
      <c r="G41792" s="812"/>
    </row>
    <row r="41793" spans="7:7">
      <c r="G41793" s="812"/>
    </row>
    <row r="41794" spans="7:7">
      <c r="G41794" s="812"/>
    </row>
    <row r="41795" spans="7:7">
      <c r="G41795" s="812"/>
    </row>
    <row r="41796" spans="7:7">
      <c r="G41796" s="812"/>
    </row>
    <row r="41797" spans="7:7">
      <c r="G41797" s="812"/>
    </row>
    <row r="41798" spans="7:7">
      <c r="G41798" s="812"/>
    </row>
    <row r="41799" spans="7:7">
      <c r="G41799" s="812"/>
    </row>
    <row r="41800" spans="7:7">
      <c r="G41800" s="812"/>
    </row>
    <row r="41801" spans="7:7">
      <c r="G41801" s="812"/>
    </row>
    <row r="41802" spans="7:7">
      <c r="G41802" s="812"/>
    </row>
    <row r="41803" spans="7:7">
      <c r="G41803" s="812"/>
    </row>
    <row r="41804" spans="7:7">
      <c r="G41804" s="812"/>
    </row>
    <row r="41805" spans="7:7">
      <c r="G41805" s="812"/>
    </row>
    <row r="41806" spans="7:7">
      <c r="G41806" s="812"/>
    </row>
    <row r="41807" spans="7:7">
      <c r="G41807" s="812"/>
    </row>
    <row r="41808" spans="7:7">
      <c r="G41808" s="812"/>
    </row>
    <row r="41809" spans="7:7">
      <c r="G41809" s="812"/>
    </row>
    <row r="41810" spans="7:7">
      <c r="G41810" s="812"/>
    </row>
    <row r="41811" spans="7:7">
      <c r="G41811" s="812"/>
    </row>
    <row r="41812" spans="7:7">
      <c r="G41812" s="812"/>
    </row>
    <row r="41813" spans="7:7">
      <c r="G41813" s="812"/>
    </row>
    <row r="41814" spans="7:7">
      <c r="G41814" s="812"/>
    </row>
    <row r="41815" spans="7:7">
      <c r="G41815" s="812"/>
    </row>
    <row r="41816" spans="7:7">
      <c r="G41816" s="812"/>
    </row>
    <row r="41817" spans="7:7">
      <c r="G41817" s="812"/>
    </row>
    <row r="41818" spans="7:7">
      <c r="G41818" s="812"/>
    </row>
    <row r="41819" spans="7:7">
      <c r="G41819" s="812"/>
    </row>
    <row r="41820" spans="7:7">
      <c r="G41820" s="812"/>
    </row>
    <row r="41821" spans="7:7">
      <c r="G41821" s="812"/>
    </row>
    <row r="41822" spans="7:7">
      <c r="G41822" s="812"/>
    </row>
    <row r="41823" spans="7:7">
      <c r="G41823" s="812"/>
    </row>
    <row r="41824" spans="7:7">
      <c r="G41824" s="812"/>
    </row>
    <row r="41825" spans="7:7">
      <c r="G41825" s="812"/>
    </row>
    <row r="41826" spans="7:7">
      <c r="G41826" s="812"/>
    </row>
    <row r="41827" spans="7:7">
      <c r="G41827" s="812"/>
    </row>
    <row r="41828" spans="7:7">
      <c r="G41828" s="812"/>
    </row>
    <row r="41829" spans="7:7">
      <c r="G41829" s="812"/>
    </row>
    <row r="41830" spans="7:7">
      <c r="G41830" s="812"/>
    </row>
    <row r="41831" spans="7:7">
      <c r="G41831" s="812"/>
    </row>
    <row r="41832" spans="7:7">
      <c r="G41832" s="812"/>
    </row>
    <row r="41833" spans="7:7">
      <c r="G41833" s="812"/>
    </row>
    <row r="41834" spans="7:7">
      <c r="G41834" s="812"/>
    </row>
    <row r="41835" spans="7:7">
      <c r="G41835" s="812"/>
    </row>
    <row r="41836" spans="7:7">
      <c r="G41836" s="812"/>
    </row>
    <row r="41837" spans="7:7">
      <c r="G41837" s="812"/>
    </row>
    <row r="41838" spans="7:7">
      <c r="G41838" s="812"/>
    </row>
    <row r="41839" spans="7:7">
      <c r="G41839" s="812"/>
    </row>
    <row r="41840" spans="7:7">
      <c r="G41840" s="812"/>
    </row>
    <row r="41841" spans="7:7">
      <c r="G41841" s="812"/>
    </row>
    <row r="41842" spans="7:7">
      <c r="G41842" s="812"/>
    </row>
    <row r="41843" spans="7:7">
      <c r="G41843" s="812"/>
    </row>
    <row r="41844" spans="7:7">
      <c r="G41844" s="812"/>
    </row>
    <row r="41845" spans="7:7">
      <c r="G41845" s="812"/>
    </row>
    <row r="41846" spans="7:7">
      <c r="G41846" s="812"/>
    </row>
    <row r="41847" spans="7:7">
      <c r="G41847" s="812"/>
    </row>
    <row r="41848" spans="7:7">
      <c r="G41848" s="812"/>
    </row>
    <row r="41849" spans="7:7">
      <c r="G41849" s="812"/>
    </row>
    <row r="41850" spans="7:7">
      <c r="G41850" s="812"/>
    </row>
    <row r="41851" spans="7:7">
      <c r="G41851" s="812"/>
    </row>
    <row r="41852" spans="7:7">
      <c r="G41852" s="812"/>
    </row>
    <row r="41853" spans="7:7">
      <c r="G41853" s="812"/>
    </row>
    <row r="41854" spans="7:7">
      <c r="G41854" s="812"/>
    </row>
    <row r="41855" spans="7:7">
      <c r="G41855" s="812"/>
    </row>
    <row r="41856" spans="7:7">
      <c r="G41856" s="812"/>
    </row>
    <row r="41857" spans="7:7">
      <c r="G41857" s="812"/>
    </row>
    <row r="41858" spans="7:7">
      <c r="G41858" s="812"/>
    </row>
    <row r="41859" spans="7:7">
      <c r="G41859" s="812"/>
    </row>
    <row r="41860" spans="7:7">
      <c r="G41860" s="812"/>
    </row>
    <row r="41861" spans="7:7">
      <c r="G41861" s="812"/>
    </row>
    <row r="41862" spans="7:7">
      <c r="G41862" s="812"/>
    </row>
    <row r="41863" spans="7:7">
      <c r="G41863" s="812"/>
    </row>
    <row r="41864" spans="7:7">
      <c r="G41864" s="812"/>
    </row>
    <row r="41865" spans="7:7">
      <c r="G41865" s="812"/>
    </row>
    <row r="41866" spans="7:7">
      <c r="G41866" s="812"/>
    </row>
    <row r="41867" spans="7:7">
      <c r="G41867" s="812"/>
    </row>
    <row r="41868" spans="7:7">
      <c r="G41868" s="812"/>
    </row>
    <row r="41869" spans="7:7">
      <c r="G41869" s="812"/>
    </row>
    <row r="41870" spans="7:7">
      <c r="G41870" s="812"/>
    </row>
    <row r="41871" spans="7:7">
      <c r="G41871" s="812"/>
    </row>
    <row r="41872" spans="7:7">
      <c r="G41872" s="812"/>
    </row>
    <row r="41873" spans="7:7">
      <c r="G41873" s="812"/>
    </row>
    <row r="41874" spans="7:7">
      <c r="G41874" s="812"/>
    </row>
    <row r="41875" spans="7:7">
      <c r="G41875" s="812"/>
    </row>
    <row r="41876" spans="7:7">
      <c r="G41876" s="812"/>
    </row>
    <row r="41877" spans="7:7">
      <c r="G41877" s="812"/>
    </row>
    <row r="41878" spans="7:7">
      <c r="G41878" s="812"/>
    </row>
    <row r="41879" spans="7:7">
      <c r="G41879" s="812"/>
    </row>
    <row r="41880" spans="7:7">
      <c r="G41880" s="812"/>
    </row>
    <row r="41881" spans="7:7">
      <c r="G41881" s="812"/>
    </row>
    <row r="41882" spans="7:7">
      <c r="G41882" s="812"/>
    </row>
    <row r="41883" spans="7:7">
      <c r="G41883" s="812"/>
    </row>
    <row r="41884" spans="7:7">
      <c r="G41884" s="812"/>
    </row>
    <row r="41885" spans="7:7">
      <c r="G41885" s="812"/>
    </row>
    <row r="41886" spans="7:7">
      <c r="G41886" s="812"/>
    </row>
    <row r="41887" spans="7:7">
      <c r="G41887" s="812"/>
    </row>
    <row r="41888" spans="7:7">
      <c r="G41888" s="812"/>
    </row>
    <row r="41889" spans="7:7">
      <c r="G41889" s="812"/>
    </row>
    <row r="41890" spans="7:7">
      <c r="G41890" s="812"/>
    </row>
    <row r="41891" spans="7:7">
      <c r="G41891" s="812"/>
    </row>
    <row r="41892" spans="7:7">
      <c r="G41892" s="812"/>
    </row>
    <row r="41893" spans="7:7">
      <c r="G41893" s="812"/>
    </row>
    <row r="41894" spans="7:7">
      <c r="G41894" s="812"/>
    </row>
    <row r="41895" spans="7:7">
      <c r="G41895" s="812"/>
    </row>
    <row r="41896" spans="7:7">
      <c r="G41896" s="812"/>
    </row>
    <row r="41897" spans="7:7">
      <c r="G41897" s="812"/>
    </row>
    <row r="41898" spans="7:7">
      <c r="G41898" s="812"/>
    </row>
    <row r="41899" spans="7:7">
      <c r="G41899" s="812"/>
    </row>
    <row r="41900" spans="7:7">
      <c r="G41900" s="812"/>
    </row>
    <row r="41901" spans="7:7">
      <c r="G41901" s="812"/>
    </row>
    <row r="41902" spans="7:7">
      <c r="G41902" s="812"/>
    </row>
    <row r="41903" spans="7:7">
      <c r="G41903" s="812"/>
    </row>
    <row r="41904" spans="7:7">
      <c r="G41904" s="812"/>
    </row>
    <row r="41905" spans="7:7">
      <c r="G41905" s="812"/>
    </row>
    <row r="41906" spans="7:7">
      <c r="G41906" s="812"/>
    </row>
    <row r="41907" spans="7:7">
      <c r="G41907" s="812"/>
    </row>
    <row r="41908" spans="7:7">
      <c r="G41908" s="812"/>
    </row>
    <row r="41909" spans="7:7">
      <c r="G41909" s="812"/>
    </row>
    <row r="41910" spans="7:7">
      <c r="G41910" s="812"/>
    </row>
    <row r="41911" spans="7:7">
      <c r="G41911" s="812"/>
    </row>
    <row r="41912" spans="7:7">
      <c r="G41912" s="812"/>
    </row>
    <row r="41913" spans="7:7">
      <c r="G41913" s="812"/>
    </row>
    <row r="41914" spans="7:7">
      <c r="G41914" s="812"/>
    </row>
    <row r="41915" spans="7:7">
      <c r="G41915" s="812"/>
    </row>
    <row r="41916" spans="7:7">
      <c r="G41916" s="812"/>
    </row>
    <row r="41917" spans="7:7">
      <c r="G41917" s="812"/>
    </row>
    <row r="41918" spans="7:7">
      <c r="G41918" s="812"/>
    </row>
    <row r="41919" spans="7:7">
      <c r="G41919" s="812"/>
    </row>
    <row r="41920" spans="7:7">
      <c r="G41920" s="812"/>
    </row>
    <row r="41921" spans="7:7">
      <c r="G41921" s="812"/>
    </row>
    <row r="41922" spans="7:7">
      <c r="G41922" s="812"/>
    </row>
    <row r="41923" spans="7:7">
      <c r="G41923" s="812"/>
    </row>
    <row r="41924" spans="7:7">
      <c r="G41924" s="812"/>
    </row>
    <row r="41925" spans="7:7">
      <c r="G41925" s="812"/>
    </row>
    <row r="41926" spans="7:7">
      <c r="G41926" s="812"/>
    </row>
    <row r="41927" spans="7:7">
      <c r="G41927" s="812"/>
    </row>
    <row r="41928" spans="7:7">
      <c r="G41928" s="812"/>
    </row>
    <row r="41929" spans="7:7">
      <c r="G41929" s="812"/>
    </row>
    <row r="41930" spans="7:7">
      <c r="G41930" s="812"/>
    </row>
    <row r="41931" spans="7:7">
      <c r="G41931" s="812"/>
    </row>
    <row r="41932" spans="7:7">
      <c r="G41932" s="812"/>
    </row>
    <row r="41933" spans="7:7">
      <c r="G41933" s="812"/>
    </row>
    <row r="41934" spans="7:7">
      <c r="G41934" s="812"/>
    </row>
    <row r="41935" spans="7:7">
      <c r="G41935" s="812"/>
    </row>
    <row r="41936" spans="7:7">
      <c r="G41936" s="812"/>
    </row>
    <row r="41937" spans="7:7">
      <c r="G41937" s="812"/>
    </row>
    <row r="41938" spans="7:7">
      <c r="G41938" s="812"/>
    </row>
    <row r="41939" spans="7:7">
      <c r="G41939" s="812"/>
    </row>
    <row r="41940" spans="7:7">
      <c r="G41940" s="812"/>
    </row>
    <row r="41941" spans="7:7">
      <c r="G41941" s="812"/>
    </row>
    <row r="41942" spans="7:7">
      <c r="G41942" s="812"/>
    </row>
    <row r="41943" spans="7:7">
      <c r="G41943" s="812"/>
    </row>
    <row r="41944" spans="7:7">
      <c r="G41944" s="812"/>
    </row>
    <row r="41945" spans="7:7">
      <c r="G41945" s="812"/>
    </row>
    <row r="41946" spans="7:7">
      <c r="G41946" s="812"/>
    </row>
    <row r="41947" spans="7:7">
      <c r="G41947" s="812"/>
    </row>
    <row r="41948" spans="7:7">
      <c r="G41948" s="812"/>
    </row>
    <row r="41949" spans="7:7">
      <c r="G41949" s="812"/>
    </row>
    <row r="41950" spans="7:7">
      <c r="G41950" s="812"/>
    </row>
    <row r="41951" spans="7:7">
      <c r="G41951" s="812"/>
    </row>
    <row r="41952" spans="7:7">
      <c r="G41952" s="812"/>
    </row>
    <row r="41953" spans="7:7">
      <c r="G41953" s="812"/>
    </row>
    <row r="41954" spans="7:7">
      <c r="G41954" s="812"/>
    </row>
    <row r="41955" spans="7:7">
      <c r="G41955" s="812"/>
    </row>
    <row r="41956" spans="7:7">
      <c r="G41956" s="812"/>
    </row>
    <row r="41957" spans="7:7">
      <c r="G41957" s="812"/>
    </row>
    <row r="41958" spans="7:7">
      <c r="G41958" s="812"/>
    </row>
    <row r="41959" spans="7:7">
      <c r="G41959" s="812"/>
    </row>
    <row r="41960" spans="7:7">
      <c r="G41960" s="812"/>
    </row>
    <row r="41961" spans="7:7">
      <c r="G41961" s="812"/>
    </row>
    <row r="41962" spans="7:7">
      <c r="G41962" s="812"/>
    </row>
    <row r="41963" spans="7:7">
      <c r="G41963" s="812"/>
    </row>
    <row r="41964" spans="7:7">
      <c r="G41964" s="812"/>
    </row>
    <row r="41965" spans="7:7">
      <c r="G41965" s="812"/>
    </row>
    <row r="41966" spans="7:7">
      <c r="G41966" s="812"/>
    </row>
    <row r="41967" spans="7:7">
      <c r="G41967" s="812"/>
    </row>
    <row r="41968" spans="7:7">
      <c r="G41968" s="812"/>
    </row>
    <row r="41969" spans="7:7">
      <c r="G41969" s="812"/>
    </row>
    <row r="41970" spans="7:7">
      <c r="G41970" s="812"/>
    </row>
    <row r="41971" spans="7:7">
      <c r="G41971" s="812"/>
    </row>
    <row r="41972" spans="7:7">
      <c r="G41972" s="812"/>
    </row>
    <row r="41973" spans="7:7">
      <c r="G41973" s="812"/>
    </row>
    <row r="41974" spans="7:7">
      <c r="G41974" s="812"/>
    </row>
    <row r="41975" spans="7:7">
      <c r="G41975" s="812"/>
    </row>
    <row r="41976" spans="7:7">
      <c r="G41976" s="812"/>
    </row>
    <row r="41977" spans="7:7">
      <c r="G41977" s="812"/>
    </row>
    <row r="41978" spans="7:7">
      <c r="G41978" s="812"/>
    </row>
    <row r="41979" spans="7:7">
      <c r="G41979" s="812"/>
    </row>
    <row r="41980" spans="7:7">
      <c r="G41980" s="812"/>
    </row>
    <row r="41981" spans="7:7">
      <c r="G41981" s="812"/>
    </row>
    <row r="41982" spans="7:7">
      <c r="G41982" s="812"/>
    </row>
    <row r="41983" spans="7:7">
      <c r="G41983" s="812"/>
    </row>
    <row r="41984" spans="7:7">
      <c r="G41984" s="812"/>
    </row>
    <row r="41985" spans="7:7">
      <c r="G41985" s="812"/>
    </row>
    <row r="41986" spans="7:7">
      <c r="G41986" s="812"/>
    </row>
    <row r="41987" spans="7:7">
      <c r="G41987" s="812"/>
    </row>
    <row r="41988" spans="7:7">
      <c r="G41988" s="812"/>
    </row>
    <row r="41989" spans="7:7">
      <c r="G41989" s="812"/>
    </row>
    <row r="41990" spans="7:7">
      <c r="G41990" s="812"/>
    </row>
    <row r="41991" spans="7:7">
      <c r="G41991" s="812"/>
    </row>
    <row r="41992" spans="7:7">
      <c r="G41992" s="812"/>
    </row>
    <row r="41993" spans="7:7">
      <c r="G41993" s="812"/>
    </row>
    <row r="41994" spans="7:7">
      <c r="G41994" s="812"/>
    </row>
    <row r="41995" spans="7:7">
      <c r="G41995" s="812"/>
    </row>
    <row r="41996" spans="7:7">
      <c r="G41996" s="812"/>
    </row>
    <row r="41997" spans="7:7">
      <c r="G41997" s="812"/>
    </row>
    <row r="41998" spans="7:7">
      <c r="G41998" s="812"/>
    </row>
    <row r="41999" spans="7:7">
      <c r="G41999" s="812"/>
    </row>
    <row r="42000" spans="7:7">
      <c r="G42000" s="812"/>
    </row>
    <row r="42001" spans="7:7">
      <c r="G42001" s="812"/>
    </row>
    <row r="42002" spans="7:7">
      <c r="G42002" s="812"/>
    </row>
    <row r="42003" spans="7:7">
      <c r="G42003" s="812"/>
    </row>
    <row r="42004" spans="7:7">
      <c r="G42004" s="812"/>
    </row>
    <row r="42005" spans="7:7">
      <c r="G42005" s="812"/>
    </row>
    <row r="42006" spans="7:7">
      <c r="G42006" s="812"/>
    </row>
    <row r="42007" spans="7:7">
      <c r="G42007" s="812"/>
    </row>
    <row r="42008" spans="7:7">
      <c r="G42008" s="812"/>
    </row>
    <row r="42009" spans="7:7">
      <c r="G42009" s="812"/>
    </row>
    <row r="42010" spans="7:7">
      <c r="G42010" s="812"/>
    </row>
    <row r="42011" spans="7:7">
      <c r="G42011" s="812"/>
    </row>
    <row r="42012" spans="7:7">
      <c r="G42012" s="812"/>
    </row>
    <row r="42013" spans="7:7">
      <c r="G42013" s="812"/>
    </row>
    <row r="42014" spans="7:7">
      <c r="G42014" s="812"/>
    </row>
    <row r="42015" spans="7:7">
      <c r="G42015" s="812"/>
    </row>
    <row r="42016" spans="7:7">
      <c r="G42016" s="812"/>
    </row>
    <row r="42017" spans="7:7">
      <c r="G42017" s="812"/>
    </row>
    <row r="42018" spans="7:7">
      <c r="G42018" s="812"/>
    </row>
    <row r="42019" spans="7:7">
      <c r="G42019" s="812"/>
    </row>
    <row r="42020" spans="7:7">
      <c r="G42020" s="812"/>
    </row>
    <row r="42021" spans="7:7">
      <c r="G42021" s="812"/>
    </row>
    <row r="42022" spans="7:7">
      <c r="G42022" s="812"/>
    </row>
    <row r="42023" spans="7:7">
      <c r="G42023" s="812"/>
    </row>
    <row r="42024" spans="7:7">
      <c r="G42024" s="812"/>
    </row>
    <row r="42025" spans="7:7">
      <c r="G42025" s="812"/>
    </row>
    <row r="42026" spans="7:7">
      <c r="G42026" s="812"/>
    </row>
    <row r="42027" spans="7:7">
      <c r="G42027" s="812"/>
    </row>
    <row r="42028" spans="7:7">
      <c r="G42028" s="812"/>
    </row>
    <row r="42029" spans="7:7">
      <c r="G42029" s="812"/>
    </row>
    <row r="42030" spans="7:7">
      <c r="G42030" s="812"/>
    </row>
    <row r="42031" spans="7:7">
      <c r="G42031" s="812"/>
    </row>
    <row r="42032" spans="7:7">
      <c r="G42032" s="812"/>
    </row>
    <row r="42033" spans="7:7">
      <c r="G42033" s="812"/>
    </row>
    <row r="42034" spans="7:7">
      <c r="G42034" s="812"/>
    </row>
    <row r="42035" spans="7:7">
      <c r="G42035" s="812"/>
    </row>
    <row r="42036" spans="7:7">
      <c r="G42036" s="812"/>
    </row>
    <row r="42037" spans="7:7">
      <c r="G42037" s="812"/>
    </row>
    <row r="42038" spans="7:7">
      <c r="G42038" s="812"/>
    </row>
    <row r="42039" spans="7:7">
      <c r="G42039" s="812"/>
    </row>
    <row r="42040" spans="7:7">
      <c r="G42040" s="812"/>
    </row>
    <row r="42041" spans="7:7">
      <c r="G42041" s="812"/>
    </row>
    <row r="42042" spans="7:7">
      <c r="G42042" s="812"/>
    </row>
    <row r="42043" spans="7:7">
      <c r="G42043" s="812"/>
    </row>
    <row r="42044" spans="7:7">
      <c r="G42044" s="812"/>
    </row>
    <row r="42045" spans="7:7">
      <c r="G42045" s="812"/>
    </row>
    <row r="42046" spans="7:7">
      <c r="G42046" s="812"/>
    </row>
    <row r="42047" spans="7:7">
      <c r="G42047" s="812"/>
    </row>
    <row r="42048" spans="7:7">
      <c r="G42048" s="812"/>
    </row>
    <row r="42049" spans="7:7">
      <c r="G42049" s="812"/>
    </row>
    <row r="42050" spans="7:7">
      <c r="G42050" s="812"/>
    </row>
    <row r="42051" spans="7:7">
      <c r="G42051" s="812"/>
    </row>
    <row r="42052" spans="7:7">
      <c r="G42052" s="812"/>
    </row>
    <row r="42053" spans="7:7">
      <c r="G42053" s="812"/>
    </row>
    <row r="42054" spans="7:7">
      <c r="G42054" s="812"/>
    </row>
    <row r="42055" spans="7:7">
      <c r="G42055" s="812"/>
    </row>
    <row r="42056" spans="7:7">
      <c r="G42056" s="812"/>
    </row>
    <row r="42057" spans="7:7">
      <c r="G42057" s="812"/>
    </row>
    <row r="42058" spans="7:7">
      <c r="G42058" s="812"/>
    </row>
    <row r="42059" spans="7:7">
      <c r="G42059" s="812"/>
    </row>
    <row r="42060" spans="7:7">
      <c r="G42060" s="812"/>
    </row>
    <row r="42061" spans="7:7">
      <c r="G42061" s="812"/>
    </row>
    <row r="42062" spans="7:7">
      <c r="G42062" s="812"/>
    </row>
    <row r="42063" spans="7:7">
      <c r="G42063" s="812"/>
    </row>
    <row r="42064" spans="7:7">
      <c r="G42064" s="812"/>
    </row>
    <row r="42065" spans="7:7">
      <c r="G42065" s="812"/>
    </row>
    <row r="42066" spans="7:7">
      <c r="G42066" s="812"/>
    </row>
    <row r="42067" spans="7:7">
      <c r="G42067" s="812"/>
    </row>
    <row r="42068" spans="7:7">
      <c r="G42068" s="812"/>
    </row>
    <row r="42069" spans="7:7">
      <c r="G42069" s="812"/>
    </row>
    <row r="42070" spans="7:7">
      <c r="G42070" s="812"/>
    </row>
    <row r="42071" spans="7:7">
      <c r="G42071" s="812"/>
    </row>
    <row r="42072" spans="7:7">
      <c r="G42072" s="812"/>
    </row>
    <row r="42073" spans="7:7">
      <c r="G42073" s="812"/>
    </row>
    <row r="42074" spans="7:7">
      <c r="G42074" s="812"/>
    </row>
    <row r="42075" spans="7:7">
      <c r="G42075" s="812"/>
    </row>
    <row r="42076" spans="7:7">
      <c r="G42076" s="812"/>
    </row>
    <row r="42077" spans="7:7">
      <c r="G42077" s="812"/>
    </row>
    <row r="42078" spans="7:7">
      <c r="G42078" s="812"/>
    </row>
    <row r="42079" spans="7:7">
      <c r="G42079" s="812"/>
    </row>
    <row r="42080" spans="7:7">
      <c r="G42080" s="812"/>
    </row>
    <row r="42081" spans="7:7">
      <c r="G42081" s="812"/>
    </row>
    <row r="42082" spans="7:7">
      <c r="G42082" s="812"/>
    </row>
    <row r="42083" spans="7:7">
      <c r="G42083" s="812"/>
    </row>
    <row r="42084" spans="7:7">
      <c r="G42084" s="812"/>
    </row>
    <row r="42085" spans="7:7">
      <c r="G42085" s="812"/>
    </row>
    <row r="42086" spans="7:7">
      <c r="G42086" s="812"/>
    </row>
    <row r="42087" spans="7:7">
      <c r="G42087" s="812"/>
    </row>
    <row r="42088" spans="7:7">
      <c r="G42088" s="812"/>
    </row>
    <row r="42089" spans="7:7">
      <c r="G42089" s="812"/>
    </row>
    <row r="42090" spans="7:7">
      <c r="G42090" s="812"/>
    </row>
    <row r="42091" spans="7:7">
      <c r="G42091" s="812"/>
    </row>
    <row r="42092" spans="7:7">
      <c r="G42092" s="812"/>
    </row>
    <row r="42093" spans="7:7">
      <c r="G42093" s="812"/>
    </row>
    <row r="42094" spans="7:7">
      <c r="G42094" s="812"/>
    </row>
    <row r="42095" spans="7:7">
      <c r="G42095" s="812"/>
    </row>
    <row r="42096" spans="7:7">
      <c r="G42096" s="812"/>
    </row>
    <row r="42097" spans="7:7">
      <c r="G42097" s="812"/>
    </row>
    <row r="42098" spans="7:7">
      <c r="G42098" s="812"/>
    </row>
    <row r="42099" spans="7:7">
      <c r="G42099" s="812"/>
    </row>
    <row r="42100" spans="7:7">
      <c r="G42100" s="812"/>
    </row>
    <row r="42101" spans="7:7">
      <c r="G42101" s="812"/>
    </row>
    <row r="42102" spans="7:7">
      <c r="G42102" s="812"/>
    </row>
    <row r="42103" spans="7:7">
      <c r="G42103" s="812"/>
    </row>
    <row r="42104" spans="7:7">
      <c r="G42104" s="812"/>
    </row>
    <row r="42105" spans="7:7">
      <c r="G42105" s="812"/>
    </row>
    <row r="42106" spans="7:7">
      <c r="G42106" s="812"/>
    </row>
    <row r="42107" spans="7:7">
      <c r="G42107" s="812"/>
    </row>
    <row r="42108" spans="7:7">
      <c r="G42108" s="812"/>
    </row>
    <row r="42109" spans="7:7">
      <c r="G42109" s="812"/>
    </row>
    <row r="42110" spans="7:7">
      <c r="G42110" s="812"/>
    </row>
    <row r="42111" spans="7:7">
      <c r="G42111" s="812"/>
    </row>
    <row r="42112" spans="7:7">
      <c r="G42112" s="812"/>
    </row>
    <row r="42113" spans="7:7">
      <c r="G42113" s="812"/>
    </row>
    <row r="42114" spans="7:7">
      <c r="G42114" s="812"/>
    </row>
    <row r="42115" spans="7:7">
      <c r="G42115" s="812"/>
    </row>
    <row r="42116" spans="7:7">
      <c r="G42116" s="812"/>
    </row>
    <row r="42117" spans="7:7">
      <c r="G42117" s="812"/>
    </row>
    <row r="42118" spans="7:7">
      <c r="G42118" s="812"/>
    </row>
    <row r="42119" spans="7:7">
      <c r="G42119" s="812"/>
    </row>
    <row r="42120" spans="7:7">
      <c r="G42120" s="812"/>
    </row>
    <row r="42121" spans="7:7">
      <c r="G42121" s="812"/>
    </row>
    <row r="42122" spans="7:7">
      <c r="G42122" s="812"/>
    </row>
    <row r="42123" spans="7:7">
      <c r="G42123" s="812"/>
    </row>
    <row r="42124" spans="7:7">
      <c r="G42124" s="812"/>
    </row>
    <row r="42125" spans="7:7">
      <c r="G42125" s="812"/>
    </row>
    <row r="42126" spans="7:7">
      <c r="G42126" s="812"/>
    </row>
    <row r="42127" spans="7:7">
      <c r="G42127" s="812"/>
    </row>
    <row r="42128" spans="7:7">
      <c r="G42128" s="812"/>
    </row>
    <row r="42129" spans="7:7">
      <c r="G42129" s="812"/>
    </row>
    <row r="42130" spans="7:7">
      <c r="G42130" s="812"/>
    </row>
    <row r="42131" spans="7:7">
      <c r="G42131" s="812"/>
    </row>
    <row r="42132" spans="7:7">
      <c r="G42132" s="812"/>
    </row>
    <row r="42133" spans="7:7">
      <c r="G42133" s="812"/>
    </row>
    <row r="42134" spans="7:7">
      <c r="G42134" s="812"/>
    </row>
    <row r="42135" spans="7:7">
      <c r="G42135" s="812"/>
    </row>
    <row r="42136" spans="7:7">
      <c r="G42136" s="812"/>
    </row>
    <row r="42137" spans="7:7">
      <c r="G42137" s="812"/>
    </row>
    <row r="42138" spans="7:7">
      <c r="G42138" s="812"/>
    </row>
    <row r="42139" spans="7:7">
      <c r="G42139" s="812"/>
    </row>
    <row r="42140" spans="7:7">
      <c r="G42140" s="812"/>
    </row>
    <row r="42141" spans="7:7">
      <c r="G42141" s="812"/>
    </row>
    <row r="42142" spans="7:7">
      <c r="G42142" s="812"/>
    </row>
    <row r="42143" spans="7:7">
      <c r="G42143" s="812"/>
    </row>
    <row r="42144" spans="7:7">
      <c r="G42144" s="812"/>
    </row>
    <row r="42145" spans="7:7">
      <c r="G42145" s="812"/>
    </row>
    <row r="42146" spans="7:7">
      <c r="G42146" s="812"/>
    </row>
    <row r="42147" spans="7:7">
      <c r="G42147" s="812"/>
    </row>
    <row r="42148" spans="7:7">
      <c r="G42148" s="812"/>
    </row>
    <row r="42149" spans="7:7">
      <c r="G42149" s="812"/>
    </row>
    <row r="42150" spans="7:7">
      <c r="G42150" s="812"/>
    </row>
    <row r="42151" spans="7:7">
      <c r="G42151" s="812"/>
    </row>
    <row r="42152" spans="7:7">
      <c r="G42152" s="812"/>
    </row>
    <row r="42153" spans="7:7">
      <c r="G42153" s="812"/>
    </row>
    <row r="42154" spans="7:7">
      <c r="G42154" s="812"/>
    </row>
    <row r="42155" spans="7:7">
      <c r="G42155" s="812"/>
    </row>
    <row r="42156" spans="7:7">
      <c r="G42156" s="812"/>
    </row>
    <row r="42157" spans="7:7">
      <c r="G42157" s="812"/>
    </row>
    <row r="42158" spans="7:7">
      <c r="G42158" s="812"/>
    </row>
    <row r="42159" spans="7:7">
      <c r="G42159" s="812"/>
    </row>
    <row r="42160" spans="7:7">
      <c r="G42160" s="812"/>
    </row>
    <row r="42161" spans="7:7">
      <c r="G42161" s="812"/>
    </row>
    <row r="42162" spans="7:7">
      <c r="G42162" s="812"/>
    </row>
    <row r="42163" spans="7:7">
      <c r="G42163" s="812"/>
    </row>
    <row r="42164" spans="7:7">
      <c r="G42164" s="812"/>
    </row>
    <row r="42165" spans="7:7">
      <c r="G42165" s="812"/>
    </row>
    <row r="42166" spans="7:7">
      <c r="G42166" s="812"/>
    </row>
    <row r="42167" spans="7:7">
      <c r="G42167" s="812"/>
    </row>
    <row r="42168" spans="7:7">
      <c r="G42168" s="812"/>
    </row>
    <row r="42169" spans="7:7">
      <c r="G42169" s="812"/>
    </row>
    <row r="42170" spans="7:7">
      <c r="G42170" s="812"/>
    </row>
    <row r="42171" spans="7:7">
      <c r="G42171" s="812"/>
    </row>
    <row r="42172" spans="7:7">
      <c r="G42172" s="812"/>
    </row>
    <row r="42173" spans="7:7">
      <c r="G42173" s="812"/>
    </row>
    <row r="42174" spans="7:7">
      <c r="G42174" s="812"/>
    </row>
    <row r="42175" spans="7:7">
      <c r="G42175" s="812"/>
    </row>
    <row r="42176" spans="7:7">
      <c r="G42176" s="812"/>
    </row>
    <row r="42177" spans="7:7">
      <c r="G42177" s="812"/>
    </row>
    <row r="42178" spans="7:7">
      <c r="G42178" s="812"/>
    </row>
    <row r="42179" spans="7:7">
      <c r="G42179" s="812"/>
    </row>
    <row r="42180" spans="7:7">
      <c r="G42180" s="812"/>
    </row>
    <row r="42181" spans="7:7">
      <c r="G42181" s="812"/>
    </row>
    <row r="42182" spans="7:7">
      <c r="G42182" s="812"/>
    </row>
    <row r="42183" spans="7:7">
      <c r="G42183" s="812"/>
    </row>
    <row r="42184" spans="7:7">
      <c r="G42184" s="812"/>
    </row>
    <row r="42185" spans="7:7">
      <c r="G42185" s="812"/>
    </row>
    <row r="42186" spans="7:7">
      <c r="G42186" s="812"/>
    </row>
    <row r="42187" spans="7:7">
      <c r="G42187" s="812"/>
    </row>
    <row r="42188" spans="7:7">
      <c r="G42188" s="812"/>
    </row>
    <row r="42189" spans="7:7">
      <c r="G42189" s="812"/>
    </row>
    <row r="42190" spans="7:7">
      <c r="G42190" s="812"/>
    </row>
    <row r="42191" spans="7:7">
      <c r="G42191" s="812"/>
    </row>
    <row r="42192" spans="7:7">
      <c r="G42192" s="812"/>
    </row>
    <row r="42193" spans="7:7">
      <c r="G42193" s="812"/>
    </row>
    <row r="42194" spans="7:7">
      <c r="G42194" s="812"/>
    </row>
    <row r="42195" spans="7:7">
      <c r="G42195" s="812"/>
    </row>
    <row r="42196" spans="7:7">
      <c r="G42196" s="812"/>
    </row>
    <row r="42197" spans="7:7">
      <c r="G42197" s="812"/>
    </row>
    <row r="42198" spans="7:7">
      <c r="G42198" s="812"/>
    </row>
    <row r="42199" spans="7:7">
      <c r="G42199" s="812"/>
    </row>
    <row r="42200" spans="7:7">
      <c r="G42200" s="812"/>
    </row>
    <row r="42201" spans="7:7">
      <c r="G42201" s="812"/>
    </row>
    <row r="42202" spans="7:7">
      <c r="G42202" s="812"/>
    </row>
    <row r="42203" spans="7:7">
      <c r="G42203" s="812"/>
    </row>
    <row r="42204" spans="7:7">
      <c r="G42204" s="812"/>
    </row>
    <row r="42205" spans="7:7">
      <c r="G42205" s="812"/>
    </row>
    <row r="42206" spans="7:7">
      <c r="G42206" s="812"/>
    </row>
    <row r="42207" spans="7:7">
      <c r="G42207" s="812"/>
    </row>
    <row r="42208" spans="7:7">
      <c r="G42208" s="812"/>
    </row>
    <row r="42209" spans="7:7">
      <c r="G42209" s="812"/>
    </row>
    <row r="42210" spans="7:7">
      <c r="G42210" s="812"/>
    </row>
    <row r="42211" spans="7:7">
      <c r="G42211" s="812"/>
    </row>
    <row r="42212" spans="7:7">
      <c r="G42212" s="812"/>
    </row>
    <row r="42213" spans="7:7">
      <c r="G42213" s="812"/>
    </row>
    <row r="42214" spans="7:7">
      <c r="G42214" s="812"/>
    </row>
    <row r="42215" spans="7:7">
      <c r="G42215" s="812"/>
    </row>
    <row r="42216" spans="7:7">
      <c r="G42216" s="812"/>
    </row>
    <row r="42217" spans="7:7">
      <c r="G42217" s="812"/>
    </row>
    <row r="42218" spans="7:7">
      <c r="G42218" s="812"/>
    </row>
    <row r="42219" spans="7:7">
      <c r="G42219" s="812"/>
    </row>
    <row r="42220" spans="7:7">
      <c r="G42220" s="812"/>
    </row>
    <row r="42221" spans="7:7">
      <c r="G42221" s="812"/>
    </row>
    <row r="42222" spans="7:7">
      <c r="G42222" s="812"/>
    </row>
    <row r="42223" spans="7:7">
      <c r="G42223" s="812"/>
    </row>
    <row r="42224" spans="7:7">
      <c r="G42224" s="812"/>
    </row>
    <row r="42225" spans="7:7">
      <c r="G42225" s="812"/>
    </row>
    <row r="42226" spans="7:7">
      <c r="G42226" s="812"/>
    </row>
    <row r="42227" spans="7:7">
      <c r="G42227" s="812"/>
    </row>
    <row r="42228" spans="7:7">
      <c r="G42228" s="812"/>
    </row>
    <row r="42229" spans="7:7">
      <c r="G42229" s="812"/>
    </row>
    <row r="42230" spans="7:7">
      <c r="G42230" s="812"/>
    </row>
    <row r="42231" spans="7:7">
      <c r="G42231" s="812"/>
    </row>
    <row r="42232" spans="7:7">
      <c r="G42232" s="812"/>
    </row>
    <row r="42233" spans="7:7">
      <c r="G42233" s="812"/>
    </row>
    <row r="42234" spans="7:7">
      <c r="G42234" s="812"/>
    </row>
    <row r="42235" spans="7:7">
      <c r="G42235" s="812"/>
    </row>
    <row r="42236" spans="7:7">
      <c r="G42236" s="812"/>
    </row>
    <row r="42237" spans="7:7">
      <c r="G42237" s="812"/>
    </row>
    <row r="42238" spans="7:7">
      <c r="G42238" s="812"/>
    </row>
    <row r="42239" spans="7:7">
      <c r="G42239" s="812"/>
    </row>
    <row r="42240" spans="7:7">
      <c r="G42240" s="812"/>
    </row>
    <row r="42241" spans="7:7">
      <c r="G42241" s="812"/>
    </row>
    <row r="42242" spans="7:7">
      <c r="G42242" s="812"/>
    </row>
    <row r="42243" spans="7:7">
      <c r="G42243" s="812"/>
    </row>
    <row r="42244" spans="7:7">
      <c r="G42244" s="812"/>
    </row>
    <row r="42245" spans="7:7">
      <c r="G42245" s="812"/>
    </row>
    <row r="42246" spans="7:7">
      <c r="G42246" s="812"/>
    </row>
    <row r="42247" spans="7:7">
      <c r="G42247" s="812"/>
    </row>
    <row r="42248" spans="7:7">
      <c r="G42248" s="812"/>
    </row>
    <row r="42249" spans="7:7">
      <c r="G42249" s="812"/>
    </row>
    <row r="42250" spans="7:7">
      <c r="G42250" s="812"/>
    </row>
    <row r="42251" spans="7:7">
      <c r="G42251" s="812"/>
    </row>
    <row r="42252" spans="7:7">
      <c r="G42252" s="812"/>
    </row>
    <row r="42253" spans="7:7">
      <c r="G42253" s="812"/>
    </row>
    <row r="42254" spans="7:7">
      <c r="G42254" s="812"/>
    </row>
    <row r="42255" spans="7:7">
      <c r="G42255" s="812"/>
    </row>
    <row r="42256" spans="7:7">
      <c r="G42256" s="812"/>
    </row>
    <row r="42257" spans="7:7">
      <c r="G42257" s="812"/>
    </row>
    <row r="42258" spans="7:7">
      <c r="G42258" s="812"/>
    </row>
    <row r="42259" spans="7:7">
      <c r="G42259" s="812"/>
    </row>
    <row r="42260" spans="7:7">
      <c r="G42260" s="812"/>
    </row>
    <row r="42261" spans="7:7">
      <c r="G42261" s="812"/>
    </row>
    <row r="42262" spans="7:7">
      <c r="G42262" s="812"/>
    </row>
    <row r="42263" spans="7:7">
      <c r="G42263" s="812"/>
    </row>
    <row r="42264" spans="7:7">
      <c r="G42264" s="812"/>
    </row>
    <row r="42265" spans="7:7">
      <c r="G42265" s="812"/>
    </row>
    <row r="42266" spans="7:7">
      <c r="G42266" s="812"/>
    </row>
    <row r="42267" spans="7:7">
      <c r="G42267" s="812"/>
    </row>
    <row r="42268" spans="7:7">
      <c r="G42268" s="812"/>
    </row>
    <row r="42269" spans="7:7">
      <c r="G42269" s="812"/>
    </row>
    <row r="42270" spans="7:7">
      <c r="G42270" s="812"/>
    </row>
    <row r="42271" spans="7:7">
      <c r="G42271" s="812"/>
    </row>
    <row r="42272" spans="7:7">
      <c r="G42272" s="812"/>
    </row>
    <row r="42273" spans="7:7">
      <c r="G42273" s="812"/>
    </row>
    <row r="42274" spans="7:7">
      <c r="G42274" s="812"/>
    </row>
    <row r="42275" spans="7:7">
      <c r="G42275" s="812"/>
    </row>
    <row r="42276" spans="7:7">
      <c r="G42276" s="812"/>
    </row>
    <row r="42277" spans="7:7">
      <c r="G42277" s="812"/>
    </row>
    <row r="42278" spans="7:7">
      <c r="G42278" s="812"/>
    </row>
    <row r="42279" spans="7:7">
      <c r="G42279" s="812"/>
    </row>
    <row r="42280" spans="7:7">
      <c r="G42280" s="812"/>
    </row>
    <row r="42281" spans="7:7">
      <c r="G42281" s="812"/>
    </row>
    <row r="42282" spans="7:7">
      <c r="G42282" s="812"/>
    </row>
    <row r="42283" spans="7:7">
      <c r="G42283" s="812"/>
    </row>
    <row r="42284" spans="7:7">
      <c r="G42284" s="812"/>
    </row>
    <row r="42285" spans="7:7">
      <c r="G42285" s="812"/>
    </row>
    <row r="42286" spans="7:7">
      <c r="G42286" s="812"/>
    </row>
    <row r="42287" spans="7:7">
      <c r="G42287" s="812"/>
    </row>
    <row r="42288" spans="7:7">
      <c r="G42288" s="812"/>
    </row>
    <row r="42289" spans="7:7">
      <c r="G42289" s="812"/>
    </row>
    <row r="42290" spans="7:7">
      <c r="G42290" s="812"/>
    </row>
    <row r="42291" spans="7:7">
      <c r="G42291" s="812"/>
    </row>
    <row r="42292" spans="7:7">
      <c r="G42292" s="812"/>
    </row>
    <row r="42293" spans="7:7">
      <c r="G42293" s="812"/>
    </row>
    <row r="42294" spans="7:7">
      <c r="G42294" s="812"/>
    </row>
    <row r="42295" spans="7:7">
      <c r="G42295" s="812"/>
    </row>
    <row r="42296" spans="7:7">
      <c r="G42296" s="812"/>
    </row>
    <row r="42297" spans="7:7">
      <c r="G42297" s="812"/>
    </row>
    <row r="42298" spans="7:7">
      <c r="G42298" s="812"/>
    </row>
    <row r="42299" spans="7:7">
      <c r="G42299" s="812"/>
    </row>
    <row r="42300" spans="7:7">
      <c r="G42300" s="812"/>
    </row>
    <row r="42301" spans="7:7">
      <c r="G42301" s="812"/>
    </row>
    <row r="42302" spans="7:7">
      <c r="G42302" s="812"/>
    </row>
    <row r="42303" spans="7:7">
      <c r="G42303" s="812"/>
    </row>
    <row r="42304" spans="7:7">
      <c r="G42304" s="812"/>
    </row>
    <row r="42305" spans="7:7">
      <c r="G42305" s="812"/>
    </row>
    <row r="42306" spans="7:7">
      <c r="G42306" s="812"/>
    </row>
    <row r="42307" spans="7:7">
      <c r="G42307" s="812"/>
    </row>
    <row r="42308" spans="7:7">
      <c r="G42308" s="812"/>
    </row>
    <row r="42309" spans="7:7">
      <c r="G42309" s="812"/>
    </row>
    <row r="42310" spans="7:7">
      <c r="G42310" s="812"/>
    </row>
    <row r="42311" spans="7:7">
      <c r="G42311" s="812"/>
    </row>
    <row r="42312" spans="7:7">
      <c r="G42312" s="812"/>
    </row>
    <row r="42313" spans="7:7">
      <c r="G42313" s="812"/>
    </row>
    <row r="42314" spans="7:7">
      <c r="G42314" s="812"/>
    </row>
    <row r="42315" spans="7:7">
      <c r="G42315" s="812"/>
    </row>
    <row r="42316" spans="7:7">
      <c r="G42316" s="812"/>
    </row>
    <row r="42317" spans="7:7">
      <c r="G42317" s="812"/>
    </row>
    <row r="42318" spans="7:7">
      <c r="G42318" s="812"/>
    </row>
    <row r="42319" spans="7:7">
      <c r="G42319" s="812"/>
    </row>
    <row r="42320" spans="7:7">
      <c r="G42320" s="812"/>
    </row>
    <row r="42321" spans="7:7">
      <c r="G42321" s="812"/>
    </row>
    <row r="42322" spans="7:7">
      <c r="G42322" s="812"/>
    </row>
    <row r="42323" spans="7:7">
      <c r="G42323" s="812"/>
    </row>
    <row r="42324" spans="7:7">
      <c r="G42324" s="812"/>
    </row>
    <row r="42325" spans="7:7">
      <c r="G42325" s="812"/>
    </row>
    <row r="42326" spans="7:7">
      <c r="G42326" s="812"/>
    </row>
    <row r="42327" spans="7:7">
      <c r="G42327" s="812"/>
    </row>
    <row r="42328" spans="7:7">
      <c r="G42328" s="812"/>
    </row>
    <row r="42329" spans="7:7">
      <c r="G42329" s="812"/>
    </row>
    <row r="42330" spans="7:7">
      <c r="G42330" s="812"/>
    </row>
    <row r="42331" spans="7:7">
      <c r="G42331" s="812"/>
    </row>
    <row r="42332" spans="7:7">
      <c r="G42332" s="812"/>
    </row>
    <row r="42333" spans="7:7">
      <c r="G42333" s="812"/>
    </row>
    <row r="42334" spans="7:7">
      <c r="G42334" s="812"/>
    </row>
    <row r="42335" spans="7:7">
      <c r="G42335" s="812"/>
    </row>
    <row r="42336" spans="7:7">
      <c r="G42336" s="812"/>
    </row>
    <row r="42337" spans="7:7">
      <c r="G42337" s="812"/>
    </row>
    <row r="42338" spans="7:7">
      <c r="G42338" s="812"/>
    </row>
    <row r="42339" spans="7:7">
      <c r="G42339" s="812"/>
    </row>
    <row r="42340" spans="7:7">
      <c r="G42340" s="812"/>
    </row>
    <row r="42341" spans="7:7">
      <c r="G42341" s="812"/>
    </row>
    <row r="42342" spans="7:7">
      <c r="G42342" s="812"/>
    </row>
    <row r="42343" spans="7:7">
      <c r="G42343" s="812"/>
    </row>
    <row r="42344" spans="7:7">
      <c r="G42344" s="812"/>
    </row>
    <row r="42345" spans="7:7">
      <c r="G42345" s="812"/>
    </row>
    <row r="42346" spans="7:7">
      <c r="G42346" s="812"/>
    </row>
    <row r="42347" spans="7:7">
      <c r="G42347" s="812"/>
    </row>
    <row r="42348" spans="7:7">
      <c r="G42348" s="812"/>
    </row>
    <row r="42349" spans="7:7">
      <c r="G42349" s="812"/>
    </row>
    <row r="42350" spans="7:7">
      <c r="G42350" s="812"/>
    </row>
    <row r="42351" spans="7:7">
      <c r="G42351" s="812"/>
    </row>
    <row r="42352" spans="7:7">
      <c r="G42352" s="812"/>
    </row>
    <row r="42353" spans="7:7">
      <c r="G42353" s="812"/>
    </row>
    <row r="42354" spans="7:7">
      <c r="G42354" s="812"/>
    </row>
    <row r="42355" spans="7:7">
      <c r="G42355" s="812"/>
    </row>
    <row r="42356" spans="7:7">
      <c r="G42356" s="812"/>
    </row>
    <row r="42357" spans="7:7">
      <c r="G42357" s="812"/>
    </row>
    <row r="42358" spans="7:7">
      <c r="G42358" s="812"/>
    </row>
    <row r="42359" spans="7:7">
      <c r="G42359" s="812"/>
    </row>
    <row r="42360" spans="7:7">
      <c r="G42360" s="812"/>
    </row>
    <row r="42361" spans="7:7">
      <c r="G42361" s="812"/>
    </row>
    <row r="42362" spans="7:7">
      <c r="G42362" s="812"/>
    </row>
    <row r="42363" spans="7:7">
      <c r="G42363" s="812"/>
    </row>
    <row r="42364" spans="7:7">
      <c r="G42364" s="812"/>
    </row>
    <row r="42365" spans="7:7">
      <c r="G42365" s="812"/>
    </row>
    <row r="42366" spans="7:7">
      <c r="G42366" s="812"/>
    </row>
    <row r="42367" spans="7:7">
      <c r="G42367" s="812"/>
    </row>
    <row r="42368" spans="7:7">
      <c r="G42368" s="812"/>
    </row>
    <row r="42369" spans="7:7">
      <c r="G42369" s="812"/>
    </row>
    <row r="42370" spans="7:7">
      <c r="G42370" s="812"/>
    </row>
    <row r="42371" spans="7:7">
      <c r="G42371" s="812"/>
    </row>
    <row r="42372" spans="7:7">
      <c r="G42372" s="812"/>
    </row>
    <row r="42373" spans="7:7">
      <c r="G42373" s="812"/>
    </row>
    <row r="42374" spans="7:7">
      <c r="G42374" s="812"/>
    </row>
    <row r="42375" spans="7:7">
      <c r="G42375" s="812"/>
    </row>
    <row r="42376" spans="7:7">
      <c r="G42376" s="812"/>
    </row>
    <row r="42377" spans="7:7">
      <c r="G42377" s="812"/>
    </row>
    <row r="42378" spans="7:7">
      <c r="G42378" s="812"/>
    </row>
    <row r="42379" spans="7:7">
      <c r="G42379" s="812"/>
    </row>
    <row r="42380" spans="7:7">
      <c r="G42380" s="812"/>
    </row>
    <row r="42381" spans="7:7">
      <c r="G42381" s="812"/>
    </row>
    <row r="42382" spans="7:7">
      <c r="G42382" s="812"/>
    </row>
    <row r="42383" spans="7:7">
      <c r="G42383" s="812"/>
    </row>
    <row r="42384" spans="7:7">
      <c r="G42384" s="812"/>
    </row>
    <row r="42385" spans="7:7">
      <c r="G42385" s="812"/>
    </row>
    <row r="42386" spans="7:7">
      <c r="G42386" s="812"/>
    </row>
    <row r="42387" spans="7:7">
      <c r="G42387" s="812"/>
    </row>
    <row r="42388" spans="7:7">
      <c r="G42388" s="812"/>
    </row>
    <row r="42389" spans="7:7">
      <c r="G42389" s="812"/>
    </row>
    <row r="42390" spans="7:7">
      <c r="G42390" s="812"/>
    </row>
    <row r="42391" spans="7:7">
      <c r="G42391" s="812"/>
    </row>
    <row r="42392" spans="7:7">
      <c r="G42392" s="812"/>
    </row>
    <row r="42393" spans="7:7">
      <c r="G42393" s="812"/>
    </row>
    <row r="42394" spans="7:7">
      <c r="G42394" s="812"/>
    </row>
    <row r="42395" spans="7:7">
      <c r="G42395" s="812"/>
    </row>
    <row r="42396" spans="7:7">
      <c r="G42396" s="812"/>
    </row>
    <row r="42397" spans="7:7">
      <c r="G42397" s="812"/>
    </row>
    <row r="42398" spans="7:7">
      <c r="G42398" s="812"/>
    </row>
    <row r="42399" spans="7:7">
      <c r="G42399" s="812"/>
    </row>
    <row r="42400" spans="7:7">
      <c r="G42400" s="812"/>
    </row>
    <row r="42401" spans="7:7">
      <c r="G42401" s="812"/>
    </row>
    <row r="42402" spans="7:7">
      <c r="G42402" s="812"/>
    </row>
    <row r="42403" spans="7:7">
      <c r="G42403" s="812"/>
    </row>
    <row r="42404" spans="7:7">
      <c r="G42404" s="812"/>
    </row>
    <row r="42405" spans="7:7">
      <c r="G42405" s="812"/>
    </row>
    <row r="42406" spans="7:7">
      <c r="G42406" s="812"/>
    </row>
    <row r="42407" spans="7:7">
      <c r="G42407" s="812"/>
    </row>
    <row r="42408" spans="7:7">
      <c r="G42408" s="812"/>
    </row>
    <row r="42409" spans="7:7">
      <c r="G42409" s="812"/>
    </row>
    <row r="42410" spans="7:7">
      <c r="G42410" s="812"/>
    </row>
    <row r="42411" spans="7:7">
      <c r="G42411" s="812"/>
    </row>
    <row r="42412" spans="7:7">
      <c r="G42412" s="812"/>
    </row>
    <row r="42413" spans="7:7">
      <c r="G42413" s="812"/>
    </row>
    <row r="42414" spans="7:7">
      <c r="G42414" s="812"/>
    </row>
    <row r="42415" spans="7:7">
      <c r="G42415" s="812"/>
    </row>
    <row r="42416" spans="7:7">
      <c r="G42416" s="812"/>
    </row>
    <row r="42417" spans="7:7">
      <c r="G42417" s="812"/>
    </row>
    <row r="42418" spans="7:7">
      <c r="G42418" s="812"/>
    </row>
    <row r="42419" spans="7:7">
      <c r="G42419" s="812"/>
    </row>
    <row r="42420" spans="7:7">
      <c r="G42420" s="812"/>
    </row>
    <row r="42421" spans="7:7">
      <c r="G42421" s="812"/>
    </row>
    <row r="42422" spans="7:7">
      <c r="G42422" s="812"/>
    </row>
    <row r="42423" spans="7:7">
      <c r="G42423" s="812"/>
    </row>
    <row r="42424" spans="7:7">
      <c r="G42424" s="812"/>
    </row>
    <row r="42425" spans="7:7">
      <c r="G42425" s="812"/>
    </row>
    <row r="42426" spans="7:7">
      <c r="G42426" s="812"/>
    </row>
    <row r="42427" spans="7:7">
      <c r="G42427" s="812"/>
    </row>
    <row r="42428" spans="7:7">
      <c r="G42428" s="812"/>
    </row>
    <row r="42429" spans="7:7">
      <c r="G42429" s="812"/>
    </row>
    <row r="42430" spans="7:7">
      <c r="G42430" s="812"/>
    </row>
    <row r="42431" spans="7:7">
      <c r="G42431" s="812"/>
    </row>
    <row r="42432" spans="7:7">
      <c r="G42432" s="812"/>
    </row>
    <row r="42433" spans="7:7">
      <c r="G42433" s="812"/>
    </row>
    <row r="42434" spans="7:7">
      <c r="G42434" s="812"/>
    </row>
    <row r="42435" spans="7:7">
      <c r="G42435" s="812"/>
    </row>
    <row r="42436" spans="7:7">
      <c r="G42436" s="812"/>
    </row>
    <row r="42437" spans="7:7">
      <c r="G42437" s="812"/>
    </row>
    <row r="42438" spans="7:7">
      <c r="G42438" s="812"/>
    </row>
    <row r="42439" spans="7:7">
      <c r="G42439" s="812"/>
    </row>
    <row r="42440" spans="7:7">
      <c r="G42440" s="812"/>
    </row>
    <row r="42441" spans="7:7">
      <c r="G42441" s="812"/>
    </row>
    <row r="42442" spans="7:7">
      <c r="G42442" s="812"/>
    </row>
    <row r="42443" spans="7:7">
      <c r="G42443" s="812"/>
    </row>
    <row r="42444" spans="7:7">
      <c r="G42444" s="812"/>
    </row>
    <row r="42445" spans="7:7">
      <c r="G42445" s="812"/>
    </row>
    <row r="42446" spans="7:7">
      <c r="G42446" s="812"/>
    </row>
    <row r="42447" spans="7:7">
      <c r="G42447" s="812"/>
    </row>
    <row r="42448" spans="7:7">
      <c r="G42448" s="812"/>
    </row>
    <row r="42449" spans="7:7">
      <c r="G42449" s="812"/>
    </row>
    <row r="42450" spans="7:7">
      <c r="G42450" s="812"/>
    </row>
    <row r="42451" spans="7:7">
      <c r="G42451" s="812"/>
    </row>
    <row r="42452" spans="7:7">
      <c r="G42452" s="812"/>
    </row>
    <row r="42453" spans="7:7">
      <c r="G42453" s="812"/>
    </row>
    <row r="42454" spans="7:7">
      <c r="G42454" s="812"/>
    </row>
    <row r="42455" spans="7:7">
      <c r="G42455" s="812"/>
    </row>
    <row r="42456" spans="7:7">
      <c r="G42456" s="812"/>
    </row>
    <row r="42457" spans="7:7">
      <c r="G42457" s="812"/>
    </row>
    <row r="42458" spans="7:7">
      <c r="G42458" s="812"/>
    </row>
    <row r="42459" spans="7:7">
      <c r="G42459" s="812"/>
    </row>
    <row r="42460" spans="7:7">
      <c r="G42460" s="812"/>
    </row>
    <row r="42461" spans="7:7">
      <c r="G42461" s="812"/>
    </row>
    <row r="42462" spans="7:7">
      <c r="G42462" s="812"/>
    </row>
    <row r="42463" spans="7:7">
      <c r="G42463" s="812"/>
    </row>
    <row r="42464" spans="7:7">
      <c r="G42464" s="812"/>
    </row>
    <row r="42465" spans="7:7">
      <c r="G42465" s="812"/>
    </row>
    <row r="42466" spans="7:7">
      <c r="G42466" s="812"/>
    </row>
    <row r="42467" spans="7:7">
      <c r="G42467" s="812"/>
    </row>
    <row r="42468" spans="7:7">
      <c r="G42468" s="812"/>
    </row>
    <row r="42469" spans="7:7">
      <c r="G42469" s="812"/>
    </row>
    <row r="42470" spans="7:7">
      <c r="G42470" s="812"/>
    </row>
    <row r="42471" spans="7:7">
      <c r="G42471" s="812"/>
    </row>
    <row r="42472" spans="7:7">
      <c r="G42472" s="812"/>
    </row>
    <row r="42473" spans="7:7">
      <c r="G42473" s="812"/>
    </row>
    <row r="42474" spans="7:7">
      <c r="G42474" s="812"/>
    </row>
    <row r="42475" spans="7:7">
      <c r="G42475" s="812"/>
    </row>
    <row r="42476" spans="7:7">
      <c r="G42476" s="812"/>
    </row>
    <row r="42477" spans="7:7">
      <c r="G42477" s="812"/>
    </row>
    <row r="42478" spans="7:7">
      <c r="G42478" s="812"/>
    </row>
    <row r="42479" spans="7:7">
      <c r="G42479" s="812"/>
    </row>
    <row r="42480" spans="7:7">
      <c r="G42480" s="812"/>
    </row>
    <row r="42481" spans="7:7">
      <c r="G42481" s="812"/>
    </row>
    <row r="42482" spans="7:7">
      <c r="G42482" s="812"/>
    </row>
    <row r="42483" spans="7:7">
      <c r="G42483" s="812"/>
    </row>
    <row r="42484" spans="7:7">
      <c r="G42484" s="812"/>
    </row>
    <row r="42485" spans="7:7">
      <c r="G42485" s="812"/>
    </row>
    <row r="42486" spans="7:7">
      <c r="G42486" s="812"/>
    </row>
    <row r="42487" spans="7:7">
      <c r="G42487" s="812"/>
    </row>
    <row r="42488" spans="7:7">
      <c r="G42488" s="812"/>
    </row>
    <row r="42489" spans="7:7">
      <c r="G42489" s="812"/>
    </row>
    <row r="42490" spans="7:7">
      <c r="G42490" s="812"/>
    </row>
    <row r="42491" spans="7:7">
      <c r="G42491" s="812"/>
    </row>
    <row r="42492" spans="7:7">
      <c r="G42492" s="812"/>
    </row>
    <row r="42493" spans="7:7">
      <c r="G42493" s="812"/>
    </row>
    <row r="42494" spans="7:7">
      <c r="G42494" s="812"/>
    </row>
    <row r="42495" spans="7:7">
      <c r="G42495" s="812"/>
    </row>
    <row r="42496" spans="7:7">
      <c r="G42496" s="812"/>
    </row>
    <row r="42497" spans="7:7">
      <c r="G42497" s="812"/>
    </row>
    <row r="42498" spans="7:7">
      <c r="G42498" s="812"/>
    </row>
    <row r="42499" spans="7:7">
      <c r="G42499" s="812"/>
    </row>
    <row r="42500" spans="7:7">
      <c r="G42500" s="812"/>
    </row>
    <row r="42501" spans="7:7">
      <c r="G42501" s="812"/>
    </row>
    <row r="42502" spans="7:7">
      <c r="G42502" s="812"/>
    </row>
    <row r="42503" spans="7:7">
      <c r="G42503" s="812"/>
    </row>
    <row r="42504" spans="7:7">
      <c r="G42504" s="812"/>
    </row>
    <row r="42505" spans="7:7">
      <c r="G42505" s="812"/>
    </row>
    <row r="42506" spans="7:7">
      <c r="G42506" s="812"/>
    </row>
    <row r="42507" spans="7:7">
      <c r="G42507" s="812"/>
    </row>
    <row r="42508" spans="7:7">
      <c r="G42508" s="812"/>
    </row>
    <row r="42509" spans="7:7">
      <c r="G42509" s="812"/>
    </row>
    <row r="42510" spans="7:7">
      <c r="G42510" s="812"/>
    </row>
    <row r="42511" spans="7:7">
      <c r="G42511" s="812"/>
    </row>
    <row r="42512" spans="7:7">
      <c r="G42512" s="812"/>
    </row>
    <row r="42513" spans="7:7">
      <c r="G42513" s="812"/>
    </row>
    <row r="42514" spans="7:7">
      <c r="G42514" s="812"/>
    </row>
    <row r="42515" spans="7:7">
      <c r="G42515" s="812"/>
    </row>
    <row r="42516" spans="7:7">
      <c r="G42516" s="812"/>
    </row>
    <row r="42517" spans="7:7">
      <c r="G42517" s="812"/>
    </row>
    <row r="42518" spans="7:7">
      <c r="G42518" s="812"/>
    </row>
    <row r="42519" spans="7:7">
      <c r="G42519" s="812"/>
    </row>
    <row r="42520" spans="7:7">
      <c r="G42520" s="812"/>
    </row>
    <row r="42521" spans="7:7">
      <c r="G42521" s="812"/>
    </row>
    <row r="42522" spans="7:7">
      <c r="G42522" s="812"/>
    </row>
    <row r="42523" spans="7:7">
      <c r="G42523" s="812"/>
    </row>
    <row r="42524" spans="7:7">
      <c r="G42524" s="812"/>
    </row>
    <row r="42525" spans="7:7">
      <c r="G42525" s="812"/>
    </row>
    <row r="42526" spans="7:7">
      <c r="G42526" s="812"/>
    </row>
    <row r="42527" spans="7:7">
      <c r="G42527" s="812"/>
    </row>
    <row r="42528" spans="7:7">
      <c r="G42528" s="812"/>
    </row>
    <row r="42529" spans="7:7">
      <c r="G42529" s="812"/>
    </row>
    <row r="42530" spans="7:7">
      <c r="G42530" s="812"/>
    </row>
    <row r="42531" spans="7:7">
      <c r="G42531" s="812"/>
    </row>
    <row r="42532" spans="7:7">
      <c r="G42532" s="812"/>
    </row>
    <row r="42533" spans="7:7">
      <c r="G42533" s="812"/>
    </row>
    <row r="42534" spans="7:7">
      <c r="G42534" s="812"/>
    </row>
    <row r="42535" spans="7:7">
      <c r="G42535" s="812"/>
    </row>
    <row r="42536" spans="7:7">
      <c r="G42536" s="812"/>
    </row>
    <row r="42537" spans="7:7">
      <c r="G42537" s="812"/>
    </row>
    <row r="42538" spans="7:7">
      <c r="G42538" s="812"/>
    </row>
    <row r="42539" spans="7:7">
      <c r="G42539" s="812"/>
    </row>
    <row r="42540" spans="7:7">
      <c r="G42540" s="812"/>
    </row>
    <row r="42541" spans="7:7">
      <c r="G42541" s="812"/>
    </row>
    <row r="42542" spans="7:7">
      <c r="G42542" s="812"/>
    </row>
    <row r="42543" spans="7:7">
      <c r="G42543" s="812"/>
    </row>
    <row r="42544" spans="7:7">
      <c r="G42544" s="812"/>
    </row>
    <row r="42545" spans="7:7">
      <c r="G42545" s="812"/>
    </row>
    <row r="42546" spans="7:7">
      <c r="G42546" s="812"/>
    </row>
    <row r="42547" spans="7:7">
      <c r="G42547" s="812"/>
    </row>
    <row r="42548" spans="7:7">
      <c r="G42548" s="812"/>
    </row>
    <row r="42549" spans="7:7">
      <c r="G42549" s="812"/>
    </row>
    <row r="42550" spans="7:7">
      <c r="G42550" s="812"/>
    </row>
    <row r="42551" spans="7:7">
      <c r="G42551" s="812"/>
    </row>
    <row r="42552" spans="7:7">
      <c r="G42552" s="812"/>
    </row>
    <row r="42553" spans="7:7">
      <c r="G42553" s="812"/>
    </row>
    <row r="42554" spans="7:7">
      <c r="G42554" s="812"/>
    </row>
    <row r="42555" spans="7:7">
      <c r="G42555" s="812"/>
    </row>
    <row r="42556" spans="7:7">
      <c r="G42556" s="812"/>
    </row>
    <row r="42557" spans="7:7">
      <c r="G42557" s="812"/>
    </row>
    <row r="42558" spans="7:7">
      <c r="G42558" s="812"/>
    </row>
    <row r="42559" spans="7:7">
      <c r="G42559" s="812"/>
    </row>
    <row r="42560" spans="7:7">
      <c r="G42560" s="812"/>
    </row>
    <row r="42561" spans="7:7">
      <c r="G42561" s="812"/>
    </row>
    <row r="42562" spans="7:7">
      <c r="G42562" s="812"/>
    </row>
    <row r="42563" spans="7:7">
      <c r="G42563" s="812"/>
    </row>
    <row r="42564" spans="7:7">
      <c r="G42564" s="812"/>
    </row>
    <row r="42565" spans="7:7">
      <c r="G42565" s="812"/>
    </row>
    <row r="42566" spans="7:7">
      <c r="G42566" s="812"/>
    </row>
    <row r="42567" spans="7:7">
      <c r="G42567" s="812"/>
    </row>
    <row r="42568" spans="7:7">
      <c r="G42568" s="812"/>
    </row>
    <row r="42569" spans="7:7">
      <c r="G42569" s="812"/>
    </row>
    <row r="42570" spans="7:7">
      <c r="G42570" s="812"/>
    </row>
    <row r="42571" spans="7:7">
      <c r="G42571" s="812"/>
    </row>
    <row r="42572" spans="7:7">
      <c r="G42572" s="812"/>
    </row>
    <row r="42573" spans="7:7">
      <c r="G42573" s="812"/>
    </row>
    <row r="42574" spans="7:7">
      <c r="G42574" s="812"/>
    </row>
    <row r="42575" spans="7:7">
      <c r="G42575" s="812"/>
    </row>
    <row r="42576" spans="7:7">
      <c r="G42576" s="812"/>
    </row>
    <row r="42577" spans="7:7">
      <c r="G42577" s="812"/>
    </row>
    <row r="42578" spans="7:7">
      <c r="G42578" s="812"/>
    </row>
    <row r="42579" spans="7:7">
      <c r="G42579" s="812"/>
    </row>
    <row r="42580" spans="7:7">
      <c r="G42580" s="812"/>
    </row>
    <row r="42581" spans="7:7">
      <c r="G42581" s="812"/>
    </row>
    <row r="42582" spans="7:7">
      <c r="G42582" s="812"/>
    </row>
    <row r="42583" spans="7:7">
      <c r="G42583" s="812"/>
    </row>
    <row r="42584" spans="7:7">
      <c r="G42584" s="812"/>
    </row>
    <row r="42585" spans="7:7">
      <c r="G42585" s="812"/>
    </row>
    <row r="42586" spans="7:7">
      <c r="G42586" s="812"/>
    </row>
    <row r="42587" spans="7:7">
      <c r="G42587" s="812"/>
    </row>
    <row r="42588" spans="7:7">
      <c r="G42588" s="812"/>
    </row>
    <row r="42589" spans="7:7">
      <c r="G42589" s="812"/>
    </row>
    <row r="42590" spans="7:7">
      <c r="G42590" s="812"/>
    </row>
    <row r="42591" spans="7:7">
      <c r="G42591" s="812"/>
    </row>
    <row r="42592" spans="7:7">
      <c r="G42592" s="812"/>
    </row>
    <row r="42593" spans="7:7">
      <c r="G42593" s="812"/>
    </row>
    <row r="42594" spans="7:7">
      <c r="G42594" s="812"/>
    </row>
    <row r="42595" spans="7:7">
      <c r="G42595" s="812"/>
    </row>
    <row r="42596" spans="7:7">
      <c r="G42596" s="812"/>
    </row>
    <row r="42597" spans="7:7">
      <c r="G42597" s="812"/>
    </row>
    <row r="42598" spans="7:7">
      <c r="G42598" s="812"/>
    </row>
    <row r="42599" spans="7:7">
      <c r="G42599" s="812"/>
    </row>
    <row r="42600" spans="7:7">
      <c r="G42600" s="812"/>
    </row>
    <row r="42601" spans="7:7">
      <c r="G42601" s="812"/>
    </row>
    <row r="42602" spans="7:7">
      <c r="G42602" s="812"/>
    </row>
    <row r="42603" spans="7:7">
      <c r="G42603" s="812"/>
    </row>
    <row r="42604" spans="7:7">
      <c r="G42604" s="812"/>
    </row>
    <row r="42605" spans="7:7">
      <c r="G42605" s="812"/>
    </row>
    <row r="42606" spans="7:7">
      <c r="G42606" s="812"/>
    </row>
    <row r="42607" spans="7:7">
      <c r="G42607" s="812"/>
    </row>
    <row r="42608" spans="7:7">
      <c r="G42608" s="812"/>
    </row>
    <row r="42609" spans="7:7">
      <c r="G42609" s="812"/>
    </row>
    <row r="42610" spans="7:7">
      <c r="G42610" s="812"/>
    </row>
    <row r="42611" spans="7:7">
      <c r="G42611" s="812"/>
    </row>
    <row r="42612" spans="7:7">
      <c r="G42612" s="812"/>
    </row>
    <row r="42613" spans="7:7">
      <c r="G42613" s="812"/>
    </row>
    <row r="42614" spans="7:7">
      <c r="G42614" s="812"/>
    </row>
    <row r="42615" spans="7:7">
      <c r="G42615" s="812"/>
    </row>
    <row r="42616" spans="7:7">
      <c r="G42616" s="812"/>
    </row>
    <row r="42617" spans="7:7">
      <c r="G42617" s="812"/>
    </row>
    <row r="42618" spans="7:7">
      <c r="G42618" s="812"/>
    </row>
    <row r="42619" spans="7:7">
      <c r="G42619" s="812"/>
    </row>
    <row r="42620" spans="7:7">
      <c r="G42620" s="812"/>
    </row>
    <row r="42621" spans="7:7">
      <c r="G42621" s="812"/>
    </row>
    <row r="42622" spans="7:7">
      <c r="G42622" s="812"/>
    </row>
    <row r="42623" spans="7:7">
      <c r="G42623" s="812"/>
    </row>
    <row r="42624" spans="7:7">
      <c r="G42624" s="812"/>
    </row>
    <row r="42625" spans="7:7">
      <c r="G42625" s="812"/>
    </row>
    <row r="42626" spans="7:7">
      <c r="G42626" s="812"/>
    </row>
    <row r="42627" spans="7:7">
      <c r="G42627" s="812"/>
    </row>
    <row r="42628" spans="7:7">
      <c r="G42628" s="812"/>
    </row>
    <row r="42629" spans="7:7">
      <c r="G42629" s="812"/>
    </row>
    <row r="42630" spans="7:7">
      <c r="G42630" s="812"/>
    </row>
    <row r="42631" spans="7:7">
      <c r="G42631" s="812"/>
    </row>
    <row r="42632" spans="7:7">
      <c r="G42632" s="812"/>
    </row>
    <row r="42633" spans="7:7">
      <c r="G42633" s="812"/>
    </row>
    <row r="42634" spans="7:7">
      <c r="G42634" s="812"/>
    </row>
    <row r="42635" spans="7:7">
      <c r="G42635" s="812"/>
    </row>
    <row r="42636" spans="7:7">
      <c r="G42636" s="812"/>
    </row>
    <row r="42637" spans="7:7">
      <c r="G42637" s="812"/>
    </row>
    <row r="42638" spans="7:7">
      <c r="G42638" s="812"/>
    </row>
    <row r="42639" spans="7:7">
      <c r="G42639" s="812"/>
    </row>
    <row r="42640" spans="7:7">
      <c r="G42640" s="812"/>
    </row>
    <row r="42641" spans="7:7">
      <c r="G42641" s="812"/>
    </row>
    <row r="42642" spans="7:7">
      <c r="G42642" s="812"/>
    </row>
    <row r="42643" spans="7:7">
      <c r="G42643" s="812"/>
    </row>
    <row r="42644" spans="7:7">
      <c r="G42644" s="812"/>
    </row>
    <row r="42645" spans="7:7">
      <c r="G42645" s="812"/>
    </row>
    <row r="42646" spans="7:7">
      <c r="G42646" s="812"/>
    </row>
    <row r="42647" spans="7:7">
      <c r="G42647" s="812"/>
    </row>
    <row r="42648" spans="7:7">
      <c r="G42648" s="812"/>
    </row>
    <row r="42649" spans="7:7">
      <c r="G42649" s="812"/>
    </row>
    <row r="42650" spans="7:7">
      <c r="G42650" s="812"/>
    </row>
    <row r="42651" spans="7:7">
      <c r="G42651" s="812"/>
    </row>
    <row r="42652" spans="7:7">
      <c r="G42652" s="812"/>
    </row>
    <row r="42653" spans="7:7">
      <c r="G42653" s="812"/>
    </row>
    <row r="42654" spans="7:7">
      <c r="G42654" s="812"/>
    </row>
    <row r="42655" spans="7:7">
      <c r="G42655" s="812"/>
    </row>
    <row r="42656" spans="7:7">
      <c r="G42656" s="812"/>
    </row>
    <row r="42657" spans="7:7">
      <c r="G42657" s="812"/>
    </row>
    <row r="42658" spans="7:7">
      <c r="G42658" s="812"/>
    </row>
    <row r="42659" spans="7:7">
      <c r="G42659" s="812"/>
    </row>
    <row r="42660" spans="7:7">
      <c r="G42660" s="812"/>
    </row>
    <row r="42661" spans="7:7">
      <c r="G42661" s="812"/>
    </row>
    <row r="42662" spans="7:7">
      <c r="G42662" s="812"/>
    </row>
    <row r="42663" spans="7:7">
      <c r="G42663" s="812"/>
    </row>
    <row r="42664" spans="7:7">
      <c r="G42664" s="812"/>
    </row>
    <row r="42665" spans="7:7">
      <c r="G42665" s="812"/>
    </row>
    <row r="42666" spans="7:7">
      <c r="G42666" s="812"/>
    </row>
    <row r="42667" spans="7:7">
      <c r="G42667" s="812"/>
    </row>
    <row r="42668" spans="7:7">
      <c r="G42668" s="812"/>
    </row>
    <row r="42669" spans="7:7">
      <c r="G42669" s="812"/>
    </row>
    <row r="42670" spans="7:7">
      <c r="G42670" s="812"/>
    </row>
    <row r="42671" spans="7:7">
      <c r="G42671" s="812"/>
    </row>
    <row r="42672" spans="7:7">
      <c r="G42672" s="812"/>
    </row>
    <row r="42673" spans="7:7">
      <c r="G42673" s="812"/>
    </row>
    <row r="42674" spans="7:7">
      <c r="G42674" s="812"/>
    </row>
    <row r="42675" spans="7:7">
      <c r="G42675" s="812"/>
    </row>
    <row r="42676" spans="7:7">
      <c r="G42676" s="812"/>
    </row>
    <row r="42677" spans="7:7">
      <c r="G42677" s="812"/>
    </row>
    <row r="42678" spans="7:7">
      <c r="G42678" s="812"/>
    </row>
    <row r="42679" spans="7:7">
      <c r="G42679" s="812"/>
    </row>
    <row r="42680" spans="7:7">
      <c r="G42680" s="812"/>
    </row>
    <row r="42681" spans="7:7">
      <c r="G42681" s="812"/>
    </row>
    <row r="42682" spans="7:7">
      <c r="G42682" s="812"/>
    </row>
    <row r="42683" spans="7:7">
      <c r="G42683" s="812"/>
    </row>
    <row r="42684" spans="7:7">
      <c r="G42684" s="812"/>
    </row>
    <row r="42685" spans="7:7">
      <c r="G42685" s="812"/>
    </row>
    <row r="42686" spans="7:7">
      <c r="G42686" s="812"/>
    </row>
    <row r="42687" spans="7:7">
      <c r="G42687" s="812"/>
    </row>
    <row r="42688" spans="7:7">
      <c r="G42688" s="812"/>
    </row>
    <row r="42689" spans="7:7">
      <c r="G42689" s="812"/>
    </row>
    <row r="42690" spans="7:7">
      <c r="G42690" s="812"/>
    </row>
    <row r="42691" spans="7:7">
      <c r="G42691" s="812"/>
    </row>
    <row r="42692" spans="7:7">
      <c r="G42692" s="812"/>
    </row>
    <row r="42693" spans="7:7">
      <c r="G42693" s="812"/>
    </row>
    <row r="42694" spans="7:7">
      <c r="G42694" s="812"/>
    </row>
    <row r="42695" spans="7:7">
      <c r="G42695" s="812"/>
    </row>
    <row r="42696" spans="7:7">
      <c r="G42696" s="812"/>
    </row>
    <row r="42697" spans="7:7">
      <c r="G42697" s="812"/>
    </row>
    <row r="42698" spans="7:7">
      <c r="G42698" s="812"/>
    </row>
    <row r="42699" spans="7:7">
      <c r="G42699" s="812"/>
    </row>
    <row r="42700" spans="7:7">
      <c r="G42700" s="812"/>
    </row>
    <row r="42701" spans="7:7">
      <c r="G42701" s="812"/>
    </row>
    <row r="42702" spans="7:7">
      <c r="G42702" s="812"/>
    </row>
    <row r="42703" spans="7:7">
      <c r="G42703" s="812"/>
    </row>
    <row r="42704" spans="7:7">
      <c r="G42704" s="812"/>
    </row>
    <row r="42705" spans="7:7">
      <c r="G42705" s="812"/>
    </row>
    <row r="42706" spans="7:7">
      <c r="G42706" s="812"/>
    </row>
    <row r="42707" spans="7:7">
      <c r="G42707" s="812"/>
    </row>
    <row r="42708" spans="7:7">
      <c r="G42708" s="812"/>
    </row>
    <row r="42709" spans="7:7">
      <c r="G42709" s="812"/>
    </row>
    <row r="42710" spans="7:7">
      <c r="G42710" s="812"/>
    </row>
    <row r="42711" spans="7:7">
      <c r="G42711" s="812"/>
    </row>
    <row r="42712" spans="7:7">
      <c r="G42712" s="812"/>
    </row>
    <row r="42713" spans="7:7">
      <c r="G42713" s="812"/>
    </row>
    <row r="42714" spans="7:7">
      <c r="G42714" s="812"/>
    </row>
    <row r="42715" spans="7:7">
      <c r="G42715" s="812"/>
    </row>
    <row r="42716" spans="7:7">
      <c r="G42716" s="812"/>
    </row>
    <row r="42717" spans="7:7">
      <c r="G42717" s="812"/>
    </row>
    <row r="42718" spans="7:7">
      <c r="G42718" s="812"/>
    </row>
    <row r="42719" spans="7:7">
      <c r="G42719" s="812"/>
    </row>
    <row r="42720" spans="7:7">
      <c r="G42720" s="812"/>
    </row>
    <row r="42721" spans="7:7">
      <c r="G42721" s="812"/>
    </row>
    <row r="42722" spans="7:7">
      <c r="G42722" s="812"/>
    </row>
    <row r="42723" spans="7:7">
      <c r="G42723" s="812"/>
    </row>
    <row r="42724" spans="7:7">
      <c r="G42724" s="812"/>
    </row>
    <row r="42725" spans="7:7">
      <c r="G42725" s="812"/>
    </row>
    <row r="42726" spans="7:7">
      <c r="G42726" s="812"/>
    </row>
    <row r="42727" spans="7:7">
      <c r="G42727" s="812"/>
    </row>
    <row r="42728" spans="7:7">
      <c r="G42728" s="812"/>
    </row>
    <row r="42729" spans="7:7">
      <c r="G42729" s="812"/>
    </row>
    <row r="42730" spans="7:7">
      <c r="G42730" s="812"/>
    </row>
    <row r="42731" spans="7:7">
      <c r="G42731" s="812"/>
    </row>
    <row r="42732" spans="7:7">
      <c r="G42732" s="812"/>
    </row>
    <row r="42733" spans="7:7">
      <c r="G42733" s="812"/>
    </row>
    <row r="42734" spans="7:7">
      <c r="G42734" s="812"/>
    </row>
    <row r="42735" spans="7:7">
      <c r="G42735" s="812"/>
    </row>
    <row r="42736" spans="7:7">
      <c r="G42736" s="812"/>
    </row>
    <row r="42737" spans="7:7">
      <c r="G42737" s="812"/>
    </row>
    <row r="42738" spans="7:7">
      <c r="G42738" s="812"/>
    </row>
    <row r="42739" spans="7:7">
      <c r="G42739" s="812"/>
    </row>
    <row r="42740" spans="7:7">
      <c r="G42740" s="812"/>
    </row>
    <row r="42741" spans="7:7">
      <c r="G42741" s="812"/>
    </row>
    <row r="42742" spans="7:7">
      <c r="G42742" s="812"/>
    </row>
    <row r="42743" spans="7:7">
      <c r="G42743" s="812"/>
    </row>
    <row r="42744" spans="7:7">
      <c r="G42744" s="812"/>
    </row>
    <row r="42745" spans="7:7">
      <c r="G42745" s="812"/>
    </row>
    <row r="42746" spans="7:7">
      <c r="G42746" s="812"/>
    </row>
    <row r="42747" spans="7:7">
      <c r="G42747" s="812"/>
    </row>
    <row r="42748" spans="7:7">
      <c r="G42748" s="812"/>
    </row>
    <row r="42749" spans="7:7">
      <c r="G42749" s="812"/>
    </row>
    <row r="42750" spans="7:7">
      <c r="G42750" s="812"/>
    </row>
    <row r="42751" spans="7:7">
      <c r="G42751" s="812"/>
    </row>
    <row r="42752" spans="7:7">
      <c r="G42752" s="812"/>
    </row>
    <row r="42753" spans="7:7">
      <c r="G42753" s="812"/>
    </row>
    <row r="42754" spans="7:7">
      <c r="G42754" s="812"/>
    </row>
    <row r="42755" spans="7:7">
      <c r="G42755" s="812"/>
    </row>
    <row r="42756" spans="7:7">
      <c r="G42756" s="812"/>
    </row>
    <row r="42757" spans="7:7">
      <c r="G42757" s="812"/>
    </row>
    <row r="42758" spans="7:7">
      <c r="G42758" s="812"/>
    </row>
    <row r="42759" spans="7:7">
      <c r="G42759" s="812"/>
    </row>
    <row r="42760" spans="7:7">
      <c r="G42760" s="812"/>
    </row>
    <row r="42761" spans="7:7">
      <c r="G42761" s="812"/>
    </row>
    <row r="42762" spans="7:7">
      <c r="G42762" s="812"/>
    </row>
    <row r="42763" spans="7:7">
      <c r="G42763" s="812"/>
    </row>
    <row r="42764" spans="7:7">
      <c r="G42764" s="812"/>
    </row>
    <row r="42765" spans="7:7">
      <c r="G42765" s="812"/>
    </row>
    <row r="42766" spans="7:7">
      <c r="G42766" s="812"/>
    </row>
    <row r="42767" spans="7:7">
      <c r="G42767" s="812"/>
    </row>
    <row r="42768" spans="7:7">
      <c r="G42768" s="812"/>
    </row>
    <row r="42769" spans="7:7">
      <c r="G42769" s="812"/>
    </row>
    <row r="42770" spans="7:7">
      <c r="G42770" s="812"/>
    </row>
    <row r="42771" spans="7:7">
      <c r="G42771" s="812"/>
    </row>
    <row r="42772" spans="7:7">
      <c r="G42772" s="812"/>
    </row>
    <row r="42773" spans="7:7">
      <c r="G42773" s="812"/>
    </row>
    <row r="42774" spans="7:7">
      <c r="G42774" s="812"/>
    </row>
    <row r="42775" spans="7:7">
      <c r="G42775" s="812"/>
    </row>
    <row r="42776" spans="7:7">
      <c r="G42776" s="812"/>
    </row>
    <row r="42777" spans="7:7">
      <c r="G42777" s="812"/>
    </row>
    <row r="42778" spans="7:7">
      <c r="G42778" s="812"/>
    </row>
    <row r="42779" spans="7:7">
      <c r="G42779" s="812"/>
    </row>
    <row r="42780" spans="7:7">
      <c r="G42780" s="812"/>
    </row>
    <row r="42781" spans="7:7">
      <c r="G42781" s="812"/>
    </row>
    <row r="42782" spans="7:7">
      <c r="G42782" s="812"/>
    </row>
    <row r="42783" spans="7:7">
      <c r="G42783" s="812"/>
    </row>
    <row r="42784" spans="7:7">
      <c r="G42784" s="812"/>
    </row>
    <row r="42785" spans="7:7">
      <c r="G42785" s="812"/>
    </row>
    <row r="42786" spans="7:7">
      <c r="G42786" s="812"/>
    </row>
    <row r="42787" spans="7:7">
      <c r="G42787" s="812"/>
    </row>
    <row r="42788" spans="7:7">
      <c r="G42788" s="812"/>
    </row>
    <row r="42789" spans="7:7">
      <c r="G42789" s="812"/>
    </row>
    <row r="42790" spans="7:7">
      <c r="G42790" s="812"/>
    </row>
    <row r="42791" spans="7:7">
      <c r="G42791" s="812"/>
    </row>
    <row r="42792" spans="7:7">
      <c r="G42792" s="812"/>
    </row>
    <row r="42793" spans="7:7">
      <c r="G42793" s="812"/>
    </row>
    <row r="42794" spans="7:7">
      <c r="G42794" s="812"/>
    </row>
    <row r="42795" spans="7:7">
      <c r="G42795" s="812"/>
    </row>
    <row r="42796" spans="7:7">
      <c r="G42796" s="812"/>
    </row>
    <row r="42797" spans="7:7">
      <c r="G42797" s="812"/>
    </row>
    <row r="42798" spans="7:7">
      <c r="G42798" s="812"/>
    </row>
    <row r="42799" spans="7:7">
      <c r="G42799" s="812"/>
    </row>
    <row r="42800" spans="7:7">
      <c r="G42800" s="812"/>
    </row>
    <row r="42801" spans="7:7">
      <c r="G42801" s="812"/>
    </row>
    <row r="42802" spans="7:7">
      <c r="G42802" s="812"/>
    </row>
    <row r="42803" spans="7:7">
      <c r="G42803" s="812"/>
    </row>
    <row r="42804" spans="7:7">
      <c r="G42804" s="812"/>
    </row>
    <row r="42805" spans="7:7">
      <c r="G42805" s="812"/>
    </row>
    <row r="42806" spans="7:7">
      <c r="G42806" s="812"/>
    </row>
    <row r="42807" spans="7:7">
      <c r="G42807" s="812"/>
    </row>
    <row r="42808" spans="7:7">
      <c r="G42808" s="812"/>
    </row>
    <row r="42809" spans="7:7">
      <c r="G42809" s="812"/>
    </row>
    <row r="42810" spans="7:7">
      <c r="G42810" s="812"/>
    </row>
    <row r="42811" spans="7:7">
      <c r="G42811" s="812"/>
    </row>
    <row r="42812" spans="7:7">
      <c r="G42812" s="812"/>
    </row>
    <row r="42813" spans="7:7">
      <c r="G42813" s="812"/>
    </row>
    <row r="42814" spans="7:7">
      <c r="G42814" s="812"/>
    </row>
    <row r="42815" spans="7:7">
      <c r="G42815" s="812"/>
    </row>
    <row r="42816" spans="7:7">
      <c r="G42816" s="812"/>
    </row>
    <row r="42817" spans="7:7">
      <c r="G42817" s="812"/>
    </row>
    <row r="42818" spans="7:7">
      <c r="G42818" s="812"/>
    </row>
    <row r="42819" spans="7:7">
      <c r="G42819" s="812"/>
    </row>
    <row r="42820" spans="7:7">
      <c r="G42820" s="812"/>
    </row>
    <row r="42821" spans="7:7">
      <c r="G42821" s="812"/>
    </row>
    <row r="42822" spans="7:7">
      <c r="G42822" s="812"/>
    </row>
    <row r="42823" spans="7:7">
      <c r="G42823" s="812"/>
    </row>
    <row r="42824" spans="7:7">
      <c r="G42824" s="812"/>
    </row>
    <row r="42825" spans="7:7">
      <c r="G42825" s="812"/>
    </row>
    <row r="42826" spans="7:7">
      <c r="G42826" s="812"/>
    </row>
    <row r="42827" spans="7:7">
      <c r="G42827" s="812"/>
    </row>
    <row r="42828" spans="7:7">
      <c r="G42828" s="812"/>
    </row>
    <row r="42829" spans="7:7">
      <c r="G42829" s="812"/>
    </row>
    <row r="42830" spans="7:7">
      <c r="G42830" s="812"/>
    </row>
    <row r="42831" spans="7:7">
      <c r="G42831" s="812"/>
    </row>
    <row r="42832" spans="7:7">
      <c r="G42832" s="812"/>
    </row>
    <row r="42833" spans="7:7">
      <c r="G42833" s="812"/>
    </row>
    <row r="42834" spans="7:7">
      <c r="G42834" s="812"/>
    </row>
    <row r="42835" spans="7:7">
      <c r="G42835" s="812"/>
    </row>
    <row r="42836" spans="7:7">
      <c r="G42836" s="812"/>
    </row>
    <row r="42837" spans="7:7">
      <c r="G42837" s="812"/>
    </row>
    <row r="42838" spans="7:7">
      <c r="G42838" s="812"/>
    </row>
    <row r="42839" spans="7:7">
      <c r="G42839" s="812"/>
    </row>
    <row r="42840" spans="7:7">
      <c r="G42840" s="812"/>
    </row>
    <row r="42841" spans="7:7">
      <c r="G42841" s="812"/>
    </row>
    <row r="42842" spans="7:7">
      <c r="G42842" s="812"/>
    </row>
    <row r="42843" spans="7:7">
      <c r="G42843" s="812"/>
    </row>
    <row r="42844" spans="7:7">
      <c r="G42844" s="812"/>
    </row>
    <row r="42845" spans="7:7">
      <c r="G42845" s="812"/>
    </row>
    <row r="42846" spans="7:7">
      <c r="G42846" s="812"/>
    </row>
    <row r="42847" spans="7:7">
      <c r="G42847" s="812"/>
    </row>
    <row r="42848" spans="7:7">
      <c r="G42848" s="812"/>
    </row>
    <row r="42849" spans="7:7">
      <c r="G42849" s="812"/>
    </row>
    <row r="42850" spans="7:7">
      <c r="G42850" s="812"/>
    </row>
    <row r="42851" spans="7:7">
      <c r="G42851" s="812"/>
    </row>
    <row r="42852" spans="7:7">
      <c r="G42852" s="812"/>
    </row>
    <row r="42853" spans="7:7">
      <c r="G42853" s="812"/>
    </row>
    <row r="42854" spans="7:7">
      <c r="G42854" s="812"/>
    </row>
    <row r="42855" spans="7:7">
      <c r="G42855" s="812"/>
    </row>
    <row r="42856" spans="7:7">
      <c r="G42856" s="812"/>
    </row>
    <row r="42857" spans="7:7">
      <c r="G42857" s="812"/>
    </row>
    <row r="42858" spans="7:7">
      <c r="G42858" s="812"/>
    </row>
    <row r="42859" spans="7:7">
      <c r="G42859" s="812"/>
    </row>
    <row r="42860" spans="7:7">
      <c r="G42860" s="812"/>
    </row>
    <row r="42861" spans="7:7">
      <c r="G42861" s="812"/>
    </row>
    <row r="42862" spans="7:7">
      <c r="G42862" s="812"/>
    </row>
    <row r="42863" spans="7:7">
      <c r="G42863" s="812"/>
    </row>
    <row r="42864" spans="7:7">
      <c r="G42864" s="812"/>
    </row>
    <row r="42865" spans="7:7">
      <c r="G42865" s="812"/>
    </row>
    <row r="42866" spans="7:7">
      <c r="G42866" s="812"/>
    </row>
    <row r="42867" spans="7:7">
      <c r="G42867" s="812"/>
    </row>
    <row r="42868" spans="7:7">
      <c r="G42868" s="812"/>
    </row>
    <row r="42869" spans="7:7">
      <c r="G42869" s="812"/>
    </row>
    <row r="42870" spans="7:7">
      <c r="G42870" s="812"/>
    </row>
    <row r="42871" spans="7:7">
      <c r="G42871" s="812"/>
    </row>
    <row r="42872" spans="7:7">
      <c r="G42872" s="812"/>
    </row>
    <row r="42873" spans="7:7">
      <c r="G42873" s="812"/>
    </row>
    <row r="42874" spans="7:7">
      <c r="G42874" s="812"/>
    </row>
    <row r="42875" spans="7:7">
      <c r="G42875" s="812"/>
    </row>
    <row r="42876" spans="7:7">
      <c r="G42876" s="812"/>
    </row>
    <row r="42877" spans="7:7">
      <c r="G42877" s="812"/>
    </row>
    <row r="42878" spans="7:7">
      <c r="G42878" s="812"/>
    </row>
    <row r="42879" spans="7:7">
      <c r="G42879" s="812"/>
    </row>
    <row r="42880" spans="7:7">
      <c r="G42880" s="812"/>
    </row>
    <row r="42881" spans="7:7">
      <c r="G42881" s="812"/>
    </row>
    <row r="42882" spans="7:7">
      <c r="G42882" s="812"/>
    </row>
    <row r="42883" spans="7:7">
      <c r="G42883" s="812"/>
    </row>
    <row r="42884" spans="7:7">
      <c r="G42884" s="812"/>
    </row>
    <row r="42885" spans="7:7">
      <c r="G42885" s="812"/>
    </row>
    <row r="42886" spans="7:7">
      <c r="G42886" s="812"/>
    </row>
    <row r="42887" spans="7:7">
      <c r="G42887" s="812"/>
    </row>
    <row r="42888" spans="7:7">
      <c r="G42888" s="812"/>
    </row>
    <row r="42889" spans="7:7">
      <c r="G42889" s="812"/>
    </row>
    <row r="42890" spans="7:7">
      <c r="G42890" s="812"/>
    </row>
    <row r="42891" spans="7:7">
      <c r="G42891" s="812"/>
    </row>
    <row r="42892" spans="7:7">
      <c r="G42892" s="812"/>
    </row>
    <row r="42893" spans="7:7">
      <c r="G42893" s="812"/>
    </row>
    <row r="42894" spans="7:7">
      <c r="G42894" s="812"/>
    </row>
    <row r="42895" spans="7:7">
      <c r="G42895" s="812"/>
    </row>
    <row r="42896" spans="7:7">
      <c r="G42896" s="812"/>
    </row>
    <row r="42897" spans="7:7">
      <c r="G42897" s="812"/>
    </row>
    <row r="42898" spans="7:7">
      <c r="G42898" s="812"/>
    </row>
    <row r="42899" spans="7:7">
      <c r="G42899" s="812"/>
    </row>
    <row r="42900" spans="7:7">
      <c r="G42900" s="812"/>
    </row>
    <row r="42901" spans="7:7">
      <c r="G42901" s="812"/>
    </row>
    <row r="42902" spans="7:7">
      <c r="G42902" s="812"/>
    </row>
    <row r="42903" spans="7:7">
      <c r="G42903" s="812"/>
    </row>
    <row r="42904" spans="7:7">
      <c r="G42904" s="812"/>
    </row>
    <row r="42905" spans="7:7">
      <c r="G42905" s="812"/>
    </row>
    <row r="42906" spans="7:7">
      <c r="G42906" s="812"/>
    </row>
    <row r="42907" spans="7:7">
      <c r="G42907" s="812"/>
    </row>
    <row r="42908" spans="7:7">
      <c r="G42908" s="812"/>
    </row>
    <row r="42909" spans="7:7">
      <c r="G42909" s="812"/>
    </row>
    <row r="42910" spans="7:7">
      <c r="G42910" s="812"/>
    </row>
    <row r="42911" spans="7:7">
      <c r="G42911" s="812"/>
    </row>
    <row r="42912" spans="7:7">
      <c r="G42912" s="812"/>
    </row>
    <row r="42913" spans="7:7">
      <c r="G42913" s="812"/>
    </row>
    <row r="42914" spans="7:7">
      <c r="G42914" s="812"/>
    </row>
    <row r="42915" spans="7:7">
      <c r="G42915" s="812"/>
    </row>
    <row r="42916" spans="7:7">
      <c r="G42916" s="812"/>
    </row>
    <row r="42917" spans="7:7">
      <c r="G42917" s="812"/>
    </row>
    <row r="42918" spans="7:7">
      <c r="G42918" s="812"/>
    </row>
    <row r="42919" spans="7:7">
      <c r="G42919" s="812"/>
    </row>
    <row r="42920" spans="7:7">
      <c r="G42920" s="812"/>
    </row>
    <row r="42921" spans="7:7">
      <c r="G42921" s="812"/>
    </row>
    <row r="42922" spans="7:7">
      <c r="G42922" s="812"/>
    </row>
    <row r="42923" spans="7:7">
      <c r="G42923" s="812"/>
    </row>
    <row r="42924" spans="7:7">
      <c r="G42924" s="812"/>
    </row>
    <row r="42925" spans="7:7">
      <c r="G42925" s="812"/>
    </row>
    <row r="42926" spans="7:7">
      <c r="G42926" s="812"/>
    </row>
    <row r="42927" spans="7:7">
      <c r="G42927" s="812"/>
    </row>
    <row r="42928" spans="7:7">
      <c r="G42928" s="812"/>
    </row>
    <row r="42929" spans="7:7">
      <c r="G42929" s="812"/>
    </row>
    <row r="42930" spans="7:7">
      <c r="G42930" s="812"/>
    </row>
    <row r="42931" spans="7:7">
      <c r="G42931" s="812"/>
    </row>
    <row r="42932" spans="7:7">
      <c r="G42932" s="812"/>
    </row>
    <row r="42933" spans="7:7">
      <c r="G42933" s="812"/>
    </row>
    <row r="42934" spans="7:7">
      <c r="G42934" s="812"/>
    </row>
    <row r="42935" spans="7:7">
      <c r="G42935" s="812"/>
    </row>
    <row r="42936" spans="7:7">
      <c r="G42936" s="812"/>
    </row>
    <row r="42937" spans="7:7">
      <c r="G42937" s="812"/>
    </row>
    <row r="42938" spans="7:7">
      <c r="G42938" s="812"/>
    </row>
    <row r="42939" spans="7:7">
      <c r="G42939" s="812"/>
    </row>
    <row r="42940" spans="7:7">
      <c r="G42940" s="812"/>
    </row>
    <row r="42941" spans="7:7">
      <c r="G42941" s="812"/>
    </row>
    <row r="42942" spans="7:7">
      <c r="G42942" s="812"/>
    </row>
    <row r="42943" spans="7:7">
      <c r="G42943" s="812"/>
    </row>
    <row r="42944" spans="7:7">
      <c r="G42944" s="812"/>
    </row>
    <row r="42945" spans="7:7">
      <c r="G42945" s="812"/>
    </row>
    <row r="42946" spans="7:7">
      <c r="G42946" s="812"/>
    </row>
    <row r="42947" spans="7:7">
      <c r="G42947" s="812"/>
    </row>
    <row r="42948" spans="7:7">
      <c r="G42948" s="812"/>
    </row>
    <row r="42949" spans="7:7">
      <c r="G42949" s="812"/>
    </row>
    <row r="42950" spans="7:7">
      <c r="G42950" s="812"/>
    </row>
    <row r="42951" spans="7:7">
      <c r="G42951" s="812"/>
    </row>
    <row r="42952" spans="7:7">
      <c r="G42952" s="812"/>
    </row>
    <row r="42953" spans="7:7">
      <c r="G42953" s="812"/>
    </row>
    <row r="42954" spans="7:7">
      <c r="G42954" s="812"/>
    </row>
    <row r="42955" spans="7:7">
      <c r="G42955" s="812"/>
    </row>
    <row r="42956" spans="7:7">
      <c r="G42956" s="812"/>
    </row>
    <row r="42957" spans="7:7">
      <c r="G42957" s="812"/>
    </row>
    <row r="42958" spans="7:7">
      <c r="G42958" s="812"/>
    </row>
    <row r="42959" spans="7:7">
      <c r="G42959" s="812"/>
    </row>
    <row r="42960" spans="7:7">
      <c r="G42960" s="812"/>
    </row>
    <row r="42961" spans="7:7">
      <c r="G42961" s="812"/>
    </row>
    <row r="42962" spans="7:7">
      <c r="G42962" s="812"/>
    </row>
    <row r="42963" spans="7:7">
      <c r="G42963" s="812"/>
    </row>
    <row r="42964" spans="7:7">
      <c r="G42964" s="812"/>
    </row>
    <row r="42965" spans="7:7">
      <c r="G42965" s="812"/>
    </row>
    <row r="42966" spans="7:7">
      <c r="G42966" s="812"/>
    </row>
    <row r="42967" spans="7:7">
      <c r="G42967" s="812"/>
    </row>
    <row r="42968" spans="7:7">
      <c r="G42968" s="812"/>
    </row>
    <row r="42969" spans="7:7">
      <c r="G42969" s="812"/>
    </row>
    <row r="42970" spans="7:7">
      <c r="G42970" s="812"/>
    </row>
    <row r="42971" spans="7:7">
      <c r="G42971" s="812"/>
    </row>
    <row r="42972" spans="7:7">
      <c r="G42972" s="812"/>
    </row>
    <row r="42973" spans="7:7">
      <c r="G42973" s="812"/>
    </row>
    <row r="42974" spans="7:7">
      <c r="G42974" s="812"/>
    </row>
    <row r="42975" spans="7:7">
      <c r="G42975" s="812"/>
    </row>
    <row r="42976" spans="7:7">
      <c r="G42976" s="812"/>
    </row>
    <row r="42977" spans="7:7">
      <c r="G42977" s="812"/>
    </row>
    <row r="42978" spans="7:7">
      <c r="G42978" s="812"/>
    </row>
    <row r="42979" spans="7:7">
      <c r="G42979" s="812"/>
    </row>
    <row r="42980" spans="7:7">
      <c r="G42980" s="812"/>
    </row>
    <row r="42981" spans="7:7">
      <c r="G42981" s="812"/>
    </row>
    <row r="42982" spans="7:7">
      <c r="G42982" s="812"/>
    </row>
    <row r="42983" spans="7:7">
      <c r="G42983" s="812"/>
    </row>
    <row r="42984" spans="7:7">
      <c r="G42984" s="812"/>
    </row>
    <row r="42985" spans="7:7">
      <c r="G42985" s="812"/>
    </row>
    <row r="42986" spans="7:7">
      <c r="G42986" s="812"/>
    </row>
    <row r="42987" spans="7:7">
      <c r="G42987" s="812"/>
    </row>
    <row r="42988" spans="7:7">
      <c r="G42988" s="812"/>
    </row>
    <row r="42989" spans="7:7">
      <c r="G42989" s="812"/>
    </row>
    <row r="42990" spans="7:7">
      <c r="G42990" s="812"/>
    </row>
    <row r="42991" spans="7:7">
      <c r="G42991" s="812"/>
    </row>
    <row r="42992" spans="7:7">
      <c r="G42992" s="812"/>
    </row>
    <row r="42993" spans="7:7">
      <c r="G42993" s="812"/>
    </row>
    <row r="42994" spans="7:7">
      <c r="G42994" s="812"/>
    </row>
    <row r="42995" spans="7:7">
      <c r="G42995" s="812"/>
    </row>
    <row r="42996" spans="7:7">
      <c r="G42996" s="812"/>
    </row>
    <row r="42997" spans="7:7">
      <c r="G42997" s="812"/>
    </row>
    <row r="42998" spans="7:7">
      <c r="G42998" s="812"/>
    </row>
    <row r="42999" spans="7:7">
      <c r="G42999" s="812"/>
    </row>
    <row r="43000" spans="7:7">
      <c r="G43000" s="812"/>
    </row>
    <row r="43001" spans="7:7">
      <c r="G43001" s="812"/>
    </row>
    <row r="43002" spans="7:7">
      <c r="G43002" s="812"/>
    </row>
    <row r="43003" spans="7:7">
      <c r="G43003" s="812"/>
    </row>
    <row r="43004" spans="7:7">
      <c r="G43004" s="812"/>
    </row>
    <row r="43005" spans="7:7">
      <c r="G43005" s="812"/>
    </row>
    <row r="43006" spans="7:7">
      <c r="G43006" s="812"/>
    </row>
    <row r="43007" spans="7:7">
      <c r="G43007" s="812"/>
    </row>
    <row r="43008" spans="7:7">
      <c r="G43008" s="812"/>
    </row>
    <row r="43009" spans="7:7">
      <c r="G43009" s="812"/>
    </row>
    <row r="43010" spans="7:7">
      <c r="G43010" s="812"/>
    </row>
    <row r="43011" spans="7:7">
      <c r="G43011" s="812"/>
    </row>
    <row r="43012" spans="7:7">
      <c r="G43012" s="812"/>
    </row>
    <row r="43013" spans="7:7">
      <c r="G43013" s="812"/>
    </row>
    <row r="43014" spans="7:7">
      <c r="G43014" s="812"/>
    </row>
    <row r="43015" spans="7:7">
      <c r="G43015" s="812"/>
    </row>
    <row r="43016" spans="7:7">
      <c r="G43016" s="812"/>
    </row>
    <row r="43017" spans="7:7">
      <c r="G43017" s="812"/>
    </row>
    <row r="43018" spans="7:7">
      <c r="G43018" s="812"/>
    </row>
    <row r="43019" spans="7:7">
      <c r="G43019" s="812"/>
    </row>
    <row r="43020" spans="7:7">
      <c r="G43020" s="812"/>
    </row>
    <row r="43021" spans="7:7">
      <c r="G43021" s="812"/>
    </row>
    <row r="43022" spans="7:7">
      <c r="G43022" s="812"/>
    </row>
    <row r="43023" spans="7:7">
      <c r="G43023" s="812"/>
    </row>
    <row r="43024" spans="7:7">
      <c r="G43024" s="812"/>
    </row>
    <row r="43025" spans="7:7">
      <c r="G43025" s="812"/>
    </row>
    <row r="43026" spans="7:7">
      <c r="G43026" s="812"/>
    </row>
    <row r="43027" spans="7:7">
      <c r="G43027" s="812"/>
    </row>
    <row r="43028" spans="7:7">
      <c r="G43028" s="812"/>
    </row>
    <row r="43029" spans="7:7">
      <c r="G43029" s="812"/>
    </row>
    <row r="43030" spans="7:7">
      <c r="G43030" s="812"/>
    </row>
    <row r="43031" spans="7:7">
      <c r="G43031" s="812"/>
    </row>
    <row r="43032" spans="7:7">
      <c r="G43032" s="812"/>
    </row>
    <row r="43033" spans="7:7">
      <c r="G43033" s="812"/>
    </row>
    <row r="43034" spans="7:7">
      <c r="G43034" s="812"/>
    </row>
    <row r="43035" spans="7:7">
      <c r="G43035" s="812"/>
    </row>
    <row r="43036" spans="7:7">
      <c r="G43036" s="812"/>
    </row>
    <row r="43037" spans="7:7">
      <c r="G43037" s="812"/>
    </row>
    <row r="43038" spans="7:7">
      <c r="G43038" s="812"/>
    </row>
    <row r="43039" spans="7:7">
      <c r="G43039" s="812"/>
    </row>
    <row r="43040" spans="7:7">
      <c r="G43040" s="812"/>
    </row>
    <row r="43041" spans="7:7">
      <c r="G43041" s="812"/>
    </row>
    <row r="43042" spans="7:7">
      <c r="G43042" s="812"/>
    </row>
    <row r="43043" spans="7:7">
      <c r="G43043" s="812"/>
    </row>
    <row r="43044" spans="7:7">
      <c r="G43044" s="812"/>
    </row>
    <row r="43045" spans="7:7">
      <c r="G43045" s="812"/>
    </row>
    <row r="43046" spans="7:7">
      <c r="G43046" s="812"/>
    </row>
    <row r="43047" spans="7:7">
      <c r="G43047" s="812"/>
    </row>
    <row r="43048" spans="7:7">
      <c r="G43048" s="812"/>
    </row>
    <row r="43049" spans="7:7">
      <c r="G43049" s="812"/>
    </row>
    <row r="43050" spans="7:7">
      <c r="G43050" s="812"/>
    </row>
    <row r="43051" spans="7:7">
      <c r="G43051" s="812"/>
    </row>
    <row r="43052" spans="7:7">
      <c r="G43052" s="812"/>
    </row>
    <row r="43053" spans="7:7">
      <c r="G43053" s="812"/>
    </row>
    <row r="43054" spans="7:7">
      <c r="G43054" s="812"/>
    </row>
    <row r="43055" spans="7:7">
      <c r="G43055" s="812"/>
    </row>
    <row r="43056" spans="7:7">
      <c r="G43056" s="812"/>
    </row>
    <row r="43057" spans="7:7">
      <c r="G43057" s="812"/>
    </row>
    <row r="43058" spans="7:7">
      <c r="G43058" s="812"/>
    </row>
    <row r="43059" spans="7:7">
      <c r="G43059" s="812"/>
    </row>
    <row r="43060" spans="7:7">
      <c r="G43060" s="812"/>
    </row>
    <row r="43061" spans="7:7">
      <c r="G43061" s="812"/>
    </row>
    <row r="43062" spans="7:7">
      <c r="G43062" s="812"/>
    </row>
    <row r="43063" spans="7:7">
      <c r="G43063" s="812"/>
    </row>
    <row r="43064" spans="7:7">
      <c r="G43064" s="812"/>
    </row>
    <row r="43065" spans="7:7">
      <c r="G43065" s="812"/>
    </row>
    <row r="43066" spans="7:7">
      <c r="G43066" s="812"/>
    </row>
    <row r="43067" spans="7:7">
      <c r="G43067" s="812"/>
    </row>
    <row r="43068" spans="7:7">
      <c r="G43068" s="812"/>
    </row>
    <row r="43069" spans="7:7">
      <c r="G43069" s="812"/>
    </row>
    <row r="43070" spans="7:7">
      <c r="G43070" s="812"/>
    </row>
    <row r="43071" spans="7:7">
      <c r="G43071" s="812"/>
    </row>
    <row r="43072" spans="7:7">
      <c r="G43072" s="812"/>
    </row>
    <row r="43073" spans="7:7">
      <c r="G43073" s="812"/>
    </row>
    <row r="43074" spans="7:7">
      <c r="G43074" s="812"/>
    </row>
    <row r="43075" spans="7:7">
      <c r="G43075" s="812"/>
    </row>
    <row r="43076" spans="7:7">
      <c r="G43076" s="812"/>
    </row>
    <row r="43077" spans="7:7">
      <c r="G43077" s="812"/>
    </row>
    <row r="43078" spans="7:7">
      <c r="G43078" s="812"/>
    </row>
    <row r="43079" spans="7:7">
      <c r="G43079" s="812"/>
    </row>
    <row r="43080" spans="7:7">
      <c r="G43080" s="812"/>
    </row>
    <row r="43081" spans="7:7">
      <c r="G43081" s="812"/>
    </row>
    <row r="43082" spans="7:7">
      <c r="G43082" s="812"/>
    </row>
    <row r="43083" spans="7:7">
      <c r="G43083" s="812"/>
    </row>
    <row r="43084" spans="7:7">
      <c r="G43084" s="812"/>
    </row>
    <row r="43085" spans="7:7">
      <c r="G43085" s="812"/>
    </row>
    <row r="43086" spans="7:7">
      <c r="G43086" s="812"/>
    </row>
    <row r="43087" spans="7:7">
      <c r="G43087" s="812"/>
    </row>
    <row r="43088" spans="7:7">
      <c r="G43088" s="812"/>
    </row>
    <row r="43089" spans="7:7">
      <c r="G43089" s="812"/>
    </row>
    <row r="43090" spans="7:7">
      <c r="G43090" s="812"/>
    </row>
    <row r="43091" spans="7:7">
      <c r="G43091" s="812"/>
    </row>
    <row r="43092" spans="7:7">
      <c r="G43092" s="812"/>
    </row>
    <row r="43093" spans="7:7">
      <c r="G43093" s="812"/>
    </row>
    <row r="43094" spans="7:7">
      <c r="G43094" s="812"/>
    </row>
    <row r="43095" spans="7:7">
      <c r="G43095" s="812"/>
    </row>
    <row r="43096" spans="7:7">
      <c r="G43096" s="812"/>
    </row>
    <row r="43097" spans="7:7">
      <c r="G43097" s="812"/>
    </row>
    <row r="43098" spans="7:7">
      <c r="G43098" s="812"/>
    </row>
    <row r="43099" spans="7:7">
      <c r="G43099" s="812"/>
    </row>
    <row r="43100" spans="7:7">
      <c r="G43100" s="812"/>
    </row>
    <row r="43101" spans="7:7">
      <c r="G43101" s="812"/>
    </row>
    <row r="43102" spans="7:7">
      <c r="G43102" s="812"/>
    </row>
    <row r="43103" spans="7:7">
      <c r="G43103" s="812"/>
    </row>
    <row r="43104" spans="7:7">
      <c r="G43104" s="812"/>
    </row>
    <row r="43105" spans="7:7">
      <c r="G43105" s="812"/>
    </row>
    <row r="43106" spans="7:7">
      <c r="G43106" s="812"/>
    </row>
    <row r="43107" spans="7:7">
      <c r="G43107" s="812"/>
    </row>
    <row r="43108" spans="7:7">
      <c r="G43108" s="812"/>
    </row>
    <row r="43109" spans="7:7">
      <c r="G43109" s="812"/>
    </row>
    <row r="43110" spans="7:7">
      <c r="G43110" s="812"/>
    </row>
    <row r="43111" spans="7:7">
      <c r="G43111" s="812"/>
    </row>
    <row r="43112" spans="7:7">
      <c r="G43112" s="812"/>
    </row>
    <row r="43113" spans="7:7">
      <c r="G43113" s="812"/>
    </row>
    <row r="43114" spans="7:7">
      <c r="G43114" s="812"/>
    </row>
    <row r="43115" spans="7:7">
      <c r="G43115" s="812"/>
    </row>
    <row r="43116" spans="7:7">
      <c r="G43116" s="812"/>
    </row>
    <row r="43117" spans="7:7">
      <c r="G43117" s="812"/>
    </row>
    <row r="43118" spans="7:7">
      <c r="G43118" s="812"/>
    </row>
    <row r="43119" spans="7:7">
      <c r="G43119" s="812"/>
    </row>
    <row r="43120" spans="7:7">
      <c r="G43120" s="812"/>
    </row>
    <row r="43121" spans="7:7">
      <c r="G43121" s="812"/>
    </row>
    <row r="43122" spans="7:7">
      <c r="G43122" s="812"/>
    </row>
    <row r="43123" spans="7:7">
      <c r="G43123" s="812"/>
    </row>
    <row r="43124" spans="7:7">
      <c r="G43124" s="812"/>
    </row>
    <row r="43125" spans="7:7">
      <c r="G43125" s="812"/>
    </row>
    <row r="43126" spans="7:7">
      <c r="G43126" s="812"/>
    </row>
    <row r="43127" spans="7:7">
      <c r="G43127" s="812"/>
    </row>
    <row r="43128" spans="7:7">
      <c r="G43128" s="812"/>
    </row>
    <row r="43129" spans="7:7">
      <c r="G43129" s="812"/>
    </row>
    <row r="43130" spans="7:7">
      <c r="G43130" s="812"/>
    </row>
    <row r="43131" spans="7:7">
      <c r="G43131" s="812"/>
    </row>
    <row r="43132" spans="7:7">
      <c r="G43132" s="812"/>
    </row>
    <row r="43133" spans="7:7">
      <c r="G43133" s="812"/>
    </row>
    <row r="43134" spans="7:7">
      <c r="G43134" s="812"/>
    </row>
    <row r="43135" spans="7:7">
      <c r="G43135" s="812"/>
    </row>
    <row r="43136" spans="7:7">
      <c r="G43136" s="812"/>
    </row>
    <row r="43137" spans="7:7">
      <c r="G43137" s="812"/>
    </row>
    <row r="43138" spans="7:7">
      <c r="G43138" s="812"/>
    </row>
    <row r="43139" spans="7:7">
      <c r="G43139" s="812"/>
    </row>
    <row r="43140" spans="7:7">
      <c r="G43140" s="812"/>
    </row>
    <row r="43141" spans="7:7">
      <c r="G43141" s="812"/>
    </row>
    <row r="43142" spans="7:7">
      <c r="G43142" s="812"/>
    </row>
    <row r="43143" spans="7:7">
      <c r="G43143" s="812"/>
    </row>
    <row r="43144" spans="7:7">
      <c r="G43144" s="812"/>
    </row>
    <row r="43145" spans="7:7">
      <c r="G43145" s="812"/>
    </row>
    <row r="43146" spans="7:7">
      <c r="G43146" s="812"/>
    </row>
    <row r="43147" spans="7:7">
      <c r="G43147" s="812"/>
    </row>
    <row r="43148" spans="7:7">
      <c r="G43148" s="812"/>
    </row>
    <row r="43149" spans="7:7">
      <c r="G43149" s="812"/>
    </row>
    <row r="43150" spans="7:7">
      <c r="G43150" s="812"/>
    </row>
    <row r="43151" spans="7:7">
      <c r="G43151" s="812"/>
    </row>
    <row r="43152" spans="7:7">
      <c r="G43152" s="812"/>
    </row>
    <row r="43153" spans="7:7">
      <c r="G43153" s="812"/>
    </row>
    <row r="43154" spans="7:7">
      <c r="G43154" s="812"/>
    </row>
    <row r="43155" spans="7:7">
      <c r="G43155" s="812"/>
    </row>
    <row r="43156" spans="7:7">
      <c r="G43156" s="812"/>
    </row>
    <row r="43157" spans="7:7">
      <c r="G43157" s="812"/>
    </row>
    <row r="43158" spans="7:7">
      <c r="G43158" s="812"/>
    </row>
    <row r="43159" spans="7:7">
      <c r="G43159" s="812"/>
    </row>
    <row r="43160" spans="7:7">
      <c r="G43160" s="812"/>
    </row>
    <row r="43161" spans="7:7">
      <c r="G43161" s="812"/>
    </row>
    <row r="43162" spans="7:7">
      <c r="G43162" s="812"/>
    </row>
    <row r="43163" spans="7:7">
      <c r="G43163" s="812"/>
    </row>
    <row r="43164" spans="7:7">
      <c r="G43164" s="812"/>
    </row>
    <row r="43165" spans="7:7">
      <c r="G43165" s="812"/>
    </row>
    <row r="43166" spans="7:7">
      <c r="G43166" s="812"/>
    </row>
    <row r="43167" spans="7:7">
      <c r="G43167" s="812"/>
    </row>
    <row r="43168" spans="7:7">
      <c r="G43168" s="812"/>
    </row>
    <row r="43169" spans="7:7">
      <c r="G43169" s="812"/>
    </row>
    <row r="43170" spans="7:7">
      <c r="G43170" s="812"/>
    </row>
    <row r="43171" spans="7:7">
      <c r="G43171" s="812"/>
    </row>
    <row r="43172" spans="7:7">
      <c r="G43172" s="812"/>
    </row>
    <row r="43173" spans="7:7">
      <c r="G43173" s="812"/>
    </row>
    <row r="43174" spans="7:7">
      <c r="G43174" s="812"/>
    </row>
    <row r="43175" spans="7:7">
      <c r="G43175" s="812"/>
    </row>
    <row r="43176" spans="7:7">
      <c r="G43176" s="812"/>
    </row>
    <row r="43177" spans="7:7">
      <c r="G43177" s="812"/>
    </row>
    <row r="43178" spans="7:7">
      <c r="G43178" s="812"/>
    </row>
    <row r="43179" spans="7:7">
      <c r="G43179" s="812"/>
    </row>
    <row r="43180" spans="7:7">
      <c r="G43180" s="812"/>
    </row>
    <row r="43181" spans="7:7">
      <c r="G43181" s="812"/>
    </row>
    <row r="43182" spans="7:7">
      <c r="G43182" s="812"/>
    </row>
    <row r="43183" spans="7:7">
      <c r="G43183" s="812"/>
    </row>
    <row r="43184" spans="7:7">
      <c r="G43184" s="812"/>
    </row>
    <row r="43185" spans="7:7">
      <c r="G43185" s="812"/>
    </row>
    <row r="43186" spans="7:7">
      <c r="G43186" s="812"/>
    </row>
    <row r="43187" spans="7:7">
      <c r="G43187" s="812"/>
    </row>
    <row r="43188" spans="7:7">
      <c r="G43188" s="812"/>
    </row>
    <row r="43189" spans="7:7">
      <c r="G43189" s="812"/>
    </row>
    <row r="43190" spans="7:7">
      <c r="G43190" s="812"/>
    </row>
    <row r="43191" spans="7:7">
      <c r="G43191" s="812"/>
    </row>
    <row r="43192" spans="7:7">
      <c r="G43192" s="812"/>
    </row>
    <row r="43193" spans="7:7">
      <c r="G43193" s="812"/>
    </row>
    <row r="43194" spans="7:7">
      <c r="G43194" s="812"/>
    </row>
    <row r="43195" spans="7:7">
      <c r="G43195" s="812"/>
    </row>
    <row r="43196" spans="7:7">
      <c r="G43196" s="812"/>
    </row>
    <row r="43197" spans="7:7">
      <c r="G43197" s="812"/>
    </row>
    <row r="43198" spans="7:7">
      <c r="G43198" s="812"/>
    </row>
    <row r="43199" spans="7:7">
      <c r="G43199" s="812"/>
    </row>
    <row r="43200" spans="7:7">
      <c r="G43200" s="812"/>
    </row>
    <row r="43201" spans="7:7">
      <c r="G43201" s="812"/>
    </row>
    <row r="43202" spans="7:7">
      <c r="G43202" s="812"/>
    </row>
    <row r="43203" spans="7:7">
      <c r="G43203" s="812"/>
    </row>
    <row r="43204" spans="7:7">
      <c r="G43204" s="812"/>
    </row>
    <row r="43205" spans="7:7">
      <c r="G43205" s="812"/>
    </row>
    <row r="43206" spans="7:7">
      <c r="G43206" s="812"/>
    </row>
    <row r="43207" spans="7:7">
      <c r="G43207" s="812"/>
    </row>
    <row r="43208" spans="7:7">
      <c r="G43208" s="812"/>
    </row>
    <row r="43209" spans="7:7">
      <c r="G43209" s="812"/>
    </row>
    <row r="43210" spans="7:7">
      <c r="G43210" s="812"/>
    </row>
    <row r="43211" spans="7:7">
      <c r="G43211" s="812"/>
    </row>
    <row r="43212" spans="7:7">
      <c r="G43212" s="812"/>
    </row>
    <row r="43213" spans="7:7">
      <c r="G43213" s="812"/>
    </row>
    <row r="43214" spans="7:7">
      <c r="G43214" s="812"/>
    </row>
    <row r="43215" spans="7:7">
      <c r="G43215" s="812"/>
    </row>
    <row r="43216" spans="7:7">
      <c r="G43216" s="812"/>
    </row>
    <row r="43217" spans="7:7">
      <c r="G43217" s="812"/>
    </row>
    <row r="43218" spans="7:7">
      <c r="G43218" s="812"/>
    </row>
    <row r="43219" spans="7:7">
      <c r="G43219" s="812"/>
    </row>
    <row r="43220" spans="7:7">
      <c r="G43220" s="812"/>
    </row>
    <row r="43221" spans="7:7">
      <c r="G43221" s="812"/>
    </row>
    <row r="43222" spans="7:7">
      <c r="G43222" s="812"/>
    </row>
    <row r="43223" spans="7:7">
      <c r="G43223" s="812"/>
    </row>
    <row r="43224" spans="7:7">
      <c r="G43224" s="812"/>
    </row>
    <row r="43225" spans="7:7">
      <c r="G43225" s="812"/>
    </row>
    <row r="43226" spans="7:7">
      <c r="G43226" s="812"/>
    </row>
    <row r="43227" spans="7:7">
      <c r="G43227" s="812"/>
    </row>
    <row r="43228" spans="7:7">
      <c r="G43228" s="812"/>
    </row>
    <row r="43229" spans="7:7">
      <c r="G43229" s="812"/>
    </row>
    <row r="43230" spans="7:7">
      <c r="G43230" s="812"/>
    </row>
    <row r="43231" spans="7:7">
      <c r="G43231" s="812"/>
    </row>
    <row r="43232" spans="7:7">
      <c r="G43232" s="812"/>
    </row>
    <row r="43233" spans="7:7">
      <c r="G43233" s="812"/>
    </row>
    <row r="43234" spans="7:7">
      <c r="G43234" s="812"/>
    </row>
    <row r="43235" spans="7:7">
      <c r="G43235" s="812"/>
    </row>
    <row r="43236" spans="7:7">
      <c r="G43236" s="812"/>
    </row>
    <row r="43237" spans="7:7">
      <c r="G43237" s="812"/>
    </row>
    <row r="43238" spans="7:7">
      <c r="G43238" s="812"/>
    </row>
    <row r="43239" spans="7:7">
      <c r="G43239" s="812"/>
    </row>
    <row r="43240" spans="7:7">
      <c r="G43240" s="812"/>
    </row>
    <row r="43241" spans="7:7">
      <c r="G43241" s="812"/>
    </row>
    <row r="43242" spans="7:7">
      <c r="G43242" s="812"/>
    </row>
    <row r="43243" spans="7:7">
      <c r="G43243" s="812"/>
    </row>
    <row r="43244" spans="7:7">
      <c r="G43244" s="812"/>
    </row>
    <row r="43245" spans="7:7">
      <c r="G43245" s="812"/>
    </row>
    <row r="43246" spans="7:7">
      <c r="G43246" s="812"/>
    </row>
    <row r="43247" spans="7:7">
      <c r="G43247" s="812"/>
    </row>
    <row r="43248" spans="7:7">
      <c r="G43248" s="812"/>
    </row>
    <row r="43249" spans="7:7">
      <c r="G43249" s="812"/>
    </row>
    <row r="43250" spans="7:7">
      <c r="G43250" s="812"/>
    </row>
    <row r="43251" spans="7:7">
      <c r="G43251" s="812"/>
    </row>
    <row r="43252" spans="7:7">
      <c r="G43252" s="812"/>
    </row>
    <row r="43253" spans="7:7">
      <c r="G43253" s="812"/>
    </row>
    <row r="43254" spans="7:7">
      <c r="G43254" s="812"/>
    </row>
    <row r="43255" spans="7:7">
      <c r="G43255" s="812"/>
    </row>
    <row r="43256" spans="7:7">
      <c r="G43256" s="812"/>
    </row>
    <row r="43257" spans="7:7">
      <c r="G43257" s="812"/>
    </row>
    <row r="43258" spans="7:7">
      <c r="G43258" s="812"/>
    </row>
    <row r="43259" spans="7:7">
      <c r="G43259" s="812"/>
    </row>
    <row r="43260" spans="7:7">
      <c r="G43260" s="812"/>
    </row>
    <row r="43261" spans="7:7">
      <c r="G43261" s="812"/>
    </row>
    <row r="43262" spans="7:7">
      <c r="G43262" s="812"/>
    </row>
    <row r="43263" spans="7:7">
      <c r="G43263" s="812"/>
    </row>
    <row r="43264" spans="7:7">
      <c r="G43264" s="812"/>
    </row>
    <row r="43265" spans="7:7">
      <c r="G43265" s="812"/>
    </row>
    <row r="43266" spans="7:7">
      <c r="G43266" s="812"/>
    </row>
    <row r="43267" spans="7:7">
      <c r="G43267" s="812"/>
    </row>
    <row r="43268" spans="7:7">
      <c r="G43268" s="812"/>
    </row>
    <row r="43269" spans="7:7">
      <c r="G43269" s="812"/>
    </row>
    <row r="43270" spans="7:7">
      <c r="G43270" s="812"/>
    </row>
    <row r="43271" spans="7:7">
      <c r="G43271" s="812"/>
    </row>
    <row r="43272" spans="7:7">
      <c r="G43272" s="812"/>
    </row>
    <row r="43273" spans="7:7">
      <c r="G43273" s="812"/>
    </row>
    <row r="43274" spans="7:7">
      <c r="G43274" s="812"/>
    </row>
    <row r="43275" spans="7:7">
      <c r="G43275" s="812"/>
    </row>
    <row r="43276" spans="7:7">
      <c r="G43276" s="812"/>
    </row>
    <row r="43277" spans="7:7">
      <c r="G43277" s="812"/>
    </row>
    <row r="43278" spans="7:7">
      <c r="G43278" s="812"/>
    </row>
    <row r="43279" spans="7:7">
      <c r="G43279" s="812"/>
    </row>
    <row r="43280" spans="7:7">
      <c r="G43280" s="812"/>
    </row>
    <row r="43281" spans="7:7">
      <c r="G43281" s="812"/>
    </row>
    <row r="43282" spans="7:7">
      <c r="G43282" s="812"/>
    </row>
    <row r="43283" spans="7:7">
      <c r="G43283" s="812"/>
    </row>
    <row r="43284" spans="7:7">
      <c r="G43284" s="812"/>
    </row>
    <row r="43285" spans="7:7">
      <c r="G43285" s="812"/>
    </row>
    <row r="43286" spans="7:7">
      <c r="G43286" s="812"/>
    </row>
    <row r="43287" spans="7:7">
      <c r="G43287" s="812"/>
    </row>
    <row r="43288" spans="7:7">
      <c r="G43288" s="812"/>
    </row>
    <row r="43289" spans="7:7">
      <c r="G43289" s="812"/>
    </row>
    <row r="43290" spans="7:7">
      <c r="G43290" s="812"/>
    </row>
    <row r="43291" spans="7:7">
      <c r="G43291" s="812"/>
    </row>
    <row r="43292" spans="7:7">
      <c r="G43292" s="812"/>
    </row>
    <row r="43293" spans="7:7">
      <c r="G43293" s="812"/>
    </row>
    <row r="43294" spans="7:7">
      <c r="G43294" s="812"/>
    </row>
    <row r="43295" spans="7:7">
      <c r="G43295" s="812"/>
    </row>
    <row r="43296" spans="7:7">
      <c r="G43296" s="812"/>
    </row>
    <row r="43297" spans="7:7">
      <c r="G43297" s="812"/>
    </row>
    <row r="43298" spans="7:7">
      <c r="G43298" s="812"/>
    </row>
    <row r="43299" spans="7:7">
      <c r="G43299" s="812"/>
    </row>
    <row r="43300" spans="7:7">
      <c r="G43300" s="812"/>
    </row>
    <row r="43301" spans="7:7">
      <c r="G43301" s="812"/>
    </row>
    <row r="43302" spans="7:7">
      <c r="G43302" s="812"/>
    </row>
    <row r="43303" spans="7:7">
      <c r="G43303" s="812"/>
    </row>
    <row r="43304" spans="7:7">
      <c r="G43304" s="812"/>
    </row>
    <row r="43305" spans="7:7">
      <c r="G43305" s="812"/>
    </row>
    <row r="43306" spans="7:7">
      <c r="G43306" s="812"/>
    </row>
    <row r="43307" spans="7:7">
      <c r="G43307" s="812"/>
    </row>
    <row r="43308" spans="7:7">
      <c r="G43308" s="812"/>
    </row>
    <row r="43309" spans="7:7">
      <c r="G43309" s="812"/>
    </row>
    <row r="43310" spans="7:7">
      <c r="G43310" s="812"/>
    </row>
    <row r="43311" spans="7:7">
      <c r="G43311" s="812"/>
    </row>
    <row r="43312" spans="7:7">
      <c r="G43312" s="812"/>
    </row>
    <row r="43313" spans="7:7">
      <c r="G43313" s="812"/>
    </row>
    <row r="43314" spans="7:7">
      <c r="G43314" s="812"/>
    </row>
    <row r="43315" spans="7:7">
      <c r="G43315" s="812"/>
    </row>
    <row r="43316" spans="7:7">
      <c r="G43316" s="812"/>
    </row>
    <row r="43317" spans="7:7">
      <c r="G43317" s="812"/>
    </row>
    <row r="43318" spans="7:7">
      <c r="G43318" s="812"/>
    </row>
    <row r="43319" spans="7:7">
      <c r="G43319" s="812"/>
    </row>
    <row r="43320" spans="7:7">
      <c r="G43320" s="812"/>
    </row>
    <row r="43321" spans="7:7">
      <c r="G43321" s="812"/>
    </row>
    <row r="43322" spans="7:7">
      <c r="G43322" s="812"/>
    </row>
    <row r="43323" spans="7:7">
      <c r="G43323" s="812"/>
    </row>
    <row r="43324" spans="7:7">
      <c r="G43324" s="812"/>
    </row>
    <row r="43325" spans="7:7">
      <c r="G43325" s="812"/>
    </row>
    <row r="43326" spans="7:7">
      <c r="G43326" s="812"/>
    </row>
    <row r="43327" spans="7:7">
      <c r="G43327" s="812"/>
    </row>
    <row r="43328" spans="7:7">
      <c r="G43328" s="812"/>
    </row>
    <row r="43329" spans="7:7">
      <c r="G43329" s="812"/>
    </row>
    <row r="43330" spans="7:7">
      <c r="G43330" s="812"/>
    </row>
    <row r="43331" spans="7:7">
      <c r="G43331" s="812"/>
    </row>
    <row r="43332" spans="7:7">
      <c r="G43332" s="812"/>
    </row>
    <row r="43333" spans="7:7">
      <c r="G43333" s="812"/>
    </row>
    <row r="43334" spans="7:7">
      <c r="G43334" s="812"/>
    </row>
    <row r="43335" spans="7:7">
      <c r="G43335" s="812"/>
    </row>
    <row r="43336" spans="7:7">
      <c r="G43336" s="812"/>
    </row>
    <row r="43337" spans="7:7">
      <c r="G43337" s="812"/>
    </row>
    <row r="43338" spans="7:7">
      <c r="G43338" s="812"/>
    </row>
    <row r="43339" spans="7:7">
      <c r="G43339" s="812"/>
    </row>
    <row r="43340" spans="7:7">
      <c r="G43340" s="812"/>
    </row>
    <row r="43341" spans="7:7">
      <c r="G43341" s="812"/>
    </row>
    <row r="43342" spans="7:7">
      <c r="G43342" s="812"/>
    </row>
    <row r="43343" spans="7:7">
      <c r="G43343" s="812"/>
    </row>
    <row r="43344" spans="7:7">
      <c r="G43344" s="812"/>
    </row>
    <row r="43345" spans="7:7">
      <c r="G43345" s="812"/>
    </row>
    <row r="43346" spans="7:7">
      <c r="G43346" s="812"/>
    </row>
    <row r="43347" spans="7:7">
      <c r="G43347" s="812"/>
    </row>
    <row r="43348" spans="7:7">
      <c r="G43348" s="812"/>
    </row>
    <row r="43349" spans="7:7">
      <c r="G43349" s="812"/>
    </row>
    <row r="43350" spans="7:7">
      <c r="G43350" s="812"/>
    </row>
    <row r="43351" spans="7:7">
      <c r="G43351" s="812"/>
    </row>
    <row r="43352" spans="7:7">
      <c r="G43352" s="812"/>
    </row>
    <row r="43353" spans="7:7">
      <c r="G43353" s="812"/>
    </row>
    <row r="43354" spans="7:7">
      <c r="G43354" s="812"/>
    </row>
    <row r="43355" spans="7:7">
      <c r="G43355" s="812"/>
    </row>
    <row r="43356" spans="7:7">
      <c r="G43356" s="812"/>
    </row>
    <row r="43357" spans="7:7">
      <c r="G43357" s="812"/>
    </row>
    <row r="43358" spans="7:7">
      <c r="G43358" s="812"/>
    </row>
    <row r="43359" spans="7:7">
      <c r="G43359" s="812"/>
    </row>
    <row r="43360" spans="7:7">
      <c r="G43360" s="812"/>
    </row>
    <row r="43361" spans="7:7">
      <c r="G43361" s="812"/>
    </row>
    <row r="43362" spans="7:7">
      <c r="G43362" s="812"/>
    </row>
    <row r="43363" spans="7:7">
      <c r="G43363" s="812"/>
    </row>
    <row r="43364" spans="7:7">
      <c r="G43364" s="812"/>
    </row>
    <row r="43365" spans="7:7">
      <c r="G43365" s="812"/>
    </row>
    <row r="43366" spans="7:7">
      <c r="G43366" s="812"/>
    </row>
    <row r="43367" spans="7:7">
      <c r="G43367" s="812"/>
    </row>
    <row r="43368" spans="7:7">
      <c r="G43368" s="812"/>
    </row>
    <row r="43369" spans="7:7">
      <c r="G43369" s="812"/>
    </row>
    <row r="43370" spans="7:7">
      <c r="G43370" s="812"/>
    </row>
    <row r="43371" spans="7:7">
      <c r="G43371" s="812"/>
    </row>
    <row r="43372" spans="7:7">
      <c r="G43372" s="812"/>
    </row>
    <row r="43373" spans="7:7">
      <c r="G43373" s="812"/>
    </row>
    <row r="43374" spans="7:7">
      <c r="G43374" s="812"/>
    </row>
    <row r="43375" spans="7:7">
      <c r="G43375" s="812"/>
    </row>
    <row r="43376" spans="7:7">
      <c r="G43376" s="812"/>
    </row>
    <row r="43377" spans="7:7">
      <c r="G43377" s="812"/>
    </row>
    <row r="43378" spans="7:7">
      <c r="G43378" s="812"/>
    </row>
    <row r="43379" spans="7:7">
      <c r="G43379" s="812"/>
    </row>
    <row r="43380" spans="7:7">
      <c r="G43380" s="812"/>
    </row>
    <row r="43381" spans="7:7">
      <c r="G43381" s="812"/>
    </row>
    <row r="43382" spans="7:7">
      <c r="G43382" s="812"/>
    </row>
    <row r="43383" spans="7:7">
      <c r="G43383" s="812"/>
    </row>
    <row r="43384" spans="7:7">
      <c r="G43384" s="812"/>
    </row>
    <row r="43385" spans="7:7">
      <c r="G43385" s="812"/>
    </row>
    <row r="43386" spans="7:7">
      <c r="G43386" s="812"/>
    </row>
    <row r="43387" spans="7:7">
      <c r="G43387" s="812"/>
    </row>
    <row r="43388" spans="7:7">
      <c r="G43388" s="812"/>
    </row>
    <row r="43389" spans="7:7">
      <c r="G43389" s="812"/>
    </row>
    <row r="43390" spans="7:7">
      <c r="G43390" s="812"/>
    </row>
    <row r="43391" spans="7:7">
      <c r="G43391" s="812"/>
    </row>
    <row r="43392" spans="7:7">
      <c r="G43392" s="812"/>
    </row>
    <row r="43393" spans="7:7">
      <c r="G43393" s="812"/>
    </row>
    <row r="43394" spans="7:7">
      <c r="G43394" s="812"/>
    </row>
    <row r="43395" spans="7:7">
      <c r="G43395" s="812"/>
    </row>
    <row r="43396" spans="7:7">
      <c r="G43396" s="812"/>
    </row>
    <row r="43397" spans="7:7">
      <c r="G43397" s="812"/>
    </row>
    <row r="43398" spans="7:7">
      <c r="G43398" s="812"/>
    </row>
    <row r="43399" spans="7:7">
      <c r="G43399" s="812"/>
    </row>
    <row r="43400" spans="7:7">
      <c r="G43400" s="812"/>
    </row>
    <row r="43401" spans="7:7">
      <c r="G43401" s="812"/>
    </row>
    <row r="43402" spans="7:7">
      <c r="G43402" s="812"/>
    </row>
    <row r="43403" spans="7:7">
      <c r="G43403" s="812"/>
    </row>
    <row r="43404" spans="7:7">
      <c r="G43404" s="812"/>
    </row>
    <row r="43405" spans="7:7">
      <c r="G43405" s="812"/>
    </row>
    <row r="43406" spans="7:7">
      <c r="G43406" s="812"/>
    </row>
    <row r="43407" spans="7:7">
      <c r="G43407" s="812"/>
    </row>
    <row r="43408" spans="7:7">
      <c r="G43408" s="812"/>
    </row>
    <row r="43409" spans="7:7">
      <c r="G43409" s="812"/>
    </row>
    <row r="43410" spans="7:7">
      <c r="G43410" s="812"/>
    </row>
    <row r="43411" spans="7:7">
      <c r="G43411" s="812"/>
    </row>
    <row r="43412" spans="7:7">
      <c r="G43412" s="812"/>
    </row>
    <row r="43413" spans="7:7">
      <c r="G43413" s="812"/>
    </row>
    <row r="43414" spans="7:7">
      <c r="G43414" s="812"/>
    </row>
    <row r="43415" spans="7:7">
      <c r="G43415" s="812"/>
    </row>
    <row r="43416" spans="7:7">
      <c r="G43416" s="812"/>
    </row>
    <row r="43417" spans="7:7">
      <c r="G43417" s="812"/>
    </row>
    <row r="43418" spans="7:7">
      <c r="G43418" s="812"/>
    </row>
    <row r="43419" spans="7:7">
      <c r="G43419" s="812"/>
    </row>
    <row r="43420" spans="7:7">
      <c r="G43420" s="812"/>
    </row>
    <row r="43421" spans="7:7">
      <c r="G43421" s="812"/>
    </row>
    <row r="43422" spans="7:7">
      <c r="G43422" s="812"/>
    </row>
    <row r="43423" spans="7:7">
      <c r="G43423" s="812"/>
    </row>
    <row r="43424" spans="7:7">
      <c r="G43424" s="812"/>
    </row>
    <row r="43425" spans="7:7">
      <c r="G43425" s="812"/>
    </row>
    <row r="43426" spans="7:7">
      <c r="G43426" s="812"/>
    </row>
    <row r="43427" spans="7:7">
      <c r="G43427" s="812"/>
    </row>
    <row r="43428" spans="7:7">
      <c r="G43428" s="812"/>
    </row>
    <row r="43429" spans="7:7">
      <c r="G43429" s="812"/>
    </row>
    <row r="43430" spans="7:7">
      <c r="G43430" s="812"/>
    </row>
    <row r="43431" spans="7:7">
      <c r="G43431" s="812"/>
    </row>
    <row r="43432" spans="7:7">
      <c r="G43432" s="812"/>
    </row>
    <row r="43433" spans="7:7">
      <c r="G43433" s="812"/>
    </row>
    <row r="43434" spans="7:7">
      <c r="G43434" s="812"/>
    </row>
    <row r="43435" spans="7:7">
      <c r="G43435" s="812"/>
    </row>
    <row r="43436" spans="7:7">
      <c r="G43436" s="812"/>
    </row>
    <row r="43437" spans="7:7">
      <c r="G43437" s="812"/>
    </row>
    <row r="43438" spans="7:7">
      <c r="G43438" s="812"/>
    </row>
    <row r="43439" spans="7:7">
      <c r="G43439" s="812"/>
    </row>
    <row r="43440" spans="7:7">
      <c r="G43440" s="812"/>
    </row>
    <row r="43441" spans="7:7">
      <c r="G43441" s="812"/>
    </row>
    <row r="43442" spans="7:7">
      <c r="G43442" s="812"/>
    </row>
    <row r="43443" spans="7:7">
      <c r="G43443" s="812"/>
    </row>
    <row r="43444" spans="7:7">
      <c r="G43444" s="812"/>
    </row>
    <row r="43445" spans="7:7">
      <c r="G43445" s="812"/>
    </row>
    <row r="43446" spans="7:7">
      <c r="G43446" s="812"/>
    </row>
    <row r="43447" spans="7:7">
      <c r="G43447" s="812"/>
    </row>
    <row r="43448" spans="7:7">
      <c r="G43448" s="812"/>
    </row>
    <row r="43449" spans="7:7">
      <c r="G43449" s="812"/>
    </row>
    <row r="43450" spans="7:7">
      <c r="G43450" s="812"/>
    </row>
    <row r="43451" spans="7:7">
      <c r="G43451" s="812"/>
    </row>
    <row r="43452" spans="7:7">
      <c r="G43452" s="812"/>
    </row>
    <row r="43453" spans="7:7">
      <c r="G43453" s="812"/>
    </row>
    <row r="43454" spans="7:7">
      <c r="G43454" s="812"/>
    </row>
    <row r="43455" spans="7:7">
      <c r="G43455" s="812"/>
    </row>
    <row r="43456" spans="7:7">
      <c r="G43456" s="812"/>
    </row>
    <row r="43457" spans="7:7">
      <c r="G43457" s="812"/>
    </row>
    <row r="43458" spans="7:7">
      <c r="G43458" s="812"/>
    </row>
    <row r="43459" spans="7:7">
      <c r="G43459" s="812"/>
    </row>
    <row r="43460" spans="7:7">
      <c r="G43460" s="812"/>
    </row>
    <row r="43461" spans="7:7">
      <c r="G43461" s="812"/>
    </row>
    <row r="43462" spans="7:7">
      <c r="G43462" s="812"/>
    </row>
    <row r="43463" spans="7:7">
      <c r="G43463" s="812"/>
    </row>
    <row r="43464" spans="7:7">
      <c r="G43464" s="812"/>
    </row>
    <row r="43465" spans="7:7">
      <c r="G43465" s="812"/>
    </row>
    <row r="43466" spans="7:7">
      <c r="G43466" s="812"/>
    </row>
    <row r="43467" spans="7:7">
      <c r="G43467" s="812"/>
    </row>
    <row r="43468" spans="7:7">
      <c r="G43468" s="812"/>
    </row>
    <row r="43469" spans="7:7">
      <c r="G43469" s="812"/>
    </row>
    <row r="43470" spans="7:7">
      <c r="G43470" s="812"/>
    </row>
    <row r="43471" spans="7:7">
      <c r="G43471" s="812"/>
    </row>
    <row r="43472" spans="7:7">
      <c r="G43472" s="812"/>
    </row>
    <row r="43473" spans="7:7">
      <c r="G43473" s="812"/>
    </row>
    <row r="43474" spans="7:7">
      <c r="G43474" s="812"/>
    </row>
    <row r="43475" spans="7:7">
      <c r="G43475" s="812"/>
    </row>
    <row r="43476" spans="7:7">
      <c r="G43476" s="812"/>
    </row>
    <row r="43477" spans="7:7">
      <c r="G43477" s="812"/>
    </row>
    <row r="43478" spans="7:7">
      <c r="G43478" s="812"/>
    </row>
    <row r="43479" spans="7:7">
      <c r="G43479" s="812"/>
    </row>
    <row r="43480" spans="7:7">
      <c r="G43480" s="812"/>
    </row>
    <row r="43481" spans="7:7">
      <c r="G43481" s="812"/>
    </row>
    <row r="43482" spans="7:7">
      <c r="G43482" s="812"/>
    </row>
    <row r="43483" spans="7:7">
      <c r="G43483" s="812"/>
    </row>
    <row r="43484" spans="7:7">
      <c r="G43484" s="812"/>
    </row>
    <row r="43485" spans="7:7">
      <c r="G43485" s="812"/>
    </row>
    <row r="43486" spans="7:7">
      <c r="G43486" s="812"/>
    </row>
    <row r="43487" spans="7:7">
      <c r="G43487" s="812"/>
    </row>
    <row r="43488" spans="7:7">
      <c r="G43488" s="812"/>
    </row>
    <row r="43489" spans="7:7">
      <c r="G43489" s="812"/>
    </row>
    <row r="43490" spans="7:7">
      <c r="G43490" s="812"/>
    </row>
    <row r="43491" spans="7:7">
      <c r="G43491" s="812"/>
    </row>
    <row r="43492" spans="7:7">
      <c r="G43492" s="812"/>
    </row>
    <row r="43493" spans="7:7">
      <c r="G43493" s="812"/>
    </row>
    <row r="43494" spans="7:7">
      <c r="G43494" s="812"/>
    </row>
    <row r="43495" spans="7:7">
      <c r="G43495" s="812"/>
    </row>
    <row r="43496" spans="7:7">
      <c r="G43496" s="812"/>
    </row>
    <row r="43497" spans="7:7">
      <c r="G43497" s="812"/>
    </row>
    <row r="43498" spans="7:7">
      <c r="G43498" s="812"/>
    </row>
    <row r="43499" spans="7:7">
      <c r="G43499" s="812"/>
    </row>
    <row r="43500" spans="7:7">
      <c r="G43500" s="812"/>
    </row>
    <row r="43501" spans="7:7">
      <c r="G43501" s="812"/>
    </row>
    <row r="43502" spans="7:7">
      <c r="G43502" s="812"/>
    </row>
    <row r="43503" spans="7:7">
      <c r="G43503" s="812"/>
    </row>
    <row r="43504" spans="7:7">
      <c r="G43504" s="812"/>
    </row>
    <row r="43505" spans="7:7">
      <c r="G43505" s="812"/>
    </row>
    <row r="43506" spans="7:7">
      <c r="G43506" s="812"/>
    </row>
    <row r="43507" spans="7:7">
      <c r="G43507" s="812"/>
    </row>
    <row r="43508" spans="7:7">
      <c r="G43508" s="812"/>
    </row>
    <row r="43509" spans="7:7">
      <c r="G43509" s="812"/>
    </row>
    <row r="43510" spans="7:7">
      <c r="G43510" s="812"/>
    </row>
    <row r="43511" spans="7:7">
      <c r="G43511" s="812"/>
    </row>
    <row r="43512" spans="7:7">
      <c r="G43512" s="812"/>
    </row>
    <row r="43513" spans="7:7">
      <c r="G43513" s="812"/>
    </row>
    <row r="43514" spans="7:7">
      <c r="G43514" s="812"/>
    </row>
    <row r="43515" spans="7:7">
      <c r="G43515" s="812"/>
    </row>
    <row r="43516" spans="7:7">
      <c r="G43516" s="812"/>
    </row>
    <row r="43517" spans="7:7">
      <c r="G43517" s="812"/>
    </row>
    <row r="43518" spans="7:7">
      <c r="G43518" s="812"/>
    </row>
    <row r="43519" spans="7:7">
      <c r="G43519" s="812"/>
    </row>
    <row r="43520" spans="7:7">
      <c r="G43520" s="812"/>
    </row>
    <row r="43521" spans="7:7">
      <c r="G43521" s="812"/>
    </row>
    <row r="43522" spans="7:7">
      <c r="G43522" s="812"/>
    </row>
    <row r="43523" spans="7:7">
      <c r="G43523" s="812"/>
    </row>
    <row r="43524" spans="7:7">
      <c r="G43524" s="812"/>
    </row>
    <row r="43525" spans="7:7">
      <c r="G43525" s="812"/>
    </row>
    <row r="43526" spans="7:7">
      <c r="G43526" s="812"/>
    </row>
    <row r="43527" spans="7:7">
      <c r="G43527" s="812"/>
    </row>
    <row r="43528" spans="7:7">
      <c r="G43528" s="812"/>
    </row>
    <row r="43529" spans="7:7">
      <c r="G43529" s="812"/>
    </row>
    <row r="43530" spans="7:7">
      <c r="G43530" s="812"/>
    </row>
    <row r="43531" spans="7:7">
      <c r="G43531" s="812"/>
    </row>
    <row r="43532" spans="7:7">
      <c r="G43532" s="812"/>
    </row>
    <row r="43533" spans="7:7">
      <c r="G43533" s="812"/>
    </row>
    <row r="43534" spans="7:7">
      <c r="G43534" s="812"/>
    </row>
    <row r="43535" spans="7:7">
      <c r="G43535" s="812"/>
    </row>
    <row r="43536" spans="7:7">
      <c r="G43536" s="812"/>
    </row>
    <row r="43537" spans="7:7">
      <c r="G43537" s="812"/>
    </row>
    <row r="43538" spans="7:7">
      <c r="G43538" s="812"/>
    </row>
    <row r="43539" spans="7:7">
      <c r="G43539" s="812"/>
    </row>
    <row r="43540" spans="7:7">
      <c r="G43540" s="812"/>
    </row>
    <row r="43541" spans="7:7">
      <c r="G43541" s="812"/>
    </row>
    <row r="43542" spans="7:7">
      <c r="G43542" s="812"/>
    </row>
    <row r="43543" spans="7:7">
      <c r="G43543" s="812"/>
    </row>
    <row r="43544" spans="7:7">
      <c r="G43544" s="812"/>
    </row>
    <row r="43545" spans="7:7">
      <c r="G43545" s="812"/>
    </row>
    <row r="43546" spans="7:7">
      <c r="G43546" s="812"/>
    </row>
    <row r="43547" spans="7:7">
      <c r="G43547" s="812"/>
    </row>
    <row r="43548" spans="7:7">
      <c r="G43548" s="812"/>
    </row>
    <row r="43549" spans="7:7">
      <c r="G43549" s="812"/>
    </row>
    <row r="43550" spans="7:7">
      <c r="G43550" s="812"/>
    </row>
    <row r="43551" spans="7:7">
      <c r="G43551" s="812"/>
    </row>
    <row r="43552" spans="7:7">
      <c r="G43552" s="812"/>
    </row>
    <row r="43553" spans="7:7">
      <c r="G43553" s="812"/>
    </row>
    <row r="43554" spans="7:7">
      <c r="G43554" s="812"/>
    </row>
    <row r="43555" spans="7:7">
      <c r="G43555" s="812"/>
    </row>
    <row r="43556" spans="7:7">
      <c r="G43556" s="812"/>
    </row>
    <row r="43557" spans="7:7">
      <c r="G43557" s="812"/>
    </row>
    <row r="43558" spans="7:7">
      <c r="G43558" s="812"/>
    </row>
    <row r="43559" spans="7:7">
      <c r="G43559" s="812"/>
    </row>
    <row r="43560" spans="7:7">
      <c r="G43560" s="812"/>
    </row>
    <row r="43561" spans="7:7">
      <c r="G43561" s="812"/>
    </row>
    <row r="43562" spans="7:7">
      <c r="G43562" s="812"/>
    </row>
    <row r="43563" spans="7:7">
      <c r="G43563" s="812"/>
    </row>
    <row r="43564" spans="7:7">
      <c r="G43564" s="812"/>
    </row>
    <row r="43565" spans="7:7">
      <c r="G43565" s="812"/>
    </row>
    <row r="43566" spans="7:7">
      <c r="G43566" s="812"/>
    </row>
    <row r="43567" spans="7:7">
      <c r="G43567" s="812"/>
    </row>
    <row r="43568" spans="7:7">
      <c r="G43568" s="812"/>
    </row>
    <row r="43569" spans="7:7">
      <c r="G43569" s="812"/>
    </row>
    <row r="43570" spans="7:7">
      <c r="G43570" s="812"/>
    </row>
    <row r="43571" spans="7:7">
      <c r="G43571" s="812"/>
    </row>
    <row r="43572" spans="7:7">
      <c r="G43572" s="812"/>
    </row>
    <row r="43573" spans="7:7">
      <c r="G43573" s="812"/>
    </row>
    <row r="43574" spans="7:7">
      <c r="G43574" s="812"/>
    </row>
    <row r="43575" spans="7:7">
      <c r="G43575" s="812"/>
    </row>
    <row r="43576" spans="7:7">
      <c r="G43576" s="812"/>
    </row>
    <row r="43577" spans="7:7">
      <c r="G43577" s="812"/>
    </row>
    <row r="43578" spans="7:7">
      <c r="G43578" s="812"/>
    </row>
    <row r="43579" spans="7:7">
      <c r="G43579" s="812"/>
    </row>
    <row r="43580" spans="7:7">
      <c r="G43580" s="812"/>
    </row>
    <row r="43581" spans="7:7">
      <c r="G43581" s="812"/>
    </row>
    <row r="43582" spans="7:7">
      <c r="G43582" s="812"/>
    </row>
    <row r="43583" spans="7:7">
      <c r="G43583" s="812"/>
    </row>
    <row r="43584" spans="7:7">
      <c r="G43584" s="812"/>
    </row>
    <row r="43585" spans="7:7">
      <c r="G43585" s="812"/>
    </row>
    <row r="43586" spans="7:7">
      <c r="G43586" s="812"/>
    </row>
    <row r="43587" spans="7:7">
      <c r="G43587" s="812"/>
    </row>
    <row r="43588" spans="7:7">
      <c r="G43588" s="812"/>
    </row>
    <row r="43589" spans="7:7">
      <c r="G43589" s="812"/>
    </row>
    <row r="43590" spans="7:7">
      <c r="G43590" s="812"/>
    </row>
    <row r="43591" spans="7:7">
      <c r="G43591" s="812"/>
    </row>
    <row r="43592" spans="7:7">
      <c r="G43592" s="812"/>
    </row>
    <row r="43593" spans="7:7">
      <c r="G43593" s="812"/>
    </row>
    <row r="43594" spans="7:7">
      <c r="G43594" s="812"/>
    </row>
    <row r="43595" spans="7:7">
      <c r="G43595" s="812"/>
    </row>
    <row r="43596" spans="7:7">
      <c r="G43596" s="812"/>
    </row>
    <row r="43597" spans="7:7">
      <c r="G43597" s="812"/>
    </row>
    <row r="43598" spans="7:7">
      <c r="G43598" s="812"/>
    </row>
    <row r="43599" spans="7:7">
      <c r="G43599" s="812"/>
    </row>
    <row r="43600" spans="7:7">
      <c r="G43600" s="812"/>
    </row>
    <row r="43601" spans="7:7">
      <c r="G43601" s="812"/>
    </row>
    <row r="43602" spans="7:7">
      <c r="G43602" s="812"/>
    </row>
    <row r="43603" spans="7:7">
      <c r="G43603" s="812"/>
    </row>
    <row r="43604" spans="7:7">
      <c r="G43604" s="812"/>
    </row>
    <row r="43605" spans="7:7">
      <c r="G43605" s="812"/>
    </row>
    <row r="43606" spans="7:7">
      <c r="G43606" s="812"/>
    </row>
    <row r="43607" spans="7:7">
      <c r="G43607" s="812"/>
    </row>
    <row r="43608" spans="7:7">
      <c r="G43608" s="812"/>
    </row>
    <row r="43609" spans="7:7">
      <c r="G43609" s="812"/>
    </row>
    <row r="43610" spans="7:7">
      <c r="G43610" s="812"/>
    </row>
    <row r="43611" spans="7:7">
      <c r="G43611" s="812"/>
    </row>
    <row r="43612" spans="7:7">
      <c r="G43612" s="812"/>
    </row>
    <row r="43613" spans="7:7">
      <c r="G43613" s="812"/>
    </row>
    <row r="43614" spans="7:7">
      <c r="G43614" s="812"/>
    </row>
    <row r="43615" spans="7:7">
      <c r="G43615" s="812"/>
    </row>
    <row r="43616" spans="7:7">
      <c r="G43616" s="812"/>
    </row>
    <row r="43617" spans="7:7">
      <c r="G43617" s="812"/>
    </row>
    <row r="43618" spans="7:7">
      <c r="G43618" s="812"/>
    </row>
    <row r="43619" spans="7:7">
      <c r="G43619" s="812"/>
    </row>
    <row r="43620" spans="7:7">
      <c r="G43620" s="812"/>
    </row>
    <row r="43621" spans="7:7">
      <c r="G43621" s="812"/>
    </row>
    <row r="43622" spans="7:7">
      <c r="G43622" s="812"/>
    </row>
    <row r="43623" spans="7:7">
      <c r="G43623" s="812"/>
    </row>
    <row r="43624" spans="7:7">
      <c r="G43624" s="812"/>
    </row>
    <row r="43625" spans="7:7">
      <c r="G43625" s="812"/>
    </row>
    <row r="43626" spans="7:7">
      <c r="G43626" s="812"/>
    </row>
    <row r="43627" spans="7:7">
      <c r="G43627" s="812"/>
    </row>
    <row r="43628" spans="7:7">
      <c r="G43628" s="812"/>
    </row>
    <row r="43629" spans="7:7">
      <c r="G43629" s="812"/>
    </row>
    <row r="43630" spans="7:7">
      <c r="G43630" s="812"/>
    </row>
    <row r="43631" spans="7:7">
      <c r="G43631" s="812"/>
    </row>
    <row r="43632" spans="7:7">
      <c r="G43632" s="812"/>
    </row>
    <row r="43633" spans="7:7">
      <c r="G43633" s="812"/>
    </row>
    <row r="43634" spans="7:7">
      <c r="G43634" s="812"/>
    </row>
    <row r="43635" spans="7:7">
      <c r="G43635" s="812"/>
    </row>
    <row r="43636" spans="7:7">
      <c r="G43636" s="812"/>
    </row>
    <row r="43637" spans="7:7">
      <c r="G43637" s="812"/>
    </row>
    <row r="43638" spans="7:7">
      <c r="G43638" s="812"/>
    </row>
    <row r="43639" spans="7:7">
      <c r="G43639" s="812"/>
    </row>
    <row r="43640" spans="7:7">
      <c r="G43640" s="812"/>
    </row>
    <row r="43641" spans="7:7">
      <c r="G43641" s="812"/>
    </row>
    <row r="43642" spans="7:7">
      <c r="G43642" s="812"/>
    </row>
    <row r="43643" spans="7:7">
      <c r="G43643" s="812"/>
    </row>
    <row r="43644" spans="7:7">
      <c r="G43644" s="812"/>
    </row>
    <row r="43645" spans="7:7">
      <c r="G43645" s="812"/>
    </row>
    <row r="43646" spans="7:7">
      <c r="G43646" s="812"/>
    </row>
    <row r="43647" spans="7:7">
      <c r="G43647" s="812"/>
    </row>
    <row r="43648" spans="7:7">
      <c r="G43648" s="812"/>
    </row>
    <row r="43649" spans="7:7">
      <c r="G43649" s="812"/>
    </row>
    <row r="43650" spans="7:7">
      <c r="G43650" s="812"/>
    </row>
    <row r="43651" spans="7:7">
      <c r="G43651" s="812"/>
    </row>
    <row r="43652" spans="7:7">
      <c r="G43652" s="812"/>
    </row>
    <row r="43653" spans="7:7">
      <c r="G43653" s="812"/>
    </row>
    <row r="43654" spans="7:7">
      <c r="G43654" s="812"/>
    </row>
    <row r="43655" spans="7:7">
      <c r="G43655" s="812"/>
    </row>
    <row r="43656" spans="7:7">
      <c r="G43656" s="812"/>
    </row>
    <row r="43657" spans="7:7">
      <c r="G43657" s="812"/>
    </row>
    <row r="43658" spans="7:7">
      <c r="G43658" s="812"/>
    </row>
    <row r="43659" spans="7:7">
      <c r="G43659" s="812"/>
    </row>
    <row r="43660" spans="7:7">
      <c r="G43660" s="812"/>
    </row>
    <row r="43661" spans="7:7">
      <c r="G43661" s="812"/>
    </row>
    <row r="43662" spans="7:7">
      <c r="G43662" s="812"/>
    </row>
    <row r="43663" spans="7:7">
      <c r="G43663" s="812"/>
    </row>
    <row r="43664" spans="7:7">
      <c r="G43664" s="812"/>
    </row>
    <row r="43665" spans="7:7">
      <c r="G43665" s="812"/>
    </row>
    <row r="43666" spans="7:7">
      <c r="G43666" s="812"/>
    </row>
    <row r="43667" spans="7:7">
      <c r="G43667" s="812"/>
    </row>
    <row r="43668" spans="7:7">
      <c r="G43668" s="812"/>
    </row>
    <row r="43669" spans="7:7">
      <c r="G43669" s="812"/>
    </row>
    <row r="43670" spans="7:7">
      <c r="G43670" s="812"/>
    </row>
    <row r="43671" spans="7:7">
      <c r="G43671" s="812"/>
    </row>
    <row r="43672" spans="7:7">
      <c r="G43672" s="812"/>
    </row>
    <row r="43673" spans="7:7">
      <c r="G43673" s="812"/>
    </row>
    <row r="43674" spans="7:7">
      <c r="G43674" s="812"/>
    </row>
    <row r="43675" spans="7:7">
      <c r="G43675" s="812"/>
    </row>
    <row r="43676" spans="7:7">
      <c r="G43676" s="812"/>
    </row>
    <row r="43677" spans="7:7">
      <c r="G43677" s="812"/>
    </row>
    <row r="43678" spans="7:7">
      <c r="G43678" s="812"/>
    </row>
    <row r="43679" spans="7:7">
      <c r="G43679" s="812"/>
    </row>
    <row r="43680" spans="7:7">
      <c r="G43680" s="812"/>
    </row>
    <row r="43681" spans="7:7">
      <c r="G43681" s="812"/>
    </row>
    <row r="43682" spans="7:7">
      <c r="G43682" s="812"/>
    </row>
    <row r="43683" spans="7:7">
      <c r="G43683" s="812"/>
    </row>
    <row r="43684" spans="7:7">
      <c r="G43684" s="812"/>
    </row>
    <row r="43685" spans="7:7">
      <c r="G43685" s="812"/>
    </row>
    <row r="43686" spans="7:7">
      <c r="G43686" s="812"/>
    </row>
    <row r="43687" spans="7:7">
      <c r="G43687" s="812"/>
    </row>
    <row r="43688" spans="7:7">
      <c r="G43688" s="812"/>
    </row>
    <row r="43689" spans="7:7">
      <c r="G43689" s="812"/>
    </row>
    <row r="43690" spans="7:7">
      <c r="G43690" s="812"/>
    </row>
    <row r="43691" spans="7:7">
      <c r="G43691" s="812"/>
    </row>
    <row r="43692" spans="7:7">
      <c r="G43692" s="812"/>
    </row>
    <row r="43693" spans="7:7">
      <c r="G43693" s="812"/>
    </row>
    <row r="43694" spans="7:7">
      <c r="G43694" s="812"/>
    </row>
    <row r="43695" spans="7:7">
      <c r="G43695" s="812"/>
    </row>
    <row r="43696" spans="7:7">
      <c r="G43696" s="812"/>
    </row>
    <row r="43697" spans="7:7">
      <c r="G43697" s="812"/>
    </row>
    <row r="43698" spans="7:7">
      <c r="G43698" s="812"/>
    </row>
    <row r="43699" spans="7:7">
      <c r="G43699" s="812"/>
    </row>
    <row r="43700" spans="7:7">
      <c r="G43700" s="812"/>
    </row>
    <row r="43701" spans="7:7">
      <c r="G43701" s="812"/>
    </row>
    <row r="43702" spans="7:7">
      <c r="G43702" s="812"/>
    </row>
    <row r="43703" spans="7:7">
      <c r="G43703" s="812"/>
    </row>
    <row r="43704" spans="7:7">
      <c r="G43704" s="812"/>
    </row>
    <row r="43705" spans="7:7">
      <c r="G43705" s="812"/>
    </row>
    <row r="43706" spans="7:7">
      <c r="G43706" s="812"/>
    </row>
    <row r="43707" spans="7:7">
      <c r="G43707" s="812"/>
    </row>
    <row r="43708" spans="7:7">
      <c r="G43708" s="812"/>
    </row>
    <row r="43709" spans="7:7">
      <c r="G43709" s="812"/>
    </row>
    <row r="43710" spans="7:7">
      <c r="G43710" s="812"/>
    </row>
    <row r="43711" spans="7:7">
      <c r="G43711" s="812"/>
    </row>
    <row r="43712" spans="7:7">
      <c r="G43712" s="812"/>
    </row>
    <row r="43713" spans="7:7">
      <c r="G43713" s="812"/>
    </row>
    <row r="43714" spans="7:7">
      <c r="G43714" s="812"/>
    </row>
    <row r="43715" spans="7:7">
      <c r="G43715" s="812"/>
    </row>
    <row r="43716" spans="7:7">
      <c r="G43716" s="812"/>
    </row>
    <row r="43717" spans="7:7">
      <c r="G43717" s="812"/>
    </row>
    <row r="43718" spans="7:7">
      <c r="G43718" s="812"/>
    </row>
    <row r="43719" spans="7:7">
      <c r="G43719" s="812"/>
    </row>
    <row r="43720" spans="7:7">
      <c r="G43720" s="812"/>
    </row>
    <row r="43721" spans="7:7">
      <c r="G43721" s="812"/>
    </row>
    <row r="43722" spans="7:7">
      <c r="G43722" s="812"/>
    </row>
    <row r="43723" spans="7:7">
      <c r="G43723" s="812"/>
    </row>
    <row r="43724" spans="7:7">
      <c r="G43724" s="812"/>
    </row>
    <row r="43725" spans="7:7">
      <c r="G43725" s="812"/>
    </row>
    <row r="43726" spans="7:7">
      <c r="G43726" s="812"/>
    </row>
    <row r="43727" spans="7:7">
      <c r="G43727" s="812"/>
    </row>
    <row r="43728" spans="7:7">
      <c r="G43728" s="812"/>
    </row>
    <row r="43729" spans="7:7">
      <c r="G43729" s="812"/>
    </row>
    <row r="43730" spans="7:7">
      <c r="G43730" s="812"/>
    </row>
    <row r="43731" spans="7:7">
      <c r="G43731" s="812"/>
    </row>
    <row r="43732" spans="7:7">
      <c r="G43732" s="812"/>
    </row>
    <row r="43733" spans="7:7">
      <c r="G43733" s="812"/>
    </row>
    <row r="43734" spans="7:7">
      <c r="G43734" s="812"/>
    </row>
    <row r="43735" spans="7:7">
      <c r="G43735" s="812"/>
    </row>
    <row r="43736" spans="7:7">
      <c r="G43736" s="812"/>
    </row>
    <row r="43737" spans="7:7">
      <c r="G43737" s="812"/>
    </row>
    <row r="43738" spans="7:7">
      <c r="G43738" s="812"/>
    </row>
    <row r="43739" spans="7:7">
      <c r="G43739" s="812"/>
    </row>
    <row r="43740" spans="7:7">
      <c r="G43740" s="812"/>
    </row>
    <row r="43741" spans="7:7">
      <c r="G43741" s="812"/>
    </row>
    <row r="43742" spans="7:7">
      <c r="G43742" s="812"/>
    </row>
    <row r="43743" spans="7:7">
      <c r="G43743" s="812"/>
    </row>
    <row r="43744" spans="7:7">
      <c r="G43744" s="812"/>
    </row>
    <row r="43745" spans="7:7">
      <c r="G43745" s="812"/>
    </row>
    <row r="43746" spans="7:7">
      <c r="G43746" s="812"/>
    </row>
    <row r="43747" spans="7:7">
      <c r="G43747" s="812"/>
    </row>
    <row r="43748" spans="7:7">
      <c r="G43748" s="812"/>
    </row>
    <row r="43749" spans="7:7">
      <c r="G43749" s="812"/>
    </row>
    <row r="43750" spans="7:7">
      <c r="G43750" s="812"/>
    </row>
    <row r="43751" spans="7:7">
      <c r="G43751" s="812"/>
    </row>
    <row r="43752" spans="7:7">
      <c r="G43752" s="812"/>
    </row>
    <row r="43753" spans="7:7">
      <c r="G43753" s="812"/>
    </row>
    <row r="43754" spans="7:7">
      <c r="G43754" s="812"/>
    </row>
    <row r="43755" spans="7:7">
      <c r="G43755" s="812"/>
    </row>
    <row r="43756" spans="7:7">
      <c r="G43756" s="812"/>
    </row>
    <row r="43757" spans="7:7">
      <c r="G43757" s="812"/>
    </row>
    <row r="43758" spans="7:7">
      <c r="G43758" s="812"/>
    </row>
    <row r="43759" spans="7:7">
      <c r="G43759" s="812"/>
    </row>
    <row r="43760" spans="7:7">
      <c r="G43760" s="812"/>
    </row>
    <row r="43761" spans="7:7">
      <c r="G43761" s="812"/>
    </row>
    <row r="43762" spans="7:7">
      <c r="G43762" s="812"/>
    </row>
    <row r="43763" spans="7:7">
      <c r="G43763" s="812"/>
    </row>
    <row r="43764" spans="7:7">
      <c r="G43764" s="812"/>
    </row>
    <row r="43765" spans="7:7">
      <c r="G43765" s="812"/>
    </row>
    <row r="43766" spans="7:7">
      <c r="G43766" s="812"/>
    </row>
    <row r="43767" spans="7:7">
      <c r="G43767" s="812"/>
    </row>
    <row r="43768" spans="7:7">
      <c r="G43768" s="812"/>
    </row>
    <row r="43769" spans="7:7">
      <c r="G43769" s="812"/>
    </row>
    <row r="43770" spans="7:7">
      <c r="G43770" s="812"/>
    </row>
    <row r="43771" spans="7:7">
      <c r="G43771" s="812"/>
    </row>
    <row r="43772" spans="7:7">
      <c r="G43772" s="812"/>
    </row>
    <row r="43773" spans="7:7">
      <c r="G43773" s="812"/>
    </row>
    <row r="43774" spans="7:7">
      <c r="G43774" s="812"/>
    </row>
    <row r="43775" spans="7:7">
      <c r="G43775" s="812"/>
    </row>
    <row r="43776" spans="7:7">
      <c r="G43776" s="812"/>
    </row>
    <row r="43777" spans="7:7">
      <c r="G43777" s="812"/>
    </row>
    <row r="43778" spans="7:7">
      <c r="G43778" s="812"/>
    </row>
    <row r="43779" spans="7:7">
      <c r="G43779" s="812"/>
    </row>
    <row r="43780" spans="7:7">
      <c r="G43780" s="812"/>
    </row>
    <row r="43781" spans="7:7">
      <c r="G43781" s="812"/>
    </row>
    <row r="43782" spans="7:7">
      <c r="G43782" s="812"/>
    </row>
    <row r="43783" spans="7:7">
      <c r="G43783" s="812"/>
    </row>
    <row r="43784" spans="7:7">
      <c r="G43784" s="812"/>
    </row>
    <row r="43785" spans="7:7">
      <c r="G43785" s="812"/>
    </row>
    <row r="43786" spans="7:7">
      <c r="G43786" s="812"/>
    </row>
    <row r="43787" spans="7:7">
      <c r="G43787" s="812"/>
    </row>
    <row r="43788" spans="7:7">
      <c r="G43788" s="812"/>
    </row>
    <row r="43789" spans="7:7">
      <c r="G43789" s="812"/>
    </row>
    <row r="43790" spans="7:7">
      <c r="G43790" s="812"/>
    </row>
    <row r="43791" spans="7:7">
      <c r="G43791" s="812"/>
    </row>
    <row r="43792" spans="7:7">
      <c r="G43792" s="812"/>
    </row>
    <row r="43793" spans="7:7">
      <c r="G43793" s="812"/>
    </row>
    <row r="43794" spans="7:7">
      <c r="G43794" s="812"/>
    </row>
    <row r="43795" spans="7:7">
      <c r="G43795" s="812"/>
    </row>
    <row r="43796" spans="7:7">
      <c r="G43796" s="812"/>
    </row>
    <row r="43797" spans="7:7">
      <c r="G43797" s="812"/>
    </row>
    <row r="43798" spans="7:7">
      <c r="G43798" s="812"/>
    </row>
    <row r="43799" spans="7:7">
      <c r="G43799" s="812"/>
    </row>
    <row r="43800" spans="7:7">
      <c r="G43800" s="812"/>
    </row>
    <row r="43801" spans="7:7">
      <c r="G43801" s="812"/>
    </row>
    <row r="43802" spans="7:7">
      <c r="G43802" s="812"/>
    </row>
    <row r="43803" spans="7:7">
      <c r="G43803" s="812"/>
    </row>
    <row r="43804" spans="7:7">
      <c r="G43804" s="812"/>
    </row>
    <row r="43805" spans="7:7">
      <c r="G43805" s="812"/>
    </row>
    <row r="43806" spans="7:7">
      <c r="G43806" s="812"/>
    </row>
    <row r="43807" spans="7:7">
      <c r="G43807" s="812"/>
    </row>
    <row r="43808" spans="7:7">
      <c r="G43808" s="812"/>
    </row>
    <row r="43809" spans="7:7">
      <c r="G43809" s="812"/>
    </row>
    <row r="43810" spans="7:7">
      <c r="G43810" s="812"/>
    </row>
    <row r="43811" spans="7:7">
      <c r="G43811" s="812"/>
    </row>
    <row r="43812" spans="7:7">
      <c r="G43812" s="812"/>
    </row>
    <row r="43813" spans="7:7">
      <c r="G43813" s="812"/>
    </row>
    <row r="43814" spans="7:7">
      <c r="G43814" s="812"/>
    </row>
    <row r="43815" spans="7:7">
      <c r="G43815" s="812"/>
    </row>
    <row r="43816" spans="7:7">
      <c r="G43816" s="812"/>
    </row>
    <row r="43817" spans="7:7">
      <c r="G43817" s="812"/>
    </row>
    <row r="43818" spans="7:7">
      <c r="G43818" s="812"/>
    </row>
    <row r="43819" spans="7:7">
      <c r="G43819" s="812"/>
    </row>
    <row r="43820" spans="7:7">
      <c r="G43820" s="812"/>
    </row>
    <row r="43821" spans="7:7">
      <c r="G43821" s="812"/>
    </row>
    <row r="43822" spans="7:7">
      <c r="G43822" s="812"/>
    </row>
    <row r="43823" spans="7:7">
      <c r="G43823" s="812"/>
    </row>
    <row r="43824" spans="7:7">
      <c r="G43824" s="812"/>
    </row>
    <row r="43825" spans="7:7">
      <c r="G43825" s="812"/>
    </row>
    <row r="43826" spans="7:7">
      <c r="G43826" s="812"/>
    </row>
    <row r="43827" spans="7:7">
      <c r="G43827" s="812"/>
    </row>
    <row r="43828" spans="7:7">
      <c r="G43828" s="812"/>
    </row>
    <row r="43829" spans="7:7">
      <c r="G43829" s="812"/>
    </row>
    <row r="43830" spans="7:7">
      <c r="G43830" s="812"/>
    </row>
    <row r="43831" spans="7:7">
      <c r="G43831" s="812"/>
    </row>
    <row r="43832" spans="7:7">
      <c r="G43832" s="812"/>
    </row>
    <row r="43833" spans="7:7">
      <c r="G43833" s="812"/>
    </row>
    <row r="43834" spans="7:7">
      <c r="G43834" s="812"/>
    </row>
    <row r="43835" spans="7:7">
      <c r="G43835" s="812"/>
    </row>
    <row r="43836" spans="7:7">
      <c r="G43836" s="812"/>
    </row>
    <row r="43837" spans="7:7">
      <c r="G43837" s="812"/>
    </row>
    <row r="43838" spans="7:7">
      <c r="G43838" s="812"/>
    </row>
    <row r="43839" spans="7:7">
      <c r="G43839" s="812"/>
    </row>
    <row r="43840" spans="7:7">
      <c r="G43840" s="812"/>
    </row>
    <row r="43841" spans="7:7">
      <c r="G43841" s="812"/>
    </row>
    <row r="43842" spans="7:7">
      <c r="G43842" s="812"/>
    </row>
    <row r="43843" spans="7:7">
      <c r="G43843" s="812"/>
    </row>
    <row r="43844" spans="7:7">
      <c r="G43844" s="812"/>
    </row>
    <row r="43845" spans="7:7">
      <c r="G43845" s="812"/>
    </row>
    <row r="43846" spans="7:7">
      <c r="G43846" s="812"/>
    </row>
    <row r="43847" spans="7:7">
      <c r="G43847" s="812"/>
    </row>
    <row r="43848" spans="7:7">
      <c r="G43848" s="812"/>
    </row>
    <row r="43849" spans="7:7">
      <c r="G43849" s="812"/>
    </row>
    <row r="43850" spans="7:7">
      <c r="G43850" s="812"/>
    </row>
    <row r="43851" spans="7:7">
      <c r="G43851" s="812"/>
    </row>
    <row r="43852" spans="7:7">
      <c r="G43852" s="812"/>
    </row>
    <row r="43853" spans="7:7">
      <c r="G43853" s="812"/>
    </row>
    <row r="43854" spans="7:7">
      <c r="G43854" s="812"/>
    </row>
    <row r="43855" spans="7:7">
      <c r="G43855" s="812"/>
    </row>
    <row r="43856" spans="7:7">
      <c r="G43856" s="812"/>
    </row>
    <row r="43857" spans="7:7">
      <c r="G43857" s="812"/>
    </row>
    <row r="43858" spans="7:7">
      <c r="G43858" s="812"/>
    </row>
    <row r="43859" spans="7:7">
      <c r="G43859" s="812"/>
    </row>
    <row r="43860" spans="7:7">
      <c r="G43860" s="812"/>
    </row>
    <row r="43861" spans="7:7">
      <c r="G43861" s="812"/>
    </row>
    <row r="43862" spans="7:7">
      <c r="G43862" s="812"/>
    </row>
    <row r="43863" spans="7:7">
      <c r="G43863" s="812"/>
    </row>
    <row r="43864" spans="7:7">
      <c r="G43864" s="812"/>
    </row>
    <row r="43865" spans="7:7">
      <c r="G43865" s="812"/>
    </row>
    <row r="43866" spans="7:7">
      <c r="G43866" s="812"/>
    </row>
    <row r="43867" spans="7:7">
      <c r="G43867" s="812"/>
    </row>
    <row r="43868" spans="7:7">
      <c r="G43868" s="812"/>
    </row>
    <row r="43869" spans="7:7">
      <c r="G43869" s="812"/>
    </row>
    <row r="43870" spans="7:7">
      <c r="G43870" s="812"/>
    </row>
    <row r="43871" spans="7:7">
      <c r="G43871" s="812"/>
    </row>
    <row r="43872" spans="7:7">
      <c r="G43872" s="812"/>
    </row>
    <row r="43873" spans="7:7">
      <c r="G43873" s="812"/>
    </row>
    <row r="43874" spans="7:7">
      <c r="G43874" s="812"/>
    </row>
    <row r="43875" spans="7:7">
      <c r="G43875" s="812"/>
    </row>
    <row r="43876" spans="7:7">
      <c r="G43876" s="812"/>
    </row>
    <row r="43877" spans="7:7">
      <c r="G43877" s="812"/>
    </row>
    <row r="43878" spans="7:7">
      <c r="G43878" s="812"/>
    </row>
    <row r="43879" spans="7:7">
      <c r="G43879" s="812"/>
    </row>
    <row r="43880" spans="7:7">
      <c r="G43880" s="812"/>
    </row>
    <row r="43881" spans="7:7">
      <c r="G43881" s="812"/>
    </row>
    <row r="43882" spans="7:7">
      <c r="G43882" s="812"/>
    </row>
    <row r="43883" spans="7:7">
      <c r="G43883" s="812"/>
    </row>
    <row r="43884" spans="7:7">
      <c r="G43884" s="812"/>
    </row>
    <row r="43885" spans="7:7">
      <c r="G43885" s="812"/>
    </row>
    <row r="43886" spans="7:7">
      <c r="G43886" s="812"/>
    </row>
    <row r="43887" spans="7:7">
      <c r="G43887" s="812"/>
    </row>
    <row r="43888" spans="7:7">
      <c r="G43888" s="812"/>
    </row>
    <row r="43889" spans="7:7">
      <c r="G43889" s="812"/>
    </row>
    <row r="43890" spans="7:7">
      <c r="G43890" s="812"/>
    </row>
    <row r="43891" spans="7:7">
      <c r="G43891" s="812"/>
    </row>
    <row r="43892" spans="7:7">
      <c r="G43892" s="812"/>
    </row>
    <row r="43893" spans="7:7">
      <c r="G43893" s="812"/>
    </row>
    <row r="43894" spans="7:7">
      <c r="G43894" s="812"/>
    </row>
    <row r="43895" spans="7:7">
      <c r="G43895" s="812"/>
    </row>
    <row r="43896" spans="7:7">
      <c r="G43896" s="812"/>
    </row>
    <row r="43897" spans="7:7">
      <c r="G43897" s="812"/>
    </row>
    <row r="43898" spans="7:7">
      <c r="G43898" s="812"/>
    </row>
    <row r="43899" spans="7:7">
      <c r="G43899" s="812"/>
    </row>
    <row r="43900" spans="7:7">
      <c r="G43900" s="812"/>
    </row>
    <row r="43901" spans="7:7">
      <c r="G43901" s="812"/>
    </row>
    <row r="43902" spans="7:7">
      <c r="G43902" s="812"/>
    </row>
    <row r="43903" spans="7:7">
      <c r="G43903" s="812"/>
    </row>
    <row r="43904" spans="7:7">
      <c r="G43904" s="812"/>
    </row>
    <row r="43905" spans="7:7">
      <c r="G43905" s="812"/>
    </row>
    <row r="43906" spans="7:7">
      <c r="G43906" s="812"/>
    </row>
    <row r="43907" spans="7:7">
      <c r="G43907" s="812"/>
    </row>
    <row r="43908" spans="7:7">
      <c r="G43908" s="812"/>
    </row>
    <row r="43909" spans="7:7">
      <c r="G43909" s="812"/>
    </row>
    <row r="43910" spans="7:7">
      <c r="G43910" s="812"/>
    </row>
    <row r="43911" spans="7:7">
      <c r="G43911" s="812"/>
    </row>
    <row r="43912" spans="7:7">
      <c r="G43912" s="812"/>
    </row>
    <row r="43913" spans="7:7">
      <c r="G43913" s="812"/>
    </row>
    <row r="43914" spans="7:7">
      <c r="G43914" s="812"/>
    </row>
    <row r="43915" spans="7:7">
      <c r="G43915" s="812"/>
    </row>
    <row r="43916" spans="7:7">
      <c r="G43916" s="812"/>
    </row>
    <row r="43917" spans="7:7">
      <c r="G43917" s="812"/>
    </row>
    <row r="43918" spans="7:7">
      <c r="G43918" s="812"/>
    </row>
    <row r="43919" spans="7:7">
      <c r="G43919" s="812"/>
    </row>
    <row r="43920" spans="7:7">
      <c r="G43920" s="812"/>
    </row>
    <row r="43921" spans="7:7">
      <c r="G43921" s="812"/>
    </row>
    <row r="43922" spans="7:7">
      <c r="G43922" s="812"/>
    </row>
    <row r="43923" spans="7:7">
      <c r="G43923" s="812"/>
    </row>
    <row r="43924" spans="7:7">
      <c r="G43924" s="812"/>
    </row>
    <row r="43925" spans="7:7">
      <c r="G43925" s="812"/>
    </row>
    <row r="43926" spans="7:7">
      <c r="G43926" s="812"/>
    </row>
    <row r="43927" spans="7:7">
      <c r="G43927" s="812"/>
    </row>
    <row r="43928" spans="7:7">
      <c r="G43928" s="812"/>
    </row>
    <row r="43929" spans="7:7">
      <c r="G43929" s="812"/>
    </row>
    <row r="43930" spans="7:7">
      <c r="G43930" s="812"/>
    </row>
    <row r="43931" spans="7:7">
      <c r="G43931" s="812"/>
    </row>
    <row r="43932" spans="7:7">
      <c r="G43932" s="812"/>
    </row>
    <row r="43933" spans="7:7">
      <c r="G43933" s="812"/>
    </row>
    <row r="43934" spans="7:7">
      <c r="G43934" s="812"/>
    </row>
    <row r="43935" spans="7:7">
      <c r="G43935" s="812"/>
    </row>
    <row r="43936" spans="7:7">
      <c r="G43936" s="812"/>
    </row>
    <row r="43937" spans="7:7">
      <c r="G43937" s="812"/>
    </row>
    <row r="43938" spans="7:7">
      <c r="G43938" s="812"/>
    </row>
    <row r="43939" spans="7:7">
      <c r="G43939" s="812"/>
    </row>
    <row r="43940" spans="7:7">
      <c r="G43940" s="812"/>
    </row>
    <row r="43941" spans="7:7">
      <c r="G43941" s="812"/>
    </row>
    <row r="43942" spans="7:7">
      <c r="G43942" s="812"/>
    </row>
    <row r="43943" spans="7:7">
      <c r="G43943" s="812"/>
    </row>
    <row r="43944" spans="7:7">
      <c r="G43944" s="812"/>
    </row>
    <row r="43945" spans="7:7">
      <c r="G43945" s="812"/>
    </row>
    <row r="43946" spans="7:7">
      <c r="G43946" s="812"/>
    </row>
    <row r="43947" spans="7:7">
      <c r="G43947" s="812"/>
    </row>
    <row r="43948" spans="7:7">
      <c r="G43948" s="812"/>
    </row>
    <row r="43949" spans="7:7">
      <c r="G43949" s="812"/>
    </row>
    <row r="43950" spans="7:7">
      <c r="G43950" s="812"/>
    </row>
    <row r="43951" spans="7:7">
      <c r="G43951" s="812"/>
    </row>
    <row r="43952" spans="7:7">
      <c r="G43952" s="812"/>
    </row>
    <row r="43953" spans="7:7">
      <c r="G43953" s="812"/>
    </row>
    <row r="43954" spans="7:7">
      <c r="G43954" s="812"/>
    </row>
    <row r="43955" spans="7:7">
      <c r="G43955" s="812"/>
    </row>
    <row r="43956" spans="7:7">
      <c r="G43956" s="812"/>
    </row>
    <row r="43957" spans="7:7">
      <c r="G43957" s="812"/>
    </row>
    <row r="43958" spans="7:7">
      <c r="G43958" s="812"/>
    </row>
    <row r="43959" spans="7:7">
      <c r="G43959" s="812"/>
    </row>
    <row r="43960" spans="7:7">
      <c r="G43960" s="812"/>
    </row>
    <row r="43961" spans="7:7">
      <c r="G43961" s="812"/>
    </row>
    <row r="43962" spans="7:7">
      <c r="G43962" s="812"/>
    </row>
    <row r="43963" spans="7:7">
      <c r="G43963" s="812"/>
    </row>
    <row r="43964" spans="7:7">
      <c r="G43964" s="812"/>
    </row>
    <row r="43965" spans="7:7">
      <c r="G43965" s="812"/>
    </row>
    <row r="43966" spans="7:7">
      <c r="G43966" s="812"/>
    </row>
    <row r="43967" spans="7:7">
      <c r="G43967" s="812"/>
    </row>
    <row r="43968" spans="7:7">
      <c r="G43968" s="812"/>
    </row>
    <row r="43969" spans="7:7">
      <c r="G43969" s="812"/>
    </row>
    <row r="43970" spans="7:7">
      <c r="G43970" s="812"/>
    </row>
    <row r="43971" spans="7:7">
      <c r="G43971" s="812"/>
    </row>
    <row r="43972" spans="7:7">
      <c r="G43972" s="812"/>
    </row>
    <row r="43973" spans="7:7">
      <c r="G43973" s="812"/>
    </row>
    <row r="43974" spans="7:7">
      <c r="G43974" s="812"/>
    </row>
    <row r="43975" spans="7:7">
      <c r="G43975" s="812"/>
    </row>
    <row r="43976" spans="7:7">
      <c r="G43976" s="812"/>
    </row>
    <row r="43977" spans="7:7">
      <c r="G43977" s="812"/>
    </row>
    <row r="43978" spans="7:7">
      <c r="G43978" s="812"/>
    </row>
    <row r="43979" spans="7:7">
      <c r="G43979" s="812"/>
    </row>
    <row r="43980" spans="7:7">
      <c r="G43980" s="812"/>
    </row>
    <row r="43981" spans="7:7">
      <c r="G43981" s="812"/>
    </row>
    <row r="43982" spans="7:7">
      <c r="G43982" s="812"/>
    </row>
    <row r="43983" spans="7:7">
      <c r="G43983" s="812"/>
    </row>
    <row r="43984" spans="7:7">
      <c r="G43984" s="812"/>
    </row>
    <row r="43985" spans="7:7">
      <c r="G43985" s="812"/>
    </row>
    <row r="43986" spans="7:7">
      <c r="G43986" s="812"/>
    </row>
    <row r="43987" spans="7:7">
      <c r="G43987" s="812"/>
    </row>
    <row r="43988" spans="7:7">
      <c r="G43988" s="812"/>
    </row>
    <row r="43989" spans="7:7">
      <c r="G43989" s="812"/>
    </row>
    <row r="43990" spans="7:7">
      <c r="G43990" s="812"/>
    </row>
    <row r="43991" spans="7:7">
      <c r="G43991" s="812"/>
    </row>
    <row r="43992" spans="7:7">
      <c r="G43992" s="812"/>
    </row>
    <row r="43993" spans="7:7">
      <c r="G43993" s="812"/>
    </row>
    <row r="43994" spans="7:7">
      <c r="G43994" s="812"/>
    </row>
    <row r="43995" spans="7:7">
      <c r="G43995" s="812"/>
    </row>
    <row r="43996" spans="7:7">
      <c r="G43996" s="812"/>
    </row>
    <row r="43997" spans="7:7">
      <c r="G43997" s="812"/>
    </row>
    <row r="43998" spans="7:7">
      <c r="G43998" s="812"/>
    </row>
    <row r="43999" spans="7:7">
      <c r="G43999" s="812"/>
    </row>
    <row r="44000" spans="7:7">
      <c r="G44000" s="812"/>
    </row>
    <row r="44001" spans="7:7">
      <c r="G44001" s="812"/>
    </row>
    <row r="44002" spans="7:7">
      <c r="G44002" s="812"/>
    </row>
    <row r="44003" spans="7:7">
      <c r="G44003" s="812"/>
    </row>
    <row r="44004" spans="7:7">
      <c r="G44004" s="812"/>
    </row>
    <row r="44005" spans="7:7">
      <c r="G44005" s="812"/>
    </row>
    <row r="44006" spans="7:7">
      <c r="G44006" s="812"/>
    </row>
    <row r="44007" spans="7:7">
      <c r="G44007" s="812"/>
    </row>
    <row r="44008" spans="7:7">
      <c r="G44008" s="812"/>
    </row>
    <row r="44009" spans="7:7">
      <c r="G44009" s="812"/>
    </row>
    <row r="44010" spans="7:7">
      <c r="G44010" s="812"/>
    </row>
    <row r="44011" spans="7:7">
      <c r="G44011" s="812"/>
    </row>
    <row r="44012" spans="7:7">
      <c r="G44012" s="812"/>
    </row>
    <row r="44013" spans="7:7">
      <c r="G44013" s="812"/>
    </row>
    <row r="44014" spans="7:7">
      <c r="G44014" s="812"/>
    </row>
    <row r="44015" spans="7:7">
      <c r="G44015" s="812"/>
    </row>
    <row r="44016" spans="7:7">
      <c r="G44016" s="812"/>
    </row>
    <row r="44017" spans="7:7">
      <c r="G44017" s="812"/>
    </row>
    <row r="44018" spans="7:7">
      <c r="G44018" s="812"/>
    </row>
    <row r="44019" spans="7:7">
      <c r="G44019" s="812"/>
    </row>
    <row r="44020" spans="7:7">
      <c r="G44020" s="812"/>
    </row>
    <row r="44021" spans="7:7">
      <c r="G44021" s="812"/>
    </row>
    <row r="44022" spans="7:7">
      <c r="G44022" s="812"/>
    </row>
    <row r="44023" spans="7:7">
      <c r="G44023" s="812"/>
    </row>
    <row r="44024" spans="7:7">
      <c r="G44024" s="812"/>
    </row>
    <row r="44025" spans="7:7">
      <c r="G44025" s="812"/>
    </row>
    <row r="44026" spans="7:7">
      <c r="G44026" s="812"/>
    </row>
    <row r="44027" spans="7:7">
      <c r="G44027" s="812"/>
    </row>
    <row r="44028" spans="7:7">
      <c r="G44028" s="812"/>
    </row>
    <row r="44029" spans="7:7">
      <c r="G44029" s="812"/>
    </row>
    <row r="44030" spans="7:7">
      <c r="G44030" s="812"/>
    </row>
    <row r="44031" spans="7:7">
      <c r="G44031" s="812"/>
    </row>
    <row r="44032" spans="7:7">
      <c r="G44032" s="812"/>
    </row>
    <row r="44033" spans="7:7">
      <c r="G44033" s="812"/>
    </row>
    <row r="44034" spans="7:7">
      <c r="G44034" s="812"/>
    </row>
    <row r="44035" spans="7:7">
      <c r="G44035" s="812"/>
    </row>
    <row r="44036" spans="7:7">
      <c r="G44036" s="812"/>
    </row>
    <row r="44037" spans="7:7">
      <c r="G44037" s="812"/>
    </row>
    <row r="44038" spans="7:7">
      <c r="G44038" s="812"/>
    </row>
    <row r="44039" spans="7:7">
      <c r="G44039" s="812"/>
    </row>
    <row r="44040" spans="7:7">
      <c r="G44040" s="812"/>
    </row>
    <row r="44041" spans="7:7">
      <c r="G44041" s="812"/>
    </row>
    <row r="44042" spans="7:7">
      <c r="G44042" s="812"/>
    </row>
    <row r="44043" spans="7:7">
      <c r="G44043" s="812"/>
    </row>
    <row r="44044" spans="7:7">
      <c r="G44044" s="812"/>
    </row>
    <row r="44045" spans="7:7">
      <c r="G44045" s="812"/>
    </row>
    <row r="44046" spans="7:7">
      <c r="G44046" s="812"/>
    </row>
    <row r="44047" spans="7:7">
      <c r="G44047" s="812"/>
    </row>
    <row r="44048" spans="7:7">
      <c r="G44048" s="812"/>
    </row>
    <row r="44049" spans="7:7">
      <c r="G44049" s="812"/>
    </row>
    <row r="44050" spans="7:7">
      <c r="G44050" s="812"/>
    </row>
    <row r="44051" spans="7:7">
      <c r="G44051" s="812"/>
    </row>
    <row r="44052" spans="7:7">
      <c r="G44052" s="812"/>
    </row>
    <row r="44053" spans="7:7">
      <c r="G44053" s="812"/>
    </row>
    <row r="44054" spans="7:7">
      <c r="G44054" s="812"/>
    </row>
    <row r="44055" spans="7:7">
      <c r="G44055" s="812"/>
    </row>
    <row r="44056" spans="7:7">
      <c r="G44056" s="812"/>
    </row>
    <row r="44057" spans="7:7">
      <c r="G44057" s="812"/>
    </row>
    <row r="44058" spans="7:7">
      <c r="G44058" s="812"/>
    </row>
    <row r="44059" spans="7:7">
      <c r="G44059" s="812"/>
    </row>
    <row r="44060" spans="7:7">
      <c r="G44060" s="812"/>
    </row>
    <row r="44061" spans="7:7">
      <c r="G44061" s="812"/>
    </row>
    <row r="44062" spans="7:7">
      <c r="G44062" s="812"/>
    </row>
    <row r="44063" spans="7:7">
      <c r="G44063" s="812"/>
    </row>
    <row r="44064" spans="7:7">
      <c r="G44064" s="812"/>
    </row>
    <row r="44065" spans="7:7">
      <c r="G44065" s="812"/>
    </row>
    <row r="44066" spans="7:7">
      <c r="G44066" s="812"/>
    </row>
    <row r="44067" spans="7:7">
      <c r="G44067" s="812"/>
    </row>
    <row r="44068" spans="7:7">
      <c r="G44068" s="812"/>
    </row>
    <row r="44069" spans="7:7">
      <c r="G44069" s="812"/>
    </row>
    <row r="44070" spans="7:7">
      <c r="G44070" s="812"/>
    </row>
    <row r="44071" spans="7:7">
      <c r="G44071" s="812"/>
    </row>
    <row r="44072" spans="7:7">
      <c r="G44072" s="812"/>
    </row>
    <row r="44073" spans="7:7">
      <c r="G44073" s="812"/>
    </row>
    <row r="44074" spans="7:7">
      <c r="G44074" s="812"/>
    </row>
    <row r="44075" spans="7:7">
      <c r="G44075" s="812"/>
    </row>
    <row r="44076" spans="7:7">
      <c r="G44076" s="812"/>
    </row>
    <row r="44077" spans="7:7">
      <c r="G44077" s="812"/>
    </row>
    <row r="44078" spans="7:7">
      <c r="G44078" s="812"/>
    </row>
    <row r="44079" spans="7:7">
      <c r="G44079" s="812"/>
    </row>
    <row r="44080" spans="7:7">
      <c r="G44080" s="812"/>
    </row>
    <row r="44081" spans="7:7">
      <c r="G44081" s="812"/>
    </row>
    <row r="44082" spans="7:7">
      <c r="G44082" s="812"/>
    </row>
    <row r="44083" spans="7:7">
      <c r="G44083" s="812"/>
    </row>
    <row r="44084" spans="7:7">
      <c r="G44084" s="812"/>
    </row>
    <row r="44085" spans="7:7">
      <c r="G44085" s="812"/>
    </row>
    <row r="44086" spans="7:7">
      <c r="G44086" s="812"/>
    </row>
    <row r="44087" spans="7:7">
      <c r="G44087" s="812"/>
    </row>
    <row r="44088" spans="7:7">
      <c r="G44088" s="812"/>
    </row>
    <row r="44089" spans="7:7">
      <c r="G44089" s="812"/>
    </row>
    <row r="44090" spans="7:7">
      <c r="G44090" s="812"/>
    </row>
    <row r="44091" spans="7:7">
      <c r="G44091" s="812"/>
    </row>
    <row r="44092" spans="7:7">
      <c r="G44092" s="812"/>
    </row>
    <row r="44093" spans="7:7">
      <c r="G44093" s="812"/>
    </row>
    <row r="44094" spans="7:7">
      <c r="G44094" s="812"/>
    </row>
    <row r="44095" spans="7:7">
      <c r="G44095" s="812"/>
    </row>
    <row r="44096" spans="7:7">
      <c r="G44096" s="812"/>
    </row>
    <row r="44097" spans="7:7">
      <c r="G44097" s="812"/>
    </row>
    <row r="44098" spans="7:7">
      <c r="G44098" s="812"/>
    </row>
    <row r="44099" spans="7:7">
      <c r="G44099" s="812"/>
    </row>
    <row r="44100" spans="7:7">
      <c r="G44100" s="812"/>
    </row>
    <row r="44101" spans="7:7">
      <c r="G44101" s="812"/>
    </row>
    <row r="44102" spans="7:7">
      <c r="G44102" s="812"/>
    </row>
    <row r="44103" spans="7:7">
      <c r="G44103" s="812"/>
    </row>
    <row r="44104" spans="7:7">
      <c r="G44104" s="812"/>
    </row>
    <row r="44105" spans="7:7">
      <c r="G44105" s="812"/>
    </row>
    <row r="44106" spans="7:7">
      <c r="G44106" s="812"/>
    </row>
    <row r="44107" spans="7:7">
      <c r="G44107" s="812"/>
    </row>
    <row r="44108" spans="7:7">
      <c r="G44108" s="812"/>
    </row>
    <row r="44109" spans="7:7">
      <c r="G44109" s="812"/>
    </row>
    <row r="44110" spans="7:7">
      <c r="G44110" s="812"/>
    </row>
    <row r="44111" spans="7:7">
      <c r="G44111" s="812"/>
    </row>
    <row r="44112" spans="7:7">
      <c r="G44112" s="812"/>
    </row>
    <row r="44113" spans="7:7">
      <c r="G44113" s="812"/>
    </row>
    <row r="44114" spans="7:7">
      <c r="G44114" s="812"/>
    </row>
    <row r="44115" spans="7:7">
      <c r="G44115" s="812"/>
    </row>
    <row r="44116" spans="7:7">
      <c r="G44116" s="812"/>
    </row>
    <row r="44117" spans="7:7">
      <c r="G44117" s="812"/>
    </row>
    <row r="44118" spans="7:7">
      <c r="G44118" s="812"/>
    </row>
    <row r="44119" spans="7:7">
      <c r="G44119" s="812"/>
    </row>
    <row r="44120" spans="7:7">
      <c r="G44120" s="812"/>
    </row>
    <row r="44121" spans="7:7">
      <c r="G44121" s="812"/>
    </row>
    <row r="44122" spans="7:7">
      <c r="G44122" s="812"/>
    </row>
    <row r="44123" spans="7:7">
      <c r="G44123" s="812"/>
    </row>
    <row r="44124" spans="7:7">
      <c r="G44124" s="812"/>
    </row>
    <row r="44125" spans="7:7">
      <c r="G44125" s="812"/>
    </row>
    <row r="44126" spans="7:7">
      <c r="G44126" s="812"/>
    </row>
    <row r="44127" spans="7:7">
      <c r="G44127" s="812"/>
    </row>
    <row r="44128" spans="7:7">
      <c r="G44128" s="812"/>
    </row>
    <row r="44129" spans="7:7">
      <c r="G44129" s="812"/>
    </row>
    <row r="44130" spans="7:7">
      <c r="G44130" s="812"/>
    </row>
    <row r="44131" spans="7:7">
      <c r="G44131" s="812"/>
    </row>
    <row r="44132" spans="7:7">
      <c r="G44132" s="812"/>
    </row>
    <row r="44133" spans="7:7">
      <c r="G44133" s="812"/>
    </row>
    <row r="44134" spans="7:7">
      <c r="G44134" s="812"/>
    </row>
    <row r="44135" spans="7:7">
      <c r="G44135" s="812"/>
    </row>
    <row r="44136" spans="7:7">
      <c r="G44136" s="812"/>
    </row>
    <row r="44137" spans="7:7">
      <c r="G44137" s="812"/>
    </row>
    <row r="44138" spans="7:7">
      <c r="G44138" s="812"/>
    </row>
    <row r="44139" spans="7:7">
      <c r="G44139" s="812"/>
    </row>
    <row r="44140" spans="7:7">
      <c r="G44140" s="812"/>
    </row>
    <row r="44141" spans="7:7">
      <c r="G44141" s="812"/>
    </row>
    <row r="44142" spans="7:7">
      <c r="G44142" s="812"/>
    </row>
    <row r="44143" spans="7:7">
      <c r="G44143" s="812"/>
    </row>
    <row r="44144" spans="7:7">
      <c r="G44144" s="812"/>
    </row>
    <row r="44145" spans="7:7">
      <c r="G44145" s="812"/>
    </row>
    <row r="44146" spans="7:7">
      <c r="G44146" s="812"/>
    </row>
    <row r="44147" spans="7:7">
      <c r="G44147" s="812"/>
    </row>
    <row r="44148" spans="7:7">
      <c r="G44148" s="812"/>
    </row>
    <row r="44149" spans="7:7">
      <c r="G44149" s="812"/>
    </row>
    <row r="44150" spans="7:7">
      <c r="G44150" s="812"/>
    </row>
    <row r="44151" spans="7:7">
      <c r="G44151" s="812"/>
    </row>
    <row r="44152" spans="7:7">
      <c r="G44152" s="812"/>
    </row>
    <row r="44153" spans="7:7">
      <c r="G44153" s="812"/>
    </row>
    <row r="44154" spans="7:7">
      <c r="G44154" s="812"/>
    </row>
    <row r="44155" spans="7:7">
      <c r="G44155" s="812"/>
    </row>
    <row r="44156" spans="7:7">
      <c r="G44156" s="812"/>
    </row>
    <row r="44157" spans="7:7">
      <c r="G44157" s="812"/>
    </row>
    <row r="44158" spans="7:7">
      <c r="G44158" s="812"/>
    </row>
    <row r="44159" spans="7:7">
      <c r="G44159" s="812"/>
    </row>
    <row r="44160" spans="7:7">
      <c r="G44160" s="812"/>
    </row>
    <row r="44161" spans="7:7">
      <c r="G44161" s="812"/>
    </row>
    <row r="44162" spans="7:7">
      <c r="G44162" s="812"/>
    </row>
    <row r="44163" spans="7:7">
      <c r="G44163" s="812"/>
    </row>
    <row r="44164" spans="7:7">
      <c r="G44164" s="812"/>
    </row>
    <row r="44165" spans="7:7">
      <c r="G44165" s="812"/>
    </row>
    <row r="44166" spans="7:7">
      <c r="G44166" s="812"/>
    </row>
    <row r="44167" spans="7:7">
      <c r="G44167" s="812"/>
    </row>
    <row r="44168" spans="7:7">
      <c r="G44168" s="812"/>
    </row>
    <row r="44169" spans="7:7">
      <c r="G44169" s="812"/>
    </row>
    <row r="44170" spans="7:7">
      <c r="G44170" s="812"/>
    </row>
    <row r="44171" spans="7:7">
      <c r="G44171" s="812"/>
    </row>
    <row r="44172" spans="7:7">
      <c r="G44172" s="812"/>
    </row>
    <row r="44173" spans="7:7">
      <c r="G44173" s="812"/>
    </row>
    <row r="44174" spans="7:7">
      <c r="G44174" s="812"/>
    </row>
    <row r="44175" spans="7:7">
      <c r="G44175" s="812"/>
    </row>
    <row r="44176" spans="7:7">
      <c r="G44176" s="812"/>
    </row>
    <row r="44177" spans="7:7">
      <c r="G44177" s="812"/>
    </row>
    <row r="44178" spans="7:7">
      <c r="G44178" s="812"/>
    </row>
    <row r="44179" spans="7:7">
      <c r="G44179" s="812"/>
    </row>
    <row r="44180" spans="7:7">
      <c r="G44180" s="812"/>
    </row>
    <row r="44181" spans="7:7">
      <c r="G44181" s="812"/>
    </row>
    <row r="44182" spans="7:7">
      <c r="G44182" s="812"/>
    </row>
    <row r="44183" spans="7:7">
      <c r="G44183" s="812"/>
    </row>
    <row r="44184" spans="7:7">
      <c r="G44184" s="812"/>
    </row>
    <row r="44185" spans="7:7">
      <c r="G44185" s="812"/>
    </row>
    <row r="44186" spans="7:7">
      <c r="G44186" s="812"/>
    </row>
    <row r="44187" spans="7:7">
      <c r="G44187" s="812"/>
    </row>
    <row r="44188" spans="7:7">
      <c r="G44188" s="812"/>
    </row>
    <row r="44189" spans="7:7">
      <c r="G44189" s="812"/>
    </row>
    <row r="44190" spans="7:7">
      <c r="G44190" s="812"/>
    </row>
    <row r="44191" spans="7:7">
      <c r="G44191" s="812"/>
    </row>
    <row r="44192" spans="7:7">
      <c r="G44192" s="812"/>
    </row>
    <row r="44193" spans="7:7">
      <c r="G44193" s="812"/>
    </row>
    <row r="44194" spans="7:7">
      <c r="G44194" s="812"/>
    </row>
    <row r="44195" spans="7:7">
      <c r="G44195" s="812"/>
    </row>
    <row r="44196" spans="7:7">
      <c r="G44196" s="812"/>
    </row>
    <row r="44197" spans="7:7">
      <c r="G44197" s="812"/>
    </row>
    <row r="44198" spans="7:7">
      <c r="G44198" s="812"/>
    </row>
    <row r="44199" spans="7:7">
      <c r="G44199" s="812"/>
    </row>
    <row r="44200" spans="7:7">
      <c r="G44200" s="812"/>
    </row>
    <row r="44201" spans="7:7">
      <c r="G44201" s="812"/>
    </row>
    <row r="44202" spans="7:7">
      <c r="G44202" s="812"/>
    </row>
    <row r="44203" spans="7:7">
      <c r="G44203" s="812"/>
    </row>
    <row r="44204" spans="7:7">
      <c r="G44204" s="812"/>
    </row>
    <row r="44205" spans="7:7">
      <c r="G44205" s="812"/>
    </row>
    <row r="44206" spans="7:7">
      <c r="G44206" s="812"/>
    </row>
    <row r="44207" spans="7:7">
      <c r="G44207" s="812"/>
    </row>
    <row r="44208" spans="7:7">
      <c r="G44208" s="812"/>
    </row>
    <row r="44209" spans="7:7">
      <c r="G44209" s="812"/>
    </row>
    <row r="44210" spans="7:7">
      <c r="G44210" s="812"/>
    </row>
    <row r="44211" spans="7:7">
      <c r="G44211" s="812"/>
    </row>
    <row r="44212" spans="7:7">
      <c r="G44212" s="812"/>
    </row>
    <row r="44213" spans="7:7">
      <c r="G44213" s="812"/>
    </row>
    <row r="44214" spans="7:7">
      <c r="G44214" s="812"/>
    </row>
    <row r="44215" spans="7:7">
      <c r="G44215" s="812"/>
    </row>
    <row r="44216" spans="7:7">
      <c r="G44216" s="812"/>
    </row>
    <row r="44217" spans="7:7">
      <c r="G44217" s="812"/>
    </row>
    <row r="44218" spans="7:7">
      <c r="G44218" s="812"/>
    </row>
    <row r="44219" spans="7:7">
      <c r="G44219" s="812"/>
    </row>
    <row r="44220" spans="7:7">
      <c r="G44220" s="812"/>
    </row>
    <row r="44221" spans="7:7">
      <c r="G44221" s="812"/>
    </row>
    <row r="44222" spans="7:7">
      <c r="G44222" s="812"/>
    </row>
    <row r="44223" spans="7:7">
      <c r="G44223" s="812"/>
    </row>
    <row r="44224" spans="7:7">
      <c r="G44224" s="812"/>
    </row>
    <row r="44225" spans="7:7">
      <c r="G44225" s="812"/>
    </row>
    <row r="44226" spans="7:7">
      <c r="G44226" s="812"/>
    </row>
    <row r="44227" spans="7:7">
      <c r="G44227" s="812"/>
    </row>
    <row r="44228" spans="7:7">
      <c r="G44228" s="812"/>
    </row>
    <row r="44229" spans="7:7">
      <c r="G44229" s="812"/>
    </row>
    <row r="44230" spans="7:7">
      <c r="G44230" s="812"/>
    </row>
    <row r="44231" spans="7:7">
      <c r="G44231" s="812"/>
    </row>
    <row r="44232" spans="7:7">
      <c r="G44232" s="812"/>
    </row>
    <row r="44233" spans="7:7">
      <c r="G44233" s="812"/>
    </row>
    <row r="44234" spans="7:7">
      <c r="G44234" s="812"/>
    </row>
    <row r="44235" spans="7:7">
      <c r="G44235" s="812"/>
    </row>
    <row r="44236" spans="7:7">
      <c r="G44236" s="812"/>
    </row>
    <row r="44237" spans="7:7">
      <c r="G44237" s="812"/>
    </row>
    <row r="44238" spans="7:7">
      <c r="G44238" s="812"/>
    </row>
    <row r="44239" spans="7:7">
      <c r="G44239" s="812"/>
    </row>
    <row r="44240" spans="7:7">
      <c r="G44240" s="812"/>
    </row>
    <row r="44241" spans="7:7">
      <c r="G44241" s="812"/>
    </row>
    <row r="44242" spans="7:7">
      <c r="G44242" s="812"/>
    </row>
    <row r="44243" spans="7:7">
      <c r="G44243" s="812"/>
    </row>
    <row r="44244" spans="7:7">
      <c r="G44244" s="812"/>
    </row>
    <row r="44245" spans="7:7">
      <c r="G44245" s="812"/>
    </row>
    <row r="44246" spans="7:7">
      <c r="G44246" s="812"/>
    </row>
    <row r="44247" spans="7:7">
      <c r="G44247" s="812"/>
    </row>
    <row r="44248" spans="7:7">
      <c r="G44248" s="812"/>
    </row>
    <row r="44249" spans="7:7">
      <c r="G44249" s="812"/>
    </row>
    <row r="44250" spans="7:7">
      <c r="G44250" s="812"/>
    </row>
    <row r="44251" spans="7:7">
      <c r="G44251" s="812"/>
    </row>
    <row r="44252" spans="7:7">
      <c r="G44252" s="812"/>
    </row>
    <row r="44253" spans="7:7">
      <c r="G44253" s="812"/>
    </row>
    <row r="44254" spans="7:7">
      <c r="G44254" s="812"/>
    </row>
    <row r="44255" spans="7:7">
      <c r="G44255" s="812"/>
    </row>
    <row r="44256" spans="7:7">
      <c r="G44256" s="812"/>
    </row>
    <row r="44257" spans="7:7">
      <c r="G44257" s="812"/>
    </row>
    <row r="44258" spans="7:7">
      <c r="G44258" s="812"/>
    </row>
    <row r="44259" spans="7:7">
      <c r="G44259" s="812"/>
    </row>
    <row r="44260" spans="7:7">
      <c r="G44260" s="812"/>
    </row>
    <row r="44261" spans="7:7">
      <c r="G44261" s="812"/>
    </row>
    <row r="44262" spans="7:7">
      <c r="G44262" s="812"/>
    </row>
    <row r="44263" spans="7:7">
      <c r="G44263" s="812"/>
    </row>
    <row r="44264" spans="7:7">
      <c r="G44264" s="812"/>
    </row>
    <row r="44265" spans="7:7">
      <c r="G44265" s="812"/>
    </row>
    <row r="44266" spans="7:7">
      <c r="G44266" s="812"/>
    </row>
    <row r="44267" spans="7:7">
      <c r="G44267" s="812"/>
    </row>
    <row r="44268" spans="7:7">
      <c r="G44268" s="812"/>
    </row>
    <row r="44269" spans="7:7">
      <c r="G44269" s="812"/>
    </row>
    <row r="44270" spans="7:7">
      <c r="G44270" s="812"/>
    </row>
    <row r="44271" spans="7:7">
      <c r="G44271" s="812"/>
    </row>
    <row r="44272" spans="7:7">
      <c r="G44272" s="812"/>
    </row>
    <row r="44273" spans="7:7">
      <c r="G44273" s="812"/>
    </row>
    <row r="44274" spans="7:7">
      <c r="G44274" s="812"/>
    </row>
    <row r="44275" spans="7:7">
      <c r="G44275" s="812"/>
    </row>
    <row r="44276" spans="7:7">
      <c r="G44276" s="812"/>
    </row>
    <row r="44277" spans="7:7">
      <c r="G44277" s="812"/>
    </row>
    <row r="44278" spans="7:7">
      <c r="G44278" s="812"/>
    </row>
    <row r="44279" spans="7:7">
      <c r="G44279" s="812"/>
    </row>
    <row r="44280" spans="7:7">
      <c r="G44280" s="812"/>
    </row>
    <row r="44281" spans="7:7">
      <c r="G44281" s="812"/>
    </row>
    <row r="44282" spans="7:7">
      <c r="G44282" s="812"/>
    </row>
    <row r="44283" spans="7:7">
      <c r="G44283" s="812"/>
    </row>
    <row r="44284" spans="7:7">
      <c r="G44284" s="812"/>
    </row>
    <row r="44285" spans="7:7">
      <c r="G44285" s="812"/>
    </row>
    <row r="44286" spans="7:7">
      <c r="G44286" s="812"/>
    </row>
    <row r="44287" spans="7:7">
      <c r="G44287" s="812"/>
    </row>
    <row r="44288" spans="7:7">
      <c r="G44288" s="812"/>
    </row>
    <row r="44289" spans="7:7">
      <c r="G44289" s="812"/>
    </row>
    <row r="44290" spans="7:7">
      <c r="G44290" s="812"/>
    </row>
    <row r="44291" spans="7:7">
      <c r="G44291" s="812"/>
    </row>
    <row r="44292" spans="7:7">
      <c r="G44292" s="812"/>
    </row>
    <row r="44293" spans="7:7">
      <c r="G44293" s="812"/>
    </row>
    <row r="44294" spans="7:7">
      <c r="G44294" s="812"/>
    </row>
    <row r="44295" spans="7:7">
      <c r="G44295" s="812"/>
    </row>
    <row r="44296" spans="7:7">
      <c r="G44296" s="812"/>
    </row>
    <row r="44297" spans="7:7">
      <c r="G44297" s="812"/>
    </row>
    <row r="44298" spans="7:7">
      <c r="G44298" s="812"/>
    </row>
    <row r="44299" spans="7:7">
      <c r="G44299" s="812"/>
    </row>
    <row r="44300" spans="7:7">
      <c r="G44300" s="812"/>
    </row>
    <row r="44301" spans="7:7">
      <c r="G44301" s="812"/>
    </row>
    <row r="44302" spans="7:7">
      <c r="G44302" s="812"/>
    </row>
    <row r="44303" spans="7:7">
      <c r="G44303" s="812"/>
    </row>
    <row r="44304" spans="7:7">
      <c r="G44304" s="812"/>
    </row>
    <row r="44305" spans="7:7">
      <c r="G44305" s="812"/>
    </row>
    <row r="44306" spans="7:7">
      <c r="G44306" s="812"/>
    </row>
    <row r="44307" spans="7:7">
      <c r="G44307" s="812"/>
    </row>
    <row r="44308" spans="7:7">
      <c r="G44308" s="812"/>
    </row>
    <row r="44309" spans="7:7">
      <c r="G44309" s="812"/>
    </row>
    <row r="44310" spans="7:7">
      <c r="G44310" s="812"/>
    </row>
    <row r="44311" spans="7:7">
      <c r="G44311" s="812"/>
    </row>
    <row r="44312" spans="7:7">
      <c r="G44312" s="812"/>
    </row>
    <row r="44313" spans="7:7">
      <c r="G44313" s="812"/>
    </row>
    <row r="44314" spans="7:7">
      <c r="G44314" s="812"/>
    </row>
    <row r="44315" spans="7:7">
      <c r="G44315" s="812"/>
    </row>
    <row r="44316" spans="7:7">
      <c r="G44316" s="812"/>
    </row>
    <row r="44317" spans="7:7">
      <c r="G44317" s="812"/>
    </row>
    <row r="44318" spans="7:7">
      <c r="G44318" s="812"/>
    </row>
    <row r="44319" spans="7:7">
      <c r="G44319" s="812"/>
    </row>
    <row r="44320" spans="7:7">
      <c r="G44320" s="812"/>
    </row>
    <row r="44321" spans="7:7">
      <c r="G44321" s="812"/>
    </row>
    <row r="44322" spans="7:7">
      <c r="G44322" s="812"/>
    </row>
    <row r="44323" spans="7:7">
      <c r="G44323" s="812"/>
    </row>
    <row r="44324" spans="7:7">
      <c r="G44324" s="812"/>
    </row>
    <row r="44325" spans="7:7">
      <c r="G44325" s="812"/>
    </row>
    <row r="44326" spans="7:7">
      <c r="G44326" s="812"/>
    </row>
    <row r="44327" spans="7:7">
      <c r="G44327" s="812"/>
    </row>
    <row r="44328" spans="7:7">
      <c r="G44328" s="812"/>
    </row>
    <row r="44329" spans="7:7">
      <c r="G44329" s="812"/>
    </row>
    <row r="44330" spans="7:7">
      <c r="G44330" s="812"/>
    </row>
    <row r="44331" spans="7:7">
      <c r="G44331" s="812"/>
    </row>
    <row r="44332" spans="7:7">
      <c r="G44332" s="812"/>
    </row>
    <row r="44333" spans="7:7">
      <c r="G44333" s="812"/>
    </row>
    <row r="44334" spans="7:7">
      <c r="G44334" s="812"/>
    </row>
    <row r="44335" spans="7:7">
      <c r="G44335" s="812"/>
    </row>
    <row r="44336" spans="7:7">
      <c r="G44336" s="812"/>
    </row>
    <row r="44337" spans="7:7">
      <c r="G44337" s="812"/>
    </row>
    <row r="44338" spans="7:7">
      <c r="G44338" s="812"/>
    </row>
    <row r="44339" spans="7:7">
      <c r="G44339" s="812"/>
    </row>
    <row r="44340" spans="7:7">
      <c r="G44340" s="812"/>
    </row>
    <row r="44341" spans="7:7">
      <c r="G44341" s="812"/>
    </row>
    <row r="44342" spans="7:7">
      <c r="G44342" s="812"/>
    </row>
    <row r="44343" spans="7:7">
      <c r="G44343" s="812"/>
    </row>
    <row r="44344" spans="7:7">
      <c r="G44344" s="812"/>
    </row>
    <row r="44345" spans="7:7">
      <c r="G44345" s="812"/>
    </row>
    <row r="44346" spans="7:7">
      <c r="G44346" s="812"/>
    </row>
    <row r="44347" spans="7:7">
      <c r="G44347" s="812"/>
    </row>
    <row r="44348" spans="7:7">
      <c r="G44348" s="812"/>
    </row>
    <row r="44349" spans="7:7">
      <c r="G44349" s="812"/>
    </row>
    <row r="44350" spans="7:7">
      <c r="G44350" s="812"/>
    </row>
    <row r="44351" spans="7:7">
      <c r="G44351" s="812"/>
    </row>
    <row r="44352" spans="7:7">
      <c r="G44352" s="812"/>
    </row>
    <row r="44353" spans="7:7">
      <c r="G44353" s="812"/>
    </row>
    <row r="44354" spans="7:7">
      <c r="G44354" s="812"/>
    </row>
    <row r="44355" spans="7:7">
      <c r="G44355" s="812"/>
    </row>
    <row r="44356" spans="7:7">
      <c r="G44356" s="812"/>
    </row>
    <row r="44357" spans="7:7">
      <c r="G44357" s="812"/>
    </row>
    <row r="44358" spans="7:7">
      <c r="G44358" s="812"/>
    </row>
    <row r="44359" spans="7:7">
      <c r="G44359" s="812"/>
    </row>
    <row r="44360" spans="7:7">
      <c r="G44360" s="812"/>
    </row>
    <row r="44361" spans="7:7">
      <c r="G44361" s="812"/>
    </row>
    <row r="44362" spans="7:7">
      <c r="G44362" s="812"/>
    </row>
    <row r="44363" spans="7:7">
      <c r="G44363" s="812"/>
    </row>
    <row r="44364" spans="7:7">
      <c r="G44364" s="812"/>
    </row>
    <row r="44365" spans="7:7">
      <c r="G44365" s="812"/>
    </row>
    <row r="44366" spans="7:7">
      <c r="G44366" s="812"/>
    </row>
    <row r="44367" spans="7:7">
      <c r="G44367" s="812"/>
    </row>
    <row r="44368" spans="7:7">
      <c r="G44368" s="812"/>
    </row>
    <row r="44369" spans="7:7">
      <c r="G44369" s="812"/>
    </row>
    <row r="44370" spans="7:7">
      <c r="G44370" s="812"/>
    </row>
    <row r="44371" spans="7:7">
      <c r="G44371" s="812"/>
    </row>
    <row r="44372" spans="7:7">
      <c r="G44372" s="812"/>
    </row>
    <row r="44373" spans="7:7">
      <c r="G44373" s="812"/>
    </row>
    <row r="44374" spans="7:7">
      <c r="G44374" s="812"/>
    </row>
    <row r="44375" spans="7:7">
      <c r="G44375" s="812"/>
    </row>
    <row r="44376" spans="7:7">
      <c r="G44376" s="812"/>
    </row>
    <row r="44377" spans="7:7">
      <c r="G44377" s="812"/>
    </row>
    <row r="44378" spans="7:7">
      <c r="G44378" s="812"/>
    </row>
    <row r="44379" spans="7:7">
      <c r="G44379" s="812"/>
    </row>
    <row r="44380" spans="7:7">
      <c r="G44380" s="812"/>
    </row>
    <row r="44381" spans="7:7">
      <c r="G44381" s="812"/>
    </row>
    <row r="44382" spans="7:7">
      <c r="G44382" s="812"/>
    </row>
    <row r="44383" spans="7:7">
      <c r="G44383" s="812"/>
    </row>
    <row r="44384" spans="7:7">
      <c r="G44384" s="812"/>
    </row>
    <row r="44385" spans="7:7">
      <c r="G44385" s="812"/>
    </row>
    <row r="44386" spans="7:7">
      <c r="G44386" s="812"/>
    </row>
    <row r="44387" spans="7:7">
      <c r="G44387" s="812"/>
    </row>
    <row r="44388" spans="7:7">
      <c r="G44388" s="812"/>
    </row>
    <row r="44389" spans="7:7">
      <c r="G44389" s="812"/>
    </row>
    <row r="44390" spans="7:7">
      <c r="G44390" s="812"/>
    </row>
    <row r="44391" spans="7:7">
      <c r="G44391" s="812"/>
    </row>
    <row r="44392" spans="7:7">
      <c r="G44392" s="812"/>
    </row>
    <row r="44393" spans="7:7">
      <c r="G44393" s="812"/>
    </row>
    <row r="44394" spans="7:7">
      <c r="G44394" s="812"/>
    </row>
    <row r="44395" spans="7:7">
      <c r="G44395" s="812"/>
    </row>
    <row r="44396" spans="7:7">
      <c r="G44396" s="812"/>
    </row>
    <row r="44397" spans="7:7">
      <c r="G44397" s="812"/>
    </row>
    <row r="44398" spans="7:7">
      <c r="G44398" s="812"/>
    </row>
    <row r="44399" spans="7:7">
      <c r="G44399" s="812"/>
    </row>
    <row r="44400" spans="7:7">
      <c r="G44400" s="812"/>
    </row>
    <row r="44401" spans="7:7">
      <c r="G44401" s="812"/>
    </row>
    <row r="44402" spans="7:7">
      <c r="G44402" s="812"/>
    </row>
    <row r="44403" spans="7:7">
      <c r="G44403" s="812"/>
    </row>
    <row r="44404" spans="7:7">
      <c r="G44404" s="812"/>
    </row>
    <row r="44405" spans="7:7">
      <c r="G44405" s="812"/>
    </row>
    <row r="44406" spans="7:7">
      <c r="G44406" s="812"/>
    </row>
    <row r="44407" spans="7:7">
      <c r="G44407" s="812"/>
    </row>
    <row r="44408" spans="7:7">
      <c r="G44408" s="812"/>
    </row>
    <row r="44409" spans="7:7">
      <c r="G44409" s="812"/>
    </row>
    <row r="44410" spans="7:7">
      <c r="G44410" s="812"/>
    </row>
    <row r="44411" spans="7:7">
      <c r="G44411" s="812"/>
    </row>
    <row r="44412" spans="7:7">
      <c r="G44412" s="812"/>
    </row>
    <row r="44413" spans="7:7">
      <c r="G44413" s="812"/>
    </row>
    <row r="44414" spans="7:7">
      <c r="G44414" s="812"/>
    </row>
    <row r="44415" spans="7:7">
      <c r="G44415" s="812"/>
    </row>
    <row r="44416" spans="7:7">
      <c r="G44416" s="812"/>
    </row>
    <row r="44417" spans="7:7">
      <c r="G44417" s="812"/>
    </row>
    <row r="44418" spans="7:7">
      <c r="G44418" s="812"/>
    </row>
    <row r="44419" spans="7:7">
      <c r="G44419" s="812"/>
    </row>
    <row r="44420" spans="7:7">
      <c r="G44420" s="812"/>
    </row>
    <row r="44421" spans="7:7">
      <c r="G44421" s="812"/>
    </row>
    <row r="44422" spans="7:7">
      <c r="G44422" s="812"/>
    </row>
    <row r="44423" spans="7:7">
      <c r="G44423" s="812"/>
    </row>
    <row r="44424" spans="7:7">
      <c r="G44424" s="812"/>
    </row>
    <row r="44425" spans="7:7">
      <c r="G44425" s="812"/>
    </row>
    <row r="44426" spans="7:7">
      <c r="G44426" s="812"/>
    </row>
    <row r="44427" spans="7:7">
      <c r="G44427" s="812"/>
    </row>
    <row r="44428" spans="7:7">
      <c r="G44428" s="812"/>
    </row>
    <row r="44429" spans="7:7">
      <c r="G44429" s="812"/>
    </row>
    <row r="44430" spans="7:7">
      <c r="G44430" s="812"/>
    </row>
    <row r="44431" spans="7:7">
      <c r="G44431" s="812"/>
    </row>
    <row r="44432" spans="7:7">
      <c r="G44432" s="812"/>
    </row>
    <row r="44433" spans="7:7">
      <c r="G44433" s="812"/>
    </row>
    <row r="44434" spans="7:7">
      <c r="G44434" s="812"/>
    </row>
    <row r="44435" spans="7:7">
      <c r="G44435" s="812"/>
    </row>
    <row r="44436" spans="7:7">
      <c r="G44436" s="812"/>
    </row>
    <row r="44437" spans="7:7">
      <c r="G44437" s="812"/>
    </row>
    <row r="44438" spans="7:7">
      <c r="G44438" s="812"/>
    </row>
    <row r="44439" spans="7:7">
      <c r="G44439" s="812"/>
    </row>
    <row r="44440" spans="7:7">
      <c r="G44440" s="812"/>
    </row>
    <row r="44441" spans="7:7">
      <c r="G44441" s="812"/>
    </row>
    <row r="44442" spans="7:7">
      <c r="G44442" s="812"/>
    </row>
    <row r="44443" spans="7:7">
      <c r="G44443" s="812"/>
    </row>
    <row r="44444" spans="7:7">
      <c r="G44444" s="812"/>
    </row>
    <row r="44445" spans="7:7">
      <c r="G44445" s="812"/>
    </row>
    <row r="44446" spans="7:7">
      <c r="G44446" s="812"/>
    </row>
    <row r="44447" spans="7:7">
      <c r="G44447" s="812"/>
    </row>
    <row r="44448" spans="7:7">
      <c r="G44448" s="812"/>
    </row>
    <row r="44449" spans="7:7">
      <c r="G44449" s="812"/>
    </row>
    <row r="44450" spans="7:7">
      <c r="G44450" s="812"/>
    </row>
    <row r="44451" spans="7:7">
      <c r="G44451" s="812"/>
    </row>
    <row r="44452" spans="7:7">
      <c r="G44452" s="812"/>
    </row>
    <row r="44453" spans="7:7">
      <c r="G44453" s="812"/>
    </row>
    <row r="44454" spans="7:7">
      <c r="G44454" s="812"/>
    </row>
    <row r="44455" spans="7:7">
      <c r="G44455" s="812"/>
    </row>
    <row r="44456" spans="7:7">
      <c r="G44456" s="812"/>
    </row>
    <row r="44457" spans="7:7">
      <c r="G44457" s="812"/>
    </row>
    <row r="44458" spans="7:7">
      <c r="G44458" s="812"/>
    </row>
    <row r="44459" spans="7:7">
      <c r="G44459" s="812"/>
    </row>
    <row r="44460" spans="7:7">
      <c r="G44460" s="812"/>
    </row>
    <row r="44461" spans="7:7">
      <c r="G44461" s="812"/>
    </row>
    <row r="44462" spans="7:7">
      <c r="G44462" s="812"/>
    </row>
    <row r="44463" spans="7:7">
      <c r="G44463" s="812"/>
    </row>
    <row r="44464" spans="7:7">
      <c r="G44464" s="812"/>
    </row>
    <row r="44465" spans="7:7">
      <c r="G44465" s="812"/>
    </row>
    <row r="44466" spans="7:7">
      <c r="G44466" s="812"/>
    </row>
    <row r="44467" spans="7:7">
      <c r="G44467" s="812"/>
    </row>
    <row r="44468" spans="7:7">
      <c r="G44468" s="812"/>
    </row>
    <row r="44469" spans="7:7">
      <c r="G44469" s="812"/>
    </row>
    <row r="44470" spans="7:7">
      <c r="G44470" s="812"/>
    </row>
    <row r="44471" spans="7:7">
      <c r="G44471" s="812"/>
    </row>
    <row r="44472" spans="7:7">
      <c r="G44472" s="812"/>
    </row>
    <row r="44473" spans="7:7">
      <c r="G44473" s="812"/>
    </row>
    <row r="44474" spans="7:7">
      <c r="G44474" s="812"/>
    </row>
    <row r="44475" spans="7:7">
      <c r="G44475" s="812"/>
    </row>
    <row r="44476" spans="7:7">
      <c r="G44476" s="812"/>
    </row>
    <row r="44477" spans="7:7">
      <c r="G44477" s="812"/>
    </row>
    <row r="44478" spans="7:7">
      <c r="G44478" s="812"/>
    </row>
    <row r="44479" spans="7:7">
      <c r="G44479" s="812"/>
    </row>
    <row r="44480" spans="7:7">
      <c r="G44480" s="812"/>
    </row>
    <row r="44481" spans="7:7">
      <c r="G44481" s="812"/>
    </row>
    <row r="44482" spans="7:7">
      <c r="G44482" s="812"/>
    </row>
    <row r="44483" spans="7:7">
      <c r="G44483" s="812"/>
    </row>
    <row r="44484" spans="7:7">
      <c r="G44484" s="812"/>
    </row>
    <row r="44485" spans="7:7">
      <c r="G44485" s="812"/>
    </row>
    <row r="44486" spans="7:7">
      <c r="G44486" s="812"/>
    </row>
    <row r="44487" spans="7:7">
      <c r="G44487" s="812"/>
    </row>
    <row r="44488" spans="7:7">
      <c r="G44488" s="812"/>
    </row>
    <row r="44489" spans="7:7">
      <c r="G44489" s="812"/>
    </row>
    <row r="44490" spans="7:7">
      <c r="G44490" s="812"/>
    </row>
    <row r="44491" spans="7:7">
      <c r="G44491" s="812"/>
    </row>
    <row r="44492" spans="7:7">
      <c r="G44492" s="812"/>
    </row>
    <row r="44493" spans="7:7">
      <c r="G44493" s="812"/>
    </row>
    <row r="44494" spans="7:7">
      <c r="G44494" s="812"/>
    </row>
    <row r="44495" spans="7:7">
      <c r="G44495" s="812"/>
    </row>
    <row r="44496" spans="7:7">
      <c r="G44496" s="812"/>
    </row>
    <row r="44497" spans="7:7">
      <c r="G44497" s="812"/>
    </row>
    <row r="44498" spans="7:7">
      <c r="G44498" s="812"/>
    </row>
    <row r="44499" spans="7:7">
      <c r="G44499" s="812"/>
    </row>
    <row r="44500" spans="7:7">
      <c r="G44500" s="812"/>
    </row>
    <row r="44501" spans="7:7">
      <c r="G44501" s="812"/>
    </row>
    <row r="44502" spans="7:7">
      <c r="G44502" s="812"/>
    </row>
    <row r="44503" spans="7:7">
      <c r="G44503" s="812"/>
    </row>
    <row r="44504" spans="7:7">
      <c r="G44504" s="812"/>
    </row>
    <row r="44505" spans="7:7">
      <c r="G44505" s="812"/>
    </row>
    <row r="44506" spans="7:7">
      <c r="G44506" s="812"/>
    </row>
    <row r="44507" spans="7:7">
      <c r="G44507" s="812"/>
    </row>
    <row r="44508" spans="7:7">
      <c r="G44508" s="812"/>
    </row>
    <row r="44509" spans="7:7">
      <c r="G44509" s="812"/>
    </row>
    <row r="44510" spans="7:7">
      <c r="G44510" s="812"/>
    </row>
    <row r="44511" spans="7:7">
      <c r="G44511" s="812"/>
    </row>
    <row r="44512" spans="7:7">
      <c r="G44512" s="812"/>
    </row>
    <row r="44513" spans="7:7">
      <c r="G44513" s="812"/>
    </row>
    <row r="44514" spans="7:7">
      <c r="G44514" s="812"/>
    </row>
    <row r="44515" spans="7:7">
      <c r="G44515" s="812"/>
    </row>
    <row r="44516" spans="7:7">
      <c r="G44516" s="812"/>
    </row>
    <row r="44517" spans="7:7">
      <c r="G44517" s="812"/>
    </row>
    <row r="44518" spans="7:7">
      <c r="G44518" s="812"/>
    </row>
    <row r="44519" spans="7:7">
      <c r="G44519" s="812"/>
    </row>
    <row r="44520" spans="7:7">
      <c r="G44520" s="812"/>
    </row>
    <row r="44521" spans="7:7">
      <c r="G44521" s="812"/>
    </row>
    <row r="44522" spans="7:7">
      <c r="G44522" s="812"/>
    </row>
    <row r="44523" spans="7:7">
      <c r="G44523" s="812"/>
    </row>
    <row r="44524" spans="7:7">
      <c r="G44524" s="812"/>
    </row>
    <row r="44525" spans="7:7">
      <c r="G44525" s="812"/>
    </row>
    <row r="44526" spans="7:7">
      <c r="G44526" s="812"/>
    </row>
    <row r="44527" spans="7:7">
      <c r="G44527" s="812"/>
    </row>
    <row r="44528" spans="7:7">
      <c r="G44528" s="812"/>
    </row>
    <row r="44529" spans="7:7">
      <c r="G44529" s="812"/>
    </row>
    <row r="44530" spans="7:7">
      <c r="G44530" s="812"/>
    </row>
    <row r="44531" spans="7:7">
      <c r="G44531" s="812"/>
    </row>
    <row r="44532" spans="7:7">
      <c r="G44532" s="812"/>
    </row>
    <row r="44533" spans="7:7">
      <c r="G44533" s="812"/>
    </row>
    <row r="44534" spans="7:7">
      <c r="G44534" s="812"/>
    </row>
    <row r="44535" spans="7:7">
      <c r="G44535" s="812"/>
    </row>
    <row r="44536" spans="7:7">
      <c r="G44536" s="812"/>
    </row>
    <row r="44537" spans="7:7">
      <c r="G44537" s="812"/>
    </row>
    <row r="44538" spans="7:7">
      <c r="G44538" s="812"/>
    </row>
    <row r="44539" spans="7:7">
      <c r="G44539" s="812"/>
    </row>
    <row r="44540" spans="7:7">
      <c r="G44540" s="812"/>
    </row>
    <row r="44541" spans="7:7">
      <c r="G44541" s="812"/>
    </row>
    <row r="44542" spans="7:7">
      <c r="G44542" s="812"/>
    </row>
    <row r="44543" spans="7:7">
      <c r="G44543" s="812"/>
    </row>
    <row r="44544" spans="7:7">
      <c r="G44544" s="812"/>
    </row>
    <row r="44545" spans="7:7">
      <c r="G44545" s="812"/>
    </row>
    <row r="44546" spans="7:7">
      <c r="G44546" s="812"/>
    </row>
    <row r="44547" spans="7:7">
      <c r="G44547" s="812"/>
    </row>
    <row r="44548" spans="7:7">
      <c r="G44548" s="812"/>
    </row>
    <row r="44549" spans="7:7">
      <c r="G44549" s="812"/>
    </row>
    <row r="44550" spans="7:7">
      <c r="G44550" s="812"/>
    </row>
    <row r="44551" spans="7:7">
      <c r="G44551" s="812"/>
    </row>
    <row r="44552" spans="7:7">
      <c r="G44552" s="812"/>
    </row>
    <row r="44553" spans="7:7">
      <c r="G44553" s="812"/>
    </row>
    <row r="44554" spans="7:7">
      <c r="G44554" s="812"/>
    </row>
    <row r="44555" spans="7:7">
      <c r="G44555" s="812"/>
    </row>
    <row r="44556" spans="7:7">
      <c r="G44556" s="812"/>
    </row>
    <row r="44557" spans="7:7">
      <c r="G44557" s="812"/>
    </row>
    <row r="44558" spans="7:7">
      <c r="G44558" s="812"/>
    </row>
    <row r="44559" spans="7:7">
      <c r="G44559" s="812"/>
    </row>
    <row r="44560" spans="7:7">
      <c r="G44560" s="812"/>
    </row>
    <row r="44561" spans="7:7">
      <c r="G44561" s="812"/>
    </row>
    <row r="44562" spans="7:7">
      <c r="G44562" s="812"/>
    </row>
    <row r="44563" spans="7:7">
      <c r="G44563" s="812"/>
    </row>
    <row r="44564" spans="7:7">
      <c r="G44564" s="812"/>
    </row>
    <row r="44565" spans="7:7">
      <c r="G44565" s="812"/>
    </row>
    <row r="44566" spans="7:7">
      <c r="G44566" s="812"/>
    </row>
    <row r="44567" spans="7:7">
      <c r="G44567" s="812"/>
    </row>
    <row r="44568" spans="7:7">
      <c r="G44568" s="812"/>
    </row>
    <row r="44569" spans="7:7">
      <c r="G44569" s="812"/>
    </row>
    <row r="44570" spans="7:7">
      <c r="G44570" s="812"/>
    </row>
    <row r="44571" spans="7:7">
      <c r="G44571" s="812"/>
    </row>
    <row r="44572" spans="7:7">
      <c r="G44572" s="812"/>
    </row>
    <row r="44573" spans="7:7">
      <c r="G44573" s="812"/>
    </row>
    <row r="44574" spans="7:7">
      <c r="G44574" s="812"/>
    </row>
    <row r="44575" spans="7:7">
      <c r="G44575" s="812"/>
    </row>
    <row r="44576" spans="7:7">
      <c r="G44576" s="812"/>
    </row>
    <row r="44577" spans="7:7">
      <c r="G44577" s="812"/>
    </row>
    <row r="44578" spans="7:7">
      <c r="G44578" s="812"/>
    </row>
    <row r="44579" spans="7:7">
      <c r="G44579" s="812"/>
    </row>
    <row r="44580" spans="7:7">
      <c r="G44580" s="812"/>
    </row>
    <row r="44581" spans="7:7">
      <c r="G44581" s="812"/>
    </row>
    <row r="44582" spans="7:7">
      <c r="G44582" s="812"/>
    </row>
    <row r="44583" spans="7:7">
      <c r="G44583" s="812"/>
    </row>
    <row r="44584" spans="7:7">
      <c r="G44584" s="812"/>
    </row>
    <row r="44585" spans="7:7">
      <c r="G44585" s="812"/>
    </row>
    <row r="44586" spans="7:7">
      <c r="G44586" s="812"/>
    </row>
    <row r="44587" spans="7:7">
      <c r="G44587" s="812"/>
    </row>
    <row r="44588" spans="7:7">
      <c r="G44588" s="812"/>
    </row>
    <row r="44589" spans="7:7">
      <c r="G44589" s="812"/>
    </row>
    <row r="44590" spans="7:7">
      <c r="G44590" s="812"/>
    </row>
    <row r="44591" spans="7:7">
      <c r="G44591" s="812"/>
    </row>
    <row r="44592" spans="7:7">
      <c r="G44592" s="812"/>
    </row>
    <row r="44593" spans="7:7">
      <c r="G44593" s="812"/>
    </row>
    <row r="44594" spans="7:7">
      <c r="G44594" s="812"/>
    </row>
    <row r="44595" spans="7:7">
      <c r="G44595" s="812"/>
    </row>
    <row r="44596" spans="7:7">
      <c r="G44596" s="812"/>
    </row>
    <row r="44597" spans="7:7">
      <c r="G44597" s="812"/>
    </row>
    <row r="44598" spans="7:7">
      <c r="G44598" s="812"/>
    </row>
    <row r="44599" spans="7:7">
      <c r="G44599" s="812"/>
    </row>
    <row r="44600" spans="7:7">
      <c r="G44600" s="812"/>
    </row>
    <row r="44601" spans="7:7">
      <c r="G44601" s="812"/>
    </row>
    <row r="44602" spans="7:7">
      <c r="G44602" s="812"/>
    </row>
    <row r="44603" spans="7:7">
      <c r="G44603" s="812"/>
    </row>
    <row r="44604" spans="7:7">
      <c r="G44604" s="812"/>
    </row>
    <row r="44605" spans="7:7">
      <c r="G44605" s="812"/>
    </row>
    <row r="44606" spans="7:7">
      <c r="G44606" s="812"/>
    </row>
    <row r="44607" spans="7:7">
      <c r="G44607" s="812"/>
    </row>
    <row r="44608" spans="7:7">
      <c r="G44608" s="812"/>
    </row>
    <row r="44609" spans="7:7">
      <c r="G44609" s="812"/>
    </row>
    <row r="44610" spans="7:7">
      <c r="G44610" s="812"/>
    </row>
    <row r="44611" spans="7:7">
      <c r="G44611" s="812"/>
    </row>
    <row r="44612" spans="7:7">
      <c r="G44612" s="812"/>
    </row>
    <row r="44613" spans="7:7">
      <c r="G44613" s="812"/>
    </row>
    <row r="44614" spans="7:7">
      <c r="G44614" s="812"/>
    </row>
    <row r="44615" spans="7:7">
      <c r="G44615" s="812"/>
    </row>
    <row r="44616" spans="7:7">
      <c r="G44616" s="812"/>
    </row>
    <row r="44617" spans="7:7">
      <c r="G44617" s="812"/>
    </row>
    <row r="44618" spans="7:7">
      <c r="G44618" s="812"/>
    </row>
    <row r="44619" spans="7:7">
      <c r="G44619" s="812"/>
    </row>
    <row r="44620" spans="7:7">
      <c r="G44620" s="812"/>
    </row>
    <row r="44621" spans="7:7">
      <c r="G44621" s="812"/>
    </row>
    <row r="44622" spans="7:7">
      <c r="G44622" s="812"/>
    </row>
    <row r="44623" spans="7:7">
      <c r="G44623" s="812"/>
    </row>
    <row r="44624" spans="7:7">
      <c r="G44624" s="812"/>
    </row>
    <row r="44625" spans="7:7">
      <c r="G44625" s="812"/>
    </row>
    <row r="44626" spans="7:7">
      <c r="G44626" s="812"/>
    </row>
    <row r="44627" spans="7:7">
      <c r="G44627" s="812"/>
    </row>
    <row r="44628" spans="7:7">
      <c r="G44628" s="812"/>
    </row>
    <row r="44629" spans="7:7">
      <c r="G44629" s="812"/>
    </row>
    <row r="44630" spans="7:7">
      <c r="G44630" s="812"/>
    </row>
    <row r="44631" spans="7:7">
      <c r="G44631" s="812"/>
    </row>
    <row r="44632" spans="7:7">
      <c r="G44632" s="812"/>
    </row>
    <row r="44633" spans="7:7">
      <c r="G44633" s="812"/>
    </row>
    <row r="44634" spans="7:7">
      <c r="G44634" s="812"/>
    </row>
    <row r="44635" spans="7:7">
      <c r="G44635" s="812"/>
    </row>
    <row r="44636" spans="7:7">
      <c r="G44636" s="812"/>
    </row>
    <row r="44637" spans="7:7">
      <c r="G44637" s="812"/>
    </row>
    <row r="44638" spans="7:7">
      <c r="G44638" s="812"/>
    </row>
    <row r="44639" spans="7:7">
      <c r="G44639" s="812"/>
    </row>
    <row r="44640" spans="7:7">
      <c r="G44640" s="812"/>
    </row>
    <row r="44641" spans="7:7">
      <c r="G44641" s="812"/>
    </row>
    <row r="44642" spans="7:7">
      <c r="G44642" s="812"/>
    </row>
    <row r="44643" spans="7:7">
      <c r="G44643" s="812"/>
    </row>
    <row r="44644" spans="7:7">
      <c r="G44644" s="812"/>
    </row>
    <row r="44645" spans="7:7">
      <c r="G44645" s="812"/>
    </row>
    <row r="44646" spans="7:7">
      <c r="G44646" s="812"/>
    </row>
    <row r="44647" spans="7:7">
      <c r="G44647" s="812"/>
    </row>
    <row r="44648" spans="7:7">
      <c r="G44648" s="812"/>
    </row>
    <row r="44649" spans="7:7">
      <c r="G44649" s="812"/>
    </row>
    <row r="44650" spans="7:7">
      <c r="G44650" s="812"/>
    </row>
    <row r="44651" spans="7:7">
      <c r="G44651" s="812"/>
    </row>
    <row r="44652" spans="7:7">
      <c r="G44652" s="812"/>
    </row>
    <row r="44653" spans="7:7">
      <c r="G44653" s="812"/>
    </row>
    <row r="44654" spans="7:7">
      <c r="G44654" s="812"/>
    </row>
    <row r="44655" spans="7:7">
      <c r="G44655" s="812"/>
    </row>
    <row r="44656" spans="7:7">
      <c r="G44656" s="812"/>
    </row>
    <row r="44657" spans="7:7">
      <c r="G44657" s="812"/>
    </row>
    <row r="44658" spans="7:7">
      <c r="G44658" s="812"/>
    </row>
    <row r="44659" spans="7:7">
      <c r="G44659" s="812"/>
    </row>
    <row r="44660" spans="7:7">
      <c r="G44660" s="812"/>
    </row>
    <row r="44661" spans="7:7">
      <c r="G44661" s="812"/>
    </row>
    <row r="44662" spans="7:7">
      <c r="G44662" s="812"/>
    </row>
    <row r="44663" spans="7:7">
      <c r="G44663" s="812"/>
    </row>
    <row r="44664" spans="7:7">
      <c r="G44664" s="812"/>
    </row>
    <row r="44665" spans="7:7">
      <c r="G44665" s="812"/>
    </row>
    <row r="44666" spans="7:7">
      <c r="G44666" s="812"/>
    </row>
    <row r="44667" spans="7:7">
      <c r="G44667" s="812"/>
    </row>
    <row r="44668" spans="7:7">
      <c r="G44668" s="812"/>
    </row>
    <row r="44669" spans="7:7">
      <c r="G44669" s="812"/>
    </row>
    <row r="44670" spans="7:7">
      <c r="G44670" s="812"/>
    </row>
    <row r="44671" spans="7:7">
      <c r="G44671" s="812"/>
    </row>
    <row r="44672" spans="7:7">
      <c r="G44672" s="812"/>
    </row>
    <row r="44673" spans="7:7">
      <c r="G44673" s="812"/>
    </row>
    <row r="44674" spans="7:7">
      <c r="G44674" s="812"/>
    </row>
    <row r="44675" spans="7:7">
      <c r="G44675" s="812"/>
    </row>
    <row r="44676" spans="7:7">
      <c r="G44676" s="812"/>
    </row>
    <row r="44677" spans="7:7">
      <c r="G44677" s="812"/>
    </row>
    <row r="44678" spans="7:7">
      <c r="G44678" s="812"/>
    </row>
    <row r="44679" spans="7:7">
      <c r="G44679" s="812"/>
    </row>
    <row r="44680" spans="7:7">
      <c r="G44680" s="812"/>
    </row>
    <row r="44681" spans="7:7">
      <c r="G44681" s="812"/>
    </row>
    <row r="44682" spans="7:7">
      <c r="G44682" s="812"/>
    </row>
    <row r="44683" spans="7:7">
      <c r="G44683" s="812"/>
    </row>
    <row r="44684" spans="7:7">
      <c r="G44684" s="812"/>
    </row>
    <row r="44685" spans="7:7">
      <c r="G44685" s="812"/>
    </row>
    <row r="44686" spans="7:7">
      <c r="G44686" s="812"/>
    </row>
    <row r="44687" spans="7:7">
      <c r="G44687" s="812"/>
    </row>
    <row r="44688" spans="7:7">
      <c r="G44688" s="812"/>
    </row>
    <row r="44689" spans="7:7">
      <c r="G44689" s="812"/>
    </row>
    <row r="44690" spans="7:7">
      <c r="G44690" s="812"/>
    </row>
    <row r="44691" spans="7:7">
      <c r="G44691" s="812"/>
    </row>
    <row r="44692" spans="7:7">
      <c r="G44692" s="812"/>
    </row>
    <row r="44693" spans="7:7">
      <c r="G44693" s="812"/>
    </row>
    <row r="44694" spans="7:7">
      <c r="G44694" s="812"/>
    </row>
    <row r="44695" spans="7:7">
      <c r="G44695" s="812"/>
    </row>
    <row r="44696" spans="7:7">
      <c r="G44696" s="812"/>
    </row>
    <row r="44697" spans="7:7">
      <c r="G44697" s="812"/>
    </row>
    <row r="44698" spans="7:7">
      <c r="G44698" s="812"/>
    </row>
    <row r="44699" spans="7:7">
      <c r="G44699" s="812"/>
    </row>
    <row r="44700" spans="7:7">
      <c r="G44700" s="812"/>
    </row>
    <row r="44701" spans="7:7">
      <c r="G44701" s="812"/>
    </row>
    <row r="44702" spans="7:7">
      <c r="G44702" s="812"/>
    </row>
    <row r="44703" spans="7:7">
      <c r="G44703" s="812"/>
    </row>
    <row r="44704" spans="7:7">
      <c r="G44704" s="812"/>
    </row>
    <row r="44705" spans="7:7">
      <c r="G44705" s="812"/>
    </row>
    <row r="44706" spans="7:7">
      <c r="G44706" s="812"/>
    </row>
    <row r="44707" spans="7:7">
      <c r="G44707" s="812"/>
    </row>
    <row r="44708" spans="7:7">
      <c r="G44708" s="812"/>
    </row>
    <row r="44709" spans="7:7">
      <c r="G44709" s="812"/>
    </row>
    <row r="44710" spans="7:7">
      <c r="G44710" s="812"/>
    </row>
    <row r="44711" spans="7:7">
      <c r="G44711" s="812"/>
    </row>
    <row r="44712" spans="7:7">
      <c r="G44712" s="812"/>
    </row>
    <row r="44713" spans="7:7">
      <c r="G44713" s="812"/>
    </row>
    <row r="44714" spans="7:7">
      <c r="G44714" s="812"/>
    </row>
    <row r="44715" spans="7:7">
      <c r="G44715" s="812"/>
    </row>
    <row r="44716" spans="7:7">
      <c r="G44716" s="812"/>
    </row>
    <row r="44717" spans="7:7">
      <c r="G44717" s="812"/>
    </row>
    <row r="44718" spans="7:7">
      <c r="G44718" s="812"/>
    </row>
    <row r="44719" spans="7:7">
      <c r="G44719" s="812"/>
    </row>
    <row r="44720" spans="7:7">
      <c r="G44720" s="812"/>
    </row>
    <row r="44721" spans="7:7">
      <c r="G44721" s="812"/>
    </row>
    <row r="44722" spans="7:7">
      <c r="G44722" s="812"/>
    </row>
    <row r="44723" spans="7:7">
      <c r="G44723" s="812"/>
    </row>
    <row r="44724" spans="7:7">
      <c r="G44724" s="812"/>
    </row>
    <row r="44725" spans="7:7">
      <c r="G44725" s="812"/>
    </row>
    <row r="44726" spans="7:7">
      <c r="G44726" s="812"/>
    </row>
    <row r="44727" spans="7:7">
      <c r="G44727" s="812"/>
    </row>
    <row r="44728" spans="7:7">
      <c r="G44728" s="812"/>
    </row>
    <row r="44729" spans="7:7">
      <c r="G44729" s="812"/>
    </row>
    <row r="44730" spans="7:7">
      <c r="G44730" s="812"/>
    </row>
    <row r="44731" spans="7:7">
      <c r="G44731" s="812"/>
    </row>
    <row r="44732" spans="7:7">
      <c r="G44732" s="812"/>
    </row>
    <row r="44733" spans="7:7">
      <c r="G44733" s="812"/>
    </row>
    <row r="44734" spans="7:7">
      <c r="G44734" s="812"/>
    </row>
    <row r="44735" spans="7:7">
      <c r="G44735" s="812"/>
    </row>
    <row r="44736" spans="7:7">
      <c r="G44736" s="812"/>
    </row>
    <row r="44737" spans="7:7">
      <c r="G44737" s="812"/>
    </row>
    <row r="44738" spans="7:7">
      <c r="G44738" s="812"/>
    </row>
    <row r="44739" spans="7:7">
      <c r="G44739" s="812"/>
    </row>
    <row r="44740" spans="7:7">
      <c r="G44740" s="812"/>
    </row>
    <row r="44741" spans="7:7">
      <c r="G44741" s="812"/>
    </row>
    <row r="44742" spans="7:7">
      <c r="G44742" s="812"/>
    </row>
    <row r="44743" spans="7:7">
      <c r="G44743" s="812"/>
    </row>
    <row r="44744" spans="7:7">
      <c r="G44744" s="812"/>
    </row>
    <row r="44745" spans="7:7">
      <c r="G44745" s="812"/>
    </row>
    <row r="44746" spans="7:7">
      <c r="G44746" s="812"/>
    </row>
    <row r="44747" spans="7:7">
      <c r="G44747" s="812"/>
    </row>
    <row r="44748" spans="7:7">
      <c r="G44748" s="812"/>
    </row>
    <row r="44749" spans="7:7">
      <c r="G44749" s="812"/>
    </row>
    <row r="44750" spans="7:7">
      <c r="G44750" s="812"/>
    </row>
    <row r="44751" spans="7:7">
      <c r="G44751" s="812"/>
    </row>
    <row r="44752" spans="7:7">
      <c r="G44752" s="812"/>
    </row>
    <row r="44753" spans="7:7">
      <c r="G44753" s="812"/>
    </row>
    <row r="44754" spans="7:7">
      <c r="G44754" s="812"/>
    </row>
    <row r="44755" spans="7:7">
      <c r="G44755" s="812"/>
    </row>
    <row r="44756" spans="7:7">
      <c r="G44756" s="812"/>
    </row>
    <row r="44757" spans="7:7">
      <c r="G44757" s="812"/>
    </row>
    <row r="44758" spans="7:7">
      <c r="G44758" s="812"/>
    </row>
    <row r="44759" spans="7:7">
      <c r="G44759" s="812"/>
    </row>
    <row r="44760" spans="7:7">
      <c r="G44760" s="812"/>
    </row>
    <row r="44761" spans="7:7">
      <c r="G44761" s="812"/>
    </row>
    <row r="44762" spans="7:7">
      <c r="G44762" s="812"/>
    </row>
    <row r="44763" spans="7:7">
      <c r="G44763" s="812"/>
    </row>
    <row r="44764" spans="7:7">
      <c r="G44764" s="812"/>
    </row>
    <row r="44765" spans="7:7">
      <c r="G44765" s="812"/>
    </row>
    <row r="44766" spans="7:7">
      <c r="G44766" s="812"/>
    </row>
    <row r="44767" spans="7:7">
      <c r="G44767" s="812"/>
    </row>
    <row r="44768" spans="7:7">
      <c r="G44768" s="812"/>
    </row>
    <row r="44769" spans="7:7">
      <c r="G44769" s="812"/>
    </row>
    <row r="44770" spans="7:7">
      <c r="G44770" s="812"/>
    </row>
    <row r="44771" spans="7:7">
      <c r="G44771" s="812"/>
    </row>
    <row r="44772" spans="7:7">
      <c r="G44772" s="812"/>
    </row>
    <row r="44773" spans="7:7">
      <c r="G44773" s="812"/>
    </row>
    <row r="44774" spans="7:7">
      <c r="G44774" s="812"/>
    </row>
    <row r="44775" spans="7:7">
      <c r="G44775" s="812"/>
    </row>
    <row r="44776" spans="7:7">
      <c r="G44776" s="812"/>
    </row>
    <row r="44777" spans="7:7">
      <c r="G44777" s="812"/>
    </row>
    <row r="44778" spans="7:7">
      <c r="G44778" s="812"/>
    </row>
    <row r="44779" spans="7:7">
      <c r="G44779" s="812"/>
    </row>
    <row r="44780" spans="7:7">
      <c r="G44780" s="812"/>
    </row>
    <row r="44781" spans="7:7">
      <c r="G44781" s="812"/>
    </row>
    <row r="44782" spans="7:7">
      <c r="G44782" s="812"/>
    </row>
    <row r="44783" spans="7:7">
      <c r="G44783" s="812"/>
    </row>
    <row r="44784" spans="7:7">
      <c r="G44784" s="812"/>
    </row>
    <row r="44785" spans="7:7">
      <c r="G44785" s="812"/>
    </row>
    <row r="44786" spans="7:7">
      <c r="G44786" s="812"/>
    </row>
    <row r="44787" spans="7:7">
      <c r="G44787" s="812"/>
    </row>
    <row r="44788" spans="7:7">
      <c r="G44788" s="812"/>
    </row>
    <row r="44789" spans="7:7">
      <c r="G44789" s="812"/>
    </row>
    <row r="44790" spans="7:7">
      <c r="G44790" s="812"/>
    </row>
    <row r="44791" spans="7:7">
      <c r="G44791" s="812"/>
    </row>
    <row r="44792" spans="7:7">
      <c r="G44792" s="812"/>
    </row>
    <row r="44793" spans="7:7">
      <c r="G44793" s="812"/>
    </row>
    <row r="44794" spans="7:7">
      <c r="G44794" s="812"/>
    </row>
    <row r="44795" spans="7:7">
      <c r="G44795" s="812"/>
    </row>
    <row r="44796" spans="7:7">
      <c r="G44796" s="812"/>
    </row>
    <row r="44797" spans="7:7">
      <c r="G44797" s="812"/>
    </row>
    <row r="44798" spans="7:7">
      <c r="G44798" s="812"/>
    </row>
    <row r="44799" spans="7:7">
      <c r="G44799" s="812"/>
    </row>
    <row r="44800" spans="7:7">
      <c r="G44800" s="812"/>
    </row>
    <row r="44801" spans="7:7">
      <c r="G44801" s="812"/>
    </row>
    <row r="44802" spans="7:7">
      <c r="G44802" s="812"/>
    </row>
    <row r="44803" spans="7:7">
      <c r="G44803" s="812"/>
    </row>
    <row r="44804" spans="7:7">
      <c r="G44804" s="812"/>
    </row>
    <row r="44805" spans="7:7">
      <c r="G44805" s="812"/>
    </row>
    <row r="44806" spans="7:7">
      <c r="G44806" s="812"/>
    </row>
    <row r="44807" spans="7:7">
      <c r="G44807" s="812"/>
    </row>
    <row r="44808" spans="7:7">
      <c r="G44808" s="812"/>
    </row>
    <row r="44809" spans="7:7">
      <c r="G44809" s="812"/>
    </row>
    <row r="44810" spans="7:7">
      <c r="G44810" s="812"/>
    </row>
    <row r="44811" spans="7:7">
      <c r="G44811" s="812"/>
    </row>
    <row r="44812" spans="7:7">
      <c r="G44812" s="812"/>
    </row>
    <row r="44813" spans="7:7">
      <c r="G44813" s="812"/>
    </row>
    <row r="44814" spans="7:7">
      <c r="G44814" s="812"/>
    </row>
    <row r="44815" spans="7:7">
      <c r="G44815" s="812"/>
    </row>
    <row r="44816" spans="7:7">
      <c r="G44816" s="812"/>
    </row>
    <row r="44817" spans="7:7">
      <c r="G44817" s="812"/>
    </row>
    <row r="44818" spans="7:7">
      <c r="G44818" s="812"/>
    </row>
    <row r="44819" spans="7:7">
      <c r="G44819" s="812"/>
    </row>
    <row r="44820" spans="7:7">
      <c r="G44820" s="812"/>
    </row>
    <row r="44821" spans="7:7">
      <c r="G44821" s="812"/>
    </row>
    <row r="44822" spans="7:7">
      <c r="G44822" s="812"/>
    </row>
    <row r="44823" spans="7:7">
      <c r="G44823" s="812"/>
    </row>
    <row r="44824" spans="7:7">
      <c r="G44824" s="812"/>
    </row>
    <row r="44825" spans="7:7">
      <c r="G44825" s="812"/>
    </row>
    <row r="44826" spans="7:7">
      <c r="G44826" s="812"/>
    </row>
    <row r="44827" spans="7:7">
      <c r="G44827" s="812"/>
    </row>
    <row r="44828" spans="7:7">
      <c r="G44828" s="812"/>
    </row>
    <row r="44829" spans="7:7">
      <c r="G44829" s="812"/>
    </row>
    <row r="44830" spans="7:7">
      <c r="G44830" s="812"/>
    </row>
    <row r="44831" spans="7:7">
      <c r="G44831" s="812"/>
    </row>
    <row r="44832" spans="7:7">
      <c r="G44832" s="812"/>
    </row>
    <row r="44833" spans="7:7">
      <c r="G44833" s="812"/>
    </row>
    <row r="44834" spans="7:7">
      <c r="G44834" s="812"/>
    </row>
    <row r="44835" spans="7:7">
      <c r="G44835" s="812"/>
    </row>
    <row r="44836" spans="7:7">
      <c r="G44836" s="812"/>
    </row>
    <row r="44837" spans="7:7">
      <c r="G44837" s="812"/>
    </row>
    <row r="44838" spans="7:7">
      <c r="G44838" s="812"/>
    </row>
    <row r="44839" spans="7:7">
      <c r="G44839" s="812"/>
    </row>
    <row r="44840" spans="7:7">
      <c r="G44840" s="812"/>
    </row>
    <row r="44841" spans="7:7">
      <c r="G44841" s="812"/>
    </row>
    <row r="44842" spans="7:7">
      <c r="G44842" s="812"/>
    </row>
    <row r="44843" spans="7:7">
      <c r="G44843" s="812"/>
    </row>
    <row r="44844" spans="7:7">
      <c r="G44844" s="812"/>
    </row>
    <row r="44845" spans="7:7">
      <c r="G44845" s="812"/>
    </row>
    <row r="44846" spans="7:7">
      <c r="G44846" s="812"/>
    </row>
    <row r="44847" spans="7:7">
      <c r="G44847" s="812"/>
    </row>
    <row r="44848" spans="7:7">
      <c r="G44848" s="812"/>
    </row>
    <row r="44849" spans="7:7">
      <c r="G44849" s="812"/>
    </row>
    <row r="44850" spans="7:7">
      <c r="G44850" s="812"/>
    </row>
    <row r="44851" spans="7:7">
      <c r="G44851" s="812"/>
    </row>
    <row r="44852" spans="7:7">
      <c r="G44852" s="812"/>
    </row>
    <row r="44853" spans="7:7">
      <c r="G44853" s="812"/>
    </row>
    <row r="44854" spans="7:7">
      <c r="G44854" s="812"/>
    </row>
    <row r="44855" spans="7:7">
      <c r="G44855" s="812"/>
    </row>
    <row r="44856" spans="7:7">
      <c r="G44856" s="812"/>
    </row>
    <row r="44857" spans="7:7">
      <c r="G44857" s="812"/>
    </row>
    <row r="44858" spans="7:7">
      <c r="G44858" s="812"/>
    </row>
    <row r="44859" spans="7:7">
      <c r="G44859" s="812"/>
    </row>
    <row r="44860" spans="7:7">
      <c r="G44860" s="812"/>
    </row>
    <row r="44861" spans="7:7">
      <c r="G44861" s="812"/>
    </row>
    <row r="44862" spans="7:7">
      <c r="G44862" s="812"/>
    </row>
    <row r="44863" spans="7:7">
      <c r="G44863" s="812"/>
    </row>
    <row r="44864" spans="7:7">
      <c r="G44864" s="812"/>
    </row>
    <row r="44865" spans="7:7">
      <c r="G44865" s="812"/>
    </row>
    <row r="44866" spans="7:7">
      <c r="G44866" s="812"/>
    </row>
    <row r="44867" spans="7:7">
      <c r="G44867" s="812"/>
    </row>
    <row r="44868" spans="7:7">
      <c r="G44868" s="812"/>
    </row>
    <row r="44869" spans="7:7">
      <c r="G44869" s="812"/>
    </row>
    <row r="44870" spans="7:7">
      <c r="G44870" s="812"/>
    </row>
    <row r="44871" spans="7:7">
      <c r="G44871" s="812"/>
    </row>
    <row r="44872" spans="7:7">
      <c r="G44872" s="812"/>
    </row>
    <row r="44873" spans="7:7">
      <c r="G44873" s="812"/>
    </row>
    <row r="44874" spans="7:7">
      <c r="G44874" s="812"/>
    </row>
    <row r="44875" spans="7:7">
      <c r="G44875" s="812"/>
    </row>
    <row r="44876" spans="7:7">
      <c r="G44876" s="812"/>
    </row>
    <row r="44877" spans="7:7">
      <c r="G44877" s="812"/>
    </row>
    <row r="44878" spans="7:7">
      <c r="G44878" s="812"/>
    </row>
    <row r="44879" spans="7:7">
      <c r="G44879" s="812"/>
    </row>
    <row r="44880" spans="7:7">
      <c r="G44880" s="812"/>
    </row>
    <row r="44881" spans="7:7">
      <c r="G44881" s="812"/>
    </row>
    <row r="44882" spans="7:7">
      <c r="G44882" s="812"/>
    </row>
    <row r="44883" spans="7:7">
      <c r="G44883" s="812"/>
    </row>
    <row r="44884" spans="7:7">
      <c r="G44884" s="812"/>
    </row>
    <row r="44885" spans="7:7">
      <c r="G44885" s="812"/>
    </row>
    <row r="44886" spans="7:7">
      <c r="G44886" s="812"/>
    </row>
    <row r="44887" spans="7:7">
      <c r="G44887" s="812"/>
    </row>
    <row r="44888" spans="7:7">
      <c r="G44888" s="812"/>
    </row>
    <row r="44889" spans="7:7">
      <c r="G44889" s="812"/>
    </row>
    <row r="44890" spans="7:7">
      <c r="G44890" s="812"/>
    </row>
    <row r="44891" spans="7:7">
      <c r="G44891" s="812"/>
    </row>
    <row r="44892" spans="7:7">
      <c r="G44892" s="812"/>
    </row>
    <row r="44893" spans="7:7">
      <c r="G44893" s="812"/>
    </row>
    <row r="44894" spans="7:7">
      <c r="G44894" s="812"/>
    </row>
    <row r="44895" spans="7:7">
      <c r="G44895" s="812"/>
    </row>
    <row r="44896" spans="7:7">
      <c r="G44896" s="812"/>
    </row>
    <row r="44897" spans="7:7">
      <c r="G44897" s="812"/>
    </row>
    <row r="44898" spans="7:7">
      <c r="G44898" s="812"/>
    </row>
    <row r="44899" spans="7:7">
      <c r="G44899" s="812"/>
    </row>
    <row r="44900" spans="7:7">
      <c r="G44900" s="812"/>
    </row>
    <row r="44901" spans="7:7">
      <c r="G44901" s="812"/>
    </row>
    <row r="44902" spans="7:7">
      <c r="G44902" s="812"/>
    </row>
    <row r="44903" spans="7:7">
      <c r="G44903" s="812"/>
    </row>
    <row r="44904" spans="7:7">
      <c r="G44904" s="812"/>
    </row>
    <row r="44905" spans="7:7">
      <c r="G44905" s="812"/>
    </row>
    <row r="44906" spans="7:7">
      <c r="G44906" s="812"/>
    </row>
    <row r="44907" spans="7:7">
      <c r="G44907" s="812"/>
    </row>
    <row r="44908" spans="7:7">
      <c r="G44908" s="812"/>
    </row>
    <row r="44909" spans="7:7">
      <c r="G44909" s="812"/>
    </row>
    <row r="44910" spans="7:7">
      <c r="G44910" s="812"/>
    </row>
    <row r="44911" spans="7:7">
      <c r="G44911" s="812"/>
    </row>
    <row r="44912" spans="7:7">
      <c r="G44912" s="812"/>
    </row>
    <row r="44913" spans="7:7">
      <c r="G44913" s="812"/>
    </row>
    <row r="44914" spans="7:7">
      <c r="G44914" s="812"/>
    </row>
    <row r="44915" spans="7:7">
      <c r="G44915" s="812"/>
    </row>
    <row r="44916" spans="7:7">
      <c r="G44916" s="812"/>
    </row>
    <row r="44917" spans="7:7">
      <c r="G44917" s="812"/>
    </row>
    <row r="44918" spans="7:7">
      <c r="G44918" s="812"/>
    </row>
    <row r="44919" spans="7:7">
      <c r="G44919" s="812"/>
    </row>
    <row r="44920" spans="7:7">
      <c r="G44920" s="812"/>
    </row>
    <row r="44921" spans="7:7">
      <c r="G44921" s="812"/>
    </row>
    <row r="44922" spans="7:7">
      <c r="G44922" s="812"/>
    </row>
    <row r="44923" spans="7:7">
      <c r="G44923" s="812"/>
    </row>
    <row r="44924" spans="7:7">
      <c r="G44924" s="812"/>
    </row>
    <row r="44925" spans="7:7">
      <c r="G44925" s="812"/>
    </row>
    <row r="44926" spans="7:7">
      <c r="G44926" s="812"/>
    </row>
    <row r="44927" spans="7:7">
      <c r="G44927" s="812"/>
    </row>
    <row r="44928" spans="7:7">
      <c r="G44928" s="812"/>
    </row>
    <row r="44929" spans="7:7">
      <c r="G44929" s="812"/>
    </row>
    <row r="44930" spans="7:7">
      <c r="G44930" s="812"/>
    </row>
    <row r="44931" spans="7:7">
      <c r="G44931" s="812"/>
    </row>
    <row r="44932" spans="7:7">
      <c r="G44932" s="812"/>
    </row>
    <row r="44933" spans="7:7">
      <c r="G44933" s="812"/>
    </row>
    <row r="44934" spans="7:7">
      <c r="G44934" s="812"/>
    </row>
    <row r="44935" spans="7:7">
      <c r="G44935" s="812"/>
    </row>
    <row r="44936" spans="7:7">
      <c r="G44936" s="812"/>
    </row>
    <row r="44937" spans="7:7">
      <c r="G44937" s="812"/>
    </row>
    <row r="44938" spans="7:7">
      <c r="G44938" s="812"/>
    </row>
    <row r="44939" spans="7:7">
      <c r="G44939" s="812"/>
    </row>
    <row r="44940" spans="7:7">
      <c r="G44940" s="812"/>
    </row>
    <row r="44941" spans="7:7">
      <c r="G44941" s="812"/>
    </row>
    <row r="44942" spans="7:7">
      <c r="G44942" s="812"/>
    </row>
    <row r="44943" spans="7:7">
      <c r="G44943" s="812"/>
    </row>
    <row r="44944" spans="7:7">
      <c r="G44944" s="812"/>
    </row>
    <row r="44945" spans="7:7">
      <c r="G44945" s="812"/>
    </row>
    <row r="44946" spans="7:7">
      <c r="G44946" s="812"/>
    </row>
    <row r="44947" spans="7:7">
      <c r="G44947" s="812"/>
    </row>
    <row r="44948" spans="7:7">
      <c r="G44948" s="812"/>
    </row>
    <row r="44949" spans="7:7">
      <c r="G44949" s="812"/>
    </row>
    <row r="44950" spans="7:7">
      <c r="G44950" s="812"/>
    </row>
    <row r="44951" spans="7:7">
      <c r="G44951" s="812"/>
    </row>
    <row r="44952" spans="7:7">
      <c r="G44952" s="812"/>
    </row>
    <row r="44953" spans="7:7">
      <c r="G44953" s="812"/>
    </row>
    <row r="44954" spans="7:7">
      <c r="G44954" s="812"/>
    </row>
    <row r="44955" spans="7:7">
      <c r="G44955" s="812"/>
    </row>
    <row r="44956" spans="7:7">
      <c r="G44956" s="812"/>
    </row>
    <row r="44957" spans="7:7">
      <c r="G44957" s="812"/>
    </row>
    <row r="44958" spans="7:7">
      <c r="G44958" s="812"/>
    </row>
    <row r="44959" spans="7:7">
      <c r="G44959" s="812"/>
    </row>
    <row r="44960" spans="7:7">
      <c r="G44960" s="812"/>
    </row>
    <row r="44961" spans="7:7">
      <c r="G44961" s="812"/>
    </row>
    <row r="44962" spans="7:7">
      <c r="G44962" s="812"/>
    </row>
    <row r="44963" spans="7:7">
      <c r="G44963" s="812"/>
    </row>
    <row r="44964" spans="7:7">
      <c r="G44964" s="812"/>
    </row>
    <row r="44965" spans="7:7">
      <c r="G44965" s="812"/>
    </row>
    <row r="44966" spans="7:7">
      <c r="G44966" s="812"/>
    </row>
    <row r="44967" spans="7:7">
      <c r="G44967" s="812"/>
    </row>
    <row r="44968" spans="7:7">
      <c r="G44968" s="812"/>
    </row>
    <row r="44969" spans="7:7">
      <c r="G44969" s="812"/>
    </row>
    <row r="44970" spans="7:7">
      <c r="G44970" s="812"/>
    </row>
    <row r="44971" spans="7:7">
      <c r="G44971" s="812"/>
    </row>
    <row r="44972" spans="7:7">
      <c r="G44972" s="812"/>
    </row>
    <row r="44973" spans="7:7">
      <c r="G44973" s="812"/>
    </row>
    <row r="44974" spans="7:7">
      <c r="G44974" s="812"/>
    </row>
    <row r="44975" spans="7:7">
      <c r="G44975" s="812"/>
    </row>
    <row r="44976" spans="7:7">
      <c r="G44976" s="812"/>
    </row>
    <row r="44977" spans="7:7">
      <c r="G44977" s="812"/>
    </row>
    <row r="44978" spans="7:7">
      <c r="G44978" s="812"/>
    </row>
    <row r="44979" spans="7:7">
      <c r="G44979" s="812"/>
    </row>
    <row r="44980" spans="7:7">
      <c r="G44980" s="812"/>
    </row>
    <row r="44981" spans="7:7">
      <c r="G44981" s="812"/>
    </row>
    <row r="44982" spans="7:7">
      <c r="G44982" s="812"/>
    </row>
    <row r="44983" spans="7:7">
      <c r="G44983" s="812"/>
    </row>
    <row r="44984" spans="7:7">
      <c r="G44984" s="812"/>
    </row>
    <row r="44985" spans="7:7">
      <c r="G44985" s="812"/>
    </row>
    <row r="44986" spans="7:7">
      <c r="G44986" s="812"/>
    </row>
    <row r="44987" spans="7:7">
      <c r="G44987" s="812"/>
    </row>
    <row r="44988" spans="7:7">
      <c r="G44988" s="812"/>
    </row>
    <row r="44989" spans="7:7">
      <c r="G44989" s="812"/>
    </row>
    <row r="44990" spans="7:7">
      <c r="G44990" s="812"/>
    </row>
    <row r="44991" spans="7:7">
      <c r="G44991" s="812"/>
    </row>
    <row r="44992" spans="7:7">
      <c r="G44992" s="812"/>
    </row>
    <row r="44993" spans="7:7">
      <c r="G44993" s="812"/>
    </row>
    <row r="44994" spans="7:7">
      <c r="G44994" s="812"/>
    </row>
    <row r="44995" spans="7:7">
      <c r="G44995" s="812"/>
    </row>
    <row r="44996" spans="7:7">
      <c r="G44996" s="812"/>
    </row>
    <row r="44997" spans="7:7">
      <c r="G44997" s="812"/>
    </row>
    <row r="44998" spans="7:7">
      <c r="G44998" s="812"/>
    </row>
    <row r="44999" spans="7:7">
      <c r="G44999" s="812"/>
    </row>
    <row r="45000" spans="7:7">
      <c r="G45000" s="812"/>
    </row>
    <row r="45001" spans="7:7">
      <c r="G45001" s="812"/>
    </row>
    <row r="45002" spans="7:7">
      <c r="G45002" s="812"/>
    </row>
    <row r="45003" spans="7:7">
      <c r="G45003" s="812"/>
    </row>
    <row r="45004" spans="7:7">
      <c r="G45004" s="812"/>
    </row>
    <row r="45005" spans="7:7">
      <c r="G45005" s="812"/>
    </row>
    <row r="45006" spans="7:7">
      <c r="G45006" s="812"/>
    </row>
    <row r="45007" spans="7:7">
      <c r="G45007" s="812"/>
    </row>
    <row r="45008" spans="7:7">
      <c r="G45008" s="812"/>
    </row>
    <row r="45009" spans="7:7">
      <c r="G45009" s="812"/>
    </row>
    <row r="45010" spans="7:7">
      <c r="G45010" s="812"/>
    </row>
    <row r="45011" spans="7:7">
      <c r="G45011" s="812"/>
    </row>
    <row r="45012" spans="7:7">
      <c r="G45012" s="812"/>
    </row>
    <row r="45013" spans="7:7">
      <c r="G45013" s="812"/>
    </row>
    <row r="45014" spans="7:7">
      <c r="G45014" s="812"/>
    </row>
    <row r="45015" spans="7:7">
      <c r="G45015" s="812"/>
    </row>
    <row r="45016" spans="7:7">
      <c r="G45016" s="812"/>
    </row>
    <row r="45017" spans="7:7">
      <c r="G45017" s="812"/>
    </row>
    <row r="45018" spans="7:7">
      <c r="G45018" s="812"/>
    </row>
    <row r="45019" spans="7:7">
      <c r="G45019" s="812"/>
    </row>
    <row r="45020" spans="7:7">
      <c r="G45020" s="812"/>
    </row>
    <row r="45021" spans="7:7">
      <c r="G45021" s="812"/>
    </row>
    <row r="45022" spans="7:7">
      <c r="G45022" s="812"/>
    </row>
    <row r="45023" spans="7:7">
      <c r="G45023" s="812"/>
    </row>
    <row r="45024" spans="7:7">
      <c r="G45024" s="812"/>
    </row>
    <row r="45025" spans="7:7">
      <c r="G45025" s="812"/>
    </row>
    <row r="45026" spans="7:7">
      <c r="G45026" s="812"/>
    </row>
    <row r="45027" spans="7:7">
      <c r="G45027" s="812"/>
    </row>
    <row r="45028" spans="7:7">
      <c r="G45028" s="812"/>
    </row>
    <row r="45029" spans="7:7">
      <c r="G45029" s="812"/>
    </row>
    <row r="45030" spans="7:7">
      <c r="G45030" s="812"/>
    </row>
    <row r="45031" spans="7:7">
      <c r="G45031" s="812"/>
    </row>
    <row r="45032" spans="7:7">
      <c r="G45032" s="812"/>
    </row>
    <row r="45033" spans="7:7">
      <c r="G45033" s="812"/>
    </row>
    <row r="45034" spans="7:7">
      <c r="G45034" s="812"/>
    </row>
    <row r="45035" spans="7:7">
      <c r="G45035" s="812"/>
    </row>
    <row r="45036" spans="7:7">
      <c r="G45036" s="812"/>
    </row>
    <row r="45037" spans="7:7">
      <c r="G45037" s="812"/>
    </row>
    <row r="45038" spans="7:7">
      <c r="G45038" s="812"/>
    </row>
    <row r="45039" spans="7:7">
      <c r="G45039" s="812"/>
    </row>
    <row r="45040" spans="7:7">
      <c r="G45040" s="812"/>
    </row>
    <row r="45041" spans="7:7">
      <c r="G45041" s="812"/>
    </row>
    <row r="45042" spans="7:7">
      <c r="G45042" s="812"/>
    </row>
    <row r="45043" spans="7:7">
      <c r="G45043" s="812"/>
    </row>
    <row r="45044" spans="7:7">
      <c r="G45044" s="812"/>
    </row>
    <row r="45045" spans="7:7">
      <c r="G45045" s="812"/>
    </row>
    <row r="45046" spans="7:7">
      <c r="G45046" s="812"/>
    </row>
    <row r="45047" spans="7:7">
      <c r="G45047" s="812"/>
    </row>
    <row r="45048" spans="7:7">
      <c r="G45048" s="812"/>
    </row>
    <row r="45049" spans="7:7">
      <c r="G45049" s="812"/>
    </row>
    <row r="45050" spans="7:7">
      <c r="G45050" s="812"/>
    </row>
    <row r="45051" spans="7:7">
      <c r="G45051" s="812"/>
    </row>
    <row r="45052" spans="7:7">
      <c r="G45052" s="812"/>
    </row>
    <row r="45053" spans="7:7">
      <c r="G45053" s="812"/>
    </row>
    <row r="45054" spans="7:7">
      <c r="G45054" s="812"/>
    </row>
    <row r="45055" spans="7:7">
      <c r="G45055" s="812"/>
    </row>
    <row r="45056" spans="7:7">
      <c r="G45056" s="812"/>
    </row>
    <row r="45057" spans="7:7">
      <c r="G45057" s="812"/>
    </row>
    <row r="45058" spans="7:7">
      <c r="G45058" s="812"/>
    </row>
    <row r="45059" spans="7:7">
      <c r="G45059" s="812"/>
    </row>
    <row r="45060" spans="7:7">
      <c r="G45060" s="812"/>
    </row>
    <row r="45061" spans="7:7">
      <c r="G45061" s="812"/>
    </row>
    <row r="45062" spans="7:7">
      <c r="G45062" s="812"/>
    </row>
    <row r="45063" spans="7:7">
      <c r="G45063" s="812"/>
    </row>
    <row r="45064" spans="7:7">
      <c r="G45064" s="812"/>
    </row>
    <row r="45065" spans="7:7">
      <c r="G45065" s="812"/>
    </row>
    <row r="45066" spans="7:7">
      <c r="G45066" s="812"/>
    </row>
    <row r="45067" spans="7:7">
      <c r="G45067" s="812"/>
    </row>
    <row r="45068" spans="7:7">
      <c r="G45068" s="812"/>
    </row>
    <row r="45069" spans="7:7">
      <c r="G45069" s="812"/>
    </row>
    <row r="45070" spans="7:7">
      <c r="G45070" s="812"/>
    </row>
    <row r="45071" spans="7:7">
      <c r="G45071" s="812"/>
    </row>
    <row r="45072" spans="7:7">
      <c r="G45072" s="812"/>
    </row>
    <row r="45073" spans="7:7">
      <c r="G45073" s="812"/>
    </row>
    <row r="45074" spans="7:7">
      <c r="G45074" s="812"/>
    </row>
    <row r="45075" spans="7:7">
      <c r="G45075" s="812"/>
    </row>
    <row r="45076" spans="7:7">
      <c r="G45076" s="812"/>
    </row>
    <row r="45077" spans="7:7">
      <c r="G45077" s="812"/>
    </row>
    <row r="45078" spans="7:7">
      <c r="G45078" s="812"/>
    </row>
    <row r="45079" spans="7:7">
      <c r="G45079" s="812"/>
    </row>
    <row r="45080" spans="7:7">
      <c r="G45080" s="812"/>
    </row>
    <row r="45081" spans="7:7">
      <c r="G45081" s="812"/>
    </row>
    <row r="45082" spans="7:7">
      <c r="G45082" s="812"/>
    </row>
    <row r="45083" spans="7:7">
      <c r="G45083" s="812"/>
    </row>
    <row r="45084" spans="7:7">
      <c r="G45084" s="812"/>
    </row>
    <row r="45085" spans="7:7">
      <c r="G45085" s="812"/>
    </row>
    <row r="45086" spans="7:7">
      <c r="G45086" s="812"/>
    </row>
    <row r="45087" spans="7:7">
      <c r="G45087" s="812"/>
    </row>
    <row r="45088" spans="7:7">
      <c r="G45088" s="812"/>
    </row>
    <row r="45089" spans="7:7">
      <c r="G45089" s="812"/>
    </row>
    <row r="45090" spans="7:7">
      <c r="G45090" s="812"/>
    </row>
    <row r="45091" spans="7:7">
      <c r="G45091" s="812"/>
    </row>
    <row r="45092" spans="7:7">
      <c r="G45092" s="812"/>
    </row>
    <row r="45093" spans="7:7">
      <c r="G45093" s="812"/>
    </row>
    <row r="45094" spans="7:7">
      <c r="G45094" s="812"/>
    </row>
    <row r="45095" spans="7:7">
      <c r="G45095" s="812"/>
    </row>
    <row r="45096" spans="7:7">
      <c r="G45096" s="812"/>
    </row>
    <row r="45097" spans="7:7">
      <c r="G45097" s="812"/>
    </row>
    <row r="45098" spans="7:7">
      <c r="G45098" s="812"/>
    </row>
    <row r="45099" spans="7:7">
      <c r="G45099" s="812"/>
    </row>
    <row r="45100" spans="7:7">
      <c r="G45100" s="812"/>
    </row>
    <row r="45101" spans="7:7">
      <c r="G45101" s="812"/>
    </row>
    <row r="45102" spans="7:7">
      <c r="G45102" s="812"/>
    </row>
    <row r="45103" spans="7:7">
      <c r="G45103" s="812"/>
    </row>
    <row r="45104" spans="7:7">
      <c r="G45104" s="812"/>
    </row>
    <row r="45105" spans="7:7">
      <c r="G45105" s="812"/>
    </row>
    <row r="45106" spans="7:7">
      <c r="G45106" s="812"/>
    </row>
    <row r="45107" spans="7:7">
      <c r="G45107" s="812"/>
    </row>
    <row r="45108" spans="7:7">
      <c r="G45108" s="812"/>
    </row>
    <row r="45109" spans="7:7">
      <c r="G45109" s="812"/>
    </row>
    <row r="45110" spans="7:7">
      <c r="G45110" s="812"/>
    </row>
    <row r="45111" spans="7:7">
      <c r="G45111" s="812"/>
    </row>
    <row r="45112" spans="7:7">
      <c r="G45112" s="812"/>
    </row>
    <row r="45113" spans="7:7">
      <c r="G45113" s="812"/>
    </row>
    <row r="45114" spans="7:7">
      <c r="G45114" s="812"/>
    </row>
    <row r="45115" spans="7:7">
      <c r="G45115" s="812"/>
    </row>
    <row r="45116" spans="7:7">
      <c r="G45116" s="812"/>
    </row>
    <row r="45117" spans="7:7">
      <c r="G45117" s="812"/>
    </row>
    <row r="45118" spans="7:7">
      <c r="G45118" s="812"/>
    </row>
    <row r="45119" spans="7:7">
      <c r="G45119" s="812"/>
    </row>
    <row r="45120" spans="7:7">
      <c r="G45120" s="812"/>
    </row>
    <row r="45121" spans="7:7">
      <c r="G45121" s="812"/>
    </row>
    <row r="45122" spans="7:7">
      <c r="G45122" s="812"/>
    </row>
    <row r="45123" spans="7:7">
      <c r="G45123" s="812"/>
    </row>
    <row r="45124" spans="7:7">
      <c r="G45124" s="812"/>
    </row>
    <row r="45125" spans="7:7">
      <c r="G45125" s="812"/>
    </row>
    <row r="45126" spans="7:7">
      <c r="G45126" s="812"/>
    </row>
    <row r="45127" spans="7:7">
      <c r="G45127" s="812"/>
    </row>
    <row r="45128" spans="7:7">
      <c r="G45128" s="812"/>
    </row>
    <row r="45129" spans="7:7">
      <c r="G45129" s="812"/>
    </row>
    <row r="45130" spans="7:7">
      <c r="G45130" s="812"/>
    </row>
    <row r="45131" spans="7:7">
      <c r="G45131" s="812"/>
    </row>
    <row r="45132" spans="7:7">
      <c r="G45132" s="812"/>
    </row>
    <row r="45133" spans="7:7">
      <c r="G45133" s="812"/>
    </row>
    <row r="45134" spans="7:7">
      <c r="G45134" s="812"/>
    </row>
    <row r="45135" spans="7:7">
      <c r="G45135" s="812"/>
    </row>
    <row r="45136" spans="7:7">
      <c r="G45136" s="812"/>
    </row>
    <row r="45137" spans="7:7">
      <c r="G45137" s="812"/>
    </row>
    <row r="45138" spans="7:7">
      <c r="G45138" s="812"/>
    </row>
    <row r="45139" spans="7:7">
      <c r="G45139" s="812"/>
    </row>
    <row r="45140" spans="7:7">
      <c r="G45140" s="812"/>
    </row>
    <row r="45141" spans="7:7">
      <c r="G45141" s="812"/>
    </row>
    <row r="45142" spans="7:7">
      <c r="G45142" s="812"/>
    </row>
    <row r="45143" spans="7:7">
      <c r="G45143" s="812"/>
    </row>
    <row r="45144" spans="7:7">
      <c r="G45144" s="812"/>
    </row>
    <row r="45145" spans="7:7">
      <c r="G45145" s="812"/>
    </row>
    <row r="45146" spans="7:7">
      <c r="G45146" s="812"/>
    </row>
    <row r="45147" spans="7:7">
      <c r="G45147" s="812"/>
    </row>
    <row r="45148" spans="7:7">
      <c r="G45148" s="812"/>
    </row>
    <row r="45149" spans="7:7">
      <c r="G45149" s="812"/>
    </row>
    <row r="45150" spans="7:7">
      <c r="G45150" s="812"/>
    </row>
    <row r="45151" spans="7:7">
      <c r="G45151" s="812"/>
    </row>
    <row r="45152" spans="7:7">
      <c r="G45152" s="812"/>
    </row>
    <row r="45153" spans="7:7">
      <c r="G45153" s="812"/>
    </row>
    <row r="45154" spans="7:7">
      <c r="G45154" s="812"/>
    </row>
    <row r="45155" spans="7:7">
      <c r="G45155" s="812"/>
    </row>
    <row r="45156" spans="7:7">
      <c r="G45156" s="812"/>
    </row>
    <row r="45157" spans="7:7">
      <c r="G45157" s="812"/>
    </row>
    <row r="45158" spans="7:7">
      <c r="G45158" s="812"/>
    </row>
    <row r="45159" spans="7:7">
      <c r="G45159" s="812"/>
    </row>
    <row r="45160" spans="7:7">
      <c r="G45160" s="812"/>
    </row>
    <row r="45161" spans="7:7">
      <c r="G45161" s="812"/>
    </row>
    <row r="45162" spans="7:7">
      <c r="G45162" s="812"/>
    </row>
    <row r="45163" spans="7:7">
      <c r="G45163" s="812"/>
    </row>
    <row r="45164" spans="7:7">
      <c r="G45164" s="812"/>
    </row>
    <row r="45165" spans="7:7">
      <c r="G45165" s="812"/>
    </row>
    <row r="45166" spans="7:7">
      <c r="G45166" s="812"/>
    </row>
    <row r="45167" spans="7:7">
      <c r="G45167" s="812"/>
    </row>
    <row r="45168" spans="7:7">
      <c r="G45168" s="812"/>
    </row>
    <row r="45169" spans="7:7">
      <c r="G45169" s="812"/>
    </row>
    <row r="45170" spans="7:7">
      <c r="G45170" s="812"/>
    </row>
    <row r="45171" spans="7:7">
      <c r="G45171" s="812"/>
    </row>
    <row r="45172" spans="7:7">
      <c r="G45172" s="812"/>
    </row>
    <row r="45173" spans="7:7">
      <c r="G45173" s="812"/>
    </row>
    <row r="45174" spans="7:7">
      <c r="G45174" s="812"/>
    </row>
    <row r="45175" spans="7:7">
      <c r="G45175" s="812"/>
    </row>
    <row r="45176" spans="7:7">
      <c r="G45176" s="812"/>
    </row>
    <row r="45177" spans="7:7">
      <c r="G45177" s="812"/>
    </row>
    <row r="45178" spans="7:7">
      <c r="G45178" s="812"/>
    </row>
    <row r="45179" spans="7:7">
      <c r="G45179" s="812"/>
    </row>
    <row r="45180" spans="7:7">
      <c r="G45180" s="812"/>
    </row>
    <row r="45181" spans="7:7">
      <c r="G45181" s="812"/>
    </row>
    <row r="45182" spans="7:7">
      <c r="G45182" s="812"/>
    </row>
    <row r="45183" spans="7:7">
      <c r="G45183" s="812"/>
    </row>
    <row r="45184" spans="7:7">
      <c r="G45184" s="812"/>
    </row>
    <row r="45185" spans="7:7">
      <c r="G45185" s="812"/>
    </row>
    <row r="45186" spans="7:7">
      <c r="G45186" s="812"/>
    </row>
    <row r="45187" spans="7:7">
      <c r="G45187" s="812"/>
    </row>
    <row r="45188" spans="7:7">
      <c r="G45188" s="812"/>
    </row>
    <row r="45189" spans="7:7">
      <c r="G45189" s="812"/>
    </row>
    <row r="45190" spans="7:7">
      <c r="G45190" s="812"/>
    </row>
    <row r="45191" spans="7:7">
      <c r="G45191" s="812"/>
    </row>
    <row r="45192" spans="7:7">
      <c r="G45192" s="812"/>
    </row>
    <row r="45193" spans="7:7">
      <c r="G45193" s="812"/>
    </row>
    <row r="45194" spans="7:7">
      <c r="G45194" s="812"/>
    </row>
    <row r="45195" spans="7:7">
      <c r="G45195" s="812"/>
    </row>
    <row r="45196" spans="7:7">
      <c r="G45196" s="812"/>
    </row>
    <row r="45197" spans="7:7">
      <c r="G45197" s="812"/>
    </row>
    <row r="45198" spans="7:7">
      <c r="G45198" s="812"/>
    </row>
    <row r="45199" spans="7:7">
      <c r="G45199" s="812"/>
    </row>
    <row r="45200" spans="7:7">
      <c r="G45200" s="812"/>
    </row>
    <row r="45201" spans="7:7">
      <c r="G45201" s="812"/>
    </row>
    <row r="45202" spans="7:7">
      <c r="G45202" s="812"/>
    </row>
    <row r="45203" spans="7:7">
      <c r="G45203" s="812"/>
    </row>
    <row r="45204" spans="7:7">
      <c r="G45204" s="812"/>
    </row>
    <row r="45205" spans="7:7">
      <c r="G45205" s="812"/>
    </row>
    <row r="45206" spans="7:7">
      <c r="G45206" s="812"/>
    </row>
    <row r="45207" spans="7:7">
      <c r="G45207" s="812"/>
    </row>
    <row r="45208" spans="7:7">
      <c r="G45208" s="812"/>
    </row>
    <row r="45209" spans="7:7">
      <c r="G45209" s="812"/>
    </row>
    <row r="45210" spans="7:7">
      <c r="G45210" s="812"/>
    </row>
    <row r="45211" spans="7:7">
      <c r="G45211" s="812"/>
    </row>
    <row r="45212" spans="7:7">
      <c r="G45212" s="812"/>
    </row>
    <row r="45213" spans="7:7">
      <c r="G45213" s="812"/>
    </row>
    <row r="45214" spans="7:7">
      <c r="G45214" s="812"/>
    </row>
    <row r="45215" spans="7:7">
      <c r="G45215" s="812"/>
    </row>
    <row r="45216" spans="7:7">
      <c r="G45216" s="812"/>
    </row>
    <row r="45217" spans="7:7">
      <c r="G45217" s="812"/>
    </row>
    <row r="45218" spans="7:7">
      <c r="G45218" s="812"/>
    </row>
    <row r="45219" spans="7:7">
      <c r="G45219" s="812"/>
    </row>
    <row r="45220" spans="7:7">
      <c r="G45220" s="812"/>
    </row>
    <row r="45221" spans="7:7">
      <c r="G45221" s="812"/>
    </row>
    <row r="45222" spans="7:7">
      <c r="G45222" s="812"/>
    </row>
    <row r="45223" spans="7:7">
      <c r="G45223" s="812"/>
    </row>
    <row r="45224" spans="7:7">
      <c r="G45224" s="812"/>
    </row>
    <row r="45225" spans="7:7">
      <c r="G45225" s="812"/>
    </row>
    <row r="45226" spans="7:7">
      <c r="G45226" s="812"/>
    </row>
    <row r="45227" spans="7:7">
      <c r="G45227" s="812"/>
    </row>
    <row r="45228" spans="7:7">
      <c r="G45228" s="812"/>
    </row>
    <row r="45229" spans="7:7">
      <c r="G45229" s="812"/>
    </row>
    <row r="45230" spans="7:7">
      <c r="G45230" s="812"/>
    </row>
    <row r="45231" spans="7:7">
      <c r="G45231" s="812"/>
    </row>
    <row r="45232" spans="7:7">
      <c r="G45232" s="812"/>
    </row>
    <row r="45233" spans="7:7">
      <c r="G45233" s="812"/>
    </row>
    <row r="45234" spans="7:7">
      <c r="G45234" s="812"/>
    </row>
    <row r="45235" spans="7:7">
      <c r="G45235" s="812"/>
    </row>
    <row r="45236" spans="7:7">
      <c r="G45236" s="812"/>
    </row>
    <row r="45237" spans="7:7">
      <c r="G45237" s="812"/>
    </row>
    <row r="45238" spans="7:7">
      <c r="G45238" s="812"/>
    </row>
    <row r="45239" spans="7:7">
      <c r="G45239" s="812"/>
    </row>
    <row r="45240" spans="7:7">
      <c r="G45240" s="812"/>
    </row>
    <row r="45241" spans="7:7">
      <c r="G45241" s="812"/>
    </row>
    <row r="45242" spans="7:7">
      <c r="G45242" s="812"/>
    </row>
    <row r="45243" spans="7:7">
      <c r="G45243" s="812"/>
    </row>
    <row r="45244" spans="7:7">
      <c r="G45244" s="812"/>
    </row>
    <row r="45245" spans="7:7">
      <c r="G45245" s="812"/>
    </row>
    <row r="45246" spans="7:7">
      <c r="G45246" s="812"/>
    </row>
    <row r="45247" spans="7:7">
      <c r="G45247" s="812"/>
    </row>
    <row r="45248" spans="7:7">
      <c r="G45248" s="812"/>
    </row>
    <row r="45249" spans="7:7">
      <c r="G45249" s="812"/>
    </row>
    <row r="45250" spans="7:7">
      <c r="G45250" s="812"/>
    </row>
    <row r="45251" spans="7:7">
      <c r="G45251" s="812"/>
    </row>
    <row r="45252" spans="7:7">
      <c r="G45252" s="812"/>
    </row>
    <row r="45253" spans="7:7">
      <c r="G45253" s="812"/>
    </row>
    <row r="45254" spans="7:7">
      <c r="G45254" s="812"/>
    </row>
    <row r="45255" spans="7:7">
      <c r="G45255" s="812"/>
    </row>
    <row r="45256" spans="7:7">
      <c r="G45256" s="812"/>
    </row>
    <row r="45257" spans="7:7">
      <c r="G45257" s="812"/>
    </row>
    <row r="45258" spans="7:7">
      <c r="G45258" s="812"/>
    </row>
    <row r="45259" spans="7:7">
      <c r="G45259" s="812"/>
    </row>
    <row r="45260" spans="7:7">
      <c r="G45260" s="812"/>
    </row>
    <row r="45261" spans="7:7">
      <c r="G45261" s="812"/>
    </row>
    <row r="45262" spans="7:7">
      <c r="G45262" s="812"/>
    </row>
    <row r="45263" spans="7:7">
      <c r="G45263" s="812"/>
    </row>
    <row r="45264" spans="7:7">
      <c r="G45264" s="812"/>
    </row>
    <row r="45265" spans="7:7">
      <c r="G45265" s="812"/>
    </row>
    <row r="45266" spans="7:7">
      <c r="G45266" s="812"/>
    </row>
    <row r="45267" spans="7:7">
      <c r="G45267" s="812"/>
    </row>
    <row r="45268" spans="7:7">
      <c r="G45268" s="812"/>
    </row>
    <row r="45269" spans="7:7">
      <c r="G45269" s="812"/>
    </row>
    <row r="45270" spans="7:7">
      <c r="G45270" s="812"/>
    </row>
    <row r="45271" spans="7:7">
      <c r="G45271" s="812"/>
    </row>
    <row r="45272" spans="7:7">
      <c r="G45272" s="812"/>
    </row>
    <row r="45273" spans="7:7">
      <c r="G45273" s="812"/>
    </row>
    <row r="45274" spans="7:7">
      <c r="G45274" s="812"/>
    </row>
    <row r="45275" spans="7:7">
      <c r="G45275" s="812"/>
    </row>
    <row r="45276" spans="7:7">
      <c r="G45276" s="812"/>
    </row>
    <row r="45277" spans="7:7">
      <c r="G45277" s="812"/>
    </row>
    <row r="45278" spans="7:7">
      <c r="G45278" s="812"/>
    </row>
    <row r="45279" spans="7:7">
      <c r="G45279" s="812"/>
    </row>
    <row r="45280" spans="7:7">
      <c r="G45280" s="812"/>
    </row>
    <row r="45281" spans="7:7">
      <c r="G45281" s="812"/>
    </row>
    <row r="45282" spans="7:7">
      <c r="G45282" s="812"/>
    </row>
    <row r="45283" spans="7:7">
      <c r="G45283" s="812"/>
    </row>
    <row r="45284" spans="7:7">
      <c r="G45284" s="812"/>
    </row>
    <row r="45285" spans="7:7">
      <c r="G45285" s="812"/>
    </row>
    <row r="45286" spans="7:7">
      <c r="G45286" s="812"/>
    </row>
    <row r="45287" spans="7:7">
      <c r="G45287" s="812"/>
    </row>
    <row r="45288" spans="7:7">
      <c r="G45288" s="812"/>
    </row>
    <row r="45289" spans="7:7">
      <c r="G45289" s="812"/>
    </row>
    <row r="45290" spans="7:7">
      <c r="G45290" s="812"/>
    </row>
    <row r="45291" spans="7:7">
      <c r="G45291" s="812"/>
    </row>
    <row r="45292" spans="7:7">
      <c r="G45292" s="812"/>
    </row>
    <row r="45293" spans="7:7">
      <c r="G45293" s="812"/>
    </row>
    <row r="45294" spans="7:7">
      <c r="G45294" s="812"/>
    </row>
    <row r="45295" spans="7:7">
      <c r="G45295" s="812"/>
    </row>
    <row r="45296" spans="7:7">
      <c r="G45296" s="812"/>
    </row>
    <row r="45297" spans="7:7">
      <c r="G45297" s="812"/>
    </row>
    <row r="45298" spans="7:7">
      <c r="G45298" s="812"/>
    </row>
    <row r="45299" spans="7:7">
      <c r="G45299" s="812"/>
    </row>
    <row r="45300" spans="7:7">
      <c r="G45300" s="812"/>
    </row>
    <row r="45301" spans="7:7">
      <c r="G45301" s="812"/>
    </row>
    <row r="45302" spans="7:7">
      <c r="G45302" s="812"/>
    </row>
    <row r="45303" spans="7:7">
      <c r="G45303" s="812"/>
    </row>
    <row r="45304" spans="7:7">
      <c r="G45304" s="812"/>
    </row>
    <row r="45305" spans="7:7">
      <c r="G45305" s="812"/>
    </row>
    <row r="45306" spans="7:7">
      <c r="G45306" s="812"/>
    </row>
    <row r="45307" spans="7:7">
      <c r="G45307" s="812"/>
    </row>
    <row r="45308" spans="7:7">
      <c r="G45308" s="812"/>
    </row>
    <row r="45309" spans="7:7">
      <c r="G45309" s="812"/>
    </row>
    <row r="45310" spans="7:7">
      <c r="G45310" s="812"/>
    </row>
    <row r="45311" spans="7:7">
      <c r="G45311" s="812"/>
    </row>
    <row r="45312" spans="7:7">
      <c r="G45312" s="812"/>
    </row>
    <row r="45313" spans="7:7">
      <c r="G45313" s="812"/>
    </row>
    <row r="45314" spans="7:7">
      <c r="G45314" s="812"/>
    </row>
    <row r="45315" spans="7:7">
      <c r="G45315" s="812"/>
    </row>
    <row r="45316" spans="7:7">
      <c r="G45316" s="812"/>
    </row>
    <row r="45317" spans="7:7">
      <c r="G45317" s="812"/>
    </row>
    <row r="45318" spans="7:7">
      <c r="G45318" s="812"/>
    </row>
    <row r="45319" spans="7:7">
      <c r="G45319" s="812"/>
    </row>
    <row r="45320" spans="7:7">
      <c r="G45320" s="812"/>
    </row>
    <row r="45321" spans="7:7">
      <c r="G45321" s="812"/>
    </row>
    <row r="45322" spans="7:7">
      <c r="G45322" s="812"/>
    </row>
    <row r="45323" spans="7:7">
      <c r="G45323" s="812"/>
    </row>
    <row r="45324" spans="7:7">
      <c r="G45324" s="812"/>
    </row>
    <row r="45325" spans="7:7">
      <c r="G45325" s="812"/>
    </row>
    <row r="45326" spans="7:7">
      <c r="G45326" s="812"/>
    </row>
    <row r="45327" spans="7:7">
      <c r="G45327" s="812"/>
    </row>
    <row r="45328" spans="7:7">
      <c r="G45328" s="812"/>
    </row>
    <row r="45329" spans="7:7">
      <c r="G45329" s="812"/>
    </row>
    <row r="45330" spans="7:7">
      <c r="G45330" s="812"/>
    </row>
    <row r="45331" spans="7:7">
      <c r="G45331" s="812"/>
    </row>
    <row r="45332" spans="7:7">
      <c r="G45332" s="812"/>
    </row>
    <row r="45333" spans="7:7">
      <c r="G45333" s="812"/>
    </row>
    <row r="45334" spans="7:7">
      <c r="G45334" s="812"/>
    </row>
    <row r="45335" spans="7:7">
      <c r="G45335" s="812"/>
    </row>
    <row r="45336" spans="7:7">
      <c r="G45336" s="812"/>
    </row>
    <row r="45337" spans="7:7">
      <c r="G45337" s="812"/>
    </row>
    <row r="45338" spans="7:7">
      <c r="G45338" s="812"/>
    </row>
    <row r="45339" spans="7:7">
      <c r="G45339" s="812"/>
    </row>
    <row r="45340" spans="7:7">
      <c r="G45340" s="812"/>
    </row>
    <row r="45341" spans="7:7">
      <c r="G45341" s="812"/>
    </row>
    <row r="45342" spans="7:7">
      <c r="G45342" s="812"/>
    </row>
    <row r="45343" spans="7:7">
      <c r="G45343" s="812"/>
    </row>
    <row r="45344" spans="7:7">
      <c r="G45344" s="812"/>
    </row>
    <row r="45345" spans="7:7">
      <c r="G45345" s="812"/>
    </row>
    <row r="45346" spans="7:7">
      <c r="G45346" s="812"/>
    </row>
    <row r="45347" spans="7:7">
      <c r="G45347" s="812"/>
    </row>
    <row r="45348" spans="7:7">
      <c r="G45348" s="812"/>
    </row>
    <row r="45349" spans="7:7">
      <c r="G45349" s="812"/>
    </row>
    <row r="45350" spans="7:7">
      <c r="G45350" s="812"/>
    </row>
    <row r="45351" spans="7:7">
      <c r="G45351" s="812"/>
    </row>
    <row r="45352" spans="7:7">
      <c r="G45352" s="812"/>
    </row>
    <row r="45353" spans="7:7">
      <c r="G45353" s="812"/>
    </row>
    <row r="45354" spans="7:7">
      <c r="G45354" s="812"/>
    </row>
    <row r="45355" spans="7:7">
      <c r="G45355" s="812"/>
    </row>
    <row r="45356" spans="7:7">
      <c r="G45356" s="812"/>
    </row>
    <row r="45357" spans="7:7">
      <c r="G45357" s="812"/>
    </row>
    <row r="45358" spans="7:7">
      <c r="G45358" s="812"/>
    </row>
    <row r="45359" spans="7:7">
      <c r="G45359" s="812"/>
    </row>
    <row r="45360" spans="7:7">
      <c r="G45360" s="812"/>
    </row>
    <row r="45361" spans="7:7">
      <c r="G45361" s="812"/>
    </row>
    <row r="45362" spans="7:7">
      <c r="G45362" s="812"/>
    </row>
    <row r="45363" spans="7:7">
      <c r="G45363" s="812"/>
    </row>
    <row r="45364" spans="7:7">
      <c r="G45364" s="812"/>
    </row>
    <row r="45365" spans="7:7">
      <c r="G45365" s="812"/>
    </row>
    <row r="45366" spans="7:7">
      <c r="G45366" s="812"/>
    </row>
    <row r="45367" spans="7:7">
      <c r="G45367" s="812"/>
    </row>
    <row r="45368" spans="7:7">
      <c r="G45368" s="812"/>
    </row>
    <row r="45369" spans="7:7">
      <c r="G45369" s="812"/>
    </row>
    <row r="45370" spans="7:7">
      <c r="G45370" s="812"/>
    </row>
    <row r="45371" spans="7:7">
      <c r="G45371" s="812"/>
    </row>
    <row r="45372" spans="7:7">
      <c r="G45372" s="812"/>
    </row>
    <row r="45373" spans="7:7">
      <c r="G45373" s="812"/>
    </row>
    <row r="45374" spans="7:7">
      <c r="G45374" s="812"/>
    </row>
    <row r="45375" spans="7:7">
      <c r="G45375" s="812"/>
    </row>
    <row r="45376" spans="7:7">
      <c r="G45376" s="812"/>
    </row>
    <row r="45377" spans="7:7">
      <c r="G45377" s="812"/>
    </row>
    <row r="45378" spans="7:7">
      <c r="G45378" s="812"/>
    </row>
    <row r="45379" spans="7:7">
      <c r="G45379" s="812"/>
    </row>
    <row r="45380" spans="7:7">
      <c r="G45380" s="812"/>
    </row>
    <row r="45381" spans="7:7">
      <c r="G45381" s="812"/>
    </row>
    <row r="45382" spans="7:7">
      <c r="G45382" s="812"/>
    </row>
    <row r="45383" spans="7:7">
      <c r="G45383" s="812"/>
    </row>
    <row r="45384" spans="7:7">
      <c r="G45384" s="812"/>
    </row>
    <row r="45385" spans="7:7">
      <c r="G45385" s="812"/>
    </row>
    <row r="45386" spans="7:7">
      <c r="G45386" s="812"/>
    </row>
    <row r="45387" spans="7:7">
      <c r="G45387" s="812"/>
    </row>
    <row r="45388" spans="7:7">
      <c r="G45388" s="812"/>
    </row>
    <row r="45389" spans="7:7">
      <c r="G45389" s="812"/>
    </row>
    <row r="45390" spans="7:7">
      <c r="G45390" s="812"/>
    </row>
    <row r="45391" spans="7:7">
      <c r="G45391" s="812"/>
    </row>
    <row r="45392" spans="7:7">
      <c r="G45392" s="812"/>
    </row>
    <row r="45393" spans="7:7">
      <c r="G45393" s="812"/>
    </row>
    <row r="45394" spans="7:7">
      <c r="G45394" s="812"/>
    </row>
    <row r="45395" spans="7:7">
      <c r="G45395" s="812"/>
    </row>
    <row r="45396" spans="7:7">
      <c r="G45396" s="812"/>
    </row>
    <row r="45397" spans="7:7">
      <c r="G45397" s="812"/>
    </row>
    <row r="45398" spans="7:7">
      <c r="G45398" s="812"/>
    </row>
    <row r="45399" spans="7:7">
      <c r="G45399" s="812"/>
    </row>
    <row r="45400" spans="7:7">
      <c r="G45400" s="812"/>
    </row>
    <row r="45401" spans="7:7">
      <c r="G45401" s="812"/>
    </row>
    <row r="45402" spans="7:7">
      <c r="G45402" s="812"/>
    </row>
    <row r="45403" spans="7:7">
      <c r="G45403" s="812"/>
    </row>
    <row r="45404" spans="7:7">
      <c r="G45404" s="812"/>
    </row>
    <row r="45405" spans="7:7">
      <c r="G45405" s="812"/>
    </row>
    <row r="45406" spans="7:7">
      <c r="G45406" s="812"/>
    </row>
    <row r="45407" spans="7:7">
      <c r="G45407" s="812"/>
    </row>
    <row r="45408" spans="7:7">
      <c r="G45408" s="812"/>
    </row>
    <row r="45409" spans="7:7">
      <c r="G45409" s="812"/>
    </row>
    <row r="45410" spans="7:7">
      <c r="G45410" s="812"/>
    </row>
    <row r="45411" spans="7:7">
      <c r="G45411" s="812"/>
    </row>
    <row r="45412" spans="7:7">
      <c r="G45412" s="812"/>
    </row>
    <row r="45413" spans="7:7">
      <c r="G45413" s="812"/>
    </row>
    <row r="45414" spans="7:7">
      <c r="G45414" s="812"/>
    </row>
    <row r="45415" spans="7:7">
      <c r="G45415" s="812"/>
    </row>
    <row r="45416" spans="7:7">
      <c r="G45416" s="812"/>
    </row>
    <row r="45417" spans="7:7">
      <c r="G45417" s="812"/>
    </row>
    <row r="45418" spans="7:7">
      <c r="G45418" s="812"/>
    </row>
    <row r="45419" spans="7:7">
      <c r="G45419" s="812"/>
    </row>
    <row r="45420" spans="7:7">
      <c r="G45420" s="812"/>
    </row>
    <row r="45421" spans="7:7">
      <c r="G45421" s="812"/>
    </row>
    <row r="45422" spans="7:7">
      <c r="G45422" s="812"/>
    </row>
    <row r="45423" spans="7:7">
      <c r="G45423" s="812"/>
    </row>
    <row r="45424" spans="7:7">
      <c r="G45424" s="812"/>
    </row>
    <row r="45425" spans="7:7">
      <c r="G45425" s="812"/>
    </row>
    <row r="45426" spans="7:7">
      <c r="G45426" s="812"/>
    </row>
    <row r="45427" spans="7:7">
      <c r="G45427" s="812"/>
    </row>
    <row r="45428" spans="7:7">
      <c r="G45428" s="812"/>
    </row>
    <row r="45429" spans="7:7">
      <c r="G45429" s="812"/>
    </row>
    <row r="45430" spans="7:7">
      <c r="G45430" s="812"/>
    </row>
    <row r="45431" spans="7:7">
      <c r="G45431" s="812"/>
    </row>
    <row r="45432" spans="7:7">
      <c r="G45432" s="812"/>
    </row>
    <row r="45433" spans="7:7">
      <c r="G45433" s="812"/>
    </row>
    <row r="45434" spans="7:7">
      <c r="G45434" s="812"/>
    </row>
    <row r="45435" spans="7:7">
      <c r="G45435" s="812"/>
    </row>
    <row r="45436" spans="7:7">
      <c r="G45436" s="812"/>
    </row>
    <row r="45437" spans="7:7">
      <c r="G45437" s="812"/>
    </row>
    <row r="45438" spans="7:7">
      <c r="G45438" s="812"/>
    </row>
    <row r="45439" spans="7:7">
      <c r="G45439" s="812"/>
    </row>
    <row r="45440" spans="7:7">
      <c r="G45440" s="812"/>
    </row>
    <row r="45441" spans="7:7">
      <c r="G45441" s="812"/>
    </row>
    <row r="45442" spans="7:7">
      <c r="G45442" s="812"/>
    </row>
    <row r="45443" spans="7:7">
      <c r="G45443" s="812"/>
    </row>
    <row r="45444" spans="7:7">
      <c r="G45444" s="812"/>
    </row>
    <row r="45445" spans="7:7">
      <c r="G45445" s="812"/>
    </row>
    <row r="45446" spans="7:7">
      <c r="G45446" s="812"/>
    </row>
    <row r="45447" spans="7:7">
      <c r="G45447" s="812"/>
    </row>
    <row r="45448" spans="7:7">
      <c r="G45448" s="812"/>
    </row>
    <row r="45449" spans="7:7">
      <c r="G45449" s="812"/>
    </row>
    <row r="45450" spans="7:7">
      <c r="G45450" s="812"/>
    </row>
    <row r="45451" spans="7:7">
      <c r="G45451" s="812"/>
    </row>
    <row r="45452" spans="7:7">
      <c r="G45452" s="812"/>
    </row>
    <row r="45453" spans="7:7">
      <c r="G45453" s="812"/>
    </row>
    <row r="45454" spans="7:7">
      <c r="G45454" s="812"/>
    </row>
    <row r="45455" spans="7:7">
      <c r="G45455" s="812"/>
    </row>
    <row r="45456" spans="7:7">
      <c r="G45456" s="812"/>
    </row>
    <row r="45457" spans="7:7">
      <c r="G45457" s="812"/>
    </row>
    <row r="45458" spans="7:7">
      <c r="G45458" s="812"/>
    </row>
    <row r="45459" spans="7:7">
      <c r="G45459" s="812"/>
    </row>
    <row r="45460" spans="7:7">
      <c r="G45460" s="812"/>
    </row>
    <row r="45461" spans="7:7">
      <c r="G45461" s="812"/>
    </row>
    <row r="45462" spans="7:7">
      <c r="G45462" s="812"/>
    </row>
    <row r="45463" spans="7:7">
      <c r="G45463" s="812"/>
    </row>
    <row r="45464" spans="7:7">
      <c r="G45464" s="812"/>
    </row>
    <row r="45465" spans="7:7">
      <c r="G45465" s="812"/>
    </row>
    <row r="45466" spans="7:7">
      <c r="G45466" s="812"/>
    </row>
    <row r="45467" spans="7:7">
      <c r="G45467" s="812"/>
    </row>
    <row r="45468" spans="7:7">
      <c r="G45468" s="812"/>
    </row>
    <row r="45469" spans="7:7">
      <c r="G45469" s="812"/>
    </row>
    <row r="45470" spans="7:7">
      <c r="G45470" s="812"/>
    </row>
    <row r="45471" spans="7:7">
      <c r="G45471" s="812"/>
    </row>
    <row r="45472" spans="7:7">
      <c r="G45472" s="812"/>
    </row>
    <row r="45473" spans="7:7">
      <c r="G45473" s="812"/>
    </row>
    <row r="45474" spans="7:7">
      <c r="G45474" s="812"/>
    </row>
    <row r="45475" spans="7:7">
      <c r="G45475" s="812"/>
    </row>
    <row r="45476" spans="7:7">
      <c r="G45476" s="812"/>
    </row>
    <row r="45477" spans="7:7">
      <c r="G45477" s="812"/>
    </row>
    <row r="45478" spans="7:7">
      <c r="G45478" s="812"/>
    </row>
    <row r="45479" spans="7:7">
      <c r="G45479" s="812"/>
    </row>
    <row r="45480" spans="7:7">
      <c r="G45480" s="812"/>
    </row>
    <row r="45481" spans="7:7">
      <c r="G45481" s="812"/>
    </row>
    <row r="45482" spans="7:7">
      <c r="G45482" s="812"/>
    </row>
    <row r="45483" spans="7:7">
      <c r="G45483" s="812"/>
    </row>
    <row r="45484" spans="7:7">
      <c r="G45484" s="812"/>
    </row>
    <row r="45485" spans="7:7">
      <c r="G45485" s="812"/>
    </row>
    <row r="45486" spans="7:7">
      <c r="G45486" s="812"/>
    </row>
    <row r="45487" spans="7:7">
      <c r="G45487" s="812"/>
    </row>
    <row r="45488" spans="7:7">
      <c r="G45488" s="812"/>
    </row>
    <row r="45489" spans="7:7">
      <c r="G45489" s="812"/>
    </row>
    <row r="45490" spans="7:7">
      <c r="G45490" s="812"/>
    </row>
    <row r="45491" spans="7:7">
      <c r="G45491" s="812"/>
    </row>
    <row r="45492" spans="7:7">
      <c r="G45492" s="812"/>
    </row>
    <row r="45493" spans="7:7">
      <c r="G45493" s="812"/>
    </row>
    <row r="45494" spans="7:7">
      <c r="G45494" s="812"/>
    </row>
    <row r="45495" spans="7:7">
      <c r="G45495" s="812"/>
    </row>
    <row r="45496" spans="7:7">
      <c r="G45496" s="812"/>
    </row>
    <row r="45497" spans="7:7">
      <c r="G45497" s="812"/>
    </row>
    <row r="45498" spans="7:7">
      <c r="G45498" s="812"/>
    </row>
    <row r="45499" spans="7:7">
      <c r="G45499" s="812"/>
    </row>
    <row r="45500" spans="7:7">
      <c r="G45500" s="812"/>
    </row>
    <row r="45501" spans="7:7">
      <c r="G45501" s="812"/>
    </row>
    <row r="45502" spans="7:7">
      <c r="G45502" s="812"/>
    </row>
    <row r="45503" spans="7:7">
      <c r="G45503" s="812"/>
    </row>
    <row r="45504" spans="7:7">
      <c r="G45504" s="812"/>
    </row>
    <row r="45505" spans="7:7">
      <c r="G45505" s="812"/>
    </row>
    <row r="45506" spans="7:7">
      <c r="G45506" s="812"/>
    </row>
    <row r="45507" spans="7:7">
      <c r="G45507" s="812"/>
    </row>
    <row r="45508" spans="7:7">
      <c r="G45508" s="812"/>
    </row>
    <row r="45509" spans="7:7">
      <c r="G45509" s="812"/>
    </row>
    <row r="45510" spans="7:7">
      <c r="G45510" s="812"/>
    </row>
    <row r="45511" spans="7:7">
      <c r="G45511" s="812"/>
    </row>
    <row r="45512" spans="7:7">
      <c r="G45512" s="812"/>
    </row>
    <row r="45513" spans="7:7">
      <c r="G45513" s="812"/>
    </row>
    <row r="45514" spans="7:7">
      <c r="G45514" s="812"/>
    </row>
    <row r="45515" spans="7:7">
      <c r="G45515" s="812"/>
    </row>
    <row r="45516" spans="7:7">
      <c r="G45516" s="812"/>
    </row>
    <row r="45517" spans="7:7">
      <c r="G45517" s="812"/>
    </row>
    <row r="45518" spans="7:7">
      <c r="G45518" s="812"/>
    </row>
    <row r="45519" spans="7:7">
      <c r="G45519" s="812"/>
    </row>
    <row r="45520" spans="7:7">
      <c r="G45520" s="812"/>
    </row>
    <row r="45521" spans="7:7">
      <c r="G45521" s="812"/>
    </row>
    <row r="45522" spans="7:7">
      <c r="G45522" s="812"/>
    </row>
    <row r="45523" spans="7:7">
      <c r="G45523" s="812"/>
    </row>
    <row r="45524" spans="7:7">
      <c r="G45524" s="812"/>
    </row>
    <row r="45525" spans="7:7">
      <c r="G45525" s="812"/>
    </row>
    <row r="45526" spans="7:7">
      <c r="G45526" s="812"/>
    </row>
    <row r="45527" spans="7:7">
      <c r="G45527" s="812"/>
    </row>
    <row r="45528" spans="7:7">
      <c r="G45528" s="812"/>
    </row>
    <row r="45529" spans="7:7">
      <c r="G45529" s="812"/>
    </row>
    <row r="45530" spans="7:7">
      <c r="G45530" s="812"/>
    </row>
    <row r="45531" spans="7:7">
      <c r="G45531" s="812"/>
    </row>
    <row r="45532" spans="7:7">
      <c r="G45532" s="812"/>
    </row>
    <row r="45533" spans="7:7">
      <c r="G45533" s="812"/>
    </row>
    <row r="45534" spans="7:7">
      <c r="G45534" s="812"/>
    </row>
    <row r="45535" spans="7:7">
      <c r="G45535" s="812"/>
    </row>
    <row r="45536" spans="7:7">
      <c r="G45536" s="812"/>
    </row>
    <row r="45537" spans="7:7">
      <c r="G45537" s="812"/>
    </row>
    <row r="45538" spans="7:7">
      <c r="G45538" s="812"/>
    </row>
    <row r="45539" spans="7:7">
      <c r="G45539" s="812"/>
    </row>
    <row r="45540" spans="7:7">
      <c r="G45540" s="812"/>
    </row>
    <row r="45541" spans="7:7">
      <c r="G45541" s="812"/>
    </row>
    <row r="45542" spans="7:7">
      <c r="G45542" s="812"/>
    </row>
    <row r="45543" spans="7:7">
      <c r="G45543" s="812"/>
    </row>
    <row r="45544" spans="7:7">
      <c r="G45544" s="812"/>
    </row>
    <row r="45545" spans="7:7">
      <c r="G45545" s="812"/>
    </row>
    <row r="45546" spans="7:7">
      <c r="G45546" s="812"/>
    </row>
    <row r="45547" spans="7:7">
      <c r="G45547" s="812"/>
    </row>
    <row r="45548" spans="7:7">
      <c r="G45548" s="812"/>
    </row>
    <row r="45549" spans="7:7">
      <c r="G45549" s="812"/>
    </row>
    <row r="45550" spans="7:7">
      <c r="G45550" s="812"/>
    </row>
    <row r="45551" spans="7:7">
      <c r="G45551" s="812"/>
    </row>
    <row r="45552" spans="7:7">
      <c r="G45552" s="812"/>
    </row>
    <row r="45553" spans="7:7">
      <c r="G45553" s="812"/>
    </row>
    <row r="45554" spans="7:7">
      <c r="G45554" s="812"/>
    </row>
    <row r="45555" spans="7:7">
      <c r="G45555" s="812"/>
    </row>
    <row r="45556" spans="7:7">
      <c r="G45556" s="812"/>
    </row>
    <row r="45557" spans="7:7">
      <c r="G45557" s="812"/>
    </row>
    <row r="45558" spans="7:7">
      <c r="G45558" s="812"/>
    </row>
    <row r="45559" spans="7:7">
      <c r="G45559" s="812"/>
    </row>
    <row r="45560" spans="7:7">
      <c r="G45560" s="812"/>
    </row>
    <row r="45561" spans="7:7">
      <c r="G45561" s="812"/>
    </row>
    <row r="45562" spans="7:7">
      <c r="G45562" s="812"/>
    </row>
    <row r="45563" spans="7:7">
      <c r="G45563" s="812"/>
    </row>
    <row r="45564" spans="7:7">
      <c r="G45564" s="812"/>
    </row>
    <row r="45565" spans="7:7">
      <c r="G45565" s="812"/>
    </row>
    <row r="45566" spans="7:7">
      <c r="G45566" s="812"/>
    </row>
    <row r="45567" spans="7:7">
      <c r="G45567" s="812"/>
    </row>
    <row r="45568" spans="7:7">
      <c r="G45568" s="812"/>
    </row>
    <row r="45569" spans="7:7">
      <c r="G45569" s="812"/>
    </row>
    <row r="45570" spans="7:7">
      <c r="G45570" s="812"/>
    </row>
    <row r="45571" spans="7:7">
      <c r="G45571" s="812"/>
    </row>
    <row r="45572" spans="7:7">
      <c r="G45572" s="812"/>
    </row>
    <row r="45573" spans="7:7">
      <c r="G45573" s="812"/>
    </row>
    <row r="45574" spans="7:7">
      <c r="G45574" s="812"/>
    </row>
    <row r="45575" spans="7:7">
      <c r="G45575" s="812"/>
    </row>
    <row r="45576" spans="7:7">
      <c r="G45576" s="812"/>
    </row>
    <row r="45577" spans="7:7">
      <c r="G45577" s="812"/>
    </row>
    <row r="45578" spans="7:7">
      <c r="G45578" s="812"/>
    </row>
    <row r="45579" spans="7:7">
      <c r="G45579" s="812"/>
    </row>
    <row r="45580" spans="7:7">
      <c r="G45580" s="812"/>
    </row>
    <row r="45581" spans="7:7">
      <c r="G45581" s="812"/>
    </row>
    <row r="45582" spans="7:7">
      <c r="G45582" s="812"/>
    </row>
    <row r="45583" spans="7:7">
      <c r="G45583" s="812"/>
    </row>
    <row r="45584" spans="7:7">
      <c r="G45584" s="812"/>
    </row>
    <row r="45585" spans="7:7">
      <c r="G45585" s="812"/>
    </row>
    <row r="45586" spans="7:7">
      <c r="G45586" s="812"/>
    </row>
    <row r="45587" spans="7:7">
      <c r="G45587" s="812"/>
    </row>
    <row r="45588" spans="7:7">
      <c r="G45588" s="812"/>
    </row>
    <row r="45589" spans="7:7">
      <c r="G45589" s="812"/>
    </row>
    <row r="45590" spans="7:7">
      <c r="G45590" s="812"/>
    </row>
    <row r="45591" spans="7:7">
      <c r="G45591" s="812"/>
    </row>
    <row r="45592" spans="7:7">
      <c r="G45592" s="812"/>
    </row>
    <row r="45593" spans="7:7">
      <c r="G45593" s="812"/>
    </row>
    <row r="45594" spans="7:7">
      <c r="G45594" s="812"/>
    </row>
    <row r="45595" spans="7:7">
      <c r="G45595" s="812"/>
    </row>
    <row r="45596" spans="7:7">
      <c r="G45596" s="812"/>
    </row>
    <row r="45597" spans="7:7">
      <c r="G45597" s="812"/>
    </row>
    <row r="45598" spans="7:7">
      <c r="G45598" s="812"/>
    </row>
    <row r="45599" spans="7:7">
      <c r="G45599" s="812"/>
    </row>
    <row r="45600" spans="7:7">
      <c r="G45600" s="812"/>
    </row>
    <row r="45601" spans="7:7">
      <c r="G45601" s="812"/>
    </row>
    <row r="45602" spans="7:7">
      <c r="G45602" s="812"/>
    </row>
    <row r="45603" spans="7:7">
      <c r="G45603" s="812"/>
    </row>
    <row r="45604" spans="7:7">
      <c r="G45604" s="812"/>
    </row>
    <row r="45605" spans="7:7">
      <c r="G45605" s="812"/>
    </row>
    <row r="45606" spans="7:7">
      <c r="G45606" s="812"/>
    </row>
    <row r="45607" spans="7:7">
      <c r="G45607" s="812"/>
    </row>
    <row r="45608" spans="7:7">
      <c r="G45608" s="812"/>
    </row>
    <row r="45609" spans="7:7">
      <c r="G45609" s="812"/>
    </row>
    <row r="45610" spans="7:7">
      <c r="G45610" s="812"/>
    </row>
    <row r="45611" spans="7:7">
      <c r="G45611" s="812"/>
    </row>
    <row r="45612" spans="7:7">
      <c r="G45612" s="812"/>
    </row>
    <row r="45613" spans="7:7">
      <c r="G45613" s="812"/>
    </row>
    <row r="45614" spans="7:7">
      <c r="G45614" s="812"/>
    </row>
    <row r="45615" spans="7:7">
      <c r="G45615" s="812"/>
    </row>
    <row r="45616" spans="7:7">
      <c r="G45616" s="812"/>
    </row>
    <row r="45617" spans="7:7">
      <c r="G45617" s="812"/>
    </row>
    <row r="45618" spans="7:7">
      <c r="G45618" s="812"/>
    </row>
    <row r="45619" spans="7:7">
      <c r="G45619" s="812"/>
    </row>
    <row r="45620" spans="7:7">
      <c r="G45620" s="812"/>
    </row>
    <row r="45621" spans="7:7">
      <c r="G45621" s="812"/>
    </row>
    <row r="45622" spans="7:7">
      <c r="G45622" s="812"/>
    </row>
    <row r="45623" spans="7:7">
      <c r="G45623" s="812"/>
    </row>
    <row r="45624" spans="7:7">
      <c r="G45624" s="812"/>
    </row>
    <row r="45625" spans="7:7">
      <c r="G45625" s="812"/>
    </row>
    <row r="45626" spans="7:7">
      <c r="G45626" s="812"/>
    </row>
    <row r="45627" spans="7:7">
      <c r="G45627" s="812"/>
    </row>
    <row r="45628" spans="7:7">
      <c r="G45628" s="812"/>
    </row>
    <row r="45629" spans="7:7">
      <c r="G45629" s="812"/>
    </row>
    <row r="45630" spans="7:7">
      <c r="G45630" s="812"/>
    </row>
    <row r="45631" spans="7:7">
      <c r="G45631" s="812"/>
    </row>
    <row r="45632" spans="7:7">
      <c r="G45632" s="812"/>
    </row>
    <row r="45633" spans="7:7">
      <c r="G45633" s="812"/>
    </row>
    <row r="45634" spans="7:7">
      <c r="G45634" s="812"/>
    </row>
    <row r="45635" spans="7:7">
      <c r="G45635" s="812"/>
    </row>
    <row r="45636" spans="7:7">
      <c r="G45636" s="812"/>
    </row>
    <row r="45637" spans="7:7">
      <c r="G45637" s="812"/>
    </row>
    <row r="45638" spans="7:7">
      <c r="G45638" s="812"/>
    </row>
    <row r="45639" spans="7:7">
      <c r="G45639" s="812"/>
    </row>
    <row r="45640" spans="7:7">
      <c r="G45640" s="812"/>
    </row>
    <row r="45641" spans="7:7">
      <c r="G45641" s="812"/>
    </row>
    <row r="45642" spans="7:7">
      <c r="G45642" s="812"/>
    </row>
    <row r="45643" spans="7:7">
      <c r="G45643" s="812"/>
    </row>
    <row r="45644" spans="7:7">
      <c r="G45644" s="812"/>
    </row>
    <row r="45645" spans="7:7">
      <c r="G45645" s="812"/>
    </row>
    <row r="45646" spans="7:7">
      <c r="G45646" s="812"/>
    </row>
    <row r="45647" spans="7:7">
      <c r="G45647" s="812"/>
    </row>
    <row r="45648" spans="7:7">
      <c r="G45648" s="812"/>
    </row>
    <row r="45649" spans="7:7">
      <c r="G45649" s="812"/>
    </row>
    <row r="45650" spans="7:7">
      <c r="G45650" s="812"/>
    </row>
    <row r="45651" spans="7:7">
      <c r="G45651" s="812"/>
    </row>
    <row r="45652" spans="7:7">
      <c r="G45652" s="812"/>
    </row>
    <row r="45653" spans="7:7">
      <c r="G45653" s="812"/>
    </row>
    <row r="45654" spans="7:7">
      <c r="G45654" s="812"/>
    </row>
    <row r="45655" spans="7:7">
      <c r="G45655" s="812"/>
    </row>
    <row r="45656" spans="7:7">
      <c r="G45656" s="812"/>
    </row>
    <row r="45657" spans="7:7">
      <c r="G45657" s="812"/>
    </row>
    <row r="45658" spans="7:7">
      <c r="G45658" s="812"/>
    </row>
    <row r="45659" spans="7:7">
      <c r="G45659" s="812"/>
    </row>
    <row r="45660" spans="7:7">
      <c r="G45660" s="812"/>
    </row>
    <row r="45661" spans="7:7">
      <c r="G45661" s="812"/>
    </row>
    <row r="45662" spans="7:7">
      <c r="G45662" s="812"/>
    </row>
    <row r="45663" spans="7:7">
      <c r="G45663" s="812"/>
    </row>
    <row r="45664" spans="7:7">
      <c r="G45664" s="812"/>
    </row>
    <row r="45665" spans="7:7">
      <c r="G45665" s="812"/>
    </row>
    <row r="45666" spans="7:7">
      <c r="G45666" s="812"/>
    </row>
    <row r="45667" spans="7:7">
      <c r="G45667" s="812"/>
    </row>
    <row r="45668" spans="7:7">
      <c r="G45668" s="812"/>
    </row>
    <row r="45669" spans="7:7">
      <c r="G45669" s="812"/>
    </row>
    <row r="45670" spans="7:7">
      <c r="G45670" s="812"/>
    </row>
    <row r="45671" spans="7:7">
      <c r="G45671" s="812"/>
    </row>
    <row r="45672" spans="7:7">
      <c r="G45672" s="812"/>
    </row>
    <row r="45673" spans="7:7">
      <c r="G45673" s="812"/>
    </row>
    <row r="45674" spans="7:7">
      <c r="G45674" s="812"/>
    </row>
    <row r="45675" spans="7:7">
      <c r="G45675" s="812"/>
    </row>
    <row r="45676" spans="7:7">
      <c r="G45676" s="812"/>
    </row>
    <row r="45677" spans="7:7">
      <c r="G45677" s="812"/>
    </row>
    <row r="45678" spans="7:7">
      <c r="G45678" s="812"/>
    </row>
    <row r="45679" spans="7:7">
      <c r="G45679" s="812"/>
    </row>
    <row r="45680" spans="7:7">
      <c r="G45680" s="812"/>
    </row>
    <row r="45681" spans="7:7">
      <c r="G45681" s="812"/>
    </row>
    <row r="45682" spans="7:7">
      <c r="G45682" s="812"/>
    </row>
    <row r="45683" spans="7:7">
      <c r="G45683" s="812"/>
    </row>
    <row r="45684" spans="7:7">
      <c r="G45684" s="812"/>
    </row>
    <row r="45685" spans="7:7">
      <c r="G45685" s="812"/>
    </row>
    <row r="45686" spans="7:7">
      <c r="G45686" s="812"/>
    </row>
    <row r="45687" spans="7:7">
      <c r="G45687" s="812"/>
    </row>
    <row r="45688" spans="7:7">
      <c r="G45688" s="812"/>
    </row>
    <row r="45689" spans="7:7">
      <c r="G45689" s="812"/>
    </row>
    <row r="45690" spans="7:7">
      <c r="G45690" s="812"/>
    </row>
    <row r="45691" spans="7:7">
      <c r="G45691" s="812"/>
    </row>
    <row r="45692" spans="7:7">
      <c r="G45692" s="812"/>
    </row>
    <row r="45693" spans="7:7">
      <c r="G45693" s="812"/>
    </row>
    <row r="45694" spans="7:7">
      <c r="G45694" s="812"/>
    </row>
    <row r="45695" spans="7:7">
      <c r="G45695" s="812"/>
    </row>
    <row r="45696" spans="7:7">
      <c r="G45696" s="812"/>
    </row>
    <row r="45697" spans="7:7">
      <c r="G45697" s="812"/>
    </row>
    <row r="45698" spans="7:7">
      <c r="G45698" s="812"/>
    </row>
    <row r="45699" spans="7:7">
      <c r="G45699" s="812"/>
    </row>
    <row r="45700" spans="7:7">
      <c r="G45700" s="812"/>
    </row>
    <row r="45701" spans="7:7">
      <c r="G45701" s="812"/>
    </row>
    <row r="45702" spans="7:7">
      <c r="G45702" s="812"/>
    </row>
    <row r="45703" spans="7:7">
      <c r="G45703" s="812"/>
    </row>
    <row r="45704" spans="7:7">
      <c r="G45704" s="812"/>
    </row>
    <row r="45705" spans="7:7">
      <c r="G45705" s="812"/>
    </row>
    <row r="45706" spans="7:7">
      <c r="G45706" s="812"/>
    </row>
    <row r="45707" spans="7:7">
      <c r="G45707" s="812"/>
    </row>
    <row r="45708" spans="7:7">
      <c r="G45708" s="812"/>
    </row>
    <row r="45709" spans="7:7">
      <c r="G45709" s="812"/>
    </row>
    <row r="45710" spans="7:7">
      <c r="G45710" s="812"/>
    </row>
    <row r="45711" spans="7:7">
      <c r="G45711" s="812"/>
    </row>
    <row r="45712" spans="7:7">
      <c r="G45712" s="812"/>
    </row>
    <row r="45713" spans="7:7">
      <c r="G45713" s="812"/>
    </row>
    <row r="45714" spans="7:7">
      <c r="G45714" s="812"/>
    </row>
    <row r="45715" spans="7:7">
      <c r="G45715" s="812"/>
    </row>
    <row r="45716" spans="7:7">
      <c r="G45716" s="812"/>
    </row>
    <row r="45717" spans="7:7">
      <c r="G45717" s="812"/>
    </row>
    <row r="45718" spans="7:7">
      <c r="G45718" s="812"/>
    </row>
    <row r="45719" spans="7:7">
      <c r="G45719" s="812"/>
    </row>
    <row r="45720" spans="7:7">
      <c r="G45720" s="812"/>
    </row>
    <row r="45721" spans="7:7">
      <c r="G45721" s="812"/>
    </row>
    <row r="45722" spans="7:7">
      <c r="G45722" s="812"/>
    </row>
    <row r="45723" spans="7:7">
      <c r="G45723" s="812"/>
    </row>
    <row r="45724" spans="7:7">
      <c r="G45724" s="812"/>
    </row>
    <row r="45725" spans="7:7">
      <c r="G45725" s="812"/>
    </row>
    <row r="45726" spans="7:7">
      <c r="G45726" s="812"/>
    </row>
    <row r="45727" spans="7:7">
      <c r="G45727" s="812"/>
    </row>
    <row r="45728" spans="7:7">
      <c r="G45728" s="812"/>
    </row>
    <row r="45729" spans="7:7">
      <c r="G45729" s="812"/>
    </row>
    <row r="45730" spans="7:7">
      <c r="G45730" s="812"/>
    </row>
    <row r="45731" spans="7:7">
      <c r="G45731" s="812"/>
    </row>
    <row r="45732" spans="7:7">
      <c r="G45732" s="812"/>
    </row>
    <row r="45733" spans="7:7">
      <c r="G45733" s="812"/>
    </row>
    <row r="45734" spans="7:7">
      <c r="G45734" s="812"/>
    </row>
    <row r="45735" spans="7:7">
      <c r="G45735" s="812"/>
    </row>
    <row r="45736" spans="7:7">
      <c r="G45736" s="812"/>
    </row>
    <row r="45737" spans="7:7">
      <c r="G45737" s="812"/>
    </row>
    <row r="45738" spans="7:7">
      <c r="G45738" s="812"/>
    </row>
    <row r="45739" spans="7:7">
      <c r="G45739" s="812"/>
    </row>
    <row r="45740" spans="7:7">
      <c r="G45740" s="812"/>
    </row>
    <row r="45741" spans="7:7">
      <c r="G45741" s="812"/>
    </row>
    <row r="45742" spans="7:7">
      <c r="G45742" s="812"/>
    </row>
    <row r="45743" spans="7:7">
      <c r="G45743" s="812"/>
    </row>
    <row r="45744" spans="7:7">
      <c r="G45744" s="812"/>
    </row>
    <row r="45745" spans="7:7">
      <c r="G45745" s="812"/>
    </row>
    <row r="45746" spans="7:7">
      <c r="G45746" s="812"/>
    </row>
    <row r="45747" spans="7:7">
      <c r="G45747" s="812"/>
    </row>
    <row r="45748" spans="7:7">
      <c r="G45748" s="812"/>
    </row>
    <row r="45749" spans="7:7">
      <c r="G45749" s="812"/>
    </row>
    <row r="45750" spans="7:7">
      <c r="G45750" s="812"/>
    </row>
    <row r="45751" spans="7:7">
      <c r="G45751" s="812"/>
    </row>
    <row r="45752" spans="7:7">
      <c r="G45752" s="812"/>
    </row>
    <row r="45753" spans="7:7">
      <c r="G45753" s="812"/>
    </row>
    <row r="45754" spans="7:7">
      <c r="G45754" s="812"/>
    </row>
    <row r="45755" spans="7:7">
      <c r="G45755" s="812"/>
    </row>
    <row r="45756" spans="7:7">
      <c r="G45756" s="812"/>
    </row>
    <row r="45757" spans="7:7">
      <c r="G45757" s="812"/>
    </row>
    <row r="45758" spans="7:7">
      <c r="G45758" s="812"/>
    </row>
    <row r="45759" spans="7:7">
      <c r="G45759" s="812"/>
    </row>
    <row r="45760" spans="7:7">
      <c r="G45760" s="812"/>
    </row>
    <row r="45761" spans="7:7">
      <c r="G45761" s="812"/>
    </row>
    <row r="45762" spans="7:7">
      <c r="G45762" s="812"/>
    </row>
    <row r="45763" spans="7:7">
      <c r="G45763" s="812"/>
    </row>
    <row r="45764" spans="7:7">
      <c r="G45764" s="812"/>
    </row>
    <row r="45765" spans="7:7">
      <c r="G45765" s="812"/>
    </row>
    <row r="45766" spans="7:7">
      <c r="G45766" s="812"/>
    </row>
    <row r="45767" spans="7:7">
      <c r="G45767" s="812"/>
    </row>
    <row r="45768" spans="7:7">
      <c r="G45768" s="812"/>
    </row>
    <row r="45769" spans="7:7">
      <c r="G45769" s="812"/>
    </row>
    <row r="45770" spans="7:7">
      <c r="G45770" s="812"/>
    </row>
    <row r="45771" spans="7:7">
      <c r="G45771" s="812"/>
    </row>
    <row r="45772" spans="7:7">
      <c r="G45772" s="812"/>
    </row>
    <row r="45773" spans="7:7">
      <c r="G45773" s="812"/>
    </row>
    <row r="45774" spans="7:7">
      <c r="G45774" s="812"/>
    </row>
    <row r="45775" spans="7:7">
      <c r="G45775" s="812"/>
    </row>
    <row r="45776" spans="7:7">
      <c r="G45776" s="812"/>
    </row>
    <row r="45777" spans="7:7">
      <c r="G45777" s="812"/>
    </row>
    <row r="45778" spans="7:7">
      <c r="G45778" s="812"/>
    </row>
    <row r="45779" spans="7:7">
      <c r="G45779" s="812"/>
    </row>
    <row r="45780" spans="7:7">
      <c r="G45780" s="812"/>
    </row>
    <row r="45781" spans="7:7">
      <c r="G45781" s="812"/>
    </row>
    <row r="45782" spans="7:7">
      <c r="G45782" s="812"/>
    </row>
    <row r="45783" spans="7:7">
      <c r="G45783" s="812"/>
    </row>
    <row r="45784" spans="7:7">
      <c r="G45784" s="812"/>
    </row>
    <row r="45785" spans="7:7">
      <c r="G45785" s="812"/>
    </row>
    <row r="45786" spans="7:7">
      <c r="G45786" s="812"/>
    </row>
    <row r="45787" spans="7:7">
      <c r="G45787" s="812"/>
    </row>
    <row r="45788" spans="7:7">
      <c r="G45788" s="812"/>
    </row>
    <row r="45789" spans="7:7">
      <c r="G45789" s="812"/>
    </row>
    <row r="45790" spans="7:7">
      <c r="G45790" s="812"/>
    </row>
    <row r="45791" spans="7:7">
      <c r="G45791" s="812"/>
    </row>
    <row r="45792" spans="7:7">
      <c r="G45792" s="812"/>
    </row>
    <row r="45793" spans="7:7">
      <c r="G45793" s="812"/>
    </row>
    <row r="45794" spans="7:7">
      <c r="G45794" s="812"/>
    </row>
    <row r="45795" spans="7:7">
      <c r="G45795" s="812"/>
    </row>
    <row r="45796" spans="7:7">
      <c r="G45796" s="812"/>
    </row>
    <row r="45797" spans="7:7">
      <c r="G45797" s="812"/>
    </row>
    <row r="45798" spans="7:7">
      <c r="G45798" s="812"/>
    </row>
    <row r="45799" spans="7:7">
      <c r="G45799" s="812"/>
    </row>
    <row r="45800" spans="7:7">
      <c r="G45800" s="812"/>
    </row>
    <row r="45801" spans="7:7">
      <c r="G45801" s="812"/>
    </row>
    <row r="45802" spans="7:7">
      <c r="G45802" s="812"/>
    </row>
    <row r="45803" spans="7:7">
      <c r="G45803" s="812"/>
    </row>
    <row r="45804" spans="7:7">
      <c r="G45804" s="812"/>
    </row>
    <row r="45805" spans="7:7">
      <c r="G45805" s="812"/>
    </row>
    <row r="45806" spans="7:7">
      <c r="G45806" s="812"/>
    </row>
    <row r="45807" spans="7:7">
      <c r="G45807" s="812"/>
    </row>
    <row r="45808" spans="7:7">
      <c r="G45808" s="812"/>
    </row>
    <row r="45809" spans="7:7">
      <c r="G45809" s="812"/>
    </row>
    <row r="45810" spans="7:7">
      <c r="G45810" s="812"/>
    </row>
    <row r="45811" spans="7:7">
      <c r="G45811" s="812"/>
    </row>
    <row r="45812" spans="7:7">
      <c r="G45812" s="812"/>
    </row>
    <row r="45813" spans="7:7">
      <c r="G45813" s="812"/>
    </row>
    <row r="45814" spans="7:7">
      <c r="G45814" s="812"/>
    </row>
    <row r="45815" spans="7:7">
      <c r="G45815" s="812"/>
    </row>
    <row r="45816" spans="7:7">
      <c r="G45816" s="812"/>
    </row>
    <row r="45817" spans="7:7">
      <c r="G45817" s="812"/>
    </row>
    <row r="45818" spans="7:7">
      <c r="G45818" s="812"/>
    </row>
    <row r="45819" spans="7:7">
      <c r="G45819" s="812"/>
    </row>
    <row r="45820" spans="7:7">
      <c r="G45820" s="812"/>
    </row>
    <row r="45821" spans="7:7">
      <c r="G45821" s="812"/>
    </row>
    <row r="45822" spans="7:7">
      <c r="G45822" s="812"/>
    </row>
    <row r="45823" spans="7:7">
      <c r="G45823" s="812"/>
    </row>
    <row r="45824" spans="7:7">
      <c r="G45824" s="812"/>
    </row>
    <row r="45825" spans="7:7">
      <c r="G45825" s="812"/>
    </row>
    <row r="45826" spans="7:7">
      <c r="G45826" s="812"/>
    </row>
    <row r="45827" spans="7:7">
      <c r="G45827" s="812"/>
    </row>
    <row r="45828" spans="7:7">
      <c r="G45828" s="812"/>
    </row>
    <row r="45829" spans="7:7">
      <c r="G45829" s="812"/>
    </row>
    <row r="45830" spans="7:7">
      <c r="G45830" s="812"/>
    </row>
    <row r="45831" spans="7:7">
      <c r="G45831" s="812"/>
    </row>
    <row r="45832" spans="7:7">
      <c r="G45832" s="812"/>
    </row>
    <row r="45833" spans="7:7">
      <c r="G45833" s="812"/>
    </row>
    <row r="45834" spans="7:7">
      <c r="G45834" s="812"/>
    </row>
    <row r="45835" spans="7:7">
      <c r="G45835" s="812"/>
    </row>
    <row r="45836" spans="7:7">
      <c r="G45836" s="812"/>
    </row>
    <row r="45837" spans="7:7">
      <c r="G45837" s="812"/>
    </row>
    <row r="45838" spans="7:7">
      <c r="G45838" s="812"/>
    </row>
    <row r="45839" spans="7:7">
      <c r="G45839" s="812"/>
    </row>
    <row r="45840" spans="7:7">
      <c r="G45840" s="812"/>
    </row>
    <row r="45841" spans="7:7">
      <c r="G45841" s="812"/>
    </row>
    <row r="45842" spans="7:7">
      <c r="G45842" s="812"/>
    </row>
    <row r="45843" spans="7:7">
      <c r="G45843" s="812"/>
    </row>
    <row r="45844" spans="7:7">
      <c r="G45844" s="812"/>
    </row>
    <row r="45845" spans="7:7">
      <c r="G45845" s="812"/>
    </row>
    <row r="45846" spans="7:7">
      <c r="G45846" s="812"/>
    </row>
    <row r="45847" spans="7:7">
      <c r="G45847" s="812"/>
    </row>
    <row r="45848" spans="7:7">
      <c r="G45848" s="812"/>
    </row>
    <row r="45849" spans="7:7">
      <c r="G45849" s="812"/>
    </row>
    <row r="45850" spans="7:7">
      <c r="G45850" s="812"/>
    </row>
    <row r="45851" spans="7:7">
      <c r="G45851" s="812"/>
    </row>
    <row r="45852" spans="7:7">
      <c r="G45852" s="812"/>
    </row>
    <row r="45853" spans="7:7">
      <c r="G45853" s="812"/>
    </row>
    <row r="45854" spans="7:7">
      <c r="G45854" s="812"/>
    </row>
    <row r="45855" spans="7:7">
      <c r="G45855" s="812"/>
    </row>
    <row r="45856" spans="7:7">
      <c r="G45856" s="812"/>
    </row>
    <row r="45857" spans="7:7">
      <c r="G45857" s="812"/>
    </row>
    <row r="45858" spans="7:7">
      <c r="G45858" s="812"/>
    </row>
    <row r="45859" spans="7:7">
      <c r="G45859" s="812"/>
    </row>
    <row r="45860" spans="7:7">
      <c r="G45860" s="812"/>
    </row>
    <row r="45861" spans="7:7">
      <c r="G45861" s="812"/>
    </row>
    <row r="45862" spans="7:7">
      <c r="G45862" s="812"/>
    </row>
    <row r="45863" spans="7:7">
      <c r="G45863" s="812"/>
    </row>
    <row r="45864" spans="7:7">
      <c r="G45864" s="812"/>
    </row>
    <row r="45865" spans="7:7">
      <c r="G45865" s="812"/>
    </row>
    <row r="45866" spans="7:7">
      <c r="G45866" s="812"/>
    </row>
    <row r="45867" spans="7:7">
      <c r="G45867" s="812"/>
    </row>
    <row r="45868" spans="7:7">
      <c r="G45868" s="812"/>
    </row>
    <row r="45869" spans="7:7">
      <c r="G45869" s="812"/>
    </row>
    <row r="45870" spans="7:7">
      <c r="G45870" s="812"/>
    </row>
    <row r="45871" spans="7:7">
      <c r="G45871" s="812"/>
    </row>
    <row r="45872" spans="7:7">
      <c r="G45872" s="812"/>
    </row>
    <row r="45873" spans="7:7">
      <c r="G45873" s="812"/>
    </row>
    <row r="45874" spans="7:7">
      <c r="G45874" s="812"/>
    </row>
    <row r="45875" spans="7:7">
      <c r="G45875" s="812"/>
    </row>
    <row r="45876" spans="7:7">
      <c r="G45876" s="812"/>
    </row>
    <row r="45877" spans="7:7">
      <c r="G45877" s="812"/>
    </row>
    <row r="45878" spans="7:7">
      <c r="G45878" s="812"/>
    </row>
    <row r="45879" spans="7:7">
      <c r="G45879" s="812"/>
    </row>
    <row r="45880" spans="7:7">
      <c r="G45880" s="812"/>
    </row>
    <row r="45881" spans="7:7">
      <c r="G45881" s="812"/>
    </row>
    <row r="45882" spans="7:7">
      <c r="G45882" s="812"/>
    </row>
    <row r="45883" spans="7:7">
      <c r="G45883" s="812"/>
    </row>
    <row r="45884" spans="7:7">
      <c r="G45884" s="812"/>
    </row>
    <row r="45885" spans="7:7">
      <c r="G45885" s="812"/>
    </row>
    <row r="45886" spans="7:7">
      <c r="G45886" s="812"/>
    </row>
    <row r="45887" spans="7:7">
      <c r="G45887" s="812"/>
    </row>
    <row r="45888" spans="7:7">
      <c r="G45888" s="812"/>
    </row>
    <row r="45889" spans="7:7">
      <c r="G45889" s="812"/>
    </row>
    <row r="45890" spans="7:7">
      <c r="G45890" s="812"/>
    </row>
    <row r="45891" spans="7:7">
      <c r="G45891" s="812"/>
    </row>
    <row r="45892" spans="7:7">
      <c r="G45892" s="812"/>
    </row>
    <row r="45893" spans="7:7">
      <c r="G45893" s="812"/>
    </row>
    <row r="45894" spans="7:7">
      <c r="G45894" s="812"/>
    </row>
    <row r="45895" spans="7:7">
      <c r="G45895" s="812"/>
    </row>
    <row r="45896" spans="7:7">
      <c r="G45896" s="812"/>
    </row>
    <row r="45897" spans="7:7">
      <c r="G45897" s="812"/>
    </row>
    <row r="45898" spans="7:7">
      <c r="G45898" s="812"/>
    </row>
    <row r="45899" spans="7:7">
      <c r="G45899" s="812"/>
    </row>
    <row r="45900" spans="7:7">
      <c r="G45900" s="812"/>
    </row>
    <row r="45901" spans="7:7">
      <c r="G45901" s="812"/>
    </row>
    <row r="45902" spans="7:7">
      <c r="G45902" s="812"/>
    </row>
    <row r="45903" spans="7:7">
      <c r="G45903" s="812"/>
    </row>
    <row r="45904" spans="7:7">
      <c r="G45904" s="812"/>
    </row>
    <row r="45905" spans="7:7">
      <c r="G45905" s="812"/>
    </row>
    <row r="45906" spans="7:7">
      <c r="G45906" s="812"/>
    </row>
    <row r="45907" spans="7:7">
      <c r="G45907" s="812"/>
    </row>
    <row r="45908" spans="7:7">
      <c r="G45908" s="812"/>
    </row>
    <row r="45909" spans="7:7">
      <c r="G45909" s="812"/>
    </row>
    <row r="45910" spans="7:7">
      <c r="G45910" s="812"/>
    </row>
    <row r="45911" spans="7:7">
      <c r="G45911" s="812"/>
    </row>
    <row r="45912" spans="7:7">
      <c r="G45912" s="812"/>
    </row>
    <row r="45913" spans="7:7">
      <c r="G45913" s="812"/>
    </row>
    <row r="45914" spans="7:7">
      <c r="G45914" s="812"/>
    </row>
    <row r="45915" spans="7:7">
      <c r="G45915" s="812"/>
    </row>
    <row r="45916" spans="7:7">
      <c r="G45916" s="812"/>
    </row>
    <row r="45917" spans="7:7">
      <c r="G45917" s="812"/>
    </row>
    <row r="45918" spans="7:7">
      <c r="G45918" s="812"/>
    </row>
    <row r="45919" spans="7:7">
      <c r="G45919" s="812"/>
    </row>
    <row r="45920" spans="7:7">
      <c r="G45920" s="812"/>
    </row>
    <row r="45921" spans="7:7">
      <c r="G45921" s="812"/>
    </row>
    <row r="45922" spans="7:7">
      <c r="G45922" s="812"/>
    </row>
    <row r="45923" spans="7:7">
      <c r="G45923" s="812"/>
    </row>
    <row r="45924" spans="7:7">
      <c r="G45924" s="812"/>
    </row>
    <row r="45925" spans="7:7">
      <c r="G45925" s="812"/>
    </row>
    <row r="45926" spans="7:7">
      <c r="G45926" s="812"/>
    </row>
    <row r="45927" spans="7:7">
      <c r="G45927" s="812"/>
    </row>
    <row r="45928" spans="7:7">
      <c r="G45928" s="812"/>
    </row>
    <row r="45929" spans="7:7">
      <c r="G45929" s="812"/>
    </row>
    <row r="45930" spans="7:7">
      <c r="G45930" s="812"/>
    </row>
    <row r="45931" spans="7:7">
      <c r="G45931" s="812"/>
    </row>
    <row r="45932" spans="7:7">
      <c r="G45932" s="812"/>
    </row>
    <row r="45933" spans="7:7">
      <c r="G45933" s="812"/>
    </row>
    <row r="45934" spans="7:7">
      <c r="G45934" s="812"/>
    </row>
    <row r="45935" spans="7:7">
      <c r="G45935" s="812"/>
    </row>
    <row r="45936" spans="7:7">
      <c r="G45936" s="812"/>
    </row>
    <row r="45937" spans="7:7">
      <c r="G45937" s="812"/>
    </row>
    <row r="45938" spans="7:7">
      <c r="G45938" s="812"/>
    </row>
    <row r="45939" spans="7:7">
      <c r="G45939" s="812"/>
    </row>
    <row r="45940" spans="7:7">
      <c r="G45940" s="812"/>
    </row>
    <row r="45941" spans="7:7">
      <c r="G45941" s="812"/>
    </row>
    <row r="45942" spans="7:7">
      <c r="G45942" s="812"/>
    </row>
    <row r="45943" spans="7:7">
      <c r="G45943" s="812"/>
    </row>
    <row r="45944" spans="7:7">
      <c r="G45944" s="812"/>
    </row>
    <row r="45945" spans="7:7">
      <c r="G45945" s="812"/>
    </row>
    <row r="45946" spans="7:7">
      <c r="G45946" s="812"/>
    </row>
    <row r="45947" spans="7:7">
      <c r="G45947" s="812"/>
    </row>
    <row r="45948" spans="7:7">
      <c r="G45948" s="812"/>
    </row>
    <row r="45949" spans="7:7">
      <c r="G45949" s="812"/>
    </row>
    <row r="45950" spans="7:7">
      <c r="G45950" s="812"/>
    </row>
    <row r="45951" spans="7:7">
      <c r="G45951" s="812"/>
    </row>
    <row r="45952" spans="7:7">
      <c r="G45952" s="812"/>
    </row>
    <row r="45953" spans="7:7">
      <c r="G45953" s="812"/>
    </row>
    <row r="45954" spans="7:7">
      <c r="G45954" s="812"/>
    </row>
    <row r="45955" spans="7:7">
      <c r="G45955" s="812"/>
    </row>
    <row r="45956" spans="7:7">
      <c r="G45956" s="812"/>
    </row>
    <row r="45957" spans="7:7">
      <c r="G45957" s="812"/>
    </row>
    <row r="45958" spans="7:7">
      <c r="G45958" s="812"/>
    </row>
    <row r="45959" spans="7:7">
      <c r="G45959" s="812"/>
    </row>
    <row r="45960" spans="7:7">
      <c r="G45960" s="812"/>
    </row>
    <row r="45961" spans="7:7">
      <c r="G45961" s="812"/>
    </row>
    <row r="45962" spans="7:7">
      <c r="G45962" s="812"/>
    </row>
    <row r="45963" spans="7:7">
      <c r="G45963" s="812"/>
    </row>
    <row r="45964" spans="7:7">
      <c r="G45964" s="812"/>
    </row>
    <row r="45965" spans="7:7">
      <c r="G45965" s="812"/>
    </row>
    <row r="45966" spans="7:7">
      <c r="G45966" s="812"/>
    </row>
    <row r="45967" spans="7:7">
      <c r="G45967" s="812"/>
    </row>
    <row r="45968" spans="7:7">
      <c r="G45968" s="812"/>
    </row>
    <row r="45969" spans="7:7">
      <c r="G45969" s="812"/>
    </row>
    <row r="45970" spans="7:7">
      <c r="G45970" s="812"/>
    </row>
    <row r="45971" spans="7:7">
      <c r="G45971" s="812"/>
    </row>
    <row r="45972" spans="7:7">
      <c r="G45972" s="812"/>
    </row>
    <row r="45973" spans="7:7">
      <c r="G45973" s="812"/>
    </row>
    <row r="45974" spans="7:7">
      <c r="G45974" s="812"/>
    </row>
    <row r="45975" spans="7:7">
      <c r="G45975" s="812"/>
    </row>
    <row r="45976" spans="7:7">
      <c r="G45976" s="812"/>
    </row>
    <row r="45977" spans="7:7">
      <c r="G45977" s="812"/>
    </row>
    <row r="45978" spans="7:7">
      <c r="G45978" s="812"/>
    </row>
    <row r="45979" spans="7:7">
      <c r="G45979" s="812"/>
    </row>
    <row r="45980" spans="7:7">
      <c r="G45980" s="812"/>
    </row>
    <row r="45981" spans="7:7">
      <c r="G45981" s="812"/>
    </row>
    <row r="45982" spans="7:7">
      <c r="G45982" s="812"/>
    </row>
    <row r="45983" spans="7:7">
      <c r="G45983" s="812"/>
    </row>
    <row r="45984" spans="7:7">
      <c r="G45984" s="812"/>
    </row>
    <row r="45985" spans="7:7">
      <c r="G45985" s="812"/>
    </row>
    <row r="45986" spans="7:7">
      <c r="G45986" s="812"/>
    </row>
    <row r="45987" spans="7:7">
      <c r="G45987" s="812"/>
    </row>
    <row r="45988" spans="7:7">
      <c r="G45988" s="812"/>
    </row>
    <row r="45989" spans="7:7">
      <c r="G45989" s="812"/>
    </row>
    <row r="45990" spans="7:7">
      <c r="G45990" s="812"/>
    </row>
    <row r="45991" spans="7:7">
      <c r="G45991" s="812"/>
    </row>
    <row r="45992" spans="7:7">
      <c r="G45992" s="812"/>
    </row>
    <row r="45993" spans="7:7">
      <c r="G45993" s="812"/>
    </row>
    <row r="45994" spans="7:7">
      <c r="G45994" s="812"/>
    </row>
    <row r="45995" spans="7:7">
      <c r="G45995" s="812"/>
    </row>
    <row r="45996" spans="7:7">
      <c r="G45996" s="812"/>
    </row>
    <row r="45997" spans="7:7">
      <c r="G45997" s="812"/>
    </row>
    <row r="45998" spans="7:7">
      <c r="G45998" s="812"/>
    </row>
    <row r="45999" spans="7:7">
      <c r="G45999" s="812"/>
    </row>
    <row r="46000" spans="7:7">
      <c r="G46000" s="812"/>
    </row>
    <row r="46001" spans="7:7">
      <c r="G46001" s="812"/>
    </row>
    <row r="46002" spans="7:7">
      <c r="G46002" s="812"/>
    </row>
    <row r="46003" spans="7:7">
      <c r="G46003" s="812"/>
    </row>
    <row r="46004" spans="7:7">
      <c r="G46004" s="812"/>
    </row>
    <row r="46005" spans="7:7">
      <c r="G46005" s="812"/>
    </row>
    <row r="46006" spans="7:7">
      <c r="G46006" s="812"/>
    </row>
    <row r="46007" spans="7:7">
      <c r="G46007" s="812"/>
    </row>
    <row r="46008" spans="7:7">
      <c r="G46008" s="812"/>
    </row>
    <row r="46009" spans="7:7">
      <c r="G46009" s="812"/>
    </row>
    <row r="46010" spans="7:7">
      <c r="G46010" s="812"/>
    </row>
    <row r="46011" spans="7:7">
      <c r="G46011" s="812"/>
    </row>
    <row r="46012" spans="7:7">
      <c r="G46012" s="812"/>
    </row>
    <row r="46013" spans="7:7">
      <c r="G46013" s="812"/>
    </row>
    <row r="46014" spans="7:7">
      <c r="G46014" s="812"/>
    </row>
    <row r="46015" spans="7:7">
      <c r="G46015" s="812"/>
    </row>
    <row r="46016" spans="7:7">
      <c r="G46016" s="812"/>
    </row>
    <row r="46017" spans="7:7">
      <c r="G46017" s="812"/>
    </row>
    <row r="46018" spans="7:7">
      <c r="G46018" s="812"/>
    </row>
    <row r="46019" spans="7:7">
      <c r="G46019" s="812"/>
    </row>
    <row r="46020" spans="7:7">
      <c r="G46020" s="812"/>
    </row>
    <row r="46021" spans="7:7">
      <c r="G46021" s="812"/>
    </row>
    <row r="46022" spans="7:7">
      <c r="G46022" s="812"/>
    </row>
    <row r="46023" spans="7:7">
      <c r="G46023" s="812"/>
    </row>
    <row r="46024" spans="7:7">
      <c r="G46024" s="812"/>
    </row>
    <row r="46025" spans="7:7">
      <c r="G46025" s="812"/>
    </row>
    <row r="46026" spans="7:7">
      <c r="G46026" s="812"/>
    </row>
    <row r="46027" spans="7:7">
      <c r="G46027" s="812"/>
    </row>
    <row r="46028" spans="7:7">
      <c r="G46028" s="812"/>
    </row>
    <row r="46029" spans="7:7">
      <c r="G46029" s="812"/>
    </row>
    <row r="46030" spans="7:7">
      <c r="G46030" s="812"/>
    </row>
    <row r="46031" spans="7:7">
      <c r="G46031" s="812"/>
    </row>
    <row r="46032" spans="7:7">
      <c r="G46032" s="812"/>
    </row>
    <row r="46033" spans="7:7">
      <c r="G46033" s="812"/>
    </row>
    <row r="46034" spans="7:7">
      <c r="G46034" s="812"/>
    </row>
    <row r="46035" spans="7:7">
      <c r="G46035" s="812"/>
    </row>
    <row r="46036" spans="7:7">
      <c r="G46036" s="812"/>
    </row>
    <row r="46037" spans="7:7">
      <c r="G46037" s="812"/>
    </row>
    <row r="46038" spans="7:7">
      <c r="G46038" s="812"/>
    </row>
    <row r="46039" spans="7:7">
      <c r="G46039" s="812"/>
    </row>
    <row r="46040" spans="7:7">
      <c r="G46040" s="812"/>
    </row>
    <row r="46041" spans="7:7">
      <c r="G46041" s="812"/>
    </row>
    <row r="46042" spans="7:7">
      <c r="G46042" s="812"/>
    </row>
    <row r="46043" spans="7:7">
      <c r="G46043" s="812"/>
    </row>
    <row r="46044" spans="7:7">
      <c r="G46044" s="812"/>
    </row>
    <row r="46045" spans="7:7">
      <c r="G46045" s="812"/>
    </row>
    <row r="46046" spans="7:7">
      <c r="G46046" s="812"/>
    </row>
    <row r="46047" spans="7:7">
      <c r="G46047" s="812"/>
    </row>
    <row r="46048" spans="7:7">
      <c r="G46048" s="812"/>
    </row>
    <row r="46049" spans="7:7">
      <c r="G46049" s="812"/>
    </row>
    <row r="46050" spans="7:7">
      <c r="G46050" s="812"/>
    </row>
    <row r="46051" spans="7:7">
      <c r="G46051" s="812"/>
    </row>
    <row r="46052" spans="7:7">
      <c r="G46052" s="812"/>
    </row>
    <row r="46053" spans="7:7">
      <c r="G46053" s="812"/>
    </row>
    <row r="46054" spans="7:7">
      <c r="G46054" s="812"/>
    </row>
    <row r="46055" spans="7:7">
      <c r="G46055" s="812"/>
    </row>
    <row r="46056" spans="7:7">
      <c r="G46056" s="812"/>
    </row>
    <row r="46057" spans="7:7">
      <c r="G46057" s="812"/>
    </row>
    <row r="46058" spans="7:7">
      <c r="G46058" s="812"/>
    </row>
    <row r="46059" spans="7:7">
      <c r="G46059" s="812"/>
    </row>
    <row r="46060" spans="7:7">
      <c r="G46060" s="812"/>
    </row>
    <row r="46061" spans="7:7">
      <c r="G46061" s="812"/>
    </row>
    <row r="46062" spans="7:7">
      <c r="G46062" s="812"/>
    </row>
    <row r="46063" spans="7:7">
      <c r="G46063" s="812"/>
    </row>
    <row r="46064" spans="7:7">
      <c r="G46064" s="812"/>
    </row>
    <row r="46065" spans="7:7">
      <c r="G46065" s="812"/>
    </row>
    <row r="46066" spans="7:7">
      <c r="G46066" s="812"/>
    </row>
    <row r="46067" spans="7:7">
      <c r="G46067" s="812"/>
    </row>
    <row r="46068" spans="7:7">
      <c r="G46068" s="812"/>
    </row>
    <row r="46069" spans="7:7">
      <c r="G46069" s="812"/>
    </row>
    <row r="46070" spans="7:7">
      <c r="G46070" s="812"/>
    </row>
    <row r="46071" spans="7:7">
      <c r="G46071" s="812"/>
    </row>
    <row r="46072" spans="7:7">
      <c r="G46072" s="812"/>
    </row>
    <row r="46073" spans="7:7">
      <c r="G46073" s="812"/>
    </row>
    <row r="46074" spans="7:7">
      <c r="G46074" s="812"/>
    </row>
    <row r="46075" spans="7:7">
      <c r="G46075" s="812"/>
    </row>
    <row r="46076" spans="7:7">
      <c r="G46076" s="812"/>
    </row>
    <row r="46077" spans="7:7">
      <c r="G46077" s="812"/>
    </row>
    <row r="46078" spans="7:7">
      <c r="G46078" s="812"/>
    </row>
    <row r="46079" spans="7:7">
      <c r="G46079" s="812"/>
    </row>
    <row r="46080" spans="7:7">
      <c r="G46080" s="812"/>
    </row>
    <row r="46081" spans="7:7">
      <c r="G46081" s="812"/>
    </row>
    <row r="46082" spans="7:7">
      <c r="G46082" s="812"/>
    </row>
    <row r="46083" spans="7:7">
      <c r="G46083" s="812"/>
    </row>
    <row r="46084" spans="7:7">
      <c r="G46084" s="812"/>
    </row>
    <row r="46085" spans="7:7">
      <c r="G46085" s="812"/>
    </row>
    <row r="46086" spans="7:7">
      <c r="G46086" s="812"/>
    </row>
    <row r="46087" spans="7:7">
      <c r="G46087" s="812"/>
    </row>
    <row r="46088" spans="7:7">
      <c r="G46088" s="812"/>
    </row>
    <row r="46089" spans="7:7">
      <c r="G46089" s="812"/>
    </row>
    <row r="46090" spans="7:7">
      <c r="G46090" s="812"/>
    </row>
    <row r="46091" spans="7:7">
      <c r="G46091" s="812"/>
    </row>
    <row r="46092" spans="7:7">
      <c r="G46092" s="812"/>
    </row>
    <row r="46093" spans="7:7">
      <c r="G46093" s="812"/>
    </row>
    <row r="46094" spans="7:7">
      <c r="G46094" s="812"/>
    </row>
    <row r="46095" spans="7:7">
      <c r="G46095" s="812"/>
    </row>
    <row r="46096" spans="7:7">
      <c r="G46096" s="812"/>
    </row>
    <row r="46097" spans="7:7">
      <c r="G46097" s="812"/>
    </row>
    <row r="46098" spans="7:7">
      <c r="G46098" s="812"/>
    </row>
    <row r="46099" spans="7:7">
      <c r="G46099" s="812"/>
    </row>
    <row r="46100" spans="7:7">
      <c r="G46100" s="812"/>
    </row>
    <row r="46101" spans="7:7">
      <c r="G46101" s="812"/>
    </row>
    <row r="46102" spans="7:7">
      <c r="G46102" s="812"/>
    </row>
    <row r="46103" spans="7:7">
      <c r="G46103" s="812"/>
    </row>
    <row r="46104" spans="7:7">
      <c r="G46104" s="812"/>
    </row>
    <row r="46105" spans="7:7">
      <c r="G46105" s="812"/>
    </row>
    <row r="46106" spans="7:7">
      <c r="G46106" s="812"/>
    </row>
    <row r="46107" spans="7:7">
      <c r="G46107" s="812"/>
    </row>
    <row r="46108" spans="7:7">
      <c r="G46108" s="812"/>
    </row>
    <row r="46109" spans="7:7">
      <c r="G46109" s="812"/>
    </row>
    <row r="46110" spans="7:7">
      <c r="G46110" s="812"/>
    </row>
    <row r="46111" spans="7:7">
      <c r="G46111" s="812"/>
    </row>
    <row r="46112" spans="7:7">
      <c r="G46112" s="812"/>
    </row>
    <row r="46113" spans="7:7">
      <c r="G46113" s="812"/>
    </row>
    <row r="46114" spans="7:7">
      <c r="G46114" s="812"/>
    </row>
    <row r="46115" spans="7:7">
      <c r="G46115" s="812"/>
    </row>
    <row r="46116" spans="7:7">
      <c r="G46116" s="812"/>
    </row>
    <row r="46117" spans="7:7">
      <c r="G46117" s="812"/>
    </row>
    <row r="46118" spans="7:7">
      <c r="G46118" s="812"/>
    </row>
    <row r="46119" spans="7:7">
      <c r="G46119" s="812"/>
    </row>
    <row r="46120" spans="7:7">
      <c r="G46120" s="812"/>
    </row>
    <row r="46121" spans="7:7">
      <c r="G46121" s="812"/>
    </row>
    <row r="46122" spans="7:7">
      <c r="G46122" s="812"/>
    </row>
    <row r="46123" spans="7:7">
      <c r="G46123" s="812"/>
    </row>
    <row r="46124" spans="7:7">
      <c r="G46124" s="812"/>
    </row>
    <row r="46125" spans="7:7">
      <c r="G46125" s="812"/>
    </row>
    <row r="46126" spans="7:7">
      <c r="G46126" s="812"/>
    </row>
    <row r="46127" spans="7:7">
      <c r="G46127" s="812"/>
    </row>
    <row r="46128" spans="7:7">
      <c r="G46128" s="812"/>
    </row>
    <row r="46129" spans="7:7">
      <c r="G46129" s="812"/>
    </row>
    <row r="46130" spans="7:7">
      <c r="G46130" s="812"/>
    </row>
    <row r="46131" spans="7:7">
      <c r="G46131" s="812"/>
    </row>
    <row r="46132" spans="7:7">
      <c r="G46132" s="812"/>
    </row>
    <row r="46133" spans="7:7">
      <c r="G46133" s="812"/>
    </row>
    <row r="46134" spans="7:7">
      <c r="G46134" s="812"/>
    </row>
    <row r="46135" spans="7:7">
      <c r="G46135" s="812"/>
    </row>
    <row r="46136" spans="7:7">
      <c r="G46136" s="812"/>
    </row>
    <row r="46137" spans="7:7">
      <c r="G46137" s="812"/>
    </row>
    <row r="46138" spans="7:7">
      <c r="G46138" s="812"/>
    </row>
    <row r="46139" spans="7:7">
      <c r="G46139" s="812"/>
    </row>
    <row r="46140" spans="7:7">
      <c r="G46140" s="812"/>
    </row>
    <row r="46141" spans="7:7">
      <c r="G46141" s="812"/>
    </row>
    <row r="46142" spans="7:7">
      <c r="G46142" s="812"/>
    </row>
    <row r="46143" spans="7:7">
      <c r="G46143" s="812"/>
    </row>
    <row r="46144" spans="7:7">
      <c r="G46144" s="812"/>
    </row>
    <row r="46145" spans="7:7">
      <c r="G46145" s="812"/>
    </row>
    <row r="46146" spans="7:7">
      <c r="G46146" s="812"/>
    </row>
    <row r="46147" spans="7:7">
      <c r="G46147" s="812"/>
    </row>
    <row r="46148" spans="7:7">
      <c r="G46148" s="812"/>
    </row>
    <row r="46149" spans="7:7">
      <c r="G46149" s="812"/>
    </row>
    <row r="46150" spans="7:7">
      <c r="G46150" s="812"/>
    </row>
    <row r="46151" spans="7:7">
      <c r="G46151" s="812"/>
    </row>
    <row r="46152" spans="7:7">
      <c r="G46152" s="812"/>
    </row>
    <row r="46153" spans="7:7">
      <c r="G46153" s="812"/>
    </row>
    <row r="46154" spans="7:7">
      <c r="G46154" s="812"/>
    </row>
    <row r="46155" spans="7:7">
      <c r="G46155" s="812"/>
    </row>
    <row r="46156" spans="7:7">
      <c r="G46156" s="812"/>
    </row>
    <row r="46157" spans="7:7">
      <c r="G46157" s="812"/>
    </row>
    <row r="46158" spans="7:7">
      <c r="G46158" s="812"/>
    </row>
    <row r="46159" spans="7:7">
      <c r="G46159" s="812"/>
    </row>
    <row r="46160" spans="7:7">
      <c r="G46160" s="812"/>
    </row>
    <row r="46161" spans="7:7">
      <c r="G46161" s="812"/>
    </row>
    <row r="46162" spans="7:7">
      <c r="G46162" s="812"/>
    </row>
    <row r="46163" spans="7:7">
      <c r="G46163" s="812"/>
    </row>
    <row r="46164" spans="7:7">
      <c r="G46164" s="812"/>
    </row>
    <row r="46165" spans="7:7">
      <c r="G46165" s="812"/>
    </row>
    <row r="46166" spans="7:7">
      <c r="G46166" s="812"/>
    </row>
    <row r="46167" spans="7:7">
      <c r="G46167" s="812"/>
    </row>
    <row r="46168" spans="7:7">
      <c r="G46168" s="812"/>
    </row>
    <row r="46169" spans="7:7">
      <c r="G46169" s="812"/>
    </row>
    <row r="46170" spans="7:7">
      <c r="G46170" s="812"/>
    </row>
    <row r="46171" spans="7:7">
      <c r="G46171" s="812"/>
    </row>
    <row r="46172" spans="7:7">
      <c r="G46172" s="812"/>
    </row>
    <row r="46173" spans="7:7">
      <c r="G46173" s="812"/>
    </row>
    <row r="46174" spans="7:7">
      <c r="G46174" s="812"/>
    </row>
    <row r="46175" spans="7:7">
      <c r="G46175" s="812"/>
    </row>
    <row r="46176" spans="7:7">
      <c r="G46176" s="812"/>
    </row>
    <row r="46177" spans="7:7">
      <c r="G46177" s="812"/>
    </row>
    <row r="46178" spans="7:7">
      <c r="G46178" s="812"/>
    </row>
    <row r="46179" spans="7:7">
      <c r="G46179" s="812"/>
    </row>
    <row r="46180" spans="7:7">
      <c r="G46180" s="812"/>
    </row>
    <row r="46181" spans="7:7">
      <c r="G46181" s="812"/>
    </row>
    <row r="46182" spans="7:7">
      <c r="G46182" s="812"/>
    </row>
    <row r="46183" spans="7:7">
      <c r="G46183" s="812"/>
    </row>
    <row r="46184" spans="7:7">
      <c r="G46184" s="812"/>
    </row>
    <row r="46185" spans="7:7">
      <c r="G46185" s="812"/>
    </row>
    <row r="46186" spans="7:7">
      <c r="G46186" s="812"/>
    </row>
    <row r="46187" spans="7:7">
      <c r="G46187" s="812"/>
    </row>
    <row r="46188" spans="7:7">
      <c r="G46188" s="812"/>
    </row>
    <row r="46189" spans="7:7">
      <c r="G46189" s="812"/>
    </row>
    <row r="46190" spans="7:7">
      <c r="G46190" s="812"/>
    </row>
    <row r="46191" spans="7:7">
      <c r="G46191" s="812"/>
    </row>
    <row r="46192" spans="7:7">
      <c r="G46192" s="812"/>
    </row>
    <row r="46193" spans="7:7">
      <c r="G46193" s="812"/>
    </row>
    <row r="46194" spans="7:7">
      <c r="G46194" s="812"/>
    </row>
    <row r="46195" spans="7:7">
      <c r="G46195" s="812"/>
    </row>
    <row r="46196" spans="7:7">
      <c r="G46196" s="812"/>
    </row>
    <row r="46197" spans="7:7">
      <c r="G46197" s="812"/>
    </row>
    <row r="46198" spans="7:7">
      <c r="G46198" s="812"/>
    </row>
    <row r="46199" spans="7:7">
      <c r="G46199" s="812"/>
    </row>
    <row r="46200" spans="7:7">
      <c r="G46200" s="812"/>
    </row>
    <row r="46201" spans="7:7">
      <c r="G46201" s="812"/>
    </row>
    <row r="46202" spans="7:7">
      <c r="G46202" s="812"/>
    </row>
    <row r="46203" spans="7:7">
      <c r="G46203" s="812"/>
    </row>
    <row r="46204" spans="7:7">
      <c r="G46204" s="812"/>
    </row>
    <row r="46205" spans="7:7">
      <c r="G46205" s="812"/>
    </row>
    <row r="46206" spans="7:7">
      <c r="G46206" s="812"/>
    </row>
    <row r="46207" spans="7:7">
      <c r="G46207" s="812"/>
    </row>
    <row r="46208" spans="7:7">
      <c r="G46208" s="812"/>
    </row>
    <row r="46209" spans="7:7">
      <c r="G46209" s="812"/>
    </row>
    <row r="46210" spans="7:7">
      <c r="G46210" s="812"/>
    </row>
    <row r="46211" spans="7:7">
      <c r="G46211" s="812"/>
    </row>
    <row r="46212" spans="7:7">
      <c r="G46212" s="812"/>
    </row>
    <row r="46213" spans="7:7">
      <c r="G46213" s="812"/>
    </row>
    <row r="46214" spans="7:7">
      <c r="G46214" s="812"/>
    </row>
    <row r="46215" spans="7:7">
      <c r="G46215" s="812"/>
    </row>
    <row r="46216" spans="7:7">
      <c r="G46216" s="812"/>
    </row>
    <row r="46217" spans="7:7">
      <c r="G46217" s="812"/>
    </row>
    <row r="46218" spans="7:7">
      <c r="G46218" s="812"/>
    </row>
    <row r="46219" spans="7:7">
      <c r="G46219" s="812"/>
    </row>
    <row r="46220" spans="7:7">
      <c r="G46220" s="812"/>
    </row>
    <row r="46221" spans="7:7">
      <c r="G46221" s="812"/>
    </row>
    <row r="46222" spans="7:7">
      <c r="G46222" s="812"/>
    </row>
    <row r="46223" spans="7:7">
      <c r="G46223" s="812"/>
    </row>
    <row r="46224" spans="7:7">
      <c r="G46224" s="812"/>
    </row>
    <row r="46225" spans="7:7">
      <c r="G46225" s="812"/>
    </row>
    <row r="46226" spans="7:7">
      <c r="G46226" s="812"/>
    </row>
    <row r="46227" spans="7:7">
      <c r="G46227" s="812"/>
    </row>
    <row r="46228" spans="7:7">
      <c r="G46228" s="812"/>
    </row>
    <row r="46229" spans="7:7">
      <c r="G46229" s="812"/>
    </row>
    <row r="46230" spans="7:7">
      <c r="G46230" s="812"/>
    </row>
    <row r="46231" spans="7:7">
      <c r="G46231" s="812"/>
    </row>
    <row r="46232" spans="7:7">
      <c r="G46232" s="812"/>
    </row>
    <row r="46233" spans="7:7">
      <c r="G46233" s="812"/>
    </row>
    <row r="46234" spans="7:7">
      <c r="G46234" s="812"/>
    </row>
    <row r="46235" spans="7:7">
      <c r="G46235" s="812"/>
    </row>
    <row r="46236" spans="7:7">
      <c r="G46236" s="812"/>
    </row>
    <row r="46237" spans="7:7">
      <c r="G46237" s="812"/>
    </row>
    <row r="46238" spans="7:7">
      <c r="G46238" s="812"/>
    </row>
    <row r="46239" spans="7:7">
      <c r="G46239" s="812"/>
    </row>
    <row r="46240" spans="7:7">
      <c r="G46240" s="812"/>
    </row>
    <row r="46241" spans="7:7">
      <c r="G46241" s="812"/>
    </row>
    <row r="46242" spans="7:7">
      <c r="G46242" s="812"/>
    </row>
    <row r="46243" spans="7:7">
      <c r="G46243" s="812"/>
    </row>
    <row r="46244" spans="7:7">
      <c r="G46244" s="812"/>
    </row>
    <row r="46245" spans="7:7">
      <c r="G46245" s="812"/>
    </row>
    <row r="46246" spans="7:7">
      <c r="G46246" s="812"/>
    </row>
    <row r="46247" spans="7:7">
      <c r="G46247" s="812"/>
    </row>
    <row r="46248" spans="7:7">
      <c r="G46248" s="812"/>
    </row>
    <row r="46249" spans="7:7">
      <c r="G46249" s="812"/>
    </row>
    <row r="46250" spans="7:7">
      <c r="G46250" s="812"/>
    </row>
    <row r="46251" spans="7:7">
      <c r="G46251" s="812"/>
    </row>
    <row r="46252" spans="7:7">
      <c r="G46252" s="812"/>
    </row>
    <row r="46253" spans="7:7">
      <c r="G46253" s="812"/>
    </row>
    <row r="46254" spans="7:7">
      <c r="G46254" s="812"/>
    </row>
    <row r="46255" spans="7:7">
      <c r="G46255" s="812"/>
    </row>
    <row r="46256" spans="7:7">
      <c r="G46256" s="812"/>
    </row>
    <row r="46257" spans="7:7">
      <c r="G46257" s="812"/>
    </row>
    <row r="46258" spans="7:7">
      <c r="G46258" s="812"/>
    </row>
    <row r="46259" spans="7:7">
      <c r="G46259" s="812"/>
    </row>
    <row r="46260" spans="7:7">
      <c r="G46260" s="812"/>
    </row>
    <row r="46261" spans="7:7">
      <c r="G46261" s="812"/>
    </row>
    <row r="46262" spans="7:7">
      <c r="G46262" s="812"/>
    </row>
    <row r="46263" spans="7:7">
      <c r="G46263" s="812"/>
    </row>
    <row r="46264" spans="7:7">
      <c r="G46264" s="812"/>
    </row>
    <row r="46265" spans="7:7">
      <c r="G46265" s="812"/>
    </row>
    <row r="46266" spans="7:7">
      <c r="G46266" s="812"/>
    </row>
    <row r="46267" spans="7:7">
      <c r="G46267" s="812"/>
    </row>
    <row r="46268" spans="7:7">
      <c r="G46268" s="812"/>
    </row>
    <row r="46269" spans="7:7">
      <c r="G46269" s="812"/>
    </row>
    <row r="46270" spans="7:7">
      <c r="G46270" s="812"/>
    </row>
    <row r="46271" spans="7:7">
      <c r="G46271" s="812"/>
    </row>
    <row r="46272" spans="7:7">
      <c r="G46272" s="812"/>
    </row>
    <row r="46273" spans="7:7">
      <c r="G46273" s="812"/>
    </row>
    <row r="46274" spans="7:7">
      <c r="G46274" s="812"/>
    </row>
    <row r="46275" spans="7:7">
      <c r="G46275" s="812"/>
    </row>
    <row r="46276" spans="7:7">
      <c r="G46276" s="812"/>
    </row>
    <row r="46277" spans="7:7">
      <c r="G46277" s="812"/>
    </row>
    <row r="46278" spans="7:7">
      <c r="G46278" s="812"/>
    </row>
    <row r="46279" spans="7:7">
      <c r="G46279" s="812"/>
    </row>
    <row r="46280" spans="7:7">
      <c r="G46280" s="812"/>
    </row>
    <row r="46281" spans="7:7">
      <c r="G46281" s="812"/>
    </row>
    <row r="46282" spans="7:7">
      <c r="G46282" s="812"/>
    </row>
    <row r="46283" spans="7:7">
      <c r="G46283" s="812"/>
    </row>
    <row r="46284" spans="7:7">
      <c r="G46284" s="812"/>
    </row>
    <row r="46285" spans="7:7">
      <c r="G46285" s="812"/>
    </row>
    <row r="46286" spans="7:7">
      <c r="G46286" s="812"/>
    </row>
    <row r="46287" spans="7:7">
      <c r="G46287" s="812"/>
    </row>
    <row r="46288" spans="7:7">
      <c r="G46288" s="812"/>
    </row>
    <row r="46289" spans="7:7">
      <c r="G46289" s="812"/>
    </row>
    <row r="46290" spans="7:7">
      <c r="G46290" s="812"/>
    </row>
    <row r="46291" spans="7:7">
      <c r="G46291" s="812"/>
    </row>
    <row r="46292" spans="7:7">
      <c r="G46292" s="812"/>
    </row>
    <row r="46293" spans="7:7">
      <c r="G46293" s="812"/>
    </row>
    <row r="46294" spans="7:7">
      <c r="G46294" s="812"/>
    </row>
    <row r="46295" spans="7:7">
      <c r="G46295" s="812"/>
    </row>
    <row r="46296" spans="7:7">
      <c r="G46296" s="812"/>
    </row>
    <row r="46297" spans="7:7">
      <c r="G46297" s="812"/>
    </row>
    <row r="46298" spans="7:7">
      <c r="G46298" s="812"/>
    </row>
    <row r="46299" spans="7:7">
      <c r="G46299" s="812"/>
    </row>
    <row r="46300" spans="7:7">
      <c r="G46300" s="812"/>
    </row>
    <row r="46301" spans="7:7">
      <c r="G46301" s="812"/>
    </row>
    <row r="46302" spans="7:7">
      <c r="G46302" s="812"/>
    </row>
    <row r="46303" spans="7:7">
      <c r="G46303" s="812"/>
    </row>
    <row r="46304" spans="7:7">
      <c r="G46304" s="812"/>
    </row>
    <row r="46305" spans="7:7">
      <c r="G46305" s="812"/>
    </row>
    <row r="46306" spans="7:7">
      <c r="G46306" s="812"/>
    </row>
    <row r="46307" spans="7:7">
      <c r="G46307" s="812"/>
    </row>
    <row r="46308" spans="7:7">
      <c r="G46308" s="812"/>
    </row>
    <row r="46309" spans="7:7">
      <c r="G46309" s="812"/>
    </row>
    <row r="46310" spans="7:7">
      <c r="G46310" s="812"/>
    </row>
    <row r="46311" spans="7:7">
      <c r="G46311" s="812"/>
    </row>
    <row r="46312" spans="7:7">
      <c r="G46312" s="812"/>
    </row>
    <row r="46313" spans="7:7">
      <c r="G46313" s="812"/>
    </row>
    <row r="46314" spans="7:7">
      <c r="G46314" s="812"/>
    </row>
    <row r="46315" spans="7:7">
      <c r="G46315" s="812"/>
    </row>
    <row r="46316" spans="7:7">
      <c r="G46316" s="812"/>
    </row>
    <row r="46317" spans="7:7">
      <c r="G46317" s="812"/>
    </row>
    <row r="46318" spans="7:7">
      <c r="G46318" s="812"/>
    </row>
    <row r="46319" spans="7:7">
      <c r="G46319" s="812"/>
    </row>
    <row r="46320" spans="7:7">
      <c r="G46320" s="812"/>
    </row>
    <row r="46321" spans="7:7">
      <c r="G46321" s="812"/>
    </row>
    <row r="46322" spans="7:7">
      <c r="G46322" s="812"/>
    </row>
    <row r="46323" spans="7:7">
      <c r="G46323" s="812"/>
    </row>
    <row r="46324" spans="7:7">
      <c r="G46324" s="812"/>
    </row>
    <row r="46325" spans="7:7">
      <c r="G46325" s="812"/>
    </row>
    <row r="46326" spans="7:7">
      <c r="G46326" s="812"/>
    </row>
    <row r="46327" spans="7:7">
      <c r="G46327" s="812"/>
    </row>
    <row r="46328" spans="7:7">
      <c r="G46328" s="812"/>
    </row>
    <row r="46329" spans="7:7">
      <c r="G46329" s="812"/>
    </row>
    <row r="46330" spans="7:7">
      <c r="G46330" s="812"/>
    </row>
    <row r="46331" spans="7:7">
      <c r="G46331" s="812"/>
    </row>
    <row r="46332" spans="7:7">
      <c r="G46332" s="812"/>
    </row>
    <row r="46333" spans="7:7">
      <c r="G46333" s="812"/>
    </row>
    <row r="46334" spans="7:7">
      <c r="G46334" s="812"/>
    </row>
    <row r="46335" spans="7:7">
      <c r="G46335" s="812"/>
    </row>
    <row r="46336" spans="7:7">
      <c r="G46336" s="812"/>
    </row>
    <row r="46337" spans="7:7">
      <c r="G46337" s="812"/>
    </row>
    <row r="46338" spans="7:7">
      <c r="G46338" s="812"/>
    </row>
    <row r="46339" spans="7:7">
      <c r="G46339" s="812"/>
    </row>
    <row r="46340" spans="7:7">
      <c r="G46340" s="812"/>
    </row>
    <row r="46341" spans="7:7">
      <c r="G46341" s="812"/>
    </row>
    <row r="46342" spans="7:7">
      <c r="G46342" s="812"/>
    </row>
    <row r="46343" spans="7:7">
      <c r="G46343" s="812"/>
    </row>
    <row r="46344" spans="7:7">
      <c r="G46344" s="812"/>
    </row>
    <row r="46345" spans="7:7">
      <c r="G46345" s="812"/>
    </row>
    <row r="46346" spans="7:7">
      <c r="G46346" s="812"/>
    </row>
    <row r="46347" spans="7:7">
      <c r="G46347" s="812"/>
    </row>
    <row r="46348" spans="7:7">
      <c r="G46348" s="812"/>
    </row>
    <row r="46349" spans="7:7">
      <c r="G46349" s="812"/>
    </row>
    <row r="46350" spans="7:7">
      <c r="G46350" s="812"/>
    </row>
    <row r="46351" spans="7:7">
      <c r="G46351" s="812"/>
    </row>
    <row r="46352" spans="7:7">
      <c r="G46352" s="812"/>
    </row>
    <row r="46353" spans="7:7">
      <c r="G46353" s="812"/>
    </row>
    <row r="46354" spans="7:7">
      <c r="G46354" s="812"/>
    </row>
    <row r="46355" spans="7:7">
      <c r="G46355" s="812"/>
    </row>
    <row r="46356" spans="7:7">
      <c r="G46356" s="812"/>
    </row>
    <row r="46357" spans="7:7">
      <c r="G46357" s="812"/>
    </row>
    <row r="46358" spans="7:7">
      <c r="G46358" s="812"/>
    </row>
    <row r="46359" spans="7:7">
      <c r="G46359" s="812"/>
    </row>
    <row r="46360" spans="7:7">
      <c r="G46360" s="812"/>
    </row>
    <row r="46361" spans="7:7">
      <c r="G46361" s="812"/>
    </row>
    <row r="46362" spans="7:7">
      <c r="G46362" s="812"/>
    </row>
    <row r="46363" spans="7:7">
      <c r="G46363" s="812"/>
    </row>
    <row r="46364" spans="7:7">
      <c r="G46364" s="812"/>
    </row>
    <row r="46365" spans="7:7">
      <c r="G46365" s="812"/>
    </row>
    <row r="46366" spans="7:7">
      <c r="G46366" s="812"/>
    </row>
    <row r="46367" spans="7:7">
      <c r="G46367" s="812"/>
    </row>
    <row r="46368" spans="7:7">
      <c r="G46368" s="812"/>
    </row>
    <row r="46369" spans="7:7">
      <c r="G46369" s="812"/>
    </row>
    <row r="46370" spans="7:7">
      <c r="G46370" s="812"/>
    </row>
    <row r="46371" spans="7:7">
      <c r="G46371" s="812"/>
    </row>
    <row r="46372" spans="7:7">
      <c r="G46372" s="812"/>
    </row>
    <row r="46373" spans="7:7">
      <c r="G46373" s="812"/>
    </row>
    <row r="46374" spans="7:7">
      <c r="G46374" s="812"/>
    </row>
    <row r="46375" spans="7:7">
      <c r="G46375" s="812"/>
    </row>
    <row r="46376" spans="7:7">
      <c r="G46376" s="812"/>
    </row>
    <row r="46377" spans="7:7">
      <c r="G46377" s="812"/>
    </row>
    <row r="46378" spans="7:7">
      <c r="G46378" s="812"/>
    </row>
    <row r="46379" spans="7:7">
      <c r="G46379" s="812"/>
    </row>
    <row r="46380" spans="7:7">
      <c r="G46380" s="812"/>
    </row>
    <row r="46381" spans="7:7">
      <c r="G46381" s="812"/>
    </row>
    <row r="46382" spans="7:7">
      <c r="G46382" s="812"/>
    </row>
    <row r="46383" spans="7:7">
      <c r="G46383" s="812"/>
    </row>
    <row r="46384" spans="7:7">
      <c r="G46384" s="812"/>
    </row>
    <row r="46385" spans="7:7">
      <c r="G46385" s="812"/>
    </row>
    <row r="46386" spans="7:7">
      <c r="G46386" s="812"/>
    </row>
    <row r="46387" spans="7:7">
      <c r="G46387" s="812"/>
    </row>
    <row r="46388" spans="7:7">
      <c r="G46388" s="812"/>
    </row>
    <row r="46389" spans="7:7">
      <c r="G46389" s="812"/>
    </row>
    <row r="46390" spans="7:7">
      <c r="G46390" s="812"/>
    </row>
    <row r="46391" spans="7:7">
      <c r="G46391" s="812"/>
    </row>
    <row r="46392" spans="7:7">
      <c r="G46392" s="812"/>
    </row>
    <row r="46393" spans="7:7">
      <c r="G46393" s="812"/>
    </row>
    <row r="46394" spans="7:7">
      <c r="G46394" s="812"/>
    </row>
    <row r="46395" spans="7:7">
      <c r="G46395" s="812"/>
    </row>
    <row r="46396" spans="7:7">
      <c r="G46396" s="812"/>
    </row>
    <row r="46397" spans="7:7">
      <c r="G46397" s="812"/>
    </row>
    <row r="46398" spans="7:7">
      <c r="G46398" s="812"/>
    </row>
    <row r="46399" spans="7:7">
      <c r="G46399" s="812"/>
    </row>
    <row r="46400" spans="7:7">
      <c r="G46400" s="812"/>
    </row>
    <row r="46401" spans="7:7">
      <c r="G46401" s="812"/>
    </row>
    <row r="46402" spans="7:7">
      <c r="G46402" s="812"/>
    </row>
    <row r="46403" spans="7:7">
      <c r="G46403" s="812"/>
    </row>
    <row r="46404" spans="7:7">
      <c r="G46404" s="812"/>
    </row>
    <row r="46405" spans="7:7">
      <c r="G46405" s="812"/>
    </row>
    <row r="46406" spans="7:7">
      <c r="G46406" s="812"/>
    </row>
    <row r="46407" spans="7:7">
      <c r="G46407" s="812"/>
    </row>
    <row r="46408" spans="7:7">
      <c r="G46408" s="812"/>
    </row>
    <row r="46409" spans="7:7">
      <c r="G46409" s="812"/>
    </row>
    <row r="46410" spans="7:7">
      <c r="G46410" s="812"/>
    </row>
    <row r="46411" spans="7:7">
      <c r="G46411" s="812"/>
    </row>
    <row r="46412" spans="7:7">
      <c r="G46412" s="812"/>
    </row>
    <row r="46413" spans="7:7">
      <c r="G46413" s="812"/>
    </row>
    <row r="46414" spans="7:7">
      <c r="G46414" s="812"/>
    </row>
    <row r="46415" spans="7:7">
      <c r="G46415" s="812"/>
    </row>
    <row r="46416" spans="7:7">
      <c r="G46416" s="812"/>
    </row>
    <row r="46417" spans="7:7">
      <c r="G46417" s="812"/>
    </row>
    <row r="46418" spans="7:7">
      <c r="G46418" s="812"/>
    </row>
    <row r="46419" spans="7:7">
      <c r="G46419" s="812"/>
    </row>
    <row r="46420" spans="7:7">
      <c r="G46420" s="812"/>
    </row>
    <row r="46421" spans="7:7">
      <c r="G46421" s="812"/>
    </row>
    <row r="46422" spans="7:7">
      <c r="G46422" s="812"/>
    </row>
    <row r="46423" spans="7:7">
      <c r="G46423" s="812"/>
    </row>
    <row r="46424" spans="7:7">
      <c r="G46424" s="812"/>
    </row>
    <row r="46425" spans="7:7">
      <c r="G46425" s="812"/>
    </row>
    <row r="46426" spans="7:7">
      <c r="G46426" s="812"/>
    </row>
    <row r="46427" spans="7:7">
      <c r="G46427" s="812"/>
    </row>
    <row r="46428" spans="7:7">
      <c r="G46428" s="812"/>
    </row>
    <row r="46429" spans="7:7">
      <c r="G46429" s="812"/>
    </row>
    <row r="46430" spans="7:7">
      <c r="G46430" s="812"/>
    </row>
    <row r="46431" spans="7:7">
      <c r="G46431" s="812"/>
    </row>
    <row r="46432" spans="7:7">
      <c r="G46432" s="812"/>
    </row>
    <row r="46433" spans="7:7">
      <c r="G46433" s="812"/>
    </row>
    <row r="46434" spans="7:7">
      <c r="G46434" s="812"/>
    </row>
    <row r="46435" spans="7:7">
      <c r="G46435" s="812"/>
    </row>
    <row r="46436" spans="7:7">
      <c r="G46436" s="812"/>
    </row>
    <row r="46437" spans="7:7">
      <c r="G46437" s="812"/>
    </row>
    <row r="46438" spans="7:7">
      <c r="G46438" s="812"/>
    </row>
    <row r="46439" spans="7:7">
      <c r="G46439" s="812"/>
    </row>
    <row r="46440" spans="7:7">
      <c r="G46440" s="812"/>
    </row>
    <row r="46441" spans="7:7">
      <c r="G46441" s="812"/>
    </row>
    <row r="46442" spans="7:7">
      <c r="G46442" s="812"/>
    </row>
    <row r="46443" spans="7:7">
      <c r="G46443" s="812"/>
    </row>
    <row r="46444" spans="7:7">
      <c r="G46444" s="812"/>
    </row>
    <row r="46445" spans="7:7">
      <c r="G46445" s="812"/>
    </row>
    <row r="46446" spans="7:7">
      <c r="G46446" s="812"/>
    </row>
    <row r="46447" spans="7:7">
      <c r="G46447" s="812"/>
    </row>
    <row r="46448" spans="7:7">
      <c r="G46448" s="812"/>
    </row>
    <row r="46449" spans="7:7">
      <c r="G46449" s="812"/>
    </row>
    <row r="46450" spans="7:7">
      <c r="G46450" s="812"/>
    </row>
    <row r="46451" spans="7:7">
      <c r="G46451" s="812"/>
    </row>
    <row r="46452" spans="7:7">
      <c r="G46452" s="812"/>
    </row>
    <row r="46453" spans="7:7">
      <c r="G46453" s="812"/>
    </row>
    <row r="46454" spans="7:7">
      <c r="G46454" s="812"/>
    </row>
    <row r="46455" spans="7:7">
      <c r="G46455" s="812"/>
    </row>
    <row r="46456" spans="7:7">
      <c r="G46456" s="812"/>
    </row>
    <row r="46457" spans="7:7">
      <c r="G46457" s="812"/>
    </row>
    <row r="46458" spans="7:7">
      <c r="G46458" s="812"/>
    </row>
    <row r="46459" spans="7:7">
      <c r="G46459" s="812"/>
    </row>
    <row r="46460" spans="7:7">
      <c r="G46460" s="812"/>
    </row>
    <row r="46461" spans="7:7">
      <c r="G46461" s="812"/>
    </row>
    <row r="46462" spans="7:7">
      <c r="G46462" s="812"/>
    </row>
    <row r="46463" spans="7:7">
      <c r="G46463" s="812"/>
    </row>
    <row r="46464" spans="7:7">
      <c r="G46464" s="812"/>
    </row>
    <row r="46465" spans="7:7">
      <c r="G46465" s="812"/>
    </row>
    <row r="46466" spans="7:7">
      <c r="G46466" s="812"/>
    </row>
    <row r="46467" spans="7:7">
      <c r="G46467" s="812"/>
    </row>
    <row r="46468" spans="7:7">
      <c r="G46468" s="812"/>
    </row>
    <row r="46469" spans="7:7">
      <c r="G46469" s="812"/>
    </row>
    <row r="46470" spans="7:7">
      <c r="G46470" s="812"/>
    </row>
    <row r="46471" spans="7:7">
      <c r="G46471" s="812"/>
    </row>
    <row r="46472" spans="7:7">
      <c r="G46472" s="812"/>
    </row>
    <row r="46473" spans="7:7">
      <c r="G46473" s="812"/>
    </row>
    <row r="46474" spans="7:7">
      <c r="G46474" s="812"/>
    </row>
    <row r="46475" spans="7:7">
      <c r="G46475" s="812"/>
    </row>
    <row r="46476" spans="7:7">
      <c r="G46476" s="812"/>
    </row>
    <row r="46477" spans="7:7">
      <c r="G46477" s="812"/>
    </row>
    <row r="46478" spans="7:7">
      <c r="G46478" s="812"/>
    </row>
    <row r="46479" spans="7:7">
      <c r="G46479" s="812"/>
    </row>
    <row r="46480" spans="7:7">
      <c r="G46480" s="812"/>
    </row>
    <row r="46481" spans="7:7">
      <c r="G46481" s="812"/>
    </row>
    <row r="46482" spans="7:7">
      <c r="G46482" s="812"/>
    </row>
    <row r="46483" spans="7:7">
      <c r="G46483" s="812"/>
    </row>
    <row r="46484" spans="7:7">
      <c r="G46484" s="812"/>
    </row>
    <row r="46485" spans="7:7">
      <c r="G46485" s="812"/>
    </row>
    <row r="46486" spans="7:7">
      <c r="G46486" s="812"/>
    </row>
    <row r="46487" spans="7:7">
      <c r="G46487" s="812"/>
    </row>
    <row r="46488" spans="7:7">
      <c r="G46488" s="812"/>
    </row>
    <row r="46489" spans="7:7">
      <c r="G46489" s="812"/>
    </row>
    <row r="46490" spans="7:7">
      <c r="G46490" s="812"/>
    </row>
    <row r="46491" spans="7:7">
      <c r="G46491" s="812"/>
    </row>
    <row r="46492" spans="7:7">
      <c r="G46492" s="812"/>
    </row>
    <row r="46493" spans="7:7">
      <c r="G46493" s="812"/>
    </row>
    <row r="46494" spans="7:7">
      <c r="G46494" s="812"/>
    </row>
    <row r="46495" spans="7:7">
      <c r="G46495" s="812"/>
    </row>
    <row r="46496" spans="7:7">
      <c r="G46496" s="812"/>
    </row>
    <row r="46497" spans="7:7">
      <c r="G46497" s="812"/>
    </row>
    <row r="46498" spans="7:7">
      <c r="G46498" s="812"/>
    </row>
    <row r="46499" spans="7:7">
      <c r="G46499" s="812"/>
    </row>
    <row r="46500" spans="7:7">
      <c r="G46500" s="812"/>
    </row>
    <row r="46501" spans="7:7">
      <c r="G46501" s="812"/>
    </row>
    <row r="46502" spans="7:7">
      <c r="G46502" s="812"/>
    </row>
    <row r="46503" spans="7:7">
      <c r="G46503" s="812"/>
    </row>
    <row r="46504" spans="7:7">
      <c r="G46504" s="812"/>
    </row>
    <row r="46505" spans="7:7">
      <c r="G46505" s="812"/>
    </row>
    <row r="46506" spans="7:7">
      <c r="G46506" s="812"/>
    </row>
    <row r="46507" spans="7:7">
      <c r="G46507" s="812"/>
    </row>
    <row r="46508" spans="7:7">
      <c r="G46508" s="812"/>
    </row>
    <row r="46509" spans="7:7">
      <c r="G46509" s="812"/>
    </row>
    <row r="46510" spans="7:7">
      <c r="G46510" s="812"/>
    </row>
    <row r="46511" spans="7:7">
      <c r="G46511" s="812"/>
    </row>
    <row r="46512" spans="7:7">
      <c r="G46512" s="812"/>
    </row>
    <row r="46513" spans="7:7">
      <c r="G46513" s="812"/>
    </row>
    <row r="46514" spans="7:7">
      <c r="G46514" s="812"/>
    </row>
    <row r="46515" spans="7:7">
      <c r="G46515" s="812"/>
    </row>
    <row r="46516" spans="7:7">
      <c r="G46516" s="812"/>
    </row>
    <row r="46517" spans="7:7">
      <c r="G46517" s="812"/>
    </row>
    <row r="46518" spans="7:7">
      <c r="G46518" s="812"/>
    </row>
    <row r="46519" spans="7:7">
      <c r="G46519" s="812"/>
    </row>
    <row r="46520" spans="7:7">
      <c r="G46520" s="812"/>
    </row>
    <row r="46521" spans="7:7">
      <c r="G46521" s="812"/>
    </row>
    <row r="46522" spans="7:7">
      <c r="G46522" s="812"/>
    </row>
    <row r="46523" spans="7:7">
      <c r="G46523" s="812"/>
    </row>
    <row r="46524" spans="7:7">
      <c r="G46524" s="812"/>
    </row>
    <row r="46525" spans="7:7">
      <c r="G46525" s="812"/>
    </row>
    <row r="46526" spans="7:7">
      <c r="G46526" s="812"/>
    </row>
    <row r="46527" spans="7:7">
      <c r="G46527" s="812"/>
    </row>
    <row r="46528" spans="7:7">
      <c r="G46528" s="812"/>
    </row>
    <row r="46529" spans="7:7">
      <c r="G46529" s="812"/>
    </row>
    <row r="46530" spans="7:7">
      <c r="G46530" s="812"/>
    </row>
    <row r="46531" spans="7:7">
      <c r="G46531" s="812"/>
    </row>
    <row r="46532" spans="7:7">
      <c r="G46532" s="812"/>
    </row>
    <row r="46533" spans="7:7">
      <c r="G46533" s="812"/>
    </row>
    <row r="46534" spans="7:7">
      <c r="G46534" s="812"/>
    </row>
    <row r="46535" spans="7:7">
      <c r="G46535" s="812"/>
    </row>
    <row r="46536" spans="7:7">
      <c r="G46536" s="812"/>
    </row>
    <row r="46537" spans="7:7">
      <c r="G46537" s="812"/>
    </row>
    <row r="46538" spans="7:7">
      <c r="G46538" s="812"/>
    </row>
    <row r="46539" spans="7:7">
      <c r="G46539" s="812"/>
    </row>
    <row r="46540" spans="7:7">
      <c r="G46540" s="812"/>
    </row>
    <row r="46541" spans="7:7">
      <c r="G46541" s="812"/>
    </row>
    <row r="46542" spans="7:7">
      <c r="G46542" s="812"/>
    </row>
    <row r="46543" spans="7:7">
      <c r="G46543" s="812"/>
    </row>
    <row r="46544" spans="7:7">
      <c r="G46544" s="812"/>
    </row>
    <row r="46545" spans="7:7">
      <c r="G46545" s="812"/>
    </row>
    <row r="46546" spans="7:7">
      <c r="G46546" s="812"/>
    </row>
    <row r="46547" spans="7:7">
      <c r="G46547" s="812"/>
    </row>
    <row r="46548" spans="7:7">
      <c r="G46548" s="812"/>
    </row>
    <row r="46549" spans="7:7">
      <c r="G46549" s="812"/>
    </row>
    <row r="46550" spans="7:7">
      <c r="G46550" s="812"/>
    </row>
    <row r="46551" spans="7:7">
      <c r="G46551" s="812"/>
    </row>
    <row r="46552" spans="7:7">
      <c r="G46552" s="812"/>
    </row>
    <row r="46553" spans="7:7">
      <c r="G46553" s="812"/>
    </row>
    <row r="46554" spans="7:7">
      <c r="G46554" s="812"/>
    </row>
    <row r="46555" spans="7:7">
      <c r="G46555" s="812"/>
    </row>
    <row r="46556" spans="7:7">
      <c r="G46556" s="812"/>
    </row>
    <row r="46557" spans="7:7">
      <c r="G46557" s="812"/>
    </row>
    <row r="46558" spans="7:7">
      <c r="G46558" s="812"/>
    </row>
    <row r="46559" spans="7:7">
      <c r="G46559" s="812"/>
    </row>
    <row r="46560" spans="7:7">
      <c r="G46560" s="812"/>
    </row>
    <row r="46561" spans="7:7">
      <c r="G46561" s="812"/>
    </row>
    <row r="46562" spans="7:7">
      <c r="G46562" s="812"/>
    </row>
    <row r="46563" spans="7:7">
      <c r="G46563" s="812"/>
    </row>
    <row r="46564" spans="7:7">
      <c r="G46564" s="812"/>
    </row>
    <row r="46565" spans="7:7">
      <c r="G46565" s="812"/>
    </row>
    <row r="46566" spans="7:7">
      <c r="G46566" s="812"/>
    </row>
    <row r="46567" spans="7:7">
      <c r="G46567" s="812"/>
    </row>
    <row r="46568" spans="7:7">
      <c r="G46568" s="812"/>
    </row>
    <row r="46569" spans="7:7">
      <c r="G46569" s="812"/>
    </row>
    <row r="46570" spans="7:7">
      <c r="G46570" s="812"/>
    </row>
    <row r="46571" spans="7:7">
      <c r="G46571" s="812"/>
    </row>
    <row r="46572" spans="7:7">
      <c r="G46572" s="812"/>
    </row>
    <row r="46573" spans="7:7">
      <c r="G46573" s="812"/>
    </row>
    <row r="46574" spans="7:7">
      <c r="G46574" s="812"/>
    </row>
    <row r="46575" spans="7:7">
      <c r="G46575" s="812"/>
    </row>
    <row r="46576" spans="7:7">
      <c r="G46576" s="812"/>
    </row>
    <row r="46577" spans="7:7">
      <c r="G46577" s="812"/>
    </row>
    <row r="46578" spans="7:7">
      <c r="G46578" s="812"/>
    </row>
    <row r="46579" spans="7:7">
      <c r="G46579" s="812"/>
    </row>
    <row r="46580" spans="7:7">
      <c r="G46580" s="812"/>
    </row>
    <row r="46581" spans="7:7">
      <c r="G46581" s="812"/>
    </row>
    <row r="46582" spans="7:7">
      <c r="G46582" s="812"/>
    </row>
    <row r="46583" spans="7:7">
      <c r="G46583" s="812"/>
    </row>
    <row r="46584" spans="7:7">
      <c r="G46584" s="812"/>
    </row>
    <row r="46585" spans="7:7">
      <c r="G46585" s="812"/>
    </row>
    <row r="46586" spans="7:7">
      <c r="G46586" s="812"/>
    </row>
    <row r="46587" spans="7:7">
      <c r="G46587" s="812"/>
    </row>
    <row r="46588" spans="7:7">
      <c r="G46588" s="812"/>
    </row>
    <row r="46589" spans="7:7">
      <c r="G46589" s="812"/>
    </row>
    <row r="46590" spans="7:7">
      <c r="G46590" s="812"/>
    </row>
    <row r="46591" spans="7:7">
      <c r="G46591" s="812"/>
    </row>
    <row r="46592" spans="7:7">
      <c r="G46592" s="812"/>
    </row>
    <row r="46593" spans="7:7">
      <c r="G46593" s="812"/>
    </row>
    <row r="46594" spans="7:7">
      <c r="G46594" s="812"/>
    </row>
    <row r="46595" spans="7:7">
      <c r="G46595" s="812"/>
    </row>
    <row r="46596" spans="7:7">
      <c r="G46596" s="812"/>
    </row>
    <row r="46597" spans="7:7">
      <c r="G46597" s="812"/>
    </row>
    <row r="46598" spans="7:7">
      <c r="G46598" s="812"/>
    </row>
    <row r="46599" spans="7:7">
      <c r="G46599" s="812"/>
    </row>
    <row r="46600" spans="7:7">
      <c r="G46600" s="812"/>
    </row>
    <row r="46601" spans="7:7">
      <c r="G46601" s="812"/>
    </row>
    <row r="46602" spans="7:7">
      <c r="G46602" s="812"/>
    </row>
    <row r="46603" spans="7:7">
      <c r="G46603" s="812"/>
    </row>
    <row r="46604" spans="7:7">
      <c r="G46604" s="812"/>
    </row>
    <row r="46605" spans="7:7">
      <c r="G46605" s="812"/>
    </row>
    <row r="46606" spans="7:7">
      <c r="G46606" s="812"/>
    </row>
    <row r="46607" spans="7:7">
      <c r="G46607" s="812"/>
    </row>
    <row r="46608" spans="7:7">
      <c r="G46608" s="812"/>
    </row>
    <row r="46609" spans="7:7">
      <c r="G46609" s="812"/>
    </row>
    <row r="46610" spans="7:7">
      <c r="G46610" s="812"/>
    </row>
    <row r="46611" spans="7:7">
      <c r="G46611" s="812"/>
    </row>
    <row r="46612" spans="7:7">
      <c r="G46612" s="812"/>
    </row>
    <row r="46613" spans="7:7">
      <c r="G46613" s="812"/>
    </row>
    <row r="46614" spans="7:7">
      <c r="G46614" s="812"/>
    </row>
    <row r="46615" spans="7:7">
      <c r="G46615" s="812"/>
    </row>
    <row r="46616" spans="7:7">
      <c r="G46616" s="812"/>
    </row>
    <row r="46617" spans="7:7">
      <c r="G46617" s="812"/>
    </row>
    <row r="46618" spans="7:7">
      <c r="G46618" s="812"/>
    </row>
    <row r="46619" spans="7:7">
      <c r="G46619" s="812"/>
    </row>
    <row r="46620" spans="7:7">
      <c r="G46620" s="812"/>
    </row>
    <row r="46621" spans="7:7">
      <c r="G46621" s="812"/>
    </row>
    <row r="46622" spans="7:7">
      <c r="G46622" s="812"/>
    </row>
    <row r="46623" spans="7:7">
      <c r="G46623" s="812"/>
    </row>
    <row r="46624" spans="7:7">
      <c r="G46624" s="812"/>
    </row>
    <row r="46625" spans="7:7">
      <c r="G46625" s="812"/>
    </row>
    <row r="46626" spans="7:7">
      <c r="G46626" s="812"/>
    </row>
    <row r="46627" spans="7:7">
      <c r="G46627" s="812"/>
    </row>
    <row r="46628" spans="7:7">
      <c r="G46628" s="812"/>
    </row>
    <row r="46629" spans="7:7">
      <c r="G46629" s="812"/>
    </row>
    <row r="46630" spans="7:7">
      <c r="G46630" s="812"/>
    </row>
    <row r="46631" spans="7:7">
      <c r="G46631" s="812"/>
    </row>
    <row r="46632" spans="7:7">
      <c r="G46632" s="812"/>
    </row>
    <row r="46633" spans="7:7">
      <c r="G46633" s="812"/>
    </row>
    <row r="46634" spans="7:7">
      <c r="G46634" s="812"/>
    </row>
    <row r="46635" spans="7:7">
      <c r="G46635" s="812"/>
    </row>
    <row r="46636" spans="7:7">
      <c r="G46636" s="812"/>
    </row>
    <row r="46637" spans="7:7">
      <c r="G46637" s="812"/>
    </row>
    <row r="46638" spans="7:7">
      <c r="G46638" s="812"/>
    </row>
    <row r="46639" spans="7:7">
      <c r="G46639" s="812"/>
    </row>
    <row r="46640" spans="7:7">
      <c r="G46640" s="812"/>
    </row>
    <row r="46641" spans="7:7">
      <c r="G46641" s="812"/>
    </row>
    <row r="46642" spans="7:7">
      <c r="G46642" s="812"/>
    </row>
    <row r="46643" spans="7:7">
      <c r="G46643" s="812"/>
    </row>
    <row r="46644" spans="7:7">
      <c r="G46644" s="812"/>
    </row>
    <row r="46645" spans="7:7">
      <c r="G46645" s="812"/>
    </row>
    <row r="46646" spans="7:7">
      <c r="G46646" s="812"/>
    </row>
    <row r="46647" spans="7:7">
      <c r="G46647" s="812"/>
    </row>
    <row r="46648" spans="7:7">
      <c r="G46648" s="812"/>
    </row>
    <row r="46649" spans="7:7">
      <c r="G46649" s="812"/>
    </row>
    <row r="46650" spans="7:7">
      <c r="G46650" s="812"/>
    </row>
    <row r="46651" spans="7:7">
      <c r="G46651" s="812"/>
    </row>
    <row r="46652" spans="7:7">
      <c r="G46652" s="812"/>
    </row>
    <row r="46653" spans="7:7">
      <c r="G46653" s="812"/>
    </row>
    <row r="46654" spans="7:7">
      <c r="G46654" s="812"/>
    </row>
    <row r="46655" spans="7:7">
      <c r="G46655" s="812"/>
    </row>
    <row r="46656" spans="7:7">
      <c r="G46656" s="812"/>
    </row>
    <row r="46657" spans="7:7">
      <c r="G46657" s="812"/>
    </row>
    <row r="46658" spans="7:7">
      <c r="G46658" s="812"/>
    </row>
    <row r="46659" spans="7:7">
      <c r="G46659" s="812"/>
    </row>
    <row r="46660" spans="7:7">
      <c r="G46660" s="812"/>
    </row>
    <row r="46661" spans="7:7">
      <c r="G46661" s="812"/>
    </row>
    <row r="46662" spans="7:7">
      <c r="G46662" s="812"/>
    </row>
    <row r="46663" spans="7:7">
      <c r="G46663" s="812"/>
    </row>
    <row r="46664" spans="7:7">
      <c r="G46664" s="812"/>
    </row>
    <row r="46665" spans="7:7">
      <c r="G46665" s="812"/>
    </row>
    <row r="46666" spans="7:7">
      <c r="G46666" s="812"/>
    </row>
    <row r="46667" spans="7:7">
      <c r="G46667" s="812"/>
    </row>
    <row r="46668" spans="7:7">
      <c r="G46668" s="812"/>
    </row>
    <row r="46669" spans="7:7">
      <c r="G46669" s="812"/>
    </row>
    <row r="46670" spans="7:7">
      <c r="G46670" s="812"/>
    </row>
    <row r="46671" spans="7:7">
      <c r="G46671" s="812"/>
    </row>
    <row r="46672" spans="7:7">
      <c r="G46672" s="812"/>
    </row>
    <row r="46673" spans="7:7">
      <c r="G46673" s="812"/>
    </row>
    <row r="46674" spans="7:7">
      <c r="G46674" s="812"/>
    </row>
    <row r="46675" spans="7:7">
      <c r="G46675" s="812"/>
    </row>
    <row r="46676" spans="7:7">
      <c r="G46676" s="812"/>
    </row>
    <row r="46677" spans="7:7">
      <c r="G46677" s="812"/>
    </row>
    <row r="46678" spans="7:7">
      <c r="G46678" s="812"/>
    </row>
    <row r="46679" spans="7:7">
      <c r="G46679" s="812"/>
    </row>
    <row r="46680" spans="7:7">
      <c r="G46680" s="812"/>
    </row>
    <row r="46681" spans="7:7">
      <c r="G46681" s="812"/>
    </row>
    <row r="46682" spans="7:7">
      <c r="G46682" s="812"/>
    </row>
    <row r="46683" spans="7:7">
      <c r="G46683" s="812"/>
    </row>
    <row r="46684" spans="7:7">
      <c r="G46684" s="812"/>
    </row>
    <row r="46685" spans="7:7">
      <c r="G46685" s="812"/>
    </row>
    <row r="46686" spans="7:7">
      <c r="G46686" s="812"/>
    </row>
    <row r="46687" spans="7:7">
      <c r="G46687" s="812"/>
    </row>
    <row r="46688" spans="7:7">
      <c r="G46688" s="812"/>
    </row>
    <row r="46689" spans="7:7">
      <c r="G46689" s="812"/>
    </row>
    <row r="46690" spans="7:7">
      <c r="G46690" s="812"/>
    </row>
    <row r="46691" spans="7:7">
      <c r="G46691" s="812"/>
    </row>
    <row r="46692" spans="7:7">
      <c r="G46692" s="812"/>
    </row>
    <row r="46693" spans="7:7">
      <c r="G46693" s="812"/>
    </row>
    <row r="46694" spans="7:7">
      <c r="G46694" s="812"/>
    </row>
    <row r="46695" spans="7:7">
      <c r="G46695" s="812"/>
    </row>
    <row r="46696" spans="7:7">
      <c r="G46696" s="812"/>
    </row>
    <row r="46697" spans="7:7">
      <c r="G46697" s="812"/>
    </row>
    <row r="46698" spans="7:7">
      <c r="G46698" s="812"/>
    </row>
    <row r="46699" spans="7:7">
      <c r="G46699" s="812"/>
    </row>
    <row r="46700" spans="7:7">
      <c r="G46700" s="812"/>
    </row>
    <row r="46701" spans="7:7">
      <c r="G46701" s="812"/>
    </row>
    <row r="46702" spans="7:7">
      <c r="G46702" s="812"/>
    </row>
    <row r="46703" spans="7:7">
      <c r="G46703" s="812"/>
    </row>
    <row r="46704" spans="7:7">
      <c r="G46704" s="812"/>
    </row>
    <row r="46705" spans="7:7">
      <c r="G46705" s="812"/>
    </row>
    <row r="46706" spans="7:7">
      <c r="G46706" s="812"/>
    </row>
    <row r="46707" spans="7:7">
      <c r="G46707" s="812"/>
    </row>
    <row r="46708" spans="7:7">
      <c r="G46708" s="812"/>
    </row>
    <row r="46709" spans="7:7">
      <c r="G46709" s="812"/>
    </row>
    <row r="46710" spans="7:7">
      <c r="G46710" s="812"/>
    </row>
    <row r="46711" spans="7:7">
      <c r="G46711" s="812"/>
    </row>
    <row r="46712" spans="7:7">
      <c r="G46712" s="812"/>
    </row>
    <row r="46713" spans="7:7">
      <c r="G46713" s="812"/>
    </row>
    <row r="46714" spans="7:7">
      <c r="G46714" s="812"/>
    </row>
    <row r="46715" spans="7:7">
      <c r="G46715" s="812"/>
    </row>
    <row r="46716" spans="7:7">
      <c r="G46716" s="812"/>
    </row>
    <row r="46717" spans="7:7">
      <c r="G46717" s="812"/>
    </row>
    <row r="46718" spans="7:7">
      <c r="G46718" s="812"/>
    </row>
    <row r="46719" spans="7:7">
      <c r="G46719" s="812"/>
    </row>
    <row r="46720" spans="7:7">
      <c r="G46720" s="812"/>
    </row>
    <row r="46721" spans="7:7">
      <c r="G46721" s="812"/>
    </row>
    <row r="46722" spans="7:7">
      <c r="G46722" s="812"/>
    </row>
    <row r="46723" spans="7:7">
      <c r="G46723" s="812"/>
    </row>
    <row r="46724" spans="7:7">
      <c r="G46724" s="812"/>
    </row>
    <row r="46725" spans="7:7">
      <c r="G46725" s="812"/>
    </row>
    <row r="46726" spans="7:7">
      <c r="G46726" s="812"/>
    </row>
    <row r="46727" spans="7:7">
      <c r="G46727" s="812"/>
    </row>
    <row r="46728" spans="7:7">
      <c r="G46728" s="812"/>
    </row>
    <row r="46729" spans="7:7">
      <c r="G46729" s="812"/>
    </row>
    <row r="46730" spans="7:7">
      <c r="G46730" s="812"/>
    </row>
    <row r="46731" spans="7:7">
      <c r="G46731" s="812"/>
    </row>
    <row r="46732" spans="7:7">
      <c r="G46732" s="812"/>
    </row>
    <row r="46733" spans="7:7">
      <c r="G46733" s="812"/>
    </row>
    <row r="46734" spans="7:7">
      <c r="G46734" s="812"/>
    </row>
    <row r="46735" spans="7:7">
      <c r="G46735" s="812"/>
    </row>
    <row r="46736" spans="7:7">
      <c r="G46736" s="812"/>
    </row>
    <row r="46737" spans="7:7">
      <c r="G46737" s="812"/>
    </row>
    <row r="46738" spans="7:7">
      <c r="G46738" s="812"/>
    </row>
    <row r="46739" spans="7:7">
      <c r="G46739" s="812"/>
    </row>
    <row r="46740" spans="7:7">
      <c r="G46740" s="812"/>
    </row>
    <row r="46741" spans="7:7">
      <c r="G46741" s="812"/>
    </row>
    <row r="46742" spans="7:7">
      <c r="G46742" s="812"/>
    </row>
    <row r="46743" spans="7:7">
      <c r="G46743" s="812"/>
    </row>
    <row r="46744" spans="7:7">
      <c r="G46744" s="812"/>
    </row>
    <row r="46745" spans="7:7">
      <c r="G46745" s="812"/>
    </row>
    <row r="46746" spans="7:7">
      <c r="G46746" s="812"/>
    </row>
    <row r="46747" spans="7:7">
      <c r="G46747" s="812"/>
    </row>
    <row r="46748" spans="7:7">
      <c r="G46748" s="812"/>
    </row>
    <row r="46749" spans="7:7">
      <c r="G46749" s="812"/>
    </row>
    <row r="46750" spans="7:7">
      <c r="G46750" s="812"/>
    </row>
    <row r="46751" spans="7:7">
      <c r="G46751" s="812"/>
    </row>
    <row r="46752" spans="7:7">
      <c r="G46752" s="812"/>
    </row>
    <row r="46753" spans="7:7">
      <c r="G46753" s="812"/>
    </row>
    <row r="46754" spans="7:7">
      <c r="G46754" s="812"/>
    </row>
    <row r="46755" spans="7:7">
      <c r="G46755" s="812"/>
    </row>
    <row r="46756" spans="7:7">
      <c r="G46756" s="812"/>
    </row>
    <row r="46757" spans="7:7">
      <c r="G46757" s="812"/>
    </row>
    <row r="46758" spans="7:7">
      <c r="G46758" s="812"/>
    </row>
    <row r="46759" spans="7:7">
      <c r="G46759" s="812"/>
    </row>
    <row r="46760" spans="7:7">
      <c r="G46760" s="812"/>
    </row>
    <row r="46761" spans="7:7">
      <c r="G46761" s="812"/>
    </row>
    <row r="46762" spans="7:7">
      <c r="G46762" s="812"/>
    </row>
    <row r="46763" spans="7:7">
      <c r="G46763" s="812"/>
    </row>
    <row r="46764" spans="7:7">
      <c r="G46764" s="812"/>
    </row>
    <row r="46765" spans="7:7">
      <c r="G46765" s="812"/>
    </row>
    <row r="46766" spans="7:7">
      <c r="G46766" s="812"/>
    </row>
    <row r="46767" spans="7:7">
      <c r="G46767" s="812"/>
    </row>
    <row r="46768" spans="7:7">
      <c r="G46768" s="812"/>
    </row>
    <row r="46769" spans="7:7">
      <c r="G46769" s="812"/>
    </row>
    <row r="46770" spans="7:7">
      <c r="G46770" s="812"/>
    </row>
    <row r="46771" spans="7:7">
      <c r="G46771" s="812"/>
    </row>
    <row r="46772" spans="7:7">
      <c r="G46772" s="812"/>
    </row>
    <row r="46773" spans="7:7">
      <c r="G46773" s="812"/>
    </row>
    <row r="46774" spans="7:7">
      <c r="G46774" s="812"/>
    </row>
    <row r="46775" spans="7:7">
      <c r="G46775" s="812"/>
    </row>
    <row r="46776" spans="7:7">
      <c r="G46776" s="812"/>
    </row>
    <row r="46777" spans="7:7">
      <c r="G46777" s="812"/>
    </row>
    <row r="46778" spans="7:7">
      <c r="G46778" s="812"/>
    </row>
    <row r="46779" spans="7:7">
      <c r="G46779" s="812"/>
    </row>
    <row r="46780" spans="7:7">
      <c r="G46780" s="812"/>
    </row>
    <row r="46781" spans="7:7">
      <c r="G46781" s="812"/>
    </row>
    <row r="46782" spans="7:7">
      <c r="G46782" s="812"/>
    </row>
    <row r="46783" spans="7:7">
      <c r="G46783" s="812"/>
    </row>
    <row r="46784" spans="7:7">
      <c r="G46784" s="812"/>
    </row>
    <row r="46785" spans="7:7">
      <c r="G46785" s="812"/>
    </row>
    <row r="46786" spans="7:7">
      <c r="G46786" s="812"/>
    </row>
    <row r="46787" spans="7:7">
      <c r="G46787" s="812"/>
    </row>
    <row r="46788" spans="7:7">
      <c r="G46788" s="812"/>
    </row>
    <row r="46789" spans="7:7">
      <c r="G46789" s="812"/>
    </row>
    <row r="46790" spans="7:7">
      <c r="G46790" s="812"/>
    </row>
    <row r="46791" spans="7:7">
      <c r="G46791" s="812"/>
    </row>
    <row r="46792" spans="7:7">
      <c r="G46792" s="812"/>
    </row>
    <row r="46793" spans="7:7">
      <c r="G46793" s="812"/>
    </row>
    <row r="46794" spans="7:7">
      <c r="G46794" s="812"/>
    </row>
    <row r="46795" spans="7:7">
      <c r="G46795" s="812"/>
    </row>
    <row r="46796" spans="7:7">
      <c r="G46796" s="812"/>
    </row>
    <row r="46797" spans="7:7">
      <c r="G46797" s="812"/>
    </row>
    <row r="46798" spans="7:7">
      <c r="G46798" s="812"/>
    </row>
    <row r="46799" spans="7:7">
      <c r="G46799" s="812"/>
    </row>
    <row r="46800" spans="7:7">
      <c r="G46800" s="812"/>
    </row>
    <row r="46801" spans="7:7">
      <c r="G46801" s="812"/>
    </row>
    <row r="46802" spans="7:7">
      <c r="G46802" s="812"/>
    </row>
    <row r="46803" spans="7:7">
      <c r="G46803" s="812"/>
    </row>
    <row r="46804" spans="7:7">
      <c r="G46804" s="812"/>
    </row>
    <row r="46805" spans="7:7">
      <c r="G46805" s="812"/>
    </row>
    <row r="46806" spans="7:7">
      <c r="G46806" s="812"/>
    </row>
    <row r="46807" spans="7:7">
      <c r="G46807" s="812"/>
    </row>
    <row r="46808" spans="7:7">
      <c r="G46808" s="812"/>
    </row>
    <row r="46809" spans="7:7">
      <c r="G46809" s="812"/>
    </row>
    <row r="46810" spans="7:7">
      <c r="G46810" s="812"/>
    </row>
    <row r="46811" spans="7:7">
      <c r="G46811" s="812"/>
    </row>
    <row r="46812" spans="7:7">
      <c r="G46812" s="812"/>
    </row>
    <row r="46813" spans="7:7">
      <c r="G46813" s="812"/>
    </row>
    <row r="46814" spans="7:7">
      <c r="G46814" s="812"/>
    </row>
    <row r="46815" spans="7:7">
      <c r="G46815" s="812"/>
    </row>
    <row r="46816" spans="7:7">
      <c r="G46816" s="812"/>
    </row>
    <row r="46817" spans="7:7">
      <c r="G46817" s="812"/>
    </row>
    <row r="46818" spans="7:7">
      <c r="G46818" s="812"/>
    </row>
    <row r="46819" spans="7:7">
      <c r="G46819" s="812"/>
    </row>
    <row r="46820" spans="7:7">
      <c r="G46820" s="812"/>
    </row>
    <row r="46821" spans="7:7">
      <c r="G46821" s="812"/>
    </row>
    <row r="46822" spans="7:7">
      <c r="G46822" s="812"/>
    </row>
    <row r="46823" spans="7:7">
      <c r="G46823" s="812"/>
    </row>
    <row r="46824" spans="7:7">
      <c r="G46824" s="812"/>
    </row>
    <row r="46825" spans="7:7">
      <c r="G46825" s="812"/>
    </row>
    <row r="46826" spans="7:7">
      <c r="G46826" s="812"/>
    </row>
    <row r="46827" spans="7:7">
      <c r="G46827" s="812"/>
    </row>
    <row r="46828" spans="7:7">
      <c r="G46828" s="812"/>
    </row>
    <row r="46829" spans="7:7">
      <c r="G46829" s="812"/>
    </row>
    <row r="46830" spans="7:7">
      <c r="G46830" s="812"/>
    </row>
    <row r="46831" spans="7:7">
      <c r="G46831" s="812"/>
    </row>
    <row r="46832" spans="7:7">
      <c r="G46832" s="812"/>
    </row>
    <row r="46833" spans="7:7">
      <c r="G46833" s="812"/>
    </row>
    <row r="46834" spans="7:7">
      <c r="G46834" s="812"/>
    </row>
    <row r="46835" spans="7:7">
      <c r="G46835" s="812"/>
    </row>
    <row r="46836" spans="7:7">
      <c r="G46836" s="812"/>
    </row>
    <row r="46837" spans="7:7">
      <c r="G46837" s="812"/>
    </row>
    <row r="46838" spans="7:7">
      <c r="G46838" s="812"/>
    </row>
    <row r="46839" spans="7:7">
      <c r="G46839" s="812"/>
    </row>
    <row r="46840" spans="7:7">
      <c r="G46840" s="812"/>
    </row>
    <row r="46841" spans="7:7">
      <c r="G46841" s="812"/>
    </row>
    <row r="46842" spans="7:7">
      <c r="G46842" s="812"/>
    </row>
    <row r="46843" spans="7:7">
      <c r="G46843" s="812"/>
    </row>
    <row r="46844" spans="7:7">
      <c r="G46844" s="812"/>
    </row>
    <row r="46845" spans="7:7">
      <c r="G46845" s="812"/>
    </row>
    <row r="46846" spans="7:7">
      <c r="G46846" s="812"/>
    </row>
    <row r="46847" spans="7:7">
      <c r="G46847" s="812"/>
    </row>
    <row r="46848" spans="7:7">
      <c r="G46848" s="812"/>
    </row>
    <row r="46849" spans="7:7">
      <c r="G46849" s="812"/>
    </row>
    <row r="46850" spans="7:7">
      <c r="G46850" s="812"/>
    </row>
    <row r="46851" spans="7:7">
      <c r="G46851" s="812"/>
    </row>
    <row r="46852" spans="7:7">
      <c r="G46852" s="812"/>
    </row>
    <row r="46853" spans="7:7">
      <c r="G46853" s="812"/>
    </row>
    <row r="46854" spans="7:7">
      <c r="G46854" s="812"/>
    </row>
    <row r="46855" spans="7:7">
      <c r="G46855" s="812"/>
    </row>
    <row r="46856" spans="7:7">
      <c r="G46856" s="812"/>
    </row>
    <row r="46857" spans="7:7">
      <c r="G46857" s="812"/>
    </row>
    <row r="46858" spans="7:7">
      <c r="G46858" s="812"/>
    </row>
    <row r="46859" spans="7:7">
      <c r="G46859" s="812"/>
    </row>
    <row r="46860" spans="7:7">
      <c r="G46860" s="812"/>
    </row>
    <row r="46861" spans="7:7">
      <c r="G46861" s="812"/>
    </row>
    <row r="46862" spans="7:7">
      <c r="G46862" s="812"/>
    </row>
    <row r="46863" spans="7:7">
      <c r="G46863" s="812"/>
    </row>
    <row r="46864" spans="7:7">
      <c r="G46864" s="812"/>
    </row>
    <row r="46865" spans="7:7">
      <c r="G46865" s="812"/>
    </row>
    <row r="46866" spans="7:7">
      <c r="G46866" s="812"/>
    </row>
    <row r="46867" spans="7:7">
      <c r="G46867" s="812"/>
    </row>
    <row r="46868" spans="7:7">
      <c r="G46868" s="812"/>
    </row>
    <row r="46869" spans="7:7">
      <c r="G46869" s="812"/>
    </row>
    <row r="46870" spans="7:7">
      <c r="G46870" s="812"/>
    </row>
    <row r="46871" spans="7:7">
      <c r="G46871" s="812"/>
    </row>
    <row r="46872" spans="7:7">
      <c r="G46872" s="812"/>
    </row>
    <row r="46873" spans="7:7">
      <c r="G46873" s="812"/>
    </row>
    <row r="46874" spans="7:7">
      <c r="G46874" s="812"/>
    </row>
    <row r="46875" spans="7:7">
      <c r="G46875" s="812"/>
    </row>
    <row r="46876" spans="7:7">
      <c r="G46876" s="812"/>
    </row>
    <row r="46877" spans="7:7">
      <c r="G46877" s="812"/>
    </row>
    <row r="46878" spans="7:7">
      <c r="G46878" s="812"/>
    </row>
    <row r="46879" spans="7:7">
      <c r="G46879" s="812"/>
    </row>
    <row r="46880" spans="7:7">
      <c r="G46880" s="812"/>
    </row>
    <row r="46881" spans="7:7">
      <c r="G46881" s="812"/>
    </row>
    <row r="46882" spans="7:7">
      <c r="G46882" s="812"/>
    </row>
    <row r="46883" spans="7:7">
      <c r="G46883" s="812"/>
    </row>
    <row r="46884" spans="7:7">
      <c r="G46884" s="812"/>
    </row>
    <row r="46885" spans="7:7">
      <c r="G46885" s="812"/>
    </row>
    <row r="46886" spans="7:7">
      <c r="G46886" s="812"/>
    </row>
    <row r="46887" spans="7:7">
      <c r="G46887" s="812"/>
    </row>
    <row r="46888" spans="7:7">
      <c r="G46888" s="812"/>
    </row>
    <row r="46889" spans="7:7">
      <c r="G46889" s="812"/>
    </row>
    <row r="46890" spans="7:7">
      <c r="G46890" s="812"/>
    </row>
    <row r="46891" spans="7:7">
      <c r="G46891" s="812"/>
    </row>
    <row r="46892" spans="7:7">
      <c r="G46892" s="812"/>
    </row>
    <row r="46893" spans="7:7">
      <c r="G46893" s="812"/>
    </row>
    <row r="46894" spans="7:7">
      <c r="G46894" s="812"/>
    </row>
    <row r="46895" spans="7:7">
      <c r="G46895" s="812"/>
    </row>
    <row r="46896" spans="7:7">
      <c r="G46896" s="812"/>
    </row>
    <row r="46897" spans="7:7">
      <c r="G46897" s="812"/>
    </row>
    <row r="46898" spans="7:7">
      <c r="G46898" s="812"/>
    </row>
    <row r="46899" spans="7:7">
      <c r="G46899" s="812"/>
    </row>
    <row r="46900" spans="7:7">
      <c r="G46900" s="812"/>
    </row>
    <row r="46901" spans="7:7">
      <c r="G46901" s="812"/>
    </row>
    <row r="46902" spans="7:7">
      <c r="G46902" s="812"/>
    </row>
    <row r="46903" spans="7:7">
      <c r="G46903" s="812"/>
    </row>
    <row r="46904" spans="7:7">
      <c r="G46904" s="812"/>
    </row>
    <row r="46905" spans="7:7">
      <c r="G46905" s="812"/>
    </row>
    <row r="46906" spans="7:7">
      <c r="G46906" s="812"/>
    </row>
    <row r="46907" spans="7:7">
      <c r="G46907" s="812"/>
    </row>
    <row r="46908" spans="7:7">
      <c r="G46908" s="812"/>
    </row>
    <row r="46909" spans="7:7">
      <c r="G46909" s="812"/>
    </row>
    <row r="46910" spans="7:7">
      <c r="G46910" s="812"/>
    </row>
    <row r="46911" spans="7:7">
      <c r="G46911" s="812"/>
    </row>
    <row r="46912" spans="7:7">
      <c r="G46912" s="812"/>
    </row>
    <row r="46913" spans="7:7">
      <c r="G46913" s="812"/>
    </row>
    <row r="46914" spans="7:7">
      <c r="G46914" s="812"/>
    </row>
    <row r="46915" spans="7:7">
      <c r="G46915" s="812"/>
    </row>
    <row r="46916" spans="7:7">
      <c r="G46916" s="812"/>
    </row>
    <row r="46917" spans="7:7">
      <c r="G46917" s="812"/>
    </row>
    <row r="46918" spans="7:7">
      <c r="G46918" s="812"/>
    </row>
    <row r="46919" spans="7:7">
      <c r="G46919" s="812"/>
    </row>
    <row r="46920" spans="7:7">
      <c r="G46920" s="812"/>
    </row>
    <row r="46921" spans="7:7">
      <c r="G46921" s="812"/>
    </row>
    <row r="46922" spans="7:7">
      <c r="G46922" s="812"/>
    </row>
    <row r="46923" spans="7:7">
      <c r="G46923" s="812"/>
    </row>
    <row r="46924" spans="7:7">
      <c r="G46924" s="812"/>
    </row>
    <row r="46925" spans="7:7">
      <c r="G46925" s="812"/>
    </row>
    <row r="46926" spans="7:7">
      <c r="G46926" s="812"/>
    </row>
    <row r="46927" spans="7:7">
      <c r="G46927" s="812"/>
    </row>
    <row r="46928" spans="7:7">
      <c r="G46928" s="812"/>
    </row>
    <row r="46929" spans="7:7">
      <c r="G46929" s="812"/>
    </row>
    <row r="46930" spans="7:7">
      <c r="G46930" s="812"/>
    </row>
    <row r="46931" spans="7:7">
      <c r="G46931" s="812"/>
    </row>
    <row r="46932" spans="7:7">
      <c r="G46932" s="812"/>
    </row>
    <row r="46933" spans="7:7">
      <c r="G46933" s="812"/>
    </row>
    <row r="46934" spans="7:7">
      <c r="G46934" s="812"/>
    </row>
    <row r="46935" spans="7:7">
      <c r="G46935" s="812"/>
    </row>
    <row r="46936" spans="7:7">
      <c r="G46936" s="812"/>
    </row>
    <row r="46937" spans="7:7">
      <c r="G46937" s="812"/>
    </row>
    <row r="46938" spans="7:7">
      <c r="G46938" s="812"/>
    </row>
    <row r="46939" spans="7:7">
      <c r="G46939" s="812"/>
    </row>
    <row r="46940" spans="7:7">
      <c r="G46940" s="812"/>
    </row>
    <row r="46941" spans="7:7">
      <c r="G46941" s="812"/>
    </row>
    <row r="46942" spans="7:7">
      <c r="G46942" s="812"/>
    </row>
    <row r="46943" spans="7:7">
      <c r="G46943" s="812"/>
    </row>
    <row r="46944" spans="7:7">
      <c r="G46944" s="812"/>
    </row>
    <row r="46945" spans="7:7">
      <c r="G46945" s="812"/>
    </row>
    <row r="46946" spans="7:7">
      <c r="G46946" s="812"/>
    </row>
    <row r="46947" spans="7:7">
      <c r="G46947" s="812"/>
    </row>
    <row r="46948" spans="7:7">
      <c r="G46948" s="812"/>
    </row>
    <row r="46949" spans="7:7">
      <c r="G46949" s="812"/>
    </row>
    <row r="46950" spans="7:7">
      <c r="G46950" s="812"/>
    </row>
    <row r="46951" spans="7:7">
      <c r="G46951" s="812"/>
    </row>
    <row r="46952" spans="7:7">
      <c r="G46952" s="812"/>
    </row>
    <row r="46953" spans="7:7">
      <c r="G46953" s="812"/>
    </row>
    <row r="46954" spans="7:7">
      <c r="G46954" s="812"/>
    </row>
    <row r="46955" spans="7:7">
      <c r="G46955" s="812"/>
    </row>
    <row r="46956" spans="7:7">
      <c r="G46956" s="812"/>
    </row>
    <row r="46957" spans="7:7">
      <c r="G46957" s="812"/>
    </row>
    <row r="46958" spans="7:7">
      <c r="G46958" s="812"/>
    </row>
    <row r="46959" spans="7:7">
      <c r="G46959" s="812"/>
    </row>
    <row r="46960" spans="7:7">
      <c r="G46960" s="812"/>
    </row>
    <row r="46961" spans="7:7">
      <c r="G46961" s="812"/>
    </row>
    <row r="46962" spans="7:7">
      <c r="G46962" s="812"/>
    </row>
    <row r="46963" spans="7:7">
      <c r="G46963" s="812"/>
    </row>
    <row r="46964" spans="7:7">
      <c r="G46964" s="812"/>
    </row>
    <row r="46965" spans="7:7">
      <c r="G46965" s="812"/>
    </row>
    <row r="46966" spans="7:7">
      <c r="G46966" s="812"/>
    </row>
    <row r="46967" spans="7:7">
      <c r="G46967" s="812"/>
    </row>
    <row r="46968" spans="7:7">
      <c r="G46968" s="812"/>
    </row>
    <row r="46969" spans="7:7">
      <c r="G46969" s="812"/>
    </row>
    <row r="46970" spans="7:7">
      <c r="G46970" s="812"/>
    </row>
    <row r="46971" spans="7:7">
      <c r="G46971" s="812"/>
    </row>
    <row r="46972" spans="7:7">
      <c r="G46972" s="812"/>
    </row>
    <row r="46973" spans="7:7">
      <c r="G46973" s="812"/>
    </row>
    <row r="46974" spans="7:7">
      <c r="G46974" s="812"/>
    </row>
    <row r="46975" spans="7:7">
      <c r="G46975" s="812"/>
    </row>
    <row r="46976" spans="7:7">
      <c r="G46976" s="812"/>
    </row>
    <row r="46977" spans="7:7">
      <c r="G46977" s="812"/>
    </row>
    <row r="46978" spans="7:7">
      <c r="G46978" s="812"/>
    </row>
    <row r="46979" spans="7:7">
      <c r="G46979" s="812"/>
    </row>
    <row r="46980" spans="7:7">
      <c r="G46980" s="812"/>
    </row>
    <row r="46981" spans="7:7">
      <c r="G46981" s="812"/>
    </row>
    <row r="46982" spans="7:7">
      <c r="G46982" s="812"/>
    </row>
    <row r="46983" spans="7:7">
      <c r="G46983" s="812"/>
    </row>
    <row r="46984" spans="7:7">
      <c r="G46984" s="812"/>
    </row>
    <row r="46985" spans="7:7">
      <c r="G46985" s="812"/>
    </row>
    <row r="46986" spans="7:7">
      <c r="G46986" s="812"/>
    </row>
    <row r="46987" spans="7:7">
      <c r="G46987" s="812"/>
    </row>
    <row r="46988" spans="7:7">
      <c r="G46988" s="812"/>
    </row>
    <row r="46989" spans="7:7">
      <c r="G46989" s="812"/>
    </row>
    <row r="46990" spans="7:7">
      <c r="G46990" s="812"/>
    </row>
    <row r="46991" spans="7:7">
      <c r="G46991" s="812"/>
    </row>
    <row r="46992" spans="7:7">
      <c r="G46992" s="812"/>
    </row>
    <row r="46993" spans="7:7">
      <c r="G46993" s="812"/>
    </row>
    <row r="46994" spans="7:7">
      <c r="G46994" s="812"/>
    </row>
    <row r="46995" spans="7:7">
      <c r="G46995" s="812"/>
    </row>
    <row r="46996" spans="7:7">
      <c r="G46996" s="812"/>
    </row>
    <row r="46997" spans="7:7">
      <c r="G46997" s="812"/>
    </row>
    <row r="46998" spans="7:7">
      <c r="G46998" s="812"/>
    </row>
    <row r="46999" spans="7:7">
      <c r="G46999" s="812"/>
    </row>
    <row r="47000" spans="7:7">
      <c r="G47000" s="812"/>
    </row>
    <row r="47001" spans="7:7">
      <c r="G47001" s="812"/>
    </row>
    <row r="47002" spans="7:7">
      <c r="G47002" s="812"/>
    </row>
    <row r="47003" spans="7:7">
      <c r="G47003" s="812"/>
    </row>
    <row r="47004" spans="7:7">
      <c r="G47004" s="812"/>
    </row>
    <row r="47005" spans="7:7">
      <c r="G47005" s="812"/>
    </row>
    <row r="47006" spans="7:7">
      <c r="G47006" s="812"/>
    </row>
    <row r="47007" spans="7:7">
      <c r="G47007" s="812"/>
    </row>
    <row r="47008" spans="7:7">
      <c r="G47008" s="812"/>
    </row>
    <row r="47009" spans="7:7">
      <c r="G47009" s="812"/>
    </row>
    <row r="47010" spans="7:7">
      <c r="G47010" s="812"/>
    </row>
    <row r="47011" spans="7:7">
      <c r="G47011" s="812"/>
    </row>
    <row r="47012" spans="7:7">
      <c r="G47012" s="812"/>
    </row>
    <row r="47013" spans="7:7">
      <c r="G47013" s="812"/>
    </row>
    <row r="47014" spans="7:7">
      <c r="G47014" s="812"/>
    </row>
    <row r="47015" spans="7:7">
      <c r="G47015" s="812"/>
    </row>
    <row r="47016" spans="7:7">
      <c r="G47016" s="812"/>
    </row>
    <row r="47017" spans="7:7">
      <c r="G47017" s="812"/>
    </row>
    <row r="47018" spans="7:7">
      <c r="G47018" s="812"/>
    </row>
    <row r="47019" spans="7:7">
      <c r="G47019" s="812"/>
    </row>
    <row r="47020" spans="7:7">
      <c r="G47020" s="812"/>
    </row>
    <row r="47021" spans="7:7">
      <c r="G47021" s="812"/>
    </row>
    <row r="47022" spans="7:7">
      <c r="G47022" s="812"/>
    </row>
    <row r="47023" spans="7:7">
      <c r="G47023" s="812"/>
    </row>
    <row r="47024" spans="7:7">
      <c r="G47024" s="812"/>
    </row>
    <row r="47025" spans="7:7">
      <c r="G47025" s="812"/>
    </row>
    <row r="47026" spans="7:7">
      <c r="G47026" s="812"/>
    </row>
    <row r="47027" spans="7:7">
      <c r="G47027" s="812"/>
    </row>
    <row r="47028" spans="7:7">
      <c r="G47028" s="812"/>
    </row>
    <row r="47029" spans="7:7">
      <c r="G47029" s="812"/>
    </row>
    <row r="47030" spans="7:7">
      <c r="G47030" s="812"/>
    </row>
    <row r="47031" spans="7:7">
      <c r="G47031" s="812"/>
    </row>
    <row r="47032" spans="7:7">
      <c r="G47032" s="812"/>
    </row>
    <row r="47033" spans="7:7">
      <c r="G47033" s="812"/>
    </row>
    <row r="47034" spans="7:7">
      <c r="G47034" s="812"/>
    </row>
    <row r="47035" spans="7:7">
      <c r="G47035" s="812"/>
    </row>
    <row r="47036" spans="7:7">
      <c r="G47036" s="812"/>
    </row>
    <row r="47037" spans="7:7">
      <c r="G47037" s="812"/>
    </row>
    <row r="47038" spans="7:7">
      <c r="G47038" s="812"/>
    </row>
    <row r="47039" spans="7:7">
      <c r="G47039" s="812"/>
    </row>
    <row r="47040" spans="7:7">
      <c r="G47040" s="812"/>
    </row>
    <row r="47041" spans="7:7">
      <c r="G47041" s="812"/>
    </row>
    <row r="47042" spans="7:7">
      <c r="G47042" s="812"/>
    </row>
    <row r="47043" spans="7:7">
      <c r="G47043" s="812"/>
    </row>
    <row r="47044" spans="7:7">
      <c r="G47044" s="812"/>
    </row>
    <row r="47045" spans="7:7">
      <c r="G47045" s="812"/>
    </row>
    <row r="47046" spans="7:7">
      <c r="G47046" s="812"/>
    </row>
    <row r="47047" spans="7:7">
      <c r="G47047" s="812"/>
    </row>
    <row r="47048" spans="7:7">
      <c r="G47048" s="812"/>
    </row>
    <row r="47049" spans="7:7">
      <c r="G47049" s="812"/>
    </row>
    <row r="47050" spans="7:7">
      <c r="G47050" s="812"/>
    </row>
    <row r="47051" spans="7:7">
      <c r="G47051" s="812"/>
    </row>
    <row r="47052" spans="7:7">
      <c r="G47052" s="812"/>
    </row>
    <row r="47053" spans="7:7">
      <c r="G47053" s="812"/>
    </row>
    <row r="47054" spans="7:7">
      <c r="G47054" s="812"/>
    </row>
    <row r="47055" spans="7:7">
      <c r="G47055" s="812"/>
    </row>
    <row r="47056" spans="7:7">
      <c r="G47056" s="812"/>
    </row>
    <row r="47057" spans="7:7">
      <c r="G47057" s="812"/>
    </row>
    <row r="47058" spans="7:7">
      <c r="G47058" s="812"/>
    </row>
    <row r="47059" spans="7:7">
      <c r="G47059" s="812"/>
    </row>
    <row r="47060" spans="7:7">
      <c r="G47060" s="812"/>
    </row>
    <row r="47061" spans="7:7">
      <c r="G47061" s="812"/>
    </row>
    <row r="47062" spans="7:7">
      <c r="G47062" s="812"/>
    </row>
    <row r="47063" spans="7:7">
      <c r="G47063" s="812"/>
    </row>
    <row r="47064" spans="7:7">
      <c r="G47064" s="812"/>
    </row>
    <row r="47065" spans="7:7">
      <c r="G47065" s="812"/>
    </row>
    <row r="47066" spans="7:7">
      <c r="G47066" s="812"/>
    </row>
    <row r="47067" spans="7:7">
      <c r="G47067" s="812"/>
    </row>
    <row r="47068" spans="7:7">
      <c r="G47068" s="812"/>
    </row>
    <row r="47069" spans="7:7">
      <c r="G47069" s="812"/>
    </row>
    <row r="47070" spans="7:7">
      <c r="G47070" s="812"/>
    </row>
    <row r="47071" spans="7:7">
      <c r="G47071" s="812"/>
    </row>
    <row r="47072" spans="7:7">
      <c r="G47072" s="812"/>
    </row>
    <row r="47073" spans="7:7">
      <c r="G47073" s="812"/>
    </row>
    <row r="47074" spans="7:7">
      <c r="G47074" s="812"/>
    </row>
    <row r="47075" spans="7:7">
      <c r="G47075" s="812"/>
    </row>
    <row r="47076" spans="7:7">
      <c r="G47076" s="812"/>
    </row>
    <row r="47077" spans="7:7">
      <c r="G47077" s="812"/>
    </row>
    <row r="47078" spans="7:7">
      <c r="G47078" s="812"/>
    </row>
    <row r="47079" spans="7:7">
      <c r="G47079" s="812"/>
    </row>
    <row r="47080" spans="7:7">
      <c r="G47080" s="812"/>
    </row>
    <row r="47081" spans="7:7">
      <c r="G47081" s="812"/>
    </row>
    <row r="47082" spans="7:7">
      <c r="G47082" s="812"/>
    </row>
    <row r="47083" spans="7:7">
      <c r="G47083" s="812"/>
    </row>
    <row r="47084" spans="7:7">
      <c r="G47084" s="812"/>
    </row>
    <row r="47085" spans="7:7">
      <c r="G47085" s="812"/>
    </row>
    <row r="47086" spans="7:7">
      <c r="G47086" s="812"/>
    </row>
    <row r="47087" spans="7:7">
      <c r="G47087" s="812"/>
    </row>
    <row r="47088" spans="7:7">
      <c r="G47088" s="812"/>
    </row>
    <row r="47089" spans="7:7">
      <c r="G47089" s="812"/>
    </row>
    <row r="47090" spans="7:7">
      <c r="G47090" s="812"/>
    </row>
    <row r="47091" spans="7:7">
      <c r="G47091" s="812"/>
    </row>
    <row r="47092" spans="7:7">
      <c r="G47092" s="812"/>
    </row>
    <row r="47093" spans="7:7">
      <c r="G47093" s="812"/>
    </row>
    <row r="47094" spans="7:7">
      <c r="G47094" s="812"/>
    </row>
    <row r="47095" spans="7:7">
      <c r="G47095" s="812"/>
    </row>
    <row r="47096" spans="7:7">
      <c r="G47096" s="812"/>
    </row>
    <row r="47097" spans="7:7">
      <c r="G47097" s="812"/>
    </row>
    <row r="47098" spans="7:7">
      <c r="G47098" s="812"/>
    </row>
    <row r="47099" spans="7:7">
      <c r="G47099" s="812"/>
    </row>
    <row r="47100" spans="7:7">
      <c r="G47100" s="812"/>
    </row>
    <row r="47101" spans="7:7">
      <c r="G47101" s="812"/>
    </row>
    <row r="47102" spans="7:7">
      <c r="G47102" s="812"/>
    </row>
    <row r="47103" spans="7:7">
      <c r="G47103" s="812"/>
    </row>
    <row r="47104" spans="7:7">
      <c r="G47104" s="812"/>
    </row>
    <row r="47105" spans="7:7">
      <c r="G47105" s="812"/>
    </row>
    <row r="47106" spans="7:7">
      <c r="G47106" s="812"/>
    </row>
    <row r="47107" spans="7:7">
      <c r="G47107" s="812"/>
    </row>
    <row r="47108" spans="7:7">
      <c r="G47108" s="812"/>
    </row>
    <row r="47109" spans="7:7">
      <c r="G47109" s="812"/>
    </row>
    <row r="47110" spans="7:7">
      <c r="G47110" s="812"/>
    </row>
    <row r="47111" spans="7:7">
      <c r="G47111" s="812"/>
    </row>
    <row r="47112" spans="7:7">
      <c r="G47112" s="812"/>
    </row>
    <row r="47113" spans="7:7">
      <c r="G47113" s="812"/>
    </row>
    <row r="47114" spans="7:7">
      <c r="G47114" s="812"/>
    </row>
    <row r="47115" spans="7:7">
      <c r="G47115" s="812"/>
    </row>
    <row r="47116" spans="7:7">
      <c r="G47116" s="812"/>
    </row>
    <row r="47117" spans="7:7">
      <c r="G47117" s="812"/>
    </row>
    <row r="47118" spans="7:7">
      <c r="G47118" s="812"/>
    </row>
    <row r="47119" spans="7:7">
      <c r="G47119" s="812"/>
    </row>
    <row r="47120" spans="7:7">
      <c r="G47120" s="812"/>
    </row>
    <row r="47121" spans="7:7">
      <c r="G47121" s="812"/>
    </row>
    <row r="47122" spans="7:7">
      <c r="G47122" s="812"/>
    </row>
    <row r="47123" spans="7:7">
      <c r="G47123" s="812"/>
    </row>
    <row r="47124" spans="7:7">
      <c r="G47124" s="812"/>
    </row>
    <row r="47125" spans="7:7">
      <c r="G47125" s="812"/>
    </row>
    <row r="47126" spans="7:7">
      <c r="G47126" s="812"/>
    </row>
    <row r="47127" spans="7:7">
      <c r="G47127" s="812"/>
    </row>
    <row r="47128" spans="7:7">
      <c r="G47128" s="812"/>
    </row>
    <row r="47129" spans="7:7">
      <c r="G47129" s="812"/>
    </row>
    <row r="47130" spans="7:7">
      <c r="G47130" s="812"/>
    </row>
    <row r="47131" spans="7:7">
      <c r="G47131" s="812"/>
    </row>
    <row r="47132" spans="7:7">
      <c r="G47132" s="812"/>
    </row>
    <row r="47133" spans="7:7">
      <c r="G47133" s="812"/>
    </row>
    <row r="47134" spans="7:7">
      <c r="G47134" s="812"/>
    </row>
    <row r="47135" spans="7:7">
      <c r="G47135" s="812"/>
    </row>
    <row r="47136" spans="7:7">
      <c r="G47136" s="812"/>
    </row>
    <row r="47137" spans="7:7">
      <c r="G47137" s="812"/>
    </row>
    <row r="47138" spans="7:7">
      <c r="G47138" s="812"/>
    </row>
    <row r="47139" spans="7:7">
      <c r="G47139" s="812"/>
    </row>
    <row r="47140" spans="7:7">
      <c r="G47140" s="812"/>
    </row>
    <row r="47141" spans="7:7">
      <c r="G47141" s="812"/>
    </row>
    <row r="47142" spans="7:7">
      <c r="G47142" s="812"/>
    </row>
    <row r="47143" spans="7:7">
      <c r="G47143" s="812"/>
    </row>
    <row r="47144" spans="7:7">
      <c r="G47144" s="812"/>
    </row>
    <row r="47145" spans="7:7">
      <c r="G47145" s="812"/>
    </row>
    <row r="47146" spans="7:7">
      <c r="G47146" s="812"/>
    </row>
    <row r="47147" spans="7:7">
      <c r="G47147" s="812"/>
    </row>
    <row r="47148" spans="7:7">
      <c r="G47148" s="812"/>
    </row>
    <row r="47149" spans="7:7">
      <c r="G47149" s="812"/>
    </row>
    <row r="47150" spans="7:7">
      <c r="G47150" s="812"/>
    </row>
    <row r="47151" spans="7:7">
      <c r="G47151" s="812"/>
    </row>
    <row r="47152" spans="7:7">
      <c r="G47152" s="812"/>
    </row>
    <row r="47153" spans="7:7">
      <c r="G47153" s="812"/>
    </row>
    <row r="47154" spans="7:7">
      <c r="G47154" s="812"/>
    </row>
    <row r="47155" spans="7:7">
      <c r="G47155" s="812"/>
    </row>
    <row r="47156" spans="7:7">
      <c r="G47156" s="812"/>
    </row>
    <row r="47157" spans="7:7">
      <c r="G47157" s="812"/>
    </row>
    <row r="47158" spans="7:7">
      <c r="G47158" s="812"/>
    </row>
    <row r="47159" spans="7:7">
      <c r="G47159" s="812"/>
    </row>
    <row r="47160" spans="7:7">
      <c r="G47160" s="812"/>
    </row>
    <row r="47161" spans="7:7">
      <c r="G47161" s="812"/>
    </row>
    <row r="47162" spans="7:7">
      <c r="G47162" s="812"/>
    </row>
    <row r="47163" spans="7:7">
      <c r="G47163" s="812"/>
    </row>
    <row r="47164" spans="7:7">
      <c r="G47164" s="812"/>
    </row>
    <row r="47165" spans="7:7">
      <c r="G47165" s="812"/>
    </row>
    <row r="47166" spans="7:7">
      <c r="G47166" s="812"/>
    </row>
    <row r="47167" spans="7:7">
      <c r="G47167" s="812"/>
    </row>
    <row r="47168" spans="7:7">
      <c r="G47168" s="812"/>
    </row>
    <row r="47169" spans="7:7">
      <c r="G47169" s="812"/>
    </row>
    <row r="47170" spans="7:7">
      <c r="G47170" s="812"/>
    </row>
    <row r="47171" spans="7:7">
      <c r="G47171" s="812"/>
    </row>
    <row r="47172" spans="7:7">
      <c r="G47172" s="812"/>
    </row>
    <row r="47173" spans="7:7">
      <c r="G47173" s="812"/>
    </row>
    <row r="47174" spans="7:7">
      <c r="G47174" s="812"/>
    </row>
    <row r="47175" spans="7:7">
      <c r="G47175" s="812"/>
    </row>
    <row r="47176" spans="7:7">
      <c r="G47176" s="812"/>
    </row>
    <row r="47177" spans="7:7">
      <c r="G47177" s="812"/>
    </row>
    <row r="47178" spans="7:7">
      <c r="G47178" s="812"/>
    </row>
    <row r="47179" spans="7:7">
      <c r="G47179" s="812"/>
    </row>
    <row r="47180" spans="7:7">
      <c r="G47180" s="812"/>
    </row>
    <row r="47181" spans="7:7">
      <c r="G47181" s="812"/>
    </row>
    <row r="47182" spans="7:7">
      <c r="G47182" s="812"/>
    </row>
    <row r="47183" spans="7:7">
      <c r="G47183" s="812"/>
    </row>
    <row r="47184" spans="7:7">
      <c r="G47184" s="812"/>
    </row>
    <row r="47185" spans="7:7">
      <c r="G47185" s="812"/>
    </row>
    <row r="47186" spans="7:7">
      <c r="G47186" s="812"/>
    </row>
    <row r="47187" spans="7:7">
      <c r="G47187" s="812"/>
    </row>
    <row r="47188" spans="7:7">
      <c r="G47188" s="812"/>
    </row>
    <row r="47189" spans="7:7">
      <c r="G47189" s="812"/>
    </row>
    <row r="47190" spans="7:7">
      <c r="G47190" s="812"/>
    </row>
    <row r="47191" spans="7:7">
      <c r="G47191" s="812"/>
    </row>
    <row r="47192" spans="7:7">
      <c r="G47192" s="812"/>
    </row>
    <row r="47193" spans="7:7">
      <c r="G47193" s="812"/>
    </row>
    <row r="47194" spans="7:7">
      <c r="G47194" s="812"/>
    </row>
    <row r="47195" spans="7:7">
      <c r="G47195" s="812"/>
    </row>
    <row r="47196" spans="7:7">
      <c r="G47196" s="812"/>
    </row>
    <row r="47197" spans="7:7">
      <c r="G47197" s="812"/>
    </row>
    <row r="47198" spans="7:7">
      <c r="G47198" s="812"/>
    </row>
    <row r="47199" spans="7:7">
      <c r="G47199" s="812"/>
    </row>
    <row r="47200" spans="7:7">
      <c r="G47200" s="812"/>
    </row>
    <row r="47201" spans="7:7">
      <c r="G47201" s="812"/>
    </row>
    <row r="47202" spans="7:7">
      <c r="G47202" s="812"/>
    </row>
    <row r="47203" spans="7:7">
      <c r="G47203" s="812"/>
    </row>
    <row r="47204" spans="7:7">
      <c r="G47204" s="812"/>
    </row>
    <row r="47205" spans="7:7">
      <c r="G47205" s="812"/>
    </row>
    <row r="47206" spans="7:7">
      <c r="G47206" s="812"/>
    </row>
    <row r="47207" spans="7:7">
      <c r="G47207" s="812"/>
    </row>
    <row r="47208" spans="7:7">
      <c r="G47208" s="812"/>
    </row>
    <row r="47209" spans="7:7">
      <c r="G47209" s="812"/>
    </row>
    <row r="47210" spans="7:7">
      <c r="G47210" s="812"/>
    </row>
    <row r="47211" spans="7:7">
      <c r="G47211" s="812"/>
    </row>
    <row r="47212" spans="7:7">
      <c r="G47212" s="812"/>
    </row>
    <row r="47213" spans="7:7">
      <c r="G47213" s="812"/>
    </row>
    <row r="47214" spans="7:7">
      <c r="G47214" s="812"/>
    </row>
    <row r="47215" spans="7:7">
      <c r="G47215" s="812"/>
    </row>
    <row r="47216" spans="7:7">
      <c r="G47216" s="812"/>
    </row>
    <row r="47217" spans="7:7">
      <c r="G47217" s="812"/>
    </row>
    <row r="47218" spans="7:7">
      <c r="G47218" s="812"/>
    </row>
    <row r="47219" spans="7:7">
      <c r="G47219" s="812"/>
    </row>
    <row r="47220" spans="7:7">
      <c r="G47220" s="812"/>
    </row>
    <row r="47221" spans="7:7">
      <c r="G47221" s="812"/>
    </row>
    <row r="47222" spans="7:7">
      <c r="G47222" s="812"/>
    </row>
    <row r="47223" spans="7:7">
      <c r="G47223" s="812"/>
    </row>
    <row r="47224" spans="7:7">
      <c r="G47224" s="812"/>
    </row>
    <row r="47225" spans="7:7">
      <c r="G47225" s="812"/>
    </row>
    <row r="47226" spans="7:7">
      <c r="G47226" s="812"/>
    </row>
    <row r="47227" spans="7:7">
      <c r="G47227" s="812"/>
    </row>
    <row r="47228" spans="7:7">
      <c r="G47228" s="812"/>
    </row>
    <row r="47229" spans="7:7">
      <c r="G47229" s="812"/>
    </row>
    <row r="47230" spans="7:7">
      <c r="G47230" s="812"/>
    </row>
    <row r="47231" spans="7:7">
      <c r="G47231" s="812"/>
    </row>
    <row r="47232" spans="7:7">
      <c r="G47232" s="812"/>
    </row>
    <row r="47233" spans="7:7">
      <c r="G47233" s="812"/>
    </row>
    <row r="47234" spans="7:7">
      <c r="G47234" s="812"/>
    </row>
    <row r="47235" spans="7:7">
      <c r="G47235" s="812"/>
    </row>
    <row r="47236" spans="7:7">
      <c r="G47236" s="812"/>
    </row>
    <row r="47237" spans="7:7">
      <c r="G47237" s="812"/>
    </row>
    <row r="47238" spans="7:7">
      <c r="G47238" s="812"/>
    </row>
    <row r="47239" spans="7:7">
      <c r="G47239" s="812"/>
    </row>
    <row r="47240" spans="7:7">
      <c r="G47240" s="812"/>
    </row>
    <row r="47241" spans="7:7">
      <c r="G47241" s="812"/>
    </row>
    <row r="47242" spans="7:7">
      <c r="G47242" s="812"/>
    </row>
    <row r="47243" spans="7:7">
      <c r="G47243" s="812"/>
    </row>
    <row r="47244" spans="7:7">
      <c r="G47244" s="812"/>
    </row>
    <row r="47245" spans="7:7">
      <c r="G47245" s="812"/>
    </row>
    <row r="47246" spans="7:7">
      <c r="G47246" s="812"/>
    </row>
    <row r="47247" spans="7:7">
      <c r="G47247" s="812"/>
    </row>
    <row r="47248" spans="7:7">
      <c r="G47248" s="812"/>
    </row>
    <row r="47249" spans="7:7">
      <c r="G47249" s="812"/>
    </row>
    <row r="47250" spans="7:7">
      <c r="G47250" s="812"/>
    </row>
    <row r="47251" spans="7:7">
      <c r="G47251" s="812"/>
    </row>
    <row r="47252" spans="7:7">
      <c r="G47252" s="812"/>
    </row>
    <row r="47253" spans="7:7">
      <c r="G47253" s="812"/>
    </row>
    <row r="47254" spans="7:7">
      <c r="G47254" s="812"/>
    </row>
    <row r="47255" spans="7:7">
      <c r="G47255" s="812"/>
    </row>
    <row r="47256" spans="7:7">
      <c r="G47256" s="812"/>
    </row>
    <row r="47257" spans="7:7">
      <c r="G47257" s="812"/>
    </row>
    <row r="47258" spans="7:7">
      <c r="G47258" s="812"/>
    </row>
    <row r="47259" spans="7:7">
      <c r="G47259" s="812"/>
    </row>
    <row r="47260" spans="7:7">
      <c r="G47260" s="812"/>
    </row>
    <row r="47261" spans="7:7">
      <c r="G47261" s="812"/>
    </row>
    <row r="47262" spans="7:7">
      <c r="G47262" s="812"/>
    </row>
    <row r="47263" spans="7:7">
      <c r="G47263" s="812"/>
    </row>
    <row r="47264" spans="7:7">
      <c r="G47264" s="812"/>
    </row>
    <row r="47265" spans="7:7">
      <c r="G47265" s="812"/>
    </row>
    <row r="47266" spans="7:7">
      <c r="G47266" s="812"/>
    </row>
    <row r="47267" spans="7:7">
      <c r="G47267" s="812"/>
    </row>
    <row r="47268" spans="7:7">
      <c r="G47268" s="812"/>
    </row>
    <row r="47269" spans="7:7">
      <c r="G47269" s="812"/>
    </row>
    <row r="47270" spans="7:7">
      <c r="G47270" s="812"/>
    </row>
    <row r="47271" spans="7:7">
      <c r="G47271" s="812"/>
    </row>
    <row r="47272" spans="7:7">
      <c r="G47272" s="812"/>
    </row>
    <row r="47273" spans="7:7">
      <c r="G47273" s="812"/>
    </row>
    <row r="47274" spans="7:7">
      <c r="G47274" s="812"/>
    </row>
    <row r="47275" spans="7:7">
      <c r="G47275" s="812"/>
    </row>
    <row r="47276" spans="7:7">
      <c r="G47276" s="812"/>
    </row>
    <row r="47277" spans="7:7">
      <c r="G47277" s="812"/>
    </row>
    <row r="47278" spans="7:7">
      <c r="G47278" s="812"/>
    </row>
    <row r="47279" spans="7:7">
      <c r="G47279" s="812"/>
    </row>
    <row r="47280" spans="7:7">
      <c r="G47280" s="812"/>
    </row>
    <row r="47281" spans="7:7">
      <c r="G47281" s="812"/>
    </row>
    <row r="47282" spans="7:7">
      <c r="G47282" s="812"/>
    </row>
    <row r="47283" spans="7:7">
      <c r="G47283" s="812"/>
    </row>
    <row r="47284" spans="7:7">
      <c r="G47284" s="812"/>
    </row>
    <row r="47285" spans="7:7">
      <c r="G47285" s="812"/>
    </row>
    <row r="47286" spans="7:7">
      <c r="G47286" s="812"/>
    </row>
    <row r="47287" spans="7:7">
      <c r="G47287" s="812"/>
    </row>
    <row r="47288" spans="7:7">
      <c r="G47288" s="812"/>
    </row>
    <row r="47289" spans="7:7">
      <c r="G47289" s="812"/>
    </row>
    <row r="47290" spans="7:7">
      <c r="G47290" s="812"/>
    </row>
    <row r="47291" spans="7:7">
      <c r="G47291" s="812"/>
    </row>
    <row r="47292" spans="7:7">
      <c r="G47292" s="812"/>
    </row>
    <row r="47293" spans="7:7">
      <c r="G47293" s="812"/>
    </row>
    <row r="47294" spans="7:7">
      <c r="G47294" s="812"/>
    </row>
    <row r="47295" spans="7:7">
      <c r="G47295" s="812"/>
    </row>
    <row r="47296" spans="7:7">
      <c r="G47296" s="812"/>
    </row>
    <row r="47297" spans="7:7">
      <c r="G47297" s="812"/>
    </row>
    <row r="47298" spans="7:7">
      <c r="G47298" s="812"/>
    </row>
    <row r="47299" spans="7:7">
      <c r="G47299" s="812"/>
    </row>
    <row r="47300" spans="7:7">
      <c r="G47300" s="812"/>
    </row>
    <row r="47301" spans="7:7">
      <c r="G47301" s="812"/>
    </row>
    <row r="47302" spans="7:7">
      <c r="G47302" s="812"/>
    </row>
    <row r="47303" spans="7:7">
      <c r="G47303" s="812"/>
    </row>
    <row r="47304" spans="7:7">
      <c r="G47304" s="812"/>
    </row>
    <row r="47305" spans="7:7">
      <c r="G47305" s="812"/>
    </row>
    <row r="47306" spans="7:7">
      <c r="G47306" s="812"/>
    </row>
    <row r="47307" spans="7:7">
      <c r="G47307" s="812"/>
    </row>
    <row r="47308" spans="7:7">
      <c r="G47308" s="812"/>
    </row>
    <row r="47309" spans="7:7">
      <c r="G47309" s="812"/>
    </row>
    <row r="47310" spans="7:7">
      <c r="G47310" s="812"/>
    </row>
    <row r="47311" spans="7:7">
      <c r="G47311" s="812"/>
    </row>
    <row r="47312" spans="7:7">
      <c r="G47312" s="812"/>
    </row>
    <row r="47313" spans="7:7">
      <c r="G47313" s="812"/>
    </row>
    <row r="47314" spans="7:7">
      <c r="G47314" s="812"/>
    </row>
    <row r="47315" spans="7:7">
      <c r="G47315" s="812"/>
    </row>
    <row r="47316" spans="7:7">
      <c r="G47316" s="812"/>
    </row>
    <row r="47317" spans="7:7">
      <c r="G47317" s="812"/>
    </row>
    <row r="47318" spans="7:7">
      <c r="G47318" s="812"/>
    </row>
    <row r="47319" spans="7:7">
      <c r="G47319" s="812"/>
    </row>
    <row r="47320" spans="7:7">
      <c r="G47320" s="812"/>
    </row>
    <row r="47321" spans="7:7">
      <c r="G47321" s="812"/>
    </row>
    <row r="47322" spans="7:7">
      <c r="G47322" s="812"/>
    </row>
    <row r="47323" spans="7:7">
      <c r="G47323" s="812"/>
    </row>
    <row r="47324" spans="7:7">
      <c r="G47324" s="812"/>
    </row>
    <row r="47325" spans="7:7">
      <c r="G47325" s="812"/>
    </row>
    <row r="47326" spans="7:7">
      <c r="G47326" s="812"/>
    </row>
    <row r="47327" spans="7:7">
      <c r="G47327" s="812"/>
    </row>
    <row r="47328" spans="7:7">
      <c r="G47328" s="812"/>
    </row>
    <row r="47329" spans="7:7">
      <c r="G47329" s="812"/>
    </row>
    <row r="47330" spans="7:7">
      <c r="G47330" s="812"/>
    </row>
    <row r="47331" spans="7:7">
      <c r="G47331" s="812"/>
    </row>
    <row r="47332" spans="7:7">
      <c r="G47332" s="812"/>
    </row>
    <row r="47333" spans="7:7">
      <c r="G47333" s="812"/>
    </row>
    <row r="47334" spans="7:7">
      <c r="G47334" s="812"/>
    </row>
    <row r="47335" spans="7:7">
      <c r="G47335" s="812"/>
    </row>
    <row r="47336" spans="7:7">
      <c r="G47336" s="812"/>
    </row>
    <row r="47337" spans="7:7">
      <c r="G47337" s="812"/>
    </row>
    <row r="47338" spans="7:7">
      <c r="G47338" s="812"/>
    </row>
    <row r="47339" spans="7:7">
      <c r="G47339" s="812"/>
    </row>
    <row r="47340" spans="7:7">
      <c r="G47340" s="812"/>
    </row>
    <row r="47341" spans="7:7">
      <c r="G47341" s="812"/>
    </row>
    <row r="47342" spans="7:7">
      <c r="G47342" s="812"/>
    </row>
    <row r="47343" spans="7:7">
      <c r="G47343" s="812"/>
    </row>
    <row r="47344" spans="7:7">
      <c r="G47344" s="812"/>
    </row>
    <row r="47345" spans="7:7">
      <c r="G47345" s="812"/>
    </row>
    <row r="47346" spans="7:7">
      <c r="G47346" s="812"/>
    </row>
    <row r="47347" spans="7:7">
      <c r="G47347" s="812"/>
    </row>
    <row r="47348" spans="7:7">
      <c r="G47348" s="812"/>
    </row>
    <row r="47349" spans="7:7">
      <c r="G47349" s="812"/>
    </row>
    <row r="47350" spans="7:7">
      <c r="G47350" s="812"/>
    </row>
    <row r="47351" spans="7:7">
      <c r="G47351" s="812"/>
    </row>
    <row r="47352" spans="7:7">
      <c r="G47352" s="812"/>
    </row>
    <row r="47353" spans="7:7">
      <c r="G47353" s="812"/>
    </row>
    <row r="47354" spans="7:7">
      <c r="G47354" s="812"/>
    </row>
    <row r="47355" spans="7:7">
      <c r="G47355" s="812"/>
    </row>
    <row r="47356" spans="7:7">
      <c r="G47356" s="812"/>
    </row>
    <row r="47357" spans="7:7">
      <c r="G47357" s="812"/>
    </row>
    <row r="47358" spans="7:7">
      <c r="G47358" s="812"/>
    </row>
    <row r="47359" spans="7:7">
      <c r="G47359" s="812"/>
    </row>
    <row r="47360" spans="7:7">
      <c r="G47360" s="812"/>
    </row>
    <row r="47361" spans="7:7">
      <c r="G47361" s="812"/>
    </row>
    <row r="47362" spans="7:7">
      <c r="G47362" s="812"/>
    </row>
    <row r="47363" spans="7:7">
      <c r="G47363" s="812"/>
    </row>
    <row r="47364" spans="7:7">
      <c r="G47364" s="812"/>
    </row>
    <row r="47365" spans="7:7">
      <c r="G47365" s="812"/>
    </row>
    <row r="47366" spans="7:7">
      <c r="G47366" s="812"/>
    </row>
    <row r="47367" spans="7:7">
      <c r="G47367" s="812"/>
    </row>
    <row r="47368" spans="7:7">
      <c r="G47368" s="812"/>
    </row>
    <row r="47369" spans="7:7">
      <c r="G47369" s="812"/>
    </row>
    <row r="47370" spans="7:7">
      <c r="G47370" s="812"/>
    </row>
    <row r="47371" spans="7:7">
      <c r="G47371" s="812"/>
    </row>
    <row r="47372" spans="7:7">
      <c r="G47372" s="812"/>
    </row>
    <row r="47373" spans="7:7">
      <c r="G47373" s="812"/>
    </row>
    <row r="47374" spans="7:7">
      <c r="G47374" s="812"/>
    </row>
    <row r="47375" spans="7:7">
      <c r="G47375" s="812"/>
    </row>
    <row r="47376" spans="7:7">
      <c r="G47376" s="812"/>
    </row>
    <row r="47377" spans="7:7">
      <c r="G47377" s="812"/>
    </row>
    <row r="47378" spans="7:7">
      <c r="G47378" s="812"/>
    </row>
    <row r="47379" spans="7:7">
      <c r="G47379" s="812"/>
    </row>
    <row r="47380" spans="7:7">
      <c r="G47380" s="812"/>
    </row>
    <row r="47381" spans="7:7">
      <c r="G47381" s="812"/>
    </row>
    <row r="47382" spans="7:7">
      <c r="G47382" s="812"/>
    </row>
    <row r="47383" spans="7:7">
      <c r="G47383" s="812"/>
    </row>
    <row r="47384" spans="7:7">
      <c r="G47384" s="812"/>
    </row>
    <row r="47385" spans="7:7">
      <c r="G47385" s="812"/>
    </row>
    <row r="47386" spans="7:7">
      <c r="G47386" s="812"/>
    </row>
    <row r="47387" spans="7:7">
      <c r="G47387" s="812"/>
    </row>
    <row r="47388" spans="7:7">
      <c r="G47388" s="812"/>
    </row>
    <row r="47389" spans="7:7">
      <c r="G47389" s="812"/>
    </row>
    <row r="47390" spans="7:7">
      <c r="G47390" s="812"/>
    </row>
    <row r="47391" spans="7:7">
      <c r="G47391" s="812"/>
    </row>
    <row r="47392" spans="7:7">
      <c r="G47392" s="812"/>
    </row>
    <row r="47393" spans="7:7">
      <c r="G47393" s="812"/>
    </row>
    <row r="47394" spans="7:7">
      <c r="G47394" s="812"/>
    </row>
    <row r="47395" spans="7:7">
      <c r="G47395" s="812"/>
    </row>
    <row r="47396" spans="7:7">
      <c r="G47396" s="812"/>
    </row>
    <row r="47397" spans="7:7">
      <c r="G47397" s="812"/>
    </row>
    <row r="47398" spans="7:7">
      <c r="G47398" s="812"/>
    </row>
    <row r="47399" spans="7:7">
      <c r="G47399" s="812"/>
    </row>
    <row r="47400" spans="7:7">
      <c r="G47400" s="812"/>
    </row>
    <row r="47401" spans="7:7">
      <c r="G47401" s="812"/>
    </row>
    <row r="47402" spans="7:7">
      <c r="G47402" s="812"/>
    </row>
    <row r="47403" spans="7:7">
      <c r="G47403" s="812"/>
    </row>
    <row r="47404" spans="7:7">
      <c r="G47404" s="812"/>
    </row>
    <row r="47405" spans="7:7">
      <c r="G47405" s="812"/>
    </row>
    <row r="47406" spans="7:7">
      <c r="G47406" s="812"/>
    </row>
    <row r="47407" spans="7:7">
      <c r="G47407" s="812"/>
    </row>
    <row r="47408" spans="7:7">
      <c r="G47408" s="812"/>
    </row>
    <row r="47409" spans="7:7">
      <c r="G47409" s="812"/>
    </row>
    <row r="47410" spans="7:7">
      <c r="G47410" s="812"/>
    </row>
    <row r="47411" spans="7:7">
      <c r="G47411" s="812"/>
    </row>
    <row r="47412" spans="7:7">
      <c r="G47412" s="812"/>
    </row>
    <row r="47413" spans="7:7">
      <c r="G47413" s="812"/>
    </row>
    <row r="47414" spans="7:7">
      <c r="G47414" s="812"/>
    </row>
    <row r="47415" spans="7:7">
      <c r="G47415" s="812"/>
    </row>
    <row r="47416" spans="7:7">
      <c r="G47416" s="812"/>
    </row>
    <row r="47417" spans="7:7">
      <c r="G47417" s="812"/>
    </row>
    <row r="47418" spans="7:7">
      <c r="G47418" s="812"/>
    </row>
    <row r="47419" spans="7:7">
      <c r="G47419" s="812"/>
    </row>
    <row r="47420" spans="7:7">
      <c r="G47420" s="812"/>
    </row>
    <row r="47421" spans="7:7">
      <c r="G47421" s="812"/>
    </row>
    <row r="47422" spans="7:7">
      <c r="G47422" s="812"/>
    </row>
    <row r="47423" spans="7:7">
      <c r="G47423" s="812"/>
    </row>
    <row r="47424" spans="7:7">
      <c r="G47424" s="812"/>
    </row>
    <row r="47425" spans="7:7">
      <c r="G47425" s="812"/>
    </row>
    <row r="47426" spans="7:7">
      <c r="G47426" s="812"/>
    </row>
    <row r="47427" spans="7:7">
      <c r="G47427" s="812"/>
    </row>
    <row r="47428" spans="7:7">
      <c r="G47428" s="812"/>
    </row>
    <row r="47429" spans="7:7">
      <c r="G47429" s="812"/>
    </row>
    <row r="47430" spans="7:7">
      <c r="G47430" s="812"/>
    </row>
    <row r="47431" spans="7:7">
      <c r="G47431" s="812"/>
    </row>
    <row r="47432" spans="7:7">
      <c r="G47432" s="812"/>
    </row>
    <row r="47433" spans="7:7">
      <c r="G47433" s="812"/>
    </row>
    <row r="47434" spans="7:7">
      <c r="G47434" s="812"/>
    </row>
    <row r="47435" spans="7:7">
      <c r="G47435" s="812"/>
    </row>
    <row r="47436" spans="7:7">
      <c r="G47436" s="812"/>
    </row>
    <row r="47437" spans="7:7">
      <c r="G47437" s="812"/>
    </row>
    <row r="47438" spans="7:7">
      <c r="G47438" s="812"/>
    </row>
    <row r="47439" spans="7:7">
      <c r="G47439" s="812"/>
    </row>
    <row r="47440" spans="7:7">
      <c r="G47440" s="812"/>
    </row>
    <row r="47441" spans="7:7">
      <c r="G47441" s="812"/>
    </row>
    <row r="47442" spans="7:7">
      <c r="G47442" s="812"/>
    </row>
    <row r="47443" spans="7:7">
      <c r="G47443" s="812"/>
    </row>
    <row r="47444" spans="7:7">
      <c r="G47444" s="812"/>
    </row>
    <row r="47445" spans="7:7">
      <c r="G47445" s="812"/>
    </row>
    <row r="47446" spans="7:7">
      <c r="G47446" s="812"/>
    </row>
    <row r="47447" spans="7:7">
      <c r="G47447" s="812"/>
    </row>
    <row r="47448" spans="7:7">
      <c r="G47448" s="812"/>
    </row>
    <row r="47449" spans="7:7">
      <c r="G47449" s="812"/>
    </row>
    <row r="47450" spans="7:7">
      <c r="G47450" s="812"/>
    </row>
    <row r="47451" spans="7:7">
      <c r="G47451" s="812"/>
    </row>
    <row r="47452" spans="7:7">
      <c r="G47452" s="812"/>
    </row>
    <row r="47453" spans="7:7">
      <c r="G47453" s="812"/>
    </row>
    <row r="47454" spans="7:7">
      <c r="G47454" s="812"/>
    </row>
    <row r="47455" spans="7:7">
      <c r="G47455" s="812"/>
    </row>
    <row r="47456" spans="7:7">
      <c r="G47456" s="812"/>
    </row>
    <row r="47457" spans="7:7">
      <c r="G47457" s="812"/>
    </row>
    <row r="47458" spans="7:7">
      <c r="G47458" s="812"/>
    </row>
    <row r="47459" spans="7:7">
      <c r="G47459" s="812"/>
    </row>
    <row r="47460" spans="7:7">
      <c r="G47460" s="812"/>
    </row>
    <row r="47461" spans="7:7">
      <c r="G47461" s="812"/>
    </row>
    <row r="47462" spans="7:7">
      <c r="G47462" s="812"/>
    </row>
    <row r="47463" spans="7:7">
      <c r="G47463" s="812"/>
    </row>
    <row r="47464" spans="7:7">
      <c r="G47464" s="812"/>
    </row>
    <row r="47465" spans="7:7">
      <c r="G47465" s="812"/>
    </row>
    <row r="47466" spans="7:7">
      <c r="G47466" s="812"/>
    </row>
    <row r="47467" spans="7:7">
      <c r="G47467" s="812"/>
    </row>
    <row r="47468" spans="7:7">
      <c r="G47468" s="812"/>
    </row>
    <row r="47469" spans="7:7">
      <c r="G47469" s="812"/>
    </row>
    <row r="47470" spans="7:7">
      <c r="G47470" s="812"/>
    </row>
    <row r="47471" spans="7:7">
      <c r="G47471" s="812"/>
    </row>
    <row r="47472" spans="7:7">
      <c r="G47472" s="812"/>
    </row>
    <row r="47473" spans="7:7">
      <c r="G47473" s="812"/>
    </row>
    <row r="47474" spans="7:7">
      <c r="G47474" s="812"/>
    </row>
    <row r="47475" spans="7:7">
      <c r="G47475" s="812"/>
    </row>
    <row r="47476" spans="7:7">
      <c r="G47476" s="812"/>
    </row>
    <row r="47477" spans="7:7">
      <c r="G47477" s="812"/>
    </row>
    <row r="47478" spans="7:7">
      <c r="G47478" s="812"/>
    </row>
    <row r="47479" spans="7:7">
      <c r="G47479" s="812"/>
    </row>
    <row r="47480" spans="7:7">
      <c r="G47480" s="812"/>
    </row>
    <row r="47481" spans="7:7">
      <c r="G47481" s="812"/>
    </row>
    <row r="47482" spans="7:7">
      <c r="G47482" s="812"/>
    </row>
    <row r="47483" spans="7:7">
      <c r="G47483" s="812"/>
    </row>
    <row r="47484" spans="7:7">
      <c r="G47484" s="812"/>
    </row>
    <row r="47485" spans="7:7">
      <c r="G47485" s="812"/>
    </row>
    <row r="47486" spans="7:7">
      <c r="G47486" s="812"/>
    </row>
    <row r="47487" spans="7:7">
      <c r="G47487" s="812"/>
    </row>
    <row r="47488" spans="7:7">
      <c r="G47488" s="812"/>
    </row>
    <row r="47489" spans="7:7">
      <c r="G47489" s="812"/>
    </row>
    <row r="47490" spans="7:7">
      <c r="G47490" s="812"/>
    </row>
    <row r="47491" spans="7:7">
      <c r="G47491" s="812"/>
    </row>
    <row r="47492" spans="7:7">
      <c r="G47492" s="812"/>
    </row>
    <row r="47493" spans="7:7">
      <c r="G47493" s="812"/>
    </row>
    <row r="47494" spans="7:7">
      <c r="G47494" s="812"/>
    </row>
    <row r="47495" spans="7:7">
      <c r="G47495" s="812"/>
    </row>
    <row r="47496" spans="7:7">
      <c r="G47496" s="812"/>
    </row>
    <row r="47497" spans="7:7">
      <c r="G47497" s="812"/>
    </row>
    <row r="47498" spans="7:7">
      <c r="G47498" s="812"/>
    </row>
    <row r="47499" spans="7:7">
      <c r="G47499" s="812"/>
    </row>
    <row r="47500" spans="7:7">
      <c r="G47500" s="812"/>
    </row>
    <row r="47501" spans="7:7">
      <c r="G47501" s="812"/>
    </row>
    <row r="47502" spans="7:7">
      <c r="G47502" s="812"/>
    </row>
    <row r="47503" spans="7:7">
      <c r="G47503" s="812"/>
    </row>
    <row r="47504" spans="7:7">
      <c r="G47504" s="812"/>
    </row>
    <row r="47505" spans="7:7">
      <c r="G47505" s="812"/>
    </row>
    <row r="47506" spans="7:7">
      <c r="G47506" s="812"/>
    </row>
    <row r="47507" spans="7:7">
      <c r="G47507" s="812"/>
    </row>
    <row r="47508" spans="7:7">
      <c r="G47508" s="812"/>
    </row>
    <row r="47509" spans="7:7">
      <c r="G47509" s="812"/>
    </row>
    <row r="47510" spans="7:7">
      <c r="G47510" s="812"/>
    </row>
    <row r="47511" spans="7:7">
      <c r="G47511" s="812"/>
    </row>
    <row r="47512" spans="7:7">
      <c r="G47512" s="812"/>
    </row>
    <row r="47513" spans="7:7">
      <c r="G47513" s="812"/>
    </row>
    <row r="47514" spans="7:7">
      <c r="G47514" s="812"/>
    </row>
    <row r="47515" spans="7:7">
      <c r="G47515" s="812"/>
    </row>
    <row r="47516" spans="7:7">
      <c r="G47516" s="812"/>
    </row>
    <row r="47517" spans="7:7">
      <c r="G47517" s="812"/>
    </row>
    <row r="47518" spans="7:7">
      <c r="G47518" s="812"/>
    </row>
    <row r="47519" spans="7:7">
      <c r="G47519" s="812"/>
    </row>
    <row r="47520" spans="7:7">
      <c r="G47520" s="812"/>
    </row>
    <row r="47521" spans="7:7">
      <c r="G47521" s="812"/>
    </row>
    <row r="47522" spans="7:7">
      <c r="G47522" s="812"/>
    </row>
    <row r="47523" spans="7:7">
      <c r="G47523" s="812"/>
    </row>
    <row r="47524" spans="7:7">
      <c r="G47524" s="812"/>
    </row>
    <row r="47525" spans="7:7">
      <c r="G47525" s="812"/>
    </row>
    <row r="47526" spans="7:7">
      <c r="G47526" s="812"/>
    </row>
    <row r="47527" spans="7:7">
      <c r="G47527" s="812"/>
    </row>
    <row r="47528" spans="7:7">
      <c r="G47528" s="812"/>
    </row>
    <row r="47529" spans="7:7">
      <c r="G47529" s="812"/>
    </row>
    <row r="47530" spans="7:7">
      <c r="G47530" s="812"/>
    </row>
    <row r="47531" spans="7:7">
      <c r="G47531" s="812"/>
    </row>
    <row r="47532" spans="7:7">
      <c r="G47532" s="812"/>
    </row>
    <row r="47533" spans="7:7">
      <c r="G47533" s="812"/>
    </row>
    <row r="47534" spans="7:7">
      <c r="G47534" s="812"/>
    </row>
    <row r="47535" spans="7:7">
      <c r="G47535" s="812"/>
    </row>
    <row r="47536" spans="7:7">
      <c r="G47536" s="812"/>
    </row>
    <row r="47537" spans="7:7">
      <c r="G47537" s="812"/>
    </row>
    <row r="47538" spans="7:7">
      <c r="G47538" s="812"/>
    </row>
    <row r="47539" spans="7:7">
      <c r="G47539" s="812"/>
    </row>
    <row r="47540" spans="7:7">
      <c r="G47540" s="812"/>
    </row>
    <row r="47541" spans="7:7">
      <c r="G47541" s="812"/>
    </row>
    <row r="47542" spans="7:7">
      <c r="G47542" s="812"/>
    </row>
    <row r="47543" spans="7:7">
      <c r="G47543" s="812"/>
    </row>
    <row r="47544" spans="7:7">
      <c r="G47544" s="812"/>
    </row>
    <row r="47545" spans="7:7">
      <c r="G47545" s="812"/>
    </row>
    <row r="47546" spans="7:7">
      <c r="G47546" s="812"/>
    </row>
    <row r="47547" spans="7:7">
      <c r="G47547" s="812"/>
    </row>
    <row r="47548" spans="7:7">
      <c r="G47548" s="812"/>
    </row>
    <row r="47549" spans="7:7">
      <c r="G47549" s="812"/>
    </row>
    <row r="47550" spans="7:7">
      <c r="G47550" s="812"/>
    </row>
    <row r="47551" spans="7:7">
      <c r="G47551" s="812"/>
    </row>
    <row r="47552" spans="7:7">
      <c r="G47552" s="812"/>
    </row>
    <row r="47553" spans="7:7">
      <c r="G47553" s="812"/>
    </row>
    <row r="47554" spans="7:7">
      <c r="G47554" s="812"/>
    </row>
    <row r="47555" spans="7:7">
      <c r="G47555" s="812"/>
    </row>
    <row r="47556" spans="7:7">
      <c r="G47556" s="812"/>
    </row>
    <row r="47557" spans="7:7">
      <c r="G47557" s="812"/>
    </row>
    <row r="47558" spans="7:7">
      <c r="G47558" s="812"/>
    </row>
    <row r="47559" spans="7:7">
      <c r="G47559" s="812"/>
    </row>
    <row r="47560" spans="7:7">
      <c r="G47560" s="812"/>
    </row>
    <row r="47561" spans="7:7">
      <c r="G47561" s="812"/>
    </row>
    <row r="47562" spans="7:7">
      <c r="G47562" s="812"/>
    </row>
    <row r="47563" spans="7:7">
      <c r="G47563" s="812"/>
    </row>
    <row r="47564" spans="7:7">
      <c r="G47564" s="812"/>
    </row>
    <row r="47565" spans="7:7">
      <c r="G47565" s="812"/>
    </row>
    <row r="47566" spans="7:7">
      <c r="G47566" s="812"/>
    </row>
    <row r="47567" spans="7:7">
      <c r="G47567" s="812"/>
    </row>
    <row r="47568" spans="7:7">
      <c r="G47568" s="812"/>
    </row>
    <row r="47569" spans="7:7">
      <c r="G47569" s="812"/>
    </row>
    <row r="47570" spans="7:7">
      <c r="G47570" s="812"/>
    </row>
    <row r="47571" spans="7:7">
      <c r="G47571" s="812"/>
    </row>
    <row r="47572" spans="7:7">
      <c r="G47572" s="812"/>
    </row>
    <row r="47573" spans="7:7">
      <c r="G47573" s="812"/>
    </row>
    <row r="47574" spans="7:7">
      <c r="G47574" s="812"/>
    </row>
    <row r="47575" spans="7:7">
      <c r="G47575" s="812"/>
    </row>
    <row r="47576" spans="7:7">
      <c r="G47576" s="812"/>
    </row>
    <row r="47577" spans="7:7">
      <c r="G47577" s="812"/>
    </row>
    <row r="47578" spans="7:7">
      <c r="G47578" s="812"/>
    </row>
    <row r="47579" spans="7:7">
      <c r="G47579" s="812"/>
    </row>
    <row r="47580" spans="7:7">
      <c r="G47580" s="812"/>
    </row>
    <row r="47581" spans="7:7">
      <c r="G47581" s="812"/>
    </row>
    <row r="47582" spans="7:7">
      <c r="G47582" s="812"/>
    </row>
    <row r="47583" spans="7:7">
      <c r="G47583" s="812"/>
    </row>
    <row r="47584" spans="7:7">
      <c r="G47584" s="812"/>
    </row>
    <row r="47585" spans="7:7">
      <c r="G47585" s="812"/>
    </row>
    <row r="47586" spans="7:7">
      <c r="G47586" s="812"/>
    </row>
    <row r="47587" spans="7:7">
      <c r="G47587" s="812"/>
    </row>
    <row r="47588" spans="7:7">
      <c r="G47588" s="812"/>
    </row>
    <row r="47589" spans="7:7">
      <c r="G47589" s="812"/>
    </row>
    <row r="47590" spans="7:7">
      <c r="G47590" s="812"/>
    </row>
    <row r="47591" spans="7:7">
      <c r="G47591" s="812"/>
    </row>
    <row r="47592" spans="7:7">
      <c r="G47592" s="812"/>
    </row>
    <row r="47593" spans="7:7">
      <c r="G47593" s="812"/>
    </row>
    <row r="47594" spans="7:7">
      <c r="G47594" s="812"/>
    </row>
    <row r="47595" spans="7:7">
      <c r="G47595" s="812"/>
    </row>
    <row r="47596" spans="7:7">
      <c r="G47596" s="812"/>
    </row>
    <row r="47597" spans="7:7">
      <c r="G47597" s="812"/>
    </row>
    <row r="47598" spans="7:7">
      <c r="G47598" s="812"/>
    </row>
    <row r="47599" spans="7:7">
      <c r="G47599" s="812"/>
    </row>
    <row r="47600" spans="7:7">
      <c r="G47600" s="812"/>
    </row>
    <row r="47601" spans="7:7">
      <c r="G47601" s="812"/>
    </row>
    <row r="47602" spans="7:7">
      <c r="G47602" s="812"/>
    </row>
    <row r="47603" spans="7:7">
      <c r="G47603" s="812"/>
    </row>
    <row r="47604" spans="7:7">
      <c r="G47604" s="812"/>
    </row>
    <row r="47605" spans="7:7">
      <c r="G47605" s="812"/>
    </row>
    <row r="47606" spans="7:7">
      <c r="G47606" s="812"/>
    </row>
    <row r="47607" spans="7:7">
      <c r="G47607" s="812"/>
    </row>
    <row r="47608" spans="7:7">
      <c r="G47608" s="812"/>
    </row>
    <row r="47609" spans="7:7">
      <c r="G47609" s="812"/>
    </row>
    <row r="47610" spans="7:7">
      <c r="G47610" s="812"/>
    </row>
    <row r="47611" spans="7:7">
      <c r="G47611" s="812"/>
    </row>
    <row r="47612" spans="7:7">
      <c r="G47612" s="812"/>
    </row>
    <row r="47613" spans="7:7">
      <c r="G47613" s="812"/>
    </row>
    <row r="47614" spans="7:7">
      <c r="G47614" s="812"/>
    </row>
    <row r="47615" spans="7:7">
      <c r="G47615" s="812"/>
    </row>
    <row r="47616" spans="7:7">
      <c r="G47616" s="812"/>
    </row>
    <row r="47617" spans="7:7">
      <c r="G47617" s="812"/>
    </row>
    <row r="47618" spans="7:7">
      <c r="G47618" s="812"/>
    </row>
    <row r="47619" spans="7:7">
      <c r="G47619" s="812"/>
    </row>
    <row r="47620" spans="7:7">
      <c r="G47620" s="812"/>
    </row>
    <row r="47621" spans="7:7">
      <c r="G47621" s="812"/>
    </row>
    <row r="47622" spans="7:7">
      <c r="G47622" s="812"/>
    </row>
    <row r="47623" spans="7:7">
      <c r="G47623" s="812"/>
    </row>
    <row r="47624" spans="7:7">
      <c r="G47624" s="812"/>
    </row>
    <row r="47625" spans="7:7">
      <c r="G47625" s="812"/>
    </row>
    <row r="47626" spans="7:7">
      <c r="G47626" s="812"/>
    </row>
    <row r="47627" spans="7:7">
      <c r="G47627" s="812"/>
    </row>
    <row r="47628" spans="7:7">
      <c r="G47628" s="812"/>
    </row>
    <row r="47629" spans="7:7">
      <c r="G47629" s="812"/>
    </row>
    <row r="47630" spans="7:7">
      <c r="G47630" s="812"/>
    </row>
    <row r="47631" spans="7:7">
      <c r="G47631" s="812"/>
    </row>
    <row r="47632" spans="7:7">
      <c r="G47632" s="812"/>
    </row>
    <row r="47633" spans="7:7">
      <c r="G47633" s="812"/>
    </row>
    <row r="47634" spans="7:7">
      <c r="G47634" s="812"/>
    </row>
    <row r="47635" spans="7:7">
      <c r="G47635" s="812"/>
    </row>
    <row r="47636" spans="7:7">
      <c r="G47636" s="812"/>
    </row>
    <row r="47637" spans="7:7">
      <c r="G47637" s="812"/>
    </row>
    <row r="47638" spans="7:7">
      <c r="G47638" s="812"/>
    </row>
    <row r="47639" spans="7:7">
      <c r="G47639" s="812"/>
    </row>
    <row r="47640" spans="7:7">
      <c r="G47640" s="812"/>
    </row>
    <row r="47641" spans="7:7">
      <c r="G47641" s="812"/>
    </row>
    <row r="47642" spans="7:7">
      <c r="G47642" s="812"/>
    </row>
    <row r="47643" spans="7:7">
      <c r="G47643" s="812"/>
    </row>
    <row r="47644" spans="7:7">
      <c r="G47644" s="812"/>
    </row>
    <row r="47645" spans="7:7">
      <c r="G47645" s="812"/>
    </row>
    <row r="47646" spans="7:7">
      <c r="G47646" s="812"/>
    </row>
    <row r="47647" spans="7:7">
      <c r="G47647" s="812"/>
    </row>
    <row r="47648" spans="7:7">
      <c r="G47648" s="812"/>
    </row>
    <row r="47649" spans="7:7">
      <c r="G47649" s="812"/>
    </row>
    <row r="47650" spans="7:7">
      <c r="G47650" s="812"/>
    </row>
    <row r="47651" spans="7:7">
      <c r="G47651" s="812"/>
    </row>
    <row r="47652" spans="7:7">
      <c r="G47652" s="812"/>
    </row>
    <row r="47653" spans="7:7">
      <c r="G47653" s="812"/>
    </row>
    <row r="47654" spans="7:7">
      <c r="G47654" s="812"/>
    </row>
    <row r="47655" spans="7:7">
      <c r="G47655" s="812"/>
    </row>
    <row r="47656" spans="7:7">
      <c r="G47656" s="812"/>
    </row>
    <row r="47657" spans="7:7">
      <c r="G47657" s="812"/>
    </row>
    <row r="47658" spans="7:7">
      <c r="G47658" s="812"/>
    </row>
    <row r="47659" spans="7:7">
      <c r="G47659" s="812"/>
    </row>
    <row r="47660" spans="7:7">
      <c r="G47660" s="812"/>
    </row>
    <row r="47661" spans="7:7">
      <c r="G47661" s="812"/>
    </row>
    <row r="47662" spans="7:7">
      <c r="G47662" s="812"/>
    </row>
    <row r="47663" spans="7:7">
      <c r="G47663" s="812"/>
    </row>
    <row r="47664" spans="7:7">
      <c r="G47664" s="812"/>
    </row>
    <row r="47665" spans="7:7">
      <c r="G47665" s="812"/>
    </row>
    <row r="47666" spans="7:7">
      <c r="G47666" s="812"/>
    </row>
    <row r="47667" spans="7:7">
      <c r="G47667" s="812"/>
    </row>
    <row r="47668" spans="7:7">
      <c r="G47668" s="812"/>
    </row>
    <row r="47669" spans="7:7">
      <c r="G47669" s="812"/>
    </row>
    <row r="47670" spans="7:7">
      <c r="G47670" s="812"/>
    </row>
    <row r="47671" spans="7:7">
      <c r="G47671" s="812"/>
    </row>
    <row r="47672" spans="7:7">
      <c r="G47672" s="812"/>
    </row>
    <row r="47673" spans="7:7">
      <c r="G47673" s="812"/>
    </row>
    <row r="47674" spans="7:7">
      <c r="G47674" s="812"/>
    </row>
    <row r="47675" spans="7:7">
      <c r="G47675" s="812"/>
    </row>
    <row r="47676" spans="7:7">
      <c r="G47676" s="812"/>
    </row>
    <row r="47677" spans="7:7">
      <c r="G47677" s="812"/>
    </row>
    <row r="47678" spans="7:7">
      <c r="G47678" s="812"/>
    </row>
    <row r="47679" spans="7:7">
      <c r="G47679" s="812"/>
    </row>
    <row r="47680" spans="7:7">
      <c r="G47680" s="812"/>
    </row>
    <row r="47681" spans="7:7">
      <c r="G47681" s="812"/>
    </row>
    <row r="47682" spans="7:7">
      <c r="G47682" s="812"/>
    </row>
    <row r="47683" spans="7:7">
      <c r="G47683" s="812"/>
    </row>
    <row r="47684" spans="7:7">
      <c r="G47684" s="812"/>
    </row>
    <row r="47685" spans="7:7">
      <c r="G47685" s="812"/>
    </row>
    <row r="47686" spans="7:7">
      <c r="G47686" s="812"/>
    </row>
    <row r="47687" spans="7:7">
      <c r="G47687" s="812"/>
    </row>
    <row r="47688" spans="7:7">
      <c r="G47688" s="812"/>
    </row>
    <row r="47689" spans="7:7">
      <c r="G47689" s="812"/>
    </row>
    <row r="47690" spans="7:7">
      <c r="G47690" s="812"/>
    </row>
    <row r="47691" spans="7:7">
      <c r="G47691" s="812"/>
    </row>
    <row r="47692" spans="7:7">
      <c r="G47692" s="812"/>
    </row>
    <row r="47693" spans="7:7">
      <c r="G47693" s="812"/>
    </row>
    <row r="47694" spans="7:7">
      <c r="G47694" s="812"/>
    </row>
    <row r="47695" spans="7:7">
      <c r="G47695" s="812"/>
    </row>
    <row r="47696" spans="7:7">
      <c r="G47696" s="812"/>
    </row>
    <row r="47697" spans="7:7">
      <c r="G47697" s="812"/>
    </row>
    <row r="47698" spans="7:7">
      <c r="G47698" s="812"/>
    </row>
    <row r="47699" spans="7:7">
      <c r="G47699" s="812"/>
    </row>
    <row r="47700" spans="7:7">
      <c r="G47700" s="812"/>
    </row>
    <row r="47701" spans="7:7">
      <c r="G47701" s="812"/>
    </row>
    <row r="47702" spans="7:7">
      <c r="G47702" s="812"/>
    </row>
    <row r="47703" spans="7:7">
      <c r="G47703" s="812"/>
    </row>
    <row r="47704" spans="7:7">
      <c r="G47704" s="812"/>
    </row>
    <row r="47705" spans="7:7">
      <c r="G47705" s="812"/>
    </row>
    <row r="47706" spans="7:7">
      <c r="G47706" s="812"/>
    </row>
    <row r="47707" spans="7:7">
      <c r="G47707" s="812"/>
    </row>
    <row r="47708" spans="7:7">
      <c r="G47708" s="812"/>
    </row>
    <row r="47709" spans="7:7">
      <c r="G47709" s="812"/>
    </row>
    <row r="47710" spans="7:7">
      <c r="G47710" s="812"/>
    </row>
    <row r="47711" spans="7:7">
      <c r="G47711" s="812"/>
    </row>
    <row r="47712" spans="7:7">
      <c r="G47712" s="812"/>
    </row>
    <row r="47713" spans="7:7">
      <c r="G47713" s="812"/>
    </row>
    <row r="47714" spans="7:7">
      <c r="G47714" s="812"/>
    </row>
    <row r="47715" spans="7:7">
      <c r="G47715" s="812"/>
    </row>
    <row r="47716" spans="7:7">
      <c r="G47716" s="812"/>
    </row>
    <row r="47717" spans="7:7">
      <c r="G47717" s="812"/>
    </row>
    <row r="47718" spans="7:7">
      <c r="G47718" s="812"/>
    </row>
    <row r="47719" spans="7:7">
      <c r="G47719" s="812"/>
    </row>
    <row r="47720" spans="7:7">
      <c r="G47720" s="812"/>
    </row>
    <row r="47721" spans="7:7">
      <c r="G47721" s="812"/>
    </row>
    <row r="47722" spans="7:7">
      <c r="G47722" s="812"/>
    </row>
    <row r="47723" spans="7:7">
      <c r="G47723" s="812"/>
    </row>
    <row r="47724" spans="7:7">
      <c r="G47724" s="812"/>
    </row>
    <row r="47725" spans="7:7">
      <c r="G47725" s="812"/>
    </row>
    <row r="47726" spans="7:7">
      <c r="G47726" s="812"/>
    </row>
    <row r="47727" spans="7:7">
      <c r="G47727" s="812"/>
    </row>
    <row r="47728" spans="7:7">
      <c r="G47728" s="812"/>
    </row>
    <row r="47729" spans="7:7">
      <c r="G47729" s="812"/>
    </row>
    <row r="47730" spans="7:7">
      <c r="G47730" s="812"/>
    </row>
    <row r="47731" spans="7:7">
      <c r="G47731" s="812"/>
    </row>
    <row r="47732" spans="7:7">
      <c r="G47732" s="812"/>
    </row>
    <row r="47733" spans="7:7">
      <c r="G47733" s="812"/>
    </row>
    <row r="47734" spans="7:7">
      <c r="G47734" s="812"/>
    </row>
    <row r="47735" spans="7:7">
      <c r="G47735" s="812"/>
    </row>
    <row r="47736" spans="7:7">
      <c r="G47736" s="812"/>
    </row>
    <row r="47737" spans="7:7">
      <c r="G47737" s="812"/>
    </row>
    <row r="47738" spans="7:7">
      <c r="G47738" s="812"/>
    </row>
    <row r="47739" spans="7:7">
      <c r="G47739" s="812"/>
    </row>
    <row r="47740" spans="7:7">
      <c r="G47740" s="812"/>
    </row>
    <row r="47741" spans="7:7">
      <c r="G47741" s="812"/>
    </row>
    <row r="47742" spans="7:7">
      <c r="G47742" s="812"/>
    </row>
    <row r="47743" spans="7:7">
      <c r="G47743" s="812"/>
    </row>
    <row r="47744" spans="7:7">
      <c r="G47744" s="812"/>
    </row>
    <row r="47745" spans="7:7">
      <c r="G47745" s="812"/>
    </row>
    <row r="47746" spans="7:7">
      <c r="G47746" s="812"/>
    </row>
    <row r="47747" spans="7:7">
      <c r="G47747" s="812"/>
    </row>
    <row r="47748" spans="7:7">
      <c r="G47748" s="812"/>
    </row>
    <row r="47749" spans="7:7">
      <c r="G47749" s="812"/>
    </row>
    <row r="47750" spans="7:7">
      <c r="G47750" s="812"/>
    </row>
    <row r="47751" spans="7:7">
      <c r="G47751" s="812"/>
    </row>
    <row r="47752" spans="7:7">
      <c r="G47752" s="812"/>
    </row>
    <row r="47753" spans="7:7">
      <c r="G47753" s="812"/>
    </row>
    <row r="47754" spans="7:7">
      <c r="G47754" s="812"/>
    </row>
    <row r="47755" spans="7:7">
      <c r="G47755" s="812"/>
    </row>
    <row r="47756" spans="7:7">
      <c r="G47756" s="812"/>
    </row>
    <row r="47757" spans="7:7">
      <c r="G47757" s="812"/>
    </row>
    <row r="47758" spans="7:7">
      <c r="G47758" s="812"/>
    </row>
    <row r="47759" spans="7:7">
      <c r="G47759" s="812"/>
    </row>
    <row r="47760" spans="7:7">
      <c r="G47760" s="812"/>
    </row>
    <row r="47761" spans="7:7">
      <c r="G47761" s="812"/>
    </row>
    <row r="47762" spans="7:7">
      <c r="G47762" s="812"/>
    </row>
    <row r="47763" spans="7:7">
      <c r="G47763" s="812"/>
    </row>
    <row r="47764" spans="7:7">
      <c r="G47764" s="812"/>
    </row>
    <row r="47765" spans="7:7">
      <c r="G47765" s="812"/>
    </row>
    <row r="47766" spans="7:7">
      <c r="G47766" s="812"/>
    </row>
    <row r="47767" spans="7:7">
      <c r="G47767" s="812"/>
    </row>
    <row r="47768" spans="7:7">
      <c r="G47768" s="812"/>
    </row>
    <row r="47769" spans="7:7">
      <c r="G47769" s="812"/>
    </row>
    <row r="47770" spans="7:7">
      <c r="G47770" s="812"/>
    </row>
    <row r="47771" spans="7:7">
      <c r="G47771" s="812"/>
    </row>
    <row r="47772" spans="7:7">
      <c r="G47772" s="812"/>
    </row>
    <row r="47773" spans="7:7">
      <c r="G47773" s="812"/>
    </row>
    <row r="47774" spans="7:7">
      <c r="G47774" s="812"/>
    </row>
    <row r="47775" spans="7:7">
      <c r="G47775" s="812"/>
    </row>
    <row r="47776" spans="7:7">
      <c r="G47776" s="812"/>
    </row>
    <row r="47777" spans="7:7">
      <c r="G47777" s="812"/>
    </row>
    <row r="47778" spans="7:7">
      <c r="G47778" s="812"/>
    </row>
    <row r="47779" spans="7:7">
      <c r="G47779" s="812"/>
    </row>
    <row r="47780" spans="7:7">
      <c r="G47780" s="812"/>
    </row>
    <row r="47781" spans="7:7">
      <c r="G47781" s="812"/>
    </row>
    <row r="47782" spans="7:7">
      <c r="G47782" s="812"/>
    </row>
    <row r="47783" spans="7:7">
      <c r="G47783" s="812"/>
    </row>
    <row r="47784" spans="7:7">
      <c r="G47784" s="812"/>
    </row>
    <row r="47785" spans="7:7">
      <c r="G47785" s="812"/>
    </row>
    <row r="47786" spans="7:7">
      <c r="G47786" s="812"/>
    </row>
    <row r="47787" spans="7:7">
      <c r="G47787" s="812"/>
    </row>
    <row r="47788" spans="7:7">
      <c r="G47788" s="812"/>
    </row>
    <row r="47789" spans="7:7">
      <c r="G47789" s="812"/>
    </row>
    <row r="47790" spans="7:7">
      <c r="G47790" s="812"/>
    </row>
    <row r="47791" spans="7:7">
      <c r="G47791" s="812"/>
    </row>
    <row r="47792" spans="7:7">
      <c r="G47792" s="812"/>
    </row>
    <row r="47793" spans="7:7">
      <c r="G47793" s="812"/>
    </row>
    <row r="47794" spans="7:7">
      <c r="G47794" s="812"/>
    </row>
    <row r="47795" spans="7:7">
      <c r="G47795" s="812"/>
    </row>
    <row r="47796" spans="7:7">
      <c r="G47796" s="812"/>
    </row>
    <row r="47797" spans="7:7">
      <c r="G47797" s="812"/>
    </row>
    <row r="47798" spans="7:7">
      <c r="G47798" s="812"/>
    </row>
    <row r="47799" spans="7:7">
      <c r="G47799" s="812"/>
    </row>
    <row r="47800" spans="7:7">
      <c r="G47800" s="812"/>
    </row>
    <row r="47801" spans="7:7">
      <c r="G47801" s="812"/>
    </row>
    <row r="47802" spans="7:7">
      <c r="G47802" s="812"/>
    </row>
    <row r="47803" spans="7:7">
      <c r="G47803" s="812"/>
    </row>
    <row r="47804" spans="7:7">
      <c r="G47804" s="812"/>
    </row>
    <row r="47805" spans="7:7">
      <c r="G47805" s="812"/>
    </row>
    <row r="47806" spans="7:7">
      <c r="G47806" s="812"/>
    </row>
    <row r="47807" spans="7:7">
      <c r="G47807" s="812"/>
    </row>
    <row r="47808" spans="7:7">
      <c r="G47808" s="812"/>
    </row>
    <row r="47809" spans="7:7">
      <c r="G47809" s="812"/>
    </row>
    <row r="47810" spans="7:7">
      <c r="G47810" s="812"/>
    </row>
    <row r="47811" spans="7:7">
      <c r="G47811" s="812"/>
    </row>
    <row r="47812" spans="7:7">
      <c r="G47812" s="812"/>
    </row>
    <row r="47813" spans="7:7">
      <c r="G47813" s="812"/>
    </row>
    <row r="47814" spans="7:7">
      <c r="G47814" s="812"/>
    </row>
    <row r="47815" spans="7:7">
      <c r="G47815" s="812"/>
    </row>
    <row r="47816" spans="7:7">
      <c r="G47816" s="812"/>
    </row>
    <row r="47817" spans="7:7">
      <c r="G47817" s="812"/>
    </row>
    <row r="47818" spans="7:7">
      <c r="G47818" s="812"/>
    </row>
    <row r="47819" spans="7:7">
      <c r="G47819" s="812"/>
    </row>
    <row r="47820" spans="7:7">
      <c r="G47820" s="812"/>
    </row>
    <row r="47821" spans="7:7">
      <c r="G47821" s="812"/>
    </row>
    <row r="47822" spans="7:7">
      <c r="G47822" s="812"/>
    </row>
    <row r="47823" spans="7:7">
      <c r="G47823" s="812"/>
    </row>
    <row r="47824" spans="7:7">
      <c r="G47824" s="812"/>
    </row>
    <row r="47825" spans="7:7">
      <c r="G47825" s="812"/>
    </row>
    <row r="47826" spans="7:7">
      <c r="G47826" s="812"/>
    </row>
    <row r="47827" spans="7:7">
      <c r="G47827" s="812"/>
    </row>
    <row r="47828" spans="7:7">
      <c r="G47828" s="812"/>
    </row>
    <row r="47829" spans="7:7">
      <c r="G47829" s="812"/>
    </row>
    <row r="47830" spans="7:7">
      <c r="G47830" s="812"/>
    </row>
    <row r="47831" spans="7:7">
      <c r="G47831" s="812"/>
    </row>
    <row r="47832" spans="7:7">
      <c r="G47832" s="812"/>
    </row>
    <row r="47833" spans="7:7">
      <c r="G47833" s="812"/>
    </row>
    <row r="47834" spans="7:7">
      <c r="G47834" s="812"/>
    </row>
    <row r="47835" spans="7:7">
      <c r="G47835" s="812"/>
    </row>
    <row r="47836" spans="7:7">
      <c r="G47836" s="812"/>
    </row>
    <row r="47837" spans="7:7">
      <c r="G47837" s="812"/>
    </row>
    <row r="47838" spans="7:7">
      <c r="G47838" s="812"/>
    </row>
    <row r="47839" spans="7:7">
      <c r="G47839" s="812"/>
    </row>
    <row r="47840" spans="7:7">
      <c r="G47840" s="812"/>
    </row>
    <row r="47841" spans="7:7">
      <c r="G47841" s="812"/>
    </row>
    <row r="47842" spans="7:7">
      <c r="G47842" s="812"/>
    </row>
    <row r="47843" spans="7:7">
      <c r="G47843" s="812"/>
    </row>
    <row r="47844" spans="7:7">
      <c r="G47844" s="812"/>
    </row>
    <row r="47845" spans="7:7">
      <c r="G47845" s="812"/>
    </row>
    <row r="47846" spans="7:7">
      <c r="G47846" s="812"/>
    </row>
    <row r="47847" spans="7:7">
      <c r="G47847" s="812"/>
    </row>
    <row r="47848" spans="7:7">
      <c r="G47848" s="812"/>
    </row>
    <row r="47849" spans="7:7">
      <c r="G47849" s="812"/>
    </row>
    <row r="47850" spans="7:7">
      <c r="G47850" s="812"/>
    </row>
    <row r="47851" spans="7:7">
      <c r="G47851" s="812"/>
    </row>
    <row r="47852" spans="7:7">
      <c r="G47852" s="812"/>
    </row>
    <row r="47853" spans="7:7">
      <c r="G47853" s="812"/>
    </row>
    <row r="47854" spans="7:7">
      <c r="G47854" s="812"/>
    </row>
    <row r="47855" spans="7:7">
      <c r="G47855" s="812"/>
    </row>
    <row r="47856" spans="7:7">
      <c r="G47856" s="812"/>
    </row>
    <row r="47857" spans="7:7">
      <c r="G47857" s="812"/>
    </row>
    <row r="47858" spans="7:7">
      <c r="G47858" s="812"/>
    </row>
    <row r="47859" spans="7:7">
      <c r="G47859" s="812"/>
    </row>
    <row r="47860" spans="7:7">
      <c r="G47860" s="812"/>
    </row>
    <row r="47861" spans="7:7">
      <c r="G47861" s="812"/>
    </row>
    <row r="47862" spans="7:7">
      <c r="G47862" s="812"/>
    </row>
    <row r="47863" spans="7:7">
      <c r="G47863" s="812"/>
    </row>
    <row r="47864" spans="7:7">
      <c r="G47864" s="812"/>
    </row>
    <row r="47865" spans="7:7">
      <c r="G47865" s="812"/>
    </row>
    <row r="47866" spans="7:7">
      <c r="G47866" s="812"/>
    </row>
    <row r="47867" spans="7:7">
      <c r="G47867" s="812"/>
    </row>
    <row r="47868" spans="7:7">
      <c r="G47868" s="812"/>
    </row>
    <row r="47869" spans="7:7">
      <c r="G47869" s="812"/>
    </row>
    <row r="47870" spans="7:7">
      <c r="G47870" s="812"/>
    </row>
    <row r="47871" spans="7:7">
      <c r="G47871" s="812"/>
    </row>
    <row r="47872" spans="7:7">
      <c r="G47872" s="812"/>
    </row>
    <row r="47873" spans="7:7">
      <c r="G47873" s="812"/>
    </row>
    <row r="47874" spans="7:7">
      <c r="G47874" s="812"/>
    </row>
    <row r="47875" spans="7:7">
      <c r="G47875" s="812"/>
    </row>
    <row r="47876" spans="7:7">
      <c r="G47876" s="812"/>
    </row>
    <row r="47877" spans="7:7">
      <c r="G47877" s="812"/>
    </row>
    <row r="47878" spans="7:7">
      <c r="G47878" s="812"/>
    </row>
    <row r="47879" spans="7:7">
      <c r="G47879" s="812"/>
    </row>
    <row r="47880" spans="7:7">
      <c r="G47880" s="812"/>
    </row>
    <row r="47881" spans="7:7">
      <c r="G47881" s="812"/>
    </row>
    <row r="47882" spans="7:7">
      <c r="G47882" s="812"/>
    </row>
    <row r="47883" spans="7:7">
      <c r="G47883" s="812"/>
    </row>
    <row r="47884" spans="7:7">
      <c r="G47884" s="812"/>
    </row>
    <row r="47885" spans="7:7">
      <c r="G47885" s="812"/>
    </row>
    <row r="47886" spans="7:7">
      <c r="G47886" s="812"/>
    </row>
    <row r="47887" spans="7:7">
      <c r="G47887" s="812"/>
    </row>
    <row r="47888" spans="7:7">
      <c r="G47888" s="812"/>
    </row>
    <row r="47889" spans="7:7">
      <c r="G47889" s="812"/>
    </row>
    <row r="47890" spans="7:7">
      <c r="G47890" s="812"/>
    </row>
    <row r="47891" spans="7:7">
      <c r="G47891" s="812"/>
    </row>
    <row r="47892" spans="7:7">
      <c r="G47892" s="812"/>
    </row>
    <row r="47893" spans="7:7">
      <c r="G47893" s="812"/>
    </row>
    <row r="47894" spans="7:7">
      <c r="G47894" s="812"/>
    </row>
    <row r="47895" spans="7:7">
      <c r="G47895" s="812"/>
    </row>
    <row r="47896" spans="7:7">
      <c r="G47896" s="812"/>
    </row>
    <row r="47897" spans="7:7">
      <c r="G47897" s="812"/>
    </row>
    <row r="47898" spans="7:7">
      <c r="G47898" s="812"/>
    </row>
    <row r="47899" spans="7:7">
      <c r="G47899" s="812"/>
    </row>
    <row r="47900" spans="7:7">
      <c r="G47900" s="812"/>
    </row>
    <row r="47901" spans="7:7">
      <c r="G47901" s="812"/>
    </row>
    <row r="47902" spans="7:7">
      <c r="G47902" s="812"/>
    </row>
    <row r="47903" spans="7:7">
      <c r="G47903" s="812"/>
    </row>
    <row r="47904" spans="7:7">
      <c r="G47904" s="812"/>
    </row>
    <row r="47905" spans="7:7">
      <c r="G47905" s="812"/>
    </row>
    <row r="47906" spans="7:7">
      <c r="G47906" s="812"/>
    </row>
    <row r="47907" spans="7:7">
      <c r="G47907" s="812"/>
    </row>
    <row r="47908" spans="7:7">
      <c r="G47908" s="812"/>
    </row>
    <row r="47909" spans="7:7">
      <c r="G47909" s="812"/>
    </row>
    <row r="47910" spans="7:7">
      <c r="G47910" s="812"/>
    </row>
    <row r="47911" spans="7:7">
      <c r="G47911" s="812"/>
    </row>
    <row r="47912" spans="7:7">
      <c r="G47912" s="812"/>
    </row>
    <row r="47913" spans="7:7">
      <c r="G47913" s="812"/>
    </row>
    <row r="47914" spans="7:7">
      <c r="G47914" s="812"/>
    </row>
    <row r="47915" spans="7:7">
      <c r="G47915" s="812"/>
    </row>
    <row r="47916" spans="7:7">
      <c r="G47916" s="812"/>
    </row>
    <row r="47917" spans="7:7">
      <c r="G47917" s="812"/>
    </row>
    <row r="47918" spans="7:7">
      <c r="G47918" s="812"/>
    </row>
    <row r="47919" spans="7:7">
      <c r="G47919" s="812"/>
    </row>
    <row r="47920" spans="7:7">
      <c r="G47920" s="812"/>
    </row>
    <row r="47921" spans="7:7">
      <c r="G47921" s="812"/>
    </row>
    <row r="47922" spans="7:7">
      <c r="G47922" s="812"/>
    </row>
    <row r="47923" spans="7:7">
      <c r="G47923" s="812"/>
    </row>
    <row r="47924" spans="7:7">
      <c r="G47924" s="812"/>
    </row>
    <row r="47925" spans="7:7">
      <c r="G47925" s="812"/>
    </row>
    <row r="47926" spans="7:7">
      <c r="G47926" s="812"/>
    </row>
    <row r="47927" spans="7:7">
      <c r="G47927" s="812"/>
    </row>
    <row r="47928" spans="7:7">
      <c r="G47928" s="812"/>
    </row>
    <row r="47929" spans="7:7">
      <c r="G47929" s="812"/>
    </row>
    <row r="47930" spans="7:7">
      <c r="G47930" s="812"/>
    </row>
    <row r="47931" spans="7:7">
      <c r="G47931" s="812"/>
    </row>
    <row r="47932" spans="7:7">
      <c r="G47932" s="812"/>
    </row>
    <row r="47933" spans="7:7">
      <c r="G47933" s="812"/>
    </row>
    <row r="47934" spans="7:7">
      <c r="G47934" s="812"/>
    </row>
    <row r="47935" spans="7:7">
      <c r="G47935" s="812"/>
    </row>
    <row r="47936" spans="7:7">
      <c r="G47936" s="812"/>
    </row>
    <row r="47937" spans="7:7">
      <c r="G47937" s="812"/>
    </row>
    <row r="47938" spans="7:7">
      <c r="G47938" s="812"/>
    </row>
    <row r="47939" spans="7:7">
      <c r="G47939" s="812"/>
    </row>
    <row r="47940" spans="7:7">
      <c r="G47940" s="812"/>
    </row>
    <row r="47941" spans="7:7">
      <c r="G47941" s="812"/>
    </row>
    <row r="47942" spans="7:7">
      <c r="G47942" s="812"/>
    </row>
    <row r="47943" spans="7:7">
      <c r="G47943" s="812"/>
    </row>
    <row r="47944" spans="7:7">
      <c r="G47944" s="812"/>
    </row>
    <row r="47945" spans="7:7">
      <c r="G47945" s="812"/>
    </row>
    <row r="47946" spans="7:7">
      <c r="G47946" s="812"/>
    </row>
    <row r="47947" spans="7:7">
      <c r="G47947" s="812"/>
    </row>
    <row r="47948" spans="7:7">
      <c r="G47948" s="812"/>
    </row>
    <row r="47949" spans="7:7">
      <c r="G47949" s="812"/>
    </row>
    <row r="47950" spans="7:7">
      <c r="G47950" s="812"/>
    </row>
    <row r="47951" spans="7:7">
      <c r="G47951" s="812"/>
    </row>
    <row r="47952" spans="7:7">
      <c r="G47952" s="812"/>
    </row>
    <row r="47953" spans="7:7">
      <c r="G47953" s="812"/>
    </row>
    <row r="47954" spans="7:7">
      <c r="G47954" s="812"/>
    </row>
    <row r="47955" spans="7:7">
      <c r="G47955" s="812"/>
    </row>
    <row r="47956" spans="7:7">
      <c r="G47956" s="812"/>
    </row>
    <row r="47957" spans="7:7">
      <c r="G47957" s="812"/>
    </row>
    <row r="47958" spans="7:7">
      <c r="G47958" s="812"/>
    </row>
    <row r="47959" spans="7:7">
      <c r="G47959" s="812"/>
    </row>
    <row r="47960" spans="7:7">
      <c r="G47960" s="812"/>
    </row>
    <row r="47961" spans="7:7">
      <c r="G47961" s="812"/>
    </row>
    <row r="47962" spans="7:7">
      <c r="G47962" s="812"/>
    </row>
    <row r="47963" spans="7:7">
      <c r="G47963" s="812"/>
    </row>
    <row r="47964" spans="7:7">
      <c r="G47964" s="812"/>
    </row>
    <row r="47965" spans="7:7">
      <c r="G47965" s="812"/>
    </row>
    <row r="47966" spans="7:7">
      <c r="G47966" s="812"/>
    </row>
    <row r="47967" spans="7:7">
      <c r="G47967" s="812"/>
    </row>
    <row r="47968" spans="7:7">
      <c r="G47968" s="812"/>
    </row>
    <row r="47969" spans="7:7">
      <c r="G47969" s="812"/>
    </row>
    <row r="47970" spans="7:7">
      <c r="G47970" s="812"/>
    </row>
    <row r="47971" spans="7:7">
      <c r="G47971" s="812"/>
    </row>
    <row r="47972" spans="7:7">
      <c r="G47972" s="812"/>
    </row>
    <row r="47973" spans="7:7">
      <c r="G47973" s="812"/>
    </row>
    <row r="47974" spans="7:7">
      <c r="G47974" s="812"/>
    </row>
    <row r="47975" spans="7:7">
      <c r="G47975" s="812"/>
    </row>
    <row r="47976" spans="7:7">
      <c r="G47976" s="812"/>
    </row>
    <row r="47977" spans="7:7">
      <c r="G47977" s="812"/>
    </row>
    <row r="47978" spans="7:7">
      <c r="G47978" s="812"/>
    </row>
    <row r="47979" spans="7:7">
      <c r="G47979" s="812"/>
    </row>
    <row r="47980" spans="7:7">
      <c r="G47980" s="812"/>
    </row>
    <row r="47981" spans="7:7">
      <c r="G47981" s="812"/>
    </row>
    <row r="47982" spans="7:7">
      <c r="G47982" s="812"/>
    </row>
    <row r="47983" spans="7:7">
      <c r="G47983" s="812"/>
    </row>
    <row r="47984" spans="7:7">
      <c r="G47984" s="812"/>
    </row>
    <row r="47985" spans="7:7">
      <c r="G47985" s="812"/>
    </row>
    <row r="47986" spans="7:7">
      <c r="G47986" s="812"/>
    </row>
    <row r="47987" spans="7:7">
      <c r="G47987" s="812"/>
    </row>
    <row r="47988" spans="7:7">
      <c r="G47988" s="812"/>
    </row>
    <row r="47989" spans="7:7">
      <c r="G47989" s="812"/>
    </row>
    <row r="47990" spans="7:7">
      <c r="G47990" s="812"/>
    </row>
    <row r="47991" spans="7:7">
      <c r="G47991" s="812"/>
    </row>
    <row r="47992" spans="7:7">
      <c r="G47992" s="812"/>
    </row>
    <row r="47993" spans="7:7">
      <c r="G47993" s="812"/>
    </row>
    <row r="47994" spans="7:7">
      <c r="G47994" s="812"/>
    </row>
    <row r="47995" spans="7:7">
      <c r="G47995" s="812"/>
    </row>
    <row r="47996" spans="7:7">
      <c r="G47996" s="812"/>
    </row>
    <row r="47997" spans="7:7">
      <c r="G47997" s="812"/>
    </row>
    <row r="47998" spans="7:7">
      <c r="G47998" s="812"/>
    </row>
    <row r="47999" spans="7:7">
      <c r="G47999" s="812"/>
    </row>
    <row r="48000" spans="7:7">
      <c r="G48000" s="812"/>
    </row>
    <row r="48001" spans="7:7">
      <c r="G48001" s="812"/>
    </row>
    <row r="48002" spans="7:7">
      <c r="G48002" s="812"/>
    </row>
    <row r="48003" spans="7:7">
      <c r="G48003" s="812"/>
    </row>
    <row r="48004" spans="7:7">
      <c r="G48004" s="812"/>
    </row>
    <row r="48005" spans="7:7">
      <c r="G48005" s="812"/>
    </row>
    <row r="48006" spans="7:7">
      <c r="G48006" s="812"/>
    </row>
    <row r="48007" spans="7:7">
      <c r="G48007" s="812"/>
    </row>
    <row r="48008" spans="7:7">
      <c r="G48008" s="812"/>
    </row>
    <row r="48009" spans="7:7">
      <c r="G48009" s="812"/>
    </row>
    <row r="48010" spans="7:7">
      <c r="G48010" s="812"/>
    </row>
    <row r="48011" spans="7:7">
      <c r="G48011" s="812"/>
    </row>
    <row r="48012" spans="7:7">
      <c r="G48012" s="812"/>
    </row>
    <row r="48013" spans="7:7">
      <c r="G48013" s="812"/>
    </row>
    <row r="48014" spans="7:7">
      <c r="G48014" s="812"/>
    </row>
    <row r="48015" spans="7:7">
      <c r="G48015" s="812"/>
    </row>
    <row r="48016" spans="7:7">
      <c r="G48016" s="812"/>
    </row>
    <row r="48017" spans="7:7">
      <c r="G48017" s="812"/>
    </row>
    <row r="48018" spans="7:7">
      <c r="G48018" s="812"/>
    </row>
    <row r="48019" spans="7:7">
      <c r="G48019" s="812"/>
    </row>
    <row r="48020" spans="7:7">
      <c r="G48020" s="812"/>
    </row>
    <row r="48021" spans="7:7">
      <c r="G48021" s="812"/>
    </row>
    <row r="48022" spans="7:7">
      <c r="G48022" s="812"/>
    </row>
    <row r="48023" spans="7:7">
      <c r="G48023" s="812"/>
    </row>
    <row r="48024" spans="7:7">
      <c r="G48024" s="812"/>
    </row>
    <row r="48025" spans="7:7">
      <c r="G48025" s="812"/>
    </row>
    <row r="48026" spans="7:7">
      <c r="G48026" s="812"/>
    </row>
    <row r="48027" spans="7:7">
      <c r="G48027" s="812"/>
    </row>
    <row r="48028" spans="7:7">
      <c r="G48028" s="812"/>
    </row>
    <row r="48029" spans="7:7">
      <c r="G48029" s="812"/>
    </row>
    <row r="48030" spans="7:7">
      <c r="G48030" s="812"/>
    </row>
    <row r="48031" spans="7:7">
      <c r="G48031" s="812"/>
    </row>
    <row r="48032" spans="7:7">
      <c r="G48032" s="812"/>
    </row>
    <row r="48033" spans="7:7">
      <c r="G48033" s="812"/>
    </row>
    <row r="48034" spans="7:7">
      <c r="G48034" s="812"/>
    </row>
    <row r="48035" spans="7:7">
      <c r="G48035" s="812"/>
    </row>
    <row r="48036" spans="7:7">
      <c r="G48036" s="812"/>
    </row>
    <row r="48037" spans="7:7">
      <c r="G48037" s="812"/>
    </row>
    <row r="48038" spans="7:7">
      <c r="G48038" s="812"/>
    </row>
    <row r="48039" spans="7:7">
      <c r="G48039" s="812"/>
    </row>
    <row r="48040" spans="7:7">
      <c r="G48040" s="812"/>
    </row>
    <row r="48041" spans="7:7">
      <c r="G48041" s="812"/>
    </row>
    <row r="48042" spans="7:7">
      <c r="G48042" s="812"/>
    </row>
    <row r="48043" spans="7:7">
      <c r="G48043" s="812"/>
    </row>
    <row r="48044" spans="7:7">
      <c r="G48044" s="812"/>
    </row>
    <row r="48045" spans="7:7">
      <c r="G48045" s="812"/>
    </row>
    <row r="48046" spans="7:7">
      <c r="G48046" s="812"/>
    </row>
    <row r="48047" spans="7:7">
      <c r="G48047" s="812"/>
    </row>
    <row r="48048" spans="7:7">
      <c r="G48048" s="812"/>
    </row>
    <row r="48049" spans="7:7">
      <c r="G48049" s="812"/>
    </row>
    <row r="48050" spans="7:7">
      <c r="G48050" s="812"/>
    </row>
    <row r="48051" spans="7:7">
      <c r="G48051" s="812"/>
    </row>
    <row r="48052" spans="7:7">
      <c r="G48052" s="812"/>
    </row>
    <row r="48053" spans="7:7">
      <c r="G48053" s="812"/>
    </row>
    <row r="48054" spans="7:7">
      <c r="G48054" s="812"/>
    </row>
    <row r="48055" spans="7:7">
      <c r="G48055" s="812"/>
    </row>
    <row r="48056" spans="7:7">
      <c r="G48056" s="812"/>
    </row>
    <row r="48057" spans="7:7">
      <c r="G48057" s="812"/>
    </row>
    <row r="48058" spans="7:7">
      <c r="G48058" s="812"/>
    </row>
    <row r="48059" spans="7:7">
      <c r="G48059" s="812"/>
    </row>
    <row r="48060" spans="7:7">
      <c r="G48060" s="812"/>
    </row>
    <row r="48061" spans="7:7">
      <c r="G48061" s="812"/>
    </row>
    <row r="48062" spans="7:7">
      <c r="G48062" s="812"/>
    </row>
    <row r="48063" spans="7:7">
      <c r="G48063" s="812"/>
    </row>
    <row r="48064" spans="7:7">
      <c r="G48064" s="812"/>
    </row>
    <row r="48065" spans="7:7">
      <c r="G48065" s="812"/>
    </row>
    <row r="48066" spans="7:7">
      <c r="G48066" s="812"/>
    </row>
    <row r="48067" spans="7:7">
      <c r="G48067" s="812"/>
    </row>
    <row r="48068" spans="7:7">
      <c r="G48068" s="812"/>
    </row>
    <row r="48069" spans="7:7">
      <c r="G48069" s="812"/>
    </row>
    <row r="48070" spans="7:7">
      <c r="G48070" s="812"/>
    </row>
    <row r="48071" spans="7:7">
      <c r="G48071" s="812"/>
    </row>
    <row r="48072" spans="7:7">
      <c r="G48072" s="812"/>
    </row>
    <row r="48073" spans="7:7">
      <c r="G48073" s="812"/>
    </row>
    <row r="48074" spans="7:7">
      <c r="G48074" s="812"/>
    </row>
    <row r="48075" spans="7:7">
      <c r="G48075" s="812"/>
    </row>
    <row r="48076" spans="7:7">
      <c r="G48076" s="812"/>
    </row>
    <row r="48077" spans="7:7">
      <c r="G48077" s="812"/>
    </row>
    <row r="48078" spans="7:7">
      <c r="G48078" s="812"/>
    </row>
    <row r="48079" spans="7:7">
      <c r="G48079" s="812"/>
    </row>
    <row r="48080" spans="7:7">
      <c r="G48080" s="812"/>
    </row>
    <row r="48081" spans="7:7">
      <c r="G48081" s="812"/>
    </row>
    <row r="48082" spans="7:7">
      <c r="G48082" s="812"/>
    </row>
    <row r="48083" spans="7:7">
      <c r="G48083" s="812"/>
    </row>
    <row r="48084" spans="7:7">
      <c r="G48084" s="812"/>
    </row>
    <row r="48085" spans="7:7">
      <c r="G48085" s="812"/>
    </row>
    <row r="48086" spans="7:7">
      <c r="G48086" s="812"/>
    </row>
    <row r="48087" spans="7:7">
      <c r="G48087" s="812"/>
    </row>
    <row r="48088" spans="7:7">
      <c r="G48088" s="812"/>
    </row>
    <row r="48089" spans="7:7">
      <c r="G48089" s="812"/>
    </row>
    <row r="48090" spans="7:7">
      <c r="G48090" s="812"/>
    </row>
    <row r="48091" spans="7:7">
      <c r="G48091" s="812"/>
    </row>
    <row r="48092" spans="7:7">
      <c r="G48092" s="812"/>
    </row>
    <row r="48093" spans="7:7">
      <c r="G48093" s="812"/>
    </row>
    <row r="48094" spans="7:7">
      <c r="G48094" s="812"/>
    </row>
    <row r="48095" spans="7:7">
      <c r="G48095" s="812"/>
    </row>
    <row r="48096" spans="7:7">
      <c r="G48096" s="812"/>
    </row>
    <row r="48097" spans="7:7">
      <c r="G48097" s="812"/>
    </row>
    <row r="48098" spans="7:7">
      <c r="G48098" s="812"/>
    </row>
    <row r="48099" spans="7:7">
      <c r="G48099" s="812"/>
    </row>
    <row r="48100" spans="7:7">
      <c r="G48100" s="812"/>
    </row>
    <row r="48101" spans="7:7">
      <c r="G48101" s="812"/>
    </row>
    <row r="48102" spans="7:7">
      <c r="G48102" s="812"/>
    </row>
    <row r="48103" spans="7:7">
      <c r="G48103" s="812"/>
    </row>
    <row r="48104" spans="7:7">
      <c r="G48104" s="812"/>
    </row>
    <row r="48105" spans="7:7">
      <c r="G48105" s="812"/>
    </row>
    <row r="48106" spans="7:7">
      <c r="G48106" s="812"/>
    </row>
    <row r="48107" spans="7:7">
      <c r="G48107" s="812"/>
    </row>
    <row r="48108" spans="7:7">
      <c r="G48108" s="812"/>
    </row>
    <row r="48109" spans="7:7">
      <c r="G48109" s="812"/>
    </row>
    <row r="48110" spans="7:7">
      <c r="G48110" s="812"/>
    </row>
    <row r="48111" spans="7:7">
      <c r="G48111" s="812"/>
    </row>
    <row r="48112" spans="7:7">
      <c r="G48112" s="812"/>
    </row>
    <row r="48113" spans="7:7">
      <c r="G48113" s="812"/>
    </row>
    <row r="48114" spans="7:7">
      <c r="G48114" s="812"/>
    </row>
    <row r="48115" spans="7:7">
      <c r="G48115" s="812"/>
    </row>
    <row r="48116" spans="7:7">
      <c r="G48116" s="812"/>
    </row>
    <row r="48117" spans="7:7">
      <c r="G48117" s="812"/>
    </row>
    <row r="48118" spans="7:7">
      <c r="G48118" s="812"/>
    </row>
    <row r="48119" spans="7:7">
      <c r="G48119" s="812"/>
    </row>
    <row r="48120" spans="7:7">
      <c r="G48120" s="812"/>
    </row>
    <row r="48121" spans="7:7">
      <c r="G48121" s="812"/>
    </row>
    <row r="48122" spans="7:7">
      <c r="G48122" s="812"/>
    </row>
    <row r="48123" spans="7:7">
      <c r="G48123" s="812"/>
    </row>
    <row r="48124" spans="7:7">
      <c r="G48124" s="812"/>
    </row>
    <row r="48125" spans="7:7">
      <c r="G48125" s="812"/>
    </row>
    <row r="48126" spans="7:7">
      <c r="G48126" s="812"/>
    </row>
    <row r="48127" spans="7:7">
      <c r="G48127" s="812"/>
    </row>
    <row r="48128" spans="7:7">
      <c r="G48128" s="812"/>
    </row>
    <row r="48129" spans="7:7">
      <c r="G48129" s="812"/>
    </row>
    <row r="48130" spans="7:7">
      <c r="G48130" s="812"/>
    </row>
    <row r="48131" spans="7:7">
      <c r="G48131" s="812"/>
    </row>
    <row r="48132" spans="7:7">
      <c r="G48132" s="812"/>
    </row>
    <row r="48133" spans="7:7">
      <c r="G48133" s="812"/>
    </row>
    <row r="48134" spans="7:7">
      <c r="G48134" s="812"/>
    </row>
    <row r="48135" spans="7:7">
      <c r="G48135" s="812"/>
    </row>
    <row r="48136" spans="7:7">
      <c r="G48136" s="812"/>
    </row>
    <row r="48137" spans="7:7">
      <c r="G48137" s="812"/>
    </row>
    <row r="48138" spans="7:7">
      <c r="G48138" s="812"/>
    </row>
    <row r="48139" spans="7:7">
      <c r="G48139" s="812"/>
    </row>
    <row r="48140" spans="7:7">
      <c r="G48140" s="812"/>
    </row>
    <row r="48141" spans="7:7">
      <c r="G48141" s="812"/>
    </row>
    <row r="48142" spans="7:7">
      <c r="G48142" s="812"/>
    </row>
    <row r="48143" spans="7:7">
      <c r="G48143" s="812"/>
    </row>
    <row r="48144" spans="7:7">
      <c r="G48144" s="812"/>
    </row>
    <row r="48145" spans="7:7">
      <c r="G48145" s="812"/>
    </row>
    <row r="48146" spans="7:7">
      <c r="G48146" s="812"/>
    </row>
    <row r="48147" spans="7:7">
      <c r="G48147" s="812"/>
    </row>
    <row r="48148" spans="7:7">
      <c r="G48148" s="812"/>
    </row>
    <row r="48149" spans="7:7">
      <c r="G48149" s="812"/>
    </row>
    <row r="48150" spans="7:7">
      <c r="G48150" s="812"/>
    </row>
    <row r="48151" spans="7:7">
      <c r="G48151" s="812"/>
    </row>
    <row r="48152" spans="7:7">
      <c r="G48152" s="812"/>
    </row>
    <row r="48153" spans="7:7">
      <c r="G48153" s="812"/>
    </row>
    <row r="48154" spans="7:7">
      <c r="G48154" s="812"/>
    </row>
    <row r="48155" spans="7:7">
      <c r="G48155" s="812"/>
    </row>
    <row r="48156" spans="7:7">
      <c r="G48156" s="812"/>
    </row>
    <row r="48157" spans="7:7">
      <c r="G48157" s="812"/>
    </row>
    <row r="48158" spans="7:7">
      <c r="G48158" s="812"/>
    </row>
    <row r="48159" spans="7:7">
      <c r="G48159" s="812"/>
    </row>
    <row r="48160" spans="7:7">
      <c r="G48160" s="812"/>
    </row>
    <row r="48161" spans="7:7">
      <c r="G48161" s="812"/>
    </row>
    <row r="48162" spans="7:7">
      <c r="G48162" s="812"/>
    </row>
    <row r="48163" spans="7:7">
      <c r="G48163" s="812"/>
    </row>
    <row r="48164" spans="7:7">
      <c r="G48164" s="812"/>
    </row>
    <row r="48165" spans="7:7">
      <c r="G48165" s="812"/>
    </row>
    <row r="48166" spans="7:7">
      <c r="G48166" s="812"/>
    </row>
    <row r="48167" spans="7:7">
      <c r="G48167" s="812"/>
    </row>
    <row r="48168" spans="7:7">
      <c r="G48168" s="812"/>
    </row>
    <row r="48169" spans="7:7">
      <c r="G48169" s="812"/>
    </row>
    <row r="48170" spans="7:7">
      <c r="G48170" s="812"/>
    </row>
    <row r="48171" spans="7:7">
      <c r="G48171" s="812"/>
    </row>
    <row r="48172" spans="7:7">
      <c r="G48172" s="812"/>
    </row>
    <row r="48173" spans="7:7">
      <c r="G48173" s="812"/>
    </row>
    <row r="48174" spans="7:7">
      <c r="G48174" s="812"/>
    </row>
    <row r="48175" spans="7:7">
      <c r="G48175" s="812"/>
    </row>
    <row r="48176" spans="7:7">
      <c r="G48176" s="812"/>
    </row>
    <row r="48177" spans="7:7">
      <c r="G48177" s="812"/>
    </row>
    <row r="48178" spans="7:7">
      <c r="G48178" s="812"/>
    </row>
    <row r="48179" spans="7:7">
      <c r="G48179" s="812"/>
    </row>
    <row r="48180" spans="7:7">
      <c r="G48180" s="812"/>
    </row>
    <row r="48181" spans="7:7">
      <c r="G48181" s="812"/>
    </row>
    <row r="48182" spans="7:7">
      <c r="G48182" s="812"/>
    </row>
    <row r="48183" spans="7:7">
      <c r="G48183" s="812"/>
    </row>
    <row r="48184" spans="7:7">
      <c r="G48184" s="812"/>
    </row>
    <row r="48185" spans="7:7">
      <c r="G48185" s="812"/>
    </row>
    <row r="48186" spans="7:7">
      <c r="G48186" s="812"/>
    </row>
    <row r="48187" spans="7:7">
      <c r="G48187" s="812"/>
    </row>
    <row r="48188" spans="7:7">
      <c r="G48188" s="812"/>
    </row>
    <row r="48189" spans="7:7">
      <c r="G48189" s="812"/>
    </row>
    <row r="48190" spans="7:7">
      <c r="G48190" s="812"/>
    </row>
    <row r="48191" spans="7:7">
      <c r="G48191" s="812"/>
    </row>
    <row r="48192" spans="7:7">
      <c r="G48192" s="812"/>
    </row>
    <row r="48193" spans="7:7">
      <c r="G48193" s="812"/>
    </row>
    <row r="48194" spans="7:7">
      <c r="G48194" s="812"/>
    </row>
    <row r="48195" spans="7:7">
      <c r="G48195" s="812"/>
    </row>
    <row r="48196" spans="7:7">
      <c r="G48196" s="812"/>
    </row>
    <row r="48197" spans="7:7">
      <c r="G48197" s="812"/>
    </row>
    <row r="48198" spans="7:7">
      <c r="G48198" s="812"/>
    </row>
    <row r="48199" spans="7:7">
      <c r="G48199" s="812"/>
    </row>
    <row r="48200" spans="7:7">
      <c r="G48200" s="812"/>
    </row>
    <row r="48201" spans="7:7">
      <c r="G48201" s="812"/>
    </row>
    <row r="48202" spans="7:7">
      <c r="G48202" s="812"/>
    </row>
    <row r="48203" spans="7:7">
      <c r="G48203" s="812"/>
    </row>
    <row r="48204" spans="7:7">
      <c r="G48204" s="812"/>
    </row>
    <row r="48205" spans="7:7">
      <c r="G48205" s="812"/>
    </row>
    <row r="48206" spans="7:7">
      <c r="G48206" s="812"/>
    </row>
    <row r="48207" spans="7:7">
      <c r="G48207" s="812"/>
    </row>
    <row r="48208" spans="7:7">
      <c r="G48208" s="812"/>
    </row>
    <row r="48209" spans="7:7">
      <c r="G48209" s="812"/>
    </row>
    <row r="48210" spans="7:7">
      <c r="G48210" s="812"/>
    </row>
    <row r="48211" spans="7:7">
      <c r="G48211" s="812"/>
    </row>
    <row r="48212" spans="7:7">
      <c r="G48212" s="812"/>
    </row>
    <row r="48213" spans="7:7">
      <c r="G48213" s="812"/>
    </row>
    <row r="48214" spans="7:7">
      <c r="G48214" s="812"/>
    </row>
    <row r="48215" spans="7:7">
      <c r="G48215" s="812"/>
    </row>
    <row r="48216" spans="7:7">
      <c r="G48216" s="812"/>
    </row>
    <row r="48217" spans="7:7">
      <c r="G48217" s="812"/>
    </row>
    <row r="48218" spans="7:7">
      <c r="G48218" s="812"/>
    </row>
    <row r="48219" spans="7:7">
      <c r="G48219" s="812"/>
    </row>
    <row r="48220" spans="7:7">
      <c r="G48220" s="812"/>
    </row>
    <row r="48221" spans="7:7">
      <c r="G48221" s="812"/>
    </row>
    <row r="48222" spans="7:7">
      <c r="G48222" s="812"/>
    </row>
    <row r="48223" spans="7:7">
      <c r="G48223" s="812"/>
    </row>
    <row r="48224" spans="7:7">
      <c r="G48224" s="812"/>
    </row>
    <row r="48225" spans="7:7">
      <c r="G48225" s="812"/>
    </row>
    <row r="48226" spans="7:7">
      <c r="G48226" s="812"/>
    </row>
    <row r="48227" spans="7:7">
      <c r="G48227" s="812"/>
    </row>
    <row r="48228" spans="7:7">
      <c r="G48228" s="812"/>
    </row>
    <row r="48229" spans="7:7">
      <c r="G48229" s="812"/>
    </row>
    <row r="48230" spans="7:7">
      <c r="G48230" s="812"/>
    </row>
    <row r="48231" spans="7:7">
      <c r="G48231" s="812"/>
    </row>
    <row r="48232" spans="7:7">
      <c r="G48232" s="812"/>
    </row>
    <row r="48233" spans="7:7">
      <c r="G48233" s="812"/>
    </row>
    <row r="48234" spans="7:7">
      <c r="G48234" s="812"/>
    </row>
    <row r="48235" spans="7:7">
      <c r="G48235" s="812"/>
    </row>
    <row r="48236" spans="7:7">
      <c r="G48236" s="812"/>
    </row>
    <row r="48237" spans="7:7">
      <c r="G48237" s="812"/>
    </row>
    <row r="48238" spans="7:7">
      <c r="G48238" s="812"/>
    </row>
    <row r="48239" spans="7:7">
      <c r="G48239" s="812"/>
    </row>
    <row r="48240" spans="7:7">
      <c r="G48240" s="812"/>
    </row>
    <row r="48241" spans="7:7">
      <c r="G48241" s="812"/>
    </row>
    <row r="48242" spans="7:7">
      <c r="G48242" s="812"/>
    </row>
    <row r="48243" spans="7:7">
      <c r="G48243" s="812"/>
    </row>
    <row r="48244" spans="7:7">
      <c r="G48244" s="812"/>
    </row>
    <row r="48245" spans="7:7">
      <c r="G48245" s="812"/>
    </row>
    <row r="48246" spans="7:7">
      <c r="G48246" s="812"/>
    </row>
    <row r="48247" spans="7:7">
      <c r="G48247" s="812"/>
    </row>
    <row r="48248" spans="7:7">
      <c r="G48248" s="812"/>
    </row>
    <row r="48249" spans="7:7">
      <c r="G48249" s="812"/>
    </row>
    <row r="48250" spans="7:7">
      <c r="G48250" s="812"/>
    </row>
    <row r="48251" spans="7:7">
      <c r="G48251" s="812"/>
    </row>
    <row r="48252" spans="7:7">
      <c r="G48252" s="812"/>
    </row>
    <row r="48253" spans="7:7">
      <c r="G48253" s="812"/>
    </row>
    <row r="48254" spans="7:7">
      <c r="G48254" s="812"/>
    </row>
    <row r="48255" spans="7:7">
      <c r="G48255" s="812"/>
    </row>
    <row r="48256" spans="7:7">
      <c r="G48256" s="812"/>
    </row>
    <row r="48257" spans="7:7">
      <c r="G48257" s="812"/>
    </row>
    <row r="48258" spans="7:7">
      <c r="G48258" s="812"/>
    </row>
    <row r="48259" spans="7:7">
      <c r="G48259" s="812"/>
    </row>
    <row r="48260" spans="7:7">
      <c r="G48260" s="812"/>
    </row>
    <row r="48261" spans="7:7">
      <c r="G48261" s="812"/>
    </row>
    <row r="48262" spans="7:7">
      <c r="G48262" s="812"/>
    </row>
    <row r="48263" spans="7:7">
      <c r="G48263" s="812"/>
    </row>
    <row r="48264" spans="7:7">
      <c r="G48264" s="812"/>
    </row>
    <row r="48265" spans="7:7">
      <c r="G48265" s="812"/>
    </row>
    <row r="48266" spans="7:7">
      <c r="G48266" s="812"/>
    </row>
    <row r="48267" spans="7:7">
      <c r="G48267" s="812"/>
    </row>
    <row r="48268" spans="7:7">
      <c r="G48268" s="812"/>
    </row>
    <row r="48269" spans="7:7">
      <c r="G48269" s="812"/>
    </row>
    <row r="48270" spans="7:7">
      <c r="G48270" s="812"/>
    </row>
    <row r="48271" spans="7:7">
      <c r="G48271" s="812"/>
    </row>
    <row r="48272" spans="7:7">
      <c r="G48272" s="812"/>
    </row>
    <row r="48273" spans="7:7">
      <c r="G48273" s="812"/>
    </row>
    <row r="48274" spans="7:7">
      <c r="G48274" s="812"/>
    </row>
    <row r="48275" spans="7:7">
      <c r="G48275" s="812"/>
    </row>
    <row r="48276" spans="7:7">
      <c r="G48276" s="812"/>
    </row>
    <row r="48277" spans="7:7">
      <c r="G48277" s="812"/>
    </row>
    <row r="48278" spans="7:7">
      <c r="G48278" s="812"/>
    </row>
    <row r="48279" spans="7:7">
      <c r="G48279" s="812"/>
    </row>
    <row r="48280" spans="7:7">
      <c r="G48280" s="812"/>
    </row>
    <row r="48281" spans="7:7">
      <c r="G48281" s="812"/>
    </row>
    <row r="48282" spans="7:7">
      <c r="G48282" s="812"/>
    </row>
    <row r="48283" spans="7:7">
      <c r="G48283" s="812"/>
    </row>
    <row r="48284" spans="7:7">
      <c r="G48284" s="812"/>
    </row>
    <row r="48285" spans="7:7">
      <c r="G48285" s="812"/>
    </row>
    <row r="48286" spans="7:7">
      <c r="G48286" s="812"/>
    </row>
    <row r="48287" spans="7:7">
      <c r="G48287" s="812"/>
    </row>
    <row r="48288" spans="7:7">
      <c r="G48288" s="812"/>
    </row>
    <row r="48289" spans="7:7">
      <c r="G48289" s="812"/>
    </row>
    <row r="48290" spans="7:7">
      <c r="G48290" s="812"/>
    </row>
    <row r="48291" spans="7:7">
      <c r="G48291" s="812"/>
    </row>
    <row r="48292" spans="7:7">
      <c r="G48292" s="812"/>
    </row>
    <row r="48293" spans="7:7">
      <c r="G48293" s="812"/>
    </row>
    <row r="48294" spans="7:7">
      <c r="G48294" s="812"/>
    </row>
    <row r="48295" spans="7:7">
      <c r="G48295" s="812"/>
    </row>
    <row r="48296" spans="7:7">
      <c r="G48296" s="812"/>
    </row>
    <row r="48297" spans="7:7">
      <c r="G48297" s="812"/>
    </row>
    <row r="48298" spans="7:7">
      <c r="G48298" s="812"/>
    </row>
    <row r="48299" spans="7:7">
      <c r="G48299" s="812"/>
    </row>
    <row r="48300" spans="7:7">
      <c r="G48300" s="812"/>
    </row>
    <row r="48301" spans="7:7">
      <c r="G48301" s="812"/>
    </row>
    <row r="48302" spans="7:7">
      <c r="G48302" s="812"/>
    </row>
    <row r="48303" spans="7:7">
      <c r="G48303" s="812"/>
    </row>
    <row r="48304" spans="7:7">
      <c r="G48304" s="812"/>
    </row>
    <row r="48305" spans="7:7">
      <c r="G48305" s="812"/>
    </row>
    <row r="48306" spans="7:7">
      <c r="G48306" s="812"/>
    </row>
    <row r="48307" spans="7:7">
      <c r="G48307" s="812"/>
    </row>
    <row r="48308" spans="7:7">
      <c r="G48308" s="812"/>
    </row>
    <row r="48309" spans="7:7">
      <c r="G48309" s="812"/>
    </row>
    <row r="48310" spans="7:7">
      <c r="G48310" s="812"/>
    </row>
    <row r="48311" spans="7:7">
      <c r="G48311" s="812"/>
    </row>
    <row r="48312" spans="7:7">
      <c r="G48312" s="812"/>
    </row>
    <row r="48313" spans="7:7">
      <c r="G48313" s="812"/>
    </row>
    <row r="48314" spans="7:7">
      <c r="G48314" s="812"/>
    </row>
    <row r="48315" spans="7:7">
      <c r="G48315" s="812"/>
    </row>
    <row r="48316" spans="7:7">
      <c r="G48316" s="812"/>
    </row>
    <row r="48317" spans="7:7">
      <c r="G48317" s="812"/>
    </row>
    <row r="48318" spans="7:7">
      <c r="G48318" s="812"/>
    </row>
    <row r="48319" spans="7:7">
      <c r="G48319" s="812"/>
    </row>
    <row r="48320" spans="7:7">
      <c r="G48320" s="812"/>
    </row>
    <row r="48321" spans="7:7">
      <c r="G48321" s="812"/>
    </row>
    <row r="48322" spans="7:7">
      <c r="G48322" s="812"/>
    </row>
    <row r="48323" spans="7:7">
      <c r="G48323" s="812"/>
    </row>
    <row r="48324" spans="7:7">
      <c r="G48324" s="812"/>
    </row>
    <row r="48325" spans="7:7">
      <c r="G48325" s="812"/>
    </row>
    <row r="48326" spans="7:7">
      <c r="G48326" s="812"/>
    </row>
    <row r="48327" spans="7:7">
      <c r="G48327" s="812"/>
    </row>
    <row r="48328" spans="7:7">
      <c r="G48328" s="812"/>
    </row>
    <row r="48329" spans="7:7">
      <c r="G48329" s="812"/>
    </row>
    <row r="48330" spans="7:7">
      <c r="G48330" s="812"/>
    </row>
    <row r="48331" spans="7:7">
      <c r="G48331" s="812"/>
    </row>
    <row r="48332" spans="7:7">
      <c r="G48332" s="812"/>
    </row>
    <row r="48333" spans="7:7">
      <c r="G48333" s="812"/>
    </row>
    <row r="48334" spans="7:7">
      <c r="G48334" s="812"/>
    </row>
    <row r="48335" spans="7:7">
      <c r="G48335" s="812"/>
    </row>
    <row r="48336" spans="7:7">
      <c r="G48336" s="812"/>
    </row>
    <row r="48337" spans="7:7">
      <c r="G48337" s="812"/>
    </row>
    <row r="48338" spans="7:7">
      <c r="G48338" s="812"/>
    </row>
    <row r="48339" spans="7:7">
      <c r="G48339" s="812"/>
    </row>
    <row r="48340" spans="7:7">
      <c r="G48340" s="812"/>
    </row>
    <row r="48341" spans="7:7">
      <c r="G48341" s="812"/>
    </row>
    <row r="48342" spans="7:7">
      <c r="G48342" s="812"/>
    </row>
    <row r="48343" spans="7:7">
      <c r="G48343" s="812"/>
    </row>
    <row r="48344" spans="7:7">
      <c r="G48344" s="812"/>
    </row>
    <row r="48345" spans="7:7">
      <c r="G48345" s="812"/>
    </row>
    <row r="48346" spans="7:7">
      <c r="G48346" s="812"/>
    </row>
    <row r="48347" spans="7:7">
      <c r="G48347" s="812"/>
    </row>
    <row r="48348" spans="7:7">
      <c r="G48348" s="812"/>
    </row>
    <row r="48349" spans="7:7">
      <c r="G48349" s="812"/>
    </row>
    <row r="48350" spans="7:7">
      <c r="G48350" s="812"/>
    </row>
    <row r="48351" spans="7:7">
      <c r="G48351" s="812"/>
    </row>
    <row r="48352" spans="7:7">
      <c r="G48352" s="812"/>
    </row>
    <row r="48353" spans="7:7">
      <c r="G48353" s="812"/>
    </row>
    <row r="48354" spans="7:7">
      <c r="G48354" s="812"/>
    </row>
    <row r="48355" spans="7:7">
      <c r="G48355" s="812"/>
    </row>
    <row r="48356" spans="7:7">
      <c r="G48356" s="812"/>
    </row>
    <row r="48357" spans="7:7">
      <c r="G48357" s="812"/>
    </row>
    <row r="48358" spans="7:7">
      <c r="G48358" s="812"/>
    </row>
    <row r="48359" spans="7:7">
      <c r="G48359" s="812"/>
    </row>
    <row r="48360" spans="7:7">
      <c r="G48360" s="812"/>
    </row>
    <row r="48361" spans="7:7">
      <c r="G48361" s="812"/>
    </row>
    <row r="48362" spans="7:7">
      <c r="G48362" s="812"/>
    </row>
    <row r="48363" spans="7:7">
      <c r="G48363" s="812"/>
    </row>
    <row r="48364" spans="7:7">
      <c r="G48364" s="812"/>
    </row>
    <row r="48365" spans="7:7">
      <c r="G48365" s="812"/>
    </row>
    <row r="48366" spans="7:7">
      <c r="G48366" s="812"/>
    </row>
    <row r="48367" spans="7:7">
      <c r="G48367" s="812"/>
    </row>
    <row r="48368" spans="7:7">
      <c r="G48368" s="812"/>
    </row>
    <row r="48369" spans="7:7">
      <c r="G48369" s="812"/>
    </row>
    <row r="48370" spans="7:7">
      <c r="G48370" s="812"/>
    </row>
    <row r="48371" spans="7:7">
      <c r="G48371" s="812"/>
    </row>
    <row r="48372" spans="7:7">
      <c r="G48372" s="812"/>
    </row>
    <row r="48373" spans="7:7">
      <c r="G48373" s="812"/>
    </row>
    <row r="48374" spans="7:7">
      <c r="G48374" s="812"/>
    </row>
    <row r="48375" spans="7:7">
      <c r="G48375" s="812"/>
    </row>
    <row r="48376" spans="7:7">
      <c r="G48376" s="812"/>
    </row>
    <row r="48377" spans="7:7">
      <c r="G48377" s="812"/>
    </row>
    <row r="48378" spans="7:7">
      <c r="G48378" s="812"/>
    </row>
    <row r="48379" spans="7:7">
      <c r="G48379" s="812"/>
    </row>
    <row r="48380" spans="7:7">
      <c r="G48380" s="812"/>
    </row>
    <row r="48381" spans="7:7">
      <c r="G48381" s="812"/>
    </row>
    <row r="48382" spans="7:7">
      <c r="G48382" s="812"/>
    </row>
    <row r="48383" spans="7:7">
      <c r="G48383" s="812"/>
    </row>
    <row r="48384" spans="7:7">
      <c r="G48384" s="812"/>
    </row>
    <row r="48385" spans="7:7">
      <c r="G48385" s="812"/>
    </row>
    <row r="48386" spans="7:7">
      <c r="G48386" s="812"/>
    </row>
    <row r="48387" spans="7:7">
      <c r="G48387" s="812"/>
    </row>
    <row r="48388" spans="7:7">
      <c r="G48388" s="812"/>
    </row>
    <row r="48389" spans="7:7">
      <c r="G48389" s="812"/>
    </row>
    <row r="48390" spans="7:7">
      <c r="G48390" s="812"/>
    </row>
    <row r="48391" spans="7:7">
      <c r="G48391" s="812"/>
    </row>
    <row r="48392" spans="7:7">
      <c r="G48392" s="812"/>
    </row>
    <row r="48393" spans="7:7">
      <c r="G48393" s="812"/>
    </row>
    <row r="48394" spans="7:7">
      <c r="G48394" s="812"/>
    </row>
    <row r="48395" spans="7:7">
      <c r="G48395" s="812"/>
    </row>
    <row r="48396" spans="7:7">
      <c r="G48396" s="812"/>
    </row>
    <row r="48397" spans="7:7">
      <c r="G48397" s="812"/>
    </row>
    <row r="48398" spans="7:7">
      <c r="G48398" s="812"/>
    </row>
    <row r="48399" spans="7:7">
      <c r="G48399" s="812"/>
    </row>
    <row r="48400" spans="7:7">
      <c r="G48400" s="812"/>
    </row>
    <row r="48401" spans="7:7">
      <c r="G48401" s="812"/>
    </row>
    <row r="48402" spans="7:7">
      <c r="G48402" s="812"/>
    </row>
    <row r="48403" spans="7:7">
      <c r="G48403" s="812"/>
    </row>
    <row r="48404" spans="7:7">
      <c r="G48404" s="812"/>
    </row>
    <row r="48405" spans="7:7">
      <c r="G48405" s="812"/>
    </row>
    <row r="48406" spans="7:7">
      <c r="G48406" s="812"/>
    </row>
    <row r="48407" spans="7:7">
      <c r="G48407" s="812"/>
    </row>
    <row r="48408" spans="7:7">
      <c r="G48408" s="812"/>
    </row>
    <row r="48409" spans="7:7">
      <c r="G48409" s="812"/>
    </row>
    <row r="48410" spans="7:7">
      <c r="G48410" s="812"/>
    </row>
    <row r="48411" spans="7:7">
      <c r="G48411" s="812"/>
    </row>
    <row r="48412" spans="7:7">
      <c r="G48412" s="812"/>
    </row>
    <row r="48413" spans="7:7">
      <c r="G48413" s="812"/>
    </row>
    <row r="48414" spans="7:7">
      <c r="G48414" s="812"/>
    </row>
    <row r="48415" spans="7:7">
      <c r="G48415" s="812"/>
    </row>
    <row r="48416" spans="7:7">
      <c r="G48416" s="812"/>
    </row>
    <row r="48417" spans="7:7">
      <c r="G48417" s="812"/>
    </row>
    <row r="48418" spans="7:7">
      <c r="G48418" s="812"/>
    </row>
    <row r="48419" spans="7:7">
      <c r="G48419" s="812"/>
    </row>
    <row r="48420" spans="7:7">
      <c r="G48420" s="812"/>
    </row>
    <row r="48421" spans="7:7">
      <c r="G48421" s="812"/>
    </row>
    <row r="48422" spans="7:7">
      <c r="G48422" s="812"/>
    </row>
    <row r="48423" spans="7:7">
      <c r="G48423" s="812"/>
    </row>
    <row r="48424" spans="7:7">
      <c r="G48424" s="812"/>
    </row>
    <row r="48425" spans="7:7">
      <c r="G48425" s="812"/>
    </row>
    <row r="48426" spans="7:7">
      <c r="G48426" s="812"/>
    </row>
    <row r="48427" spans="7:7">
      <c r="G48427" s="812"/>
    </row>
    <row r="48428" spans="7:7">
      <c r="G48428" s="812"/>
    </row>
    <row r="48429" spans="7:7">
      <c r="G48429" s="812"/>
    </row>
    <row r="48430" spans="7:7">
      <c r="G48430" s="812"/>
    </row>
    <row r="48431" spans="7:7">
      <c r="G48431" s="812"/>
    </row>
    <row r="48432" spans="7:7">
      <c r="G48432" s="812"/>
    </row>
    <row r="48433" spans="7:7">
      <c r="G48433" s="812"/>
    </row>
    <row r="48434" spans="7:7">
      <c r="G48434" s="812"/>
    </row>
    <row r="48435" spans="7:7">
      <c r="G48435" s="812"/>
    </row>
    <row r="48436" spans="7:7">
      <c r="G48436" s="812"/>
    </row>
    <row r="48437" spans="7:7">
      <c r="G48437" s="812"/>
    </row>
    <row r="48438" spans="7:7">
      <c r="G48438" s="812"/>
    </row>
    <row r="48439" spans="7:7">
      <c r="G48439" s="812"/>
    </row>
    <row r="48440" spans="7:7">
      <c r="G48440" s="812"/>
    </row>
    <row r="48441" spans="7:7">
      <c r="G48441" s="812"/>
    </row>
    <row r="48442" spans="7:7">
      <c r="G48442" s="812"/>
    </row>
    <row r="48443" spans="7:7">
      <c r="G48443" s="812"/>
    </row>
    <row r="48444" spans="7:7">
      <c r="G48444" s="812"/>
    </row>
    <row r="48445" spans="7:7">
      <c r="G48445" s="812"/>
    </row>
    <row r="48446" spans="7:7">
      <c r="G48446" s="812"/>
    </row>
    <row r="48447" spans="7:7">
      <c r="G48447" s="812"/>
    </row>
    <row r="48448" spans="7:7">
      <c r="G48448" s="812"/>
    </row>
    <row r="48449" spans="7:7">
      <c r="G48449" s="812"/>
    </row>
    <row r="48450" spans="7:7">
      <c r="G48450" s="812"/>
    </row>
    <row r="48451" spans="7:7">
      <c r="G48451" s="812"/>
    </row>
    <row r="48452" spans="7:7">
      <c r="G48452" s="812"/>
    </row>
    <row r="48453" spans="7:7">
      <c r="G48453" s="812"/>
    </row>
    <row r="48454" spans="7:7">
      <c r="G48454" s="812"/>
    </row>
    <row r="48455" spans="7:7">
      <c r="G48455" s="812"/>
    </row>
    <row r="48456" spans="7:7">
      <c r="G48456" s="812"/>
    </row>
    <row r="48457" spans="7:7">
      <c r="G48457" s="812"/>
    </row>
    <row r="48458" spans="7:7">
      <c r="G48458" s="812"/>
    </row>
    <row r="48459" spans="7:7">
      <c r="G48459" s="812"/>
    </row>
    <row r="48460" spans="7:7">
      <c r="G48460" s="812"/>
    </row>
    <row r="48461" spans="7:7">
      <c r="G48461" s="812"/>
    </row>
    <row r="48462" spans="7:7">
      <c r="G48462" s="812"/>
    </row>
    <row r="48463" spans="7:7">
      <c r="G48463" s="812"/>
    </row>
    <row r="48464" spans="7:7">
      <c r="G48464" s="812"/>
    </row>
    <row r="48465" spans="7:7">
      <c r="G48465" s="812"/>
    </row>
    <row r="48466" spans="7:7">
      <c r="G48466" s="812"/>
    </row>
    <row r="48467" spans="7:7">
      <c r="G48467" s="812"/>
    </row>
    <row r="48468" spans="7:7">
      <c r="G48468" s="812"/>
    </row>
    <row r="48469" spans="7:7">
      <c r="G48469" s="812"/>
    </row>
    <row r="48470" spans="7:7">
      <c r="G48470" s="812"/>
    </row>
    <row r="48471" spans="7:7">
      <c r="G48471" s="812"/>
    </row>
    <row r="48472" spans="7:7">
      <c r="G48472" s="812"/>
    </row>
    <row r="48473" spans="7:7">
      <c r="G48473" s="812"/>
    </row>
    <row r="48474" spans="7:7">
      <c r="G48474" s="812"/>
    </row>
    <row r="48475" spans="7:7">
      <c r="G48475" s="812"/>
    </row>
    <row r="48476" spans="7:7">
      <c r="G48476" s="812"/>
    </row>
    <row r="48477" spans="7:7">
      <c r="G48477" s="812"/>
    </row>
    <row r="48478" spans="7:7">
      <c r="G48478" s="812"/>
    </row>
    <row r="48479" spans="7:7">
      <c r="G48479" s="812"/>
    </row>
    <row r="48480" spans="7:7">
      <c r="G48480" s="812"/>
    </row>
    <row r="48481" spans="7:7">
      <c r="G48481" s="812"/>
    </row>
    <row r="48482" spans="7:7">
      <c r="G48482" s="812"/>
    </row>
    <row r="48483" spans="7:7">
      <c r="G48483" s="812"/>
    </row>
    <row r="48484" spans="7:7">
      <c r="G48484" s="812"/>
    </row>
    <row r="48485" spans="7:7">
      <c r="G48485" s="812"/>
    </row>
    <row r="48486" spans="7:7">
      <c r="G48486" s="812"/>
    </row>
    <row r="48487" spans="7:7">
      <c r="G48487" s="812"/>
    </row>
    <row r="48488" spans="7:7">
      <c r="G48488" s="812"/>
    </row>
    <row r="48489" spans="7:7">
      <c r="G48489" s="812"/>
    </row>
    <row r="48490" spans="7:7">
      <c r="G48490" s="812"/>
    </row>
    <row r="48491" spans="7:7">
      <c r="G48491" s="812"/>
    </row>
    <row r="48492" spans="7:7">
      <c r="G48492" s="812"/>
    </row>
    <row r="48493" spans="7:7">
      <c r="G48493" s="812"/>
    </row>
    <row r="48494" spans="7:7">
      <c r="G48494" s="812"/>
    </row>
    <row r="48495" spans="7:7">
      <c r="G48495" s="812"/>
    </row>
    <row r="48496" spans="7:7">
      <c r="G48496" s="812"/>
    </row>
    <row r="48497" spans="7:7">
      <c r="G48497" s="812"/>
    </row>
    <row r="48498" spans="7:7">
      <c r="G48498" s="812"/>
    </row>
    <row r="48499" spans="7:7">
      <c r="G48499" s="812"/>
    </row>
    <row r="48500" spans="7:7">
      <c r="G48500" s="812"/>
    </row>
    <row r="48501" spans="7:7">
      <c r="G48501" s="812"/>
    </row>
    <row r="48502" spans="7:7">
      <c r="G48502" s="812"/>
    </row>
    <row r="48503" spans="7:7">
      <c r="G48503" s="812"/>
    </row>
    <row r="48504" spans="7:7">
      <c r="G48504" s="812"/>
    </row>
    <row r="48505" spans="7:7">
      <c r="G48505" s="812"/>
    </row>
    <row r="48506" spans="7:7">
      <c r="G48506" s="812"/>
    </row>
    <row r="48507" spans="7:7">
      <c r="G48507" s="812"/>
    </row>
    <row r="48508" spans="7:7">
      <c r="G48508" s="812"/>
    </row>
    <row r="48509" spans="7:7">
      <c r="G48509" s="812"/>
    </row>
    <row r="48510" spans="7:7">
      <c r="G48510" s="812"/>
    </row>
    <row r="48511" spans="7:7">
      <c r="G48511" s="812"/>
    </row>
    <row r="48512" spans="7:7">
      <c r="G48512" s="812"/>
    </row>
    <row r="48513" spans="7:7">
      <c r="G48513" s="812"/>
    </row>
    <row r="48514" spans="7:7">
      <c r="G48514" s="812"/>
    </row>
    <row r="48515" spans="7:7">
      <c r="G48515" s="812"/>
    </row>
    <row r="48516" spans="7:7">
      <c r="G48516" s="812"/>
    </row>
    <row r="48517" spans="7:7">
      <c r="G48517" s="812"/>
    </row>
    <row r="48518" spans="7:7">
      <c r="G48518" s="812"/>
    </row>
    <row r="48519" spans="7:7">
      <c r="G48519" s="812"/>
    </row>
    <row r="48520" spans="7:7">
      <c r="G48520" s="812"/>
    </row>
    <row r="48521" spans="7:7">
      <c r="G48521" s="812"/>
    </row>
    <row r="48522" spans="7:7">
      <c r="G48522" s="812"/>
    </row>
    <row r="48523" spans="7:7">
      <c r="G48523" s="812"/>
    </row>
    <row r="48524" spans="7:7">
      <c r="G48524" s="812"/>
    </row>
    <row r="48525" spans="7:7">
      <c r="G48525" s="812"/>
    </row>
    <row r="48526" spans="7:7">
      <c r="G48526" s="812"/>
    </row>
    <row r="48527" spans="7:7">
      <c r="G48527" s="812"/>
    </row>
    <row r="48528" spans="7:7">
      <c r="G48528" s="812"/>
    </row>
    <row r="48529" spans="7:7">
      <c r="G48529" s="812"/>
    </row>
    <row r="48530" spans="7:7">
      <c r="G48530" s="812"/>
    </row>
    <row r="48531" spans="7:7">
      <c r="G48531" s="812"/>
    </row>
    <row r="48532" spans="7:7">
      <c r="G48532" s="812"/>
    </row>
    <row r="48533" spans="7:7">
      <c r="G48533" s="812"/>
    </row>
    <row r="48534" spans="7:7">
      <c r="G48534" s="812"/>
    </row>
    <row r="48535" spans="7:7">
      <c r="G48535" s="812"/>
    </row>
    <row r="48536" spans="7:7">
      <c r="G48536" s="812"/>
    </row>
    <row r="48537" spans="7:7">
      <c r="G48537" s="812"/>
    </row>
    <row r="48538" spans="7:7">
      <c r="G48538" s="812"/>
    </row>
    <row r="48539" spans="7:7">
      <c r="G48539" s="812"/>
    </row>
    <row r="48540" spans="7:7">
      <c r="G48540" s="812"/>
    </row>
    <row r="48541" spans="7:7">
      <c r="G48541" s="812"/>
    </row>
    <row r="48542" spans="7:7">
      <c r="G48542" s="812"/>
    </row>
    <row r="48543" spans="7:7">
      <c r="G48543" s="812"/>
    </row>
    <row r="48544" spans="7:7">
      <c r="G48544" s="812"/>
    </row>
    <row r="48545" spans="7:7">
      <c r="G48545" s="812"/>
    </row>
    <row r="48546" spans="7:7">
      <c r="G48546" s="812"/>
    </row>
    <row r="48547" spans="7:7">
      <c r="G48547" s="812"/>
    </row>
    <row r="48548" spans="7:7">
      <c r="G48548" s="812"/>
    </row>
    <row r="48549" spans="7:7">
      <c r="G48549" s="812"/>
    </row>
    <row r="48550" spans="7:7">
      <c r="G48550" s="812"/>
    </row>
    <row r="48551" spans="7:7">
      <c r="G48551" s="812"/>
    </row>
    <row r="48552" spans="7:7">
      <c r="G48552" s="812"/>
    </row>
    <row r="48553" spans="7:7">
      <c r="G48553" s="812"/>
    </row>
    <row r="48554" spans="7:7">
      <c r="G48554" s="812"/>
    </row>
    <row r="48555" spans="7:7">
      <c r="G48555" s="812"/>
    </row>
    <row r="48556" spans="7:7">
      <c r="G48556" s="812"/>
    </row>
    <row r="48557" spans="7:7">
      <c r="G48557" s="812"/>
    </row>
    <row r="48558" spans="7:7">
      <c r="G48558" s="812"/>
    </row>
    <row r="48559" spans="7:7">
      <c r="G48559" s="812"/>
    </row>
    <row r="48560" spans="7:7">
      <c r="G48560" s="812"/>
    </row>
    <row r="48561" spans="7:7">
      <c r="G48561" s="812"/>
    </row>
    <row r="48562" spans="7:7">
      <c r="G48562" s="812"/>
    </row>
    <row r="48563" spans="7:7">
      <c r="G48563" s="812"/>
    </row>
    <row r="48564" spans="7:7">
      <c r="G48564" s="812"/>
    </row>
    <row r="48565" spans="7:7">
      <c r="G48565" s="812"/>
    </row>
    <row r="48566" spans="7:7">
      <c r="G48566" s="812"/>
    </row>
    <row r="48567" spans="7:7">
      <c r="G48567" s="812"/>
    </row>
    <row r="48568" spans="7:7">
      <c r="G48568" s="812"/>
    </row>
    <row r="48569" spans="7:7">
      <c r="G48569" s="812"/>
    </row>
    <row r="48570" spans="7:7">
      <c r="G48570" s="812"/>
    </row>
    <row r="48571" spans="7:7">
      <c r="G48571" s="812"/>
    </row>
    <row r="48572" spans="7:7">
      <c r="G48572" s="812"/>
    </row>
    <row r="48573" spans="7:7">
      <c r="G48573" s="812"/>
    </row>
    <row r="48574" spans="7:7">
      <c r="G48574" s="812"/>
    </row>
    <row r="48575" spans="7:7">
      <c r="G48575" s="812"/>
    </row>
    <row r="48576" spans="7:7">
      <c r="G48576" s="812"/>
    </row>
    <row r="48577" spans="7:7">
      <c r="G48577" s="812"/>
    </row>
    <row r="48578" spans="7:7">
      <c r="G48578" s="812"/>
    </row>
    <row r="48579" spans="7:7">
      <c r="G48579" s="812"/>
    </row>
    <row r="48580" spans="7:7">
      <c r="G48580" s="812"/>
    </row>
    <row r="48581" spans="7:7">
      <c r="G48581" s="812"/>
    </row>
    <row r="48582" spans="7:7">
      <c r="G48582" s="812"/>
    </row>
    <row r="48583" spans="7:7">
      <c r="G48583" s="812"/>
    </row>
    <row r="48584" spans="7:7">
      <c r="G48584" s="812"/>
    </row>
    <row r="48585" spans="7:7">
      <c r="G48585" s="812"/>
    </row>
    <row r="48586" spans="7:7">
      <c r="G48586" s="812"/>
    </row>
    <row r="48587" spans="7:7">
      <c r="G48587" s="812"/>
    </row>
    <row r="48588" spans="7:7">
      <c r="G48588" s="812"/>
    </row>
    <row r="48589" spans="7:7">
      <c r="G48589" s="812"/>
    </row>
    <row r="48590" spans="7:7">
      <c r="G48590" s="812"/>
    </row>
    <row r="48591" spans="7:7">
      <c r="G48591" s="812"/>
    </row>
    <row r="48592" spans="7:7">
      <c r="G48592" s="812"/>
    </row>
    <row r="48593" spans="7:7">
      <c r="G48593" s="812"/>
    </row>
    <row r="48594" spans="7:7">
      <c r="G48594" s="812"/>
    </row>
    <row r="48595" spans="7:7">
      <c r="G48595" s="812"/>
    </row>
    <row r="48596" spans="7:7">
      <c r="G48596" s="812"/>
    </row>
    <row r="48597" spans="7:7">
      <c r="G48597" s="812"/>
    </row>
    <row r="48598" spans="7:7">
      <c r="G48598" s="812"/>
    </row>
    <row r="48599" spans="7:7">
      <c r="G48599" s="812"/>
    </row>
    <row r="48600" spans="7:7">
      <c r="G48600" s="812"/>
    </row>
    <row r="48601" spans="7:7">
      <c r="G48601" s="812"/>
    </row>
    <row r="48602" spans="7:7">
      <c r="G48602" s="812"/>
    </row>
    <row r="48603" spans="7:7">
      <c r="G48603" s="812"/>
    </row>
    <row r="48604" spans="7:7">
      <c r="G48604" s="812"/>
    </row>
    <row r="48605" spans="7:7">
      <c r="G48605" s="812"/>
    </row>
    <row r="48606" spans="7:7">
      <c r="G48606" s="812"/>
    </row>
    <row r="48607" spans="7:7">
      <c r="G48607" s="812"/>
    </row>
    <row r="48608" spans="7:7">
      <c r="G48608" s="812"/>
    </row>
    <row r="48609" spans="7:7">
      <c r="G48609" s="812"/>
    </row>
    <row r="48610" spans="7:7">
      <c r="G48610" s="812"/>
    </row>
    <row r="48611" spans="7:7">
      <c r="G48611" s="812"/>
    </row>
    <row r="48612" spans="7:7">
      <c r="G48612" s="812"/>
    </row>
    <row r="48613" spans="7:7">
      <c r="G48613" s="812"/>
    </row>
    <row r="48614" spans="7:7">
      <c r="G48614" s="812"/>
    </row>
    <row r="48615" spans="7:7">
      <c r="G48615" s="812"/>
    </row>
    <row r="48616" spans="7:7">
      <c r="G48616" s="812"/>
    </row>
    <row r="48617" spans="7:7">
      <c r="G48617" s="812"/>
    </row>
    <row r="48618" spans="7:7">
      <c r="G48618" s="812"/>
    </row>
    <row r="48619" spans="7:7">
      <c r="G48619" s="812"/>
    </row>
    <row r="48620" spans="7:7">
      <c r="G48620" s="812"/>
    </row>
    <row r="48621" spans="7:7">
      <c r="G48621" s="812"/>
    </row>
    <row r="48622" spans="7:7">
      <c r="G48622" s="812"/>
    </row>
    <row r="48623" spans="7:7">
      <c r="G48623" s="812"/>
    </row>
    <row r="48624" spans="7:7">
      <c r="G48624" s="812"/>
    </row>
    <row r="48625" spans="7:7">
      <c r="G48625" s="812"/>
    </row>
    <row r="48626" spans="7:7">
      <c r="G48626" s="812"/>
    </row>
    <row r="48627" spans="7:7">
      <c r="G48627" s="812"/>
    </row>
    <row r="48628" spans="7:7">
      <c r="G48628" s="812"/>
    </row>
    <row r="48629" spans="7:7">
      <c r="G48629" s="812"/>
    </row>
    <row r="48630" spans="7:7">
      <c r="G48630" s="812"/>
    </row>
    <row r="48631" spans="7:7">
      <c r="G48631" s="812"/>
    </row>
    <row r="48632" spans="7:7">
      <c r="G48632" s="812"/>
    </row>
    <row r="48633" spans="7:7">
      <c r="G48633" s="812"/>
    </row>
    <row r="48634" spans="7:7">
      <c r="G48634" s="812"/>
    </row>
    <row r="48635" spans="7:7">
      <c r="G48635" s="812"/>
    </row>
    <row r="48636" spans="7:7">
      <c r="G48636" s="812"/>
    </row>
    <row r="48637" spans="7:7">
      <c r="G48637" s="812"/>
    </row>
    <row r="48638" spans="7:7">
      <c r="G48638" s="812"/>
    </row>
    <row r="48639" spans="7:7">
      <c r="G48639" s="812"/>
    </row>
    <row r="48640" spans="7:7">
      <c r="G48640" s="812"/>
    </row>
    <row r="48641" spans="7:7">
      <c r="G48641" s="812"/>
    </row>
    <row r="48642" spans="7:7">
      <c r="G48642" s="812"/>
    </row>
    <row r="48643" spans="7:7">
      <c r="G48643" s="812"/>
    </row>
    <row r="48644" spans="7:7">
      <c r="G48644" s="812"/>
    </row>
    <row r="48645" spans="7:7">
      <c r="G48645" s="812"/>
    </row>
    <row r="48646" spans="7:7">
      <c r="G48646" s="812"/>
    </row>
    <row r="48647" spans="7:7">
      <c r="G48647" s="812"/>
    </row>
    <row r="48648" spans="7:7">
      <c r="G48648" s="812"/>
    </row>
    <row r="48649" spans="7:7">
      <c r="G48649" s="812"/>
    </row>
    <row r="48650" spans="7:7">
      <c r="G48650" s="812"/>
    </row>
    <row r="48651" spans="7:7">
      <c r="G48651" s="812"/>
    </row>
    <row r="48652" spans="7:7">
      <c r="G48652" s="812"/>
    </row>
    <row r="48653" spans="7:7">
      <c r="G48653" s="812"/>
    </row>
    <row r="48654" spans="7:7">
      <c r="G48654" s="812"/>
    </row>
    <row r="48655" spans="7:7">
      <c r="G48655" s="812"/>
    </row>
    <row r="48656" spans="7:7">
      <c r="G48656" s="812"/>
    </row>
    <row r="48657" spans="7:7">
      <c r="G48657" s="812"/>
    </row>
    <row r="48658" spans="7:7">
      <c r="G48658" s="812"/>
    </row>
    <row r="48659" spans="7:7">
      <c r="G48659" s="812"/>
    </row>
    <row r="48660" spans="7:7">
      <c r="G48660" s="812"/>
    </row>
    <row r="48661" spans="7:7">
      <c r="G48661" s="812"/>
    </row>
    <row r="48662" spans="7:7">
      <c r="G48662" s="812"/>
    </row>
    <row r="48663" spans="7:7">
      <c r="G48663" s="812"/>
    </row>
    <row r="48664" spans="7:7">
      <c r="G48664" s="812"/>
    </row>
    <row r="48665" spans="7:7">
      <c r="G48665" s="812"/>
    </row>
    <row r="48666" spans="7:7">
      <c r="G48666" s="812"/>
    </row>
    <row r="48667" spans="7:7">
      <c r="G48667" s="812"/>
    </row>
    <row r="48668" spans="7:7">
      <c r="G48668" s="812"/>
    </row>
    <row r="48669" spans="7:7">
      <c r="G48669" s="812"/>
    </row>
    <row r="48670" spans="7:7">
      <c r="G48670" s="812"/>
    </row>
    <row r="48671" spans="7:7">
      <c r="G48671" s="812"/>
    </row>
    <row r="48672" spans="7:7">
      <c r="G48672" s="812"/>
    </row>
    <row r="48673" spans="7:7">
      <c r="G48673" s="812"/>
    </row>
    <row r="48674" spans="7:7">
      <c r="G48674" s="812"/>
    </row>
    <row r="48675" spans="7:7">
      <c r="G48675" s="812"/>
    </row>
    <row r="48676" spans="7:7">
      <c r="G48676" s="812"/>
    </row>
    <row r="48677" spans="7:7">
      <c r="G48677" s="812"/>
    </row>
    <row r="48678" spans="7:7">
      <c r="G48678" s="812"/>
    </row>
    <row r="48679" spans="7:7">
      <c r="G48679" s="812"/>
    </row>
    <row r="48680" spans="7:7">
      <c r="G48680" s="812"/>
    </row>
    <row r="48681" spans="7:7">
      <c r="G48681" s="812"/>
    </row>
    <row r="48682" spans="7:7">
      <c r="G48682" s="812"/>
    </row>
    <row r="48683" spans="7:7">
      <c r="G48683" s="812"/>
    </row>
    <row r="48684" spans="7:7">
      <c r="G48684" s="812"/>
    </row>
    <row r="48685" spans="7:7">
      <c r="G48685" s="812"/>
    </row>
    <row r="48686" spans="7:7">
      <c r="G48686" s="812"/>
    </row>
    <row r="48687" spans="7:7">
      <c r="G48687" s="812"/>
    </row>
    <row r="48688" spans="7:7">
      <c r="G48688" s="812"/>
    </row>
    <row r="48689" spans="7:7">
      <c r="G48689" s="812"/>
    </row>
    <row r="48690" spans="7:7">
      <c r="G48690" s="812"/>
    </row>
    <row r="48691" spans="7:7">
      <c r="G48691" s="812"/>
    </row>
    <row r="48692" spans="7:7">
      <c r="G48692" s="812"/>
    </row>
    <row r="48693" spans="7:7">
      <c r="G48693" s="812"/>
    </row>
    <row r="48694" spans="7:7">
      <c r="G48694" s="812"/>
    </row>
    <row r="48695" spans="7:7">
      <c r="G48695" s="812"/>
    </row>
    <row r="48696" spans="7:7">
      <c r="G48696" s="812"/>
    </row>
    <row r="48697" spans="7:7">
      <c r="G48697" s="812"/>
    </row>
    <row r="48698" spans="7:7">
      <c r="G48698" s="812"/>
    </row>
    <row r="48699" spans="7:7">
      <c r="G48699" s="812"/>
    </row>
    <row r="48700" spans="7:7">
      <c r="G48700" s="812"/>
    </row>
    <row r="48701" spans="7:7">
      <c r="G48701" s="812"/>
    </row>
    <row r="48702" spans="7:7">
      <c r="G48702" s="812"/>
    </row>
    <row r="48703" spans="7:7">
      <c r="G48703" s="812"/>
    </row>
    <row r="48704" spans="7:7">
      <c r="G48704" s="812"/>
    </row>
    <row r="48705" spans="7:7">
      <c r="G48705" s="812"/>
    </row>
    <row r="48706" spans="7:7">
      <c r="G48706" s="812"/>
    </row>
    <row r="48707" spans="7:7">
      <c r="G48707" s="812"/>
    </row>
    <row r="48708" spans="7:7">
      <c r="G48708" s="812"/>
    </row>
    <row r="48709" spans="7:7">
      <c r="G48709" s="812"/>
    </row>
    <row r="48710" spans="7:7">
      <c r="G48710" s="812"/>
    </row>
    <row r="48711" spans="7:7">
      <c r="G48711" s="812"/>
    </row>
    <row r="48712" spans="7:7">
      <c r="G48712" s="812"/>
    </row>
    <row r="48713" spans="7:7">
      <c r="G48713" s="812"/>
    </row>
    <row r="48714" spans="7:7">
      <c r="G48714" s="812"/>
    </row>
    <row r="48715" spans="7:7">
      <c r="G48715" s="812"/>
    </row>
    <row r="48716" spans="7:7">
      <c r="G48716" s="812"/>
    </row>
    <row r="48717" spans="7:7">
      <c r="G48717" s="812"/>
    </row>
    <row r="48718" spans="7:7">
      <c r="G48718" s="812"/>
    </row>
    <row r="48719" spans="7:7">
      <c r="G48719" s="812"/>
    </row>
    <row r="48720" spans="7:7">
      <c r="G48720" s="812"/>
    </row>
    <row r="48721" spans="7:7">
      <c r="G48721" s="812"/>
    </row>
    <row r="48722" spans="7:7">
      <c r="G48722" s="812"/>
    </row>
    <row r="48723" spans="7:7">
      <c r="G48723" s="812"/>
    </row>
    <row r="48724" spans="7:7">
      <c r="G48724" s="812"/>
    </row>
    <row r="48725" spans="7:7">
      <c r="G48725" s="812"/>
    </row>
    <row r="48726" spans="7:7">
      <c r="G48726" s="812"/>
    </row>
    <row r="48727" spans="7:7">
      <c r="G48727" s="812"/>
    </row>
    <row r="48728" spans="7:7">
      <c r="G48728" s="812"/>
    </row>
    <row r="48729" spans="7:7">
      <c r="G48729" s="812"/>
    </row>
    <row r="48730" spans="7:7">
      <c r="G48730" s="812"/>
    </row>
    <row r="48731" spans="7:7">
      <c r="G48731" s="812"/>
    </row>
    <row r="48732" spans="7:7">
      <c r="G48732" s="812"/>
    </row>
    <row r="48733" spans="7:7">
      <c r="G48733" s="812"/>
    </row>
    <row r="48734" spans="7:7">
      <c r="G48734" s="812"/>
    </row>
    <row r="48735" spans="7:7">
      <c r="G48735" s="812"/>
    </row>
    <row r="48736" spans="7:7">
      <c r="G48736" s="812"/>
    </row>
    <row r="48737" spans="7:7">
      <c r="G48737" s="812"/>
    </row>
    <row r="48738" spans="7:7">
      <c r="G48738" s="812"/>
    </row>
    <row r="48739" spans="7:7">
      <c r="G48739" s="812"/>
    </row>
    <row r="48740" spans="7:7">
      <c r="G48740" s="812"/>
    </row>
    <row r="48741" spans="7:7">
      <c r="G48741" s="812"/>
    </row>
    <row r="48742" spans="7:7">
      <c r="G48742" s="812"/>
    </row>
    <row r="48743" spans="7:7">
      <c r="G48743" s="812"/>
    </row>
    <row r="48744" spans="7:7">
      <c r="G48744" s="812"/>
    </row>
    <row r="48745" spans="7:7">
      <c r="G48745" s="812"/>
    </row>
    <row r="48746" spans="7:7">
      <c r="G48746" s="812"/>
    </row>
    <row r="48747" spans="7:7">
      <c r="G48747" s="812"/>
    </row>
    <row r="48748" spans="7:7">
      <c r="G48748" s="812"/>
    </row>
    <row r="48749" spans="7:7">
      <c r="G48749" s="812"/>
    </row>
    <row r="48750" spans="7:7">
      <c r="G48750" s="812"/>
    </row>
    <row r="48751" spans="7:7">
      <c r="G48751" s="812"/>
    </row>
    <row r="48752" spans="7:7">
      <c r="G48752" s="812"/>
    </row>
    <row r="48753" spans="7:7">
      <c r="G48753" s="812"/>
    </row>
    <row r="48754" spans="7:7">
      <c r="G48754" s="812"/>
    </row>
    <row r="48755" spans="7:7">
      <c r="G48755" s="812"/>
    </row>
    <row r="48756" spans="7:7">
      <c r="G48756" s="812"/>
    </row>
    <row r="48757" spans="7:7">
      <c r="G48757" s="812"/>
    </row>
    <row r="48758" spans="7:7">
      <c r="G48758" s="812"/>
    </row>
    <row r="48759" spans="7:7">
      <c r="G48759" s="812"/>
    </row>
    <row r="48760" spans="7:7">
      <c r="G48760" s="812"/>
    </row>
    <row r="48761" spans="7:7">
      <c r="G48761" s="812"/>
    </row>
    <row r="48762" spans="7:7">
      <c r="G48762" s="812"/>
    </row>
    <row r="48763" spans="7:7">
      <c r="G48763" s="812"/>
    </row>
    <row r="48764" spans="7:7">
      <c r="G48764" s="812"/>
    </row>
    <row r="48765" spans="7:7">
      <c r="G48765" s="812"/>
    </row>
    <row r="48766" spans="7:7">
      <c r="G48766" s="812"/>
    </row>
    <row r="48767" spans="7:7">
      <c r="G48767" s="812"/>
    </row>
    <row r="48768" spans="7:7">
      <c r="G48768" s="812"/>
    </row>
    <row r="48769" spans="7:7">
      <c r="G48769" s="812"/>
    </row>
    <row r="48770" spans="7:7">
      <c r="G48770" s="812"/>
    </row>
    <row r="48771" spans="7:7">
      <c r="G48771" s="812"/>
    </row>
    <row r="48772" spans="7:7">
      <c r="G48772" s="812"/>
    </row>
    <row r="48773" spans="7:7">
      <c r="G48773" s="812"/>
    </row>
    <row r="48774" spans="7:7">
      <c r="G48774" s="812"/>
    </row>
    <row r="48775" spans="7:7">
      <c r="G48775" s="812"/>
    </row>
    <row r="48776" spans="7:7">
      <c r="G48776" s="812"/>
    </row>
    <row r="48777" spans="7:7">
      <c r="G48777" s="812"/>
    </row>
    <row r="48778" spans="7:7">
      <c r="G48778" s="812"/>
    </row>
    <row r="48779" spans="7:7">
      <c r="G48779" s="812"/>
    </row>
    <row r="48780" spans="7:7">
      <c r="G48780" s="812"/>
    </row>
    <row r="48781" spans="7:7">
      <c r="G48781" s="812"/>
    </row>
    <row r="48782" spans="7:7">
      <c r="G48782" s="812"/>
    </row>
    <row r="48783" spans="7:7">
      <c r="G48783" s="812"/>
    </row>
    <row r="48784" spans="7:7">
      <c r="G48784" s="812"/>
    </row>
    <row r="48785" spans="7:7">
      <c r="G48785" s="812"/>
    </row>
    <row r="48786" spans="7:7">
      <c r="G48786" s="812"/>
    </row>
    <row r="48787" spans="7:7">
      <c r="G48787" s="812"/>
    </row>
    <row r="48788" spans="7:7">
      <c r="G48788" s="812"/>
    </row>
    <row r="48789" spans="7:7">
      <c r="G48789" s="812"/>
    </row>
    <row r="48790" spans="7:7">
      <c r="G48790" s="812"/>
    </row>
    <row r="48791" spans="7:7">
      <c r="G48791" s="812"/>
    </row>
    <row r="48792" spans="7:7">
      <c r="G48792" s="812"/>
    </row>
    <row r="48793" spans="7:7">
      <c r="G48793" s="812"/>
    </row>
    <row r="48794" spans="7:7">
      <c r="G48794" s="812"/>
    </row>
    <row r="48795" spans="7:7">
      <c r="G48795" s="812"/>
    </row>
    <row r="48796" spans="7:7">
      <c r="G48796" s="812"/>
    </row>
    <row r="48797" spans="7:7">
      <c r="G48797" s="812"/>
    </row>
    <row r="48798" spans="7:7">
      <c r="G48798" s="812"/>
    </row>
    <row r="48799" spans="7:7">
      <c r="G48799" s="812"/>
    </row>
    <row r="48800" spans="7:7">
      <c r="G48800" s="812"/>
    </row>
    <row r="48801" spans="7:7">
      <c r="G48801" s="812"/>
    </row>
    <row r="48802" spans="7:7">
      <c r="G48802" s="812"/>
    </row>
    <row r="48803" spans="7:7">
      <c r="G48803" s="812"/>
    </row>
    <row r="48804" spans="7:7">
      <c r="G48804" s="812"/>
    </row>
    <row r="48805" spans="7:7">
      <c r="G48805" s="812"/>
    </row>
    <row r="48806" spans="7:7">
      <c r="G48806" s="812"/>
    </row>
    <row r="48807" spans="7:7">
      <c r="G48807" s="812"/>
    </row>
    <row r="48808" spans="7:7">
      <c r="G48808" s="812"/>
    </row>
    <row r="48809" spans="7:7">
      <c r="G48809" s="812"/>
    </row>
    <row r="48810" spans="7:7">
      <c r="G48810" s="812"/>
    </row>
    <row r="48811" spans="7:7">
      <c r="G48811" s="812"/>
    </row>
    <row r="48812" spans="7:7">
      <c r="G48812" s="812"/>
    </row>
    <row r="48813" spans="7:7">
      <c r="G48813" s="812"/>
    </row>
    <row r="48814" spans="7:7">
      <c r="G48814" s="812"/>
    </row>
    <row r="48815" spans="7:7">
      <c r="G48815" s="812"/>
    </row>
    <row r="48816" spans="7:7">
      <c r="G48816" s="812"/>
    </row>
    <row r="48817" spans="7:7">
      <c r="G48817" s="812"/>
    </row>
    <row r="48818" spans="7:7">
      <c r="G48818" s="812"/>
    </row>
    <row r="48819" spans="7:7">
      <c r="G48819" s="812"/>
    </row>
    <row r="48820" spans="7:7">
      <c r="G48820" s="812"/>
    </row>
    <row r="48821" spans="7:7">
      <c r="G48821" s="812"/>
    </row>
    <row r="48822" spans="7:7">
      <c r="G48822" s="812"/>
    </row>
    <row r="48823" spans="7:7">
      <c r="G48823" s="812"/>
    </row>
    <row r="48824" spans="7:7">
      <c r="G48824" s="812"/>
    </row>
    <row r="48825" spans="7:7">
      <c r="G48825" s="812"/>
    </row>
    <row r="48826" spans="7:7">
      <c r="G48826" s="812"/>
    </row>
    <row r="48827" spans="7:7">
      <c r="G48827" s="812"/>
    </row>
    <row r="48828" spans="7:7">
      <c r="G48828" s="812"/>
    </row>
    <row r="48829" spans="7:7">
      <c r="G48829" s="812"/>
    </row>
    <row r="48830" spans="7:7">
      <c r="G48830" s="812"/>
    </row>
    <row r="48831" spans="7:7">
      <c r="G48831" s="812"/>
    </row>
    <row r="48832" spans="7:7">
      <c r="G48832" s="812"/>
    </row>
    <row r="48833" spans="7:7">
      <c r="G48833" s="812"/>
    </row>
    <row r="48834" spans="7:7">
      <c r="G48834" s="812"/>
    </row>
    <row r="48835" spans="7:7">
      <c r="G48835" s="812"/>
    </row>
    <row r="48836" spans="7:7">
      <c r="G48836" s="812"/>
    </row>
    <row r="48837" spans="7:7">
      <c r="G48837" s="812"/>
    </row>
    <row r="48838" spans="7:7">
      <c r="G48838" s="812"/>
    </row>
    <row r="48839" spans="7:7">
      <c r="G48839" s="812"/>
    </row>
    <row r="48840" spans="7:7">
      <c r="G48840" s="812"/>
    </row>
    <row r="48841" spans="7:7">
      <c r="G48841" s="812"/>
    </row>
    <row r="48842" spans="7:7">
      <c r="G48842" s="812"/>
    </row>
    <row r="48843" spans="7:7">
      <c r="G48843" s="812"/>
    </row>
    <row r="48844" spans="7:7">
      <c r="G48844" s="812"/>
    </row>
    <row r="48845" spans="7:7">
      <c r="G48845" s="812"/>
    </row>
    <row r="48846" spans="7:7">
      <c r="G48846" s="812"/>
    </row>
    <row r="48847" spans="7:7">
      <c r="G48847" s="812"/>
    </row>
    <row r="48848" spans="7:7">
      <c r="G48848" s="812"/>
    </row>
    <row r="48849" spans="7:7">
      <c r="G48849" s="812"/>
    </row>
    <row r="48850" spans="7:7">
      <c r="G48850" s="812"/>
    </row>
    <row r="48851" spans="7:7">
      <c r="G48851" s="812"/>
    </row>
    <row r="48852" spans="7:7">
      <c r="G48852" s="812"/>
    </row>
    <row r="48853" spans="7:7">
      <c r="G48853" s="812"/>
    </row>
    <row r="48854" spans="7:7">
      <c r="G48854" s="812"/>
    </row>
    <row r="48855" spans="7:7">
      <c r="G48855" s="812"/>
    </row>
    <row r="48856" spans="7:7">
      <c r="G48856" s="812"/>
    </row>
    <row r="48857" spans="7:7">
      <c r="G48857" s="812"/>
    </row>
    <row r="48858" spans="7:7">
      <c r="G48858" s="812"/>
    </row>
    <row r="48859" spans="7:7">
      <c r="G48859" s="812"/>
    </row>
    <row r="48860" spans="7:7">
      <c r="G48860" s="812"/>
    </row>
    <row r="48861" spans="7:7">
      <c r="G48861" s="812"/>
    </row>
    <row r="48862" spans="7:7">
      <c r="G48862" s="812"/>
    </row>
    <row r="48863" spans="7:7">
      <c r="G48863" s="812"/>
    </row>
    <row r="48864" spans="7:7">
      <c r="G48864" s="812"/>
    </row>
    <row r="48865" spans="7:7">
      <c r="G48865" s="812"/>
    </row>
    <row r="48866" spans="7:7">
      <c r="G48866" s="812"/>
    </row>
    <row r="48867" spans="7:7">
      <c r="G48867" s="812"/>
    </row>
    <row r="48868" spans="7:7">
      <c r="G48868" s="812"/>
    </row>
    <row r="48869" spans="7:7">
      <c r="G48869" s="812"/>
    </row>
    <row r="48870" spans="7:7">
      <c r="G48870" s="812"/>
    </row>
    <row r="48871" spans="7:7">
      <c r="G48871" s="812"/>
    </row>
    <row r="48872" spans="7:7">
      <c r="G48872" s="812"/>
    </row>
    <row r="48873" spans="7:7">
      <c r="G48873" s="812"/>
    </row>
    <row r="48874" spans="7:7">
      <c r="G48874" s="812"/>
    </row>
    <row r="48875" spans="7:7">
      <c r="G48875" s="812"/>
    </row>
    <row r="48876" spans="7:7">
      <c r="G48876" s="812"/>
    </row>
    <row r="48877" spans="7:7">
      <c r="G48877" s="812"/>
    </row>
    <row r="48878" spans="7:7">
      <c r="G48878" s="812"/>
    </row>
    <row r="48879" spans="7:7">
      <c r="G48879" s="812"/>
    </row>
    <row r="48880" spans="7:7">
      <c r="G48880" s="812"/>
    </row>
    <row r="48881" spans="7:7">
      <c r="G48881" s="812"/>
    </row>
    <row r="48882" spans="7:7">
      <c r="G48882" s="812"/>
    </row>
    <row r="48883" spans="7:7">
      <c r="G48883" s="812"/>
    </row>
    <row r="48884" spans="7:7">
      <c r="G48884" s="812"/>
    </row>
    <row r="48885" spans="7:7">
      <c r="G48885" s="812"/>
    </row>
    <row r="48886" spans="7:7">
      <c r="G48886" s="812"/>
    </row>
    <row r="48887" spans="7:7">
      <c r="G48887" s="812"/>
    </row>
    <row r="48888" spans="7:7">
      <c r="G48888" s="812"/>
    </row>
    <row r="48889" spans="7:7">
      <c r="G48889" s="812"/>
    </row>
    <row r="48890" spans="7:7">
      <c r="G48890" s="812"/>
    </row>
    <row r="48891" spans="7:7">
      <c r="G48891" s="812"/>
    </row>
    <row r="48892" spans="7:7">
      <c r="G48892" s="812"/>
    </row>
    <row r="48893" spans="7:7">
      <c r="G48893" s="812"/>
    </row>
    <row r="48894" spans="7:7">
      <c r="G48894" s="812"/>
    </row>
    <row r="48895" spans="7:7">
      <c r="G48895" s="812"/>
    </row>
    <row r="48896" spans="7:7">
      <c r="G48896" s="812"/>
    </row>
    <row r="48897" spans="7:7">
      <c r="G48897" s="812"/>
    </row>
    <row r="48898" spans="7:7">
      <c r="G48898" s="812"/>
    </row>
    <row r="48899" spans="7:7">
      <c r="G48899" s="812"/>
    </row>
    <row r="48900" spans="7:7">
      <c r="G48900" s="812"/>
    </row>
    <row r="48901" spans="7:7">
      <c r="G48901" s="812"/>
    </row>
    <row r="48902" spans="7:7">
      <c r="G48902" s="812"/>
    </row>
    <row r="48903" spans="7:7">
      <c r="G48903" s="812"/>
    </row>
    <row r="48904" spans="7:7">
      <c r="G48904" s="812"/>
    </row>
    <row r="48905" spans="7:7">
      <c r="G48905" s="812"/>
    </row>
    <row r="48906" spans="7:7">
      <c r="G48906" s="812"/>
    </row>
    <row r="48907" spans="7:7">
      <c r="G48907" s="812"/>
    </row>
    <row r="48908" spans="7:7">
      <c r="G48908" s="812"/>
    </row>
    <row r="48909" spans="7:7">
      <c r="G48909" s="812"/>
    </row>
    <row r="48910" spans="7:7">
      <c r="G48910" s="812"/>
    </row>
    <row r="48911" spans="7:7">
      <c r="G48911" s="812"/>
    </row>
    <row r="48912" spans="7:7">
      <c r="G48912" s="812"/>
    </row>
    <row r="48913" spans="7:7">
      <c r="G48913" s="812"/>
    </row>
    <row r="48914" spans="7:7">
      <c r="G48914" s="812"/>
    </row>
    <row r="48915" spans="7:7">
      <c r="G48915" s="812"/>
    </row>
    <row r="48916" spans="7:7">
      <c r="G48916" s="812"/>
    </row>
    <row r="48917" spans="7:7">
      <c r="G48917" s="812"/>
    </row>
    <row r="48918" spans="7:7">
      <c r="G48918" s="812"/>
    </row>
    <row r="48919" spans="7:7">
      <c r="G48919" s="812"/>
    </row>
    <row r="48920" spans="7:7">
      <c r="G48920" s="812"/>
    </row>
    <row r="48921" spans="7:7">
      <c r="G48921" s="812"/>
    </row>
    <row r="48922" spans="7:7">
      <c r="G48922" s="812"/>
    </row>
    <row r="48923" spans="7:7">
      <c r="G48923" s="812"/>
    </row>
    <row r="48924" spans="7:7">
      <c r="G48924" s="812"/>
    </row>
    <row r="48925" spans="7:7">
      <c r="G48925" s="812"/>
    </row>
    <row r="48926" spans="7:7">
      <c r="G48926" s="812"/>
    </row>
    <row r="48927" spans="7:7">
      <c r="G48927" s="812"/>
    </row>
    <row r="48928" spans="7:7">
      <c r="G48928" s="812"/>
    </row>
    <row r="48929" spans="7:7">
      <c r="G48929" s="812"/>
    </row>
    <row r="48930" spans="7:7">
      <c r="G48930" s="812"/>
    </row>
    <row r="48931" spans="7:7">
      <c r="G48931" s="812"/>
    </row>
    <row r="48932" spans="7:7">
      <c r="G48932" s="812"/>
    </row>
    <row r="48933" spans="7:7">
      <c r="G48933" s="812"/>
    </row>
    <row r="48934" spans="7:7">
      <c r="G48934" s="812"/>
    </row>
    <row r="48935" spans="7:7">
      <c r="G48935" s="812"/>
    </row>
    <row r="48936" spans="7:7">
      <c r="G48936" s="812"/>
    </row>
    <row r="48937" spans="7:7">
      <c r="G48937" s="812"/>
    </row>
    <row r="48938" spans="7:7">
      <c r="G48938" s="812"/>
    </row>
    <row r="48939" spans="7:7">
      <c r="G48939" s="812"/>
    </row>
    <row r="48940" spans="7:7">
      <c r="G48940" s="812"/>
    </row>
    <row r="48941" spans="7:7">
      <c r="G48941" s="812"/>
    </row>
    <row r="48942" spans="7:7">
      <c r="G48942" s="812"/>
    </row>
    <row r="48943" spans="7:7">
      <c r="G48943" s="812"/>
    </row>
    <row r="48944" spans="7:7">
      <c r="G48944" s="812"/>
    </row>
    <row r="48945" spans="7:7">
      <c r="G48945" s="812"/>
    </row>
    <row r="48946" spans="7:7">
      <c r="G48946" s="812"/>
    </row>
    <row r="48947" spans="7:7">
      <c r="G48947" s="812"/>
    </row>
    <row r="48948" spans="7:7">
      <c r="G48948" s="812"/>
    </row>
    <row r="48949" spans="7:7">
      <c r="G48949" s="812"/>
    </row>
    <row r="48950" spans="7:7">
      <c r="G48950" s="812"/>
    </row>
    <row r="48951" spans="7:7">
      <c r="G48951" s="812"/>
    </row>
    <row r="48952" spans="7:7">
      <c r="G48952" s="812"/>
    </row>
    <row r="48953" spans="7:7">
      <c r="G48953" s="812"/>
    </row>
    <row r="48954" spans="7:7">
      <c r="G48954" s="812"/>
    </row>
    <row r="48955" spans="7:7">
      <c r="G48955" s="812"/>
    </row>
    <row r="48956" spans="7:7">
      <c r="G48956" s="812"/>
    </row>
    <row r="48957" spans="7:7">
      <c r="G48957" s="812"/>
    </row>
    <row r="48958" spans="7:7">
      <c r="G48958" s="812"/>
    </row>
    <row r="48959" spans="7:7">
      <c r="G48959" s="812"/>
    </row>
    <row r="48960" spans="7:7">
      <c r="G48960" s="812"/>
    </row>
    <row r="48961" spans="7:7">
      <c r="G48961" s="812"/>
    </row>
    <row r="48962" spans="7:7">
      <c r="G48962" s="812"/>
    </row>
    <row r="48963" spans="7:7">
      <c r="G48963" s="812"/>
    </row>
    <row r="48964" spans="7:7">
      <c r="G48964" s="812"/>
    </row>
    <row r="48965" spans="7:7">
      <c r="G48965" s="812"/>
    </row>
    <row r="48966" spans="7:7">
      <c r="G48966" s="812"/>
    </row>
    <row r="48967" spans="7:7">
      <c r="G48967" s="812"/>
    </row>
    <row r="48968" spans="7:7">
      <c r="G48968" s="812"/>
    </row>
    <row r="48969" spans="7:7">
      <c r="G48969" s="812"/>
    </row>
    <row r="48970" spans="7:7">
      <c r="G48970" s="812"/>
    </row>
    <row r="48971" spans="7:7">
      <c r="G48971" s="812"/>
    </row>
    <row r="48972" spans="7:7">
      <c r="G48972" s="812"/>
    </row>
    <row r="48973" spans="7:7">
      <c r="G48973" s="812"/>
    </row>
    <row r="48974" spans="7:7">
      <c r="G48974" s="812"/>
    </row>
    <row r="48975" spans="7:7">
      <c r="G48975" s="812"/>
    </row>
    <row r="48976" spans="7:7">
      <c r="G48976" s="812"/>
    </row>
    <row r="48977" spans="7:7">
      <c r="G48977" s="812"/>
    </row>
    <row r="48978" spans="7:7">
      <c r="G48978" s="812"/>
    </row>
    <row r="48979" spans="7:7">
      <c r="G48979" s="812"/>
    </row>
    <row r="48980" spans="7:7">
      <c r="G48980" s="812"/>
    </row>
    <row r="48981" spans="7:7">
      <c r="G48981" s="812"/>
    </row>
    <row r="48982" spans="7:7">
      <c r="G48982" s="812"/>
    </row>
    <row r="48983" spans="7:7">
      <c r="G48983" s="812"/>
    </row>
    <row r="48984" spans="7:7">
      <c r="G48984" s="812"/>
    </row>
    <row r="48985" spans="7:7">
      <c r="G48985" s="812"/>
    </row>
    <row r="48986" spans="7:7">
      <c r="G48986" s="812"/>
    </row>
    <row r="48987" spans="7:7">
      <c r="G48987" s="812"/>
    </row>
    <row r="48988" spans="7:7">
      <c r="G48988" s="812"/>
    </row>
    <row r="48989" spans="7:7">
      <c r="G48989" s="812"/>
    </row>
    <row r="48990" spans="7:7">
      <c r="G48990" s="812"/>
    </row>
    <row r="48991" spans="7:7">
      <c r="G48991" s="812"/>
    </row>
    <row r="48992" spans="7:7">
      <c r="G48992" s="812"/>
    </row>
    <row r="48993" spans="7:7">
      <c r="G48993" s="812"/>
    </row>
    <row r="48994" spans="7:7">
      <c r="G48994" s="812"/>
    </row>
    <row r="48995" spans="7:7">
      <c r="G48995" s="812"/>
    </row>
    <row r="48996" spans="7:7">
      <c r="G48996" s="812"/>
    </row>
    <row r="48997" spans="7:7">
      <c r="G48997" s="812"/>
    </row>
    <row r="48998" spans="7:7">
      <c r="G48998" s="812"/>
    </row>
    <row r="48999" spans="7:7">
      <c r="G48999" s="812"/>
    </row>
    <row r="49000" spans="7:7">
      <c r="G49000" s="812"/>
    </row>
    <row r="49001" spans="7:7">
      <c r="G49001" s="812"/>
    </row>
    <row r="49002" spans="7:7">
      <c r="G49002" s="812"/>
    </row>
    <row r="49003" spans="7:7">
      <c r="G49003" s="812"/>
    </row>
    <row r="49004" spans="7:7">
      <c r="G49004" s="812"/>
    </row>
    <row r="49005" spans="7:7">
      <c r="G49005" s="812"/>
    </row>
    <row r="49006" spans="7:7">
      <c r="G49006" s="812"/>
    </row>
    <row r="49007" spans="7:7">
      <c r="G49007" s="812"/>
    </row>
    <row r="49008" spans="7:7">
      <c r="G49008" s="812"/>
    </row>
    <row r="49009" spans="7:7">
      <c r="G49009" s="812"/>
    </row>
    <row r="49010" spans="7:7">
      <c r="G49010" s="812"/>
    </row>
    <row r="49011" spans="7:7">
      <c r="G49011" s="812"/>
    </row>
    <row r="49012" spans="7:7">
      <c r="G49012" s="812"/>
    </row>
    <row r="49013" spans="7:7">
      <c r="G49013" s="812"/>
    </row>
    <row r="49014" spans="7:7">
      <c r="G49014" s="812"/>
    </row>
    <row r="49015" spans="7:7">
      <c r="G49015" s="812"/>
    </row>
    <row r="49016" spans="7:7">
      <c r="G49016" s="812"/>
    </row>
    <row r="49017" spans="7:7">
      <c r="G49017" s="812"/>
    </row>
    <row r="49018" spans="7:7">
      <c r="G49018" s="812"/>
    </row>
    <row r="49019" spans="7:7">
      <c r="G49019" s="812"/>
    </row>
    <row r="49020" spans="7:7">
      <c r="G49020" s="812"/>
    </row>
    <row r="49021" spans="7:7">
      <c r="G49021" s="812"/>
    </row>
    <row r="49022" spans="7:7">
      <c r="G49022" s="812"/>
    </row>
    <row r="49023" spans="7:7">
      <c r="G49023" s="812"/>
    </row>
    <row r="49024" spans="7:7">
      <c r="G49024" s="812"/>
    </row>
    <row r="49025" spans="7:7">
      <c r="G49025" s="812"/>
    </row>
    <row r="49026" spans="7:7">
      <c r="G49026" s="812"/>
    </row>
    <row r="49027" spans="7:7">
      <c r="G49027" s="812"/>
    </row>
    <row r="49028" spans="7:7">
      <c r="G49028" s="812"/>
    </row>
    <row r="49029" spans="7:7">
      <c r="G49029" s="812"/>
    </row>
    <row r="49030" spans="7:7">
      <c r="G49030" s="812"/>
    </row>
    <row r="49031" spans="7:7">
      <c r="G49031" s="812"/>
    </row>
    <row r="49032" spans="7:7">
      <c r="G49032" s="812"/>
    </row>
    <row r="49033" spans="7:7">
      <c r="G49033" s="812"/>
    </row>
    <row r="49034" spans="7:7">
      <c r="G49034" s="812"/>
    </row>
    <row r="49035" spans="7:7">
      <c r="G49035" s="812"/>
    </row>
    <row r="49036" spans="7:7">
      <c r="G49036" s="812"/>
    </row>
    <row r="49037" spans="7:7">
      <c r="G49037" s="812"/>
    </row>
    <row r="49038" spans="7:7">
      <c r="G49038" s="812"/>
    </row>
    <row r="49039" spans="7:7">
      <c r="G49039" s="812"/>
    </row>
    <row r="49040" spans="7:7">
      <c r="G49040" s="812"/>
    </row>
    <row r="49041" spans="7:7">
      <c r="G49041" s="812"/>
    </row>
    <row r="49042" spans="7:7">
      <c r="G49042" s="812"/>
    </row>
    <row r="49043" spans="7:7">
      <c r="G49043" s="812"/>
    </row>
    <row r="49044" spans="7:7">
      <c r="G49044" s="812"/>
    </row>
    <row r="49045" spans="7:7">
      <c r="G49045" s="812"/>
    </row>
    <row r="49046" spans="7:7">
      <c r="G49046" s="812"/>
    </row>
    <row r="49047" spans="7:7">
      <c r="G49047" s="812"/>
    </row>
    <row r="49048" spans="7:7">
      <c r="G49048" s="812"/>
    </row>
    <row r="49049" spans="7:7">
      <c r="G49049" s="812"/>
    </row>
    <row r="49050" spans="7:7">
      <c r="G49050" s="812"/>
    </row>
    <row r="49051" spans="7:7">
      <c r="G49051" s="812"/>
    </row>
    <row r="49052" spans="7:7">
      <c r="G49052" s="812"/>
    </row>
    <row r="49053" spans="7:7">
      <c r="G49053" s="812"/>
    </row>
    <row r="49054" spans="7:7">
      <c r="G49054" s="812"/>
    </row>
    <row r="49055" spans="7:7">
      <c r="G49055" s="812"/>
    </row>
    <row r="49056" spans="7:7">
      <c r="G49056" s="812"/>
    </row>
    <row r="49057" spans="7:7">
      <c r="G49057" s="812"/>
    </row>
    <row r="49058" spans="7:7">
      <c r="G49058" s="812"/>
    </row>
    <row r="49059" spans="7:7">
      <c r="G49059" s="812"/>
    </row>
    <row r="49060" spans="7:7">
      <c r="G49060" s="812"/>
    </row>
    <row r="49061" spans="7:7">
      <c r="G49061" s="812"/>
    </row>
    <row r="49062" spans="7:7">
      <c r="G49062" s="812"/>
    </row>
    <row r="49063" spans="7:7">
      <c r="G49063" s="812"/>
    </row>
    <row r="49064" spans="7:7">
      <c r="G49064" s="812"/>
    </row>
    <row r="49065" spans="7:7">
      <c r="G49065" s="812"/>
    </row>
    <row r="49066" spans="7:7">
      <c r="G49066" s="812"/>
    </row>
    <row r="49067" spans="7:7">
      <c r="G49067" s="812"/>
    </row>
    <row r="49068" spans="7:7">
      <c r="G49068" s="812"/>
    </row>
    <row r="49069" spans="7:7">
      <c r="G49069" s="812"/>
    </row>
    <row r="49070" spans="7:7">
      <c r="G49070" s="812"/>
    </row>
    <row r="49071" spans="7:7">
      <c r="G49071" s="812"/>
    </row>
    <row r="49072" spans="7:7">
      <c r="G49072" s="812"/>
    </row>
    <row r="49073" spans="7:7">
      <c r="G49073" s="812"/>
    </row>
    <row r="49074" spans="7:7">
      <c r="G49074" s="812"/>
    </row>
    <row r="49075" spans="7:7">
      <c r="G49075" s="812"/>
    </row>
    <row r="49076" spans="7:7">
      <c r="G49076" s="812"/>
    </row>
    <row r="49077" spans="7:7">
      <c r="G49077" s="812"/>
    </row>
    <row r="49078" spans="7:7">
      <c r="G49078" s="812"/>
    </row>
    <row r="49079" spans="7:7">
      <c r="G49079" s="812"/>
    </row>
    <row r="49080" spans="7:7">
      <c r="G49080" s="812"/>
    </row>
    <row r="49081" spans="7:7">
      <c r="G49081" s="812"/>
    </row>
    <row r="49082" spans="7:7">
      <c r="G49082" s="812"/>
    </row>
    <row r="49083" spans="7:7">
      <c r="G49083" s="812"/>
    </row>
    <row r="49084" spans="7:7">
      <c r="G49084" s="812"/>
    </row>
    <row r="49085" spans="7:7">
      <c r="G49085" s="812"/>
    </row>
    <row r="49086" spans="7:7">
      <c r="G49086" s="812"/>
    </row>
    <row r="49087" spans="7:7">
      <c r="G49087" s="812"/>
    </row>
    <row r="49088" spans="7:7">
      <c r="G49088" s="812"/>
    </row>
    <row r="49089" spans="7:7">
      <c r="G49089" s="812"/>
    </row>
    <row r="49090" spans="7:7">
      <c r="G49090" s="812"/>
    </row>
    <row r="49091" spans="7:7">
      <c r="G49091" s="812"/>
    </row>
    <row r="49092" spans="7:7">
      <c r="G49092" s="812"/>
    </row>
    <row r="49093" spans="7:7">
      <c r="G49093" s="812"/>
    </row>
    <row r="49094" spans="7:7">
      <c r="G49094" s="812"/>
    </row>
    <row r="49095" spans="7:7">
      <c r="G49095" s="812"/>
    </row>
    <row r="49096" spans="7:7">
      <c r="G49096" s="812"/>
    </row>
    <row r="49097" spans="7:7">
      <c r="G49097" s="812"/>
    </row>
    <row r="49098" spans="7:7">
      <c r="G49098" s="812"/>
    </row>
    <row r="49099" spans="7:7">
      <c r="G49099" s="812"/>
    </row>
    <row r="49100" spans="7:7">
      <c r="G49100" s="812"/>
    </row>
    <row r="49101" spans="7:7">
      <c r="G49101" s="812"/>
    </row>
    <row r="49102" spans="7:7">
      <c r="G49102" s="812"/>
    </row>
    <row r="49103" spans="7:7">
      <c r="G49103" s="812"/>
    </row>
    <row r="49104" spans="7:7">
      <c r="G49104" s="812"/>
    </row>
    <row r="49105" spans="7:7">
      <c r="G49105" s="812"/>
    </row>
    <row r="49106" spans="7:7">
      <c r="G49106" s="812"/>
    </row>
    <row r="49107" spans="7:7">
      <c r="G49107" s="812"/>
    </row>
    <row r="49108" spans="7:7">
      <c r="G49108" s="812"/>
    </row>
    <row r="49109" spans="7:7">
      <c r="G49109" s="812"/>
    </row>
    <row r="49110" spans="7:7">
      <c r="G49110" s="812"/>
    </row>
    <row r="49111" spans="7:7">
      <c r="G49111" s="812"/>
    </row>
    <row r="49112" spans="7:7">
      <c r="G49112" s="812"/>
    </row>
    <row r="49113" spans="7:7">
      <c r="G49113" s="812"/>
    </row>
    <row r="49114" spans="7:7">
      <c r="G49114" s="812"/>
    </row>
    <row r="49115" spans="7:7">
      <c r="G49115" s="812"/>
    </row>
    <row r="49116" spans="7:7">
      <c r="G49116" s="812"/>
    </row>
    <row r="49117" spans="7:7">
      <c r="G49117" s="812"/>
    </row>
    <row r="49118" spans="7:7">
      <c r="G49118" s="812"/>
    </row>
    <row r="49119" spans="7:7">
      <c r="G49119" s="812"/>
    </row>
    <row r="49120" spans="7:7">
      <c r="G49120" s="812"/>
    </row>
    <row r="49121" spans="7:7">
      <c r="G49121" s="812"/>
    </row>
    <row r="49122" spans="7:7">
      <c r="G49122" s="812"/>
    </row>
    <row r="49123" spans="7:7">
      <c r="G49123" s="812"/>
    </row>
    <row r="49124" spans="7:7">
      <c r="G49124" s="812"/>
    </row>
    <row r="49125" spans="7:7">
      <c r="G49125" s="812"/>
    </row>
    <row r="49126" spans="7:7">
      <c r="G49126" s="812"/>
    </row>
    <row r="49127" spans="7:7">
      <c r="G49127" s="812"/>
    </row>
    <row r="49128" spans="7:7">
      <c r="G49128" s="812"/>
    </row>
    <row r="49129" spans="7:7">
      <c r="G49129" s="812"/>
    </row>
    <row r="49130" spans="7:7">
      <c r="G49130" s="812"/>
    </row>
    <row r="49131" spans="7:7">
      <c r="G49131" s="812"/>
    </row>
    <row r="49132" spans="7:7">
      <c r="G49132" s="812"/>
    </row>
    <row r="49133" spans="7:7">
      <c r="G49133" s="812"/>
    </row>
    <row r="49134" spans="7:7">
      <c r="G49134" s="812"/>
    </row>
    <row r="49135" spans="7:7">
      <c r="G49135" s="812"/>
    </row>
    <row r="49136" spans="7:7">
      <c r="G49136" s="812"/>
    </row>
    <row r="49137" spans="7:7">
      <c r="G49137" s="812"/>
    </row>
    <row r="49138" spans="7:7">
      <c r="G49138" s="812"/>
    </row>
    <row r="49139" spans="7:7">
      <c r="G49139" s="812"/>
    </row>
    <row r="49140" spans="7:7">
      <c r="G49140" s="812"/>
    </row>
    <row r="49141" spans="7:7">
      <c r="G49141" s="812"/>
    </row>
    <row r="49142" spans="7:7">
      <c r="G49142" s="812"/>
    </row>
    <row r="49143" spans="7:7">
      <c r="G49143" s="812"/>
    </row>
    <row r="49144" spans="7:7">
      <c r="G49144" s="812"/>
    </row>
    <row r="49145" spans="7:7">
      <c r="G49145" s="812"/>
    </row>
    <row r="49146" spans="7:7">
      <c r="G49146" s="812"/>
    </row>
    <row r="49147" spans="7:7">
      <c r="G49147" s="812"/>
    </row>
    <row r="49148" spans="7:7">
      <c r="G49148" s="812"/>
    </row>
    <row r="49149" spans="7:7">
      <c r="G49149" s="812"/>
    </row>
    <row r="49150" spans="7:7">
      <c r="G49150" s="812"/>
    </row>
    <row r="49151" spans="7:7">
      <c r="G49151" s="812"/>
    </row>
    <row r="49152" spans="7:7">
      <c r="G49152" s="812"/>
    </row>
    <row r="49153" spans="7:7">
      <c r="G49153" s="812"/>
    </row>
    <row r="49154" spans="7:7">
      <c r="G49154" s="812"/>
    </row>
    <row r="49155" spans="7:7">
      <c r="G49155" s="812"/>
    </row>
    <row r="49156" spans="7:7">
      <c r="G49156" s="812"/>
    </row>
    <row r="49157" spans="7:7">
      <c r="G49157" s="812"/>
    </row>
    <row r="49158" spans="7:7">
      <c r="G49158" s="812"/>
    </row>
    <row r="49159" spans="7:7">
      <c r="G49159" s="812"/>
    </row>
    <row r="49160" spans="7:7">
      <c r="G49160" s="812"/>
    </row>
    <row r="49161" spans="7:7">
      <c r="G49161" s="812"/>
    </row>
    <row r="49162" spans="7:7">
      <c r="G49162" s="812"/>
    </row>
    <row r="49163" spans="7:7">
      <c r="G49163" s="812"/>
    </row>
    <row r="49164" spans="7:7">
      <c r="G49164" s="812"/>
    </row>
    <row r="49165" spans="7:7">
      <c r="G49165" s="812"/>
    </row>
    <row r="49166" spans="7:7">
      <c r="G49166" s="812"/>
    </row>
    <row r="49167" spans="7:7">
      <c r="G49167" s="812"/>
    </row>
    <row r="49168" spans="7:7">
      <c r="G49168" s="812"/>
    </row>
    <row r="49169" spans="7:7">
      <c r="G49169" s="812"/>
    </row>
    <row r="49170" spans="7:7">
      <c r="G49170" s="812"/>
    </row>
    <row r="49171" spans="7:7">
      <c r="G49171" s="812"/>
    </row>
    <row r="49172" spans="7:7">
      <c r="G49172" s="812"/>
    </row>
    <row r="49173" spans="7:7">
      <c r="G49173" s="812"/>
    </row>
    <row r="49174" spans="7:7">
      <c r="G49174" s="812"/>
    </row>
    <row r="49175" spans="7:7">
      <c r="G49175" s="812"/>
    </row>
    <row r="49176" spans="7:7">
      <c r="G49176" s="812"/>
    </row>
    <row r="49177" spans="7:7">
      <c r="G49177" s="812"/>
    </row>
    <row r="49178" spans="7:7">
      <c r="G49178" s="812"/>
    </row>
    <row r="49179" spans="7:7">
      <c r="G49179" s="812"/>
    </row>
    <row r="49180" spans="7:7">
      <c r="G49180" s="812"/>
    </row>
    <row r="49181" spans="7:7">
      <c r="G49181" s="812"/>
    </row>
    <row r="49182" spans="7:7">
      <c r="G49182" s="812"/>
    </row>
    <row r="49183" spans="7:7">
      <c r="G49183" s="812"/>
    </row>
    <row r="49184" spans="7:7">
      <c r="G49184" s="812"/>
    </row>
    <row r="49185" spans="7:7">
      <c r="G49185" s="812"/>
    </row>
    <row r="49186" spans="7:7">
      <c r="G49186" s="812"/>
    </row>
    <row r="49187" spans="7:7">
      <c r="G49187" s="812"/>
    </row>
    <row r="49188" spans="7:7">
      <c r="G49188" s="812"/>
    </row>
    <row r="49189" spans="7:7">
      <c r="G49189" s="812"/>
    </row>
    <row r="49190" spans="7:7">
      <c r="G49190" s="812"/>
    </row>
    <row r="49191" spans="7:7">
      <c r="G49191" s="812"/>
    </row>
    <row r="49192" spans="7:7">
      <c r="G49192" s="812"/>
    </row>
    <row r="49193" spans="7:7">
      <c r="G49193" s="812"/>
    </row>
    <row r="49194" spans="7:7">
      <c r="G49194" s="812"/>
    </row>
    <row r="49195" spans="7:7">
      <c r="G49195" s="812"/>
    </row>
    <row r="49196" spans="7:7">
      <c r="G49196" s="812"/>
    </row>
    <row r="49197" spans="7:7">
      <c r="G49197" s="812"/>
    </row>
    <row r="49198" spans="7:7">
      <c r="G49198" s="812"/>
    </row>
    <row r="49199" spans="7:7">
      <c r="G49199" s="812"/>
    </row>
    <row r="49200" spans="7:7">
      <c r="G49200" s="812"/>
    </row>
    <row r="49201" spans="7:7">
      <c r="G49201" s="812"/>
    </row>
    <row r="49202" spans="7:7">
      <c r="G49202" s="812"/>
    </row>
    <row r="49203" spans="7:7">
      <c r="G49203" s="812"/>
    </row>
    <row r="49204" spans="7:7">
      <c r="G49204" s="812"/>
    </row>
    <row r="49205" spans="7:7">
      <c r="G49205" s="812"/>
    </row>
    <row r="49206" spans="7:7">
      <c r="G49206" s="812"/>
    </row>
    <row r="49207" spans="7:7">
      <c r="G49207" s="812"/>
    </row>
    <row r="49208" spans="7:7">
      <c r="G49208" s="812"/>
    </row>
    <row r="49209" spans="7:7">
      <c r="G49209" s="812"/>
    </row>
    <row r="49210" spans="7:7">
      <c r="G49210" s="812"/>
    </row>
    <row r="49211" spans="7:7">
      <c r="G49211" s="812"/>
    </row>
    <row r="49212" spans="7:7">
      <c r="G49212" s="812"/>
    </row>
    <row r="49213" spans="7:7">
      <c r="G49213" s="812"/>
    </row>
    <row r="49214" spans="7:7">
      <c r="G49214" s="812"/>
    </row>
    <row r="49215" spans="7:7">
      <c r="G49215" s="812"/>
    </row>
    <row r="49216" spans="7:7">
      <c r="G49216" s="812"/>
    </row>
    <row r="49217" spans="7:7">
      <c r="G49217" s="812"/>
    </row>
    <row r="49218" spans="7:7">
      <c r="G49218" s="812"/>
    </row>
    <row r="49219" spans="7:7">
      <c r="G49219" s="812"/>
    </row>
    <row r="49220" spans="7:7">
      <c r="G49220" s="812"/>
    </row>
    <row r="49221" spans="7:7">
      <c r="G49221" s="812"/>
    </row>
    <row r="49222" spans="7:7">
      <c r="G49222" s="812"/>
    </row>
    <row r="49223" spans="7:7">
      <c r="G49223" s="812"/>
    </row>
    <row r="49224" spans="7:7">
      <c r="G49224" s="812"/>
    </row>
    <row r="49225" spans="7:7">
      <c r="G49225" s="812"/>
    </row>
    <row r="49226" spans="7:7">
      <c r="G49226" s="812"/>
    </row>
    <row r="49227" spans="7:7">
      <c r="G49227" s="812"/>
    </row>
    <row r="49228" spans="7:7">
      <c r="G49228" s="812"/>
    </row>
    <row r="49229" spans="7:7">
      <c r="G49229" s="812"/>
    </row>
    <row r="49230" spans="7:7">
      <c r="G49230" s="812"/>
    </row>
    <row r="49231" spans="7:7">
      <c r="G49231" s="812"/>
    </row>
    <row r="49232" spans="7:7">
      <c r="G49232" s="812"/>
    </row>
    <row r="49233" spans="7:7">
      <c r="G49233" s="812"/>
    </row>
    <row r="49234" spans="7:7">
      <c r="G49234" s="812"/>
    </row>
    <row r="49235" spans="7:7">
      <c r="G49235" s="812"/>
    </row>
    <row r="49236" spans="7:7">
      <c r="G49236" s="812"/>
    </row>
    <row r="49237" spans="7:7">
      <c r="G49237" s="812"/>
    </row>
    <row r="49238" spans="7:7">
      <c r="G49238" s="812"/>
    </row>
    <row r="49239" spans="7:7">
      <c r="G49239" s="812"/>
    </row>
    <row r="49240" spans="7:7">
      <c r="G49240" s="812"/>
    </row>
    <row r="49241" spans="7:7">
      <c r="G49241" s="812"/>
    </row>
    <row r="49242" spans="7:7">
      <c r="G49242" s="812"/>
    </row>
    <row r="49243" spans="7:7">
      <c r="G49243" s="812"/>
    </row>
    <row r="49244" spans="7:7">
      <c r="G49244" s="812"/>
    </row>
    <row r="49245" spans="7:7">
      <c r="G49245" s="812"/>
    </row>
    <row r="49246" spans="7:7">
      <c r="G49246" s="812"/>
    </row>
    <row r="49247" spans="7:7">
      <c r="G49247" s="812"/>
    </row>
    <row r="49248" spans="7:7">
      <c r="G49248" s="812"/>
    </row>
    <row r="49249" spans="7:7">
      <c r="G49249" s="812"/>
    </row>
    <row r="49250" spans="7:7">
      <c r="G49250" s="812"/>
    </row>
    <row r="49251" spans="7:7">
      <c r="G49251" s="812"/>
    </row>
    <row r="49252" spans="7:7">
      <c r="G49252" s="812"/>
    </row>
    <row r="49253" spans="7:7">
      <c r="G49253" s="812"/>
    </row>
    <row r="49254" spans="7:7">
      <c r="G49254" s="812"/>
    </row>
    <row r="49255" spans="7:7">
      <c r="G49255" s="812"/>
    </row>
    <row r="49256" spans="7:7">
      <c r="G49256" s="812"/>
    </row>
    <row r="49257" spans="7:7">
      <c r="G49257" s="812"/>
    </row>
    <row r="49258" spans="7:7">
      <c r="G49258" s="812"/>
    </row>
    <row r="49259" spans="7:7">
      <c r="G49259" s="812"/>
    </row>
    <row r="49260" spans="7:7">
      <c r="G49260" s="812"/>
    </row>
    <row r="49261" spans="7:7">
      <c r="G49261" s="812"/>
    </row>
    <row r="49262" spans="7:7">
      <c r="G49262" s="812"/>
    </row>
    <row r="49263" spans="7:7">
      <c r="G49263" s="812"/>
    </row>
    <row r="49264" spans="7:7">
      <c r="G49264" s="812"/>
    </row>
    <row r="49265" spans="7:7">
      <c r="G49265" s="812"/>
    </row>
    <row r="49266" spans="7:7">
      <c r="G49266" s="812"/>
    </row>
    <row r="49267" spans="7:7">
      <c r="G49267" s="812"/>
    </row>
    <row r="49268" spans="7:7">
      <c r="G49268" s="812"/>
    </row>
    <row r="49269" spans="7:7">
      <c r="G49269" s="812"/>
    </row>
    <row r="49270" spans="7:7">
      <c r="G49270" s="812"/>
    </row>
    <row r="49271" spans="7:7">
      <c r="G49271" s="812"/>
    </row>
    <row r="49272" spans="7:7">
      <c r="G49272" s="812"/>
    </row>
    <row r="49273" spans="7:7">
      <c r="G49273" s="812"/>
    </row>
    <row r="49274" spans="7:7">
      <c r="G49274" s="812"/>
    </row>
    <row r="49275" spans="7:7">
      <c r="G49275" s="812"/>
    </row>
    <row r="49276" spans="7:7">
      <c r="G49276" s="812"/>
    </row>
    <row r="49277" spans="7:7">
      <c r="G49277" s="812"/>
    </row>
    <row r="49278" spans="7:7">
      <c r="G49278" s="812"/>
    </row>
    <row r="49279" spans="7:7">
      <c r="G49279" s="812"/>
    </row>
    <row r="49280" spans="7:7">
      <c r="G49280" s="812"/>
    </row>
    <row r="49281" spans="7:7">
      <c r="G49281" s="812"/>
    </row>
    <row r="49282" spans="7:7">
      <c r="G49282" s="812"/>
    </row>
    <row r="49283" spans="7:7">
      <c r="G49283" s="812"/>
    </row>
    <row r="49284" spans="7:7">
      <c r="G49284" s="812"/>
    </row>
    <row r="49285" spans="7:7">
      <c r="G49285" s="812"/>
    </row>
    <row r="49286" spans="7:7">
      <c r="G49286" s="812"/>
    </row>
    <row r="49287" spans="7:7">
      <c r="G49287" s="812"/>
    </row>
    <row r="49288" spans="7:7">
      <c r="G49288" s="812"/>
    </row>
    <row r="49289" spans="7:7">
      <c r="G49289" s="812"/>
    </row>
    <row r="49290" spans="7:7">
      <c r="G49290" s="812"/>
    </row>
    <row r="49291" spans="7:7">
      <c r="G49291" s="812"/>
    </row>
    <row r="49292" spans="7:7">
      <c r="G49292" s="812"/>
    </row>
    <row r="49293" spans="7:7">
      <c r="G49293" s="812"/>
    </row>
    <row r="49294" spans="7:7">
      <c r="G49294" s="812"/>
    </row>
    <row r="49295" spans="7:7">
      <c r="G49295" s="812"/>
    </row>
    <row r="49296" spans="7:7">
      <c r="G49296" s="812"/>
    </row>
    <row r="49297" spans="7:7">
      <c r="G49297" s="812"/>
    </row>
    <row r="49298" spans="7:7">
      <c r="G49298" s="812"/>
    </row>
    <row r="49299" spans="7:7">
      <c r="G49299" s="812"/>
    </row>
    <row r="49300" spans="7:7">
      <c r="G49300" s="812"/>
    </row>
    <row r="49301" spans="7:7">
      <c r="G49301" s="812"/>
    </row>
    <row r="49302" spans="7:7">
      <c r="G49302" s="812"/>
    </row>
    <row r="49303" spans="7:7">
      <c r="G49303" s="812"/>
    </row>
    <row r="49304" spans="7:7">
      <c r="G49304" s="812"/>
    </row>
    <row r="49305" spans="7:7">
      <c r="G49305" s="812"/>
    </row>
    <row r="49306" spans="7:7">
      <c r="G49306" s="812"/>
    </row>
    <row r="49307" spans="7:7">
      <c r="G49307" s="812"/>
    </row>
    <row r="49308" spans="7:7">
      <c r="G49308" s="812"/>
    </row>
    <row r="49309" spans="7:7">
      <c r="G49309" s="812"/>
    </row>
    <row r="49310" spans="7:7">
      <c r="G49310" s="812"/>
    </row>
    <row r="49311" spans="7:7">
      <c r="G49311" s="812"/>
    </row>
    <row r="49312" spans="7:7">
      <c r="G49312" s="812"/>
    </row>
    <row r="49313" spans="7:7">
      <c r="G49313" s="812"/>
    </row>
    <row r="49314" spans="7:7">
      <c r="G49314" s="812"/>
    </row>
    <row r="49315" spans="7:7">
      <c r="G49315" s="812"/>
    </row>
    <row r="49316" spans="7:7">
      <c r="G49316" s="812"/>
    </row>
    <row r="49317" spans="7:7">
      <c r="G49317" s="812"/>
    </row>
    <row r="49318" spans="7:7">
      <c r="G49318" s="812"/>
    </row>
    <row r="49319" spans="7:7">
      <c r="G49319" s="812"/>
    </row>
    <row r="49320" spans="7:7">
      <c r="G49320" s="812"/>
    </row>
    <row r="49321" spans="7:7">
      <c r="G49321" s="812"/>
    </row>
    <row r="49322" spans="7:7">
      <c r="G49322" s="812"/>
    </row>
    <row r="49323" spans="7:7">
      <c r="G49323" s="812"/>
    </row>
    <row r="49324" spans="7:7">
      <c r="G49324" s="812"/>
    </row>
    <row r="49325" spans="7:7">
      <c r="G49325" s="812"/>
    </row>
    <row r="49326" spans="7:7">
      <c r="G49326" s="812"/>
    </row>
    <row r="49327" spans="7:7">
      <c r="G49327" s="812"/>
    </row>
    <row r="49328" spans="7:7">
      <c r="G49328" s="812"/>
    </row>
    <row r="49329" spans="7:7">
      <c r="G49329" s="812"/>
    </row>
    <row r="49330" spans="7:7">
      <c r="G49330" s="812"/>
    </row>
    <row r="49331" spans="7:7">
      <c r="G49331" s="812"/>
    </row>
    <row r="49332" spans="7:7">
      <c r="G49332" s="812"/>
    </row>
    <row r="49333" spans="7:7">
      <c r="G49333" s="812"/>
    </row>
    <row r="49334" spans="7:7">
      <c r="G49334" s="812"/>
    </row>
    <row r="49335" spans="7:7">
      <c r="G49335" s="812"/>
    </row>
    <row r="49336" spans="7:7">
      <c r="G49336" s="812"/>
    </row>
    <row r="49337" spans="7:7">
      <c r="G49337" s="812"/>
    </row>
    <row r="49338" spans="7:7">
      <c r="G49338" s="812"/>
    </row>
    <row r="49339" spans="7:7">
      <c r="G49339" s="812"/>
    </row>
    <row r="49340" spans="7:7">
      <c r="G49340" s="812"/>
    </row>
    <row r="49341" spans="7:7">
      <c r="G49341" s="812"/>
    </row>
    <row r="49342" spans="7:7">
      <c r="G49342" s="812"/>
    </row>
    <row r="49343" spans="7:7">
      <c r="G49343" s="812"/>
    </row>
    <row r="49344" spans="7:7">
      <c r="G49344" s="812"/>
    </row>
    <row r="49345" spans="7:7">
      <c r="G49345" s="812"/>
    </row>
    <row r="49346" spans="7:7">
      <c r="G49346" s="812"/>
    </row>
    <row r="49347" spans="7:7">
      <c r="G49347" s="812"/>
    </row>
    <row r="49348" spans="7:7">
      <c r="G49348" s="812"/>
    </row>
    <row r="49349" spans="7:7">
      <c r="G49349" s="812"/>
    </row>
    <row r="49350" spans="7:7">
      <c r="G49350" s="812"/>
    </row>
    <row r="49351" spans="7:7">
      <c r="G49351" s="812"/>
    </row>
    <row r="49352" spans="7:7">
      <c r="G49352" s="812"/>
    </row>
    <row r="49353" spans="7:7">
      <c r="G49353" s="812"/>
    </row>
    <row r="49354" spans="7:7">
      <c r="G49354" s="812"/>
    </row>
    <row r="49355" spans="7:7">
      <c r="G49355" s="812"/>
    </row>
    <row r="49356" spans="7:7">
      <c r="G49356" s="812"/>
    </row>
    <row r="49357" spans="7:7">
      <c r="G49357" s="812"/>
    </row>
    <row r="49358" spans="7:7">
      <c r="G49358" s="812"/>
    </row>
    <row r="49359" spans="7:7">
      <c r="G49359" s="812"/>
    </row>
    <row r="49360" spans="7:7">
      <c r="G49360" s="812"/>
    </row>
    <row r="49361" spans="7:7">
      <c r="G49361" s="812"/>
    </row>
    <row r="49362" spans="7:7">
      <c r="G49362" s="812"/>
    </row>
    <row r="49363" spans="7:7">
      <c r="G49363" s="812"/>
    </row>
    <row r="49364" spans="7:7">
      <c r="G49364" s="812"/>
    </row>
    <row r="49365" spans="7:7">
      <c r="G49365" s="812"/>
    </row>
    <row r="49366" spans="7:7">
      <c r="G49366" s="812"/>
    </row>
    <row r="49367" spans="7:7">
      <c r="G49367" s="812"/>
    </row>
    <row r="49368" spans="7:7">
      <c r="G49368" s="812"/>
    </row>
    <row r="49369" spans="7:7">
      <c r="G49369" s="812"/>
    </row>
    <row r="49370" spans="7:7">
      <c r="G49370" s="812"/>
    </row>
    <row r="49371" spans="7:7">
      <c r="G49371" s="812"/>
    </row>
    <row r="49372" spans="7:7">
      <c r="G49372" s="812"/>
    </row>
    <row r="49373" spans="7:7">
      <c r="G49373" s="812"/>
    </row>
    <row r="49374" spans="7:7">
      <c r="G49374" s="812"/>
    </row>
    <row r="49375" spans="7:7">
      <c r="G49375" s="812"/>
    </row>
    <row r="49376" spans="7:7">
      <c r="G49376" s="812"/>
    </row>
    <row r="49377" spans="7:7">
      <c r="G49377" s="812"/>
    </row>
    <row r="49378" spans="7:7">
      <c r="G49378" s="812"/>
    </row>
    <row r="49379" spans="7:7">
      <c r="G49379" s="812"/>
    </row>
    <row r="49380" spans="7:7">
      <c r="G49380" s="812"/>
    </row>
    <row r="49381" spans="7:7">
      <c r="G49381" s="812"/>
    </row>
    <row r="49382" spans="7:7">
      <c r="G49382" s="812"/>
    </row>
    <row r="49383" spans="7:7">
      <c r="G49383" s="812"/>
    </row>
    <row r="49384" spans="7:7">
      <c r="G49384" s="812"/>
    </row>
    <row r="49385" spans="7:7">
      <c r="G49385" s="812"/>
    </row>
    <row r="49386" spans="7:7">
      <c r="G49386" s="812"/>
    </row>
    <row r="49387" spans="7:7">
      <c r="G49387" s="812"/>
    </row>
    <row r="49388" spans="7:7">
      <c r="G49388" s="812"/>
    </row>
    <row r="49389" spans="7:7">
      <c r="G49389" s="812"/>
    </row>
    <row r="49390" spans="7:7">
      <c r="G49390" s="812"/>
    </row>
    <row r="49391" spans="7:7">
      <c r="G49391" s="812"/>
    </row>
    <row r="49392" spans="7:7">
      <c r="G49392" s="812"/>
    </row>
    <row r="49393" spans="7:7">
      <c r="G49393" s="812"/>
    </row>
    <row r="49394" spans="7:7">
      <c r="G49394" s="812"/>
    </row>
    <row r="49395" spans="7:7">
      <c r="G49395" s="812"/>
    </row>
    <row r="49396" spans="7:7">
      <c r="G49396" s="812"/>
    </row>
    <row r="49397" spans="7:7">
      <c r="G49397" s="812"/>
    </row>
    <row r="49398" spans="7:7">
      <c r="G49398" s="812"/>
    </row>
    <row r="49399" spans="7:7">
      <c r="G49399" s="812"/>
    </row>
    <row r="49400" spans="7:7">
      <c r="G49400" s="812"/>
    </row>
    <row r="49401" spans="7:7">
      <c r="G49401" s="812"/>
    </row>
    <row r="49402" spans="7:7">
      <c r="G49402" s="812"/>
    </row>
    <row r="49403" spans="7:7">
      <c r="G49403" s="812"/>
    </row>
    <row r="49404" spans="7:7">
      <c r="G49404" s="812"/>
    </row>
    <row r="49405" spans="7:7">
      <c r="G49405" s="812"/>
    </row>
    <row r="49406" spans="7:7">
      <c r="G49406" s="812"/>
    </row>
    <row r="49407" spans="7:7">
      <c r="G49407" s="812"/>
    </row>
    <row r="49408" spans="7:7">
      <c r="G49408" s="812"/>
    </row>
    <row r="49409" spans="7:7">
      <c r="G49409" s="812"/>
    </row>
    <row r="49410" spans="7:7">
      <c r="G49410" s="812"/>
    </row>
    <row r="49411" spans="7:7">
      <c r="G49411" s="812"/>
    </row>
    <row r="49412" spans="7:7">
      <c r="G49412" s="812"/>
    </row>
    <row r="49413" spans="7:7">
      <c r="G49413" s="812"/>
    </row>
    <row r="49414" spans="7:7">
      <c r="G49414" s="812"/>
    </row>
    <row r="49415" spans="7:7">
      <c r="G49415" s="812"/>
    </row>
    <row r="49416" spans="7:7">
      <c r="G49416" s="812"/>
    </row>
    <row r="49417" spans="7:7">
      <c r="G49417" s="812"/>
    </row>
    <row r="49418" spans="7:7">
      <c r="G49418" s="812"/>
    </row>
    <row r="49419" spans="7:7">
      <c r="G49419" s="812"/>
    </row>
    <row r="49420" spans="7:7">
      <c r="G49420" s="812"/>
    </row>
    <row r="49421" spans="7:7">
      <c r="G49421" s="812"/>
    </row>
    <row r="49422" spans="7:7">
      <c r="G49422" s="812"/>
    </row>
    <row r="49423" spans="7:7">
      <c r="G49423" s="812"/>
    </row>
    <row r="49424" spans="7:7">
      <c r="G49424" s="812"/>
    </row>
    <row r="49425" spans="7:7">
      <c r="G49425" s="812"/>
    </row>
    <row r="49426" spans="7:7">
      <c r="G49426" s="812"/>
    </row>
    <row r="49427" spans="7:7">
      <c r="G49427" s="812"/>
    </row>
    <row r="49428" spans="7:7">
      <c r="G49428" s="812"/>
    </row>
    <row r="49429" spans="7:7">
      <c r="G49429" s="812"/>
    </row>
    <row r="49430" spans="7:7">
      <c r="G49430" s="812"/>
    </row>
    <row r="49431" spans="7:7">
      <c r="G49431" s="812"/>
    </row>
    <row r="49432" spans="7:7">
      <c r="G49432" s="812"/>
    </row>
    <row r="49433" spans="7:7">
      <c r="G49433" s="812"/>
    </row>
    <row r="49434" spans="7:7">
      <c r="G49434" s="812"/>
    </row>
    <row r="49435" spans="7:7">
      <c r="G49435" s="812"/>
    </row>
    <row r="49436" spans="7:7">
      <c r="G49436" s="812"/>
    </row>
    <row r="49437" spans="7:7">
      <c r="G49437" s="812"/>
    </row>
    <row r="49438" spans="7:7">
      <c r="G49438" s="812"/>
    </row>
    <row r="49439" spans="7:7">
      <c r="G49439" s="812"/>
    </row>
    <row r="49440" spans="7:7">
      <c r="G49440" s="812"/>
    </row>
    <row r="49441" spans="7:7">
      <c r="G49441" s="812"/>
    </row>
    <row r="49442" spans="7:7">
      <c r="G49442" s="812"/>
    </row>
    <row r="49443" spans="7:7">
      <c r="G49443" s="812"/>
    </row>
    <row r="49444" spans="7:7">
      <c r="G49444" s="812"/>
    </row>
    <row r="49445" spans="7:7">
      <c r="G49445" s="812"/>
    </row>
    <row r="49446" spans="7:7">
      <c r="G49446" s="812"/>
    </row>
    <row r="49447" spans="7:7">
      <c r="G49447" s="812"/>
    </row>
    <row r="49448" spans="7:7">
      <c r="G49448" s="812"/>
    </row>
    <row r="49449" spans="7:7">
      <c r="G49449" s="812"/>
    </row>
    <row r="49450" spans="7:7">
      <c r="G49450" s="812"/>
    </row>
    <row r="49451" spans="7:7">
      <c r="G49451" s="812"/>
    </row>
    <row r="49452" spans="7:7">
      <c r="G49452" s="812"/>
    </row>
    <row r="49453" spans="7:7">
      <c r="G49453" s="812"/>
    </row>
    <row r="49454" spans="7:7">
      <c r="G49454" s="812"/>
    </row>
    <row r="49455" spans="7:7">
      <c r="G49455" s="812"/>
    </row>
    <row r="49456" spans="7:7">
      <c r="G49456" s="812"/>
    </row>
    <row r="49457" spans="7:7">
      <c r="G49457" s="812"/>
    </row>
    <row r="49458" spans="7:7">
      <c r="G49458" s="812"/>
    </row>
    <row r="49459" spans="7:7">
      <c r="G49459" s="812"/>
    </row>
    <row r="49460" spans="7:7">
      <c r="G49460" s="812"/>
    </row>
    <row r="49461" spans="7:7">
      <c r="G49461" s="812"/>
    </row>
    <row r="49462" spans="7:7">
      <c r="G49462" s="812"/>
    </row>
    <row r="49463" spans="7:7">
      <c r="G49463" s="812"/>
    </row>
    <row r="49464" spans="7:7">
      <c r="G49464" s="812"/>
    </row>
    <row r="49465" spans="7:7">
      <c r="G49465" s="812"/>
    </row>
    <row r="49466" spans="7:7">
      <c r="G49466" s="812"/>
    </row>
    <row r="49467" spans="7:7">
      <c r="G49467" s="812"/>
    </row>
    <row r="49468" spans="7:7">
      <c r="G49468" s="812"/>
    </row>
    <row r="49469" spans="7:7">
      <c r="G49469" s="812"/>
    </row>
    <row r="49470" spans="7:7">
      <c r="G49470" s="812"/>
    </row>
    <row r="49471" spans="7:7">
      <c r="G49471" s="812"/>
    </row>
    <row r="49472" spans="7:7">
      <c r="G49472" s="812"/>
    </row>
    <row r="49473" spans="7:7">
      <c r="G49473" s="812"/>
    </row>
    <row r="49474" spans="7:7">
      <c r="G49474" s="812"/>
    </row>
    <row r="49475" spans="7:7">
      <c r="G49475" s="812"/>
    </row>
    <row r="49476" spans="7:7">
      <c r="G49476" s="812"/>
    </row>
    <row r="49477" spans="7:7">
      <c r="G49477" s="812"/>
    </row>
    <row r="49478" spans="7:7">
      <c r="G49478" s="812"/>
    </row>
    <row r="49479" spans="7:7">
      <c r="G49479" s="812"/>
    </row>
    <row r="49480" spans="7:7">
      <c r="G49480" s="812"/>
    </row>
    <row r="49481" spans="7:7">
      <c r="G49481" s="812"/>
    </row>
    <row r="49482" spans="7:7">
      <c r="G49482" s="812"/>
    </row>
    <row r="49483" spans="7:7">
      <c r="G49483" s="812"/>
    </row>
    <row r="49484" spans="7:7">
      <c r="G49484" s="812"/>
    </row>
    <row r="49485" spans="7:7">
      <c r="G49485" s="812"/>
    </row>
    <row r="49486" spans="7:7">
      <c r="G49486" s="812"/>
    </row>
    <row r="49487" spans="7:7">
      <c r="G49487" s="812"/>
    </row>
    <row r="49488" spans="7:7">
      <c r="G49488" s="812"/>
    </row>
    <row r="49489" spans="7:7">
      <c r="G49489" s="812"/>
    </row>
    <row r="49490" spans="7:7">
      <c r="G49490" s="812"/>
    </row>
    <row r="49491" spans="7:7">
      <c r="G49491" s="812"/>
    </row>
    <row r="49492" spans="7:7">
      <c r="G49492" s="812"/>
    </row>
    <row r="49493" spans="7:7">
      <c r="G49493" s="812"/>
    </row>
    <row r="49494" spans="7:7">
      <c r="G49494" s="812"/>
    </row>
    <row r="49495" spans="7:7">
      <c r="G49495" s="812"/>
    </row>
    <row r="49496" spans="7:7">
      <c r="G49496" s="812"/>
    </row>
    <row r="49497" spans="7:7">
      <c r="G49497" s="812"/>
    </row>
    <row r="49498" spans="7:7">
      <c r="G49498" s="812"/>
    </row>
    <row r="49499" spans="7:7">
      <c r="G49499" s="812"/>
    </row>
    <row r="49500" spans="7:7">
      <c r="G49500" s="812"/>
    </row>
    <row r="49501" spans="7:7">
      <c r="G49501" s="812"/>
    </row>
    <row r="49502" spans="7:7">
      <c r="G49502" s="812"/>
    </row>
    <row r="49503" spans="7:7">
      <c r="G49503" s="812"/>
    </row>
    <row r="49504" spans="7:7">
      <c r="G49504" s="812"/>
    </row>
    <row r="49505" spans="7:7">
      <c r="G49505" s="812"/>
    </row>
    <row r="49506" spans="7:7">
      <c r="G49506" s="812"/>
    </row>
    <row r="49507" spans="7:7">
      <c r="G49507" s="812"/>
    </row>
    <row r="49508" spans="7:7">
      <c r="G49508" s="812"/>
    </row>
    <row r="49509" spans="7:7">
      <c r="G49509" s="812"/>
    </row>
    <row r="49510" spans="7:7">
      <c r="G49510" s="812"/>
    </row>
    <row r="49511" spans="7:7">
      <c r="G49511" s="812"/>
    </row>
    <row r="49512" spans="7:7">
      <c r="G49512" s="812"/>
    </row>
    <row r="49513" spans="7:7">
      <c r="G49513" s="812"/>
    </row>
    <row r="49514" spans="7:7">
      <c r="G49514" s="812"/>
    </row>
    <row r="49515" spans="7:7">
      <c r="G49515" s="812"/>
    </row>
    <row r="49516" spans="7:7">
      <c r="G49516" s="812"/>
    </row>
    <row r="49517" spans="7:7">
      <c r="G49517" s="812"/>
    </row>
    <row r="49518" spans="7:7">
      <c r="G49518" s="812"/>
    </row>
    <row r="49519" spans="7:7">
      <c r="G49519" s="812"/>
    </row>
    <row r="49520" spans="7:7">
      <c r="G49520" s="812"/>
    </row>
    <row r="49521" spans="7:7">
      <c r="G49521" s="812"/>
    </row>
    <row r="49522" spans="7:7">
      <c r="G49522" s="812"/>
    </row>
    <row r="49523" spans="7:7">
      <c r="G49523" s="812"/>
    </row>
    <row r="49524" spans="7:7">
      <c r="G49524" s="812"/>
    </row>
    <row r="49525" spans="7:7">
      <c r="G49525" s="812"/>
    </row>
    <row r="49526" spans="7:7">
      <c r="G49526" s="812"/>
    </row>
    <row r="49527" spans="7:7">
      <c r="G49527" s="812"/>
    </row>
    <row r="49528" spans="7:7">
      <c r="G49528" s="812"/>
    </row>
    <row r="49529" spans="7:7">
      <c r="G49529" s="812"/>
    </row>
    <row r="49530" spans="7:7">
      <c r="G49530" s="812"/>
    </row>
    <row r="49531" spans="7:7">
      <c r="G49531" s="812"/>
    </row>
    <row r="49532" spans="7:7">
      <c r="G49532" s="812"/>
    </row>
    <row r="49533" spans="7:7">
      <c r="G49533" s="812"/>
    </row>
    <row r="49534" spans="7:7">
      <c r="G49534" s="812"/>
    </row>
    <row r="49535" spans="7:7">
      <c r="G49535" s="812"/>
    </row>
    <row r="49536" spans="7:7">
      <c r="G49536" s="812"/>
    </row>
    <row r="49537" spans="7:7">
      <c r="G49537" s="812"/>
    </row>
    <row r="49538" spans="7:7">
      <c r="G49538" s="812"/>
    </row>
    <row r="49539" spans="7:7">
      <c r="G49539" s="812"/>
    </row>
    <row r="49540" spans="7:7">
      <c r="G49540" s="812"/>
    </row>
    <row r="49541" spans="7:7">
      <c r="G49541" s="812"/>
    </row>
    <row r="49542" spans="7:7">
      <c r="G49542" s="812"/>
    </row>
    <row r="49543" spans="7:7">
      <c r="G49543" s="812"/>
    </row>
    <row r="49544" spans="7:7">
      <c r="G49544" s="812"/>
    </row>
    <row r="49545" spans="7:7">
      <c r="G49545" s="812"/>
    </row>
    <row r="49546" spans="7:7">
      <c r="G49546" s="812"/>
    </row>
    <row r="49547" spans="7:7">
      <c r="G49547" s="812"/>
    </row>
    <row r="49548" spans="7:7">
      <c r="G49548" s="812"/>
    </row>
    <row r="49549" spans="7:7">
      <c r="G49549" s="812"/>
    </row>
    <row r="49550" spans="7:7">
      <c r="G49550" s="812"/>
    </row>
    <row r="49551" spans="7:7">
      <c r="G49551" s="812"/>
    </row>
    <row r="49552" spans="7:7">
      <c r="G49552" s="812"/>
    </row>
    <row r="49553" spans="7:7">
      <c r="G49553" s="812"/>
    </row>
    <row r="49554" spans="7:7">
      <c r="G49554" s="812"/>
    </row>
    <row r="49555" spans="7:7">
      <c r="G49555" s="812"/>
    </row>
    <row r="49556" spans="7:7">
      <c r="G49556" s="812"/>
    </row>
    <row r="49557" spans="7:7">
      <c r="G49557" s="812"/>
    </row>
    <row r="49558" spans="7:7">
      <c r="G49558" s="812"/>
    </row>
    <row r="49559" spans="7:7">
      <c r="G49559" s="812"/>
    </row>
    <row r="49560" spans="7:7">
      <c r="G49560" s="812"/>
    </row>
    <row r="49561" spans="7:7">
      <c r="G49561" s="812"/>
    </row>
    <row r="49562" spans="7:7">
      <c r="G49562" s="812"/>
    </row>
    <row r="49563" spans="7:7">
      <c r="G49563" s="812"/>
    </row>
    <row r="49564" spans="7:7">
      <c r="G49564" s="812"/>
    </row>
    <row r="49565" spans="7:7">
      <c r="G49565" s="812"/>
    </row>
    <row r="49566" spans="7:7">
      <c r="G49566" s="812"/>
    </row>
    <row r="49567" spans="7:7">
      <c r="G49567" s="812"/>
    </row>
    <row r="49568" spans="7:7">
      <c r="G49568" s="812"/>
    </row>
    <row r="49569" spans="7:7">
      <c r="G49569" s="812"/>
    </row>
    <row r="49570" spans="7:7">
      <c r="G49570" s="812"/>
    </row>
    <row r="49571" spans="7:7">
      <c r="G49571" s="812"/>
    </row>
    <row r="49572" spans="7:7">
      <c r="G49572" s="812"/>
    </row>
    <row r="49573" spans="7:7">
      <c r="G49573" s="812"/>
    </row>
    <row r="49574" spans="7:7">
      <c r="G49574" s="812"/>
    </row>
    <row r="49575" spans="7:7">
      <c r="G49575" s="812"/>
    </row>
    <row r="49576" spans="7:7">
      <c r="G49576" s="812"/>
    </row>
    <row r="49577" spans="7:7">
      <c r="G49577" s="812"/>
    </row>
    <row r="49578" spans="7:7">
      <c r="G49578" s="812"/>
    </row>
    <row r="49579" spans="7:7">
      <c r="G49579" s="812"/>
    </row>
    <row r="49580" spans="7:7">
      <c r="G49580" s="812"/>
    </row>
    <row r="49581" spans="7:7">
      <c r="G49581" s="812"/>
    </row>
    <row r="49582" spans="7:7">
      <c r="G49582" s="812"/>
    </row>
    <row r="49583" spans="7:7">
      <c r="G49583" s="812"/>
    </row>
    <row r="49584" spans="7:7">
      <c r="G49584" s="812"/>
    </row>
    <row r="49585" spans="7:7">
      <c r="G49585" s="812"/>
    </row>
    <row r="49586" spans="7:7">
      <c r="G49586" s="812"/>
    </row>
    <row r="49587" spans="7:7">
      <c r="G49587" s="812"/>
    </row>
    <row r="49588" spans="7:7">
      <c r="G49588" s="812"/>
    </row>
    <row r="49589" spans="7:7">
      <c r="G49589" s="812"/>
    </row>
    <row r="49590" spans="7:7">
      <c r="G49590" s="812"/>
    </row>
    <row r="49591" spans="7:7">
      <c r="G49591" s="812"/>
    </row>
    <row r="49592" spans="7:7">
      <c r="G49592" s="812"/>
    </row>
    <row r="49593" spans="7:7">
      <c r="G49593" s="812"/>
    </row>
    <row r="49594" spans="7:7">
      <c r="G49594" s="812"/>
    </row>
    <row r="49595" spans="7:7">
      <c r="G49595" s="812"/>
    </row>
    <row r="49596" spans="7:7">
      <c r="G49596" s="812"/>
    </row>
    <row r="49597" spans="7:7">
      <c r="G49597" s="812"/>
    </row>
    <row r="49598" spans="7:7">
      <c r="G49598" s="812"/>
    </row>
    <row r="49599" spans="7:7">
      <c r="G49599" s="812"/>
    </row>
    <row r="49600" spans="7:7">
      <c r="G49600" s="812"/>
    </row>
    <row r="49601" spans="7:7">
      <c r="G49601" s="812"/>
    </row>
    <row r="49602" spans="7:7">
      <c r="G49602" s="812"/>
    </row>
    <row r="49603" spans="7:7">
      <c r="G49603" s="812"/>
    </row>
    <row r="49604" spans="7:7">
      <c r="G49604" s="812"/>
    </row>
    <row r="49605" spans="7:7">
      <c r="G49605" s="812"/>
    </row>
    <row r="49606" spans="7:7">
      <c r="G49606" s="812"/>
    </row>
    <row r="49607" spans="7:7">
      <c r="G49607" s="812"/>
    </row>
    <row r="49608" spans="7:7">
      <c r="G49608" s="812"/>
    </row>
    <row r="49609" spans="7:7">
      <c r="G49609" s="812"/>
    </row>
    <row r="49610" spans="7:7">
      <c r="G49610" s="812"/>
    </row>
    <row r="49611" spans="7:7">
      <c r="G49611" s="812"/>
    </row>
    <row r="49612" spans="7:7">
      <c r="G49612" s="812"/>
    </row>
    <row r="49613" spans="7:7">
      <c r="G49613" s="812"/>
    </row>
    <row r="49614" spans="7:7">
      <c r="G49614" s="812"/>
    </row>
    <row r="49615" spans="7:7">
      <c r="G49615" s="812"/>
    </row>
    <row r="49616" spans="7:7">
      <c r="G49616" s="812"/>
    </row>
    <row r="49617" spans="7:7">
      <c r="G49617" s="812"/>
    </row>
    <row r="49618" spans="7:7">
      <c r="G49618" s="812"/>
    </row>
    <row r="49619" spans="7:7">
      <c r="G49619" s="812"/>
    </row>
    <row r="49620" spans="7:7">
      <c r="G49620" s="812"/>
    </row>
    <row r="49621" spans="7:7">
      <c r="G49621" s="812"/>
    </row>
    <row r="49622" spans="7:7">
      <c r="G49622" s="812"/>
    </row>
    <row r="49623" spans="7:7">
      <c r="G49623" s="812"/>
    </row>
    <row r="49624" spans="7:7">
      <c r="G49624" s="812"/>
    </row>
    <row r="49625" spans="7:7">
      <c r="G49625" s="812"/>
    </row>
    <row r="49626" spans="7:7">
      <c r="G49626" s="812"/>
    </row>
    <row r="49627" spans="7:7">
      <c r="G49627" s="812"/>
    </row>
    <row r="49628" spans="7:7">
      <c r="G49628" s="812"/>
    </row>
    <row r="49629" spans="7:7">
      <c r="G49629" s="812"/>
    </row>
    <row r="49630" spans="7:7">
      <c r="G49630" s="812"/>
    </row>
    <row r="49631" spans="7:7">
      <c r="G49631" s="812"/>
    </row>
    <row r="49632" spans="7:7">
      <c r="G49632" s="812"/>
    </row>
    <row r="49633" spans="7:7">
      <c r="G49633" s="812"/>
    </row>
    <row r="49634" spans="7:7">
      <c r="G49634" s="812"/>
    </row>
    <row r="49635" spans="7:7">
      <c r="G49635" s="812"/>
    </row>
    <row r="49636" spans="7:7">
      <c r="G49636" s="812"/>
    </row>
    <row r="49637" spans="7:7">
      <c r="G49637" s="812"/>
    </row>
    <row r="49638" spans="7:7">
      <c r="G49638" s="812"/>
    </row>
    <row r="49639" spans="7:7">
      <c r="G49639" s="812"/>
    </row>
    <row r="49640" spans="7:7">
      <c r="G49640" s="812"/>
    </row>
    <row r="49641" spans="7:7">
      <c r="G49641" s="812"/>
    </row>
    <row r="49642" spans="7:7">
      <c r="G49642" s="812"/>
    </row>
    <row r="49643" spans="7:7">
      <c r="G49643" s="812"/>
    </row>
    <row r="49644" spans="7:7">
      <c r="G49644" s="812"/>
    </row>
    <row r="49645" spans="7:7">
      <c r="G49645" s="812"/>
    </row>
    <row r="49646" spans="7:7">
      <c r="G49646" s="812"/>
    </row>
    <row r="49647" spans="7:7">
      <c r="G49647" s="812"/>
    </row>
    <row r="49648" spans="7:7">
      <c r="G49648" s="812"/>
    </row>
    <row r="49649" spans="7:7">
      <c r="G49649" s="812"/>
    </row>
    <row r="49650" spans="7:7">
      <c r="G49650" s="812"/>
    </row>
    <row r="49651" spans="7:7">
      <c r="G49651" s="812"/>
    </row>
    <row r="49652" spans="7:7">
      <c r="G49652" s="812"/>
    </row>
    <row r="49653" spans="7:7">
      <c r="G49653" s="812"/>
    </row>
    <row r="49654" spans="7:7">
      <c r="G49654" s="812"/>
    </row>
    <row r="49655" spans="7:7">
      <c r="G49655" s="812"/>
    </row>
    <row r="49656" spans="7:7">
      <c r="G49656" s="812"/>
    </row>
    <row r="49657" spans="7:7">
      <c r="G49657" s="812"/>
    </row>
    <row r="49658" spans="7:7">
      <c r="G49658" s="812"/>
    </row>
    <row r="49659" spans="7:7">
      <c r="G49659" s="812"/>
    </row>
    <row r="49660" spans="7:7">
      <c r="G49660" s="812"/>
    </row>
    <row r="49661" spans="7:7">
      <c r="G49661" s="812"/>
    </row>
    <row r="49662" spans="7:7">
      <c r="G49662" s="812"/>
    </row>
    <row r="49663" spans="7:7">
      <c r="G49663" s="812"/>
    </row>
    <row r="49664" spans="7:7">
      <c r="G49664" s="812"/>
    </row>
    <row r="49665" spans="7:7">
      <c r="G49665" s="812"/>
    </row>
    <row r="49666" spans="7:7">
      <c r="G49666" s="812"/>
    </row>
    <row r="49667" spans="7:7">
      <c r="G49667" s="812"/>
    </row>
    <row r="49668" spans="7:7">
      <c r="G49668" s="812"/>
    </row>
    <row r="49669" spans="7:7">
      <c r="G49669" s="812"/>
    </row>
    <row r="49670" spans="7:7">
      <c r="G49670" s="812"/>
    </row>
    <row r="49671" spans="7:7">
      <c r="G49671" s="812"/>
    </row>
    <row r="49672" spans="7:7">
      <c r="G49672" s="812"/>
    </row>
    <row r="49673" spans="7:7">
      <c r="G49673" s="812"/>
    </row>
    <row r="49674" spans="7:7">
      <c r="G49674" s="812"/>
    </row>
    <row r="49675" spans="7:7">
      <c r="G49675" s="812"/>
    </row>
    <row r="49676" spans="7:7">
      <c r="G49676" s="812"/>
    </row>
    <row r="49677" spans="7:7">
      <c r="G49677" s="812"/>
    </row>
    <row r="49678" spans="7:7">
      <c r="G49678" s="812"/>
    </row>
    <row r="49679" spans="7:7">
      <c r="G49679" s="812"/>
    </row>
    <row r="49680" spans="7:7">
      <c r="G49680" s="812"/>
    </row>
    <row r="49681" spans="7:7">
      <c r="G49681" s="812"/>
    </row>
    <row r="49682" spans="7:7">
      <c r="G49682" s="812"/>
    </row>
    <row r="49683" spans="7:7">
      <c r="G49683" s="812"/>
    </row>
    <row r="49684" spans="7:7">
      <c r="G49684" s="812"/>
    </row>
    <row r="49685" spans="7:7">
      <c r="G49685" s="812"/>
    </row>
    <row r="49686" spans="7:7">
      <c r="G49686" s="812"/>
    </row>
    <row r="49687" spans="7:7">
      <c r="G49687" s="812"/>
    </row>
    <row r="49688" spans="7:7">
      <c r="G49688" s="812"/>
    </row>
    <row r="49689" spans="7:7">
      <c r="G49689" s="812"/>
    </row>
    <row r="49690" spans="7:7">
      <c r="G49690" s="812"/>
    </row>
    <row r="49691" spans="7:7">
      <c r="G49691" s="812"/>
    </row>
    <row r="49692" spans="7:7">
      <c r="G49692" s="812"/>
    </row>
    <row r="49693" spans="7:7">
      <c r="G49693" s="812"/>
    </row>
    <row r="49694" spans="7:7">
      <c r="G49694" s="812"/>
    </row>
    <row r="49695" spans="7:7">
      <c r="G49695" s="812"/>
    </row>
    <row r="49696" spans="7:7">
      <c r="G49696" s="812"/>
    </row>
    <row r="49697" spans="7:7">
      <c r="G49697" s="812"/>
    </row>
    <row r="49698" spans="7:7">
      <c r="G49698" s="812"/>
    </row>
    <row r="49699" spans="7:7">
      <c r="G49699" s="812"/>
    </row>
    <row r="49700" spans="7:7">
      <c r="G49700" s="812"/>
    </row>
    <row r="49701" spans="7:7">
      <c r="G49701" s="812"/>
    </row>
    <row r="49702" spans="7:7">
      <c r="G49702" s="812"/>
    </row>
    <row r="49703" spans="7:7">
      <c r="G49703" s="812"/>
    </row>
    <row r="49704" spans="7:7">
      <c r="G49704" s="812"/>
    </row>
    <row r="49705" spans="7:7">
      <c r="G49705" s="812"/>
    </row>
    <row r="49706" spans="7:7">
      <c r="G49706" s="812"/>
    </row>
    <row r="49707" spans="7:7">
      <c r="G49707" s="812"/>
    </row>
    <row r="49708" spans="7:7">
      <c r="G49708" s="812"/>
    </row>
    <row r="49709" spans="7:7">
      <c r="G49709" s="812"/>
    </row>
    <row r="49710" spans="7:7">
      <c r="G49710" s="812"/>
    </row>
    <row r="49711" spans="7:7">
      <c r="G49711" s="812"/>
    </row>
    <row r="49712" spans="7:7">
      <c r="G49712" s="812"/>
    </row>
    <row r="49713" spans="7:7">
      <c r="G49713" s="812"/>
    </row>
    <row r="49714" spans="7:7">
      <c r="G49714" s="812"/>
    </row>
    <row r="49715" spans="7:7">
      <c r="G49715" s="812"/>
    </row>
    <row r="49716" spans="7:7">
      <c r="G49716" s="812"/>
    </row>
    <row r="49717" spans="7:7">
      <c r="G49717" s="812"/>
    </row>
    <row r="49718" spans="7:7">
      <c r="G49718" s="812"/>
    </row>
    <row r="49719" spans="7:7">
      <c r="G49719" s="812"/>
    </row>
    <row r="49720" spans="7:7">
      <c r="G49720" s="812"/>
    </row>
    <row r="49721" spans="7:7">
      <c r="G49721" s="812"/>
    </row>
    <row r="49722" spans="7:7">
      <c r="G49722" s="812"/>
    </row>
    <row r="49723" spans="7:7">
      <c r="G49723" s="812"/>
    </row>
    <row r="49724" spans="7:7">
      <c r="G49724" s="812"/>
    </row>
    <row r="49725" spans="7:7">
      <c r="G49725" s="812"/>
    </row>
    <row r="49726" spans="7:7">
      <c r="G49726" s="812"/>
    </row>
    <row r="49727" spans="7:7">
      <c r="G49727" s="812"/>
    </row>
    <row r="49728" spans="7:7">
      <c r="G49728" s="812"/>
    </row>
    <row r="49729" spans="7:7">
      <c r="G49729" s="812"/>
    </row>
    <row r="49730" spans="7:7">
      <c r="G49730" s="812"/>
    </row>
    <row r="49731" spans="7:7">
      <c r="G49731" s="812"/>
    </row>
    <row r="49732" spans="7:7">
      <c r="G49732" s="812"/>
    </row>
    <row r="49733" spans="7:7">
      <c r="G49733" s="812"/>
    </row>
    <row r="49734" spans="7:7">
      <c r="G49734" s="812"/>
    </row>
    <row r="49735" spans="7:7">
      <c r="G49735" s="812"/>
    </row>
    <row r="49736" spans="7:7">
      <c r="G49736" s="812"/>
    </row>
    <row r="49737" spans="7:7">
      <c r="G49737" s="812"/>
    </row>
    <row r="49738" spans="7:7">
      <c r="G49738" s="812"/>
    </row>
    <row r="49739" spans="7:7">
      <c r="G49739" s="812"/>
    </row>
    <row r="49740" spans="7:7">
      <c r="G49740" s="812"/>
    </row>
    <row r="49741" spans="7:7">
      <c r="G49741" s="812"/>
    </row>
    <row r="49742" spans="7:7">
      <c r="G49742" s="812"/>
    </row>
    <row r="49743" spans="7:7">
      <c r="G49743" s="812"/>
    </row>
    <row r="49744" spans="7:7">
      <c r="G49744" s="812"/>
    </row>
    <row r="49745" spans="7:7">
      <c r="G49745" s="812"/>
    </row>
    <row r="49746" spans="7:7">
      <c r="G49746" s="812"/>
    </row>
    <row r="49747" spans="7:7">
      <c r="G49747" s="812"/>
    </row>
    <row r="49748" spans="7:7">
      <c r="G49748" s="812"/>
    </row>
    <row r="49749" spans="7:7">
      <c r="G49749" s="812"/>
    </row>
    <row r="49750" spans="7:7">
      <c r="G49750" s="812"/>
    </row>
    <row r="49751" spans="7:7">
      <c r="G49751" s="812"/>
    </row>
    <row r="49752" spans="7:7">
      <c r="G49752" s="812"/>
    </row>
    <row r="49753" spans="7:7">
      <c r="G49753" s="812"/>
    </row>
    <row r="49754" spans="7:7">
      <c r="G49754" s="812"/>
    </row>
    <row r="49755" spans="7:7">
      <c r="G49755" s="812"/>
    </row>
    <row r="49756" spans="7:7">
      <c r="G49756" s="812"/>
    </row>
    <row r="49757" spans="7:7">
      <c r="G49757" s="812"/>
    </row>
    <row r="49758" spans="7:7">
      <c r="G49758" s="812"/>
    </row>
    <row r="49759" spans="7:7">
      <c r="G49759" s="812"/>
    </row>
    <row r="49760" spans="7:7">
      <c r="G49760" s="812"/>
    </row>
    <row r="49761" spans="7:7">
      <c r="G49761" s="812"/>
    </row>
    <row r="49762" spans="7:7">
      <c r="G49762" s="812"/>
    </row>
    <row r="49763" spans="7:7">
      <c r="G49763" s="812"/>
    </row>
    <row r="49764" spans="7:7">
      <c r="G49764" s="812"/>
    </row>
    <row r="49765" spans="7:7">
      <c r="G49765" s="812"/>
    </row>
    <row r="49766" spans="7:7">
      <c r="G49766" s="812"/>
    </row>
    <row r="49767" spans="7:7">
      <c r="G49767" s="812"/>
    </row>
    <row r="49768" spans="7:7">
      <c r="G49768" s="812"/>
    </row>
    <row r="49769" spans="7:7">
      <c r="G49769" s="812"/>
    </row>
    <row r="49770" spans="7:7">
      <c r="G49770" s="812"/>
    </row>
    <row r="49771" spans="7:7">
      <c r="G49771" s="812"/>
    </row>
    <row r="49772" spans="7:7">
      <c r="G49772" s="812"/>
    </row>
    <row r="49773" spans="7:7">
      <c r="G49773" s="812"/>
    </row>
    <row r="49774" spans="7:7">
      <c r="G49774" s="812"/>
    </row>
    <row r="49775" spans="7:7">
      <c r="G49775" s="812"/>
    </row>
    <row r="49776" spans="7:7">
      <c r="G49776" s="812"/>
    </row>
    <row r="49777" spans="7:7">
      <c r="G49777" s="812"/>
    </row>
    <row r="49778" spans="7:7">
      <c r="G49778" s="812"/>
    </row>
    <row r="49779" spans="7:7">
      <c r="G49779" s="812"/>
    </row>
    <row r="49780" spans="7:7">
      <c r="G49780" s="812"/>
    </row>
    <row r="49781" spans="7:7">
      <c r="G49781" s="812"/>
    </row>
    <row r="49782" spans="7:7">
      <c r="G49782" s="812"/>
    </row>
    <row r="49783" spans="7:7">
      <c r="G49783" s="812"/>
    </row>
    <row r="49784" spans="7:7">
      <c r="G49784" s="812"/>
    </row>
    <row r="49785" spans="7:7">
      <c r="G49785" s="812"/>
    </row>
    <row r="49786" spans="7:7">
      <c r="G49786" s="812"/>
    </row>
    <row r="49787" spans="7:7">
      <c r="G49787" s="812"/>
    </row>
    <row r="49788" spans="7:7">
      <c r="G49788" s="812"/>
    </row>
    <row r="49789" spans="7:7">
      <c r="G49789" s="812"/>
    </row>
    <row r="49790" spans="7:7">
      <c r="G49790" s="812"/>
    </row>
    <row r="49791" spans="7:7">
      <c r="G49791" s="812"/>
    </row>
    <row r="49792" spans="7:7">
      <c r="G49792" s="812"/>
    </row>
    <row r="49793" spans="7:7">
      <c r="G49793" s="812"/>
    </row>
    <row r="49794" spans="7:7">
      <c r="G49794" s="812"/>
    </row>
    <row r="49795" spans="7:7">
      <c r="G49795" s="812"/>
    </row>
    <row r="49796" spans="7:7">
      <c r="G49796" s="812"/>
    </row>
    <row r="49797" spans="7:7">
      <c r="G49797" s="812"/>
    </row>
    <row r="49798" spans="7:7">
      <c r="G49798" s="812"/>
    </row>
    <row r="49799" spans="7:7">
      <c r="G49799" s="812"/>
    </row>
    <row r="49800" spans="7:7">
      <c r="G49800" s="812"/>
    </row>
    <row r="49801" spans="7:7">
      <c r="G49801" s="812"/>
    </row>
    <row r="49802" spans="7:7">
      <c r="G49802" s="812"/>
    </row>
    <row r="49803" spans="7:7">
      <c r="G49803" s="812"/>
    </row>
    <row r="49804" spans="7:7">
      <c r="G49804" s="812"/>
    </row>
    <row r="49805" spans="7:7">
      <c r="G49805" s="812"/>
    </row>
    <row r="49806" spans="7:7">
      <c r="G49806" s="812"/>
    </row>
    <row r="49807" spans="7:7">
      <c r="G49807" s="812"/>
    </row>
    <row r="49808" spans="7:7">
      <c r="G49808" s="812"/>
    </row>
    <row r="49809" spans="7:7">
      <c r="G49809" s="812"/>
    </row>
    <row r="49810" spans="7:7">
      <c r="G49810" s="812"/>
    </row>
    <row r="49811" spans="7:7">
      <c r="G49811" s="812"/>
    </row>
    <row r="49812" spans="7:7">
      <c r="G49812" s="812"/>
    </row>
    <row r="49813" spans="7:7">
      <c r="G49813" s="812"/>
    </row>
    <row r="49814" spans="7:7">
      <c r="G49814" s="812"/>
    </row>
    <row r="49815" spans="7:7">
      <c r="G49815" s="812"/>
    </row>
    <row r="49816" spans="7:7">
      <c r="G49816" s="812"/>
    </row>
    <row r="49817" spans="7:7">
      <c r="G49817" s="812"/>
    </row>
    <row r="49818" spans="7:7">
      <c r="G49818" s="812"/>
    </row>
    <row r="49819" spans="7:7">
      <c r="G49819" s="812"/>
    </row>
    <row r="49820" spans="7:7">
      <c r="G49820" s="812"/>
    </row>
    <row r="49821" spans="7:7">
      <c r="G49821" s="812"/>
    </row>
    <row r="49822" spans="7:7">
      <c r="G49822" s="812"/>
    </row>
    <row r="49823" spans="7:7">
      <c r="G49823" s="812"/>
    </row>
    <row r="49824" spans="7:7">
      <c r="G49824" s="812"/>
    </row>
    <row r="49825" spans="7:7">
      <c r="G49825" s="812"/>
    </row>
    <row r="49826" spans="7:7">
      <c r="G49826" s="812"/>
    </row>
    <row r="49827" spans="7:7">
      <c r="G49827" s="812"/>
    </row>
    <row r="49828" spans="7:7">
      <c r="G49828" s="812"/>
    </row>
    <row r="49829" spans="7:7">
      <c r="G49829" s="812"/>
    </row>
    <row r="49830" spans="7:7">
      <c r="G49830" s="812"/>
    </row>
    <row r="49831" spans="7:7">
      <c r="G49831" s="812"/>
    </row>
    <row r="49832" spans="7:7">
      <c r="G49832" s="812"/>
    </row>
    <row r="49833" spans="7:7">
      <c r="G49833" s="812"/>
    </row>
    <row r="49834" spans="7:7">
      <c r="G49834" s="812"/>
    </row>
    <row r="49835" spans="7:7">
      <c r="G49835" s="812"/>
    </row>
    <row r="49836" spans="7:7">
      <c r="G49836" s="812"/>
    </row>
    <row r="49837" spans="7:7">
      <c r="G49837" s="812"/>
    </row>
    <row r="49838" spans="7:7">
      <c r="G49838" s="812"/>
    </row>
    <row r="49839" spans="7:7">
      <c r="G49839" s="812"/>
    </row>
    <row r="49840" spans="7:7">
      <c r="G49840" s="812"/>
    </row>
    <row r="49841" spans="7:7">
      <c r="G49841" s="812"/>
    </row>
    <row r="49842" spans="7:7">
      <c r="G49842" s="812"/>
    </row>
    <row r="49843" spans="7:7">
      <c r="G49843" s="812"/>
    </row>
    <row r="49844" spans="7:7">
      <c r="G49844" s="812"/>
    </row>
    <row r="49845" spans="7:7">
      <c r="G49845" s="812"/>
    </row>
    <row r="49846" spans="7:7">
      <c r="G49846" s="812"/>
    </row>
    <row r="49847" spans="7:7">
      <c r="G49847" s="812"/>
    </row>
    <row r="49848" spans="7:7">
      <c r="G49848" s="812"/>
    </row>
    <row r="49849" spans="7:7">
      <c r="G49849" s="812"/>
    </row>
    <row r="49850" spans="7:7">
      <c r="G49850" s="812"/>
    </row>
    <row r="49851" spans="7:7">
      <c r="G49851" s="812"/>
    </row>
    <row r="49852" spans="7:7">
      <c r="G49852" s="812"/>
    </row>
    <row r="49853" spans="7:7">
      <c r="G49853" s="812"/>
    </row>
    <row r="49854" spans="7:7">
      <c r="G49854" s="812"/>
    </row>
    <row r="49855" spans="7:7">
      <c r="G49855" s="812"/>
    </row>
    <row r="49856" spans="7:7">
      <c r="G49856" s="812"/>
    </row>
    <row r="49857" spans="7:7">
      <c r="G49857" s="812"/>
    </row>
    <row r="49858" spans="7:7">
      <c r="G49858" s="812"/>
    </row>
    <row r="49859" spans="7:7">
      <c r="G49859" s="812"/>
    </row>
    <row r="49860" spans="7:7">
      <c r="G49860" s="812"/>
    </row>
    <row r="49861" spans="7:7">
      <c r="G49861" s="812"/>
    </row>
    <row r="49862" spans="7:7">
      <c r="G49862" s="812"/>
    </row>
    <row r="49863" spans="7:7">
      <c r="G49863" s="812"/>
    </row>
    <row r="49864" spans="7:7">
      <c r="G49864" s="812"/>
    </row>
    <row r="49865" spans="7:7">
      <c r="G49865" s="812"/>
    </row>
    <row r="49866" spans="7:7">
      <c r="G49866" s="812"/>
    </row>
    <row r="49867" spans="7:7">
      <c r="G49867" s="812"/>
    </row>
    <row r="49868" spans="7:7">
      <c r="G49868" s="812"/>
    </row>
    <row r="49869" spans="7:7">
      <c r="G49869" s="812"/>
    </row>
    <row r="49870" spans="7:7">
      <c r="G49870" s="812"/>
    </row>
    <row r="49871" spans="7:7">
      <c r="G49871" s="812"/>
    </row>
    <row r="49872" spans="7:7">
      <c r="G49872" s="812"/>
    </row>
    <row r="49873" spans="7:7">
      <c r="G49873" s="812"/>
    </row>
    <row r="49874" spans="7:7">
      <c r="G49874" s="812"/>
    </row>
    <row r="49875" spans="7:7">
      <c r="G49875" s="812"/>
    </row>
    <row r="49876" spans="7:7">
      <c r="G49876" s="812"/>
    </row>
    <row r="49877" spans="7:7">
      <c r="G49877" s="812"/>
    </row>
    <row r="49878" spans="7:7">
      <c r="G49878" s="812"/>
    </row>
    <row r="49879" spans="7:7">
      <c r="G49879" s="812"/>
    </row>
    <row r="49880" spans="7:7">
      <c r="G49880" s="812"/>
    </row>
    <row r="49881" spans="7:7">
      <c r="G49881" s="812"/>
    </row>
    <row r="49882" spans="7:7">
      <c r="G49882" s="812"/>
    </row>
    <row r="49883" spans="7:7">
      <c r="G49883" s="812"/>
    </row>
    <row r="49884" spans="7:7">
      <c r="G49884" s="812"/>
    </row>
    <row r="49885" spans="7:7">
      <c r="G49885" s="812"/>
    </row>
    <row r="49886" spans="7:7">
      <c r="G49886" s="812"/>
    </row>
    <row r="49887" spans="7:7">
      <c r="G49887" s="812"/>
    </row>
    <row r="49888" spans="7:7">
      <c r="G49888" s="812"/>
    </row>
    <row r="49889" spans="7:7">
      <c r="G49889" s="812"/>
    </row>
    <row r="49890" spans="7:7">
      <c r="G49890" s="812"/>
    </row>
    <row r="49891" spans="7:7">
      <c r="G49891" s="812"/>
    </row>
    <row r="49892" spans="7:7">
      <c r="G49892" s="812"/>
    </row>
    <row r="49893" spans="7:7">
      <c r="G49893" s="812"/>
    </row>
    <row r="49894" spans="7:7">
      <c r="G49894" s="812"/>
    </row>
    <row r="49895" spans="7:7">
      <c r="G49895" s="812"/>
    </row>
    <row r="49896" spans="7:7">
      <c r="G49896" s="812"/>
    </row>
    <row r="49897" spans="7:7">
      <c r="G49897" s="812"/>
    </row>
    <row r="49898" spans="7:7">
      <c r="G49898" s="812"/>
    </row>
    <row r="49899" spans="7:7">
      <c r="G49899" s="812"/>
    </row>
    <row r="49900" spans="7:7">
      <c r="G49900" s="812"/>
    </row>
    <row r="49901" spans="7:7">
      <c r="G49901" s="812"/>
    </row>
    <row r="49902" spans="7:7">
      <c r="G49902" s="812"/>
    </row>
    <row r="49903" spans="7:7">
      <c r="G49903" s="812"/>
    </row>
    <row r="49904" spans="7:7">
      <c r="G49904" s="812"/>
    </row>
    <row r="49905" spans="7:7">
      <c r="G49905" s="812"/>
    </row>
    <row r="49906" spans="7:7">
      <c r="G49906" s="812"/>
    </row>
    <row r="49907" spans="7:7">
      <c r="G49907" s="812"/>
    </row>
    <row r="49908" spans="7:7">
      <c r="G49908" s="812"/>
    </row>
    <row r="49909" spans="7:7">
      <c r="G49909" s="812"/>
    </row>
    <row r="49910" spans="7:7">
      <c r="G49910" s="812"/>
    </row>
    <row r="49911" spans="7:7">
      <c r="G49911" s="812"/>
    </row>
    <row r="49912" spans="7:7">
      <c r="G49912" s="812"/>
    </row>
    <row r="49913" spans="7:7">
      <c r="G49913" s="812"/>
    </row>
    <row r="49914" spans="7:7">
      <c r="G49914" s="812"/>
    </row>
    <row r="49915" spans="7:7">
      <c r="G49915" s="812"/>
    </row>
    <row r="49916" spans="7:7">
      <c r="G49916" s="812"/>
    </row>
    <row r="49917" spans="7:7">
      <c r="G49917" s="812"/>
    </row>
    <row r="49918" spans="7:7">
      <c r="G49918" s="812"/>
    </row>
    <row r="49919" spans="7:7">
      <c r="G49919" s="812"/>
    </row>
    <row r="49920" spans="7:7">
      <c r="G49920" s="812"/>
    </row>
    <row r="49921" spans="7:7">
      <c r="G49921" s="812"/>
    </row>
    <row r="49922" spans="7:7">
      <c r="G49922" s="812"/>
    </row>
    <row r="49923" spans="7:7">
      <c r="G49923" s="812"/>
    </row>
    <row r="49924" spans="7:7">
      <c r="G49924" s="812"/>
    </row>
    <row r="49925" spans="7:7">
      <c r="G49925" s="812"/>
    </row>
    <row r="49926" spans="7:7">
      <c r="G49926" s="812"/>
    </row>
    <row r="49927" spans="7:7">
      <c r="G49927" s="812"/>
    </row>
    <row r="49928" spans="7:7">
      <c r="G49928" s="812"/>
    </row>
    <row r="49929" spans="7:7">
      <c r="G49929" s="812"/>
    </row>
    <row r="49930" spans="7:7">
      <c r="G49930" s="812"/>
    </row>
    <row r="49931" spans="7:7">
      <c r="G49931" s="812"/>
    </row>
    <row r="49932" spans="7:7">
      <c r="G49932" s="812"/>
    </row>
    <row r="49933" spans="7:7">
      <c r="G49933" s="812"/>
    </row>
    <row r="49934" spans="7:7">
      <c r="G49934" s="812"/>
    </row>
    <row r="49935" spans="7:7">
      <c r="G49935" s="812"/>
    </row>
    <row r="49936" spans="7:7">
      <c r="G49936" s="812"/>
    </row>
    <row r="49937" spans="7:7">
      <c r="G49937" s="812"/>
    </row>
    <row r="49938" spans="7:7">
      <c r="G49938" s="812"/>
    </row>
    <row r="49939" spans="7:7">
      <c r="G49939" s="812"/>
    </row>
    <row r="49940" spans="7:7">
      <c r="G49940" s="812"/>
    </row>
    <row r="49941" spans="7:7">
      <c r="G49941" s="812"/>
    </row>
    <row r="49942" spans="7:7">
      <c r="G49942" s="812"/>
    </row>
    <row r="49943" spans="7:7">
      <c r="G49943" s="812"/>
    </row>
    <row r="49944" spans="7:7">
      <c r="G49944" s="812"/>
    </row>
    <row r="49945" spans="7:7">
      <c r="G49945" s="812"/>
    </row>
    <row r="49946" spans="7:7">
      <c r="G49946" s="812"/>
    </row>
    <row r="49947" spans="7:7">
      <c r="G49947" s="812"/>
    </row>
    <row r="49948" spans="7:7">
      <c r="G49948" s="812"/>
    </row>
    <row r="49949" spans="7:7">
      <c r="G49949" s="812"/>
    </row>
    <row r="49950" spans="7:7">
      <c r="G49950" s="812"/>
    </row>
    <row r="49951" spans="7:7">
      <c r="G49951" s="812"/>
    </row>
    <row r="49952" spans="7:7">
      <c r="G49952" s="812"/>
    </row>
    <row r="49953" spans="7:7">
      <c r="G49953" s="812"/>
    </row>
    <row r="49954" spans="7:7">
      <c r="G49954" s="812"/>
    </row>
    <row r="49955" spans="7:7">
      <c r="G49955" s="812"/>
    </row>
    <row r="49956" spans="7:7">
      <c r="G49956" s="812"/>
    </row>
    <row r="49957" spans="7:7">
      <c r="G49957" s="812"/>
    </row>
    <row r="49958" spans="7:7">
      <c r="G49958" s="812"/>
    </row>
    <row r="49959" spans="7:7">
      <c r="G49959" s="812"/>
    </row>
    <row r="49960" spans="7:7">
      <c r="G49960" s="812"/>
    </row>
    <row r="49961" spans="7:7">
      <c r="G49961" s="812"/>
    </row>
    <row r="49962" spans="7:7">
      <c r="G49962" s="812"/>
    </row>
    <row r="49963" spans="7:7">
      <c r="G49963" s="812"/>
    </row>
    <row r="49964" spans="7:7">
      <c r="G49964" s="812"/>
    </row>
    <row r="49965" spans="7:7">
      <c r="G49965" s="812"/>
    </row>
    <row r="49966" spans="7:7">
      <c r="G49966" s="812"/>
    </row>
    <row r="49967" spans="7:7">
      <c r="G49967" s="812"/>
    </row>
    <row r="49968" spans="7:7">
      <c r="G49968" s="812"/>
    </row>
    <row r="49969" spans="7:7">
      <c r="G49969" s="812"/>
    </row>
    <row r="49970" spans="7:7">
      <c r="G49970" s="812"/>
    </row>
    <row r="49971" spans="7:7">
      <c r="G49971" s="812"/>
    </row>
    <row r="49972" spans="7:7">
      <c r="G49972" s="812"/>
    </row>
    <row r="49973" spans="7:7">
      <c r="G49973" s="812"/>
    </row>
    <row r="49974" spans="7:7">
      <c r="G49974" s="812"/>
    </row>
    <row r="49975" spans="7:7">
      <c r="G49975" s="812"/>
    </row>
    <row r="49976" spans="7:7">
      <c r="G49976" s="812"/>
    </row>
    <row r="49977" spans="7:7">
      <c r="G49977" s="812"/>
    </row>
    <row r="49978" spans="7:7">
      <c r="G49978" s="812"/>
    </row>
    <row r="49979" spans="7:7">
      <c r="G49979" s="812"/>
    </row>
    <row r="49980" spans="7:7">
      <c r="G49980" s="812"/>
    </row>
    <row r="49981" spans="7:7">
      <c r="G49981" s="812"/>
    </row>
    <row r="49982" spans="7:7">
      <c r="G49982" s="812"/>
    </row>
    <row r="49983" spans="7:7">
      <c r="G49983" s="812"/>
    </row>
    <row r="49984" spans="7:7">
      <c r="G49984" s="812"/>
    </row>
    <row r="49985" spans="7:7">
      <c r="G49985" s="812"/>
    </row>
    <row r="49986" spans="7:7">
      <c r="G49986" s="812"/>
    </row>
    <row r="49987" spans="7:7">
      <c r="G49987" s="812"/>
    </row>
    <row r="49988" spans="7:7">
      <c r="G49988" s="812"/>
    </row>
    <row r="49989" spans="7:7">
      <c r="G49989" s="812"/>
    </row>
    <row r="49990" spans="7:7">
      <c r="G49990" s="812"/>
    </row>
    <row r="49991" spans="7:7">
      <c r="G49991" s="812"/>
    </row>
    <row r="49992" spans="7:7">
      <c r="G49992" s="812"/>
    </row>
    <row r="49993" spans="7:7">
      <c r="G49993" s="812"/>
    </row>
    <row r="49994" spans="7:7">
      <c r="G49994" s="812"/>
    </row>
    <row r="49995" spans="7:7">
      <c r="G49995" s="812"/>
    </row>
    <row r="49996" spans="7:7">
      <c r="G49996" s="812"/>
    </row>
    <row r="49997" spans="7:7">
      <c r="G49997" s="812"/>
    </row>
    <row r="49998" spans="7:7">
      <c r="G49998" s="812"/>
    </row>
    <row r="49999" spans="7:7">
      <c r="G49999" s="812"/>
    </row>
    <row r="50000" spans="7:7">
      <c r="G50000" s="812"/>
    </row>
    <row r="50001" spans="7:7">
      <c r="G50001" s="812"/>
    </row>
    <row r="50002" spans="7:7">
      <c r="G50002" s="812"/>
    </row>
    <row r="50003" spans="7:7">
      <c r="G50003" s="812"/>
    </row>
    <row r="50004" spans="7:7">
      <c r="G50004" s="812"/>
    </row>
    <row r="50005" spans="7:7">
      <c r="G50005" s="812"/>
    </row>
    <row r="50006" spans="7:7">
      <c r="G50006" s="812"/>
    </row>
    <row r="50007" spans="7:7">
      <c r="G50007" s="812"/>
    </row>
    <row r="50008" spans="7:7">
      <c r="G50008" s="812"/>
    </row>
    <row r="50009" spans="7:7">
      <c r="G50009" s="812"/>
    </row>
    <row r="50010" spans="7:7">
      <c r="G50010" s="812"/>
    </row>
    <row r="50011" spans="7:7">
      <c r="G50011" s="812"/>
    </row>
    <row r="50012" spans="7:7">
      <c r="G50012" s="812"/>
    </row>
    <row r="50013" spans="7:7">
      <c r="G50013" s="812"/>
    </row>
    <row r="50014" spans="7:7">
      <c r="G50014" s="812"/>
    </row>
    <row r="50015" spans="7:7">
      <c r="G50015" s="812"/>
    </row>
    <row r="50016" spans="7:7">
      <c r="G50016" s="812"/>
    </row>
    <row r="50017" spans="7:7">
      <c r="G50017" s="812"/>
    </row>
    <row r="50018" spans="7:7">
      <c r="G50018" s="812"/>
    </row>
    <row r="50019" spans="7:7">
      <c r="G50019" s="812"/>
    </row>
    <row r="50020" spans="7:7">
      <c r="G50020" s="812"/>
    </row>
    <row r="50021" spans="7:7">
      <c r="G50021" s="812"/>
    </row>
    <row r="50022" spans="7:7">
      <c r="G50022" s="812"/>
    </row>
    <row r="50023" spans="7:7">
      <c r="G50023" s="812"/>
    </row>
    <row r="50024" spans="7:7">
      <c r="G50024" s="812"/>
    </row>
    <row r="50025" spans="7:7">
      <c r="G50025" s="812"/>
    </row>
    <row r="50026" spans="7:7">
      <c r="G50026" s="812"/>
    </row>
    <row r="50027" spans="7:7">
      <c r="G50027" s="812"/>
    </row>
    <row r="50028" spans="7:7">
      <c r="G50028" s="812"/>
    </row>
    <row r="50029" spans="7:7">
      <c r="G50029" s="812"/>
    </row>
    <row r="50030" spans="7:7">
      <c r="G50030" s="812"/>
    </row>
    <row r="50031" spans="7:7">
      <c r="G50031" s="812"/>
    </row>
    <row r="50032" spans="7:7">
      <c r="G50032" s="812"/>
    </row>
    <row r="50033" spans="7:7">
      <c r="G50033" s="812"/>
    </row>
    <row r="50034" spans="7:7">
      <c r="G50034" s="812"/>
    </row>
    <row r="50035" spans="7:7">
      <c r="G50035" s="812"/>
    </row>
    <row r="50036" spans="7:7">
      <c r="G50036" s="812"/>
    </row>
    <row r="50037" spans="7:7">
      <c r="G50037" s="812"/>
    </row>
    <row r="50038" spans="7:7">
      <c r="G50038" s="812"/>
    </row>
    <row r="50039" spans="7:7">
      <c r="G50039" s="812"/>
    </row>
    <row r="50040" spans="7:7">
      <c r="G50040" s="812"/>
    </row>
    <row r="50041" spans="7:7">
      <c r="G50041" s="812"/>
    </row>
    <row r="50042" spans="7:7">
      <c r="G50042" s="812"/>
    </row>
    <row r="50043" spans="7:7">
      <c r="G50043" s="812"/>
    </row>
    <row r="50044" spans="7:7">
      <c r="G50044" s="812"/>
    </row>
    <row r="50045" spans="7:7">
      <c r="G50045" s="812"/>
    </row>
    <row r="50046" spans="7:7">
      <c r="G50046" s="812"/>
    </row>
    <row r="50047" spans="7:7">
      <c r="G50047" s="812"/>
    </row>
    <row r="50048" spans="7:7">
      <c r="G50048" s="812"/>
    </row>
    <row r="50049" spans="7:7">
      <c r="G50049" s="812"/>
    </row>
    <row r="50050" spans="7:7">
      <c r="G50050" s="812"/>
    </row>
    <row r="50051" spans="7:7">
      <c r="G50051" s="812"/>
    </row>
    <row r="50052" spans="7:7">
      <c r="G50052" s="812"/>
    </row>
    <row r="50053" spans="7:7">
      <c r="G50053" s="812"/>
    </row>
    <row r="50054" spans="7:7">
      <c r="G50054" s="812"/>
    </row>
    <row r="50055" spans="7:7">
      <c r="G50055" s="812"/>
    </row>
    <row r="50056" spans="7:7">
      <c r="G50056" s="812"/>
    </row>
    <row r="50057" spans="7:7">
      <c r="G50057" s="812"/>
    </row>
    <row r="50058" spans="7:7">
      <c r="G50058" s="812"/>
    </row>
    <row r="50059" spans="7:7">
      <c r="G50059" s="812"/>
    </row>
    <row r="50060" spans="7:7">
      <c r="G50060" s="812"/>
    </row>
    <row r="50061" spans="7:7">
      <c r="G50061" s="812"/>
    </row>
    <row r="50062" spans="7:7">
      <c r="G50062" s="812"/>
    </row>
    <row r="50063" spans="7:7">
      <c r="G50063" s="812"/>
    </row>
    <row r="50064" spans="7:7">
      <c r="G50064" s="812"/>
    </row>
    <row r="50065" spans="7:7">
      <c r="G50065" s="812"/>
    </row>
    <row r="50066" spans="7:7">
      <c r="G50066" s="812"/>
    </row>
    <row r="50067" spans="7:7">
      <c r="G50067" s="812"/>
    </row>
    <row r="50068" spans="7:7">
      <c r="G50068" s="812"/>
    </row>
    <row r="50069" spans="7:7">
      <c r="G50069" s="812"/>
    </row>
    <row r="50070" spans="7:7">
      <c r="G50070" s="812"/>
    </row>
    <row r="50071" spans="7:7">
      <c r="G50071" s="812"/>
    </row>
    <row r="50072" spans="7:7">
      <c r="G50072" s="812"/>
    </row>
    <row r="50073" spans="7:7">
      <c r="G50073" s="812"/>
    </row>
    <row r="50074" spans="7:7">
      <c r="G50074" s="812"/>
    </row>
    <row r="50075" spans="7:7">
      <c r="G50075" s="812"/>
    </row>
    <row r="50076" spans="7:7">
      <c r="G50076" s="812"/>
    </row>
    <row r="50077" spans="7:7">
      <c r="G50077" s="812"/>
    </row>
    <row r="50078" spans="7:7">
      <c r="G50078" s="812"/>
    </row>
    <row r="50079" spans="7:7">
      <c r="G50079" s="812"/>
    </row>
    <row r="50080" spans="7:7">
      <c r="G50080" s="812"/>
    </row>
    <row r="50081" spans="7:7">
      <c r="G50081" s="812"/>
    </row>
    <row r="50082" spans="7:7">
      <c r="G50082" s="812"/>
    </row>
    <row r="50083" spans="7:7">
      <c r="G50083" s="812"/>
    </row>
    <row r="50084" spans="7:7">
      <c r="G50084" s="812"/>
    </row>
    <row r="50085" spans="7:7">
      <c r="G50085" s="812"/>
    </row>
    <row r="50086" spans="7:7">
      <c r="G50086" s="812"/>
    </row>
    <row r="50087" spans="7:7">
      <c r="G50087" s="812"/>
    </row>
    <row r="50088" spans="7:7">
      <c r="G50088" s="812"/>
    </row>
    <row r="50089" spans="7:7">
      <c r="G50089" s="812"/>
    </row>
    <row r="50090" spans="7:7">
      <c r="G50090" s="812"/>
    </row>
    <row r="50091" spans="7:7">
      <c r="G50091" s="812"/>
    </row>
    <row r="50092" spans="7:7">
      <c r="G50092" s="812"/>
    </row>
    <row r="50093" spans="7:7">
      <c r="G50093" s="812"/>
    </row>
    <row r="50094" spans="7:7">
      <c r="G50094" s="812"/>
    </row>
    <row r="50095" spans="7:7">
      <c r="G50095" s="812"/>
    </row>
    <row r="50096" spans="7:7">
      <c r="G50096" s="812"/>
    </row>
    <row r="50097" spans="7:7">
      <c r="G50097" s="812"/>
    </row>
    <row r="50098" spans="7:7">
      <c r="G50098" s="812"/>
    </row>
    <row r="50099" spans="7:7">
      <c r="G50099" s="812"/>
    </row>
    <row r="50100" spans="7:7">
      <c r="G50100" s="812"/>
    </row>
    <row r="50101" spans="7:7">
      <c r="G50101" s="812"/>
    </row>
    <row r="50102" spans="7:7">
      <c r="G50102" s="812"/>
    </row>
    <row r="50103" spans="7:7">
      <c r="G50103" s="812"/>
    </row>
    <row r="50104" spans="7:7">
      <c r="G50104" s="812"/>
    </row>
    <row r="50105" spans="7:7">
      <c r="G50105" s="812"/>
    </row>
    <row r="50106" spans="7:7">
      <c r="G50106" s="812"/>
    </row>
    <row r="50107" spans="7:7">
      <c r="G50107" s="812"/>
    </row>
    <row r="50108" spans="7:7">
      <c r="G50108" s="812"/>
    </row>
    <row r="50109" spans="7:7">
      <c r="G50109" s="812"/>
    </row>
    <row r="50110" spans="7:7">
      <c r="G50110" s="812"/>
    </row>
    <row r="50111" spans="7:7">
      <c r="G50111" s="812"/>
    </row>
    <row r="50112" spans="7:7">
      <c r="G50112" s="812"/>
    </row>
    <row r="50113" spans="7:7">
      <c r="G50113" s="812"/>
    </row>
    <row r="50114" spans="7:7">
      <c r="G50114" s="812"/>
    </row>
    <row r="50115" spans="7:7">
      <c r="G50115" s="812"/>
    </row>
    <row r="50116" spans="7:7">
      <c r="G50116" s="812"/>
    </row>
    <row r="50117" spans="7:7">
      <c r="G50117" s="812"/>
    </row>
    <row r="50118" spans="7:7">
      <c r="G50118" s="812"/>
    </row>
    <row r="50119" spans="7:7">
      <c r="G50119" s="812"/>
    </row>
    <row r="50120" spans="7:7">
      <c r="G50120" s="812"/>
    </row>
    <row r="50121" spans="7:7">
      <c r="G50121" s="812"/>
    </row>
    <row r="50122" spans="7:7">
      <c r="G50122" s="812"/>
    </row>
    <row r="50123" spans="7:7">
      <c r="G50123" s="812"/>
    </row>
    <row r="50124" spans="7:7">
      <c r="G50124" s="812"/>
    </row>
    <row r="50125" spans="7:7">
      <c r="G50125" s="812"/>
    </row>
    <row r="50126" spans="7:7">
      <c r="G50126" s="812"/>
    </row>
    <row r="50127" spans="7:7">
      <c r="G50127" s="812"/>
    </row>
    <row r="50128" spans="7:7">
      <c r="G50128" s="812"/>
    </row>
    <row r="50129" spans="7:7">
      <c r="G50129" s="812"/>
    </row>
    <row r="50130" spans="7:7">
      <c r="G50130" s="812"/>
    </row>
    <row r="50131" spans="7:7">
      <c r="G50131" s="812"/>
    </row>
    <row r="50132" spans="7:7">
      <c r="G50132" s="812"/>
    </row>
    <row r="50133" spans="7:7">
      <c r="G50133" s="812"/>
    </row>
    <row r="50134" spans="7:7">
      <c r="G50134" s="812"/>
    </row>
    <row r="50135" spans="7:7">
      <c r="G50135" s="812"/>
    </row>
    <row r="50136" spans="7:7">
      <c r="G50136" s="812"/>
    </row>
    <row r="50137" spans="7:7">
      <c r="G50137" s="812"/>
    </row>
    <row r="50138" spans="7:7">
      <c r="G50138" s="812"/>
    </row>
    <row r="50139" spans="7:7">
      <c r="G50139" s="812"/>
    </row>
    <row r="50140" spans="7:7">
      <c r="G50140" s="812"/>
    </row>
    <row r="50141" spans="7:7">
      <c r="G50141" s="812"/>
    </row>
    <row r="50142" spans="7:7">
      <c r="G50142" s="812"/>
    </row>
    <row r="50143" spans="7:7">
      <c r="G50143" s="812"/>
    </row>
    <row r="50144" spans="7:7">
      <c r="G50144" s="812"/>
    </row>
    <row r="50145" spans="7:7">
      <c r="G50145" s="812"/>
    </row>
    <row r="50146" spans="7:7">
      <c r="G50146" s="812"/>
    </row>
    <row r="50147" spans="7:7">
      <c r="G50147" s="812"/>
    </row>
    <row r="50148" spans="7:7">
      <c r="G50148" s="812"/>
    </row>
    <row r="50149" spans="7:7">
      <c r="G50149" s="812"/>
    </row>
    <row r="50150" spans="7:7">
      <c r="G50150" s="812"/>
    </row>
    <row r="50151" spans="7:7">
      <c r="G50151" s="812"/>
    </row>
    <row r="50152" spans="7:7">
      <c r="G50152" s="812"/>
    </row>
    <row r="50153" spans="7:7">
      <c r="G50153" s="812"/>
    </row>
    <row r="50154" spans="7:7">
      <c r="G50154" s="812"/>
    </row>
    <row r="50155" spans="7:7">
      <c r="G50155" s="812"/>
    </row>
    <row r="50156" spans="7:7">
      <c r="G50156" s="812"/>
    </row>
    <row r="50157" spans="7:7">
      <c r="G50157" s="812"/>
    </row>
    <row r="50158" spans="7:7">
      <c r="G50158" s="812"/>
    </row>
    <row r="50159" spans="7:7">
      <c r="G50159" s="812"/>
    </row>
    <row r="50160" spans="7:7">
      <c r="G50160" s="812"/>
    </row>
    <row r="50161" spans="7:7">
      <c r="G50161" s="812"/>
    </row>
    <row r="50162" spans="7:7">
      <c r="G50162" s="812"/>
    </row>
    <row r="50163" spans="7:7">
      <c r="G50163" s="812"/>
    </row>
    <row r="50164" spans="7:7">
      <c r="G50164" s="812"/>
    </row>
    <row r="50165" spans="7:7">
      <c r="G50165" s="812"/>
    </row>
    <row r="50166" spans="7:7">
      <c r="G50166" s="812"/>
    </row>
    <row r="50167" spans="7:7">
      <c r="G50167" s="812"/>
    </row>
    <row r="50168" spans="7:7">
      <c r="G50168" s="812"/>
    </row>
    <row r="50169" spans="7:7">
      <c r="G50169" s="812"/>
    </row>
    <row r="50170" spans="7:7">
      <c r="G50170" s="812"/>
    </row>
    <row r="50171" spans="7:7">
      <c r="G50171" s="812"/>
    </row>
    <row r="50172" spans="7:7">
      <c r="G50172" s="812"/>
    </row>
    <row r="50173" spans="7:7">
      <c r="G50173" s="812"/>
    </row>
    <row r="50174" spans="7:7">
      <c r="G50174" s="812"/>
    </row>
    <row r="50175" spans="7:7">
      <c r="G50175" s="812"/>
    </row>
    <row r="50176" spans="7:7">
      <c r="G50176" s="812"/>
    </row>
    <row r="50177" spans="7:7">
      <c r="G50177" s="812"/>
    </row>
    <row r="50178" spans="7:7">
      <c r="G50178" s="812"/>
    </row>
    <row r="50179" spans="7:7">
      <c r="G50179" s="812"/>
    </row>
    <row r="50180" spans="7:7">
      <c r="G50180" s="812"/>
    </row>
    <row r="50181" spans="7:7">
      <c r="G50181" s="812"/>
    </row>
    <row r="50182" spans="7:7">
      <c r="G50182" s="812"/>
    </row>
    <row r="50183" spans="7:7">
      <c r="G50183" s="812"/>
    </row>
    <row r="50184" spans="7:7">
      <c r="G50184" s="812"/>
    </row>
    <row r="50185" spans="7:7">
      <c r="G50185" s="812"/>
    </row>
    <row r="50186" spans="7:7">
      <c r="G50186" s="812"/>
    </row>
    <row r="50187" spans="7:7">
      <c r="G50187" s="812"/>
    </row>
    <row r="50188" spans="7:7">
      <c r="G50188" s="812"/>
    </row>
    <row r="50189" spans="7:7">
      <c r="G50189" s="812"/>
    </row>
    <row r="50190" spans="7:7">
      <c r="G50190" s="812"/>
    </row>
    <row r="50191" spans="7:7">
      <c r="G50191" s="812"/>
    </row>
    <row r="50192" spans="7:7">
      <c r="G50192" s="812"/>
    </row>
    <row r="50193" spans="7:7">
      <c r="G50193" s="812"/>
    </row>
    <row r="50194" spans="7:7">
      <c r="G50194" s="812"/>
    </row>
    <row r="50195" spans="7:7">
      <c r="G50195" s="812"/>
    </row>
    <row r="50196" spans="7:7">
      <c r="G50196" s="812"/>
    </row>
    <row r="50197" spans="7:7">
      <c r="G50197" s="812"/>
    </row>
    <row r="50198" spans="7:7">
      <c r="G50198" s="812"/>
    </row>
    <row r="50199" spans="7:7">
      <c r="G50199" s="812"/>
    </row>
    <row r="50200" spans="7:7">
      <c r="G50200" s="812"/>
    </row>
    <row r="50201" spans="7:7">
      <c r="G50201" s="812"/>
    </row>
    <row r="50202" spans="7:7">
      <c r="G50202" s="812"/>
    </row>
    <row r="50203" spans="7:7">
      <c r="G50203" s="812"/>
    </row>
    <row r="50204" spans="7:7">
      <c r="G50204" s="812"/>
    </row>
    <row r="50205" spans="7:7">
      <c r="G50205" s="812"/>
    </row>
    <row r="50206" spans="7:7">
      <c r="G50206" s="812"/>
    </row>
    <row r="50207" spans="7:7">
      <c r="G50207" s="812"/>
    </row>
    <row r="50208" spans="7:7">
      <c r="G50208" s="812"/>
    </row>
    <row r="50209" spans="7:7">
      <c r="G50209" s="812"/>
    </row>
    <row r="50210" spans="7:7">
      <c r="G50210" s="812"/>
    </row>
    <row r="50211" spans="7:7">
      <c r="G50211" s="812"/>
    </row>
    <row r="50212" spans="7:7">
      <c r="G50212" s="812"/>
    </row>
    <row r="50213" spans="7:7">
      <c r="G50213" s="812"/>
    </row>
    <row r="50214" spans="7:7">
      <c r="G50214" s="812"/>
    </row>
    <row r="50215" spans="7:7">
      <c r="G50215" s="812"/>
    </row>
    <row r="50216" spans="7:7">
      <c r="G50216" s="812"/>
    </row>
    <row r="50217" spans="7:7">
      <c r="G50217" s="812"/>
    </row>
    <row r="50218" spans="7:7">
      <c r="G50218" s="812"/>
    </row>
    <row r="50219" spans="7:7">
      <c r="G50219" s="812"/>
    </row>
    <row r="50220" spans="7:7">
      <c r="G50220" s="812"/>
    </row>
    <row r="50221" spans="7:7">
      <c r="G50221" s="812"/>
    </row>
    <row r="50222" spans="7:7">
      <c r="G50222" s="812"/>
    </row>
    <row r="50223" spans="7:7">
      <c r="G50223" s="812"/>
    </row>
    <row r="50224" spans="7:7">
      <c r="G50224" s="812"/>
    </row>
    <row r="50225" spans="7:7">
      <c r="G50225" s="812"/>
    </row>
    <row r="50226" spans="7:7">
      <c r="G50226" s="812"/>
    </row>
    <row r="50227" spans="7:7">
      <c r="G50227" s="812"/>
    </row>
    <row r="50228" spans="7:7">
      <c r="G50228" s="812"/>
    </row>
    <row r="50229" spans="7:7">
      <c r="G50229" s="812"/>
    </row>
    <row r="50230" spans="7:7">
      <c r="G50230" s="812"/>
    </row>
    <row r="50231" spans="7:7">
      <c r="G50231" s="812"/>
    </row>
    <row r="50232" spans="7:7">
      <c r="G50232" s="812"/>
    </row>
    <row r="50233" spans="7:7">
      <c r="G50233" s="812"/>
    </row>
    <row r="50234" spans="7:7">
      <c r="G50234" s="812"/>
    </row>
    <row r="50235" spans="7:7">
      <c r="G50235" s="812"/>
    </row>
    <row r="50236" spans="7:7">
      <c r="G50236" s="812"/>
    </row>
    <row r="50237" spans="7:7">
      <c r="G50237" s="812"/>
    </row>
    <row r="50238" spans="7:7">
      <c r="G50238" s="812"/>
    </row>
    <row r="50239" spans="7:7">
      <c r="G50239" s="812"/>
    </row>
    <row r="50240" spans="7:7">
      <c r="G50240" s="812"/>
    </row>
    <row r="50241" spans="7:7">
      <c r="G50241" s="812"/>
    </row>
    <row r="50242" spans="7:7">
      <c r="G50242" s="812"/>
    </row>
    <row r="50243" spans="7:7">
      <c r="G50243" s="812"/>
    </row>
    <row r="50244" spans="7:7">
      <c r="G50244" s="812"/>
    </row>
    <row r="50245" spans="7:7">
      <c r="G50245" s="812"/>
    </row>
    <row r="50246" spans="7:7">
      <c r="G50246" s="812"/>
    </row>
    <row r="50247" spans="7:7">
      <c r="G50247" s="812"/>
    </row>
    <row r="50248" spans="7:7">
      <c r="G50248" s="812"/>
    </row>
    <row r="50249" spans="7:7">
      <c r="G50249" s="812"/>
    </row>
    <row r="50250" spans="7:7">
      <c r="G50250" s="812"/>
    </row>
    <row r="50251" spans="7:7">
      <c r="G50251" s="812"/>
    </row>
    <row r="50252" spans="7:7">
      <c r="G50252" s="812"/>
    </row>
    <row r="50253" spans="7:7">
      <c r="G50253" s="812"/>
    </row>
    <row r="50254" spans="7:7">
      <c r="G50254" s="812"/>
    </row>
    <row r="50255" spans="7:7">
      <c r="G50255" s="812"/>
    </row>
    <row r="50256" spans="7:7">
      <c r="G50256" s="812"/>
    </row>
    <row r="50257" spans="7:7">
      <c r="G50257" s="812"/>
    </row>
    <row r="50258" spans="7:7">
      <c r="G50258" s="812"/>
    </row>
    <row r="50259" spans="7:7">
      <c r="G50259" s="812"/>
    </row>
    <row r="50260" spans="7:7">
      <c r="G50260" s="812"/>
    </row>
    <row r="50261" spans="7:7">
      <c r="G50261" s="812"/>
    </row>
    <row r="50262" spans="7:7">
      <c r="G50262" s="812"/>
    </row>
    <row r="50263" spans="7:7">
      <c r="G50263" s="812"/>
    </row>
    <row r="50264" spans="7:7">
      <c r="G50264" s="812"/>
    </row>
    <row r="50265" spans="7:7">
      <c r="G50265" s="812"/>
    </row>
    <row r="50266" spans="7:7">
      <c r="G50266" s="812"/>
    </row>
    <row r="50267" spans="7:7">
      <c r="G50267" s="812"/>
    </row>
    <row r="50268" spans="7:7">
      <c r="G50268" s="812"/>
    </row>
    <row r="50269" spans="7:7">
      <c r="G50269" s="812"/>
    </row>
    <row r="50270" spans="7:7">
      <c r="G50270" s="812"/>
    </row>
    <row r="50271" spans="7:7">
      <c r="G50271" s="812"/>
    </row>
    <row r="50272" spans="7:7">
      <c r="G50272" s="812"/>
    </row>
    <row r="50273" spans="7:7">
      <c r="G50273" s="812"/>
    </row>
    <row r="50274" spans="7:7">
      <c r="G50274" s="812"/>
    </row>
    <row r="50275" spans="7:7">
      <c r="G50275" s="812"/>
    </row>
    <row r="50276" spans="7:7">
      <c r="G50276" s="812"/>
    </row>
    <row r="50277" spans="7:7">
      <c r="G50277" s="812"/>
    </row>
    <row r="50278" spans="7:7">
      <c r="G50278" s="812"/>
    </row>
    <row r="50279" spans="7:7">
      <c r="G50279" s="812"/>
    </row>
    <row r="50280" spans="7:7">
      <c r="G50280" s="812"/>
    </row>
    <row r="50281" spans="7:7">
      <c r="G50281" s="812"/>
    </row>
    <row r="50282" spans="7:7">
      <c r="G50282" s="812"/>
    </row>
    <row r="50283" spans="7:7">
      <c r="G50283" s="812"/>
    </row>
    <row r="50284" spans="7:7">
      <c r="G50284" s="812"/>
    </row>
    <row r="50285" spans="7:7">
      <c r="G50285" s="812"/>
    </row>
    <row r="50286" spans="7:7">
      <c r="G50286" s="812"/>
    </row>
    <row r="50287" spans="7:7">
      <c r="G50287" s="812"/>
    </row>
    <row r="50288" spans="7:7">
      <c r="G50288" s="812"/>
    </row>
    <row r="50289" spans="7:7">
      <c r="G50289" s="812"/>
    </row>
    <row r="50290" spans="7:7">
      <c r="G50290" s="812"/>
    </row>
    <row r="50291" spans="7:7">
      <c r="G50291" s="812"/>
    </row>
    <row r="50292" spans="7:7">
      <c r="G50292" s="812"/>
    </row>
    <row r="50293" spans="7:7">
      <c r="G50293" s="812"/>
    </row>
    <row r="50294" spans="7:7">
      <c r="G50294" s="812"/>
    </row>
    <row r="50295" spans="7:7">
      <c r="G50295" s="812"/>
    </row>
    <row r="50296" spans="7:7">
      <c r="G50296" s="812"/>
    </row>
    <row r="50297" spans="7:7">
      <c r="G50297" s="812"/>
    </row>
    <row r="50298" spans="7:7">
      <c r="G50298" s="812"/>
    </row>
    <row r="50299" spans="7:7">
      <c r="G50299" s="812"/>
    </row>
    <row r="50300" spans="7:7">
      <c r="G50300" s="812"/>
    </row>
    <row r="50301" spans="7:7">
      <c r="G50301" s="812"/>
    </row>
    <row r="50302" spans="7:7">
      <c r="G50302" s="812"/>
    </row>
    <row r="50303" spans="7:7">
      <c r="G50303" s="812"/>
    </row>
    <row r="50304" spans="7:7">
      <c r="G50304" s="812"/>
    </row>
    <row r="50305" spans="7:7">
      <c r="G50305" s="812"/>
    </row>
    <row r="50306" spans="7:7">
      <c r="G50306" s="812"/>
    </row>
    <row r="50307" spans="7:7">
      <c r="G50307" s="812"/>
    </row>
    <row r="50308" spans="7:7">
      <c r="G50308" s="812"/>
    </row>
    <row r="50309" spans="7:7">
      <c r="G50309" s="812"/>
    </row>
    <row r="50310" spans="7:7">
      <c r="G50310" s="812"/>
    </row>
    <row r="50311" spans="7:7">
      <c r="G50311" s="812"/>
    </row>
    <row r="50312" spans="7:7">
      <c r="G50312" s="812"/>
    </row>
    <row r="50313" spans="7:7">
      <c r="G50313" s="812"/>
    </row>
    <row r="50314" spans="7:7">
      <c r="G50314" s="812"/>
    </row>
    <row r="50315" spans="7:7">
      <c r="G50315" s="812"/>
    </row>
    <row r="50316" spans="7:7">
      <c r="G50316" s="812"/>
    </row>
    <row r="50317" spans="7:7">
      <c r="G50317" s="812"/>
    </row>
    <row r="50318" spans="7:7">
      <c r="G50318" s="812"/>
    </row>
    <row r="50319" spans="7:7">
      <c r="G50319" s="812"/>
    </row>
    <row r="50320" spans="7:7">
      <c r="G50320" s="812"/>
    </row>
    <row r="50321" spans="7:7">
      <c r="G50321" s="812"/>
    </row>
    <row r="50322" spans="7:7">
      <c r="G50322" s="812"/>
    </row>
    <row r="50323" spans="7:7">
      <c r="G50323" s="812"/>
    </row>
    <row r="50324" spans="7:7">
      <c r="G50324" s="812"/>
    </row>
    <row r="50325" spans="7:7">
      <c r="G50325" s="812"/>
    </row>
    <row r="50326" spans="7:7">
      <c r="G50326" s="812"/>
    </row>
    <row r="50327" spans="7:7">
      <c r="G50327" s="812"/>
    </row>
    <row r="50328" spans="7:7">
      <c r="G50328" s="812"/>
    </row>
    <row r="50329" spans="7:7">
      <c r="G50329" s="812"/>
    </row>
    <row r="50330" spans="7:7">
      <c r="G50330" s="812"/>
    </row>
    <row r="50331" spans="7:7">
      <c r="G50331" s="812"/>
    </row>
    <row r="50332" spans="7:7">
      <c r="G50332" s="812"/>
    </row>
    <row r="50333" spans="7:7">
      <c r="G50333" s="812"/>
    </row>
    <row r="50334" spans="7:7">
      <c r="G50334" s="812"/>
    </row>
    <row r="50335" spans="7:7">
      <c r="G50335" s="812"/>
    </row>
    <row r="50336" spans="7:7">
      <c r="G50336" s="812"/>
    </row>
    <row r="50337" spans="7:7">
      <c r="G50337" s="812"/>
    </row>
    <row r="50338" spans="7:7">
      <c r="G50338" s="812"/>
    </row>
    <row r="50339" spans="7:7">
      <c r="G50339" s="812"/>
    </row>
    <row r="50340" spans="7:7">
      <c r="G50340" s="812"/>
    </row>
    <row r="50341" spans="7:7">
      <c r="G50341" s="812"/>
    </row>
    <row r="50342" spans="7:7">
      <c r="G50342" s="812"/>
    </row>
    <row r="50343" spans="7:7">
      <c r="G50343" s="812"/>
    </row>
    <row r="50344" spans="7:7">
      <c r="G50344" s="812"/>
    </row>
    <row r="50345" spans="7:7">
      <c r="G50345" s="812"/>
    </row>
    <row r="50346" spans="7:7">
      <c r="G50346" s="812"/>
    </row>
    <row r="50347" spans="7:7">
      <c r="G50347" s="812"/>
    </row>
    <row r="50348" spans="7:7">
      <c r="G50348" s="812"/>
    </row>
    <row r="50349" spans="7:7">
      <c r="G50349" s="812"/>
    </row>
    <row r="50350" spans="7:7">
      <c r="G50350" s="812"/>
    </row>
    <row r="50351" spans="7:7">
      <c r="G50351" s="812"/>
    </row>
    <row r="50352" spans="7:7">
      <c r="G50352" s="812"/>
    </row>
    <row r="50353" spans="7:7">
      <c r="G50353" s="812"/>
    </row>
    <row r="50354" spans="7:7">
      <c r="G50354" s="812"/>
    </row>
    <row r="50355" spans="7:7">
      <c r="G50355" s="812"/>
    </row>
    <row r="50356" spans="7:7">
      <c r="G50356" s="812"/>
    </row>
    <row r="50357" spans="7:7">
      <c r="G50357" s="812"/>
    </row>
    <row r="50358" spans="7:7">
      <c r="G50358" s="812"/>
    </row>
    <row r="50359" spans="7:7">
      <c r="G50359" s="812"/>
    </row>
    <row r="50360" spans="7:7">
      <c r="G50360" s="812"/>
    </row>
    <row r="50361" spans="7:7">
      <c r="G50361" s="812"/>
    </row>
    <row r="50362" spans="7:7">
      <c r="G50362" s="812"/>
    </row>
    <row r="50363" spans="7:7">
      <c r="G50363" s="812"/>
    </row>
    <row r="50364" spans="7:7">
      <c r="G50364" s="812"/>
    </row>
    <row r="50365" spans="7:7">
      <c r="G50365" s="812"/>
    </row>
    <row r="50366" spans="7:7">
      <c r="G50366" s="812"/>
    </row>
    <row r="50367" spans="7:7">
      <c r="G50367" s="812"/>
    </row>
    <row r="50368" spans="7:7">
      <c r="G50368" s="812"/>
    </row>
    <row r="50369" spans="7:7">
      <c r="G50369" s="812"/>
    </row>
    <row r="50370" spans="7:7">
      <c r="G50370" s="812"/>
    </row>
    <row r="50371" spans="7:7">
      <c r="G50371" s="812"/>
    </row>
    <row r="50372" spans="7:7">
      <c r="G50372" s="812"/>
    </row>
    <row r="50373" spans="7:7">
      <c r="G50373" s="812"/>
    </row>
    <row r="50374" spans="7:7">
      <c r="G50374" s="812"/>
    </row>
    <row r="50375" spans="7:7">
      <c r="G50375" s="812"/>
    </row>
    <row r="50376" spans="7:7">
      <c r="G50376" s="812"/>
    </row>
    <row r="50377" spans="7:7">
      <c r="G50377" s="812"/>
    </row>
    <row r="50378" spans="7:7">
      <c r="G50378" s="812"/>
    </row>
    <row r="50379" spans="7:7">
      <c r="G50379" s="812"/>
    </row>
    <row r="50380" spans="7:7">
      <c r="G50380" s="812"/>
    </row>
    <row r="50381" spans="7:7">
      <c r="G50381" s="812"/>
    </row>
    <row r="50382" spans="7:7">
      <c r="G50382" s="812"/>
    </row>
    <row r="50383" spans="7:7">
      <c r="G50383" s="812"/>
    </row>
    <row r="50384" spans="7:7">
      <c r="G50384" s="812"/>
    </row>
    <row r="50385" spans="7:7">
      <c r="G50385" s="812"/>
    </row>
    <row r="50386" spans="7:7">
      <c r="G50386" s="812"/>
    </row>
    <row r="50387" spans="7:7">
      <c r="G50387" s="812"/>
    </row>
    <row r="50388" spans="7:7">
      <c r="G50388" s="812"/>
    </row>
    <row r="50389" spans="7:7">
      <c r="G50389" s="812"/>
    </row>
    <row r="50390" spans="7:7">
      <c r="G50390" s="812"/>
    </row>
    <row r="50391" spans="7:7">
      <c r="G50391" s="812"/>
    </row>
    <row r="50392" spans="7:7">
      <c r="G50392" s="812"/>
    </row>
    <row r="50393" spans="7:7">
      <c r="G50393" s="812"/>
    </row>
    <row r="50394" spans="7:7">
      <c r="G50394" s="812"/>
    </row>
    <row r="50395" spans="7:7">
      <c r="G50395" s="812"/>
    </row>
    <row r="50396" spans="7:7">
      <c r="G50396" s="812"/>
    </row>
    <row r="50397" spans="7:7">
      <c r="G50397" s="812"/>
    </row>
    <row r="50398" spans="7:7">
      <c r="G50398" s="812"/>
    </row>
    <row r="50399" spans="7:7">
      <c r="G50399" s="812"/>
    </row>
    <row r="50400" spans="7:7">
      <c r="G50400" s="812"/>
    </row>
    <row r="50401" spans="7:7">
      <c r="G50401" s="812"/>
    </row>
    <row r="50402" spans="7:7">
      <c r="G50402" s="812"/>
    </row>
    <row r="50403" spans="7:7">
      <c r="G50403" s="812"/>
    </row>
    <row r="50404" spans="7:7">
      <c r="G50404" s="812"/>
    </row>
    <row r="50405" spans="7:7">
      <c r="G50405" s="812"/>
    </row>
    <row r="50406" spans="7:7">
      <c r="G50406" s="812"/>
    </row>
    <row r="50407" spans="7:7">
      <c r="G50407" s="812"/>
    </row>
    <row r="50408" spans="7:7">
      <c r="G50408" s="812"/>
    </row>
    <row r="50409" spans="7:7">
      <c r="G50409" s="812"/>
    </row>
    <row r="50410" spans="7:7">
      <c r="G50410" s="812"/>
    </row>
    <row r="50411" spans="7:7">
      <c r="G50411" s="812"/>
    </row>
    <row r="50412" spans="7:7">
      <c r="G50412" s="812"/>
    </row>
    <row r="50413" spans="7:7">
      <c r="G50413" s="812"/>
    </row>
    <row r="50414" spans="7:7">
      <c r="G50414" s="812"/>
    </row>
    <row r="50415" spans="7:7">
      <c r="G50415" s="812"/>
    </row>
    <row r="50416" spans="7:7">
      <c r="G50416" s="812"/>
    </row>
    <row r="50417" spans="7:7">
      <c r="G50417" s="812"/>
    </row>
    <row r="50418" spans="7:7">
      <c r="G50418" s="812"/>
    </row>
    <row r="50419" spans="7:7">
      <c r="G50419" s="812"/>
    </row>
    <row r="50420" spans="7:7">
      <c r="G50420" s="812"/>
    </row>
    <row r="50421" spans="7:7">
      <c r="G50421" s="812"/>
    </row>
    <row r="50422" spans="7:7">
      <c r="G50422" s="812"/>
    </row>
    <row r="50423" spans="7:7">
      <c r="G50423" s="812"/>
    </row>
    <row r="50424" spans="7:7">
      <c r="G50424" s="812"/>
    </row>
    <row r="50425" spans="7:7">
      <c r="G50425" s="812"/>
    </row>
    <row r="50426" spans="7:7">
      <c r="G50426" s="812"/>
    </row>
    <row r="50427" spans="7:7">
      <c r="G50427" s="812"/>
    </row>
    <row r="50428" spans="7:7">
      <c r="G50428" s="812"/>
    </row>
    <row r="50429" spans="7:7">
      <c r="G50429" s="812"/>
    </row>
    <row r="50430" spans="7:7">
      <c r="G50430" s="812"/>
    </row>
    <row r="50431" spans="7:7">
      <c r="G50431" s="812"/>
    </row>
    <row r="50432" spans="7:7">
      <c r="G50432" s="812"/>
    </row>
    <row r="50433" spans="7:7">
      <c r="G50433" s="812"/>
    </row>
    <row r="50434" spans="7:7">
      <c r="G50434" s="812"/>
    </row>
    <row r="50435" spans="7:7">
      <c r="G50435" s="812"/>
    </row>
    <row r="50436" spans="7:7">
      <c r="G50436" s="812"/>
    </row>
    <row r="50437" spans="7:7">
      <c r="G50437" s="812"/>
    </row>
    <row r="50438" spans="7:7">
      <c r="G50438" s="812"/>
    </row>
    <row r="50439" spans="7:7">
      <c r="G50439" s="812"/>
    </row>
    <row r="50440" spans="7:7">
      <c r="G50440" s="812"/>
    </row>
    <row r="50441" spans="7:7">
      <c r="G50441" s="812"/>
    </row>
    <row r="50442" spans="7:7">
      <c r="G50442" s="812"/>
    </row>
    <row r="50443" spans="7:7">
      <c r="G50443" s="812"/>
    </row>
    <row r="50444" spans="7:7">
      <c r="G50444" s="812"/>
    </row>
    <row r="50445" spans="7:7">
      <c r="G50445" s="812"/>
    </row>
    <row r="50446" spans="7:7">
      <c r="G50446" s="812"/>
    </row>
    <row r="50447" spans="7:7">
      <c r="G50447" s="812"/>
    </row>
    <row r="50448" spans="7:7">
      <c r="G50448" s="812"/>
    </row>
    <row r="50449" spans="7:7">
      <c r="G50449" s="812"/>
    </row>
    <row r="50450" spans="7:7">
      <c r="G50450" s="812"/>
    </row>
    <row r="50451" spans="7:7">
      <c r="G50451" s="812"/>
    </row>
    <row r="50452" spans="7:7">
      <c r="G50452" s="812"/>
    </row>
    <row r="50453" spans="7:7">
      <c r="G50453" s="812"/>
    </row>
    <row r="50454" spans="7:7">
      <c r="G50454" s="812"/>
    </row>
    <row r="50455" spans="7:7">
      <c r="G50455" s="812"/>
    </row>
    <row r="50456" spans="7:7">
      <c r="G50456" s="812"/>
    </row>
    <row r="50457" spans="7:7">
      <c r="G50457" s="812"/>
    </row>
    <row r="50458" spans="7:7">
      <c r="G50458" s="812"/>
    </row>
    <row r="50459" spans="7:7">
      <c r="G50459" s="812"/>
    </row>
    <row r="50460" spans="7:7">
      <c r="G50460" s="812"/>
    </row>
    <row r="50461" spans="7:7">
      <c r="G50461" s="812"/>
    </row>
    <row r="50462" spans="7:7">
      <c r="G50462" s="812"/>
    </row>
    <row r="50463" spans="7:7">
      <c r="G50463" s="812"/>
    </row>
    <row r="50464" spans="7:7">
      <c r="G50464" s="812"/>
    </row>
    <row r="50465" spans="7:7">
      <c r="G50465" s="812"/>
    </row>
    <row r="50466" spans="7:7">
      <c r="G50466" s="812"/>
    </row>
    <row r="50467" spans="7:7">
      <c r="G50467" s="812"/>
    </row>
    <row r="50468" spans="7:7">
      <c r="G50468" s="812"/>
    </row>
    <row r="50469" spans="7:7">
      <c r="G50469" s="812"/>
    </row>
    <row r="50470" spans="7:7">
      <c r="G50470" s="812"/>
    </row>
    <row r="50471" spans="7:7">
      <c r="G50471" s="812"/>
    </row>
    <row r="50472" spans="7:7">
      <c r="G50472" s="812"/>
    </row>
    <row r="50473" spans="7:7">
      <c r="G50473" s="812"/>
    </row>
    <row r="50474" spans="7:7">
      <c r="G50474" s="812"/>
    </row>
    <row r="50475" spans="7:7">
      <c r="G50475" s="812"/>
    </row>
    <row r="50476" spans="7:7">
      <c r="G50476" s="812"/>
    </row>
    <row r="50477" spans="7:7">
      <c r="G50477" s="812"/>
    </row>
    <row r="50478" spans="7:7">
      <c r="G50478" s="812"/>
    </row>
    <row r="50479" spans="7:7">
      <c r="G50479" s="812"/>
    </row>
    <row r="50480" spans="7:7">
      <c r="G50480" s="812"/>
    </row>
    <row r="50481" spans="7:7">
      <c r="G50481" s="812"/>
    </row>
    <row r="50482" spans="7:7">
      <c r="G50482" s="812"/>
    </row>
    <row r="50483" spans="7:7">
      <c r="G50483" s="812"/>
    </row>
    <row r="50484" spans="7:7">
      <c r="G50484" s="812"/>
    </row>
    <row r="50485" spans="7:7">
      <c r="G50485" s="812"/>
    </row>
    <row r="50486" spans="7:7">
      <c r="G50486" s="812"/>
    </row>
    <row r="50487" spans="7:7">
      <c r="G50487" s="812"/>
    </row>
    <row r="50488" spans="7:7">
      <c r="G50488" s="812"/>
    </row>
    <row r="50489" spans="7:7">
      <c r="G50489" s="812"/>
    </row>
    <row r="50490" spans="7:7">
      <c r="G50490" s="812"/>
    </row>
    <row r="50491" spans="7:7">
      <c r="G50491" s="812"/>
    </row>
    <row r="50492" spans="7:7">
      <c r="G50492" s="812"/>
    </row>
    <row r="50493" spans="7:7">
      <c r="G50493" s="812"/>
    </row>
    <row r="50494" spans="7:7">
      <c r="G50494" s="812"/>
    </row>
    <row r="50495" spans="7:7">
      <c r="G50495" s="812"/>
    </row>
    <row r="50496" spans="7:7">
      <c r="G50496" s="812"/>
    </row>
    <row r="50497" spans="7:7">
      <c r="G50497" s="812"/>
    </row>
    <row r="50498" spans="7:7">
      <c r="G50498" s="812"/>
    </row>
    <row r="50499" spans="7:7">
      <c r="G50499" s="812"/>
    </row>
    <row r="50500" spans="7:7">
      <c r="G50500" s="812"/>
    </row>
    <row r="50501" spans="7:7">
      <c r="G50501" s="812"/>
    </row>
    <row r="50502" spans="7:7">
      <c r="G50502" s="812"/>
    </row>
    <row r="50503" spans="7:7">
      <c r="G50503" s="812"/>
    </row>
    <row r="50504" spans="7:7">
      <c r="G50504" s="812"/>
    </row>
    <row r="50505" spans="7:7">
      <c r="G50505" s="812"/>
    </row>
    <row r="50506" spans="7:7">
      <c r="G50506" s="812"/>
    </row>
    <row r="50507" spans="7:7">
      <c r="G50507" s="812"/>
    </row>
    <row r="50508" spans="7:7">
      <c r="G50508" s="812"/>
    </row>
    <row r="50509" spans="7:7">
      <c r="G50509" s="812"/>
    </row>
    <row r="50510" spans="7:7">
      <c r="G50510" s="812"/>
    </row>
    <row r="50511" spans="7:7">
      <c r="G50511" s="812"/>
    </row>
    <row r="50512" spans="7:7">
      <c r="G50512" s="812"/>
    </row>
    <row r="50513" spans="7:7">
      <c r="G50513" s="812"/>
    </row>
    <row r="50514" spans="7:7">
      <c r="G50514" s="812"/>
    </row>
    <row r="50515" spans="7:7">
      <c r="G50515" s="812"/>
    </row>
    <row r="50516" spans="7:7">
      <c r="G50516" s="812"/>
    </row>
    <row r="50517" spans="7:7">
      <c r="G50517" s="812"/>
    </row>
    <row r="50518" spans="7:7">
      <c r="G50518" s="812"/>
    </row>
    <row r="50519" spans="7:7">
      <c r="G50519" s="812"/>
    </row>
    <row r="50520" spans="7:7">
      <c r="G50520" s="812"/>
    </row>
    <row r="50521" spans="7:7">
      <c r="G50521" s="812"/>
    </row>
    <row r="50522" spans="7:7">
      <c r="G50522" s="812"/>
    </row>
    <row r="50523" spans="7:7">
      <c r="G50523" s="812"/>
    </row>
    <row r="50524" spans="7:7">
      <c r="G50524" s="812"/>
    </row>
    <row r="50525" spans="7:7">
      <c r="G50525" s="812"/>
    </row>
    <row r="50526" spans="7:7">
      <c r="G50526" s="812"/>
    </row>
    <row r="50527" spans="7:7">
      <c r="G50527" s="812"/>
    </row>
    <row r="50528" spans="7:7">
      <c r="G50528" s="812"/>
    </row>
    <row r="50529" spans="7:7">
      <c r="G50529" s="812"/>
    </row>
    <row r="50530" spans="7:7">
      <c r="G50530" s="812"/>
    </row>
    <row r="50531" spans="7:7">
      <c r="G50531" s="812"/>
    </row>
    <row r="50532" spans="7:7">
      <c r="G50532" s="812"/>
    </row>
    <row r="50533" spans="7:7">
      <c r="G50533" s="812"/>
    </row>
    <row r="50534" spans="7:7">
      <c r="G50534" s="812"/>
    </row>
    <row r="50535" spans="7:7">
      <c r="G50535" s="812"/>
    </row>
    <row r="50536" spans="7:7">
      <c r="G50536" s="812"/>
    </row>
    <row r="50537" spans="7:7">
      <c r="G50537" s="812"/>
    </row>
    <row r="50538" spans="7:7">
      <c r="G50538" s="812"/>
    </row>
    <row r="50539" spans="7:7">
      <c r="G50539" s="812"/>
    </row>
    <row r="50540" spans="7:7">
      <c r="G50540" s="812"/>
    </row>
    <row r="50541" spans="7:7">
      <c r="G50541" s="812"/>
    </row>
    <row r="50542" spans="7:7">
      <c r="G50542" s="812"/>
    </row>
    <row r="50543" spans="7:7">
      <c r="G50543" s="812"/>
    </row>
    <row r="50544" spans="7:7">
      <c r="G50544" s="812"/>
    </row>
    <row r="50545" spans="7:7">
      <c r="G50545" s="812"/>
    </row>
    <row r="50546" spans="7:7">
      <c r="G50546" s="812"/>
    </row>
    <row r="50547" spans="7:7">
      <c r="G50547" s="812"/>
    </row>
    <row r="50548" spans="7:7">
      <c r="G50548" s="812"/>
    </row>
    <row r="50549" spans="7:7">
      <c r="G50549" s="812"/>
    </row>
    <row r="50550" spans="7:7">
      <c r="G50550" s="812"/>
    </row>
    <row r="50551" spans="7:7">
      <c r="G50551" s="812"/>
    </row>
    <row r="50552" spans="7:7">
      <c r="G50552" s="812"/>
    </row>
    <row r="50553" spans="7:7">
      <c r="G50553" s="812"/>
    </row>
    <row r="50554" spans="7:7">
      <c r="G50554" s="812"/>
    </row>
    <row r="50555" spans="7:7">
      <c r="G50555" s="812"/>
    </row>
    <row r="50556" spans="7:7">
      <c r="G50556" s="812"/>
    </row>
    <row r="50557" spans="7:7">
      <c r="G50557" s="812"/>
    </row>
    <row r="50558" spans="7:7">
      <c r="G50558" s="812"/>
    </row>
    <row r="50559" spans="7:7">
      <c r="G50559" s="812"/>
    </row>
    <row r="50560" spans="7:7">
      <c r="G50560" s="812"/>
    </row>
    <row r="50561" spans="7:7">
      <c r="G50561" s="812"/>
    </row>
    <row r="50562" spans="7:7">
      <c r="G50562" s="812"/>
    </row>
    <row r="50563" spans="7:7">
      <c r="G50563" s="812"/>
    </row>
    <row r="50564" spans="7:7">
      <c r="G50564" s="812"/>
    </row>
    <row r="50565" spans="7:7">
      <c r="G50565" s="812"/>
    </row>
    <row r="50566" spans="7:7">
      <c r="G50566" s="812"/>
    </row>
    <row r="50567" spans="7:7">
      <c r="G50567" s="812"/>
    </row>
    <row r="50568" spans="7:7">
      <c r="G50568" s="812"/>
    </row>
    <row r="50569" spans="7:7">
      <c r="G50569" s="812"/>
    </row>
    <row r="50570" spans="7:7">
      <c r="G50570" s="812"/>
    </row>
    <row r="50571" spans="7:7">
      <c r="G50571" s="812"/>
    </row>
    <row r="50572" spans="7:7">
      <c r="G50572" s="812"/>
    </row>
    <row r="50573" spans="7:7">
      <c r="G50573" s="812"/>
    </row>
    <row r="50574" spans="7:7">
      <c r="G50574" s="812"/>
    </row>
    <row r="50575" spans="7:7">
      <c r="G50575" s="812"/>
    </row>
    <row r="50576" spans="7:7">
      <c r="G50576" s="812"/>
    </row>
    <row r="50577" spans="7:7">
      <c r="G50577" s="812"/>
    </row>
    <row r="50578" spans="7:7">
      <c r="G50578" s="812"/>
    </row>
    <row r="50579" spans="7:7">
      <c r="G50579" s="812"/>
    </row>
    <row r="50580" spans="7:7">
      <c r="G50580" s="812"/>
    </row>
    <row r="50581" spans="7:7">
      <c r="G50581" s="812"/>
    </row>
    <row r="50582" spans="7:7">
      <c r="G50582" s="812"/>
    </row>
    <row r="50583" spans="7:7">
      <c r="G50583" s="812"/>
    </row>
    <row r="50584" spans="7:7">
      <c r="G50584" s="812"/>
    </row>
    <row r="50585" spans="7:7">
      <c r="G50585" s="812"/>
    </row>
    <row r="50586" spans="7:7">
      <c r="G50586" s="812"/>
    </row>
    <row r="50587" spans="7:7">
      <c r="G50587" s="812"/>
    </row>
    <row r="50588" spans="7:7">
      <c r="G50588" s="812"/>
    </row>
    <row r="50589" spans="7:7">
      <c r="G50589" s="812"/>
    </row>
    <row r="50590" spans="7:7">
      <c r="G50590" s="812"/>
    </row>
    <row r="50591" spans="7:7">
      <c r="G50591" s="812"/>
    </row>
    <row r="50592" spans="7:7">
      <c r="G50592" s="812"/>
    </row>
    <row r="50593" spans="7:7">
      <c r="G50593" s="812"/>
    </row>
    <row r="50594" spans="7:7">
      <c r="G50594" s="812"/>
    </row>
    <row r="50595" spans="7:7">
      <c r="G50595" s="812"/>
    </row>
    <row r="50596" spans="7:7">
      <c r="G50596" s="812"/>
    </row>
    <row r="50597" spans="7:7">
      <c r="G50597" s="812"/>
    </row>
    <row r="50598" spans="7:7">
      <c r="G50598" s="812"/>
    </row>
    <row r="50599" spans="7:7">
      <c r="G50599" s="812"/>
    </row>
    <row r="50600" spans="7:7">
      <c r="G50600" s="812"/>
    </row>
    <row r="50601" spans="7:7">
      <c r="G50601" s="812"/>
    </row>
    <row r="50602" spans="7:7">
      <c r="G50602" s="812"/>
    </row>
    <row r="50603" spans="7:7">
      <c r="G50603" s="812"/>
    </row>
    <row r="50604" spans="7:7">
      <c r="G50604" s="812"/>
    </row>
    <row r="50605" spans="7:7">
      <c r="G50605" s="812"/>
    </row>
    <row r="50606" spans="7:7">
      <c r="G50606" s="812"/>
    </row>
    <row r="50607" spans="7:7">
      <c r="G50607" s="812"/>
    </row>
    <row r="50608" spans="7:7">
      <c r="G50608" s="812"/>
    </row>
    <row r="50609" spans="7:7">
      <c r="G50609" s="812"/>
    </row>
    <row r="50610" spans="7:7">
      <c r="G50610" s="812"/>
    </row>
    <row r="50611" spans="7:7">
      <c r="G50611" s="812"/>
    </row>
    <row r="50612" spans="7:7">
      <c r="G50612" s="812"/>
    </row>
    <row r="50613" spans="7:7">
      <c r="G50613" s="812"/>
    </row>
    <row r="50614" spans="7:7">
      <c r="G50614" s="812"/>
    </row>
    <row r="50615" spans="7:7">
      <c r="G50615" s="812"/>
    </row>
    <row r="50616" spans="7:7">
      <c r="G50616" s="812"/>
    </row>
    <row r="50617" spans="7:7">
      <c r="G50617" s="812"/>
    </row>
    <row r="50618" spans="7:7">
      <c r="G50618" s="812"/>
    </row>
    <row r="50619" spans="7:7">
      <c r="G50619" s="812"/>
    </row>
    <row r="50620" spans="7:7">
      <c r="G50620" s="812"/>
    </row>
    <row r="50621" spans="7:7">
      <c r="G50621" s="812"/>
    </row>
    <row r="50622" spans="7:7">
      <c r="G50622" s="812"/>
    </row>
    <row r="50623" spans="7:7">
      <c r="G50623" s="812"/>
    </row>
    <row r="50624" spans="7:7">
      <c r="G50624" s="812"/>
    </row>
    <row r="50625" spans="7:7">
      <c r="G50625" s="812"/>
    </row>
    <row r="50626" spans="7:7">
      <c r="G50626" s="812"/>
    </row>
    <row r="50627" spans="7:7">
      <c r="G50627" s="812"/>
    </row>
    <row r="50628" spans="7:7">
      <c r="G50628" s="812"/>
    </row>
    <row r="50629" spans="7:7">
      <c r="G50629" s="812"/>
    </row>
    <row r="50630" spans="7:7">
      <c r="G50630" s="812"/>
    </row>
    <row r="50631" spans="7:7">
      <c r="G50631" s="812"/>
    </row>
    <row r="50632" spans="7:7">
      <c r="G50632" s="812"/>
    </row>
    <row r="50633" spans="7:7">
      <c r="G50633" s="812"/>
    </row>
    <row r="50634" spans="7:7">
      <c r="G50634" s="812"/>
    </row>
    <row r="50635" spans="7:7">
      <c r="G50635" s="812"/>
    </row>
    <row r="50636" spans="7:7">
      <c r="G50636" s="812"/>
    </row>
    <row r="50637" spans="7:7">
      <c r="G50637" s="812"/>
    </row>
    <row r="50638" spans="7:7">
      <c r="G50638" s="812"/>
    </row>
    <row r="50639" spans="7:7">
      <c r="G50639" s="812"/>
    </row>
    <row r="50640" spans="7:7">
      <c r="G50640" s="812"/>
    </row>
    <row r="50641" spans="7:7">
      <c r="G50641" s="812"/>
    </row>
    <row r="50642" spans="7:7">
      <c r="G50642" s="812"/>
    </row>
    <row r="50643" spans="7:7">
      <c r="G50643" s="812"/>
    </row>
    <row r="50644" spans="7:7">
      <c r="G50644" s="812"/>
    </row>
    <row r="50645" spans="7:7">
      <c r="G50645" s="812"/>
    </row>
    <row r="50646" spans="7:7">
      <c r="G50646" s="812"/>
    </row>
    <row r="50647" spans="7:7">
      <c r="G50647" s="812"/>
    </row>
    <row r="50648" spans="7:7">
      <c r="G50648" s="812"/>
    </row>
    <row r="50649" spans="7:7">
      <c r="G50649" s="812"/>
    </row>
    <row r="50650" spans="7:7">
      <c r="G50650" s="812"/>
    </row>
    <row r="50651" spans="7:7">
      <c r="G50651" s="812"/>
    </row>
    <row r="50652" spans="7:7">
      <c r="G50652" s="812"/>
    </row>
    <row r="50653" spans="7:7">
      <c r="G50653" s="812"/>
    </row>
    <row r="50654" spans="7:7">
      <c r="G50654" s="812"/>
    </row>
    <row r="50655" spans="7:7">
      <c r="G50655" s="812"/>
    </row>
    <row r="50656" spans="7:7">
      <c r="G50656" s="812"/>
    </row>
    <row r="50657" spans="7:7">
      <c r="G50657" s="812"/>
    </row>
    <row r="50658" spans="7:7">
      <c r="G50658" s="812"/>
    </row>
    <row r="50659" spans="7:7">
      <c r="G50659" s="812"/>
    </row>
    <row r="50660" spans="7:7">
      <c r="G50660" s="812"/>
    </row>
    <row r="50661" spans="7:7">
      <c r="G50661" s="812"/>
    </row>
    <row r="50662" spans="7:7">
      <c r="G50662" s="812"/>
    </row>
    <row r="50663" spans="7:7">
      <c r="G50663" s="812"/>
    </row>
    <row r="50664" spans="7:7">
      <c r="G50664" s="812"/>
    </row>
    <row r="50665" spans="7:7">
      <c r="G50665" s="812"/>
    </row>
    <row r="50666" spans="7:7">
      <c r="G50666" s="812"/>
    </row>
    <row r="50667" spans="7:7">
      <c r="G50667" s="812"/>
    </row>
    <row r="50668" spans="7:7">
      <c r="G50668" s="812"/>
    </row>
    <row r="50669" spans="7:7">
      <c r="G50669" s="812"/>
    </row>
    <row r="50670" spans="7:7">
      <c r="G50670" s="812"/>
    </row>
    <row r="50671" spans="7:7">
      <c r="G50671" s="812"/>
    </row>
    <row r="50672" spans="7:7">
      <c r="G50672" s="812"/>
    </row>
    <row r="50673" spans="7:7">
      <c r="G50673" s="812"/>
    </row>
    <row r="50674" spans="7:7">
      <c r="G50674" s="812"/>
    </row>
    <row r="50675" spans="7:7">
      <c r="G50675" s="812"/>
    </row>
    <row r="50676" spans="7:7">
      <c r="G50676" s="812"/>
    </row>
    <row r="50677" spans="7:7">
      <c r="G50677" s="812"/>
    </row>
    <row r="50678" spans="7:7">
      <c r="G50678" s="812"/>
    </row>
    <row r="50679" spans="7:7">
      <c r="G50679" s="812"/>
    </row>
    <row r="50680" spans="7:7">
      <c r="G50680" s="812"/>
    </row>
    <row r="50681" spans="7:7">
      <c r="G50681" s="812"/>
    </row>
    <row r="50682" spans="7:7">
      <c r="G50682" s="812"/>
    </row>
    <row r="50683" spans="7:7">
      <c r="G50683" s="812"/>
    </row>
    <row r="50684" spans="7:7">
      <c r="G50684" s="812"/>
    </row>
    <row r="50685" spans="7:7">
      <c r="G50685" s="812"/>
    </row>
    <row r="50686" spans="7:7">
      <c r="G50686" s="812"/>
    </row>
    <row r="50687" spans="7:7">
      <c r="G50687" s="812"/>
    </row>
    <row r="50688" spans="7:7">
      <c r="G50688" s="812"/>
    </row>
    <row r="50689" spans="7:7">
      <c r="G50689" s="812"/>
    </row>
    <row r="50690" spans="7:7">
      <c r="G50690" s="812"/>
    </row>
    <row r="50691" spans="7:7">
      <c r="G50691" s="812"/>
    </row>
    <row r="50692" spans="7:7">
      <c r="G50692" s="812"/>
    </row>
    <row r="50693" spans="7:7">
      <c r="G50693" s="812"/>
    </row>
    <row r="50694" spans="7:7">
      <c r="G50694" s="812"/>
    </row>
    <row r="50695" spans="7:7">
      <c r="G50695" s="812"/>
    </row>
    <row r="50696" spans="7:7">
      <c r="G50696" s="812"/>
    </row>
    <row r="50697" spans="7:7">
      <c r="G50697" s="812"/>
    </row>
    <row r="50698" spans="7:7">
      <c r="G50698" s="812"/>
    </row>
    <row r="50699" spans="7:7">
      <c r="G50699" s="812"/>
    </row>
    <row r="50700" spans="7:7">
      <c r="G50700" s="812"/>
    </row>
    <row r="50701" spans="7:7">
      <c r="G50701" s="812"/>
    </row>
    <row r="50702" spans="7:7">
      <c r="G50702" s="812"/>
    </row>
    <row r="50703" spans="7:7">
      <c r="G50703" s="812"/>
    </row>
    <row r="50704" spans="7:7">
      <c r="G50704" s="812"/>
    </row>
    <row r="50705" spans="7:7">
      <c r="G50705" s="812"/>
    </row>
    <row r="50706" spans="7:7">
      <c r="G50706" s="812"/>
    </row>
    <row r="50707" spans="7:7">
      <c r="G50707" s="812"/>
    </row>
    <row r="50708" spans="7:7">
      <c r="G50708" s="812"/>
    </row>
    <row r="50709" spans="7:7">
      <c r="G50709" s="812"/>
    </row>
    <row r="50710" spans="7:7">
      <c r="G50710" s="812"/>
    </row>
    <row r="50711" spans="7:7">
      <c r="G50711" s="812"/>
    </row>
    <row r="50712" spans="7:7">
      <c r="G50712" s="812"/>
    </row>
    <row r="50713" spans="7:7">
      <c r="G50713" s="812"/>
    </row>
    <row r="50714" spans="7:7">
      <c r="G50714" s="812"/>
    </row>
    <row r="50715" spans="7:7">
      <c r="G50715" s="812"/>
    </row>
    <row r="50716" spans="7:7">
      <c r="G50716" s="812"/>
    </row>
    <row r="50717" spans="7:7">
      <c r="G50717" s="812"/>
    </row>
    <row r="50718" spans="7:7">
      <c r="G50718" s="812"/>
    </row>
    <row r="50719" spans="7:7">
      <c r="G50719" s="812"/>
    </row>
    <row r="50720" spans="7:7">
      <c r="G50720" s="812"/>
    </row>
    <row r="50721" spans="7:7">
      <c r="G50721" s="812"/>
    </row>
    <row r="50722" spans="7:7">
      <c r="G50722" s="812"/>
    </row>
    <row r="50723" spans="7:7">
      <c r="G50723" s="812"/>
    </row>
    <row r="50724" spans="7:7">
      <c r="G50724" s="812"/>
    </row>
    <row r="50725" spans="7:7">
      <c r="G50725" s="812"/>
    </row>
    <row r="50726" spans="7:7">
      <c r="G50726" s="812"/>
    </row>
    <row r="50727" spans="7:7">
      <c r="G50727" s="812"/>
    </row>
    <row r="50728" spans="7:7">
      <c r="G50728" s="812"/>
    </row>
    <row r="50729" spans="7:7">
      <c r="G50729" s="812"/>
    </row>
    <row r="50730" spans="7:7">
      <c r="G50730" s="812"/>
    </row>
    <row r="50731" spans="7:7">
      <c r="G50731" s="812"/>
    </row>
    <row r="50732" spans="7:7">
      <c r="G50732" s="812"/>
    </row>
    <row r="50733" spans="7:7">
      <c r="G50733" s="812"/>
    </row>
    <row r="50734" spans="7:7">
      <c r="G50734" s="812"/>
    </row>
    <row r="50735" spans="7:7">
      <c r="G50735" s="812"/>
    </row>
    <row r="50736" spans="7:7">
      <c r="G50736" s="812"/>
    </row>
    <row r="50737" spans="7:7">
      <c r="G50737" s="812"/>
    </row>
    <row r="50738" spans="7:7">
      <c r="G50738" s="812"/>
    </row>
    <row r="50739" spans="7:7">
      <c r="G50739" s="812"/>
    </row>
    <row r="50740" spans="7:7">
      <c r="G50740" s="812"/>
    </row>
    <row r="50741" spans="7:7">
      <c r="G50741" s="812"/>
    </row>
    <row r="50742" spans="7:7">
      <c r="G50742" s="812"/>
    </row>
    <row r="50743" spans="7:7">
      <c r="G50743" s="812"/>
    </row>
    <row r="50744" spans="7:7">
      <c r="G50744" s="812"/>
    </row>
    <row r="50745" spans="7:7">
      <c r="G50745" s="812"/>
    </row>
    <row r="50746" spans="7:7">
      <c r="G50746" s="812"/>
    </row>
    <row r="50747" spans="7:7">
      <c r="G50747" s="812"/>
    </row>
    <row r="50748" spans="7:7">
      <c r="G50748" s="812"/>
    </row>
    <row r="50749" spans="7:7">
      <c r="G50749" s="812"/>
    </row>
    <row r="50750" spans="7:7">
      <c r="G50750" s="812"/>
    </row>
    <row r="50751" spans="7:7">
      <c r="G50751" s="812"/>
    </row>
    <row r="50752" spans="7:7">
      <c r="G50752" s="812"/>
    </row>
    <row r="50753" spans="7:7">
      <c r="G50753" s="812"/>
    </row>
    <row r="50754" spans="7:7">
      <c r="G50754" s="812"/>
    </row>
    <row r="50755" spans="7:7">
      <c r="G50755" s="812"/>
    </row>
    <row r="50756" spans="7:7">
      <c r="G50756" s="812"/>
    </row>
    <row r="50757" spans="7:7">
      <c r="G50757" s="812"/>
    </row>
    <row r="50758" spans="7:7">
      <c r="G50758" s="812"/>
    </row>
    <row r="50759" spans="7:7">
      <c r="G50759" s="812"/>
    </row>
    <row r="50760" spans="7:7">
      <c r="G50760" s="812"/>
    </row>
    <row r="50761" spans="7:7">
      <c r="G50761" s="812"/>
    </row>
    <row r="50762" spans="7:7">
      <c r="G50762" s="812"/>
    </row>
    <row r="50763" spans="7:7">
      <c r="G50763" s="812"/>
    </row>
    <row r="50764" spans="7:7">
      <c r="G50764" s="812"/>
    </row>
    <row r="50765" spans="7:7">
      <c r="G50765" s="812"/>
    </row>
    <row r="50766" spans="7:7">
      <c r="G50766" s="812"/>
    </row>
    <row r="50767" spans="7:7">
      <c r="G50767" s="812"/>
    </row>
    <row r="50768" spans="7:7">
      <c r="G50768" s="812"/>
    </row>
    <row r="50769" spans="7:7">
      <c r="G50769" s="812"/>
    </row>
    <row r="50770" spans="7:7">
      <c r="G50770" s="812"/>
    </row>
    <row r="50771" spans="7:7">
      <c r="G50771" s="812"/>
    </row>
    <row r="50772" spans="7:7">
      <c r="G50772" s="812"/>
    </row>
    <row r="50773" spans="7:7">
      <c r="G50773" s="812"/>
    </row>
    <row r="50774" spans="7:7">
      <c r="G50774" s="812"/>
    </row>
    <row r="50775" spans="7:7">
      <c r="G50775" s="812"/>
    </row>
    <row r="50776" spans="7:7">
      <c r="G50776" s="812"/>
    </row>
    <row r="50777" spans="7:7">
      <c r="G50777" s="812"/>
    </row>
    <row r="50778" spans="7:7">
      <c r="G50778" s="812"/>
    </row>
    <row r="50779" spans="7:7">
      <c r="G50779" s="812"/>
    </row>
    <row r="50780" spans="7:7">
      <c r="G50780" s="812"/>
    </row>
    <row r="50781" spans="7:7">
      <c r="G50781" s="812"/>
    </row>
    <row r="50782" spans="7:7">
      <c r="G50782" s="812"/>
    </row>
    <row r="50783" spans="7:7">
      <c r="G50783" s="812"/>
    </row>
    <row r="50784" spans="7:7">
      <c r="G50784" s="812"/>
    </row>
    <row r="50785" spans="7:7">
      <c r="G50785" s="812"/>
    </row>
    <row r="50786" spans="7:7">
      <c r="G50786" s="812"/>
    </row>
    <row r="50787" spans="7:7">
      <c r="G50787" s="812"/>
    </row>
    <row r="50788" spans="7:7">
      <c r="G50788" s="812"/>
    </row>
    <row r="50789" spans="7:7">
      <c r="G50789" s="812"/>
    </row>
    <row r="50790" spans="7:7">
      <c r="G50790" s="812"/>
    </row>
    <row r="50791" spans="7:7">
      <c r="G50791" s="812"/>
    </row>
    <row r="50792" spans="7:7">
      <c r="G50792" s="812"/>
    </row>
    <row r="50793" spans="7:7">
      <c r="G50793" s="812"/>
    </row>
    <row r="50794" spans="7:7">
      <c r="G50794" s="812"/>
    </row>
    <row r="50795" spans="7:7">
      <c r="G50795" s="812"/>
    </row>
    <row r="50796" spans="7:7">
      <c r="G50796" s="812"/>
    </row>
    <row r="50797" spans="7:7">
      <c r="G50797" s="812"/>
    </row>
    <row r="50798" spans="7:7">
      <c r="G50798" s="812"/>
    </row>
    <row r="50799" spans="7:7">
      <c r="G50799" s="812"/>
    </row>
    <row r="50800" spans="7:7">
      <c r="G50800" s="812"/>
    </row>
    <row r="50801" spans="7:7">
      <c r="G50801" s="812"/>
    </row>
    <row r="50802" spans="7:7">
      <c r="G50802" s="812"/>
    </row>
    <row r="50803" spans="7:7">
      <c r="G50803" s="812"/>
    </row>
    <row r="50804" spans="7:7">
      <c r="G50804" s="812"/>
    </row>
    <row r="50805" spans="7:7">
      <c r="G50805" s="812"/>
    </row>
    <row r="50806" spans="7:7">
      <c r="G50806" s="812"/>
    </row>
    <row r="50807" spans="7:7">
      <c r="G50807" s="812"/>
    </row>
    <row r="50808" spans="7:7">
      <c r="G50808" s="812"/>
    </row>
    <row r="50809" spans="7:7">
      <c r="G50809" s="812"/>
    </row>
    <row r="50810" spans="7:7">
      <c r="G50810" s="812"/>
    </row>
    <row r="50811" spans="7:7">
      <c r="G50811" s="812"/>
    </row>
    <row r="50812" spans="7:7">
      <c r="G50812" s="812"/>
    </row>
    <row r="50813" spans="7:7">
      <c r="G50813" s="812"/>
    </row>
    <row r="50814" spans="7:7">
      <c r="G50814" s="812"/>
    </row>
    <row r="50815" spans="7:7">
      <c r="G50815" s="812"/>
    </row>
    <row r="50816" spans="7:7">
      <c r="G50816" s="812"/>
    </row>
    <row r="50817" spans="7:7">
      <c r="G50817" s="812"/>
    </row>
    <row r="50818" spans="7:7">
      <c r="G50818" s="812"/>
    </row>
    <row r="50819" spans="7:7">
      <c r="G50819" s="812"/>
    </row>
    <row r="50820" spans="7:7">
      <c r="G50820" s="812"/>
    </row>
    <row r="50821" spans="7:7">
      <c r="G50821" s="812"/>
    </row>
    <row r="50822" spans="7:7">
      <c r="G50822" s="812"/>
    </row>
    <row r="50823" spans="7:7">
      <c r="G50823" s="812"/>
    </row>
    <row r="50824" spans="7:7">
      <c r="G50824" s="812"/>
    </row>
    <row r="50825" spans="7:7">
      <c r="G50825" s="812"/>
    </row>
    <row r="50826" spans="7:7">
      <c r="G50826" s="812"/>
    </row>
    <row r="50827" spans="7:7">
      <c r="G50827" s="812"/>
    </row>
    <row r="50828" spans="7:7">
      <c r="G50828" s="812"/>
    </row>
    <row r="50829" spans="7:7">
      <c r="G50829" s="812"/>
    </row>
    <row r="50830" spans="7:7">
      <c r="G50830" s="812"/>
    </row>
    <row r="50831" spans="7:7">
      <c r="G50831" s="812"/>
    </row>
    <row r="50832" spans="7:7">
      <c r="G50832" s="812"/>
    </row>
    <row r="50833" spans="7:7">
      <c r="G50833" s="812"/>
    </row>
    <row r="50834" spans="7:7">
      <c r="G50834" s="812"/>
    </row>
    <row r="50835" spans="7:7">
      <c r="G50835" s="812"/>
    </row>
    <row r="50836" spans="7:7">
      <c r="G50836" s="812"/>
    </row>
    <row r="50837" spans="7:7">
      <c r="G50837" s="812"/>
    </row>
    <row r="50838" spans="7:7">
      <c r="G50838" s="812"/>
    </row>
    <row r="50839" spans="7:7">
      <c r="G50839" s="812"/>
    </row>
    <row r="50840" spans="7:7">
      <c r="G50840" s="812"/>
    </row>
    <row r="50841" spans="7:7">
      <c r="G50841" s="812"/>
    </row>
    <row r="50842" spans="7:7">
      <c r="G50842" s="812"/>
    </row>
    <row r="50843" spans="7:7">
      <c r="G50843" s="812"/>
    </row>
    <row r="50844" spans="7:7">
      <c r="G50844" s="812"/>
    </row>
    <row r="50845" spans="7:7">
      <c r="G50845" s="812"/>
    </row>
    <row r="50846" spans="7:7">
      <c r="G50846" s="812"/>
    </row>
    <row r="50847" spans="7:7">
      <c r="G50847" s="812"/>
    </row>
    <row r="50848" spans="7:7">
      <c r="G50848" s="812"/>
    </row>
    <row r="50849" spans="7:7">
      <c r="G50849" s="812"/>
    </row>
    <row r="50850" spans="7:7">
      <c r="G50850" s="812"/>
    </row>
    <row r="50851" spans="7:7">
      <c r="G50851" s="812"/>
    </row>
    <row r="50852" spans="7:7">
      <c r="G50852" s="812"/>
    </row>
    <row r="50853" spans="7:7">
      <c r="G50853" s="812"/>
    </row>
    <row r="50854" spans="7:7">
      <c r="G50854" s="812"/>
    </row>
    <row r="50855" spans="7:7">
      <c r="G50855" s="812"/>
    </row>
    <row r="50856" spans="7:7">
      <c r="G50856" s="812"/>
    </row>
    <row r="50857" spans="7:7">
      <c r="G50857" s="812"/>
    </row>
    <row r="50858" spans="7:7">
      <c r="G50858" s="812"/>
    </row>
    <row r="50859" spans="7:7">
      <c r="G50859" s="812"/>
    </row>
    <row r="50860" spans="7:7">
      <c r="G50860" s="812"/>
    </row>
    <row r="50861" spans="7:7">
      <c r="G50861" s="812"/>
    </row>
    <row r="50862" spans="7:7">
      <c r="G50862" s="812"/>
    </row>
    <row r="50863" spans="7:7">
      <c r="G50863" s="812"/>
    </row>
    <row r="50864" spans="7:7">
      <c r="G50864" s="812"/>
    </row>
    <row r="50865" spans="7:7">
      <c r="G50865" s="812"/>
    </row>
    <row r="50866" spans="7:7">
      <c r="G50866" s="812"/>
    </row>
    <row r="50867" spans="7:7">
      <c r="G50867" s="812"/>
    </row>
    <row r="50868" spans="7:7">
      <c r="G50868" s="812"/>
    </row>
    <row r="50869" spans="7:7">
      <c r="G50869" s="812"/>
    </row>
    <row r="50870" spans="7:7">
      <c r="G50870" s="812"/>
    </row>
    <row r="50871" spans="7:7">
      <c r="G50871" s="812"/>
    </row>
    <row r="50872" spans="7:7">
      <c r="G50872" s="812"/>
    </row>
    <row r="50873" spans="7:7">
      <c r="G50873" s="812"/>
    </row>
    <row r="50874" spans="7:7">
      <c r="G50874" s="812"/>
    </row>
    <row r="50875" spans="7:7">
      <c r="G50875" s="812"/>
    </row>
    <row r="50876" spans="7:7">
      <c r="G50876" s="812"/>
    </row>
    <row r="50877" spans="7:7">
      <c r="G50877" s="812"/>
    </row>
    <row r="50878" spans="7:7">
      <c r="G50878" s="812"/>
    </row>
    <row r="50879" spans="7:7">
      <c r="G50879" s="812"/>
    </row>
    <row r="50880" spans="7:7">
      <c r="G50880" s="812"/>
    </row>
    <row r="50881" spans="7:7">
      <c r="G50881" s="812"/>
    </row>
    <row r="50882" spans="7:7">
      <c r="G50882" s="812"/>
    </row>
    <row r="50883" spans="7:7">
      <c r="G50883" s="812"/>
    </row>
    <row r="50884" spans="7:7">
      <c r="G50884" s="812"/>
    </row>
    <row r="50885" spans="7:7">
      <c r="G50885" s="812"/>
    </row>
    <row r="50886" spans="7:7">
      <c r="G50886" s="812"/>
    </row>
    <row r="50887" spans="7:7">
      <c r="G50887" s="812"/>
    </row>
    <row r="50888" spans="7:7">
      <c r="G50888" s="812"/>
    </row>
    <row r="50889" spans="7:7">
      <c r="G50889" s="812"/>
    </row>
    <row r="50890" spans="7:7">
      <c r="G50890" s="812"/>
    </row>
    <row r="50891" spans="7:7">
      <c r="G50891" s="812"/>
    </row>
    <row r="50892" spans="7:7">
      <c r="G50892" s="812"/>
    </row>
    <row r="50893" spans="7:7">
      <c r="G50893" s="812"/>
    </row>
    <row r="50894" spans="7:7">
      <c r="G50894" s="812"/>
    </row>
    <row r="50895" spans="7:7">
      <c r="G50895" s="812"/>
    </row>
    <row r="50896" spans="7:7">
      <c r="G50896" s="812"/>
    </row>
    <row r="50897" spans="7:7">
      <c r="G50897" s="812"/>
    </row>
    <row r="50898" spans="7:7">
      <c r="G50898" s="812"/>
    </row>
    <row r="50899" spans="7:7">
      <c r="G50899" s="812"/>
    </row>
    <row r="50900" spans="7:7">
      <c r="G50900" s="812"/>
    </row>
    <row r="50901" spans="7:7">
      <c r="G50901" s="812"/>
    </row>
    <row r="50902" spans="7:7">
      <c r="G50902" s="812"/>
    </row>
    <row r="50903" spans="7:7">
      <c r="G50903" s="812"/>
    </row>
    <row r="50904" spans="7:7">
      <c r="G50904" s="812"/>
    </row>
    <row r="50905" spans="7:7">
      <c r="G50905" s="812"/>
    </row>
    <row r="50906" spans="7:7">
      <c r="G50906" s="812"/>
    </row>
    <row r="50907" spans="7:7">
      <c r="G50907" s="812"/>
    </row>
    <row r="50908" spans="7:7">
      <c r="G50908" s="812"/>
    </row>
    <row r="50909" spans="7:7">
      <c r="G50909" s="812"/>
    </row>
    <row r="50910" spans="7:7">
      <c r="G50910" s="812"/>
    </row>
    <row r="50911" spans="7:7">
      <c r="G50911" s="812"/>
    </row>
    <row r="50912" spans="7:7">
      <c r="G50912" s="812"/>
    </row>
    <row r="50913" spans="7:7">
      <c r="G50913" s="812"/>
    </row>
    <row r="50914" spans="7:7">
      <c r="G50914" s="812"/>
    </row>
    <row r="50915" spans="7:7">
      <c r="G50915" s="812"/>
    </row>
    <row r="50916" spans="7:7">
      <c r="G50916" s="812"/>
    </row>
    <row r="50917" spans="7:7">
      <c r="G50917" s="812"/>
    </row>
    <row r="50918" spans="7:7">
      <c r="G50918" s="812"/>
    </row>
    <row r="50919" spans="7:7">
      <c r="G50919" s="812"/>
    </row>
    <row r="50920" spans="7:7">
      <c r="G50920" s="812"/>
    </row>
    <row r="50921" spans="7:7">
      <c r="G50921" s="812"/>
    </row>
    <row r="50922" spans="7:7">
      <c r="G50922" s="812"/>
    </row>
    <row r="50923" spans="7:7">
      <c r="G50923" s="812"/>
    </row>
    <row r="50924" spans="7:7">
      <c r="G50924" s="812"/>
    </row>
    <row r="50925" spans="7:7">
      <c r="G50925" s="812"/>
    </row>
    <row r="50926" spans="7:7">
      <c r="G50926" s="812"/>
    </row>
    <row r="50927" spans="7:7">
      <c r="G50927" s="812"/>
    </row>
    <row r="50928" spans="7:7">
      <c r="G50928" s="812"/>
    </row>
    <row r="50929" spans="7:7">
      <c r="G50929" s="812"/>
    </row>
    <row r="50930" spans="7:7">
      <c r="G50930" s="812"/>
    </row>
    <row r="50931" spans="7:7">
      <c r="G50931" s="812"/>
    </row>
    <row r="50932" spans="7:7">
      <c r="G50932" s="812"/>
    </row>
    <row r="50933" spans="7:7">
      <c r="G50933" s="812"/>
    </row>
    <row r="50934" spans="7:7">
      <c r="G50934" s="812"/>
    </row>
    <row r="50935" spans="7:7">
      <c r="G50935" s="812"/>
    </row>
    <row r="50936" spans="7:7">
      <c r="G50936" s="812"/>
    </row>
    <row r="50937" spans="7:7">
      <c r="G50937" s="812"/>
    </row>
    <row r="50938" spans="7:7">
      <c r="G50938" s="812"/>
    </row>
    <row r="50939" spans="7:7">
      <c r="G50939" s="812"/>
    </row>
    <row r="50940" spans="7:7">
      <c r="G50940" s="812"/>
    </row>
    <row r="50941" spans="7:7">
      <c r="G50941" s="812"/>
    </row>
    <row r="50942" spans="7:7">
      <c r="G50942" s="812"/>
    </row>
    <row r="50943" spans="7:7">
      <c r="G50943" s="812"/>
    </row>
    <row r="50944" spans="7:7">
      <c r="G50944" s="812"/>
    </row>
    <row r="50945" spans="7:7">
      <c r="G50945" s="812"/>
    </row>
    <row r="50946" spans="7:7">
      <c r="G50946" s="812"/>
    </row>
    <row r="50947" spans="7:7">
      <c r="G50947" s="812"/>
    </row>
    <row r="50948" spans="7:7">
      <c r="G50948" s="812"/>
    </row>
    <row r="50949" spans="7:7">
      <c r="G50949" s="812"/>
    </row>
    <row r="50950" spans="7:7">
      <c r="G50950" s="812"/>
    </row>
    <row r="50951" spans="7:7">
      <c r="G50951" s="812"/>
    </row>
    <row r="50952" spans="7:7">
      <c r="G50952" s="812"/>
    </row>
    <row r="50953" spans="7:7">
      <c r="G50953" s="812"/>
    </row>
    <row r="50954" spans="7:7">
      <c r="G50954" s="812"/>
    </row>
    <row r="50955" spans="7:7">
      <c r="G50955" s="812"/>
    </row>
    <row r="50956" spans="7:7">
      <c r="G50956" s="812"/>
    </row>
    <row r="50957" spans="7:7">
      <c r="G50957" s="812"/>
    </row>
    <row r="50958" spans="7:7">
      <c r="G50958" s="812"/>
    </row>
    <row r="50959" spans="7:7">
      <c r="G50959" s="812"/>
    </row>
    <row r="50960" spans="7:7">
      <c r="G50960" s="812"/>
    </row>
    <row r="50961" spans="7:7">
      <c r="G50961" s="812"/>
    </row>
    <row r="50962" spans="7:7">
      <c r="G50962" s="812"/>
    </row>
    <row r="50963" spans="7:7">
      <c r="G50963" s="812"/>
    </row>
    <row r="50964" spans="7:7">
      <c r="G50964" s="812"/>
    </row>
    <row r="50965" spans="7:7">
      <c r="G50965" s="812"/>
    </row>
    <row r="50966" spans="7:7">
      <c r="G50966" s="812"/>
    </row>
    <row r="50967" spans="7:7">
      <c r="G50967" s="812"/>
    </row>
    <row r="50968" spans="7:7">
      <c r="G50968" s="812"/>
    </row>
    <row r="50969" spans="7:7">
      <c r="G50969" s="812"/>
    </row>
    <row r="50970" spans="7:7">
      <c r="G50970" s="812"/>
    </row>
    <row r="50971" spans="7:7">
      <c r="G50971" s="812"/>
    </row>
    <row r="50972" spans="7:7">
      <c r="G50972" s="812"/>
    </row>
    <row r="50973" spans="7:7">
      <c r="G50973" s="812"/>
    </row>
    <row r="50974" spans="7:7">
      <c r="G50974" s="812"/>
    </row>
    <row r="50975" spans="7:7">
      <c r="G50975" s="812"/>
    </row>
    <row r="50976" spans="7:7">
      <c r="G50976" s="812"/>
    </row>
    <row r="50977" spans="7:7">
      <c r="G50977" s="812"/>
    </row>
    <row r="50978" spans="7:7">
      <c r="G50978" s="812"/>
    </row>
    <row r="50979" spans="7:7">
      <c r="G50979" s="812"/>
    </row>
    <row r="50980" spans="7:7">
      <c r="G50980" s="812"/>
    </row>
    <row r="50981" spans="7:7">
      <c r="G50981" s="812"/>
    </row>
    <row r="50982" spans="7:7">
      <c r="G50982" s="812"/>
    </row>
    <row r="50983" spans="7:7">
      <c r="G50983" s="812"/>
    </row>
    <row r="50984" spans="7:7">
      <c r="G50984" s="812"/>
    </row>
    <row r="50985" spans="7:7">
      <c r="G50985" s="812"/>
    </row>
    <row r="50986" spans="7:7">
      <c r="G50986" s="812"/>
    </row>
    <row r="50987" spans="7:7">
      <c r="G50987" s="812"/>
    </row>
    <row r="50988" spans="7:7">
      <c r="G50988" s="812"/>
    </row>
    <row r="50989" spans="7:7">
      <c r="G50989" s="812"/>
    </row>
    <row r="50990" spans="7:7">
      <c r="G50990" s="812"/>
    </row>
    <row r="50991" spans="7:7">
      <c r="G50991" s="812"/>
    </row>
    <row r="50992" spans="7:7">
      <c r="G50992" s="812"/>
    </row>
    <row r="50993" spans="7:7">
      <c r="G50993" s="812"/>
    </row>
    <row r="50994" spans="7:7">
      <c r="G50994" s="812"/>
    </row>
    <row r="50995" spans="7:7">
      <c r="G50995" s="812"/>
    </row>
    <row r="50996" spans="7:7">
      <c r="G50996" s="812"/>
    </row>
    <row r="50997" spans="7:7">
      <c r="G50997" s="812"/>
    </row>
    <row r="50998" spans="7:7">
      <c r="G50998" s="812"/>
    </row>
    <row r="50999" spans="7:7">
      <c r="G50999" s="812"/>
    </row>
    <row r="51000" spans="7:7">
      <c r="G51000" s="812"/>
    </row>
    <row r="51001" spans="7:7">
      <c r="G51001" s="812"/>
    </row>
    <row r="51002" spans="7:7">
      <c r="G51002" s="812"/>
    </row>
    <row r="51003" spans="7:7">
      <c r="G51003" s="812"/>
    </row>
    <row r="51004" spans="7:7">
      <c r="G51004" s="812"/>
    </row>
    <row r="51005" spans="7:7">
      <c r="G51005" s="812"/>
    </row>
    <row r="51006" spans="7:7">
      <c r="G51006" s="812"/>
    </row>
    <row r="51007" spans="7:7">
      <c r="G51007" s="812"/>
    </row>
    <row r="51008" spans="7:7">
      <c r="G51008" s="812"/>
    </row>
    <row r="51009" spans="7:7">
      <c r="G51009" s="812"/>
    </row>
    <row r="51010" spans="7:7">
      <c r="G51010" s="812"/>
    </row>
    <row r="51011" spans="7:7">
      <c r="G51011" s="812"/>
    </row>
    <row r="51012" spans="7:7">
      <c r="G51012" s="812"/>
    </row>
    <row r="51013" spans="7:7">
      <c r="G51013" s="812"/>
    </row>
    <row r="51014" spans="7:7">
      <c r="G51014" s="812"/>
    </row>
    <row r="51015" spans="7:7">
      <c r="G51015" s="812"/>
    </row>
    <row r="51016" spans="7:7">
      <c r="G51016" s="812"/>
    </row>
    <row r="51017" spans="7:7">
      <c r="G51017" s="812"/>
    </row>
    <row r="51018" spans="7:7">
      <c r="G51018" s="812"/>
    </row>
    <row r="51019" spans="7:7">
      <c r="G51019" s="812"/>
    </row>
    <row r="51020" spans="7:7">
      <c r="G51020" s="812"/>
    </row>
    <row r="51021" spans="7:7">
      <c r="G51021" s="812"/>
    </row>
    <row r="51022" spans="7:7">
      <c r="G51022" s="812"/>
    </row>
    <row r="51023" spans="7:7">
      <c r="G51023" s="812"/>
    </row>
    <row r="51024" spans="7:7">
      <c r="G51024" s="812"/>
    </row>
    <row r="51025" spans="7:7">
      <c r="G51025" s="812"/>
    </row>
    <row r="51026" spans="7:7">
      <c r="G51026" s="812"/>
    </row>
    <row r="51027" spans="7:7">
      <c r="G51027" s="812"/>
    </row>
    <row r="51028" spans="7:7">
      <c r="G51028" s="812"/>
    </row>
    <row r="51029" spans="7:7">
      <c r="G51029" s="812"/>
    </row>
    <row r="51030" spans="7:7">
      <c r="G51030" s="812"/>
    </row>
    <row r="51031" spans="7:7">
      <c r="G51031" s="812"/>
    </row>
    <row r="51032" spans="7:7">
      <c r="G51032" s="812"/>
    </row>
    <row r="51033" spans="7:7">
      <c r="G51033" s="812"/>
    </row>
    <row r="51034" spans="7:7">
      <c r="G51034" s="812"/>
    </row>
    <row r="51035" spans="7:7">
      <c r="G51035" s="812"/>
    </row>
    <row r="51036" spans="7:7">
      <c r="G51036" s="812"/>
    </row>
    <row r="51037" spans="7:7">
      <c r="G51037" s="812"/>
    </row>
    <row r="51038" spans="7:7">
      <c r="G51038" s="812"/>
    </row>
    <row r="51039" spans="7:7">
      <c r="G51039" s="812"/>
    </row>
    <row r="51040" spans="7:7">
      <c r="G51040" s="812"/>
    </row>
    <row r="51041" spans="7:7">
      <c r="G51041" s="812"/>
    </row>
    <row r="51042" spans="7:7">
      <c r="G51042" s="812"/>
    </row>
    <row r="51043" spans="7:7">
      <c r="G51043" s="812"/>
    </row>
    <row r="51044" spans="7:7">
      <c r="G51044" s="812"/>
    </row>
    <row r="51045" spans="7:7">
      <c r="G51045" s="812"/>
    </row>
    <row r="51046" spans="7:7">
      <c r="G51046" s="812"/>
    </row>
    <row r="51047" spans="7:7">
      <c r="G51047" s="812"/>
    </row>
    <row r="51048" spans="7:7">
      <c r="G51048" s="812"/>
    </row>
    <row r="51049" spans="7:7">
      <c r="G51049" s="812"/>
    </row>
    <row r="51050" spans="7:7">
      <c r="G51050" s="812"/>
    </row>
    <row r="51051" spans="7:7">
      <c r="G51051" s="812"/>
    </row>
    <row r="51052" spans="7:7">
      <c r="G51052" s="812"/>
    </row>
    <row r="51053" spans="7:7">
      <c r="G51053" s="812"/>
    </row>
    <row r="51054" spans="7:7">
      <c r="G51054" s="812"/>
    </row>
    <row r="51055" spans="7:7">
      <c r="G51055" s="812"/>
    </row>
    <row r="51056" spans="7:7">
      <c r="G51056" s="812"/>
    </row>
    <row r="51057" spans="7:7">
      <c r="G51057" s="812"/>
    </row>
    <row r="51058" spans="7:7">
      <c r="G51058" s="812"/>
    </row>
    <row r="51059" spans="7:7">
      <c r="G51059" s="812"/>
    </row>
    <row r="51060" spans="7:7">
      <c r="G51060" s="812"/>
    </row>
    <row r="51061" spans="7:7">
      <c r="G51061" s="812"/>
    </row>
    <row r="51062" spans="7:7">
      <c r="G51062" s="812"/>
    </row>
    <row r="51063" spans="7:7">
      <c r="G51063" s="812"/>
    </row>
    <row r="51064" spans="7:7">
      <c r="G51064" s="812"/>
    </row>
    <row r="51065" spans="7:7">
      <c r="G51065" s="812"/>
    </row>
    <row r="51066" spans="7:7">
      <c r="G51066" s="812"/>
    </row>
    <row r="51067" spans="7:7">
      <c r="G51067" s="812"/>
    </row>
    <row r="51068" spans="7:7">
      <c r="G51068" s="812"/>
    </row>
    <row r="51069" spans="7:7">
      <c r="G51069" s="812"/>
    </row>
    <row r="51070" spans="7:7">
      <c r="G51070" s="812"/>
    </row>
    <row r="51071" spans="7:7">
      <c r="G51071" s="812"/>
    </row>
    <row r="51072" spans="7:7">
      <c r="G51072" s="812"/>
    </row>
    <row r="51073" spans="7:7">
      <c r="G51073" s="812"/>
    </row>
    <row r="51074" spans="7:7">
      <c r="G51074" s="812"/>
    </row>
    <row r="51075" spans="7:7">
      <c r="G51075" s="812"/>
    </row>
    <row r="51076" spans="7:7">
      <c r="G51076" s="812"/>
    </row>
    <row r="51077" spans="7:7">
      <c r="G51077" s="812"/>
    </row>
    <row r="51078" spans="7:7">
      <c r="G51078" s="812"/>
    </row>
    <row r="51079" spans="7:7">
      <c r="G51079" s="812"/>
    </row>
    <row r="51080" spans="7:7">
      <c r="G51080" s="812"/>
    </row>
    <row r="51081" spans="7:7">
      <c r="G51081" s="812"/>
    </row>
    <row r="51082" spans="7:7">
      <c r="G51082" s="812"/>
    </row>
    <row r="51083" spans="7:7">
      <c r="G51083" s="812"/>
    </row>
    <row r="51084" spans="7:7">
      <c r="G51084" s="812"/>
    </row>
    <row r="51085" spans="7:7">
      <c r="G51085" s="812"/>
    </row>
    <row r="51086" spans="7:7">
      <c r="G51086" s="812"/>
    </row>
    <row r="51087" spans="7:7">
      <c r="G51087" s="812"/>
    </row>
    <row r="51088" spans="7:7">
      <c r="G51088" s="812"/>
    </row>
    <row r="51089" spans="7:7">
      <c r="G51089" s="812"/>
    </row>
    <row r="51090" spans="7:7">
      <c r="G51090" s="812"/>
    </row>
    <row r="51091" spans="7:7">
      <c r="G51091" s="812"/>
    </row>
    <row r="51092" spans="7:7">
      <c r="G51092" s="812"/>
    </row>
    <row r="51093" spans="7:7">
      <c r="G51093" s="812"/>
    </row>
    <row r="51094" spans="7:7">
      <c r="G51094" s="812"/>
    </row>
    <row r="51095" spans="7:7">
      <c r="G51095" s="812"/>
    </row>
    <row r="51096" spans="7:7">
      <c r="G51096" s="812"/>
    </row>
    <row r="51097" spans="7:7">
      <c r="G51097" s="812"/>
    </row>
    <row r="51098" spans="7:7">
      <c r="G51098" s="812"/>
    </row>
    <row r="51099" spans="7:7">
      <c r="G51099" s="812"/>
    </row>
    <row r="51100" spans="7:7">
      <c r="G51100" s="812"/>
    </row>
    <row r="51101" spans="7:7">
      <c r="G51101" s="812"/>
    </row>
    <row r="51102" spans="7:7">
      <c r="G51102" s="812"/>
    </row>
    <row r="51103" spans="7:7">
      <c r="G51103" s="812"/>
    </row>
    <row r="51104" spans="7:7">
      <c r="G51104" s="812"/>
    </row>
    <row r="51105" spans="7:7">
      <c r="G51105" s="812"/>
    </row>
    <row r="51106" spans="7:7">
      <c r="G51106" s="812"/>
    </row>
    <row r="51107" spans="7:7">
      <c r="G51107" s="812"/>
    </row>
    <row r="51108" spans="7:7">
      <c r="G51108" s="812"/>
    </row>
    <row r="51109" spans="7:7">
      <c r="G51109" s="812"/>
    </row>
    <row r="51110" spans="7:7">
      <c r="G51110" s="812"/>
    </row>
    <row r="51111" spans="7:7">
      <c r="G51111" s="812"/>
    </row>
    <row r="51112" spans="7:7">
      <c r="G51112" s="812"/>
    </row>
    <row r="51113" spans="7:7">
      <c r="G51113" s="812"/>
    </row>
    <row r="51114" spans="7:7">
      <c r="G51114" s="812"/>
    </row>
    <row r="51115" spans="7:7">
      <c r="G51115" s="812"/>
    </row>
    <row r="51116" spans="7:7">
      <c r="G51116" s="812"/>
    </row>
    <row r="51117" spans="7:7">
      <c r="G51117" s="812"/>
    </row>
    <row r="51118" spans="7:7">
      <c r="G51118" s="812"/>
    </row>
    <row r="51119" spans="7:7">
      <c r="G51119" s="812"/>
    </row>
    <row r="51120" spans="7:7">
      <c r="G51120" s="812"/>
    </row>
    <row r="51121" spans="7:7">
      <c r="G51121" s="812"/>
    </row>
    <row r="51122" spans="7:7">
      <c r="G51122" s="812"/>
    </row>
    <row r="51123" spans="7:7">
      <c r="G51123" s="812"/>
    </row>
    <row r="51124" spans="7:7">
      <c r="G51124" s="812"/>
    </row>
    <row r="51125" spans="7:7">
      <c r="G51125" s="812"/>
    </row>
    <row r="51126" spans="7:7">
      <c r="G51126" s="812"/>
    </row>
    <row r="51127" spans="7:7">
      <c r="G51127" s="812"/>
    </row>
    <row r="51128" spans="7:7">
      <c r="G51128" s="812"/>
    </row>
    <row r="51129" spans="7:7">
      <c r="G51129" s="812"/>
    </row>
    <row r="51130" spans="7:7">
      <c r="G51130" s="812"/>
    </row>
    <row r="51131" spans="7:7">
      <c r="G51131" s="812"/>
    </row>
    <row r="51132" spans="7:7">
      <c r="G51132" s="812"/>
    </row>
    <row r="51133" spans="7:7">
      <c r="G51133" s="812"/>
    </row>
    <row r="51134" spans="7:7">
      <c r="G51134" s="812"/>
    </row>
    <row r="51135" spans="7:7">
      <c r="G51135" s="812"/>
    </row>
    <row r="51136" spans="7:7">
      <c r="G51136" s="812"/>
    </row>
    <row r="51137" spans="7:7">
      <c r="G51137" s="812"/>
    </row>
    <row r="51138" spans="7:7">
      <c r="G51138" s="812"/>
    </row>
    <row r="51139" spans="7:7">
      <c r="G51139" s="812"/>
    </row>
    <row r="51140" spans="7:7">
      <c r="G51140" s="812"/>
    </row>
    <row r="51141" spans="7:7">
      <c r="G51141" s="812"/>
    </row>
    <row r="51142" spans="7:7">
      <c r="G51142" s="812"/>
    </row>
    <row r="51143" spans="7:7">
      <c r="G51143" s="812"/>
    </row>
    <row r="51144" spans="7:7">
      <c r="G51144" s="812"/>
    </row>
    <row r="51145" spans="7:7">
      <c r="G51145" s="812"/>
    </row>
    <row r="51146" spans="7:7">
      <c r="G51146" s="812"/>
    </row>
    <row r="51147" spans="7:7">
      <c r="G51147" s="812"/>
    </row>
    <row r="51148" spans="7:7">
      <c r="G51148" s="812"/>
    </row>
    <row r="51149" spans="7:7">
      <c r="G51149" s="812"/>
    </row>
    <row r="51150" spans="7:7">
      <c r="G51150" s="812"/>
    </row>
    <row r="51151" spans="7:7">
      <c r="G51151" s="812"/>
    </row>
    <row r="51152" spans="7:7">
      <c r="G51152" s="812"/>
    </row>
    <row r="51153" spans="7:7">
      <c r="G51153" s="812"/>
    </row>
    <row r="51154" spans="7:7">
      <c r="G51154" s="812"/>
    </row>
    <row r="51155" spans="7:7">
      <c r="G51155" s="812"/>
    </row>
    <row r="51156" spans="7:7">
      <c r="G51156" s="812"/>
    </row>
    <row r="51157" spans="7:7">
      <c r="G51157" s="812"/>
    </row>
    <row r="51158" spans="7:7">
      <c r="G51158" s="812"/>
    </row>
    <row r="51159" spans="7:7">
      <c r="G51159" s="812"/>
    </row>
    <row r="51160" spans="7:7">
      <c r="G51160" s="812"/>
    </row>
    <row r="51161" spans="7:7">
      <c r="G51161" s="812"/>
    </row>
    <row r="51162" spans="7:7">
      <c r="G51162" s="812"/>
    </row>
    <row r="51163" spans="7:7">
      <c r="G51163" s="812"/>
    </row>
    <row r="51164" spans="7:7">
      <c r="G51164" s="812"/>
    </row>
    <row r="51165" spans="7:7">
      <c r="G51165" s="812"/>
    </row>
    <row r="51166" spans="7:7">
      <c r="G51166" s="812"/>
    </row>
    <row r="51167" spans="7:7">
      <c r="G51167" s="812"/>
    </row>
    <row r="51168" spans="7:7">
      <c r="G51168" s="812"/>
    </row>
    <row r="51169" spans="7:7">
      <c r="G51169" s="812"/>
    </row>
    <row r="51170" spans="7:7">
      <c r="G51170" s="812"/>
    </row>
    <row r="51171" spans="7:7">
      <c r="G51171" s="812"/>
    </row>
    <row r="51172" spans="7:7">
      <c r="G51172" s="812"/>
    </row>
    <row r="51173" spans="7:7">
      <c r="G51173" s="812"/>
    </row>
    <row r="51174" spans="7:7">
      <c r="G51174" s="812"/>
    </row>
    <row r="51175" spans="7:7">
      <c r="G51175" s="812"/>
    </row>
    <row r="51176" spans="7:7">
      <c r="G51176" s="812"/>
    </row>
    <row r="51177" spans="7:7">
      <c r="G51177" s="812"/>
    </row>
    <row r="51178" spans="7:7">
      <c r="G51178" s="812"/>
    </row>
    <row r="51179" spans="7:7">
      <c r="G51179" s="812"/>
    </row>
    <row r="51180" spans="7:7">
      <c r="G51180" s="812"/>
    </row>
    <row r="51181" spans="7:7">
      <c r="G51181" s="812"/>
    </row>
    <row r="51182" spans="7:7">
      <c r="G51182" s="812"/>
    </row>
    <row r="51183" spans="7:7">
      <c r="G51183" s="812"/>
    </row>
    <row r="51184" spans="7:7">
      <c r="G51184" s="812"/>
    </row>
    <row r="51185" spans="7:7">
      <c r="G51185" s="812"/>
    </row>
    <row r="51186" spans="7:7">
      <c r="G51186" s="812"/>
    </row>
    <row r="51187" spans="7:7">
      <c r="G51187" s="812"/>
    </row>
    <row r="51188" spans="7:7">
      <c r="G51188" s="812"/>
    </row>
    <row r="51189" spans="7:7">
      <c r="G51189" s="812"/>
    </row>
    <row r="51190" spans="7:7">
      <c r="G51190" s="812"/>
    </row>
    <row r="51191" spans="7:7">
      <c r="G51191" s="812"/>
    </row>
    <row r="51192" spans="7:7">
      <c r="G51192" s="812"/>
    </row>
    <row r="51193" spans="7:7">
      <c r="G51193" s="812"/>
    </row>
    <row r="51194" spans="7:7">
      <c r="G51194" s="812"/>
    </row>
    <row r="51195" spans="7:7">
      <c r="G51195" s="812"/>
    </row>
    <row r="51196" spans="7:7">
      <c r="G51196" s="812"/>
    </row>
    <row r="51197" spans="7:7">
      <c r="G51197" s="812"/>
    </row>
    <row r="51198" spans="7:7">
      <c r="G51198" s="812"/>
    </row>
    <row r="51199" spans="7:7">
      <c r="G51199" s="812"/>
    </row>
    <row r="51200" spans="7:7">
      <c r="G51200" s="812"/>
    </row>
    <row r="51201" spans="7:7">
      <c r="G51201" s="812"/>
    </row>
    <row r="51202" spans="7:7">
      <c r="G51202" s="812"/>
    </row>
    <row r="51203" spans="7:7">
      <c r="G51203" s="812"/>
    </row>
    <row r="51204" spans="7:7">
      <c r="G51204" s="812"/>
    </row>
    <row r="51205" spans="7:7">
      <c r="G51205" s="812"/>
    </row>
    <row r="51206" spans="7:7">
      <c r="G51206" s="812"/>
    </row>
    <row r="51207" spans="7:7">
      <c r="G51207" s="812"/>
    </row>
    <row r="51208" spans="7:7">
      <c r="G51208" s="812"/>
    </row>
    <row r="51209" spans="7:7">
      <c r="G51209" s="812"/>
    </row>
    <row r="51210" spans="7:7">
      <c r="G51210" s="812"/>
    </row>
    <row r="51211" spans="7:7">
      <c r="G51211" s="812"/>
    </row>
    <row r="51212" spans="7:7">
      <c r="G51212" s="812"/>
    </row>
    <row r="51213" spans="7:7">
      <c r="G51213" s="812"/>
    </row>
    <row r="51214" spans="7:7">
      <c r="G51214" s="812"/>
    </row>
    <row r="51215" spans="7:7">
      <c r="G51215" s="812"/>
    </row>
    <row r="51216" spans="7:7">
      <c r="G51216" s="812"/>
    </row>
    <row r="51217" spans="7:7">
      <c r="G51217" s="812"/>
    </row>
    <row r="51218" spans="7:7">
      <c r="G51218" s="812"/>
    </row>
    <row r="51219" spans="7:7">
      <c r="G51219" s="812"/>
    </row>
    <row r="51220" spans="7:7">
      <c r="G51220" s="812"/>
    </row>
    <row r="51221" spans="7:7">
      <c r="G51221" s="812"/>
    </row>
    <row r="51222" spans="7:7">
      <c r="G51222" s="812"/>
    </row>
    <row r="51223" spans="7:7">
      <c r="G51223" s="812"/>
    </row>
    <row r="51224" spans="7:7">
      <c r="G51224" s="812"/>
    </row>
    <row r="51225" spans="7:7">
      <c r="G51225" s="812"/>
    </row>
    <row r="51226" spans="7:7">
      <c r="G51226" s="812"/>
    </row>
    <row r="51227" spans="7:7">
      <c r="G51227" s="812"/>
    </row>
    <row r="51228" spans="7:7">
      <c r="G51228" s="812"/>
    </row>
    <row r="51229" spans="7:7">
      <c r="G51229" s="812"/>
    </row>
    <row r="51230" spans="7:7">
      <c r="G51230" s="812"/>
    </row>
    <row r="51231" spans="7:7">
      <c r="G51231" s="812"/>
    </row>
    <row r="51232" spans="7:7">
      <c r="G51232" s="812"/>
    </row>
    <row r="51233" spans="7:7">
      <c r="G51233" s="812"/>
    </row>
    <row r="51234" spans="7:7">
      <c r="G51234" s="812"/>
    </row>
    <row r="51235" spans="7:7">
      <c r="G51235" s="812"/>
    </row>
    <row r="51236" spans="7:7">
      <c r="G51236" s="812"/>
    </row>
    <row r="51237" spans="7:7">
      <c r="G51237" s="812"/>
    </row>
    <row r="51238" spans="7:7">
      <c r="G51238" s="812"/>
    </row>
    <row r="51239" spans="7:7">
      <c r="G51239" s="812"/>
    </row>
    <row r="51240" spans="7:7">
      <c r="G51240" s="812"/>
    </row>
    <row r="51241" spans="7:7">
      <c r="G51241" s="812"/>
    </row>
    <row r="51242" spans="7:7">
      <c r="G51242" s="812"/>
    </row>
    <row r="51243" spans="7:7">
      <c r="G51243" s="812"/>
    </row>
    <row r="51244" spans="7:7">
      <c r="G51244" s="812"/>
    </row>
    <row r="51245" spans="7:7">
      <c r="G51245" s="812"/>
    </row>
    <row r="51246" spans="7:7">
      <c r="G51246" s="812"/>
    </row>
    <row r="51247" spans="7:7">
      <c r="G51247" s="812"/>
    </row>
    <row r="51248" spans="7:7">
      <c r="G51248" s="812"/>
    </row>
    <row r="51249" spans="7:7">
      <c r="G51249" s="812"/>
    </row>
    <row r="51250" spans="7:7">
      <c r="G51250" s="812"/>
    </row>
    <row r="51251" spans="7:7">
      <c r="G51251" s="812"/>
    </row>
    <row r="51252" spans="7:7">
      <c r="G51252" s="812"/>
    </row>
    <row r="51253" spans="7:7">
      <c r="G51253" s="812"/>
    </row>
    <row r="51254" spans="7:7">
      <c r="G51254" s="812"/>
    </row>
    <row r="51255" spans="7:7">
      <c r="G51255" s="812"/>
    </row>
    <row r="51256" spans="7:7">
      <c r="G51256" s="812"/>
    </row>
    <row r="51257" spans="7:7">
      <c r="G51257" s="812"/>
    </row>
    <row r="51258" spans="7:7">
      <c r="G51258" s="812"/>
    </row>
    <row r="51259" spans="7:7">
      <c r="G51259" s="812"/>
    </row>
    <row r="51260" spans="7:7">
      <c r="G51260" s="812"/>
    </row>
    <row r="51261" spans="7:7">
      <c r="G51261" s="812"/>
    </row>
    <row r="51262" spans="7:7">
      <c r="G51262" s="812"/>
    </row>
    <row r="51263" spans="7:7">
      <c r="G51263" s="812"/>
    </row>
    <row r="51264" spans="7:7">
      <c r="G51264" s="812"/>
    </row>
    <row r="51265" spans="7:7">
      <c r="G51265" s="812"/>
    </row>
    <row r="51266" spans="7:7">
      <c r="G51266" s="812"/>
    </row>
    <row r="51267" spans="7:7">
      <c r="G51267" s="812"/>
    </row>
    <row r="51268" spans="7:7">
      <c r="G51268" s="812"/>
    </row>
    <row r="51269" spans="7:7">
      <c r="G51269" s="812"/>
    </row>
    <row r="51270" spans="7:7">
      <c r="G51270" s="812"/>
    </row>
    <row r="51271" spans="7:7">
      <c r="G51271" s="812"/>
    </row>
    <row r="51272" spans="7:7">
      <c r="G51272" s="812"/>
    </row>
    <row r="51273" spans="7:7">
      <c r="G51273" s="812"/>
    </row>
    <row r="51274" spans="7:7">
      <c r="G51274" s="812"/>
    </row>
    <row r="51275" spans="7:7">
      <c r="G51275" s="812"/>
    </row>
    <row r="51276" spans="7:7">
      <c r="G51276" s="812"/>
    </row>
    <row r="51277" spans="7:7">
      <c r="G51277" s="812"/>
    </row>
    <row r="51278" spans="7:7">
      <c r="G51278" s="812"/>
    </row>
    <row r="51279" spans="7:7">
      <c r="G51279" s="812"/>
    </row>
    <row r="51280" spans="7:7">
      <c r="G51280" s="812"/>
    </row>
    <row r="51281" spans="7:7">
      <c r="G51281" s="812"/>
    </row>
    <row r="51282" spans="7:7">
      <c r="G51282" s="812"/>
    </row>
    <row r="51283" spans="7:7">
      <c r="G51283" s="812"/>
    </row>
    <row r="51284" spans="7:7">
      <c r="G51284" s="812"/>
    </row>
    <row r="51285" spans="7:7">
      <c r="G51285" s="812"/>
    </row>
    <row r="51286" spans="7:7">
      <c r="G51286" s="812"/>
    </row>
    <row r="51287" spans="7:7">
      <c r="G51287" s="812"/>
    </row>
    <row r="51288" spans="7:7">
      <c r="G51288" s="812"/>
    </row>
    <row r="51289" spans="7:7">
      <c r="G51289" s="812"/>
    </row>
    <row r="51290" spans="7:7">
      <c r="G51290" s="812"/>
    </row>
    <row r="51291" spans="7:7">
      <c r="G51291" s="812"/>
    </row>
    <row r="51292" spans="7:7">
      <c r="G51292" s="812"/>
    </row>
    <row r="51293" spans="7:7">
      <c r="G51293" s="812"/>
    </row>
    <row r="51294" spans="7:7">
      <c r="G51294" s="812"/>
    </row>
    <row r="51295" spans="7:7">
      <c r="G51295" s="812"/>
    </row>
    <row r="51296" spans="7:7">
      <c r="G51296" s="812"/>
    </row>
    <row r="51297" spans="7:7">
      <c r="G51297" s="812"/>
    </row>
    <row r="51298" spans="7:7">
      <c r="G51298" s="812"/>
    </row>
    <row r="51299" spans="7:7">
      <c r="G51299" s="812"/>
    </row>
    <row r="51300" spans="7:7">
      <c r="G51300" s="812"/>
    </row>
    <row r="51301" spans="7:7">
      <c r="G51301" s="812"/>
    </row>
    <row r="51302" spans="7:7">
      <c r="G51302" s="812"/>
    </row>
    <row r="51303" spans="7:7">
      <c r="G51303" s="812"/>
    </row>
    <row r="51304" spans="7:7">
      <c r="G51304" s="812"/>
    </row>
    <row r="51305" spans="7:7">
      <c r="G51305" s="812"/>
    </row>
    <row r="51306" spans="7:7">
      <c r="G51306" s="812"/>
    </row>
    <row r="51307" spans="7:7">
      <c r="G51307" s="812"/>
    </row>
    <row r="51308" spans="7:7">
      <c r="G51308" s="812"/>
    </row>
    <row r="51309" spans="7:7">
      <c r="G51309" s="812"/>
    </row>
    <row r="51310" spans="7:7">
      <c r="G51310" s="812"/>
    </row>
    <row r="51311" spans="7:7">
      <c r="G51311" s="812"/>
    </row>
    <row r="51312" spans="7:7">
      <c r="G51312" s="812"/>
    </row>
    <row r="51313" spans="7:7">
      <c r="G51313" s="812"/>
    </row>
    <row r="51314" spans="7:7">
      <c r="G51314" s="812"/>
    </row>
    <row r="51315" spans="7:7">
      <c r="G51315" s="812"/>
    </row>
    <row r="51316" spans="7:7">
      <c r="G51316" s="812"/>
    </row>
    <row r="51317" spans="7:7">
      <c r="G51317" s="812"/>
    </row>
    <row r="51318" spans="7:7">
      <c r="G51318" s="812"/>
    </row>
    <row r="51319" spans="7:7">
      <c r="G51319" s="812"/>
    </row>
    <row r="51320" spans="7:7">
      <c r="G51320" s="812"/>
    </row>
    <row r="51321" spans="7:7">
      <c r="G51321" s="812"/>
    </row>
    <row r="51322" spans="7:7">
      <c r="G51322" s="812"/>
    </row>
    <row r="51323" spans="7:7">
      <c r="G51323" s="812"/>
    </row>
    <row r="51324" spans="7:7">
      <c r="G51324" s="812"/>
    </row>
    <row r="51325" spans="7:7">
      <c r="G51325" s="812"/>
    </row>
    <row r="51326" spans="7:7">
      <c r="G51326" s="812"/>
    </row>
    <row r="51327" spans="7:7">
      <c r="G51327" s="812"/>
    </row>
    <row r="51328" spans="7:7">
      <c r="G51328" s="812"/>
    </row>
    <row r="51329" spans="7:7">
      <c r="G51329" s="812"/>
    </row>
    <row r="51330" spans="7:7">
      <c r="G51330" s="812"/>
    </row>
    <row r="51331" spans="7:7">
      <c r="G51331" s="812"/>
    </row>
    <row r="51332" spans="7:7">
      <c r="G51332" s="812"/>
    </row>
    <row r="51333" spans="7:7">
      <c r="G51333" s="812"/>
    </row>
    <row r="51334" spans="7:7">
      <c r="G51334" s="812"/>
    </row>
    <row r="51335" spans="7:7">
      <c r="G51335" s="812"/>
    </row>
    <row r="51336" spans="7:7">
      <c r="G51336" s="812"/>
    </row>
    <row r="51337" spans="7:7">
      <c r="G51337" s="812"/>
    </row>
    <row r="51338" spans="7:7">
      <c r="G51338" s="812"/>
    </row>
    <row r="51339" spans="7:7">
      <c r="G51339" s="812"/>
    </row>
    <row r="51340" spans="7:7">
      <c r="G51340" s="812"/>
    </row>
    <row r="51341" spans="7:7">
      <c r="G51341" s="812"/>
    </row>
    <row r="51342" spans="7:7">
      <c r="G51342" s="812"/>
    </row>
    <row r="51343" spans="7:7">
      <c r="G51343" s="812"/>
    </row>
    <row r="51344" spans="7:7">
      <c r="G51344" s="812"/>
    </row>
    <row r="51345" spans="7:7">
      <c r="G51345" s="812"/>
    </row>
    <row r="51346" spans="7:7">
      <c r="G51346" s="812"/>
    </row>
    <row r="51347" spans="7:7">
      <c r="G51347" s="812"/>
    </row>
    <row r="51348" spans="7:7">
      <c r="G51348" s="812"/>
    </row>
    <row r="51349" spans="7:7">
      <c r="G51349" s="812"/>
    </row>
    <row r="51350" spans="7:7">
      <c r="G51350" s="812"/>
    </row>
    <row r="51351" spans="7:7">
      <c r="G51351" s="812"/>
    </row>
    <row r="51352" spans="7:7">
      <c r="G51352" s="812"/>
    </row>
    <row r="51353" spans="7:7">
      <c r="G51353" s="812"/>
    </row>
    <row r="51354" spans="7:7">
      <c r="G51354" s="812"/>
    </row>
    <row r="51355" spans="7:7">
      <c r="G51355" s="812"/>
    </row>
    <row r="51356" spans="7:7">
      <c r="G51356" s="812"/>
    </row>
    <row r="51357" spans="7:7">
      <c r="G51357" s="812"/>
    </row>
    <row r="51358" spans="7:7">
      <c r="G51358" s="812"/>
    </row>
    <row r="51359" spans="7:7">
      <c r="G51359" s="812"/>
    </row>
    <row r="51360" spans="7:7">
      <c r="G51360" s="812"/>
    </row>
    <row r="51361" spans="7:7">
      <c r="G51361" s="812"/>
    </row>
    <row r="51362" spans="7:7">
      <c r="G51362" s="812"/>
    </row>
    <row r="51363" spans="7:7">
      <c r="G51363" s="812"/>
    </row>
    <row r="51364" spans="7:7">
      <c r="G51364" s="812"/>
    </row>
    <row r="51365" spans="7:7">
      <c r="G51365" s="812"/>
    </row>
    <row r="51366" spans="7:7">
      <c r="G51366" s="812"/>
    </row>
    <row r="51367" spans="7:7">
      <c r="G51367" s="812"/>
    </row>
    <row r="51368" spans="7:7">
      <c r="G51368" s="812"/>
    </row>
    <row r="51369" spans="7:7">
      <c r="G51369" s="812"/>
    </row>
    <row r="51370" spans="7:7">
      <c r="G51370" s="812"/>
    </row>
    <row r="51371" spans="7:7">
      <c r="G51371" s="812"/>
    </row>
    <row r="51372" spans="7:7">
      <c r="G51372" s="812"/>
    </row>
    <row r="51373" spans="7:7">
      <c r="G51373" s="812"/>
    </row>
    <row r="51374" spans="7:7">
      <c r="G51374" s="812"/>
    </row>
    <row r="51375" spans="7:7">
      <c r="G51375" s="812"/>
    </row>
    <row r="51376" spans="7:7">
      <c r="G51376" s="812"/>
    </row>
    <row r="51377" spans="7:7">
      <c r="G51377" s="812"/>
    </row>
    <row r="51378" spans="7:7">
      <c r="G51378" s="812"/>
    </row>
    <row r="51379" spans="7:7">
      <c r="G51379" s="812"/>
    </row>
    <row r="51380" spans="7:7">
      <c r="G51380" s="812"/>
    </row>
    <row r="51381" spans="7:7">
      <c r="G51381" s="812"/>
    </row>
    <row r="51382" spans="7:7">
      <c r="G51382" s="812"/>
    </row>
    <row r="51383" spans="7:7">
      <c r="G51383" s="812"/>
    </row>
    <row r="51384" spans="7:7">
      <c r="G51384" s="812"/>
    </row>
    <row r="51385" spans="7:7">
      <c r="G51385" s="812"/>
    </row>
    <row r="51386" spans="7:7">
      <c r="G51386" s="812"/>
    </row>
    <row r="51387" spans="7:7">
      <c r="G51387" s="812"/>
    </row>
    <row r="51388" spans="7:7">
      <c r="G51388" s="812"/>
    </row>
    <row r="51389" spans="7:7">
      <c r="G51389" s="812"/>
    </row>
    <row r="51390" spans="7:7">
      <c r="G51390" s="812"/>
    </row>
    <row r="51391" spans="7:7">
      <c r="G51391" s="812"/>
    </row>
    <row r="51392" spans="7:7">
      <c r="G51392" s="812"/>
    </row>
    <row r="51393" spans="7:7">
      <c r="G51393" s="812"/>
    </row>
    <row r="51394" spans="7:7">
      <c r="G51394" s="812"/>
    </row>
    <row r="51395" spans="7:7">
      <c r="G51395" s="812"/>
    </row>
    <row r="51396" spans="7:7">
      <c r="G51396" s="812"/>
    </row>
    <row r="51397" spans="7:7">
      <c r="G51397" s="812"/>
    </row>
    <row r="51398" spans="7:7">
      <c r="G51398" s="812"/>
    </row>
    <row r="51399" spans="7:7">
      <c r="G51399" s="812"/>
    </row>
    <row r="51400" spans="7:7">
      <c r="G51400" s="812"/>
    </row>
    <row r="51401" spans="7:7">
      <c r="G51401" s="812"/>
    </row>
    <row r="51402" spans="7:7">
      <c r="G51402" s="812"/>
    </row>
    <row r="51403" spans="7:7">
      <c r="G51403" s="812"/>
    </row>
    <row r="51404" spans="7:7">
      <c r="G51404" s="812"/>
    </row>
    <row r="51405" spans="7:7">
      <c r="G51405" s="812"/>
    </row>
    <row r="51406" spans="7:7">
      <c r="G51406" s="812"/>
    </row>
    <row r="51407" spans="7:7">
      <c r="G51407" s="812"/>
    </row>
    <row r="51408" spans="7:7">
      <c r="G51408" s="812"/>
    </row>
    <row r="51409" spans="7:7">
      <c r="G51409" s="812"/>
    </row>
    <row r="51410" spans="7:7">
      <c r="G51410" s="812"/>
    </row>
    <row r="51411" spans="7:7">
      <c r="G51411" s="812"/>
    </row>
    <row r="51412" spans="7:7">
      <c r="G51412" s="812"/>
    </row>
    <row r="51413" spans="7:7">
      <c r="G51413" s="812"/>
    </row>
    <row r="51414" spans="7:7">
      <c r="G51414" s="812"/>
    </row>
    <row r="51415" spans="7:7">
      <c r="G51415" s="812"/>
    </row>
    <row r="51416" spans="7:7">
      <c r="G51416" s="812"/>
    </row>
    <row r="51417" spans="7:7">
      <c r="G51417" s="812"/>
    </row>
    <row r="51418" spans="7:7">
      <c r="G51418" s="812"/>
    </row>
    <row r="51419" spans="7:7">
      <c r="G51419" s="812"/>
    </row>
    <row r="51420" spans="7:7">
      <c r="G51420" s="812"/>
    </row>
    <row r="51421" spans="7:7">
      <c r="G51421" s="812"/>
    </row>
    <row r="51422" spans="7:7">
      <c r="G51422" s="812"/>
    </row>
    <row r="51423" spans="7:7">
      <c r="G51423" s="812"/>
    </row>
    <row r="51424" spans="7:7">
      <c r="G51424" s="812"/>
    </row>
    <row r="51425" spans="7:7">
      <c r="G51425" s="812"/>
    </row>
    <row r="51426" spans="7:7">
      <c r="G51426" s="812"/>
    </row>
    <row r="51427" spans="7:7">
      <c r="G51427" s="812"/>
    </row>
    <row r="51428" spans="7:7">
      <c r="G51428" s="812"/>
    </row>
    <row r="51429" spans="7:7">
      <c r="G51429" s="812"/>
    </row>
    <row r="51430" spans="7:7">
      <c r="G51430" s="812"/>
    </row>
    <row r="51431" spans="7:7">
      <c r="G51431" s="812"/>
    </row>
    <row r="51432" spans="7:7">
      <c r="G51432" s="812"/>
    </row>
    <row r="51433" spans="7:7">
      <c r="G51433" s="812"/>
    </row>
    <row r="51434" spans="7:7">
      <c r="G51434" s="812"/>
    </row>
    <row r="51435" spans="7:7">
      <c r="G51435" s="812"/>
    </row>
    <row r="51436" spans="7:7">
      <c r="G51436" s="812"/>
    </row>
    <row r="51437" spans="7:7">
      <c r="G51437" s="812"/>
    </row>
    <row r="51438" spans="7:7">
      <c r="G51438" s="812"/>
    </row>
    <row r="51439" spans="7:7">
      <c r="G51439" s="812"/>
    </row>
    <row r="51440" spans="7:7">
      <c r="G51440" s="812"/>
    </row>
    <row r="51441" spans="7:7">
      <c r="G51441" s="812"/>
    </row>
    <row r="51442" spans="7:7">
      <c r="G51442" s="812"/>
    </row>
    <row r="51443" spans="7:7">
      <c r="G51443" s="812"/>
    </row>
    <row r="51444" spans="7:7">
      <c r="G51444" s="812"/>
    </row>
    <row r="51445" spans="7:7">
      <c r="G51445" s="812"/>
    </row>
    <row r="51446" spans="7:7">
      <c r="G51446" s="812"/>
    </row>
    <row r="51447" spans="7:7">
      <c r="G51447" s="812"/>
    </row>
    <row r="51448" spans="7:7">
      <c r="G51448" s="812"/>
    </row>
    <row r="51449" spans="7:7">
      <c r="G51449" s="812"/>
    </row>
    <row r="51450" spans="7:7">
      <c r="G51450" s="812"/>
    </row>
    <row r="51451" spans="7:7">
      <c r="G51451" s="812"/>
    </row>
    <row r="51452" spans="7:7">
      <c r="G51452" s="812"/>
    </row>
    <row r="51453" spans="7:7">
      <c r="G51453" s="812"/>
    </row>
    <row r="51454" spans="7:7">
      <c r="G51454" s="812"/>
    </row>
    <row r="51455" spans="7:7">
      <c r="G51455" s="812"/>
    </row>
    <row r="51456" spans="7:7">
      <c r="G51456" s="812"/>
    </row>
    <row r="51457" spans="7:7">
      <c r="G51457" s="812"/>
    </row>
    <row r="51458" spans="7:7">
      <c r="G51458" s="812"/>
    </row>
    <row r="51459" spans="7:7">
      <c r="G51459" s="812"/>
    </row>
    <row r="51460" spans="7:7">
      <c r="G51460" s="812"/>
    </row>
    <row r="51461" spans="7:7">
      <c r="G51461" s="812"/>
    </row>
    <row r="51462" spans="7:7">
      <c r="G51462" s="812"/>
    </row>
    <row r="51463" spans="7:7">
      <c r="G51463" s="812"/>
    </row>
    <row r="51464" spans="7:7">
      <c r="G51464" s="812"/>
    </row>
    <row r="51465" spans="7:7">
      <c r="G51465" s="812"/>
    </row>
    <row r="51466" spans="7:7">
      <c r="G51466" s="812"/>
    </row>
    <row r="51467" spans="7:7">
      <c r="G51467" s="812"/>
    </row>
    <row r="51468" spans="7:7">
      <c r="G51468" s="812"/>
    </row>
    <row r="51469" spans="7:7">
      <c r="G51469" s="812"/>
    </row>
    <row r="51470" spans="7:7">
      <c r="G51470" s="812"/>
    </row>
    <row r="51471" spans="7:7">
      <c r="G51471" s="812"/>
    </row>
    <row r="51472" spans="7:7">
      <c r="G51472" s="812"/>
    </row>
    <row r="51473" spans="7:7">
      <c r="G51473" s="812"/>
    </row>
    <row r="51474" spans="7:7">
      <c r="G51474" s="812"/>
    </row>
    <row r="51475" spans="7:7">
      <c r="G51475" s="812"/>
    </row>
    <row r="51476" spans="7:7">
      <c r="G51476" s="812"/>
    </row>
    <row r="51477" spans="7:7">
      <c r="G51477" s="812"/>
    </row>
    <row r="51478" spans="7:7">
      <c r="G51478" s="812"/>
    </row>
    <row r="51479" spans="7:7">
      <c r="G51479" s="812"/>
    </row>
    <row r="51480" spans="7:7">
      <c r="G51480" s="812"/>
    </row>
    <row r="51481" spans="7:7">
      <c r="G51481" s="812"/>
    </row>
    <row r="51482" spans="7:7">
      <c r="G51482" s="812"/>
    </row>
    <row r="51483" spans="7:7">
      <c r="G51483" s="812"/>
    </row>
    <row r="51484" spans="7:7">
      <c r="G51484" s="812"/>
    </row>
    <row r="51485" spans="7:7">
      <c r="G51485" s="812"/>
    </row>
    <row r="51486" spans="7:7">
      <c r="G51486" s="812"/>
    </row>
    <row r="51487" spans="7:7">
      <c r="G51487" s="812"/>
    </row>
    <row r="51488" spans="7:7">
      <c r="G51488" s="812"/>
    </row>
    <row r="51489" spans="7:7">
      <c r="G51489" s="812"/>
    </row>
    <row r="51490" spans="7:7">
      <c r="G51490" s="812"/>
    </row>
    <row r="51491" spans="7:7">
      <c r="G51491" s="812"/>
    </row>
    <row r="51492" spans="7:7">
      <c r="G51492" s="812"/>
    </row>
    <row r="51493" spans="7:7">
      <c r="G51493" s="812"/>
    </row>
    <row r="51494" spans="7:7">
      <c r="G51494" s="812"/>
    </row>
    <row r="51495" spans="7:7">
      <c r="G51495" s="812"/>
    </row>
    <row r="51496" spans="7:7">
      <c r="G51496" s="812"/>
    </row>
    <row r="51497" spans="7:7">
      <c r="G51497" s="812"/>
    </row>
    <row r="51498" spans="7:7">
      <c r="G51498" s="812"/>
    </row>
    <row r="51499" spans="7:7">
      <c r="G51499" s="812"/>
    </row>
    <row r="51500" spans="7:7">
      <c r="G51500" s="812"/>
    </row>
    <row r="51501" spans="7:7">
      <c r="G51501" s="812"/>
    </row>
    <row r="51502" spans="7:7">
      <c r="G51502" s="812"/>
    </row>
    <row r="51503" spans="7:7">
      <c r="G51503" s="812"/>
    </row>
    <row r="51504" spans="7:7">
      <c r="G51504" s="812"/>
    </row>
    <row r="51505" spans="7:7">
      <c r="G51505" s="812"/>
    </row>
    <row r="51506" spans="7:7">
      <c r="G51506" s="812"/>
    </row>
    <row r="51507" spans="7:7">
      <c r="G51507" s="812"/>
    </row>
    <row r="51508" spans="7:7">
      <c r="G51508" s="812"/>
    </row>
    <row r="51509" spans="7:7">
      <c r="G51509" s="812"/>
    </row>
    <row r="51510" spans="7:7">
      <c r="G51510" s="812"/>
    </row>
    <row r="51511" spans="7:7">
      <c r="G51511" s="812"/>
    </row>
    <row r="51512" spans="7:7">
      <c r="G51512" s="812"/>
    </row>
    <row r="51513" spans="7:7">
      <c r="G51513" s="812"/>
    </row>
    <row r="51514" spans="7:7">
      <c r="G51514" s="812"/>
    </row>
    <row r="51515" spans="7:7">
      <c r="G51515" s="812"/>
    </row>
    <row r="51516" spans="7:7">
      <c r="G51516" s="812"/>
    </row>
    <row r="51517" spans="7:7">
      <c r="G51517" s="812"/>
    </row>
    <row r="51518" spans="7:7">
      <c r="G51518" s="812"/>
    </row>
    <row r="51519" spans="7:7">
      <c r="G51519" s="812"/>
    </row>
    <row r="51520" spans="7:7">
      <c r="G51520" s="812"/>
    </row>
    <row r="51521" spans="7:7">
      <c r="G51521" s="812"/>
    </row>
    <row r="51522" spans="7:7">
      <c r="G51522" s="812"/>
    </row>
    <row r="51523" spans="7:7">
      <c r="G51523" s="812"/>
    </row>
    <row r="51524" spans="7:7">
      <c r="G51524" s="812"/>
    </row>
    <row r="51525" spans="7:7">
      <c r="G51525" s="812"/>
    </row>
    <row r="51526" spans="7:7">
      <c r="G51526" s="812"/>
    </row>
    <row r="51527" spans="7:7">
      <c r="G51527" s="812"/>
    </row>
    <row r="51528" spans="7:7">
      <c r="G51528" s="812"/>
    </row>
    <row r="51529" spans="7:7">
      <c r="G51529" s="812"/>
    </row>
    <row r="51530" spans="7:7">
      <c r="G51530" s="812"/>
    </row>
    <row r="51531" spans="7:7">
      <c r="G51531" s="812"/>
    </row>
    <row r="51532" spans="7:7">
      <c r="G51532" s="812"/>
    </row>
    <row r="51533" spans="7:7">
      <c r="G51533" s="812"/>
    </row>
    <row r="51534" spans="7:7">
      <c r="G51534" s="812"/>
    </row>
    <row r="51535" spans="7:7">
      <c r="G51535" s="812"/>
    </row>
    <row r="51536" spans="7:7">
      <c r="G51536" s="812"/>
    </row>
    <row r="51537" spans="7:7">
      <c r="G51537" s="812"/>
    </row>
    <row r="51538" spans="7:7">
      <c r="G51538" s="812"/>
    </row>
    <row r="51539" spans="7:7">
      <c r="G51539" s="812"/>
    </row>
    <row r="51540" spans="7:7">
      <c r="G51540" s="812"/>
    </row>
    <row r="51541" spans="7:7">
      <c r="G51541" s="812"/>
    </row>
    <row r="51542" spans="7:7">
      <c r="G51542" s="812"/>
    </row>
    <row r="51543" spans="7:7">
      <c r="G51543" s="812"/>
    </row>
    <row r="51544" spans="7:7">
      <c r="G51544" s="812"/>
    </row>
    <row r="51545" spans="7:7">
      <c r="G51545" s="812"/>
    </row>
    <row r="51546" spans="7:7">
      <c r="G51546" s="812"/>
    </row>
    <row r="51547" spans="7:7">
      <c r="G51547" s="812"/>
    </row>
    <row r="51548" spans="7:7">
      <c r="G51548" s="812"/>
    </row>
    <row r="51549" spans="7:7">
      <c r="G51549" s="812"/>
    </row>
    <row r="51550" spans="7:7">
      <c r="G51550" s="812"/>
    </row>
    <row r="51551" spans="7:7">
      <c r="G51551" s="812"/>
    </row>
    <row r="51552" spans="7:7">
      <c r="G51552" s="812"/>
    </row>
    <row r="51553" spans="7:7">
      <c r="G51553" s="812"/>
    </row>
    <row r="51554" spans="7:7">
      <c r="G51554" s="812"/>
    </row>
    <row r="51555" spans="7:7">
      <c r="G51555" s="812"/>
    </row>
    <row r="51556" spans="7:7">
      <c r="G51556" s="812"/>
    </row>
    <row r="51557" spans="7:7">
      <c r="G51557" s="812"/>
    </row>
    <row r="51558" spans="7:7">
      <c r="G51558" s="812"/>
    </row>
    <row r="51559" spans="7:7">
      <c r="G51559" s="812"/>
    </row>
    <row r="51560" spans="7:7">
      <c r="G51560" s="812"/>
    </row>
    <row r="51561" spans="7:7">
      <c r="G51561" s="812"/>
    </row>
    <row r="51562" spans="7:7">
      <c r="G51562" s="812"/>
    </row>
    <row r="51563" spans="7:7">
      <c r="G51563" s="812"/>
    </row>
    <row r="51564" spans="7:7">
      <c r="G51564" s="812"/>
    </row>
    <row r="51565" spans="7:7">
      <c r="G51565" s="812"/>
    </row>
    <row r="51566" spans="7:7">
      <c r="G51566" s="812"/>
    </row>
    <row r="51567" spans="7:7">
      <c r="G51567" s="812"/>
    </row>
    <row r="51568" spans="7:7">
      <c r="G51568" s="812"/>
    </row>
    <row r="51569" spans="7:7">
      <c r="G51569" s="812"/>
    </row>
    <row r="51570" spans="7:7">
      <c r="G51570" s="812"/>
    </row>
    <row r="51571" spans="7:7">
      <c r="G51571" s="812"/>
    </row>
    <row r="51572" spans="7:7">
      <c r="G51572" s="812"/>
    </row>
    <row r="51573" spans="7:7">
      <c r="G51573" s="812"/>
    </row>
    <row r="51574" spans="7:7">
      <c r="G51574" s="812"/>
    </row>
    <row r="51575" spans="7:7">
      <c r="G51575" s="812"/>
    </row>
    <row r="51576" spans="7:7">
      <c r="G51576" s="812"/>
    </row>
    <row r="51577" spans="7:7">
      <c r="G51577" s="812"/>
    </row>
    <row r="51578" spans="7:7">
      <c r="G51578" s="812"/>
    </row>
    <row r="51579" spans="7:7">
      <c r="G51579" s="812"/>
    </row>
    <row r="51580" spans="7:7">
      <c r="G51580" s="812"/>
    </row>
    <row r="51581" spans="7:7">
      <c r="G51581" s="812"/>
    </row>
    <row r="51582" spans="7:7">
      <c r="G51582" s="812"/>
    </row>
    <row r="51583" spans="7:7">
      <c r="G51583" s="812"/>
    </row>
    <row r="51584" spans="7:7">
      <c r="G51584" s="812"/>
    </row>
    <row r="51585" spans="7:7">
      <c r="G51585" s="812"/>
    </row>
    <row r="51586" spans="7:7">
      <c r="G51586" s="812"/>
    </row>
    <row r="51587" spans="7:7">
      <c r="G51587" s="812"/>
    </row>
    <row r="51588" spans="7:7">
      <c r="G51588" s="812"/>
    </row>
    <row r="51589" spans="7:7">
      <c r="G51589" s="812"/>
    </row>
    <row r="51590" spans="7:7">
      <c r="G51590" s="812"/>
    </row>
    <row r="51591" spans="7:7">
      <c r="G51591" s="812"/>
    </row>
    <row r="51592" spans="7:7">
      <c r="G51592" s="812"/>
    </row>
    <row r="51593" spans="7:7">
      <c r="G51593" s="812"/>
    </row>
    <row r="51594" spans="7:7">
      <c r="G51594" s="812"/>
    </row>
    <row r="51595" spans="7:7">
      <c r="G51595" s="812"/>
    </row>
    <row r="51596" spans="7:7">
      <c r="G51596" s="812"/>
    </row>
    <row r="51597" spans="7:7">
      <c r="G51597" s="812"/>
    </row>
    <row r="51598" spans="7:7">
      <c r="G51598" s="812"/>
    </row>
    <row r="51599" spans="7:7">
      <c r="G51599" s="812"/>
    </row>
    <row r="51600" spans="7:7">
      <c r="G51600" s="812"/>
    </row>
    <row r="51601" spans="7:7">
      <c r="G51601" s="812"/>
    </row>
    <row r="51602" spans="7:7">
      <c r="G51602" s="812"/>
    </row>
    <row r="51603" spans="7:7">
      <c r="G51603" s="812"/>
    </row>
    <row r="51604" spans="7:7">
      <c r="G51604" s="812"/>
    </row>
    <row r="51605" spans="7:7">
      <c r="G51605" s="812"/>
    </row>
    <row r="51606" spans="7:7">
      <c r="G51606" s="812"/>
    </row>
    <row r="51607" spans="7:7">
      <c r="G51607" s="812"/>
    </row>
    <row r="51608" spans="7:7">
      <c r="G51608" s="812"/>
    </row>
    <row r="51609" spans="7:7">
      <c r="G51609" s="812"/>
    </row>
    <row r="51610" spans="7:7">
      <c r="G51610" s="812"/>
    </row>
    <row r="51611" spans="7:7">
      <c r="G51611" s="812"/>
    </row>
    <row r="51612" spans="7:7">
      <c r="G51612" s="812"/>
    </row>
    <row r="51613" spans="7:7">
      <c r="G51613" s="812"/>
    </row>
    <row r="51614" spans="7:7">
      <c r="G51614" s="812"/>
    </row>
    <row r="51615" spans="7:7">
      <c r="G51615" s="812"/>
    </row>
    <row r="51616" spans="7:7">
      <c r="G51616" s="812"/>
    </row>
    <row r="51617" spans="7:7">
      <c r="G51617" s="812"/>
    </row>
    <row r="51618" spans="7:7">
      <c r="G51618" s="812"/>
    </row>
    <row r="51619" spans="7:7">
      <c r="G51619" s="812"/>
    </row>
    <row r="51620" spans="7:7">
      <c r="G51620" s="812"/>
    </row>
    <row r="51621" spans="7:7">
      <c r="G51621" s="812"/>
    </row>
    <row r="51622" spans="7:7">
      <c r="G51622" s="812"/>
    </row>
    <row r="51623" spans="7:7">
      <c r="G51623" s="812"/>
    </row>
    <row r="51624" spans="7:7">
      <c r="G51624" s="812"/>
    </row>
    <row r="51625" spans="7:7">
      <c r="G51625" s="812"/>
    </row>
    <row r="51626" spans="7:7">
      <c r="G51626" s="812"/>
    </row>
    <row r="51627" spans="7:7">
      <c r="G51627" s="812"/>
    </row>
    <row r="51628" spans="7:7">
      <c r="G51628" s="812"/>
    </row>
    <row r="51629" spans="7:7">
      <c r="G51629" s="812"/>
    </row>
    <row r="51630" spans="7:7">
      <c r="G51630" s="812"/>
    </row>
    <row r="51631" spans="7:7">
      <c r="G51631" s="812"/>
    </row>
    <row r="51632" spans="7:7">
      <c r="G51632" s="812"/>
    </row>
    <row r="51633" spans="7:7">
      <c r="G51633" s="812"/>
    </row>
    <row r="51634" spans="7:7">
      <c r="G51634" s="812"/>
    </row>
    <row r="51635" spans="7:7">
      <c r="G51635" s="812"/>
    </row>
    <row r="51636" spans="7:7">
      <c r="G51636" s="812"/>
    </row>
    <row r="51637" spans="7:7">
      <c r="G51637" s="812"/>
    </row>
    <row r="51638" spans="7:7">
      <c r="G51638" s="812"/>
    </row>
    <row r="51639" spans="7:7">
      <c r="G51639" s="812"/>
    </row>
    <row r="51640" spans="7:7">
      <c r="G51640" s="812"/>
    </row>
    <row r="51641" spans="7:7">
      <c r="G51641" s="812"/>
    </row>
    <row r="51642" spans="7:7">
      <c r="G51642" s="812"/>
    </row>
    <row r="51643" spans="7:7">
      <c r="G51643" s="812"/>
    </row>
    <row r="51644" spans="7:7">
      <c r="G51644" s="812"/>
    </row>
    <row r="51645" spans="7:7">
      <c r="G51645" s="812"/>
    </row>
    <row r="51646" spans="7:7">
      <c r="G51646" s="812"/>
    </row>
    <row r="51647" spans="7:7">
      <c r="G51647" s="812"/>
    </row>
    <row r="51648" spans="7:7">
      <c r="G51648" s="812"/>
    </row>
    <row r="51649" spans="7:7">
      <c r="G51649" s="812"/>
    </row>
    <row r="51650" spans="7:7">
      <c r="G51650" s="812"/>
    </row>
    <row r="51651" spans="7:7">
      <c r="G51651" s="812"/>
    </row>
    <row r="51652" spans="7:7">
      <c r="G51652" s="812"/>
    </row>
    <row r="51653" spans="7:7">
      <c r="G51653" s="812"/>
    </row>
    <row r="51654" spans="7:7">
      <c r="G51654" s="812"/>
    </row>
    <row r="51655" spans="7:7">
      <c r="G51655" s="812"/>
    </row>
    <row r="51656" spans="7:7">
      <c r="G51656" s="812"/>
    </row>
    <row r="51657" spans="7:7">
      <c r="G51657" s="812"/>
    </row>
    <row r="51658" spans="7:7">
      <c r="G51658" s="812"/>
    </row>
    <row r="51659" spans="7:7">
      <c r="G51659" s="812"/>
    </row>
    <row r="51660" spans="7:7">
      <c r="G51660" s="812"/>
    </row>
    <row r="51661" spans="7:7">
      <c r="G51661" s="812"/>
    </row>
    <row r="51662" spans="7:7">
      <c r="G51662" s="812"/>
    </row>
    <row r="51663" spans="7:7">
      <c r="G51663" s="812"/>
    </row>
    <row r="51664" spans="7:7">
      <c r="G51664" s="812"/>
    </row>
    <row r="51665" spans="7:7">
      <c r="G51665" s="812"/>
    </row>
    <row r="51666" spans="7:7">
      <c r="G51666" s="812"/>
    </row>
    <row r="51667" spans="7:7">
      <c r="G51667" s="812"/>
    </row>
    <row r="51668" spans="7:7">
      <c r="G51668" s="812"/>
    </row>
    <row r="51669" spans="7:7">
      <c r="G51669" s="812"/>
    </row>
    <row r="51670" spans="7:7">
      <c r="G51670" s="812"/>
    </row>
    <row r="51671" spans="7:7">
      <c r="G51671" s="812"/>
    </row>
    <row r="51672" spans="7:7">
      <c r="G51672" s="812"/>
    </row>
    <row r="51673" spans="7:7">
      <c r="G51673" s="812"/>
    </row>
    <row r="51674" spans="7:7">
      <c r="G51674" s="812"/>
    </row>
    <row r="51675" spans="7:7">
      <c r="G51675" s="812"/>
    </row>
    <row r="51676" spans="7:7">
      <c r="G51676" s="812"/>
    </row>
    <row r="51677" spans="7:7">
      <c r="G51677" s="812"/>
    </row>
    <row r="51678" spans="7:7">
      <c r="G51678" s="812"/>
    </row>
    <row r="51679" spans="7:7">
      <c r="G51679" s="812"/>
    </row>
    <row r="51680" spans="7:7">
      <c r="G51680" s="812"/>
    </row>
    <row r="51681" spans="7:7">
      <c r="G51681" s="812"/>
    </row>
    <row r="51682" spans="7:7">
      <c r="G51682" s="812"/>
    </row>
    <row r="51683" spans="7:7">
      <c r="G51683" s="812"/>
    </row>
    <row r="51684" spans="7:7">
      <c r="G51684" s="812"/>
    </row>
    <row r="51685" spans="7:7">
      <c r="G51685" s="812"/>
    </row>
    <row r="51686" spans="7:7">
      <c r="G51686" s="812"/>
    </row>
    <row r="51687" spans="7:7">
      <c r="G51687" s="812"/>
    </row>
    <row r="51688" spans="7:7">
      <c r="G51688" s="812"/>
    </row>
    <row r="51689" spans="7:7">
      <c r="G51689" s="812"/>
    </row>
    <row r="51690" spans="7:7">
      <c r="G51690" s="812"/>
    </row>
    <row r="51691" spans="7:7">
      <c r="G51691" s="812"/>
    </row>
    <row r="51692" spans="7:7">
      <c r="G51692" s="812"/>
    </row>
    <row r="51693" spans="7:7">
      <c r="G51693" s="812"/>
    </row>
    <row r="51694" spans="7:7">
      <c r="G51694" s="812"/>
    </row>
    <row r="51695" spans="7:7">
      <c r="G51695" s="812"/>
    </row>
    <row r="51696" spans="7:7">
      <c r="G51696" s="812"/>
    </row>
    <row r="51697" spans="7:7">
      <c r="G51697" s="812"/>
    </row>
    <row r="51698" spans="7:7">
      <c r="G51698" s="812"/>
    </row>
    <row r="51699" spans="7:7">
      <c r="G51699" s="812"/>
    </row>
    <row r="51700" spans="7:7">
      <c r="G51700" s="812"/>
    </row>
    <row r="51701" spans="7:7">
      <c r="G51701" s="812"/>
    </row>
    <row r="51702" spans="7:7">
      <c r="G51702" s="812"/>
    </row>
    <row r="51703" spans="7:7">
      <c r="G51703" s="812"/>
    </row>
    <row r="51704" spans="7:7">
      <c r="G51704" s="812"/>
    </row>
    <row r="51705" spans="7:7">
      <c r="G51705" s="812"/>
    </row>
    <row r="51706" spans="7:7">
      <c r="G51706" s="812"/>
    </row>
    <row r="51707" spans="7:7">
      <c r="G51707" s="812"/>
    </row>
    <row r="51708" spans="7:7">
      <c r="G51708" s="812"/>
    </row>
    <row r="51709" spans="7:7">
      <c r="G51709" s="812"/>
    </row>
    <row r="51710" spans="7:7">
      <c r="G51710" s="812"/>
    </row>
    <row r="51711" spans="7:7">
      <c r="G51711" s="812"/>
    </row>
    <row r="51712" spans="7:7">
      <c r="G51712" s="812"/>
    </row>
    <row r="51713" spans="7:7">
      <c r="G51713" s="812"/>
    </row>
    <row r="51714" spans="7:7">
      <c r="G51714" s="812"/>
    </row>
    <row r="51715" spans="7:7">
      <c r="G51715" s="812"/>
    </row>
    <row r="51716" spans="7:7">
      <c r="G51716" s="812"/>
    </row>
    <row r="51717" spans="7:7">
      <c r="G51717" s="812"/>
    </row>
    <row r="51718" spans="7:7">
      <c r="G51718" s="812"/>
    </row>
    <row r="51719" spans="7:7">
      <c r="G51719" s="812"/>
    </row>
    <row r="51720" spans="7:7">
      <c r="G51720" s="812"/>
    </row>
    <row r="51721" spans="7:7">
      <c r="G51721" s="812"/>
    </row>
    <row r="51722" spans="7:7">
      <c r="G51722" s="812"/>
    </row>
    <row r="51723" spans="7:7">
      <c r="G51723" s="812"/>
    </row>
    <row r="51724" spans="7:7">
      <c r="G51724" s="812"/>
    </row>
    <row r="51725" spans="7:7">
      <c r="G51725" s="812"/>
    </row>
    <row r="51726" spans="7:7">
      <c r="G51726" s="812"/>
    </row>
    <row r="51727" spans="7:7">
      <c r="G51727" s="812"/>
    </row>
    <row r="51728" spans="7:7">
      <c r="G51728" s="812"/>
    </row>
    <row r="51729" spans="7:7">
      <c r="G51729" s="812"/>
    </row>
    <row r="51730" spans="7:7">
      <c r="G51730" s="812"/>
    </row>
    <row r="51731" spans="7:7">
      <c r="G51731" s="812"/>
    </row>
    <row r="51732" spans="7:7">
      <c r="G51732" s="812"/>
    </row>
    <row r="51733" spans="7:7">
      <c r="G51733" s="812"/>
    </row>
    <row r="51734" spans="7:7">
      <c r="G51734" s="812"/>
    </row>
    <row r="51735" spans="7:7">
      <c r="G51735" s="812"/>
    </row>
    <row r="51736" spans="7:7">
      <c r="G51736" s="812"/>
    </row>
    <row r="51737" spans="7:7">
      <c r="G51737" s="812"/>
    </row>
    <row r="51738" spans="7:7">
      <c r="G51738" s="812"/>
    </row>
    <row r="51739" spans="7:7">
      <c r="G51739" s="812"/>
    </row>
    <row r="51740" spans="7:7">
      <c r="G51740" s="812"/>
    </row>
    <row r="51741" spans="7:7">
      <c r="G51741" s="812"/>
    </row>
    <row r="51742" spans="7:7">
      <c r="G51742" s="812"/>
    </row>
    <row r="51743" spans="7:7">
      <c r="G51743" s="812"/>
    </row>
    <row r="51744" spans="7:7">
      <c r="G51744" s="812"/>
    </row>
    <row r="51745" spans="7:7">
      <c r="G51745" s="812"/>
    </row>
    <row r="51746" spans="7:7">
      <c r="G51746" s="812"/>
    </row>
    <row r="51747" spans="7:7">
      <c r="G51747" s="812"/>
    </row>
    <row r="51748" spans="7:7">
      <c r="G51748" s="812"/>
    </row>
    <row r="51749" spans="7:7">
      <c r="G51749" s="812"/>
    </row>
    <row r="51750" spans="7:7">
      <c r="G51750" s="812"/>
    </row>
    <row r="51751" spans="7:7">
      <c r="G51751" s="812"/>
    </row>
    <row r="51752" spans="7:7">
      <c r="G51752" s="812"/>
    </row>
    <row r="51753" spans="7:7">
      <c r="G51753" s="812"/>
    </row>
    <row r="51754" spans="7:7">
      <c r="G51754" s="812"/>
    </row>
    <row r="51755" spans="7:7">
      <c r="G51755" s="812"/>
    </row>
    <row r="51756" spans="7:7">
      <c r="G51756" s="812"/>
    </row>
    <row r="51757" spans="7:7">
      <c r="G51757" s="812"/>
    </row>
    <row r="51758" spans="7:7">
      <c r="G51758" s="812"/>
    </row>
    <row r="51759" spans="7:7">
      <c r="G51759" s="812"/>
    </row>
    <row r="51760" spans="7:7">
      <c r="G51760" s="812"/>
    </row>
    <row r="51761" spans="7:7">
      <c r="G51761" s="812"/>
    </row>
    <row r="51762" spans="7:7">
      <c r="G51762" s="812"/>
    </row>
    <row r="51763" spans="7:7">
      <c r="G51763" s="812"/>
    </row>
    <row r="51764" spans="7:7">
      <c r="G51764" s="812"/>
    </row>
    <row r="51765" spans="7:7">
      <c r="G51765" s="812"/>
    </row>
    <row r="51766" spans="7:7">
      <c r="G51766" s="812"/>
    </row>
    <row r="51767" spans="7:7">
      <c r="G51767" s="812"/>
    </row>
    <row r="51768" spans="7:7">
      <c r="G51768" s="812"/>
    </row>
    <row r="51769" spans="7:7">
      <c r="G51769" s="812"/>
    </row>
    <row r="51770" spans="7:7">
      <c r="G51770" s="812"/>
    </row>
    <row r="51771" spans="7:7">
      <c r="G51771" s="812"/>
    </row>
    <row r="51772" spans="7:7">
      <c r="G51772" s="812"/>
    </row>
    <row r="51773" spans="7:7">
      <c r="G51773" s="812"/>
    </row>
    <row r="51774" spans="7:7">
      <c r="G51774" s="812"/>
    </row>
    <row r="51775" spans="7:7">
      <c r="G51775" s="812"/>
    </row>
    <row r="51776" spans="7:7">
      <c r="G51776" s="812"/>
    </row>
    <row r="51777" spans="7:7">
      <c r="G51777" s="812"/>
    </row>
    <row r="51778" spans="7:7">
      <c r="G51778" s="812"/>
    </row>
    <row r="51779" spans="7:7">
      <c r="G51779" s="812"/>
    </row>
    <row r="51780" spans="7:7">
      <c r="G51780" s="812"/>
    </row>
    <row r="51781" spans="7:7">
      <c r="G51781" s="812"/>
    </row>
    <row r="51782" spans="7:7">
      <c r="G51782" s="812"/>
    </row>
    <row r="51783" spans="7:7">
      <c r="G51783" s="812"/>
    </row>
    <row r="51784" spans="7:7">
      <c r="G51784" s="812"/>
    </row>
    <row r="51785" spans="7:7">
      <c r="G51785" s="812"/>
    </row>
    <row r="51786" spans="7:7">
      <c r="G51786" s="812"/>
    </row>
    <row r="51787" spans="7:7">
      <c r="G51787" s="812"/>
    </row>
    <row r="51788" spans="7:7">
      <c r="G51788" s="812"/>
    </row>
    <row r="51789" spans="7:7">
      <c r="G51789" s="812"/>
    </row>
    <row r="51790" spans="7:7">
      <c r="G51790" s="812"/>
    </row>
    <row r="51791" spans="7:7">
      <c r="G51791" s="812"/>
    </row>
    <row r="51792" spans="7:7">
      <c r="G51792" s="812"/>
    </row>
    <row r="51793" spans="7:7">
      <c r="G51793" s="812"/>
    </row>
    <row r="51794" spans="7:7">
      <c r="G51794" s="812"/>
    </row>
    <row r="51795" spans="7:7">
      <c r="G51795" s="812"/>
    </row>
    <row r="51796" spans="7:7">
      <c r="G51796" s="812"/>
    </row>
    <row r="51797" spans="7:7">
      <c r="G51797" s="812"/>
    </row>
    <row r="51798" spans="7:7">
      <c r="G51798" s="812"/>
    </row>
    <row r="51799" spans="7:7">
      <c r="G51799" s="812"/>
    </row>
    <row r="51800" spans="7:7">
      <c r="G51800" s="812"/>
    </row>
    <row r="51801" spans="7:7">
      <c r="G51801" s="812"/>
    </row>
    <row r="51802" spans="7:7">
      <c r="G51802" s="812"/>
    </row>
    <row r="51803" spans="7:7">
      <c r="G51803" s="812"/>
    </row>
    <row r="51804" spans="7:7">
      <c r="G51804" s="812"/>
    </row>
    <row r="51805" spans="7:7">
      <c r="G51805" s="812"/>
    </row>
    <row r="51806" spans="7:7">
      <c r="G51806" s="812"/>
    </row>
    <row r="51807" spans="7:7">
      <c r="G51807" s="812"/>
    </row>
    <row r="51808" spans="7:7">
      <c r="G51808" s="812"/>
    </row>
    <row r="51809" spans="7:7">
      <c r="G51809" s="812"/>
    </row>
    <row r="51810" spans="7:7">
      <c r="G51810" s="812"/>
    </row>
    <row r="51811" spans="7:7">
      <c r="G51811" s="812"/>
    </row>
    <row r="51812" spans="7:7">
      <c r="G51812" s="812"/>
    </row>
    <row r="51813" spans="7:7">
      <c r="G51813" s="812"/>
    </row>
    <row r="51814" spans="7:7">
      <c r="G51814" s="812"/>
    </row>
    <row r="51815" spans="7:7">
      <c r="G51815" s="812"/>
    </row>
    <row r="51816" spans="7:7">
      <c r="G51816" s="812"/>
    </row>
    <row r="51817" spans="7:7">
      <c r="G51817" s="812"/>
    </row>
    <row r="51818" spans="7:7">
      <c r="G51818" s="812"/>
    </row>
    <row r="51819" spans="7:7">
      <c r="G51819" s="812"/>
    </row>
    <row r="51820" spans="7:7">
      <c r="G51820" s="812"/>
    </row>
    <row r="51821" spans="7:7">
      <c r="G51821" s="812"/>
    </row>
    <row r="51822" spans="7:7">
      <c r="G51822" s="812"/>
    </row>
    <row r="51823" spans="7:7">
      <c r="G51823" s="812"/>
    </row>
    <row r="51824" spans="7:7">
      <c r="G51824" s="812"/>
    </row>
    <row r="51825" spans="7:7">
      <c r="G51825" s="812"/>
    </row>
    <row r="51826" spans="7:7">
      <c r="G51826" s="812"/>
    </row>
    <row r="51827" spans="7:7">
      <c r="G51827" s="812"/>
    </row>
    <row r="51828" spans="7:7">
      <c r="G51828" s="812"/>
    </row>
    <row r="51829" spans="7:7">
      <c r="G51829" s="812"/>
    </row>
    <row r="51830" spans="7:7">
      <c r="G51830" s="812"/>
    </row>
    <row r="51831" spans="7:7">
      <c r="G51831" s="812"/>
    </row>
    <row r="51832" spans="7:7">
      <c r="G51832" s="812"/>
    </row>
    <row r="51833" spans="7:7">
      <c r="G51833" s="812"/>
    </row>
    <row r="51834" spans="7:7">
      <c r="G51834" s="812"/>
    </row>
    <row r="51835" spans="7:7">
      <c r="G51835" s="812"/>
    </row>
    <row r="51836" spans="7:7">
      <c r="G51836" s="812"/>
    </row>
    <row r="51837" spans="7:7">
      <c r="G51837" s="812"/>
    </row>
    <row r="51838" spans="7:7">
      <c r="G51838" s="812"/>
    </row>
    <row r="51839" spans="7:7">
      <c r="G51839" s="812"/>
    </row>
    <row r="51840" spans="7:7">
      <c r="G51840" s="812"/>
    </row>
    <row r="51841" spans="7:7">
      <c r="G51841" s="812"/>
    </row>
    <row r="51842" spans="7:7">
      <c r="G51842" s="812"/>
    </row>
    <row r="51843" spans="7:7">
      <c r="G51843" s="812"/>
    </row>
    <row r="51844" spans="7:7">
      <c r="G51844" s="812"/>
    </row>
    <row r="51845" spans="7:7">
      <c r="G51845" s="812"/>
    </row>
    <row r="51846" spans="7:7">
      <c r="G51846" s="812"/>
    </row>
    <row r="51847" spans="7:7">
      <c r="G51847" s="812"/>
    </row>
    <row r="51848" spans="7:7">
      <c r="G51848" s="812"/>
    </row>
    <row r="51849" spans="7:7">
      <c r="G51849" s="812"/>
    </row>
    <row r="51850" spans="7:7">
      <c r="G51850" s="812"/>
    </row>
    <row r="51851" spans="7:7">
      <c r="G51851" s="812"/>
    </row>
    <row r="51852" spans="7:7">
      <c r="G51852" s="812"/>
    </row>
    <row r="51853" spans="7:7">
      <c r="G51853" s="812"/>
    </row>
    <row r="51854" spans="7:7">
      <c r="G51854" s="812"/>
    </row>
    <row r="51855" spans="7:7">
      <c r="G51855" s="812"/>
    </row>
    <row r="51856" spans="7:7">
      <c r="G51856" s="812"/>
    </row>
    <row r="51857" spans="7:7">
      <c r="G51857" s="812"/>
    </row>
    <row r="51858" spans="7:7">
      <c r="G51858" s="812"/>
    </row>
    <row r="51859" spans="7:7">
      <c r="G51859" s="812"/>
    </row>
    <row r="51860" spans="7:7">
      <c r="G51860" s="812"/>
    </row>
    <row r="51861" spans="7:7">
      <c r="G51861" s="812"/>
    </row>
    <row r="51862" spans="7:7">
      <c r="G51862" s="812"/>
    </row>
    <row r="51863" spans="7:7">
      <c r="G51863" s="812"/>
    </row>
    <row r="51864" spans="7:7">
      <c r="G51864" s="812"/>
    </row>
    <row r="51865" spans="7:7">
      <c r="G51865" s="812"/>
    </row>
    <row r="51866" spans="7:7">
      <c r="G51866" s="812"/>
    </row>
    <row r="51867" spans="7:7">
      <c r="G51867" s="812"/>
    </row>
    <row r="51868" spans="7:7">
      <c r="G51868" s="812"/>
    </row>
    <row r="51869" spans="7:7">
      <c r="G51869" s="812"/>
    </row>
    <row r="51870" spans="7:7">
      <c r="G51870" s="812"/>
    </row>
    <row r="51871" spans="7:7">
      <c r="G51871" s="812"/>
    </row>
    <row r="51872" spans="7:7">
      <c r="G51872" s="812"/>
    </row>
    <row r="51873" spans="7:7">
      <c r="G51873" s="812"/>
    </row>
    <row r="51874" spans="7:7">
      <c r="G51874" s="812"/>
    </row>
    <row r="51875" spans="7:7">
      <c r="G51875" s="812"/>
    </row>
    <row r="51876" spans="7:7">
      <c r="G51876" s="812"/>
    </row>
    <row r="51877" spans="7:7">
      <c r="G51877" s="812"/>
    </row>
    <row r="51878" spans="7:7">
      <c r="G51878" s="812"/>
    </row>
    <row r="51879" spans="7:7">
      <c r="G51879" s="812"/>
    </row>
    <row r="51880" spans="7:7">
      <c r="G51880" s="812"/>
    </row>
    <row r="51881" spans="7:7">
      <c r="G51881" s="812"/>
    </row>
    <row r="51882" spans="7:7">
      <c r="G51882" s="812"/>
    </row>
    <row r="51883" spans="7:7">
      <c r="G51883" s="812"/>
    </row>
    <row r="51884" spans="7:7">
      <c r="G51884" s="812"/>
    </row>
    <row r="51885" spans="7:7">
      <c r="G51885" s="812"/>
    </row>
    <row r="51886" spans="7:7">
      <c r="G51886" s="812"/>
    </row>
    <row r="51887" spans="7:7">
      <c r="G51887" s="812"/>
    </row>
    <row r="51888" spans="7:7">
      <c r="G51888" s="812"/>
    </row>
    <row r="51889" spans="7:7">
      <c r="G51889" s="812"/>
    </row>
    <row r="51890" spans="7:7">
      <c r="G51890" s="812"/>
    </row>
    <row r="51891" spans="7:7">
      <c r="G51891" s="812"/>
    </row>
    <row r="51892" spans="7:7">
      <c r="G51892" s="812"/>
    </row>
    <row r="51893" spans="7:7">
      <c r="G51893" s="812"/>
    </row>
    <row r="51894" spans="7:7">
      <c r="G51894" s="812"/>
    </row>
    <row r="51895" spans="7:7">
      <c r="G51895" s="812"/>
    </row>
    <row r="51896" spans="7:7">
      <c r="G51896" s="812"/>
    </row>
    <row r="51897" spans="7:7">
      <c r="G51897" s="812"/>
    </row>
    <row r="51898" spans="7:7">
      <c r="G51898" s="812"/>
    </row>
    <row r="51899" spans="7:7">
      <c r="G51899" s="812"/>
    </row>
    <row r="51900" spans="7:7">
      <c r="G51900" s="812"/>
    </row>
    <row r="51901" spans="7:7">
      <c r="G51901" s="812"/>
    </row>
    <row r="51902" spans="7:7">
      <c r="G51902" s="812"/>
    </row>
    <row r="51903" spans="7:7">
      <c r="G51903" s="812"/>
    </row>
    <row r="51904" spans="7:7">
      <c r="G51904" s="812"/>
    </row>
    <row r="51905" spans="7:7">
      <c r="G51905" s="812"/>
    </row>
    <row r="51906" spans="7:7">
      <c r="G51906" s="812"/>
    </row>
    <row r="51907" spans="7:7">
      <c r="G51907" s="812"/>
    </row>
    <row r="51908" spans="7:7">
      <c r="G51908" s="812"/>
    </row>
    <row r="51909" spans="7:7">
      <c r="G51909" s="812"/>
    </row>
    <row r="51910" spans="7:7">
      <c r="G51910" s="812"/>
    </row>
    <row r="51911" spans="7:7">
      <c r="G51911" s="812"/>
    </row>
    <row r="51912" spans="7:7">
      <c r="G51912" s="812"/>
    </row>
    <row r="51913" spans="7:7">
      <c r="G51913" s="812"/>
    </row>
    <row r="51914" spans="7:7">
      <c r="G51914" s="812"/>
    </row>
    <row r="51915" spans="7:7">
      <c r="G51915" s="812"/>
    </row>
    <row r="51916" spans="7:7">
      <c r="G51916" s="812"/>
    </row>
    <row r="51917" spans="7:7">
      <c r="G51917" s="812"/>
    </row>
    <row r="51918" spans="7:7">
      <c r="G51918" s="812"/>
    </row>
    <row r="51919" spans="7:7">
      <c r="G51919" s="812"/>
    </row>
    <row r="51920" spans="7:7">
      <c r="G51920" s="812"/>
    </row>
    <row r="51921" spans="7:7">
      <c r="G51921" s="812"/>
    </row>
    <row r="51922" spans="7:7">
      <c r="G51922" s="812"/>
    </row>
    <row r="51923" spans="7:7">
      <c r="G51923" s="812"/>
    </row>
    <row r="51924" spans="7:7">
      <c r="G51924" s="812"/>
    </row>
    <row r="51925" spans="7:7">
      <c r="G51925" s="812"/>
    </row>
    <row r="51926" spans="7:7">
      <c r="G51926" s="812"/>
    </row>
    <row r="51927" spans="7:7">
      <c r="G51927" s="812"/>
    </row>
    <row r="51928" spans="7:7">
      <c r="G51928" s="812"/>
    </row>
    <row r="51929" spans="7:7">
      <c r="G51929" s="812"/>
    </row>
    <row r="51930" spans="7:7">
      <c r="G51930" s="812"/>
    </row>
    <row r="51931" spans="7:7">
      <c r="G51931" s="812"/>
    </row>
    <row r="51932" spans="7:7">
      <c r="G51932" s="812"/>
    </row>
    <row r="51933" spans="7:7">
      <c r="G51933" s="812"/>
    </row>
    <row r="51934" spans="7:7">
      <c r="G51934" s="812"/>
    </row>
    <row r="51935" spans="7:7">
      <c r="G51935" s="812"/>
    </row>
    <row r="51936" spans="7:7">
      <c r="G51936" s="812"/>
    </row>
    <row r="51937" spans="7:7">
      <c r="G51937" s="812"/>
    </row>
    <row r="51938" spans="7:7">
      <c r="G51938" s="812"/>
    </row>
    <row r="51939" spans="7:7">
      <c r="G51939" s="812"/>
    </row>
    <row r="51940" spans="7:7">
      <c r="G51940" s="812"/>
    </row>
    <row r="51941" spans="7:7">
      <c r="G51941" s="812"/>
    </row>
    <row r="51942" spans="7:7">
      <c r="G51942" s="812"/>
    </row>
    <row r="51943" spans="7:7">
      <c r="G51943" s="812"/>
    </row>
    <row r="51944" spans="7:7">
      <c r="G51944" s="812"/>
    </row>
    <row r="51945" spans="7:7">
      <c r="G51945" s="812"/>
    </row>
    <row r="51946" spans="7:7">
      <c r="G51946" s="812"/>
    </row>
    <row r="51947" spans="7:7">
      <c r="G51947" s="812"/>
    </row>
    <row r="51948" spans="7:7">
      <c r="G51948" s="812"/>
    </row>
    <row r="51949" spans="7:7">
      <c r="G51949" s="812"/>
    </row>
    <row r="51950" spans="7:7">
      <c r="G51950" s="812"/>
    </row>
    <row r="51951" spans="7:7">
      <c r="G51951" s="812"/>
    </row>
    <row r="51952" spans="7:7">
      <c r="G51952" s="812"/>
    </row>
    <row r="51953" spans="7:7">
      <c r="G51953" s="812"/>
    </row>
    <row r="51954" spans="7:7">
      <c r="G51954" s="812"/>
    </row>
    <row r="51955" spans="7:7">
      <c r="G51955" s="812"/>
    </row>
    <row r="51956" spans="7:7">
      <c r="G51956" s="812"/>
    </row>
    <row r="51957" spans="7:7">
      <c r="G51957" s="812"/>
    </row>
    <row r="51958" spans="7:7">
      <c r="G51958" s="812"/>
    </row>
    <row r="51959" spans="7:7">
      <c r="G51959" s="812"/>
    </row>
    <row r="51960" spans="7:7">
      <c r="G51960" s="812"/>
    </row>
    <row r="51961" spans="7:7">
      <c r="G51961" s="812"/>
    </row>
    <row r="51962" spans="7:7">
      <c r="G51962" s="812"/>
    </row>
    <row r="51963" spans="7:7">
      <c r="G51963" s="812"/>
    </row>
    <row r="51964" spans="7:7">
      <c r="G51964" s="812"/>
    </row>
    <row r="51965" spans="7:7">
      <c r="G51965" s="812"/>
    </row>
    <row r="51966" spans="7:7">
      <c r="G51966" s="812"/>
    </row>
    <row r="51967" spans="7:7">
      <c r="G51967" s="812"/>
    </row>
    <row r="51968" spans="7:7">
      <c r="G51968" s="812"/>
    </row>
    <row r="51969" spans="7:7">
      <c r="G51969" s="812"/>
    </row>
    <row r="51970" spans="7:7">
      <c r="G51970" s="812"/>
    </row>
    <row r="51971" spans="7:7">
      <c r="G51971" s="812"/>
    </row>
    <row r="51972" spans="7:7">
      <c r="G51972" s="812"/>
    </row>
    <row r="51973" spans="7:7">
      <c r="G51973" s="812"/>
    </row>
    <row r="51974" spans="7:7">
      <c r="G51974" s="812"/>
    </row>
    <row r="51975" spans="7:7">
      <c r="G51975" s="812"/>
    </row>
    <row r="51976" spans="7:7">
      <c r="G51976" s="812"/>
    </row>
    <row r="51977" spans="7:7">
      <c r="G51977" s="812"/>
    </row>
    <row r="51978" spans="7:7">
      <c r="G51978" s="812"/>
    </row>
    <row r="51979" spans="7:7">
      <c r="G51979" s="812"/>
    </row>
    <row r="51980" spans="7:7">
      <c r="G51980" s="812"/>
    </row>
    <row r="51981" spans="7:7">
      <c r="G51981" s="812"/>
    </row>
    <row r="51982" spans="7:7">
      <c r="G51982" s="812"/>
    </row>
    <row r="51983" spans="7:7">
      <c r="G51983" s="812"/>
    </row>
    <row r="51984" spans="7:7">
      <c r="G51984" s="812"/>
    </row>
    <row r="51985" spans="7:7">
      <c r="G51985" s="812"/>
    </row>
    <row r="51986" spans="7:7">
      <c r="G51986" s="812"/>
    </row>
    <row r="51987" spans="7:7">
      <c r="G51987" s="812"/>
    </row>
    <row r="51988" spans="7:7">
      <c r="G51988" s="812"/>
    </row>
    <row r="51989" spans="7:7">
      <c r="G51989" s="812"/>
    </row>
    <row r="51990" spans="7:7">
      <c r="G51990" s="812"/>
    </row>
    <row r="51991" spans="7:7">
      <c r="G51991" s="812"/>
    </row>
    <row r="51992" spans="7:7">
      <c r="G51992" s="812"/>
    </row>
    <row r="51993" spans="7:7">
      <c r="G51993" s="812"/>
    </row>
    <row r="51994" spans="7:7">
      <c r="G51994" s="812"/>
    </row>
    <row r="51995" spans="7:7">
      <c r="G51995" s="812"/>
    </row>
    <row r="51996" spans="7:7">
      <c r="G51996" s="812"/>
    </row>
    <row r="51997" spans="7:7">
      <c r="G51997" s="812"/>
    </row>
    <row r="51998" spans="7:7">
      <c r="G51998" s="812"/>
    </row>
    <row r="51999" spans="7:7">
      <c r="G51999" s="812"/>
    </row>
    <row r="52000" spans="7:7">
      <c r="G52000" s="812"/>
    </row>
    <row r="52001" spans="7:7">
      <c r="G52001" s="812"/>
    </row>
    <row r="52002" spans="7:7">
      <c r="G52002" s="812"/>
    </row>
    <row r="52003" spans="7:7">
      <c r="G52003" s="812"/>
    </row>
    <row r="52004" spans="7:7">
      <c r="G52004" s="812"/>
    </row>
    <row r="52005" spans="7:7">
      <c r="G52005" s="812"/>
    </row>
    <row r="52006" spans="7:7">
      <c r="G52006" s="812"/>
    </row>
    <row r="52007" spans="7:7">
      <c r="G52007" s="812"/>
    </row>
    <row r="52008" spans="7:7">
      <c r="G52008" s="812"/>
    </row>
    <row r="52009" spans="7:7">
      <c r="G52009" s="812"/>
    </row>
    <row r="52010" spans="7:7">
      <c r="G52010" s="812"/>
    </row>
    <row r="52011" spans="7:7">
      <c r="G52011" s="812"/>
    </row>
    <row r="52012" spans="7:7">
      <c r="G52012" s="812"/>
    </row>
    <row r="52013" spans="7:7">
      <c r="G52013" s="812"/>
    </row>
    <row r="52014" spans="7:7">
      <c r="G52014" s="812"/>
    </row>
    <row r="52015" spans="7:7">
      <c r="G52015" s="812"/>
    </row>
    <row r="52016" spans="7:7">
      <c r="G52016" s="812"/>
    </row>
    <row r="52017" spans="7:7">
      <c r="G52017" s="812"/>
    </row>
    <row r="52018" spans="7:7">
      <c r="G52018" s="812"/>
    </row>
    <row r="52019" spans="7:7">
      <c r="G52019" s="812"/>
    </row>
    <row r="52020" spans="7:7">
      <c r="G52020" s="812"/>
    </row>
    <row r="52021" spans="7:7">
      <c r="G52021" s="812"/>
    </row>
    <row r="52022" spans="7:7">
      <c r="G52022" s="812"/>
    </row>
    <row r="52023" spans="7:7">
      <c r="G52023" s="812"/>
    </row>
    <row r="52024" spans="7:7">
      <c r="G52024" s="812"/>
    </row>
    <row r="52025" spans="7:7">
      <c r="G52025" s="812"/>
    </row>
    <row r="52026" spans="7:7">
      <c r="G52026" s="812"/>
    </row>
    <row r="52027" spans="7:7">
      <c r="G52027" s="812"/>
    </row>
    <row r="52028" spans="7:7">
      <c r="G52028" s="812"/>
    </row>
    <row r="52029" spans="7:7">
      <c r="G52029" s="812"/>
    </row>
    <row r="52030" spans="7:7">
      <c r="G52030" s="812"/>
    </row>
    <row r="52031" spans="7:7">
      <c r="G52031" s="812"/>
    </row>
    <row r="52032" spans="7:7">
      <c r="G52032" s="812"/>
    </row>
    <row r="52033" spans="7:7">
      <c r="G52033" s="812"/>
    </row>
    <row r="52034" spans="7:7">
      <c r="G52034" s="812"/>
    </row>
    <row r="52035" spans="7:7">
      <c r="G52035" s="812"/>
    </row>
    <row r="52036" spans="7:7">
      <c r="G52036" s="812"/>
    </row>
    <row r="52037" spans="7:7">
      <c r="G52037" s="812"/>
    </row>
    <row r="52038" spans="7:7">
      <c r="G52038" s="812"/>
    </row>
    <row r="52039" spans="7:7">
      <c r="G52039" s="812"/>
    </row>
    <row r="52040" spans="7:7">
      <c r="G52040" s="812"/>
    </row>
    <row r="52041" spans="7:7">
      <c r="G52041" s="812"/>
    </row>
    <row r="52042" spans="7:7">
      <c r="G52042" s="812"/>
    </row>
    <row r="52043" spans="7:7">
      <c r="G52043" s="812"/>
    </row>
    <row r="52044" spans="7:7">
      <c r="G52044" s="812"/>
    </row>
    <row r="52045" spans="7:7">
      <c r="G52045" s="812"/>
    </row>
    <row r="52046" spans="7:7">
      <c r="G52046" s="812"/>
    </row>
    <row r="52047" spans="7:7">
      <c r="G52047" s="812"/>
    </row>
    <row r="52048" spans="7:7">
      <c r="G52048" s="812"/>
    </row>
    <row r="52049" spans="7:7">
      <c r="G52049" s="812"/>
    </row>
    <row r="52050" spans="7:7">
      <c r="G52050" s="812"/>
    </row>
    <row r="52051" spans="7:7">
      <c r="G52051" s="812"/>
    </row>
    <row r="52052" spans="7:7">
      <c r="G52052" s="812"/>
    </row>
    <row r="52053" spans="7:7">
      <c r="G52053" s="812"/>
    </row>
    <row r="52054" spans="7:7">
      <c r="G52054" s="812"/>
    </row>
    <row r="52055" spans="7:7">
      <c r="G52055" s="812"/>
    </row>
    <row r="52056" spans="7:7">
      <c r="G52056" s="812"/>
    </row>
    <row r="52057" spans="7:7">
      <c r="G52057" s="812"/>
    </row>
    <row r="52058" spans="7:7">
      <c r="G52058" s="812"/>
    </row>
    <row r="52059" spans="7:7">
      <c r="G52059" s="812"/>
    </row>
    <row r="52060" spans="7:7">
      <c r="G52060" s="812"/>
    </row>
    <row r="52061" spans="7:7">
      <c r="G52061" s="812"/>
    </row>
    <row r="52062" spans="7:7">
      <c r="G52062" s="812"/>
    </row>
    <row r="52063" spans="7:7">
      <c r="G52063" s="812"/>
    </row>
    <row r="52064" spans="7:7">
      <c r="G52064" s="812"/>
    </row>
    <row r="52065" spans="7:7">
      <c r="G52065" s="812"/>
    </row>
    <row r="52066" spans="7:7">
      <c r="G52066" s="812"/>
    </row>
    <row r="52067" spans="7:7">
      <c r="G52067" s="812"/>
    </row>
    <row r="52068" spans="7:7">
      <c r="G52068" s="812"/>
    </row>
    <row r="52069" spans="7:7">
      <c r="G52069" s="812"/>
    </row>
    <row r="52070" spans="7:7">
      <c r="G52070" s="812"/>
    </row>
    <row r="52071" spans="7:7">
      <c r="G52071" s="812"/>
    </row>
    <row r="52072" spans="7:7">
      <c r="G52072" s="812"/>
    </row>
    <row r="52073" spans="7:7">
      <c r="G52073" s="812"/>
    </row>
    <row r="52074" spans="7:7">
      <c r="G52074" s="812"/>
    </row>
    <row r="52075" spans="7:7">
      <c r="G52075" s="812"/>
    </row>
    <row r="52076" spans="7:7">
      <c r="G52076" s="812"/>
    </row>
    <row r="52077" spans="7:7">
      <c r="G52077" s="812"/>
    </row>
    <row r="52078" spans="7:7">
      <c r="G52078" s="812"/>
    </row>
    <row r="52079" spans="7:7">
      <c r="G52079" s="812"/>
    </row>
    <row r="52080" spans="7:7">
      <c r="G52080" s="812"/>
    </row>
    <row r="52081" spans="7:7">
      <c r="G52081" s="812"/>
    </row>
    <row r="52082" spans="7:7">
      <c r="G52082" s="812"/>
    </row>
    <row r="52083" spans="7:7">
      <c r="G52083" s="812"/>
    </row>
    <row r="52084" spans="7:7">
      <c r="G52084" s="812"/>
    </row>
    <row r="52085" spans="7:7">
      <c r="G52085" s="812"/>
    </row>
    <row r="52086" spans="7:7">
      <c r="G52086" s="812"/>
    </row>
    <row r="52087" spans="7:7">
      <c r="G52087" s="812"/>
    </row>
    <row r="52088" spans="7:7">
      <c r="G52088" s="812"/>
    </row>
    <row r="52089" spans="7:7">
      <c r="G52089" s="812"/>
    </row>
    <row r="52090" spans="7:7">
      <c r="G52090" s="812"/>
    </row>
    <row r="52091" spans="7:7">
      <c r="G52091" s="812"/>
    </row>
    <row r="52092" spans="7:7">
      <c r="G52092" s="812"/>
    </row>
    <row r="52093" spans="7:7">
      <c r="G52093" s="812"/>
    </row>
    <row r="52094" spans="7:7">
      <c r="G52094" s="812"/>
    </row>
    <row r="52095" spans="7:7">
      <c r="G52095" s="812"/>
    </row>
    <row r="52096" spans="7:7">
      <c r="G52096" s="812"/>
    </row>
    <row r="52097" spans="7:7">
      <c r="G52097" s="812"/>
    </row>
    <row r="52098" spans="7:7">
      <c r="G52098" s="812"/>
    </row>
    <row r="52099" spans="7:7">
      <c r="G52099" s="812"/>
    </row>
    <row r="52100" spans="7:7">
      <c r="G52100" s="812"/>
    </row>
    <row r="52101" spans="7:7">
      <c r="G52101" s="812"/>
    </row>
    <row r="52102" spans="7:7">
      <c r="G52102" s="812"/>
    </row>
    <row r="52103" spans="7:7">
      <c r="G52103" s="812"/>
    </row>
    <row r="52104" spans="7:7">
      <c r="G52104" s="812"/>
    </row>
    <row r="52105" spans="7:7">
      <c r="G52105" s="812"/>
    </row>
    <row r="52106" spans="7:7">
      <c r="G52106" s="812"/>
    </row>
    <row r="52107" spans="7:7">
      <c r="G52107" s="812"/>
    </row>
    <row r="52108" spans="7:7">
      <c r="G52108" s="812"/>
    </row>
    <row r="52109" spans="7:7">
      <c r="G52109" s="812"/>
    </row>
    <row r="52110" spans="7:7">
      <c r="G52110" s="812"/>
    </row>
    <row r="52111" spans="7:7">
      <c r="G52111" s="812"/>
    </row>
    <row r="52112" spans="7:7">
      <c r="G52112" s="812"/>
    </row>
    <row r="52113" spans="7:7">
      <c r="G52113" s="812"/>
    </row>
    <row r="52114" spans="7:7">
      <c r="G52114" s="812"/>
    </row>
    <row r="52115" spans="7:7">
      <c r="G52115" s="812"/>
    </row>
    <row r="52116" spans="7:7">
      <c r="G52116" s="812"/>
    </row>
    <row r="52117" spans="7:7">
      <c r="G52117" s="812"/>
    </row>
    <row r="52118" spans="7:7">
      <c r="G52118" s="812"/>
    </row>
    <row r="52119" spans="7:7">
      <c r="G52119" s="812"/>
    </row>
    <row r="52120" spans="7:7">
      <c r="G52120" s="812"/>
    </row>
    <row r="52121" spans="7:7">
      <c r="G52121" s="812"/>
    </row>
    <row r="52122" spans="7:7">
      <c r="G52122" s="812"/>
    </row>
    <row r="52123" spans="7:7">
      <c r="G52123" s="812"/>
    </row>
    <row r="52124" spans="7:7">
      <c r="G52124" s="812"/>
    </row>
    <row r="52125" spans="7:7">
      <c r="G52125" s="812"/>
    </row>
    <row r="52126" spans="7:7">
      <c r="G52126" s="812"/>
    </row>
    <row r="52127" spans="7:7">
      <c r="G52127" s="812"/>
    </row>
    <row r="52128" spans="7:7">
      <c r="G52128" s="812"/>
    </row>
    <row r="52129" spans="7:7">
      <c r="G52129" s="812"/>
    </row>
    <row r="52130" spans="7:7">
      <c r="G52130" s="812"/>
    </row>
    <row r="52131" spans="7:7">
      <c r="G52131" s="812"/>
    </row>
    <row r="52132" spans="7:7">
      <c r="G52132" s="812"/>
    </row>
    <row r="52133" spans="7:7">
      <c r="G52133" s="812"/>
    </row>
    <row r="52134" spans="7:7">
      <c r="G52134" s="812"/>
    </row>
    <row r="52135" spans="7:7">
      <c r="G52135" s="812"/>
    </row>
    <row r="52136" spans="7:7">
      <c r="G52136" s="812"/>
    </row>
    <row r="52137" spans="7:7">
      <c r="G52137" s="812"/>
    </row>
    <row r="52138" spans="7:7">
      <c r="G52138" s="812"/>
    </row>
    <row r="52139" spans="7:7">
      <c r="G52139" s="812"/>
    </row>
    <row r="52140" spans="7:7">
      <c r="G52140" s="812"/>
    </row>
    <row r="52141" spans="7:7">
      <c r="G52141" s="812"/>
    </row>
    <row r="52142" spans="7:7">
      <c r="G52142" s="812"/>
    </row>
    <row r="52143" spans="7:7">
      <c r="G52143" s="812"/>
    </row>
    <row r="52144" spans="7:7">
      <c r="G52144" s="812"/>
    </row>
    <row r="52145" spans="7:7">
      <c r="G52145" s="812"/>
    </row>
    <row r="52146" spans="7:7">
      <c r="G52146" s="812"/>
    </row>
    <row r="52147" spans="7:7">
      <c r="G52147" s="812"/>
    </row>
    <row r="52148" spans="7:7">
      <c r="G52148" s="812"/>
    </row>
    <row r="52149" spans="7:7">
      <c r="G52149" s="812"/>
    </row>
    <row r="52150" spans="7:7">
      <c r="G52150" s="812"/>
    </row>
    <row r="52151" spans="7:7">
      <c r="G52151" s="812"/>
    </row>
    <row r="52152" spans="7:7">
      <c r="G52152" s="812"/>
    </row>
    <row r="52153" spans="7:7">
      <c r="G52153" s="812"/>
    </row>
    <row r="52154" spans="7:7">
      <c r="G52154" s="812"/>
    </row>
    <row r="52155" spans="7:7">
      <c r="G52155" s="812"/>
    </row>
    <row r="52156" spans="7:7">
      <c r="G52156" s="812"/>
    </row>
    <row r="52157" spans="7:7">
      <c r="G52157" s="812"/>
    </row>
    <row r="52158" spans="7:7">
      <c r="G52158" s="812"/>
    </row>
    <row r="52159" spans="7:7">
      <c r="G52159" s="812"/>
    </row>
    <row r="52160" spans="7:7">
      <c r="G52160" s="812"/>
    </row>
    <row r="52161" spans="7:7">
      <c r="G52161" s="812"/>
    </row>
    <row r="52162" spans="7:7">
      <c r="G52162" s="812"/>
    </row>
    <row r="52163" spans="7:7">
      <c r="G52163" s="812"/>
    </row>
    <row r="52164" spans="7:7">
      <c r="G52164" s="812"/>
    </row>
    <row r="52165" spans="7:7">
      <c r="G52165" s="812"/>
    </row>
    <row r="52166" spans="7:7">
      <c r="G52166" s="812"/>
    </row>
    <row r="52167" spans="7:7">
      <c r="G52167" s="812"/>
    </row>
    <row r="52168" spans="7:7">
      <c r="G52168" s="812"/>
    </row>
    <row r="52169" spans="7:7">
      <c r="G52169" s="812"/>
    </row>
    <row r="52170" spans="7:7">
      <c r="G52170" s="812"/>
    </row>
    <row r="52171" spans="7:7">
      <c r="G52171" s="812"/>
    </row>
    <row r="52172" spans="7:7">
      <c r="G52172" s="812"/>
    </row>
    <row r="52173" spans="7:7">
      <c r="G52173" s="812"/>
    </row>
    <row r="52174" spans="7:7">
      <c r="G52174" s="812"/>
    </row>
    <row r="52175" spans="7:7">
      <c r="G52175" s="812"/>
    </row>
    <row r="52176" spans="7:7">
      <c r="G52176" s="812"/>
    </row>
    <row r="52177" spans="7:7">
      <c r="G52177" s="812"/>
    </row>
    <row r="52178" spans="7:7">
      <c r="G52178" s="812"/>
    </row>
    <row r="52179" spans="7:7">
      <c r="G52179" s="812"/>
    </row>
    <row r="52180" spans="7:7">
      <c r="G52180" s="812"/>
    </row>
    <row r="52181" spans="7:7">
      <c r="G52181" s="812"/>
    </row>
    <row r="52182" spans="7:7">
      <c r="G52182" s="812"/>
    </row>
    <row r="52183" spans="7:7">
      <c r="G52183" s="812"/>
    </row>
    <row r="52184" spans="7:7">
      <c r="G52184" s="812"/>
    </row>
    <row r="52185" spans="7:7">
      <c r="G52185" s="812"/>
    </row>
    <row r="52186" spans="7:7">
      <c r="G52186" s="812"/>
    </row>
    <row r="52187" spans="7:7">
      <c r="G52187" s="812"/>
    </row>
    <row r="52188" spans="7:7">
      <c r="G52188" s="812"/>
    </row>
    <row r="52189" spans="7:7">
      <c r="G52189" s="812"/>
    </row>
    <row r="52190" spans="7:7">
      <c r="G52190" s="812"/>
    </row>
    <row r="52191" spans="7:7">
      <c r="G52191" s="812"/>
    </row>
    <row r="52192" spans="7:7">
      <c r="G52192" s="812"/>
    </row>
    <row r="52193" spans="7:7">
      <c r="G52193" s="812"/>
    </row>
    <row r="52194" spans="7:7">
      <c r="G52194" s="812"/>
    </row>
    <row r="52195" spans="7:7">
      <c r="G52195" s="812"/>
    </row>
    <row r="52196" spans="7:7">
      <c r="G52196" s="812"/>
    </row>
    <row r="52197" spans="7:7">
      <c r="G52197" s="812"/>
    </row>
    <row r="52198" spans="7:7">
      <c r="G52198" s="812"/>
    </row>
    <row r="52199" spans="7:7">
      <c r="G52199" s="812"/>
    </row>
    <row r="52200" spans="7:7">
      <c r="G52200" s="812"/>
    </row>
    <row r="52201" spans="7:7">
      <c r="G52201" s="812"/>
    </row>
    <row r="52202" spans="7:7">
      <c r="G52202" s="812"/>
    </row>
    <row r="52203" spans="7:7">
      <c r="G52203" s="812"/>
    </row>
    <row r="52204" spans="7:7">
      <c r="G52204" s="812"/>
    </row>
    <row r="52205" spans="7:7">
      <c r="G52205" s="812"/>
    </row>
    <row r="52206" spans="7:7">
      <c r="G52206" s="812"/>
    </row>
    <row r="52207" spans="7:7">
      <c r="G52207" s="812"/>
    </row>
    <row r="52208" spans="7:7">
      <c r="G52208" s="812"/>
    </row>
    <row r="52209" spans="7:7">
      <c r="G52209" s="812"/>
    </row>
    <row r="52210" spans="7:7">
      <c r="G52210" s="812"/>
    </row>
    <row r="52211" spans="7:7">
      <c r="G52211" s="812"/>
    </row>
    <row r="52212" spans="7:7">
      <c r="G52212" s="812"/>
    </row>
    <row r="52213" spans="7:7">
      <c r="G52213" s="812"/>
    </row>
    <row r="52214" spans="7:7">
      <c r="G52214" s="812"/>
    </row>
    <row r="52215" spans="7:7">
      <c r="G52215" s="812"/>
    </row>
    <row r="52216" spans="7:7">
      <c r="G52216" s="812"/>
    </row>
    <row r="52217" spans="7:7">
      <c r="G52217" s="812"/>
    </row>
    <row r="52218" spans="7:7">
      <c r="G52218" s="812"/>
    </row>
    <row r="52219" spans="7:7">
      <c r="G52219" s="812"/>
    </row>
    <row r="52220" spans="7:7">
      <c r="G52220" s="812"/>
    </row>
    <row r="52221" spans="7:7">
      <c r="G52221" s="812"/>
    </row>
    <row r="52222" spans="7:7">
      <c r="G52222" s="812"/>
    </row>
    <row r="52223" spans="7:7">
      <c r="G52223" s="812"/>
    </row>
    <row r="52224" spans="7:7">
      <c r="G52224" s="812"/>
    </row>
    <row r="52225" spans="7:7">
      <c r="G52225" s="812"/>
    </row>
    <row r="52226" spans="7:7">
      <c r="G52226" s="812"/>
    </row>
    <row r="52227" spans="7:7">
      <c r="G52227" s="812"/>
    </row>
    <row r="52228" spans="7:7">
      <c r="G52228" s="812"/>
    </row>
    <row r="52229" spans="7:7">
      <c r="G52229" s="812"/>
    </row>
    <row r="52230" spans="7:7">
      <c r="G52230" s="812"/>
    </row>
    <row r="52231" spans="7:7">
      <c r="G52231" s="812"/>
    </row>
    <row r="52232" spans="7:7">
      <c r="G52232" s="812"/>
    </row>
    <row r="52233" spans="7:7">
      <c r="G52233" s="812"/>
    </row>
    <row r="52234" spans="7:7">
      <c r="G52234" s="812"/>
    </row>
    <row r="52235" spans="7:7">
      <c r="G52235" s="812"/>
    </row>
    <row r="52236" spans="7:7">
      <c r="G52236" s="812"/>
    </row>
    <row r="52237" spans="7:7">
      <c r="G52237" s="812"/>
    </row>
    <row r="52238" spans="7:7">
      <c r="G52238" s="812"/>
    </row>
    <row r="52239" spans="7:7">
      <c r="G52239" s="812"/>
    </row>
    <row r="52240" spans="7:7">
      <c r="G52240" s="812"/>
    </row>
    <row r="52241" spans="7:7">
      <c r="G52241" s="812"/>
    </row>
    <row r="52242" spans="7:7">
      <c r="G52242" s="812"/>
    </row>
    <row r="52243" spans="7:7">
      <c r="G52243" s="812"/>
    </row>
    <row r="52244" spans="7:7">
      <c r="G52244" s="812"/>
    </row>
    <row r="52245" spans="7:7">
      <c r="G52245" s="812"/>
    </row>
    <row r="52246" spans="7:7">
      <c r="G52246" s="812"/>
    </row>
    <row r="52247" spans="7:7">
      <c r="G52247" s="812"/>
    </row>
    <row r="52248" spans="7:7">
      <c r="G52248" s="812"/>
    </row>
    <row r="52249" spans="7:7">
      <c r="G52249" s="812"/>
    </row>
    <row r="52250" spans="7:7">
      <c r="G52250" s="812"/>
    </row>
    <row r="52251" spans="7:7">
      <c r="G52251" s="812"/>
    </row>
    <row r="52252" spans="7:7">
      <c r="G52252" s="812"/>
    </row>
    <row r="52253" spans="7:7">
      <c r="G52253" s="812"/>
    </row>
    <row r="52254" spans="7:7">
      <c r="G52254" s="812"/>
    </row>
    <row r="52255" spans="7:7">
      <c r="G52255" s="812"/>
    </row>
    <row r="52256" spans="7:7">
      <c r="G52256" s="812"/>
    </row>
    <row r="52257" spans="7:7">
      <c r="G52257" s="812"/>
    </row>
    <row r="52258" spans="7:7">
      <c r="G52258" s="812"/>
    </row>
    <row r="52259" spans="7:7">
      <c r="G52259" s="812"/>
    </row>
    <row r="52260" spans="7:7">
      <c r="G52260" s="812"/>
    </row>
    <row r="52261" spans="7:7">
      <c r="G52261" s="812"/>
    </row>
    <row r="52262" spans="7:7">
      <c r="G52262" s="812"/>
    </row>
    <row r="52263" spans="7:7">
      <c r="G52263" s="812"/>
    </row>
    <row r="52264" spans="7:7">
      <c r="G52264" s="812"/>
    </row>
    <row r="52265" spans="7:7">
      <c r="G52265" s="812"/>
    </row>
    <row r="52266" spans="7:7">
      <c r="G52266" s="812"/>
    </row>
    <row r="52267" spans="7:7">
      <c r="G52267" s="812"/>
    </row>
    <row r="52268" spans="7:7">
      <c r="G52268" s="812"/>
    </row>
    <row r="52269" spans="7:7">
      <c r="G52269" s="812"/>
    </row>
    <row r="52270" spans="7:7">
      <c r="G52270" s="812"/>
    </row>
    <row r="52271" spans="7:7">
      <c r="G52271" s="812"/>
    </row>
    <row r="52272" spans="7:7">
      <c r="G52272" s="812"/>
    </row>
    <row r="52273" spans="7:7">
      <c r="G52273" s="812"/>
    </row>
    <row r="52274" spans="7:7">
      <c r="G52274" s="812"/>
    </row>
    <row r="52275" spans="7:7">
      <c r="G52275" s="812"/>
    </row>
    <row r="52276" spans="7:7">
      <c r="G52276" s="812"/>
    </row>
    <row r="52277" spans="7:7">
      <c r="G52277" s="812"/>
    </row>
    <row r="52278" spans="7:7">
      <c r="G52278" s="812"/>
    </row>
    <row r="52279" spans="7:7">
      <c r="G52279" s="812"/>
    </row>
    <row r="52280" spans="7:7">
      <c r="G52280" s="812"/>
    </row>
    <row r="52281" spans="7:7">
      <c r="G52281" s="812"/>
    </row>
    <row r="52282" spans="7:7">
      <c r="G52282" s="812"/>
    </row>
    <row r="52283" spans="7:7">
      <c r="G52283" s="812"/>
    </row>
    <row r="52284" spans="7:7">
      <c r="G52284" s="812"/>
    </row>
    <row r="52285" spans="7:7">
      <c r="G52285" s="812"/>
    </row>
    <row r="52286" spans="7:7">
      <c r="G52286" s="812"/>
    </row>
    <row r="52287" spans="7:7">
      <c r="G52287" s="812"/>
    </row>
    <row r="52288" spans="7:7">
      <c r="G52288" s="812"/>
    </row>
    <row r="52289" spans="7:7">
      <c r="G52289" s="812"/>
    </row>
    <row r="52290" spans="7:7">
      <c r="G52290" s="812"/>
    </row>
    <row r="52291" spans="7:7">
      <c r="G52291" s="812"/>
    </row>
    <row r="52292" spans="7:7">
      <c r="G52292" s="812"/>
    </row>
    <row r="52293" spans="7:7">
      <c r="G52293" s="812"/>
    </row>
    <row r="52294" spans="7:7">
      <c r="G52294" s="812"/>
    </row>
    <row r="52295" spans="7:7">
      <c r="G52295" s="812"/>
    </row>
    <row r="52296" spans="7:7">
      <c r="G52296" s="812"/>
    </row>
    <row r="52297" spans="7:7">
      <c r="G52297" s="812"/>
    </row>
    <row r="52298" spans="7:7">
      <c r="G52298" s="812"/>
    </row>
    <row r="52299" spans="7:7">
      <c r="G52299" s="812"/>
    </row>
    <row r="52300" spans="7:7">
      <c r="G52300" s="812"/>
    </row>
    <row r="52301" spans="7:7">
      <c r="G52301" s="812"/>
    </row>
    <row r="52302" spans="7:7">
      <c r="G52302" s="812"/>
    </row>
    <row r="52303" spans="7:7">
      <c r="G52303" s="812"/>
    </row>
    <row r="52304" spans="7:7">
      <c r="G52304" s="812"/>
    </row>
    <row r="52305" spans="7:7">
      <c r="G52305" s="812"/>
    </row>
    <row r="52306" spans="7:7">
      <c r="G52306" s="812"/>
    </row>
    <row r="52307" spans="7:7">
      <c r="G52307" s="812"/>
    </row>
    <row r="52308" spans="7:7">
      <c r="G52308" s="812"/>
    </row>
    <row r="52309" spans="7:7">
      <c r="G52309" s="812"/>
    </row>
    <row r="52310" spans="7:7">
      <c r="G52310" s="812"/>
    </row>
    <row r="52311" spans="7:7">
      <c r="G52311" s="812"/>
    </row>
    <row r="52312" spans="7:7">
      <c r="G52312" s="812"/>
    </row>
    <row r="52313" spans="7:7">
      <c r="G52313" s="812"/>
    </row>
    <row r="52314" spans="7:7">
      <c r="G52314" s="812"/>
    </row>
    <row r="52315" spans="7:7">
      <c r="G52315" s="812"/>
    </row>
    <row r="52316" spans="7:7">
      <c r="G52316" s="812"/>
    </row>
    <row r="52317" spans="7:7">
      <c r="G52317" s="812"/>
    </row>
    <row r="52318" spans="7:7">
      <c r="G52318" s="812"/>
    </row>
    <row r="52319" spans="7:7">
      <c r="G52319" s="812"/>
    </row>
    <row r="52320" spans="7:7">
      <c r="G52320" s="812"/>
    </row>
    <row r="52321" spans="7:7">
      <c r="G52321" s="812"/>
    </row>
    <row r="52322" spans="7:7">
      <c r="G52322" s="812"/>
    </row>
    <row r="52323" spans="7:7">
      <c r="G52323" s="812"/>
    </row>
    <row r="52324" spans="7:7">
      <c r="G52324" s="812"/>
    </row>
    <row r="52325" spans="7:7">
      <c r="G52325" s="812"/>
    </row>
    <row r="52326" spans="7:7">
      <c r="G52326" s="812"/>
    </row>
    <row r="52327" spans="7:7">
      <c r="G52327" s="812"/>
    </row>
    <row r="52328" spans="7:7">
      <c r="G52328" s="812"/>
    </row>
    <row r="52329" spans="7:7">
      <c r="G52329" s="812"/>
    </row>
    <row r="52330" spans="7:7">
      <c r="G52330" s="812"/>
    </row>
    <row r="52331" spans="7:7">
      <c r="G52331" s="812"/>
    </row>
    <row r="52332" spans="7:7">
      <c r="G52332" s="812"/>
    </row>
    <row r="52333" spans="7:7">
      <c r="G52333" s="812"/>
    </row>
    <row r="52334" spans="7:7">
      <c r="G52334" s="812"/>
    </row>
    <row r="52335" spans="7:7">
      <c r="G52335" s="812"/>
    </row>
    <row r="52336" spans="7:7">
      <c r="G52336" s="812"/>
    </row>
    <row r="52337" spans="7:7">
      <c r="G52337" s="812"/>
    </row>
    <row r="52338" spans="7:7">
      <c r="G52338" s="812"/>
    </row>
    <row r="52339" spans="7:7">
      <c r="G52339" s="812"/>
    </row>
    <row r="52340" spans="7:7">
      <c r="G52340" s="812"/>
    </row>
    <row r="52341" spans="7:7">
      <c r="G52341" s="812"/>
    </row>
    <row r="52342" spans="7:7">
      <c r="G52342" s="812"/>
    </row>
    <row r="52343" spans="7:7">
      <c r="G52343" s="812"/>
    </row>
    <row r="52344" spans="7:7">
      <c r="G52344" s="812"/>
    </row>
    <row r="52345" spans="7:7">
      <c r="G52345" s="812"/>
    </row>
    <row r="52346" spans="7:7">
      <c r="G52346" s="812"/>
    </row>
    <row r="52347" spans="7:7">
      <c r="G52347" s="812"/>
    </row>
    <row r="52348" spans="7:7">
      <c r="G52348" s="812"/>
    </row>
    <row r="52349" spans="7:7">
      <c r="G52349" s="812"/>
    </row>
    <row r="52350" spans="7:7">
      <c r="G52350" s="812"/>
    </row>
    <row r="52351" spans="7:7">
      <c r="G52351" s="812"/>
    </row>
    <row r="52352" spans="7:7">
      <c r="G52352" s="812"/>
    </row>
    <row r="52353" spans="7:7">
      <c r="G52353" s="812"/>
    </row>
    <row r="52354" spans="7:7">
      <c r="G52354" s="812"/>
    </row>
    <row r="52355" spans="7:7">
      <c r="G52355" s="812"/>
    </row>
    <row r="52356" spans="7:7">
      <c r="G52356" s="812"/>
    </row>
    <row r="52357" spans="7:7">
      <c r="G52357" s="812"/>
    </row>
    <row r="52358" spans="7:7">
      <c r="G52358" s="812"/>
    </row>
    <row r="52359" spans="7:7">
      <c r="G52359" s="812"/>
    </row>
    <row r="52360" spans="7:7">
      <c r="G52360" s="812"/>
    </row>
    <row r="52361" spans="7:7">
      <c r="G52361" s="812"/>
    </row>
    <row r="52362" spans="7:7">
      <c r="G52362" s="812"/>
    </row>
    <row r="52363" spans="7:7">
      <c r="G52363" s="812"/>
    </row>
    <row r="52364" spans="7:7">
      <c r="G52364" s="812"/>
    </row>
    <row r="52365" spans="7:7">
      <c r="G52365" s="812"/>
    </row>
    <row r="52366" spans="7:7">
      <c r="G52366" s="812"/>
    </row>
    <row r="52367" spans="7:7">
      <c r="G52367" s="812"/>
    </row>
    <row r="52368" spans="7:7">
      <c r="G52368" s="812"/>
    </row>
    <row r="52369" spans="7:7">
      <c r="G52369" s="812"/>
    </row>
    <row r="52370" spans="7:7">
      <c r="G52370" s="812"/>
    </row>
    <row r="52371" spans="7:7">
      <c r="G52371" s="812"/>
    </row>
    <row r="52372" spans="7:7">
      <c r="G52372" s="812"/>
    </row>
    <row r="52373" spans="7:7">
      <c r="G52373" s="812"/>
    </row>
    <row r="52374" spans="7:7">
      <c r="G52374" s="812"/>
    </row>
    <row r="52375" spans="7:7">
      <c r="G52375" s="812"/>
    </row>
    <row r="52376" spans="7:7">
      <c r="G52376" s="812"/>
    </row>
    <row r="52377" spans="7:7">
      <c r="G52377" s="812"/>
    </row>
    <row r="52378" spans="7:7">
      <c r="G52378" s="812"/>
    </row>
    <row r="52379" spans="7:7">
      <c r="G52379" s="812"/>
    </row>
    <row r="52380" spans="7:7">
      <c r="G52380" s="812"/>
    </row>
    <row r="52381" spans="7:7">
      <c r="G52381" s="812"/>
    </row>
    <row r="52382" spans="7:7">
      <c r="G52382" s="812"/>
    </row>
    <row r="52383" spans="7:7">
      <c r="G52383" s="812"/>
    </row>
    <row r="52384" spans="7:7">
      <c r="G52384" s="812"/>
    </row>
    <row r="52385" spans="7:7">
      <c r="G52385" s="812"/>
    </row>
    <row r="52386" spans="7:7">
      <c r="G52386" s="812"/>
    </row>
    <row r="52387" spans="7:7">
      <c r="G52387" s="812"/>
    </row>
    <row r="52388" spans="7:7">
      <c r="G52388" s="812"/>
    </row>
    <row r="52389" spans="7:7">
      <c r="G52389" s="812"/>
    </row>
    <row r="52390" spans="7:7">
      <c r="G52390" s="812"/>
    </row>
    <row r="52391" spans="7:7">
      <c r="G52391" s="812"/>
    </row>
    <row r="52392" spans="7:7">
      <c r="G52392" s="812"/>
    </row>
    <row r="52393" spans="7:7">
      <c r="G52393" s="812"/>
    </row>
    <row r="52394" spans="7:7">
      <c r="G52394" s="812"/>
    </row>
    <row r="52395" spans="7:7">
      <c r="G52395" s="812"/>
    </row>
    <row r="52396" spans="7:7">
      <c r="G52396" s="812"/>
    </row>
    <row r="52397" spans="7:7">
      <c r="G52397" s="812"/>
    </row>
    <row r="52398" spans="7:7">
      <c r="G52398" s="812"/>
    </row>
    <row r="52399" spans="7:7">
      <c r="G52399" s="812"/>
    </row>
    <row r="52400" spans="7:7">
      <c r="G52400" s="812"/>
    </row>
    <row r="52401" spans="7:7">
      <c r="G52401" s="812"/>
    </row>
    <row r="52402" spans="7:7">
      <c r="G52402" s="812"/>
    </row>
    <row r="52403" spans="7:7">
      <c r="G52403" s="812"/>
    </row>
    <row r="52404" spans="7:7">
      <c r="G52404" s="812"/>
    </row>
    <row r="52405" spans="7:7">
      <c r="G52405" s="812"/>
    </row>
    <row r="52406" spans="7:7">
      <c r="G52406" s="812"/>
    </row>
    <row r="52407" spans="7:7">
      <c r="G52407" s="812"/>
    </row>
    <row r="52408" spans="7:7">
      <c r="G52408" s="812"/>
    </row>
    <row r="52409" spans="7:7">
      <c r="G52409" s="812"/>
    </row>
    <row r="52410" spans="7:7">
      <c r="G52410" s="812"/>
    </row>
    <row r="52411" spans="7:7">
      <c r="G52411" s="812"/>
    </row>
    <row r="52412" spans="7:7">
      <c r="G52412" s="812"/>
    </row>
    <row r="52413" spans="7:7">
      <c r="G52413" s="812"/>
    </row>
    <row r="52414" spans="7:7">
      <c r="G52414" s="812"/>
    </row>
    <row r="52415" spans="7:7">
      <c r="G52415" s="812"/>
    </row>
    <row r="52416" spans="7:7">
      <c r="G52416" s="812"/>
    </row>
    <row r="52417" spans="7:7">
      <c r="G52417" s="812"/>
    </row>
    <row r="52418" spans="7:7">
      <c r="G52418" s="812"/>
    </row>
    <row r="52419" spans="7:7">
      <c r="G52419" s="812"/>
    </row>
    <row r="52420" spans="7:7">
      <c r="G52420" s="812"/>
    </row>
    <row r="52421" spans="7:7">
      <c r="G52421" s="812"/>
    </row>
    <row r="52422" spans="7:7">
      <c r="G52422" s="812"/>
    </row>
    <row r="52423" spans="7:7">
      <c r="G52423" s="812"/>
    </row>
    <row r="52424" spans="7:7">
      <c r="G52424" s="812"/>
    </row>
    <row r="52425" spans="7:7">
      <c r="G52425" s="812"/>
    </row>
    <row r="52426" spans="7:7">
      <c r="G52426" s="812"/>
    </row>
    <row r="52427" spans="7:7">
      <c r="G52427" s="812"/>
    </row>
    <row r="52428" spans="7:7">
      <c r="G52428" s="812"/>
    </row>
    <row r="52429" spans="7:7">
      <c r="G52429" s="812"/>
    </row>
    <row r="52430" spans="7:7">
      <c r="G52430" s="812"/>
    </row>
    <row r="52431" spans="7:7">
      <c r="G52431" s="812"/>
    </row>
    <row r="52432" spans="7:7">
      <c r="G52432" s="812"/>
    </row>
    <row r="52433" spans="7:7">
      <c r="G52433" s="812"/>
    </row>
    <row r="52434" spans="7:7">
      <c r="G52434" s="812"/>
    </row>
    <row r="52435" spans="7:7">
      <c r="G52435" s="812"/>
    </row>
    <row r="52436" spans="7:7">
      <c r="G52436" s="812"/>
    </row>
    <row r="52437" spans="7:7">
      <c r="G52437" s="812"/>
    </row>
    <row r="52438" spans="7:7">
      <c r="G52438" s="812"/>
    </row>
    <row r="52439" spans="7:7">
      <c r="G52439" s="812"/>
    </row>
    <row r="52440" spans="7:7">
      <c r="G52440" s="812"/>
    </row>
    <row r="52441" spans="7:7">
      <c r="G52441" s="812"/>
    </row>
    <row r="52442" spans="7:7">
      <c r="G52442" s="812"/>
    </row>
    <row r="52443" spans="7:7">
      <c r="G52443" s="812"/>
    </row>
    <row r="52444" spans="7:7">
      <c r="G52444" s="812"/>
    </row>
    <row r="52445" spans="7:7">
      <c r="G52445" s="812"/>
    </row>
    <row r="52446" spans="7:7">
      <c r="G52446" s="812"/>
    </row>
    <row r="52447" spans="7:7">
      <c r="G52447" s="812"/>
    </row>
    <row r="52448" spans="7:7">
      <c r="G52448" s="812"/>
    </row>
    <row r="52449" spans="7:7">
      <c r="G52449" s="812"/>
    </row>
    <row r="52450" spans="7:7">
      <c r="G52450" s="812"/>
    </row>
    <row r="52451" spans="7:7">
      <c r="G52451" s="812"/>
    </row>
    <row r="52452" spans="7:7">
      <c r="G52452" s="812"/>
    </row>
    <row r="52453" spans="7:7">
      <c r="G52453" s="812"/>
    </row>
    <row r="52454" spans="7:7">
      <c r="G52454" s="812"/>
    </row>
    <row r="52455" spans="7:7">
      <c r="G52455" s="812"/>
    </row>
    <row r="52456" spans="7:7">
      <c r="G52456" s="812"/>
    </row>
    <row r="52457" spans="7:7">
      <c r="G52457" s="812"/>
    </row>
    <row r="52458" spans="7:7">
      <c r="G52458" s="812"/>
    </row>
    <row r="52459" spans="7:7">
      <c r="G52459" s="812"/>
    </row>
    <row r="52460" spans="7:7">
      <c r="G52460" s="812"/>
    </row>
    <row r="52461" spans="7:7">
      <c r="G52461" s="812"/>
    </row>
    <row r="52462" spans="7:7">
      <c r="G52462" s="812"/>
    </row>
    <row r="52463" spans="7:7">
      <c r="G52463" s="812"/>
    </row>
    <row r="52464" spans="7:7">
      <c r="G52464" s="812"/>
    </row>
    <row r="52465" spans="7:7">
      <c r="G52465" s="812"/>
    </row>
    <row r="52466" spans="7:7">
      <c r="G52466" s="812"/>
    </row>
    <row r="52467" spans="7:7">
      <c r="G52467" s="812"/>
    </row>
    <row r="52468" spans="7:7">
      <c r="G52468" s="812"/>
    </row>
    <row r="52469" spans="7:7">
      <c r="G52469" s="812"/>
    </row>
    <row r="52470" spans="7:7">
      <c r="G52470" s="812"/>
    </row>
    <row r="52471" spans="7:7">
      <c r="G52471" s="812"/>
    </row>
    <row r="52472" spans="7:7">
      <c r="G52472" s="812"/>
    </row>
    <row r="52473" spans="7:7">
      <c r="G52473" s="812"/>
    </row>
    <row r="52474" spans="7:7">
      <c r="G52474" s="812"/>
    </row>
    <row r="52475" spans="7:7">
      <c r="G52475" s="812"/>
    </row>
    <row r="52476" spans="7:7">
      <c r="G52476" s="812"/>
    </row>
    <row r="52477" spans="7:7">
      <c r="G52477" s="812"/>
    </row>
    <row r="52478" spans="7:7">
      <c r="G52478" s="812"/>
    </row>
    <row r="52479" spans="7:7">
      <c r="G52479" s="812"/>
    </row>
    <row r="52480" spans="7:7">
      <c r="G52480" s="812"/>
    </row>
    <row r="52481" spans="7:7">
      <c r="G52481" s="812"/>
    </row>
    <row r="52482" spans="7:7">
      <c r="G52482" s="812"/>
    </row>
    <row r="52483" spans="7:7">
      <c r="G52483" s="812"/>
    </row>
    <row r="52484" spans="7:7">
      <c r="G52484" s="812"/>
    </row>
    <row r="52485" spans="7:7">
      <c r="G52485" s="812"/>
    </row>
    <row r="52486" spans="7:7">
      <c r="G52486" s="812"/>
    </row>
    <row r="52487" spans="7:7">
      <c r="G52487" s="812"/>
    </row>
    <row r="52488" spans="7:7">
      <c r="G52488" s="812"/>
    </row>
    <row r="52489" spans="7:7">
      <c r="G52489" s="812"/>
    </row>
    <row r="52490" spans="7:7">
      <c r="G52490" s="812"/>
    </row>
    <row r="52491" spans="7:7">
      <c r="G52491" s="812"/>
    </row>
    <row r="52492" spans="7:7">
      <c r="G52492" s="812"/>
    </row>
    <row r="52493" spans="7:7">
      <c r="G52493" s="812"/>
    </row>
    <row r="52494" spans="7:7">
      <c r="G52494" s="812"/>
    </row>
    <row r="52495" spans="7:7">
      <c r="G52495" s="812"/>
    </row>
    <row r="52496" spans="7:7">
      <c r="G52496" s="812"/>
    </row>
    <row r="52497" spans="7:7">
      <c r="G52497" s="812"/>
    </row>
    <row r="52498" spans="7:7">
      <c r="G52498" s="812"/>
    </row>
    <row r="52499" spans="7:7">
      <c r="G52499" s="812"/>
    </row>
    <row r="52500" spans="7:7">
      <c r="G52500" s="812"/>
    </row>
    <row r="52501" spans="7:7">
      <c r="G52501" s="812"/>
    </row>
    <row r="52502" spans="7:7">
      <c r="G52502" s="812"/>
    </row>
    <row r="52503" spans="7:7">
      <c r="G52503" s="812"/>
    </row>
    <row r="52504" spans="7:7">
      <c r="G52504" s="812"/>
    </row>
    <row r="52505" spans="7:7">
      <c r="G52505" s="812"/>
    </row>
    <row r="52506" spans="7:7">
      <c r="G52506" s="812"/>
    </row>
    <row r="52507" spans="7:7">
      <c r="G52507" s="812"/>
    </row>
    <row r="52508" spans="7:7">
      <c r="G52508" s="812"/>
    </row>
    <row r="52509" spans="7:7">
      <c r="G52509" s="812"/>
    </row>
    <row r="52510" spans="7:7">
      <c r="G52510" s="812"/>
    </row>
    <row r="52511" spans="7:7">
      <c r="G52511" s="812"/>
    </row>
    <row r="52512" spans="7:7">
      <c r="G52512" s="812"/>
    </row>
    <row r="52513" spans="7:7">
      <c r="G52513" s="812"/>
    </row>
    <row r="52514" spans="7:7">
      <c r="G52514" s="812"/>
    </row>
    <row r="52515" spans="7:7">
      <c r="G52515" s="812"/>
    </row>
    <row r="52516" spans="7:7">
      <c r="G52516" s="812"/>
    </row>
    <row r="52517" spans="7:7">
      <c r="G52517" s="812"/>
    </row>
    <row r="52518" spans="7:7">
      <c r="G52518" s="812"/>
    </row>
    <row r="52519" spans="7:7">
      <c r="G52519" s="812"/>
    </row>
    <row r="52520" spans="7:7">
      <c r="G52520" s="812"/>
    </row>
    <row r="52521" spans="7:7">
      <c r="G52521" s="812"/>
    </row>
    <row r="52522" spans="7:7">
      <c r="G52522" s="812"/>
    </row>
    <row r="52523" spans="7:7">
      <c r="G52523" s="812"/>
    </row>
    <row r="52524" spans="7:7">
      <c r="G52524" s="812"/>
    </row>
    <row r="52525" spans="7:7">
      <c r="G52525" s="812"/>
    </row>
    <row r="52526" spans="7:7">
      <c r="G52526" s="812"/>
    </row>
    <row r="52527" spans="7:7">
      <c r="G52527" s="812"/>
    </row>
    <row r="52528" spans="7:7">
      <c r="G52528" s="812"/>
    </row>
    <row r="52529" spans="7:7">
      <c r="G52529" s="812"/>
    </row>
    <row r="52530" spans="7:7">
      <c r="G52530" s="812"/>
    </row>
    <row r="52531" spans="7:7">
      <c r="G52531" s="812"/>
    </row>
    <row r="52532" spans="7:7">
      <c r="G52532" s="812"/>
    </row>
    <row r="52533" spans="7:7">
      <c r="G52533" s="812"/>
    </row>
    <row r="52534" spans="7:7">
      <c r="G52534" s="812"/>
    </row>
    <row r="52535" spans="7:7">
      <c r="G52535" s="812"/>
    </row>
    <row r="52536" spans="7:7">
      <c r="G52536" s="812"/>
    </row>
    <row r="52537" spans="7:7">
      <c r="G52537" s="812"/>
    </row>
    <row r="52538" spans="7:7">
      <c r="G52538" s="812"/>
    </row>
    <row r="52539" spans="7:7">
      <c r="G52539" s="812"/>
    </row>
    <row r="52540" spans="7:7">
      <c r="G52540" s="812"/>
    </row>
    <row r="52541" spans="7:7">
      <c r="G52541" s="812"/>
    </row>
    <row r="52542" spans="7:7">
      <c r="G52542" s="812"/>
    </row>
    <row r="52543" spans="7:7">
      <c r="G52543" s="812"/>
    </row>
    <row r="52544" spans="7:7">
      <c r="G52544" s="812"/>
    </row>
    <row r="52545" spans="7:7">
      <c r="G52545" s="812"/>
    </row>
    <row r="52546" spans="7:7">
      <c r="G52546" s="812"/>
    </row>
    <row r="52547" spans="7:7">
      <c r="G52547" s="812"/>
    </row>
    <row r="52548" spans="7:7">
      <c r="G52548" s="812"/>
    </row>
    <row r="52549" spans="7:7">
      <c r="G52549" s="812"/>
    </row>
    <row r="52550" spans="7:7">
      <c r="G52550" s="812"/>
    </row>
    <row r="52551" spans="7:7">
      <c r="G52551" s="812"/>
    </row>
    <row r="52552" spans="7:7">
      <c r="G52552" s="812"/>
    </row>
    <row r="52553" spans="7:7">
      <c r="G52553" s="812"/>
    </row>
    <row r="52554" spans="7:7">
      <c r="G52554" s="812"/>
    </row>
    <row r="52555" spans="7:7">
      <c r="G52555" s="812"/>
    </row>
    <row r="52556" spans="7:7">
      <c r="G52556" s="812"/>
    </row>
    <row r="52557" spans="7:7">
      <c r="G52557" s="812"/>
    </row>
    <row r="52558" spans="7:7">
      <c r="G52558" s="812"/>
    </row>
    <row r="52559" spans="7:7">
      <c r="G52559" s="812"/>
    </row>
    <row r="52560" spans="7:7">
      <c r="G52560" s="812"/>
    </row>
    <row r="52561" spans="7:7">
      <c r="G52561" s="812"/>
    </row>
    <row r="52562" spans="7:7">
      <c r="G52562" s="812"/>
    </row>
    <row r="52563" spans="7:7">
      <c r="G52563" s="812"/>
    </row>
    <row r="52564" spans="7:7">
      <c r="G52564" s="812"/>
    </row>
    <row r="52565" spans="7:7">
      <c r="G52565" s="812"/>
    </row>
    <row r="52566" spans="7:7">
      <c r="G52566" s="812"/>
    </row>
    <row r="52567" spans="7:7">
      <c r="G52567" s="812"/>
    </row>
    <row r="52568" spans="7:7">
      <c r="G52568" s="812"/>
    </row>
    <row r="52569" spans="7:7">
      <c r="G52569" s="812"/>
    </row>
    <row r="52570" spans="7:7">
      <c r="G52570" s="812"/>
    </row>
    <row r="52571" spans="7:7">
      <c r="G52571" s="812"/>
    </row>
    <row r="52572" spans="7:7">
      <c r="G52572" s="812"/>
    </row>
    <row r="52573" spans="7:7">
      <c r="G52573" s="812"/>
    </row>
    <row r="52574" spans="7:7">
      <c r="G52574" s="812"/>
    </row>
    <row r="52575" spans="7:7">
      <c r="G52575" s="812"/>
    </row>
    <row r="52576" spans="7:7">
      <c r="G52576" s="812"/>
    </row>
    <row r="52577" spans="7:7">
      <c r="G52577" s="812"/>
    </row>
    <row r="52578" spans="7:7">
      <c r="G52578" s="812"/>
    </row>
    <row r="52579" spans="7:7">
      <c r="G52579" s="812"/>
    </row>
    <row r="52580" spans="7:7">
      <c r="G52580" s="812"/>
    </row>
    <row r="52581" spans="7:7">
      <c r="G52581" s="812"/>
    </row>
    <row r="52582" spans="7:7">
      <c r="G52582" s="812"/>
    </row>
    <row r="52583" spans="7:7">
      <c r="G52583" s="812"/>
    </row>
    <row r="52584" spans="7:7">
      <c r="G52584" s="812"/>
    </row>
    <row r="52585" spans="7:7">
      <c r="G52585" s="812"/>
    </row>
    <row r="52586" spans="7:7">
      <c r="G52586" s="812"/>
    </row>
    <row r="52587" spans="7:7">
      <c r="G52587" s="812"/>
    </row>
    <row r="52588" spans="7:7">
      <c r="G52588" s="812"/>
    </row>
    <row r="52589" spans="7:7">
      <c r="G52589" s="812"/>
    </row>
    <row r="52590" spans="7:7">
      <c r="G52590" s="812"/>
    </row>
    <row r="52591" spans="7:7">
      <c r="G52591" s="812"/>
    </row>
    <row r="52592" spans="7:7">
      <c r="G52592" s="812"/>
    </row>
    <row r="52593" spans="7:7">
      <c r="G52593" s="812"/>
    </row>
    <row r="52594" spans="7:7">
      <c r="G52594" s="812"/>
    </row>
    <row r="52595" spans="7:7">
      <c r="G52595" s="812"/>
    </row>
    <row r="52596" spans="7:7">
      <c r="G52596" s="812"/>
    </row>
    <row r="52597" spans="7:7">
      <c r="G52597" s="812"/>
    </row>
    <row r="52598" spans="7:7">
      <c r="G52598" s="812"/>
    </row>
    <row r="52599" spans="7:7">
      <c r="G52599" s="812"/>
    </row>
    <row r="52600" spans="7:7">
      <c r="G52600" s="812"/>
    </row>
    <row r="52601" spans="7:7">
      <c r="G52601" s="812"/>
    </row>
    <row r="52602" spans="7:7">
      <c r="G52602" s="812"/>
    </row>
    <row r="52603" spans="7:7">
      <c r="G52603" s="812"/>
    </row>
    <row r="52604" spans="7:7">
      <c r="G52604" s="812"/>
    </row>
    <row r="52605" spans="7:7">
      <c r="G52605" s="812"/>
    </row>
    <row r="52606" spans="7:7">
      <c r="G52606" s="812"/>
    </row>
    <row r="52607" spans="7:7">
      <c r="G52607" s="812"/>
    </row>
    <row r="52608" spans="7:7">
      <c r="G52608" s="812"/>
    </row>
    <row r="52609" spans="7:7">
      <c r="G52609" s="812"/>
    </row>
    <row r="52610" spans="7:7">
      <c r="G52610" s="812"/>
    </row>
    <row r="52611" spans="7:7">
      <c r="G52611" s="812"/>
    </row>
    <row r="52612" spans="7:7">
      <c r="G52612" s="812"/>
    </row>
    <row r="52613" spans="7:7">
      <c r="G52613" s="812"/>
    </row>
    <row r="52614" spans="7:7">
      <c r="G52614" s="812"/>
    </row>
    <row r="52615" spans="7:7">
      <c r="G52615" s="812"/>
    </row>
    <row r="52616" spans="7:7">
      <c r="G52616" s="812"/>
    </row>
    <row r="52617" spans="7:7">
      <c r="G52617" s="812"/>
    </row>
    <row r="52618" spans="7:7">
      <c r="G52618" s="812"/>
    </row>
    <row r="52619" spans="7:7">
      <c r="G52619" s="812"/>
    </row>
    <row r="52620" spans="7:7">
      <c r="G52620" s="812"/>
    </row>
    <row r="52621" spans="7:7">
      <c r="G52621" s="812"/>
    </row>
    <row r="52622" spans="7:7">
      <c r="G52622" s="812"/>
    </row>
    <row r="52623" spans="7:7">
      <c r="G52623" s="812"/>
    </row>
    <row r="52624" spans="7:7">
      <c r="G52624" s="812"/>
    </row>
    <row r="52625" spans="7:7">
      <c r="G52625" s="812"/>
    </row>
    <row r="52626" spans="7:7">
      <c r="G52626" s="812"/>
    </row>
    <row r="52627" spans="7:7">
      <c r="G52627" s="812"/>
    </row>
    <row r="52628" spans="7:7">
      <c r="G52628" s="812"/>
    </row>
    <row r="52629" spans="7:7">
      <c r="G52629" s="812"/>
    </row>
    <row r="52630" spans="7:7">
      <c r="G52630" s="812"/>
    </row>
    <row r="52631" spans="7:7">
      <c r="G52631" s="812"/>
    </row>
    <row r="52632" spans="7:7">
      <c r="G52632" s="812"/>
    </row>
    <row r="52633" spans="7:7">
      <c r="G52633" s="812"/>
    </row>
    <row r="52634" spans="7:7">
      <c r="G52634" s="812"/>
    </row>
    <row r="52635" spans="7:7">
      <c r="G52635" s="812"/>
    </row>
    <row r="52636" spans="7:7">
      <c r="G52636" s="812"/>
    </row>
    <row r="52637" spans="7:7">
      <c r="G52637" s="812"/>
    </row>
    <row r="52638" spans="7:7">
      <c r="G52638" s="812"/>
    </row>
    <row r="52639" spans="7:7">
      <c r="G52639" s="812"/>
    </row>
    <row r="52640" spans="7:7">
      <c r="G52640" s="812"/>
    </row>
    <row r="52641" spans="7:7">
      <c r="G52641" s="812"/>
    </row>
    <row r="52642" spans="7:7">
      <c r="G52642" s="812"/>
    </row>
    <row r="52643" spans="7:7">
      <c r="G52643" s="812"/>
    </row>
    <row r="52644" spans="7:7">
      <c r="G52644" s="812"/>
    </row>
    <row r="52645" spans="7:7">
      <c r="G52645" s="812"/>
    </row>
    <row r="52646" spans="7:7">
      <c r="G52646" s="812"/>
    </row>
    <row r="52647" spans="7:7">
      <c r="G52647" s="812"/>
    </row>
    <row r="52648" spans="7:7">
      <c r="G52648" s="812"/>
    </row>
    <row r="52649" spans="7:7">
      <c r="G52649" s="812"/>
    </row>
    <row r="52650" spans="7:7">
      <c r="G52650" s="812"/>
    </row>
    <row r="52651" spans="7:7">
      <c r="G52651" s="812"/>
    </row>
    <row r="52652" spans="7:7">
      <c r="G52652" s="812"/>
    </row>
    <row r="52653" spans="7:7">
      <c r="G52653" s="812"/>
    </row>
    <row r="52654" spans="7:7">
      <c r="G52654" s="812"/>
    </row>
    <row r="52655" spans="7:7">
      <c r="G52655" s="812"/>
    </row>
    <row r="52656" spans="7:7">
      <c r="G52656" s="812"/>
    </row>
    <row r="52657" spans="7:7">
      <c r="G52657" s="812"/>
    </row>
    <row r="52658" spans="7:7">
      <c r="G52658" s="812"/>
    </row>
    <row r="52659" spans="7:7">
      <c r="G52659" s="812"/>
    </row>
    <row r="52660" spans="7:7">
      <c r="G52660" s="812"/>
    </row>
    <row r="52661" spans="7:7">
      <c r="G52661" s="812"/>
    </row>
    <row r="52662" spans="7:7">
      <c r="G52662" s="812"/>
    </row>
    <row r="52663" spans="7:7">
      <c r="G52663" s="812"/>
    </row>
    <row r="52664" spans="7:7">
      <c r="G52664" s="812"/>
    </row>
    <row r="52665" spans="7:7">
      <c r="G52665" s="812"/>
    </row>
    <row r="52666" spans="7:7">
      <c r="G52666" s="812"/>
    </row>
    <row r="52667" spans="7:7">
      <c r="G52667" s="812"/>
    </row>
    <row r="52668" spans="7:7">
      <c r="G52668" s="812"/>
    </row>
    <row r="52669" spans="7:7">
      <c r="G52669" s="812"/>
    </row>
    <row r="52670" spans="7:7">
      <c r="G52670" s="812"/>
    </row>
    <row r="52671" spans="7:7">
      <c r="G52671" s="812"/>
    </row>
    <row r="52672" spans="7:7">
      <c r="G52672" s="812"/>
    </row>
    <row r="52673" spans="7:7">
      <c r="G52673" s="812"/>
    </row>
    <row r="52674" spans="7:7">
      <c r="G52674" s="812"/>
    </row>
    <row r="52675" spans="7:7">
      <c r="G52675" s="812"/>
    </row>
    <row r="52676" spans="7:7">
      <c r="G52676" s="812"/>
    </row>
    <row r="52677" spans="7:7">
      <c r="G52677" s="812"/>
    </row>
    <row r="52678" spans="7:7">
      <c r="G52678" s="812"/>
    </row>
    <row r="52679" spans="7:7">
      <c r="G52679" s="812"/>
    </row>
    <row r="52680" spans="7:7">
      <c r="G52680" s="812"/>
    </row>
    <row r="52681" spans="7:7">
      <c r="G52681" s="812"/>
    </row>
    <row r="52682" spans="7:7">
      <c r="G52682" s="812"/>
    </row>
    <row r="52683" spans="7:7">
      <c r="G52683" s="812"/>
    </row>
    <row r="52684" spans="7:7">
      <c r="G52684" s="812"/>
    </row>
    <row r="52685" spans="7:7">
      <c r="G52685" s="812"/>
    </row>
    <row r="52686" spans="7:7">
      <c r="G52686" s="812"/>
    </row>
    <row r="52687" spans="7:7">
      <c r="G52687" s="812"/>
    </row>
    <row r="52688" spans="7:7">
      <c r="G52688" s="812"/>
    </row>
    <row r="52689" spans="7:7">
      <c r="G52689" s="812"/>
    </row>
    <row r="52690" spans="7:7">
      <c r="G52690" s="812"/>
    </row>
    <row r="52691" spans="7:7">
      <c r="G52691" s="812"/>
    </row>
    <row r="52692" spans="7:7">
      <c r="G52692" s="812"/>
    </row>
    <row r="52693" spans="7:7">
      <c r="G52693" s="812"/>
    </row>
    <row r="52694" spans="7:7">
      <c r="G52694" s="812"/>
    </row>
    <row r="52695" spans="7:7">
      <c r="G52695" s="812"/>
    </row>
    <row r="52696" spans="7:7">
      <c r="G52696" s="812"/>
    </row>
    <row r="52697" spans="7:7">
      <c r="G52697" s="812"/>
    </row>
    <row r="52698" spans="7:7">
      <c r="G52698" s="812"/>
    </row>
    <row r="52699" spans="7:7">
      <c r="G52699" s="812"/>
    </row>
    <row r="52700" spans="7:7">
      <c r="G52700" s="812"/>
    </row>
    <row r="52701" spans="7:7">
      <c r="G52701" s="812"/>
    </row>
    <row r="52702" spans="7:7">
      <c r="G52702" s="812"/>
    </row>
    <row r="52703" spans="7:7">
      <c r="G52703" s="812"/>
    </row>
    <row r="52704" spans="7:7">
      <c r="G52704" s="812"/>
    </row>
    <row r="52705" spans="7:7">
      <c r="G52705" s="812"/>
    </row>
    <row r="52706" spans="7:7">
      <c r="G52706" s="812"/>
    </row>
    <row r="52707" spans="7:7">
      <c r="G52707" s="812"/>
    </row>
    <row r="52708" spans="7:7">
      <c r="G52708" s="812"/>
    </row>
    <row r="52709" spans="7:7">
      <c r="G52709" s="812"/>
    </row>
    <row r="52710" spans="7:7">
      <c r="G52710" s="812"/>
    </row>
    <row r="52711" spans="7:7">
      <c r="G52711" s="812"/>
    </row>
    <row r="52712" spans="7:7">
      <c r="G52712" s="812"/>
    </row>
    <row r="52713" spans="7:7">
      <c r="G52713" s="812"/>
    </row>
    <row r="52714" spans="7:7">
      <c r="G52714" s="812"/>
    </row>
    <row r="52715" spans="7:7">
      <c r="G52715" s="812"/>
    </row>
    <row r="52716" spans="7:7">
      <c r="G52716" s="812"/>
    </row>
    <row r="52717" spans="7:7">
      <c r="G52717" s="812"/>
    </row>
    <row r="52718" spans="7:7">
      <c r="G52718" s="812"/>
    </row>
    <row r="52719" spans="7:7">
      <c r="G52719" s="812"/>
    </row>
    <row r="52720" spans="7:7">
      <c r="G52720" s="812"/>
    </row>
    <row r="52721" spans="7:7">
      <c r="G52721" s="812"/>
    </row>
    <row r="52722" spans="7:7">
      <c r="G52722" s="812"/>
    </row>
    <row r="52723" spans="7:7">
      <c r="G52723" s="812"/>
    </row>
    <row r="52724" spans="7:7">
      <c r="G52724" s="812"/>
    </row>
    <row r="52725" spans="7:7">
      <c r="G52725" s="812"/>
    </row>
    <row r="52726" spans="7:7">
      <c r="G52726" s="812"/>
    </row>
    <row r="52727" spans="7:7">
      <c r="G52727" s="812"/>
    </row>
    <row r="52728" spans="7:7">
      <c r="G52728" s="812"/>
    </row>
    <row r="52729" spans="7:7">
      <c r="G52729" s="812"/>
    </row>
    <row r="52730" spans="7:7">
      <c r="G52730" s="812"/>
    </row>
    <row r="52731" spans="7:7">
      <c r="G52731" s="812"/>
    </row>
    <row r="52732" spans="7:7">
      <c r="G52732" s="812"/>
    </row>
    <row r="52733" spans="7:7">
      <c r="G52733" s="812"/>
    </row>
    <row r="52734" spans="7:7">
      <c r="G52734" s="812"/>
    </row>
    <row r="52735" spans="7:7">
      <c r="G52735" s="812"/>
    </row>
    <row r="52736" spans="7:7">
      <c r="G52736" s="812"/>
    </row>
    <row r="52737" spans="7:7">
      <c r="G52737" s="812"/>
    </row>
    <row r="52738" spans="7:7">
      <c r="G52738" s="812"/>
    </row>
    <row r="52739" spans="7:7">
      <c r="G52739" s="812"/>
    </row>
    <row r="52740" spans="7:7">
      <c r="G52740" s="812"/>
    </row>
    <row r="52741" spans="7:7">
      <c r="G52741" s="812"/>
    </row>
    <row r="52742" spans="7:7">
      <c r="G52742" s="812"/>
    </row>
    <row r="52743" spans="7:7">
      <c r="G52743" s="812"/>
    </row>
    <row r="52744" spans="7:7">
      <c r="G52744" s="812"/>
    </row>
    <row r="52745" spans="7:7">
      <c r="G52745" s="812"/>
    </row>
    <row r="52746" spans="7:7">
      <c r="G52746" s="812"/>
    </row>
    <row r="52747" spans="7:7">
      <c r="G52747" s="812"/>
    </row>
    <row r="52748" spans="7:7">
      <c r="G52748" s="812"/>
    </row>
    <row r="52749" spans="7:7">
      <c r="G52749" s="812"/>
    </row>
    <row r="52750" spans="7:7">
      <c r="G52750" s="812"/>
    </row>
    <row r="52751" spans="7:7">
      <c r="G52751" s="812"/>
    </row>
    <row r="52752" spans="7:7">
      <c r="G52752" s="812"/>
    </row>
    <row r="52753" spans="7:7">
      <c r="G52753" s="812"/>
    </row>
    <row r="52754" spans="7:7">
      <c r="G52754" s="812"/>
    </row>
    <row r="52755" spans="7:7">
      <c r="G52755" s="812"/>
    </row>
    <row r="52756" spans="7:7">
      <c r="G52756" s="812"/>
    </row>
    <row r="52757" spans="7:7">
      <c r="G52757" s="812"/>
    </row>
    <row r="52758" spans="7:7">
      <c r="G52758" s="812"/>
    </row>
    <row r="52759" spans="7:7">
      <c r="G52759" s="812"/>
    </row>
    <row r="52760" spans="7:7">
      <c r="G52760" s="812"/>
    </row>
    <row r="52761" spans="7:7">
      <c r="G52761" s="812"/>
    </row>
    <row r="52762" spans="7:7">
      <c r="G52762" s="812"/>
    </row>
    <row r="52763" spans="7:7">
      <c r="G52763" s="812"/>
    </row>
    <row r="52764" spans="7:7">
      <c r="G52764" s="812"/>
    </row>
    <row r="52765" spans="7:7">
      <c r="G52765" s="812"/>
    </row>
    <row r="52766" spans="7:7">
      <c r="G52766" s="812"/>
    </row>
    <row r="52767" spans="7:7">
      <c r="G52767" s="812"/>
    </row>
    <row r="52768" spans="7:7">
      <c r="G52768" s="812"/>
    </row>
    <row r="52769" spans="7:7">
      <c r="G52769" s="812"/>
    </row>
    <row r="52770" spans="7:7">
      <c r="G52770" s="812"/>
    </row>
    <row r="52771" spans="7:7">
      <c r="G52771" s="812"/>
    </row>
    <row r="52772" spans="7:7">
      <c r="G52772" s="812"/>
    </row>
    <row r="52773" spans="7:7">
      <c r="G52773" s="812"/>
    </row>
    <row r="52774" spans="7:7">
      <c r="G52774" s="812"/>
    </row>
    <row r="52775" spans="7:7">
      <c r="G52775" s="812"/>
    </row>
    <row r="52776" spans="7:7">
      <c r="G52776" s="812"/>
    </row>
    <row r="52777" spans="7:7">
      <c r="G52777" s="812"/>
    </row>
    <row r="52778" spans="7:7">
      <c r="G52778" s="812"/>
    </row>
    <row r="52779" spans="7:7">
      <c r="G52779" s="812"/>
    </row>
    <row r="52780" spans="7:7">
      <c r="G52780" s="812"/>
    </row>
    <row r="52781" spans="7:7">
      <c r="G52781" s="812"/>
    </row>
    <row r="52782" spans="7:7">
      <c r="G52782" s="812"/>
    </row>
    <row r="52783" spans="7:7">
      <c r="G52783" s="812"/>
    </row>
    <row r="52784" spans="7:7">
      <c r="G52784" s="812"/>
    </row>
    <row r="52785" spans="7:7">
      <c r="G52785" s="812"/>
    </row>
    <row r="52786" spans="7:7">
      <c r="G52786" s="812"/>
    </row>
    <row r="52787" spans="7:7">
      <c r="G52787" s="812"/>
    </row>
    <row r="52788" spans="7:7">
      <c r="G52788" s="812"/>
    </row>
    <row r="52789" spans="7:7">
      <c r="G52789" s="812"/>
    </row>
    <row r="52790" spans="7:7">
      <c r="G52790" s="812"/>
    </row>
    <row r="52791" spans="7:7">
      <c r="G52791" s="812"/>
    </row>
    <row r="52792" spans="7:7">
      <c r="G52792" s="812"/>
    </row>
    <row r="52793" spans="7:7">
      <c r="G52793" s="812"/>
    </row>
    <row r="52794" spans="7:7">
      <c r="G52794" s="812"/>
    </row>
    <row r="52795" spans="7:7">
      <c r="G52795" s="812"/>
    </row>
    <row r="52796" spans="7:7">
      <c r="G52796" s="812"/>
    </row>
    <row r="52797" spans="7:7">
      <c r="G52797" s="812"/>
    </row>
    <row r="52798" spans="7:7">
      <c r="G52798" s="812"/>
    </row>
    <row r="52799" spans="7:7">
      <c r="G52799" s="812"/>
    </row>
    <row r="52800" spans="7:7">
      <c r="G52800" s="812"/>
    </row>
    <row r="52801" spans="7:7">
      <c r="G52801" s="812"/>
    </row>
    <row r="52802" spans="7:7">
      <c r="G52802" s="812"/>
    </row>
    <row r="52803" spans="7:7">
      <c r="G52803" s="812"/>
    </row>
    <row r="52804" spans="7:7">
      <c r="G52804" s="812"/>
    </row>
    <row r="52805" spans="7:7">
      <c r="G52805" s="812"/>
    </row>
    <row r="52806" spans="7:7">
      <c r="G52806" s="812"/>
    </row>
    <row r="52807" spans="7:7">
      <c r="G52807" s="812"/>
    </row>
    <row r="52808" spans="7:7">
      <c r="G52808" s="812"/>
    </row>
    <row r="52809" spans="7:7">
      <c r="G52809" s="812"/>
    </row>
    <row r="52810" spans="7:7">
      <c r="G52810" s="812"/>
    </row>
    <row r="52811" spans="7:7">
      <c r="G52811" s="812"/>
    </row>
    <row r="52812" spans="7:7">
      <c r="G52812" s="812"/>
    </row>
    <row r="52813" spans="7:7">
      <c r="G52813" s="812"/>
    </row>
    <row r="52814" spans="7:7">
      <c r="G52814" s="812"/>
    </row>
    <row r="52815" spans="7:7">
      <c r="G52815" s="812"/>
    </row>
    <row r="52816" spans="7:7">
      <c r="G52816" s="812"/>
    </row>
    <row r="52817" spans="7:7">
      <c r="G52817" s="812"/>
    </row>
    <row r="52818" spans="7:7">
      <c r="G52818" s="812"/>
    </row>
    <row r="52819" spans="7:7">
      <c r="G52819" s="812"/>
    </row>
    <row r="52820" spans="7:7">
      <c r="G52820" s="812"/>
    </row>
    <row r="52821" spans="7:7">
      <c r="G52821" s="812"/>
    </row>
    <row r="52822" spans="7:7">
      <c r="G52822" s="812"/>
    </row>
    <row r="52823" spans="7:7">
      <c r="G52823" s="812"/>
    </row>
    <row r="52824" spans="7:7">
      <c r="G52824" s="812"/>
    </row>
    <row r="52825" spans="7:7">
      <c r="G52825" s="812"/>
    </row>
    <row r="52826" spans="7:7">
      <c r="G52826" s="812"/>
    </row>
    <row r="52827" spans="7:7">
      <c r="G52827" s="812"/>
    </row>
    <row r="52828" spans="7:7">
      <c r="G52828" s="812"/>
    </row>
    <row r="52829" spans="7:7">
      <c r="G52829" s="812"/>
    </row>
    <row r="52830" spans="7:7">
      <c r="G52830" s="812"/>
    </row>
    <row r="52831" spans="7:7">
      <c r="G52831" s="812"/>
    </row>
    <row r="52832" spans="7:7">
      <c r="G52832" s="812"/>
    </row>
    <row r="52833" spans="7:7">
      <c r="G52833" s="812"/>
    </row>
    <row r="52834" spans="7:7">
      <c r="G52834" s="812"/>
    </row>
    <row r="52835" spans="7:7">
      <c r="G52835" s="812"/>
    </row>
    <row r="52836" spans="7:7">
      <c r="G52836" s="812"/>
    </row>
    <row r="52837" spans="7:7">
      <c r="G52837" s="812"/>
    </row>
    <row r="52838" spans="7:7">
      <c r="G52838" s="812"/>
    </row>
    <row r="52839" spans="7:7">
      <c r="G52839" s="812"/>
    </row>
    <row r="52840" spans="7:7">
      <c r="G52840" s="812"/>
    </row>
    <row r="52841" spans="7:7">
      <c r="G52841" s="812"/>
    </row>
    <row r="52842" spans="7:7">
      <c r="G52842" s="812"/>
    </row>
    <row r="52843" spans="7:7">
      <c r="G52843" s="812"/>
    </row>
    <row r="52844" spans="7:7">
      <c r="G52844" s="812"/>
    </row>
    <row r="52845" spans="7:7">
      <c r="G52845" s="812"/>
    </row>
    <row r="52846" spans="7:7">
      <c r="G52846" s="812"/>
    </row>
    <row r="52847" spans="7:7">
      <c r="G52847" s="812"/>
    </row>
    <row r="52848" spans="7:7">
      <c r="G52848" s="812"/>
    </row>
    <row r="52849" spans="7:7">
      <c r="G52849" s="812"/>
    </row>
    <row r="52850" spans="7:7">
      <c r="G52850" s="812"/>
    </row>
    <row r="52851" spans="7:7">
      <c r="G52851" s="812"/>
    </row>
    <row r="52852" spans="7:7">
      <c r="G52852" s="812"/>
    </row>
    <row r="52853" spans="7:7">
      <c r="G52853" s="812"/>
    </row>
    <row r="52854" spans="7:7">
      <c r="G52854" s="812"/>
    </row>
    <row r="52855" spans="7:7">
      <c r="G52855" s="812"/>
    </row>
    <row r="52856" spans="7:7">
      <c r="G52856" s="812"/>
    </row>
    <row r="52857" spans="7:7">
      <c r="G52857" s="812"/>
    </row>
    <row r="52858" spans="7:7">
      <c r="G52858" s="812"/>
    </row>
    <row r="52859" spans="7:7">
      <c r="G52859" s="812"/>
    </row>
    <row r="52860" spans="7:7">
      <c r="G52860" s="812"/>
    </row>
    <row r="52861" spans="7:7">
      <c r="G52861" s="812"/>
    </row>
    <row r="52862" spans="7:7">
      <c r="G52862" s="812"/>
    </row>
    <row r="52863" spans="7:7">
      <c r="G52863" s="812"/>
    </row>
    <row r="52864" spans="7:7">
      <c r="G52864" s="812"/>
    </row>
    <row r="52865" spans="7:7">
      <c r="G52865" s="812"/>
    </row>
    <row r="52866" spans="7:7">
      <c r="G52866" s="812"/>
    </row>
    <row r="52867" spans="7:7">
      <c r="G52867" s="812"/>
    </row>
    <row r="52868" spans="7:7">
      <c r="G52868" s="812"/>
    </row>
    <row r="52869" spans="7:7">
      <c r="G52869" s="812"/>
    </row>
    <row r="52870" spans="7:7">
      <c r="G52870" s="812"/>
    </row>
    <row r="52871" spans="7:7">
      <c r="G52871" s="812"/>
    </row>
    <row r="52872" spans="7:7">
      <c r="G52872" s="812"/>
    </row>
    <row r="52873" spans="7:7">
      <c r="G52873" s="812"/>
    </row>
    <row r="52874" spans="7:7">
      <c r="G52874" s="812"/>
    </row>
    <row r="52875" spans="7:7">
      <c r="G52875" s="812"/>
    </row>
    <row r="52876" spans="7:7">
      <c r="G52876" s="812"/>
    </row>
    <row r="52877" spans="7:7">
      <c r="G52877" s="812"/>
    </row>
    <row r="52878" spans="7:7">
      <c r="G52878" s="812"/>
    </row>
    <row r="52879" spans="7:7">
      <c r="G52879" s="812"/>
    </row>
    <row r="52880" spans="7:7">
      <c r="G52880" s="812"/>
    </row>
    <row r="52881" spans="7:7">
      <c r="G52881" s="812"/>
    </row>
    <row r="52882" spans="7:7">
      <c r="G52882" s="812"/>
    </row>
    <row r="52883" spans="7:7">
      <c r="G52883" s="812"/>
    </row>
    <row r="52884" spans="7:7">
      <c r="G52884" s="812"/>
    </row>
    <row r="52885" spans="7:7">
      <c r="G52885" s="812"/>
    </row>
    <row r="52886" spans="7:7">
      <c r="G52886" s="812"/>
    </row>
    <row r="52887" spans="7:7">
      <c r="G52887" s="812"/>
    </row>
    <row r="52888" spans="7:7">
      <c r="G52888" s="812"/>
    </row>
    <row r="52889" spans="7:7">
      <c r="G52889" s="812"/>
    </row>
    <row r="52890" spans="7:7">
      <c r="G52890" s="812"/>
    </row>
    <row r="52891" spans="7:7">
      <c r="G52891" s="812"/>
    </row>
    <row r="52892" spans="7:7">
      <c r="G52892" s="812"/>
    </row>
    <row r="52893" spans="7:7">
      <c r="G52893" s="812"/>
    </row>
    <row r="52894" spans="7:7">
      <c r="G52894" s="812"/>
    </row>
    <row r="52895" spans="7:7">
      <c r="G52895" s="812"/>
    </row>
    <row r="52896" spans="7:7">
      <c r="G52896" s="812"/>
    </row>
    <row r="52897" spans="7:7">
      <c r="G52897" s="812"/>
    </row>
    <row r="52898" spans="7:7">
      <c r="G52898" s="812"/>
    </row>
    <row r="52899" spans="7:7">
      <c r="G52899" s="812"/>
    </row>
    <row r="52900" spans="7:7">
      <c r="G52900" s="812"/>
    </row>
    <row r="52901" spans="7:7">
      <c r="G52901" s="812"/>
    </row>
    <row r="52902" spans="7:7">
      <c r="G52902" s="812"/>
    </row>
    <row r="52903" spans="7:7">
      <c r="G52903" s="812"/>
    </row>
    <row r="52904" spans="7:7">
      <c r="G52904" s="812"/>
    </row>
    <row r="52905" spans="7:7">
      <c r="G52905" s="812"/>
    </row>
    <row r="52906" spans="7:7">
      <c r="G52906" s="812"/>
    </row>
    <row r="52907" spans="7:7">
      <c r="G52907" s="812"/>
    </row>
    <row r="52908" spans="7:7">
      <c r="G52908" s="812"/>
    </row>
    <row r="52909" spans="7:7">
      <c r="G52909" s="812"/>
    </row>
    <row r="52910" spans="7:7">
      <c r="G52910" s="812"/>
    </row>
    <row r="52911" spans="7:7">
      <c r="G52911" s="812"/>
    </row>
    <row r="52912" spans="7:7">
      <c r="G52912" s="812"/>
    </row>
    <row r="52913" spans="7:7">
      <c r="G52913" s="812"/>
    </row>
    <row r="52914" spans="7:7">
      <c r="G52914" s="812"/>
    </row>
    <row r="52915" spans="7:7">
      <c r="G52915" s="812"/>
    </row>
    <row r="52916" spans="7:7">
      <c r="G52916" s="812"/>
    </row>
    <row r="52917" spans="7:7">
      <c r="G52917" s="812"/>
    </row>
    <row r="52918" spans="7:7">
      <c r="G52918" s="812"/>
    </row>
    <row r="52919" spans="7:7">
      <c r="G52919" s="812"/>
    </row>
    <row r="52920" spans="7:7">
      <c r="G52920" s="812"/>
    </row>
    <row r="52921" spans="7:7">
      <c r="G52921" s="812"/>
    </row>
    <row r="52922" spans="7:7">
      <c r="G52922" s="812"/>
    </row>
    <row r="52923" spans="7:7">
      <c r="G52923" s="812"/>
    </row>
    <row r="52924" spans="7:7">
      <c r="G52924" s="812"/>
    </row>
    <row r="52925" spans="7:7">
      <c r="G52925" s="812"/>
    </row>
    <row r="52926" spans="7:7">
      <c r="G52926" s="812"/>
    </row>
    <row r="52927" spans="7:7">
      <c r="G52927" s="812"/>
    </row>
    <row r="52928" spans="7:7">
      <c r="G52928" s="812"/>
    </row>
    <row r="52929" spans="7:7">
      <c r="G52929" s="812"/>
    </row>
    <row r="52930" spans="7:7">
      <c r="G52930" s="812"/>
    </row>
    <row r="52931" spans="7:7">
      <c r="G52931" s="812"/>
    </row>
    <row r="52932" spans="7:7">
      <c r="G52932" s="812"/>
    </row>
    <row r="52933" spans="7:7">
      <c r="G52933" s="812"/>
    </row>
    <row r="52934" spans="7:7">
      <c r="G52934" s="812"/>
    </row>
    <row r="52935" spans="7:7">
      <c r="G52935" s="812"/>
    </row>
    <row r="52936" spans="7:7">
      <c r="G52936" s="812"/>
    </row>
    <row r="52937" spans="7:7">
      <c r="G52937" s="812"/>
    </row>
    <row r="52938" spans="7:7">
      <c r="G52938" s="812"/>
    </row>
    <row r="52939" spans="7:7">
      <c r="G52939" s="812"/>
    </row>
    <row r="52940" spans="7:7">
      <c r="G52940" s="812"/>
    </row>
    <row r="52941" spans="7:7">
      <c r="G52941" s="812"/>
    </row>
    <row r="52942" spans="7:7">
      <c r="G52942" s="812"/>
    </row>
    <row r="52943" spans="7:7">
      <c r="G52943" s="812"/>
    </row>
    <row r="52944" spans="7:7">
      <c r="G52944" s="812"/>
    </row>
    <row r="52945" spans="7:7">
      <c r="G52945" s="812"/>
    </row>
    <row r="52946" spans="7:7">
      <c r="G52946" s="812"/>
    </row>
    <row r="52947" spans="7:7">
      <c r="G52947" s="812"/>
    </row>
    <row r="52948" spans="7:7">
      <c r="G52948" s="812"/>
    </row>
    <row r="52949" spans="7:7">
      <c r="G52949" s="812"/>
    </row>
    <row r="52950" spans="7:7">
      <c r="G52950" s="812"/>
    </row>
    <row r="52951" spans="7:7">
      <c r="G52951" s="812"/>
    </row>
    <row r="52952" spans="7:7">
      <c r="G52952" s="812"/>
    </row>
    <row r="52953" spans="7:7">
      <c r="G52953" s="812"/>
    </row>
    <row r="52954" spans="7:7">
      <c r="G52954" s="812"/>
    </row>
    <row r="52955" spans="7:7">
      <c r="G52955" s="812"/>
    </row>
    <row r="52956" spans="7:7">
      <c r="G52956" s="812"/>
    </row>
    <row r="52957" spans="7:7">
      <c r="G52957" s="812"/>
    </row>
    <row r="52958" spans="7:7">
      <c r="G52958" s="812"/>
    </row>
    <row r="52959" spans="7:7">
      <c r="G52959" s="812"/>
    </row>
    <row r="52960" spans="7:7">
      <c r="G52960" s="812"/>
    </row>
    <row r="52961" spans="7:7">
      <c r="G52961" s="812"/>
    </row>
    <row r="52962" spans="7:7">
      <c r="G52962" s="812"/>
    </row>
    <row r="52963" spans="7:7">
      <c r="G52963" s="812"/>
    </row>
    <row r="52964" spans="7:7">
      <c r="G52964" s="812"/>
    </row>
    <row r="52965" spans="7:7">
      <c r="G52965" s="812"/>
    </row>
    <row r="52966" spans="7:7">
      <c r="G52966" s="812"/>
    </row>
    <row r="52967" spans="7:7">
      <c r="G52967" s="812"/>
    </row>
    <row r="52968" spans="7:7">
      <c r="G52968" s="812"/>
    </row>
    <row r="52969" spans="7:7">
      <c r="G52969" s="812"/>
    </row>
    <row r="52970" spans="7:7">
      <c r="G52970" s="812"/>
    </row>
    <row r="52971" spans="7:7">
      <c r="G52971" s="812"/>
    </row>
    <row r="52972" spans="7:7">
      <c r="G52972" s="812"/>
    </row>
    <row r="52973" spans="7:7">
      <c r="G52973" s="812"/>
    </row>
    <row r="52974" spans="7:7">
      <c r="G52974" s="812"/>
    </row>
    <row r="52975" spans="7:7">
      <c r="G52975" s="812"/>
    </row>
    <row r="52976" spans="7:7">
      <c r="G52976" s="812"/>
    </row>
    <row r="52977" spans="7:7">
      <c r="G52977" s="812"/>
    </row>
    <row r="52978" spans="7:7">
      <c r="G52978" s="812"/>
    </row>
    <row r="52979" spans="7:7">
      <c r="G52979" s="812"/>
    </row>
    <row r="52980" spans="7:7">
      <c r="G52980" s="812"/>
    </row>
    <row r="52981" spans="7:7">
      <c r="G52981" s="812"/>
    </row>
    <row r="52982" spans="7:7">
      <c r="G52982" s="812"/>
    </row>
    <row r="52983" spans="7:7">
      <c r="G52983" s="812"/>
    </row>
    <row r="52984" spans="7:7">
      <c r="G52984" s="812"/>
    </row>
    <row r="52985" spans="7:7">
      <c r="G52985" s="812"/>
    </row>
    <row r="52986" spans="7:7">
      <c r="G52986" s="812"/>
    </row>
    <row r="52987" spans="7:7">
      <c r="G52987" s="812"/>
    </row>
    <row r="52988" spans="7:7">
      <c r="G52988" s="812"/>
    </row>
    <row r="52989" spans="7:7">
      <c r="G52989" s="812"/>
    </row>
    <row r="52990" spans="7:7">
      <c r="G52990" s="812"/>
    </row>
    <row r="52991" spans="7:7">
      <c r="G52991" s="812"/>
    </row>
    <row r="52992" spans="7:7">
      <c r="G52992" s="812"/>
    </row>
    <row r="52993" spans="7:7">
      <c r="G52993" s="812"/>
    </row>
    <row r="52994" spans="7:7">
      <c r="G52994" s="812"/>
    </row>
    <row r="52995" spans="7:7">
      <c r="G52995" s="812"/>
    </row>
    <row r="52996" spans="7:7">
      <c r="G52996" s="812"/>
    </row>
    <row r="52997" spans="7:7">
      <c r="G52997" s="812"/>
    </row>
    <row r="52998" spans="7:7">
      <c r="G52998" s="812"/>
    </row>
    <row r="52999" spans="7:7">
      <c r="G52999" s="812"/>
    </row>
    <row r="53000" spans="7:7">
      <c r="G53000" s="812"/>
    </row>
    <row r="53001" spans="7:7">
      <c r="G53001" s="812"/>
    </row>
    <row r="53002" spans="7:7">
      <c r="G53002" s="812"/>
    </row>
    <row r="53003" spans="7:7">
      <c r="G53003" s="812"/>
    </row>
    <row r="53004" spans="7:7">
      <c r="G53004" s="812"/>
    </row>
    <row r="53005" spans="7:7">
      <c r="G53005" s="812"/>
    </row>
    <row r="53006" spans="7:7">
      <c r="G53006" s="812"/>
    </row>
    <row r="53007" spans="7:7">
      <c r="G53007" s="812"/>
    </row>
    <row r="53008" spans="7:7">
      <c r="G53008" s="812"/>
    </row>
    <row r="53009" spans="7:7">
      <c r="G53009" s="812"/>
    </row>
    <row r="53010" spans="7:7">
      <c r="G53010" s="812"/>
    </row>
    <row r="53011" spans="7:7">
      <c r="G53011" s="812"/>
    </row>
    <row r="53012" spans="7:7">
      <c r="G53012" s="812"/>
    </row>
    <row r="53013" spans="7:7">
      <c r="G53013" s="812"/>
    </row>
    <row r="53014" spans="7:7">
      <c r="G53014" s="812"/>
    </row>
    <row r="53015" spans="7:7">
      <c r="G53015" s="812"/>
    </row>
    <row r="53016" spans="7:7">
      <c r="G53016" s="812"/>
    </row>
    <row r="53017" spans="7:7">
      <c r="G53017" s="812"/>
    </row>
    <row r="53018" spans="7:7">
      <c r="G53018" s="812"/>
    </row>
    <row r="53019" spans="7:7">
      <c r="G53019" s="812"/>
    </row>
    <row r="53020" spans="7:7">
      <c r="G53020" s="812"/>
    </row>
    <row r="53021" spans="7:7">
      <c r="G53021" s="812"/>
    </row>
    <row r="53022" spans="7:7">
      <c r="G53022" s="812"/>
    </row>
    <row r="53023" spans="7:7">
      <c r="G53023" s="812"/>
    </row>
    <row r="53024" spans="7:7">
      <c r="G53024" s="812"/>
    </row>
    <row r="53025" spans="7:7">
      <c r="G53025" s="812"/>
    </row>
    <row r="53026" spans="7:7">
      <c r="G53026" s="812"/>
    </row>
    <row r="53027" spans="7:7">
      <c r="G53027" s="812"/>
    </row>
    <row r="53028" spans="7:7">
      <c r="G53028" s="812"/>
    </row>
    <row r="53029" spans="7:7">
      <c r="G53029" s="812"/>
    </row>
    <row r="53030" spans="7:7">
      <c r="G53030" s="812"/>
    </row>
    <row r="53031" spans="7:7">
      <c r="G53031" s="812"/>
    </row>
    <row r="53032" spans="7:7">
      <c r="G53032" s="812"/>
    </row>
    <row r="53033" spans="7:7">
      <c r="G53033" s="812"/>
    </row>
    <row r="53034" spans="7:7">
      <c r="G53034" s="812"/>
    </row>
    <row r="53035" spans="7:7">
      <c r="G53035" s="812"/>
    </row>
    <row r="53036" spans="7:7">
      <c r="G53036" s="812"/>
    </row>
    <row r="53037" spans="7:7">
      <c r="G53037" s="812"/>
    </row>
    <row r="53038" spans="7:7">
      <c r="G53038" s="812"/>
    </row>
    <row r="53039" spans="7:7">
      <c r="G53039" s="812"/>
    </row>
    <row r="53040" spans="7:7">
      <c r="G53040" s="812"/>
    </row>
    <row r="53041" spans="7:7">
      <c r="G53041" s="812"/>
    </row>
    <row r="53042" spans="7:7">
      <c r="G53042" s="812"/>
    </row>
    <row r="53043" spans="7:7">
      <c r="G53043" s="812"/>
    </row>
    <row r="53044" spans="7:7">
      <c r="G53044" s="812"/>
    </row>
    <row r="53045" spans="7:7">
      <c r="G53045" s="812"/>
    </row>
    <row r="53046" spans="7:7">
      <c r="G53046" s="812"/>
    </row>
    <row r="53047" spans="7:7">
      <c r="G53047" s="812"/>
    </row>
    <row r="53048" spans="7:7">
      <c r="G53048" s="812"/>
    </row>
    <row r="53049" spans="7:7">
      <c r="G53049" s="812"/>
    </row>
    <row r="53050" spans="7:7">
      <c r="G53050" s="812"/>
    </row>
    <row r="53051" spans="7:7">
      <c r="G53051" s="812"/>
    </row>
    <row r="53052" spans="7:7">
      <c r="G53052" s="812"/>
    </row>
    <row r="53053" spans="7:7">
      <c r="G53053" s="812"/>
    </row>
    <row r="53054" spans="7:7">
      <c r="G53054" s="812"/>
    </row>
    <row r="53055" spans="7:7">
      <c r="G53055" s="812"/>
    </row>
    <row r="53056" spans="7:7">
      <c r="G53056" s="812"/>
    </row>
    <row r="53057" spans="7:7">
      <c r="G53057" s="812"/>
    </row>
    <row r="53058" spans="7:7">
      <c r="G53058" s="812"/>
    </row>
    <row r="53059" spans="7:7">
      <c r="G53059" s="812"/>
    </row>
    <row r="53060" spans="7:7">
      <c r="G53060" s="812"/>
    </row>
    <row r="53061" spans="7:7">
      <c r="G53061" s="812"/>
    </row>
    <row r="53062" spans="7:7">
      <c r="G53062" s="812"/>
    </row>
    <row r="53063" spans="7:7">
      <c r="G53063" s="812"/>
    </row>
    <row r="53064" spans="7:7">
      <c r="G53064" s="812"/>
    </row>
    <row r="53065" spans="7:7">
      <c r="G53065" s="812"/>
    </row>
    <row r="53066" spans="7:7">
      <c r="G53066" s="812"/>
    </row>
    <row r="53067" spans="7:7">
      <c r="G53067" s="812"/>
    </row>
    <row r="53068" spans="7:7">
      <c r="G53068" s="812"/>
    </row>
    <row r="53069" spans="7:7">
      <c r="G53069" s="812"/>
    </row>
    <row r="53070" spans="7:7">
      <c r="G53070" s="812"/>
    </row>
    <row r="53071" spans="7:7">
      <c r="G53071" s="812"/>
    </row>
    <row r="53072" spans="7:7">
      <c r="G53072" s="812"/>
    </row>
    <row r="53073" spans="7:7">
      <c r="G53073" s="812"/>
    </row>
    <row r="53074" spans="7:7">
      <c r="G53074" s="812"/>
    </row>
    <row r="53075" spans="7:7">
      <c r="G53075" s="812"/>
    </row>
    <row r="53076" spans="7:7">
      <c r="G53076" s="812"/>
    </row>
    <row r="53077" spans="7:7">
      <c r="G53077" s="812"/>
    </row>
    <row r="53078" spans="7:7">
      <c r="G53078" s="812"/>
    </row>
    <row r="53079" spans="7:7">
      <c r="G53079" s="812"/>
    </row>
    <row r="53080" spans="7:7">
      <c r="G53080" s="812"/>
    </row>
    <row r="53081" spans="7:7">
      <c r="G53081" s="812"/>
    </row>
    <row r="53082" spans="7:7">
      <c r="G53082" s="812"/>
    </row>
    <row r="53083" spans="7:7">
      <c r="G53083" s="812"/>
    </row>
    <row r="53084" spans="7:7">
      <c r="G53084" s="812"/>
    </row>
    <row r="53085" spans="7:7">
      <c r="G53085" s="812"/>
    </row>
    <row r="53086" spans="7:7">
      <c r="G53086" s="812"/>
    </row>
    <row r="53087" spans="7:7">
      <c r="G53087" s="812"/>
    </row>
    <row r="53088" spans="7:7">
      <c r="G53088" s="812"/>
    </row>
    <row r="53089" spans="7:7">
      <c r="G53089" s="812"/>
    </row>
    <row r="53090" spans="7:7">
      <c r="G53090" s="812"/>
    </row>
    <row r="53091" spans="7:7">
      <c r="G53091" s="812"/>
    </row>
    <row r="53092" spans="7:7">
      <c r="G53092" s="812"/>
    </row>
    <row r="53093" spans="7:7">
      <c r="G53093" s="812"/>
    </row>
    <row r="53094" spans="7:7">
      <c r="G53094" s="812"/>
    </row>
    <row r="53095" spans="7:7">
      <c r="G53095" s="812"/>
    </row>
    <row r="53096" spans="7:7">
      <c r="G53096" s="812"/>
    </row>
    <row r="53097" spans="7:7">
      <c r="G53097" s="812"/>
    </row>
    <row r="53098" spans="7:7">
      <c r="G53098" s="812"/>
    </row>
    <row r="53099" spans="7:7">
      <c r="G53099" s="812"/>
    </row>
    <row r="53100" spans="7:7">
      <c r="G53100" s="812"/>
    </row>
    <row r="53101" spans="7:7">
      <c r="G53101" s="812"/>
    </row>
    <row r="53102" spans="7:7">
      <c r="G53102" s="812"/>
    </row>
    <row r="53103" spans="7:7">
      <c r="G53103" s="812"/>
    </row>
    <row r="53104" spans="7:7">
      <c r="G53104" s="812"/>
    </row>
    <row r="53105" spans="7:7">
      <c r="G53105" s="812"/>
    </row>
    <row r="53106" spans="7:7">
      <c r="G53106" s="812"/>
    </row>
    <row r="53107" spans="7:7">
      <c r="G53107" s="812"/>
    </row>
    <row r="53108" spans="7:7">
      <c r="G53108" s="812"/>
    </row>
    <row r="53109" spans="7:7">
      <c r="G53109" s="812"/>
    </row>
    <row r="53110" spans="7:7">
      <c r="G53110" s="812"/>
    </row>
    <row r="53111" spans="7:7">
      <c r="G53111" s="812"/>
    </row>
    <row r="53112" spans="7:7">
      <c r="G53112" s="812"/>
    </row>
    <row r="53113" spans="7:7">
      <c r="G53113" s="812"/>
    </row>
    <row r="53114" spans="7:7">
      <c r="G53114" s="812"/>
    </row>
    <row r="53115" spans="7:7">
      <c r="G53115" s="812"/>
    </row>
    <row r="53116" spans="7:7">
      <c r="G53116" s="812"/>
    </row>
    <row r="53117" spans="7:7">
      <c r="G53117" s="812"/>
    </row>
    <row r="53118" spans="7:7">
      <c r="G53118" s="812"/>
    </row>
    <row r="53119" spans="7:7">
      <c r="G53119" s="812"/>
    </row>
    <row r="53120" spans="7:7">
      <c r="G53120" s="812"/>
    </row>
    <row r="53121" spans="7:7">
      <c r="G53121" s="812"/>
    </row>
    <row r="53122" spans="7:7">
      <c r="G53122" s="812"/>
    </row>
    <row r="53123" spans="7:7">
      <c r="G53123" s="812"/>
    </row>
    <row r="53124" spans="7:7">
      <c r="G53124" s="812"/>
    </row>
    <row r="53125" spans="7:7">
      <c r="G53125" s="812"/>
    </row>
    <row r="53126" spans="7:7">
      <c r="G53126" s="812"/>
    </row>
    <row r="53127" spans="7:7">
      <c r="G53127" s="812"/>
    </row>
    <row r="53128" spans="7:7">
      <c r="G53128" s="812"/>
    </row>
    <row r="53129" spans="7:7">
      <c r="G53129" s="812"/>
    </row>
    <row r="53130" spans="7:7">
      <c r="G53130" s="812"/>
    </row>
    <row r="53131" spans="7:7">
      <c r="G53131" s="812"/>
    </row>
    <row r="53132" spans="7:7">
      <c r="G53132" s="812"/>
    </row>
    <row r="53133" spans="7:7">
      <c r="G53133" s="812"/>
    </row>
    <row r="53134" spans="7:7">
      <c r="G53134" s="812"/>
    </row>
    <row r="53135" spans="7:7">
      <c r="G53135" s="812"/>
    </row>
    <row r="53136" spans="7:7">
      <c r="G53136" s="812"/>
    </row>
    <row r="53137" spans="7:7">
      <c r="G53137" s="812"/>
    </row>
    <row r="53138" spans="7:7">
      <c r="G53138" s="812"/>
    </row>
    <row r="53139" spans="7:7">
      <c r="G53139" s="812"/>
    </row>
    <row r="53140" spans="7:7">
      <c r="G53140" s="812"/>
    </row>
    <row r="53141" spans="7:7">
      <c r="G53141" s="812"/>
    </row>
    <row r="53142" spans="7:7">
      <c r="G53142" s="812"/>
    </row>
    <row r="53143" spans="7:7">
      <c r="G53143" s="812"/>
    </row>
    <row r="53144" spans="7:7">
      <c r="G53144" s="812"/>
    </row>
    <row r="53145" spans="7:7">
      <c r="G53145" s="812"/>
    </row>
    <row r="53146" spans="7:7">
      <c r="G53146" s="812"/>
    </row>
    <row r="53147" spans="7:7">
      <c r="G53147" s="812"/>
    </row>
    <row r="53148" spans="7:7">
      <c r="G53148" s="812"/>
    </row>
    <row r="53149" spans="7:7">
      <c r="G53149" s="812"/>
    </row>
    <row r="53150" spans="7:7">
      <c r="G53150" s="812"/>
    </row>
    <row r="53151" spans="7:7">
      <c r="G53151" s="812"/>
    </row>
    <row r="53152" spans="7:7">
      <c r="G53152" s="812"/>
    </row>
    <row r="53153" spans="7:7">
      <c r="G53153" s="812"/>
    </row>
    <row r="53154" spans="7:7">
      <c r="G53154" s="812"/>
    </row>
    <row r="53155" spans="7:7">
      <c r="G53155" s="812"/>
    </row>
    <row r="53156" spans="7:7">
      <c r="G53156" s="812"/>
    </row>
    <row r="53157" spans="7:7">
      <c r="G53157" s="812"/>
    </row>
    <row r="53158" spans="7:7">
      <c r="G53158" s="812"/>
    </row>
    <row r="53159" spans="7:7">
      <c r="G53159" s="812"/>
    </row>
    <row r="53160" spans="7:7">
      <c r="G53160" s="812"/>
    </row>
    <row r="53161" spans="7:7">
      <c r="G53161" s="812"/>
    </row>
    <row r="53162" spans="7:7">
      <c r="G53162" s="812"/>
    </row>
    <row r="53163" spans="7:7">
      <c r="G53163" s="812"/>
    </row>
    <row r="53164" spans="7:7">
      <c r="G53164" s="812"/>
    </row>
    <row r="53165" spans="7:7">
      <c r="G53165" s="812"/>
    </row>
    <row r="53166" spans="7:7">
      <c r="G53166" s="812"/>
    </row>
    <row r="53167" spans="7:7">
      <c r="G53167" s="812"/>
    </row>
    <row r="53168" spans="7:7">
      <c r="G53168" s="812"/>
    </row>
    <row r="53169" spans="7:7">
      <c r="G53169" s="812"/>
    </row>
    <row r="53170" spans="7:7">
      <c r="G53170" s="812"/>
    </row>
    <row r="53171" spans="7:7">
      <c r="G53171" s="812"/>
    </row>
    <row r="53172" spans="7:7">
      <c r="G53172" s="812"/>
    </row>
    <row r="53173" spans="7:7">
      <c r="G53173" s="812"/>
    </row>
    <row r="53174" spans="7:7">
      <c r="G53174" s="812"/>
    </row>
    <row r="53175" spans="7:7">
      <c r="G53175" s="812"/>
    </row>
    <row r="53176" spans="7:7">
      <c r="G53176" s="812"/>
    </row>
    <row r="53177" spans="7:7">
      <c r="G53177" s="812"/>
    </row>
    <row r="53178" spans="7:7">
      <c r="G53178" s="812"/>
    </row>
    <row r="53179" spans="7:7">
      <c r="G53179" s="812"/>
    </row>
    <row r="53180" spans="7:7">
      <c r="G53180" s="812"/>
    </row>
    <row r="53181" spans="7:7">
      <c r="G53181" s="812"/>
    </row>
    <row r="53182" spans="7:7">
      <c r="G53182" s="812"/>
    </row>
    <row r="53183" spans="7:7">
      <c r="G53183" s="812"/>
    </row>
    <row r="53184" spans="7:7">
      <c r="G53184" s="812"/>
    </row>
    <row r="53185" spans="7:7">
      <c r="G53185" s="812"/>
    </row>
    <row r="53186" spans="7:7">
      <c r="G53186" s="812"/>
    </row>
    <row r="53187" spans="7:7">
      <c r="G53187" s="812"/>
    </row>
    <row r="53188" spans="7:7">
      <c r="G53188" s="812"/>
    </row>
    <row r="53189" spans="7:7">
      <c r="G53189" s="812"/>
    </row>
    <row r="53190" spans="7:7">
      <c r="G53190" s="812"/>
    </row>
    <row r="53191" spans="7:7">
      <c r="G53191" s="812"/>
    </row>
    <row r="53192" spans="7:7">
      <c r="G53192" s="812"/>
    </row>
    <row r="53193" spans="7:7">
      <c r="G53193" s="812"/>
    </row>
    <row r="53194" spans="7:7">
      <c r="G53194" s="812"/>
    </row>
    <row r="53195" spans="7:7">
      <c r="G53195" s="812"/>
    </row>
    <row r="53196" spans="7:7">
      <c r="G53196" s="812"/>
    </row>
    <row r="53197" spans="7:7">
      <c r="G53197" s="812"/>
    </row>
    <row r="53198" spans="7:7">
      <c r="G53198" s="812"/>
    </row>
    <row r="53199" spans="7:7">
      <c r="G53199" s="812"/>
    </row>
    <row r="53200" spans="7:7">
      <c r="G53200" s="812"/>
    </row>
    <row r="53201" spans="7:7">
      <c r="G53201" s="812"/>
    </row>
    <row r="53202" spans="7:7">
      <c r="G53202" s="812"/>
    </row>
    <row r="53203" spans="7:7">
      <c r="G53203" s="812"/>
    </row>
    <row r="53204" spans="7:7">
      <c r="G53204" s="812"/>
    </row>
    <row r="53205" spans="7:7">
      <c r="G53205" s="812"/>
    </row>
    <row r="53206" spans="7:7">
      <c r="G53206" s="812"/>
    </row>
    <row r="53207" spans="7:7">
      <c r="G53207" s="812"/>
    </row>
    <row r="53208" spans="7:7">
      <c r="G53208" s="812"/>
    </row>
    <row r="53209" spans="7:7">
      <c r="G53209" s="812"/>
    </row>
    <row r="53210" spans="7:7">
      <c r="G53210" s="812"/>
    </row>
    <row r="53211" spans="7:7">
      <c r="G53211" s="812"/>
    </row>
    <row r="53212" spans="7:7">
      <c r="G53212" s="812"/>
    </row>
    <row r="53213" spans="7:7">
      <c r="G53213" s="812"/>
    </row>
    <row r="53214" spans="7:7">
      <c r="G53214" s="812"/>
    </row>
    <row r="53215" spans="7:7">
      <c r="G53215" s="812"/>
    </row>
    <row r="53216" spans="7:7">
      <c r="G53216" s="812"/>
    </row>
    <row r="53217" spans="7:7">
      <c r="G53217" s="812"/>
    </row>
    <row r="53218" spans="7:7">
      <c r="G53218" s="812"/>
    </row>
    <row r="53219" spans="7:7">
      <c r="G53219" s="812"/>
    </row>
    <row r="53220" spans="7:7">
      <c r="G53220" s="812"/>
    </row>
    <row r="53221" spans="7:7">
      <c r="G53221" s="812"/>
    </row>
    <row r="53222" spans="7:7">
      <c r="G53222" s="812"/>
    </row>
    <row r="53223" spans="7:7">
      <c r="G53223" s="812"/>
    </row>
    <row r="53224" spans="7:7">
      <c r="G53224" s="812"/>
    </row>
    <row r="53225" spans="7:7">
      <c r="G53225" s="812"/>
    </row>
    <row r="53226" spans="7:7">
      <c r="G53226" s="812"/>
    </row>
    <row r="53227" spans="7:7">
      <c r="G53227" s="812"/>
    </row>
    <row r="53228" spans="7:7">
      <c r="G53228" s="812"/>
    </row>
    <row r="53229" spans="7:7">
      <c r="G53229" s="812"/>
    </row>
    <row r="53230" spans="7:7">
      <c r="G53230" s="812"/>
    </row>
    <row r="53231" spans="7:7">
      <c r="G53231" s="812"/>
    </row>
    <row r="53232" spans="7:7">
      <c r="G53232" s="812"/>
    </row>
    <row r="53233" spans="7:7">
      <c r="G53233" s="812"/>
    </row>
    <row r="53234" spans="7:7">
      <c r="G53234" s="812"/>
    </row>
    <row r="53235" spans="7:7">
      <c r="G53235" s="812"/>
    </row>
    <row r="53236" spans="7:7">
      <c r="G53236" s="812"/>
    </row>
    <row r="53237" spans="7:7">
      <c r="G53237" s="812"/>
    </row>
    <row r="53238" spans="7:7">
      <c r="G53238" s="812"/>
    </row>
    <row r="53239" spans="7:7">
      <c r="G53239" s="812"/>
    </row>
    <row r="53240" spans="7:7">
      <c r="G53240" s="812"/>
    </row>
    <row r="53241" spans="7:7">
      <c r="G53241" s="812"/>
    </row>
    <row r="53242" spans="7:7">
      <c r="G53242" s="812"/>
    </row>
    <row r="53243" spans="7:7">
      <c r="G53243" s="812"/>
    </row>
    <row r="53244" spans="7:7">
      <c r="G53244" s="812"/>
    </row>
    <row r="53245" spans="7:7">
      <c r="G53245" s="812"/>
    </row>
    <row r="53246" spans="7:7">
      <c r="G53246" s="812"/>
    </row>
    <row r="53247" spans="7:7">
      <c r="G53247" s="812"/>
    </row>
    <row r="53248" spans="7:7">
      <c r="G53248" s="812"/>
    </row>
    <row r="53249" spans="7:7">
      <c r="G53249" s="812"/>
    </row>
    <row r="53250" spans="7:7">
      <c r="G53250" s="812"/>
    </row>
    <row r="53251" spans="7:7">
      <c r="G53251" s="812"/>
    </row>
    <row r="53252" spans="7:7">
      <c r="G53252" s="812"/>
    </row>
    <row r="53253" spans="7:7">
      <c r="G53253" s="812"/>
    </row>
    <row r="53254" spans="7:7">
      <c r="G53254" s="812"/>
    </row>
    <row r="53255" spans="7:7">
      <c r="G53255" s="812"/>
    </row>
    <row r="53256" spans="7:7">
      <c r="G53256" s="812"/>
    </row>
    <row r="53257" spans="7:7">
      <c r="G53257" s="812"/>
    </row>
    <row r="53258" spans="7:7">
      <c r="G53258" s="812"/>
    </row>
    <row r="53259" spans="7:7">
      <c r="G53259" s="812"/>
    </row>
    <row r="53260" spans="7:7">
      <c r="G53260" s="812"/>
    </row>
    <row r="53261" spans="7:7">
      <c r="G53261" s="812"/>
    </row>
    <row r="53262" spans="7:7">
      <c r="G53262" s="812"/>
    </row>
    <row r="53263" spans="7:7">
      <c r="G53263" s="812"/>
    </row>
    <row r="53264" spans="7:7">
      <c r="G53264" s="812"/>
    </row>
    <row r="53265" spans="7:7">
      <c r="G53265" s="812"/>
    </row>
    <row r="53266" spans="7:7">
      <c r="G53266" s="812"/>
    </row>
    <row r="53267" spans="7:7">
      <c r="G53267" s="812"/>
    </row>
    <row r="53268" spans="7:7">
      <c r="G53268" s="812"/>
    </row>
    <row r="53269" spans="7:7">
      <c r="G53269" s="812"/>
    </row>
    <row r="53270" spans="7:7">
      <c r="G53270" s="812"/>
    </row>
    <row r="53271" spans="7:7">
      <c r="G53271" s="812"/>
    </row>
    <row r="53272" spans="7:7">
      <c r="G53272" s="812"/>
    </row>
    <row r="53273" spans="7:7">
      <c r="G53273" s="812"/>
    </row>
    <row r="53274" spans="7:7">
      <c r="G53274" s="812"/>
    </row>
    <row r="53275" spans="7:7">
      <c r="G53275" s="812"/>
    </row>
    <row r="53276" spans="7:7">
      <c r="G53276" s="812"/>
    </row>
    <row r="53277" spans="7:7">
      <c r="G53277" s="812"/>
    </row>
    <row r="53278" spans="7:7">
      <c r="G53278" s="812"/>
    </row>
    <row r="53279" spans="7:7">
      <c r="G53279" s="812"/>
    </row>
    <row r="53280" spans="7:7">
      <c r="G53280" s="812"/>
    </row>
    <row r="53281" spans="7:7">
      <c r="G53281" s="812"/>
    </row>
    <row r="53282" spans="7:7">
      <c r="G53282" s="812"/>
    </row>
    <row r="53283" spans="7:7">
      <c r="G53283" s="812"/>
    </row>
    <row r="53284" spans="7:7">
      <c r="G53284" s="812"/>
    </row>
    <row r="53285" spans="7:7">
      <c r="G53285" s="812"/>
    </row>
    <row r="53286" spans="7:7">
      <c r="G53286" s="812"/>
    </row>
    <row r="53287" spans="7:7">
      <c r="G53287" s="812"/>
    </row>
    <row r="53288" spans="7:7">
      <c r="G53288" s="812"/>
    </row>
    <row r="53289" spans="7:7">
      <c r="G53289" s="812"/>
    </row>
    <row r="53290" spans="7:7">
      <c r="G53290" s="812"/>
    </row>
    <row r="53291" spans="7:7">
      <c r="G53291" s="812"/>
    </row>
    <row r="53292" spans="7:7">
      <c r="G53292" s="812"/>
    </row>
    <row r="53293" spans="7:7">
      <c r="G53293" s="812"/>
    </row>
    <row r="53294" spans="7:7">
      <c r="G53294" s="812"/>
    </row>
    <row r="53295" spans="7:7">
      <c r="G53295" s="812"/>
    </row>
    <row r="53296" spans="7:7">
      <c r="G53296" s="812"/>
    </row>
    <row r="53297" spans="7:7">
      <c r="G53297" s="812"/>
    </row>
    <row r="53298" spans="7:7">
      <c r="G53298" s="812"/>
    </row>
    <row r="53299" spans="7:7">
      <c r="G53299" s="812"/>
    </row>
    <row r="53300" spans="7:7">
      <c r="G53300" s="812"/>
    </row>
    <row r="53301" spans="7:7">
      <c r="G53301" s="812"/>
    </row>
    <row r="53302" spans="7:7">
      <c r="G53302" s="812"/>
    </row>
    <row r="53303" spans="7:7">
      <c r="G53303" s="812"/>
    </row>
    <row r="53304" spans="7:7">
      <c r="G53304" s="812"/>
    </row>
    <row r="53305" spans="7:7">
      <c r="G53305" s="812"/>
    </row>
    <row r="53306" spans="7:7">
      <c r="G53306" s="812"/>
    </row>
    <row r="53307" spans="7:7">
      <c r="G53307" s="812"/>
    </row>
    <row r="53308" spans="7:7">
      <c r="G53308" s="812"/>
    </row>
    <row r="53309" spans="7:7">
      <c r="G53309" s="812"/>
    </row>
    <row r="53310" spans="7:7">
      <c r="G53310" s="812"/>
    </row>
    <row r="53311" spans="7:7">
      <c r="G53311" s="812"/>
    </row>
    <row r="53312" spans="7:7">
      <c r="G53312" s="812"/>
    </row>
    <row r="53313" spans="7:7">
      <c r="G53313" s="812"/>
    </row>
    <row r="53314" spans="7:7">
      <c r="G53314" s="812"/>
    </row>
    <row r="53315" spans="7:7">
      <c r="G53315" s="812"/>
    </row>
    <row r="53316" spans="7:7">
      <c r="G53316" s="812"/>
    </row>
    <row r="53317" spans="7:7">
      <c r="G53317" s="812"/>
    </row>
    <row r="53318" spans="7:7">
      <c r="G53318" s="812"/>
    </row>
    <row r="53319" spans="7:7">
      <c r="G53319" s="812"/>
    </row>
    <row r="53320" spans="7:7">
      <c r="G53320" s="812"/>
    </row>
    <row r="53321" spans="7:7">
      <c r="G53321" s="812"/>
    </row>
    <row r="53322" spans="7:7">
      <c r="G53322" s="812"/>
    </row>
    <row r="53323" spans="7:7">
      <c r="G53323" s="812"/>
    </row>
    <row r="53324" spans="7:7">
      <c r="G53324" s="812"/>
    </row>
    <row r="53325" spans="7:7">
      <c r="G53325" s="812"/>
    </row>
    <row r="53326" spans="7:7">
      <c r="G53326" s="812"/>
    </row>
    <row r="53327" spans="7:7">
      <c r="G53327" s="812"/>
    </row>
    <row r="53328" spans="7:7">
      <c r="G53328" s="812"/>
    </row>
    <row r="53329" spans="7:7">
      <c r="G53329" s="812"/>
    </row>
    <row r="53330" spans="7:7">
      <c r="G53330" s="812"/>
    </row>
    <row r="53331" spans="7:7">
      <c r="G53331" s="812"/>
    </row>
    <row r="53332" spans="7:7">
      <c r="G53332" s="812"/>
    </row>
    <row r="53333" spans="7:7">
      <c r="G53333" s="812"/>
    </row>
    <row r="53334" spans="7:7">
      <c r="G53334" s="812"/>
    </row>
    <row r="53335" spans="7:7">
      <c r="G53335" s="812"/>
    </row>
    <row r="53336" spans="7:7">
      <c r="G53336" s="812"/>
    </row>
    <row r="53337" spans="7:7">
      <c r="G53337" s="812"/>
    </row>
    <row r="53338" spans="7:7">
      <c r="G53338" s="812"/>
    </row>
    <row r="53339" spans="7:7">
      <c r="G53339" s="812"/>
    </row>
    <row r="53340" spans="7:7">
      <c r="G53340" s="812"/>
    </row>
    <row r="53341" spans="7:7">
      <c r="G53341" s="812"/>
    </row>
    <row r="53342" spans="7:7">
      <c r="G53342" s="812"/>
    </row>
    <row r="53343" spans="7:7">
      <c r="G53343" s="812"/>
    </row>
    <row r="53344" spans="7:7">
      <c r="G53344" s="812"/>
    </row>
    <row r="53345" spans="7:7">
      <c r="G53345" s="812"/>
    </row>
    <row r="53346" spans="7:7">
      <c r="G53346" s="812"/>
    </row>
    <row r="53347" spans="7:7">
      <c r="G53347" s="812"/>
    </row>
    <row r="53348" spans="7:7">
      <c r="G53348" s="812"/>
    </row>
    <row r="53349" spans="7:7">
      <c r="G53349" s="812"/>
    </row>
    <row r="53350" spans="7:7">
      <c r="G53350" s="812"/>
    </row>
    <row r="53351" spans="7:7">
      <c r="G53351" s="812"/>
    </row>
    <row r="53352" spans="7:7">
      <c r="G53352" s="812"/>
    </row>
    <row r="53353" spans="7:7">
      <c r="G53353" s="812"/>
    </row>
    <row r="53354" spans="7:7">
      <c r="G53354" s="812"/>
    </row>
    <row r="53355" spans="7:7">
      <c r="G53355" s="812"/>
    </row>
    <row r="53356" spans="7:7">
      <c r="G53356" s="812"/>
    </row>
    <row r="53357" spans="7:7">
      <c r="G53357" s="812"/>
    </row>
    <row r="53358" spans="7:7">
      <c r="G53358" s="812"/>
    </row>
    <row r="53359" spans="7:7">
      <c r="G53359" s="812"/>
    </row>
    <row r="53360" spans="7:7">
      <c r="G53360" s="812"/>
    </row>
    <row r="53361" spans="7:7">
      <c r="G53361" s="812"/>
    </row>
    <row r="53362" spans="7:7">
      <c r="G53362" s="812"/>
    </row>
    <row r="53363" spans="7:7">
      <c r="G53363" s="812"/>
    </row>
    <row r="53364" spans="7:7">
      <c r="G53364" s="812"/>
    </row>
    <row r="53365" spans="7:7">
      <c r="G53365" s="812"/>
    </row>
    <row r="53366" spans="7:7">
      <c r="G53366" s="812"/>
    </row>
    <row r="53367" spans="7:7">
      <c r="G53367" s="812"/>
    </row>
    <row r="53368" spans="7:7">
      <c r="G53368" s="812"/>
    </row>
    <row r="53369" spans="7:7">
      <c r="G53369" s="812"/>
    </row>
    <row r="53370" spans="7:7">
      <c r="G53370" s="812"/>
    </row>
    <row r="53371" spans="7:7">
      <c r="G53371" s="812"/>
    </row>
    <row r="53372" spans="7:7">
      <c r="G53372" s="812"/>
    </row>
    <row r="53373" spans="7:7">
      <c r="G53373" s="812"/>
    </row>
    <row r="53374" spans="7:7">
      <c r="G53374" s="812"/>
    </row>
    <row r="53375" spans="7:7">
      <c r="G53375" s="812"/>
    </row>
    <row r="53376" spans="7:7">
      <c r="G53376" s="812"/>
    </row>
    <row r="53377" spans="7:7">
      <c r="G53377" s="812"/>
    </row>
    <row r="53378" spans="7:7">
      <c r="G53378" s="812"/>
    </row>
    <row r="53379" spans="7:7">
      <c r="G53379" s="812"/>
    </row>
    <row r="53380" spans="7:7">
      <c r="G53380" s="812"/>
    </row>
    <row r="53381" spans="7:7">
      <c r="G53381" s="812"/>
    </row>
    <row r="53382" spans="7:7">
      <c r="G53382" s="812"/>
    </row>
    <row r="53383" spans="7:7">
      <c r="G53383" s="812"/>
    </row>
    <row r="53384" spans="7:7">
      <c r="G53384" s="812"/>
    </row>
    <row r="53385" spans="7:7">
      <c r="G53385" s="812"/>
    </row>
    <row r="53386" spans="7:7">
      <c r="G53386" s="812"/>
    </row>
    <row r="53387" spans="7:7">
      <c r="G53387" s="812"/>
    </row>
    <row r="53388" spans="7:7">
      <c r="G53388" s="812"/>
    </row>
    <row r="53389" spans="7:7">
      <c r="G53389" s="812"/>
    </row>
    <row r="53390" spans="7:7">
      <c r="G53390" s="812"/>
    </row>
    <row r="53391" spans="7:7">
      <c r="G53391" s="812"/>
    </row>
    <row r="53392" spans="7:7">
      <c r="G53392" s="812"/>
    </row>
    <row r="53393" spans="7:7">
      <c r="G53393" s="812"/>
    </row>
    <row r="53394" spans="7:7">
      <c r="G53394" s="812"/>
    </row>
    <row r="53395" spans="7:7">
      <c r="G53395" s="812"/>
    </row>
    <row r="53396" spans="7:7">
      <c r="G53396" s="812"/>
    </row>
    <row r="53397" spans="7:7">
      <c r="G53397" s="812"/>
    </row>
    <row r="53398" spans="7:7">
      <c r="G53398" s="812"/>
    </row>
    <row r="53399" spans="7:7">
      <c r="G53399" s="812"/>
    </row>
    <row r="53400" spans="7:7">
      <c r="G53400" s="812"/>
    </row>
    <row r="53401" spans="7:7">
      <c r="G53401" s="812"/>
    </row>
    <row r="53402" spans="7:7">
      <c r="G53402" s="812"/>
    </row>
    <row r="53403" spans="7:7">
      <c r="G53403" s="812"/>
    </row>
    <row r="53404" spans="7:7">
      <c r="G53404" s="812"/>
    </row>
    <row r="53405" spans="7:7">
      <c r="G53405" s="812"/>
    </row>
    <row r="53406" spans="7:7">
      <c r="G53406" s="812"/>
    </row>
    <row r="53407" spans="7:7">
      <c r="G53407" s="812"/>
    </row>
    <row r="53408" spans="7:7">
      <c r="G53408" s="812"/>
    </row>
    <row r="53409" spans="7:7">
      <c r="G53409" s="812"/>
    </row>
    <row r="53410" spans="7:7">
      <c r="G53410" s="812"/>
    </row>
    <row r="53411" spans="7:7">
      <c r="G53411" s="812"/>
    </row>
    <row r="53412" spans="7:7">
      <c r="G53412" s="812"/>
    </row>
    <row r="53413" spans="7:7">
      <c r="G53413" s="812"/>
    </row>
    <row r="53414" spans="7:7">
      <c r="G53414" s="812"/>
    </row>
    <row r="53415" spans="7:7">
      <c r="G53415" s="812"/>
    </row>
    <row r="53416" spans="7:7">
      <c r="G53416" s="812"/>
    </row>
    <row r="53417" spans="7:7">
      <c r="G53417" s="812"/>
    </row>
    <row r="53418" spans="7:7">
      <c r="G53418" s="812"/>
    </row>
    <row r="53419" spans="7:7">
      <c r="G53419" s="812"/>
    </row>
    <row r="53420" spans="7:7">
      <c r="G53420" s="812"/>
    </row>
    <row r="53421" spans="7:7">
      <c r="G53421" s="812"/>
    </row>
    <row r="53422" spans="7:7">
      <c r="G53422" s="812"/>
    </row>
    <row r="53423" spans="7:7">
      <c r="G53423" s="812"/>
    </row>
    <row r="53424" spans="7:7">
      <c r="G53424" s="812"/>
    </row>
    <row r="53425" spans="7:7">
      <c r="G53425" s="812"/>
    </row>
    <row r="53426" spans="7:7">
      <c r="G53426" s="812"/>
    </row>
    <row r="53427" spans="7:7">
      <c r="G53427" s="812"/>
    </row>
    <row r="53428" spans="7:7">
      <c r="G53428" s="812"/>
    </row>
    <row r="53429" spans="7:7">
      <c r="G53429" s="812"/>
    </row>
    <row r="53430" spans="7:7">
      <c r="G53430" s="812"/>
    </row>
    <row r="53431" spans="7:7">
      <c r="G53431" s="812"/>
    </row>
    <row r="53432" spans="7:7">
      <c r="G53432" s="812"/>
    </row>
    <row r="53433" spans="7:7">
      <c r="G53433" s="812"/>
    </row>
    <row r="53434" spans="7:7">
      <c r="G53434" s="812"/>
    </row>
    <row r="53435" spans="7:7">
      <c r="G53435" s="812"/>
    </row>
    <row r="53436" spans="7:7">
      <c r="G53436" s="812"/>
    </row>
    <row r="53437" spans="7:7">
      <c r="G53437" s="812"/>
    </row>
    <row r="53438" spans="7:7">
      <c r="G53438" s="812"/>
    </row>
    <row r="53439" spans="7:7">
      <c r="G53439" s="812"/>
    </row>
    <row r="53440" spans="7:7">
      <c r="G53440" s="812"/>
    </row>
    <row r="53441" spans="7:7">
      <c r="G53441" s="812"/>
    </row>
    <row r="53442" spans="7:7">
      <c r="G53442" s="812"/>
    </row>
    <row r="53443" spans="7:7">
      <c r="G53443" s="812"/>
    </row>
    <row r="53444" spans="7:7">
      <c r="G53444" s="812"/>
    </row>
    <row r="53445" spans="7:7">
      <c r="G53445" s="812"/>
    </row>
    <row r="53446" spans="7:7">
      <c r="G53446" s="812"/>
    </row>
    <row r="53447" spans="7:7">
      <c r="G53447" s="812"/>
    </row>
    <row r="53448" spans="7:7">
      <c r="G53448" s="812"/>
    </row>
    <row r="53449" spans="7:7">
      <c r="G53449" s="812"/>
    </row>
    <row r="53450" spans="7:7">
      <c r="G53450" s="812"/>
    </row>
    <row r="53451" spans="7:7">
      <c r="G53451" s="812"/>
    </row>
    <row r="53452" spans="7:7">
      <c r="G53452" s="812"/>
    </row>
    <row r="53453" spans="7:7">
      <c r="G53453" s="812"/>
    </row>
    <row r="53454" spans="7:7">
      <c r="G53454" s="812"/>
    </row>
    <row r="53455" spans="7:7">
      <c r="G53455" s="812"/>
    </row>
    <row r="53456" spans="7:7">
      <c r="G53456" s="812"/>
    </row>
    <row r="53457" spans="7:7">
      <c r="G53457" s="812"/>
    </row>
    <row r="53458" spans="7:7">
      <c r="G53458" s="812"/>
    </row>
    <row r="53459" spans="7:7">
      <c r="G53459" s="812"/>
    </row>
    <row r="53460" spans="7:7">
      <c r="G53460" s="812"/>
    </row>
    <row r="53461" spans="7:7">
      <c r="G53461" s="812"/>
    </row>
    <row r="53462" spans="7:7">
      <c r="G53462" s="812"/>
    </row>
    <row r="53463" spans="7:7">
      <c r="G53463" s="812"/>
    </row>
    <row r="53464" spans="7:7">
      <c r="G53464" s="812"/>
    </row>
    <row r="53465" spans="7:7">
      <c r="G53465" s="812"/>
    </row>
    <row r="53466" spans="7:7">
      <c r="G53466" s="812"/>
    </row>
    <row r="53467" spans="7:7">
      <c r="G53467" s="812"/>
    </row>
    <row r="53468" spans="7:7">
      <c r="G53468" s="812"/>
    </row>
    <row r="53469" spans="7:7">
      <c r="G53469" s="812"/>
    </row>
    <row r="53470" spans="7:7">
      <c r="G53470" s="812"/>
    </row>
    <row r="53471" spans="7:7">
      <c r="G53471" s="812"/>
    </row>
    <row r="53472" spans="7:7">
      <c r="G53472" s="812"/>
    </row>
    <row r="53473" spans="7:7">
      <c r="G53473" s="812"/>
    </row>
    <row r="53474" spans="7:7">
      <c r="G53474" s="812"/>
    </row>
    <row r="53475" spans="7:7">
      <c r="G53475" s="812"/>
    </row>
    <row r="53476" spans="7:7">
      <c r="G53476" s="812"/>
    </row>
    <row r="53477" spans="7:7">
      <c r="G53477" s="812"/>
    </row>
    <row r="53478" spans="7:7">
      <c r="G53478" s="812"/>
    </row>
    <row r="53479" spans="7:7">
      <c r="G53479" s="812"/>
    </row>
    <row r="53480" spans="7:7">
      <c r="G53480" s="812"/>
    </row>
    <row r="53481" spans="7:7">
      <c r="G53481" s="812"/>
    </row>
    <row r="53482" spans="7:7">
      <c r="G53482" s="812"/>
    </row>
    <row r="53483" spans="7:7">
      <c r="G53483" s="812"/>
    </row>
    <row r="53484" spans="7:7">
      <c r="G53484" s="812"/>
    </row>
    <row r="53485" spans="7:7">
      <c r="G53485" s="812"/>
    </row>
    <row r="53486" spans="7:7">
      <c r="G53486" s="812"/>
    </row>
    <row r="53487" spans="7:7">
      <c r="G53487" s="812"/>
    </row>
    <row r="53488" spans="7:7">
      <c r="G53488" s="812"/>
    </row>
    <row r="53489" spans="7:7">
      <c r="G53489" s="812"/>
    </row>
    <row r="53490" spans="7:7">
      <c r="G53490" s="812"/>
    </row>
    <row r="53491" spans="7:7">
      <c r="G53491" s="812"/>
    </row>
    <row r="53492" spans="7:7">
      <c r="G53492" s="812"/>
    </row>
    <row r="53493" spans="7:7">
      <c r="G53493" s="812"/>
    </row>
    <row r="53494" spans="7:7">
      <c r="G53494" s="812"/>
    </row>
    <row r="53495" spans="7:7">
      <c r="G53495" s="812"/>
    </row>
    <row r="53496" spans="7:7">
      <c r="G53496" s="812"/>
    </row>
    <row r="53497" spans="7:7">
      <c r="G53497" s="812"/>
    </row>
    <row r="53498" spans="7:7">
      <c r="G53498" s="812"/>
    </row>
    <row r="53499" spans="7:7">
      <c r="G53499" s="812"/>
    </row>
    <row r="53500" spans="7:7">
      <c r="G53500" s="812"/>
    </row>
    <row r="53501" spans="7:7">
      <c r="G53501" s="812"/>
    </row>
    <row r="53502" spans="7:7">
      <c r="G53502" s="812"/>
    </row>
    <row r="53503" spans="7:7">
      <c r="G53503" s="812"/>
    </row>
    <row r="53504" spans="7:7">
      <c r="G53504" s="812"/>
    </row>
    <row r="53505" spans="7:7">
      <c r="G53505" s="812"/>
    </row>
    <row r="53506" spans="7:7">
      <c r="G53506" s="812"/>
    </row>
    <row r="53507" spans="7:7">
      <c r="G53507" s="812"/>
    </row>
    <row r="53508" spans="7:7">
      <c r="G53508" s="812"/>
    </row>
    <row r="53509" spans="7:7">
      <c r="G53509" s="812"/>
    </row>
    <row r="53510" spans="7:7">
      <c r="G53510" s="812"/>
    </row>
    <row r="53511" spans="7:7">
      <c r="G53511" s="812"/>
    </row>
    <row r="53512" spans="7:7">
      <c r="G53512" s="812"/>
    </row>
    <row r="53513" spans="7:7">
      <c r="G53513" s="812"/>
    </row>
    <row r="53514" spans="7:7">
      <c r="G53514" s="812"/>
    </row>
    <row r="53515" spans="7:7">
      <c r="G53515" s="812"/>
    </row>
    <row r="53516" spans="7:7">
      <c r="G53516" s="812"/>
    </row>
    <row r="53517" spans="7:7">
      <c r="G53517" s="812"/>
    </row>
    <row r="53518" spans="7:7">
      <c r="G53518" s="812"/>
    </row>
    <row r="53519" spans="7:7">
      <c r="G53519" s="812"/>
    </row>
    <row r="53520" spans="7:7">
      <c r="G53520" s="812"/>
    </row>
    <row r="53521" spans="7:7">
      <c r="G53521" s="812"/>
    </row>
    <row r="53522" spans="7:7">
      <c r="G53522" s="812"/>
    </row>
    <row r="53523" spans="7:7">
      <c r="G53523" s="812"/>
    </row>
    <row r="53524" spans="7:7">
      <c r="G53524" s="812"/>
    </row>
    <row r="53525" spans="7:7">
      <c r="G53525" s="812"/>
    </row>
    <row r="53526" spans="7:7">
      <c r="G53526" s="812"/>
    </row>
    <row r="53527" spans="7:7">
      <c r="G53527" s="812"/>
    </row>
    <row r="53528" spans="7:7">
      <c r="G53528" s="812"/>
    </row>
    <row r="53529" spans="7:7">
      <c r="G53529" s="812"/>
    </row>
    <row r="53530" spans="7:7">
      <c r="G53530" s="812"/>
    </row>
    <row r="53531" spans="7:7">
      <c r="G53531" s="812"/>
    </row>
    <row r="53532" spans="7:7">
      <c r="G53532" s="812"/>
    </row>
    <row r="53533" spans="7:7">
      <c r="G53533" s="812"/>
    </row>
    <row r="53534" spans="7:7">
      <c r="G53534" s="812"/>
    </row>
    <row r="53535" spans="7:7">
      <c r="G53535" s="812"/>
    </row>
    <row r="53536" spans="7:7">
      <c r="G53536" s="812"/>
    </row>
    <row r="53537" spans="7:7">
      <c r="G53537" s="812"/>
    </row>
    <row r="53538" spans="7:7">
      <c r="G53538" s="812"/>
    </row>
    <row r="53539" spans="7:7">
      <c r="G53539" s="812"/>
    </row>
    <row r="53540" spans="7:7">
      <c r="G53540" s="812"/>
    </row>
    <row r="53541" spans="7:7">
      <c r="G53541" s="812"/>
    </row>
    <row r="53542" spans="7:7">
      <c r="G53542" s="812"/>
    </row>
    <row r="53543" spans="7:7">
      <c r="G53543" s="812"/>
    </row>
    <row r="53544" spans="7:7">
      <c r="G53544" s="812"/>
    </row>
    <row r="53545" spans="7:7">
      <c r="G53545" s="812"/>
    </row>
    <row r="53546" spans="7:7">
      <c r="G53546" s="812"/>
    </row>
    <row r="53547" spans="7:7">
      <c r="G53547" s="812"/>
    </row>
    <row r="53548" spans="7:7">
      <c r="G53548" s="812"/>
    </row>
    <row r="53549" spans="7:7">
      <c r="G53549" s="812"/>
    </row>
    <row r="53550" spans="7:7">
      <c r="G53550" s="812"/>
    </row>
    <row r="53551" spans="7:7">
      <c r="G53551" s="812"/>
    </row>
    <row r="53552" spans="7:7">
      <c r="G53552" s="812"/>
    </row>
    <row r="53553" spans="7:7">
      <c r="G53553" s="812"/>
    </row>
    <row r="53554" spans="7:7">
      <c r="G53554" s="812"/>
    </row>
    <row r="53555" spans="7:7">
      <c r="G53555" s="812"/>
    </row>
    <row r="53556" spans="7:7">
      <c r="G53556" s="812"/>
    </row>
    <row r="53557" spans="7:7">
      <c r="G53557" s="812"/>
    </row>
    <row r="53558" spans="7:7">
      <c r="G53558" s="812"/>
    </row>
    <row r="53559" spans="7:7">
      <c r="G53559" s="812"/>
    </row>
    <row r="53560" spans="7:7">
      <c r="G53560" s="812"/>
    </row>
    <row r="53561" spans="7:7">
      <c r="G53561" s="812"/>
    </row>
    <row r="53562" spans="7:7">
      <c r="G53562" s="812"/>
    </row>
    <row r="53563" spans="7:7">
      <c r="G53563" s="812"/>
    </row>
    <row r="53564" spans="7:7">
      <c r="G53564" s="812"/>
    </row>
    <row r="53565" spans="7:7">
      <c r="G53565" s="812"/>
    </row>
    <row r="53566" spans="7:7">
      <c r="G53566" s="812"/>
    </row>
    <row r="53567" spans="7:7">
      <c r="G53567" s="812"/>
    </row>
    <row r="53568" spans="7:7">
      <c r="G53568" s="812"/>
    </row>
    <row r="53569" spans="7:7">
      <c r="G53569" s="812"/>
    </row>
    <row r="53570" spans="7:7">
      <c r="G53570" s="812"/>
    </row>
    <row r="53571" spans="7:7">
      <c r="G53571" s="812"/>
    </row>
    <row r="53572" spans="7:7">
      <c r="G53572" s="812"/>
    </row>
    <row r="53573" spans="7:7">
      <c r="G53573" s="812"/>
    </row>
    <row r="53574" spans="7:7">
      <c r="G53574" s="812"/>
    </row>
    <row r="53575" spans="7:7">
      <c r="G53575" s="812"/>
    </row>
    <row r="53576" spans="7:7">
      <c r="G53576" s="812"/>
    </row>
    <row r="53577" spans="7:7">
      <c r="G53577" s="812"/>
    </row>
    <row r="53578" spans="7:7">
      <c r="G53578" s="812"/>
    </row>
    <row r="53579" spans="7:7">
      <c r="G53579" s="812"/>
    </row>
    <row r="53580" spans="7:7">
      <c r="G53580" s="812"/>
    </row>
    <row r="53581" spans="7:7">
      <c r="G53581" s="812"/>
    </row>
    <row r="53582" spans="7:7">
      <c r="G53582" s="812"/>
    </row>
    <row r="53583" spans="7:7">
      <c r="G53583" s="812"/>
    </row>
    <row r="53584" spans="7:7">
      <c r="G53584" s="812"/>
    </row>
    <row r="53585" spans="7:7">
      <c r="G53585" s="812"/>
    </row>
    <row r="53586" spans="7:7">
      <c r="G53586" s="812"/>
    </row>
    <row r="53587" spans="7:7">
      <c r="G53587" s="812"/>
    </row>
    <row r="53588" spans="7:7">
      <c r="G53588" s="812"/>
    </row>
    <row r="53589" spans="7:7">
      <c r="G53589" s="812"/>
    </row>
    <row r="53590" spans="7:7">
      <c r="G53590" s="812"/>
    </row>
    <row r="53591" spans="7:7">
      <c r="G53591" s="812"/>
    </row>
    <row r="53592" spans="7:7">
      <c r="G53592" s="812"/>
    </row>
    <row r="53593" spans="7:7">
      <c r="G53593" s="812"/>
    </row>
    <row r="53594" spans="7:7">
      <c r="G53594" s="812"/>
    </row>
    <row r="53595" spans="7:7">
      <c r="G53595" s="812"/>
    </row>
    <row r="53596" spans="7:7">
      <c r="G53596" s="812"/>
    </row>
    <row r="53597" spans="7:7">
      <c r="G53597" s="812"/>
    </row>
    <row r="53598" spans="7:7">
      <c r="G53598" s="812"/>
    </row>
    <row r="53599" spans="7:7">
      <c r="G53599" s="812"/>
    </row>
    <row r="53600" spans="7:7">
      <c r="G53600" s="812"/>
    </row>
    <row r="53601" spans="7:7">
      <c r="G53601" s="812"/>
    </row>
    <row r="53602" spans="7:7">
      <c r="G53602" s="812"/>
    </row>
    <row r="53603" spans="7:7">
      <c r="G53603" s="812"/>
    </row>
    <row r="53604" spans="7:7">
      <c r="G53604" s="812"/>
    </row>
    <row r="53605" spans="7:7">
      <c r="G53605" s="812"/>
    </row>
    <row r="53606" spans="7:7">
      <c r="G53606" s="812"/>
    </row>
    <row r="53607" spans="7:7">
      <c r="G53607" s="812"/>
    </row>
    <row r="53608" spans="7:7">
      <c r="G53608" s="812"/>
    </row>
    <row r="53609" spans="7:7">
      <c r="G53609" s="812"/>
    </row>
    <row r="53610" spans="7:7">
      <c r="G53610" s="812"/>
    </row>
    <row r="53611" spans="7:7">
      <c r="G53611" s="812"/>
    </row>
    <row r="53612" spans="7:7">
      <c r="G53612" s="812"/>
    </row>
    <row r="53613" spans="7:7">
      <c r="G53613" s="812"/>
    </row>
    <row r="53614" spans="7:7">
      <c r="G53614" s="812"/>
    </row>
    <row r="53615" spans="7:7">
      <c r="G53615" s="812"/>
    </row>
    <row r="53616" spans="7:7">
      <c r="G53616" s="812"/>
    </row>
    <row r="53617" spans="7:7">
      <c r="G53617" s="812"/>
    </row>
    <row r="53618" spans="7:7">
      <c r="G53618" s="812"/>
    </row>
    <row r="53619" spans="7:7">
      <c r="G53619" s="812"/>
    </row>
    <row r="53620" spans="7:7">
      <c r="G53620" s="812"/>
    </row>
    <row r="53621" spans="7:7">
      <c r="G53621" s="812"/>
    </row>
    <row r="53622" spans="7:7">
      <c r="G53622" s="812"/>
    </row>
    <row r="53623" spans="7:7">
      <c r="G53623" s="812"/>
    </row>
    <row r="53624" spans="7:7">
      <c r="G53624" s="812"/>
    </row>
    <row r="53625" spans="7:7">
      <c r="G53625" s="812"/>
    </row>
    <row r="53626" spans="7:7">
      <c r="G53626" s="812"/>
    </row>
    <row r="53627" spans="7:7">
      <c r="G53627" s="812"/>
    </row>
    <row r="53628" spans="7:7">
      <c r="G53628" s="812"/>
    </row>
    <row r="53629" spans="7:7">
      <c r="G53629" s="812"/>
    </row>
    <row r="53630" spans="7:7">
      <c r="G53630" s="812"/>
    </row>
    <row r="53631" spans="7:7">
      <c r="G53631" s="812"/>
    </row>
    <row r="53632" spans="7:7">
      <c r="G53632" s="812"/>
    </row>
    <row r="53633" spans="7:7">
      <c r="G53633" s="812"/>
    </row>
    <row r="53634" spans="7:7">
      <c r="G53634" s="812"/>
    </row>
    <row r="53635" spans="7:7">
      <c r="G53635" s="812"/>
    </row>
    <row r="53636" spans="7:7">
      <c r="G53636" s="812"/>
    </row>
    <row r="53637" spans="7:7">
      <c r="G53637" s="812"/>
    </row>
    <row r="53638" spans="7:7">
      <c r="G53638" s="812"/>
    </row>
    <row r="53639" spans="7:7">
      <c r="G53639" s="812"/>
    </row>
    <row r="53640" spans="7:7">
      <c r="G53640" s="812"/>
    </row>
    <row r="53641" spans="7:7">
      <c r="G53641" s="812"/>
    </row>
    <row r="53642" spans="7:7">
      <c r="G53642" s="812"/>
    </row>
    <row r="53643" spans="7:7">
      <c r="G53643" s="812"/>
    </row>
    <row r="53644" spans="7:7">
      <c r="G53644" s="812"/>
    </row>
    <row r="53645" spans="7:7">
      <c r="G53645" s="812"/>
    </row>
    <row r="53646" spans="7:7">
      <c r="G53646" s="812"/>
    </row>
    <row r="53647" spans="7:7">
      <c r="G53647" s="812"/>
    </row>
    <row r="53648" spans="7:7">
      <c r="G53648" s="812"/>
    </row>
    <row r="53649" spans="7:7">
      <c r="G53649" s="812"/>
    </row>
    <row r="53650" spans="7:7">
      <c r="G53650" s="812"/>
    </row>
    <row r="53651" spans="7:7">
      <c r="G53651" s="812"/>
    </row>
    <row r="53652" spans="7:7">
      <c r="G53652" s="812"/>
    </row>
    <row r="53653" spans="7:7">
      <c r="G53653" s="812"/>
    </row>
    <row r="53654" spans="7:7">
      <c r="G53654" s="812"/>
    </row>
    <row r="53655" spans="7:7">
      <c r="G53655" s="812"/>
    </row>
    <row r="53656" spans="7:7">
      <c r="G53656" s="812"/>
    </row>
    <row r="53657" spans="7:7">
      <c r="G53657" s="812"/>
    </row>
    <row r="53658" spans="7:7">
      <c r="G53658" s="812"/>
    </row>
    <row r="53659" spans="7:7">
      <c r="G53659" s="812"/>
    </row>
    <row r="53660" spans="7:7">
      <c r="G53660" s="812"/>
    </row>
    <row r="53661" spans="7:7">
      <c r="G53661" s="812"/>
    </row>
    <row r="53662" spans="7:7">
      <c r="G53662" s="812"/>
    </row>
    <row r="53663" spans="7:7">
      <c r="G53663" s="812"/>
    </row>
    <row r="53664" spans="7:7">
      <c r="G53664" s="812"/>
    </row>
    <row r="53665" spans="7:7">
      <c r="G53665" s="812"/>
    </row>
    <row r="53666" spans="7:7">
      <c r="G53666" s="812"/>
    </row>
    <row r="53667" spans="7:7">
      <c r="G53667" s="812"/>
    </row>
    <row r="53668" spans="7:7">
      <c r="G53668" s="812"/>
    </row>
    <row r="53669" spans="7:7">
      <c r="G53669" s="812"/>
    </row>
    <row r="53670" spans="7:7">
      <c r="G53670" s="812"/>
    </row>
    <row r="53671" spans="7:7">
      <c r="G53671" s="812"/>
    </row>
    <row r="53672" spans="7:7">
      <c r="G53672" s="812"/>
    </row>
    <row r="53673" spans="7:7">
      <c r="G53673" s="812"/>
    </row>
    <row r="53674" spans="7:7">
      <c r="G53674" s="812"/>
    </row>
    <row r="53675" spans="7:7">
      <c r="G53675" s="812"/>
    </row>
    <row r="53676" spans="7:7">
      <c r="G53676" s="812"/>
    </row>
    <row r="53677" spans="7:7">
      <c r="G53677" s="812"/>
    </row>
    <row r="53678" spans="7:7">
      <c r="G53678" s="812"/>
    </row>
    <row r="53679" spans="7:7">
      <c r="G53679" s="812"/>
    </row>
    <row r="53680" spans="7:7">
      <c r="G53680" s="812"/>
    </row>
    <row r="53681" spans="7:7">
      <c r="G53681" s="812"/>
    </row>
    <row r="53682" spans="7:7">
      <c r="G53682" s="812"/>
    </row>
    <row r="53683" spans="7:7">
      <c r="G53683" s="812"/>
    </row>
    <row r="53684" spans="7:7">
      <c r="G53684" s="812"/>
    </row>
    <row r="53685" spans="7:7">
      <c r="G53685" s="812"/>
    </row>
    <row r="53686" spans="7:7">
      <c r="G53686" s="812"/>
    </row>
    <row r="53687" spans="7:7">
      <c r="G53687" s="812"/>
    </row>
    <row r="53688" spans="7:7">
      <c r="G53688" s="812"/>
    </row>
    <row r="53689" spans="7:7">
      <c r="G53689" s="812"/>
    </row>
    <row r="53690" spans="7:7">
      <c r="G53690" s="812"/>
    </row>
    <row r="53691" spans="7:7">
      <c r="G53691" s="812"/>
    </row>
    <row r="53692" spans="7:7">
      <c r="G53692" s="812"/>
    </row>
    <row r="53693" spans="7:7">
      <c r="G53693" s="812"/>
    </row>
    <row r="53694" spans="7:7">
      <c r="G53694" s="812"/>
    </row>
    <row r="53695" spans="7:7">
      <c r="G53695" s="812"/>
    </row>
    <row r="53696" spans="7:7">
      <c r="G53696" s="812"/>
    </row>
    <row r="53697" spans="7:7">
      <c r="G53697" s="812"/>
    </row>
    <row r="53698" spans="7:7">
      <c r="G53698" s="812"/>
    </row>
    <row r="53699" spans="7:7">
      <c r="G53699" s="812"/>
    </row>
    <row r="53700" spans="7:7">
      <c r="G53700" s="812"/>
    </row>
    <row r="53701" spans="7:7">
      <c r="G53701" s="812"/>
    </row>
    <row r="53702" spans="7:7">
      <c r="G53702" s="812"/>
    </row>
    <row r="53703" spans="7:7">
      <c r="G53703" s="812"/>
    </row>
    <row r="53704" spans="7:7">
      <c r="G53704" s="812"/>
    </row>
    <row r="53705" spans="7:7">
      <c r="G53705" s="812"/>
    </row>
    <row r="53706" spans="7:7">
      <c r="G53706" s="812"/>
    </row>
    <row r="53707" spans="7:7">
      <c r="G53707" s="812"/>
    </row>
    <row r="53708" spans="7:7">
      <c r="G53708" s="812"/>
    </row>
    <row r="53709" spans="7:7">
      <c r="G53709" s="812"/>
    </row>
    <row r="53710" spans="7:7">
      <c r="G53710" s="812"/>
    </row>
    <row r="53711" spans="7:7">
      <c r="G53711" s="812"/>
    </row>
    <row r="53712" spans="7:7">
      <c r="G53712" s="812"/>
    </row>
    <row r="53713" spans="7:7">
      <c r="G53713" s="812"/>
    </row>
    <row r="53714" spans="7:7">
      <c r="G53714" s="812"/>
    </row>
    <row r="53715" spans="7:7">
      <c r="G53715" s="812"/>
    </row>
    <row r="53716" spans="7:7">
      <c r="G53716" s="812"/>
    </row>
    <row r="53717" spans="7:7">
      <c r="G53717" s="812"/>
    </row>
    <row r="53718" spans="7:7">
      <c r="G53718" s="812"/>
    </row>
    <row r="53719" spans="7:7">
      <c r="G53719" s="812"/>
    </row>
    <row r="53720" spans="7:7">
      <c r="G53720" s="812"/>
    </row>
    <row r="53721" spans="7:7">
      <c r="G53721" s="812"/>
    </row>
    <row r="53722" spans="7:7">
      <c r="G53722" s="812"/>
    </row>
    <row r="53723" spans="7:7">
      <c r="G53723" s="812"/>
    </row>
    <row r="53724" spans="7:7">
      <c r="G53724" s="812"/>
    </row>
    <row r="53725" spans="7:7">
      <c r="G53725" s="812"/>
    </row>
    <row r="53726" spans="7:7">
      <c r="G53726" s="812"/>
    </row>
    <row r="53727" spans="7:7">
      <c r="G53727" s="812"/>
    </row>
    <row r="53728" spans="7:7">
      <c r="G53728" s="812"/>
    </row>
    <row r="53729" spans="7:7">
      <c r="G53729" s="812"/>
    </row>
    <row r="53730" spans="7:7">
      <c r="G53730" s="812"/>
    </row>
    <row r="53731" spans="7:7">
      <c r="G53731" s="812"/>
    </row>
    <row r="53732" spans="7:7">
      <c r="G53732" s="812"/>
    </row>
    <row r="53733" spans="7:7">
      <c r="G53733" s="812"/>
    </row>
    <row r="53734" spans="7:7">
      <c r="G53734" s="812"/>
    </row>
    <row r="53735" spans="7:7">
      <c r="G53735" s="812"/>
    </row>
    <row r="53736" spans="7:7">
      <c r="G53736" s="812"/>
    </row>
    <row r="53737" spans="7:7">
      <c r="G53737" s="812"/>
    </row>
    <row r="53738" spans="7:7">
      <c r="G53738" s="812"/>
    </row>
    <row r="53739" spans="7:7">
      <c r="G53739" s="812"/>
    </row>
    <row r="53740" spans="7:7">
      <c r="G53740" s="812"/>
    </row>
    <row r="53741" spans="7:7">
      <c r="G53741" s="812"/>
    </row>
    <row r="53742" spans="7:7">
      <c r="G53742" s="812"/>
    </row>
    <row r="53743" spans="7:7">
      <c r="G53743" s="812"/>
    </row>
    <row r="53744" spans="7:7">
      <c r="G53744" s="812"/>
    </row>
    <row r="53745" spans="7:7">
      <c r="G53745" s="812"/>
    </row>
    <row r="53746" spans="7:7">
      <c r="G53746" s="812"/>
    </row>
    <row r="53747" spans="7:7">
      <c r="G53747" s="812"/>
    </row>
    <row r="53748" spans="7:7">
      <c r="G53748" s="812"/>
    </row>
    <row r="53749" spans="7:7">
      <c r="G53749" s="812"/>
    </row>
    <row r="53750" spans="7:7">
      <c r="G53750" s="812"/>
    </row>
    <row r="53751" spans="7:7">
      <c r="G53751" s="812"/>
    </row>
    <row r="53752" spans="7:7">
      <c r="G53752" s="812"/>
    </row>
    <row r="53753" spans="7:7">
      <c r="G53753" s="812"/>
    </row>
    <row r="53754" spans="7:7">
      <c r="G53754" s="812"/>
    </row>
    <row r="53755" spans="7:7">
      <c r="G53755" s="812"/>
    </row>
    <row r="53756" spans="7:7">
      <c r="G53756" s="812"/>
    </row>
    <row r="53757" spans="7:7">
      <c r="G53757" s="812"/>
    </row>
    <row r="53758" spans="7:7">
      <c r="G53758" s="812"/>
    </row>
    <row r="53759" spans="7:7">
      <c r="G53759" s="812"/>
    </row>
    <row r="53760" spans="7:7">
      <c r="G53760" s="812"/>
    </row>
    <row r="53761" spans="7:7">
      <c r="G53761" s="812"/>
    </row>
    <row r="53762" spans="7:7">
      <c r="G53762" s="812"/>
    </row>
    <row r="53763" spans="7:7">
      <c r="G53763" s="812"/>
    </row>
    <row r="53764" spans="7:7">
      <c r="G53764" s="812"/>
    </row>
    <row r="53765" spans="7:7">
      <c r="G53765" s="812"/>
    </row>
    <row r="53766" spans="7:7">
      <c r="G53766" s="812"/>
    </row>
    <row r="53767" spans="7:7">
      <c r="G53767" s="812"/>
    </row>
    <row r="53768" spans="7:7">
      <c r="G53768" s="812"/>
    </row>
    <row r="53769" spans="7:7">
      <c r="G53769" s="812"/>
    </row>
    <row r="53770" spans="7:7">
      <c r="G53770" s="812"/>
    </row>
    <row r="53771" spans="7:7">
      <c r="G53771" s="812"/>
    </row>
    <row r="53772" spans="7:7">
      <c r="G53772" s="812"/>
    </row>
    <row r="53773" spans="7:7">
      <c r="G53773" s="812"/>
    </row>
    <row r="53774" spans="7:7">
      <c r="G53774" s="812"/>
    </row>
    <row r="53775" spans="7:7">
      <c r="G53775" s="812"/>
    </row>
    <row r="53776" spans="7:7">
      <c r="G53776" s="812"/>
    </row>
    <row r="53777" spans="7:7">
      <c r="G53777" s="812"/>
    </row>
    <row r="53778" spans="7:7">
      <c r="G53778" s="812"/>
    </row>
    <row r="53779" spans="7:7">
      <c r="G53779" s="812"/>
    </row>
    <row r="53780" spans="7:7">
      <c r="G53780" s="812"/>
    </row>
    <row r="53781" spans="7:7">
      <c r="G53781" s="812"/>
    </row>
    <row r="53782" spans="7:7">
      <c r="G53782" s="812"/>
    </row>
    <row r="53783" spans="7:7">
      <c r="G53783" s="812"/>
    </row>
    <row r="53784" spans="7:7">
      <c r="G53784" s="812"/>
    </row>
    <row r="53785" spans="7:7">
      <c r="G53785" s="812"/>
    </row>
    <row r="53786" spans="7:7">
      <c r="G53786" s="812"/>
    </row>
    <row r="53787" spans="7:7">
      <c r="G53787" s="812"/>
    </row>
    <row r="53788" spans="7:7">
      <c r="G53788" s="812"/>
    </row>
    <row r="53789" spans="7:7">
      <c r="G53789" s="812"/>
    </row>
    <row r="53790" spans="7:7">
      <c r="G53790" s="812"/>
    </row>
    <row r="53791" spans="7:7">
      <c r="G53791" s="812"/>
    </row>
    <row r="53792" spans="7:7">
      <c r="G53792" s="812"/>
    </row>
    <row r="53793" spans="7:7">
      <c r="G53793" s="812"/>
    </row>
    <row r="53794" spans="7:7">
      <c r="G53794" s="812"/>
    </row>
    <row r="53795" spans="7:7">
      <c r="G53795" s="812"/>
    </row>
    <row r="53796" spans="7:7">
      <c r="G53796" s="812"/>
    </row>
    <row r="53797" spans="7:7">
      <c r="G53797" s="812"/>
    </row>
    <row r="53798" spans="7:7">
      <c r="G53798" s="812"/>
    </row>
    <row r="53799" spans="7:7">
      <c r="G53799" s="812"/>
    </row>
    <row r="53800" spans="7:7">
      <c r="G53800" s="812"/>
    </row>
    <row r="53801" spans="7:7">
      <c r="G53801" s="812"/>
    </row>
    <row r="53802" spans="7:7">
      <c r="G53802" s="812"/>
    </row>
    <row r="53803" spans="7:7">
      <c r="G53803" s="812"/>
    </row>
    <row r="53804" spans="7:7">
      <c r="G53804" s="812"/>
    </row>
    <row r="53805" spans="7:7">
      <c r="G53805" s="812"/>
    </row>
    <row r="53806" spans="7:7">
      <c r="G53806" s="812"/>
    </row>
    <row r="53807" spans="7:7">
      <c r="G53807" s="812"/>
    </row>
    <row r="53808" spans="7:7">
      <c r="G53808" s="812"/>
    </row>
    <row r="53809" spans="7:7">
      <c r="G53809" s="812"/>
    </row>
    <row r="53810" spans="7:7">
      <c r="G53810" s="812"/>
    </row>
    <row r="53811" spans="7:7">
      <c r="G53811" s="812"/>
    </row>
    <row r="53812" spans="7:7">
      <c r="G53812" s="812"/>
    </row>
    <row r="53813" spans="7:7">
      <c r="G53813" s="812"/>
    </row>
    <row r="53814" spans="7:7">
      <c r="G53814" s="812"/>
    </row>
    <row r="53815" spans="7:7">
      <c r="G53815" s="812"/>
    </row>
    <row r="53816" spans="7:7">
      <c r="G53816" s="812"/>
    </row>
    <row r="53817" spans="7:7">
      <c r="G53817" s="812"/>
    </row>
    <row r="53818" spans="7:7">
      <c r="G53818" s="812"/>
    </row>
    <row r="53819" spans="7:7">
      <c r="G53819" s="812"/>
    </row>
    <row r="53820" spans="7:7">
      <c r="G53820" s="812"/>
    </row>
    <row r="53821" spans="7:7">
      <c r="G53821" s="812"/>
    </row>
    <row r="53822" spans="7:7">
      <c r="G53822" s="812"/>
    </row>
    <row r="53823" spans="7:7">
      <c r="G53823" s="812"/>
    </row>
    <row r="53824" spans="7:7">
      <c r="G53824" s="812"/>
    </row>
    <row r="53825" spans="7:7">
      <c r="G53825" s="812"/>
    </row>
    <row r="53826" spans="7:7">
      <c r="G53826" s="812"/>
    </row>
    <row r="53827" spans="7:7">
      <c r="G53827" s="812"/>
    </row>
    <row r="53828" spans="7:7">
      <c r="G53828" s="812"/>
    </row>
    <row r="53829" spans="7:7">
      <c r="G53829" s="812"/>
    </row>
    <row r="53830" spans="7:7">
      <c r="G53830" s="812"/>
    </row>
    <row r="53831" spans="7:7">
      <c r="G53831" s="812"/>
    </row>
    <row r="53832" spans="7:7">
      <c r="G53832" s="812"/>
    </row>
    <row r="53833" spans="7:7">
      <c r="G53833" s="812"/>
    </row>
    <row r="53834" spans="7:7">
      <c r="G53834" s="812"/>
    </row>
    <row r="53835" spans="7:7">
      <c r="G53835" s="812"/>
    </row>
    <row r="53836" spans="7:7">
      <c r="G53836" s="812"/>
    </row>
    <row r="53837" spans="7:7">
      <c r="G53837" s="812"/>
    </row>
    <row r="53838" spans="7:7">
      <c r="G53838" s="812"/>
    </row>
    <row r="53839" spans="7:7">
      <c r="G53839" s="812"/>
    </row>
    <row r="53840" spans="7:7">
      <c r="G53840" s="812"/>
    </row>
    <row r="53841" spans="7:7">
      <c r="G53841" s="812"/>
    </row>
    <row r="53842" spans="7:7">
      <c r="G53842" s="812"/>
    </row>
    <row r="53843" spans="7:7">
      <c r="G53843" s="812"/>
    </row>
    <row r="53844" spans="7:7">
      <c r="G53844" s="812"/>
    </row>
    <row r="53845" spans="7:7">
      <c r="G53845" s="812"/>
    </row>
    <row r="53846" spans="7:7">
      <c r="G53846" s="812"/>
    </row>
    <row r="53847" spans="7:7">
      <c r="G53847" s="812"/>
    </row>
    <row r="53848" spans="7:7">
      <c r="G53848" s="812"/>
    </row>
    <row r="53849" spans="7:7">
      <c r="G53849" s="812"/>
    </row>
    <row r="53850" spans="7:7">
      <c r="G53850" s="812"/>
    </row>
    <row r="53851" spans="7:7">
      <c r="G53851" s="812"/>
    </row>
    <row r="53852" spans="7:7">
      <c r="G53852" s="812"/>
    </row>
    <row r="53853" spans="7:7">
      <c r="G53853" s="812"/>
    </row>
    <row r="53854" spans="7:7">
      <c r="G53854" s="812"/>
    </row>
    <row r="53855" spans="7:7">
      <c r="G53855" s="812"/>
    </row>
    <row r="53856" spans="7:7">
      <c r="G53856" s="812"/>
    </row>
    <row r="53857" spans="7:7">
      <c r="G53857" s="812"/>
    </row>
    <row r="53858" spans="7:7">
      <c r="G53858" s="812"/>
    </row>
    <row r="53859" spans="7:7">
      <c r="G53859" s="812"/>
    </row>
    <row r="53860" spans="7:7">
      <c r="G53860" s="812"/>
    </row>
    <row r="53861" spans="7:7">
      <c r="G53861" s="812"/>
    </row>
    <row r="53862" spans="7:7">
      <c r="G53862" s="812"/>
    </row>
    <row r="53863" spans="7:7">
      <c r="G53863" s="812"/>
    </row>
    <row r="53864" spans="7:7">
      <c r="G53864" s="812"/>
    </row>
    <row r="53865" spans="7:7">
      <c r="G53865" s="812"/>
    </row>
    <row r="53866" spans="7:7">
      <c r="G53866" s="812"/>
    </row>
    <row r="53867" spans="7:7">
      <c r="G53867" s="812"/>
    </row>
    <row r="53868" spans="7:7">
      <c r="G53868" s="812"/>
    </row>
    <row r="53869" spans="7:7">
      <c r="G53869" s="812"/>
    </row>
    <row r="53870" spans="7:7">
      <c r="G53870" s="812"/>
    </row>
    <row r="53871" spans="7:7">
      <c r="G53871" s="812"/>
    </row>
    <row r="53872" spans="7:7">
      <c r="G53872" s="812"/>
    </row>
    <row r="53873" spans="7:7">
      <c r="G53873" s="812"/>
    </row>
    <row r="53874" spans="7:7">
      <c r="G53874" s="812"/>
    </row>
    <row r="53875" spans="7:7">
      <c r="G53875" s="812"/>
    </row>
    <row r="53876" spans="7:7">
      <c r="G53876" s="812"/>
    </row>
    <row r="53877" spans="7:7">
      <c r="G53877" s="812"/>
    </row>
    <row r="53878" spans="7:7">
      <c r="G53878" s="812"/>
    </row>
    <row r="53879" spans="7:7">
      <c r="G53879" s="812"/>
    </row>
    <row r="53880" spans="7:7">
      <c r="G53880" s="812"/>
    </row>
    <row r="53881" spans="7:7">
      <c r="G53881" s="812"/>
    </row>
    <row r="53882" spans="7:7">
      <c r="G53882" s="812"/>
    </row>
    <row r="53883" spans="7:7">
      <c r="G53883" s="812"/>
    </row>
    <row r="53884" spans="7:7">
      <c r="G53884" s="812"/>
    </row>
    <row r="53885" spans="7:7">
      <c r="G53885" s="812"/>
    </row>
    <row r="53886" spans="7:7">
      <c r="G53886" s="812"/>
    </row>
    <row r="53887" spans="7:7">
      <c r="G53887" s="812"/>
    </row>
    <row r="53888" spans="7:7">
      <c r="G53888" s="812"/>
    </row>
    <row r="53889" spans="7:7">
      <c r="G53889" s="812"/>
    </row>
    <row r="53890" spans="7:7">
      <c r="G53890" s="812"/>
    </row>
    <row r="53891" spans="7:7">
      <c r="G53891" s="812"/>
    </row>
    <row r="53892" spans="7:7">
      <c r="G53892" s="812"/>
    </row>
    <row r="53893" spans="7:7">
      <c r="G53893" s="812"/>
    </row>
    <row r="53894" spans="7:7">
      <c r="G53894" s="812"/>
    </row>
    <row r="53895" spans="7:7">
      <c r="G53895" s="812"/>
    </row>
    <row r="53896" spans="7:7">
      <c r="G53896" s="812"/>
    </row>
    <row r="53897" spans="7:7">
      <c r="G53897" s="812"/>
    </row>
    <row r="53898" spans="7:7">
      <c r="G53898" s="812"/>
    </row>
    <row r="53899" spans="7:7">
      <c r="G53899" s="812"/>
    </row>
    <row r="53900" spans="7:7">
      <c r="G53900" s="812"/>
    </row>
    <row r="53901" spans="7:7">
      <c r="G53901" s="812"/>
    </row>
    <row r="53902" spans="7:7">
      <c r="G53902" s="812"/>
    </row>
    <row r="53903" spans="7:7">
      <c r="G53903" s="812"/>
    </row>
    <row r="53904" spans="7:7">
      <c r="G53904" s="812"/>
    </row>
    <row r="53905" spans="7:7">
      <c r="G53905" s="812"/>
    </row>
    <row r="53906" spans="7:7">
      <c r="G53906" s="812"/>
    </row>
    <row r="53907" spans="7:7">
      <c r="G53907" s="812"/>
    </row>
    <row r="53908" spans="7:7">
      <c r="G53908" s="812"/>
    </row>
    <row r="53909" spans="7:7">
      <c r="G53909" s="812"/>
    </row>
    <row r="53910" spans="7:7">
      <c r="G53910" s="812"/>
    </row>
    <row r="53911" spans="7:7">
      <c r="G53911" s="812"/>
    </row>
    <row r="53912" spans="7:7">
      <c r="G53912" s="812"/>
    </row>
    <row r="53913" spans="7:7">
      <c r="G53913" s="812"/>
    </row>
    <row r="53914" spans="7:7">
      <c r="G53914" s="812"/>
    </row>
    <row r="53915" spans="7:7">
      <c r="G53915" s="812"/>
    </row>
    <row r="53916" spans="7:7">
      <c r="G53916" s="812"/>
    </row>
    <row r="53917" spans="7:7">
      <c r="G53917" s="812"/>
    </row>
    <row r="53918" spans="7:7">
      <c r="G53918" s="812"/>
    </row>
    <row r="53919" spans="7:7">
      <c r="G53919" s="812"/>
    </row>
    <row r="53920" spans="7:7">
      <c r="G53920" s="812"/>
    </row>
    <row r="53921" spans="7:7">
      <c r="G53921" s="812"/>
    </row>
    <row r="53922" spans="7:7">
      <c r="G53922" s="812"/>
    </row>
    <row r="53923" spans="7:7">
      <c r="G53923" s="812"/>
    </row>
    <row r="53924" spans="7:7">
      <c r="G53924" s="812"/>
    </row>
    <row r="53925" spans="7:7">
      <c r="G53925" s="812"/>
    </row>
    <row r="53926" spans="7:7">
      <c r="G53926" s="812"/>
    </row>
    <row r="53927" spans="7:7">
      <c r="G53927" s="812"/>
    </row>
    <row r="53928" spans="7:7">
      <c r="G53928" s="812"/>
    </row>
    <row r="53929" spans="7:7">
      <c r="G53929" s="812"/>
    </row>
    <row r="53930" spans="7:7">
      <c r="G53930" s="812"/>
    </row>
    <row r="53931" spans="7:7">
      <c r="G53931" s="812"/>
    </row>
    <row r="53932" spans="7:7">
      <c r="G53932" s="812"/>
    </row>
    <row r="53933" spans="7:7">
      <c r="G53933" s="812"/>
    </row>
    <row r="53934" spans="7:7">
      <c r="G53934" s="812"/>
    </row>
    <row r="53935" spans="7:7">
      <c r="G53935" s="812"/>
    </row>
    <row r="53936" spans="7:7">
      <c r="G53936" s="812"/>
    </row>
    <row r="53937" spans="7:7">
      <c r="G53937" s="812"/>
    </row>
    <row r="53938" spans="7:7">
      <c r="G53938" s="812"/>
    </row>
    <row r="53939" spans="7:7">
      <c r="G53939" s="812"/>
    </row>
    <row r="53940" spans="7:7">
      <c r="G53940" s="812"/>
    </row>
    <row r="53941" spans="7:7">
      <c r="G53941" s="812"/>
    </row>
    <row r="53942" spans="7:7">
      <c r="G53942" s="812"/>
    </row>
    <row r="53943" spans="7:7">
      <c r="G53943" s="812"/>
    </row>
    <row r="53944" spans="7:7">
      <c r="G53944" s="812"/>
    </row>
    <row r="53945" spans="7:7">
      <c r="G53945" s="812"/>
    </row>
    <row r="53946" spans="7:7">
      <c r="G53946" s="812"/>
    </row>
    <row r="53947" spans="7:7">
      <c r="G53947" s="812"/>
    </row>
    <row r="53948" spans="7:7">
      <c r="G53948" s="812"/>
    </row>
    <row r="53949" spans="7:7">
      <c r="G53949" s="812"/>
    </row>
    <row r="53950" spans="7:7">
      <c r="G53950" s="812"/>
    </row>
    <row r="53951" spans="7:7">
      <c r="G53951" s="812"/>
    </row>
    <row r="53952" spans="7:7">
      <c r="G53952" s="812"/>
    </row>
    <row r="53953" spans="7:7">
      <c r="G53953" s="812"/>
    </row>
    <row r="53954" spans="7:7">
      <c r="G53954" s="812"/>
    </row>
    <row r="53955" spans="7:7">
      <c r="G53955" s="812"/>
    </row>
    <row r="53956" spans="7:7">
      <c r="G53956" s="812"/>
    </row>
    <row r="53957" spans="7:7">
      <c r="G53957" s="812"/>
    </row>
    <row r="53958" spans="7:7">
      <c r="G53958" s="812"/>
    </row>
    <row r="53959" spans="7:7">
      <c r="G53959" s="812"/>
    </row>
    <row r="53960" spans="7:7">
      <c r="G53960" s="812"/>
    </row>
    <row r="53961" spans="7:7">
      <c r="G53961" s="812"/>
    </row>
    <row r="53962" spans="7:7">
      <c r="G53962" s="812"/>
    </row>
    <row r="53963" spans="7:7">
      <c r="G53963" s="812"/>
    </row>
    <row r="53964" spans="7:7">
      <c r="G53964" s="812"/>
    </row>
    <row r="53965" spans="7:7">
      <c r="G53965" s="812"/>
    </row>
    <row r="53966" spans="7:7">
      <c r="G53966" s="812"/>
    </row>
    <row r="53967" spans="7:7">
      <c r="G53967" s="812"/>
    </row>
    <row r="53968" spans="7:7">
      <c r="G53968" s="812"/>
    </row>
    <row r="53969" spans="7:7">
      <c r="G53969" s="812"/>
    </row>
    <row r="53970" spans="7:7">
      <c r="G53970" s="812"/>
    </row>
    <row r="53971" spans="7:7">
      <c r="G53971" s="812"/>
    </row>
    <row r="53972" spans="7:7">
      <c r="G53972" s="812"/>
    </row>
    <row r="53973" spans="7:7">
      <c r="G53973" s="812"/>
    </row>
    <row r="53974" spans="7:7">
      <c r="G53974" s="812"/>
    </row>
    <row r="53975" spans="7:7">
      <c r="G53975" s="812"/>
    </row>
    <row r="53976" spans="7:7">
      <c r="G53976" s="812"/>
    </row>
    <row r="53977" spans="7:7">
      <c r="G53977" s="812"/>
    </row>
    <row r="53978" spans="7:7">
      <c r="G53978" s="812"/>
    </row>
    <row r="53979" spans="7:7">
      <c r="G53979" s="812"/>
    </row>
    <row r="53980" spans="7:7">
      <c r="G53980" s="812"/>
    </row>
    <row r="53981" spans="7:7">
      <c r="G53981" s="812"/>
    </row>
    <row r="53982" spans="7:7">
      <c r="G53982" s="812"/>
    </row>
    <row r="53983" spans="7:7">
      <c r="G53983" s="812"/>
    </row>
    <row r="53984" spans="7:7">
      <c r="G53984" s="812"/>
    </row>
    <row r="53985" spans="7:7">
      <c r="G53985" s="812"/>
    </row>
    <row r="53986" spans="7:7">
      <c r="G53986" s="812"/>
    </row>
    <row r="53987" spans="7:7">
      <c r="G53987" s="812"/>
    </row>
    <row r="53988" spans="7:7">
      <c r="G53988" s="812"/>
    </row>
    <row r="53989" spans="7:7">
      <c r="G53989" s="812"/>
    </row>
    <row r="53990" spans="7:7">
      <c r="G53990" s="812"/>
    </row>
    <row r="53991" spans="7:7">
      <c r="G53991" s="812"/>
    </row>
    <row r="53992" spans="7:7">
      <c r="G53992" s="812"/>
    </row>
    <row r="53993" spans="7:7">
      <c r="G53993" s="812"/>
    </row>
    <row r="53994" spans="7:7">
      <c r="G53994" s="812"/>
    </row>
    <row r="53995" spans="7:7">
      <c r="G53995" s="812"/>
    </row>
    <row r="53996" spans="7:7">
      <c r="G53996" s="812"/>
    </row>
    <row r="53997" spans="7:7">
      <c r="G53997" s="812"/>
    </row>
    <row r="53998" spans="7:7">
      <c r="G53998" s="812"/>
    </row>
    <row r="53999" spans="7:7">
      <c r="G53999" s="812"/>
    </row>
    <row r="54000" spans="7:7">
      <c r="G54000" s="812"/>
    </row>
    <row r="54001" spans="7:7">
      <c r="G54001" s="812"/>
    </row>
    <row r="54002" spans="7:7">
      <c r="G54002" s="812"/>
    </row>
    <row r="54003" spans="7:7">
      <c r="G54003" s="812"/>
    </row>
    <row r="54004" spans="7:7">
      <c r="G54004" s="812"/>
    </row>
    <row r="54005" spans="7:7">
      <c r="G54005" s="812"/>
    </row>
    <row r="54006" spans="7:7">
      <c r="G54006" s="812"/>
    </row>
    <row r="54007" spans="7:7">
      <c r="G54007" s="812"/>
    </row>
    <row r="54008" spans="7:7">
      <c r="G54008" s="812"/>
    </row>
    <row r="54009" spans="7:7">
      <c r="G54009" s="812"/>
    </row>
    <row r="54010" spans="7:7">
      <c r="G54010" s="812"/>
    </row>
    <row r="54011" spans="7:7">
      <c r="G54011" s="812"/>
    </row>
    <row r="54012" spans="7:7">
      <c r="G54012" s="812"/>
    </row>
    <row r="54013" spans="7:7">
      <c r="G54013" s="812"/>
    </row>
    <row r="54014" spans="7:7">
      <c r="G54014" s="812"/>
    </row>
    <row r="54015" spans="7:7">
      <c r="G54015" s="812"/>
    </row>
    <row r="54016" spans="7:7">
      <c r="G54016" s="812"/>
    </row>
    <row r="54017" spans="7:7">
      <c r="G54017" s="812"/>
    </row>
    <row r="54018" spans="7:7">
      <c r="G54018" s="812"/>
    </row>
    <row r="54019" spans="7:7">
      <c r="G54019" s="812"/>
    </row>
    <row r="54020" spans="7:7">
      <c r="G54020" s="812"/>
    </row>
    <row r="54021" spans="7:7">
      <c r="G54021" s="812"/>
    </row>
    <row r="54022" spans="7:7">
      <c r="G54022" s="812"/>
    </row>
    <row r="54023" spans="7:7">
      <c r="G54023" s="812"/>
    </row>
    <row r="54024" spans="7:7">
      <c r="G54024" s="812"/>
    </row>
    <row r="54025" spans="7:7">
      <c r="G54025" s="812"/>
    </row>
    <row r="54026" spans="7:7">
      <c r="G54026" s="812"/>
    </row>
    <row r="54027" spans="7:7">
      <c r="G54027" s="812"/>
    </row>
    <row r="54028" spans="7:7">
      <c r="G54028" s="812"/>
    </row>
    <row r="54029" spans="7:7">
      <c r="G54029" s="812"/>
    </row>
    <row r="54030" spans="7:7">
      <c r="G54030" s="812"/>
    </row>
    <row r="54031" spans="7:7">
      <c r="G54031" s="812"/>
    </row>
    <row r="54032" spans="7:7">
      <c r="G54032" s="812"/>
    </row>
    <row r="54033" spans="7:7">
      <c r="G54033" s="812"/>
    </row>
    <row r="54034" spans="7:7">
      <c r="G54034" s="812"/>
    </row>
    <row r="54035" spans="7:7">
      <c r="G54035" s="812"/>
    </row>
    <row r="54036" spans="7:7">
      <c r="G54036" s="812"/>
    </row>
    <row r="54037" spans="7:7">
      <c r="G54037" s="812"/>
    </row>
    <row r="54038" spans="7:7">
      <c r="G54038" s="812"/>
    </row>
    <row r="54039" spans="7:7">
      <c r="G54039" s="812"/>
    </row>
    <row r="54040" spans="7:7">
      <c r="G54040" s="812"/>
    </row>
    <row r="54041" spans="7:7">
      <c r="G54041" s="812"/>
    </row>
    <row r="54042" spans="7:7">
      <c r="G54042" s="812"/>
    </row>
    <row r="54043" spans="7:7">
      <c r="G54043" s="812"/>
    </row>
    <row r="54044" spans="7:7">
      <c r="G54044" s="812"/>
    </row>
    <row r="54045" spans="7:7">
      <c r="G54045" s="812"/>
    </row>
    <row r="54046" spans="7:7">
      <c r="G54046" s="812"/>
    </row>
    <row r="54047" spans="7:7">
      <c r="G54047" s="812"/>
    </row>
    <row r="54048" spans="7:7">
      <c r="G54048" s="812"/>
    </row>
    <row r="54049" spans="7:7">
      <c r="G54049" s="812"/>
    </row>
    <row r="54050" spans="7:7">
      <c r="G54050" s="812"/>
    </row>
    <row r="54051" spans="7:7">
      <c r="G54051" s="812"/>
    </row>
    <row r="54052" spans="7:7">
      <c r="G54052" s="812"/>
    </row>
    <row r="54053" spans="7:7">
      <c r="G54053" s="812"/>
    </row>
    <row r="54054" spans="7:7">
      <c r="G54054" s="812"/>
    </row>
    <row r="54055" spans="7:7">
      <c r="G54055" s="812"/>
    </row>
    <row r="54056" spans="7:7">
      <c r="G54056" s="812"/>
    </row>
    <row r="54057" spans="7:7">
      <c r="G54057" s="812"/>
    </row>
    <row r="54058" spans="7:7">
      <c r="G54058" s="812"/>
    </row>
    <row r="54059" spans="7:7">
      <c r="G54059" s="812"/>
    </row>
    <row r="54060" spans="7:7">
      <c r="G54060" s="812"/>
    </row>
    <row r="54061" spans="7:7">
      <c r="G54061" s="812"/>
    </row>
    <row r="54062" spans="7:7">
      <c r="G54062" s="812"/>
    </row>
    <row r="54063" spans="7:7">
      <c r="G54063" s="812"/>
    </row>
    <row r="54064" spans="7:7">
      <c r="G54064" s="812"/>
    </row>
    <row r="54065" spans="7:7">
      <c r="G54065" s="812"/>
    </row>
    <row r="54066" spans="7:7">
      <c r="G54066" s="812"/>
    </row>
    <row r="54067" spans="7:7">
      <c r="G54067" s="812"/>
    </row>
    <row r="54068" spans="7:7">
      <c r="G54068" s="812"/>
    </row>
    <row r="54069" spans="7:7">
      <c r="G54069" s="812"/>
    </row>
    <row r="54070" spans="7:7">
      <c r="G54070" s="812"/>
    </row>
    <row r="54071" spans="7:7">
      <c r="G54071" s="812"/>
    </row>
    <row r="54072" spans="7:7">
      <c r="G54072" s="812"/>
    </row>
    <row r="54073" spans="7:7">
      <c r="G54073" s="812"/>
    </row>
    <row r="54074" spans="7:7">
      <c r="G54074" s="812"/>
    </row>
    <row r="54075" spans="7:7">
      <c r="G54075" s="812"/>
    </row>
    <row r="54076" spans="7:7">
      <c r="G54076" s="812"/>
    </row>
    <row r="54077" spans="7:7">
      <c r="G54077" s="812"/>
    </row>
    <row r="54078" spans="7:7">
      <c r="G54078" s="812"/>
    </row>
    <row r="54079" spans="7:7">
      <c r="G54079" s="812"/>
    </row>
    <row r="54080" spans="7:7">
      <c r="G54080" s="812"/>
    </row>
    <row r="54081" spans="7:7">
      <c r="G54081" s="812"/>
    </row>
    <row r="54082" spans="7:7">
      <c r="G54082" s="812"/>
    </row>
    <row r="54083" spans="7:7">
      <c r="G54083" s="812"/>
    </row>
    <row r="54084" spans="7:7">
      <c r="G54084" s="812"/>
    </row>
    <row r="54085" spans="7:7">
      <c r="G54085" s="812"/>
    </row>
    <row r="54086" spans="7:7">
      <c r="G54086" s="812"/>
    </row>
    <row r="54087" spans="7:7">
      <c r="G54087" s="812"/>
    </row>
    <row r="54088" spans="7:7">
      <c r="G54088" s="812"/>
    </row>
    <row r="54089" spans="7:7">
      <c r="G54089" s="812"/>
    </row>
    <row r="54090" spans="7:7">
      <c r="G54090" s="812"/>
    </row>
    <row r="54091" spans="7:7">
      <c r="G54091" s="812"/>
    </row>
    <row r="54092" spans="7:7">
      <c r="G54092" s="812"/>
    </row>
    <row r="54093" spans="7:7">
      <c r="G54093" s="812"/>
    </row>
    <row r="54094" spans="7:7">
      <c r="G54094" s="812"/>
    </row>
    <row r="54095" spans="7:7">
      <c r="G54095" s="812"/>
    </row>
    <row r="54096" spans="7:7">
      <c r="G54096" s="812"/>
    </row>
    <row r="54097" spans="7:7">
      <c r="G54097" s="812"/>
    </row>
    <row r="54098" spans="7:7">
      <c r="G54098" s="812"/>
    </row>
    <row r="54099" spans="7:7">
      <c r="G54099" s="812"/>
    </row>
    <row r="54100" spans="7:7">
      <c r="G54100" s="812"/>
    </row>
    <row r="54101" spans="7:7">
      <c r="G54101" s="812"/>
    </row>
    <row r="54102" spans="7:7">
      <c r="G54102" s="812"/>
    </row>
    <row r="54103" spans="7:7">
      <c r="G54103" s="812"/>
    </row>
    <row r="54104" spans="7:7">
      <c r="G54104" s="812"/>
    </row>
    <row r="54105" spans="7:7">
      <c r="G54105" s="812"/>
    </row>
    <row r="54106" spans="7:7">
      <c r="G54106" s="812"/>
    </row>
    <row r="54107" spans="7:7">
      <c r="G54107" s="812"/>
    </row>
    <row r="54108" spans="7:7">
      <c r="G54108" s="812"/>
    </row>
    <row r="54109" spans="7:7">
      <c r="G54109" s="812"/>
    </row>
    <row r="54110" spans="7:7">
      <c r="G54110" s="812"/>
    </row>
    <row r="54111" spans="7:7">
      <c r="G54111" s="812"/>
    </row>
    <row r="54112" spans="7:7">
      <c r="G54112" s="812"/>
    </row>
    <row r="54113" spans="7:7">
      <c r="G54113" s="812"/>
    </row>
    <row r="54114" spans="7:7">
      <c r="G54114" s="812"/>
    </row>
    <row r="54115" spans="7:7">
      <c r="G54115" s="812"/>
    </row>
    <row r="54116" spans="7:7">
      <c r="G54116" s="812"/>
    </row>
    <row r="54117" spans="7:7">
      <c r="G54117" s="812"/>
    </row>
    <row r="54118" spans="7:7">
      <c r="G54118" s="812"/>
    </row>
    <row r="54119" spans="7:7">
      <c r="G54119" s="812"/>
    </row>
    <row r="54120" spans="7:7">
      <c r="G54120" s="812"/>
    </row>
    <row r="54121" spans="7:7">
      <c r="G54121" s="812"/>
    </row>
    <row r="54122" spans="7:7">
      <c r="G54122" s="812"/>
    </row>
    <row r="54123" spans="7:7">
      <c r="G54123" s="812"/>
    </row>
    <row r="54124" spans="7:7">
      <c r="G54124" s="812"/>
    </row>
    <row r="54125" spans="7:7">
      <c r="G54125" s="812"/>
    </row>
    <row r="54126" spans="7:7">
      <c r="G54126" s="812"/>
    </row>
    <row r="54127" spans="7:7">
      <c r="G54127" s="812"/>
    </row>
    <row r="54128" spans="7:7">
      <c r="G54128" s="812"/>
    </row>
    <row r="54129" spans="7:7">
      <c r="G54129" s="812"/>
    </row>
    <row r="54130" spans="7:7">
      <c r="G54130" s="812"/>
    </row>
    <row r="54131" spans="7:7">
      <c r="G54131" s="812"/>
    </row>
    <row r="54132" spans="7:7">
      <c r="G54132" s="812"/>
    </row>
    <row r="54133" spans="7:7">
      <c r="G54133" s="812"/>
    </row>
    <row r="54134" spans="7:7">
      <c r="G54134" s="812"/>
    </row>
    <row r="54135" spans="7:7">
      <c r="G54135" s="812"/>
    </row>
    <row r="54136" spans="7:7">
      <c r="G54136" s="812"/>
    </row>
    <row r="54137" spans="7:7">
      <c r="G54137" s="812"/>
    </row>
    <row r="54138" spans="7:7">
      <c r="G54138" s="812"/>
    </row>
    <row r="54139" spans="7:7">
      <c r="G54139" s="812"/>
    </row>
    <row r="54140" spans="7:7">
      <c r="G54140" s="812"/>
    </row>
    <row r="54141" spans="7:7">
      <c r="G54141" s="812"/>
    </row>
    <row r="54142" spans="7:7">
      <c r="G54142" s="812"/>
    </row>
    <row r="54143" spans="7:7">
      <c r="G54143" s="812"/>
    </row>
    <row r="54144" spans="7:7">
      <c r="G54144" s="812"/>
    </row>
    <row r="54145" spans="7:7">
      <c r="G54145" s="812"/>
    </row>
    <row r="54146" spans="7:7">
      <c r="G54146" s="812"/>
    </row>
    <row r="54147" spans="7:7">
      <c r="G54147" s="812"/>
    </row>
    <row r="54148" spans="7:7">
      <c r="G54148" s="812"/>
    </row>
    <row r="54149" spans="7:7">
      <c r="G54149" s="812"/>
    </row>
    <row r="54150" spans="7:7">
      <c r="G54150" s="812"/>
    </row>
    <row r="54151" spans="7:7">
      <c r="G54151" s="812"/>
    </row>
    <row r="54152" spans="7:7">
      <c r="G54152" s="812"/>
    </row>
    <row r="54153" spans="7:7">
      <c r="G54153" s="812"/>
    </row>
    <row r="54154" spans="7:7">
      <c r="G54154" s="812"/>
    </row>
    <row r="54155" spans="7:7">
      <c r="G54155" s="812"/>
    </row>
    <row r="54156" spans="7:7">
      <c r="G54156" s="812"/>
    </row>
    <row r="54157" spans="7:7">
      <c r="G54157" s="812"/>
    </row>
    <row r="54158" spans="7:7">
      <c r="G54158" s="812"/>
    </row>
    <row r="54159" spans="7:7">
      <c r="G54159" s="812"/>
    </row>
    <row r="54160" spans="7:7">
      <c r="G54160" s="812"/>
    </row>
    <row r="54161" spans="7:7">
      <c r="G54161" s="812"/>
    </row>
    <row r="54162" spans="7:7">
      <c r="G54162" s="812"/>
    </row>
    <row r="54163" spans="7:7">
      <c r="G54163" s="812"/>
    </row>
    <row r="54164" spans="7:7">
      <c r="G54164" s="812"/>
    </row>
    <row r="54165" spans="7:7">
      <c r="G54165" s="812"/>
    </row>
    <row r="54166" spans="7:7">
      <c r="G54166" s="812"/>
    </row>
    <row r="54167" spans="7:7">
      <c r="G54167" s="812"/>
    </row>
    <row r="54168" spans="7:7">
      <c r="G54168" s="812"/>
    </row>
    <row r="54169" spans="7:7">
      <c r="G54169" s="812"/>
    </row>
    <row r="54170" spans="7:7">
      <c r="G54170" s="812"/>
    </row>
    <row r="54171" spans="7:7">
      <c r="G54171" s="812"/>
    </row>
    <row r="54172" spans="7:7">
      <c r="G54172" s="812"/>
    </row>
    <row r="54173" spans="7:7">
      <c r="G54173" s="812"/>
    </row>
    <row r="54174" spans="7:7">
      <c r="G54174" s="812"/>
    </row>
    <row r="54175" spans="7:7">
      <c r="G54175" s="812"/>
    </row>
    <row r="54176" spans="7:7">
      <c r="G54176" s="812"/>
    </row>
    <row r="54177" spans="7:7">
      <c r="G54177" s="812"/>
    </row>
    <row r="54178" spans="7:7">
      <c r="G54178" s="812"/>
    </row>
    <row r="54179" spans="7:7">
      <c r="G54179" s="812"/>
    </row>
    <row r="54180" spans="7:7">
      <c r="G54180" s="812"/>
    </row>
    <row r="54181" spans="7:7">
      <c r="G54181" s="812"/>
    </row>
    <row r="54182" spans="7:7">
      <c r="G54182" s="812"/>
    </row>
    <row r="54183" spans="7:7">
      <c r="G54183" s="812"/>
    </row>
    <row r="54184" spans="7:7">
      <c r="G54184" s="812"/>
    </row>
    <row r="54185" spans="7:7">
      <c r="G54185" s="812"/>
    </row>
    <row r="54186" spans="7:7">
      <c r="G54186" s="812"/>
    </row>
    <row r="54187" spans="7:7">
      <c r="G54187" s="812"/>
    </row>
    <row r="54188" spans="7:7">
      <c r="G54188" s="812"/>
    </row>
    <row r="54189" spans="7:7">
      <c r="G54189" s="812"/>
    </row>
    <row r="54190" spans="7:7">
      <c r="G54190" s="812"/>
    </row>
    <row r="54191" spans="7:7">
      <c r="G54191" s="812"/>
    </row>
    <row r="54192" spans="7:7">
      <c r="G54192" s="812"/>
    </row>
    <row r="54193" spans="7:7">
      <c r="G54193" s="812"/>
    </row>
    <row r="54194" spans="7:7">
      <c r="G54194" s="812"/>
    </row>
    <row r="54195" spans="7:7">
      <c r="G54195" s="812"/>
    </row>
    <row r="54196" spans="7:7">
      <c r="G54196" s="812"/>
    </row>
    <row r="54197" spans="7:7">
      <c r="G54197" s="812"/>
    </row>
    <row r="54198" spans="7:7">
      <c r="G54198" s="812"/>
    </row>
    <row r="54199" spans="7:7">
      <c r="G54199" s="812"/>
    </row>
    <row r="54200" spans="7:7">
      <c r="G54200" s="812"/>
    </row>
    <row r="54201" spans="7:7">
      <c r="G54201" s="812"/>
    </row>
    <row r="54202" spans="7:7">
      <c r="G54202" s="812"/>
    </row>
    <row r="54203" spans="7:7">
      <c r="G54203" s="812"/>
    </row>
    <row r="54204" spans="7:7">
      <c r="G54204" s="812"/>
    </row>
    <row r="54205" spans="7:7">
      <c r="G54205" s="812"/>
    </row>
    <row r="54206" spans="7:7">
      <c r="G54206" s="812"/>
    </row>
    <row r="54207" spans="7:7">
      <c r="G54207" s="812"/>
    </row>
    <row r="54208" spans="7:7">
      <c r="G54208" s="812"/>
    </row>
    <row r="54209" spans="7:7">
      <c r="G54209" s="812"/>
    </row>
    <row r="54210" spans="7:7">
      <c r="G54210" s="812"/>
    </row>
    <row r="54211" spans="7:7">
      <c r="G54211" s="812"/>
    </row>
    <row r="54212" spans="7:7">
      <c r="G54212" s="812"/>
    </row>
    <row r="54213" spans="7:7">
      <c r="G54213" s="812"/>
    </row>
    <row r="54214" spans="7:7">
      <c r="G54214" s="812"/>
    </row>
    <row r="54215" spans="7:7">
      <c r="G54215" s="812"/>
    </row>
    <row r="54216" spans="7:7">
      <c r="G54216" s="812"/>
    </row>
    <row r="54217" spans="7:7">
      <c r="G54217" s="812"/>
    </row>
    <row r="54218" spans="7:7">
      <c r="G54218" s="812"/>
    </row>
    <row r="54219" spans="7:7">
      <c r="G54219" s="812"/>
    </row>
    <row r="54220" spans="7:7">
      <c r="G54220" s="812"/>
    </row>
    <row r="54221" spans="7:7">
      <c r="G54221" s="812"/>
    </row>
    <row r="54222" spans="7:7">
      <c r="G54222" s="812"/>
    </row>
    <row r="54223" spans="7:7">
      <c r="G54223" s="812"/>
    </row>
    <row r="54224" spans="7:7">
      <c r="G54224" s="812"/>
    </row>
    <row r="54225" spans="7:7">
      <c r="G54225" s="812"/>
    </row>
    <row r="54226" spans="7:7">
      <c r="G54226" s="812"/>
    </row>
    <row r="54227" spans="7:7">
      <c r="G54227" s="812"/>
    </row>
    <row r="54228" spans="7:7">
      <c r="G54228" s="812"/>
    </row>
    <row r="54229" spans="7:7">
      <c r="G54229" s="812"/>
    </row>
    <row r="54230" spans="7:7">
      <c r="G54230" s="812"/>
    </row>
    <row r="54231" spans="7:7">
      <c r="G54231" s="812"/>
    </row>
    <row r="54232" spans="7:7">
      <c r="G54232" s="812"/>
    </row>
    <row r="54233" spans="7:7">
      <c r="G54233" s="812"/>
    </row>
    <row r="54234" spans="7:7">
      <c r="G54234" s="812"/>
    </row>
    <row r="54235" spans="7:7">
      <c r="G54235" s="812"/>
    </row>
    <row r="54236" spans="7:7">
      <c r="G54236" s="812"/>
    </row>
    <row r="54237" spans="7:7">
      <c r="G54237" s="812"/>
    </row>
    <row r="54238" spans="7:7">
      <c r="G54238" s="812"/>
    </row>
    <row r="54239" spans="7:7">
      <c r="G54239" s="812"/>
    </row>
    <row r="54240" spans="7:7">
      <c r="G54240" s="812"/>
    </row>
    <row r="54241" spans="7:7">
      <c r="G54241" s="812"/>
    </row>
    <row r="54242" spans="7:7">
      <c r="G54242" s="812"/>
    </row>
    <row r="54243" spans="7:7">
      <c r="G54243" s="812"/>
    </row>
    <row r="54244" spans="7:7">
      <c r="G54244" s="812"/>
    </row>
    <row r="54245" spans="7:7">
      <c r="G54245" s="812"/>
    </row>
    <row r="54246" spans="7:7">
      <c r="G54246" s="812"/>
    </row>
    <row r="54247" spans="7:7">
      <c r="G54247" s="812"/>
    </row>
    <row r="54248" spans="7:7">
      <c r="G54248" s="812"/>
    </row>
    <row r="54249" spans="7:7">
      <c r="G54249" s="812"/>
    </row>
    <row r="54250" spans="7:7">
      <c r="G54250" s="812"/>
    </row>
    <row r="54251" spans="7:7">
      <c r="G54251" s="812"/>
    </row>
    <row r="54252" spans="7:7">
      <c r="G54252" s="812"/>
    </row>
    <row r="54253" spans="7:7">
      <c r="G54253" s="812"/>
    </row>
    <row r="54254" spans="7:7">
      <c r="G54254" s="812"/>
    </row>
    <row r="54255" spans="7:7">
      <c r="G54255" s="812"/>
    </row>
    <row r="54256" spans="7:7">
      <c r="G54256" s="812"/>
    </row>
    <row r="54257" spans="7:7">
      <c r="G54257" s="812"/>
    </row>
    <row r="54258" spans="7:7">
      <c r="G54258" s="812"/>
    </row>
    <row r="54259" spans="7:7">
      <c r="G54259" s="812"/>
    </row>
    <row r="54260" spans="7:7">
      <c r="G54260" s="812"/>
    </row>
    <row r="54261" spans="7:7">
      <c r="G54261" s="812"/>
    </row>
    <row r="54262" spans="7:7">
      <c r="G54262" s="812"/>
    </row>
    <row r="54263" spans="7:7">
      <c r="G54263" s="812"/>
    </row>
    <row r="54264" spans="7:7">
      <c r="G54264" s="812"/>
    </row>
    <row r="54265" spans="7:7">
      <c r="G54265" s="812"/>
    </row>
    <row r="54266" spans="7:7">
      <c r="G54266" s="812"/>
    </row>
    <row r="54267" spans="7:7">
      <c r="G54267" s="812"/>
    </row>
    <row r="54268" spans="7:7">
      <c r="G54268" s="812"/>
    </row>
    <row r="54269" spans="7:7">
      <c r="G54269" s="812"/>
    </row>
    <row r="54270" spans="7:7">
      <c r="G54270" s="812"/>
    </row>
    <row r="54271" spans="7:7">
      <c r="G54271" s="812"/>
    </row>
    <row r="54272" spans="7:7">
      <c r="G54272" s="812"/>
    </row>
    <row r="54273" spans="7:7">
      <c r="G54273" s="812"/>
    </row>
    <row r="54274" spans="7:7">
      <c r="G54274" s="812"/>
    </row>
    <row r="54275" spans="7:7">
      <c r="G54275" s="812"/>
    </row>
    <row r="54276" spans="7:7">
      <c r="G54276" s="812"/>
    </row>
    <row r="54277" spans="7:7">
      <c r="G54277" s="812"/>
    </row>
    <row r="54278" spans="7:7">
      <c r="G54278" s="812"/>
    </row>
    <row r="54279" spans="7:7">
      <c r="G54279" s="812"/>
    </row>
    <row r="54280" spans="7:7">
      <c r="G54280" s="812"/>
    </row>
    <row r="54281" spans="7:7">
      <c r="G54281" s="812"/>
    </row>
    <row r="54282" spans="7:7">
      <c r="G54282" s="812"/>
    </row>
    <row r="54283" spans="7:7">
      <c r="G54283" s="812"/>
    </row>
    <row r="54284" spans="7:7">
      <c r="G54284" s="812"/>
    </row>
    <row r="54285" spans="7:7">
      <c r="G54285" s="812"/>
    </row>
    <row r="54286" spans="7:7">
      <c r="G54286" s="812"/>
    </row>
    <row r="54287" spans="7:7">
      <c r="G54287" s="812"/>
    </row>
    <row r="54288" spans="7:7">
      <c r="G54288" s="812"/>
    </row>
    <row r="54289" spans="7:7">
      <c r="G54289" s="812"/>
    </row>
    <row r="54290" spans="7:7">
      <c r="G54290" s="812"/>
    </row>
    <row r="54291" spans="7:7">
      <c r="G54291" s="812"/>
    </row>
    <row r="54292" spans="7:7">
      <c r="G54292" s="812"/>
    </row>
    <row r="54293" spans="7:7">
      <c r="G54293" s="812"/>
    </row>
    <row r="54294" spans="7:7">
      <c r="G54294" s="812"/>
    </row>
    <row r="54295" spans="7:7">
      <c r="G54295" s="812"/>
    </row>
    <row r="54296" spans="7:7">
      <c r="G54296" s="812"/>
    </row>
    <row r="54297" spans="7:7">
      <c r="G54297" s="812"/>
    </row>
    <row r="54298" spans="7:7">
      <c r="G54298" s="812"/>
    </row>
    <row r="54299" spans="7:7">
      <c r="G54299" s="812"/>
    </row>
    <row r="54300" spans="7:7">
      <c r="G54300" s="812"/>
    </row>
    <row r="54301" spans="7:7">
      <c r="G54301" s="812"/>
    </row>
    <row r="54302" spans="7:7">
      <c r="G54302" s="812"/>
    </row>
    <row r="54303" spans="7:7">
      <c r="G54303" s="812"/>
    </row>
    <row r="54304" spans="7:7">
      <c r="G54304" s="812"/>
    </row>
    <row r="54305" spans="7:7">
      <c r="G54305" s="812"/>
    </row>
    <row r="54306" spans="7:7">
      <c r="G54306" s="812"/>
    </row>
    <row r="54307" spans="7:7">
      <c r="G54307" s="812"/>
    </row>
    <row r="54308" spans="7:7">
      <c r="G54308" s="812"/>
    </row>
    <row r="54309" spans="7:7">
      <c r="G54309" s="812"/>
    </row>
    <row r="54310" spans="7:7">
      <c r="G54310" s="812"/>
    </row>
    <row r="54311" spans="7:7">
      <c r="G54311" s="812"/>
    </row>
    <row r="54312" spans="7:7">
      <c r="G54312" s="812"/>
    </row>
    <row r="54313" spans="7:7">
      <c r="G54313" s="812"/>
    </row>
    <row r="54314" spans="7:7">
      <c r="G54314" s="812"/>
    </row>
    <row r="54315" spans="7:7">
      <c r="G54315" s="812"/>
    </row>
    <row r="54316" spans="7:7">
      <c r="G54316" s="812"/>
    </row>
    <row r="54317" spans="7:7">
      <c r="G54317" s="812"/>
    </row>
    <row r="54318" spans="7:7">
      <c r="G54318" s="812"/>
    </row>
    <row r="54319" spans="7:7">
      <c r="G54319" s="812"/>
    </row>
    <row r="54320" spans="7:7">
      <c r="G54320" s="812"/>
    </row>
    <row r="54321" spans="7:7">
      <c r="G54321" s="812"/>
    </row>
    <row r="54322" spans="7:7">
      <c r="G54322" s="812"/>
    </row>
    <row r="54323" spans="7:7">
      <c r="G54323" s="812"/>
    </row>
    <row r="54324" spans="7:7">
      <c r="G54324" s="812"/>
    </row>
    <row r="54325" spans="7:7">
      <c r="G54325" s="812"/>
    </row>
    <row r="54326" spans="7:7">
      <c r="G54326" s="812"/>
    </row>
    <row r="54327" spans="7:7">
      <c r="G54327" s="812"/>
    </row>
    <row r="54328" spans="7:7">
      <c r="G54328" s="812"/>
    </row>
    <row r="54329" spans="7:7">
      <c r="G54329" s="812"/>
    </row>
    <row r="54330" spans="7:7">
      <c r="G54330" s="812"/>
    </row>
    <row r="54331" spans="7:7">
      <c r="G54331" s="812"/>
    </row>
    <row r="54332" spans="7:7">
      <c r="G54332" s="812"/>
    </row>
    <row r="54333" spans="7:7">
      <c r="G54333" s="812"/>
    </row>
    <row r="54334" spans="7:7">
      <c r="G54334" s="812"/>
    </row>
    <row r="54335" spans="7:7">
      <c r="G54335" s="812"/>
    </row>
    <row r="54336" spans="7:7">
      <c r="G54336" s="812"/>
    </row>
    <row r="54337" spans="7:7">
      <c r="G54337" s="812"/>
    </row>
    <row r="54338" spans="7:7">
      <c r="G54338" s="812"/>
    </row>
    <row r="54339" spans="7:7">
      <c r="G54339" s="812"/>
    </row>
    <row r="54340" spans="7:7">
      <c r="G54340" s="812"/>
    </row>
    <row r="54341" spans="7:7">
      <c r="G54341" s="812"/>
    </row>
    <row r="54342" spans="7:7">
      <c r="G54342" s="812"/>
    </row>
    <row r="54343" spans="7:7">
      <c r="G54343" s="812"/>
    </row>
    <row r="54344" spans="7:7">
      <c r="G54344" s="812"/>
    </row>
    <row r="54345" spans="7:7">
      <c r="G54345" s="812"/>
    </row>
    <row r="54346" spans="7:7">
      <c r="G54346" s="812"/>
    </row>
    <row r="54347" spans="7:7">
      <c r="G54347" s="812"/>
    </row>
    <row r="54348" spans="7:7">
      <c r="G54348" s="812"/>
    </row>
    <row r="54349" spans="7:7">
      <c r="G54349" s="812"/>
    </row>
    <row r="54350" spans="7:7">
      <c r="G54350" s="812"/>
    </row>
    <row r="54351" spans="7:7">
      <c r="G54351" s="812"/>
    </row>
    <row r="54352" spans="7:7">
      <c r="G54352" s="812"/>
    </row>
    <row r="54353" spans="7:7">
      <c r="G54353" s="812"/>
    </row>
    <row r="54354" spans="7:7">
      <c r="G54354" s="812"/>
    </row>
    <row r="54355" spans="7:7">
      <c r="G54355" s="812"/>
    </row>
    <row r="54356" spans="7:7">
      <c r="G54356" s="812"/>
    </row>
    <row r="54357" spans="7:7">
      <c r="G54357" s="812"/>
    </row>
    <row r="54358" spans="7:7">
      <c r="G54358" s="812"/>
    </row>
    <row r="54359" spans="7:7">
      <c r="G54359" s="812"/>
    </row>
    <row r="54360" spans="7:7">
      <c r="G54360" s="812"/>
    </row>
    <row r="54361" spans="7:7">
      <c r="G54361" s="812"/>
    </row>
    <row r="54362" spans="7:7">
      <c r="G54362" s="812"/>
    </row>
    <row r="54363" spans="7:7">
      <c r="G54363" s="812"/>
    </row>
    <row r="54364" spans="7:7">
      <c r="G54364" s="812"/>
    </row>
    <row r="54365" spans="7:7">
      <c r="G54365" s="812"/>
    </row>
    <row r="54366" spans="7:7">
      <c r="G54366" s="812"/>
    </row>
    <row r="54367" spans="7:7">
      <c r="G54367" s="812"/>
    </row>
    <row r="54368" spans="7:7">
      <c r="G54368" s="812"/>
    </row>
    <row r="54369" spans="7:7">
      <c r="G54369" s="812"/>
    </row>
    <row r="54370" spans="7:7">
      <c r="G54370" s="812"/>
    </row>
    <row r="54371" spans="7:7">
      <c r="G54371" s="812"/>
    </row>
    <row r="54372" spans="7:7">
      <c r="G54372" s="812"/>
    </row>
    <row r="54373" spans="7:7">
      <c r="G54373" s="812"/>
    </row>
    <row r="54374" spans="7:7">
      <c r="G54374" s="812"/>
    </row>
    <row r="54375" spans="7:7">
      <c r="G54375" s="812"/>
    </row>
    <row r="54376" spans="7:7">
      <c r="G54376" s="812"/>
    </row>
    <row r="54377" spans="7:7">
      <c r="G54377" s="812"/>
    </row>
    <row r="54378" spans="7:7">
      <c r="G54378" s="812"/>
    </row>
    <row r="54379" spans="7:7">
      <c r="G54379" s="812"/>
    </row>
    <row r="54380" spans="7:7">
      <c r="G54380" s="812"/>
    </row>
    <row r="54381" spans="7:7">
      <c r="G54381" s="812"/>
    </row>
    <row r="54382" spans="7:7">
      <c r="G54382" s="812"/>
    </row>
    <row r="54383" spans="7:7">
      <c r="G54383" s="812"/>
    </row>
    <row r="54384" spans="7:7">
      <c r="G54384" s="812"/>
    </row>
    <row r="54385" spans="7:7">
      <c r="G54385" s="812"/>
    </row>
    <row r="54386" spans="7:7">
      <c r="G54386" s="812"/>
    </row>
    <row r="54387" spans="7:7">
      <c r="G54387" s="812"/>
    </row>
    <row r="54388" spans="7:7">
      <c r="G54388" s="812"/>
    </row>
    <row r="54389" spans="7:7">
      <c r="G54389" s="812"/>
    </row>
    <row r="54390" spans="7:7">
      <c r="G54390" s="812"/>
    </row>
    <row r="54391" spans="7:7">
      <c r="G54391" s="812"/>
    </row>
    <row r="54392" spans="7:7">
      <c r="G54392" s="812"/>
    </row>
    <row r="54393" spans="7:7">
      <c r="G54393" s="812"/>
    </row>
    <row r="54394" spans="7:7">
      <c r="G54394" s="812"/>
    </row>
    <row r="54395" spans="7:7">
      <c r="G54395" s="812"/>
    </row>
    <row r="54396" spans="7:7">
      <c r="G54396" s="812"/>
    </row>
    <row r="54397" spans="7:7">
      <c r="G54397" s="812"/>
    </row>
    <row r="54398" spans="7:7">
      <c r="G54398" s="812"/>
    </row>
    <row r="54399" spans="7:7">
      <c r="G54399" s="812"/>
    </row>
    <row r="54400" spans="7:7">
      <c r="G54400" s="812"/>
    </row>
    <row r="54401" spans="7:7">
      <c r="G54401" s="812"/>
    </row>
    <row r="54402" spans="7:7">
      <c r="G54402" s="812"/>
    </row>
    <row r="54403" spans="7:7">
      <c r="G54403" s="812"/>
    </row>
    <row r="54404" spans="7:7">
      <c r="G54404" s="812"/>
    </row>
    <row r="54405" spans="7:7">
      <c r="G54405" s="812"/>
    </row>
    <row r="54406" spans="7:7">
      <c r="G54406" s="812"/>
    </row>
    <row r="54407" spans="7:7">
      <c r="G54407" s="812"/>
    </row>
    <row r="54408" spans="7:7">
      <c r="G54408" s="812"/>
    </row>
    <row r="54409" spans="7:7">
      <c r="G54409" s="812"/>
    </row>
    <row r="54410" spans="7:7">
      <c r="G54410" s="812"/>
    </row>
    <row r="54411" spans="7:7">
      <c r="G54411" s="812"/>
    </row>
    <row r="54412" spans="7:7">
      <c r="G54412" s="812"/>
    </row>
    <row r="54413" spans="7:7">
      <c r="G54413" s="812"/>
    </row>
    <row r="54414" spans="7:7">
      <c r="G54414" s="812"/>
    </row>
    <row r="54415" spans="7:7">
      <c r="G54415" s="812"/>
    </row>
    <row r="54416" spans="7:7">
      <c r="G54416" s="812"/>
    </row>
    <row r="54417" spans="7:7">
      <c r="G54417" s="812"/>
    </row>
    <row r="54418" spans="7:7">
      <c r="G54418" s="812"/>
    </row>
    <row r="54419" spans="7:7">
      <c r="G54419" s="812"/>
    </row>
    <row r="54420" spans="7:7">
      <c r="G54420" s="812"/>
    </row>
    <row r="54421" spans="7:7">
      <c r="G54421" s="812"/>
    </row>
    <row r="54422" spans="7:7">
      <c r="G54422" s="812"/>
    </row>
    <row r="54423" spans="7:7">
      <c r="G54423" s="812"/>
    </row>
    <row r="54424" spans="7:7">
      <c r="G54424" s="812"/>
    </row>
    <row r="54425" spans="7:7">
      <c r="G54425" s="812"/>
    </row>
    <row r="54426" spans="7:7">
      <c r="G54426" s="812"/>
    </row>
    <row r="54427" spans="7:7">
      <c r="G54427" s="812"/>
    </row>
    <row r="54428" spans="7:7">
      <c r="G54428" s="812"/>
    </row>
    <row r="54429" spans="7:7">
      <c r="G54429" s="812"/>
    </row>
    <row r="54430" spans="7:7">
      <c r="G54430" s="812"/>
    </row>
    <row r="54431" spans="7:7">
      <c r="G54431" s="812"/>
    </row>
    <row r="54432" spans="7:7">
      <c r="G54432" s="812"/>
    </row>
    <row r="54433" spans="7:7">
      <c r="G54433" s="812"/>
    </row>
    <row r="54434" spans="7:7">
      <c r="G54434" s="812"/>
    </row>
    <row r="54435" spans="7:7">
      <c r="G54435" s="812"/>
    </row>
    <row r="54436" spans="7:7">
      <c r="G54436" s="812"/>
    </row>
    <row r="54437" spans="7:7">
      <c r="G54437" s="812"/>
    </row>
    <row r="54438" spans="7:7">
      <c r="G54438" s="812"/>
    </row>
    <row r="54439" spans="7:7">
      <c r="G54439" s="812"/>
    </row>
    <row r="54440" spans="7:7">
      <c r="G54440" s="812"/>
    </row>
    <row r="54441" spans="7:7">
      <c r="G54441" s="812"/>
    </row>
    <row r="54442" spans="7:7">
      <c r="G54442" s="812"/>
    </row>
    <row r="54443" spans="7:7">
      <c r="G54443" s="812"/>
    </row>
    <row r="54444" spans="7:7">
      <c r="G54444" s="812"/>
    </row>
    <row r="54445" spans="7:7">
      <c r="G54445" s="812"/>
    </row>
    <row r="54446" spans="7:7">
      <c r="G54446" s="812"/>
    </row>
    <row r="54447" spans="7:7">
      <c r="G54447" s="812"/>
    </row>
    <row r="54448" spans="7:7">
      <c r="G54448" s="812"/>
    </row>
    <row r="54449" spans="7:7">
      <c r="G54449" s="812"/>
    </row>
    <row r="54450" spans="7:7">
      <c r="G54450" s="812"/>
    </row>
    <row r="54451" spans="7:7">
      <c r="G54451" s="812"/>
    </row>
    <row r="54452" spans="7:7">
      <c r="G54452" s="812"/>
    </row>
    <row r="54453" spans="7:7">
      <c r="G54453" s="812"/>
    </row>
    <row r="54454" spans="7:7">
      <c r="G54454" s="812"/>
    </row>
    <row r="54455" spans="7:7">
      <c r="G54455" s="812"/>
    </row>
    <row r="54456" spans="7:7">
      <c r="G54456" s="812"/>
    </row>
    <row r="54457" spans="7:7">
      <c r="G54457" s="812"/>
    </row>
    <row r="54458" spans="7:7">
      <c r="G54458" s="812"/>
    </row>
    <row r="54459" spans="7:7">
      <c r="G54459" s="812"/>
    </row>
    <row r="54460" spans="7:7">
      <c r="G54460" s="812"/>
    </row>
    <row r="54461" spans="7:7">
      <c r="G54461" s="812"/>
    </row>
    <row r="54462" spans="7:7">
      <c r="G54462" s="812"/>
    </row>
    <row r="54463" spans="7:7">
      <c r="G54463" s="812"/>
    </row>
    <row r="54464" spans="7:7">
      <c r="G54464" s="812"/>
    </row>
    <row r="54465" spans="7:7">
      <c r="G54465" s="812"/>
    </row>
    <row r="54466" spans="7:7">
      <c r="G54466" s="812"/>
    </row>
    <row r="54467" spans="7:7">
      <c r="G54467" s="812"/>
    </row>
    <row r="54468" spans="7:7">
      <c r="G54468" s="812"/>
    </row>
    <row r="54469" spans="7:7">
      <c r="G54469" s="812"/>
    </row>
    <row r="54470" spans="7:7">
      <c r="G54470" s="812"/>
    </row>
    <row r="54471" spans="7:7">
      <c r="G54471" s="812"/>
    </row>
    <row r="54472" spans="7:7">
      <c r="G54472" s="812"/>
    </row>
    <row r="54473" spans="7:7">
      <c r="G54473" s="812"/>
    </row>
    <row r="54474" spans="7:7">
      <c r="G54474" s="812"/>
    </row>
    <row r="54475" spans="7:7">
      <c r="G54475" s="812"/>
    </row>
    <row r="54476" spans="7:7">
      <c r="G54476" s="812"/>
    </row>
    <row r="54477" spans="7:7">
      <c r="G54477" s="812"/>
    </row>
    <row r="54478" spans="7:7">
      <c r="G54478" s="812"/>
    </row>
    <row r="54479" spans="7:7">
      <c r="G54479" s="812"/>
    </row>
    <row r="54480" spans="7:7">
      <c r="G54480" s="812"/>
    </row>
    <row r="54481" spans="7:7">
      <c r="G54481" s="812"/>
    </row>
    <row r="54482" spans="7:7">
      <c r="G54482" s="812"/>
    </row>
    <row r="54483" spans="7:7">
      <c r="G54483" s="812"/>
    </row>
    <row r="54484" spans="7:7">
      <c r="G54484" s="812"/>
    </row>
    <row r="54485" spans="7:7">
      <c r="G54485" s="812"/>
    </row>
    <row r="54486" spans="7:7">
      <c r="G54486" s="812"/>
    </row>
    <row r="54487" spans="7:7">
      <c r="G54487" s="812"/>
    </row>
    <row r="54488" spans="7:7">
      <c r="G54488" s="812"/>
    </row>
    <row r="54489" spans="7:7">
      <c r="G54489" s="812"/>
    </row>
    <row r="54490" spans="7:7">
      <c r="G54490" s="812"/>
    </row>
    <row r="54491" spans="7:7">
      <c r="G54491" s="812"/>
    </row>
    <row r="54492" spans="7:7">
      <c r="G54492" s="812"/>
    </row>
    <row r="54493" spans="7:7">
      <c r="G54493" s="812"/>
    </row>
    <row r="54494" spans="7:7">
      <c r="G54494" s="812"/>
    </row>
    <row r="54495" spans="7:7">
      <c r="G54495" s="812"/>
    </row>
    <row r="54496" spans="7:7">
      <c r="G54496" s="812"/>
    </row>
    <row r="54497" spans="7:7">
      <c r="G54497" s="812"/>
    </row>
    <row r="54498" spans="7:7">
      <c r="G54498" s="812"/>
    </row>
    <row r="54499" spans="7:7">
      <c r="G54499" s="812"/>
    </row>
    <row r="54500" spans="7:7">
      <c r="G54500" s="812"/>
    </row>
    <row r="54501" spans="7:7">
      <c r="G54501" s="812"/>
    </row>
    <row r="54502" spans="7:7">
      <c r="G54502" s="812"/>
    </row>
    <row r="54503" spans="7:7">
      <c r="G54503" s="812"/>
    </row>
    <row r="54504" spans="7:7">
      <c r="G54504" s="812"/>
    </row>
    <row r="54505" spans="7:7">
      <c r="G54505" s="812"/>
    </row>
    <row r="54506" spans="7:7">
      <c r="G54506" s="812"/>
    </row>
    <row r="54507" spans="7:7">
      <c r="G54507" s="812"/>
    </row>
    <row r="54508" spans="7:7">
      <c r="G54508" s="812"/>
    </row>
    <row r="54509" spans="7:7">
      <c r="G54509" s="812"/>
    </row>
    <row r="54510" spans="7:7">
      <c r="G54510" s="812"/>
    </row>
    <row r="54511" spans="7:7">
      <c r="G54511" s="812"/>
    </row>
    <row r="54512" spans="7:7">
      <c r="G54512" s="812"/>
    </row>
    <row r="54513" spans="7:7">
      <c r="G54513" s="812"/>
    </row>
    <row r="54514" spans="7:7">
      <c r="G54514" s="812"/>
    </row>
    <row r="54515" spans="7:7">
      <c r="G54515" s="812"/>
    </row>
    <row r="54516" spans="7:7">
      <c r="G54516" s="812"/>
    </row>
    <row r="54517" spans="7:7">
      <c r="G54517" s="812"/>
    </row>
    <row r="54518" spans="7:7">
      <c r="G54518" s="812"/>
    </row>
    <row r="54519" spans="7:7">
      <c r="G54519" s="812"/>
    </row>
    <row r="54520" spans="7:7">
      <c r="G54520" s="812"/>
    </row>
    <row r="54521" spans="7:7">
      <c r="G54521" s="812"/>
    </row>
    <row r="54522" spans="7:7">
      <c r="G54522" s="812"/>
    </row>
    <row r="54523" spans="7:7">
      <c r="G54523" s="812"/>
    </row>
    <row r="54524" spans="7:7">
      <c r="G54524" s="812"/>
    </row>
    <row r="54525" spans="7:7">
      <c r="G54525" s="812"/>
    </row>
    <row r="54526" spans="7:7">
      <c r="G54526" s="812"/>
    </row>
    <row r="54527" spans="7:7">
      <c r="G54527" s="812"/>
    </row>
    <row r="54528" spans="7:7">
      <c r="G54528" s="812"/>
    </row>
    <row r="54529" spans="7:7">
      <c r="G54529" s="812"/>
    </row>
    <row r="54530" spans="7:7">
      <c r="G54530" s="812"/>
    </row>
    <row r="54531" spans="7:7">
      <c r="G54531" s="812"/>
    </row>
    <row r="54532" spans="7:7">
      <c r="G54532" s="812"/>
    </row>
    <row r="54533" spans="7:7">
      <c r="G54533" s="812"/>
    </row>
    <row r="54534" spans="7:7">
      <c r="G54534" s="812"/>
    </row>
    <row r="54535" spans="7:7">
      <c r="G54535" s="812"/>
    </row>
    <row r="54536" spans="7:7">
      <c r="G54536" s="812"/>
    </row>
    <row r="54537" spans="7:7">
      <c r="G54537" s="812"/>
    </row>
    <row r="54538" spans="7:7">
      <c r="G54538" s="812"/>
    </row>
    <row r="54539" spans="7:7">
      <c r="G54539" s="812"/>
    </row>
    <row r="54540" spans="7:7">
      <c r="G54540" s="812"/>
    </row>
    <row r="54541" spans="7:7">
      <c r="G54541" s="812"/>
    </row>
    <row r="54542" spans="7:7">
      <c r="G54542" s="812"/>
    </row>
    <row r="54543" spans="7:7">
      <c r="G54543" s="812"/>
    </row>
    <row r="54544" spans="7:7">
      <c r="G54544" s="812"/>
    </row>
    <row r="54545" spans="7:7">
      <c r="G54545" s="812"/>
    </row>
    <row r="54546" spans="7:7">
      <c r="G54546" s="812"/>
    </row>
    <row r="54547" spans="7:7">
      <c r="G54547" s="812"/>
    </row>
    <row r="54548" spans="7:7">
      <c r="G54548" s="812"/>
    </row>
    <row r="54549" spans="7:7">
      <c r="G54549" s="812"/>
    </row>
    <row r="54550" spans="7:7">
      <c r="G54550" s="812"/>
    </row>
    <row r="54551" spans="7:7">
      <c r="G54551" s="812"/>
    </row>
    <row r="54552" spans="7:7">
      <c r="G54552" s="812"/>
    </row>
    <row r="54553" spans="7:7">
      <c r="G54553" s="812"/>
    </row>
    <row r="54554" spans="7:7">
      <c r="G54554" s="812"/>
    </row>
    <row r="54555" spans="7:7">
      <c r="G54555" s="812"/>
    </row>
    <row r="54556" spans="7:7">
      <c r="G54556" s="812"/>
    </row>
    <row r="54557" spans="7:7">
      <c r="G54557" s="812"/>
    </row>
    <row r="54558" spans="7:7">
      <c r="G54558" s="812"/>
    </row>
    <row r="54559" spans="7:7">
      <c r="G54559" s="812"/>
    </row>
    <row r="54560" spans="7:7">
      <c r="G54560" s="812"/>
    </row>
    <row r="54561" spans="7:7">
      <c r="G54561" s="812"/>
    </row>
    <row r="54562" spans="7:7">
      <c r="G54562" s="812"/>
    </row>
    <row r="54563" spans="7:7">
      <c r="G54563" s="812"/>
    </row>
    <row r="54564" spans="7:7">
      <c r="G54564" s="812"/>
    </row>
    <row r="54565" spans="7:7">
      <c r="G54565" s="812"/>
    </row>
    <row r="54566" spans="7:7">
      <c r="G54566" s="812"/>
    </row>
    <row r="54567" spans="7:7">
      <c r="G54567" s="812"/>
    </row>
    <row r="54568" spans="7:7">
      <c r="G54568" s="812"/>
    </row>
    <row r="54569" spans="7:7">
      <c r="G54569" s="812"/>
    </row>
    <row r="54570" spans="7:7">
      <c r="G54570" s="812"/>
    </row>
    <row r="54571" spans="7:7">
      <c r="G54571" s="812"/>
    </row>
    <row r="54572" spans="7:7">
      <c r="G54572" s="812"/>
    </row>
    <row r="54573" spans="7:7">
      <c r="G54573" s="812"/>
    </row>
    <row r="54574" spans="7:7">
      <c r="G54574" s="812"/>
    </row>
    <row r="54575" spans="7:7">
      <c r="G54575" s="812"/>
    </row>
    <row r="54576" spans="7:7">
      <c r="G54576" s="812"/>
    </row>
    <row r="54577" spans="7:7">
      <c r="G54577" s="812"/>
    </row>
    <row r="54578" spans="7:7">
      <c r="G54578" s="812"/>
    </row>
    <row r="54579" spans="7:7">
      <c r="G54579" s="812"/>
    </row>
    <row r="54580" spans="7:7">
      <c r="G54580" s="812"/>
    </row>
    <row r="54581" spans="7:7">
      <c r="G54581" s="812"/>
    </row>
    <row r="54582" spans="7:7">
      <c r="G54582" s="812"/>
    </row>
    <row r="54583" spans="7:7">
      <c r="G54583" s="812"/>
    </row>
    <row r="54584" spans="7:7">
      <c r="G54584" s="812"/>
    </row>
    <row r="54585" spans="7:7">
      <c r="G54585" s="812"/>
    </row>
    <row r="54586" spans="7:7">
      <c r="G54586" s="812"/>
    </row>
    <row r="54587" spans="7:7">
      <c r="G54587" s="812"/>
    </row>
    <row r="54588" spans="7:7">
      <c r="G54588" s="812"/>
    </row>
    <row r="54589" spans="7:7">
      <c r="G54589" s="812"/>
    </row>
    <row r="54590" spans="7:7">
      <c r="G54590" s="812"/>
    </row>
    <row r="54591" spans="7:7">
      <c r="G54591" s="812"/>
    </row>
    <row r="54592" spans="7:7">
      <c r="G54592" s="812"/>
    </row>
    <row r="54593" spans="7:7">
      <c r="G54593" s="812"/>
    </row>
    <row r="54594" spans="7:7">
      <c r="G54594" s="812"/>
    </row>
    <row r="54595" spans="7:7">
      <c r="G54595" s="812"/>
    </row>
    <row r="54596" spans="7:7">
      <c r="G54596" s="812"/>
    </row>
    <row r="54597" spans="7:7">
      <c r="G54597" s="812"/>
    </row>
    <row r="54598" spans="7:7">
      <c r="G54598" s="812"/>
    </row>
    <row r="54599" spans="7:7">
      <c r="G54599" s="812"/>
    </row>
    <row r="54600" spans="7:7">
      <c r="G54600" s="812"/>
    </row>
    <row r="54601" spans="7:7">
      <c r="G54601" s="812"/>
    </row>
    <row r="54602" spans="7:7">
      <c r="G54602" s="812"/>
    </row>
    <row r="54603" spans="7:7">
      <c r="G54603" s="812"/>
    </row>
    <row r="54604" spans="7:7">
      <c r="G54604" s="812"/>
    </row>
    <row r="54605" spans="7:7">
      <c r="G54605" s="812"/>
    </row>
    <row r="54606" spans="7:7">
      <c r="G54606" s="812"/>
    </row>
    <row r="54607" spans="7:7">
      <c r="G54607" s="812"/>
    </row>
    <row r="54608" spans="7:7">
      <c r="G54608" s="812"/>
    </row>
    <row r="54609" spans="7:7">
      <c r="G54609" s="812"/>
    </row>
    <row r="54610" spans="7:7">
      <c r="G54610" s="812"/>
    </row>
    <row r="54611" spans="7:7">
      <c r="G54611" s="812"/>
    </row>
    <row r="54612" spans="7:7">
      <c r="G54612" s="812"/>
    </row>
    <row r="54613" spans="7:7">
      <c r="G54613" s="812"/>
    </row>
    <row r="54614" spans="7:7">
      <c r="G54614" s="812"/>
    </row>
    <row r="54615" spans="7:7">
      <c r="G54615" s="812"/>
    </row>
    <row r="54616" spans="7:7">
      <c r="G54616" s="812"/>
    </row>
    <row r="54617" spans="7:7">
      <c r="G54617" s="812"/>
    </row>
    <row r="54618" spans="7:7">
      <c r="G54618" s="812"/>
    </row>
    <row r="54619" spans="7:7">
      <c r="G54619" s="812"/>
    </row>
    <row r="54620" spans="7:7">
      <c r="G54620" s="812"/>
    </row>
    <row r="54621" spans="7:7">
      <c r="G54621" s="812"/>
    </row>
    <row r="54622" spans="7:7">
      <c r="G54622" s="812"/>
    </row>
    <row r="54623" spans="7:7">
      <c r="G54623" s="812"/>
    </row>
    <row r="54624" spans="7:7">
      <c r="G54624" s="812"/>
    </row>
    <row r="54625" spans="7:7">
      <c r="G54625" s="812"/>
    </row>
    <row r="54626" spans="7:7">
      <c r="G54626" s="812"/>
    </row>
    <row r="54627" spans="7:7">
      <c r="G54627" s="812"/>
    </row>
    <row r="54628" spans="7:7">
      <c r="G54628" s="812"/>
    </row>
    <row r="54629" spans="7:7">
      <c r="G54629" s="812"/>
    </row>
    <row r="54630" spans="7:7">
      <c r="G54630" s="812"/>
    </row>
    <row r="54631" spans="7:7">
      <c r="G54631" s="812"/>
    </row>
    <row r="54632" spans="7:7">
      <c r="G54632" s="812"/>
    </row>
    <row r="54633" spans="7:7">
      <c r="G54633" s="812"/>
    </row>
    <row r="54634" spans="7:7">
      <c r="G54634" s="812"/>
    </row>
    <row r="54635" spans="7:7">
      <c r="G54635" s="812"/>
    </row>
    <row r="54636" spans="7:7">
      <c r="G54636" s="812"/>
    </row>
    <row r="54637" spans="7:7">
      <c r="G54637" s="812"/>
    </row>
    <row r="54638" spans="7:7">
      <c r="G54638" s="812"/>
    </row>
    <row r="54639" spans="7:7">
      <c r="G54639" s="812"/>
    </row>
    <row r="54640" spans="7:7">
      <c r="G54640" s="812"/>
    </row>
    <row r="54641" spans="7:7">
      <c r="G54641" s="812"/>
    </row>
    <row r="54642" spans="7:7">
      <c r="G54642" s="812"/>
    </row>
    <row r="54643" spans="7:7">
      <c r="G54643" s="812"/>
    </row>
    <row r="54644" spans="7:7">
      <c r="G54644" s="812"/>
    </row>
    <row r="54645" spans="7:7">
      <c r="G54645" s="812"/>
    </row>
    <row r="54646" spans="7:7">
      <c r="G54646" s="812"/>
    </row>
    <row r="54647" spans="7:7">
      <c r="G54647" s="812"/>
    </row>
    <row r="54648" spans="7:7">
      <c r="G54648" s="812"/>
    </row>
    <row r="54649" spans="7:7">
      <c r="G54649" s="812"/>
    </row>
    <row r="54650" spans="7:7">
      <c r="G54650" s="812"/>
    </row>
    <row r="54651" spans="7:7">
      <c r="G54651" s="812"/>
    </row>
    <row r="54652" spans="7:7">
      <c r="G54652" s="812"/>
    </row>
    <row r="54653" spans="7:7">
      <c r="G54653" s="812"/>
    </row>
    <row r="54654" spans="7:7">
      <c r="G54654" s="812"/>
    </row>
    <row r="54655" spans="7:7">
      <c r="G54655" s="812"/>
    </row>
    <row r="54656" spans="7:7">
      <c r="G54656" s="812"/>
    </row>
    <row r="54657" spans="7:7">
      <c r="G54657" s="812"/>
    </row>
    <row r="54658" spans="7:7">
      <c r="G54658" s="812"/>
    </row>
    <row r="54659" spans="7:7">
      <c r="G54659" s="812"/>
    </row>
    <row r="54660" spans="7:7">
      <c r="G54660" s="812"/>
    </row>
    <row r="54661" spans="7:7">
      <c r="G54661" s="812"/>
    </row>
    <row r="54662" spans="7:7">
      <c r="G54662" s="812"/>
    </row>
    <row r="54663" spans="7:7">
      <c r="G54663" s="812"/>
    </row>
    <row r="54664" spans="7:7">
      <c r="G54664" s="812"/>
    </row>
    <row r="54665" spans="7:7">
      <c r="G54665" s="812"/>
    </row>
    <row r="54666" spans="7:7">
      <c r="G54666" s="812"/>
    </row>
    <row r="54667" spans="7:7">
      <c r="G54667" s="812"/>
    </row>
    <row r="54668" spans="7:7">
      <c r="G54668" s="812"/>
    </row>
    <row r="54669" spans="7:7">
      <c r="G54669" s="812"/>
    </row>
    <row r="54670" spans="7:7">
      <c r="G54670" s="812"/>
    </row>
    <row r="54671" spans="7:7">
      <c r="G54671" s="812"/>
    </row>
    <row r="54672" spans="7:7">
      <c r="G54672" s="812"/>
    </row>
    <row r="54673" spans="7:7">
      <c r="G54673" s="812"/>
    </row>
    <row r="54674" spans="7:7">
      <c r="G54674" s="812"/>
    </row>
    <row r="54675" spans="7:7">
      <c r="G54675" s="812"/>
    </row>
    <row r="54676" spans="7:7">
      <c r="G54676" s="812"/>
    </row>
    <row r="54677" spans="7:7">
      <c r="G54677" s="812"/>
    </row>
    <row r="54678" spans="7:7">
      <c r="G54678" s="812"/>
    </row>
    <row r="54679" spans="7:7">
      <c r="G54679" s="812"/>
    </row>
    <row r="54680" spans="7:7">
      <c r="G54680" s="812"/>
    </row>
    <row r="54681" spans="7:7">
      <c r="G54681" s="812"/>
    </row>
    <row r="54682" spans="7:7">
      <c r="G54682" s="812"/>
    </row>
    <row r="54683" spans="7:7">
      <c r="G54683" s="812"/>
    </row>
    <row r="54684" spans="7:7">
      <c r="G54684" s="812"/>
    </row>
    <row r="54685" spans="7:7">
      <c r="G54685" s="812"/>
    </row>
    <row r="54686" spans="7:7">
      <c r="G54686" s="812"/>
    </row>
    <row r="54687" spans="7:7">
      <c r="G54687" s="812"/>
    </row>
    <row r="54688" spans="7:7">
      <c r="G54688" s="812"/>
    </row>
    <row r="54689" spans="7:7">
      <c r="G54689" s="812"/>
    </row>
    <row r="54690" spans="7:7">
      <c r="G54690" s="812"/>
    </row>
    <row r="54691" spans="7:7">
      <c r="G54691" s="812"/>
    </row>
    <row r="54692" spans="7:7">
      <c r="G54692" s="812"/>
    </row>
    <row r="54693" spans="7:7">
      <c r="G54693" s="812"/>
    </row>
    <row r="54694" spans="7:7">
      <c r="G54694" s="812"/>
    </row>
    <row r="54695" spans="7:7">
      <c r="G54695" s="812"/>
    </row>
    <row r="54696" spans="7:7">
      <c r="G54696" s="812"/>
    </row>
    <row r="54697" spans="7:7">
      <c r="G54697" s="812"/>
    </row>
    <row r="54698" spans="7:7">
      <c r="G54698" s="812"/>
    </row>
    <row r="54699" spans="7:7">
      <c r="G54699" s="812"/>
    </row>
    <row r="54700" spans="7:7">
      <c r="G54700" s="812"/>
    </row>
    <row r="54701" spans="7:7">
      <c r="G54701" s="812"/>
    </row>
    <row r="54702" spans="7:7">
      <c r="G54702" s="812"/>
    </row>
    <row r="54703" spans="7:7">
      <c r="G54703" s="812"/>
    </row>
    <row r="54704" spans="7:7">
      <c r="G54704" s="812"/>
    </row>
    <row r="54705" spans="7:7">
      <c r="G54705" s="812"/>
    </row>
    <row r="54706" spans="7:7">
      <c r="G54706" s="812"/>
    </row>
    <row r="54707" spans="7:7">
      <c r="G54707" s="812"/>
    </row>
    <row r="54708" spans="7:7">
      <c r="G54708" s="812"/>
    </row>
    <row r="54709" spans="7:7">
      <c r="G54709" s="812"/>
    </row>
    <row r="54710" spans="7:7">
      <c r="G54710" s="812"/>
    </row>
    <row r="54711" spans="7:7">
      <c r="G54711" s="812"/>
    </row>
    <row r="54712" spans="7:7">
      <c r="G54712" s="812"/>
    </row>
    <row r="54713" spans="7:7">
      <c r="G54713" s="812"/>
    </row>
    <row r="54714" spans="7:7">
      <c r="G54714" s="812"/>
    </row>
    <row r="54715" spans="7:7">
      <c r="G54715" s="812"/>
    </row>
    <row r="54716" spans="7:7">
      <c r="G54716" s="812"/>
    </row>
    <row r="54717" spans="7:7">
      <c r="G54717" s="812"/>
    </row>
    <row r="54718" spans="7:7">
      <c r="G54718" s="812"/>
    </row>
    <row r="54719" spans="7:7">
      <c r="G54719" s="812"/>
    </row>
    <row r="54720" spans="7:7">
      <c r="G54720" s="812"/>
    </row>
    <row r="54721" spans="7:7">
      <c r="G54721" s="812"/>
    </row>
    <row r="54722" spans="7:7">
      <c r="G54722" s="812"/>
    </row>
    <row r="54723" spans="7:7">
      <c r="G54723" s="812"/>
    </row>
    <row r="54724" spans="7:7">
      <c r="G54724" s="812"/>
    </row>
    <row r="54725" spans="7:7">
      <c r="G54725" s="812"/>
    </row>
    <row r="54726" spans="7:7">
      <c r="G54726" s="812"/>
    </row>
    <row r="54727" spans="7:7">
      <c r="G54727" s="812"/>
    </row>
    <row r="54728" spans="7:7">
      <c r="G54728" s="812"/>
    </row>
    <row r="54729" spans="7:7">
      <c r="G54729" s="812"/>
    </row>
    <row r="54730" spans="7:7">
      <c r="G54730" s="812"/>
    </row>
    <row r="54731" spans="7:7">
      <c r="G54731" s="812"/>
    </row>
    <row r="54732" spans="7:7">
      <c r="G54732" s="812"/>
    </row>
    <row r="54733" spans="7:7">
      <c r="G54733" s="812"/>
    </row>
    <row r="54734" spans="7:7">
      <c r="G54734" s="812"/>
    </row>
    <row r="54735" spans="7:7">
      <c r="G54735" s="812"/>
    </row>
    <row r="54736" spans="7:7">
      <c r="G54736" s="812"/>
    </row>
    <row r="54737" spans="7:7">
      <c r="G54737" s="812"/>
    </row>
    <row r="54738" spans="7:7">
      <c r="G54738" s="812"/>
    </row>
    <row r="54739" spans="7:7">
      <c r="G54739" s="812"/>
    </row>
    <row r="54740" spans="7:7">
      <c r="G54740" s="812"/>
    </row>
    <row r="54741" spans="7:7">
      <c r="G54741" s="812"/>
    </row>
    <row r="54742" spans="7:7">
      <c r="G54742" s="812"/>
    </row>
    <row r="54743" spans="7:7">
      <c r="G54743" s="812"/>
    </row>
    <row r="54744" spans="7:7">
      <c r="G54744" s="812"/>
    </row>
    <row r="54745" spans="7:7">
      <c r="G54745" s="812"/>
    </row>
    <row r="54746" spans="7:7">
      <c r="G54746" s="812"/>
    </row>
    <row r="54747" spans="7:7">
      <c r="G54747" s="812"/>
    </row>
    <row r="54748" spans="7:7">
      <c r="G54748" s="812"/>
    </row>
    <row r="54749" spans="7:7">
      <c r="G54749" s="812"/>
    </row>
    <row r="54750" spans="7:7">
      <c r="G54750" s="812"/>
    </row>
    <row r="54751" spans="7:7">
      <c r="G54751" s="812"/>
    </row>
    <row r="54752" spans="7:7">
      <c r="G54752" s="812"/>
    </row>
    <row r="54753" spans="7:7">
      <c r="G54753" s="812"/>
    </row>
    <row r="54754" spans="7:7">
      <c r="G54754" s="812"/>
    </row>
    <row r="54755" spans="7:7">
      <c r="G54755" s="812"/>
    </row>
    <row r="54756" spans="7:7">
      <c r="G54756" s="812"/>
    </row>
    <row r="54757" spans="7:7">
      <c r="G54757" s="812"/>
    </row>
    <row r="54758" spans="7:7">
      <c r="G54758" s="812"/>
    </row>
    <row r="54759" spans="7:7">
      <c r="G54759" s="812"/>
    </row>
    <row r="54760" spans="7:7">
      <c r="G54760" s="812"/>
    </row>
    <row r="54761" spans="7:7">
      <c r="G54761" s="812"/>
    </row>
    <row r="54762" spans="7:7">
      <c r="G54762" s="812"/>
    </row>
    <row r="54763" spans="7:7">
      <c r="G54763" s="812"/>
    </row>
    <row r="54764" spans="7:7">
      <c r="G54764" s="812"/>
    </row>
    <row r="54765" spans="7:7">
      <c r="G54765" s="812"/>
    </row>
    <row r="54766" spans="7:7">
      <c r="G54766" s="812"/>
    </row>
    <row r="54767" spans="7:7">
      <c r="G54767" s="812"/>
    </row>
    <row r="54768" spans="7:7">
      <c r="G54768" s="812"/>
    </row>
    <row r="54769" spans="7:7">
      <c r="G54769" s="812"/>
    </row>
    <row r="54770" spans="7:7">
      <c r="G54770" s="812"/>
    </row>
    <row r="54771" spans="7:7">
      <c r="G54771" s="812"/>
    </row>
    <row r="54772" spans="7:7">
      <c r="G54772" s="812"/>
    </row>
    <row r="54773" spans="7:7">
      <c r="G54773" s="812"/>
    </row>
    <row r="54774" spans="7:7">
      <c r="G54774" s="812"/>
    </row>
    <row r="54775" spans="7:7">
      <c r="G54775" s="812"/>
    </row>
    <row r="54776" spans="7:7">
      <c r="G54776" s="812"/>
    </row>
    <row r="54777" spans="7:7">
      <c r="G54777" s="812"/>
    </row>
    <row r="54778" spans="7:7">
      <c r="G54778" s="812"/>
    </row>
    <row r="54779" spans="7:7">
      <c r="G54779" s="812"/>
    </row>
    <row r="54780" spans="7:7">
      <c r="G54780" s="812"/>
    </row>
    <row r="54781" spans="7:7">
      <c r="G54781" s="812"/>
    </row>
    <row r="54782" spans="7:7">
      <c r="G54782" s="812"/>
    </row>
    <row r="54783" spans="7:7">
      <c r="G54783" s="812"/>
    </row>
    <row r="54784" spans="7:7">
      <c r="G54784" s="812"/>
    </row>
    <row r="54785" spans="7:7">
      <c r="G54785" s="812"/>
    </row>
    <row r="54786" spans="7:7">
      <c r="G54786" s="812"/>
    </row>
    <row r="54787" spans="7:7">
      <c r="G54787" s="812"/>
    </row>
    <row r="54788" spans="7:7">
      <c r="G54788" s="812"/>
    </row>
    <row r="54789" spans="7:7">
      <c r="G54789" s="812"/>
    </row>
    <row r="54790" spans="7:7">
      <c r="G54790" s="812"/>
    </row>
    <row r="54791" spans="7:7">
      <c r="G54791" s="812"/>
    </row>
    <row r="54792" spans="7:7">
      <c r="G54792" s="812"/>
    </row>
    <row r="54793" spans="7:7">
      <c r="G54793" s="812"/>
    </row>
    <row r="54794" spans="7:7">
      <c r="G54794" s="812"/>
    </row>
    <row r="54795" spans="7:7">
      <c r="G54795" s="812"/>
    </row>
    <row r="54796" spans="7:7">
      <c r="G54796" s="812"/>
    </row>
    <row r="54797" spans="7:7">
      <c r="G54797" s="812"/>
    </row>
    <row r="54798" spans="7:7">
      <c r="G54798" s="812"/>
    </row>
    <row r="54799" spans="7:7">
      <c r="G54799" s="812"/>
    </row>
    <row r="54800" spans="7:7">
      <c r="G54800" s="812"/>
    </row>
    <row r="54801" spans="7:7">
      <c r="G54801" s="812"/>
    </row>
    <row r="54802" spans="7:7">
      <c r="G54802" s="812"/>
    </row>
    <row r="54803" spans="7:7">
      <c r="G54803" s="812"/>
    </row>
    <row r="54804" spans="7:7">
      <c r="G54804" s="812"/>
    </row>
    <row r="54805" spans="7:7">
      <c r="G54805" s="812"/>
    </row>
    <row r="54806" spans="7:7">
      <c r="G54806" s="812"/>
    </row>
    <row r="54807" spans="7:7">
      <c r="G54807" s="812"/>
    </row>
    <row r="54808" spans="7:7">
      <c r="G54808" s="812"/>
    </row>
    <row r="54809" spans="7:7">
      <c r="G54809" s="812"/>
    </row>
    <row r="54810" spans="7:7">
      <c r="G54810" s="812"/>
    </row>
    <row r="54811" spans="7:7">
      <c r="G54811" s="812"/>
    </row>
    <row r="54812" spans="7:7">
      <c r="G54812" s="812"/>
    </row>
    <row r="54813" spans="7:7">
      <c r="G54813" s="812"/>
    </row>
    <row r="54814" spans="7:7">
      <c r="G54814" s="812"/>
    </row>
    <row r="54815" spans="7:7">
      <c r="G54815" s="812"/>
    </row>
    <row r="54816" spans="7:7">
      <c r="G54816" s="812"/>
    </row>
    <row r="54817" spans="7:7">
      <c r="G54817" s="812"/>
    </row>
    <row r="54818" spans="7:7">
      <c r="G54818" s="812"/>
    </row>
    <row r="54819" spans="7:7">
      <c r="G54819" s="812"/>
    </row>
    <row r="54820" spans="7:7">
      <c r="G54820" s="812"/>
    </row>
    <row r="54821" spans="7:7">
      <c r="G54821" s="812"/>
    </row>
    <row r="54822" spans="7:7">
      <c r="G54822" s="812"/>
    </row>
    <row r="54823" spans="7:7">
      <c r="G54823" s="812"/>
    </row>
    <row r="54824" spans="7:7">
      <c r="G54824" s="812"/>
    </row>
    <row r="54825" spans="7:7">
      <c r="G54825" s="812"/>
    </row>
    <row r="54826" spans="7:7">
      <c r="G54826" s="812"/>
    </row>
    <row r="54827" spans="7:7">
      <c r="G54827" s="812"/>
    </row>
    <row r="54828" spans="7:7">
      <c r="G54828" s="812"/>
    </row>
    <row r="54829" spans="7:7">
      <c r="G54829" s="812"/>
    </row>
    <row r="54830" spans="7:7">
      <c r="G54830" s="812"/>
    </row>
    <row r="54831" spans="7:7">
      <c r="G54831" s="812"/>
    </row>
    <row r="54832" spans="7:7">
      <c r="G54832" s="812"/>
    </row>
    <row r="54833" spans="7:7">
      <c r="G54833" s="812"/>
    </row>
    <row r="54834" spans="7:7">
      <c r="G54834" s="812"/>
    </row>
    <row r="54835" spans="7:7">
      <c r="G54835" s="812"/>
    </row>
    <row r="54836" spans="7:7">
      <c r="G54836" s="812"/>
    </row>
    <row r="54837" spans="7:7">
      <c r="G54837" s="812"/>
    </row>
    <row r="54838" spans="7:7">
      <c r="G54838" s="812"/>
    </row>
    <row r="54839" spans="7:7">
      <c r="G54839" s="812"/>
    </row>
    <row r="54840" spans="7:7">
      <c r="G54840" s="812"/>
    </row>
    <row r="54841" spans="7:7">
      <c r="G54841" s="812"/>
    </row>
    <row r="54842" spans="7:7">
      <c r="G54842" s="812"/>
    </row>
    <row r="54843" spans="7:7">
      <c r="G54843" s="812"/>
    </row>
    <row r="54844" spans="7:7">
      <c r="G54844" s="812"/>
    </row>
    <row r="54845" spans="7:7">
      <c r="G54845" s="812"/>
    </row>
    <row r="54846" spans="7:7">
      <c r="G54846" s="812"/>
    </row>
    <row r="54847" spans="7:7">
      <c r="G54847" s="812"/>
    </row>
    <row r="54848" spans="7:7">
      <c r="G54848" s="812"/>
    </row>
    <row r="54849" spans="7:7">
      <c r="G54849" s="812"/>
    </row>
    <row r="54850" spans="7:7">
      <c r="G54850" s="812"/>
    </row>
    <row r="54851" spans="7:7">
      <c r="G54851" s="812"/>
    </row>
    <row r="54852" spans="7:7">
      <c r="G54852" s="812"/>
    </row>
    <row r="54853" spans="7:7">
      <c r="G54853" s="812"/>
    </row>
    <row r="54854" spans="7:7">
      <c r="G54854" s="812"/>
    </row>
    <row r="54855" spans="7:7">
      <c r="G54855" s="812"/>
    </row>
    <row r="54856" spans="7:7">
      <c r="G54856" s="812"/>
    </row>
    <row r="54857" spans="7:7">
      <c r="G54857" s="812"/>
    </row>
    <row r="54858" spans="7:7">
      <c r="G54858" s="812"/>
    </row>
    <row r="54859" spans="7:7">
      <c r="G54859" s="812"/>
    </row>
    <row r="54860" spans="7:7">
      <c r="G54860" s="812"/>
    </row>
    <row r="54861" spans="7:7">
      <c r="G54861" s="812"/>
    </row>
    <row r="54862" spans="7:7">
      <c r="G54862" s="812"/>
    </row>
    <row r="54863" spans="7:7">
      <c r="G54863" s="812"/>
    </row>
    <row r="54864" spans="7:7">
      <c r="G54864" s="812"/>
    </row>
    <row r="54865" spans="7:7">
      <c r="G54865" s="812"/>
    </row>
    <row r="54866" spans="7:7">
      <c r="G54866" s="812"/>
    </row>
    <row r="54867" spans="7:7">
      <c r="G54867" s="812"/>
    </row>
    <row r="54868" spans="7:7">
      <c r="G54868" s="812"/>
    </row>
    <row r="54869" spans="7:7">
      <c r="G54869" s="812"/>
    </row>
    <row r="54870" spans="7:7">
      <c r="G54870" s="812"/>
    </row>
    <row r="54871" spans="7:7">
      <c r="G54871" s="812"/>
    </row>
    <row r="54872" spans="7:7">
      <c r="G54872" s="812"/>
    </row>
    <row r="54873" spans="7:7">
      <c r="G54873" s="812"/>
    </row>
    <row r="54874" spans="7:7">
      <c r="G54874" s="812"/>
    </row>
    <row r="54875" spans="7:7">
      <c r="G54875" s="812"/>
    </row>
    <row r="54876" spans="7:7">
      <c r="G54876" s="812"/>
    </row>
    <row r="54877" spans="7:7">
      <c r="G54877" s="812"/>
    </row>
    <row r="54878" spans="7:7">
      <c r="G54878" s="812"/>
    </row>
    <row r="54879" spans="7:7">
      <c r="G54879" s="812"/>
    </row>
    <row r="54880" spans="7:7">
      <c r="G54880" s="812"/>
    </row>
    <row r="54881" spans="7:7">
      <c r="G54881" s="812"/>
    </row>
    <row r="54882" spans="7:7">
      <c r="G54882" s="812"/>
    </row>
    <row r="54883" spans="7:7">
      <c r="G54883" s="812"/>
    </row>
    <row r="54884" spans="7:7">
      <c r="G54884" s="812"/>
    </row>
    <row r="54885" spans="7:7">
      <c r="G54885" s="812"/>
    </row>
    <row r="54886" spans="7:7">
      <c r="G54886" s="812"/>
    </row>
    <row r="54887" spans="7:7">
      <c r="G54887" s="812"/>
    </row>
    <row r="54888" spans="7:7">
      <c r="G54888" s="812"/>
    </row>
    <row r="54889" spans="7:7">
      <c r="G54889" s="812"/>
    </row>
    <row r="54890" spans="7:7">
      <c r="G54890" s="812"/>
    </row>
    <row r="54891" spans="7:7">
      <c r="G54891" s="812"/>
    </row>
    <row r="54892" spans="7:7">
      <c r="G54892" s="812"/>
    </row>
    <row r="54893" spans="7:7">
      <c r="G54893" s="812"/>
    </row>
    <row r="54894" spans="7:7">
      <c r="G54894" s="812"/>
    </row>
    <row r="54895" spans="7:7">
      <c r="G54895" s="812"/>
    </row>
    <row r="54896" spans="7:7">
      <c r="G54896" s="812"/>
    </row>
    <row r="54897" spans="7:7">
      <c r="G54897" s="812"/>
    </row>
    <row r="54898" spans="7:7">
      <c r="G54898" s="812"/>
    </row>
    <row r="54899" spans="7:7">
      <c r="G54899" s="812"/>
    </row>
    <row r="54900" spans="7:7">
      <c r="G54900" s="812"/>
    </row>
    <row r="54901" spans="7:7">
      <c r="G54901" s="812"/>
    </row>
    <row r="54902" spans="7:7">
      <c r="G54902" s="812"/>
    </row>
    <row r="54903" spans="7:7">
      <c r="G54903" s="812"/>
    </row>
    <row r="54904" spans="7:7">
      <c r="G54904" s="812"/>
    </row>
    <row r="54905" spans="7:7">
      <c r="G54905" s="812"/>
    </row>
    <row r="54906" spans="7:7">
      <c r="G54906" s="812"/>
    </row>
    <row r="54907" spans="7:7">
      <c r="G54907" s="812"/>
    </row>
    <row r="54908" spans="7:7">
      <c r="G54908" s="812"/>
    </row>
    <row r="54909" spans="7:7">
      <c r="G54909" s="812"/>
    </row>
    <row r="54910" spans="7:7">
      <c r="G54910" s="812"/>
    </row>
    <row r="54911" spans="7:7">
      <c r="G54911" s="812"/>
    </row>
    <row r="54912" spans="7:7">
      <c r="G54912" s="812"/>
    </row>
    <row r="54913" spans="7:7">
      <c r="G54913" s="812"/>
    </row>
    <row r="54914" spans="7:7">
      <c r="G54914" s="812"/>
    </row>
    <row r="54915" spans="7:7">
      <c r="G54915" s="812"/>
    </row>
    <row r="54916" spans="7:7">
      <c r="G54916" s="812"/>
    </row>
    <row r="54917" spans="7:7">
      <c r="G54917" s="812"/>
    </row>
    <row r="54918" spans="7:7">
      <c r="G54918" s="812"/>
    </row>
    <row r="54919" spans="7:7">
      <c r="G54919" s="812"/>
    </row>
    <row r="54920" spans="7:7">
      <c r="G54920" s="812"/>
    </row>
    <row r="54921" spans="7:7">
      <c r="G54921" s="812"/>
    </row>
    <row r="54922" spans="7:7">
      <c r="G54922" s="812"/>
    </row>
    <row r="54923" spans="7:7">
      <c r="G54923" s="812"/>
    </row>
    <row r="54924" spans="7:7">
      <c r="G54924" s="812"/>
    </row>
    <row r="54925" spans="7:7">
      <c r="G54925" s="812"/>
    </row>
    <row r="54926" spans="7:7">
      <c r="G54926" s="812"/>
    </row>
    <row r="54927" spans="7:7">
      <c r="G54927" s="812"/>
    </row>
    <row r="54928" spans="7:7">
      <c r="G54928" s="812"/>
    </row>
    <row r="54929" spans="7:7">
      <c r="G54929" s="812"/>
    </row>
    <row r="54930" spans="7:7">
      <c r="G54930" s="812"/>
    </row>
    <row r="54931" spans="7:7">
      <c r="G54931" s="812"/>
    </row>
    <row r="54932" spans="7:7">
      <c r="G54932" s="812"/>
    </row>
    <row r="54933" spans="7:7">
      <c r="G54933" s="812"/>
    </row>
    <row r="54934" spans="7:7">
      <c r="G54934" s="812"/>
    </row>
    <row r="54935" spans="7:7">
      <c r="G54935" s="812"/>
    </row>
    <row r="54936" spans="7:7">
      <c r="G54936" s="812"/>
    </row>
    <row r="54937" spans="7:7">
      <c r="G54937" s="812"/>
    </row>
    <row r="54938" spans="7:7">
      <c r="G54938" s="812"/>
    </row>
    <row r="54939" spans="7:7">
      <c r="G54939" s="812"/>
    </row>
    <row r="54940" spans="7:7">
      <c r="G54940" s="812"/>
    </row>
    <row r="54941" spans="7:7">
      <c r="G54941" s="812"/>
    </row>
    <row r="54942" spans="7:7">
      <c r="G54942" s="812"/>
    </row>
    <row r="54943" spans="7:7">
      <c r="G54943" s="812"/>
    </row>
    <row r="54944" spans="7:7">
      <c r="G54944" s="812"/>
    </row>
    <row r="54945" spans="7:7">
      <c r="G54945" s="812"/>
    </row>
    <row r="54946" spans="7:7">
      <c r="G54946" s="812"/>
    </row>
    <row r="54947" spans="7:7">
      <c r="G54947" s="812"/>
    </row>
    <row r="54948" spans="7:7">
      <c r="G54948" s="812"/>
    </row>
    <row r="54949" spans="7:7">
      <c r="G54949" s="812"/>
    </row>
    <row r="54950" spans="7:7">
      <c r="G54950" s="812"/>
    </row>
    <row r="54951" spans="7:7">
      <c r="G54951" s="812"/>
    </row>
    <row r="54952" spans="7:7">
      <c r="G54952" s="812"/>
    </row>
    <row r="54953" spans="7:7">
      <c r="G54953" s="812"/>
    </row>
    <row r="54954" spans="7:7">
      <c r="G54954" s="812"/>
    </row>
    <row r="54955" spans="7:7">
      <c r="G54955" s="812"/>
    </row>
    <row r="54956" spans="7:7">
      <c r="G54956" s="812"/>
    </row>
    <row r="54957" spans="7:7">
      <c r="G54957" s="812"/>
    </row>
    <row r="54958" spans="7:7">
      <c r="G54958" s="812"/>
    </row>
    <row r="54959" spans="7:7">
      <c r="G54959" s="812"/>
    </row>
    <row r="54960" spans="7:7">
      <c r="G54960" s="812"/>
    </row>
    <row r="54961" spans="7:7">
      <c r="G54961" s="812"/>
    </row>
    <row r="54962" spans="7:7">
      <c r="G54962" s="812"/>
    </row>
    <row r="54963" spans="7:7">
      <c r="G54963" s="812"/>
    </row>
    <row r="54964" spans="7:7">
      <c r="G54964" s="812"/>
    </row>
    <row r="54965" spans="7:7">
      <c r="G54965" s="812"/>
    </row>
    <row r="54966" spans="7:7">
      <c r="G54966" s="812"/>
    </row>
    <row r="54967" spans="7:7">
      <c r="G54967" s="812"/>
    </row>
    <row r="54968" spans="7:7">
      <c r="G54968" s="812"/>
    </row>
    <row r="54969" spans="7:7">
      <c r="G54969" s="812"/>
    </row>
    <row r="54970" spans="7:7">
      <c r="G54970" s="812"/>
    </row>
    <row r="54971" spans="7:7">
      <c r="G54971" s="812"/>
    </row>
    <row r="54972" spans="7:7">
      <c r="G54972" s="812"/>
    </row>
    <row r="54973" spans="7:7">
      <c r="G54973" s="812"/>
    </row>
    <row r="54974" spans="7:7">
      <c r="G54974" s="812"/>
    </row>
    <row r="54975" spans="7:7">
      <c r="G54975" s="812"/>
    </row>
    <row r="54976" spans="7:7">
      <c r="G54976" s="812"/>
    </row>
    <row r="54977" spans="7:7">
      <c r="G54977" s="812"/>
    </row>
    <row r="54978" spans="7:7">
      <c r="G54978" s="812"/>
    </row>
    <row r="54979" spans="7:7">
      <c r="G54979" s="812"/>
    </row>
    <row r="54980" spans="7:7">
      <c r="G54980" s="812"/>
    </row>
    <row r="54981" spans="7:7">
      <c r="G54981" s="812"/>
    </row>
    <row r="54982" spans="7:7">
      <c r="G54982" s="812"/>
    </row>
    <row r="54983" spans="7:7">
      <c r="G54983" s="812"/>
    </row>
    <row r="54984" spans="7:7">
      <c r="G54984" s="812"/>
    </row>
    <row r="54985" spans="7:7">
      <c r="G54985" s="812"/>
    </row>
    <row r="54986" spans="7:7">
      <c r="G54986" s="812"/>
    </row>
    <row r="54987" spans="7:7">
      <c r="G54987" s="812"/>
    </row>
    <row r="54988" spans="7:7">
      <c r="G54988" s="812"/>
    </row>
    <row r="54989" spans="7:7">
      <c r="G54989" s="812"/>
    </row>
    <row r="54990" spans="7:7">
      <c r="G54990" s="812"/>
    </row>
    <row r="54991" spans="7:7">
      <c r="G54991" s="812"/>
    </row>
    <row r="54992" spans="7:7">
      <c r="G54992" s="812"/>
    </row>
    <row r="54993" spans="7:7">
      <c r="G54993" s="812"/>
    </row>
    <row r="54994" spans="7:7">
      <c r="G54994" s="812"/>
    </row>
    <row r="54995" spans="7:7">
      <c r="G54995" s="812"/>
    </row>
    <row r="54996" spans="7:7">
      <c r="G54996" s="812"/>
    </row>
    <row r="54997" spans="7:7">
      <c r="G54997" s="812"/>
    </row>
    <row r="54998" spans="7:7">
      <c r="G54998" s="812"/>
    </row>
    <row r="54999" spans="7:7">
      <c r="G54999" s="812"/>
    </row>
    <row r="55000" spans="7:7">
      <c r="G55000" s="812"/>
    </row>
    <row r="55001" spans="7:7">
      <c r="G55001" s="812"/>
    </row>
    <row r="55002" spans="7:7">
      <c r="G55002" s="812"/>
    </row>
    <row r="55003" spans="7:7">
      <c r="G55003" s="812"/>
    </row>
    <row r="55004" spans="7:7">
      <c r="G55004" s="812"/>
    </row>
    <row r="55005" spans="7:7">
      <c r="G55005" s="812"/>
    </row>
    <row r="55006" spans="7:7">
      <c r="G55006" s="812"/>
    </row>
    <row r="55007" spans="7:7">
      <c r="G55007" s="812"/>
    </row>
    <row r="55008" spans="7:7">
      <c r="G55008" s="812"/>
    </row>
    <row r="55009" spans="7:7">
      <c r="G55009" s="812"/>
    </row>
    <row r="55010" spans="7:7">
      <c r="G55010" s="812"/>
    </row>
    <row r="55011" spans="7:7">
      <c r="G55011" s="812"/>
    </row>
    <row r="55012" spans="7:7">
      <c r="G55012" s="812"/>
    </row>
    <row r="55013" spans="7:7">
      <c r="G55013" s="812"/>
    </row>
    <row r="55014" spans="7:7">
      <c r="G55014" s="812"/>
    </row>
    <row r="55015" spans="7:7">
      <c r="G55015" s="812"/>
    </row>
    <row r="55016" spans="7:7">
      <c r="G55016" s="812"/>
    </row>
    <row r="55017" spans="7:7">
      <c r="G55017" s="812"/>
    </row>
    <row r="55018" spans="7:7">
      <c r="G55018" s="812"/>
    </row>
    <row r="55019" spans="7:7">
      <c r="G55019" s="812"/>
    </row>
    <row r="55020" spans="7:7">
      <c r="G55020" s="812"/>
    </row>
    <row r="55021" spans="7:7">
      <c r="G55021" s="812"/>
    </row>
    <row r="55022" spans="7:7">
      <c r="G55022" s="812"/>
    </row>
    <row r="55023" spans="7:7">
      <c r="G55023" s="812"/>
    </row>
    <row r="55024" spans="7:7">
      <c r="G55024" s="812"/>
    </row>
    <row r="55025" spans="7:7">
      <c r="G55025" s="812"/>
    </row>
    <row r="55026" spans="7:7">
      <c r="G55026" s="812"/>
    </row>
    <row r="55027" spans="7:7">
      <c r="G55027" s="812"/>
    </row>
    <row r="55028" spans="7:7">
      <c r="G55028" s="812"/>
    </row>
    <row r="55029" spans="7:7">
      <c r="G55029" s="812"/>
    </row>
    <row r="55030" spans="7:7">
      <c r="G55030" s="812"/>
    </row>
    <row r="55031" spans="7:7">
      <c r="G55031" s="812"/>
    </row>
    <row r="55032" spans="7:7">
      <c r="G55032" s="812"/>
    </row>
    <row r="55033" spans="7:7">
      <c r="G55033" s="812"/>
    </row>
    <row r="55034" spans="7:7">
      <c r="G55034" s="812"/>
    </row>
    <row r="55035" spans="7:7">
      <c r="G55035" s="812"/>
    </row>
    <row r="55036" spans="7:7">
      <c r="G55036" s="812"/>
    </row>
    <row r="55037" spans="7:7">
      <c r="G55037" s="812"/>
    </row>
    <row r="55038" spans="7:7">
      <c r="G55038" s="812"/>
    </row>
    <row r="55039" spans="7:7">
      <c r="G55039" s="812"/>
    </row>
    <row r="55040" spans="7:7">
      <c r="G55040" s="812"/>
    </row>
    <row r="55041" spans="7:7">
      <c r="G55041" s="812"/>
    </row>
    <row r="55042" spans="7:7">
      <c r="G55042" s="812"/>
    </row>
    <row r="55043" spans="7:7">
      <c r="G55043" s="812"/>
    </row>
    <row r="55044" spans="7:7">
      <c r="G55044" s="812"/>
    </row>
    <row r="55045" spans="7:7">
      <c r="G55045" s="812"/>
    </row>
    <row r="55046" spans="7:7">
      <c r="G55046" s="812"/>
    </row>
    <row r="55047" spans="7:7">
      <c r="G55047" s="812"/>
    </row>
    <row r="55048" spans="7:7">
      <c r="G55048" s="812"/>
    </row>
    <row r="55049" spans="7:7">
      <c r="G55049" s="812"/>
    </row>
    <row r="55050" spans="7:7">
      <c r="G55050" s="812"/>
    </row>
    <row r="55051" spans="7:7">
      <c r="G55051" s="812"/>
    </row>
    <row r="55052" spans="7:7">
      <c r="G55052" s="812"/>
    </row>
    <row r="55053" spans="7:7">
      <c r="G55053" s="812"/>
    </row>
    <row r="55054" spans="7:7">
      <c r="G55054" s="812"/>
    </row>
    <row r="55055" spans="7:7">
      <c r="G55055" s="812"/>
    </row>
    <row r="55056" spans="7:7">
      <c r="G55056" s="812"/>
    </row>
    <row r="55057" spans="7:7">
      <c r="G55057" s="812"/>
    </row>
    <row r="55058" spans="7:7">
      <c r="G55058" s="812"/>
    </row>
    <row r="55059" spans="7:7">
      <c r="G55059" s="812"/>
    </row>
    <row r="55060" spans="7:7">
      <c r="G55060" s="812"/>
    </row>
    <row r="55061" spans="7:7">
      <c r="G55061" s="812"/>
    </row>
    <row r="55062" spans="7:7">
      <c r="G55062" s="812"/>
    </row>
    <row r="55063" spans="7:7">
      <c r="G55063" s="812"/>
    </row>
    <row r="55064" spans="7:7">
      <c r="G55064" s="812"/>
    </row>
    <row r="55065" spans="7:7">
      <c r="G55065" s="812"/>
    </row>
    <row r="55066" spans="7:7">
      <c r="G55066" s="812"/>
    </row>
    <row r="55067" spans="7:7">
      <c r="G55067" s="812"/>
    </row>
    <row r="55068" spans="7:7">
      <c r="G55068" s="812"/>
    </row>
    <row r="55069" spans="7:7">
      <c r="G55069" s="812"/>
    </row>
    <row r="55070" spans="7:7">
      <c r="G55070" s="812"/>
    </row>
    <row r="55071" spans="7:7">
      <c r="G55071" s="812"/>
    </row>
    <row r="55072" spans="7:7">
      <c r="G55072" s="812"/>
    </row>
    <row r="55073" spans="7:7">
      <c r="G55073" s="812"/>
    </row>
    <row r="55074" spans="7:7">
      <c r="G55074" s="812"/>
    </row>
    <row r="55075" spans="7:7">
      <c r="G55075" s="812"/>
    </row>
    <row r="55076" spans="7:7">
      <c r="G55076" s="812"/>
    </row>
    <row r="55077" spans="7:7">
      <c r="G55077" s="812"/>
    </row>
    <row r="55078" spans="7:7">
      <c r="G55078" s="812"/>
    </row>
    <row r="55079" spans="7:7">
      <c r="G55079" s="812"/>
    </row>
    <row r="55080" spans="7:7">
      <c r="G55080" s="812"/>
    </row>
    <row r="55081" spans="7:7">
      <c r="G55081" s="812"/>
    </row>
    <row r="55082" spans="7:7">
      <c r="G55082" s="812"/>
    </row>
    <row r="55083" spans="7:7">
      <c r="G55083" s="812"/>
    </row>
    <row r="55084" spans="7:7">
      <c r="G55084" s="812"/>
    </row>
    <row r="55085" spans="7:7">
      <c r="G55085" s="812"/>
    </row>
    <row r="55086" spans="7:7">
      <c r="G55086" s="812"/>
    </row>
    <row r="55087" spans="7:7">
      <c r="G55087" s="812"/>
    </row>
    <row r="55088" spans="7:7">
      <c r="G55088" s="812"/>
    </row>
    <row r="55089" spans="7:7">
      <c r="G55089" s="812"/>
    </row>
    <row r="55090" spans="7:7">
      <c r="G55090" s="812"/>
    </row>
    <row r="55091" spans="7:7">
      <c r="G55091" s="812"/>
    </row>
    <row r="55092" spans="7:7">
      <c r="G55092" s="812"/>
    </row>
    <row r="55093" spans="7:7">
      <c r="G55093" s="812"/>
    </row>
    <row r="55094" spans="7:7">
      <c r="G55094" s="812"/>
    </row>
    <row r="55095" spans="7:7">
      <c r="G55095" s="812"/>
    </row>
    <row r="55096" spans="7:7">
      <c r="G55096" s="812"/>
    </row>
    <row r="55097" spans="7:7">
      <c r="G55097" s="812"/>
    </row>
    <row r="55098" spans="7:7">
      <c r="G55098" s="812"/>
    </row>
    <row r="55099" spans="7:7">
      <c r="G55099" s="812"/>
    </row>
    <row r="55100" spans="7:7">
      <c r="G55100" s="812"/>
    </row>
    <row r="55101" spans="7:7">
      <c r="G55101" s="812"/>
    </row>
    <row r="55102" spans="7:7">
      <c r="G55102" s="812"/>
    </row>
    <row r="55103" spans="7:7">
      <c r="G55103" s="812"/>
    </row>
    <row r="55104" spans="7:7">
      <c r="G55104" s="812"/>
    </row>
    <row r="55105" spans="7:7">
      <c r="G55105" s="812"/>
    </row>
    <row r="55106" spans="7:7">
      <c r="G55106" s="812"/>
    </row>
    <row r="55107" spans="7:7">
      <c r="G55107" s="812"/>
    </row>
    <row r="55108" spans="7:7">
      <c r="G55108" s="812"/>
    </row>
    <row r="55109" spans="7:7">
      <c r="G55109" s="812"/>
    </row>
    <row r="55110" spans="7:7">
      <c r="G55110" s="812"/>
    </row>
    <row r="55111" spans="7:7">
      <c r="G55111" s="812"/>
    </row>
    <row r="55112" spans="7:7">
      <c r="G55112" s="812"/>
    </row>
    <row r="55113" spans="7:7">
      <c r="G55113" s="812"/>
    </row>
    <row r="55114" spans="7:7">
      <c r="G55114" s="812"/>
    </row>
    <row r="55115" spans="7:7">
      <c r="G55115" s="812"/>
    </row>
    <row r="55116" spans="7:7">
      <c r="G55116" s="812"/>
    </row>
    <row r="55117" spans="7:7">
      <c r="G55117" s="812"/>
    </row>
    <row r="55118" spans="7:7">
      <c r="G55118" s="812"/>
    </row>
    <row r="55119" spans="7:7">
      <c r="G55119" s="812"/>
    </row>
    <row r="55120" spans="7:7">
      <c r="G55120" s="812"/>
    </row>
    <row r="55121" spans="7:7">
      <c r="G55121" s="812"/>
    </row>
    <row r="55122" spans="7:7">
      <c r="G55122" s="812"/>
    </row>
    <row r="55123" spans="7:7">
      <c r="G55123" s="812"/>
    </row>
    <row r="55124" spans="7:7">
      <c r="G55124" s="812"/>
    </row>
    <row r="55125" spans="7:7">
      <c r="G55125" s="812"/>
    </row>
    <row r="55126" spans="7:7">
      <c r="G55126" s="812"/>
    </row>
    <row r="55127" spans="7:7">
      <c r="G55127" s="812"/>
    </row>
    <row r="55128" spans="7:7">
      <c r="G55128" s="812"/>
    </row>
    <row r="55129" spans="7:7">
      <c r="G55129" s="812"/>
    </row>
    <row r="55130" spans="7:7">
      <c r="G55130" s="812"/>
    </row>
    <row r="55131" spans="7:7">
      <c r="G55131" s="812"/>
    </row>
    <row r="55132" spans="7:7">
      <c r="G55132" s="812"/>
    </row>
    <row r="55133" spans="7:7">
      <c r="G55133" s="812"/>
    </row>
    <row r="55134" spans="7:7">
      <c r="G55134" s="812"/>
    </row>
    <row r="55135" spans="7:7">
      <c r="G55135" s="812"/>
    </row>
    <row r="55136" spans="7:7">
      <c r="G55136" s="812"/>
    </row>
    <row r="55137" spans="7:7">
      <c r="G55137" s="812"/>
    </row>
    <row r="55138" spans="7:7">
      <c r="G55138" s="812"/>
    </row>
    <row r="55139" spans="7:7">
      <c r="G55139" s="812"/>
    </row>
    <row r="55140" spans="7:7">
      <c r="G55140" s="812"/>
    </row>
    <row r="55141" spans="7:7">
      <c r="G55141" s="812"/>
    </row>
    <row r="55142" spans="7:7">
      <c r="G55142" s="812"/>
    </row>
    <row r="55143" spans="7:7">
      <c r="G55143" s="812"/>
    </row>
    <row r="55144" spans="7:7">
      <c r="G55144" s="812"/>
    </row>
    <row r="55145" spans="7:7">
      <c r="G55145" s="812"/>
    </row>
    <row r="55146" spans="7:7">
      <c r="G55146" s="812"/>
    </row>
    <row r="55147" spans="7:7">
      <c r="G55147" s="812"/>
    </row>
    <row r="55148" spans="7:7">
      <c r="G55148" s="812"/>
    </row>
    <row r="55149" spans="7:7">
      <c r="G55149" s="812"/>
    </row>
    <row r="55150" spans="7:7">
      <c r="G55150" s="812"/>
    </row>
    <row r="55151" spans="7:7">
      <c r="G55151" s="812"/>
    </row>
    <row r="55152" spans="7:7">
      <c r="G55152" s="812"/>
    </row>
    <row r="55153" spans="7:7">
      <c r="G55153" s="812"/>
    </row>
    <row r="55154" spans="7:7">
      <c r="G55154" s="812"/>
    </row>
    <row r="55155" spans="7:7">
      <c r="G55155" s="812"/>
    </row>
    <row r="55156" spans="7:7">
      <c r="G55156" s="812"/>
    </row>
    <row r="55157" spans="7:7">
      <c r="G55157" s="812"/>
    </row>
    <row r="55158" spans="7:7">
      <c r="G55158" s="812"/>
    </row>
    <row r="55159" spans="7:7">
      <c r="G55159" s="812"/>
    </row>
    <row r="55160" spans="7:7">
      <c r="G55160" s="812"/>
    </row>
    <row r="55161" spans="7:7">
      <c r="G55161" s="812"/>
    </row>
    <row r="55162" spans="7:7">
      <c r="G55162" s="812"/>
    </row>
    <row r="55163" spans="7:7">
      <c r="G55163" s="812"/>
    </row>
    <row r="55164" spans="7:7">
      <c r="G55164" s="812"/>
    </row>
    <row r="55165" spans="7:7">
      <c r="G55165" s="812"/>
    </row>
    <row r="55166" spans="7:7">
      <c r="G55166" s="812"/>
    </row>
    <row r="55167" spans="7:7">
      <c r="G55167" s="812"/>
    </row>
    <row r="55168" spans="7:7">
      <c r="G55168" s="812"/>
    </row>
    <row r="55169" spans="7:7">
      <c r="G55169" s="812"/>
    </row>
    <row r="55170" spans="7:7">
      <c r="G55170" s="812"/>
    </row>
    <row r="55171" spans="7:7">
      <c r="G55171" s="812"/>
    </row>
    <row r="55172" spans="7:7">
      <c r="G55172" s="812"/>
    </row>
    <row r="55173" spans="7:7">
      <c r="G55173" s="812"/>
    </row>
    <row r="55174" spans="7:7">
      <c r="G55174" s="812"/>
    </row>
    <row r="55175" spans="7:7">
      <c r="G55175" s="812"/>
    </row>
    <row r="55176" spans="7:7">
      <c r="G55176" s="812"/>
    </row>
    <row r="55177" spans="7:7">
      <c r="G55177" s="812"/>
    </row>
    <row r="55178" spans="7:7">
      <c r="G55178" s="812"/>
    </row>
    <row r="55179" spans="7:7">
      <c r="G55179" s="812"/>
    </row>
    <row r="55180" spans="7:7">
      <c r="G55180" s="812"/>
    </row>
    <row r="55181" spans="7:7">
      <c r="G55181" s="812"/>
    </row>
    <row r="55182" spans="7:7">
      <c r="G55182" s="812"/>
    </row>
    <row r="55183" spans="7:7">
      <c r="G55183" s="812"/>
    </row>
    <row r="55184" spans="7:7">
      <c r="G55184" s="812"/>
    </row>
    <row r="55185" spans="7:7">
      <c r="G55185" s="812"/>
    </row>
    <row r="55186" spans="7:7">
      <c r="G55186" s="812"/>
    </row>
    <row r="55187" spans="7:7">
      <c r="G55187" s="812"/>
    </row>
    <row r="55188" spans="7:7">
      <c r="G55188" s="812"/>
    </row>
    <row r="55189" spans="7:7">
      <c r="G55189" s="812"/>
    </row>
    <row r="55190" spans="7:7">
      <c r="G55190" s="812"/>
    </row>
    <row r="55191" spans="7:7">
      <c r="G55191" s="812"/>
    </row>
    <row r="55192" spans="7:7">
      <c r="G55192" s="812"/>
    </row>
    <row r="55193" spans="7:7">
      <c r="G55193" s="812"/>
    </row>
    <row r="55194" spans="7:7">
      <c r="G55194" s="812"/>
    </row>
    <row r="55195" spans="7:7">
      <c r="G55195" s="812"/>
    </row>
    <row r="55196" spans="7:7">
      <c r="G55196" s="812"/>
    </row>
    <row r="55197" spans="7:7">
      <c r="G55197" s="812"/>
    </row>
    <row r="55198" spans="7:7">
      <c r="G55198" s="812"/>
    </row>
    <row r="55199" spans="7:7">
      <c r="G55199" s="812"/>
    </row>
    <row r="55200" spans="7:7">
      <c r="G55200" s="812"/>
    </row>
    <row r="55201" spans="7:7">
      <c r="G55201" s="812"/>
    </row>
    <row r="55202" spans="7:7">
      <c r="G55202" s="812"/>
    </row>
    <row r="55203" spans="7:7">
      <c r="G55203" s="812"/>
    </row>
    <row r="55204" spans="7:7">
      <c r="G55204" s="812"/>
    </row>
    <row r="55205" spans="7:7">
      <c r="G55205" s="812"/>
    </row>
    <row r="55206" spans="7:7">
      <c r="G55206" s="812"/>
    </row>
    <row r="55207" spans="7:7">
      <c r="G55207" s="812"/>
    </row>
    <row r="55208" spans="7:7">
      <c r="G55208" s="812"/>
    </row>
    <row r="55209" spans="7:7">
      <c r="G55209" s="812"/>
    </row>
    <row r="55210" spans="7:7">
      <c r="G55210" s="812"/>
    </row>
    <row r="55211" spans="7:7">
      <c r="G55211" s="812"/>
    </row>
    <row r="55212" spans="7:7">
      <c r="G55212" s="812"/>
    </row>
    <row r="55213" spans="7:7">
      <c r="G55213" s="812"/>
    </row>
    <row r="55214" spans="7:7">
      <c r="G55214" s="812"/>
    </row>
    <row r="55215" spans="7:7">
      <c r="G55215" s="812"/>
    </row>
    <row r="55216" spans="7:7">
      <c r="G55216" s="812"/>
    </row>
    <row r="55217" spans="7:7">
      <c r="G55217" s="812"/>
    </row>
    <row r="55218" spans="7:7">
      <c r="G55218" s="812"/>
    </row>
    <row r="55219" spans="7:7">
      <c r="G55219" s="812"/>
    </row>
    <row r="55220" spans="7:7">
      <c r="G55220" s="812"/>
    </row>
    <row r="55221" spans="7:7">
      <c r="G55221" s="812"/>
    </row>
    <row r="55222" spans="7:7">
      <c r="G55222" s="812"/>
    </row>
    <row r="55223" spans="7:7">
      <c r="G55223" s="812"/>
    </row>
    <row r="55224" spans="7:7">
      <c r="G55224" s="812"/>
    </row>
    <row r="55225" spans="7:7">
      <c r="G55225" s="812"/>
    </row>
    <row r="55226" spans="7:7">
      <c r="G55226" s="812"/>
    </row>
    <row r="55227" spans="7:7">
      <c r="G55227" s="812"/>
    </row>
    <row r="55228" spans="7:7">
      <c r="G55228" s="812"/>
    </row>
    <row r="55229" spans="7:7">
      <c r="G55229" s="812"/>
    </row>
    <row r="55230" spans="7:7">
      <c r="G55230" s="812"/>
    </row>
    <row r="55231" spans="7:7">
      <c r="G55231" s="812"/>
    </row>
    <row r="55232" spans="7:7">
      <c r="G55232" s="812"/>
    </row>
    <row r="55233" spans="7:7">
      <c r="G55233" s="812"/>
    </row>
    <row r="55234" spans="7:7">
      <c r="G55234" s="812"/>
    </row>
    <row r="55235" spans="7:7">
      <c r="G55235" s="812"/>
    </row>
    <row r="55236" spans="7:7">
      <c r="G55236" s="812"/>
    </row>
    <row r="55237" spans="7:7">
      <c r="G55237" s="812"/>
    </row>
    <row r="55238" spans="7:7">
      <c r="G55238" s="812"/>
    </row>
    <row r="55239" spans="7:7">
      <c r="G55239" s="812"/>
    </row>
    <row r="55240" spans="7:7">
      <c r="G55240" s="812"/>
    </row>
    <row r="55241" spans="7:7">
      <c r="G55241" s="812"/>
    </row>
    <row r="55242" spans="7:7">
      <c r="G55242" s="812"/>
    </row>
    <row r="55243" spans="7:7">
      <c r="G55243" s="812"/>
    </row>
    <row r="55244" spans="7:7">
      <c r="G55244" s="812"/>
    </row>
    <row r="55245" spans="7:7">
      <c r="G55245" s="812"/>
    </row>
    <row r="55246" spans="7:7">
      <c r="G55246" s="812"/>
    </row>
    <row r="55247" spans="7:7">
      <c r="G55247" s="812"/>
    </row>
    <row r="55248" spans="7:7">
      <c r="G55248" s="812"/>
    </row>
    <row r="55249" spans="7:7">
      <c r="G55249" s="812"/>
    </row>
    <row r="55250" spans="7:7">
      <c r="G55250" s="812"/>
    </row>
    <row r="55251" spans="7:7">
      <c r="G55251" s="812"/>
    </row>
    <row r="55252" spans="7:7">
      <c r="G55252" s="812"/>
    </row>
    <row r="55253" spans="7:7">
      <c r="G55253" s="812"/>
    </row>
    <row r="55254" spans="7:7">
      <c r="G55254" s="812"/>
    </row>
    <row r="55255" spans="7:7">
      <c r="G55255" s="812"/>
    </row>
    <row r="55256" spans="7:7">
      <c r="G55256" s="812"/>
    </row>
    <row r="55257" spans="7:7">
      <c r="G55257" s="812"/>
    </row>
    <row r="55258" spans="7:7">
      <c r="G55258" s="812"/>
    </row>
    <row r="55259" spans="7:7">
      <c r="G55259" s="812"/>
    </row>
    <row r="55260" spans="7:7">
      <c r="G55260" s="812"/>
    </row>
    <row r="55261" spans="7:7">
      <c r="G55261" s="812"/>
    </row>
    <row r="55262" spans="7:7">
      <c r="G55262" s="812"/>
    </row>
    <row r="55263" spans="7:7">
      <c r="G55263" s="812"/>
    </row>
    <row r="55264" spans="7:7">
      <c r="G55264" s="812"/>
    </row>
    <row r="55265" spans="7:7">
      <c r="G55265" s="812"/>
    </row>
    <row r="55266" spans="7:7">
      <c r="G55266" s="812"/>
    </row>
    <row r="55267" spans="7:7">
      <c r="G55267" s="812"/>
    </row>
    <row r="55268" spans="7:7">
      <c r="G55268" s="812"/>
    </row>
    <row r="55269" spans="7:7">
      <c r="G55269" s="812"/>
    </row>
    <row r="55270" spans="7:7">
      <c r="G55270" s="812"/>
    </row>
    <row r="55271" spans="7:7">
      <c r="G55271" s="812"/>
    </row>
    <row r="55272" spans="7:7">
      <c r="G55272" s="812"/>
    </row>
    <row r="55273" spans="7:7">
      <c r="G55273" s="812"/>
    </row>
    <row r="55274" spans="7:7">
      <c r="G55274" s="812"/>
    </row>
    <row r="55275" spans="7:7">
      <c r="G55275" s="812"/>
    </row>
    <row r="55276" spans="7:7">
      <c r="G55276" s="812"/>
    </row>
    <row r="55277" spans="7:7">
      <c r="G55277" s="812"/>
    </row>
    <row r="55278" spans="7:7">
      <c r="G55278" s="812"/>
    </row>
    <row r="55279" spans="7:7">
      <c r="G55279" s="812"/>
    </row>
    <row r="55280" spans="7:7">
      <c r="G55280" s="812"/>
    </row>
    <row r="55281" spans="7:7">
      <c r="G55281" s="812"/>
    </row>
    <row r="55282" spans="7:7">
      <c r="G55282" s="812"/>
    </row>
    <row r="55283" spans="7:7">
      <c r="G55283" s="812"/>
    </row>
    <row r="55284" spans="7:7">
      <c r="G55284" s="812"/>
    </row>
    <row r="55285" spans="7:7">
      <c r="G55285" s="812"/>
    </row>
    <row r="55286" spans="7:7">
      <c r="G55286" s="812"/>
    </row>
    <row r="55287" spans="7:7">
      <c r="G55287" s="812"/>
    </row>
    <row r="55288" spans="7:7">
      <c r="G55288" s="812"/>
    </row>
    <row r="55289" spans="7:7">
      <c r="G55289" s="812"/>
    </row>
    <row r="55290" spans="7:7">
      <c r="G55290" s="812"/>
    </row>
    <row r="55291" spans="7:7">
      <c r="G55291" s="812"/>
    </row>
    <row r="55292" spans="7:7">
      <c r="G55292" s="812"/>
    </row>
    <row r="55293" spans="7:7">
      <c r="G55293" s="812"/>
    </row>
    <row r="55294" spans="7:7">
      <c r="G55294" s="812"/>
    </row>
    <row r="55295" spans="7:7">
      <c r="G55295" s="812"/>
    </row>
    <row r="55296" spans="7:7">
      <c r="G55296" s="812"/>
    </row>
    <row r="55297" spans="7:7">
      <c r="G55297" s="812"/>
    </row>
    <row r="55298" spans="7:7">
      <c r="G55298" s="812"/>
    </row>
    <row r="55299" spans="7:7">
      <c r="G55299" s="812"/>
    </row>
    <row r="55300" spans="7:7">
      <c r="G55300" s="812"/>
    </row>
    <row r="55301" spans="7:7">
      <c r="G55301" s="812"/>
    </row>
    <row r="55302" spans="7:7">
      <c r="G55302" s="812"/>
    </row>
    <row r="55303" spans="7:7">
      <c r="G55303" s="812"/>
    </row>
    <row r="55304" spans="7:7">
      <c r="G55304" s="812"/>
    </row>
    <row r="55305" spans="7:7">
      <c r="G55305" s="812"/>
    </row>
    <row r="55306" spans="7:7">
      <c r="G55306" s="812"/>
    </row>
    <row r="55307" spans="7:7">
      <c r="G55307" s="812"/>
    </row>
    <row r="55308" spans="7:7">
      <c r="G55308" s="812"/>
    </row>
    <row r="55309" spans="7:7">
      <c r="G55309" s="812"/>
    </row>
    <row r="55310" spans="7:7">
      <c r="G55310" s="812"/>
    </row>
    <row r="55311" spans="7:7">
      <c r="G55311" s="812"/>
    </row>
    <row r="55312" spans="7:7">
      <c r="G55312" s="812"/>
    </row>
    <row r="55313" spans="7:7">
      <c r="G55313" s="812"/>
    </row>
    <row r="55314" spans="7:7">
      <c r="G55314" s="812"/>
    </row>
    <row r="55315" spans="7:7">
      <c r="G55315" s="812"/>
    </row>
    <row r="55316" spans="7:7">
      <c r="G55316" s="812"/>
    </row>
    <row r="55317" spans="7:7">
      <c r="G55317" s="812"/>
    </row>
    <row r="55318" spans="7:7">
      <c r="G55318" s="812"/>
    </row>
    <row r="55319" spans="7:7">
      <c r="G55319" s="812"/>
    </row>
    <row r="55320" spans="7:7">
      <c r="G55320" s="812"/>
    </row>
    <row r="55321" spans="7:7">
      <c r="G55321" s="812"/>
    </row>
    <row r="55322" spans="7:7">
      <c r="G55322" s="812"/>
    </row>
    <row r="55323" spans="7:7">
      <c r="G55323" s="812"/>
    </row>
    <row r="55324" spans="7:7">
      <c r="G55324" s="812"/>
    </row>
    <row r="55325" spans="7:7">
      <c r="G55325" s="812"/>
    </row>
    <row r="55326" spans="7:7">
      <c r="G55326" s="812"/>
    </row>
    <row r="55327" spans="7:7">
      <c r="G55327" s="812"/>
    </row>
    <row r="55328" spans="7:7">
      <c r="G55328" s="812"/>
    </row>
    <row r="55329" spans="7:7">
      <c r="G55329" s="812"/>
    </row>
    <row r="55330" spans="7:7">
      <c r="G55330" s="812"/>
    </row>
    <row r="55331" spans="7:7">
      <c r="G55331" s="812"/>
    </row>
    <row r="55332" spans="7:7">
      <c r="G55332" s="812"/>
    </row>
    <row r="55333" spans="7:7">
      <c r="G55333" s="812"/>
    </row>
    <row r="55334" spans="7:7">
      <c r="G55334" s="812"/>
    </row>
    <row r="55335" spans="7:7">
      <c r="G55335" s="812"/>
    </row>
    <row r="55336" spans="7:7">
      <c r="G55336" s="812"/>
    </row>
    <row r="55337" spans="7:7">
      <c r="G55337" s="812"/>
    </row>
    <row r="55338" spans="7:7">
      <c r="G55338" s="812"/>
    </row>
    <row r="55339" spans="7:7">
      <c r="G55339" s="812"/>
    </row>
    <row r="55340" spans="7:7">
      <c r="G55340" s="812"/>
    </row>
    <row r="55341" spans="7:7">
      <c r="G55341" s="812"/>
    </row>
    <row r="55342" spans="7:7">
      <c r="G55342" s="812"/>
    </row>
    <row r="55343" spans="7:7">
      <c r="G55343" s="812"/>
    </row>
    <row r="55344" spans="7:7">
      <c r="G55344" s="812"/>
    </row>
    <row r="55345" spans="7:7">
      <c r="G55345" s="812"/>
    </row>
    <row r="55346" spans="7:7">
      <c r="G55346" s="812"/>
    </row>
    <row r="55347" spans="7:7">
      <c r="G55347" s="812"/>
    </row>
    <row r="55348" spans="7:7">
      <c r="G55348" s="812"/>
    </row>
    <row r="55349" spans="7:7">
      <c r="G55349" s="812"/>
    </row>
    <row r="55350" spans="7:7">
      <c r="G55350" s="812"/>
    </row>
    <row r="55351" spans="7:7">
      <c r="G55351" s="812"/>
    </row>
    <row r="55352" spans="7:7">
      <c r="G55352" s="812"/>
    </row>
    <row r="55353" spans="7:7">
      <c r="G55353" s="812"/>
    </row>
    <row r="55354" spans="7:7">
      <c r="G55354" s="812"/>
    </row>
    <row r="55355" spans="7:7">
      <c r="G55355" s="812"/>
    </row>
    <row r="55356" spans="7:7">
      <c r="G55356" s="812"/>
    </row>
    <row r="55357" spans="7:7">
      <c r="G55357" s="812"/>
    </row>
    <row r="55358" spans="7:7">
      <c r="G55358" s="812"/>
    </row>
    <row r="55359" spans="7:7">
      <c r="G55359" s="812"/>
    </row>
    <row r="55360" spans="7:7">
      <c r="G55360" s="812"/>
    </row>
    <row r="55361" spans="7:7">
      <c r="G55361" s="812"/>
    </row>
    <row r="55362" spans="7:7">
      <c r="G55362" s="812"/>
    </row>
    <row r="55363" spans="7:7">
      <c r="G55363" s="812"/>
    </row>
    <row r="55364" spans="7:7">
      <c r="G55364" s="812"/>
    </row>
    <row r="55365" spans="7:7">
      <c r="G55365" s="812"/>
    </row>
    <row r="55366" spans="7:7">
      <c r="G55366" s="812"/>
    </row>
    <row r="55367" spans="7:7">
      <c r="G55367" s="812"/>
    </row>
    <row r="55368" spans="7:7">
      <c r="G55368" s="812"/>
    </row>
    <row r="55369" spans="7:7">
      <c r="G55369" s="812"/>
    </row>
    <row r="55370" spans="7:7">
      <c r="G55370" s="812"/>
    </row>
    <row r="55371" spans="7:7">
      <c r="G55371" s="812"/>
    </row>
    <row r="55372" spans="7:7">
      <c r="G55372" s="812"/>
    </row>
    <row r="55373" spans="7:7">
      <c r="G55373" s="812"/>
    </row>
    <row r="55374" spans="7:7">
      <c r="G55374" s="812"/>
    </row>
    <row r="55375" spans="7:7">
      <c r="G55375" s="812"/>
    </row>
    <row r="55376" spans="7:7">
      <c r="G55376" s="812"/>
    </row>
    <row r="55377" spans="7:7">
      <c r="G55377" s="812"/>
    </row>
    <row r="55378" spans="7:7">
      <c r="G55378" s="812"/>
    </row>
    <row r="55379" spans="7:7">
      <c r="G55379" s="812"/>
    </row>
    <row r="55380" spans="7:7">
      <c r="G55380" s="812"/>
    </row>
    <row r="55381" spans="7:7">
      <c r="G55381" s="812"/>
    </row>
    <row r="55382" spans="7:7">
      <c r="G55382" s="812"/>
    </row>
    <row r="55383" spans="7:7">
      <c r="G55383" s="812"/>
    </row>
    <row r="55384" spans="7:7">
      <c r="G55384" s="812"/>
    </row>
    <row r="55385" spans="7:7">
      <c r="G55385" s="812"/>
    </row>
    <row r="55386" spans="7:7">
      <c r="G55386" s="812"/>
    </row>
    <row r="55387" spans="7:7">
      <c r="G55387" s="812"/>
    </row>
    <row r="55388" spans="7:7">
      <c r="G55388" s="812"/>
    </row>
    <row r="55389" spans="7:7">
      <c r="G55389" s="812"/>
    </row>
    <row r="55390" spans="7:7">
      <c r="G55390" s="812"/>
    </row>
    <row r="55391" spans="7:7">
      <c r="G55391" s="812"/>
    </row>
    <row r="55392" spans="7:7">
      <c r="G55392" s="812"/>
    </row>
    <row r="55393" spans="7:7">
      <c r="G55393" s="812"/>
    </row>
    <row r="55394" spans="7:7">
      <c r="G55394" s="812"/>
    </row>
    <row r="55395" spans="7:7">
      <c r="G55395" s="812"/>
    </row>
    <row r="55396" spans="7:7">
      <c r="G55396" s="812"/>
    </row>
    <row r="55397" spans="7:7">
      <c r="G55397" s="812"/>
    </row>
    <row r="55398" spans="7:7">
      <c r="G55398" s="812"/>
    </row>
    <row r="55399" spans="7:7">
      <c r="G55399" s="812"/>
    </row>
    <row r="55400" spans="7:7">
      <c r="G55400" s="812"/>
    </row>
    <row r="55401" spans="7:7">
      <c r="G55401" s="812"/>
    </row>
    <row r="55402" spans="7:7">
      <c r="G55402" s="812"/>
    </row>
    <row r="55403" spans="7:7">
      <c r="G55403" s="812"/>
    </row>
    <row r="55404" spans="7:7">
      <c r="G55404" s="812"/>
    </row>
    <row r="55405" spans="7:7">
      <c r="G55405" s="812"/>
    </row>
    <row r="55406" spans="7:7">
      <c r="G55406" s="812"/>
    </row>
    <row r="55407" spans="7:7">
      <c r="G55407" s="812"/>
    </row>
    <row r="55408" spans="7:7">
      <c r="G55408" s="812"/>
    </row>
    <row r="55409" spans="7:7">
      <c r="G55409" s="812"/>
    </row>
    <row r="55410" spans="7:7">
      <c r="G55410" s="812"/>
    </row>
    <row r="55411" spans="7:7">
      <c r="G55411" s="812"/>
    </row>
    <row r="55412" spans="7:7">
      <c r="G55412" s="812"/>
    </row>
    <row r="55413" spans="7:7">
      <c r="G55413" s="812"/>
    </row>
    <row r="55414" spans="7:7">
      <c r="G55414" s="812"/>
    </row>
    <row r="55415" spans="7:7">
      <c r="G55415" s="812"/>
    </row>
    <row r="55416" spans="7:7">
      <c r="G55416" s="812"/>
    </row>
    <row r="55417" spans="7:7">
      <c r="G55417" s="812"/>
    </row>
    <row r="55418" spans="7:7">
      <c r="G55418" s="812"/>
    </row>
    <row r="55419" spans="7:7">
      <c r="G55419" s="812"/>
    </row>
    <row r="55420" spans="7:7">
      <c r="G55420" s="812"/>
    </row>
    <row r="55421" spans="7:7">
      <c r="G55421" s="812"/>
    </row>
    <row r="55422" spans="7:7">
      <c r="G55422" s="812"/>
    </row>
    <row r="55423" spans="7:7">
      <c r="G55423" s="812"/>
    </row>
    <row r="55424" spans="7:7">
      <c r="G55424" s="812"/>
    </row>
    <row r="55425" spans="7:7">
      <c r="G55425" s="812"/>
    </row>
    <row r="55426" spans="7:7">
      <c r="G55426" s="812"/>
    </row>
    <row r="55427" spans="7:7">
      <c r="G55427" s="812"/>
    </row>
    <row r="55428" spans="7:7">
      <c r="G55428" s="812"/>
    </row>
    <row r="55429" spans="7:7">
      <c r="G55429" s="812"/>
    </row>
    <row r="55430" spans="7:7">
      <c r="G55430" s="812"/>
    </row>
    <row r="55431" spans="7:7">
      <c r="G55431" s="812"/>
    </row>
    <row r="55432" spans="7:7">
      <c r="G55432" s="812"/>
    </row>
    <row r="55433" spans="7:7">
      <c r="G55433" s="812"/>
    </row>
    <row r="55434" spans="7:7">
      <c r="G55434" s="812"/>
    </row>
    <row r="55435" spans="7:7">
      <c r="G55435" s="812"/>
    </row>
    <row r="55436" spans="7:7">
      <c r="G55436" s="812"/>
    </row>
    <row r="55437" spans="7:7">
      <c r="G55437" s="812"/>
    </row>
    <row r="55438" spans="7:7">
      <c r="G55438" s="812"/>
    </row>
    <row r="55439" spans="7:7">
      <c r="G55439" s="812"/>
    </row>
    <row r="55440" spans="7:7">
      <c r="G55440" s="812"/>
    </row>
    <row r="55441" spans="7:7">
      <c r="G55441" s="812"/>
    </row>
    <row r="55442" spans="7:7">
      <c r="G55442" s="812"/>
    </row>
    <row r="55443" spans="7:7">
      <c r="G55443" s="812"/>
    </row>
    <row r="55444" spans="7:7">
      <c r="G55444" s="812"/>
    </row>
    <row r="55445" spans="7:7">
      <c r="G55445" s="812"/>
    </row>
    <row r="55446" spans="7:7">
      <c r="G55446" s="812"/>
    </row>
    <row r="55447" spans="7:7">
      <c r="G55447" s="812"/>
    </row>
    <row r="55448" spans="7:7">
      <c r="G55448" s="812"/>
    </row>
    <row r="55449" spans="7:7">
      <c r="G55449" s="812"/>
    </row>
    <row r="55450" spans="7:7">
      <c r="G55450" s="812"/>
    </row>
    <row r="55451" spans="7:7">
      <c r="G55451" s="812"/>
    </row>
    <row r="55452" spans="7:7">
      <c r="G55452" s="812"/>
    </row>
    <row r="55453" spans="7:7">
      <c r="G55453" s="812"/>
    </row>
    <row r="55454" spans="7:7">
      <c r="G55454" s="812"/>
    </row>
    <row r="55455" spans="7:7">
      <c r="G55455" s="812"/>
    </row>
    <row r="55456" spans="7:7">
      <c r="G55456" s="812"/>
    </row>
    <row r="55457" spans="7:7">
      <c r="G55457" s="812"/>
    </row>
    <row r="55458" spans="7:7">
      <c r="G55458" s="812"/>
    </row>
    <row r="55459" spans="7:7">
      <c r="G55459" s="812"/>
    </row>
    <row r="55460" spans="7:7">
      <c r="G55460" s="812"/>
    </row>
    <row r="55461" spans="7:7">
      <c r="G55461" s="812"/>
    </row>
    <row r="55462" spans="7:7">
      <c r="G55462" s="812"/>
    </row>
    <row r="55463" spans="7:7">
      <c r="G55463" s="812"/>
    </row>
    <row r="55464" spans="7:7">
      <c r="G55464" s="812"/>
    </row>
    <row r="55465" spans="7:7">
      <c r="G55465" s="812"/>
    </row>
    <row r="55466" spans="7:7">
      <c r="G55466" s="812"/>
    </row>
    <row r="55467" spans="7:7">
      <c r="G55467" s="812"/>
    </row>
    <row r="55468" spans="7:7">
      <c r="G55468" s="812"/>
    </row>
    <row r="55469" spans="7:7">
      <c r="G55469" s="812"/>
    </row>
    <row r="55470" spans="7:7">
      <c r="G55470" s="812"/>
    </row>
    <row r="55471" spans="7:7">
      <c r="G55471" s="812"/>
    </row>
    <row r="55472" spans="7:7">
      <c r="G55472" s="812"/>
    </row>
    <row r="55473" spans="7:7">
      <c r="G55473" s="812"/>
    </row>
    <row r="55474" spans="7:7">
      <c r="G55474" s="812"/>
    </row>
    <row r="55475" spans="7:7">
      <c r="G55475" s="812"/>
    </row>
    <row r="55476" spans="7:7">
      <c r="G55476" s="812"/>
    </row>
    <row r="55477" spans="7:7">
      <c r="G55477" s="812"/>
    </row>
    <row r="55478" spans="7:7">
      <c r="G55478" s="812"/>
    </row>
    <row r="55479" spans="7:7">
      <c r="G55479" s="812"/>
    </row>
    <row r="55480" spans="7:7">
      <c r="G55480" s="812"/>
    </row>
    <row r="55481" spans="7:7">
      <c r="G55481" s="812"/>
    </row>
    <row r="55482" spans="7:7">
      <c r="G55482" s="812"/>
    </row>
    <row r="55483" spans="7:7">
      <c r="G55483" s="812"/>
    </row>
    <row r="55484" spans="7:7">
      <c r="G55484" s="812"/>
    </row>
    <row r="55485" spans="7:7">
      <c r="G55485" s="812"/>
    </row>
    <row r="55486" spans="7:7">
      <c r="G55486" s="812"/>
    </row>
    <row r="55487" spans="7:7">
      <c r="G55487" s="812"/>
    </row>
    <row r="55488" spans="7:7">
      <c r="G55488" s="812"/>
    </row>
    <row r="55489" spans="7:7">
      <c r="G55489" s="812"/>
    </row>
    <row r="55490" spans="7:7">
      <c r="G55490" s="812"/>
    </row>
    <row r="55491" spans="7:7">
      <c r="G55491" s="812"/>
    </row>
    <row r="55492" spans="7:7">
      <c r="G55492" s="812"/>
    </row>
    <row r="55493" spans="7:7">
      <c r="G55493" s="812"/>
    </row>
    <row r="55494" spans="7:7">
      <c r="G55494" s="812"/>
    </row>
    <row r="55495" spans="7:7">
      <c r="G55495" s="812"/>
    </row>
    <row r="55496" spans="7:7">
      <c r="G55496" s="812"/>
    </row>
    <row r="55497" spans="7:7">
      <c r="G55497" s="812"/>
    </row>
    <row r="55498" spans="7:7">
      <c r="G55498" s="812"/>
    </row>
    <row r="55499" spans="7:7">
      <c r="G55499" s="812"/>
    </row>
    <row r="55500" spans="7:7">
      <c r="G55500" s="812"/>
    </row>
    <row r="55501" spans="7:7">
      <c r="G55501" s="812"/>
    </row>
    <row r="55502" spans="7:7">
      <c r="G55502" s="812"/>
    </row>
    <row r="55503" spans="7:7">
      <c r="G55503" s="812"/>
    </row>
    <row r="55504" spans="7:7">
      <c r="G55504" s="812"/>
    </row>
    <row r="55505" spans="7:7">
      <c r="G55505" s="812"/>
    </row>
    <row r="55506" spans="7:7">
      <c r="G55506" s="812"/>
    </row>
    <row r="55507" spans="7:7">
      <c r="G55507" s="812"/>
    </row>
    <row r="55508" spans="7:7">
      <c r="G55508" s="812"/>
    </row>
    <row r="55509" spans="7:7">
      <c r="G55509" s="812"/>
    </row>
    <row r="55510" spans="7:7">
      <c r="G55510" s="812"/>
    </row>
    <row r="55511" spans="7:7">
      <c r="G55511" s="812"/>
    </row>
    <row r="55512" spans="7:7">
      <c r="G55512" s="812"/>
    </row>
    <row r="55513" spans="7:7">
      <c r="G55513" s="812"/>
    </row>
    <row r="55514" spans="7:7">
      <c r="G55514" s="812"/>
    </row>
    <row r="55515" spans="7:7">
      <c r="G55515" s="812"/>
    </row>
    <row r="55516" spans="7:7">
      <c r="G55516" s="812"/>
    </row>
    <row r="55517" spans="7:7">
      <c r="G55517" s="812"/>
    </row>
    <row r="55518" spans="7:7">
      <c r="G55518" s="812"/>
    </row>
    <row r="55519" spans="7:7">
      <c r="G55519" s="812"/>
    </row>
    <row r="55520" spans="7:7">
      <c r="G55520" s="812"/>
    </row>
    <row r="55521" spans="7:7">
      <c r="G55521" s="812"/>
    </row>
    <row r="55522" spans="7:7">
      <c r="G55522" s="812"/>
    </row>
    <row r="55523" spans="7:7">
      <c r="G55523" s="812"/>
    </row>
    <row r="55524" spans="7:7">
      <c r="G55524" s="812"/>
    </row>
    <row r="55525" spans="7:7">
      <c r="G55525" s="812"/>
    </row>
    <row r="55526" spans="7:7">
      <c r="G55526" s="812"/>
    </row>
    <row r="55527" spans="7:7">
      <c r="G55527" s="812"/>
    </row>
    <row r="55528" spans="7:7">
      <c r="G55528" s="812"/>
    </row>
    <row r="55529" spans="7:7">
      <c r="G55529" s="812"/>
    </row>
    <row r="55530" spans="7:7">
      <c r="G55530" s="812"/>
    </row>
    <row r="55531" spans="7:7">
      <c r="G55531" s="812"/>
    </row>
    <row r="55532" spans="7:7">
      <c r="G55532" s="812"/>
    </row>
    <row r="55533" spans="7:7">
      <c r="G55533" s="812"/>
    </row>
    <row r="55534" spans="7:7">
      <c r="G55534" s="812"/>
    </row>
    <row r="55535" spans="7:7">
      <c r="G55535" s="812"/>
    </row>
    <row r="55536" spans="7:7">
      <c r="G55536" s="812"/>
    </row>
    <row r="55537" spans="7:7">
      <c r="G55537" s="812"/>
    </row>
    <row r="55538" spans="7:7">
      <c r="G55538" s="812"/>
    </row>
    <row r="55539" spans="7:7">
      <c r="G55539" s="812"/>
    </row>
    <row r="55540" spans="7:7">
      <c r="G55540" s="812"/>
    </row>
    <row r="55541" spans="7:7">
      <c r="G55541" s="812"/>
    </row>
    <row r="55542" spans="7:7">
      <c r="G55542" s="812"/>
    </row>
    <row r="55543" spans="7:7">
      <c r="G55543" s="812"/>
    </row>
    <row r="55544" spans="7:7">
      <c r="G55544" s="812"/>
    </row>
    <row r="55545" spans="7:7">
      <c r="G55545" s="812"/>
    </row>
    <row r="55546" spans="7:7">
      <c r="G55546" s="812"/>
    </row>
    <row r="55547" spans="7:7">
      <c r="G55547" s="812"/>
    </row>
    <row r="55548" spans="7:7">
      <c r="G55548" s="812"/>
    </row>
    <row r="55549" spans="7:7">
      <c r="G55549" s="812"/>
    </row>
    <row r="55550" spans="7:7">
      <c r="G55550" s="812"/>
    </row>
    <row r="55551" spans="7:7">
      <c r="G55551" s="812"/>
    </row>
    <row r="55552" spans="7:7">
      <c r="G55552" s="812"/>
    </row>
    <row r="55553" spans="7:7">
      <c r="G55553" s="812"/>
    </row>
    <row r="55554" spans="7:7">
      <c r="G55554" s="812"/>
    </row>
    <row r="55555" spans="7:7">
      <c r="G55555" s="812"/>
    </row>
    <row r="55556" spans="7:7">
      <c r="G55556" s="812"/>
    </row>
    <row r="55557" spans="7:7">
      <c r="G55557" s="812"/>
    </row>
    <row r="55558" spans="7:7">
      <c r="G55558" s="812"/>
    </row>
    <row r="55559" spans="7:7">
      <c r="G55559" s="812"/>
    </row>
    <row r="55560" spans="7:7">
      <c r="G55560" s="812"/>
    </row>
    <row r="55561" spans="7:7">
      <c r="G55561" s="812"/>
    </row>
    <row r="55562" spans="7:7">
      <c r="G55562" s="812"/>
    </row>
    <row r="55563" spans="7:7">
      <c r="G55563" s="812"/>
    </row>
    <row r="55564" spans="7:7">
      <c r="G55564" s="812"/>
    </row>
    <row r="55565" spans="7:7">
      <c r="G55565" s="812"/>
    </row>
    <row r="55566" spans="7:7">
      <c r="G55566" s="812"/>
    </row>
    <row r="55567" spans="7:7">
      <c r="G55567" s="812"/>
    </row>
    <row r="55568" spans="7:7">
      <c r="G55568" s="812"/>
    </row>
    <row r="55569" spans="7:7">
      <c r="G55569" s="812"/>
    </row>
    <row r="55570" spans="7:7">
      <c r="G55570" s="812"/>
    </row>
    <row r="55571" spans="7:7">
      <c r="G55571" s="812"/>
    </row>
    <row r="55572" spans="7:7">
      <c r="G55572" s="812"/>
    </row>
    <row r="55573" spans="7:7">
      <c r="G55573" s="812"/>
    </row>
    <row r="55574" spans="7:7">
      <c r="G55574" s="812"/>
    </row>
    <row r="55575" spans="7:7">
      <c r="G55575" s="812"/>
    </row>
    <row r="55576" spans="7:7">
      <c r="G55576" s="812"/>
    </row>
    <row r="55577" spans="7:7">
      <c r="G55577" s="812"/>
    </row>
    <row r="55578" spans="7:7">
      <c r="G55578" s="812"/>
    </row>
    <row r="55579" spans="7:7">
      <c r="G55579" s="812"/>
    </row>
    <row r="55580" spans="7:7">
      <c r="G55580" s="812"/>
    </row>
    <row r="55581" spans="7:7">
      <c r="G55581" s="812"/>
    </row>
    <row r="55582" spans="7:7">
      <c r="G55582" s="812"/>
    </row>
    <row r="55583" spans="7:7">
      <c r="G55583" s="812"/>
    </row>
    <row r="55584" spans="7:7">
      <c r="G55584" s="812"/>
    </row>
    <row r="55585" spans="7:7">
      <c r="G55585" s="812"/>
    </row>
    <row r="55586" spans="7:7">
      <c r="G55586" s="812"/>
    </row>
    <row r="55587" spans="7:7">
      <c r="G55587" s="812"/>
    </row>
    <row r="55588" spans="7:7">
      <c r="G55588" s="812"/>
    </row>
    <row r="55589" spans="7:7">
      <c r="G55589" s="812"/>
    </row>
    <row r="55590" spans="7:7">
      <c r="G55590" s="812"/>
    </row>
    <row r="55591" spans="7:7">
      <c r="G55591" s="812"/>
    </row>
    <row r="55592" spans="7:7">
      <c r="G55592" s="812"/>
    </row>
    <row r="55593" spans="7:7">
      <c r="G55593" s="812"/>
    </row>
    <row r="55594" spans="7:7">
      <c r="G55594" s="812"/>
    </row>
    <row r="55595" spans="7:7">
      <c r="G55595" s="812"/>
    </row>
    <row r="55596" spans="7:7">
      <c r="G55596" s="812"/>
    </row>
    <row r="55597" spans="7:7">
      <c r="G55597" s="812"/>
    </row>
    <row r="55598" spans="7:7">
      <c r="G55598" s="812"/>
    </row>
    <row r="55599" spans="7:7">
      <c r="G55599" s="812"/>
    </row>
    <row r="55600" spans="7:7">
      <c r="G55600" s="812"/>
    </row>
    <row r="55601" spans="7:7">
      <c r="G55601" s="812"/>
    </row>
    <row r="55602" spans="7:7">
      <c r="G55602" s="812"/>
    </row>
    <row r="55603" spans="7:7">
      <c r="G55603" s="812"/>
    </row>
    <row r="55604" spans="7:7">
      <c r="G55604" s="812"/>
    </row>
    <row r="55605" spans="7:7">
      <c r="G55605" s="812"/>
    </row>
    <row r="55606" spans="7:7">
      <c r="G55606" s="812"/>
    </row>
    <row r="55607" spans="7:7">
      <c r="G55607" s="812"/>
    </row>
    <row r="55608" spans="7:7">
      <c r="G55608" s="812"/>
    </row>
    <row r="55609" spans="7:7">
      <c r="G55609" s="812"/>
    </row>
    <row r="55610" spans="7:7">
      <c r="G55610" s="812"/>
    </row>
    <row r="55611" spans="7:7">
      <c r="G55611" s="812"/>
    </row>
    <row r="55612" spans="7:7">
      <c r="G55612" s="812"/>
    </row>
    <row r="55613" spans="7:7">
      <c r="G55613" s="812"/>
    </row>
    <row r="55614" spans="7:7">
      <c r="G55614" s="812"/>
    </row>
    <row r="55615" spans="7:7">
      <c r="G55615" s="812"/>
    </row>
    <row r="55616" spans="7:7">
      <c r="G55616" s="812"/>
    </row>
    <row r="55617" spans="7:7">
      <c r="G55617" s="812"/>
    </row>
    <row r="55618" spans="7:7">
      <c r="G55618" s="812"/>
    </row>
    <row r="55619" spans="7:7">
      <c r="G55619" s="812"/>
    </row>
    <row r="55620" spans="7:7">
      <c r="G55620" s="812"/>
    </row>
    <row r="55621" spans="7:7">
      <c r="G55621" s="812"/>
    </row>
    <row r="55622" spans="7:7">
      <c r="G55622" s="812"/>
    </row>
    <row r="55623" spans="7:7">
      <c r="G55623" s="812"/>
    </row>
    <row r="55624" spans="7:7">
      <c r="G55624" s="812"/>
    </row>
    <row r="55625" spans="7:7">
      <c r="G55625" s="812"/>
    </row>
    <row r="55626" spans="7:7">
      <c r="G55626" s="812"/>
    </row>
    <row r="55627" spans="7:7">
      <c r="G55627" s="812"/>
    </row>
    <row r="55628" spans="7:7">
      <c r="G55628" s="812"/>
    </row>
    <row r="55629" spans="7:7">
      <c r="G55629" s="812"/>
    </row>
    <row r="55630" spans="7:7">
      <c r="G55630" s="812"/>
    </row>
    <row r="55631" spans="7:7">
      <c r="G55631" s="812"/>
    </row>
    <row r="55632" spans="7:7">
      <c r="G55632" s="812"/>
    </row>
    <row r="55633" spans="7:7">
      <c r="G55633" s="812"/>
    </row>
    <row r="55634" spans="7:7">
      <c r="G55634" s="812"/>
    </row>
    <row r="55635" spans="7:7">
      <c r="G55635" s="812"/>
    </row>
    <row r="55636" spans="7:7">
      <c r="G55636" s="812"/>
    </row>
    <row r="55637" spans="7:7">
      <c r="G55637" s="812"/>
    </row>
    <row r="55638" spans="7:7">
      <c r="G55638" s="812"/>
    </row>
    <row r="55639" spans="7:7">
      <c r="G55639" s="812"/>
    </row>
    <row r="55640" spans="7:7">
      <c r="G55640" s="812"/>
    </row>
    <row r="55641" spans="7:7">
      <c r="G55641" s="812"/>
    </row>
    <row r="55642" spans="7:7">
      <c r="G55642" s="812"/>
    </row>
    <row r="55643" spans="7:7">
      <c r="G55643" s="812"/>
    </row>
    <row r="55644" spans="7:7">
      <c r="G55644" s="812"/>
    </row>
    <row r="55645" spans="7:7">
      <c r="G55645" s="812"/>
    </row>
    <row r="55646" spans="7:7">
      <c r="G55646" s="812"/>
    </row>
    <row r="55647" spans="7:7">
      <c r="G55647" s="812"/>
    </row>
    <row r="55648" spans="7:7">
      <c r="G55648" s="812"/>
    </row>
    <row r="55649" spans="7:7">
      <c r="G55649" s="812"/>
    </row>
    <row r="55650" spans="7:7">
      <c r="G55650" s="812"/>
    </row>
    <row r="55651" spans="7:7">
      <c r="G55651" s="812"/>
    </row>
    <row r="55652" spans="7:7">
      <c r="G55652" s="812"/>
    </row>
    <row r="55653" spans="7:7">
      <c r="G55653" s="812"/>
    </row>
    <row r="55654" spans="7:7">
      <c r="G55654" s="812"/>
    </row>
    <row r="55655" spans="7:7">
      <c r="G55655" s="812"/>
    </row>
    <row r="55656" spans="7:7">
      <c r="G55656" s="812"/>
    </row>
    <row r="55657" spans="7:7">
      <c r="G55657" s="812"/>
    </row>
    <row r="55658" spans="7:7">
      <c r="G55658" s="812"/>
    </row>
    <row r="55659" spans="7:7">
      <c r="G55659" s="812"/>
    </row>
    <row r="55660" spans="7:7">
      <c r="G55660" s="812"/>
    </row>
    <row r="55661" spans="7:7">
      <c r="G55661" s="812"/>
    </row>
    <row r="55662" spans="7:7">
      <c r="G55662" s="812"/>
    </row>
    <row r="55663" spans="7:7">
      <c r="G55663" s="812"/>
    </row>
    <row r="55664" spans="7:7">
      <c r="G55664" s="812"/>
    </row>
    <row r="55665" spans="7:7">
      <c r="G55665" s="812"/>
    </row>
    <row r="55666" spans="7:7">
      <c r="G55666" s="812"/>
    </row>
    <row r="55667" spans="7:7">
      <c r="G55667" s="812"/>
    </row>
    <row r="55668" spans="7:7">
      <c r="G55668" s="812"/>
    </row>
    <row r="55669" spans="7:7">
      <c r="G55669" s="812"/>
    </row>
    <row r="55670" spans="7:7">
      <c r="G55670" s="812"/>
    </row>
    <row r="55671" spans="7:7">
      <c r="G55671" s="812"/>
    </row>
    <row r="55672" spans="7:7">
      <c r="G55672" s="812"/>
    </row>
    <row r="55673" spans="7:7">
      <c r="G55673" s="812"/>
    </row>
    <row r="55674" spans="7:7">
      <c r="G55674" s="812"/>
    </row>
    <row r="55675" spans="7:7">
      <c r="G55675" s="812"/>
    </row>
    <row r="55676" spans="7:7">
      <c r="G55676" s="812"/>
    </row>
    <row r="55677" spans="7:7">
      <c r="G55677" s="812"/>
    </row>
    <row r="55678" spans="7:7">
      <c r="G55678" s="812"/>
    </row>
    <row r="55679" spans="7:7">
      <c r="G55679" s="812"/>
    </row>
    <row r="55680" spans="7:7">
      <c r="G55680" s="812"/>
    </row>
    <row r="55681" spans="7:7">
      <c r="G55681" s="812"/>
    </row>
    <row r="55682" spans="7:7">
      <c r="G55682" s="812"/>
    </row>
    <row r="55683" spans="7:7">
      <c r="G55683" s="812"/>
    </row>
    <row r="55684" spans="7:7">
      <c r="G55684" s="812"/>
    </row>
    <row r="55685" spans="7:7">
      <c r="G55685" s="812"/>
    </row>
    <row r="55686" spans="7:7">
      <c r="G55686" s="812"/>
    </row>
    <row r="55687" spans="7:7">
      <c r="G55687" s="812"/>
    </row>
    <row r="55688" spans="7:7">
      <c r="G55688" s="812"/>
    </row>
    <row r="55689" spans="7:7">
      <c r="G55689" s="812"/>
    </row>
    <row r="55690" spans="7:7">
      <c r="G55690" s="812"/>
    </row>
    <row r="55691" spans="7:7">
      <c r="G55691" s="812"/>
    </row>
    <row r="55692" spans="7:7">
      <c r="G55692" s="812"/>
    </row>
    <row r="55693" spans="7:7">
      <c r="G55693" s="812"/>
    </row>
    <row r="55694" spans="7:7">
      <c r="G55694" s="812"/>
    </row>
    <row r="55695" spans="7:7">
      <c r="G55695" s="812"/>
    </row>
    <row r="55696" spans="7:7">
      <c r="G55696" s="812"/>
    </row>
    <row r="55697" spans="7:7">
      <c r="G55697" s="812"/>
    </row>
    <row r="55698" spans="7:7">
      <c r="G55698" s="812"/>
    </row>
    <row r="55699" spans="7:7">
      <c r="G55699" s="812"/>
    </row>
    <row r="55700" spans="7:7">
      <c r="G55700" s="812"/>
    </row>
    <row r="55701" spans="7:7">
      <c r="G55701" s="812"/>
    </row>
    <row r="55702" spans="7:7">
      <c r="G55702" s="812"/>
    </row>
    <row r="55703" spans="7:7">
      <c r="G55703" s="812"/>
    </row>
    <row r="55704" spans="7:7">
      <c r="G55704" s="812"/>
    </row>
    <row r="55705" spans="7:7">
      <c r="G55705" s="812"/>
    </row>
    <row r="55706" spans="7:7">
      <c r="G55706" s="812"/>
    </row>
    <row r="55707" spans="7:7">
      <c r="G55707" s="812"/>
    </row>
    <row r="55708" spans="7:7">
      <c r="G55708" s="812"/>
    </row>
    <row r="55709" spans="7:7">
      <c r="G55709" s="812"/>
    </row>
    <row r="55710" spans="7:7">
      <c r="G55710" s="812"/>
    </row>
    <row r="55711" spans="7:7">
      <c r="G55711" s="812"/>
    </row>
    <row r="55712" spans="7:7">
      <c r="G55712" s="812"/>
    </row>
    <row r="55713" spans="7:7">
      <c r="G55713" s="812"/>
    </row>
    <row r="55714" spans="7:7">
      <c r="G55714" s="812"/>
    </row>
    <row r="55715" spans="7:7">
      <c r="G55715" s="812"/>
    </row>
    <row r="55716" spans="7:7">
      <c r="G55716" s="812"/>
    </row>
    <row r="55717" spans="7:7">
      <c r="G55717" s="812"/>
    </row>
    <row r="55718" spans="7:7">
      <c r="G55718" s="812"/>
    </row>
    <row r="55719" spans="7:7">
      <c r="G55719" s="812"/>
    </row>
    <row r="55720" spans="7:7">
      <c r="G55720" s="812"/>
    </row>
    <row r="55721" spans="7:7">
      <c r="G55721" s="812"/>
    </row>
    <row r="55722" spans="7:7">
      <c r="G55722" s="812"/>
    </row>
    <row r="55723" spans="7:7">
      <c r="G55723" s="812"/>
    </row>
    <row r="55724" spans="7:7">
      <c r="G55724" s="812"/>
    </row>
    <row r="55725" spans="7:7">
      <c r="G55725" s="812"/>
    </row>
    <row r="55726" spans="7:7">
      <c r="G55726" s="812"/>
    </row>
    <row r="55727" spans="7:7">
      <c r="G55727" s="812"/>
    </row>
    <row r="55728" spans="7:7">
      <c r="G55728" s="812"/>
    </row>
    <row r="55729" spans="7:7">
      <c r="G55729" s="812"/>
    </row>
    <row r="55730" spans="7:7">
      <c r="G55730" s="812"/>
    </row>
    <row r="55731" spans="7:7">
      <c r="G55731" s="812"/>
    </row>
    <row r="55732" spans="7:7">
      <c r="G55732" s="812"/>
    </row>
    <row r="55733" spans="7:7">
      <c r="G55733" s="812"/>
    </row>
    <row r="55734" spans="7:7">
      <c r="G55734" s="812"/>
    </row>
    <row r="55735" spans="7:7">
      <c r="G55735" s="812"/>
    </row>
    <row r="55736" spans="7:7">
      <c r="G55736" s="812"/>
    </row>
    <row r="55737" spans="7:7">
      <c r="G55737" s="812"/>
    </row>
    <row r="55738" spans="7:7">
      <c r="G55738" s="812"/>
    </row>
    <row r="55739" spans="7:7">
      <c r="G55739" s="812"/>
    </row>
    <row r="55740" spans="7:7">
      <c r="G55740" s="812"/>
    </row>
    <row r="55741" spans="7:7">
      <c r="G55741" s="812"/>
    </row>
    <row r="55742" spans="7:7">
      <c r="G55742" s="812"/>
    </row>
    <row r="55743" spans="7:7">
      <c r="G55743" s="812"/>
    </row>
    <row r="55744" spans="7:7">
      <c r="G55744" s="812"/>
    </row>
    <row r="55745" spans="7:7">
      <c r="G55745" s="812"/>
    </row>
    <row r="55746" spans="7:7">
      <c r="G55746" s="812"/>
    </row>
    <row r="55747" spans="7:7">
      <c r="G55747" s="812"/>
    </row>
    <row r="55748" spans="7:7">
      <c r="G55748" s="812"/>
    </row>
    <row r="55749" spans="7:7">
      <c r="G55749" s="812"/>
    </row>
    <row r="55750" spans="7:7">
      <c r="G55750" s="812"/>
    </row>
    <row r="55751" spans="7:7">
      <c r="G55751" s="812"/>
    </row>
    <row r="55752" spans="7:7">
      <c r="G55752" s="812"/>
    </row>
    <row r="55753" spans="7:7">
      <c r="G55753" s="812"/>
    </row>
    <row r="55754" spans="7:7">
      <c r="G55754" s="812"/>
    </row>
    <row r="55755" spans="7:7">
      <c r="G55755" s="812"/>
    </row>
    <row r="55756" spans="7:7">
      <c r="G55756" s="812"/>
    </row>
    <row r="55757" spans="7:7">
      <c r="G55757" s="812"/>
    </row>
    <row r="55758" spans="7:7">
      <c r="G55758" s="812"/>
    </row>
    <row r="55759" spans="7:7">
      <c r="G55759" s="812"/>
    </row>
    <row r="55760" spans="7:7">
      <c r="G55760" s="812"/>
    </row>
    <row r="55761" spans="7:7">
      <c r="G55761" s="812"/>
    </row>
    <row r="55762" spans="7:7">
      <c r="G55762" s="812"/>
    </row>
    <row r="55763" spans="7:7">
      <c r="G55763" s="812"/>
    </row>
    <row r="55764" spans="7:7">
      <c r="G55764" s="812"/>
    </row>
    <row r="55765" spans="7:7">
      <c r="G55765" s="812"/>
    </row>
    <row r="55766" spans="7:7">
      <c r="G55766" s="812"/>
    </row>
    <row r="55767" spans="7:7">
      <c r="G55767" s="812"/>
    </row>
    <row r="55768" spans="7:7">
      <c r="G55768" s="812"/>
    </row>
    <row r="55769" spans="7:7">
      <c r="G55769" s="812"/>
    </row>
    <row r="55770" spans="7:7">
      <c r="G55770" s="812"/>
    </row>
    <row r="55771" spans="7:7">
      <c r="G55771" s="812"/>
    </row>
    <row r="55772" spans="7:7">
      <c r="G55772" s="812"/>
    </row>
    <row r="55773" spans="7:7">
      <c r="G55773" s="812"/>
    </row>
    <row r="55774" spans="7:7">
      <c r="G55774" s="812"/>
    </row>
    <row r="55775" spans="7:7">
      <c r="G55775" s="812"/>
    </row>
    <row r="55776" spans="7:7">
      <c r="G55776" s="812"/>
    </row>
    <row r="55777" spans="7:7">
      <c r="G55777" s="812"/>
    </row>
    <row r="55778" spans="7:7">
      <c r="G55778" s="812"/>
    </row>
    <row r="55779" spans="7:7">
      <c r="G55779" s="812"/>
    </row>
    <row r="55780" spans="7:7">
      <c r="G55780" s="812"/>
    </row>
    <row r="55781" spans="7:7">
      <c r="G55781" s="812"/>
    </row>
    <row r="55782" spans="7:7">
      <c r="G55782" s="812"/>
    </row>
    <row r="55783" spans="7:7">
      <c r="G55783" s="812"/>
    </row>
    <row r="55784" spans="7:7">
      <c r="G55784" s="812"/>
    </row>
    <row r="55785" spans="7:7">
      <c r="G55785" s="812"/>
    </row>
    <row r="55786" spans="7:7">
      <c r="G55786" s="812"/>
    </row>
    <row r="55787" spans="7:7">
      <c r="G55787" s="812"/>
    </row>
    <row r="55788" spans="7:7">
      <c r="G55788" s="812"/>
    </row>
    <row r="55789" spans="7:7">
      <c r="G55789" s="812"/>
    </row>
    <row r="55790" spans="7:7">
      <c r="G55790" s="812"/>
    </row>
    <row r="55791" spans="7:7">
      <c r="G55791" s="812"/>
    </row>
    <row r="55792" spans="7:7">
      <c r="G55792" s="812"/>
    </row>
    <row r="55793" spans="7:7">
      <c r="G55793" s="812"/>
    </row>
    <row r="55794" spans="7:7">
      <c r="G55794" s="812"/>
    </row>
    <row r="55795" spans="7:7">
      <c r="G55795" s="812"/>
    </row>
    <row r="55796" spans="7:7">
      <c r="G55796" s="812"/>
    </row>
    <row r="55797" spans="7:7">
      <c r="G55797" s="812"/>
    </row>
    <row r="55798" spans="7:7">
      <c r="G55798" s="812"/>
    </row>
    <row r="55799" spans="7:7">
      <c r="G55799" s="812"/>
    </row>
    <row r="55800" spans="7:7">
      <c r="G55800" s="812"/>
    </row>
    <row r="55801" spans="7:7">
      <c r="G55801" s="812"/>
    </row>
    <row r="55802" spans="7:7">
      <c r="G55802" s="812"/>
    </row>
    <row r="55803" spans="7:7">
      <c r="G55803" s="812"/>
    </row>
    <row r="55804" spans="7:7">
      <c r="G55804" s="812"/>
    </row>
    <row r="55805" spans="7:7">
      <c r="G55805" s="812"/>
    </row>
    <row r="55806" spans="7:7">
      <c r="G55806" s="812"/>
    </row>
    <row r="55807" spans="7:7">
      <c r="G55807" s="812"/>
    </row>
    <row r="55808" spans="7:7">
      <c r="G55808" s="812"/>
    </row>
    <row r="55809" spans="7:7">
      <c r="G55809" s="812"/>
    </row>
    <row r="55810" spans="7:7">
      <c r="G55810" s="812"/>
    </row>
    <row r="55811" spans="7:7">
      <c r="G55811" s="812"/>
    </row>
    <row r="55812" spans="7:7">
      <c r="G55812" s="812"/>
    </row>
    <row r="55813" spans="7:7">
      <c r="G55813" s="812"/>
    </row>
    <row r="55814" spans="7:7">
      <c r="G55814" s="812"/>
    </row>
    <row r="55815" spans="7:7">
      <c r="G55815" s="812"/>
    </row>
    <row r="55816" spans="7:7">
      <c r="G55816" s="812"/>
    </row>
    <row r="55817" spans="7:7">
      <c r="G55817" s="812"/>
    </row>
    <row r="55818" spans="7:7">
      <c r="G55818" s="812"/>
    </row>
    <row r="55819" spans="7:7">
      <c r="G55819" s="812"/>
    </row>
    <row r="55820" spans="7:7">
      <c r="G55820" s="812"/>
    </row>
    <row r="55821" spans="7:7">
      <c r="G55821" s="812"/>
    </row>
    <row r="55822" spans="7:7">
      <c r="G55822" s="812"/>
    </row>
    <row r="55823" spans="7:7">
      <c r="G55823" s="812"/>
    </row>
    <row r="55824" spans="7:7">
      <c r="G55824" s="812"/>
    </row>
    <row r="55825" spans="7:7">
      <c r="G55825" s="812"/>
    </row>
    <row r="55826" spans="7:7">
      <c r="G55826" s="812"/>
    </row>
    <row r="55827" spans="7:7">
      <c r="G55827" s="812"/>
    </row>
    <row r="55828" spans="7:7">
      <c r="G55828" s="812"/>
    </row>
    <row r="55829" spans="7:7">
      <c r="G55829" s="812"/>
    </row>
    <row r="55830" spans="7:7">
      <c r="G55830" s="812"/>
    </row>
    <row r="55831" spans="7:7">
      <c r="G55831" s="812"/>
    </row>
    <row r="55832" spans="7:7">
      <c r="G55832" s="812"/>
    </row>
    <row r="55833" spans="7:7">
      <c r="G55833" s="812"/>
    </row>
    <row r="55834" spans="7:7">
      <c r="G55834" s="812"/>
    </row>
    <row r="55835" spans="7:7">
      <c r="G55835" s="812"/>
    </row>
    <row r="55836" spans="7:7">
      <c r="G55836" s="812"/>
    </row>
    <row r="55837" spans="7:7">
      <c r="G55837" s="812"/>
    </row>
    <row r="55838" spans="7:7">
      <c r="G55838" s="812"/>
    </row>
    <row r="55839" spans="7:7">
      <c r="G55839" s="812"/>
    </row>
    <row r="55840" spans="7:7">
      <c r="G55840" s="812"/>
    </row>
    <row r="55841" spans="7:7">
      <c r="G55841" s="812"/>
    </row>
    <row r="55842" spans="7:7">
      <c r="G55842" s="812"/>
    </row>
    <row r="55843" spans="7:7">
      <c r="G55843" s="812"/>
    </row>
    <row r="55844" spans="7:7">
      <c r="G55844" s="812"/>
    </row>
    <row r="55845" spans="7:7">
      <c r="G55845" s="812"/>
    </row>
    <row r="55846" spans="7:7">
      <c r="G55846" s="812"/>
    </row>
    <row r="55847" spans="7:7">
      <c r="G55847" s="812"/>
    </row>
    <row r="55848" spans="7:7">
      <c r="G55848" s="812"/>
    </row>
    <row r="55849" spans="7:7">
      <c r="G55849" s="812"/>
    </row>
    <row r="55850" spans="7:7">
      <c r="G55850" s="812"/>
    </row>
    <row r="55851" spans="7:7">
      <c r="G55851" s="812"/>
    </row>
    <row r="55852" spans="7:7">
      <c r="G55852" s="812"/>
    </row>
    <row r="55853" spans="7:7">
      <c r="G55853" s="812"/>
    </row>
    <row r="55854" spans="7:7">
      <c r="G55854" s="812"/>
    </row>
    <row r="55855" spans="7:7">
      <c r="G55855" s="812"/>
    </row>
    <row r="55856" spans="7:7">
      <c r="G55856" s="812"/>
    </row>
    <row r="55857" spans="7:7">
      <c r="G55857" s="812"/>
    </row>
    <row r="55858" spans="7:7">
      <c r="G55858" s="812"/>
    </row>
    <row r="55859" spans="7:7">
      <c r="G55859" s="812"/>
    </row>
    <row r="55860" spans="7:7">
      <c r="G55860" s="812"/>
    </row>
    <row r="55861" spans="7:7">
      <c r="G55861" s="812"/>
    </row>
    <row r="55862" spans="7:7">
      <c r="G55862" s="812"/>
    </row>
    <row r="55863" spans="7:7">
      <c r="G55863" s="812"/>
    </row>
    <row r="55864" spans="7:7">
      <c r="G55864" s="812"/>
    </row>
    <row r="55865" spans="7:7">
      <c r="G55865" s="812"/>
    </row>
    <row r="55866" spans="7:7">
      <c r="G55866" s="812"/>
    </row>
    <row r="55867" spans="7:7">
      <c r="G55867" s="812"/>
    </row>
    <row r="55868" spans="7:7">
      <c r="G55868" s="812"/>
    </row>
    <row r="55869" spans="7:7">
      <c r="G55869" s="812"/>
    </row>
    <row r="55870" spans="7:7">
      <c r="G55870" s="812"/>
    </row>
    <row r="55871" spans="7:7">
      <c r="G55871" s="812"/>
    </row>
    <row r="55872" spans="7:7">
      <c r="G55872" s="812"/>
    </row>
    <row r="55873" spans="7:7">
      <c r="G55873" s="812"/>
    </row>
    <row r="55874" spans="7:7">
      <c r="G55874" s="812"/>
    </row>
    <row r="55875" spans="7:7">
      <c r="G55875" s="812"/>
    </row>
    <row r="55876" spans="7:7">
      <c r="G55876" s="812"/>
    </row>
    <row r="55877" spans="7:7">
      <c r="G55877" s="812"/>
    </row>
    <row r="55878" spans="7:7">
      <c r="G55878" s="812"/>
    </row>
    <row r="55879" spans="7:7">
      <c r="G55879" s="812"/>
    </row>
    <row r="55880" spans="7:7">
      <c r="G55880" s="812"/>
    </row>
    <row r="55881" spans="7:7">
      <c r="G55881" s="812"/>
    </row>
    <row r="55882" spans="7:7">
      <c r="G55882" s="812"/>
    </row>
    <row r="55883" spans="7:7">
      <c r="G55883" s="812"/>
    </row>
    <row r="55884" spans="7:7">
      <c r="G55884" s="812"/>
    </row>
    <row r="55885" spans="7:7">
      <c r="G55885" s="812"/>
    </row>
    <row r="55886" spans="7:7">
      <c r="G55886" s="812"/>
    </row>
    <row r="55887" spans="7:7">
      <c r="G55887" s="812"/>
    </row>
    <row r="55888" spans="7:7">
      <c r="G55888" s="812"/>
    </row>
    <row r="55889" spans="7:7">
      <c r="G55889" s="812"/>
    </row>
    <row r="55890" spans="7:7">
      <c r="G55890" s="812"/>
    </row>
    <row r="55891" spans="7:7">
      <c r="G55891" s="812"/>
    </row>
    <row r="55892" spans="7:7">
      <c r="G55892" s="812"/>
    </row>
    <row r="55893" spans="7:7">
      <c r="G55893" s="812"/>
    </row>
    <row r="55894" spans="7:7">
      <c r="G55894" s="812"/>
    </row>
    <row r="55895" spans="7:7">
      <c r="G55895" s="812"/>
    </row>
    <row r="55896" spans="7:7">
      <c r="G55896" s="812"/>
    </row>
    <row r="55897" spans="7:7">
      <c r="G55897" s="812"/>
    </row>
    <row r="55898" spans="7:7">
      <c r="G55898" s="812"/>
    </row>
    <row r="55899" spans="7:7">
      <c r="G55899" s="812"/>
    </row>
    <row r="55900" spans="7:7">
      <c r="G55900" s="812"/>
    </row>
    <row r="55901" spans="7:7">
      <c r="G55901" s="812"/>
    </row>
    <row r="55902" spans="7:7">
      <c r="G55902" s="812"/>
    </row>
    <row r="55903" spans="7:7">
      <c r="G55903" s="812"/>
    </row>
    <row r="55904" spans="7:7">
      <c r="G55904" s="812"/>
    </row>
    <row r="55905" spans="7:7">
      <c r="G55905" s="812"/>
    </row>
    <row r="55906" spans="7:7">
      <c r="G55906" s="812"/>
    </row>
    <row r="55907" spans="7:7">
      <c r="G55907" s="812"/>
    </row>
    <row r="55908" spans="7:7">
      <c r="G55908" s="812"/>
    </row>
    <row r="55909" spans="7:7">
      <c r="G55909" s="812"/>
    </row>
    <row r="55910" spans="7:7">
      <c r="G55910" s="812"/>
    </row>
    <row r="55911" spans="7:7">
      <c r="G55911" s="812"/>
    </row>
    <row r="55912" spans="7:7">
      <c r="G55912" s="812"/>
    </row>
    <row r="55913" spans="7:7">
      <c r="G55913" s="812"/>
    </row>
    <row r="55914" spans="7:7">
      <c r="G55914" s="812"/>
    </row>
    <row r="55915" spans="7:7">
      <c r="G55915" s="812"/>
    </row>
    <row r="55916" spans="7:7">
      <c r="G55916" s="812"/>
    </row>
    <row r="55917" spans="7:7">
      <c r="G55917" s="812"/>
    </row>
    <row r="55918" spans="7:7">
      <c r="G55918" s="812"/>
    </row>
    <row r="55919" spans="7:7">
      <c r="G55919" s="812"/>
    </row>
    <row r="55920" spans="7:7">
      <c r="G55920" s="812"/>
    </row>
    <row r="55921" spans="7:7">
      <c r="G55921" s="812"/>
    </row>
    <row r="55922" spans="7:7">
      <c r="G55922" s="812"/>
    </row>
    <row r="55923" spans="7:7">
      <c r="G55923" s="812"/>
    </row>
    <row r="55924" spans="7:7">
      <c r="G55924" s="812"/>
    </row>
    <row r="55925" spans="7:7">
      <c r="G55925" s="812"/>
    </row>
    <row r="55926" spans="7:7">
      <c r="G55926" s="812"/>
    </row>
    <row r="55927" spans="7:7">
      <c r="G55927" s="812"/>
    </row>
    <row r="55928" spans="7:7">
      <c r="G55928" s="812"/>
    </row>
    <row r="55929" spans="7:7">
      <c r="G55929" s="812"/>
    </row>
    <row r="55930" spans="7:7">
      <c r="G55930" s="812"/>
    </row>
    <row r="55931" spans="7:7">
      <c r="G55931" s="812"/>
    </row>
    <row r="55932" spans="7:7">
      <c r="G55932" s="812"/>
    </row>
    <row r="55933" spans="7:7">
      <c r="G55933" s="812"/>
    </row>
    <row r="55934" spans="7:7">
      <c r="G55934" s="812"/>
    </row>
    <row r="55935" spans="7:7">
      <c r="G55935" s="812"/>
    </row>
    <row r="55936" spans="7:7">
      <c r="G55936" s="812"/>
    </row>
    <row r="55937" spans="7:7">
      <c r="G55937" s="812"/>
    </row>
    <row r="55938" spans="7:7">
      <c r="G55938" s="812"/>
    </row>
    <row r="55939" spans="7:7">
      <c r="G55939" s="812"/>
    </row>
    <row r="55940" spans="7:7">
      <c r="G55940" s="812"/>
    </row>
    <row r="55941" spans="7:7">
      <c r="G55941" s="812"/>
    </row>
    <row r="55942" spans="7:7">
      <c r="G55942" s="812"/>
    </row>
    <row r="55943" spans="7:7">
      <c r="G55943" s="812"/>
    </row>
    <row r="55944" spans="7:7">
      <c r="G55944" s="812"/>
    </row>
    <row r="55945" spans="7:7">
      <c r="G55945" s="812"/>
    </row>
    <row r="55946" spans="7:7">
      <c r="G55946" s="812"/>
    </row>
    <row r="55947" spans="7:7">
      <c r="G55947" s="812"/>
    </row>
    <row r="55948" spans="7:7">
      <c r="G55948" s="812"/>
    </row>
    <row r="55949" spans="7:7">
      <c r="G55949" s="812"/>
    </row>
    <row r="55950" spans="7:7">
      <c r="G55950" s="812"/>
    </row>
    <row r="55951" spans="7:7">
      <c r="G55951" s="812"/>
    </row>
    <row r="55952" spans="7:7">
      <c r="G55952" s="812"/>
    </row>
    <row r="55953" spans="7:7">
      <c r="G55953" s="812"/>
    </row>
    <row r="55954" spans="7:7">
      <c r="G55954" s="812"/>
    </row>
    <row r="55955" spans="7:7">
      <c r="G55955" s="812"/>
    </row>
    <row r="55956" spans="7:7">
      <c r="G55956" s="812"/>
    </row>
    <row r="55957" spans="7:7">
      <c r="G55957" s="812"/>
    </row>
    <row r="55958" spans="7:7">
      <c r="G55958" s="812"/>
    </row>
    <row r="55959" spans="7:7">
      <c r="G55959" s="812"/>
    </row>
    <row r="55960" spans="7:7">
      <c r="G55960" s="812"/>
    </row>
    <row r="55961" spans="7:7">
      <c r="G55961" s="812"/>
    </row>
    <row r="55962" spans="7:7">
      <c r="G55962" s="812"/>
    </row>
    <row r="55963" spans="7:7">
      <c r="G55963" s="812"/>
    </row>
    <row r="55964" spans="7:7">
      <c r="G55964" s="812"/>
    </row>
    <row r="55965" spans="7:7">
      <c r="G55965" s="812"/>
    </row>
    <row r="55966" spans="7:7">
      <c r="G55966" s="812"/>
    </row>
    <row r="55967" spans="7:7">
      <c r="G55967" s="812"/>
    </row>
    <row r="55968" spans="7:7">
      <c r="G55968" s="812"/>
    </row>
    <row r="55969" spans="7:7">
      <c r="G55969" s="812"/>
    </row>
    <row r="55970" spans="7:7">
      <c r="G55970" s="812"/>
    </row>
    <row r="55971" spans="7:7">
      <c r="G55971" s="812"/>
    </row>
    <row r="55972" spans="7:7">
      <c r="G55972" s="812"/>
    </row>
    <row r="55973" spans="7:7">
      <c r="G55973" s="812"/>
    </row>
    <row r="55974" spans="7:7">
      <c r="G55974" s="812"/>
    </row>
    <row r="55975" spans="7:7">
      <c r="G55975" s="812"/>
    </row>
    <row r="55976" spans="7:7">
      <c r="G55976" s="812"/>
    </row>
    <row r="55977" spans="7:7">
      <c r="G55977" s="812"/>
    </row>
    <row r="55978" spans="7:7">
      <c r="G55978" s="812"/>
    </row>
    <row r="55979" spans="7:7">
      <c r="G55979" s="812"/>
    </row>
    <row r="55980" spans="7:7">
      <c r="G55980" s="812"/>
    </row>
    <row r="55981" spans="7:7">
      <c r="G55981" s="812"/>
    </row>
    <row r="55982" spans="7:7">
      <c r="G55982" s="812"/>
    </row>
    <row r="55983" spans="7:7">
      <c r="G55983" s="812"/>
    </row>
    <row r="55984" spans="7:7">
      <c r="G55984" s="812"/>
    </row>
    <row r="55985" spans="7:7">
      <c r="G55985" s="812"/>
    </row>
    <row r="55986" spans="7:7">
      <c r="G55986" s="812"/>
    </row>
    <row r="55987" spans="7:7">
      <c r="G55987" s="812"/>
    </row>
    <row r="55988" spans="7:7">
      <c r="G55988" s="812"/>
    </row>
    <row r="55989" spans="7:7">
      <c r="G55989" s="812"/>
    </row>
    <row r="55990" spans="7:7">
      <c r="G55990" s="812"/>
    </row>
    <row r="55991" spans="7:7">
      <c r="G55991" s="812"/>
    </row>
    <row r="55992" spans="7:7">
      <c r="G55992" s="812"/>
    </row>
    <row r="55993" spans="7:7">
      <c r="G55993" s="812"/>
    </row>
    <row r="55994" spans="7:7">
      <c r="G55994" s="812"/>
    </row>
    <row r="55995" spans="7:7">
      <c r="G55995" s="812"/>
    </row>
    <row r="55996" spans="7:7">
      <c r="G55996" s="812"/>
    </row>
    <row r="55997" spans="7:7">
      <c r="G55997" s="812"/>
    </row>
    <row r="55998" spans="7:7">
      <c r="G55998" s="812"/>
    </row>
    <row r="55999" spans="7:7">
      <c r="G55999" s="812"/>
    </row>
    <row r="56000" spans="7:7">
      <c r="G56000" s="812"/>
    </row>
    <row r="56001" spans="7:7">
      <c r="G56001" s="812"/>
    </row>
    <row r="56002" spans="7:7">
      <c r="G56002" s="812"/>
    </row>
    <row r="56003" spans="7:7">
      <c r="G56003" s="812"/>
    </row>
    <row r="56004" spans="7:7">
      <c r="G56004" s="812"/>
    </row>
    <row r="56005" spans="7:7">
      <c r="G56005" s="812"/>
    </row>
    <row r="56006" spans="7:7">
      <c r="G56006" s="812"/>
    </row>
    <row r="56007" spans="7:7">
      <c r="G56007" s="812"/>
    </row>
    <row r="56008" spans="7:7">
      <c r="G56008" s="812"/>
    </row>
    <row r="56009" spans="7:7">
      <c r="G56009" s="812"/>
    </row>
    <row r="56010" spans="7:7">
      <c r="G56010" s="812"/>
    </row>
    <row r="56011" spans="7:7">
      <c r="G56011" s="812"/>
    </row>
    <row r="56012" spans="7:7">
      <c r="G56012" s="812"/>
    </row>
    <row r="56013" spans="7:7">
      <c r="G56013" s="812"/>
    </row>
    <row r="56014" spans="7:7">
      <c r="G56014" s="812"/>
    </row>
    <row r="56015" spans="7:7">
      <c r="G56015" s="812"/>
    </row>
    <row r="56016" spans="7:7">
      <c r="G56016" s="812"/>
    </row>
    <row r="56017" spans="7:7">
      <c r="G56017" s="812"/>
    </row>
    <row r="56018" spans="7:7">
      <c r="G56018" s="812"/>
    </row>
    <row r="56019" spans="7:7">
      <c r="G56019" s="812"/>
    </row>
    <row r="56020" spans="7:7">
      <c r="G56020" s="812"/>
    </row>
    <row r="56021" spans="7:7">
      <c r="G56021" s="812"/>
    </row>
    <row r="56022" spans="7:7">
      <c r="G56022" s="812"/>
    </row>
    <row r="56023" spans="7:7">
      <c r="G56023" s="812"/>
    </row>
    <row r="56024" spans="7:7">
      <c r="G56024" s="812"/>
    </row>
    <row r="56025" spans="7:7">
      <c r="G56025" s="812"/>
    </row>
    <row r="56026" spans="7:7">
      <c r="G56026" s="812"/>
    </row>
    <row r="56027" spans="7:7">
      <c r="G56027" s="812"/>
    </row>
    <row r="56028" spans="7:7">
      <c r="G56028" s="812"/>
    </row>
    <row r="56029" spans="7:7">
      <c r="G56029" s="812"/>
    </row>
    <row r="56030" spans="7:7">
      <c r="G56030" s="812"/>
    </row>
    <row r="56031" spans="7:7">
      <c r="G56031" s="812"/>
    </row>
    <row r="56032" spans="7:7">
      <c r="G56032" s="812"/>
    </row>
    <row r="56033" spans="7:7">
      <c r="G56033" s="812"/>
    </row>
    <row r="56034" spans="7:7">
      <c r="G56034" s="812"/>
    </row>
    <row r="56035" spans="7:7">
      <c r="G56035" s="812"/>
    </row>
    <row r="56036" spans="7:7">
      <c r="G56036" s="812"/>
    </row>
    <row r="56037" spans="7:7">
      <c r="G56037" s="812"/>
    </row>
    <row r="56038" spans="7:7">
      <c r="G56038" s="812"/>
    </row>
    <row r="56039" spans="7:7">
      <c r="G56039" s="812"/>
    </row>
    <row r="56040" spans="7:7">
      <c r="G56040" s="812"/>
    </row>
    <row r="56041" spans="7:7">
      <c r="G56041" s="812"/>
    </row>
    <row r="56042" spans="7:7">
      <c r="G56042" s="812"/>
    </row>
    <row r="56043" spans="7:7">
      <c r="G56043" s="812"/>
    </row>
    <row r="56044" spans="7:7">
      <c r="G56044" s="812"/>
    </row>
    <row r="56045" spans="7:7">
      <c r="G56045" s="812"/>
    </row>
    <row r="56046" spans="7:7">
      <c r="G56046" s="812"/>
    </row>
    <row r="56047" spans="7:7">
      <c r="G56047" s="812"/>
    </row>
    <row r="56048" spans="7:7">
      <c r="G56048" s="812"/>
    </row>
    <row r="56049" spans="7:7">
      <c r="G56049" s="812"/>
    </row>
    <row r="56050" spans="7:7">
      <c r="G56050" s="812"/>
    </row>
    <row r="56051" spans="7:7">
      <c r="G56051" s="812"/>
    </row>
    <row r="56052" spans="7:7">
      <c r="G56052" s="812"/>
    </row>
    <row r="56053" spans="7:7">
      <c r="G56053" s="812"/>
    </row>
    <row r="56054" spans="7:7">
      <c r="G56054" s="812"/>
    </row>
    <row r="56055" spans="7:7">
      <c r="G56055" s="812"/>
    </row>
    <row r="56056" spans="7:7">
      <c r="G56056" s="812"/>
    </row>
    <row r="56057" spans="7:7">
      <c r="G56057" s="812"/>
    </row>
    <row r="56058" spans="7:7">
      <c r="G56058" s="812"/>
    </row>
    <row r="56059" spans="7:7">
      <c r="G56059" s="812"/>
    </row>
    <row r="56060" spans="7:7">
      <c r="G56060" s="812"/>
    </row>
    <row r="56061" spans="7:7">
      <c r="G56061" s="812"/>
    </row>
    <row r="56062" spans="7:7">
      <c r="G56062" s="812"/>
    </row>
    <row r="56063" spans="7:7">
      <c r="G56063" s="812"/>
    </row>
    <row r="56064" spans="7:7">
      <c r="G56064" s="812"/>
    </row>
    <row r="56065" spans="7:7">
      <c r="G56065" s="812"/>
    </row>
    <row r="56066" spans="7:7">
      <c r="G56066" s="812"/>
    </row>
    <row r="56067" spans="7:7">
      <c r="G56067" s="812"/>
    </row>
    <row r="56068" spans="7:7">
      <c r="G56068" s="812"/>
    </row>
    <row r="56069" spans="7:7">
      <c r="G56069" s="812"/>
    </row>
    <row r="56070" spans="7:7">
      <c r="G56070" s="812"/>
    </row>
    <row r="56071" spans="7:7">
      <c r="G56071" s="812"/>
    </row>
    <row r="56072" spans="7:7">
      <c r="G56072" s="812"/>
    </row>
    <row r="56073" spans="7:7">
      <c r="G56073" s="812"/>
    </row>
    <row r="56074" spans="7:7">
      <c r="G56074" s="812"/>
    </row>
    <row r="56075" spans="7:7">
      <c r="G56075" s="812"/>
    </row>
    <row r="56076" spans="7:7">
      <c r="G56076" s="812"/>
    </row>
    <row r="56077" spans="7:7">
      <c r="G56077" s="812"/>
    </row>
    <row r="56078" spans="7:7">
      <c r="G56078" s="812"/>
    </row>
    <row r="56079" spans="7:7">
      <c r="G56079" s="812"/>
    </row>
    <row r="56080" spans="7:7">
      <c r="G56080" s="812"/>
    </row>
    <row r="56081" spans="7:7">
      <c r="G56081" s="812"/>
    </row>
    <row r="56082" spans="7:7">
      <c r="G56082" s="812"/>
    </row>
    <row r="56083" spans="7:7">
      <c r="G56083" s="812"/>
    </row>
    <row r="56084" spans="7:7">
      <c r="G56084" s="812"/>
    </row>
    <row r="56085" spans="7:7">
      <c r="G56085" s="812"/>
    </row>
    <row r="56086" spans="7:7">
      <c r="G56086" s="812"/>
    </row>
    <row r="56087" spans="7:7">
      <c r="G56087" s="812"/>
    </row>
    <row r="56088" spans="7:7">
      <c r="G56088" s="812"/>
    </row>
    <row r="56089" spans="7:7">
      <c r="G56089" s="812"/>
    </row>
    <row r="56090" spans="7:7">
      <c r="G56090" s="812"/>
    </row>
    <row r="56091" spans="7:7">
      <c r="G56091" s="812"/>
    </row>
    <row r="56092" spans="7:7">
      <c r="G56092" s="812"/>
    </row>
    <row r="56093" spans="7:7">
      <c r="G56093" s="812"/>
    </row>
    <row r="56094" spans="7:7">
      <c r="G56094" s="812"/>
    </row>
    <row r="56095" spans="7:7">
      <c r="G56095" s="812"/>
    </row>
    <row r="56096" spans="7:7">
      <c r="G56096" s="812"/>
    </row>
    <row r="56097" spans="7:7">
      <c r="G56097" s="812"/>
    </row>
    <row r="56098" spans="7:7">
      <c r="G56098" s="812"/>
    </row>
    <row r="56099" spans="7:7">
      <c r="G56099" s="812"/>
    </row>
    <row r="56100" spans="7:7">
      <c r="G56100" s="812"/>
    </row>
    <row r="56101" spans="7:7">
      <c r="G56101" s="812"/>
    </row>
    <row r="56102" spans="7:7">
      <c r="G56102" s="812"/>
    </row>
    <row r="56103" spans="7:7">
      <c r="G56103" s="812"/>
    </row>
    <row r="56104" spans="7:7">
      <c r="G56104" s="812"/>
    </row>
    <row r="56105" spans="7:7">
      <c r="G56105" s="812"/>
    </row>
    <row r="56106" spans="7:7">
      <c r="G56106" s="812"/>
    </row>
    <row r="56107" spans="7:7">
      <c r="G56107" s="812"/>
    </row>
    <row r="56108" spans="7:7">
      <c r="G56108" s="812"/>
    </row>
    <row r="56109" spans="7:7">
      <c r="G56109" s="812"/>
    </row>
    <row r="56110" spans="7:7">
      <c r="G56110" s="812"/>
    </row>
    <row r="56111" spans="7:7">
      <c r="G56111" s="812"/>
    </row>
    <row r="56112" spans="7:7">
      <c r="G56112" s="812"/>
    </row>
    <row r="56113" spans="7:7">
      <c r="G56113" s="812"/>
    </row>
    <row r="56114" spans="7:7">
      <c r="G56114" s="812"/>
    </row>
    <row r="56115" spans="7:7">
      <c r="G56115" s="812"/>
    </row>
    <row r="56116" spans="7:7">
      <c r="G56116" s="812"/>
    </row>
    <row r="56117" spans="7:7">
      <c r="G56117" s="812"/>
    </row>
    <row r="56118" spans="7:7">
      <c r="G56118" s="812"/>
    </row>
    <row r="56119" spans="7:7">
      <c r="G56119" s="812"/>
    </row>
    <row r="56120" spans="7:7">
      <c r="G56120" s="812"/>
    </row>
    <row r="56121" spans="7:7">
      <c r="G56121" s="812"/>
    </row>
    <row r="56122" spans="7:7">
      <c r="G56122" s="812"/>
    </row>
    <row r="56123" spans="7:7">
      <c r="G56123" s="812"/>
    </row>
    <row r="56124" spans="7:7">
      <c r="G56124" s="812"/>
    </row>
    <row r="56125" spans="7:7">
      <c r="G56125" s="812"/>
    </row>
    <row r="56126" spans="7:7">
      <c r="G56126" s="812"/>
    </row>
    <row r="56127" spans="7:7">
      <c r="G56127" s="812"/>
    </row>
    <row r="56128" spans="7:7">
      <c r="G56128" s="812"/>
    </row>
    <row r="56129" spans="7:7">
      <c r="G56129" s="812"/>
    </row>
    <row r="56130" spans="7:7">
      <c r="G56130" s="812"/>
    </row>
    <row r="56131" spans="7:7">
      <c r="G56131" s="812"/>
    </row>
    <row r="56132" spans="7:7">
      <c r="G56132" s="812"/>
    </row>
    <row r="56133" spans="7:7">
      <c r="G56133" s="812"/>
    </row>
    <row r="56134" spans="7:7">
      <c r="G56134" s="812"/>
    </row>
    <row r="56135" spans="7:7">
      <c r="G56135" s="812"/>
    </row>
    <row r="56136" spans="7:7">
      <c r="G56136" s="812"/>
    </row>
    <row r="56137" spans="7:7">
      <c r="G56137" s="812"/>
    </row>
    <row r="56138" spans="7:7">
      <c r="G56138" s="812"/>
    </row>
    <row r="56139" spans="7:7">
      <c r="G56139" s="812"/>
    </row>
    <row r="56140" spans="7:7">
      <c r="G56140" s="812"/>
    </row>
    <row r="56141" spans="7:7">
      <c r="G56141" s="812"/>
    </row>
    <row r="56142" spans="7:7">
      <c r="G56142" s="812"/>
    </row>
    <row r="56143" spans="7:7">
      <c r="G56143" s="812"/>
    </row>
    <row r="56144" spans="7:7">
      <c r="G56144" s="812"/>
    </row>
    <row r="56145" spans="7:7">
      <c r="G56145" s="812"/>
    </row>
    <row r="56146" spans="7:7">
      <c r="G56146" s="812"/>
    </row>
    <row r="56147" spans="7:7">
      <c r="G56147" s="812"/>
    </row>
    <row r="56148" spans="7:7">
      <c r="G56148" s="812"/>
    </row>
    <row r="56149" spans="7:7">
      <c r="G56149" s="812"/>
    </row>
    <row r="56150" spans="7:7">
      <c r="G56150" s="812"/>
    </row>
    <row r="56151" spans="7:7">
      <c r="G56151" s="812"/>
    </row>
    <row r="56152" spans="7:7">
      <c r="G56152" s="812"/>
    </row>
    <row r="56153" spans="7:7">
      <c r="G56153" s="812"/>
    </row>
    <row r="56154" spans="7:7">
      <c r="G56154" s="812"/>
    </row>
    <row r="56155" spans="7:7">
      <c r="G56155" s="812"/>
    </row>
    <row r="56156" spans="7:7">
      <c r="G56156" s="812"/>
    </row>
    <row r="56157" spans="7:7">
      <c r="G56157" s="812"/>
    </row>
    <row r="56158" spans="7:7">
      <c r="G56158" s="812"/>
    </row>
    <row r="56159" spans="7:7">
      <c r="G56159" s="812"/>
    </row>
    <row r="56160" spans="7:7">
      <c r="G56160" s="812"/>
    </row>
    <row r="56161" spans="7:7">
      <c r="G56161" s="812"/>
    </row>
    <row r="56162" spans="7:7">
      <c r="G56162" s="812"/>
    </row>
    <row r="56163" spans="7:7">
      <c r="G56163" s="812"/>
    </row>
    <row r="56164" spans="7:7">
      <c r="G56164" s="812"/>
    </row>
    <row r="56165" spans="7:7">
      <c r="G56165" s="812"/>
    </row>
    <row r="56166" spans="7:7">
      <c r="G56166" s="812"/>
    </row>
    <row r="56167" spans="7:7">
      <c r="G56167" s="812"/>
    </row>
    <row r="56168" spans="7:7">
      <c r="G56168" s="812"/>
    </row>
    <row r="56169" spans="7:7">
      <c r="G56169" s="812"/>
    </row>
    <row r="56170" spans="7:7">
      <c r="G56170" s="812"/>
    </row>
    <row r="56171" spans="7:7">
      <c r="G56171" s="812"/>
    </row>
    <row r="56172" spans="7:7">
      <c r="G56172" s="812"/>
    </row>
    <row r="56173" spans="7:7">
      <c r="G56173" s="812"/>
    </row>
    <row r="56174" spans="7:7">
      <c r="G56174" s="812"/>
    </row>
    <row r="56175" spans="7:7">
      <c r="G56175" s="812"/>
    </row>
    <row r="56176" spans="7:7">
      <c r="G56176" s="812"/>
    </row>
    <row r="56177" spans="7:7">
      <c r="G56177" s="812"/>
    </row>
    <row r="56178" spans="7:7">
      <c r="G56178" s="812"/>
    </row>
    <row r="56179" spans="7:7">
      <c r="G56179" s="812"/>
    </row>
    <row r="56180" spans="7:7">
      <c r="G56180" s="812"/>
    </row>
    <row r="56181" spans="7:7">
      <c r="G56181" s="812"/>
    </row>
    <row r="56182" spans="7:7">
      <c r="G56182" s="812"/>
    </row>
    <row r="56183" spans="7:7">
      <c r="G56183" s="812"/>
    </row>
    <row r="56184" spans="7:7">
      <c r="G56184" s="812"/>
    </row>
    <row r="56185" spans="7:7">
      <c r="G56185" s="812"/>
    </row>
    <row r="56186" spans="7:7">
      <c r="G56186" s="812"/>
    </row>
    <row r="56187" spans="7:7">
      <c r="G56187" s="812"/>
    </row>
    <row r="56188" spans="7:7">
      <c r="G56188" s="812"/>
    </row>
    <row r="56189" spans="7:7">
      <c r="G56189" s="812"/>
    </row>
    <row r="56190" spans="7:7">
      <c r="G56190" s="812"/>
    </row>
    <row r="56191" spans="7:7">
      <c r="G56191" s="812"/>
    </row>
    <row r="56192" spans="7:7">
      <c r="G56192" s="812"/>
    </row>
    <row r="56193" spans="7:7">
      <c r="G56193" s="812"/>
    </row>
    <row r="56194" spans="7:7">
      <c r="G56194" s="812"/>
    </row>
    <row r="56195" spans="7:7">
      <c r="G56195" s="812"/>
    </row>
    <row r="56196" spans="7:7">
      <c r="G56196" s="812"/>
    </row>
    <row r="56197" spans="7:7">
      <c r="G56197" s="812"/>
    </row>
    <row r="56198" spans="7:7">
      <c r="G56198" s="812"/>
    </row>
    <row r="56199" spans="7:7">
      <c r="G56199" s="812"/>
    </row>
    <row r="56200" spans="7:7">
      <c r="G56200" s="812"/>
    </row>
    <row r="56201" spans="7:7">
      <c r="G56201" s="812"/>
    </row>
    <row r="56202" spans="7:7">
      <c r="G56202" s="812"/>
    </row>
    <row r="56203" spans="7:7">
      <c r="G56203" s="812"/>
    </row>
    <row r="56204" spans="7:7">
      <c r="G56204" s="812"/>
    </row>
    <row r="56205" spans="7:7">
      <c r="G56205" s="812"/>
    </row>
    <row r="56206" spans="7:7">
      <c r="G56206" s="812"/>
    </row>
    <row r="56207" spans="7:7">
      <c r="G56207" s="812"/>
    </row>
    <row r="56208" spans="7:7">
      <c r="G56208" s="812"/>
    </row>
    <row r="56209" spans="7:7">
      <c r="G56209" s="812"/>
    </row>
    <row r="56210" spans="7:7">
      <c r="G56210" s="812"/>
    </row>
    <row r="56211" spans="7:7">
      <c r="G56211" s="812"/>
    </row>
    <row r="56212" spans="7:7">
      <c r="G56212" s="812"/>
    </row>
    <row r="56213" spans="7:7">
      <c r="G56213" s="812"/>
    </row>
    <row r="56214" spans="7:7">
      <c r="G56214" s="812"/>
    </row>
    <row r="56215" spans="7:7">
      <c r="G56215" s="812"/>
    </row>
    <row r="56216" spans="7:7">
      <c r="G56216" s="812"/>
    </row>
    <row r="56217" spans="7:7">
      <c r="G56217" s="812"/>
    </row>
    <row r="56218" spans="7:7">
      <c r="G56218" s="812"/>
    </row>
    <row r="56219" spans="7:7">
      <c r="G56219" s="812"/>
    </row>
    <row r="56220" spans="7:7">
      <c r="G56220" s="812"/>
    </row>
    <row r="56221" spans="7:7">
      <c r="G56221" s="812"/>
    </row>
    <row r="56222" spans="7:7">
      <c r="G56222" s="812"/>
    </row>
    <row r="56223" spans="7:7">
      <c r="G56223" s="812"/>
    </row>
    <row r="56224" spans="7:7">
      <c r="G56224" s="812"/>
    </row>
    <row r="56225" spans="7:7">
      <c r="G56225" s="812"/>
    </row>
    <row r="56226" spans="7:7">
      <c r="G56226" s="812"/>
    </row>
    <row r="56227" spans="7:7">
      <c r="G56227" s="812"/>
    </row>
    <row r="56228" spans="7:7">
      <c r="G56228" s="812"/>
    </row>
    <row r="56229" spans="7:7">
      <c r="G56229" s="812"/>
    </row>
    <row r="56230" spans="7:7">
      <c r="G56230" s="812"/>
    </row>
    <row r="56231" spans="7:7">
      <c r="G56231" s="812"/>
    </row>
    <row r="56232" spans="7:7">
      <c r="G56232" s="812"/>
    </row>
    <row r="56233" spans="7:7">
      <c r="G56233" s="812"/>
    </row>
    <row r="56234" spans="7:7">
      <c r="G56234" s="812"/>
    </row>
    <row r="56235" spans="7:7">
      <c r="G56235" s="812"/>
    </row>
    <row r="56236" spans="7:7">
      <c r="G56236" s="812"/>
    </row>
    <row r="56237" spans="7:7">
      <c r="G56237" s="812"/>
    </row>
    <row r="56238" spans="7:7">
      <c r="G56238" s="812"/>
    </row>
    <row r="56239" spans="7:7">
      <c r="G56239" s="812"/>
    </row>
    <row r="56240" spans="7:7">
      <c r="G56240" s="812"/>
    </row>
    <row r="56241" spans="7:7">
      <c r="G56241" s="812"/>
    </row>
    <row r="56242" spans="7:7">
      <c r="G56242" s="812"/>
    </row>
    <row r="56243" spans="7:7">
      <c r="G56243" s="812"/>
    </row>
    <row r="56244" spans="7:7">
      <c r="G56244" s="812"/>
    </row>
    <row r="56245" spans="7:7">
      <c r="G56245" s="812"/>
    </row>
    <row r="56246" spans="7:7">
      <c r="G56246" s="812"/>
    </row>
    <row r="56247" spans="7:7">
      <c r="G56247" s="812"/>
    </row>
    <row r="56248" spans="7:7">
      <c r="G56248" s="812"/>
    </row>
    <row r="56249" spans="7:7">
      <c r="G56249" s="812"/>
    </row>
    <row r="56250" spans="7:7">
      <c r="G56250" s="812"/>
    </row>
    <row r="56251" spans="7:7">
      <c r="G56251" s="812"/>
    </row>
    <row r="56252" spans="7:7">
      <c r="G56252" s="812"/>
    </row>
    <row r="56253" spans="7:7">
      <c r="G56253" s="812"/>
    </row>
    <row r="56254" spans="7:7">
      <c r="G56254" s="812"/>
    </row>
    <row r="56255" spans="7:7">
      <c r="G56255" s="812"/>
    </row>
    <row r="56256" spans="7:7">
      <c r="G56256" s="812"/>
    </row>
    <row r="56257" spans="7:7">
      <c r="G56257" s="812"/>
    </row>
    <row r="56258" spans="7:7">
      <c r="G56258" s="812"/>
    </row>
    <row r="56259" spans="7:7">
      <c r="G56259" s="812"/>
    </row>
    <row r="56260" spans="7:7">
      <c r="G56260" s="812"/>
    </row>
    <row r="56261" spans="7:7">
      <c r="G56261" s="812"/>
    </row>
    <row r="56262" spans="7:7">
      <c r="G56262" s="812"/>
    </row>
    <row r="56263" spans="7:7">
      <c r="G56263" s="812"/>
    </row>
    <row r="56264" spans="7:7">
      <c r="G56264" s="812"/>
    </row>
    <row r="56265" spans="7:7">
      <c r="G56265" s="812"/>
    </row>
    <row r="56266" spans="7:7">
      <c r="G56266" s="812"/>
    </row>
    <row r="56267" spans="7:7">
      <c r="G56267" s="812"/>
    </row>
    <row r="56268" spans="7:7">
      <c r="G56268" s="812"/>
    </row>
    <row r="56269" spans="7:7">
      <c r="G56269" s="812"/>
    </row>
    <row r="56270" spans="7:7">
      <c r="G56270" s="812"/>
    </row>
    <row r="56271" spans="7:7">
      <c r="G56271" s="812"/>
    </row>
    <row r="56272" spans="7:7">
      <c r="G56272" s="812"/>
    </row>
    <row r="56273" spans="7:7">
      <c r="G56273" s="812"/>
    </row>
    <row r="56274" spans="7:7">
      <c r="G56274" s="812"/>
    </row>
    <row r="56275" spans="7:7">
      <c r="G56275" s="812"/>
    </row>
    <row r="56276" spans="7:7">
      <c r="G56276" s="812"/>
    </row>
    <row r="56277" spans="7:7">
      <c r="G56277" s="812"/>
    </row>
    <row r="56278" spans="7:7">
      <c r="G56278" s="812"/>
    </row>
    <row r="56279" spans="7:7">
      <c r="G56279" s="812"/>
    </row>
    <row r="56280" spans="7:7">
      <c r="G56280" s="812"/>
    </row>
    <row r="56281" spans="7:7">
      <c r="G56281" s="812"/>
    </row>
    <row r="56282" spans="7:7">
      <c r="G56282" s="812"/>
    </row>
    <row r="56283" spans="7:7">
      <c r="G56283" s="812"/>
    </row>
    <row r="56284" spans="7:7">
      <c r="G56284" s="812"/>
    </row>
    <row r="56285" spans="7:7">
      <c r="G56285" s="812"/>
    </row>
    <row r="56286" spans="7:7">
      <c r="G56286" s="812"/>
    </row>
    <row r="56287" spans="7:7">
      <c r="G56287" s="812"/>
    </row>
    <row r="56288" spans="7:7">
      <c r="G56288" s="812"/>
    </row>
    <row r="56289" spans="7:7">
      <c r="G56289" s="812"/>
    </row>
    <row r="56290" spans="7:7">
      <c r="G56290" s="812"/>
    </row>
    <row r="56291" spans="7:7">
      <c r="G56291" s="812"/>
    </row>
    <row r="56292" spans="7:7">
      <c r="G56292" s="812"/>
    </row>
    <row r="56293" spans="7:7">
      <c r="G56293" s="812"/>
    </row>
    <row r="56294" spans="7:7">
      <c r="G56294" s="812"/>
    </row>
    <row r="56295" spans="7:7">
      <c r="G56295" s="812"/>
    </row>
    <row r="56296" spans="7:7">
      <c r="G56296" s="812"/>
    </row>
    <row r="56297" spans="7:7">
      <c r="G56297" s="812"/>
    </row>
    <row r="56298" spans="7:7">
      <c r="G56298" s="812"/>
    </row>
    <row r="56299" spans="7:7">
      <c r="G56299" s="812"/>
    </row>
    <row r="56300" spans="7:7">
      <c r="G56300" s="812"/>
    </row>
    <row r="56301" spans="7:7">
      <c r="G56301" s="812"/>
    </row>
    <row r="56302" spans="7:7">
      <c r="G56302" s="812"/>
    </row>
    <row r="56303" spans="7:7">
      <c r="G56303" s="812"/>
    </row>
    <row r="56304" spans="7:7">
      <c r="G56304" s="812"/>
    </row>
    <row r="56305" spans="7:7">
      <c r="G56305" s="812"/>
    </row>
    <row r="56306" spans="7:7">
      <c r="G56306" s="812"/>
    </row>
    <row r="56307" spans="7:7">
      <c r="G56307" s="812"/>
    </row>
    <row r="56308" spans="7:7">
      <c r="G56308" s="812"/>
    </row>
    <row r="56309" spans="7:7">
      <c r="G56309" s="812"/>
    </row>
    <row r="56310" spans="7:7">
      <c r="G56310" s="812"/>
    </row>
    <row r="56311" spans="7:7">
      <c r="G56311" s="812"/>
    </row>
    <row r="56312" spans="7:7">
      <c r="G56312" s="812"/>
    </row>
    <row r="56313" spans="7:7">
      <c r="G56313" s="812"/>
    </row>
    <row r="56314" spans="7:7">
      <c r="G56314" s="812"/>
    </row>
    <row r="56315" spans="7:7">
      <c r="G56315" s="812"/>
    </row>
    <row r="56316" spans="7:7">
      <c r="G56316" s="812"/>
    </row>
    <row r="56317" spans="7:7">
      <c r="G56317" s="812"/>
    </row>
    <row r="56318" spans="7:7">
      <c r="G56318" s="812"/>
    </row>
    <row r="56319" spans="7:7">
      <c r="G56319" s="812"/>
    </row>
    <row r="56320" spans="7:7">
      <c r="G56320" s="812"/>
    </row>
    <row r="56321" spans="7:7">
      <c r="G56321" s="812"/>
    </row>
    <row r="56322" spans="7:7">
      <c r="G56322" s="812"/>
    </row>
    <row r="56323" spans="7:7">
      <c r="G56323" s="812"/>
    </row>
    <row r="56324" spans="7:7">
      <c r="G56324" s="812"/>
    </row>
    <row r="56325" spans="7:7">
      <c r="G56325" s="812"/>
    </row>
    <row r="56326" spans="7:7">
      <c r="G56326" s="812"/>
    </row>
    <row r="56327" spans="7:7">
      <c r="G56327" s="812"/>
    </row>
    <row r="56328" spans="7:7">
      <c r="G56328" s="812"/>
    </row>
    <row r="56329" spans="7:7">
      <c r="G56329" s="812"/>
    </row>
    <row r="56330" spans="7:7">
      <c r="G56330" s="812"/>
    </row>
    <row r="56331" spans="7:7">
      <c r="G56331" s="812"/>
    </row>
    <row r="56332" spans="7:7">
      <c r="G56332" s="812"/>
    </row>
    <row r="56333" spans="7:7">
      <c r="G56333" s="812"/>
    </row>
    <row r="56334" spans="7:7">
      <c r="G56334" s="812"/>
    </row>
    <row r="56335" spans="7:7">
      <c r="G56335" s="812"/>
    </row>
    <row r="56336" spans="7:7">
      <c r="G56336" s="812"/>
    </row>
    <row r="56337" spans="7:7">
      <c r="G56337" s="812"/>
    </row>
    <row r="56338" spans="7:7">
      <c r="G56338" s="812"/>
    </row>
    <row r="56339" spans="7:7">
      <c r="G56339" s="812"/>
    </row>
    <row r="56340" spans="7:7">
      <c r="G56340" s="812"/>
    </row>
    <row r="56341" spans="7:7">
      <c r="G56341" s="812"/>
    </row>
    <row r="56342" spans="7:7">
      <c r="G56342" s="812"/>
    </row>
    <row r="56343" spans="7:7">
      <c r="G56343" s="812"/>
    </row>
    <row r="56344" spans="7:7">
      <c r="G56344" s="812"/>
    </row>
    <row r="56345" spans="7:7">
      <c r="G56345" s="812"/>
    </row>
    <row r="56346" spans="7:7">
      <c r="G56346" s="812"/>
    </row>
    <row r="56347" spans="7:7">
      <c r="G56347" s="812"/>
    </row>
    <row r="56348" spans="7:7">
      <c r="G56348" s="812"/>
    </row>
    <row r="56349" spans="7:7">
      <c r="G56349" s="812"/>
    </row>
    <row r="56350" spans="7:7">
      <c r="G56350" s="812"/>
    </row>
    <row r="56351" spans="7:7">
      <c r="G56351" s="812"/>
    </row>
    <row r="56352" spans="7:7">
      <c r="G56352" s="812"/>
    </row>
    <row r="56353" spans="7:7">
      <c r="G56353" s="812"/>
    </row>
    <row r="56354" spans="7:7">
      <c r="G56354" s="812"/>
    </row>
    <row r="56355" spans="7:7">
      <c r="G56355" s="812"/>
    </row>
    <row r="56356" spans="7:7">
      <c r="G56356" s="812"/>
    </row>
    <row r="56357" spans="7:7">
      <c r="G56357" s="812"/>
    </row>
    <row r="56358" spans="7:7">
      <c r="G56358" s="812"/>
    </row>
    <row r="56359" spans="7:7">
      <c r="G56359" s="812"/>
    </row>
    <row r="56360" spans="7:7">
      <c r="G56360" s="812"/>
    </row>
    <row r="56361" spans="7:7">
      <c r="G56361" s="812"/>
    </row>
    <row r="56362" spans="7:7">
      <c r="G56362" s="812"/>
    </row>
    <row r="56363" spans="7:7">
      <c r="G56363" s="812"/>
    </row>
    <row r="56364" spans="7:7">
      <c r="G56364" s="812"/>
    </row>
    <row r="56365" spans="7:7">
      <c r="G56365" s="812"/>
    </row>
    <row r="56366" spans="7:7">
      <c r="G56366" s="812"/>
    </row>
    <row r="56367" spans="7:7">
      <c r="G56367" s="812"/>
    </row>
    <row r="56368" spans="7:7">
      <c r="G56368" s="812"/>
    </row>
    <row r="56369" spans="7:7">
      <c r="G56369" s="812"/>
    </row>
    <row r="56370" spans="7:7">
      <c r="G56370" s="812"/>
    </row>
    <row r="56371" spans="7:7">
      <c r="G56371" s="812"/>
    </row>
    <row r="56372" spans="7:7">
      <c r="G56372" s="812"/>
    </row>
    <row r="56373" spans="7:7">
      <c r="G56373" s="812"/>
    </row>
    <row r="56374" spans="7:7">
      <c r="G56374" s="812"/>
    </row>
    <row r="56375" spans="7:7">
      <c r="G56375" s="812"/>
    </row>
    <row r="56376" spans="7:7">
      <c r="G56376" s="812"/>
    </row>
    <row r="56377" spans="7:7">
      <c r="G56377" s="812"/>
    </row>
    <row r="56378" spans="7:7">
      <c r="G56378" s="812"/>
    </row>
    <row r="56379" spans="7:7">
      <c r="G56379" s="812"/>
    </row>
    <row r="56380" spans="7:7">
      <c r="G56380" s="812"/>
    </row>
    <row r="56381" spans="7:7">
      <c r="G56381" s="812"/>
    </row>
    <row r="56382" spans="7:7">
      <c r="G56382" s="812"/>
    </row>
    <row r="56383" spans="7:7">
      <c r="G56383" s="812"/>
    </row>
    <row r="56384" spans="7:7">
      <c r="G56384" s="812"/>
    </row>
    <row r="56385" spans="7:7">
      <c r="G56385" s="812"/>
    </row>
    <row r="56386" spans="7:7">
      <c r="G56386" s="812"/>
    </row>
    <row r="56387" spans="7:7">
      <c r="G56387" s="812"/>
    </row>
    <row r="56388" spans="7:7">
      <c r="G56388" s="812"/>
    </row>
    <row r="56389" spans="7:7">
      <c r="G56389" s="812"/>
    </row>
    <row r="56390" spans="7:7">
      <c r="G56390" s="812"/>
    </row>
    <row r="56391" spans="7:7">
      <c r="G56391" s="812"/>
    </row>
    <row r="56392" spans="7:7">
      <c r="G56392" s="812"/>
    </row>
    <row r="56393" spans="7:7">
      <c r="G56393" s="812"/>
    </row>
    <row r="56394" spans="7:7">
      <c r="G56394" s="812"/>
    </row>
    <row r="56395" spans="7:7">
      <c r="G56395" s="812"/>
    </row>
    <row r="56396" spans="7:7">
      <c r="G56396" s="812"/>
    </row>
    <row r="56397" spans="7:7">
      <c r="G56397" s="812"/>
    </row>
    <row r="56398" spans="7:7">
      <c r="G56398" s="812"/>
    </row>
    <row r="56399" spans="7:7">
      <c r="G56399" s="812"/>
    </row>
    <row r="56400" spans="7:7">
      <c r="G56400" s="812"/>
    </row>
    <row r="56401" spans="7:7">
      <c r="G56401" s="812"/>
    </row>
    <row r="56402" spans="7:7">
      <c r="G56402" s="812"/>
    </row>
    <row r="56403" spans="7:7">
      <c r="G56403" s="812"/>
    </row>
    <row r="56404" spans="7:7">
      <c r="G56404" s="812"/>
    </row>
    <row r="56405" spans="7:7">
      <c r="G56405" s="812"/>
    </row>
    <row r="56406" spans="7:7">
      <c r="G56406" s="812"/>
    </row>
    <row r="56407" spans="7:7">
      <c r="G56407" s="812"/>
    </row>
    <row r="56408" spans="7:7">
      <c r="G56408" s="812"/>
    </row>
    <row r="56409" spans="7:7">
      <c r="G56409" s="812"/>
    </row>
    <row r="56410" spans="7:7">
      <c r="G56410" s="812"/>
    </row>
    <row r="56411" spans="7:7">
      <c r="G56411" s="812"/>
    </row>
    <row r="56412" spans="7:7">
      <c r="G56412" s="812"/>
    </row>
    <row r="56413" spans="7:7">
      <c r="G56413" s="812"/>
    </row>
    <row r="56414" spans="7:7">
      <c r="G56414" s="812"/>
    </row>
    <row r="56415" spans="7:7">
      <c r="G56415" s="812"/>
    </row>
    <row r="56416" spans="7:7">
      <c r="G56416" s="812"/>
    </row>
    <row r="56417" spans="7:7">
      <c r="G56417" s="812"/>
    </row>
    <row r="56418" spans="7:7">
      <c r="G56418" s="812"/>
    </row>
    <row r="56419" spans="7:7">
      <c r="G56419" s="812"/>
    </row>
    <row r="56420" spans="7:7">
      <c r="G56420" s="812"/>
    </row>
    <row r="56421" spans="7:7">
      <c r="G56421" s="812"/>
    </row>
    <row r="56422" spans="7:7">
      <c r="G56422" s="812"/>
    </row>
    <row r="56423" spans="7:7">
      <c r="G56423" s="812"/>
    </row>
    <row r="56424" spans="7:7">
      <c r="G56424" s="812"/>
    </row>
    <row r="56425" spans="7:7">
      <c r="G56425" s="812"/>
    </row>
    <row r="56426" spans="7:7">
      <c r="G56426" s="812"/>
    </row>
    <row r="56427" spans="7:7">
      <c r="G56427" s="812"/>
    </row>
    <row r="56428" spans="7:7">
      <c r="G56428" s="812"/>
    </row>
    <row r="56429" spans="7:7">
      <c r="G56429" s="812"/>
    </row>
    <row r="56430" spans="7:7">
      <c r="G56430" s="812"/>
    </row>
    <row r="56431" spans="7:7">
      <c r="G56431" s="812"/>
    </row>
    <row r="56432" spans="7:7">
      <c r="G56432" s="812"/>
    </row>
    <row r="56433" spans="7:7">
      <c r="G56433" s="812"/>
    </row>
    <row r="56434" spans="7:7">
      <c r="G56434" s="812"/>
    </row>
    <row r="56435" spans="7:7">
      <c r="G56435" s="812"/>
    </row>
    <row r="56436" spans="7:7">
      <c r="G56436" s="812"/>
    </row>
    <row r="56437" spans="7:7">
      <c r="G56437" s="812"/>
    </row>
    <row r="56438" spans="7:7">
      <c r="G56438" s="812"/>
    </row>
    <row r="56439" spans="7:7">
      <c r="G56439" s="812"/>
    </row>
    <row r="56440" spans="7:7">
      <c r="G56440" s="812"/>
    </row>
    <row r="56441" spans="7:7">
      <c r="G56441" s="812"/>
    </row>
    <row r="56442" spans="7:7">
      <c r="G56442" s="812"/>
    </row>
    <row r="56443" spans="7:7">
      <c r="G56443" s="812"/>
    </row>
    <row r="56444" spans="7:7">
      <c r="G56444" s="812"/>
    </row>
    <row r="56445" spans="7:7">
      <c r="G56445" s="812"/>
    </row>
    <row r="56446" spans="7:7">
      <c r="G56446" s="812"/>
    </row>
    <row r="56447" spans="7:7">
      <c r="G56447" s="812"/>
    </row>
    <row r="56448" spans="7:7">
      <c r="G56448" s="812"/>
    </row>
    <row r="56449" spans="7:7">
      <c r="G56449" s="812"/>
    </row>
    <row r="56450" spans="7:7">
      <c r="G56450" s="812"/>
    </row>
    <row r="56451" spans="7:7">
      <c r="G56451" s="812"/>
    </row>
    <row r="56452" spans="7:7">
      <c r="G56452" s="812"/>
    </row>
    <row r="56453" spans="7:7">
      <c r="G56453" s="812"/>
    </row>
    <row r="56454" spans="7:7">
      <c r="G56454" s="812"/>
    </row>
    <row r="56455" spans="7:7">
      <c r="G56455" s="812"/>
    </row>
    <row r="56456" spans="7:7">
      <c r="G56456" s="812"/>
    </row>
    <row r="56457" spans="7:7">
      <c r="G56457" s="812"/>
    </row>
    <row r="56458" spans="7:7">
      <c r="G56458" s="812"/>
    </row>
    <row r="56459" spans="7:7">
      <c r="G56459" s="812"/>
    </row>
    <row r="56460" spans="7:7">
      <c r="G56460" s="812"/>
    </row>
    <row r="56461" spans="7:7">
      <c r="G56461" s="812"/>
    </row>
    <row r="56462" spans="7:7">
      <c r="G56462" s="812"/>
    </row>
    <row r="56463" spans="7:7">
      <c r="G56463" s="812"/>
    </row>
    <row r="56464" spans="7:7">
      <c r="G56464" s="812"/>
    </row>
    <row r="56465" spans="7:7">
      <c r="G56465" s="812"/>
    </row>
    <row r="56466" spans="7:7">
      <c r="G56466" s="812"/>
    </row>
    <row r="56467" spans="7:7">
      <c r="G56467" s="812"/>
    </row>
    <row r="56468" spans="7:7">
      <c r="G56468" s="812"/>
    </row>
    <row r="56469" spans="7:7">
      <c r="G56469" s="812"/>
    </row>
    <row r="56470" spans="7:7">
      <c r="G56470" s="812"/>
    </row>
    <row r="56471" spans="7:7">
      <c r="G56471" s="812"/>
    </row>
    <row r="56472" spans="7:7">
      <c r="G56472" s="812"/>
    </row>
    <row r="56473" spans="7:7">
      <c r="G56473" s="812"/>
    </row>
    <row r="56474" spans="7:7">
      <c r="G56474" s="812"/>
    </row>
    <row r="56475" spans="7:7">
      <c r="G56475" s="812"/>
    </row>
    <row r="56476" spans="7:7">
      <c r="G56476" s="812"/>
    </row>
    <row r="56477" spans="7:7">
      <c r="G56477" s="812"/>
    </row>
    <row r="56478" spans="7:7">
      <c r="G56478" s="812"/>
    </row>
    <row r="56479" spans="7:7">
      <c r="G56479" s="812"/>
    </row>
    <row r="56480" spans="7:7">
      <c r="G56480" s="812"/>
    </row>
    <row r="56481" spans="7:7">
      <c r="G56481" s="812"/>
    </row>
    <row r="56482" spans="7:7">
      <c r="G56482" s="812"/>
    </row>
    <row r="56483" spans="7:7">
      <c r="G56483" s="812"/>
    </row>
    <row r="56484" spans="7:7">
      <c r="G56484" s="812"/>
    </row>
    <row r="56485" spans="7:7">
      <c r="G56485" s="812"/>
    </row>
    <row r="56486" spans="7:7">
      <c r="G56486" s="812"/>
    </row>
    <row r="56487" spans="7:7">
      <c r="G56487" s="812"/>
    </row>
    <row r="56488" spans="7:7">
      <c r="G56488" s="812"/>
    </row>
    <row r="56489" spans="7:7">
      <c r="G56489" s="812"/>
    </row>
    <row r="56490" spans="7:7">
      <c r="G56490" s="812"/>
    </row>
    <row r="56491" spans="7:7">
      <c r="G56491" s="812"/>
    </row>
    <row r="56492" spans="7:7">
      <c r="G56492" s="812"/>
    </row>
    <row r="56493" spans="7:7">
      <c r="G56493" s="812"/>
    </row>
    <row r="56494" spans="7:7">
      <c r="G56494" s="812"/>
    </row>
    <row r="56495" spans="7:7">
      <c r="G56495" s="812"/>
    </row>
    <row r="56496" spans="7:7">
      <c r="G56496" s="812"/>
    </row>
    <row r="56497" spans="7:7">
      <c r="G56497" s="812"/>
    </row>
    <row r="56498" spans="7:7">
      <c r="G56498" s="812"/>
    </row>
    <row r="56499" spans="7:7">
      <c r="G56499" s="812"/>
    </row>
    <row r="56500" spans="7:7">
      <c r="G56500" s="812"/>
    </row>
    <row r="56501" spans="7:7">
      <c r="G56501" s="812"/>
    </row>
    <row r="56502" spans="7:7">
      <c r="G56502" s="812"/>
    </row>
    <row r="56503" spans="7:7">
      <c r="G56503" s="812"/>
    </row>
    <row r="56504" spans="7:7">
      <c r="G56504" s="812"/>
    </row>
    <row r="56505" spans="7:7">
      <c r="G56505" s="812"/>
    </row>
    <row r="56506" spans="7:7">
      <c r="G56506" s="812"/>
    </row>
    <row r="56507" spans="7:7">
      <c r="G56507" s="812"/>
    </row>
    <row r="56508" spans="7:7">
      <c r="G56508" s="812"/>
    </row>
    <row r="56509" spans="7:7">
      <c r="G56509" s="812"/>
    </row>
    <row r="56510" spans="7:7">
      <c r="G56510" s="812"/>
    </row>
    <row r="56511" spans="7:7">
      <c r="G56511" s="812"/>
    </row>
    <row r="56512" spans="7:7">
      <c r="G56512" s="812"/>
    </row>
    <row r="56513" spans="7:7">
      <c r="G56513" s="812"/>
    </row>
    <row r="56514" spans="7:7">
      <c r="G56514" s="812"/>
    </row>
    <row r="56515" spans="7:7">
      <c r="G56515" s="812"/>
    </row>
    <row r="56516" spans="7:7">
      <c r="G56516" s="812"/>
    </row>
    <row r="56517" spans="7:7">
      <c r="G56517" s="812"/>
    </row>
    <row r="56518" spans="7:7">
      <c r="G56518" s="812"/>
    </row>
    <row r="56519" spans="7:7">
      <c r="G56519" s="812"/>
    </row>
    <row r="56520" spans="7:7">
      <c r="G56520" s="812"/>
    </row>
    <row r="56521" spans="7:7">
      <c r="G56521" s="812"/>
    </row>
    <row r="56522" spans="7:7">
      <c r="G56522" s="812"/>
    </row>
    <row r="56523" spans="7:7">
      <c r="G56523" s="812"/>
    </row>
    <row r="56524" spans="7:7">
      <c r="G56524" s="812"/>
    </row>
    <row r="56525" spans="7:7">
      <c r="G56525" s="812"/>
    </row>
    <row r="56526" spans="7:7">
      <c r="G56526" s="812"/>
    </row>
    <row r="56527" spans="7:7">
      <c r="G56527" s="812"/>
    </row>
    <row r="56528" spans="7:7">
      <c r="G56528" s="812"/>
    </row>
    <row r="56529" spans="7:7">
      <c r="G56529" s="812"/>
    </row>
    <row r="56530" spans="7:7">
      <c r="G56530" s="812"/>
    </row>
    <row r="56531" spans="7:7">
      <c r="G56531" s="812"/>
    </row>
    <row r="56532" spans="7:7">
      <c r="G56532" s="812"/>
    </row>
    <row r="56533" spans="7:7">
      <c r="G56533" s="812"/>
    </row>
    <row r="56534" spans="7:7">
      <c r="G56534" s="812"/>
    </row>
    <row r="56535" spans="7:7">
      <c r="G56535" s="812"/>
    </row>
    <row r="56536" spans="7:7">
      <c r="G56536" s="812"/>
    </row>
    <row r="56537" spans="7:7">
      <c r="G56537" s="812"/>
    </row>
    <row r="56538" spans="7:7">
      <c r="G56538" s="812"/>
    </row>
    <row r="56539" spans="7:7">
      <c r="G56539" s="812"/>
    </row>
    <row r="56540" spans="7:7">
      <c r="G56540" s="812"/>
    </row>
    <row r="56541" spans="7:7">
      <c r="G56541" s="812"/>
    </row>
    <row r="56542" spans="7:7">
      <c r="G56542" s="812"/>
    </row>
    <row r="56543" spans="7:7">
      <c r="G56543" s="812"/>
    </row>
    <row r="56544" spans="7:7">
      <c r="G56544" s="812"/>
    </row>
    <row r="56545" spans="7:7">
      <c r="G56545" s="812"/>
    </row>
    <row r="56546" spans="7:7">
      <c r="G56546" s="812"/>
    </row>
    <row r="56547" spans="7:7">
      <c r="G56547" s="812"/>
    </row>
    <row r="56548" spans="7:7">
      <c r="G56548" s="812"/>
    </row>
    <row r="56549" spans="7:7">
      <c r="G56549" s="812"/>
    </row>
    <row r="56550" spans="7:7">
      <c r="G56550" s="812"/>
    </row>
    <row r="56551" spans="7:7">
      <c r="G56551" s="812"/>
    </row>
    <row r="56552" spans="7:7">
      <c r="G56552" s="812"/>
    </row>
    <row r="56553" spans="7:7">
      <c r="G56553" s="812"/>
    </row>
    <row r="56554" spans="7:7">
      <c r="G56554" s="812"/>
    </row>
    <row r="56555" spans="7:7">
      <c r="G56555" s="812"/>
    </row>
    <row r="56556" spans="7:7">
      <c r="G56556" s="812"/>
    </row>
    <row r="56557" spans="7:7">
      <c r="G56557" s="812"/>
    </row>
    <row r="56558" spans="7:7">
      <c r="G56558" s="812"/>
    </row>
    <row r="56559" spans="7:7">
      <c r="G56559" s="812"/>
    </row>
    <row r="56560" spans="7:7">
      <c r="G56560" s="812"/>
    </row>
    <row r="56561" spans="7:7">
      <c r="G56561" s="812"/>
    </row>
    <row r="56562" spans="7:7">
      <c r="G56562" s="812"/>
    </row>
    <row r="56563" spans="7:7">
      <c r="G56563" s="812"/>
    </row>
    <row r="56564" spans="7:7">
      <c r="G56564" s="812"/>
    </row>
    <row r="56565" spans="7:7">
      <c r="G56565" s="812"/>
    </row>
    <row r="56566" spans="7:7">
      <c r="G56566" s="812"/>
    </row>
    <row r="56567" spans="7:7">
      <c r="G56567" s="812"/>
    </row>
    <row r="56568" spans="7:7">
      <c r="G56568" s="812"/>
    </row>
    <row r="56569" spans="7:7">
      <c r="G56569" s="812"/>
    </row>
    <row r="56570" spans="7:7">
      <c r="G56570" s="812"/>
    </row>
    <row r="56571" spans="7:7">
      <c r="G56571" s="812"/>
    </row>
    <row r="56572" spans="7:7">
      <c r="G56572" s="812"/>
    </row>
    <row r="56573" spans="7:7">
      <c r="G56573" s="812"/>
    </row>
    <row r="56574" spans="7:7">
      <c r="G56574" s="812"/>
    </row>
    <row r="56575" spans="7:7">
      <c r="G56575" s="812"/>
    </row>
    <row r="56576" spans="7:7">
      <c r="G56576" s="812"/>
    </row>
    <row r="56577" spans="7:7">
      <c r="G56577" s="812"/>
    </row>
    <row r="56578" spans="7:7">
      <c r="G56578" s="812"/>
    </row>
    <row r="56579" spans="7:7">
      <c r="G56579" s="812"/>
    </row>
    <row r="56580" spans="7:7">
      <c r="G56580" s="812"/>
    </row>
    <row r="56581" spans="7:7">
      <c r="G56581" s="812"/>
    </row>
    <row r="56582" spans="7:7">
      <c r="G56582" s="812"/>
    </row>
    <row r="56583" spans="7:7">
      <c r="G56583" s="812"/>
    </row>
    <row r="56584" spans="7:7">
      <c r="G56584" s="812"/>
    </row>
    <row r="56585" spans="7:7">
      <c r="G56585" s="812"/>
    </row>
    <row r="56586" spans="7:7">
      <c r="G56586" s="812"/>
    </row>
    <row r="56587" spans="7:7">
      <c r="G56587" s="812"/>
    </row>
    <row r="56588" spans="7:7">
      <c r="G56588" s="812"/>
    </row>
    <row r="56589" spans="7:7">
      <c r="G56589" s="812"/>
    </row>
    <row r="56590" spans="7:7">
      <c r="G56590" s="812"/>
    </row>
    <row r="56591" spans="7:7">
      <c r="G56591" s="812"/>
    </row>
    <row r="56592" spans="7:7">
      <c r="G56592" s="812"/>
    </row>
    <row r="56593" spans="7:7">
      <c r="G56593" s="812"/>
    </row>
    <row r="56594" spans="7:7">
      <c r="G56594" s="812"/>
    </row>
    <row r="56595" spans="7:7">
      <c r="G56595" s="812"/>
    </row>
    <row r="56596" spans="7:7">
      <c r="G56596" s="812"/>
    </row>
    <row r="56597" spans="7:7">
      <c r="G56597" s="812"/>
    </row>
    <row r="56598" spans="7:7">
      <c r="G56598" s="812"/>
    </row>
    <row r="56599" spans="7:7">
      <c r="G56599" s="812"/>
    </row>
    <row r="56600" spans="7:7">
      <c r="G56600" s="812"/>
    </row>
    <row r="56601" spans="7:7">
      <c r="G56601" s="812"/>
    </row>
    <row r="56602" spans="7:7">
      <c r="G56602" s="812"/>
    </row>
    <row r="56603" spans="7:7">
      <c r="G56603" s="812"/>
    </row>
    <row r="56604" spans="7:7">
      <c r="G56604" s="812"/>
    </row>
    <row r="56605" spans="7:7">
      <c r="G56605" s="812"/>
    </row>
    <row r="56606" spans="7:7">
      <c r="G56606" s="812"/>
    </row>
    <row r="56607" spans="7:7">
      <c r="G56607" s="812"/>
    </row>
    <row r="56608" spans="7:7">
      <c r="G56608" s="812"/>
    </row>
    <row r="56609" spans="7:7">
      <c r="G56609" s="812"/>
    </row>
    <row r="56610" spans="7:7">
      <c r="G56610" s="812"/>
    </row>
    <row r="56611" spans="7:7">
      <c r="G56611" s="812"/>
    </row>
    <row r="56612" spans="7:7">
      <c r="G56612" s="812"/>
    </row>
    <row r="56613" spans="7:7">
      <c r="G56613" s="812"/>
    </row>
    <row r="56614" spans="7:7">
      <c r="G56614" s="812"/>
    </row>
    <row r="56615" spans="7:7">
      <c r="G56615" s="812"/>
    </row>
    <row r="56616" spans="7:7">
      <c r="G56616" s="812"/>
    </row>
    <row r="56617" spans="7:7">
      <c r="G56617" s="812"/>
    </row>
    <row r="56618" spans="7:7">
      <c r="G56618" s="812"/>
    </row>
    <row r="56619" spans="7:7">
      <c r="G56619" s="812"/>
    </row>
    <row r="56620" spans="7:7">
      <c r="G56620" s="812"/>
    </row>
    <row r="56621" spans="7:7">
      <c r="G56621" s="812"/>
    </row>
    <row r="56622" spans="7:7">
      <c r="G56622" s="812"/>
    </row>
    <row r="56623" spans="7:7">
      <c r="G56623" s="812"/>
    </row>
    <row r="56624" spans="7:7">
      <c r="G56624" s="812"/>
    </row>
    <row r="56625" spans="7:7">
      <c r="G56625" s="812"/>
    </row>
    <row r="56626" spans="7:7">
      <c r="G56626" s="812"/>
    </row>
    <row r="56627" spans="7:7">
      <c r="G56627" s="812"/>
    </row>
    <row r="56628" spans="7:7">
      <c r="G56628" s="812"/>
    </row>
    <row r="56629" spans="7:7">
      <c r="G56629" s="812"/>
    </row>
    <row r="56630" spans="7:7">
      <c r="G56630" s="812"/>
    </row>
    <row r="56631" spans="7:7">
      <c r="G56631" s="812"/>
    </row>
    <row r="56632" spans="7:7">
      <c r="G56632" s="812"/>
    </row>
    <row r="56633" spans="7:7">
      <c r="G56633" s="812"/>
    </row>
    <row r="56634" spans="7:7">
      <c r="G56634" s="812"/>
    </row>
    <row r="56635" spans="7:7">
      <c r="G56635" s="812"/>
    </row>
    <row r="56636" spans="7:7">
      <c r="G56636" s="812"/>
    </row>
    <row r="56637" spans="7:7">
      <c r="G56637" s="812"/>
    </row>
    <row r="56638" spans="7:7">
      <c r="G56638" s="812"/>
    </row>
    <row r="56639" spans="7:7">
      <c r="G56639" s="812"/>
    </row>
    <row r="56640" spans="7:7">
      <c r="G56640" s="812"/>
    </row>
    <row r="56641" spans="7:7">
      <c r="G56641" s="812"/>
    </row>
    <row r="56642" spans="7:7">
      <c r="G56642" s="812"/>
    </row>
    <row r="56643" spans="7:7">
      <c r="G56643" s="812"/>
    </row>
    <row r="56644" spans="7:7">
      <c r="G56644" s="812"/>
    </row>
    <row r="56645" spans="7:7">
      <c r="G56645" s="812"/>
    </row>
    <row r="56646" spans="7:7">
      <c r="G56646" s="812"/>
    </row>
    <row r="56647" spans="7:7">
      <c r="G56647" s="812"/>
    </row>
    <row r="56648" spans="7:7">
      <c r="G56648" s="812"/>
    </row>
    <row r="56649" spans="7:7">
      <c r="G56649" s="812"/>
    </row>
    <row r="56650" spans="7:7">
      <c r="G56650" s="812"/>
    </row>
    <row r="56651" spans="7:7">
      <c r="G56651" s="812"/>
    </row>
    <row r="56652" spans="7:7">
      <c r="G56652" s="812"/>
    </row>
    <row r="56653" spans="7:7">
      <c r="G56653" s="812"/>
    </row>
    <row r="56654" spans="7:7">
      <c r="G56654" s="812"/>
    </row>
    <row r="56655" spans="7:7">
      <c r="G56655" s="812"/>
    </row>
    <row r="56656" spans="7:7">
      <c r="G56656" s="812"/>
    </row>
    <row r="56657" spans="7:7">
      <c r="G56657" s="812"/>
    </row>
    <row r="56658" spans="7:7">
      <c r="G56658" s="812"/>
    </row>
    <row r="56659" spans="7:7">
      <c r="G56659" s="812"/>
    </row>
    <row r="56660" spans="7:7">
      <c r="G56660" s="812"/>
    </row>
    <row r="56661" spans="7:7">
      <c r="G56661" s="812"/>
    </row>
    <row r="56662" spans="7:7">
      <c r="G56662" s="812"/>
    </row>
    <row r="56663" spans="7:7">
      <c r="G56663" s="812"/>
    </row>
    <row r="56664" spans="7:7">
      <c r="G56664" s="812"/>
    </row>
    <row r="56665" spans="7:7">
      <c r="G56665" s="812"/>
    </row>
    <row r="56666" spans="7:7">
      <c r="G56666" s="812"/>
    </row>
    <row r="56667" spans="7:7">
      <c r="G56667" s="812"/>
    </row>
    <row r="56668" spans="7:7">
      <c r="G56668" s="812"/>
    </row>
    <row r="56669" spans="7:7">
      <c r="G56669" s="812"/>
    </row>
    <row r="56670" spans="7:7">
      <c r="G56670" s="812"/>
    </row>
    <row r="56671" spans="7:7">
      <c r="G56671" s="812"/>
    </row>
    <row r="56672" spans="7:7">
      <c r="G56672" s="812"/>
    </row>
    <row r="56673" spans="7:7">
      <c r="G56673" s="812"/>
    </row>
    <row r="56674" spans="7:7">
      <c r="G56674" s="812"/>
    </row>
    <row r="56675" spans="7:7">
      <c r="G56675" s="812"/>
    </row>
    <row r="56676" spans="7:7">
      <c r="G56676" s="812"/>
    </row>
    <row r="56677" spans="7:7">
      <c r="G56677" s="812"/>
    </row>
    <row r="56678" spans="7:7">
      <c r="G56678" s="812"/>
    </row>
    <row r="56679" spans="7:7">
      <c r="G56679" s="812"/>
    </row>
    <row r="56680" spans="7:7">
      <c r="G56680" s="812"/>
    </row>
    <row r="56681" spans="7:7">
      <c r="G56681" s="812"/>
    </row>
    <row r="56682" spans="7:7">
      <c r="G56682" s="812"/>
    </row>
    <row r="56683" spans="7:7">
      <c r="G56683" s="812"/>
    </row>
    <row r="56684" spans="7:7">
      <c r="G56684" s="812"/>
    </row>
    <row r="56685" spans="7:7">
      <c r="G56685" s="812"/>
    </row>
    <row r="56686" spans="7:7">
      <c r="G56686" s="812"/>
    </row>
    <row r="56687" spans="7:7">
      <c r="G56687" s="812"/>
    </row>
    <row r="56688" spans="7:7">
      <c r="G56688" s="812"/>
    </row>
    <row r="56689" spans="7:7">
      <c r="G56689" s="812"/>
    </row>
    <row r="56690" spans="7:7">
      <c r="G56690" s="812"/>
    </row>
    <row r="56691" spans="7:7">
      <c r="G56691" s="812"/>
    </row>
    <row r="56692" spans="7:7">
      <c r="G56692" s="812"/>
    </row>
    <row r="56693" spans="7:7">
      <c r="G56693" s="812"/>
    </row>
    <row r="56694" spans="7:7">
      <c r="G56694" s="812"/>
    </row>
    <row r="56695" spans="7:7">
      <c r="G56695" s="812"/>
    </row>
    <row r="56696" spans="7:7">
      <c r="G56696" s="812"/>
    </row>
    <row r="56697" spans="7:7">
      <c r="G56697" s="812"/>
    </row>
    <row r="56698" spans="7:7">
      <c r="G56698" s="812"/>
    </row>
    <row r="56699" spans="7:7">
      <c r="G56699" s="812"/>
    </row>
    <row r="56700" spans="7:7">
      <c r="G56700" s="812"/>
    </row>
    <row r="56701" spans="7:7">
      <c r="G56701" s="812"/>
    </row>
    <row r="56702" spans="7:7">
      <c r="G56702" s="812"/>
    </row>
    <row r="56703" spans="7:7">
      <c r="G56703" s="812"/>
    </row>
    <row r="56704" spans="7:7">
      <c r="G56704" s="812"/>
    </row>
    <row r="56705" spans="7:7">
      <c r="G56705" s="812"/>
    </row>
    <row r="56706" spans="7:7">
      <c r="G56706" s="812"/>
    </row>
    <row r="56707" spans="7:7">
      <c r="G56707" s="812"/>
    </row>
    <row r="56708" spans="7:7">
      <c r="G56708" s="812"/>
    </row>
    <row r="56709" spans="7:7">
      <c r="G56709" s="812"/>
    </row>
    <row r="56710" spans="7:7">
      <c r="G56710" s="812"/>
    </row>
    <row r="56711" spans="7:7">
      <c r="G56711" s="812"/>
    </row>
    <row r="56712" spans="7:7">
      <c r="G56712" s="812"/>
    </row>
    <row r="56713" spans="7:7">
      <c r="G56713" s="812"/>
    </row>
    <row r="56714" spans="7:7">
      <c r="G56714" s="812"/>
    </row>
    <row r="56715" spans="7:7">
      <c r="G56715" s="812"/>
    </row>
    <row r="56716" spans="7:7">
      <c r="G56716" s="812"/>
    </row>
    <row r="56717" spans="7:7">
      <c r="G56717" s="812"/>
    </row>
    <row r="56718" spans="7:7">
      <c r="G56718" s="812"/>
    </row>
    <row r="56719" spans="7:7">
      <c r="G56719" s="812"/>
    </row>
    <row r="56720" spans="7:7">
      <c r="G56720" s="812"/>
    </row>
    <row r="56721" spans="7:7">
      <c r="G56721" s="812"/>
    </row>
    <row r="56722" spans="7:7">
      <c r="G56722" s="812"/>
    </row>
    <row r="56723" spans="7:7">
      <c r="G56723" s="812"/>
    </row>
    <row r="56724" spans="7:7">
      <c r="G56724" s="812"/>
    </row>
    <row r="56725" spans="7:7">
      <c r="G56725" s="812"/>
    </row>
    <row r="56726" spans="7:7">
      <c r="G56726" s="812"/>
    </row>
    <row r="56727" spans="7:7">
      <c r="G56727" s="812"/>
    </row>
    <row r="56728" spans="7:7">
      <c r="G56728" s="812"/>
    </row>
    <row r="56729" spans="7:7">
      <c r="G56729" s="812"/>
    </row>
    <row r="56730" spans="7:7">
      <c r="G56730" s="812"/>
    </row>
    <row r="56731" spans="7:7">
      <c r="G56731" s="812"/>
    </row>
    <row r="56732" spans="7:7">
      <c r="G56732" s="812"/>
    </row>
    <row r="56733" spans="7:7">
      <c r="G56733" s="812"/>
    </row>
    <row r="56734" spans="7:7">
      <c r="G56734" s="812"/>
    </row>
    <row r="56735" spans="7:7">
      <c r="G56735" s="812"/>
    </row>
    <row r="56736" spans="7:7">
      <c r="G56736" s="812"/>
    </row>
    <row r="56737" spans="7:7">
      <c r="G56737" s="812"/>
    </row>
    <row r="56738" spans="7:7">
      <c r="G56738" s="812"/>
    </row>
    <row r="56739" spans="7:7">
      <c r="G56739" s="812"/>
    </row>
    <row r="56740" spans="7:7">
      <c r="G56740" s="812"/>
    </row>
    <row r="56741" spans="7:7">
      <c r="G56741" s="812"/>
    </row>
    <row r="56742" spans="7:7">
      <c r="G56742" s="812"/>
    </row>
    <row r="56743" spans="7:7">
      <c r="G56743" s="812"/>
    </row>
    <row r="56744" spans="7:7">
      <c r="G56744" s="812"/>
    </row>
    <row r="56745" spans="7:7">
      <c r="G56745" s="812"/>
    </row>
    <row r="56746" spans="7:7">
      <c r="G56746" s="812"/>
    </row>
    <row r="56747" spans="7:7">
      <c r="G56747" s="812"/>
    </row>
    <row r="56748" spans="7:7">
      <c r="G56748" s="812"/>
    </row>
    <row r="56749" spans="7:7">
      <c r="G56749" s="812"/>
    </row>
    <row r="56750" spans="7:7">
      <c r="G56750" s="812"/>
    </row>
    <row r="56751" spans="7:7">
      <c r="G56751" s="812"/>
    </row>
    <row r="56752" spans="7:7">
      <c r="G56752" s="812"/>
    </row>
    <row r="56753" spans="7:7">
      <c r="G56753" s="812"/>
    </row>
    <row r="56754" spans="7:7">
      <c r="G56754" s="812"/>
    </row>
    <row r="56755" spans="7:7">
      <c r="G56755" s="812"/>
    </row>
    <row r="56756" spans="7:7">
      <c r="G56756" s="812"/>
    </row>
    <row r="56757" spans="7:7">
      <c r="G56757" s="812"/>
    </row>
    <row r="56758" spans="7:7">
      <c r="G56758" s="812"/>
    </row>
    <row r="56759" spans="7:7">
      <c r="G56759" s="812"/>
    </row>
    <row r="56760" spans="7:7">
      <c r="G56760" s="812"/>
    </row>
    <row r="56761" spans="7:7">
      <c r="G56761" s="812"/>
    </row>
    <row r="56762" spans="7:7">
      <c r="G56762" s="812"/>
    </row>
    <row r="56763" spans="7:7">
      <c r="G56763" s="812"/>
    </row>
    <row r="56764" spans="7:7">
      <c r="G56764" s="812"/>
    </row>
    <row r="56765" spans="7:7">
      <c r="G56765" s="812"/>
    </row>
    <row r="56766" spans="7:7">
      <c r="G56766" s="812"/>
    </row>
    <row r="56767" spans="7:7">
      <c r="G56767" s="812"/>
    </row>
    <row r="56768" spans="7:7">
      <c r="G56768" s="812"/>
    </row>
    <row r="56769" spans="7:7">
      <c r="G56769" s="812"/>
    </row>
    <row r="56770" spans="7:7">
      <c r="G56770" s="812"/>
    </row>
    <row r="56771" spans="7:7">
      <c r="G56771" s="812"/>
    </row>
    <row r="56772" spans="7:7">
      <c r="G56772" s="812"/>
    </row>
    <row r="56773" spans="7:7">
      <c r="G56773" s="812"/>
    </row>
    <row r="56774" spans="7:7">
      <c r="G56774" s="812"/>
    </row>
    <row r="56775" spans="7:7">
      <c r="G56775" s="812"/>
    </row>
    <row r="56776" spans="7:7">
      <c r="G56776" s="812"/>
    </row>
    <row r="56777" spans="7:7">
      <c r="G56777" s="812"/>
    </row>
    <row r="56778" spans="7:7">
      <c r="G56778" s="812"/>
    </row>
    <row r="56779" spans="7:7">
      <c r="G56779" s="812"/>
    </row>
    <row r="56780" spans="7:7">
      <c r="G56780" s="812"/>
    </row>
    <row r="56781" spans="7:7">
      <c r="G56781" s="812"/>
    </row>
    <row r="56782" spans="7:7">
      <c r="G56782" s="812"/>
    </row>
    <row r="56783" spans="7:7">
      <c r="G56783" s="812"/>
    </row>
    <row r="56784" spans="7:7">
      <c r="G56784" s="812"/>
    </row>
    <row r="56785" spans="7:7">
      <c r="G56785" s="812"/>
    </row>
    <row r="56786" spans="7:7">
      <c r="G56786" s="812"/>
    </row>
    <row r="56787" spans="7:7">
      <c r="G56787" s="812"/>
    </row>
    <row r="56788" spans="7:7">
      <c r="G56788" s="812"/>
    </row>
    <row r="56789" spans="7:7">
      <c r="G56789" s="812"/>
    </row>
    <row r="56790" spans="7:7">
      <c r="G56790" s="812"/>
    </row>
    <row r="56791" spans="7:7">
      <c r="G56791" s="812"/>
    </row>
    <row r="56792" spans="7:7">
      <c r="G56792" s="812"/>
    </row>
    <row r="56793" spans="7:7">
      <c r="G56793" s="812"/>
    </row>
    <row r="56794" spans="7:7">
      <c r="G56794" s="812"/>
    </row>
    <row r="56795" spans="7:7">
      <c r="G56795" s="812"/>
    </row>
    <row r="56796" spans="7:7">
      <c r="G56796" s="812"/>
    </row>
    <row r="56797" spans="7:7">
      <c r="G56797" s="812"/>
    </row>
    <row r="56798" spans="7:7">
      <c r="G56798" s="812"/>
    </row>
    <row r="56799" spans="7:7">
      <c r="G56799" s="812"/>
    </row>
    <row r="56800" spans="7:7">
      <c r="G56800" s="812"/>
    </row>
    <row r="56801" spans="7:7">
      <c r="G56801" s="812"/>
    </row>
    <row r="56802" spans="7:7">
      <c r="G56802" s="812"/>
    </row>
    <row r="56803" spans="7:7">
      <c r="G56803" s="812"/>
    </row>
    <row r="56804" spans="7:7">
      <c r="G56804" s="812"/>
    </row>
    <row r="56805" spans="7:7">
      <c r="G56805" s="812"/>
    </row>
    <row r="56806" spans="7:7">
      <c r="G56806" s="812"/>
    </row>
    <row r="56807" spans="7:7">
      <c r="G56807" s="812"/>
    </row>
    <row r="56808" spans="7:7">
      <c r="G56808" s="812"/>
    </row>
    <row r="56809" spans="7:7">
      <c r="G56809" s="812"/>
    </row>
    <row r="56810" spans="7:7">
      <c r="G56810" s="812"/>
    </row>
    <row r="56811" spans="7:7">
      <c r="G56811" s="812"/>
    </row>
    <row r="56812" spans="7:7">
      <c r="G56812" s="812"/>
    </row>
    <row r="56813" spans="7:7">
      <c r="G56813" s="812"/>
    </row>
    <row r="56814" spans="7:7">
      <c r="G56814" s="812"/>
    </row>
    <row r="56815" spans="7:7">
      <c r="G56815" s="812"/>
    </row>
    <row r="56816" spans="7:7">
      <c r="G56816" s="812"/>
    </row>
    <row r="56817" spans="7:7">
      <c r="G56817" s="812"/>
    </row>
    <row r="56818" spans="7:7">
      <c r="G56818" s="812"/>
    </row>
    <row r="56819" spans="7:7">
      <c r="G56819" s="812"/>
    </row>
    <row r="56820" spans="7:7">
      <c r="G56820" s="812"/>
    </row>
    <row r="56821" spans="7:7">
      <c r="G56821" s="812"/>
    </row>
    <row r="56822" spans="7:7">
      <c r="G56822" s="812"/>
    </row>
    <row r="56823" spans="7:7">
      <c r="G56823" s="812"/>
    </row>
    <row r="56824" spans="7:7">
      <c r="G56824" s="812"/>
    </row>
    <row r="56825" spans="7:7">
      <c r="G56825" s="812"/>
    </row>
    <row r="56826" spans="7:7">
      <c r="G56826" s="812"/>
    </row>
    <row r="56827" spans="7:7">
      <c r="G56827" s="812"/>
    </row>
    <row r="56828" spans="7:7">
      <c r="G56828" s="812"/>
    </row>
    <row r="56829" spans="7:7">
      <c r="G56829" s="812"/>
    </row>
    <row r="56830" spans="7:7">
      <c r="G56830" s="812"/>
    </row>
    <row r="56831" spans="7:7">
      <c r="G56831" s="812"/>
    </row>
    <row r="56832" spans="7:7">
      <c r="G56832" s="812"/>
    </row>
    <row r="56833" spans="7:7">
      <c r="G56833" s="812"/>
    </row>
    <row r="56834" spans="7:7">
      <c r="G56834" s="812"/>
    </row>
    <row r="56835" spans="7:7">
      <c r="G56835" s="812"/>
    </row>
    <row r="56836" spans="7:7">
      <c r="G56836" s="812"/>
    </row>
    <row r="56837" spans="7:7">
      <c r="G56837" s="812"/>
    </row>
    <row r="56838" spans="7:7">
      <c r="G56838" s="812"/>
    </row>
    <row r="56839" spans="7:7">
      <c r="G56839" s="812"/>
    </row>
    <row r="56840" spans="7:7">
      <c r="G56840" s="812"/>
    </row>
    <row r="56841" spans="7:7">
      <c r="G56841" s="812"/>
    </row>
    <row r="56842" spans="7:7">
      <c r="G56842" s="812"/>
    </row>
    <row r="56843" spans="7:7">
      <c r="G56843" s="812"/>
    </row>
    <row r="56844" spans="7:7">
      <c r="G56844" s="812"/>
    </row>
    <row r="56845" spans="7:7">
      <c r="G56845" s="812"/>
    </row>
    <row r="56846" spans="7:7">
      <c r="G56846" s="812"/>
    </row>
    <row r="56847" spans="7:7">
      <c r="G56847" s="812"/>
    </row>
    <row r="56848" spans="7:7">
      <c r="G56848" s="812"/>
    </row>
    <row r="56849" spans="7:7">
      <c r="G56849" s="812"/>
    </row>
    <row r="56850" spans="7:7">
      <c r="G56850" s="812"/>
    </row>
    <row r="56851" spans="7:7">
      <c r="G56851" s="812"/>
    </row>
    <row r="56852" spans="7:7">
      <c r="G56852" s="812"/>
    </row>
    <row r="56853" spans="7:7">
      <c r="G56853" s="812"/>
    </row>
    <row r="56854" spans="7:7">
      <c r="G56854" s="812"/>
    </row>
    <row r="56855" spans="7:7">
      <c r="G56855" s="812"/>
    </row>
    <row r="56856" spans="7:7">
      <c r="G56856" s="812"/>
    </row>
    <row r="56857" spans="7:7">
      <c r="G56857" s="812"/>
    </row>
    <row r="56858" spans="7:7">
      <c r="G56858" s="812"/>
    </row>
    <row r="56859" spans="7:7">
      <c r="G56859" s="812"/>
    </row>
    <row r="56860" spans="7:7">
      <c r="G56860" s="812"/>
    </row>
    <row r="56861" spans="7:7">
      <c r="G56861" s="812"/>
    </row>
    <row r="56862" spans="7:7">
      <c r="G56862" s="812"/>
    </row>
    <row r="56863" spans="7:7">
      <c r="G56863" s="812"/>
    </row>
    <row r="56864" spans="7:7">
      <c r="G56864" s="812"/>
    </row>
    <row r="56865" spans="7:7">
      <c r="G56865" s="812"/>
    </row>
    <row r="56866" spans="7:7">
      <c r="G56866" s="812"/>
    </row>
    <row r="56867" spans="7:7">
      <c r="G56867" s="812"/>
    </row>
    <row r="56868" spans="7:7">
      <c r="G56868" s="812"/>
    </row>
    <row r="56869" spans="7:7">
      <c r="G56869" s="812"/>
    </row>
    <row r="56870" spans="7:7">
      <c r="G56870" s="812"/>
    </row>
    <row r="56871" spans="7:7">
      <c r="G56871" s="812"/>
    </row>
    <row r="56872" spans="7:7">
      <c r="G56872" s="812"/>
    </row>
    <row r="56873" spans="7:7">
      <c r="G56873" s="812"/>
    </row>
    <row r="56874" spans="7:7">
      <c r="G56874" s="812"/>
    </row>
    <row r="56875" spans="7:7">
      <c r="G56875" s="812"/>
    </row>
    <row r="56876" spans="7:7">
      <c r="G56876" s="812"/>
    </row>
    <row r="56877" spans="7:7">
      <c r="G56877" s="812"/>
    </row>
    <row r="56878" spans="7:7">
      <c r="G56878" s="812"/>
    </row>
    <row r="56879" spans="7:7">
      <c r="G56879" s="812"/>
    </row>
    <row r="56880" spans="7:7">
      <c r="G56880" s="812"/>
    </row>
    <row r="56881" spans="7:7">
      <c r="G56881" s="812"/>
    </row>
    <row r="56882" spans="7:7">
      <c r="G56882" s="812"/>
    </row>
    <row r="56883" spans="7:7">
      <c r="G56883" s="812"/>
    </row>
    <row r="56884" spans="7:7">
      <c r="G56884" s="812"/>
    </row>
    <row r="56885" spans="7:7">
      <c r="G56885" s="812"/>
    </row>
    <row r="56886" spans="7:7">
      <c r="G56886" s="812"/>
    </row>
    <row r="56887" spans="7:7">
      <c r="G56887" s="812"/>
    </row>
    <row r="56888" spans="7:7">
      <c r="G56888" s="812"/>
    </row>
    <row r="56889" spans="7:7">
      <c r="G56889" s="812"/>
    </row>
    <row r="56890" spans="7:7">
      <c r="G56890" s="812"/>
    </row>
    <row r="56891" spans="7:7">
      <c r="G56891" s="812"/>
    </row>
    <row r="56892" spans="7:7">
      <c r="G56892" s="812"/>
    </row>
    <row r="56893" spans="7:7">
      <c r="G56893" s="812"/>
    </row>
    <row r="56894" spans="7:7">
      <c r="G56894" s="812"/>
    </row>
    <row r="56895" spans="7:7">
      <c r="G56895" s="812"/>
    </row>
    <row r="56896" spans="7:7">
      <c r="G56896" s="812"/>
    </row>
    <row r="56897" spans="7:7">
      <c r="G56897" s="812"/>
    </row>
    <row r="56898" spans="7:7">
      <c r="G56898" s="812"/>
    </row>
    <row r="56899" spans="7:7">
      <c r="G56899" s="812"/>
    </row>
    <row r="56900" spans="7:7">
      <c r="G56900" s="812"/>
    </row>
    <row r="56901" spans="7:7">
      <c r="G56901" s="812"/>
    </row>
    <row r="56902" spans="7:7">
      <c r="G56902" s="812"/>
    </row>
    <row r="56903" spans="7:7">
      <c r="G56903" s="812"/>
    </row>
    <row r="56904" spans="7:7">
      <c r="G56904" s="812"/>
    </row>
    <row r="56905" spans="7:7">
      <c r="G56905" s="812"/>
    </row>
    <row r="56906" spans="7:7">
      <c r="G56906" s="812"/>
    </row>
    <row r="56907" spans="7:7">
      <c r="G56907" s="812"/>
    </row>
    <row r="56908" spans="7:7">
      <c r="G56908" s="812"/>
    </row>
    <row r="56909" spans="7:7">
      <c r="G56909" s="812"/>
    </row>
    <row r="56910" spans="7:7">
      <c r="G56910" s="812"/>
    </row>
    <row r="56911" spans="7:7">
      <c r="G56911" s="812"/>
    </row>
    <row r="56912" spans="7:7">
      <c r="G56912" s="812"/>
    </row>
    <row r="56913" spans="7:7">
      <c r="G56913" s="812"/>
    </row>
    <row r="56914" spans="7:7">
      <c r="G56914" s="812"/>
    </row>
    <row r="56915" spans="7:7">
      <c r="G56915" s="812"/>
    </row>
    <row r="56916" spans="7:7">
      <c r="G56916" s="812"/>
    </row>
    <row r="56917" spans="7:7">
      <c r="G56917" s="812"/>
    </row>
    <row r="56918" spans="7:7">
      <c r="G56918" s="812"/>
    </row>
    <row r="56919" spans="7:7">
      <c r="G56919" s="812"/>
    </row>
    <row r="56920" spans="7:7">
      <c r="G56920" s="812"/>
    </row>
    <row r="56921" spans="7:7">
      <c r="G56921" s="812"/>
    </row>
    <row r="56922" spans="7:7">
      <c r="G56922" s="812"/>
    </row>
    <row r="56923" spans="7:7">
      <c r="G56923" s="812"/>
    </row>
    <row r="56924" spans="7:7">
      <c r="G56924" s="812"/>
    </row>
    <row r="56925" spans="7:7">
      <c r="G56925" s="812"/>
    </row>
    <row r="56926" spans="7:7">
      <c r="G56926" s="812"/>
    </row>
    <row r="56927" spans="7:7">
      <c r="G56927" s="812"/>
    </row>
    <row r="56928" spans="7:7">
      <c r="G56928" s="812"/>
    </row>
    <row r="56929" spans="7:7">
      <c r="G56929" s="812"/>
    </row>
    <row r="56930" spans="7:7">
      <c r="G56930" s="812"/>
    </row>
    <row r="56931" spans="7:7">
      <c r="G56931" s="812"/>
    </row>
    <row r="56932" spans="7:7">
      <c r="G56932" s="812"/>
    </row>
    <row r="56933" spans="7:7">
      <c r="G56933" s="812"/>
    </row>
    <row r="56934" spans="7:7">
      <c r="G56934" s="812"/>
    </row>
    <row r="56935" spans="7:7">
      <c r="G56935" s="812"/>
    </row>
    <row r="56936" spans="7:7">
      <c r="G56936" s="812"/>
    </row>
    <row r="56937" spans="7:7">
      <c r="G56937" s="812"/>
    </row>
    <row r="56938" spans="7:7">
      <c r="G56938" s="812"/>
    </row>
    <row r="56939" spans="7:7">
      <c r="G56939" s="812"/>
    </row>
    <row r="56940" spans="7:7">
      <c r="G56940" s="812"/>
    </row>
    <row r="56941" spans="7:7">
      <c r="G56941" s="812"/>
    </row>
    <row r="56942" spans="7:7">
      <c r="G56942" s="812"/>
    </row>
    <row r="56943" spans="7:7">
      <c r="G56943" s="812"/>
    </row>
    <row r="56944" spans="7:7">
      <c r="G56944" s="812"/>
    </row>
    <row r="56945" spans="7:7">
      <c r="G56945" s="812"/>
    </row>
    <row r="56946" spans="7:7">
      <c r="G56946" s="812"/>
    </row>
    <row r="56947" spans="7:7">
      <c r="G56947" s="812"/>
    </row>
    <row r="56948" spans="7:7">
      <c r="G56948" s="812"/>
    </row>
    <row r="56949" spans="7:7">
      <c r="G56949" s="812"/>
    </row>
    <row r="56950" spans="7:7">
      <c r="G56950" s="812"/>
    </row>
    <row r="56951" spans="7:7">
      <c r="G56951" s="812"/>
    </row>
    <row r="56952" spans="7:7">
      <c r="G56952" s="812"/>
    </row>
    <row r="56953" spans="7:7">
      <c r="G56953" s="812"/>
    </row>
    <row r="56954" spans="7:7">
      <c r="G56954" s="812"/>
    </row>
    <row r="56955" spans="7:7">
      <c r="G56955" s="812"/>
    </row>
    <row r="56956" spans="7:7">
      <c r="G56956" s="812"/>
    </row>
    <row r="56957" spans="7:7">
      <c r="G56957" s="812"/>
    </row>
    <row r="56958" spans="7:7">
      <c r="G56958" s="812"/>
    </row>
    <row r="56959" spans="7:7">
      <c r="G56959" s="812"/>
    </row>
    <row r="56960" spans="7:7">
      <c r="G56960" s="812"/>
    </row>
    <row r="56961" spans="7:7">
      <c r="G56961" s="812"/>
    </row>
    <row r="56962" spans="7:7">
      <c r="G56962" s="812"/>
    </row>
    <row r="56963" spans="7:7">
      <c r="G56963" s="812"/>
    </row>
    <row r="56964" spans="7:7">
      <c r="G56964" s="812"/>
    </row>
    <row r="56965" spans="7:7">
      <c r="G56965" s="812"/>
    </row>
    <row r="56966" spans="7:7">
      <c r="G56966" s="812"/>
    </row>
    <row r="56967" spans="7:7">
      <c r="G56967" s="812"/>
    </row>
    <row r="56968" spans="7:7">
      <c r="G56968" s="812"/>
    </row>
    <row r="56969" spans="7:7">
      <c r="G56969" s="812"/>
    </row>
    <row r="56970" spans="7:7">
      <c r="G56970" s="812"/>
    </row>
    <row r="56971" spans="7:7">
      <c r="G56971" s="812"/>
    </row>
    <row r="56972" spans="7:7">
      <c r="G56972" s="812"/>
    </row>
    <row r="56973" spans="7:7">
      <c r="G56973" s="812"/>
    </row>
    <row r="56974" spans="7:7">
      <c r="G56974" s="812"/>
    </row>
    <row r="56975" spans="7:7">
      <c r="G56975" s="812"/>
    </row>
    <row r="56976" spans="7:7">
      <c r="G56976" s="812"/>
    </row>
    <row r="56977" spans="7:7">
      <c r="G56977" s="812"/>
    </row>
    <row r="56978" spans="7:7">
      <c r="G56978" s="812"/>
    </row>
    <row r="56979" spans="7:7">
      <c r="G56979" s="812"/>
    </row>
    <row r="56980" spans="7:7">
      <c r="G56980" s="812"/>
    </row>
    <row r="56981" spans="7:7">
      <c r="G56981" s="812"/>
    </row>
    <row r="56982" spans="7:7">
      <c r="G56982" s="812"/>
    </row>
    <row r="56983" spans="7:7">
      <c r="G56983" s="812"/>
    </row>
    <row r="56984" spans="7:7">
      <c r="G56984" s="812"/>
    </row>
    <row r="56985" spans="7:7">
      <c r="G56985" s="812"/>
    </row>
    <row r="56986" spans="7:7">
      <c r="G56986" s="812"/>
    </row>
    <row r="56987" spans="7:7">
      <c r="G56987" s="812"/>
    </row>
    <row r="56988" spans="7:7">
      <c r="G56988" s="812"/>
    </row>
    <row r="56989" spans="7:7">
      <c r="G56989" s="812"/>
    </row>
    <row r="56990" spans="7:7">
      <c r="G56990" s="812"/>
    </row>
    <row r="56991" spans="7:7">
      <c r="G56991" s="812"/>
    </row>
    <row r="56992" spans="7:7">
      <c r="G56992" s="812"/>
    </row>
    <row r="56993" spans="7:7">
      <c r="G56993" s="812"/>
    </row>
    <row r="56994" spans="7:7">
      <c r="G56994" s="812"/>
    </row>
    <row r="56995" spans="7:7">
      <c r="G56995" s="812"/>
    </row>
    <row r="56996" spans="7:7">
      <c r="G56996" s="812"/>
    </row>
    <row r="56997" spans="7:7">
      <c r="G56997" s="812"/>
    </row>
    <row r="56998" spans="7:7">
      <c r="G56998" s="812"/>
    </row>
    <row r="56999" spans="7:7">
      <c r="G56999" s="812"/>
    </row>
    <row r="57000" spans="7:7">
      <c r="G57000" s="812"/>
    </row>
    <row r="57001" spans="7:7">
      <c r="G57001" s="812"/>
    </row>
    <row r="57002" spans="7:7">
      <c r="G57002" s="812"/>
    </row>
    <row r="57003" spans="7:7">
      <c r="G57003" s="812"/>
    </row>
    <row r="57004" spans="7:7">
      <c r="G57004" s="812"/>
    </row>
    <row r="57005" spans="7:7">
      <c r="G57005" s="812"/>
    </row>
    <row r="57006" spans="7:7">
      <c r="G57006" s="812"/>
    </row>
    <row r="57007" spans="7:7">
      <c r="G57007" s="812"/>
    </row>
    <row r="57008" spans="7:7">
      <c r="G57008" s="812"/>
    </row>
    <row r="57009" spans="7:7">
      <c r="G57009" s="812"/>
    </row>
    <row r="57010" spans="7:7">
      <c r="G57010" s="812"/>
    </row>
    <row r="57011" spans="7:7">
      <c r="G57011" s="812"/>
    </row>
    <row r="57012" spans="7:7">
      <c r="G57012" s="812"/>
    </row>
    <row r="57013" spans="7:7">
      <c r="G57013" s="812"/>
    </row>
    <row r="57014" spans="7:7">
      <c r="G57014" s="812"/>
    </row>
    <row r="57015" spans="7:7">
      <c r="G57015" s="812"/>
    </row>
    <row r="57016" spans="7:7">
      <c r="G57016" s="812"/>
    </row>
    <row r="57017" spans="7:7">
      <c r="G57017" s="812"/>
    </row>
    <row r="57018" spans="7:7">
      <c r="G57018" s="812"/>
    </row>
    <row r="57019" spans="7:7">
      <c r="G57019" s="812"/>
    </row>
    <row r="57020" spans="7:7">
      <c r="G57020" s="812"/>
    </row>
    <row r="57021" spans="7:7">
      <c r="G57021" s="812"/>
    </row>
    <row r="57022" spans="7:7">
      <c r="G57022" s="812"/>
    </row>
    <row r="57023" spans="7:7">
      <c r="G57023" s="812"/>
    </row>
    <row r="57024" spans="7:7">
      <c r="G57024" s="812"/>
    </row>
    <row r="57025" spans="7:7">
      <c r="G57025" s="812"/>
    </row>
    <row r="57026" spans="7:7">
      <c r="G57026" s="812"/>
    </row>
    <row r="57027" spans="7:7">
      <c r="G57027" s="812"/>
    </row>
    <row r="57028" spans="7:7">
      <c r="G57028" s="812"/>
    </row>
    <row r="57029" spans="7:7">
      <c r="G57029" s="812"/>
    </row>
    <row r="57030" spans="7:7">
      <c r="G57030" s="812"/>
    </row>
    <row r="57031" spans="7:7">
      <c r="G57031" s="812"/>
    </row>
    <row r="57032" spans="7:7">
      <c r="G57032" s="812"/>
    </row>
    <row r="57033" spans="7:7">
      <c r="G57033" s="812"/>
    </row>
    <row r="57034" spans="7:7">
      <c r="G57034" s="812"/>
    </row>
    <row r="57035" spans="7:7">
      <c r="G57035" s="812"/>
    </row>
    <row r="57036" spans="7:7">
      <c r="G57036" s="812"/>
    </row>
    <row r="57037" spans="7:7">
      <c r="G57037" s="812"/>
    </row>
    <row r="57038" spans="7:7">
      <c r="G57038" s="812"/>
    </row>
    <row r="57039" spans="7:7">
      <c r="G57039" s="812"/>
    </row>
    <row r="57040" spans="7:7">
      <c r="G57040" s="812"/>
    </row>
    <row r="57041" spans="7:7">
      <c r="G57041" s="812"/>
    </row>
    <row r="57042" spans="7:7">
      <c r="G57042" s="812"/>
    </row>
    <row r="57043" spans="7:7">
      <c r="G57043" s="812"/>
    </row>
    <row r="57044" spans="7:7">
      <c r="G57044" s="812"/>
    </row>
    <row r="57045" spans="7:7">
      <c r="G57045" s="812"/>
    </row>
    <row r="57046" spans="7:7">
      <c r="G57046" s="812"/>
    </row>
    <row r="57047" spans="7:7">
      <c r="G57047" s="812"/>
    </row>
    <row r="57048" spans="7:7">
      <c r="G57048" s="812"/>
    </row>
    <row r="57049" spans="7:7">
      <c r="G57049" s="812"/>
    </row>
    <row r="57050" spans="7:7">
      <c r="G57050" s="812"/>
    </row>
    <row r="57051" spans="7:7">
      <c r="G57051" s="812"/>
    </row>
    <row r="57052" spans="7:7">
      <c r="G57052" s="812"/>
    </row>
    <row r="57053" spans="7:7">
      <c r="G57053" s="812"/>
    </row>
    <row r="57054" spans="7:7">
      <c r="G57054" s="812"/>
    </row>
    <row r="57055" spans="7:7">
      <c r="G57055" s="812"/>
    </row>
    <row r="57056" spans="7:7">
      <c r="G57056" s="812"/>
    </row>
    <row r="57057" spans="7:7">
      <c r="G57057" s="812"/>
    </row>
    <row r="57058" spans="7:7">
      <c r="G57058" s="812"/>
    </row>
    <row r="57059" spans="7:7">
      <c r="G57059" s="812"/>
    </row>
    <row r="57060" spans="7:7">
      <c r="G57060" s="812"/>
    </row>
    <row r="57061" spans="7:7">
      <c r="G57061" s="812"/>
    </row>
    <row r="57062" spans="7:7">
      <c r="G57062" s="812"/>
    </row>
    <row r="57063" spans="7:7">
      <c r="G57063" s="812"/>
    </row>
    <row r="57064" spans="7:7">
      <c r="G57064" s="812"/>
    </row>
    <row r="57065" spans="7:7">
      <c r="G57065" s="812"/>
    </row>
    <row r="57066" spans="7:7">
      <c r="G57066" s="812"/>
    </row>
    <row r="57067" spans="7:7">
      <c r="G57067" s="812"/>
    </row>
    <row r="57068" spans="7:7">
      <c r="G57068" s="812"/>
    </row>
    <row r="57069" spans="7:7">
      <c r="G57069" s="812"/>
    </row>
    <row r="57070" spans="7:7">
      <c r="G57070" s="812"/>
    </row>
    <row r="57071" spans="7:7">
      <c r="G57071" s="812"/>
    </row>
    <row r="57072" spans="7:7">
      <c r="G57072" s="812"/>
    </row>
    <row r="57073" spans="7:7">
      <c r="G57073" s="812"/>
    </row>
    <row r="57074" spans="7:7">
      <c r="G57074" s="812"/>
    </row>
    <row r="57075" spans="7:7">
      <c r="G57075" s="812"/>
    </row>
    <row r="57076" spans="7:7">
      <c r="G57076" s="812"/>
    </row>
    <row r="57077" spans="7:7">
      <c r="G57077" s="812"/>
    </row>
    <row r="57078" spans="7:7">
      <c r="G57078" s="812"/>
    </row>
    <row r="57079" spans="7:7">
      <c r="G57079" s="812"/>
    </row>
    <row r="57080" spans="7:7">
      <c r="G57080" s="812"/>
    </row>
    <row r="57081" spans="7:7">
      <c r="G57081" s="812"/>
    </row>
    <row r="57082" spans="7:7">
      <c r="G57082" s="812"/>
    </row>
    <row r="57083" spans="7:7">
      <c r="G57083" s="812"/>
    </row>
    <row r="57084" spans="7:7">
      <c r="G57084" s="812"/>
    </row>
    <row r="57085" spans="7:7">
      <c r="G57085" s="812"/>
    </row>
    <row r="57086" spans="7:7">
      <c r="G57086" s="812"/>
    </row>
    <row r="57087" spans="7:7">
      <c r="G57087" s="812"/>
    </row>
    <row r="57088" spans="7:7">
      <c r="G57088" s="812"/>
    </row>
    <row r="57089" spans="7:7">
      <c r="G57089" s="812"/>
    </row>
    <row r="57090" spans="7:7">
      <c r="G57090" s="812"/>
    </row>
    <row r="57091" spans="7:7">
      <c r="G57091" s="812"/>
    </row>
    <row r="57092" spans="7:7">
      <c r="G57092" s="812"/>
    </row>
    <row r="57093" spans="7:7">
      <c r="G57093" s="812"/>
    </row>
    <row r="57094" spans="7:7">
      <c r="G57094" s="812"/>
    </row>
    <row r="57095" spans="7:7">
      <c r="G57095" s="812"/>
    </row>
    <row r="57096" spans="7:7">
      <c r="G57096" s="812"/>
    </row>
    <row r="57097" spans="7:7">
      <c r="G57097" s="812"/>
    </row>
    <row r="57098" spans="7:7">
      <c r="G57098" s="812"/>
    </row>
    <row r="57099" spans="7:7">
      <c r="G57099" s="812"/>
    </row>
    <row r="57100" spans="7:7">
      <c r="G57100" s="812"/>
    </row>
    <row r="57101" spans="7:7">
      <c r="G57101" s="812"/>
    </row>
    <row r="57102" spans="7:7">
      <c r="G57102" s="812"/>
    </row>
    <row r="57103" spans="7:7">
      <c r="G57103" s="812"/>
    </row>
    <row r="57104" spans="7:7">
      <c r="G57104" s="812"/>
    </row>
    <row r="57105" spans="7:7">
      <c r="G57105" s="812"/>
    </row>
    <row r="57106" spans="7:7">
      <c r="G57106" s="812"/>
    </row>
    <row r="57107" spans="7:7">
      <c r="G57107" s="812"/>
    </row>
    <row r="57108" spans="7:7">
      <c r="G57108" s="812"/>
    </row>
    <row r="57109" spans="7:7">
      <c r="G57109" s="812"/>
    </row>
    <row r="57110" spans="7:7">
      <c r="G57110" s="812"/>
    </row>
    <row r="57111" spans="7:7">
      <c r="G57111" s="812"/>
    </row>
    <row r="57112" spans="7:7">
      <c r="G57112" s="812"/>
    </row>
    <row r="57113" spans="7:7">
      <c r="G57113" s="812"/>
    </row>
    <row r="57114" spans="7:7">
      <c r="G57114" s="812"/>
    </row>
    <row r="57115" spans="7:7">
      <c r="G57115" s="812"/>
    </row>
    <row r="57116" spans="7:7">
      <c r="G57116" s="812"/>
    </row>
    <row r="57117" spans="7:7">
      <c r="G57117" s="812"/>
    </row>
    <row r="57118" spans="7:7">
      <c r="G57118" s="812"/>
    </row>
    <row r="57119" spans="7:7">
      <c r="G57119" s="812"/>
    </row>
    <row r="57120" spans="7:7">
      <c r="G57120" s="812"/>
    </row>
    <row r="57121" spans="7:7">
      <c r="G57121" s="812"/>
    </row>
    <row r="57122" spans="7:7">
      <c r="G57122" s="812"/>
    </row>
    <row r="57123" spans="7:7">
      <c r="G57123" s="812"/>
    </row>
    <row r="57124" spans="7:7">
      <c r="G57124" s="812"/>
    </row>
    <row r="57125" spans="7:7">
      <c r="G57125" s="812"/>
    </row>
    <row r="57126" spans="7:7">
      <c r="G57126" s="812"/>
    </row>
    <row r="57127" spans="7:7">
      <c r="G57127" s="812"/>
    </row>
    <row r="57128" spans="7:7">
      <c r="G57128" s="812"/>
    </row>
    <row r="57129" spans="7:7">
      <c r="G57129" s="812"/>
    </row>
    <row r="57130" spans="7:7">
      <c r="G57130" s="812"/>
    </row>
    <row r="57131" spans="7:7">
      <c r="G57131" s="812"/>
    </row>
    <row r="57132" spans="7:7">
      <c r="G57132" s="812"/>
    </row>
    <row r="57133" spans="7:7">
      <c r="G57133" s="812"/>
    </row>
    <row r="57134" spans="7:7">
      <c r="G57134" s="812"/>
    </row>
    <row r="57135" spans="7:7">
      <c r="G57135" s="812"/>
    </row>
    <row r="57136" spans="7:7">
      <c r="G57136" s="812"/>
    </row>
    <row r="57137" spans="7:7">
      <c r="G57137" s="812"/>
    </row>
    <row r="57138" spans="7:7">
      <c r="G57138" s="812"/>
    </row>
    <row r="57139" spans="7:7">
      <c r="G57139" s="812"/>
    </row>
    <row r="57140" spans="7:7">
      <c r="G57140" s="812"/>
    </row>
    <row r="57141" spans="7:7">
      <c r="G57141" s="812"/>
    </row>
    <row r="57142" spans="7:7">
      <c r="G57142" s="812"/>
    </row>
    <row r="57143" spans="7:7">
      <c r="G57143" s="812"/>
    </row>
    <row r="57144" spans="7:7">
      <c r="G57144" s="812"/>
    </row>
    <row r="57145" spans="7:7">
      <c r="G57145" s="812"/>
    </row>
    <row r="57146" spans="7:7">
      <c r="G57146" s="812"/>
    </row>
    <row r="57147" spans="7:7">
      <c r="G57147" s="812"/>
    </row>
    <row r="57148" spans="7:7">
      <c r="G57148" s="812"/>
    </row>
    <row r="57149" spans="7:7">
      <c r="G57149" s="812"/>
    </row>
    <row r="57150" spans="7:7">
      <c r="G57150" s="812"/>
    </row>
    <row r="57151" spans="7:7">
      <c r="G57151" s="812"/>
    </row>
    <row r="57152" spans="7:7">
      <c r="G57152" s="812"/>
    </row>
    <row r="57153" spans="7:7">
      <c r="G57153" s="812"/>
    </row>
    <row r="57154" spans="7:7">
      <c r="G57154" s="812"/>
    </row>
    <row r="57155" spans="7:7">
      <c r="G57155" s="812"/>
    </row>
    <row r="57156" spans="7:7">
      <c r="G57156" s="812"/>
    </row>
    <row r="57157" spans="7:7">
      <c r="G57157" s="812"/>
    </row>
    <row r="57158" spans="7:7">
      <c r="G57158" s="812"/>
    </row>
    <row r="57159" spans="7:7">
      <c r="G57159" s="812"/>
    </row>
    <row r="57160" spans="7:7">
      <c r="G57160" s="812"/>
    </row>
    <row r="57161" spans="7:7">
      <c r="G57161" s="812"/>
    </row>
    <row r="57162" spans="7:7">
      <c r="G57162" s="812"/>
    </row>
    <row r="57163" spans="7:7">
      <c r="G57163" s="812"/>
    </row>
    <row r="57164" spans="7:7">
      <c r="G57164" s="812"/>
    </row>
    <row r="57165" spans="7:7">
      <c r="G57165" s="812"/>
    </row>
    <row r="57166" spans="7:7">
      <c r="G57166" s="812"/>
    </row>
    <row r="57167" spans="7:7">
      <c r="G57167" s="812"/>
    </row>
    <row r="57168" spans="7:7">
      <c r="G57168" s="812"/>
    </row>
    <row r="57169" spans="7:7">
      <c r="G57169" s="812"/>
    </row>
    <row r="57170" spans="7:7">
      <c r="G57170" s="812"/>
    </row>
    <row r="57171" spans="7:7">
      <c r="G57171" s="812"/>
    </row>
    <row r="57172" spans="7:7">
      <c r="G57172" s="812"/>
    </row>
    <row r="57173" spans="7:7">
      <c r="G57173" s="812"/>
    </row>
    <row r="57174" spans="7:7">
      <c r="G57174" s="812"/>
    </row>
    <row r="57175" spans="7:7">
      <c r="G57175" s="812"/>
    </row>
    <row r="57176" spans="7:7">
      <c r="G57176" s="812"/>
    </row>
    <row r="57177" spans="7:7">
      <c r="G57177" s="812"/>
    </row>
    <row r="57178" spans="7:7">
      <c r="G57178" s="812"/>
    </row>
    <row r="57179" spans="7:7">
      <c r="G57179" s="812"/>
    </row>
    <row r="57180" spans="7:7">
      <c r="G57180" s="812"/>
    </row>
    <row r="57181" spans="7:7">
      <c r="G57181" s="812"/>
    </row>
    <row r="57182" spans="7:7">
      <c r="G57182" s="812"/>
    </row>
    <row r="57183" spans="7:7">
      <c r="G57183" s="812"/>
    </row>
    <row r="57184" spans="7:7">
      <c r="G57184" s="812"/>
    </row>
    <row r="57185" spans="7:7">
      <c r="G57185" s="812"/>
    </row>
    <row r="57186" spans="7:7">
      <c r="G57186" s="812"/>
    </row>
    <row r="57187" spans="7:7">
      <c r="G57187" s="812"/>
    </row>
    <row r="57188" spans="7:7">
      <c r="G57188" s="812"/>
    </row>
    <row r="57189" spans="7:7">
      <c r="G57189" s="812"/>
    </row>
    <row r="57190" spans="7:7">
      <c r="G57190" s="812"/>
    </row>
    <row r="57191" spans="7:7">
      <c r="G57191" s="812"/>
    </row>
    <row r="57192" spans="7:7">
      <c r="G57192" s="812"/>
    </row>
    <row r="57193" spans="7:7">
      <c r="G57193" s="812"/>
    </row>
    <row r="57194" spans="7:7">
      <c r="G57194" s="812"/>
    </row>
    <row r="57195" spans="7:7">
      <c r="G57195" s="812"/>
    </row>
    <row r="57196" spans="7:7">
      <c r="G57196" s="812"/>
    </row>
    <row r="57197" spans="7:7">
      <c r="G57197" s="812"/>
    </row>
    <row r="57198" spans="7:7">
      <c r="G57198" s="812"/>
    </row>
    <row r="57199" spans="7:7">
      <c r="G57199" s="812"/>
    </row>
    <row r="57200" spans="7:7">
      <c r="G57200" s="812"/>
    </row>
    <row r="57201" spans="7:7">
      <c r="G57201" s="812"/>
    </row>
    <row r="57202" spans="7:7">
      <c r="G57202" s="812"/>
    </row>
    <row r="57203" spans="7:7">
      <c r="G57203" s="812"/>
    </row>
    <row r="57204" spans="7:7">
      <c r="G57204" s="812"/>
    </row>
    <row r="57205" spans="7:7">
      <c r="G57205" s="812"/>
    </row>
    <row r="57206" spans="7:7">
      <c r="G57206" s="812"/>
    </row>
    <row r="57207" spans="7:7">
      <c r="G57207" s="812"/>
    </row>
    <row r="57208" spans="7:7">
      <c r="G57208" s="812"/>
    </row>
    <row r="57209" spans="7:7">
      <c r="G57209" s="812"/>
    </row>
    <row r="57210" spans="7:7">
      <c r="G57210" s="812"/>
    </row>
    <row r="57211" spans="7:7">
      <c r="G57211" s="812"/>
    </row>
    <row r="57212" spans="7:7">
      <c r="G57212" s="812"/>
    </row>
    <row r="57213" spans="7:7">
      <c r="G57213" s="812"/>
    </row>
    <row r="57214" spans="7:7">
      <c r="G57214" s="812"/>
    </row>
    <row r="57215" spans="7:7">
      <c r="G57215" s="812"/>
    </row>
    <row r="57216" spans="7:7">
      <c r="G57216" s="812"/>
    </row>
    <row r="57217" spans="7:7">
      <c r="G57217" s="812"/>
    </row>
    <row r="57218" spans="7:7">
      <c r="G57218" s="812"/>
    </row>
    <row r="57219" spans="7:7">
      <c r="G57219" s="812"/>
    </row>
    <row r="57220" spans="7:7">
      <c r="G57220" s="812"/>
    </row>
    <row r="57221" spans="7:7">
      <c r="G57221" s="812"/>
    </row>
    <row r="57222" spans="7:7">
      <c r="G57222" s="812"/>
    </row>
    <row r="57223" spans="7:7">
      <c r="G57223" s="812"/>
    </row>
    <row r="57224" spans="7:7">
      <c r="G57224" s="812"/>
    </row>
    <row r="57225" spans="7:7">
      <c r="G57225" s="812"/>
    </row>
    <row r="57226" spans="7:7">
      <c r="G57226" s="812"/>
    </row>
    <row r="57227" spans="7:7">
      <c r="G57227" s="812"/>
    </row>
    <row r="57228" spans="7:7">
      <c r="G57228" s="812"/>
    </row>
    <row r="57229" spans="7:7">
      <c r="G57229" s="812"/>
    </row>
    <row r="57230" spans="7:7">
      <c r="G57230" s="812"/>
    </row>
    <row r="57231" spans="7:7">
      <c r="G57231" s="812"/>
    </row>
    <row r="57232" spans="7:7">
      <c r="G57232" s="812"/>
    </row>
    <row r="57233" spans="7:7">
      <c r="G57233" s="812"/>
    </row>
    <row r="57234" spans="7:7">
      <c r="G57234" s="812"/>
    </row>
    <row r="57235" spans="7:7">
      <c r="G57235" s="812"/>
    </row>
    <row r="57236" spans="7:7">
      <c r="G57236" s="812"/>
    </row>
    <row r="57237" spans="7:7">
      <c r="G57237" s="812"/>
    </row>
    <row r="57238" spans="7:7">
      <c r="G57238" s="812"/>
    </row>
    <row r="57239" spans="7:7">
      <c r="G57239" s="812"/>
    </row>
    <row r="57240" spans="7:7">
      <c r="G57240" s="812"/>
    </row>
    <row r="57241" spans="7:7">
      <c r="G57241" s="812"/>
    </row>
    <row r="57242" spans="7:7">
      <c r="G57242" s="812"/>
    </row>
    <row r="57243" spans="7:7">
      <c r="G57243" s="812"/>
    </row>
    <row r="57244" spans="7:7">
      <c r="G57244" s="812"/>
    </row>
    <row r="57245" spans="7:7">
      <c r="G57245" s="812"/>
    </row>
    <row r="57246" spans="7:7">
      <c r="G57246" s="812"/>
    </row>
    <row r="57247" spans="7:7">
      <c r="G57247" s="812"/>
    </row>
    <row r="57248" spans="7:7">
      <c r="G57248" s="812"/>
    </row>
    <row r="57249" spans="7:7">
      <c r="G57249" s="812"/>
    </row>
    <row r="57250" spans="7:7">
      <c r="G57250" s="812"/>
    </row>
    <row r="57251" spans="7:7">
      <c r="G57251" s="812"/>
    </row>
    <row r="57252" spans="7:7">
      <c r="G57252" s="812"/>
    </row>
    <row r="57253" spans="7:7">
      <c r="G57253" s="812"/>
    </row>
    <row r="57254" spans="7:7">
      <c r="G57254" s="812"/>
    </row>
    <row r="57255" spans="7:7">
      <c r="G57255" s="812"/>
    </row>
    <row r="57256" spans="7:7">
      <c r="G57256" s="812"/>
    </row>
    <row r="57257" spans="7:7">
      <c r="G57257" s="812"/>
    </row>
    <row r="57258" spans="7:7">
      <c r="G57258" s="812"/>
    </row>
    <row r="57259" spans="7:7">
      <c r="G57259" s="812"/>
    </row>
    <row r="57260" spans="7:7">
      <c r="G57260" s="812"/>
    </row>
    <row r="57261" spans="7:7">
      <c r="G57261" s="812"/>
    </row>
    <row r="57262" spans="7:7">
      <c r="G57262" s="812"/>
    </row>
    <row r="57263" spans="7:7">
      <c r="G57263" s="812"/>
    </row>
    <row r="57264" spans="7:7">
      <c r="G57264" s="812"/>
    </row>
    <row r="57265" spans="7:7">
      <c r="G57265" s="812"/>
    </row>
    <row r="57266" spans="7:7">
      <c r="G57266" s="812"/>
    </row>
    <row r="57267" spans="7:7">
      <c r="G57267" s="812"/>
    </row>
    <row r="57268" spans="7:7">
      <c r="G57268" s="812"/>
    </row>
    <row r="57269" spans="7:7">
      <c r="G57269" s="812"/>
    </row>
    <row r="57270" spans="7:7">
      <c r="G57270" s="812"/>
    </row>
    <row r="57271" spans="7:7">
      <c r="G57271" s="812"/>
    </row>
    <row r="57272" spans="7:7">
      <c r="G57272" s="812"/>
    </row>
    <row r="57273" spans="7:7">
      <c r="G57273" s="812"/>
    </row>
    <row r="57274" spans="7:7">
      <c r="G57274" s="812"/>
    </row>
    <row r="57275" spans="7:7">
      <c r="G57275" s="812"/>
    </row>
    <row r="57276" spans="7:7">
      <c r="G57276" s="812"/>
    </row>
    <row r="57277" spans="7:7">
      <c r="G57277" s="812"/>
    </row>
    <row r="57278" spans="7:7">
      <c r="G57278" s="812"/>
    </row>
    <row r="57279" spans="7:7">
      <c r="G57279" s="812"/>
    </row>
    <row r="57280" spans="7:7">
      <c r="G57280" s="812"/>
    </row>
    <row r="57281" spans="7:7">
      <c r="G57281" s="812"/>
    </row>
    <row r="57282" spans="7:7">
      <c r="G57282" s="812"/>
    </row>
    <row r="57283" spans="7:7">
      <c r="G57283" s="812"/>
    </row>
    <row r="57284" spans="7:7">
      <c r="G57284" s="812"/>
    </row>
    <row r="57285" spans="7:7">
      <c r="G57285" s="812"/>
    </row>
    <row r="57286" spans="7:7">
      <c r="G57286" s="812"/>
    </row>
    <row r="57287" spans="7:7">
      <c r="G57287" s="812"/>
    </row>
    <row r="57288" spans="7:7">
      <c r="G57288" s="812"/>
    </row>
    <row r="57289" spans="7:7">
      <c r="G57289" s="812"/>
    </row>
    <row r="57290" spans="7:7">
      <c r="G57290" s="812"/>
    </row>
    <row r="57291" spans="7:7">
      <c r="G57291" s="812"/>
    </row>
    <row r="57292" spans="7:7">
      <c r="G57292" s="812"/>
    </row>
    <row r="57293" spans="7:7">
      <c r="G57293" s="812"/>
    </row>
    <row r="57294" spans="7:7">
      <c r="G57294" s="812"/>
    </row>
    <row r="57295" spans="7:7">
      <c r="G57295" s="812"/>
    </row>
    <row r="57296" spans="7:7">
      <c r="G57296" s="812"/>
    </row>
    <row r="57297" spans="7:7">
      <c r="G57297" s="812"/>
    </row>
    <row r="57298" spans="7:7">
      <c r="G57298" s="812"/>
    </row>
    <row r="57299" spans="7:7">
      <c r="G57299" s="812"/>
    </row>
    <row r="57300" spans="7:7">
      <c r="G57300" s="812"/>
    </row>
    <row r="57301" spans="7:7">
      <c r="G57301" s="812"/>
    </row>
    <row r="57302" spans="7:7">
      <c r="G57302" s="812"/>
    </row>
    <row r="57303" spans="7:7">
      <c r="G57303" s="812"/>
    </row>
    <row r="57304" spans="7:7">
      <c r="G57304" s="812"/>
    </row>
    <row r="57305" spans="7:7">
      <c r="G57305" s="812"/>
    </row>
    <row r="57306" spans="7:7">
      <c r="G57306" s="812"/>
    </row>
    <row r="57307" spans="7:7">
      <c r="G57307" s="812"/>
    </row>
    <row r="57308" spans="7:7">
      <c r="G57308" s="812"/>
    </row>
    <row r="57309" spans="7:7">
      <c r="G57309" s="812"/>
    </row>
    <row r="57310" spans="7:7">
      <c r="G57310" s="812"/>
    </row>
    <row r="57311" spans="7:7">
      <c r="G57311" s="812"/>
    </row>
    <row r="57312" spans="7:7">
      <c r="G57312" s="812"/>
    </row>
    <row r="57313" spans="7:7">
      <c r="G57313" s="812"/>
    </row>
    <row r="57314" spans="7:7">
      <c r="G57314" s="812"/>
    </row>
    <row r="57315" spans="7:7">
      <c r="G57315" s="812"/>
    </row>
    <row r="57316" spans="7:7">
      <c r="G57316" s="812"/>
    </row>
    <row r="57317" spans="7:7">
      <c r="G57317" s="812"/>
    </row>
    <row r="57318" spans="7:7">
      <c r="G57318" s="812"/>
    </row>
    <row r="57319" spans="7:7">
      <c r="G57319" s="812"/>
    </row>
    <row r="57320" spans="7:7">
      <c r="G57320" s="812"/>
    </row>
    <row r="57321" spans="7:7">
      <c r="G57321" s="812"/>
    </row>
    <row r="57322" spans="7:7">
      <c r="G57322" s="812"/>
    </row>
    <row r="57323" spans="7:7">
      <c r="G57323" s="812"/>
    </row>
    <row r="57324" spans="7:7">
      <c r="G57324" s="812"/>
    </row>
    <row r="57325" spans="7:7">
      <c r="G57325" s="812"/>
    </row>
    <row r="57326" spans="7:7">
      <c r="G57326" s="812"/>
    </row>
    <row r="57327" spans="7:7">
      <c r="G57327" s="812"/>
    </row>
    <row r="57328" spans="7:7">
      <c r="G57328" s="812"/>
    </row>
    <row r="57329" spans="7:7">
      <c r="G57329" s="812"/>
    </row>
    <row r="57330" spans="7:7">
      <c r="G57330" s="812"/>
    </row>
    <row r="57331" spans="7:7">
      <c r="G57331" s="812"/>
    </row>
    <row r="57332" spans="7:7">
      <c r="G57332" s="812"/>
    </row>
    <row r="57333" spans="7:7">
      <c r="G57333" s="812"/>
    </row>
    <row r="57334" spans="7:7">
      <c r="G57334" s="812"/>
    </row>
    <row r="57335" spans="7:7">
      <c r="G57335" s="812"/>
    </row>
    <row r="57336" spans="7:7">
      <c r="G57336" s="812"/>
    </row>
    <row r="57337" spans="7:7">
      <c r="G57337" s="812"/>
    </row>
    <row r="57338" spans="7:7">
      <c r="G57338" s="812"/>
    </row>
    <row r="57339" spans="7:7">
      <c r="G57339" s="812"/>
    </row>
    <row r="57340" spans="7:7">
      <c r="G57340" s="812"/>
    </row>
    <row r="57341" spans="7:7">
      <c r="G57341" s="812"/>
    </row>
    <row r="57342" spans="7:7">
      <c r="G57342" s="812"/>
    </row>
    <row r="57343" spans="7:7">
      <c r="G57343" s="812"/>
    </row>
    <row r="57344" spans="7:7">
      <c r="G57344" s="812"/>
    </row>
    <row r="57345" spans="7:7">
      <c r="G57345" s="812"/>
    </row>
    <row r="57346" spans="7:7">
      <c r="G57346" s="812"/>
    </row>
    <row r="57347" spans="7:7">
      <c r="G57347" s="812"/>
    </row>
    <row r="57348" spans="7:7">
      <c r="G57348" s="812"/>
    </row>
    <row r="57349" spans="7:7">
      <c r="G57349" s="812"/>
    </row>
    <row r="57350" spans="7:7">
      <c r="G57350" s="812"/>
    </row>
    <row r="57351" spans="7:7">
      <c r="G57351" s="812"/>
    </row>
    <row r="57352" spans="7:7">
      <c r="G57352" s="812"/>
    </row>
    <row r="57353" spans="7:7">
      <c r="G57353" s="812"/>
    </row>
    <row r="57354" spans="7:7">
      <c r="G57354" s="812"/>
    </row>
    <row r="57355" spans="7:7">
      <c r="G57355" s="812"/>
    </row>
    <row r="57356" spans="7:7">
      <c r="G57356" s="812"/>
    </row>
    <row r="57357" spans="7:7">
      <c r="G57357" s="812"/>
    </row>
    <row r="57358" spans="7:7">
      <c r="G57358" s="812"/>
    </row>
    <row r="57359" spans="7:7">
      <c r="G57359" s="812"/>
    </row>
    <row r="57360" spans="7:7">
      <c r="G57360" s="812"/>
    </row>
    <row r="57361" spans="7:7">
      <c r="G57361" s="812"/>
    </row>
    <row r="57362" spans="7:7">
      <c r="G57362" s="812"/>
    </row>
    <row r="57363" spans="7:7">
      <c r="G57363" s="812"/>
    </row>
    <row r="57364" spans="7:7">
      <c r="G57364" s="812"/>
    </row>
    <row r="57365" spans="7:7">
      <c r="G57365" s="812"/>
    </row>
    <row r="57366" spans="7:7">
      <c r="G57366" s="812"/>
    </row>
    <row r="57367" spans="7:7">
      <c r="G57367" s="812"/>
    </row>
    <row r="57368" spans="7:7">
      <c r="G57368" s="812"/>
    </row>
    <row r="57369" spans="7:7">
      <c r="G57369" s="812"/>
    </row>
    <row r="57370" spans="7:7">
      <c r="G57370" s="812"/>
    </row>
    <row r="57371" spans="7:7">
      <c r="G57371" s="812"/>
    </row>
    <row r="57372" spans="7:7">
      <c r="G57372" s="812"/>
    </row>
    <row r="57373" spans="7:7">
      <c r="G57373" s="812"/>
    </row>
    <row r="57374" spans="7:7">
      <c r="G57374" s="812"/>
    </row>
    <row r="57375" spans="7:7">
      <c r="G57375" s="812"/>
    </row>
    <row r="57376" spans="7:7">
      <c r="G57376" s="812"/>
    </row>
    <row r="57377" spans="7:7">
      <c r="G57377" s="812"/>
    </row>
    <row r="57378" spans="7:7">
      <c r="G57378" s="812"/>
    </row>
    <row r="57379" spans="7:7">
      <c r="G57379" s="812"/>
    </row>
    <row r="57380" spans="7:7">
      <c r="G57380" s="812"/>
    </row>
    <row r="57381" spans="7:7">
      <c r="G57381" s="812"/>
    </row>
    <row r="57382" spans="7:7">
      <c r="G57382" s="812"/>
    </row>
    <row r="57383" spans="7:7">
      <c r="G57383" s="812"/>
    </row>
    <row r="57384" spans="7:7">
      <c r="G57384" s="812"/>
    </row>
    <row r="57385" spans="7:7">
      <c r="G57385" s="812"/>
    </row>
    <row r="57386" spans="7:7">
      <c r="G57386" s="812"/>
    </row>
    <row r="57387" spans="7:7">
      <c r="G57387" s="812"/>
    </row>
    <row r="57388" spans="7:7">
      <c r="G57388" s="812"/>
    </row>
    <row r="57389" spans="7:7">
      <c r="G57389" s="812"/>
    </row>
    <row r="57390" spans="7:7">
      <c r="G57390" s="812"/>
    </row>
    <row r="57391" spans="7:7">
      <c r="G57391" s="812"/>
    </row>
    <row r="57392" spans="7:7">
      <c r="G57392" s="812"/>
    </row>
    <row r="57393" spans="7:7">
      <c r="G57393" s="812"/>
    </row>
    <row r="57394" spans="7:7">
      <c r="G57394" s="812"/>
    </row>
    <row r="57395" spans="7:7">
      <c r="G57395" s="812"/>
    </row>
    <row r="57396" spans="7:7">
      <c r="G57396" s="812"/>
    </row>
    <row r="57397" spans="7:7">
      <c r="G57397" s="812"/>
    </row>
    <row r="57398" spans="7:7">
      <c r="G57398" s="812"/>
    </row>
    <row r="57399" spans="7:7">
      <c r="G57399" s="812"/>
    </row>
    <row r="57400" spans="7:7">
      <c r="G57400" s="812"/>
    </row>
    <row r="57401" spans="7:7">
      <c r="G57401" s="812"/>
    </row>
    <row r="57402" spans="7:7">
      <c r="G57402" s="812"/>
    </row>
    <row r="57403" spans="7:7">
      <c r="G57403" s="812"/>
    </row>
    <row r="57404" spans="7:7">
      <c r="G57404" s="812"/>
    </row>
    <row r="57405" spans="7:7">
      <c r="G57405" s="812"/>
    </row>
    <row r="57406" spans="7:7">
      <c r="G57406" s="812"/>
    </row>
    <row r="57407" spans="7:7">
      <c r="G57407" s="812"/>
    </row>
    <row r="57408" spans="7:7">
      <c r="G57408" s="812"/>
    </row>
    <row r="57409" spans="7:7">
      <c r="G57409" s="812"/>
    </row>
    <row r="57410" spans="7:7">
      <c r="G57410" s="812"/>
    </row>
    <row r="57411" spans="7:7">
      <c r="G57411" s="812"/>
    </row>
    <row r="57412" spans="7:7">
      <c r="G57412" s="812"/>
    </row>
    <row r="57413" spans="7:7">
      <c r="G57413" s="812"/>
    </row>
    <row r="57414" spans="7:7">
      <c r="G57414" s="812"/>
    </row>
    <row r="57415" spans="7:7">
      <c r="G57415" s="812"/>
    </row>
    <row r="57416" spans="7:7">
      <c r="G57416" s="812"/>
    </row>
    <row r="57417" spans="7:7">
      <c r="G57417" s="812"/>
    </row>
    <row r="57418" spans="7:7">
      <c r="G57418" s="812"/>
    </row>
    <row r="57419" spans="7:7">
      <c r="G57419" s="812"/>
    </row>
    <row r="57420" spans="7:7">
      <c r="G57420" s="812"/>
    </row>
    <row r="57421" spans="7:7">
      <c r="G57421" s="812"/>
    </row>
    <row r="57422" spans="7:7">
      <c r="G57422" s="812"/>
    </row>
    <row r="57423" spans="7:7">
      <c r="G57423" s="812"/>
    </row>
    <row r="57424" spans="7:7">
      <c r="G57424" s="812"/>
    </row>
    <row r="57425" spans="7:7">
      <c r="G57425" s="812"/>
    </row>
    <row r="57426" spans="7:7">
      <c r="G57426" s="812"/>
    </row>
    <row r="57427" spans="7:7">
      <c r="G57427" s="812"/>
    </row>
    <row r="57428" spans="7:7">
      <c r="G57428" s="812"/>
    </row>
    <row r="57429" spans="7:7">
      <c r="G57429" s="812"/>
    </row>
    <row r="57430" spans="7:7">
      <c r="G57430" s="812"/>
    </row>
    <row r="57431" spans="7:7">
      <c r="G57431" s="812"/>
    </row>
    <row r="57432" spans="7:7">
      <c r="G57432" s="812"/>
    </row>
    <row r="57433" spans="7:7">
      <c r="G57433" s="812"/>
    </row>
    <row r="57434" spans="7:7">
      <c r="G57434" s="812"/>
    </row>
    <row r="57435" spans="7:7">
      <c r="G57435" s="812"/>
    </row>
    <row r="57436" spans="7:7">
      <c r="G57436" s="812"/>
    </row>
    <row r="57437" spans="7:7">
      <c r="G57437" s="812"/>
    </row>
    <row r="57438" spans="7:7">
      <c r="G57438" s="812"/>
    </row>
    <row r="57439" spans="7:7">
      <c r="G57439" s="812"/>
    </row>
    <row r="57440" spans="7:7">
      <c r="G57440" s="812"/>
    </row>
    <row r="57441" spans="7:7">
      <c r="G57441" s="812"/>
    </row>
    <row r="57442" spans="7:7">
      <c r="G57442" s="812"/>
    </row>
    <row r="57443" spans="7:7">
      <c r="G57443" s="812"/>
    </row>
    <row r="57444" spans="7:7">
      <c r="G57444" s="812"/>
    </row>
    <row r="57445" spans="7:7">
      <c r="G57445" s="812"/>
    </row>
    <row r="57446" spans="7:7">
      <c r="G57446" s="812"/>
    </row>
    <row r="57447" spans="7:7">
      <c r="G57447" s="812"/>
    </row>
    <row r="57448" spans="7:7">
      <c r="G57448" s="812"/>
    </row>
    <row r="57449" spans="7:7">
      <c r="G57449" s="812"/>
    </row>
    <row r="57450" spans="7:7">
      <c r="G57450" s="812"/>
    </row>
    <row r="57451" spans="7:7">
      <c r="G57451" s="812"/>
    </row>
    <row r="57452" spans="7:7">
      <c r="G57452" s="812"/>
    </row>
    <row r="57453" spans="7:7">
      <c r="G57453" s="812"/>
    </row>
    <row r="57454" spans="7:7">
      <c r="G57454" s="812"/>
    </row>
    <row r="57455" spans="7:7">
      <c r="G57455" s="812"/>
    </row>
    <row r="57456" spans="7:7">
      <c r="G57456" s="812"/>
    </row>
    <row r="57457" spans="7:7">
      <c r="G57457" s="812"/>
    </row>
    <row r="57458" spans="7:7">
      <c r="G57458" s="812"/>
    </row>
    <row r="57459" spans="7:7">
      <c r="G57459" s="812"/>
    </row>
    <row r="57460" spans="7:7">
      <c r="G57460" s="812"/>
    </row>
    <row r="57461" spans="7:7">
      <c r="G57461" s="812"/>
    </row>
    <row r="57462" spans="7:7">
      <c r="G57462" s="812"/>
    </row>
    <row r="57463" spans="7:7">
      <c r="G57463" s="812"/>
    </row>
    <row r="57464" spans="7:7">
      <c r="G57464" s="812"/>
    </row>
    <row r="57465" spans="7:7">
      <c r="G57465" s="812"/>
    </row>
    <row r="57466" spans="7:7">
      <c r="G57466" s="812"/>
    </row>
    <row r="57467" spans="7:7">
      <c r="G57467" s="812"/>
    </row>
    <row r="57468" spans="7:7">
      <c r="G57468" s="812"/>
    </row>
    <row r="57469" spans="7:7">
      <c r="G57469" s="812"/>
    </row>
    <row r="57470" spans="7:7">
      <c r="G57470" s="812"/>
    </row>
    <row r="57471" spans="7:7">
      <c r="G57471" s="812"/>
    </row>
    <row r="57472" spans="7:7">
      <c r="G57472" s="812"/>
    </row>
    <row r="57473" spans="7:7">
      <c r="G57473" s="812"/>
    </row>
    <row r="57474" spans="7:7">
      <c r="G57474" s="812"/>
    </row>
    <row r="57475" spans="7:7">
      <c r="G57475" s="812"/>
    </row>
    <row r="57476" spans="7:7">
      <c r="G57476" s="812"/>
    </row>
    <row r="57477" spans="7:7">
      <c r="G57477" s="812"/>
    </row>
    <row r="57478" spans="7:7">
      <c r="G57478" s="812"/>
    </row>
    <row r="57479" spans="7:7">
      <c r="G57479" s="812"/>
    </row>
    <row r="57480" spans="7:7">
      <c r="G57480" s="812"/>
    </row>
    <row r="57481" spans="7:7">
      <c r="G57481" s="812"/>
    </row>
    <row r="57482" spans="7:7">
      <c r="G57482" s="812"/>
    </row>
    <row r="57483" spans="7:7">
      <c r="G57483" s="812"/>
    </row>
    <row r="57484" spans="7:7">
      <c r="G57484" s="812"/>
    </row>
    <row r="57485" spans="7:7">
      <c r="G57485" s="812"/>
    </row>
    <row r="57486" spans="7:7">
      <c r="G57486" s="812"/>
    </row>
    <row r="57487" spans="7:7">
      <c r="G57487" s="812"/>
    </row>
    <row r="57488" spans="7:7">
      <c r="G57488" s="812"/>
    </row>
    <row r="57489" spans="7:7">
      <c r="G57489" s="812"/>
    </row>
    <row r="57490" spans="7:7">
      <c r="G57490" s="812"/>
    </row>
    <row r="57491" spans="7:7">
      <c r="G57491" s="812"/>
    </row>
    <row r="57492" spans="7:7">
      <c r="G57492" s="812"/>
    </row>
    <row r="57493" spans="7:7">
      <c r="G57493" s="812"/>
    </row>
    <row r="57494" spans="7:7">
      <c r="G57494" s="812"/>
    </row>
    <row r="57495" spans="7:7">
      <c r="G57495" s="812"/>
    </row>
    <row r="57496" spans="7:7">
      <c r="G57496" s="812"/>
    </row>
    <row r="57497" spans="7:7">
      <c r="G57497" s="812"/>
    </row>
    <row r="57498" spans="7:7">
      <c r="G57498" s="812"/>
    </row>
    <row r="57499" spans="7:7">
      <c r="G57499" s="812"/>
    </row>
    <row r="57500" spans="7:7">
      <c r="G57500" s="812"/>
    </row>
    <row r="57501" spans="7:7">
      <c r="G57501" s="812"/>
    </row>
    <row r="57502" spans="7:7">
      <c r="G57502" s="812"/>
    </row>
    <row r="57503" spans="7:7">
      <c r="G57503" s="812"/>
    </row>
    <row r="57504" spans="7:7">
      <c r="G57504" s="812"/>
    </row>
    <row r="57505" spans="7:7">
      <c r="G57505" s="812"/>
    </row>
    <row r="57506" spans="7:7">
      <c r="G57506" s="812"/>
    </row>
    <row r="57507" spans="7:7">
      <c r="G57507" s="812"/>
    </row>
    <row r="57508" spans="7:7">
      <c r="G57508" s="812"/>
    </row>
    <row r="57509" spans="7:7">
      <c r="G57509" s="812"/>
    </row>
    <row r="57510" spans="7:7">
      <c r="G57510" s="812"/>
    </row>
    <row r="57511" spans="7:7">
      <c r="G57511" s="812"/>
    </row>
    <row r="57512" spans="7:7">
      <c r="G57512" s="812"/>
    </row>
    <row r="57513" spans="7:7">
      <c r="G57513" s="812"/>
    </row>
    <row r="57514" spans="7:7">
      <c r="G57514" s="812"/>
    </row>
    <row r="57515" spans="7:7">
      <c r="G57515" s="812"/>
    </row>
    <row r="57516" spans="7:7">
      <c r="G57516" s="812"/>
    </row>
    <row r="57517" spans="7:7">
      <c r="G57517" s="812"/>
    </row>
    <row r="57518" spans="7:7">
      <c r="G57518" s="812"/>
    </row>
    <row r="57519" spans="7:7">
      <c r="G57519" s="812"/>
    </row>
    <row r="57520" spans="7:7">
      <c r="G57520" s="812"/>
    </row>
    <row r="57521" spans="7:7">
      <c r="G57521" s="812"/>
    </row>
    <row r="57522" spans="7:7">
      <c r="G57522" s="812"/>
    </row>
    <row r="57523" spans="7:7">
      <c r="G57523" s="812"/>
    </row>
    <row r="57524" spans="7:7">
      <c r="G57524" s="812"/>
    </row>
    <row r="57525" spans="7:7">
      <c r="G57525" s="812"/>
    </row>
    <row r="57526" spans="7:7">
      <c r="G57526" s="812"/>
    </row>
    <row r="57527" spans="7:7">
      <c r="G57527" s="812"/>
    </row>
    <row r="57528" spans="7:7">
      <c r="G57528" s="812"/>
    </row>
    <row r="57529" spans="7:7">
      <c r="G57529" s="812"/>
    </row>
    <row r="57530" spans="7:7">
      <c r="G57530" s="812"/>
    </row>
    <row r="57531" spans="7:7">
      <c r="G57531" s="812"/>
    </row>
    <row r="57532" spans="7:7">
      <c r="G57532" s="812"/>
    </row>
    <row r="57533" spans="7:7">
      <c r="G57533" s="812"/>
    </row>
    <row r="57534" spans="7:7">
      <c r="G57534" s="812"/>
    </row>
    <row r="57535" spans="7:7">
      <c r="G57535" s="812"/>
    </row>
    <row r="57536" spans="7:7">
      <c r="G57536" s="812"/>
    </row>
    <row r="57537" spans="7:7">
      <c r="G57537" s="812"/>
    </row>
    <row r="57538" spans="7:7">
      <c r="G57538" s="812"/>
    </row>
    <row r="57539" spans="7:7">
      <c r="G57539" s="812"/>
    </row>
    <row r="57540" spans="7:7">
      <c r="G57540" s="812"/>
    </row>
    <row r="57541" spans="7:7">
      <c r="G57541" s="812"/>
    </row>
    <row r="57542" spans="7:7">
      <c r="G57542" s="812"/>
    </row>
    <row r="57543" spans="7:7">
      <c r="G57543" s="812"/>
    </row>
    <row r="57544" spans="7:7">
      <c r="G57544" s="812"/>
    </row>
    <row r="57545" spans="7:7">
      <c r="G57545" s="812"/>
    </row>
    <row r="57546" spans="7:7">
      <c r="G57546" s="812"/>
    </row>
    <row r="57547" spans="7:7">
      <c r="G57547" s="812"/>
    </row>
    <row r="57548" spans="7:7">
      <c r="G57548" s="812"/>
    </row>
    <row r="57549" spans="7:7">
      <c r="G57549" s="812"/>
    </row>
    <row r="57550" spans="7:7">
      <c r="G57550" s="812"/>
    </row>
    <row r="57551" spans="7:7">
      <c r="G57551" s="812"/>
    </row>
    <row r="57552" spans="7:7">
      <c r="G57552" s="812"/>
    </row>
    <row r="57553" spans="7:7">
      <c r="G57553" s="812"/>
    </row>
    <row r="57554" spans="7:7">
      <c r="G57554" s="812"/>
    </row>
    <row r="57555" spans="7:7">
      <c r="G57555" s="812"/>
    </row>
    <row r="57556" spans="7:7">
      <c r="G57556" s="812"/>
    </row>
    <row r="57557" spans="7:7">
      <c r="G57557" s="812"/>
    </row>
    <row r="57558" spans="7:7">
      <c r="G57558" s="812"/>
    </row>
    <row r="57559" spans="7:7">
      <c r="G57559" s="812"/>
    </row>
    <row r="57560" spans="7:7">
      <c r="G57560" s="812"/>
    </row>
    <row r="57561" spans="7:7">
      <c r="G57561" s="812"/>
    </row>
    <row r="57562" spans="7:7">
      <c r="G57562" s="812"/>
    </row>
    <row r="57563" spans="7:7">
      <c r="G57563" s="812"/>
    </row>
    <row r="57564" spans="7:7">
      <c r="G57564" s="812"/>
    </row>
    <row r="57565" spans="7:7">
      <c r="G57565" s="812"/>
    </row>
    <row r="57566" spans="7:7">
      <c r="G57566" s="812"/>
    </row>
    <row r="57567" spans="7:7">
      <c r="G57567" s="812"/>
    </row>
    <row r="57568" spans="7:7">
      <c r="G57568" s="812"/>
    </row>
    <row r="57569" spans="7:7">
      <c r="G57569" s="812"/>
    </row>
    <row r="57570" spans="7:7">
      <c r="G57570" s="812"/>
    </row>
    <row r="57571" spans="7:7">
      <c r="G57571" s="812"/>
    </row>
    <row r="57572" spans="7:7">
      <c r="G57572" s="812"/>
    </row>
    <row r="57573" spans="7:7">
      <c r="G57573" s="812"/>
    </row>
    <row r="57574" spans="7:7">
      <c r="G57574" s="812"/>
    </row>
    <row r="57575" spans="7:7">
      <c r="G57575" s="812"/>
    </row>
    <row r="57576" spans="7:7">
      <c r="G57576" s="812"/>
    </row>
    <row r="57577" spans="7:7">
      <c r="G57577" s="812"/>
    </row>
    <row r="57578" spans="7:7">
      <c r="G57578" s="812"/>
    </row>
    <row r="57579" spans="7:7">
      <c r="G57579" s="812"/>
    </row>
    <row r="57580" spans="7:7">
      <c r="G57580" s="812"/>
    </row>
    <row r="57581" spans="7:7">
      <c r="G57581" s="812"/>
    </row>
    <row r="57582" spans="7:7">
      <c r="G57582" s="812"/>
    </row>
    <row r="57583" spans="7:7">
      <c r="G57583" s="812"/>
    </row>
    <row r="57584" spans="7:7">
      <c r="G57584" s="812"/>
    </row>
    <row r="57585" spans="7:7">
      <c r="G57585" s="812"/>
    </row>
    <row r="57586" spans="7:7">
      <c r="G57586" s="812"/>
    </row>
    <row r="57587" spans="7:7">
      <c r="G57587" s="812"/>
    </row>
    <row r="57588" spans="7:7">
      <c r="G57588" s="812"/>
    </row>
    <row r="57589" spans="7:7">
      <c r="G57589" s="812"/>
    </row>
    <row r="57590" spans="7:7">
      <c r="G57590" s="812"/>
    </row>
    <row r="57591" spans="7:7">
      <c r="G57591" s="812"/>
    </row>
    <row r="57592" spans="7:7">
      <c r="G57592" s="812"/>
    </row>
    <row r="57593" spans="7:7">
      <c r="G57593" s="812"/>
    </row>
    <row r="57594" spans="7:7">
      <c r="G57594" s="812"/>
    </row>
    <row r="57595" spans="7:7">
      <c r="G57595" s="812"/>
    </row>
    <row r="57596" spans="7:7">
      <c r="G57596" s="812"/>
    </row>
    <row r="57597" spans="7:7">
      <c r="G57597" s="812"/>
    </row>
    <row r="57598" spans="7:7">
      <c r="G57598" s="812"/>
    </row>
    <row r="57599" spans="7:7">
      <c r="G57599" s="812"/>
    </row>
    <row r="57600" spans="7:7">
      <c r="G57600" s="812"/>
    </row>
    <row r="57601" spans="7:7">
      <c r="G57601" s="812"/>
    </row>
    <row r="57602" spans="7:7">
      <c r="G57602" s="812"/>
    </row>
    <row r="57603" spans="7:7">
      <c r="G57603" s="812"/>
    </row>
    <row r="57604" spans="7:7">
      <c r="G57604" s="812"/>
    </row>
    <row r="57605" spans="7:7">
      <c r="G57605" s="812"/>
    </row>
    <row r="57606" spans="7:7">
      <c r="G57606" s="812"/>
    </row>
    <row r="57607" spans="7:7">
      <c r="G57607" s="812"/>
    </row>
    <row r="57608" spans="7:7">
      <c r="G57608" s="812"/>
    </row>
    <row r="57609" spans="7:7">
      <c r="G57609" s="812"/>
    </row>
    <row r="57610" spans="7:7">
      <c r="G57610" s="812"/>
    </row>
    <row r="57611" spans="7:7">
      <c r="G57611" s="812"/>
    </row>
    <row r="57612" spans="7:7">
      <c r="G57612" s="812"/>
    </row>
    <row r="57613" spans="7:7">
      <c r="G57613" s="812"/>
    </row>
    <row r="57614" spans="7:7">
      <c r="G57614" s="812"/>
    </row>
    <row r="57615" spans="7:7">
      <c r="G57615" s="812"/>
    </row>
    <row r="57616" spans="7:7">
      <c r="G57616" s="812"/>
    </row>
    <row r="57617" spans="7:7">
      <c r="G57617" s="812"/>
    </row>
    <row r="57618" spans="7:7">
      <c r="G57618" s="812"/>
    </row>
    <row r="57619" spans="7:7">
      <c r="G57619" s="812"/>
    </row>
    <row r="57620" spans="7:7">
      <c r="G57620" s="812"/>
    </row>
    <row r="57621" spans="7:7">
      <c r="G57621" s="812"/>
    </row>
    <row r="57622" spans="7:7">
      <c r="G57622" s="812"/>
    </row>
    <row r="57623" spans="7:7">
      <c r="G57623" s="812"/>
    </row>
    <row r="57624" spans="7:7">
      <c r="G57624" s="812"/>
    </row>
    <row r="57625" spans="7:7">
      <c r="G57625" s="812"/>
    </row>
    <row r="57626" spans="7:7">
      <c r="G57626" s="812"/>
    </row>
    <row r="57627" spans="7:7">
      <c r="G57627" s="812"/>
    </row>
    <row r="57628" spans="7:7">
      <c r="G57628" s="812"/>
    </row>
    <row r="57629" spans="7:7">
      <c r="G57629" s="812"/>
    </row>
    <row r="57630" spans="7:7">
      <c r="G57630" s="812"/>
    </row>
    <row r="57631" spans="7:7">
      <c r="G57631" s="812"/>
    </row>
    <row r="57632" spans="7:7">
      <c r="G57632" s="812"/>
    </row>
    <row r="57633" spans="7:7">
      <c r="G57633" s="812"/>
    </row>
    <row r="57634" spans="7:7">
      <c r="G57634" s="812"/>
    </row>
    <row r="57635" spans="7:7">
      <c r="G57635" s="812"/>
    </row>
    <row r="57636" spans="7:7">
      <c r="G57636" s="812"/>
    </row>
    <row r="57637" spans="7:7">
      <c r="G57637" s="812"/>
    </row>
    <row r="57638" spans="7:7">
      <c r="G57638" s="812"/>
    </row>
    <row r="57639" spans="7:7">
      <c r="G57639" s="812"/>
    </row>
    <row r="57640" spans="7:7">
      <c r="G57640" s="812"/>
    </row>
    <row r="57641" spans="7:7">
      <c r="G57641" s="812"/>
    </row>
    <row r="57642" spans="7:7">
      <c r="G57642" s="812"/>
    </row>
    <row r="57643" spans="7:7">
      <c r="G57643" s="812"/>
    </row>
    <row r="57644" spans="7:7">
      <c r="G57644" s="812"/>
    </row>
    <row r="57645" spans="7:7">
      <c r="G57645" s="812"/>
    </row>
    <row r="57646" spans="7:7">
      <c r="G57646" s="812"/>
    </row>
    <row r="57647" spans="7:7">
      <c r="G57647" s="812"/>
    </row>
    <row r="57648" spans="7:7">
      <c r="G57648" s="812"/>
    </row>
    <row r="57649" spans="7:7">
      <c r="G57649" s="812"/>
    </row>
    <row r="57650" spans="7:7">
      <c r="G57650" s="812"/>
    </row>
    <row r="57651" spans="7:7">
      <c r="G57651" s="812"/>
    </row>
    <row r="57652" spans="7:7">
      <c r="G57652" s="812"/>
    </row>
    <row r="57653" spans="7:7">
      <c r="G57653" s="812"/>
    </row>
    <row r="57654" spans="7:7">
      <c r="G57654" s="812"/>
    </row>
    <row r="57655" spans="7:7">
      <c r="G57655" s="812"/>
    </row>
    <row r="57656" spans="7:7">
      <c r="G57656" s="812"/>
    </row>
    <row r="57657" spans="7:7">
      <c r="G57657" s="812"/>
    </row>
    <row r="57658" spans="7:7">
      <c r="G57658" s="812"/>
    </row>
    <row r="57659" spans="7:7">
      <c r="G57659" s="812"/>
    </row>
    <row r="57660" spans="7:7">
      <c r="G57660" s="812"/>
    </row>
    <row r="57661" spans="7:7">
      <c r="G57661" s="812"/>
    </row>
    <row r="57662" spans="7:7">
      <c r="G57662" s="812"/>
    </row>
    <row r="57663" spans="7:7">
      <c r="G57663" s="812"/>
    </row>
    <row r="57664" spans="7:7">
      <c r="G57664" s="812"/>
    </row>
    <row r="57665" spans="7:7">
      <c r="G57665" s="812"/>
    </row>
    <row r="57666" spans="7:7">
      <c r="G57666" s="812"/>
    </row>
    <row r="57667" spans="7:7">
      <c r="G57667" s="812"/>
    </row>
    <row r="57668" spans="7:7">
      <c r="G57668" s="812"/>
    </row>
    <row r="57669" spans="7:7">
      <c r="G57669" s="812"/>
    </row>
    <row r="57670" spans="7:7">
      <c r="G57670" s="812"/>
    </row>
    <row r="57671" spans="7:7">
      <c r="G57671" s="812"/>
    </row>
    <row r="57672" spans="7:7">
      <c r="G57672" s="812"/>
    </row>
    <row r="57673" spans="7:7">
      <c r="G57673" s="812"/>
    </row>
    <row r="57674" spans="7:7">
      <c r="G57674" s="812"/>
    </row>
    <row r="57675" spans="7:7">
      <c r="G57675" s="812"/>
    </row>
    <row r="57676" spans="7:7">
      <c r="G57676" s="812"/>
    </row>
    <row r="57677" spans="7:7">
      <c r="G57677" s="812"/>
    </row>
    <row r="57678" spans="7:7">
      <c r="G57678" s="812"/>
    </row>
    <row r="57679" spans="7:7">
      <c r="G57679" s="812"/>
    </row>
    <row r="57680" spans="7:7">
      <c r="G57680" s="812"/>
    </row>
    <row r="57681" spans="7:7">
      <c r="G57681" s="812"/>
    </row>
    <row r="57682" spans="7:7">
      <c r="G57682" s="812"/>
    </row>
    <row r="57683" spans="7:7">
      <c r="G57683" s="812"/>
    </row>
    <row r="57684" spans="7:7">
      <c r="G57684" s="812"/>
    </row>
    <row r="57685" spans="7:7">
      <c r="G57685" s="812"/>
    </row>
    <row r="57686" spans="7:7">
      <c r="G57686" s="812"/>
    </row>
    <row r="57687" spans="7:7">
      <c r="G57687" s="812"/>
    </row>
    <row r="57688" spans="7:7">
      <c r="G57688" s="812"/>
    </row>
    <row r="57689" spans="7:7">
      <c r="G57689" s="812"/>
    </row>
    <row r="57690" spans="7:7">
      <c r="G57690" s="812"/>
    </row>
    <row r="57691" spans="7:7">
      <c r="G57691" s="812"/>
    </row>
    <row r="57692" spans="7:7">
      <c r="G57692" s="812"/>
    </row>
    <row r="57693" spans="7:7">
      <c r="G57693" s="812"/>
    </row>
    <row r="57694" spans="7:7">
      <c r="G57694" s="812"/>
    </row>
    <row r="57695" spans="7:7">
      <c r="G57695" s="812"/>
    </row>
    <row r="57696" spans="7:7">
      <c r="G57696" s="812"/>
    </row>
    <row r="57697" spans="7:7">
      <c r="G57697" s="812"/>
    </row>
    <row r="57698" spans="7:7">
      <c r="G57698" s="812"/>
    </row>
    <row r="57699" spans="7:7">
      <c r="G57699" s="812"/>
    </row>
    <row r="57700" spans="7:7">
      <c r="G57700" s="812"/>
    </row>
    <row r="57701" spans="7:7">
      <c r="G57701" s="812"/>
    </row>
    <row r="57702" spans="7:7">
      <c r="G57702" s="812"/>
    </row>
    <row r="57703" spans="7:7">
      <c r="G57703" s="812"/>
    </row>
    <row r="57704" spans="7:7">
      <c r="G57704" s="812"/>
    </row>
    <row r="57705" spans="7:7">
      <c r="G57705" s="812"/>
    </row>
    <row r="57706" spans="7:7">
      <c r="G57706" s="812"/>
    </row>
    <row r="57707" spans="7:7">
      <c r="G57707" s="812"/>
    </row>
    <row r="57708" spans="7:7">
      <c r="G57708" s="812"/>
    </row>
    <row r="57709" spans="7:7">
      <c r="G57709" s="812"/>
    </row>
    <row r="57710" spans="7:7">
      <c r="G57710" s="812"/>
    </row>
    <row r="57711" spans="7:7">
      <c r="G57711" s="812"/>
    </row>
    <row r="57712" spans="7:7">
      <c r="G57712" s="812"/>
    </row>
    <row r="57713" spans="7:7">
      <c r="G57713" s="812"/>
    </row>
    <row r="57714" spans="7:7">
      <c r="G57714" s="812"/>
    </row>
    <row r="57715" spans="7:7">
      <c r="G57715" s="812"/>
    </row>
    <row r="57716" spans="7:7">
      <c r="G57716" s="812"/>
    </row>
    <row r="57717" spans="7:7">
      <c r="G57717" s="812"/>
    </row>
    <row r="57718" spans="7:7">
      <c r="G57718" s="812"/>
    </row>
    <row r="57719" spans="7:7">
      <c r="G57719" s="812"/>
    </row>
    <row r="57720" spans="7:7">
      <c r="G57720" s="812"/>
    </row>
    <row r="57721" spans="7:7">
      <c r="G57721" s="812"/>
    </row>
    <row r="57722" spans="7:7">
      <c r="G57722" s="812"/>
    </row>
    <row r="57723" spans="7:7">
      <c r="G57723" s="812"/>
    </row>
    <row r="57724" spans="7:7">
      <c r="G57724" s="812"/>
    </row>
    <row r="57725" spans="7:7">
      <c r="G57725" s="812"/>
    </row>
    <row r="57726" spans="7:7">
      <c r="G57726" s="812"/>
    </row>
    <row r="57727" spans="7:7">
      <c r="G57727" s="812"/>
    </row>
    <row r="57728" spans="7:7">
      <c r="G57728" s="812"/>
    </row>
    <row r="57729" spans="7:7">
      <c r="G57729" s="812"/>
    </row>
    <row r="57730" spans="7:7">
      <c r="G57730" s="812"/>
    </row>
    <row r="57731" spans="7:7">
      <c r="G57731" s="812"/>
    </row>
    <row r="57732" spans="7:7">
      <c r="G57732" s="812"/>
    </row>
    <row r="57733" spans="7:7">
      <c r="G57733" s="812"/>
    </row>
    <row r="57734" spans="7:7">
      <c r="G57734" s="812"/>
    </row>
    <row r="57735" spans="7:7">
      <c r="G57735" s="812"/>
    </row>
    <row r="57736" spans="7:7">
      <c r="G57736" s="812"/>
    </row>
    <row r="57737" spans="7:7">
      <c r="G57737" s="812"/>
    </row>
    <row r="57738" spans="7:7">
      <c r="G57738" s="812"/>
    </row>
    <row r="57739" spans="7:7">
      <c r="G57739" s="812"/>
    </row>
    <row r="57740" spans="7:7">
      <c r="G57740" s="812"/>
    </row>
    <row r="57741" spans="7:7">
      <c r="G57741" s="812"/>
    </row>
    <row r="57742" spans="7:7">
      <c r="G57742" s="812"/>
    </row>
    <row r="57743" spans="7:7">
      <c r="G57743" s="812"/>
    </row>
    <row r="57744" spans="7:7">
      <c r="G57744" s="812"/>
    </row>
    <row r="57745" spans="7:7">
      <c r="G57745" s="812"/>
    </row>
    <row r="57746" spans="7:7">
      <c r="G57746" s="812"/>
    </row>
    <row r="57747" spans="7:7">
      <c r="G57747" s="812"/>
    </row>
    <row r="57748" spans="7:7">
      <c r="G57748" s="812"/>
    </row>
    <row r="57749" spans="7:7">
      <c r="G57749" s="812"/>
    </row>
    <row r="57750" spans="7:7">
      <c r="G57750" s="812"/>
    </row>
    <row r="57751" spans="7:7">
      <c r="G57751" s="812"/>
    </row>
    <row r="57752" spans="7:7">
      <c r="G57752" s="812"/>
    </row>
    <row r="57753" spans="7:7">
      <c r="G57753" s="812"/>
    </row>
    <row r="57754" spans="7:7">
      <c r="G57754" s="812"/>
    </row>
    <row r="57755" spans="7:7">
      <c r="G57755" s="812"/>
    </row>
    <row r="57756" spans="7:7">
      <c r="G57756" s="812"/>
    </row>
    <row r="57757" spans="7:7">
      <c r="G57757" s="812"/>
    </row>
    <row r="57758" spans="7:7">
      <c r="G57758" s="812"/>
    </row>
    <row r="57759" spans="7:7">
      <c r="G57759" s="812"/>
    </row>
    <row r="57760" spans="7:7">
      <c r="G57760" s="812"/>
    </row>
    <row r="57761" spans="7:7">
      <c r="G57761" s="812"/>
    </row>
    <row r="57762" spans="7:7">
      <c r="G57762" s="812"/>
    </row>
    <row r="57763" spans="7:7">
      <c r="G57763" s="812"/>
    </row>
    <row r="57764" spans="7:7">
      <c r="G57764" s="812"/>
    </row>
    <row r="57765" spans="7:7">
      <c r="G57765" s="812"/>
    </row>
    <row r="57766" spans="7:7">
      <c r="G57766" s="812"/>
    </row>
    <row r="57767" spans="7:7">
      <c r="G57767" s="812"/>
    </row>
    <row r="57768" spans="7:7">
      <c r="G57768" s="812"/>
    </row>
    <row r="57769" spans="7:7">
      <c r="G57769" s="812"/>
    </row>
    <row r="57770" spans="7:7">
      <c r="G57770" s="812"/>
    </row>
    <row r="57771" spans="7:7">
      <c r="G57771" s="812"/>
    </row>
    <row r="57772" spans="7:7">
      <c r="G57772" s="812"/>
    </row>
    <row r="57773" spans="7:7">
      <c r="G57773" s="812"/>
    </row>
    <row r="57774" spans="7:7">
      <c r="G57774" s="812"/>
    </row>
    <row r="57775" spans="7:7">
      <c r="G57775" s="812"/>
    </row>
    <row r="57776" spans="7:7">
      <c r="G57776" s="812"/>
    </row>
    <row r="57777" spans="7:7">
      <c r="G57777" s="812"/>
    </row>
    <row r="57778" spans="7:7">
      <c r="G57778" s="812"/>
    </row>
    <row r="57779" spans="7:7">
      <c r="G57779" s="812"/>
    </row>
    <row r="57780" spans="7:7">
      <c r="G57780" s="812"/>
    </row>
    <row r="57781" spans="7:7">
      <c r="G57781" s="812"/>
    </row>
    <row r="57782" spans="7:7">
      <c r="G57782" s="812"/>
    </row>
    <row r="57783" spans="7:7">
      <c r="G57783" s="812"/>
    </row>
    <row r="57784" spans="7:7">
      <c r="G57784" s="812"/>
    </row>
    <row r="57785" spans="7:7">
      <c r="G57785" s="812"/>
    </row>
    <row r="57786" spans="7:7">
      <c r="G57786" s="812"/>
    </row>
    <row r="57787" spans="7:7">
      <c r="G57787" s="812"/>
    </row>
    <row r="57788" spans="7:7">
      <c r="G57788" s="812"/>
    </row>
    <row r="57789" spans="7:7">
      <c r="G57789" s="812"/>
    </row>
    <row r="57790" spans="7:7">
      <c r="G57790" s="812"/>
    </row>
    <row r="57791" spans="7:7">
      <c r="G57791" s="812"/>
    </row>
    <row r="57792" spans="7:7">
      <c r="G57792" s="812"/>
    </row>
    <row r="57793" spans="7:7">
      <c r="G57793" s="812"/>
    </row>
    <row r="57794" spans="7:7">
      <c r="G57794" s="812"/>
    </row>
    <row r="57795" spans="7:7">
      <c r="G57795" s="812"/>
    </row>
    <row r="57796" spans="7:7">
      <c r="G57796" s="812"/>
    </row>
    <row r="57797" spans="7:7">
      <c r="G57797" s="812"/>
    </row>
    <row r="57798" spans="7:7">
      <c r="G57798" s="812"/>
    </row>
    <row r="57799" spans="7:7">
      <c r="G57799" s="812"/>
    </row>
    <row r="57800" spans="7:7">
      <c r="G57800" s="812"/>
    </row>
    <row r="57801" spans="7:7">
      <c r="G57801" s="812"/>
    </row>
    <row r="57802" spans="7:7">
      <c r="G57802" s="812"/>
    </row>
    <row r="57803" spans="7:7">
      <c r="G57803" s="812"/>
    </row>
    <row r="57804" spans="7:7">
      <c r="G57804" s="812"/>
    </row>
    <row r="57805" spans="7:7">
      <c r="G57805" s="812"/>
    </row>
    <row r="57806" spans="7:7">
      <c r="G57806" s="812"/>
    </row>
    <row r="57807" spans="7:7">
      <c r="G57807" s="812"/>
    </row>
    <row r="57808" spans="7:7">
      <c r="G57808" s="812"/>
    </row>
    <row r="57809" spans="7:7">
      <c r="G57809" s="812"/>
    </row>
    <row r="57810" spans="7:7">
      <c r="G57810" s="812"/>
    </row>
    <row r="57811" spans="7:7">
      <c r="G57811" s="812"/>
    </row>
    <row r="57812" spans="7:7">
      <c r="G57812" s="812"/>
    </row>
    <row r="57813" spans="7:7">
      <c r="G57813" s="812"/>
    </row>
    <row r="57814" spans="7:7">
      <c r="G57814" s="812"/>
    </row>
    <row r="57815" spans="7:7">
      <c r="G57815" s="812"/>
    </row>
    <row r="57816" spans="7:7">
      <c r="G57816" s="812"/>
    </row>
    <row r="57817" spans="7:7">
      <c r="G57817" s="812"/>
    </row>
    <row r="57818" spans="7:7">
      <c r="G57818" s="812"/>
    </row>
    <row r="57819" spans="7:7">
      <c r="G57819" s="812"/>
    </row>
    <row r="57820" spans="7:7">
      <c r="G57820" s="812"/>
    </row>
    <row r="57821" spans="7:7">
      <c r="G57821" s="812"/>
    </row>
    <row r="57822" spans="7:7">
      <c r="G57822" s="812"/>
    </row>
    <row r="57823" spans="7:7">
      <c r="G57823" s="812"/>
    </row>
    <row r="57824" spans="7:7">
      <c r="G57824" s="812"/>
    </row>
    <row r="57825" spans="7:7">
      <c r="G57825" s="812"/>
    </row>
    <row r="57826" spans="7:7">
      <c r="G57826" s="812"/>
    </row>
    <row r="57827" spans="7:7">
      <c r="G57827" s="812"/>
    </row>
    <row r="57828" spans="7:7">
      <c r="G57828" s="812"/>
    </row>
    <row r="57829" spans="7:7">
      <c r="G57829" s="812"/>
    </row>
    <row r="57830" spans="7:7">
      <c r="G57830" s="812"/>
    </row>
    <row r="57831" spans="7:7">
      <c r="G57831" s="812"/>
    </row>
    <row r="57832" spans="7:7">
      <c r="G57832" s="812"/>
    </row>
    <row r="57833" spans="7:7">
      <c r="G57833" s="812"/>
    </row>
    <row r="57834" spans="7:7">
      <c r="G57834" s="812"/>
    </row>
    <row r="57835" spans="7:7">
      <c r="G57835" s="812"/>
    </row>
    <row r="57836" spans="7:7">
      <c r="G57836" s="812"/>
    </row>
    <row r="57837" spans="7:7">
      <c r="G57837" s="812"/>
    </row>
    <row r="57838" spans="7:7">
      <c r="G57838" s="812"/>
    </row>
    <row r="57839" spans="7:7">
      <c r="G57839" s="812"/>
    </row>
    <row r="57840" spans="7:7">
      <c r="G57840" s="812"/>
    </row>
    <row r="57841" spans="7:7">
      <c r="G57841" s="812"/>
    </row>
    <row r="57842" spans="7:7">
      <c r="G57842" s="812"/>
    </row>
    <row r="57843" spans="7:7">
      <c r="G57843" s="812"/>
    </row>
    <row r="57844" spans="7:7">
      <c r="G57844" s="812"/>
    </row>
    <row r="57845" spans="7:7">
      <c r="G57845" s="812"/>
    </row>
    <row r="57846" spans="7:7">
      <c r="G57846" s="812"/>
    </row>
    <row r="57847" spans="7:7">
      <c r="G57847" s="812"/>
    </row>
    <row r="57848" spans="7:7">
      <c r="G57848" s="812"/>
    </row>
    <row r="57849" spans="7:7">
      <c r="G57849" s="812"/>
    </row>
    <row r="57850" spans="7:7">
      <c r="G57850" s="812"/>
    </row>
    <row r="57851" spans="7:7">
      <c r="G57851" s="812"/>
    </row>
    <row r="57852" spans="7:7">
      <c r="G57852" s="812"/>
    </row>
    <row r="57853" spans="7:7">
      <c r="G57853" s="812"/>
    </row>
    <row r="57854" spans="7:7">
      <c r="G57854" s="812"/>
    </row>
    <row r="57855" spans="7:7">
      <c r="G57855" s="812"/>
    </row>
    <row r="57856" spans="7:7">
      <c r="G57856" s="812"/>
    </row>
    <row r="57857" spans="7:7">
      <c r="G57857" s="812"/>
    </row>
    <row r="57858" spans="7:7">
      <c r="G57858" s="812"/>
    </row>
    <row r="57859" spans="7:7">
      <c r="G57859" s="812"/>
    </row>
    <row r="57860" spans="7:7">
      <c r="G57860" s="812"/>
    </row>
    <row r="57861" spans="7:7">
      <c r="G57861" s="812"/>
    </row>
    <row r="57862" spans="7:7">
      <c r="G57862" s="812"/>
    </row>
    <row r="57863" spans="7:7">
      <c r="G57863" s="812"/>
    </row>
    <row r="57864" spans="7:7">
      <c r="G57864" s="812"/>
    </row>
    <row r="57865" spans="7:7">
      <c r="G57865" s="812"/>
    </row>
    <row r="57866" spans="7:7">
      <c r="G57866" s="812"/>
    </row>
    <row r="57867" spans="7:7">
      <c r="G57867" s="812"/>
    </row>
    <row r="57868" spans="7:7">
      <c r="G57868" s="812"/>
    </row>
    <row r="57869" spans="7:7">
      <c r="G57869" s="812"/>
    </row>
    <row r="57870" spans="7:7">
      <c r="G57870" s="812"/>
    </row>
    <row r="57871" spans="7:7">
      <c r="G57871" s="812"/>
    </row>
    <row r="57872" spans="7:7">
      <c r="G57872" s="812"/>
    </row>
    <row r="57873" spans="7:7">
      <c r="G57873" s="812"/>
    </row>
    <row r="57874" spans="7:7">
      <c r="G57874" s="812"/>
    </row>
    <row r="57875" spans="7:7">
      <c r="G57875" s="812"/>
    </row>
    <row r="57876" spans="7:7">
      <c r="G57876" s="812"/>
    </row>
    <row r="57877" spans="7:7">
      <c r="G57877" s="812"/>
    </row>
    <row r="57878" spans="7:7">
      <c r="G57878" s="812"/>
    </row>
    <row r="57879" spans="7:7">
      <c r="G57879" s="812"/>
    </row>
    <row r="57880" spans="7:7">
      <c r="G57880" s="812"/>
    </row>
    <row r="57881" spans="7:7">
      <c r="G57881" s="812"/>
    </row>
    <row r="57882" spans="7:7">
      <c r="G57882" s="812"/>
    </row>
    <row r="57883" spans="7:7">
      <c r="G57883" s="812"/>
    </row>
    <row r="57884" spans="7:7">
      <c r="G57884" s="812"/>
    </row>
    <row r="57885" spans="7:7">
      <c r="G57885" s="812"/>
    </row>
    <row r="57886" spans="7:7">
      <c r="G57886" s="812"/>
    </row>
    <row r="57887" spans="7:7">
      <c r="G57887" s="812"/>
    </row>
    <row r="57888" spans="7:7">
      <c r="G57888" s="812"/>
    </row>
    <row r="57889" spans="7:7">
      <c r="G57889" s="812"/>
    </row>
    <row r="57890" spans="7:7">
      <c r="G57890" s="812"/>
    </row>
    <row r="57891" spans="7:7">
      <c r="G57891" s="812"/>
    </row>
    <row r="57892" spans="7:7">
      <c r="G57892" s="812"/>
    </row>
    <row r="57893" spans="7:7">
      <c r="G57893" s="812"/>
    </row>
    <row r="57894" spans="7:7">
      <c r="G57894" s="812"/>
    </row>
    <row r="57895" spans="7:7">
      <c r="G57895" s="812"/>
    </row>
    <row r="57896" spans="7:7">
      <c r="G57896" s="812"/>
    </row>
    <row r="57897" spans="7:7">
      <c r="G57897" s="812"/>
    </row>
    <row r="57898" spans="7:7">
      <c r="G57898" s="812"/>
    </row>
    <row r="57899" spans="7:7">
      <c r="G57899" s="812"/>
    </row>
    <row r="57900" spans="7:7">
      <c r="G57900" s="812"/>
    </row>
    <row r="57901" spans="7:7">
      <c r="G57901" s="812"/>
    </row>
    <row r="57902" spans="7:7">
      <c r="G57902" s="812"/>
    </row>
    <row r="57903" spans="7:7">
      <c r="G57903" s="812"/>
    </row>
    <row r="57904" spans="7:7">
      <c r="G57904" s="812"/>
    </row>
    <row r="57905" spans="7:7">
      <c r="G57905" s="812"/>
    </row>
    <row r="57906" spans="7:7">
      <c r="G57906" s="812"/>
    </row>
    <row r="57907" spans="7:7">
      <c r="G57907" s="812"/>
    </row>
    <row r="57908" spans="7:7">
      <c r="G57908" s="812"/>
    </row>
    <row r="57909" spans="7:7">
      <c r="G57909" s="812"/>
    </row>
    <row r="57910" spans="7:7">
      <c r="G57910" s="812"/>
    </row>
    <row r="57911" spans="7:7">
      <c r="G57911" s="812"/>
    </row>
    <row r="57912" spans="7:7">
      <c r="G57912" s="812"/>
    </row>
    <row r="57913" spans="7:7">
      <c r="G57913" s="812"/>
    </row>
    <row r="57914" spans="7:7">
      <c r="G57914" s="812"/>
    </row>
    <row r="57915" spans="7:7">
      <c r="G57915" s="812"/>
    </row>
    <row r="57916" spans="7:7">
      <c r="G57916" s="812"/>
    </row>
    <row r="57917" spans="7:7">
      <c r="G57917" s="812"/>
    </row>
    <row r="57918" spans="7:7">
      <c r="G57918" s="812"/>
    </row>
    <row r="57919" spans="7:7">
      <c r="G57919" s="812"/>
    </row>
    <row r="57920" spans="7:7">
      <c r="G57920" s="812"/>
    </row>
    <row r="57921" spans="7:7">
      <c r="G57921" s="812"/>
    </row>
    <row r="57922" spans="7:7">
      <c r="G57922" s="812"/>
    </row>
    <row r="57923" spans="7:7">
      <c r="G57923" s="812"/>
    </row>
    <row r="57924" spans="7:7">
      <c r="G57924" s="812"/>
    </row>
    <row r="57925" spans="7:7">
      <c r="G57925" s="812"/>
    </row>
    <row r="57926" spans="7:7">
      <c r="G57926" s="812"/>
    </row>
    <row r="57927" spans="7:7">
      <c r="G57927" s="812"/>
    </row>
    <row r="57928" spans="7:7">
      <c r="G57928" s="812"/>
    </row>
    <row r="57929" spans="7:7">
      <c r="G57929" s="812"/>
    </row>
    <row r="57930" spans="7:7">
      <c r="G57930" s="812"/>
    </row>
    <row r="57931" spans="7:7">
      <c r="G57931" s="812"/>
    </row>
    <row r="57932" spans="7:7">
      <c r="G57932" s="812"/>
    </row>
    <row r="57933" spans="7:7">
      <c r="G57933" s="812"/>
    </row>
    <row r="57934" spans="7:7">
      <c r="G57934" s="812"/>
    </row>
    <row r="57935" spans="7:7">
      <c r="G57935" s="812"/>
    </row>
    <row r="57936" spans="7:7">
      <c r="G57936" s="812"/>
    </row>
    <row r="57937" spans="7:7">
      <c r="G57937" s="812"/>
    </row>
    <row r="57938" spans="7:7">
      <c r="G57938" s="812"/>
    </row>
    <row r="57939" spans="7:7">
      <c r="G57939" s="812"/>
    </row>
    <row r="57940" spans="7:7">
      <c r="G57940" s="812"/>
    </row>
    <row r="57941" spans="7:7">
      <c r="G57941" s="812"/>
    </row>
    <row r="57942" spans="7:7">
      <c r="G57942" s="812"/>
    </row>
    <row r="57943" spans="7:7">
      <c r="G57943" s="812"/>
    </row>
    <row r="57944" spans="7:7">
      <c r="G57944" s="812"/>
    </row>
    <row r="57945" spans="7:7">
      <c r="G57945" s="812"/>
    </row>
    <row r="57946" spans="7:7">
      <c r="G57946" s="812"/>
    </row>
    <row r="57947" spans="7:7">
      <c r="G57947" s="812"/>
    </row>
    <row r="57948" spans="7:7">
      <c r="G57948" s="812"/>
    </row>
    <row r="57949" spans="7:7">
      <c r="G57949" s="812"/>
    </row>
    <row r="57950" spans="7:7">
      <c r="G57950" s="812"/>
    </row>
    <row r="57951" spans="7:7">
      <c r="G57951" s="812"/>
    </row>
    <row r="57952" spans="7:7">
      <c r="G57952" s="812"/>
    </row>
    <row r="57953" spans="7:7">
      <c r="G57953" s="812"/>
    </row>
    <row r="57954" spans="7:7">
      <c r="G57954" s="812"/>
    </row>
    <row r="57955" spans="7:7">
      <c r="G57955" s="812"/>
    </row>
    <row r="57956" spans="7:7">
      <c r="G57956" s="812"/>
    </row>
    <row r="57957" spans="7:7">
      <c r="G57957" s="812"/>
    </row>
    <row r="57958" spans="7:7">
      <c r="G57958" s="812"/>
    </row>
    <row r="57959" spans="7:7">
      <c r="G57959" s="812"/>
    </row>
    <row r="57960" spans="7:7">
      <c r="G57960" s="812"/>
    </row>
    <row r="57961" spans="7:7">
      <c r="G57961" s="812"/>
    </row>
    <row r="57962" spans="7:7">
      <c r="G57962" s="812"/>
    </row>
    <row r="57963" spans="7:7">
      <c r="G57963" s="812"/>
    </row>
    <row r="57964" spans="7:7">
      <c r="G57964" s="812"/>
    </row>
    <row r="57965" spans="7:7">
      <c r="G57965" s="812"/>
    </row>
    <row r="57966" spans="7:7">
      <c r="G57966" s="812"/>
    </row>
    <row r="57967" spans="7:7">
      <c r="G57967" s="812"/>
    </row>
    <row r="57968" spans="7:7">
      <c r="G57968" s="812"/>
    </row>
    <row r="57969" spans="7:7">
      <c r="G57969" s="812"/>
    </row>
    <row r="57970" spans="7:7">
      <c r="G57970" s="812"/>
    </row>
    <row r="57971" spans="7:7">
      <c r="G57971" s="812"/>
    </row>
    <row r="57972" spans="7:7">
      <c r="G57972" s="812"/>
    </row>
    <row r="57973" spans="7:7">
      <c r="G57973" s="812"/>
    </row>
    <row r="57974" spans="7:7">
      <c r="G57974" s="812"/>
    </row>
    <row r="57975" spans="7:7">
      <c r="G57975" s="812"/>
    </row>
    <row r="57976" spans="7:7">
      <c r="G57976" s="812"/>
    </row>
    <row r="57977" spans="7:7">
      <c r="G57977" s="812"/>
    </row>
    <row r="57978" spans="7:7">
      <c r="G57978" s="812"/>
    </row>
    <row r="57979" spans="7:7">
      <c r="G57979" s="812"/>
    </row>
    <row r="57980" spans="7:7">
      <c r="G57980" s="812"/>
    </row>
    <row r="57981" spans="7:7">
      <c r="G57981" s="812"/>
    </row>
    <row r="57982" spans="7:7">
      <c r="G57982" s="812"/>
    </row>
    <row r="57983" spans="7:7">
      <c r="G57983" s="812"/>
    </row>
    <row r="57984" spans="7:7">
      <c r="G57984" s="812"/>
    </row>
    <row r="57985" spans="7:7">
      <c r="G57985" s="812"/>
    </row>
    <row r="57986" spans="7:7">
      <c r="G57986" s="812"/>
    </row>
    <row r="57987" spans="7:7">
      <c r="G57987" s="812"/>
    </row>
    <row r="57988" spans="7:7">
      <c r="G57988" s="812"/>
    </row>
    <row r="57989" spans="7:7">
      <c r="G57989" s="812"/>
    </row>
    <row r="57990" spans="7:7">
      <c r="G57990" s="812"/>
    </row>
    <row r="57991" spans="7:7">
      <c r="G57991" s="812"/>
    </row>
    <row r="57992" spans="7:7">
      <c r="G57992" s="812"/>
    </row>
    <row r="57993" spans="7:7">
      <c r="G57993" s="812"/>
    </row>
    <row r="57994" spans="7:7">
      <c r="G57994" s="812"/>
    </row>
    <row r="57995" spans="7:7">
      <c r="G57995" s="812"/>
    </row>
    <row r="57996" spans="7:7">
      <c r="G57996" s="812"/>
    </row>
    <row r="57997" spans="7:7">
      <c r="G57997" s="812"/>
    </row>
    <row r="57998" spans="7:7">
      <c r="G57998" s="812"/>
    </row>
    <row r="57999" spans="7:7">
      <c r="G57999" s="812"/>
    </row>
    <row r="58000" spans="7:7">
      <c r="G58000" s="812"/>
    </row>
    <row r="58001" spans="7:7">
      <c r="G58001" s="812"/>
    </row>
    <row r="58002" spans="7:7">
      <c r="G58002" s="812"/>
    </row>
    <row r="58003" spans="7:7">
      <c r="G58003" s="812"/>
    </row>
    <row r="58004" spans="7:7">
      <c r="G58004" s="812"/>
    </row>
    <row r="58005" spans="7:7">
      <c r="G58005" s="812"/>
    </row>
    <row r="58006" spans="7:7">
      <c r="G58006" s="812"/>
    </row>
    <row r="58007" spans="7:7">
      <c r="G58007" s="812"/>
    </row>
    <row r="58008" spans="7:7">
      <c r="G58008" s="812"/>
    </row>
    <row r="58009" spans="7:7">
      <c r="G58009" s="812"/>
    </row>
    <row r="58010" spans="7:7">
      <c r="G58010" s="812"/>
    </row>
    <row r="58011" spans="7:7">
      <c r="G58011" s="812"/>
    </row>
    <row r="58012" spans="7:7">
      <c r="G58012" s="812"/>
    </row>
    <row r="58013" spans="7:7">
      <c r="G58013" s="812"/>
    </row>
    <row r="58014" spans="7:7">
      <c r="G58014" s="812"/>
    </row>
    <row r="58015" spans="7:7">
      <c r="G58015" s="812"/>
    </row>
    <row r="58016" spans="7:7">
      <c r="G58016" s="812"/>
    </row>
    <row r="58017" spans="7:7">
      <c r="G58017" s="812"/>
    </row>
    <row r="58018" spans="7:7">
      <c r="G58018" s="812"/>
    </row>
    <row r="58019" spans="7:7">
      <c r="G58019" s="812"/>
    </row>
    <row r="58020" spans="7:7">
      <c r="G58020" s="812"/>
    </row>
    <row r="58021" spans="7:7">
      <c r="G58021" s="812"/>
    </row>
    <row r="58022" spans="7:7">
      <c r="G58022" s="812"/>
    </row>
    <row r="58023" spans="7:7">
      <c r="G58023" s="812"/>
    </row>
    <row r="58024" spans="7:7">
      <c r="G58024" s="812"/>
    </row>
    <row r="58025" spans="7:7">
      <c r="G58025" s="812"/>
    </row>
    <row r="58026" spans="7:7">
      <c r="G58026" s="812"/>
    </row>
    <row r="58027" spans="7:7">
      <c r="G58027" s="812"/>
    </row>
    <row r="58028" spans="7:7">
      <c r="G58028" s="812"/>
    </row>
    <row r="58029" spans="7:7">
      <c r="G58029" s="812"/>
    </row>
    <row r="58030" spans="7:7">
      <c r="G58030" s="812"/>
    </row>
    <row r="58031" spans="7:7">
      <c r="G58031" s="812"/>
    </row>
    <row r="58032" spans="7:7">
      <c r="G58032" s="812"/>
    </row>
    <row r="58033" spans="7:7">
      <c r="G58033" s="812"/>
    </row>
    <row r="58034" spans="7:7">
      <c r="G58034" s="812"/>
    </row>
    <row r="58035" spans="7:7">
      <c r="G58035" s="812"/>
    </row>
    <row r="58036" spans="7:7">
      <c r="G58036" s="812"/>
    </row>
    <row r="58037" spans="7:7">
      <c r="G58037" s="812"/>
    </row>
    <row r="58038" spans="7:7">
      <c r="G58038" s="812"/>
    </row>
    <row r="58039" spans="7:7">
      <c r="G58039" s="812"/>
    </row>
    <row r="58040" spans="7:7">
      <c r="G58040" s="812"/>
    </row>
    <row r="58041" spans="7:7">
      <c r="G58041" s="812"/>
    </row>
    <row r="58042" spans="7:7">
      <c r="G58042" s="812"/>
    </row>
    <row r="58043" spans="7:7">
      <c r="G58043" s="812"/>
    </row>
    <row r="58044" spans="7:7">
      <c r="G58044" s="812"/>
    </row>
    <row r="58045" spans="7:7">
      <c r="G58045" s="812"/>
    </row>
    <row r="58046" spans="7:7">
      <c r="G58046" s="812"/>
    </row>
    <row r="58047" spans="7:7">
      <c r="G58047" s="812"/>
    </row>
    <row r="58048" spans="7:7">
      <c r="G58048" s="812"/>
    </row>
    <row r="58049" spans="7:7">
      <c r="G58049" s="812"/>
    </row>
    <row r="58050" spans="7:7">
      <c r="G58050" s="812"/>
    </row>
    <row r="58051" spans="7:7">
      <c r="G58051" s="812"/>
    </row>
    <row r="58052" spans="7:7">
      <c r="G58052" s="812"/>
    </row>
    <row r="58053" spans="7:7">
      <c r="G58053" s="812"/>
    </row>
    <row r="58054" spans="7:7">
      <c r="G58054" s="812"/>
    </row>
    <row r="58055" spans="7:7">
      <c r="G58055" s="812"/>
    </row>
    <row r="58056" spans="7:7">
      <c r="G58056" s="812"/>
    </row>
    <row r="58057" spans="7:7">
      <c r="G58057" s="812"/>
    </row>
    <row r="58058" spans="7:7">
      <c r="G58058" s="812"/>
    </row>
    <row r="58059" spans="7:7">
      <c r="G58059" s="812"/>
    </row>
    <row r="58060" spans="7:7">
      <c r="G58060" s="812"/>
    </row>
    <row r="58061" spans="7:7">
      <c r="G58061" s="812"/>
    </row>
    <row r="58062" spans="7:7">
      <c r="G58062" s="812"/>
    </row>
    <row r="58063" spans="7:7">
      <c r="G58063" s="812"/>
    </row>
    <row r="58064" spans="7:7">
      <c r="G58064" s="812"/>
    </row>
    <row r="58065" spans="7:7">
      <c r="G58065" s="812"/>
    </row>
    <row r="58066" spans="7:7">
      <c r="G58066" s="812"/>
    </row>
    <row r="58067" spans="7:7">
      <c r="G58067" s="812"/>
    </row>
    <row r="58068" spans="7:7">
      <c r="G58068" s="812"/>
    </row>
    <row r="58069" spans="7:7">
      <c r="G58069" s="812"/>
    </row>
    <row r="58070" spans="7:7">
      <c r="G58070" s="812"/>
    </row>
    <row r="58071" spans="7:7">
      <c r="G58071" s="812"/>
    </row>
    <row r="58072" spans="7:7">
      <c r="G58072" s="812"/>
    </row>
    <row r="58073" spans="7:7">
      <c r="G58073" s="812"/>
    </row>
    <row r="58074" spans="7:7">
      <c r="G58074" s="812"/>
    </row>
    <row r="58075" spans="7:7">
      <c r="G58075" s="812"/>
    </row>
    <row r="58076" spans="7:7">
      <c r="G58076" s="812"/>
    </row>
    <row r="58077" spans="7:7">
      <c r="G58077" s="812"/>
    </row>
    <row r="58078" spans="7:7">
      <c r="G58078" s="812"/>
    </row>
    <row r="58079" spans="7:7">
      <c r="G58079" s="812"/>
    </row>
    <row r="58080" spans="7:7">
      <c r="G58080" s="812"/>
    </row>
    <row r="58081" spans="7:7">
      <c r="G58081" s="812"/>
    </row>
    <row r="58082" spans="7:7">
      <c r="G58082" s="812"/>
    </row>
    <row r="58083" spans="7:7">
      <c r="G58083" s="812"/>
    </row>
    <row r="58084" spans="7:7">
      <c r="G58084" s="812"/>
    </row>
    <row r="58085" spans="7:7">
      <c r="G58085" s="812"/>
    </row>
    <row r="58086" spans="7:7">
      <c r="G58086" s="812"/>
    </row>
    <row r="58087" spans="7:7">
      <c r="G58087" s="812"/>
    </row>
    <row r="58088" spans="7:7">
      <c r="G58088" s="812"/>
    </row>
    <row r="58089" spans="7:7">
      <c r="G58089" s="812"/>
    </row>
    <row r="58090" spans="7:7">
      <c r="G58090" s="812"/>
    </row>
    <row r="58091" spans="7:7">
      <c r="G58091" s="812"/>
    </row>
    <row r="58092" spans="7:7">
      <c r="G58092" s="812"/>
    </row>
    <row r="58093" spans="7:7">
      <c r="G58093" s="812"/>
    </row>
    <row r="58094" spans="7:7">
      <c r="G58094" s="812"/>
    </row>
    <row r="58095" spans="7:7">
      <c r="G58095" s="812"/>
    </row>
    <row r="58096" spans="7:7">
      <c r="G58096" s="812"/>
    </row>
    <row r="58097" spans="7:7">
      <c r="G58097" s="812"/>
    </row>
    <row r="58098" spans="7:7">
      <c r="G58098" s="812"/>
    </row>
    <row r="58099" spans="7:7">
      <c r="G58099" s="812"/>
    </row>
    <row r="58100" spans="7:7">
      <c r="G58100" s="812"/>
    </row>
    <row r="58101" spans="7:7">
      <c r="G58101" s="812"/>
    </row>
    <row r="58102" spans="7:7">
      <c r="G58102" s="812"/>
    </row>
    <row r="58103" spans="7:7">
      <c r="G58103" s="812"/>
    </row>
    <row r="58104" spans="7:7">
      <c r="G58104" s="812"/>
    </row>
    <row r="58105" spans="7:7">
      <c r="G58105" s="812"/>
    </row>
    <row r="58106" spans="7:7">
      <c r="G58106" s="812"/>
    </row>
    <row r="58107" spans="7:7">
      <c r="G58107" s="812"/>
    </row>
    <row r="58108" spans="7:7">
      <c r="G58108" s="812"/>
    </row>
    <row r="58109" spans="7:7">
      <c r="G58109" s="812"/>
    </row>
    <row r="58110" spans="7:7">
      <c r="G58110" s="812"/>
    </row>
    <row r="58111" spans="7:7">
      <c r="G58111" s="812"/>
    </row>
    <row r="58112" spans="7:7">
      <c r="G58112" s="812"/>
    </row>
    <row r="58113" spans="7:7">
      <c r="G58113" s="812"/>
    </row>
    <row r="58114" spans="7:7">
      <c r="G58114" s="812"/>
    </row>
    <row r="58115" spans="7:7">
      <c r="G58115" s="812"/>
    </row>
    <row r="58116" spans="7:7">
      <c r="G58116" s="812"/>
    </row>
    <row r="58117" spans="7:7">
      <c r="G58117" s="812"/>
    </row>
    <row r="58118" spans="7:7">
      <c r="G58118" s="812"/>
    </row>
    <row r="58119" spans="7:7">
      <c r="G58119" s="812"/>
    </row>
    <row r="58120" spans="7:7">
      <c r="G58120" s="812"/>
    </row>
    <row r="58121" spans="7:7">
      <c r="G58121" s="812"/>
    </row>
    <row r="58122" spans="7:7">
      <c r="G58122" s="812"/>
    </row>
    <row r="58123" spans="7:7">
      <c r="G58123" s="812"/>
    </row>
    <row r="58124" spans="7:7">
      <c r="G58124" s="812"/>
    </row>
    <row r="58125" spans="7:7">
      <c r="G58125" s="812"/>
    </row>
    <row r="58126" spans="7:7">
      <c r="G58126" s="812"/>
    </row>
    <row r="58127" spans="7:7">
      <c r="G58127" s="812"/>
    </row>
    <row r="58128" spans="7:7">
      <c r="G58128" s="812"/>
    </row>
    <row r="58129" spans="7:7">
      <c r="G58129" s="812"/>
    </row>
    <row r="58130" spans="7:7">
      <c r="G58130" s="812"/>
    </row>
    <row r="58131" spans="7:7">
      <c r="G58131" s="812"/>
    </row>
    <row r="58132" spans="7:7">
      <c r="G58132" s="812"/>
    </row>
    <row r="58133" spans="7:7">
      <c r="G58133" s="812"/>
    </row>
    <row r="58134" spans="7:7">
      <c r="G58134" s="812"/>
    </row>
    <row r="58135" spans="7:7">
      <c r="G58135" s="812"/>
    </row>
    <row r="58136" spans="7:7">
      <c r="G58136" s="812"/>
    </row>
    <row r="58137" spans="7:7">
      <c r="G58137" s="812"/>
    </row>
    <row r="58138" spans="7:7">
      <c r="G58138" s="812"/>
    </row>
    <row r="58139" spans="7:7">
      <c r="G58139" s="812"/>
    </row>
    <row r="58140" spans="7:7">
      <c r="G58140" s="812"/>
    </row>
    <row r="58141" spans="7:7">
      <c r="G58141" s="812"/>
    </row>
    <row r="58142" spans="7:7">
      <c r="G58142" s="812"/>
    </row>
    <row r="58143" spans="7:7">
      <c r="G58143" s="812"/>
    </row>
    <row r="58144" spans="7:7">
      <c r="G58144" s="812"/>
    </row>
    <row r="58145" spans="7:7">
      <c r="G58145" s="812"/>
    </row>
    <row r="58146" spans="7:7">
      <c r="G58146" s="812"/>
    </row>
    <row r="58147" spans="7:7">
      <c r="G58147" s="812"/>
    </row>
    <row r="58148" spans="7:7">
      <c r="G58148" s="812"/>
    </row>
    <row r="58149" spans="7:7">
      <c r="G58149" s="812"/>
    </row>
    <row r="58150" spans="7:7">
      <c r="G58150" s="812"/>
    </row>
    <row r="58151" spans="7:7">
      <c r="G58151" s="812"/>
    </row>
    <row r="58152" spans="7:7">
      <c r="G58152" s="812"/>
    </row>
    <row r="58153" spans="7:7">
      <c r="G58153" s="812"/>
    </row>
    <row r="58154" spans="7:7">
      <c r="G58154" s="812"/>
    </row>
    <row r="58155" spans="7:7">
      <c r="G58155" s="812"/>
    </row>
    <row r="58156" spans="7:7">
      <c r="G58156" s="812"/>
    </row>
    <row r="58157" spans="7:7">
      <c r="G58157" s="812"/>
    </row>
    <row r="58158" spans="7:7">
      <c r="G58158" s="812"/>
    </row>
    <row r="58159" spans="7:7">
      <c r="G58159" s="812"/>
    </row>
    <row r="58160" spans="7:7">
      <c r="G58160" s="812"/>
    </row>
    <row r="58161" spans="7:7">
      <c r="G58161" s="812"/>
    </row>
    <row r="58162" spans="7:7">
      <c r="G58162" s="812"/>
    </row>
    <row r="58163" spans="7:7">
      <c r="G58163" s="812"/>
    </row>
    <row r="58164" spans="7:7">
      <c r="G58164" s="812"/>
    </row>
    <row r="58165" spans="7:7">
      <c r="G58165" s="812"/>
    </row>
    <row r="58166" spans="7:7">
      <c r="G58166" s="812"/>
    </row>
    <row r="58167" spans="7:7">
      <c r="G58167" s="812"/>
    </row>
    <row r="58168" spans="7:7">
      <c r="G58168" s="812"/>
    </row>
    <row r="58169" spans="7:7">
      <c r="G58169" s="812"/>
    </row>
    <row r="58170" spans="7:7">
      <c r="G58170" s="812"/>
    </row>
    <row r="58171" spans="7:7">
      <c r="G58171" s="812"/>
    </row>
    <row r="58172" spans="7:7">
      <c r="G58172" s="812"/>
    </row>
    <row r="58173" spans="7:7">
      <c r="G58173" s="812"/>
    </row>
    <row r="58174" spans="7:7">
      <c r="G58174" s="812"/>
    </row>
    <row r="58175" spans="7:7">
      <c r="G58175" s="812"/>
    </row>
    <row r="58176" spans="7:7">
      <c r="G58176" s="812"/>
    </row>
    <row r="58177" spans="7:7">
      <c r="G58177" s="812"/>
    </row>
    <row r="58178" spans="7:7">
      <c r="G58178" s="812"/>
    </row>
    <row r="58179" spans="7:7">
      <c r="G58179" s="812"/>
    </row>
    <row r="58180" spans="7:7">
      <c r="G58180" s="812"/>
    </row>
    <row r="58181" spans="7:7">
      <c r="G58181" s="812"/>
    </row>
    <row r="58182" spans="7:7">
      <c r="G58182" s="812"/>
    </row>
    <row r="58183" spans="7:7">
      <c r="G58183" s="812"/>
    </row>
    <row r="58184" spans="7:7">
      <c r="G58184" s="812"/>
    </row>
    <row r="58185" spans="7:7">
      <c r="G58185" s="812"/>
    </row>
    <row r="58186" spans="7:7">
      <c r="G58186" s="812"/>
    </row>
    <row r="58187" spans="7:7">
      <c r="G58187" s="812"/>
    </row>
    <row r="58188" spans="7:7">
      <c r="G58188" s="812"/>
    </row>
    <row r="58189" spans="7:7">
      <c r="G58189" s="812"/>
    </row>
    <row r="58190" spans="7:7">
      <c r="G58190" s="812"/>
    </row>
    <row r="58191" spans="7:7">
      <c r="G58191" s="812"/>
    </row>
    <row r="58192" spans="7:7">
      <c r="G58192" s="812"/>
    </row>
    <row r="58193" spans="7:7">
      <c r="G58193" s="812"/>
    </row>
    <row r="58194" spans="7:7">
      <c r="G58194" s="812"/>
    </row>
    <row r="58195" spans="7:7">
      <c r="G58195" s="812"/>
    </row>
    <row r="58196" spans="7:7">
      <c r="G58196" s="812"/>
    </row>
    <row r="58197" spans="7:7">
      <c r="G58197" s="812"/>
    </row>
    <row r="58198" spans="7:7">
      <c r="G58198" s="812"/>
    </row>
    <row r="58199" spans="7:7">
      <c r="G58199" s="812"/>
    </row>
    <row r="58200" spans="7:7">
      <c r="G58200" s="812"/>
    </row>
    <row r="58201" spans="7:7">
      <c r="G58201" s="812"/>
    </row>
    <row r="58202" spans="7:7">
      <c r="G58202" s="812"/>
    </row>
    <row r="58203" spans="7:7">
      <c r="G58203" s="812"/>
    </row>
    <row r="58204" spans="7:7">
      <c r="G58204" s="812"/>
    </row>
    <row r="58205" spans="7:7">
      <c r="G58205" s="812"/>
    </row>
    <row r="58206" spans="7:7">
      <c r="G58206" s="812"/>
    </row>
    <row r="58207" spans="7:7">
      <c r="G58207" s="812"/>
    </row>
    <row r="58208" spans="7:7">
      <c r="G58208" s="812"/>
    </row>
    <row r="58209" spans="7:7">
      <c r="G58209" s="812"/>
    </row>
    <row r="58210" spans="7:7">
      <c r="G58210" s="812"/>
    </row>
    <row r="58211" spans="7:7">
      <c r="G58211" s="812"/>
    </row>
    <row r="58212" spans="7:7">
      <c r="G58212" s="812"/>
    </row>
    <row r="58213" spans="7:7">
      <c r="G58213" s="812"/>
    </row>
    <row r="58214" spans="7:7">
      <c r="G58214" s="812"/>
    </row>
    <row r="58215" spans="7:7">
      <c r="G58215" s="812"/>
    </row>
    <row r="58216" spans="7:7">
      <c r="G58216" s="812"/>
    </row>
    <row r="58217" spans="7:7">
      <c r="G58217" s="812"/>
    </row>
    <row r="58218" spans="7:7">
      <c r="G58218" s="812"/>
    </row>
    <row r="58219" spans="7:7">
      <c r="G58219" s="812"/>
    </row>
    <row r="58220" spans="7:7">
      <c r="G58220" s="812"/>
    </row>
    <row r="58221" spans="7:7">
      <c r="G58221" s="812"/>
    </row>
    <row r="58222" spans="7:7">
      <c r="G58222" s="812"/>
    </row>
    <row r="58223" spans="7:7">
      <c r="G58223" s="812"/>
    </row>
    <row r="58224" spans="7:7">
      <c r="G58224" s="812"/>
    </row>
    <row r="58225" spans="7:7">
      <c r="G58225" s="812"/>
    </row>
    <row r="58226" spans="7:7">
      <c r="G58226" s="812"/>
    </row>
    <row r="58227" spans="7:7">
      <c r="G58227" s="812"/>
    </row>
    <row r="58228" spans="7:7">
      <c r="G58228" s="812"/>
    </row>
    <row r="58229" spans="7:7">
      <c r="G58229" s="812"/>
    </row>
    <row r="58230" spans="7:7">
      <c r="G58230" s="812"/>
    </row>
    <row r="58231" spans="7:7">
      <c r="G58231" s="812"/>
    </row>
    <row r="58232" spans="7:7">
      <c r="G58232" s="812"/>
    </row>
    <row r="58233" spans="7:7">
      <c r="G58233" s="812"/>
    </row>
    <row r="58234" spans="7:7">
      <c r="G58234" s="812"/>
    </row>
    <row r="58235" spans="7:7">
      <c r="G58235" s="812"/>
    </row>
    <row r="58236" spans="7:7">
      <c r="G58236" s="812"/>
    </row>
    <row r="58237" spans="7:7">
      <c r="G58237" s="812"/>
    </row>
    <row r="58238" spans="7:7">
      <c r="G58238" s="812"/>
    </row>
    <row r="58239" spans="7:7">
      <c r="G58239" s="812"/>
    </row>
    <row r="58240" spans="7:7">
      <c r="G58240" s="812"/>
    </row>
    <row r="58241" spans="7:7">
      <c r="G58241" s="812"/>
    </row>
    <row r="58242" spans="7:7">
      <c r="G58242" s="812"/>
    </row>
    <row r="58243" spans="7:7">
      <c r="G58243" s="812"/>
    </row>
    <row r="58244" spans="7:7">
      <c r="G58244" s="812"/>
    </row>
    <row r="58245" spans="7:7">
      <c r="G58245" s="812"/>
    </row>
    <row r="58246" spans="7:7">
      <c r="G58246" s="812"/>
    </row>
    <row r="58247" spans="7:7">
      <c r="G58247" s="812"/>
    </row>
    <row r="58248" spans="7:7">
      <c r="G58248" s="812"/>
    </row>
    <row r="58249" spans="7:7">
      <c r="G58249" s="812"/>
    </row>
    <row r="58250" spans="7:7">
      <c r="G58250" s="812"/>
    </row>
    <row r="58251" spans="7:7">
      <c r="G58251" s="812"/>
    </row>
    <row r="58252" spans="7:7">
      <c r="G58252" s="812"/>
    </row>
    <row r="58253" spans="7:7">
      <c r="G58253" s="812"/>
    </row>
    <row r="58254" spans="7:7">
      <c r="G58254" s="812"/>
    </row>
    <row r="58255" spans="7:7">
      <c r="G58255" s="812"/>
    </row>
    <row r="58256" spans="7:7">
      <c r="G58256" s="812"/>
    </row>
    <row r="58257" spans="7:7">
      <c r="G58257" s="812"/>
    </row>
    <row r="58258" spans="7:7">
      <c r="G58258" s="812"/>
    </row>
    <row r="58259" spans="7:7">
      <c r="G58259" s="812"/>
    </row>
    <row r="58260" spans="7:7">
      <c r="G58260" s="812"/>
    </row>
    <row r="58261" spans="7:7">
      <c r="G58261" s="812"/>
    </row>
    <row r="58262" spans="7:7">
      <c r="G58262" s="812"/>
    </row>
    <row r="58263" spans="7:7">
      <c r="G58263" s="812"/>
    </row>
    <row r="58264" spans="7:7">
      <c r="G58264" s="812"/>
    </row>
    <row r="58265" spans="7:7">
      <c r="G58265" s="812"/>
    </row>
    <row r="58266" spans="7:7">
      <c r="G58266" s="812"/>
    </row>
    <row r="58267" spans="7:7">
      <c r="G58267" s="812"/>
    </row>
    <row r="58268" spans="7:7">
      <c r="G58268" s="812"/>
    </row>
    <row r="58269" spans="7:7">
      <c r="G58269" s="812"/>
    </row>
    <row r="58270" spans="7:7">
      <c r="G58270" s="812"/>
    </row>
    <row r="58271" spans="7:7">
      <c r="G58271" s="812"/>
    </row>
    <row r="58272" spans="7:7">
      <c r="G58272" s="812"/>
    </row>
    <row r="58273" spans="7:7">
      <c r="G58273" s="812"/>
    </row>
    <row r="58274" spans="7:7">
      <c r="G58274" s="812"/>
    </row>
    <row r="58275" spans="7:7">
      <c r="G58275" s="812"/>
    </row>
    <row r="58276" spans="7:7">
      <c r="G58276" s="812"/>
    </row>
    <row r="58277" spans="7:7">
      <c r="G58277" s="812"/>
    </row>
    <row r="58278" spans="7:7">
      <c r="G58278" s="812"/>
    </row>
    <row r="58279" spans="7:7">
      <c r="G58279" s="812"/>
    </row>
    <row r="58280" spans="7:7">
      <c r="G58280" s="812"/>
    </row>
    <row r="58281" spans="7:7">
      <c r="G58281" s="812"/>
    </row>
    <row r="58282" spans="7:7">
      <c r="G58282" s="812"/>
    </row>
    <row r="58283" spans="7:7">
      <c r="G58283" s="812"/>
    </row>
    <row r="58284" spans="7:7">
      <c r="G58284" s="812"/>
    </row>
    <row r="58285" spans="7:7">
      <c r="G58285" s="812"/>
    </row>
    <row r="58286" spans="7:7">
      <c r="G58286" s="812"/>
    </row>
    <row r="58287" spans="7:7">
      <c r="G58287" s="812"/>
    </row>
    <row r="58288" spans="7:7">
      <c r="G58288" s="812"/>
    </row>
    <row r="58289" spans="7:7">
      <c r="G58289" s="812"/>
    </row>
    <row r="58290" spans="7:7">
      <c r="G58290" s="812"/>
    </row>
    <row r="58291" spans="7:7">
      <c r="G58291" s="812"/>
    </row>
    <row r="58292" spans="7:7">
      <c r="G58292" s="812"/>
    </row>
    <row r="58293" spans="7:7">
      <c r="G58293" s="812"/>
    </row>
    <row r="58294" spans="7:7">
      <c r="G58294" s="812"/>
    </row>
    <row r="58295" spans="7:7">
      <c r="G58295" s="812"/>
    </row>
    <row r="58296" spans="7:7">
      <c r="G58296" s="812"/>
    </row>
    <row r="58297" spans="7:7">
      <c r="G58297" s="812"/>
    </row>
    <row r="58298" spans="7:7">
      <c r="G58298" s="812"/>
    </row>
    <row r="58299" spans="7:7">
      <c r="G58299" s="812"/>
    </row>
    <row r="58300" spans="7:7">
      <c r="G58300" s="812"/>
    </row>
    <row r="58301" spans="7:7">
      <c r="G58301" s="812"/>
    </row>
    <row r="58302" spans="7:7">
      <c r="G58302" s="812"/>
    </row>
    <row r="58303" spans="7:7">
      <c r="G58303" s="812"/>
    </row>
    <row r="58304" spans="7:7">
      <c r="G58304" s="812"/>
    </row>
    <row r="58305" spans="7:7">
      <c r="G58305" s="812"/>
    </row>
    <row r="58306" spans="7:7">
      <c r="G58306" s="812"/>
    </row>
    <row r="58307" spans="7:7">
      <c r="G58307" s="812"/>
    </row>
    <row r="58308" spans="7:7">
      <c r="G58308" s="812"/>
    </row>
    <row r="58309" spans="7:7">
      <c r="G58309" s="812"/>
    </row>
    <row r="58310" spans="7:7">
      <c r="G58310" s="812"/>
    </row>
    <row r="58311" spans="7:7">
      <c r="G58311" s="812"/>
    </row>
    <row r="58312" spans="7:7">
      <c r="G58312" s="812"/>
    </row>
    <row r="58313" spans="7:7">
      <c r="G58313" s="812"/>
    </row>
    <row r="58314" spans="7:7">
      <c r="G58314" s="812"/>
    </row>
    <row r="58315" spans="7:7">
      <c r="G58315" s="812"/>
    </row>
    <row r="58316" spans="7:7">
      <c r="G58316" s="812"/>
    </row>
    <row r="58317" spans="7:7">
      <c r="G58317" s="812"/>
    </row>
    <row r="58318" spans="7:7">
      <c r="G58318" s="812"/>
    </row>
    <row r="58319" spans="7:7">
      <c r="G58319" s="812"/>
    </row>
    <row r="58320" spans="7:7">
      <c r="G58320" s="812"/>
    </row>
    <row r="58321" spans="7:7">
      <c r="G58321" s="812"/>
    </row>
    <row r="58322" spans="7:7">
      <c r="G58322" s="812"/>
    </row>
    <row r="58323" spans="7:7">
      <c r="G58323" s="812"/>
    </row>
    <row r="58324" spans="7:7">
      <c r="G58324" s="812"/>
    </row>
    <row r="58325" spans="7:7">
      <c r="G58325" s="812"/>
    </row>
    <row r="58326" spans="7:7">
      <c r="G58326" s="812"/>
    </row>
    <row r="58327" spans="7:7">
      <c r="G58327" s="812"/>
    </row>
    <row r="58328" spans="7:7">
      <c r="G58328" s="812"/>
    </row>
    <row r="58329" spans="7:7">
      <c r="G58329" s="812"/>
    </row>
    <row r="58330" spans="7:7">
      <c r="G58330" s="812"/>
    </row>
    <row r="58331" spans="7:7">
      <c r="G58331" s="812"/>
    </row>
    <row r="58332" spans="7:7">
      <c r="G58332" s="812"/>
    </row>
    <row r="58333" spans="7:7">
      <c r="G58333" s="812"/>
    </row>
    <row r="58334" spans="7:7">
      <c r="G58334" s="812"/>
    </row>
    <row r="58335" spans="7:7">
      <c r="G58335" s="812"/>
    </row>
    <row r="58336" spans="7:7">
      <c r="G58336" s="812"/>
    </row>
    <row r="58337" spans="7:7">
      <c r="G58337" s="812"/>
    </row>
    <row r="58338" spans="7:7">
      <c r="G58338" s="812"/>
    </row>
    <row r="58339" spans="7:7">
      <c r="G58339" s="812"/>
    </row>
    <row r="58340" spans="7:7">
      <c r="G58340" s="812"/>
    </row>
    <row r="58341" spans="7:7">
      <c r="G58341" s="812"/>
    </row>
    <row r="58342" spans="7:7">
      <c r="G58342" s="812"/>
    </row>
    <row r="58343" spans="7:7">
      <c r="G58343" s="812"/>
    </row>
    <row r="58344" spans="7:7">
      <c r="G58344" s="812"/>
    </row>
    <row r="58345" spans="7:7">
      <c r="G58345" s="812"/>
    </row>
    <row r="58346" spans="7:7">
      <c r="G58346" s="812"/>
    </row>
    <row r="58347" spans="7:7">
      <c r="G58347" s="812"/>
    </row>
    <row r="58348" spans="7:7">
      <c r="G58348" s="812"/>
    </row>
    <row r="58349" spans="7:7">
      <c r="G58349" s="812"/>
    </row>
    <row r="58350" spans="7:7">
      <c r="G58350" s="812"/>
    </row>
    <row r="58351" spans="7:7">
      <c r="G58351" s="812"/>
    </row>
    <row r="58352" spans="7:7">
      <c r="G58352" s="812"/>
    </row>
    <row r="58353" spans="7:7">
      <c r="G58353" s="812"/>
    </row>
    <row r="58354" spans="7:7">
      <c r="G58354" s="812"/>
    </row>
    <row r="58355" spans="7:7">
      <c r="G58355" s="812"/>
    </row>
    <row r="58356" spans="7:7">
      <c r="G58356" s="812"/>
    </row>
    <row r="58357" spans="7:7">
      <c r="G58357" s="812"/>
    </row>
    <row r="58358" spans="7:7">
      <c r="G58358" s="812"/>
    </row>
    <row r="58359" spans="7:7">
      <c r="G58359" s="812"/>
    </row>
    <row r="58360" spans="7:7">
      <c r="G58360" s="812"/>
    </row>
    <row r="58361" spans="7:7">
      <c r="G58361" s="812"/>
    </row>
    <row r="58362" spans="7:7">
      <c r="G58362" s="812"/>
    </row>
    <row r="58363" spans="7:7">
      <c r="G58363" s="812"/>
    </row>
    <row r="58364" spans="7:7">
      <c r="G58364" s="812"/>
    </row>
    <row r="58365" spans="7:7">
      <c r="G58365" s="812"/>
    </row>
    <row r="58366" spans="7:7">
      <c r="G58366" s="812"/>
    </row>
    <row r="58367" spans="7:7">
      <c r="G58367" s="812"/>
    </row>
    <row r="58368" spans="7:7">
      <c r="G58368" s="812"/>
    </row>
    <row r="58369" spans="7:7">
      <c r="G58369" s="812"/>
    </row>
    <row r="58370" spans="7:7">
      <c r="G58370" s="812"/>
    </row>
    <row r="58371" spans="7:7">
      <c r="G58371" s="812"/>
    </row>
    <row r="58372" spans="7:7">
      <c r="G58372" s="812"/>
    </row>
    <row r="58373" spans="7:7">
      <c r="G58373" s="812"/>
    </row>
    <row r="58374" spans="7:7">
      <c r="G58374" s="812"/>
    </row>
    <row r="58375" spans="7:7">
      <c r="G58375" s="812"/>
    </row>
    <row r="58376" spans="7:7">
      <c r="G58376" s="812"/>
    </row>
    <row r="58377" spans="7:7">
      <c r="G58377" s="812"/>
    </row>
    <row r="58378" spans="7:7">
      <c r="G58378" s="812"/>
    </row>
    <row r="58379" spans="7:7">
      <c r="G58379" s="812"/>
    </row>
    <row r="58380" spans="7:7">
      <c r="G58380" s="812"/>
    </row>
    <row r="58381" spans="7:7">
      <c r="G58381" s="812"/>
    </row>
    <row r="58382" spans="7:7">
      <c r="G58382" s="812"/>
    </row>
    <row r="58383" spans="7:7">
      <c r="G58383" s="812"/>
    </row>
    <row r="58384" spans="7:7">
      <c r="G58384" s="812"/>
    </row>
    <row r="58385" spans="7:7">
      <c r="G58385" s="812"/>
    </row>
    <row r="58386" spans="7:7">
      <c r="G58386" s="812"/>
    </row>
    <row r="58387" spans="7:7">
      <c r="G58387" s="812"/>
    </row>
    <row r="58388" spans="7:7">
      <c r="G58388" s="812"/>
    </row>
    <row r="58389" spans="7:7">
      <c r="G58389" s="812"/>
    </row>
    <row r="58390" spans="7:7">
      <c r="G58390" s="812"/>
    </row>
    <row r="58391" spans="7:7">
      <c r="G58391" s="812"/>
    </row>
    <row r="58392" spans="7:7">
      <c r="G58392" s="812"/>
    </row>
    <row r="58393" spans="7:7">
      <c r="G58393" s="812"/>
    </row>
    <row r="58394" spans="7:7">
      <c r="G58394" s="812"/>
    </row>
    <row r="58395" spans="7:7">
      <c r="G58395" s="812"/>
    </row>
    <row r="58396" spans="7:7">
      <c r="G58396" s="812"/>
    </row>
    <row r="58397" spans="7:7">
      <c r="G58397" s="812"/>
    </row>
    <row r="58398" spans="7:7">
      <c r="G58398" s="812"/>
    </row>
    <row r="58399" spans="7:7">
      <c r="G58399" s="812"/>
    </row>
    <row r="58400" spans="7:7">
      <c r="G58400" s="812"/>
    </row>
    <row r="58401" spans="7:7">
      <c r="G58401" s="812"/>
    </row>
    <row r="58402" spans="7:7">
      <c r="G58402" s="812"/>
    </row>
    <row r="58403" spans="7:7">
      <c r="G58403" s="812"/>
    </row>
    <row r="58404" spans="7:7">
      <c r="G58404" s="812"/>
    </row>
    <row r="58405" spans="7:7">
      <c r="G58405" s="812"/>
    </row>
    <row r="58406" spans="7:7">
      <c r="G58406" s="812"/>
    </row>
    <row r="58407" spans="7:7">
      <c r="G58407" s="812"/>
    </row>
    <row r="58408" spans="7:7">
      <c r="G58408" s="812"/>
    </row>
    <row r="58409" spans="7:7">
      <c r="G58409" s="812"/>
    </row>
    <row r="58410" spans="7:7">
      <c r="G58410" s="812"/>
    </row>
    <row r="58411" spans="7:7">
      <c r="G58411" s="812"/>
    </row>
    <row r="58412" spans="7:7">
      <c r="G58412" s="812"/>
    </row>
    <row r="58413" spans="7:7">
      <c r="G58413" s="812"/>
    </row>
    <row r="58414" spans="7:7">
      <c r="G58414" s="812"/>
    </row>
    <row r="58415" spans="7:7">
      <c r="G58415" s="812"/>
    </row>
    <row r="58416" spans="7:7">
      <c r="G58416" s="812"/>
    </row>
    <row r="58417" spans="7:7">
      <c r="G58417" s="812"/>
    </row>
    <row r="58418" spans="7:7">
      <c r="G58418" s="812"/>
    </row>
    <row r="58419" spans="7:7">
      <c r="G58419" s="812"/>
    </row>
    <row r="58420" spans="7:7">
      <c r="G58420" s="812"/>
    </row>
    <row r="58421" spans="7:7">
      <c r="G58421" s="812"/>
    </row>
    <row r="58422" spans="7:7">
      <c r="G58422" s="812"/>
    </row>
    <row r="58423" spans="7:7">
      <c r="G58423" s="812"/>
    </row>
    <row r="58424" spans="7:7">
      <c r="G58424" s="812"/>
    </row>
    <row r="58425" spans="7:7">
      <c r="G58425" s="812"/>
    </row>
    <row r="58426" spans="7:7">
      <c r="G58426" s="812"/>
    </row>
    <row r="58427" spans="7:7">
      <c r="G58427" s="812"/>
    </row>
    <row r="58428" spans="7:7">
      <c r="G58428" s="812"/>
    </row>
    <row r="58429" spans="7:7">
      <c r="G58429" s="812"/>
    </row>
    <row r="58430" spans="7:7">
      <c r="G58430" s="812"/>
    </row>
    <row r="58431" spans="7:7">
      <c r="G58431" s="812"/>
    </row>
    <row r="58432" spans="7:7">
      <c r="G58432" s="812"/>
    </row>
    <row r="58433" spans="7:7">
      <c r="G58433" s="812"/>
    </row>
    <row r="58434" spans="7:7">
      <c r="G58434" s="812"/>
    </row>
    <row r="58435" spans="7:7">
      <c r="G58435" s="812"/>
    </row>
    <row r="58436" spans="7:7">
      <c r="G58436" s="812"/>
    </row>
    <row r="58437" spans="7:7">
      <c r="G58437" s="812"/>
    </row>
    <row r="58438" spans="7:7">
      <c r="G58438" s="812"/>
    </row>
    <row r="58439" spans="7:7">
      <c r="G58439" s="812"/>
    </row>
    <row r="58440" spans="7:7">
      <c r="G58440" s="812"/>
    </row>
    <row r="58441" spans="7:7">
      <c r="G58441" s="812"/>
    </row>
    <row r="58442" spans="7:7">
      <c r="G58442" s="812"/>
    </row>
    <row r="58443" spans="7:7">
      <c r="G58443" s="812"/>
    </row>
    <row r="58444" spans="7:7">
      <c r="G58444" s="812"/>
    </row>
    <row r="58445" spans="7:7">
      <c r="G58445" s="812"/>
    </row>
    <row r="58446" spans="7:7">
      <c r="G58446" s="812"/>
    </row>
    <row r="58447" spans="7:7">
      <c r="G58447" s="812"/>
    </row>
    <row r="58448" spans="7:7">
      <c r="G58448" s="812"/>
    </row>
    <row r="58449" spans="7:7">
      <c r="G58449" s="812"/>
    </row>
    <row r="58450" spans="7:7">
      <c r="G58450" s="812"/>
    </row>
    <row r="58451" spans="7:7">
      <c r="G58451" s="812"/>
    </row>
    <row r="58452" spans="7:7">
      <c r="G58452" s="812"/>
    </row>
    <row r="58453" spans="7:7">
      <c r="G58453" s="812"/>
    </row>
    <row r="58454" spans="7:7">
      <c r="G58454" s="812"/>
    </row>
    <row r="58455" spans="7:7">
      <c r="G58455" s="812"/>
    </row>
    <row r="58456" spans="7:7">
      <c r="G58456" s="812"/>
    </row>
    <row r="58457" spans="7:7">
      <c r="G58457" s="812"/>
    </row>
    <row r="58458" spans="7:7">
      <c r="G58458" s="812"/>
    </row>
    <row r="58459" spans="7:7">
      <c r="G58459" s="812"/>
    </row>
    <row r="58460" spans="7:7">
      <c r="G58460" s="812"/>
    </row>
    <row r="58461" spans="7:7">
      <c r="G58461" s="812"/>
    </row>
    <row r="58462" spans="7:7">
      <c r="G58462" s="812"/>
    </row>
    <row r="58463" spans="7:7">
      <c r="G58463" s="812"/>
    </row>
    <row r="58464" spans="7:7">
      <c r="G58464" s="812"/>
    </row>
    <row r="58465" spans="7:7">
      <c r="G58465" s="812"/>
    </row>
    <row r="58466" spans="7:7">
      <c r="G58466" s="812"/>
    </row>
    <row r="58467" spans="7:7">
      <c r="G58467" s="812"/>
    </row>
    <row r="58468" spans="7:7">
      <c r="G58468" s="812"/>
    </row>
    <row r="58469" spans="7:7">
      <c r="G58469" s="812"/>
    </row>
    <row r="58470" spans="7:7">
      <c r="G58470" s="812"/>
    </row>
    <row r="58471" spans="7:7">
      <c r="G58471" s="812"/>
    </row>
    <row r="58472" spans="7:7">
      <c r="G58472" s="812"/>
    </row>
    <row r="58473" spans="7:7">
      <c r="G58473" s="812"/>
    </row>
    <row r="58474" spans="7:7">
      <c r="G58474" s="812"/>
    </row>
    <row r="58475" spans="7:7">
      <c r="G58475" s="812"/>
    </row>
    <row r="58476" spans="7:7">
      <c r="G58476" s="812"/>
    </row>
    <row r="58477" spans="7:7">
      <c r="G58477" s="812"/>
    </row>
    <row r="58478" spans="7:7">
      <c r="G58478" s="812"/>
    </row>
    <row r="58479" spans="7:7">
      <c r="G58479" s="812"/>
    </row>
    <row r="58480" spans="7:7">
      <c r="G58480" s="812"/>
    </row>
    <row r="58481" spans="7:7">
      <c r="G58481" s="812"/>
    </row>
    <row r="58482" spans="7:7">
      <c r="G58482" s="812"/>
    </row>
    <row r="58483" spans="7:7">
      <c r="G58483" s="812"/>
    </row>
    <row r="58484" spans="7:7">
      <c r="G58484" s="812"/>
    </row>
    <row r="58485" spans="7:7">
      <c r="G58485" s="812"/>
    </row>
    <row r="58486" spans="7:7">
      <c r="G58486" s="812"/>
    </row>
    <row r="58487" spans="7:7">
      <c r="G58487" s="812"/>
    </row>
    <row r="58488" spans="7:7">
      <c r="G58488" s="812"/>
    </row>
    <row r="58489" spans="7:7">
      <c r="G58489" s="812"/>
    </row>
    <row r="58490" spans="7:7">
      <c r="G58490" s="812"/>
    </row>
    <row r="58491" spans="7:7">
      <c r="G58491" s="812"/>
    </row>
    <row r="58492" spans="7:7">
      <c r="G58492" s="812"/>
    </row>
    <row r="58493" spans="7:7">
      <c r="G58493" s="812"/>
    </row>
    <row r="58494" spans="7:7">
      <c r="G58494" s="812"/>
    </row>
    <row r="58495" spans="7:7">
      <c r="G58495" s="812"/>
    </row>
    <row r="58496" spans="7:7">
      <c r="G58496" s="812"/>
    </row>
    <row r="58497" spans="7:7">
      <c r="G58497" s="812"/>
    </row>
    <row r="58498" spans="7:7">
      <c r="G58498" s="812"/>
    </row>
    <row r="58499" spans="7:7">
      <c r="G58499" s="812"/>
    </row>
    <row r="58500" spans="7:7">
      <c r="G58500" s="812"/>
    </row>
    <row r="58501" spans="7:7">
      <c r="G58501" s="812"/>
    </row>
    <row r="58502" spans="7:7">
      <c r="G58502" s="812"/>
    </row>
    <row r="58503" spans="7:7">
      <c r="G58503" s="812"/>
    </row>
    <row r="58504" spans="7:7">
      <c r="G58504" s="812"/>
    </row>
    <row r="58505" spans="7:7">
      <c r="G58505" s="812"/>
    </row>
    <row r="58506" spans="7:7">
      <c r="G58506" s="812"/>
    </row>
    <row r="58507" spans="7:7">
      <c r="G58507" s="812"/>
    </row>
    <row r="58508" spans="7:7">
      <c r="G58508" s="812"/>
    </row>
    <row r="58509" spans="7:7">
      <c r="G58509" s="812"/>
    </row>
    <row r="58510" spans="7:7">
      <c r="G58510" s="812"/>
    </row>
    <row r="58511" spans="7:7">
      <c r="G58511" s="812"/>
    </row>
    <row r="58512" spans="7:7">
      <c r="G58512" s="812"/>
    </row>
    <row r="58513" spans="7:7">
      <c r="G58513" s="812"/>
    </row>
    <row r="58514" spans="7:7">
      <c r="G58514" s="812"/>
    </row>
    <row r="58515" spans="7:7">
      <c r="G58515" s="812"/>
    </row>
    <row r="58516" spans="7:7">
      <c r="G58516" s="812"/>
    </row>
    <row r="58517" spans="7:7">
      <c r="G58517" s="812"/>
    </row>
    <row r="58518" spans="7:7">
      <c r="G58518" s="812"/>
    </row>
    <row r="58519" spans="7:7">
      <c r="G58519" s="812"/>
    </row>
    <row r="58520" spans="7:7">
      <c r="G58520" s="812"/>
    </row>
    <row r="58521" spans="7:7">
      <c r="G58521" s="812"/>
    </row>
    <row r="58522" spans="7:7">
      <c r="G58522" s="812"/>
    </row>
    <row r="58523" spans="7:7">
      <c r="G58523" s="812"/>
    </row>
    <row r="58524" spans="7:7">
      <c r="G58524" s="812"/>
    </row>
    <row r="58525" spans="7:7">
      <c r="G58525" s="812"/>
    </row>
    <row r="58526" spans="7:7">
      <c r="G58526" s="812"/>
    </row>
    <row r="58527" spans="7:7">
      <c r="G58527" s="812"/>
    </row>
    <row r="58528" spans="7:7">
      <c r="G58528" s="812"/>
    </row>
    <row r="58529" spans="7:7">
      <c r="G58529" s="812"/>
    </row>
    <row r="58530" spans="7:7">
      <c r="G58530" s="812"/>
    </row>
    <row r="58531" spans="7:7">
      <c r="G58531" s="812"/>
    </row>
    <row r="58532" spans="7:7">
      <c r="G58532" s="812"/>
    </row>
    <row r="58533" spans="7:7">
      <c r="G58533" s="812"/>
    </row>
    <row r="58534" spans="7:7">
      <c r="G58534" s="812"/>
    </row>
    <row r="58535" spans="7:7">
      <c r="G58535" s="812"/>
    </row>
    <row r="58536" spans="7:7">
      <c r="G58536" s="812"/>
    </row>
    <row r="58537" spans="7:7">
      <c r="G58537" s="812"/>
    </row>
    <row r="58538" spans="7:7">
      <c r="G58538" s="812"/>
    </row>
    <row r="58539" spans="7:7">
      <c r="G58539" s="812"/>
    </row>
    <row r="58540" spans="7:7">
      <c r="G58540" s="812"/>
    </row>
    <row r="58541" spans="7:7">
      <c r="G58541" s="812"/>
    </row>
    <row r="58542" spans="7:7">
      <c r="G58542" s="812"/>
    </row>
    <row r="58543" spans="7:7">
      <c r="G58543" s="812"/>
    </row>
    <row r="58544" spans="7:7">
      <c r="G58544" s="812"/>
    </row>
    <row r="58545" spans="7:7">
      <c r="G58545" s="812"/>
    </row>
    <row r="58546" spans="7:7">
      <c r="G58546" s="812"/>
    </row>
    <row r="58547" spans="7:7">
      <c r="G58547" s="812"/>
    </row>
    <row r="58548" spans="7:7">
      <c r="G58548" s="812"/>
    </row>
    <row r="58549" spans="7:7">
      <c r="G58549" s="812"/>
    </row>
    <row r="58550" spans="7:7">
      <c r="G58550" s="812"/>
    </row>
    <row r="58551" spans="7:7">
      <c r="G58551" s="812"/>
    </row>
    <row r="58552" spans="7:7">
      <c r="G58552" s="812"/>
    </row>
    <row r="58553" spans="7:7">
      <c r="G58553" s="812"/>
    </row>
    <row r="58554" spans="7:7">
      <c r="G58554" s="812"/>
    </row>
    <row r="58555" spans="7:7">
      <c r="G58555" s="812"/>
    </row>
    <row r="58556" spans="7:7">
      <c r="G58556" s="812"/>
    </row>
    <row r="58557" spans="7:7">
      <c r="G58557" s="812"/>
    </row>
    <row r="58558" spans="7:7">
      <c r="G58558" s="812"/>
    </row>
    <row r="58559" spans="7:7">
      <c r="G58559" s="812"/>
    </row>
    <row r="58560" spans="7:7">
      <c r="G58560" s="812"/>
    </row>
    <row r="58561" spans="7:7">
      <c r="G58561" s="812"/>
    </row>
    <row r="58562" spans="7:7">
      <c r="G58562" s="812"/>
    </row>
    <row r="58563" spans="7:7">
      <c r="G58563" s="812"/>
    </row>
    <row r="58564" spans="7:7">
      <c r="G58564" s="812"/>
    </row>
    <row r="58565" spans="7:7">
      <c r="G58565" s="812"/>
    </row>
    <row r="58566" spans="7:7">
      <c r="G58566" s="812"/>
    </row>
    <row r="58567" spans="7:7">
      <c r="G58567" s="812"/>
    </row>
    <row r="58568" spans="7:7">
      <c r="G58568" s="812"/>
    </row>
    <row r="58569" spans="7:7">
      <c r="G58569" s="812"/>
    </row>
    <row r="58570" spans="7:7">
      <c r="G58570" s="812"/>
    </row>
    <row r="58571" spans="7:7">
      <c r="G58571" s="812"/>
    </row>
    <row r="58572" spans="7:7">
      <c r="G58572" s="812"/>
    </row>
    <row r="58573" spans="7:7">
      <c r="G58573" s="812"/>
    </row>
    <row r="58574" spans="7:7">
      <c r="G58574" s="812"/>
    </row>
    <row r="58575" spans="7:7">
      <c r="G58575" s="812"/>
    </row>
    <row r="58576" spans="7:7">
      <c r="G58576" s="812"/>
    </row>
    <row r="58577" spans="7:7">
      <c r="G58577" s="812"/>
    </row>
    <row r="58578" spans="7:7">
      <c r="G58578" s="812"/>
    </row>
    <row r="58579" spans="7:7">
      <c r="G58579" s="812"/>
    </row>
    <row r="58580" spans="7:7">
      <c r="G58580" s="812"/>
    </row>
    <row r="58581" spans="7:7">
      <c r="G58581" s="812"/>
    </row>
    <row r="58582" spans="7:7">
      <c r="G58582" s="812"/>
    </row>
    <row r="58583" spans="7:7">
      <c r="G58583" s="812"/>
    </row>
    <row r="58584" spans="7:7">
      <c r="G58584" s="812"/>
    </row>
    <row r="58585" spans="7:7">
      <c r="G58585" s="812"/>
    </row>
    <row r="58586" spans="7:7">
      <c r="G58586" s="812"/>
    </row>
    <row r="58587" spans="7:7">
      <c r="G58587" s="812"/>
    </row>
    <row r="58588" spans="7:7">
      <c r="G58588" s="812"/>
    </row>
    <row r="58589" spans="7:7">
      <c r="G58589" s="812"/>
    </row>
    <row r="58590" spans="7:7">
      <c r="G58590" s="812"/>
    </row>
    <row r="58591" spans="7:7">
      <c r="G58591" s="812"/>
    </row>
    <row r="58592" spans="7:7">
      <c r="G58592" s="812"/>
    </row>
    <row r="58593" spans="7:7">
      <c r="G58593" s="812"/>
    </row>
    <row r="58594" spans="7:7">
      <c r="G58594" s="812"/>
    </row>
    <row r="58595" spans="7:7">
      <c r="G58595" s="812"/>
    </row>
    <row r="58596" spans="7:7">
      <c r="G58596" s="812"/>
    </row>
    <row r="58597" spans="7:7">
      <c r="G58597" s="812"/>
    </row>
    <row r="58598" spans="7:7">
      <c r="G58598" s="812"/>
    </row>
    <row r="58599" spans="7:7">
      <c r="G58599" s="812"/>
    </row>
    <row r="58600" spans="7:7">
      <c r="G58600" s="812"/>
    </row>
    <row r="58601" spans="7:7">
      <c r="G58601" s="812"/>
    </row>
    <row r="58602" spans="7:7">
      <c r="G58602" s="812"/>
    </row>
    <row r="58603" spans="7:7">
      <c r="G58603" s="812"/>
    </row>
    <row r="58604" spans="7:7">
      <c r="G58604" s="812"/>
    </row>
    <row r="58605" spans="7:7">
      <c r="G58605" s="812"/>
    </row>
    <row r="58606" spans="7:7">
      <c r="G58606" s="812"/>
    </row>
    <row r="58607" spans="7:7">
      <c r="G58607" s="812"/>
    </row>
    <row r="58608" spans="7:7">
      <c r="G58608" s="812"/>
    </row>
    <row r="58609" spans="7:7">
      <c r="G58609" s="812"/>
    </row>
    <row r="58610" spans="7:7">
      <c r="G58610" s="812"/>
    </row>
    <row r="58611" spans="7:7">
      <c r="G58611" s="812"/>
    </row>
    <row r="58612" spans="7:7">
      <c r="G58612" s="812"/>
    </row>
    <row r="58613" spans="7:7">
      <c r="G58613" s="812"/>
    </row>
    <row r="58614" spans="7:7">
      <c r="G58614" s="812"/>
    </row>
    <row r="58615" spans="7:7">
      <c r="G58615" s="812"/>
    </row>
    <row r="58616" spans="7:7">
      <c r="G58616" s="812"/>
    </row>
    <row r="58617" spans="7:7">
      <c r="G58617" s="812"/>
    </row>
    <row r="58618" spans="7:7">
      <c r="G58618" s="812"/>
    </row>
    <row r="58619" spans="7:7">
      <c r="G58619" s="812"/>
    </row>
    <row r="58620" spans="7:7">
      <c r="G58620" s="812"/>
    </row>
    <row r="58621" spans="7:7">
      <c r="G58621" s="812"/>
    </row>
    <row r="58622" spans="7:7">
      <c r="G58622" s="812"/>
    </row>
    <row r="58623" spans="7:7">
      <c r="G58623" s="812"/>
    </row>
    <row r="58624" spans="7:7">
      <c r="G58624" s="812"/>
    </row>
    <row r="58625" spans="7:7">
      <c r="G58625" s="812"/>
    </row>
    <row r="58626" spans="7:7">
      <c r="G58626" s="812"/>
    </row>
    <row r="58627" spans="7:7">
      <c r="G58627" s="812"/>
    </row>
    <row r="58628" spans="7:7">
      <c r="G58628" s="812"/>
    </row>
    <row r="58629" spans="7:7">
      <c r="G58629" s="812"/>
    </row>
    <row r="58630" spans="7:7">
      <c r="G58630" s="812"/>
    </row>
    <row r="58631" spans="7:7">
      <c r="G58631" s="812"/>
    </row>
    <row r="58632" spans="7:7">
      <c r="G58632" s="812"/>
    </row>
    <row r="58633" spans="7:7">
      <c r="G58633" s="812"/>
    </row>
    <row r="58634" spans="7:7">
      <c r="G58634" s="812"/>
    </row>
    <row r="58635" spans="7:7">
      <c r="G58635" s="812"/>
    </row>
    <row r="58636" spans="7:7">
      <c r="G58636" s="812"/>
    </row>
    <row r="58637" spans="7:7">
      <c r="G58637" s="812"/>
    </row>
    <row r="58638" spans="7:7">
      <c r="G58638" s="812"/>
    </row>
    <row r="58639" spans="7:7">
      <c r="G58639" s="812"/>
    </row>
    <row r="58640" spans="7:7">
      <c r="G58640" s="812"/>
    </row>
    <row r="58641" spans="7:7">
      <c r="G58641" s="812"/>
    </row>
    <row r="58642" spans="7:7">
      <c r="G58642" s="812"/>
    </row>
    <row r="58643" spans="7:7">
      <c r="G58643" s="812"/>
    </row>
    <row r="58644" spans="7:7">
      <c r="G58644" s="812"/>
    </row>
    <row r="58645" spans="7:7">
      <c r="G58645" s="812"/>
    </row>
    <row r="58646" spans="7:7">
      <c r="G58646" s="812"/>
    </row>
    <row r="58647" spans="7:7">
      <c r="G58647" s="812"/>
    </row>
    <row r="58648" spans="7:7">
      <c r="G58648" s="812"/>
    </row>
    <row r="58649" spans="7:7">
      <c r="G58649" s="812"/>
    </row>
    <row r="58650" spans="7:7">
      <c r="G58650" s="812"/>
    </row>
    <row r="58651" spans="7:7">
      <c r="G58651" s="812"/>
    </row>
    <row r="58652" spans="7:7">
      <c r="G58652" s="812"/>
    </row>
    <row r="58653" spans="7:7">
      <c r="G58653" s="812"/>
    </row>
    <row r="58654" spans="7:7">
      <c r="G58654" s="812"/>
    </row>
    <row r="58655" spans="7:7">
      <c r="G58655" s="812"/>
    </row>
    <row r="58656" spans="7:7">
      <c r="G58656" s="812"/>
    </row>
    <row r="58657" spans="7:7">
      <c r="G58657" s="812"/>
    </row>
    <row r="58658" spans="7:7">
      <c r="G58658" s="812"/>
    </row>
    <row r="58659" spans="7:7">
      <c r="G58659" s="812"/>
    </row>
    <row r="58660" spans="7:7">
      <c r="G58660" s="812"/>
    </row>
    <row r="58661" spans="7:7">
      <c r="G58661" s="812"/>
    </row>
    <row r="58662" spans="7:7">
      <c r="G58662" s="812"/>
    </row>
    <row r="58663" spans="7:7">
      <c r="G58663" s="812"/>
    </row>
    <row r="58664" spans="7:7">
      <c r="G58664" s="812"/>
    </row>
    <row r="58665" spans="7:7">
      <c r="G58665" s="812"/>
    </row>
    <row r="58666" spans="7:7">
      <c r="G58666" s="812"/>
    </row>
    <row r="58667" spans="7:7">
      <c r="G58667" s="812"/>
    </row>
    <row r="58668" spans="7:7">
      <c r="G58668" s="812"/>
    </row>
    <row r="58669" spans="7:7">
      <c r="G58669" s="812"/>
    </row>
    <row r="58670" spans="7:7">
      <c r="G58670" s="812"/>
    </row>
    <row r="58671" spans="7:7">
      <c r="G58671" s="812"/>
    </row>
    <row r="58672" spans="7:7">
      <c r="G58672" s="812"/>
    </row>
    <row r="58673" spans="7:7">
      <c r="G58673" s="812"/>
    </row>
    <row r="58674" spans="7:7">
      <c r="G58674" s="812"/>
    </row>
    <row r="58675" spans="7:7">
      <c r="G58675" s="812"/>
    </row>
    <row r="58676" spans="7:7">
      <c r="G58676" s="812"/>
    </row>
    <row r="58677" spans="7:7">
      <c r="G58677" s="812"/>
    </row>
    <row r="58678" spans="7:7">
      <c r="G58678" s="812"/>
    </row>
    <row r="58679" spans="7:7">
      <c r="G58679" s="812"/>
    </row>
    <row r="58680" spans="7:7">
      <c r="G58680" s="812"/>
    </row>
    <row r="58681" spans="7:7">
      <c r="G58681" s="812"/>
    </row>
    <row r="58682" spans="7:7">
      <c r="G58682" s="812"/>
    </row>
    <row r="58683" spans="7:7">
      <c r="G58683" s="812"/>
    </row>
    <row r="58684" spans="7:7">
      <c r="G58684" s="812"/>
    </row>
    <row r="58685" spans="7:7">
      <c r="G58685" s="812"/>
    </row>
    <row r="58686" spans="7:7">
      <c r="G58686" s="812"/>
    </row>
    <row r="58687" spans="7:7">
      <c r="G58687" s="812"/>
    </row>
    <row r="58688" spans="7:7">
      <c r="G58688" s="812"/>
    </row>
    <row r="58689" spans="7:7">
      <c r="G58689" s="812"/>
    </row>
    <row r="58690" spans="7:7">
      <c r="G58690" s="812"/>
    </row>
    <row r="58691" spans="7:7">
      <c r="G58691" s="812"/>
    </row>
    <row r="58692" spans="7:7">
      <c r="G58692" s="812"/>
    </row>
    <row r="58693" spans="7:7">
      <c r="G58693" s="812"/>
    </row>
    <row r="58694" spans="7:7">
      <c r="G58694" s="812"/>
    </row>
    <row r="58695" spans="7:7">
      <c r="G58695" s="812"/>
    </row>
    <row r="58696" spans="7:7">
      <c r="G58696" s="812"/>
    </row>
    <row r="58697" spans="7:7">
      <c r="G58697" s="812"/>
    </row>
    <row r="58698" spans="7:7">
      <c r="G58698" s="812"/>
    </row>
    <row r="58699" spans="7:7">
      <c r="G58699" s="812"/>
    </row>
    <row r="58700" spans="7:7">
      <c r="G58700" s="812"/>
    </row>
    <row r="58701" spans="7:7">
      <c r="G58701" s="812"/>
    </row>
    <row r="58702" spans="7:7">
      <c r="G58702" s="812"/>
    </row>
    <row r="58703" spans="7:7">
      <c r="G58703" s="812"/>
    </row>
    <row r="58704" spans="7:7">
      <c r="G58704" s="812"/>
    </row>
    <row r="58705" spans="7:7">
      <c r="G58705" s="812"/>
    </row>
    <row r="58706" spans="7:7">
      <c r="G58706" s="812"/>
    </row>
    <row r="58707" spans="7:7">
      <c r="G58707" s="812"/>
    </row>
    <row r="58708" spans="7:7">
      <c r="G58708" s="812"/>
    </row>
    <row r="58709" spans="7:7">
      <c r="G58709" s="812"/>
    </row>
    <row r="58710" spans="7:7">
      <c r="G58710" s="812"/>
    </row>
    <row r="58711" spans="7:7">
      <c r="G58711" s="812"/>
    </row>
    <row r="58712" spans="7:7">
      <c r="G58712" s="812"/>
    </row>
    <row r="58713" spans="7:7">
      <c r="G58713" s="812"/>
    </row>
    <row r="58714" spans="7:7">
      <c r="G58714" s="812"/>
    </row>
    <row r="58715" spans="7:7">
      <c r="G58715" s="812"/>
    </row>
    <row r="58716" spans="7:7">
      <c r="G58716" s="812"/>
    </row>
    <row r="58717" spans="7:7">
      <c r="G58717" s="812"/>
    </row>
    <row r="58718" spans="7:7">
      <c r="G58718" s="812"/>
    </row>
    <row r="58719" spans="7:7">
      <c r="G58719" s="812"/>
    </row>
    <row r="58720" spans="7:7">
      <c r="G58720" s="812"/>
    </row>
    <row r="58721" spans="7:7">
      <c r="G58721" s="812"/>
    </row>
    <row r="58722" spans="7:7">
      <c r="G58722" s="812"/>
    </row>
    <row r="58723" spans="7:7">
      <c r="G58723" s="812"/>
    </row>
    <row r="58724" spans="7:7">
      <c r="G58724" s="812"/>
    </row>
    <row r="58725" spans="7:7">
      <c r="G58725" s="812"/>
    </row>
    <row r="58726" spans="7:7">
      <c r="G58726" s="812"/>
    </row>
    <row r="58727" spans="7:7">
      <c r="G58727" s="812"/>
    </row>
    <row r="58728" spans="7:7">
      <c r="G58728" s="812"/>
    </row>
    <row r="58729" spans="7:7">
      <c r="G58729" s="812"/>
    </row>
    <row r="58730" spans="7:7">
      <c r="G58730" s="812"/>
    </row>
    <row r="58731" spans="7:7">
      <c r="G58731" s="812"/>
    </row>
    <row r="58732" spans="7:7">
      <c r="G58732" s="812"/>
    </row>
    <row r="58733" spans="7:7">
      <c r="G58733" s="812"/>
    </row>
    <row r="58734" spans="7:7">
      <c r="G58734" s="812"/>
    </row>
    <row r="58735" spans="7:7">
      <c r="G58735" s="812"/>
    </row>
    <row r="58736" spans="7:7">
      <c r="G58736" s="812"/>
    </row>
    <row r="58737" spans="7:7">
      <c r="G58737" s="812"/>
    </row>
    <row r="58738" spans="7:7">
      <c r="G58738" s="812"/>
    </row>
    <row r="58739" spans="7:7">
      <c r="G58739" s="812"/>
    </row>
    <row r="58740" spans="7:7">
      <c r="G58740" s="812"/>
    </row>
    <row r="58741" spans="7:7">
      <c r="G58741" s="812"/>
    </row>
    <row r="58742" spans="7:7">
      <c r="G58742" s="812"/>
    </row>
    <row r="58743" spans="7:7">
      <c r="G58743" s="812"/>
    </row>
    <row r="58744" spans="7:7">
      <c r="G58744" s="812"/>
    </row>
    <row r="58745" spans="7:7">
      <c r="G58745" s="812"/>
    </row>
    <row r="58746" spans="7:7">
      <c r="G58746" s="812"/>
    </row>
    <row r="58747" spans="7:7">
      <c r="G58747" s="812"/>
    </row>
    <row r="58748" spans="7:7">
      <c r="G58748" s="812"/>
    </row>
    <row r="58749" spans="7:7">
      <c r="G58749" s="812"/>
    </row>
    <row r="58750" spans="7:7">
      <c r="G58750" s="812"/>
    </row>
    <row r="58751" spans="7:7">
      <c r="G58751" s="812"/>
    </row>
    <row r="58752" spans="7:7">
      <c r="G58752" s="812"/>
    </row>
    <row r="58753" spans="7:7">
      <c r="G58753" s="812"/>
    </row>
    <row r="58754" spans="7:7">
      <c r="G58754" s="812"/>
    </row>
    <row r="58755" spans="7:7">
      <c r="G58755" s="812"/>
    </row>
    <row r="58756" spans="7:7">
      <c r="G58756" s="812"/>
    </row>
    <row r="58757" spans="7:7">
      <c r="G58757" s="812"/>
    </row>
    <row r="58758" spans="7:7">
      <c r="G58758" s="812"/>
    </row>
    <row r="58759" spans="7:7">
      <c r="G58759" s="812"/>
    </row>
    <row r="58760" spans="7:7">
      <c r="G58760" s="812"/>
    </row>
    <row r="58761" spans="7:7">
      <c r="G58761" s="812"/>
    </row>
    <row r="58762" spans="7:7">
      <c r="G58762" s="812"/>
    </row>
    <row r="58763" spans="7:7">
      <c r="G58763" s="812"/>
    </row>
    <row r="58764" spans="7:7">
      <c r="G58764" s="812"/>
    </row>
    <row r="58765" spans="7:7">
      <c r="G58765" s="812"/>
    </row>
    <row r="58766" spans="7:7">
      <c r="G58766" s="812"/>
    </row>
    <row r="58767" spans="7:7">
      <c r="G58767" s="812"/>
    </row>
    <row r="58768" spans="7:7">
      <c r="G58768" s="812"/>
    </row>
    <row r="58769" spans="7:7">
      <c r="G58769" s="812"/>
    </row>
    <row r="58770" spans="7:7">
      <c r="G58770" s="812"/>
    </row>
    <row r="58771" spans="7:7">
      <c r="G58771" s="812"/>
    </row>
    <row r="58772" spans="7:7">
      <c r="G58772" s="812"/>
    </row>
    <row r="58773" spans="7:7">
      <c r="G58773" s="812"/>
    </row>
    <row r="58774" spans="7:7">
      <c r="G58774" s="812"/>
    </row>
    <row r="58775" spans="7:7">
      <c r="G58775" s="812"/>
    </row>
    <row r="58776" spans="7:7">
      <c r="G58776" s="812"/>
    </row>
    <row r="58777" spans="7:7">
      <c r="G58777" s="812"/>
    </row>
    <row r="58778" spans="7:7">
      <c r="G58778" s="812"/>
    </row>
    <row r="58779" spans="7:7">
      <c r="G58779" s="812"/>
    </row>
    <row r="58780" spans="7:7">
      <c r="G58780" s="812"/>
    </row>
    <row r="58781" spans="7:7">
      <c r="G58781" s="812"/>
    </row>
    <row r="58782" spans="7:7">
      <c r="G58782" s="812"/>
    </row>
    <row r="58783" spans="7:7">
      <c r="G58783" s="812"/>
    </row>
    <row r="58784" spans="7:7">
      <c r="G58784" s="812"/>
    </row>
    <row r="58785" spans="7:7">
      <c r="G58785" s="812"/>
    </row>
    <row r="58786" spans="7:7">
      <c r="G58786" s="812"/>
    </row>
    <row r="58787" spans="7:7">
      <c r="G58787" s="812"/>
    </row>
    <row r="58788" spans="7:7">
      <c r="G58788" s="812"/>
    </row>
    <row r="58789" spans="7:7">
      <c r="G58789" s="812"/>
    </row>
    <row r="58790" spans="7:7">
      <c r="G58790" s="812"/>
    </row>
    <row r="58791" spans="7:7">
      <c r="G58791" s="812"/>
    </row>
    <row r="58792" spans="7:7">
      <c r="G58792" s="812"/>
    </row>
    <row r="58793" spans="7:7">
      <c r="G58793" s="812"/>
    </row>
    <row r="58794" spans="7:7">
      <c r="G58794" s="812"/>
    </row>
    <row r="58795" spans="7:7">
      <c r="G58795" s="812"/>
    </row>
    <row r="58796" spans="7:7">
      <c r="G58796" s="812"/>
    </row>
    <row r="58797" spans="7:7">
      <c r="G58797" s="812"/>
    </row>
    <row r="58798" spans="7:7">
      <c r="G58798" s="812"/>
    </row>
    <row r="58799" spans="7:7">
      <c r="G58799" s="812"/>
    </row>
    <row r="58800" spans="7:7">
      <c r="G58800" s="812"/>
    </row>
    <row r="58801" spans="7:7">
      <c r="G58801" s="812"/>
    </row>
    <row r="58802" spans="7:7">
      <c r="G58802" s="812"/>
    </row>
    <row r="58803" spans="7:7">
      <c r="G58803" s="812"/>
    </row>
    <row r="58804" spans="7:7">
      <c r="G58804" s="812"/>
    </row>
    <row r="58805" spans="7:7">
      <c r="G58805" s="812"/>
    </row>
    <row r="58806" spans="7:7">
      <c r="G58806" s="812"/>
    </row>
    <row r="58807" spans="7:7">
      <c r="G58807" s="812"/>
    </row>
    <row r="58808" spans="7:7">
      <c r="G58808" s="812"/>
    </row>
    <row r="58809" spans="7:7">
      <c r="G58809" s="812"/>
    </row>
    <row r="58810" spans="7:7">
      <c r="G58810" s="812"/>
    </row>
    <row r="58811" spans="7:7">
      <c r="G58811" s="812"/>
    </row>
    <row r="58812" spans="7:7">
      <c r="G58812" s="812"/>
    </row>
    <row r="58813" spans="7:7">
      <c r="G58813" s="812"/>
    </row>
    <row r="58814" spans="7:7">
      <c r="G58814" s="812"/>
    </row>
    <row r="58815" spans="7:7">
      <c r="G58815" s="812"/>
    </row>
    <row r="58816" spans="7:7">
      <c r="G58816" s="812"/>
    </row>
    <row r="58817" spans="7:7">
      <c r="G58817" s="812"/>
    </row>
    <row r="58818" spans="7:7">
      <c r="G58818" s="812"/>
    </row>
    <row r="58819" spans="7:7">
      <c r="G58819" s="812"/>
    </row>
    <row r="58820" spans="7:7">
      <c r="G58820" s="812"/>
    </row>
    <row r="58821" spans="7:7">
      <c r="G58821" s="812"/>
    </row>
    <row r="58822" spans="7:7">
      <c r="G58822" s="812"/>
    </row>
    <row r="58823" spans="7:7">
      <c r="G58823" s="812"/>
    </row>
    <row r="58824" spans="7:7">
      <c r="G58824" s="812"/>
    </row>
    <row r="58825" spans="7:7">
      <c r="G58825" s="812"/>
    </row>
    <row r="58826" spans="7:7">
      <c r="G58826" s="812"/>
    </row>
    <row r="58827" spans="7:7">
      <c r="G58827" s="812"/>
    </row>
    <row r="58828" spans="7:7">
      <c r="G58828" s="812"/>
    </row>
    <row r="58829" spans="7:7">
      <c r="G58829" s="812"/>
    </row>
    <row r="58830" spans="7:7">
      <c r="G58830" s="812"/>
    </row>
    <row r="58831" spans="7:7">
      <c r="G58831" s="812"/>
    </row>
    <row r="58832" spans="7:7">
      <c r="G58832" s="812"/>
    </row>
    <row r="58833" spans="7:7">
      <c r="G58833" s="812"/>
    </row>
    <row r="58834" spans="7:7">
      <c r="G58834" s="812"/>
    </row>
    <row r="58835" spans="7:7">
      <c r="G58835" s="812"/>
    </row>
    <row r="58836" spans="7:7">
      <c r="G58836" s="812"/>
    </row>
    <row r="58837" spans="7:7">
      <c r="G58837" s="812"/>
    </row>
    <row r="58838" spans="7:7">
      <c r="G58838" s="812"/>
    </row>
    <row r="58839" spans="7:7">
      <c r="G58839" s="812"/>
    </row>
    <row r="58840" spans="7:7">
      <c r="G58840" s="812"/>
    </row>
    <row r="58841" spans="7:7">
      <c r="G58841" s="812"/>
    </row>
    <row r="58842" spans="7:7">
      <c r="G58842" s="812"/>
    </row>
    <row r="58843" spans="7:7">
      <c r="G58843" s="812"/>
    </row>
    <row r="58844" spans="7:7">
      <c r="G58844" s="812"/>
    </row>
    <row r="58845" spans="7:7">
      <c r="G58845" s="812"/>
    </row>
    <row r="58846" spans="7:7">
      <c r="G58846" s="812"/>
    </row>
    <row r="58847" spans="7:7">
      <c r="G58847" s="812"/>
    </row>
    <row r="58848" spans="7:7">
      <c r="G58848" s="812"/>
    </row>
    <row r="58849" spans="7:7">
      <c r="G58849" s="812"/>
    </row>
    <row r="58850" spans="7:7">
      <c r="G58850" s="812"/>
    </row>
    <row r="58851" spans="7:7">
      <c r="G58851" s="812"/>
    </row>
    <row r="58852" spans="7:7">
      <c r="G58852" s="812"/>
    </row>
    <row r="58853" spans="7:7">
      <c r="G58853" s="812"/>
    </row>
    <row r="58854" spans="7:7">
      <c r="G58854" s="812"/>
    </row>
    <row r="58855" spans="7:7">
      <c r="G58855" s="812"/>
    </row>
    <row r="58856" spans="7:7">
      <c r="G58856" s="812"/>
    </row>
    <row r="58857" spans="7:7">
      <c r="G58857" s="812"/>
    </row>
    <row r="58858" spans="7:7">
      <c r="G58858" s="812"/>
    </row>
    <row r="58859" spans="7:7">
      <c r="G58859" s="812"/>
    </row>
    <row r="58860" spans="7:7">
      <c r="G58860" s="812"/>
    </row>
    <row r="58861" spans="7:7">
      <c r="G58861" s="812"/>
    </row>
    <row r="58862" spans="7:7">
      <c r="G58862" s="812"/>
    </row>
    <row r="58863" spans="7:7">
      <c r="G58863" s="812"/>
    </row>
    <row r="58864" spans="7:7">
      <c r="G58864" s="812"/>
    </row>
    <row r="58865" spans="7:7">
      <c r="G58865" s="812"/>
    </row>
    <row r="58866" spans="7:7">
      <c r="G58866" s="812"/>
    </row>
    <row r="58867" spans="7:7">
      <c r="G58867" s="812"/>
    </row>
    <row r="58868" spans="7:7">
      <c r="G58868" s="812"/>
    </row>
    <row r="58869" spans="7:7">
      <c r="G58869" s="812"/>
    </row>
    <row r="58870" spans="7:7">
      <c r="G58870" s="812"/>
    </row>
    <row r="58871" spans="7:7">
      <c r="G58871" s="812"/>
    </row>
    <row r="58872" spans="7:7">
      <c r="G58872" s="812"/>
    </row>
    <row r="58873" spans="7:7">
      <c r="G58873" s="812"/>
    </row>
    <row r="58874" spans="7:7">
      <c r="G58874" s="812"/>
    </row>
    <row r="58875" spans="7:7">
      <c r="G58875" s="812"/>
    </row>
    <row r="58876" spans="7:7">
      <c r="G58876" s="812"/>
    </row>
    <row r="58877" spans="7:7">
      <c r="G58877" s="812"/>
    </row>
    <row r="58878" spans="7:7">
      <c r="G58878" s="812"/>
    </row>
    <row r="58879" spans="7:7">
      <c r="G58879" s="812"/>
    </row>
    <row r="58880" spans="7:7">
      <c r="G58880" s="812"/>
    </row>
    <row r="58881" spans="7:7">
      <c r="G58881" s="812"/>
    </row>
    <row r="58882" spans="7:7">
      <c r="G58882" s="812"/>
    </row>
    <row r="58883" spans="7:7">
      <c r="G58883" s="812"/>
    </row>
    <row r="58884" spans="7:7">
      <c r="G58884" s="812"/>
    </row>
    <row r="58885" spans="7:7">
      <c r="G58885" s="812"/>
    </row>
    <row r="58886" spans="7:7">
      <c r="G58886" s="812"/>
    </row>
    <row r="58887" spans="7:7">
      <c r="G58887" s="812"/>
    </row>
    <row r="58888" spans="7:7">
      <c r="G58888" s="812"/>
    </row>
    <row r="58889" spans="7:7">
      <c r="G58889" s="812"/>
    </row>
    <row r="58890" spans="7:7">
      <c r="G58890" s="812"/>
    </row>
    <row r="58891" spans="7:7">
      <c r="G58891" s="812"/>
    </row>
    <row r="58892" spans="7:7">
      <c r="G58892" s="812"/>
    </row>
    <row r="58893" spans="7:7">
      <c r="G58893" s="812"/>
    </row>
    <row r="58894" spans="7:7">
      <c r="G58894" s="812"/>
    </row>
    <row r="58895" spans="7:7">
      <c r="G58895" s="812"/>
    </row>
    <row r="58896" spans="7:7">
      <c r="G58896" s="812"/>
    </row>
    <row r="58897" spans="7:7">
      <c r="G58897" s="812"/>
    </row>
    <row r="58898" spans="7:7">
      <c r="G58898" s="812"/>
    </row>
    <row r="58899" spans="7:7">
      <c r="G58899" s="812"/>
    </row>
    <row r="58900" spans="7:7">
      <c r="G58900" s="812"/>
    </row>
    <row r="58901" spans="7:7">
      <c r="G58901" s="812"/>
    </row>
    <row r="58902" spans="7:7">
      <c r="G58902" s="812"/>
    </row>
    <row r="58903" spans="7:7">
      <c r="G58903" s="812"/>
    </row>
    <row r="58904" spans="7:7">
      <c r="G58904" s="812"/>
    </row>
    <row r="58905" spans="7:7">
      <c r="G58905" s="812"/>
    </row>
    <row r="58906" spans="7:7">
      <c r="G58906" s="812"/>
    </row>
    <row r="58907" spans="7:7">
      <c r="G58907" s="812"/>
    </row>
    <row r="58908" spans="7:7">
      <c r="G58908" s="812"/>
    </row>
    <row r="58909" spans="7:7">
      <c r="G58909" s="812"/>
    </row>
    <row r="58910" spans="7:7">
      <c r="G58910" s="812"/>
    </row>
    <row r="58911" spans="7:7">
      <c r="G58911" s="812"/>
    </row>
    <row r="58912" spans="7:7">
      <c r="G58912" s="812"/>
    </row>
    <row r="58913" spans="7:7">
      <c r="G58913" s="812"/>
    </row>
    <row r="58914" spans="7:7">
      <c r="G58914" s="812"/>
    </row>
    <row r="58915" spans="7:7">
      <c r="G58915" s="812"/>
    </row>
    <row r="58916" spans="7:7">
      <c r="G58916" s="812"/>
    </row>
    <row r="58917" spans="7:7">
      <c r="G58917" s="812"/>
    </row>
    <row r="58918" spans="7:7">
      <c r="G58918" s="812"/>
    </row>
    <row r="58919" spans="7:7">
      <c r="G58919" s="812"/>
    </row>
    <row r="58920" spans="7:7">
      <c r="G58920" s="812"/>
    </row>
    <row r="58921" spans="7:7">
      <c r="G58921" s="812"/>
    </row>
    <row r="58922" spans="7:7">
      <c r="G58922" s="812"/>
    </row>
    <row r="58923" spans="7:7">
      <c r="G58923" s="812"/>
    </row>
    <row r="58924" spans="7:7">
      <c r="G58924" s="812"/>
    </row>
    <row r="58925" spans="7:7">
      <c r="G58925" s="812"/>
    </row>
    <row r="58926" spans="7:7">
      <c r="G58926" s="812"/>
    </row>
    <row r="58927" spans="7:7">
      <c r="G58927" s="812"/>
    </row>
    <row r="58928" spans="7:7">
      <c r="G58928" s="812"/>
    </row>
    <row r="58929" spans="7:7">
      <c r="G58929" s="812"/>
    </row>
    <row r="58930" spans="7:7">
      <c r="G58930" s="812"/>
    </row>
    <row r="58931" spans="7:7">
      <c r="G58931" s="812"/>
    </row>
    <row r="58932" spans="7:7">
      <c r="G58932" s="812"/>
    </row>
    <row r="58933" spans="7:7">
      <c r="G58933" s="812"/>
    </row>
    <row r="58934" spans="7:7">
      <c r="G58934" s="812"/>
    </row>
    <row r="58935" spans="7:7">
      <c r="G58935" s="812"/>
    </row>
    <row r="58936" spans="7:7">
      <c r="G58936" s="812"/>
    </row>
    <row r="58937" spans="7:7">
      <c r="G58937" s="812"/>
    </row>
    <row r="58938" spans="7:7">
      <c r="G58938" s="812"/>
    </row>
    <row r="58939" spans="7:7">
      <c r="G58939" s="812"/>
    </row>
    <row r="58940" spans="7:7">
      <c r="G58940" s="812"/>
    </row>
    <row r="58941" spans="7:7">
      <c r="G58941" s="812"/>
    </row>
    <row r="58942" spans="7:7">
      <c r="G58942" s="812"/>
    </row>
    <row r="58943" spans="7:7">
      <c r="G58943" s="812"/>
    </row>
    <row r="58944" spans="7:7">
      <c r="G58944" s="812"/>
    </row>
    <row r="58945" spans="7:7">
      <c r="G58945" s="812"/>
    </row>
    <row r="58946" spans="7:7">
      <c r="G58946" s="812"/>
    </row>
    <row r="58947" spans="7:7">
      <c r="G58947" s="812"/>
    </row>
    <row r="58948" spans="7:7">
      <c r="G58948" s="812"/>
    </row>
    <row r="58949" spans="7:7">
      <c r="G58949" s="812"/>
    </row>
    <row r="58950" spans="7:7">
      <c r="G58950" s="812"/>
    </row>
    <row r="58951" spans="7:7">
      <c r="G58951" s="812"/>
    </row>
    <row r="58952" spans="7:7">
      <c r="G58952" s="812"/>
    </row>
    <row r="58953" spans="7:7">
      <c r="G58953" s="812"/>
    </row>
    <row r="58954" spans="7:7">
      <c r="G58954" s="812"/>
    </row>
    <row r="58955" spans="7:7">
      <c r="G58955" s="812"/>
    </row>
    <row r="58956" spans="7:7">
      <c r="G58956" s="812"/>
    </row>
    <row r="58957" spans="7:7">
      <c r="G58957" s="812"/>
    </row>
    <row r="58958" spans="7:7">
      <c r="G58958" s="812"/>
    </row>
    <row r="58959" spans="7:7">
      <c r="G58959" s="812"/>
    </row>
    <row r="58960" spans="7:7">
      <c r="G58960" s="812"/>
    </row>
    <row r="58961" spans="7:7">
      <c r="G58961" s="812"/>
    </row>
    <row r="58962" spans="7:7">
      <c r="G58962" s="812"/>
    </row>
    <row r="58963" spans="7:7">
      <c r="G58963" s="812"/>
    </row>
    <row r="58964" spans="7:7">
      <c r="G58964" s="812"/>
    </row>
    <row r="58965" spans="7:7">
      <c r="G58965" s="812"/>
    </row>
    <row r="58966" spans="7:7">
      <c r="G58966" s="812"/>
    </row>
    <row r="58967" spans="7:7">
      <c r="G58967" s="812"/>
    </row>
    <row r="58968" spans="7:7">
      <c r="G58968" s="812"/>
    </row>
    <row r="58969" spans="7:7">
      <c r="G58969" s="812"/>
    </row>
    <row r="58970" spans="7:7">
      <c r="G58970" s="812"/>
    </row>
    <row r="58971" spans="7:7">
      <c r="G58971" s="812"/>
    </row>
    <row r="58972" spans="7:7">
      <c r="G58972" s="812"/>
    </row>
    <row r="58973" spans="7:7">
      <c r="G58973" s="812"/>
    </row>
    <row r="58974" spans="7:7">
      <c r="G58974" s="812"/>
    </row>
    <row r="58975" spans="7:7">
      <c r="G58975" s="812"/>
    </row>
    <row r="58976" spans="7:7">
      <c r="G58976" s="812"/>
    </row>
    <row r="58977" spans="7:7">
      <c r="G58977" s="812"/>
    </row>
    <row r="58978" spans="7:7">
      <c r="G58978" s="812"/>
    </row>
    <row r="58979" spans="7:7">
      <c r="G58979" s="812"/>
    </row>
    <row r="58980" spans="7:7">
      <c r="G58980" s="812"/>
    </row>
    <row r="58981" spans="7:7">
      <c r="G58981" s="812"/>
    </row>
    <row r="58982" spans="7:7">
      <c r="G58982" s="812"/>
    </row>
    <row r="58983" spans="7:7">
      <c r="G58983" s="812"/>
    </row>
    <row r="58984" spans="7:7">
      <c r="G58984" s="812"/>
    </row>
    <row r="58985" spans="7:7">
      <c r="G58985" s="812"/>
    </row>
    <row r="58986" spans="7:7">
      <c r="G58986" s="812"/>
    </row>
    <row r="58987" spans="7:7">
      <c r="G58987" s="812"/>
    </row>
    <row r="58988" spans="7:7">
      <c r="G58988" s="812"/>
    </row>
    <row r="58989" spans="7:7">
      <c r="G58989" s="812"/>
    </row>
    <row r="58990" spans="7:7">
      <c r="G58990" s="812"/>
    </row>
    <row r="58991" spans="7:7">
      <c r="G58991" s="812"/>
    </row>
    <row r="58992" spans="7:7">
      <c r="G58992" s="812"/>
    </row>
    <row r="58993" spans="7:7">
      <c r="G58993" s="812"/>
    </row>
    <row r="58994" spans="7:7">
      <c r="G58994" s="812"/>
    </row>
    <row r="58995" spans="7:7">
      <c r="G58995" s="812"/>
    </row>
    <row r="58996" spans="7:7">
      <c r="G58996" s="812"/>
    </row>
    <row r="58997" spans="7:7">
      <c r="G58997" s="812"/>
    </row>
    <row r="58998" spans="7:7">
      <c r="G58998" s="812"/>
    </row>
    <row r="58999" spans="7:7">
      <c r="G58999" s="812"/>
    </row>
    <row r="59000" spans="7:7">
      <c r="G59000" s="812"/>
    </row>
    <row r="59001" spans="7:7">
      <c r="G59001" s="812"/>
    </row>
    <row r="59002" spans="7:7">
      <c r="G59002" s="812"/>
    </row>
    <row r="59003" spans="7:7">
      <c r="G59003" s="812"/>
    </row>
    <row r="59004" spans="7:7">
      <c r="G59004" s="812"/>
    </row>
    <row r="59005" spans="7:7">
      <c r="G59005" s="812"/>
    </row>
    <row r="59006" spans="7:7">
      <c r="G59006" s="812"/>
    </row>
    <row r="59007" spans="7:7">
      <c r="G59007" s="812"/>
    </row>
    <row r="59008" spans="7:7">
      <c r="G59008" s="812"/>
    </row>
    <row r="59009" spans="7:7">
      <c r="G59009" s="812"/>
    </row>
    <row r="59010" spans="7:7">
      <c r="G59010" s="812"/>
    </row>
    <row r="59011" spans="7:7">
      <c r="G59011" s="812"/>
    </row>
    <row r="59012" spans="7:7">
      <c r="G59012" s="812"/>
    </row>
    <row r="59013" spans="7:7">
      <c r="G59013" s="812"/>
    </row>
    <row r="59014" spans="7:7">
      <c r="G59014" s="812"/>
    </row>
    <row r="59015" spans="7:7">
      <c r="G59015" s="812"/>
    </row>
    <row r="59016" spans="7:7">
      <c r="G59016" s="812"/>
    </row>
    <row r="59017" spans="7:7">
      <c r="G59017" s="812"/>
    </row>
    <row r="59018" spans="7:7">
      <c r="G59018" s="812"/>
    </row>
    <row r="59019" spans="7:7">
      <c r="G59019" s="812"/>
    </row>
    <row r="59020" spans="7:7">
      <c r="G59020" s="812"/>
    </row>
    <row r="59021" spans="7:7">
      <c r="G59021" s="812"/>
    </row>
    <row r="59022" spans="7:7">
      <c r="G59022" s="812"/>
    </row>
    <row r="59023" spans="7:7">
      <c r="G59023" s="812"/>
    </row>
    <row r="59024" spans="7:7">
      <c r="G59024" s="812"/>
    </row>
    <row r="59025" spans="7:7">
      <c r="G59025" s="812"/>
    </row>
    <row r="59026" spans="7:7">
      <c r="G59026" s="812"/>
    </row>
    <row r="59027" spans="7:7">
      <c r="G59027" s="812"/>
    </row>
    <row r="59028" spans="7:7">
      <c r="G59028" s="812"/>
    </row>
    <row r="59029" spans="7:7">
      <c r="G59029" s="812"/>
    </row>
    <row r="59030" spans="7:7">
      <c r="G59030" s="812"/>
    </row>
    <row r="59031" spans="7:7">
      <c r="G59031" s="812"/>
    </row>
    <row r="59032" spans="7:7">
      <c r="G59032" s="812"/>
    </row>
    <row r="59033" spans="7:7">
      <c r="G59033" s="812"/>
    </row>
    <row r="59034" spans="7:7">
      <c r="G59034" s="812"/>
    </row>
    <row r="59035" spans="7:7">
      <c r="G59035" s="812"/>
    </row>
    <row r="59036" spans="7:7">
      <c r="G59036" s="812"/>
    </row>
    <row r="59037" spans="7:7">
      <c r="G59037" s="812"/>
    </row>
    <row r="59038" spans="7:7">
      <c r="G59038" s="812"/>
    </row>
    <row r="59039" spans="7:7">
      <c r="G59039" s="812"/>
    </row>
    <row r="59040" spans="7:7">
      <c r="G59040" s="812"/>
    </row>
    <row r="59041" spans="7:7">
      <c r="G59041" s="812"/>
    </row>
    <row r="59042" spans="7:7">
      <c r="G59042" s="812"/>
    </row>
    <row r="59043" spans="7:7">
      <c r="G59043" s="812"/>
    </row>
    <row r="59044" spans="7:7">
      <c r="G59044" s="812"/>
    </row>
    <row r="59045" spans="7:7">
      <c r="G59045" s="812"/>
    </row>
    <row r="59046" spans="7:7">
      <c r="G59046" s="812"/>
    </row>
    <row r="59047" spans="7:7">
      <c r="G59047" s="812"/>
    </row>
    <row r="59048" spans="7:7">
      <c r="G59048" s="812"/>
    </row>
    <row r="59049" spans="7:7">
      <c r="G59049" s="812"/>
    </row>
    <row r="59050" spans="7:7">
      <c r="G59050" s="812"/>
    </row>
    <row r="59051" spans="7:7">
      <c r="G59051" s="812"/>
    </row>
    <row r="59052" spans="7:7">
      <c r="G59052" s="812"/>
    </row>
    <row r="59053" spans="7:7">
      <c r="G59053" s="812"/>
    </row>
    <row r="59054" spans="7:7">
      <c r="G59054" s="812"/>
    </row>
    <row r="59055" spans="7:7">
      <c r="G59055" s="812"/>
    </row>
    <row r="59056" spans="7:7">
      <c r="G59056" s="812"/>
    </row>
    <row r="59057" spans="7:7">
      <c r="G59057" s="812"/>
    </row>
    <row r="59058" spans="7:7">
      <c r="G59058" s="812"/>
    </row>
    <row r="59059" spans="7:7">
      <c r="G59059" s="812"/>
    </row>
    <row r="59060" spans="7:7">
      <c r="G59060" s="812"/>
    </row>
    <row r="59061" spans="7:7">
      <c r="G59061" s="812"/>
    </row>
    <row r="59062" spans="7:7">
      <c r="G59062" s="812"/>
    </row>
    <row r="59063" spans="7:7">
      <c r="G59063" s="812"/>
    </row>
    <row r="59064" spans="7:7">
      <c r="G59064" s="812"/>
    </row>
    <row r="59065" spans="7:7">
      <c r="G59065" s="812"/>
    </row>
    <row r="59066" spans="7:7">
      <c r="G59066" s="812"/>
    </row>
    <row r="59067" spans="7:7">
      <c r="G59067" s="812"/>
    </row>
    <row r="59068" spans="7:7">
      <c r="G59068" s="812"/>
    </row>
    <row r="59069" spans="7:7">
      <c r="G59069" s="812"/>
    </row>
    <row r="59070" spans="7:7">
      <c r="G59070" s="812"/>
    </row>
    <row r="59071" spans="7:7">
      <c r="G59071" s="812"/>
    </row>
    <row r="59072" spans="7:7">
      <c r="G59072" s="812"/>
    </row>
    <row r="59073" spans="7:7">
      <c r="G59073" s="812"/>
    </row>
    <row r="59074" spans="7:7">
      <c r="G59074" s="812"/>
    </row>
    <row r="59075" spans="7:7">
      <c r="G59075" s="812"/>
    </row>
    <row r="59076" spans="7:7">
      <c r="G59076" s="812"/>
    </row>
    <row r="59077" spans="7:7">
      <c r="G59077" s="812"/>
    </row>
    <row r="59078" spans="7:7">
      <c r="G59078" s="812"/>
    </row>
    <row r="59079" spans="7:7">
      <c r="G59079" s="812"/>
    </row>
    <row r="59080" spans="7:7">
      <c r="G59080" s="812"/>
    </row>
    <row r="59081" spans="7:7">
      <c r="G59081" s="812"/>
    </row>
    <row r="59082" spans="7:7">
      <c r="G59082" s="812"/>
    </row>
    <row r="59083" spans="7:7">
      <c r="G59083" s="812"/>
    </row>
    <row r="59084" spans="7:7">
      <c r="G59084" s="812"/>
    </row>
    <row r="59085" spans="7:7">
      <c r="G59085" s="812"/>
    </row>
    <row r="59086" spans="7:7">
      <c r="G59086" s="812"/>
    </row>
    <row r="59087" spans="7:7">
      <c r="G59087" s="812"/>
    </row>
    <row r="59088" spans="7:7">
      <c r="G59088" s="812"/>
    </row>
    <row r="59089" spans="7:7">
      <c r="G59089" s="812"/>
    </row>
    <row r="59090" spans="7:7">
      <c r="G59090" s="812"/>
    </row>
    <row r="59091" spans="7:7">
      <c r="G59091" s="812"/>
    </row>
    <row r="59092" spans="7:7">
      <c r="G59092" s="812"/>
    </row>
    <row r="59093" spans="7:7">
      <c r="G59093" s="812"/>
    </row>
    <row r="59094" spans="7:7">
      <c r="G59094" s="812"/>
    </row>
    <row r="59095" spans="7:7">
      <c r="G59095" s="812"/>
    </row>
    <row r="59096" spans="7:7">
      <c r="G59096" s="812"/>
    </row>
    <row r="59097" spans="7:7">
      <c r="G59097" s="812"/>
    </row>
    <row r="59098" spans="7:7">
      <c r="G59098" s="812"/>
    </row>
    <row r="59099" spans="7:7">
      <c r="G59099" s="812"/>
    </row>
    <row r="59100" spans="7:7">
      <c r="G59100" s="812"/>
    </row>
    <row r="59101" spans="7:7">
      <c r="G59101" s="812"/>
    </row>
    <row r="59102" spans="7:7">
      <c r="G59102" s="812"/>
    </row>
    <row r="59103" spans="7:7">
      <c r="G59103" s="812"/>
    </row>
    <row r="59104" spans="7:7">
      <c r="G59104" s="812"/>
    </row>
    <row r="59105" spans="7:7">
      <c r="G59105" s="812"/>
    </row>
    <row r="59106" spans="7:7">
      <c r="G59106" s="812"/>
    </row>
    <row r="59107" spans="7:7">
      <c r="G59107" s="812"/>
    </row>
    <row r="59108" spans="7:7">
      <c r="G59108" s="812"/>
    </row>
    <row r="59109" spans="7:7">
      <c r="G59109" s="812"/>
    </row>
    <row r="59110" spans="7:7">
      <c r="G59110" s="812"/>
    </row>
    <row r="59111" spans="7:7">
      <c r="G59111" s="812"/>
    </row>
    <row r="59112" spans="7:7">
      <c r="G59112" s="812"/>
    </row>
    <row r="59113" spans="7:7">
      <c r="G59113" s="812"/>
    </row>
    <row r="59114" spans="7:7">
      <c r="G59114" s="812"/>
    </row>
    <row r="59115" spans="7:7">
      <c r="G59115" s="812"/>
    </row>
    <row r="59116" spans="7:7">
      <c r="G59116" s="812"/>
    </row>
    <row r="59117" spans="7:7">
      <c r="G59117" s="812"/>
    </row>
    <row r="59118" spans="7:7">
      <c r="G59118" s="812"/>
    </row>
    <row r="59119" spans="7:7">
      <c r="G59119" s="812"/>
    </row>
    <row r="59120" spans="7:7">
      <c r="G59120" s="812"/>
    </row>
    <row r="59121" spans="7:7">
      <c r="G59121" s="812"/>
    </row>
    <row r="59122" spans="7:7">
      <c r="G59122" s="812"/>
    </row>
    <row r="59123" spans="7:7">
      <c r="G59123" s="812"/>
    </row>
    <row r="59124" spans="7:7">
      <c r="G59124" s="812"/>
    </row>
    <row r="59125" spans="7:7">
      <c r="G59125" s="812"/>
    </row>
    <row r="59126" spans="7:7">
      <c r="G59126" s="812"/>
    </row>
    <row r="59127" spans="7:7">
      <c r="G59127" s="812"/>
    </row>
    <row r="59128" spans="7:7">
      <c r="G59128" s="812"/>
    </row>
    <row r="59129" spans="7:7">
      <c r="G59129" s="812"/>
    </row>
    <row r="59130" spans="7:7">
      <c r="G59130" s="812"/>
    </row>
    <row r="59131" spans="7:7">
      <c r="G59131" s="812"/>
    </row>
    <row r="59132" spans="7:7">
      <c r="G59132" s="812"/>
    </row>
    <row r="59133" spans="7:7">
      <c r="G59133" s="812"/>
    </row>
    <row r="59134" spans="7:7">
      <c r="G59134" s="812"/>
    </row>
    <row r="59135" spans="7:7">
      <c r="G59135" s="812"/>
    </row>
    <row r="59136" spans="7:7">
      <c r="G59136" s="812"/>
    </row>
    <row r="59137" spans="7:7">
      <c r="G59137" s="812"/>
    </row>
    <row r="59138" spans="7:7">
      <c r="G59138" s="812"/>
    </row>
    <row r="59139" spans="7:7">
      <c r="G59139" s="812"/>
    </row>
    <row r="59140" spans="7:7">
      <c r="G59140" s="812"/>
    </row>
    <row r="59141" spans="7:7">
      <c r="G59141" s="812"/>
    </row>
    <row r="59142" spans="7:7">
      <c r="G59142" s="812"/>
    </row>
    <row r="59143" spans="7:7">
      <c r="G59143" s="812"/>
    </row>
    <row r="59144" spans="7:7">
      <c r="G59144" s="812"/>
    </row>
    <row r="59145" spans="7:7">
      <c r="G59145" s="812"/>
    </row>
    <row r="59146" spans="7:7">
      <c r="G59146" s="812"/>
    </row>
    <row r="59147" spans="7:7">
      <c r="G59147" s="812"/>
    </row>
    <row r="59148" spans="7:7">
      <c r="G59148" s="812"/>
    </row>
    <row r="59149" spans="7:7">
      <c r="G59149" s="812"/>
    </row>
    <row r="59150" spans="7:7">
      <c r="G59150" s="812"/>
    </row>
    <row r="59151" spans="7:7">
      <c r="G59151" s="812"/>
    </row>
    <row r="59152" spans="7:7">
      <c r="G59152" s="812"/>
    </row>
    <row r="59153" spans="7:7">
      <c r="G59153" s="812"/>
    </row>
    <row r="59154" spans="7:7">
      <c r="G59154" s="812"/>
    </row>
    <row r="59155" spans="7:7">
      <c r="G59155" s="812"/>
    </row>
    <row r="59156" spans="7:7">
      <c r="G59156" s="812"/>
    </row>
    <row r="59157" spans="7:7">
      <c r="G59157" s="812"/>
    </row>
    <row r="59158" spans="7:7">
      <c r="G59158" s="812"/>
    </row>
    <row r="59159" spans="7:7">
      <c r="G59159" s="812"/>
    </row>
    <row r="59160" spans="7:7">
      <c r="G59160" s="812"/>
    </row>
    <row r="59161" spans="7:7">
      <c r="G59161" s="812"/>
    </row>
    <row r="59162" spans="7:7">
      <c r="G59162" s="812"/>
    </row>
    <row r="59163" spans="7:7">
      <c r="G59163" s="812"/>
    </row>
    <row r="59164" spans="7:7">
      <c r="G59164" s="812"/>
    </row>
    <row r="59165" spans="7:7">
      <c r="G59165" s="812"/>
    </row>
    <row r="59166" spans="7:7">
      <c r="G59166" s="812"/>
    </row>
    <row r="59167" spans="7:7">
      <c r="G59167" s="812"/>
    </row>
    <row r="59168" spans="7:7">
      <c r="G59168" s="812"/>
    </row>
    <row r="59169" spans="7:7">
      <c r="G59169" s="812"/>
    </row>
    <row r="59170" spans="7:7">
      <c r="G59170" s="812"/>
    </row>
    <row r="59171" spans="7:7">
      <c r="G59171" s="812"/>
    </row>
    <row r="59172" spans="7:7">
      <c r="G59172" s="812"/>
    </row>
    <row r="59173" spans="7:7">
      <c r="G59173" s="812"/>
    </row>
    <row r="59174" spans="7:7">
      <c r="G59174" s="812"/>
    </row>
    <row r="59175" spans="7:7">
      <c r="G59175" s="812"/>
    </row>
    <row r="59176" spans="7:7">
      <c r="G59176" s="812"/>
    </row>
    <row r="59177" spans="7:7">
      <c r="G59177" s="812"/>
    </row>
    <row r="59178" spans="7:7">
      <c r="G59178" s="812"/>
    </row>
    <row r="59179" spans="7:7">
      <c r="G59179" s="812"/>
    </row>
    <row r="59180" spans="7:7">
      <c r="G59180" s="812"/>
    </row>
    <row r="59181" spans="7:7">
      <c r="G59181" s="812"/>
    </row>
    <row r="59182" spans="7:7">
      <c r="G59182" s="812"/>
    </row>
    <row r="59183" spans="7:7">
      <c r="G59183" s="812"/>
    </row>
    <row r="59184" spans="7:7">
      <c r="G59184" s="812"/>
    </row>
    <row r="59185" spans="7:7">
      <c r="G59185" s="812"/>
    </row>
    <row r="59186" spans="7:7">
      <c r="G59186" s="812"/>
    </row>
    <row r="59187" spans="7:7">
      <c r="G59187" s="812"/>
    </row>
    <row r="59188" spans="7:7">
      <c r="G59188" s="812"/>
    </row>
    <row r="59189" spans="7:7">
      <c r="G59189" s="812"/>
    </row>
    <row r="59190" spans="7:7">
      <c r="G59190" s="812"/>
    </row>
    <row r="59191" spans="7:7">
      <c r="G59191" s="812"/>
    </row>
    <row r="59192" spans="7:7">
      <c r="G59192" s="812"/>
    </row>
    <row r="59193" spans="7:7">
      <c r="G59193" s="812"/>
    </row>
    <row r="59194" spans="7:7">
      <c r="G59194" s="812"/>
    </row>
    <row r="59195" spans="7:7">
      <c r="G59195" s="812"/>
    </row>
    <row r="59196" spans="7:7">
      <c r="G59196" s="812"/>
    </row>
    <row r="59197" spans="7:7">
      <c r="G59197" s="812"/>
    </row>
    <row r="59198" spans="7:7">
      <c r="G59198" s="812"/>
    </row>
    <row r="59199" spans="7:7">
      <c r="G59199" s="812"/>
    </row>
    <row r="59200" spans="7:7">
      <c r="G59200" s="812"/>
    </row>
    <row r="59201" spans="7:7">
      <c r="G59201" s="812"/>
    </row>
    <row r="59202" spans="7:7">
      <c r="G59202" s="812"/>
    </row>
    <row r="59203" spans="7:7">
      <c r="G59203" s="812"/>
    </row>
    <row r="59204" spans="7:7">
      <c r="G59204" s="812"/>
    </row>
    <row r="59205" spans="7:7">
      <c r="G59205" s="812"/>
    </row>
    <row r="59206" spans="7:7">
      <c r="G59206" s="812"/>
    </row>
    <row r="59207" spans="7:7">
      <c r="G59207" s="812"/>
    </row>
    <row r="59208" spans="7:7">
      <c r="G59208" s="812"/>
    </row>
    <row r="59209" spans="7:7">
      <c r="G59209" s="812"/>
    </row>
    <row r="59210" spans="7:7">
      <c r="G59210" s="812"/>
    </row>
    <row r="59211" spans="7:7">
      <c r="G59211" s="812"/>
    </row>
    <row r="59212" spans="7:7">
      <c r="G59212" s="812"/>
    </row>
    <row r="59213" spans="7:7">
      <c r="G59213" s="812"/>
    </row>
    <row r="59214" spans="7:7">
      <c r="G59214" s="812"/>
    </row>
    <row r="59215" spans="7:7">
      <c r="G59215" s="812"/>
    </row>
    <row r="59216" spans="7:7">
      <c r="G59216" s="812"/>
    </row>
    <row r="59217" spans="7:7">
      <c r="G59217" s="812"/>
    </row>
    <row r="59218" spans="7:7">
      <c r="G59218" s="812"/>
    </row>
    <row r="59219" spans="7:7">
      <c r="G59219" s="812"/>
    </row>
    <row r="59220" spans="7:7">
      <c r="G59220" s="812"/>
    </row>
    <row r="59221" spans="7:7">
      <c r="G59221" s="812"/>
    </row>
    <row r="59222" spans="7:7">
      <c r="G59222" s="812"/>
    </row>
    <row r="59223" spans="7:7">
      <c r="G59223" s="812"/>
    </row>
    <row r="59224" spans="7:7">
      <c r="G59224" s="812"/>
    </row>
    <row r="59225" spans="7:7">
      <c r="G59225" s="812"/>
    </row>
    <row r="59226" spans="7:7">
      <c r="G59226" s="812"/>
    </row>
    <row r="59227" spans="7:7">
      <c r="G59227" s="812"/>
    </row>
    <row r="59228" spans="7:7">
      <c r="G59228" s="812"/>
    </row>
    <row r="59229" spans="7:7">
      <c r="G59229" s="812"/>
    </row>
    <row r="59230" spans="7:7">
      <c r="G59230" s="812"/>
    </row>
    <row r="59231" spans="7:7">
      <c r="G59231" s="812"/>
    </row>
    <row r="59232" spans="7:7">
      <c r="G59232" s="812"/>
    </row>
    <row r="59233" spans="7:7">
      <c r="G59233" s="812"/>
    </row>
    <row r="59234" spans="7:7">
      <c r="G59234" s="812"/>
    </row>
    <row r="59235" spans="7:7">
      <c r="G59235" s="812"/>
    </row>
    <row r="59236" spans="7:7">
      <c r="G59236" s="812"/>
    </row>
    <row r="59237" spans="7:7">
      <c r="G59237" s="812"/>
    </row>
    <row r="59238" spans="7:7">
      <c r="G59238" s="812"/>
    </row>
    <row r="59239" spans="7:7">
      <c r="G59239" s="812"/>
    </row>
    <row r="59240" spans="7:7">
      <c r="G59240" s="812"/>
    </row>
    <row r="59241" spans="7:7">
      <c r="G59241" s="812"/>
    </row>
    <row r="59242" spans="7:7">
      <c r="G59242" s="812"/>
    </row>
    <row r="59243" spans="7:7">
      <c r="G59243" s="812"/>
    </row>
    <row r="59244" spans="7:7">
      <c r="G59244" s="812"/>
    </row>
    <row r="59245" spans="7:7">
      <c r="G59245" s="812"/>
    </row>
    <row r="59246" spans="7:7">
      <c r="G59246" s="812"/>
    </row>
    <row r="59247" spans="7:7">
      <c r="G59247" s="812"/>
    </row>
    <row r="59248" spans="7:7">
      <c r="G59248" s="812"/>
    </row>
    <row r="59249" spans="7:7">
      <c r="G59249" s="812"/>
    </row>
    <row r="59250" spans="7:7">
      <c r="G59250" s="812"/>
    </row>
    <row r="59251" spans="7:7">
      <c r="G59251" s="812"/>
    </row>
    <row r="59252" spans="7:7">
      <c r="G59252" s="812"/>
    </row>
    <row r="59253" spans="7:7">
      <c r="G59253" s="812"/>
    </row>
    <row r="59254" spans="7:7">
      <c r="G59254" s="812"/>
    </row>
    <row r="59255" spans="7:7">
      <c r="G59255" s="812"/>
    </row>
    <row r="59256" spans="7:7">
      <c r="G59256" s="812"/>
    </row>
    <row r="59257" spans="7:7">
      <c r="G59257" s="812"/>
    </row>
    <row r="59258" spans="7:7">
      <c r="G59258" s="812"/>
    </row>
    <row r="59259" spans="7:7">
      <c r="G59259" s="812"/>
    </row>
    <row r="59260" spans="7:7">
      <c r="G59260" s="812"/>
    </row>
    <row r="59261" spans="7:7">
      <c r="G59261" s="812"/>
    </row>
    <row r="59262" spans="7:7">
      <c r="G59262" s="812"/>
    </row>
    <row r="59263" spans="7:7">
      <c r="G59263" s="812"/>
    </row>
    <row r="59264" spans="7:7">
      <c r="G59264" s="812"/>
    </row>
    <row r="59265" spans="7:7">
      <c r="G59265" s="812"/>
    </row>
    <row r="59266" spans="7:7">
      <c r="G59266" s="812"/>
    </row>
    <row r="59267" spans="7:7">
      <c r="G59267" s="812"/>
    </row>
    <row r="59268" spans="7:7">
      <c r="G59268" s="812"/>
    </row>
    <row r="59269" spans="7:7">
      <c r="G59269" s="812"/>
    </row>
    <row r="59270" spans="7:7">
      <c r="G59270" s="812"/>
    </row>
    <row r="59271" spans="7:7">
      <c r="G59271" s="812"/>
    </row>
    <row r="59272" spans="7:7">
      <c r="G59272" s="812"/>
    </row>
    <row r="59273" spans="7:7">
      <c r="G59273" s="812"/>
    </row>
    <row r="59274" spans="7:7">
      <c r="G59274" s="812"/>
    </row>
    <row r="59275" spans="7:7">
      <c r="G59275" s="812"/>
    </row>
    <row r="59276" spans="7:7">
      <c r="G59276" s="812"/>
    </row>
    <row r="59277" spans="7:7">
      <c r="G59277" s="812"/>
    </row>
    <row r="59278" spans="7:7">
      <c r="G59278" s="812"/>
    </row>
    <row r="59279" spans="7:7">
      <c r="G59279" s="812"/>
    </row>
    <row r="59280" spans="7:7">
      <c r="G59280" s="812"/>
    </row>
    <row r="59281" spans="7:7">
      <c r="G59281" s="812"/>
    </row>
    <row r="59282" spans="7:7">
      <c r="G59282" s="812"/>
    </row>
    <row r="59283" spans="7:7">
      <c r="G59283" s="812"/>
    </row>
    <row r="59284" spans="7:7">
      <c r="G59284" s="812"/>
    </row>
    <row r="59285" spans="7:7">
      <c r="G59285" s="812"/>
    </row>
    <row r="59286" spans="7:7">
      <c r="G59286" s="812"/>
    </row>
    <row r="59287" spans="7:7">
      <c r="G59287" s="812"/>
    </row>
    <row r="59288" spans="7:7">
      <c r="G59288" s="812"/>
    </row>
    <row r="59289" spans="7:7">
      <c r="G59289" s="812"/>
    </row>
    <row r="59290" spans="7:7">
      <c r="G59290" s="812"/>
    </row>
    <row r="59291" spans="7:7">
      <c r="G59291" s="812"/>
    </row>
    <row r="59292" spans="7:7">
      <c r="G59292" s="812"/>
    </row>
    <row r="59293" spans="7:7">
      <c r="G59293" s="812"/>
    </row>
    <row r="59294" spans="7:7">
      <c r="G59294" s="812"/>
    </row>
    <row r="59295" spans="7:7">
      <c r="G59295" s="812"/>
    </row>
    <row r="59296" spans="7:7">
      <c r="G59296" s="812"/>
    </row>
    <row r="59297" spans="7:7">
      <c r="G59297" s="812"/>
    </row>
    <row r="59298" spans="7:7">
      <c r="G59298" s="812"/>
    </row>
    <row r="59299" spans="7:7">
      <c r="G59299" s="812"/>
    </row>
    <row r="59300" spans="7:7">
      <c r="G59300" s="812"/>
    </row>
    <row r="59301" spans="7:7">
      <c r="G59301" s="812"/>
    </row>
    <row r="59302" spans="7:7">
      <c r="G59302" s="812"/>
    </row>
    <row r="59303" spans="7:7">
      <c r="G59303" s="812"/>
    </row>
    <row r="59304" spans="7:7">
      <c r="G59304" s="812"/>
    </row>
    <row r="59305" spans="7:7">
      <c r="G59305" s="812"/>
    </row>
    <row r="59306" spans="7:7">
      <c r="G59306" s="812"/>
    </row>
    <row r="59307" spans="7:7">
      <c r="G59307" s="812"/>
    </row>
    <row r="59308" spans="7:7">
      <c r="G59308" s="812"/>
    </row>
    <row r="59309" spans="7:7">
      <c r="G59309" s="812"/>
    </row>
    <row r="59310" spans="7:7">
      <c r="G59310" s="812"/>
    </row>
    <row r="59311" spans="7:7">
      <c r="G59311" s="812"/>
    </row>
    <row r="59312" spans="7:7">
      <c r="G59312" s="812"/>
    </row>
    <row r="59313" spans="7:7">
      <c r="G59313" s="812"/>
    </row>
    <row r="59314" spans="7:7">
      <c r="G59314" s="812"/>
    </row>
    <row r="59315" spans="7:7">
      <c r="G59315" s="812"/>
    </row>
    <row r="59316" spans="7:7">
      <c r="G59316" s="812"/>
    </row>
    <row r="59317" spans="7:7">
      <c r="G59317" s="812"/>
    </row>
    <row r="59318" spans="7:7">
      <c r="G59318" s="812"/>
    </row>
    <row r="59319" spans="7:7">
      <c r="G59319" s="812"/>
    </row>
    <row r="59320" spans="7:7">
      <c r="G59320" s="812"/>
    </row>
    <row r="59321" spans="7:7">
      <c r="G59321" s="812"/>
    </row>
    <row r="59322" spans="7:7">
      <c r="G59322" s="812"/>
    </row>
    <row r="59323" spans="7:7">
      <c r="G59323" s="812"/>
    </row>
    <row r="59324" spans="7:7">
      <c r="G59324" s="812"/>
    </row>
    <row r="59325" spans="7:7">
      <c r="G59325" s="812"/>
    </row>
    <row r="59326" spans="7:7">
      <c r="G59326" s="812"/>
    </row>
    <row r="59327" spans="7:7">
      <c r="G59327" s="812"/>
    </row>
    <row r="59328" spans="7:7">
      <c r="G59328" s="812"/>
    </row>
    <row r="59329" spans="7:7">
      <c r="G59329" s="812"/>
    </row>
    <row r="59330" spans="7:7">
      <c r="G59330" s="812"/>
    </row>
    <row r="59331" spans="7:7">
      <c r="G59331" s="812"/>
    </row>
    <row r="59332" spans="7:7">
      <c r="G59332" s="812"/>
    </row>
    <row r="59333" spans="7:7">
      <c r="G59333" s="812"/>
    </row>
    <row r="59334" spans="7:7">
      <c r="G59334" s="812"/>
    </row>
    <row r="59335" spans="7:7">
      <c r="G59335" s="812"/>
    </row>
    <row r="59336" spans="7:7">
      <c r="G59336" s="812"/>
    </row>
    <row r="59337" spans="7:7">
      <c r="G59337" s="812"/>
    </row>
    <row r="59338" spans="7:7">
      <c r="G59338" s="812"/>
    </row>
    <row r="59339" spans="7:7">
      <c r="G59339" s="812"/>
    </row>
    <row r="59340" spans="7:7">
      <c r="G59340" s="812"/>
    </row>
    <row r="59341" spans="7:7">
      <c r="G59341" s="812"/>
    </row>
    <row r="59342" spans="7:7">
      <c r="G59342" s="812"/>
    </row>
    <row r="59343" spans="7:7">
      <c r="G59343" s="812"/>
    </row>
    <row r="59344" spans="7:7">
      <c r="G59344" s="812"/>
    </row>
    <row r="59345" spans="7:7">
      <c r="G59345" s="812"/>
    </row>
    <row r="59346" spans="7:7">
      <c r="G59346" s="812"/>
    </row>
    <row r="59347" spans="7:7">
      <c r="G59347" s="812"/>
    </row>
    <row r="59348" spans="7:7">
      <c r="G59348" s="812"/>
    </row>
    <row r="59349" spans="7:7">
      <c r="G59349" s="812"/>
    </row>
    <row r="59350" spans="7:7">
      <c r="G59350" s="812"/>
    </row>
    <row r="59351" spans="7:7">
      <c r="G59351" s="812"/>
    </row>
    <row r="59352" spans="7:7">
      <c r="G59352" s="812"/>
    </row>
    <row r="59353" spans="7:7">
      <c r="G59353" s="812"/>
    </row>
    <row r="59354" spans="7:7">
      <c r="G59354" s="812"/>
    </row>
    <row r="59355" spans="7:7">
      <c r="G59355" s="812"/>
    </row>
    <row r="59356" spans="7:7">
      <c r="G59356" s="812"/>
    </row>
    <row r="59357" spans="7:7">
      <c r="G59357" s="812"/>
    </row>
    <row r="59358" spans="7:7">
      <c r="G59358" s="812"/>
    </row>
    <row r="59359" spans="7:7">
      <c r="G59359" s="812"/>
    </row>
    <row r="59360" spans="7:7">
      <c r="G59360" s="812"/>
    </row>
    <row r="59361" spans="7:7">
      <c r="G59361" s="812"/>
    </row>
    <row r="59362" spans="7:7">
      <c r="G59362" s="812"/>
    </row>
    <row r="59363" spans="7:7">
      <c r="G59363" s="812"/>
    </row>
    <row r="59364" spans="7:7">
      <c r="G59364" s="812"/>
    </row>
    <row r="59365" spans="7:7">
      <c r="G59365" s="812"/>
    </row>
    <row r="59366" spans="7:7">
      <c r="G59366" s="812"/>
    </row>
    <row r="59367" spans="7:7">
      <c r="G59367" s="812"/>
    </row>
    <row r="59368" spans="7:7">
      <c r="G59368" s="812"/>
    </row>
    <row r="59369" spans="7:7">
      <c r="G59369" s="812"/>
    </row>
    <row r="59370" spans="7:7">
      <c r="G59370" s="812"/>
    </row>
    <row r="59371" spans="7:7">
      <c r="G59371" s="812"/>
    </row>
    <row r="59372" spans="7:7">
      <c r="G59372" s="812"/>
    </row>
    <row r="59373" spans="7:7">
      <c r="G59373" s="812"/>
    </row>
    <row r="59374" spans="7:7">
      <c r="G59374" s="812"/>
    </row>
    <row r="59375" spans="7:7">
      <c r="G59375" s="812"/>
    </row>
    <row r="59376" spans="7:7">
      <c r="G59376" s="812"/>
    </row>
    <row r="59377" spans="7:7">
      <c r="G59377" s="812"/>
    </row>
    <row r="59378" spans="7:7">
      <c r="G59378" s="812"/>
    </row>
    <row r="59379" spans="7:7">
      <c r="G59379" s="812"/>
    </row>
    <row r="59380" spans="7:7">
      <c r="G59380" s="812"/>
    </row>
    <row r="59381" spans="7:7">
      <c r="G59381" s="812"/>
    </row>
    <row r="59382" spans="7:7">
      <c r="G59382" s="812"/>
    </row>
    <row r="59383" spans="7:7">
      <c r="G59383" s="812"/>
    </row>
    <row r="59384" spans="7:7">
      <c r="G59384" s="812"/>
    </row>
    <row r="59385" spans="7:7">
      <c r="G59385" s="812"/>
    </row>
    <row r="59386" spans="7:7">
      <c r="G59386" s="812"/>
    </row>
    <row r="59387" spans="7:7">
      <c r="G59387" s="812"/>
    </row>
    <row r="59388" spans="7:7">
      <c r="G59388" s="812"/>
    </row>
    <row r="59389" spans="7:7">
      <c r="G59389" s="812"/>
    </row>
    <row r="59390" spans="7:7">
      <c r="G59390" s="812"/>
    </row>
    <row r="59391" spans="7:7">
      <c r="G59391" s="812"/>
    </row>
    <row r="59392" spans="7:7">
      <c r="G59392" s="812"/>
    </row>
    <row r="59393" spans="7:7">
      <c r="G59393" s="812"/>
    </row>
    <row r="59394" spans="7:7">
      <c r="G59394" s="812"/>
    </row>
    <row r="59395" spans="7:7">
      <c r="G59395" s="812"/>
    </row>
    <row r="59396" spans="7:7">
      <c r="G59396" s="812"/>
    </row>
    <row r="59397" spans="7:7">
      <c r="G59397" s="812"/>
    </row>
    <row r="59398" spans="7:7">
      <c r="G59398" s="812"/>
    </row>
    <row r="59399" spans="7:7">
      <c r="G59399" s="812"/>
    </row>
    <row r="59400" spans="7:7">
      <c r="G59400" s="812"/>
    </row>
    <row r="59401" spans="7:7">
      <c r="G59401" s="812"/>
    </row>
    <row r="59402" spans="7:7">
      <c r="G59402" s="812"/>
    </row>
    <row r="59403" spans="7:7">
      <c r="G59403" s="812"/>
    </row>
    <row r="59404" spans="7:7">
      <c r="G59404" s="812"/>
    </row>
    <row r="59405" spans="7:7">
      <c r="G59405" s="812"/>
    </row>
    <row r="59406" spans="7:7">
      <c r="G59406" s="812"/>
    </row>
    <row r="59407" spans="7:7">
      <c r="G59407" s="812"/>
    </row>
    <row r="59408" spans="7:7">
      <c r="G59408" s="812"/>
    </row>
    <row r="59409" spans="7:7">
      <c r="G59409" s="812"/>
    </row>
    <row r="59410" spans="7:7">
      <c r="G59410" s="812"/>
    </row>
    <row r="59411" spans="7:7">
      <c r="G59411" s="812"/>
    </row>
    <row r="59412" spans="7:7">
      <c r="G59412" s="812"/>
    </row>
    <row r="59413" spans="7:7">
      <c r="G59413" s="812"/>
    </row>
    <row r="59414" spans="7:7">
      <c r="G59414" s="812"/>
    </row>
    <row r="59415" spans="7:7">
      <c r="G59415" s="812"/>
    </row>
    <row r="59416" spans="7:7">
      <c r="G59416" s="812"/>
    </row>
    <row r="59417" spans="7:7">
      <c r="G59417" s="812"/>
    </row>
    <row r="59418" spans="7:7">
      <c r="G59418" s="812"/>
    </row>
    <row r="59419" spans="7:7">
      <c r="G59419" s="812"/>
    </row>
    <row r="59420" spans="7:7">
      <c r="G59420" s="812"/>
    </row>
    <row r="59421" spans="7:7">
      <c r="G59421" s="812"/>
    </row>
    <row r="59422" spans="7:7">
      <c r="G59422" s="812"/>
    </row>
    <row r="59423" spans="7:7">
      <c r="G59423" s="812"/>
    </row>
    <row r="59424" spans="7:7">
      <c r="G59424" s="812"/>
    </row>
    <row r="59425" spans="7:7">
      <c r="G59425" s="812"/>
    </row>
    <row r="59426" spans="7:7">
      <c r="G59426" s="812"/>
    </row>
    <row r="59427" spans="7:7">
      <c r="G59427" s="812"/>
    </row>
    <row r="59428" spans="7:7">
      <c r="G59428" s="812"/>
    </row>
    <row r="59429" spans="7:7">
      <c r="G59429" s="812"/>
    </row>
    <row r="59430" spans="7:7">
      <c r="G59430" s="812"/>
    </row>
    <row r="59431" spans="7:7">
      <c r="G59431" s="812"/>
    </row>
    <row r="59432" spans="7:7">
      <c r="G59432" s="812"/>
    </row>
    <row r="59433" spans="7:7">
      <c r="G59433" s="812"/>
    </row>
    <row r="59434" spans="7:7">
      <c r="G59434" s="812"/>
    </row>
    <row r="59435" spans="7:7">
      <c r="G59435" s="812"/>
    </row>
    <row r="59436" spans="7:7">
      <c r="G59436" s="812"/>
    </row>
    <row r="59437" spans="7:7">
      <c r="G59437" s="812"/>
    </row>
    <row r="59438" spans="7:7">
      <c r="G59438" s="812"/>
    </row>
    <row r="59439" spans="7:7">
      <c r="G59439" s="812"/>
    </row>
    <row r="59440" spans="7:7">
      <c r="G59440" s="812"/>
    </row>
    <row r="59441" spans="7:7">
      <c r="G59441" s="812"/>
    </row>
    <row r="59442" spans="7:7">
      <c r="G59442" s="812"/>
    </row>
    <row r="59443" spans="7:7">
      <c r="G59443" s="812"/>
    </row>
    <row r="59444" spans="7:7">
      <c r="G59444" s="812"/>
    </row>
    <row r="59445" spans="7:7">
      <c r="G59445" s="812"/>
    </row>
    <row r="59446" spans="7:7">
      <c r="G59446" s="812"/>
    </row>
    <row r="59447" spans="7:7">
      <c r="G59447" s="812"/>
    </row>
    <row r="59448" spans="7:7">
      <c r="G59448" s="812"/>
    </row>
    <row r="59449" spans="7:7">
      <c r="G59449" s="812"/>
    </row>
    <row r="59450" spans="7:7">
      <c r="G59450" s="812"/>
    </row>
    <row r="59451" spans="7:7">
      <c r="G59451" s="812"/>
    </row>
    <row r="59452" spans="7:7">
      <c r="G59452" s="812"/>
    </row>
    <row r="59453" spans="7:7">
      <c r="G59453" s="812"/>
    </row>
    <row r="59454" spans="7:7">
      <c r="G59454" s="812"/>
    </row>
    <row r="59455" spans="7:7">
      <c r="G59455" s="812"/>
    </row>
    <row r="59456" spans="7:7">
      <c r="G59456" s="812"/>
    </row>
    <row r="59457" spans="7:7">
      <c r="G59457" s="812"/>
    </row>
    <row r="59458" spans="7:7">
      <c r="G59458" s="812"/>
    </row>
    <row r="59459" spans="7:7">
      <c r="G59459" s="812"/>
    </row>
    <row r="59460" spans="7:7">
      <c r="G59460" s="812"/>
    </row>
    <row r="59461" spans="7:7">
      <c r="G59461" s="812"/>
    </row>
    <row r="59462" spans="7:7">
      <c r="G59462" s="812"/>
    </row>
    <row r="59463" spans="7:7">
      <c r="G59463" s="812"/>
    </row>
    <row r="59464" spans="7:7">
      <c r="G59464" s="812"/>
    </row>
    <row r="59465" spans="7:7">
      <c r="G59465" s="812"/>
    </row>
    <row r="59466" spans="7:7">
      <c r="G59466" s="812"/>
    </row>
    <row r="59467" spans="7:7">
      <c r="G59467" s="812"/>
    </row>
    <row r="59468" spans="7:7">
      <c r="G59468" s="812"/>
    </row>
    <row r="59469" spans="7:7">
      <c r="G59469" s="812"/>
    </row>
    <row r="59470" spans="7:7">
      <c r="G59470" s="812"/>
    </row>
    <row r="59471" spans="7:7">
      <c r="G59471" s="812"/>
    </row>
    <row r="59472" spans="7:7">
      <c r="G59472" s="812"/>
    </row>
    <row r="59473" spans="7:7">
      <c r="G59473" s="812"/>
    </row>
    <row r="59474" spans="7:7">
      <c r="G59474" s="812"/>
    </row>
    <row r="59475" spans="7:7">
      <c r="G59475" s="812"/>
    </row>
    <row r="59476" spans="7:7">
      <c r="G59476" s="812"/>
    </row>
    <row r="59477" spans="7:7">
      <c r="G59477" s="812"/>
    </row>
    <row r="59478" spans="7:7">
      <c r="G59478" s="812"/>
    </row>
    <row r="59479" spans="7:7">
      <c r="G59479" s="812"/>
    </row>
    <row r="59480" spans="7:7">
      <c r="G59480" s="812"/>
    </row>
    <row r="59481" spans="7:7">
      <c r="G59481" s="812"/>
    </row>
    <row r="59482" spans="7:7">
      <c r="G59482" s="812"/>
    </row>
    <row r="59483" spans="7:7">
      <c r="G59483" s="812"/>
    </row>
    <row r="59484" spans="7:7">
      <c r="G59484" s="812"/>
    </row>
    <row r="59485" spans="7:7">
      <c r="G59485" s="812"/>
    </row>
    <row r="59486" spans="7:7">
      <c r="G59486" s="812"/>
    </row>
    <row r="59487" spans="7:7">
      <c r="G59487" s="812"/>
    </row>
    <row r="59488" spans="7:7">
      <c r="G59488" s="812"/>
    </row>
    <row r="59489" spans="7:7">
      <c r="G59489" s="812"/>
    </row>
    <row r="59490" spans="7:7">
      <c r="G59490" s="812"/>
    </row>
    <row r="59491" spans="7:7">
      <c r="G59491" s="812"/>
    </row>
    <row r="59492" spans="7:7">
      <c r="G59492" s="812"/>
    </row>
    <row r="59493" spans="7:7">
      <c r="G59493" s="812"/>
    </row>
    <row r="59494" spans="7:7">
      <c r="G59494" s="812"/>
    </row>
    <row r="59495" spans="7:7">
      <c r="G59495" s="812"/>
    </row>
    <row r="59496" spans="7:7">
      <c r="G59496" s="812"/>
    </row>
    <row r="59497" spans="7:7">
      <c r="G59497" s="812"/>
    </row>
    <row r="59498" spans="7:7">
      <c r="G59498" s="812"/>
    </row>
    <row r="59499" spans="7:7">
      <c r="G59499" s="812"/>
    </row>
    <row r="59500" spans="7:7">
      <c r="G59500" s="812"/>
    </row>
    <row r="59501" spans="7:7">
      <c r="G59501" s="812"/>
    </row>
    <row r="59502" spans="7:7">
      <c r="G59502" s="812"/>
    </row>
    <row r="59503" spans="7:7">
      <c r="G59503" s="812"/>
    </row>
    <row r="59504" spans="7:7">
      <c r="G59504" s="812"/>
    </row>
    <row r="59505" spans="7:7">
      <c r="G59505" s="812"/>
    </row>
    <row r="59506" spans="7:7">
      <c r="G59506" s="812"/>
    </row>
    <row r="59507" spans="7:7">
      <c r="G59507" s="812"/>
    </row>
    <row r="59508" spans="7:7">
      <c r="G59508" s="812"/>
    </row>
    <row r="59509" spans="7:7">
      <c r="G59509" s="812"/>
    </row>
    <row r="59510" spans="7:7">
      <c r="G59510" s="812"/>
    </row>
    <row r="59511" spans="7:7">
      <c r="G59511" s="812"/>
    </row>
    <row r="59512" spans="7:7">
      <c r="G59512" s="812"/>
    </row>
    <row r="59513" spans="7:7">
      <c r="G59513" s="812"/>
    </row>
    <row r="59514" spans="7:7">
      <c r="G59514" s="812"/>
    </row>
    <row r="59515" spans="7:7">
      <c r="G59515" s="812"/>
    </row>
    <row r="59516" spans="7:7">
      <c r="G59516" s="812"/>
    </row>
    <row r="59517" spans="7:7">
      <c r="G59517" s="812"/>
    </row>
    <row r="59518" spans="7:7">
      <c r="G59518" s="812"/>
    </row>
    <row r="59519" spans="7:7">
      <c r="G59519" s="812"/>
    </row>
    <row r="59520" spans="7:7">
      <c r="G59520" s="812"/>
    </row>
    <row r="59521" spans="7:7">
      <c r="G59521" s="812"/>
    </row>
    <row r="59522" spans="7:7">
      <c r="G59522" s="812"/>
    </row>
    <row r="59523" spans="7:7">
      <c r="G59523" s="812"/>
    </row>
    <row r="59524" spans="7:7">
      <c r="G59524" s="812"/>
    </row>
    <row r="59525" spans="7:7">
      <c r="G59525" s="812"/>
    </row>
    <row r="59526" spans="7:7">
      <c r="G59526" s="812"/>
    </row>
    <row r="59527" spans="7:7">
      <c r="G59527" s="812"/>
    </row>
    <row r="59528" spans="7:7">
      <c r="G59528" s="812"/>
    </row>
    <row r="59529" spans="7:7">
      <c r="G59529" s="812"/>
    </row>
    <row r="59530" spans="7:7">
      <c r="G59530" s="812"/>
    </row>
    <row r="59531" spans="7:7">
      <c r="G59531" s="812"/>
    </row>
    <row r="59532" spans="7:7">
      <c r="G59532" s="812"/>
    </row>
    <row r="59533" spans="7:7">
      <c r="G59533" s="812"/>
    </row>
    <row r="59534" spans="7:7">
      <c r="G59534" s="812"/>
    </row>
    <row r="59535" spans="7:7">
      <c r="G59535" s="812"/>
    </row>
    <row r="59536" spans="7:7">
      <c r="G59536" s="812"/>
    </row>
    <row r="59537" spans="7:7">
      <c r="G59537" s="812"/>
    </row>
    <row r="59538" spans="7:7">
      <c r="G59538" s="812"/>
    </row>
    <row r="59539" spans="7:7">
      <c r="G59539" s="812"/>
    </row>
    <row r="59540" spans="7:7">
      <c r="G59540" s="812"/>
    </row>
    <row r="59541" spans="7:7">
      <c r="G59541" s="812"/>
    </row>
    <row r="59542" spans="7:7">
      <c r="G59542" s="812"/>
    </row>
    <row r="59543" spans="7:7">
      <c r="G59543" s="812"/>
    </row>
    <row r="59544" spans="7:7">
      <c r="G59544" s="812"/>
    </row>
    <row r="59545" spans="7:7">
      <c r="G59545" s="812"/>
    </row>
    <row r="59546" spans="7:7">
      <c r="G59546" s="812"/>
    </row>
    <row r="59547" spans="7:7">
      <c r="G59547" s="812"/>
    </row>
    <row r="59548" spans="7:7">
      <c r="G59548" s="812"/>
    </row>
    <row r="59549" spans="7:7">
      <c r="G59549" s="812"/>
    </row>
    <row r="59550" spans="7:7">
      <c r="G59550" s="812"/>
    </row>
    <row r="59551" spans="7:7">
      <c r="G59551" s="812"/>
    </row>
    <row r="59552" spans="7:7">
      <c r="G59552" s="812"/>
    </row>
    <row r="59553" spans="7:7">
      <c r="G59553" s="812"/>
    </row>
    <row r="59554" spans="7:7">
      <c r="G59554" s="812"/>
    </row>
    <row r="59555" spans="7:7">
      <c r="G59555" s="812"/>
    </row>
    <row r="59556" spans="7:7">
      <c r="G59556" s="812"/>
    </row>
    <row r="59557" spans="7:7">
      <c r="G59557" s="812"/>
    </row>
    <row r="59558" spans="7:7">
      <c r="G59558" s="812"/>
    </row>
    <row r="59559" spans="7:7">
      <c r="G59559" s="812"/>
    </row>
    <row r="59560" spans="7:7">
      <c r="G59560" s="812"/>
    </row>
    <row r="59561" spans="7:7">
      <c r="G59561" s="812"/>
    </row>
    <row r="59562" spans="7:7">
      <c r="G59562" s="812"/>
    </row>
    <row r="59563" spans="7:7">
      <c r="G59563" s="812"/>
    </row>
    <row r="59564" spans="7:7">
      <c r="G59564" s="812"/>
    </row>
    <row r="59565" spans="7:7">
      <c r="G59565" s="812"/>
    </row>
    <row r="59566" spans="7:7">
      <c r="G59566" s="812"/>
    </row>
    <row r="59567" spans="7:7">
      <c r="G59567" s="812"/>
    </row>
    <row r="59568" spans="7:7">
      <c r="G59568" s="812"/>
    </row>
    <row r="59569" spans="7:7">
      <c r="G59569" s="812"/>
    </row>
    <row r="59570" spans="7:7">
      <c r="G59570" s="812"/>
    </row>
    <row r="59571" spans="7:7">
      <c r="G59571" s="812"/>
    </row>
    <row r="59572" spans="7:7">
      <c r="G59572" s="812"/>
    </row>
    <row r="59573" spans="7:7">
      <c r="G59573" s="812"/>
    </row>
    <row r="59574" spans="7:7">
      <c r="G59574" s="812"/>
    </row>
    <row r="59575" spans="7:7">
      <c r="G59575" s="812"/>
    </row>
    <row r="59576" spans="7:7">
      <c r="G59576" s="812"/>
    </row>
    <row r="59577" spans="7:7">
      <c r="G59577" s="812"/>
    </row>
    <row r="59578" spans="7:7">
      <c r="G59578" s="812"/>
    </row>
    <row r="59579" spans="7:7">
      <c r="G59579" s="812"/>
    </row>
    <row r="59580" spans="7:7">
      <c r="G59580" s="812"/>
    </row>
    <row r="59581" spans="7:7">
      <c r="G59581" s="812"/>
    </row>
    <row r="59582" spans="7:7">
      <c r="G59582" s="812"/>
    </row>
    <row r="59583" spans="7:7">
      <c r="G59583" s="812"/>
    </row>
    <row r="59584" spans="7:7">
      <c r="G59584" s="812"/>
    </row>
    <row r="59585" spans="7:7">
      <c r="G59585" s="812"/>
    </row>
    <row r="59586" spans="7:7">
      <c r="G59586" s="812"/>
    </row>
    <row r="59587" spans="7:7">
      <c r="G59587" s="812"/>
    </row>
    <row r="59588" spans="7:7">
      <c r="G59588" s="812"/>
    </row>
    <row r="59589" spans="7:7">
      <c r="G59589" s="812"/>
    </row>
    <row r="59590" spans="7:7">
      <c r="G59590" s="812"/>
    </row>
    <row r="59591" spans="7:7">
      <c r="G59591" s="812"/>
    </row>
    <row r="59592" spans="7:7">
      <c r="G59592" s="812"/>
    </row>
    <row r="59593" spans="7:7">
      <c r="G59593" s="812"/>
    </row>
    <row r="59594" spans="7:7">
      <c r="G59594" s="812"/>
    </row>
    <row r="59595" spans="7:7">
      <c r="G59595" s="812"/>
    </row>
    <row r="59596" spans="7:7">
      <c r="G59596" s="812"/>
    </row>
    <row r="59597" spans="7:7">
      <c r="G59597" s="812"/>
    </row>
    <row r="59598" spans="7:7">
      <c r="G59598" s="812"/>
    </row>
    <row r="59599" spans="7:7">
      <c r="G59599" s="812"/>
    </row>
    <row r="59600" spans="7:7">
      <c r="G59600" s="812"/>
    </row>
    <row r="59601" spans="7:7">
      <c r="G59601" s="812"/>
    </row>
    <row r="59602" spans="7:7">
      <c r="G59602" s="812"/>
    </row>
    <row r="59603" spans="7:7">
      <c r="G59603" s="812"/>
    </row>
    <row r="59604" spans="7:7">
      <c r="G59604" s="812"/>
    </row>
    <row r="59605" spans="7:7">
      <c r="G59605" s="812"/>
    </row>
    <row r="59606" spans="7:7">
      <c r="G59606" s="812"/>
    </row>
    <row r="59607" spans="7:7">
      <c r="G59607" s="812"/>
    </row>
    <row r="59608" spans="7:7">
      <c r="G59608" s="812"/>
    </row>
    <row r="59609" spans="7:7">
      <c r="G59609" s="812"/>
    </row>
    <row r="59610" spans="7:7">
      <c r="G59610" s="812"/>
    </row>
    <row r="59611" spans="7:7">
      <c r="G59611" s="812"/>
    </row>
    <row r="59612" spans="7:7">
      <c r="G59612" s="812"/>
    </row>
    <row r="59613" spans="7:7">
      <c r="G59613" s="812"/>
    </row>
    <row r="59614" spans="7:7">
      <c r="G59614" s="812"/>
    </row>
    <row r="59615" spans="7:7">
      <c r="G59615" s="812"/>
    </row>
    <row r="59616" spans="7:7">
      <c r="G59616" s="812"/>
    </row>
    <row r="59617" spans="7:7">
      <c r="G59617" s="812"/>
    </row>
    <row r="59618" spans="7:7">
      <c r="G59618" s="812"/>
    </row>
    <row r="59619" spans="7:7">
      <c r="G59619" s="812"/>
    </row>
    <row r="59620" spans="7:7">
      <c r="G59620" s="812"/>
    </row>
    <row r="59621" spans="7:7">
      <c r="G59621" s="812"/>
    </row>
    <row r="59622" spans="7:7">
      <c r="G59622" s="812"/>
    </row>
    <row r="59623" spans="7:7">
      <c r="G59623" s="812"/>
    </row>
    <row r="59624" spans="7:7">
      <c r="G59624" s="812"/>
    </row>
    <row r="59625" spans="7:7">
      <c r="G59625" s="812"/>
    </row>
    <row r="59626" spans="7:7">
      <c r="G59626" s="812"/>
    </row>
    <row r="59627" spans="7:7">
      <c r="G59627" s="812"/>
    </row>
    <row r="59628" spans="7:7">
      <c r="G59628" s="812"/>
    </row>
    <row r="59629" spans="7:7">
      <c r="G59629" s="812"/>
    </row>
    <row r="59630" spans="7:7">
      <c r="G59630" s="812"/>
    </row>
    <row r="59631" spans="7:7">
      <c r="G59631" s="812"/>
    </row>
    <row r="59632" spans="7:7">
      <c r="G59632" s="812"/>
    </row>
    <row r="59633" spans="7:7">
      <c r="G59633" s="812"/>
    </row>
    <row r="59634" spans="7:7">
      <c r="G59634" s="812"/>
    </row>
    <row r="59635" spans="7:7">
      <c r="G59635" s="812"/>
    </row>
    <row r="59636" spans="7:7">
      <c r="G59636" s="812"/>
    </row>
    <row r="59637" spans="7:7">
      <c r="G59637" s="812"/>
    </row>
    <row r="59638" spans="7:7">
      <c r="G59638" s="812"/>
    </row>
    <row r="59639" spans="7:7">
      <c r="G59639" s="812"/>
    </row>
    <row r="59640" spans="7:7">
      <c r="G59640" s="812"/>
    </row>
    <row r="59641" spans="7:7">
      <c r="G59641" s="812"/>
    </row>
    <row r="59642" spans="7:7">
      <c r="G59642" s="812"/>
    </row>
    <row r="59643" spans="7:7">
      <c r="G59643" s="812"/>
    </row>
    <row r="59644" spans="7:7">
      <c r="G59644" s="812"/>
    </row>
    <row r="59645" spans="7:7">
      <c r="G59645" s="812"/>
    </row>
    <row r="59646" spans="7:7">
      <c r="G59646" s="812"/>
    </row>
    <row r="59647" spans="7:7">
      <c r="G59647" s="812"/>
    </row>
    <row r="59648" spans="7:7">
      <c r="G59648" s="812"/>
    </row>
    <row r="59649" spans="7:7">
      <c r="G59649" s="812"/>
    </row>
    <row r="59650" spans="7:7">
      <c r="G59650" s="812"/>
    </row>
    <row r="59651" spans="7:7">
      <c r="G59651" s="812"/>
    </row>
    <row r="59652" spans="7:7">
      <c r="G59652" s="812"/>
    </row>
    <row r="59653" spans="7:7">
      <c r="G59653" s="812"/>
    </row>
    <row r="59654" spans="7:7">
      <c r="G59654" s="812"/>
    </row>
    <row r="59655" spans="7:7">
      <c r="G59655" s="812"/>
    </row>
    <row r="59656" spans="7:7">
      <c r="G59656" s="812"/>
    </row>
    <row r="59657" spans="7:7">
      <c r="G59657" s="812"/>
    </row>
    <row r="59658" spans="7:7">
      <c r="G59658" s="812"/>
    </row>
    <row r="59659" spans="7:7">
      <c r="G59659" s="812"/>
    </row>
    <row r="59660" spans="7:7">
      <c r="G59660" s="812"/>
    </row>
    <row r="59661" spans="7:7">
      <c r="G59661" s="812"/>
    </row>
    <row r="59662" spans="7:7">
      <c r="G59662" s="812"/>
    </row>
    <row r="59663" spans="7:7">
      <c r="G59663" s="812"/>
    </row>
    <row r="59664" spans="7:7">
      <c r="G59664" s="812"/>
    </row>
    <row r="59665" spans="7:7">
      <c r="G59665" s="812"/>
    </row>
    <row r="59666" spans="7:7">
      <c r="G59666" s="812"/>
    </row>
    <row r="59667" spans="7:7">
      <c r="G59667" s="812"/>
    </row>
    <row r="59668" spans="7:7">
      <c r="G59668" s="812"/>
    </row>
    <row r="59669" spans="7:7">
      <c r="G59669" s="812"/>
    </row>
    <row r="59670" spans="7:7">
      <c r="G59670" s="812"/>
    </row>
    <row r="59671" spans="7:7">
      <c r="G59671" s="812"/>
    </row>
    <row r="59672" spans="7:7">
      <c r="G59672" s="812"/>
    </row>
    <row r="59673" spans="7:7">
      <c r="G59673" s="812"/>
    </row>
    <row r="59674" spans="7:7">
      <c r="G59674" s="812"/>
    </row>
    <row r="59675" spans="7:7">
      <c r="G59675" s="812"/>
    </row>
    <row r="59676" spans="7:7">
      <c r="G59676" s="812"/>
    </row>
    <row r="59677" spans="7:7">
      <c r="G59677" s="812"/>
    </row>
    <row r="59678" spans="7:7">
      <c r="G59678" s="812"/>
    </row>
    <row r="59679" spans="7:7">
      <c r="G59679" s="812"/>
    </row>
    <row r="59680" spans="7:7">
      <c r="G59680" s="812"/>
    </row>
    <row r="59681" spans="7:7">
      <c r="G59681" s="812"/>
    </row>
    <row r="59682" spans="7:7">
      <c r="G59682" s="812"/>
    </row>
    <row r="59683" spans="7:7">
      <c r="G59683" s="812"/>
    </row>
    <row r="59684" spans="7:7">
      <c r="G59684" s="812"/>
    </row>
    <row r="59685" spans="7:7">
      <c r="G59685" s="812"/>
    </row>
    <row r="59686" spans="7:7">
      <c r="G59686" s="812"/>
    </row>
    <row r="59687" spans="7:7">
      <c r="G59687" s="812"/>
    </row>
    <row r="59688" spans="7:7">
      <c r="G59688" s="812"/>
    </row>
    <row r="59689" spans="7:7">
      <c r="G59689" s="812"/>
    </row>
    <row r="59690" spans="7:7">
      <c r="G59690" s="812"/>
    </row>
    <row r="59691" spans="7:7">
      <c r="G59691" s="812"/>
    </row>
    <row r="59692" spans="7:7">
      <c r="G59692" s="812"/>
    </row>
    <row r="59693" spans="7:7">
      <c r="G59693" s="812"/>
    </row>
    <row r="59694" spans="7:7">
      <c r="G59694" s="812"/>
    </row>
    <row r="59695" spans="7:7">
      <c r="G59695" s="812"/>
    </row>
    <row r="59696" spans="7:7">
      <c r="G59696" s="812"/>
    </row>
    <row r="59697" spans="7:7">
      <c r="G59697" s="812"/>
    </row>
    <row r="59698" spans="7:7">
      <c r="G59698" s="812"/>
    </row>
    <row r="59699" spans="7:7">
      <c r="G59699" s="812"/>
    </row>
    <row r="59700" spans="7:7">
      <c r="G59700" s="812"/>
    </row>
    <row r="59701" spans="7:7">
      <c r="G59701" s="812"/>
    </row>
    <row r="59702" spans="7:7">
      <c r="G59702" s="812"/>
    </row>
    <row r="59703" spans="7:7">
      <c r="G59703" s="812"/>
    </row>
    <row r="59704" spans="7:7">
      <c r="G59704" s="812"/>
    </row>
    <row r="59705" spans="7:7">
      <c r="G59705" s="812"/>
    </row>
    <row r="59706" spans="7:7">
      <c r="G59706" s="812"/>
    </row>
    <row r="59707" spans="7:7">
      <c r="G59707" s="812"/>
    </row>
    <row r="59708" spans="7:7">
      <c r="G59708" s="812"/>
    </row>
    <row r="59709" spans="7:7">
      <c r="G59709" s="812"/>
    </row>
    <row r="59710" spans="7:7">
      <c r="G59710" s="812"/>
    </row>
    <row r="59711" spans="7:7">
      <c r="G59711" s="812"/>
    </row>
    <row r="59712" spans="7:7">
      <c r="G59712" s="812"/>
    </row>
    <row r="59713" spans="7:7">
      <c r="G59713" s="812"/>
    </row>
    <row r="59714" spans="7:7">
      <c r="G59714" s="812"/>
    </row>
    <row r="59715" spans="7:7">
      <c r="G59715" s="812"/>
    </row>
    <row r="59716" spans="7:7">
      <c r="G59716" s="812"/>
    </row>
    <row r="59717" spans="7:7">
      <c r="G59717" s="812"/>
    </row>
    <row r="59718" spans="7:7">
      <c r="G59718" s="812"/>
    </row>
    <row r="59719" spans="7:7">
      <c r="G59719" s="812"/>
    </row>
    <row r="59720" spans="7:7">
      <c r="G59720" s="812"/>
    </row>
    <row r="59721" spans="7:7">
      <c r="G59721" s="812"/>
    </row>
    <row r="59722" spans="7:7">
      <c r="G59722" s="812"/>
    </row>
    <row r="59723" spans="7:7">
      <c r="G59723" s="812"/>
    </row>
    <row r="59724" spans="7:7">
      <c r="G59724" s="812"/>
    </row>
    <row r="59725" spans="7:7">
      <c r="G59725" s="812"/>
    </row>
    <row r="59726" spans="7:7">
      <c r="G59726" s="812"/>
    </row>
    <row r="59727" spans="7:7">
      <c r="G59727" s="812"/>
    </row>
    <row r="59728" spans="7:7">
      <c r="G59728" s="812"/>
    </row>
    <row r="59729" spans="7:7">
      <c r="G59729" s="812"/>
    </row>
    <row r="59730" spans="7:7">
      <c r="G59730" s="812"/>
    </row>
    <row r="59731" spans="7:7">
      <c r="G59731" s="812"/>
    </row>
    <row r="59732" spans="7:7">
      <c r="G59732" s="812"/>
    </row>
    <row r="59733" spans="7:7">
      <c r="G59733" s="812"/>
    </row>
    <row r="59734" spans="7:7">
      <c r="G59734" s="812"/>
    </row>
    <row r="59735" spans="7:7">
      <c r="G59735" s="812"/>
    </row>
    <row r="59736" spans="7:7">
      <c r="G59736" s="812"/>
    </row>
    <row r="59737" spans="7:7">
      <c r="G59737" s="812"/>
    </row>
    <row r="59738" spans="7:7">
      <c r="G59738" s="812"/>
    </row>
    <row r="59739" spans="7:7">
      <c r="G59739" s="812"/>
    </row>
    <row r="59740" spans="7:7">
      <c r="G59740" s="812"/>
    </row>
    <row r="59741" spans="7:7">
      <c r="G59741" s="812"/>
    </row>
    <row r="59742" spans="7:7">
      <c r="G59742" s="812"/>
    </row>
    <row r="59743" spans="7:7">
      <c r="G59743" s="812"/>
    </row>
    <row r="59744" spans="7:7">
      <c r="G59744" s="812"/>
    </row>
    <row r="59745" spans="7:7">
      <c r="G59745" s="812"/>
    </row>
    <row r="59746" spans="7:7">
      <c r="G59746" s="812"/>
    </row>
    <row r="59747" spans="7:7">
      <c r="G59747" s="812"/>
    </row>
    <row r="59748" spans="7:7">
      <c r="G59748" s="812"/>
    </row>
    <row r="59749" spans="7:7">
      <c r="G59749" s="812"/>
    </row>
    <row r="59750" spans="7:7">
      <c r="G59750" s="812"/>
    </row>
    <row r="59751" spans="7:7">
      <c r="G59751" s="812"/>
    </row>
    <row r="59752" spans="7:7">
      <c r="G59752" s="812"/>
    </row>
    <row r="59753" spans="7:7">
      <c r="G59753" s="812"/>
    </row>
    <row r="59754" spans="7:7">
      <c r="G59754" s="812"/>
    </row>
    <row r="59755" spans="7:7">
      <c r="G59755" s="812"/>
    </row>
    <row r="59756" spans="7:7">
      <c r="G59756" s="812"/>
    </row>
    <row r="59757" spans="7:7">
      <c r="G59757" s="812"/>
    </row>
    <row r="59758" spans="7:7">
      <c r="G59758" s="812"/>
    </row>
    <row r="59759" spans="7:7">
      <c r="G59759" s="812"/>
    </row>
    <row r="59760" spans="7:7">
      <c r="G59760" s="812"/>
    </row>
    <row r="59761" spans="7:7">
      <c r="G59761" s="812"/>
    </row>
    <row r="59762" spans="7:7">
      <c r="G59762" s="812"/>
    </row>
    <row r="59763" spans="7:7">
      <c r="G59763" s="812"/>
    </row>
    <row r="59764" spans="7:7">
      <c r="G59764" s="812"/>
    </row>
    <row r="59765" spans="7:7">
      <c r="G59765" s="812"/>
    </row>
    <row r="59766" spans="7:7">
      <c r="G59766" s="812"/>
    </row>
    <row r="59767" spans="7:7">
      <c r="G59767" s="812"/>
    </row>
    <row r="59768" spans="7:7">
      <c r="G59768" s="812"/>
    </row>
    <row r="59769" spans="7:7">
      <c r="G59769" s="812"/>
    </row>
    <row r="59770" spans="7:7">
      <c r="G59770" s="812"/>
    </row>
    <row r="59771" spans="7:7">
      <c r="G59771" s="812"/>
    </row>
    <row r="59772" spans="7:7">
      <c r="G59772" s="812"/>
    </row>
    <row r="59773" spans="7:7">
      <c r="G59773" s="812"/>
    </row>
    <row r="59774" spans="7:7">
      <c r="G59774" s="812"/>
    </row>
    <row r="59775" spans="7:7">
      <c r="G59775" s="812"/>
    </row>
    <row r="59776" spans="7:7">
      <c r="G59776" s="812"/>
    </row>
    <row r="59777" spans="7:7">
      <c r="G59777" s="812"/>
    </row>
    <row r="59778" spans="7:7">
      <c r="G59778" s="812"/>
    </row>
    <row r="59779" spans="7:7">
      <c r="G59779" s="812"/>
    </row>
    <row r="59780" spans="7:7">
      <c r="G59780" s="812"/>
    </row>
    <row r="59781" spans="7:7">
      <c r="G59781" s="812"/>
    </row>
    <row r="59782" spans="7:7">
      <c r="G59782" s="812"/>
    </row>
    <row r="59783" spans="7:7">
      <c r="G59783" s="812"/>
    </row>
    <row r="59784" spans="7:7">
      <c r="G59784" s="812"/>
    </row>
    <row r="59785" spans="7:7">
      <c r="G59785" s="812"/>
    </row>
    <row r="59786" spans="7:7">
      <c r="G59786" s="812"/>
    </row>
    <row r="59787" spans="7:7">
      <c r="G59787" s="812"/>
    </row>
    <row r="59788" spans="7:7">
      <c r="G59788" s="812"/>
    </row>
    <row r="59789" spans="7:7">
      <c r="G59789" s="812"/>
    </row>
    <row r="59790" spans="7:7">
      <c r="G59790" s="812"/>
    </row>
    <row r="59791" spans="7:7">
      <c r="G59791" s="812"/>
    </row>
    <row r="59792" spans="7:7">
      <c r="G59792" s="812"/>
    </row>
    <row r="59793" spans="7:7">
      <c r="G59793" s="812"/>
    </row>
    <row r="59794" spans="7:7">
      <c r="G59794" s="812"/>
    </row>
    <row r="59795" spans="7:7">
      <c r="G59795" s="812"/>
    </row>
    <row r="59796" spans="7:7">
      <c r="G59796" s="812"/>
    </row>
    <row r="59797" spans="7:7">
      <c r="G59797" s="812"/>
    </row>
    <row r="59798" spans="7:7">
      <c r="G59798" s="812"/>
    </row>
    <row r="59799" spans="7:7">
      <c r="G59799" s="812"/>
    </row>
    <row r="59800" spans="7:7">
      <c r="G59800" s="812"/>
    </row>
    <row r="59801" spans="7:7">
      <c r="G59801" s="812"/>
    </row>
    <row r="59802" spans="7:7">
      <c r="G59802" s="812"/>
    </row>
    <row r="59803" spans="7:7">
      <c r="G59803" s="812"/>
    </row>
    <row r="59804" spans="7:7">
      <c r="G59804" s="812"/>
    </row>
    <row r="59805" spans="7:7">
      <c r="G59805" s="812"/>
    </row>
    <row r="59806" spans="7:7">
      <c r="G59806" s="812"/>
    </row>
    <row r="59807" spans="7:7">
      <c r="G59807" s="812"/>
    </row>
    <row r="59808" spans="7:7">
      <c r="G59808" s="812"/>
    </row>
    <row r="59809" spans="7:7">
      <c r="G59809" s="812"/>
    </row>
    <row r="59810" spans="7:7">
      <c r="G59810" s="812"/>
    </row>
    <row r="59811" spans="7:7">
      <c r="G59811" s="812"/>
    </row>
    <row r="59812" spans="7:7">
      <c r="G59812" s="812"/>
    </row>
    <row r="59813" spans="7:7">
      <c r="G59813" s="812"/>
    </row>
    <row r="59814" spans="7:7">
      <c r="G59814" s="812"/>
    </row>
    <row r="59815" spans="7:7">
      <c r="G59815" s="812"/>
    </row>
    <row r="59816" spans="7:7">
      <c r="G59816" s="812"/>
    </row>
    <row r="59817" spans="7:7">
      <c r="G59817" s="812"/>
    </row>
    <row r="59818" spans="7:7">
      <c r="G59818" s="812"/>
    </row>
    <row r="59819" spans="7:7">
      <c r="G59819" s="812"/>
    </row>
    <row r="59820" spans="7:7">
      <c r="G59820" s="812"/>
    </row>
    <row r="59821" spans="7:7">
      <c r="G59821" s="812"/>
    </row>
    <row r="59822" spans="7:7">
      <c r="G59822" s="812"/>
    </row>
    <row r="59823" spans="7:7">
      <c r="G59823" s="812"/>
    </row>
    <row r="59824" spans="7:7">
      <c r="G59824" s="812"/>
    </row>
    <row r="59825" spans="7:7">
      <c r="G59825" s="812"/>
    </row>
    <row r="59826" spans="7:7">
      <c r="G59826" s="812"/>
    </row>
    <row r="59827" spans="7:7">
      <c r="G59827" s="812"/>
    </row>
    <row r="59828" spans="7:7">
      <c r="G59828" s="812"/>
    </row>
    <row r="59829" spans="7:7">
      <c r="G59829" s="812"/>
    </row>
    <row r="59830" spans="7:7">
      <c r="G59830" s="812"/>
    </row>
    <row r="59831" spans="7:7">
      <c r="G59831" s="812"/>
    </row>
    <row r="59832" spans="7:7">
      <c r="G59832" s="812"/>
    </row>
    <row r="59833" spans="7:7">
      <c r="G59833" s="812"/>
    </row>
    <row r="59834" spans="7:7">
      <c r="G59834" s="812"/>
    </row>
    <row r="59835" spans="7:7">
      <c r="G59835" s="812"/>
    </row>
    <row r="59836" spans="7:7">
      <c r="G59836" s="812"/>
    </row>
    <row r="59837" spans="7:7">
      <c r="G59837" s="812"/>
    </row>
    <row r="59838" spans="7:7">
      <c r="G59838" s="812"/>
    </row>
    <row r="59839" spans="7:7">
      <c r="G59839" s="812"/>
    </row>
    <row r="59840" spans="7:7">
      <c r="G59840" s="812"/>
    </row>
    <row r="59841" spans="7:7">
      <c r="G59841" s="812"/>
    </row>
    <row r="59842" spans="7:7">
      <c r="G59842" s="812"/>
    </row>
    <row r="59843" spans="7:7">
      <c r="G59843" s="812"/>
    </row>
    <row r="59844" spans="7:7">
      <c r="G59844" s="812"/>
    </row>
    <row r="59845" spans="7:7">
      <c r="G59845" s="812"/>
    </row>
    <row r="59846" spans="7:7">
      <c r="G59846" s="812"/>
    </row>
    <row r="59847" spans="7:7">
      <c r="G59847" s="812"/>
    </row>
    <row r="59848" spans="7:7">
      <c r="G59848" s="812"/>
    </row>
    <row r="59849" spans="7:7">
      <c r="G59849" s="812"/>
    </row>
    <row r="59850" spans="7:7">
      <c r="G59850" s="812"/>
    </row>
    <row r="59851" spans="7:7">
      <c r="G59851" s="812"/>
    </row>
    <row r="59852" spans="7:7">
      <c r="G59852" s="812"/>
    </row>
    <row r="59853" spans="7:7">
      <c r="G59853" s="812"/>
    </row>
    <row r="59854" spans="7:7">
      <c r="G59854" s="812"/>
    </row>
    <row r="59855" spans="7:7">
      <c r="G59855" s="812"/>
    </row>
    <row r="59856" spans="7:7">
      <c r="G59856" s="812"/>
    </row>
    <row r="59857" spans="7:7">
      <c r="G59857" s="812"/>
    </row>
    <row r="59858" spans="7:7">
      <c r="G59858" s="812"/>
    </row>
    <row r="59859" spans="7:7">
      <c r="G59859" s="812"/>
    </row>
    <row r="59860" spans="7:7">
      <c r="G59860" s="812"/>
    </row>
    <row r="59861" spans="7:7">
      <c r="G59861" s="812"/>
    </row>
    <row r="59862" spans="7:7">
      <c r="G59862" s="812"/>
    </row>
    <row r="59863" spans="7:7">
      <c r="G59863" s="812"/>
    </row>
    <row r="59864" spans="7:7">
      <c r="G59864" s="812"/>
    </row>
    <row r="59865" spans="7:7">
      <c r="G59865" s="812"/>
    </row>
    <row r="59866" spans="7:7">
      <c r="G59866" s="812"/>
    </row>
    <row r="59867" spans="7:7">
      <c r="G59867" s="812"/>
    </row>
    <row r="59868" spans="7:7">
      <c r="G59868" s="812"/>
    </row>
    <row r="59869" spans="7:7">
      <c r="G59869" s="812"/>
    </row>
    <row r="59870" spans="7:7">
      <c r="G59870" s="812"/>
    </row>
    <row r="59871" spans="7:7">
      <c r="G59871" s="812"/>
    </row>
    <row r="59872" spans="7:7">
      <c r="G59872" s="812"/>
    </row>
    <row r="59873" spans="7:7">
      <c r="G59873" s="812"/>
    </row>
    <row r="59874" spans="7:7">
      <c r="G59874" s="812"/>
    </row>
    <row r="59875" spans="7:7">
      <c r="G59875" s="812"/>
    </row>
    <row r="59876" spans="7:7">
      <c r="G59876" s="812"/>
    </row>
    <row r="59877" spans="7:7">
      <c r="G59877" s="812"/>
    </row>
    <row r="59878" spans="7:7">
      <c r="G59878" s="812"/>
    </row>
    <row r="59879" spans="7:7">
      <c r="G59879" s="812"/>
    </row>
    <row r="59880" spans="7:7">
      <c r="G59880" s="812"/>
    </row>
    <row r="59881" spans="7:7">
      <c r="G59881" s="812"/>
    </row>
    <row r="59882" spans="7:7">
      <c r="G59882" s="812"/>
    </row>
    <row r="59883" spans="7:7">
      <c r="G59883" s="812"/>
    </row>
    <row r="59884" spans="7:7">
      <c r="G59884" s="812"/>
    </row>
    <row r="59885" spans="7:7">
      <c r="G59885" s="812"/>
    </row>
    <row r="59886" spans="7:7">
      <c r="G59886" s="812"/>
    </row>
    <row r="59887" spans="7:7">
      <c r="G59887" s="812"/>
    </row>
    <row r="59888" spans="7:7">
      <c r="G59888" s="812"/>
    </row>
    <row r="59889" spans="7:7">
      <c r="G59889" s="812"/>
    </row>
    <row r="59890" spans="7:7">
      <c r="G59890" s="812"/>
    </row>
    <row r="59891" spans="7:7">
      <c r="G59891" s="812"/>
    </row>
    <row r="59892" spans="7:7">
      <c r="G59892" s="812"/>
    </row>
    <row r="59893" spans="7:7">
      <c r="G59893" s="812"/>
    </row>
    <row r="59894" spans="7:7">
      <c r="G59894" s="812"/>
    </row>
    <row r="59895" spans="7:7">
      <c r="G59895" s="812"/>
    </row>
    <row r="59896" spans="7:7">
      <c r="G59896" s="812"/>
    </row>
    <row r="59897" spans="7:7">
      <c r="G59897" s="812"/>
    </row>
    <row r="59898" spans="7:7">
      <c r="G59898" s="812"/>
    </row>
    <row r="59899" spans="7:7">
      <c r="G59899" s="812"/>
    </row>
    <row r="59900" spans="7:7">
      <c r="G59900" s="812"/>
    </row>
    <row r="59901" spans="7:7">
      <c r="G59901" s="812"/>
    </row>
    <row r="59902" spans="7:7">
      <c r="G59902" s="812"/>
    </row>
    <row r="59903" spans="7:7">
      <c r="G59903" s="812"/>
    </row>
    <row r="59904" spans="7:7">
      <c r="G59904" s="812"/>
    </row>
    <row r="59905" spans="7:7">
      <c r="G59905" s="812"/>
    </row>
    <row r="59906" spans="7:7">
      <c r="G59906" s="812"/>
    </row>
    <row r="59907" spans="7:7">
      <c r="G59907" s="812"/>
    </row>
    <row r="59908" spans="7:7">
      <c r="G59908" s="812"/>
    </row>
    <row r="59909" spans="7:7">
      <c r="G59909" s="812"/>
    </row>
    <row r="59910" spans="7:7">
      <c r="G59910" s="812"/>
    </row>
    <row r="59911" spans="7:7">
      <c r="G59911" s="812"/>
    </row>
    <row r="59912" spans="7:7">
      <c r="G59912" s="812"/>
    </row>
    <row r="59913" spans="7:7">
      <c r="G59913" s="812"/>
    </row>
    <row r="59914" spans="7:7">
      <c r="G59914" s="812"/>
    </row>
    <row r="59915" spans="7:7">
      <c r="G59915" s="812"/>
    </row>
    <row r="59916" spans="7:7">
      <c r="G59916" s="812"/>
    </row>
    <row r="59917" spans="7:7">
      <c r="G59917" s="812"/>
    </row>
    <row r="59918" spans="7:7">
      <c r="G59918" s="812"/>
    </row>
    <row r="59919" spans="7:7">
      <c r="G59919" s="812"/>
    </row>
    <row r="59920" spans="7:7">
      <c r="G59920" s="812"/>
    </row>
    <row r="59921" spans="7:7">
      <c r="G59921" s="812"/>
    </row>
    <row r="59922" spans="7:7">
      <c r="G59922" s="812"/>
    </row>
    <row r="59923" spans="7:7">
      <c r="G59923" s="812"/>
    </row>
    <row r="59924" spans="7:7">
      <c r="G59924" s="812"/>
    </row>
    <row r="59925" spans="7:7">
      <c r="G59925" s="812"/>
    </row>
    <row r="59926" spans="7:7">
      <c r="G59926" s="812"/>
    </row>
    <row r="59927" spans="7:7">
      <c r="G59927" s="812"/>
    </row>
    <row r="59928" spans="7:7">
      <c r="G59928" s="812"/>
    </row>
    <row r="59929" spans="7:7">
      <c r="G59929" s="812"/>
    </row>
    <row r="59930" spans="7:7">
      <c r="G59930" s="812"/>
    </row>
    <row r="59931" spans="7:7">
      <c r="G59931" s="812"/>
    </row>
    <row r="59932" spans="7:7">
      <c r="G59932" s="812"/>
    </row>
    <row r="59933" spans="7:7">
      <c r="G59933" s="812"/>
    </row>
    <row r="59934" spans="7:7">
      <c r="G59934" s="812"/>
    </row>
    <row r="59935" spans="7:7">
      <c r="G59935" s="812"/>
    </row>
    <row r="59936" spans="7:7">
      <c r="G59936" s="812"/>
    </row>
    <row r="59937" spans="7:7">
      <c r="G59937" s="812"/>
    </row>
    <row r="59938" spans="7:7">
      <c r="G59938" s="812"/>
    </row>
    <row r="59939" spans="7:7">
      <c r="G59939" s="812"/>
    </row>
    <row r="59940" spans="7:7">
      <c r="G59940" s="812"/>
    </row>
    <row r="59941" spans="7:7">
      <c r="G59941" s="812"/>
    </row>
    <row r="59942" spans="7:7">
      <c r="G59942" s="812"/>
    </row>
    <row r="59943" spans="7:7">
      <c r="G59943" s="812"/>
    </row>
    <row r="59944" spans="7:7">
      <c r="G59944" s="812"/>
    </row>
    <row r="59945" spans="7:7">
      <c r="G59945" s="812"/>
    </row>
    <row r="59946" spans="7:7">
      <c r="G59946" s="812"/>
    </row>
    <row r="59947" spans="7:7">
      <c r="G59947" s="812"/>
    </row>
    <row r="59948" spans="7:7">
      <c r="G59948" s="812"/>
    </row>
    <row r="59949" spans="7:7">
      <c r="G59949" s="812"/>
    </row>
    <row r="59950" spans="7:7">
      <c r="G59950" s="812"/>
    </row>
    <row r="59951" spans="7:7">
      <c r="G59951" s="812"/>
    </row>
    <row r="59952" spans="7:7">
      <c r="G59952" s="812"/>
    </row>
    <row r="59953" spans="7:7">
      <c r="G59953" s="812"/>
    </row>
    <row r="59954" spans="7:7">
      <c r="G59954" s="812"/>
    </row>
    <row r="59955" spans="7:7">
      <c r="G59955" s="812"/>
    </row>
    <row r="59956" spans="7:7">
      <c r="G59956" s="812"/>
    </row>
    <row r="59957" spans="7:7">
      <c r="G59957" s="812"/>
    </row>
    <row r="59958" spans="7:7">
      <c r="G59958" s="812"/>
    </row>
    <row r="59959" spans="7:7">
      <c r="G59959" s="812"/>
    </row>
    <row r="59960" spans="7:7">
      <c r="G59960" s="812"/>
    </row>
    <row r="59961" spans="7:7">
      <c r="G59961" s="812"/>
    </row>
    <row r="59962" spans="7:7">
      <c r="G59962" s="812"/>
    </row>
    <row r="59963" spans="7:7">
      <c r="G59963" s="812"/>
    </row>
    <row r="59964" spans="7:7">
      <c r="G59964" s="812"/>
    </row>
    <row r="59965" spans="7:7">
      <c r="G59965" s="812"/>
    </row>
    <row r="59966" spans="7:7">
      <c r="G59966" s="812"/>
    </row>
    <row r="59967" spans="7:7">
      <c r="G59967" s="812"/>
    </row>
    <row r="59968" spans="7:7">
      <c r="G59968" s="812"/>
    </row>
    <row r="59969" spans="7:7">
      <c r="G59969" s="812"/>
    </row>
    <row r="59970" spans="7:7">
      <c r="G59970" s="812"/>
    </row>
    <row r="59971" spans="7:7">
      <c r="G59971" s="812"/>
    </row>
    <row r="59972" spans="7:7">
      <c r="G59972" s="812"/>
    </row>
    <row r="59973" spans="7:7">
      <c r="G59973" s="812"/>
    </row>
    <row r="59974" spans="7:7">
      <c r="G59974" s="812"/>
    </row>
    <row r="59975" spans="7:7">
      <c r="G59975" s="812"/>
    </row>
    <row r="59976" spans="7:7">
      <c r="G59976" s="812"/>
    </row>
    <row r="59977" spans="7:7">
      <c r="G59977" s="812"/>
    </row>
    <row r="59978" spans="7:7">
      <c r="G59978" s="812"/>
    </row>
    <row r="59979" spans="7:7">
      <c r="G59979" s="812"/>
    </row>
    <row r="59980" spans="7:7">
      <c r="G59980" s="812"/>
    </row>
    <row r="59981" spans="7:7">
      <c r="G59981" s="812"/>
    </row>
    <row r="59982" spans="7:7">
      <c r="G59982" s="812"/>
    </row>
    <row r="59983" spans="7:7">
      <c r="G59983" s="812"/>
    </row>
    <row r="59984" spans="7:7">
      <c r="G59984" s="812"/>
    </row>
    <row r="59985" spans="7:7">
      <c r="G59985" s="812"/>
    </row>
    <row r="59986" spans="7:7">
      <c r="G59986" s="812"/>
    </row>
    <row r="59987" spans="7:7">
      <c r="G59987" s="812"/>
    </row>
    <row r="59988" spans="7:7">
      <c r="G59988" s="812"/>
    </row>
    <row r="59989" spans="7:7">
      <c r="G59989" s="812"/>
    </row>
    <row r="59990" spans="7:7">
      <c r="G59990" s="812"/>
    </row>
    <row r="59991" spans="7:7">
      <c r="G59991" s="812"/>
    </row>
    <row r="59992" spans="7:7">
      <c r="G59992" s="812"/>
    </row>
    <row r="59993" spans="7:7">
      <c r="G59993" s="812"/>
    </row>
    <row r="59994" spans="7:7">
      <c r="G59994" s="812"/>
    </row>
    <row r="59995" spans="7:7">
      <c r="G59995" s="812"/>
    </row>
    <row r="59996" spans="7:7">
      <c r="G59996" s="812"/>
    </row>
    <row r="59997" spans="7:7">
      <c r="G59997" s="812"/>
    </row>
    <row r="59998" spans="7:7">
      <c r="G59998" s="812"/>
    </row>
    <row r="59999" spans="7:7">
      <c r="G59999" s="812"/>
    </row>
    <row r="60000" spans="7:7">
      <c r="G60000" s="812"/>
    </row>
    <row r="60001" spans="7:7">
      <c r="G60001" s="812"/>
    </row>
    <row r="60002" spans="7:7">
      <c r="G60002" s="812"/>
    </row>
    <row r="60003" spans="7:7">
      <c r="G60003" s="812"/>
    </row>
    <row r="60004" spans="7:7">
      <c r="G60004" s="812"/>
    </row>
    <row r="60005" spans="7:7">
      <c r="G60005" s="812"/>
    </row>
    <row r="60006" spans="7:7">
      <c r="G60006" s="812"/>
    </row>
    <row r="60007" spans="7:7">
      <c r="G60007" s="812"/>
    </row>
    <row r="60008" spans="7:7">
      <c r="G60008" s="812"/>
    </row>
    <row r="60009" spans="7:7">
      <c r="G60009" s="812"/>
    </row>
    <row r="60010" spans="7:7">
      <c r="G60010" s="812"/>
    </row>
    <row r="60011" spans="7:7">
      <c r="G60011" s="812"/>
    </row>
    <row r="60012" spans="7:7">
      <c r="G60012" s="812"/>
    </row>
    <row r="60013" spans="7:7">
      <c r="G60013" s="812"/>
    </row>
    <row r="60014" spans="7:7">
      <c r="G60014" s="812"/>
    </row>
    <row r="60015" spans="7:7">
      <c r="G60015" s="812"/>
    </row>
    <row r="60016" spans="7:7">
      <c r="G60016" s="812"/>
    </row>
    <row r="60017" spans="7:7">
      <c r="G60017" s="812"/>
    </row>
    <row r="60018" spans="7:7">
      <c r="G60018" s="812"/>
    </row>
    <row r="60019" spans="7:7">
      <c r="G60019" s="812"/>
    </row>
    <row r="60020" spans="7:7">
      <c r="G60020" s="812"/>
    </row>
    <row r="60021" spans="7:7">
      <c r="G60021" s="812"/>
    </row>
    <row r="60022" spans="7:7">
      <c r="G60022" s="812"/>
    </row>
    <row r="60023" spans="7:7">
      <c r="G60023" s="812"/>
    </row>
    <row r="60024" spans="7:7">
      <c r="G60024" s="812"/>
    </row>
    <row r="60025" spans="7:7">
      <c r="G60025" s="812"/>
    </row>
    <row r="60026" spans="7:7">
      <c r="G60026" s="812"/>
    </row>
    <row r="60027" spans="7:7">
      <c r="G60027" s="812"/>
    </row>
    <row r="60028" spans="7:7">
      <c r="G60028" s="812"/>
    </row>
    <row r="60029" spans="7:7">
      <c r="G60029" s="812"/>
    </row>
    <row r="60030" spans="7:7">
      <c r="G60030" s="812"/>
    </row>
    <row r="60031" spans="7:7">
      <c r="G60031" s="812"/>
    </row>
    <row r="60032" spans="7:7">
      <c r="G60032" s="812"/>
    </row>
    <row r="60033" spans="7:7">
      <c r="G60033" s="812"/>
    </row>
    <row r="60034" spans="7:7">
      <c r="G60034" s="812"/>
    </row>
    <row r="60035" spans="7:7">
      <c r="G60035" s="812"/>
    </row>
    <row r="60036" spans="7:7">
      <c r="G60036" s="812"/>
    </row>
    <row r="60037" spans="7:7">
      <c r="G60037" s="812"/>
    </row>
    <row r="60038" spans="7:7">
      <c r="G60038" s="812"/>
    </row>
    <row r="60039" spans="7:7">
      <c r="G60039" s="812"/>
    </row>
    <row r="60040" spans="7:7">
      <c r="G60040" s="812"/>
    </row>
    <row r="60041" spans="7:7">
      <c r="G60041" s="812"/>
    </row>
    <row r="60042" spans="7:7">
      <c r="G60042" s="812"/>
    </row>
    <row r="60043" spans="7:7">
      <c r="G60043" s="812"/>
    </row>
    <row r="60044" spans="7:7">
      <c r="G60044" s="812"/>
    </row>
    <row r="60045" spans="7:7">
      <c r="G60045" s="812"/>
    </row>
    <row r="60046" spans="7:7">
      <c r="G60046" s="812"/>
    </row>
    <row r="60047" spans="7:7">
      <c r="G60047" s="812"/>
    </row>
    <row r="60048" spans="7:7">
      <c r="G60048" s="812"/>
    </row>
    <row r="60049" spans="7:7">
      <c r="G60049" s="812"/>
    </row>
    <row r="60050" spans="7:7">
      <c r="G60050" s="812"/>
    </row>
    <row r="60051" spans="7:7">
      <c r="G60051" s="812"/>
    </row>
    <row r="60052" spans="7:7">
      <c r="G60052" s="812"/>
    </row>
    <row r="60053" spans="7:7">
      <c r="G60053" s="812"/>
    </row>
    <row r="60054" spans="7:7">
      <c r="G60054" s="812"/>
    </row>
    <row r="60055" spans="7:7">
      <c r="G60055" s="812"/>
    </row>
    <row r="60056" spans="7:7">
      <c r="G60056" s="812"/>
    </row>
    <row r="60057" spans="7:7">
      <c r="G60057" s="812"/>
    </row>
    <row r="60058" spans="7:7">
      <c r="G60058" s="812"/>
    </row>
    <row r="60059" spans="7:7">
      <c r="G60059" s="812"/>
    </row>
    <row r="60060" spans="7:7">
      <c r="G60060" s="812"/>
    </row>
    <row r="60061" spans="7:7">
      <c r="G60061" s="812"/>
    </row>
    <row r="60062" spans="7:7">
      <c r="G60062" s="812"/>
    </row>
    <row r="60063" spans="7:7">
      <c r="G60063" s="812"/>
    </row>
    <row r="60064" spans="7:7">
      <c r="G60064" s="812"/>
    </row>
    <row r="60065" spans="7:7">
      <c r="G60065" s="812"/>
    </row>
    <row r="60066" spans="7:7">
      <c r="G60066" s="812"/>
    </row>
    <row r="60067" spans="7:7">
      <c r="G60067" s="812"/>
    </row>
    <row r="60068" spans="7:7">
      <c r="G60068" s="812"/>
    </row>
    <row r="60069" spans="7:7">
      <c r="G60069" s="812"/>
    </row>
    <row r="60070" spans="7:7">
      <c r="G60070" s="812"/>
    </row>
    <row r="60071" spans="7:7">
      <c r="G60071" s="812"/>
    </row>
    <row r="60072" spans="7:7">
      <c r="G60072" s="812"/>
    </row>
    <row r="60073" spans="7:7">
      <c r="G60073" s="812"/>
    </row>
    <row r="60074" spans="7:7">
      <c r="G60074" s="812"/>
    </row>
    <row r="60075" spans="7:7">
      <c r="G60075" s="812"/>
    </row>
    <row r="60076" spans="7:7">
      <c r="G60076" s="812"/>
    </row>
    <row r="60077" spans="7:7">
      <c r="G60077" s="812"/>
    </row>
    <row r="60078" spans="7:7">
      <c r="G60078" s="812"/>
    </row>
    <row r="60079" spans="7:7">
      <c r="G60079" s="812"/>
    </row>
    <row r="60080" spans="7:7">
      <c r="G60080" s="812"/>
    </row>
    <row r="60081" spans="7:7">
      <c r="G60081" s="812"/>
    </row>
    <row r="60082" spans="7:7">
      <c r="G60082" s="812"/>
    </row>
    <row r="60083" spans="7:7">
      <c r="G60083" s="812"/>
    </row>
    <row r="60084" spans="7:7">
      <c r="G60084" s="812"/>
    </row>
    <row r="60085" spans="7:7">
      <c r="G60085" s="812"/>
    </row>
    <row r="60086" spans="7:7">
      <c r="G60086" s="812"/>
    </row>
    <row r="60087" spans="7:7">
      <c r="G60087" s="812"/>
    </row>
    <row r="60088" spans="7:7">
      <c r="G60088" s="812"/>
    </row>
    <row r="60089" spans="7:7">
      <c r="G60089" s="812"/>
    </row>
    <row r="60090" spans="7:7">
      <c r="G60090" s="812"/>
    </row>
    <row r="60091" spans="7:7">
      <c r="G60091" s="812"/>
    </row>
    <row r="60092" spans="7:7">
      <c r="G60092" s="812"/>
    </row>
    <row r="60093" spans="7:7">
      <c r="G60093" s="812"/>
    </row>
    <row r="60094" spans="7:7">
      <c r="G60094" s="812"/>
    </row>
    <row r="60095" spans="7:7">
      <c r="G60095" s="812"/>
    </row>
    <row r="60096" spans="7:7">
      <c r="G60096" s="812"/>
    </row>
    <row r="60097" spans="7:7">
      <c r="G60097" s="812"/>
    </row>
    <row r="60098" spans="7:7">
      <c r="G60098" s="812"/>
    </row>
    <row r="60099" spans="7:7">
      <c r="G60099" s="812"/>
    </row>
    <row r="60100" spans="7:7">
      <c r="G60100" s="812"/>
    </row>
    <row r="60101" spans="7:7">
      <c r="G60101" s="812"/>
    </row>
    <row r="60102" spans="7:7">
      <c r="G60102" s="812"/>
    </row>
    <row r="60103" spans="7:7">
      <c r="G60103" s="812"/>
    </row>
    <row r="60104" spans="7:7">
      <c r="G60104" s="812"/>
    </row>
    <row r="60105" spans="7:7">
      <c r="G60105" s="812"/>
    </row>
    <row r="60106" spans="7:7">
      <c r="G60106" s="812"/>
    </row>
    <row r="60107" spans="7:7">
      <c r="G60107" s="812"/>
    </row>
    <row r="60108" spans="7:7">
      <c r="G60108" s="812"/>
    </row>
    <row r="60109" spans="7:7">
      <c r="G60109" s="812"/>
    </row>
    <row r="60110" spans="7:7">
      <c r="G60110" s="812"/>
    </row>
    <row r="60111" spans="7:7">
      <c r="G60111" s="812"/>
    </row>
    <row r="60112" spans="7:7">
      <c r="G60112" s="812"/>
    </row>
    <row r="60113" spans="7:7">
      <c r="G60113" s="812"/>
    </row>
    <row r="60114" spans="7:7">
      <c r="G60114" s="812"/>
    </row>
    <row r="60115" spans="7:7">
      <c r="G60115" s="812"/>
    </row>
    <row r="60116" spans="7:7">
      <c r="G60116" s="812"/>
    </row>
    <row r="60117" spans="7:7">
      <c r="G60117" s="812"/>
    </row>
    <row r="60118" spans="7:7">
      <c r="G60118" s="812"/>
    </row>
    <row r="60119" spans="7:7">
      <c r="G60119" s="812"/>
    </row>
    <row r="60120" spans="7:7">
      <c r="G60120" s="812"/>
    </row>
    <row r="60121" spans="7:7">
      <c r="G60121" s="812"/>
    </row>
    <row r="60122" spans="7:7">
      <c r="G60122" s="812"/>
    </row>
    <row r="60123" spans="7:7">
      <c r="G60123" s="812"/>
    </row>
    <row r="60124" spans="7:7">
      <c r="G60124" s="812"/>
    </row>
    <row r="60125" spans="7:7">
      <c r="G60125" s="812"/>
    </row>
    <row r="60126" spans="7:7">
      <c r="G60126" s="812"/>
    </row>
    <row r="60127" spans="7:7">
      <c r="G60127" s="812"/>
    </row>
    <row r="60128" spans="7:7">
      <c r="G60128" s="812"/>
    </row>
    <row r="60129" spans="7:7">
      <c r="G60129" s="812"/>
    </row>
    <row r="60130" spans="7:7">
      <c r="G60130" s="812"/>
    </row>
    <row r="60131" spans="7:7">
      <c r="G60131" s="812"/>
    </row>
    <row r="60132" spans="7:7">
      <c r="G60132" s="812"/>
    </row>
    <row r="60133" spans="7:7">
      <c r="G60133" s="812"/>
    </row>
    <row r="60134" spans="7:7">
      <c r="G60134" s="812"/>
    </row>
    <row r="60135" spans="7:7">
      <c r="G60135" s="812"/>
    </row>
    <row r="60136" spans="7:7">
      <c r="G60136" s="812"/>
    </row>
    <row r="60137" spans="7:7">
      <c r="G60137" s="812"/>
    </row>
    <row r="60138" spans="7:7">
      <c r="G60138" s="812"/>
    </row>
    <row r="60139" spans="7:7">
      <c r="G60139" s="812"/>
    </row>
    <row r="60140" spans="7:7">
      <c r="G60140" s="812"/>
    </row>
    <row r="60141" spans="7:7">
      <c r="G60141" s="812"/>
    </row>
    <row r="60142" spans="7:7">
      <c r="G60142" s="812"/>
    </row>
    <row r="60143" spans="7:7">
      <c r="G60143" s="812"/>
    </row>
    <row r="60144" spans="7:7">
      <c r="G60144" s="812"/>
    </row>
    <row r="60145" spans="7:7">
      <c r="G60145" s="812"/>
    </row>
    <row r="60146" spans="7:7">
      <c r="G60146" s="812"/>
    </row>
    <row r="60147" spans="7:7">
      <c r="G60147" s="812"/>
    </row>
    <row r="60148" spans="7:7">
      <c r="G60148" s="812"/>
    </row>
    <row r="60149" spans="7:7">
      <c r="G60149" s="812"/>
    </row>
    <row r="60150" spans="7:7">
      <c r="G60150" s="812"/>
    </row>
    <row r="60151" spans="7:7">
      <c r="G60151" s="812"/>
    </row>
    <row r="60152" spans="7:7">
      <c r="G60152" s="812"/>
    </row>
    <row r="60153" spans="7:7">
      <c r="G60153" s="812"/>
    </row>
    <row r="60154" spans="7:7">
      <c r="G60154" s="812"/>
    </row>
    <row r="60155" spans="7:7">
      <c r="G60155" s="812"/>
    </row>
    <row r="60156" spans="7:7">
      <c r="G60156" s="812"/>
    </row>
    <row r="60157" spans="7:7">
      <c r="G60157" s="812"/>
    </row>
    <row r="60158" spans="7:7">
      <c r="G60158" s="812"/>
    </row>
    <row r="60159" spans="7:7">
      <c r="G60159" s="812"/>
    </row>
    <row r="60160" spans="7:7">
      <c r="G60160" s="812"/>
    </row>
    <row r="60161" spans="7:7">
      <c r="G60161" s="812"/>
    </row>
    <row r="60162" spans="7:7">
      <c r="G60162" s="812"/>
    </row>
    <row r="60163" spans="7:7">
      <c r="G60163" s="812"/>
    </row>
    <row r="60164" spans="7:7">
      <c r="G60164" s="812"/>
    </row>
    <row r="60165" spans="7:7">
      <c r="G60165" s="812"/>
    </row>
    <row r="60166" spans="7:7">
      <c r="G60166" s="812"/>
    </row>
    <row r="60167" spans="7:7">
      <c r="G60167" s="812"/>
    </row>
    <row r="60168" spans="7:7">
      <c r="G60168" s="812"/>
    </row>
    <row r="60169" spans="7:7">
      <c r="G60169" s="812"/>
    </row>
    <row r="60170" spans="7:7">
      <c r="G60170" s="812"/>
    </row>
    <row r="60171" spans="7:7">
      <c r="G60171" s="812"/>
    </row>
    <row r="60172" spans="7:7">
      <c r="G60172" s="812"/>
    </row>
    <row r="60173" spans="7:7">
      <c r="G60173" s="812"/>
    </row>
    <row r="60174" spans="7:7">
      <c r="G60174" s="812"/>
    </row>
    <row r="60175" spans="7:7">
      <c r="G60175" s="812"/>
    </row>
    <row r="60176" spans="7:7">
      <c r="G60176" s="812"/>
    </row>
    <row r="60177" spans="7:7">
      <c r="G60177" s="812"/>
    </row>
    <row r="60178" spans="7:7">
      <c r="G60178" s="812"/>
    </row>
    <row r="60179" spans="7:7">
      <c r="G60179" s="812"/>
    </row>
    <row r="60180" spans="7:7">
      <c r="G60180" s="812"/>
    </row>
    <row r="60181" spans="7:7">
      <c r="G60181" s="812"/>
    </row>
    <row r="60182" spans="7:7">
      <c r="G60182" s="812"/>
    </row>
    <row r="60183" spans="7:7">
      <c r="G60183" s="812"/>
    </row>
    <row r="60184" spans="7:7">
      <c r="G60184" s="812"/>
    </row>
    <row r="60185" spans="7:7">
      <c r="G60185" s="812"/>
    </row>
    <row r="60186" spans="7:7">
      <c r="G60186" s="812"/>
    </row>
    <row r="60187" spans="7:7">
      <c r="G60187" s="812"/>
    </row>
    <row r="60188" spans="7:7">
      <c r="G60188" s="812"/>
    </row>
    <row r="60189" spans="7:7">
      <c r="G60189" s="812"/>
    </row>
    <row r="60190" spans="7:7">
      <c r="G60190" s="812"/>
    </row>
    <row r="60191" spans="7:7">
      <c r="G60191" s="812"/>
    </row>
    <row r="60192" spans="7:7">
      <c r="G60192" s="812"/>
    </row>
    <row r="60193" spans="7:7">
      <c r="G60193" s="812"/>
    </row>
    <row r="60194" spans="7:7">
      <c r="G60194" s="812"/>
    </row>
    <row r="60195" spans="7:7">
      <c r="G60195" s="812"/>
    </row>
    <row r="60196" spans="7:7">
      <c r="G60196" s="812"/>
    </row>
    <row r="60197" spans="7:7">
      <c r="G60197" s="812"/>
    </row>
    <row r="60198" spans="7:7">
      <c r="G60198" s="812"/>
    </row>
    <row r="60199" spans="7:7">
      <c r="G60199" s="812"/>
    </row>
    <row r="60200" spans="7:7">
      <c r="G60200" s="812"/>
    </row>
    <row r="60201" spans="7:7">
      <c r="G60201" s="812"/>
    </row>
    <row r="60202" spans="7:7">
      <c r="G60202" s="812"/>
    </row>
    <row r="60203" spans="7:7">
      <c r="G60203" s="812"/>
    </row>
    <row r="60204" spans="7:7">
      <c r="G60204" s="812"/>
    </row>
    <row r="60205" spans="7:7">
      <c r="G60205" s="812"/>
    </row>
    <row r="60206" spans="7:7">
      <c r="G60206" s="812"/>
    </row>
    <row r="60207" spans="7:7">
      <c r="G60207" s="812"/>
    </row>
    <row r="60208" spans="7:7">
      <c r="G60208" s="812"/>
    </row>
    <row r="60209" spans="7:7">
      <c r="G60209" s="812"/>
    </row>
    <row r="60210" spans="7:7">
      <c r="G60210" s="812"/>
    </row>
    <row r="60211" spans="7:7">
      <c r="G60211" s="812"/>
    </row>
    <row r="60212" spans="7:7">
      <c r="G60212" s="812"/>
    </row>
    <row r="60213" spans="7:7">
      <c r="G60213" s="812"/>
    </row>
    <row r="60214" spans="7:7">
      <c r="G60214" s="812"/>
    </row>
    <row r="60215" spans="7:7">
      <c r="G60215" s="812"/>
    </row>
    <row r="60216" spans="7:7">
      <c r="G60216" s="812"/>
    </row>
    <row r="60217" spans="7:7">
      <c r="G60217" s="812"/>
    </row>
    <row r="60218" spans="7:7">
      <c r="G60218" s="812"/>
    </row>
    <row r="60219" spans="7:7">
      <c r="G60219" s="812"/>
    </row>
    <row r="60220" spans="7:7">
      <c r="G60220" s="812"/>
    </row>
    <row r="60221" spans="7:7">
      <c r="G60221" s="812"/>
    </row>
    <row r="60222" spans="7:7">
      <c r="G60222" s="812"/>
    </row>
    <row r="60223" spans="7:7">
      <c r="G60223" s="812"/>
    </row>
    <row r="60224" spans="7:7">
      <c r="G60224" s="812"/>
    </row>
    <row r="60225" spans="7:7">
      <c r="G60225" s="812"/>
    </row>
    <row r="60226" spans="7:7">
      <c r="G60226" s="812"/>
    </row>
    <row r="60227" spans="7:7">
      <c r="G60227" s="812"/>
    </row>
    <row r="60228" spans="7:7">
      <c r="G60228" s="812"/>
    </row>
    <row r="60229" spans="7:7">
      <c r="G60229" s="812"/>
    </row>
    <row r="60230" spans="7:7">
      <c r="G60230" s="812"/>
    </row>
    <row r="60231" spans="7:7">
      <c r="G60231" s="812"/>
    </row>
    <row r="60232" spans="7:7">
      <c r="G60232" s="812"/>
    </row>
    <row r="60233" spans="7:7">
      <c r="G60233" s="812"/>
    </row>
    <row r="60234" spans="7:7">
      <c r="G60234" s="812"/>
    </row>
    <row r="60235" spans="7:7">
      <c r="G60235" s="812"/>
    </row>
    <row r="60236" spans="7:7">
      <c r="G60236" s="812"/>
    </row>
    <row r="60237" spans="7:7">
      <c r="G60237" s="812"/>
    </row>
    <row r="60238" spans="7:7">
      <c r="G60238" s="812"/>
    </row>
    <row r="60239" spans="7:7">
      <c r="G60239" s="812"/>
    </row>
    <row r="60240" spans="7:7">
      <c r="G60240" s="812"/>
    </row>
    <row r="60241" spans="7:7">
      <c r="G60241" s="812"/>
    </row>
    <row r="60242" spans="7:7">
      <c r="G60242" s="812"/>
    </row>
    <row r="60243" spans="7:7">
      <c r="G60243" s="812"/>
    </row>
    <row r="60244" spans="7:7">
      <c r="G60244" s="812"/>
    </row>
    <row r="60245" spans="7:7">
      <c r="G60245" s="812"/>
    </row>
    <row r="60246" spans="7:7">
      <c r="G60246" s="812"/>
    </row>
    <row r="60247" spans="7:7">
      <c r="G60247" s="812"/>
    </row>
    <row r="60248" spans="7:7">
      <c r="G60248" s="812"/>
    </row>
    <row r="60249" spans="7:7">
      <c r="G60249" s="812"/>
    </row>
    <row r="60250" spans="7:7">
      <c r="G60250" s="812"/>
    </row>
    <row r="60251" spans="7:7">
      <c r="G60251" s="812"/>
    </row>
    <row r="60252" spans="7:7">
      <c r="G60252" s="812"/>
    </row>
    <row r="60253" spans="7:7">
      <c r="G60253" s="812"/>
    </row>
    <row r="60254" spans="7:7">
      <c r="G60254" s="812"/>
    </row>
    <row r="60255" spans="7:7">
      <c r="G60255" s="812"/>
    </row>
    <row r="60256" spans="7:7">
      <c r="G60256" s="812"/>
    </row>
    <row r="60257" spans="7:7">
      <c r="G60257" s="812"/>
    </row>
    <row r="60258" spans="7:7">
      <c r="G60258" s="812"/>
    </row>
    <row r="60259" spans="7:7">
      <c r="G60259" s="812"/>
    </row>
    <row r="60260" spans="7:7">
      <c r="G60260" s="812"/>
    </row>
    <row r="60261" spans="7:7">
      <c r="G60261" s="812"/>
    </row>
    <row r="60262" spans="7:7">
      <c r="G60262" s="812"/>
    </row>
    <row r="60263" spans="7:7">
      <c r="G60263" s="812"/>
    </row>
    <row r="60264" spans="7:7">
      <c r="G60264" s="812"/>
    </row>
    <row r="60265" spans="7:7">
      <c r="G60265" s="812"/>
    </row>
    <row r="60266" spans="7:7">
      <c r="G60266" s="812"/>
    </row>
    <row r="60267" spans="7:7">
      <c r="G60267" s="812"/>
    </row>
    <row r="60268" spans="7:7">
      <c r="G60268" s="812"/>
    </row>
    <row r="60269" spans="7:7">
      <c r="G60269" s="812"/>
    </row>
    <row r="60270" spans="7:7">
      <c r="G60270" s="812"/>
    </row>
    <row r="60271" spans="7:7">
      <c r="G60271" s="812"/>
    </row>
    <row r="60272" spans="7:7">
      <c r="G60272" s="812"/>
    </row>
    <row r="60273" spans="7:7">
      <c r="G60273" s="812"/>
    </row>
    <row r="60274" spans="7:7">
      <c r="G60274" s="812"/>
    </row>
    <row r="60275" spans="7:7">
      <c r="G60275" s="812"/>
    </row>
    <row r="60276" spans="7:7">
      <c r="G60276" s="812"/>
    </row>
    <row r="60277" spans="7:7">
      <c r="G60277" s="812"/>
    </row>
    <row r="60278" spans="7:7">
      <c r="G60278" s="812"/>
    </row>
    <row r="60279" spans="7:7">
      <c r="G60279" s="812"/>
    </row>
    <row r="60280" spans="7:7">
      <c r="G60280" s="812"/>
    </row>
    <row r="60281" spans="7:7">
      <c r="G60281" s="812"/>
    </row>
    <row r="60282" spans="7:7">
      <c r="G60282" s="812"/>
    </row>
    <row r="60283" spans="7:7">
      <c r="G60283" s="812"/>
    </row>
    <row r="60284" spans="7:7">
      <c r="G60284" s="812"/>
    </row>
    <row r="60285" spans="7:7">
      <c r="G60285" s="812"/>
    </row>
    <row r="60286" spans="7:7">
      <c r="G60286" s="812"/>
    </row>
    <row r="60287" spans="7:7">
      <c r="G60287" s="812"/>
    </row>
    <row r="60288" spans="7:7">
      <c r="G60288" s="812"/>
    </row>
    <row r="60289" spans="7:7">
      <c r="G60289" s="812"/>
    </row>
    <row r="60290" spans="7:7">
      <c r="G60290" s="812"/>
    </row>
    <row r="60291" spans="7:7">
      <c r="G60291" s="812"/>
    </row>
    <row r="60292" spans="7:7">
      <c r="G60292" s="812"/>
    </row>
    <row r="60293" spans="7:7">
      <c r="G60293" s="812"/>
    </row>
    <row r="60294" spans="7:7">
      <c r="G60294" s="812"/>
    </row>
    <row r="60295" spans="7:7">
      <c r="G60295" s="812"/>
    </row>
    <row r="60296" spans="7:7">
      <c r="G60296" s="812"/>
    </row>
    <row r="60297" spans="7:7">
      <c r="G60297" s="812"/>
    </row>
    <row r="60298" spans="7:7">
      <c r="G60298" s="812"/>
    </row>
    <row r="60299" spans="7:7">
      <c r="G60299" s="812"/>
    </row>
    <row r="60300" spans="7:7">
      <c r="G60300" s="812"/>
    </row>
    <row r="60301" spans="7:7">
      <c r="G60301" s="812"/>
    </row>
    <row r="60302" spans="7:7">
      <c r="G60302" s="812"/>
    </row>
    <row r="60303" spans="7:7">
      <c r="G60303" s="812"/>
    </row>
    <row r="60304" spans="7:7">
      <c r="G60304" s="812"/>
    </row>
    <row r="60305" spans="7:7">
      <c r="G60305" s="812"/>
    </row>
    <row r="60306" spans="7:7">
      <c r="G60306" s="812"/>
    </row>
    <row r="60307" spans="7:7">
      <c r="G60307" s="812"/>
    </row>
    <row r="60308" spans="7:7">
      <c r="G60308" s="812"/>
    </row>
    <row r="60309" spans="7:7">
      <c r="G60309" s="812"/>
    </row>
    <row r="60310" spans="7:7">
      <c r="G60310" s="812"/>
    </row>
    <row r="60311" spans="7:7">
      <c r="G60311" s="812"/>
    </row>
    <row r="60312" spans="7:7">
      <c r="G60312" s="812"/>
    </row>
    <row r="60313" spans="7:7">
      <c r="G60313" s="812"/>
    </row>
    <row r="60314" spans="7:7">
      <c r="G60314" s="812"/>
    </row>
    <row r="60315" spans="7:7">
      <c r="G60315" s="812"/>
    </row>
    <row r="60316" spans="7:7">
      <c r="G60316" s="812"/>
    </row>
    <row r="60317" spans="7:7">
      <c r="G60317" s="812"/>
    </row>
    <row r="60318" spans="7:7">
      <c r="G60318" s="812"/>
    </row>
    <row r="60319" spans="7:7">
      <c r="G60319" s="812"/>
    </row>
    <row r="60320" spans="7:7">
      <c r="G60320" s="812"/>
    </row>
    <row r="60321" spans="7:7">
      <c r="G60321" s="812"/>
    </row>
    <row r="60322" spans="7:7">
      <c r="G60322" s="812"/>
    </row>
    <row r="60323" spans="7:7">
      <c r="G60323" s="812"/>
    </row>
    <row r="60324" spans="7:7">
      <c r="G60324" s="812"/>
    </row>
    <row r="60325" spans="7:7">
      <c r="G60325" s="812"/>
    </row>
    <row r="60326" spans="7:7">
      <c r="G60326" s="812"/>
    </row>
    <row r="60327" spans="7:7">
      <c r="G60327" s="812"/>
    </row>
    <row r="60328" spans="7:7">
      <c r="G60328" s="812"/>
    </row>
    <row r="60329" spans="7:7">
      <c r="G60329" s="812"/>
    </row>
    <row r="60330" spans="7:7">
      <c r="G60330" s="812"/>
    </row>
    <row r="60331" spans="7:7">
      <c r="G60331" s="812"/>
    </row>
    <row r="60332" spans="7:7">
      <c r="G60332" s="812"/>
    </row>
    <row r="60333" spans="7:7">
      <c r="G60333" s="812"/>
    </row>
    <row r="60334" spans="7:7">
      <c r="G60334" s="812"/>
    </row>
    <row r="60335" spans="7:7">
      <c r="G60335" s="812"/>
    </row>
    <row r="60336" spans="7:7">
      <c r="G60336" s="812"/>
    </row>
    <row r="60337" spans="7:7">
      <c r="G60337" s="812"/>
    </row>
    <row r="60338" spans="7:7">
      <c r="G60338" s="812"/>
    </row>
    <row r="60339" spans="7:7">
      <c r="G60339" s="812"/>
    </row>
    <row r="60340" spans="7:7">
      <c r="G60340" s="812"/>
    </row>
    <row r="60341" spans="7:7">
      <c r="G60341" s="812"/>
    </row>
    <row r="60342" spans="7:7">
      <c r="G60342" s="812"/>
    </row>
    <row r="60343" spans="7:7">
      <c r="G60343" s="812"/>
    </row>
    <row r="60344" spans="7:7">
      <c r="G60344" s="812"/>
    </row>
    <row r="60345" spans="7:7">
      <c r="G60345" s="812"/>
    </row>
    <row r="60346" spans="7:7">
      <c r="G60346" s="812"/>
    </row>
    <row r="60347" spans="7:7">
      <c r="G60347" s="812"/>
    </row>
    <row r="60348" spans="7:7">
      <c r="G60348" s="812"/>
    </row>
    <row r="60349" spans="7:7">
      <c r="G60349" s="812"/>
    </row>
    <row r="60350" spans="7:7">
      <c r="G60350" s="812"/>
    </row>
    <row r="60351" spans="7:7">
      <c r="G60351" s="812"/>
    </row>
    <row r="60352" spans="7:7">
      <c r="G60352" s="812"/>
    </row>
    <row r="60353" spans="7:7">
      <c r="G60353" s="812"/>
    </row>
    <row r="60354" spans="7:7">
      <c r="G60354" s="812"/>
    </row>
    <row r="60355" spans="7:7">
      <c r="G60355" s="812"/>
    </row>
    <row r="60356" spans="7:7">
      <c r="G60356" s="812"/>
    </row>
    <row r="60357" spans="7:7">
      <c r="G60357" s="812"/>
    </row>
    <row r="60358" spans="7:7">
      <c r="G60358" s="812"/>
    </row>
    <row r="60359" spans="7:7">
      <c r="G60359" s="812"/>
    </row>
    <row r="60360" spans="7:7">
      <c r="G60360" s="812"/>
    </row>
    <row r="60361" spans="7:7">
      <c r="G60361" s="812"/>
    </row>
    <row r="60362" spans="7:7">
      <c r="G60362" s="812"/>
    </row>
    <row r="60363" spans="7:7">
      <c r="G60363" s="812"/>
    </row>
    <row r="60364" spans="7:7">
      <c r="G60364" s="812"/>
    </row>
    <row r="60365" spans="7:7">
      <c r="G60365" s="812"/>
    </row>
    <row r="60366" spans="7:7">
      <c r="G60366" s="812"/>
    </row>
    <row r="60367" spans="7:7">
      <c r="G60367" s="812"/>
    </row>
    <row r="60368" spans="7:7">
      <c r="G60368" s="812"/>
    </row>
    <row r="60369" spans="7:7">
      <c r="G60369" s="812"/>
    </row>
    <row r="60370" spans="7:7">
      <c r="G60370" s="812"/>
    </row>
    <row r="60371" spans="7:7">
      <c r="G60371" s="812"/>
    </row>
    <row r="60372" spans="7:7">
      <c r="G60372" s="812"/>
    </row>
    <row r="60373" spans="7:7">
      <c r="G60373" s="812"/>
    </row>
    <row r="60374" spans="7:7">
      <c r="G60374" s="812"/>
    </row>
    <row r="60375" spans="7:7">
      <c r="G60375" s="812"/>
    </row>
    <row r="60376" spans="7:7">
      <c r="G60376" s="812"/>
    </row>
    <row r="60377" spans="7:7">
      <c r="G60377" s="812"/>
    </row>
    <row r="60378" spans="7:7">
      <c r="G60378" s="812"/>
    </row>
    <row r="60379" spans="7:7">
      <c r="G60379" s="812"/>
    </row>
    <row r="60380" spans="7:7">
      <c r="G60380" s="812"/>
    </row>
    <row r="60381" spans="7:7">
      <c r="G60381" s="812"/>
    </row>
    <row r="60382" spans="7:7">
      <c r="G60382" s="812"/>
    </row>
    <row r="60383" spans="7:7">
      <c r="G60383" s="812"/>
    </row>
    <row r="60384" spans="7:7">
      <c r="G60384" s="812"/>
    </row>
    <row r="60385" spans="7:7">
      <c r="G60385" s="812"/>
    </row>
    <row r="60386" spans="7:7">
      <c r="G60386" s="812"/>
    </row>
    <row r="60387" spans="7:7">
      <c r="G60387" s="812"/>
    </row>
    <row r="60388" spans="7:7">
      <c r="G60388" s="812"/>
    </row>
    <row r="60389" spans="7:7">
      <c r="G60389" s="812"/>
    </row>
    <row r="60390" spans="7:7">
      <c r="G60390" s="812"/>
    </row>
    <row r="60391" spans="7:7">
      <c r="G60391" s="812"/>
    </row>
    <row r="60392" spans="7:7">
      <c r="G60392" s="812"/>
    </row>
    <row r="60393" spans="7:7">
      <c r="G60393" s="812"/>
    </row>
    <row r="60394" spans="7:7">
      <c r="G60394" s="812"/>
    </row>
    <row r="60395" spans="7:7">
      <c r="G60395" s="812"/>
    </row>
    <row r="60396" spans="7:7">
      <c r="G60396" s="812"/>
    </row>
    <row r="60397" spans="7:7">
      <c r="G60397" s="812"/>
    </row>
    <row r="60398" spans="7:7">
      <c r="G60398" s="812"/>
    </row>
    <row r="60399" spans="7:7">
      <c r="G60399" s="812"/>
    </row>
    <row r="60400" spans="7:7">
      <c r="G60400" s="812"/>
    </row>
    <row r="60401" spans="7:7">
      <c r="G60401" s="812"/>
    </row>
    <row r="60402" spans="7:7">
      <c r="G60402" s="812"/>
    </row>
    <row r="60403" spans="7:7">
      <c r="G60403" s="812"/>
    </row>
    <row r="60404" spans="7:7">
      <c r="G60404" s="812"/>
    </row>
    <row r="60405" spans="7:7">
      <c r="G60405" s="812"/>
    </row>
    <row r="60406" spans="7:7">
      <c r="G60406" s="812"/>
    </row>
    <row r="60407" spans="7:7">
      <c r="G60407" s="812"/>
    </row>
    <row r="60408" spans="7:7">
      <c r="G60408" s="812"/>
    </row>
    <row r="60409" spans="7:7">
      <c r="G60409" s="812"/>
    </row>
    <row r="60410" spans="7:7">
      <c r="G60410" s="812"/>
    </row>
    <row r="60411" spans="7:7">
      <c r="G60411" s="812"/>
    </row>
    <row r="60412" spans="7:7">
      <c r="G60412" s="812"/>
    </row>
    <row r="60413" spans="7:7">
      <c r="G60413" s="812"/>
    </row>
    <row r="60414" spans="7:7">
      <c r="G60414" s="812"/>
    </row>
    <row r="60415" spans="7:7">
      <c r="G60415" s="812"/>
    </row>
    <row r="60416" spans="7:7">
      <c r="G60416" s="812"/>
    </row>
    <row r="60417" spans="7:7">
      <c r="G60417" s="812"/>
    </row>
    <row r="60418" spans="7:7">
      <c r="G60418" s="812"/>
    </row>
    <row r="60419" spans="7:7">
      <c r="G60419" s="812"/>
    </row>
    <row r="60420" spans="7:7">
      <c r="G60420" s="812"/>
    </row>
    <row r="60421" spans="7:7">
      <c r="G60421" s="812"/>
    </row>
    <row r="60422" spans="7:7">
      <c r="G60422" s="812"/>
    </row>
    <row r="60423" spans="7:7">
      <c r="G60423" s="812"/>
    </row>
    <row r="60424" spans="7:7">
      <c r="G60424" s="812"/>
    </row>
    <row r="60425" spans="7:7">
      <c r="G60425" s="812"/>
    </row>
    <row r="60426" spans="7:7">
      <c r="G60426" s="812"/>
    </row>
    <row r="60427" spans="7:7">
      <c r="G60427" s="812"/>
    </row>
    <row r="60428" spans="7:7">
      <c r="G60428" s="812"/>
    </row>
    <row r="60429" spans="7:7">
      <c r="G60429" s="812"/>
    </row>
    <row r="60430" spans="7:7">
      <c r="G60430" s="812"/>
    </row>
    <row r="60431" spans="7:7">
      <c r="G60431" s="812"/>
    </row>
    <row r="60432" spans="7:7">
      <c r="G60432" s="812"/>
    </row>
    <row r="60433" spans="7:7">
      <c r="G60433" s="812"/>
    </row>
    <row r="60434" spans="7:7">
      <c r="G60434" s="812"/>
    </row>
    <row r="60435" spans="7:7">
      <c r="G60435" s="812"/>
    </row>
    <row r="60436" spans="7:7">
      <c r="G60436" s="812"/>
    </row>
    <row r="60437" spans="7:7">
      <c r="G60437" s="812"/>
    </row>
    <row r="60438" spans="7:7">
      <c r="G60438" s="812"/>
    </row>
    <row r="60439" spans="7:7">
      <c r="G60439" s="812"/>
    </row>
    <row r="60440" spans="7:7">
      <c r="G60440" s="812"/>
    </row>
    <row r="60441" spans="7:7">
      <c r="G60441" s="812"/>
    </row>
    <row r="60442" spans="7:7">
      <c r="G60442" s="812"/>
    </row>
    <row r="60443" spans="7:7">
      <c r="G60443" s="812"/>
    </row>
    <row r="60444" spans="7:7">
      <c r="G60444" s="812"/>
    </row>
    <row r="60445" spans="7:7">
      <c r="G60445" s="812"/>
    </row>
    <row r="60446" spans="7:7">
      <c r="G60446" s="812"/>
    </row>
    <row r="60447" spans="7:7">
      <c r="G60447" s="812"/>
    </row>
    <row r="60448" spans="7:7">
      <c r="G60448" s="812"/>
    </row>
    <row r="60449" spans="7:7">
      <c r="G60449" s="812"/>
    </row>
    <row r="60450" spans="7:7">
      <c r="G60450" s="812"/>
    </row>
    <row r="60451" spans="7:7">
      <c r="G60451" s="812"/>
    </row>
    <row r="60452" spans="7:7">
      <c r="G60452" s="812"/>
    </row>
    <row r="60453" spans="7:7">
      <c r="G60453" s="812"/>
    </row>
    <row r="60454" spans="7:7">
      <c r="G60454" s="812"/>
    </row>
    <row r="60455" spans="7:7">
      <c r="G60455" s="812"/>
    </row>
    <row r="60456" spans="7:7">
      <c r="G60456" s="812"/>
    </row>
    <row r="60457" spans="7:7">
      <c r="G60457" s="812"/>
    </row>
    <row r="60458" spans="7:7">
      <c r="G60458" s="812"/>
    </row>
    <row r="60459" spans="7:7">
      <c r="G60459" s="812"/>
    </row>
    <row r="60460" spans="7:7">
      <c r="G60460" s="812"/>
    </row>
    <row r="60461" spans="7:7">
      <c r="G60461" s="812"/>
    </row>
    <row r="60462" spans="7:7">
      <c r="G60462" s="812"/>
    </row>
    <row r="60463" spans="7:7">
      <c r="G60463" s="812"/>
    </row>
    <row r="60464" spans="7:7">
      <c r="G60464" s="812"/>
    </row>
    <row r="60465" spans="7:7">
      <c r="G60465" s="812"/>
    </row>
    <row r="60466" spans="7:7">
      <c r="G60466" s="812"/>
    </row>
    <row r="60467" spans="7:7">
      <c r="G60467" s="812"/>
    </row>
    <row r="60468" spans="7:7">
      <c r="G60468" s="812"/>
    </row>
    <row r="60469" spans="7:7">
      <c r="G60469" s="812"/>
    </row>
    <row r="60470" spans="7:7">
      <c r="G60470" s="812"/>
    </row>
    <row r="60471" spans="7:7">
      <c r="G60471" s="812"/>
    </row>
    <row r="60472" spans="7:7">
      <c r="G60472" s="812"/>
    </row>
    <row r="60473" spans="7:7">
      <c r="G60473" s="812"/>
    </row>
    <row r="60474" spans="7:7">
      <c r="G60474" s="812"/>
    </row>
    <row r="60475" spans="7:7">
      <c r="G60475" s="812"/>
    </row>
    <row r="60476" spans="7:7">
      <c r="G60476" s="812"/>
    </row>
    <row r="60477" spans="7:7">
      <c r="G60477" s="812"/>
    </row>
    <row r="60478" spans="7:7">
      <c r="G60478" s="812"/>
    </row>
    <row r="60479" spans="7:7">
      <c r="G60479" s="812"/>
    </row>
    <row r="60480" spans="7:7">
      <c r="G60480" s="812"/>
    </row>
    <row r="60481" spans="7:7">
      <c r="G60481" s="812"/>
    </row>
    <row r="60482" spans="7:7">
      <c r="G60482" s="812"/>
    </row>
    <row r="60483" spans="7:7">
      <c r="G60483" s="812"/>
    </row>
    <row r="60484" spans="7:7">
      <c r="G60484" s="812"/>
    </row>
    <row r="60485" spans="7:7">
      <c r="G60485" s="812"/>
    </row>
    <row r="60486" spans="7:7">
      <c r="G60486" s="812"/>
    </row>
    <row r="60487" spans="7:7">
      <c r="G60487" s="812"/>
    </row>
    <row r="60488" spans="7:7">
      <c r="G60488" s="812"/>
    </row>
    <row r="60489" spans="7:7">
      <c r="G60489" s="812"/>
    </row>
    <row r="60490" spans="7:7">
      <c r="G60490" s="812"/>
    </row>
    <row r="60491" spans="7:7">
      <c r="G60491" s="812"/>
    </row>
    <row r="60492" spans="7:7">
      <c r="G60492" s="812"/>
    </row>
    <row r="60493" spans="7:7">
      <c r="G60493" s="812"/>
    </row>
    <row r="60494" spans="7:7">
      <c r="G60494" s="812"/>
    </row>
    <row r="60495" spans="7:7">
      <c r="G60495" s="812"/>
    </row>
    <row r="60496" spans="7:7">
      <c r="G60496" s="812"/>
    </row>
    <row r="60497" spans="7:7">
      <c r="G60497" s="812"/>
    </row>
    <row r="60498" spans="7:7">
      <c r="G60498" s="812"/>
    </row>
    <row r="60499" spans="7:7">
      <c r="G60499" s="812"/>
    </row>
    <row r="60500" spans="7:7">
      <c r="G60500" s="812"/>
    </row>
    <row r="60501" spans="7:7">
      <c r="G60501" s="812"/>
    </row>
    <row r="60502" spans="7:7">
      <c r="G60502" s="812"/>
    </row>
    <row r="60503" spans="7:7">
      <c r="G60503" s="812"/>
    </row>
    <row r="60504" spans="7:7">
      <c r="G60504" s="812"/>
    </row>
    <row r="60505" spans="7:7">
      <c r="G60505" s="812"/>
    </row>
    <row r="60506" spans="7:7">
      <c r="G60506" s="812"/>
    </row>
    <row r="60507" spans="7:7">
      <c r="G60507" s="812"/>
    </row>
    <row r="60508" spans="7:7">
      <c r="G60508" s="812"/>
    </row>
    <row r="60509" spans="7:7">
      <c r="G60509" s="812"/>
    </row>
    <row r="60510" spans="7:7">
      <c r="G60510" s="812"/>
    </row>
    <row r="60511" spans="7:7">
      <c r="G60511" s="812"/>
    </row>
    <row r="60512" spans="7:7">
      <c r="G60512" s="812"/>
    </row>
    <row r="60513" spans="7:7">
      <c r="G60513" s="812"/>
    </row>
    <row r="60514" spans="7:7">
      <c r="G60514" s="812"/>
    </row>
    <row r="60515" spans="7:7">
      <c r="G60515" s="812"/>
    </row>
    <row r="60516" spans="7:7">
      <c r="G60516" s="812"/>
    </row>
    <row r="60517" spans="7:7">
      <c r="G60517" s="812"/>
    </row>
    <row r="60518" spans="7:7">
      <c r="G60518" s="812"/>
    </row>
    <row r="60519" spans="7:7">
      <c r="G60519" s="812"/>
    </row>
    <row r="60520" spans="7:7">
      <c r="G60520" s="812"/>
    </row>
    <row r="60521" spans="7:7">
      <c r="G60521" s="812"/>
    </row>
    <row r="60522" spans="7:7">
      <c r="G60522" s="812"/>
    </row>
    <row r="60523" spans="7:7">
      <c r="G60523" s="812"/>
    </row>
    <row r="60524" spans="7:7">
      <c r="G60524" s="812"/>
    </row>
    <row r="60525" spans="7:7">
      <c r="G60525" s="812"/>
    </row>
    <row r="60526" spans="7:7">
      <c r="G60526" s="812"/>
    </row>
    <row r="60527" spans="7:7">
      <c r="G60527" s="812"/>
    </row>
    <row r="60528" spans="7:7">
      <c r="G60528" s="812"/>
    </row>
    <row r="60529" spans="7:7">
      <c r="G60529" s="812"/>
    </row>
    <row r="60530" spans="7:7">
      <c r="G60530" s="812"/>
    </row>
    <row r="60531" spans="7:7">
      <c r="G60531" s="812"/>
    </row>
    <row r="60532" spans="7:7">
      <c r="G60532" s="812"/>
    </row>
    <row r="60533" spans="7:7">
      <c r="G60533" s="812"/>
    </row>
    <row r="60534" spans="7:7">
      <c r="G60534" s="812"/>
    </row>
    <row r="60535" spans="7:7">
      <c r="G60535" s="812"/>
    </row>
    <row r="60536" spans="7:7">
      <c r="G60536" s="812"/>
    </row>
    <row r="60537" spans="7:7">
      <c r="G60537" s="812"/>
    </row>
    <row r="60538" spans="7:7">
      <c r="G60538" s="812"/>
    </row>
    <row r="60539" spans="7:7">
      <c r="G60539" s="812"/>
    </row>
    <row r="60540" spans="7:7">
      <c r="G60540" s="812"/>
    </row>
    <row r="60541" spans="7:7">
      <c r="G60541" s="812"/>
    </row>
    <row r="60542" spans="7:7">
      <c r="G60542" s="812"/>
    </row>
    <row r="60543" spans="7:7">
      <c r="G60543" s="812"/>
    </row>
    <row r="60544" spans="7:7">
      <c r="G60544" s="812"/>
    </row>
    <row r="60545" spans="7:7">
      <c r="G60545" s="812"/>
    </row>
    <row r="60546" spans="7:7">
      <c r="G60546" s="812"/>
    </row>
    <row r="60547" spans="7:7">
      <c r="G60547" s="812"/>
    </row>
    <row r="60548" spans="7:7">
      <c r="G60548" s="812"/>
    </row>
    <row r="60549" spans="7:7">
      <c r="G60549" s="812"/>
    </row>
    <row r="60550" spans="7:7">
      <c r="G60550" s="812"/>
    </row>
    <row r="60551" spans="7:7">
      <c r="G60551" s="812"/>
    </row>
    <row r="60552" spans="7:7">
      <c r="G60552" s="812"/>
    </row>
    <row r="60553" spans="7:7">
      <c r="G60553" s="812"/>
    </row>
    <row r="60554" spans="7:7">
      <c r="G60554" s="812"/>
    </row>
    <row r="60555" spans="7:7">
      <c r="G60555" s="812"/>
    </row>
    <row r="60556" spans="7:7">
      <c r="G60556" s="812"/>
    </row>
    <row r="60557" spans="7:7">
      <c r="G60557" s="812"/>
    </row>
    <row r="60558" spans="7:7">
      <c r="G60558" s="812"/>
    </row>
    <row r="60559" spans="7:7">
      <c r="G60559" s="812"/>
    </row>
    <row r="60560" spans="7:7">
      <c r="G60560" s="812"/>
    </row>
    <row r="60561" spans="7:7">
      <c r="G60561" s="812"/>
    </row>
    <row r="60562" spans="7:7">
      <c r="G60562" s="812"/>
    </row>
    <row r="60563" spans="7:7">
      <c r="G60563" s="812"/>
    </row>
    <row r="60564" spans="7:7">
      <c r="G60564" s="812"/>
    </row>
    <row r="60565" spans="7:7">
      <c r="G60565" s="812"/>
    </row>
    <row r="60566" spans="7:7">
      <c r="G60566" s="812"/>
    </row>
    <row r="60567" spans="7:7">
      <c r="G60567" s="812"/>
    </row>
    <row r="60568" spans="7:7">
      <c r="G60568" s="812"/>
    </row>
    <row r="60569" spans="7:7">
      <c r="G60569" s="812"/>
    </row>
    <row r="60570" spans="7:7">
      <c r="G60570" s="812"/>
    </row>
    <row r="60571" spans="7:7">
      <c r="G60571" s="812"/>
    </row>
    <row r="60572" spans="7:7">
      <c r="G60572" s="812"/>
    </row>
    <row r="60573" spans="7:7">
      <c r="G60573" s="812"/>
    </row>
    <row r="60574" spans="7:7">
      <c r="G60574" s="812"/>
    </row>
    <row r="60575" spans="7:7">
      <c r="G60575" s="812"/>
    </row>
    <row r="60576" spans="7:7">
      <c r="G60576" s="812"/>
    </row>
    <row r="60577" spans="7:7">
      <c r="G60577" s="812"/>
    </row>
    <row r="60578" spans="7:7">
      <c r="G60578" s="812"/>
    </row>
    <row r="60579" spans="7:7">
      <c r="G60579" s="812"/>
    </row>
    <row r="60580" spans="7:7">
      <c r="G60580" s="812"/>
    </row>
    <row r="60581" spans="7:7">
      <c r="G60581" s="812"/>
    </row>
    <row r="60582" spans="7:7">
      <c r="G60582" s="812"/>
    </row>
    <row r="60583" spans="7:7">
      <c r="G60583" s="812"/>
    </row>
    <row r="60584" spans="7:7">
      <c r="G60584" s="812"/>
    </row>
    <row r="60585" spans="7:7">
      <c r="G60585" s="812"/>
    </row>
    <row r="60586" spans="7:7">
      <c r="G60586" s="812"/>
    </row>
    <row r="60587" spans="7:7">
      <c r="G60587" s="812"/>
    </row>
    <row r="60588" spans="7:7">
      <c r="G60588" s="812"/>
    </row>
    <row r="60589" spans="7:7">
      <c r="G60589" s="812"/>
    </row>
    <row r="60590" spans="7:7">
      <c r="G60590" s="812"/>
    </row>
    <row r="60591" spans="7:7">
      <c r="G60591" s="812"/>
    </row>
    <row r="60592" spans="7:7">
      <c r="G60592" s="812"/>
    </row>
    <row r="60593" spans="7:7">
      <c r="G60593" s="812"/>
    </row>
    <row r="60594" spans="7:7">
      <c r="G60594" s="812"/>
    </row>
    <row r="60595" spans="7:7">
      <c r="G60595" s="812"/>
    </row>
    <row r="60596" spans="7:7">
      <c r="G60596" s="812"/>
    </row>
    <row r="60597" spans="7:7">
      <c r="G60597" s="812"/>
    </row>
    <row r="60598" spans="7:7">
      <c r="G60598" s="812"/>
    </row>
    <row r="60599" spans="7:7">
      <c r="G60599" s="812"/>
    </row>
    <row r="60600" spans="7:7">
      <c r="G60600" s="812"/>
    </row>
    <row r="60601" spans="7:7">
      <c r="G60601" s="812"/>
    </row>
    <row r="60602" spans="7:7">
      <c r="G60602" s="812"/>
    </row>
    <row r="60603" spans="7:7">
      <c r="G60603" s="812"/>
    </row>
    <row r="60604" spans="7:7">
      <c r="G60604" s="812"/>
    </row>
    <row r="60605" spans="7:7">
      <c r="G60605" s="812"/>
    </row>
    <row r="60606" spans="7:7">
      <c r="G60606" s="812"/>
    </row>
    <row r="60607" spans="7:7">
      <c r="G60607" s="812"/>
    </row>
    <row r="60608" spans="7:7">
      <c r="G60608" s="812"/>
    </row>
    <row r="60609" spans="7:7">
      <c r="G60609" s="812"/>
    </row>
    <row r="60610" spans="7:7">
      <c r="G60610" s="812"/>
    </row>
    <row r="60611" spans="7:7">
      <c r="G60611" s="812"/>
    </row>
    <row r="60612" spans="7:7">
      <c r="G60612" s="812"/>
    </row>
    <row r="60613" spans="7:7">
      <c r="G60613" s="812"/>
    </row>
    <row r="60614" spans="7:7">
      <c r="G60614" s="812"/>
    </row>
    <row r="60615" spans="7:7">
      <c r="G60615" s="812"/>
    </row>
    <row r="60616" spans="7:7">
      <c r="G60616" s="812"/>
    </row>
    <row r="60617" spans="7:7">
      <c r="G60617" s="812"/>
    </row>
    <row r="60618" spans="7:7">
      <c r="G60618" s="812"/>
    </row>
    <row r="60619" spans="7:7">
      <c r="G60619" s="812"/>
    </row>
    <row r="60620" spans="7:7">
      <c r="G60620" s="812"/>
    </row>
    <row r="60621" spans="7:7">
      <c r="G60621" s="812"/>
    </row>
    <row r="60622" spans="7:7">
      <c r="G60622" s="812"/>
    </row>
    <row r="60623" spans="7:7">
      <c r="G60623" s="812"/>
    </row>
    <row r="60624" spans="7:7">
      <c r="G60624" s="812"/>
    </row>
    <row r="60625" spans="7:7">
      <c r="G60625" s="812"/>
    </row>
    <row r="60626" spans="7:7">
      <c r="G60626" s="812"/>
    </row>
    <row r="60627" spans="7:7">
      <c r="G60627" s="812"/>
    </row>
    <row r="60628" spans="7:7">
      <c r="G60628" s="812"/>
    </row>
    <row r="60629" spans="7:7">
      <c r="G60629" s="812"/>
    </row>
    <row r="60630" spans="7:7">
      <c r="G60630" s="812"/>
    </row>
    <row r="60631" spans="7:7">
      <c r="G60631" s="812"/>
    </row>
    <row r="60632" spans="7:7">
      <c r="G60632" s="812"/>
    </row>
    <row r="60633" spans="7:7">
      <c r="G60633" s="812"/>
    </row>
    <row r="60634" spans="7:7">
      <c r="G60634" s="812"/>
    </row>
    <row r="60635" spans="7:7">
      <c r="G60635" s="812"/>
    </row>
    <row r="60636" spans="7:7">
      <c r="G60636" s="812"/>
    </row>
    <row r="60637" spans="7:7">
      <c r="G60637" s="812"/>
    </row>
    <row r="60638" spans="7:7">
      <c r="G60638" s="812"/>
    </row>
    <row r="60639" spans="7:7">
      <c r="G60639" s="812"/>
    </row>
    <row r="60640" spans="7:7">
      <c r="G60640" s="812"/>
    </row>
    <row r="60641" spans="7:7">
      <c r="G60641" s="812"/>
    </row>
    <row r="60642" spans="7:7">
      <c r="G60642" s="812"/>
    </row>
    <row r="60643" spans="7:7">
      <c r="G60643" s="812"/>
    </row>
    <row r="60644" spans="7:7">
      <c r="G60644" s="812"/>
    </row>
    <row r="60645" spans="7:7">
      <c r="G60645" s="812"/>
    </row>
    <row r="60646" spans="7:7">
      <c r="G60646" s="812"/>
    </row>
    <row r="60647" spans="7:7">
      <c r="G60647" s="812"/>
    </row>
    <row r="60648" spans="7:7">
      <c r="G60648" s="812"/>
    </row>
    <row r="60649" spans="7:7">
      <c r="G60649" s="812"/>
    </row>
    <row r="60650" spans="7:7">
      <c r="G60650" s="812"/>
    </row>
    <row r="60651" spans="7:7">
      <c r="G60651" s="812"/>
    </row>
    <row r="60652" spans="7:7">
      <c r="G60652" s="812"/>
    </row>
    <row r="60653" spans="7:7">
      <c r="G60653" s="812"/>
    </row>
    <row r="60654" spans="7:7">
      <c r="G60654" s="812"/>
    </row>
    <row r="60655" spans="7:7">
      <c r="G60655" s="812"/>
    </row>
    <row r="60656" spans="7:7">
      <c r="G60656" s="812"/>
    </row>
    <row r="60657" spans="7:7">
      <c r="G60657" s="812"/>
    </row>
    <row r="60658" spans="7:7">
      <c r="G60658" s="812"/>
    </row>
    <row r="60659" spans="7:7">
      <c r="G60659" s="812"/>
    </row>
    <row r="60660" spans="7:7">
      <c r="G60660" s="812"/>
    </row>
    <row r="60661" spans="7:7">
      <c r="G60661" s="812"/>
    </row>
    <row r="60662" spans="7:7">
      <c r="G60662" s="812"/>
    </row>
    <row r="60663" spans="7:7">
      <c r="G60663" s="812"/>
    </row>
    <row r="60664" spans="7:7">
      <c r="G60664" s="812"/>
    </row>
    <row r="60665" spans="7:7">
      <c r="G60665" s="812"/>
    </row>
    <row r="60666" spans="7:7">
      <c r="G60666" s="812"/>
    </row>
    <row r="60667" spans="7:7">
      <c r="G60667" s="812"/>
    </row>
    <row r="60668" spans="7:7">
      <c r="G60668" s="812"/>
    </row>
    <row r="60669" spans="7:7">
      <c r="G60669" s="812"/>
    </row>
    <row r="60670" spans="7:7">
      <c r="G60670" s="812"/>
    </row>
    <row r="60671" spans="7:7">
      <c r="G60671" s="812"/>
    </row>
    <row r="60672" spans="7:7">
      <c r="G60672" s="812"/>
    </row>
    <row r="60673" spans="7:7">
      <c r="G60673" s="812"/>
    </row>
    <row r="60674" spans="7:7">
      <c r="G60674" s="812"/>
    </row>
    <row r="60675" spans="7:7">
      <c r="G60675" s="812"/>
    </row>
    <row r="60676" spans="7:7">
      <c r="G60676" s="812"/>
    </row>
    <row r="60677" spans="7:7">
      <c r="G60677" s="812"/>
    </row>
    <row r="60678" spans="7:7">
      <c r="G60678" s="812"/>
    </row>
    <row r="60679" spans="7:7">
      <c r="G60679" s="812"/>
    </row>
    <row r="60680" spans="7:7">
      <c r="G60680" s="812"/>
    </row>
    <row r="60681" spans="7:7">
      <c r="G60681" s="812"/>
    </row>
    <row r="60682" spans="7:7">
      <c r="G60682" s="812"/>
    </row>
    <row r="60683" spans="7:7">
      <c r="G60683" s="812"/>
    </row>
    <row r="60684" spans="7:7">
      <c r="G60684" s="812"/>
    </row>
    <row r="60685" spans="7:7">
      <c r="G60685" s="812"/>
    </row>
    <row r="60686" spans="7:7">
      <c r="G60686" s="812"/>
    </row>
    <row r="60687" spans="7:7">
      <c r="G60687" s="812"/>
    </row>
    <row r="60688" spans="7:7">
      <c r="G60688" s="812"/>
    </row>
    <row r="60689" spans="7:7">
      <c r="G60689" s="812"/>
    </row>
    <row r="60690" spans="7:7">
      <c r="G60690" s="812"/>
    </row>
    <row r="60691" spans="7:7">
      <c r="G60691" s="812"/>
    </row>
    <row r="60692" spans="7:7">
      <c r="G60692" s="812"/>
    </row>
    <row r="60693" spans="7:7">
      <c r="G60693" s="812"/>
    </row>
    <row r="60694" spans="7:7">
      <c r="G60694" s="812"/>
    </row>
    <row r="60695" spans="7:7">
      <c r="G60695" s="812"/>
    </row>
    <row r="60696" spans="7:7">
      <c r="G60696" s="812"/>
    </row>
    <row r="60697" spans="7:7">
      <c r="G60697" s="812"/>
    </row>
    <row r="60698" spans="7:7">
      <c r="G60698" s="812"/>
    </row>
    <row r="60699" spans="7:7">
      <c r="G60699" s="812"/>
    </row>
    <row r="60700" spans="7:7">
      <c r="G60700" s="812"/>
    </row>
    <row r="60701" spans="7:7">
      <c r="G60701" s="812"/>
    </row>
    <row r="60702" spans="7:7">
      <c r="G60702" s="812"/>
    </row>
    <row r="60703" spans="7:7">
      <c r="G60703" s="812"/>
    </row>
    <row r="60704" spans="7:7">
      <c r="G60704" s="812"/>
    </row>
    <row r="60705" spans="7:7">
      <c r="G60705" s="812"/>
    </row>
    <row r="60706" spans="7:7">
      <c r="G60706" s="812"/>
    </row>
    <row r="60707" spans="7:7">
      <c r="G60707" s="812"/>
    </row>
    <row r="60708" spans="7:7">
      <c r="G60708" s="812"/>
    </row>
    <row r="60709" spans="7:7">
      <c r="G60709" s="812"/>
    </row>
    <row r="60710" spans="7:7">
      <c r="G60710" s="812"/>
    </row>
    <row r="60711" spans="7:7">
      <c r="G60711" s="812"/>
    </row>
    <row r="60712" spans="7:7">
      <c r="G60712" s="812"/>
    </row>
    <row r="60713" spans="7:7">
      <c r="G60713" s="812"/>
    </row>
    <row r="60714" spans="7:7">
      <c r="G60714" s="812"/>
    </row>
    <row r="60715" spans="7:7">
      <c r="G60715" s="812"/>
    </row>
    <row r="60716" spans="7:7">
      <c r="G60716" s="812"/>
    </row>
    <row r="60717" spans="7:7">
      <c r="G60717" s="812"/>
    </row>
    <row r="60718" spans="7:7">
      <c r="G60718" s="812"/>
    </row>
    <row r="60719" spans="7:7">
      <c r="G60719" s="812"/>
    </row>
    <row r="60720" spans="7:7">
      <c r="G60720" s="812"/>
    </row>
    <row r="60721" spans="7:7">
      <c r="G60721" s="812"/>
    </row>
    <row r="60722" spans="7:7">
      <c r="G60722" s="812"/>
    </row>
    <row r="60723" spans="7:7">
      <c r="G60723" s="812"/>
    </row>
    <row r="60724" spans="7:7">
      <c r="G60724" s="812"/>
    </row>
    <row r="60725" spans="7:7">
      <c r="G60725" s="812"/>
    </row>
    <row r="60726" spans="7:7">
      <c r="G60726" s="812"/>
    </row>
    <row r="60727" spans="7:7">
      <c r="G60727" s="812"/>
    </row>
    <row r="60728" spans="7:7">
      <c r="G60728" s="812"/>
    </row>
    <row r="60729" spans="7:7">
      <c r="G60729" s="812"/>
    </row>
    <row r="60730" spans="7:7">
      <c r="G60730" s="812"/>
    </row>
    <row r="60731" spans="7:7">
      <c r="G60731" s="812"/>
    </row>
    <row r="60732" spans="7:7">
      <c r="G60732" s="812"/>
    </row>
    <row r="60733" spans="7:7">
      <c r="G60733" s="812"/>
    </row>
    <row r="60734" spans="7:7">
      <c r="G60734" s="812"/>
    </row>
    <row r="60735" spans="7:7">
      <c r="G60735" s="812"/>
    </row>
    <row r="60736" spans="7:7">
      <c r="G60736" s="812"/>
    </row>
    <row r="60737" spans="7:7">
      <c r="G60737" s="812"/>
    </row>
    <row r="60738" spans="7:7">
      <c r="G60738" s="812"/>
    </row>
    <row r="60739" spans="7:7">
      <c r="G60739" s="812"/>
    </row>
    <row r="60740" spans="7:7">
      <c r="G60740" s="812"/>
    </row>
    <row r="60741" spans="7:7">
      <c r="G60741" s="812"/>
    </row>
    <row r="60742" spans="7:7">
      <c r="G60742" s="812"/>
    </row>
    <row r="60743" spans="7:7">
      <c r="G60743" s="812"/>
    </row>
    <row r="60744" spans="7:7">
      <c r="G60744" s="812"/>
    </row>
    <row r="60745" spans="7:7">
      <c r="G60745" s="812"/>
    </row>
    <row r="60746" spans="7:7">
      <c r="G60746" s="812"/>
    </row>
    <row r="60747" spans="7:7">
      <c r="G60747" s="812"/>
    </row>
    <row r="60748" spans="7:7">
      <c r="G60748" s="812"/>
    </row>
    <row r="60749" spans="7:7">
      <c r="G60749" s="812"/>
    </row>
    <row r="60750" spans="7:7">
      <c r="G60750" s="812"/>
    </row>
    <row r="60751" spans="7:7">
      <c r="G60751" s="812"/>
    </row>
    <row r="60752" spans="7:7">
      <c r="G60752" s="812"/>
    </row>
    <row r="60753" spans="7:7">
      <c r="G60753" s="812"/>
    </row>
    <row r="60754" spans="7:7">
      <c r="G60754" s="812"/>
    </row>
    <row r="60755" spans="7:7">
      <c r="G60755" s="812"/>
    </row>
    <row r="60756" spans="7:7">
      <c r="G60756" s="812"/>
    </row>
    <row r="60757" spans="7:7">
      <c r="G60757" s="812"/>
    </row>
    <row r="60758" spans="7:7">
      <c r="G60758" s="812"/>
    </row>
    <row r="60759" spans="7:7">
      <c r="G60759" s="812"/>
    </row>
    <row r="60760" spans="7:7">
      <c r="G60760" s="812"/>
    </row>
    <row r="60761" spans="7:7">
      <c r="G60761" s="812"/>
    </row>
    <row r="60762" spans="7:7">
      <c r="G60762" s="812"/>
    </row>
    <row r="60763" spans="7:7">
      <c r="G60763" s="812"/>
    </row>
    <row r="60764" spans="7:7">
      <c r="G60764" s="812"/>
    </row>
    <row r="60765" spans="7:7">
      <c r="G60765" s="812"/>
    </row>
    <row r="60766" spans="7:7">
      <c r="G60766" s="812"/>
    </row>
    <row r="60767" spans="7:7">
      <c r="G60767" s="812"/>
    </row>
    <row r="60768" spans="7:7">
      <c r="G60768" s="812"/>
    </row>
    <row r="60769" spans="7:7">
      <c r="G60769" s="812"/>
    </row>
    <row r="60770" spans="7:7">
      <c r="G60770" s="812"/>
    </row>
    <row r="60771" spans="7:7">
      <c r="G60771" s="812"/>
    </row>
    <row r="60772" spans="7:7">
      <c r="G60772" s="812"/>
    </row>
    <row r="60773" spans="7:7">
      <c r="G60773" s="812"/>
    </row>
    <row r="60774" spans="7:7">
      <c r="G60774" s="812"/>
    </row>
    <row r="60775" spans="7:7">
      <c r="G60775" s="812"/>
    </row>
    <row r="60776" spans="7:7">
      <c r="G60776" s="812"/>
    </row>
    <row r="60777" spans="7:7">
      <c r="G60777" s="812"/>
    </row>
    <row r="60778" spans="7:7">
      <c r="G60778" s="812"/>
    </row>
    <row r="60779" spans="7:7">
      <c r="G60779" s="812"/>
    </row>
    <row r="60780" spans="7:7">
      <c r="G60780" s="812"/>
    </row>
    <row r="60781" spans="7:7">
      <c r="G60781" s="812"/>
    </row>
    <row r="60782" spans="7:7">
      <c r="G60782" s="812"/>
    </row>
    <row r="60783" spans="7:7">
      <c r="G60783" s="812"/>
    </row>
    <row r="60784" spans="7:7">
      <c r="G60784" s="812"/>
    </row>
    <row r="60785" spans="7:7">
      <c r="G60785" s="812"/>
    </row>
    <row r="60786" spans="7:7">
      <c r="G60786" s="812"/>
    </row>
    <row r="60787" spans="7:7">
      <c r="G60787" s="812"/>
    </row>
    <row r="60788" spans="7:7">
      <c r="G60788" s="812"/>
    </row>
    <row r="60789" spans="7:7">
      <c r="G60789" s="812"/>
    </row>
    <row r="60790" spans="7:7">
      <c r="G60790" s="812"/>
    </row>
    <row r="60791" spans="7:7">
      <c r="G60791" s="812"/>
    </row>
    <row r="60792" spans="7:7">
      <c r="G60792" s="812"/>
    </row>
    <row r="60793" spans="7:7">
      <c r="G60793" s="812"/>
    </row>
    <row r="60794" spans="7:7">
      <c r="G60794" s="812"/>
    </row>
    <row r="60795" spans="7:7">
      <c r="G60795" s="812"/>
    </row>
    <row r="60796" spans="7:7">
      <c r="G60796" s="812"/>
    </row>
    <row r="60797" spans="7:7">
      <c r="G60797" s="812"/>
    </row>
    <row r="60798" spans="7:7">
      <c r="G60798" s="812"/>
    </row>
    <row r="60799" spans="7:7">
      <c r="G60799" s="812"/>
    </row>
    <row r="60800" spans="7:7">
      <c r="G60800" s="812"/>
    </row>
    <row r="60801" spans="7:7">
      <c r="G60801" s="812"/>
    </row>
    <row r="60802" spans="7:7">
      <c r="G60802" s="812"/>
    </row>
    <row r="60803" spans="7:7">
      <c r="G60803" s="812"/>
    </row>
    <row r="60804" spans="7:7">
      <c r="G60804" s="812"/>
    </row>
    <row r="60805" spans="7:7">
      <c r="G60805" s="812"/>
    </row>
    <row r="60806" spans="7:7">
      <c r="G60806" s="812"/>
    </row>
    <row r="60807" spans="7:7">
      <c r="G60807" s="812"/>
    </row>
    <row r="60808" spans="7:7">
      <c r="G60808" s="812"/>
    </row>
    <row r="60809" spans="7:7">
      <c r="G60809" s="812"/>
    </row>
    <row r="60810" spans="7:7">
      <c r="G60810" s="812"/>
    </row>
    <row r="60811" spans="7:7">
      <c r="G60811" s="812"/>
    </row>
    <row r="60812" spans="7:7">
      <c r="G60812" s="812"/>
    </row>
    <row r="60813" spans="7:7">
      <c r="G60813" s="812"/>
    </row>
    <row r="60814" spans="7:7">
      <c r="G60814" s="812"/>
    </row>
    <row r="60815" spans="7:7">
      <c r="G60815" s="812"/>
    </row>
    <row r="60816" spans="7:7">
      <c r="G60816" s="812"/>
    </row>
    <row r="60817" spans="7:7">
      <c r="G60817" s="812"/>
    </row>
    <row r="60818" spans="7:7">
      <c r="G60818" s="812"/>
    </row>
    <row r="60819" spans="7:7">
      <c r="G60819" s="812"/>
    </row>
    <row r="60820" spans="7:7">
      <c r="G60820" s="812"/>
    </row>
    <row r="60821" spans="7:7">
      <c r="G60821" s="812"/>
    </row>
    <row r="60822" spans="7:7">
      <c r="G60822" s="812"/>
    </row>
    <row r="60823" spans="7:7">
      <c r="G60823" s="812"/>
    </row>
    <row r="60824" spans="7:7">
      <c r="G60824" s="812"/>
    </row>
    <row r="60825" spans="7:7">
      <c r="G60825" s="812"/>
    </row>
    <row r="60826" spans="7:7">
      <c r="G60826" s="812"/>
    </row>
    <row r="60827" spans="7:7">
      <c r="G60827" s="812"/>
    </row>
    <row r="60828" spans="7:7">
      <c r="G60828" s="812"/>
    </row>
    <row r="60829" spans="7:7">
      <c r="G60829" s="812"/>
    </row>
    <row r="60830" spans="7:7">
      <c r="G60830" s="812"/>
    </row>
    <row r="60831" spans="7:7">
      <c r="G60831" s="812"/>
    </row>
    <row r="60832" spans="7:7">
      <c r="G60832" s="812"/>
    </row>
    <row r="60833" spans="7:7">
      <c r="G60833" s="812"/>
    </row>
    <row r="60834" spans="7:7">
      <c r="G60834" s="812"/>
    </row>
    <row r="60835" spans="7:7">
      <c r="G60835" s="812"/>
    </row>
    <row r="60836" spans="7:7">
      <c r="G60836" s="812"/>
    </row>
    <row r="60837" spans="7:7">
      <c r="G60837" s="812"/>
    </row>
    <row r="60838" spans="7:7">
      <c r="G60838" s="812"/>
    </row>
    <row r="60839" spans="7:7">
      <c r="G60839" s="812"/>
    </row>
    <row r="60840" spans="7:7">
      <c r="G60840" s="812"/>
    </row>
    <row r="60841" spans="7:7">
      <c r="G60841" s="812"/>
    </row>
    <row r="60842" spans="7:7">
      <c r="G60842" s="812"/>
    </row>
    <row r="60843" spans="7:7">
      <c r="G60843" s="812"/>
    </row>
    <row r="60844" spans="7:7">
      <c r="G60844" s="812"/>
    </row>
    <row r="60845" spans="7:7">
      <c r="G60845" s="812"/>
    </row>
    <row r="60846" spans="7:7">
      <c r="G60846" s="812"/>
    </row>
    <row r="60847" spans="7:7">
      <c r="G60847" s="812"/>
    </row>
    <row r="60848" spans="7:7">
      <c r="G60848" s="812"/>
    </row>
    <row r="60849" spans="7:7">
      <c r="G60849" s="812"/>
    </row>
    <row r="60850" spans="7:7">
      <c r="G60850" s="812"/>
    </row>
    <row r="60851" spans="7:7">
      <c r="G60851" s="812"/>
    </row>
    <row r="60852" spans="7:7">
      <c r="G60852" s="812"/>
    </row>
    <row r="60853" spans="7:7">
      <c r="G60853" s="812"/>
    </row>
    <row r="60854" spans="7:7">
      <c r="G60854" s="812"/>
    </row>
    <row r="60855" spans="7:7">
      <c r="G60855" s="812"/>
    </row>
    <row r="60856" spans="7:7">
      <c r="G60856" s="812"/>
    </row>
    <row r="60857" spans="7:7">
      <c r="G60857" s="812"/>
    </row>
    <row r="60858" spans="7:7">
      <c r="G60858" s="812"/>
    </row>
    <row r="60859" spans="7:7">
      <c r="G60859" s="812"/>
    </row>
    <row r="60860" spans="7:7">
      <c r="G60860" s="812"/>
    </row>
    <row r="60861" spans="7:7">
      <c r="G60861" s="812"/>
    </row>
    <row r="60862" spans="7:7">
      <c r="G60862" s="812"/>
    </row>
    <row r="60863" spans="7:7">
      <c r="G60863" s="812"/>
    </row>
    <row r="60864" spans="7:7">
      <c r="G60864" s="812"/>
    </row>
    <row r="60865" spans="7:7">
      <c r="G60865" s="812"/>
    </row>
    <row r="60866" spans="7:7">
      <c r="G60866" s="812"/>
    </row>
    <row r="60867" spans="7:7">
      <c r="G60867" s="812"/>
    </row>
    <row r="60868" spans="7:7">
      <c r="G60868" s="812"/>
    </row>
    <row r="60869" spans="7:7">
      <c r="G60869" s="812"/>
    </row>
    <row r="60870" spans="7:7">
      <c r="G60870" s="812"/>
    </row>
    <row r="60871" spans="7:7">
      <c r="G60871" s="812"/>
    </row>
    <row r="60872" spans="7:7">
      <c r="G60872" s="812"/>
    </row>
    <row r="60873" spans="7:7">
      <c r="G60873" s="812"/>
    </row>
    <row r="60874" spans="7:7">
      <c r="G60874" s="812"/>
    </row>
    <row r="60875" spans="7:7">
      <c r="G60875" s="812"/>
    </row>
    <row r="60876" spans="7:7">
      <c r="G60876" s="812"/>
    </row>
    <row r="60877" spans="7:7">
      <c r="G60877" s="812"/>
    </row>
    <row r="60878" spans="7:7">
      <c r="G60878" s="812"/>
    </row>
    <row r="60879" spans="7:7">
      <c r="G60879" s="812"/>
    </row>
    <row r="60880" spans="7:7">
      <c r="G60880" s="812"/>
    </row>
    <row r="60881" spans="7:7">
      <c r="G60881" s="812"/>
    </row>
    <row r="60882" spans="7:7">
      <c r="G60882" s="812"/>
    </row>
    <row r="60883" spans="7:7">
      <c r="G60883" s="812"/>
    </row>
    <row r="60884" spans="7:7">
      <c r="G60884" s="812"/>
    </row>
    <row r="60885" spans="7:7">
      <c r="G60885" s="812"/>
    </row>
    <row r="60886" spans="7:7">
      <c r="G60886" s="812"/>
    </row>
    <row r="60887" spans="7:7">
      <c r="G60887" s="812"/>
    </row>
    <row r="60888" spans="7:7">
      <c r="G60888" s="812"/>
    </row>
    <row r="60889" spans="7:7">
      <c r="G60889" s="812"/>
    </row>
    <row r="60890" spans="7:7">
      <c r="G60890" s="812"/>
    </row>
    <row r="60891" spans="7:7">
      <c r="G60891" s="812"/>
    </row>
    <row r="60892" spans="7:7">
      <c r="G60892" s="812"/>
    </row>
    <row r="60893" spans="7:7">
      <c r="G60893" s="812"/>
    </row>
    <row r="60894" spans="7:7">
      <c r="G60894" s="812"/>
    </row>
    <row r="60895" spans="7:7">
      <c r="G60895" s="812"/>
    </row>
    <row r="60896" spans="7:7">
      <c r="G60896" s="812"/>
    </row>
    <row r="60897" spans="7:7">
      <c r="G60897" s="812"/>
    </row>
    <row r="60898" spans="7:7">
      <c r="G60898" s="812"/>
    </row>
    <row r="60899" spans="7:7">
      <c r="G60899" s="812"/>
    </row>
    <row r="60900" spans="7:7">
      <c r="G60900" s="812"/>
    </row>
    <row r="60901" spans="7:7">
      <c r="G60901" s="812"/>
    </row>
    <row r="60902" spans="7:7">
      <c r="G60902" s="812"/>
    </row>
    <row r="60903" spans="7:7">
      <c r="G60903" s="812"/>
    </row>
    <row r="60904" spans="7:7">
      <c r="G60904" s="812"/>
    </row>
    <row r="60905" spans="7:7">
      <c r="G60905" s="812"/>
    </row>
    <row r="60906" spans="7:7">
      <c r="G60906" s="812"/>
    </row>
    <row r="60907" spans="7:7">
      <c r="G60907" s="812"/>
    </row>
    <row r="60908" spans="7:7">
      <c r="G60908" s="812"/>
    </row>
    <row r="60909" spans="7:7">
      <c r="G60909" s="812"/>
    </row>
    <row r="60910" spans="7:7">
      <c r="G60910" s="812"/>
    </row>
    <row r="60911" spans="7:7">
      <c r="G60911" s="812"/>
    </row>
    <row r="60912" spans="7:7">
      <c r="G60912" s="812"/>
    </row>
    <row r="60913" spans="7:7">
      <c r="G60913" s="812"/>
    </row>
    <row r="60914" spans="7:7">
      <c r="G60914" s="812"/>
    </row>
    <row r="60915" spans="7:7">
      <c r="G60915" s="812"/>
    </row>
    <row r="60916" spans="7:7">
      <c r="G60916" s="812"/>
    </row>
    <row r="60917" spans="7:7">
      <c r="G60917" s="812"/>
    </row>
    <row r="60918" spans="7:7">
      <c r="G60918" s="812"/>
    </row>
    <row r="60919" spans="7:7">
      <c r="G60919" s="812"/>
    </row>
    <row r="60920" spans="7:7">
      <c r="G60920" s="812"/>
    </row>
    <row r="60921" spans="7:7">
      <c r="G60921" s="812"/>
    </row>
    <row r="60922" spans="7:7">
      <c r="G60922" s="812"/>
    </row>
    <row r="60923" spans="7:7">
      <c r="G60923" s="812"/>
    </row>
    <row r="60924" spans="7:7">
      <c r="G60924" s="812"/>
    </row>
    <row r="60925" spans="7:7">
      <c r="G60925" s="812"/>
    </row>
    <row r="60926" spans="7:7">
      <c r="G60926" s="812"/>
    </row>
    <row r="60927" spans="7:7">
      <c r="G60927" s="812"/>
    </row>
    <row r="60928" spans="7:7">
      <c r="G60928" s="812"/>
    </row>
    <row r="60929" spans="7:7">
      <c r="G60929" s="812"/>
    </row>
    <row r="60930" spans="7:7">
      <c r="G60930" s="812"/>
    </row>
    <row r="60931" spans="7:7">
      <c r="G60931" s="812"/>
    </row>
    <row r="60932" spans="7:7">
      <c r="G60932" s="812"/>
    </row>
    <row r="60933" spans="7:7">
      <c r="G60933" s="812"/>
    </row>
    <row r="60934" spans="7:7">
      <c r="G60934" s="812"/>
    </row>
    <row r="60935" spans="7:7">
      <c r="G60935" s="812"/>
    </row>
    <row r="60936" spans="7:7">
      <c r="G60936" s="812"/>
    </row>
    <row r="60937" spans="7:7">
      <c r="G60937" s="812"/>
    </row>
    <row r="60938" spans="7:7">
      <c r="G60938" s="812"/>
    </row>
    <row r="60939" spans="7:7">
      <c r="G60939" s="812"/>
    </row>
    <row r="60940" spans="7:7">
      <c r="G60940" s="812"/>
    </row>
    <row r="60941" spans="7:7">
      <c r="G60941" s="812"/>
    </row>
    <row r="60942" spans="7:7">
      <c r="G60942" s="812"/>
    </row>
    <row r="60943" spans="7:7">
      <c r="G60943" s="812"/>
    </row>
    <row r="60944" spans="7:7">
      <c r="G60944" s="812"/>
    </row>
    <row r="60945" spans="7:7">
      <c r="G60945" s="812"/>
    </row>
    <row r="60946" spans="7:7">
      <c r="G60946" s="812"/>
    </row>
    <row r="60947" spans="7:7">
      <c r="G60947" s="812"/>
    </row>
    <row r="60948" spans="7:7">
      <c r="G60948" s="812"/>
    </row>
    <row r="60949" spans="7:7">
      <c r="G60949" s="812"/>
    </row>
    <row r="60950" spans="7:7">
      <c r="G60950" s="812"/>
    </row>
    <row r="60951" spans="7:7">
      <c r="G60951" s="812"/>
    </row>
    <row r="60952" spans="7:7">
      <c r="G60952" s="812"/>
    </row>
    <row r="60953" spans="7:7">
      <c r="G60953" s="812"/>
    </row>
    <row r="60954" spans="7:7">
      <c r="G60954" s="812"/>
    </row>
    <row r="60955" spans="7:7">
      <c r="G60955" s="812"/>
    </row>
    <row r="60956" spans="7:7">
      <c r="G60956" s="812"/>
    </row>
    <row r="60957" spans="7:7">
      <c r="G60957" s="812"/>
    </row>
    <row r="60958" spans="7:7">
      <c r="G60958" s="812"/>
    </row>
    <row r="60959" spans="7:7">
      <c r="G60959" s="812"/>
    </row>
    <row r="60960" spans="7:7">
      <c r="G60960" s="812"/>
    </row>
    <row r="60961" spans="7:7">
      <c r="G60961" s="812"/>
    </row>
    <row r="60962" spans="7:7">
      <c r="G60962" s="812"/>
    </row>
    <row r="60963" spans="7:7">
      <c r="G60963" s="812"/>
    </row>
    <row r="60964" spans="7:7">
      <c r="G60964" s="812"/>
    </row>
    <row r="60965" spans="7:7">
      <c r="G60965" s="812"/>
    </row>
    <row r="60966" spans="7:7">
      <c r="G60966" s="812"/>
    </row>
    <row r="60967" spans="7:7">
      <c r="G60967" s="812"/>
    </row>
    <row r="60968" spans="7:7">
      <c r="G60968" s="812"/>
    </row>
    <row r="60969" spans="7:7">
      <c r="G60969" s="812"/>
    </row>
    <row r="60970" spans="7:7">
      <c r="G60970" s="812"/>
    </row>
    <row r="60971" spans="7:7">
      <c r="G60971" s="812"/>
    </row>
    <row r="60972" spans="7:7">
      <c r="G60972" s="812"/>
    </row>
    <row r="60973" spans="7:7">
      <c r="G60973" s="812"/>
    </row>
    <row r="60974" spans="7:7">
      <c r="G60974" s="812"/>
    </row>
    <row r="60975" spans="7:7">
      <c r="G60975" s="812"/>
    </row>
    <row r="60976" spans="7:7">
      <c r="G60976" s="812"/>
    </row>
    <row r="60977" spans="7:7">
      <c r="G60977" s="812"/>
    </row>
    <row r="60978" spans="7:7">
      <c r="G60978" s="812"/>
    </row>
    <row r="60979" spans="7:7">
      <c r="G60979" s="812"/>
    </row>
    <row r="60980" spans="7:7">
      <c r="G60980" s="812"/>
    </row>
    <row r="60981" spans="7:7">
      <c r="G60981" s="812"/>
    </row>
    <row r="60982" spans="7:7">
      <c r="G60982" s="812"/>
    </row>
    <row r="60983" spans="7:7">
      <c r="G60983" s="812"/>
    </row>
    <row r="60984" spans="7:7">
      <c r="G60984" s="812"/>
    </row>
    <row r="60985" spans="7:7">
      <c r="G60985" s="812"/>
    </row>
    <row r="60986" spans="7:7">
      <c r="G60986" s="812"/>
    </row>
    <row r="60987" spans="7:7">
      <c r="G60987" s="812"/>
    </row>
    <row r="60988" spans="7:7">
      <c r="G60988" s="812"/>
    </row>
    <row r="60989" spans="7:7">
      <c r="G60989" s="812"/>
    </row>
    <row r="60990" spans="7:7">
      <c r="G60990" s="812"/>
    </row>
    <row r="60991" spans="7:7">
      <c r="G60991" s="812"/>
    </row>
    <row r="60992" spans="7:7">
      <c r="G60992" s="812"/>
    </row>
    <row r="60993" spans="7:7">
      <c r="G60993" s="812"/>
    </row>
    <row r="60994" spans="7:7">
      <c r="G60994" s="812"/>
    </row>
    <row r="60995" spans="7:7">
      <c r="G60995" s="812"/>
    </row>
    <row r="60996" spans="7:7">
      <c r="G60996" s="812"/>
    </row>
    <row r="60997" spans="7:7">
      <c r="G60997" s="812"/>
    </row>
    <row r="60998" spans="7:7">
      <c r="G60998" s="812"/>
    </row>
    <row r="60999" spans="7:7">
      <c r="G60999" s="812"/>
    </row>
    <row r="61000" spans="7:7">
      <c r="G61000" s="812"/>
    </row>
    <row r="61001" spans="7:7">
      <c r="G61001" s="812"/>
    </row>
    <row r="61002" spans="7:7">
      <c r="G61002" s="812"/>
    </row>
    <row r="61003" spans="7:7">
      <c r="G61003" s="812"/>
    </row>
    <row r="61004" spans="7:7">
      <c r="G61004" s="812"/>
    </row>
    <row r="61005" spans="7:7">
      <c r="G61005" s="812"/>
    </row>
    <row r="61006" spans="7:7">
      <c r="G61006" s="812"/>
    </row>
    <row r="61007" spans="7:7">
      <c r="G61007" s="812"/>
    </row>
    <row r="61008" spans="7:7">
      <c r="G61008" s="812"/>
    </row>
    <row r="61009" spans="7:7">
      <c r="G61009" s="812"/>
    </row>
    <row r="61010" spans="7:7">
      <c r="G61010" s="812"/>
    </row>
    <row r="61011" spans="7:7">
      <c r="G61011" s="812"/>
    </row>
    <row r="61012" spans="7:7">
      <c r="G61012" s="812"/>
    </row>
    <row r="61013" spans="7:7">
      <c r="G61013" s="812"/>
    </row>
    <row r="61014" spans="7:7">
      <c r="G61014" s="812"/>
    </row>
    <row r="61015" spans="7:7">
      <c r="G61015" s="812"/>
    </row>
    <row r="61016" spans="7:7">
      <c r="G61016" s="812"/>
    </row>
    <row r="61017" spans="7:7">
      <c r="G61017" s="812"/>
    </row>
    <row r="61018" spans="7:7">
      <c r="G61018" s="812"/>
    </row>
    <row r="61019" spans="7:7">
      <c r="G61019" s="812"/>
    </row>
    <row r="61020" spans="7:7">
      <c r="G61020" s="812"/>
    </row>
    <row r="61021" spans="7:7">
      <c r="G61021" s="812"/>
    </row>
    <row r="61022" spans="7:7">
      <c r="G61022" s="812"/>
    </row>
    <row r="61023" spans="7:7">
      <c r="G61023" s="812"/>
    </row>
    <row r="61024" spans="7:7">
      <c r="G61024" s="812"/>
    </row>
    <row r="61025" spans="7:7">
      <c r="G61025" s="812"/>
    </row>
    <row r="61026" spans="7:7">
      <c r="G61026" s="812"/>
    </row>
    <row r="61027" spans="7:7">
      <c r="G61027" s="812"/>
    </row>
    <row r="61028" spans="7:7">
      <c r="G61028" s="812"/>
    </row>
    <row r="61029" spans="7:7">
      <c r="G61029" s="812"/>
    </row>
    <row r="61030" spans="7:7">
      <c r="G61030" s="812"/>
    </row>
    <row r="61031" spans="7:7">
      <c r="G61031" s="812"/>
    </row>
    <row r="61032" spans="7:7">
      <c r="G61032" s="812"/>
    </row>
    <row r="61033" spans="7:7">
      <c r="G61033" s="812"/>
    </row>
    <row r="61034" spans="7:7">
      <c r="G61034" s="812"/>
    </row>
    <row r="61035" spans="7:7">
      <c r="G61035" s="812"/>
    </row>
    <row r="61036" spans="7:7">
      <c r="G61036" s="812"/>
    </row>
    <row r="61037" spans="7:7">
      <c r="G61037" s="812"/>
    </row>
    <row r="61038" spans="7:7">
      <c r="G61038" s="812"/>
    </row>
    <row r="61039" spans="7:7">
      <c r="G61039" s="812"/>
    </row>
    <row r="61040" spans="7:7">
      <c r="G61040" s="812"/>
    </row>
    <row r="61041" spans="7:7">
      <c r="G61041" s="812"/>
    </row>
    <row r="61042" spans="7:7">
      <c r="G61042" s="812"/>
    </row>
    <row r="61043" spans="7:7">
      <c r="G61043" s="812"/>
    </row>
    <row r="61044" spans="7:7">
      <c r="G61044" s="812"/>
    </row>
    <row r="61045" spans="7:7">
      <c r="G61045" s="812"/>
    </row>
    <row r="61046" spans="7:7">
      <c r="G61046" s="812"/>
    </row>
    <row r="61047" spans="7:7">
      <c r="G61047" s="812"/>
    </row>
    <row r="61048" spans="7:7">
      <c r="G61048" s="812"/>
    </row>
    <row r="61049" spans="7:7">
      <c r="G61049" s="812"/>
    </row>
    <row r="61050" spans="7:7">
      <c r="G61050" s="812"/>
    </row>
    <row r="61051" spans="7:7">
      <c r="G61051" s="812"/>
    </row>
    <row r="61052" spans="7:7">
      <c r="G61052" s="812"/>
    </row>
    <row r="61053" spans="7:7">
      <c r="G61053" s="812"/>
    </row>
    <row r="61054" spans="7:7">
      <c r="G61054" s="812"/>
    </row>
    <row r="61055" spans="7:7">
      <c r="G61055" s="812"/>
    </row>
    <row r="61056" spans="7:7">
      <c r="G61056" s="812"/>
    </row>
    <row r="61057" spans="7:7">
      <c r="G61057" s="812"/>
    </row>
    <row r="61058" spans="7:7">
      <c r="G61058" s="812"/>
    </row>
    <row r="61059" spans="7:7">
      <c r="G61059" s="812"/>
    </row>
    <row r="61060" spans="7:7">
      <c r="G61060" s="812"/>
    </row>
    <row r="61061" spans="7:7">
      <c r="G61061" s="812"/>
    </row>
    <row r="61062" spans="7:7">
      <c r="G61062" s="812"/>
    </row>
    <row r="61063" spans="7:7">
      <c r="G61063" s="812"/>
    </row>
    <row r="61064" spans="7:7">
      <c r="G61064" s="812"/>
    </row>
    <row r="61065" spans="7:7">
      <c r="G61065" s="812"/>
    </row>
    <row r="61066" spans="7:7">
      <c r="G61066" s="812"/>
    </row>
    <row r="61067" spans="7:7">
      <c r="G61067" s="812"/>
    </row>
    <row r="61068" spans="7:7">
      <c r="G61068" s="812"/>
    </row>
    <row r="61069" spans="7:7">
      <c r="G61069" s="812"/>
    </row>
    <row r="61070" spans="7:7">
      <c r="G61070" s="812"/>
    </row>
    <row r="61071" spans="7:7">
      <c r="G61071" s="812"/>
    </row>
    <row r="61072" spans="7:7">
      <c r="G61072" s="812"/>
    </row>
    <row r="61073" spans="7:7">
      <c r="G61073" s="812"/>
    </row>
    <row r="61074" spans="7:7">
      <c r="G61074" s="812"/>
    </row>
    <row r="61075" spans="7:7">
      <c r="G61075" s="812"/>
    </row>
    <row r="61076" spans="7:7">
      <c r="G61076" s="812"/>
    </row>
    <row r="61077" spans="7:7">
      <c r="G61077" s="812"/>
    </row>
    <row r="61078" spans="7:7">
      <c r="G61078" s="812"/>
    </row>
    <row r="61079" spans="7:7">
      <c r="G61079" s="812"/>
    </row>
    <row r="61080" spans="7:7">
      <c r="G61080" s="812"/>
    </row>
    <row r="61081" spans="7:7">
      <c r="G61081" s="812"/>
    </row>
    <row r="61082" spans="7:7">
      <c r="G61082" s="812"/>
    </row>
    <row r="61083" spans="7:7">
      <c r="G61083" s="812"/>
    </row>
    <row r="61084" spans="7:7">
      <c r="G61084" s="812"/>
    </row>
    <row r="61085" spans="7:7">
      <c r="G61085" s="812"/>
    </row>
    <row r="61086" spans="7:7">
      <c r="G61086" s="812"/>
    </row>
    <row r="61087" spans="7:7">
      <c r="G61087" s="812"/>
    </row>
    <row r="61088" spans="7:7">
      <c r="G61088" s="812"/>
    </row>
    <row r="61089" spans="7:7">
      <c r="G61089" s="812"/>
    </row>
    <row r="61090" spans="7:7">
      <c r="G61090" s="812"/>
    </row>
    <row r="61091" spans="7:7">
      <c r="G61091" s="812"/>
    </row>
    <row r="61092" spans="7:7">
      <c r="G61092" s="812"/>
    </row>
    <row r="61093" spans="7:7">
      <c r="G61093" s="812"/>
    </row>
    <row r="61094" spans="7:7">
      <c r="G61094" s="812"/>
    </row>
    <row r="61095" spans="7:7">
      <c r="G61095" s="812"/>
    </row>
    <row r="61096" spans="7:7">
      <c r="G61096" s="812"/>
    </row>
    <row r="61097" spans="7:7">
      <c r="G61097" s="812"/>
    </row>
    <row r="61098" spans="7:7">
      <c r="G61098" s="812"/>
    </row>
    <row r="61099" spans="7:7">
      <c r="G61099" s="812"/>
    </row>
    <row r="61100" spans="7:7">
      <c r="G61100" s="812"/>
    </row>
    <row r="61101" spans="7:7">
      <c r="G61101" s="812"/>
    </row>
    <row r="61102" spans="7:7">
      <c r="G61102" s="812"/>
    </row>
    <row r="61103" spans="7:7">
      <c r="G61103" s="812"/>
    </row>
    <row r="61104" spans="7:7">
      <c r="G61104" s="812"/>
    </row>
    <row r="61105" spans="7:7">
      <c r="G61105" s="812"/>
    </row>
    <row r="61106" spans="7:7">
      <c r="G61106" s="812"/>
    </row>
    <row r="61107" spans="7:7">
      <c r="G61107" s="812"/>
    </row>
    <row r="61108" spans="7:7">
      <c r="G61108" s="812"/>
    </row>
    <row r="61109" spans="7:7">
      <c r="G61109" s="812"/>
    </row>
    <row r="61110" spans="7:7">
      <c r="G61110" s="812"/>
    </row>
    <row r="61111" spans="7:7">
      <c r="G61111" s="812"/>
    </row>
    <row r="61112" spans="7:7">
      <c r="G61112" s="812"/>
    </row>
    <row r="61113" spans="7:7">
      <c r="G61113" s="812"/>
    </row>
    <row r="61114" spans="7:7">
      <c r="G61114" s="812"/>
    </row>
    <row r="61115" spans="7:7">
      <c r="G61115" s="812"/>
    </row>
    <row r="61116" spans="7:7">
      <c r="G61116" s="812"/>
    </row>
    <row r="61117" spans="7:7">
      <c r="G61117" s="812"/>
    </row>
    <row r="61118" spans="7:7">
      <c r="G61118" s="812"/>
    </row>
    <row r="61119" spans="7:7">
      <c r="G61119" s="812"/>
    </row>
    <row r="61120" spans="7:7">
      <c r="G61120" s="812"/>
    </row>
    <row r="61121" spans="7:7">
      <c r="G61121" s="812"/>
    </row>
    <row r="61122" spans="7:7">
      <c r="G61122" s="812"/>
    </row>
    <row r="61123" spans="7:7">
      <c r="G61123" s="812"/>
    </row>
    <row r="61124" spans="7:7">
      <c r="G61124" s="812"/>
    </row>
    <row r="61125" spans="7:7">
      <c r="G61125" s="812"/>
    </row>
    <row r="61126" spans="7:7">
      <c r="G61126" s="812"/>
    </row>
    <row r="61127" spans="7:7">
      <c r="G61127" s="812"/>
    </row>
    <row r="61128" spans="7:7">
      <c r="G61128" s="812"/>
    </row>
    <row r="61129" spans="7:7">
      <c r="G61129" s="812"/>
    </row>
    <row r="61130" spans="7:7">
      <c r="G61130" s="812"/>
    </row>
    <row r="61131" spans="7:7">
      <c r="G61131" s="812"/>
    </row>
    <row r="61132" spans="7:7">
      <c r="G61132" s="812"/>
    </row>
    <row r="61133" spans="7:7">
      <c r="G61133" s="812"/>
    </row>
    <row r="61134" spans="7:7">
      <c r="G61134" s="812"/>
    </row>
    <row r="61135" spans="7:7">
      <c r="G61135" s="812"/>
    </row>
    <row r="61136" spans="7:7">
      <c r="G61136" s="812"/>
    </row>
    <row r="61137" spans="7:7">
      <c r="G61137" s="812"/>
    </row>
    <row r="61138" spans="7:7">
      <c r="G61138" s="812"/>
    </row>
    <row r="61139" spans="7:7">
      <c r="G61139" s="812"/>
    </row>
    <row r="61140" spans="7:7">
      <c r="G61140" s="812"/>
    </row>
    <row r="61141" spans="7:7">
      <c r="G61141" s="812"/>
    </row>
    <row r="61142" spans="7:7">
      <c r="G61142" s="812"/>
    </row>
    <row r="61143" spans="7:7">
      <c r="G61143" s="812"/>
    </row>
    <row r="61144" spans="7:7">
      <c r="G61144" s="812"/>
    </row>
    <row r="61145" spans="7:7">
      <c r="G61145" s="812"/>
    </row>
    <row r="61146" spans="7:7">
      <c r="G61146" s="812"/>
    </row>
    <row r="61147" spans="7:7">
      <c r="G61147" s="812"/>
    </row>
    <row r="61148" spans="7:7">
      <c r="G61148" s="812"/>
    </row>
    <row r="61149" spans="7:7">
      <c r="G61149" s="812"/>
    </row>
    <row r="61150" spans="7:7">
      <c r="G61150" s="812"/>
    </row>
    <row r="61151" spans="7:7">
      <c r="G61151" s="812"/>
    </row>
    <row r="61152" spans="7:7">
      <c r="G61152" s="812"/>
    </row>
    <row r="61153" spans="7:7">
      <c r="G61153" s="812"/>
    </row>
    <row r="61154" spans="7:7">
      <c r="G61154" s="812"/>
    </row>
    <row r="61155" spans="7:7">
      <c r="G61155" s="812"/>
    </row>
    <row r="61156" spans="7:7">
      <c r="G61156" s="812"/>
    </row>
    <row r="61157" spans="7:7">
      <c r="G61157" s="812"/>
    </row>
    <row r="61158" spans="7:7">
      <c r="G61158" s="812"/>
    </row>
    <row r="61159" spans="7:7">
      <c r="G61159" s="812"/>
    </row>
    <row r="61160" spans="7:7">
      <c r="G61160" s="812"/>
    </row>
    <row r="61161" spans="7:7">
      <c r="G61161" s="812"/>
    </row>
    <row r="61162" spans="7:7">
      <c r="G61162" s="812"/>
    </row>
    <row r="61163" spans="7:7">
      <c r="G61163" s="812"/>
    </row>
    <row r="61164" spans="7:7">
      <c r="G61164" s="812"/>
    </row>
    <row r="61165" spans="7:7">
      <c r="G61165" s="812"/>
    </row>
    <row r="61166" spans="7:7">
      <c r="G61166" s="812"/>
    </row>
    <row r="61167" spans="7:7">
      <c r="G61167" s="812"/>
    </row>
    <row r="61168" spans="7:7">
      <c r="G61168" s="812"/>
    </row>
    <row r="61169" spans="7:7">
      <c r="G61169" s="812"/>
    </row>
    <row r="61170" spans="7:7">
      <c r="G61170" s="812"/>
    </row>
    <row r="61171" spans="7:7">
      <c r="G61171" s="812"/>
    </row>
    <row r="61172" spans="7:7">
      <c r="G61172" s="812"/>
    </row>
    <row r="61173" spans="7:7">
      <c r="G61173" s="812"/>
    </row>
    <row r="61174" spans="7:7">
      <c r="G61174" s="812"/>
    </row>
    <row r="61175" spans="7:7">
      <c r="G61175" s="812"/>
    </row>
    <row r="61176" spans="7:7">
      <c r="G61176" s="812"/>
    </row>
    <row r="61177" spans="7:7">
      <c r="G61177" s="812"/>
    </row>
    <row r="61178" spans="7:7">
      <c r="G61178" s="812"/>
    </row>
    <row r="61179" spans="7:7">
      <c r="G61179" s="812"/>
    </row>
    <row r="61180" spans="7:7">
      <c r="G61180" s="812"/>
    </row>
    <row r="61181" spans="7:7">
      <c r="G61181" s="812"/>
    </row>
    <row r="61182" spans="7:7">
      <c r="G61182" s="812"/>
    </row>
    <row r="61183" spans="7:7">
      <c r="G61183" s="812"/>
    </row>
    <row r="61184" spans="7:7">
      <c r="G61184" s="812"/>
    </row>
    <row r="61185" spans="7:7">
      <c r="G61185" s="812"/>
    </row>
    <row r="61186" spans="7:7">
      <c r="G61186" s="812"/>
    </row>
    <row r="61187" spans="7:7">
      <c r="G61187" s="812"/>
    </row>
    <row r="61188" spans="7:7">
      <c r="G61188" s="812"/>
    </row>
    <row r="61189" spans="7:7">
      <c r="G61189" s="812"/>
    </row>
    <row r="61190" spans="7:7">
      <c r="G61190" s="812"/>
    </row>
    <row r="61191" spans="7:7">
      <c r="G61191" s="812"/>
    </row>
    <row r="61192" spans="7:7">
      <c r="G61192" s="812"/>
    </row>
    <row r="61193" spans="7:7">
      <c r="G61193" s="812"/>
    </row>
    <row r="61194" spans="7:7">
      <c r="G61194" s="812"/>
    </row>
    <row r="61195" spans="7:7">
      <c r="G61195" s="812"/>
    </row>
    <row r="61196" spans="7:7">
      <c r="G61196" s="812"/>
    </row>
    <row r="61197" spans="7:7">
      <c r="G61197" s="812"/>
    </row>
    <row r="61198" spans="7:7">
      <c r="G61198" s="812"/>
    </row>
    <row r="61199" spans="7:7">
      <c r="G61199" s="812"/>
    </row>
    <row r="61200" spans="7:7">
      <c r="G61200" s="812"/>
    </row>
    <row r="61201" spans="7:7">
      <c r="G61201" s="812"/>
    </row>
    <row r="61202" spans="7:7">
      <c r="G61202" s="812"/>
    </row>
    <row r="61203" spans="7:7">
      <c r="G61203" s="812"/>
    </row>
    <row r="61204" spans="7:7">
      <c r="G61204" s="812"/>
    </row>
    <row r="61205" spans="7:7">
      <c r="G61205" s="812"/>
    </row>
    <row r="61206" spans="7:7">
      <c r="G61206" s="812"/>
    </row>
    <row r="61207" spans="7:7">
      <c r="G61207" s="812"/>
    </row>
    <row r="61208" spans="7:7">
      <c r="G61208" s="812"/>
    </row>
    <row r="61209" spans="7:7">
      <c r="G61209" s="812"/>
    </row>
    <row r="61210" spans="7:7">
      <c r="G61210" s="812"/>
    </row>
    <row r="61211" spans="7:7">
      <c r="G61211" s="812"/>
    </row>
    <row r="61212" spans="7:7">
      <c r="G61212" s="812"/>
    </row>
    <row r="61213" spans="7:7">
      <c r="G61213" s="812"/>
    </row>
    <row r="61214" spans="7:7">
      <c r="G61214" s="812"/>
    </row>
    <row r="61215" spans="7:7">
      <c r="G61215" s="812"/>
    </row>
    <row r="61216" spans="7:7">
      <c r="G61216" s="812"/>
    </row>
    <row r="61217" spans="7:7">
      <c r="G61217" s="812"/>
    </row>
    <row r="61218" spans="7:7">
      <c r="G61218" s="812"/>
    </row>
    <row r="61219" spans="7:7">
      <c r="G61219" s="812"/>
    </row>
    <row r="61220" spans="7:7">
      <c r="G61220" s="812"/>
    </row>
    <row r="61221" spans="7:7">
      <c r="G61221" s="812"/>
    </row>
    <row r="61222" spans="7:7">
      <c r="G61222" s="812"/>
    </row>
    <row r="61223" spans="7:7">
      <c r="G61223" s="812"/>
    </row>
    <row r="61224" spans="7:7">
      <c r="G61224" s="812"/>
    </row>
    <row r="61225" spans="7:7">
      <c r="G61225" s="812"/>
    </row>
    <row r="61226" spans="7:7">
      <c r="G61226" s="812"/>
    </row>
    <row r="61227" spans="7:7">
      <c r="G61227" s="812"/>
    </row>
    <row r="61228" spans="7:7">
      <c r="G61228" s="812"/>
    </row>
    <row r="61229" spans="7:7">
      <c r="G61229" s="812"/>
    </row>
    <row r="61230" spans="7:7">
      <c r="G61230" s="812"/>
    </row>
    <row r="61231" spans="7:7">
      <c r="G61231" s="812"/>
    </row>
    <row r="61232" spans="7:7">
      <c r="G61232" s="812"/>
    </row>
    <row r="61233" spans="7:7">
      <c r="G61233" s="812"/>
    </row>
    <row r="61234" spans="7:7">
      <c r="G61234" s="812"/>
    </row>
    <row r="61235" spans="7:7">
      <c r="G61235" s="812"/>
    </row>
    <row r="61236" spans="7:7">
      <c r="G61236" s="812"/>
    </row>
    <row r="61237" spans="7:7">
      <c r="G61237" s="812"/>
    </row>
    <row r="61238" spans="7:7">
      <c r="G61238" s="812"/>
    </row>
    <row r="61239" spans="7:7">
      <c r="G61239" s="812"/>
    </row>
    <row r="61240" spans="7:7">
      <c r="G61240" s="812"/>
    </row>
    <row r="61241" spans="7:7">
      <c r="G61241" s="812"/>
    </row>
    <row r="61242" spans="7:7">
      <c r="G61242" s="812"/>
    </row>
    <row r="61243" spans="7:7">
      <c r="G61243" s="812"/>
    </row>
    <row r="61244" spans="7:7">
      <c r="G61244" s="812"/>
    </row>
    <row r="61245" spans="7:7">
      <c r="G61245" s="812"/>
    </row>
    <row r="61246" spans="7:7">
      <c r="G61246" s="812"/>
    </row>
    <row r="61247" spans="7:7">
      <c r="G61247" s="812"/>
    </row>
    <row r="61248" spans="7:7">
      <c r="G61248" s="812"/>
    </row>
    <row r="61249" spans="7:7">
      <c r="G61249" s="812"/>
    </row>
    <row r="61250" spans="7:7">
      <c r="G61250" s="812"/>
    </row>
    <row r="61251" spans="7:7">
      <c r="G61251" s="812"/>
    </row>
    <row r="61252" spans="7:7">
      <c r="G61252" s="812"/>
    </row>
    <row r="61253" spans="7:7">
      <c r="G61253" s="812"/>
    </row>
    <row r="61254" spans="7:7">
      <c r="G61254" s="812"/>
    </row>
    <row r="61255" spans="7:7">
      <c r="G61255" s="812"/>
    </row>
    <row r="61256" spans="7:7">
      <c r="G61256" s="812"/>
    </row>
    <row r="61257" spans="7:7">
      <c r="G61257" s="812"/>
    </row>
    <row r="61258" spans="7:7">
      <c r="G61258" s="812"/>
    </row>
    <row r="61259" spans="7:7">
      <c r="G61259" s="812"/>
    </row>
    <row r="61260" spans="7:7">
      <c r="G61260" s="812"/>
    </row>
    <row r="61261" spans="7:7">
      <c r="G61261" s="812"/>
    </row>
    <row r="61262" spans="7:7">
      <c r="G61262" s="812"/>
    </row>
    <row r="61263" spans="7:7">
      <c r="G61263" s="812"/>
    </row>
    <row r="61264" spans="7:7">
      <c r="G61264" s="812"/>
    </row>
    <row r="61265" spans="7:7">
      <c r="G61265" s="812"/>
    </row>
    <row r="61266" spans="7:7">
      <c r="G61266" s="812"/>
    </row>
    <row r="61267" spans="7:7">
      <c r="G61267" s="812"/>
    </row>
    <row r="61268" spans="7:7">
      <c r="G61268" s="812"/>
    </row>
    <row r="61269" spans="7:7">
      <c r="G61269" s="812"/>
    </row>
    <row r="61270" spans="7:7">
      <c r="G61270" s="812"/>
    </row>
    <row r="61271" spans="7:7">
      <c r="G61271" s="812"/>
    </row>
    <row r="61272" spans="7:7">
      <c r="G61272" s="812"/>
    </row>
    <row r="61273" spans="7:7">
      <c r="G61273" s="812"/>
    </row>
    <row r="61274" spans="7:7">
      <c r="G61274" s="812"/>
    </row>
    <row r="61275" spans="7:7">
      <c r="G61275" s="812"/>
    </row>
    <row r="61276" spans="7:7">
      <c r="G61276" s="812"/>
    </row>
    <row r="61277" spans="7:7">
      <c r="G61277" s="812"/>
    </row>
    <row r="61278" spans="7:7">
      <c r="G61278" s="812"/>
    </row>
    <row r="61279" spans="7:7">
      <c r="G61279" s="812"/>
    </row>
    <row r="61280" spans="7:7">
      <c r="G61280" s="812"/>
    </row>
    <row r="61281" spans="7:7">
      <c r="G61281" s="812"/>
    </row>
    <row r="61282" spans="7:7">
      <c r="G61282" s="812"/>
    </row>
    <row r="61283" spans="7:7">
      <c r="G61283" s="812"/>
    </row>
    <row r="61284" spans="7:7">
      <c r="G61284" s="812"/>
    </row>
    <row r="61285" spans="7:7">
      <c r="G61285" s="812"/>
    </row>
    <row r="61286" spans="7:7">
      <c r="G61286" s="812"/>
    </row>
    <row r="61287" spans="7:7">
      <c r="G61287" s="812"/>
    </row>
    <row r="61288" spans="7:7">
      <c r="G61288" s="812"/>
    </row>
    <row r="61289" spans="7:7">
      <c r="G61289" s="812"/>
    </row>
    <row r="61290" spans="7:7">
      <c r="G61290" s="812"/>
    </row>
    <row r="61291" spans="7:7">
      <c r="G61291" s="812"/>
    </row>
    <row r="61292" spans="7:7">
      <c r="G61292" s="812"/>
    </row>
    <row r="61293" spans="7:7">
      <c r="G61293" s="812"/>
    </row>
    <row r="61294" spans="7:7">
      <c r="G61294" s="812"/>
    </row>
    <row r="61295" spans="7:7">
      <c r="G61295" s="812"/>
    </row>
    <row r="61296" spans="7:7">
      <c r="G61296" s="812"/>
    </row>
    <row r="61297" spans="7:7">
      <c r="G61297" s="812"/>
    </row>
    <row r="61298" spans="7:7">
      <c r="G61298" s="812"/>
    </row>
    <row r="61299" spans="7:7">
      <c r="G61299" s="812"/>
    </row>
    <row r="61300" spans="7:7">
      <c r="G61300" s="812"/>
    </row>
    <row r="61301" spans="7:7">
      <c r="G61301" s="812"/>
    </row>
    <row r="61302" spans="7:7">
      <c r="G61302" s="812"/>
    </row>
    <row r="61303" spans="7:7">
      <c r="G61303" s="812"/>
    </row>
    <row r="61304" spans="7:7">
      <c r="G61304" s="812"/>
    </row>
    <row r="61305" spans="7:7">
      <c r="G61305" s="812"/>
    </row>
    <row r="61306" spans="7:7">
      <c r="G61306" s="812"/>
    </row>
    <row r="61307" spans="7:7">
      <c r="G61307" s="812"/>
    </row>
    <row r="61308" spans="7:7">
      <c r="G61308" s="812"/>
    </row>
    <row r="61309" spans="7:7">
      <c r="G61309" s="812"/>
    </row>
    <row r="61310" spans="7:7">
      <c r="G61310" s="812"/>
    </row>
    <row r="61311" spans="7:7">
      <c r="G61311" s="812"/>
    </row>
    <row r="61312" spans="7:7">
      <c r="G61312" s="812"/>
    </row>
    <row r="61313" spans="7:7">
      <c r="G61313" s="812"/>
    </row>
    <row r="61314" spans="7:7">
      <c r="G61314" s="812"/>
    </row>
    <row r="61315" spans="7:7">
      <c r="G61315" s="812"/>
    </row>
    <row r="61316" spans="7:7">
      <c r="G61316" s="812"/>
    </row>
    <row r="61317" spans="7:7">
      <c r="G61317" s="812"/>
    </row>
    <row r="61318" spans="7:7">
      <c r="G61318" s="812"/>
    </row>
    <row r="61319" spans="7:7">
      <c r="G61319" s="812"/>
    </row>
    <row r="61320" spans="7:7">
      <c r="G61320" s="812"/>
    </row>
    <row r="61321" spans="7:7">
      <c r="G61321" s="812"/>
    </row>
    <row r="61322" spans="7:7">
      <c r="G61322" s="812"/>
    </row>
    <row r="61323" spans="7:7">
      <c r="G61323" s="812"/>
    </row>
    <row r="61324" spans="7:7">
      <c r="G61324" s="812"/>
    </row>
    <row r="61325" spans="7:7">
      <c r="G61325" s="812"/>
    </row>
    <row r="61326" spans="7:7">
      <c r="G61326" s="812"/>
    </row>
    <row r="61327" spans="7:7">
      <c r="G61327" s="812"/>
    </row>
    <row r="61328" spans="7:7">
      <c r="G61328" s="812"/>
    </row>
    <row r="61329" spans="7:7">
      <c r="G61329" s="812"/>
    </row>
    <row r="61330" spans="7:7">
      <c r="G61330" s="812"/>
    </row>
    <row r="61331" spans="7:7">
      <c r="G61331" s="812"/>
    </row>
    <row r="61332" spans="7:7">
      <c r="G61332" s="812"/>
    </row>
    <row r="61333" spans="7:7">
      <c r="G61333" s="812"/>
    </row>
    <row r="61334" spans="7:7">
      <c r="G61334" s="812"/>
    </row>
    <row r="61335" spans="7:7">
      <c r="G61335" s="812"/>
    </row>
    <row r="61336" spans="7:7">
      <c r="G61336" s="812"/>
    </row>
    <row r="61337" spans="7:7">
      <c r="G61337" s="812"/>
    </row>
    <row r="61338" spans="7:7">
      <c r="G61338" s="812"/>
    </row>
    <row r="61339" spans="7:7">
      <c r="G61339" s="812"/>
    </row>
    <row r="61340" spans="7:7">
      <c r="G61340" s="812"/>
    </row>
    <row r="61341" spans="7:7">
      <c r="G61341" s="812"/>
    </row>
    <row r="61342" spans="7:7">
      <c r="G61342" s="812"/>
    </row>
    <row r="61343" spans="7:7">
      <c r="G61343" s="812"/>
    </row>
    <row r="61344" spans="7:7">
      <c r="G61344" s="812"/>
    </row>
    <row r="61345" spans="7:7">
      <c r="G61345" s="812"/>
    </row>
    <row r="61346" spans="7:7">
      <c r="G61346" s="812"/>
    </row>
    <row r="61347" spans="7:7">
      <c r="G61347" s="812"/>
    </row>
    <row r="61348" spans="7:7">
      <c r="G61348" s="812"/>
    </row>
    <row r="61349" spans="7:7">
      <c r="G61349" s="812"/>
    </row>
    <row r="61350" spans="7:7">
      <c r="G61350" s="812"/>
    </row>
    <row r="61351" spans="7:7">
      <c r="G61351" s="812"/>
    </row>
    <row r="61352" spans="7:7">
      <c r="G61352" s="812"/>
    </row>
    <row r="61353" spans="7:7">
      <c r="G61353" s="812"/>
    </row>
    <row r="61354" spans="7:7">
      <c r="G61354" s="812"/>
    </row>
    <row r="61355" spans="7:7">
      <c r="G61355" s="812"/>
    </row>
    <row r="61356" spans="7:7">
      <c r="G61356" s="812"/>
    </row>
    <row r="61357" spans="7:7">
      <c r="G61357" s="812"/>
    </row>
    <row r="61358" spans="7:7">
      <c r="G61358" s="812"/>
    </row>
    <row r="61359" spans="7:7">
      <c r="G61359" s="812"/>
    </row>
    <row r="61360" spans="7:7">
      <c r="G61360" s="812"/>
    </row>
    <row r="61361" spans="7:7">
      <c r="G61361" s="812"/>
    </row>
    <row r="61362" spans="7:7">
      <c r="G61362" s="812"/>
    </row>
    <row r="61363" spans="7:7">
      <c r="G61363" s="812"/>
    </row>
    <row r="61364" spans="7:7">
      <c r="G61364" s="812"/>
    </row>
    <row r="61365" spans="7:7">
      <c r="G61365" s="812"/>
    </row>
    <row r="61366" spans="7:7">
      <c r="G61366" s="812"/>
    </row>
    <row r="61367" spans="7:7">
      <c r="G61367" s="812"/>
    </row>
    <row r="61368" spans="7:7">
      <c r="G61368" s="812"/>
    </row>
    <row r="61369" spans="7:7">
      <c r="G61369" s="812"/>
    </row>
    <row r="61370" spans="7:7">
      <c r="G61370" s="812"/>
    </row>
    <row r="61371" spans="7:7">
      <c r="G61371" s="812"/>
    </row>
    <row r="61372" spans="7:7">
      <c r="G61372" s="812"/>
    </row>
    <row r="61373" spans="7:7">
      <c r="G61373" s="812"/>
    </row>
    <row r="61374" spans="7:7">
      <c r="G61374" s="812"/>
    </row>
    <row r="61375" spans="7:7">
      <c r="G61375" s="812"/>
    </row>
    <row r="61376" spans="7:7">
      <c r="G61376" s="812"/>
    </row>
    <row r="61377" spans="7:7">
      <c r="G61377" s="812"/>
    </row>
    <row r="61378" spans="7:7">
      <c r="G61378" s="812"/>
    </row>
    <row r="61379" spans="7:7">
      <c r="G61379" s="812"/>
    </row>
    <row r="61380" spans="7:7">
      <c r="G61380" s="812"/>
    </row>
    <row r="61381" spans="7:7">
      <c r="G61381" s="812"/>
    </row>
    <row r="61382" spans="7:7">
      <c r="G61382" s="812"/>
    </row>
    <row r="61383" spans="7:7">
      <c r="G61383" s="812"/>
    </row>
    <row r="61384" spans="7:7">
      <c r="G61384" s="812"/>
    </row>
    <row r="61385" spans="7:7">
      <c r="G61385" s="812"/>
    </row>
    <row r="61386" spans="7:7">
      <c r="G61386" s="812"/>
    </row>
    <row r="61387" spans="7:7">
      <c r="G61387" s="812"/>
    </row>
    <row r="61388" spans="7:7">
      <c r="G61388" s="812"/>
    </row>
    <row r="61389" spans="7:7">
      <c r="G61389" s="812"/>
    </row>
    <row r="61390" spans="7:7">
      <c r="G61390" s="812"/>
    </row>
    <row r="61391" spans="7:7">
      <c r="G61391" s="812"/>
    </row>
    <row r="61392" spans="7:7">
      <c r="G61392" s="812"/>
    </row>
    <row r="61393" spans="7:7">
      <c r="G61393" s="812"/>
    </row>
    <row r="61394" spans="7:7">
      <c r="G61394" s="812"/>
    </row>
    <row r="61395" spans="7:7">
      <c r="G61395" s="812"/>
    </row>
    <row r="61396" spans="7:7">
      <c r="G61396" s="812"/>
    </row>
    <row r="61397" spans="7:7">
      <c r="G61397" s="812"/>
    </row>
    <row r="61398" spans="7:7">
      <c r="G61398" s="812"/>
    </row>
    <row r="61399" spans="7:7">
      <c r="G61399" s="812"/>
    </row>
    <row r="61400" spans="7:7">
      <c r="G61400" s="812"/>
    </row>
    <row r="61401" spans="7:7">
      <c r="G61401" s="812"/>
    </row>
    <row r="61402" spans="7:7">
      <c r="G61402" s="812"/>
    </row>
    <row r="61403" spans="7:7">
      <c r="G61403" s="812"/>
    </row>
    <row r="61404" spans="7:7">
      <c r="G61404" s="812"/>
    </row>
    <row r="61405" spans="7:7">
      <c r="G61405" s="812"/>
    </row>
    <row r="61406" spans="7:7">
      <c r="G61406" s="812"/>
    </row>
    <row r="61407" spans="7:7">
      <c r="G61407" s="812"/>
    </row>
    <row r="61408" spans="7:7">
      <c r="G61408" s="812"/>
    </row>
    <row r="61409" spans="7:7">
      <c r="G61409" s="812"/>
    </row>
    <row r="61410" spans="7:7">
      <c r="G61410" s="812"/>
    </row>
    <row r="61411" spans="7:7">
      <c r="G61411" s="812"/>
    </row>
    <row r="61412" spans="7:7">
      <c r="G61412" s="812"/>
    </row>
    <row r="61413" spans="7:7">
      <c r="G61413" s="812"/>
    </row>
    <row r="61414" spans="7:7">
      <c r="G61414" s="812"/>
    </row>
    <row r="61415" spans="7:7">
      <c r="G61415" s="812"/>
    </row>
    <row r="61416" spans="7:7">
      <c r="G61416" s="812"/>
    </row>
    <row r="61417" spans="7:7">
      <c r="G61417" s="812"/>
    </row>
    <row r="61418" spans="7:7">
      <c r="G61418" s="812"/>
    </row>
    <row r="61419" spans="7:7">
      <c r="G61419" s="812"/>
    </row>
    <row r="61420" spans="7:7">
      <c r="G61420" s="812"/>
    </row>
    <row r="61421" spans="7:7">
      <c r="G61421" s="812"/>
    </row>
    <row r="61422" spans="7:7">
      <c r="G61422" s="812"/>
    </row>
    <row r="61423" spans="7:7">
      <c r="G61423" s="812"/>
    </row>
    <row r="61424" spans="7:7">
      <c r="G61424" s="812"/>
    </row>
    <row r="61425" spans="7:7">
      <c r="G61425" s="812"/>
    </row>
    <row r="61426" spans="7:7">
      <c r="G61426" s="812"/>
    </row>
    <row r="61427" spans="7:7">
      <c r="G61427" s="812"/>
    </row>
    <row r="61428" spans="7:7">
      <c r="G61428" s="812"/>
    </row>
    <row r="61429" spans="7:7">
      <c r="G61429" s="812"/>
    </row>
    <row r="61430" spans="7:7">
      <c r="G61430" s="812"/>
    </row>
    <row r="61431" spans="7:7">
      <c r="G61431" s="812"/>
    </row>
    <row r="61432" spans="7:7">
      <c r="G61432" s="812"/>
    </row>
    <row r="61433" spans="7:7">
      <c r="G61433" s="812"/>
    </row>
    <row r="61434" spans="7:7">
      <c r="G61434" s="812"/>
    </row>
    <row r="61435" spans="7:7">
      <c r="G61435" s="812"/>
    </row>
    <row r="61436" spans="7:7">
      <c r="G61436" s="812"/>
    </row>
    <row r="61437" spans="7:7">
      <c r="G61437" s="812"/>
    </row>
    <row r="61438" spans="7:7">
      <c r="G61438" s="812"/>
    </row>
    <row r="61439" spans="7:7">
      <c r="G61439" s="812"/>
    </row>
    <row r="61440" spans="7:7">
      <c r="G61440" s="812"/>
    </row>
    <row r="61441" spans="7:7">
      <c r="G61441" s="812"/>
    </row>
    <row r="61442" spans="7:7">
      <c r="G61442" s="812"/>
    </row>
    <row r="61443" spans="7:7">
      <c r="G61443" s="812"/>
    </row>
    <row r="61444" spans="7:7">
      <c r="G61444" s="812"/>
    </row>
    <row r="61445" spans="7:7">
      <c r="G61445" s="812"/>
    </row>
    <row r="61446" spans="7:7">
      <c r="G61446" s="812"/>
    </row>
    <row r="61447" spans="7:7">
      <c r="G61447" s="812"/>
    </row>
    <row r="61448" spans="7:7">
      <c r="G61448" s="812"/>
    </row>
    <row r="61449" spans="7:7">
      <c r="G61449" s="812"/>
    </row>
    <row r="61450" spans="7:7">
      <c r="G61450" s="812"/>
    </row>
    <row r="61451" spans="7:7">
      <c r="G61451" s="812"/>
    </row>
    <row r="61452" spans="7:7">
      <c r="G61452" s="812"/>
    </row>
    <row r="61453" spans="7:7">
      <c r="G61453" s="812"/>
    </row>
    <row r="61454" spans="7:7">
      <c r="G61454" s="812"/>
    </row>
    <row r="61455" spans="7:7">
      <c r="G61455" s="812"/>
    </row>
    <row r="61456" spans="7:7">
      <c r="G61456" s="812"/>
    </row>
    <row r="61457" spans="7:7">
      <c r="G61457" s="812"/>
    </row>
    <row r="61458" spans="7:7">
      <c r="G61458" s="812"/>
    </row>
    <row r="61459" spans="7:7">
      <c r="G61459" s="812"/>
    </row>
    <row r="61460" spans="7:7">
      <c r="G61460" s="812"/>
    </row>
    <row r="61461" spans="7:7">
      <c r="G61461" s="812"/>
    </row>
    <row r="61462" spans="7:7">
      <c r="G61462" s="812"/>
    </row>
    <row r="61463" spans="7:7">
      <c r="G61463" s="812"/>
    </row>
    <row r="61464" spans="7:7">
      <c r="G61464" s="812"/>
    </row>
    <row r="61465" spans="7:7">
      <c r="G61465" s="812"/>
    </row>
    <row r="61466" spans="7:7">
      <c r="G61466" s="812"/>
    </row>
    <row r="61467" spans="7:7">
      <c r="G61467" s="812"/>
    </row>
    <row r="61468" spans="7:7">
      <c r="G61468" s="812"/>
    </row>
    <row r="61469" spans="7:7">
      <c r="G61469" s="812"/>
    </row>
    <row r="61470" spans="7:7">
      <c r="G61470" s="812"/>
    </row>
    <row r="61471" spans="7:7">
      <c r="G61471" s="812"/>
    </row>
    <row r="61472" spans="7:7">
      <c r="G61472" s="812"/>
    </row>
    <row r="61473" spans="7:7">
      <c r="G61473" s="812"/>
    </row>
    <row r="61474" spans="7:7">
      <c r="G61474" s="812"/>
    </row>
    <row r="61475" spans="7:7">
      <c r="G61475" s="812"/>
    </row>
    <row r="61476" spans="7:7">
      <c r="G61476" s="812"/>
    </row>
    <row r="61477" spans="7:7">
      <c r="G61477" s="812"/>
    </row>
    <row r="61478" spans="7:7">
      <c r="G61478" s="812"/>
    </row>
    <row r="61479" spans="7:7">
      <c r="G61479" s="812"/>
    </row>
    <row r="61480" spans="7:7">
      <c r="G61480" s="812"/>
    </row>
    <row r="61481" spans="7:7">
      <c r="G61481" s="812"/>
    </row>
    <row r="61482" spans="7:7">
      <c r="G61482" s="812"/>
    </row>
    <row r="61483" spans="7:7">
      <c r="G61483" s="812"/>
    </row>
    <row r="61484" spans="7:7">
      <c r="G61484" s="812"/>
    </row>
    <row r="61485" spans="7:7">
      <c r="G61485" s="812"/>
    </row>
    <row r="61486" spans="7:7">
      <c r="G61486" s="812"/>
    </row>
    <row r="61487" spans="7:7">
      <c r="G61487" s="812"/>
    </row>
    <row r="61488" spans="7:7">
      <c r="G61488" s="812"/>
    </row>
    <row r="61489" spans="7:7">
      <c r="G61489" s="812"/>
    </row>
    <row r="61490" spans="7:7">
      <c r="G61490" s="812"/>
    </row>
    <row r="61491" spans="7:7">
      <c r="G61491" s="812"/>
    </row>
    <row r="61492" spans="7:7">
      <c r="G61492" s="812"/>
    </row>
    <row r="61493" spans="7:7">
      <c r="G61493" s="812"/>
    </row>
    <row r="61494" spans="7:7">
      <c r="G61494" s="812"/>
    </row>
    <row r="61495" spans="7:7">
      <c r="G61495" s="812"/>
    </row>
    <row r="61496" spans="7:7">
      <c r="G61496" s="812"/>
    </row>
    <row r="61497" spans="7:7">
      <c r="G61497" s="812"/>
    </row>
    <row r="61498" spans="7:7">
      <c r="G61498" s="812"/>
    </row>
    <row r="61499" spans="7:7">
      <c r="G61499" s="812"/>
    </row>
    <row r="61500" spans="7:7">
      <c r="G61500" s="812"/>
    </row>
    <row r="61501" spans="7:7">
      <c r="G61501" s="812"/>
    </row>
    <row r="61502" spans="7:7">
      <c r="G61502" s="812"/>
    </row>
    <row r="61503" spans="7:7">
      <c r="G61503" s="812"/>
    </row>
    <row r="61504" spans="7:7">
      <c r="G61504" s="812"/>
    </row>
    <row r="61505" spans="7:7">
      <c r="G61505" s="812"/>
    </row>
    <row r="61506" spans="7:7">
      <c r="G61506" s="812"/>
    </row>
    <row r="61507" spans="7:7">
      <c r="G61507" s="812"/>
    </row>
    <row r="61508" spans="7:7">
      <c r="G61508" s="812"/>
    </row>
    <row r="61509" spans="7:7">
      <c r="G61509" s="812"/>
    </row>
    <row r="61510" spans="7:7">
      <c r="G61510" s="812"/>
    </row>
    <row r="61511" spans="7:7">
      <c r="G61511" s="812"/>
    </row>
    <row r="61512" spans="7:7">
      <c r="G61512" s="812"/>
    </row>
    <row r="61513" spans="7:7">
      <c r="G61513" s="812"/>
    </row>
    <row r="61514" spans="7:7">
      <c r="G61514" s="812"/>
    </row>
    <row r="61515" spans="7:7">
      <c r="G61515" s="812"/>
    </row>
    <row r="61516" spans="7:7">
      <c r="G61516" s="812"/>
    </row>
    <row r="61517" spans="7:7">
      <c r="G61517" s="812"/>
    </row>
    <row r="61518" spans="7:7">
      <c r="G61518" s="812"/>
    </row>
    <row r="61519" spans="7:7">
      <c r="G61519" s="812"/>
    </row>
    <row r="61520" spans="7:7">
      <c r="G61520" s="812"/>
    </row>
    <row r="61521" spans="7:7">
      <c r="G61521" s="812"/>
    </row>
    <row r="61522" spans="7:7">
      <c r="G61522" s="812"/>
    </row>
    <row r="61523" spans="7:7">
      <c r="G61523" s="812"/>
    </row>
    <row r="61524" spans="7:7">
      <c r="G61524" s="812"/>
    </row>
    <row r="61525" spans="7:7">
      <c r="G61525" s="812"/>
    </row>
    <row r="61526" spans="7:7">
      <c r="G61526" s="812"/>
    </row>
    <row r="61527" spans="7:7">
      <c r="G61527" s="812"/>
    </row>
    <row r="61528" spans="7:7">
      <c r="G61528" s="812"/>
    </row>
    <row r="61529" spans="7:7">
      <c r="G61529" s="812"/>
    </row>
    <row r="61530" spans="7:7">
      <c r="G61530" s="812"/>
    </row>
    <row r="61531" spans="7:7">
      <c r="G61531" s="812"/>
    </row>
    <row r="61532" spans="7:7">
      <c r="G61532" s="812"/>
    </row>
    <row r="61533" spans="7:7">
      <c r="G61533" s="812"/>
    </row>
    <row r="61534" spans="7:7">
      <c r="G61534" s="812"/>
    </row>
    <row r="61535" spans="7:7">
      <c r="G61535" s="812"/>
    </row>
    <row r="61536" spans="7:7">
      <c r="G61536" s="812"/>
    </row>
    <row r="61537" spans="7:7">
      <c r="G61537" s="812"/>
    </row>
    <row r="61538" spans="7:7">
      <c r="G61538" s="812"/>
    </row>
    <row r="61539" spans="7:7">
      <c r="G61539" s="812"/>
    </row>
    <row r="61540" spans="7:7">
      <c r="G61540" s="812"/>
    </row>
    <row r="61541" spans="7:7">
      <c r="G61541" s="812"/>
    </row>
    <row r="61542" spans="7:7">
      <c r="G61542" s="812"/>
    </row>
    <row r="61543" spans="7:7">
      <c r="G61543" s="812"/>
    </row>
    <row r="61544" spans="7:7">
      <c r="G61544" s="812"/>
    </row>
    <row r="61545" spans="7:7">
      <c r="G61545" s="812"/>
    </row>
    <row r="61546" spans="7:7">
      <c r="G61546" s="812"/>
    </row>
    <row r="61547" spans="7:7">
      <c r="G61547" s="812"/>
    </row>
    <row r="61548" spans="7:7">
      <c r="G61548" s="812"/>
    </row>
    <row r="61549" spans="7:7">
      <c r="G61549" s="812"/>
    </row>
    <row r="61550" spans="7:7">
      <c r="G61550" s="812"/>
    </row>
    <row r="61551" spans="7:7">
      <c r="G61551" s="812"/>
    </row>
    <row r="61552" spans="7:7">
      <c r="G61552" s="812"/>
    </row>
    <row r="61553" spans="7:7">
      <c r="G61553" s="812"/>
    </row>
    <row r="61554" spans="7:7">
      <c r="G61554" s="812"/>
    </row>
    <row r="61555" spans="7:7">
      <c r="G61555" s="812"/>
    </row>
    <row r="61556" spans="7:7">
      <c r="G61556" s="812"/>
    </row>
    <row r="61557" spans="7:7">
      <c r="G61557" s="812"/>
    </row>
    <row r="61558" spans="7:7">
      <c r="G61558" s="812"/>
    </row>
    <row r="61559" spans="7:7">
      <c r="G61559" s="812"/>
    </row>
    <row r="61560" spans="7:7">
      <c r="G61560" s="812"/>
    </row>
    <row r="61561" spans="7:7">
      <c r="G61561" s="812"/>
    </row>
    <row r="61562" spans="7:7">
      <c r="G61562" s="812"/>
    </row>
    <row r="61563" spans="7:7">
      <c r="G61563" s="812"/>
    </row>
    <row r="61564" spans="7:7">
      <c r="G61564" s="812"/>
    </row>
    <row r="61565" spans="7:7">
      <c r="G61565" s="812"/>
    </row>
    <row r="61566" spans="7:7">
      <c r="G61566" s="812"/>
    </row>
    <row r="61567" spans="7:7">
      <c r="G61567" s="812"/>
    </row>
    <row r="61568" spans="7:7">
      <c r="G61568" s="812"/>
    </row>
    <row r="61569" spans="7:7">
      <c r="G61569" s="812"/>
    </row>
    <row r="61570" spans="7:7">
      <c r="G61570" s="812"/>
    </row>
    <row r="61571" spans="7:7">
      <c r="G61571" s="812"/>
    </row>
    <row r="61572" spans="7:7">
      <c r="G61572" s="812"/>
    </row>
    <row r="61573" spans="7:7">
      <c r="G61573" s="812"/>
    </row>
    <row r="61574" spans="7:7">
      <c r="G61574" s="812"/>
    </row>
    <row r="61575" spans="7:7">
      <c r="G61575" s="812"/>
    </row>
    <row r="61576" spans="7:7">
      <c r="G61576" s="812"/>
    </row>
    <row r="61577" spans="7:7">
      <c r="G61577" s="812"/>
    </row>
    <row r="61578" spans="7:7">
      <c r="G61578" s="812"/>
    </row>
    <row r="61579" spans="7:7">
      <c r="G61579" s="812"/>
    </row>
    <row r="61580" spans="7:7">
      <c r="G61580" s="812"/>
    </row>
    <row r="61581" spans="7:7">
      <c r="G61581" s="812"/>
    </row>
    <row r="61582" spans="7:7">
      <c r="G61582" s="812"/>
    </row>
    <row r="61583" spans="7:7">
      <c r="G61583" s="812"/>
    </row>
    <row r="61584" spans="7:7">
      <c r="G61584" s="812"/>
    </row>
    <row r="61585" spans="7:7">
      <c r="G61585" s="812"/>
    </row>
    <row r="61586" spans="7:7">
      <c r="G61586" s="812"/>
    </row>
    <row r="61587" spans="7:7">
      <c r="G61587" s="812"/>
    </row>
    <row r="61588" spans="7:7">
      <c r="G61588" s="812"/>
    </row>
    <row r="61589" spans="7:7">
      <c r="G61589" s="812"/>
    </row>
    <row r="61590" spans="7:7">
      <c r="G61590" s="812"/>
    </row>
    <row r="61591" spans="7:7">
      <c r="G61591" s="812"/>
    </row>
    <row r="61592" spans="7:7">
      <c r="G61592" s="812"/>
    </row>
    <row r="61593" spans="7:7">
      <c r="G61593" s="812"/>
    </row>
    <row r="61594" spans="7:7">
      <c r="G61594" s="812"/>
    </row>
    <row r="61595" spans="7:7">
      <c r="G61595" s="812"/>
    </row>
    <row r="61596" spans="7:7">
      <c r="G61596" s="812"/>
    </row>
    <row r="61597" spans="7:7">
      <c r="G61597" s="812"/>
    </row>
    <row r="61598" spans="7:7">
      <c r="G61598" s="812"/>
    </row>
    <row r="61599" spans="7:7">
      <c r="G61599" s="812"/>
    </row>
    <row r="61600" spans="7:7">
      <c r="G61600" s="812"/>
    </row>
    <row r="61601" spans="7:7">
      <c r="G61601" s="812"/>
    </row>
    <row r="61602" spans="7:7">
      <c r="G61602" s="812"/>
    </row>
    <row r="61603" spans="7:7">
      <c r="G61603" s="812"/>
    </row>
    <row r="61604" spans="7:7">
      <c r="G61604" s="812"/>
    </row>
    <row r="61605" spans="7:7">
      <c r="G61605" s="812"/>
    </row>
    <row r="61606" spans="7:7">
      <c r="G61606" s="812"/>
    </row>
    <row r="61607" spans="7:7">
      <c r="G61607" s="812"/>
    </row>
    <row r="61608" spans="7:7">
      <c r="G61608" s="812"/>
    </row>
    <row r="61609" spans="7:7">
      <c r="G61609" s="812"/>
    </row>
    <row r="61610" spans="7:7">
      <c r="G61610" s="812"/>
    </row>
    <row r="61611" spans="7:7">
      <c r="G61611" s="812"/>
    </row>
    <row r="61612" spans="7:7">
      <c r="G61612" s="812"/>
    </row>
    <row r="61613" spans="7:7">
      <c r="G61613" s="812"/>
    </row>
    <row r="61614" spans="7:7">
      <c r="G61614" s="812"/>
    </row>
    <row r="61615" spans="7:7">
      <c r="G61615" s="812"/>
    </row>
    <row r="61616" spans="7:7">
      <c r="G61616" s="812"/>
    </row>
    <row r="61617" spans="7:7">
      <c r="G61617" s="812"/>
    </row>
    <row r="61618" spans="7:7">
      <c r="G61618" s="812"/>
    </row>
    <row r="61619" spans="7:7">
      <c r="G61619" s="812"/>
    </row>
    <row r="61620" spans="7:7">
      <c r="G61620" s="812"/>
    </row>
    <row r="61621" spans="7:7">
      <c r="G61621" s="812"/>
    </row>
    <row r="61622" spans="7:7">
      <c r="G61622" s="812"/>
    </row>
    <row r="61623" spans="7:7">
      <c r="G61623" s="812"/>
    </row>
    <row r="61624" spans="7:7">
      <c r="G61624" s="812"/>
    </row>
    <row r="61625" spans="7:7">
      <c r="G61625" s="812"/>
    </row>
    <row r="61626" spans="7:7">
      <c r="G61626" s="812"/>
    </row>
    <row r="61627" spans="7:7">
      <c r="G61627" s="812"/>
    </row>
    <row r="61628" spans="7:7">
      <c r="G61628" s="812"/>
    </row>
    <row r="61629" spans="7:7">
      <c r="G61629" s="812"/>
    </row>
    <row r="61630" spans="7:7">
      <c r="G61630" s="812"/>
    </row>
    <row r="61631" spans="7:7">
      <c r="G61631" s="812"/>
    </row>
    <row r="61632" spans="7:7">
      <c r="G61632" s="812"/>
    </row>
    <row r="61633" spans="7:7">
      <c r="G61633" s="812"/>
    </row>
    <row r="61634" spans="7:7">
      <c r="G61634" s="812"/>
    </row>
    <row r="61635" spans="7:7">
      <c r="G61635" s="812"/>
    </row>
    <row r="61636" spans="7:7">
      <c r="G61636" s="812"/>
    </row>
    <row r="61637" spans="7:7">
      <c r="G61637" s="812"/>
    </row>
    <row r="61638" spans="7:7">
      <c r="G61638" s="812"/>
    </row>
    <row r="61639" spans="7:7">
      <c r="G61639" s="812"/>
    </row>
    <row r="61640" spans="7:7">
      <c r="G61640" s="812"/>
    </row>
    <row r="61641" spans="7:7">
      <c r="G61641" s="812"/>
    </row>
    <row r="61642" spans="7:7">
      <c r="G61642" s="812"/>
    </row>
    <row r="61643" spans="7:7">
      <c r="G61643" s="812"/>
    </row>
    <row r="61644" spans="7:7">
      <c r="G61644" s="812"/>
    </row>
    <row r="61645" spans="7:7">
      <c r="G61645" s="812"/>
    </row>
    <row r="61646" spans="7:7">
      <c r="G61646" s="812"/>
    </row>
    <row r="61647" spans="7:7">
      <c r="G61647" s="812"/>
    </row>
    <row r="61648" spans="7:7">
      <c r="G61648" s="812"/>
    </row>
    <row r="61649" spans="7:7">
      <c r="G61649" s="812"/>
    </row>
    <row r="61650" spans="7:7">
      <c r="G61650" s="812"/>
    </row>
    <row r="61651" spans="7:7">
      <c r="G61651" s="812"/>
    </row>
    <row r="61652" spans="7:7">
      <c r="G61652" s="812"/>
    </row>
    <row r="61653" spans="7:7">
      <c r="G61653" s="812"/>
    </row>
    <row r="61654" spans="7:7">
      <c r="G61654" s="812"/>
    </row>
    <row r="61655" spans="7:7">
      <c r="G61655" s="812"/>
    </row>
    <row r="61656" spans="7:7">
      <c r="G61656" s="812"/>
    </row>
    <row r="61657" spans="7:7">
      <c r="G61657" s="812"/>
    </row>
    <row r="61658" spans="7:7">
      <c r="G61658" s="812"/>
    </row>
    <row r="61659" spans="7:7">
      <c r="G61659" s="812"/>
    </row>
    <row r="61660" spans="7:7">
      <c r="G61660" s="812"/>
    </row>
    <row r="61661" spans="7:7">
      <c r="G61661" s="812"/>
    </row>
    <row r="61662" spans="7:7">
      <c r="G61662" s="812"/>
    </row>
    <row r="61663" spans="7:7">
      <c r="G61663" s="812"/>
    </row>
    <row r="61664" spans="7:7">
      <c r="G61664" s="812"/>
    </row>
    <row r="61665" spans="7:7">
      <c r="G61665" s="812"/>
    </row>
    <row r="61666" spans="7:7">
      <c r="G61666" s="812"/>
    </row>
    <row r="61667" spans="7:7">
      <c r="G61667" s="812"/>
    </row>
    <row r="61668" spans="7:7">
      <c r="G61668" s="812"/>
    </row>
    <row r="61669" spans="7:7">
      <c r="G61669" s="812"/>
    </row>
    <row r="61670" spans="7:7">
      <c r="G61670" s="812"/>
    </row>
    <row r="61671" spans="7:7">
      <c r="G61671" s="812"/>
    </row>
    <row r="61672" spans="7:7">
      <c r="G61672" s="812"/>
    </row>
    <row r="61673" spans="7:7">
      <c r="G61673" s="812"/>
    </row>
    <row r="61674" spans="7:7">
      <c r="G61674" s="812"/>
    </row>
    <row r="61675" spans="7:7">
      <c r="G61675" s="812"/>
    </row>
    <row r="61676" spans="7:7">
      <c r="G61676" s="812"/>
    </row>
    <row r="61677" spans="7:7">
      <c r="G61677" s="812"/>
    </row>
    <row r="61678" spans="7:7">
      <c r="G61678" s="812"/>
    </row>
    <row r="61679" spans="7:7">
      <c r="G61679" s="812"/>
    </row>
    <row r="61680" spans="7:7">
      <c r="G61680" s="812"/>
    </row>
    <row r="61681" spans="7:7">
      <c r="G61681" s="812"/>
    </row>
    <row r="61682" spans="7:7">
      <c r="G61682" s="812"/>
    </row>
    <row r="61683" spans="7:7">
      <c r="G61683" s="812"/>
    </row>
    <row r="61684" spans="7:7">
      <c r="G61684" s="812"/>
    </row>
    <row r="61685" spans="7:7">
      <c r="G61685" s="812"/>
    </row>
    <row r="61686" spans="7:7">
      <c r="G61686" s="812"/>
    </row>
    <row r="61687" spans="7:7">
      <c r="G61687" s="812"/>
    </row>
    <row r="61688" spans="7:7">
      <c r="G61688" s="812"/>
    </row>
    <row r="61689" spans="7:7">
      <c r="G61689" s="812"/>
    </row>
    <row r="61690" spans="7:7">
      <c r="G61690" s="812"/>
    </row>
    <row r="61691" spans="7:7">
      <c r="G61691" s="812"/>
    </row>
    <row r="61692" spans="7:7">
      <c r="G61692" s="812"/>
    </row>
    <row r="61693" spans="7:7">
      <c r="G61693" s="812"/>
    </row>
    <row r="61694" spans="7:7">
      <c r="G61694" s="812"/>
    </row>
    <row r="61695" spans="7:7">
      <c r="G61695" s="812"/>
    </row>
    <row r="61696" spans="7:7">
      <c r="G61696" s="812"/>
    </row>
    <row r="61697" spans="7:7">
      <c r="G61697" s="812"/>
    </row>
    <row r="61698" spans="7:7">
      <c r="G61698" s="812"/>
    </row>
    <row r="61699" spans="7:7">
      <c r="G61699" s="812"/>
    </row>
    <row r="61700" spans="7:7">
      <c r="G61700" s="812"/>
    </row>
    <row r="61701" spans="7:7">
      <c r="G61701" s="812"/>
    </row>
    <row r="61702" spans="7:7">
      <c r="G61702" s="812"/>
    </row>
    <row r="61703" spans="7:7">
      <c r="G61703" s="812"/>
    </row>
    <row r="61704" spans="7:7">
      <c r="G61704" s="812"/>
    </row>
    <row r="61705" spans="7:7">
      <c r="G61705" s="812"/>
    </row>
    <row r="61706" spans="7:7">
      <c r="G61706" s="812"/>
    </row>
    <row r="61707" spans="7:7">
      <c r="G61707" s="812"/>
    </row>
    <row r="61708" spans="7:7">
      <c r="G61708" s="812"/>
    </row>
    <row r="61709" spans="7:7">
      <c r="G61709" s="812"/>
    </row>
    <row r="61710" spans="7:7">
      <c r="G61710" s="812"/>
    </row>
    <row r="61711" spans="7:7">
      <c r="G61711" s="812"/>
    </row>
    <row r="61712" spans="7:7">
      <c r="G61712" s="812"/>
    </row>
    <row r="61713" spans="7:7">
      <c r="G61713" s="812"/>
    </row>
    <row r="61714" spans="7:7">
      <c r="G61714" s="812"/>
    </row>
    <row r="61715" spans="7:7">
      <c r="G61715" s="812"/>
    </row>
    <row r="61716" spans="7:7">
      <c r="G61716" s="812"/>
    </row>
    <row r="61717" spans="7:7">
      <c r="G61717" s="812"/>
    </row>
    <row r="61718" spans="7:7">
      <c r="G61718" s="812"/>
    </row>
    <row r="61719" spans="7:7">
      <c r="G61719" s="812"/>
    </row>
    <row r="61720" spans="7:7">
      <c r="G61720" s="812"/>
    </row>
    <row r="61721" spans="7:7">
      <c r="G61721" s="812"/>
    </row>
    <row r="61722" spans="7:7">
      <c r="G61722" s="812"/>
    </row>
    <row r="61723" spans="7:7">
      <c r="G61723" s="812"/>
    </row>
    <row r="61724" spans="7:7">
      <c r="G61724" s="812"/>
    </row>
    <row r="61725" spans="7:7">
      <c r="G61725" s="812"/>
    </row>
    <row r="61726" spans="7:7">
      <c r="G61726" s="812"/>
    </row>
    <row r="61727" spans="7:7">
      <c r="G61727" s="812"/>
    </row>
    <row r="61728" spans="7:7">
      <c r="G61728" s="812"/>
    </row>
    <row r="61729" spans="7:7">
      <c r="G61729" s="812"/>
    </row>
    <row r="61730" spans="7:7">
      <c r="G61730" s="812"/>
    </row>
    <row r="61731" spans="7:7">
      <c r="G61731" s="812"/>
    </row>
    <row r="61732" spans="7:7">
      <c r="G61732" s="812"/>
    </row>
    <row r="61733" spans="7:7">
      <c r="G61733" s="812"/>
    </row>
    <row r="61734" spans="7:7">
      <c r="G61734" s="812"/>
    </row>
    <row r="61735" spans="7:7">
      <c r="G61735" s="812"/>
    </row>
    <row r="61736" spans="7:7">
      <c r="G61736" s="812"/>
    </row>
    <row r="61737" spans="7:7">
      <c r="G61737" s="812"/>
    </row>
    <row r="61738" spans="7:7">
      <c r="G61738" s="812"/>
    </row>
    <row r="61739" spans="7:7">
      <c r="G61739" s="812"/>
    </row>
    <row r="61740" spans="7:7">
      <c r="G61740" s="812"/>
    </row>
    <row r="61741" spans="7:7">
      <c r="G61741" s="812"/>
    </row>
    <row r="61742" spans="7:7">
      <c r="G61742" s="812"/>
    </row>
    <row r="61743" spans="7:7">
      <c r="G61743" s="812"/>
    </row>
    <row r="61744" spans="7:7">
      <c r="G61744" s="812"/>
    </row>
    <row r="61745" spans="7:7">
      <c r="G61745" s="812"/>
    </row>
    <row r="61746" spans="7:7">
      <c r="G61746" s="812"/>
    </row>
    <row r="61747" spans="7:7">
      <c r="G61747" s="812"/>
    </row>
    <row r="61748" spans="7:7">
      <c r="G61748" s="812"/>
    </row>
    <row r="61749" spans="7:7">
      <c r="G61749" s="812"/>
    </row>
    <row r="61750" spans="7:7">
      <c r="G61750" s="812"/>
    </row>
    <row r="61751" spans="7:7">
      <c r="G61751" s="812"/>
    </row>
    <row r="61752" spans="7:7">
      <c r="G61752" s="812"/>
    </row>
    <row r="61753" spans="7:7">
      <c r="G61753" s="812"/>
    </row>
    <row r="61754" spans="7:7">
      <c r="G61754" s="812"/>
    </row>
    <row r="61755" spans="7:7">
      <c r="G61755" s="812"/>
    </row>
    <row r="61756" spans="7:7">
      <c r="G61756" s="812"/>
    </row>
    <row r="61757" spans="7:7">
      <c r="G61757" s="812"/>
    </row>
    <row r="61758" spans="7:7">
      <c r="G61758" s="812"/>
    </row>
    <row r="61759" spans="7:7">
      <c r="G61759" s="812"/>
    </row>
    <row r="61760" spans="7:7">
      <c r="G61760" s="812"/>
    </row>
    <row r="61761" spans="7:7">
      <c r="G61761" s="812"/>
    </row>
    <row r="61762" spans="7:7">
      <c r="G61762" s="812"/>
    </row>
    <row r="61763" spans="7:7">
      <c r="G61763" s="812"/>
    </row>
    <row r="61764" spans="7:7">
      <c r="G61764" s="812"/>
    </row>
    <row r="61765" spans="7:7">
      <c r="G61765" s="812"/>
    </row>
    <row r="61766" spans="7:7">
      <c r="G61766" s="812"/>
    </row>
    <row r="61767" spans="7:7">
      <c r="G61767" s="812"/>
    </row>
    <row r="61768" spans="7:7">
      <c r="G61768" s="812"/>
    </row>
    <row r="61769" spans="7:7">
      <c r="G61769" s="812"/>
    </row>
    <row r="61770" spans="7:7">
      <c r="G61770" s="812"/>
    </row>
    <row r="61771" spans="7:7">
      <c r="G61771" s="812"/>
    </row>
    <row r="61772" spans="7:7">
      <c r="G61772" s="812"/>
    </row>
    <row r="61773" spans="7:7">
      <c r="G61773" s="812"/>
    </row>
    <row r="61774" spans="7:7">
      <c r="G61774" s="812"/>
    </row>
    <row r="61775" spans="7:7">
      <c r="G61775" s="812"/>
    </row>
    <row r="61776" spans="7:7">
      <c r="G61776" s="812"/>
    </row>
    <row r="61777" spans="7:7">
      <c r="G61777" s="812"/>
    </row>
    <row r="61778" spans="7:7">
      <c r="G61778" s="812"/>
    </row>
    <row r="61779" spans="7:7">
      <c r="G61779" s="812"/>
    </row>
    <row r="61780" spans="7:7">
      <c r="G61780" s="812"/>
    </row>
    <row r="61781" spans="7:7">
      <c r="G61781" s="812"/>
    </row>
    <row r="61782" spans="7:7">
      <c r="G61782" s="812"/>
    </row>
    <row r="61783" spans="7:7">
      <c r="G61783" s="812"/>
    </row>
    <row r="61784" spans="7:7">
      <c r="G61784" s="812"/>
    </row>
    <row r="61785" spans="7:7">
      <c r="G61785" s="812"/>
    </row>
    <row r="61786" spans="7:7">
      <c r="G61786" s="812"/>
    </row>
    <row r="61787" spans="7:7">
      <c r="G61787" s="812"/>
    </row>
    <row r="61788" spans="7:7">
      <c r="G61788" s="812"/>
    </row>
    <row r="61789" spans="7:7">
      <c r="G61789" s="812"/>
    </row>
    <row r="61790" spans="7:7">
      <c r="G61790" s="812"/>
    </row>
    <row r="61791" spans="7:7">
      <c r="G61791" s="812"/>
    </row>
    <row r="61792" spans="7:7">
      <c r="G61792" s="812"/>
    </row>
    <row r="61793" spans="7:7">
      <c r="G61793" s="812"/>
    </row>
    <row r="61794" spans="7:7">
      <c r="G61794" s="812"/>
    </row>
    <row r="61795" spans="7:7">
      <c r="G61795" s="812"/>
    </row>
    <row r="61796" spans="7:7">
      <c r="G61796" s="812"/>
    </row>
    <row r="61797" spans="7:7">
      <c r="G61797" s="812"/>
    </row>
    <row r="61798" spans="7:7">
      <c r="G61798" s="812"/>
    </row>
    <row r="61799" spans="7:7">
      <c r="G61799" s="812"/>
    </row>
    <row r="61800" spans="7:7">
      <c r="G61800" s="812"/>
    </row>
    <row r="61801" spans="7:7">
      <c r="G61801" s="812"/>
    </row>
    <row r="61802" spans="7:7">
      <c r="G61802" s="812"/>
    </row>
    <row r="61803" spans="7:7">
      <c r="G61803" s="812"/>
    </row>
    <row r="61804" spans="7:7">
      <c r="G61804" s="812"/>
    </row>
    <row r="61805" spans="7:7">
      <c r="G61805" s="812"/>
    </row>
    <row r="61806" spans="7:7">
      <c r="G61806" s="812"/>
    </row>
    <row r="61807" spans="7:7">
      <c r="G61807" s="812"/>
    </row>
    <row r="61808" spans="7:7">
      <c r="G61808" s="812"/>
    </row>
    <row r="61809" spans="7:7">
      <c r="G61809" s="812"/>
    </row>
    <row r="61810" spans="7:7">
      <c r="G61810" s="812"/>
    </row>
    <row r="61811" spans="7:7">
      <c r="G61811" s="812"/>
    </row>
    <row r="61812" spans="7:7">
      <c r="G61812" s="812"/>
    </row>
    <row r="61813" spans="7:7">
      <c r="G61813" s="812"/>
    </row>
    <row r="61814" spans="7:7">
      <c r="G61814" s="812"/>
    </row>
    <row r="61815" spans="7:7">
      <c r="G61815" s="812"/>
    </row>
    <row r="61816" spans="7:7">
      <c r="G61816" s="812"/>
    </row>
    <row r="61817" spans="7:7">
      <c r="G61817" s="812"/>
    </row>
    <row r="61818" spans="7:7">
      <c r="G61818" s="812"/>
    </row>
    <row r="61819" spans="7:7">
      <c r="G61819" s="812"/>
    </row>
    <row r="61820" spans="7:7">
      <c r="G61820" s="812"/>
    </row>
    <row r="61821" spans="7:7">
      <c r="G61821" s="812"/>
    </row>
    <row r="61822" spans="7:7">
      <c r="G61822" s="812"/>
    </row>
    <row r="61823" spans="7:7">
      <c r="G61823" s="812"/>
    </row>
    <row r="61824" spans="7:7">
      <c r="G61824" s="812"/>
    </row>
    <row r="61825" spans="7:7">
      <c r="G61825" s="812"/>
    </row>
    <row r="61826" spans="7:7">
      <c r="G61826" s="812"/>
    </row>
    <row r="61827" spans="7:7">
      <c r="G61827" s="812"/>
    </row>
    <row r="61828" spans="7:7">
      <c r="G61828" s="812"/>
    </row>
    <row r="61829" spans="7:7">
      <c r="G61829" s="812"/>
    </row>
    <row r="61830" spans="7:7">
      <c r="G61830" s="812"/>
    </row>
    <row r="61831" spans="7:7">
      <c r="G61831" s="812"/>
    </row>
    <row r="61832" spans="7:7">
      <c r="G61832" s="812"/>
    </row>
    <row r="61833" spans="7:7">
      <c r="G61833" s="812"/>
    </row>
    <row r="61834" spans="7:7">
      <c r="G61834" s="812"/>
    </row>
    <row r="61835" spans="7:7">
      <c r="G61835" s="812"/>
    </row>
    <row r="61836" spans="7:7">
      <c r="G61836" s="812"/>
    </row>
    <row r="61837" spans="7:7">
      <c r="G61837" s="812"/>
    </row>
    <row r="61838" spans="7:7">
      <c r="G61838" s="812"/>
    </row>
    <row r="61839" spans="7:7">
      <c r="G61839" s="812"/>
    </row>
    <row r="61840" spans="7:7">
      <c r="G61840" s="812"/>
    </row>
    <row r="61841" spans="7:7">
      <c r="G61841" s="812"/>
    </row>
    <row r="61842" spans="7:7">
      <c r="G61842" s="812"/>
    </row>
    <row r="61843" spans="7:7">
      <c r="G61843" s="812"/>
    </row>
    <row r="61844" spans="7:7">
      <c r="G61844" s="812"/>
    </row>
    <row r="61845" spans="7:7">
      <c r="G61845" s="812"/>
    </row>
    <row r="61846" spans="7:7">
      <c r="G61846" s="812"/>
    </row>
    <row r="61847" spans="7:7">
      <c r="G61847" s="812"/>
    </row>
    <row r="61848" spans="7:7">
      <c r="G61848" s="812"/>
    </row>
    <row r="61849" spans="7:7">
      <c r="G61849" s="812"/>
    </row>
    <row r="61850" spans="7:7">
      <c r="G61850" s="812"/>
    </row>
    <row r="61851" spans="7:7">
      <c r="G61851" s="812"/>
    </row>
    <row r="61852" spans="7:7">
      <c r="G61852" s="812"/>
    </row>
    <row r="61853" spans="7:7">
      <c r="G61853" s="812"/>
    </row>
    <row r="61854" spans="7:7">
      <c r="G61854" s="812"/>
    </row>
    <row r="61855" spans="7:7">
      <c r="G61855" s="812"/>
    </row>
    <row r="61856" spans="7:7">
      <c r="G61856" s="812"/>
    </row>
    <row r="61857" spans="7:7">
      <c r="G61857" s="812"/>
    </row>
    <row r="61858" spans="7:7">
      <c r="G61858" s="812"/>
    </row>
    <row r="61859" spans="7:7">
      <c r="G61859" s="812"/>
    </row>
    <row r="61860" spans="7:7">
      <c r="G61860" s="812"/>
    </row>
    <row r="61861" spans="7:7">
      <c r="G61861" s="812"/>
    </row>
    <row r="61862" spans="7:7">
      <c r="G61862" s="812"/>
    </row>
    <row r="61863" spans="7:7">
      <c r="G61863" s="812"/>
    </row>
    <row r="61864" spans="7:7">
      <c r="G61864" s="812"/>
    </row>
    <row r="61865" spans="7:7">
      <c r="G61865" s="812"/>
    </row>
    <row r="61866" spans="7:7">
      <c r="G61866" s="812"/>
    </row>
    <row r="61867" spans="7:7">
      <c r="G61867" s="812"/>
    </row>
    <row r="61868" spans="7:7">
      <c r="G61868" s="812"/>
    </row>
    <row r="61869" spans="7:7">
      <c r="G61869" s="812"/>
    </row>
    <row r="61870" spans="7:7">
      <c r="G61870" s="812"/>
    </row>
    <row r="61871" spans="7:7">
      <c r="G61871" s="812"/>
    </row>
    <row r="61872" spans="7:7">
      <c r="G61872" s="812"/>
    </row>
    <row r="61873" spans="7:7">
      <c r="G61873" s="812"/>
    </row>
    <row r="61874" spans="7:7">
      <c r="G61874" s="812"/>
    </row>
    <row r="61875" spans="7:7">
      <c r="G61875" s="812"/>
    </row>
    <row r="61876" spans="7:7">
      <c r="G61876" s="812"/>
    </row>
    <row r="61877" spans="7:7">
      <c r="G61877" s="812"/>
    </row>
    <row r="61878" spans="7:7">
      <c r="G61878" s="812"/>
    </row>
    <row r="61879" spans="7:7">
      <c r="G61879" s="812"/>
    </row>
    <row r="61880" spans="7:7">
      <c r="G61880" s="812"/>
    </row>
    <row r="61881" spans="7:7">
      <c r="G61881" s="812"/>
    </row>
    <row r="61882" spans="7:7">
      <c r="G61882" s="812"/>
    </row>
    <row r="61883" spans="7:7">
      <c r="G61883" s="812"/>
    </row>
    <row r="61884" spans="7:7">
      <c r="G61884" s="812"/>
    </row>
    <row r="61885" spans="7:7">
      <c r="G61885" s="812"/>
    </row>
    <row r="61886" spans="7:7">
      <c r="G61886" s="812"/>
    </row>
    <row r="61887" spans="7:7">
      <c r="G61887" s="812"/>
    </row>
    <row r="61888" spans="7:7">
      <c r="G61888" s="812"/>
    </row>
    <row r="61889" spans="7:7">
      <c r="G61889" s="812"/>
    </row>
    <row r="61890" spans="7:7">
      <c r="G61890" s="812"/>
    </row>
    <row r="61891" spans="7:7">
      <c r="G61891" s="812"/>
    </row>
    <row r="61892" spans="7:7">
      <c r="G61892" s="812"/>
    </row>
    <row r="61893" spans="7:7">
      <c r="G61893" s="812"/>
    </row>
    <row r="61894" spans="7:7">
      <c r="G61894" s="812"/>
    </row>
    <row r="61895" spans="7:7">
      <c r="G61895" s="812"/>
    </row>
    <row r="61896" spans="7:7">
      <c r="G61896" s="812"/>
    </row>
    <row r="61897" spans="7:7">
      <c r="G61897" s="812"/>
    </row>
    <row r="61898" spans="7:7">
      <c r="G61898" s="812"/>
    </row>
    <row r="61899" spans="7:7">
      <c r="G61899" s="812"/>
    </row>
    <row r="61900" spans="7:7">
      <c r="G61900" s="812"/>
    </row>
    <row r="61901" spans="7:7">
      <c r="G61901" s="812"/>
    </row>
    <row r="61902" spans="7:7">
      <c r="G61902" s="812"/>
    </row>
    <row r="61903" spans="7:7">
      <c r="G61903" s="812"/>
    </row>
    <row r="61904" spans="7:7">
      <c r="G61904" s="812"/>
    </row>
    <row r="61905" spans="7:7">
      <c r="G61905" s="812"/>
    </row>
    <row r="61906" spans="7:7">
      <c r="G61906" s="812"/>
    </row>
    <row r="61907" spans="7:7">
      <c r="G61907" s="812"/>
    </row>
    <row r="61908" spans="7:7">
      <c r="G61908" s="812"/>
    </row>
    <row r="61909" spans="7:7">
      <c r="G61909" s="812"/>
    </row>
    <row r="61910" spans="7:7">
      <c r="G61910" s="812"/>
    </row>
    <row r="61911" spans="7:7">
      <c r="G61911" s="812"/>
    </row>
    <row r="61912" spans="7:7">
      <c r="G61912" s="812"/>
    </row>
    <row r="61913" spans="7:7">
      <c r="G61913" s="812"/>
    </row>
    <row r="61914" spans="7:7">
      <c r="G61914" s="812"/>
    </row>
    <row r="61915" spans="7:7">
      <c r="G61915" s="812"/>
    </row>
    <row r="61916" spans="7:7">
      <c r="G61916" s="812"/>
    </row>
    <row r="61917" spans="7:7">
      <c r="G61917" s="812"/>
    </row>
    <row r="61918" spans="7:7">
      <c r="G61918" s="812"/>
    </row>
    <row r="61919" spans="7:7">
      <c r="G61919" s="812"/>
    </row>
    <row r="61920" spans="7:7">
      <c r="G61920" s="812"/>
    </row>
    <row r="61921" spans="7:7">
      <c r="G61921" s="812"/>
    </row>
    <row r="61922" spans="7:7">
      <c r="G61922" s="812"/>
    </row>
    <row r="61923" spans="7:7">
      <c r="G61923" s="812"/>
    </row>
    <row r="61924" spans="7:7">
      <c r="G61924" s="812"/>
    </row>
    <row r="61925" spans="7:7">
      <c r="G61925" s="812"/>
    </row>
    <row r="61926" spans="7:7">
      <c r="G61926" s="812"/>
    </row>
    <row r="61927" spans="7:7">
      <c r="G61927" s="812"/>
    </row>
    <row r="61928" spans="7:7">
      <c r="G61928" s="812"/>
    </row>
    <row r="61929" spans="7:7">
      <c r="G61929" s="812"/>
    </row>
    <row r="61930" spans="7:7">
      <c r="G61930" s="812"/>
    </row>
    <row r="61931" spans="7:7">
      <c r="G61931" s="812"/>
    </row>
    <row r="61932" spans="7:7">
      <c r="G61932" s="812"/>
    </row>
    <row r="61933" spans="7:7">
      <c r="G61933" s="812"/>
    </row>
    <row r="61934" spans="7:7">
      <c r="G61934" s="812"/>
    </row>
    <row r="61935" spans="7:7">
      <c r="G61935" s="812"/>
    </row>
    <row r="61936" spans="7:7">
      <c r="G61936" s="812"/>
    </row>
    <row r="61937" spans="7:7">
      <c r="G61937" s="812"/>
    </row>
    <row r="61938" spans="7:7">
      <c r="G61938" s="812"/>
    </row>
    <row r="61939" spans="7:7">
      <c r="G61939" s="812"/>
    </row>
    <row r="61940" spans="7:7">
      <c r="G61940" s="812"/>
    </row>
    <row r="61941" spans="7:7">
      <c r="G61941" s="812"/>
    </row>
    <row r="61942" spans="7:7">
      <c r="G61942" s="812"/>
    </row>
    <row r="61943" spans="7:7">
      <c r="G61943" s="812"/>
    </row>
    <row r="61944" spans="7:7">
      <c r="G61944" s="812"/>
    </row>
    <row r="61945" spans="7:7">
      <c r="G61945" s="812"/>
    </row>
    <row r="61946" spans="7:7">
      <c r="G61946" s="812"/>
    </row>
    <row r="61947" spans="7:7">
      <c r="G61947" s="812"/>
    </row>
    <row r="61948" spans="7:7">
      <c r="G61948" s="812"/>
    </row>
    <row r="61949" spans="7:7">
      <c r="G61949" s="812"/>
    </row>
    <row r="61950" spans="7:7">
      <c r="G61950" s="812"/>
    </row>
    <row r="61951" spans="7:7">
      <c r="G61951" s="812"/>
    </row>
    <row r="61952" spans="7:7">
      <c r="G61952" s="812"/>
    </row>
    <row r="61953" spans="7:7">
      <c r="G61953" s="812"/>
    </row>
    <row r="61954" spans="7:7">
      <c r="G61954" s="812"/>
    </row>
    <row r="61955" spans="7:7">
      <c r="G61955" s="812"/>
    </row>
    <row r="61956" spans="7:7">
      <c r="G61956" s="812"/>
    </row>
    <row r="61957" spans="7:7">
      <c r="G61957" s="812"/>
    </row>
    <row r="61958" spans="7:7">
      <c r="G61958" s="812"/>
    </row>
    <row r="61959" spans="7:7">
      <c r="G61959" s="812"/>
    </row>
    <row r="61960" spans="7:7">
      <c r="G61960" s="812"/>
    </row>
    <row r="61961" spans="7:7">
      <c r="G61961" s="812"/>
    </row>
    <row r="61962" spans="7:7">
      <c r="G61962" s="812"/>
    </row>
    <row r="61963" spans="7:7">
      <c r="G61963" s="812"/>
    </row>
    <row r="61964" spans="7:7">
      <c r="G61964" s="812"/>
    </row>
    <row r="61965" spans="7:7">
      <c r="G61965" s="812"/>
    </row>
    <row r="61966" spans="7:7">
      <c r="G61966" s="812"/>
    </row>
    <row r="61967" spans="7:7">
      <c r="G61967" s="812"/>
    </row>
    <row r="61968" spans="7:7">
      <c r="G61968" s="812"/>
    </row>
    <row r="61969" spans="7:7">
      <c r="G61969" s="812"/>
    </row>
    <row r="61970" spans="7:7">
      <c r="G61970" s="812"/>
    </row>
    <row r="61971" spans="7:7">
      <c r="G61971" s="812"/>
    </row>
    <row r="61972" spans="7:7">
      <c r="G61972" s="812"/>
    </row>
    <row r="61973" spans="7:7">
      <c r="G61973" s="812"/>
    </row>
    <row r="61974" spans="7:7">
      <c r="G61974" s="812"/>
    </row>
    <row r="61975" spans="7:7">
      <c r="G61975" s="812"/>
    </row>
    <row r="61976" spans="7:7">
      <c r="G61976" s="812"/>
    </row>
    <row r="61977" spans="7:7">
      <c r="G61977" s="812"/>
    </row>
    <row r="61978" spans="7:7">
      <c r="G61978" s="812"/>
    </row>
    <row r="61979" spans="7:7">
      <c r="G61979" s="812"/>
    </row>
    <row r="61980" spans="7:7">
      <c r="G61980" s="812"/>
    </row>
    <row r="61981" spans="7:7">
      <c r="G61981" s="812"/>
    </row>
    <row r="61982" spans="7:7">
      <c r="G61982" s="812"/>
    </row>
    <row r="61983" spans="7:7">
      <c r="G61983" s="812"/>
    </row>
    <row r="61984" spans="7:7">
      <c r="G61984" s="812"/>
    </row>
    <row r="61985" spans="7:7">
      <c r="G61985" s="812"/>
    </row>
    <row r="61986" spans="7:7">
      <c r="G61986" s="812"/>
    </row>
    <row r="61987" spans="7:7">
      <c r="G61987" s="812"/>
    </row>
    <row r="61988" spans="7:7">
      <c r="G61988" s="812"/>
    </row>
    <row r="61989" spans="7:7">
      <c r="G61989" s="812"/>
    </row>
    <row r="61990" spans="7:7">
      <c r="G61990" s="812"/>
    </row>
    <row r="61991" spans="7:7">
      <c r="G61991" s="812"/>
    </row>
    <row r="61992" spans="7:7">
      <c r="G61992" s="812"/>
    </row>
    <row r="61993" spans="7:7">
      <c r="G61993" s="812"/>
    </row>
    <row r="61994" spans="7:7">
      <c r="G61994" s="812"/>
    </row>
    <row r="61995" spans="7:7">
      <c r="G61995" s="812"/>
    </row>
    <row r="61996" spans="7:7">
      <c r="G61996" s="812"/>
    </row>
    <row r="61997" spans="7:7">
      <c r="G61997" s="812"/>
    </row>
    <row r="61998" spans="7:7">
      <c r="G61998" s="812"/>
    </row>
    <row r="61999" spans="7:7">
      <c r="G61999" s="812"/>
    </row>
    <row r="62000" spans="7:7">
      <c r="G62000" s="812"/>
    </row>
    <row r="62001" spans="7:7">
      <c r="G62001" s="812"/>
    </row>
    <row r="62002" spans="7:7">
      <c r="G62002" s="812"/>
    </row>
    <row r="62003" spans="7:7">
      <c r="G62003" s="812"/>
    </row>
    <row r="62004" spans="7:7">
      <c r="G62004" s="812"/>
    </row>
    <row r="62005" spans="7:7">
      <c r="G62005" s="812"/>
    </row>
    <row r="62006" spans="7:7">
      <c r="G62006" s="812"/>
    </row>
    <row r="62007" spans="7:7">
      <c r="G62007" s="812"/>
    </row>
    <row r="62008" spans="7:7">
      <c r="G62008" s="812"/>
    </row>
    <row r="62009" spans="7:7">
      <c r="G62009" s="812"/>
    </row>
    <row r="62010" spans="7:7">
      <c r="G62010" s="812"/>
    </row>
    <row r="62011" spans="7:7">
      <c r="G62011" s="812"/>
    </row>
    <row r="62012" spans="7:7">
      <c r="G62012" s="812"/>
    </row>
    <row r="62013" spans="7:7">
      <c r="G62013" s="812"/>
    </row>
    <row r="62014" spans="7:7">
      <c r="G62014" s="812"/>
    </row>
    <row r="62015" spans="7:7">
      <c r="G62015" s="812"/>
    </row>
    <row r="62016" spans="7:7">
      <c r="G62016" s="812"/>
    </row>
    <row r="62017" spans="7:7">
      <c r="G62017" s="812"/>
    </row>
    <row r="62018" spans="7:7">
      <c r="G62018" s="812"/>
    </row>
    <row r="62019" spans="7:7">
      <c r="G62019" s="812"/>
    </row>
    <row r="62020" spans="7:7">
      <c r="G62020" s="812"/>
    </row>
    <row r="62021" spans="7:7">
      <c r="G62021" s="812"/>
    </row>
    <row r="62022" spans="7:7">
      <c r="G62022" s="812"/>
    </row>
    <row r="62023" spans="7:7">
      <c r="G62023" s="812"/>
    </row>
    <row r="62024" spans="7:7">
      <c r="G62024" s="812"/>
    </row>
    <row r="62025" spans="7:7">
      <c r="G62025" s="812"/>
    </row>
    <row r="62026" spans="7:7">
      <c r="G62026" s="812"/>
    </row>
    <row r="62027" spans="7:7">
      <c r="G62027" s="812"/>
    </row>
    <row r="62028" spans="7:7">
      <c r="G62028" s="812"/>
    </row>
    <row r="62029" spans="7:7">
      <c r="G62029" s="812"/>
    </row>
    <row r="62030" spans="7:7">
      <c r="G62030" s="812"/>
    </row>
    <row r="62031" spans="7:7">
      <c r="G62031" s="812"/>
    </row>
    <row r="62032" spans="7:7">
      <c r="G62032" s="812"/>
    </row>
    <row r="62033" spans="7:7">
      <c r="G62033" s="812"/>
    </row>
    <row r="62034" spans="7:7">
      <c r="G62034" s="812"/>
    </row>
    <row r="62035" spans="7:7">
      <c r="G62035" s="812"/>
    </row>
    <row r="62036" spans="7:7">
      <c r="G62036" s="812"/>
    </row>
    <row r="62037" spans="7:7">
      <c r="G62037" s="812"/>
    </row>
    <row r="62038" spans="7:7">
      <c r="G62038" s="812"/>
    </row>
    <row r="62039" spans="7:7">
      <c r="G62039" s="812"/>
    </row>
    <row r="62040" spans="7:7">
      <c r="G62040" s="812"/>
    </row>
    <row r="62041" spans="7:7">
      <c r="G62041" s="812"/>
    </row>
    <row r="62042" spans="7:7">
      <c r="G62042" s="812"/>
    </row>
    <row r="62043" spans="7:7">
      <c r="G62043" s="812"/>
    </row>
    <row r="62044" spans="7:7">
      <c r="G62044" s="812"/>
    </row>
    <row r="62045" spans="7:7">
      <c r="G62045" s="812"/>
    </row>
    <row r="62046" spans="7:7">
      <c r="G62046" s="812"/>
    </row>
    <row r="62047" spans="7:7">
      <c r="G62047" s="812"/>
    </row>
    <row r="62048" spans="7:7">
      <c r="G62048" s="812"/>
    </row>
    <row r="62049" spans="7:7">
      <c r="G62049" s="812"/>
    </row>
    <row r="62050" spans="7:7">
      <c r="G62050" s="812"/>
    </row>
    <row r="62051" spans="7:7">
      <c r="G62051" s="812"/>
    </row>
    <row r="62052" spans="7:7">
      <c r="G62052" s="812"/>
    </row>
    <row r="62053" spans="7:7">
      <c r="G62053" s="812"/>
    </row>
    <row r="62054" spans="7:7">
      <c r="G62054" s="812"/>
    </row>
    <row r="62055" spans="7:7">
      <c r="G62055" s="812"/>
    </row>
    <row r="62056" spans="7:7">
      <c r="G62056" s="812"/>
    </row>
    <row r="62057" spans="7:7">
      <c r="G62057" s="812"/>
    </row>
    <row r="62058" spans="7:7">
      <c r="G62058" s="812"/>
    </row>
    <row r="62059" spans="7:7">
      <c r="G62059" s="812"/>
    </row>
    <row r="62060" spans="7:7">
      <c r="G62060" s="812"/>
    </row>
    <row r="62061" spans="7:7">
      <c r="G62061" s="812"/>
    </row>
    <row r="62062" spans="7:7">
      <c r="G62062" s="812"/>
    </row>
    <row r="62063" spans="7:7">
      <c r="G62063" s="812"/>
    </row>
    <row r="62064" spans="7:7">
      <c r="G62064" s="812"/>
    </row>
    <row r="62065" spans="7:7">
      <c r="G62065" s="812"/>
    </row>
    <row r="62066" spans="7:7">
      <c r="G62066" s="812"/>
    </row>
    <row r="62067" spans="7:7">
      <c r="G62067" s="812"/>
    </row>
    <row r="62068" spans="7:7">
      <c r="G62068" s="812"/>
    </row>
    <row r="62069" spans="7:7">
      <c r="G62069" s="812"/>
    </row>
    <row r="62070" spans="7:7">
      <c r="G62070" s="812"/>
    </row>
    <row r="62071" spans="7:7">
      <c r="G62071" s="812"/>
    </row>
    <row r="62072" spans="7:7">
      <c r="G62072" s="812"/>
    </row>
    <row r="62073" spans="7:7">
      <c r="G62073" s="812"/>
    </row>
    <row r="62074" spans="7:7">
      <c r="G62074" s="812"/>
    </row>
    <row r="62075" spans="7:7">
      <c r="G62075" s="812"/>
    </row>
    <row r="62076" spans="7:7">
      <c r="G62076" s="812"/>
    </row>
    <row r="62077" spans="7:7">
      <c r="G62077" s="812"/>
    </row>
    <row r="62078" spans="7:7">
      <c r="G62078" s="812"/>
    </row>
    <row r="62079" spans="7:7">
      <c r="G62079" s="812"/>
    </row>
    <row r="62080" spans="7:7">
      <c r="G62080" s="812"/>
    </row>
    <row r="62081" spans="7:7">
      <c r="G62081" s="812"/>
    </row>
    <row r="62082" spans="7:7">
      <c r="G62082" s="812"/>
    </row>
    <row r="62083" spans="7:7">
      <c r="G62083" s="812"/>
    </row>
    <row r="62084" spans="7:7">
      <c r="G62084" s="812"/>
    </row>
    <row r="62085" spans="7:7">
      <c r="G62085" s="812"/>
    </row>
    <row r="62086" spans="7:7">
      <c r="G62086" s="812"/>
    </row>
    <row r="62087" spans="7:7">
      <c r="G62087" s="812"/>
    </row>
    <row r="62088" spans="7:7">
      <c r="G62088" s="812"/>
    </row>
    <row r="62089" spans="7:7">
      <c r="G62089" s="812"/>
    </row>
    <row r="62090" spans="7:7">
      <c r="G62090" s="812"/>
    </row>
    <row r="62091" spans="7:7">
      <c r="G62091" s="812"/>
    </row>
    <row r="62092" spans="7:7">
      <c r="G62092" s="812"/>
    </row>
    <row r="62093" spans="7:7">
      <c r="G62093" s="812"/>
    </row>
    <row r="62094" spans="7:7">
      <c r="G62094" s="812"/>
    </row>
    <row r="62095" spans="7:7">
      <c r="G62095" s="812"/>
    </row>
    <row r="62096" spans="7:7">
      <c r="G62096" s="812"/>
    </row>
    <row r="62097" spans="7:7">
      <c r="G62097" s="812"/>
    </row>
    <row r="62098" spans="7:7">
      <c r="G62098" s="812"/>
    </row>
    <row r="62099" spans="7:7">
      <c r="G62099" s="812"/>
    </row>
    <row r="62100" spans="7:7">
      <c r="G62100" s="812"/>
    </row>
    <row r="62101" spans="7:7">
      <c r="G62101" s="812"/>
    </row>
    <row r="62102" spans="7:7">
      <c r="G62102" s="812"/>
    </row>
    <row r="62103" spans="7:7">
      <c r="G62103" s="812"/>
    </row>
    <row r="62104" spans="7:7">
      <c r="G62104" s="812"/>
    </row>
    <row r="62105" spans="7:7">
      <c r="G62105" s="812"/>
    </row>
    <row r="62106" spans="7:7">
      <c r="G62106" s="812"/>
    </row>
    <row r="62107" spans="7:7">
      <c r="G62107" s="812"/>
    </row>
    <row r="62108" spans="7:7">
      <c r="G62108" s="812"/>
    </row>
    <row r="62109" spans="7:7">
      <c r="G62109" s="812"/>
    </row>
    <row r="62110" spans="7:7">
      <c r="G62110" s="812"/>
    </row>
    <row r="62111" spans="7:7">
      <c r="G62111" s="812"/>
    </row>
    <row r="62112" spans="7:7">
      <c r="G62112" s="812"/>
    </row>
    <row r="62113" spans="7:7">
      <c r="G62113" s="812"/>
    </row>
    <row r="62114" spans="7:7">
      <c r="G62114" s="812"/>
    </row>
    <row r="62115" spans="7:7">
      <c r="G62115" s="812"/>
    </row>
    <row r="62116" spans="7:7">
      <c r="G62116" s="812"/>
    </row>
    <row r="62117" spans="7:7">
      <c r="G62117" s="812"/>
    </row>
    <row r="62118" spans="7:7">
      <c r="G62118" s="812"/>
    </row>
    <row r="62119" spans="7:7">
      <c r="G62119" s="812"/>
    </row>
    <row r="62120" spans="7:7">
      <c r="G62120" s="812"/>
    </row>
    <row r="62121" spans="7:7">
      <c r="G62121" s="812"/>
    </row>
    <row r="62122" spans="7:7">
      <c r="G62122" s="812"/>
    </row>
    <row r="62123" spans="7:7">
      <c r="G62123" s="812"/>
    </row>
    <row r="62124" spans="7:7">
      <c r="G62124" s="812"/>
    </row>
    <row r="62125" spans="7:7">
      <c r="G62125" s="812"/>
    </row>
    <row r="62126" spans="7:7">
      <c r="G62126" s="812"/>
    </row>
    <row r="62127" spans="7:7">
      <c r="G62127" s="812"/>
    </row>
    <row r="62128" spans="7:7">
      <c r="G62128" s="812"/>
    </row>
    <row r="62129" spans="7:7">
      <c r="G62129" s="812"/>
    </row>
    <row r="62130" spans="7:7">
      <c r="G62130" s="812"/>
    </row>
    <row r="62131" spans="7:7">
      <c r="G62131" s="812"/>
    </row>
    <row r="62132" spans="7:7">
      <c r="G62132" s="812"/>
    </row>
    <row r="62133" spans="7:7">
      <c r="G62133" s="812"/>
    </row>
    <row r="62134" spans="7:7">
      <c r="G62134" s="812"/>
    </row>
    <row r="62135" spans="7:7">
      <c r="G62135" s="812"/>
    </row>
    <row r="62136" spans="7:7">
      <c r="G62136" s="812"/>
    </row>
    <row r="62137" spans="7:7">
      <c r="G62137" s="812"/>
    </row>
    <row r="62138" spans="7:7">
      <c r="G62138" s="812"/>
    </row>
    <row r="62139" spans="7:7">
      <c r="G62139" s="812"/>
    </row>
    <row r="62140" spans="7:7">
      <c r="G62140" s="812"/>
    </row>
    <row r="62141" spans="7:7">
      <c r="G62141" s="812"/>
    </row>
    <row r="62142" spans="7:7">
      <c r="G62142" s="812"/>
    </row>
    <row r="62143" spans="7:7">
      <c r="G62143" s="812"/>
    </row>
    <row r="62144" spans="7:7">
      <c r="G62144" s="812"/>
    </row>
    <row r="62145" spans="7:7">
      <c r="G62145" s="812"/>
    </row>
    <row r="62146" spans="7:7">
      <c r="G62146" s="812"/>
    </row>
    <row r="62147" spans="7:7">
      <c r="G62147" s="812"/>
    </row>
    <row r="62148" spans="7:7">
      <c r="G62148" s="812"/>
    </row>
    <row r="62149" spans="7:7">
      <c r="G62149" s="812"/>
    </row>
    <row r="62150" spans="7:7">
      <c r="G62150" s="812"/>
    </row>
    <row r="62151" spans="7:7">
      <c r="G62151" s="812"/>
    </row>
    <row r="62152" spans="7:7">
      <c r="G62152" s="812"/>
    </row>
    <row r="62153" spans="7:7">
      <c r="G62153" s="812"/>
    </row>
    <row r="62154" spans="7:7">
      <c r="G62154" s="812"/>
    </row>
    <row r="62155" spans="7:7">
      <c r="G62155" s="812"/>
    </row>
    <row r="62156" spans="7:7">
      <c r="G62156" s="812"/>
    </row>
    <row r="62157" spans="7:7">
      <c r="G62157" s="812"/>
    </row>
    <row r="62158" spans="7:7">
      <c r="G62158" s="812"/>
    </row>
    <row r="62159" spans="7:7">
      <c r="G62159" s="812"/>
    </row>
    <row r="62160" spans="7:7">
      <c r="G62160" s="812"/>
    </row>
    <row r="62161" spans="7:7">
      <c r="G62161" s="812"/>
    </row>
    <row r="62162" spans="7:7">
      <c r="G62162" s="812"/>
    </row>
    <row r="62163" spans="7:7">
      <c r="G62163" s="812"/>
    </row>
    <row r="62164" spans="7:7">
      <c r="G62164" s="812"/>
    </row>
    <row r="62165" spans="7:7">
      <c r="G62165" s="812"/>
    </row>
    <row r="62166" spans="7:7">
      <c r="G62166" s="812"/>
    </row>
    <row r="62167" spans="7:7">
      <c r="G62167" s="812"/>
    </row>
    <row r="62168" spans="7:7">
      <c r="G62168" s="812"/>
    </row>
    <row r="62169" spans="7:7">
      <c r="G62169" s="812"/>
    </row>
    <row r="62170" spans="7:7">
      <c r="G62170" s="812"/>
    </row>
    <row r="62171" spans="7:7">
      <c r="G62171" s="812"/>
    </row>
    <row r="62172" spans="7:7">
      <c r="G62172" s="812"/>
    </row>
    <row r="62173" spans="7:7">
      <c r="G62173" s="812"/>
    </row>
    <row r="62174" spans="7:7">
      <c r="G62174" s="812"/>
    </row>
    <row r="62175" spans="7:7">
      <c r="G62175" s="812"/>
    </row>
    <row r="62176" spans="7:7">
      <c r="G62176" s="812"/>
    </row>
    <row r="62177" spans="7:7">
      <c r="G62177" s="812"/>
    </row>
    <row r="62178" spans="7:7">
      <c r="G62178" s="812"/>
    </row>
    <row r="62179" spans="7:7">
      <c r="G62179" s="812"/>
    </row>
    <row r="62180" spans="7:7">
      <c r="G62180" s="812"/>
    </row>
    <row r="62181" spans="7:7">
      <c r="G62181" s="812"/>
    </row>
    <row r="62182" spans="7:7">
      <c r="G62182" s="812"/>
    </row>
    <row r="62183" spans="7:7">
      <c r="G62183" s="812"/>
    </row>
    <row r="62184" spans="7:7">
      <c r="G62184" s="812"/>
    </row>
    <row r="62185" spans="7:7">
      <c r="G62185" s="812"/>
    </row>
    <row r="62186" spans="7:7">
      <c r="G62186" s="812"/>
    </row>
    <row r="62187" spans="7:7">
      <c r="G62187" s="812"/>
    </row>
    <row r="62188" spans="7:7">
      <c r="G62188" s="812"/>
    </row>
    <row r="62189" spans="7:7">
      <c r="G62189" s="812"/>
    </row>
    <row r="62190" spans="7:7">
      <c r="G62190" s="812"/>
    </row>
    <row r="62191" spans="7:7">
      <c r="G62191" s="812"/>
    </row>
    <row r="62192" spans="7:7">
      <c r="G62192" s="812"/>
    </row>
    <row r="62193" spans="7:7">
      <c r="G62193" s="812"/>
    </row>
    <row r="62194" spans="7:7">
      <c r="G62194" s="812"/>
    </row>
    <row r="62195" spans="7:7">
      <c r="G62195" s="812"/>
    </row>
    <row r="62196" spans="7:7">
      <c r="G62196" s="812"/>
    </row>
    <row r="62197" spans="7:7">
      <c r="G62197" s="812"/>
    </row>
    <row r="62198" spans="7:7">
      <c r="G62198" s="812"/>
    </row>
    <row r="62199" spans="7:7">
      <c r="G62199" s="812"/>
    </row>
    <row r="62200" spans="7:7">
      <c r="G62200" s="812"/>
    </row>
    <row r="62201" spans="7:7">
      <c r="G62201" s="812"/>
    </row>
    <row r="62202" spans="7:7">
      <c r="G62202" s="812"/>
    </row>
    <row r="62203" spans="7:7">
      <c r="G62203" s="812"/>
    </row>
    <row r="62204" spans="7:7">
      <c r="G62204" s="812"/>
    </row>
    <row r="62205" spans="7:7">
      <c r="G62205" s="812"/>
    </row>
    <row r="62206" spans="7:7">
      <c r="G62206" s="812"/>
    </row>
    <row r="62207" spans="7:7">
      <c r="G62207" s="812"/>
    </row>
    <row r="62208" spans="7:7">
      <c r="G62208" s="812"/>
    </row>
    <row r="62209" spans="7:7">
      <c r="G62209" s="812"/>
    </row>
    <row r="62210" spans="7:7">
      <c r="G62210" s="812"/>
    </row>
    <row r="62211" spans="7:7">
      <c r="G62211" s="812"/>
    </row>
    <row r="62212" spans="7:7">
      <c r="G62212" s="812"/>
    </row>
    <row r="62213" spans="7:7">
      <c r="G62213" s="812"/>
    </row>
    <row r="62214" spans="7:7">
      <c r="G62214" s="812"/>
    </row>
    <row r="62215" spans="7:7">
      <c r="G62215" s="812"/>
    </row>
    <row r="62216" spans="7:7">
      <c r="G62216" s="812"/>
    </row>
    <row r="62217" spans="7:7">
      <c r="G62217" s="812"/>
    </row>
    <row r="62218" spans="7:7">
      <c r="G62218" s="812"/>
    </row>
    <row r="62219" spans="7:7">
      <c r="G62219" s="812"/>
    </row>
    <row r="62220" spans="7:7">
      <c r="G62220" s="812"/>
    </row>
    <row r="62221" spans="7:7">
      <c r="G62221" s="812"/>
    </row>
    <row r="62222" spans="7:7">
      <c r="G62222" s="812"/>
    </row>
    <row r="62223" spans="7:7">
      <c r="G62223" s="812"/>
    </row>
    <row r="62224" spans="7:7">
      <c r="G62224" s="812"/>
    </row>
    <row r="62225" spans="7:7">
      <c r="G62225" s="812"/>
    </row>
    <row r="62226" spans="7:7">
      <c r="G62226" s="812"/>
    </row>
    <row r="62227" spans="7:7">
      <c r="G62227" s="812"/>
    </row>
    <row r="62228" spans="7:7">
      <c r="G62228" s="812"/>
    </row>
    <row r="62229" spans="7:7">
      <c r="G62229" s="812"/>
    </row>
    <row r="62230" spans="7:7">
      <c r="G62230" s="812"/>
    </row>
    <row r="62231" spans="7:7">
      <c r="G62231" s="812"/>
    </row>
    <row r="62232" spans="7:7">
      <c r="G62232" s="812"/>
    </row>
    <row r="62233" spans="7:7">
      <c r="G62233" s="812"/>
    </row>
    <row r="62234" spans="7:7">
      <c r="G62234" s="812"/>
    </row>
    <row r="62235" spans="7:7">
      <c r="G62235" s="812"/>
    </row>
    <row r="62236" spans="7:7">
      <c r="G62236" s="812"/>
    </row>
    <row r="62237" spans="7:7">
      <c r="G62237" s="812"/>
    </row>
    <row r="62238" spans="7:7">
      <c r="G62238" s="812"/>
    </row>
    <row r="62239" spans="7:7">
      <c r="G62239" s="812"/>
    </row>
    <row r="62240" spans="7:7">
      <c r="G62240" s="812"/>
    </row>
    <row r="62241" spans="7:7">
      <c r="G62241" s="812"/>
    </row>
    <row r="62242" spans="7:7">
      <c r="G62242" s="812"/>
    </row>
    <row r="62243" spans="7:7">
      <c r="G62243" s="812"/>
    </row>
    <row r="62244" spans="7:7">
      <c r="G62244" s="812"/>
    </row>
    <row r="62245" spans="7:7">
      <c r="G62245" s="812"/>
    </row>
    <row r="62246" spans="7:7">
      <c r="G62246" s="812"/>
    </row>
    <row r="62247" spans="7:7">
      <c r="G62247" s="812"/>
    </row>
    <row r="62248" spans="7:7">
      <c r="G62248" s="812"/>
    </row>
    <row r="62249" spans="7:7">
      <c r="G62249" s="812"/>
    </row>
    <row r="62250" spans="7:7">
      <c r="G62250" s="812"/>
    </row>
    <row r="62251" spans="7:7">
      <c r="G62251" s="812"/>
    </row>
    <row r="62252" spans="7:7">
      <c r="G62252" s="812"/>
    </row>
    <row r="62253" spans="7:7">
      <c r="G62253" s="812"/>
    </row>
    <row r="62254" spans="7:7">
      <c r="G62254" s="812"/>
    </row>
    <row r="62255" spans="7:7">
      <c r="G62255" s="812"/>
    </row>
    <row r="62256" spans="7:7">
      <c r="G62256" s="812"/>
    </row>
    <row r="62257" spans="7:7">
      <c r="G62257" s="812"/>
    </row>
    <row r="62258" spans="7:7">
      <c r="G62258" s="812"/>
    </row>
    <row r="62259" spans="7:7">
      <c r="G62259" s="812"/>
    </row>
    <row r="62260" spans="7:7">
      <c r="G62260" s="812"/>
    </row>
    <row r="62261" spans="7:7">
      <c r="G62261" s="812"/>
    </row>
    <row r="62262" spans="7:7">
      <c r="G62262" s="812"/>
    </row>
    <row r="62263" spans="7:7">
      <c r="G62263" s="812"/>
    </row>
    <row r="62264" spans="7:7">
      <c r="G62264" s="812"/>
    </row>
    <row r="62265" spans="7:7">
      <c r="G62265" s="812"/>
    </row>
    <row r="62266" spans="7:7">
      <c r="G62266" s="812"/>
    </row>
    <row r="62267" spans="7:7">
      <c r="G62267" s="812"/>
    </row>
    <row r="62268" spans="7:7">
      <c r="G62268" s="812"/>
    </row>
    <row r="62269" spans="7:7">
      <c r="G62269" s="812"/>
    </row>
    <row r="62270" spans="7:7">
      <c r="G62270" s="812"/>
    </row>
    <row r="62271" spans="7:7">
      <c r="G62271" s="812"/>
    </row>
    <row r="62272" spans="7:7">
      <c r="G62272" s="812"/>
    </row>
    <row r="62273" spans="7:7">
      <c r="G62273" s="812"/>
    </row>
    <row r="62274" spans="7:7">
      <c r="G62274" s="812"/>
    </row>
    <row r="62275" spans="7:7">
      <c r="G62275" s="812"/>
    </row>
    <row r="62276" spans="7:7">
      <c r="G62276" s="812"/>
    </row>
    <row r="62277" spans="7:7">
      <c r="G62277" s="812"/>
    </row>
    <row r="62278" spans="7:7">
      <c r="G62278" s="812"/>
    </row>
    <row r="62279" spans="7:7">
      <c r="G62279" s="812"/>
    </row>
    <row r="62280" spans="7:7">
      <c r="G62280" s="812"/>
    </row>
    <row r="62281" spans="7:7">
      <c r="G62281" s="812"/>
    </row>
    <row r="62282" spans="7:7">
      <c r="G62282" s="812"/>
    </row>
    <row r="62283" spans="7:7">
      <c r="G62283" s="812"/>
    </row>
    <row r="62284" spans="7:7">
      <c r="G62284" s="812"/>
    </row>
    <row r="62285" spans="7:7">
      <c r="G62285" s="812"/>
    </row>
    <row r="62286" spans="7:7">
      <c r="G62286" s="812"/>
    </row>
    <row r="62287" spans="7:7">
      <c r="G62287" s="812"/>
    </row>
    <row r="62288" spans="7:7">
      <c r="G62288" s="812"/>
    </row>
    <row r="62289" spans="7:7">
      <c r="G62289" s="812"/>
    </row>
    <row r="62290" spans="7:7">
      <c r="G62290" s="812"/>
    </row>
    <row r="62291" spans="7:7">
      <c r="G62291" s="812"/>
    </row>
    <row r="62292" spans="7:7">
      <c r="G62292" s="812"/>
    </row>
    <row r="62293" spans="7:7">
      <c r="G62293" s="812"/>
    </row>
    <row r="62294" spans="7:7">
      <c r="G62294" s="812"/>
    </row>
    <row r="62295" spans="7:7">
      <c r="G62295" s="812"/>
    </row>
    <row r="62296" spans="7:7">
      <c r="G62296" s="812"/>
    </row>
    <row r="62297" spans="7:7">
      <c r="G62297" s="812"/>
    </row>
    <row r="62298" spans="7:7">
      <c r="G62298" s="812"/>
    </row>
    <row r="62299" spans="7:7">
      <c r="G62299" s="812"/>
    </row>
    <row r="62300" spans="7:7">
      <c r="G62300" s="812"/>
    </row>
    <row r="62301" spans="7:7">
      <c r="G62301" s="812"/>
    </row>
    <row r="62302" spans="7:7">
      <c r="G62302" s="812"/>
    </row>
    <row r="62303" spans="7:7">
      <c r="G62303" s="812"/>
    </row>
    <row r="62304" spans="7:7">
      <c r="G62304" s="812"/>
    </row>
    <row r="62305" spans="7:7">
      <c r="G62305" s="812"/>
    </row>
    <row r="62306" spans="7:7">
      <c r="G62306" s="812"/>
    </row>
    <row r="62307" spans="7:7">
      <c r="G62307" s="812"/>
    </row>
    <row r="62308" spans="7:7">
      <c r="G62308" s="812"/>
    </row>
    <row r="62309" spans="7:7">
      <c r="G62309" s="812"/>
    </row>
    <row r="62310" spans="7:7">
      <c r="G62310" s="812"/>
    </row>
    <row r="62311" spans="7:7">
      <c r="G62311" s="812"/>
    </row>
    <row r="62312" spans="7:7">
      <c r="G62312" s="812"/>
    </row>
    <row r="62313" spans="7:7">
      <c r="G62313" s="812"/>
    </row>
    <row r="62314" spans="7:7">
      <c r="G62314" s="812"/>
    </row>
    <row r="62315" spans="7:7">
      <c r="G62315" s="812"/>
    </row>
    <row r="62316" spans="7:7">
      <c r="G62316" s="812"/>
    </row>
    <row r="62317" spans="7:7">
      <c r="G62317" s="812"/>
    </row>
    <row r="62318" spans="7:7">
      <c r="G62318" s="812"/>
    </row>
    <row r="62319" spans="7:7">
      <c r="G62319" s="812"/>
    </row>
    <row r="62320" spans="7:7">
      <c r="G62320" s="812"/>
    </row>
    <row r="62321" spans="7:7">
      <c r="G62321" s="812"/>
    </row>
    <row r="62322" spans="7:7">
      <c r="G62322" s="812"/>
    </row>
    <row r="62323" spans="7:7">
      <c r="G62323" s="812"/>
    </row>
    <row r="62324" spans="7:7">
      <c r="G62324" s="812"/>
    </row>
    <row r="62325" spans="7:7">
      <c r="G62325" s="812"/>
    </row>
    <row r="62326" spans="7:7">
      <c r="G62326" s="812"/>
    </row>
    <row r="62327" spans="7:7">
      <c r="G62327" s="812"/>
    </row>
    <row r="62328" spans="7:7">
      <c r="G62328" s="812"/>
    </row>
    <row r="62329" spans="7:7">
      <c r="G62329" s="812"/>
    </row>
    <row r="62330" spans="7:7">
      <c r="G62330" s="812"/>
    </row>
    <row r="62331" spans="7:7">
      <c r="G62331" s="812"/>
    </row>
    <row r="62332" spans="7:7">
      <c r="G62332" s="812"/>
    </row>
    <row r="62333" spans="7:7">
      <c r="G62333" s="812"/>
    </row>
    <row r="62334" spans="7:7">
      <c r="G62334" s="812"/>
    </row>
    <row r="62335" spans="7:7">
      <c r="G62335" s="812"/>
    </row>
    <row r="62336" spans="7:7">
      <c r="G62336" s="812"/>
    </row>
    <row r="62337" spans="7:7">
      <c r="G62337" s="812"/>
    </row>
    <row r="62338" spans="7:7">
      <c r="G62338" s="812"/>
    </row>
    <row r="62339" spans="7:7">
      <c r="G62339" s="812"/>
    </row>
    <row r="62340" spans="7:7">
      <c r="G62340" s="812"/>
    </row>
    <row r="62341" spans="7:7">
      <c r="G62341" s="812"/>
    </row>
    <row r="62342" spans="7:7">
      <c r="G62342" s="812"/>
    </row>
    <row r="62343" spans="7:7">
      <c r="G62343" s="812"/>
    </row>
    <row r="62344" spans="7:7">
      <c r="G62344" s="812"/>
    </row>
    <row r="62345" spans="7:7">
      <c r="G62345" s="812"/>
    </row>
    <row r="62346" spans="7:7">
      <c r="G62346" s="812"/>
    </row>
    <row r="62347" spans="7:7">
      <c r="G62347" s="812"/>
    </row>
    <row r="62348" spans="7:7">
      <c r="G62348" s="812"/>
    </row>
    <row r="62349" spans="7:7">
      <c r="G62349" s="812"/>
    </row>
    <row r="62350" spans="7:7">
      <c r="G62350" s="812"/>
    </row>
    <row r="62351" spans="7:7">
      <c r="G62351" s="812"/>
    </row>
    <row r="62352" spans="7:7">
      <c r="G62352" s="812"/>
    </row>
    <row r="62353" spans="7:7">
      <c r="G62353" s="812"/>
    </row>
    <row r="62354" spans="7:7">
      <c r="G62354" s="812"/>
    </row>
    <row r="62355" spans="7:7">
      <c r="G62355" s="812"/>
    </row>
    <row r="62356" spans="7:7">
      <c r="G62356" s="812"/>
    </row>
    <row r="62357" spans="7:7">
      <c r="G62357" s="812"/>
    </row>
    <row r="62358" spans="7:7">
      <c r="G62358" s="812"/>
    </row>
    <row r="62359" spans="7:7">
      <c r="G62359" s="812"/>
    </row>
    <row r="62360" spans="7:7">
      <c r="G62360" s="812"/>
    </row>
    <row r="62361" spans="7:7">
      <c r="G62361" s="812"/>
    </row>
    <row r="62362" spans="7:7">
      <c r="G62362" s="812"/>
    </row>
    <row r="62363" spans="7:7">
      <c r="G62363" s="812"/>
    </row>
    <row r="62364" spans="7:7">
      <c r="G62364" s="812"/>
    </row>
    <row r="62365" spans="7:7">
      <c r="G62365" s="812"/>
    </row>
    <row r="62366" spans="7:7">
      <c r="G62366" s="812"/>
    </row>
    <row r="62367" spans="7:7">
      <c r="G62367" s="812"/>
    </row>
    <row r="62368" spans="7:7">
      <c r="G62368" s="812"/>
    </row>
    <row r="62369" spans="7:7">
      <c r="G62369" s="812"/>
    </row>
    <row r="62370" spans="7:7">
      <c r="G62370" s="812"/>
    </row>
    <row r="62371" spans="7:7">
      <c r="G62371" s="812"/>
    </row>
    <row r="62372" spans="7:7">
      <c r="G62372" s="812"/>
    </row>
    <row r="62373" spans="7:7">
      <c r="G62373" s="812"/>
    </row>
    <row r="62374" spans="7:7">
      <c r="G62374" s="812"/>
    </row>
    <row r="62375" spans="7:7">
      <c r="G62375" s="812"/>
    </row>
    <row r="62376" spans="7:7">
      <c r="G62376" s="812"/>
    </row>
    <row r="62377" spans="7:7">
      <c r="G62377" s="812"/>
    </row>
    <row r="62378" spans="7:7">
      <c r="G62378" s="812"/>
    </row>
    <row r="62379" spans="7:7">
      <c r="G62379" s="812"/>
    </row>
    <row r="62380" spans="7:7">
      <c r="G62380" s="812"/>
    </row>
    <row r="62381" spans="7:7">
      <c r="G62381" s="812"/>
    </row>
    <row r="62382" spans="7:7">
      <c r="G62382" s="812"/>
    </row>
    <row r="62383" spans="7:7">
      <c r="G62383" s="812"/>
    </row>
    <row r="62384" spans="7:7">
      <c r="G62384" s="812"/>
    </row>
    <row r="62385" spans="7:7">
      <c r="G62385" s="812"/>
    </row>
    <row r="62386" spans="7:7">
      <c r="G62386" s="812"/>
    </row>
    <row r="62387" spans="7:7">
      <c r="G62387" s="812"/>
    </row>
    <row r="62388" spans="7:7">
      <c r="G62388" s="812"/>
    </row>
    <row r="62389" spans="7:7">
      <c r="G62389" s="812"/>
    </row>
    <row r="62390" spans="7:7">
      <c r="G62390" s="812"/>
    </row>
    <row r="62391" spans="7:7">
      <c r="G62391" s="812"/>
    </row>
    <row r="62392" spans="7:7">
      <c r="G62392" s="812"/>
    </row>
    <row r="62393" spans="7:7">
      <c r="G62393" s="812"/>
    </row>
    <row r="62394" spans="7:7">
      <c r="G62394" s="812"/>
    </row>
    <row r="62395" spans="7:7">
      <c r="G62395" s="812"/>
    </row>
    <row r="62396" spans="7:7">
      <c r="G62396" s="812"/>
    </row>
    <row r="62397" spans="7:7">
      <c r="G62397" s="812"/>
    </row>
    <row r="62398" spans="7:7">
      <c r="G62398" s="812"/>
    </row>
    <row r="62399" spans="7:7">
      <c r="G62399" s="812"/>
    </row>
    <row r="62400" spans="7:7">
      <c r="G62400" s="812"/>
    </row>
    <row r="62401" spans="7:7">
      <c r="G62401" s="812"/>
    </row>
    <row r="62402" spans="7:7">
      <c r="G62402" s="812"/>
    </row>
    <row r="62403" spans="7:7">
      <c r="G62403" s="812"/>
    </row>
    <row r="62404" spans="7:7">
      <c r="G62404" s="812"/>
    </row>
    <row r="62405" spans="7:7">
      <c r="G62405" s="812"/>
    </row>
    <row r="62406" spans="7:7">
      <c r="G62406" s="812"/>
    </row>
    <row r="62407" spans="7:7">
      <c r="G62407" s="812"/>
    </row>
    <row r="62408" spans="7:7">
      <c r="G62408" s="812"/>
    </row>
    <row r="62409" spans="7:7">
      <c r="G62409" s="812"/>
    </row>
    <row r="62410" spans="7:7">
      <c r="G62410" s="812"/>
    </row>
    <row r="62411" spans="7:7">
      <c r="G62411" s="812"/>
    </row>
    <row r="62412" spans="7:7">
      <c r="G62412" s="812"/>
    </row>
    <row r="62413" spans="7:7">
      <c r="G62413" s="812"/>
    </row>
    <row r="62414" spans="7:7">
      <c r="G62414" s="812"/>
    </row>
    <row r="62415" spans="7:7">
      <c r="G62415" s="812"/>
    </row>
    <row r="62416" spans="7:7">
      <c r="G62416" s="812"/>
    </row>
    <row r="62417" spans="7:7">
      <c r="G62417" s="812"/>
    </row>
    <row r="62418" spans="7:7">
      <c r="G62418" s="812"/>
    </row>
    <row r="62419" spans="7:7">
      <c r="G62419" s="812"/>
    </row>
    <row r="62420" spans="7:7">
      <c r="G62420" s="812"/>
    </row>
    <row r="62421" spans="7:7">
      <c r="G62421" s="812"/>
    </row>
    <row r="62422" spans="7:7">
      <c r="G62422" s="812"/>
    </row>
    <row r="62423" spans="7:7">
      <c r="G62423" s="812"/>
    </row>
    <row r="62424" spans="7:7">
      <c r="G62424" s="812"/>
    </row>
    <row r="62425" spans="7:7">
      <c r="G62425" s="812"/>
    </row>
    <row r="62426" spans="7:7">
      <c r="G62426" s="812"/>
    </row>
    <row r="62427" spans="7:7">
      <c r="G62427" s="812"/>
    </row>
    <row r="62428" spans="7:7">
      <c r="G62428" s="812"/>
    </row>
    <row r="62429" spans="7:7">
      <c r="G62429" s="812"/>
    </row>
    <row r="62430" spans="7:7">
      <c r="G62430" s="812"/>
    </row>
    <row r="62431" spans="7:7">
      <c r="G62431" s="812"/>
    </row>
    <row r="62432" spans="7:7">
      <c r="G62432" s="812"/>
    </row>
    <row r="62433" spans="7:7">
      <c r="G62433" s="812"/>
    </row>
    <row r="62434" spans="7:7">
      <c r="G62434" s="812"/>
    </row>
    <row r="62435" spans="7:7">
      <c r="G62435" s="812"/>
    </row>
    <row r="62436" spans="7:7">
      <c r="G62436" s="812"/>
    </row>
    <row r="62437" spans="7:7">
      <c r="G62437" s="812"/>
    </row>
    <row r="62438" spans="7:7">
      <c r="G62438" s="812"/>
    </row>
    <row r="62439" spans="7:7">
      <c r="G62439" s="812"/>
    </row>
    <row r="62440" spans="7:7">
      <c r="G62440" s="812"/>
    </row>
    <row r="62441" spans="7:7">
      <c r="G62441" s="812"/>
    </row>
    <row r="62442" spans="7:7">
      <c r="G62442" s="812"/>
    </row>
    <row r="62443" spans="7:7">
      <c r="G62443" s="812"/>
    </row>
    <row r="62444" spans="7:7">
      <c r="G62444" s="812"/>
    </row>
    <row r="62445" spans="7:7">
      <c r="G62445" s="812"/>
    </row>
    <row r="62446" spans="7:7">
      <c r="G62446" s="812"/>
    </row>
    <row r="62447" spans="7:7">
      <c r="G62447" s="812"/>
    </row>
    <row r="62448" spans="7:7">
      <c r="G62448" s="812"/>
    </row>
    <row r="62449" spans="7:7">
      <c r="G62449" s="812"/>
    </row>
    <row r="62450" spans="7:7">
      <c r="G62450" s="812"/>
    </row>
    <row r="62451" spans="7:7">
      <c r="G62451" s="812"/>
    </row>
    <row r="62452" spans="7:7">
      <c r="G62452" s="812"/>
    </row>
    <row r="62453" spans="7:7">
      <c r="G62453" s="812"/>
    </row>
    <row r="62454" spans="7:7">
      <c r="G62454" s="812"/>
    </row>
    <row r="62455" spans="7:7">
      <c r="G62455" s="812"/>
    </row>
    <row r="62456" spans="7:7">
      <c r="G62456" s="812"/>
    </row>
    <row r="62457" spans="7:7">
      <c r="G62457" s="812"/>
    </row>
    <row r="62458" spans="7:7">
      <c r="G62458" s="812"/>
    </row>
    <row r="62459" spans="7:7">
      <c r="G62459" s="812"/>
    </row>
    <row r="62460" spans="7:7">
      <c r="G62460" s="812"/>
    </row>
    <row r="62461" spans="7:7">
      <c r="G62461" s="812"/>
    </row>
    <row r="62462" spans="7:7">
      <c r="G62462" s="812"/>
    </row>
    <row r="62463" spans="7:7">
      <c r="G62463" s="812"/>
    </row>
    <row r="62464" spans="7:7">
      <c r="G62464" s="812"/>
    </row>
    <row r="62465" spans="7:7">
      <c r="G62465" s="812"/>
    </row>
    <row r="62466" spans="7:7">
      <c r="G62466" s="812"/>
    </row>
    <row r="62467" spans="7:7">
      <c r="G62467" s="812"/>
    </row>
    <row r="62468" spans="7:7">
      <c r="G62468" s="812"/>
    </row>
    <row r="62469" spans="7:7">
      <c r="G62469" s="812"/>
    </row>
    <row r="62470" spans="7:7">
      <c r="G62470" s="812"/>
    </row>
    <row r="62471" spans="7:7">
      <c r="G62471" s="812"/>
    </row>
    <row r="62472" spans="7:7">
      <c r="G62472" s="812"/>
    </row>
    <row r="62473" spans="7:7">
      <c r="G62473" s="812"/>
    </row>
    <row r="62474" spans="7:7">
      <c r="G62474" s="812"/>
    </row>
    <row r="62475" spans="7:7">
      <c r="G62475" s="812"/>
    </row>
    <row r="62476" spans="7:7">
      <c r="G62476" s="812"/>
    </row>
    <row r="62477" spans="7:7">
      <c r="G62477" s="812"/>
    </row>
    <row r="62478" spans="7:7">
      <c r="G62478" s="812"/>
    </row>
    <row r="62479" spans="7:7">
      <c r="G62479" s="812"/>
    </row>
    <row r="62480" spans="7:7">
      <c r="G62480" s="812"/>
    </row>
    <row r="62481" spans="7:7">
      <c r="G62481" s="812"/>
    </row>
    <row r="62482" spans="7:7">
      <c r="G62482" s="812"/>
    </row>
    <row r="62483" spans="7:7">
      <c r="G62483" s="812"/>
    </row>
    <row r="62484" spans="7:7">
      <c r="G62484" s="812"/>
    </row>
    <row r="62485" spans="7:7">
      <c r="G62485" s="812"/>
    </row>
    <row r="62486" spans="7:7">
      <c r="G62486" s="812"/>
    </row>
    <row r="62487" spans="7:7">
      <c r="G62487" s="812"/>
    </row>
    <row r="62488" spans="7:7">
      <c r="G62488" s="812"/>
    </row>
    <row r="62489" spans="7:7">
      <c r="G62489" s="812"/>
    </row>
    <row r="62490" spans="7:7">
      <c r="G62490" s="812"/>
    </row>
    <row r="62491" spans="7:7">
      <c r="G62491" s="812"/>
    </row>
    <row r="62492" spans="7:7">
      <c r="G62492" s="812"/>
    </row>
    <row r="62493" spans="7:7">
      <c r="G62493" s="812"/>
    </row>
    <row r="62494" spans="7:7">
      <c r="G62494" s="812"/>
    </row>
    <row r="62495" spans="7:7">
      <c r="G62495" s="812"/>
    </row>
    <row r="62496" spans="7:7">
      <c r="G62496" s="812"/>
    </row>
    <row r="62497" spans="7:7">
      <c r="G62497" s="812"/>
    </row>
    <row r="62498" spans="7:7">
      <c r="G62498" s="812"/>
    </row>
    <row r="62499" spans="7:7">
      <c r="G62499" s="812"/>
    </row>
    <row r="62500" spans="7:7">
      <c r="G62500" s="812"/>
    </row>
    <row r="62501" spans="7:7">
      <c r="G62501" s="812"/>
    </row>
    <row r="62502" spans="7:7">
      <c r="G62502" s="812"/>
    </row>
    <row r="62503" spans="7:7">
      <c r="G62503" s="812"/>
    </row>
    <row r="62504" spans="7:7">
      <c r="G62504" s="812"/>
    </row>
    <row r="62505" spans="7:7">
      <c r="G62505" s="812"/>
    </row>
    <row r="62506" spans="7:7">
      <c r="G62506" s="812"/>
    </row>
    <row r="62507" spans="7:7">
      <c r="G62507" s="812"/>
    </row>
    <row r="62508" spans="7:7">
      <c r="G62508" s="812"/>
    </row>
    <row r="62509" spans="7:7">
      <c r="G62509" s="812"/>
    </row>
    <row r="62510" spans="7:7">
      <c r="G62510" s="812"/>
    </row>
    <row r="62511" spans="7:7">
      <c r="G62511" s="812"/>
    </row>
    <row r="62512" spans="7:7">
      <c r="G62512" s="812"/>
    </row>
    <row r="62513" spans="7:7">
      <c r="G62513" s="812"/>
    </row>
    <row r="62514" spans="7:7">
      <c r="G62514" s="812"/>
    </row>
    <row r="62515" spans="7:7">
      <c r="G62515" s="812"/>
    </row>
    <row r="62516" spans="7:7">
      <c r="G62516" s="812"/>
    </row>
    <row r="62517" spans="7:7">
      <c r="G62517" s="812"/>
    </row>
    <row r="62518" spans="7:7">
      <c r="G62518" s="812"/>
    </row>
    <row r="62519" spans="7:7">
      <c r="G62519" s="812"/>
    </row>
    <row r="62520" spans="7:7">
      <c r="G62520" s="812"/>
    </row>
    <row r="62521" spans="7:7">
      <c r="G62521" s="812"/>
    </row>
    <row r="62522" spans="7:7">
      <c r="G62522" s="812"/>
    </row>
    <row r="62523" spans="7:7">
      <c r="G62523" s="812"/>
    </row>
    <row r="62524" spans="7:7">
      <c r="G62524" s="812"/>
    </row>
    <row r="62525" spans="7:7">
      <c r="G62525" s="812"/>
    </row>
    <row r="62526" spans="7:7">
      <c r="G62526" s="812"/>
    </row>
    <row r="62527" spans="7:7">
      <c r="G62527" s="812"/>
    </row>
    <row r="62528" spans="7:7">
      <c r="G62528" s="812"/>
    </row>
    <row r="62529" spans="7:7">
      <c r="G62529" s="812"/>
    </row>
    <row r="62530" spans="7:7">
      <c r="G62530" s="812"/>
    </row>
    <row r="62531" spans="7:7">
      <c r="G62531" s="812"/>
    </row>
    <row r="62532" spans="7:7">
      <c r="G62532" s="812"/>
    </row>
    <row r="62533" spans="7:7">
      <c r="G62533" s="812"/>
    </row>
    <row r="62534" spans="7:7">
      <c r="G62534" s="812"/>
    </row>
    <row r="62535" spans="7:7">
      <c r="G62535" s="812"/>
    </row>
    <row r="62536" spans="7:7">
      <c r="G62536" s="812"/>
    </row>
    <row r="62537" spans="7:7">
      <c r="G62537" s="812"/>
    </row>
    <row r="62538" spans="7:7">
      <c r="G62538" s="812"/>
    </row>
    <row r="62539" spans="7:7">
      <c r="G62539" s="812"/>
    </row>
    <row r="62540" spans="7:7">
      <c r="G62540" s="812"/>
    </row>
    <row r="62541" spans="7:7">
      <c r="G62541" s="812"/>
    </row>
    <row r="62542" spans="7:7">
      <c r="G62542" s="812"/>
    </row>
    <row r="62543" spans="7:7">
      <c r="G62543" s="812"/>
    </row>
    <row r="62544" spans="7:7">
      <c r="G62544" s="812"/>
    </row>
    <row r="62545" spans="7:7">
      <c r="G62545" s="812"/>
    </row>
    <row r="62546" spans="7:7">
      <c r="G62546" s="812"/>
    </row>
    <row r="62547" spans="7:7">
      <c r="G62547" s="812"/>
    </row>
    <row r="62548" spans="7:7">
      <c r="G62548" s="812"/>
    </row>
    <row r="62549" spans="7:7">
      <c r="G62549" s="812"/>
    </row>
    <row r="62550" spans="7:7">
      <c r="G62550" s="812"/>
    </row>
    <row r="62551" spans="7:7">
      <c r="G62551" s="812"/>
    </row>
    <row r="62552" spans="7:7">
      <c r="G62552" s="812"/>
    </row>
    <row r="62553" spans="7:7">
      <c r="G62553" s="812"/>
    </row>
    <row r="62554" spans="7:7">
      <c r="G62554" s="812"/>
    </row>
    <row r="62555" spans="7:7">
      <c r="G62555" s="812"/>
    </row>
    <row r="62556" spans="7:7">
      <c r="G62556" s="812"/>
    </row>
    <row r="62557" spans="7:7">
      <c r="G62557" s="812"/>
    </row>
    <row r="62558" spans="7:7">
      <c r="G62558" s="812"/>
    </row>
    <row r="62559" spans="7:7">
      <c r="G62559" s="812"/>
    </row>
    <row r="62560" spans="7:7">
      <c r="G62560" s="812"/>
    </row>
    <row r="62561" spans="7:7">
      <c r="G62561" s="812"/>
    </row>
    <row r="62562" spans="7:7">
      <c r="G62562" s="812"/>
    </row>
    <row r="62563" spans="7:7">
      <c r="G62563" s="812"/>
    </row>
    <row r="62564" spans="7:7">
      <c r="G62564" s="812"/>
    </row>
    <row r="62565" spans="7:7">
      <c r="G62565" s="812"/>
    </row>
    <row r="62566" spans="7:7">
      <c r="G62566" s="812"/>
    </row>
    <row r="62567" spans="7:7">
      <c r="G62567" s="812"/>
    </row>
    <row r="62568" spans="7:7">
      <c r="G62568" s="812"/>
    </row>
    <row r="62569" spans="7:7">
      <c r="G62569" s="812"/>
    </row>
    <row r="62570" spans="7:7">
      <c r="G62570" s="812"/>
    </row>
    <row r="62571" spans="7:7">
      <c r="G62571" s="812"/>
    </row>
    <row r="62572" spans="7:7">
      <c r="G62572" s="812"/>
    </row>
    <row r="62573" spans="7:7">
      <c r="G62573" s="812"/>
    </row>
    <row r="62574" spans="7:7">
      <c r="G62574" s="812"/>
    </row>
    <row r="62575" spans="7:7">
      <c r="G62575" s="812"/>
    </row>
    <row r="62576" spans="7:7">
      <c r="G62576" s="812"/>
    </row>
    <row r="62577" spans="7:7">
      <c r="G62577" s="812"/>
    </row>
    <row r="62578" spans="7:7">
      <c r="G62578" s="812"/>
    </row>
    <row r="62579" spans="7:7">
      <c r="G62579" s="812"/>
    </row>
    <row r="62580" spans="7:7">
      <c r="G62580" s="812"/>
    </row>
    <row r="62581" spans="7:7">
      <c r="G62581" s="812"/>
    </row>
    <row r="62582" spans="7:7">
      <c r="G62582" s="812"/>
    </row>
    <row r="62583" spans="7:7">
      <c r="G62583" s="812"/>
    </row>
    <row r="62584" spans="7:7">
      <c r="G62584" s="812"/>
    </row>
    <row r="62585" spans="7:7">
      <c r="G62585" s="812"/>
    </row>
    <row r="62586" spans="7:7">
      <c r="G62586" s="812"/>
    </row>
    <row r="62587" spans="7:7">
      <c r="G62587" s="812"/>
    </row>
    <row r="62588" spans="7:7">
      <c r="G62588" s="812"/>
    </row>
    <row r="62589" spans="7:7">
      <c r="G62589" s="812"/>
    </row>
    <row r="62590" spans="7:7">
      <c r="G62590" s="812"/>
    </row>
    <row r="62591" spans="7:7">
      <c r="G62591" s="812"/>
    </row>
    <row r="62592" spans="7:7">
      <c r="G62592" s="812"/>
    </row>
    <row r="62593" spans="7:7">
      <c r="G62593" s="812"/>
    </row>
    <row r="62594" spans="7:7">
      <c r="G62594" s="812"/>
    </row>
    <row r="62595" spans="7:7">
      <c r="G62595" s="812"/>
    </row>
    <row r="62596" spans="7:7">
      <c r="G62596" s="812"/>
    </row>
    <row r="62597" spans="7:7">
      <c r="G62597" s="812"/>
    </row>
    <row r="62598" spans="7:7">
      <c r="G62598" s="812"/>
    </row>
    <row r="62599" spans="7:7">
      <c r="G62599" s="812"/>
    </row>
    <row r="62600" spans="7:7">
      <c r="G62600" s="812"/>
    </row>
    <row r="62601" spans="7:7">
      <c r="G62601" s="812"/>
    </row>
    <row r="62602" spans="7:7">
      <c r="G62602" s="812"/>
    </row>
    <row r="62603" spans="7:7">
      <c r="G62603" s="812"/>
    </row>
    <row r="62604" spans="7:7">
      <c r="G62604" s="812"/>
    </row>
    <row r="62605" spans="7:7">
      <c r="G62605" s="812"/>
    </row>
    <row r="62606" spans="7:7">
      <c r="G62606" s="812"/>
    </row>
    <row r="62607" spans="7:7">
      <c r="G62607" s="812"/>
    </row>
    <row r="62608" spans="7:7">
      <c r="G62608" s="812"/>
    </row>
    <row r="62609" spans="7:7">
      <c r="G62609" s="812"/>
    </row>
    <row r="62610" spans="7:7">
      <c r="G62610" s="812"/>
    </row>
    <row r="62611" spans="7:7">
      <c r="G62611" s="812"/>
    </row>
    <row r="62612" spans="7:7">
      <c r="G62612" s="812"/>
    </row>
    <row r="62613" spans="7:7">
      <c r="G62613" s="812"/>
    </row>
    <row r="62614" spans="7:7">
      <c r="G62614" s="812"/>
    </row>
    <row r="62615" spans="7:7">
      <c r="G62615" s="812"/>
    </row>
    <row r="62616" spans="7:7">
      <c r="G62616" s="812"/>
    </row>
    <row r="62617" spans="7:7">
      <c r="G62617" s="812"/>
    </row>
    <row r="62618" spans="7:7">
      <c r="G62618" s="812"/>
    </row>
    <row r="62619" spans="7:7">
      <c r="G62619" s="812"/>
    </row>
    <row r="62620" spans="7:7">
      <c r="G62620" s="812"/>
    </row>
    <row r="62621" spans="7:7">
      <c r="G62621" s="812"/>
    </row>
    <row r="62622" spans="7:7">
      <c r="G62622" s="812"/>
    </row>
    <row r="62623" spans="7:7">
      <c r="G62623" s="812"/>
    </row>
    <row r="62624" spans="7:7">
      <c r="G62624" s="812"/>
    </row>
    <row r="62625" spans="7:7">
      <c r="G62625" s="812"/>
    </row>
    <row r="62626" spans="7:7">
      <c r="G62626" s="812"/>
    </row>
    <row r="62627" spans="7:7">
      <c r="G62627" s="812"/>
    </row>
    <row r="62628" spans="7:7">
      <c r="G62628" s="812"/>
    </row>
    <row r="62629" spans="7:7">
      <c r="G62629" s="812"/>
    </row>
    <row r="62630" spans="7:7">
      <c r="G62630" s="812"/>
    </row>
    <row r="62631" spans="7:7">
      <c r="G62631" s="812"/>
    </row>
    <row r="62632" spans="7:7">
      <c r="G62632" s="812"/>
    </row>
    <row r="62633" spans="7:7">
      <c r="G62633" s="812"/>
    </row>
    <row r="62634" spans="7:7">
      <c r="G62634" s="812"/>
    </row>
    <row r="62635" spans="7:7">
      <c r="G62635" s="812"/>
    </row>
    <row r="62636" spans="7:7">
      <c r="G62636" s="812"/>
    </row>
    <row r="62637" spans="7:7">
      <c r="G62637" s="812"/>
    </row>
    <row r="62638" spans="7:7">
      <c r="G62638" s="812"/>
    </row>
    <row r="62639" spans="7:7">
      <c r="G62639" s="812"/>
    </row>
    <row r="62640" spans="7:7">
      <c r="G62640" s="812"/>
    </row>
    <row r="62641" spans="7:7">
      <c r="G62641" s="812"/>
    </row>
    <row r="62642" spans="7:7">
      <c r="G62642" s="812"/>
    </row>
    <row r="62643" spans="7:7">
      <c r="G62643" s="812"/>
    </row>
    <row r="62644" spans="7:7">
      <c r="G62644" s="812"/>
    </row>
    <row r="62645" spans="7:7">
      <c r="G62645" s="812"/>
    </row>
    <row r="62646" spans="7:7">
      <c r="G62646" s="812"/>
    </row>
    <row r="62647" spans="7:7">
      <c r="G62647" s="812"/>
    </row>
    <row r="62648" spans="7:7">
      <c r="G62648" s="812"/>
    </row>
    <row r="62649" spans="7:7">
      <c r="G62649" s="812"/>
    </row>
    <row r="62650" spans="7:7">
      <c r="G62650" s="812"/>
    </row>
    <row r="62651" spans="7:7">
      <c r="G62651" s="812"/>
    </row>
    <row r="62652" spans="7:7">
      <c r="G62652" s="812"/>
    </row>
    <row r="62653" spans="7:7">
      <c r="G62653" s="812"/>
    </row>
    <row r="62654" spans="7:7">
      <c r="G62654" s="812"/>
    </row>
    <row r="62655" spans="7:7">
      <c r="G62655" s="812"/>
    </row>
    <row r="62656" spans="7:7">
      <c r="G62656" s="812"/>
    </row>
    <row r="62657" spans="7:7">
      <c r="G62657" s="812"/>
    </row>
    <row r="62658" spans="7:7">
      <c r="G62658" s="812"/>
    </row>
    <row r="62659" spans="7:7">
      <c r="G62659" s="812"/>
    </row>
    <row r="62660" spans="7:7">
      <c r="G62660" s="812"/>
    </row>
    <row r="62661" spans="7:7">
      <c r="G62661" s="812"/>
    </row>
    <row r="62662" spans="7:7">
      <c r="G62662" s="812"/>
    </row>
    <row r="62663" spans="7:7">
      <c r="G62663" s="812"/>
    </row>
    <row r="62664" spans="7:7">
      <c r="G62664" s="812"/>
    </row>
    <row r="62665" spans="7:7">
      <c r="G62665" s="812"/>
    </row>
    <row r="62666" spans="7:7">
      <c r="G62666" s="812"/>
    </row>
    <row r="62667" spans="7:7">
      <c r="G62667" s="812"/>
    </row>
    <row r="62668" spans="7:7">
      <c r="G62668" s="812"/>
    </row>
    <row r="62669" spans="7:7">
      <c r="G62669" s="812"/>
    </row>
    <row r="62670" spans="7:7">
      <c r="G62670" s="812"/>
    </row>
    <row r="62671" spans="7:7">
      <c r="G62671" s="812"/>
    </row>
    <row r="62672" spans="7:7">
      <c r="G62672" s="812"/>
    </row>
    <row r="62673" spans="7:7">
      <c r="G62673" s="812"/>
    </row>
    <row r="62674" spans="7:7">
      <c r="G62674" s="812"/>
    </row>
    <row r="62675" spans="7:7">
      <c r="G62675" s="812"/>
    </row>
    <row r="62676" spans="7:7">
      <c r="G62676" s="812"/>
    </row>
    <row r="62677" spans="7:7">
      <c r="G62677" s="812"/>
    </row>
    <row r="62678" spans="7:7">
      <c r="G62678" s="812"/>
    </row>
    <row r="62679" spans="7:7">
      <c r="G62679" s="812"/>
    </row>
    <row r="62680" spans="7:7">
      <c r="G62680" s="812"/>
    </row>
    <row r="62681" spans="7:7">
      <c r="G62681" s="812"/>
    </row>
    <row r="62682" spans="7:7">
      <c r="G62682" s="812"/>
    </row>
    <row r="62683" spans="7:7">
      <c r="G62683" s="812"/>
    </row>
    <row r="62684" spans="7:7">
      <c r="G62684" s="812"/>
    </row>
    <row r="62685" spans="7:7">
      <c r="G62685" s="812"/>
    </row>
    <row r="62686" spans="7:7">
      <c r="G62686" s="812"/>
    </row>
    <row r="62687" spans="7:7">
      <c r="G62687" s="812"/>
    </row>
    <row r="62688" spans="7:7">
      <c r="G62688" s="812"/>
    </row>
    <row r="62689" spans="7:7">
      <c r="G62689" s="812"/>
    </row>
    <row r="62690" spans="7:7">
      <c r="G62690" s="812"/>
    </row>
    <row r="62691" spans="7:7">
      <c r="G62691" s="812"/>
    </row>
    <row r="62692" spans="7:7">
      <c r="G62692" s="812"/>
    </row>
    <row r="62693" spans="7:7">
      <c r="G62693" s="812"/>
    </row>
    <row r="62694" spans="7:7">
      <c r="G62694" s="812"/>
    </row>
    <row r="62695" spans="7:7">
      <c r="G62695" s="812"/>
    </row>
    <row r="62696" spans="7:7">
      <c r="G62696" s="812"/>
    </row>
    <row r="62697" spans="7:7">
      <c r="G62697" s="812"/>
    </row>
    <row r="62698" spans="7:7">
      <c r="G62698" s="812"/>
    </row>
    <row r="62699" spans="7:7">
      <c r="G62699" s="812"/>
    </row>
    <row r="62700" spans="7:7">
      <c r="G62700" s="812"/>
    </row>
    <row r="62701" spans="7:7">
      <c r="G62701" s="812"/>
    </row>
    <row r="62702" spans="7:7">
      <c r="G62702" s="812"/>
    </row>
    <row r="62703" spans="7:7">
      <c r="G62703" s="812"/>
    </row>
    <row r="62704" spans="7:7">
      <c r="G62704" s="812"/>
    </row>
    <row r="62705" spans="7:7">
      <c r="G62705" s="812"/>
    </row>
    <row r="62706" spans="7:7">
      <c r="G62706" s="812"/>
    </row>
    <row r="62707" spans="7:7">
      <c r="G62707" s="812"/>
    </row>
    <row r="62708" spans="7:7">
      <c r="G62708" s="812"/>
    </row>
    <row r="62709" spans="7:7">
      <c r="G62709" s="812"/>
    </row>
    <row r="62710" spans="7:7">
      <c r="G62710" s="812"/>
    </row>
    <row r="62711" spans="7:7">
      <c r="G62711" s="812"/>
    </row>
    <row r="62712" spans="7:7">
      <c r="G62712" s="812"/>
    </row>
    <row r="62713" spans="7:7">
      <c r="G62713" s="812"/>
    </row>
    <row r="62714" spans="7:7">
      <c r="G62714" s="812"/>
    </row>
    <row r="62715" spans="7:7">
      <c r="G62715" s="812"/>
    </row>
    <row r="62716" spans="7:7">
      <c r="G62716" s="812"/>
    </row>
    <row r="62717" spans="7:7">
      <c r="G62717" s="812"/>
    </row>
    <row r="62718" spans="7:7">
      <c r="G62718" s="812"/>
    </row>
    <row r="62719" spans="7:7">
      <c r="G62719" s="812"/>
    </row>
    <row r="62720" spans="7:7">
      <c r="G62720" s="812"/>
    </row>
    <row r="62721" spans="7:7">
      <c r="G62721" s="812"/>
    </row>
    <row r="62722" spans="7:7">
      <c r="G62722" s="812"/>
    </row>
    <row r="62723" spans="7:7">
      <c r="G62723" s="812"/>
    </row>
    <row r="62724" spans="7:7">
      <c r="G62724" s="812"/>
    </row>
    <row r="62725" spans="7:7">
      <c r="G62725" s="812"/>
    </row>
    <row r="62726" spans="7:7">
      <c r="G62726" s="812"/>
    </row>
    <row r="62727" spans="7:7">
      <c r="G62727" s="812"/>
    </row>
    <row r="62728" spans="7:7">
      <c r="G62728" s="812"/>
    </row>
    <row r="62729" spans="7:7">
      <c r="G62729" s="812"/>
    </row>
    <row r="62730" spans="7:7">
      <c r="G62730" s="812"/>
    </row>
    <row r="62731" spans="7:7">
      <c r="G62731" s="812"/>
    </row>
    <row r="62732" spans="7:7">
      <c r="G62732" s="812"/>
    </row>
    <row r="62733" spans="7:7">
      <c r="G62733" s="812"/>
    </row>
    <row r="62734" spans="7:7">
      <c r="G62734" s="812"/>
    </row>
    <row r="62735" spans="7:7">
      <c r="G62735" s="812"/>
    </row>
    <row r="62736" spans="7:7">
      <c r="G62736" s="812"/>
    </row>
    <row r="62737" spans="7:7">
      <c r="G62737" s="812"/>
    </row>
    <row r="62738" spans="7:7">
      <c r="G62738" s="812"/>
    </row>
    <row r="62739" spans="7:7">
      <c r="G62739" s="812"/>
    </row>
    <row r="62740" spans="7:7">
      <c r="G62740" s="812"/>
    </row>
    <row r="62741" spans="7:7">
      <c r="G62741" s="812"/>
    </row>
    <row r="62742" spans="7:7">
      <c r="G62742" s="812"/>
    </row>
    <row r="62743" spans="7:7">
      <c r="G62743" s="812"/>
    </row>
    <row r="62744" spans="7:7">
      <c r="G62744" s="812"/>
    </row>
    <row r="62745" spans="7:7">
      <c r="G62745" s="812"/>
    </row>
    <row r="62746" spans="7:7">
      <c r="G62746" s="812"/>
    </row>
    <row r="62747" spans="7:7">
      <c r="G62747" s="812"/>
    </row>
    <row r="62748" spans="7:7">
      <c r="G62748" s="812"/>
    </row>
    <row r="62749" spans="7:7">
      <c r="G62749" s="812"/>
    </row>
    <row r="62750" spans="7:7">
      <c r="G62750" s="812"/>
    </row>
    <row r="62751" spans="7:7">
      <c r="G62751" s="812"/>
    </row>
    <row r="62752" spans="7:7">
      <c r="G62752" s="812"/>
    </row>
    <row r="62753" spans="7:7">
      <c r="G62753" s="812"/>
    </row>
    <row r="62754" spans="7:7">
      <c r="G62754" s="812"/>
    </row>
    <row r="62755" spans="7:7">
      <c r="G62755" s="812"/>
    </row>
    <row r="62756" spans="7:7">
      <c r="G62756" s="812"/>
    </row>
    <row r="62757" spans="7:7">
      <c r="G62757" s="812"/>
    </row>
    <row r="62758" spans="7:7">
      <c r="G62758" s="812"/>
    </row>
    <row r="62759" spans="7:7">
      <c r="G62759" s="812"/>
    </row>
    <row r="62760" spans="7:7">
      <c r="G62760" s="812"/>
    </row>
    <row r="62761" spans="7:7">
      <c r="G62761" s="812"/>
    </row>
    <row r="62762" spans="7:7">
      <c r="G62762" s="812"/>
    </row>
    <row r="62763" spans="7:7">
      <c r="G62763" s="812"/>
    </row>
    <row r="62764" spans="7:7">
      <c r="G62764" s="812"/>
    </row>
    <row r="62765" spans="7:7">
      <c r="G62765" s="812"/>
    </row>
    <row r="62766" spans="7:7">
      <c r="G62766" s="812"/>
    </row>
    <row r="62767" spans="7:7">
      <c r="G62767" s="812"/>
    </row>
    <row r="62768" spans="7:7">
      <c r="G62768" s="812"/>
    </row>
    <row r="62769" spans="7:7">
      <c r="G62769" s="812"/>
    </row>
    <row r="62770" spans="7:7">
      <c r="G62770" s="812"/>
    </row>
    <row r="62771" spans="7:7">
      <c r="G62771" s="812"/>
    </row>
    <row r="62772" spans="7:7">
      <c r="G62772" s="812"/>
    </row>
    <row r="62773" spans="7:7">
      <c r="G62773" s="812"/>
    </row>
    <row r="62774" spans="7:7">
      <c r="G62774" s="812"/>
    </row>
    <row r="62775" spans="7:7">
      <c r="G62775" s="812"/>
    </row>
    <row r="62776" spans="7:7">
      <c r="G62776" s="812"/>
    </row>
    <row r="62777" spans="7:7">
      <c r="G62777" s="812"/>
    </row>
    <row r="62778" spans="7:7">
      <c r="G62778" s="812"/>
    </row>
    <row r="62779" spans="7:7">
      <c r="G62779" s="812"/>
    </row>
    <row r="62780" spans="7:7">
      <c r="G62780" s="812"/>
    </row>
    <row r="62781" spans="7:7">
      <c r="G62781" s="812"/>
    </row>
    <row r="62782" spans="7:7">
      <c r="G62782" s="812"/>
    </row>
    <row r="62783" spans="7:7">
      <c r="G62783" s="812"/>
    </row>
    <row r="62784" spans="7:7">
      <c r="G62784" s="812"/>
    </row>
    <row r="62785" spans="7:7">
      <c r="G62785" s="812"/>
    </row>
    <row r="62786" spans="7:7">
      <c r="G62786" s="812"/>
    </row>
    <row r="62787" spans="7:7">
      <c r="G62787" s="812"/>
    </row>
    <row r="62788" spans="7:7">
      <c r="G62788" s="812"/>
    </row>
    <row r="62789" spans="7:7">
      <c r="G62789" s="812"/>
    </row>
    <row r="62790" spans="7:7">
      <c r="G62790" s="812"/>
    </row>
    <row r="62791" spans="7:7">
      <c r="G62791" s="812"/>
    </row>
    <row r="62792" spans="7:7">
      <c r="G62792" s="812"/>
    </row>
    <row r="62793" spans="7:7">
      <c r="G62793" s="812"/>
    </row>
    <row r="62794" spans="7:7">
      <c r="G62794" s="812"/>
    </row>
    <row r="62795" spans="7:7">
      <c r="G62795" s="812"/>
    </row>
    <row r="62796" spans="7:7">
      <c r="G62796" s="812"/>
    </row>
    <row r="62797" spans="7:7">
      <c r="G62797" s="812"/>
    </row>
    <row r="62798" spans="7:7">
      <c r="G62798" s="812"/>
    </row>
    <row r="62799" spans="7:7">
      <c r="G62799" s="812"/>
    </row>
    <row r="62800" spans="7:7">
      <c r="G62800" s="812"/>
    </row>
    <row r="62801" spans="7:7">
      <c r="G62801" s="812"/>
    </row>
    <row r="62802" spans="7:7">
      <c r="G62802" s="812"/>
    </row>
    <row r="62803" spans="7:7">
      <c r="G62803" s="812"/>
    </row>
    <row r="62804" spans="7:7">
      <c r="G62804" s="812"/>
    </row>
    <row r="62805" spans="7:7">
      <c r="G62805" s="812"/>
    </row>
    <row r="62806" spans="7:7">
      <c r="G62806" s="812"/>
    </row>
    <row r="62807" spans="7:7">
      <c r="G62807" s="812"/>
    </row>
    <row r="62808" spans="7:7">
      <c r="G62808" s="812"/>
    </row>
    <row r="62809" spans="7:7">
      <c r="G62809" s="812"/>
    </row>
    <row r="62810" spans="7:7">
      <c r="G62810" s="812"/>
    </row>
    <row r="62811" spans="7:7">
      <c r="G62811" s="812"/>
    </row>
    <row r="62812" spans="7:7">
      <c r="G62812" s="812"/>
    </row>
    <row r="62813" spans="7:7">
      <c r="G62813" s="812"/>
    </row>
    <row r="62814" spans="7:7">
      <c r="G62814" s="812"/>
    </row>
    <row r="62815" spans="7:7">
      <c r="G62815" s="812"/>
    </row>
    <row r="62816" spans="7:7">
      <c r="G62816" s="812"/>
    </row>
    <row r="62817" spans="7:7">
      <c r="G62817" s="812"/>
    </row>
    <row r="62818" spans="7:7">
      <c r="G62818" s="812"/>
    </row>
    <row r="62819" spans="7:7">
      <c r="G62819" s="812"/>
    </row>
    <row r="62820" spans="7:7">
      <c r="G62820" s="812"/>
    </row>
    <row r="62821" spans="7:7">
      <c r="G62821" s="812"/>
    </row>
    <row r="62822" spans="7:7">
      <c r="G62822" s="812"/>
    </row>
    <row r="62823" spans="7:7">
      <c r="G62823" s="812"/>
    </row>
    <row r="62824" spans="7:7">
      <c r="G62824" s="812"/>
    </row>
    <row r="62825" spans="7:7">
      <c r="G62825" s="812"/>
    </row>
    <row r="62826" spans="7:7">
      <c r="G62826" s="812"/>
    </row>
    <row r="62827" spans="7:7">
      <c r="G62827" s="812"/>
    </row>
    <row r="62828" spans="7:7">
      <c r="G62828" s="812"/>
    </row>
    <row r="62829" spans="7:7">
      <c r="G62829" s="812"/>
    </row>
    <row r="62830" spans="7:7">
      <c r="G62830" s="812"/>
    </row>
    <row r="62831" spans="7:7">
      <c r="G62831" s="812"/>
    </row>
    <row r="62832" spans="7:7">
      <c r="G62832" s="812"/>
    </row>
    <row r="62833" spans="7:7">
      <c r="G62833" s="812"/>
    </row>
    <row r="62834" spans="7:7">
      <c r="G62834" s="812"/>
    </row>
    <row r="62835" spans="7:7">
      <c r="G62835" s="812"/>
    </row>
    <row r="62836" spans="7:7">
      <c r="G62836" s="812"/>
    </row>
    <row r="62837" spans="7:7">
      <c r="G62837" s="812"/>
    </row>
    <row r="62838" spans="7:7">
      <c r="G62838" s="812"/>
    </row>
    <row r="62839" spans="7:7">
      <c r="G62839" s="812"/>
    </row>
    <row r="62840" spans="7:7">
      <c r="G62840" s="812"/>
    </row>
    <row r="62841" spans="7:7">
      <c r="G62841" s="812"/>
    </row>
    <row r="62842" spans="7:7">
      <c r="G62842" s="812"/>
    </row>
    <row r="62843" spans="7:7">
      <c r="G62843" s="812"/>
    </row>
    <row r="62844" spans="7:7">
      <c r="G62844" s="812"/>
    </row>
    <row r="62845" spans="7:7">
      <c r="G62845" s="812"/>
    </row>
    <row r="62846" spans="7:7">
      <c r="G62846" s="812"/>
    </row>
    <row r="62847" spans="7:7">
      <c r="G62847" s="812"/>
    </row>
    <row r="62848" spans="7:7">
      <c r="G62848" s="812"/>
    </row>
    <row r="62849" spans="7:7">
      <c r="G62849" s="812"/>
    </row>
    <row r="62850" spans="7:7">
      <c r="G62850" s="812"/>
    </row>
    <row r="62851" spans="7:7">
      <c r="G62851" s="812"/>
    </row>
    <row r="62852" spans="7:7">
      <c r="G62852" s="812"/>
    </row>
    <row r="62853" spans="7:7">
      <c r="G62853" s="812"/>
    </row>
    <row r="62854" spans="7:7">
      <c r="G62854" s="812"/>
    </row>
    <row r="62855" spans="7:7">
      <c r="G62855" s="812"/>
    </row>
    <row r="62856" spans="7:7">
      <c r="G62856" s="812"/>
    </row>
    <row r="62857" spans="7:7">
      <c r="G62857" s="812"/>
    </row>
    <row r="62858" spans="7:7">
      <c r="G62858" s="812"/>
    </row>
    <row r="62859" spans="7:7">
      <c r="G62859" s="812"/>
    </row>
    <row r="62860" spans="7:7">
      <c r="G62860" s="812"/>
    </row>
    <row r="62861" spans="7:7">
      <c r="G62861" s="812"/>
    </row>
    <row r="62862" spans="7:7">
      <c r="G62862" s="812"/>
    </row>
    <row r="62863" spans="7:7">
      <c r="G62863" s="812"/>
    </row>
    <row r="62864" spans="7:7">
      <c r="G62864" s="812"/>
    </row>
    <row r="62865" spans="7:7">
      <c r="G62865" s="812"/>
    </row>
    <row r="62866" spans="7:7">
      <c r="G62866" s="812"/>
    </row>
    <row r="62867" spans="7:7">
      <c r="G62867" s="812"/>
    </row>
    <row r="62868" spans="7:7">
      <c r="G62868" s="812"/>
    </row>
    <row r="62869" spans="7:7">
      <c r="G62869" s="812"/>
    </row>
    <row r="62870" spans="7:7">
      <c r="G62870" s="812"/>
    </row>
    <row r="62871" spans="7:7">
      <c r="G62871" s="812"/>
    </row>
    <row r="62872" spans="7:7">
      <c r="G62872" s="812"/>
    </row>
    <row r="62873" spans="7:7">
      <c r="G62873" s="812"/>
    </row>
    <row r="62874" spans="7:7">
      <c r="G62874" s="812"/>
    </row>
    <row r="62875" spans="7:7">
      <c r="G62875" s="812"/>
    </row>
    <row r="62876" spans="7:7">
      <c r="G62876" s="812"/>
    </row>
    <row r="62877" spans="7:7">
      <c r="G62877" s="812"/>
    </row>
    <row r="62878" spans="7:7">
      <c r="G62878" s="812"/>
    </row>
    <row r="62879" spans="7:7">
      <c r="G62879" s="812"/>
    </row>
    <row r="62880" spans="7:7">
      <c r="G62880" s="812"/>
    </row>
    <row r="62881" spans="7:7">
      <c r="G62881" s="812"/>
    </row>
    <row r="62882" spans="7:7">
      <c r="G62882" s="812"/>
    </row>
    <row r="62883" spans="7:7">
      <c r="G62883" s="812"/>
    </row>
    <row r="62884" spans="7:7">
      <c r="G62884" s="812"/>
    </row>
    <row r="62885" spans="7:7">
      <c r="G62885" s="812"/>
    </row>
    <row r="62886" spans="7:7">
      <c r="G62886" s="812"/>
    </row>
    <row r="62887" spans="7:7">
      <c r="G62887" s="812"/>
    </row>
    <row r="62888" spans="7:7">
      <c r="G62888" s="812"/>
    </row>
    <row r="62889" spans="7:7">
      <c r="G62889" s="812"/>
    </row>
    <row r="62890" spans="7:7">
      <c r="G62890" s="812"/>
    </row>
    <row r="62891" spans="7:7">
      <c r="G62891" s="812"/>
    </row>
    <row r="62892" spans="7:7">
      <c r="G62892" s="812"/>
    </row>
    <row r="62893" spans="7:7">
      <c r="G62893" s="812"/>
    </row>
    <row r="62894" spans="7:7">
      <c r="G62894" s="812"/>
    </row>
    <row r="62895" spans="7:7">
      <c r="G62895" s="812"/>
    </row>
    <row r="62896" spans="7:7">
      <c r="G62896" s="812"/>
    </row>
    <row r="62897" spans="7:7">
      <c r="G62897" s="812"/>
    </row>
    <row r="62898" spans="7:7">
      <c r="G62898" s="812"/>
    </row>
    <row r="62899" spans="7:7">
      <c r="G62899" s="812"/>
    </row>
    <row r="62900" spans="7:7">
      <c r="G62900" s="812"/>
    </row>
    <row r="62901" spans="7:7">
      <c r="G62901" s="812"/>
    </row>
    <row r="62902" spans="7:7">
      <c r="G62902" s="812"/>
    </row>
    <row r="62903" spans="7:7">
      <c r="G62903" s="812"/>
    </row>
    <row r="62904" spans="7:7">
      <c r="G62904" s="812"/>
    </row>
    <row r="62905" spans="7:7">
      <c r="G62905" s="812"/>
    </row>
    <row r="62906" spans="7:7">
      <c r="G62906" s="812"/>
    </row>
    <row r="62907" spans="7:7">
      <c r="G62907" s="812"/>
    </row>
    <row r="62908" spans="7:7">
      <c r="G62908" s="812"/>
    </row>
    <row r="62909" spans="7:7">
      <c r="G62909" s="812"/>
    </row>
    <row r="62910" spans="7:7">
      <c r="G62910" s="812"/>
    </row>
    <row r="62911" spans="7:7">
      <c r="G62911" s="812"/>
    </row>
    <row r="62912" spans="7:7">
      <c r="G62912" s="812"/>
    </row>
    <row r="62913" spans="7:7">
      <c r="G62913" s="812"/>
    </row>
    <row r="62914" spans="7:7">
      <c r="G62914" s="812"/>
    </row>
    <row r="62915" spans="7:7">
      <c r="G62915" s="812"/>
    </row>
    <row r="62916" spans="7:7">
      <c r="G62916" s="812"/>
    </row>
    <row r="62917" spans="7:7">
      <c r="G62917" s="812"/>
    </row>
    <row r="62918" spans="7:7">
      <c r="G62918" s="812"/>
    </row>
    <row r="62919" spans="7:7">
      <c r="G62919" s="812"/>
    </row>
    <row r="62920" spans="7:7">
      <c r="G62920" s="812"/>
    </row>
    <row r="62921" spans="7:7">
      <c r="G62921" s="812"/>
    </row>
    <row r="62922" spans="7:7">
      <c r="G62922" s="812"/>
    </row>
    <row r="62923" spans="7:7">
      <c r="G62923" s="812"/>
    </row>
    <row r="62924" spans="7:7">
      <c r="G62924" s="812"/>
    </row>
    <row r="62925" spans="7:7">
      <c r="G62925" s="812"/>
    </row>
    <row r="62926" spans="7:7">
      <c r="G62926" s="812"/>
    </row>
    <row r="62927" spans="7:7">
      <c r="G62927" s="812"/>
    </row>
    <row r="62928" spans="7:7">
      <c r="G62928" s="812"/>
    </row>
    <row r="62929" spans="7:7">
      <c r="G62929" s="812"/>
    </row>
    <row r="62930" spans="7:7">
      <c r="G62930" s="812"/>
    </row>
    <row r="62931" spans="7:7">
      <c r="G62931" s="812"/>
    </row>
    <row r="62932" spans="7:7">
      <c r="G62932" s="812"/>
    </row>
    <row r="62933" spans="7:7">
      <c r="G62933" s="812"/>
    </row>
    <row r="62934" spans="7:7">
      <c r="G62934" s="812"/>
    </row>
    <row r="62935" spans="7:7">
      <c r="G62935" s="812"/>
    </row>
    <row r="62936" spans="7:7">
      <c r="G62936" s="812"/>
    </row>
    <row r="62937" spans="7:7">
      <c r="G62937" s="812"/>
    </row>
    <row r="62938" spans="7:7">
      <c r="G62938" s="812"/>
    </row>
    <row r="62939" spans="7:7">
      <c r="G62939" s="812"/>
    </row>
    <row r="62940" spans="7:7">
      <c r="G62940" s="812"/>
    </row>
    <row r="62941" spans="7:7">
      <c r="G62941" s="812"/>
    </row>
    <row r="62942" spans="7:7">
      <c r="G62942" s="812"/>
    </row>
    <row r="62943" spans="7:7">
      <c r="G62943" s="812"/>
    </row>
    <row r="62944" spans="7:7">
      <c r="G62944" s="812"/>
    </row>
    <row r="62945" spans="7:7">
      <c r="G62945" s="812"/>
    </row>
    <row r="62946" spans="7:7">
      <c r="G62946" s="812"/>
    </row>
    <row r="62947" spans="7:7">
      <c r="G62947" s="812"/>
    </row>
    <row r="62948" spans="7:7">
      <c r="G62948" s="812"/>
    </row>
    <row r="62949" spans="7:7">
      <c r="G62949" s="812"/>
    </row>
    <row r="62950" spans="7:7">
      <c r="G62950" s="812"/>
    </row>
    <row r="62951" spans="7:7">
      <c r="G62951" s="812"/>
    </row>
    <row r="62952" spans="7:7">
      <c r="G62952" s="812"/>
    </row>
    <row r="62953" spans="7:7">
      <c r="G62953" s="812"/>
    </row>
    <row r="62954" spans="7:7">
      <c r="G62954" s="812"/>
    </row>
    <row r="62955" spans="7:7">
      <c r="G62955" s="812"/>
    </row>
    <row r="62956" spans="7:7">
      <c r="G62956" s="812"/>
    </row>
    <row r="62957" spans="7:7">
      <c r="G62957" s="812"/>
    </row>
    <row r="62958" spans="7:7">
      <c r="G62958" s="812"/>
    </row>
    <row r="62959" spans="7:7">
      <c r="G62959" s="812"/>
    </row>
    <row r="62960" spans="7:7">
      <c r="G62960" s="812"/>
    </row>
    <row r="62961" spans="7:7">
      <c r="G62961" s="812"/>
    </row>
    <row r="62962" spans="7:7">
      <c r="G62962" s="812"/>
    </row>
    <row r="62963" spans="7:7">
      <c r="G62963" s="812"/>
    </row>
    <row r="62964" spans="7:7">
      <c r="G62964" s="812"/>
    </row>
    <row r="62965" spans="7:7">
      <c r="G62965" s="812"/>
    </row>
    <row r="62966" spans="7:7">
      <c r="G62966" s="812"/>
    </row>
    <row r="62967" spans="7:7">
      <c r="G62967" s="812"/>
    </row>
    <row r="62968" spans="7:7">
      <c r="G62968" s="812"/>
    </row>
    <row r="62969" spans="7:7">
      <c r="G62969" s="812"/>
    </row>
    <row r="62970" spans="7:7">
      <c r="G62970" s="812"/>
    </row>
    <row r="62971" spans="7:7">
      <c r="G62971" s="812"/>
    </row>
    <row r="62972" spans="7:7">
      <c r="G62972" s="812"/>
    </row>
    <row r="62973" spans="7:7">
      <c r="G62973" s="812"/>
    </row>
    <row r="62974" spans="7:7">
      <c r="G62974" s="812"/>
    </row>
    <row r="62975" spans="7:7">
      <c r="G62975" s="812"/>
    </row>
    <row r="62976" spans="7:7">
      <c r="G62976" s="812"/>
    </row>
    <row r="62977" spans="7:7">
      <c r="G62977" s="812"/>
    </row>
    <row r="62978" spans="7:7">
      <c r="G62978" s="812"/>
    </row>
    <row r="62979" spans="7:7">
      <c r="G62979" s="812"/>
    </row>
    <row r="62980" spans="7:7">
      <c r="G62980" s="812"/>
    </row>
    <row r="62981" spans="7:7">
      <c r="G62981" s="812"/>
    </row>
    <row r="62982" spans="7:7">
      <c r="G62982" s="812"/>
    </row>
    <row r="62983" spans="7:7">
      <c r="G62983" s="812"/>
    </row>
    <row r="62984" spans="7:7">
      <c r="G62984" s="812"/>
    </row>
    <row r="62985" spans="7:7">
      <c r="G62985" s="812"/>
    </row>
    <row r="62986" spans="7:7">
      <c r="G62986" s="812"/>
    </row>
    <row r="62987" spans="7:7">
      <c r="G62987" s="812"/>
    </row>
    <row r="62988" spans="7:7">
      <c r="G62988" s="812"/>
    </row>
    <row r="62989" spans="7:7">
      <c r="G62989" s="812"/>
    </row>
    <row r="62990" spans="7:7">
      <c r="G62990" s="812"/>
    </row>
    <row r="62991" spans="7:7">
      <c r="G62991" s="812"/>
    </row>
    <row r="62992" spans="7:7">
      <c r="G62992" s="812"/>
    </row>
    <row r="62993" spans="7:7">
      <c r="G62993" s="812"/>
    </row>
    <row r="62994" spans="7:7">
      <c r="G62994" s="812"/>
    </row>
    <row r="62995" spans="7:7">
      <c r="G62995" s="812"/>
    </row>
    <row r="62996" spans="7:7">
      <c r="G62996" s="812"/>
    </row>
    <row r="62997" spans="7:7">
      <c r="G62997" s="812"/>
    </row>
    <row r="62998" spans="7:7">
      <c r="G62998" s="812"/>
    </row>
    <row r="62999" spans="7:7">
      <c r="G62999" s="812"/>
    </row>
    <row r="63000" spans="7:7">
      <c r="G63000" s="812"/>
    </row>
    <row r="63001" spans="7:7">
      <c r="G63001" s="812"/>
    </row>
    <row r="63002" spans="7:7">
      <c r="G63002" s="812"/>
    </row>
    <row r="63003" spans="7:7">
      <c r="G63003" s="812"/>
    </row>
    <row r="63004" spans="7:7">
      <c r="G63004" s="812"/>
    </row>
    <row r="63005" spans="7:7">
      <c r="G63005" s="812"/>
    </row>
    <row r="63006" spans="7:7">
      <c r="G63006" s="812"/>
    </row>
    <row r="63007" spans="7:7">
      <c r="G63007" s="812"/>
    </row>
    <row r="63008" spans="7:7">
      <c r="G63008" s="812"/>
    </row>
    <row r="63009" spans="7:7">
      <c r="G63009" s="812"/>
    </row>
    <row r="63010" spans="7:7">
      <c r="G63010" s="812"/>
    </row>
    <row r="63011" spans="7:7">
      <c r="G63011" s="812"/>
    </row>
    <row r="63012" spans="7:7">
      <c r="G63012" s="812"/>
    </row>
    <row r="63013" spans="7:7">
      <c r="G63013" s="812"/>
    </row>
    <row r="63014" spans="7:7">
      <c r="G63014" s="812"/>
    </row>
    <row r="63015" spans="7:7">
      <c r="G63015" s="812"/>
    </row>
    <row r="63016" spans="7:7">
      <c r="G63016" s="812"/>
    </row>
    <row r="63017" spans="7:7">
      <c r="G63017" s="812"/>
    </row>
    <row r="63018" spans="7:7">
      <c r="G63018" s="812"/>
    </row>
    <row r="63019" spans="7:7">
      <c r="G63019" s="812"/>
    </row>
    <row r="63020" spans="7:7">
      <c r="G63020" s="812"/>
    </row>
    <row r="63021" spans="7:7">
      <c r="G63021" s="812"/>
    </row>
    <row r="63022" spans="7:7">
      <c r="G63022" s="812"/>
    </row>
    <row r="63023" spans="7:7">
      <c r="G63023" s="812"/>
    </row>
    <row r="63024" spans="7:7">
      <c r="G63024" s="812"/>
    </row>
    <row r="63025" spans="7:7">
      <c r="G63025" s="812"/>
    </row>
    <row r="63026" spans="7:7">
      <c r="G63026" s="812"/>
    </row>
    <row r="63027" spans="7:7">
      <c r="G63027" s="812"/>
    </row>
    <row r="63028" spans="7:7">
      <c r="G63028" s="812"/>
    </row>
    <row r="63029" spans="7:7">
      <c r="G63029" s="812"/>
    </row>
    <row r="63030" spans="7:7">
      <c r="G63030" s="812"/>
    </row>
    <row r="63031" spans="7:7">
      <c r="G63031" s="812"/>
    </row>
    <row r="63032" spans="7:7">
      <c r="G63032" s="812"/>
    </row>
    <row r="63033" spans="7:7">
      <c r="G63033" s="812"/>
    </row>
    <row r="63034" spans="7:7">
      <c r="G63034" s="812"/>
    </row>
    <row r="63035" spans="7:7">
      <c r="G63035" s="812"/>
    </row>
    <row r="63036" spans="7:7">
      <c r="G63036" s="812"/>
    </row>
    <row r="63037" spans="7:7">
      <c r="G63037" s="812"/>
    </row>
    <row r="63038" spans="7:7">
      <c r="G63038" s="812"/>
    </row>
    <row r="63039" spans="7:7">
      <c r="G63039" s="812"/>
    </row>
    <row r="63040" spans="7:7">
      <c r="G63040" s="812"/>
    </row>
    <row r="63041" spans="7:7">
      <c r="G63041" s="812"/>
    </row>
    <row r="63042" spans="7:7">
      <c r="G63042" s="812"/>
    </row>
    <row r="63043" spans="7:7">
      <c r="G63043" s="812"/>
    </row>
    <row r="63044" spans="7:7">
      <c r="G63044" s="812"/>
    </row>
    <row r="63045" spans="7:7">
      <c r="G63045" s="812"/>
    </row>
    <row r="63046" spans="7:7">
      <c r="G63046" s="812"/>
    </row>
    <row r="63047" spans="7:7">
      <c r="G63047" s="812"/>
    </row>
    <row r="63048" spans="7:7">
      <c r="G63048" s="812"/>
    </row>
    <row r="63049" spans="7:7">
      <c r="G63049" s="812"/>
    </row>
    <row r="63050" spans="7:7">
      <c r="G63050" s="812"/>
    </row>
    <row r="63051" spans="7:7">
      <c r="G63051" s="812"/>
    </row>
    <row r="63052" spans="7:7">
      <c r="G63052" s="812"/>
    </row>
    <row r="63053" spans="7:7">
      <c r="G63053" s="812"/>
    </row>
    <row r="63054" spans="7:7">
      <c r="G63054" s="812"/>
    </row>
    <row r="63055" spans="7:7">
      <c r="G63055" s="812"/>
    </row>
    <row r="63056" spans="7:7">
      <c r="G63056" s="812"/>
    </row>
    <row r="63057" spans="7:7">
      <c r="G63057" s="812"/>
    </row>
    <row r="63058" spans="7:7">
      <c r="G63058" s="812"/>
    </row>
    <row r="63059" spans="7:7">
      <c r="G63059" s="812"/>
    </row>
    <row r="63060" spans="7:7">
      <c r="G63060" s="812"/>
    </row>
    <row r="63061" spans="7:7">
      <c r="G63061" s="812"/>
    </row>
    <row r="63062" spans="7:7">
      <c r="G63062" s="812"/>
    </row>
    <row r="63063" spans="7:7">
      <c r="G63063" s="812"/>
    </row>
    <row r="63064" spans="7:7">
      <c r="G63064" s="812"/>
    </row>
    <row r="63065" spans="7:7">
      <c r="G63065" s="812"/>
    </row>
    <row r="63066" spans="7:7">
      <c r="G63066" s="812"/>
    </row>
    <row r="63067" spans="7:7">
      <c r="G63067" s="812"/>
    </row>
    <row r="63068" spans="7:7">
      <c r="G63068" s="812"/>
    </row>
    <row r="63069" spans="7:7">
      <c r="G63069" s="812"/>
    </row>
    <row r="63070" spans="7:7">
      <c r="G63070" s="812"/>
    </row>
    <row r="63071" spans="7:7">
      <c r="G63071" s="812"/>
    </row>
    <row r="63072" spans="7:7">
      <c r="G63072" s="812"/>
    </row>
    <row r="63073" spans="7:7">
      <c r="G63073" s="812"/>
    </row>
    <row r="63074" spans="7:7">
      <c r="G63074" s="812"/>
    </row>
    <row r="63075" spans="7:7">
      <c r="G63075" s="812"/>
    </row>
    <row r="63076" spans="7:7">
      <c r="G63076" s="812"/>
    </row>
    <row r="63077" spans="7:7">
      <c r="G63077" s="812"/>
    </row>
    <row r="63078" spans="7:7">
      <c r="G63078" s="812"/>
    </row>
    <row r="63079" spans="7:7">
      <c r="G63079" s="812"/>
    </row>
    <row r="63080" spans="7:7">
      <c r="G63080" s="812"/>
    </row>
    <row r="63081" spans="7:7">
      <c r="G63081" s="812"/>
    </row>
    <row r="63082" spans="7:7">
      <c r="G63082" s="812"/>
    </row>
    <row r="63083" spans="7:7">
      <c r="G63083" s="812"/>
    </row>
    <row r="63084" spans="7:7">
      <c r="G63084" s="812"/>
    </row>
    <row r="63085" spans="7:7">
      <c r="G63085" s="812"/>
    </row>
    <row r="63086" spans="7:7">
      <c r="G63086" s="812"/>
    </row>
    <row r="63087" spans="7:7">
      <c r="G63087" s="812"/>
    </row>
    <row r="63088" spans="7:7">
      <c r="G63088" s="812"/>
    </row>
    <row r="63089" spans="7:7">
      <c r="G63089" s="812"/>
    </row>
    <row r="63090" spans="7:7">
      <c r="G63090" s="812"/>
    </row>
    <row r="63091" spans="7:7">
      <c r="G63091" s="812"/>
    </row>
    <row r="63092" spans="7:7">
      <c r="G63092" s="812"/>
    </row>
    <row r="63093" spans="7:7">
      <c r="G63093" s="812"/>
    </row>
    <row r="63094" spans="7:7">
      <c r="G63094" s="812"/>
    </row>
    <row r="63095" spans="7:7">
      <c r="G63095" s="812"/>
    </row>
    <row r="63096" spans="7:7">
      <c r="G63096" s="812"/>
    </row>
    <row r="63097" spans="7:7">
      <c r="G63097" s="812"/>
    </row>
    <row r="63098" spans="7:7">
      <c r="G63098" s="812"/>
    </row>
    <row r="63099" spans="7:7">
      <c r="G63099" s="812"/>
    </row>
    <row r="63100" spans="7:7">
      <c r="G63100" s="812"/>
    </row>
    <row r="63101" spans="7:7">
      <c r="G63101" s="812"/>
    </row>
    <row r="63102" spans="7:7">
      <c r="G63102" s="812"/>
    </row>
    <row r="63103" spans="7:7">
      <c r="G63103" s="812"/>
    </row>
    <row r="63104" spans="7:7">
      <c r="G63104" s="812"/>
    </row>
    <row r="63105" spans="7:7">
      <c r="G63105" s="812"/>
    </row>
    <row r="63106" spans="7:7">
      <c r="G63106" s="812"/>
    </row>
    <row r="63107" spans="7:7">
      <c r="G63107" s="812"/>
    </row>
    <row r="63108" spans="7:7">
      <c r="G63108" s="812"/>
    </row>
    <row r="63109" spans="7:7">
      <c r="G63109" s="812"/>
    </row>
    <row r="63110" spans="7:7">
      <c r="G63110" s="812"/>
    </row>
    <row r="63111" spans="7:7">
      <c r="G63111" s="812"/>
    </row>
    <row r="63112" spans="7:7">
      <c r="G63112" s="812"/>
    </row>
    <row r="63113" spans="7:7">
      <c r="G63113" s="812"/>
    </row>
    <row r="63114" spans="7:7">
      <c r="G63114" s="812"/>
    </row>
    <row r="63115" spans="7:7">
      <c r="G63115" s="812"/>
    </row>
    <row r="63116" spans="7:7">
      <c r="G63116" s="812"/>
    </row>
    <row r="63117" spans="7:7">
      <c r="G63117" s="812"/>
    </row>
    <row r="63118" spans="7:7">
      <c r="G63118" s="812"/>
    </row>
    <row r="63119" spans="7:7">
      <c r="G63119" s="812"/>
    </row>
    <row r="63120" spans="7:7">
      <c r="G63120" s="812"/>
    </row>
    <row r="63121" spans="7:7">
      <c r="G63121" s="812"/>
    </row>
    <row r="63122" spans="7:7">
      <c r="G63122" s="812"/>
    </row>
    <row r="63123" spans="7:7">
      <c r="G63123" s="812"/>
    </row>
    <row r="63124" spans="7:7">
      <c r="G63124" s="812"/>
    </row>
    <row r="63125" spans="7:7">
      <c r="G63125" s="812"/>
    </row>
    <row r="63126" spans="7:7">
      <c r="G63126" s="812"/>
    </row>
    <row r="63127" spans="7:7">
      <c r="G63127" s="812"/>
    </row>
    <row r="63128" spans="7:7">
      <c r="G63128" s="812"/>
    </row>
    <row r="63129" spans="7:7">
      <c r="G63129" s="812"/>
    </row>
    <row r="63130" spans="7:7">
      <c r="G63130" s="812"/>
    </row>
    <row r="63131" spans="7:7">
      <c r="G63131" s="812"/>
    </row>
    <row r="63132" spans="7:7">
      <c r="G63132" s="812"/>
    </row>
    <row r="63133" spans="7:7">
      <c r="G63133" s="812"/>
    </row>
    <row r="63134" spans="7:7">
      <c r="G63134" s="812"/>
    </row>
    <row r="63135" spans="7:7">
      <c r="G63135" s="812"/>
    </row>
    <row r="63136" spans="7:7">
      <c r="G63136" s="812"/>
    </row>
    <row r="63137" spans="7:7">
      <c r="G63137" s="812"/>
    </row>
    <row r="63138" spans="7:7">
      <c r="G63138" s="812"/>
    </row>
    <row r="63139" spans="7:7">
      <c r="G63139" s="812"/>
    </row>
    <row r="63140" spans="7:7">
      <c r="G63140" s="812"/>
    </row>
    <row r="63141" spans="7:7">
      <c r="G63141" s="812"/>
    </row>
    <row r="63142" spans="7:7">
      <c r="G63142" s="812"/>
    </row>
    <row r="63143" spans="7:7">
      <c r="G63143" s="812"/>
    </row>
    <row r="63144" spans="7:7">
      <c r="G63144" s="812"/>
    </row>
    <row r="63145" spans="7:7">
      <c r="G63145" s="812"/>
    </row>
    <row r="63146" spans="7:7">
      <c r="G63146" s="812"/>
    </row>
    <row r="63147" spans="7:7">
      <c r="G63147" s="812"/>
    </row>
    <row r="63148" spans="7:7">
      <c r="G63148" s="812"/>
    </row>
    <row r="63149" spans="7:7">
      <c r="G63149" s="812"/>
    </row>
    <row r="63150" spans="7:7">
      <c r="G63150" s="812"/>
    </row>
    <row r="63151" spans="7:7">
      <c r="G63151" s="812"/>
    </row>
    <row r="63152" spans="7:7">
      <c r="G63152" s="812"/>
    </row>
    <row r="63153" spans="7:7">
      <c r="G63153" s="812"/>
    </row>
    <row r="63154" spans="7:7">
      <c r="G63154" s="812"/>
    </row>
    <row r="63155" spans="7:7">
      <c r="G63155" s="812"/>
    </row>
    <row r="63156" spans="7:7">
      <c r="G63156" s="812"/>
    </row>
    <row r="63157" spans="7:7">
      <c r="G63157" s="812"/>
    </row>
    <row r="63158" spans="7:7">
      <c r="G63158" s="812"/>
    </row>
    <row r="63159" spans="7:7">
      <c r="G63159" s="812"/>
    </row>
    <row r="63160" spans="7:7">
      <c r="G63160" s="812"/>
    </row>
    <row r="63161" spans="7:7">
      <c r="G63161" s="812"/>
    </row>
    <row r="63162" spans="7:7">
      <c r="G63162" s="812"/>
    </row>
    <row r="63163" spans="7:7">
      <c r="G63163" s="812"/>
    </row>
    <row r="63164" spans="7:7">
      <c r="G63164" s="812"/>
    </row>
    <row r="63165" spans="7:7">
      <c r="G63165" s="812"/>
    </row>
    <row r="63166" spans="7:7">
      <c r="G63166" s="812"/>
    </row>
    <row r="63167" spans="7:7">
      <c r="G63167" s="812"/>
    </row>
    <row r="63168" spans="7:7">
      <c r="G63168" s="812"/>
    </row>
    <row r="63169" spans="7:7">
      <c r="G63169" s="812"/>
    </row>
    <row r="63170" spans="7:7">
      <c r="G63170" s="812"/>
    </row>
    <row r="63171" spans="7:7">
      <c r="G63171" s="812"/>
    </row>
    <row r="63172" spans="7:7">
      <c r="G63172" s="812"/>
    </row>
    <row r="63173" spans="7:7">
      <c r="G63173" s="812"/>
    </row>
    <row r="63174" spans="7:7">
      <c r="G63174" s="812"/>
    </row>
    <row r="63175" spans="7:7">
      <c r="G63175" s="812"/>
    </row>
    <row r="63176" spans="7:7">
      <c r="G63176" s="812"/>
    </row>
    <row r="63177" spans="7:7">
      <c r="G63177" s="812"/>
    </row>
    <row r="63178" spans="7:7">
      <c r="G63178" s="812"/>
    </row>
    <row r="63179" spans="7:7">
      <c r="G63179" s="812"/>
    </row>
    <row r="63180" spans="7:7">
      <c r="G63180" s="812"/>
    </row>
    <row r="63181" spans="7:7">
      <c r="G63181" s="812"/>
    </row>
    <row r="63182" spans="7:7">
      <c r="G63182" s="812"/>
    </row>
    <row r="63183" spans="7:7">
      <c r="G63183" s="812"/>
    </row>
    <row r="63184" spans="7:7">
      <c r="G63184" s="812"/>
    </row>
    <row r="63185" spans="7:7">
      <c r="G63185" s="812"/>
    </row>
    <row r="63186" spans="7:7">
      <c r="G63186" s="812"/>
    </row>
    <row r="63187" spans="7:7">
      <c r="G63187" s="812"/>
    </row>
    <row r="63188" spans="7:7">
      <c r="G63188" s="812"/>
    </row>
    <row r="63189" spans="7:7">
      <c r="G63189" s="812"/>
    </row>
    <row r="63190" spans="7:7">
      <c r="G63190" s="812"/>
    </row>
    <row r="63191" spans="7:7">
      <c r="G63191" s="812"/>
    </row>
    <row r="63192" spans="7:7">
      <c r="G63192" s="812"/>
    </row>
    <row r="63193" spans="7:7">
      <c r="G63193" s="812"/>
    </row>
    <row r="63194" spans="7:7">
      <c r="G63194" s="812"/>
    </row>
    <row r="63195" spans="7:7">
      <c r="G63195" s="812"/>
    </row>
    <row r="63196" spans="7:7">
      <c r="G63196" s="812"/>
    </row>
    <row r="63197" spans="7:7">
      <c r="G63197" s="812"/>
    </row>
    <row r="63198" spans="7:7">
      <c r="G63198" s="812"/>
    </row>
    <row r="63199" spans="7:7">
      <c r="G63199" s="812"/>
    </row>
    <row r="63200" spans="7:7">
      <c r="G63200" s="812"/>
    </row>
    <row r="63201" spans="7:7">
      <c r="G63201" s="812"/>
    </row>
    <row r="63202" spans="7:7">
      <c r="G63202" s="812"/>
    </row>
    <row r="63203" spans="7:7">
      <c r="G63203" s="812"/>
    </row>
    <row r="63204" spans="7:7">
      <c r="G63204" s="812"/>
    </row>
    <row r="63205" spans="7:7">
      <c r="G63205" s="812"/>
    </row>
    <row r="63206" spans="7:7">
      <c r="G63206" s="812"/>
    </row>
    <row r="63207" spans="7:7">
      <c r="G63207" s="812"/>
    </row>
    <row r="63208" spans="7:7">
      <c r="G63208" s="812"/>
    </row>
    <row r="63209" spans="7:7">
      <c r="G63209" s="812"/>
    </row>
    <row r="63210" spans="7:7">
      <c r="G63210" s="812"/>
    </row>
    <row r="63211" spans="7:7">
      <c r="G63211" s="812"/>
    </row>
    <row r="63212" spans="7:7">
      <c r="G63212" s="812"/>
    </row>
    <row r="63213" spans="7:7">
      <c r="G63213" s="812"/>
    </row>
    <row r="63214" spans="7:7">
      <c r="G63214" s="812"/>
    </row>
    <row r="63215" spans="7:7">
      <c r="G63215" s="812"/>
    </row>
    <row r="63216" spans="7:7">
      <c r="G63216" s="812"/>
    </row>
    <row r="63217" spans="7:7">
      <c r="G63217" s="812"/>
    </row>
    <row r="63218" spans="7:7">
      <c r="G63218" s="812"/>
    </row>
    <row r="63219" spans="7:7">
      <c r="G63219" s="812"/>
    </row>
    <row r="63220" spans="7:7">
      <c r="G63220" s="812"/>
    </row>
    <row r="63221" spans="7:7">
      <c r="G63221" s="812"/>
    </row>
    <row r="63222" spans="7:7">
      <c r="G63222" s="812"/>
    </row>
    <row r="63223" spans="7:7">
      <c r="G63223" s="812"/>
    </row>
    <row r="63224" spans="7:7">
      <c r="G63224" s="812"/>
    </row>
    <row r="63225" spans="7:7">
      <c r="G63225" s="812"/>
    </row>
    <row r="63226" spans="7:7">
      <c r="G63226" s="812"/>
    </row>
    <row r="63227" spans="7:7">
      <c r="G63227" s="812"/>
    </row>
    <row r="63228" spans="7:7">
      <c r="G63228" s="812"/>
    </row>
    <row r="63229" spans="7:7">
      <c r="G63229" s="812"/>
    </row>
    <row r="63230" spans="7:7">
      <c r="G63230" s="812"/>
    </row>
    <row r="63231" spans="7:7">
      <c r="G63231" s="812"/>
    </row>
    <row r="63232" spans="7:7">
      <c r="G63232" s="812"/>
    </row>
    <row r="63233" spans="7:7">
      <c r="G63233" s="812"/>
    </row>
    <row r="63234" spans="7:7">
      <c r="G63234" s="812"/>
    </row>
    <row r="63235" spans="7:7">
      <c r="G63235" s="812"/>
    </row>
    <row r="63236" spans="7:7">
      <c r="G63236" s="812"/>
    </row>
    <row r="63237" spans="7:7">
      <c r="G63237" s="812"/>
    </row>
    <row r="63238" spans="7:7">
      <c r="G63238" s="812"/>
    </row>
    <row r="63239" spans="7:7">
      <c r="G63239" s="812"/>
    </row>
    <row r="63240" spans="7:7">
      <c r="G63240" s="812"/>
    </row>
    <row r="63241" spans="7:7">
      <c r="G63241" s="812"/>
    </row>
    <row r="63242" spans="7:7">
      <c r="G63242" s="812"/>
    </row>
    <row r="63243" spans="7:7">
      <c r="G63243" s="812"/>
    </row>
    <row r="63244" spans="7:7">
      <c r="G63244" s="812"/>
    </row>
    <row r="63245" spans="7:7">
      <c r="G63245" s="812"/>
    </row>
    <row r="63246" spans="7:7">
      <c r="G63246" s="812"/>
    </row>
    <row r="63247" spans="7:7">
      <c r="G63247" s="812"/>
    </row>
    <row r="63248" spans="7:7">
      <c r="G63248" s="812"/>
    </row>
    <row r="63249" spans="7:7">
      <c r="G63249" s="812"/>
    </row>
    <row r="63250" spans="7:7">
      <c r="G63250" s="812"/>
    </row>
    <row r="63251" spans="7:7">
      <c r="G63251" s="812"/>
    </row>
    <row r="63252" spans="7:7">
      <c r="G63252" s="812"/>
    </row>
    <row r="63253" spans="7:7">
      <c r="G63253" s="812"/>
    </row>
    <row r="63254" spans="7:7">
      <c r="G63254" s="812"/>
    </row>
    <row r="63255" spans="7:7">
      <c r="G63255" s="812"/>
    </row>
    <row r="63256" spans="7:7">
      <c r="G63256" s="812"/>
    </row>
    <row r="63257" spans="7:7">
      <c r="G63257" s="812"/>
    </row>
    <row r="63258" spans="7:7">
      <c r="G63258" s="812"/>
    </row>
    <row r="63259" spans="7:7">
      <c r="G63259" s="812"/>
    </row>
    <row r="63260" spans="7:7">
      <c r="G63260" s="812"/>
    </row>
    <row r="63261" spans="7:7">
      <c r="G63261" s="812"/>
    </row>
    <row r="63262" spans="7:7">
      <c r="G63262" s="812"/>
    </row>
    <row r="63263" spans="7:7">
      <c r="G63263" s="812"/>
    </row>
    <row r="63264" spans="7:7">
      <c r="G63264" s="812"/>
    </row>
    <row r="63265" spans="7:7">
      <c r="G63265" s="812"/>
    </row>
    <row r="63266" spans="7:7">
      <c r="G63266" s="812"/>
    </row>
    <row r="63267" spans="7:7">
      <c r="G63267" s="812"/>
    </row>
    <row r="63268" spans="7:7">
      <c r="G63268" s="812"/>
    </row>
    <row r="63269" spans="7:7">
      <c r="G63269" s="812"/>
    </row>
    <row r="63270" spans="7:7">
      <c r="G63270" s="812"/>
    </row>
    <row r="63271" spans="7:7">
      <c r="G63271" s="812"/>
    </row>
    <row r="63272" spans="7:7">
      <c r="G63272" s="812"/>
    </row>
    <row r="63273" spans="7:7">
      <c r="G63273" s="812"/>
    </row>
    <row r="63274" spans="7:7">
      <c r="G63274" s="812"/>
    </row>
    <row r="63275" spans="7:7">
      <c r="G63275" s="812"/>
    </row>
    <row r="63276" spans="7:7">
      <c r="G63276" s="812"/>
    </row>
    <row r="63277" spans="7:7">
      <c r="G63277" s="812"/>
    </row>
    <row r="63278" spans="7:7">
      <c r="G63278" s="812"/>
    </row>
    <row r="63279" spans="7:7">
      <c r="G63279" s="812"/>
    </row>
    <row r="63280" spans="7:7">
      <c r="G63280" s="812"/>
    </row>
    <row r="63281" spans="7:7">
      <c r="G63281" s="812"/>
    </row>
    <row r="63282" spans="7:7">
      <c r="G63282" s="812"/>
    </row>
    <row r="63283" spans="7:7">
      <c r="G63283" s="812"/>
    </row>
    <row r="63284" spans="7:7">
      <c r="G63284" s="812"/>
    </row>
    <row r="63285" spans="7:7">
      <c r="G63285" s="812"/>
    </row>
    <row r="63286" spans="7:7">
      <c r="G63286" s="812"/>
    </row>
    <row r="63287" spans="7:7">
      <c r="G63287" s="812"/>
    </row>
    <row r="63288" spans="7:7">
      <c r="G63288" s="812"/>
    </row>
    <row r="63289" spans="7:7">
      <c r="G63289" s="812"/>
    </row>
    <row r="63290" spans="7:7">
      <c r="G63290" s="812"/>
    </row>
    <row r="63291" spans="7:7">
      <c r="G63291" s="812"/>
    </row>
    <row r="63292" spans="7:7">
      <c r="G63292" s="812"/>
    </row>
    <row r="63293" spans="7:7">
      <c r="G63293" s="812"/>
    </row>
    <row r="63294" spans="7:7">
      <c r="G63294" s="812"/>
    </row>
    <row r="63295" spans="7:7">
      <c r="G63295" s="812"/>
    </row>
    <row r="63296" spans="7:7">
      <c r="G63296" s="812"/>
    </row>
    <row r="63297" spans="7:7">
      <c r="G63297" s="812"/>
    </row>
    <row r="63298" spans="7:7">
      <c r="G63298" s="812"/>
    </row>
    <row r="63299" spans="7:7">
      <c r="G63299" s="812"/>
    </row>
    <row r="63300" spans="7:7">
      <c r="G63300" s="812"/>
    </row>
    <row r="63301" spans="7:7">
      <c r="G63301" s="812"/>
    </row>
    <row r="63302" spans="7:7">
      <c r="G63302" s="812"/>
    </row>
    <row r="63303" spans="7:7">
      <c r="G63303" s="812"/>
    </row>
    <row r="63304" spans="7:7">
      <c r="G63304" s="812"/>
    </row>
    <row r="63305" spans="7:7">
      <c r="G63305" s="812"/>
    </row>
    <row r="63306" spans="7:7">
      <c r="G63306" s="812"/>
    </row>
    <row r="63307" spans="7:7">
      <c r="G63307" s="812"/>
    </row>
    <row r="63308" spans="7:7">
      <c r="G63308" s="812"/>
    </row>
    <row r="63309" spans="7:7">
      <c r="G63309" s="812"/>
    </row>
    <row r="63310" spans="7:7">
      <c r="G63310" s="812"/>
    </row>
    <row r="63311" spans="7:7">
      <c r="G63311" s="812"/>
    </row>
    <row r="63312" spans="7:7">
      <c r="G63312" s="812"/>
    </row>
    <row r="63313" spans="7:7">
      <c r="G63313" s="812"/>
    </row>
    <row r="63314" spans="7:7">
      <c r="G63314" s="812"/>
    </row>
    <row r="63315" spans="7:7">
      <c r="G63315" s="812"/>
    </row>
    <row r="63316" spans="7:7">
      <c r="G63316" s="812"/>
    </row>
    <row r="63317" spans="7:7">
      <c r="G63317" s="812"/>
    </row>
    <row r="63318" spans="7:7">
      <c r="G63318" s="812"/>
    </row>
    <row r="63319" spans="7:7">
      <c r="G63319" s="812"/>
    </row>
    <row r="63320" spans="7:7">
      <c r="G63320" s="812"/>
    </row>
    <row r="63321" spans="7:7">
      <c r="G63321" s="812"/>
    </row>
    <row r="63322" spans="7:7">
      <c r="G63322" s="812"/>
    </row>
    <row r="63323" spans="7:7">
      <c r="G63323" s="812"/>
    </row>
    <row r="63324" spans="7:7">
      <c r="G63324" s="812"/>
    </row>
    <row r="63325" spans="7:7">
      <c r="G63325" s="812"/>
    </row>
    <row r="63326" spans="7:7">
      <c r="G63326" s="812"/>
    </row>
    <row r="63327" spans="7:7">
      <c r="G63327" s="812"/>
    </row>
    <row r="63328" spans="7:7">
      <c r="G63328" s="812"/>
    </row>
    <row r="63329" spans="7:7">
      <c r="G63329" s="812"/>
    </row>
    <row r="63330" spans="7:7">
      <c r="G63330" s="812"/>
    </row>
    <row r="63331" spans="7:7">
      <c r="G63331" s="812"/>
    </row>
    <row r="63332" spans="7:7">
      <c r="G63332" s="812"/>
    </row>
    <row r="63333" spans="7:7">
      <c r="G63333" s="812"/>
    </row>
    <row r="63334" spans="7:7">
      <c r="G63334" s="812"/>
    </row>
    <row r="63335" spans="7:7">
      <c r="G63335" s="812"/>
    </row>
    <row r="63336" spans="7:7">
      <c r="G63336" s="812"/>
    </row>
    <row r="63337" spans="7:7">
      <c r="G63337" s="812"/>
    </row>
    <row r="63338" spans="7:7">
      <c r="G63338" s="812"/>
    </row>
    <row r="63339" spans="7:7">
      <c r="G63339" s="812"/>
    </row>
    <row r="63340" spans="7:7">
      <c r="G63340" s="812"/>
    </row>
    <row r="63341" spans="7:7">
      <c r="G63341" s="812"/>
    </row>
    <row r="63342" spans="7:7">
      <c r="G63342" s="812"/>
    </row>
    <row r="63343" spans="7:7">
      <c r="G63343" s="812"/>
    </row>
    <row r="63344" spans="7:7">
      <c r="G63344" s="812"/>
    </row>
    <row r="63345" spans="7:7">
      <c r="G63345" s="812"/>
    </row>
    <row r="63346" spans="7:7">
      <c r="G63346" s="812"/>
    </row>
    <row r="63347" spans="7:7">
      <c r="G63347" s="812"/>
    </row>
    <row r="63348" spans="7:7">
      <c r="G63348" s="812"/>
    </row>
    <row r="63349" spans="7:7">
      <c r="G63349" s="812"/>
    </row>
    <row r="63350" spans="7:7">
      <c r="G63350" s="812"/>
    </row>
    <row r="63351" spans="7:7">
      <c r="G63351" s="812"/>
    </row>
    <row r="63352" spans="7:7">
      <c r="G63352" s="812"/>
    </row>
    <row r="63353" spans="7:7">
      <c r="G63353" s="812"/>
    </row>
    <row r="63354" spans="7:7">
      <c r="G63354" s="812"/>
    </row>
    <row r="63355" spans="7:7">
      <c r="G63355" s="812"/>
    </row>
    <row r="63356" spans="7:7">
      <c r="G63356" s="812"/>
    </row>
    <row r="63357" spans="7:7">
      <c r="G63357" s="812"/>
    </row>
    <row r="63358" spans="7:7">
      <c r="G63358" s="812"/>
    </row>
    <row r="63359" spans="7:7">
      <c r="G63359" s="812"/>
    </row>
    <row r="63360" spans="7:7">
      <c r="G63360" s="812"/>
    </row>
    <row r="63361" spans="7:7">
      <c r="G63361" s="812"/>
    </row>
    <row r="63362" spans="7:7">
      <c r="G63362" s="812"/>
    </row>
    <row r="63363" spans="7:7">
      <c r="G63363" s="812"/>
    </row>
    <row r="63364" spans="7:7">
      <c r="G63364" s="812"/>
    </row>
    <row r="63365" spans="7:7">
      <c r="G63365" s="812"/>
    </row>
    <row r="63366" spans="7:7">
      <c r="G63366" s="812"/>
    </row>
    <row r="63367" spans="7:7">
      <c r="G63367" s="812"/>
    </row>
    <row r="63368" spans="7:7">
      <c r="G63368" s="812"/>
    </row>
    <row r="63369" spans="7:7">
      <c r="G63369" s="812"/>
    </row>
    <row r="63370" spans="7:7">
      <c r="G63370" s="812"/>
    </row>
    <row r="63371" spans="7:7">
      <c r="G63371" s="812"/>
    </row>
    <row r="63372" spans="7:7">
      <c r="G63372" s="812"/>
    </row>
    <row r="63373" spans="7:7">
      <c r="G63373" s="812"/>
    </row>
    <row r="63374" spans="7:7">
      <c r="G63374" s="812"/>
    </row>
    <row r="63375" spans="7:7">
      <c r="G63375" s="812"/>
    </row>
    <row r="63376" spans="7:7">
      <c r="G63376" s="812"/>
    </row>
    <row r="63377" spans="7:7">
      <c r="G63377" s="812"/>
    </row>
    <row r="63378" spans="7:7">
      <c r="G63378" s="812"/>
    </row>
    <row r="63379" spans="7:7">
      <c r="G63379" s="812"/>
    </row>
    <row r="63380" spans="7:7">
      <c r="G63380" s="812"/>
    </row>
    <row r="63381" spans="7:7">
      <c r="G63381" s="812"/>
    </row>
    <row r="63382" spans="7:7">
      <c r="G63382" s="812"/>
    </row>
    <row r="63383" spans="7:7">
      <c r="G63383" s="812"/>
    </row>
    <row r="63384" spans="7:7">
      <c r="G63384" s="812"/>
    </row>
    <row r="63385" spans="7:7">
      <c r="G63385" s="812"/>
    </row>
    <row r="63386" spans="7:7">
      <c r="G63386" s="812"/>
    </row>
    <row r="63387" spans="7:7">
      <c r="G63387" s="812"/>
    </row>
    <row r="63388" spans="7:7">
      <c r="G63388" s="812"/>
    </row>
    <row r="63389" spans="7:7">
      <c r="G63389" s="812"/>
    </row>
    <row r="63390" spans="7:7">
      <c r="G63390" s="812"/>
    </row>
    <row r="63391" spans="7:7">
      <c r="G63391" s="812"/>
    </row>
    <row r="63392" spans="7:7">
      <c r="G63392" s="812"/>
    </row>
    <row r="63393" spans="7:7">
      <c r="G63393" s="812"/>
    </row>
    <row r="63394" spans="7:7">
      <c r="G63394" s="812"/>
    </row>
    <row r="63395" spans="7:7">
      <c r="G63395" s="812"/>
    </row>
    <row r="63396" spans="7:7">
      <c r="G63396" s="812"/>
    </row>
    <row r="63397" spans="7:7">
      <c r="G63397" s="812"/>
    </row>
    <row r="63398" spans="7:7">
      <c r="G63398" s="812"/>
    </row>
    <row r="63399" spans="7:7">
      <c r="G63399" s="812"/>
    </row>
    <row r="63400" spans="7:7">
      <c r="G63400" s="812"/>
    </row>
    <row r="63401" spans="7:7">
      <c r="G63401" s="812"/>
    </row>
    <row r="63402" spans="7:7">
      <c r="G63402" s="812"/>
    </row>
    <row r="63403" spans="7:7">
      <c r="G63403" s="812"/>
    </row>
    <row r="63404" spans="7:7">
      <c r="G63404" s="812"/>
    </row>
    <row r="63405" spans="7:7">
      <c r="G63405" s="812"/>
    </row>
    <row r="63406" spans="7:7">
      <c r="G63406" s="812"/>
    </row>
    <row r="63407" spans="7:7">
      <c r="G63407" s="812"/>
    </row>
    <row r="63408" spans="7:7">
      <c r="G63408" s="812"/>
    </row>
    <row r="63409" spans="7:7">
      <c r="G63409" s="812"/>
    </row>
    <row r="63410" spans="7:7">
      <c r="G63410" s="812"/>
    </row>
    <row r="63411" spans="7:7">
      <c r="G63411" s="812"/>
    </row>
    <row r="63412" spans="7:7">
      <c r="G63412" s="812"/>
    </row>
    <row r="63413" spans="7:7">
      <c r="G63413" s="812"/>
    </row>
    <row r="63414" spans="7:7">
      <c r="G63414" s="812"/>
    </row>
    <row r="63415" spans="7:7">
      <c r="G63415" s="812"/>
    </row>
    <row r="63416" spans="7:7">
      <c r="G63416" s="812"/>
    </row>
    <row r="63417" spans="7:7">
      <c r="G63417" s="812"/>
    </row>
    <row r="63418" spans="7:7">
      <c r="G63418" s="812"/>
    </row>
    <row r="63419" spans="7:7">
      <c r="G63419" s="812"/>
    </row>
    <row r="63420" spans="7:7">
      <c r="G63420" s="812"/>
    </row>
    <row r="63421" spans="7:7">
      <c r="G63421" s="812"/>
    </row>
    <row r="63422" spans="7:7">
      <c r="G63422" s="812"/>
    </row>
    <row r="63423" spans="7:7">
      <c r="G63423" s="812"/>
    </row>
    <row r="63424" spans="7:7">
      <c r="G63424" s="812"/>
    </row>
    <row r="63425" spans="7:7">
      <c r="G63425" s="812"/>
    </row>
    <row r="63426" spans="7:7">
      <c r="G63426" s="812"/>
    </row>
    <row r="63427" spans="7:7">
      <c r="G63427" s="812"/>
    </row>
    <row r="63428" spans="7:7">
      <c r="G63428" s="812"/>
    </row>
    <row r="63429" spans="7:7">
      <c r="G63429" s="812"/>
    </row>
    <row r="63430" spans="7:7">
      <c r="G63430" s="812"/>
    </row>
    <row r="63431" spans="7:7">
      <c r="G63431" s="812"/>
    </row>
    <row r="63432" spans="7:7">
      <c r="G63432" s="812"/>
    </row>
    <row r="63433" spans="7:7">
      <c r="G63433" s="812"/>
    </row>
    <row r="63434" spans="7:7">
      <c r="G63434" s="812"/>
    </row>
    <row r="63435" spans="7:7">
      <c r="G63435" s="812"/>
    </row>
    <row r="63436" spans="7:7">
      <c r="G63436" s="812"/>
    </row>
    <row r="63437" spans="7:7">
      <c r="G63437" s="812"/>
    </row>
    <row r="63438" spans="7:7">
      <c r="G63438" s="812"/>
    </row>
    <row r="63439" spans="7:7">
      <c r="G63439" s="812"/>
    </row>
    <row r="63440" spans="7:7">
      <c r="G63440" s="812"/>
    </row>
    <row r="63441" spans="7:7">
      <c r="G63441" s="812"/>
    </row>
    <row r="63442" spans="7:7">
      <c r="G63442" s="812"/>
    </row>
    <row r="63443" spans="7:7">
      <c r="G63443" s="812"/>
    </row>
    <row r="63444" spans="7:7">
      <c r="G63444" s="812"/>
    </row>
    <row r="63445" spans="7:7">
      <c r="G63445" s="812"/>
    </row>
    <row r="63446" spans="7:7">
      <c r="G63446" s="812"/>
    </row>
    <row r="63447" spans="7:7">
      <c r="G63447" s="812"/>
    </row>
    <row r="63448" spans="7:7">
      <c r="G63448" s="812"/>
    </row>
    <row r="63449" spans="7:7">
      <c r="G63449" s="812"/>
    </row>
    <row r="63450" spans="7:7">
      <c r="G63450" s="812"/>
    </row>
    <row r="63451" spans="7:7">
      <c r="G63451" s="812"/>
    </row>
    <row r="63452" spans="7:7">
      <c r="G63452" s="812"/>
    </row>
    <row r="63453" spans="7:7">
      <c r="G63453" s="812"/>
    </row>
    <row r="63454" spans="7:7">
      <c r="G63454" s="812"/>
    </row>
    <row r="63455" spans="7:7">
      <c r="G63455" s="812"/>
    </row>
    <row r="63456" spans="7:7">
      <c r="G63456" s="812"/>
    </row>
    <row r="63457" spans="7:7">
      <c r="G63457" s="812"/>
    </row>
    <row r="63458" spans="7:7">
      <c r="G63458" s="812"/>
    </row>
    <row r="63459" spans="7:7">
      <c r="G63459" s="812"/>
    </row>
    <row r="63460" spans="7:7">
      <c r="G63460" s="812"/>
    </row>
    <row r="63461" spans="7:7">
      <c r="G63461" s="812"/>
    </row>
    <row r="63462" spans="7:7">
      <c r="G63462" s="812"/>
    </row>
    <row r="63463" spans="7:7">
      <c r="G63463" s="812"/>
    </row>
    <row r="63464" spans="7:7">
      <c r="G63464" s="812"/>
    </row>
    <row r="63465" spans="7:7">
      <c r="G63465" s="812"/>
    </row>
    <row r="63466" spans="7:7">
      <c r="G63466" s="812"/>
    </row>
    <row r="63467" spans="7:7">
      <c r="G63467" s="812"/>
    </row>
    <row r="63468" spans="7:7">
      <c r="G63468" s="812"/>
    </row>
    <row r="63469" spans="7:7">
      <c r="G63469" s="812"/>
    </row>
    <row r="63470" spans="7:7">
      <c r="G63470" s="812"/>
    </row>
    <row r="63471" spans="7:7">
      <c r="G63471" s="812"/>
    </row>
    <row r="63472" spans="7:7">
      <c r="G63472" s="812"/>
    </row>
    <row r="63473" spans="7:7">
      <c r="G63473" s="812"/>
    </row>
    <row r="63474" spans="7:7">
      <c r="G63474" s="812"/>
    </row>
    <row r="63475" spans="7:7">
      <c r="G63475" s="812"/>
    </row>
    <row r="63476" spans="7:7">
      <c r="G63476" s="812"/>
    </row>
    <row r="63477" spans="7:7">
      <c r="G63477" s="812"/>
    </row>
    <row r="63478" spans="7:7">
      <c r="G63478" s="812"/>
    </row>
    <row r="63479" spans="7:7">
      <c r="G63479" s="812"/>
    </row>
    <row r="63480" spans="7:7">
      <c r="G63480" s="812"/>
    </row>
    <row r="63481" spans="7:7">
      <c r="G63481" s="812"/>
    </row>
    <row r="63482" spans="7:7">
      <c r="G63482" s="812"/>
    </row>
    <row r="63483" spans="7:7">
      <c r="G63483" s="812"/>
    </row>
    <row r="63484" spans="7:7">
      <c r="G63484" s="812"/>
    </row>
    <row r="63485" spans="7:7">
      <c r="G63485" s="812"/>
    </row>
    <row r="63486" spans="7:7">
      <c r="G63486" s="812"/>
    </row>
    <row r="63487" spans="7:7">
      <c r="G63487" s="812"/>
    </row>
    <row r="63488" spans="7:7">
      <c r="G63488" s="812"/>
    </row>
    <row r="63489" spans="7:7">
      <c r="G63489" s="812"/>
    </row>
    <row r="63490" spans="7:7">
      <c r="G63490" s="812"/>
    </row>
    <row r="63491" spans="7:7">
      <c r="G63491" s="812"/>
    </row>
    <row r="63492" spans="7:7">
      <c r="G63492" s="812"/>
    </row>
    <row r="63493" spans="7:7">
      <c r="G63493" s="812"/>
    </row>
    <row r="63494" spans="7:7">
      <c r="G63494" s="812"/>
    </row>
    <row r="63495" spans="7:7">
      <c r="G63495" s="812"/>
    </row>
    <row r="63496" spans="7:7">
      <c r="G63496" s="812"/>
    </row>
    <row r="63497" spans="7:7">
      <c r="G63497" s="812"/>
    </row>
    <row r="63498" spans="7:7">
      <c r="G63498" s="812"/>
    </row>
    <row r="63499" spans="7:7">
      <c r="G63499" s="812"/>
    </row>
    <row r="63500" spans="7:7">
      <c r="G63500" s="812"/>
    </row>
    <row r="63501" spans="7:7">
      <c r="G63501" s="812"/>
    </row>
    <row r="63502" spans="7:7">
      <c r="G63502" s="812"/>
    </row>
    <row r="63503" spans="7:7">
      <c r="G63503" s="812"/>
    </row>
    <row r="63504" spans="7:7">
      <c r="G63504" s="812"/>
    </row>
    <row r="63505" spans="7:7">
      <c r="G63505" s="812"/>
    </row>
    <row r="63506" spans="7:7">
      <c r="G63506" s="812"/>
    </row>
    <row r="63507" spans="7:7">
      <c r="G63507" s="812"/>
    </row>
    <row r="63508" spans="7:7">
      <c r="G63508" s="812"/>
    </row>
    <row r="63509" spans="7:7">
      <c r="G63509" s="812"/>
    </row>
    <row r="63510" spans="7:7">
      <c r="G63510" s="812"/>
    </row>
    <row r="63511" spans="7:7">
      <c r="G63511" s="812"/>
    </row>
    <row r="63512" spans="7:7">
      <c r="G63512" s="812"/>
    </row>
    <row r="63513" spans="7:7">
      <c r="G63513" s="812"/>
    </row>
    <row r="63514" spans="7:7">
      <c r="G63514" s="812"/>
    </row>
    <row r="63515" spans="7:7">
      <c r="G63515" s="812"/>
    </row>
    <row r="63516" spans="7:7">
      <c r="G63516" s="812"/>
    </row>
    <row r="63517" spans="7:7">
      <c r="G63517" s="812"/>
    </row>
    <row r="63518" spans="7:7">
      <c r="G63518" s="812"/>
    </row>
    <row r="63519" spans="7:7">
      <c r="G63519" s="812"/>
    </row>
    <row r="63520" spans="7:7">
      <c r="G63520" s="812"/>
    </row>
    <row r="63521" spans="7:7">
      <c r="G63521" s="812"/>
    </row>
    <row r="63522" spans="7:7">
      <c r="G63522" s="812"/>
    </row>
    <row r="63523" spans="7:7">
      <c r="G63523" s="812"/>
    </row>
    <row r="63524" spans="7:7">
      <c r="G63524" s="812"/>
    </row>
    <row r="63525" spans="7:7">
      <c r="G63525" s="812"/>
    </row>
    <row r="63526" spans="7:7">
      <c r="G63526" s="812"/>
    </row>
    <row r="63527" spans="7:7">
      <c r="G63527" s="812"/>
    </row>
    <row r="63528" spans="7:7">
      <c r="G63528" s="812"/>
    </row>
    <row r="63529" spans="7:7">
      <c r="G63529" s="812"/>
    </row>
    <row r="63530" spans="7:7">
      <c r="G63530" s="812"/>
    </row>
    <row r="63531" spans="7:7">
      <c r="G63531" s="812"/>
    </row>
    <row r="63532" spans="7:7">
      <c r="G63532" s="812"/>
    </row>
    <row r="63533" spans="7:7">
      <c r="G63533" s="812"/>
    </row>
    <row r="63534" spans="7:7">
      <c r="G63534" s="812"/>
    </row>
    <row r="63535" spans="7:7">
      <c r="G63535" s="812"/>
    </row>
    <row r="63536" spans="7:7">
      <c r="G63536" s="812"/>
    </row>
    <row r="63537" spans="7:7">
      <c r="G63537" s="812"/>
    </row>
    <row r="63538" spans="7:7">
      <c r="G63538" s="812"/>
    </row>
    <row r="63539" spans="7:7">
      <c r="G63539" s="812"/>
    </row>
    <row r="63540" spans="7:7">
      <c r="G63540" s="812"/>
    </row>
    <row r="63541" spans="7:7">
      <c r="G63541" s="812"/>
    </row>
    <row r="63542" spans="7:7">
      <c r="G63542" s="812"/>
    </row>
    <row r="63543" spans="7:7">
      <c r="G63543" s="812"/>
    </row>
    <row r="63544" spans="7:7">
      <c r="G63544" s="812"/>
    </row>
    <row r="63545" spans="7:7">
      <c r="G63545" s="812"/>
    </row>
    <row r="63546" spans="7:7">
      <c r="G63546" s="812"/>
    </row>
    <row r="63547" spans="7:7">
      <c r="G63547" s="812"/>
    </row>
    <row r="63548" spans="7:7">
      <c r="G63548" s="812"/>
    </row>
    <row r="63549" spans="7:7">
      <c r="G63549" s="812"/>
    </row>
    <row r="63550" spans="7:7">
      <c r="G63550" s="812"/>
    </row>
    <row r="63551" spans="7:7">
      <c r="G63551" s="812"/>
    </row>
    <row r="63552" spans="7:7">
      <c r="G63552" s="812"/>
    </row>
    <row r="63553" spans="7:7">
      <c r="G63553" s="812"/>
    </row>
    <row r="63554" spans="7:7">
      <c r="G63554" s="812"/>
    </row>
    <row r="63555" spans="7:7">
      <c r="G63555" s="812"/>
    </row>
    <row r="63556" spans="7:7">
      <c r="G63556" s="812"/>
    </row>
    <row r="63557" spans="7:7">
      <c r="G63557" s="812"/>
    </row>
    <row r="63558" spans="7:7">
      <c r="G63558" s="812"/>
    </row>
    <row r="63559" spans="7:7">
      <c r="G63559" s="812"/>
    </row>
    <row r="63560" spans="7:7">
      <c r="G63560" s="812"/>
    </row>
    <row r="63561" spans="7:7">
      <c r="G63561" s="812"/>
    </row>
    <row r="63562" spans="7:7">
      <c r="G63562" s="812"/>
    </row>
    <row r="63563" spans="7:7">
      <c r="G63563" s="812"/>
    </row>
    <row r="63564" spans="7:7">
      <c r="G63564" s="812"/>
    </row>
    <row r="63565" spans="7:7">
      <c r="G63565" s="812"/>
    </row>
    <row r="63566" spans="7:7">
      <c r="G63566" s="812"/>
    </row>
    <row r="63567" spans="7:7">
      <c r="G63567" s="812"/>
    </row>
    <row r="63568" spans="7:7">
      <c r="G63568" s="812"/>
    </row>
    <row r="63569" spans="7:7">
      <c r="G63569" s="812"/>
    </row>
    <row r="63570" spans="7:7">
      <c r="G63570" s="812"/>
    </row>
    <row r="63571" spans="7:7">
      <c r="G63571" s="812"/>
    </row>
    <row r="63572" spans="7:7">
      <c r="G63572" s="812"/>
    </row>
    <row r="63573" spans="7:7">
      <c r="G63573" s="812"/>
    </row>
    <row r="63574" spans="7:7">
      <c r="G63574" s="812"/>
    </row>
    <row r="63575" spans="7:7">
      <c r="G63575" s="812"/>
    </row>
    <row r="63576" spans="7:7">
      <c r="G63576" s="812"/>
    </row>
    <row r="63577" spans="7:7">
      <c r="G63577" s="812"/>
    </row>
    <row r="63578" spans="7:7">
      <c r="G63578" s="812"/>
    </row>
    <row r="63579" spans="7:7">
      <c r="G63579" s="812"/>
    </row>
    <row r="63580" spans="7:7">
      <c r="G63580" s="812"/>
    </row>
    <row r="63581" spans="7:7">
      <c r="G63581" s="812"/>
    </row>
    <row r="63582" spans="7:7">
      <c r="G63582" s="812"/>
    </row>
    <row r="63583" spans="7:7">
      <c r="G63583" s="812"/>
    </row>
    <row r="63584" spans="7:7">
      <c r="G63584" s="812"/>
    </row>
    <row r="63585" spans="7:7">
      <c r="G63585" s="812"/>
    </row>
    <row r="63586" spans="7:7">
      <c r="G63586" s="812"/>
    </row>
    <row r="63587" spans="7:7">
      <c r="G63587" s="812"/>
    </row>
    <row r="63588" spans="7:7">
      <c r="G63588" s="812"/>
    </row>
    <row r="63589" spans="7:7">
      <c r="G63589" s="812"/>
    </row>
    <row r="63590" spans="7:7">
      <c r="G63590" s="812"/>
    </row>
    <row r="63591" spans="7:7">
      <c r="G63591" s="812"/>
    </row>
    <row r="63592" spans="7:7">
      <c r="G63592" s="812"/>
    </row>
    <row r="63593" spans="7:7">
      <c r="G63593" s="812"/>
    </row>
    <row r="63594" spans="7:7">
      <c r="G63594" s="812"/>
    </row>
    <row r="63595" spans="7:7">
      <c r="G63595" s="812"/>
    </row>
    <row r="63596" spans="7:7">
      <c r="G63596" s="812"/>
    </row>
    <row r="63597" spans="7:7">
      <c r="G63597" s="812"/>
    </row>
    <row r="63598" spans="7:7">
      <c r="G63598" s="812"/>
    </row>
    <row r="63599" spans="7:7">
      <c r="G63599" s="812"/>
    </row>
    <row r="63600" spans="7:7">
      <c r="G63600" s="812"/>
    </row>
    <row r="63601" spans="7:7">
      <c r="G63601" s="812"/>
    </row>
    <row r="63602" spans="7:7">
      <c r="G63602" s="812"/>
    </row>
    <row r="63603" spans="7:7">
      <c r="G63603" s="812"/>
    </row>
    <row r="63604" spans="7:7">
      <c r="G63604" s="812"/>
    </row>
    <row r="63605" spans="7:7">
      <c r="G63605" s="812"/>
    </row>
    <row r="63606" spans="7:7">
      <c r="G63606" s="812"/>
    </row>
    <row r="63607" spans="7:7">
      <c r="G63607" s="812"/>
    </row>
    <row r="63608" spans="7:7">
      <c r="G63608" s="812"/>
    </row>
    <row r="63609" spans="7:7">
      <c r="G63609" s="812"/>
    </row>
    <row r="63610" spans="7:7">
      <c r="G63610" s="812"/>
    </row>
    <row r="63611" spans="7:7">
      <c r="G63611" s="812"/>
    </row>
    <row r="63612" spans="7:7">
      <c r="G63612" s="812"/>
    </row>
    <row r="63613" spans="7:7">
      <c r="G63613" s="812"/>
    </row>
    <row r="63614" spans="7:7">
      <c r="G63614" s="812"/>
    </row>
    <row r="63615" spans="7:7">
      <c r="G63615" s="812"/>
    </row>
    <row r="63616" spans="7:7">
      <c r="G63616" s="812"/>
    </row>
    <row r="63617" spans="7:7">
      <c r="G63617" s="812"/>
    </row>
    <row r="63618" spans="7:7">
      <c r="G63618" s="812"/>
    </row>
    <row r="63619" spans="7:7">
      <c r="G63619" s="812"/>
    </row>
    <row r="63620" spans="7:7">
      <c r="G63620" s="812"/>
    </row>
    <row r="63621" spans="7:7">
      <c r="G63621" s="812"/>
    </row>
    <row r="63622" spans="7:7">
      <c r="G63622" s="812"/>
    </row>
    <row r="63623" spans="7:7">
      <c r="G63623" s="812"/>
    </row>
    <row r="63624" spans="7:7">
      <c r="G63624" s="812"/>
    </row>
    <row r="63625" spans="7:7">
      <c r="G63625" s="812"/>
    </row>
    <row r="63626" spans="7:7">
      <c r="G63626" s="812"/>
    </row>
    <row r="63627" spans="7:7">
      <c r="G63627" s="812"/>
    </row>
    <row r="63628" spans="7:7">
      <c r="G63628" s="812"/>
    </row>
    <row r="63629" spans="7:7">
      <c r="G63629" s="812"/>
    </row>
    <row r="63630" spans="7:7">
      <c r="G63630" s="812"/>
    </row>
    <row r="63631" spans="7:7">
      <c r="G63631" s="812"/>
    </row>
    <row r="63632" spans="7:7">
      <c r="G63632" s="812"/>
    </row>
    <row r="63633" spans="7:7">
      <c r="G63633" s="812"/>
    </row>
    <row r="63634" spans="7:7">
      <c r="G63634" s="812"/>
    </row>
    <row r="63635" spans="7:7">
      <c r="G63635" s="812"/>
    </row>
    <row r="63636" spans="7:7">
      <c r="G63636" s="812"/>
    </row>
    <row r="63637" spans="7:7">
      <c r="G63637" s="812"/>
    </row>
    <row r="63638" spans="7:7">
      <c r="G63638" s="812"/>
    </row>
    <row r="63639" spans="7:7">
      <c r="G63639" s="812"/>
    </row>
    <row r="63640" spans="7:7">
      <c r="G63640" s="812"/>
    </row>
    <row r="63641" spans="7:7">
      <c r="G63641" s="812"/>
    </row>
    <row r="63642" spans="7:7">
      <c r="G63642" s="812"/>
    </row>
    <row r="63643" spans="7:7">
      <c r="G63643" s="812"/>
    </row>
    <row r="63644" spans="7:7">
      <c r="G63644" s="812"/>
    </row>
    <row r="63645" spans="7:7">
      <c r="G63645" s="812"/>
    </row>
    <row r="63646" spans="7:7">
      <c r="G63646" s="812"/>
    </row>
    <row r="63647" spans="7:7">
      <c r="G63647" s="812"/>
    </row>
    <row r="63648" spans="7:7">
      <c r="G63648" s="812"/>
    </row>
    <row r="63649" spans="7:7">
      <c r="G63649" s="812"/>
    </row>
    <row r="63650" spans="7:7">
      <c r="G63650" s="812"/>
    </row>
    <row r="63651" spans="7:7">
      <c r="G63651" s="812"/>
    </row>
    <row r="63652" spans="7:7">
      <c r="G63652" s="812"/>
    </row>
    <row r="63653" spans="7:7">
      <c r="G63653" s="812"/>
    </row>
    <row r="63654" spans="7:7">
      <c r="G63654" s="812"/>
    </row>
    <row r="63655" spans="7:7">
      <c r="G63655" s="812"/>
    </row>
    <row r="63656" spans="7:7">
      <c r="G63656" s="812"/>
    </row>
    <row r="63657" spans="7:7">
      <c r="G63657" s="812"/>
    </row>
    <row r="63658" spans="7:7">
      <c r="G63658" s="812"/>
    </row>
    <row r="63659" spans="7:7">
      <c r="G63659" s="812"/>
    </row>
    <row r="63660" spans="7:7">
      <c r="G63660" s="812"/>
    </row>
    <row r="63661" spans="7:7">
      <c r="G63661" s="812"/>
    </row>
    <row r="63662" spans="7:7">
      <c r="G63662" s="812"/>
    </row>
    <row r="63663" spans="7:7">
      <c r="G63663" s="812"/>
    </row>
    <row r="63664" spans="7:7">
      <c r="G63664" s="812"/>
    </row>
    <row r="63665" spans="7:7">
      <c r="G63665" s="812"/>
    </row>
    <row r="63666" spans="7:7">
      <c r="G63666" s="812"/>
    </row>
    <row r="63667" spans="7:7">
      <c r="G63667" s="812"/>
    </row>
    <row r="63668" spans="7:7">
      <c r="G63668" s="812"/>
    </row>
    <row r="63669" spans="7:7">
      <c r="G63669" s="812"/>
    </row>
    <row r="63670" spans="7:7">
      <c r="G63670" s="812"/>
    </row>
    <row r="63671" spans="7:7">
      <c r="G63671" s="812"/>
    </row>
    <row r="63672" spans="7:7">
      <c r="G63672" s="812"/>
    </row>
    <row r="63673" spans="7:7">
      <c r="G63673" s="812"/>
    </row>
    <row r="63674" spans="7:7">
      <c r="G63674" s="812"/>
    </row>
    <row r="63675" spans="7:7">
      <c r="G63675" s="812"/>
    </row>
    <row r="63676" spans="7:7">
      <c r="G63676" s="812"/>
    </row>
    <row r="63677" spans="7:7">
      <c r="G63677" s="812"/>
    </row>
    <row r="63678" spans="7:7">
      <c r="G63678" s="812"/>
    </row>
    <row r="63679" spans="7:7">
      <c r="G63679" s="812"/>
    </row>
    <row r="63680" spans="7:7">
      <c r="G63680" s="812"/>
    </row>
    <row r="63681" spans="7:7">
      <c r="G63681" s="812"/>
    </row>
    <row r="63682" spans="7:7">
      <c r="G63682" s="812"/>
    </row>
    <row r="63683" spans="7:7">
      <c r="G63683" s="812"/>
    </row>
    <row r="63684" spans="7:7">
      <c r="G63684" s="812"/>
    </row>
    <row r="63685" spans="7:7">
      <c r="G63685" s="812"/>
    </row>
    <row r="63686" spans="7:7">
      <c r="G63686" s="812"/>
    </row>
    <row r="63687" spans="7:7">
      <c r="G63687" s="812"/>
    </row>
    <row r="63688" spans="7:7">
      <c r="G63688" s="812"/>
    </row>
    <row r="63689" spans="7:7">
      <c r="G63689" s="812"/>
    </row>
    <row r="63690" spans="7:7">
      <c r="G63690" s="812"/>
    </row>
    <row r="63691" spans="7:7">
      <c r="G63691" s="812"/>
    </row>
    <row r="63692" spans="7:7">
      <c r="G63692" s="812"/>
    </row>
    <row r="63693" spans="7:7">
      <c r="G63693" s="812"/>
    </row>
    <row r="63694" spans="7:7">
      <c r="G63694" s="812"/>
    </row>
    <row r="63695" spans="7:7">
      <c r="G63695" s="812"/>
    </row>
    <row r="63696" spans="7:7">
      <c r="G63696" s="812"/>
    </row>
    <row r="63697" spans="7:7">
      <c r="G63697" s="812"/>
    </row>
    <row r="63698" spans="7:7">
      <c r="G63698" s="812"/>
    </row>
    <row r="63699" spans="7:7">
      <c r="G63699" s="812"/>
    </row>
    <row r="63700" spans="7:7">
      <c r="G63700" s="812"/>
    </row>
    <row r="63701" spans="7:7">
      <c r="G63701" s="812"/>
    </row>
    <row r="63702" spans="7:7">
      <c r="G63702" s="812"/>
    </row>
    <row r="63703" spans="7:7">
      <c r="G63703" s="812"/>
    </row>
    <row r="63704" spans="7:7">
      <c r="G63704" s="812"/>
    </row>
    <row r="63705" spans="7:7">
      <c r="G63705" s="812"/>
    </row>
    <row r="63706" spans="7:7">
      <c r="G63706" s="812"/>
    </row>
    <row r="63707" spans="7:7">
      <c r="G63707" s="812"/>
    </row>
    <row r="63708" spans="7:7">
      <c r="G63708" s="812"/>
    </row>
    <row r="63709" spans="7:7">
      <c r="G63709" s="812"/>
    </row>
    <row r="63710" spans="7:7">
      <c r="G63710" s="812"/>
    </row>
    <row r="63711" spans="7:7">
      <c r="G63711" s="812"/>
    </row>
    <row r="63712" spans="7:7">
      <c r="G63712" s="812"/>
    </row>
    <row r="63713" spans="7:7">
      <c r="G63713" s="812"/>
    </row>
    <row r="63714" spans="7:7">
      <c r="G63714" s="812"/>
    </row>
    <row r="63715" spans="7:7">
      <c r="G63715" s="812"/>
    </row>
    <row r="63716" spans="7:7">
      <c r="G63716" s="812"/>
    </row>
    <row r="63717" spans="7:7">
      <c r="G63717" s="812"/>
    </row>
    <row r="63718" spans="7:7">
      <c r="G63718" s="812"/>
    </row>
    <row r="63719" spans="7:7">
      <c r="G63719" s="812"/>
    </row>
    <row r="63720" spans="7:7">
      <c r="G63720" s="812"/>
    </row>
    <row r="63721" spans="7:7">
      <c r="G63721" s="812"/>
    </row>
    <row r="63722" spans="7:7">
      <c r="G63722" s="812"/>
    </row>
    <row r="63723" spans="7:7">
      <c r="G63723" s="812"/>
    </row>
    <row r="63724" spans="7:7">
      <c r="G63724" s="812"/>
    </row>
    <row r="63725" spans="7:7">
      <c r="G63725" s="812"/>
    </row>
    <row r="63726" spans="7:7">
      <c r="G63726" s="812"/>
    </row>
    <row r="63727" spans="7:7">
      <c r="G63727" s="812"/>
    </row>
    <row r="63728" spans="7:7">
      <c r="G63728" s="812"/>
    </row>
    <row r="63729" spans="7:7">
      <c r="G63729" s="812"/>
    </row>
    <row r="63730" spans="7:7">
      <c r="G63730" s="812"/>
    </row>
    <row r="63731" spans="7:7">
      <c r="G63731" s="812"/>
    </row>
    <row r="63732" spans="7:7">
      <c r="G63732" s="812"/>
    </row>
    <row r="63733" spans="7:7">
      <c r="G63733" s="812"/>
    </row>
    <row r="63734" spans="7:7">
      <c r="G63734" s="812"/>
    </row>
    <row r="63735" spans="7:7">
      <c r="G63735" s="812"/>
    </row>
    <row r="63736" spans="7:7">
      <c r="G63736" s="812"/>
    </row>
    <row r="63737" spans="7:7">
      <c r="G63737" s="812"/>
    </row>
    <row r="63738" spans="7:7">
      <c r="G63738" s="812"/>
    </row>
    <row r="63739" spans="7:7">
      <c r="G63739" s="812"/>
    </row>
    <row r="63740" spans="7:7">
      <c r="G63740" s="812"/>
    </row>
    <row r="63741" spans="7:7">
      <c r="G63741" s="812"/>
    </row>
    <row r="63742" spans="7:7">
      <c r="G63742" s="812"/>
    </row>
    <row r="63743" spans="7:7">
      <c r="G63743" s="812"/>
    </row>
    <row r="63744" spans="7:7">
      <c r="G63744" s="812"/>
    </row>
    <row r="63745" spans="7:7">
      <c r="G63745" s="812"/>
    </row>
    <row r="63746" spans="7:7">
      <c r="G63746" s="812"/>
    </row>
    <row r="63747" spans="7:7">
      <c r="G63747" s="812"/>
    </row>
    <row r="63748" spans="7:7">
      <c r="G63748" s="812"/>
    </row>
    <row r="63749" spans="7:7">
      <c r="G63749" s="812"/>
    </row>
    <row r="63750" spans="7:7">
      <c r="G63750" s="812"/>
    </row>
    <row r="63751" spans="7:7">
      <c r="G63751" s="812"/>
    </row>
    <row r="63752" spans="7:7">
      <c r="G63752" s="812"/>
    </row>
    <row r="63753" spans="7:7">
      <c r="G63753" s="812"/>
    </row>
    <row r="63754" spans="7:7">
      <c r="G63754" s="812"/>
    </row>
    <row r="63755" spans="7:7">
      <c r="G63755" s="812"/>
    </row>
    <row r="63756" spans="7:7">
      <c r="G63756" s="812"/>
    </row>
    <row r="63757" spans="7:7">
      <c r="G63757" s="812"/>
    </row>
    <row r="63758" spans="7:7">
      <c r="G63758" s="812"/>
    </row>
    <row r="63759" spans="7:7">
      <c r="G63759" s="812"/>
    </row>
    <row r="63760" spans="7:7">
      <c r="G63760" s="812"/>
    </row>
    <row r="63761" spans="7:7">
      <c r="G63761" s="812"/>
    </row>
    <row r="63762" spans="7:7">
      <c r="G63762" s="812"/>
    </row>
    <row r="63763" spans="7:7">
      <c r="G63763" s="812"/>
    </row>
    <row r="63764" spans="7:7">
      <c r="G63764" s="812"/>
    </row>
    <row r="63765" spans="7:7">
      <c r="G63765" s="812"/>
    </row>
    <row r="63766" spans="7:7">
      <c r="G63766" s="812"/>
    </row>
    <row r="63767" spans="7:7">
      <c r="G63767" s="812"/>
    </row>
    <row r="63768" spans="7:7">
      <c r="G63768" s="812"/>
    </row>
    <row r="63769" spans="7:7">
      <c r="G63769" s="812"/>
    </row>
    <row r="63770" spans="7:7">
      <c r="G63770" s="812"/>
    </row>
    <row r="63771" spans="7:7">
      <c r="G63771" s="812"/>
    </row>
    <row r="63772" spans="7:7">
      <c r="G63772" s="812"/>
    </row>
    <row r="63773" spans="7:7">
      <c r="G63773" s="812"/>
    </row>
    <row r="63774" spans="7:7">
      <c r="G63774" s="812"/>
    </row>
    <row r="63775" spans="7:7">
      <c r="G63775" s="812"/>
    </row>
    <row r="63776" spans="7:7">
      <c r="G63776" s="812"/>
    </row>
    <row r="63777" spans="7:7">
      <c r="G63777" s="812"/>
    </row>
    <row r="63778" spans="7:7">
      <c r="G63778" s="812"/>
    </row>
    <row r="63779" spans="7:7">
      <c r="G63779" s="812"/>
    </row>
    <row r="63780" spans="7:7">
      <c r="G63780" s="812"/>
    </row>
    <row r="63781" spans="7:7">
      <c r="G63781" s="812"/>
    </row>
    <row r="63782" spans="7:7">
      <c r="G63782" s="812"/>
    </row>
    <row r="63783" spans="7:7">
      <c r="G63783" s="812"/>
    </row>
    <row r="63784" spans="7:7">
      <c r="G63784" s="812"/>
    </row>
    <row r="63785" spans="7:7">
      <c r="G63785" s="812"/>
    </row>
    <row r="63786" spans="7:7">
      <c r="G63786" s="812"/>
    </row>
    <row r="63787" spans="7:7">
      <c r="G63787" s="812"/>
    </row>
    <row r="63788" spans="7:7">
      <c r="G63788" s="812"/>
    </row>
    <row r="63789" spans="7:7">
      <c r="G63789" s="812"/>
    </row>
    <row r="63790" spans="7:7">
      <c r="G63790" s="812"/>
    </row>
    <row r="63791" spans="7:7">
      <c r="G63791" s="812"/>
    </row>
    <row r="63792" spans="7:7">
      <c r="G63792" s="812"/>
    </row>
    <row r="63793" spans="7:7">
      <c r="G63793" s="812"/>
    </row>
    <row r="63794" spans="7:7">
      <c r="G63794" s="812"/>
    </row>
    <row r="63795" spans="7:7">
      <c r="G63795" s="812"/>
    </row>
    <row r="63796" spans="7:7">
      <c r="G63796" s="812"/>
    </row>
    <row r="63797" spans="7:7">
      <c r="G63797" s="812"/>
    </row>
    <row r="63798" spans="7:7">
      <c r="G63798" s="812"/>
    </row>
    <row r="63799" spans="7:7">
      <c r="G63799" s="812"/>
    </row>
    <row r="63800" spans="7:7">
      <c r="G63800" s="812"/>
    </row>
    <row r="63801" spans="7:7">
      <c r="G63801" s="812"/>
    </row>
    <row r="63802" spans="7:7">
      <c r="G63802" s="812"/>
    </row>
    <row r="63803" spans="7:7">
      <c r="G63803" s="812"/>
    </row>
    <row r="63804" spans="7:7">
      <c r="G63804" s="812"/>
    </row>
    <row r="63805" spans="7:7">
      <c r="G63805" s="812"/>
    </row>
    <row r="63806" spans="7:7">
      <c r="G63806" s="812"/>
    </row>
    <row r="63807" spans="7:7">
      <c r="G63807" s="812"/>
    </row>
    <row r="63808" spans="7:7">
      <c r="G63808" s="812"/>
    </row>
    <row r="63809" spans="7:7">
      <c r="G63809" s="812"/>
    </row>
    <row r="63810" spans="7:7">
      <c r="G63810" s="812"/>
    </row>
    <row r="63811" spans="7:7">
      <c r="G63811" s="812"/>
    </row>
    <row r="63812" spans="7:7">
      <c r="G63812" s="812"/>
    </row>
    <row r="63813" spans="7:7">
      <c r="G63813" s="812"/>
    </row>
    <row r="63814" spans="7:7">
      <c r="G63814" s="812"/>
    </row>
    <row r="63815" spans="7:7">
      <c r="G63815" s="812"/>
    </row>
    <row r="63816" spans="7:7">
      <c r="G63816" s="812"/>
    </row>
    <row r="63817" spans="7:7">
      <c r="G63817" s="812"/>
    </row>
    <row r="63818" spans="7:7">
      <c r="G63818" s="812"/>
    </row>
    <row r="63819" spans="7:7">
      <c r="G63819" s="812"/>
    </row>
    <row r="63820" spans="7:7">
      <c r="G63820" s="812"/>
    </row>
    <row r="63821" spans="7:7">
      <c r="G63821" s="812"/>
    </row>
    <row r="63822" spans="7:7">
      <c r="G63822" s="812"/>
    </row>
    <row r="63823" spans="7:7">
      <c r="G63823" s="812"/>
    </row>
    <row r="63824" spans="7:7">
      <c r="G63824" s="812"/>
    </row>
    <row r="63825" spans="7:7">
      <c r="G63825" s="812"/>
    </row>
    <row r="63826" spans="7:7">
      <c r="G63826" s="812"/>
    </row>
    <row r="63827" spans="7:7">
      <c r="G63827" s="812"/>
    </row>
    <row r="63828" spans="7:7">
      <c r="G63828" s="812"/>
    </row>
    <row r="63829" spans="7:7">
      <c r="G63829" s="812"/>
    </row>
    <row r="63830" spans="7:7">
      <c r="G63830" s="812"/>
    </row>
    <row r="63831" spans="7:7">
      <c r="G63831" s="812"/>
    </row>
    <row r="63832" spans="7:7">
      <c r="G63832" s="812"/>
    </row>
    <row r="63833" spans="7:7">
      <c r="G63833" s="812"/>
    </row>
    <row r="63834" spans="7:7">
      <c r="G63834" s="812"/>
    </row>
    <row r="63835" spans="7:7">
      <c r="G63835" s="812"/>
    </row>
    <row r="63836" spans="7:7">
      <c r="G63836" s="812"/>
    </row>
    <row r="63837" spans="7:7">
      <c r="G63837" s="812"/>
    </row>
    <row r="63838" spans="7:7">
      <c r="G63838" s="812"/>
    </row>
    <row r="63839" spans="7:7">
      <c r="G63839" s="812"/>
    </row>
    <row r="63840" spans="7:7">
      <c r="G63840" s="812"/>
    </row>
    <row r="63841" spans="7:7">
      <c r="G63841" s="812"/>
    </row>
    <row r="63842" spans="7:7">
      <c r="G63842" s="812"/>
    </row>
    <row r="63843" spans="7:7">
      <c r="G63843" s="812"/>
    </row>
    <row r="63844" spans="7:7">
      <c r="G63844" s="812"/>
    </row>
    <row r="63845" spans="7:7">
      <c r="G63845" s="812"/>
    </row>
    <row r="63846" spans="7:7">
      <c r="G63846" s="812"/>
    </row>
    <row r="63847" spans="7:7">
      <c r="G63847" s="812"/>
    </row>
    <row r="63848" spans="7:7">
      <c r="G63848" s="812"/>
    </row>
    <row r="63849" spans="7:7">
      <c r="G63849" s="812"/>
    </row>
    <row r="63850" spans="7:7">
      <c r="G63850" s="812"/>
    </row>
    <row r="63851" spans="7:7">
      <c r="G63851" s="812"/>
    </row>
    <row r="63852" spans="7:7">
      <c r="G63852" s="812"/>
    </row>
    <row r="63853" spans="7:7">
      <c r="G63853" s="812"/>
    </row>
    <row r="63854" spans="7:7">
      <c r="G63854" s="812"/>
    </row>
    <row r="63855" spans="7:7">
      <c r="G63855" s="812"/>
    </row>
    <row r="63856" spans="7:7">
      <c r="G63856" s="812"/>
    </row>
    <row r="63857" spans="7:7">
      <c r="G63857" s="812"/>
    </row>
    <row r="63858" spans="7:7">
      <c r="G63858" s="812"/>
    </row>
    <row r="63859" spans="7:7">
      <c r="G63859" s="812"/>
    </row>
    <row r="63860" spans="7:7">
      <c r="G63860" s="812"/>
    </row>
    <row r="63861" spans="7:7">
      <c r="G63861" s="812"/>
    </row>
    <row r="63862" spans="7:7">
      <c r="G63862" s="812"/>
    </row>
    <row r="63863" spans="7:7">
      <c r="G63863" s="812"/>
    </row>
    <row r="63864" spans="7:7">
      <c r="G63864" s="812"/>
    </row>
    <row r="63865" spans="7:7">
      <c r="G63865" s="812"/>
    </row>
    <row r="63866" spans="7:7">
      <c r="G63866" s="812"/>
    </row>
    <row r="63867" spans="7:7">
      <c r="G63867" s="812"/>
    </row>
    <row r="63868" spans="7:7">
      <c r="G63868" s="812"/>
    </row>
    <row r="63869" spans="7:7">
      <c r="G63869" s="812"/>
    </row>
    <row r="63870" spans="7:7">
      <c r="G63870" s="812"/>
    </row>
    <row r="63871" spans="7:7">
      <c r="G63871" s="812"/>
    </row>
    <row r="63872" spans="7:7">
      <c r="G63872" s="812"/>
    </row>
    <row r="63873" spans="7:7">
      <c r="G63873" s="812"/>
    </row>
    <row r="63874" spans="7:7">
      <c r="G63874" s="812"/>
    </row>
    <row r="63875" spans="7:7">
      <c r="G63875" s="812"/>
    </row>
    <row r="63876" spans="7:7">
      <c r="G63876" s="812"/>
    </row>
    <row r="63877" spans="7:7">
      <c r="G63877" s="812"/>
    </row>
    <row r="63878" spans="7:7">
      <c r="G63878" s="812"/>
    </row>
    <row r="63879" spans="7:7">
      <c r="G63879" s="812"/>
    </row>
    <row r="63880" spans="7:7">
      <c r="G63880" s="812"/>
    </row>
    <row r="63881" spans="7:7">
      <c r="G63881" s="812"/>
    </row>
    <row r="63882" spans="7:7">
      <c r="G63882" s="812"/>
    </row>
    <row r="63883" spans="7:7">
      <c r="G63883" s="812"/>
    </row>
    <row r="63884" spans="7:7">
      <c r="G63884" s="812"/>
    </row>
    <row r="63885" spans="7:7">
      <c r="G63885" s="812"/>
    </row>
    <row r="63886" spans="7:7">
      <c r="G63886" s="812"/>
    </row>
    <row r="63887" spans="7:7">
      <c r="G63887" s="812"/>
    </row>
    <row r="63888" spans="7:7">
      <c r="G63888" s="812"/>
    </row>
    <row r="63889" spans="7:7">
      <c r="G63889" s="812"/>
    </row>
    <row r="63890" spans="7:7">
      <c r="G63890" s="812"/>
    </row>
    <row r="63891" spans="7:7">
      <c r="G63891" s="812"/>
    </row>
    <row r="63892" spans="7:7">
      <c r="G63892" s="812"/>
    </row>
    <row r="63893" spans="7:7">
      <c r="G63893" s="812"/>
    </row>
    <row r="63894" spans="7:7">
      <c r="G63894" s="812"/>
    </row>
    <row r="63895" spans="7:7">
      <c r="G63895" s="812"/>
    </row>
    <row r="63896" spans="7:7">
      <c r="G63896" s="812"/>
    </row>
    <row r="63897" spans="7:7">
      <c r="G63897" s="812"/>
    </row>
    <row r="63898" spans="7:7">
      <c r="G63898" s="812"/>
    </row>
    <row r="63899" spans="7:7">
      <c r="G63899" s="812"/>
    </row>
    <row r="63900" spans="7:7">
      <c r="G63900" s="812"/>
    </row>
    <row r="63901" spans="7:7">
      <c r="G63901" s="812"/>
    </row>
    <row r="63902" spans="7:7">
      <c r="G63902" s="812"/>
    </row>
    <row r="63903" spans="7:7">
      <c r="G63903" s="812"/>
    </row>
    <row r="63904" spans="7:7">
      <c r="G63904" s="812"/>
    </row>
    <row r="63905" spans="7:7">
      <c r="G63905" s="812"/>
    </row>
    <row r="63906" spans="7:7">
      <c r="G63906" s="812"/>
    </row>
    <row r="63907" spans="7:7">
      <c r="G63907" s="812"/>
    </row>
    <row r="63908" spans="7:7">
      <c r="G63908" s="812"/>
    </row>
    <row r="63909" spans="7:7">
      <c r="G63909" s="812"/>
    </row>
    <row r="63910" spans="7:7">
      <c r="G63910" s="812"/>
    </row>
    <row r="63911" spans="7:7">
      <c r="G63911" s="812"/>
    </row>
    <row r="63912" spans="7:7">
      <c r="G63912" s="812"/>
    </row>
    <row r="63913" spans="7:7">
      <c r="G63913" s="812"/>
    </row>
    <row r="63914" spans="7:7">
      <c r="G63914" s="812"/>
    </row>
    <row r="63915" spans="7:7">
      <c r="G63915" s="812"/>
    </row>
    <row r="63916" spans="7:7">
      <c r="G63916" s="812"/>
    </row>
    <row r="63917" spans="7:7">
      <c r="G63917" s="812"/>
    </row>
    <row r="63918" spans="7:7">
      <c r="G63918" s="812"/>
    </row>
    <row r="63919" spans="7:7">
      <c r="G63919" s="812"/>
    </row>
    <row r="63920" spans="7:7">
      <c r="G63920" s="812"/>
    </row>
    <row r="63921" spans="7:7">
      <c r="G63921" s="812"/>
    </row>
    <row r="63922" spans="7:7">
      <c r="G63922" s="812"/>
    </row>
    <row r="63923" spans="7:7">
      <c r="G63923" s="812"/>
    </row>
    <row r="63924" spans="7:7">
      <c r="G63924" s="812"/>
    </row>
    <row r="63925" spans="7:7">
      <c r="G63925" s="812"/>
    </row>
    <row r="63926" spans="7:7">
      <c r="G63926" s="812"/>
    </row>
    <row r="63927" spans="7:7">
      <c r="G63927" s="812"/>
    </row>
    <row r="63928" spans="7:7">
      <c r="G63928" s="812"/>
    </row>
    <row r="63929" spans="7:7">
      <c r="G63929" s="812"/>
    </row>
    <row r="63930" spans="7:7">
      <c r="G63930" s="812"/>
    </row>
    <row r="63931" spans="7:7">
      <c r="G63931" s="812"/>
    </row>
    <row r="63932" spans="7:7">
      <c r="G63932" s="812"/>
    </row>
    <row r="63933" spans="7:7">
      <c r="G63933" s="812"/>
    </row>
    <row r="63934" spans="7:7">
      <c r="G63934" s="812"/>
    </row>
    <row r="63935" spans="7:7">
      <c r="G63935" s="812"/>
    </row>
    <row r="63936" spans="7:7">
      <c r="G63936" s="812"/>
    </row>
    <row r="63937" spans="7:7">
      <c r="G63937" s="812"/>
    </row>
    <row r="63938" spans="7:7">
      <c r="G63938" s="812"/>
    </row>
    <row r="63939" spans="7:7">
      <c r="G63939" s="812"/>
    </row>
    <row r="63940" spans="7:7">
      <c r="G63940" s="812"/>
    </row>
    <row r="63941" spans="7:7">
      <c r="G63941" s="812"/>
    </row>
    <row r="63942" spans="7:7">
      <c r="G63942" s="812"/>
    </row>
    <row r="63943" spans="7:7">
      <c r="G63943" s="812"/>
    </row>
    <row r="63944" spans="7:7">
      <c r="G63944" s="812"/>
    </row>
    <row r="63945" spans="7:7">
      <c r="G63945" s="812"/>
    </row>
    <row r="63946" spans="7:7">
      <c r="G63946" s="812"/>
    </row>
    <row r="63947" spans="7:7">
      <c r="G63947" s="812"/>
    </row>
    <row r="63948" spans="7:7">
      <c r="G63948" s="812"/>
    </row>
    <row r="63949" spans="7:7">
      <c r="G63949" s="812"/>
    </row>
    <row r="63950" spans="7:7">
      <c r="G63950" s="812"/>
    </row>
    <row r="63951" spans="7:7">
      <c r="G63951" s="812"/>
    </row>
    <row r="63952" spans="7:7">
      <c r="G63952" s="812"/>
    </row>
    <row r="63953" spans="7:7">
      <c r="G63953" s="812"/>
    </row>
    <row r="63954" spans="7:7">
      <c r="G63954" s="812"/>
    </row>
    <row r="63955" spans="7:7">
      <c r="G63955" s="812"/>
    </row>
    <row r="63956" spans="7:7">
      <c r="G63956" s="812"/>
    </row>
    <row r="63957" spans="7:7">
      <c r="G63957" s="812"/>
    </row>
    <row r="63958" spans="7:7">
      <c r="G63958" s="812"/>
    </row>
    <row r="63959" spans="7:7">
      <c r="G63959" s="812"/>
    </row>
    <row r="63960" spans="7:7">
      <c r="G63960" s="812"/>
    </row>
    <row r="63961" spans="7:7">
      <c r="G63961" s="812"/>
    </row>
    <row r="63962" spans="7:7">
      <c r="G63962" s="812"/>
    </row>
    <row r="63963" spans="7:7">
      <c r="G63963" s="812"/>
    </row>
    <row r="63964" spans="7:7">
      <c r="G63964" s="812"/>
    </row>
    <row r="63965" spans="7:7">
      <c r="G63965" s="812"/>
    </row>
    <row r="63966" spans="7:7">
      <c r="G63966" s="812"/>
    </row>
    <row r="63967" spans="7:7">
      <c r="G63967" s="812"/>
    </row>
    <row r="63968" spans="7:7">
      <c r="G63968" s="812"/>
    </row>
    <row r="63969" spans="7:7">
      <c r="G63969" s="812"/>
    </row>
    <row r="63970" spans="7:7">
      <c r="G63970" s="812"/>
    </row>
    <row r="63971" spans="7:7">
      <c r="G63971" s="812"/>
    </row>
    <row r="63972" spans="7:7">
      <c r="G63972" s="812"/>
    </row>
    <row r="63973" spans="7:7">
      <c r="G63973" s="812"/>
    </row>
    <row r="63974" spans="7:7">
      <c r="G63974" s="812"/>
    </row>
    <row r="63975" spans="7:7">
      <c r="G63975" s="812"/>
    </row>
    <row r="63976" spans="7:7">
      <c r="G63976" s="812"/>
    </row>
    <row r="63977" spans="7:7">
      <c r="G63977" s="812"/>
    </row>
    <row r="63978" spans="7:7">
      <c r="G63978" s="812"/>
    </row>
    <row r="63979" spans="7:7">
      <c r="G63979" s="812"/>
    </row>
    <row r="63980" spans="7:7">
      <c r="G63980" s="812"/>
    </row>
    <row r="63981" spans="7:7">
      <c r="G63981" s="812"/>
    </row>
    <row r="63982" spans="7:7">
      <c r="G63982" s="812"/>
    </row>
    <row r="63983" spans="7:7">
      <c r="G63983" s="812"/>
    </row>
    <row r="63984" spans="7:7">
      <c r="G63984" s="812"/>
    </row>
    <row r="63985" spans="7:7">
      <c r="G63985" s="812"/>
    </row>
    <row r="63986" spans="7:7">
      <c r="G63986" s="812"/>
    </row>
    <row r="63987" spans="7:7">
      <c r="G63987" s="812"/>
    </row>
    <row r="63988" spans="7:7">
      <c r="G63988" s="812"/>
    </row>
    <row r="63989" spans="7:7">
      <c r="G63989" s="812"/>
    </row>
    <row r="63990" spans="7:7">
      <c r="G63990" s="812"/>
    </row>
    <row r="63991" spans="7:7">
      <c r="G63991" s="812"/>
    </row>
    <row r="63992" spans="7:7">
      <c r="G63992" s="812"/>
    </row>
    <row r="63993" spans="7:7">
      <c r="G63993" s="812"/>
    </row>
    <row r="63994" spans="7:7">
      <c r="G63994" s="812"/>
    </row>
    <row r="63995" spans="7:7">
      <c r="G63995" s="812"/>
    </row>
    <row r="63996" spans="7:7">
      <c r="G63996" s="812"/>
    </row>
    <row r="63997" spans="7:7">
      <c r="G63997" s="812"/>
    </row>
    <row r="63998" spans="7:7">
      <c r="G63998" s="812"/>
    </row>
    <row r="63999" spans="7:7">
      <c r="G63999" s="812"/>
    </row>
    <row r="64000" spans="7:7">
      <c r="G64000" s="812"/>
    </row>
    <row r="64001" spans="7:7">
      <c r="G64001" s="812"/>
    </row>
    <row r="64002" spans="7:7">
      <c r="G64002" s="812"/>
    </row>
    <row r="64003" spans="7:7">
      <c r="G64003" s="812"/>
    </row>
    <row r="64004" spans="7:7">
      <c r="G64004" s="812"/>
    </row>
    <row r="64005" spans="7:7">
      <c r="G64005" s="812"/>
    </row>
    <row r="64006" spans="7:7">
      <c r="G64006" s="812"/>
    </row>
    <row r="64007" spans="7:7">
      <c r="G64007" s="812"/>
    </row>
    <row r="64008" spans="7:7">
      <c r="G64008" s="812"/>
    </row>
    <row r="64009" spans="7:7">
      <c r="G64009" s="812"/>
    </row>
    <row r="64010" spans="7:7">
      <c r="G64010" s="812"/>
    </row>
    <row r="64011" spans="7:7">
      <c r="G64011" s="812"/>
    </row>
    <row r="64012" spans="7:7">
      <c r="G64012" s="812"/>
    </row>
    <row r="64013" spans="7:7">
      <c r="G64013" s="812"/>
    </row>
    <row r="64014" spans="7:7">
      <c r="G64014" s="812"/>
    </row>
    <row r="64015" spans="7:7">
      <c r="G64015" s="812"/>
    </row>
    <row r="64016" spans="7:7">
      <c r="G64016" s="812"/>
    </row>
    <row r="64017" spans="7:7">
      <c r="G64017" s="812"/>
    </row>
    <row r="64018" spans="7:7">
      <c r="G64018" s="812"/>
    </row>
    <row r="64019" spans="7:7">
      <c r="G64019" s="812"/>
    </row>
    <row r="64020" spans="7:7">
      <c r="G64020" s="812"/>
    </row>
    <row r="64021" spans="7:7">
      <c r="G64021" s="812"/>
    </row>
    <row r="64022" spans="7:7">
      <c r="G64022" s="812"/>
    </row>
    <row r="64023" spans="7:7">
      <c r="G64023" s="812"/>
    </row>
    <row r="64024" spans="7:7">
      <c r="G64024" s="812"/>
    </row>
    <row r="64025" spans="7:7">
      <c r="G64025" s="812"/>
    </row>
    <row r="64026" spans="7:7">
      <c r="G64026" s="812"/>
    </row>
    <row r="64027" spans="7:7">
      <c r="G64027" s="812"/>
    </row>
    <row r="64028" spans="7:7">
      <c r="G64028" s="812"/>
    </row>
    <row r="64029" spans="7:7">
      <c r="G64029" s="812"/>
    </row>
    <row r="64030" spans="7:7">
      <c r="G64030" s="812"/>
    </row>
    <row r="64031" spans="7:7">
      <c r="G64031" s="812"/>
    </row>
    <row r="64032" spans="7:7">
      <c r="G64032" s="812"/>
    </row>
    <row r="64033" spans="7:7">
      <c r="G64033" s="812"/>
    </row>
    <row r="64034" spans="7:7">
      <c r="G64034" s="812"/>
    </row>
    <row r="64035" spans="7:7">
      <c r="G64035" s="812"/>
    </row>
    <row r="64036" spans="7:7">
      <c r="G64036" s="812"/>
    </row>
    <row r="64037" spans="7:7">
      <c r="G64037" s="812"/>
    </row>
    <row r="64038" spans="7:7">
      <c r="G64038" s="812"/>
    </row>
    <row r="64039" spans="7:7">
      <c r="G64039" s="812"/>
    </row>
    <row r="64040" spans="7:7">
      <c r="G64040" s="812"/>
    </row>
    <row r="64041" spans="7:7">
      <c r="G64041" s="812"/>
    </row>
    <row r="64042" spans="7:7">
      <c r="G64042" s="812"/>
    </row>
    <row r="64043" spans="7:7">
      <c r="G64043" s="812"/>
    </row>
    <row r="64044" spans="7:7">
      <c r="G64044" s="812"/>
    </row>
    <row r="64045" spans="7:7">
      <c r="G64045" s="812"/>
    </row>
    <row r="64046" spans="7:7">
      <c r="G64046" s="812"/>
    </row>
    <row r="64047" spans="7:7">
      <c r="G64047" s="812"/>
    </row>
    <row r="64048" spans="7:7">
      <c r="G64048" s="812"/>
    </row>
    <row r="64049" spans="7:7">
      <c r="G64049" s="812"/>
    </row>
    <row r="64050" spans="7:7">
      <c r="G64050" s="812"/>
    </row>
    <row r="64051" spans="7:7">
      <c r="G64051" s="812"/>
    </row>
    <row r="64052" spans="7:7">
      <c r="G64052" s="812"/>
    </row>
    <row r="64053" spans="7:7">
      <c r="G64053" s="812"/>
    </row>
    <row r="64054" spans="7:7">
      <c r="G64054" s="812"/>
    </row>
    <row r="64055" spans="7:7">
      <c r="G64055" s="812"/>
    </row>
    <row r="64056" spans="7:7">
      <c r="G64056" s="812"/>
    </row>
    <row r="64057" spans="7:7">
      <c r="G64057" s="812"/>
    </row>
    <row r="64058" spans="7:7">
      <c r="G64058" s="812"/>
    </row>
    <row r="64059" spans="7:7">
      <c r="G64059" s="812"/>
    </row>
    <row r="64060" spans="7:7">
      <c r="G64060" s="812"/>
    </row>
    <row r="64061" spans="7:7">
      <c r="G64061" s="812"/>
    </row>
    <row r="64062" spans="7:7">
      <c r="G64062" s="812"/>
    </row>
    <row r="64063" spans="7:7">
      <c r="G64063" s="812"/>
    </row>
    <row r="64064" spans="7:7">
      <c r="G64064" s="812"/>
    </row>
    <row r="64065" spans="7:7">
      <c r="G64065" s="812"/>
    </row>
    <row r="64066" spans="7:7">
      <c r="G64066" s="812"/>
    </row>
    <row r="64067" spans="7:7">
      <c r="G64067" s="812"/>
    </row>
    <row r="64068" spans="7:7">
      <c r="G64068" s="812"/>
    </row>
    <row r="64069" spans="7:7">
      <c r="G64069" s="812"/>
    </row>
    <row r="64070" spans="7:7">
      <c r="G64070" s="812"/>
    </row>
    <row r="64071" spans="7:7">
      <c r="G64071" s="812"/>
    </row>
    <row r="64072" spans="7:7">
      <c r="G64072" s="812"/>
    </row>
    <row r="64073" spans="7:7">
      <c r="G64073" s="812"/>
    </row>
    <row r="64074" spans="7:7">
      <c r="G64074" s="812"/>
    </row>
    <row r="64075" spans="7:7">
      <c r="G64075" s="812"/>
    </row>
    <row r="64076" spans="7:7">
      <c r="G64076" s="812"/>
    </row>
    <row r="64077" spans="7:7">
      <c r="G64077" s="812"/>
    </row>
    <row r="64078" spans="7:7">
      <c r="G64078" s="812"/>
    </row>
    <row r="64079" spans="7:7">
      <c r="G64079" s="812"/>
    </row>
    <row r="64080" spans="7:7">
      <c r="G64080" s="812"/>
    </row>
    <row r="64081" spans="7:7">
      <c r="G64081" s="812"/>
    </row>
    <row r="64082" spans="7:7">
      <c r="G64082" s="812"/>
    </row>
    <row r="64083" spans="7:7">
      <c r="G64083" s="812"/>
    </row>
    <row r="64084" spans="7:7">
      <c r="G64084" s="812"/>
    </row>
    <row r="64085" spans="7:7">
      <c r="G64085" s="812"/>
    </row>
    <row r="64086" spans="7:7">
      <c r="G64086" s="812"/>
    </row>
    <row r="64087" spans="7:7">
      <c r="G64087" s="812"/>
    </row>
    <row r="64088" spans="7:7">
      <c r="G64088" s="812"/>
    </row>
    <row r="64089" spans="7:7">
      <c r="G64089" s="812"/>
    </row>
    <row r="64090" spans="7:7">
      <c r="G64090" s="812"/>
    </row>
    <row r="64091" spans="7:7">
      <c r="G64091" s="812"/>
    </row>
    <row r="64092" spans="7:7">
      <c r="G64092" s="812"/>
    </row>
    <row r="64093" spans="7:7">
      <c r="G64093" s="812"/>
    </row>
    <row r="64094" spans="7:7">
      <c r="G64094" s="812"/>
    </row>
    <row r="64095" spans="7:7">
      <c r="G64095" s="812"/>
    </row>
    <row r="64096" spans="7:7">
      <c r="G64096" s="812"/>
    </row>
    <row r="64097" spans="7:7">
      <c r="G64097" s="812"/>
    </row>
    <row r="64098" spans="7:7">
      <c r="G64098" s="812"/>
    </row>
    <row r="64099" spans="7:7">
      <c r="G64099" s="812"/>
    </row>
    <row r="64100" spans="7:7">
      <c r="G64100" s="812"/>
    </row>
    <row r="64101" spans="7:7">
      <c r="G64101" s="812"/>
    </row>
    <row r="64102" spans="7:7">
      <c r="G64102" s="812"/>
    </row>
    <row r="64103" spans="7:7">
      <c r="G64103" s="812"/>
    </row>
    <row r="64104" spans="7:7">
      <c r="G64104" s="812"/>
    </row>
    <row r="64105" spans="7:7">
      <c r="G64105" s="812"/>
    </row>
    <row r="64106" spans="7:7">
      <c r="G64106" s="812"/>
    </row>
    <row r="64107" spans="7:7">
      <c r="G64107" s="812"/>
    </row>
    <row r="64108" spans="7:7">
      <c r="G64108" s="812"/>
    </row>
    <row r="64109" spans="7:7">
      <c r="G64109" s="812"/>
    </row>
    <row r="64110" spans="7:7">
      <c r="G64110" s="812"/>
    </row>
    <row r="64111" spans="7:7">
      <c r="G64111" s="812"/>
    </row>
    <row r="64112" spans="7:7">
      <c r="G64112" s="812"/>
    </row>
    <row r="64113" spans="7:7">
      <c r="G64113" s="812"/>
    </row>
    <row r="64114" spans="7:7">
      <c r="G64114" s="812"/>
    </row>
    <row r="64115" spans="7:7">
      <c r="G64115" s="812"/>
    </row>
    <row r="64116" spans="7:7">
      <c r="G64116" s="812"/>
    </row>
    <row r="64117" spans="7:7">
      <c r="G64117" s="812"/>
    </row>
    <row r="64118" spans="7:7">
      <c r="G64118" s="812"/>
    </row>
    <row r="64119" spans="7:7">
      <c r="G64119" s="812"/>
    </row>
    <row r="64120" spans="7:7">
      <c r="G64120" s="812"/>
    </row>
    <row r="64121" spans="7:7">
      <c r="G64121" s="812"/>
    </row>
    <row r="64122" spans="7:7">
      <c r="G64122" s="812"/>
    </row>
    <row r="64123" spans="7:7">
      <c r="G64123" s="812"/>
    </row>
    <row r="64124" spans="7:7">
      <c r="G64124" s="812"/>
    </row>
    <row r="64125" spans="7:7">
      <c r="G64125" s="812"/>
    </row>
    <row r="64126" spans="7:7">
      <c r="G64126" s="812"/>
    </row>
    <row r="64127" spans="7:7">
      <c r="G64127" s="812"/>
    </row>
    <row r="64128" spans="7:7">
      <c r="G64128" s="812"/>
    </row>
    <row r="64129" spans="7:7">
      <c r="G64129" s="812"/>
    </row>
    <row r="64130" spans="7:7">
      <c r="G64130" s="812"/>
    </row>
    <row r="64131" spans="7:7">
      <c r="G64131" s="812"/>
    </row>
    <row r="64132" spans="7:7">
      <c r="G64132" s="812"/>
    </row>
    <row r="64133" spans="7:7">
      <c r="G64133" s="812"/>
    </row>
    <row r="64134" spans="7:7">
      <c r="G64134" s="812"/>
    </row>
    <row r="64135" spans="7:7">
      <c r="G64135" s="812"/>
    </row>
    <row r="64136" spans="7:7">
      <c r="G64136" s="812"/>
    </row>
    <row r="64137" spans="7:7">
      <c r="G64137" s="812"/>
    </row>
    <row r="64138" spans="7:7">
      <c r="G64138" s="812"/>
    </row>
    <row r="64139" spans="7:7">
      <c r="G64139" s="812"/>
    </row>
    <row r="64140" spans="7:7">
      <c r="G64140" s="812"/>
    </row>
    <row r="64141" spans="7:7">
      <c r="G64141" s="812"/>
    </row>
    <row r="64142" spans="7:7">
      <c r="G64142" s="812"/>
    </row>
    <row r="64143" spans="7:7">
      <c r="G64143" s="812"/>
    </row>
    <row r="64144" spans="7:7">
      <c r="G64144" s="812"/>
    </row>
    <row r="64145" spans="7:7">
      <c r="G64145" s="812"/>
    </row>
    <row r="64146" spans="7:7">
      <c r="G64146" s="812"/>
    </row>
    <row r="64147" spans="7:7">
      <c r="G64147" s="812"/>
    </row>
    <row r="64148" spans="7:7">
      <c r="G64148" s="812"/>
    </row>
    <row r="64149" spans="7:7">
      <c r="G64149" s="812"/>
    </row>
    <row r="64150" spans="7:7">
      <c r="G64150" s="812"/>
    </row>
    <row r="64151" spans="7:7">
      <c r="G64151" s="812"/>
    </row>
    <row r="64152" spans="7:7">
      <c r="G64152" s="812"/>
    </row>
    <row r="64153" spans="7:7">
      <c r="G64153" s="812"/>
    </row>
    <row r="64154" spans="7:7">
      <c r="G64154" s="812"/>
    </row>
    <row r="64155" spans="7:7">
      <c r="G64155" s="812"/>
    </row>
    <row r="64156" spans="7:7">
      <c r="G64156" s="812"/>
    </row>
    <row r="64157" spans="7:7">
      <c r="G64157" s="812"/>
    </row>
    <row r="64158" spans="7:7">
      <c r="G64158" s="812"/>
    </row>
    <row r="64159" spans="7:7">
      <c r="G64159" s="812"/>
    </row>
    <row r="64160" spans="7:7">
      <c r="G64160" s="812"/>
    </row>
    <row r="64161" spans="7:7">
      <c r="G64161" s="812"/>
    </row>
    <row r="64162" spans="7:7">
      <c r="G64162" s="812"/>
    </row>
    <row r="64163" spans="7:7">
      <c r="G64163" s="812"/>
    </row>
    <row r="64164" spans="7:7">
      <c r="G64164" s="812"/>
    </row>
    <row r="64165" spans="7:7">
      <c r="G64165" s="812"/>
    </row>
    <row r="64166" spans="7:7">
      <c r="G64166" s="812"/>
    </row>
    <row r="64167" spans="7:7">
      <c r="G64167" s="812"/>
    </row>
    <row r="64168" spans="7:7">
      <c r="G64168" s="812"/>
    </row>
    <row r="64169" spans="7:7">
      <c r="G64169" s="812"/>
    </row>
    <row r="64170" spans="7:7">
      <c r="G64170" s="812"/>
    </row>
    <row r="64171" spans="7:7">
      <c r="G64171" s="812"/>
    </row>
    <row r="64172" spans="7:7">
      <c r="G64172" s="812"/>
    </row>
    <row r="64173" spans="7:7">
      <c r="G64173" s="812"/>
    </row>
    <row r="64174" spans="7:7">
      <c r="G64174" s="812"/>
    </row>
    <row r="64175" spans="7:7">
      <c r="G64175" s="812"/>
    </row>
    <row r="64176" spans="7:7">
      <c r="G64176" s="812"/>
    </row>
    <row r="64177" spans="7:7">
      <c r="G64177" s="812"/>
    </row>
    <row r="64178" spans="7:7">
      <c r="G64178" s="812"/>
    </row>
    <row r="64179" spans="7:7">
      <c r="G64179" s="812"/>
    </row>
    <row r="64180" spans="7:7">
      <c r="G64180" s="812"/>
    </row>
    <row r="64181" spans="7:7">
      <c r="G64181" s="812"/>
    </row>
    <row r="64182" spans="7:7">
      <c r="G64182" s="812"/>
    </row>
    <row r="64183" spans="7:7">
      <c r="G64183" s="812"/>
    </row>
    <row r="64184" spans="7:7">
      <c r="G64184" s="812"/>
    </row>
    <row r="64185" spans="7:7">
      <c r="G64185" s="812"/>
    </row>
    <row r="64186" spans="7:7">
      <c r="G64186" s="812"/>
    </row>
    <row r="64187" spans="7:7">
      <c r="G64187" s="812"/>
    </row>
    <row r="64188" spans="7:7">
      <c r="G64188" s="812"/>
    </row>
    <row r="64189" spans="7:7">
      <c r="G64189" s="812"/>
    </row>
    <row r="64190" spans="7:7">
      <c r="G64190" s="812"/>
    </row>
    <row r="64191" spans="7:7">
      <c r="G64191" s="812"/>
    </row>
    <row r="64192" spans="7:7">
      <c r="G64192" s="812"/>
    </row>
    <row r="64193" spans="7:7">
      <c r="G64193" s="812"/>
    </row>
    <row r="64194" spans="7:7">
      <c r="G64194" s="812"/>
    </row>
    <row r="64195" spans="7:7">
      <c r="G64195" s="812"/>
    </row>
    <row r="64196" spans="7:7">
      <c r="G64196" s="812"/>
    </row>
    <row r="64197" spans="7:7">
      <c r="G64197" s="812"/>
    </row>
    <row r="64198" spans="7:7">
      <c r="G64198" s="812"/>
    </row>
    <row r="64199" spans="7:7">
      <c r="G64199" s="812"/>
    </row>
    <row r="64200" spans="7:7">
      <c r="G64200" s="812"/>
    </row>
    <row r="64201" spans="7:7">
      <c r="G64201" s="812"/>
    </row>
    <row r="64202" spans="7:7">
      <c r="G64202" s="812"/>
    </row>
    <row r="64203" spans="7:7">
      <c r="G64203" s="812"/>
    </row>
    <row r="64204" spans="7:7">
      <c r="G64204" s="812"/>
    </row>
    <row r="64205" spans="7:7">
      <c r="G64205" s="812"/>
    </row>
    <row r="64206" spans="7:7">
      <c r="G64206" s="812"/>
    </row>
    <row r="64207" spans="7:7">
      <c r="G64207" s="812"/>
    </row>
    <row r="64208" spans="7:7">
      <c r="G64208" s="812"/>
    </row>
    <row r="64209" spans="7:7">
      <c r="G64209" s="812"/>
    </row>
    <row r="64210" spans="7:7">
      <c r="G64210" s="812"/>
    </row>
    <row r="64211" spans="7:7">
      <c r="G64211" s="812"/>
    </row>
    <row r="64212" spans="7:7">
      <c r="G64212" s="812"/>
    </row>
    <row r="64213" spans="7:7">
      <c r="G64213" s="812"/>
    </row>
    <row r="64214" spans="7:7">
      <c r="G64214" s="812"/>
    </row>
    <row r="64215" spans="7:7">
      <c r="G64215" s="812"/>
    </row>
    <row r="64216" spans="7:7">
      <c r="G64216" s="812"/>
    </row>
    <row r="64217" spans="7:7">
      <c r="G64217" s="812"/>
    </row>
    <row r="64218" spans="7:7">
      <c r="G64218" s="812"/>
    </row>
    <row r="64219" spans="7:7">
      <c r="G64219" s="812"/>
    </row>
    <row r="64220" spans="7:7">
      <c r="G64220" s="812"/>
    </row>
    <row r="64221" spans="7:7">
      <c r="G64221" s="812"/>
    </row>
    <row r="64222" spans="7:7">
      <c r="G64222" s="812"/>
    </row>
    <row r="64223" spans="7:7">
      <c r="G64223" s="812"/>
    </row>
    <row r="64224" spans="7:7">
      <c r="G64224" s="812"/>
    </row>
    <row r="64225" spans="7:7">
      <c r="G64225" s="812"/>
    </row>
    <row r="64226" spans="7:7">
      <c r="G64226" s="812"/>
    </row>
    <row r="64227" spans="7:7">
      <c r="G64227" s="812"/>
    </row>
    <row r="64228" spans="7:7">
      <c r="G64228" s="812"/>
    </row>
    <row r="64229" spans="7:7">
      <c r="G64229" s="812"/>
    </row>
    <row r="64230" spans="7:7">
      <c r="G64230" s="812"/>
    </row>
    <row r="64231" spans="7:7">
      <c r="G64231" s="812"/>
    </row>
    <row r="64232" spans="7:7">
      <c r="G64232" s="812"/>
    </row>
    <row r="64233" spans="7:7">
      <c r="G64233" s="812"/>
    </row>
    <row r="64234" spans="7:7">
      <c r="G64234" s="812"/>
    </row>
    <row r="64235" spans="7:7">
      <c r="G64235" s="812"/>
    </row>
    <row r="64236" spans="7:7">
      <c r="G64236" s="812"/>
    </row>
    <row r="64237" spans="7:7">
      <c r="G64237" s="812"/>
    </row>
    <row r="64238" spans="7:7">
      <c r="G64238" s="812"/>
    </row>
    <row r="64239" spans="7:7">
      <c r="G64239" s="812"/>
    </row>
    <row r="64240" spans="7:7">
      <c r="G64240" s="812"/>
    </row>
    <row r="64241" spans="7:7">
      <c r="G64241" s="812"/>
    </row>
    <row r="64242" spans="7:7">
      <c r="G64242" s="812"/>
    </row>
    <row r="64243" spans="7:7">
      <c r="G64243" s="812"/>
    </row>
    <row r="64244" spans="7:7">
      <c r="G64244" s="812"/>
    </row>
    <row r="64245" spans="7:7">
      <c r="G64245" s="812"/>
    </row>
    <row r="64246" spans="7:7">
      <c r="G64246" s="812"/>
    </row>
    <row r="64247" spans="7:7">
      <c r="G64247" s="812"/>
    </row>
    <row r="64248" spans="7:7">
      <c r="G64248" s="812"/>
    </row>
    <row r="64249" spans="7:7">
      <c r="G64249" s="812"/>
    </row>
    <row r="64250" spans="7:7">
      <c r="G64250" s="812"/>
    </row>
    <row r="64251" spans="7:7">
      <c r="G64251" s="812"/>
    </row>
    <row r="64252" spans="7:7">
      <c r="G64252" s="812"/>
    </row>
    <row r="64253" spans="7:7">
      <c r="G64253" s="812"/>
    </row>
    <row r="64254" spans="7:7">
      <c r="G64254" s="812"/>
    </row>
    <row r="64255" spans="7:7">
      <c r="G64255" s="812"/>
    </row>
    <row r="64256" spans="7:7">
      <c r="G64256" s="812"/>
    </row>
    <row r="64257" spans="7:7">
      <c r="G64257" s="812"/>
    </row>
    <row r="64258" spans="7:7">
      <c r="G64258" s="812"/>
    </row>
    <row r="64259" spans="7:7">
      <c r="G64259" s="812"/>
    </row>
    <row r="64260" spans="7:7">
      <c r="G64260" s="812"/>
    </row>
    <row r="64261" spans="7:7">
      <c r="G64261" s="812"/>
    </row>
    <row r="64262" spans="7:7">
      <c r="G64262" s="812"/>
    </row>
    <row r="64263" spans="7:7">
      <c r="G64263" s="812"/>
    </row>
    <row r="64264" spans="7:7">
      <c r="G64264" s="812"/>
    </row>
    <row r="64265" spans="7:7">
      <c r="G64265" s="812"/>
    </row>
    <row r="64266" spans="7:7">
      <c r="G64266" s="812"/>
    </row>
    <row r="64267" spans="7:7">
      <c r="G64267" s="812"/>
    </row>
    <row r="64268" spans="7:7">
      <c r="G64268" s="812"/>
    </row>
    <row r="64269" spans="7:7">
      <c r="G64269" s="812"/>
    </row>
    <row r="64270" spans="7:7">
      <c r="G64270" s="812"/>
    </row>
    <row r="64271" spans="7:7">
      <c r="G64271" s="812"/>
    </row>
    <row r="64272" spans="7:7">
      <c r="G64272" s="812"/>
    </row>
    <row r="64273" spans="7:7">
      <c r="G64273" s="812"/>
    </row>
    <row r="64274" spans="7:7">
      <c r="G64274" s="812"/>
    </row>
    <row r="64275" spans="7:7">
      <c r="G64275" s="812"/>
    </row>
    <row r="64276" spans="7:7">
      <c r="G64276" s="812"/>
    </row>
    <row r="64277" spans="7:7">
      <c r="G64277" s="812"/>
    </row>
    <row r="64278" spans="7:7">
      <c r="G64278" s="812"/>
    </row>
    <row r="64279" spans="7:7">
      <c r="G64279" s="812"/>
    </row>
    <row r="64280" spans="7:7">
      <c r="G64280" s="812"/>
    </row>
    <row r="64281" spans="7:7">
      <c r="G64281" s="812"/>
    </row>
    <row r="64282" spans="7:7">
      <c r="G64282" s="812"/>
    </row>
    <row r="64283" spans="7:7">
      <c r="G64283" s="812"/>
    </row>
    <row r="64284" spans="7:7">
      <c r="G64284" s="812"/>
    </row>
    <row r="64285" spans="7:7">
      <c r="G64285" s="812"/>
    </row>
    <row r="64286" spans="7:7">
      <c r="G64286" s="812"/>
    </row>
    <row r="64287" spans="7:7">
      <c r="G64287" s="812"/>
    </row>
    <row r="64288" spans="7:7">
      <c r="G64288" s="812"/>
    </row>
    <row r="64289" spans="7:7">
      <c r="G64289" s="812"/>
    </row>
    <row r="64290" spans="7:7">
      <c r="G64290" s="812"/>
    </row>
    <row r="64291" spans="7:7">
      <c r="G64291" s="812"/>
    </row>
    <row r="64292" spans="7:7">
      <c r="G64292" s="812"/>
    </row>
    <row r="64293" spans="7:7">
      <c r="G64293" s="812"/>
    </row>
    <row r="64294" spans="7:7">
      <c r="G64294" s="812"/>
    </row>
    <row r="64295" spans="7:7">
      <c r="G64295" s="812"/>
    </row>
    <row r="64296" spans="7:7">
      <c r="G64296" s="812"/>
    </row>
    <row r="64297" spans="7:7">
      <c r="G64297" s="812"/>
    </row>
    <row r="64298" spans="7:7">
      <c r="G64298" s="812"/>
    </row>
    <row r="64299" spans="7:7">
      <c r="G64299" s="812"/>
    </row>
    <row r="64300" spans="7:7">
      <c r="G64300" s="812"/>
    </row>
    <row r="64301" spans="7:7">
      <c r="G64301" s="812"/>
    </row>
    <row r="64302" spans="7:7">
      <c r="G64302" s="812"/>
    </row>
    <row r="64303" spans="7:7">
      <c r="G64303" s="812"/>
    </row>
    <row r="64304" spans="7:7">
      <c r="G64304" s="812"/>
    </row>
    <row r="64305" spans="7:7">
      <c r="G64305" s="812"/>
    </row>
    <row r="64306" spans="7:7">
      <c r="G64306" s="812"/>
    </row>
    <row r="64307" spans="7:7">
      <c r="G64307" s="812"/>
    </row>
    <row r="64308" spans="7:7">
      <c r="G64308" s="812"/>
    </row>
    <row r="64309" spans="7:7">
      <c r="G64309" s="812"/>
    </row>
    <row r="64310" spans="7:7">
      <c r="G64310" s="812"/>
    </row>
    <row r="64311" spans="7:7">
      <c r="G64311" s="812"/>
    </row>
    <row r="64312" spans="7:7">
      <c r="G64312" s="812"/>
    </row>
    <row r="64313" spans="7:7">
      <c r="G64313" s="812"/>
    </row>
    <row r="64314" spans="7:7">
      <c r="G64314" s="812"/>
    </row>
    <row r="64315" spans="7:7">
      <c r="G64315" s="812"/>
    </row>
    <row r="64316" spans="7:7">
      <c r="G64316" s="812"/>
    </row>
    <row r="64317" spans="7:7">
      <c r="G64317" s="812"/>
    </row>
    <row r="64318" spans="7:7">
      <c r="G64318" s="812"/>
    </row>
    <row r="64319" spans="7:7">
      <c r="G64319" s="812"/>
    </row>
    <row r="64320" spans="7:7">
      <c r="G64320" s="812"/>
    </row>
    <row r="64321" spans="7:7">
      <c r="G64321" s="812"/>
    </row>
    <row r="64322" spans="7:7">
      <c r="G64322" s="812"/>
    </row>
    <row r="64323" spans="7:7">
      <c r="G64323" s="812"/>
    </row>
    <row r="64324" spans="7:7">
      <c r="G64324" s="812"/>
    </row>
    <row r="64325" spans="7:7">
      <c r="G64325" s="812"/>
    </row>
    <row r="64326" spans="7:7">
      <c r="G64326" s="812"/>
    </row>
    <row r="64327" spans="7:7">
      <c r="G64327" s="812"/>
    </row>
    <row r="64328" spans="7:7">
      <c r="G64328" s="812"/>
    </row>
    <row r="64329" spans="7:7">
      <c r="G64329" s="812"/>
    </row>
    <row r="64330" spans="7:7">
      <c r="G64330" s="812"/>
    </row>
    <row r="64331" spans="7:7">
      <c r="G64331" s="812"/>
    </row>
    <row r="64332" spans="7:7">
      <c r="G64332" s="812"/>
    </row>
    <row r="64333" spans="7:7">
      <c r="G64333" s="812"/>
    </row>
    <row r="64334" spans="7:7">
      <c r="G64334" s="812"/>
    </row>
    <row r="64335" spans="7:7">
      <c r="G64335" s="812"/>
    </row>
    <row r="64336" spans="7:7">
      <c r="G64336" s="812"/>
    </row>
    <row r="64337" spans="7:7">
      <c r="G64337" s="812"/>
    </row>
    <row r="64338" spans="7:7">
      <c r="G64338" s="812"/>
    </row>
    <row r="64339" spans="7:7">
      <c r="G64339" s="812"/>
    </row>
    <row r="64340" spans="7:7">
      <c r="G64340" s="812"/>
    </row>
    <row r="64341" spans="7:7">
      <c r="G64341" s="812"/>
    </row>
    <row r="64342" spans="7:7">
      <c r="G64342" s="812"/>
    </row>
    <row r="64343" spans="7:7">
      <c r="G64343" s="812"/>
    </row>
    <row r="64344" spans="7:7">
      <c r="G64344" s="812"/>
    </row>
    <row r="64345" spans="7:7">
      <c r="G64345" s="812"/>
    </row>
    <row r="64346" spans="7:7">
      <c r="G64346" s="812"/>
    </row>
    <row r="64347" spans="7:7">
      <c r="G64347" s="812"/>
    </row>
    <row r="64348" spans="7:7">
      <c r="G64348" s="812"/>
    </row>
    <row r="64349" spans="7:7">
      <c r="G64349" s="812"/>
    </row>
    <row r="64350" spans="7:7">
      <c r="G64350" s="812"/>
    </row>
    <row r="64351" spans="7:7">
      <c r="G64351" s="812"/>
    </row>
    <row r="64352" spans="7:7">
      <c r="G64352" s="812"/>
    </row>
    <row r="64353" spans="7:7">
      <c r="G64353" s="812"/>
    </row>
    <row r="64354" spans="7:7">
      <c r="G64354" s="812"/>
    </row>
    <row r="64355" spans="7:7">
      <c r="G64355" s="812"/>
    </row>
    <row r="64356" spans="7:7">
      <c r="G64356" s="812"/>
    </row>
    <row r="64357" spans="7:7">
      <c r="G64357" s="812"/>
    </row>
    <row r="64358" spans="7:7">
      <c r="G64358" s="812"/>
    </row>
    <row r="64359" spans="7:7">
      <c r="G64359" s="812"/>
    </row>
    <row r="64360" spans="7:7">
      <c r="G64360" s="812"/>
    </row>
    <row r="64361" spans="7:7">
      <c r="G64361" s="812"/>
    </row>
    <row r="64362" spans="7:7">
      <c r="G64362" s="812"/>
    </row>
    <row r="64363" spans="7:7">
      <c r="G64363" s="812"/>
    </row>
    <row r="64364" spans="7:7">
      <c r="G64364" s="812"/>
    </row>
    <row r="64365" spans="7:7">
      <c r="G64365" s="812"/>
    </row>
    <row r="64366" spans="7:7">
      <c r="G64366" s="812"/>
    </row>
    <row r="64367" spans="7:7">
      <c r="G64367" s="812"/>
    </row>
    <row r="64368" spans="7:7">
      <c r="G64368" s="812"/>
    </row>
    <row r="64369" spans="7:7">
      <c r="G64369" s="812"/>
    </row>
    <row r="64370" spans="7:7">
      <c r="G64370" s="812"/>
    </row>
    <row r="64371" spans="7:7">
      <c r="G64371" s="812"/>
    </row>
    <row r="64372" spans="7:7">
      <c r="G64372" s="812"/>
    </row>
    <row r="64373" spans="7:7">
      <c r="G64373" s="812"/>
    </row>
    <row r="64374" spans="7:7">
      <c r="G64374" s="812"/>
    </row>
    <row r="64375" spans="7:7">
      <c r="G64375" s="812"/>
    </row>
    <row r="64376" spans="7:7">
      <c r="G64376" s="812"/>
    </row>
    <row r="64377" spans="7:7">
      <c r="G64377" s="812"/>
    </row>
    <row r="64378" spans="7:7">
      <c r="G64378" s="812"/>
    </row>
    <row r="64379" spans="7:7">
      <c r="G64379" s="812"/>
    </row>
    <row r="64380" spans="7:7">
      <c r="G64380" s="812"/>
    </row>
    <row r="64381" spans="7:7">
      <c r="G64381" s="812"/>
    </row>
    <row r="64382" spans="7:7">
      <c r="G64382" s="812"/>
    </row>
    <row r="64383" spans="7:7">
      <c r="G64383" s="812"/>
    </row>
    <row r="64384" spans="7:7">
      <c r="G64384" s="812"/>
    </row>
    <row r="64385" spans="7:7">
      <c r="G64385" s="812"/>
    </row>
    <row r="64386" spans="7:7">
      <c r="G64386" s="812"/>
    </row>
    <row r="64387" spans="7:7">
      <c r="G64387" s="812"/>
    </row>
    <row r="64388" spans="7:7">
      <c r="G64388" s="812"/>
    </row>
    <row r="64389" spans="7:7">
      <c r="G64389" s="812"/>
    </row>
    <row r="64390" spans="7:7">
      <c r="G64390" s="812"/>
    </row>
    <row r="64391" spans="7:7">
      <c r="G64391" s="812"/>
    </row>
    <row r="64392" spans="7:7">
      <c r="G64392" s="812"/>
    </row>
    <row r="64393" spans="7:7">
      <c r="G64393" s="812"/>
    </row>
    <row r="64394" spans="7:7">
      <c r="G64394" s="812"/>
    </row>
    <row r="64395" spans="7:7">
      <c r="G64395" s="812"/>
    </row>
    <row r="64396" spans="7:7">
      <c r="G64396" s="812"/>
    </row>
    <row r="64397" spans="7:7">
      <c r="G64397" s="812"/>
    </row>
    <row r="64398" spans="7:7">
      <c r="G64398" s="812"/>
    </row>
    <row r="64399" spans="7:7">
      <c r="G64399" s="812"/>
    </row>
    <row r="64400" spans="7:7">
      <c r="G64400" s="812"/>
    </row>
    <row r="64401" spans="7:7">
      <c r="G64401" s="812"/>
    </row>
    <row r="64402" spans="7:7">
      <c r="G64402" s="812"/>
    </row>
    <row r="64403" spans="7:7">
      <c r="G64403" s="812"/>
    </row>
    <row r="64404" spans="7:7">
      <c r="G64404" s="812"/>
    </row>
    <row r="64405" spans="7:7">
      <c r="G64405" s="812"/>
    </row>
    <row r="64406" spans="7:7">
      <c r="G64406" s="812"/>
    </row>
    <row r="64407" spans="7:7">
      <c r="G64407" s="812"/>
    </row>
    <row r="64408" spans="7:7">
      <c r="G64408" s="812"/>
    </row>
    <row r="64409" spans="7:7">
      <c r="G64409" s="812"/>
    </row>
    <row r="64410" spans="7:7">
      <c r="G64410" s="812"/>
    </row>
    <row r="64411" spans="7:7">
      <c r="G64411" s="812"/>
    </row>
    <row r="64412" spans="7:7">
      <c r="G64412" s="812"/>
    </row>
    <row r="64413" spans="7:7">
      <c r="G64413" s="812"/>
    </row>
    <row r="64414" spans="7:7">
      <c r="G64414" s="812"/>
    </row>
    <row r="64415" spans="7:7">
      <c r="G64415" s="812"/>
    </row>
    <row r="64416" spans="7:7">
      <c r="G64416" s="812"/>
    </row>
    <row r="64417" spans="7:7">
      <c r="G64417" s="812"/>
    </row>
    <row r="64418" spans="7:7">
      <c r="G64418" s="812"/>
    </row>
    <row r="64419" spans="7:7">
      <c r="G64419" s="812"/>
    </row>
    <row r="64420" spans="7:7">
      <c r="G64420" s="812"/>
    </row>
    <row r="64421" spans="7:7">
      <c r="G64421" s="812"/>
    </row>
    <row r="64422" spans="7:7">
      <c r="G64422" s="812"/>
    </row>
    <row r="64423" spans="7:7">
      <c r="G64423" s="812"/>
    </row>
    <row r="64424" spans="7:7">
      <c r="G64424" s="812"/>
    </row>
    <row r="64425" spans="7:7">
      <c r="G64425" s="812"/>
    </row>
    <row r="64426" spans="7:7">
      <c r="G64426" s="812"/>
    </row>
    <row r="64427" spans="7:7">
      <c r="G64427" s="812"/>
    </row>
    <row r="64428" spans="7:7">
      <c r="G64428" s="812"/>
    </row>
    <row r="64429" spans="7:7">
      <c r="G64429" s="812"/>
    </row>
    <row r="64430" spans="7:7">
      <c r="G64430" s="812"/>
    </row>
    <row r="64431" spans="7:7">
      <c r="G64431" s="812"/>
    </row>
    <row r="64432" spans="7:7">
      <c r="G64432" s="812"/>
    </row>
    <row r="64433" spans="7:7">
      <c r="G64433" s="812"/>
    </row>
    <row r="64434" spans="7:7">
      <c r="G64434" s="812"/>
    </row>
    <row r="64435" spans="7:7">
      <c r="G64435" s="812"/>
    </row>
    <row r="64436" spans="7:7">
      <c r="G64436" s="812"/>
    </row>
    <row r="64437" spans="7:7">
      <c r="G64437" s="812"/>
    </row>
    <row r="64438" spans="7:7">
      <c r="G64438" s="812"/>
    </row>
    <row r="64439" spans="7:7">
      <c r="G64439" s="812"/>
    </row>
    <row r="64440" spans="7:7">
      <c r="G64440" s="812"/>
    </row>
    <row r="64441" spans="7:7">
      <c r="G64441" s="812"/>
    </row>
    <row r="64442" spans="7:7">
      <c r="G64442" s="812"/>
    </row>
    <row r="64443" spans="7:7">
      <c r="G64443" s="812"/>
    </row>
    <row r="64444" spans="7:7">
      <c r="G64444" s="812"/>
    </row>
    <row r="64445" spans="7:7">
      <c r="G64445" s="812"/>
    </row>
    <row r="64446" spans="7:7">
      <c r="G64446" s="812"/>
    </row>
    <row r="64447" spans="7:7">
      <c r="G64447" s="812"/>
    </row>
    <row r="64448" spans="7:7">
      <c r="G64448" s="812"/>
    </row>
    <row r="64449" spans="7:7">
      <c r="G64449" s="812"/>
    </row>
    <row r="64450" spans="7:7">
      <c r="G64450" s="812"/>
    </row>
    <row r="64451" spans="7:7">
      <c r="G64451" s="812"/>
    </row>
    <row r="64452" spans="7:7">
      <c r="G64452" s="812"/>
    </row>
    <row r="64453" spans="7:7">
      <c r="G64453" s="812"/>
    </row>
    <row r="64454" spans="7:7">
      <c r="G64454" s="812"/>
    </row>
    <row r="64455" spans="7:7">
      <c r="G64455" s="812"/>
    </row>
    <row r="64456" spans="7:7">
      <c r="G64456" s="812"/>
    </row>
    <row r="64457" spans="7:7">
      <c r="G64457" s="812"/>
    </row>
    <row r="64458" spans="7:7">
      <c r="G64458" s="812"/>
    </row>
    <row r="64459" spans="7:7">
      <c r="G64459" s="812"/>
    </row>
    <row r="64460" spans="7:7">
      <c r="G64460" s="812"/>
    </row>
    <row r="64461" spans="7:7">
      <c r="G64461" s="812"/>
    </row>
    <row r="64462" spans="7:7">
      <c r="G64462" s="812"/>
    </row>
    <row r="64463" spans="7:7">
      <c r="G64463" s="812"/>
    </row>
    <row r="64464" spans="7:7">
      <c r="G64464" s="812"/>
    </row>
    <row r="64465" spans="7:7">
      <c r="G64465" s="812"/>
    </row>
    <row r="64466" spans="7:7">
      <c r="G64466" s="812"/>
    </row>
    <row r="64467" spans="7:7">
      <c r="G64467" s="812"/>
    </row>
    <row r="64468" spans="7:7">
      <c r="G64468" s="812"/>
    </row>
    <row r="64469" spans="7:7">
      <c r="G64469" s="812"/>
    </row>
    <row r="64470" spans="7:7">
      <c r="G64470" s="812"/>
    </row>
    <row r="64471" spans="7:7">
      <c r="G64471" s="812"/>
    </row>
    <row r="64472" spans="7:7">
      <c r="G64472" s="812"/>
    </row>
    <row r="64473" spans="7:7">
      <c r="G64473" s="812"/>
    </row>
    <row r="64474" spans="7:7">
      <c r="G64474" s="812"/>
    </row>
    <row r="64475" spans="7:7">
      <c r="G64475" s="812"/>
    </row>
    <row r="64476" spans="7:7">
      <c r="G64476" s="812"/>
    </row>
    <row r="64477" spans="7:7">
      <c r="G64477" s="812"/>
    </row>
    <row r="64478" spans="7:7">
      <c r="G64478" s="812"/>
    </row>
    <row r="64479" spans="7:7">
      <c r="G64479" s="812"/>
    </row>
    <row r="64480" spans="7:7">
      <c r="G64480" s="812"/>
    </row>
    <row r="64481" spans="7:7">
      <c r="G64481" s="812"/>
    </row>
    <row r="64482" spans="7:7">
      <c r="G64482" s="812"/>
    </row>
    <row r="64483" spans="7:7">
      <c r="G64483" s="812"/>
    </row>
    <row r="64484" spans="7:7">
      <c r="G64484" s="812"/>
    </row>
    <row r="64485" spans="7:7">
      <c r="G64485" s="812"/>
    </row>
    <row r="64486" spans="7:7">
      <c r="G64486" s="812"/>
    </row>
    <row r="64487" spans="7:7">
      <c r="G64487" s="812"/>
    </row>
    <row r="64488" spans="7:7">
      <c r="G64488" s="812"/>
    </row>
    <row r="64489" spans="7:7">
      <c r="G64489" s="812"/>
    </row>
    <row r="64490" spans="7:7">
      <c r="G64490" s="812"/>
    </row>
    <row r="64491" spans="7:7">
      <c r="G64491" s="812"/>
    </row>
    <row r="64492" spans="7:7">
      <c r="G64492" s="812"/>
    </row>
    <row r="64493" spans="7:7">
      <c r="G64493" s="812"/>
    </row>
    <row r="64494" spans="7:7">
      <c r="G64494" s="812"/>
    </row>
    <row r="64495" spans="7:7">
      <c r="G64495" s="812"/>
    </row>
    <row r="64496" spans="7:7">
      <c r="G64496" s="812"/>
    </row>
    <row r="64497" spans="7:7">
      <c r="G64497" s="812"/>
    </row>
    <row r="64498" spans="7:7">
      <c r="G64498" s="812"/>
    </row>
    <row r="64499" spans="7:7">
      <c r="G64499" s="812"/>
    </row>
    <row r="64500" spans="7:7">
      <c r="G64500" s="812"/>
    </row>
    <row r="64501" spans="7:7">
      <c r="G64501" s="812"/>
    </row>
    <row r="64502" spans="7:7">
      <c r="G64502" s="812"/>
    </row>
    <row r="64503" spans="7:7">
      <c r="G64503" s="812"/>
    </row>
    <row r="64504" spans="7:7">
      <c r="G64504" s="812"/>
    </row>
    <row r="64505" spans="7:7">
      <c r="G64505" s="812"/>
    </row>
    <row r="64506" spans="7:7">
      <c r="G64506" s="812"/>
    </row>
    <row r="64507" spans="7:7">
      <c r="G64507" s="812"/>
    </row>
    <row r="64508" spans="7:7">
      <c r="G64508" s="812"/>
    </row>
    <row r="64509" spans="7:7">
      <c r="G64509" s="812"/>
    </row>
    <row r="64510" spans="7:7">
      <c r="G64510" s="812"/>
    </row>
    <row r="64511" spans="7:7">
      <c r="G64511" s="812"/>
    </row>
    <row r="64512" spans="7:7">
      <c r="G64512" s="812"/>
    </row>
    <row r="64513" spans="7:7">
      <c r="G64513" s="812"/>
    </row>
    <row r="64514" spans="7:7">
      <c r="G64514" s="812"/>
    </row>
    <row r="64515" spans="7:7">
      <c r="G64515" s="812"/>
    </row>
    <row r="64516" spans="7:7">
      <c r="G64516" s="812"/>
    </row>
    <row r="64517" spans="7:7">
      <c r="G64517" s="812"/>
    </row>
    <row r="64518" spans="7:7">
      <c r="G64518" s="812"/>
    </row>
    <row r="64519" spans="7:7">
      <c r="G64519" s="812"/>
    </row>
    <row r="64520" spans="7:7">
      <c r="G64520" s="812"/>
    </row>
    <row r="64521" spans="7:7">
      <c r="G64521" s="812"/>
    </row>
    <row r="64522" spans="7:7">
      <c r="G64522" s="812"/>
    </row>
    <row r="64523" spans="7:7">
      <c r="G64523" s="812"/>
    </row>
    <row r="64524" spans="7:7">
      <c r="G64524" s="812"/>
    </row>
    <row r="64525" spans="7:7">
      <c r="G64525" s="812"/>
    </row>
    <row r="64526" spans="7:7">
      <c r="G64526" s="812"/>
    </row>
    <row r="64527" spans="7:7">
      <c r="G64527" s="812"/>
    </row>
    <row r="64528" spans="7:7">
      <c r="G64528" s="812"/>
    </row>
    <row r="64529" spans="7:7">
      <c r="G64529" s="812"/>
    </row>
    <row r="64530" spans="7:7">
      <c r="G64530" s="812"/>
    </row>
    <row r="64531" spans="7:7">
      <c r="G64531" s="812"/>
    </row>
    <row r="64532" spans="7:7">
      <c r="G64532" s="812"/>
    </row>
    <row r="64533" spans="7:7">
      <c r="G64533" s="812"/>
    </row>
    <row r="64534" spans="7:7">
      <c r="G64534" s="812"/>
    </row>
    <row r="64535" spans="7:7">
      <c r="G64535" s="812"/>
    </row>
    <row r="64536" spans="7:7">
      <c r="G64536" s="812"/>
    </row>
    <row r="64537" spans="7:7">
      <c r="G64537" s="812"/>
    </row>
    <row r="64538" spans="7:7">
      <c r="G64538" s="812"/>
    </row>
    <row r="64539" spans="7:7">
      <c r="G64539" s="812"/>
    </row>
    <row r="64540" spans="7:7">
      <c r="G64540" s="812"/>
    </row>
    <row r="64541" spans="7:7">
      <c r="G64541" s="812"/>
    </row>
    <row r="64542" spans="7:7">
      <c r="G64542" s="812"/>
    </row>
    <row r="64543" spans="7:7">
      <c r="G64543" s="812"/>
    </row>
    <row r="64544" spans="7:7">
      <c r="G64544" s="812"/>
    </row>
    <row r="64545" spans="7:7">
      <c r="G64545" s="812"/>
    </row>
    <row r="64546" spans="7:7">
      <c r="G64546" s="812"/>
    </row>
    <row r="64547" spans="7:7">
      <c r="G64547" s="812"/>
    </row>
    <row r="64548" spans="7:7">
      <c r="G64548" s="812"/>
    </row>
    <row r="64549" spans="7:7">
      <c r="G64549" s="812"/>
    </row>
    <row r="64550" spans="7:7">
      <c r="G64550" s="812"/>
    </row>
    <row r="64551" spans="7:7">
      <c r="G64551" s="812"/>
    </row>
    <row r="64552" spans="7:7">
      <c r="G64552" s="812"/>
    </row>
    <row r="64553" spans="7:7">
      <c r="G64553" s="812"/>
    </row>
    <row r="64554" spans="7:7">
      <c r="G64554" s="812"/>
    </row>
    <row r="64555" spans="7:7">
      <c r="G64555" s="812"/>
    </row>
    <row r="64556" spans="7:7">
      <c r="G64556" s="812"/>
    </row>
    <row r="64557" spans="7:7">
      <c r="G64557" s="812"/>
    </row>
    <row r="64558" spans="7:7">
      <c r="G64558" s="812"/>
    </row>
    <row r="64559" spans="7:7">
      <c r="G64559" s="812"/>
    </row>
    <row r="64560" spans="7:7">
      <c r="G64560" s="812"/>
    </row>
    <row r="64561" spans="7:7">
      <c r="G64561" s="812"/>
    </row>
    <row r="64562" spans="7:7">
      <c r="G64562" s="812"/>
    </row>
    <row r="64563" spans="7:7">
      <c r="G64563" s="812"/>
    </row>
    <row r="64564" spans="7:7">
      <c r="G64564" s="812"/>
    </row>
    <row r="64565" spans="7:7">
      <c r="G64565" s="812"/>
    </row>
    <row r="64566" spans="7:7">
      <c r="G64566" s="812"/>
    </row>
    <row r="64567" spans="7:7">
      <c r="G64567" s="812"/>
    </row>
    <row r="64568" spans="7:7">
      <c r="G64568" s="812"/>
    </row>
    <row r="64569" spans="7:7">
      <c r="G64569" s="812"/>
    </row>
    <row r="64570" spans="7:7">
      <c r="G64570" s="812"/>
    </row>
    <row r="64571" spans="7:7">
      <c r="G64571" s="812"/>
    </row>
    <row r="64572" spans="7:7">
      <c r="G64572" s="812"/>
    </row>
    <row r="64573" spans="7:7">
      <c r="G64573" s="812"/>
    </row>
    <row r="64574" spans="7:7">
      <c r="G64574" s="812"/>
    </row>
    <row r="64575" spans="7:7">
      <c r="G64575" s="812"/>
    </row>
    <row r="64576" spans="7:7">
      <c r="G64576" s="812"/>
    </row>
    <row r="64577" spans="7:7">
      <c r="G64577" s="812"/>
    </row>
    <row r="64578" spans="7:7">
      <c r="G64578" s="812"/>
    </row>
    <row r="64579" spans="7:7">
      <c r="G64579" s="812"/>
    </row>
    <row r="64580" spans="7:7">
      <c r="G64580" s="812"/>
    </row>
    <row r="64581" spans="7:7">
      <c r="G64581" s="812"/>
    </row>
    <row r="64582" spans="7:7">
      <c r="G64582" s="812"/>
    </row>
    <row r="64583" spans="7:7">
      <c r="G64583" s="812"/>
    </row>
    <row r="64584" spans="7:7">
      <c r="G64584" s="812"/>
    </row>
    <row r="64585" spans="7:7">
      <c r="G64585" s="812"/>
    </row>
    <row r="64586" spans="7:7">
      <c r="G64586" s="812"/>
    </row>
    <row r="64587" spans="7:7">
      <c r="G64587" s="812"/>
    </row>
    <row r="64588" spans="7:7">
      <c r="G64588" s="812"/>
    </row>
    <row r="64589" spans="7:7">
      <c r="G64589" s="812"/>
    </row>
    <row r="64590" spans="7:7">
      <c r="G64590" s="812"/>
    </row>
    <row r="64591" spans="7:7">
      <c r="G64591" s="812"/>
    </row>
    <row r="64592" spans="7:7">
      <c r="G64592" s="812"/>
    </row>
    <row r="64593" spans="7:7">
      <c r="G64593" s="812"/>
    </row>
    <row r="64594" spans="7:7">
      <c r="G64594" s="812"/>
    </row>
    <row r="64595" spans="7:7">
      <c r="G64595" s="812"/>
    </row>
    <row r="64596" spans="7:7">
      <c r="G64596" s="812"/>
    </row>
    <row r="64597" spans="7:7">
      <c r="G64597" s="812"/>
    </row>
    <row r="64598" spans="7:7">
      <c r="G64598" s="812"/>
    </row>
    <row r="64599" spans="7:7">
      <c r="G64599" s="812"/>
    </row>
    <row r="64600" spans="7:7">
      <c r="G64600" s="812"/>
    </row>
    <row r="64601" spans="7:7">
      <c r="G64601" s="812"/>
    </row>
    <row r="64602" spans="7:7">
      <c r="G64602" s="812"/>
    </row>
    <row r="64603" spans="7:7">
      <c r="G64603" s="812"/>
    </row>
    <row r="64604" spans="7:7">
      <c r="G64604" s="812"/>
    </row>
    <row r="64605" spans="7:7">
      <c r="G64605" s="812"/>
    </row>
    <row r="64606" spans="7:7">
      <c r="G64606" s="812"/>
    </row>
    <row r="64607" spans="7:7">
      <c r="G64607" s="812"/>
    </row>
    <row r="64608" spans="7:7">
      <c r="G64608" s="812"/>
    </row>
    <row r="64609" spans="7:7">
      <c r="G64609" s="812"/>
    </row>
    <row r="64610" spans="7:7">
      <c r="G64610" s="812"/>
    </row>
    <row r="64611" spans="7:7">
      <c r="G64611" s="812"/>
    </row>
    <row r="64612" spans="7:7">
      <c r="G64612" s="812"/>
    </row>
    <row r="64613" spans="7:7">
      <c r="G64613" s="812"/>
    </row>
    <row r="64614" spans="7:7">
      <c r="G64614" s="812"/>
    </row>
    <row r="64615" spans="7:7">
      <c r="G64615" s="812"/>
    </row>
    <row r="64616" spans="7:7">
      <c r="G64616" s="812"/>
    </row>
    <row r="64617" spans="7:7">
      <c r="G64617" s="812"/>
    </row>
    <row r="64618" spans="7:7">
      <c r="G64618" s="812"/>
    </row>
    <row r="64619" spans="7:7">
      <c r="G64619" s="812"/>
    </row>
    <row r="64620" spans="7:7">
      <c r="G64620" s="812"/>
    </row>
    <row r="64621" spans="7:7">
      <c r="G64621" s="812"/>
    </row>
    <row r="64622" spans="7:7">
      <c r="G64622" s="812"/>
    </row>
    <row r="64623" spans="7:7">
      <c r="G64623" s="812"/>
    </row>
    <row r="64624" spans="7:7">
      <c r="G64624" s="812"/>
    </row>
    <row r="64625" spans="7:7">
      <c r="G64625" s="812"/>
    </row>
    <row r="64626" spans="7:7">
      <c r="G64626" s="812"/>
    </row>
    <row r="64627" spans="7:7">
      <c r="G64627" s="812"/>
    </row>
    <row r="64628" spans="7:7">
      <c r="G64628" s="812"/>
    </row>
    <row r="64629" spans="7:7">
      <c r="G64629" s="812"/>
    </row>
    <row r="64630" spans="7:7">
      <c r="G64630" s="812"/>
    </row>
    <row r="64631" spans="7:7">
      <c r="G64631" s="812"/>
    </row>
    <row r="64632" spans="7:7">
      <c r="G64632" s="812"/>
    </row>
    <row r="64633" spans="7:7">
      <c r="G64633" s="812"/>
    </row>
    <row r="64634" spans="7:7">
      <c r="G64634" s="812"/>
    </row>
    <row r="64635" spans="7:7">
      <c r="G64635" s="812"/>
    </row>
    <row r="64636" spans="7:7">
      <c r="G64636" s="812"/>
    </row>
    <row r="64637" spans="7:7">
      <c r="G64637" s="812"/>
    </row>
    <row r="64638" spans="7:7">
      <c r="G64638" s="812"/>
    </row>
    <row r="64639" spans="7:7">
      <c r="G64639" s="812"/>
    </row>
    <row r="64640" spans="7:7">
      <c r="G64640" s="812"/>
    </row>
    <row r="64641" spans="7:7">
      <c r="G64641" s="812"/>
    </row>
    <row r="64642" spans="7:7">
      <c r="G64642" s="812"/>
    </row>
    <row r="64643" spans="7:7">
      <c r="G64643" s="812"/>
    </row>
    <row r="64644" spans="7:7">
      <c r="G64644" s="812"/>
    </row>
    <row r="64645" spans="7:7">
      <c r="G64645" s="812"/>
    </row>
    <row r="64646" spans="7:7">
      <c r="G64646" s="812"/>
    </row>
    <row r="64647" spans="7:7">
      <c r="G64647" s="812"/>
    </row>
    <row r="64648" spans="7:7">
      <c r="G64648" s="812"/>
    </row>
    <row r="64649" spans="7:7">
      <c r="G64649" s="812"/>
    </row>
    <row r="64650" spans="7:7">
      <c r="G64650" s="812"/>
    </row>
    <row r="64651" spans="7:7">
      <c r="G64651" s="812"/>
    </row>
    <row r="64652" spans="7:7">
      <c r="G64652" s="812"/>
    </row>
    <row r="64653" spans="7:7">
      <c r="G64653" s="812"/>
    </row>
    <row r="64654" spans="7:7">
      <c r="G64654" s="812"/>
    </row>
    <row r="64655" spans="7:7">
      <c r="G64655" s="812"/>
    </row>
    <row r="64656" spans="7:7">
      <c r="G64656" s="812"/>
    </row>
    <row r="64657" spans="7:7">
      <c r="G64657" s="812"/>
    </row>
    <row r="64658" spans="7:7">
      <c r="G64658" s="812"/>
    </row>
    <row r="64659" spans="7:7">
      <c r="G64659" s="812"/>
    </row>
    <row r="64660" spans="7:7">
      <c r="G64660" s="812"/>
    </row>
    <row r="64661" spans="7:7">
      <c r="G64661" s="812"/>
    </row>
    <row r="64662" spans="7:7">
      <c r="G64662" s="812"/>
    </row>
    <row r="64663" spans="7:7">
      <c r="G64663" s="812"/>
    </row>
    <row r="64664" spans="7:7">
      <c r="G64664" s="812"/>
    </row>
    <row r="64665" spans="7:7">
      <c r="G64665" s="812"/>
    </row>
    <row r="64666" spans="7:7">
      <c r="G64666" s="812"/>
    </row>
    <row r="64667" spans="7:7">
      <c r="G64667" s="812"/>
    </row>
    <row r="64668" spans="7:7">
      <c r="G64668" s="812"/>
    </row>
    <row r="64669" spans="7:7">
      <c r="G64669" s="812"/>
    </row>
    <row r="64670" spans="7:7">
      <c r="G64670" s="812"/>
    </row>
    <row r="64671" spans="7:7">
      <c r="G64671" s="812"/>
    </row>
    <row r="64672" spans="7:7">
      <c r="G64672" s="812"/>
    </row>
    <row r="64673" spans="7:7">
      <c r="G64673" s="812"/>
    </row>
    <row r="64674" spans="7:7">
      <c r="G64674" s="812"/>
    </row>
    <row r="64675" spans="7:7">
      <c r="G64675" s="812"/>
    </row>
    <row r="64676" spans="7:7">
      <c r="G64676" s="812"/>
    </row>
    <row r="64677" spans="7:7">
      <c r="G64677" s="812"/>
    </row>
    <row r="64678" spans="7:7">
      <c r="G64678" s="812"/>
    </row>
    <row r="64679" spans="7:7">
      <c r="G64679" s="812"/>
    </row>
    <row r="64680" spans="7:7">
      <c r="G64680" s="812"/>
    </row>
    <row r="64681" spans="7:7">
      <c r="G64681" s="812"/>
    </row>
    <row r="64682" spans="7:7">
      <c r="G64682" s="812"/>
    </row>
    <row r="64683" spans="7:7">
      <c r="G64683" s="812"/>
    </row>
    <row r="64684" spans="7:7">
      <c r="G64684" s="812"/>
    </row>
    <row r="64685" spans="7:7">
      <c r="G64685" s="812"/>
    </row>
    <row r="64686" spans="7:7">
      <c r="G64686" s="812"/>
    </row>
    <row r="64687" spans="7:7">
      <c r="G64687" s="812"/>
    </row>
    <row r="64688" spans="7:7">
      <c r="G64688" s="812"/>
    </row>
    <row r="64689" spans="7:7">
      <c r="G64689" s="812"/>
    </row>
    <row r="64690" spans="7:7">
      <c r="G64690" s="812"/>
    </row>
    <row r="64691" spans="7:7">
      <c r="G64691" s="812"/>
    </row>
    <row r="64692" spans="7:7">
      <c r="G64692" s="812"/>
    </row>
    <row r="64693" spans="7:7">
      <c r="G64693" s="812"/>
    </row>
    <row r="64694" spans="7:7">
      <c r="G64694" s="812"/>
    </row>
    <row r="64695" spans="7:7">
      <c r="G64695" s="812"/>
    </row>
    <row r="64696" spans="7:7">
      <c r="G64696" s="812"/>
    </row>
    <row r="64697" spans="7:7">
      <c r="G64697" s="812"/>
    </row>
    <row r="64698" spans="7:7">
      <c r="G64698" s="812"/>
    </row>
    <row r="64699" spans="7:7">
      <c r="G64699" s="812"/>
    </row>
    <row r="64700" spans="7:7">
      <c r="G64700" s="812"/>
    </row>
    <row r="64701" spans="7:7">
      <c r="G64701" s="812"/>
    </row>
    <row r="64702" spans="7:7">
      <c r="G64702" s="812"/>
    </row>
    <row r="64703" spans="7:7">
      <c r="G64703" s="812"/>
    </row>
    <row r="64704" spans="7:7">
      <c r="G64704" s="812"/>
    </row>
    <row r="64705" spans="7:7">
      <c r="G64705" s="812"/>
    </row>
    <row r="64706" spans="7:7">
      <c r="G64706" s="812"/>
    </row>
    <row r="64707" spans="7:7">
      <c r="G64707" s="812"/>
    </row>
    <row r="64708" spans="7:7">
      <c r="G64708" s="812"/>
    </row>
    <row r="64709" spans="7:7">
      <c r="G64709" s="812"/>
    </row>
    <row r="64710" spans="7:7">
      <c r="G64710" s="812"/>
    </row>
    <row r="64711" spans="7:7">
      <c r="G64711" s="812"/>
    </row>
    <row r="64712" spans="7:7">
      <c r="G64712" s="812"/>
    </row>
    <row r="64713" spans="7:7">
      <c r="G64713" s="812"/>
    </row>
    <row r="64714" spans="7:7">
      <c r="G64714" s="812"/>
    </row>
    <row r="64715" spans="7:7">
      <c r="G64715" s="812"/>
    </row>
    <row r="64716" spans="7:7">
      <c r="G64716" s="812"/>
    </row>
    <row r="64717" spans="7:7">
      <c r="G64717" s="812"/>
    </row>
    <row r="64718" spans="7:7">
      <c r="G64718" s="812"/>
    </row>
    <row r="64719" spans="7:7">
      <c r="G64719" s="812"/>
    </row>
    <row r="64720" spans="7:7">
      <c r="G64720" s="812"/>
    </row>
    <row r="64721" spans="7:7">
      <c r="G64721" s="812"/>
    </row>
    <row r="64722" spans="7:7">
      <c r="G64722" s="812"/>
    </row>
    <row r="64723" spans="7:7">
      <c r="G64723" s="812"/>
    </row>
    <row r="64724" spans="7:7">
      <c r="G64724" s="812"/>
    </row>
    <row r="64725" spans="7:7">
      <c r="G64725" s="812"/>
    </row>
    <row r="64726" spans="7:7">
      <c r="G64726" s="812"/>
    </row>
    <row r="64727" spans="7:7">
      <c r="G64727" s="812"/>
    </row>
    <row r="64728" spans="7:7">
      <c r="G64728" s="812"/>
    </row>
    <row r="64729" spans="7:7">
      <c r="G64729" s="812"/>
    </row>
    <row r="64730" spans="7:7">
      <c r="G64730" s="812"/>
    </row>
    <row r="64731" spans="7:7">
      <c r="G64731" s="812"/>
    </row>
    <row r="64732" spans="7:7">
      <c r="G64732" s="812"/>
    </row>
    <row r="64733" spans="7:7">
      <c r="G64733" s="812"/>
    </row>
    <row r="64734" spans="7:7">
      <c r="G64734" s="812"/>
    </row>
    <row r="64735" spans="7:7">
      <c r="G64735" s="812"/>
    </row>
    <row r="64736" spans="7:7">
      <c r="G64736" s="812"/>
    </row>
    <row r="64737" spans="7:7">
      <c r="G64737" s="812"/>
    </row>
    <row r="64738" spans="7:7">
      <c r="G64738" s="812"/>
    </row>
    <row r="64739" spans="7:7">
      <c r="G64739" s="812"/>
    </row>
    <row r="64740" spans="7:7">
      <c r="G64740" s="812"/>
    </row>
    <row r="64741" spans="7:7">
      <c r="G64741" s="812"/>
    </row>
    <row r="64742" spans="7:7">
      <c r="G64742" s="812"/>
    </row>
    <row r="64743" spans="7:7">
      <c r="G64743" s="812"/>
    </row>
    <row r="64744" spans="7:7">
      <c r="G64744" s="812"/>
    </row>
    <row r="64745" spans="7:7">
      <c r="G64745" s="812"/>
    </row>
    <row r="64746" spans="7:7">
      <c r="G64746" s="812"/>
    </row>
    <row r="64747" spans="7:7">
      <c r="G64747" s="812"/>
    </row>
    <row r="64748" spans="7:7">
      <c r="G64748" s="812"/>
    </row>
    <row r="64749" spans="7:7">
      <c r="G64749" s="812"/>
    </row>
    <row r="64750" spans="7:7">
      <c r="G64750" s="812"/>
    </row>
    <row r="64751" spans="7:7">
      <c r="G64751" s="812"/>
    </row>
    <row r="64752" spans="7:7">
      <c r="G64752" s="812"/>
    </row>
    <row r="64753" spans="7:7">
      <c r="G64753" s="812"/>
    </row>
    <row r="64754" spans="7:7">
      <c r="G64754" s="812"/>
    </row>
    <row r="64755" spans="7:7">
      <c r="G64755" s="812"/>
    </row>
    <row r="64756" spans="7:7">
      <c r="G64756" s="812"/>
    </row>
    <row r="64757" spans="7:7">
      <c r="G64757" s="812"/>
    </row>
    <row r="64758" spans="7:7">
      <c r="G64758" s="812"/>
    </row>
    <row r="64759" spans="7:7">
      <c r="G64759" s="812"/>
    </row>
    <row r="64760" spans="7:7">
      <c r="G64760" s="812"/>
    </row>
    <row r="64761" spans="7:7">
      <c r="G64761" s="812"/>
    </row>
    <row r="64762" spans="7:7">
      <c r="G64762" s="812"/>
    </row>
    <row r="64763" spans="7:7">
      <c r="G64763" s="812"/>
    </row>
    <row r="64764" spans="7:7">
      <c r="G64764" s="812"/>
    </row>
    <row r="64765" spans="7:7">
      <c r="G64765" s="812"/>
    </row>
    <row r="64766" spans="7:7">
      <c r="G64766" s="812"/>
    </row>
    <row r="64767" spans="7:7">
      <c r="G64767" s="812"/>
    </row>
    <row r="64768" spans="7:7">
      <c r="G64768" s="812"/>
    </row>
    <row r="64769" spans="7:7">
      <c r="G64769" s="812"/>
    </row>
    <row r="64770" spans="7:7">
      <c r="G64770" s="812"/>
    </row>
    <row r="64771" spans="7:7">
      <c r="G64771" s="812"/>
    </row>
    <row r="64772" spans="7:7">
      <c r="G64772" s="812"/>
    </row>
    <row r="64773" spans="7:7">
      <c r="G64773" s="812"/>
    </row>
    <row r="64774" spans="7:7">
      <c r="G64774" s="812"/>
    </row>
    <row r="64775" spans="7:7">
      <c r="G64775" s="812"/>
    </row>
    <row r="64776" spans="7:7">
      <c r="G64776" s="812"/>
    </row>
    <row r="64777" spans="7:7">
      <c r="G64777" s="812"/>
    </row>
    <row r="64778" spans="7:7">
      <c r="G64778" s="812"/>
    </row>
    <row r="64779" spans="7:7">
      <c r="G64779" s="812"/>
    </row>
    <row r="64780" spans="7:7">
      <c r="G64780" s="812"/>
    </row>
    <row r="64781" spans="7:7">
      <c r="G64781" s="812"/>
    </row>
    <row r="64782" spans="7:7">
      <c r="G64782" s="812"/>
    </row>
    <row r="64783" spans="7:7">
      <c r="G64783" s="812"/>
    </row>
    <row r="64784" spans="7:7">
      <c r="G64784" s="812"/>
    </row>
    <row r="64785" spans="7:7">
      <c r="G64785" s="812"/>
    </row>
    <row r="64786" spans="7:7">
      <c r="G64786" s="812"/>
    </row>
    <row r="64787" spans="7:7">
      <c r="G64787" s="812"/>
    </row>
    <row r="64788" spans="7:7">
      <c r="G64788" s="812"/>
    </row>
    <row r="64789" spans="7:7">
      <c r="G64789" s="812"/>
    </row>
    <row r="64790" spans="7:7">
      <c r="G64790" s="812"/>
    </row>
    <row r="64791" spans="7:7">
      <c r="G64791" s="812"/>
    </row>
    <row r="64792" spans="7:7">
      <c r="G64792" s="812"/>
    </row>
    <row r="64793" spans="7:7">
      <c r="G64793" s="812"/>
    </row>
    <row r="64794" spans="7:7">
      <c r="G64794" s="812"/>
    </row>
    <row r="64795" spans="7:7">
      <c r="G64795" s="812"/>
    </row>
    <row r="64796" spans="7:7">
      <c r="G64796" s="812"/>
    </row>
    <row r="64797" spans="7:7">
      <c r="G64797" s="812"/>
    </row>
    <row r="64798" spans="7:7">
      <c r="G64798" s="812"/>
    </row>
    <row r="64799" spans="7:7">
      <c r="G64799" s="812"/>
    </row>
    <row r="64800" spans="7:7">
      <c r="G64800" s="812"/>
    </row>
    <row r="64801" spans="7:7">
      <c r="G64801" s="812"/>
    </row>
    <row r="64802" spans="7:7">
      <c r="G64802" s="812"/>
    </row>
    <row r="64803" spans="7:7">
      <c r="G64803" s="812"/>
    </row>
    <row r="64804" spans="7:7">
      <c r="G64804" s="812"/>
    </row>
    <row r="64805" spans="7:7">
      <c r="G64805" s="812"/>
    </row>
    <row r="64806" spans="7:7">
      <c r="G64806" s="812"/>
    </row>
    <row r="64807" spans="7:7">
      <c r="G64807" s="812"/>
    </row>
    <row r="64808" spans="7:7">
      <c r="G64808" s="812"/>
    </row>
    <row r="64809" spans="7:7">
      <c r="G64809" s="812"/>
    </row>
    <row r="64810" spans="7:7">
      <c r="G64810" s="812"/>
    </row>
    <row r="64811" spans="7:7">
      <c r="G64811" s="812"/>
    </row>
    <row r="64812" spans="7:7">
      <c r="G64812" s="812"/>
    </row>
    <row r="64813" spans="7:7">
      <c r="G64813" s="812"/>
    </row>
    <row r="64814" spans="7:7">
      <c r="G64814" s="812"/>
    </row>
    <row r="64815" spans="7:7">
      <c r="G64815" s="812"/>
    </row>
    <row r="64816" spans="7:7">
      <c r="G64816" s="812"/>
    </row>
    <row r="64817" spans="7:7">
      <c r="G64817" s="812"/>
    </row>
    <row r="64818" spans="7:7">
      <c r="G64818" s="812"/>
    </row>
    <row r="64819" spans="7:7">
      <c r="G64819" s="812"/>
    </row>
    <row r="64820" spans="7:7">
      <c r="G64820" s="812"/>
    </row>
    <row r="64821" spans="7:7">
      <c r="G64821" s="812"/>
    </row>
    <row r="64822" spans="7:7">
      <c r="G64822" s="812"/>
    </row>
    <row r="64823" spans="7:7">
      <c r="G64823" s="812"/>
    </row>
    <row r="64824" spans="7:7">
      <c r="G64824" s="812"/>
    </row>
    <row r="64825" spans="7:7">
      <c r="G64825" s="812"/>
    </row>
    <row r="64826" spans="7:7">
      <c r="G64826" s="812"/>
    </row>
    <row r="64827" spans="7:7">
      <c r="G64827" s="812"/>
    </row>
    <row r="64828" spans="7:7">
      <c r="G64828" s="812"/>
    </row>
    <row r="64829" spans="7:7">
      <c r="G64829" s="812"/>
    </row>
    <row r="64830" spans="7:7">
      <c r="G64830" s="812"/>
    </row>
    <row r="64831" spans="7:7">
      <c r="G64831" s="812"/>
    </row>
    <row r="64832" spans="7:7">
      <c r="G64832" s="812"/>
    </row>
    <row r="64833" spans="7:7">
      <c r="G64833" s="812"/>
    </row>
    <row r="64834" spans="7:7">
      <c r="G64834" s="812"/>
    </row>
    <row r="64835" spans="7:7">
      <c r="G64835" s="812"/>
    </row>
    <row r="64836" spans="7:7">
      <c r="G64836" s="812"/>
    </row>
    <row r="64837" spans="7:7">
      <c r="G64837" s="812"/>
    </row>
    <row r="64838" spans="7:7">
      <c r="G64838" s="812"/>
    </row>
    <row r="64839" spans="7:7">
      <c r="G64839" s="812"/>
    </row>
    <row r="64840" spans="7:7">
      <c r="G64840" s="812"/>
    </row>
    <row r="64841" spans="7:7">
      <c r="G64841" s="812"/>
    </row>
    <row r="64842" spans="7:7">
      <c r="G64842" s="812"/>
    </row>
    <row r="64843" spans="7:7">
      <c r="G64843" s="812"/>
    </row>
    <row r="64844" spans="7:7">
      <c r="G64844" s="812"/>
    </row>
    <row r="64845" spans="7:7">
      <c r="G64845" s="812"/>
    </row>
    <row r="64846" spans="7:7">
      <c r="G64846" s="812"/>
    </row>
    <row r="64847" spans="7:7">
      <c r="G64847" s="812"/>
    </row>
    <row r="64848" spans="7:7">
      <c r="G64848" s="812"/>
    </row>
    <row r="64849" spans="7:7">
      <c r="G64849" s="812"/>
    </row>
    <row r="64850" spans="7:7">
      <c r="G64850" s="812"/>
    </row>
    <row r="64851" spans="7:7">
      <c r="G64851" s="812"/>
    </row>
    <row r="64852" spans="7:7">
      <c r="G64852" s="812"/>
    </row>
    <row r="64853" spans="7:7">
      <c r="G64853" s="812"/>
    </row>
    <row r="64854" spans="7:7">
      <c r="G64854" s="812"/>
    </row>
    <row r="64855" spans="7:7">
      <c r="G64855" s="812"/>
    </row>
    <row r="64856" spans="7:7">
      <c r="G64856" s="812"/>
    </row>
    <row r="64857" spans="7:7">
      <c r="G64857" s="812"/>
    </row>
    <row r="64858" spans="7:7">
      <c r="G64858" s="812"/>
    </row>
    <row r="64859" spans="7:7">
      <c r="G64859" s="812"/>
    </row>
    <row r="64860" spans="7:7">
      <c r="G64860" s="812"/>
    </row>
    <row r="64861" spans="7:7">
      <c r="G64861" s="812"/>
    </row>
    <row r="64862" spans="7:7">
      <c r="G64862" s="812"/>
    </row>
    <row r="64863" spans="7:7">
      <c r="G64863" s="812"/>
    </row>
    <row r="64864" spans="7:7">
      <c r="G64864" s="812"/>
    </row>
    <row r="64865" spans="7:7">
      <c r="G64865" s="812"/>
    </row>
    <row r="64866" spans="7:7">
      <c r="G64866" s="812"/>
    </row>
    <row r="64867" spans="7:7">
      <c r="G64867" s="812"/>
    </row>
    <row r="64868" spans="7:7">
      <c r="G64868" s="812"/>
    </row>
    <row r="64869" spans="7:7">
      <c r="G64869" s="812"/>
    </row>
    <row r="64870" spans="7:7">
      <c r="G64870" s="812"/>
    </row>
    <row r="64871" spans="7:7">
      <c r="G64871" s="812"/>
    </row>
    <row r="64872" spans="7:7">
      <c r="G64872" s="812"/>
    </row>
    <row r="64873" spans="7:7">
      <c r="G64873" s="812"/>
    </row>
    <row r="64874" spans="7:7">
      <c r="G64874" s="812"/>
    </row>
    <row r="64875" spans="7:7">
      <c r="G64875" s="812"/>
    </row>
    <row r="64876" spans="7:7">
      <c r="G64876" s="812"/>
    </row>
    <row r="64877" spans="7:7">
      <c r="G64877" s="812"/>
    </row>
    <row r="64878" spans="7:7">
      <c r="G64878" s="812"/>
    </row>
    <row r="64879" spans="7:7">
      <c r="G64879" s="812"/>
    </row>
    <row r="64880" spans="7:7">
      <c r="G64880" s="812"/>
    </row>
    <row r="64881" spans="7:7">
      <c r="G64881" s="812"/>
    </row>
    <row r="64882" spans="7:7">
      <c r="G64882" s="812"/>
    </row>
    <row r="64883" spans="7:7">
      <c r="G64883" s="812"/>
    </row>
    <row r="64884" spans="7:7">
      <c r="G64884" s="812"/>
    </row>
    <row r="64885" spans="7:7">
      <c r="G64885" s="812"/>
    </row>
    <row r="64886" spans="7:7">
      <c r="G64886" s="812"/>
    </row>
    <row r="64887" spans="7:7">
      <c r="G64887" s="812"/>
    </row>
    <row r="64888" spans="7:7">
      <c r="G64888" s="812"/>
    </row>
    <row r="64889" spans="7:7">
      <c r="G64889" s="812"/>
    </row>
    <row r="64890" spans="7:7">
      <c r="G64890" s="812"/>
    </row>
    <row r="64891" spans="7:7">
      <c r="G64891" s="812"/>
    </row>
    <row r="64892" spans="7:7">
      <c r="G64892" s="812"/>
    </row>
    <row r="64893" spans="7:7">
      <c r="G64893" s="812"/>
    </row>
    <row r="64894" spans="7:7">
      <c r="G64894" s="812"/>
    </row>
    <row r="64895" spans="7:7">
      <c r="G64895" s="812"/>
    </row>
    <row r="64896" spans="7:7">
      <c r="G64896" s="812"/>
    </row>
    <row r="64897" spans="7:7">
      <c r="G64897" s="812"/>
    </row>
    <row r="64898" spans="7:7">
      <c r="G64898" s="812"/>
    </row>
    <row r="64899" spans="7:7">
      <c r="G64899" s="812"/>
    </row>
    <row r="64900" spans="7:7">
      <c r="G64900" s="812"/>
    </row>
    <row r="64901" spans="7:7">
      <c r="G64901" s="812"/>
    </row>
    <row r="64902" spans="7:7">
      <c r="G64902" s="812"/>
    </row>
    <row r="64903" spans="7:7">
      <c r="G64903" s="812"/>
    </row>
    <row r="64904" spans="7:7">
      <c r="G64904" s="812"/>
    </row>
    <row r="64905" spans="7:7">
      <c r="G64905" s="812"/>
    </row>
    <row r="64906" spans="7:7">
      <c r="G64906" s="812"/>
    </row>
    <row r="64907" spans="7:7">
      <c r="G64907" s="812"/>
    </row>
    <row r="64908" spans="7:7">
      <c r="G64908" s="812"/>
    </row>
    <row r="64909" spans="7:7">
      <c r="G64909" s="812"/>
    </row>
    <row r="64910" spans="7:7">
      <c r="G64910" s="812"/>
    </row>
    <row r="64911" spans="7:7">
      <c r="G64911" s="812"/>
    </row>
    <row r="64912" spans="7:7">
      <c r="G64912" s="812"/>
    </row>
    <row r="64913" spans="7:7">
      <c r="G64913" s="812"/>
    </row>
    <row r="64914" spans="7:7">
      <c r="G64914" s="812"/>
    </row>
    <row r="64915" spans="7:7">
      <c r="G64915" s="812"/>
    </row>
    <row r="64916" spans="7:7">
      <c r="G64916" s="812"/>
    </row>
    <row r="64917" spans="7:7">
      <c r="G64917" s="812"/>
    </row>
    <row r="64918" spans="7:7">
      <c r="G64918" s="812"/>
    </row>
    <row r="64919" spans="7:7">
      <c r="G64919" s="812"/>
    </row>
    <row r="64920" spans="7:7">
      <c r="G64920" s="812"/>
    </row>
    <row r="64921" spans="7:7">
      <c r="G64921" s="812"/>
    </row>
    <row r="64922" spans="7:7">
      <c r="G64922" s="812"/>
    </row>
    <row r="64923" spans="7:7">
      <c r="G64923" s="812"/>
    </row>
    <row r="64924" spans="7:7">
      <c r="G64924" s="812"/>
    </row>
    <row r="64925" spans="7:7">
      <c r="G64925" s="812"/>
    </row>
    <row r="64926" spans="7:7">
      <c r="G64926" s="812"/>
    </row>
    <row r="64927" spans="7:7">
      <c r="G64927" s="812"/>
    </row>
    <row r="64928" spans="7:7">
      <c r="G64928" s="812"/>
    </row>
    <row r="64929" spans="7:7">
      <c r="G64929" s="812"/>
    </row>
    <row r="64930" spans="7:7">
      <c r="G64930" s="812"/>
    </row>
    <row r="64931" spans="7:7">
      <c r="G64931" s="812"/>
    </row>
    <row r="64932" spans="7:7">
      <c r="G64932" s="812"/>
    </row>
    <row r="64933" spans="7:7">
      <c r="G64933" s="812"/>
    </row>
    <row r="64934" spans="7:7">
      <c r="G64934" s="812"/>
    </row>
    <row r="64935" spans="7:7">
      <c r="G64935" s="812"/>
    </row>
    <row r="64936" spans="7:7">
      <c r="G64936" s="812"/>
    </row>
    <row r="64937" spans="7:7">
      <c r="G64937" s="812"/>
    </row>
    <row r="64938" spans="7:7">
      <c r="G64938" s="812"/>
    </row>
    <row r="64939" spans="7:7">
      <c r="G64939" s="812"/>
    </row>
    <row r="64940" spans="7:7">
      <c r="G64940" s="812"/>
    </row>
    <row r="64941" spans="7:7">
      <c r="G64941" s="812"/>
    </row>
    <row r="64942" spans="7:7">
      <c r="G64942" s="812"/>
    </row>
    <row r="64943" spans="7:7">
      <c r="G64943" s="812"/>
    </row>
    <row r="64944" spans="7:7">
      <c r="G64944" s="812"/>
    </row>
    <row r="64945" spans="7:7">
      <c r="G64945" s="812"/>
    </row>
    <row r="64946" spans="7:7">
      <c r="G64946" s="812"/>
    </row>
    <row r="64947" spans="7:7">
      <c r="G64947" s="812"/>
    </row>
    <row r="64948" spans="7:7">
      <c r="G64948" s="812"/>
    </row>
    <row r="64949" spans="7:7">
      <c r="G64949" s="812"/>
    </row>
    <row r="64950" spans="7:7">
      <c r="G64950" s="812"/>
    </row>
    <row r="64951" spans="7:7">
      <c r="G64951" s="812"/>
    </row>
    <row r="64952" spans="7:7">
      <c r="G64952" s="812"/>
    </row>
    <row r="64953" spans="7:7">
      <c r="G64953" s="812"/>
    </row>
    <row r="64954" spans="7:7">
      <c r="G64954" s="812"/>
    </row>
    <row r="64955" spans="7:7">
      <c r="G64955" s="812"/>
    </row>
    <row r="64956" spans="7:7">
      <c r="G64956" s="812"/>
    </row>
    <row r="64957" spans="7:7">
      <c r="G64957" s="812"/>
    </row>
    <row r="64958" spans="7:7">
      <c r="G64958" s="812"/>
    </row>
    <row r="64959" spans="7:7">
      <c r="G64959" s="812"/>
    </row>
    <row r="64960" spans="7:7">
      <c r="G64960" s="812"/>
    </row>
    <row r="64961" spans="7:7">
      <c r="G64961" s="812"/>
    </row>
    <row r="64962" spans="7:7">
      <c r="G64962" s="812"/>
    </row>
    <row r="64963" spans="7:7">
      <c r="G64963" s="812"/>
    </row>
    <row r="64964" spans="7:7">
      <c r="G64964" s="812"/>
    </row>
    <row r="64965" spans="7:7">
      <c r="G64965" s="812"/>
    </row>
    <row r="64966" spans="7:7">
      <c r="G64966" s="812"/>
    </row>
    <row r="64967" spans="7:7">
      <c r="G64967" s="812"/>
    </row>
    <row r="64968" spans="7:7">
      <c r="G64968" s="812"/>
    </row>
    <row r="64969" spans="7:7">
      <c r="G64969" s="812"/>
    </row>
    <row r="64970" spans="7:7">
      <c r="G64970" s="812"/>
    </row>
    <row r="64971" spans="7:7">
      <c r="G64971" s="812"/>
    </row>
    <row r="64972" spans="7:7">
      <c r="G64972" s="812"/>
    </row>
    <row r="64973" spans="7:7">
      <c r="G64973" s="812"/>
    </row>
    <row r="64974" spans="7:7">
      <c r="G64974" s="812"/>
    </row>
    <row r="64975" spans="7:7">
      <c r="G64975" s="812"/>
    </row>
    <row r="64976" spans="7:7">
      <c r="G64976" s="812"/>
    </row>
    <row r="64977" spans="7:7">
      <c r="G64977" s="812"/>
    </row>
    <row r="64978" spans="7:7">
      <c r="G64978" s="812"/>
    </row>
    <row r="64979" spans="7:7">
      <c r="G64979" s="812"/>
    </row>
    <row r="64980" spans="7:7">
      <c r="G64980" s="812"/>
    </row>
    <row r="64981" spans="7:7">
      <c r="G64981" s="812"/>
    </row>
    <row r="64982" spans="7:7">
      <c r="G64982" s="812"/>
    </row>
    <row r="64983" spans="7:7">
      <c r="G64983" s="812"/>
    </row>
    <row r="64984" spans="7:7">
      <c r="G64984" s="812"/>
    </row>
    <row r="64985" spans="7:7">
      <c r="G64985" s="812"/>
    </row>
    <row r="64986" spans="7:7">
      <c r="G64986" s="812"/>
    </row>
    <row r="64987" spans="7:7">
      <c r="G64987" s="812"/>
    </row>
    <row r="64988" spans="7:7">
      <c r="G64988" s="812"/>
    </row>
    <row r="64989" spans="7:7">
      <c r="G64989" s="812"/>
    </row>
    <row r="64990" spans="7:7">
      <c r="G64990" s="812"/>
    </row>
    <row r="64991" spans="7:7">
      <c r="G64991" s="812"/>
    </row>
    <row r="64992" spans="7:7">
      <c r="G64992" s="812"/>
    </row>
    <row r="64993" spans="7:7">
      <c r="G64993" s="812"/>
    </row>
    <row r="64994" spans="7:7">
      <c r="G64994" s="812"/>
    </row>
    <row r="64995" spans="7:7">
      <c r="G64995" s="812"/>
    </row>
    <row r="64996" spans="7:7">
      <c r="G64996" s="812"/>
    </row>
    <row r="64997" spans="7:7">
      <c r="G64997" s="812"/>
    </row>
    <row r="64998" spans="7:7">
      <c r="G64998" s="812"/>
    </row>
    <row r="64999" spans="7:7">
      <c r="G64999" s="812"/>
    </row>
    <row r="65000" spans="7:7">
      <c r="G65000" s="812"/>
    </row>
    <row r="65001" spans="7:7">
      <c r="G65001" s="812"/>
    </row>
    <row r="65002" spans="7:7">
      <c r="G65002" s="812"/>
    </row>
    <row r="65003" spans="7:7">
      <c r="G65003" s="812"/>
    </row>
    <row r="65004" spans="7:7">
      <c r="G65004" s="812"/>
    </row>
    <row r="65005" spans="7:7">
      <c r="G65005" s="812"/>
    </row>
    <row r="65006" spans="7:7">
      <c r="G65006" s="812"/>
    </row>
    <row r="65007" spans="7:7">
      <c r="G65007" s="812"/>
    </row>
    <row r="65008" spans="7:7">
      <c r="G65008" s="812"/>
    </row>
    <row r="65009" spans="7:7">
      <c r="G65009" s="812"/>
    </row>
    <row r="65010" spans="7:7">
      <c r="G65010" s="812"/>
    </row>
    <row r="65011" spans="7:7">
      <c r="G65011" s="812"/>
    </row>
    <row r="65012" spans="7:7">
      <c r="G65012" s="812"/>
    </row>
    <row r="65013" spans="7:7">
      <c r="G65013" s="812"/>
    </row>
    <row r="65014" spans="7:7">
      <c r="G65014" s="812"/>
    </row>
    <row r="65015" spans="7:7">
      <c r="G65015" s="812"/>
    </row>
    <row r="65016" spans="7:7">
      <c r="G65016" s="812"/>
    </row>
    <row r="65017" spans="7:7">
      <c r="G65017" s="812"/>
    </row>
    <row r="65018" spans="7:7">
      <c r="G65018" s="812"/>
    </row>
    <row r="65019" spans="7:7">
      <c r="G65019" s="812"/>
    </row>
    <row r="65020" spans="7:7">
      <c r="G65020" s="812"/>
    </row>
    <row r="65021" spans="7:7">
      <c r="G65021" s="812"/>
    </row>
    <row r="65022" spans="7:7">
      <c r="G65022" s="812"/>
    </row>
    <row r="65023" spans="7:7">
      <c r="G65023" s="812"/>
    </row>
    <row r="65024" spans="7:7">
      <c r="G65024" s="812"/>
    </row>
    <row r="65025" spans="7:7">
      <c r="G65025" s="812"/>
    </row>
    <row r="65026" spans="7:7">
      <c r="G65026" s="812"/>
    </row>
    <row r="65027" spans="7:7">
      <c r="G65027" s="812"/>
    </row>
    <row r="65028" spans="7:7">
      <c r="G65028" s="812"/>
    </row>
    <row r="65029" spans="7:7">
      <c r="G65029" s="812"/>
    </row>
    <row r="65030" spans="7:7">
      <c r="G65030" s="812"/>
    </row>
    <row r="65031" spans="7:7">
      <c r="G65031" s="812"/>
    </row>
    <row r="65032" spans="7:7">
      <c r="G65032" s="812"/>
    </row>
    <row r="65033" spans="7:7">
      <c r="G65033" s="812"/>
    </row>
    <row r="65034" spans="7:7">
      <c r="G65034" s="812"/>
    </row>
    <row r="65035" spans="7:7">
      <c r="G65035" s="812"/>
    </row>
    <row r="65036" spans="7:7">
      <c r="G65036" s="812"/>
    </row>
    <row r="65037" spans="7:7">
      <c r="G65037" s="812"/>
    </row>
    <row r="65038" spans="7:7">
      <c r="G65038" s="812"/>
    </row>
    <row r="65039" spans="7:7">
      <c r="G65039" s="812"/>
    </row>
    <row r="65040" spans="7:7">
      <c r="G65040" s="812"/>
    </row>
    <row r="65041" spans="7:7">
      <c r="G65041" s="812"/>
    </row>
    <row r="65042" spans="7:7">
      <c r="G65042" s="812"/>
    </row>
    <row r="65043" spans="7:7">
      <c r="G65043" s="812"/>
    </row>
    <row r="65044" spans="7:7">
      <c r="G65044" s="812"/>
    </row>
    <row r="65045" spans="7:7">
      <c r="G65045" s="812"/>
    </row>
    <row r="65046" spans="7:7">
      <c r="G65046" s="812"/>
    </row>
    <row r="65047" spans="7:7">
      <c r="G65047" s="812"/>
    </row>
    <row r="65048" spans="7:7">
      <c r="G65048" s="812"/>
    </row>
    <row r="65049" spans="7:7">
      <c r="G65049" s="812"/>
    </row>
    <row r="65050" spans="7:7">
      <c r="G65050" s="812"/>
    </row>
    <row r="65051" spans="7:7">
      <c r="G65051" s="812"/>
    </row>
    <row r="65052" spans="7:7">
      <c r="G65052" s="812"/>
    </row>
    <row r="65053" spans="7:7">
      <c r="G65053" s="812"/>
    </row>
    <row r="65054" spans="7:7">
      <c r="G65054" s="812"/>
    </row>
    <row r="65055" spans="7:7">
      <c r="G65055" s="812"/>
    </row>
    <row r="65056" spans="7:7">
      <c r="G65056" s="812"/>
    </row>
    <row r="65057" spans="7:7">
      <c r="G65057" s="812"/>
    </row>
    <row r="65058" spans="7:7">
      <c r="G65058" s="812"/>
    </row>
    <row r="65059" spans="7:7">
      <c r="G65059" s="812"/>
    </row>
    <row r="65060" spans="7:7">
      <c r="G65060" s="812"/>
    </row>
    <row r="65061" spans="7:7">
      <c r="G65061" s="812"/>
    </row>
    <row r="65062" spans="7:7">
      <c r="G65062" s="812"/>
    </row>
    <row r="65063" spans="7:7">
      <c r="G65063" s="812"/>
    </row>
    <row r="65064" spans="7:7">
      <c r="G65064" s="812"/>
    </row>
    <row r="65065" spans="7:7">
      <c r="G65065" s="812"/>
    </row>
    <row r="65066" spans="7:7">
      <c r="G65066" s="812"/>
    </row>
    <row r="65067" spans="7:7">
      <c r="G65067" s="812"/>
    </row>
    <row r="65068" spans="7:7">
      <c r="G65068" s="812"/>
    </row>
    <row r="65069" spans="7:7">
      <c r="G65069" s="812"/>
    </row>
    <row r="65070" spans="7:7">
      <c r="G65070" s="812"/>
    </row>
    <row r="65071" spans="7:7">
      <c r="G65071" s="812"/>
    </row>
    <row r="65072" spans="7:7">
      <c r="G65072" s="812"/>
    </row>
    <row r="65073" spans="7:7">
      <c r="G65073" s="812"/>
    </row>
    <row r="65074" spans="7:7">
      <c r="G65074" s="812"/>
    </row>
    <row r="65075" spans="7:7">
      <c r="G65075" s="812"/>
    </row>
    <row r="65076" spans="7:7">
      <c r="G65076" s="812"/>
    </row>
    <row r="65077" spans="7:7">
      <c r="G65077" s="812"/>
    </row>
    <row r="65078" spans="7:7">
      <c r="G65078" s="812"/>
    </row>
    <row r="65079" spans="7:7">
      <c r="G65079" s="812"/>
    </row>
    <row r="65080" spans="7:7">
      <c r="G65080" s="812"/>
    </row>
    <row r="65081" spans="7:7">
      <c r="G65081" s="812"/>
    </row>
    <row r="65082" spans="7:7">
      <c r="G65082" s="812"/>
    </row>
    <row r="65083" spans="7:7">
      <c r="G65083" s="812"/>
    </row>
    <row r="65084" spans="7:7">
      <c r="G65084" s="812"/>
    </row>
    <row r="65085" spans="7:7">
      <c r="G65085" s="812"/>
    </row>
    <row r="65086" spans="7:7">
      <c r="G65086" s="812"/>
    </row>
    <row r="65087" spans="7:7">
      <c r="G65087" s="812"/>
    </row>
    <row r="65088" spans="7:7">
      <c r="G65088" s="812"/>
    </row>
    <row r="65089" spans="7:7">
      <c r="G65089" s="812"/>
    </row>
    <row r="65090" spans="7:7">
      <c r="G65090" s="812"/>
    </row>
    <row r="65091" spans="7:7">
      <c r="G65091" s="812"/>
    </row>
    <row r="65092" spans="7:7">
      <c r="G65092" s="812"/>
    </row>
    <row r="65093" spans="7:7">
      <c r="G65093" s="812"/>
    </row>
    <row r="65094" spans="7:7">
      <c r="G65094" s="812"/>
    </row>
    <row r="65095" spans="7:7">
      <c r="G65095" s="812"/>
    </row>
    <row r="65096" spans="7:7">
      <c r="G65096" s="812"/>
    </row>
    <row r="65097" spans="7:7">
      <c r="G65097" s="812"/>
    </row>
    <row r="65098" spans="7:7">
      <c r="G65098" s="812"/>
    </row>
    <row r="65099" spans="7:7">
      <c r="G65099" s="812"/>
    </row>
    <row r="65100" spans="7:7">
      <c r="G65100" s="812"/>
    </row>
    <row r="65101" spans="7:7">
      <c r="G65101" s="812"/>
    </row>
    <row r="65102" spans="7:7">
      <c r="G65102" s="812"/>
    </row>
    <row r="65103" spans="7:7">
      <c r="G65103" s="812"/>
    </row>
    <row r="65104" spans="7:7">
      <c r="G65104" s="812"/>
    </row>
    <row r="65105" spans="7:7">
      <c r="G65105" s="812"/>
    </row>
    <row r="65106" spans="7:7">
      <c r="G65106" s="812"/>
    </row>
    <row r="65107" spans="7:7">
      <c r="G65107" s="812"/>
    </row>
    <row r="65108" spans="7:7">
      <c r="G65108" s="812"/>
    </row>
    <row r="65109" spans="7:7">
      <c r="G65109" s="812"/>
    </row>
    <row r="65110" spans="7:7">
      <c r="G65110" s="812"/>
    </row>
    <row r="65111" spans="7:7">
      <c r="G65111" s="812"/>
    </row>
    <row r="65112" spans="7:7">
      <c r="G65112" s="812"/>
    </row>
    <row r="65113" spans="7:7">
      <c r="G65113" s="812"/>
    </row>
    <row r="65114" spans="7:7">
      <c r="G65114" s="812"/>
    </row>
    <row r="65115" spans="7:7">
      <c r="G65115" s="812"/>
    </row>
    <row r="65116" spans="7:7">
      <c r="G65116" s="812"/>
    </row>
    <row r="65117" spans="7:7">
      <c r="G65117" s="812"/>
    </row>
    <row r="65118" spans="7:7">
      <c r="G65118" s="812"/>
    </row>
    <row r="65119" spans="7:7">
      <c r="G65119" s="812"/>
    </row>
    <row r="65120" spans="7:7">
      <c r="G65120" s="812"/>
    </row>
    <row r="65121" spans="7:7">
      <c r="G65121" s="812"/>
    </row>
    <row r="65122" spans="7:7">
      <c r="G65122" s="812"/>
    </row>
    <row r="65123" spans="7:7">
      <c r="G65123" s="812"/>
    </row>
    <row r="65124" spans="7:7">
      <c r="G65124" s="812"/>
    </row>
    <row r="65125" spans="7:7">
      <c r="G65125" s="812"/>
    </row>
    <row r="65126" spans="7:7">
      <c r="G65126" s="812"/>
    </row>
    <row r="65127" spans="7:7">
      <c r="G65127" s="812"/>
    </row>
    <row r="65128" spans="7:7">
      <c r="G65128" s="812"/>
    </row>
    <row r="65129" spans="7:7">
      <c r="G65129" s="812"/>
    </row>
    <row r="65130" spans="7:7">
      <c r="G65130" s="812"/>
    </row>
    <row r="65131" spans="7:7">
      <c r="G65131" s="812"/>
    </row>
    <row r="65132" spans="7:7">
      <c r="G65132" s="812"/>
    </row>
    <row r="65133" spans="7:7">
      <c r="G65133" s="812"/>
    </row>
    <row r="65134" spans="7:7">
      <c r="G65134" s="812"/>
    </row>
    <row r="65135" spans="7:7">
      <c r="G65135" s="812"/>
    </row>
    <row r="65136" spans="7:7">
      <c r="G65136" s="812"/>
    </row>
    <row r="65137" spans="7:7">
      <c r="G65137" s="812"/>
    </row>
    <row r="65138" spans="7:7">
      <c r="G65138" s="812"/>
    </row>
    <row r="65139" spans="7:7">
      <c r="G65139" s="812"/>
    </row>
    <row r="65140" spans="7:7">
      <c r="G65140" s="812"/>
    </row>
    <row r="65141" spans="7:7">
      <c r="G65141" s="812"/>
    </row>
    <row r="65142" spans="7:7">
      <c r="G65142" s="812"/>
    </row>
    <row r="65143" spans="7:7">
      <c r="G65143" s="812"/>
    </row>
    <row r="65144" spans="7:7">
      <c r="G65144" s="812"/>
    </row>
    <row r="65145" spans="7:7">
      <c r="G65145" s="812"/>
    </row>
    <row r="65146" spans="7:7">
      <c r="G65146" s="812"/>
    </row>
    <row r="65147" spans="7:7">
      <c r="G65147" s="812"/>
    </row>
    <row r="65148" spans="7:7">
      <c r="G65148" s="812"/>
    </row>
    <row r="65149" spans="7:7">
      <c r="G65149" s="812"/>
    </row>
    <row r="65150" spans="7:7">
      <c r="G65150" s="812"/>
    </row>
    <row r="65151" spans="7:7">
      <c r="G65151" s="812"/>
    </row>
    <row r="65152" spans="7:7">
      <c r="G65152" s="812"/>
    </row>
    <row r="65153" spans="7:7">
      <c r="G65153" s="812"/>
    </row>
    <row r="65154" spans="7:7">
      <c r="G65154" s="812"/>
    </row>
    <row r="65155" spans="7:7">
      <c r="G65155" s="812"/>
    </row>
    <row r="65156" spans="7:7">
      <c r="G65156" s="812"/>
    </row>
    <row r="65157" spans="7:7">
      <c r="G65157" s="812"/>
    </row>
    <row r="65158" spans="7:7">
      <c r="G65158" s="812"/>
    </row>
    <row r="65159" spans="7:7">
      <c r="G65159" s="812"/>
    </row>
    <row r="65160" spans="7:7">
      <c r="G65160" s="812"/>
    </row>
    <row r="65161" spans="7:7">
      <c r="G65161" s="812"/>
    </row>
    <row r="65162" spans="7:7">
      <c r="G65162" s="812"/>
    </row>
    <row r="65163" spans="7:7">
      <c r="G65163" s="812"/>
    </row>
    <row r="65164" spans="7:7">
      <c r="G65164" s="812"/>
    </row>
    <row r="65165" spans="7:7">
      <c r="G65165" s="812"/>
    </row>
    <row r="65166" spans="7:7">
      <c r="G65166" s="812"/>
    </row>
    <row r="65167" spans="7:7">
      <c r="G65167" s="812"/>
    </row>
    <row r="65168" spans="7:7">
      <c r="G65168" s="812"/>
    </row>
    <row r="65169" spans="7:7">
      <c r="G65169" s="812"/>
    </row>
    <row r="65170" spans="7:7">
      <c r="G65170" s="812"/>
    </row>
    <row r="65171" spans="7:7">
      <c r="G65171" s="812"/>
    </row>
    <row r="65172" spans="7:7">
      <c r="G65172" s="812"/>
    </row>
    <row r="65173" spans="7:7">
      <c r="G65173" s="812"/>
    </row>
    <row r="65174" spans="7:7">
      <c r="G65174" s="812"/>
    </row>
    <row r="65175" spans="7:7">
      <c r="G65175" s="812"/>
    </row>
    <row r="65176" spans="7:7">
      <c r="G65176" s="812"/>
    </row>
    <row r="65177" spans="7:7">
      <c r="G65177" s="812"/>
    </row>
    <row r="65178" spans="7:7">
      <c r="G65178" s="812"/>
    </row>
    <row r="65179" spans="7:7">
      <c r="G65179" s="812"/>
    </row>
    <row r="65180" spans="7:7">
      <c r="G65180" s="812"/>
    </row>
    <row r="65181" spans="7:7">
      <c r="G65181" s="812"/>
    </row>
    <row r="65182" spans="7:7">
      <c r="G65182" s="812"/>
    </row>
    <row r="65183" spans="7:7">
      <c r="G65183" s="812"/>
    </row>
    <row r="65184" spans="7:7">
      <c r="G65184" s="812"/>
    </row>
    <row r="65185" spans="7:7">
      <c r="G65185" s="812"/>
    </row>
    <row r="65186" spans="7:7">
      <c r="G65186" s="812"/>
    </row>
    <row r="65187" spans="7:7">
      <c r="G65187" s="812"/>
    </row>
    <row r="65188" spans="7:7">
      <c r="G65188" s="812"/>
    </row>
    <row r="65189" spans="7:7">
      <c r="G65189" s="812"/>
    </row>
    <row r="65190" spans="7:7">
      <c r="G65190" s="812"/>
    </row>
    <row r="65191" spans="7:7">
      <c r="G65191" s="812"/>
    </row>
    <row r="65192" spans="7:7">
      <c r="G65192" s="812"/>
    </row>
    <row r="65193" spans="7:7">
      <c r="G65193" s="812"/>
    </row>
    <row r="65194" spans="7:7">
      <c r="G65194" s="812"/>
    </row>
    <row r="65195" spans="7:7">
      <c r="G65195" s="812"/>
    </row>
    <row r="65196" spans="7:7">
      <c r="G65196" s="812"/>
    </row>
    <row r="65197" spans="7:7">
      <c r="G65197" s="812"/>
    </row>
    <row r="65198" spans="7:7">
      <c r="G65198" s="812"/>
    </row>
    <row r="65199" spans="7:7">
      <c r="G65199" s="812"/>
    </row>
    <row r="65200" spans="7:7">
      <c r="G65200" s="812"/>
    </row>
    <row r="65201" spans="7:7">
      <c r="G65201" s="812"/>
    </row>
    <row r="65202" spans="7:7">
      <c r="G65202" s="812"/>
    </row>
    <row r="65203" spans="7:7">
      <c r="G65203" s="812"/>
    </row>
    <row r="65204" spans="7:7">
      <c r="G65204" s="812"/>
    </row>
    <row r="65205" spans="7:7">
      <c r="G65205" s="812"/>
    </row>
    <row r="65206" spans="7:7">
      <c r="G65206" s="812"/>
    </row>
    <row r="65207" spans="7:7">
      <c r="G65207" s="812"/>
    </row>
    <row r="65208" spans="7:7">
      <c r="G65208" s="812"/>
    </row>
    <row r="65209" spans="7:7">
      <c r="G65209" s="812"/>
    </row>
    <row r="65210" spans="7:7">
      <c r="G65210" s="812"/>
    </row>
    <row r="65211" spans="7:7">
      <c r="G65211" s="812"/>
    </row>
    <row r="65212" spans="7:7">
      <c r="G65212" s="812"/>
    </row>
    <row r="65213" spans="7:7">
      <c r="G65213" s="812"/>
    </row>
    <row r="65214" spans="7:7">
      <c r="G65214" s="812"/>
    </row>
    <row r="65215" spans="7:7">
      <c r="G65215" s="812"/>
    </row>
    <row r="65216" spans="7:7">
      <c r="G65216" s="812"/>
    </row>
    <row r="65217" spans="7:7">
      <c r="G65217" s="812"/>
    </row>
    <row r="65218" spans="7:7">
      <c r="G65218" s="812"/>
    </row>
    <row r="65219" spans="7:7">
      <c r="G65219" s="812"/>
    </row>
    <row r="65220" spans="7:7">
      <c r="G65220" s="812"/>
    </row>
    <row r="65221" spans="7:7">
      <c r="G65221" s="812"/>
    </row>
    <row r="65222" spans="7:7">
      <c r="G65222" s="812"/>
    </row>
    <row r="65223" spans="7:7">
      <c r="G65223" s="812"/>
    </row>
    <row r="65224" spans="7:7">
      <c r="G65224" s="812"/>
    </row>
    <row r="65225" spans="7:7">
      <c r="G65225" s="812"/>
    </row>
    <row r="65226" spans="7:7">
      <c r="G65226" s="812"/>
    </row>
    <row r="65227" spans="7:7">
      <c r="G65227" s="812"/>
    </row>
    <row r="65228" spans="7:7">
      <c r="G65228" s="812"/>
    </row>
    <row r="65229" spans="7:7">
      <c r="G65229" s="812"/>
    </row>
    <row r="65230" spans="7:7">
      <c r="G65230" s="812"/>
    </row>
    <row r="65231" spans="7:7">
      <c r="G65231" s="812"/>
    </row>
    <row r="65232" spans="7:7">
      <c r="G65232" s="812"/>
    </row>
    <row r="65233" spans="7:7">
      <c r="G65233" s="812"/>
    </row>
    <row r="65234" spans="7:7">
      <c r="G65234" s="812"/>
    </row>
    <row r="65235" spans="7:7">
      <c r="G65235" s="812"/>
    </row>
    <row r="65236" spans="7:7">
      <c r="G65236" s="812"/>
    </row>
    <row r="65237" spans="7:7">
      <c r="G65237" s="812"/>
    </row>
    <row r="65238" spans="7:7">
      <c r="G65238" s="812"/>
    </row>
    <row r="65239" spans="7:7">
      <c r="G65239" s="812"/>
    </row>
    <row r="65240" spans="7:7">
      <c r="G65240" s="812"/>
    </row>
    <row r="65241" spans="7:7">
      <c r="G65241" s="812"/>
    </row>
    <row r="65242" spans="7:7">
      <c r="G65242" s="812"/>
    </row>
    <row r="65243" spans="7:7">
      <c r="G65243" s="812"/>
    </row>
    <row r="65244" spans="7:7">
      <c r="G65244" s="812"/>
    </row>
    <row r="65245" spans="7:7">
      <c r="G65245" s="812"/>
    </row>
    <row r="65246" spans="7:7">
      <c r="G65246" s="812"/>
    </row>
    <row r="65247" spans="7:7">
      <c r="G65247" s="812"/>
    </row>
    <row r="65248" spans="7:7">
      <c r="G65248" s="812"/>
    </row>
    <row r="65249" spans="7:7">
      <c r="G65249" s="812"/>
    </row>
    <row r="65250" spans="7:7">
      <c r="G65250" s="812"/>
    </row>
    <row r="65251" spans="7:7">
      <c r="G65251" s="812"/>
    </row>
    <row r="65252" spans="7:7">
      <c r="G65252" s="812"/>
    </row>
    <row r="65253" spans="7:7">
      <c r="G65253" s="812"/>
    </row>
    <row r="65254" spans="7:7">
      <c r="G65254" s="812"/>
    </row>
    <row r="65255" spans="7:7">
      <c r="G65255" s="812"/>
    </row>
    <row r="65256" spans="7:7">
      <c r="G65256" s="812"/>
    </row>
    <row r="65257" spans="7:7">
      <c r="G65257" s="812"/>
    </row>
    <row r="65258" spans="7:7">
      <c r="G65258" s="812"/>
    </row>
    <row r="65259" spans="7:7">
      <c r="G65259" s="812"/>
    </row>
    <row r="65260" spans="7:7">
      <c r="G65260" s="812"/>
    </row>
    <row r="65261" spans="7:7">
      <c r="G65261" s="812"/>
    </row>
    <row r="65262" spans="7:7">
      <c r="G65262" s="812"/>
    </row>
    <row r="65263" spans="7:7">
      <c r="G65263" s="812"/>
    </row>
    <row r="65264" spans="7:7">
      <c r="G65264" s="812"/>
    </row>
    <row r="65265" spans="7:7">
      <c r="G65265" s="812"/>
    </row>
    <row r="65266" spans="7:7">
      <c r="G65266" s="812"/>
    </row>
    <row r="65267" spans="7:7">
      <c r="G65267" s="812"/>
    </row>
    <row r="65268" spans="7:7">
      <c r="G65268" s="812"/>
    </row>
    <row r="65269" spans="7:7">
      <c r="G65269" s="812"/>
    </row>
    <row r="65270" spans="7:7">
      <c r="G65270" s="812"/>
    </row>
    <row r="65271" spans="7:7">
      <c r="G65271" s="812"/>
    </row>
    <row r="65272" spans="7:7">
      <c r="G65272" s="812"/>
    </row>
    <row r="65273" spans="7:7">
      <c r="G65273" s="812"/>
    </row>
    <row r="65274" spans="7:7">
      <c r="G65274" s="812"/>
    </row>
    <row r="65275" spans="7:7">
      <c r="G65275" s="812"/>
    </row>
    <row r="65276" spans="7:7">
      <c r="G65276" s="812"/>
    </row>
    <row r="65277" spans="7:7">
      <c r="G65277" s="812"/>
    </row>
    <row r="65278" spans="7:7">
      <c r="G65278" s="812"/>
    </row>
    <row r="65279" spans="7:7">
      <c r="G65279" s="812"/>
    </row>
    <row r="65280" spans="7:7">
      <c r="G65280" s="812"/>
    </row>
    <row r="65281" spans="7:7">
      <c r="G65281" s="812"/>
    </row>
    <row r="65282" spans="7:7">
      <c r="G65282" s="812"/>
    </row>
    <row r="65283" spans="7:7">
      <c r="G65283" s="812"/>
    </row>
    <row r="65284" spans="7:7">
      <c r="G65284" s="812"/>
    </row>
    <row r="65285" spans="7:7">
      <c r="G65285" s="812"/>
    </row>
    <row r="65286" spans="7:7">
      <c r="G65286" s="812"/>
    </row>
    <row r="65287" spans="7:7">
      <c r="G65287" s="812"/>
    </row>
    <row r="65288" spans="7:7">
      <c r="G65288" s="812"/>
    </row>
    <row r="65289" spans="7:7">
      <c r="G65289" s="812"/>
    </row>
    <row r="65290" spans="7:7">
      <c r="G65290" s="812"/>
    </row>
    <row r="65291" spans="7:7">
      <c r="G65291" s="812"/>
    </row>
    <row r="65292" spans="7:7">
      <c r="G65292" s="812"/>
    </row>
    <row r="65293" spans="7:7">
      <c r="G65293" s="812"/>
    </row>
    <row r="65294" spans="7:7">
      <c r="G65294" s="812"/>
    </row>
    <row r="65295" spans="7:7">
      <c r="G65295" s="812"/>
    </row>
    <row r="65296" spans="7:7">
      <c r="G65296" s="812"/>
    </row>
    <row r="65297" spans="7:7">
      <c r="G65297" s="812"/>
    </row>
    <row r="65298" spans="7:7">
      <c r="G65298" s="812"/>
    </row>
    <row r="65299" spans="7:7">
      <c r="G65299" s="812"/>
    </row>
    <row r="65300" spans="7:7">
      <c r="G65300" s="812"/>
    </row>
    <row r="65301" spans="7:7">
      <c r="G65301" s="812"/>
    </row>
    <row r="65302" spans="7:7">
      <c r="G65302" s="812"/>
    </row>
    <row r="65303" spans="7:7">
      <c r="G65303" s="812"/>
    </row>
    <row r="65304" spans="7:7">
      <c r="G65304" s="812"/>
    </row>
    <row r="65305" spans="7:7">
      <c r="G65305" s="812"/>
    </row>
    <row r="65306" spans="7:7">
      <c r="G65306" s="812"/>
    </row>
    <row r="65307" spans="7:7">
      <c r="G65307" s="812"/>
    </row>
    <row r="65308" spans="7:7">
      <c r="G65308" s="812"/>
    </row>
    <row r="65309" spans="7:7">
      <c r="G65309" s="812"/>
    </row>
    <row r="65310" spans="7:7">
      <c r="G65310" s="812"/>
    </row>
    <row r="65311" spans="7:7">
      <c r="G65311" s="812"/>
    </row>
    <row r="65312" spans="7:7">
      <c r="G65312" s="812"/>
    </row>
    <row r="65313" spans="7:7">
      <c r="G65313" s="812"/>
    </row>
    <row r="65314" spans="7:7">
      <c r="G65314" s="812"/>
    </row>
    <row r="65315" spans="7:7">
      <c r="G65315" s="812"/>
    </row>
    <row r="65316" spans="7:7">
      <c r="G65316" s="812"/>
    </row>
    <row r="65317" spans="7:7">
      <c r="G65317" s="812"/>
    </row>
    <row r="65318" spans="7:7">
      <c r="G65318" s="812"/>
    </row>
    <row r="65319" spans="7:7">
      <c r="G65319" s="812"/>
    </row>
    <row r="65320" spans="7:7">
      <c r="G65320" s="812"/>
    </row>
    <row r="65321" spans="7:7">
      <c r="G65321" s="812"/>
    </row>
    <row r="65322" spans="7:7">
      <c r="G65322" s="812"/>
    </row>
    <row r="65323" spans="7:7">
      <c r="G65323" s="812"/>
    </row>
    <row r="65324" spans="7:7">
      <c r="G65324" s="812"/>
    </row>
    <row r="65325" spans="7:7">
      <c r="G65325" s="812"/>
    </row>
    <row r="65326" spans="7:7">
      <c r="G65326" s="812"/>
    </row>
    <row r="65327" spans="7:7">
      <c r="G65327" s="812"/>
    </row>
    <row r="65328" spans="7:7">
      <c r="G65328" s="812"/>
    </row>
    <row r="65329" spans="7:7">
      <c r="G65329" s="812"/>
    </row>
    <row r="65330" spans="7:7">
      <c r="G65330" s="812"/>
    </row>
    <row r="65331" spans="7:7">
      <c r="G65331" s="812"/>
    </row>
    <row r="65332" spans="7:7">
      <c r="G65332" s="812"/>
    </row>
    <row r="65333" spans="7:7">
      <c r="G65333" s="812"/>
    </row>
    <row r="65334" spans="7:7">
      <c r="G65334" s="812"/>
    </row>
    <row r="65335" spans="7:7">
      <c r="G65335" s="812"/>
    </row>
    <row r="65336" spans="7:7">
      <c r="G65336" s="812"/>
    </row>
    <row r="65337" spans="7:7">
      <c r="G65337" s="812"/>
    </row>
    <row r="65338" spans="7:7">
      <c r="G65338" s="812"/>
    </row>
    <row r="65339" spans="7:7">
      <c r="G65339" s="812"/>
    </row>
    <row r="65340" spans="7:7">
      <c r="G65340" s="812"/>
    </row>
    <row r="65341" spans="7:7">
      <c r="G65341" s="812"/>
    </row>
    <row r="65342" spans="7:7">
      <c r="G65342" s="812"/>
    </row>
    <row r="65343" spans="7:7">
      <c r="G65343" s="812"/>
    </row>
    <row r="65344" spans="7:7">
      <c r="G65344" s="812"/>
    </row>
    <row r="65345" spans="7:7">
      <c r="G65345" s="812"/>
    </row>
    <row r="65346" spans="7:7">
      <c r="G65346" s="812"/>
    </row>
    <row r="65347" spans="7:7">
      <c r="G65347" s="812"/>
    </row>
    <row r="65348" spans="7:7">
      <c r="G65348" s="812"/>
    </row>
    <row r="65349" spans="7:7">
      <c r="G65349" s="812"/>
    </row>
    <row r="65350" spans="7:7">
      <c r="G65350" s="812"/>
    </row>
    <row r="65351" spans="7:7">
      <c r="G65351" s="812"/>
    </row>
    <row r="65352" spans="7:7">
      <c r="G65352" s="812"/>
    </row>
    <row r="65353" spans="7:7">
      <c r="G65353" s="812"/>
    </row>
    <row r="65354" spans="7:7">
      <c r="G65354" s="812"/>
    </row>
    <row r="65355" spans="7:7">
      <c r="G65355" s="812"/>
    </row>
    <row r="65356" spans="7:7">
      <c r="G65356" s="812"/>
    </row>
    <row r="65357" spans="7:7">
      <c r="G65357" s="812"/>
    </row>
    <row r="65358" spans="7:7">
      <c r="G65358" s="812"/>
    </row>
    <row r="65359" spans="7:7">
      <c r="G65359" s="812"/>
    </row>
    <row r="65360" spans="7:7">
      <c r="G65360" s="812"/>
    </row>
    <row r="65361" spans="7:7">
      <c r="G65361" s="812"/>
    </row>
    <row r="65362" spans="7:7">
      <c r="G65362" s="812"/>
    </row>
    <row r="65363" spans="7:7">
      <c r="G65363" s="812"/>
    </row>
    <row r="65364" spans="7:7">
      <c r="G65364" s="812"/>
    </row>
    <row r="65365" spans="7:7">
      <c r="G65365" s="812"/>
    </row>
    <row r="65366" spans="7:7">
      <c r="G65366" s="812"/>
    </row>
    <row r="65367" spans="7:7">
      <c r="G65367" s="812"/>
    </row>
    <row r="65368" spans="7:7">
      <c r="G65368" s="812"/>
    </row>
    <row r="65369" spans="7:7">
      <c r="G65369" s="812"/>
    </row>
    <row r="65370" spans="7:7">
      <c r="G65370" s="812"/>
    </row>
    <row r="65371" spans="7:7">
      <c r="G65371" s="812"/>
    </row>
    <row r="65372" spans="7:7">
      <c r="G65372" s="812"/>
    </row>
    <row r="65373" spans="7:7">
      <c r="G65373" s="812"/>
    </row>
    <row r="65374" spans="7:7">
      <c r="G65374" s="812"/>
    </row>
    <row r="65375" spans="7:7">
      <c r="G65375" s="812"/>
    </row>
    <row r="65376" spans="7:7">
      <c r="G65376" s="812"/>
    </row>
    <row r="65377" spans="7:7">
      <c r="G65377" s="812"/>
    </row>
    <row r="65378" spans="7:7">
      <c r="G65378" s="812"/>
    </row>
    <row r="65379" spans="7:7">
      <c r="G65379" s="812"/>
    </row>
    <row r="65380" spans="7:7">
      <c r="G65380" s="812"/>
    </row>
    <row r="65381" spans="7:7">
      <c r="G65381" s="812"/>
    </row>
    <row r="65382" spans="7:7">
      <c r="G65382" s="812"/>
    </row>
    <row r="65383" spans="7:7">
      <c r="G65383" s="812"/>
    </row>
    <row r="65384" spans="7:7">
      <c r="G65384" s="812"/>
    </row>
    <row r="65385" spans="7:7">
      <c r="G65385" s="812"/>
    </row>
    <row r="65386" spans="7:7">
      <c r="G65386" s="812"/>
    </row>
    <row r="65387" spans="7:7">
      <c r="G65387" s="812"/>
    </row>
    <row r="65388" spans="7:7">
      <c r="G65388" s="812"/>
    </row>
    <row r="65389" spans="7:7">
      <c r="G65389" s="812"/>
    </row>
    <row r="65390" spans="7:7">
      <c r="G65390" s="812"/>
    </row>
    <row r="65391" spans="7:7">
      <c r="G65391" s="812"/>
    </row>
    <row r="65392" spans="7:7">
      <c r="G65392" s="812"/>
    </row>
    <row r="65393" spans="7:7">
      <c r="G65393" s="812"/>
    </row>
    <row r="65394" spans="7:7">
      <c r="G65394" s="812"/>
    </row>
    <row r="65395" spans="7:7">
      <c r="G65395" s="812"/>
    </row>
    <row r="65396" spans="7:7">
      <c r="G65396" s="812"/>
    </row>
    <row r="65397" spans="7:7">
      <c r="G65397" s="812"/>
    </row>
    <row r="65398" spans="7:7">
      <c r="G65398" s="812"/>
    </row>
    <row r="65399" spans="7:7">
      <c r="G65399" s="812"/>
    </row>
    <row r="65400" spans="7:7">
      <c r="G65400" s="812"/>
    </row>
    <row r="65401" spans="7:7">
      <c r="G65401" s="812"/>
    </row>
    <row r="65402" spans="7:7">
      <c r="G65402" s="812"/>
    </row>
    <row r="65403" spans="7:7">
      <c r="G65403" s="812"/>
    </row>
    <row r="65404" spans="7:7">
      <c r="G65404" s="812"/>
    </row>
    <row r="65405" spans="7:7">
      <c r="G65405" s="812"/>
    </row>
    <row r="65406" spans="7:7">
      <c r="G65406" s="812"/>
    </row>
    <row r="65407" spans="7:7">
      <c r="G65407" s="812"/>
    </row>
    <row r="65408" spans="7:7">
      <c r="G65408" s="812"/>
    </row>
    <row r="65409" spans="7:7">
      <c r="G65409" s="812"/>
    </row>
    <row r="65410" spans="7:7">
      <c r="G65410" s="812"/>
    </row>
    <row r="65411" spans="7:7">
      <c r="G65411" s="812"/>
    </row>
    <row r="65412" spans="7:7">
      <c r="G65412" s="812"/>
    </row>
    <row r="65413" spans="7:7">
      <c r="G65413" s="812"/>
    </row>
    <row r="65414" spans="7:7">
      <c r="G65414" s="812"/>
    </row>
    <row r="65415" spans="7:7">
      <c r="G65415" s="812"/>
    </row>
    <row r="65416" spans="7:7">
      <c r="G65416" s="812"/>
    </row>
    <row r="65417" spans="7:7">
      <c r="G65417" s="812"/>
    </row>
    <row r="65418" spans="7:7">
      <c r="G65418" s="812"/>
    </row>
    <row r="65419" spans="7:7">
      <c r="G65419" s="812"/>
    </row>
    <row r="65420" spans="7:7">
      <c r="G65420" s="812"/>
    </row>
    <row r="65421" spans="7:7">
      <c r="G65421" s="812"/>
    </row>
    <row r="65422" spans="7:7">
      <c r="G65422" s="812"/>
    </row>
    <row r="65423" spans="7:7">
      <c r="G65423" s="812"/>
    </row>
    <row r="65424" spans="7:7">
      <c r="G65424" s="812"/>
    </row>
    <row r="65425" spans="7:7">
      <c r="G65425" s="812"/>
    </row>
    <row r="65426" spans="7:7">
      <c r="G65426" s="812"/>
    </row>
    <row r="65427" spans="7:7">
      <c r="G65427" s="812"/>
    </row>
    <row r="65428" spans="7:7">
      <c r="G65428" s="812"/>
    </row>
    <row r="65429" spans="7:7">
      <c r="G65429" s="812"/>
    </row>
    <row r="65430" spans="7:7">
      <c r="G65430" s="812"/>
    </row>
    <row r="65431" spans="7:7">
      <c r="G65431" s="812"/>
    </row>
    <row r="65432" spans="7:7">
      <c r="G65432" s="812"/>
    </row>
    <row r="65433" spans="7:7">
      <c r="G65433" s="812"/>
    </row>
    <row r="65434" spans="7:7">
      <c r="G65434" s="812"/>
    </row>
    <row r="65435" spans="7:7">
      <c r="G65435" s="812"/>
    </row>
    <row r="65436" spans="7:7">
      <c r="G65436" s="812"/>
    </row>
    <row r="65437" spans="7:7">
      <c r="G65437" s="812"/>
    </row>
    <row r="65438" spans="7:7">
      <c r="G65438" s="812"/>
    </row>
    <row r="65439" spans="7:7">
      <c r="G65439" s="812"/>
    </row>
    <row r="65440" spans="7:7">
      <c r="G65440" s="812"/>
    </row>
    <row r="65441" spans="7:7">
      <c r="G65441" s="812"/>
    </row>
    <row r="65442" spans="7:7">
      <c r="G65442" s="812"/>
    </row>
    <row r="65443" spans="7:7">
      <c r="G65443" s="812"/>
    </row>
    <row r="65444" spans="7:7">
      <c r="G65444" s="812"/>
    </row>
    <row r="65445" spans="7:7">
      <c r="G65445" s="812"/>
    </row>
    <row r="65446" spans="7:7">
      <c r="G65446" s="812"/>
    </row>
    <row r="65447" spans="7:7">
      <c r="G65447" s="812"/>
    </row>
    <row r="65448" spans="7:7">
      <c r="G65448" s="812"/>
    </row>
    <row r="65449" spans="7:7">
      <c r="G65449" s="812"/>
    </row>
    <row r="65450" spans="7:7">
      <c r="G65450" s="812"/>
    </row>
    <row r="65451" spans="7:7">
      <c r="G65451" s="812"/>
    </row>
    <row r="65452" spans="7:7">
      <c r="G65452" s="812"/>
    </row>
    <row r="65453" spans="7:7">
      <c r="G65453" s="812"/>
    </row>
    <row r="65454" spans="7:7">
      <c r="G65454" s="812"/>
    </row>
    <row r="65455" spans="7:7">
      <c r="G65455" s="812"/>
    </row>
    <row r="65456" spans="7:7">
      <c r="G65456" s="812"/>
    </row>
    <row r="65457" spans="7:7">
      <c r="G65457" s="812"/>
    </row>
    <row r="65458" spans="7:7">
      <c r="G65458" s="812"/>
    </row>
    <row r="65459" spans="7:7">
      <c r="G65459" s="812"/>
    </row>
    <row r="65460" spans="7:7">
      <c r="G65460" s="812"/>
    </row>
    <row r="65461" spans="7:7">
      <c r="G65461" s="812"/>
    </row>
    <row r="65462" spans="7:7">
      <c r="G65462" s="812"/>
    </row>
    <row r="65463" spans="7:7">
      <c r="G65463" s="812"/>
    </row>
    <row r="65464" spans="7:7">
      <c r="G65464" s="812"/>
    </row>
    <row r="65465" spans="7:7">
      <c r="G65465" s="812"/>
    </row>
    <row r="65466" spans="7:7">
      <c r="G65466" s="812"/>
    </row>
    <row r="65467" spans="7:7">
      <c r="G65467" s="812"/>
    </row>
    <row r="65468" spans="7:7">
      <c r="G65468" s="812"/>
    </row>
    <row r="65469" spans="7:7">
      <c r="G65469" s="812"/>
    </row>
    <row r="65470" spans="7:7">
      <c r="G65470" s="812"/>
    </row>
    <row r="65471" spans="7:7">
      <c r="G65471" s="812"/>
    </row>
    <row r="65472" spans="7:7">
      <c r="G65472" s="812"/>
    </row>
    <row r="65473" spans="7:7">
      <c r="G65473" s="812"/>
    </row>
    <row r="65474" spans="7:7">
      <c r="G65474" s="812"/>
    </row>
    <row r="65475" spans="7:7">
      <c r="G65475" s="812"/>
    </row>
    <row r="65476" spans="7:7">
      <c r="G65476" s="812"/>
    </row>
    <row r="65477" spans="7:7">
      <c r="G65477" s="812"/>
    </row>
    <row r="65478" spans="7:7">
      <c r="G65478" s="812"/>
    </row>
    <row r="65479" spans="7:7">
      <c r="G65479" s="812"/>
    </row>
    <row r="65480" spans="7:7">
      <c r="G65480" s="812"/>
    </row>
    <row r="65481" spans="7:7">
      <c r="G65481" s="812"/>
    </row>
    <row r="65482" spans="7:7">
      <c r="G65482" s="812"/>
    </row>
    <row r="65483" spans="7:7">
      <c r="G65483" s="812"/>
    </row>
    <row r="65484" spans="7:7">
      <c r="G65484" s="812"/>
    </row>
    <row r="65485" spans="7:7">
      <c r="G65485" s="812"/>
    </row>
    <row r="65486" spans="7:7">
      <c r="G65486" s="812"/>
    </row>
    <row r="65487" spans="7:7">
      <c r="G65487" s="812"/>
    </row>
    <row r="65488" spans="7:7">
      <c r="G65488" s="812"/>
    </row>
    <row r="65489" spans="7:7">
      <c r="G65489" s="812"/>
    </row>
    <row r="65490" spans="7:7">
      <c r="G65490" s="812"/>
    </row>
    <row r="65491" spans="7:7">
      <c r="G65491" s="812"/>
    </row>
    <row r="65492" spans="7:7">
      <c r="G65492" s="812"/>
    </row>
    <row r="65493" spans="7:7">
      <c r="G65493" s="812"/>
    </row>
    <row r="65494" spans="7:7">
      <c r="G65494" s="812"/>
    </row>
    <row r="65495" spans="7:7">
      <c r="G65495" s="812"/>
    </row>
    <row r="65496" spans="7:7">
      <c r="G65496" s="812"/>
    </row>
    <row r="65497" spans="7:7">
      <c r="G65497" s="812"/>
    </row>
    <row r="65498" spans="7:7">
      <c r="G65498" s="812"/>
    </row>
    <row r="65499" spans="7:7">
      <c r="G65499" s="812"/>
    </row>
    <row r="65500" spans="7:7">
      <c r="G65500" s="812"/>
    </row>
    <row r="65501" spans="7:7">
      <c r="G65501" s="812"/>
    </row>
    <row r="65502" spans="7:7">
      <c r="G65502" s="812"/>
    </row>
    <row r="65503" spans="7:7">
      <c r="G65503" s="812"/>
    </row>
    <row r="65504" spans="7:7">
      <c r="G65504" s="812"/>
    </row>
    <row r="65505" spans="7:7">
      <c r="G65505" s="812"/>
    </row>
    <row r="65506" spans="7:7">
      <c r="G65506" s="812"/>
    </row>
    <row r="65507" spans="7:7">
      <c r="G65507" s="812"/>
    </row>
    <row r="65508" spans="7:7">
      <c r="G65508" s="812"/>
    </row>
    <row r="65509" spans="7:7">
      <c r="G65509" s="812"/>
    </row>
    <row r="65510" spans="7:7">
      <c r="G65510" s="812"/>
    </row>
    <row r="65511" spans="7:7">
      <c r="G65511" s="812"/>
    </row>
    <row r="65512" spans="7:7">
      <c r="G65512" s="812"/>
    </row>
    <row r="65513" spans="7:7">
      <c r="G65513" s="812"/>
    </row>
    <row r="65514" spans="7:7">
      <c r="G65514" s="812"/>
    </row>
    <row r="65515" spans="7:7">
      <c r="G65515" s="812"/>
    </row>
    <row r="65516" spans="7:7">
      <c r="G65516" s="812"/>
    </row>
    <row r="65517" spans="7:7">
      <c r="G65517" s="812"/>
    </row>
    <row r="65518" spans="7:7">
      <c r="G65518" s="812"/>
    </row>
    <row r="65519" spans="7:7">
      <c r="G65519" s="812"/>
    </row>
    <row r="65520" spans="7:7">
      <c r="G65520" s="812"/>
    </row>
    <row r="65521" spans="7:7">
      <c r="G65521" s="812"/>
    </row>
    <row r="65522" spans="7:7">
      <c r="G65522" s="812"/>
    </row>
    <row r="65523" spans="7:7">
      <c r="G65523" s="812"/>
    </row>
    <row r="65524" spans="7:7">
      <c r="G65524" s="812"/>
    </row>
    <row r="65525" spans="7:7">
      <c r="G65525" s="812"/>
    </row>
    <row r="65526" spans="7:7">
      <c r="G65526" s="812"/>
    </row>
    <row r="65527" spans="7:7">
      <c r="G65527" s="812"/>
    </row>
    <row r="65528" spans="7:7">
      <c r="G65528" s="812"/>
    </row>
    <row r="65529" spans="7:7">
      <c r="G65529" s="812"/>
    </row>
    <row r="65530" spans="7:7">
      <c r="G65530" s="812"/>
    </row>
    <row r="65531" spans="7:7">
      <c r="G65531" s="812"/>
    </row>
    <row r="65532" spans="7:7">
      <c r="G65532" s="812"/>
    </row>
    <row r="65533" spans="7:7">
      <c r="G65533" s="812"/>
    </row>
    <row r="65534" spans="7:7">
      <c r="G65534" s="812"/>
    </row>
    <row r="65535" spans="7:7">
      <c r="G65535" s="812"/>
    </row>
    <row r="65536" spans="7:7">
      <c r="G65536" s="812"/>
    </row>
  </sheetData>
  <phoneticPr fontId="76" type="noConversion"/>
  <pageMargins left="0.47" right="0.33" top="0.44" bottom="0.4" header="0.36" footer="0.31"/>
  <pageSetup scale="72" orientation="landscape" r:id="rId1"/>
  <headerFooter alignWithMargins="0">
    <oddFooter>&amp;R&amp;A</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pageSetUpPr fitToPage="1"/>
  </sheetPr>
  <dimension ref="A1:AM65"/>
  <sheetViews>
    <sheetView showGridLines="0" zoomScale="85" zoomScaleNormal="85" workbookViewId="0">
      <selection activeCell="D2" sqref="D2:X49"/>
    </sheetView>
  </sheetViews>
  <sheetFormatPr defaultRowHeight="18" customHeight="1" outlineLevelRow="1" outlineLevelCol="1"/>
  <cols>
    <col min="1" max="1" width="2.88671875" style="1912" customWidth="1"/>
    <col min="2" max="2" width="10.109375" style="2053" hidden="1" customWidth="1" outlineLevel="1"/>
    <col min="3" max="3" width="2.88671875" style="1912" hidden="1" customWidth="1" outlineLevel="1"/>
    <col min="4" max="4" width="37.88671875" style="2058" customWidth="1" collapsed="1"/>
    <col min="5" max="14" width="12.109375" style="1908" hidden="1" customWidth="1" outlineLevel="1"/>
    <col min="15" max="15" width="12.109375" style="1908" customWidth="1" collapsed="1"/>
    <col min="16" max="16" width="12.109375" style="1908" hidden="1" customWidth="1" outlineLevel="1"/>
    <col min="17" max="17" width="12.109375" style="2103" hidden="1" customWidth="1" outlineLevel="1"/>
    <col min="18" max="18" width="12.109375" style="2103" customWidth="1" collapsed="1"/>
    <col min="19" max="19" width="12.109375" style="2103" customWidth="1"/>
    <col min="20" max="20" width="12.109375" style="2058" customWidth="1" outlineLevel="1"/>
    <col min="21" max="21" width="12.109375" style="2103" customWidth="1" outlineLevel="1"/>
    <col min="22" max="22" width="12.109375" style="2104" customWidth="1"/>
    <col min="23" max="23" width="12.109375" style="2103" hidden="1" customWidth="1" outlineLevel="1"/>
    <col min="24" max="24" width="12.109375" style="2051" customWidth="1" collapsed="1"/>
    <col min="25" max="25" width="12.109375" style="2058" hidden="1" customWidth="1" outlineLevel="1" collapsed="1"/>
    <col min="26" max="26" width="2.88671875" style="2052" customWidth="1" collapsed="1"/>
    <col min="27" max="27" width="12.109375" style="2103" hidden="1" customWidth="1" outlineLevel="1"/>
    <col min="28" max="28" width="12.109375" style="2104" hidden="1" customWidth="1" outlineLevel="1" collapsed="1"/>
    <col min="29" max="29" width="2.88671875" style="2058" customWidth="1" collapsed="1"/>
    <col min="30" max="30" width="9.44140625" style="2058" bestFit="1" customWidth="1"/>
    <col min="31" max="31" width="14.5546875" style="2058" bestFit="1" customWidth="1"/>
    <col min="32" max="32" width="56.44140625" style="2058" bestFit="1" customWidth="1"/>
    <col min="33" max="33" width="14.5546875" style="2058" customWidth="1"/>
    <col min="34" max="34" width="11.21875" style="2058" customWidth="1" outlineLevel="1"/>
    <col min="35" max="16384" width="8.88671875" style="2058"/>
  </cols>
  <sheetData>
    <row r="1" spans="1:39" ht="18" customHeight="1">
      <c r="D1" s="2054"/>
      <c r="E1" s="2054"/>
      <c r="F1" s="2054"/>
      <c r="G1" s="2054"/>
      <c r="H1" s="2054"/>
      <c r="I1" s="2054"/>
      <c r="J1" s="2054"/>
      <c r="K1" s="2054"/>
      <c r="L1" s="2054"/>
      <c r="M1" s="2054"/>
      <c r="N1" s="2054"/>
      <c r="O1" s="2054"/>
      <c r="P1" s="2054"/>
      <c r="Q1" s="2054"/>
      <c r="R1" s="2054"/>
      <c r="S1" s="2054"/>
      <c r="T1" s="2055"/>
      <c r="U1" s="2056"/>
      <c r="V1" s="2057"/>
      <c r="W1" s="2056"/>
      <c r="Z1" s="1999"/>
      <c r="AA1" s="2054"/>
      <c r="AB1" s="2057"/>
    </row>
    <row r="2" spans="1:39" s="2059" customFormat="1" ht="18" customHeight="1">
      <c r="B2" s="2060" t="s">
        <v>1626</v>
      </c>
      <c r="D2" s="2000"/>
      <c r="E2" s="2106"/>
      <c r="F2" s="2106"/>
      <c r="G2" s="2106"/>
      <c r="H2" s="2106"/>
      <c r="I2" s="2106"/>
      <c r="J2" s="2106"/>
      <c r="K2" s="2106"/>
      <c r="L2" s="2106"/>
      <c r="M2" s="2106"/>
      <c r="N2" s="2106"/>
      <c r="O2" s="2105"/>
      <c r="P2" s="2105"/>
      <c r="Q2" s="2105"/>
      <c r="R2" s="2105"/>
      <c r="S2" s="2003" t="s">
        <v>1627</v>
      </c>
      <c r="T2" s="2001" t="s">
        <v>1628</v>
      </c>
      <c r="U2" s="2002" t="s">
        <v>1629</v>
      </c>
      <c r="V2" s="2003" t="s">
        <v>1630</v>
      </c>
      <c r="W2" s="2003" t="s">
        <v>1629</v>
      </c>
      <c r="X2" s="3470" t="s">
        <v>1631</v>
      </c>
      <c r="Y2" s="3472" t="s">
        <v>1632</v>
      </c>
      <c r="Z2" s="2004"/>
      <c r="AA2" s="2003" t="s">
        <v>1627</v>
      </c>
      <c r="AB2" s="2003" t="s">
        <v>1630</v>
      </c>
    </row>
    <row r="3" spans="1:39" s="2059" customFormat="1" ht="18" customHeight="1">
      <c r="B3" s="2061"/>
      <c r="D3" s="2005"/>
      <c r="E3" s="2107" t="str">
        <f>IS!DE5</f>
        <v>3Q14</v>
      </c>
      <c r="F3" s="2107" t="str">
        <f>IS!DF5</f>
        <v>4Q14</v>
      </c>
      <c r="G3" s="2107" t="str">
        <f>IS!DG5</f>
        <v>1Q15</v>
      </c>
      <c r="H3" s="2107" t="str">
        <f>IS!DH5</f>
        <v>2Q15</v>
      </c>
      <c r="I3" s="2107" t="str">
        <f>IS!DI5</f>
        <v>3Q15</v>
      </c>
      <c r="J3" s="2107" t="str">
        <f>IS!DJ5</f>
        <v>4Q15</v>
      </c>
      <c r="K3" s="2107" t="str">
        <f>IS!DK5</f>
        <v>1Q16</v>
      </c>
      <c r="L3" s="2107" t="str">
        <f>IS!DL5</f>
        <v>2Q16</v>
      </c>
      <c r="M3" s="2107" t="str">
        <f>IS!DM5</f>
        <v>3Q16</v>
      </c>
      <c r="N3" s="2107" t="str">
        <f>IS!DN5</f>
        <v>4Q16</v>
      </c>
      <c r="O3" s="2107" t="str">
        <f>IS!DO5</f>
        <v>1Q17</v>
      </c>
      <c r="P3" s="2107" t="str">
        <f>IS!DP5</f>
        <v>2Q17</v>
      </c>
      <c r="Q3" s="2107" t="str">
        <f>IS!DQ5</f>
        <v>3Q17</v>
      </c>
      <c r="R3" s="2107" t="str">
        <f>IS!DR5</f>
        <v>4Q17</v>
      </c>
      <c r="S3" s="3244" t="s">
        <v>1722</v>
      </c>
      <c r="T3" s="2006" t="str">
        <f>+S3</f>
        <v>1Q18</v>
      </c>
      <c r="U3" s="2007" t="s">
        <v>1633</v>
      </c>
      <c r="V3" s="2008" t="str">
        <f>+S3</f>
        <v>1Q18</v>
      </c>
      <c r="W3" s="3162" t="s">
        <v>1633</v>
      </c>
      <c r="X3" s="3471"/>
      <c r="Y3" s="3473"/>
      <c r="Z3" s="2009"/>
      <c r="AA3" s="2010" t="s">
        <v>1651</v>
      </c>
      <c r="AB3" s="2010" t="str">
        <f>+AA3</f>
        <v>2016</v>
      </c>
      <c r="AK3"/>
      <c r="AL3"/>
    </row>
    <row r="4" spans="1:39" s="1909" customFormat="1" ht="18" customHeight="1">
      <c r="A4" s="1910"/>
      <c r="B4" s="2062"/>
      <c r="C4" s="1910"/>
      <c r="D4" s="3169" t="s">
        <v>1634</v>
      </c>
      <c r="E4" s="3170"/>
      <c r="F4" s="3170"/>
      <c r="G4" s="3170"/>
      <c r="H4" s="3170"/>
      <c r="I4" s="3170"/>
      <c r="J4" s="3170"/>
      <c r="K4" s="3243"/>
      <c r="L4" s="3243"/>
      <c r="M4" s="3243"/>
      <c r="N4" s="3170"/>
      <c r="O4" s="3170"/>
      <c r="P4" s="3170"/>
      <c r="Q4" s="3170"/>
      <c r="R4" s="3170"/>
      <c r="S4" s="3170"/>
      <c r="T4" s="3171"/>
      <c r="U4" s="3171"/>
      <c r="V4" s="3171"/>
      <c r="W4" s="3171"/>
      <c r="X4" s="3172"/>
      <c r="Y4" s="2065"/>
      <c r="Z4" s="2011"/>
      <c r="AA4" s="2064"/>
      <c r="AB4" s="2064"/>
      <c r="AD4" s="3287"/>
      <c r="AE4" s="3029" t="s">
        <v>1703</v>
      </c>
      <c r="AF4" s="3030"/>
      <c r="AG4" s="3030"/>
      <c r="AH4" s="3030"/>
      <c r="AI4" s="3030"/>
      <c r="AJ4" s="3030"/>
      <c r="AK4" s="2066"/>
      <c r="AL4" s="2066"/>
      <c r="AM4" s="2066"/>
    </row>
    <row r="5" spans="1:39" s="2066" customFormat="1" ht="18" customHeight="1">
      <c r="B5" s="2067" t="s">
        <v>1635</v>
      </c>
      <c r="D5" s="2012" t="s">
        <v>1577</v>
      </c>
      <c r="E5" s="2530">
        <f>+IS!DE95</f>
        <v>0.88843471988458766</v>
      </c>
      <c r="F5" s="2530">
        <f>+IS!DF95</f>
        <v>0.71300938176569639</v>
      </c>
      <c r="G5" s="2530">
        <f>+IS!DG95</f>
        <v>0.88910458626546951</v>
      </c>
      <c r="H5" s="2530">
        <f>+IS!DH95</f>
        <v>0.90183598531211751</v>
      </c>
      <c r="I5" s="2530">
        <f>+IS!DI95</f>
        <v>0.91012770137524557</v>
      </c>
      <c r="J5" s="2530">
        <f>+IS!DJ95</f>
        <v>0.7531305201177626</v>
      </c>
      <c r="K5" s="2530">
        <f>+IS!DK95</f>
        <v>0.93005140758873939</v>
      </c>
      <c r="L5" s="2530">
        <f>+IS!DL95</f>
        <v>0.94394124847001226</v>
      </c>
      <c r="M5" s="2530">
        <f>+IS!DM95</f>
        <v>1.0088105726872247</v>
      </c>
      <c r="N5" s="2530">
        <f>+IS!DN95</f>
        <v>0.85882065084413994</v>
      </c>
      <c r="O5" s="2530">
        <f>+IS!DO95</f>
        <v>0.94519207242476144</v>
      </c>
      <c r="P5" s="2530">
        <f>+IS!DP95</f>
        <v>0.95639392454679084</v>
      </c>
      <c r="Q5" s="2530">
        <f>+IS!DQ95</f>
        <v>0.97676693568109563</v>
      </c>
      <c r="R5" s="2530">
        <f>+IS!DR95</f>
        <v>0.85916870415647917</v>
      </c>
      <c r="S5" s="2530">
        <v>1.0868686483087493</v>
      </c>
      <c r="T5" s="2108">
        <v>1.17</v>
      </c>
      <c r="U5" s="3163">
        <f>T5-S5</f>
        <v>8.3131351691250632E-2</v>
      </c>
      <c r="V5" s="2115">
        <v>1.1100000000000001</v>
      </c>
      <c r="W5" s="3173">
        <f>+V5-S5</f>
        <v>2.3131351691250801E-2</v>
      </c>
      <c r="X5" s="3174" t="s">
        <v>799</v>
      </c>
      <c r="Y5" s="2068"/>
      <c r="Z5" s="2013"/>
      <c r="AA5" s="2530">
        <f>+IS!X95</f>
        <v>3.7416043566052744</v>
      </c>
      <c r="AB5" s="2115">
        <f>+Q5+V5+1.02+0.87</f>
        <v>3.9767669356810957</v>
      </c>
      <c r="AD5" s="3040">
        <v>2017</v>
      </c>
      <c r="AF5" s="3036" t="s">
        <v>1702</v>
      </c>
      <c r="AG5" s="3036" t="s">
        <v>1627</v>
      </c>
      <c r="AH5" s="3036" t="s">
        <v>1661</v>
      </c>
    </row>
    <row r="6" spans="1:39" s="2069" customFormat="1" ht="18" customHeight="1">
      <c r="B6" s="2067" t="s">
        <v>1635</v>
      </c>
      <c r="D6" s="2070" t="s">
        <v>801</v>
      </c>
      <c r="E6" s="2531">
        <f>+IS!DE35</f>
        <v>31586</v>
      </c>
      <c r="F6" s="2531">
        <f>+IS!DF35</f>
        <v>33192</v>
      </c>
      <c r="G6" s="2531">
        <f>+IS!DG35</f>
        <v>31429</v>
      </c>
      <c r="H6" s="2531">
        <f>+IS!DH35</f>
        <v>31677</v>
      </c>
      <c r="I6" s="2531">
        <f>+IS!DI35</f>
        <v>32614</v>
      </c>
      <c r="J6" s="2531">
        <f>+IS!DJ35</f>
        <v>33701</v>
      </c>
      <c r="K6" s="2531">
        <f>+IS!DK35</f>
        <v>31646</v>
      </c>
      <c r="L6" s="2531">
        <f>+IS!DL35</f>
        <v>30532</v>
      </c>
      <c r="M6" s="2531">
        <f>+IS!DM35</f>
        <v>30937</v>
      </c>
      <c r="N6" s="2531">
        <f>+IS!DN35</f>
        <v>32340</v>
      </c>
      <c r="O6" s="2531">
        <f>+IS!DO35</f>
        <v>29814</v>
      </c>
      <c r="P6" s="2531">
        <f>+IS!DP35</f>
        <v>30548</v>
      </c>
      <c r="Q6" s="2531">
        <f>+IS!DQ35</f>
        <v>31717</v>
      </c>
      <c r="R6" s="2531">
        <f>+IS!DR35</f>
        <v>33955</v>
      </c>
      <c r="S6" s="2531">
        <v>31267.367051018435</v>
      </c>
      <c r="T6" s="2109">
        <v>31772</v>
      </c>
      <c r="U6" s="2028">
        <f>T6-S6</f>
        <v>504.63294898156528</v>
      </c>
      <c r="V6" s="2116">
        <v>31250</v>
      </c>
      <c r="W6" s="3177">
        <f>+V6-S6</f>
        <v>-17.367051018434722</v>
      </c>
      <c r="X6" s="3462" t="s">
        <v>799</v>
      </c>
      <c r="Y6" s="3464"/>
      <c r="Z6" s="2015"/>
      <c r="AA6" s="2531">
        <f>+IS!X35</f>
        <v>125455</v>
      </c>
      <c r="AB6" s="2116">
        <f>+Q6+V6+32977.08+33988.35</f>
        <v>129932.43</v>
      </c>
      <c r="AD6" s="2066"/>
      <c r="AE6" s="2066" t="s">
        <v>1577</v>
      </c>
      <c r="AF6" s="3038" t="s">
        <v>1709</v>
      </c>
      <c r="AG6" s="3031">
        <f ca="1">+IS!Z95</f>
        <v>4.5447318949672786</v>
      </c>
      <c r="AH6" s="3033">
        <v>4.53</v>
      </c>
    </row>
    <row r="7" spans="1:39" s="2071" customFormat="1" ht="18" customHeight="1">
      <c r="B7" s="2072"/>
      <c r="D7" s="3178" t="s">
        <v>834</v>
      </c>
      <c r="E7" s="2532">
        <f>+IS!DE36</f>
        <v>4.8602350441537823E-2</v>
      </c>
      <c r="F7" s="2532">
        <f>+IS!DF36</f>
        <v>7.3063494116125671E-2</v>
      </c>
      <c r="G7" s="2532">
        <f>+IS!DG36</f>
        <v>2.4079504724666023E-2</v>
      </c>
      <c r="H7" s="2532">
        <f>+IS!DH36</f>
        <v>1.0269494498485132E-2</v>
      </c>
      <c r="I7" s="2532">
        <f>+IS!DI36</f>
        <v>3.2546064712214218E-2</v>
      </c>
      <c r="J7" s="2532">
        <f>+IS!DJ36</f>
        <v>1.5335020486864304E-2</v>
      </c>
      <c r="K7" s="2532">
        <f>+IS!DK36</f>
        <v>6.9044513029368204E-3</v>
      </c>
      <c r="L7" s="2532">
        <f>+IS!DL36</f>
        <v>-3.6146099693784128E-2</v>
      </c>
      <c r="M7" s="2532">
        <f>+IS!DM36</f>
        <v>-5.1419635739253122E-2</v>
      </c>
      <c r="N7" s="2532">
        <f>+IS!DN36</f>
        <v>-4.0384558321711506E-2</v>
      </c>
      <c r="O7" s="2532">
        <f>+IS!DO36</f>
        <v>-5.7890412690387416E-2</v>
      </c>
      <c r="P7" s="2532">
        <f>+IS!DP36</f>
        <v>5.2404035110709124E-4</v>
      </c>
      <c r="Q7" s="2532">
        <f>+IS!DQ36</f>
        <v>2.521252868733237E-2</v>
      </c>
      <c r="R7" s="2532">
        <f>+IS!DR36</f>
        <v>4.9938157081014234E-2</v>
      </c>
      <c r="S7" s="2532">
        <v>4.8747804756773094E-2</v>
      </c>
      <c r="T7" s="3179">
        <f>+T6/O6-1</f>
        <v>6.5673844502582623E-2</v>
      </c>
      <c r="U7" s="3180" t="str">
        <f>ROUND((T7-S7)*10000,0)&amp;" bps"</f>
        <v>169 bps</v>
      </c>
      <c r="V7" s="3181">
        <f>+V6/O6-1</f>
        <v>4.8165291473804217E-2</v>
      </c>
      <c r="W7" s="3182" t="str">
        <f>ROUND((V7-S7)*10000,0)&amp;" bps"</f>
        <v>-6 bps</v>
      </c>
      <c r="X7" s="3463"/>
      <c r="Y7" s="3467"/>
      <c r="Z7" s="2017"/>
      <c r="AA7" s="2532">
        <f>+IS!X36</f>
        <v>-3.0644176756476904E-2</v>
      </c>
      <c r="AB7" s="2016">
        <f>+AB6/IS!$V$35-1</f>
        <v>2.4517871364027055E-2</v>
      </c>
      <c r="AD7" s="2069"/>
      <c r="AE7" s="2069" t="s">
        <v>801</v>
      </c>
      <c r="AF7" s="3038" t="s">
        <v>1707</v>
      </c>
      <c r="AG7" s="3032">
        <f ca="1">+IS!Z35</f>
        <v>128945.31879471819</v>
      </c>
      <c r="AH7" s="3034">
        <v>128353.38</v>
      </c>
    </row>
    <row r="8" spans="1:39" s="2069" customFormat="1" ht="18" customHeight="1">
      <c r="B8" s="2067" t="s">
        <v>1635</v>
      </c>
      <c r="D8" s="2070" t="s">
        <v>1636</v>
      </c>
      <c r="E8" s="2531">
        <f>+IS!DE63</f>
        <v>11057</v>
      </c>
      <c r="F8" s="2531">
        <f>+IS!DF63</f>
        <v>9773</v>
      </c>
      <c r="G8" s="2531">
        <f>+IS!DG63</f>
        <v>11394</v>
      </c>
      <c r="H8" s="2531">
        <f>+IS!DH63</f>
        <v>11254</v>
      </c>
      <c r="I8" s="2531">
        <f>+IS!DI63</f>
        <v>11342</v>
      </c>
      <c r="J8" s="2531">
        <f>+IS!DJ63</f>
        <v>10378</v>
      </c>
      <c r="K8" s="2531">
        <f>+IS!DK63</f>
        <v>11457</v>
      </c>
      <c r="L8" s="2531">
        <f>+IS!DL63</f>
        <v>11079</v>
      </c>
      <c r="M8" s="2531">
        <f>+IS!DM63</f>
        <v>11279</v>
      </c>
      <c r="N8" s="2531">
        <f>+IS!DN63</f>
        <v>10421</v>
      </c>
      <c r="O8" s="2531">
        <f>+IS!DO63</f>
        <v>11366</v>
      </c>
      <c r="P8" s="2531">
        <f>+IS!DP63</f>
        <v>11384</v>
      </c>
      <c r="Q8" s="2531">
        <f>+IS!DQ63</f>
        <v>12100</v>
      </c>
      <c r="R8" s="2531">
        <f>+IS!DR63</f>
        <v>11807</v>
      </c>
      <c r="S8" s="2531">
        <v>11686.903086185728</v>
      </c>
      <c r="T8" s="2109">
        <v>11778</v>
      </c>
      <c r="U8" s="2028">
        <f>T8-S8</f>
        <v>91.096913814271829</v>
      </c>
      <c r="V8" s="2116">
        <v>11740</v>
      </c>
      <c r="W8" s="3177">
        <f>V8-S8</f>
        <v>53.096913814271829</v>
      </c>
      <c r="X8" s="3466" t="s">
        <v>799</v>
      </c>
      <c r="Y8" s="3464"/>
      <c r="Z8" s="2015"/>
      <c r="AA8" s="2531">
        <f>+IS!X63</f>
        <v>44236</v>
      </c>
      <c r="AB8" s="2116">
        <f>+Q8+V8+11771.77+10862</f>
        <v>46473.770000000004</v>
      </c>
      <c r="AD8" s="2071"/>
      <c r="AE8" s="3063" t="s">
        <v>834</v>
      </c>
      <c r="AF8" s="3038"/>
      <c r="AG8" s="2071">
        <f ca="1">IS!$Z$36</f>
        <v>2.30994715292554E-2</v>
      </c>
      <c r="AH8" s="2071">
        <f>+AH7/IS!Y35-1</f>
        <v>1.8402811939635333E-2</v>
      </c>
    </row>
    <row r="9" spans="1:39" s="2071" customFormat="1" ht="18" customHeight="1">
      <c r="B9" s="2072"/>
      <c r="D9" s="3178" t="s">
        <v>219</v>
      </c>
      <c r="E9" s="2533">
        <f>+IS!DE64</f>
        <v>0.35006015323244477</v>
      </c>
      <c r="F9" s="2533">
        <f>+IS!DF64</f>
        <v>0.29443841889611955</v>
      </c>
      <c r="G9" s="2533">
        <f>+IS!DG64</f>
        <v>0.36253142002609057</v>
      </c>
      <c r="H9" s="2533">
        <f>+IS!DH64</f>
        <v>0.35527354231776997</v>
      </c>
      <c r="I9" s="2533">
        <f>+IS!DI64</f>
        <v>0.34776476359845465</v>
      </c>
      <c r="J9" s="2533">
        <f>+IS!DJ64</f>
        <v>0.30794338446930358</v>
      </c>
      <c r="K9" s="2533">
        <f>+IS!DK64</f>
        <v>0.36203627630664226</v>
      </c>
      <c r="L9" s="2533">
        <f>+IS!DL64</f>
        <v>0.3628651906196777</v>
      </c>
      <c r="M9" s="2533">
        <f>+IS!DM64</f>
        <v>0.3645796295697708</v>
      </c>
      <c r="N9" s="2533">
        <f>+IS!DN64</f>
        <v>0.32223252937538654</v>
      </c>
      <c r="O9" s="2533">
        <f>+IS!DO64</f>
        <v>0.38123029449252027</v>
      </c>
      <c r="P9" s="2533">
        <f>+IS!DP64</f>
        <v>0.37265942123870632</v>
      </c>
      <c r="Q9" s="2533">
        <f>+IS!DQ64</f>
        <v>0.38149888072642429</v>
      </c>
      <c r="R9" s="2533">
        <f>+IS!DR64</f>
        <v>0.34772493005448385</v>
      </c>
      <c r="S9" s="2533">
        <v>0.37377317594783105</v>
      </c>
      <c r="T9" s="3183">
        <f>+T8/T6</f>
        <v>0.37070376432078561</v>
      </c>
      <c r="U9" s="3180" t="str">
        <f>ROUND((T9-S9)*10000,0)&amp;" bps"</f>
        <v>-31 bps</v>
      </c>
      <c r="V9" s="3184">
        <f>+V8/V6</f>
        <v>0.37568000000000001</v>
      </c>
      <c r="W9" s="3182" t="str">
        <f>ROUND((V9-S9)*10000,0)&amp;" bps"</f>
        <v>19 bps</v>
      </c>
      <c r="X9" s="3463"/>
      <c r="Y9" s="3467"/>
      <c r="Z9" s="2017"/>
      <c r="AA9" s="2533">
        <f>+IS!X64</f>
        <v>0.3526045195488422</v>
      </c>
      <c r="AB9" s="2018">
        <f>+AB8/AB6</f>
        <v>0.35767644767361012</v>
      </c>
      <c r="AD9" s="2069"/>
      <c r="AE9" s="2069" t="s">
        <v>1636</v>
      </c>
      <c r="AF9" s="3038"/>
      <c r="AG9" s="3032">
        <f ca="1">IS!$Z$63</f>
        <v>47786.253296851944</v>
      </c>
      <c r="AH9" s="3034">
        <v>47449.21</v>
      </c>
    </row>
    <row r="10" spans="1:39" s="2073" customFormat="1" ht="18" customHeight="1">
      <c r="A10" s="2069"/>
      <c r="B10" s="2067" t="s">
        <v>1637</v>
      </c>
      <c r="C10" s="2069"/>
      <c r="D10" s="2070" t="s">
        <v>1638</v>
      </c>
      <c r="E10" s="2531">
        <f>+Capex!DH128</f>
        <v>4130</v>
      </c>
      <c r="F10" s="2531">
        <f>+Capex!DI128</f>
        <v>4567</v>
      </c>
      <c r="G10" s="2531">
        <f>+Capex!DJ128</f>
        <v>3665</v>
      </c>
      <c r="H10" s="2531">
        <f>+Capex!DK128</f>
        <v>4488</v>
      </c>
      <c r="I10" s="2531">
        <f>+Capex!DL128</f>
        <v>4387</v>
      </c>
      <c r="J10" s="2531">
        <f>+Capex!DM128</f>
        <v>5235</v>
      </c>
      <c r="K10" s="2531">
        <f>+Capex!DN128</f>
        <v>3387</v>
      </c>
      <c r="L10" s="2531">
        <f>+Capex!DO128</f>
        <v>3886</v>
      </c>
      <c r="M10" s="2531">
        <f>+Capex!DP128</f>
        <v>4125</v>
      </c>
      <c r="N10" s="2531">
        <f>+Capex!DQ128</f>
        <v>5661</v>
      </c>
      <c r="O10" s="2531">
        <f>+Capex!DR128</f>
        <v>3067</v>
      </c>
      <c r="P10" s="2531">
        <f>+Capex!DS128</f>
        <v>3944</v>
      </c>
      <c r="Q10" s="2531">
        <f>+Capex!DT128</f>
        <v>4271</v>
      </c>
      <c r="R10" s="2531">
        <f>+Capex!DU128</f>
        <v>5965</v>
      </c>
      <c r="S10" s="2531">
        <v>3908.4208813773043</v>
      </c>
      <c r="T10" s="2109">
        <v>4552</v>
      </c>
      <c r="U10" s="2028">
        <f>+S10-T10</f>
        <v>-643.57911862269566</v>
      </c>
      <c r="V10" s="2116">
        <v>3600</v>
      </c>
      <c r="W10" s="3177">
        <f>+S10-V10</f>
        <v>308.42088137730434</v>
      </c>
      <c r="X10" s="3462" t="s">
        <v>1430</v>
      </c>
      <c r="Y10" s="3464"/>
      <c r="Z10" s="2015"/>
      <c r="AA10" s="2531">
        <f>+Capex!X128</f>
        <v>17059</v>
      </c>
      <c r="AB10" s="2116">
        <f>+Q10+V10+4475.93+4741.69</f>
        <v>17088.62</v>
      </c>
      <c r="AD10" s="2071"/>
      <c r="AE10" s="3063" t="s">
        <v>219</v>
      </c>
      <c r="AF10" s="3039"/>
      <c r="AG10" s="2071">
        <f ca="1">+AG9/AG7</f>
        <v>0.3705931610664206</v>
      </c>
      <c r="AH10" s="2071">
        <f>+AH9/AH7</f>
        <v>0.36967635756845668</v>
      </c>
    </row>
    <row r="11" spans="1:39" s="2071" customFormat="1" ht="18" customHeight="1">
      <c r="B11" s="2072"/>
      <c r="D11" s="3178" t="s">
        <v>507</v>
      </c>
      <c r="E11" s="3184">
        <f>E10/E6</f>
        <v>0.13075413157728108</v>
      </c>
      <c r="F11" s="3184">
        <f t="shared" ref="F11:G11" si="0">F10/F6</f>
        <v>0.13759339599903592</v>
      </c>
      <c r="G11" s="3184">
        <f t="shared" si="0"/>
        <v>0.11661204619937</v>
      </c>
      <c r="H11" s="3184">
        <f t="shared" ref="H11" si="1">H10/H6</f>
        <v>0.1416800833412255</v>
      </c>
      <c r="I11" s="3184">
        <f t="shared" ref="I11" si="2">I10/I6</f>
        <v>0.13451278592015697</v>
      </c>
      <c r="J11" s="3184">
        <f t="shared" ref="J11" si="3">J10/J6</f>
        <v>0.15533663689504762</v>
      </c>
      <c r="K11" s="3184">
        <f t="shared" ref="K11" si="4">K10/K6</f>
        <v>0.10702774442267585</v>
      </c>
      <c r="L11" s="3184">
        <f t="shared" ref="L11" si="5">L10/L6</f>
        <v>0.12727630027512118</v>
      </c>
      <c r="M11" s="3184">
        <f t="shared" ref="M11:R11" si="6">M10/M6</f>
        <v>0.13333548825031516</v>
      </c>
      <c r="N11" s="3184">
        <f t="shared" si="6"/>
        <v>0.17504638218923932</v>
      </c>
      <c r="O11" s="3184">
        <f t="shared" si="6"/>
        <v>0.10287113436640505</v>
      </c>
      <c r="P11" s="3184">
        <f t="shared" si="6"/>
        <v>0.12910828859499804</v>
      </c>
      <c r="Q11" s="3184">
        <f t="shared" si="6"/>
        <v>0.1346596462464924</v>
      </c>
      <c r="R11" s="3184">
        <f t="shared" si="6"/>
        <v>0.17567368576056547</v>
      </c>
      <c r="S11" s="3184">
        <v>0.125</v>
      </c>
      <c r="T11" s="3183">
        <f>T10/T6</f>
        <v>0.14327080448193377</v>
      </c>
      <c r="U11" s="3180" t="str">
        <f>ROUND((T11-S11)*10000,0)&amp;" bps"</f>
        <v>183 bps</v>
      </c>
      <c r="V11" s="3185">
        <f>+V10/V6</f>
        <v>0.1152</v>
      </c>
      <c r="W11" s="3186" t="str">
        <f>ROUND((S11-V11)*10000,0)&amp;" bps"</f>
        <v>98 bps</v>
      </c>
      <c r="X11" s="3463"/>
      <c r="Y11" s="3465"/>
      <c r="Z11" s="2017"/>
      <c r="AA11" s="2018">
        <f>AA10/AA6</f>
        <v>0.13597704356143636</v>
      </c>
      <c r="AB11" s="2019">
        <f>+AB10/AB6</f>
        <v>0.13151928275335112</v>
      </c>
      <c r="AD11" s="2069"/>
      <c r="AE11" s="2069" t="s">
        <v>1638</v>
      </c>
      <c r="AF11" s="3038" t="s">
        <v>1704</v>
      </c>
      <c r="AG11" s="3032">
        <f ca="1">Capex!$Z$128</f>
        <v>17185.531443313364</v>
      </c>
      <c r="AH11" s="3034">
        <v>17691.91</v>
      </c>
    </row>
    <row r="12" spans="1:39" s="2075" customFormat="1" ht="18" customHeight="1">
      <c r="B12" s="2076"/>
      <c r="D12" s="3169" t="s">
        <v>312</v>
      </c>
      <c r="E12" s="3170"/>
      <c r="F12" s="3170"/>
      <c r="G12" s="3170"/>
      <c r="H12" s="3170"/>
      <c r="I12" s="3170"/>
      <c r="J12" s="3170"/>
      <c r="K12" s="3170"/>
      <c r="L12" s="3170"/>
      <c r="M12" s="3170"/>
      <c r="N12" s="3170"/>
      <c r="O12" s="3170"/>
      <c r="P12" s="3170"/>
      <c r="Q12" s="3170"/>
      <c r="R12" s="3170"/>
      <c r="S12" s="3170"/>
      <c r="T12" s="3171"/>
      <c r="U12" s="3171"/>
      <c r="V12" s="3171"/>
      <c r="W12" s="3171"/>
      <c r="X12" s="3172"/>
      <c r="Y12" s="2065"/>
      <c r="Z12" s="2020"/>
      <c r="AA12" s="2063"/>
      <c r="AB12" s="2064"/>
      <c r="AD12" s="2071"/>
      <c r="AE12" s="3063" t="s">
        <v>507</v>
      </c>
      <c r="AF12" s="3038"/>
      <c r="AG12" s="2071">
        <f ca="1">+AG11/AG7</f>
        <v>0.13327766842527139</v>
      </c>
      <c r="AH12" s="2071">
        <f>+AH11/AH7</f>
        <v>0.13783750766828268</v>
      </c>
    </row>
    <row r="13" spans="1:39" s="2073" customFormat="1" ht="18" customHeight="1">
      <c r="A13" s="2069"/>
      <c r="B13" s="2067" t="s">
        <v>1635</v>
      </c>
      <c r="C13" s="2069"/>
      <c r="D13" s="2070" t="s">
        <v>797</v>
      </c>
      <c r="E13" s="2531">
        <f>+Wless!DH25</f>
        <v>18356</v>
      </c>
      <c r="F13" s="2531">
        <f>+Wless!DI25</f>
        <v>18209</v>
      </c>
      <c r="G13" s="2531">
        <f>+Wless!DJ25</f>
        <v>17914</v>
      </c>
      <c r="H13" s="2531">
        <f>+Wless!DK25</f>
        <v>17689</v>
      </c>
      <c r="I13" s="2531">
        <f>+Wless!DL25</f>
        <v>17598</v>
      </c>
      <c r="J13" s="2531">
        <f>+Wless!DM25</f>
        <v>17195</v>
      </c>
      <c r="K13" s="2531">
        <f>+Wless!DN25</f>
        <v>16809</v>
      </c>
      <c r="L13" s="2531">
        <f>+Wless!DO25</f>
        <v>16741</v>
      </c>
      <c r="M13" s="2531">
        <f>+Wless!DP25</f>
        <v>16684</v>
      </c>
      <c r="N13" s="2531">
        <f>+Wless!DQ25</f>
        <v>16346</v>
      </c>
      <c r="O13" s="2531">
        <f>+Wless!DR25</f>
        <v>15778</v>
      </c>
      <c r="P13" s="2531">
        <f>+Wless!DS25</f>
        <v>15622</v>
      </c>
      <c r="Q13" s="2531">
        <f>+Wless!DT25</f>
        <v>15841</v>
      </c>
      <c r="R13" s="2531">
        <f>+Wless!DU25</f>
        <v>15880</v>
      </c>
      <c r="S13" s="2531">
        <v>15390.6713153046</v>
      </c>
      <c r="T13" s="2109">
        <v>15402</v>
      </c>
      <c r="U13" s="2028">
        <f>T13-S13</f>
        <v>11.328684695399716</v>
      </c>
      <c r="V13" s="2116">
        <v>15470</v>
      </c>
      <c r="W13" s="3187">
        <f>+V13-S13</f>
        <v>79.328684695399716</v>
      </c>
      <c r="X13" s="3466" t="s">
        <v>800</v>
      </c>
      <c r="Y13" s="3464"/>
      <c r="Z13" s="2015"/>
      <c r="AA13" s="2531">
        <f>+Wless!X25</f>
        <v>66580</v>
      </c>
      <c r="AB13" s="2014"/>
      <c r="AD13" s="2069"/>
      <c r="AE13" s="3037" t="s">
        <v>1518</v>
      </c>
      <c r="AF13" s="3038" t="s">
        <v>1708</v>
      </c>
      <c r="AG13" s="3032">
        <f ca="1">Wless!$Z$25</f>
        <v>62112.373914782234</v>
      </c>
      <c r="AH13" s="2075"/>
    </row>
    <row r="14" spans="1:39" s="2071" customFormat="1" ht="18" customHeight="1">
      <c r="B14" s="2072"/>
      <c r="D14" s="3178" t="s">
        <v>834</v>
      </c>
      <c r="E14" s="2534">
        <f>+Wless!DH26</f>
        <v>4.7956154373144599E-2</v>
      </c>
      <c r="F14" s="2534">
        <f>+Wless!DI26</f>
        <v>2.8118118683304161E-2</v>
      </c>
      <c r="G14" s="2534">
        <f>+Wless!DJ26</f>
        <v>-4.0584866848278889E-3</v>
      </c>
      <c r="H14" s="2534">
        <f>+Wless!DK26</f>
        <v>-2.1517867020688142E-2</v>
      </c>
      <c r="I14" s="2534">
        <f>+Wless!DL26</f>
        <v>-4.1294399651340186E-2</v>
      </c>
      <c r="J14" s="2534">
        <f>+Wless!DM26</f>
        <v>-5.5686748311274625E-2</v>
      </c>
      <c r="K14" s="2534">
        <f>+Wless!DN26</f>
        <v>-6.1683599419448454E-2</v>
      </c>
      <c r="L14" s="2534">
        <f>+Wless!DO26</f>
        <v>-5.3592628187008828E-2</v>
      </c>
      <c r="M14" s="2534">
        <f>+Wless!DP26</f>
        <v>-5.1937720195476711E-2</v>
      </c>
      <c r="N14" s="2534">
        <f>+Wless!DQ26</f>
        <v>-4.9374818261122444E-2</v>
      </c>
      <c r="O14" s="2534">
        <f>+Wless!DR26</f>
        <v>-6.1336188946397807E-2</v>
      </c>
      <c r="P14" s="2534">
        <f>+Wless!DS26</f>
        <v>-6.6841885192043482E-2</v>
      </c>
      <c r="Q14" s="2534">
        <f>+Wless!DT26</f>
        <v>-5.0527451450491534E-2</v>
      </c>
      <c r="R14" s="2534">
        <f>+Wless!DU26</f>
        <v>-2.850850360944579E-2</v>
      </c>
      <c r="S14" s="2534">
        <v>-2.4548655386956497E-2</v>
      </c>
      <c r="T14" s="3179">
        <f>+T13/O13-1</f>
        <v>-2.3830650272531395E-2</v>
      </c>
      <c r="U14" s="3180" t="str">
        <f>ROUND((T14-S14)*10000,0)&amp;" bps"</f>
        <v>7 bps</v>
      </c>
      <c r="V14" s="3181">
        <f>+V13/O13-1</f>
        <v>-1.9520851818988438E-2</v>
      </c>
      <c r="W14" s="3182" t="str">
        <f>ROUND((V14-S14)*10000,0)&amp;" bps"</f>
        <v>50 bps</v>
      </c>
      <c r="X14" s="3463"/>
      <c r="Y14" s="3467"/>
      <c r="Z14" s="2021"/>
      <c r="AA14" s="2534">
        <f>+Wless!X26</f>
        <v>-5.4207625433263296E-2</v>
      </c>
      <c r="AB14" s="2016"/>
      <c r="AE14" s="3063" t="s">
        <v>834</v>
      </c>
      <c r="AF14" s="3038" t="s">
        <v>1723</v>
      </c>
      <c r="AG14" s="3055">
        <f ca="1">Wless!$Z$26</f>
        <v>-1.5979247559730791E-2</v>
      </c>
      <c r="AH14" s="2073"/>
    </row>
    <row r="15" spans="1:39" s="2073" customFormat="1" ht="18" customHeight="1">
      <c r="A15" s="2069"/>
      <c r="B15" s="2067" t="s">
        <v>1635</v>
      </c>
      <c r="C15" s="2069"/>
      <c r="D15" s="2070" t="s">
        <v>1534</v>
      </c>
      <c r="E15" s="2531">
        <f>+Wless!DH27</f>
        <v>2480</v>
      </c>
      <c r="F15" s="2531">
        <f>+Wless!DI27</f>
        <v>4222</v>
      </c>
      <c r="G15" s="2531">
        <f>+Wless!DJ27</f>
        <v>3373</v>
      </c>
      <c r="H15" s="2531">
        <f>+Wless!DK27</f>
        <v>3861</v>
      </c>
      <c r="I15" s="2531">
        <f>+Wless!DL27</f>
        <v>4292</v>
      </c>
      <c r="J15" s="2531">
        <f>+Wless!DM27</f>
        <v>5398</v>
      </c>
      <c r="K15" s="2531">
        <f>+Wless!DN27</f>
        <v>3954</v>
      </c>
      <c r="L15" s="2531">
        <f>+Wless!DO27</f>
        <v>3704</v>
      </c>
      <c r="M15" s="2531">
        <f>+Wless!DP27</f>
        <v>4124</v>
      </c>
      <c r="N15" s="2531">
        <f>+Wless!DQ27</f>
        <v>5733</v>
      </c>
      <c r="O15" s="2531">
        <f>+Wless!DR27</f>
        <v>3764</v>
      </c>
      <c r="P15" s="2531">
        <f>+Wless!DS27</f>
        <v>4298</v>
      </c>
      <c r="Q15" s="2531">
        <f>+Wless!DT27</f>
        <v>4352</v>
      </c>
      <c r="R15" s="2531">
        <f>+Wless!DU27</f>
        <v>6475</v>
      </c>
      <c r="S15" s="2531">
        <v>4530.3992533319706</v>
      </c>
      <c r="T15" s="2109">
        <v>5040</v>
      </c>
      <c r="U15" s="2028">
        <f>T15-S15</f>
        <v>509.60074666802939</v>
      </c>
      <c r="V15" s="2116">
        <f>21320-V13-Wless!DV29</f>
        <v>4392</v>
      </c>
      <c r="W15" s="3177">
        <f>+V15-S15</f>
        <v>-138.39925333197061</v>
      </c>
      <c r="X15" s="3466" t="s">
        <v>799</v>
      </c>
      <c r="Y15" s="3464"/>
      <c r="Z15" s="2015"/>
      <c r="AA15" s="2531">
        <f>+Wless!X27</f>
        <v>17515</v>
      </c>
      <c r="AB15" s="2014"/>
      <c r="AD15" s="2069"/>
      <c r="AE15" s="3037" t="s">
        <v>798</v>
      </c>
      <c r="AF15" s="3038"/>
      <c r="AG15" s="3032">
        <f ca="1">Wless!$Z$27</f>
        <v>21265.156640867848</v>
      </c>
      <c r="AH15" s="2071"/>
    </row>
    <row r="16" spans="1:39" s="2071" customFormat="1" ht="18" customHeight="1">
      <c r="B16" s="2072"/>
      <c r="D16" s="3178" t="s">
        <v>834</v>
      </c>
      <c r="E16" s="2534">
        <f>+Wless!DH28</f>
        <v>0.28898128898128905</v>
      </c>
      <c r="F16" s="2534">
        <f>+Wless!DI28</f>
        <v>0.74390747624948372</v>
      </c>
      <c r="G16" s="2534">
        <f>+Wless!DJ28</f>
        <v>0.80374331550802136</v>
      </c>
      <c r="H16" s="2534">
        <f>+Wless!DK28</f>
        <v>0.61751152073732718</v>
      </c>
      <c r="I16" s="2534">
        <f>+Wless!DL28</f>
        <v>0.73064516129032264</v>
      </c>
      <c r="J16" s="2534">
        <f>+Wless!DM28</f>
        <v>0.2785409758408337</v>
      </c>
      <c r="K16" s="2534">
        <f>+Wless!DN28</f>
        <v>0.17225022235398746</v>
      </c>
      <c r="L16" s="2534">
        <f>+Wless!DO28</f>
        <v>-4.0663040663040717E-2</v>
      </c>
      <c r="M16" s="2534">
        <f>+Wless!DP28</f>
        <v>-3.9142590866728777E-2</v>
      </c>
      <c r="N16" s="2534">
        <f>+Wless!DQ28</f>
        <v>6.2060022230455703E-2</v>
      </c>
      <c r="O16" s="2534">
        <f>+Wless!DR28</f>
        <v>-4.8052604957005585E-2</v>
      </c>
      <c r="P16" s="2534">
        <f>+Wless!DS28</f>
        <v>0.16036717062634986</v>
      </c>
      <c r="Q16" s="2534">
        <f>+Wless!DT28</f>
        <v>5.5286129970901987E-2</v>
      </c>
      <c r="R16" s="2534">
        <f>+Wless!DU28</f>
        <v>0.12942612942612941</v>
      </c>
      <c r="S16" s="2534">
        <v>0.20361297909988596</v>
      </c>
      <c r="T16" s="3179">
        <f>+T15/O15-1</f>
        <v>0.33900106269925612</v>
      </c>
      <c r="U16" s="3180" t="str">
        <f>ROUND((T16-S16)*10000,0)&amp;" bps"</f>
        <v>1354 bps</v>
      </c>
      <c r="V16" s="3181">
        <f>+V15/O15-1</f>
        <v>0.16684378320935167</v>
      </c>
      <c r="W16" s="3182" t="str">
        <f>ROUND((V16-S16)*10000,0)&amp;" bps"</f>
        <v>-368 bps</v>
      </c>
      <c r="X16" s="3463"/>
      <c r="Y16" s="3467"/>
      <c r="Z16" s="2021"/>
      <c r="AA16" s="2534">
        <f>+Wless!X28</f>
        <v>3.4920822500590809E-2</v>
      </c>
      <c r="AB16" s="2016"/>
      <c r="AE16" s="3063" t="s">
        <v>834</v>
      </c>
      <c r="AF16" s="3038"/>
      <c r="AG16" s="3055">
        <f ca="1">Wless!$Z$28</f>
        <v>0.125795788070721</v>
      </c>
      <c r="AH16" s="2073"/>
    </row>
    <row r="17" spans="1:37" s="2073" customFormat="1" ht="18" customHeight="1">
      <c r="A17" s="2069"/>
      <c r="B17" s="2067" t="s">
        <v>1635</v>
      </c>
      <c r="C17" s="2069"/>
      <c r="D17" s="2070" t="s">
        <v>971</v>
      </c>
      <c r="E17" s="2531">
        <f>+Wless!DH78</f>
        <v>9094</v>
      </c>
      <c r="F17" s="2531">
        <f>+Wless!DI78</f>
        <v>7654</v>
      </c>
      <c r="G17" s="2531">
        <f>+Wless!DJ78</f>
        <v>10000</v>
      </c>
      <c r="H17" s="2531">
        <f>+Wless!DK78</f>
        <v>9921</v>
      </c>
      <c r="I17" s="2531">
        <f>+Wless!DL78</f>
        <v>9928</v>
      </c>
      <c r="J17" s="2531">
        <f>+Wless!DM78</f>
        <v>9104</v>
      </c>
      <c r="K17" s="2531">
        <f>+Wless!DN78</f>
        <v>10173</v>
      </c>
      <c r="L17" s="2531">
        <f>+Wless!DO78</f>
        <v>10299</v>
      </c>
      <c r="M17" s="2531">
        <f>+Wless!DP78</f>
        <v>9934</v>
      </c>
      <c r="N17" s="2531">
        <f>+Wless!DQ78</f>
        <v>8630</v>
      </c>
      <c r="O17" s="2531">
        <f>+Wless!DR78</f>
        <v>9414</v>
      </c>
      <c r="P17" s="2531">
        <f>+Wless!DS78</f>
        <v>9757</v>
      </c>
      <c r="Q17" s="2531">
        <f>+Wless!DT78</f>
        <v>9969</v>
      </c>
      <c r="R17" s="2531">
        <f>+Wless!DU78</f>
        <v>9462</v>
      </c>
      <c r="S17" s="2531">
        <v>9840.8296386822276</v>
      </c>
      <c r="T17" s="2109">
        <v>10477</v>
      </c>
      <c r="U17" s="2028">
        <f>T17-S17</f>
        <v>636.1703613177724</v>
      </c>
      <c r="V17" s="2116">
        <v>9970</v>
      </c>
      <c r="W17" s="3177">
        <f>V17-S17</f>
        <v>129.1703613177724</v>
      </c>
      <c r="X17" s="3466" t="s">
        <v>799</v>
      </c>
      <c r="Y17" s="3464"/>
      <c r="Z17" s="2015"/>
      <c r="AA17" s="2531">
        <f>+Wless!X78</f>
        <v>39036</v>
      </c>
      <c r="AB17" s="2014"/>
      <c r="AD17" s="2071"/>
      <c r="AE17" s="3054" t="s">
        <v>301</v>
      </c>
      <c r="AF17" s="3038" t="s">
        <v>1706</v>
      </c>
      <c r="AG17" s="3055">
        <f ca="1">IS!$Z$79</f>
        <v>0.24621328907294515</v>
      </c>
      <c r="AH17" s="2071"/>
    </row>
    <row r="18" spans="1:37" s="2071" customFormat="1" ht="18" customHeight="1">
      <c r="A18" s="2077"/>
      <c r="B18" s="2072"/>
      <c r="C18" s="2077"/>
      <c r="D18" s="3178" t="s">
        <v>1653</v>
      </c>
      <c r="E18" s="3184">
        <f>E17/E13</f>
        <v>0.49542383961647418</v>
      </c>
      <c r="F18" s="3184">
        <f t="shared" ref="F18:G18" si="7">F17/F13</f>
        <v>0.42034158932396065</v>
      </c>
      <c r="G18" s="3184">
        <f t="shared" si="7"/>
        <v>0.55822261918052918</v>
      </c>
      <c r="H18" s="3184">
        <f t="shared" ref="H18" si="8">H17/H13</f>
        <v>0.56085702979252638</v>
      </c>
      <c r="I18" s="3184">
        <f t="shared" ref="I18" si="9">I17/I13</f>
        <v>0.56415501761563813</v>
      </c>
      <c r="J18" s="3184">
        <f t="shared" ref="J18" si="10">J17/J13</f>
        <v>0.52945623727827862</v>
      </c>
      <c r="K18" s="3184">
        <f t="shared" ref="K18" si="11">K17/K13</f>
        <v>0.60521149384258432</v>
      </c>
      <c r="L18" s="3184">
        <f t="shared" ref="L18" si="12">L17/L13</f>
        <v>0.61519622483722602</v>
      </c>
      <c r="M18" s="3184">
        <f t="shared" ref="M18:R18" si="13">M17/M13</f>
        <v>0.59542076240709663</v>
      </c>
      <c r="N18" s="3184">
        <f t="shared" si="13"/>
        <v>0.52795791019209592</v>
      </c>
      <c r="O18" s="3184">
        <f t="shared" si="13"/>
        <v>0.59665356825960203</v>
      </c>
      <c r="P18" s="3184">
        <f t="shared" si="13"/>
        <v>0.62456791704007164</v>
      </c>
      <c r="Q18" s="3184">
        <f t="shared" si="13"/>
        <v>0.62931633103970708</v>
      </c>
      <c r="R18" s="3184">
        <f t="shared" si="13"/>
        <v>0.59584382871536523</v>
      </c>
      <c r="S18" s="3184">
        <v>0.63940223509915595</v>
      </c>
      <c r="T18" s="3183">
        <f>T17/T13</f>
        <v>0.6802363329437735</v>
      </c>
      <c r="U18" s="3188" t="str">
        <f>ROUND((T18-S18)*10000,0)&amp;" bps"</f>
        <v>408 bps</v>
      </c>
      <c r="V18" s="3184">
        <f t="shared" ref="V18" si="14">V17/V13</f>
        <v>0.64447317388493863</v>
      </c>
      <c r="W18" s="3189" t="str">
        <f>ROUND((V18-S18)*10000,0)&amp;" bps"</f>
        <v>51 bps</v>
      </c>
      <c r="X18" s="3463"/>
      <c r="Y18" s="3468"/>
      <c r="Z18" s="2022"/>
      <c r="AA18" s="2018">
        <f>AA17/AA13</f>
        <v>0.58630219285070595</v>
      </c>
      <c r="AB18" s="2018"/>
      <c r="AE18" s="3054" t="s">
        <v>1705</v>
      </c>
      <c r="AF18" s="3038" t="s">
        <v>1720</v>
      </c>
      <c r="AG18" s="3055"/>
      <c r="AI18" s="2073"/>
      <c r="AJ18" s="2073"/>
      <c r="AK18" s="2073"/>
    </row>
    <row r="19" spans="1:37" s="2073" customFormat="1" ht="18" customHeight="1">
      <c r="A19" s="2078"/>
      <c r="B19" s="2067" t="s">
        <v>1635</v>
      </c>
      <c r="C19" s="2078"/>
      <c r="D19" s="2023" t="s">
        <v>1380</v>
      </c>
      <c r="E19" s="2535">
        <f>+Capex!DH114</f>
        <v>2483</v>
      </c>
      <c r="F19" s="2535">
        <f>+Capex!DI114</f>
        <v>2707</v>
      </c>
      <c r="G19" s="2535">
        <f>+Capex!DJ114</f>
        <v>2419</v>
      </c>
      <c r="H19" s="2535">
        <f>+Capex!DK114</f>
        <v>3126</v>
      </c>
      <c r="I19" s="2535">
        <f>+Capex!DL114</f>
        <v>2921</v>
      </c>
      <c r="J19" s="2535">
        <f>+Capex!DM114</f>
        <v>3259</v>
      </c>
      <c r="K19" s="2535">
        <f>+Capex!DN114</f>
        <v>2190</v>
      </c>
      <c r="L19" s="2535">
        <f>+Capex!DO114</f>
        <v>2815</v>
      </c>
      <c r="M19" s="2535">
        <f>+Capex!DP114</f>
        <v>2771</v>
      </c>
      <c r="N19" s="2535">
        <f>+Capex!DQ114</f>
        <v>3464</v>
      </c>
      <c r="O19" s="2535">
        <f>+Capex!DR114</f>
        <v>1831</v>
      </c>
      <c r="P19" s="2535">
        <f>+Capex!DS114</f>
        <v>2444</v>
      </c>
      <c r="Q19" s="2535">
        <f>+Capex!DT114</f>
        <v>2970</v>
      </c>
      <c r="R19" s="2535">
        <f>+Capex!DU114</f>
        <v>3383</v>
      </c>
      <c r="S19" s="2535">
        <v>2154.6939841426442</v>
      </c>
      <c r="T19" s="2110">
        <v>2367</v>
      </c>
      <c r="U19" s="2031">
        <f>+S19-T19</f>
        <v>-212.30601585735576</v>
      </c>
      <c r="V19" s="2117">
        <v>2260</v>
      </c>
      <c r="W19" s="3190">
        <f>+S19-V19</f>
        <v>-105.30601585735576</v>
      </c>
      <c r="X19" s="3191" t="s">
        <v>1430</v>
      </c>
      <c r="Y19" s="2079"/>
      <c r="Z19" s="2015"/>
      <c r="AA19" s="2535">
        <f>+Capex!X114</f>
        <v>11240</v>
      </c>
      <c r="AB19" s="2024"/>
      <c r="AD19" s="2059"/>
      <c r="AE19" s="2059"/>
      <c r="AF19" s="2059"/>
      <c r="AG19" s="2059"/>
      <c r="AH19" s="2059"/>
      <c r="AI19" s="2059"/>
      <c r="AJ19" s="2059"/>
      <c r="AK19" s="2071"/>
    </row>
    <row r="20" spans="1:37" s="2073" customFormat="1" ht="18" customHeight="1">
      <c r="A20" s="2069"/>
      <c r="B20" s="2067" t="s">
        <v>1635</v>
      </c>
      <c r="C20" s="2069"/>
      <c r="D20" s="2080" t="s">
        <v>776</v>
      </c>
      <c r="E20" s="2531">
        <f>+Wless!DH119</f>
        <v>1516</v>
      </c>
      <c r="F20" s="2531">
        <f>+Wless!DI119</f>
        <v>1986</v>
      </c>
      <c r="G20" s="2531">
        <f>+Wless!DJ119</f>
        <v>565</v>
      </c>
      <c r="H20" s="2531">
        <f>+Wless!DK119</f>
        <v>1134</v>
      </c>
      <c r="I20" s="2531">
        <f>+Wless!DL119</f>
        <v>1289</v>
      </c>
      <c r="J20" s="2531">
        <f>+Wless!DM119</f>
        <v>1519</v>
      </c>
      <c r="K20" s="2531">
        <f>+Wless!DN119</f>
        <v>640</v>
      </c>
      <c r="L20" s="2531">
        <f>+Wless!DO119</f>
        <v>615</v>
      </c>
      <c r="M20" s="2531">
        <f>+Wless!DP119</f>
        <v>442</v>
      </c>
      <c r="N20" s="2531">
        <f>+Wless!DQ119</f>
        <v>591</v>
      </c>
      <c r="O20" s="2531">
        <f>+Wless!DR119</f>
        <v>-307</v>
      </c>
      <c r="P20" s="2531">
        <f>+Wless!DS119</f>
        <v>614</v>
      </c>
      <c r="Q20" s="2531">
        <f>+Wless!DT119</f>
        <v>603</v>
      </c>
      <c r="R20" s="2531">
        <f>+Wless!DU119</f>
        <v>1174</v>
      </c>
      <c r="S20" s="2531">
        <v>91.681581441725029</v>
      </c>
      <c r="T20" s="2109">
        <v>260</v>
      </c>
      <c r="U20" s="2028">
        <f>T20-S20</f>
        <v>168.31841855827497</v>
      </c>
      <c r="V20" s="2116">
        <v>165</v>
      </c>
      <c r="W20" s="3177">
        <f>V20-S20</f>
        <v>73.318418558274971</v>
      </c>
      <c r="X20" s="3193" t="s">
        <v>799</v>
      </c>
      <c r="Y20" s="2081"/>
      <c r="Z20" s="2015"/>
      <c r="AA20" s="2531">
        <f>+Wless!X119</f>
        <v>2288</v>
      </c>
      <c r="AB20" s="2014"/>
      <c r="AD20" s="2059"/>
      <c r="AE20" s="3029" t="s">
        <v>1660</v>
      </c>
      <c r="AF20" s="3030"/>
      <c r="AG20" s="3030"/>
      <c r="AH20" s="3030"/>
      <c r="AI20" s="3030"/>
      <c r="AJ20" s="3030"/>
    </row>
    <row r="21" spans="1:37" s="2073" customFormat="1" ht="18" customHeight="1">
      <c r="A21" s="2069"/>
      <c r="B21" s="2067" t="s">
        <v>1635</v>
      </c>
      <c r="C21" s="2069"/>
      <c r="D21" s="3064" t="s">
        <v>1640</v>
      </c>
      <c r="E21" s="2536">
        <f>+Wless!DH120</f>
        <v>9</v>
      </c>
      <c r="F21" s="2536">
        <f>+Wless!DI120</f>
        <v>81</v>
      </c>
      <c r="G21" s="2536">
        <f>+Wless!DJ120</f>
        <v>-188</v>
      </c>
      <c r="H21" s="2536">
        <f>+Wless!DK120</f>
        <v>-126</v>
      </c>
      <c r="I21" s="2536">
        <f>+Wless!DL120</f>
        <v>-80</v>
      </c>
      <c r="J21" s="2536">
        <f>+Wless!DM120</f>
        <v>-157</v>
      </c>
      <c r="K21" s="2536">
        <f>+Wless!DN120</f>
        <v>-177</v>
      </c>
      <c r="L21" s="2536">
        <f>+Wless!DO120</f>
        <v>-30</v>
      </c>
      <c r="M21" s="2536">
        <f>+Wless!DP120</f>
        <v>83</v>
      </c>
      <c r="N21" s="2536">
        <f>+Wless!DQ120</f>
        <v>-9</v>
      </c>
      <c r="O21" s="2536">
        <f>+Wless!DR120</f>
        <v>-17</v>
      </c>
      <c r="P21" s="2536">
        <f>+Wless!DS120</f>
        <v>19</v>
      </c>
      <c r="Q21" s="2536">
        <f>+Wless!DT120</f>
        <v>139</v>
      </c>
      <c r="R21" s="2536">
        <f>+Wless!DU120</f>
        <v>-184</v>
      </c>
      <c r="S21" s="2536">
        <v>-54.91880851408439</v>
      </c>
      <c r="T21" s="2111">
        <v>-335</v>
      </c>
      <c r="U21" s="3194">
        <f>T21-S21</f>
        <v>-280.08119148591561</v>
      </c>
      <c r="V21" s="2118">
        <v>-36</v>
      </c>
      <c r="W21" s="3195">
        <f>V21-S21</f>
        <v>18.91880851408439</v>
      </c>
      <c r="X21" s="3191" t="s">
        <v>1430</v>
      </c>
      <c r="Y21" s="2079"/>
      <c r="Z21" s="2015"/>
      <c r="AA21" s="2536">
        <f>+Wless!X120</f>
        <v>-133</v>
      </c>
      <c r="AB21" s="2038"/>
      <c r="AD21" s="3040">
        <v>2016</v>
      </c>
      <c r="AE21" s="2066"/>
      <c r="AF21" s="3036" t="s">
        <v>1695</v>
      </c>
      <c r="AG21" s="3036" t="s">
        <v>1692</v>
      </c>
      <c r="AH21" s="3036" t="s">
        <v>1659</v>
      </c>
      <c r="AI21" s="3035" t="s">
        <v>1627</v>
      </c>
      <c r="AJ21" s="3035" t="s">
        <v>1661</v>
      </c>
    </row>
    <row r="22" spans="1:37" s="2073" customFormat="1" ht="18" customHeight="1">
      <c r="A22" s="2069"/>
      <c r="B22" s="2067"/>
      <c r="C22" s="2069"/>
      <c r="D22" s="3064" t="s">
        <v>1674</v>
      </c>
      <c r="E22" s="2536">
        <f>Wless!DH368</f>
        <v>457</v>
      </c>
      <c r="F22" s="2536">
        <f>Wless!DI368</f>
        <v>672</v>
      </c>
      <c r="G22" s="2536">
        <f>Wless!DJ368</f>
        <v>-138</v>
      </c>
      <c r="H22" s="2536">
        <f>Wless!DK368</f>
        <v>321</v>
      </c>
      <c r="I22" s="2536">
        <f>Wless!DL368</f>
        <v>430</v>
      </c>
      <c r="J22" s="2536">
        <f>Wless!DM368</f>
        <v>449</v>
      </c>
      <c r="K22" s="2536">
        <f>Wless!DN368</f>
        <v>-8</v>
      </c>
      <c r="L22" s="2536">
        <f>Wless!DO368</f>
        <v>86</v>
      </c>
      <c r="M22" s="2536">
        <f>Wless!DP368</f>
        <v>-36</v>
      </c>
      <c r="N22" s="2536">
        <f>Wless!DQ368</f>
        <v>167</v>
      </c>
      <c r="O22" s="2536">
        <f>Wless!DR368</f>
        <v>-289</v>
      </c>
      <c r="P22" s="2536">
        <f>Wless!DS368</f>
        <v>358</v>
      </c>
      <c r="Q22" s="2536">
        <f>Wless!DT368</f>
        <v>274</v>
      </c>
      <c r="R22" s="2536">
        <f>Wless!DU368</f>
        <v>431</v>
      </c>
      <c r="S22" s="2536">
        <v>-83.318418558274971</v>
      </c>
      <c r="T22" s="2111">
        <v>-24</v>
      </c>
      <c r="U22" s="3194">
        <f>T22-S22</f>
        <v>59.318418558274971</v>
      </c>
      <c r="V22" s="2118">
        <v>-69</v>
      </c>
      <c r="W22" s="3195">
        <f>V22-S22</f>
        <v>14.318418558274971</v>
      </c>
      <c r="X22" s="3191" t="s">
        <v>799</v>
      </c>
      <c r="Y22" s="2079"/>
      <c r="Z22" s="2015"/>
      <c r="AA22" s="2536"/>
      <c r="AB22" s="2038"/>
      <c r="AD22" s="2066">
        <v>3.87082865334729</v>
      </c>
      <c r="AE22" s="2066" t="s">
        <v>1577</v>
      </c>
      <c r="AF22" s="3038" t="s">
        <v>1664</v>
      </c>
      <c r="AG22" s="3038" t="s">
        <v>1664</v>
      </c>
      <c r="AH22" s="3038" t="s">
        <v>1664</v>
      </c>
      <c r="AI22" s="3031">
        <f>+IS!Y95</f>
        <v>3.7374602397846832</v>
      </c>
      <c r="AJ22" s="3033">
        <v>3.76</v>
      </c>
    </row>
    <row r="23" spans="1:37" s="2082" customFormat="1" ht="18" customHeight="1">
      <c r="B23" s="2067" t="s">
        <v>1635</v>
      </c>
      <c r="D23" s="3235" t="s">
        <v>3</v>
      </c>
      <c r="E23" s="3236">
        <f>+Wless!DH265</f>
        <v>0.01</v>
      </c>
      <c r="F23" s="3236">
        <f>+Wless!DI265</f>
        <v>1.14E-2</v>
      </c>
      <c r="G23" s="3236">
        <f>+Wless!DJ265</f>
        <v>1.03E-2</v>
      </c>
      <c r="H23" s="3236">
        <f>+Wless!DK265</f>
        <v>8.9999999999999993E-3</v>
      </c>
      <c r="I23" s="3236">
        <f>+Wless!DL265</f>
        <v>9.2999999999999992E-3</v>
      </c>
      <c r="J23" s="3236">
        <f>+Wless!DM265</f>
        <v>9.5999999999999992E-3</v>
      </c>
      <c r="K23" s="3236">
        <f>+Wless!DN265</f>
        <v>9.5999999999999992E-3</v>
      </c>
      <c r="L23" s="3236">
        <f>+Wless!DO265</f>
        <v>9.4000000000000004E-3</v>
      </c>
      <c r="M23" s="3236">
        <f>+Wless!DP265</f>
        <v>1.04E-2</v>
      </c>
      <c r="N23" s="3236">
        <f>+Wless!DQ265</f>
        <v>1.0999999999999999E-2</v>
      </c>
      <c r="O23" s="3236">
        <f>+Wless!DR265</f>
        <v>1.15E-2</v>
      </c>
      <c r="P23" s="3236">
        <f>+Wless!DS265</f>
        <v>9.4000000000000004E-3</v>
      </c>
      <c r="Q23" s="3236">
        <f>+Wless!DT265</f>
        <v>9.7000000000000003E-3</v>
      </c>
      <c r="R23" s="3236">
        <f>+Wless!DU265</f>
        <v>0.01</v>
      </c>
      <c r="S23" s="3236">
        <v>1.03E-2</v>
      </c>
      <c r="T23" s="3237">
        <v>1.04E-2</v>
      </c>
      <c r="U23" s="3238" t="str">
        <f>-ROUND((T23-S23)*10000,0)&amp;" bps"</f>
        <v>-1 bps</v>
      </c>
      <c r="V23" s="3239">
        <v>1.04E-2</v>
      </c>
      <c r="W23" s="3196" t="str">
        <f>-ROUND((V23-S23)*10000,0)&amp;" bps"</f>
        <v>-1 bps</v>
      </c>
      <c r="X23" s="3197" t="s">
        <v>1430</v>
      </c>
      <c r="Y23" s="2084"/>
      <c r="Z23" s="2025"/>
      <c r="AA23" s="2537">
        <f>+Wless!X265</f>
        <v>1.010758879641842E-2</v>
      </c>
      <c r="AB23" s="2083"/>
      <c r="AD23" s="2069">
        <v>125980</v>
      </c>
      <c r="AE23" s="2069" t="s">
        <v>801</v>
      </c>
      <c r="AF23" s="3038" t="s">
        <v>1665</v>
      </c>
      <c r="AG23" s="3038" t="s">
        <v>1665</v>
      </c>
      <c r="AH23" s="3038" t="s">
        <v>1665</v>
      </c>
      <c r="AI23" s="3032">
        <f>+IS!Y35</f>
        <v>126034</v>
      </c>
      <c r="AJ23" s="3034">
        <v>125208.03</v>
      </c>
      <c r="AK23" s="2073"/>
    </row>
    <row r="24" spans="1:37" s="2087" customFormat="1" ht="18" customHeight="1" outlineLevel="1">
      <c r="A24" s="2066"/>
      <c r="B24" s="2067" t="s">
        <v>1641</v>
      </c>
      <c r="C24" s="2066"/>
      <c r="D24" s="3198" t="s">
        <v>1642</v>
      </c>
      <c r="E24" s="3199">
        <f>+Wless!DH249</f>
        <v>57.308300318073847</v>
      </c>
      <c r="F24" s="3199">
        <f>+Wless!DI249</f>
        <v>55.812682731400422</v>
      </c>
      <c r="G24" s="3199">
        <f>+Wless!DJ249</f>
        <v>54.253455909650434</v>
      </c>
      <c r="H24" s="3199">
        <f>+Wless!DK249</f>
        <v>52.946743099705373</v>
      </c>
      <c r="I24" s="3199">
        <f>+Wless!DL249</f>
        <v>51.999454190099357</v>
      </c>
      <c r="J24" s="3199">
        <f>+Wless!DM249</f>
        <v>50.061440976407582</v>
      </c>
      <c r="K24" s="3199">
        <f>+Wless!DN249</f>
        <v>48.598332420834915</v>
      </c>
      <c r="L24" s="3199">
        <f>+Wless!DO249</f>
        <v>48.16533596028863</v>
      </c>
      <c r="M24" s="3199">
        <f>+Wless!DP249</f>
        <v>47.75437490740741</v>
      </c>
      <c r="N24" s="3199">
        <f>+Wless!DQ249</f>
        <v>46.382186566889075</v>
      </c>
      <c r="O24" s="3199">
        <f>+Wless!DR249</f>
        <v>44.559052646597223</v>
      </c>
      <c r="P24" s="3199">
        <f>+Wless!DS249</f>
        <v>43.773175469157188</v>
      </c>
      <c r="Q24" s="3199">
        <f>+Wless!DT249</f>
        <v>44.049312898242022</v>
      </c>
      <c r="R24" s="3199">
        <f>+Wless!DU249</f>
        <v>43.569778906320856</v>
      </c>
      <c r="S24" s="3199">
        <v>42.553895277500345</v>
      </c>
      <c r="T24" s="3200">
        <f>131.71*AVERAGE(35404,35333)/AVERAGE(111114,110854)</f>
        <v>41.973483880559364</v>
      </c>
      <c r="U24" s="3201">
        <f>T24-S24</f>
        <v>-0.58041139694098121</v>
      </c>
      <c r="V24" s="3202"/>
      <c r="W24" s="3201">
        <f>V24-U24</f>
        <v>0.58041139694098121</v>
      </c>
      <c r="X24" s="3469" t="s">
        <v>1430</v>
      </c>
      <c r="Y24" s="3465"/>
      <c r="Z24" s="2013"/>
      <c r="AA24" s="2123">
        <f>+Wless!W249</f>
        <v>52.106000661531013</v>
      </c>
      <c r="AB24" s="2026"/>
      <c r="AC24" s="2085"/>
      <c r="AD24" s="2071">
        <f>+AD23/IS!W35-1</f>
        <v>-2.6587648063297276E-2</v>
      </c>
      <c r="AE24" s="3063" t="s">
        <v>834</v>
      </c>
      <c r="AF24" s="3038" t="s">
        <v>1668</v>
      </c>
      <c r="AG24" s="3038" t="s">
        <v>1668</v>
      </c>
      <c r="AH24" s="3038" t="s">
        <v>1668</v>
      </c>
      <c r="AI24" s="2071">
        <f>+AI23/AD23-1</f>
        <v>4.2863946658200369E-4</v>
      </c>
      <c r="AJ24" s="2071">
        <f>+AJ23/AD23-1</f>
        <v>-6.1277186855056565E-3</v>
      </c>
      <c r="AK24" s="2082"/>
    </row>
    <row r="25" spans="1:37" s="2090" customFormat="1" ht="18" customHeight="1" outlineLevel="1">
      <c r="A25" s="2071"/>
      <c r="B25" s="2088"/>
      <c r="C25" s="2071"/>
      <c r="D25" s="3203" t="s">
        <v>834</v>
      </c>
      <c r="E25" s="3204">
        <f>+Wless!DH250</f>
        <v>-3.0756742303406082E-3</v>
      </c>
      <c r="F25" s="3204">
        <f>+Wless!DI250</f>
        <v>-2.7314827806194653E-2</v>
      </c>
      <c r="G25" s="3204">
        <f>+Wless!DJ250</f>
        <v>-6.0122514419894912E-2</v>
      </c>
      <c r="H25" s="3204">
        <f>+Wless!DK250</f>
        <v>-7.5761551373361491E-2</v>
      </c>
      <c r="I25" s="3204">
        <f>+Wless!DL250</f>
        <v>-9.2636600606006647E-2</v>
      </c>
      <c r="J25" s="3204">
        <f>+Wless!DM250</f>
        <v>-0.10304542755399881</v>
      </c>
      <c r="K25" s="3204">
        <f>+Wless!DN250</f>
        <v>-0.10423526748661194</v>
      </c>
      <c r="L25" s="3204">
        <f>+Wless!DO250</f>
        <v>-9.0305972747233065E-2</v>
      </c>
      <c r="M25" s="3204">
        <f>+Wless!DP250</f>
        <v>-8.1636996941791051E-2</v>
      </c>
      <c r="N25" s="3204">
        <f>+Wless!DQ250</f>
        <v>-7.3494776373944637E-2</v>
      </c>
      <c r="O25" s="3204">
        <f>+Wless!DR250</f>
        <v>-8.3115604446254321E-2</v>
      </c>
      <c r="P25" s="3204">
        <f>+Wless!DS250</f>
        <v>-9.1189242295593886E-2</v>
      </c>
      <c r="Q25" s="3204">
        <f>+Wless!DT250</f>
        <v>-7.7585813160558792E-2</v>
      </c>
      <c r="R25" s="3204">
        <f>+Wless!DU250</f>
        <v>-6.0635512655540014E-2</v>
      </c>
      <c r="S25" s="3204">
        <v>-4.4999999999999998E-2</v>
      </c>
      <c r="T25" s="3205">
        <f>+T24/O24-1</f>
        <v>-5.8025667344058895E-2</v>
      </c>
      <c r="U25" s="3206" t="str">
        <f>ROUND((T25-S25)*10000,0)&amp;" bps"</f>
        <v>-130 bps</v>
      </c>
      <c r="V25" s="3181"/>
      <c r="W25" s="3206" t="e">
        <f>ROUND((V25-U25)*10000,0)&amp;" bps"</f>
        <v>#VALUE!</v>
      </c>
      <c r="X25" s="3469"/>
      <c r="Y25" s="3465"/>
      <c r="Z25" s="2017"/>
      <c r="AA25" s="2124">
        <f>+Wless!W250</f>
        <v>-8.0958205879057665E-2</v>
      </c>
      <c r="AB25" s="2016"/>
      <c r="AC25" s="2085"/>
      <c r="AD25" s="2069">
        <v>44761</v>
      </c>
      <c r="AE25" s="2069" t="s">
        <v>1636</v>
      </c>
      <c r="AF25" s="3038"/>
      <c r="AG25" s="3038"/>
      <c r="AH25" s="3038"/>
      <c r="AI25" s="3032">
        <f>+IS!Y63</f>
        <v>46657</v>
      </c>
      <c r="AJ25" s="3034">
        <v>45071.73</v>
      </c>
      <c r="AK25" s="2087"/>
    </row>
    <row r="26" spans="1:37" s="2075" customFormat="1" ht="18" customHeight="1">
      <c r="B26" s="2076"/>
      <c r="D26" s="3169" t="s">
        <v>311</v>
      </c>
      <c r="E26" s="3170"/>
      <c r="F26" s="3170"/>
      <c r="G26" s="3170"/>
      <c r="H26" s="3170"/>
      <c r="I26" s="3170"/>
      <c r="J26" s="3170"/>
      <c r="K26" s="3170"/>
      <c r="L26" s="3170"/>
      <c r="M26" s="3170"/>
      <c r="N26" s="3170"/>
      <c r="O26" s="3170"/>
      <c r="P26" s="3170"/>
      <c r="Q26" s="3170"/>
      <c r="R26" s="3170"/>
      <c r="S26" s="3170"/>
      <c r="T26" s="3171"/>
      <c r="U26" s="3171"/>
      <c r="V26" s="3171"/>
      <c r="W26" s="3171"/>
      <c r="X26" s="3172"/>
      <c r="Y26" s="2065"/>
      <c r="Z26" s="2027"/>
      <c r="AA26" s="2063"/>
      <c r="AB26" s="2064"/>
      <c r="AD26" s="2071"/>
      <c r="AE26" s="3063" t="s">
        <v>219</v>
      </c>
      <c r="AF26" s="3039"/>
      <c r="AG26" s="3039"/>
      <c r="AH26" s="3039"/>
      <c r="AI26" s="2071">
        <f>+AI25/AI23</f>
        <v>0.37019375724010983</v>
      </c>
      <c r="AJ26" s="2071">
        <f>+AJ25/AJ23</f>
        <v>0.35997475561271913</v>
      </c>
      <c r="AK26" s="2090"/>
    </row>
    <row r="27" spans="1:37" s="2073" customFormat="1" ht="18" customHeight="1">
      <c r="A27" s="2069"/>
      <c r="B27" s="2067" t="s">
        <v>1635</v>
      </c>
      <c r="C27" s="2069"/>
      <c r="D27" s="2070" t="s">
        <v>764</v>
      </c>
      <c r="E27" s="2538">
        <f>+Wireline!DH75</f>
        <v>9576</v>
      </c>
      <c r="F27" s="2538">
        <f>+Wireline!DI75</f>
        <v>9560</v>
      </c>
      <c r="G27" s="2538">
        <f>+Wireline!DJ75</f>
        <v>8914</v>
      </c>
      <c r="H27" s="2538">
        <f>+Wireline!DK75</f>
        <v>8876</v>
      </c>
      <c r="I27" s="2538">
        <f>+Wireline!DL75</f>
        <v>8811</v>
      </c>
      <c r="J27" s="2538">
        <f>+Wireline!DM75</f>
        <v>8920</v>
      </c>
      <c r="K27" s="2538">
        <f>+Wireline!DN75</f>
        <v>8765</v>
      </c>
      <c r="L27" s="2538">
        <f>+Wireline!DO75</f>
        <v>7823</v>
      </c>
      <c r="M27" s="2538">
        <f>+Wireline!DP75</f>
        <v>7787</v>
      </c>
      <c r="N27" s="2538">
        <f>+Wireline!DQ75</f>
        <v>7812</v>
      </c>
      <c r="O27" s="2538">
        <f>+Wireline!DR75</f>
        <v>7876</v>
      </c>
      <c r="P27" s="2538">
        <f>+Wireline!DS75</f>
        <v>7802</v>
      </c>
      <c r="Q27" s="2538">
        <f>+Wireline!DT75</f>
        <v>7662</v>
      </c>
      <c r="R27" s="2538">
        <f>+Wireline!DU75</f>
        <v>7617</v>
      </c>
      <c r="S27" s="2538">
        <v>7571.6464823818642</v>
      </c>
      <c r="T27" s="2109">
        <v>7557</v>
      </c>
      <c r="U27" s="2028">
        <f>T27-S27</f>
        <v>-14.646482381864189</v>
      </c>
      <c r="V27" s="2119">
        <v>7610</v>
      </c>
      <c r="W27" s="3187">
        <f>+V27-S27</f>
        <v>38.353517618135811</v>
      </c>
      <c r="X27" s="3469" t="s">
        <v>800</v>
      </c>
      <c r="Y27" s="3465"/>
      <c r="Z27" s="2015"/>
      <c r="AA27" s="2538">
        <f>+Wireline!X75</f>
        <v>32187</v>
      </c>
      <c r="AB27" s="2029"/>
      <c r="AD27" s="2069">
        <v>17059</v>
      </c>
      <c r="AE27" s="2069" t="s">
        <v>1638</v>
      </c>
      <c r="AF27" s="3038" t="s">
        <v>1696</v>
      </c>
      <c r="AG27" s="3038" t="s">
        <v>1663</v>
      </c>
      <c r="AH27" s="3038" t="s">
        <v>1663</v>
      </c>
      <c r="AI27" s="3032">
        <f>+Capex!Y128</f>
        <v>17247</v>
      </c>
      <c r="AJ27" s="3034">
        <v>16825.02</v>
      </c>
      <c r="AK27" s="2075"/>
    </row>
    <row r="28" spans="1:37" s="2071" customFormat="1" ht="18" customHeight="1">
      <c r="B28" s="2072"/>
      <c r="D28" s="3178" t="s">
        <v>834</v>
      </c>
      <c r="E28" s="2532">
        <f>+Wireline!DH76</f>
        <v>-8.3876980428704284E-3</v>
      </c>
      <c r="F28" s="2532">
        <f>+Wireline!DI76</f>
        <v>-1.565074135090605E-2</v>
      </c>
      <c r="G28" s="2532">
        <f>+Wireline!DJ76</f>
        <v>-7.7416683916373463E-2</v>
      </c>
      <c r="H28" s="2532">
        <f>+Wireline!DK76</f>
        <v>-7.8392690270999932E-2</v>
      </c>
      <c r="I28" s="2532">
        <f>+Wireline!DL76</f>
        <v>-7.9887218045112784E-2</v>
      </c>
      <c r="J28" s="2532">
        <f>+Wireline!DM76</f>
        <v>-6.6945606694560622E-2</v>
      </c>
      <c r="K28" s="2532">
        <f>+Wireline!DN76</f>
        <v>-1.6715279335876132E-2</v>
      </c>
      <c r="L28" s="2532">
        <f>+Wireline!DO76</f>
        <v>-0.11863452005407837</v>
      </c>
      <c r="M28" s="2532">
        <f>+Wireline!DP76</f>
        <v>-0.11621836340937464</v>
      </c>
      <c r="N28" s="2532">
        <f>+Wireline!DQ76</f>
        <v>-0.1242152466367713</v>
      </c>
      <c r="O28" s="2532">
        <f>+Wireline!DR76</f>
        <v>-0.10142612664004569</v>
      </c>
      <c r="P28" s="2532">
        <f>+Wireline!DS76</f>
        <v>-2.6843921769141854E-3</v>
      </c>
      <c r="Q28" s="2532">
        <f>+Wireline!DT76</f>
        <v>-1.6052395017336574E-2</v>
      </c>
      <c r="R28" s="2532">
        <f>+Wireline!DU76</f>
        <v>-2.4961597542242697E-2</v>
      </c>
      <c r="S28" s="2532">
        <v>-3.8643158661520571E-2</v>
      </c>
      <c r="T28" s="3179">
        <f>+T27/O27-1</f>
        <v>-4.0502793296089412E-2</v>
      </c>
      <c r="U28" s="3180" t="str">
        <f>ROUND((T28-S28)*10000,0)&amp;" bps"</f>
        <v>-19 bps</v>
      </c>
      <c r="V28" s="3181">
        <f>+V27/O27-1</f>
        <v>-3.3773489080751617E-2</v>
      </c>
      <c r="W28" s="3182" t="str">
        <f>ROUND((V28-S28)*10000,0)&amp;" bps"</f>
        <v>49 bps</v>
      </c>
      <c r="X28" s="3463"/>
      <c r="Y28" s="3467"/>
      <c r="Z28" s="2017"/>
      <c r="AA28" s="2532">
        <f>+Wireline!X76</f>
        <v>-9.3859970158497785E-2</v>
      </c>
      <c r="AB28" s="2016"/>
      <c r="AD28" s="2071">
        <f>+AD27/AD23</f>
        <v>0.13541038260041277</v>
      </c>
      <c r="AE28" s="3063" t="s">
        <v>507</v>
      </c>
      <c r="AF28" s="3038" t="s">
        <v>1669</v>
      </c>
      <c r="AG28" s="3038" t="s">
        <v>1669</v>
      </c>
      <c r="AH28" s="3038" t="s">
        <v>1669</v>
      </c>
      <c r="AI28" s="2071">
        <f>+AI27/AI23</f>
        <v>0.1368440262151483</v>
      </c>
      <c r="AJ28" s="2071">
        <v>0.13396159796920701</v>
      </c>
      <c r="AK28" s="2073"/>
    </row>
    <row r="29" spans="1:37" s="2073" customFormat="1" ht="18" customHeight="1">
      <c r="A29" s="2069"/>
      <c r="B29" s="2091"/>
      <c r="C29" s="2069"/>
      <c r="D29" s="2070" t="s">
        <v>1643</v>
      </c>
      <c r="E29" s="2538">
        <f>+Wireline!DH53</f>
        <v>3902</v>
      </c>
      <c r="F29" s="2538">
        <f>+Wireline!DI53</f>
        <v>3977</v>
      </c>
      <c r="G29" s="2538">
        <f>+Wireline!DJ53</f>
        <v>3992</v>
      </c>
      <c r="H29" s="2538">
        <f>+Wireline!DK53</f>
        <v>4037</v>
      </c>
      <c r="I29" s="2538">
        <f>+Wireline!DL53</f>
        <v>4012</v>
      </c>
      <c r="J29" s="2538">
        <f>+Wireline!DM53</f>
        <v>4082</v>
      </c>
      <c r="K29" s="2538">
        <f>+Wireline!DN53</f>
        <v>4022</v>
      </c>
      <c r="L29" s="2538">
        <f>+Wireline!DO53</f>
        <v>3165</v>
      </c>
      <c r="M29" s="2538">
        <f>+Wireline!DP53</f>
        <v>3174</v>
      </c>
      <c r="N29" s="2538">
        <f>+Wireline!DQ53</f>
        <v>3232</v>
      </c>
      <c r="O29" s="2538">
        <f>+Wireline!DR53</f>
        <v>3201</v>
      </c>
      <c r="P29" s="2538">
        <f>+Wireline!DS53</f>
        <v>3184</v>
      </c>
      <c r="Q29" s="2538">
        <f>+Wireline!DT53</f>
        <v>3204</v>
      </c>
      <c r="R29" s="2538">
        <f>+Wireline!DU53</f>
        <v>3188</v>
      </c>
      <c r="S29" s="2538">
        <v>3141.9233864066318</v>
      </c>
      <c r="T29" s="3164">
        <f t="shared" ref="T29:T30" si="15">T42</f>
        <v>3150</v>
      </c>
      <c r="U29" s="2028">
        <f>T29-S29</f>
        <v>8.0766135933681653</v>
      </c>
      <c r="V29" s="2029"/>
      <c r="W29" s="3177"/>
      <c r="X29" s="3469" t="s">
        <v>800</v>
      </c>
      <c r="Y29" s="3464"/>
      <c r="Z29" s="2015"/>
      <c r="AA29" s="2538">
        <f>+Wireline!X53</f>
        <v>13593</v>
      </c>
      <c r="AB29" s="2029"/>
      <c r="AD29" s="2069">
        <v>66580</v>
      </c>
      <c r="AE29" s="3037" t="s">
        <v>1518</v>
      </c>
      <c r="AF29" s="3038" t="s">
        <v>1662</v>
      </c>
      <c r="AG29" s="3038" t="s">
        <v>1662</v>
      </c>
      <c r="AH29" s="3038" t="s">
        <v>1662</v>
      </c>
      <c r="AI29" s="3032">
        <f>+Wless!Y25</f>
        <v>63121</v>
      </c>
      <c r="AJ29" s="2075"/>
      <c r="AK29" s="2071"/>
    </row>
    <row r="30" spans="1:37" s="2071" customFormat="1" ht="18" customHeight="1">
      <c r="B30" s="2072"/>
      <c r="D30" s="3178" t="s">
        <v>834</v>
      </c>
      <c r="E30" s="2534">
        <f>+Wireline!DH54</f>
        <v>4.4712182061579675E-2</v>
      </c>
      <c r="F30" s="2534">
        <f>+Wireline!DI54</f>
        <v>4.055468341182622E-2</v>
      </c>
      <c r="G30" s="2534">
        <f>+Wireline!DJ54</f>
        <v>3.9583333333333304E-2</v>
      </c>
      <c r="H30" s="2534">
        <f>+Wireline!DK54</f>
        <v>4.4772256728778492E-2</v>
      </c>
      <c r="I30" s="2534">
        <f>+Wireline!DL54</f>
        <v>2.8190671450538218E-2</v>
      </c>
      <c r="J30" s="2534">
        <f>+Wireline!DM54</f>
        <v>2.6401810409856674E-2</v>
      </c>
      <c r="K30" s="2534">
        <f>+Wireline!DN54</f>
        <v>7.5150300601203313E-3</v>
      </c>
      <c r="L30" s="2534">
        <f>+Wireline!DO54</f>
        <v>-0.21600198166955664</v>
      </c>
      <c r="M30" s="2534">
        <f>+Wireline!DP54</f>
        <v>-0.20887337986041876</v>
      </c>
      <c r="N30" s="2534">
        <f>+Wireline!DQ54</f>
        <v>-0.20823125918667318</v>
      </c>
      <c r="O30" s="2534">
        <f>+Wireline!DR54</f>
        <v>-0.20412729985082045</v>
      </c>
      <c r="P30" s="2534">
        <f>+Wireline!DS54</f>
        <v>6.0031595576619523E-3</v>
      </c>
      <c r="Q30" s="2534">
        <f>+Wireline!DT54</f>
        <v>9.4517958412099201E-3</v>
      </c>
      <c r="R30" s="2534">
        <f>+Wireline!DU54</f>
        <v>-1.3613861386138626E-2</v>
      </c>
      <c r="S30" s="2534">
        <v>-1.8455674349693307E-2</v>
      </c>
      <c r="T30" s="3179">
        <f t="shared" si="15"/>
        <v>-1.5932521087160256E-2</v>
      </c>
      <c r="U30" s="3180" t="str">
        <f>ROUND((T30-S30)*10000,0)&amp;" bps"</f>
        <v>25 bps</v>
      </c>
      <c r="V30" s="2030"/>
      <c r="W30" s="3182"/>
      <c r="X30" s="3463"/>
      <c r="Y30" s="3467"/>
      <c r="Z30" s="2017"/>
      <c r="AA30" s="2534">
        <f>+Wireline!X54</f>
        <v>-0.15691868758915839</v>
      </c>
      <c r="AB30" s="2030"/>
      <c r="AD30" s="2071">
        <f>+AD29/Wless!W25-1</f>
        <v>-5.4207625433263296E-2</v>
      </c>
      <c r="AE30" s="3063" t="s">
        <v>834</v>
      </c>
      <c r="AF30" s="3038" t="s">
        <v>1666</v>
      </c>
      <c r="AG30" s="3038" t="s">
        <v>1666</v>
      </c>
      <c r="AH30" s="3038" t="s">
        <v>1666</v>
      </c>
      <c r="AI30" s="2071">
        <f>+AI29/AD29-1</f>
        <v>-5.1952538299789741E-2</v>
      </c>
      <c r="AJ30" s="2073"/>
      <c r="AK30" s="2073"/>
    </row>
    <row r="31" spans="1:37" s="2073" customFormat="1" ht="18" customHeight="1">
      <c r="A31" s="2069"/>
      <c r="B31" s="2067" t="s">
        <v>1635</v>
      </c>
      <c r="C31" s="2069"/>
      <c r="D31" s="2070" t="s">
        <v>971</v>
      </c>
      <c r="E31" s="2538">
        <f>+Wireline!DH133</f>
        <v>2203</v>
      </c>
      <c r="F31" s="2538">
        <f>+Wireline!DI133</f>
        <v>2282</v>
      </c>
      <c r="G31" s="2538">
        <f>+Wireline!DJ133</f>
        <v>1596</v>
      </c>
      <c r="H31" s="2538">
        <f>+Wireline!DK133</f>
        <v>1663</v>
      </c>
      <c r="I31" s="2538">
        <f>+Wireline!DL133</f>
        <v>1656</v>
      </c>
      <c r="J31" s="2538">
        <f>+Wireline!DM133</f>
        <v>1739</v>
      </c>
      <c r="K31" s="2538">
        <f>+Wireline!DN133</f>
        <v>1652</v>
      </c>
      <c r="L31" s="2538">
        <f>+Wireline!DO133</f>
        <v>1099</v>
      </c>
      <c r="M31" s="2538">
        <f>+Wireline!DP133</f>
        <v>1654</v>
      </c>
      <c r="N31" s="2538">
        <f>+Wireline!DQ133</f>
        <v>1879</v>
      </c>
      <c r="O31" s="2538">
        <f>+Wireline!DR133</f>
        <v>1785</v>
      </c>
      <c r="P31" s="2538">
        <f>+Wireline!DS133</f>
        <v>1620</v>
      </c>
      <c r="Q31" s="2538">
        <f>+Wireline!DT133</f>
        <v>1614</v>
      </c>
      <c r="R31" s="2538">
        <f>+Wireline!DU133</f>
        <v>1594</v>
      </c>
      <c r="S31" s="2538">
        <v>1602.208447503501</v>
      </c>
      <c r="T31" s="2109">
        <v>1603</v>
      </c>
      <c r="U31" s="2028">
        <f>T31-S31</f>
        <v>0.79155249649897996</v>
      </c>
      <c r="V31" s="2116">
        <v>1610</v>
      </c>
      <c r="W31" s="3177">
        <f>V31-S31</f>
        <v>7.79155249649898</v>
      </c>
      <c r="X31" s="3466" t="s">
        <v>800</v>
      </c>
      <c r="Y31" s="3464"/>
      <c r="Z31" s="2015"/>
      <c r="AA31" s="2538">
        <f>+Wireline!X133</f>
        <v>6310</v>
      </c>
      <c r="AB31" s="2014"/>
      <c r="AD31" s="2069">
        <v>17515</v>
      </c>
      <c r="AE31" s="3037" t="s">
        <v>798</v>
      </c>
      <c r="AF31" s="3038" t="s">
        <v>1673</v>
      </c>
      <c r="AG31" s="3038" t="s">
        <v>1673</v>
      </c>
      <c r="AH31" s="3038" t="s">
        <v>1673</v>
      </c>
      <c r="AI31" s="3032">
        <f>+Wless!Y27</f>
        <v>18889</v>
      </c>
      <c r="AJ31" s="2071"/>
      <c r="AK31" s="2071"/>
    </row>
    <row r="32" spans="1:37" s="2071" customFormat="1" ht="18" customHeight="1">
      <c r="B32" s="2072"/>
      <c r="D32" s="3178" t="s">
        <v>1639</v>
      </c>
      <c r="E32" s="3184">
        <f>+E31/E27</f>
        <v>0.23005430242272348</v>
      </c>
      <c r="F32" s="3184">
        <f t="shared" ref="F32:G32" si="16">+F31/F27</f>
        <v>0.23870292887029287</v>
      </c>
      <c r="G32" s="3184">
        <f t="shared" si="16"/>
        <v>0.17904420013461969</v>
      </c>
      <c r="H32" s="3184">
        <f t="shared" ref="H32" si="17">+H31/H27</f>
        <v>0.1873591707976566</v>
      </c>
      <c r="I32" s="3184">
        <f t="shared" ref="I32" si="18">+I31/I27</f>
        <v>0.18794688457609807</v>
      </c>
      <c r="J32" s="3184">
        <f t="shared" ref="J32" si="19">+J31/J27</f>
        <v>0.19495515695067264</v>
      </c>
      <c r="K32" s="3184">
        <f t="shared" ref="K32" si="20">+K31/K27</f>
        <v>0.18847689674843127</v>
      </c>
      <c r="L32" s="3184">
        <f t="shared" ref="L32" si="21">+L31/L27</f>
        <v>0.14048319059184455</v>
      </c>
      <c r="M32" s="3184">
        <f t="shared" ref="M32:R32" si="22">+M31/M27</f>
        <v>0.21240529086939772</v>
      </c>
      <c r="N32" s="3184">
        <f t="shared" si="22"/>
        <v>0.2405273937532002</v>
      </c>
      <c r="O32" s="3184">
        <f t="shared" si="22"/>
        <v>0.22663788725241238</v>
      </c>
      <c r="P32" s="3184">
        <f t="shared" si="22"/>
        <v>0.20763906690592157</v>
      </c>
      <c r="Q32" s="3184">
        <f t="shared" si="22"/>
        <v>0.21064996084573218</v>
      </c>
      <c r="R32" s="3184">
        <f t="shared" si="22"/>
        <v>0.20926874097413681</v>
      </c>
      <c r="S32" s="3184">
        <v>0.21160634628566063</v>
      </c>
      <c r="T32" s="3183">
        <f>T31/T27</f>
        <v>0.21212121212121213</v>
      </c>
      <c r="U32" s="3188" t="str">
        <f>ROUND((T32-S32)*10000,0)&amp;" bps"</f>
        <v>5 bps</v>
      </c>
      <c r="V32" s="3184">
        <f t="shared" ref="V32" si="23">+V31/V27</f>
        <v>0.21156373193166886</v>
      </c>
      <c r="W32" s="3189" t="str">
        <f>ROUND((V32-S32)*10000,0)&amp;" bps"</f>
        <v>0 bps</v>
      </c>
      <c r="X32" s="3463"/>
      <c r="Y32" s="3467"/>
      <c r="Z32" s="2022"/>
      <c r="AA32" s="2018">
        <f>+AA31/AA27</f>
        <v>0.19604188026221767</v>
      </c>
      <c r="AB32" s="2016"/>
      <c r="AD32" s="2071">
        <f>+AD31/Wless!W27-1</f>
        <v>3.4920822500590809E-2</v>
      </c>
      <c r="AE32" s="3063" t="s">
        <v>834</v>
      </c>
      <c r="AF32" s="3038" t="s">
        <v>1667</v>
      </c>
      <c r="AG32" s="3038" t="s">
        <v>1667</v>
      </c>
      <c r="AH32" s="3038" t="s">
        <v>1667</v>
      </c>
      <c r="AI32" s="2071">
        <f>+AI31/AD31-1</f>
        <v>7.8447045389665959E-2</v>
      </c>
      <c r="AJ32" s="2073"/>
      <c r="AK32" s="2073"/>
    </row>
    <row r="33" spans="1:37" s="2073" customFormat="1" ht="18" customHeight="1">
      <c r="A33" s="2092"/>
      <c r="B33" s="2067" t="s">
        <v>1635</v>
      </c>
      <c r="C33" s="2092"/>
      <c r="D33" s="2023" t="s">
        <v>1644</v>
      </c>
      <c r="E33" s="2539">
        <f>+Capex!DH108</f>
        <v>1464</v>
      </c>
      <c r="F33" s="2539">
        <f>+Capex!DI108</f>
        <v>1556</v>
      </c>
      <c r="G33" s="2539">
        <f>+Capex!DJ108</f>
        <v>1077</v>
      </c>
      <c r="H33" s="2539">
        <f>+Capex!DK108</f>
        <v>1134</v>
      </c>
      <c r="I33" s="2539">
        <f>+Capex!DL108</f>
        <v>1202</v>
      </c>
      <c r="J33" s="2539">
        <f>+Capex!DM108</f>
        <v>1636</v>
      </c>
      <c r="K33" s="2539">
        <f>+Capex!DN108</f>
        <v>1006</v>
      </c>
      <c r="L33" s="2539">
        <f>+Capex!DO108</f>
        <v>814</v>
      </c>
      <c r="M33" s="2539">
        <f>+Capex!DP108</f>
        <v>1036</v>
      </c>
      <c r="N33" s="2539">
        <f>+Capex!DQ108</f>
        <v>1648</v>
      </c>
      <c r="O33" s="2539">
        <f>+Capex!DR108</f>
        <v>960</v>
      </c>
      <c r="P33" s="2539">
        <f>+Capex!DS108</f>
        <v>1190</v>
      </c>
      <c r="Q33" s="2539">
        <f>+Capex!DT108</f>
        <v>1200</v>
      </c>
      <c r="R33" s="2539">
        <f>+Capex!DU108</f>
        <v>1981</v>
      </c>
      <c r="S33" s="2539">
        <v>1431.7268972346601</v>
      </c>
      <c r="T33" s="2112">
        <v>1673</v>
      </c>
      <c r="U33" s="2031">
        <f>S33-T33</f>
        <v>-241.2731027653399</v>
      </c>
      <c r="V33" s="2117">
        <v>1090</v>
      </c>
      <c r="W33" s="3190">
        <f>+S33-V33</f>
        <v>341.7268972346601</v>
      </c>
      <c r="X33" s="3197" t="s">
        <v>1430</v>
      </c>
      <c r="Y33" s="2084"/>
      <c r="Z33" s="2015"/>
      <c r="AA33" s="2539">
        <f>+Capex!X108</f>
        <v>4504</v>
      </c>
      <c r="AB33" s="2024"/>
      <c r="AD33" s="2071"/>
      <c r="AE33" s="3054" t="s">
        <v>301</v>
      </c>
      <c r="AF33" s="3038" t="s">
        <v>1697</v>
      </c>
      <c r="AG33" s="3038" t="s">
        <v>1693</v>
      </c>
      <c r="AH33" s="3038" t="s">
        <v>1671</v>
      </c>
      <c r="AI33" s="3055">
        <f>+IS!Y79</f>
        <v>0.3191138450566105</v>
      </c>
      <c r="AJ33" s="2071"/>
      <c r="AK33" s="2071"/>
    </row>
    <row r="34" spans="1:37" s="2069" customFormat="1" ht="18" customHeight="1">
      <c r="B34" s="2067" t="s">
        <v>1635</v>
      </c>
      <c r="D34" s="2080" t="s">
        <v>1645</v>
      </c>
      <c r="E34" s="2538">
        <f>+Lines!DH68</f>
        <v>20089</v>
      </c>
      <c r="F34" s="2538">
        <f>+Lines!DI68</f>
        <v>19795</v>
      </c>
      <c r="G34" s="2538">
        <f>+Lines!DJ68</f>
        <v>19475</v>
      </c>
      <c r="H34" s="2538">
        <f>+Lines!DK68</f>
        <v>19079</v>
      </c>
      <c r="I34" s="2538">
        <f>+Lines!DL68</f>
        <v>18740</v>
      </c>
      <c r="J34" s="2538">
        <f>+Lines!DM68</f>
        <v>18387</v>
      </c>
      <c r="K34" s="2538">
        <f>+Lines!DN68</f>
        <v>18037</v>
      </c>
      <c r="L34" s="2538">
        <f>+Lines!DO68</f>
        <v>14476</v>
      </c>
      <c r="M34" s="2538">
        <f>+Lines!DP68</f>
        <v>14194</v>
      </c>
      <c r="N34" s="2538">
        <f>+Lines!DQ68</f>
        <v>13939</v>
      </c>
      <c r="O34" s="2538">
        <f>+Lines!DR68</f>
        <v>13634</v>
      </c>
      <c r="P34" s="2538">
        <f>+Lines!DS68</f>
        <v>13352</v>
      </c>
      <c r="Q34" s="2538">
        <f>+Lines!DT68</f>
        <v>13100</v>
      </c>
      <c r="R34" s="2538">
        <f>+Lines!DU68</f>
        <v>12821</v>
      </c>
      <c r="S34" s="2538">
        <v>12667.982500000002</v>
      </c>
      <c r="T34" s="2109">
        <v>12555</v>
      </c>
      <c r="U34" s="2028">
        <f>T34-S34</f>
        <v>-112.98250000000189</v>
      </c>
      <c r="V34" s="2120"/>
      <c r="W34" s="3177"/>
      <c r="X34" s="3474" t="s">
        <v>1430</v>
      </c>
      <c r="Y34" s="3464"/>
      <c r="Z34" s="2015"/>
      <c r="AA34" s="2538">
        <f>+Lines!X68</f>
        <v>13939</v>
      </c>
      <c r="AB34" s="2032"/>
      <c r="AD34" s="2073"/>
      <c r="AE34" s="2073"/>
      <c r="AF34" s="2073"/>
      <c r="AG34" s="2073"/>
      <c r="AH34" s="3037"/>
      <c r="AI34" s="2073"/>
      <c r="AJ34" s="2073"/>
      <c r="AK34" s="2073"/>
    </row>
    <row r="35" spans="1:37" s="2071" customFormat="1" ht="18" customHeight="1">
      <c r="B35" s="2072"/>
      <c r="D35" s="3203" t="s">
        <v>834</v>
      </c>
      <c r="E35" s="2540">
        <f>+Lines!DH69</f>
        <v>-6.3755417812368931E-2</v>
      </c>
      <c r="F35" s="2540">
        <f>+Lines!DI69</f>
        <v>-6.1180934313493029E-2</v>
      </c>
      <c r="G35" s="2540">
        <f>+Lines!DJ69</f>
        <v>-6.0676216659431792E-2</v>
      </c>
      <c r="H35" s="2540">
        <f>+Lines!DK69</f>
        <v>-6.4342111715953165E-2</v>
      </c>
      <c r="I35" s="2540">
        <f>+Lines!DL69</f>
        <v>-6.7151177261187689E-2</v>
      </c>
      <c r="J35" s="2540">
        <f>+Lines!DM69</f>
        <v>-7.1129072998231901E-2</v>
      </c>
      <c r="K35" s="2540">
        <f>+Lines!DN69</f>
        <v>-7.3838254172015394E-2</v>
      </c>
      <c r="L35" s="2540">
        <f>+Lines!DO69</f>
        <v>-0.24126002411027836</v>
      </c>
      <c r="M35" s="2540">
        <f>+Lines!DP69</f>
        <v>-0.24258271077908222</v>
      </c>
      <c r="N35" s="2540">
        <f>+Lines!DQ69</f>
        <v>-0.24191004514058845</v>
      </c>
      <c r="O35" s="2540">
        <f>+Lines!DR69</f>
        <v>-0.2441093308199811</v>
      </c>
      <c r="P35" s="2540">
        <f>+Lines!DS69</f>
        <v>-7.7645758496822315E-2</v>
      </c>
      <c r="Q35" s="2540">
        <f>+Lines!DT69</f>
        <v>-7.7074820346625383E-2</v>
      </c>
      <c r="R35" s="2540">
        <f>+Lines!DU69</f>
        <v>-8.0206614534758636E-2</v>
      </c>
      <c r="S35" s="2540">
        <v>-7.085356461786696E-2</v>
      </c>
      <c r="T35" s="3209">
        <f>+T34/O34-1</f>
        <v>-7.9140384333284408E-2</v>
      </c>
      <c r="U35" s="3210" t="str">
        <f>ROUND((T35-S35)*10000,0)&amp;" bps"</f>
        <v>-83 bps</v>
      </c>
      <c r="V35" s="3211"/>
      <c r="W35" s="3212"/>
      <c r="X35" s="3475"/>
      <c r="Y35" s="3465"/>
      <c r="Z35" s="2017"/>
      <c r="AA35" s="2540">
        <f>+Lines!X69</f>
        <v>-0.24191004514058845</v>
      </c>
      <c r="AB35" s="2033"/>
      <c r="AK35" s="2069"/>
    </row>
    <row r="36" spans="1:37" s="2069" customFormat="1" ht="18" customHeight="1">
      <c r="B36" s="2093"/>
      <c r="D36" s="3192" t="s">
        <v>1646</v>
      </c>
      <c r="E36" s="2541">
        <f>+Lines!DH70</f>
        <v>-302</v>
      </c>
      <c r="F36" s="2541">
        <f>+Lines!DI70</f>
        <v>-294</v>
      </c>
      <c r="G36" s="2541">
        <f>+Lines!DJ70</f>
        <v>-320</v>
      </c>
      <c r="H36" s="2541">
        <f>+Lines!DK70</f>
        <v>-396</v>
      </c>
      <c r="I36" s="2541">
        <f>+Lines!DL70</f>
        <v>-339</v>
      </c>
      <c r="J36" s="2541">
        <f>+Lines!DM70</f>
        <v>-353</v>
      </c>
      <c r="K36" s="2541">
        <f>+Lines!DN70</f>
        <v>-350</v>
      </c>
      <c r="L36" s="2541">
        <f>+Lines!DO70</f>
        <v>-3561</v>
      </c>
      <c r="M36" s="2541">
        <f>+Lines!DP70</f>
        <v>-282</v>
      </c>
      <c r="N36" s="2541">
        <f>+Lines!DQ70</f>
        <v>-255</v>
      </c>
      <c r="O36" s="2541">
        <f>+Lines!DR70</f>
        <v>-305</v>
      </c>
      <c r="P36" s="2541">
        <f>+Lines!DS70</f>
        <v>-282</v>
      </c>
      <c r="Q36" s="2541">
        <f>+Lines!DT70</f>
        <v>-252</v>
      </c>
      <c r="R36" s="2541">
        <f>+Lines!DU70</f>
        <v>-279</v>
      </c>
      <c r="S36" s="2541">
        <v>-153.01749999999811</v>
      </c>
      <c r="T36" s="3208">
        <f>+T34-R34</f>
        <v>-266</v>
      </c>
      <c r="U36" s="3176">
        <f>T36-S36</f>
        <v>-112.98250000000189</v>
      </c>
      <c r="V36" s="3177"/>
      <c r="W36" s="3177"/>
      <c r="X36" s="3476"/>
      <c r="Y36" s="2074"/>
      <c r="Z36" s="2015"/>
      <c r="AA36" s="2541">
        <f>+Lines!X70</f>
        <v>-4448</v>
      </c>
      <c r="AB36" s="2034"/>
      <c r="AD36" s="2073"/>
      <c r="AE36" s="2073"/>
      <c r="AF36" s="2073"/>
      <c r="AG36" s="2073"/>
      <c r="AH36" s="2073"/>
      <c r="AI36" s="2073"/>
      <c r="AJ36" s="2073"/>
      <c r="AK36" s="2071"/>
    </row>
    <row r="37" spans="1:37" s="2069" customFormat="1" ht="18" customHeight="1">
      <c r="B37" s="2093"/>
      <c r="D37" s="2094" t="s">
        <v>1647</v>
      </c>
      <c r="E37" s="2542">
        <f>+FiOS!DH47</f>
        <v>69</v>
      </c>
      <c r="F37" s="2542">
        <f>+FiOS!DI47</f>
        <v>59</v>
      </c>
      <c r="G37" s="2542">
        <f>+FiOS!DJ47</f>
        <v>41</v>
      </c>
      <c r="H37" s="2542">
        <f>+FiOS!DK47</f>
        <v>-25</v>
      </c>
      <c r="I37" s="2542">
        <f>+FiOS!DL47</f>
        <v>2</v>
      </c>
      <c r="J37" s="2542">
        <f>+FiOS!DM47</f>
        <v>5</v>
      </c>
      <c r="K37" s="2542">
        <f>+FiOS!DN47</f>
        <v>-10</v>
      </c>
      <c r="L37" s="2542">
        <f>+FiOS!DO47</f>
        <v>-2204</v>
      </c>
      <c r="M37" s="2542">
        <f>+FiOS!DP47</f>
        <v>24</v>
      </c>
      <c r="N37" s="2542">
        <f>+FiOS!DQ47</f>
        <v>0</v>
      </c>
      <c r="O37" s="2542">
        <f>+FiOS!DR47</f>
        <v>-27</v>
      </c>
      <c r="P37" s="2542">
        <f>+FiOS!DS47</f>
        <v>-23</v>
      </c>
      <c r="Q37" s="2542">
        <f>+FiOS!DT47</f>
        <v>-10</v>
      </c>
      <c r="R37" s="2542">
        <f>+FiOS!DU47</f>
        <v>-19</v>
      </c>
      <c r="S37" s="2542">
        <v>-20</v>
      </c>
      <c r="T37" s="2113">
        <v>7</v>
      </c>
      <c r="U37" s="2036">
        <f>+T37-S37</f>
        <v>27</v>
      </c>
      <c r="V37" s="2035">
        <f>+V38+V39</f>
        <v>3</v>
      </c>
      <c r="W37" s="3213">
        <f>+V37-S37</f>
        <v>23</v>
      </c>
      <c r="X37" s="3474" t="s">
        <v>799</v>
      </c>
      <c r="Y37" s="3477"/>
      <c r="Z37" s="2015"/>
      <c r="AA37" s="2542">
        <f>+FiOS!P47</f>
        <v>-2190</v>
      </c>
      <c r="AB37" s="2035"/>
      <c r="AD37" s="2073"/>
      <c r="AE37" s="2073"/>
      <c r="AF37" s="2073"/>
      <c r="AG37" s="2073"/>
      <c r="AH37" s="2073"/>
      <c r="AI37" s="2073"/>
      <c r="AJ37" s="2073"/>
    </row>
    <row r="38" spans="1:37" s="2073" customFormat="1" ht="18" customHeight="1">
      <c r="B38" s="2067" t="s">
        <v>1635</v>
      </c>
      <c r="D38" s="3192" t="s">
        <v>388</v>
      </c>
      <c r="E38" s="2541">
        <f>+Lines!DH92</f>
        <v>-93</v>
      </c>
      <c r="F38" s="2541">
        <f>+Lines!DI92</f>
        <v>-86</v>
      </c>
      <c r="G38" s="2541">
        <f>+Lines!DJ92</f>
        <v>-92</v>
      </c>
      <c r="H38" s="2541">
        <f>+Lines!DK92</f>
        <v>-97</v>
      </c>
      <c r="I38" s="2541">
        <f>+Lines!DL92</f>
        <v>-112</v>
      </c>
      <c r="J38" s="2541">
        <f>+Lines!DM92</f>
        <v>-94</v>
      </c>
      <c r="K38" s="2541">
        <f>+Lines!DN92</f>
        <v>-108</v>
      </c>
      <c r="L38" s="2541">
        <f>+Lines!DO92</f>
        <v>-567</v>
      </c>
      <c r="M38" s="2541">
        <f>+Lines!DP92</f>
        <v>-66</v>
      </c>
      <c r="N38" s="2541">
        <f>+Lines!DQ92</f>
        <v>-68</v>
      </c>
      <c r="O38" s="2541">
        <f>+Lines!DR92</f>
        <v>-62</v>
      </c>
      <c r="P38" s="2541">
        <f>+Lines!DS92</f>
        <v>-72</v>
      </c>
      <c r="Q38" s="2541">
        <f>+Lines!DT92</f>
        <v>-76</v>
      </c>
      <c r="R38" s="2541">
        <f>+Lines!DU92</f>
        <v>-66</v>
      </c>
      <c r="S38" s="2541">
        <v>-60</v>
      </c>
      <c r="T38" s="3208">
        <f>+T37-T39</f>
        <v>-59</v>
      </c>
      <c r="U38" s="3176">
        <f>+T38-S38</f>
        <v>1</v>
      </c>
      <c r="V38" s="2121">
        <v>-41</v>
      </c>
      <c r="W38" s="3177">
        <f>+V38-S38</f>
        <v>19</v>
      </c>
      <c r="X38" s="3475"/>
      <c r="Y38" s="3478"/>
      <c r="Z38" s="2015"/>
      <c r="AA38" s="2541">
        <f>+Lines!X92</f>
        <v>-809</v>
      </c>
      <c r="AB38" s="2037"/>
      <c r="AK38" s="2069"/>
    </row>
    <row r="39" spans="1:37" s="2073" customFormat="1" ht="18" customHeight="1">
      <c r="B39" s="2067" t="s">
        <v>1635</v>
      </c>
      <c r="D39" s="3192" t="s">
        <v>1648</v>
      </c>
      <c r="E39" s="2543">
        <f>+FiOS!DH17/1000</f>
        <v>162</v>
      </c>
      <c r="F39" s="2543">
        <f>+FiOS!DI17/1000</f>
        <v>145</v>
      </c>
      <c r="G39" s="2543">
        <f>+FiOS!DJ17/1000</f>
        <v>133</v>
      </c>
      <c r="H39" s="2543">
        <f>+FiOS!DK17/1000</f>
        <v>72</v>
      </c>
      <c r="I39" s="2543">
        <f>+FiOS!DL17/1000</f>
        <v>114</v>
      </c>
      <c r="J39" s="2543">
        <f>+FiOS!DM17/1000</f>
        <v>99</v>
      </c>
      <c r="K39" s="2543">
        <f>+FiOS!DN17/1000</f>
        <v>98</v>
      </c>
      <c r="L39" s="2543">
        <f>+FiOS!DO17/1000</f>
        <v>-1637</v>
      </c>
      <c r="M39" s="2543">
        <f>+FiOS!DP17/1000</f>
        <v>90</v>
      </c>
      <c r="N39" s="2543">
        <f>+FiOS!DQ17/1000</f>
        <v>68</v>
      </c>
      <c r="O39" s="2543">
        <f>+FiOS!DR17/1000</f>
        <v>35</v>
      </c>
      <c r="P39" s="2543">
        <f>+FiOS!DS17/1000</f>
        <v>49</v>
      </c>
      <c r="Q39" s="2543">
        <f>+FiOS!DT17/1000</f>
        <v>66</v>
      </c>
      <c r="R39" s="2543">
        <f>+FiOS!DU17/1000</f>
        <v>47</v>
      </c>
      <c r="S39" s="2543">
        <v>40</v>
      </c>
      <c r="T39" s="2114">
        <v>66</v>
      </c>
      <c r="U39" s="3214">
        <f>+T39-S39</f>
        <v>26</v>
      </c>
      <c r="V39" s="2118">
        <v>44</v>
      </c>
      <c r="W39" s="3215">
        <f>+V39-S39</f>
        <v>4</v>
      </c>
      <c r="X39" s="3476"/>
      <c r="Y39" s="3479"/>
      <c r="Z39" s="2015"/>
      <c r="AA39" s="2543">
        <f>+FiOS!P17/1000</f>
        <v>-1381</v>
      </c>
      <c r="AB39" s="2038"/>
    </row>
    <row r="40" spans="1:37" s="2097" customFormat="1" ht="18" customHeight="1">
      <c r="A40" s="2095"/>
      <c r="B40" s="2067" t="s">
        <v>1635</v>
      </c>
      <c r="C40" s="2095"/>
      <c r="D40" s="2023" t="s">
        <v>1649</v>
      </c>
      <c r="E40" s="2539">
        <f>+FiOS!DH66/1000</f>
        <v>114</v>
      </c>
      <c r="F40" s="2539">
        <f>+FiOS!DI66/1000</f>
        <v>116</v>
      </c>
      <c r="G40" s="2539">
        <f>+FiOS!DJ66/1000</f>
        <v>90</v>
      </c>
      <c r="H40" s="2539">
        <f>+FiOS!DK66/1000</f>
        <v>26</v>
      </c>
      <c r="I40" s="2539">
        <f>+FiOS!DL66/1000</f>
        <v>42</v>
      </c>
      <c r="J40" s="2539">
        <f>+FiOS!DM66/1000</f>
        <v>20</v>
      </c>
      <c r="K40" s="2539">
        <f>+FiOS!DN66/1000</f>
        <v>36</v>
      </c>
      <c r="L40" s="2539">
        <f>+FiOS!DO66/1000</f>
        <v>-1226</v>
      </c>
      <c r="M40" s="2539">
        <f>+FiOS!DP66/1000</f>
        <v>36</v>
      </c>
      <c r="N40" s="2539">
        <f>+FiOS!DQ66/1000</f>
        <v>21</v>
      </c>
      <c r="O40" s="2539">
        <f>+FiOS!DR66/1000</f>
        <v>-13</v>
      </c>
      <c r="P40" s="2539">
        <f>+FiOS!DS66/1000</f>
        <v>-15</v>
      </c>
      <c r="Q40" s="2539">
        <f>+FiOS!DT66/1000</f>
        <v>-18</v>
      </c>
      <c r="R40" s="2539">
        <f>+FiOS!DU66/1000</f>
        <v>-29</v>
      </c>
      <c r="S40" s="2539">
        <v>-25</v>
      </c>
      <c r="T40" s="2112">
        <v>-22</v>
      </c>
      <c r="U40" s="2031">
        <f>+T40-S40</f>
        <v>3</v>
      </c>
      <c r="V40" s="2122">
        <v>-31</v>
      </c>
      <c r="W40" s="3216">
        <f>+V40-S40</f>
        <v>-6</v>
      </c>
      <c r="X40" s="3191" t="s">
        <v>800</v>
      </c>
      <c r="Y40" s="2096"/>
      <c r="Z40" s="2040"/>
      <c r="AA40" s="2539">
        <f>+FiOS!P66/1000</f>
        <v>-1133</v>
      </c>
      <c r="AB40" s="2039"/>
      <c r="AD40" s="2082"/>
      <c r="AE40" s="2082"/>
      <c r="AF40" s="2082"/>
      <c r="AG40" s="2082"/>
      <c r="AH40" s="2082"/>
      <c r="AI40" s="2082"/>
      <c r="AJ40" s="2082"/>
      <c r="AK40" s="2073"/>
    </row>
    <row r="41" spans="1:37" s="2069" customFormat="1" ht="18" customHeight="1">
      <c r="A41" s="2098"/>
      <c r="B41" s="2093"/>
      <c r="C41" s="2098"/>
      <c r="D41" s="3169" t="s">
        <v>1650</v>
      </c>
      <c r="E41" s="3217"/>
      <c r="F41" s="3217"/>
      <c r="G41" s="3217"/>
      <c r="H41" s="3217"/>
      <c r="I41" s="3217"/>
      <c r="J41" s="3217"/>
      <c r="K41" s="3217"/>
      <c r="L41" s="3217"/>
      <c r="M41" s="3217"/>
      <c r="N41" s="3217"/>
      <c r="O41" s="3217"/>
      <c r="P41" s="3217"/>
      <c r="Q41" s="3217"/>
      <c r="R41" s="3217"/>
      <c r="S41" s="3217"/>
      <c r="T41" s="3171"/>
      <c r="U41" s="3171"/>
      <c r="V41" s="3171"/>
      <c r="W41" s="3171"/>
      <c r="X41" s="3172"/>
      <c r="Y41" s="2065"/>
      <c r="Z41" s="2041"/>
      <c r="AA41" s="2063"/>
      <c r="AB41" s="2064"/>
      <c r="AD41" s="2086"/>
      <c r="AE41" s="2087"/>
      <c r="AF41" s="2087"/>
      <c r="AG41" s="2087"/>
      <c r="AH41" s="2087"/>
      <c r="AI41" s="2087"/>
      <c r="AJ41" s="2087"/>
      <c r="AK41" s="2097"/>
    </row>
    <row r="42" spans="1:37" s="2069" customFormat="1" ht="18" customHeight="1">
      <c r="A42" s="2098"/>
      <c r="B42" s="2093"/>
      <c r="C42" s="2098"/>
      <c r="D42" s="2070" t="s">
        <v>1677</v>
      </c>
      <c r="E42" s="2531"/>
      <c r="F42" s="2531"/>
      <c r="G42" s="2531">
        <f>Wireline!DJ53</f>
        <v>3992</v>
      </c>
      <c r="H42" s="2531">
        <f>Wireline!DK53</f>
        <v>4037</v>
      </c>
      <c r="I42" s="2531">
        <f>Wireline!DL53</f>
        <v>4012</v>
      </c>
      <c r="J42" s="2531">
        <f>Wireline!DM53</f>
        <v>4082</v>
      </c>
      <c r="K42" s="2531">
        <f>Wireline!DN53</f>
        <v>4022</v>
      </c>
      <c r="L42" s="2531">
        <f>Wireline!DO53</f>
        <v>3165</v>
      </c>
      <c r="M42" s="2531">
        <f>Wireline!DP53</f>
        <v>3174</v>
      </c>
      <c r="N42" s="2531">
        <f>Wireline!DQ53</f>
        <v>3232</v>
      </c>
      <c r="O42" s="2531">
        <f>Wireline!DR53</f>
        <v>3201</v>
      </c>
      <c r="P42" s="2531">
        <f>Wireline!DS53</f>
        <v>3184</v>
      </c>
      <c r="Q42" s="2531">
        <f>Wireline!DT53</f>
        <v>3204</v>
      </c>
      <c r="R42" s="2531">
        <f>Wireline!DU53</f>
        <v>3188</v>
      </c>
      <c r="S42" s="2531">
        <v>3141.9233864066318</v>
      </c>
      <c r="T42" s="2109">
        <v>3150</v>
      </c>
      <c r="U42" s="2028">
        <f>T42-S42</f>
        <v>8.0766135933681653</v>
      </c>
      <c r="V42" s="2119"/>
      <c r="W42" s="3218"/>
      <c r="X42" s="3480" t="s">
        <v>800</v>
      </c>
      <c r="Y42" s="3165"/>
      <c r="Z42" s="2099"/>
      <c r="AA42" s="2531">
        <f>+Wireline!W59</f>
        <v>5299</v>
      </c>
      <c r="AB42" s="2042"/>
      <c r="AD42" s="2086"/>
      <c r="AE42" s="2090"/>
      <c r="AF42" s="2090"/>
      <c r="AG42" s="2090"/>
      <c r="AH42" s="2090"/>
      <c r="AI42" s="2090"/>
      <c r="AJ42" s="2090"/>
    </row>
    <row r="43" spans="1:37" s="2071" customFormat="1" ht="18" customHeight="1">
      <c r="A43" s="2098"/>
      <c r="B43" s="2093"/>
      <c r="C43" s="2098"/>
      <c r="D43" s="3178" t="s">
        <v>834</v>
      </c>
      <c r="E43" s="2532"/>
      <c r="F43" s="2532"/>
      <c r="G43" s="2532">
        <f>Wireline!DJ54</f>
        <v>3.9583333333333304E-2</v>
      </c>
      <c r="H43" s="2532">
        <f>Wireline!DK54</f>
        <v>4.4772256728778492E-2</v>
      </c>
      <c r="I43" s="2532">
        <f>Wireline!DL54</f>
        <v>2.8190671450538218E-2</v>
      </c>
      <c r="J43" s="2532">
        <f>Wireline!DM54</f>
        <v>2.6401810409856674E-2</v>
      </c>
      <c r="K43" s="2532">
        <f>Wireline!DN54</f>
        <v>7.5150300601203313E-3</v>
      </c>
      <c r="L43" s="2532">
        <f>Wireline!DO54</f>
        <v>-0.21600198166955664</v>
      </c>
      <c r="M43" s="2532">
        <f>Wireline!DP54</f>
        <v>-0.20887337986041876</v>
      </c>
      <c r="N43" s="2532">
        <f>Wireline!DQ54</f>
        <v>-0.20823125918667318</v>
      </c>
      <c r="O43" s="2532">
        <f>Wireline!DR54</f>
        <v>-0.20412729985082045</v>
      </c>
      <c r="P43" s="2532">
        <f>Wireline!DS54</f>
        <v>6.0031595576619523E-3</v>
      </c>
      <c r="Q43" s="2532">
        <f>Wireline!DT54</f>
        <v>9.4517958412099201E-3</v>
      </c>
      <c r="R43" s="2532">
        <f>Wireline!DU54</f>
        <v>-1.3613861386138626E-2</v>
      </c>
      <c r="S43" s="2532">
        <v>-1.8455674349693307E-2</v>
      </c>
      <c r="T43" s="3179">
        <f>+T42/O42-1</f>
        <v>-1.5932521087160256E-2</v>
      </c>
      <c r="U43" s="3180" t="str">
        <f>ROUND((T43-S43)*10000,0)&amp;" bps"</f>
        <v>25 bps</v>
      </c>
      <c r="V43" s="3181"/>
      <c r="W43" s="3219"/>
      <c r="X43" s="3481"/>
      <c r="Y43" s="3166"/>
      <c r="Z43" s="2100"/>
      <c r="AA43" s="2532" t="str">
        <f>+Wireline!W60</f>
        <v>na</v>
      </c>
      <c r="AB43" s="2043"/>
      <c r="AD43" s="2075"/>
      <c r="AE43" s="2075"/>
      <c r="AF43" s="2075"/>
      <c r="AG43" s="2075"/>
      <c r="AH43" s="2075"/>
      <c r="AI43" s="2075"/>
      <c r="AJ43" s="2075"/>
      <c r="AK43" s="2069"/>
    </row>
    <row r="44" spans="1:37" s="2069" customFormat="1" ht="18" customHeight="1">
      <c r="A44" s="2098"/>
      <c r="B44" s="2093"/>
      <c r="C44" s="2098"/>
      <c r="D44" s="2070" t="s">
        <v>1678</v>
      </c>
      <c r="E44" s="2531"/>
      <c r="F44" s="2531"/>
      <c r="G44" s="2531">
        <f>Wireline!DJ56</f>
        <v>2571</v>
      </c>
      <c r="H44" s="2531">
        <f>Wireline!DK56</f>
        <v>2534</v>
      </c>
      <c r="I44" s="2531">
        <f>Wireline!DL56</f>
        <v>2515</v>
      </c>
      <c r="J44" s="2531">
        <f>Wireline!DM56</f>
        <v>2534</v>
      </c>
      <c r="K44" s="2531">
        <f>Wireline!DN56</f>
        <v>2501</v>
      </c>
      <c r="L44" s="2531">
        <f>Wireline!DO56</f>
        <v>2454</v>
      </c>
      <c r="M44" s="2531">
        <f>Wireline!DP56</f>
        <v>2445</v>
      </c>
      <c r="N44" s="2531">
        <f>Wireline!DQ56</f>
        <v>2442</v>
      </c>
      <c r="O44" s="2531">
        <f>Wireline!DR56</f>
        <v>2466</v>
      </c>
      <c r="P44" s="2531">
        <f>Wireline!DS56</f>
        <v>2388</v>
      </c>
      <c r="Q44" s="2531">
        <f>Wireline!DT56</f>
        <v>2262</v>
      </c>
      <c r="R44" s="2531">
        <f>Wireline!DU56</f>
        <v>2285</v>
      </c>
      <c r="S44" s="2531">
        <v>2268.7200000000003</v>
      </c>
      <c r="T44" s="2109">
        <v>2240</v>
      </c>
      <c r="U44" s="2028">
        <f>T44-S44</f>
        <v>-28.720000000000255</v>
      </c>
      <c r="V44" s="2119"/>
      <c r="W44" s="3220"/>
      <c r="X44" s="3481"/>
      <c r="Y44" s="3165"/>
      <c r="Z44" s="2041"/>
      <c r="AA44" s="2531">
        <f>+Wireline!W69</f>
        <v>3611</v>
      </c>
      <c r="AB44" s="2042"/>
      <c r="AD44" s="2073"/>
      <c r="AE44" s="2073"/>
      <c r="AF44" s="2073"/>
      <c r="AG44" s="2073"/>
      <c r="AH44" s="2073"/>
      <c r="AI44" s="2073"/>
      <c r="AJ44" s="2073"/>
      <c r="AK44" s="2071"/>
    </row>
    <row r="45" spans="1:37" s="2071" customFormat="1" ht="18" customHeight="1">
      <c r="A45" s="2077"/>
      <c r="B45" s="2072"/>
      <c r="C45" s="2077"/>
      <c r="D45" s="3178" t="s">
        <v>834</v>
      </c>
      <c r="E45" s="2532"/>
      <c r="F45" s="2532"/>
      <c r="G45" s="2532" t="str">
        <f>Wireline!DJ57</f>
        <v>na</v>
      </c>
      <c r="H45" s="2532" t="str">
        <f>Wireline!DK57</f>
        <v>na</v>
      </c>
      <c r="I45" s="2532" t="str">
        <f>Wireline!DL57</f>
        <v>na</v>
      </c>
      <c r="J45" s="2532" t="str">
        <f>Wireline!DM57</f>
        <v>na</v>
      </c>
      <c r="K45" s="2532">
        <f>Wireline!DN57</f>
        <v>-2.7226760015558127E-2</v>
      </c>
      <c r="L45" s="2532">
        <f>Wireline!DO57</f>
        <v>-3.1570639305445902E-2</v>
      </c>
      <c r="M45" s="2532">
        <f>Wireline!DP57</f>
        <v>-2.7833001988071593E-2</v>
      </c>
      <c r="N45" s="2532">
        <f>Wireline!DQ57</f>
        <v>-3.630623520126286E-2</v>
      </c>
      <c r="O45" s="2532">
        <f>Wireline!DR57</f>
        <v>-1.3994402239104309E-2</v>
      </c>
      <c r="P45" s="2532">
        <f>Wireline!DS57</f>
        <v>-2.6894865525672329E-2</v>
      </c>
      <c r="Q45" s="2532">
        <f>Wireline!DT57</f>
        <v>-7.4846625766871178E-2</v>
      </c>
      <c r="R45" s="2532">
        <f>Wireline!DU57</f>
        <v>-6.429156429156424E-2</v>
      </c>
      <c r="S45" s="2532">
        <v>-0.08</v>
      </c>
      <c r="T45" s="3179">
        <f>+T44/O44-1</f>
        <v>-9.1646390916463871E-2</v>
      </c>
      <c r="U45" s="3180" t="str">
        <f>ROUND((T45-S45)*10000,0)&amp;" bps"</f>
        <v>-116 bps</v>
      </c>
      <c r="V45" s="3181"/>
      <c r="W45" s="3219"/>
      <c r="X45" s="3481"/>
      <c r="Y45" s="3166"/>
      <c r="Z45" s="2044"/>
      <c r="AA45" s="2532" t="str">
        <f>+Wireline!W70</f>
        <v>na</v>
      </c>
      <c r="AB45" s="2043"/>
      <c r="AK45" s="2069"/>
    </row>
    <row r="46" spans="1:37" s="2069" customFormat="1" ht="18" customHeight="1">
      <c r="A46" s="2098"/>
      <c r="B46" s="2093"/>
      <c r="C46" s="2098"/>
      <c r="D46" s="2070" t="s">
        <v>1680</v>
      </c>
      <c r="E46" s="2531"/>
      <c r="F46" s="2531"/>
      <c r="G46" s="2531">
        <f>Wireline!DJ59</f>
        <v>1348</v>
      </c>
      <c r="H46" s="2531">
        <f>Wireline!DK59</f>
        <v>1319</v>
      </c>
      <c r="I46" s="2531">
        <f>Wireline!DL59</f>
        <v>1298</v>
      </c>
      <c r="J46" s="2531">
        <f>Wireline!DM59</f>
        <v>1334</v>
      </c>
      <c r="K46" s="2531">
        <f>Wireline!DN59</f>
        <v>1292</v>
      </c>
      <c r="L46" s="2531">
        <f>Wireline!DO59</f>
        <v>1265</v>
      </c>
      <c r="M46" s="2531">
        <f>Wireline!DP59</f>
        <v>1248</v>
      </c>
      <c r="N46" s="2531">
        <f>Wireline!DQ59</f>
        <v>1233</v>
      </c>
      <c r="O46" s="2531">
        <f>Wireline!DR59</f>
        <v>1256</v>
      </c>
      <c r="P46" s="2531">
        <f>Wireline!DS59</f>
        <v>1236</v>
      </c>
      <c r="Q46" s="2531">
        <f>Wireline!DT59</f>
        <v>1244</v>
      </c>
      <c r="R46" s="2531">
        <f>Wireline!DU59</f>
        <v>1209</v>
      </c>
      <c r="S46" s="2531">
        <v>1221.0030959752321</v>
      </c>
      <c r="T46" s="3175">
        <v>1228</v>
      </c>
      <c r="U46" s="3176">
        <f>T46-S46</f>
        <v>6.9969040247679004</v>
      </c>
      <c r="V46" s="3207"/>
      <c r="W46" s="3220"/>
      <c r="X46" s="3481"/>
      <c r="Y46" s="3165"/>
      <c r="Z46" s="2041"/>
      <c r="AA46" s="2531" t="e">
        <f>+Wireline!#REF!</f>
        <v>#REF!</v>
      </c>
      <c r="AB46" s="2042"/>
      <c r="AD46" s="2073"/>
      <c r="AE46" s="2073"/>
      <c r="AF46" s="2073"/>
      <c r="AG46" s="2073"/>
      <c r="AH46" s="2073"/>
      <c r="AI46" s="2073"/>
      <c r="AJ46" s="2073"/>
      <c r="AK46" s="2071"/>
    </row>
    <row r="47" spans="1:37" s="2071" customFormat="1" ht="18" customHeight="1">
      <c r="A47" s="2077"/>
      <c r="B47" s="2072"/>
      <c r="C47" s="2077"/>
      <c r="D47" s="3178" t="s">
        <v>834</v>
      </c>
      <c r="E47" s="2532"/>
      <c r="F47" s="2532"/>
      <c r="G47" s="2532" t="str">
        <f>Wireline!DJ60</f>
        <v>na</v>
      </c>
      <c r="H47" s="2532" t="str">
        <f>Wireline!DK60</f>
        <v>na</v>
      </c>
      <c r="I47" s="2532" t="str">
        <f>Wireline!DL60</f>
        <v>na</v>
      </c>
      <c r="J47" s="2532" t="str">
        <f>Wireline!DM60</f>
        <v>na</v>
      </c>
      <c r="K47" s="2532">
        <f>Wireline!DN60</f>
        <v>-4.1543026706231445E-2</v>
      </c>
      <c r="L47" s="2532">
        <f>Wireline!DO60</f>
        <v>-4.0940106141015953E-2</v>
      </c>
      <c r="M47" s="2532">
        <f>Wireline!DP60</f>
        <v>-3.8520801232665658E-2</v>
      </c>
      <c r="N47" s="2532">
        <f>Wireline!DQ60</f>
        <v>-7.5712143928035935E-2</v>
      </c>
      <c r="O47" s="2532">
        <f>Wireline!DR60</f>
        <v>-2.786377708978327E-2</v>
      </c>
      <c r="P47" s="2532">
        <f>Wireline!DS60</f>
        <v>-2.292490118577073E-2</v>
      </c>
      <c r="Q47" s="2532">
        <f>Wireline!DT60</f>
        <v>-3.2051282051281937E-3</v>
      </c>
      <c r="R47" s="2532">
        <f>Wireline!DU60</f>
        <v>-1.9464720194647178E-2</v>
      </c>
      <c r="S47" s="2532">
        <v>-2.786377708978327E-2</v>
      </c>
      <c r="T47" s="3179">
        <f>+T46/O46-1</f>
        <v>-2.2292993630573243E-2</v>
      </c>
      <c r="U47" s="3180" t="str">
        <f>ROUND((T47-S47)*10000,0)&amp;" bps"</f>
        <v>56 bps</v>
      </c>
      <c r="V47" s="3181"/>
      <c r="W47" s="3221"/>
      <c r="X47" s="3481"/>
      <c r="Y47" s="3167"/>
      <c r="Z47" s="2044"/>
      <c r="AA47" s="2544" t="e">
        <f>+Wireline!#REF!</f>
        <v>#REF!</v>
      </c>
      <c r="AB47" s="2045"/>
      <c r="AK47" s="2069"/>
    </row>
    <row r="48" spans="1:37" s="2071" customFormat="1" ht="18" customHeight="1">
      <c r="A48" s="2098"/>
      <c r="B48" s="2093"/>
      <c r="C48" s="2098"/>
      <c r="D48" s="2070" t="s">
        <v>1679</v>
      </c>
      <c r="E48" s="2531"/>
      <c r="F48" s="2531"/>
      <c r="G48" s="2531">
        <f>Wireline!DJ69</f>
        <v>914</v>
      </c>
      <c r="H48" s="2531">
        <f>Wireline!DK69</f>
        <v>906</v>
      </c>
      <c r="I48" s="2531">
        <f>Wireline!DL69</f>
        <v>900</v>
      </c>
      <c r="J48" s="2531">
        <f>Wireline!DM69</f>
        <v>891</v>
      </c>
      <c r="K48" s="2531">
        <f>Wireline!DN69</f>
        <v>870</v>
      </c>
      <c r="L48" s="2531">
        <f>Wireline!DO69</f>
        <v>854</v>
      </c>
      <c r="M48" s="2531">
        <f>Wireline!DP69</f>
        <v>845</v>
      </c>
      <c r="N48" s="2531">
        <f>Wireline!DQ69</f>
        <v>833</v>
      </c>
      <c r="O48" s="2531">
        <f>Wireline!DR69</f>
        <v>890</v>
      </c>
      <c r="P48" s="2531">
        <f>Wireline!DS69</f>
        <v>921</v>
      </c>
      <c r="Q48" s="2531">
        <f>Wireline!DT69</f>
        <v>903</v>
      </c>
      <c r="R48" s="2531">
        <f>Wireline!DU69</f>
        <v>885</v>
      </c>
      <c r="S48" s="2531">
        <v>890</v>
      </c>
      <c r="T48" s="3175">
        <v>871</v>
      </c>
      <c r="U48" s="3176">
        <f>T48-S48</f>
        <v>-19</v>
      </c>
      <c r="V48" s="3207"/>
      <c r="W48" s="3206"/>
      <c r="X48" s="3482"/>
      <c r="Y48" s="1911"/>
      <c r="Z48" s="2044"/>
      <c r="AA48" s="2047"/>
      <c r="AB48" s="2048"/>
      <c r="AD48" s="2073"/>
      <c r="AE48" s="2073"/>
      <c r="AF48" s="2073"/>
      <c r="AG48" s="2073"/>
      <c r="AH48" s="2073"/>
      <c r="AI48" s="2073"/>
      <c r="AJ48" s="2073"/>
    </row>
    <row r="49" spans="1:37" ht="18" customHeight="1">
      <c r="A49" s="2077"/>
      <c r="B49" s="2072"/>
      <c r="C49" s="2077"/>
      <c r="D49" s="3222" t="s">
        <v>834</v>
      </c>
      <c r="E49" s="2544"/>
      <c r="F49" s="2544"/>
      <c r="G49" s="3168" t="str">
        <f>Wireline!DJ70</f>
        <v>na</v>
      </c>
      <c r="H49" s="3168" t="str">
        <f>Wireline!DK70</f>
        <v>na</v>
      </c>
      <c r="I49" s="3168" t="str">
        <f>Wireline!DL70</f>
        <v>na</v>
      </c>
      <c r="J49" s="3168" t="str">
        <f>Wireline!DM70</f>
        <v>na</v>
      </c>
      <c r="K49" s="3168">
        <f>Wireline!DN70</f>
        <v>-4.8140043763676199E-2</v>
      </c>
      <c r="L49" s="3168">
        <f>Wireline!DO70</f>
        <v>-5.739514348785868E-2</v>
      </c>
      <c r="M49" s="3168">
        <f>Wireline!DP70</f>
        <v>-6.1111111111111116E-2</v>
      </c>
      <c r="N49" s="3168">
        <f>Wireline!DQ70</f>
        <v>-6.5095398428731799E-2</v>
      </c>
      <c r="O49" s="3168">
        <f>Wireline!DR70</f>
        <v>2.2988505747126409E-2</v>
      </c>
      <c r="P49" s="3168">
        <f>Wireline!DS70</f>
        <v>7.8454332552693185E-2</v>
      </c>
      <c r="Q49" s="3168">
        <f>Wireline!DT70</f>
        <v>6.8639053254437865E-2</v>
      </c>
      <c r="R49" s="3168">
        <f>Wireline!DU70</f>
        <v>6.2424969987995294E-2</v>
      </c>
      <c r="S49" s="3168">
        <v>0</v>
      </c>
      <c r="T49" s="3223">
        <f>+T48/O48-1</f>
        <v>-2.1348314606741581E-2</v>
      </c>
      <c r="U49" s="3224" t="str">
        <f>ROUND((T49-S49)*10000,0)&amp;" bps"</f>
        <v>-213 bps</v>
      </c>
      <c r="V49" s="3225"/>
      <c r="W49" s="3226"/>
      <c r="X49" s="3483"/>
      <c r="AA49" s="2049"/>
      <c r="AB49" s="2102"/>
      <c r="AD49" s="2071"/>
      <c r="AE49" s="2071"/>
      <c r="AF49" s="2071"/>
      <c r="AG49" s="2071"/>
      <c r="AH49" s="2071"/>
      <c r="AI49" s="2071"/>
      <c r="AJ49" s="2071"/>
      <c r="AK49" s="2071"/>
    </row>
    <row r="50" spans="1:37" ht="18" customHeight="1">
      <c r="A50" s="2077"/>
      <c r="B50" s="2072"/>
      <c r="C50" s="2077"/>
      <c r="D50" s="2101"/>
      <c r="E50" s="2046"/>
      <c r="F50" s="2046"/>
      <c r="G50" s="2046"/>
      <c r="H50" s="2046"/>
      <c r="I50" s="2046"/>
      <c r="J50" s="2046"/>
      <c r="K50" s="2046"/>
      <c r="L50" s="2046"/>
      <c r="M50" s="2046"/>
      <c r="N50" s="2046"/>
      <c r="O50" s="2046"/>
      <c r="P50" s="2046"/>
      <c r="Q50" s="2046"/>
      <c r="R50" s="2046"/>
      <c r="S50" s="2046"/>
      <c r="T50" s="2046"/>
      <c r="U50" s="2089"/>
      <c r="V50" s="2048"/>
      <c r="AD50" s="2073"/>
      <c r="AE50" s="2073"/>
      <c r="AF50" s="2073"/>
      <c r="AG50" s="2073"/>
      <c r="AH50" s="2073"/>
      <c r="AI50" s="2073"/>
      <c r="AJ50" s="2073"/>
    </row>
    <row r="51" spans="1:37" ht="18" customHeight="1">
      <c r="D51" s="1909"/>
      <c r="E51" s="2049"/>
      <c r="F51" s="2049"/>
      <c r="G51" s="2049"/>
      <c r="H51" s="2049"/>
      <c r="I51" s="2049"/>
      <c r="J51" s="2049"/>
      <c r="K51" s="2049"/>
      <c r="L51" s="2049"/>
      <c r="M51" s="2049"/>
      <c r="N51" s="2049"/>
      <c r="O51" s="2049"/>
      <c r="P51" s="2049"/>
      <c r="Q51" s="2049"/>
      <c r="R51" s="2049"/>
      <c r="S51" s="2049"/>
      <c r="T51" s="2050"/>
      <c r="U51" s="1908"/>
      <c r="V51" s="2102"/>
      <c r="AD51" s="2069"/>
      <c r="AE51" s="2069"/>
      <c r="AF51" s="2069"/>
      <c r="AG51" s="2069"/>
      <c r="AH51" s="2069"/>
      <c r="AI51" s="2069"/>
      <c r="AJ51" s="2069"/>
    </row>
    <row r="52" spans="1:37" ht="18" customHeight="1">
      <c r="Q52" s="1908"/>
      <c r="R52" s="1908"/>
      <c r="S52" s="1908"/>
      <c r="AD52" s="2071"/>
      <c r="AE52" s="2071"/>
      <c r="AF52" s="2071"/>
      <c r="AG52" s="2071"/>
      <c r="AH52" s="2071"/>
      <c r="AI52" s="2071"/>
      <c r="AJ52" s="2071"/>
    </row>
    <row r="53" spans="1:37" ht="18" customHeight="1">
      <c r="Q53" s="1908"/>
      <c r="R53" s="1908"/>
      <c r="S53" s="1908"/>
      <c r="AD53" s="2069"/>
      <c r="AE53" s="2069"/>
      <c r="AF53" s="2069"/>
      <c r="AG53" s="2069"/>
      <c r="AH53" s="2069"/>
      <c r="AI53" s="2069"/>
      <c r="AJ53" s="2069"/>
    </row>
    <row r="54" spans="1:37" ht="18" customHeight="1">
      <c r="Q54" s="1908"/>
      <c r="R54" s="1908"/>
      <c r="S54" s="1908"/>
      <c r="AD54" s="2069"/>
      <c r="AE54" s="2069"/>
      <c r="AF54" s="2069"/>
      <c r="AG54" s="2069"/>
      <c r="AH54" s="2069"/>
      <c r="AI54" s="2069"/>
      <c r="AJ54" s="2069"/>
    </row>
    <row r="55" spans="1:37" ht="18" customHeight="1">
      <c r="Q55" s="1908"/>
      <c r="R55" s="1908"/>
      <c r="S55" s="1908"/>
      <c r="AD55" s="2073"/>
      <c r="AE55" s="2073"/>
      <c r="AF55" s="2073"/>
      <c r="AG55" s="2073"/>
      <c r="AH55" s="2073"/>
      <c r="AI55" s="2073"/>
      <c r="AJ55" s="2073"/>
    </row>
    <row r="56" spans="1:37" ht="18" customHeight="1">
      <c r="Q56" s="1908"/>
      <c r="R56" s="1908"/>
      <c r="S56" s="1908"/>
      <c r="AD56" s="2073"/>
      <c r="AE56" s="2073"/>
      <c r="AF56" s="2073"/>
      <c r="AG56" s="2073"/>
      <c r="AH56" s="2073"/>
      <c r="AI56" s="2073"/>
      <c r="AJ56" s="2073"/>
    </row>
    <row r="57" spans="1:37" ht="18" customHeight="1">
      <c r="Q57" s="1908"/>
      <c r="R57" s="1908"/>
      <c r="S57" s="1908"/>
      <c r="AD57" s="2097"/>
      <c r="AE57" s="2097"/>
      <c r="AF57" s="2097"/>
      <c r="AG57" s="2097"/>
      <c r="AH57" s="2097"/>
      <c r="AI57" s="2097"/>
      <c r="AJ57" s="2097"/>
    </row>
    <row r="58" spans="1:37" ht="18" customHeight="1">
      <c r="Q58" s="1908"/>
      <c r="R58" s="1908"/>
      <c r="S58" s="1908"/>
      <c r="AD58" s="2069"/>
      <c r="AE58" s="2069"/>
      <c r="AF58" s="2069"/>
      <c r="AG58" s="2069"/>
      <c r="AH58" s="2069"/>
      <c r="AI58" s="2069"/>
      <c r="AJ58" s="2069"/>
    </row>
    <row r="59" spans="1:37" ht="18" customHeight="1">
      <c r="Q59" s="1908"/>
      <c r="R59" s="1908"/>
      <c r="S59" s="1908"/>
      <c r="AD59" s="2069"/>
      <c r="AE59" s="2069"/>
      <c r="AF59" s="2069"/>
      <c r="AG59" s="2069"/>
      <c r="AH59" s="2069"/>
      <c r="AI59" s="2069"/>
      <c r="AJ59" s="2069"/>
    </row>
    <row r="60" spans="1:37" ht="18" customHeight="1">
      <c r="AD60" s="2071"/>
      <c r="AE60" s="2071"/>
      <c r="AF60" s="2071"/>
      <c r="AG60" s="2071"/>
      <c r="AH60" s="2071"/>
      <c r="AI60" s="2071"/>
      <c r="AJ60" s="2071"/>
    </row>
    <row r="61" spans="1:37" ht="18" customHeight="1">
      <c r="AD61" s="2069"/>
      <c r="AE61" s="2069"/>
      <c r="AF61" s="2069"/>
      <c r="AG61" s="2069"/>
      <c r="AH61" s="2069"/>
      <c r="AI61" s="2069"/>
      <c r="AJ61" s="2069"/>
    </row>
    <row r="62" spans="1:37" ht="18" customHeight="1">
      <c r="AD62" s="2071"/>
      <c r="AE62" s="2071"/>
      <c r="AF62" s="2071"/>
      <c r="AG62" s="2071"/>
      <c r="AH62" s="2071"/>
      <c r="AI62" s="2071"/>
      <c r="AJ62" s="2071"/>
    </row>
    <row r="63" spans="1:37" ht="18" customHeight="1">
      <c r="AD63" s="2069"/>
      <c r="AE63" s="2069"/>
      <c r="AF63" s="2069"/>
      <c r="AG63" s="2069"/>
      <c r="AH63" s="2069"/>
      <c r="AI63" s="2069"/>
      <c r="AJ63" s="2069"/>
    </row>
    <row r="64" spans="1:37" ht="18" customHeight="1">
      <c r="AD64" s="2071"/>
      <c r="AE64" s="2071"/>
      <c r="AF64" s="2071"/>
      <c r="AG64" s="2071"/>
      <c r="AH64" s="2071"/>
      <c r="AI64" s="2071"/>
      <c r="AJ64" s="2071"/>
    </row>
    <row r="65" spans="30:36" ht="18" customHeight="1">
      <c r="AD65" s="2071"/>
      <c r="AE65" s="2071"/>
      <c r="AF65" s="2071"/>
      <c r="AG65" s="2071"/>
      <c r="AH65" s="2071"/>
      <c r="AI65" s="2071"/>
      <c r="AJ65" s="2071"/>
    </row>
  </sheetData>
  <mergeCells count="27">
    <mergeCell ref="X37:X39"/>
    <mergeCell ref="Y37:Y39"/>
    <mergeCell ref="X34:X36"/>
    <mergeCell ref="Y34:Y35"/>
    <mergeCell ref="X42:X49"/>
    <mergeCell ref="X2:X3"/>
    <mergeCell ref="Y2:Y3"/>
    <mergeCell ref="X6:X7"/>
    <mergeCell ref="Y6:Y7"/>
    <mergeCell ref="X8:X9"/>
    <mergeCell ref="Y8:Y9"/>
    <mergeCell ref="X10:X11"/>
    <mergeCell ref="Y10:Y11"/>
    <mergeCell ref="X13:X14"/>
    <mergeCell ref="Y31:Y32"/>
    <mergeCell ref="X31:X32"/>
    <mergeCell ref="Y24:Y25"/>
    <mergeCell ref="Y13:Y14"/>
    <mergeCell ref="X15:X16"/>
    <mergeCell ref="Y15:Y16"/>
    <mergeCell ref="X17:X18"/>
    <mergeCell ref="Y17:Y18"/>
    <mergeCell ref="X24:X25"/>
    <mergeCell ref="X27:X28"/>
    <mergeCell ref="Y27:Y28"/>
    <mergeCell ref="X29:X30"/>
    <mergeCell ref="Y29:Y30"/>
  </mergeCells>
  <pageMargins left="0" right="0" top="0" bottom="0" header="0" footer="0"/>
  <pageSetup paperSize="5" scale="69" orientation="landscape"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indexed="56"/>
    <pageSetUpPr fitToPage="1"/>
  </sheetPr>
  <dimension ref="A1:EC181"/>
  <sheetViews>
    <sheetView showGridLines="0" zoomScaleNormal="100" zoomScaleSheetLayoutView="100" workbookViewId="0">
      <pane xSplit="1" ySplit="7" topLeftCell="X8" activePane="bottomRight" state="frozen"/>
      <selection activeCell="W8" sqref="W8"/>
      <selection pane="topRight" activeCell="W8" sqref="W8"/>
      <selection pane="bottomLeft" activeCell="W8" sqref="W8"/>
      <selection pane="bottomRight" activeCell="X8" sqref="X8"/>
    </sheetView>
  </sheetViews>
  <sheetFormatPr defaultColWidth="9" defaultRowHeight="15" customHeight="1" outlineLevelRow="1" outlineLevelCol="1"/>
  <cols>
    <col min="1" max="1" width="24.109375" style="800" customWidth="1"/>
    <col min="2" max="7" width="2.5546875" style="812" hidden="1" customWidth="1" outlineLevel="1"/>
    <col min="8" max="17" width="7.44140625" style="812" hidden="1" customWidth="1" outlineLevel="1"/>
    <col min="18" max="18" width="7.44140625" style="812" hidden="1" customWidth="1" outlineLevel="1" collapsed="1"/>
    <col min="19" max="19" width="7.44140625" style="812" hidden="1" customWidth="1" outlineLevel="1"/>
    <col min="20" max="23" width="7.44140625" style="812" hidden="1" customWidth="1" outlineLevel="1" collapsed="1"/>
    <col min="24" max="24" width="7.44140625" style="812" customWidth="1" collapsed="1"/>
    <col min="25" max="27" width="7.44140625" style="812" customWidth="1"/>
    <col min="28" max="33" width="7.44140625" style="812" hidden="1" customWidth="1" outlineLevel="1"/>
    <col min="34" max="34" width="2.5546875" style="1918" customWidth="1" collapsed="1"/>
    <col min="35" max="35" width="7.44140625" style="1149" customWidth="1"/>
    <col min="36" max="36" width="2.5546875" style="1918" customWidth="1"/>
    <col min="37" max="58" width="2.5546875" style="1418" hidden="1" customWidth="1" outlineLevel="1"/>
    <col min="59" max="82" width="7.44140625" style="800" hidden="1" customWidth="1" outlineLevel="1"/>
    <col min="83" max="83" width="7.44140625" style="800" hidden="1" customWidth="1" outlineLevel="1" collapsed="1"/>
    <col min="84" max="94" width="7.44140625" style="800" hidden="1" customWidth="1" outlineLevel="1"/>
    <col min="95" max="95" width="7.44140625" style="800" hidden="1" customWidth="1" outlineLevel="1" collapsed="1"/>
    <col min="96" max="98" width="7.44140625" style="800" hidden="1" customWidth="1" outlineLevel="1"/>
    <col min="99" max="99" width="7.44140625" style="800" hidden="1" customWidth="1" outlineLevel="1" collapsed="1"/>
    <col min="100" max="102" width="7.44140625" style="800" hidden="1" customWidth="1" outlineLevel="1"/>
    <col min="103" max="103" width="7.44140625" style="800" hidden="1" customWidth="1" outlineLevel="1" collapsed="1"/>
    <col min="104" max="106" width="7.44140625" style="800" hidden="1" customWidth="1" outlineLevel="1"/>
    <col min="107" max="107" width="7.44140625" style="800" hidden="1" customWidth="1" outlineLevel="1" collapsed="1"/>
    <col min="108" max="110" width="7.44140625" style="2420" hidden="1" customWidth="1" outlineLevel="1"/>
    <col min="111" max="111" width="7.44140625" style="2420" hidden="1" customWidth="1" outlineLevel="1" collapsed="1"/>
    <col min="112" max="114" width="7.44140625" style="2420" hidden="1" customWidth="1" outlineLevel="1"/>
    <col min="115" max="115" width="7.44140625" style="2420" hidden="1" customWidth="1" outlineLevel="1" collapsed="1"/>
    <col min="116" max="118" width="7.44140625" style="2420" hidden="1" customWidth="1" outlineLevel="1"/>
    <col min="119" max="119" width="7.44140625" style="2420" customWidth="1" collapsed="1"/>
    <col min="120" max="126" width="7.44140625" style="2420" customWidth="1"/>
    <col min="127" max="127" width="8" style="1918" customWidth="1"/>
    <col min="128" max="128" width="57.5546875" bestFit="1" customWidth="1"/>
    <col min="129" max="129" width="8.44140625" bestFit="1" customWidth="1"/>
    <col min="130" max="130" width="25.21875" bestFit="1" customWidth="1"/>
    <col min="131" max="131" width="7.6640625" bestFit="1" customWidth="1"/>
    <col min="132" max="132" width="11.6640625" bestFit="1" customWidth="1"/>
    <col min="133" max="133" width="6.44140625" bestFit="1" customWidth="1"/>
    <col min="134" max="16384" width="9" style="812"/>
  </cols>
  <sheetData>
    <row r="1" spans="1:133" ht="15" customHeight="1">
      <c r="A1" s="820" t="s">
        <v>1111</v>
      </c>
      <c r="Y1" s="819"/>
      <c r="AK1" s="1918"/>
      <c r="AL1" s="1918"/>
      <c r="AM1" s="1918"/>
      <c r="AN1" s="1918"/>
      <c r="AO1" s="1918"/>
      <c r="AP1" s="1918"/>
      <c r="AQ1" s="1918"/>
      <c r="AR1" s="1918"/>
      <c r="AS1" s="1918"/>
      <c r="AT1" s="1918"/>
      <c r="AU1" s="1918"/>
      <c r="AV1" s="1918"/>
      <c r="AW1" s="1918"/>
      <c r="AX1" s="1918"/>
      <c r="AY1" s="1918"/>
      <c r="AZ1" s="1918"/>
      <c r="BA1" s="1918"/>
      <c r="BB1" s="1918"/>
      <c r="BC1" s="1918"/>
      <c r="BD1" s="1918"/>
      <c r="BE1" s="1918"/>
      <c r="BF1" s="1918"/>
    </row>
    <row r="2" spans="1:133" ht="15" customHeight="1">
      <c r="A2" s="820" t="s">
        <v>1112</v>
      </c>
      <c r="U2" s="1444"/>
      <c r="V2" s="1444"/>
      <c r="W2" s="1913"/>
      <c r="X2" s="1444"/>
      <c r="AK2" s="1918"/>
      <c r="AL2" s="1918"/>
      <c r="AM2" s="1918"/>
      <c r="AN2" s="1918"/>
      <c r="AO2" s="1918"/>
      <c r="AP2" s="1918"/>
      <c r="AQ2" s="1918"/>
      <c r="AR2" s="1918"/>
      <c r="AS2" s="1918"/>
      <c r="AT2" s="1918"/>
      <c r="AU2" s="1918"/>
      <c r="AV2" s="1918"/>
      <c r="AW2" s="1918"/>
      <c r="AX2" s="1918"/>
      <c r="AY2" s="1918"/>
      <c r="AZ2" s="1918"/>
      <c r="BA2" s="1918"/>
      <c r="BB2" s="1918"/>
      <c r="BC2" s="1918"/>
      <c r="BD2" s="1918"/>
      <c r="BE2" s="1918"/>
      <c r="BF2" s="1918"/>
      <c r="CB2" s="2421"/>
      <c r="CC2" s="2421"/>
      <c r="CD2" s="2421"/>
      <c r="CE2" s="2421"/>
      <c r="CF2" s="2421"/>
      <c r="CG2" s="2421"/>
      <c r="CH2" s="2421"/>
      <c r="CI2" s="2421"/>
      <c r="CJ2" s="2421"/>
      <c r="CK2" s="2421"/>
      <c r="CL2" s="2421"/>
      <c r="CM2" s="2421"/>
      <c r="CN2" s="2421"/>
      <c r="CO2" s="2421"/>
      <c r="CP2" s="2421"/>
      <c r="CQ2" s="2421"/>
      <c r="CR2" s="2421"/>
      <c r="CS2" s="2421"/>
      <c r="CT2" s="2421"/>
      <c r="CU2" s="2421"/>
      <c r="CV2" s="2421"/>
      <c r="CW2" s="2421"/>
      <c r="CX2" s="2421"/>
      <c r="CY2" s="2421"/>
      <c r="CZ2" s="2421"/>
      <c r="DA2" s="2421"/>
      <c r="DB2" s="2421"/>
      <c r="DC2" s="2421"/>
      <c r="DD2" s="2421"/>
      <c r="DE2" s="2421"/>
      <c r="DF2" s="2421"/>
      <c r="DG2" s="2421"/>
      <c r="DH2" s="2421"/>
      <c r="DI2" s="2421"/>
    </row>
    <row r="3" spans="1:133" ht="15" customHeight="1">
      <c r="A3" s="800" t="s">
        <v>1113</v>
      </c>
      <c r="U3" s="1444"/>
      <c r="V3" s="1444"/>
      <c r="W3" s="1444"/>
      <c r="X3" s="1790"/>
      <c r="Z3" s="1444"/>
      <c r="AA3" s="1444"/>
      <c r="AB3" s="1444"/>
      <c r="AK3" s="1918"/>
      <c r="AL3" s="1918"/>
      <c r="AM3" s="1918"/>
      <c r="AN3" s="1918"/>
      <c r="AO3" s="1918"/>
      <c r="AP3" s="1918"/>
      <c r="AQ3" s="1918"/>
      <c r="AR3" s="1918"/>
      <c r="AS3" s="1918"/>
      <c r="AT3" s="1918"/>
      <c r="AU3" s="1918"/>
      <c r="AV3" s="1918"/>
      <c r="AW3" s="1918"/>
      <c r="AX3" s="1918"/>
      <c r="AY3" s="1918"/>
      <c r="AZ3" s="1918"/>
      <c r="BA3" s="1918"/>
      <c r="BB3" s="1918"/>
      <c r="BC3" s="1918"/>
      <c r="BD3" s="1918"/>
      <c r="BE3" s="1918"/>
      <c r="BF3" s="1918"/>
      <c r="CB3" s="2420"/>
      <c r="CC3" s="2420"/>
      <c r="CD3" s="2420"/>
      <c r="CE3" s="2420"/>
      <c r="CF3" s="2420"/>
      <c r="CG3" s="2420"/>
      <c r="CH3" s="2420"/>
      <c r="CI3" s="2420"/>
      <c r="CJ3" s="2420"/>
      <c r="CK3" s="2420"/>
      <c r="CL3" s="2420"/>
      <c r="CM3" s="2420"/>
      <c r="CN3" s="2420"/>
      <c r="CO3" s="2420"/>
      <c r="CP3" s="2420"/>
      <c r="CQ3" s="2420"/>
      <c r="CR3" s="2420"/>
      <c r="CS3" s="2420"/>
      <c r="CT3" s="2420"/>
      <c r="CU3" s="2420"/>
      <c r="CV3" s="2420"/>
      <c r="CW3" s="2420"/>
      <c r="CX3" s="2420"/>
      <c r="CY3" s="2420"/>
      <c r="CZ3" s="2420"/>
      <c r="DA3" s="2420"/>
      <c r="DB3" s="2420"/>
      <c r="DC3" s="2420"/>
      <c r="DF3" s="2421"/>
      <c r="DG3" s="1899"/>
      <c r="DH3" s="1899"/>
      <c r="DI3" s="1899"/>
    </row>
    <row r="4" spans="1:133" ht="15" customHeight="1">
      <c r="H4" s="1144" t="s">
        <v>1114</v>
      </c>
      <c r="I4" s="921"/>
      <c r="J4" s="921"/>
      <c r="K4" s="921"/>
      <c r="L4" s="921"/>
      <c r="M4" s="921"/>
      <c r="Q4" s="921" t="s">
        <v>1115</v>
      </c>
      <c r="R4" s="921"/>
      <c r="V4" s="948" t="s">
        <v>820</v>
      </c>
      <c r="W4" s="948"/>
      <c r="X4" s="1907"/>
      <c r="Z4" s="1444"/>
      <c r="AA4" s="1444"/>
      <c r="AB4" s="1444"/>
      <c r="AK4" s="1918"/>
      <c r="AL4" s="1918"/>
      <c r="AM4" s="1918"/>
      <c r="AN4" s="1918"/>
      <c r="AO4" s="1918"/>
      <c r="AP4" s="1918"/>
      <c r="AQ4" s="1918"/>
      <c r="AR4" s="1918"/>
      <c r="AS4" s="1918"/>
      <c r="AT4" s="1918"/>
      <c r="AU4" s="1918"/>
      <c r="AV4" s="1918"/>
      <c r="AW4" s="1918"/>
      <c r="AX4" s="1918"/>
      <c r="AY4" s="1918"/>
      <c r="AZ4" s="1918"/>
      <c r="BA4" s="1918"/>
      <c r="BB4" s="1918"/>
      <c r="BC4" s="1918"/>
      <c r="BD4" s="1918"/>
      <c r="BE4" s="1918"/>
      <c r="BF4" s="1918"/>
      <c r="BG4" s="1144" t="s">
        <v>1114</v>
      </c>
      <c r="BH4" s="2422"/>
      <c r="BI4" s="2422"/>
      <c r="BJ4" s="2422"/>
      <c r="BK4" s="2422"/>
      <c r="BL4" s="2422"/>
      <c r="BM4" s="2422"/>
      <c r="BN4" s="2422"/>
      <c r="BO4" s="2422"/>
      <c r="BP4" s="2422"/>
      <c r="BQ4" s="2422"/>
      <c r="BR4" s="2422"/>
      <c r="BS4" s="2422"/>
      <c r="BT4" s="2422"/>
      <c r="BU4" s="2422"/>
      <c r="BV4" s="2422"/>
      <c r="BW4" s="1195" t="s">
        <v>819</v>
      </c>
      <c r="BX4" s="1195"/>
      <c r="BY4" s="1195"/>
      <c r="BZ4" s="1195"/>
      <c r="CA4" s="1195"/>
      <c r="CB4" s="1195"/>
      <c r="CC4" s="1195"/>
      <c r="CD4" s="1195"/>
      <c r="CE4" s="1195"/>
      <c r="DC4" s="2423" t="s">
        <v>820</v>
      </c>
      <c r="DD4" s="2424"/>
    </row>
    <row r="5" spans="1:133" s="1151" customFormat="1" ht="24" customHeight="1">
      <c r="A5" s="1150"/>
      <c r="B5" s="1150"/>
      <c r="C5" s="1150"/>
      <c r="D5" s="1150"/>
      <c r="E5" s="1150"/>
      <c r="F5" s="1150"/>
      <c r="G5" s="1150"/>
      <c r="H5" s="1150">
        <v>2000</v>
      </c>
      <c r="I5" s="1150">
        <v>2001</v>
      </c>
      <c r="J5" s="1150">
        <v>2002</v>
      </c>
      <c r="K5" s="1150">
        <v>2003</v>
      </c>
      <c r="L5" s="1150">
        <v>2004</v>
      </c>
      <c r="M5" s="1150">
        <v>2005</v>
      </c>
      <c r="N5" s="1150">
        <v>2006</v>
      </c>
      <c r="O5" s="1150">
        <v>2007</v>
      </c>
      <c r="P5" s="1150">
        <v>2008</v>
      </c>
      <c r="Q5" s="1150">
        <v>2009</v>
      </c>
      <c r="R5" s="1150">
        <v>2010</v>
      </c>
      <c r="S5" s="1150">
        <v>2011</v>
      </c>
      <c r="T5" s="1150">
        <v>2012</v>
      </c>
      <c r="U5" s="1150">
        <v>2013</v>
      </c>
      <c r="V5" s="1150" t="s">
        <v>1607</v>
      </c>
      <c r="W5" s="1150" t="s">
        <v>1066</v>
      </c>
      <c r="X5" s="1150" t="s">
        <v>1651</v>
      </c>
      <c r="Y5" s="1150" t="s">
        <v>1721</v>
      </c>
      <c r="Z5" s="3015" t="s">
        <v>1081</v>
      </c>
      <c r="AA5" s="1150" t="s">
        <v>1547</v>
      </c>
      <c r="AB5" s="1150" t="s">
        <v>1684</v>
      </c>
      <c r="AC5" s="1150" t="s">
        <v>1685</v>
      </c>
      <c r="AD5" s="1150" t="s">
        <v>1686</v>
      </c>
      <c r="AE5" s="1150" t="s">
        <v>1687</v>
      </c>
      <c r="AF5" s="1150" t="s">
        <v>1688</v>
      </c>
      <c r="AG5" s="1150" t="s">
        <v>1689</v>
      </c>
      <c r="AH5" s="1919"/>
      <c r="AI5" s="1157" t="s">
        <v>1576</v>
      </c>
      <c r="AJ5" s="1919"/>
      <c r="AK5" s="1919"/>
      <c r="AL5" s="1919"/>
      <c r="AM5" s="1919"/>
      <c r="AN5" s="1919"/>
      <c r="AO5" s="1919"/>
      <c r="AP5" s="1919"/>
      <c r="AQ5" s="1919"/>
      <c r="AR5" s="1919"/>
      <c r="AS5" s="1919"/>
      <c r="AT5" s="1919"/>
      <c r="AU5" s="1919"/>
      <c r="AV5" s="1919"/>
      <c r="AW5" s="1919"/>
      <c r="AX5" s="1919"/>
      <c r="AY5" s="1919"/>
      <c r="AZ5" s="1919"/>
      <c r="BA5" s="1919"/>
      <c r="BB5" s="1919"/>
      <c r="BC5" s="1919"/>
      <c r="BD5" s="1919"/>
      <c r="BE5" s="1919"/>
      <c r="BF5" s="1919"/>
      <c r="BG5" s="1170" t="s">
        <v>922</v>
      </c>
      <c r="BH5" s="1171" t="s">
        <v>923</v>
      </c>
      <c r="BI5" s="1171" t="s">
        <v>924</v>
      </c>
      <c r="BJ5" s="1171" t="s">
        <v>925</v>
      </c>
      <c r="BK5" s="1171" t="s">
        <v>926</v>
      </c>
      <c r="BL5" s="1171" t="s">
        <v>927</v>
      </c>
      <c r="BM5" s="1171" t="s">
        <v>928</v>
      </c>
      <c r="BN5" s="1171" t="s">
        <v>929</v>
      </c>
      <c r="BO5" s="1171" t="s">
        <v>930</v>
      </c>
      <c r="BP5" s="1171" t="s">
        <v>931</v>
      </c>
      <c r="BQ5" s="1171" t="s">
        <v>932</v>
      </c>
      <c r="BR5" s="1171" t="s">
        <v>933</v>
      </c>
      <c r="BS5" s="1171" t="s">
        <v>934</v>
      </c>
      <c r="BT5" s="1171" t="s">
        <v>935</v>
      </c>
      <c r="BU5" s="1171" t="s">
        <v>936</v>
      </c>
      <c r="BV5" s="1172" t="s">
        <v>937</v>
      </c>
      <c r="BW5" s="1170" t="s">
        <v>1116</v>
      </c>
      <c r="BX5" s="1171" t="s">
        <v>1117</v>
      </c>
      <c r="BY5" s="1171" t="s">
        <v>1118</v>
      </c>
      <c r="BZ5" s="1171" t="s">
        <v>1119</v>
      </c>
      <c r="CA5" s="1170" t="s">
        <v>1120</v>
      </c>
      <c r="CB5" s="1171" t="s">
        <v>1121</v>
      </c>
      <c r="CC5" s="1171" t="s">
        <v>1122</v>
      </c>
      <c r="CD5" s="1171" t="s">
        <v>1123</v>
      </c>
      <c r="CE5" s="1170" t="s">
        <v>1124</v>
      </c>
      <c r="CF5" s="1171" t="s">
        <v>1125</v>
      </c>
      <c r="CG5" s="1171" t="s">
        <v>1126</v>
      </c>
      <c r="CH5" s="1171" t="s">
        <v>1127</v>
      </c>
      <c r="CI5" s="1170" t="s">
        <v>1128</v>
      </c>
      <c r="CJ5" s="1171" t="s">
        <v>1129</v>
      </c>
      <c r="CK5" s="1171" t="s">
        <v>1130</v>
      </c>
      <c r="CL5" s="1171" t="s">
        <v>1131</v>
      </c>
      <c r="CM5" s="1170" t="s">
        <v>1132</v>
      </c>
      <c r="CN5" s="1171" t="s">
        <v>1133</v>
      </c>
      <c r="CO5" s="1171" t="s">
        <v>1134</v>
      </c>
      <c r="CP5" s="1171" t="s">
        <v>1135</v>
      </c>
      <c r="CQ5" s="1170" t="s">
        <v>1136</v>
      </c>
      <c r="CR5" s="1171" t="s">
        <v>1137</v>
      </c>
      <c r="CS5" s="1171" t="s">
        <v>1138</v>
      </c>
      <c r="CT5" s="1171" t="s">
        <v>1139</v>
      </c>
      <c r="CU5" s="1170" t="s">
        <v>1140</v>
      </c>
      <c r="CV5" s="1171" t="s">
        <v>1141</v>
      </c>
      <c r="CW5" s="1171" t="s">
        <v>1142</v>
      </c>
      <c r="CX5" s="1171" t="s">
        <v>1143</v>
      </c>
      <c r="CY5" s="1170" t="s">
        <v>1144</v>
      </c>
      <c r="CZ5" s="1171" t="s">
        <v>1145</v>
      </c>
      <c r="DA5" s="1171" t="s">
        <v>1146</v>
      </c>
      <c r="DB5" s="1171" t="s">
        <v>1147</v>
      </c>
      <c r="DC5" s="1170" t="s">
        <v>583</v>
      </c>
      <c r="DD5" s="1171" t="s">
        <v>1523</v>
      </c>
      <c r="DE5" s="1171" t="s">
        <v>1524</v>
      </c>
      <c r="DF5" s="1172" t="s">
        <v>1525</v>
      </c>
      <c r="DG5" s="1170" t="s">
        <v>1543</v>
      </c>
      <c r="DH5" s="1171" t="s">
        <v>1544</v>
      </c>
      <c r="DI5" s="1171" t="s">
        <v>1545</v>
      </c>
      <c r="DJ5" s="1172" t="s">
        <v>1546</v>
      </c>
      <c r="DK5" s="1170" t="s">
        <v>1654</v>
      </c>
      <c r="DL5" s="1171" t="s">
        <v>1657</v>
      </c>
      <c r="DM5" s="1171" t="s">
        <v>1658</v>
      </c>
      <c r="DN5" s="1172" t="s">
        <v>1659</v>
      </c>
      <c r="DO5" s="1172" t="s">
        <v>1672</v>
      </c>
      <c r="DP5" s="1172" t="s">
        <v>1692</v>
      </c>
      <c r="DQ5" s="1172" t="s">
        <v>1694</v>
      </c>
      <c r="DR5" s="1172" t="s">
        <v>1701</v>
      </c>
      <c r="DS5" s="1172" t="s">
        <v>1722</v>
      </c>
      <c r="DT5" s="1172" t="s">
        <v>1698</v>
      </c>
      <c r="DU5" s="1172" t="s">
        <v>1699</v>
      </c>
      <c r="DV5" s="1172" t="s">
        <v>1700</v>
      </c>
      <c r="DW5" s="3281"/>
      <c r="DX5"/>
      <c r="DY5"/>
      <c r="DZ5"/>
      <c r="EA5"/>
      <c r="EB5"/>
      <c r="EC5"/>
    </row>
    <row r="6" spans="1:133" s="82" customFormat="1" ht="15" hidden="1" customHeight="1" outlineLevel="1">
      <c r="A6" s="1147" t="s">
        <v>1148</v>
      </c>
      <c r="B6" s="1147"/>
      <c r="C6" s="1147"/>
      <c r="D6" s="1147"/>
      <c r="E6" s="1147"/>
      <c r="F6" s="1147"/>
      <c r="G6" s="1147"/>
      <c r="H6" s="1155">
        <v>2.91</v>
      </c>
      <c r="I6" s="1155">
        <v>3</v>
      </c>
      <c r="J6" s="1155">
        <v>3.06</v>
      </c>
      <c r="K6" s="1155">
        <v>2.59</v>
      </c>
      <c r="L6" s="1155">
        <v>2.4900000000000002</v>
      </c>
      <c r="M6" s="1155">
        <v>1</v>
      </c>
      <c r="N6" s="1147">
        <f>ROUND(N95,2)</f>
        <v>2.61</v>
      </c>
      <c r="O6" s="1147">
        <f t="shared" ref="O6:Z6" si="0">O95</f>
        <v>2.3866533099135196</v>
      </c>
      <c r="P6" s="1147">
        <f t="shared" si="0"/>
        <v>2.538231328484017</v>
      </c>
      <c r="Q6" s="1147">
        <f t="shared" si="0"/>
        <v>1.9136349876803944</v>
      </c>
      <c r="R6" s="1147">
        <f t="shared" si="0"/>
        <v>2.0773481954809991</v>
      </c>
      <c r="S6" s="1147">
        <f t="shared" si="0"/>
        <v>2.1540899052696991</v>
      </c>
      <c r="T6" s="1147">
        <f t="shared" si="0"/>
        <v>2.2251970649895183</v>
      </c>
      <c r="U6" s="1147">
        <f t="shared" si="0"/>
        <v>2.8220215727209466</v>
      </c>
      <c r="V6" s="1147">
        <f t="shared" si="0"/>
        <v>3.4132820851600503</v>
      </c>
      <c r="W6" s="1147">
        <f>W95</f>
        <v>3.4502992549163305</v>
      </c>
      <c r="X6" s="1147">
        <f t="shared" si="0"/>
        <v>3.7416043566052744</v>
      </c>
      <c r="Y6" s="1147">
        <f t="shared" si="0"/>
        <v>3.7374602397846832</v>
      </c>
      <c r="Z6" s="1175">
        <f t="shared" ca="1" si="0"/>
        <v>4.5447318949672786</v>
      </c>
      <c r="AA6" s="1147">
        <f ca="1">AA95</f>
        <v>4.7340805279717273</v>
      </c>
      <c r="AB6" s="1147">
        <f ca="1">AB95</f>
        <v>4.949467505016357</v>
      </c>
      <c r="AC6" s="1147">
        <f t="shared" ref="AC6:AG6" ca="1" si="1">AC95</f>
        <v>5.1589882052989253</v>
      </c>
      <c r="AD6" s="1147">
        <f t="shared" ca="1" si="1"/>
        <v>5.3885502047206435</v>
      </c>
      <c r="AE6" s="1147">
        <f t="shared" ca="1" si="1"/>
        <v>5.6328247202620876</v>
      </c>
      <c r="AF6" s="1147">
        <f t="shared" ca="1" si="1"/>
        <v>5.8930980122776537</v>
      </c>
      <c r="AG6" s="1147">
        <f t="shared" ca="1" si="1"/>
        <v>6.1637765370324633</v>
      </c>
      <c r="AH6" s="1920"/>
      <c r="AI6" s="1158">
        <f ca="1">(Z6/U6)^(1/5)-1</f>
        <v>9.9992154823788759E-2</v>
      </c>
      <c r="AJ6" s="1920"/>
      <c r="AK6" s="1920"/>
      <c r="AL6" s="1920"/>
      <c r="AM6" s="1920"/>
      <c r="AN6" s="1920"/>
      <c r="AO6" s="1920"/>
      <c r="AP6" s="1920"/>
      <c r="AQ6" s="1920"/>
      <c r="AR6" s="1920"/>
      <c r="AS6" s="1920"/>
      <c r="AT6" s="1920"/>
      <c r="AU6" s="1920"/>
      <c r="AV6" s="1920"/>
      <c r="AW6" s="1920"/>
      <c r="AX6" s="1920"/>
      <c r="AY6" s="1920"/>
      <c r="AZ6" s="1920"/>
      <c r="BA6" s="1920"/>
      <c r="BB6" s="1920"/>
      <c r="BC6" s="1920"/>
      <c r="BD6" s="1920"/>
      <c r="BE6" s="1920"/>
      <c r="BF6" s="1920"/>
      <c r="BG6" s="1173">
        <v>0.72</v>
      </c>
      <c r="BH6" s="1174">
        <v>0.77</v>
      </c>
      <c r="BI6" s="1174">
        <v>0.77</v>
      </c>
      <c r="BJ6" s="1174">
        <v>0.8</v>
      </c>
      <c r="BK6" s="1174">
        <v>0.68</v>
      </c>
      <c r="BL6" s="1174">
        <v>0.67</v>
      </c>
      <c r="BM6" s="1174">
        <v>0.62</v>
      </c>
      <c r="BN6" s="1174">
        <v>0.56999999999999995</v>
      </c>
      <c r="BO6" s="1174">
        <v>0.57428872497365646</v>
      </c>
      <c r="BP6" s="1174">
        <v>0.63161609033168664</v>
      </c>
      <c r="BQ6" s="1174">
        <v>0.64290780141843973</v>
      </c>
      <c r="BR6" s="1174">
        <v>0.6415161176053843</v>
      </c>
      <c r="BS6" s="1174">
        <v>0.60262318326834452</v>
      </c>
      <c r="BT6" s="1174">
        <v>0.61653068463994321</v>
      </c>
      <c r="BU6" s="1174">
        <v>0.6340078097266596</v>
      </c>
      <c r="BV6" s="1175">
        <v>0.61079545454545459</v>
      </c>
      <c r="BW6" s="1173">
        <f t="shared" ref="BW6:DB6" si="2">BW95</f>
        <v>0.67530600364649018</v>
      </c>
      <c r="BX6" s="1174">
        <f t="shared" si="2"/>
        <v>0.63953882672092233</v>
      </c>
      <c r="BY6" s="1174">
        <f t="shared" si="2"/>
        <v>0.68114950393431406</v>
      </c>
      <c r="BZ6" s="1174">
        <f t="shared" si="2"/>
        <v>0.61870503597122306</v>
      </c>
      <c r="CA6" s="1173">
        <f t="shared" si="2"/>
        <v>0.55994503607007906</v>
      </c>
      <c r="CB6" s="1174">
        <f t="shared" si="2"/>
        <v>0.58479532163742687</v>
      </c>
      <c r="CC6" s="1174">
        <f t="shared" si="2"/>
        <v>0.62551724137931031</v>
      </c>
      <c r="CD6" s="1174">
        <f t="shared" si="2"/>
        <v>0.61639571082670352</v>
      </c>
      <c r="CE6" s="1173">
        <f t="shared" si="2"/>
        <v>0.60767888307155327</v>
      </c>
      <c r="CF6" s="1174">
        <f t="shared" si="2"/>
        <v>0.66783584707120314</v>
      </c>
      <c r="CG6" s="1174">
        <f t="shared" si="2"/>
        <v>0.65553602811950795</v>
      </c>
      <c r="CH6" s="1174">
        <f t="shared" si="2"/>
        <v>0.60718057022175287</v>
      </c>
      <c r="CI6" s="1173">
        <f t="shared" si="2"/>
        <v>0.47437486800422379</v>
      </c>
      <c r="CJ6" s="1174">
        <f t="shared" si="2"/>
        <v>0.51500422386483635</v>
      </c>
      <c r="CK6" s="1174">
        <f t="shared" si="2"/>
        <v>0.48104963041182691</v>
      </c>
      <c r="CL6" s="1174">
        <f t="shared" si="2"/>
        <v>0.44320626539950719</v>
      </c>
      <c r="CM6" s="1173">
        <f t="shared" si="2"/>
        <v>0.47732157968970379</v>
      </c>
      <c r="CN6" s="1174">
        <f t="shared" si="2"/>
        <v>0.51364803678811444</v>
      </c>
      <c r="CO6" s="1174">
        <f t="shared" si="2"/>
        <v>0.54674690703428763</v>
      </c>
      <c r="CP6" s="1174">
        <f t="shared" si="2"/>
        <v>0.53963167196889361</v>
      </c>
      <c r="CQ6" s="1173">
        <f t="shared" si="2"/>
        <v>0.50918727915194351</v>
      </c>
      <c r="CR6" s="1174">
        <f t="shared" si="2"/>
        <v>0.5692090395480226</v>
      </c>
      <c r="CS6" s="1174">
        <f t="shared" si="2"/>
        <v>0.55881792519407203</v>
      </c>
      <c r="CT6" s="1174">
        <f t="shared" si="2"/>
        <v>0.51687566137566132</v>
      </c>
      <c r="CU6" s="1173">
        <f t="shared" si="2"/>
        <v>0.59301860301860299</v>
      </c>
      <c r="CV6" s="1174">
        <f t="shared" si="2"/>
        <v>0.63033939818054585</v>
      </c>
      <c r="CW6" s="1174">
        <f t="shared" si="2"/>
        <v>0.6364312630844382</v>
      </c>
      <c r="CX6" s="1174">
        <f t="shared" si="2"/>
        <v>0.37228581411600281</v>
      </c>
      <c r="CY6" s="1173">
        <f t="shared" si="2"/>
        <v>0.67757660167130918</v>
      </c>
      <c r="CZ6" s="1174">
        <f t="shared" si="2"/>
        <v>0.72865250696378836</v>
      </c>
      <c r="DA6" s="1174">
        <f t="shared" si="2"/>
        <v>0.76658315935977728</v>
      </c>
      <c r="DB6" s="1174">
        <f t="shared" si="2"/>
        <v>0.64996173913043476</v>
      </c>
      <c r="DC6" s="1173">
        <f t="shared" ref="DC6:DJ6" si="3">DC95</f>
        <v>0.91084337349397593</v>
      </c>
      <c r="DD6" s="1174">
        <f t="shared" si="3"/>
        <v>0.90769564170479167</v>
      </c>
      <c r="DE6" s="1174">
        <f t="shared" si="3"/>
        <v>0.88843471988458766</v>
      </c>
      <c r="DF6" s="1175">
        <f t="shared" si="3"/>
        <v>0.71300938176569639</v>
      </c>
      <c r="DG6" s="1173">
        <f>DG95</f>
        <v>0.88910458626546951</v>
      </c>
      <c r="DH6" s="1174">
        <f>DH95</f>
        <v>0.90183598531211751</v>
      </c>
      <c r="DI6" s="1174">
        <f>DI95</f>
        <v>0.91012770137524557</v>
      </c>
      <c r="DJ6" s="1175">
        <f t="shared" si="3"/>
        <v>0.7531305201177626</v>
      </c>
      <c r="DK6" s="1175">
        <f>DK95</f>
        <v>0.93005140758873939</v>
      </c>
      <c r="DL6" s="1175">
        <f>DL95</f>
        <v>0.94394124847001226</v>
      </c>
      <c r="DM6" s="1175">
        <f>DM95</f>
        <v>1.0088105726872247</v>
      </c>
      <c r="DN6" s="1175">
        <f>DN95</f>
        <v>0.85882065084413994</v>
      </c>
      <c r="DO6" s="1175">
        <f t="shared" ref="DO6:DR6" si="4">DO95</f>
        <v>0.94519207242476144</v>
      </c>
      <c r="DP6" s="1175">
        <f t="shared" si="4"/>
        <v>0.95639392454679084</v>
      </c>
      <c r="DQ6" s="1175">
        <f t="shared" si="4"/>
        <v>0.97676693568109563</v>
      </c>
      <c r="DR6" s="1175">
        <f t="shared" si="4"/>
        <v>0.85916870415647917</v>
      </c>
      <c r="DS6" s="1175">
        <f t="shared" ref="DS6:DV6" si="5">DS95</f>
        <v>1.1714146579011444</v>
      </c>
      <c r="DT6" s="1175">
        <f t="shared" ca="1" si="5"/>
        <v>1.1606189746252034</v>
      </c>
      <c r="DU6" s="1175">
        <f t="shared" ca="1" si="5"/>
        <v>1.2111746666504053</v>
      </c>
      <c r="DV6" s="1175">
        <f t="shared" ca="1" si="5"/>
        <v>1.0018026868648913</v>
      </c>
      <c r="DW6" s="1920"/>
      <c r="DX6"/>
      <c r="DY6"/>
      <c r="DZ6"/>
      <c r="EA6"/>
      <c r="EB6"/>
      <c r="EC6"/>
    </row>
    <row r="7" spans="1:133" s="821" customFormat="1" ht="15" hidden="1" customHeight="1" outlineLevel="1">
      <c r="A7" s="1620" t="s">
        <v>945</v>
      </c>
      <c r="B7" s="1142"/>
      <c r="C7" s="1142"/>
      <c r="D7" s="1142"/>
      <c r="E7" s="1142"/>
      <c r="F7" s="1142"/>
      <c r="G7" s="1142"/>
      <c r="H7" s="1152"/>
      <c r="I7" s="1152">
        <v>3.0927835051546504E-2</v>
      </c>
      <c r="J7" s="1152">
        <v>1.9999999999999796E-2</v>
      </c>
      <c r="K7" s="1152">
        <v>-0.15359477124182996</v>
      </c>
      <c r="L7" s="1152">
        <v>-3.8610038610038422E-2</v>
      </c>
      <c r="M7" s="1152">
        <v>-0.59839357429718887</v>
      </c>
      <c r="N7" s="1142">
        <f>N6/M6-1</f>
        <v>1.6099999999999999</v>
      </c>
      <c r="O7" s="1142">
        <f>O6/N6-1</f>
        <v>-8.5573444477578642E-2</v>
      </c>
      <c r="P7" s="1142">
        <f>P6/O6-1</f>
        <v>6.3510698408052235E-2</v>
      </c>
      <c r="Q7" s="1142" t="s">
        <v>1149</v>
      </c>
      <c r="R7" s="1142">
        <f t="shared" ref="R7:AB7" si="6">R6/Q6-1</f>
        <v>8.5550906444832986E-2</v>
      </c>
      <c r="S7" s="1142">
        <f t="shared" si="6"/>
        <v>3.6942150553114672E-2</v>
      </c>
      <c r="T7" s="1142">
        <f t="shared" si="6"/>
        <v>3.3010302655364976E-2</v>
      </c>
      <c r="U7" s="1142">
        <f t="shared" si="6"/>
        <v>0.26821197866996083</v>
      </c>
      <c r="V7" s="1142">
        <f t="shared" si="6"/>
        <v>0.20951665223062776</v>
      </c>
      <c r="W7" s="1142">
        <f t="shared" si="6"/>
        <v>1.0845036780645856E-2</v>
      </c>
      <c r="X7" s="1142">
        <f t="shared" si="6"/>
        <v>8.4428937946140037E-2</v>
      </c>
      <c r="Y7" s="1142">
        <f t="shared" si="6"/>
        <v>-1.1075775056962334E-3</v>
      </c>
      <c r="Z7" s="3016">
        <f t="shared" ca="1" si="6"/>
        <v>0.21599471389402725</v>
      </c>
      <c r="AA7" s="1142">
        <f t="shared" ca="1" si="6"/>
        <v>4.1663323025529442E-2</v>
      </c>
      <c r="AB7" s="1142">
        <f t="shared" ca="1" si="6"/>
        <v>4.5497108841304534E-2</v>
      </c>
      <c r="AC7" s="1142">
        <f t="shared" ref="AC7" ca="1" si="7">AC6/AB6-1</f>
        <v>4.2331968049131863E-2</v>
      </c>
      <c r="AD7" s="1142">
        <f t="shared" ref="AD7" ca="1" si="8">AD6/AC6-1</f>
        <v>4.4497484833543322E-2</v>
      </c>
      <c r="AE7" s="1142">
        <f t="shared" ref="AE7" ca="1" si="9">AE6/AD6-1</f>
        <v>4.5332140605732318E-2</v>
      </c>
      <c r="AF7" s="1142">
        <f t="shared" ref="AF7" ca="1" si="10">AF6/AE6-1</f>
        <v>4.6206531348175206E-2</v>
      </c>
      <c r="AG7" s="1142">
        <f t="shared" ref="AG7" ca="1" si="11">AG6/AF6-1</f>
        <v>4.5931447973693862E-2</v>
      </c>
      <c r="AH7" s="1921"/>
      <c r="AI7" s="1159"/>
      <c r="AJ7" s="1921"/>
      <c r="AK7" s="1921"/>
      <c r="AL7" s="1921"/>
      <c r="AM7" s="1921"/>
      <c r="AN7" s="1921"/>
      <c r="AO7" s="1921"/>
      <c r="AP7" s="1921"/>
      <c r="AQ7" s="1921"/>
      <c r="AR7" s="1921"/>
      <c r="AS7" s="1921"/>
      <c r="AT7" s="1921"/>
      <c r="AU7" s="1921"/>
      <c r="AV7" s="1921"/>
      <c r="AW7" s="1921"/>
      <c r="AX7" s="1921"/>
      <c r="AY7" s="1921"/>
      <c r="AZ7" s="1921"/>
      <c r="BA7" s="1921"/>
      <c r="BB7" s="1921"/>
      <c r="BC7" s="1921"/>
      <c r="BD7" s="1921"/>
      <c r="BE7" s="1921"/>
      <c r="BF7" s="1921"/>
      <c r="BG7" s="2425"/>
      <c r="BH7" s="2426"/>
      <c r="BI7" s="2426"/>
      <c r="BJ7" s="2426"/>
      <c r="BK7" s="2426">
        <v>-5.5555555555555469E-2</v>
      </c>
      <c r="BL7" s="2426">
        <v>-0.1298701298701298</v>
      </c>
      <c r="BM7" s="2426">
        <v>-0.19480519480519487</v>
      </c>
      <c r="BN7" s="2426">
        <v>-0.28749999999999998</v>
      </c>
      <c r="BO7" s="2426">
        <v>-0.15545775739168177</v>
      </c>
      <c r="BP7" s="2426">
        <v>-5.7289417415393173E-2</v>
      </c>
      <c r="BQ7" s="2426">
        <v>3.6948066803935031E-2</v>
      </c>
      <c r="BR7" s="2426">
        <v>0.1254668729919024</v>
      </c>
      <c r="BS7" s="2426">
        <v>4.9338350314970691E-2</v>
      </c>
      <c r="BT7" s="2426">
        <v>-2.3883821078436229E-2</v>
      </c>
      <c r="BU7" s="2426">
        <v>-1.3843340634760004E-2</v>
      </c>
      <c r="BV7" s="2427">
        <v>-4.7887593494302383E-2</v>
      </c>
      <c r="BW7" s="2425">
        <f t="shared" ref="BW7:CH7" si="12">BW6/BS6-1</f>
        <v>0.12061072722749944</v>
      </c>
      <c r="BX7" s="2426">
        <f t="shared" si="12"/>
        <v>3.731872987703122E-2</v>
      </c>
      <c r="BY7" s="2426">
        <f t="shared" si="12"/>
        <v>7.4355068635477473E-2</v>
      </c>
      <c r="BZ7" s="2426">
        <f t="shared" si="12"/>
        <v>1.2949640287769792E-2</v>
      </c>
      <c r="CA7" s="2425">
        <f t="shared" si="12"/>
        <v>-0.17082769433929157</v>
      </c>
      <c r="CB7" s="2426">
        <f t="shared" si="12"/>
        <v>-8.5598407471488946E-2</v>
      </c>
      <c r="CC7" s="2426">
        <f t="shared" si="12"/>
        <v>-8.1674085107120042E-2</v>
      </c>
      <c r="CD7" s="2426">
        <f t="shared" si="12"/>
        <v>-3.732513896374634E-3</v>
      </c>
      <c r="CE7" s="2425">
        <f t="shared" si="12"/>
        <v>8.5247379522264577E-2</v>
      </c>
      <c r="CF7" s="2426">
        <f t="shared" si="12"/>
        <v>0.14199929849175752</v>
      </c>
      <c r="CG7" s="2426">
        <f t="shared" si="12"/>
        <v>4.7990342638684291E-2</v>
      </c>
      <c r="CH7" s="2426">
        <f t="shared" si="12"/>
        <v>-1.4950040117234775E-2</v>
      </c>
      <c r="CI7" s="1188" t="s">
        <v>1149</v>
      </c>
      <c r="CJ7" s="1189" t="s">
        <v>1149</v>
      </c>
      <c r="CK7" s="1189" t="s">
        <v>1149</v>
      </c>
      <c r="CL7" s="1189" t="s">
        <v>1149</v>
      </c>
      <c r="CM7" s="2425">
        <f t="shared" ref="CM7:DI7" si="13">CM6/CI6-1</f>
        <v>6.2117786675279785E-3</v>
      </c>
      <c r="CN7" s="2426">
        <f t="shared" si="13"/>
        <v>-2.6333513666051411E-3</v>
      </c>
      <c r="CO7" s="2426">
        <f t="shared" si="13"/>
        <v>0.13657068308360865</v>
      </c>
      <c r="CP7" s="2426">
        <f t="shared" si="13"/>
        <v>0.21756327492904082</v>
      </c>
      <c r="CQ7" s="2425">
        <f t="shared" si="13"/>
        <v>6.6759394123674154E-2</v>
      </c>
      <c r="CR7" s="2426">
        <f t="shared" si="13"/>
        <v>0.10816940546942599</v>
      </c>
      <c r="CS7" s="2426">
        <f t="shared" si="13"/>
        <v>2.2077890161758873E-2</v>
      </c>
      <c r="CT7" s="2426">
        <f t="shared" si="13"/>
        <v>-4.2169523723848523E-2</v>
      </c>
      <c r="CU7" s="2425">
        <f t="shared" si="13"/>
        <v>0.16463750627525764</v>
      </c>
      <c r="CV7" s="2426">
        <f t="shared" si="13"/>
        <v>0.10739527025267104</v>
      </c>
      <c r="CW7" s="2426">
        <f t="shared" si="13"/>
        <v>0.13888841855495571</v>
      </c>
      <c r="CX7" s="2426">
        <f t="shared" si="13"/>
        <v>-0.27973816154321052</v>
      </c>
      <c r="CY7" s="2425">
        <f t="shared" si="13"/>
        <v>0.14258911646664418</v>
      </c>
      <c r="CZ7" s="2426">
        <f t="shared" si="13"/>
        <v>0.15596852912418302</v>
      </c>
      <c r="DA7" s="2426">
        <f t="shared" si="13"/>
        <v>0.20450267581853732</v>
      </c>
      <c r="DB7" s="2426">
        <f t="shared" si="13"/>
        <v>0.74586759550260284</v>
      </c>
      <c r="DC7" s="2425">
        <f t="shared" si="13"/>
        <v>0.34426627372800556</v>
      </c>
      <c r="DD7" s="2426">
        <f t="shared" si="13"/>
        <v>0.24571813454269931</v>
      </c>
      <c r="DE7" s="2426">
        <f t="shared" si="13"/>
        <v>0.15895413176905215</v>
      </c>
      <c r="DF7" s="2427">
        <f t="shared" si="13"/>
        <v>9.7002083106632275E-2</v>
      </c>
      <c r="DG7" s="2425">
        <f t="shared" si="13"/>
        <v>-2.3866657936058577E-2</v>
      </c>
      <c r="DH7" s="2426">
        <f t="shared" si="13"/>
        <v>-6.4555299413675549E-3</v>
      </c>
      <c r="DI7" s="2426">
        <f t="shared" si="13"/>
        <v>2.4417079842935285E-2</v>
      </c>
      <c r="DJ7" s="2427">
        <f>DJ6/DF6-1</f>
        <v>5.6270140867866525E-2</v>
      </c>
      <c r="DK7" s="2427">
        <f>DK6/DG6-1</f>
        <v>4.6053998546177644E-2</v>
      </c>
      <c r="DL7" s="2427">
        <f>DL6/DH6-1</f>
        <v>4.6688382193268207E-2</v>
      </c>
      <c r="DM7" s="2427">
        <f>DM6/DI6-1</f>
        <v>0.1084274999682624</v>
      </c>
      <c r="DN7" s="2427">
        <f>DN6/DJ6-1</f>
        <v>0.14033441469063179</v>
      </c>
      <c r="DO7" s="2427">
        <f t="shared" ref="DO7:DR7" si="14">DO6/DK6-1</f>
        <v>1.6279384894729576E-2</v>
      </c>
      <c r="DP7" s="2427">
        <f t="shared" si="14"/>
        <v>1.3192215190259482E-2</v>
      </c>
      <c r="DQ7" s="2427">
        <f t="shared" si="14"/>
        <v>-3.1763779914372514E-2</v>
      </c>
      <c r="DR7" s="2427">
        <f t="shared" si="14"/>
        <v>4.0526891382630659E-4</v>
      </c>
      <c r="DS7" s="2427">
        <f t="shared" ref="DS7" si="15">DS6/DO6-1</f>
        <v>0.23934033311984915</v>
      </c>
      <c r="DT7" s="2427">
        <f t="shared" ref="DT7" ca="1" si="16">DT6/DP6-1</f>
        <v>0.2135365405789138</v>
      </c>
      <c r="DU7" s="2427">
        <f t="shared" ref="DU7" ca="1" si="17">DU6/DQ6-1</f>
        <v>0.23998327790022711</v>
      </c>
      <c r="DV7" s="2427">
        <f t="shared" ref="DV7" ca="1" si="18">DV6/DR6-1</f>
        <v>0.16601394117171475</v>
      </c>
      <c r="DW7" s="1921"/>
      <c r="DX7"/>
      <c r="DY7"/>
      <c r="DZ7"/>
      <c r="EA7"/>
      <c r="EB7"/>
      <c r="EC7"/>
    </row>
    <row r="8" spans="1:133" s="820" customFormat="1" ht="15" customHeight="1" collapsed="1">
      <c r="A8" s="826" t="s">
        <v>1499</v>
      </c>
      <c r="B8" s="826"/>
      <c r="C8" s="826"/>
      <c r="D8" s="826"/>
      <c r="E8" s="826"/>
      <c r="F8" s="826"/>
      <c r="G8" s="826"/>
      <c r="H8" s="1153"/>
      <c r="I8" s="1153"/>
      <c r="J8" s="1153"/>
      <c r="K8" s="1153"/>
      <c r="L8" s="1153"/>
      <c r="M8" s="1153"/>
      <c r="N8" s="826"/>
      <c r="O8" s="826"/>
      <c r="P8" s="826"/>
      <c r="Q8" s="826"/>
      <c r="R8" s="826"/>
      <c r="S8" s="826"/>
      <c r="T8" s="826"/>
      <c r="U8" s="826"/>
      <c r="V8" s="826"/>
      <c r="W8" s="826"/>
      <c r="X8" s="826"/>
      <c r="Y8" s="826"/>
      <c r="Z8" s="1177"/>
      <c r="AA8" s="826"/>
      <c r="AB8" s="826"/>
      <c r="AC8" s="826"/>
      <c r="AD8" s="826"/>
      <c r="AE8" s="826"/>
      <c r="AF8" s="826"/>
      <c r="AG8" s="826"/>
      <c r="AH8" s="1922"/>
      <c r="AI8" s="1160"/>
      <c r="AJ8" s="1922"/>
      <c r="AK8" s="1922"/>
      <c r="AL8" s="1922"/>
      <c r="AM8" s="1922"/>
      <c r="AN8" s="1922"/>
      <c r="AO8" s="1922"/>
      <c r="AP8" s="1922"/>
      <c r="AQ8" s="1922"/>
      <c r="AR8" s="1922"/>
      <c r="AS8" s="1922"/>
      <c r="AT8" s="1922"/>
      <c r="AU8" s="1922"/>
      <c r="AV8" s="1922"/>
      <c r="AW8" s="1922"/>
      <c r="AX8" s="1922"/>
      <c r="AY8" s="1922"/>
      <c r="AZ8" s="1922"/>
      <c r="BA8" s="1922"/>
      <c r="BB8" s="1922"/>
      <c r="BC8" s="1922"/>
      <c r="BD8" s="1922"/>
      <c r="BE8" s="1922"/>
      <c r="BF8" s="1922"/>
      <c r="BG8" s="1176"/>
      <c r="BH8" s="1177"/>
      <c r="BI8" s="1177"/>
      <c r="BJ8" s="1177"/>
      <c r="BK8" s="1177"/>
      <c r="BL8" s="1177"/>
      <c r="BM8" s="1177"/>
      <c r="BN8" s="1177"/>
      <c r="BO8" s="1177"/>
      <c r="BP8" s="1177"/>
      <c r="BQ8" s="1177"/>
      <c r="BR8" s="1177"/>
      <c r="BS8" s="1177"/>
      <c r="BT8" s="1177"/>
      <c r="BU8" s="1177"/>
      <c r="BV8" s="1178"/>
      <c r="BW8" s="1176"/>
      <c r="BX8" s="1177"/>
      <c r="BY8" s="1177"/>
      <c r="BZ8" s="1177"/>
      <c r="CA8" s="1176"/>
      <c r="CB8" s="1177"/>
      <c r="CC8" s="1177"/>
      <c r="CD8" s="1177"/>
      <c r="CE8" s="1176"/>
      <c r="CF8" s="1177"/>
      <c r="CG8" s="1177"/>
      <c r="CH8" s="1177"/>
      <c r="CI8" s="1176"/>
      <c r="CJ8" s="1177"/>
      <c r="CK8" s="1177"/>
      <c r="CL8" s="1177"/>
      <c r="CM8" s="1176"/>
      <c r="CN8" s="1177"/>
      <c r="CO8" s="1177"/>
      <c r="CP8" s="1177"/>
      <c r="CQ8" s="1176"/>
      <c r="CR8" s="1177"/>
      <c r="CS8" s="1177"/>
      <c r="CT8" s="1177"/>
      <c r="CU8" s="1176"/>
      <c r="CV8" s="1177"/>
      <c r="CW8" s="1177"/>
      <c r="CX8" s="1177"/>
      <c r="CY8" s="1176"/>
      <c r="CZ8" s="1177"/>
      <c r="DA8" s="1177"/>
      <c r="DB8" s="1177"/>
      <c r="DC8" s="1176"/>
      <c r="DD8" s="1177"/>
      <c r="DE8" s="1177"/>
      <c r="DF8" s="1178"/>
      <c r="DG8" s="1176"/>
      <c r="DH8" s="1177"/>
      <c r="DI8" s="1177"/>
      <c r="DJ8" s="1178"/>
      <c r="DK8" s="1176"/>
      <c r="DL8" s="1177"/>
      <c r="DM8" s="1177"/>
      <c r="DN8" s="1178"/>
      <c r="DO8" s="1177"/>
      <c r="DP8" s="1177"/>
      <c r="DQ8" s="1177"/>
      <c r="DR8" s="1178"/>
      <c r="DS8" s="1176"/>
      <c r="DT8" s="1177"/>
      <c r="DU8" s="1177"/>
      <c r="DV8" s="1178"/>
      <c r="DW8" s="1923"/>
      <c r="DX8"/>
      <c r="DY8"/>
      <c r="DZ8"/>
      <c r="EA8"/>
      <c r="EB8"/>
      <c r="EC8"/>
    </row>
    <row r="9" spans="1:133" s="820" customFormat="1" ht="15" hidden="1" customHeight="1" outlineLevel="1">
      <c r="A9" s="820" t="s">
        <v>947</v>
      </c>
      <c r="H9" s="1154"/>
      <c r="I9" s="1154"/>
      <c r="J9" s="1154"/>
      <c r="K9" s="1154"/>
      <c r="L9" s="1154"/>
      <c r="M9" s="1154"/>
      <c r="Z9" s="985"/>
      <c r="AH9" s="1923"/>
      <c r="AI9" s="1161"/>
      <c r="AJ9" s="1923"/>
      <c r="AK9" s="1923"/>
      <c r="AL9" s="1923"/>
      <c r="AM9" s="1923"/>
      <c r="AN9" s="1923"/>
      <c r="AO9" s="1923"/>
      <c r="AP9" s="1923"/>
      <c r="AQ9" s="1923"/>
      <c r="AR9" s="1923"/>
      <c r="AS9" s="1923"/>
      <c r="AT9" s="1923"/>
      <c r="AU9" s="1923"/>
      <c r="AV9" s="1923"/>
      <c r="AW9" s="1923"/>
      <c r="AX9" s="1923"/>
      <c r="AY9" s="1923"/>
      <c r="AZ9" s="1923"/>
      <c r="BA9" s="1923"/>
      <c r="BB9" s="1923"/>
      <c r="BC9" s="1923"/>
      <c r="BD9" s="1923"/>
      <c r="BE9" s="1923"/>
      <c r="BF9" s="1923"/>
      <c r="BG9" s="1179"/>
      <c r="BH9" s="985"/>
      <c r="BI9" s="985"/>
      <c r="BJ9" s="985"/>
      <c r="BK9" s="985"/>
      <c r="BL9" s="985"/>
      <c r="BM9" s="985"/>
      <c r="BN9" s="985"/>
      <c r="BO9" s="985"/>
      <c r="BP9" s="985"/>
      <c r="BQ9" s="985"/>
      <c r="BR9" s="985"/>
      <c r="BS9" s="985"/>
      <c r="BT9" s="985"/>
      <c r="BU9" s="985"/>
      <c r="BV9" s="1180"/>
      <c r="BW9" s="1196"/>
      <c r="BX9" s="1197"/>
      <c r="BY9" s="1197"/>
      <c r="BZ9" s="1197"/>
      <c r="CA9" s="1196"/>
      <c r="CB9" s="1197"/>
      <c r="CC9" s="1197"/>
      <c r="CD9" s="1197"/>
      <c r="CE9" s="1196"/>
      <c r="CF9" s="985"/>
      <c r="CG9" s="985"/>
      <c r="CH9" s="985"/>
      <c r="CI9" s="1179"/>
      <c r="CJ9" s="985"/>
      <c r="CK9" s="985"/>
      <c r="CL9" s="985"/>
      <c r="CM9" s="1179"/>
      <c r="CN9" s="985"/>
      <c r="CO9" s="985"/>
      <c r="CP9" s="985"/>
      <c r="CQ9" s="1179"/>
      <c r="CR9" s="985"/>
      <c r="CS9" s="985"/>
      <c r="CT9" s="985"/>
      <c r="CU9" s="1179"/>
      <c r="CV9" s="985"/>
      <c r="CW9" s="985"/>
      <c r="CX9" s="985"/>
      <c r="CY9" s="1179"/>
      <c r="CZ9" s="985"/>
      <c r="DA9" s="985"/>
      <c r="DB9" s="985"/>
      <c r="DC9" s="1179"/>
      <c r="DD9" s="985"/>
      <c r="DE9" s="985"/>
      <c r="DF9" s="1180"/>
      <c r="DG9" s="1179"/>
      <c r="DH9" s="985"/>
      <c r="DI9" s="985"/>
      <c r="DJ9" s="1180"/>
      <c r="DK9" s="1179"/>
      <c r="DL9" s="985"/>
      <c r="DM9" s="985"/>
      <c r="DN9" s="1180"/>
      <c r="DO9" s="985"/>
      <c r="DP9" s="985"/>
      <c r="DQ9" s="985"/>
      <c r="DR9" s="1180"/>
      <c r="DS9" s="1179"/>
      <c r="DT9" s="985"/>
      <c r="DU9" s="985"/>
      <c r="DV9" s="1180"/>
      <c r="DW9" s="1923"/>
      <c r="DX9"/>
      <c r="DY9"/>
      <c r="DZ9"/>
      <c r="EA9"/>
      <c r="EB9"/>
      <c r="EC9"/>
    </row>
    <row r="10" spans="1:133" s="820" customFormat="1" ht="15" hidden="1" customHeight="1" outlineLevel="1">
      <c r="A10" s="1143" t="s">
        <v>689</v>
      </c>
      <c r="H10" s="1154">
        <v>42322</v>
      </c>
      <c r="I10" s="1154">
        <v>42081</v>
      </c>
      <c r="J10" s="1154">
        <v>40839</v>
      </c>
      <c r="K10" s="1154">
        <v>39055</v>
      </c>
      <c r="L10" s="1154">
        <v>38021</v>
      </c>
      <c r="M10" s="1154">
        <v>53800</v>
      </c>
      <c r="N10" s="820">
        <f>SUM(BW10:BZ10)</f>
        <v>49504</v>
      </c>
      <c r="O10" s="820">
        <f>SUM(CA10:CD10)</f>
        <v>49129</v>
      </c>
      <c r="P10" s="820">
        <f>SUM(CE10:CH10)</f>
        <v>48214</v>
      </c>
      <c r="Q10" s="820">
        <f>SUM(CI10:CL10)</f>
        <v>42353</v>
      </c>
      <c r="R10" s="820">
        <f>SUM(CM10:CP10)</f>
        <v>41227</v>
      </c>
      <c r="S10" s="820">
        <f>Wireline!S75</f>
        <v>40682</v>
      </c>
      <c r="T10" s="820">
        <f>Wireline!T75</f>
        <v>39523</v>
      </c>
      <c r="U10" s="820">
        <f>Wireline!U75</f>
        <v>38624</v>
      </c>
      <c r="V10" s="820">
        <f>Wireline!V75</f>
        <v>38429</v>
      </c>
      <c r="W10" s="820">
        <f>Wireline!W75</f>
        <v>35521</v>
      </c>
      <c r="X10" s="820">
        <f>Wireline!X75</f>
        <v>32187</v>
      </c>
      <c r="Y10" s="3020">
        <f>Wireline!Y75</f>
        <v>30957</v>
      </c>
      <c r="Z10" s="3020">
        <f>Wireline!Z75</f>
        <v>30121.528239068102</v>
      </c>
      <c r="AA10" s="820">
        <f>Wireline!AA75</f>
        <v>29694.288523668522</v>
      </c>
      <c r="AB10" s="820">
        <f>Wireline!AB75</f>
        <v>29272.688905597533</v>
      </c>
      <c r="AC10" s="820">
        <f>Wireline!AC75</f>
        <v>28873.969536712844</v>
      </c>
      <c r="AD10" s="820">
        <f>Wireline!AD75</f>
        <v>28494.147508978458</v>
      </c>
      <c r="AE10" s="820">
        <f>Wireline!AE75</f>
        <v>28130.062356789385</v>
      </c>
      <c r="AF10" s="820">
        <f>Wireline!AF75</f>
        <v>27779.210202411166</v>
      </c>
      <c r="AG10" s="820">
        <f>Wireline!AG75</f>
        <v>27439.613484142417</v>
      </c>
      <c r="AH10" s="1923"/>
      <c r="AI10" s="1161">
        <f>(AA10/V10)^(1/5)-1</f>
        <v>-5.0264289187743172E-2</v>
      </c>
      <c r="AJ10" s="1923"/>
      <c r="AK10" s="1923"/>
      <c r="AL10" s="1923"/>
      <c r="AM10" s="1923"/>
      <c r="AN10" s="1923"/>
      <c r="AO10" s="1923"/>
      <c r="AP10" s="1923"/>
      <c r="AQ10" s="1923"/>
      <c r="AR10" s="1923"/>
      <c r="AS10" s="1923"/>
      <c r="AT10" s="1923"/>
      <c r="AU10" s="1923"/>
      <c r="AV10" s="1923"/>
      <c r="AW10" s="1923"/>
      <c r="AX10" s="1923"/>
      <c r="AY10" s="1923"/>
      <c r="AZ10" s="1923"/>
      <c r="BA10" s="1923"/>
      <c r="BB10" s="1923"/>
      <c r="BC10" s="1923"/>
      <c r="BD10" s="1923"/>
      <c r="BE10" s="1923"/>
      <c r="BF10" s="1923"/>
      <c r="BG10" s="1181">
        <v>10251</v>
      </c>
      <c r="BH10" s="1182">
        <v>10254</v>
      </c>
      <c r="BI10" s="1182">
        <v>10268</v>
      </c>
      <c r="BJ10" s="1182">
        <v>10066</v>
      </c>
      <c r="BK10" s="1182">
        <v>9803</v>
      </c>
      <c r="BL10" s="1182">
        <v>9772</v>
      </c>
      <c r="BM10" s="1182">
        <v>9717</v>
      </c>
      <c r="BN10" s="1182">
        <v>9763</v>
      </c>
      <c r="BO10" s="1182">
        <v>9481</v>
      </c>
      <c r="BP10" s="1182">
        <v>9492</v>
      </c>
      <c r="BQ10" s="1182">
        <v>9515</v>
      </c>
      <c r="BR10" s="1182">
        <v>9533</v>
      </c>
      <c r="BS10" s="1182">
        <v>13615</v>
      </c>
      <c r="BT10" s="1182">
        <v>13604</v>
      </c>
      <c r="BU10" s="1182">
        <v>13403</v>
      </c>
      <c r="BV10" s="1183">
        <v>13178</v>
      </c>
      <c r="BW10" s="1179">
        <f>Wireline!BZ75</f>
        <v>12142</v>
      </c>
      <c r="BX10" s="985">
        <f>Wireline!CA75</f>
        <v>12457</v>
      </c>
      <c r="BY10" s="985">
        <f>Wireline!CB75</f>
        <v>12483</v>
      </c>
      <c r="BZ10" s="985">
        <f>Wireline!CC75</f>
        <v>12422</v>
      </c>
      <c r="CA10" s="1179">
        <f>Wireline!CD75</f>
        <v>12178</v>
      </c>
      <c r="CB10" s="985">
        <f>Wireline!CE75</f>
        <v>12330</v>
      </c>
      <c r="CC10" s="985">
        <f>Wireline!CF75</f>
        <v>12372</v>
      </c>
      <c r="CD10" s="985">
        <f>Wireline!CG75</f>
        <v>12249</v>
      </c>
      <c r="CE10" s="1179">
        <f>Wireline!CH75</f>
        <v>12026</v>
      </c>
      <c r="CF10" s="985">
        <f>Wireline!CI75</f>
        <v>12113</v>
      </c>
      <c r="CG10" s="985">
        <f>Wireline!CJ75</f>
        <v>12158</v>
      </c>
      <c r="CH10" s="985">
        <f>Wireline!CK75</f>
        <v>11917</v>
      </c>
      <c r="CI10" s="1179">
        <f>Wireline!CL75</f>
        <v>10542</v>
      </c>
      <c r="CJ10" s="985">
        <f>Wireline!CM75</f>
        <v>10563</v>
      </c>
      <c r="CK10" s="985">
        <f>Wireline!CN75</f>
        <v>10667</v>
      </c>
      <c r="CL10" s="985">
        <f>Wireline!CO75</f>
        <v>10581</v>
      </c>
      <c r="CM10" s="1179">
        <f>Wireline!CP75</f>
        <v>10375</v>
      </c>
      <c r="CN10" s="985">
        <f>Wireline!CQ75</f>
        <v>10277</v>
      </c>
      <c r="CO10" s="985">
        <f>Wireline!CR75</f>
        <v>10286</v>
      </c>
      <c r="CP10" s="985">
        <f>Wireline!CS75</f>
        <v>10289</v>
      </c>
      <c r="CQ10" s="1179">
        <f>Wireline!CT75</f>
        <v>10147</v>
      </c>
      <c r="CR10" s="985">
        <f>Wireline!CU75</f>
        <v>10247</v>
      </c>
      <c r="CS10" s="985">
        <f>Wireline!CV75</f>
        <v>10149</v>
      </c>
      <c r="CT10" s="985">
        <f>Wireline!CW75</f>
        <v>10139</v>
      </c>
      <c r="CU10" s="1179">
        <f>Wireline!CX75</f>
        <v>9945</v>
      </c>
      <c r="CV10" s="985">
        <f>Wireline!CY75</f>
        <v>9904</v>
      </c>
      <c r="CW10" s="985">
        <f>Wireline!CZ75</f>
        <v>9914</v>
      </c>
      <c r="CX10" s="985">
        <f>Wireline!DA75</f>
        <v>9760</v>
      </c>
      <c r="CY10" s="1179">
        <f>Wireline!DB75</f>
        <v>9650</v>
      </c>
      <c r="CZ10" s="985">
        <f>Wireline!DC75</f>
        <v>9605</v>
      </c>
      <c r="DA10" s="985">
        <f>Wireline!DD75</f>
        <v>9657</v>
      </c>
      <c r="DB10" s="985">
        <f>Wireline!DE75</f>
        <v>9712</v>
      </c>
      <c r="DC10" s="1179">
        <f>Wireline!DF75</f>
        <v>9662</v>
      </c>
      <c r="DD10" s="985">
        <f>Wireline!DG75</f>
        <v>9631</v>
      </c>
      <c r="DE10" s="985">
        <f>Wireline!DH75</f>
        <v>9576</v>
      </c>
      <c r="DF10" s="1180">
        <f>Wireline!DI75</f>
        <v>9560</v>
      </c>
      <c r="DG10" s="2969">
        <f>Wireline!DJ75</f>
        <v>8914</v>
      </c>
      <c r="DH10" s="2970">
        <f>Wireline!DK75</f>
        <v>8876</v>
      </c>
      <c r="DI10" s="2970">
        <f>Wireline!DL75</f>
        <v>8811</v>
      </c>
      <c r="DJ10" s="2971">
        <f>Wireline!DM75</f>
        <v>8920</v>
      </c>
      <c r="DK10" s="2969">
        <f>Wireline!DN75</f>
        <v>8765</v>
      </c>
      <c r="DL10" s="2970">
        <f>Wireline!DO75</f>
        <v>7823</v>
      </c>
      <c r="DM10" s="2970">
        <f>Wireline!DP75</f>
        <v>7787</v>
      </c>
      <c r="DN10" s="2971">
        <f>Wireline!DQ75</f>
        <v>7812</v>
      </c>
      <c r="DO10" s="2970">
        <f>Wireline!DR75</f>
        <v>7876</v>
      </c>
      <c r="DP10" s="2970">
        <f>Wireline!DS75</f>
        <v>7802</v>
      </c>
      <c r="DQ10" s="2970">
        <f>Wireline!DT75</f>
        <v>7662</v>
      </c>
      <c r="DR10" s="2971">
        <f>Wireline!DU75</f>
        <v>7617</v>
      </c>
      <c r="DS10" s="2969">
        <f>Wireline!DV75</f>
        <v>7557</v>
      </c>
      <c r="DT10" s="2970">
        <f>Wireline!DW75</f>
        <v>7542.0353558806746</v>
      </c>
      <c r="DU10" s="2970">
        <f>Wireline!DX75</f>
        <v>7530.1227766780867</v>
      </c>
      <c r="DV10" s="2971">
        <f>Wireline!DY75</f>
        <v>7492.3701065093419</v>
      </c>
      <c r="DW10" s="1923"/>
      <c r="DX10"/>
      <c r="DY10"/>
      <c r="DZ10"/>
      <c r="EA10"/>
      <c r="EB10"/>
      <c r="EC10"/>
    </row>
    <row r="11" spans="1:133" s="821" customFormat="1" ht="15" hidden="1" customHeight="1" outlineLevel="1">
      <c r="A11" s="2439" t="s">
        <v>945</v>
      </c>
      <c r="H11" s="1030"/>
      <c r="I11" s="1030">
        <v>-5.6944378810075413E-3</v>
      </c>
      <c r="J11" s="1030">
        <v>-2.9514507735082351E-2</v>
      </c>
      <c r="K11" s="1030">
        <v>-4.3683733685937476E-2</v>
      </c>
      <c r="L11" s="1030">
        <v>-2.6475483292792257E-2</v>
      </c>
      <c r="M11" s="1030">
        <v>0.41500749585755248</v>
      </c>
      <c r="N11" s="821">
        <f t="shared" ref="N11:AB11" si="19">N10/M10-1</f>
        <v>-7.9851301115241635E-2</v>
      </c>
      <c r="O11" s="821">
        <f t="shared" si="19"/>
        <v>-7.5751454427924747E-3</v>
      </c>
      <c r="P11" s="821">
        <f t="shared" si="19"/>
        <v>-1.862443770481792E-2</v>
      </c>
      <c r="Q11" s="821">
        <f t="shared" si="19"/>
        <v>-0.12156220185008504</v>
      </c>
      <c r="R11" s="821">
        <f t="shared" si="19"/>
        <v>-2.6586074186008113E-2</v>
      </c>
      <c r="S11" s="821">
        <f t="shared" si="19"/>
        <v>-1.3219492080432715E-2</v>
      </c>
      <c r="T11" s="821">
        <f t="shared" si="19"/>
        <v>-2.8489258148566954E-2</v>
      </c>
      <c r="U11" s="821">
        <f t="shared" si="19"/>
        <v>-2.274624901955824E-2</v>
      </c>
      <c r="V11" s="821">
        <f t="shared" si="19"/>
        <v>-5.0486743993372052E-3</v>
      </c>
      <c r="W11" s="821">
        <f>W10/V10-1</f>
        <v>-7.5672018527674467E-2</v>
      </c>
      <c r="X11" s="821">
        <f t="shared" si="19"/>
        <v>-9.3859970158497785E-2</v>
      </c>
      <c r="Y11" s="821">
        <f t="shared" si="19"/>
        <v>-3.821418585143066E-2</v>
      </c>
      <c r="Z11" s="821">
        <f t="shared" si="19"/>
        <v>-2.6988137123490574E-2</v>
      </c>
      <c r="AA11" s="821">
        <f t="shared" si="19"/>
        <v>-1.4183865838700793E-2</v>
      </c>
      <c r="AB11" s="821">
        <f t="shared" si="19"/>
        <v>-1.4198003691347605E-2</v>
      </c>
      <c r="AC11" s="821">
        <f t="shared" ref="AC11" si="20">AC10/AB10-1</f>
        <v>-1.3620865857951525E-2</v>
      </c>
      <c r="AD11" s="821">
        <f t="shared" ref="AD11" si="21">AD10/AC10-1</f>
        <v>-1.3154479062930657E-2</v>
      </c>
      <c r="AE11" s="821">
        <f t="shared" ref="AE11" si="22">AE10/AD10-1</f>
        <v>-1.2777541495998412E-2</v>
      </c>
      <c r="AF11" s="821">
        <f t="shared" ref="AF11" si="23">AF10/AE10-1</f>
        <v>-1.2472498280599709E-2</v>
      </c>
      <c r="AG11" s="821">
        <f t="shared" ref="AG11" si="24">AG10/AF10-1</f>
        <v>-1.2224851455253871E-2</v>
      </c>
      <c r="AH11" s="1921"/>
      <c r="AI11" s="1161"/>
      <c r="AJ11" s="1921"/>
      <c r="AK11" s="1921"/>
      <c r="AL11" s="1921"/>
      <c r="AM11" s="1921"/>
      <c r="AN11" s="1921"/>
      <c r="AO11" s="1921"/>
      <c r="AP11" s="1921"/>
      <c r="AQ11" s="1921"/>
      <c r="AR11" s="1921"/>
      <c r="AS11" s="1921"/>
      <c r="AT11" s="1921"/>
      <c r="AU11" s="1921"/>
      <c r="AV11" s="1921"/>
      <c r="AW11" s="1921"/>
      <c r="AX11" s="1921"/>
      <c r="AY11" s="1921"/>
      <c r="AZ11" s="1921"/>
      <c r="BA11" s="1921"/>
      <c r="BB11" s="1921"/>
      <c r="BC11" s="1921"/>
      <c r="BD11" s="1921"/>
      <c r="BE11" s="1921"/>
      <c r="BF11" s="1921"/>
      <c r="BG11" s="2428"/>
      <c r="BH11" s="2429"/>
      <c r="BI11" s="2429"/>
      <c r="BJ11" s="2429"/>
      <c r="BK11" s="2429">
        <v>-4.3703053360647726E-2</v>
      </c>
      <c r="BL11" s="2429">
        <v>-4.7006046420908887E-2</v>
      </c>
      <c r="BM11" s="2429">
        <v>-5.3661862095831681E-2</v>
      </c>
      <c r="BN11" s="2429">
        <v>-3.0101331213987725E-2</v>
      </c>
      <c r="BO11" s="2429">
        <v>-3.2847087626236893E-2</v>
      </c>
      <c r="BP11" s="2429">
        <v>-2.8653295128939882E-2</v>
      </c>
      <c r="BQ11" s="2429">
        <v>-2.0788309148914275E-2</v>
      </c>
      <c r="BR11" s="2429">
        <v>-2.3558332479770572E-2</v>
      </c>
      <c r="BS11" s="2429">
        <v>0.43602995464613437</v>
      </c>
      <c r="BT11" s="2429">
        <v>0.43320691108301723</v>
      </c>
      <c r="BU11" s="2429">
        <v>0.40861797162375191</v>
      </c>
      <c r="BV11" s="2430">
        <v>0.38235602643449074</v>
      </c>
      <c r="BW11" s="2431">
        <f t="shared" ref="BW11:CH11" si="25">BW10/BS10-1</f>
        <v>-0.10818949687844293</v>
      </c>
      <c r="BX11" s="2432">
        <f t="shared" si="25"/>
        <v>-8.4313437224345811E-2</v>
      </c>
      <c r="BY11" s="2432">
        <f t="shared" si="25"/>
        <v>-6.8641348951727243E-2</v>
      </c>
      <c r="BZ11" s="2432">
        <f t="shared" si="25"/>
        <v>-5.7368341174685034E-2</v>
      </c>
      <c r="CA11" s="2431">
        <f t="shared" si="25"/>
        <v>2.9649151704826959E-3</v>
      </c>
      <c r="CB11" s="2432">
        <f t="shared" si="25"/>
        <v>-1.0195071044392656E-2</v>
      </c>
      <c r="CC11" s="2432">
        <f t="shared" si="25"/>
        <v>-8.8920932468157243E-3</v>
      </c>
      <c r="CD11" s="2432">
        <f t="shared" si="25"/>
        <v>-1.392690388021256E-2</v>
      </c>
      <c r="CE11" s="2431">
        <f t="shared" si="25"/>
        <v>-1.248152405977998E-2</v>
      </c>
      <c r="CF11" s="2432">
        <f t="shared" si="25"/>
        <v>-1.7599351175993538E-2</v>
      </c>
      <c r="CG11" s="2432">
        <f t="shared" si="25"/>
        <v>-1.7297122534755904E-2</v>
      </c>
      <c r="CH11" s="2432">
        <f t="shared" si="25"/>
        <v>-2.710425340844147E-2</v>
      </c>
      <c r="CI11" s="2431"/>
      <c r="CJ11" s="2432"/>
      <c r="CK11" s="2432"/>
      <c r="CL11" s="2432"/>
      <c r="CM11" s="2431">
        <f t="shared" ref="CM11:DI11" si="26">CM10/CI10-1</f>
        <v>-1.5841396319484002E-2</v>
      </c>
      <c r="CN11" s="2432">
        <f t="shared" si="26"/>
        <v>-2.7075641389756711E-2</v>
      </c>
      <c r="CO11" s="2432">
        <f t="shared" si="26"/>
        <v>-3.5717633823942996E-2</v>
      </c>
      <c r="CP11" s="2432">
        <f t="shared" si="26"/>
        <v>-2.7596635478688181E-2</v>
      </c>
      <c r="CQ11" s="2431">
        <f t="shared" si="26"/>
        <v>-2.1975903614457781E-2</v>
      </c>
      <c r="CR11" s="2432">
        <f t="shared" si="26"/>
        <v>-2.9191398267977009E-3</v>
      </c>
      <c r="CS11" s="2432">
        <f t="shared" si="26"/>
        <v>-1.3319074470153569E-2</v>
      </c>
      <c r="CT11" s="2432">
        <f t="shared" si="26"/>
        <v>-1.457867625619591E-2</v>
      </c>
      <c r="CU11" s="2431">
        <f t="shared" si="26"/>
        <v>-1.9907361781807409E-2</v>
      </c>
      <c r="CV11" s="2432">
        <f t="shared" si="26"/>
        <v>-3.3473211671708802E-2</v>
      </c>
      <c r="CW11" s="2432">
        <f t="shared" si="26"/>
        <v>-2.3154990639471906E-2</v>
      </c>
      <c r="CX11" s="2432">
        <f t="shared" si="26"/>
        <v>-3.7380412269454544E-2</v>
      </c>
      <c r="CY11" s="2431">
        <f t="shared" si="26"/>
        <v>-2.9663147310206139E-2</v>
      </c>
      <c r="CZ11" s="2432">
        <f t="shared" si="26"/>
        <v>-3.0189822294022672E-2</v>
      </c>
      <c r="DA11" s="2432">
        <f t="shared" si="26"/>
        <v>-2.5922937260439816E-2</v>
      </c>
      <c r="DB11" s="2432">
        <f t="shared" si="26"/>
        <v>-4.9180327868852958E-3</v>
      </c>
      <c r="DC11" s="2431">
        <f t="shared" si="26"/>
        <v>1.2435233160621451E-3</v>
      </c>
      <c r="DD11" s="2432">
        <f t="shared" si="26"/>
        <v>2.7069234773555717E-3</v>
      </c>
      <c r="DE11" s="2432">
        <f t="shared" si="26"/>
        <v>-8.3876980428704284E-3</v>
      </c>
      <c r="DF11" s="2433">
        <f t="shared" si="26"/>
        <v>-1.565074135090605E-2</v>
      </c>
      <c r="DG11" s="2431">
        <f t="shared" si="26"/>
        <v>-7.7416683916373463E-2</v>
      </c>
      <c r="DH11" s="2432">
        <f t="shared" si="26"/>
        <v>-7.8392690270999932E-2</v>
      </c>
      <c r="DI11" s="2432">
        <f t="shared" si="26"/>
        <v>-7.9887218045112784E-2</v>
      </c>
      <c r="DJ11" s="2433">
        <f>DJ10/DF10-1</f>
        <v>-6.6945606694560622E-2</v>
      </c>
      <c r="DK11" s="2431">
        <f>DK10/DG10-1</f>
        <v>-1.6715279335876132E-2</v>
      </c>
      <c r="DL11" s="2432">
        <f>DL10/DH10-1</f>
        <v>-0.11863452005407837</v>
      </c>
      <c r="DM11" s="2432">
        <f>DM10/DI10-1</f>
        <v>-0.11621836340937464</v>
      </c>
      <c r="DN11" s="2433">
        <f>DN10/DJ10-1</f>
        <v>-0.1242152466367713</v>
      </c>
      <c r="DO11" s="2432">
        <f t="shared" ref="DO11:DR11" si="27">DO10/DK10-1</f>
        <v>-0.10142612664004569</v>
      </c>
      <c r="DP11" s="2432">
        <f t="shared" si="27"/>
        <v>-2.6843921769141854E-3</v>
      </c>
      <c r="DQ11" s="2432">
        <f t="shared" si="27"/>
        <v>-1.6052395017336574E-2</v>
      </c>
      <c r="DR11" s="2433">
        <f t="shared" si="27"/>
        <v>-2.4961597542242697E-2</v>
      </c>
      <c r="DS11" s="2431">
        <f t="shared" ref="DS11" si="28">DS10/DO10-1</f>
        <v>-4.0502793296089412E-2</v>
      </c>
      <c r="DT11" s="2432">
        <f t="shared" ref="DT11" si="29">DT10/DP10-1</f>
        <v>-3.3320256872510279E-2</v>
      </c>
      <c r="DU11" s="2432">
        <f t="shared" ref="DU11" si="30">DU10/DQ10-1</f>
        <v>-1.7211853735566884E-2</v>
      </c>
      <c r="DV11" s="2433">
        <f t="shared" ref="DV11" si="31">DV10/DR10-1</f>
        <v>-1.6362070827183661E-2</v>
      </c>
      <c r="DW11" s="1921"/>
      <c r="DX11"/>
      <c r="DY11"/>
      <c r="DZ11"/>
      <c r="EA11"/>
      <c r="EB11"/>
      <c r="EC11"/>
    </row>
    <row r="12" spans="1:133" s="821" customFormat="1" ht="15" hidden="1" customHeight="1" outlineLevel="1">
      <c r="A12" s="2439" t="s">
        <v>949</v>
      </c>
      <c r="H12" s="1030"/>
      <c r="I12" s="1030"/>
      <c r="J12" s="1030"/>
      <c r="K12" s="1030"/>
      <c r="L12" s="1030"/>
      <c r="M12" s="1030"/>
      <c r="AH12" s="1921"/>
      <c r="AI12" s="1161"/>
      <c r="AJ12" s="1921"/>
      <c r="AK12" s="1921"/>
      <c r="AL12" s="1921"/>
      <c r="AM12" s="1921"/>
      <c r="AN12" s="1921"/>
      <c r="AO12" s="1921"/>
      <c r="AP12" s="1921"/>
      <c r="AQ12" s="1921"/>
      <c r="AR12" s="1921"/>
      <c r="AS12" s="1921"/>
      <c r="AT12" s="1921"/>
      <c r="AU12" s="1921"/>
      <c r="AV12" s="1921"/>
      <c r="AW12" s="1921"/>
      <c r="AX12" s="1921"/>
      <c r="AY12" s="1921"/>
      <c r="AZ12" s="1921"/>
      <c r="BA12" s="1921"/>
      <c r="BB12" s="1921"/>
      <c r="BC12" s="1921"/>
      <c r="BD12" s="1921"/>
      <c r="BE12" s="1921"/>
      <c r="BF12" s="1921"/>
      <c r="BG12" s="2428"/>
      <c r="BH12" s="2429">
        <v>2.9265437518288806E-4</v>
      </c>
      <c r="BI12" s="2429">
        <v>1.3653208503998648E-3</v>
      </c>
      <c r="BJ12" s="2429">
        <v>-1.9672769770159748E-2</v>
      </c>
      <c r="BK12" s="2429">
        <v>-2.6127558116431526E-2</v>
      </c>
      <c r="BL12" s="2429">
        <v>-3.1622972559420814E-3</v>
      </c>
      <c r="BM12" s="2429">
        <v>-5.6283258288989391E-3</v>
      </c>
      <c r="BN12" s="2429">
        <v>4.7339713903469249E-3</v>
      </c>
      <c r="BO12" s="2429">
        <v>-2.888456417084917E-2</v>
      </c>
      <c r="BP12" s="2429">
        <v>1.1602151671763483E-3</v>
      </c>
      <c r="BQ12" s="2429">
        <v>2.4230931310578185E-3</v>
      </c>
      <c r="BR12" s="2429">
        <v>1.8917498686283896E-3</v>
      </c>
      <c r="BS12" s="2429">
        <v>0.42819679009755585</v>
      </c>
      <c r="BT12" s="2429">
        <v>-8.0793242746968197E-4</v>
      </c>
      <c r="BU12" s="2429">
        <v>-1.4775066157012628E-2</v>
      </c>
      <c r="BV12" s="2430">
        <v>-1.6787286428411541E-2</v>
      </c>
      <c r="BW12" s="2431">
        <f t="shared" ref="BW12:CH12" si="32">BW10/BV10-1</f>
        <v>-7.8615874943086972E-2</v>
      </c>
      <c r="BX12" s="2432">
        <f t="shared" si="32"/>
        <v>2.5943007741722868E-2</v>
      </c>
      <c r="BY12" s="2432">
        <f t="shared" si="32"/>
        <v>2.0871798988519874E-3</v>
      </c>
      <c r="BZ12" s="2432">
        <f t="shared" si="32"/>
        <v>-4.8866458383401978E-3</v>
      </c>
      <c r="CA12" s="2431">
        <f t="shared" si="32"/>
        <v>-1.964256963451938E-2</v>
      </c>
      <c r="CB12" s="2432">
        <f t="shared" si="32"/>
        <v>1.248152405977998E-2</v>
      </c>
      <c r="CC12" s="2432">
        <f t="shared" si="32"/>
        <v>3.4063260340633228E-3</v>
      </c>
      <c r="CD12" s="2432">
        <f t="shared" si="32"/>
        <v>-9.9418040737148106E-3</v>
      </c>
      <c r="CE12" s="2431">
        <f t="shared" si="32"/>
        <v>-1.8205567801453215E-2</v>
      </c>
      <c r="CF12" s="2432">
        <f t="shared" si="32"/>
        <v>7.2343256278064594E-3</v>
      </c>
      <c r="CG12" s="2432">
        <f t="shared" si="32"/>
        <v>3.7150169239659192E-3</v>
      </c>
      <c r="CH12" s="2432">
        <f t="shared" si="32"/>
        <v>-1.9822339200526451E-2</v>
      </c>
      <c r="CI12" s="2431"/>
      <c r="CJ12" s="2432">
        <f t="shared" ref="CJ12:DI12" si="33">CJ10/CI10-1</f>
        <v>1.9920318725099584E-3</v>
      </c>
      <c r="CK12" s="2432">
        <f t="shared" si="33"/>
        <v>9.8456877780932484E-3</v>
      </c>
      <c r="CL12" s="2432">
        <f t="shared" si="33"/>
        <v>-8.0622480547483111E-3</v>
      </c>
      <c r="CM12" s="2431">
        <f t="shared" si="33"/>
        <v>-1.9468859276060901E-2</v>
      </c>
      <c r="CN12" s="2432">
        <f t="shared" si="33"/>
        <v>-9.4457831325300834E-3</v>
      </c>
      <c r="CO12" s="2432">
        <f t="shared" si="33"/>
        <v>8.7574194803941019E-4</v>
      </c>
      <c r="CP12" s="2432">
        <f t="shared" si="33"/>
        <v>2.9165856503987619E-4</v>
      </c>
      <c r="CQ12" s="2431">
        <f t="shared" si="33"/>
        <v>-1.3801146855865531E-2</v>
      </c>
      <c r="CR12" s="2432">
        <f t="shared" si="33"/>
        <v>9.8551295949542705E-3</v>
      </c>
      <c r="CS12" s="2432">
        <f t="shared" si="33"/>
        <v>-9.5637747633453563E-3</v>
      </c>
      <c r="CT12" s="2432">
        <f t="shared" si="33"/>
        <v>-9.8531875061580454E-4</v>
      </c>
      <c r="CU12" s="2431">
        <f t="shared" si="33"/>
        <v>-1.9134036887267003E-2</v>
      </c>
      <c r="CV12" s="2432">
        <f t="shared" si="33"/>
        <v>-4.1226747109099904E-3</v>
      </c>
      <c r="CW12" s="2432">
        <f t="shared" si="33"/>
        <v>1.0096930533118886E-3</v>
      </c>
      <c r="CX12" s="2432">
        <f t="shared" si="33"/>
        <v>-1.5533588864232395E-2</v>
      </c>
      <c r="CY12" s="2431">
        <f t="shared" si="33"/>
        <v>-1.1270491803278659E-2</v>
      </c>
      <c r="CZ12" s="2432">
        <f t="shared" si="33"/>
        <v>-4.663212435233155E-3</v>
      </c>
      <c r="DA12" s="2432">
        <f t="shared" si="33"/>
        <v>5.4138469547111434E-3</v>
      </c>
      <c r="DB12" s="2432">
        <f t="shared" si="33"/>
        <v>5.6953505229366819E-3</v>
      </c>
      <c r="DC12" s="2431">
        <f t="shared" si="33"/>
        <v>-5.1482701812191056E-3</v>
      </c>
      <c r="DD12" s="2432">
        <f t="shared" si="33"/>
        <v>-3.2084454564272891E-3</v>
      </c>
      <c r="DE12" s="2432">
        <f t="shared" si="33"/>
        <v>-5.7107257813311385E-3</v>
      </c>
      <c r="DF12" s="2433">
        <f t="shared" si="33"/>
        <v>-1.6708437761069339E-3</v>
      </c>
      <c r="DG12" s="2431">
        <f t="shared" si="33"/>
        <v>-6.7573221757322166E-2</v>
      </c>
      <c r="DH12" s="2432">
        <f t="shared" si="33"/>
        <v>-4.2629571460623961E-3</v>
      </c>
      <c r="DI12" s="2432">
        <f t="shared" si="33"/>
        <v>-7.3231185218567418E-3</v>
      </c>
      <c r="DJ12" s="2433">
        <f>DJ10/DI10-1</f>
        <v>1.2370900011349439E-2</v>
      </c>
      <c r="DK12" s="2431">
        <f>DK10/DJ10-1</f>
        <v>-1.7376681614349798E-2</v>
      </c>
      <c r="DL12" s="2432">
        <f>DL10/DK10-1</f>
        <v>-0.1074729035938391</v>
      </c>
      <c r="DM12" s="2432">
        <f>DM10/DL10-1</f>
        <v>-4.6018151604243496E-3</v>
      </c>
      <c r="DN12" s="2433">
        <f>DN10/DM10-1</f>
        <v>3.2104790034672703E-3</v>
      </c>
      <c r="DO12" s="2432">
        <f t="shared" ref="DO12:DR12" si="34">DO10/DN10-1</f>
        <v>8.1925243215565935E-3</v>
      </c>
      <c r="DP12" s="2432">
        <f t="shared" si="34"/>
        <v>-9.395632300660206E-3</v>
      </c>
      <c r="DQ12" s="2432">
        <f t="shared" si="34"/>
        <v>-1.7944116893104378E-2</v>
      </c>
      <c r="DR12" s="2433">
        <f t="shared" si="34"/>
        <v>-5.8731401722788013E-3</v>
      </c>
      <c r="DS12" s="2431">
        <f t="shared" ref="DS12" si="35">DS10/DR10-1</f>
        <v>-7.8771169751871151E-3</v>
      </c>
      <c r="DT12" s="2432">
        <f t="shared" ref="DT12" si="36">DT10/DS10-1</f>
        <v>-1.9802360883055536E-3</v>
      </c>
      <c r="DU12" s="2432">
        <f t="shared" ref="DU12" si="37">DU10/DT10-1</f>
        <v>-1.5794912965104713E-3</v>
      </c>
      <c r="DV12" s="2433">
        <f t="shared" ref="DV12" si="38">DV10/DU10-1</f>
        <v>-5.0135530705648357E-3</v>
      </c>
      <c r="DW12" s="1921"/>
      <c r="DX12"/>
      <c r="DY12"/>
      <c r="DZ12"/>
      <c r="EA12"/>
      <c r="EB12"/>
      <c r="EC12"/>
    </row>
    <row r="13" spans="1:133" s="821" customFormat="1" ht="15" hidden="1" customHeight="1" outlineLevel="1">
      <c r="A13" s="2439" t="s">
        <v>950</v>
      </c>
      <c r="H13" s="1030">
        <v>0.42758996948816907</v>
      </c>
      <c r="I13" s="1030">
        <v>0.42062912947432601</v>
      </c>
      <c r="J13" s="1030">
        <v>0.42867939580337366</v>
      </c>
      <c r="K13" s="1030">
        <v>0.42847895730021501</v>
      </c>
      <c r="L13" s="1030">
        <v>0.41595282636997166</v>
      </c>
      <c r="M13" s="1030">
        <v>0.60516754592186817</v>
      </c>
      <c r="N13" s="821">
        <f>N10/N$30</f>
        <v>0.56753764667845719</v>
      </c>
      <c r="O13" s="821">
        <f>O10/O$30</f>
        <v>0.53184303112313935</v>
      </c>
      <c r="P13" s="821">
        <f>P10/P$35</f>
        <v>0.47647265562080493</v>
      </c>
      <c r="Q13" s="821">
        <f>Q10/Q$35</f>
        <v>0.4135510140314218</v>
      </c>
      <c r="R13" s="821">
        <f>R10/R$35</f>
        <v>0.39479631509394214</v>
      </c>
      <c r="S13" s="821">
        <f t="shared" ref="S13:AA13" si="39">S10/S$30</f>
        <v>0.36691770011273955</v>
      </c>
      <c r="T13" s="821">
        <f t="shared" si="39"/>
        <v>0.34192699997404596</v>
      </c>
      <c r="U13" s="821">
        <f t="shared" si="39"/>
        <v>0.32199814924427472</v>
      </c>
      <c r="V13" s="821">
        <f t="shared" si="39"/>
        <v>0.30301286044329501</v>
      </c>
      <c r="W13" s="821">
        <f t="shared" si="39"/>
        <v>0.27446086801987313</v>
      </c>
      <c r="X13" s="821">
        <f t="shared" si="39"/>
        <v>0.25656211390538441</v>
      </c>
      <c r="Y13" s="821">
        <f t="shared" si="39"/>
        <v>0.24562419664534968</v>
      </c>
      <c r="Z13" s="821">
        <f t="shared" ref="Z13" ca="1" si="40">Z10/Z$30</f>
        <v>0.23359923819353054</v>
      </c>
      <c r="AA13" s="821">
        <f t="shared" ca="1" si="39"/>
        <v>0.23012404400353006</v>
      </c>
      <c r="AB13" s="821">
        <f t="shared" ref="AB13:AG13" ca="1" si="41">AB10/AB$30</f>
        <v>0.22577766743687891</v>
      </c>
      <c r="AC13" s="821">
        <f t="shared" ca="1" si="41"/>
        <v>0.22152706403953462</v>
      </c>
      <c r="AD13" s="821">
        <f t="shared" ca="1" si="41"/>
        <v>0.21735953619526449</v>
      </c>
      <c r="AE13" s="821">
        <f t="shared" ca="1" si="41"/>
        <v>0.21324373635937863</v>
      </c>
      <c r="AF13" s="821">
        <f t="shared" ca="1" si="41"/>
        <v>0.20914479482474677</v>
      </c>
      <c r="AG13" s="821">
        <f t="shared" ca="1" si="41"/>
        <v>0.20503037454499026</v>
      </c>
      <c r="AH13" s="1921"/>
      <c r="AI13" s="1161"/>
      <c r="AJ13" s="1921"/>
      <c r="AK13" s="1921"/>
      <c r="AL13" s="1921"/>
      <c r="AM13" s="1921"/>
      <c r="AN13" s="1921"/>
      <c r="AO13" s="1921"/>
      <c r="AP13" s="1921"/>
      <c r="AQ13" s="1921"/>
      <c r="AR13" s="1921"/>
      <c r="AS13" s="1921"/>
      <c r="AT13" s="1921"/>
      <c r="AU13" s="1921"/>
      <c r="AV13" s="1921"/>
      <c r="AW13" s="1921"/>
      <c r="AX13" s="1921"/>
      <c r="AY13" s="1921"/>
      <c r="AZ13" s="1921"/>
      <c r="BA13" s="1921"/>
      <c r="BB13" s="1921"/>
      <c r="BC13" s="1921"/>
      <c r="BD13" s="1921"/>
      <c r="BE13" s="1921"/>
      <c r="BF13" s="1921"/>
      <c r="BG13" s="2428">
        <v>0.43055147213238693</v>
      </c>
      <c r="BH13" s="2429">
        <v>0.43192923336141531</v>
      </c>
      <c r="BI13" s="2429">
        <v>0.4257930748496786</v>
      </c>
      <c r="BJ13" s="2429">
        <v>0.42647121128670085</v>
      </c>
      <c r="BK13" s="2429">
        <v>0.42824690926565023</v>
      </c>
      <c r="BL13" s="2429">
        <v>0.4287657408626212</v>
      </c>
      <c r="BM13" s="2429">
        <v>0.42467549495214368</v>
      </c>
      <c r="BN13" s="2429">
        <v>0.4322780606597299</v>
      </c>
      <c r="BO13" s="2429">
        <v>0.42439570277529098</v>
      </c>
      <c r="BP13" s="2429">
        <v>0.41544117647058826</v>
      </c>
      <c r="BQ13" s="2429">
        <v>0.4113171659533999</v>
      </c>
      <c r="BR13" s="2429">
        <v>0.41293424586329375</v>
      </c>
      <c r="BS13" s="2429">
        <v>0.62482790270766408</v>
      </c>
      <c r="BT13" s="2429">
        <v>0.61367737278960666</v>
      </c>
      <c r="BU13" s="2429">
        <v>0.59690923666161932</v>
      </c>
      <c r="BV13" s="2430">
        <v>0.58312314704190449</v>
      </c>
      <c r="BW13" s="2431">
        <f t="shared" ref="BW13:CH13" si="42">BW10/BW$30</f>
        <v>0.57360351396172304</v>
      </c>
      <c r="BX13" s="2432">
        <f t="shared" si="42"/>
        <v>0.57716721493768242</v>
      </c>
      <c r="BY13" s="2432">
        <f t="shared" si="42"/>
        <v>0.56326143849833044</v>
      </c>
      <c r="BZ13" s="2432">
        <f t="shared" si="42"/>
        <v>0.55671581589208086</v>
      </c>
      <c r="CA13" s="2431">
        <f t="shared" si="42"/>
        <v>0.54582941150105324</v>
      </c>
      <c r="CB13" s="2432">
        <f t="shared" si="42"/>
        <v>0.5360869565217391</v>
      </c>
      <c r="CC13" s="2432">
        <f t="shared" si="42"/>
        <v>0.52662495211339544</v>
      </c>
      <c r="CD13" s="2432">
        <f t="shared" si="42"/>
        <v>0.51966399389079798</v>
      </c>
      <c r="CE13" s="2431">
        <f t="shared" si="42"/>
        <v>0.51011664899257692</v>
      </c>
      <c r="CF13" s="2432">
        <f t="shared" si="42"/>
        <v>0.5021140772674515</v>
      </c>
      <c r="CG13" s="2432">
        <f t="shared" si="42"/>
        <v>0.49119263089851323</v>
      </c>
      <c r="CH13" s="2432">
        <f t="shared" si="42"/>
        <v>0.48354635828768511</v>
      </c>
      <c r="CI13" s="2431">
        <f t="shared" ref="CI13:DJ13" si="43">CI10/CI$35</f>
        <v>0.41891515994436718</v>
      </c>
      <c r="CJ13" s="2432">
        <f t="shared" si="43"/>
        <v>0.41405668143153934</v>
      </c>
      <c r="CK13" s="2432">
        <f t="shared" si="43"/>
        <v>0.41131333384745894</v>
      </c>
      <c r="CL13" s="2432">
        <f t="shared" si="43"/>
        <v>0.41006859667480527</v>
      </c>
      <c r="CM13" s="2431">
        <f t="shared" si="43"/>
        <v>0.40472010922566803</v>
      </c>
      <c r="CN13" s="2432">
        <f t="shared" si="43"/>
        <v>0.39661160852114852</v>
      </c>
      <c r="CO13" s="2432">
        <f t="shared" si="43"/>
        <v>0.38838544026582089</v>
      </c>
      <c r="CP13" s="2432">
        <f t="shared" si="43"/>
        <v>0.38980867588558438</v>
      </c>
      <c r="CQ13" s="2431">
        <f t="shared" si="43"/>
        <v>0.3759540570581697</v>
      </c>
      <c r="CR13" s="2432">
        <f t="shared" si="43"/>
        <v>0.37213102847181873</v>
      </c>
      <c r="CS13" s="2432">
        <f t="shared" si="43"/>
        <v>0.36359402428975746</v>
      </c>
      <c r="CT13" s="2432">
        <f t="shared" si="43"/>
        <v>0.35655507103671402</v>
      </c>
      <c r="CU13" s="2431">
        <f t="shared" si="43"/>
        <v>0.35213511790949648</v>
      </c>
      <c r="CV13" s="2432">
        <f t="shared" si="43"/>
        <v>0.3472042068361087</v>
      </c>
      <c r="CW13" s="2432">
        <f t="shared" si="43"/>
        <v>0.34177957044851243</v>
      </c>
      <c r="CX13" s="2432">
        <f t="shared" si="43"/>
        <v>0.32735200402481973</v>
      </c>
      <c r="CY13" s="2431">
        <f t="shared" si="43"/>
        <v>0.33002735978112174</v>
      </c>
      <c r="CZ13" s="2432">
        <f t="shared" si="43"/>
        <v>0.32386957547965067</v>
      </c>
      <c r="DA13" s="2432">
        <f t="shared" si="43"/>
        <v>0.32059624194940572</v>
      </c>
      <c r="DB13" s="2432">
        <f t="shared" si="43"/>
        <v>0.31397905082115607</v>
      </c>
      <c r="DC13" s="2431">
        <f t="shared" si="43"/>
        <v>0.31482567611599871</v>
      </c>
      <c r="DD13" s="2432">
        <f t="shared" si="43"/>
        <v>0.30715994259288787</v>
      </c>
      <c r="DE13" s="2432">
        <f t="shared" si="43"/>
        <v>0.30317229152156017</v>
      </c>
      <c r="DF13" s="2433">
        <f t="shared" si="43"/>
        <v>0.28802120993010366</v>
      </c>
      <c r="DG13" s="2431">
        <f t="shared" si="43"/>
        <v>0.28362340513538453</v>
      </c>
      <c r="DH13" s="2432">
        <f>DH10/DH$35</f>
        <v>0.28020330208037375</v>
      </c>
      <c r="DI13" s="2432">
        <f>DI10/DI$35</f>
        <v>0.27016005396455511</v>
      </c>
      <c r="DJ13" s="2433">
        <f t="shared" si="43"/>
        <v>0.26468057327675737</v>
      </c>
      <c r="DK13" s="2431">
        <f t="shared" ref="DK13" si="44">DK10/DK$35</f>
        <v>0.27697023320482839</v>
      </c>
      <c r="DL13" s="2432">
        <f>DL10/DL$35</f>
        <v>0.25622297916939607</v>
      </c>
      <c r="DM13" s="2432">
        <f>DM10/DM$35</f>
        <v>0.25170507806186765</v>
      </c>
      <c r="DN13" s="2433">
        <f>DN10/DN$35</f>
        <v>0.24155844155844156</v>
      </c>
      <c r="DO13" s="2432">
        <f t="shared" ref="DO13" si="45">DO10/DO$35</f>
        <v>0.26417119474072581</v>
      </c>
      <c r="DP13" s="2432">
        <f t="shared" ref="DP13:DQ13" si="46">DP10/DP$35</f>
        <v>0.25540133560298545</v>
      </c>
      <c r="DQ13" s="2432">
        <f t="shared" si="46"/>
        <v>0.24157391934924488</v>
      </c>
      <c r="DR13" s="2433">
        <f t="shared" ref="DR13" si="47">DR10/DR$35</f>
        <v>0.22432631423943455</v>
      </c>
      <c r="DS13" s="2431">
        <f t="shared" ref="DS13:DV13" si="48">DS10/DS$35</f>
        <v>0.23785093793277098</v>
      </c>
      <c r="DT13" s="2432">
        <f t="shared" ca="1" si="48"/>
        <v>0.23901954711681217</v>
      </c>
      <c r="DU13" s="2432">
        <f t="shared" ca="1" si="48"/>
        <v>0.23475619540982876</v>
      </c>
      <c r="DV13" s="2433">
        <f t="shared" ca="1" si="48"/>
        <v>0.22336671332076724</v>
      </c>
      <c r="DW13" s="1921"/>
      <c r="DX13"/>
      <c r="DY13"/>
      <c r="DZ13"/>
      <c r="EA13"/>
      <c r="EB13"/>
      <c r="EC13"/>
    </row>
    <row r="14" spans="1:133" s="820" customFormat="1" ht="15" hidden="1" customHeight="1" outlineLevel="1">
      <c r="A14" s="1143" t="s">
        <v>538</v>
      </c>
      <c r="H14" s="1154">
        <v>15363</v>
      </c>
      <c r="I14" s="1154">
        <v>17393</v>
      </c>
      <c r="J14" s="1154">
        <v>19473</v>
      </c>
      <c r="K14" s="1154">
        <v>22489</v>
      </c>
      <c r="L14" s="1154">
        <v>27662</v>
      </c>
      <c r="M14" s="1154">
        <v>32301</v>
      </c>
      <c r="N14" s="820">
        <f>SUM(BW14:BZ14)</f>
        <v>38043</v>
      </c>
      <c r="O14" s="820">
        <f>SUM(CA14:CD14)</f>
        <v>43882</v>
      </c>
      <c r="P14" s="820">
        <f>SUM(CE14:CH14)</f>
        <v>49332</v>
      </c>
      <c r="Q14" s="820">
        <f>SUM(CI14:CL14)</f>
        <v>60325</v>
      </c>
      <c r="R14" s="820">
        <f>SUM(CM14:CP14)</f>
        <v>63407</v>
      </c>
      <c r="S14" s="820">
        <f>Wless!S31</f>
        <v>70154</v>
      </c>
      <c r="T14" s="820">
        <f>Wless!T31</f>
        <v>75868</v>
      </c>
      <c r="U14" s="820">
        <f>Wless!U31</f>
        <v>81023</v>
      </c>
      <c r="V14" s="820">
        <f>Wless!V31</f>
        <v>87646</v>
      </c>
      <c r="W14" s="820">
        <f>Wless!W31</f>
        <v>91680</v>
      </c>
      <c r="X14" s="820">
        <f>Wless!X31</f>
        <v>89186</v>
      </c>
      <c r="Y14" s="3020">
        <f>Wless!Y31</f>
        <v>87511</v>
      </c>
      <c r="Z14" s="3020">
        <f ca="1">Wless!Z31</f>
        <v>89000.530555650083</v>
      </c>
      <c r="AA14" s="2182">
        <f ca="1">Wless!AA31</f>
        <v>89321.996625658619</v>
      </c>
      <c r="AB14" s="2182">
        <f ca="1">Wless!AB31</f>
        <v>90159.912307901337</v>
      </c>
      <c r="AC14" s="2182">
        <f ca="1">Wless!AC31</f>
        <v>91042.104273433884</v>
      </c>
      <c r="AD14" s="2182">
        <f ca="1">Wless!AD31</f>
        <v>91965.07545971236</v>
      </c>
      <c r="AE14" s="2182">
        <f ca="1">Wless!AE31</f>
        <v>92939.334607954952</v>
      </c>
      <c r="AF14" s="2182">
        <f ca="1">Wless!AF31</f>
        <v>93981.065461926715</v>
      </c>
      <c r="AG14" s="2182">
        <f ca="1">Wless!AG31</f>
        <v>95108.491957709382</v>
      </c>
      <c r="AH14" s="1923"/>
      <c r="AI14" s="1161">
        <f ca="1">(AA14/V14)^(1/5)-1</f>
        <v>3.7955461249521427E-3</v>
      </c>
      <c r="AJ14" s="1923"/>
      <c r="AK14" s="1923"/>
      <c r="AL14" s="1923"/>
      <c r="AM14" s="1923"/>
      <c r="AN14" s="1923"/>
      <c r="AO14" s="1923"/>
      <c r="AP14" s="1923"/>
      <c r="AQ14" s="1923"/>
      <c r="AR14" s="1923"/>
      <c r="AS14" s="1923"/>
      <c r="AT14" s="1923"/>
      <c r="AU14" s="1923"/>
      <c r="AV14" s="1923"/>
      <c r="AW14" s="1923"/>
      <c r="AX14" s="1923"/>
      <c r="AY14" s="1923"/>
      <c r="AZ14" s="1923"/>
      <c r="BA14" s="1923"/>
      <c r="BB14" s="1923"/>
      <c r="BC14" s="1923"/>
      <c r="BD14" s="1923"/>
      <c r="BE14" s="1923"/>
      <c r="BF14" s="1923"/>
      <c r="BG14" s="1181">
        <v>4430</v>
      </c>
      <c r="BH14" s="1182">
        <v>4791</v>
      </c>
      <c r="BI14" s="1182">
        <v>5029</v>
      </c>
      <c r="BJ14" s="1182">
        <v>5223</v>
      </c>
      <c r="BK14" s="1182">
        <v>5086</v>
      </c>
      <c r="BL14" s="1182">
        <v>5477</v>
      </c>
      <c r="BM14" s="1182">
        <v>5942</v>
      </c>
      <c r="BN14" s="1182">
        <v>5984</v>
      </c>
      <c r="BO14" s="1182">
        <v>6162</v>
      </c>
      <c r="BP14" s="1182">
        <v>6847</v>
      </c>
      <c r="BQ14" s="1182">
        <v>7311</v>
      </c>
      <c r="BR14" s="1182">
        <v>7342</v>
      </c>
      <c r="BS14" s="1182">
        <v>7418</v>
      </c>
      <c r="BT14" s="1182">
        <v>7846</v>
      </c>
      <c r="BU14" s="1182">
        <v>8351</v>
      </c>
      <c r="BV14" s="1183">
        <v>8686</v>
      </c>
      <c r="BW14" s="1179">
        <f>Wless!BZ14</f>
        <v>8813</v>
      </c>
      <c r="BX14" s="985">
        <f>Wless!CA14</f>
        <v>9262</v>
      </c>
      <c r="BY14" s="985">
        <f>Wless!CB14</f>
        <v>9869</v>
      </c>
      <c r="BZ14" s="985">
        <f>Wless!CC14</f>
        <v>10099</v>
      </c>
      <c r="CA14" s="1179">
        <f>Wless!CD14</f>
        <v>10307</v>
      </c>
      <c r="CB14" s="985">
        <f>Wless!CE14</f>
        <v>10843</v>
      </c>
      <c r="CC14" s="985">
        <f>Wless!CF14</f>
        <v>11289</v>
      </c>
      <c r="CD14" s="985">
        <f>Wless!CG14</f>
        <v>11443</v>
      </c>
      <c r="CE14" s="1179">
        <f>Wless!CH14</f>
        <v>11669</v>
      </c>
      <c r="CF14" s="985">
        <f>Wless!CI14</f>
        <v>12118</v>
      </c>
      <c r="CG14" s="985">
        <f>Wless!CJ14</f>
        <v>12699</v>
      </c>
      <c r="CH14" s="985">
        <f>Wless!CK14</f>
        <v>12846</v>
      </c>
      <c r="CI14" s="1179">
        <f>Wless!CL31</f>
        <v>14690</v>
      </c>
      <c r="CJ14" s="985">
        <f>Wless!CM31</f>
        <v>15029</v>
      </c>
      <c r="CK14" s="985">
        <f>Wless!CN31</f>
        <v>15331</v>
      </c>
      <c r="CL14" s="985">
        <f>Wless!CO31</f>
        <v>15275</v>
      </c>
      <c r="CM14" s="1179">
        <f>Wless!CP31</f>
        <v>15312</v>
      </c>
      <c r="CN14" s="985">
        <f>Wless!CQ31</f>
        <v>15697</v>
      </c>
      <c r="CO14" s="985">
        <f>Wless!CR31</f>
        <v>16250</v>
      </c>
      <c r="CP14" s="985">
        <f>Wless!CS31</f>
        <v>16148</v>
      </c>
      <c r="CQ14" s="1179">
        <f>Wless!CT31</f>
        <v>16881</v>
      </c>
      <c r="CR14" s="985">
        <f>Wless!CU31</f>
        <v>17293</v>
      </c>
      <c r="CS14" s="985">
        <f>Wless!CV31</f>
        <v>17726</v>
      </c>
      <c r="CT14" s="985">
        <f>Wless!CW31</f>
        <v>18254</v>
      </c>
      <c r="CU14" s="1179">
        <f>Wless!CX31</f>
        <v>18273</v>
      </c>
      <c r="CV14" s="985">
        <f>Wless!CY31</f>
        <v>18577</v>
      </c>
      <c r="CW14" s="985">
        <f>Wless!CZ31</f>
        <v>19024</v>
      </c>
      <c r="CX14" s="985">
        <f>Wless!DA31</f>
        <v>19994</v>
      </c>
      <c r="CY14" s="1179">
        <f>Wless!DB31</f>
        <v>19523</v>
      </c>
      <c r="CZ14" s="985">
        <f>Wless!DC31</f>
        <v>19976</v>
      </c>
      <c r="DA14" s="985">
        <f>Wless!DD31</f>
        <v>20399</v>
      </c>
      <c r="DB14" s="985">
        <f>Wless!DE31</f>
        <v>21125</v>
      </c>
      <c r="DC14" s="1179">
        <f>Wless!DF31</f>
        <v>20879</v>
      </c>
      <c r="DD14" s="985">
        <f>Wless!DG31</f>
        <v>21483</v>
      </c>
      <c r="DE14" s="985">
        <f>Wless!DH31</f>
        <v>21835</v>
      </c>
      <c r="DF14" s="1180">
        <f>Wless!DI31</f>
        <v>23449</v>
      </c>
      <c r="DG14" s="2969">
        <f>Wless!DJ31</f>
        <v>22328</v>
      </c>
      <c r="DH14" s="2970">
        <f>Wless!DK31</f>
        <v>22613</v>
      </c>
      <c r="DI14" s="2970">
        <f>Wless!DL31</f>
        <v>23005</v>
      </c>
      <c r="DJ14" s="2971">
        <f>Wless!DM31</f>
        <v>23734</v>
      </c>
      <c r="DK14" s="2969">
        <f>Wless!DN31</f>
        <v>22004</v>
      </c>
      <c r="DL14" s="2970">
        <f>Wless!DO31</f>
        <v>21704</v>
      </c>
      <c r="DM14" s="2970">
        <f>Wless!DP31</f>
        <v>22101</v>
      </c>
      <c r="DN14" s="2971">
        <f>Wless!DQ31</f>
        <v>23377</v>
      </c>
      <c r="DO14" s="2970">
        <f>Wless!DR31</f>
        <v>20878</v>
      </c>
      <c r="DP14" s="2970">
        <f>Wless!DS31</f>
        <v>21282</v>
      </c>
      <c r="DQ14" s="2970">
        <f>Wless!DT31</f>
        <v>21580</v>
      </c>
      <c r="DR14" s="2971">
        <f>Wless!DU31</f>
        <v>23771</v>
      </c>
      <c r="DS14" s="2969">
        <f>Wless!DV31</f>
        <v>21900</v>
      </c>
      <c r="DT14" s="2970">
        <f ca="1">Wless!DW31</f>
        <v>21697.017217881326</v>
      </c>
      <c r="DU14" s="2970">
        <f ca="1">Wless!DX31</f>
        <v>21996.981006157228</v>
      </c>
      <c r="DV14" s="2971">
        <f ca="1">Wless!DY31</f>
        <v>23406.532331611525</v>
      </c>
      <c r="DW14" s="1923"/>
      <c r="DX14"/>
      <c r="DY14"/>
      <c r="DZ14"/>
      <c r="EA14"/>
      <c r="EB14"/>
      <c r="EC14"/>
    </row>
    <row r="15" spans="1:133" s="821" customFormat="1" ht="15" hidden="1" customHeight="1" outlineLevel="1">
      <c r="A15" s="2439" t="s">
        <v>945</v>
      </c>
      <c r="H15" s="1030"/>
      <c r="I15" s="1030">
        <v>0.13213565058907761</v>
      </c>
      <c r="J15" s="1030">
        <v>0.11958834013683672</v>
      </c>
      <c r="K15" s="1030">
        <v>0.15488111744466693</v>
      </c>
      <c r="L15" s="1030">
        <v>0.2300235670772377</v>
      </c>
      <c r="M15" s="1030">
        <v>0.167702986045839</v>
      </c>
      <c r="N15" s="821">
        <f t="shared" ref="N15:AB15" si="49">N14/M14-1</f>
        <v>0.17776539426023952</v>
      </c>
      <c r="O15" s="821">
        <f t="shared" si="49"/>
        <v>0.15348421523013434</v>
      </c>
      <c r="P15" s="821">
        <f t="shared" si="49"/>
        <v>0.12419670935691163</v>
      </c>
      <c r="Q15" s="821">
        <f t="shared" si="49"/>
        <v>0.22283710370550547</v>
      </c>
      <c r="R15" s="821">
        <f t="shared" si="49"/>
        <v>5.1089929548280066E-2</v>
      </c>
      <c r="S15" s="821">
        <f t="shared" si="49"/>
        <v>0.10640780986326437</v>
      </c>
      <c r="T15" s="821">
        <f t="shared" si="49"/>
        <v>8.1449382786441316E-2</v>
      </c>
      <c r="U15" s="821">
        <f t="shared" si="49"/>
        <v>6.7946960510360199E-2</v>
      </c>
      <c r="V15" s="821">
        <f t="shared" si="49"/>
        <v>8.1742221344556443E-2</v>
      </c>
      <c r="W15" s="821">
        <f>W14/V14-1</f>
        <v>4.6026059375213979E-2</v>
      </c>
      <c r="X15" s="821">
        <f t="shared" si="49"/>
        <v>-2.7203315881326406E-2</v>
      </c>
      <c r="Y15" s="821">
        <f t="shared" si="49"/>
        <v>-1.8780974592424782E-2</v>
      </c>
      <c r="Z15" s="821">
        <f t="shared" ca="1" si="49"/>
        <v>1.7021066559061993E-2</v>
      </c>
      <c r="AA15" s="821">
        <f t="shared" ca="1" si="49"/>
        <v>3.611956782746617E-3</v>
      </c>
      <c r="AB15" s="821">
        <f t="shared" ca="1" si="49"/>
        <v>9.3808436207976076E-3</v>
      </c>
      <c r="AC15" s="821">
        <f t="shared" ref="AC15" ca="1" si="50">AC14/AB14-1</f>
        <v>9.7847473777459282E-3</v>
      </c>
      <c r="AD15" s="821">
        <f t="shared" ref="AD15" ca="1" si="51">AD14/AC14-1</f>
        <v>1.0137849884339634E-2</v>
      </c>
      <c r="AE15" s="821">
        <f t="shared" ref="AE15" ca="1" si="52">AE14/AD14-1</f>
        <v>1.0593794909344645E-2</v>
      </c>
      <c r="AF15" s="821">
        <f t="shared" ref="AF15" ca="1" si="53">AF14/AE14-1</f>
        <v>1.1208718658962669E-2</v>
      </c>
      <c r="AG15" s="821">
        <f t="shared" ref="AG15" ca="1" si="54">AG14/AF14-1</f>
        <v>1.1996315324169338E-2</v>
      </c>
      <c r="AH15" s="1921"/>
      <c r="AI15" s="1161"/>
      <c r="AJ15" s="1921"/>
      <c r="AK15" s="1921"/>
      <c r="AL15" s="1921"/>
      <c r="AM15" s="1921"/>
      <c r="AN15" s="1921"/>
      <c r="AO15" s="1921"/>
      <c r="AP15" s="1921"/>
      <c r="AQ15" s="1921"/>
      <c r="AR15" s="1921"/>
      <c r="AS15" s="1921"/>
      <c r="AT15" s="1921"/>
      <c r="AU15" s="1921"/>
      <c r="AV15" s="1921"/>
      <c r="AW15" s="1921"/>
      <c r="AX15" s="1921"/>
      <c r="AY15" s="1921"/>
      <c r="AZ15" s="1921"/>
      <c r="BA15" s="1921"/>
      <c r="BB15" s="1921"/>
      <c r="BC15" s="1921"/>
      <c r="BD15" s="1921"/>
      <c r="BE15" s="1921"/>
      <c r="BF15" s="1921"/>
      <c r="BG15" s="2428"/>
      <c r="BH15" s="2429"/>
      <c r="BI15" s="2429"/>
      <c r="BJ15" s="2429"/>
      <c r="BK15" s="2429">
        <v>0.14808126410835221</v>
      </c>
      <c r="BL15" s="2429">
        <v>0.1431851388019203</v>
      </c>
      <c r="BM15" s="2429">
        <v>0.18154702724199634</v>
      </c>
      <c r="BN15" s="2429">
        <v>0.1457017040015316</v>
      </c>
      <c r="BO15" s="2429">
        <v>0.21156114825009831</v>
      </c>
      <c r="BP15" s="2429">
        <v>0.25013693627898492</v>
      </c>
      <c r="BQ15" s="2429">
        <v>0.23039380679905763</v>
      </c>
      <c r="BR15" s="2429">
        <v>0.22693850267379689</v>
      </c>
      <c r="BS15" s="2429">
        <v>0.20382992534891264</v>
      </c>
      <c r="BT15" s="2429">
        <v>0.14590331532057843</v>
      </c>
      <c r="BU15" s="2429">
        <v>0.14225140199699093</v>
      </c>
      <c r="BV15" s="2430">
        <v>0.18305638790520296</v>
      </c>
      <c r="BW15" s="2431">
        <f t="shared" ref="BW15:DI15" si="55">BW14/BS14-1</f>
        <v>0.18805607980587769</v>
      </c>
      <c r="BX15" s="2432">
        <f t="shared" si="55"/>
        <v>0.1804741269436656</v>
      </c>
      <c r="BY15" s="2432">
        <f t="shared" si="55"/>
        <v>0.1817746377679319</v>
      </c>
      <c r="BZ15" s="2432">
        <f t="shared" si="55"/>
        <v>0.1626755698825697</v>
      </c>
      <c r="CA15" s="2431">
        <f t="shared" si="55"/>
        <v>0.16952229660728468</v>
      </c>
      <c r="CB15" s="2432">
        <f t="shared" si="55"/>
        <v>0.17069747354782994</v>
      </c>
      <c r="CC15" s="2432">
        <f t="shared" si="55"/>
        <v>0.14388489208633093</v>
      </c>
      <c r="CD15" s="2432">
        <f t="shared" si="55"/>
        <v>0.13308248341419948</v>
      </c>
      <c r="CE15" s="2431">
        <f t="shared" si="55"/>
        <v>0.13214320364800614</v>
      </c>
      <c r="CF15" s="2432">
        <f t="shared" si="55"/>
        <v>0.11758738356543397</v>
      </c>
      <c r="CG15" s="2432">
        <f t="shared" si="55"/>
        <v>0.12490034546904072</v>
      </c>
      <c r="CH15" s="2432">
        <f t="shared" si="55"/>
        <v>0.12260770776894181</v>
      </c>
      <c r="CI15" s="2431">
        <f t="shared" si="55"/>
        <v>0.25889107892707175</v>
      </c>
      <c r="CJ15" s="2432">
        <f t="shared" si="55"/>
        <v>0.24022115860703086</v>
      </c>
      <c r="CK15" s="2432">
        <f t="shared" si="55"/>
        <v>0.20726041420584296</v>
      </c>
      <c r="CL15" s="2432">
        <f t="shared" si="55"/>
        <v>0.18908609683948319</v>
      </c>
      <c r="CM15" s="2431">
        <f t="shared" si="55"/>
        <v>4.2341729067392864E-2</v>
      </c>
      <c r="CN15" s="2432">
        <f t="shared" si="55"/>
        <v>4.444740169006578E-2</v>
      </c>
      <c r="CO15" s="2432">
        <f t="shared" si="55"/>
        <v>5.9943904507207657E-2</v>
      </c>
      <c r="CP15" s="2432">
        <f t="shared" si="55"/>
        <v>5.7152209492635109E-2</v>
      </c>
      <c r="CQ15" s="2431">
        <f t="shared" si="55"/>
        <v>0.10246865203761746</v>
      </c>
      <c r="CR15" s="2432">
        <f t="shared" si="55"/>
        <v>0.10167547939096644</v>
      </c>
      <c r="CS15" s="2432">
        <f t="shared" si="55"/>
        <v>9.083076923076927E-2</v>
      </c>
      <c r="CT15" s="2432">
        <f t="shared" si="55"/>
        <v>0.13041862769383195</v>
      </c>
      <c r="CU15" s="2431">
        <f t="shared" si="55"/>
        <v>8.2459569930691368E-2</v>
      </c>
      <c r="CV15" s="2432">
        <f t="shared" si="55"/>
        <v>7.4249696408951626E-2</v>
      </c>
      <c r="CW15" s="2432">
        <f t="shared" si="55"/>
        <v>7.3225770055286077E-2</v>
      </c>
      <c r="CX15" s="2432">
        <f t="shared" si="55"/>
        <v>9.5321573353785549E-2</v>
      </c>
      <c r="CY15" s="2431">
        <f t="shared" si="55"/>
        <v>6.8406939199912475E-2</v>
      </c>
      <c r="CZ15" s="2432">
        <f t="shared" si="55"/>
        <v>7.5308176777735936E-2</v>
      </c>
      <c r="DA15" s="2432">
        <f t="shared" si="55"/>
        <v>7.2277123633305296E-2</v>
      </c>
      <c r="DB15" s="2432">
        <f t="shared" si="55"/>
        <v>5.6566970091027402E-2</v>
      </c>
      <c r="DC15" s="2431">
        <f t="shared" si="55"/>
        <v>6.9456538441837745E-2</v>
      </c>
      <c r="DD15" s="2432">
        <f t="shared" si="55"/>
        <v>7.5440528634361126E-2</v>
      </c>
      <c r="DE15" s="2432">
        <f t="shared" si="55"/>
        <v>7.039560762782493E-2</v>
      </c>
      <c r="DF15" s="2433">
        <f t="shared" si="55"/>
        <v>0.11001183431952666</v>
      </c>
      <c r="DG15" s="2431">
        <f t="shared" si="55"/>
        <v>6.9399875472963224E-2</v>
      </c>
      <c r="DH15" s="2432">
        <f t="shared" si="55"/>
        <v>5.2599730019084801E-2</v>
      </c>
      <c r="DI15" s="2432">
        <f t="shared" si="55"/>
        <v>5.3583695901076256E-2</v>
      </c>
      <c r="DJ15" s="2433">
        <f>DJ14/DF14-1</f>
        <v>1.2154036419463443E-2</v>
      </c>
      <c r="DK15" s="2431">
        <f>DK14/DG14-1</f>
        <v>-1.4510927982801847E-2</v>
      </c>
      <c r="DL15" s="2432">
        <f>DL14/DH14-1</f>
        <v>-4.0198116127891037E-2</v>
      </c>
      <c r="DM15" s="2432">
        <f>DM14/DI14-1</f>
        <v>-3.9295805259726091E-2</v>
      </c>
      <c r="DN15" s="2433">
        <f>DN14/DJ14-1</f>
        <v>-1.5041712311451905E-2</v>
      </c>
      <c r="DO15" s="2432">
        <f t="shared" ref="DO15:DR15" si="56">DO14/DK14-1</f>
        <v>-5.1172514088347554E-2</v>
      </c>
      <c r="DP15" s="2432">
        <f t="shared" si="56"/>
        <v>-1.944342056763726E-2</v>
      </c>
      <c r="DQ15" s="2432">
        <f t="shared" si="56"/>
        <v>-2.3573593955024674E-2</v>
      </c>
      <c r="DR15" s="2433">
        <f t="shared" si="56"/>
        <v>1.6854172904992026E-2</v>
      </c>
      <c r="DS15" s="2431">
        <f t="shared" ref="DS15" si="57">DS14/DO14-1</f>
        <v>4.8951048951048959E-2</v>
      </c>
      <c r="DT15" s="2432">
        <f t="shared" ref="DT15" ca="1" si="58">DT14/DP14-1</f>
        <v>1.9500856022992563E-2</v>
      </c>
      <c r="DU15" s="2432">
        <f t="shared" ref="DU15" ca="1" si="59">DU14/DQ14-1</f>
        <v>1.932256747716532E-2</v>
      </c>
      <c r="DV15" s="2433">
        <f t="shared" ref="DV15" ca="1" si="60">DV14/DR14-1</f>
        <v>-1.5332449976377727E-2</v>
      </c>
      <c r="DW15" s="1921"/>
      <c r="DX15"/>
      <c r="DY15"/>
      <c r="DZ15"/>
      <c r="EA15"/>
      <c r="EB15"/>
      <c r="EC15"/>
    </row>
    <row r="16" spans="1:133" s="821" customFormat="1" ht="15" hidden="1" customHeight="1" outlineLevel="1">
      <c r="A16" s="2439" t="s">
        <v>949</v>
      </c>
      <c r="H16" s="1030"/>
      <c r="I16" s="1030"/>
      <c r="J16" s="1030"/>
      <c r="K16" s="1030"/>
      <c r="L16" s="1030"/>
      <c r="M16" s="1030"/>
      <c r="AH16" s="1921"/>
      <c r="AI16" s="1161"/>
      <c r="AJ16" s="1921"/>
      <c r="AK16" s="1921"/>
      <c r="AL16" s="1921"/>
      <c r="AM16" s="1921"/>
      <c r="AN16" s="1921"/>
      <c r="AO16" s="1921"/>
      <c r="AP16" s="1921"/>
      <c r="AQ16" s="1921"/>
      <c r="AR16" s="1921"/>
      <c r="AS16" s="1921"/>
      <c r="AT16" s="1921"/>
      <c r="AU16" s="1921"/>
      <c r="AV16" s="1921"/>
      <c r="AW16" s="1921"/>
      <c r="AX16" s="1921"/>
      <c r="AY16" s="1921"/>
      <c r="AZ16" s="1921"/>
      <c r="BA16" s="1921"/>
      <c r="BB16" s="1921"/>
      <c r="BC16" s="1921"/>
      <c r="BD16" s="1921"/>
      <c r="BE16" s="1921"/>
      <c r="BF16" s="1921"/>
      <c r="BG16" s="2428"/>
      <c r="BH16" s="2429">
        <v>8.1489841986456035E-2</v>
      </c>
      <c r="BI16" s="2429">
        <v>4.9676476727196883E-2</v>
      </c>
      <c r="BJ16" s="2429">
        <v>3.8576257705309258E-2</v>
      </c>
      <c r="BK16" s="2429">
        <v>-2.6230135937200805E-2</v>
      </c>
      <c r="BL16" s="2429">
        <v>7.6877703499803385E-2</v>
      </c>
      <c r="BM16" s="2429">
        <v>8.4900492970604313E-2</v>
      </c>
      <c r="BN16" s="2429">
        <v>7.0683271625715527E-3</v>
      </c>
      <c r="BO16" s="2429">
        <v>2.974598930481287E-2</v>
      </c>
      <c r="BP16" s="2429">
        <v>0.11116520610191505</v>
      </c>
      <c r="BQ16" s="2429">
        <v>6.7766905213962225E-2</v>
      </c>
      <c r="BR16" s="2429">
        <v>4.2401860210641296E-3</v>
      </c>
      <c r="BS16" s="2429">
        <v>1.0351402887496697E-2</v>
      </c>
      <c r="BT16" s="2429">
        <v>5.7697492585602639E-2</v>
      </c>
      <c r="BU16" s="2429">
        <v>6.4364007137394763E-2</v>
      </c>
      <c r="BV16" s="2430">
        <v>4.0114956292659487E-2</v>
      </c>
      <c r="BW16" s="2431">
        <f t="shared" ref="BW16:DI16" si="61">BW14/BV14-1</f>
        <v>1.4621229564816929E-2</v>
      </c>
      <c r="BX16" s="2432">
        <f t="shared" si="61"/>
        <v>5.0947463973675333E-2</v>
      </c>
      <c r="BY16" s="2432">
        <f t="shared" si="61"/>
        <v>6.5536601166054753E-2</v>
      </c>
      <c r="BZ16" s="2432">
        <f t="shared" si="61"/>
        <v>2.3305299422433867E-2</v>
      </c>
      <c r="CA16" s="2431">
        <f t="shared" si="61"/>
        <v>2.0596098623625991E-2</v>
      </c>
      <c r="CB16" s="2432">
        <f t="shared" si="61"/>
        <v>5.2003492771902637E-2</v>
      </c>
      <c r="CC16" s="2432">
        <f t="shared" si="61"/>
        <v>4.1132527898183113E-2</v>
      </c>
      <c r="CD16" s="2432">
        <f t="shared" si="61"/>
        <v>1.3641598015767586E-2</v>
      </c>
      <c r="CE16" s="2431">
        <f t="shared" si="61"/>
        <v>1.9750065542252893E-2</v>
      </c>
      <c r="CF16" s="2432">
        <f t="shared" si="61"/>
        <v>3.8478018681977977E-2</v>
      </c>
      <c r="CG16" s="2432">
        <f t="shared" si="61"/>
        <v>4.7945205479452024E-2</v>
      </c>
      <c r="CH16" s="2432">
        <f t="shared" si="61"/>
        <v>1.157571462319873E-2</v>
      </c>
      <c r="CI16" s="2431">
        <f t="shared" si="61"/>
        <v>0.14354662930094975</v>
      </c>
      <c r="CJ16" s="2432">
        <f t="shared" si="61"/>
        <v>2.3076923076922995E-2</v>
      </c>
      <c r="CK16" s="2432">
        <f t="shared" si="61"/>
        <v>2.0094483997604717E-2</v>
      </c>
      <c r="CL16" s="2432">
        <f t="shared" si="61"/>
        <v>-3.6527297632248379E-3</v>
      </c>
      <c r="CM16" s="2431">
        <f t="shared" si="61"/>
        <v>2.4222585924713602E-3</v>
      </c>
      <c r="CN16" s="2432">
        <f t="shared" si="61"/>
        <v>2.5143678160919558E-2</v>
      </c>
      <c r="CO16" s="2432">
        <f t="shared" si="61"/>
        <v>3.522966171879971E-2</v>
      </c>
      <c r="CP16" s="2432">
        <f t="shared" si="61"/>
        <v>-6.2769230769230688E-3</v>
      </c>
      <c r="CQ16" s="2431">
        <f t="shared" si="61"/>
        <v>4.5392618280901686E-2</v>
      </c>
      <c r="CR16" s="2432">
        <f t="shared" si="61"/>
        <v>2.4406137077187307E-2</v>
      </c>
      <c r="CS16" s="2432">
        <f t="shared" si="61"/>
        <v>2.5039033134794497E-2</v>
      </c>
      <c r="CT16" s="2432">
        <f t="shared" si="61"/>
        <v>2.9786753920794329E-2</v>
      </c>
      <c r="CU16" s="2431">
        <f t="shared" si="61"/>
        <v>1.0408677550126644E-3</v>
      </c>
      <c r="CV16" s="2432">
        <f t="shared" si="61"/>
        <v>1.6636567613418807E-2</v>
      </c>
      <c r="CW16" s="2432">
        <f t="shared" si="61"/>
        <v>2.4062012165581015E-2</v>
      </c>
      <c r="CX16" s="2432">
        <f t="shared" si="61"/>
        <v>5.0988225399495324E-2</v>
      </c>
      <c r="CY16" s="2431">
        <f t="shared" si="61"/>
        <v>-2.3557067120136055E-2</v>
      </c>
      <c r="CZ16" s="2432">
        <f t="shared" si="61"/>
        <v>2.3203401116631772E-2</v>
      </c>
      <c r="DA16" s="2432">
        <f t="shared" si="61"/>
        <v>2.1175410492591196E-2</v>
      </c>
      <c r="DB16" s="2432">
        <f t="shared" si="61"/>
        <v>3.5589979900975566E-2</v>
      </c>
      <c r="DC16" s="2431">
        <f t="shared" si="61"/>
        <v>-1.1644970414201206E-2</v>
      </c>
      <c r="DD16" s="2432">
        <f t="shared" si="61"/>
        <v>2.8928588533933652E-2</v>
      </c>
      <c r="DE16" s="2432">
        <f t="shared" si="61"/>
        <v>1.6385048643113187E-2</v>
      </c>
      <c r="DF16" s="2433">
        <f t="shared" si="61"/>
        <v>7.3918021525074318E-2</v>
      </c>
      <c r="DG16" s="2431">
        <f t="shared" si="61"/>
        <v>-4.7805876583223217E-2</v>
      </c>
      <c r="DH16" s="2432">
        <f t="shared" si="61"/>
        <v>1.2764242207094156E-2</v>
      </c>
      <c r="DI16" s="2432">
        <f t="shared" si="61"/>
        <v>1.7335161190465742E-2</v>
      </c>
      <c r="DJ16" s="2433">
        <f>DJ14/DI14-1</f>
        <v>3.1688763312323509E-2</v>
      </c>
      <c r="DK16" s="2431">
        <f>DK14/DJ14-1</f>
        <v>-7.289121092104156E-2</v>
      </c>
      <c r="DL16" s="2432">
        <f>DL14/DK14-1</f>
        <v>-1.3633884748227576E-2</v>
      </c>
      <c r="DM16" s="2432">
        <f>DM14/DL14-1</f>
        <v>1.8291559159602011E-2</v>
      </c>
      <c r="DN16" s="2433">
        <f>DN14/DM14-1</f>
        <v>5.7734944120175546E-2</v>
      </c>
      <c r="DO16" s="2432">
        <f t="shared" ref="DO16:DR16" si="62">DO14/DN14-1</f>
        <v>-0.10689994438978478</v>
      </c>
      <c r="DP16" s="2432">
        <f t="shared" si="62"/>
        <v>1.9350512501197459E-2</v>
      </c>
      <c r="DQ16" s="2432">
        <f t="shared" si="62"/>
        <v>1.4002443379381724E-2</v>
      </c>
      <c r="DR16" s="2433">
        <f t="shared" si="62"/>
        <v>0.10152919369786839</v>
      </c>
      <c r="DS16" s="2431">
        <f t="shared" ref="DS16" si="63">DS14/DR14-1</f>
        <v>-7.8709351731100941E-2</v>
      </c>
      <c r="DT16" s="2432">
        <f t="shared" ref="DT16" ca="1" si="64">DT14/DS14-1</f>
        <v>-9.2686201880672892E-3</v>
      </c>
      <c r="DU16" s="2432">
        <f t="shared" ref="DU16" ca="1" si="65">DU14/DT14-1</f>
        <v>1.382511638644468E-2</v>
      </c>
      <c r="DV16" s="2433">
        <f t="shared" ref="DV16" ca="1" si="66">DV14/DU14-1</f>
        <v>6.4079308204146201E-2</v>
      </c>
      <c r="DW16" s="1921"/>
      <c r="DX16"/>
      <c r="DY16"/>
      <c r="DZ16"/>
      <c r="EA16"/>
      <c r="EB16"/>
      <c r="EC16"/>
    </row>
    <row r="17" spans="1:133" s="821" customFormat="1" ht="15" hidden="1" customHeight="1" outlineLevel="1">
      <c r="A17" s="2439" t="s">
        <v>950</v>
      </c>
      <c r="H17" s="1030">
        <v>0.15521631069530603</v>
      </c>
      <c r="I17" s="1030">
        <v>0.17385524224583429</v>
      </c>
      <c r="J17" s="1030">
        <v>0.20440446324540501</v>
      </c>
      <c r="K17" s="1030">
        <v>0.24673059200421293</v>
      </c>
      <c r="L17" s="1030">
        <v>0.302624525473979</v>
      </c>
      <c r="M17" s="1030">
        <v>0.36333674536844357</v>
      </c>
      <c r="N17" s="821">
        <f t="shared" ref="N17:AA17" si="67">N14/N$30</f>
        <v>0.43614323474039562</v>
      </c>
      <c r="O17" s="821">
        <f t="shared" si="67"/>
        <v>0.47504194857916104</v>
      </c>
      <c r="P17" s="821">
        <f t="shared" si="67"/>
        <v>0.50807448298591085</v>
      </c>
      <c r="Q17" s="821">
        <f t="shared" si="67"/>
        <v>0.58903654809448014</v>
      </c>
      <c r="R17" s="821">
        <f t="shared" si="67"/>
        <v>0.60719552601842453</v>
      </c>
      <c r="S17" s="821">
        <f t="shared" si="67"/>
        <v>0.63273055242390075</v>
      </c>
      <c r="T17" s="821">
        <f t="shared" si="67"/>
        <v>0.65636003425931533</v>
      </c>
      <c r="U17" s="821">
        <f t="shared" si="67"/>
        <v>0.67546748255537681</v>
      </c>
      <c r="V17" s="821">
        <f t="shared" si="67"/>
        <v>0.69108915575250551</v>
      </c>
      <c r="W17" s="821">
        <f t="shared" si="67"/>
        <v>0.70838581064896733</v>
      </c>
      <c r="X17" s="821">
        <f t="shared" si="67"/>
        <v>0.71090032282491733</v>
      </c>
      <c r="Y17" s="821">
        <f t="shared" si="67"/>
        <v>0.69434438326165959</v>
      </c>
      <c r="Z17" s="821">
        <f t="shared" ref="Z17" ca="1" si="68">Z14/Z$30</f>
        <v>0.69021916722187893</v>
      </c>
      <c r="AA17" s="821">
        <f t="shared" ca="1" si="67"/>
        <v>0.69222534379236866</v>
      </c>
      <c r="AB17" s="821">
        <f t="shared" ref="AB17:AG17" ca="1" si="69">AB14/AB$30</f>
        <v>0.69539545078481035</v>
      </c>
      <c r="AC17" s="821">
        <f t="shared" ca="1" si="69"/>
        <v>0.69849384713214713</v>
      </c>
      <c r="AD17" s="821">
        <f t="shared" ca="1" si="69"/>
        <v>0.70152953836527043</v>
      </c>
      <c r="AE17" s="821">
        <f t="shared" ca="1" si="69"/>
        <v>0.70453917645765307</v>
      </c>
      <c r="AF17" s="821">
        <f t="shared" ca="1" si="69"/>
        <v>0.70756693621691569</v>
      </c>
      <c r="AG17" s="821">
        <f t="shared" ca="1" si="69"/>
        <v>0.71065613733107569</v>
      </c>
      <c r="AH17" s="1921"/>
      <c r="AI17" s="1161"/>
      <c r="AJ17" s="1921"/>
      <c r="AK17" s="1921"/>
      <c r="AL17" s="1921"/>
      <c r="AM17" s="1921"/>
      <c r="AN17" s="1921"/>
      <c r="AO17" s="1921"/>
      <c r="AP17" s="1921"/>
      <c r="AQ17" s="1921"/>
      <c r="AR17" s="1921"/>
      <c r="AS17" s="1921"/>
      <c r="AT17" s="1921"/>
      <c r="AU17" s="1921"/>
      <c r="AV17" s="1921"/>
      <c r="AW17" s="1921"/>
      <c r="AX17" s="1921"/>
      <c r="AY17" s="1921"/>
      <c r="AZ17" s="1921"/>
      <c r="BA17" s="1921"/>
      <c r="BB17" s="1921"/>
      <c r="BC17" s="1921"/>
      <c r="BD17" s="1921"/>
      <c r="BE17" s="1921"/>
      <c r="BF17" s="1921"/>
      <c r="BG17" s="2428">
        <v>0.18606409341005503</v>
      </c>
      <c r="BH17" s="2429">
        <v>0.20181128896377423</v>
      </c>
      <c r="BI17" s="2429">
        <v>0.20854240099523119</v>
      </c>
      <c r="BJ17" s="2429">
        <v>0.22128542981824345</v>
      </c>
      <c r="BK17" s="2429">
        <v>0.22218339085230002</v>
      </c>
      <c r="BL17" s="2429">
        <v>0.24031415909788953</v>
      </c>
      <c r="BM17" s="2429">
        <v>0.25969144705213931</v>
      </c>
      <c r="BN17" s="2429">
        <v>0.26495461589550584</v>
      </c>
      <c r="BO17" s="2429">
        <v>0.27582811101163834</v>
      </c>
      <c r="BP17" s="2429">
        <v>0.29967612044817926</v>
      </c>
      <c r="BQ17" s="2429">
        <v>0.31604201789651148</v>
      </c>
      <c r="BR17" s="2429">
        <v>0.31802824222472492</v>
      </c>
      <c r="BS17" s="2429">
        <v>0.34043139054612209</v>
      </c>
      <c r="BT17" s="2429">
        <v>0.35393359797906893</v>
      </c>
      <c r="BU17" s="2429">
        <v>0.3719159169858377</v>
      </c>
      <c r="BV17" s="2430">
        <v>0.3843532899685827</v>
      </c>
      <c r="BW17" s="2431">
        <f t="shared" ref="BW17:DJ17" si="70">BW14/BW$30</f>
        <v>0.41633732239702398</v>
      </c>
      <c r="BX17" s="2432">
        <f t="shared" si="70"/>
        <v>0.42913404068016492</v>
      </c>
      <c r="BY17" s="2432">
        <f t="shared" si="70"/>
        <v>0.44531179496435341</v>
      </c>
      <c r="BZ17" s="2432">
        <f t="shared" si="70"/>
        <v>0.45260610406489493</v>
      </c>
      <c r="CA17" s="2431">
        <f t="shared" si="70"/>
        <v>0.46196943211868585</v>
      </c>
      <c r="CB17" s="2432">
        <f t="shared" si="70"/>
        <v>0.47143478260869565</v>
      </c>
      <c r="CC17" s="2432">
        <f t="shared" si="70"/>
        <v>0.48052611416166519</v>
      </c>
      <c r="CD17" s="2432">
        <f t="shared" si="70"/>
        <v>0.48546943277756566</v>
      </c>
      <c r="CE17" s="2431">
        <f t="shared" si="70"/>
        <v>0.49497348886532344</v>
      </c>
      <c r="CF17" s="2432">
        <f t="shared" si="70"/>
        <v>0.50232133974465265</v>
      </c>
      <c r="CG17" s="2432">
        <f t="shared" si="70"/>
        <v>0.5130494505494505</v>
      </c>
      <c r="CH17" s="2432">
        <f t="shared" si="70"/>
        <v>0.52124163116250766</v>
      </c>
      <c r="CI17" s="2431">
        <f t="shared" si="70"/>
        <v>0.58374726803099541</v>
      </c>
      <c r="CJ17" s="2432">
        <f t="shared" si="70"/>
        <v>0.58911841950531141</v>
      </c>
      <c r="CK17" s="2432">
        <f t="shared" si="70"/>
        <v>0.5911544690367857</v>
      </c>
      <c r="CL17" s="2432">
        <f t="shared" si="70"/>
        <v>0.59198542805100185</v>
      </c>
      <c r="CM17" s="2431">
        <f t="shared" si="70"/>
        <v>0.59730836746635463</v>
      </c>
      <c r="CN17" s="2432">
        <f t="shared" si="70"/>
        <v>0.60578110527940721</v>
      </c>
      <c r="CO17" s="2432">
        <f t="shared" si="70"/>
        <v>0.61357800936414442</v>
      </c>
      <c r="CP17" s="2432">
        <f t="shared" si="70"/>
        <v>0.61178253457094145</v>
      </c>
      <c r="CQ17" s="2431">
        <f t="shared" si="70"/>
        <v>0.62545387180437195</v>
      </c>
      <c r="CR17" s="2432">
        <f t="shared" si="70"/>
        <v>0.62801423590935501</v>
      </c>
      <c r="CS17" s="2432">
        <f t="shared" si="70"/>
        <v>0.63504460287321318</v>
      </c>
      <c r="CT17" s="2432">
        <f t="shared" si="70"/>
        <v>0.64193276128850751</v>
      </c>
      <c r="CU17" s="2431">
        <f t="shared" si="70"/>
        <v>0.64701508391756957</v>
      </c>
      <c r="CV17" s="2432">
        <f t="shared" si="70"/>
        <v>0.65125328659070991</v>
      </c>
      <c r="CW17" s="2432">
        <f t="shared" si="70"/>
        <v>0.6558416933843555</v>
      </c>
      <c r="CX17" s="2432">
        <f t="shared" si="70"/>
        <v>0.67060204595002515</v>
      </c>
      <c r="CY17" s="2431">
        <f t="shared" si="70"/>
        <v>0.66768125854993166</v>
      </c>
      <c r="CZ17" s="2432">
        <f t="shared" si="70"/>
        <v>0.67356779175236869</v>
      </c>
      <c r="DA17" s="2432">
        <f t="shared" si="70"/>
        <v>0.67721266848150852</v>
      </c>
      <c r="DB17" s="2432">
        <f t="shared" si="70"/>
        <v>0.68294969610759082</v>
      </c>
      <c r="DC17" s="2431">
        <f t="shared" si="70"/>
        <v>0.68031932225480618</v>
      </c>
      <c r="DD17" s="2432">
        <f t="shared" si="70"/>
        <v>0.68515388295327695</v>
      </c>
      <c r="DE17" s="2432">
        <f t="shared" si="70"/>
        <v>0.69128727917431776</v>
      </c>
      <c r="DF17" s="2433">
        <f t="shared" si="70"/>
        <v>0.70646541335261503</v>
      </c>
      <c r="DG17" s="2431">
        <f t="shared" si="70"/>
        <v>0.71042667599987275</v>
      </c>
      <c r="DH17" s="2432">
        <f>DH14/DH$30</f>
        <v>0.71386179246772108</v>
      </c>
      <c r="DI17" s="2432">
        <f>DI14/DI$30</f>
        <v>0.70537192616667688</v>
      </c>
      <c r="DJ17" s="2433">
        <f t="shared" si="70"/>
        <v>0.70425209934423316</v>
      </c>
      <c r="DK17" s="2431">
        <f t="shared" ref="DK17" si="71">DK14/DK$30</f>
        <v>0.69531694368956587</v>
      </c>
      <c r="DL17" s="2432">
        <f>DL14/DL$30</f>
        <v>0.71086073627669333</v>
      </c>
      <c r="DM17" s="2432">
        <f>DM14/DM$30</f>
        <v>0.71438730322914312</v>
      </c>
      <c r="DN17" s="2433">
        <f>DN14/DN$30</f>
        <v>0.72285095856524428</v>
      </c>
      <c r="DO17" s="2432">
        <f t="shared" ref="DO17" si="72">DO14/DO$30</f>
        <v>0.70027503857248274</v>
      </c>
      <c r="DP17" s="2432">
        <f t="shared" ref="DP17:DQ17" si="73">DP14/DP$30</f>
        <v>0.69667408668325259</v>
      </c>
      <c r="DQ17" s="2432">
        <f t="shared" si="73"/>
        <v>0.68039221868398647</v>
      </c>
      <c r="DR17" s="2433">
        <f t="shared" ref="DR17" si="74">DR14/DR$30</f>
        <v>0.70007362685907815</v>
      </c>
      <c r="DS17" s="2431">
        <f t="shared" ref="DS17:DV17" si="75">DS14/DS$30</f>
        <v>0.6892861639179152</v>
      </c>
      <c r="DT17" s="2432">
        <f t="shared" ca="1" si="75"/>
        <v>0.68761428241781375</v>
      </c>
      <c r="DU17" s="2432">
        <f t="shared" ca="1" si="75"/>
        <v>0.68576937251291459</v>
      </c>
      <c r="DV17" s="2433">
        <f t="shared" ca="1" si="75"/>
        <v>0.69780858697918124</v>
      </c>
      <c r="DW17" s="1921"/>
      <c r="DX17"/>
      <c r="DY17"/>
      <c r="DZ17"/>
      <c r="EA17"/>
      <c r="EB17"/>
      <c r="EC17"/>
    </row>
    <row r="18" spans="1:133" s="820" customFormat="1" ht="15" hidden="1" customHeight="1" outlineLevel="1">
      <c r="A18" s="1143" t="s">
        <v>955</v>
      </c>
      <c r="H18" s="1154">
        <v>34260</v>
      </c>
      <c r="I18" s="1154">
        <v>33084</v>
      </c>
      <c r="J18" s="1154">
        <v>28449</v>
      </c>
      <c r="K18" s="1154">
        <v>23892</v>
      </c>
      <c r="L18" s="1154">
        <v>20161</v>
      </c>
      <c r="M18" s="1154">
        <v>-652</v>
      </c>
      <c r="N18" s="820">
        <f>SUM(BW18:BZ18)</f>
        <v>-177.09786784569405</v>
      </c>
      <c r="O18" s="820">
        <f>SUM(CA18:CD18)</f>
        <v>-636</v>
      </c>
      <c r="P18" s="820">
        <f>SUM(CE18:CH18)</f>
        <v>-450</v>
      </c>
      <c r="Q18" s="820">
        <f>SUM(CI18:CL18)</f>
        <v>-265</v>
      </c>
      <c r="R18" s="820">
        <f>SUM(CM18:CP18)</f>
        <v>-208</v>
      </c>
      <c r="S18" s="820">
        <f>Other!S11</f>
        <v>39</v>
      </c>
      <c r="T18" s="820">
        <f>Other!T11</f>
        <v>198</v>
      </c>
      <c r="U18" s="820">
        <f>Other!U11</f>
        <v>304</v>
      </c>
      <c r="V18" s="820">
        <f>Other!V11</f>
        <v>748</v>
      </c>
      <c r="W18" s="820">
        <f>Other!W11</f>
        <v>2220</v>
      </c>
      <c r="X18" s="820">
        <f>Other!X11</f>
        <v>4082</v>
      </c>
      <c r="Y18" s="3020">
        <f>Other!Y11</f>
        <v>7566</v>
      </c>
      <c r="Z18" s="3020">
        <f>Other!Z11</f>
        <v>9823.26</v>
      </c>
      <c r="AA18" s="2182">
        <f>Other!AA11</f>
        <v>10019.725200000001</v>
      </c>
      <c r="AB18" s="2182">
        <f>Other!AB11</f>
        <v>10220.119704000001</v>
      </c>
      <c r="AC18" s="2182">
        <f>Other!AC11</f>
        <v>10424.52209808</v>
      </c>
      <c r="AD18" s="2182">
        <f>Other!AD11</f>
        <v>10633.0125400416</v>
      </c>
      <c r="AE18" s="2182">
        <f>Other!AE11</f>
        <v>10845.672790842433</v>
      </c>
      <c r="AF18" s="2182">
        <f>Other!AF11</f>
        <v>11062.586246659281</v>
      </c>
      <c r="AG18" s="2182">
        <f>Other!AG11</f>
        <v>11283.837971592466</v>
      </c>
      <c r="AH18" s="1923"/>
      <c r="AI18" s="1161">
        <f>(AA18/V18)^(1/5)-1</f>
        <v>0.68031553499302544</v>
      </c>
      <c r="AJ18" s="1923"/>
      <c r="AK18" s="1923"/>
      <c r="AL18" s="1923"/>
      <c r="AM18" s="1923"/>
      <c r="AN18" s="1923"/>
      <c r="AO18" s="1923"/>
      <c r="AP18" s="1923"/>
      <c r="AQ18" s="1923"/>
      <c r="AR18" s="1923"/>
      <c r="AS18" s="1923"/>
      <c r="AT18" s="1923"/>
      <c r="AU18" s="1923"/>
      <c r="AV18" s="1923"/>
      <c r="AW18" s="1923"/>
      <c r="AX18" s="1923"/>
      <c r="AY18" s="1923"/>
      <c r="AZ18" s="1923"/>
      <c r="BA18" s="1923"/>
      <c r="BB18" s="1923"/>
      <c r="BC18" s="1923"/>
      <c r="BD18" s="1923"/>
      <c r="BE18" s="1923"/>
      <c r="BF18" s="1923"/>
      <c r="BG18" s="1181">
        <v>7763</v>
      </c>
      <c r="BH18" s="1182">
        <v>7189</v>
      </c>
      <c r="BI18" s="1182">
        <v>7106</v>
      </c>
      <c r="BJ18" s="1182">
        <v>6391</v>
      </c>
      <c r="BK18" s="1182">
        <v>6530</v>
      </c>
      <c r="BL18" s="1182">
        <v>6063</v>
      </c>
      <c r="BM18" s="1182">
        <v>5854</v>
      </c>
      <c r="BN18" s="1182">
        <v>5445</v>
      </c>
      <c r="BO18" s="1182">
        <v>5326</v>
      </c>
      <c r="BP18" s="1182">
        <v>5114</v>
      </c>
      <c r="BQ18" s="1182">
        <v>4928</v>
      </c>
      <c r="BR18" s="1182">
        <v>4793</v>
      </c>
      <c r="BS18" s="1182">
        <v>-153</v>
      </c>
      <c r="BT18" s="1182">
        <v>-182</v>
      </c>
      <c r="BU18" s="1182">
        <v>-187</v>
      </c>
      <c r="BV18" s="1183">
        <v>-130</v>
      </c>
      <c r="BW18" s="1179">
        <f>Other!BZ11</f>
        <v>356.90213215430595</v>
      </c>
      <c r="BX18" s="985">
        <f>Other!CA11</f>
        <v>-136</v>
      </c>
      <c r="BY18" s="985">
        <f>Other!CB11</f>
        <v>-190</v>
      </c>
      <c r="BZ18" s="985">
        <f>Other!CC11</f>
        <v>-208</v>
      </c>
      <c r="CA18" s="1179">
        <f>Other!CD11</f>
        <v>-174</v>
      </c>
      <c r="CB18" s="985">
        <f>Other!CE11</f>
        <v>-173</v>
      </c>
      <c r="CC18" s="985">
        <f>Other!CF11</f>
        <v>-168</v>
      </c>
      <c r="CD18" s="985">
        <f>Other!CG11</f>
        <v>-121</v>
      </c>
      <c r="CE18" s="1179">
        <f>Other!CH11</f>
        <v>-120</v>
      </c>
      <c r="CF18" s="985">
        <f>Other!CI11</f>
        <v>-107</v>
      </c>
      <c r="CG18" s="985">
        <f>Other!CJ11</f>
        <v>-105</v>
      </c>
      <c r="CH18" s="985">
        <f>Other!CK11</f>
        <v>-118</v>
      </c>
      <c r="CI18" s="1179">
        <f>Other!CL11</f>
        <v>-67</v>
      </c>
      <c r="CJ18" s="985">
        <f>Other!CM11</f>
        <v>-81</v>
      </c>
      <c r="CK18" s="985">
        <f>Other!CN11</f>
        <v>-64</v>
      </c>
      <c r="CL18" s="985">
        <f>Other!CO11</f>
        <v>-53</v>
      </c>
      <c r="CM18" s="1179">
        <f>Other!CP11</f>
        <v>-52</v>
      </c>
      <c r="CN18" s="985">
        <f>Other!CQ11</f>
        <v>-62</v>
      </c>
      <c r="CO18" s="985">
        <f>Other!CR11</f>
        <v>-52</v>
      </c>
      <c r="CP18" s="985">
        <f>Other!CS11</f>
        <v>-42</v>
      </c>
      <c r="CQ18" s="1179">
        <f>Other!CT11</f>
        <v>-38</v>
      </c>
      <c r="CR18" s="985">
        <f>Other!CU11</f>
        <v>-4</v>
      </c>
      <c r="CS18" s="985">
        <f>Other!CV11</f>
        <v>38</v>
      </c>
      <c r="CT18" s="985">
        <f>Other!CW11</f>
        <v>43</v>
      </c>
      <c r="CU18" s="1179">
        <f>Other!CX11</f>
        <v>24</v>
      </c>
      <c r="CV18" s="985">
        <f>Other!CY11</f>
        <v>44</v>
      </c>
      <c r="CW18" s="985">
        <f>Other!CZ11</f>
        <v>69</v>
      </c>
      <c r="CX18" s="985">
        <f>Other!DA11</f>
        <v>61</v>
      </c>
      <c r="CY18" s="1179">
        <f>Other!DB11</f>
        <v>67</v>
      </c>
      <c r="CZ18" s="985">
        <f>Other!DC11</f>
        <v>76</v>
      </c>
      <c r="DA18" s="985">
        <f>Other!DD11</f>
        <v>66</v>
      </c>
      <c r="DB18" s="985">
        <f>Other!DE11</f>
        <v>95</v>
      </c>
      <c r="DC18" s="1179">
        <f>Other!DF11</f>
        <v>149</v>
      </c>
      <c r="DD18" s="985">
        <f>Other!DG11</f>
        <v>241</v>
      </c>
      <c r="DE18" s="985">
        <f>Other!DH11</f>
        <v>175</v>
      </c>
      <c r="DF18" s="1180">
        <f>Other!DI11</f>
        <v>183</v>
      </c>
      <c r="DG18" s="2969">
        <f>Other!DJ11</f>
        <v>187</v>
      </c>
      <c r="DH18" s="2970">
        <f>Other!DK11</f>
        <v>188</v>
      </c>
      <c r="DI18" s="2970">
        <f>Other!DL11</f>
        <v>798</v>
      </c>
      <c r="DJ18" s="2971">
        <f>Other!DM11</f>
        <v>1047</v>
      </c>
      <c r="DK18" s="2969">
        <f>Other!DN11</f>
        <v>877</v>
      </c>
      <c r="DL18" s="2970">
        <f>Other!DO11</f>
        <v>1005</v>
      </c>
      <c r="DM18" s="2970">
        <f>Other!DP11</f>
        <v>1049</v>
      </c>
      <c r="DN18" s="2971">
        <f>Other!DQ11</f>
        <v>1151</v>
      </c>
      <c r="DO18" s="2970">
        <f>Other!DR11</f>
        <v>1060</v>
      </c>
      <c r="DP18" s="2970">
        <f>Other!DS11</f>
        <v>1464</v>
      </c>
      <c r="DQ18" s="2970">
        <f>Other!DT11</f>
        <v>2475</v>
      </c>
      <c r="DR18" s="2971">
        <f>Other!DU11</f>
        <v>2567</v>
      </c>
      <c r="DS18" s="2969">
        <f>Other!DV11</f>
        <v>2315</v>
      </c>
      <c r="DT18" s="2970">
        <f>Other!DW11</f>
        <v>2315</v>
      </c>
      <c r="DU18" s="2970">
        <f>Other!DX11</f>
        <v>2549.25</v>
      </c>
      <c r="DV18" s="2971">
        <f>Other!DY11</f>
        <v>2644.01</v>
      </c>
      <c r="DW18" s="1923"/>
      <c r="DX18"/>
      <c r="DY18"/>
      <c r="DZ18"/>
      <c r="EA18"/>
      <c r="EB18"/>
      <c r="EC18"/>
    </row>
    <row r="19" spans="1:133" s="821" customFormat="1" ht="15" hidden="1" customHeight="1" outlineLevel="1">
      <c r="A19" s="2439" t="s">
        <v>945</v>
      </c>
      <c r="H19" s="1030"/>
      <c r="I19" s="1030">
        <v>-3.4325744308231203E-2</v>
      </c>
      <c r="J19" s="1030">
        <v>-0.14009793253536451</v>
      </c>
      <c r="K19" s="1030">
        <v>-0.16018137720130765</v>
      </c>
      <c r="L19" s="1030">
        <v>-0.15616105809475977</v>
      </c>
      <c r="M19" s="1030">
        <v>-1.0323396656911858</v>
      </c>
      <c r="N19" s="821">
        <f>N18/M18-1</f>
        <v>-0.72837750330415019</v>
      </c>
      <c r="O19" s="821">
        <f t="shared" ref="O19:AB19" si="76">O18/N18-1</f>
        <v>2.5912346531136605</v>
      </c>
      <c r="P19" s="821">
        <f t="shared" si="76"/>
        <v>-0.29245283018867929</v>
      </c>
      <c r="Q19" s="821">
        <f t="shared" si="76"/>
        <v>-0.41111111111111109</v>
      </c>
      <c r="R19" s="821">
        <f t="shared" si="76"/>
        <v>-0.21509433962264146</v>
      </c>
      <c r="S19" s="821">
        <f t="shared" si="76"/>
        <v>-1.1875</v>
      </c>
      <c r="T19" s="821">
        <f t="shared" si="76"/>
        <v>4.0769230769230766</v>
      </c>
      <c r="U19" s="821">
        <f t="shared" si="76"/>
        <v>0.53535353535353525</v>
      </c>
      <c r="V19" s="821">
        <f t="shared" si="76"/>
        <v>1.4605263157894739</v>
      </c>
      <c r="W19" s="821">
        <f>W18/V18-1</f>
        <v>1.9679144385026737</v>
      </c>
      <c r="X19" s="821">
        <f t="shared" si="76"/>
        <v>0.83873873873873883</v>
      </c>
      <c r="Y19" s="821">
        <f t="shared" si="76"/>
        <v>0.85350318471337583</v>
      </c>
      <c r="Z19" s="821">
        <f t="shared" si="76"/>
        <v>0.29834258524980184</v>
      </c>
      <c r="AA19" s="821">
        <f t="shared" si="76"/>
        <v>2.0000000000000018E-2</v>
      </c>
      <c r="AB19" s="821">
        <f t="shared" si="76"/>
        <v>2.0000000000000018E-2</v>
      </c>
      <c r="AC19" s="821">
        <f t="shared" ref="AC19" si="77">AC18/AB18-1</f>
        <v>2.0000000000000018E-2</v>
      </c>
      <c r="AD19" s="821">
        <f t="shared" ref="AD19" si="78">AD18/AC18-1</f>
        <v>2.0000000000000018E-2</v>
      </c>
      <c r="AE19" s="821">
        <f t="shared" ref="AE19" si="79">AE18/AD18-1</f>
        <v>2.0000000000000018E-2</v>
      </c>
      <c r="AF19" s="821">
        <f t="shared" ref="AF19" si="80">AF18/AE18-1</f>
        <v>2.0000000000000018E-2</v>
      </c>
      <c r="AG19" s="821">
        <f t="shared" ref="AG19" si="81">AG18/AF18-1</f>
        <v>2.0000000000000018E-2</v>
      </c>
      <c r="AH19" s="1921"/>
      <c r="AI19" s="1161"/>
      <c r="AJ19" s="1921"/>
      <c r="AK19" s="1921"/>
      <c r="AL19" s="1921"/>
      <c r="AM19" s="1921"/>
      <c r="AN19" s="1921"/>
      <c r="AO19" s="1921"/>
      <c r="AP19" s="1921"/>
      <c r="AQ19" s="1921"/>
      <c r="AR19" s="1921"/>
      <c r="AS19" s="1921"/>
      <c r="AT19" s="1921"/>
      <c r="AU19" s="1921"/>
      <c r="AV19" s="1921"/>
      <c r="AW19" s="1921"/>
      <c r="AX19" s="1921"/>
      <c r="AY19" s="1921"/>
      <c r="AZ19" s="1921"/>
      <c r="BA19" s="1921"/>
      <c r="BB19" s="1921"/>
      <c r="BC19" s="1921"/>
      <c r="BD19" s="1921"/>
      <c r="BE19" s="1921"/>
      <c r="BF19" s="1921"/>
      <c r="BG19" s="2428"/>
      <c r="BH19" s="2429"/>
      <c r="BI19" s="2429"/>
      <c r="BJ19" s="2429"/>
      <c r="BK19" s="2429">
        <v>-0.1588303490918459</v>
      </c>
      <c r="BL19" s="2429">
        <v>-0.15662818194463768</v>
      </c>
      <c r="BM19" s="2429">
        <v>-0.17618913594145791</v>
      </c>
      <c r="BN19" s="2429">
        <v>-0.1480206540447504</v>
      </c>
      <c r="BO19" s="2429">
        <v>-0.18437978560490043</v>
      </c>
      <c r="BP19" s="2429">
        <v>-0.1565231733465281</v>
      </c>
      <c r="BQ19" s="2429">
        <v>-0.15818243935770415</v>
      </c>
      <c r="BR19" s="2429">
        <v>-0.11974288337924699</v>
      </c>
      <c r="BS19" s="2429">
        <v>-1.0287269996244837</v>
      </c>
      <c r="BT19" s="2429">
        <v>-1.0355885803676184</v>
      </c>
      <c r="BU19" s="2429">
        <v>-1.0379464285714286</v>
      </c>
      <c r="BV19" s="2430">
        <v>-1.0271228875443355</v>
      </c>
      <c r="BW19" s="2431">
        <f t="shared" ref="BW19:DI19" si="82">BW18/BS18-1</f>
        <v>-3.3326936742111499</v>
      </c>
      <c r="BX19" s="2432">
        <f t="shared" si="82"/>
        <v>-0.25274725274725274</v>
      </c>
      <c r="BY19" s="2432">
        <f t="shared" si="82"/>
        <v>1.6042780748663166E-2</v>
      </c>
      <c r="BZ19" s="2432">
        <f t="shared" si="82"/>
        <v>0.60000000000000009</v>
      </c>
      <c r="CA19" s="2431">
        <f t="shared" si="82"/>
        <v>-1.4875286088926234</v>
      </c>
      <c r="CB19" s="2432">
        <f t="shared" si="82"/>
        <v>0.27205882352941169</v>
      </c>
      <c r="CC19" s="2432">
        <f t="shared" si="82"/>
        <v>-0.11578947368421055</v>
      </c>
      <c r="CD19" s="2432">
        <f t="shared" si="82"/>
        <v>-0.41826923076923073</v>
      </c>
      <c r="CE19" s="2431">
        <f t="shared" si="82"/>
        <v>-0.31034482758620685</v>
      </c>
      <c r="CF19" s="2432">
        <f t="shared" si="82"/>
        <v>-0.38150289017341044</v>
      </c>
      <c r="CG19" s="2432">
        <f t="shared" si="82"/>
        <v>-0.375</v>
      </c>
      <c r="CH19" s="2432">
        <f t="shared" si="82"/>
        <v>-2.4793388429752095E-2</v>
      </c>
      <c r="CI19" s="2431">
        <f t="shared" si="82"/>
        <v>-0.44166666666666665</v>
      </c>
      <c r="CJ19" s="2432">
        <f t="shared" si="82"/>
        <v>-0.2429906542056075</v>
      </c>
      <c r="CK19" s="2432">
        <f t="shared" si="82"/>
        <v>-0.39047619047619042</v>
      </c>
      <c r="CL19" s="2432">
        <f t="shared" si="82"/>
        <v>-0.55084745762711862</v>
      </c>
      <c r="CM19" s="2431">
        <f t="shared" si="82"/>
        <v>-0.22388059701492535</v>
      </c>
      <c r="CN19" s="2432">
        <f t="shared" si="82"/>
        <v>-0.23456790123456794</v>
      </c>
      <c r="CO19" s="2432">
        <f t="shared" si="82"/>
        <v>-0.1875</v>
      </c>
      <c r="CP19" s="2432">
        <f t="shared" si="82"/>
        <v>-0.20754716981132071</v>
      </c>
      <c r="CQ19" s="2431">
        <f t="shared" si="82"/>
        <v>-0.26923076923076927</v>
      </c>
      <c r="CR19" s="2432">
        <f t="shared" si="82"/>
        <v>-0.93548387096774199</v>
      </c>
      <c r="CS19" s="2432">
        <f t="shared" si="82"/>
        <v>-1.7307692307692308</v>
      </c>
      <c r="CT19" s="2432">
        <f t="shared" si="82"/>
        <v>-2.0238095238095237</v>
      </c>
      <c r="CU19" s="2431">
        <f t="shared" si="82"/>
        <v>-1.631578947368421</v>
      </c>
      <c r="CV19" s="2432">
        <f t="shared" si="82"/>
        <v>-12</v>
      </c>
      <c r="CW19" s="2432">
        <f t="shared" si="82"/>
        <v>0.81578947368421062</v>
      </c>
      <c r="CX19" s="2432">
        <f t="shared" si="82"/>
        <v>0.41860465116279078</v>
      </c>
      <c r="CY19" s="2431">
        <f t="shared" si="82"/>
        <v>1.7916666666666665</v>
      </c>
      <c r="CZ19" s="2432">
        <f t="shared" si="82"/>
        <v>0.72727272727272729</v>
      </c>
      <c r="DA19" s="2432">
        <f t="shared" si="82"/>
        <v>-4.3478260869565188E-2</v>
      </c>
      <c r="DB19" s="2432">
        <f t="shared" si="82"/>
        <v>0.55737704918032782</v>
      </c>
      <c r="DC19" s="2431">
        <f t="shared" si="82"/>
        <v>1.2238805970149254</v>
      </c>
      <c r="DD19" s="2432">
        <f t="shared" si="82"/>
        <v>2.1710526315789473</v>
      </c>
      <c r="DE19" s="2432">
        <f t="shared" si="82"/>
        <v>1.6515151515151514</v>
      </c>
      <c r="DF19" s="2433">
        <f t="shared" si="82"/>
        <v>0.9263157894736842</v>
      </c>
      <c r="DG19" s="2431">
        <f t="shared" si="82"/>
        <v>0.25503355704697994</v>
      </c>
      <c r="DH19" s="2432">
        <f t="shared" si="82"/>
        <v>-0.21991701244813278</v>
      </c>
      <c r="DI19" s="2432">
        <f t="shared" si="82"/>
        <v>3.5599999999999996</v>
      </c>
      <c r="DJ19" s="2433">
        <f>DJ18/DF18-1</f>
        <v>4.721311475409836</v>
      </c>
      <c r="DK19" s="2431">
        <f>DK18/DG18-1</f>
        <v>3.689839572192513</v>
      </c>
      <c r="DL19" s="2432">
        <f>DL18/DH18-1</f>
        <v>4.3457446808510642</v>
      </c>
      <c r="DM19" s="2432">
        <f>DM18/DI18-1</f>
        <v>0.31453634085213023</v>
      </c>
      <c r="DN19" s="2433">
        <f>DN18/DJ18-1</f>
        <v>9.9331423113658168E-2</v>
      </c>
      <c r="DO19" s="2432">
        <f t="shared" ref="DO19:DR19" si="83">DO18/DK18-1</f>
        <v>0.20866590649942984</v>
      </c>
      <c r="DP19" s="2432">
        <f t="shared" si="83"/>
        <v>0.4567164179104477</v>
      </c>
      <c r="DQ19" s="2432">
        <f t="shared" si="83"/>
        <v>1.3593898951382268</v>
      </c>
      <c r="DR19" s="2433">
        <f t="shared" si="83"/>
        <v>1.2302345786272806</v>
      </c>
      <c r="DS19" s="2431">
        <f t="shared" ref="DS19" si="84">DS18/DO18-1</f>
        <v>1.1839622641509435</v>
      </c>
      <c r="DT19" s="2432">
        <f t="shared" ref="DT19" si="85">DT18/DP18-1</f>
        <v>0.58128415300546443</v>
      </c>
      <c r="DU19" s="2432">
        <f t="shared" ref="DU19" si="86">DU18/DQ18-1</f>
        <v>3.0000000000000027E-2</v>
      </c>
      <c r="DV19" s="2433">
        <f t="shared" ref="DV19" si="87">DV18/DR18-1</f>
        <v>3.0000000000000027E-2</v>
      </c>
      <c r="DW19" s="1921"/>
      <c r="DX19"/>
      <c r="DY19"/>
      <c r="DZ19"/>
      <c r="EA19"/>
      <c r="EB19"/>
      <c r="EC19"/>
    </row>
    <row r="20" spans="1:133" s="821" customFormat="1" collapsed="1">
      <c r="A20"/>
      <c r="B20" s="1921"/>
      <c r="C20" s="1921"/>
      <c r="D20" s="1921"/>
      <c r="E20" s="1921"/>
      <c r="F20" s="1921"/>
      <c r="G20" s="1921"/>
      <c r="H20" s="1958"/>
      <c r="I20" s="1958"/>
      <c r="J20" s="1958"/>
      <c r="K20" s="1958"/>
      <c r="L20" s="1958"/>
      <c r="M20" s="1958"/>
      <c r="N20" s="1921"/>
      <c r="O20" s="1921"/>
      <c r="P20" s="1921"/>
      <c r="Q20" s="1921"/>
      <c r="R20" s="1921"/>
      <c r="S20" s="1921"/>
      <c r="T20" s="1921"/>
      <c r="U20" s="1921"/>
      <c r="V20" s="1921"/>
      <c r="W20" s="1921"/>
      <c r="X20" s="1921"/>
      <c r="Y20" s="1921"/>
      <c r="Z20" s="1921"/>
      <c r="AA20" s="1921"/>
      <c r="AB20" s="1921"/>
      <c r="AC20" s="1921"/>
      <c r="AD20" s="1921"/>
      <c r="AE20" s="1921"/>
      <c r="AF20" s="1921"/>
      <c r="AG20" s="1921"/>
      <c r="AH20" s="1921"/>
      <c r="AI20" s="2386"/>
      <c r="AJ20" s="1921"/>
      <c r="AK20" s="1921"/>
      <c r="AL20" s="1921"/>
      <c r="AM20" s="1921"/>
      <c r="AN20" s="1921"/>
      <c r="AO20" s="1921"/>
      <c r="AP20" s="1921"/>
      <c r="AQ20" s="1921"/>
      <c r="AR20" s="1921"/>
      <c r="AS20" s="1921"/>
      <c r="AT20" s="1921"/>
      <c r="AU20" s="1921"/>
      <c r="AV20" s="1921"/>
      <c r="AW20" s="1921"/>
      <c r="AX20" s="1921"/>
      <c r="AY20" s="1921"/>
      <c r="AZ20" s="1921"/>
      <c r="BA20" s="1921"/>
      <c r="BB20" s="1921"/>
      <c r="BC20" s="1921"/>
      <c r="BD20" s="1921"/>
      <c r="BE20" s="1921"/>
      <c r="BF20" s="1921"/>
      <c r="BG20" s="2397"/>
      <c r="BH20" s="2398"/>
      <c r="BI20" s="2398"/>
      <c r="BJ20" s="2398"/>
      <c r="BK20" s="2398"/>
      <c r="BL20" s="2398"/>
      <c r="BM20" s="2398"/>
      <c r="BN20" s="2398"/>
      <c r="BO20" s="2398"/>
      <c r="BP20" s="2398"/>
      <c r="BQ20" s="2398"/>
      <c r="BR20" s="2398"/>
      <c r="BS20" s="2398"/>
      <c r="BT20" s="2398"/>
      <c r="BU20" s="2398"/>
      <c r="BV20" s="2399"/>
      <c r="BW20" s="2400"/>
      <c r="BX20" s="2401"/>
      <c r="BY20" s="2401"/>
      <c r="BZ20" s="2401"/>
      <c r="CA20" s="2400"/>
      <c r="CB20" s="2401"/>
      <c r="CC20" s="2401"/>
      <c r="CD20" s="2401"/>
      <c r="CE20" s="2400"/>
      <c r="CF20" s="2401"/>
      <c r="CG20" s="2401"/>
      <c r="CH20" s="2401"/>
      <c r="CI20" s="2400"/>
      <c r="CJ20" s="2401"/>
      <c r="CK20" s="2401"/>
      <c r="CL20" s="2401"/>
      <c r="CM20" s="2400"/>
      <c r="CN20" s="2401"/>
      <c r="CO20" s="2401"/>
      <c r="CP20" s="2401"/>
      <c r="CQ20" s="2400"/>
      <c r="CR20" s="2401"/>
      <c r="CS20" s="2401"/>
      <c r="CT20" s="2401"/>
      <c r="CU20" s="2400"/>
      <c r="CV20" s="2401"/>
      <c r="CW20" s="2401"/>
      <c r="CX20" s="2401"/>
      <c r="CY20" s="2400"/>
      <c r="CZ20" s="2401"/>
      <c r="DA20" s="2401"/>
      <c r="DB20" s="2401"/>
      <c r="DC20" s="2400"/>
      <c r="DD20" s="2401"/>
      <c r="DE20" s="2401"/>
      <c r="DF20" s="2402"/>
      <c r="DG20" s="2400"/>
      <c r="DH20" s="2401"/>
      <c r="DI20" s="2401"/>
      <c r="DJ20" s="2402"/>
      <c r="DK20" s="2400"/>
      <c r="DL20" s="2401"/>
      <c r="DM20" s="2401"/>
      <c r="DN20" s="2402"/>
      <c r="DO20" s="2401"/>
      <c r="DP20" s="2401"/>
      <c r="DQ20" s="2401"/>
      <c r="DR20" s="2402"/>
      <c r="DS20" s="2400"/>
      <c r="DT20" s="2401"/>
      <c r="DU20" s="2401"/>
      <c r="DV20" s="2402"/>
      <c r="DW20" s="1921"/>
      <c r="DX20"/>
      <c r="DY20"/>
      <c r="DZ20"/>
      <c r="EA20"/>
      <c r="EB20"/>
      <c r="EC20"/>
    </row>
    <row r="21" spans="1:133" s="820" customFormat="1" hidden="1" outlineLevel="1">
      <c r="A21" s="2387" t="s">
        <v>953</v>
      </c>
      <c r="B21" s="1923"/>
      <c r="C21" s="1923"/>
      <c r="D21" s="1923"/>
      <c r="E21" s="1923"/>
      <c r="F21" s="1923"/>
      <c r="G21" s="1923"/>
      <c r="H21" s="1958">
        <v>2889</v>
      </c>
      <c r="I21" s="1958">
        <v>3172</v>
      </c>
      <c r="J21" s="1958">
        <v>2219</v>
      </c>
      <c r="K21" s="1958">
        <v>1949</v>
      </c>
      <c r="L21" s="1958">
        <v>2014</v>
      </c>
      <c r="M21" s="1958">
        <v>0</v>
      </c>
      <c r="N21" s="1923"/>
      <c r="O21" s="1923"/>
      <c r="P21" s="1923"/>
      <c r="Q21" s="1923"/>
      <c r="R21" s="1923"/>
      <c r="S21" s="1923"/>
      <c r="T21" s="1923"/>
      <c r="U21" s="1923"/>
      <c r="V21" s="1923"/>
      <c r="W21" s="1923"/>
      <c r="X21" s="1923"/>
      <c r="Y21" s="1923"/>
      <c r="Z21" s="1923"/>
      <c r="AA21" s="1923"/>
      <c r="AB21" s="1923"/>
      <c r="AC21" s="1923"/>
      <c r="AD21" s="1923"/>
      <c r="AE21" s="1923"/>
      <c r="AF21" s="1923"/>
      <c r="AG21" s="1923"/>
      <c r="AH21" s="1923"/>
      <c r="AI21" s="2386"/>
      <c r="AJ21" s="1923"/>
      <c r="AK21" s="1923"/>
      <c r="AL21" s="1923"/>
      <c r="AM21" s="1923"/>
      <c r="AN21" s="1923"/>
      <c r="AO21" s="1923"/>
      <c r="AP21" s="1923"/>
      <c r="AQ21" s="1923"/>
      <c r="AR21" s="1923"/>
      <c r="AS21" s="1923"/>
      <c r="AT21" s="1923"/>
      <c r="AU21" s="1923"/>
      <c r="AV21" s="1923"/>
      <c r="AW21" s="1923"/>
      <c r="AX21" s="1923"/>
      <c r="AY21" s="1923"/>
      <c r="AZ21" s="1923"/>
      <c r="BA21" s="1923"/>
      <c r="BB21" s="1923"/>
      <c r="BC21" s="1923"/>
      <c r="BD21" s="1923"/>
      <c r="BE21" s="1923"/>
      <c r="BF21" s="1923"/>
      <c r="BG21" s="2388">
        <v>562</v>
      </c>
      <c r="BH21" s="2389">
        <v>570</v>
      </c>
      <c r="BI21" s="2389">
        <v>538</v>
      </c>
      <c r="BJ21" s="2389">
        <v>549</v>
      </c>
      <c r="BK21" s="2389">
        <v>517</v>
      </c>
      <c r="BL21" s="2389">
        <v>509</v>
      </c>
      <c r="BM21" s="2389">
        <v>446</v>
      </c>
      <c r="BN21" s="2389">
        <v>477</v>
      </c>
      <c r="BO21" s="2389">
        <v>468</v>
      </c>
      <c r="BP21" s="2389">
        <v>506</v>
      </c>
      <c r="BQ21" s="2389">
        <v>496</v>
      </c>
      <c r="BR21" s="2389">
        <v>544</v>
      </c>
      <c r="BS21" s="2389"/>
      <c r="BT21" s="2389"/>
      <c r="BU21" s="2389"/>
      <c r="BV21" s="2390"/>
      <c r="BW21" s="2391"/>
      <c r="BX21" s="2392"/>
      <c r="BY21" s="2392"/>
      <c r="BZ21" s="2392"/>
      <c r="CA21" s="2391"/>
      <c r="CB21" s="2392"/>
      <c r="CC21" s="2392"/>
      <c r="CD21" s="2392"/>
      <c r="CE21" s="2391"/>
      <c r="CF21" s="2392"/>
      <c r="CG21" s="2392"/>
      <c r="CH21" s="2392"/>
      <c r="CI21" s="2391"/>
      <c r="CJ21" s="2392"/>
      <c r="CK21" s="2392"/>
      <c r="CL21" s="2392"/>
      <c r="CM21" s="2391"/>
      <c r="CN21" s="2392"/>
      <c r="CO21" s="2392"/>
      <c r="CP21" s="2392"/>
      <c r="CQ21" s="2391"/>
      <c r="CR21" s="2392"/>
      <c r="CS21" s="2392"/>
      <c r="CT21" s="2392"/>
      <c r="CU21" s="2391"/>
      <c r="CV21" s="2392"/>
      <c r="CW21" s="2392"/>
      <c r="CX21" s="2392"/>
      <c r="CY21" s="2391"/>
      <c r="CZ21" s="2392"/>
      <c r="DA21" s="2392"/>
      <c r="DB21" s="2392"/>
      <c r="DC21" s="2391"/>
      <c r="DD21" s="2392"/>
      <c r="DE21" s="2392"/>
      <c r="DF21" s="2393"/>
      <c r="DG21" s="2391"/>
      <c r="DH21" s="2392"/>
      <c r="DI21" s="2392"/>
      <c r="DJ21" s="2393"/>
      <c r="DK21" s="2391"/>
      <c r="DL21" s="2392"/>
      <c r="DM21" s="2392"/>
      <c r="DN21" s="2393"/>
      <c r="DO21" s="2392"/>
      <c r="DP21" s="2392"/>
      <c r="DQ21" s="2392"/>
      <c r="DR21" s="2393"/>
      <c r="DS21" s="2391"/>
      <c r="DT21" s="2392"/>
      <c r="DU21" s="2392"/>
      <c r="DV21" s="2393"/>
      <c r="DW21" s="1923"/>
      <c r="DX21"/>
      <c r="DY21"/>
      <c r="DZ21"/>
      <c r="EA21"/>
      <c r="EB21"/>
      <c r="EC21"/>
    </row>
    <row r="22" spans="1:133" s="821" customFormat="1" hidden="1" outlineLevel="1">
      <c r="A22" s="2439" t="s">
        <v>945</v>
      </c>
      <c r="B22" s="1921"/>
      <c r="C22" s="1921"/>
      <c r="D22" s="1921"/>
      <c r="E22" s="1921"/>
      <c r="F22" s="1921"/>
      <c r="G22" s="1921"/>
      <c r="H22" s="1958"/>
      <c r="I22" s="1958">
        <v>9.7957770854967041E-2</v>
      </c>
      <c r="J22" s="1958">
        <v>-0.30044136191677173</v>
      </c>
      <c r="K22" s="1958">
        <v>-0.12167643082469581</v>
      </c>
      <c r="L22" s="1958">
        <v>3.3350436121087679E-2</v>
      </c>
      <c r="M22" s="1958">
        <v>-1</v>
      </c>
      <c r="N22" s="1921"/>
      <c r="O22" s="1921"/>
      <c r="P22" s="1921"/>
      <c r="Q22" s="1921"/>
      <c r="R22" s="1921"/>
      <c r="S22" s="1921"/>
      <c r="T22" s="1921"/>
      <c r="U22" s="1921"/>
      <c r="V22" s="1921"/>
      <c r="W22" s="1921"/>
      <c r="X22" s="1921"/>
      <c r="Y22" s="1921"/>
      <c r="Z22" s="1921"/>
      <c r="AA22" s="1921"/>
      <c r="AB22" s="1921"/>
      <c r="AC22" s="1921"/>
      <c r="AD22" s="1921"/>
      <c r="AE22" s="1921"/>
      <c r="AF22" s="1921"/>
      <c r="AG22" s="1921"/>
      <c r="AH22" s="1921"/>
      <c r="AI22" s="2386"/>
      <c r="AJ22" s="1921"/>
      <c r="AK22" s="1921"/>
      <c r="AL22" s="1921"/>
      <c r="AM22" s="1921"/>
      <c r="AN22" s="1921"/>
      <c r="AO22" s="1921"/>
      <c r="AP22" s="1921"/>
      <c r="AQ22" s="1921"/>
      <c r="AR22" s="1921"/>
      <c r="AS22" s="1921"/>
      <c r="AT22" s="1921"/>
      <c r="AU22" s="1921"/>
      <c r="AV22" s="1921"/>
      <c r="AW22" s="1921"/>
      <c r="AX22" s="1921"/>
      <c r="AY22" s="1921"/>
      <c r="AZ22" s="1921"/>
      <c r="BA22" s="1921"/>
      <c r="BB22" s="1921"/>
      <c r="BC22" s="1921"/>
      <c r="BD22" s="1921"/>
      <c r="BE22" s="1921"/>
      <c r="BF22" s="1921"/>
      <c r="BG22" s="2397"/>
      <c r="BH22" s="2398"/>
      <c r="BI22" s="2398"/>
      <c r="BJ22" s="2398"/>
      <c r="BK22" s="2398">
        <v>-8.0071174377224219E-2</v>
      </c>
      <c r="BL22" s="2398">
        <v>-0.10701754385964912</v>
      </c>
      <c r="BM22" s="2398">
        <v>-0.17100371747211895</v>
      </c>
      <c r="BN22" s="2398">
        <v>-0.13114754098360659</v>
      </c>
      <c r="BO22" s="2398">
        <v>-9.4777562862669251E-2</v>
      </c>
      <c r="BP22" s="2398">
        <v>-5.893909626719096E-3</v>
      </c>
      <c r="BQ22" s="2398">
        <v>0.11210762331838575</v>
      </c>
      <c r="BR22" s="2398">
        <v>0.14046121593291394</v>
      </c>
      <c r="BS22" s="2398"/>
      <c r="BT22" s="2398"/>
      <c r="BU22" s="2398"/>
      <c r="BV22" s="2399"/>
      <c r="BW22" s="2400"/>
      <c r="BX22" s="2401"/>
      <c r="BY22" s="2401"/>
      <c r="BZ22" s="2401"/>
      <c r="CA22" s="2400"/>
      <c r="CB22" s="2401"/>
      <c r="CC22" s="2401"/>
      <c r="CD22" s="2401"/>
      <c r="CE22" s="2400"/>
      <c r="CF22" s="2401"/>
      <c r="CG22" s="2401"/>
      <c r="CH22" s="2401"/>
      <c r="CI22" s="2400"/>
      <c r="CJ22" s="2401"/>
      <c r="CK22" s="2401"/>
      <c r="CL22" s="2401"/>
      <c r="CM22" s="2400"/>
      <c r="CN22" s="2401"/>
      <c r="CO22" s="2401"/>
      <c r="CP22" s="2401"/>
      <c r="CQ22" s="2400"/>
      <c r="CR22" s="2401"/>
      <c r="CS22" s="2401"/>
      <c r="CT22" s="2401"/>
      <c r="CU22" s="2400"/>
      <c r="CV22" s="2401"/>
      <c r="CW22" s="2401"/>
      <c r="CX22" s="2401"/>
      <c r="CY22" s="2400"/>
      <c r="CZ22" s="2401"/>
      <c r="DA22" s="2401"/>
      <c r="DB22" s="2401"/>
      <c r="DC22" s="2400"/>
      <c r="DD22" s="2401"/>
      <c r="DE22" s="2401"/>
      <c r="DF22" s="2402"/>
      <c r="DG22" s="2400"/>
      <c r="DH22" s="2401"/>
      <c r="DI22" s="2401"/>
      <c r="DJ22" s="2402"/>
      <c r="DK22" s="2400"/>
      <c r="DL22" s="2401"/>
      <c r="DM22" s="2401"/>
      <c r="DN22" s="2402"/>
      <c r="DO22" s="2401"/>
      <c r="DP22" s="2401"/>
      <c r="DQ22" s="2401"/>
      <c r="DR22" s="2402"/>
      <c r="DS22" s="2400"/>
      <c r="DT22" s="2401"/>
      <c r="DU22" s="2401"/>
      <c r="DV22" s="2402"/>
      <c r="DW22" s="1921"/>
      <c r="DX22"/>
      <c r="DY22"/>
      <c r="DZ22"/>
      <c r="EA22"/>
      <c r="EB22"/>
      <c r="EC22"/>
    </row>
    <row r="23" spans="1:133" s="821" customFormat="1" hidden="1" outlineLevel="1">
      <c r="A23" s="2439" t="s">
        <v>949</v>
      </c>
      <c r="B23" s="1921"/>
      <c r="C23" s="1921"/>
      <c r="D23" s="1921"/>
      <c r="E23" s="1921"/>
      <c r="F23" s="1921"/>
      <c r="G23" s="1921"/>
      <c r="H23" s="1958"/>
      <c r="I23" s="1958"/>
      <c r="J23" s="1958"/>
      <c r="K23" s="1958"/>
      <c r="L23" s="1958"/>
      <c r="M23" s="1958"/>
      <c r="N23" s="1921"/>
      <c r="O23" s="1921"/>
      <c r="P23" s="1921"/>
      <c r="Q23" s="1921"/>
      <c r="R23" s="1921"/>
      <c r="S23" s="1921"/>
      <c r="T23" s="1921"/>
      <c r="U23" s="1921"/>
      <c r="V23" s="1921"/>
      <c r="W23" s="1921"/>
      <c r="X23" s="1921"/>
      <c r="Y23" s="1921"/>
      <c r="Z23" s="1921"/>
      <c r="AA23" s="1921"/>
      <c r="AB23" s="1921"/>
      <c r="AC23" s="1921"/>
      <c r="AD23" s="1921"/>
      <c r="AE23" s="1921"/>
      <c r="AF23" s="1921"/>
      <c r="AG23" s="1921"/>
      <c r="AH23" s="1921"/>
      <c r="AI23" s="2386"/>
      <c r="AJ23" s="1921"/>
      <c r="AK23" s="1921"/>
      <c r="AL23" s="1921"/>
      <c r="AM23" s="1921"/>
      <c r="AN23" s="1921"/>
      <c r="AO23" s="1921"/>
      <c r="AP23" s="1921"/>
      <c r="AQ23" s="1921"/>
      <c r="AR23" s="1921"/>
      <c r="AS23" s="1921"/>
      <c r="AT23" s="1921"/>
      <c r="AU23" s="1921"/>
      <c r="AV23" s="1921"/>
      <c r="AW23" s="1921"/>
      <c r="AX23" s="1921"/>
      <c r="AY23" s="1921"/>
      <c r="AZ23" s="1921"/>
      <c r="BA23" s="1921"/>
      <c r="BB23" s="1921"/>
      <c r="BC23" s="1921"/>
      <c r="BD23" s="1921"/>
      <c r="BE23" s="1921"/>
      <c r="BF23" s="1921"/>
      <c r="BG23" s="2397"/>
      <c r="BH23" s="2398">
        <v>1.4234875444839812E-2</v>
      </c>
      <c r="BI23" s="2398">
        <v>-5.6140350877192935E-2</v>
      </c>
      <c r="BJ23" s="2398">
        <v>2.0446096654274992E-2</v>
      </c>
      <c r="BK23" s="2398">
        <v>-5.8287795992714053E-2</v>
      </c>
      <c r="BL23" s="2398">
        <v>-1.5473887814313358E-2</v>
      </c>
      <c r="BM23" s="2398">
        <v>-0.12377210216110024</v>
      </c>
      <c r="BN23" s="2398">
        <v>6.9506726457399193E-2</v>
      </c>
      <c r="BO23" s="2398">
        <v>-1.8867924528301883E-2</v>
      </c>
      <c r="BP23" s="2398">
        <v>8.119658119658113E-2</v>
      </c>
      <c r="BQ23" s="2398">
        <v>-1.9762845849802368E-2</v>
      </c>
      <c r="BR23" s="2398">
        <v>9.6774193548387011E-2</v>
      </c>
      <c r="BS23" s="2398"/>
      <c r="BT23" s="2398"/>
      <c r="BU23" s="2398"/>
      <c r="BV23" s="2399"/>
      <c r="BW23" s="2400"/>
      <c r="BX23" s="2401"/>
      <c r="BY23" s="2401"/>
      <c r="BZ23" s="2401"/>
      <c r="CA23" s="2400"/>
      <c r="CB23" s="2401"/>
      <c r="CC23" s="2401"/>
      <c r="CD23" s="2401"/>
      <c r="CE23" s="2400"/>
      <c r="CF23" s="2401"/>
      <c r="CG23" s="2401"/>
      <c r="CH23" s="2401"/>
      <c r="CI23" s="2400"/>
      <c r="CJ23" s="2401"/>
      <c r="CK23" s="2401"/>
      <c r="CL23" s="2401"/>
      <c r="CM23" s="2400"/>
      <c r="CN23" s="2401"/>
      <c r="CO23" s="2401"/>
      <c r="CP23" s="2401"/>
      <c r="CQ23" s="2400"/>
      <c r="CR23" s="2401"/>
      <c r="CS23" s="2401"/>
      <c r="CT23" s="2401"/>
      <c r="CU23" s="2400"/>
      <c r="CV23" s="2401"/>
      <c r="CW23" s="2401"/>
      <c r="CX23" s="2401"/>
      <c r="CY23" s="2400"/>
      <c r="CZ23" s="2401"/>
      <c r="DA23" s="2401"/>
      <c r="DB23" s="2401"/>
      <c r="DC23" s="2400"/>
      <c r="DD23" s="2401"/>
      <c r="DE23" s="2401"/>
      <c r="DF23" s="2402"/>
      <c r="DG23" s="2400"/>
      <c r="DH23" s="2401"/>
      <c r="DI23" s="2401"/>
      <c r="DJ23" s="2402"/>
      <c r="DK23" s="2400"/>
      <c r="DL23" s="2401"/>
      <c r="DM23" s="2401"/>
      <c r="DN23" s="2402"/>
      <c r="DO23" s="2401"/>
      <c r="DP23" s="2401"/>
      <c r="DQ23" s="2401"/>
      <c r="DR23" s="2402"/>
      <c r="DS23" s="2400"/>
      <c r="DT23" s="2401"/>
      <c r="DU23" s="2401"/>
      <c r="DV23" s="2402"/>
      <c r="DW23" s="1921"/>
      <c r="DX23"/>
      <c r="DY23"/>
      <c r="DZ23"/>
      <c r="EA23"/>
      <c r="EB23"/>
      <c r="EC23"/>
    </row>
    <row r="24" spans="1:133" s="821" customFormat="1" hidden="1" outlineLevel="1">
      <c r="A24" s="2439" t="s">
        <v>950</v>
      </c>
      <c r="B24" s="1921"/>
      <c r="C24" s="1921"/>
      <c r="D24" s="1921"/>
      <c r="E24" s="1921"/>
      <c r="F24" s="1921"/>
      <c r="G24" s="1921"/>
      <c r="H24" s="1958">
        <v>2.9188304471700781E-2</v>
      </c>
      <c r="I24" s="1958">
        <v>3.170636626250712E-2</v>
      </c>
      <c r="J24" s="1958">
        <v>2.3292430747268205E-2</v>
      </c>
      <c r="K24" s="1958">
        <v>2.1382805985869138E-2</v>
      </c>
      <c r="L24" s="1958">
        <v>2.2033323487260274E-2</v>
      </c>
      <c r="M24" s="1958">
        <v>0</v>
      </c>
      <c r="N24" s="1921"/>
      <c r="O24" s="1921"/>
      <c r="P24" s="1921"/>
      <c r="Q24" s="1921"/>
      <c r="R24" s="1921"/>
      <c r="S24" s="1921"/>
      <c r="T24" s="1921"/>
      <c r="U24" s="1921"/>
      <c r="V24" s="1921"/>
      <c r="W24" s="1921"/>
      <c r="X24" s="1921"/>
      <c r="Y24" s="1921"/>
      <c r="Z24" s="1921"/>
      <c r="AA24" s="1921"/>
      <c r="AB24" s="1921"/>
      <c r="AC24" s="1921"/>
      <c r="AD24" s="1921"/>
      <c r="AE24" s="1921"/>
      <c r="AF24" s="1921"/>
      <c r="AG24" s="1921"/>
      <c r="AH24" s="1921"/>
      <c r="AI24" s="2386"/>
      <c r="AJ24" s="1921"/>
      <c r="AK24" s="1921"/>
      <c r="AL24" s="1921"/>
      <c r="AM24" s="1921"/>
      <c r="AN24" s="1921"/>
      <c r="AO24" s="1921"/>
      <c r="AP24" s="1921"/>
      <c r="AQ24" s="1921"/>
      <c r="AR24" s="1921"/>
      <c r="AS24" s="1921"/>
      <c r="AT24" s="1921"/>
      <c r="AU24" s="1921"/>
      <c r="AV24" s="1921"/>
      <c r="AW24" s="1921"/>
      <c r="AX24" s="1921"/>
      <c r="AY24" s="1921"/>
      <c r="AZ24" s="1921"/>
      <c r="BA24" s="1921"/>
      <c r="BB24" s="1921"/>
      <c r="BC24" s="1921"/>
      <c r="BD24" s="1921"/>
      <c r="BE24" s="1921"/>
      <c r="BF24" s="1921"/>
      <c r="BG24" s="2397">
        <v>2.3604519299424587E-2</v>
      </c>
      <c r="BH24" s="2398">
        <v>2.4010109519797811E-2</v>
      </c>
      <c r="BI24" s="2398">
        <v>2.2309765705992121E-2</v>
      </c>
      <c r="BJ24" s="2398">
        <v>2.3259755115875101E-2</v>
      </c>
      <c r="BK24" s="2398">
        <v>2.2585295530994715E-2</v>
      </c>
      <c r="BL24" s="2398">
        <v>2.2333377210302312E-2</v>
      </c>
      <c r="BM24" s="2398">
        <v>1.9492155063152834E-2</v>
      </c>
      <c r="BN24" s="2398">
        <v>2.1120212530440559E-2</v>
      </c>
      <c r="BO24" s="2398">
        <v>2.0948970456580125E-2</v>
      </c>
      <c r="BP24" s="2398">
        <v>2.2146358543417368E-2</v>
      </c>
      <c r="BQ24" s="2398">
        <v>2.1441231141659103E-2</v>
      </c>
      <c r="BR24" s="2398">
        <v>2.3564064801178203E-2</v>
      </c>
      <c r="BS24" s="2398"/>
      <c r="BT24" s="2398"/>
      <c r="BU24" s="2398"/>
      <c r="BV24" s="2399"/>
      <c r="BW24" s="2400"/>
      <c r="BX24" s="2401"/>
      <c r="BY24" s="2401"/>
      <c r="BZ24" s="2401"/>
      <c r="CA24" s="2400"/>
      <c r="CB24" s="2401"/>
      <c r="CC24" s="2401"/>
      <c r="CD24" s="2401"/>
      <c r="CE24" s="2400"/>
      <c r="CF24" s="2401"/>
      <c r="CG24" s="2401"/>
      <c r="CH24" s="2401"/>
      <c r="CI24" s="2400"/>
      <c r="CJ24" s="2401"/>
      <c r="CK24" s="2401"/>
      <c r="CL24" s="2401"/>
      <c r="CM24" s="2400"/>
      <c r="CN24" s="2401"/>
      <c r="CO24" s="2401"/>
      <c r="CP24" s="2401"/>
      <c r="CQ24" s="2400"/>
      <c r="CR24" s="2401"/>
      <c r="CS24" s="2401"/>
      <c r="CT24" s="2401"/>
      <c r="CU24" s="2400"/>
      <c r="CV24" s="2401"/>
      <c r="CW24" s="2401"/>
      <c r="CX24" s="2401"/>
      <c r="CY24" s="2400"/>
      <c r="CZ24" s="2401"/>
      <c r="DA24" s="2401"/>
      <c r="DB24" s="2401"/>
      <c r="DC24" s="2400"/>
      <c r="DD24" s="2401"/>
      <c r="DE24" s="2401"/>
      <c r="DF24" s="2402"/>
      <c r="DG24" s="2400"/>
      <c r="DH24" s="2401"/>
      <c r="DI24" s="2401"/>
      <c r="DJ24" s="2402"/>
      <c r="DK24" s="2400"/>
      <c r="DL24" s="2401"/>
      <c r="DM24" s="2401"/>
      <c r="DN24" s="2402"/>
      <c r="DO24" s="2401"/>
      <c r="DP24" s="2401"/>
      <c r="DQ24" s="2401"/>
      <c r="DR24" s="2402"/>
      <c r="DS24" s="2400"/>
      <c r="DT24" s="2401"/>
      <c r="DU24" s="2401"/>
      <c r="DV24" s="2402"/>
      <c r="DW24" s="1921"/>
      <c r="DX24"/>
      <c r="DY24"/>
      <c r="DZ24"/>
      <c r="EA24"/>
      <c r="EB24"/>
      <c r="EC24"/>
    </row>
    <row r="25" spans="1:133" s="820" customFormat="1" hidden="1" outlineLevel="1">
      <c r="A25" s="2387" t="s">
        <v>954</v>
      </c>
      <c r="B25" s="1923"/>
      <c r="C25" s="1923"/>
      <c r="D25" s="1923"/>
      <c r="E25" s="1923"/>
      <c r="F25" s="1923"/>
      <c r="G25" s="1923"/>
      <c r="H25" s="1958">
        <v>4144</v>
      </c>
      <c r="I25" s="1958">
        <v>4313</v>
      </c>
      <c r="J25" s="1958">
        <v>4287</v>
      </c>
      <c r="K25" s="1958">
        <v>3763</v>
      </c>
      <c r="L25" s="1958">
        <v>3549</v>
      </c>
      <c r="M25" s="1958">
        <v>3452</v>
      </c>
      <c r="N25" s="1923"/>
      <c r="O25" s="1923"/>
      <c r="P25" s="1923"/>
      <c r="Q25" s="1923"/>
      <c r="R25" s="1923"/>
      <c r="S25" s="1923"/>
      <c r="T25" s="1923"/>
      <c r="U25" s="1923"/>
      <c r="V25" s="1923"/>
      <c r="W25" s="1923"/>
      <c r="X25" s="1923"/>
      <c r="Y25" s="1923"/>
      <c r="Z25" s="1923"/>
      <c r="AA25" s="1923"/>
      <c r="AB25" s="1923"/>
      <c r="AC25" s="1923"/>
      <c r="AD25" s="1923"/>
      <c r="AE25" s="1923"/>
      <c r="AF25" s="1923"/>
      <c r="AG25" s="1923"/>
      <c r="AH25" s="1923"/>
      <c r="AI25" s="2386"/>
      <c r="AJ25" s="1923"/>
      <c r="AK25" s="1923"/>
      <c r="AL25" s="1923"/>
      <c r="AM25" s="1923"/>
      <c r="AN25" s="1923"/>
      <c r="AO25" s="1923"/>
      <c r="AP25" s="1923"/>
      <c r="AQ25" s="1923"/>
      <c r="AR25" s="1923"/>
      <c r="AS25" s="1923"/>
      <c r="AT25" s="1923"/>
      <c r="AU25" s="1923"/>
      <c r="AV25" s="1923"/>
      <c r="AW25" s="1923"/>
      <c r="AX25" s="1923"/>
      <c r="AY25" s="1923"/>
      <c r="AZ25" s="1923"/>
      <c r="BA25" s="1923"/>
      <c r="BB25" s="1923"/>
      <c r="BC25" s="1923"/>
      <c r="BD25" s="1923"/>
      <c r="BE25" s="1923"/>
      <c r="BF25" s="1923"/>
      <c r="BG25" s="2388">
        <v>803</v>
      </c>
      <c r="BH25" s="2389">
        <v>936</v>
      </c>
      <c r="BI25" s="2389">
        <v>1174</v>
      </c>
      <c r="BJ25" s="2389">
        <v>1374</v>
      </c>
      <c r="BK25" s="2389">
        <v>955</v>
      </c>
      <c r="BL25" s="2389">
        <v>970</v>
      </c>
      <c r="BM25" s="2389">
        <v>922</v>
      </c>
      <c r="BN25" s="2389">
        <v>916</v>
      </c>
      <c r="BO25" s="2389">
        <v>903</v>
      </c>
      <c r="BP25" s="2389">
        <v>889</v>
      </c>
      <c r="BQ25" s="2389">
        <v>883</v>
      </c>
      <c r="BR25" s="2389">
        <v>874</v>
      </c>
      <c r="BS25" s="2389">
        <v>881</v>
      </c>
      <c r="BT25" s="2389">
        <v>870</v>
      </c>
      <c r="BU25" s="2389">
        <v>857</v>
      </c>
      <c r="BV25" s="2390">
        <v>844</v>
      </c>
      <c r="BW25" s="2391"/>
      <c r="BX25" s="2392"/>
      <c r="BY25" s="2392"/>
      <c r="BZ25" s="2392"/>
      <c r="CA25" s="2391"/>
      <c r="CB25" s="2392"/>
      <c r="CC25" s="2392"/>
      <c r="CD25" s="2392"/>
      <c r="CE25" s="2391"/>
      <c r="CF25" s="2392"/>
      <c r="CG25" s="2392"/>
      <c r="CH25" s="2392"/>
      <c r="CI25" s="2391"/>
      <c r="CJ25" s="2392"/>
      <c r="CK25" s="2392"/>
      <c r="CL25" s="2392"/>
      <c r="CM25" s="2391"/>
      <c r="CN25" s="2392"/>
      <c r="CO25" s="2392"/>
      <c r="CP25" s="2392"/>
      <c r="CQ25" s="2391"/>
      <c r="CR25" s="2392"/>
      <c r="CS25" s="2392"/>
      <c r="CT25" s="2392"/>
      <c r="CU25" s="2391"/>
      <c r="CV25" s="2392"/>
      <c r="CW25" s="2392"/>
      <c r="CX25" s="2392"/>
      <c r="CY25" s="2391"/>
      <c r="CZ25" s="2392"/>
      <c r="DA25" s="2392"/>
      <c r="DB25" s="2392"/>
      <c r="DC25" s="2391"/>
      <c r="DD25" s="2392"/>
      <c r="DE25" s="2392"/>
      <c r="DF25" s="2393"/>
      <c r="DG25" s="2391"/>
      <c r="DH25" s="2392"/>
      <c r="DI25" s="2392"/>
      <c r="DJ25" s="2393"/>
      <c r="DK25" s="2391"/>
      <c r="DL25" s="2392"/>
      <c r="DM25" s="2392"/>
      <c r="DN25" s="2393"/>
      <c r="DO25" s="2392"/>
      <c r="DP25" s="2392"/>
      <c r="DQ25" s="2392"/>
      <c r="DR25" s="2393"/>
      <c r="DS25" s="2391"/>
      <c r="DT25" s="2392"/>
      <c r="DU25" s="2392"/>
      <c r="DV25" s="2393"/>
      <c r="DW25" s="1923"/>
      <c r="DX25"/>
      <c r="DY25"/>
      <c r="DZ25"/>
      <c r="EA25"/>
      <c r="EB25"/>
      <c r="EC25"/>
    </row>
    <row r="26" spans="1:133" s="821" customFormat="1" hidden="1" outlineLevel="1">
      <c r="A26" s="2439" t="s">
        <v>945</v>
      </c>
      <c r="B26" s="1921"/>
      <c r="C26" s="1921"/>
      <c r="D26" s="1921"/>
      <c r="E26" s="1921"/>
      <c r="F26" s="1921"/>
      <c r="G26" s="1921"/>
      <c r="H26" s="1958"/>
      <c r="I26" s="1958">
        <v>4.0781853281853353E-2</v>
      </c>
      <c r="J26" s="1958">
        <v>-6.0282865754694992E-3</v>
      </c>
      <c r="K26" s="1958">
        <v>-0.12222999766736642</v>
      </c>
      <c r="L26" s="1958">
        <v>-5.6869519000797286E-2</v>
      </c>
      <c r="M26" s="1958">
        <v>-2.7331642716258098E-2</v>
      </c>
      <c r="N26" s="1921"/>
      <c r="O26" s="1921"/>
      <c r="P26" s="1921"/>
      <c r="Q26" s="1921"/>
      <c r="R26" s="1921"/>
      <c r="S26" s="1921"/>
      <c r="T26" s="1921"/>
      <c r="U26" s="1921"/>
      <c r="V26" s="1921"/>
      <c r="W26" s="1921"/>
      <c r="X26" s="1921"/>
      <c r="Y26" s="1921"/>
      <c r="Z26" s="1921"/>
      <c r="AA26" s="1921"/>
      <c r="AB26" s="1921"/>
      <c r="AC26" s="1921"/>
      <c r="AD26" s="1921"/>
      <c r="AE26" s="1921"/>
      <c r="AF26" s="1921"/>
      <c r="AG26" s="1921"/>
      <c r="AH26" s="1921"/>
      <c r="AI26" s="2386"/>
      <c r="AJ26" s="1921"/>
      <c r="AK26" s="1921"/>
      <c r="AL26" s="1921"/>
      <c r="AM26" s="1921"/>
      <c r="AN26" s="1921"/>
      <c r="AO26" s="1921"/>
      <c r="AP26" s="1921"/>
      <c r="AQ26" s="1921"/>
      <c r="AR26" s="1921"/>
      <c r="AS26" s="1921"/>
      <c r="AT26" s="1921"/>
      <c r="AU26" s="1921"/>
      <c r="AV26" s="1921"/>
      <c r="AW26" s="1921"/>
      <c r="AX26" s="1921"/>
      <c r="AY26" s="1921"/>
      <c r="AZ26" s="1921"/>
      <c r="BA26" s="1921"/>
      <c r="BB26" s="1921"/>
      <c r="BC26" s="1921"/>
      <c r="BD26" s="1921"/>
      <c r="BE26" s="1921"/>
      <c r="BF26" s="1921"/>
      <c r="BG26" s="2397"/>
      <c r="BH26" s="2398"/>
      <c r="BI26" s="2398"/>
      <c r="BJ26" s="2398"/>
      <c r="BK26" s="2398">
        <v>0.18929016189290171</v>
      </c>
      <c r="BL26" s="2398">
        <v>3.6324786324786418E-2</v>
      </c>
      <c r="BM26" s="2398">
        <v>-0.21465076660988069</v>
      </c>
      <c r="BN26" s="2398">
        <v>-0.33333333333333337</v>
      </c>
      <c r="BO26" s="2398">
        <v>-5.4450261780104703E-2</v>
      </c>
      <c r="BP26" s="2398">
        <v>-8.3505154639175294E-2</v>
      </c>
      <c r="BQ26" s="2398">
        <v>-4.2299349240780937E-2</v>
      </c>
      <c r="BR26" s="2398">
        <v>-4.5851528384279527E-2</v>
      </c>
      <c r="BS26" s="2398">
        <v>-2.4363233665559259E-2</v>
      </c>
      <c r="BT26" s="2398">
        <v>-2.1372328458942658E-2</v>
      </c>
      <c r="BU26" s="2398">
        <v>-2.9445073612684003E-2</v>
      </c>
      <c r="BV26" s="2399">
        <v>-3.4324942791762014E-2</v>
      </c>
      <c r="BW26" s="2400"/>
      <c r="BX26" s="2401"/>
      <c r="BY26" s="2401"/>
      <c r="BZ26" s="2401"/>
      <c r="CA26" s="2400"/>
      <c r="CB26" s="2401"/>
      <c r="CC26" s="2401"/>
      <c r="CD26" s="2401"/>
      <c r="CE26" s="2400"/>
      <c r="CF26" s="2401"/>
      <c r="CG26" s="2401"/>
      <c r="CH26" s="2401"/>
      <c r="CI26" s="2400"/>
      <c r="CJ26" s="2401"/>
      <c r="CK26" s="2401"/>
      <c r="CL26" s="2401"/>
      <c r="CM26" s="2400"/>
      <c r="CN26" s="2401"/>
      <c r="CO26" s="2401"/>
      <c r="CP26" s="2401"/>
      <c r="CQ26" s="2400"/>
      <c r="CR26" s="2401"/>
      <c r="CS26" s="2401"/>
      <c r="CT26" s="2401"/>
      <c r="CU26" s="2400"/>
      <c r="CV26" s="2401"/>
      <c r="CW26" s="2401"/>
      <c r="CX26" s="2401"/>
      <c r="CY26" s="2400"/>
      <c r="CZ26" s="2401"/>
      <c r="DA26" s="2401"/>
      <c r="DB26" s="2401"/>
      <c r="DC26" s="2400"/>
      <c r="DD26" s="2401"/>
      <c r="DE26" s="2401"/>
      <c r="DF26" s="2402"/>
      <c r="DG26" s="2400"/>
      <c r="DH26" s="2401"/>
      <c r="DI26" s="2401"/>
      <c r="DJ26" s="2402"/>
      <c r="DK26" s="2400"/>
      <c r="DL26" s="2401"/>
      <c r="DM26" s="2401"/>
      <c r="DN26" s="2402"/>
      <c r="DO26" s="2401"/>
      <c r="DP26" s="2401"/>
      <c r="DQ26" s="2401"/>
      <c r="DR26" s="2402"/>
      <c r="DS26" s="2400"/>
      <c r="DT26" s="2401"/>
      <c r="DU26" s="2401"/>
      <c r="DV26" s="2402"/>
      <c r="DW26" s="1921"/>
      <c r="DX26"/>
      <c r="DY26"/>
      <c r="DZ26"/>
      <c r="EA26"/>
      <c r="EB26"/>
      <c r="EC26"/>
    </row>
    <row r="27" spans="1:133" s="821" customFormat="1" hidden="1" outlineLevel="1">
      <c r="A27" s="2439" t="s">
        <v>949</v>
      </c>
      <c r="B27" s="1921"/>
      <c r="C27" s="1921"/>
      <c r="D27" s="1921"/>
      <c r="E27" s="1921"/>
      <c r="F27" s="1921"/>
      <c r="G27" s="1921"/>
      <c r="H27" s="1958"/>
      <c r="I27" s="1958"/>
      <c r="J27" s="1958"/>
      <c r="K27" s="1958"/>
      <c r="L27" s="1958"/>
      <c r="M27" s="1958"/>
      <c r="N27" s="1921"/>
      <c r="O27" s="1921"/>
      <c r="P27" s="1921"/>
      <c r="Q27" s="1921"/>
      <c r="R27" s="1921"/>
      <c r="S27" s="1921"/>
      <c r="T27" s="1921"/>
      <c r="U27" s="1921"/>
      <c r="V27" s="1921"/>
      <c r="W27" s="1921"/>
      <c r="X27" s="1921"/>
      <c r="Y27" s="1921"/>
      <c r="Z27" s="1921"/>
      <c r="AA27" s="1921"/>
      <c r="AB27" s="1921"/>
      <c r="AC27" s="1921"/>
      <c r="AD27" s="1921"/>
      <c r="AE27" s="1921"/>
      <c r="AF27" s="1921"/>
      <c r="AG27" s="1921"/>
      <c r="AH27" s="1921"/>
      <c r="AI27" s="2386"/>
      <c r="AJ27" s="1921"/>
      <c r="AK27" s="1921"/>
      <c r="AL27" s="1921"/>
      <c r="AM27" s="1921"/>
      <c r="AN27" s="1921"/>
      <c r="AO27" s="1921"/>
      <c r="AP27" s="1921"/>
      <c r="AQ27" s="1921"/>
      <c r="AR27" s="1921"/>
      <c r="AS27" s="1921"/>
      <c r="AT27" s="1921"/>
      <c r="AU27" s="1921"/>
      <c r="AV27" s="1921"/>
      <c r="AW27" s="1921"/>
      <c r="AX27" s="1921"/>
      <c r="AY27" s="1921"/>
      <c r="AZ27" s="1921"/>
      <c r="BA27" s="1921"/>
      <c r="BB27" s="1921"/>
      <c r="BC27" s="1921"/>
      <c r="BD27" s="1921"/>
      <c r="BE27" s="1921"/>
      <c r="BF27" s="1921"/>
      <c r="BG27" s="2397"/>
      <c r="BH27" s="2398">
        <v>0.16562889165628891</v>
      </c>
      <c r="BI27" s="2398">
        <v>0.25427350427350426</v>
      </c>
      <c r="BJ27" s="2398">
        <v>0.17035775127768304</v>
      </c>
      <c r="BK27" s="2398">
        <v>-0.30494905385735083</v>
      </c>
      <c r="BL27" s="2398">
        <v>1.5706806282722585E-2</v>
      </c>
      <c r="BM27" s="2398">
        <v>-4.9484536082474273E-2</v>
      </c>
      <c r="BN27" s="2398">
        <v>-6.5075921908893664E-3</v>
      </c>
      <c r="BO27" s="2398">
        <v>-1.4192139737991272E-2</v>
      </c>
      <c r="BP27" s="2398">
        <v>-1.5503875968992276E-2</v>
      </c>
      <c r="BQ27" s="2398">
        <v>-6.7491563554555878E-3</v>
      </c>
      <c r="BR27" s="2398">
        <v>-1.0192525481313663E-2</v>
      </c>
      <c r="BS27" s="2398">
        <v>8.0091533180777219E-3</v>
      </c>
      <c r="BT27" s="2398">
        <v>-1.2485811577752526E-2</v>
      </c>
      <c r="BU27" s="2398">
        <v>-1.4942528735632177E-2</v>
      </c>
      <c r="BV27" s="2399">
        <v>-1.516919486581092E-2</v>
      </c>
      <c r="BW27" s="2400"/>
      <c r="BX27" s="2401"/>
      <c r="BY27" s="2401"/>
      <c r="BZ27" s="2401"/>
      <c r="CA27" s="2400"/>
      <c r="CB27" s="2401"/>
      <c r="CC27" s="2401"/>
      <c r="CD27" s="2401"/>
      <c r="CE27" s="2400"/>
      <c r="CF27" s="2401"/>
      <c r="CG27" s="2401"/>
      <c r="CH27" s="2401"/>
      <c r="CI27" s="2400"/>
      <c r="CJ27" s="2401"/>
      <c r="CK27" s="2401"/>
      <c r="CL27" s="2401"/>
      <c r="CM27" s="2400"/>
      <c r="CN27" s="2401"/>
      <c r="CO27" s="2401"/>
      <c r="CP27" s="2401"/>
      <c r="CQ27" s="2400"/>
      <c r="CR27" s="2401"/>
      <c r="CS27" s="2401"/>
      <c r="CT27" s="2401"/>
      <c r="CU27" s="2400"/>
      <c r="CV27" s="2401"/>
      <c r="CW27" s="2401"/>
      <c r="CX27" s="2401"/>
      <c r="CY27" s="2400"/>
      <c r="CZ27" s="2401"/>
      <c r="DA27" s="2401"/>
      <c r="DB27" s="2401"/>
      <c r="DC27" s="2400"/>
      <c r="DD27" s="2401"/>
      <c r="DE27" s="2401"/>
      <c r="DF27" s="2402"/>
      <c r="DG27" s="2400"/>
      <c r="DH27" s="2401"/>
      <c r="DI27" s="2401"/>
      <c r="DJ27" s="2402"/>
      <c r="DK27" s="2400"/>
      <c r="DL27" s="2401"/>
      <c r="DM27" s="2401"/>
      <c r="DN27" s="2402"/>
      <c r="DO27" s="2401"/>
      <c r="DP27" s="2401"/>
      <c r="DQ27" s="2401"/>
      <c r="DR27" s="2402"/>
      <c r="DS27" s="2400"/>
      <c r="DT27" s="2401"/>
      <c r="DU27" s="2401"/>
      <c r="DV27" s="2402"/>
      <c r="DW27" s="1921"/>
      <c r="DX27"/>
      <c r="DY27"/>
      <c r="DZ27"/>
      <c r="EA27"/>
      <c r="EB27"/>
      <c r="EC27"/>
    </row>
    <row r="28" spans="1:133" s="821" customFormat="1" hidden="1" outlineLevel="1">
      <c r="A28" s="2439" t="s">
        <v>950</v>
      </c>
      <c r="B28" s="1921"/>
      <c r="C28" s="1921"/>
      <c r="D28" s="1921"/>
      <c r="E28" s="1921"/>
      <c r="F28" s="1921"/>
      <c r="G28" s="1921"/>
      <c r="H28" s="1958">
        <v>4.1867889834104548E-2</v>
      </c>
      <c r="I28" s="1958">
        <v>4.3111462071309337E-2</v>
      </c>
      <c r="J28" s="1958">
        <v>4.4999842547786745E-2</v>
      </c>
      <c r="K28" s="1958">
        <v>4.1284504322640102E-2</v>
      </c>
      <c r="L28" s="1958">
        <v>3.8826348091502837E-2</v>
      </c>
      <c r="M28" s="1958">
        <v>3.8829709452087156E-2</v>
      </c>
      <c r="N28" s="1921"/>
      <c r="O28" s="1921"/>
      <c r="P28" s="1921"/>
      <c r="Q28" s="1921"/>
      <c r="R28" s="1921"/>
      <c r="S28" s="1921"/>
      <c r="T28" s="1921"/>
      <c r="U28" s="1921"/>
      <c r="V28" s="1921"/>
      <c r="W28" s="1921"/>
      <c r="X28" s="1921"/>
      <c r="Y28" s="1921"/>
      <c r="Z28" s="1921"/>
      <c r="AA28" s="1921"/>
      <c r="AB28" s="1921"/>
      <c r="AC28" s="1921"/>
      <c r="AD28" s="1921"/>
      <c r="AE28" s="1921"/>
      <c r="AF28" s="1921"/>
      <c r="AG28" s="1921"/>
      <c r="AH28" s="1921"/>
      <c r="AI28" s="2386"/>
      <c r="AJ28" s="1921"/>
      <c r="AK28" s="1921"/>
      <c r="AL28" s="1921"/>
      <c r="AM28" s="1921"/>
      <c r="AN28" s="1921"/>
      <c r="AO28" s="1921"/>
      <c r="AP28" s="1921"/>
      <c r="AQ28" s="1921"/>
      <c r="AR28" s="1921"/>
      <c r="AS28" s="1921"/>
      <c r="AT28" s="1921"/>
      <c r="AU28" s="1921"/>
      <c r="AV28" s="1921"/>
      <c r="AW28" s="1921"/>
      <c r="AX28" s="1921"/>
      <c r="AY28" s="1921"/>
      <c r="AZ28" s="1921"/>
      <c r="BA28" s="1921"/>
      <c r="BB28" s="1921"/>
      <c r="BC28" s="1921"/>
      <c r="BD28" s="1921"/>
      <c r="BE28" s="1921"/>
      <c r="BF28" s="1921"/>
      <c r="BG28" s="2397">
        <v>3.372674198832374E-2</v>
      </c>
      <c r="BH28" s="2398">
        <v>3.9427127211457455E-2</v>
      </c>
      <c r="BI28" s="2398">
        <v>4.8683392079618491E-2</v>
      </c>
      <c r="BJ28" s="2398">
        <v>5.8212939033173747E-2</v>
      </c>
      <c r="BK28" s="2398">
        <v>4.1719453060154649E-2</v>
      </c>
      <c r="BL28" s="2398">
        <v>4.2560659909613441E-2</v>
      </c>
      <c r="BM28" s="2398">
        <v>4.0295441632795768E-2</v>
      </c>
      <c r="BN28" s="2398">
        <v>4.0557892406464464E-2</v>
      </c>
      <c r="BO28" s="2398">
        <v>4.0420769919427037E-2</v>
      </c>
      <c r="BP28" s="2398">
        <v>3.8909313725490197E-2</v>
      </c>
      <c r="BQ28" s="2398">
        <v>3.8170578826784249E-2</v>
      </c>
      <c r="BR28" s="2398">
        <v>3.7858442346010567E-2</v>
      </c>
      <c r="BS28" s="2398">
        <v>4.0431390546122076E-2</v>
      </c>
      <c r="BT28" s="2398">
        <v>3.9245759653554674E-2</v>
      </c>
      <c r="BU28" s="2398">
        <v>3.8166919034470476E-2</v>
      </c>
      <c r="BV28" s="2399">
        <v>3.7346785255984775E-2</v>
      </c>
      <c r="BW28" s="2400"/>
      <c r="BX28" s="2401"/>
      <c r="BY28" s="2401"/>
      <c r="BZ28" s="2401"/>
      <c r="CA28" s="2400"/>
      <c r="CB28" s="2401"/>
      <c r="CC28" s="2401"/>
      <c r="CD28" s="2401"/>
      <c r="CE28" s="2400"/>
      <c r="CF28" s="2401"/>
      <c r="CG28" s="2401"/>
      <c r="CH28" s="2401"/>
      <c r="CI28" s="2400"/>
      <c r="CJ28" s="2401"/>
      <c r="CK28" s="2401"/>
      <c r="CL28" s="2401"/>
      <c r="CM28" s="2400"/>
      <c r="CN28" s="2401"/>
      <c r="CO28" s="2401"/>
      <c r="CP28" s="2401"/>
      <c r="CQ28" s="2400"/>
      <c r="CR28" s="2401"/>
      <c r="CS28" s="2401"/>
      <c r="CT28" s="2401"/>
      <c r="CU28" s="2400"/>
      <c r="CV28" s="2401"/>
      <c r="CW28" s="2401"/>
      <c r="CX28" s="2401"/>
      <c r="CY28" s="2400"/>
      <c r="CZ28" s="2401"/>
      <c r="DA28" s="2401"/>
      <c r="DB28" s="2401"/>
      <c r="DC28" s="2400"/>
      <c r="DD28" s="2401"/>
      <c r="DE28" s="2401"/>
      <c r="DF28" s="2402"/>
      <c r="DG28" s="2400"/>
      <c r="DH28" s="2401"/>
      <c r="DI28" s="2401"/>
      <c r="DJ28" s="2402"/>
      <c r="DK28" s="2400"/>
      <c r="DL28" s="2401"/>
      <c r="DM28" s="2401"/>
      <c r="DN28" s="2402"/>
      <c r="DO28" s="2401"/>
      <c r="DP28" s="2401"/>
      <c r="DQ28" s="2401"/>
      <c r="DR28" s="2402"/>
      <c r="DS28" s="2400"/>
      <c r="DT28" s="2401"/>
      <c r="DU28" s="2401"/>
      <c r="DV28" s="2402"/>
      <c r="DW28" s="1921"/>
      <c r="DX28"/>
      <c r="DY28"/>
      <c r="DZ28"/>
      <c r="EA28"/>
      <c r="EB28"/>
      <c r="EC28"/>
    </row>
    <row r="29" spans="1:133" hidden="1" outlineLevel="1">
      <c r="A29" s="2419"/>
      <c r="B29" s="1918"/>
      <c r="C29" s="1918"/>
      <c r="D29" s="1918"/>
      <c r="E29" s="1918"/>
      <c r="F29" s="1918"/>
      <c r="G29" s="1918"/>
      <c r="H29" s="1958"/>
      <c r="I29" s="1958"/>
      <c r="J29" s="1958"/>
      <c r="K29" s="1958"/>
      <c r="L29" s="1958"/>
      <c r="M29" s="1958"/>
      <c r="N29" s="1918"/>
      <c r="O29" s="1918"/>
      <c r="P29" s="1918"/>
      <c r="Q29" s="1918"/>
      <c r="R29" s="1918"/>
      <c r="S29" s="1918"/>
      <c r="T29" s="1918"/>
      <c r="U29" s="1918"/>
      <c r="V29" s="1918"/>
      <c r="W29" s="1918"/>
      <c r="X29" s="1918"/>
      <c r="Y29" s="1918"/>
      <c r="Z29" s="1918"/>
      <c r="AA29" s="1918"/>
      <c r="AB29" s="1918"/>
      <c r="AC29" s="1918"/>
      <c r="AD29" s="1918"/>
      <c r="AE29" s="1918"/>
      <c r="AF29" s="1918"/>
      <c r="AG29" s="1918"/>
      <c r="AI29" s="2386"/>
      <c r="AK29" s="1918"/>
      <c r="AL29" s="1918"/>
      <c r="AM29" s="1918"/>
      <c r="AN29" s="1918"/>
      <c r="AO29" s="1918"/>
      <c r="AP29" s="1918"/>
      <c r="AQ29" s="1918"/>
      <c r="AR29" s="1918"/>
      <c r="AS29" s="1918"/>
      <c r="AT29" s="1918"/>
      <c r="AU29" s="1918"/>
      <c r="AV29" s="1918"/>
      <c r="AW29" s="1918"/>
      <c r="AX29" s="1918"/>
      <c r="AY29" s="1918"/>
      <c r="AZ29" s="1918"/>
      <c r="BA29" s="1918"/>
      <c r="BB29" s="1918"/>
      <c r="BC29" s="1918"/>
      <c r="BD29" s="1918"/>
      <c r="BE29" s="1918"/>
      <c r="BF29" s="1918"/>
      <c r="BG29" s="2409"/>
      <c r="BH29" s="2410"/>
      <c r="BI29" s="2410"/>
      <c r="BJ29" s="2410"/>
      <c r="BK29" s="2410"/>
      <c r="BL29" s="2410"/>
      <c r="BM29" s="2410"/>
      <c r="BN29" s="2410"/>
      <c r="BO29" s="2410"/>
      <c r="BP29" s="2410"/>
      <c r="BQ29" s="2410"/>
      <c r="BR29" s="2410"/>
      <c r="BS29" s="2410"/>
      <c r="BT29" s="2410"/>
      <c r="BU29" s="2410"/>
      <c r="BV29" s="2411"/>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s="555"/>
      <c r="DO29" s="1074"/>
      <c r="DP29" s="1074"/>
      <c r="DQ29" s="1074"/>
      <c r="DR29" s="555"/>
      <c r="DS29" s="554"/>
      <c r="DT29" s="1074"/>
      <c r="DU29" s="1074"/>
      <c r="DV29" s="1074"/>
    </row>
    <row r="30" spans="1:133" s="820" customFormat="1" hidden="1" outlineLevel="1">
      <c r="A30" s="1923" t="s">
        <v>956</v>
      </c>
      <c r="B30" s="1923"/>
      <c r="C30" s="1923"/>
      <c r="D30" s="1923"/>
      <c r="E30" s="1923"/>
      <c r="F30" s="1923"/>
      <c r="G30" s="1923"/>
      <c r="H30" s="1958">
        <v>98978</v>
      </c>
      <c r="I30" s="1958">
        <v>100043</v>
      </c>
      <c r="J30" s="1958">
        <v>95267</v>
      </c>
      <c r="K30" s="1958">
        <v>91148</v>
      </c>
      <c r="L30" s="1958">
        <v>91407</v>
      </c>
      <c r="M30" s="1958">
        <v>88901</v>
      </c>
      <c r="N30" s="1923">
        <f>SUM(BW30:BZ30)</f>
        <v>87225.931688804558</v>
      </c>
      <c r="O30" s="1923">
        <f>SUM(CA30:CD30)</f>
        <v>92375</v>
      </c>
      <c r="P30" s="1923">
        <f>P18+P25+P21+P14+P10</f>
        <v>97096</v>
      </c>
      <c r="Q30" s="1923">
        <f t="shared" ref="Q30:AA30" si="88">Q18+Q14+Q10</f>
        <v>102413</v>
      </c>
      <c r="R30" s="1923">
        <f t="shared" si="88"/>
        <v>104426</v>
      </c>
      <c r="S30" s="1923">
        <f t="shared" si="88"/>
        <v>110875</v>
      </c>
      <c r="T30" s="1923">
        <f t="shared" si="88"/>
        <v>115589</v>
      </c>
      <c r="U30" s="1923">
        <f t="shared" si="88"/>
        <v>119951</v>
      </c>
      <c r="V30" s="1923">
        <f t="shared" si="88"/>
        <v>126823</v>
      </c>
      <c r="W30" s="1923">
        <f t="shared" si="88"/>
        <v>129421</v>
      </c>
      <c r="X30" s="1923">
        <f t="shared" si="88"/>
        <v>125455</v>
      </c>
      <c r="Y30" s="1923">
        <f t="shared" si="88"/>
        <v>126034</v>
      </c>
      <c r="Z30" s="1923">
        <f t="shared" ref="Z30" ca="1" si="89">Z18+Z14+Z10</f>
        <v>128945.31879471819</v>
      </c>
      <c r="AA30" s="1923">
        <f t="shared" ca="1" si="88"/>
        <v>129036.01034932715</v>
      </c>
      <c r="AB30" s="1923">
        <f t="shared" ref="AB30:AG30" ca="1" si="90">AB18+AB14+AB10</f>
        <v>129652.72091749887</v>
      </c>
      <c r="AC30" s="1923">
        <f t="shared" ca="1" si="90"/>
        <v>130340.59590822672</v>
      </c>
      <c r="AD30" s="1923">
        <f t="shared" ca="1" si="90"/>
        <v>131092.23550873241</v>
      </c>
      <c r="AE30" s="1923">
        <f t="shared" ca="1" si="90"/>
        <v>131915.06975558677</v>
      </c>
      <c r="AF30" s="1923">
        <f t="shared" ca="1" si="90"/>
        <v>132822.86191099716</v>
      </c>
      <c r="AG30" s="1923">
        <f t="shared" ca="1" si="90"/>
        <v>133831.94341344427</v>
      </c>
      <c r="AH30" s="1923"/>
      <c r="AI30" s="2386">
        <f ca="1">(AA30/V30)^(1/5)-1</f>
        <v>3.465812453891326E-3</v>
      </c>
      <c r="AJ30" s="1923"/>
      <c r="AK30" s="1923"/>
      <c r="AL30" s="1923"/>
      <c r="AM30" s="1923"/>
      <c r="AN30" s="1923"/>
      <c r="AO30" s="1923"/>
      <c r="AP30" s="1923"/>
      <c r="AQ30" s="1923"/>
      <c r="AR30" s="1923"/>
      <c r="AS30" s="1923"/>
      <c r="AT30" s="1923"/>
      <c r="AU30" s="1923"/>
      <c r="AV30" s="1923"/>
      <c r="AW30" s="1923"/>
      <c r="AX30" s="1923"/>
      <c r="AY30" s="1923"/>
      <c r="AZ30" s="1923"/>
      <c r="BA30" s="1923"/>
      <c r="BB30" s="1923"/>
      <c r="BC30" s="1923"/>
      <c r="BD30" s="1923"/>
      <c r="BE30" s="1923"/>
      <c r="BF30" s="1923"/>
      <c r="BG30" s="2388">
        <v>23809</v>
      </c>
      <c r="BH30" s="2389">
        <v>23740</v>
      </c>
      <c r="BI30" s="2389">
        <v>24115</v>
      </c>
      <c r="BJ30" s="2389">
        <v>23603</v>
      </c>
      <c r="BK30" s="2389">
        <v>22891</v>
      </c>
      <c r="BL30" s="2389">
        <v>22791</v>
      </c>
      <c r="BM30" s="2389">
        <v>22881</v>
      </c>
      <c r="BN30" s="2389">
        <v>22585</v>
      </c>
      <c r="BO30" s="2389">
        <v>22340</v>
      </c>
      <c r="BP30" s="2389">
        <v>22848</v>
      </c>
      <c r="BQ30" s="2389">
        <v>23133</v>
      </c>
      <c r="BR30" s="2389">
        <v>23086</v>
      </c>
      <c r="BS30" s="2389">
        <v>21790</v>
      </c>
      <c r="BT30" s="2389">
        <v>22168</v>
      </c>
      <c r="BU30" s="2389">
        <v>22454</v>
      </c>
      <c r="BV30" s="2390">
        <v>22599</v>
      </c>
      <c r="BW30" s="2391">
        <f>NormInputs!BP12</f>
        <v>21167.931688804551</v>
      </c>
      <c r="BX30" s="2392">
        <f>NormInputs!BQ12</f>
        <v>21583</v>
      </c>
      <c r="BY30" s="2392">
        <f>NormInputs!BR12</f>
        <v>22162</v>
      </c>
      <c r="BZ30" s="2392">
        <f>NormInputs!BS12</f>
        <v>22313</v>
      </c>
      <c r="CA30" s="2391">
        <f>NormInputs!BT12</f>
        <v>22311</v>
      </c>
      <c r="CB30" s="2392">
        <f>NormInputs!BU12</f>
        <v>23000</v>
      </c>
      <c r="CC30" s="2392">
        <f>NormInputs!BV12</f>
        <v>23493</v>
      </c>
      <c r="CD30" s="2392">
        <f>NormInputs!BW12</f>
        <v>23571</v>
      </c>
      <c r="CE30" s="2391">
        <f>NormInputs!BX12</f>
        <v>23575</v>
      </c>
      <c r="CF30" s="2392">
        <f>CF18+CF25+CF21+CF14+CF10</f>
        <v>24124</v>
      </c>
      <c r="CG30" s="2392">
        <f>CG18+CG25+CG21+CG14+CG10</f>
        <v>24752</v>
      </c>
      <c r="CH30" s="2392">
        <f>CH18+CH25+CH21+CH14+CH10</f>
        <v>24645</v>
      </c>
      <c r="CI30" s="2391">
        <f t="shared" ref="CI30:DJ30" si="91">CI18+CI14+CI10</f>
        <v>25165</v>
      </c>
      <c r="CJ30" s="2392">
        <f t="shared" si="91"/>
        <v>25511</v>
      </c>
      <c r="CK30" s="2392">
        <f t="shared" si="91"/>
        <v>25934</v>
      </c>
      <c r="CL30" s="2392">
        <f t="shared" si="91"/>
        <v>25803</v>
      </c>
      <c r="CM30" s="2391">
        <f t="shared" si="91"/>
        <v>25635</v>
      </c>
      <c r="CN30" s="2392">
        <f t="shared" si="91"/>
        <v>25912</v>
      </c>
      <c r="CO30" s="2392">
        <f t="shared" si="91"/>
        <v>26484</v>
      </c>
      <c r="CP30" s="2392">
        <f t="shared" si="91"/>
        <v>26395</v>
      </c>
      <c r="CQ30" s="2391">
        <f t="shared" si="91"/>
        <v>26990</v>
      </c>
      <c r="CR30" s="2392">
        <f t="shared" si="91"/>
        <v>27536</v>
      </c>
      <c r="CS30" s="2392">
        <f t="shared" si="91"/>
        <v>27913</v>
      </c>
      <c r="CT30" s="2392">
        <f t="shared" si="91"/>
        <v>28436</v>
      </c>
      <c r="CU30" s="2391">
        <f t="shared" si="91"/>
        <v>28242</v>
      </c>
      <c r="CV30" s="2392">
        <f t="shared" si="91"/>
        <v>28525</v>
      </c>
      <c r="CW30" s="2392">
        <f t="shared" si="91"/>
        <v>29007</v>
      </c>
      <c r="CX30" s="2392">
        <f t="shared" si="91"/>
        <v>29815</v>
      </c>
      <c r="CY30" s="2391">
        <f t="shared" si="91"/>
        <v>29240</v>
      </c>
      <c r="CZ30" s="2392">
        <f t="shared" si="91"/>
        <v>29657</v>
      </c>
      <c r="DA30" s="2392">
        <f t="shared" si="91"/>
        <v>30122</v>
      </c>
      <c r="DB30" s="2392">
        <f t="shared" si="91"/>
        <v>30932</v>
      </c>
      <c r="DC30" s="2391">
        <f t="shared" si="91"/>
        <v>30690</v>
      </c>
      <c r="DD30" s="2392">
        <f t="shared" si="91"/>
        <v>31355</v>
      </c>
      <c r="DE30" s="2392">
        <f t="shared" si="91"/>
        <v>31586</v>
      </c>
      <c r="DF30" s="2393">
        <f t="shared" si="91"/>
        <v>33192</v>
      </c>
      <c r="DG30" s="2391">
        <f t="shared" si="91"/>
        <v>31429</v>
      </c>
      <c r="DH30" s="2392">
        <f>DH18+DH14+DH10</f>
        <v>31677</v>
      </c>
      <c r="DI30" s="2392">
        <f>DI18+DI14+DI10</f>
        <v>32614</v>
      </c>
      <c r="DJ30" s="2393">
        <f t="shared" si="91"/>
        <v>33701</v>
      </c>
      <c r="DK30" s="2391">
        <f>DK18+DK14+DK10</f>
        <v>31646</v>
      </c>
      <c r="DL30" s="2392">
        <f>DL18+DL14+DL10</f>
        <v>30532</v>
      </c>
      <c r="DM30" s="2392">
        <f>DM18+DM14+DM10</f>
        <v>30937</v>
      </c>
      <c r="DN30" s="2393">
        <f>DN18+DN14+DN10</f>
        <v>32340</v>
      </c>
      <c r="DO30" s="2392">
        <f t="shared" ref="DO30" si="92">DO18+DO14+DO10</f>
        <v>29814</v>
      </c>
      <c r="DP30" s="2392">
        <f t="shared" ref="DP30:DQ30" si="93">DP18+DP14+DP10</f>
        <v>30548</v>
      </c>
      <c r="DQ30" s="2392">
        <f t="shared" si="93"/>
        <v>31717</v>
      </c>
      <c r="DR30" s="2393">
        <f t="shared" ref="DR30" si="94">DR18+DR14+DR10</f>
        <v>33955</v>
      </c>
      <c r="DS30" s="2391">
        <f t="shared" ref="DS30" si="95">DS18+DS14+DS10</f>
        <v>31772</v>
      </c>
      <c r="DT30" s="2392">
        <f t="shared" ref="DT30:DV30" ca="1" si="96">DT18+DT14+DT10</f>
        <v>31554.052573762001</v>
      </c>
      <c r="DU30" s="2392">
        <f t="shared" ca="1" si="96"/>
        <v>32076.353782835315</v>
      </c>
      <c r="DV30" s="2393">
        <f t="shared" ca="1" si="96"/>
        <v>33542.912438120868</v>
      </c>
      <c r="DW30" s="1923"/>
      <c r="DX30"/>
      <c r="DY30"/>
      <c r="DZ30"/>
      <c r="EA30"/>
      <c r="EB30"/>
      <c r="EC30"/>
    </row>
    <row r="31" spans="1:133" s="821" customFormat="1" hidden="1" outlineLevel="1">
      <c r="A31" s="2396" t="s">
        <v>945</v>
      </c>
      <c r="B31" s="1921"/>
      <c r="C31" s="1921"/>
      <c r="D31" s="1921"/>
      <c r="E31" s="1921"/>
      <c r="F31" s="1921"/>
      <c r="G31" s="1921"/>
      <c r="H31" s="1958"/>
      <c r="I31" s="1958">
        <v>1.0759966861322745E-2</v>
      </c>
      <c r="J31" s="1958">
        <v>-4.7739472027028329E-2</v>
      </c>
      <c r="K31" s="1958">
        <v>-4.3236377759350075E-2</v>
      </c>
      <c r="L31" s="1958">
        <v>2.8415324527142349E-3</v>
      </c>
      <c r="M31" s="1958">
        <v>-2.7415843425558251E-2</v>
      </c>
      <c r="N31" s="1921">
        <f>N30/M30-1</f>
        <v>-1.8841951285086145E-2</v>
      </c>
      <c r="O31" s="1921">
        <f>O30/88305-1</f>
        <v>4.6090255364928279E-2</v>
      </c>
      <c r="P31" s="1921">
        <f>P30/O30-1</f>
        <v>5.1106901217861989E-2</v>
      </c>
      <c r="Q31" s="1958" t="s">
        <v>1149</v>
      </c>
      <c r="R31" s="1921">
        <f t="shared" ref="R31:AB31" si="97">R30/Q30-1</f>
        <v>1.9655707771474296E-2</v>
      </c>
      <c r="S31" s="1921">
        <f t="shared" si="97"/>
        <v>6.1756650642560196E-2</v>
      </c>
      <c r="T31" s="1921">
        <f t="shared" si="97"/>
        <v>4.2516347237880447E-2</v>
      </c>
      <c r="U31" s="1921">
        <f t="shared" si="97"/>
        <v>3.7737154919585736E-2</v>
      </c>
      <c r="V31" s="1921">
        <f t="shared" si="97"/>
        <v>5.7290060107877405E-2</v>
      </c>
      <c r="W31" s="1921">
        <f>W30/V30-1</f>
        <v>2.0485243212981841E-2</v>
      </c>
      <c r="X31" s="1921">
        <f t="shared" si="97"/>
        <v>-3.0644176756476904E-2</v>
      </c>
      <c r="Y31" s="1921">
        <f t="shared" si="97"/>
        <v>4.6152006695627801E-3</v>
      </c>
      <c r="Z31" s="1921">
        <f t="shared" ca="1" si="97"/>
        <v>2.30994715292554E-2</v>
      </c>
      <c r="AA31" s="1921">
        <f t="shared" ca="1" si="97"/>
        <v>7.0333343976103357E-4</v>
      </c>
      <c r="AB31" s="1921">
        <f t="shared" ca="1" si="97"/>
        <v>4.7793679183210092E-3</v>
      </c>
      <c r="AC31" s="1921">
        <f t="shared" ref="AC31" ca="1" si="98">AC30/AB30-1</f>
        <v>5.3055191272504132E-3</v>
      </c>
      <c r="AD31" s="1921">
        <f t="shared" ref="AD31" ca="1" si="99">AD30/AC30-1</f>
        <v>5.7667344181464575E-3</v>
      </c>
      <c r="AE31" s="1921">
        <f t="shared" ref="AE31" ca="1" si="100">AE30/AD30-1</f>
        <v>6.2767580677922652E-3</v>
      </c>
      <c r="AF31" s="1921">
        <f t="shared" ref="AF31" ca="1" si="101">AF30/AE30-1</f>
        <v>6.8816410216994139E-3</v>
      </c>
      <c r="AG31" s="1921">
        <f t="shared" ref="AG31" ca="1" si="102">AG30/AF30-1</f>
        <v>7.5971974096091799E-3</v>
      </c>
      <c r="AH31" s="1921"/>
      <c r="AI31" s="2386"/>
      <c r="AJ31" s="1921"/>
      <c r="AK31" s="1921"/>
      <c r="AL31" s="1921"/>
      <c r="AM31" s="1921"/>
      <c r="AN31" s="1921"/>
      <c r="AO31" s="1921"/>
      <c r="AP31" s="1921"/>
      <c r="AQ31" s="1921"/>
      <c r="AR31" s="1921"/>
      <c r="AS31" s="1921"/>
      <c r="AT31" s="1921"/>
      <c r="AU31" s="1921"/>
      <c r="AV31" s="1921"/>
      <c r="AW31" s="1921"/>
      <c r="AX31" s="1921"/>
      <c r="AY31" s="1921"/>
      <c r="AZ31" s="1921"/>
      <c r="BA31" s="1921"/>
      <c r="BB31" s="1921"/>
      <c r="BC31" s="1921"/>
      <c r="BD31" s="1921"/>
      <c r="BE31" s="1921"/>
      <c r="BF31" s="1921"/>
      <c r="BG31" s="2397"/>
      <c r="BH31" s="2398"/>
      <c r="BI31" s="2398"/>
      <c r="BJ31" s="2398"/>
      <c r="BK31" s="2398">
        <v>-3.8556848250661524E-2</v>
      </c>
      <c r="BL31" s="2398">
        <v>-3.9974726200505462E-2</v>
      </c>
      <c r="BM31" s="2398">
        <v>-5.1171470039394595E-2</v>
      </c>
      <c r="BN31" s="2398">
        <v>-4.3130110579163716E-2</v>
      </c>
      <c r="BO31" s="2398">
        <v>-2.4070595430518593E-2</v>
      </c>
      <c r="BP31" s="2398">
        <v>2.5009872318020321E-3</v>
      </c>
      <c r="BQ31" s="2398">
        <v>1.1013504654516781E-2</v>
      </c>
      <c r="BR31" s="2398">
        <v>2.2182864733230057E-2</v>
      </c>
      <c r="BS31" s="2398">
        <v>-2.4619516562220278E-2</v>
      </c>
      <c r="BT31" s="2398">
        <v>-2.9761904761904767E-2</v>
      </c>
      <c r="BU31" s="2398">
        <v>-2.9352007954005055E-2</v>
      </c>
      <c r="BV31" s="2399">
        <v>-2.1095035952525376E-2</v>
      </c>
      <c r="BW31" s="2400">
        <f t="shared" ref="BW31:CH31" si="103">BW30/BS30-1</f>
        <v>-2.8548339201259765E-2</v>
      </c>
      <c r="BX31" s="2401">
        <f t="shared" si="103"/>
        <v>-2.6389390111873023E-2</v>
      </c>
      <c r="BY31" s="2401">
        <f t="shared" si="103"/>
        <v>-1.3004364478489405E-2</v>
      </c>
      <c r="BZ31" s="2401">
        <f t="shared" si="103"/>
        <v>-1.2655427231293426E-2</v>
      </c>
      <c r="CA31" s="2400">
        <f t="shared" si="103"/>
        <v>5.400000000000027E-2</v>
      </c>
      <c r="CB31" s="2401">
        <f t="shared" si="103"/>
        <v>6.5653523606542086E-2</v>
      </c>
      <c r="CC31" s="2401">
        <f t="shared" si="103"/>
        <v>6.0057756520169647E-2</v>
      </c>
      <c r="CD31" s="2401">
        <f t="shared" si="103"/>
        <v>5.6379688970555231E-2</v>
      </c>
      <c r="CE31" s="2400">
        <f t="shared" si="103"/>
        <v>5.6653668593967144E-2</v>
      </c>
      <c r="CF31" s="2401">
        <f t="shared" si="103"/>
        <v>4.8869565217391386E-2</v>
      </c>
      <c r="CG31" s="2401">
        <f t="shared" si="103"/>
        <v>5.3590431192270138E-2</v>
      </c>
      <c r="CH31" s="2401">
        <f t="shared" si="103"/>
        <v>4.5564464808451E-2</v>
      </c>
      <c r="CI31" s="2394" t="s">
        <v>1149</v>
      </c>
      <c r="CJ31" s="2395" t="s">
        <v>1149</v>
      </c>
      <c r="CK31" s="2395" t="s">
        <v>1149</v>
      </c>
      <c r="CL31" s="2395" t="s">
        <v>1149</v>
      </c>
      <c r="CM31" s="2400">
        <f t="shared" ref="CM31:DI31" si="104">CM30/CI30-1</f>
        <v>1.8676733558513847E-2</v>
      </c>
      <c r="CN31" s="2401">
        <f t="shared" si="104"/>
        <v>1.5718709576261203E-2</v>
      </c>
      <c r="CO31" s="2401">
        <f t="shared" si="104"/>
        <v>2.1207681036477188E-2</v>
      </c>
      <c r="CP31" s="2401">
        <f t="shared" si="104"/>
        <v>2.2943068635429942E-2</v>
      </c>
      <c r="CQ31" s="2400">
        <f t="shared" si="104"/>
        <v>5.2857421494051149E-2</v>
      </c>
      <c r="CR31" s="2401">
        <f t="shared" si="104"/>
        <v>6.2673664711330623E-2</v>
      </c>
      <c r="CS31" s="2401">
        <f t="shared" si="104"/>
        <v>5.3957106177314529E-2</v>
      </c>
      <c r="CT31" s="2401">
        <f t="shared" si="104"/>
        <v>7.73252509945066E-2</v>
      </c>
      <c r="CU31" s="2400">
        <f t="shared" si="104"/>
        <v>4.6387550944794409E-2</v>
      </c>
      <c r="CV31" s="2401">
        <f t="shared" si="104"/>
        <v>3.59166182452062E-2</v>
      </c>
      <c r="CW31" s="2401">
        <f t="shared" si="104"/>
        <v>3.9193207466055258E-2</v>
      </c>
      <c r="CX31" s="2401">
        <f t="shared" si="104"/>
        <v>4.8494865663243791E-2</v>
      </c>
      <c r="CY31" s="2400">
        <f t="shared" si="104"/>
        <v>3.5337440691169286E-2</v>
      </c>
      <c r="CZ31" s="2401">
        <f t="shared" si="104"/>
        <v>3.9684487291849146E-2</v>
      </c>
      <c r="DA31" s="2401">
        <f t="shared" si="104"/>
        <v>3.84389974833661E-2</v>
      </c>
      <c r="DB31" s="2401">
        <f t="shared" si="104"/>
        <v>3.7464363575381521E-2</v>
      </c>
      <c r="DC31" s="2400">
        <f t="shared" si="104"/>
        <v>4.9589603283173744E-2</v>
      </c>
      <c r="DD31" s="2401">
        <f t="shared" si="104"/>
        <v>5.7254611053039861E-2</v>
      </c>
      <c r="DE31" s="2401">
        <f t="shared" si="104"/>
        <v>4.8602350441537823E-2</v>
      </c>
      <c r="DF31" s="2402">
        <f t="shared" si="104"/>
        <v>7.3063494116125671E-2</v>
      </c>
      <c r="DG31" s="2400">
        <f t="shared" si="104"/>
        <v>2.4079504724666023E-2</v>
      </c>
      <c r="DH31" s="2401">
        <f t="shared" si="104"/>
        <v>1.0269494498485132E-2</v>
      </c>
      <c r="DI31" s="2401">
        <f t="shared" si="104"/>
        <v>3.2546064712214218E-2</v>
      </c>
      <c r="DJ31" s="2402">
        <f>DJ30/DF30-1</f>
        <v>1.5335020486864304E-2</v>
      </c>
      <c r="DK31" s="2400">
        <f>DK30/DG30-1</f>
        <v>6.9044513029368204E-3</v>
      </c>
      <c r="DL31" s="2401">
        <f>DL30/DH30-1</f>
        <v>-3.6146099693784128E-2</v>
      </c>
      <c r="DM31" s="2401">
        <f>DM30/DI30-1</f>
        <v>-5.1419635739253122E-2</v>
      </c>
      <c r="DN31" s="2402">
        <f>DN30/DJ30-1</f>
        <v>-4.0384558321711506E-2</v>
      </c>
      <c r="DO31" s="2401">
        <f t="shared" ref="DO31:DS31" si="105">DO30/DK30-1</f>
        <v>-5.7890412690387416E-2</v>
      </c>
      <c r="DP31" s="2401">
        <f t="shared" si="105"/>
        <v>5.2404035110709124E-4</v>
      </c>
      <c r="DQ31" s="2401">
        <f t="shared" si="105"/>
        <v>2.521252868733237E-2</v>
      </c>
      <c r="DR31" s="2402">
        <f t="shared" si="105"/>
        <v>4.9938157081014234E-2</v>
      </c>
      <c r="DS31" s="2400">
        <f t="shared" si="105"/>
        <v>6.5673844502582623E-2</v>
      </c>
      <c r="DT31" s="2401">
        <f t="shared" ref="DT31" ca="1" si="106">DT30/DP30-1</f>
        <v>3.2933500515974989E-2</v>
      </c>
      <c r="DU31" s="2401">
        <f t="shared" ref="DU31" ca="1" si="107">DU30/DQ30-1</f>
        <v>1.1330005449295744E-2</v>
      </c>
      <c r="DV31" s="2402">
        <f t="shared" ref="DV31" ca="1" si="108">DV30/DR30-1</f>
        <v>-1.2136285138540148E-2</v>
      </c>
      <c r="DW31" s="1921"/>
      <c r="DX31"/>
      <c r="DY31"/>
      <c r="DZ31"/>
      <c r="EA31"/>
      <c r="EB31"/>
      <c r="EC31"/>
    </row>
    <row r="32" spans="1:133" s="821" customFormat="1" hidden="1" outlineLevel="1">
      <c r="A32" s="2396" t="s">
        <v>957</v>
      </c>
      <c r="B32" s="1921"/>
      <c r="C32" s="1921"/>
      <c r="D32" s="1921"/>
      <c r="E32" s="1921"/>
      <c r="F32" s="1921"/>
      <c r="G32" s="1921"/>
      <c r="H32" s="1958"/>
      <c r="I32" s="1958"/>
      <c r="J32" s="1958"/>
      <c r="K32" s="1958"/>
      <c r="L32" s="1958"/>
      <c r="M32" s="1958"/>
      <c r="N32" s="1921"/>
      <c r="O32" s="1921"/>
      <c r="P32" s="1921"/>
      <c r="Q32" s="1921"/>
      <c r="R32" s="1921"/>
      <c r="S32" s="1921"/>
      <c r="T32" s="1921"/>
      <c r="U32" s="1921"/>
      <c r="V32" s="1921"/>
      <c r="W32" s="1921"/>
      <c r="X32" s="1921"/>
      <c r="Y32" s="1921"/>
      <c r="Z32" s="1921"/>
      <c r="AA32" s="1921"/>
      <c r="AB32" s="1921"/>
      <c r="AC32" s="1921"/>
      <c r="AD32" s="1921"/>
      <c r="AE32" s="1921"/>
      <c r="AF32" s="1921"/>
      <c r="AG32" s="1921"/>
      <c r="AH32" s="1921"/>
      <c r="AI32" s="2386"/>
      <c r="AJ32" s="1921"/>
      <c r="AK32" s="1921"/>
      <c r="AL32" s="1921"/>
      <c r="AM32" s="1921"/>
      <c r="AN32" s="1921"/>
      <c r="AO32" s="1921"/>
      <c r="AP32" s="1921"/>
      <c r="AQ32" s="1921"/>
      <c r="AR32" s="1921"/>
      <c r="AS32" s="1921"/>
      <c r="AT32" s="1921"/>
      <c r="AU32" s="1921"/>
      <c r="AV32" s="1921"/>
      <c r="AW32" s="1921"/>
      <c r="AX32" s="1921"/>
      <c r="AY32" s="1921"/>
      <c r="AZ32" s="1921"/>
      <c r="BA32" s="1921"/>
      <c r="BB32" s="1921"/>
      <c r="BC32" s="1921"/>
      <c r="BD32" s="1921"/>
      <c r="BE32" s="1921"/>
      <c r="BF32" s="1921"/>
      <c r="BG32" s="2397"/>
      <c r="BH32" s="2398">
        <v>-2.8980637574026469E-3</v>
      </c>
      <c r="BI32" s="2398">
        <v>1.5796124684077428E-2</v>
      </c>
      <c r="BJ32" s="2398">
        <v>-2.1231598590089162E-2</v>
      </c>
      <c r="BK32" s="2398">
        <v>-3.01656569080202E-2</v>
      </c>
      <c r="BL32" s="2398">
        <v>-4.3685291162465223E-3</v>
      </c>
      <c r="BM32" s="2398">
        <v>3.9489272081083548E-3</v>
      </c>
      <c r="BN32" s="2398">
        <v>-1.2936497530702362E-2</v>
      </c>
      <c r="BO32" s="2398">
        <v>-1.0847907903475784E-2</v>
      </c>
      <c r="BP32" s="2398">
        <v>2.2739480752014263E-2</v>
      </c>
      <c r="BQ32" s="2398">
        <v>1.2473739495798331E-2</v>
      </c>
      <c r="BR32" s="2398">
        <v>-2.0317295638265787E-3</v>
      </c>
      <c r="BS32" s="2398">
        <v>-5.613791908515986E-2</v>
      </c>
      <c r="BT32" s="2398">
        <v>1.7347407067462184E-2</v>
      </c>
      <c r="BU32" s="2398">
        <v>1.29014796102489E-2</v>
      </c>
      <c r="BV32" s="2399">
        <v>6.4576467444552588E-3</v>
      </c>
      <c r="BW32" s="2400">
        <f t="shared" ref="BW32:CH32" si="109">BW30/BV30-1</f>
        <v>-6.3324408655048847E-2</v>
      </c>
      <c r="BX32" s="2401">
        <f t="shared" si="109"/>
        <v>1.9608354623280144E-2</v>
      </c>
      <c r="BY32" s="2401">
        <f t="shared" si="109"/>
        <v>2.6826669137747228E-2</v>
      </c>
      <c r="BZ32" s="2401">
        <f t="shared" si="109"/>
        <v>6.8134644887645202E-3</v>
      </c>
      <c r="CA32" s="2400">
        <f t="shared" si="109"/>
        <v>-8.9633845740122453E-5</v>
      </c>
      <c r="CB32" s="2401">
        <f t="shared" si="109"/>
        <v>3.0881627896553354E-2</v>
      </c>
      <c r="CC32" s="2401">
        <f t="shared" si="109"/>
        <v>2.1434782608695579E-2</v>
      </c>
      <c r="CD32" s="2401">
        <f t="shared" si="109"/>
        <v>3.3201379134211173E-3</v>
      </c>
      <c r="CE32" s="2400">
        <f t="shared" si="109"/>
        <v>1.6970005515259956E-4</v>
      </c>
      <c r="CF32" s="2401">
        <f t="shared" si="109"/>
        <v>2.3287380699893889E-2</v>
      </c>
      <c r="CG32" s="2401">
        <f t="shared" si="109"/>
        <v>2.6032167136461615E-2</v>
      </c>
      <c r="CH32" s="2401">
        <f t="shared" si="109"/>
        <v>-4.3228829993535722E-3</v>
      </c>
      <c r="CI32" s="2394" t="s">
        <v>1149</v>
      </c>
      <c r="CJ32" s="2401">
        <f t="shared" ref="CJ32:DI32" si="110">CJ30/CI30-1</f>
        <v>1.3749254917544196E-2</v>
      </c>
      <c r="CK32" s="2401">
        <f t="shared" si="110"/>
        <v>1.6581082670220626E-2</v>
      </c>
      <c r="CL32" s="2401">
        <f t="shared" si="110"/>
        <v>-5.0512840286882632E-3</v>
      </c>
      <c r="CM32" s="2400">
        <f t="shared" si="110"/>
        <v>-6.5108708289733919E-3</v>
      </c>
      <c r="CN32" s="2401">
        <f t="shared" si="110"/>
        <v>1.0805539301735889E-2</v>
      </c>
      <c r="CO32" s="2401">
        <f t="shared" si="110"/>
        <v>2.2074714418030217E-2</v>
      </c>
      <c r="CP32" s="2401">
        <f t="shared" si="110"/>
        <v>-3.3605195589789805E-3</v>
      </c>
      <c r="CQ32" s="2400">
        <f t="shared" si="110"/>
        <v>2.2542148134116369E-2</v>
      </c>
      <c r="CR32" s="2401">
        <f t="shared" si="110"/>
        <v>2.022971470915147E-2</v>
      </c>
      <c r="CS32" s="2401">
        <f t="shared" si="110"/>
        <v>1.3691167925624637E-2</v>
      </c>
      <c r="CT32" s="2401">
        <f t="shared" si="110"/>
        <v>1.8736789309640622E-2</v>
      </c>
      <c r="CU32" s="2400">
        <f t="shared" si="110"/>
        <v>-6.8223378815586155E-3</v>
      </c>
      <c r="CV32" s="2401">
        <f t="shared" si="110"/>
        <v>1.0020536789179246E-2</v>
      </c>
      <c r="CW32" s="2401">
        <f t="shared" si="110"/>
        <v>1.6897458369850904E-2</v>
      </c>
      <c r="CX32" s="2401">
        <f t="shared" si="110"/>
        <v>2.7855345261488695E-2</v>
      </c>
      <c r="CY32" s="2400">
        <f t="shared" si="110"/>
        <v>-1.9285594499413028E-2</v>
      </c>
      <c r="CZ32" s="2401">
        <f t="shared" si="110"/>
        <v>1.4261285909712651E-2</v>
      </c>
      <c r="DA32" s="2401">
        <f t="shared" si="110"/>
        <v>1.5679266277775827E-2</v>
      </c>
      <c r="DB32" s="2401">
        <f t="shared" si="110"/>
        <v>2.6890644711506484E-2</v>
      </c>
      <c r="DC32" s="2400">
        <f t="shared" si="110"/>
        <v>-7.8236130867709308E-3</v>
      </c>
      <c r="DD32" s="2401">
        <f t="shared" si="110"/>
        <v>2.1668295861844156E-2</v>
      </c>
      <c r="DE32" s="2401">
        <f t="shared" si="110"/>
        <v>7.3672460532610007E-3</v>
      </c>
      <c r="DF32" s="2402">
        <f t="shared" si="110"/>
        <v>5.0845311213828959E-2</v>
      </c>
      <c r="DG32" s="2400">
        <f t="shared" si="110"/>
        <v>-5.3115208483971998E-2</v>
      </c>
      <c r="DH32" s="2401">
        <f t="shared" si="110"/>
        <v>7.8908014890706202E-3</v>
      </c>
      <c r="DI32" s="2401">
        <f t="shared" si="110"/>
        <v>2.9579821321463529E-2</v>
      </c>
      <c r="DJ32" s="2402">
        <f>DJ30/DI30-1</f>
        <v>3.3329245109462224E-2</v>
      </c>
      <c r="DK32" s="2400">
        <f>DK30/DJ30-1</f>
        <v>-6.0977419067683503E-2</v>
      </c>
      <c r="DL32" s="2401">
        <f>DL30/DK30-1</f>
        <v>-3.5201921253870894E-2</v>
      </c>
      <c r="DM32" s="2401">
        <f>DM30/DL30-1</f>
        <v>1.326477138739679E-2</v>
      </c>
      <c r="DN32" s="2402">
        <f>DN30/DM30-1</f>
        <v>4.5350227882470895E-2</v>
      </c>
      <c r="DO32" s="2401">
        <f t="shared" ref="DO32:DS32" si="111">DO30/DN30-1</f>
        <v>-7.8107606679035269E-2</v>
      </c>
      <c r="DP32" s="2401">
        <f t="shared" si="111"/>
        <v>2.4619306366136628E-2</v>
      </c>
      <c r="DQ32" s="2401">
        <f t="shared" si="111"/>
        <v>3.8267644362969699E-2</v>
      </c>
      <c r="DR32" s="2402">
        <f t="shared" si="111"/>
        <v>7.0561528517829597E-2</v>
      </c>
      <c r="DS32" s="2400">
        <f t="shared" si="111"/>
        <v>-6.4290973347077007E-2</v>
      </c>
      <c r="DT32" s="2401">
        <f t="shared" ref="DT32" ca="1" si="112">DT30/DS30-1</f>
        <v>-6.8597326651768098E-3</v>
      </c>
      <c r="DU32" s="2401">
        <f t="shared" ref="DU32" ca="1" si="113">DU30/DT30-1</f>
        <v>1.6552587273928276E-2</v>
      </c>
      <c r="DV32" s="2402">
        <f t="shared" ref="DV32" ca="1" si="114">DV30/DU30-1</f>
        <v>4.5720865445446623E-2</v>
      </c>
      <c r="DW32" s="1921"/>
      <c r="DX32"/>
      <c r="DY32"/>
      <c r="DZ32"/>
      <c r="EA32"/>
      <c r="EB32"/>
      <c r="EC32"/>
    </row>
    <row r="33" spans="1:133" hidden="1" outlineLevel="1">
      <c r="A33" s="2408" t="s">
        <v>958</v>
      </c>
      <c r="B33" s="1918"/>
      <c r="C33" s="1918"/>
      <c r="D33" s="1918"/>
      <c r="E33" s="1918"/>
      <c r="F33" s="1918"/>
      <c r="G33" s="1918"/>
      <c r="H33" s="1958"/>
      <c r="I33" s="1958">
        <v>1065</v>
      </c>
      <c r="J33" s="1958">
        <v>-4776</v>
      </c>
      <c r="K33" s="1958">
        <v>-4119</v>
      </c>
      <c r="L33" s="1958">
        <v>259</v>
      </c>
      <c r="M33" s="1958">
        <v>-2506</v>
      </c>
      <c r="N33" s="1918">
        <f t="shared" ref="N33:AB33" si="115">N30-M30</f>
        <v>-1675.0683111954422</v>
      </c>
      <c r="O33" s="1918">
        <f t="shared" si="115"/>
        <v>5149.0683111954422</v>
      </c>
      <c r="P33" s="1918">
        <f t="shared" si="115"/>
        <v>4721</v>
      </c>
      <c r="Q33" s="1918">
        <f t="shared" si="115"/>
        <v>5317</v>
      </c>
      <c r="R33" s="1918">
        <f t="shared" si="115"/>
        <v>2013</v>
      </c>
      <c r="S33" s="1918">
        <f t="shared" si="115"/>
        <v>6449</v>
      </c>
      <c r="T33" s="1918">
        <f t="shared" si="115"/>
        <v>4714</v>
      </c>
      <c r="U33" s="1918">
        <f t="shared" si="115"/>
        <v>4362</v>
      </c>
      <c r="V33" s="1918">
        <f t="shared" si="115"/>
        <v>6872</v>
      </c>
      <c r="W33" s="1918">
        <f>W30-V30</f>
        <v>2598</v>
      </c>
      <c r="X33" s="1918">
        <f t="shared" si="115"/>
        <v>-3966</v>
      </c>
      <c r="Y33" s="1918">
        <f t="shared" si="115"/>
        <v>579</v>
      </c>
      <c r="Z33" s="1918">
        <f t="shared" ca="1" si="115"/>
        <v>2911.3187947181868</v>
      </c>
      <c r="AA33" s="1918">
        <f t="shared" ca="1" si="115"/>
        <v>90.69155460895854</v>
      </c>
      <c r="AB33" s="1918">
        <f t="shared" ca="1" si="115"/>
        <v>616.71056817172212</v>
      </c>
      <c r="AC33" s="1918">
        <f t="shared" ref="AC33" ca="1" si="116">AC30-AB30</f>
        <v>687.87499072785431</v>
      </c>
      <c r="AD33" s="1918">
        <f t="shared" ref="AD33" ca="1" si="117">AD30-AC30</f>
        <v>751.63960050568858</v>
      </c>
      <c r="AE33" s="1918">
        <f t="shared" ref="AE33" ca="1" si="118">AE30-AD30</f>
        <v>822.83424685435602</v>
      </c>
      <c r="AF33" s="1918">
        <f t="shared" ref="AF33" ca="1" si="119">AF30-AE30</f>
        <v>907.79215541039594</v>
      </c>
      <c r="AG33" s="1918">
        <f t="shared" ref="AG33" ca="1" si="120">AG30-AF30</f>
        <v>1009.0815024471085</v>
      </c>
      <c r="AI33" s="2386"/>
      <c r="AK33" s="1918"/>
      <c r="AL33" s="1918"/>
      <c r="AM33" s="1918"/>
      <c r="AN33" s="1918"/>
      <c r="AO33" s="1918"/>
      <c r="AP33" s="1918"/>
      <c r="AQ33" s="1918"/>
      <c r="AR33" s="1918"/>
      <c r="AS33" s="1918"/>
      <c r="AT33" s="1918"/>
      <c r="AU33" s="1918"/>
      <c r="AV33" s="1918"/>
      <c r="AW33" s="1918"/>
      <c r="AX33" s="1918"/>
      <c r="AY33" s="1918"/>
      <c r="AZ33" s="1918"/>
      <c r="BA33" s="1918"/>
      <c r="BB33" s="1918"/>
      <c r="BC33" s="1918"/>
      <c r="BD33" s="1918"/>
      <c r="BE33" s="1918"/>
      <c r="BF33" s="1918"/>
      <c r="BG33" s="2409">
        <v>23809</v>
      </c>
      <c r="BH33" s="2410">
        <v>-69</v>
      </c>
      <c r="BI33" s="2410">
        <v>375</v>
      </c>
      <c r="BJ33" s="2410">
        <v>-512</v>
      </c>
      <c r="BK33" s="2410">
        <v>-712</v>
      </c>
      <c r="BL33" s="2410">
        <v>-100</v>
      </c>
      <c r="BM33" s="2410">
        <v>90</v>
      </c>
      <c r="BN33" s="2410">
        <v>-296</v>
      </c>
      <c r="BO33" s="2410">
        <v>-245</v>
      </c>
      <c r="BP33" s="2410">
        <v>508</v>
      </c>
      <c r="BQ33" s="2410">
        <v>285</v>
      </c>
      <c r="BR33" s="2410">
        <v>-47</v>
      </c>
      <c r="BS33" s="2410">
        <v>-1296</v>
      </c>
      <c r="BT33" s="2410">
        <v>378</v>
      </c>
      <c r="BU33" s="2410">
        <v>286</v>
      </c>
      <c r="BV33" s="2411">
        <v>145</v>
      </c>
      <c r="BW33">
        <f t="shared" ref="BW33:DI33" si="121">BW30-BV30</f>
        <v>-1431.0683111954495</v>
      </c>
      <c r="BX33">
        <f t="shared" si="121"/>
        <v>415.0683111954495</v>
      </c>
      <c r="BY33">
        <f t="shared" si="121"/>
        <v>579</v>
      </c>
      <c r="BZ33">
        <f t="shared" si="121"/>
        <v>151</v>
      </c>
      <c r="CA33">
        <f t="shared" si="121"/>
        <v>-2</v>
      </c>
      <c r="CB33">
        <f t="shared" si="121"/>
        <v>689</v>
      </c>
      <c r="CC33">
        <f t="shared" si="121"/>
        <v>493</v>
      </c>
      <c r="CD33">
        <f t="shared" si="121"/>
        <v>78</v>
      </c>
      <c r="CE33">
        <f t="shared" si="121"/>
        <v>4</v>
      </c>
      <c r="CF33">
        <f t="shared" si="121"/>
        <v>549</v>
      </c>
      <c r="CG33">
        <f t="shared" si="121"/>
        <v>628</v>
      </c>
      <c r="CH33">
        <f t="shared" si="121"/>
        <v>-107</v>
      </c>
      <c r="CI33">
        <f t="shared" si="121"/>
        <v>520</v>
      </c>
      <c r="CJ33">
        <f t="shared" si="121"/>
        <v>346</v>
      </c>
      <c r="CK33">
        <f t="shared" si="121"/>
        <v>423</v>
      </c>
      <c r="CL33">
        <f t="shared" si="121"/>
        <v>-131</v>
      </c>
      <c r="CM33">
        <f t="shared" si="121"/>
        <v>-168</v>
      </c>
      <c r="CN33">
        <f t="shared" si="121"/>
        <v>277</v>
      </c>
      <c r="CO33">
        <f t="shared" si="121"/>
        <v>572</v>
      </c>
      <c r="CP33">
        <f t="shared" si="121"/>
        <v>-89</v>
      </c>
      <c r="CQ33">
        <f t="shared" si="121"/>
        <v>595</v>
      </c>
      <c r="CR33">
        <f t="shared" si="121"/>
        <v>546</v>
      </c>
      <c r="CS33">
        <f t="shared" si="121"/>
        <v>377</v>
      </c>
      <c r="CT33">
        <f t="shared" si="121"/>
        <v>523</v>
      </c>
      <c r="CU33">
        <f t="shared" si="121"/>
        <v>-194</v>
      </c>
      <c r="CV33">
        <f t="shared" si="121"/>
        <v>283</v>
      </c>
      <c r="CW33">
        <f t="shared" si="121"/>
        <v>482</v>
      </c>
      <c r="CX33">
        <f t="shared" si="121"/>
        <v>808</v>
      </c>
      <c r="CY33">
        <f t="shared" si="121"/>
        <v>-575</v>
      </c>
      <c r="CZ33">
        <f t="shared" si="121"/>
        <v>417</v>
      </c>
      <c r="DA33">
        <f t="shared" si="121"/>
        <v>465</v>
      </c>
      <c r="DB33">
        <f t="shared" si="121"/>
        <v>810</v>
      </c>
      <c r="DC33">
        <f t="shared" si="121"/>
        <v>-242</v>
      </c>
      <c r="DD33">
        <f t="shared" si="121"/>
        <v>665</v>
      </c>
      <c r="DE33">
        <f t="shared" si="121"/>
        <v>231</v>
      </c>
      <c r="DF33">
        <f t="shared" si="121"/>
        <v>1606</v>
      </c>
      <c r="DG33">
        <f t="shared" si="121"/>
        <v>-1763</v>
      </c>
      <c r="DH33">
        <f t="shared" si="121"/>
        <v>248</v>
      </c>
      <c r="DI33">
        <f t="shared" si="121"/>
        <v>937</v>
      </c>
      <c r="DJ33">
        <f>DJ30-DI30</f>
        <v>1087</v>
      </c>
      <c r="DK33" s="1918">
        <f>DK30-DJ30</f>
        <v>-2055</v>
      </c>
      <c r="DL33" s="1918">
        <f>DL30-DK30</f>
        <v>-1114</v>
      </c>
      <c r="DM33" s="1918">
        <f>DM30-DL30</f>
        <v>405</v>
      </c>
      <c r="DN33" s="3017">
        <f>DN30-DM30</f>
        <v>1403</v>
      </c>
      <c r="DO33" s="1918">
        <f t="shared" ref="DO33:DS33" si="122">DO30-DN30</f>
        <v>-2526</v>
      </c>
      <c r="DP33" s="1918">
        <f t="shared" si="122"/>
        <v>734</v>
      </c>
      <c r="DQ33" s="1918">
        <f t="shared" si="122"/>
        <v>1169</v>
      </c>
      <c r="DR33" s="3017">
        <f t="shared" si="122"/>
        <v>2238</v>
      </c>
      <c r="DS33" s="3070">
        <f t="shared" si="122"/>
        <v>-2183</v>
      </c>
      <c r="DT33" s="3058">
        <f t="shared" ref="DT33" ca="1" si="123">DT30-DS30</f>
        <v>-217.94742623799903</v>
      </c>
      <c r="DU33" s="3058">
        <f t="shared" ref="DU33" ca="1" si="124">DU30-DT30</f>
        <v>522.30120907331366</v>
      </c>
      <c r="DV33" s="3058">
        <f t="shared" ref="DV33" ca="1" si="125">DV30-DU30</f>
        <v>1466.558655285553</v>
      </c>
    </row>
    <row r="34" spans="1:133" s="1578" customFormat="1" hidden="1" outlineLevel="1">
      <c r="A34" s="2396"/>
      <c r="B34" s="1924"/>
      <c r="C34" s="1924"/>
      <c r="D34" s="1924"/>
      <c r="E34" s="1924"/>
      <c r="F34" s="1924"/>
      <c r="G34" s="1924"/>
      <c r="H34" s="1958"/>
      <c r="I34" s="1958"/>
      <c r="J34" s="1958"/>
      <c r="K34" s="1958"/>
      <c r="L34" s="1958"/>
      <c r="M34" s="1958"/>
      <c r="N34" s="1924"/>
      <c r="O34" s="1924"/>
      <c r="P34" s="1924"/>
      <c r="Q34" s="1924"/>
      <c r="R34" s="1924"/>
      <c r="S34" s="1924"/>
      <c r="T34" s="1924"/>
      <c r="U34" s="1924"/>
      <c r="V34" s="1924"/>
      <c r="W34" s="1924"/>
      <c r="X34" s="1924"/>
      <c r="Y34" s="1924"/>
      <c r="Z34" s="1924"/>
      <c r="AA34" s="1924"/>
      <c r="AB34" s="1924"/>
      <c r="AC34" s="1924"/>
      <c r="AD34" s="1924"/>
      <c r="AE34" s="1924"/>
      <c r="AF34" s="1924"/>
      <c r="AG34" s="1924"/>
      <c r="AH34" s="1924"/>
      <c r="AI34" s="2386"/>
      <c r="AJ34" s="1924"/>
      <c r="AK34" s="1924"/>
      <c r="AL34" s="1924"/>
      <c r="AM34" s="1924"/>
      <c r="AN34" s="1924"/>
      <c r="AO34" s="1924"/>
      <c r="AP34" s="1924"/>
      <c r="AQ34" s="1924"/>
      <c r="AR34" s="1924"/>
      <c r="AS34" s="1924"/>
      <c r="AT34" s="1924"/>
      <c r="AU34" s="1924"/>
      <c r="AV34" s="1924"/>
      <c r="AW34" s="1924"/>
      <c r="AX34" s="1924"/>
      <c r="AY34" s="1924"/>
      <c r="AZ34" s="1924"/>
      <c r="BA34" s="1924"/>
      <c r="BB34" s="1924"/>
      <c r="BC34" s="1924"/>
      <c r="BD34" s="1924"/>
      <c r="BE34" s="1924"/>
      <c r="BF34" s="1924"/>
      <c r="BG34" s="2397"/>
      <c r="BH34" s="2398"/>
      <c r="BI34" s="2398"/>
      <c r="BJ34" s="2398"/>
      <c r="BK34" s="2398"/>
      <c r="BL34" s="2398"/>
      <c r="BM34" s="2398"/>
      <c r="BN34" s="2398"/>
      <c r="BO34" s="2398"/>
      <c r="BP34" s="2398"/>
      <c r="BQ34" s="2398"/>
      <c r="BR34" s="2398"/>
      <c r="BS34" s="2398"/>
      <c r="BT34" s="2398"/>
      <c r="BU34" s="2398"/>
      <c r="BV34" s="2399"/>
      <c r="BW34" s="2400"/>
      <c r="BX34" s="2401"/>
      <c r="BY34" s="2401"/>
      <c r="BZ34" s="2401"/>
      <c r="CA34" s="2400"/>
      <c r="CB34" s="2401"/>
      <c r="CC34" s="2401"/>
      <c r="CD34" s="2401"/>
      <c r="CE34" s="2400"/>
      <c r="CF34" s="2401"/>
      <c r="CG34" s="2401"/>
      <c r="CH34" s="2401"/>
      <c r="CI34" s="2400"/>
      <c r="CJ34" s="2401"/>
      <c r="CK34" s="2401"/>
      <c r="CL34" s="2401"/>
      <c r="CM34" s="2400"/>
      <c r="CN34" s="2401"/>
      <c r="CO34" s="2401"/>
      <c r="CP34" s="2401"/>
      <c r="CQ34" s="2400"/>
      <c r="CR34" s="2401"/>
      <c r="CS34" s="2401"/>
      <c r="CT34" s="2401"/>
      <c r="CU34" s="2400"/>
      <c r="CV34" s="2401"/>
      <c r="CW34" s="2401"/>
      <c r="CX34" s="2401"/>
      <c r="CY34" s="2400"/>
      <c r="CZ34" s="2401"/>
      <c r="DA34" s="2401"/>
      <c r="DB34" s="2401"/>
      <c r="DC34" s="2400"/>
      <c r="DD34" s="2401"/>
      <c r="DE34" s="2401"/>
      <c r="DF34" s="2402"/>
      <c r="DG34" s="2400"/>
      <c r="DH34" s="2401"/>
      <c r="DI34" s="2401"/>
      <c r="DJ34" s="2402"/>
      <c r="DK34" s="2400"/>
      <c r="DL34" s="2401"/>
      <c r="DM34" s="2401"/>
      <c r="DN34" s="2402"/>
      <c r="DO34" s="2401"/>
      <c r="DP34" s="2401"/>
      <c r="DQ34" s="2401"/>
      <c r="DR34" s="2402"/>
      <c r="DS34" s="2400"/>
      <c r="DT34" s="2401"/>
      <c r="DU34" s="2401"/>
      <c r="DV34" s="2402"/>
      <c r="DW34" s="1924"/>
      <c r="DX34"/>
      <c r="DY34"/>
      <c r="DZ34"/>
      <c r="EA34"/>
      <c r="EB34"/>
      <c r="EC34"/>
    </row>
    <row r="35" spans="1:133" s="820" customFormat="1" ht="15" customHeight="1" collapsed="1">
      <c r="A35" s="1923" t="s">
        <v>1152</v>
      </c>
      <c r="B35" s="1923"/>
      <c r="C35" s="1923"/>
      <c r="D35" s="1923"/>
      <c r="E35" s="1923"/>
      <c r="F35" s="1923"/>
      <c r="G35" s="1923"/>
      <c r="H35" s="1923"/>
      <c r="I35" s="1923"/>
      <c r="J35" s="1923"/>
      <c r="K35" s="1923"/>
      <c r="L35" s="1923"/>
      <c r="M35" s="1923"/>
      <c r="N35" s="1923">
        <f>SUM(BW35:BZ35)</f>
        <v>100189.93168880456</v>
      </c>
      <c r="O35" s="1923">
        <f>SUM(CA35:CD35)</f>
        <v>95810.894728749263</v>
      </c>
      <c r="P35" s="1923">
        <f>SUM(CE35:CH35)</f>
        <v>101189.43748656698</v>
      </c>
      <c r="Q35" s="1923">
        <f>SUM(CI35:CL35)</f>
        <v>102413</v>
      </c>
      <c r="R35" s="1923">
        <f>SUM(CM35:CP35)</f>
        <v>104426</v>
      </c>
      <c r="S35" s="1923">
        <f>SUM(CQ35:CT35)</f>
        <v>110875</v>
      </c>
      <c r="T35" s="1923">
        <f>SUM(CU35:CX35)</f>
        <v>115589</v>
      </c>
      <c r="U35" s="1923">
        <f>SUM(CY35:DB35)</f>
        <v>119951</v>
      </c>
      <c r="V35" s="1923">
        <f>SUM(DC35:DF35)</f>
        <v>126823</v>
      </c>
      <c r="W35" s="1923">
        <f>SUM(DG35:DJ35)</f>
        <v>129421</v>
      </c>
      <c r="X35" s="1923">
        <f>SUM(DK35:DN35)</f>
        <v>125455</v>
      </c>
      <c r="Y35" s="1923">
        <f>SUM(DO35:DR35)</f>
        <v>126034</v>
      </c>
      <c r="Z35" s="1923">
        <f ca="1">SUM(DS35:DV35)</f>
        <v>128945.31879471819</v>
      </c>
      <c r="AA35" s="1923">
        <f ca="1">AA18+AA14+AA10</f>
        <v>129036.01034932715</v>
      </c>
      <c r="AB35" s="1923">
        <f ca="1">AB18+AB14+AB10</f>
        <v>129652.72091749887</v>
      </c>
      <c r="AC35" s="1923">
        <f t="shared" ref="AC35:AG35" ca="1" si="126">AC18+AC14+AC10</f>
        <v>130340.59590822672</v>
      </c>
      <c r="AD35" s="1923">
        <f t="shared" ca="1" si="126"/>
        <v>131092.23550873241</v>
      </c>
      <c r="AE35" s="1923">
        <f t="shared" ca="1" si="126"/>
        <v>131915.06975558677</v>
      </c>
      <c r="AF35" s="1923">
        <f t="shared" ca="1" si="126"/>
        <v>132822.86191099716</v>
      </c>
      <c r="AG35" s="1923">
        <f t="shared" ca="1" si="126"/>
        <v>133831.94341344427</v>
      </c>
      <c r="AH35" s="1923"/>
      <c r="AI35" s="2386">
        <f ca="1">(AA35/V35)^(1/5)-1</f>
        <v>3.465812453891326E-3</v>
      </c>
      <c r="AJ35" s="1923"/>
      <c r="AK35" s="1923"/>
      <c r="AL35" s="1923"/>
      <c r="AM35" s="1923"/>
      <c r="AN35" s="1923"/>
      <c r="AO35" s="1923"/>
      <c r="AP35" s="1923"/>
      <c r="AQ35" s="1923"/>
      <c r="AR35" s="1923"/>
      <c r="AS35" s="1923"/>
      <c r="AT35" s="1923"/>
      <c r="AU35" s="1923"/>
      <c r="AV35" s="1923"/>
      <c r="AW35" s="1923"/>
      <c r="AX35" s="1923"/>
      <c r="AY35" s="1923"/>
      <c r="AZ35" s="1923"/>
      <c r="BA35" s="1923"/>
      <c r="BB35" s="1923"/>
      <c r="BC35" s="1923"/>
      <c r="BD35" s="1923"/>
      <c r="BE35" s="1923"/>
      <c r="BF35" s="1923"/>
      <c r="BG35" s="2388"/>
      <c r="BH35" s="2389"/>
      <c r="BI35" s="2389"/>
      <c r="BJ35" s="2389"/>
      <c r="BK35" s="2389"/>
      <c r="BL35" s="2389"/>
      <c r="BM35" s="2389"/>
      <c r="BN35" s="2389"/>
      <c r="BO35" s="2389"/>
      <c r="BP35" s="2389"/>
      <c r="BQ35" s="2389"/>
      <c r="BR35" s="2389"/>
      <c r="BS35" s="2389"/>
      <c r="BT35" s="2389"/>
      <c r="BU35" s="2389"/>
      <c r="BV35" s="2390"/>
      <c r="BW35" s="2403">
        <f>+BW30+7169</f>
        <v>28336.931688804551</v>
      </c>
      <c r="BX35" s="2404">
        <f>+BX30+1843</f>
        <v>23426</v>
      </c>
      <c r="BY35" s="2404">
        <f>+BY30+1945</f>
        <v>24107</v>
      </c>
      <c r="BZ35" s="2404">
        <f>+BZ30+2007</f>
        <v>24320</v>
      </c>
      <c r="CA35" s="2403">
        <f>CE35/(1+CE36)</f>
        <v>23200.506836548404</v>
      </c>
      <c r="CB35" s="2404">
        <f>CF35/(1+CF36)</f>
        <v>23775.301398141379</v>
      </c>
      <c r="CC35" s="2404">
        <f>CG35/(1+CG36)</f>
        <v>24367.592371891384</v>
      </c>
      <c r="CD35" s="2404">
        <f>CH35/(1+CH36)</f>
        <v>24467.494122168093</v>
      </c>
      <c r="CE35" s="2403">
        <f>+CI35/(1+CI36)</f>
        <v>24623.287671232876</v>
      </c>
      <c r="CF35" s="2404">
        <f>+CJ35/(1+CJ36)</f>
        <v>25035.328753680082</v>
      </c>
      <c r="CG35" s="2404">
        <f>+CK35/(1+CK36)</f>
        <v>25779.324055666002</v>
      </c>
      <c r="CH35" s="2404">
        <f>+CL35/(1+CL36)</f>
        <v>25751.497005988025</v>
      </c>
      <c r="CI35" s="2391">
        <f t="shared" ref="CI35:DG35" si="127">CI18+CI14+CI10</f>
        <v>25165</v>
      </c>
      <c r="CJ35" s="2392">
        <f t="shared" si="127"/>
        <v>25511</v>
      </c>
      <c r="CK35" s="2392">
        <f t="shared" si="127"/>
        <v>25934</v>
      </c>
      <c r="CL35" s="2392">
        <f t="shared" si="127"/>
        <v>25803</v>
      </c>
      <c r="CM35" s="2391">
        <f t="shared" si="127"/>
        <v>25635</v>
      </c>
      <c r="CN35" s="2392">
        <f t="shared" si="127"/>
        <v>25912</v>
      </c>
      <c r="CO35" s="2392">
        <f t="shared" si="127"/>
        <v>26484</v>
      </c>
      <c r="CP35" s="2392">
        <f t="shared" si="127"/>
        <v>26395</v>
      </c>
      <c r="CQ35" s="2391">
        <f t="shared" si="127"/>
        <v>26990</v>
      </c>
      <c r="CR35" s="2392">
        <f t="shared" si="127"/>
        <v>27536</v>
      </c>
      <c r="CS35" s="2392">
        <f t="shared" si="127"/>
        <v>27913</v>
      </c>
      <c r="CT35" s="2392">
        <f t="shared" si="127"/>
        <v>28436</v>
      </c>
      <c r="CU35" s="2391">
        <f t="shared" si="127"/>
        <v>28242</v>
      </c>
      <c r="CV35" s="2392">
        <f t="shared" si="127"/>
        <v>28525</v>
      </c>
      <c r="CW35" s="2392">
        <f t="shared" si="127"/>
        <v>29007</v>
      </c>
      <c r="CX35" s="2392">
        <f t="shared" si="127"/>
        <v>29815</v>
      </c>
      <c r="CY35" s="2391">
        <f t="shared" si="127"/>
        <v>29240</v>
      </c>
      <c r="CZ35" s="2392">
        <f t="shared" si="127"/>
        <v>29657</v>
      </c>
      <c r="DA35" s="2392">
        <f t="shared" si="127"/>
        <v>30122</v>
      </c>
      <c r="DB35" s="2392">
        <f t="shared" si="127"/>
        <v>30932</v>
      </c>
      <c r="DC35" s="2391">
        <f t="shared" si="127"/>
        <v>30690</v>
      </c>
      <c r="DD35" s="2392">
        <f t="shared" si="127"/>
        <v>31355</v>
      </c>
      <c r="DE35" s="2392">
        <f t="shared" si="127"/>
        <v>31586</v>
      </c>
      <c r="DF35" s="2393">
        <f t="shared" si="127"/>
        <v>33192</v>
      </c>
      <c r="DG35" s="2391">
        <f t="shared" si="127"/>
        <v>31429</v>
      </c>
      <c r="DH35" s="2392">
        <f t="shared" ref="DH35:DJ35" si="128">DH18+DH14+DH10</f>
        <v>31677</v>
      </c>
      <c r="DI35" s="2392">
        <f t="shared" si="128"/>
        <v>32614</v>
      </c>
      <c r="DJ35" s="2393">
        <f t="shared" si="128"/>
        <v>33701</v>
      </c>
      <c r="DK35" s="2391">
        <f t="shared" ref="DK35:DL35" si="129">DK18+DK14+DK10</f>
        <v>31646</v>
      </c>
      <c r="DL35" s="2392">
        <f t="shared" si="129"/>
        <v>30532</v>
      </c>
      <c r="DM35" s="2392">
        <f t="shared" ref="DM35:DN35" si="130">DM18+DM14+DM10</f>
        <v>30937</v>
      </c>
      <c r="DN35" s="2393">
        <f t="shared" si="130"/>
        <v>32340</v>
      </c>
      <c r="DO35" s="2391">
        <f t="shared" ref="DO35:DP35" si="131">DO18+DO14+DO10</f>
        <v>29814</v>
      </c>
      <c r="DP35" s="2392">
        <f t="shared" si="131"/>
        <v>30548</v>
      </c>
      <c r="DQ35" s="2392">
        <f t="shared" ref="DQ35:DR35" si="132">DQ18+DQ14+DQ10</f>
        <v>31717</v>
      </c>
      <c r="DR35" s="2393">
        <f t="shared" si="132"/>
        <v>33955</v>
      </c>
      <c r="DS35" s="2391">
        <f t="shared" ref="DS35" si="133">DS18+DS14+DS10</f>
        <v>31772</v>
      </c>
      <c r="DT35" s="2392">
        <f t="shared" ref="DT35:DV35" ca="1" si="134">DT18+DT14+DT10</f>
        <v>31554.052573762001</v>
      </c>
      <c r="DU35" s="2392">
        <f t="shared" ca="1" si="134"/>
        <v>32076.353782835315</v>
      </c>
      <c r="DV35" s="2393">
        <f t="shared" ca="1" si="134"/>
        <v>33542.912438120868</v>
      </c>
      <c r="DW35" s="1923"/>
      <c r="DX35"/>
      <c r="DY35"/>
      <c r="DZ35"/>
      <c r="EA35"/>
      <c r="EB35"/>
      <c r="EC35"/>
    </row>
    <row r="36" spans="1:133" s="821" customFormat="1" ht="15" customHeight="1">
      <c r="A36" s="2396" t="s">
        <v>945</v>
      </c>
      <c r="B36" s="1921"/>
      <c r="C36" s="1921"/>
      <c r="D36" s="1921"/>
      <c r="E36" s="1921"/>
      <c r="F36" s="1921"/>
      <c r="G36" s="1921"/>
      <c r="H36" s="1921"/>
      <c r="I36" s="1921"/>
      <c r="J36" s="1921"/>
      <c r="K36" s="1921"/>
      <c r="L36" s="1921"/>
      <c r="M36" s="1921"/>
      <c r="N36" s="1921"/>
      <c r="O36" s="1921">
        <f>+O35/N35-1</f>
        <v>-4.3707355482153876E-2</v>
      </c>
      <c r="P36" s="1921">
        <f>+P35/O35-1</f>
        <v>5.6137068472692286E-2</v>
      </c>
      <c r="Q36" s="1958" t="s">
        <v>1149</v>
      </c>
      <c r="R36" s="1921">
        <f t="shared" ref="R36:AB36" si="135">R35/Q35-1</f>
        <v>1.9655707771474296E-2</v>
      </c>
      <c r="S36" s="1921">
        <f t="shared" si="135"/>
        <v>6.1756650642560196E-2</v>
      </c>
      <c r="T36" s="1921">
        <f t="shared" si="135"/>
        <v>4.2516347237880447E-2</v>
      </c>
      <c r="U36" s="1921">
        <f>U35/T35-1</f>
        <v>3.7737154919585736E-2</v>
      </c>
      <c r="V36" s="1921">
        <f t="shared" si="135"/>
        <v>5.7290060107877405E-2</v>
      </c>
      <c r="W36" s="1921">
        <f>W35/V35-1</f>
        <v>2.0485243212981841E-2</v>
      </c>
      <c r="X36" s="1921">
        <f>X35/W35-1</f>
        <v>-3.0644176756476904E-2</v>
      </c>
      <c r="Y36" s="1921">
        <f>Y35/X35-1</f>
        <v>4.6152006695627801E-3</v>
      </c>
      <c r="Z36" s="1921">
        <f ca="1">Z35/Y35-1</f>
        <v>2.30994715292554E-2</v>
      </c>
      <c r="AA36" s="1921">
        <f t="shared" ca="1" si="135"/>
        <v>7.0333343976103357E-4</v>
      </c>
      <c r="AB36" s="1921">
        <f t="shared" ca="1" si="135"/>
        <v>4.7793679183210092E-3</v>
      </c>
      <c r="AC36" s="1921">
        <f t="shared" ref="AC36" ca="1" si="136">AC35/AB35-1</f>
        <v>5.3055191272504132E-3</v>
      </c>
      <c r="AD36" s="1921">
        <f t="shared" ref="AD36" ca="1" si="137">AD35/AC35-1</f>
        <v>5.7667344181464575E-3</v>
      </c>
      <c r="AE36" s="1921">
        <f t="shared" ref="AE36" ca="1" si="138">AE35/AD35-1</f>
        <v>6.2767580677922652E-3</v>
      </c>
      <c r="AF36" s="1921">
        <f t="shared" ref="AF36" ca="1" si="139">AF35/AE35-1</f>
        <v>6.8816410216994139E-3</v>
      </c>
      <c r="AG36" s="1921">
        <f t="shared" ref="AG36" ca="1" si="140">AG35/AF35-1</f>
        <v>7.5971974096091799E-3</v>
      </c>
      <c r="AH36" s="1921"/>
      <c r="AI36" s="2386"/>
      <c r="AJ36" s="1921"/>
      <c r="AK36" s="1921"/>
      <c r="AL36" s="1921"/>
      <c r="AM36" s="1921"/>
      <c r="AN36" s="1921"/>
      <c r="AO36" s="1921"/>
      <c r="AP36" s="1921"/>
      <c r="AQ36" s="1921"/>
      <c r="AR36" s="1921"/>
      <c r="AS36" s="1921"/>
      <c r="AT36" s="1921"/>
      <c r="AU36" s="1921"/>
      <c r="AV36" s="1921"/>
      <c r="AW36" s="1921"/>
      <c r="AX36" s="1921"/>
      <c r="AY36" s="1921"/>
      <c r="AZ36" s="1921"/>
      <c r="BA36" s="1921"/>
      <c r="BB36" s="1921"/>
      <c r="BC36" s="1921"/>
      <c r="BD36" s="1921"/>
      <c r="BE36" s="1921"/>
      <c r="BF36" s="1921"/>
      <c r="BG36" s="2400"/>
      <c r="BH36" s="2401"/>
      <c r="BI36" s="2401"/>
      <c r="BJ36" s="2401"/>
      <c r="BK36" s="2401"/>
      <c r="BL36" s="2401"/>
      <c r="BM36" s="2401"/>
      <c r="BN36" s="2401"/>
      <c r="BO36" s="2401"/>
      <c r="BP36" s="2401"/>
      <c r="BQ36" s="2401"/>
      <c r="BR36" s="2401"/>
      <c r="BS36" s="2401"/>
      <c r="BT36" s="2401"/>
      <c r="BU36" s="2401"/>
      <c r="BV36" s="2402"/>
      <c r="BW36" s="2400"/>
      <c r="BX36" s="2401"/>
      <c r="BY36" s="2401"/>
      <c r="BZ36" s="2401"/>
      <c r="CA36" s="2400"/>
      <c r="CB36" s="2401"/>
      <c r="CC36" s="2401"/>
      <c r="CD36" s="2401"/>
      <c r="CE36" s="2405">
        <v>6.1325420375865525E-2</v>
      </c>
      <c r="CF36" s="2406">
        <v>5.2997324174288041E-2</v>
      </c>
      <c r="CG36" s="2406">
        <v>5.7934803825883341E-2</v>
      </c>
      <c r="CH36" s="2406">
        <v>5.2477907112547184E-2</v>
      </c>
      <c r="CI36" s="2400">
        <v>2.1999999999999999E-2</v>
      </c>
      <c r="CJ36" s="2401">
        <v>1.9E-2</v>
      </c>
      <c r="CK36" s="2401">
        <v>6.0000000000000001E-3</v>
      </c>
      <c r="CL36" s="2401">
        <v>2E-3</v>
      </c>
      <c r="CM36" s="2400">
        <f t="shared" ref="CM36:DS36" si="141">CM35/CI35-1</f>
        <v>1.8676733558513847E-2</v>
      </c>
      <c r="CN36" s="2401">
        <f t="shared" si="141"/>
        <v>1.5718709576261203E-2</v>
      </c>
      <c r="CO36" s="2401">
        <f t="shared" si="141"/>
        <v>2.1207681036477188E-2</v>
      </c>
      <c r="CP36" s="2401">
        <f t="shared" si="141"/>
        <v>2.2943068635429942E-2</v>
      </c>
      <c r="CQ36" s="2400">
        <f t="shared" si="141"/>
        <v>5.2857421494051149E-2</v>
      </c>
      <c r="CR36" s="2401">
        <f t="shared" si="141"/>
        <v>6.2673664711330623E-2</v>
      </c>
      <c r="CS36" s="2401">
        <f t="shared" si="141"/>
        <v>5.3957106177314529E-2</v>
      </c>
      <c r="CT36" s="2401">
        <f t="shared" si="141"/>
        <v>7.73252509945066E-2</v>
      </c>
      <c r="CU36" s="2400">
        <f t="shared" si="141"/>
        <v>4.6387550944794409E-2</v>
      </c>
      <c r="CV36" s="2401">
        <f t="shared" si="141"/>
        <v>3.59166182452062E-2</v>
      </c>
      <c r="CW36" s="2401">
        <f t="shared" si="141"/>
        <v>3.9193207466055258E-2</v>
      </c>
      <c r="CX36" s="2401">
        <f t="shared" si="141"/>
        <v>4.8494865663243791E-2</v>
      </c>
      <c r="CY36" s="2400">
        <f>CY35/CU35-1</f>
        <v>3.5337440691169286E-2</v>
      </c>
      <c r="CZ36" s="2401">
        <f t="shared" si="141"/>
        <v>3.9684487291849146E-2</v>
      </c>
      <c r="DA36" s="2401">
        <f t="shared" si="141"/>
        <v>3.84389974833661E-2</v>
      </c>
      <c r="DB36" s="2401">
        <f t="shared" si="141"/>
        <v>3.7464363575381521E-2</v>
      </c>
      <c r="DC36" s="2400">
        <f t="shared" si="141"/>
        <v>4.9589603283173744E-2</v>
      </c>
      <c r="DD36" s="2401">
        <f t="shared" si="141"/>
        <v>5.7254611053039861E-2</v>
      </c>
      <c r="DE36" s="2401">
        <f t="shared" si="141"/>
        <v>4.8602350441537823E-2</v>
      </c>
      <c r="DF36" s="2402">
        <f t="shared" si="141"/>
        <v>7.3063494116125671E-2</v>
      </c>
      <c r="DG36" s="2400">
        <f t="shared" si="141"/>
        <v>2.4079504724666023E-2</v>
      </c>
      <c r="DH36" s="2401">
        <f t="shared" si="141"/>
        <v>1.0269494498485132E-2</v>
      </c>
      <c r="DI36" s="2401">
        <f t="shared" si="141"/>
        <v>3.2546064712214218E-2</v>
      </c>
      <c r="DJ36" s="2402">
        <f t="shared" si="141"/>
        <v>1.5335020486864304E-2</v>
      </c>
      <c r="DK36" s="2400">
        <f t="shared" si="141"/>
        <v>6.9044513029368204E-3</v>
      </c>
      <c r="DL36" s="2401">
        <f t="shared" si="141"/>
        <v>-3.6146099693784128E-2</v>
      </c>
      <c r="DM36" s="2401">
        <f t="shared" si="141"/>
        <v>-5.1419635739253122E-2</v>
      </c>
      <c r="DN36" s="2402">
        <f t="shared" si="141"/>
        <v>-4.0384558321711506E-2</v>
      </c>
      <c r="DO36" s="2400">
        <f t="shared" si="141"/>
        <v>-5.7890412690387416E-2</v>
      </c>
      <c r="DP36" s="2401">
        <f t="shared" si="141"/>
        <v>5.2404035110709124E-4</v>
      </c>
      <c r="DQ36" s="2401">
        <f t="shared" si="141"/>
        <v>2.521252868733237E-2</v>
      </c>
      <c r="DR36" s="2402">
        <f t="shared" si="141"/>
        <v>4.9938157081014234E-2</v>
      </c>
      <c r="DS36" s="2400">
        <f t="shared" si="141"/>
        <v>6.5673844502582623E-2</v>
      </c>
      <c r="DT36" s="2401">
        <f t="shared" ref="DT36" ca="1" si="142">DT35/DP35-1</f>
        <v>3.2933500515974989E-2</v>
      </c>
      <c r="DU36" s="2401">
        <f t="shared" ref="DU36" ca="1" si="143">DU35/DQ35-1</f>
        <v>1.1330005449295744E-2</v>
      </c>
      <c r="DV36" s="2402">
        <f t="shared" ref="DV36" ca="1" si="144">DV35/DR35-1</f>
        <v>-1.2136285138540148E-2</v>
      </c>
      <c r="DW36" s="1923"/>
      <c r="DX36"/>
      <c r="DY36"/>
      <c r="DZ36"/>
      <c r="EA36"/>
      <c r="EB36"/>
      <c r="EC36"/>
    </row>
    <row r="37" spans="1:133" s="1620" customFormat="1" ht="15" customHeight="1">
      <c r="A37" s="2396"/>
      <c r="B37" s="1924"/>
      <c r="C37" s="1924"/>
      <c r="D37" s="1924"/>
      <c r="E37" s="1924"/>
      <c r="F37" s="1924"/>
      <c r="G37" s="1924"/>
      <c r="H37" s="1924"/>
      <c r="I37" s="1924"/>
      <c r="J37" s="1924"/>
      <c r="K37" s="1924"/>
      <c r="L37" s="1924"/>
      <c r="M37" s="1924"/>
      <c r="N37" s="1924"/>
      <c r="O37" s="1924"/>
      <c r="P37" s="1924"/>
      <c r="Q37" s="1958"/>
      <c r="R37" s="1924"/>
      <c r="S37" s="1924"/>
      <c r="T37" s="1924"/>
      <c r="U37" s="1924"/>
      <c r="V37" s="1924"/>
      <c r="W37" s="1924"/>
      <c r="X37" s="1924"/>
      <c r="Y37" s="1924"/>
      <c r="Z37" s="1924"/>
      <c r="AA37" s="1924"/>
      <c r="AB37" s="1924"/>
      <c r="AC37" s="1924"/>
      <c r="AD37" s="1924"/>
      <c r="AE37" s="1924"/>
      <c r="AF37" s="1924"/>
      <c r="AG37" s="1924"/>
      <c r="AH37" s="1924"/>
      <c r="AI37" s="2386"/>
      <c r="AJ37" s="1924"/>
      <c r="AK37" s="1924"/>
      <c r="AL37" s="1924"/>
      <c r="AM37" s="1924"/>
      <c r="AN37" s="1924"/>
      <c r="AO37" s="1924"/>
      <c r="AP37" s="1924"/>
      <c r="AQ37" s="1924"/>
      <c r="AR37" s="1924"/>
      <c r="AS37" s="1924"/>
      <c r="AT37" s="1924"/>
      <c r="AU37" s="1924"/>
      <c r="AV37" s="1924"/>
      <c r="AW37" s="1924"/>
      <c r="AX37" s="1924"/>
      <c r="AY37" s="1924"/>
      <c r="AZ37" s="1924"/>
      <c r="BA37" s="1924"/>
      <c r="BB37" s="1924"/>
      <c r="BC37" s="1924"/>
      <c r="BD37" s="1924"/>
      <c r="BE37" s="1924"/>
      <c r="BF37" s="1924"/>
      <c r="BG37" s="2400"/>
      <c r="BH37" s="2401"/>
      <c r="BI37" s="2401"/>
      <c r="BJ37" s="2401"/>
      <c r="BK37" s="2401"/>
      <c r="BL37" s="2401"/>
      <c r="BM37" s="2401"/>
      <c r="BN37" s="2401"/>
      <c r="BO37" s="2401"/>
      <c r="BP37" s="2401"/>
      <c r="BQ37" s="2401"/>
      <c r="BR37" s="2401"/>
      <c r="BS37" s="2401"/>
      <c r="BT37" s="2401"/>
      <c r="BU37" s="2401"/>
      <c r="BV37" s="2402"/>
      <c r="BW37" s="2400"/>
      <c r="BX37" s="2401"/>
      <c r="BY37" s="2401"/>
      <c r="BZ37" s="2401"/>
      <c r="CA37" s="2400"/>
      <c r="CB37" s="2401"/>
      <c r="CC37" s="2401"/>
      <c r="CD37" s="2401"/>
      <c r="CE37" s="2400"/>
      <c r="CF37" s="2401"/>
      <c r="CG37" s="2401"/>
      <c r="CH37" s="2401"/>
      <c r="CI37" s="2400"/>
      <c r="CJ37" s="2401"/>
      <c r="CK37" s="2401"/>
      <c r="CL37" s="2401"/>
      <c r="CM37" s="2400"/>
      <c r="CN37" s="2401"/>
      <c r="CO37" s="2401"/>
      <c r="CP37" s="2401"/>
      <c r="CQ37" s="2400"/>
      <c r="CR37" s="2401"/>
      <c r="CS37" s="2401"/>
      <c r="CT37" s="2401"/>
      <c r="CU37" s="2400"/>
      <c r="CV37" s="2401"/>
      <c r="CW37" s="2401"/>
      <c r="CX37" s="2401"/>
      <c r="CY37" s="2400"/>
      <c r="CZ37" s="2401"/>
      <c r="DA37" s="2401"/>
      <c r="DB37" s="2401"/>
      <c r="DC37" s="2400"/>
      <c r="DD37" s="2401"/>
      <c r="DE37" s="2401"/>
      <c r="DF37" s="2402"/>
      <c r="DG37" s="2400"/>
      <c r="DH37" s="2401"/>
      <c r="DI37" s="2401"/>
      <c r="DJ37" s="2402"/>
      <c r="DK37" s="2400"/>
      <c r="DL37" s="2401"/>
      <c r="DM37" s="2401"/>
      <c r="DN37" s="2402"/>
      <c r="DO37" s="2400"/>
      <c r="DP37" s="2401"/>
      <c r="DQ37" s="2401"/>
      <c r="DR37" s="2402"/>
      <c r="DS37" s="2400"/>
      <c r="DT37" s="2401"/>
      <c r="DU37" s="2401"/>
      <c r="DV37" s="2402"/>
      <c r="DW37" s="1923"/>
      <c r="DX37"/>
      <c r="DY37"/>
      <c r="DZ37"/>
      <c r="EA37"/>
      <c r="EB37"/>
      <c r="EC37"/>
    </row>
    <row r="38" spans="1:133" s="820" customFormat="1" ht="15" customHeight="1">
      <c r="A38" s="1923" t="s">
        <v>960</v>
      </c>
      <c r="B38" s="1923"/>
      <c r="C38" s="1923"/>
      <c r="D38" s="1923"/>
      <c r="E38" s="1923"/>
      <c r="F38" s="1923"/>
      <c r="G38" s="1923"/>
      <c r="H38" s="1923"/>
      <c r="I38" s="1923"/>
      <c r="J38" s="1923"/>
      <c r="K38" s="1923"/>
      <c r="L38" s="1923"/>
      <c r="M38" s="1923"/>
      <c r="N38" s="1923"/>
      <c r="O38" s="1923"/>
      <c r="P38" s="1923"/>
      <c r="Q38" s="1923"/>
      <c r="R38" s="1923"/>
      <c r="S38" s="1923"/>
      <c r="T38" s="1923"/>
      <c r="U38" s="1923"/>
      <c r="V38" s="1923"/>
      <c r="W38" s="1923"/>
      <c r="X38" s="1923"/>
      <c r="Y38" s="1923"/>
      <c r="Z38" s="1923"/>
      <c r="AA38" s="1923"/>
      <c r="AB38" s="1923"/>
      <c r="AC38" s="1923"/>
      <c r="AD38" s="1923"/>
      <c r="AE38" s="1923"/>
      <c r="AF38" s="1923"/>
      <c r="AG38" s="1923"/>
      <c r="AH38" s="1923"/>
      <c r="AI38" s="2386"/>
      <c r="AJ38" s="1923"/>
      <c r="AK38" s="1923"/>
      <c r="AL38" s="1923"/>
      <c r="AM38" s="1923"/>
      <c r="AN38" s="1923"/>
      <c r="AO38" s="1923"/>
      <c r="AP38" s="1923"/>
      <c r="AQ38" s="1923"/>
      <c r="AR38" s="1923"/>
      <c r="AS38" s="1923"/>
      <c r="AT38" s="1923"/>
      <c r="AU38" s="1923"/>
      <c r="AV38" s="1923"/>
      <c r="AW38" s="1923"/>
      <c r="AX38" s="1923"/>
      <c r="AY38" s="1923"/>
      <c r="AZ38" s="1923"/>
      <c r="BA38" s="1923"/>
      <c r="BB38" s="1923"/>
      <c r="BC38" s="1923"/>
      <c r="BD38" s="1923"/>
      <c r="BE38" s="1923"/>
      <c r="BF38" s="1923"/>
      <c r="BG38" s="2391"/>
      <c r="BH38" s="2392"/>
      <c r="BI38" s="2392"/>
      <c r="BJ38" s="2392"/>
      <c r="BK38" s="2392"/>
      <c r="BL38" s="2392"/>
      <c r="BM38" s="2392"/>
      <c r="BN38" s="2392"/>
      <c r="BO38" s="2392"/>
      <c r="BP38" s="2392"/>
      <c r="BQ38" s="2392"/>
      <c r="BR38" s="2392"/>
      <c r="BS38" s="2392"/>
      <c r="BT38" s="2392"/>
      <c r="BU38" s="2392"/>
      <c r="BV38" s="2393"/>
      <c r="BW38" s="2391"/>
      <c r="BX38" s="2392"/>
      <c r="BY38" s="2392"/>
      <c r="BZ38" s="2392"/>
      <c r="CA38" s="2391"/>
      <c r="CB38" s="2392"/>
      <c r="CC38" s="2392"/>
      <c r="CD38" s="2392"/>
      <c r="CE38" s="2391"/>
      <c r="CF38" s="2392"/>
      <c r="CG38" s="2392"/>
      <c r="CH38" s="2392"/>
      <c r="CI38" s="2391"/>
      <c r="CJ38" s="2392"/>
      <c r="CK38" s="2392"/>
      <c r="CL38" s="2392"/>
      <c r="CM38" s="2391"/>
      <c r="CN38" s="2392"/>
      <c r="CO38" s="2392"/>
      <c r="CP38" s="2392"/>
      <c r="CQ38" s="2391"/>
      <c r="CR38" s="2392"/>
      <c r="CS38" s="2392"/>
      <c r="CT38" s="2392"/>
      <c r="CU38" s="2391"/>
      <c r="CV38" s="2392"/>
      <c r="CW38" s="2392"/>
      <c r="CX38" s="2392"/>
      <c r="CY38" s="2391"/>
      <c r="CZ38" s="2392"/>
      <c r="DA38" s="2392"/>
      <c r="DB38" s="2392"/>
      <c r="DC38" s="2391"/>
      <c r="DD38" s="2392"/>
      <c r="DE38" s="2392"/>
      <c r="DF38" s="2393"/>
      <c r="DG38" s="2391"/>
      <c r="DH38" s="2392"/>
      <c r="DI38" s="2392"/>
      <c r="DJ38" s="2393"/>
      <c r="DK38" s="2391"/>
      <c r="DL38" s="2392"/>
      <c r="DM38" s="2392"/>
      <c r="DN38" s="2393"/>
      <c r="DO38" s="2391"/>
      <c r="DP38" s="2392"/>
      <c r="DQ38" s="2392"/>
      <c r="DR38" s="2393"/>
      <c r="DS38" s="2391"/>
      <c r="DT38" s="2392"/>
      <c r="DU38" s="2392"/>
      <c r="DV38" s="2393"/>
      <c r="DW38" s="1923"/>
      <c r="DX38"/>
      <c r="DY38"/>
      <c r="DZ38"/>
      <c r="EA38"/>
      <c r="EB38"/>
      <c r="EC38"/>
    </row>
    <row r="39" spans="1:133" s="820" customFormat="1" ht="15" customHeight="1">
      <c r="A39" s="2387" t="s">
        <v>961</v>
      </c>
      <c r="B39" s="1923"/>
      <c r="C39" s="1923"/>
      <c r="D39" s="1923"/>
      <c r="E39" s="1923"/>
      <c r="F39" s="1923"/>
      <c r="G39" s="1923"/>
      <c r="H39" s="1958"/>
      <c r="I39" s="1958"/>
      <c r="J39" s="1958">
        <v>36455</v>
      </c>
      <c r="K39" s="1958">
        <v>36123.5</v>
      </c>
      <c r="L39" s="1958">
        <v>36202.5</v>
      </c>
      <c r="M39" s="1958">
        <v>34698.602589361239</v>
      </c>
      <c r="N39" s="1923">
        <f>SUM(BW39:BZ39)</f>
        <v>34802</v>
      </c>
      <c r="O39" s="1923">
        <f>SUM(CA39:CD39)</f>
        <v>37090</v>
      </c>
      <c r="P39" s="1923">
        <f>SUM(CE39:CH39)</f>
        <v>38801</v>
      </c>
      <c r="Q39" s="1923">
        <f>SUM(CI39:CL39)</f>
        <v>41615</v>
      </c>
      <c r="R39" s="1923">
        <f>SUM(CM39:CP39)</f>
        <v>41434</v>
      </c>
      <c r="S39" s="1923">
        <f>SUM(CQ39:CT39)</f>
        <v>45875</v>
      </c>
      <c r="T39" s="1923">
        <f>SUM(CU39:CX39)</f>
        <v>46030</v>
      </c>
      <c r="U39" s="1923">
        <f>SUM(CY39:DB39)</f>
        <v>44355</v>
      </c>
      <c r="V39" s="1923">
        <f>SUM(DC39:DF39)</f>
        <v>49664</v>
      </c>
      <c r="W39" s="1923">
        <f>SUM(DG39:DJ39)</f>
        <v>52215</v>
      </c>
      <c r="X39" s="1923">
        <f>SUM(DK39:DN39)</f>
        <v>51424</v>
      </c>
      <c r="Y39" s="1923">
        <f>SUM(DO39:DR39)</f>
        <v>51556</v>
      </c>
      <c r="Z39" s="1923">
        <f ca="1">SUM(DS39:DV39)</f>
        <v>52744.387324788222</v>
      </c>
      <c r="AA39" s="1923">
        <f ca="1">Segments!AA27</f>
        <v>52488.104837134015</v>
      </c>
      <c r="AB39" s="1923">
        <f ca="1">Segments!AB27</f>
        <v>52185.208349131259</v>
      </c>
      <c r="AC39" s="1923">
        <f ca="1">Segments!AC27</f>
        <v>51850.733094935924</v>
      </c>
      <c r="AD39" s="1923">
        <f ca="1">Segments!AD27</f>
        <v>51489.54437333189</v>
      </c>
      <c r="AE39" s="1923">
        <f ca="1">Segments!AE27</f>
        <v>51106.688660346706</v>
      </c>
      <c r="AF39" s="1923">
        <f ca="1">Segments!AF27</f>
        <v>50706.875195411092</v>
      </c>
      <c r="AG39" s="1923">
        <f ca="1">Segments!AG27</f>
        <v>50294.295941256823</v>
      </c>
      <c r="AH39" s="1923"/>
      <c r="AI39" s="2386">
        <f ca="1">(AA39/V39)^(1/5)-1</f>
        <v>1.1122650765876596E-2</v>
      </c>
      <c r="AJ39" s="1923"/>
      <c r="AK39" s="1923"/>
      <c r="AL39" s="1923"/>
      <c r="AM39" s="1923"/>
      <c r="AN39" s="1923"/>
      <c r="AO39" s="1923"/>
      <c r="AP39" s="1923"/>
      <c r="AQ39" s="1923"/>
      <c r="AR39" s="1923"/>
      <c r="AS39" s="1923"/>
      <c r="AT39" s="1923"/>
      <c r="AU39" s="1923"/>
      <c r="AV39" s="1923"/>
      <c r="AW39" s="1923"/>
      <c r="AX39" s="1923"/>
      <c r="AY39" s="1923"/>
      <c r="AZ39" s="1923"/>
      <c r="BA39" s="1923"/>
      <c r="BB39" s="1923"/>
      <c r="BC39" s="1923"/>
      <c r="BD39" s="1923"/>
      <c r="BE39" s="1923"/>
      <c r="BF39" s="1923"/>
      <c r="BG39" s="2388">
        <v>9130</v>
      </c>
      <c r="BH39" s="2389">
        <v>9209</v>
      </c>
      <c r="BI39" s="2389">
        <v>9215</v>
      </c>
      <c r="BJ39" s="2389">
        <v>8901</v>
      </c>
      <c r="BK39" s="2389">
        <v>8881</v>
      </c>
      <c r="BL39" s="2389">
        <v>8689</v>
      </c>
      <c r="BM39" s="2389">
        <v>9240.5</v>
      </c>
      <c r="BN39" s="2389">
        <v>9313</v>
      </c>
      <c r="BO39" s="2389">
        <v>9011</v>
      </c>
      <c r="BP39" s="2389">
        <v>8886</v>
      </c>
      <c r="BQ39" s="2389">
        <v>9138.5</v>
      </c>
      <c r="BR39" s="2389">
        <v>9167</v>
      </c>
      <c r="BS39" s="2389">
        <v>8529</v>
      </c>
      <c r="BT39" s="2389">
        <v>8660</v>
      </c>
      <c r="BU39" s="2389">
        <v>8766</v>
      </c>
      <c r="BV39" s="2390">
        <v>8743.602589361235</v>
      </c>
      <c r="BW39" s="2391">
        <f>NormInputs!BP26</f>
        <v>8392</v>
      </c>
      <c r="BX39" s="2392">
        <f>NormInputs!BQ26</f>
        <v>8577</v>
      </c>
      <c r="BY39" s="2392">
        <f>NormInputs!BR26</f>
        <v>8816</v>
      </c>
      <c r="BZ39" s="2392">
        <f>NormInputs!BS26</f>
        <v>9017</v>
      </c>
      <c r="CA39" s="2391">
        <f>NormInputs!BT26</f>
        <v>8805</v>
      </c>
      <c r="CB39" s="2392">
        <f>NormInputs!BU26</f>
        <v>9120</v>
      </c>
      <c r="CC39" s="2392">
        <f>NormInputs!BV26</f>
        <v>9489</v>
      </c>
      <c r="CD39" s="2392">
        <f>NormInputs!BW26</f>
        <v>9676</v>
      </c>
      <c r="CE39" s="2391">
        <f>NormInputs!BX26</f>
        <v>9395</v>
      </c>
      <c r="CF39" s="2392">
        <f>NormInputs!BY26</f>
        <v>9458</v>
      </c>
      <c r="CG39" s="2392">
        <f>NormInputs!BZ26</f>
        <v>10043</v>
      </c>
      <c r="CH39" s="2392">
        <f>NormInputs!CA26</f>
        <v>9905</v>
      </c>
      <c r="CI39" s="2391">
        <f>NormInputs!CB26</f>
        <v>9997</v>
      </c>
      <c r="CJ39" s="2392">
        <f>NormInputs!CC26</f>
        <v>10190</v>
      </c>
      <c r="CK39" s="2392">
        <f>NormInputs!CD26</f>
        <v>10673</v>
      </c>
      <c r="CL39" s="2392">
        <f>NormInputs!CE26</f>
        <v>10755</v>
      </c>
      <c r="CM39" s="2391">
        <f>NormInputs!CF26</f>
        <v>10294</v>
      </c>
      <c r="CN39" s="2392">
        <f>NormInputs!CG26</f>
        <v>10233</v>
      </c>
      <c r="CO39" s="2392">
        <f>NormInputs!CH26</f>
        <v>10579</v>
      </c>
      <c r="CP39" s="2392">
        <f>NormInputs!CI26</f>
        <v>10328</v>
      </c>
      <c r="CQ39" s="2391">
        <f>NormInputs!CJ26</f>
        <v>11229</v>
      </c>
      <c r="CR39" s="2392">
        <f>NormInputs!CK26</f>
        <v>11158</v>
      </c>
      <c r="CS39" s="2392">
        <f>NormInputs!CL26</f>
        <v>11398</v>
      </c>
      <c r="CT39" s="2392">
        <f>NormInputs!CM26</f>
        <v>12090</v>
      </c>
      <c r="CU39" s="2391">
        <f>NormInputs!CN26</f>
        <v>11319</v>
      </c>
      <c r="CV39" s="2392">
        <f>NormInputs!CO26</f>
        <v>10896</v>
      </c>
      <c r="CW39" s="2392">
        <f>NormInputs!CP26</f>
        <v>10991</v>
      </c>
      <c r="CX39" s="2392">
        <f>NormInputs!CQ26</f>
        <v>12824</v>
      </c>
      <c r="CY39" s="2391">
        <f>NormInputs!CR26</f>
        <v>10768</v>
      </c>
      <c r="CZ39" s="2392">
        <f>NormInputs!CS26</f>
        <v>10916</v>
      </c>
      <c r="DA39" s="2392">
        <f>NormInputs!CT26</f>
        <v>10819</v>
      </c>
      <c r="DB39" s="2392">
        <f>NormInputs!CU26</f>
        <v>11852</v>
      </c>
      <c r="DC39" s="2391">
        <f>NormInputs!CV26</f>
        <v>11069</v>
      </c>
      <c r="DD39" s="2392">
        <f>NormInputs!CW26</f>
        <v>11967</v>
      </c>
      <c r="DE39" s="2392">
        <f>NormInputs!CX26</f>
        <v>12252</v>
      </c>
      <c r="DF39" s="2393">
        <f>NormInputs!CY26</f>
        <v>14376</v>
      </c>
      <c r="DG39" s="2391">
        <f>NormInputs!CZ26</f>
        <v>12096</v>
      </c>
      <c r="DH39" s="2392">
        <f>NormInputs!DA26</f>
        <v>12449</v>
      </c>
      <c r="DI39" s="2407">
        <f>NormInputs!DB26</f>
        <v>12963</v>
      </c>
      <c r="DJ39" s="2481">
        <f>NormInputs!DC26</f>
        <v>14707</v>
      </c>
      <c r="DK39" s="2496">
        <f>NormInputs!DD26</f>
        <v>12612</v>
      </c>
      <c r="DL39" s="2563">
        <f>NormInputs!DE26</f>
        <v>12221</v>
      </c>
      <c r="DM39" s="2563">
        <f>NormInputs!DF26</f>
        <v>12229</v>
      </c>
      <c r="DN39" s="2564">
        <f>NormInputs!DG26</f>
        <v>14362</v>
      </c>
      <c r="DO39" s="2496">
        <f>NormInputs!DH26</f>
        <v>11666</v>
      </c>
      <c r="DP39" s="2563">
        <f>NormInputs!DI26</f>
        <v>12110</v>
      </c>
      <c r="DQ39" s="2563">
        <f>NormInputs!DJ26</f>
        <v>12605</v>
      </c>
      <c r="DR39" s="2564">
        <f>NormInputs!DK26</f>
        <v>15175</v>
      </c>
      <c r="DS39" s="2496">
        <f>NormInputs!DL26</f>
        <v>13255</v>
      </c>
      <c r="DT39" s="2563">
        <f ca="1">Segments!DQ27</f>
        <v>12350.494402536175</v>
      </c>
      <c r="DU39" s="2563">
        <f ca="1">Segments!DR27</f>
        <v>12395.406526001692</v>
      </c>
      <c r="DV39" s="2564">
        <f ca="1">Segments!DS27</f>
        <v>14743.486396250351</v>
      </c>
      <c r="DW39" s="1923"/>
      <c r="DX39"/>
      <c r="DY39"/>
      <c r="DZ39"/>
      <c r="EA39"/>
      <c r="EB39"/>
      <c r="EC39"/>
    </row>
    <row r="40" spans="1:133" s="821" customFormat="1" ht="15" customHeight="1">
      <c r="A40" s="2396" t="s">
        <v>945</v>
      </c>
      <c r="B40" s="1921"/>
      <c r="C40" s="1921"/>
      <c r="D40" s="1921"/>
      <c r="E40" s="1921"/>
      <c r="F40" s="1921"/>
      <c r="G40" s="1921"/>
      <c r="H40" s="1958"/>
      <c r="I40" s="1958"/>
      <c r="J40" s="1958"/>
      <c r="K40" s="1958">
        <v>-9.0934028254011645E-3</v>
      </c>
      <c r="L40" s="1958">
        <v>2.186942018353788E-3</v>
      </c>
      <c r="M40" s="1958">
        <v>-4.1541258494268707E-2</v>
      </c>
      <c r="N40" s="1921">
        <f>N39/M39-1</f>
        <v>2.979872471015943E-3</v>
      </c>
      <c r="O40" s="1921">
        <f>O39/N39-1</f>
        <v>6.5743348083443509E-2</v>
      </c>
      <c r="P40" s="1921">
        <f>P39/O39-1</f>
        <v>4.6131032623348611E-2</v>
      </c>
      <c r="Q40" s="1958" t="s">
        <v>1149</v>
      </c>
      <c r="R40" s="1921">
        <f t="shared" ref="R40:AB40" si="145">R39/Q39-1</f>
        <v>-4.3493932476270647E-3</v>
      </c>
      <c r="S40" s="1921">
        <f t="shared" si="145"/>
        <v>0.10718250711975674</v>
      </c>
      <c r="T40" s="1921">
        <f t="shared" si="145"/>
        <v>3.3787465940053885E-3</v>
      </c>
      <c r="U40" s="1921">
        <f t="shared" si="145"/>
        <v>-3.6389311318705153E-2</v>
      </c>
      <c r="V40" s="1921">
        <f t="shared" si="145"/>
        <v>0.11969338293315301</v>
      </c>
      <c r="W40" s="1921">
        <f>W39/V39-1</f>
        <v>5.1365173969072142E-2</v>
      </c>
      <c r="X40" s="1921">
        <f>X39/W39-1</f>
        <v>-1.5148903571770567E-2</v>
      </c>
      <c r="Y40" s="1921">
        <f>Y39/X39-1</f>
        <v>2.5668948350965337E-3</v>
      </c>
      <c r="Z40" s="1921">
        <f ca="1">Z39/Y39-1</f>
        <v>2.3050417503069021E-2</v>
      </c>
      <c r="AA40" s="1921">
        <f t="shared" ca="1" si="145"/>
        <v>-4.858952784418169E-3</v>
      </c>
      <c r="AB40" s="1921">
        <f t="shared" ca="1" si="145"/>
        <v>-5.7707644225795107E-3</v>
      </c>
      <c r="AC40" s="1921">
        <f t="shared" ref="AC40" ca="1" si="146">AC39/AB39-1</f>
        <v>-6.4093881154525523E-3</v>
      </c>
      <c r="AD40" s="1921">
        <f t="shared" ref="AD40" ca="1" si="147">AD39/AC39-1</f>
        <v>-6.9659327852262809E-3</v>
      </c>
      <c r="AE40" s="1921">
        <f t="shared" ref="AE40" ca="1" si="148">AE39/AD39-1</f>
        <v>-7.4356011039685699E-3</v>
      </c>
      <c r="AF40" s="1921">
        <f t="shared" ref="AF40" ca="1" si="149">AF39/AE39-1</f>
        <v>-7.8231142618682137E-3</v>
      </c>
      <c r="AG40" s="1921">
        <f t="shared" ref="AG40" ca="1" si="150">AG39/AF39-1</f>
        <v>-8.1365545118743388E-3</v>
      </c>
      <c r="AH40" s="1921"/>
      <c r="AI40" s="2386"/>
      <c r="AJ40" s="1921"/>
      <c r="AK40" s="1921"/>
      <c r="AL40" s="1921"/>
      <c r="AM40" s="1921"/>
      <c r="AN40" s="1921"/>
      <c r="AO40" s="1921"/>
      <c r="AP40" s="1921"/>
      <c r="AQ40" s="1921"/>
      <c r="AR40" s="1921"/>
      <c r="AS40" s="1921"/>
      <c r="AT40" s="1921"/>
      <c r="AU40" s="1921"/>
      <c r="AV40" s="1921"/>
      <c r="AW40" s="1921"/>
      <c r="AX40" s="1921"/>
      <c r="AY40" s="1921"/>
      <c r="AZ40" s="1921"/>
      <c r="BA40" s="1921"/>
      <c r="BB40" s="1921"/>
      <c r="BC40" s="1921"/>
      <c r="BD40" s="1921"/>
      <c r="BE40" s="1921"/>
      <c r="BF40" s="1921"/>
      <c r="BG40" s="2397"/>
      <c r="BH40" s="2398"/>
      <c r="BI40" s="2398"/>
      <c r="BJ40" s="2398"/>
      <c r="BK40" s="2398">
        <v>-2.7272727272727226E-2</v>
      </c>
      <c r="BL40" s="2398">
        <v>-5.6466500162884126E-2</v>
      </c>
      <c r="BM40" s="2398">
        <v>2.7672273467174158E-3</v>
      </c>
      <c r="BN40" s="2398">
        <v>4.6286934052353734E-2</v>
      </c>
      <c r="BO40" s="2398">
        <v>1.4637991217205215E-2</v>
      </c>
      <c r="BP40" s="2398">
        <v>2.267234434342269E-2</v>
      </c>
      <c r="BQ40" s="2398">
        <v>-1.103836372490663E-2</v>
      </c>
      <c r="BR40" s="2398">
        <v>-1.5677010630301691E-2</v>
      </c>
      <c r="BS40" s="2398">
        <v>-5.3490178670513866E-2</v>
      </c>
      <c r="BT40" s="2398">
        <v>-2.5433265811388717E-2</v>
      </c>
      <c r="BU40" s="2398">
        <v>-4.076161295617442E-2</v>
      </c>
      <c r="BV40" s="2399">
        <v>-4.6187128901359786E-2</v>
      </c>
      <c r="BW40" s="2400">
        <f t="shared" ref="BW40:CH40" si="151">BW39/BS39-1</f>
        <v>-1.6062844413178512E-2</v>
      </c>
      <c r="BX40" s="2401">
        <f t="shared" si="151"/>
        <v>-9.5842956120092415E-3</v>
      </c>
      <c r="BY40" s="2401">
        <f t="shared" si="151"/>
        <v>5.7038558065252154E-3</v>
      </c>
      <c r="BZ40" s="2401">
        <f t="shared" si="151"/>
        <v>3.1268279618680284E-2</v>
      </c>
      <c r="CA40" s="2400">
        <f t="shared" si="151"/>
        <v>4.9213536701620653E-2</v>
      </c>
      <c r="CB40" s="2401">
        <f t="shared" si="151"/>
        <v>6.3308849247988741E-2</v>
      </c>
      <c r="CC40" s="2401">
        <f t="shared" si="151"/>
        <v>7.6338475499092562E-2</v>
      </c>
      <c r="CD40" s="2401">
        <f t="shared" si="151"/>
        <v>7.3084174337362695E-2</v>
      </c>
      <c r="CE40" s="2400">
        <f t="shared" si="151"/>
        <v>6.7007382169222085E-2</v>
      </c>
      <c r="CF40" s="2401">
        <f t="shared" si="151"/>
        <v>3.7061403508771962E-2</v>
      </c>
      <c r="CG40" s="2401">
        <f t="shared" si="151"/>
        <v>5.8383391295183884E-2</v>
      </c>
      <c r="CH40" s="2401">
        <f t="shared" si="151"/>
        <v>2.3666804464654856E-2</v>
      </c>
      <c r="CI40" s="2394" t="s">
        <v>1149</v>
      </c>
      <c r="CJ40" s="2395" t="s">
        <v>1149</v>
      </c>
      <c r="CK40" s="2395" t="s">
        <v>1149</v>
      </c>
      <c r="CL40" s="2395" t="s">
        <v>1149</v>
      </c>
      <c r="CM40" s="2400">
        <f t="shared" ref="CM40:DS40" si="152">CM39/CI39-1</f>
        <v>2.9708912673802157E-2</v>
      </c>
      <c r="CN40" s="2401">
        <f t="shared" si="152"/>
        <v>4.2198233562316112E-3</v>
      </c>
      <c r="CO40" s="2401">
        <f t="shared" si="152"/>
        <v>-8.807270683031998E-3</v>
      </c>
      <c r="CP40" s="2401">
        <f t="shared" si="152"/>
        <v>-3.9702463970246349E-2</v>
      </c>
      <c r="CQ40" s="2400">
        <f t="shared" si="152"/>
        <v>9.0829609481251294E-2</v>
      </c>
      <c r="CR40" s="2401">
        <f t="shared" si="152"/>
        <v>9.0393823903058834E-2</v>
      </c>
      <c r="CS40" s="2401">
        <f t="shared" si="152"/>
        <v>7.7417525285943922E-2</v>
      </c>
      <c r="CT40" s="2401">
        <f t="shared" si="152"/>
        <v>0.17060418280402789</v>
      </c>
      <c r="CU40" s="2400">
        <f t="shared" si="152"/>
        <v>8.0149612610205256E-3</v>
      </c>
      <c r="CV40" s="2401">
        <f t="shared" si="152"/>
        <v>-2.348091055744761E-2</v>
      </c>
      <c r="CW40" s="2401">
        <f t="shared" si="152"/>
        <v>-3.5708018950693088E-2</v>
      </c>
      <c r="CX40" s="2401">
        <f t="shared" si="152"/>
        <v>6.0711331679073721E-2</v>
      </c>
      <c r="CY40" s="2400">
        <f t="shared" si="152"/>
        <v>-4.8679211944518075E-2</v>
      </c>
      <c r="CZ40" s="2401">
        <f t="shared" si="152"/>
        <v>1.8355359765052093E-3</v>
      </c>
      <c r="DA40" s="2401">
        <f t="shared" si="152"/>
        <v>-1.5649167500682348E-2</v>
      </c>
      <c r="DB40" s="2401">
        <f t="shared" si="152"/>
        <v>-7.5795383655645643E-2</v>
      </c>
      <c r="DC40" s="2400">
        <f t="shared" si="152"/>
        <v>2.7953194650817137E-2</v>
      </c>
      <c r="DD40" s="2401">
        <f t="shared" si="152"/>
        <v>9.6280688897031785E-2</v>
      </c>
      <c r="DE40" s="2401">
        <f t="shared" si="152"/>
        <v>0.1324521674831316</v>
      </c>
      <c r="DF40" s="2402">
        <f t="shared" si="152"/>
        <v>0.212959838002025</v>
      </c>
      <c r="DG40" s="2400">
        <f t="shared" si="152"/>
        <v>9.2781642424790034E-2</v>
      </c>
      <c r="DH40" s="2401">
        <f t="shared" si="152"/>
        <v>4.0277429598061243E-2</v>
      </c>
      <c r="DI40" s="2401">
        <f t="shared" si="152"/>
        <v>5.8031341821743299E-2</v>
      </c>
      <c r="DJ40" s="2402">
        <f t="shared" si="152"/>
        <v>2.3024485253199778E-2</v>
      </c>
      <c r="DK40" s="2400">
        <f t="shared" si="152"/>
        <v>4.2658730158730229E-2</v>
      </c>
      <c r="DL40" s="2401">
        <f t="shared" si="152"/>
        <v>-1.8314724074222855E-2</v>
      </c>
      <c r="DM40" s="2401">
        <f t="shared" si="152"/>
        <v>-5.6622695363727549E-2</v>
      </c>
      <c r="DN40" s="2402">
        <f t="shared" si="152"/>
        <v>-2.3458217175494678E-2</v>
      </c>
      <c r="DO40" s="2400">
        <f t="shared" si="152"/>
        <v>-7.5007928956549286E-2</v>
      </c>
      <c r="DP40" s="2401">
        <f t="shared" si="152"/>
        <v>-9.0827264544636188E-3</v>
      </c>
      <c r="DQ40" s="2401">
        <f t="shared" si="152"/>
        <v>3.0746585984136043E-2</v>
      </c>
      <c r="DR40" s="2402">
        <f t="shared" si="152"/>
        <v>5.6607714802952236E-2</v>
      </c>
      <c r="DS40" s="2400">
        <f t="shared" si="152"/>
        <v>0.13620778330190286</v>
      </c>
      <c r="DT40" s="2401">
        <f t="shared" ref="DT40" ca="1" si="153">DT39/DP39-1</f>
        <v>1.9859157930320004E-2</v>
      </c>
      <c r="DU40" s="2401">
        <f t="shared" ref="DU40" ca="1" si="154">DU39/DQ39-1</f>
        <v>-1.662780436321365E-2</v>
      </c>
      <c r="DV40" s="2402">
        <f t="shared" ref="DV40" ca="1" si="155">DV39/DR39-1</f>
        <v>-2.8435822322876336E-2</v>
      </c>
      <c r="DW40" s="1923"/>
      <c r="DX40"/>
      <c r="DY40"/>
      <c r="DZ40"/>
      <c r="EA40"/>
      <c r="EB40"/>
      <c r="EC40"/>
    </row>
    <row r="41" spans="1:133" s="821" customFormat="1" ht="15" customHeight="1">
      <c r="A41" s="2396" t="s">
        <v>1625</v>
      </c>
      <c r="B41" s="1921"/>
      <c r="C41" s="1921"/>
      <c r="D41" s="1921"/>
      <c r="E41" s="1921"/>
      <c r="F41" s="1921"/>
      <c r="G41" s="1921"/>
      <c r="H41" s="1958"/>
      <c r="I41" s="1958"/>
      <c r="J41" s="1958">
        <v>0.38266136227654907</v>
      </c>
      <c r="K41" s="1958">
        <v>0.39631697897924256</v>
      </c>
      <c r="L41" s="1958">
        <v>0.39605828875250254</v>
      </c>
      <c r="M41" s="1958">
        <v>0.39030609992419929</v>
      </c>
      <c r="N41" s="1921">
        <f>N39/N30</f>
        <v>0.39898685317759508</v>
      </c>
      <c r="O41" s="1921">
        <f>O39/O30</f>
        <v>0.40151556156968876</v>
      </c>
      <c r="P41" s="1921">
        <f>P39/P30</f>
        <v>0.39961481420449863</v>
      </c>
      <c r="Q41" s="1921">
        <f>Q39/Q35</f>
        <v>0.40634489762041931</v>
      </c>
      <c r="R41" s="1921">
        <f t="shared" ref="R41:AA41" si="156">R39/R35</f>
        <v>0.39677858004711469</v>
      </c>
      <c r="S41" s="1921">
        <f t="shared" si="156"/>
        <v>0.41375422773393461</v>
      </c>
      <c r="T41" s="1921">
        <f t="shared" si="156"/>
        <v>0.39822128403221763</v>
      </c>
      <c r="U41" s="1921">
        <f t="shared" si="156"/>
        <v>0.3697759918633442</v>
      </c>
      <c r="V41" s="1921">
        <f t="shared" si="156"/>
        <v>0.39160089258257569</v>
      </c>
      <c r="W41" s="1921">
        <f t="shared" si="156"/>
        <v>0.40345075374166478</v>
      </c>
      <c r="X41" s="1921">
        <f>X39/X35</f>
        <v>0.40989996413056473</v>
      </c>
      <c r="Y41" s="1921">
        <f>Y39/Y35</f>
        <v>0.4090642207658251</v>
      </c>
      <c r="Z41" s="1921">
        <f ca="1">Z39/Z35</f>
        <v>0.40904460757321204</v>
      </c>
      <c r="AA41" s="1921">
        <f t="shared" ca="1" si="156"/>
        <v>0.40677098350327068</v>
      </c>
      <c r="AB41" s="1921">
        <f t="shared" ref="AB41:AG41" ca="1" si="157">AB39/AB35</f>
        <v>0.40249990883213288</v>
      </c>
      <c r="AC41" s="1921">
        <f t="shared" ca="1" si="157"/>
        <v>0.39780954455236811</v>
      </c>
      <c r="AD41" s="1921">
        <f t="shared" ca="1" si="157"/>
        <v>0.39277341006136118</v>
      </c>
      <c r="AE41" s="1921">
        <f t="shared" ca="1" si="157"/>
        <v>0.38742115480086969</v>
      </c>
      <c r="AF41" s="1921">
        <f t="shared" ca="1" si="157"/>
        <v>0.38176315783188813</v>
      </c>
      <c r="AG41" s="1921">
        <f t="shared" ca="1" si="157"/>
        <v>0.37580188001816345</v>
      </c>
      <c r="AH41" s="1921"/>
      <c r="AI41" s="2386"/>
      <c r="AJ41" s="1921"/>
      <c r="AK41" s="1921"/>
      <c r="AL41" s="1921"/>
      <c r="AM41" s="1921"/>
      <c r="AN41" s="1921"/>
      <c r="AO41" s="1921"/>
      <c r="AP41" s="1921"/>
      <c r="AQ41" s="1921"/>
      <c r="AR41" s="1921"/>
      <c r="AS41" s="1921"/>
      <c r="AT41" s="1921"/>
      <c r="AU41" s="1921"/>
      <c r="AV41" s="1921"/>
      <c r="AW41" s="1921"/>
      <c r="AX41" s="1921"/>
      <c r="AY41" s="1921"/>
      <c r="AZ41" s="1921"/>
      <c r="BA41" s="1921"/>
      <c r="BB41" s="1921"/>
      <c r="BC41" s="1921"/>
      <c r="BD41" s="1921"/>
      <c r="BE41" s="1921"/>
      <c r="BF41" s="1921"/>
      <c r="BG41" s="2397">
        <v>0.38346843630559874</v>
      </c>
      <c r="BH41" s="2398">
        <v>0.38791069924178601</v>
      </c>
      <c r="BI41" s="2398">
        <v>0.38212730665560857</v>
      </c>
      <c r="BJ41" s="2398">
        <v>0.37711307884590944</v>
      </c>
      <c r="BK41" s="2398">
        <v>0.38796907081385695</v>
      </c>
      <c r="BL41" s="2398">
        <v>0.3812469834583827</v>
      </c>
      <c r="BM41" s="2398">
        <v>0.40385035619072596</v>
      </c>
      <c r="BN41" s="2398">
        <v>0.41235333185742751</v>
      </c>
      <c r="BO41" s="2398">
        <v>0.40335720680393911</v>
      </c>
      <c r="BP41" s="2398">
        <v>0.38891806722689076</v>
      </c>
      <c r="BQ41" s="2398">
        <v>0.39504171529849136</v>
      </c>
      <c r="BR41" s="2398">
        <v>0.39708048167720694</v>
      </c>
      <c r="BS41" s="2398">
        <v>0.39141808168884812</v>
      </c>
      <c r="BT41" s="2398">
        <v>0.39065319379285457</v>
      </c>
      <c r="BU41" s="2398">
        <v>0.39039814732341677</v>
      </c>
      <c r="BV41" s="2399">
        <v>0.38690218989164277</v>
      </c>
      <c r="BW41" s="2400">
        <f t="shared" ref="BW41:CH41" si="158">BW39/BW30</f>
        <v>0.39644874725471746</v>
      </c>
      <c r="BX41" s="2401">
        <f t="shared" si="158"/>
        <v>0.39739609878144838</v>
      </c>
      <c r="BY41" s="2401">
        <f t="shared" si="158"/>
        <v>0.3977980326685317</v>
      </c>
      <c r="BZ41" s="2401">
        <f t="shared" si="158"/>
        <v>0.40411419351947298</v>
      </c>
      <c r="CA41" s="2400">
        <f t="shared" si="158"/>
        <v>0.39464837972300659</v>
      </c>
      <c r="CB41" s="2401">
        <f t="shared" si="158"/>
        <v>0.39652173913043476</v>
      </c>
      <c r="CC41" s="2401">
        <f t="shared" si="158"/>
        <v>0.40390754692887243</v>
      </c>
      <c r="CD41" s="2401">
        <f t="shared" si="158"/>
        <v>0.41050443341394088</v>
      </c>
      <c r="CE41" s="2400">
        <f t="shared" si="158"/>
        <v>0.39851537645811241</v>
      </c>
      <c r="CF41" s="2401">
        <f t="shared" si="158"/>
        <v>0.3920577018736528</v>
      </c>
      <c r="CG41" s="2401">
        <f t="shared" si="158"/>
        <v>0.40574499030381384</v>
      </c>
      <c r="CH41" s="2401">
        <f t="shared" si="158"/>
        <v>0.40190708054372082</v>
      </c>
      <c r="CI41" s="2400">
        <f>CI39/CI35</f>
        <v>0.39725809656268629</v>
      </c>
      <c r="CJ41" s="2401">
        <f>CJ39/CJ35</f>
        <v>0.39943553761122652</v>
      </c>
      <c r="CK41" s="2401">
        <f>CK39/CK35</f>
        <v>0.41154469036785685</v>
      </c>
      <c r="CL41" s="2401">
        <f>CL39/CL35</f>
        <v>0.41681199860481338</v>
      </c>
      <c r="CM41" s="2400">
        <f t="shared" ref="CM41:DG41" si="159">CM39/CM35</f>
        <v>0.40156036668617123</v>
      </c>
      <c r="CN41" s="2401">
        <f t="shared" si="159"/>
        <v>0.3949135535659154</v>
      </c>
      <c r="CO41" s="2401">
        <f t="shared" si="159"/>
        <v>0.39944872375774054</v>
      </c>
      <c r="CP41" s="2401">
        <f t="shared" si="159"/>
        <v>0.39128622845235839</v>
      </c>
      <c r="CQ41" s="2400">
        <f t="shared" si="159"/>
        <v>0.41604297888106706</v>
      </c>
      <c r="CR41" s="2401">
        <f t="shared" si="159"/>
        <v>0.40521499128413713</v>
      </c>
      <c r="CS41" s="2401">
        <f t="shared" si="159"/>
        <v>0.40834019990685344</v>
      </c>
      <c r="CT41" s="2401">
        <f t="shared" si="159"/>
        <v>0.42516528344352228</v>
      </c>
      <c r="CU41" s="2400">
        <f t="shared" si="159"/>
        <v>0.40078606330996386</v>
      </c>
      <c r="CV41" s="2401">
        <f t="shared" si="159"/>
        <v>0.38198071866783523</v>
      </c>
      <c r="CW41" s="2401">
        <f t="shared" si="159"/>
        <v>0.37890853931809565</v>
      </c>
      <c r="CX41" s="2401">
        <f t="shared" si="159"/>
        <v>0.43011906758343116</v>
      </c>
      <c r="CY41" s="2400">
        <f t="shared" si="159"/>
        <v>0.36826265389876883</v>
      </c>
      <c r="CZ41" s="2401">
        <f t="shared" si="159"/>
        <v>0.36807499072731564</v>
      </c>
      <c r="DA41" s="2401">
        <f t="shared" si="159"/>
        <v>0.3591726976960361</v>
      </c>
      <c r="DB41" s="2401">
        <f t="shared" si="159"/>
        <v>0.38316306737359368</v>
      </c>
      <c r="DC41" s="2400">
        <f t="shared" si="159"/>
        <v>0.3606712284131639</v>
      </c>
      <c r="DD41" s="2401">
        <f t="shared" si="159"/>
        <v>0.38166161696699091</v>
      </c>
      <c r="DE41" s="2401">
        <f t="shared" si="159"/>
        <v>0.38789337048059269</v>
      </c>
      <c r="DF41" s="2402">
        <f t="shared" si="159"/>
        <v>0.43311641359363701</v>
      </c>
      <c r="DG41" s="2400">
        <f t="shared" si="159"/>
        <v>0.38486747907983071</v>
      </c>
      <c r="DH41" s="2401">
        <f t="shared" ref="DH41:DI41" si="160">DH39/DH35</f>
        <v>0.39299807431259276</v>
      </c>
      <c r="DI41" s="2401">
        <f t="shared" si="160"/>
        <v>0.39746734531182926</v>
      </c>
      <c r="DJ41" s="2402">
        <f t="shared" ref="DJ41:DO41" si="161">DJ39/DJ35</f>
        <v>0.43639654609655498</v>
      </c>
      <c r="DK41" s="2400">
        <f t="shared" si="161"/>
        <v>0.3985337799405928</v>
      </c>
      <c r="DL41" s="2401">
        <f t="shared" si="161"/>
        <v>0.40026857067994237</v>
      </c>
      <c r="DM41" s="2401">
        <f t="shared" si="161"/>
        <v>0.39528719656075251</v>
      </c>
      <c r="DN41" s="2402">
        <f t="shared" si="161"/>
        <v>0.44409400123685838</v>
      </c>
      <c r="DO41" s="2400">
        <f t="shared" si="161"/>
        <v>0.3912926812906688</v>
      </c>
      <c r="DP41" s="2401">
        <f t="shared" ref="DP41:DQ41" si="162">DP39/DP35</f>
        <v>0.39642529789184233</v>
      </c>
      <c r="DQ41" s="2401">
        <f t="shared" si="162"/>
        <v>0.39742094145095691</v>
      </c>
      <c r="DR41" s="2402">
        <f t="shared" ref="DR41" si="163">DR39/DR35</f>
        <v>0.44691503460462378</v>
      </c>
      <c r="DS41" s="2400">
        <f t="shared" ref="DS41" si="164">DS39/DS35</f>
        <v>0.41719123756766963</v>
      </c>
      <c r="DT41" s="2401">
        <f t="shared" ref="DT41:DV41" ca="1" si="165">DT39/DT35</f>
        <v>0.39140754974864705</v>
      </c>
      <c r="DU41" s="2401">
        <f t="shared" ca="1" si="165"/>
        <v>0.38643439992966772</v>
      </c>
      <c r="DV41" s="2402">
        <f t="shared" ca="1" si="165"/>
        <v>0.43954103339859857</v>
      </c>
      <c r="DW41" s="1923"/>
      <c r="DX41"/>
      <c r="DY41"/>
      <c r="DZ41"/>
      <c r="EA41"/>
      <c r="EB41"/>
      <c r="EC41"/>
    </row>
    <row r="42" spans="1:133" s="820" customFormat="1" ht="15" customHeight="1">
      <c r="A42" s="2387" t="s">
        <v>963</v>
      </c>
      <c r="B42" s="1923"/>
      <c r="C42" s="1923"/>
      <c r="D42" s="1923"/>
      <c r="E42" s="1923"/>
      <c r="F42" s="1923"/>
      <c r="G42" s="1923"/>
      <c r="H42" s="1958"/>
      <c r="I42" s="1958"/>
      <c r="J42" s="1958">
        <v>26122</v>
      </c>
      <c r="K42" s="1958">
        <v>24941.5</v>
      </c>
      <c r="L42" s="1958">
        <v>25354.5</v>
      </c>
      <c r="M42" s="1958">
        <v>24794.397410638765</v>
      </c>
      <c r="N42" s="1923">
        <f>SUM(BW42:BZ42)</f>
        <v>23886</v>
      </c>
      <c r="O42" s="1923">
        <f>SUM(CA42:CD42)</f>
        <v>24620</v>
      </c>
      <c r="P42" s="1923">
        <f>SUM(CE42:CH42)</f>
        <v>25723</v>
      </c>
      <c r="Q42" s="1923">
        <f>SUM(CI42:CL42)</f>
        <v>28507</v>
      </c>
      <c r="R42" s="1923">
        <f>SUM(CM42:CP42)</f>
        <v>28616</v>
      </c>
      <c r="S42" s="1923">
        <f>SUM(CQ42:CT42)</f>
        <v>29550</v>
      </c>
      <c r="T42" s="1923">
        <f>SUM(CU42:CX42)</f>
        <v>32142</v>
      </c>
      <c r="U42" s="1923">
        <f>SUM(CY42:DB42)</f>
        <v>33575</v>
      </c>
      <c r="V42" s="1923">
        <f>SUM(DC42:DF42)</f>
        <v>33905</v>
      </c>
      <c r="W42" s="1923">
        <f>SUM(DG42:DJ42)</f>
        <v>32838</v>
      </c>
      <c r="X42" s="1923">
        <f>SUM(DK42:DN42)</f>
        <v>29795</v>
      </c>
      <c r="Y42" s="1923">
        <f>SUM(DO42:DR42)</f>
        <v>27821</v>
      </c>
      <c r="Z42" s="1923">
        <f ca="1">SUM(DS42:DV42)</f>
        <v>28414.678173078013</v>
      </c>
      <c r="AA42" s="1923">
        <f ca="1">Segments!AA36</f>
        <v>27711.241492677062</v>
      </c>
      <c r="AB42" s="1923">
        <f ca="1">Segments!AB36</f>
        <v>27779.991233124274</v>
      </c>
      <c r="AC42" s="1923">
        <f ca="1">Segments!AC36</f>
        <v>27861.994748279583</v>
      </c>
      <c r="AD42" s="1923">
        <f ca="1">Segments!AD36</f>
        <v>27955.653968363738</v>
      </c>
      <c r="AE42" s="1923">
        <f ca="1">Segments!AE36</f>
        <v>28062.324406547621</v>
      </c>
      <c r="AF42" s="1923">
        <f ca="1">Segments!AF36</f>
        <v>28184.570168256534</v>
      </c>
      <c r="AG42" s="1923">
        <f ca="1">Segments!AG36</f>
        <v>28325.396802515985</v>
      </c>
      <c r="AH42" s="1923"/>
      <c r="AI42" s="2386">
        <f ca="1">(AA42/V42)^(1/5)-1</f>
        <v>-3.954184833094454E-2</v>
      </c>
      <c r="AJ42" s="1923"/>
      <c r="AK42" s="1923"/>
      <c r="AL42" s="1923"/>
      <c r="AM42" s="1923"/>
      <c r="AN42" s="1923"/>
      <c r="AO42" s="1923"/>
      <c r="AP42" s="1923"/>
      <c r="AQ42" s="1923"/>
      <c r="AR42" s="1923"/>
      <c r="AS42" s="1923"/>
      <c r="AT42" s="1923"/>
      <c r="AU42" s="1923"/>
      <c r="AV42" s="1923"/>
      <c r="AW42" s="1923"/>
      <c r="AX42" s="1923"/>
      <c r="AY42" s="1923"/>
      <c r="AZ42" s="1923"/>
      <c r="BA42" s="1923"/>
      <c r="BB42" s="1923"/>
      <c r="BC42" s="1923"/>
      <c r="BD42" s="1923"/>
      <c r="BE42" s="1923"/>
      <c r="BF42" s="1923"/>
      <c r="BG42" s="2388">
        <v>6707</v>
      </c>
      <c r="BH42" s="2389">
        <v>6638</v>
      </c>
      <c r="BI42" s="2389">
        <v>6411</v>
      </c>
      <c r="BJ42" s="2389">
        <v>6366</v>
      </c>
      <c r="BK42" s="2389">
        <v>5857</v>
      </c>
      <c r="BL42" s="2389">
        <v>6300</v>
      </c>
      <c r="BM42" s="2389">
        <v>6311.5</v>
      </c>
      <c r="BN42" s="2389">
        <v>6473</v>
      </c>
      <c r="BO42" s="2389">
        <v>6366</v>
      </c>
      <c r="BP42" s="2389">
        <v>6294</v>
      </c>
      <c r="BQ42" s="2389">
        <v>6291.5</v>
      </c>
      <c r="BR42" s="2389">
        <v>6403</v>
      </c>
      <c r="BS42" s="2389">
        <v>6219</v>
      </c>
      <c r="BT42" s="2389">
        <v>6234</v>
      </c>
      <c r="BU42" s="2389">
        <v>6183</v>
      </c>
      <c r="BV42" s="2390">
        <v>6158.3974106387659</v>
      </c>
      <c r="BW42" s="2391">
        <f>NormInputs!BP27</f>
        <v>5713</v>
      </c>
      <c r="BX42" s="2392">
        <f>NormInputs!BQ27</f>
        <v>5874</v>
      </c>
      <c r="BY42" s="2392">
        <f>NormInputs!BR27</f>
        <v>6223</v>
      </c>
      <c r="BZ42" s="2392">
        <f>NormInputs!BS27</f>
        <v>6076</v>
      </c>
      <c r="CA42" s="2391">
        <f>NormInputs!BT27</f>
        <v>6179</v>
      </c>
      <c r="CB42" s="2392">
        <f>NormInputs!BU27</f>
        <v>6241</v>
      </c>
      <c r="CC42" s="2392">
        <f>NormInputs!BV27</f>
        <v>6201</v>
      </c>
      <c r="CD42" s="2392">
        <f>NormInputs!BW27</f>
        <v>5999</v>
      </c>
      <c r="CE42" s="2391">
        <f>NormInputs!BX27</f>
        <v>6237</v>
      </c>
      <c r="CF42" s="2392">
        <f>NormInputs!BY27</f>
        <v>6500</v>
      </c>
      <c r="CG42" s="2392">
        <f>NormInputs!BZ27</f>
        <v>6569</v>
      </c>
      <c r="CH42" s="2392">
        <f>NormInputs!CA27</f>
        <v>6417</v>
      </c>
      <c r="CI42" s="2391">
        <f>NormInputs!CB27</f>
        <v>7202</v>
      </c>
      <c r="CJ42" s="2392">
        <f>NormInputs!CC27</f>
        <v>7154</v>
      </c>
      <c r="CK42" s="2392">
        <f>NormInputs!CD27</f>
        <v>7101</v>
      </c>
      <c r="CL42" s="2392">
        <f>NormInputs!CE27</f>
        <v>7050</v>
      </c>
      <c r="CM42" s="2391">
        <f>NormInputs!CF27</f>
        <v>7176</v>
      </c>
      <c r="CN42" s="2392">
        <f>NormInputs!CG27</f>
        <v>7119</v>
      </c>
      <c r="CO42" s="2392">
        <f>NormInputs!CH27</f>
        <v>7110</v>
      </c>
      <c r="CP42" s="2392">
        <f>NormInputs!CI27</f>
        <v>7211</v>
      </c>
      <c r="CQ42" s="2391">
        <f>NormInputs!CJ27</f>
        <v>7284</v>
      </c>
      <c r="CR42" s="2392">
        <f>NormInputs!CK27</f>
        <v>7373</v>
      </c>
      <c r="CS42" s="2392">
        <f>NormInputs!CL27</f>
        <v>7360</v>
      </c>
      <c r="CT42" s="2392">
        <f>NormInputs!CM27</f>
        <v>7533</v>
      </c>
      <c r="CU42" s="2391">
        <f>NormInputs!CN27</f>
        <v>7700</v>
      </c>
      <c r="CV42" s="2392">
        <f>NormInputs!CO27</f>
        <v>7877</v>
      </c>
      <c r="CW42" s="2392">
        <f>NormInputs!CP27</f>
        <v>7982</v>
      </c>
      <c r="CX42" s="2392">
        <f>NormInputs!CQ27</f>
        <v>8583</v>
      </c>
      <c r="CY42" s="2391">
        <f>NormInputs!CR27</f>
        <v>8142</v>
      </c>
      <c r="CZ42" s="2392">
        <f>NormInputs!CS27</f>
        <v>8280</v>
      </c>
      <c r="DA42" s="2392">
        <f>NormInputs!CT27</f>
        <v>8307</v>
      </c>
      <c r="DB42" s="2392">
        <f>NormInputs!CU27</f>
        <v>8846</v>
      </c>
      <c r="DC42" s="2391">
        <f>NormInputs!CV27</f>
        <v>8330</v>
      </c>
      <c r="DD42" s="2392">
        <f>NormInputs!CW27</f>
        <v>8255</v>
      </c>
      <c r="DE42" s="2392">
        <f>NormInputs!CX27</f>
        <v>8277</v>
      </c>
      <c r="DF42" s="2393">
        <f>NormInputs!CY27</f>
        <v>9043</v>
      </c>
      <c r="DG42" s="2391">
        <f>NormInputs!CZ27</f>
        <v>7939</v>
      </c>
      <c r="DH42" s="2392">
        <f>NormInputs!DA27</f>
        <v>7974</v>
      </c>
      <c r="DI42" s="2407">
        <f>NormInputs!DB27</f>
        <v>8309</v>
      </c>
      <c r="DJ42" s="2481">
        <f>NormInputs!DC27</f>
        <v>8616</v>
      </c>
      <c r="DK42" s="2496">
        <f>NormInputs!DD27</f>
        <v>7577</v>
      </c>
      <c r="DL42" s="2563">
        <f>NormInputs!DE27</f>
        <v>7232</v>
      </c>
      <c r="DM42" s="2563">
        <f>NormInputs!DF27</f>
        <v>7429</v>
      </c>
      <c r="DN42" s="2564">
        <f>NormInputs!DG27</f>
        <v>7557</v>
      </c>
      <c r="DO42" s="2496">
        <f>NormInputs!DH27</f>
        <v>6782</v>
      </c>
      <c r="DP42" s="2563">
        <f>NormInputs!DI27</f>
        <v>7054</v>
      </c>
      <c r="DQ42" s="2563">
        <f>NormInputs!DJ27</f>
        <v>7012</v>
      </c>
      <c r="DR42" s="2564">
        <f>NormInputs!DK27</f>
        <v>6973</v>
      </c>
      <c r="DS42" s="2496">
        <f>NormInputs!DL27</f>
        <v>6488</v>
      </c>
      <c r="DT42" s="2563">
        <f ca="1">Segments!DQ36</f>
        <v>7089.2237553407431</v>
      </c>
      <c r="DU42" s="2563">
        <f ca="1">Segments!DR36</f>
        <v>7288.5222342291418</v>
      </c>
      <c r="DV42" s="2564">
        <f ca="1">Segments!DS36</f>
        <v>7548.93218350813</v>
      </c>
      <c r="DW42" s="1923"/>
      <c r="DX42"/>
      <c r="DY42"/>
      <c r="DZ42"/>
      <c r="EA42"/>
      <c r="EB42"/>
      <c r="EC42"/>
    </row>
    <row r="43" spans="1:133" s="821" customFormat="1" ht="15" customHeight="1">
      <c r="A43" s="2396" t="s">
        <v>945</v>
      </c>
      <c r="B43" s="1921"/>
      <c r="C43" s="1921"/>
      <c r="D43" s="1921"/>
      <c r="E43" s="1921"/>
      <c r="F43" s="1921"/>
      <c r="G43" s="1921"/>
      <c r="H43" s="1958"/>
      <c r="I43" s="1958"/>
      <c r="J43" s="1958"/>
      <c r="K43" s="1958">
        <v>-4.5191792358931115E-2</v>
      </c>
      <c r="L43" s="1958">
        <v>1.6558747469077595E-2</v>
      </c>
      <c r="M43" s="1958">
        <v>-2.2090855247046237E-2</v>
      </c>
      <c r="N43" s="1921">
        <f>N42/M42-1</f>
        <v>-3.6637204590783456E-2</v>
      </c>
      <c r="O43" s="1921">
        <f>O42/N42-1</f>
        <v>3.0729297496441488E-2</v>
      </c>
      <c r="P43" s="1921">
        <f>P42/O42-1</f>
        <v>4.4800974817221784E-2</v>
      </c>
      <c r="Q43" s="1958" t="s">
        <v>1149</v>
      </c>
      <c r="R43" s="1921">
        <f t="shared" ref="R43:AB43" si="166">R42/Q42-1</f>
        <v>3.8236222682148657E-3</v>
      </c>
      <c r="S43" s="1921">
        <f t="shared" si="166"/>
        <v>3.263908303047236E-2</v>
      </c>
      <c r="T43" s="1921">
        <f t="shared" si="166"/>
        <v>8.7715736040609116E-2</v>
      </c>
      <c r="U43" s="1921">
        <f t="shared" si="166"/>
        <v>4.4583411113185312E-2</v>
      </c>
      <c r="V43" s="1921">
        <f t="shared" si="166"/>
        <v>9.8287416232316627E-3</v>
      </c>
      <c r="W43" s="1921">
        <f>W42/V42-1</f>
        <v>-3.1470284618787758E-2</v>
      </c>
      <c r="X43" s="1921">
        <f>X42/W42-1</f>
        <v>-9.2667032096960811E-2</v>
      </c>
      <c r="Y43" s="1921">
        <f>Y42/X42-1</f>
        <v>-6.6252726967611975E-2</v>
      </c>
      <c r="Z43" s="1921">
        <f ca="1">Z42/Y42-1</f>
        <v>2.1339210419395904E-2</v>
      </c>
      <c r="AA43" s="1921">
        <f t="shared" ca="1" si="166"/>
        <v>-2.4756102325573237E-2</v>
      </c>
      <c r="AB43" s="1921">
        <f t="shared" ca="1" si="166"/>
        <v>2.4809332510555837E-3</v>
      </c>
      <c r="AC43" s="1921">
        <f t="shared" ref="AC43" ca="1" si="167">AC42/AB42-1</f>
        <v>2.9518913259241053E-3</v>
      </c>
      <c r="AD43" s="1921">
        <f t="shared" ref="AD43" ca="1" si="168">AD42/AC42-1</f>
        <v>3.3615403681725997E-3</v>
      </c>
      <c r="AE43" s="1921">
        <f t="shared" ref="AE43" ca="1" si="169">AE42/AD42-1</f>
        <v>3.815701764823487E-3</v>
      </c>
      <c r="AF43" s="1921">
        <f t="shared" ref="AF43" ca="1" si="170">AF42/AE42-1</f>
        <v>4.3562236662189058E-3</v>
      </c>
      <c r="AG43" s="1921">
        <f t="shared" ref="AG43" ca="1" si="171">AG42/AF42-1</f>
        <v>4.9965861965870495E-3</v>
      </c>
      <c r="AH43" s="1921"/>
      <c r="AI43" s="2386"/>
      <c r="AJ43" s="1921"/>
      <c r="AK43" s="1921"/>
      <c r="AL43" s="1921"/>
      <c r="AM43" s="1921"/>
      <c r="AN43" s="1921"/>
      <c r="AO43" s="1921"/>
      <c r="AP43" s="1921"/>
      <c r="AQ43" s="1921"/>
      <c r="AR43" s="1921"/>
      <c r="AS43" s="1921"/>
      <c r="AT43" s="1921"/>
      <c r="AU43" s="1921"/>
      <c r="AV43" s="1921"/>
      <c r="AW43" s="1921"/>
      <c r="AX43" s="1921"/>
      <c r="AY43" s="1921"/>
      <c r="AZ43" s="1921"/>
      <c r="BA43" s="1921"/>
      <c r="BB43" s="1921"/>
      <c r="BC43" s="1921"/>
      <c r="BD43" s="1921"/>
      <c r="BE43" s="1921"/>
      <c r="BF43" s="1921"/>
      <c r="BG43" s="2397"/>
      <c r="BH43" s="2398"/>
      <c r="BI43" s="2398"/>
      <c r="BJ43" s="2398"/>
      <c r="BK43" s="2398">
        <v>-0.12673326375428662</v>
      </c>
      <c r="BL43" s="2398">
        <v>-5.0918951491413122E-2</v>
      </c>
      <c r="BM43" s="2398">
        <v>-1.5520199656839817E-2</v>
      </c>
      <c r="BN43" s="2398">
        <v>1.6808042726987216E-2</v>
      </c>
      <c r="BO43" s="2398">
        <v>8.6904558647771912E-2</v>
      </c>
      <c r="BP43" s="2398">
        <v>-9.5238095238092679E-4</v>
      </c>
      <c r="BQ43" s="2398">
        <v>-3.1688188227838587E-3</v>
      </c>
      <c r="BR43" s="2398">
        <v>-1.0814151089139523E-2</v>
      </c>
      <c r="BS43" s="2398">
        <v>-2.309142318567392E-2</v>
      </c>
      <c r="BT43" s="2398">
        <v>-9.5328884652049473E-3</v>
      </c>
      <c r="BU43" s="2398">
        <v>-1.7245489946753678E-2</v>
      </c>
      <c r="BV43" s="2399">
        <v>-3.8201247752808754E-2</v>
      </c>
      <c r="BW43" s="2400">
        <f t="shared" ref="BW43:CH43" si="172">BW42/BS42-1</f>
        <v>-8.1363563273838202E-2</v>
      </c>
      <c r="BX43" s="2401">
        <f t="shared" si="172"/>
        <v>-5.7747834456207903E-2</v>
      </c>
      <c r="BY43" s="2401">
        <f t="shared" si="172"/>
        <v>6.4693514475173686E-3</v>
      </c>
      <c r="BZ43" s="2401">
        <f t="shared" si="172"/>
        <v>-1.3379683892504657E-2</v>
      </c>
      <c r="CA43" s="2400">
        <f t="shared" si="172"/>
        <v>8.1568352879397787E-2</v>
      </c>
      <c r="CB43" s="2401">
        <f t="shared" si="172"/>
        <v>6.247871978209063E-2</v>
      </c>
      <c r="CC43" s="2401">
        <f t="shared" si="172"/>
        <v>-3.5352723766671756E-3</v>
      </c>
      <c r="CD43" s="2401">
        <f t="shared" si="172"/>
        <v>-1.2672811059907807E-2</v>
      </c>
      <c r="CE43" s="2400">
        <f t="shared" si="172"/>
        <v>9.3866321411231191E-3</v>
      </c>
      <c r="CF43" s="2401">
        <f t="shared" si="172"/>
        <v>4.1499759653901513E-2</v>
      </c>
      <c r="CG43" s="2401">
        <f t="shared" si="172"/>
        <v>5.9345266892436799E-2</v>
      </c>
      <c r="CH43" s="2401">
        <f t="shared" si="172"/>
        <v>6.9678279713285551E-2</v>
      </c>
      <c r="CI43" s="2394" t="s">
        <v>1149</v>
      </c>
      <c r="CJ43" s="2395" t="s">
        <v>1149</v>
      </c>
      <c r="CK43" s="2395" t="s">
        <v>1149</v>
      </c>
      <c r="CL43" s="2395" t="s">
        <v>1149</v>
      </c>
      <c r="CM43" s="2400">
        <f t="shared" ref="CM43:DS43" si="173">CM42/CI42-1</f>
        <v>-3.6101083032491488E-3</v>
      </c>
      <c r="CN43" s="2401">
        <f t="shared" si="173"/>
        <v>-4.8923679060665082E-3</v>
      </c>
      <c r="CO43" s="2401">
        <f t="shared" si="173"/>
        <v>1.2674271229404788E-3</v>
      </c>
      <c r="CP43" s="2401">
        <f t="shared" si="173"/>
        <v>2.2836879432624135E-2</v>
      </c>
      <c r="CQ43" s="2400">
        <f t="shared" si="173"/>
        <v>1.5050167224080369E-2</v>
      </c>
      <c r="CR43" s="2401">
        <f t="shared" si="173"/>
        <v>3.5679168422531271E-2</v>
      </c>
      <c r="CS43" s="2401">
        <f t="shared" si="173"/>
        <v>3.5161744022503605E-2</v>
      </c>
      <c r="CT43" s="2401">
        <f t="shared" si="173"/>
        <v>4.4654000832062168E-2</v>
      </c>
      <c r="CU43" s="2400">
        <f t="shared" si="173"/>
        <v>5.7111477210324058E-2</v>
      </c>
      <c r="CV43" s="2401">
        <f t="shared" si="173"/>
        <v>6.8357520683575146E-2</v>
      </c>
      <c r="CW43" s="2401">
        <f t="shared" si="173"/>
        <v>8.4510869565217472E-2</v>
      </c>
      <c r="CX43" s="2401">
        <f t="shared" si="173"/>
        <v>0.13938669852648355</v>
      </c>
      <c r="CY43" s="2400">
        <f t="shared" si="173"/>
        <v>5.7402597402597344E-2</v>
      </c>
      <c r="CZ43" s="2401">
        <f t="shared" si="173"/>
        <v>5.1161609749904802E-2</v>
      </c>
      <c r="DA43" s="2401">
        <f t="shared" si="173"/>
        <v>4.0716612377850181E-2</v>
      </c>
      <c r="DB43" s="2401">
        <f t="shared" si="173"/>
        <v>3.0641966678317534E-2</v>
      </c>
      <c r="DC43" s="2400">
        <f t="shared" si="173"/>
        <v>2.3090149840333973E-2</v>
      </c>
      <c r="DD43" s="2401">
        <f t="shared" si="173"/>
        <v>-3.0193236714975979E-3</v>
      </c>
      <c r="DE43" s="2401">
        <f t="shared" si="173"/>
        <v>-3.6114120621162371E-3</v>
      </c>
      <c r="DF43" s="2402">
        <f t="shared" si="173"/>
        <v>2.226995252091335E-2</v>
      </c>
      <c r="DG43" s="2400">
        <f t="shared" si="173"/>
        <v>-4.6938775510204089E-2</v>
      </c>
      <c r="DH43" s="2401">
        <f t="shared" si="173"/>
        <v>-3.4039975772259257E-2</v>
      </c>
      <c r="DI43" s="2401">
        <f t="shared" si="173"/>
        <v>3.8661350730941901E-3</v>
      </c>
      <c r="DJ43" s="2402">
        <f t="shared" si="173"/>
        <v>-4.7218843304213221E-2</v>
      </c>
      <c r="DK43" s="2400">
        <f t="shared" si="173"/>
        <v>-4.5597682327749078E-2</v>
      </c>
      <c r="DL43" s="2401">
        <f t="shared" si="173"/>
        <v>-9.3052420366190103E-2</v>
      </c>
      <c r="DM43" s="2401">
        <f t="shared" si="173"/>
        <v>-0.10590925502467208</v>
      </c>
      <c r="DN43" s="2402">
        <f t="shared" si="173"/>
        <v>-0.12291086350974934</v>
      </c>
      <c r="DO43" s="2400">
        <f t="shared" si="173"/>
        <v>-0.10492279266200344</v>
      </c>
      <c r="DP43" s="2401">
        <f t="shared" si="173"/>
        <v>-2.4612831858407125E-2</v>
      </c>
      <c r="DQ43" s="2401">
        <f t="shared" si="173"/>
        <v>-5.6131377035940289E-2</v>
      </c>
      <c r="DR43" s="2402">
        <f t="shared" si="173"/>
        <v>-7.7279343654889532E-2</v>
      </c>
      <c r="DS43" s="2400">
        <f t="shared" si="173"/>
        <v>-4.3350044234738982E-2</v>
      </c>
      <c r="DT43" s="2401">
        <f t="shared" ref="DT43" ca="1" si="174">DT42/DP42-1</f>
        <v>4.9934441934706975E-3</v>
      </c>
      <c r="DU43" s="2401">
        <f t="shared" ref="DU43" ca="1" si="175">DU42/DQ42-1</f>
        <v>3.9435572479911807E-2</v>
      </c>
      <c r="DV43" s="2402">
        <f t="shared" ref="DV43" ca="1" si="176">DV42/DR42-1</f>
        <v>8.2594605407734223E-2</v>
      </c>
      <c r="DW43" s="1923"/>
      <c r="DX43"/>
      <c r="DY43"/>
      <c r="DZ43"/>
      <c r="EA43"/>
      <c r="EB43"/>
      <c r="EC43"/>
    </row>
    <row r="44" spans="1:133" s="821" customFormat="1">
      <c r="A44" s="2396" t="s">
        <v>1625</v>
      </c>
      <c r="B44" s="1921"/>
      <c r="C44" s="1921"/>
      <c r="D44" s="1921"/>
      <c r="E44" s="1921"/>
      <c r="F44" s="1921"/>
      <c r="G44" s="1921"/>
      <c r="H44" s="1958"/>
      <c r="I44" s="1958"/>
      <c r="J44" s="1958"/>
      <c r="K44" s="1958">
        <v>0.27363738096282969</v>
      </c>
      <c r="L44" s="1958">
        <v>0.27738028816173815</v>
      </c>
      <c r="M44" s="1958">
        <v>0.27889897088490306</v>
      </c>
      <c r="N44" s="1921">
        <f>N42/N30</f>
        <v>0.27384058315614146</v>
      </c>
      <c r="O44" s="1921">
        <f>O42/O30</f>
        <v>0.26652232746955345</v>
      </c>
      <c r="P44" s="1921">
        <f>P42/P30</f>
        <v>0.26492337480431738</v>
      </c>
      <c r="Q44" s="1921">
        <f t="shared" ref="Q44:AA44" si="177">Q42/Q35</f>
        <v>0.27835333404938828</v>
      </c>
      <c r="R44" s="1921">
        <f t="shared" si="177"/>
        <v>0.27403137149751977</v>
      </c>
      <c r="S44" s="1921">
        <f t="shared" si="177"/>
        <v>0.26651634723788048</v>
      </c>
      <c r="T44" s="1921">
        <f t="shared" si="177"/>
        <v>0.27807144278434798</v>
      </c>
      <c r="U44" s="1921">
        <f t="shared" si="177"/>
        <v>0.27990596160098707</v>
      </c>
      <c r="V44" s="1921">
        <f t="shared" si="177"/>
        <v>0.26734109743500784</v>
      </c>
      <c r="W44" s="1921">
        <f t="shared" si="177"/>
        <v>0.25373007471739517</v>
      </c>
      <c r="X44" s="1921">
        <f>X42/X35</f>
        <v>0.23749551632059304</v>
      </c>
      <c r="Y44" s="1921">
        <f>Y42/Y35</f>
        <v>0.22074202199406509</v>
      </c>
      <c r="Z44" s="1921">
        <f ca="1">Z42/Z35</f>
        <v>0.22036223136036734</v>
      </c>
      <c r="AA44" s="1921">
        <f t="shared" ca="1" si="177"/>
        <v>0.2147558764228451</v>
      </c>
      <c r="AB44" s="1921">
        <f t="shared" ref="AB44:AG44" ca="1" si="178">AB42/AB35</f>
        <v>0.21426462195730817</v>
      </c>
      <c r="AC44" s="1921">
        <f t="shared" ca="1" si="178"/>
        <v>0.2137629842347607</v>
      </c>
      <c r="AD44" s="1921">
        <f t="shared" ca="1" si="178"/>
        <v>0.21325179069435837</v>
      </c>
      <c r="AE44" s="1921">
        <f t="shared" ca="1" si="178"/>
        <v>0.21273023968028601</v>
      </c>
      <c r="AF44" s="1921">
        <f t="shared" ca="1" si="178"/>
        <v>0.21219667881529794</v>
      </c>
      <c r="AG44" s="1921">
        <f t="shared" ca="1" si="178"/>
        <v>0.21164899858781039</v>
      </c>
      <c r="AH44" s="1921"/>
      <c r="AI44" s="2386"/>
      <c r="AJ44" s="1921"/>
      <c r="AK44" s="1921"/>
      <c r="AL44" s="1921"/>
      <c r="AM44" s="1921"/>
      <c r="AN44" s="1921"/>
      <c r="AO44" s="1921"/>
      <c r="AP44" s="1921"/>
      <c r="AQ44" s="1921"/>
      <c r="AR44" s="1921"/>
      <c r="AS44" s="1921"/>
      <c r="AT44" s="1921"/>
      <c r="AU44" s="1921"/>
      <c r="AV44" s="1921"/>
      <c r="AW44" s="1921"/>
      <c r="AX44" s="1921"/>
      <c r="AY44" s="1921"/>
      <c r="AZ44" s="1921"/>
      <c r="BA44" s="1921"/>
      <c r="BB44" s="1921"/>
      <c r="BC44" s="1921"/>
      <c r="BD44" s="1921"/>
      <c r="BE44" s="1921"/>
      <c r="BF44" s="1921"/>
      <c r="BG44" s="2397">
        <v>0.28170019740434288</v>
      </c>
      <c r="BH44" s="2398">
        <v>0.27961246840775061</v>
      </c>
      <c r="BI44" s="2398">
        <v>0.26585113000207339</v>
      </c>
      <c r="BJ44" s="2398">
        <v>0.26971147735457357</v>
      </c>
      <c r="BK44" s="2398">
        <v>0.25586475033856099</v>
      </c>
      <c r="BL44" s="2398">
        <v>0.27642490456759244</v>
      </c>
      <c r="BM44" s="2398">
        <v>0.27584021677374243</v>
      </c>
      <c r="BN44" s="2398">
        <v>0.28660615452734117</v>
      </c>
      <c r="BO44" s="2398">
        <v>0.28495971351835275</v>
      </c>
      <c r="BP44" s="2398">
        <v>0.27547268907563027</v>
      </c>
      <c r="BQ44" s="2398">
        <v>0.27197077767691175</v>
      </c>
      <c r="BR44" s="2398">
        <v>0.27735424066533831</v>
      </c>
      <c r="BS44" s="2398">
        <v>0.28540614960991278</v>
      </c>
      <c r="BT44" s="2398">
        <v>0.28121616744857453</v>
      </c>
      <c r="BU44" s="2398">
        <v>0.27536296428253315</v>
      </c>
      <c r="BV44" s="2399">
        <v>0.27250751850253402</v>
      </c>
      <c r="BW44" s="2400">
        <f t="shared" ref="BW44:CH44" si="179">BW42/BW30</f>
        <v>0.26988938191923273</v>
      </c>
      <c r="BX44" s="2401">
        <f t="shared" si="179"/>
        <v>0.27215864337673168</v>
      </c>
      <c r="BY44" s="2401">
        <f t="shared" si="179"/>
        <v>0.28079595704358812</v>
      </c>
      <c r="BZ44" s="2401">
        <f t="shared" si="179"/>
        <v>0.27230762335858022</v>
      </c>
      <c r="CA44" s="2400">
        <f t="shared" si="179"/>
        <v>0.27694859038142622</v>
      </c>
      <c r="CB44" s="2401">
        <f t="shared" si="179"/>
        <v>0.27134782608695651</v>
      </c>
      <c r="CC44" s="2401">
        <f t="shared" si="179"/>
        <v>0.263950964116971</v>
      </c>
      <c r="CD44" s="2401">
        <f t="shared" si="179"/>
        <v>0.25450765771498873</v>
      </c>
      <c r="CE44" s="2400">
        <f t="shared" si="179"/>
        <v>0.26455991516436905</v>
      </c>
      <c r="CF44" s="2401">
        <f t="shared" si="179"/>
        <v>0.26944122036146578</v>
      </c>
      <c r="CG44" s="2401">
        <f t="shared" si="179"/>
        <v>0.26539269553975436</v>
      </c>
      <c r="CH44" s="2401">
        <f t="shared" si="179"/>
        <v>0.26037735849056604</v>
      </c>
      <c r="CI44" s="2400">
        <f t="shared" ref="CI44:DG44" si="180">CI42/CI35</f>
        <v>0.28619113848599242</v>
      </c>
      <c r="CJ44" s="2401">
        <f t="shared" si="180"/>
        <v>0.2804280506448199</v>
      </c>
      <c r="CK44" s="2401">
        <f t="shared" si="180"/>
        <v>0.27381044189095394</v>
      </c>
      <c r="CL44" s="2401">
        <f t="shared" si="180"/>
        <v>0.27322404371584702</v>
      </c>
      <c r="CM44" s="2400">
        <f t="shared" si="180"/>
        <v>0.27992978349912229</v>
      </c>
      <c r="CN44" s="2401">
        <f t="shared" si="180"/>
        <v>0.27473757332510035</v>
      </c>
      <c r="CO44" s="2401">
        <f t="shared" si="180"/>
        <v>0.26846397825101947</v>
      </c>
      <c r="CP44" s="2401">
        <f t="shared" si="180"/>
        <v>0.27319568100018943</v>
      </c>
      <c r="CQ44" s="2400">
        <f t="shared" si="180"/>
        <v>0.2698777324935161</v>
      </c>
      <c r="CR44" s="2401">
        <f t="shared" si="180"/>
        <v>0.26775857059848923</v>
      </c>
      <c r="CS44" s="2401">
        <f t="shared" si="180"/>
        <v>0.26367642317199869</v>
      </c>
      <c r="CT44" s="2401">
        <f t="shared" si="180"/>
        <v>0.26491067660711776</v>
      </c>
      <c r="CU44" s="2400">
        <f t="shared" si="180"/>
        <v>0.27264358048296861</v>
      </c>
      <c r="CV44" s="2401">
        <f t="shared" si="180"/>
        <v>0.27614373356704647</v>
      </c>
      <c r="CW44" s="2401">
        <f t="shared" si="180"/>
        <v>0.2751749577688144</v>
      </c>
      <c r="CX44" s="2401">
        <f t="shared" si="180"/>
        <v>0.2878752305886299</v>
      </c>
      <c r="CY44" s="2400">
        <f t="shared" si="180"/>
        <v>0.27845417236662107</v>
      </c>
      <c r="CZ44" s="2401">
        <f t="shared" si="180"/>
        <v>0.27919209630104191</v>
      </c>
      <c r="DA44" s="2401">
        <f t="shared" si="180"/>
        <v>0.27577850076356153</v>
      </c>
      <c r="DB44" s="2401">
        <f t="shared" si="180"/>
        <v>0.28598215440320701</v>
      </c>
      <c r="DC44" s="2400">
        <f t="shared" si="180"/>
        <v>0.27142391658520693</v>
      </c>
      <c r="DD44" s="2401">
        <f t="shared" si="180"/>
        <v>0.26327539467389571</v>
      </c>
      <c r="DE44" s="2401">
        <f t="shared" si="180"/>
        <v>0.26204647628696259</v>
      </c>
      <c r="DF44" s="2402">
        <f t="shared" si="180"/>
        <v>0.27244516751024345</v>
      </c>
      <c r="DG44" s="2400">
        <f t="shared" si="180"/>
        <v>0.25260110089407872</v>
      </c>
      <c r="DH44" s="2401">
        <f t="shared" ref="DH44:DI44" si="181">DH42/DH35</f>
        <v>0.25172838336963727</v>
      </c>
      <c r="DI44" s="2401">
        <f t="shared" si="181"/>
        <v>0.25476789108971609</v>
      </c>
      <c r="DJ44" s="2402">
        <f t="shared" ref="DJ44:DO44" si="182">DJ42/DJ35</f>
        <v>0.25566006943414143</v>
      </c>
      <c r="DK44" s="2400">
        <f t="shared" si="182"/>
        <v>0.23942994375276497</v>
      </c>
      <c r="DL44" s="2401">
        <f t="shared" si="182"/>
        <v>0.23686623870037993</v>
      </c>
      <c r="DM44" s="2401">
        <f t="shared" si="182"/>
        <v>0.24013317386947669</v>
      </c>
      <c r="DN44" s="2402">
        <f t="shared" si="182"/>
        <v>0.2336734693877551</v>
      </c>
      <c r="DO44" s="2400">
        <f t="shared" si="182"/>
        <v>0.2274770242168109</v>
      </c>
      <c r="DP44" s="2401">
        <f t="shared" ref="DP44:DQ44" si="183">DP42/DP35</f>
        <v>0.23091528086945134</v>
      </c>
      <c r="DQ44" s="2401">
        <f t="shared" si="183"/>
        <v>0.2210801778226188</v>
      </c>
      <c r="DR44" s="2402">
        <f t="shared" ref="DR44" si="184">DR42/DR35</f>
        <v>0.20536003534089237</v>
      </c>
      <c r="DS44" s="2400">
        <f t="shared" ref="DS44" si="185">DS42/DS35</f>
        <v>0.20420496034243987</v>
      </c>
      <c r="DT44" s="2401">
        <f t="shared" ref="DT44:DV44" ca="1" si="186">DT42/DT35</f>
        <v>0.22466920021663439</v>
      </c>
      <c r="DU44" s="2401">
        <f t="shared" ca="1" si="186"/>
        <v>0.22722415033747922</v>
      </c>
      <c r="DV44" s="2402">
        <f t="shared" ca="1" si="186"/>
        <v>0.22505297348386824</v>
      </c>
      <c r="DW44" s="1923"/>
      <c r="DX44"/>
      <c r="DY44"/>
      <c r="DZ44"/>
      <c r="EA44"/>
      <c r="EB44"/>
      <c r="EC44"/>
    </row>
    <row r="45" spans="1:133" s="820" customFormat="1" hidden="1" outlineLevel="1">
      <c r="A45" s="2387" t="s">
        <v>964</v>
      </c>
      <c r="B45" s="1923"/>
      <c r="C45" s="1923"/>
      <c r="D45" s="1923"/>
      <c r="E45" s="1923"/>
      <c r="F45" s="1923"/>
      <c r="G45" s="1923"/>
      <c r="H45" s="1958">
        <v>65886</v>
      </c>
      <c r="I45" s="1958">
        <v>65977</v>
      </c>
      <c r="J45" s="1958">
        <v>62577</v>
      </c>
      <c r="K45" s="1958">
        <v>61065</v>
      </c>
      <c r="L45" s="1958">
        <v>61557</v>
      </c>
      <c r="M45" s="1958">
        <v>59493</v>
      </c>
      <c r="N45" s="1923">
        <f>N39+N42</f>
        <v>58688</v>
      </c>
      <c r="O45" s="1923">
        <f>O39+O42</f>
        <v>61710</v>
      </c>
      <c r="P45" s="1923">
        <f>P39+P42</f>
        <v>64524</v>
      </c>
      <c r="Q45" s="1923">
        <f>SUM(CI45:CL45)</f>
        <v>70122</v>
      </c>
      <c r="R45" s="1923">
        <f>SUM(CM45:CP45)</f>
        <v>70050</v>
      </c>
      <c r="S45" s="1923">
        <f>SUM(CQ45:CT45)</f>
        <v>75425</v>
      </c>
      <c r="T45" s="1923">
        <f>SUM(CU45:CX45)</f>
        <v>78172</v>
      </c>
      <c r="U45" s="1923">
        <f>SUM(CY45:DB45)</f>
        <v>77930</v>
      </c>
      <c r="V45" s="1923">
        <f>SUM(DC45:DF45)</f>
        <v>83569</v>
      </c>
      <c r="W45" s="1923">
        <f>SUM(DG45:DJ45)</f>
        <v>85053</v>
      </c>
      <c r="X45" s="1923">
        <f>SUM(DK45:DN45)</f>
        <v>81219</v>
      </c>
      <c r="Y45" s="1923">
        <f>SUM(DO45:DR45)</f>
        <v>79377</v>
      </c>
      <c r="Z45" s="1923">
        <f ca="1">SUM(DS45:DV45)</f>
        <v>81159.065497866221</v>
      </c>
      <c r="AA45" s="1923">
        <f ca="1">AA39+AA42</f>
        <v>80199.346329811073</v>
      </c>
      <c r="AB45" s="1923">
        <f ca="1">AB39+AB42</f>
        <v>79965.199582255533</v>
      </c>
      <c r="AC45" s="1923">
        <f t="shared" ref="AC45:AG45" ca="1" si="187">AC39+AC42</f>
        <v>79712.727843215514</v>
      </c>
      <c r="AD45" s="1923">
        <f t="shared" ca="1" si="187"/>
        <v>79445.198341695621</v>
      </c>
      <c r="AE45" s="1923">
        <f t="shared" ca="1" si="187"/>
        <v>79169.013066894331</v>
      </c>
      <c r="AF45" s="1923">
        <f t="shared" ca="1" si="187"/>
        <v>78891.445363667619</v>
      </c>
      <c r="AG45" s="1923">
        <f t="shared" ca="1" si="187"/>
        <v>78619.692743772815</v>
      </c>
      <c r="AH45" s="1923"/>
      <c r="AI45" s="2386">
        <f ca="1">(AA45/V45)^(1/5)-1</f>
        <v>-8.1976690592955315E-3</v>
      </c>
      <c r="AJ45" s="1923"/>
      <c r="AK45" s="1923"/>
      <c r="AL45" s="1923"/>
      <c r="AM45" s="1923"/>
      <c r="AN45" s="1923"/>
      <c r="AO45" s="1923"/>
      <c r="AP45" s="1923"/>
      <c r="AQ45" s="1923"/>
      <c r="AR45" s="1923"/>
      <c r="AS45" s="1923"/>
      <c r="AT45" s="1923"/>
      <c r="AU45" s="1923"/>
      <c r="AV45" s="1923"/>
      <c r="AW45" s="1923"/>
      <c r="AX45" s="1923"/>
      <c r="AY45" s="1923"/>
      <c r="AZ45" s="1923"/>
      <c r="BA45" s="1923"/>
      <c r="BB45" s="1923"/>
      <c r="BC45" s="1923"/>
      <c r="BD45" s="1923"/>
      <c r="BE45" s="1923"/>
      <c r="BF45" s="1923"/>
      <c r="BG45" s="2388">
        <v>15837</v>
      </c>
      <c r="BH45" s="2389">
        <v>15847</v>
      </c>
      <c r="BI45" s="2389">
        <v>15626</v>
      </c>
      <c r="BJ45" s="2389">
        <v>15267</v>
      </c>
      <c r="BK45" s="2389">
        <v>14738</v>
      </c>
      <c r="BL45" s="2389">
        <v>14989</v>
      </c>
      <c r="BM45" s="2389">
        <v>15552</v>
      </c>
      <c r="BN45" s="2389">
        <v>15786</v>
      </c>
      <c r="BO45" s="2389">
        <v>15377</v>
      </c>
      <c r="BP45" s="2389">
        <v>15180</v>
      </c>
      <c r="BQ45" s="2389">
        <v>15430</v>
      </c>
      <c r="BR45" s="2389">
        <v>15570</v>
      </c>
      <c r="BS45" s="2389">
        <v>14748</v>
      </c>
      <c r="BT45" s="2389">
        <v>14894</v>
      </c>
      <c r="BU45" s="2389">
        <v>14949</v>
      </c>
      <c r="BV45" s="2390">
        <v>14902</v>
      </c>
      <c r="BW45" s="2391">
        <f>NormInputs!BP28</f>
        <v>14105</v>
      </c>
      <c r="BX45" s="2392">
        <f>NormInputs!BQ28</f>
        <v>14451</v>
      </c>
      <c r="BY45" s="2392">
        <f>NormInputs!BR28</f>
        <v>15039</v>
      </c>
      <c r="BZ45" s="2392">
        <f>NormInputs!BS28</f>
        <v>15093</v>
      </c>
      <c r="CA45" s="2391">
        <f>NormInputs!BT28</f>
        <v>14984</v>
      </c>
      <c r="CB45" s="2392">
        <f>NormInputs!BU28</f>
        <v>15361</v>
      </c>
      <c r="CC45" s="2392">
        <f>NormInputs!BV28</f>
        <v>15690</v>
      </c>
      <c r="CD45" s="2392">
        <f>NormInputs!BW28</f>
        <v>15675</v>
      </c>
      <c r="CE45" s="2391">
        <f>NormInputs!BX28</f>
        <v>15632</v>
      </c>
      <c r="CF45" s="2392">
        <f>NormInputs!BY28</f>
        <v>15958</v>
      </c>
      <c r="CG45" s="2392">
        <f>NormInputs!BZ28</f>
        <v>16612</v>
      </c>
      <c r="CH45" s="2392">
        <f>NormInputs!CA28</f>
        <v>16322</v>
      </c>
      <c r="CI45" s="2391">
        <f>NormInputs!CB28</f>
        <v>17199</v>
      </c>
      <c r="CJ45" s="2392">
        <f>NormInputs!CC28</f>
        <v>17344</v>
      </c>
      <c r="CK45" s="2392">
        <f>NormInputs!CD28</f>
        <v>17774</v>
      </c>
      <c r="CL45" s="2392">
        <f>NormInputs!CE28</f>
        <v>17805</v>
      </c>
      <c r="CM45" s="2391">
        <f>NormInputs!CF28</f>
        <v>17470</v>
      </c>
      <c r="CN45" s="2392">
        <f>NormInputs!CG28</f>
        <v>17352</v>
      </c>
      <c r="CO45" s="2392">
        <f>NormInputs!CH28</f>
        <v>17689</v>
      </c>
      <c r="CP45" s="2392">
        <f>NormInputs!CI28</f>
        <v>17539</v>
      </c>
      <c r="CQ45" s="2391">
        <f>NormInputs!CJ28</f>
        <v>18513</v>
      </c>
      <c r="CR45" s="2392">
        <f>NormInputs!CK28</f>
        <v>18531</v>
      </c>
      <c r="CS45" s="2392">
        <f>NormInputs!CL28</f>
        <v>18758</v>
      </c>
      <c r="CT45" s="2392">
        <f>NormInputs!CM28</f>
        <v>19623</v>
      </c>
      <c r="CU45" s="2391">
        <f>NormInputs!CN28</f>
        <v>19019</v>
      </c>
      <c r="CV45" s="2392">
        <f>NormInputs!CO28</f>
        <v>18773</v>
      </c>
      <c r="CW45" s="2392">
        <f>NormInputs!CP28</f>
        <v>18973</v>
      </c>
      <c r="CX45" s="2392">
        <f>NormInputs!CQ28</f>
        <v>21407</v>
      </c>
      <c r="CY45" s="2391">
        <f>NormInputs!CR28</f>
        <v>18910</v>
      </c>
      <c r="CZ45" s="2392">
        <f>NormInputs!CS28</f>
        <v>19196</v>
      </c>
      <c r="DA45" s="2392">
        <f>NormInputs!CT28</f>
        <v>19126</v>
      </c>
      <c r="DB45" s="2392">
        <f>NormInputs!CU28</f>
        <v>20698</v>
      </c>
      <c r="DC45" s="2391">
        <f>NormInputs!CV28</f>
        <v>19399</v>
      </c>
      <c r="DD45" s="2392">
        <f>NormInputs!CW28</f>
        <v>20222</v>
      </c>
      <c r="DE45" s="2392">
        <f>NormInputs!CX28</f>
        <v>20529</v>
      </c>
      <c r="DF45" s="2393">
        <f>NormInputs!CY28</f>
        <v>23419</v>
      </c>
      <c r="DG45" s="2391">
        <f>NormInputs!CZ28</f>
        <v>20035</v>
      </c>
      <c r="DH45" s="2392">
        <f>NormInputs!DA28</f>
        <v>20423</v>
      </c>
      <c r="DI45" s="2392">
        <f>NormInputs!DB28</f>
        <v>21272</v>
      </c>
      <c r="DJ45" s="2393">
        <f>NormInputs!DC28</f>
        <v>23323</v>
      </c>
      <c r="DK45" s="2391">
        <f>NormInputs!DD28</f>
        <v>20189</v>
      </c>
      <c r="DL45" s="2392">
        <f>NormInputs!DE28</f>
        <v>19453</v>
      </c>
      <c r="DM45" s="2392">
        <f>NormInputs!DF28</f>
        <v>19658</v>
      </c>
      <c r="DN45" s="2393">
        <f>NormInputs!DG28</f>
        <v>21919</v>
      </c>
      <c r="DO45" s="2391">
        <f>NormInputs!DH28</f>
        <v>18448</v>
      </c>
      <c r="DP45" s="2392">
        <f>NormInputs!DI28</f>
        <v>19164</v>
      </c>
      <c r="DQ45" s="2392">
        <f>NormInputs!DJ28</f>
        <v>19617</v>
      </c>
      <c r="DR45" s="2393">
        <f>NormInputs!DK28</f>
        <v>22148</v>
      </c>
      <c r="DS45" s="2391">
        <f>NormInputs!DL28</f>
        <v>19743</v>
      </c>
      <c r="DT45" s="2392">
        <f t="shared" ref="DT45:DV45" ca="1" si="188">DT39+DT42</f>
        <v>19439.718157876916</v>
      </c>
      <c r="DU45" s="2392">
        <f t="shared" ca="1" si="188"/>
        <v>19683.928760230832</v>
      </c>
      <c r="DV45" s="2393">
        <f t="shared" ca="1" si="188"/>
        <v>22292.41857975848</v>
      </c>
      <c r="DW45" s="1923"/>
      <c r="DX45"/>
      <c r="DY45"/>
      <c r="DZ45"/>
      <c r="EA45"/>
      <c r="EB45"/>
      <c r="EC45"/>
    </row>
    <row r="46" spans="1:133" s="821" customFormat="1" hidden="1" outlineLevel="1">
      <c r="A46" s="2396" t="s">
        <v>952</v>
      </c>
      <c r="B46" s="1921"/>
      <c r="C46" s="1921"/>
      <c r="D46" s="1921"/>
      <c r="E46" s="1921"/>
      <c r="F46" s="1921"/>
      <c r="G46" s="1921"/>
      <c r="H46" s="1958"/>
      <c r="I46" s="1958"/>
      <c r="J46" s="1958"/>
      <c r="K46" s="1958">
        <v>-2.4162232130015782E-2</v>
      </c>
      <c r="L46" s="1958">
        <v>8.0569884549250848E-3</v>
      </c>
      <c r="M46" s="1958">
        <v>-3.3529899117890727E-2</v>
      </c>
      <c r="N46" s="1921">
        <f>N45/M45-1</f>
        <v>-1.3531003647487938E-2</v>
      </c>
      <c r="O46" s="1921">
        <f>O45/N45-1</f>
        <v>5.1492639040348953E-2</v>
      </c>
      <c r="P46" s="1921">
        <f>P45/O45-1</f>
        <v>4.5600388915896906E-2</v>
      </c>
      <c r="Q46" s="1958" t="s">
        <v>1149</v>
      </c>
      <c r="R46" s="1921">
        <f t="shared" ref="R46:AB46" si="189">R45/Q45-1</f>
        <v>-1.0267818944126317E-3</v>
      </c>
      <c r="S46" s="1921">
        <f t="shared" si="189"/>
        <v>7.6730906495360518E-2</v>
      </c>
      <c r="T46" s="1921">
        <f t="shared" si="189"/>
        <v>3.6420285051375512E-2</v>
      </c>
      <c r="U46" s="1921">
        <f t="shared" si="189"/>
        <v>-3.0957376042572982E-3</v>
      </c>
      <c r="V46" s="1921">
        <f t="shared" si="189"/>
        <v>7.2359810085974585E-2</v>
      </c>
      <c r="W46" s="1921">
        <f>W45/V45-1</f>
        <v>1.7757780995345085E-2</v>
      </c>
      <c r="X46" s="1921">
        <f>X45/W45-1</f>
        <v>-4.5077775034390366E-2</v>
      </c>
      <c r="Y46" s="1921">
        <f>Y45/X45-1</f>
        <v>-2.2679422302663177E-2</v>
      </c>
      <c r="Z46" s="1921">
        <f ca="1">Z45/Y45-1</f>
        <v>2.2450653185005942E-2</v>
      </c>
      <c r="AA46" s="1921">
        <f t="shared" ca="1" si="189"/>
        <v>-1.1825162872043937E-2</v>
      </c>
      <c r="AB46" s="1921">
        <f t="shared" ca="1" si="189"/>
        <v>-2.919559301551411E-3</v>
      </c>
      <c r="AC46" s="1921">
        <f t="shared" ref="AC46" ca="1" si="190">AC45/AB45-1</f>
        <v>-3.1572701670095071E-3</v>
      </c>
      <c r="AD46" s="1921">
        <f t="shared" ref="AD46" ca="1" si="191">AD45/AC45-1</f>
        <v>-3.3561704480379317E-3</v>
      </c>
      <c r="AE46" s="1921">
        <f t="shared" ref="AE46" ca="1" si="192">AE45/AD45-1</f>
        <v>-3.4764250145541409E-3</v>
      </c>
      <c r="AF46" s="1921">
        <f t="shared" ref="AF46" ca="1" si="193">AF45/AE45-1</f>
        <v>-3.5060144426983797E-3</v>
      </c>
      <c r="AG46" s="1921">
        <f t="shared" ref="AG46" ca="1" si="194">AG45/AF45-1</f>
        <v>-3.4446398927298061E-3</v>
      </c>
      <c r="AH46" s="1921"/>
      <c r="AI46" s="2386"/>
      <c r="AJ46" s="1921"/>
      <c r="AK46" s="1921"/>
      <c r="AL46" s="1921"/>
      <c r="AM46" s="1921"/>
      <c r="AN46" s="1921"/>
      <c r="AO46" s="1921"/>
      <c r="AP46" s="1921"/>
      <c r="AQ46" s="1921"/>
      <c r="AR46" s="1921"/>
      <c r="AS46" s="1921"/>
      <c r="AT46" s="1921"/>
      <c r="AU46" s="1921"/>
      <c r="AV46" s="1921"/>
      <c r="AW46" s="1921"/>
      <c r="AX46" s="1921"/>
      <c r="AY46" s="1921"/>
      <c r="AZ46" s="1921"/>
      <c r="BA46" s="1921"/>
      <c r="BB46" s="1921"/>
      <c r="BC46" s="1921"/>
      <c r="BD46" s="1921"/>
      <c r="BE46" s="1921"/>
      <c r="BF46" s="1921"/>
      <c r="BG46" s="2397"/>
      <c r="BH46" s="2398"/>
      <c r="BI46" s="2398"/>
      <c r="BJ46" s="2398"/>
      <c r="BK46" s="2398">
        <v>-6.9394456020711037E-2</v>
      </c>
      <c r="BL46" s="2398">
        <v>-5.4142739950779339E-2</v>
      </c>
      <c r="BM46" s="2398">
        <v>-4.735696915397436E-3</v>
      </c>
      <c r="BN46" s="2398">
        <v>3.3994890941245748E-2</v>
      </c>
      <c r="BO46" s="2398">
        <v>4.3357307640113918E-2</v>
      </c>
      <c r="BP46" s="2398">
        <v>1.274267796384021E-2</v>
      </c>
      <c r="BQ46" s="2398">
        <v>-7.8446502057613055E-3</v>
      </c>
      <c r="BR46" s="2398">
        <v>-1.3683010262257711E-2</v>
      </c>
      <c r="BS46" s="2398">
        <v>-4.0905248097808378E-2</v>
      </c>
      <c r="BT46" s="2398">
        <v>-1.8840579710144967E-2</v>
      </c>
      <c r="BU46" s="2398">
        <v>-3.1173039533376579E-2</v>
      </c>
      <c r="BV46" s="2399">
        <v>-4.2903018625562006E-2</v>
      </c>
      <c r="BW46" s="2400">
        <f t="shared" ref="BW46:CH46" si="195">BW45/BS45-1</f>
        <v>-4.3599132085706538E-2</v>
      </c>
      <c r="BX46" s="2401">
        <f t="shared" si="195"/>
        <v>-2.9743520880891605E-2</v>
      </c>
      <c r="BY46" s="2401">
        <f t="shared" si="195"/>
        <v>6.0204695966286081E-3</v>
      </c>
      <c r="BZ46" s="2401">
        <f t="shared" si="195"/>
        <v>1.281707153402234E-2</v>
      </c>
      <c r="CA46" s="2400">
        <f t="shared" si="195"/>
        <v>6.2318326834455817E-2</v>
      </c>
      <c r="CB46" s="2401">
        <f t="shared" si="195"/>
        <v>6.2971420662929933E-2</v>
      </c>
      <c r="CC46" s="2401">
        <f t="shared" si="195"/>
        <v>4.3287452623179679E-2</v>
      </c>
      <c r="CD46" s="2401">
        <f t="shared" si="195"/>
        <v>3.8560922281852594E-2</v>
      </c>
      <c r="CE46" s="2400">
        <f t="shared" si="195"/>
        <v>4.3246129204484784E-2</v>
      </c>
      <c r="CF46" s="2401">
        <f t="shared" si="195"/>
        <v>3.886465724887711E-2</v>
      </c>
      <c r="CG46" s="2401">
        <f t="shared" si="195"/>
        <v>5.8763543658381101E-2</v>
      </c>
      <c r="CH46" s="2401">
        <f t="shared" si="195"/>
        <v>4.1275917065390688E-2</v>
      </c>
      <c r="CI46" s="2394" t="s">
        <v>1149</v>
      </c>
      <c r="CJ46" s="2395" t="s">
        <v>1149</v>
      </c>
      <c r="CK46" s="2395" t="s">
        <v>1149</v>
      </c>
      <c r="CL46" s="2395" t="s">
        <v>1149</v>
      </c>
      <c r="CM46" s="2400">
        <f t="shared" ref="CM46:DS46" si="196">CM45/CI45-1</f>
        <v>1.5756730042444378E-2</v>
      </c>
      <c r="CN46" s="2401">
        <f t="shared" si="196"/>
        <v>4.6125461254620248E-4</v>
      </c>
      <c r="CO46" s="2401">
        <f t="shared" si="196"/>
        <v>-4.7822662315741837E-3</v>
      </c>
      <c r="CP46" s="2401">
        <f t="shared" si="196"/>
        <v>-1.4939623701207494E-2</v>
      </c>
      <c r="CQ46" s="2400">
        <f t="shared" si="196"/>
        <v>5.9702346880366353E-2</v>
      </c>
      <c r="CR46" s="2401">
        <f t="shared" si="196"/>
        <v>6.7946058091286288E-2</v>
      </c>
      <c r="CS46" s="2401">
        <f t="shared" si="196"/>
        <v>6.0433037480920326E-2</v>
      </c>
      <c r="CT46" s="2401">
        <f t="shared" si="196"/>
        <v>0.11882091339300982</v>
      </c>
      <c r="CU46" s="2400">
        <f t="shared" si="196"/>
        <v>2.7332144979203887E-2</v>
      </c>
      <c r="CV46" s="2401">
        <f t="shared" si="196"/>
        <v>1.3059198100480174E-2</v>
      </c>
      <c r="CW46" s="2401">
        <f t="shared" si="196"/>
        <v>1.1461776308774985E-2</v>
      </c>
      <c r="CX46" s="2401">
        <f t="shared" si="196"/>
        <v>9.0913723691586457E-2</v>
      </c>
      <c r="CY46" s="2400">
        <f t="shared" si="196"/>
        <v>-5.7311109942689287E-3</v>
      </c>
      <c r="CZ46" s="2401">
        <f t="shared" si="196"/>
        <v>2.2532360304692967E-2</v>
      </c>
      <c r="DA46" s="2401">
        <f t="shared" si="196"/>
        <v>8.0640910767932894E-3</v>
      </c>
      <c r="DB46" s="2401">
        <f t="shared" si="196"/>
        <v>-3.3120007474190638E-2</v>
      </c>
      <c r="DC46" s="2400">
        <f t="shared" si="196"/>
        <v>2.5859333685880559E-2</v>
      </c>
      <c r="DD46" s="2401">
        <f t="shared" si="196"/>
        <v>5.3448635132319122E-2</v>
      </c>
      <c r="DE46" s="2401">
        <f t="shared" si="196"/>
        <v>7.3355641535083116E-2</v>
      </c>
      <c r="DF46" s="2402">
        <f t="shared" si="196"/>
        <v>0.13146197700260887</v>
      </c>
      <c r="DG46" s="2400">
        <f t="shared" si="196"/>
        <v>3.2785195113150145E-2</v>
      </c>
      <c r="DH46" s="2401">
        <f t="shared" si="196"/>
        <v>9.9396696666995688E-3</v>
      </c>
      <c r="DI46" s="2401">
        <f t="shared" si="196"/>
        <v>3.6192703005504478E-2</v>
      </c>
      <c r="DJ46" s="2402">
        <f t="shared" si="196"/>
        <v>-4.0992356633502425E-3</v>
      </c>
      <c r="DK46" s="2400">
        <f t="shared" si="196"/>
        <v>7.6865485400547939E-3</v>
      </c>
      <c r="DL46" s="2401">
        <f t="shared" si="196"/>
        <v>-4.7495470792733641E-2</v>
      </c>
      <c r="DM46" s="2401">
        <f t="shared" si="196"/>
        <v>-7.5874388867995468E-2</v>
      </c>
      <c r="DN46" s="2402">
        <f t="shared" si="196"/>
        <v>-6.0198087724563698E-2</v>
      </c>
      <c r="DO46" s="2400">
        <f t="shared" si="196"/>
        <v>-8.6235078508098417E-2</v>
      </c>
      <c r="DP46" s="2401">
        <f t="shared" si="196"/>
        <v>-1.4856320361897879E-2</v>
      </c>
      <c r="DQ46" s="2401">
        <f t="shared" si="196"/>
        <v>-2.0856648692644253E-3</v>
      </c>
      <c r="DR46" s="2402">
        <f t="shared" si="196"/>
        <v>1.0447556914092715E-2</v>
      </c>
      <c r="DS46" s="2400">
        <f t="shared" si="196"/>
        <v>7.0197311361665182E-2</v>
      </c>
      <c r="DT46" s="2401">
        <f t="shared" ref="DT46" ca="1" si="197">DT45/DP45-1</f>
        <v>1.4387296904451841E-2</v>
      </c>
      <c r="DU46" s="2401">
        <f t="shared" ref="DU46" ca="1" si="198">DU45/DQ45-1</f>
        <v>3.4117734735603644E-3</v>
      </c>
      <c r="DV46" s="2402">
        <f t="shared" ref="DV46" ca="1" si="199">DV45/DR45-1</f>
        <v>6.5206149430412363E-3</v>
      </c>
      <c r="DW46" s="1923"/>
      <c r="DX46"/>
      <c r="DY46"/>
      <c r="DZ46"/>
      <c r="EA46"/>
      <c r="EB46"/>
      <c r="EC46"/>
    </row>
    <row r="47" spans="1:133" s="821" customFormat="1" hidden="1" outlineLevel="1">
      <c r="A47" s="2396" t="s">
        <v>950</v>
      </c>
      <c r="B47" s="1921"/>
      <c r="C47" s="1921"/>
      <c r="D47" s="1921"/>
      <c r="E47" s="1921"/>
      <c r="F47" s="1921"/>
      <c r="G47" s="1921"/>
      <c r="H47" s="1958">
        <v>0.66566307664329449</v>
      </c>
      <c r="I47" s="1958">
        <v>0.65948642083903919</v>
      </c>
      <c r="J47" s="1958">
        <v>0.65685914325002359</v>
      </c>
      <c r="K47" s="1958">
        <v>0.6699543599420722</v>
      </c>
      <c r="L47" s="1958">
        <v>0.67343857691424069</v>
      </c>
      <c r="M47" s="1958">
        <v>0.6692050708091023</v>
      </c>
      <c r="N47" s="1921">
        <f t="shared" ref="N47:V47" si="200">N45/N$30</f>
        <v>0.67282743633373654</v>
      </c>
      <c r="O47" s="1921">
        <f t="shared" si="200"/>
        <v>0.66803788903924222</v>
      </c>
      <c r="P47" s="1921">
        <f t="shared" si="200"/>
        <v>0.664538189008816</v>
      </c>
      <c r="Q47" s="1921">
        <f t="shared" si="200"/>
        <v>0.68469823166980759</v>
      </c>
      <c r="R47" s="1921">
        <f t="shared" si="200"/>
        <v>0.67080995154463452</v>
      </c>
      <c r="S47" s="1921">
        <f t="shared" si="200"/>
        <v>0.68027057497181509</v>
      </c>
      <c r="T47" s="1921">
        <f t="shared" si="200"/>
        <v>0.6762927268165656</v>
      </c>
      <c r="U47" s="1921">
        <f t="shared" si="200"/>
        <v>0.64968195346433122</v>
      </c>
      <c r="V47" s="1921">
        <f t="shared" si="200"/>
        <v>0.65894199001758358</v>
      </c>
      <c r="W47" s="1921">
        <f t="shared" ref="W47:AB47" si="201">W45/W$30</f>
        <v>0.65718082845906001</v>
      </c>
      <c r="X47" s="1921">
        <f t="shared" si="201"/>
        <v>0.6473954804511578</v>
      </c>
      <c r="Y47" s="1921">
        <f t="shared" si="201"/>
        <v>0.62980624275989017</v>
      </c>
      <c r="Z47" s="1921">
        <f t="shared" ca="1" si="201"/>
        <v>0.62940683893357929</v>
      </c>
      <c r="AA47" s="1921">
        <f t="shared" ca="1" si="201"/>
        <v>0.62152685992611578</v>
      </c>
      <c r="AB47" s="1921">
        <f t="shared" ca="1" si="201"/>
        <v>0.61676453078944105</v>
      </c>
      <c r="AC47" s="1921">
        <f t="shared" ref="AC47:AG47" ca="1" si="202">AC45/AC$30</f>
        <v>0.61157252878712887</v>
      </c>
      <c r="AD47" s="1921">
        <f t="shared" ca="1" si="202"/>
        <v>0.60602520075571953</v>
      </c>
      <c r="AE47" s="1921">
        <f t="shared" ca="1" si="202"/>
        <v>0.60015139448115573</v>
      </c>
      <c r="AF47" s="1921">
        <f t="shared" ca="1" si="202"/>
        <v>0.59395983664718599</v>
      </c>
      <c r="AG47" s="1921">
        <f t="shared" ca="1" si="202"/>
        <v>0.58745087860597389</v>
      </c>
      <c r="AH47" s="1921"/>
      <c r="AI47" s="2386"/>
      <c r="AJ47" s="1921"/>
      <c r="AK47" s="1921"/>
      <c r="AL47" s="1921"/>
      <c r="AM47" s="1921"/>
      <c r="AN47" s="1921"/>
      <c r="AO47" s="1921"/>
      <c r="AP47" s="1921"/>
      <c r="AQ47" s="1921"/>
      <c r="AR47" s="1921"/>
      <c r="AS47" s="1921"/>
      <c r="AT47" s="1921"/>
      <c r="AU47" s="1921"/>
      <c r="AV47" s="1921"/>
      <c r="AW47" s="1921"/>
      <c r="AX47" s="1921"/>
      <c r="AY47" s="1921"/>
      <c r="AZ47" s="1921"/>
      <c r="BA47" s="1921"/>
      <c r="BB47" s="1921"/>
      <c r="BC47" s="1921"/>
      <c r="BD47" s="1921"/>
      <c r="BE47" s="1921"/>
      <c r="BF47" s="1921"/>
      <c r="BG47" s="2397">
        <v>0.66516863370994161</v>
      </c>
      <c r="BH47" s="2398">
        <v>0.66752316764953668</v>
      </c>
      <c r="BI47" s="2398">
        <v>0.64797843665768196</v>
      </c>
      <c r="BJ47" s="2398">
        <v>0.64682455620048296</v>
      </c>
      <c r="BK47" s="2398">
        <v>0.64383382115241794</v>
      </c>
      <c r="BL47" s="2398">
        <v>0.6576718880259752</v>
      </c>
      <c r="BM47" s="2398">
        <v>0.67969057296446833</v>
      </c>
      <c r="BN47" s="2398">
        <v>0.69895948638476868</v>
      </c>
      <c r="BO47" s="2398">
        <v>0.68831692032229186</v>
      </c>
      <c r="BP47" s="2398">
        <v>0.66439075630252098</v>
      </c>
      <c r="BQ47" s="2398">
        <v>0.6670124929754031</v>
      </c>
      <c r="BR47" s="2398">
        <v>0.67443472234254531</v>
      </c>
      <c r="BS47" s="2398">
        <v>0.6768242312987609</v>
      </c>
      <c r="BT47" s="2398">
        <v>0.67186936124142904</v>
      </c>
      <c r="BU47" s="2398">
        <v>0.66576111160594997</v>
      </c>
      <c r="BV47" s="2399">
        <v>0.65940970839417679</v>
      </c>
      <c r="BW47" s="2400">
        <f t="shared" ref="BW47:DB47" si="203">BW45/BW$30</f>
        <v>0.66633812917395019</v>
      </c>
      <c r="BX47" s="2401">
        <f t="shared" si="203"/>
        <v>0.66955474215818001</v>
      </c>
      <c r="BY47" s="2401">
        <f t="shared" si="203"/>
        <v>0.67859398971211982</v>
      </c>
      <c r="BZ47" s="2401">
        <f t="shared" si="203"/>
        <v>0.67642181687805314</v>
      </c>
      <c r="CA47" s="2400">
        <f t="shared" si="203"/>
        <v>0.67159697010443276</v>
      </c>
      <c r="CB47" s="2401">
        <f t="shared" si="203"/>
        <v>0.66786956521739127</v>
      </c>
      <c r="CC47" s="2401">
        <f t="shared" si="203"/>
        <v>0.66785851104584348</v>
      </c>
      <c r="CD47" s="2401">
        <f t="shared" si="203"/>
        <v>0.66501209112892967</v>
      </c>
      <c r="CE47" s="2400">
        <f t="shared" si="203"/>
        <v>0.66307529162248147</v>
      </c>
      <c r="CF47" s="2401">
        <f t="shared" si="203"/>
        <v>0.66149892223511852</v>
      </c>
      <c r="CG47" s="2401">
        <f t="shared" si="203"/>
        <v>0.67113768584356814</v>
      </c>
      <c r="CH47" s="2401">
        <f t="shared" si="203"/>
        <v>0.66228443903428691</v>
      </c>
      <c r="CI47" s="2400">
        <f t="shared" si="203"/>
        <v>0.68344923504867872</v>
      </c>
      <c r="CJ47" s="2401">
        <f t="shared" si="203"/>
        <v>0.67986358825604642</v>
      </c>
      <c r="CK47" s="2401">
        <f t="shared" si="203"/>
        <v>0.68535513225881084</v>
      </c>
      <c r="CL47" s="2401">
        <f t="shared" si="203"/>
        <v>0.6900360423206604</v>
      </c>
      <c r="CM47" s="2400">
        <f t="shared" si="203"/>
        <v>0.68149015018529358</v>
      </c>
      <c r="CN47" s="2401">
        <f t="shared" si="203"/>
        <v>0.66965112689101569</v>
      </c>
      <c r="CO47" s="2401">
        <f t="shared" si="203"/>
        <v>0.66791270200875996</v>
      </c>
      <c r="CP47" s="2401">
        <f t="shared" si="203"/>
        <v>0.66448190945254781</v>
      </c>
      <c r="CQ47" s="2400">
        <f t="shared" si="203"/>
        <v>0.68592071137458321</v>
      </c>
      <c r="CR47" s="2401">
        <f t="shared" si="203"/>
        <v>0.67297356188262636</v>
      </c>
      <c r="CS47" s="2401">
        <f t="shared" si="203"/>
        <v>0.67201662307885213</v>
      </c>
      <c r="CT47" s="2401">
        <f t="shared" si="203"/>
        <v>0.69007596005063998</v>
      </c>
      <c r="CU47" s="2400">
        <f t="shared" si="203"/>
        <v>0.67342964379293246</v>
      </c>
      <c r="CV47" s="2401">
        <f t="shared" si="203"/>
        <v>0.6581244522348817</v>
      </c>
      <c r="CW47" s="2401">
        <f t="shared" si="203"/>
        <v>0.65408349708691005</v>
      </c>
      <c r="CX47" s="2401">
        <f t="shared" si="203"/>
        <v>0.71799429817206106</v>
      </c>
      <c r="CY47" s="2400">
        <f t="shared" si="203"/>
        <v>0.64671682626538984</v>
      </c>
      <c r="CZ47" s="2401">
        <f t="shared" si="203"/>
        <v>0.64726708702835756</v>
      </c>
      <c r="DA47" s="2401">
        <f t="shared" si="203"/>
        <v>0.63495119845959769</v>
      </c>
      <c r="DB47" s="2401">
        <f t="shared" si="203"/>
        <v>0.66914522177680069</v>
      </c>
      <c r="DC47" s="2400">
        <f>DC45/DC$30</f>
        <v>0.63209514499837083</v>
      </c>
      <c r="DD47" s="2401">
        <f>DD45/DD$30</f>
        <v>0.64493701164088657</v>
      </c>
      <c r="DE47" s="2401">
        <f>DE45/DE$30</f>
        <v>0.64993984676755523</v>
      </c>
      <c r="DF47" s="2402">
        <f>DF45/DF$30</f>
        <v>0.70556158110388045</v>
      </c>
      <c r="DG47" s="2400">
        <f t="shared" ref="DG47:DJ47" si="204">DG45/DG$30</f>
        <v>0.63746857997390949</v>
      </c>
      <c r="DH47" s="2401">
        <f t="shared" si="204"/>
        <v>0.64472645768223003</v>
      </c>
      <c r="DI47" s="2401">
        <f t="shared" si="204"/>
        <v>0.65223523640154535</v>
      </c>
      <c r="DJ47" s="2402">
        <f t="shared" si="204"/>
        <v>0.69205661553069642</v>
      </c>
      <c r="DK47" s="2400">
        <f t="shared" ref="DK47:DL47" si="205">DK45/DK$30</f>
        <v>0.63796372369335774</v>
      </c>
      <c r="DL47" s="2401">
        <f t="shared" si="205"/>
        <v>0.6371348093803223</v>
      </c>
      <c r="DM47" s="2401">
        <f t="shared" ref="DM47:DN47" si="206">DM45/DM$30</f>
        <v>0.63542037043022914</v>
      </c>
      <c r="DN47" s="2402">
        <f t="shared" si="206"/>
        <v>0.67776747062461351</v>
      </c>
      <c r="DO47" s="2400">
        <f t="shared" ref="DO47:DP47" si="207">DO45/DO$30</f>
        <v>0.61876970550747967</v>
      </c>
      <c r="DP47" s="2401">
        <f t="shared" si="207"/>
        <v>0.62734057876129368</v>
      </c>
      <c r="DQ47" s="2401">
        <f t="shared" ref="DQ47:DR47" si="208">DQ45/DQ$30</f>
        <v>0.61850111927357565</v>
      </c>
      <c r="DR47" s="2402">
        <f t="shared" si="208"/>
        <v>0.65227506994551609</v>
      </c>
      <c r="DS47" s="2400">
        <f t="shared" ref="DS47" si="209">DS45/DS$30</f>
        <v>0.62139619791010958</v>
      </c>
      <c r="DT47" s="2401">
        <f t="shared" ref="DT47:DV47" ca="1" si="210">DT45/DT$30</f>
        <v>0.61607674996528139</v>
      </c>
      <c r="DU47" s="2401">
        <f t="shared" ca="1" si="210"/>
        <v>0.61365855026714689</v>
      </c>
      <c r="DV47" s="2402">
        <f t="shared" ca="1" si="210"/>
        <v>0.66459400688246673</v>
      </c>
      <c r="DW47" s="1923"/>
      <c r="DX47"/>
      <c r="DY47"/>
      <c r="DZ47"/>
      <c r="EA47"/>
      <c r="EB47"/>
      <c r="EC47"/>
    </row>
    <row r="48" spans="1:133" s="820" customFormat="1" ht="15" customHeight="1" collapsed="1">
      <c r="A48" s="2387" t="s">
        <v>965</v>
      </c>
      <c r="B48" s="1923"/>
      <c r="C48" s="1923"/>
      <c r="D48" s="1923"/>
      <c r="E48" s="1923"/>
      <c r="F48" s="1923"/>
      <c r="G48" s="1923"/>
      <c r="H48" s="1958">
        <v>20511</v>
      </c>
      <c r="I48" s="1958">
        <v>17927</v>
      </c>
      <c r="J48" s="1958">
        <v>16208</v>
      </c>
      <c r="K48" s="1958">
        <v>15813</v>
      </c>
      <c r="L48" s="1958">
        <v>15804</v>
      </c>
      <c r="M48" s="1958">
        <v>14888</v>
      </c>
      <c r="N48" s="1923">
        <f t="shared" ref="N48:V48" si="211">N51+N52</f>
        <v>14264</v>
      </c>
      <c r="O48" s="1923">
        <f t="shared" si="211"/>
        <v>14120</v>
      </c>
      <c r="P48" s="1923">
        <f t="shared" si="211"/>
        <v>14505</v>
      </c>
      <c r="Q48" s="1923">
        <f t="shared" si="211"/>
        <v>15333</v>
      </c>
      <c r="R48" s="1923">
        <f t="shared" si="211"/>
        <v>15890</v>
      </c>
      <c r="S48" s="1923">
        <f t="shared" si="211"/>
        <v>16496</v>
      </c>
      <c r="T48" s="1923">
        <f t="shared" si="211"/>
        <v>16460</v>
      </c>
      <c r="U48" s="1923">
        <f t="shared" si="211"/>
        <v>16606</v>
      </c>
      <c r="V48" s="1923">
        <f t="shared" si="211"/>
        <v>16533</v>
      </c>
      <c r="W48" s="1923">
        <f t="shared" ref="W48:AB48" si="212">W51+W52</f>
        <v>16017</v>
      </c>
      <c r="X48" s="1923">
        <f t="shared" si="212"/>
        <v>15928</v>
      </c>
      <c r="Y48" s="1923">
        <f t="shared" si="212"/>
        <v>16954</v>
      </c>
      <c r="Z48" s="1923">
        <f t="shared" ca="1" si="212"/>
        <v>17438.122395504059</v>
      </c>
      <c r="AA48" s="1923">
        <f t="shared" ca="1" si="212"/>
        <v>17448.447250665944</v>
      </c>
      <c r="AB48" s="1923">
        <f t="shared" ca="1" si="212"/>
        <v>17388.464921089417</v>
      </c>
      <c r="AC48" s="1923">
        <f t="shared" ref="AC48:AG48" ca="1" si="213">AC51+AC52</f>
        <v>17332.258805757399</v>
      </c>
      <c r="AD48" s="1923">
        <f t="shared" ca="1" si="213"/>
        <v>17280.235774858396</v>
      </c>
      <c r="AE48" s="1923">
        <f t="shared" ca="1" si="213"/>
        <v>17232.757878509019</v>
      </c>
      <c r="AF48" s="1923">
        <f t="shared" ca="1" si="213"/>
        <v>17190.239744419494</v>
      </c>
      <c r="AG48" s="1923">
        <f t="shared" ca="1" si="213"/>
        <v>17193.729220377427</v>
      </c>
      <c r="AH48" s="1923"/>
      <c r="AI48" s="2386">
        <f ca="1">(AA48/V48)^(1/5)-1</f>
        <v>1.0836752484963297E-2</v>
      </c>
      <c r="AJ48" s="1923"/>
      <c r="AK48" s="1923"/>
      <c r="AL48" s="1923"/>
      <c r="AM48" s="1923"/>
      <c r="AN48" s="1923"/>
      <c r="AO48" s="1923"/>
      <c r="AP48" s="1923"/>
      <c r="AQ48" s="1923"/>
      <c r="AR48" s="1923"/>
      <c r="AS48" s="1923"/>
      <c r="AT48" s="1923"/>
      <c r="AU48" s="1923"/>
      <c r="AV48" s="1923"/>
      <c r="AW48" s="1923"/>
      <c r="AX48" s="1923"/>
      <c r="AY48" s="1923"/>
      <c r="AZ48" s="1923"/>
      <c r="BA48" s="1923"/>
      <c r="BB48" s="1923"/>
      <c r="BC48" s="1923"/>
      <c r="BD48" s="1923"/>
      <c r="BE48" s="1923"/>
      <c r="BF48" s="1923"/>
      <c r="BG48" s="2388">
        <v>4139</v>
      </c>
      <c r="BH48" s="2389">
        <v>4153</v>
      </c>
      <c r="BI48" s="2389">
        <v>3932</v>
      </c>
      <c r="BJ48" s="2389">
        <v>3984</v>
      </c>
      <c r="BK48" s="2389">
        <v>3915</v>
      </c>
      <c r="BL48" s="2389">
        <v>3898</v>
      </c>
      <c r="BM48" s="2389">
        <v>3989</v>
      </c>
      <c r="BN48" s="2389">
        <v>4011</v>
      </c>
      <c r="BO48" s="2389">
        <v>3916</v>
      </c>
      <c r="BP48" s="2389">
        <v>4006</v>
      </c>
      <c r="BQ48" s="2389">
        <v>3976</v>
      </c>
      <c r="BR48" s="2389">
        <v>3906</v>
      </c>
      <c r="BS48" s="2389">
        <v>3671</v>
      </c>
      <c r="BT48" s="2389">
        <v>3705</v>
      </c>
      <c r="BU48" s="2389">
        <v>3728</v>
      </c>
      <c r="BV48" s="2390">
        <v>3784</v>
      </c>
      <c r="BW48" s="2391">
        <f>NormInputs!BP29</f>
        <v>3599</v>
      </c>
      <c r="BX48" s="2392">
        <f>NormInputs!BQ29</f>
        <v>3539</v>
      </c>
      <c r="BY48" s="2392">
        <f>NormInputs!BR29</f>
        <v>3537</v>
      </c>
      <c r="BZ48" s="2392">
        <f>NormInputs!BS29</f>
        <v>3589</v>
      </c>
      <c r="CA48" s="2391">
        <f>NormInputs!BT29</f>
        <v>3469</v>
      </c>
      <c r="CB48" s="2392">
        <f>NormInputs!BU29</f>
        <v>3509</v>
      </c>
      <c r="CC48" s="2392">
        <f>NormInputs!BV29</f>
        <v>3540</v>
      </c>
      <c r="CD48" s="2392">
        <f>NormInputs!BW29</f>
        <v>3602</v>
      </c>
      <c r="CE48" s="2391">
        <f>NormInputs!BX29</f>
        <v>3522</v>
      </c>
      <c r="CF48" s="2392">
        <f>NormInputs!BY29</f>
        <v>3584</v>
      </c>
      <c r="CG48" s="2392">
        <f>NormInputs!BZ29</f>
        <v>3652</v>
      </c>
      <c r="CH48" s="2392">
        <f>NormInputs!CA29</f>
        <v>3747</v>
      </c>
      <c r="CI48" s="2391">
        <f>NormInputs!CB29</f>
        <v>3766</v>
      </c>
      <c r="CJ48" s="2392">
        <f>NormInputs!CC29</f>
        <v>3780</v>
      </c>
      <c r="CK48" s="2392">
        <f>NormInputs!CD29</f>
        <v>3849</v>
      </c>
      <c r="CL48" s="2392">
        <f>NormInputs!CE29</f>
        <v>3938</v>
      </c>
      <c r="CM48" s="2391">
        <f>NormInputs!CF29</f>
        <v>3889</v>
      </c>
      <c r="CN48" s="2392">
        <f>NormInputs!CG29</f>
        <v>3944</v>
      </c>
      <c r="CO48" s="2392">
        <f>NormInputs!CH29</f>
        <v>3998</v>
      </c>
      <c r="CP48" s="2392">
        <f>NormInputs!CI29</f>
        <v>4059</v>
      </c>
      <c r="CQ48" s="2391">
        <f>NormInputs!CJ29</f>
        <v>4024</v>
      </c>
      <c r="CR48" s="2392">
        <f>NormInputs!CK29</f>
        <v>4113</v>
      </c>
      <c r="CS48" s="2392">
        <f>NormInputs!CL29</f>
        <v>4179</v>
      </c>
      <c r="CT48" s="2392">
        <f>NormInputs!CM29</f>
        <v>4180</v>
      </c>
      <c r="CU48" s="2391">
        <f>NormInputs!CN29</f>
        <v>4028</v>
      </c>
      <c r="CV48" s="2392">
        <f>NormInputs!CO29</f>
        <v>4128</v>
      </c>
      <c r="CW48" s="2392">
        <f>NormInputs!CP29</f>
        <v>4167</v>
      </c>
      <c r="CX48" s="2392">
        <f>NormInputs!CQ29</f>
        <v>4137</v>
      </c>
      <c r="CY48" s="2391">
        <f>NormInputs!CR29</f>
        <v>4118</v>
      </c>
      <c r="CZ48" s="2392">
        <f>NormInputs!CS29</f>
        <v>4151</v>
      </c>
      <c r="DA48" s="2392">
        <f>NormInputs!CT29</f>
        <v>4154</v>
      </c>
      <c r="DB48" s="2392">
        <f>NormInputs!CU29</f>
        <v>4183</v>
      </c>
      <c r="DC48" s="2391">
        <f>NormInputs!CV29</f>
        <v>4137</v>
      </c>
      <c r="DD48" s="2392">
        <f>NormInputs!CW29</f>
        <v>4161</v>
      </c>
      <c r="DE48" s="2392">
        <f>NormInputs!CX29</f>
        <v>4167</v>
      </c>
      <c r="DF48" s="2393">
        <f>NormInputs!CY29</f>
        <v>4068</v>
      </c>
      <c r="DG48" s="2391">
        <f>NormInputs!CZ29</f>
        <v>3989</v>
      </c>
      <c r="DH48" s="2392">
        <f>NormInputs!DA29</f>
        <v>3980</v>
      </c>
      <c r="DI48" s="2407">
        <f>NormInputs!DB29</f>
        <v>4009</v>
      </c>
      <c r="DJ48" s="2481">
        <f>NormInputs!DC29</f>
        <v>4039</v>
      </c>
      <c r="DK48" s="2496">
        <f>NormInputs!DD29</f>
        <v>4017</v>
      </c>
      <c r="DL48" s="2563">
        <f>NormInputs!DE29</f>
        <v>3982</v>
      </c>
      <c r="DM48" s="2563">
        <f>NormInputs!DF29</f>
        <v>3942</v>
      </c>
      <c r="DN48" s="2564">
        <f>NormInputs!DG29</f>
        <v>3987</v>
      </c>
      <c r="DO48" s="2496">
        <f>NormInputs!DH29</f>
        <v>4059</v>
      </c>
      <c r="DP48" s="2563">
        <f>NormInputs!DI29</f>
        <v>4167</v>
      </c>
      <c r="DQ48" s="2563">
        <f>NormInputs!DJ29</f>
        <v>4272</v>
      </c>
      <c r="DR48" s="2564">
        <f>NormInputs!DK29</f>
        <v>4456</v>
      </c>
      <c r="DS48" s="2496">
        <f>NormInputs!DL29</f>
        <v>4324</v>
      </c>
      <c r="DT48" s="2563">
        <f ca="1">BS!DW178</f>
        <v>4341.6356697294414</v>
      </c>
      <c r="DU48" s="2563">
        <f ca="1">BS!DX178</f>
        <v>4370.7157387147827</v>
      </c>
      <c r="DV48" s="2564">
        <f ca="1">BS!DY178</f>
        <v>4401.7709870598346</v>
      </c>
      <c r="DW48" s="1923"/>
      <c r="DX48"/>
      <c r="DY48"/>
      <c r="DZ48"/>
      <c r="EA48"/>
      <c r="EB48"/>
      <c r="EC48"/>
    </row>
    <row r="49" spans="1:133" s="821" customFormat="1" ht="15" customHeight="1">
      <c r="A49" s="2396" t="s">
        <v>945</v>
      </c>
      <c r="B49" s="1921"/>
      <c r="C49" s="1921"/>
      <c r="D49" s="1921"/>
      <c r="E49" s="1921"/>
      <c r="F49" s="1921"/>
      <c r="G49" s="1921"/>
      <c r="H49" s="1958"/>
      <c r="I49" s="1958">
        <v>-0.12598118082979848</v>
      </c>
      <c r="J49" s="1958">
        <v>-9.5888882690913113E-2</v>
      </c>
      <c r="K49" s="1958">
        <v>-2.4370681145113537E-2</v>
      </c>
      <c r="L49" s="1958">
        <v>-5.6915196357432141E-4</v>
      </c>
      <c r="M49" s="1958">
        <v>-5.796001012401919E-2</v>
      </c>
      <c r="N49" s="1921">
        <f>N48/M48-1</f>
        <v>-4.1912950026867235E-2</v>
      </c>
      <c r="O49" s="1921">
        <f>O48/N48-1</f>
        <v>-1.0095344924284877E-2</v>
      </c>
      <c r="P49" s="1921">
        <f>P48/O48-1</f>
        <v>2.7266288951841355E-2</v>
      </c>
      <c r="Q49" s="1958" t="s">
        <v>1149</v>
      </c>
      <c r="R49" s="1921">
        <f t="shared" ref="R49:AB49" si="214">R48/Q48-1</f>
        <v>3.6326876671231911E-2</v>
      </c>
      <c r="S49" s="1921">
        <f t="shared" si="214"/>
        <v>3.8137193203272579E-2</v>
      </c>
      <c r="T49" s="1921">
        <f t="shared" si="214"/>
        <v>-2.1823472356935492E-3</v>
      </c>
      <c r="U49" s="1921">
        <f t="shared" si="214"/>
        <v>8.8699878493316842E-3</v>
      </c>
      <c r="V49" s="1921">
        <f t="shared" si="214"/>
        <v>-4.3960014452607554E-3</v>
      </c>
      <c r="W49" s="1921">
        <f>W48/V48-1</f>
        <v>-3.1210306659408493E-2</v>
      </c>
      <c r="X49" s="1921">
        <f>X48/W48-1</f>
        <v>-5.5565961166260669E-3</v>
      </c>
      <c r="Y49" s="1921">
        <f>Y48/X48-1</f>
        <v>6.441486690105469E-2</v>
      </c>
      <c r="Z49" s="1921">
        <f ca="1">Z48/Y48-1</f>
        <v>2.8555054589126883E-2</v>
      </c>
      <c r="AA49" s="1921">
        <f t="shared" ca="1" si="214"/>
        <v>5.9208525595311201E-4</v>
      </c>
      <c r="AB49" s="1921">
        <f t="shared" ca="1" si="214"/>
        <v>-3.4376886788156646E-3</v>
      </c>
      <c r="AC49" s="1921">
        <f t="shared" ref="AC49" ca="1" si="215">AC48/AB48-1</f>
        <v>-3.2323793725947958E-3</v>
      </c>
      <c r="AD49" s="1921">
        <f t="shared" ref="AD49" ca="1" si="216">AD48/AC48-1</f>
        <v>-3.0015147755422245E-3</v>
      </c>
      <c r="AE49" s="1921">
        <f t="shared" ref="AE49" ca="1" si="217">AE48/AD48-1</f>
        <v>-2.7475259578607636E-3</v>
      </c>
      <c r="AF49" s="1921">
        <f t="shared" ref="AF49" ca="1" si="218">AF48/AE48-1</f>
        <v>-2.4672855261634874E-3</v>
      </c>
      <c r="AG49" s="1921">
        <f t="shared" ref="AG49" ca="1" si="219">AG48/AF48-1</f>
        <v>2.029916981853841E-4</v>
      </c>
      <c r="AH49" s="1921"/>
      <c r="AI49" s="2386"/>
      <c r="AJ49" s="1921"/>
      <c r="AK49" s="1921"/>
      <c r="AL49" s="1921"/>
      <c r="AM49" s="1921"/>
      <c r="AN49" s="1921"/>
      <c r="AO49" s="1921"/>
      <c r="AP49" s="1921"/>
      <c r="AQ49" s="1921"/>
      <c r="AR49" s="1921"/>
      <c r="AS49" s="1921"/>
      <c r="AT49" s="1921"/>
      <c r="AU49" s="1921"/>
      <c r="AV49" s="1921"/>
      <c r="AW49" s="1921"/>
      <c r="AX49" s="1921"/>
      <c r="AY49" s="1921"/>
      <c r="AZ49" s="1921"/>
      <c r="BA49" s="1921"/>
      <c r="BB49" s="1921"/>
      <c r="BC49" s="1921"/>
      <c r="BD49" s="1921"/>
      <c r="BE49" s="1921"/>
      <c r="BF49" s="1921"/>
      <c r="BG49" s="2397"/>
      <c r="BH49" s="2398"/>
      <c r="BI49" s="2398"/>
      <c r="BJ49" s="2398"/>
      <c r="BK49" s="2398">
        <v>-5.4119352500603957E-2</v>
      </c>
      <c r="BL49" s="2398">
        <v>-6.1401396580785028E-2</v>
      </c>
      <c r="BM49" s="2398">
        <v>1.4496439471007205E-2</v>
      </c>
      <c r="BN49" s="2398">
        <v>6.777108433734913E-3</v>
      </c>
      <c r="BO49" s="2398">
        <v>2.5542784163468113E-4</v>
      </c>
      <c r="BP49" s="2398">
        <v>2.7706516162134376E-2</v>
      </c>
      <c r="BQ49" s="2398">
        <v>-3.2589621459012674E-3</v>
      </c>
      <c r="BR49" s="2398">
        <v>-2.6178010471204161E-2</v>
      </c>
      <c r="BS49" s="2398">
        <v>-6.2563840653728331E-2</v>
      </c>
      <c r="BT49" s="2398">
        <v>-7.5137294058911674E-2</v>
      </c>
      <c r="BU49" s="2398">
        <v>-6.2374245472836987E-2</v>
      </c>
      <c r="BV49" s="2399">
        <v>-3.1233998975934485E-2</v>
      </c>
      <c r="BW49" s="2400">
        <f t="shared" ref="BW49:CH49" si="220">BW48/BS48-1</f>
        <v>-1.9613184418414642E-2</v>
      </c>
      <c r="BX49" s="2401">
        <f t="shared" si="220"/>
        <v>-4.480431848852906E-2</v>
      </c>
      <c r="BY49" s="2401">
        <f t="shared" si="220"/>
        <v>-5.1233905579399108E-2</v>
      </c>
      <c r="BZ49" s="2401">
        <f t="shared" si="220"/>
        <v>-5.1532769556025371E-2</v>
      </c>
      <c r="CA49" s="2400">
        <f t="shared" si="220"/>
        <v>-3.6121144762433999E-2</v>
      </c>
      <c r="CB49" s="2401">
        <f t="shared" si="220"/>
        <v>-8.4769708957332934E-3</v>
      </c>
      <c r="CC49" s="2401">
        <f t="shared" si="220"/>
        <v>8.4817642069556776E-4</v>
      </c>
      <c r="CD49" s="2401">
        <f t="shared" si="220"/>
        <v>3.6221788799108978E-3</v>
      </c>
      <c r="CE49" s="2400">
        <f t="shared" si="220"/>
        <v>1.527817814932253E-2</v>
      </c>
      <c r="CF49" s="2401">
        <f t="shared" si="220"/>
        <v>2.1373610715303526E-2</v>
      </c>
      <c r="CG49" s="2401">
        <f t="shared" si="220"/>
        <v>3.1638418079096065E-2</v>
      </c>
      <c r="CH49" s="2401">
        <f t="shared" si="220"/>
        <v>4.0255413659078254E-2</v>
      </c>
      <c r="CI49" s="2394" t="s">
        <v>1149</v>
      </c>
      <c r="CJ49" s="2395" t="s">
        <v>1149</v>
      </c>
      <c r="CK49" s="2395" t="s">
        <v>1149</v>
      </c>
      <c r="CL49" s="2395" t="s">
        <v>1149</v>
      </c>
      <c r="CM49" s="2400">
        <f t="shared" ref="CM49:DS49" si="221">CM48/CI48-1</f>
        <v>3.2660647902283513E-2</v>
      </c>
      <c r="CN49" s="2401">
        <f t="shared" si="221"/>
        <v>4.3386243386243306E-2</v>
      </c>
      <c r="CO49" s="2401">
        <f t="shared" si="221"/>
        <v>3.8711353598337217E-2</v>
      </c>
      <c r="CP49" s="2401">
        <f t="shared" si="221"/>
        <v>3.0726256983240274E-2</v>
      </c>
      <c r="CQ49" s="2400">
        <f t="shared" si="221"/>
        <v>3.4713293905888509E-2</v>
      </c>
      <c r="CR49" s="2401">
        <f t="shared" si="221"/>
        <v>4.2849898580121781E-2</v>
      </c>
      <c r="CS49" s="2401">
        <f t="shared" si="221"/>
        <v>4.5272636318159032E-2</v>
      </c>
      <c r="CT49" s="2401">
        <f t="shared" si="221"/>
        <v>2.9810298102981081E-2</v>
      </c>
      <c r="CU49" s="2400">
        <f t="shared" si="221"/>
        <v>9.9403578528822756E-4</v>
      </c>
      <c r="CV49" s="2401">
        <f t="shared" si="221"/>
        <v>3.6469730123998012E-3</v>
      </c>
      <c r="CW49" s="2401">
        <f t="shared" si="221"/>
        <v>-2.8715003589375732E-3</v>
      </c>
      <c r="CX49" s="2401">
        <f t="shared" si="221"/>
        <v>-1.02870813397129E-2</v>
      </c>
      <c r="CY49" s="2400">
        <f t="shared" si="221"/>
        <v>2.2343594836147007E-2</v>
      </c>
      <c r="CZ49" s="2401">
        <f t="shared" si="221"/>
        <v>5.5717054263566546E-3</v>
      </c>
      <c r="DA49" s="2401">
        <f t="shared" si="221"/>
        <v>-3.1197504199663717E-3</v>
      </c>
      <c r="DB49" s="2401">
        <f t="shared" si="221"/>
        <v>1.1119168479574615E-2</v>
      </c>
      <c r="DC49" s="2400">
        <f t="shared" si="221"/>
        <v>4.6138902379795343E-3</v>
      </c>
      <c r="DD49" s="2401">
        <f t="shared" si="221"/>
        <v>2.4090580582991628E-3</v>
      </c>
      <c r="DE49" s="2401">
        <f t="shared" si="221"/>
        <v>3.1295137217139946E-3</v>
      </c>
      <c r="DF49" s="2402">
        <f t="shared" si="221"/>
        <v>-2.7492230456610089E-2</v>
      </c>
      <c r="DG49" s="2400">
        <f t="shared" si="221"/>
        <v>-3.5774715977761717E-2</v>
      </c>
      <c r="DH49" s="2401">
        <f t="shared" si="221"/>
        <v>-4.3499158856044273E-2</v>
      </c>
      <c r="DI49" s="2401">
        <f t="shared" si="221"/>
        <v>-3.7916966642668637E-2</v>
      </c>
      <c r="DJ49" s="2402">
        <f t="shared" si="221"/>
        <v>-7.1288102261554132E-3</v>
      </c>
      <c r="DK49" s="2400">
        <f t="shared" si="221"/>
        <v>7.0193030834795334E-3</v>
      </c>
      <c r="DL49" s="2401">
        <f t="shared" si="221"/>
        <v>5.0251256281397261E-4</v>
      </c>
      <c r="DM49" s="2401">
        <f t="shared" si="221"/>
        <v>-1.6712397106510402E-2</v>
      </c>
      <c r="DN49" s="2402">
        <f t="shared" si="221"/>
        <v>-1.2874473879673221E-2</v>
      </c>
      <c r="DO49" s="2400">
        <f t="shared" si="221"/>
        <v>1.0455563853622118E-2</v>
      </c>
      <c r="DP49" s="2401">
        <f t="shared" si="221"/>
        <v>4.6459065796082388E-2</v>
      </c>
      <c r="DQ49" s="2401">
        <f t="shared" si="221"/>
        <v>8.3713850837138448E-2</v>
      </c>
      <c r="DR49" s="2402">
        <f t="shared" si="221"/>
        <v>0.11763230499122157</v>
      </c>
      <c r="DS49" s="2400">
        <f t="shared" si="221"/>
        <v>6.5287016506528683E-2</v>
      </c>
      <c r="DT49" s="2401">
        <f t="shared" ref="DT49" ca="1" si="222">DT48/DP48-1</f>
        <v>4.1909207998426012E-2</v>
      </c>
      <c r="DU49" s="2401">
        <f t="shared" ref="DU49" ca="1" si="223">DU48/DQ48-1</f>
        <v>2.3107616740351666E-2</v>
      </c>
      <c r="DV49" s="2402">
        <f t="shared" ref="DV49" ca="1" si="224">DV48/DR48-1</f>
        <v>-1.2169886207398006E-2</v>
      </c>
      <c r="DW49" s="1923"/>
      <c r="DX49"/>
      <c r="DY49"/>
      <c r="DZ49"/>
      <c r="EA49"/>
      <c r="EB49"/>
      <c r="EC49"/>
    </row>
    <row r="50" spans="1:133" s="821" customFormat="1">
      <c r="A50" s="2396" t="s">
        <v>1625</v>
      </c>
      <c r="B50" s="1921"/>
      <c r="C50" s="1921"/>
      <c r="D50" s="1921"/>
      <c r="E50" s="1921"/>
      <c r="F50" s="1921"/>
      <c r="G50" s="1921"/>
      <c r="H50" s="1958">
        <v>0.20722786881933355</v>
      </c>
      <c r="I50" s="1958">
        <v>0.17919294703277591</v>
      </c>
      <c r="J50" s="1958">
        <v>0.17013236482727492</v>
      </c>
      <c r="K50" s="1958">
        <v>0.17348707596436563</v>
      </c>
      <c r="L50" s="1958">
        <v>0.17289704289605828</v>
      </c>
      <c r="M50" s="1958">
        <v>0.16746718259637125</v>
      </c>
      <c r="N50" s="1921">
        <f>N48/N$30</f>
        <v>0.16352935100641389</v>
      </c>
      <c r="O50" s="1921">
        <f>O48/O$30</f>
        <v>0.15285520974289579</v>
      </c>
      <c r="P50" s="1921">
        <f>P48/P$30</f>
        <v>0.14938823432479195</v>
      </c>
      <c r="Q50" s="1921">
        <f t="shared" ref="Q50:W50" si="225">Q48/Q$35</f>
        <v>0.14971732104322694</v>
      </c>
      <c r="R50" s="1921">
        <f t="shared" si="225"/>
        <v>0.15216516959377932</v>
      </c>
      <c r="S50" s="1921">
        <f t="shared" si="225"/>
        <v>0.14878015783540022</v>
      </c>
      <c r="T50" s="1921">
        <f t="shared" si="225"/>
        <v>0.14240109352966113</v>
      </c>
      <c r="U50" s="1921">
        <f t="shared" si="225"/>
        <v>0.13843986294403549</v>
      </c>
      <c r="V50" s="1921">
        <f t="shared" si="225"/>
        <v>0.13036278908399895</v>
      </c>
      <c r="W50" s="1921">
        <f t="shared" si="225"/>
        <v>0.12375889538792004</v>
      </c>
      <c r="X50" s="1921">
        <f>X48/X$35</f>
        <v>0.12696185883384481</v>
      </c>
      <c r="Y50" s="1921">
        <f>Y48/Y$35</f>
        <v>0.13451925670850723</v>
      </c>
      <c r="Z50" s="1921">
        <f ca="1">Z48/Z$35</f>
        <v>0.13523656817092886</v>
      </c>
      <c r="AA50" s="1921">
        <f ca="1">AA48/AA$35</f>
        <v>0.13522153392242517</v>
      </c>
      <c r="AB50" s="1921">
        <f ca="1">AB48/AB$35</f>
        <v>0.1341156961306976</v>
      </c>
      <c r="AC50" s="1921">
        <f t="shared" ref="AC50:AG50" ca="1" si="226">AC48/AC$35</f>
        <v>0.13297667303869859</v>
      </c>
      <c r="AD50" s="1921">
        <f t="shared" ca="1" si="226"/>
        <v>0.13181738573454499</v>
      </c>
      <c r="AE50" s="1921">
        <f t="shared" ca="1" si="226"/>
        <v>0.1306352481974804</v>
      </c>
      <c r="AF50" s="1921">
        <f t="shared" ca="1" si="226"/>
        <v>0.12942229595939925</v>
      </c>
      <c r="AG50" s="1921">
        <f t="shared" ca="1" si="226"/>
        <v>0.12847253639036826</v>
      </c>
      <c r="AH50" s="1921"/>
      <c r="AI50" s="2386"/>
      <c r="AJ50" s="1921"/>
      <c r="AK50" s="1921"/>
      <c r="AL50" s="1921"/>
      <c r="AM50" s="1921"/>
      <c r="AN50" s="1921"/>
      <c r="AO50" s="1921"/>
      <c r="AP50" s="1921"/>
      <c r="AQ50" s="1921"/>
      <c r="AR50" s="1921"/>
      <c r="AS50" s="1921"/>
      <c r="AT50" s="1921"/>
      <c r="AU50" s="1921"/>
      <c r="AV50" s="1921"/>
      <c r="AW50" s="1921"/>
      <c r="AX50" s="1921"/>
      <c r="AY50" s="1921"/>
      <c r="AZ50" s="1921"/>
      <c r="BA50" s="1921"/>
      <c r="BB50" s="1921"/>
      <c r="BC50" s="1921"/>
      <c r="BD50" s="1921"/>
      <c r="BE50" s="1921"/>
      <c r="BF50" s="1921"/>
      <c r="BG50" s="2397">
        <v>0.17384182452013944</v>
      </c>
      <c r="BH50" s="2398">
        <v>0.17493681550126369</v>
      </c>
      <c r="BI50" s="2398">
        <v>0.16305204229732531</v>
      </c>
      <c r="BJ50" s="2398">
        <v>0.16879210269880948</v>
      </c>
      <c r="BK50" s="2398">
        <v>0.17102791490105282</v>
      </c>
      <c r="BL50" s="2398">
        <v>0.17103242508007546</v>
      </c>
      <c r="BM50" s="2398">
        <v>0.17433678597963376</v>
      </c>
      <c r="BN50" s="2398">
        <v>0.17759574939118883</v>
      </c>
      <c r="BO50" s="2398">
        <v>0.17529095792300806</v>
      </c>
      <c r="BP50" s="2398">
        <v>0.17533263305322128</v>
      </c>
      <c r="BQ50" s="2398">
        <v>0.17187567544200924</v>
      </c>
      <c r="BR50" s="2398">
        <v>0.16919345057610674</v>
      </c>
      <c r="BS50" s="2398">
        <v>0.16847177604405691</v>
      </c>
      <c r="BT50" s="2398">
        <v>0.16713280404186215</v>
      </c>
      <c r="BU50" s="2398">
        <v>0.16602832457468603</v>
      </c>
      <c r="BV50" s="2399">
        <v>0.16744103721403603</v>
      </c>
      <c r="BW50" s="2400">
        <f t="shared" ref="BW50:CH50" si="227">BW48/BW$30</f>
        <v>0.17002133476760345</v>
      </c>
      <c r="BX50" s="2401">
        <f t="shared" si="227"/>
        <v>0.1639716443497197</v>
      </c>
      <c r="BY50" s="2401">
        <f t="shared" si="227"/>
        <v>0.15959750925006769</v>
      </c>
      <c r="BZ50" s="2401">
        <f t="shared" si="227"/>
        <v>0.16084793618070184</v>
      </c>
      <c r="CA50" s="2400">
        <f t="shared" si="227"/>
        <v>0.15548384205100624</v>
      </c>
      <c r="CB50" s="2401">
        <f t="shared" si="227"/>
        <v>0.15256521739130435</v>
      </c>
      <c r="CC50" s="2401">
        <f t="shared" si="227"/>
        <v>0.1506831822244924</v>
      </c>
      <c r="CD50" s="2401">
        <f t="shared" si="227"/>
        <v>0.15281489966484238</v>
      </c>
      <c r="CE50" s="2400">
        <f t="shared" si="227"/>
        <v>0.14939554612937433</v>
      </c>
      <c r="CF50" s="2401">
        <f t="shared" si="227"/>
        <v>0.1485657436577682</v>
      </c>
      <c r="CG50" s="2401">
        <f t="shared" si="227"/>
        <v>0.14754363283775049</v>
      </c>
      <c r="CH50" s="2401">
        <f t="shared" si="227"/>
        <v>0.15203895313451005</v>
      </c>
      <c r="CI50" s="2400">
        <f t="shared" ref="CI50:DG50" si="228">CI48/CI$35</f>
        <v>0.14965229485396384</v>
      </c>
      <c r="CJ50" s="2401">
        <f t="shared" si="228"/>
        <v>0.14817137705303596</v>
      </c>
      <c r="CK50" s="2401">
        <f t="shared" si="228"/>
        <v>0.14841520783527415</v>
      </c>
      <c r="CL50" s="2401">
        <f t="shared" si="228"/>
        <v>0.15261791264581637</v>
      </c>
      <c r="CM50" s="2400">
        <f t="shared" si="228"/>
        <v>0.1517066510629998</v>
      </c>
      <c r="CN50" s="2401">
        <f t="shared" si="228"/>
        <v>0.15220747144180302</v>
      </c>
      <c r="CO50" s="2401">
        <f t="shared" si="228"/>
        <v>0.15095906962694458</v>
      </c>
      <c r="CP50" s="2401">
        <f t="shared" si="228"/>
        <v>0.15377912483424891</v>
      </c>
      <c r="CQ50" s="2400">
        <f t="shared" si="228"/>
        <v>0.14909225639125603</v>
      </c>
      <c r="CR50" s="2401">
        <f t="shared" si="228"/>
        <v>0.14936809994189426</v>
      </c>
      <c r="CS50" s="2401">
        <f t="shared" si="228"/>
        <v>0.14971518647225307</v>
      </c>
      <c r="CT50" s="2401">
        <f t="shared" si="228"/>
        <v>0.14699676466450978</v>
      </c>
      <c r="CU50" s="2400">
        <f t="shared" si="228"/>
        <v>0.14262446002407761</v>
      </c>
      <c r="CV50" s="2401">
        <f t="shared" si="228"/>
        <v>0.14471516213847502</v>
      </c>
      <c r="CW50" s="2401">
        <f t="shared" si="228"/>
        <v>0.14365497983245423</v>
      </c>
      <c r="CX50" s="2401">
        <f t="shared" si="228"/>
        <v>0.13875565990273353</v>
      </c>
      <c r="CY50" s="2400">
        <f t="shared" si="228"/>
        <v>0.14083447332421339</v>
      </c>
      <c r="CZ50" s="2401">
        <f t="shared" si="228"/>
        <v>0.13996695552483393</v>
      </c>
      <c r="DA50" s="2401">
        <f t="shared" si="228"/>
        <v>0.13790584954518292</v>
      </c>
      <c r="DB50" s="2401">
        <f t="shared" si="228"/>
        <v>0.13523212207422733</v>
      </c>
      <c r="DC50" s="2400">
        <f t="shared" si="228"/>
        <v>0.13479960899315738</v>
      </c>
      <c r="DD50" s="2401">
        <f t="shared" si="228"/>
        <v>0.13270610747887099</v>
      </c>
      <c r="DE50" s="2401">
        <f t="shared" si="228"/>
        <v>0.13192553663015261</v>
      </c>
      <c r="DF50" s="2402">
        <f t="shared" si="228"/>
        <v>0.12255965292841649</v>
      </c>
      <c r="DG50" s="2400">
        <f t="shared" si="228"/>
        <v>0.12692099653186548</v>
      </c>
      <c r="DH50" s="2401">
        <f t="shared" ref="DH50:DI50" si="229">DH48/DH$35</f>
        <v>0.12564321116267324</v>
      </c>
      <c r="DI50" s="2401">
        <f t="shared" si="229"/>
        <v>0.1229226712454774</v>
      </c>
      <c r="DJ50" s="2402">
        <f t="shared" ref="DJ50:DO50" si="230">DJ48/DJ$35</f>
        <v>0.11984807572475595</v>
      </c>
      <c r="DK50" s="2400">
        <f t="shared" si="230"/>
        <v>0.12693547367755798</v>
      </c>
      <c r="DL50" s="2401">
        <f t="shared" si="230"/>
        <v>0.1304205423817634</v>
      </c>
      <c r="DM50" s="2401">
        <f t="shared" si="230"/>
        <v>0.12742024113521028</v>
      </c>
      <c r="DN50" s="2402">
        <f t="shared" si="230"/>
        <v>0.12328385899814472</v>
      </c>
      <c r="DO50" s="2400">
        <f t="shared" si="230"/>
        <v>0.13614409337894948</v>
      </c>
      <c r="DP50" s="2401">
        <f t="shared" ref="DP50:DQ50" si="231">DP48/DP$35</f>
        <v>0.13640827550085111</v>
      </c>
      <c r="DQ50" s="2401">
        <f t="shared" si="231"/>
        <v>0.13469117507961031</v>
      </c>
      <c r="DR50" s="2402">
        <f t="shared" ref="DR50" si="232">DR48/DR$35</f>
        <v>0.13123251362096894</v>
      </c>
      <c r="DS50" s="2400">
        <f t="shared" ref="DS50" si="233">DS48/DS$35</f>
        <v>0.13609467455621302</v>
      </c>
      <c r="DT50" s="2401">
        <f t="shared" ref="DT50:DV50" ca="1" si="234">DT48/DT$35</f>
        <v>0.13759359941421984</v>
      </c>
      <c r="DU50" s="2401">
        <f t="shared" ca="1" si="234"/>
        <v>0.13625974349533576</v>
      </c>
      <c r="DV50" s="2402">
        <f t="shared" ca="1" si="234"/>
        <v>0.13122804989519357</v>
      </c>
      <c r="DW50" s="1923"/>
      <c r="DX50"/>
      <c r="DY50"/>
      <c r="DZ50"/>
      <c r="EA50"/>
      <c r="EB50"/>
      <c r="EC50"/>
    </row>
    <row r="51" spans="1:133" hidden="1" outlineLevel="1">
      <c r="A51" s="2396" t="s">
        <v>966</v>
      </c>
      <c r="B51" s="1918"/>
      <c r="C51" s="1918"/>
      <c r="D51" s="1918"/>
      <c r="E51" s="1918"/>
      <c r="F51" s="1918"/>
      <c r="G51" s="1918"/>
      <c r="H51" s="1958">
        <v>16674.38</v>
      </c>
      <c r="I51" s="1958">
        <v>16277</v>
      </c>
      <c r="J51" s="1958">
        <v>14776</v>
      </c>
      <c r="K51" s="1958">
        <v>14273</v>
      </c>
      <c r="L51" s="1958">
        <v>14470</v>
      </c>
      <c r="M51" s="1958">
        <v>13551.146432528005</v>
      </c>
      <c r="N51" s="1918">
        <f>SUM(BW51:BZ51)</f>
        <v>12841</v>
      </c>
      <c r="O51" s="1918">
        <f>SUM(CA51:CD51)</f>
        <v>12779</v>
      </c>
      <c r="P51" s="1918">
        <f>SUM(CE51:CH51)</f>
        <v>13122</v>
      </c>
      <c r="Q51" s="1918">
        <f>SUM(CI51:CL51)</f>
        <v>13363</v>
      </c>
      <c r="R51" s="1918">
        <f>SUM(CM51:CP51)</f>
        <v>14078</v>
      </c>
      <c r="S51" s="1918">
        <f>SUM(CQ51:CT51)</f>
        <v>14991</v>
      </c>
      <c r="T51" s="1918">
        <f>SUM(CU51:CX51)</f>
        <v>14920</v>
      </c>
      <c r="U51" s="1918">
        <f>SUM(CY51:DB51)</f>
        <v>15006</v>
      </c>
      <c r="V51" s="1918">
        <f>SUM(DC51:DF51)</f>
        <v>14933</v>
      </c>
      <c r="W51" s="1918">
        <f>SUM(DG51:DJ51)</f>
        <v>14417</v>
      </c>
      <c r="X51" s="1918">
        <f>SUM(DK51:DN51)</f>
        <v>14328</v>
      </c>
      <c r="Y51" s="1918">
        <f>SUM(DO51:DR51)</f>
        <v>15354</v>
      </c>
      <c r="Z51" s="1918">
        <f ca="1">SUM(DS51:DV51)</f>
        <v>15838.122395504059</v>
      </c>
      <c r="AA51" s="2559">
        <f ca="1">Capex!AA26</f>
        <v>15848.447250665944</v>
      </c>
      <c r="AB51" s="2559">
        <f ca="1">Capex!AB26</f>
        <v>15788.464921089417</v>
      </c>
      <c r="AC51" s="2559">
        <f ca="1">Capex!AC26</f>
        <v>15732.258805757399</v>
      </c>
      <c r="AD51" s="2559">
        <f ca="1">Capex!AD26</f>
        <v>15680.235774858396</v>
      </c>
      <c r="AE51" s="2559">
        <f ca="1">Capex!AE26</f>
        <v>15632.757878509019</v>
      </c>
      <c r="AF51" s="2559">
        <f ca="1">Capex!AF26</f>
        <v>15590.239744419494</v>
      </c>
      <c r="AG51" s="2559">
        <f ca="1">Capex!AG26</f>
        <v>15593.729220377427</v>
      </c>
      <c r="AI51" s="2386"/>
      <c r="AK51" s="1918"/>
      <c r="AL51" s="1918"/>
      <c r="AM51" s="1918"/>
      <c r="AN51" s="1918"/>
      <c r="AO51" s="1918"/>
      <c r="AP51" s="1918"/>
      <c r="AQ51" s="1918"/>
      <c r="AR51" s="1918"/>
      <c r="AS51" s="1918"/>
      <c r="AT51" s="1918"/>
      <c r="AU51" s="1918"/>
      <c r="AV51" s="1918"/>
      <c r="AW51" s="1918"/>
      <c r="AX51" s="1918"/>
      <c r="AY51" s="1918"/>
      <c r="AZ51" s="1918"/>
      <c r="BA51" s="1918"/>
      <c r="BB51" s="1918"/>
      <c r="BC51" s="1918"/>
      <c r="BD51" s="1918"/>
      <c r="BE51" s="1918"/>
      <c r="BF51" s="1918"/>
      <c r="BG51" s="2409">
        <v>3777.5</v>
      </c>
      <c r="BH51" s="2410">
        <v>3791.5</v>
      </c>
      <c r="BI51" s="2410">
        <v>3570.5</v>
      </c>
      <c r="BJ51" s="2410">
        <v>3622.5</v>
      </c>
      <c r="BK51" s="2410">
        <v>3530</v>
      </c>
      <c r="BL51" s="2410">
        <v>3513</v>
      </c>
      <c r="BM51" s="2410">
        <v>3604</v>
      </c>
      <c r="BN51" s="2410">
        <v>3626</v>
      </c>
      <c r="BO51" s="2410">
        <v>3582.5</v>
      </c>
      <c r="BP51" s="2410">
        <v>3672.5</v>
      </c>
      <c r="BQ51" s="2410">
        <v>3642.5</v>
      </c>
      <c r="BR51" s="2410">
        <v>3572.5</v>
      </c>
      <c r="BS51" s="2410">
        <v>3343</v>
      </c>
      <c r="BT51" s="2410">
        <v>3374</v>
      </c>
      <c r="BU51" s="2410">
        <v>3377</v>
      </c>
      <c r="BV51" s="2411">
        <v>3457.1464325280049</v>
      </c>
      <c r="BW51">
        <f>Capex!BZ26</f>
        <v>3243.25</v>
      </c>
      <c r="BX51">
        <f>Capex!CA26</f>
        <v>3183.25</v>
      </c>
      <c r="BY51">
        <f>Capex!CB26</f>
        <v>3181.25</v>
      </c>
      <c r="BZ51">
        <f>Capex!CC26</f>
        <v>3233.25</v>
      </c>
      <c r="CA51">
        <f>Capex!CD26</f>
        <v>3133.75</v>
      </c>
      <c r="CB51">
        <f>Capex!CE26</f>
        <v>3173.75</v>
      </c>
      <c r="CC51">
        <f>Capex!CF26</f>
        <v>3204.75</v>
      </c>
      <c r="CD51">
        <f>Capex!CG26</f>
        <v>3266.75</v>
      </c>
      <c r="CE51">
        <f>Capex!CH26</f>
        <v>3176.25</v>
      </c>
      <c r="CF51">
        <f>Capex!CI26</f>
        <v>3238.25</v>
      </c>
      <c r="CG51">
        <f>Capex!CJ26</f>
        <v>3306.25</v>
      </c>
      <c r="CH51">
        <f>Capex!CK26</f>
        <v>3401.25</v>
      </c>
      <c r="CI51">
        <f>Capex!CL26</f>
        <v>3273.5</v>
      </c>
      <c r="CJ51">
        <f>Capex!CM26</f>
        <v>3287.5</v>
      </c>
      <c r="CK51">
        <f>Capex!CN26</f>
        <v>3356.5</v>
      </c>
      <c r="CL51">
        <f>Capex!CO26</f>
        <v>3445.5</v>
      </c>
      <c r="CM51">
        <f>Capex!CP26</f>
        <v>3436</v>
      </c>
      <c r="CN51">
        <f>Capex!CQ26</f>
        <v>3491</v>
      </c>
      <c r="CO51">
        <f>Capex!CR26</f>
        <v>3545</v>
      </c>
      <c r="CP51">
        <f>Capex!CS26</f>
        <v>3606</v>
      </c>
      <c r="CQ51">
        <f>Capex!CT26</f>
        <v>3647.75</v>
      </c>
      <c r="CR51">
        <f>Capex!CU26</f>
        <v>3736.75</v>
      </c>
      <c r="CS51">
        <f>Capex!CV26</f>
        <v>3802.75</v>
      </c>
      <c r="CT51">
        <f>Capex!CW26</f>
        <v>3803.75</v>
      </c>
      <c r="CU51">
        <f>Capex!CX26</f>
        <v>3661</v>
      </c>
      <c r="CV51">
        <f>Capex!CY26</f>
        <v>3761</v>
      </c>
      <c r="CW51">
        <f>Capex!CZ26</f>
        <v>3764</v>
      </c>
      <c r="CX51">
        <f>Capex!DA26</f>
        <v>3734</v>
      </c>
      <c r="CY51">
        <f>Capex!DB26</f>
        <v>3718</v>
      </c>
      <c r="CZ51">
        <f>Capex!DC26</f>
        <v>3751</v>
      </c>
      <c r="DA51">
        <f>Capex!DD26</f>
        <v>3754</v>
      </c>
      <c r="DB51">
        <f>Capex!DE26</f>
        <v>3783</v>
      </c>
      <c r="DC51">
        <f>Capex!DF26</f>
        <v>3737</v>
      </c>
      <c r="DD51">
        <f>Capex!DG26</f>
        <v>3761</v>
      </c>
      <c r="DE51">
        <f>Capex!DH26</f>
        <v>3767</v>
      </c>
      <c r="DF51">
        <f>Capex!DI26</f>
        <v>3668</v>
      </c>
      <c r="DG51" s="2556">
        <f>Capex!DJ26</f>
        <v>3589</v>
      </c>
      <c r="DH51" s="2557">
        <f>Capex!DK26</f>
        <v>3580</v>
      </c>
      <c r="DI51" s="2557">
        <f>Capex!DL26</f>
        <v>3609</v>
      </c>
      <c r="DJ51" s="2558">
        <f>Capex!DM26</f>
        <v>3639</v>
      </c>
      <c r="DK51" s="2560">
        <f>Capex!DN26</f>
        <v>3617</v>
      </c>
      <c r="DL51" s="2561">
        <f>Capex!DO26</f>
        <v>3582</v>
      </c>
      <c r="DM51" s="2561">
        <f>Capex!DP26</f>
        <v>3542</v>
      </c>
      <c r="DN51" s="2562">
        <f>Capex!DQ26</f>
        <v>3587</v>
      </c>
      <c r="DO51" s="2560">
        <f>Capex!DR26</f>
        <v>3659</v>
      </c>
      <c r="DP51" s="2561">
        <f>Capex!DS26</f>
        <v>3767</v>
      </c>
      <c r="DQ51" s="2561">
        <f>Capex!DT26</f>
        <v>3872</v>
      </c>
      <c r="DR51" s="2562">
        <f>Capex!DU26</f>
        <v>4056</v>
      </c>
      <c r="DS51" s="2560">
        <f>Capex!DV26</f>
        <v>3924</v>
      </c>
      <c r="DT51" s="2561">
        <f ca="1">Capex!DW26</f>
        <v>3941.6356697294414</v>
      </c>
      <c r="DU51" s="2561">
        <f ca="1">Capex!DX26</f>
        <v>3970.7157387147827</v>
      </c>
      <c r="DV51" s="2562">
        <f ca="1">Capex!DY26</f>
        <v>4001.7709870598346</v>
      </c>
      <c r="DW51" s="1923"/>
    </row>
    <row r="52" spans="1:133" hidden="1" outlineLevel="1">
      <c r="A52" s="2396" t="s">
        <v>967</v>
      </c>
      <c r="B52" s="1918"/>
      <c r="C52" s="1918"/>
      <c r="D52" s="1918"/>
      <c r="E52" s="1918"/>
      <c r="F52" s="1918"/>
      <c r="G52" s="1918"/>
      <c r="H52" s="1958">
        <v>3836.62</v>
      </c>
      <c r="I52" s="1958">
        <v>1650</v>
      </c>
      <c r="J52" s="1958">
        <v>1432</v>
      </c>
      <c r="K52" s="1958">
        <v>1540</v>
      </c>
      <c r="L52" s="1958">
        <v>1334</v>
      </c>
      <c r="M52" s="1958">
        <v>1444</v>
      </c>
      <c r="N52" s="1918">
        <f>SUM(BW52:BZ52)</f>
        <v>1423</v>
      </c>
      <c r="O52" s="1918">
        <f>SUM(CA52:CD52)</f>
        <v>1341</v>
      </c>
      <c r="P52" s="1918">
        <f>SUM(CE52:CH52)</f>
        <v>1383</v>
      </c>
      <c r="Q52" s="1918">
        <f>SUM(CI52:CL52)</f>
        <v>1970</v>
      </c>
      <c r="R52" s="1918">
        <f>SUM(CM52:CP52)</f>
        <v>1812</v>
      </c>
      <c r="S52" s="1918">
        <f>SUM(CQ52:CT52)</f>
        <v>1505</v>
      </c>
      <c r="T52" s="1918">
        <f>SUM(CU52:CX52)</f>
        <v>1540</v>
      </c>
      <c r="U52" s="1918">
        <f>SUM(CY52:DB52)</f>
        <v>1600</v>
      </c>
      <c r="V52" s="1918">
        <f>SUM(DC52:DF52)</f>
        <v>1600</v>
      </c>
      <c r="W52" s="1918">
        <f>SUM(DG52:DJ52)</f>
        <v>1600</v>
      </c>
      <c r="X52" s="1918">
        <f>SUM(DK52:DN52)</f>
        <v>1600</v>
      </c>
      <c r="Y52" s="1918">
        <f>SUM(DO52:DR52)</f>
        <v>1600</v>
      </c>
      <c r="Z52" s="1918">
        <f>SUM(DS52:DV52)</f>
        <v>1600</v>
      </c>
      <c r="AA52" s="2559">
        <f>Capex!AA31</f>
        <v>1600</v>
      </c>
      <c r="AB52" s="2559">
        <f>Capex!AB31</f>
        <v>1600</v>
      </c>
      <c r="AC52" s="2559">
        <f>Capex!AC31</f>
        <v>1600</v>
      </c>
      <c r="AD52" s="2559">
        <f>Capex!AD31</f>
        <v>1600</v>
      </c>
      <c r="AE52" s="2559">
        <f>Capex!AE31</f>
        <v>1600</v>
      </c>
      <c r="AF52" s="2559">
        <f>Capex!AF31</f>
        <v>1600</v>
      </c>
      <c r="AG52" s="2559">
        <f>Capex!AG31</f>
        <v>1600</v>
      </c>
      <c r="AI52" s="2386"/>
      <c r="AK52" s="1918"/>
      <c r="AL52" s="1918"/>
      <c r="AM52" s="1918"/>
      <c r="AN52" s="1918"/>
      <c r="AO52" s="1918"/>
      <c r="AP52" s="1918"/>
      <c r="AQ52" s="1918"/>
      <c r="AR52" s="1918"/>
      <c r="AS52" s="1918"/>
      <c r="AT52" s="1918"/>
      <c r="AU52" s="1918"/>
      <c r="AV52" s="1918"/>
      <c r="AW52" s="1918"/>
      <c r="AX52" s="1918"/>
      <c r="AY52" s="1918"/>
      <c r="AZ52" s="1918"/>
      <c r="BA52" s="1918"/>
      <c r="BB52" s="1918"/>
      <c r="BC52" s="1918"/>
      <c r="BD52" s="1918"/>
      <c r="BE52" s="1918"/>
      <c r="BF52" s="1918"/>
      <c r="BG52" s="2409">
        <v>361.5</v>
      </c>
      <c r="BH52" s="2410">
        <v>361.5</v>
      </c>
      <c r="BI52" s="2410">
        <v>361.5</v>
      </c>
      <c r="BJ52" s="2410">
        <v>361.5</v>
      </c>
      <c r="BK52" s="2410">
        <v>385</v>
      </c>
      <c r="BL52" s="2410">
        <v>385</v>
      </c>
      <c r="BM52" s="2410">
        <v>385</v>
      </c>
      <c r="BN52" s="2410">
        <v>385</v>
      </c>
      <c r="BO52" s="2410">
        <v>333.5</v>
      </c>
      <c r="BP52" s="2410">
        <v>333.5</v>
      </c>
      <c r="BQ52" s="2410">
        <v>333.5</v>
      </c>
      <c r="BR52" s="2410">
        <v>333.5</v>
      </c>
      <c r="BS52" s="2410">
        <v>361</v>
      </c>
      <c r="BT52" s="2410">
        <v>361</v>
      </c>
      <c r="BU52" s="2410">
        <v>361</v>
      </c>
      <c r="BV52" s="2411">
        <v>361</v>
      </c>
      <c r="BW52">
        <f>Capex!BZ31</f>
        <v>355.75</v>
      </c>
      <c r="BX52">
        <f>Capex!CA31</f>
        <v>355.75</v>
      </c>
      <c r="BY52">
        <f>Capex!CB31</f>
        <v>355.75</v>
      </c>
      <c r="BZ52">
        <f>Capex!CC31</f>
        <v>355.75</v>
      </c>
      <c r="CA52">
        <f>Capex!CD31</f>
        <v>335.25</v>
      </c>
      <c r="CB52">
        <f>Capex!CE31</f>
        <v>335.25</v>
      </c>
      <c r="CC52">
        <f>Capex!CF31</f>
        <v>335.25</v>
      </c>
      <c r="CD52">
        <f>Capex!CG31</f>
        <v>335.25</v>
      </c>
      <c r="CE52">
        <f>Capex!CH31</f>
        <v>345.75</v>
      </c>
      <c r="CF52">
        <f>Capex!CI31</f>
        <v>345.75</v>
      </c>
      <c r="CG52">
        <f>Capex!CJ31</f>
        <v>345.75</v>
      </c>
      <c r="CH52">
        <f>Capex!CK31</f>
        <v>345.75</v>
      </c>
      <c r="CI52">
        <f>Capex!CL31</f>
        <v>492.5</v>
      </c>
      <c r="CJ52">
        <f>Capex!CM31</f>
        <v>492.5</v>
      </c>
      <c r="CK52">
        <f>Capex!CN31</f>
        <v>492.5</v>
      </c>
      <c r="CL52">
        <f>Capex!CO31</f>
        <v>492.5</v>
      </c>
      <c r="CM52">
        <f>Capex!CP31</f>
        <v>453</v>
      </c>
      <c r="CN52">
        <f>Capex!CQ31</f>
        <v>453</v>
      </c>
      <c r="CO52">
        <f>Capex!CR31</f>
        <v>453</v>
      </c>
      <c r="CP52">
        <f>Capex!CS31</f>
        <v>453</v>
      </c>
      <c r="CQ52">
        <f>Capex!CT31</f>
        <v>376.25</v>
      </c>
      <c r="CR52">
        <f>Capex!CU31</f>
        <v>376.25</v>
      </c>
      <c r="CS52">
        <f>Capex!CV31</f>
        <v>376.25</v>
      </c>
      <c r="CT52">
        <f>Capex!CW31</f>
        <v>376.25</v>
      </c>
      <c r="CU52">
        <f>Capex!CX31</f>
        <v>367</v>
      </c>
      <c r="CV52">
        <f>Capex!CY31</f>
        <v>367</v>
      </c>
      <c r="CW52">
        <f>Capex!CZ31</f>
        <v>403</v>
      </c>
      <c r="CX52">
        <f>Capex!DA31</f>
        <v>403</v>
      </c>
      <c r="CY52">
        <f>Capex!DB31</f>
        <v>400</v>
      </c>
      <c r="CZ52">
        <f>Capex!DC31</f>
        <v>400</v>
      </c>
      <c r="DA52">
        <f>Capex!DD31</f>
        <v>400</v>
      </c>
      <c r="DB52">
        <f>Capex!DE31</f>
        <v>400</v>
      </c>
      <c r="DC52">
        <f>Capex!DF31</f>
        <v>400</v>
      </c>
      <c r="DD52">
        <f>Capex!DG31</f>
        <v>400</v>
      </c>
      <c r="DE52">
        <f>Capex!DH31</f>
        <v>400</v>
      </c>
      <c r="DF52">
        <f>Capex!DI31</f>
        <v>400</v>
      </c>
      <c r="DG52" s="2556">
        <f>Capex!DJ31</f>
        <v>400</v>
      </c>
      <c r="DH52" s="2557">
        <f>Capex!DK31</f>
        <v>400</v>
      </c>
      <c r="DI52" s="2557">
        <f>Capex!DL31</f>
        <v>400</v>
      </c>
      <c r="DJ52" s="2558">
        <f>Capex!DM31</f>
        <v>400</v>
      </c>
      <c r="DK52" s="2560">
        <f>Capex!DN31</f>
        <v>400</v>
      </c>
      <c r="DL52" s="2561">
        <f>Capex!DO31</f>
        <v>400</v>
      </c>
      <c r="DM52" s="2561">
        <f>Capex!DP31</f>
        <v>400</v>
      </c>
      <c r="DN52" s="2562">
        <f>Capex!DQ31</f>
        <v>400</v>
      </c>
      <c r="DO52" s="2560">
        <f>Capex!DR31</f>
        <v>400</v>
      </c>
      <c r="DP52" s="2561">
        <f>Capex!DS31</f>
        <v>400</v>
      </c>
      <c r="DQ52" s="2561">
        <f>Capex!DT31</f>
        <v>400</v>
      </c>
      <c r="DR52" s="2562">
        <f>Capex!DU31</f>
        <v>400</v>
      </c>
      <c r="DS52" s="2560">
        <f>Capex!DV31</f>
        <v>400</v>
      </c>
      <c r="DT52" s="2561">
        <f>Capex!DW31</f>
        <v>400</v>
      </c>
      <c r="DU52" s="2561">
        <f>Capex!DX31</f>
        <v>400</v>
      </c>
      <c r="DV52" s="2562">
        <f>Capex!DY31</f>
        <v>400</v>
      </c>
      <c r="DW52" s="1923"/>
    </row>
    <row r="53" spans="1:133" s="820" customFormat="1" collapsed="1">
      <c r="A53" s="1923" t="s">
        <v>968</v>
      </c>
      <c r="B53" s="1923"/>
      <c r="C53" s="1923"/>
      <c r="D53" s="1923"/>
      <c r="E53" s="1923"/>
      <c r="F53" s="1923"/>
      <c r="G53" s="1923"/>
      <c r="H53" s="1958">
        <v>86397</v>
      </c>
      <c r="I53" s="1958">
        <v>83904</v>
      </c>
      <c r="J53" s="1958">
        <v>78785</v>
      </c>
      <c r="K53" s="1958">
        <v>76878</v>
      </c>
      <c r="L53" s="1958">
        <v>77361</v>
      </c>
      <c r="M53" s="1958">
        <v>74381</v>
      </c>
      <c r="N53" s="1923">
        <f>+N39+N42+N48</f>
        <v>72952</v>
      </c>
      <c r="O53" s="1923">
        <f t="shared" ref="O53:AA53" si="235">+O39+O42+O48</f>
        <v>75830</v>
      </c>
      <c r="P53" s="1923">
        <f t="shared" si="235"/>
        <v>79029</v>
      </c>
      <c r="Q53" s="1923">
        <f t="shared" si="235"/>
        <v>85455</v>
      </c>
      <c r="R53" s="1923">
        <f t="shared" si="235"/>
        <v>85940</v>
      </c>
      <c r="S53" s="1923">
        <f t="shared" si="235"/>
        <v>91921</v>
      </c>
      <c r="T53" s="1923">
        <f t="shared" si="235"/>
        <v>94632</v>
      </c>
      <c r="U53" s="1923">
        <f t="shared" si="235"/>
        <v>94536</v>
      </c>
      <c r="V53" s="1923">
        <f t="shared" si="235"/>
        <v>100102</v>
      </c>
      <c r="W53" s="1923">
        <f t="shared" si="235"/>
        <v>101070</v>
      </c>
      <c r="X53" s="1923">
        <f>+X39+X42+X48</f>
        <v>97147</v>
      </c>
      <c r="Y53" s="1923">
        <f>+Y39+Y42+Y48</f>
        <v>96331</v>
      </c>
      <c r="Z53" s="1923">
        <f ca="1">+Z39+Z42+Z48</f>
        <v>98597.187893370297</v>
      </c>
      <c r="AA53" s="1923">
        <f t="shared" ca="1" si="235"/>
        <v>97647.79358047701</v>
      </c>
      <c r="AB53" s="1923">
        <f t="shared" ref="AB53:AG53" ca="1" si="236">+AB39+AB42+AB48</f>
        <v>97353.664503344946</v>
      </c>
      <c r="AC53" s="1923">
        <f t="shared" ca="1" si="236"/>
        <v>97044.986648972917</v>
      </c>
      <c r="AD53" s="1923">
        <f t="shared" ca="1" si="236"/>
        <v>96725.43411655401</v>
      </c>
      <c r="AE53" s="1923">
        <f t="shared" ca="1" si="236"/>
        <v>96401.770945403347</v>
      </c>
      <c r="AF53" s="1923">
        <f t="shared" ca="1" si="236"/>
        <v>96081.685108087113</v>
      </c>
      <c r="AG53" s="1923">
        <f t="shared" ca="1" si="236"/>
        <v>95813.421964150242</v>
      </c>
      <c r="AH53" s="1923"/>
      <c r="AI53" s="2386">
        <f ca="1">(AA53/V53)^(1/5)-1</f>
        <v>-4.9522179852873327E-3</v>
      </c>
      <c r="AJ53" s="1923"/>
      <c r="AK53" s="1923"/>
      <c r="AL53" s="1923"/>
      <c r="AM53" s="1923"/>
      <c r="AN53" s="1923"/>
      <c r="AO53" s="1923"/>
      <c r="AP53" s="1923"/>
      <c r="AQ53" s="1923"/>
      <c r="AR53" s="1923"/>
      <c r="AS53" s="1923"/>
      <c r="AT53" s="1923"/>
      <c r="AU53" s="1923"/>
      <c r="AV53" s="1923"/>
      <c r="AW53" s="1923"/>
      <c r="AX53" s="1923"/>
      <c r="AY53" s="1923"/>
      <c r="AZ53" s="1923"/>
      <c r="BA53" s="1923"/>
      <c r="BB53" s="1923"/>
      <c r="BC53" s="1923"/>
      <c r="BD53" s="1923"/>
      <c r="BE53" s="1923"/>
      <c r="BF53" s="1923"/>
      <c r="BG53" s="2388">
        <v>19976</v>
      </c>
      <c r="BH53" s="2389">
        <v>20000</v>
      </c>
      <c r="BI53" s="2389">
        <v>19558</v>
      </c>
      <c r="BJ53" s="2389">
        <v>19251</v>
      </c>
      <c r="BK53" s="2389">
        <v>18653</v>
      </c>
      <c r="BL53" s="2389">
        <v>18887</v>
      </c>
      <c r="BM53" s="2389">
        <v>19541</v>
      </c>
      <c r="BN53" s="2389">
        <v>19797</v>
      </c>
      <c r="BO53" s="2389">
        <v>19293</v>
      </c>
      <c r="BP53" s="2389">
        <v>19186</v>
      </c>
      <c r="BQ53" s="2389">
        <v>19406</v>
      </c>
      <c r="BR53" s="2389">
        <v>19476</v>
      </c>
      <c r="BS53" s="2389">
        <v>18419</v>
      </c>
      <c r="BT53" s="2389">
        <v>18599</v>
      </c>
      <c r="BU53" s="2389">
        <v>18677</v>
      </c>
      <c r="BV53" s="2390">
        <v>18686</v>
      </c>
      <c r="BW53" s="2391">
        <f>+BW39+BW42+BW48</f>
        <v>17704</v>
      </c>
      <c r="BX53" s="2392">
        <f t="shared" ref="BX53:DG53" si="237">+BX39+BX42+BX48</f>
        <v>17990</v>
      </c>
      <c r="BY53" s="2392">
        <f t="shared" si="237"/>
        <v>18576</v>
      </c>
      <c r="BZ53" s="2392">
        <f t="shared" si="237"/>
        <v>18682</v>
      </c>
      <c r="CA53" s="2391">
        <f t="shared" si="237"/>
        <v>18453</v>
      </c>
      <c r="CB53" s="2392">
        <f t="shared" si="237"/>
        <v>18870</v>
      </c>
      <c r="CC53" s="2392">
        <f t="shared" si="237"/>
        <v>19230</v>
      </c>
      <c r="CD53" s="2392">
        <f t="shared" si="237"/>
        <v>19277</v>
      </c>
      <c r="CE53" s="2391">
        <f t="shared" si="237"/>
        <v>19154</v>
      </c>
      <c r="CF53" s="2392">
        <f t="shared" si="237"/>
        <v>19542</v>
      </c>
      <c r="CG53" s="2392">
        <f t="shared" si="237"/>
        <v>20264</v>
      </c>
      <c r="CH53" s="2392">
        <f t="shared" si="237"/>
        <v>20069</v>
      </c>
      <c r="CI53" s="2391">
        <f t="shared" si="237"/>
        <v>20965</v>
      </c>
      <c r="CJ53" s="2392">
        <f t="shared" si="237"/>
        <v>21124</v>
      </c>
      <c r="CK53" s="2392">
        <f t="shared" si="237"/>
        <v>21623</v>
      </c>
      <c r="CL53" s="2392">
        <f t="shared" si="237"/>
        <v>21743</v>
      </c>
      <c r="CM53" s="2391">
        <f t="shared" si="237"/>
        <v>21359</v>
      </c>
      <c r="CN53" s="2392">
        <f t="shared" si="237"/>
        <v>21296</v>
      </c>
      <c r="CO53" s="2392">
        <f t="shared" si="237"/>
        <v>21687</v>
      </c>
      <c r="CP53" s="2392">
        <f t="shared" si="237"/>
        <v>21598</v>
      </c>
      <c r="CQ53" s="2391">
        <f t="shared" si="237"/>
        <v>22537</v>
      </c>
      <c r="CR53" s="2392">
        <f t="shared" si="237"/>
        <v>22644</v>
      </c>
      <c r="CS53" s="2392">
        <f t="shared" si="237"/>
        <v>22937</v>
      </c>
      <c r="CT53" s="2392">
        <f t="shared" si="237"/>
        <v>23803</v>
      </c>
      <c r="CU53" s="2391">
        <f t="shared" si="237"/>
        <v>23047</v>
      </c>
      <c r="CV53" s="2392">
        <f t="shared" si="237"/>
        <v>22901</v>
      </c>
      <c r="CW53" s="2392">
        <f t="shared" si="237"/>
        <v>23140</v>
      </c>
      <c r="CX53" s="2392">
        <f t="shared" si="237"/>
        <v>25544</v>
      </c>
      <c r="CY53" s="2391">
        <f t="shared" si="237"/>
        <v>23028</v>
      </c>
      <c r="CZ53" s="2392">
        <f t="shared" si="237"/>
        <v>23347</v>
      </c>
      <c r="DA53" s="2392">
        <f t="shared" si="237"/>
        <v>23280</v>
      </c>
      <c r="DB53" s="2392">
        <f t="shared" si="237"/>
        <v>24881</v>
      </c>
      <c r="DC53" s="2391">
        <f t="shared" si="237"/>
        <v>23536</v>
      </c>
      <c r="DD53" s="2392">
        <f t="shared" si="237"/>
        <v>24383</v>
      </c>
      <c r="DE53" s="2392">
        <f t="shared" si="237"/>
        <v>24696</v>
      </c>
      <c r="DF53" s="2393">
        <f t="shared" si="237"/>
        <v>27487</v>
      </c>
      <c r="DG53" s="2391">
        <f t="shared" si="237"/>
        <v>24024</v>
      </c>
      <c r="DH53" s="2392">
        <f t="shared" ref="DH53:DJ53" si="238">+DH39+DH42+DH48</f>
        <v>24403</v>
      </c>
      <c r="DI53" s="2392">
        <f t="shared" si="238"/>
        <v>25281</v>
      </c>
      <c r="DJ53" s="2393">
        <f t="shared" si="238"/>
        <v>27362</v>
      </c>
      <c r="DK53" s="2391">
        <f t="shared" ref="DK53:DL53" si="239">+DK39+DK42+DK48</f>
        <v>24206</v>
      </c>
      <c r="DL53" s="2392">
        <f t="shared" si="239"/>
        <v>23435</v>
      </c>
      <c r="DM53" s="2392">
        <f t="shared" ref="DM53:DN53" si="240">+DM39+DM42+DM48</f>
        <v>23600</v>
      </c>
      <c r="DN53" s="2393">
        <f t="shared" si="240"/>
        <v>25906</v>
      </c>
      <c r="DO53" s="2391">
        <f t="shared" ref="DO53:DP53" si="241">+DO39+DO42+DO48</f>
        <v>22507</v>
      </c>
      <c r="DP53" s="2392">
        <f t="shared" si="241"/>
        <v>23331</v>
      </c>
      <c r="DQ53" s="2392">
        <f t="shared" ref="DQ53:DR53" si="242">+DQ39+DQ42+DQ48</f>
        <v>23889</v>
      </c>
      <c r="DR53" s="2393">
        <f t="shared" si="242"/>
        <v>26604</v>
      </c>
      <c r="DS53" s="2391">
        <f t="shared" ref="DS53" si="243">+DS39+DS42+DS48</f>
        <v>24067</v>
      </c>
      <c r="DT53" s="2392">
        <f t="shared" ref="DT53:DV53" ca="1" si="244">+DT39+DT42+DT48</f>
        <v>23781.353827606355</v>
      </c>
      <c r="DU53" s="2392">
        <f t="shared" ca="1" si="244"/>
        <v>24054.644498945614</v>
      </c>
      <c r="DV53" s="2393">
        <f t="shared" ca="1" si="244"/>
        <v>26694.189566818313</v>
      </c>
      <c r="DW53" s="1923"/>
      <c r="DX53"/>
      <c r="DY53"/>
      <c r="DZ53"/>
      <c r="EA53"/>
      <c r="EB53"/>
      <c r="EC53"/>
    </row>
    <row r="54" spans="1:133" s="821" customFormat="1">
      <c r="A54" s="2396" t="s">
        <v>945</v>
      </c>
      <c r="B54" s="1921"/>
      <c r="C54" s="1921"/>
      <c r="D54" s="1921"/>
      <c r="E54" s="1921"/>
      <c r="F54" s="1921"/>
      <c r="G54" s="1921"/>
      <c r="H54" s="1958"/>
      <c r="I54" s="1958">
        <v>-2.8855168582242463E-2</v>
      </c>
      <c r="J54" s="1958">
        <v>-6.1010202135774239E-2</v>
      </c>
      <c r="K54" s="1958">
        <v>-2.4205115186901049E-2</v>
      </c>
      <c r="L54" s="1958">
        <v>6.2826816514478523E-3</v>
      </c>
      <c r="M54" s="1958">
        <v>-3.8520701645532007E-2</v>
      </c>
      <c r="N54" s="1921">
        <f>N53/M53-1</f>
        <v>-1.9211895510950372E-2</v>
      </c>
      <c r="O54" s="1921">
        <f>O53/N53-1</f>
        <v>3.945059765325154E-2</v>
      </c>
      <c r="P54" s="1921">
        <f>P53/O53-1</f>
        <v>4.2186469734933452E-2</v>
      </c>
      <c r="Q54" s="1958" t="s">
        <v>1149</v>
      </c>
      <c r="R54" s="1921">
        <f t="shared" ref="R54:AB54" si="245">R53/Q53-1</f>
        <v>5.675501726054577E-3</v>
      </c>
      <c r="S54" s="1921">
        <f t="shared" si="245"/>
        <v>6.9595066325343291E-2</v>
      </c>
      <c r="T54" s="1921">
        <f t="shared" si="245"/>
        <v>2.9492716571838828E-2</v>
      </c>
      <c r="U54" s="1921">
        <f t="shared" si="245"/>
        <v>-1.0144559979711198E-3</v>
      </c>
      <c r="V54" s="1921">
        <f t="shared" si="245"/>
        <v>5.8877041550308817E-2</v>
      </c>
      <c r="W54" s="1921">
        <f>W53/V53-1</f>
        <v>9.6701364608100526E-3</v>
      </c>
      <c r="X54" s="1921">
        <f>X53/W53-1</f>
        <v>-3.8814682893044461E-2</v>
      </c>
      <c r="Y54" s="1921">
        <f>Y53/X53-1</f>
        <v>-8.3996417799828693E-3</v>
      </c>
      <c r="Z54" s="1921">
        <f ca="1">Z53/Y53-1</f>
        <v>2.3525011609661473E-2</v>
      </c>
      <c r="AA54" s="1921">
        <f t="shared" ca="1" si="245"/>
        <v>-9.6290201899067451E-3</v>
      </c>
      <c r="AB54" s="1921">
        <f t="shared" ca="1" si="245"/>
        <v>-3.012142582511701E-3</v>
      </c>
      <c r="AC54" s="1921">
        <f t="shared" ref="AC54" ca="1" si="246">AC53/AB53-1</f>
        <v>-3.1706855201266704E-3</v>
      </c>
      <c r="AD54" s="1921">
        <f t="shared" ref="AD54" ca="1" si="247">AD53/AC53-1</f>
        <v>-3.2928288565259312E-3</v>
      </c>
      <c r="AE54" s="1921">
        <f t="shared" ref="AE54" ca="1" si="248">AE53/AD53-1</f>
        <v>-3.3462054123287732E-3</v>
      </c>
      <c r="AF54" s="1921">
        <f t="shared" ref="AF54" ca="1" si="249">AF53/AE53-1</f>
        <v>-3.3203315061246519E-3</v>
      </c>
      <c r="AG54" s="1921">
        <f t="shared" ref="AG54" ca="1" si="250">AG53/AF53-1</f>
        <v>-2.7920320468473037E-3</v>
      </c>
      <c r="AH54" s="1921"/>
      <c r="AI54" s="2386"/>
      <c r="AJ54" s="1921"/>
      <c r="AK54" s="1921"/>
      <c r="AL54" s="1921"/>
      <c r="AM54" s="1921"/>
      <c r="AN54" s="1921"/>
      <c r="AO54" s="1921"/>
      <c r="AP54" s="1921"/>
      <c r="AQ54" s="1921"/>
      <c r="AR54" s="1921"/>
      <c r="AS54" s="1921"/>
      <c r="AT54" s="1921"/>
      <c r="AU54" s="1921"/>
      <c r="AV54" s="1921"/>
      <c r="AW54" s="1921"/>
      <c r="AX54" s="1921"/>
      <c r="AY54" s="1921"/>
      <c r="AZ54" s="1921"/>
      <c r="BA54" s="1921"/>
      <c r="BB54" s="1921"/>
      <c r="BC54" s="1921"/>
      <c r="BD54" s="1921"/>
      <c r="BE54" s="1921"/>
      <c r="BF54" s="1921"/>
      <c r="BG54" s="2397"/>
      <c r="BH54" s="2398"/>
      <c r="BI54" s="2398"/>
      <c r="BJ54" s="2398"/>
      <c r="BK54" s="2398">
        <v>-6.6229475370444546E-2</v>
      </c>
      <c r="BL54" s="2398">
        <v>-5.5649999999999977E-2</v>
      </c>
      <c r="BM54" s="2398">
        <v>-8.6920953062685768E-4</v>
      </c>
      <c r="BN54" s="2398">
        <v>2.8362163004519214E-2</v>
      </c>
      <c r="BO54" s="2398">
        <v>3.4310834718275895E-2</v>
      </c>
      <c r="BP54" s="2398">
        <v>1.5830994864192371E-2</v>
      </c>
      <c r="BQ54" s="2398">
        <v>-6.9085512512153668E-3</v>
      </c>
      <c r="BR54" s="2398">
        <v>-1.6214577966358501E-2</v>
      </c>
      <c r="BS54" s="2398">
        <v>-4.5301404654537913E-2</v>
      </c>
      <c r="BT54" s="2398">
        <v>-3.0595225685395633E-2</v>
      </c>
      <c r="BU54" s="2398">
        <v>-3.7565701329485779E-2</v>
      </c>
      <c r="BV54" s="2399">
        <v>-4.0562743889915764E-2</v>
      </c>
      <c r="BW54" s="2400">
        <f t="shared" ref="BW54:CH54" si="251">BW53/BS53-1</f>
        <v>-3.88186112166784E-2</v>
      </c>
      <c r="BX54" s="2401">
        <f t="shared" si="251"/>
        <v>-3.2743695897628933E-2</v>
      </c>
      <c r="BY54" s="2401">
        <f t="shared" si="251"/>
        <v>-5.407720726026688E-3</v>
      </c>
      <c r="BZ54" s="2401">
        <f t="shared" si="251"/>
        <v>-2.1406400513757085E-4</v>
      </c>
      <c r="CA54" s="2400">
        <f t="shared" si="251"/>
        <v>4.2306823316764497E-2</v>
      </c>
      <c r="CB54" s="2401">
        <f t="shared" si="251"/>
        <v>4.8916064480266863E-2</v>
      </c>
      <c r="CC54" s="2401">
        <f t="shared" si="251"/>
        <v>3.5206718346253218E-2</v>
      </c>
      <c r="CD54" s="2401">
        <f t="shared" si="251"/>
        <v>3.1848838454126893E-2</v>
      </c>
      <c r="CE54" s="2400">
        <f t="shared" si="251"/>
        <v>3.7988402969706847E-2</v>
      </c>
      <c r="CF54" s="2401">
        <f t="shared" si="251"/>
        <v>3.5612082670906098E-2</v>
      </c>
      <c r="CG54" s="2401">
        <f t="shared" si="251"/>
        <v>5.3770150806032202E-2</v>
      </c>
      <c r="CH54" s="2401">
        <f t="shared" si="251"/>
        <v>4.1085231104424969E-2</v>
      </c>
      <c r="CI54" s="2394" t="s">
        <v>1149</v>
      </c>
      <c r="CJ54" s="2395" t="s">
        <v>1149</v>
      </c>
      <c r="CK54" s="2395" t="s">
        <v>1149</v>
      </c>
      <c r="CL54" s="2395" t="s">
        <v>1149</v>
      </c>
      <c r="CM54" s="2400">
        <f t="shared" ref="CM54:DS54" si="252">CM53/CI53-1</f>
        <v>1.8793226806582464E-2</v>
      </c>
      <c r="CN54" s="2401">
        <f t="shared" si="252"/>
        <v>8.1423972732437289E-3</v>
      </c>
      <c r="CO54" s="2401">
        <f t="shared" si="252"/>
        <v>2.9598113120288261E-3</v>
      </c>
      <c r="CP54" s="2401">
        <f t="shared" si="252"/>
        <v>-6.6688129512946226E-3</v>
      </c>
      <c r="CQ54" s="2400">
        <f t="shared" si="252"/>
        <v>5.5152394775036306E-2</v>
      </c>
      <c r="CR54" s="2401">
        <f t="shared" si="252"/>
        <v>6.3298271975957832E-2</v>
      </c>
      <c r="CS54" s="2401">
        <f t="shared" si="252"/>
        <v>5.7638216443030466E-2</v>
      </c>
      <c r="CT54" s="2401">
        <f t="shared" si="252"/>
        <v>0.10209278636910835</v>
      </c>
      <c r="CU54" s="2400">
        <f t="shared" si="252"/>
        <v>2.262945378710568E-2</v>
      </c>
      <c r="CV54" s="2401">
        <f t="shared" si="252"/>
        <v>1.1349584878996621E-2</v>
      </c>
      <c r="CW54" s="2401">
        <f t="shared" si="252"/>
        <v>8.8503291624886238E-3</v>
      </c>
      <c r="CX54" s="2401">
        <f t="shared" si="252"/>
        <v>7.3142040919211837E-2</v>
      </c>
      <c r="CY54" s="2400">
        <f t="shared" si="252"/>
        <v>-8.2440230832647732E-4</v>
      </c>
      <c r="CZ54" s="2401">
        <f t="shared" si="252"/>
        <v>1.9475132090301717E-2</v>
      </c>
      <c r="DA54" s="2401">
        <f t="shared" si="252"/>
        <v>6.0501296456352271E-3</v>
      </c>
      <c r="DB54" s="2401">
        <f t="shared" si="252"/>
        <v>-2.5955214531788284E-2</v>
      </c>
      <c r="DC54" s="2400">
        <f t="shared" si="252"/>
        <v>2.2060100746916778E-2</v>
      </c>
      <c r="DD54" s="2401">
        <f t="shared" si="252"/>
        <v>4.4374009508716394E-2</v>
      </c>
      <c r="DE54" s="2401">
        <f t="shared" si="252"/>
        <v>6.0824742268041243E-2</v>
      </c>
      <c r="DF54" s="2402">
        <f t="shared" si="252"/>
        <v>0.10473855552429567</v>
      </c>
      <c r="DG54" s="2400">
        <f t="shared" si="252"/>
        <v>2.0734194425560792E-2</v>
      </c>
      <c r="DH54" s="2401">
        <f t="shared" si="252"/>
        <v>8.2024361235277787E-4</v>
      </c>
      <c r="DI54" s="2401">
        <f t="shared" si="252"/>
        <v>2.3688046647230232E-2</v>
      </c>
      <c r="DJ54" s="2402">
        <f t="shared" si="252"/>
        <v>-4.5476043220431528E-3</v>
      </c>
      <c r="DK54" s="2400">
        <f t="shared" si="252"/>
        <v>7.575757575757569E-3</v>
      </c>
      <c r="DL54" s="2401">
        <f t="shared" si="252"/>
        <v>-3.966725402614435E-2</v>
      </c>
      <c r="DM54" s="2401">
        <f t="shared" si="252"/>
        <v>-6.6492622918397193E-2</v>
      </c>
      <c r="DN54" s="2402">
        <f t="shared" si="252"/>
        <v>-5.3212484467509702E-2</v>
      </c>
      <c r="DO54" s="2400">
        <f t="shared" si="252"/>
        <v>-7.0189209286953602E-2</v>
      </c>
      <c r="DP54" s="2401">
        <f t="shared" si="252"/>
        <v>-4.4378066993813192E-3</v>
      </c>
      <c r="DQ54" s="2401">
        <f t="shared" si="252"/>
        <v>1.2245762711864394E-2</v>
      </c>
      <c r="DR54" s="2402">
        <f t="shared" si="252"/>
        <v>2.6943565197251607E-2</v>
      </c>
      <c r="DS54" s="2400">
        <f t="shared" si="252"/>
        <v>6.9311769671657641E-2</v>
      </c>
      <c r="DT54" s="2401">
        <f t="shared" ref="DT54" ca="1" si="253">DT53/DP53-1</f>
        <v>1.930280860684741E-2</v>
      </c>
      <c r="DU54" s="2401">
        <f t="shared" ref="DU54" ca="1" si="254">DU53/DQ53-1</f>
        <v>6.933923519009344E-3</v>
      </c>
      <c r="DV54" s="2402">
        <f t="shared" ref="DV54" ca="1" si="255">DV53/DR53-1</f>
        <v>3.3900754329541094E-3</v>
      </c>
      <c r="DW54" s="1923"/>
      <c r="DX54"/>
      <c r="DY54"/>
      <c r="DZ54"/>
      <c r="EA54"/>
      <c r="EB54"/>
      <c r="EC54"/>
    </row>
    <row r="55" spans="1:133" s="821" customFormat="1">
      <c r="A55" s="2396" t="s">
        <v>950</v>
      </c>
      <c r="B55" s="1921"/>
      <c r="C55" s="1921"/>
      <c r="D55" s="1921"/>
      <c r="E55" s="1921"/>
      <c r="F55" s="1921"/>
      <c r="G55" s="1921"/>
      <c r="H55" s="1958">
        <v>0.87289094546262802</v>
      </c>
      <c r="I55" s="1958">
        <v>0.83867936787181507</v>
      </c>
      <c r="J55" s="1958">
        <v>0.82699150807729849</v>
      </c>
      <c r="K55" s="1958">
        <v>0.84344143590643783</v>
      </c>
      <c r="L55" s="1958">
        <v>0.84633561981029903</v>
      </c>
      <c r="M55" s="1958">
        <v>0.83667225340547347</v>
      </c>
      <c r="N55" s="1921">
        <f t="shared" ref="N55:V55" si="256">N53/N$30</f>
        <v>0.8363567873401504</v>
      </c>
      <c r="O55" s="1921">
        <f t="shared" si="256"/>
        <v>0.82089309878213801</v>
      </c>
      <c r="P55" s="1921">
        <f t="shared" si="256"/>
        <v>0.81392642333360798</v>
      </c>
      <c r="Q55" s="1921">
        <f t="shared" si="256"/>
        <v>0.83441555271303447</v>
      </c>
      <c r="R55" s="1921">
        <f t="shared" si="256"/>
        <v>0.82297512113841376</v>
      </c>
      <c r="S55" s="1921">
        <f t="shared" si="256"/>
        <v>0.82905073280721531</v>
      </c>
      <c r="T55" s="1921">
        <f t="shared" si="256"/>
        <v>0.81869382034622673</v>
      </c>
      <c r="U55" s="1921">
        <f t="shared" si="256"/>
        <v>0.78812181640836676</v>
      </c>
      <c r="V55" s="1921">
        <f t="shared" si="256"/>
        <v>0.78930477910158248</v>
      </c>
      <c r="W55" s="1921">
        <f t="shared" ref="W55:AB55" si="257">W53/W$30</f>
        <v>0.78093972384697996</v>
      </c>
      <c r="X55" s="1921">
        <f t="shared" si="257"/>
        <v>0.77435733928500261</v>
      </c>
      <c r="Y55" s="1921">
        <f t="shared" si="257"/>
        <v>0.76432549946839745</v>
      </c>
      <c r="Z55" s="1921">
        <f t="shared" ca="1" si="257"/>
        <v>0.76464340710450829</v>
      </c>
      <c r="AA55" s="1921">
        <f t="shared" ca="1" si="257"/>
        <v>0.75674839384854087</v>
      </c>
      <c r="AB55" s="1921">
        <f t="shared" ca="1" si="257"/>
        <v>0.75088022692013856</v>
      </c>
      <c r="AC55" s="1921">
        <f t="shared" ref="AC55:AG55" ca="1" si="258">AC53/AC$30</f>
        <v>0.7445492018258274</v>
      </c>
      <c r="AD55" s="1921">
        <f t="shared" ca="1" si="258"/>
        <v>0.73784258649026446</v>
      </c>
      <c r="AE55" s="1921">
        <f t="shared" ca="1" si="258"/>
        <v>0.73078664267863613</v>
      </c>
      <c r="AF55" s="1921">
        <f t="shared" ca="1" si="258"/>
        <v>0.72338213260658524</v>
      </c>
      <c r="AG55" s="1921">
        <f t="shared" ca="1" si="258"/>
        <v>0.71592341499634216</v>
      </c>
      <c r="AH55" s="1921"/>
      <c r="AI55" s="2386"/>
      <c r="AJ55" s="1921"/>
      <c r="AK55" s="1921"/>
      <c r="AL55" s="1921"/>
      <c r="AM55" s="1921"/>
      <c r="AN55" s="1921"/>
      <c r="AO55" s="1921"/>
      <c r="AP55" s="1921"/>
      <c r="AQ55" s="1921"/>
      <c r="AR55" s="1921"/>
      <c r="AS55" s="1921"/>
      <c r="AT55" s="1921"/>
      <c r="AU55" s="1921"/>
      <c r="AV55" s="1921"/>
      <c r="AW55" s="1921"/>
      <c r="AX55" s="1921"/>
      <c r="AY55" s="1921"/>
      <c r="AZ55" s="1921"/>
      <c r="BA55" s="1921"/>
      <c r="BB55" s="1921"/>
      <c r="BC55" s="1921"/>
      <c r="BD55" s="1921"/>
      <c r="BE55" s="1921"/>
      <c r="BF55" s="1921"/>
      <c r="BG55" s="2397">
        <v>0.83901045823008102</v>
      </c>
      <c r="BH55" s="2398">
        <v>0.84245998315080028</v>
      </c>
      <c r="BI55" s="2398">
        <v>0.81103047895500724</v>
      </c>
      <c r="BJ55" s="2398">
        <v>0.81561665889929247</v>
      </c>
      <c r="BK55" s="2398">
        <v>0.81486173605347079</v>
      </c>
      <c r="BL55" s="2398">
        <v>0.82870431310605064</v>
      </c>
      <c r="BM55" s="2398">
        <v>0.85402735894410209</v>
      </c>
      <c r="BN55" s="2398">
        <v>0.87655523577595751</v>
      </c>
      <c r="BO55" s="2398">
        <v>0.86360787824529994</v>
      </c>
      <c r="BP55" s="2398">
        <v>0.83972338935574231</v>
      </c>
      <c r="BQ55" s="2398">
        <v>0.83888816841741232</v>
      </c>
      <c r="BR55" s="2398">
        <v>0.843628172918652</v>
      </c>
      <c r="BS55" s="2398">
        <v>0.84529600734281785</v>
      </c>
      <c r="BT55" s="2398">
        <v>0.83900216528329119</v>
      </c>
      <c r="BU55" s="2398">
        <v>0.83178943618063594</v>
      </c>
      <c r="BV55" s="2399">
        <v>0.8268507456082127</v>
      </c>
      <c r="BW55" s="2400">
        <f t="shared" ref="BW55:DB55" si="259">BW53/BW$30</f>
        <v>0.83635946394155358</v>
      </c>
      <c r="BX55" s="2401">
        <f t="shared" si="259"/>
        <v>0.83352638650789979</v>
      </c>
      <c r="BY55" s="2401">
        <f t="shared" si="259"/>
        <v>0.83819149896218748</v>
      </c>
      <c r="BZ55" s="2401">
        <f t="shared" si="259"/>
        <v>0.83726975305875495</v>
      </c>
      <c r="CA55" s="2400">
        <f t="shared" si="259"/>
        <v>0.82708081215543905</v>
      </c>
      <c r="CB55" s="2401">
        <f t="shared" si="259"/>
        <v>0.82043478260869562</v>
      </c>
      <c r="CC55" s="2401">
        <f t="shared" si="259"/>
        <v>0.81854169327033588</v>
      </c>
      <c r="CD55" s="2401">
        <f t="shared" si="259"/>
        <v>0.81782699079377197</v>
      </c>
      <c r="CE55" s="2400">
        <f t="shared" si="259"/>
        <v>0.8124708377518558</v>
      </c>
      <c r="CF55" s="2401">
        <f t="shared" si="259"/>
        <v>0.81006466589288673</v>
      </c>
      <c r="CG55" s="2401">
        <f t="shared" si="259"/>
        <v>0.81868131868131866</v>
      </c>
      <c r="CH55" s="2401">
        <f t="shared" si="259"/>
        <v>0.8143233921687969</v>
      </c>
      <c r="CI55" s="2400">
        <f t="shared" si="259"/>
        <v>0.83310152990264252</v>
      </c>
      <c r="CJ55" s="2401">
        <f t="shared" si="259"/>
        <v>0.82803496530908238</v>
      </c>
      <c r="CK55" s="2401">
        <f t="shared" si="259"/>
        <v>0.83377034009408502</v>
      </c>
      <c r="CL55" s="2401">
        <f t="shared" si="259"/>
        <v>0.84265395496647677</v>
      </c>
      <c r="CM55" s="2400">
        <f t="shared" si="259"/>
        <v>0.83319680124829332</v>
      </c>
      <c r="CN55" s="2401">
        <f t="shared" si="259"/>
        <v>0.82185859833281882</v>
      </c>
      <c r="CO55" s="2401">
        <f t="shared" si="259"/>
        <v>0.81887177163570457</v>
      </c>
      <c r="CP55" s="2401">
        <f t="shared" si="259"/>
        <v>0.81826103428679675</v>
      </c>
      <c r="CQ55" s="2400">
        <f t="shared" si="259"/>
        <v>0.83501296776583922</v>
      </c>
      <c r="CR55" s="2401">
        <f t="shared" si="259"/>
        <v>0.82234166182452062</v>
      </c>
      <c r="CS55" s="2401">
        <f t="shared" si="259"/>
        <v>0.82173180955110525</v>
      </c>
      <c r="CT55" s="2401">
        <f t="shared" si="259"/>
        <v>0.83707272471514982</v>
      </c>
      <c r="CU55" s="2400">
        <f t="shared" si="259"/>
        <v>0.81605410381701016</v>
      </c>
      <c r="CV55" s="2401">
        <f t="shared" si="259"/>
        <v>0.80283961437335671</v>
      </c>
      <c r="CW55" s="2401">
        <f t="shared" si="259"/>
        <v>0.79773847691936428</v>
      </c>
      <c r="CX55" s="2401">
        <f t="shared" si="259"/>
        <v>0.85674995807479459</v>
      </c>
      <c r="CY55" s="2400">
        <f t="shared" si="259"/>
        <v>0.78755129958960324</v>
      </c>
      <c r="CZ55" s="2401">
        <f t="shared" si="259"/>
        <v>0.78723404255319152</v>
      </c>
      <c r="DA55" s="2401">
        <f t="shared" si="259"/>
        <v>0.77285704800478061</v>
      </c>
      <c r="DB55" s="2401">
        <f t="shared" si="259"/>
        <v>0.8043773438510281</v>
      </c>
      <c r="DC55" s="2400">
        <f>DC53/DC$30</f>
        <v>0.76689475399152818</v>
      </c>
      <c r="DD55" s="2401">
        <f>DD53/DD$30</f>
        <v>0.77764311911975759</v>
      </c>
      <c r="DE55" s="2401">
        <f>DE53/DE$30</f>
        <v>0.78186538339770784</v>
      </c>
      <c r="DF55" s="2402">
        <f>DF53/DF$30</f>
        <v>0.82812123403229698</v>
      </c>
      <c r="DG55" s="2400">
        <f t="shared" ref="DG55:DJ55" si="260">DG53/DG$30</f>
        <v>0.76438957650577488</v>
      </c>
      <c r="DH55" s="2401">
        <f t="shared" si="260"/>
        <v>0.77036966884490321</v>
      </c>
      <c r="DI55" s="2401">
        <f t="shared" si="260"/>
        <v>0.77515790764702275</v>
      </c>
      <c r="DJ55" s="2402">
        <f t="shared" si="260"/>
        <v>0.81190469125545239</v>
      </c>
      <c r="DK55" s="2400">
        <f t="shared" ref="DK55:DL55" si="261">DK53/DK$30</f>
        <v>0.76489919737091572</v>
      </c>
      <c r="DL55" s="2401">
        <f t="shared" si="261"/>
        <v>0.76755535176208567</v>
      </c>
      <c r="DM55" s="2401">
        <f t="shared" ref="DM55:DN55" si="262">DM53/DM$30</f>
        <v>0.76284061156543947</v>
      </c>
      <c r="DN55" s="2402">
        <f t="shared" si="262"/>
        <v>0.80105132962275816</v>
      </c>
      <c r="DO55" s="2400">
        <f t="shared" ref="DO55:DP55" si="263">DO53/DO$30</f>
        <v>0.75491379888642918</v>
      </c>
      <c r="DP55" s="2401">
        <f t="shared" si="263"/>
        <v>0.76374885426214478</v>
      </c>
      <c r="DQ55" s="2401">
        <f t="shared" ref="DQ55:DR55" si="264">DQ53/DQ$30</f>
        <v>0.75319229435318602</v>
      </c>
      <c r="DR55" s="2402">
        <f t="shared" si="264"/>
        <v>0.78350758356648509</v>
      </c>
      <c r="DS55" s="2400">
        <f t="shared" ref="DS55" si="265">DS53/DS$30</f>
        <v>0.75749087246632252</v>
      </c>
      <c r="DT55" s="2401">
        <f t="shared" ref="DT55:DV55" ca="1" si="266">DT53/DT$30</f>
        <v>0.75367034937950117</v>
      </c>
      <c r="DU55" s="2401">
        <f t="shared" ca="1" si="266"/>
        <v>0.74991829376248265</v>
      </c>
      <c r="DV55" s="2402">
        <f t="shared" ca="1" si="266"/>
        <v>0.79582205677766027</v>
      </c>
      <c r="DW55" s="1923"/>
      <c r="DX55"/>
      <c r="DY55"/>
      <c r="DZ55"/>
      <c r="EA55"/>
      <c r="EB55"/>
      <c r="EC55"/>
    </row>
    <row r="56" spans="1:133" s="820" customFormat="1" hidden="1" outlineLevel="1">
      <c r="A56" s="1923" t="s">
        <v>969</v>
      </c>
      <c r="B56" s="1923"/>
      <c r="C56" s="1923"/>
      <c r="D56" s="1923"/>
      <c r="E56" s="1923"/>
      <c r="F56" s="1923"/>
      <c r="G56" s="1923"/>
      <c r="H56" s="1958">
        <v>12581</v>
      </c>
      <c r="I56" s="1958">
        <v>16139</v>
      </c>
      <c r="J56" s="1958">
        <v>16482</v>
      </c>
      <c r="K56" s="1958">
        <v>14270</v>
      </c>
      <c r="L56" s="1958">
        <v>14046</v>
      </c>
      <c r="M56" s="1958">
        <v>14520</v>
      </c>
      <c r="N56" s="1923">
        <f>N30-N53</f>
        <v>14273.931688804558</v>
      </c>
      <c r="O56" s="1923">
        <f>O30-O53</f>
        <v>16545</v>
      </c>
      <c r="P56" s="1923">
        <f>P30-P53</f>
        <v>18067</v>
      </c>
      <c r="Q56" s="1923">
        <f t="shared" ref="Q56:V56" si="267">Q35-Q53</f>
        <v>16958</v>
      </c>
      <c r="R56" s="1923">
        <f t="shared" si="267"/>
        <v>18486</v>
      </c>
      <c r="S56" s="1923">
        <f t="shared" si="267"/>
        <v>18954</v>
      </c>
      <c r="T56" s="1923">
        <f t="shared" si="267"/>
        <v>20957</v>
      </c>
      <c r="U56" s="1923">
        <f t="shared" si="267"/>
        <v>25415</v>
      </c>
      <c r="V56" s="1923">
        <f t="shared" si="267"/>
        <v>26721</v>
      </c>
      <c r="W56" s="1923">
        <f t="shared" ref="W56:AB56" si="268">W35-W53</f>
        <v>28351</v>
      </c>
      <c r="X56" s="1923">
        <f t="shared" si="268"/>
        <v>28308</v>
      </c>
      <c r="Y56" s="1923">
        <f t="shared" si="268"/>
        <v>29703</v>
      </c>
      <c r="Z56" s="1923">
        <f t="shared" ca="1" si="268"/>
        <v>30348.130901347889</v>
      </c>
      <c r="AA56" s="1923">
        <f t="shared" ca="1" si="268"/>
        <v>31388.216768850136</v>
      </c>
      <c r="AB56" s="1923">
        <f t="shared" ca="1" si="268"/>
        <v>32299.056414153922</v>
      </c>
      <c r="AC56" s="1923">
        <f t="shared" ref="AC56:AG56" ca="1" si="269">AC35-AC53</f>
        <v>33295.609259253804</v>
      </c>
      <c r="AD56" s="1923">
        <f t="shared" ca="1" si="269"/>
        <v>34366.8013921784</v>
      </c>
      <c r="AE56" s="1923">
        <f t="shared" ca="1" si="269"/>
        <v>35513.29881018342</v>
      </c>
      <c r="AF56" s="1923">
        <f t="shared" ca="1" si="269"/>
        <v>36741.176802910049</v>
      </c>
      <c r="AG56" s="1923">
        <f t="shared" ca="1" si="269"/>
        <v>38018.521449294029</v>
      </c>
      <c r="AH56" s="1923"/>
      <c r="AI56" s="2386">
        <f ca="1">(AA56/V56)^(1/5)-1</f>
        <v>3.2720474255659049E-2</v>
      </c>
      <c r="AJ56" s="1923"/>
      <c r="AK56" s="1923"/>
      <c r="AL56" s="1923"/>
      <c r="AM56" s="1923"/>
      <c r="AN56" s="1923"/>
      <c r="AO56" s="1923"/>
      <c r="AP56" s="1923"/>
      <c r="AQ56" s="1923"/>
      <c r="AR56" s="1923"/>
      <c r="AS56" s="1923"/>
      <c r="AT56" s="1923"/>
      <c r="AU56" s="1923"/>
      <c r="AV56" s="1923"/>
      <c r="AW56" s="1923"/>
      <c r="AX56" s="1923"/>
      <c r="AY56" s="1923"/>
      <c r="AZ56" s="1923"/>
      <c r="BA56" s="1923"/>
      <c r="BB56" s="1923"/>
      <c r="BC56" s="1923"/>
      <c r="BD56" s="1923"/>
      <c r="BE56" s="1923"/>
      <c r="BF56" s="1923"/>
      <c r="BG56" s="2388">
        <v>3833</v>
      </c>
      <c r="BH56" s="2389">
        <v>3740</v>
      </c>
      <c r="BI56" s="2389">
        <v>4557</v>
      </c>
      <c r="BJ56" s="2389">
        <v>4352</v>
      </c>
      <c r="BK56" s="2389">
        <v>4238</v>
      </c>
      <c r="BL56" s="2389">
        <v>3904</v>
      </c>
      <c r="BM56" s="2389">
        <v>3340</v>
      </c>
      <c r="BN56" s="2389">
        <v>2788</v>
      </c>
      <c r="BO56" s="2389">
        <v>3047</v>
      </c>
      <c r="BP56" s="2389">
        <v>3662</v>
      </c>
      <c r="BQ56" s="2389">
        <v>3727</v>
      </c>
      <c r="BR56" s="2389">
        <v>3610</v>
      </c>
      <c r="BS56" s="2389">
        <v>3371</v>
      </c>
      <c r="BT56" s="2389">
        <v>3569</v>
      </c>
      <c r="BU56" s="2389">
        <v>3777</v>
      </c>
      <c r="BV56" s="2390">
        <v>3913</v>
      </c>
      <c r="BW56" s="2391">
        <f>BW30-BW53</f>
        <v>3463.9316888045505</v>
      </c>
      <c r="BX56" s="2392">
        <f t="shared" ref="BX56:CL56" si="270">BX30-BX53</f>
        <v>3593</v>
      </c>
      <c r="BY56" s="2392">
        <f t="shared" si="270"/>
        <v>3586</v>
      </c>
      <c r="BZ56" s="2392">
        <f t="shared" si="270"/>
        <v>3631</v>
      </c>
      <c r="CA56" s="2391">
        <f t="shared" si="270"/>
        <v>3858</v>
      </c>
      <c r="CB56" s="2392">
        <f t="shared" si="270"/>
        <v>4130</v>
      </c>
      <c r="CC56" s="2392">
        <f t="shared" si="270"/>
        <v>4263</v>
      </c>
      <c r="CD56" s="2392">
        <f t="shared" si="270"/>
        <v>4294</v>
      </c>
      <c r="CE56" s="2391">
        <f t="shared" si="270"/>
        <v>4421</v>
      </c>
      <c r="CF56" s="2392">
        <f t="shared" si="270"/>
        <v>4582</v>
      </c>
      <c r="CG56" s="2392">
        <f t="shared" si="270"/>
        <v>4488</v>
      </c>
      <c r="CH56" s="2392">
        <f t="shared" si="270"/>
        <v>4576</v>
      </c>
      <c r="CI56" s="2391">
        <f t="shared" si="270"/>
        <v>4200</v>
      </c>
      <c r="CJ56" s="2392">
        <f t="shared" si="270"/>
        <v>4387</v>
      </c>
      <c r="CK56" s="2392">
        <f t="shared" si="270"/>
        <v>4311</v>
      </c>
      <c r="CL56" s="2392">
        <f t="shared" si="270"/>
        <v>4060</v>
      </c>
      <c r="CM56" s="2391">
        <f t="shared" ref="CM56:DB56" si="271">CM35-CM53</f>
        <v>4276</v>
      </c>
      <c r="CN56" s="2392">
        <f t="shared" si="271"/>
        <v>4616</v>
      </c>
      <c r="CO56" s="2392">
        <f t="shared" si="271"/>
        <v>4797</v>
      </c>
      <c r="CP56" s="2392">
        <f t="shared" si="271"/>
        <v>4797</v>
      </c>
      <c r="CQ56" s="2391">
        <f t="shared" si="271"/>
        <v>4453</v>
      </c>
      <c r="CR56" s="2392">
        <f t="shared" si="271"/>
        <v>4892</v>
      </c>
      <c r="CS56" s="2392">
        <f t="shared" si="271"/>
        <v>4976</v>
      </c>
      <c r="CT56" s="2392">
        <f t="shared" si="271"/>
        <v>4633</v>
      </c>
      <c r="CU56" s="2391">
        <f t="shared" si="271"/>
        <v>5195</v>
      </c>
      <c r="CV56" s="2392">
        <f t="shared" si="271"/>
        <v>5624</v>
      </c>
      <c r="CW56" s="2392">
        <f t="shared" si="271"/>
        <v>5867</v>
      </c>
      <c r="CX56" s="2392">
        <f t="shared" si="271"/>
        <v>4271</v>
      </c>
      <c r="CY56" s="2391">
        <f t="shared" si="271"/>
        <v>6212</v>
      </c>
      <c r="CZ56" s="2392">
        <f t="shared" si="271"/>
        <v>6310</v>
      </c>
      <c r="DA56" s="2392">
        <f t="shared" si="271"/>
        <v>6842</v>
      </c>
      <c r="DB56" s="2392">
        <f t="shared" si="271"/>
        <v>6051</v>
      </c>
      <c r="DC56" s="2391">
        <f>DC35-DC53</f>
        <v>7154</v>
      </c>
      <c r="DD56" s="2392">
        <f>DD35-DD53</f>
        <v>6972</v>
      </c>
      <c r="DE56" s="2392">
        <f>DE35-DE53</f>
        <v>6890</v>
      </c>
      <c r="DF56" s="2393">
        <f>DF35-DF53</f>
        <v>5705</v>
      </c>
      <c r="DG56" s="2391">
        <f t="shared" ref="DG56:DJ56" si="272">DG35-DG53</f>
        <v>7405</v>
      </c>
      <c r="DH56" s="2392">
        <f t="shared" si="272"/>
        <v>7274</v>
      </c>
      <c r="DI56" s="2392">
        <f t="shared" si="272"/>
        <v>7333</v>
      </c>
      <c r="DJ56" s="2393">
        <f t="shared" si="272"/>
        <v>6339</v>
      </c>
      <c r="DK56" s="2391">
        <f t="shared" ref="DK56:DL56" si="273">DK35-DK53</f>
        <v>7440</v>
      </c>
      <c r="DL56" s="2392">
        <f t="shared" si="273"/>
        <v>7097</v>
      </c>
      <c r="DM56" s="2392">
        <f t="shared" ref="DM56:DN56" si="274">DM35-DM53</f>
        <v>7337</v>
      </c>
      <c r="DN56" s="2393">
        <f t="shared" si="274"/>
        <v>6434</v>
      </c>
      <c r="DO56" s="2391">
        <f t="shared" ref="DO56:DP56" si="275">DO35-DO53</f>
        <v>7307</v>
      </c>
      <c r="DP56" s="2392">
        <f t="shared" si="275"/>
        <v>7217</v>
      </c>
      <c r="DQ56" s="2392">
        <f t="shared" ref="DQ56:DR56" si="276">DQ35-DQ53</f>
        <v>7828</v>
      </c>
      <c r="DR56" s="2393">
        <f t="shared" si="276"/>
        <v>7351</v>
      </c>
      <c r="DS56" s="2391">
        <f t="shared" ref="DS56" si="277">DS35-DS53</f>
        <v>7705</v>
      </c>
      <c r="DT56" s="2392">
        <f t="shared" ref="DT56:DV56" ca="1" si="278">DT35-DT53</f>
        <v>7772.6987461556455</v>
      </c>
      <c r="DU56" s="2392">
        <f t="shared" ca="1" si="278"/>
        <v>8021.7092838897006</v>
      </c>
      <c r="DV56" s="2393">
        <f t="shared" ca="1" si="278"/>
        <v>6848.7228713025543</v>
      </c>
      <c r="DW56" s="1923"/>
      <c r="DX56"/>
      <c r="DY56"/>
      <c r="DZ56"/>
      <c r="EA56"/>
      <c r="EB56"/>
      <c r="EC56"/>
    </row>
    <row r="57" spans="1:133" s="821" customFormat="1" hidden="1" outlineLevel="1">
      <c r="A57" s="2396" t="s">
        <v>945</v>
      </c>
      <c r="B57" s="1921"/>
      <c r="C57" s="1921"/>
      <c r="D57" s="1921"/>
      <c r="E57" s="1921"/>
      <c r="F57" s="1921"/>
      <c r="G57" s="1921"/>
      <c r="H57" s="1958"/>
      <c r="I57" s="1958">
        <v>0.28280740799618465</v>
      </c>
      <c r="J57" s="1958">
        <v>2.1252865728979442E-2</v>
      </c>
      <c r="K57" s="1958">
        <v>-0.13420701371192811</v>
      </c>
      <c r="L57" s="1958">
        <v>-1.5697266993693115E-2</v>
      </c>
      <c r="M57" s="1958">
        <v>3.3746262281076467E-2</v>
      </c>
      <c r="N57" s="1921">
        <f>N56/M56-1</f>
        <v>-1.6946853388115857E-2</v>
      </c>
      <c r="O57" s="1921">
        <f>O56/N56-1</f>
        <v>0.15910600952200893</v>
      </c>
      <c r="P57" s="1921">
        <f>P56/O56-1</f>
        <v>9.1991538229072134E-2</v>
      </c>
      <c r="Q57" s="1958" t="s">
        <v>1149</v>
      </c>
      <c r="R57" s="1921">
        <f t="shared" ref="R57:AB57" si="279">R56/Q56-1</f>
        <v>9.0104965208161358E-2</v>
      </c>
      <c r="S57" s="1921">
        <f t="shared" si="279"/>
        <v>2.5316455696202445E-2</v>
      </c>
      <c r="T57" s="1921">
        <f t="shared" si="279"/>
        <v>0.10567690197319823</v>
      </c>
      <c r="U57" s="1921">
        <f t="shared" si="279"/>
        <v>0.21272128644367028</v>
      </c>
      <c r="V57" s="1921">
        <f t="shared" si="279"/>
        <v>5.1386976195160416E-2</v>
      </c>
      <c r="W57" s="1921">
        <f>W56/V56-1</f>
        <v>6.100071105123317E-2</v>
      </c>
      <c r="X57" s="1921">
        <f>X56/W56-1</f>
        <v>-1.5167013509224114E-3</v>
      </c>
      <c r="Y57" s="1921">
        <f>Y56/X56-1</f>
        <v>4.9279355659177515E-2</v>
      </c>
      <c r="Z57" s="1921">
        <f ca="1">Z56/Y56-1</f>
        <v>2.1719385292660265E-2</v>
      </c>
      <c r="AA57" s="1921">
        <f t="shared" ca="1" si="279"/>
        <v>3.427182619197322E-2</v>
      </c>
      <c r="AB57" s="1921">
        <f t="shared" ca="1" si="279"/>
        <v>2.901852156850504E-2</v>
      </c>
      <c r="AC57" s="1921">
        <f t="shared" ref="AC57" ca="1" si="280">AC56/AB56-1</f>
        <v>3.08539306016129E-2</v>
      </c>
      <c r="AD57" s="1921">
        <f t="shared" ref="AD57" ca="1" si="281">AD56/AC56-1</f>
        <v>3.2172173951941829E-2</v>
      </c>
      <c r="AE57" s="1921">
        <f t="shared" ref="AE57" ca="1" si="282">AE56/AD56-1</f>
        <v>3.3360608830647509E-2</v>
      </c>
      <c r="AF57" s="1921">
        <f t="shared" ref="AF57" ca="1" si="283">AF56/AE56-1</f>
        <v>3.4575160119299841E-2</v>
      </c>
      <c r="AG57" s="1921">
        <f t="shared" ref="AG57" ca="1" si="284">AG56/AF56-1</f>
        <v>3.4766024322955502E-2</v>
      </c>
      <c r="AH57" s="1921"/>
      <c r="AI57" s="2386"/>
      <c r="AJ57" s="1921"/>
      <c r="AK57" s="1921"/>
      <c r="AL57" s="1921"/>
      <c r="AM57" s="1921"/>
      <c r="AN57" s="1921"/>
      <c r="AO57" s="1921"/>
      <c r="AP57" s="1921"/>
      <c r="AQ57" s="1921"/>
      <c r="AR57" s="1921"/>
      <c r="AS57" s="1921"/>
      <c r="AT57" s="1921"/>
      <c r="AU57" s="1921"/>
      <c r="AV57" s="1921"/>
      <c r="AW57" s="1921"/>
      <c r="AX57" s="1921"/>
      <c r="AY57" s="1921"/>
      <c r="AZ57" s="1921"/>
      <c r="BA57" s="1921"/>
      <c r="BB57" s="1921"/>
      <c r="BC57" s="1921"/>
      <c r="BD57" s="1921"/>
      <c r="BE57" s="1921"/>
      <c r="BF57" s="1921"/>
      <c r="BG57" s="2397"/>
      <c r="BH57" s="2398"/>
      <c r="BI57" s="2398"/>
      <c r="BJ57" s="2398"/>
      <c r="BK57" s="2398">
        <v>0.10566136185755282</v>
      </c>
      <c r="BL57" s="2398">
        <v>4.3850267379679231E-2</v>
      </c>
      <c r="BM57" s="2398">
        <v>-0.26706166337502746</v>
      </c>
      <c r="BN57" s="2398">
        <v>-0.359375</v>
      </c>
      <c r="BO57" s="2398">
        <v>-0.28102878716375645</v>
      </c>
      <c r="BP57" s="2398">
        <v>-6.1987704918032738E-2</v>
      </c>
      <c r="BQ57" s="2398">
        <v>0.1158682634730539</v>
      </c>
      <c r="BR57" s="2398">
        <v>0.29483500717360123</v>
      </c>
      <c r="BS57" s="2398">
        <v>0.10633409911388259</v>
      </c>
      <c r="BT57" s="2398">
        <v>-2.5395958492626991E-2</v>
      </c>
      <c r="BU57" s="2398">
        <v>1.34156157767642E-2</v>
      </c>
      <c r="BV57" s="2399">
        <v>8.3933518005540275E-2</v>
      </c>
      <c r="BW57" s="2400">
        <f t="shared" ref="BW57:CH57" si="285">BW56/BS56-1</f>
        <v>2.7567988372753094E-2</v>
      </c>
      <c r="BX57" s="2401">
        <f t="shared" si="285"/>
        <v>6.724572709442489E-3</v>
      </c>
      <c r="BY57" s="2401">
        <f t="shared" si="285"/>
        <v>-5.0569234842467559E-2</v>
      </c>
      <c r="BZ57" s="2401">
        <f t="shared" si="285"/>
        <v>-7.2067467416304654E-2</v>
      </c>
      <c r="CA57" s="2400">
        <f t="shared" si="285"/>
        <v>0.1137633032629024</v>
      </c>
      <c r="CB57" s="2401">
        <f t="shared" si="285"/>
        <v>0.14945727804063447</v>
      </c>
      <c r="CC57" s="2401">
        <f t="shared" si="285"/>
        <v>0.18878973786949249</v>
      </c>
      <c r="CD57" s="2401">
        <f t="shared" si="285"/>
        <v>0.18259432663178199</v>
      </c>
      <c r="CE57" s="2400">
        <f t="shared" si="285"/>
        <v>0.14593053395541733</v>
      </c>
      <c r="CF57" s="2401">
        <f t="shared" si="285"/>
        <v>0.10944309927360774</v>
      </c>
      <c r="CG57" s="2401">
        <f t="shared" si="285"/>
        <v>5.2779732582688199E-2</v>
      </c>
      <c r="CH57" s="2401">
        <f t="shared" si="285"/>
        <v>6.5673032137866683E-2</v>
      </c>
      <c r="CI57" s="2394" t="s">
        <v>1149</v>
      </c>
      <c r="CJ57" s="2395" t="s">
        <v>1149</v>
      </c>
      <c r="CK57" s="2395" t="s">
        <v>1149</v>
      </c>
      <c r="CL57" s="2395" t="s">
        <v>1149</v>
      </c>
      <c r="CM57" s="2400">
        <f t="shared" ref="CM57:DS57" si="286">CM56/CI56-1</f>
        <v>1.8095238095238164E-2</v>
      </c>
      <c r="CN57" s="2401">
        <f t="shared" si="286"/>
        <v>5.2199680875313348E-2</v>
      </c>
      <c r="CO57" s="2401">
        <f t="shared" si="286"/>
        <v>0.11273486430062629</v>
      </c>
      <c r="CP57" s="2401">
        <f t="shared" si="286"/>
        <v>0.18152709359605912</v>
      </c>
      <c r="CQ57" s="2400">
        <f t="shared" si="286"/>
        <v>4.139382600561281E-2</v>
      </c>
      <c r="CR57" s="2401">
        <f t="shared" si="286"/>
        <v>5.9792027729635988E-2</v>
      </c>
      <c r="CS57" s="2401">
        <f t="shared" si="286"/>
        <v>3.731498853450077E-2</v>
      </c>
      <c r="CT57" s="2401">
        <f t="shared" si="286"/>
        <v>-3.4188034188034178E-2</v>
      </c>
      <c r="CU57" s="2400">
        <f t="shared" si="286"/>
        <v>0.16662923871547264</v>
      </c>
      <c r="CV57" s="2401">
        <f t="shared" si="286"/>
        <v>0.14963205233033516</v>
      </c>
      <c r="CW57" s="2401">
        <f t="shared" si="286"/>
        <v>0.17905948553054651</v>
      </c>
      <c r="CX57" s="2401">
        <f t="shared" si="286"/>
        <v>-7.8135117634362206E-2</v>
      </c>
      <c r="CY57" s="2400">
        <f t="shared" si="286"/>
        <v>0.19576515880654477</v>
      </c>
      <c r="CZ57" s="2401">
        <f t="shared" si="286"/>
        <v>0.12197724039829305</v>
      </c>
      <c r="DA57" s="2401">
        <f t="shared" si="286"/>
        <v>0.16618373956025234</v>
      </c>
      <c r="DB57" s="2401">
        <f t="shared" si="286"/>
        <v>0.41676422383516742</v>
      </c>
      <c r="DC57" s="2400">
        <f t="shared" si="286"/>
        <v>0.15164198325820988</v>
      </c>
      <c r="DD57" s="2401">
        <f t="shared" si="286"/>
        <v>0.10491283676703644</v>
      </c>
      <c r="DE57" s="2401">
        <f t="shared" si="286"/>
        <v>7.0154925460390594E-3</v>
      </c>
      <c r="DF57" s="2402">
        <f t="shared" si="286"/>
        <v>-5.7180631300611462E-2</v>
      </c>
      <c r="DG57" s="2400">
        <f t="shared" si="286"/>
        <v>3.5085266983505781E-2</v>
      </c>
      <c r="DH57" s="2401">
        <f t="shared" si="286"/>
        <v>4.3316121629374704E-2</v>
      </c>
      <c r="DI57" s="2401">
        <f t="shared" si="286"/>
        <v>6.4296081277213313E-2</v>
      </c>
      <c r="DJ57" s="2402">
        <f t="shared" si="286"/>
        <v>0.11113058720420677</v>
      </c>
      <c r="DK57" s="2400">
        <f t="shared" si="286"/>
        <v>4.7265361242403436E-3</v>
      </c>
      <c r="DL57" s="2401">
        <f t="shared" si="286"/>
        <v>-2.4333241682705564E-2</v>
      </c>
      <c r="DM57" s="2401">
        <f t="shared" si="286"/>
        <v>5.4547933996995646E-4</v>
      </c>
      <c r="DN57" s="2402">
        <f t="shared" si="286"/>
        <v>1.4986590944944034E-2</v>
      </c>
      <c r="DO57" s="2400">
        <f t="shared" si="286"/>
        <v>-1.7876344086021456E-2</v>
      </c>
      <c r="DP57" s="2401">
        <f t="shared" si="286"/>
        <v>1.6908552909680186E-2</v>
      </c>
      <c r="DQ57" s="2401">
        <f t="shared" si="286"/>
        <v>6.6921084912089368E-2</v>
      </c>
      <c r="DR57" s="2402">
        <f t="shared" si="286"/>
        <v>0.14252409076779604</v>
      </c>
      <c r="DS57" s="2400">
        <f t="shared" si="286"/>
        <v>5.4468318051183795E-2</v>
      </c>
      <c r="DT57" s="2401">
        <f t="shared" ref="DT57" ca="1" si="287">DT56/DP56-1</f>
        <v>7.6998579209594853E-2</v>
      </c>
      <c r="DU57" s="2401">
        <f t="shared" ref="DU57" ca="1" si="288">DU56/DQ56-1</f>
        <v>2.4745692883201498E-2</v>
      </c>
      <c r="DV57" s="2402">
        <f t="shared" ref="DV57" ca="1" si="289">DV56/DR56-1</f>
        <v>-6.832772802305076E-2</v>
      </c>
      <c r="DW57" s="1923"/>
      <c r="DX57"/>
      <c r="DY57"/>
      <c r="DZ57"/>
      <c r="EA57"/>
      <c r="EB57"/>
      <c r="EC57"/>
    </row>
    <row r="58" spans="1:133" s="821" customFormat="1" hidden="1" outlineLevel="1">
      <c r="A58" s="2396" t="s">
        <v>970</v>
      </c>
      <c r="B58" s="1921"/>
      <c r="C58" s="1921"/>
      <c r="D58" s="1921"/>
      <c r="E58" s="1921"/>
      <c r="F58" s="1921"/>
      <c r="G58" s="1921"/>
      <c r="H58" s="1958">
        <v>0.12710905453737195</v>
      </c>
      <c r="I58" s="1958">
        <v>0.16132063212818487</v>
      </c>
      <c r="J58" s="1958">
        <v>0.17300849192270146</v>
      </c>
      <c r="K58" s="1958">
        <v>0.15655856409356211</v>
      </c>
      <c r="L58" s="1958">
        <v>0.15366438018970099</v>
      </c>
      <c r="M58" s="1958">
        <v>0.16332774659452651</v>
      </c>
      <c r="N58" s="1921">
        <f t="shared" ref="N58:V58" si="290">N56/N$30</f>
        <v>0.1636432126598496</v>
      </c>
      <c r="O58" s="1921">
        <f t="shared" si="290"/>
        <v>0.17910690121786196</v>
      </c>
      <c r="P58" s="1921">
        <f t="shared" si="290"/>
        <v>0.18607357666639202</v>
      </c>
      <c r="Q58" s="1921">
        <f t="shared" si="290"/>
        <v>0.16558444728696553</v>
      </c>
      <c r="R58" s="1921">
        <f t="shared" si="290"/>
        <v>0.17702487886158619</v>
      </c>
      <c r="S58" s="1921">
        <f t="shared" si="290"/>
        <v>0.17094926719278467</v>
      </c>
      <c r="T58" s="1921">
        <f t="shared" si="290"/>
        <v>0.18130617965377327</v>
      </c>
      <c r="U58" s="1921">
        <f t="shared" si="290"/>
        <v>0.21187818359163324</v>
      </c>
      <c r="V58" s="1921">
        <f t="shared" si="290"/>
        <v>0.21069522089841747</v>
      </c>
      <c r="W58" s="1921">
        <f t="shared" ref="W58:AB58" si="291">W56/W$30</f>
        <v>0.21906027615301998</v>
      </c>
      <c r="X58" s="1921">
        <f t="shared" si="291"/>
        <v>0.22564266071499742</v>
      </c>
      <c r="Y58" s="1921">
        <f t="shared" si="291"/>
        <v>0.23567450053160258</v>
      </c>
      <c r="Z58" s="1921">
        <f t="shared" ca="1" si="291"/>
        <v>0.23535659289549174</v>
      </c>
      <c r="AA58" s="1921">
        <f t="shared" ca="1" si="291"/>
        <v>0.24325160615145916</v>
      </c>
      <c r="AB58" s="1921">
        <f t="shared" ca="1" si="291"/>
        <v>0.24911977307986144</v>
      </c>
      <c r="AC58" s="1921">
        <f t="shared" ref="AC58:AG58" ca="1" si="292">AC56/AC$30</f>
        <v>0.25545079817417254</v>
      </c>
      <c r="AD58" s="1921">
        <f t="shared" ca="1" si="292"/>
        <v>0.26215741350973554</v>
      </c>
      <c r="AE58" s="1921">
        <f t="shared" ca="1" si="292"/>
        <v>0.26921335732136387</v>
      </c>
      <c r="AF58" s="1921">
        <f t="shared" ca="1" si="292"/>
        <v>0.27661786739341471</v>
      </c>
      <c r="AG58" s="1921">
        <f t="shared" ca="1" si="292"/>
        <v>0.28407658500365784</v>
      </c>
      <c r="AH58" s="1921"/>
      <c r="AI58" s="2386"/>
      <c r="AJ58" s="1921"/>
      <c r="AK58" s="1921"/>
      <c r="AL58" s="1921"/>
      <c r="AM58" s="1921"/>
      <c r="AN58" s="1921"/>
      <c r="AO58" s="1921"/>
      <c r="AP58" s="1921"/>
      <c r="AQ58" s="1921"/>
      <c r="AR58" s="1921"/>
      <c r="AS58" s="1921"/>
      <c r="AT58" s="1921"/>
      <c r="AU58" s="1921"/>
      <c r="AV58" s="1921"/>
      <c r="AW58" s="1921"/>
      <c r="AX58" s="1921"/>
      <c r="AY58" s="1921"/>
      <c r="AZ58" s="1921"/>
      <c r="BA58" s="1921"/>
      <c r="BB58" s="1921"/>
      <c r="BC58" s="1921"/>
      <c r="BD58" s="1921"/>
      <c r="BE58" s="1921"/>
      <c r="BF58" s="1921"/>
      <c r="BG58" s="2397">
        <v>0.16098954176991895</v>
      </c>
      <c r="BH58" s="2398">
        <v>0.15754001684919966</v>
      </c>
      <c r="BI58" s="2398">
        <v>0.18896952104499273</v>
      </c>
      <c r="BJ58" s="2398">
        <v>0.18438334110070753</v>
      </c>
      <c r="BK58" s="2398">
        <v>0.18513826394652921</v>
      </c>
      <c r="BL58" s="2398">
        <v>0.17129568689394936</v>
      </c>
      <c r="BM58" s="2398">
        <v>0.14597264105589791</v>
      </c>
      <c r="BN58" s="2398">
        <v>0.12344476422404251</v>
      </c>
      <c r="BO58" s="2398">
        <v>0.13639212175470009</v>
      </c>
      <c r="BP58" s="2398">
        <v>0.16027661064425772</v>
      </c>
      <c r="BQ58" s="2398">
        <v>0.16111183158258766</v>
      </c>
      <c r="BR58" s="2398">
        <v>0.156371827081348</v>
      </c>
      <c r="BS58" s="2398">
        <v>0.15470399265718218</v>
      </c>
      <c r="BT58" s="2398">
        <v>0.16099783471670878</v>
      </c>
      <c r="BU58" s="2398">
        <v>0.16821056381936403</v>
      </c>
      <c r="BV58" s="2399">
        <v>0.17314925439178724</v>
      </c>
      <c r="BW58" s="2400">
        <f t="shared" ref="BW58:DB58" si="293">BW56/BW$30</f>
        <v>0.16364053605844636</v>
      </c>
      <c r="BX58" s="2401">
        <f t="shared" si="293"/>
        <v>0.16647361349210027</v>
      </c>
      <c r="BY58" s="2401">
        <f t="shared" si="293"/>
        <v>0.16180850103781247</v>
      </c>
      <c r="BZ58" s="2401">
        <f t="shared" si="293"/>
        <v>0.16273024694124502</v>
      </c>
      <c r="CA58" s="2400">
        <f t="shared" si="293"/>
        <v>0.17291918784456098</v>
      </c>
      <c r="CB58" s="2401">
        <f t="shared" si="293"/>
        <v>0.17956521739130435</v>
      </c>
      <c r="CC58" s="2401">
        <f t="shared" si="293"/>
        <v>0.18145830672966415</v>
      </c>
      <c r="CD58" s="2401">
        <f t="shared" si="293"/>
        <v>0.182173009206228</v>
      </c>
      <c r="CE58" s="2400">
        <f t="shared" si="293"/>
        <v>0.18752916224814423</v>
      </c>
      <c r="CF58" s="2401">
        <f t="shared" si="293"/>
        <v>0.18993533410711325</v>
      </c>
      <c r="CG58" s="2401">
        <f t="shared" si="293"/>
        <v>0.18131868131868131</v>
      </c>
      <c r="CH58" s="2401">
        <f t="shared" si="293"/>
        <v>0.18567660783120307</v>
      </c>
      <c r="CI58" s="2400">
        <f t="shared" si="293"/>
        <v>0.16689847009735745</v>
      </c>
      <c r="CJ58" s="2401">
        <f t="shared" si="293"/>
        <v>0.17196503469091765</v>
      </c>
      <c r="CK58" s="2401">
        <f t="shared" si="293"/>
        <v>0.16622965990591501</v>
      </c>
      <c r="CL58" s="2401">
        <f t="shared" si="293"/>
        <v>0.15734604503352323</v>
      </c>
      <c r="CM58" s="2400">
        <f t="shared" si="293"/>
        <v>0.16680319875170666</v>
      </c>
      <c r="CN58" s="2401">
        <f t="shared" si="293"/>
        <v>0.17814140166718123</v>
      </c>
      <c r="CO58" s="2401">
        <f t="shared" si="293"/>
        <v>0.18112822836429543</v>
      </c>
      <c r="CP58" s="2401">
        <f t="shared" si="293"/>
        <v>0.18173896571320325</v>
      </c>
      <c r="CQ58" s="2400">
        <f t="shared" si="293"/>
        <v>0.16498703223416081</v>
      </c>
      <c r="CR58" s="2401">
        <f t="shared" si="293"/>
        <v>0.17765833817547938</v>
      </c>
      <c r="CS58" s="2401">
        <f t="shared" si="293"/>
        <v>0.17826819044889478</v>
      </c>
      <c r="CT58" s="2401">
        <f t="shared" si="293"/>
        <v>0.16292727528485018</v>
      </c>
      <c r="CU58" s="2400">
        <f t="shared" si="293"/>
        <v>0.18394589618298987</v>
      </c>
      <c r="CV58" s="2401">
        <f t="shared" si="293"/>
        <v>0.19716038562664329</v>
      </c>
      <c r="CW58" s="2401">
        <f t="shared" si="293"/>
        <v>0.20226152308063572</v>
      </c>
      <c r="CX58" s="2401">
        <f t="shared" si="293"/>
        <v>0.14325004192520543</v>
      </c>
      <c r="CY58" s="2400">
        <f t="shared" si="293"/>
        <v>0.21244870041039671</v>
      </c>
      <c r="CZ58" s="2401">
        <f t="shared" si="293"/>
        <v>0.21276595744680851</v>
      </c>
      <c r="DA58" s="2401">
        <f t="shared" si="293"/>
        <v>0.22714295199521944</v>
      </c>
      <c r="DB58" s="2401">
        <f t="shared" si="293"/>
        <v>0.19562265614897195</v>
      </c>
      <c r="DC58" s="2400">
        <f>DC56/DC$30</f>
        <v>0.23310524600847182</v>
      </c>
      <c r="DD58" s="2401">
        <f>DD56/DD$30</f>
        <v>0.22235688088024239</v>
      </c>
      <c r="DE58" s="2401">
        <f>DE56/DE$30</f>
        <v>0.21813461660229216</v>
      </c>
      <c r="DF58" s="2402">
        <f>DF56/DF$30</f>
        <v>0.17187876596770307</v>
      </c>
      <c r="DG58" s="2400">
        <f t="shared" ref="DG58:DJ58" si="294">DG56/DG$30</f>
        <v>0.23561042349422509</v>
      </c>
      <c r="DH58" s="2401">
        <f t="shared" si="294"/>
        <v>0.22963033115509676</v>
      </c>
      <c r="DI58" s="2401">
        <f t="shared" si="294"/>
        <v>0.22484209235297725</v>
      </c>
      <c r="DJ58" s="2402">
        <f t="shared" si="294"/>
        <v>0.18809530874454763</v>
      </c>
      <c r="DK58" s="2400">
        <f t="shared" ref="DK58:DL58" si="295">DK56/DK$30</f>
        <v>0.23510080262908425</v>
      </c>
      <c r="DL58" s="2401">
        <f t="shared" si="295"/>
        <v>0.23244464823791433</v>
      </c>
      <c r="DM58" s="2401">
        <f t="shared" ref="DM58:DN58" si="296">DM56/DM$30</f>
        <v>0.23715938843456055</v>
      </c>
      <c r="DN58" s="2402">
        <f t="shared" si="296"/>
        <v>0.19894867037724182</v>
      </c>
      <c r="DO58" s="2400">
        <f t="shared" ref="DO58:DP58" si="297">DO56/DO$30</f>
        <v>0.2450862011135708</v>
      </c>
      <c r="DP58" s="2401">
        <f t="shared" si="297"/>
        <v>0.23625114573785519</v>
      </c>
      <c r="DQ58" s="2401">
        <f t="shared" ref="DQ58:DR58" si="298">DQ56/DQ$30</f>
        <v>0.24680770564681401</v>
      </c>
      <c r="DR58" s="2402">
        <f t="shared" si="298"/>
        <v>0.21649241643351494</v>
      </c>
      <c r="DS58" s="2400">
        <f t="shared" ref="DS58" si="299">DS56/DS$30</f>
        <v>0.24250912753367745</v>
      </c>
      <c r="DT58" s="2401">
        <f t="shared" ref="DT58:DV58" ca="1" si="300">DT56/DT$30</f>
        <v>0.24632965062049883</v>
      </c>
      <c r="DU58" s="2401">
        <f t="shared" ca="1" si="300"/>
        <v>0.25008170623751741</v>
      </c>
      <c r="DV58" s="2402">
        <f t="shared" ca="1" si="300"/>
        <v>0.2041779432223397</v>
      </c>
      <c r="DW58" s="1923"/>
      <c r="DX58"/>
      <c r="DY58"/>
      <c r="DZ58"/>
      <c r="EA58"/>
      <c r="EB58"/>
      <c r="EC58"/>
    </row>
    <row r="59" spans="1:133" s="820" customFormat="1" hidden="1" outlineLevel="1">
      <c r="A59" s="1923" t="s">
        <v>971</v>
      </c>
      <c r="B59" s="1923"/>
      <c r="C59" s="1923"/>
      <c r="D59" s="1923"/>
      <c r="E59" s="1923"/>
      <c r="F59" s="1923"/>
      <c r="G59" s="1923"/>
      <c r="H59" s="1958">
        <v>33092</v>
      </c>
      <c r="I59" s="1958">
        <v>34066</v>
      </c>
      <c r="J59" s="1958">
        <v>32690</v>
      </c>
      <c r="K59" s="1958">
        <v>30083</v>
      </c>
      <c r="L59" s="1958">
        <v>29850</v>
      </c>
      <c r="M59" s="1958">
        <v>29408</v>
      </c>
      <c r="N59" s="1923">
        <f t="shared" ref="N59:V59" si="301">N30-N45</f>
        <v>28537.931688804558</v>
      </c>
      <c r="O59" s="1923">
        <f t="shared" si="301"/>
        <v>30665</v>
      </c>
      <c r="P59" s="1923">
        <f t="shared" si="301"/>
        <v>32572</v>
      </c>
      <c r="Q59" s="1923">
        <f t="shared" si="301"/>
        <v>32291</v>
      </c>
      <c r="R59" s="1923">
        <f t="shared" si="301"/>
        <v>34376</v>
      </c>
      <c r="S59" s="1923">
        <f t="shared" si="301"/>
        <v>35450</v>
      </c>
      <c r="T59" s="1923">
        <f>T30-T45</f>
        <v>37417</v>
      </c>
      <c r="U59" s="1923">
        <f t="shared" si="301"/>
        <v>42021</v>
      </c>
      <c r="V59" s="1923">
        <f t="shared" si="301"/>
        <v>43254</v>
      </c>
      <c r="W59" s="1923">
        <f t="shared" ref="W59:AB59" si="302">W30-W45</f>
        <v>44368</v>
      </c>
      <c r="X59" s="1923">
        <f t="shared" si="302"/>
        <v>44236</v>
      </c>
      <c r="Y59" s="1923">
        <f t="shared" si="302"/>
        <v>46657</v>
      </c>
      <c r="Z59" s="1923">
        <f t="shared" ca="1" si="302"/>
        <v>47786.253296851966</v>
      </c>
      <c r="AA59" s="1923">
        <f t="shared" ca="1" si="302"/>
        <v>48836.664019516073</v>
      </c>
      <c r="AB59" s="1923">
        <f t="shared" ca="1" si="302"/>
        <v>49687.521335243335</v>
      </c>
      <c r="AC59" s="1923">
        <f t="shared" ref="AC59:AG59" ca="1" si="303">AC30-AC45</f>
        <v>50627.868065011207</v>
      </c>
      <c r="AD59" s="1923">
        <f t="shared" ca="1" si="303"/>
        <v>51647.037167036789</v>
      </c>
      <c r="AE59" s="1923">
        <f t="shared" ca="1" si="303"/>
        <v>52746.056688692435</v>
      </c>
      <c r="AF59" s="1923">
        <f t="shared" ca="1" si="303"/>
        <v>53931.416547329543</v>
      </c>
      <c r="AG59" s="1923">
        <f t="shared" ca="1" si="303"/>
        <v>55212.250669671455</v>
      </c>
      <c r="AH59" s="1923"/>
      <c r="AI59" s="2386">
        <f ca="1">(AA59/V59)^(1/5)-1</f>
        <v>2.4575443783043216E-2</v>
      </c>
      <c r="AJ59" s="1923"/>
      <c r="AK59" s="1923"/>
      <c r="AL59" s="1923"/>
      <c r="AM59" s="1923"/>
      <c r="AN59" s="1923"/>
      <c r="AO59" s="1923"/>
      <c r="AP59" s="1923"/>
      <c r="AQ59" s="1923"/>
      <c r="AR59" s="1923"/>
      <c r="AS59" s="1923"/>
      <c r="AT59" s="1923"/>
      <c r="AU59" s="1923"/>
      <c r="AV59" s="1923"/>
      <c r="AW59" s="1923"/>
      <c r="AX59" s="1923"/>
      <c r="AY59" s="1923"/>
      <c r="AZ59" s="1923"/>
      <c r="BA59" s="1923"/>
      <c r="BB59" s="1923"/>
      <c r="BC59" s="1923"/>
      <c r="BD59" s="1923"/>
      <c r="BE59" s="1923"/>
      <c r="BF59" s="1923"/>
      <c r="BG59" s="2388">
        <v>7972</v>
      </c>
      <c r="BH59" s="2389">
        <v>7893</v>
      </c>
      <c r="BI59" s="2389">
        <v>8489</v>
      </c>
      <c r="BJ59" s="2389">
        <v>8336</v>
      </c>
      <c r="BK59" s="2389">
        <v>8153</v>
      </c>
      <c r="BL59" s="2389">
        <v>7802</v>
      </c>
      <c r="BM59" s="2389">
        <v>7329</v>
      </c>
      <c r="BN59" s="2389">
        <v>6799</v>
      </c>
      <c r="BO59" s="2389">
        <v>6963</v>
      </c>
      <c r="BP59" s="2389">
        <v>7668</v>
      </c>
      <c r="BQ59" s="2389">
        <v>7703</v>
      </c>
      <c r="BR59" s="2389">
        <v>7516</v>
      </c>
      <c r="BS59" s="2389">
        <v>7042</v>
      </c>
      <c r="BT59" s="2389">
        <v>7274</v>
      </c>
      <c r="BU59" s="2389">
        <v>7505</v>
      </c>
      <c r="BV59" s="2390">
        <v>7697</v>
      </c>
      <c r="BW59" s="2391">
        <f t="shared" ref="BW59:DB59" si="304">BW30-BW45</f>
        <v>7062.9316888045505</v>
      </c>
      <c r="BX59" s="2392">
        <f t="shared" si="304"/>
        <v>7132</v>
      </c>
      <c r="BY59" s="2392">
        <f t="shared" si="304"/>
        <v>7123</v>
      </c>
      <c r="BZ59" s="2392">
        <f t="shared" si="304"/>
        <v>7220</v>
      </c>
      <c r="CA59" s="2391">
        <f t="shared" si="304"/>
        <v>7327</v>
      </c>
      <c r="CB59" s="2392">
        <f t="shared" si="304"/>
        <v>7639</v>
      </c>
      <c r="CC59" s="2392">
        <f t="shared" si="304"/>
        <v>7803</v>
      </c>
      <c r="CD59" s="2392">
        <f t="shared" si="304"/>
        <v>7896</v>
      </c>
      <c r="CE59" s="2391">
        <f t="shared" si="304"/>
        <v>7943</v>
      </c>
      <c r="CF59" s="2392">
        <f t="shared" si="304"/>
        <v>8166</v>
      </c>
      <c r="CG59" s="2392">
        <f t="shared" si="304"/>
        <v>8140</v>
      </c>
      <c r="CH59" s="2392">
        <f t="shared" si="304"/>
        <v>8323</v>
      </c>
      <c r="CI59" s="2391">
        <f t="shared" si="304"/>
        <v>7966</v>
      </c>
      <c r="CJ59" s="2392">
        <f t="shared" si="304"/>
        <v>8167</v>
      </c>
      <c r="CK59" s="2392">
        <f t="shared" si="304"/>
        <v>8160</v>
      </c>
      <c r="CL59" s="2392">
        <f t="shared" si="304"/>
        <v>7998</v>
      </c>
      <c r="CM59" s="2391">
        <f t="shared" si="304"/>
        <v>8165</v>
      </c>
      <c r="CN59" s="2392">
        <f t="shared" si="304"/>
        <v>8560</v>
      </c>
      <c r="CO59" s="2392">
        <f t="shared" si="304"/>
        <v>8795</v>
      </c>
      <c r="CP59" s="2392">
        <f t="shared" si="304"/>
        <v>8856</v>
      </c>
      <c r="CQ59" s="2391">
        <f t="shared" si="304"/>
        <v>8477</v>
      </c>
      <c r="CR59" s="2392">
        <f t="shared" si="304"/>
        <v>9005</v>
      </c>
      <c r="CS59" s="2392">
        <f t="shared" si="304"/>
        <v>9155</v>
      </c>
      <c r="CT59" s="2392">
        <f t="shared" si="304"/>
        <v>8813</v>
      </c>
      <c r="CU59" s="2391">
        <f t="shared" si="304"/>
        <v>9223</v>
      </c>
      <c r="CV59" s="2392">
        <f t="shared" si="304"/>
        <v>9752</v>
      </c>
      <c r="CW59" s="2392">
        <f t="shared" si="304"/>
        <v>10034</v>
      </c>
      <c r="CX59" s="2392">
        <f t="shared" si="304"/>
        <v>8408</v>
      </c>
      <c r="CY59" s="2391">
        <f t="shared" si="304"/>
        <v>10330</v>
      </c>
      <c r="CZ59" s="2392">
        <f t="shared" si="304"/>
        <v>10461</v>
      </c>
      <c r="DA59" s="2392">
        <f t="shared" si="304"/>
        <v>10996</v>
      </c>
      <c r="DB59" s="2392">
        <f t="shared" si="304"/>
        <v>10234</v>
      </c>
      <c r="DC59" s="2391">
        <f>DC30-DC45</f>
        <v>11291</v>
      </c>
      <c r="DD59" s="2392">
        <f>DD30-DD45</f>
        <v>11133</v>
      </c>
      <c r="DE59" s="2392">
        <f>DE30-DE45</f>
        <v>11057</v>
      </c>
      <c r="DF59" s="2393">
        <f>DF30-DF45</f>
        <v>9773</v>
      </c>
      <c r="DG59" s="2391">
        <f t="shared" ref="DG59:DJ59" si="305">DG30-DG45</f>
        <v>11394</v>
      </c>
      <c r="DH59" s="2392">
        <f t="shared" si="305"/>
        <v>11254</v>
      </c>
      <c r="DI59" s="2392">
        <f t="shared" si="305"/>
        <v>11342</v>
      </c>
      <c r="DJ59" s="2393">
        <f t="shared" si="305"/>
        <v>10378</v>
      </c>
      <c r="DK59" s="2391">
        <f t="shared" ref="DK59:DL59" si="306">DK30-DK45</f>
        <v>11457</v>
      </c>
      <c r="DL59" s="2392">
        <f t="shared" si="306"/>
        <v>11079</v>
      </c>
      <c r="DM59" s="2392">
        <f t="shared" ref="DM59:DN59" si="307">DM30-DM45</f>
        <v>11279</v>
      </c>
      <c r="DN59" s="2393">
        <f t="shared" si="307"/>
        <v>10421</v>
      </c>
      <c r="DO59" s="2391">
        <f t="shared" ref="DO59:DP59" si="308">DO30-DO45</f>
        <v>11366</v>
      </c>
      <c r="DP59" s="2392">
        <f t="shared" si="308"/>
        <v>11384</v>
      </c>
      <c r="DQ59" s="2392">
        <f t="shared" ref="DQ59:DR59" si="309">DQ30-DQ45</f>
        <v>12100</v>
      </c>
      <c r="DR59" s="2393">
        <f t="shared" si="309"/>
        <v>11807</v>
      </c>
      <c r="DS59" s="2391">
        <f t="shared" ref="DS59" si="310">DS30-DS45</f>
        <v>12029</v>
      </c>
      <c r="DT59" s="2392">
        <f t="shared" ref="DT59:DV59" ca="1" si="311">DT30-DT45</f>
        <v>12114.334415885085</v>
      </c>
      <c r="DU59" s="2392">
        <f t="shared" ca="1" si="311"/>
        <v>12392.425022604482</v>
      </c>
      <c r="DV59" s="2393">
        <f t="shared" ca="1" si="311"/>
        <v>11250.493858362388</v>
      </c>
      <c r="DW59" s="1923"/>
      <c r="DX59"/>
      <c r="DY59"/>
      <c r="DZ59"/>
      <c r="EA59"/>
      <c r="EB59"/>
      <c r="EC59"/>
    </row>
    <row r="60" spans="1:133" s="821" customFormat="1" hidden="1" outlineLevel="1">
      <c r="A60" s="2396" t="s">
        <v>945</v>
      </c>
      <c r="B60" s="1921"/>
      <c r="C60" s="1921"/>
      <c r="D60" s="1921"/>
      <c r="E60" s="1921"/>
      <c r="F60" s="1921"/>
      <c r="G60" s="1921"/>
      <c r="H60" s="1958"/>
      <c r="I60" s="1958">
        <v>2.9433095612232618E-2</v>
      </c>
      <c r="J60" s="1958">
        <v>-4.0392179886103441E-2</v>
      </c>
      <c r="K60" s="1958">
        <v>-7.9749158764148009E-2</v>
      </c>
      <c r="L60" s="1958">
        <v>-7.7452381743842169E-3</v>
      </c>
      <c r="M60" s="1958">
        <v>-1.4807370184254598E-2</v>
      </c>
      <c r="N60" s="1921">
        <f>N59/M59-1</f>
        <v>-2.958610960267416E-2</v>
      </c>
      <c r="O60" s="1921">
        <f>O59/N59-1</f>
        <v>7.4534774782921254E-2</v>
      </c>
      <c r="P60" s="1921">
        <f>P59/O59-1</f>
        <v>6.2188162400130365E-2</v>
      </c>
      <c r="Q60" s="1958" t="s">
        <v>1149</v>
      </c>
      <c r="R60" s="1921">
        <f t="shared" ref="R60:AB60" si="312">R59/Q59-1</f>
        <v>6.456907497445119E-2</v>
      </c>
      <c r="S60" s="1921">
        <f t="shared" si="312"/>
        <v>3.1242727484291466E-2</v>
      </c>
      <c r="T60" s="1921">
        <f t="shared" si="312"/>
        <v>5.5486600846262446E-2</v>
      </c>
      <c r="U60" s="1921">
        <f t="shared" si="312"/>
        <v>0.12304567442606307</v>
      </c>
      <c r="V60" s="1921">
        <f t="shared" si="312"/>
        <v>2.9342471621332189E-2</v>
      </c>
      <c r="W60" s="1921">
        <f>W59/V59-1</f>
        <v>2.5754843482683754E-2</v>
      </c>
      <c r="X60" s="1921">
        <f>X59/W59-1</f>
        <v>-2.9751172015867189E-3</v>
      </c>
      <c r="Y60" s="1921">
        <f>Y59/X59-1</f>
        <v>5.4729179853512999E-2</v>
      </c>
      <c r="Z60" s="1921">
        <f ca="1">Z59/Y59-1</f>
        <v>2.4203298472940116E-2</v>
      </c>
      <c r="AA60" s="1921">
        <f t="shared" ca="1" si="312"/>
        <v>2.1981441318256856E-2</v>
      </c>
      <c r="AB60" s="1921">
        <f t="shared" ca="1" si="312"/>
        <v>1.7422510992709084E-2</v>
      </c>
      <c r="AC60" s="1921">
        <f t="shared" ref="AC60" ca="1" si="313">AC59/AB59-1</f>
        <v>1.8925209076607441E-2</v>
      </c>
      <c r="AD60" s="1921">
        <f t="shared" ref="AD60" ca="1" si="314">AD59/AC59-1</f>
        <v>2.0130594887323161E-2</v>
      </c>
      <c r="AE60" s="1921">
        <f t="shared" ref="AE60" ca="1" si="315">AE59/AD59-1</f>
        <v>2.1279430184953263E-2</v>
      </c>
      <c r="AF60" s="1921">
        <f t="shared" ref="AF60" ca="1" si="316">AF59/AE59-1</f>
        <v>2.2472956900515095E-2</v>
      </c>
      <c r="AG60" s="1921">
        <f t="shared" ref="AG60" ca="1" si="317">AG59/AF59-1</f>
        <v>2.3749313560452512E-2</v>
      </c>
      <c r="AH60" s="1921"/>
      <c r="AI60" s="2386"/>
      <c r="AJ60" s="1921"/>
      <c r="AK60" s="1921"/>
      <c r="AL60" s="1921"/>
      <c r="AM60" s="1921"/>
      <c r="AN60" s="1921"/>
      <c r="AO60" s="1921"/>
      <c r="AP60" s="1921"/>
      <c r="AQ60" s="1921"/>
      <c r="AR60" s="1921"/>
      <c r="AS60" s="1921"/>
      <c r="AT60" s="1921"/>
      <c r="AU60" s="1921"/>
      <c r="AV60" s="1921"/>
      <c r="AW60" s="1921"/>
      <c r="AX60" s="1921"/>
      <c r="AY60" s="1921"/>
      <c r="AZ60" s="1921"/>
      <c r="BA60" s="1921"/>
      <c r="BB60" s="1921"/>
      <c r="BC60" s="1921"/>
      <c r="BD60" s="1921"/>
      <c r="BE60" s="1921"/>
      <c r="BF60" s="1921"/>
      <c r="BG60" s="2397"/>
      <c r="BH60" s="2398"/>
      <c r="BI60" s="2398"/>
      <c r="BJ60" s="2398"/>
      <c r="BK60" s="2398">
        <v>2.2704465629703963E-2</v>
      </c>
      <c r="BL60" s="2398">
        <v>-1.1529203091346751E-2</v>
      </c>
      <c r="BM60" s="2398">
        <v>-0.13664742608081049</v>
      </c>
      <c r="BN60" s="2398">
        <v>-0.18438099808061426</v>
      </c>
      <c r="BO60" s="2398">
        <v>-0.14595854286765608</v>
      </c>
      <c r="BP60" s="2398">
        <v>-1.7175083311971262E-2</v>
      </c>
      <c r="BQ60" s="2398">
        <v>5.1030154182016618E-2</v>
      </c>
      <c r="BR60" s="2398">
        <v>0.10545668480658921</v>
      </c>
      <c r="BS60" s="2398">
        <v>1.1345684331466321E-2</v>
      </c>
      <c r="BT60" s="2398">
        <v>-5.1382368283776736E-2</v>
      </c>
      <c r="BU60" s="2398">
        <v>-2.570427106322215E-2</v>
      </c>
      <c r="BV60" s="2399">
        <v>2.4081958488557653E-2</v>
      </c>
      <c r="BW60" s="2400">
        <f t="shared" ref="BW60:CH60" si="318">BW59/BS59-1</f>
        <v>2.9724068168914819E-3</v>
      </c>
      <c r="BX60" s="2401">
        <f t="shared" si="318"/>
        <v>-1.9521583722848512E-2</v>
      </c>
      <c r="BY60" s="2401">
        <f t="shared" si="318"/>
        <v>-5.0899400399733508E-2</v>
      </c>
      <c r="BZ60" s="2401">
        <f t="shared" si="318"/>
        <v>-6.1972196959854453E-2</v>
      </c>
      <c r="CA60" s="2400">
        <f t="shared" si="318"/>
        <v>3.738791805306918E-2</v>
      </c>
      <c r="CB60" s="2401">
        <f t="shared" si="318"/>
        <v>7.1088053841839693E-2</v>
      </c>
      <c r="CC60" s="2401">
        <f t="shared" si="318"/>
        <v>9.5465393794749387E-2</v>
      </c>
      <c r="CD60" s="2401">
        <f t="shared" si="318"/>
        <v>9.3628808864265833E-2</v>
      </c>
      <c r="CE60" s="2400">
        <f t="shared" si="318"/>
        <v>8.407260816159412E-2</v>
      </c>
      <c r="CF60" s="2401">
        <f t="shared" si="318"/>
        <v>6.8988087446000712E-2</v>
      </c>
      <c r="CG60" s="2401">
        <f t="shared" si="318"/>
        <v>4.3188517236960156E-2</v>
      </c>
      <c r="CH60" s="2401">
        <f t="shared" si="318"/>
        <v>5.4078014184397061E-2</v>
      </c>
      <c r="CI60" s="2394" t="s">
        <v>1149</v>
      </c>
      <c r="CJ60" s="2395" t="s">
        <v>1149</v>
      </c>
      <c r="CK60" s="2395" t="s">
        <v>1149</v>
      </c>
      <c r="CL60" s="2395" t="s">
        <v>1149</v>
      </c>
      <c r="CM60" s="2400">
        <f t="shared" ref="CM60:DS60" si="319">CM59/CI59-1</f>
        <v>2.4981169972382533E-2</v>
      </c>
      <c r="CN60" s="2401">
        <f t="shared" si="319"/>
        <v>4.8120484878168224E-2</v>
      </c>
      <c r="CO60" s="2401">
        <f t="shared" si="319"/>
        <v>7.7818627450980449E-2</v>
      </c>
      <c r="CP60" s="2401">
        <f t="shared" si="319"/>
        <v>0.10727681920480125</v>
      </c>
      <c r="CQ60" s="2400">
        <f t="shared" si="319"/>
        <v>3.8211879975505125E-2</v>
      </c>
      <c r="CR60" s="2401">
        <f t="shared" si="319"/>
        <v>5.1985981308411144E-2</v>
      </c>
      <c r="CS60" s="2401">
        <f t="shared" si="319"/>
        <v>4.0932347924957257E-2</v>
      </c>
      <c r="CT60" s="2401">
        <f t="shared" si="319"/>
        <v>-4.8554652213188554E-3</v>
      </c>
      <c r="CU60" s="2400">
        <f t="shared" si="319"/>
        <v>8.8002831190279629E-2</v>
      </c>
      <c r="CV60" s="2401">
        <f t="shared" si="319"/>
        <v>8.2953914491948888E-2</v>
      </c>
      <c r="CW60" s="2401">
        <f t="shared" si="319"/>
        <v>9.6013107591480074E-2</v>
      </c>
      <c r="CX60" s="2401">
        <f t="shared" si="319"/>
        <v>-4.5954839441733841E-2</v>
      </c>
      <c r="CY60" s="2400">
        <f t="shared" si="319"/>
        <v>0.12002602190176725</v>
      </c>
      <c r="CZ60" s="2401">
        <f t="shared" si="319"/>
        <v>7.2703035274815475E-2</v>
      </c>
      <c r="DA60" s="2401">
        <f t="shared" si="319"/>
        <v>9.5874028303767123E-2</v>
      </c>
      <c r="DB60" s="2401">
        <f t="shared" si="319"/>
        <v>0.21717411988582302</v>
      </c>
      <c r="DC60" s="2400">
        <f t="shared" si="319"/>
        <v>9.3030009680542092E-2</v>
      </c>
      <c r="DD60" s="2401">
        <f t="shared" si="319"/>
        <v>6.4238600516203004E-2</v>
      </c>
      <c r="DE60" s="2401">
        <f t="shared" si="319"/>
        <v>5.5474718079302487E-3</v>
      </c>
      <c r="DF60" s="2402">
        <f t="shared" si="319"/>
        <v>-4.5045925346882898E-2</v>
      </c>
      <c r="DG60" s="2400">
        <f t="shared" si="319"/>
        <v>9.1223098042689799E-3</v>
      </c>
      <c r="DH60" s="2401">
        <f t="shared" si="319"/>
        <v>1.0868588879906493E-2</v>
      </c>
      <c r="DI60" s="2401">
        <f t="shared" si="319"/>
        <v>2.577552681559192E-2</v>
      </c>
      <c r="DJ60" s="2402">
        <f t="shared" si="319"/>
        <v>6.1905249155837616E-2</v>
      </c>
      <c r="DK60" s="2400">
        <f t="shared" si="319"/>
        <v>5.5292259083727924E-3</v>
      </c>
      <c r="DL60" s="2401">
        <f t="shared" si="319"/>
        <v>-1.555002665718852E-2</v>
      </c>
      <c r="DM60" s="2401">
        <f t="shared" si="319"/>
        <v>-5.5545759125374961E-3</v>
      </c>
      <c r="DN60" s="2402">
        <f t="shared" si="319"/>
        <v>4.1433802274040143E-3</v>
      </c>
      <c r="DO60" s="2400">
        <f t="shared" si="319"/>
        <v>-7.9427424282098036E-3</v>
      </c>
      <c r="DP60" s="2401">
        <f t="shared" si="319"/>
        <v>2.752956042964172E-2</v>
      </c>
      <c r="DQ60" s="2401">
        <f t="shared" si="319"/>
        <v>7.2790140969944073E-2</v>
      </c>
      <c r="DR60" s="2402">
        <f t="shared" si="319"/>
        <v>0.13300067172056429</v>
      </c>
      <c r="DS60" s="2400">
        <f t="shared" si="319"/>
        <v>5.8331866971669921E-2</v>
      </c>
      <c r="DT60" s="2401">
        <f t="shared" ref="DT60" ca="1" si="320">DT59/DP59-1</f>
        <v>6.4154463798760109E-2</v>
      </c>
      <c r="DU60" s="2401">
        <f t="shared" ref="DU60" ca="1" si="321">DU59/DQ59-1</f>
        <v>2.4167357240039822E-2</v>
      </c>
      <c r="DV60" s="2402">
        <f t="shared" ref="DV60" ca="1" si="322">DV59/DR59-1</f>
        <v>-4.7133576830491353E-2</v>
      </c>
      <c r="DW60" s="1923"/>
      <c r="DX60"/>
      <c r="DY60"/>
      <c r="DZ60"/>
      <c r="EA60"/>
      <c r="EB60"/>
      <c r="EC60"/>
    </row>
    <row r="61" spans="1:133" s="821" customFormat="1" hidden="1" outlineLevel="1">
      <c r="A61" s="2396" t="s">
        <v>970</v>
      </c>
      <c r="B61" s="1921"/>
      <c r="C61" s="1921"/>
      <c r="D61" s="1921"/>
      <c r="E61" s="1921"/>
      <c r="F61" s="1921"/>
      <c r="G61" s="1921"/>
      <c r="H61" s="1958">
        <v>0.33433692335670551</v>
      </c>
      <c r="I61" s="1958">
        <v>0.34051357916096081</v>
      </c>
      <c r="J61" s="1958">
        <v>0.34314085674997641</v>
      </c>
      <c r="K61" s="1958">
        <v>0.33004564005792775</v>
      </c>
      <c r="L61" s="1958">
        <v>0.32656142308575931</v>
      </c>
      <c r="M61" s="1958">
        <v>0.33079492919089776</v>
      </c>
      <c r="N61" s="1921">
        <f t="shared" ref="N61:V61" si="323">N59/N$30</f>
        <v>0.32717256366626346</v>
      </c>
      <c r="O61" s="1921">
        <f t="shared" si="323"/>
        <v>0.33196211096075778</v>
      </c>
      <c r="P61" s="1921">
        <f t="shared" si="323"/>
        <v>0.335461810991184</v>
      </c>
      <c r="Q61" s="1921">
        <f t="shared" si="323"/>
        <v>0.31530176833019247</v>
      </c>
      <c r="R61" s="1921">
        <f t="shared" si="323"/>
        <v>0.32919004845536554</v>
      </c>
      <c r="S61" s="1921">
        <f t="shared" si="323"/>
        <v>0.31972942502818491</v>
      </c>
      <c r="T61" s="1921">
        <f t="shared" si="323"/>
        <v>0.3237072731834344</v>
      </c>
      <c r="U61" s="1921">
        <f t="shared" si="323"/>
        <v>0.35031804653566873</v>
      </c>
      <c r="V61" s="1921">
        <f t="shared" si="323"/>
        <v>0.34105800998241642</v>
      </c>
      <c r="W61" s="1921">
        <f t="shared" ref="W61:AB61" si="324">W59/W$30</f>
        <v>0.34281917154094005</v>
      </c>
      <c r="X61" s="1921">
        <f t="shared" si="324"/>
        <v>0.3526045195488422</v>
      </c>
      <c r="Y61" s="1921">
        <f t="shared" si="324"/>
        <v>0.37019375724010983</v>
      </c>
      <c r="Z61" s="1921">
        <f t="shared" ca="1" si="324"/>
        <v>0.37059316106642076</v>
      </c>
      <c r="AA61" s="1921">
        <f t="shared" ca="1" si="324"/>
        <v>0.37847314007388427</v>
      </c>
      <c r="AB61" s="1921">
        <f t="shared" ca="1" si="324"/>
        <v>0.38323546921055901</v>
      </c>
      <c r="AC61" s="1921">
        <f t="shared" ref="AC61:AG61" ca="1" si="325">AC59/AC$30</f>
        <v>0.38842747121287113</v>
      </c>
      <c r="AD61" s="1921">
        <f t="shared" ca="1" si="325"/>
        <v>0.39397479924428047</v>
      </c>
      <c r="AE61" s="1921">
        <f t="shared" ca="1" si="325"/>
        <v>0.39984860551884427</v>
      </c>
      <c r="AF61" s="1921">
        <f t="shared" ca="1" si="325"/>
        <v>0.40604016335281401</v>
      </c>
      <c r="AG61" s="1921">
        <f t="shared" ca="1" si="325"/>
        <v>0.41254912139402611</v>
      </c>
      <c r="AH61" s="1921"/>
      <c r="AI61" s="2386"/>
      <c r="AJ61" s="1921"/>
      <c r="AK61" s="1921"/>
      <c r="AL61" s="1921"/>
      <c r="AM61" s="1921"/>
      <c r="AN61" s="1921"/>
      <c r="AO61" s="1921"/>
      <c r="AP61" s="1921"/>
      <c r="AQ61" s="1921"/>
      <c r="AR61" s="1921"/>
      <c r="AS61" s="1921"/>
      <c r="AT61" s="1921"/>
      <c r="AU61" s="1921"/>
      <c r="AV61" s="1921"/>
      <c r="AW61" s="1921"/>
      <c r="AX61" s="1921"/>
      <c r="AY61" s="1921"/>
      <c r="AZ61" s="1921"/>
      <c r="BA61" s="1921"/>
      <c r="BB61" s="1921"/>
      <c r="BC61" s="1921"/>
      <c r="BD61" s="1921"/>
      <c r="BE61" s="1921"/>
      <c r="BF61" s="1921"/>
      <c r="BG61" s="2397">
        <v>0.33483136629005839</v>
      </c>
      <c r="BH61" s="2398">
        <v>0.33247683235046338</v>
      </c>
      <c r="BI61" s="2398">
        <v>0.35202156334231804</v>
      </c>
      <c r="BJ61" s="2398">
        <v>0.35317544379951699</v>
      </c>
      <c r="BK61" s="2398">
        <v>0.356166178847582</v>
      </c>
      <c r="BL61" s="2398">
        <v>0.34232811197402485</v>
      </c>
      <c r="BM61" s="2398">
        <v>0.32030942703553167</v>
      </c>
      <c r="BN61" s="2398">
        <v>0.30104051361523138</v>
      </c>
      <c r="BO61" s="2398">
        <v>0.31168307967770814</v>
      </c>
      <c r="BP61" s="2398">
        <v>0.33560924369747897</v>
      </c>
      <c r="BQ61" s="2398">
        <v>0.3329875070245969</v>
      </c>
      <c r="BR61" s="2398">
        <v>0.32556527765745474</v>
      </c>
      <c r="BS61" s="2398">
        <v>0.3231757687012391</v>
      </c>
      <c r="BT61" s="2398">
        <v>0.3281306387585709</v>
      </c>
      <c r="BU61" s="2398">
        <v>0.33423888839405008</v>
      </c>
      <c r="BV61" s="2399">
        <v>0.34059029160582327</v>
      </c>
      <c r="BW61" s="2400">
        <f t="shared" ref="BW61:DB61" si="326">BW59/BW$30</f>
        <v>0.33366187082604981</v>
      </c>
      <c r="BX61" s="2401">
        <f t="shared" si="326"/>
        <v>0.33044525784181994</v>
      </c>
      <c r="BY61" s="2401">
        <f t="shared" si="326"/>
        <v>0.32140601028788013</v>
      </c>
      <c r="BZ61" s="2401">
        <f t="shared" si="326"/>
        <v>0.32357818312194686</v>
      </c>
      <c r="CA61" s="2400">
        <f t="shared" si="326"/>
        <v>0.32840302989556719</v>
      </c>
      <c r="CB61" s="2401">
        <f t="shared" si="326"/>
        <v>0.33213043478260867</v>
      </c>
      <c r="CC61" s="2401">
        <f t="shared" si="326"/>
        <v>0.33214148895415657</v>
      </c>
      <c r="CD61" s="2401">
        <f t="shared" si="326"/>
        <v>0.33498790887107038</v>
      </c>
      <c r="CE61" s="2400">
        <f t="shared" si="326"/>
        <v>0.33692470837751853</v>
      </c>
      <c r="CF61" s="2401">
        <f t="shared" si="326"/>
        <v>0.33850107776488142</v>
      </c>
      <c r="CG61" s="2401">
        <f t="shared" si="326"/>
        <v>0.3288623141564318</v>
      </c>
      <c r="CH61" s="2401">
        <f t="shared" si="326"/>
        <v>0.33771556096571315</v>
      </c>
      <c r="CI61" s="2400">
        <f t="shared" si="326"/>
        <v>0.31655076495132128</v>
      </c>
      <c r="CJ61" s="2401">
        <f t="shared" si="326"/>
        <v>0.32013641174395358</v>
      </c>
      <c r="CK61" s="2401">
        <f t="shared" si="326"/>
        <v>0.31464486774118916</v>
      </c>
      <c r="CL61" s="2401">
        <f t="shared" si="326"/>
        <v>0.3099639576793396</v>
      </c>
      <c r="CM61" s="2400">
        <f t="shared" si="326"/>
        <v>0.31850984981470648</v>
      </c>
      <c r="CN61" s="2401">
        <f t="shared" si="326"/>
        <v>0.33034887310898425</v>
      </c>
      <c r="CO61" s="2401">
        <f t="shared" si="326"/>
        <v>0.33208729799123998</v>
      </c>
      <c r="CP61" s="2401">
        <f t="shared" si="326"/>
        <v>0.33551809054745219</v>
      </c>
      <c r="CQ61" s="2400">
        <f t="shared" si="326"/>
        <v>0.31407928862541684</v>
      </c>
      <c r="CR61" s="2401">
        <f t="shared" si="326"/>
        <v>0.32702643811737364</v>
      </c>
      <c r="CS61" s="2401">
        <f t="shared" si="326"/>
        <v>0.32798337692114787</v>
      </c>
      <c r="CT61" s="2401">
        <f t="shared" si="326"/>
        <v>0.30992403994935996</v>
      </c>
      <c r="CU61" s="2400">
        <f t="shared" si="326"/>
        <v>0.32657035620706748</v>
      </c>
      <c r="CV61" s="2401">
        <f t="shared" si="326"/>
        <v>0.3418755477651183</v>
      </c>
      <c r="CW61" s="2401">
        <f t="shared" si="326"/>
        <v>0.34591650291308995</v>
      </c>
      <c r="CX61" s="2401">
        <f t="shared" si="326"/>
        <v>0.28200570182793894</v>
      </c>
      <c r="CY61" s="2400">
        <f t="shared" si="326"/>
        <v>0.3532831737346101</v>
      </c>
      <c r="CZ61" s="2401">
        <f t="shared" si="326"/>
        <v>0.35273291297164244</v>
      </c>
      <c r="DA61" s="2401">
        <f t="shared" si="326"/>
        <v>0.36504880154040237</v>
      </c>
      <c r="DB61" s="2401">
        <f t="shared" si="326"/>
        <v>0.33085477822319925</v>
      </c>
      <c r="DC61" s="2400">
        <f>DC59/DC$30</f>
        <v>0.36790485500162917</v>
      </c>
      <c r="DD61" s="2401">
        <f>DD59/DD$30</f>
        <v>0.35506298835911337</v>
      </c>
      <c r="DE61" s="2401">
        <f>DE59/DE$30</f>
        <v>0.35006015323244477</v>
      </c>
      <c r="DF61" s="2402">
        <f>DF59/DF$30</f>
        <v>0.29443841889611955</v>
      </c>
      <c r="DG61" s="2400">
        <f t="shared" ref="DG61:DJ61" si="327">DG59/DG$30</f>
        <v>0.36253142002609057</v>
      </c>
      <c r="DH61" s="2401">
        <f t="shared" si="327"/>
        <v>0.35527354231776997</v>
      </c>
      <c r="DI61" s="2401">
        <f t="shared" si="327"/>
        <v>0.34776476359845465</v>
      </c>
      <c r="DJ61" s="2402">
        <f t="shared" si="327"/>
        <v>0.30794338446930358</v>
      </c>
      <c r="DK61" s="2400">
        <f t="shared" ref="DK61:DL61" si="328">DK59/DK$30</f>
        <v>0.36203627630664226</v>
      </c>
      <c r="DL61" s="2401">
        <f t="shared" si="328"/>
        <v>0.3628651906196777</v>
      </c>
      <c r="DM61" s="2401">
        <f t="shared" ref="DM61:DN61" si="329">DM59/DM$30</f>
        <v>0.3645796295697708</v>
      </c>
      <c r="DN61" s="2402">
        <f t="shared" si="329"/>
        <v>0.32223252937538654</v>
      </c>
      <c r="DO61" s="2400">
        <f t="shared" ref="DO61:DP61" si="330">DO59/DO$30</f>
        <v>0.38123029449252027</v>
      </c>
      <c r="DP61" s="2401">
        <f t="shared" si="330"/>
        <v>0.37265942123870632</v>
      </c>
      <c r="DQ61" s="2401">
        <f t="shared" ref="DQ61:DR61" si="331">DQ59/DQ$30</f>
        <v>0.38149888072642429</v>
      </c>
      <c r="DR61" s="2402">
        <f t="shared" si="331"/>
        <v>0.34772493005448385</v>
      </c>
      <c r="DS61" s="2400">
        <f t="shared" ref="DS61" si="332">DS59/DS$30</f>
        <v>0.37860380208989047</v>
      </c>
      <c r="DT61" s="2401">
        <f t="shared" ref="DT61:DV61" ca="1" si="333">DT59/DT$30</f>
        <v>0.38392325003471861</v>
      </c>
      <c r="DU61" s="2401">
        <f t="shared" ca="1" si="333"/>
        <v>0.38634144973285311</v>
      </c>
      <c r="DV61" s="2402">
        <f t="shared" ca="1" si="333"/>
        <v>0.33540599311753322</v>
      </c>
      <c r="DW61" s="1923"/>
      <c r="DX61"/>
      <c r="DY61"/>
      <c r="DZ61"/>
      <c r="EA61"/>
      <c r="EB61"/>
      <c r="EC61"/>
    </row>
    <row r="62" spans="1:133" s="821" customFormat="1" ht="15" customHeight="1" collapsed="1">
      <c r="A62" s="2396"/>
      <c r="B62" s="1921"/>
      <c r="C62" s="1921"/>
      <c r="D62" s="1921"/>
      <c r="E62" s="1921"/>
      <c r="F62" s="1921"/>
      <c r="G62" s="1921"/>
      <c r="H62" s="1958"/>
      <c r="I62" s="1958"/>
      <c r="J62" s="1958"/>
      <c r="K62" s="1958"/>
      <c r="L62" s="1958"/>
      <c r="M62" s="1958"/>
      <c r="N62" s="1921"/>
      <c r="O62" s="1921"/>
      <c r="P62" s="1921"/>
      <c r="Q62" s="1921"/>
      <c r="R62" s="1921"/>
      <c r="S62" s="1921"/>
      <c r="T62" s="1921"/>
      <c r="U62" s="1921"/>
      <c r="V62" s="1921"/>
      <c r="W62" s="1921"/>
      <c r="X62" s="1921"/>
      <c r="Y62" s="1921"/>
      <c r="Z62" s="1921"/>
      <c r="AA62" s="1921"/>
      <c r="AB62" s="1921"/>
      <c r="AC62" s="1921"/>
      <c r="AD62" s="1921"/>
      <c r="AE62" s="1921"/>
      <c r="AF62" s="1921"/>
      <c r="AG62" s="1921"/>
      <c r="AH62" s="1921"/>
      <c r="AI62" s="2386"/>
      <c r="AJ62" s="1921"/>
      <c r="AK62" s="1921"/>
      <c r="AL62" s="1921"/>
      <c r="AM62" s="1921"/>
      <c r="AN62" s="1921"/>
      <c r="AO62" s="1921"/>
      <c r="AP62" s="1921"/>
      <c r="AQ62" s="1921"/>
      <c r="AR62" s="1921"/>
      <c r="AS62" s="1921"/>
      <c r="AT62" s="1921"/>
      <c r="AU62" s="1921"/>
      <c r="AV62" s="1921"/>
      <c r="AW62" s="1921"/>
      <c r="AX62" s="1921"/>
      <c r="AY62" s="1921"/>
      <c r="AZ62" s="1921"/>
      <c r="BA62" s="1921"/>
      <c r="BB62" s="1921"/>
      <c r="BC62" s="1921"/>
      <c r="BD62" s="1921"/>
      <c r="BE62" s="1921"/>
      <c r="BF62" s="1921"/>
      <c r="BG62" s="2397"/>
      <c r="BH62" s="2398"/>
      <c r="BI62" s="2398"/>
      <c r="BJ62" s="2398"/>
      <c r="BK62" s="2398"/>
      <c r="BL62" s="2398"/>
      <c r="BM62" s="2398"/>
      <c r="BN62" s="2398"/>
      <c r="BO62" s="2398"/>
      <c r="BP62" s="2398"/>
      <c r="BQ62" s="2398"/>
      <c r="BR62" s="2398"/>
      <c r="BS62" s="2398"/>
      <c r="BT62" s="2398"/>
      <c r="BU62" s="2398"/>
      <c r="BV62" s="2399"/>
      <c r="BW62" s="2400"/>
      <c r="BX62" s="2401"/>
      <c r="BY62" s="2401"/>
      <c r="BZ62" s="2401"/>
      <c r="CA62" s="2400"/>
      <c r="CB62" s="2401"/>
      <c r="CC62" s="2401"/>
      <c r="CD62" s="2401"/>
      <c r="CE62" s="2400"/>
      <c r="CF62" s="2401"/>
      <c r="CG62" s="2401"/>
      <c r="CH62" s="2401"/>
      <c r="CI62" s="2400"/>
      <c r="CJ62" s="2401"/>
      <c r="CK62" s="2401"/>
      <c r="CL62" s="2401"/>
      <c r="CM62" s="2400"/>
      <c r="CN62" s="2401"/>
      <c r="CO62" s="2401"/>
      <c r="CP62" s="2401"/>
      <c r="CQ62" s="2400"/>
      <c r="CR62" s="2401"/>
      <c r="CS62" s="2401"/>
      <c r="CT62" s="2401"/>
      <c r="CU62" s="2400"/>
      <c r="CV62" s="2401"/>
      <c r="CW62" s="2401"/>
      <c r="CX62" s="2401"/>
      <c r="CY62" s="2400"/>
      <c r="CZ62" s="2401"/>
      <c r="DA62" s="2401"/>
      <c r="DB62" s="2401"/>
      <c r="DC62" s="2400"/>
      <c r="DD62" s="2401"/>
      <c r="DE62" s="2401"/>
      <c r="DF62" s="2402"/>
      <c r="DG62" s="2400"/>
      <c r="DH62" s="2401"/>
      <c r="DI62" s="2401"/>
      <c r="DJ62" s="2402"/>
      <c r="DK62" s="2400"/>
      <c r="DL62" s="2401"/>
      <c r="DM62" s="2401"/>
      <c r="DN62" s="2402"/>
      <c r="DO62" s="2400"/>
      <c r="DP62" s="2401"/>
      <c r="DQ62" s="2401"/>
      <c r="DR62" s="2402"/>
      <c r="DS62" s="2400"/>
      <c r="DT62" s="2401"/>
      <c r="DU62" s="2401"/>
      <c r="DV62" s="2402"/>
      <c r="DW62" s="1923"/>
      <c r="DX62"/>
      <c r="DY62"/>
      <c r="DZ62"/>
      <c r="EA62"/>
      <c r="EB62"/>
      <c r="EC62"/>
    </row>
    <row r="63" spans="1:133" s="820" customFormat="1" ht="15" customHeight="1">
      <c r="A63" s="1923" t="s">
        <v>1153</v>
      </c>
      <c r="B63" s="1923"/>
      <c r="C63" s="1923"/>
      <c r="D63" s="1923"/>
      <c r="E63" s="1923"/>
      <c r="F63" s="1923"/>
      <c r="G63" s="1923"/>
      <c r="H63" s="1923"/>
      <c r="I63" s="1923"/>
      <c r="J63" s="1923"/>
      <c r="K63" s="1923"/>
      <c r="L63" s="1923"/>
      <c r="M63" s="1923"/>
      <c r="N63" s="1923">
        <f>SUM(CC63:CF63)</f>
        <v>34639.192389006341</v>
      </c>
      <c r="O63" s="1923">
        <f>SUM(CD63:CG63)</f>
        <v>34732.552730157724</v>
      </c>
      <c r="P63" s="1923">
        <f>SUM(CE63:CH63)</f>
        <v>39198.028139993796</v>
      </c>
      <c r="Q63" s="1923">
        <f>Q35-Q39-Q42</f>
        <v>32291</v>
      </c>
      <c r="R63" s="1923">
        <f t="shared" ref="R63:AA63" si="334">R35-R39-R42</f>
        <v>34376</v>
      </c>
      <c r="S63" s="1923">
        <f t="shared" si="334"/>
        <v>35450</v>
      </c>
      <c r="T63" s="1923">
        <f t="shared" si="334"/>
        <v>37417</v>
      </c>
      <c r="U63" s="1923">
        <f t="shared" si="334"/>
        <v>42021</v>
      </c>
      <c r="V63" s="1923">
        <f t="shared" si="334"/>
        <v>43254</v>
      </c>
      <c r="W63" s="1923">
        <f t="shared" si="334"/>
        <v>44368</v>
      </c>
      <c r="X63" s="1923">
        <f>X35-X39-X42</f>
        <v>44236</v>
      </c>
      <c r="Y63" s="1923">
        <f>Y35-Y39-Y42</f>
        <v>46657</v>
      </c>
      <c r="Z63" s="1923">
        <f ca="1">Z35-Z39-Z42</f>
        <v>47786.253296851944</v>
      </c>
      <c r="AA63" s="1923">
        <f t="shared" ca="1" si="334"/>
        <v>48836.664019516073</v>
      </c>
      <c r="AB63" s="1923">
        <f t="shared" ref="AB63:AG63" ca="1" si="335">AB35-AB39-AB42</f>
        <v>49687.521335243342</v>
      </c>
      <c r="AC63" s="1923">
        <f t="shared" ca="1" si="335"/>
        <v>50627.868065011207</v>
      </c>
      <c r="AD63" s="1923">
        <f t="shared" ca="1" si="335"/>
        <v>51647.037167036789</v>
      </c>
      <c r="AE63" s="1923">
        <f t="shared" ca="1" si="335"/>
        <v>52746.05668869245</v>
      </c>
      <c r="AF63" s="1923">
        <f t="shared" ca="1" si="335"/>
        <v>53931.416547329536</v>
      </c>
      <c r="AG63" s="1923">
        <f t="shared" ca="1" si="335"/>
        <v>55212.250669671455</v>
      </c>
      <c r="AH63" s="1923"/>
      <c r="AI63" s="2386">
        <f ca="1">(AA63/V63)^(1/5)-1</f>
        <v>2.4575443783043216E-2</v>
      </c>
      <c r="AJ63" s="1923"/>
      <c r="AK63" s="1923"/>
      <c r="AL63" s="1923"/>
      <c r="AM63" s="1923"/>
      <c r="AN63" s="1923"/>
      <c r="AO63" s="1923"/>
      <c r="AP63" s="1923"/>
      <c r="AQ63" s="1923"/>
      <c r="AR63" s="1923"/>
      <c r="AS63" s="1923"/>
      <c r="AT63" s="1923"/>
      <c r="AU63" s="1923"/>
      <c r="AV63" s="1923"/>
      <c r="AW63" s="1923"/>
      <c r="AX63" s="1923"/>
      <c r="AY63" s="1923"/>
      <c r="AZ63" s="1923"/>
      <c r="BA63" s="1923"/>
      <c r="BB63" s="1923"/>
      <c r="BC63" s="1923"/>
      <c r="BD63" s="1923"/>
      <c r="BE63" s="1923"/>
      <c r="BF63" s="1923"/>
      <c r="BG63" s="2388"/>
      <c r="BH63" s="2389"/>
      <c r="BI63" s="2389"/>
      <c r="BJ63" s="2389"/>
      <c r="BK63" s="2389"/>
      <c r="BL63" s="2389"/>
      <c r="BM63" s="2389"/>
      <c r="BN63" s="2389"/>
      <c r="BO63" s="2389"/>
      <c r="BP63" s="2389"/>
      <c r="BQ63" s="2389"/>
      <c r="BR63" s="2389"/>
      <c r="BS63" s="2389">
        <v>7605</v>
      </c>
      <c r="BT63" s="2389">
        <v>7896</v>
      </c>
      <c r="BU63" s="2389">
        <v>8174</v>
      </c>
      <c r="BV63" s="2390">
        <v>8278</v>
      </c>
      <c r="BW63" s="2391">
        <f>BW59+602</f>
        <v>7664.9316888045505</v>
      </c>
      <c r="BX63" s="2392">
        <f>BX59+651</f>
        <v>7783</v>
      </c>
      <c r="BY63" s="2392">
        <f>BY59+669</f>
        <v>7792</v>
      </c>
      <c r="BZ63" s="2392">
        <f>BZ59+691</f>
        <v>7911</v>
      </c>
      <c r="CA63" s="2391">
        <f>CA59+710</f>
        <v>8037</v>
      </c>
      <c r="CB63" s="2392">
        <f>CB59+767</f>
        <v>8406</v>
      </c>
      <c r="CC63" s="2392">
        <f>CC59+803</f>
        <v>8606</v>
      </c>
      <c r="CD63" s="2392">
        <f>CD59+750</f>
        <v>8646</v>
      </c>
      <c r="CE63" s="2391">
        <v>8754</v>
      </c>
      <c r="CF63" s="2392">
        <f>+CJ63/(1-5.4%)</f>
        <v>8633.1923890063426</v>
      </c>
      <c r="CG63" s="2392">
        <f>+CK63/(1-6.2%)</f>
        <v>8699.3603411513868</v>
      </c>
      <c r="CH63" s="2392">
        <f>+CL63/(1-39%)</f>
        <v>13111.475409836066</v>
      </c>
      <c r="CI63" s="2391">
        <f t="shared" ref="CI63:DG63" si="336">CI35-CI39-CI42</f>
        <v>7966</v>
      </c>
      <c r="CJ63" s="2392">
        <f t="shared" si="336"/>
        <v>8167</v>
      </c>
      <c r="CK63" s="2392">
        <f t="shared" si="336"/>
        <v>8160</v>
      </c>
      <c r="CL63" s="2392">
        <f t="shared" si="336"/>
        <v>7998</v>
      </c>
      <c r="CM63" s="2391">
        <f t="shared" si="336"/>
        <v>8165</v>
      </c>
      <c r="CN63" s="2392">
        <f t="shared" si="336"/>
        <v>8560</v>
      </c>
      <c r="CO63" s="2392">
        <f t="shared" si="336"/>
        <v>8795</v>
      </c>
      <c r="CP63" s="2392">
        <f t="shared" si="336"/>
        <v>8856</v>
      </c>
      <c r="CQ63" s="2391">
        <f t="shared" si="336"/>
        <v>8477</v>
      </c>
      <c r="CR63" s="2392">
        <f t="shared" si="336"/>
        <v>9005</v>
      </c>
      <c r="CS63" s="2392">
        <f t="shared" si="336"/>
        <v>9155</v>
      </c>
      <c r="CT63" s="2392">
        <f t="shared" si="336"/>
        <v>8813</v>
      </c>
      <c r="CU63" s="2391">
        <f t="shared" si="336"/>
        <v>9223</v>
      </c>
      <c r="CV63" s="2392">
        <f t="shared" si="336"/>
        <v>9752</v>
      </c>
      <c r="CW63" s="2392">
        <f t="shared" si="336"/>
        <v>10034</v>
      </c>
      <c r="CX63" s="2392">
        <f t="shared" si="336"/>
        <v>8408</v>
      </c>
      <c r="CY63" s="2391">
        <f t="shared" si="336"/>
        <v>10330</v>
      </c>
      <c r="CZ63" s="2392">
        <f t="shared" si="336"/>
        <v>10461</v>
      </c>
      <c r="DA63" s="2392">
        <f t="shared" si="336"/>
        <v>10996</v>
      </c>
      <c r="DB63" s="2392">
        <f t="shared" si="336"/>
        <v>10234</v>
      </c>
      <c r="DC63" s="2391">
        <f t="shared" si="336"/>
        <v>11291</v>
      </c>
      <c r="DD63" s="2392">
        <f t="shared" si="336"/>
        <v>11133</v>
      </c>
      <c r="DE63" s="2392">
        <f t="shared" si="336"/>
        <v>11057</v>
      </c>
      <c r="DF63" s="2393">
        <f t="shared" si="336"/>
        <v>9773</v>
      </c>
      <c r="DG63" s="2391">
        <f t="shared" si="336"/>
        <v>11394</v>
      </c>
      <c r="DH63" s="2392">
        <f t="shared" ref="DH63:DJ63" si="337">DH35-DH39-DH42</f>
        <v>11254</v>
      </c>
      <c r="DI63" s="2392">
        <f t="shared" si="337"/>
        <v>11342</v>
      </c>
      <c r="DJ63" s="2393">
        <f t="shared" si="337"/>
        <v>10378</v>
      </c>
      <c r="DK63" s="2391">
        <f t="shared" ref="DK63:DL63" si="338">DK35-DK39-DK42</f>
        <v>11457</v>
      </c>
      <c r="DL63" s="2392">
        <f t="shared" si="338"/>
        <v>11079</v>
      </c>
      <c r="DM63" s="2392">
        <f t="shared" ref="DM63:DN63" si="339">DM35-DM39-DM42</f>
        <v>11279</v>
      </c>
      <c r="DN63" s="2393">
        <f t="shared" si="339"/>
        <v>10421</v>
      </c>
      <c r="DO63" s="2391">
        <f t="shared" ref="DO63:DP63" si="340">DO35-DO39-DO42</f>
        <v>11366</v>
      </c>
      <c r="DP63" s="2392">
        <f t="shared" si="340"/>
        <v>11384</v>
      </c>
      <c r="DQ63" s="2392">
        <f t="shared" ref="DQ63:DR63" si="341">DQ35-DQ39-DQ42</f>
        <v>12100</v>
      </c>
      <c r="DR63" s="2393">
        <f t="shared" si="341"/>
        <v>11807</v>
      </c>
      <c r="DS63" s="2391">
        <f t="shared" ref="DS63" si="342">DS35-DS39-DS42</f>
        <v>12029</v>
      </c>
      <c r="DT63" s="2392">
        <f t="shared" ref="DT63:DV63" ca="1" si="343">DT35-DT39-DT42</f>
        <v>12114.334415885085</v>
      </c>
      <c r="DU63" s="2392">
        <f t="shared" ca="1" si="343"/>
        <v>12392.425022604479</v>
      </c>
      <c r="DV63" s="2393">
        <f t="shared" ca="1" si="343"/>
        <v>11250.493858362386</v>
      </c>
      <c r="DW63" s="1923"/>
      <c r="DX63"/>
      <c r="DY63"/>
      <c r="DZ63"/>
      <c r="EA63"/>
      <c r="EB63"/>
      <c r="EC63"/>
    </row>
    <row r="64" spans="1:133" s="821" customFormat="1" ht="15" customHeight="1">
      <c r="A64" s="2408" t="s">
        <v>970</v>
      </c>
      <c r="B64" s="1921"/>
      <c r="C64" s="1921"/>
      <c r="D64" s="1921"/>
      <c r="E64" s="1921"/>
      <c r="F64" s="1921"/>
      <c r="G64" s="1921"/>
      <c r="H64" s="1921"/>
      <c r="I64" s="1921"/>
      <c r="J64" s="1921"/>
      <c r="K64" s="1921"/>
      <c r="L64" s="1921"/>
      <c r="M64" s="1921"/>
      <c r="N64" s="1921">
        <f t="shared" ref="N64:V64" si="344">+N63/N35</f>
        <v>0.34573526306612901</v>
      </c>
      <c r="O64" s="1921">
        <f t="shared" si="344"/>
        <v>0.36251151634153128</v>
      </c>
      <c r="P64" s="1921">
        <f t="shared" si="344"/>
        <v>0.38737272499609832</v>
      </c>
      <c r="Q64" s="1921">
        <f t="shared" si="344"/>
        <v>0.31530176833019247</v>
      </c>
      <c r="R64" s="1921">
        <f t="shared" si="344"/>
        <v>0.32919004845536554</v>
      </c>
      <c r="S64" s="1921">
        <f t="shared" si="344"/>
        <v>0.31972942502818491</v>
      </c>
      <c r="T64" s="1921">
        <f t="shared" si="344"/>
        <v>0.3237072731834344</v>
      </c>
      <c r="U64" s="1921">
        <f t="shared" si="344"/>
        <v>0.35031804653566873</v>
      </c>
      <c r="V64" s="1921">
        <f t="shared" si="344"/>
        <v>0.34105800998241642</v>
      </c>
      <c r="W64" s="1921">
        <f t="shared" ref="W64:AB64" si="345">+W63/W35</f>
        <v>0.34281917154094005</v>
      </c>
      <c r="X64" s="1921">
        <f t="shared" si="345"/>
        <v>0.3526045195488422</v>
      </c>
      <c r="Y64" s="1921">
        <f t="shared" si="345"/>
        <v>0.37019375724010983</v>
      </c>
      <c r="Z64" s="1921">
        <f t="shared" ca="1" si="345"/>
        <v>0.3705931610664206</v>
      </c>
      <c r="AA64" s="1921">
        <f t="shared" ca="1" si="345"/>
        <v>0.37847314007388427</v>
      </c>
      <c r="AB64" s="1921">
        <f t="shared" ca="1" si="345"/>
        <v>0.38323546921055907</v>
      </c>
      <c r="AC64" s="1921">
        <f t="shared" ref="AC64:AG64" ca="1" si="346">+AC63/AC35</f>
        <v>0.38842747121287113</v>
      </c>
      <c r="AD64" s="1921">
        <f t="shared" ca="1" si="346"/>
        <v>0.39397479924428047</v>
      </c>
      <c r="AE64" s="1921">
        <f t="shared" ca="1" si="346"/>
        <v>0.39984860551884438</v>
      </c>
      <c r="AF64" s="1921">
        <f t="shared" ca="1" si="346"/>
        <v>0.40604016335281395</v>
      </c>
      <c r="AG64" s="1921">
        <f t="shared" ca="1" si="346"/>
        <v>0.41254912139402611</v>
      </c>
      <c r="AH64" s="1921"/>
      <c r="AI64" s="2386"/>
      <c r="AJ64" s="1921"/>
      <c r="AK64" s="1921"/>
      <c r="AL64" s="1921"/>
      <c r="AM64" s="1921"/>
      <c r="AN64" s="1921"/>
      <c r="AO64" s="1921"/>
      <c r="AP64" s="1921"/>
      <c r="AQ64" s="1921"/>
      <c r="AR64" s="1921"/>
      <c r="AS64" s="1921"/>
      <c r="AT64" s="1921"/>
      <c r="AU64" s="1921"/>
      <c r="AV64" s="1921"/>
      <c r="AW64" s="1921"/>
      <c r="AX64" s="1921"/>
      <c r="AY64" s="1921"/>
      <c r="AZ64" s="1921"/>
      <c r="BA64" s="1921"/>
      <c r="BB64" s="1921"/>
      <c r="BC64" s="1921"/>
      <c r="BD64" s="1921"/>
      <c r="BE64" s="1921"/>
      <c r="BF64" s="1921"/>
      <c r="BG64" s="2400"/>
      <c r="BH64" s="2401"/>
      <c r="BI64" s="2401"/>
      <c r="BJ64" s="2401"/>
      <c r="BK64" s="2398"/>
      <c r="BL64" s="2398"/>
      <c r="BM64" s="2398"/>
      <c r="BN64" s="2398"/>
      <c r="BO64" s="2398"/>
      <c r="BP64" s="2398"/>
      <c r="BQ64" s="2398"/>
      <c r="BR64" s="2398"/>
      <c r="BS64" s="2398"/>
      <c r="BT64" s="2398"/>
      <c r="BU64" s="2398"/>
      <c r="BV64" s="2399"/>
      <c r="BW64" s="2400"/>
      <c r="BX64" s="2401"/>
      <c r="BY64" s="2401"/>
      <c r="BZ64" s="2401"/>
      <c r="CA64" s="2400"/>
      <c r="CB64" s="2401"/>
      <c r="CC64" s="2401"/>
      <c r="CD64" s="2401"/>
      <c r="CE64" s="2400">
        <f t="shared" ref="CE64:DC64" si="347">+CE63/CE35</f>
        <v>0.35551710709318501</v>
      </c>
      <c r="CF64" s="2401">
        <f t="shared" si="347"/>
        <v>0.34484038432038971</v>
      </c>
      <c r="CG64" s="2401">
        <f t="shared" si="347"/>
        <v>0.33745494344097693</v>
      </c>
      <c r="CH64" s="2401">
        <f t="shared" si="347"/>
        <v>0.50915391081098083</v>
      </c>
      <c r="CI64" s="2400">
        <f t="shared" si="347"/>
        <v>0.31655076495132128</v>
      </c>
      <c r="CJ64" s="2401">
        <f t="shared" si="347"/>
        <v>0.32013641174395358</v>
      </c>
      <c r="CK64" s="2401">
        <f t="shared" si="347"/>
        <v>0.31464486774118916</v>
      </c>
      <c r="CL64" s="2401">
        <f t="shared" si="347"/>
        <v>0.3099639576793396</v>
      </c>
      <c r="CM64" s="2400">
        <f t="shared" si="347"/>
        <v>0.31850984981470648</v>
      </c>
      <c r="CN64" s="2401">
        <f t="shared" si="347"/>
        <v>0.33034887310898425</v>
      </c>
      <c r="CO64" s="2401">
        <f t="shared" si="347"/>
        <v>0.33208729799123998</v>
      </c>
      <c r="CP64" s="2401">
        <f t="shared" si="347"/>
        <v>0.33551809054745219</v>
      </c>
      <c r="CQ64" s="2400">
        <f t="shared" si="347"/>
        <v>0.31407928862541684</v>
      </c>
      <c r="CR64" s="2401">
        <f t="shared" si="347"/>
        <v>0.32702643811737364</v>
      </c>
      <c r="CS64" s="2401">
        <f t="shared" si="347"/>
        <v>0.32798337692114787</v>
      </c>
      <c r="CT64" s="2401">
        <f t="shared" si="347"/>
        <v>0.30992403994935996</v>
      </c>
      <c r="CU64" s="2400">
        <f t="shared" si="347"/>
        <v>0.32657035620706748</v>
      </c>
      <c r="CV64" s="2401">
        <f t="shared" si="347"/>
        <v>0.3418755477651183</v>
      </c>
      <c r="CW64" s="2401">
        <f t="shared" si="347"/>
        <v>0.34591650291308995</v>
      </c>
      <c r="CX64" s="2401">
        <f t="shared" si="347"/>
        <v>0.28200570182793894</v>
      </c>
      <c r="CY64" s="2400">
        <f t="shared" si="347"/>
        <v>0.3532831737346101</v>
      </c>
      <c r="CZ64" s="2401">
        <f t="shared" si="347"/>
        <v>0.35273291297164244</v>
      </c>
      <c r="DA64" s="2401">
        <f t="shared" si="347"/>
        <v>0.36504880154040237</v>
      </c>
      <c r="DB64" s="2401">
        <f t="shared" si="347"/>
        <v>0.33085477822319925</v>
      </c>
      <c r="DC64" s="2400">
        <f t="shared" si="347"/>
        <v>0.36790485500162917</v>
      </c>
      <c r="DD64" s="2401">
        <f>+DD63/DD35</f>
        <v>0.35506298835911337</v>
      </c>
      <c r="DE64" s="2401">
        <f>+DE63/DE35</f>
        <v>0.35006015323244477</v>
      </c>
      <c r="DF64" s="2402">
        <f>+DF63/DF35</f>
        <v>0.29443841889611955</v>
      </c>
      <c r="DG64" s="2400">
        <f t="shared" ref="DG64:DJ64" si="348">+DG63/DG35</f>
        <v>0.36253142002609057</v>
      </c>
      <c r="DH64" s="2401">
        <f t="shared" si="348"/>
        <v>0.35527354231776997</v>
      </c>
      <c r="DI64" s="2401">
        <f t="shared" si="348"/>
        <v>0.34776476359845465</v>
      </c>
      <c r="DJ64" s="2402">
        <f t="shared" si="348"/>
        <v>0.30794338446930358</v>
      </c>
      <c r="DK64" s="2400">
        <f t="shared" ref="DK64:DL64" si="349">+DK63/DK35</f>
        <v>0.36203627630664226</v>
      </c>
      <c r="DL64" s="2401">
        <f t="shared" si="349"/>
        <v>0.3628651906196777</v>
      </c>
      <c r="DM64" s="2401">
        <f t="shared" ref="DM64:DN64" si="350">+DM63/DM35</f>
        <v>0.3645796295697708</v>
      </c>
      <c r="DN64" s="2402">
        <f t="shared" si="350"/>
        <v>0.32223252937538654</v>
      </c>
      <c r="DO64" s="2400">
        <f t="shared" ref="DO64:DP64" si="351">+DO63/DO35</f>
        <v>0.38123029449252027</v>
      </c>
      <c r="DP64" s="2401">
        <f t="shared" si="351"/>
        <v>0.37265942123870632</v>
      </c>
      <c r="DQ64" s="2401">
        <f t="shared" ref="DQ64:DR64" si="352">+DQ63/DQ35</f>
        <v>0.38149888072642429</v>
      </c>
      <c r="DR64" s="2402">
        <f t="shared" si="352"/>
        <v>0.34772493005448385</v>
      </c>
      <c r="DS64" s="2400">
        <f t="shared" ref="DS64" si="353">+DS63/DS35</f>
        <v>0.37860380208989047</v>
      </c>
      <c r="DT64" s="2401">
        <f t="shared" ref="DT64:DV64" ca="1" si="354">+DT63/DT35</f>
        <v>0.38392325003471861</v>
      </c>
      <c r="DU64" s="2401">
        <f t="shared" ca="1" si="354"/>
        <v>0.386341449732853</v>
      </c>
      <c r="DV64" s="2402">
        <f t="shared" ca="1" si="354"/>
        <v>0.33540599311753316</v>
      </c>
      <c r="DW64" s="1923"/>
      <c r="DX64"/>
      <c r="DY64"/>
      <c r="DZ64"/>
      <c r="EA64"/>
      <c r="EB64"/>
      <c r="EC64"/>
    </row>
    <row r="65" spans="1:133" s="820" customFormat="1" hidden="1" outlineLevel="1">
      <c r="A65" s="1923" t="s">
        <v>972</v>
      </c>
      <c r="B65" s="1923"/>
      <c r="C65" s="1923"/>
      <c r="D65" s="1923"/>
      <c r="E65" s="1923"/>
      <c r="F65" s="1923"/>
      <c r="G65" s="1923"/>
      <c r="H65" s="1958"/>
      <c r="I65" s="1958"/>
      <c r="J65" s="1958">
        <v>382</v>
      </c>
      <c r="K65" s="1958">
        <v>136</v>
      </c>
      <c r="L65" s="1958">
        <v>202</v>
      </c>
      <c r="M65" s="1958">
        <v>78</v>
      </c>
      <c r="N65" s="1923">
        <f>SUM(BW65:BZ65)</f>
        <v>175</v>
      </c>
      <c r="O65" s="1923">
        <f>SUM(CA65:CD65)</f>
        <v>182</v>
      </c>
      <c r="P65" s="1923">
        <f>SUM(CE65:CH65)</f>
        <v>44</v>
      </c>
      <c r="Q65" s="1923">
        <f>SUM(CI65:CL65)</f>
        <v>0</v>
      </c>
      <c r="R65" s="1923"/>
      <c r="S65" s="1923"/>
      <c r="T65" s="1923"/>
      <c r="U65" s="1923"/>
      <c r="V65" s="1923"/>
      <c r="W65" s="1923"/>
      <c r="X65" s="1923"/>
      <c r="Y65" s="1923"/>
      <c r="Z65" s="1923"/>
      <c r="AA65" s="1923"/>
      <c r="AB65" s="1923"/>
      <c r="AC65" s="1923"/>
      <c r="AD65" s="1923"/>
      <c r="AE65" s="1923"/>
      <c r="AF65" s="1923"/>
      <c r="AG65" s="1923"/>
      <c r="AH65" s="1923"/>
      <c r="AI65" s="2386"/>
      <c r="AJ65" s="1923"/>
      <c r="AK65" s="1923"/>
      <c r="AL65" s="1923"/>
      <c r="AM65" s="1923"/>
      <c r="AN65" s="1923"/>
      <c r="AO65" s="1923"/>
      <c r="AP65" s="1923"/>
      <c r="AQ65" s="1923"/>
      <c r="AR65" s="1923"/>
      <c r="AS65" s="1923"/>
      <c r="AT65" s="1923"/>
      <c r="AU65" s="1923"/>
      <c r="AV65" s="1923"/>
      <c r="AW65" s="1923"/>
      <c r="AX65" s="1923"/>
      <c r="AY65" s="1923"/>
      <c r="AZ65" s="1923"/>
      <c r="BA65" s="1923"/>
      <c r="BB65" s="1923"/>
      <c r="BC65" s="1923"/>
      <c r="BD65" s="1923"/>
      <c r="BE65" s="1923"/>
      <c r="BF65" s="1923"/>
      <c r="BG65" s="2391">
        <v>162</v>
      </c>
      <c r="BH65" s="2392">
        <v>165</v>
      </c>
      <c r="BI65" s="2392">
        <v>55</v>
      </c>
      <c r="BJ65" s="2392"/>
      <c r="BK65" s="2389">
        <v>46</v>
      </c>
      <c r="BL65" s="2389">
        <v>26</v>
      </c>
      <c r="BM65" s="2389">
        <v>31</v>
      </c>
      <c r="BN65" s="2389">
        <v>33</v>
      </c>
      <c r="BO65" s="2389">
        <v>31</v>
      </c>
      <c r="BP65" s="2389">
        <v>64</v>
      </c>
      <c r="BQ65" s="2389">
        <v>54</v>
      </c>
      <c r="BR65" s="2389">
        <v>53</v>
      </c>
      <c r="BS65" s="2389">
        <v>58</v>
      </c>
      <c r="BT65" s="2389">
        <v>20</v>
      </c>
      <c r="BU65" s="2389">
        <v>0</v>
      </c>
      <c r="BV65" s="2390">
        <v>0</v>
      </c>
      <c r="BW65" s="2391">
        <f>NormInputs!BP42</f>
        <v>47</v>
      </c>
      <c r="BX65" s="2392">
        <f>NormInputs!BQ42</f>
        <v>45</v>
      </c>
      <c r="BY65" s="2392">
        <f>NormInputs!BR42</f>
        <v>58</v>
      </c>
      <c r="BZ65" s="2392">
        <f>NormInputs!BS42</f>
        <v>25</v>
      </c>
      <c r="CA65" s="2391">
        <f>NormInputs!BT42</f>
        <v>52</v>
      </c>
      <c r="CB65" s="2392">
        <f>NormInputs!BU42</f>
        <v>46</v>
      </c>
      <c r="CC65" s="2392">
        <f>NormInputs!BV42</f>
        <v>51</v>
      </c>
      <c r="CD65" s="2392">
        <f>NormInputs!BW42</f>
        <v>33</v>
      </c>
      <c r="CE65" s="2391">
        <f>NormInputs!BX42</f>
        <v>44</v>
      </c>
      <c r="CF65" s="2392">
        <v>0</v>
      </c>
      <c r="CG65" s="2392">
        <v>0</v>
      </c>
      <c r="CH65" s="2392">
        <v>0</v>
      </c>
      <c r="CI65" s="2391">
        <v>0</v>
      </c>
      <c r="CJ65" s="2392">
        <v>0</v>
      </c>
      <c r="CK65" s="2392">
        <v>0</v>
      </c>
      <c r="CL65" s="2392">
        <v>0</v>
      </c>
      <c r="CM65" s="2391">
        <v>0</v>
      </c>
      <c r="CN65" s="2392">
        <v>0</v>
      </c>
      <c r="CO65" s="2392">
        <v>0</v>
      </c>
      <c r="CP65" s="2392">
        <v>0</v>
      </c>
      <c r="CQ65" s="2391">
        <v>0</v>
      </c>
      <c r="CR65" s="2392">
        <v>0</v>
      </c>
      <c r="CS65" s="2392">
        <v>0</v>
      </c>
      <c r="CT65" s="2392">
        <v>0</v>
      </c>
      <c r="CU65" s="2391">
        <v>0</v>
      </c>
      <c r="CV65" s="2392">
        <v>0</v>
      </c>
      <c r="CW65" s="2392">
        <v>0</v>
      </c>
      <c r="CX65" s="2392">
        <v>0</v>
      </c>
      <c r="CY65" s="2391">
        <v>0</v>
      </c>
      <c r="CZ65" s="2392">
        <v>0</v>
      </c>
      <c r="DA65" s="2392">
        <v>0</v>
      </c>
      <c r="DB65" s="2392">
        <v>0</v>
      </c>
      <c r="DC65" s="2391"/>
      <c r="DD65" s="2392"/>
      <c r="DE65" s="2392"/>
      <c r="DF65" s="2393"/>
      <c r="DG65" s="2391"/>
      <c r="DH65" s="2392"/>
      <c r="DI65" s="2392"/>
      <c r="DJ65" s="2393"/>
      <c r="DK65" s="2391"/>
      <c r="DL65" s="2392"/>
      <c r="DM65" s="2392"/>
      <c r="DN65" s="2393"/>
      <c r="DO65" s="2391"/>
      <c r="DP65" s="2392"/>
      <c r="DQ65" s="2392"/>
      <c r="DR65" s="2393"/>
      <c r="DS65" s="2391"/>
      <c r="DT65" s="2389"/>
      <c r="DU65" s="2389"/>
      <c r="DV65" s="2390"/>
      <c r="DW65" s="1923"/>
      <c r="DX65"/>
      <c r="DY65"/>
      <c r="DZ65"/>
      <c r="EA65"/>
      <c r="EB65"/>
      <c r="EC65"/>
    </row>
    <row r="66" spans="1:133" s="820" customFormat="1" ht="15" customHeight="1" collapsed="1">
      <c r="A66" s="1923"/>
      <c r="B66" s="1923"/>
      <c r="C66" s="1923"/>
      <c r="D66" s="1923"/>
      <c r="E66" s="1923"/>
      <c r="F66" s="1923"/>
      <c r="G66" s="1923"/>
      <c r="H66" s="1958"/>
      <c r="I66" s="1958"/>
      <c r="J66" s="1958"/>
      <c r="K66" s="1958"/>
      <c r="L66" s="1958"/>
      <c r="M66" s="1958"/>
      <c r="N66" s="1923"/>
      <c r="O66" s="1923"/>
      <c r="P66" s="1923"/>
      <c r="Q66" s="1923"/>
      <c r="R66" s="1923"/>
      <c r="S66" s="1923"/>
      <c r="T66" s="1923"/>
      <c r="U66" s="1923"/>
      <c r="V66" s="1923"/>
      <c r="W66" s="1923"/>
      <c r="X66" s="1923"/>
      <c r="Y66" s="1923"/>
      <c r="Z66" s="1923"/>
      <c r="AA66" s="1923"/>
      <c r="AB66" s="1923"/>
      <c r="AC66" s="1923"/>
      <c r="AD66" s="1923"/>
      <c r="AE66" s="1923"/>
      <c r="AF66" s="1923"/>
      <c r="AG66" s="1923"/>
      <c r="AH66" s="1923"/>
      <c r="AI66" s="2386"/>
      <c r="AJ66" s="1923"/>
      <c r="AK66" s="1923"/>
      <c r="AL66" s="1923"/>
      <c r="AM66" s="1923"/>
      <c r="AN66" s="1923"/>
      <c r="AO66" s="1923"/>
      <c r="AP66" s="1923"/>
      <c r="AQ66" s="1923"/>
      <c r="AR66" s="1923"/>
      <c r="AS66" s="1923"/>
      <c r="AT66" s="1923"/>
      <c r="AU66" s="1923"/>
      <c r="AV66" s="1923"/>
      <c r="AW66" s="1923"/>
      <c r="AX66" s="1923"/>
      <c r="AY66" s="1923"/>
      <c r="AZ66" s="1923"/>
      <c r="BA66" s="1923"/>
      <c r="BB66" s="1923"/>
      <c r="BC66" s="1923"/>
      <c r="BD66" s="1923"/>
      <c r="BE66" s="1923"/>
      <c r="BF66" s="1923"/>
      <c r="BG66" s="2391"/>
      <c r="BH66" s="2392"/>
      <c r="BI66" s="2392"/>
      <c r="BJ66" s="2392"/>
      <c r="BK66" s="2389"/>
      <c r="BL66" s="2389"/>
      <c r="BM66" s="2389"/>
      <c r="BN66" s="2389"/>
      <c r="BO66" s="2389"/>
      <c r="BP66" s="2389"/>
      <c r="BQ66" s="2389"/>
      <c r="BR66" s="2389"/>
      <c r="BS66" s="2389"/>
      <c r="BT66" s="2389"/>
      <c r="BU66" s="2389"/>
      <c r="BV66" s="2390"/>
      <c r="BW66" s="2391"/>
      <c r="BX66" s="2392"/>
      <c r="BY66" s="2392"/>
      <c r="BZ66" s="2392"/>
      <c r="CA66" s="2391"/>
      <c r="CB66" s="2392"/>
      <c r="CC66" s="2392"/>
      <c r="CD66" s="2392"/>
      <c r="CE66" s="2391"/>
      <c r="CF66" s="2392"/>
      <c r="CG66" s="2392"/>
      <c r="CH66" s="2392"/>
      <c r="CI66" s="2391"/>
      <c r="CJ66" s="2392"/>
      <c r="CK66" s="2392"/>
      <c r="CL66" s="2392"/>
      <c r="CM66" s="2391"/>
      <c r="CN66" s="2392"/>
      <c r="CO66" s="2392"/>
      <c r="CP66" s="2392"/>
      <c r="CQ66" s="2391"/>
      <c r="CR66" s="2392"/>
      <c r="CS66" s="2392"/>
      <c r="CT66" s="2392"/>
      <c r="CU66" s="2391"/>
      <c r="CV66" s="2392"/>
      <c r="CW66" s="2392"/>
      <c r="CX66" s="2392"/>
      <c r="CY66" s="2391"/>
      <c r="CZ66" s="2392"/>
      <c r="DA66" s="2392"/>
      <c r="DB66" s="2392"/>
      <c r="DC66" s="2391"/>
      <c r="DD66" s="2392"/>
      <c r="DE66" s="2392"/>
      <c r="DF66" s="2393"/>
      <c r="DG66" s="2391"/>
      <c r="DH66" s="2392"/>
      <c r="DI66" s="2392"/>
      <c r="DJ66" s="2393"/>
      <c r="DK66" s="2391"/>
      <c r="DL66" s="2392"/>
      <c r="DM66" s="2392"/>
      <c r="DN66" s="2393"/>
      <c r="DO66" s="2391"/>
      <c r="DP66" s="2392"/>
      <c r="DQ66" s="2392"/>
      <c r="DR66" s="2393"/>
      <c r="DS66" s="2391"/>
      <c r="DT66" s="2389"/>
      <c r="DU66" s="2389"/>
      <c r="DV66" s="2390"/>
      <c r="DW66" s="1923"/>
      <c r="DX66"/>
      <c r="DY66"/>
      <c r="DZ66"/>
      <c r="EA66"/>
      <c r="EB66"/>
      <c r="EC66"/>
    </row>
    <row r="67" spans="1:133" s="820" customFormat="1" ht="15" customHeight="1">
      <c r="A67" s="1923" t="s">
        <v>1154</v>
      </c>
      <c r="B67" s="1923"/>
      <c r="C67" s="1923"/>
      <c r="D67" s="1923"/>
      <c r="E67" s="1923"/>
      <c r="F67" s="1923"/>
      <c r="G67" s="1923"/>
      <c r="H67" s="1958">
        <v>742</v>
      </c>
      <c r="I67" s="1958">
        <v>674</v>
      </c>
      <c r="J67" s="1958">
        <v>733</v>
      </c>
      <c r="K67" s="1958">
        <v>1085</v>
      </c>
      <c r="L67" s="1958">
        <v>936</v>
      </c>
      <c r="M67" s="1958">
        <v>778</v>
      </c>
      <c r="N67" s="1923">
        <f>SUM(BW67:BZ67)</f>
        <v>773</v>
      </c>
      <c r="O67" s="1923">
        <f>SUM(CA67:CD67)</f>
        <v>585</v>
      </c>
      <c r="P67" s="1923">
        <f>SUM(CE67:CH67)</f>
        <v>567</v>
      </c>
      <c r="Q67" s="1923">
        <f>SUM(CI67:CL67)</f>
        <v>553</v>
      </c>
      <c r="R67" s="1923">
        <f>SUM(CM67:CP67)</f>
        <v>508</v>
      </c>
      <c r="S67" s="1923">
        <f>SUM(CQ67:CT67)</f>
        <v>444</v>
      </c>
      <c r="T67" s="1923">
        <f>SUM(CU67:CX67)</f>
        <v>324</v>
      </c>
      <c r="U67" s="1923">
        <f>SUM(CY67:DB67)</f>
        <v>142</v>
      </c>
      <c r="V67" s="1923">
        <f>SUM(DC67:DF67)</f>
        <v>1780</v>
      </c>
      <c r="W67" s="1923">
        <f>SUM(DG67:DJ67)</f>
        <v>-86</v>
      </c>
      <c r="X67" s="1923">
        <f>SUM(DK67:DN67)</f>
        <v>-98</v>
      </c>
      <c r="Y67" s="1923">
        <f>SUM(DO67:DR67)</f>
        <v>-77</v>
      </c>
      <c r="Z67" s="1923">
        <f>SUM(DS67:DV67)</f>
        <v>-76</v>
      </c>
      <c r="AA67" s="1923">
        <f>Z67*(1+AA68)</f>
        <v>-68.400000000000006</v>
      </c>
      <c r="AB67" s="1923">
        <f>AA67*(1+AB68)</f>
        <v>-61.560000000000009</v>
      </c>
      <c r="AC67" s="1923">
        <f t="shared" ref="AC67:AG67" si="355">AB67*(1+AC68)</f>
        <v>-55.404000000000011</v>
      </c>
      <c r="AD67" s="1923">
        <f t="shared" si="355"/>
        <v>-49.863600000000012</v>
      </c>
      <c r="AE67" s="1923">
        <f t="shared" si="355"/>
        <v>-44.877240000000015</v>
      </c>
      <c r="AF67" s="1923">
        <f t="shared" si="355"/>
        <v>-40.389516000000015</v>
      </c>
      <c r="AG67" s="1923">
        <f t="shared" si="355"/>
        <v>-36.350564400000017</v>
      </c>
      <c r="AH67" s="1923"/>
      <c r="AI67" s="2386"/>
      <c r="AJ67" s="1923"/>
      <c r="AK67" s="1923"/>
      <c r="AL67" s="1923"/>
      <c r="AM67" s="1923"/>
      <c r="AN67" s="1923"/>
      <c r="AO67" s="1923"/>
      <c r="AP67" s="1923"/>
      <c r="AQ67" s="1923"/>
      <c r="AR67" s="1923"/>
      <c r="AS67" s="1923"/>
      <c r="AT67" s="1923"/>
      <c r="AU67" s="1923"/>
      <c r="AV67" s="1923"/>
      <c r="AW67" s="1923"/>
      <c r="AX67" s="1923"/>
      <c r="AY67" s="1923"/>
      <c r="AZ67" s="1923"/>
      <c r="BA67" s="1923"/>
      <c r="BB67" s="1923"/>
      <c r="BC67" s="1923"/>
      <c r="BD67" s="1923"/>
      <c r="BE67" s="1923"/>
      <c r="BF67" s="1923"/>
      <c r="BG67" s="2388">
        <v>145</v>
      </c>
      <c r="BH67" s="2389">
        <v>241</v>
      </c>
      <c r="BI67" s="2389">
        <v>195</v>
      </c>
      <c r="BJ67" s="2389">
        <v>152</v>
      </c>
      <c r="BK67" s="2389">
        <v>167</v>
      </c>
      <c r="BL67" s="2389">
        <v>227</v>
      </c>
      <c r="BM67" s="2389">
        <v>438</v>
      </c>
      <c r="BN67" s="2389">
        <v>253</v>
      </c>
      <c r="BO67" s="2389">
        <v>228</v>
      </c>
      <c r="BP67" s="2389">
        <v>212</v>
      </c>
      <c r="BQ67" s="2389">
        <v>226</v>
      </c>
      <c r="BR67" s="2389">
        <v>270</v>
      </c>
      <c r="BS67" s="2389">
        <v>249</v>
      </c>
      <c r="BT67" s="2389">
        <v>178</v>
      </c>
      <c r="BU67" s="2389">
        <v>183</v>
      </c>
      <c r="BV67" s="2390">
        <v>168</v>
      </c>
      <c r="BW67" s="2391">
        <f>NormInputs!BP43</f>
        <v>157</v>
      </c>
      <c r="BX67" s="2392">
        <f>NormInputs!BQ43</f>
        <v>171</v>
      </c>
      <c r="BY67" s="2392">
        <f>NormInputs!BR43</f>
        <v>288</v>
      </c>
      <c r="BZ67" s="2392">
        <f>NormInputs!BS43</f>
        <v>157</v>
      </c>
      <c r="CA67" s="2391">
        <f>NormInputs!BT43</f>
        <v>160</v>
      </c>
      <c r="CB67" s="2392">
        <f>NormInputs!BU43</f>
        <v>185</v>
      </c>
      <c r="CC67" s="2392">
        <f>NormInputs!BV43</f>
        <v>147</v>
      </c>
      <c r="CD67" s="2392">
        <f>NormInputs!BW43</f>
        <v>93</v>
      </c>
      <c r="CE67" s="2391">
        <f>NormInputs!BX43</f>
        <v>97</v>
      </c>
      <c r="CF67" s="2392">
        <f>NormInputs!BY43</f>
        <v>150</v>
      </c>
      <c r="CG67" s="2392">
        <f>NormInputs!BZ43</f>
        <v>211</v>
      </c>
      <c r="CH67" s="2392">
        <f>NormInputs!CA43</f>
        <v>109</v>
      </c>
      <c r="CI67" s="2391">
        <f>NormInputs!CB43</f>
        <v>128</v>
      </c>
      <c r="CJ67" s="2392">
        <f>NormInputs!CC43</f>
        <v>128</v>
      </c>
      <c r="CK67" s="2392">
        <f>NormInputs!CD43</f>
        <v>166</v>
      </c>
      <c r="CL67" s="2392">
        <f>NormInputs!CE43</f>
        <v>131</v>
      </c>
      <c r="CM67" s="2391">
        <f>NormInputs!CF43</f>
        <v>133</v>
      </c>
      <c r="CN67" s="2392">
        <f>NormInputs!CG43</f>
        <v>121</v>
      </c>
      <c r="CO67" s="2392">
        <f>NormInputs!CH43</f>
        <v>141</v>
      </c>
      <c r="CP67" s="2392">
        <f>NormInputs!CI43</f>
        <v>113</v>
      </c>
      <c r="CQ67" s="2391">
        <f>NormInputs!CJ43</f>
        <v>101</v>
      </c>
      <c r="CR67" s="2392">
        <f>NormInputs!CK43</f>
        <v>121</v>
      </c>
      <c r="CS67" s="2392">
        <f>NormInputs!CL43</f>
        <v>125</v>
      </c>
      <c r="CT67" s="2392">
        <f>NormInputs!CM43</f>
        <v>97</v>
      </c>
      <c r="CU67" s="2391">
        <f>NormInputs!CN43</f>
        <v>103</v>
      </c>
      <c r="CV67" s="2392">
        <f>NormInputs!CO43</f>
        <v>72</v>
      </c>
      <c r="CW67" s="2392">
        <f>NormInputs!CP43</f>
        <v>62</v>
      </c>
      <c r="CX67" s="2392">
        <f>NormInputs!CQ43</f>
        <v>87</v>
      </c>
      <c r="CY67" s="2391">
        <f>NormInputs!CR43</f>
        <v>-5</v>
      </c>
      <c r="CZ67" s="2392">
        <f>NormInputs!CS43</f>
        <v>120</v>
      </c>
      <c r="DA67" s="2392">
        <f>NormInputs!CT43</f>
        <v>19</v>
      </c>
      <c r="DB67" s="2392">
        <f>NormInputs!CU43</f>
        <v>8</v>
      </c>
      <c r="DC67" s="2391">
        <f>NormInputs!CV43</f>
        <v>1902</v>
      </c>
      <c r="DD67" s="2392">
        <f>NormInputs!CW43</f>
        <v>-43</v>
      </c>
      <c r="DE67" s="2392">
        <f>NormInputs!CX43</f>
        <v>-48</v>
      </c>
      <c r="DF67" s="2393">
        <f>NormInputs!CY43</f>
        <v>-31</v>
      </c>
      <c r="DG67" s="2391">
        <f>NormInputs!CZ43</f>
        <v>-34</v>
      </c>
      <c r="DH67" s="2392">
        <f>NormInputs!DA43</f>
        <v>-18</v>
      </c>
      <c r="DI67" s="2407">
        <f>NormInputs!DB43</f>
        <v>-18</v>
      </c>
      <c r="DJ67" s="2481">
        <f>NormInputs!DC43</f>
        <v>-16</v>
      </c>
      <c r="DK67" s="2496">
        <f>NormInputs!DD43</f>
        <v>-20</v>
      </c>
      <c r="DL67" s="2563">
        <f>NormInputs!DE43</f>
        <v>-20</v>
      </c>
      <c r="DM67" s="2563">
        <f>NormInputs!DF43</f>
        <v>-23</v>
      </c>
      <c r="DN67" s="2564">
        <f>NormInputs!DG43</f>
        <v>-35</v>
      </c>
      <c r="DO67" s="2496">
        <f>NormInputs!DH43</f>
        <v>-21</v>
      </c>
      <c r="DP67" s="2563">
        <f>NormInputs!DI43</f>
        <v>-28</v>
      </c>
      <c r="DQ67" s="2563">
        <f>NormInputs!DJ43</f>
        <v>-22</v>
      </c>
      <c r="DR67" s="2564">
        <f>NormInputs!DK43</f>
        <v>-6</v>
      </c>
      <c r="DS67" s="2496">
        <f>NormInputs!DL43</f>
        <v>-19</v>
      </c>
      <c r="DT67" s="3251">
        <f t="shared" ref="DT67" si="356">+DS67</f>
        <v>-19</v>
      </c>
      <c r="DU67" s="3251">
        <f t="shared" ref="DU67" si="357">+DT67</f>
        <v>-19</v>
      </c>
      <c r="DV67" s="3000">
        <f t="shared" ref="DV67" si="358">+DU67</f>
        <v>-19</v>
      </c>
      <c r="DW67" s="1923"/>
      <c r="DX67"/>
      <c r="DY67"/>
      <c r="DZ67"/>
      <c r="EA67"/>
      <c r="EB67"/>
      <c r="EC67"/>
    </row>
    <row r="68" spans="1:133" s="821" customFormat="1" ht="15" hidden="1" customHeight="1" outlineLevel="1">
      <c r="A68" s="2396" t="s">
        <v>945</v>
      </c>
      <c r="B68" s="1921"/>
      <c r="C68" s="1921"/>
      <c r="D68" s="1921"/>
      <c r="E68" s="1921"/>
      <c r="F68" s="1921"/>
      <c r="G68" s="1921"/>
      <c r="H68" s="1958"/>
      <c r="I68" s="1958">
        <v>-9.1644204851752065E-2</v>
      </c>
      <c r="J68" s="1958">
        <v>8.7537091988130644E-2</v>
      </c>
      <c r="K68" s="1958">
        <v>0.48021828103683495</v>
      </c>
      <c r="L68" s="1958">
        <v>-0.13732718894009222</v>
      </c>
      <c r="M68" s="1958">
        <v>-0.16880341880341876</v>
      </c>
      <c r="N68" s="1921">
        <f t="shared" ref="N68:V68" si="359">N67/M67-1</f>
        <v>-6.4267352185090054E-3</v>
      </c>
      <c r="O68" s="1921">
        <f t="shared" si="359"/>
        <v>-0.24320827943078915</v>
      </c>
      <c r="P68" s="1921">
        <f t="shared" si="359"/>
        <v>-3.0769230769230771E-2</v>
      </c>
      <c r="Q68" s="1921">
        <f t="shared" si="359"/>
        <v>-2.4691358024691357E-2</v>
      </c>
      <c r="R68" s="1921">
        <f t="shared" si="359"/>
        <v>-8.1374321880650968E-2</v>
      </c>
      <c r="S68" s="1921">
        <f t="shared" si="359"/>
        <v>-0.12598425196850394</v>
      </c>
      <c r="T68" s="1921">
        <f t="shared" si="359"/>
        <v>-0.27027027027027029</v>
      </c>
      <c r="U68" s="1921">
        <f t="shared" si="359"/>
        <v>-0.56172839506172845</v>
      </c>
      <c r="V68" s="1921">
        <f t="shared" si="359"/>
        <v>11.535211267605634</v>
      </c>
      <c r="W68" s="1921">
        <f>W67/V67-1</f>
        <v>-1.048314606741573</v>
      </c>
      <c r="X68" s="1921">
        <f>X67/W67-1</f>
        <v>0.13953488372093026</v>
      </c>
      <c r="Y68" s="1921">
        <f>Y67/X67-1</f>
        <v>-0.2142857142857143</v>
      </c>
      <c r="Z68" s="1921">
        <f>Z67/Y67-1</f>
        <v>-1.2987012987012991E-2</v>
      </c>
      <c r="AA68" s="1921">
        <v>-0.1</v>
      </c>
      <c r="AB68" s="1921">
        <v>-0.1</v>
      </c>
      <c r="AC68" s="1921">
        <v>-0.1</v>
      </c>
      <c r="AD68" s="1921">
        <v>-0.1</v>
      </c>
      <c r="AE68" s="1921">
        <v>-0.1</v>
      </c>
      <c r="AF68" s="1921">
        <v>-0.1</v>
      </c>
      <c r="AG68" s="1921">
        <v>-0.1</v>
      </c>
      <c r="AH68" s="1921"/>
      <c r="AI68" s="2386"/>
      <c r="AJ68" s="1921"/>
      <c r="AK68" s="1921"/>
      <c r="AL68" s="1921"/>
      <c r="AM68" s="1921"/>
      <c r="AN68" s="1921"/>
      <c r="AO68" s="1921"/>
      <c r="AP68" s="1921"/>
      <c r="AQ68" s="1921"/>
      <c r="AR68" s="1921"/>
      <c r="AS68" s="1921"/>
      <c r="AT68" s="1921"/>
      <c r="AU68" s="1921"/>
      <c r="AV68" s="1921"/>
      <c r="AW68" s="1921"/>
      <c r="AX68" s="1921"/>
      <c r="AY68" s="1921"/>
      <c r="AZ68" s="1921"/>
      <c r="BA68" s="1921"/>
      <c r="BB68" s="1921"/>
      <c r="BC68" s="1921"/>
      <c r="BD68" s="1921"/>
      <c r="BE68" s="1921"/>
      <c r="BF68" s="1921"/>
      <c r="BG68" s="2397"/>
      <c r="BH68" s="2398"/>
      <c r="BI68" s="2398"/>
      <c r="BJ68" s="2398"/>
      <c r="BK68" s="2398">
        <v>0.15172413793103456</v>
      </c>
      <c r="BL68" s="2398">
        <v>-5.8091286307053958E-2</v>
      </c>
      <c r="BM68" s="2398">
        <v>1.2461538461538462</v>
      </c>
      <c r="BN68" s="2398">
        <v>0.66447368421052633</v>
      </c>
      <c r="BO68" s="2398">
        <v>0.36526946107784442</v>
      </c>
      <c r="BP68" s="2398">
        <v>-6.607929515418498E-2</v>
      </c>
      <c r="BQ68" s="2398">
        <v>-0.48401826484018262</v>
      </c>
      <c r="BR68" s="2398">
        <v>6.7193675889328119E-2</v>
      </c>
      <c r="BS68" s="2398">
        <v>9.210526315789469E-2</v>
      </c>
      <c r="BT68" s="2398">
        <v>-0.160377358490566</v>
      </c>
      <c r="BU68" s="2398">
        <v>-0.19026548672566368</v>
      </c>
      <c r="BV68" s="2399">
        <v>-0.37777777777777777</v>
      </c>
      <c r="BW68" s="2400">
        <f t="shared" ref="BW68:DS68" si="360">BW67/BS67-1</f>
        <v>-0.36947791164658639</v>
      </c>
      <c r="BX68" s="2401">
        <f t="shared" si="360"/>
        <v>-3.9325842696629199E-2</v>
      </c>
      <c r="BY68" s="2401">
        <f t="shared" si="360"/>
        <v>0.57377049180327866</v>
      </c>
      <c r="BZ68" s="2401">
        <f t="shared" si="360"/>
        <v>-6.5476190476190466E-2</v>
      </c>
      <c r="CA68" s="2400">
        <f t="shared" si="360"/>
        <v>1.9108280254777066E-2</v>
      </c>
      <c r="CB68" s="2401">
        <f t="shared" si="360"/>
        <v>8.1871345029239873E-2</v>
      </c>
      <c r="CC68" s="2401">
        <f t="shared" si="360"/>
        <v>-0.48958333333333337</v>
      </c>
      <c r="CD68" s="2401">
        <f t="shared" si="360"/>
        <v>-0.40764331210191085</v>
      </c>
      <c r="CE68" s="2400">
        <f t="shared" si="360"/>
        <v>-0.39375000000000004</v>
      </c>
      <c r="CF68" s="2401">
        <f t="shared" si="360"/>
        <v>-0.18918918918918914</v>
      </c>
      <c r="CG68" s="2401">
        <f t="shared" si="360"/>
        <v>0.43537414965986398</v>
      </c>
      <c r="CH68" s="2401">
        <f t="shared" si="360"/>
        <v>0.17204301075268824</v>
      </c>
      <c r="CI68" s="2400">
        <f t="shared" si="360"/>
        <v>0.31958762886597936</v>
      </c>
      <c r="CJ68" s="2401">
        <f t="shared" si="360"/>
        <v>-0.14666666666666661</v>
      </c>
      <c r="CK68" s="2401">
        <f t="shared" si="360"/>
        <v>-0.21327014218009477</v>
      </c>
      <c r="CL68" s="2401">
        <f t="shared" si="360"/>
        <v>0.201834862385321</v>
      </c>
      <c r="CM68" s="2400">
        <f t="shared" si="360"/>
        <v>3.90625E-2</v>
      </c>
      <c r="CN68" s="2401">
        <f t="shared" si="360"/>
        <v>-5.46875E-2</v>
      </c>
      <c r="CO68" s="2401">
        <f t="shared" si="360"/>
        <v>-0.1506024096385542</v>
      </c>
      <c r="CP68" s="2401">
        <f t="shared" si="360"/>
        <v>-0.13740458015267176</v>
      </c>
      <c r="CQ68" s="2400">
        <f t="shared" si="360"/>
        <v>-0.24060150375939848</v>
      </c>
      <c r="CR68" s="2401">
        <f t="shared" si="360"/>
        <v>0</v>
      </c>
      <c r="CS68" s="2401">
        <f t="shared" si="360"/>
        <v>-0.11347517730496459</v>
      </c>
      <c r="CT68" s="2401">
        <f t="shared" si="360"/>
        <v>-0.1415929203539823</v>
      </c>
      <c r="CU68" s="2400">
        <f t="shared" si="360"/>
        <v>1.980198019801982E-2</v>
      </c>
      <c r="CV68" s="2401">
        <f t="shared" si="360"/>
        <v>-0.4049586776859504</v>
      </c>
      <c r="CW68" s="2401">
        <f t="shared" si="360"/>
        <v>-0.504</v>
      </c>
      <c r="CX68" s="2401">
        <f t="shared" si="360"/>
        <v>-0.10309278350515461</v>
      </c>
      <c r="CY68" s="2400">
        <f t="shared" si="360"/>
        <v>-1.0485436893203883</v>
      </c>
      <c r="CZ68" s="2401">
        <f t="shared" si="360"/>
        <v>0.66666666666666674</v>
      </c>
      <c r="DA68" s="2401">
        <f t="shared" si="360"/>
        <v>-0.69354838709677424</v>
      </c>
      <c r="DB68" s="2401">
        <f t="shared" si="360"/>
        <v>-0.90804597701149425</v>
      </c>
      <c r="DC68" s="2400">
        <f t="shared" si="360"/>
        <v>-381.4</v>
      </c>
      <c r="DD68" s="2401">
        <f t="shared" si="360"/>
        <v>-1.3583333333333334</v>
      </c>
      <c r="DE68" s="2401">
        <f t="shared" si="360"/>
        <v>-3.5263157894736841</v>
      </c>
      <c r="DF68" s="2402">
        <f t="shared" si="360"/>
        <v>-4.875</v>
      </c>
      <c r="DG68" s="2400">
        <f t="shared" si="360"/>
        <v>-1.0178759200841219</v>
      </c>
      <c r="DH68" s="2401">
        <f t="shared" si="360"/>
        <v>-0.58139534883720922</v>
      </c>
      <c r="DI68" s="2401">
        <f t="shared" si="360"/>
        <v>-0.625</v>
      </c>
      <c r="DJ68" s="2402">
        <f t="shared" si="360"/>
        <v>-0.4838709677419355</v>
      </c>
      <c r="DK68" s="2400">
        <f t="shared" si="360"/>
        <v>-0.41176470588235292</v>
      </c>
      <c r="DL68" s="2401">
        <f t="shared" si="360"/>
        <v>0.11111111111111116</v>
      </c>
      <c r="DM68" s="2401">
        <f t="shared" si="360"/>
        <v>0.27777777777777768</v>
      </c>
      <c r="DN68" s="2402">
        <f t="shared" si="360"/>
        <v>1.1875</v>
      </c>
      <c r="DO68" s="2400">
        <f t="shared" si="360"/>
        <v>5.0000000000000044E-2</v>
      </c>
      <c r="DP68" s="2401">
        <f t="shared" si="360"/>
        <v>0.39999999999999991</v>
      </c>
      <c r="DQ68" s="2401">
        <f t="shared" si="360"/>
        <v>-4.3478260869565188E-2</v>
      </c>
      <c r="DR68" s="2402">
        <f t="shared" si="360"/>
        <v>-0.82857142857142851</v>
      </c>
      <c r="DS68" s="2400">
        <f t="shared" si="360"/>
        <v>-9.5238095238095233E-2</v>
      </c>
      <c r="DT68" s="1074" t="s">
        <v>1155</v>
      </c>
      <c r="DU68" s="1074" t="s">
        <v>1155</v>
      </c>
      <c r="DV68" s="1074" t="s">
        <v>1155</v>
      </c>
      <c r="DW68" s="1923"/>
      <c r="DX68"/>
      <c r="DY68"/>
      <c r="DZ68"/>
      <c r="EA68"/>
      <c r="EB68"/>
      <c r="EC68"/>
    </row>
    <row r="69" spans="1:133" s="821" customFormat="1" ht="15" hidden="1" customHeight="1" outlineLevel="1">
      <c r="A69" s="2396" t="s">
        <v>1625</v>
      </c>
      <c r="B69" s="1921"/>
      <c r="C69" s="1921"/>
      <c r="D69" s="1921"/>
      <c r="E69" s="1921"/>
      <c r="F69" s="1921"/>
      <c r="G69" s="1921"/>
      <c r="H69" s="1958">
        <v>7.4966154094849363E-3</v>
      </c>
      <c r="I69" s="1958">
        <v>6.7371030456903529E-3</v>
      </c>
      <c r="J69" s="1958">
        <v>7.6941648209768333E-3</v>
      </c>
      <c r="K69" s="1958">
        <v>1.1903717031640847E-2</v>
      </c>
      <c r="L69" s="1958">
        <v>1.0239915980176572E-2</v>
      </c>
      <c r="M69" s="1958">
        <v>8.7513076343348224E-3</v>
      </c>
      <c r="N69" s="1921">
        <f>N67/N$30</f>
        <v>8.8620434890604276E-3</v>
      </c>
      <c r="O69" s="1921">
        <f>O67/O$30</f>
        <v>6.3328822733423546E-3</v>
      </c>
      <c r="P69" s="1921">
        <f>P67/P$30</f>
        <v>5.8395814451676692E-3</v>
      </c>
      <c r="Q69" s="1921">
        <f>Q67/Q$35</f>
        <v>5.3997051155615008E-3</v>
      </c>
      <c r="R69" s="1921">
        <f t="shared" ref="R69:AA69" si="361">R67/R$35</f>
        <v>4.8646888705877848E-3</v>
      </c>
      <c r="S69" s="1921">
        <f t="shared" si="361"/>
        <v>4.0045095828635854E-3</v>
      </c>
      <c r="T69" s="1921">
        <f t="shared" si="361"/>
        <v>2.8030348908633174E-3</v>
      </c>
      <c r="U69" s="1921">
        <f t="shared" si="361"/>
        <v>1.1838167251627747E-3</v>
      </c>
      <c r="V69" s="1921">
        <f t="shared" si="361"/>
        <v>1.403530905277434E-2</v>
      </c>
      <c r="W69" s="1921">
        <f t="shared" si="361"/>
        <v>-6.64498033549424E-4</v>
      </c>
      <c r="X69" s="1921">
        <f>X67/X$35</f>
        <v>-7.8115659001235503E-4</v>
      </c>
      <c r="Y69" s="1921">
        <f>Y67/Y$35</f>
        <v>-6.1094625259850517E-4</v>
      </c>
      <c r="Z69" s="1921">
        <f ca="1">Z67/Z$35</f>
        <v>-5.8939712360549137E-4</v>
      </c>
      <c r="AA69" s="1921">
        <f t="shared" ca="1" si="361"/>
        <v>-5.3008458503038861E-4</v>
      </c>
      <c r="AB69" s="1921">
        <f t="shared" ref="AB69:AG69" ca="1" si="362">AB67/AB$35</f>
        <v>-4.7480684990153129E-4</v>
      </c>
      <c r="AC69" s="1921">
        <f t="shared" ca="1" si="362"/>
        <v>-4.2507094289341877E-4</v>
      </c>
      <c r="AD69" s="1921">
        <f t="shared" ca="1" si="362"/>
        <v>-3.8037035379321504E-4</v>
      </c>
      <c r="AE69" s="1921">
        <f t="shared" ca="1" si="362"/>
        <v>-3.4019797801076784E-4</v>
      </c>
      <c r="AF69" s="1921">
        <f t="shared" ca="1" si="362"/>
        <v>-3.0408557246014239E-4</v>
      </c>
      <c r="AG69" s="1921">
        <f t="shared" ca="1" si="362"/>
        <v>-2.7161351373119471E-4</v>
      </c>
      <c r="AH69" s="1921"/>
      <c r="AI69" s="2386"/>
      <c r="AJ69" s="1921"/>
      <c r="AK69" s="1921"/>
      <c r="AL69" s="1921"/>
      <c r="AM69" s="1921"/>
      <c r="AN69" s="1921"/>
      <c r="AO69" s="1921"/>
      <c r="AP69" s="1921"/>
      <c r="AQ69" s="1921"/>
      <c r="AR69" s="1921"/>
      <c r="AS69" s="1921"/>
      <c r="AT69" s="1921"/>
      <c r="AU69" s="1921"/>
      <c r="AV69" s="1921"/>
      <c r="AW69" s="1921"/>
      <c r="AX69" s="1921"/>
      <c r="AY69" s="1921"/>
      <c r="AZ69" s="1921"/>
      <c r="BA69" s="1921"/>
      <c r="BB69" s="1921"/>
      <c r="BC69" s="1921"/>
      <c r="BD69" s="1921"/>
      <c r="BE69" s="1921"/>
      <c r="BF69" s="1921"/>
      <c r="BG69" s="2397">
        <v>6.0901339829476245E-3</v>
      </c>
      <c r="BH69" s="2398">
        <v>1.0151642796967144E-2</v>
      </c>
      <c r="BI69" s="2398">
        <v>8.0862533692722376E-3</v>
      </c>
      <c r="BJ69" s="2398">
        <v>6.4398593399144178E-3</v>
      </c>
      <c r="BK69" s="2398">
        <v>7.2954436241317545E-3</v>
      </c>
      <c r="BL69" s="2398">
        <v>9.9600719582291254E-3</v>
      </c>
      <c r="BM69" s="2398">
        <v>1.9142519994755473E-2</v>
      </c>
      <c r="BN69" s="2398">
        <v>1.1202125304405579E-2</v>
      </c>
      <c r="BO69" s="2398">
        <v>1.0205908683974934E-2</v>
      </c>
      <c r="BP69" s="2398">
        <v>9.2787114845938375E-3</v>
      </c>
      <c r="BQ69" s="2398">
        <v>9.7695932218043492E-3</v>
      </c>
      <c r="BR69" s="2398">
        <v>1.1695399809408299E-2</v>
      </c>
      <c r="BS69" s="2398">
        <v>1.1427260211106013E-2</v>
      </c>
      <c r="BT69" s="2398">
        <v>8.0295922049801512E-3</v>
      </c>
      <c r="BU69" s="2398">
        <v>8.1499955464505204E-3</v>
      </c>
      <c r="BV69" s="2399">
        <v>7.4339572547457849E-3</v>
      </c>
      <c r="BW69" s="2400">
        <f t="shared" ref="BW69:CH69" si="363">BW67/BW$30</f>
        <v>7.4168795661332986E-3</v>
      </c>
      <c r="BX69" s="2401">
        <f t="shared" si="363"/>
        <v>7.9229022842051619E-3</v>
      </c>
      <c r="BY69" s="2401">
        <f t="shared" si="363"/>
        <v>1.299521703817345E-2</v>
      </c>
      <c r="BZ69" s="2401">
        <f t="shared" si="363"/>
        <v>7.0362568906018911E-3</v>
      </c>
      <c r="CA69" s="2400">
        <f t="shared" si="363"/>
        <v>7.1713504549325447E-3</v>
      </c>
      <c r="CB69" s="2401">
        <f t="shared" si="363"/>
        <v>8.0434782608695653E-3</v>
      </c>
      <c r="CC69" s="2401">
        <f t="shared" si="363"/>
        <v>6.2571829906780743E-3</v>
      </c>
      <c r="CD69" s="2401">
        <f t="shared" si="363"/>
        <v>3.945526282296042E-3</v>
      </c>
      <c r="CE69" s="2400">
        <f t="shared" si="363"/>
        <v>4.1145281018027573E-3</v>
      </c>
      <c r="CF69" s="2401">
        <f t="shared" si="363"/>
        <v>6.2178743160338249E-3</v>
      </c>
      <c r="CG69" s="2401">
        <f t="shared" si="363"/>
        <v>8.5245636716224944E-3</v>
      </c>
      <c r="CH69" s="2401">
        <f t="shared" si="363"/>
        <v>4.4228038141610878E-3</v>
      </c>
      <c r="CI69" s="2400">
        <f>CI67/CI$35</f>
        <v>5.0864295648718454E-3</v>
      </c>
      <c r="CJ69" s="2401">
        <f t="shared" ref="CJ69:DG69" si="364">CJ67/CJ$35</f>
        <v>5.0174434557641798E-3</v>
      </c>
      <c r="CK69" s="2401">
        <f t="shared" si="364"/>
        <v>6.4008637310094853E-3</v>
      </c>
      <c r="CL69" s="2401">
        <f t="shared" si="364"/>
        <v>5.0769290392590006E-3</v>
      </c>
      <c r="CM69" s="2400">
        <f t="shared" si="364"/>
        <v>5.1882192315194069E-3</v>
      </c>
      <c r="CN69" s="2401">
        <f t="shared" si="364"/>
        <v>4.6696511268910154E-3</v>
      </c>
      <c r="CO69" s="2401">
        <f t="shared" si="364"/>
        <v>5.3239691889442687E-3</v>
      </c>
      <c r="CP69" s="2401">
        <f t="shared" si="364"/>
        <v>4.2811138473195683E-3</v>
      </c>
      <c r="CQ69" s="2400">
        <f t="shared" si="364"/>
        <v>3.7421267135976286E-3</v>
      </c>
      <c r="CR69" s="2401">
        <f t="shared" si="364"/>
        <v>4.3942475305055202E-3</v>
      </c>
      <c r="CS69" s="2401">
        <f t="shared" si="364"/>
        <v>4.4782001218070435E-3</v>
      </c>
      <c r="CT69" s="2401">
        <f t="shared" si="364"/>
        <v>3.4111689407792939E-3</v>
      </c>
      <c r="CU69" s="2400">
        <f t="shared" si="364"/>
        <v>3.6470504921747751E-3</v>
      </c>
      <c r="CV69" s="2401">
        <f t="shared" si="364"/>
        <v>2.5241016652059597E-3</v>
      </c>
      <c r="CW69" s="2401">
        <f t="shared" si="364"/>
        <v>2.1374151066983833E-3</v>
      </c>
      <c r="CX69" s="2401">
        <f t="shared" si="364"/>
        <v>2.917994298172061E-3</v>
      </c>
      <c r="CY69" s="2400">
        <f t="shared" si="364"/>
        <v>-1.7099863201094391E-4</v>
      </c>
      <c r="CZ69" s="2401">
        <f t="shared" si="364"/>
        <v>4.0462622652324915E-3</v>
      </c>
      <c r="DA69" s="2401">
        <f t="shared" si="364"/>
        <v>6.307682092822522E-4</v>
      </c>
      <c r="DB69" s="2401">
        <f t="shared" si="364"/>
        <v>2.5863183757920602E-4</v>
      </c>
      <c r="DC69" s="2400">
        <f t="shared" si="364"/>
        <v>6.1974584555229716E-2</v>
      </c>
      <c r="DD69" s="2401">
        <f t="shared" si="364"/>
        <v>-1.3713921224685057E-3</v>
      </c>
      <c r="DE69" s="2401">
        <f t="shared" si="364"/>
        <v>-1.5196606091306276E-3</v>
      </c>
      <c r="DF69" s="2402">
        <f t="shared" si="364"/>
        <v>-9.3395999035912267E-4</v>
      </c>
      <c r="DG69" s="2400">
        <f t="shared" si="364"/>
        <v>-1.0818034299532279E-3</v>
      </c>
      <c r="DH69" s="2401">
        <f t="shared" ref="DH69:DJ69" si="365">DH67/DH$35</f>
        <v>-5.6823562837389908E-4</v>
      </c>
      <c r="DI69" s="2401">
        <f t="shared" si="365"/>
        <v>-5.5191022260378975E-4</v>
      </c>
      <c r="DJ69" s="2402">
        <f t="shared" si="365"/>
        <v>-4.7476336013768135E-4</v>
      </c>
      <c r="DK69" s="2400">
        <f t="shared" ref="DK69:DL69" si="366">DK67/DK$35</f>
        <v>-6.3199140491689313E-4</v>
      </c>
      <c r="DL69" s="2401">
        <f t="shared" si="366"/>
        <v>-6.5505043888379401E-4</v>
      </c>
      <c r="DM69" s="2401">
        <f t="shared" ref="DM69:DN69" si="367">DM67/DM$35</f>
        <v>-7.4344635872902992E-4</v>
      </c>
      <c r="DN69" s="2402">
        <f t="shared" si="367"/>
        <v>-1.0822510822510823E-3</v>
      </c>
      <c r="DO69" s="2400">
        <f t="shared" ref="DO69:DP69" si="368">DO67/DO$35</f>
        <v>-7.0436707587039646E-4</v>
      </c>
      <c r="DP69" s="2401">
        <f t="shared" si="368"/>
        <v>-9.1659028414298811E-4</v>
      </c>
      <c r="DQ69" s="2401">
        <f t="shared" ref="DQ69:DR69" si="369">DQ67/DQ$35</f>
        <v>-6.936343285934987E-4</v>
      </c>
      <c r="DR69" s="2402">
        <f t="shared" si="369"/>
        <v>-1.7670446178766013E-4</v>
      </c>
      <c r="DS69" s="2400">
        <f t="shared" ref="DS69" si="370">DS67/DS$35</f>
        <v>-5.9801082714339669E-4</v>
      </c>
      <c r="DT69" s="2401">
        <f t="shared" ref="DT69:DV69" ca="1" si="371">DT67/DT$35</f>
        <v>-6.0214135587132107E-4</v>
      </c>
      <c r="DU69" s="2401">
        <f t="shared" ca="1" si="371"/>
        <v>-5.9233665174772052E-4</v>
      </c>
      <c r="DV69" s="2402">
        <f t="shared" ca="1" si="371"/>
        <v>-5.6643858922658338E-4</v>
      </c>
      <c r="DW69" s="1923"/>
      <c r="DX69"/>
      <c r="DY69"/>
      <c r="DZ69"/>
      <c r="EA69"/>
      <c r="EB69"/>
      <c r="EC69"/>
    </row>
    <row r="70" spans="1:133" s="820" customFormat="1" ht="15" customHeight="1" collapsed="1">
      <c r="A70" s="1923" t="s">
        <v>1156</v>
      </c>
      <c r="B70" s="1923"/>
      <c r="C70" s="1923"/>
      <c r="D70" s="1923"/>
      <c r="E70" s="1923"/>
      <c r="F70" s="1923"/>
      <c r="G70" s="1923"/>
      <c r="H70" s="1958">
        <v>1349</v>
      </c>
      <c r="I70" s="1958">
        <v>1025</v>
      </c>
      <c r="J70" s="1958">
        <v>234</v>
      </c>
      <c r="K70" s="1958">
        <v>235</v>
      </c>
      <c r="L70" s="1958">
        <v>161</v>
      </c>
      <c r="M70" s="1958">
        <v>457</v>
      </c>
      <c r="N70" s="1923">
        <f>+N72+N73</f>
        <v>396</v>
      </c>
      <c r="O70" s="1923">
        <f>+O72+O73</f>
        <v>211</v>
      </c>
      <c r="P70" s="1923">
        <f>+P72+P73</f>
        <v>330</v>
      </c>
      <c r="Q70" s="1923">
        <f>+Q72+Q73</f>
        <v>93.000000000000014</v>
      </c>
      <c r="R70" s="1923">
        <f>+R72+R73</f>
        <v>109</v>
      </c>
      <c r="S70" s="1923">
        <f>SUM(CQ70:CT70)</f>
        <v>-14</v>
      </c>
      <c r="T70" s="1923">
        <f>SUM(CU70:CX70)</f>
        <v>81</v>
      </c>
      <c r="U70" s="1923">
        <f>SUM(CY70:DB70)</f>
        <v>83</v>
      </c>
      <c r="V70" s="1923">
        <f>SUM(DC70:DF70)</f>
        <v>-817</v>
      </c>
      <c r="W70" s="1923">
        <f>SUM(DG70:DJ70)</f>
        <v>186</v>
      </c>
      <c r="X70" s="1923">
        <f>SUM(DK70:DN70)</f>
        <v>223</v>
      </c>
      <c r="Y70" s="1923">
        <f>SUM(DO70:DR70)</f>
        <v>-2010</v>
      </c>
      <c r="Z70" s="1923">
        <f ca="1">SUM(DS70:DV70)</f>
        <v>7.3690006326668751</v>
      </c>
      <c r="AA70" s="1923">
        <f ca="1">+AA72+AA73</f>
        <v>159.98830608213149</v>
      </c>
      <c r="AB70" s="1923">
        <f ca="1">+AB72+AB73</f>
        <v>486.49636165710768</v>
      </c>
      <c r="AC70" s="1923">
        <f t="shared" ref="AC70:AG70" ca="1" si="372">+AC72+AC73</f>
        <v>696.49918902194702</v>
      </c>
      <c r="AD70" s="1923">
        <f t="shared" ca="1" si="372"/>
        <v>943.76696378536292</v>
      </c>
      <c r="AE70" s="1923">
        <f t="shared" ca="1" si="372"/>
        <v>1198.3080453894493</v>
      </c>
      <c r="AF70" s="1923">
        <f t="shared" ca="1" si="372"/>
        <v>1461.1730634608302</v>
      </c>
      <c r="AG70" s="1923">
        <f t="shared" ca="1" si="372"/>
        <v>1733.4560315408712</v>
      </c>
      <c r="AH70" s="1923"/>
      <c r="AI70" s="2386"/>
      <c r="AJ70" s="1923"/>
      <c r="AK70" s="1923"/>
      <c r="AL70" s="1923"/>
      <c r="AM70" s="1923"/>
      <c r="AN70" s="1923"/>
      <c r="AO70" s="1923"/>
      <c r="AP70" s="1923"/>
      <c r="AQ70" s="1923"/>
      <c r="AR70" s="1923"/>
      <c r="AS70" s="1923"/>
      <c r="AT70" s="1923"/>
      <c r="AU70" s="1923"/>
      <c r="AV70" s="1923"/>
      <c r="AW70" s="1923"/>
      <c r="AX70" s="1923"/>
      <c r="AY70" s="1923"/>
      <c r="AZ70" s="1923"/>
      <c r="BA70" s="1923"/>
      <c r="BB70" s="1923"/>
      <c r="BC70" s="1923"/>
      <c r="BD70" s="1923"/>
      <c r="BE70" s="1923"/>
      <c r="BF70" s="1923"/>
      <c r="BG70" s="2388">
        <v>63</v>
      </c>
      <c r="BH70" s="2389">
        <v>64</v>
      </c>
      <c r="BI70" s="2389">
        <v>39</v>
      </c>
      <c r="BJ70" s="2389">
        <v>68</v>
      </c>
      <c r="BK70" s="2389">
        <v>60</v>
      </c>
      <c r="BL70" s="2389">
        <v>-45</v>
      </c>
      <c r="BM70" s="2389">
        <v>97</v>
      </c>
      <c r="BN70" s="2389">
        <v>123</v>
      </c>
      <c r="BO70" s="2389">
        <v>16</v>
      </c>
      <c r="BP70" s="2389">
        <v>27</v>
      </c>
      <c r="BQ70" s="2389">
        <v>51</v>
      </c>
      <c r="BR70" s="2389">
        <v>67</v>
      </c>
      <c r="BS70" s="2389">
        <v>102</v>
      </c>
      <c r="BT70" s="2389">
        <v>175</v>
      </c>
      <c r="BU70" s="2389">
        <v>158</v>
      </c>
      <c r="BV70" s="2390">
        <v>22</v>
      </c>
      <c r="BW70" s="2391">
        <f>NormInputs!BP44</f>
        <v>103</v>
      </c>
      <c r="BX70" s="2392">
        <f>NormInputs!BQ44</f>
        <v>60</v>
      </c>
      <c r="BY70" s="2392">
        <f>NormInputs!BR44</f>
        <v>101</v>
      </c>
      <c r="BZ70" s="2392">
        <f>NormInputs!BS44</f>
        <v>132</v>
      </c>
      <c r="CA70" s="2391">
        <f>NormInputs!BT44</f>
        <v>48</v>
      </c>
      <c r="CB70" s="2392">
        <f>NormInputs!BU44</f>
        <v>27</v>
      </c>
      <c r="CC70" s="2392">
        <f>NormInputs!BV44</f>
        <v>49</v>
      </c>
      <c r="CD70" s="2392">
        <f>NormInputs!BW44</f>
        <v>87</v>
      </c>
      <c r="CE70" s="2391">
        <f>NormInputs!BX44</f>
        <v>23</v>
      </c>
      <c r="CF70" s="2392">
        <f>NormInputs!BY44</f>
        <v>92</v>
      </c>
      <c r="CG70" s="2392">
        <f>NormInputs!BZ44</f>
        <v>105</v>
      </c>
      <c r="CH70" s="2392">
        <f>NormInputs!CA44</f>
        <v>110</v>
      </c>
      <c r="CI70" s="2391">
        <f>NormInputs!CB44</f>
        <v>54</v>
      </c>
      <c r="CJ70" s="2392">
        <f>NormInputs!CC44</f>
        <v>12</v>
      </c>
      <c r="CK70" s="2392">
        <f>NormInputs!CD44</f>
        <v>14</v>
      </c>
      <c r="CL70" s="2392">
        <f>NormInputs!CE44</f>
        <v>13</v>
      </c>
      <c r="CM70" s="2391">
        <f>NormInputs!CF44</f>
        <v>46</v>
      </c>
      <c r="CN70" s="2392">
        <f>NormInputs!CG44</f>
        <v>16</v>
      </c>
      <c r="CO70" s="2392">
        <f>NormInputs!CH44</f>
        <v>4</v>
      </c>
      <c r="CP70" s="2392">
        <f>NormInputs!CI44</f>
        <v>43</v>
      </c>
      <c r="CQ70" s="2391">
        <f>NormInputs!CJ44</f>
        <v>36</v>
      </c>
      <c r="CR70" s="2392">
        <f>NormInputs!CK44</f>
        <v>10</v>
      </c>
      <c r="CS70" s="2392">
        <f>NormInputs!CL44</f>
        <v>24</v>
      </c>
      <c r="CT70" s="2392">
        <f>NormInputs!CM44</f>
        <v>-84</v>
      </c>
      <c r="CU70" s="2391">
        <f>NormInputs!CN44</f>
        <v>19</v>
      </c>
      <c r="CV70" s="2392">
        <f>NormInputs!CO44</f>
        <v>34</v>
      </c>
      <c r="CW70" s="2392">
        <f>NormInputs!CP44</f>
        <v>10</v>
      </c>
      <c r="CX70" s="2392">
        <f>NormInputs!CQ44</f>
        <v>18</v>
      </c>
      <c r="CY70" s="2391">
        <f>NormInputs!CR44</f>
        <v>39</v>
      </c>
      <c r="CZ70" s="2392">
        <f>NormInputs!CS44</f>
        <v>25</v>
      </c>
      <c r="DA70" s="2392">
        <f>NormInputs!CT44</f>
        <v>20</v>
      </c>
      <c r="DB70" s="2392">
        <f>NormInputs!CU44</f>
        <v>-1</v>
      </c>
      <c r="DC70" s="2391">
        <f>NormInputs!CV44</f>
        <v>-1055</v>
      </c>
      <c r="DD70" s="2392">
        <f>NormInputs!CW44</f>
        <v>66</v>
      </c>
      <c r="DE70" s="2392">
        <f>NormInputs!CX44</f>
        <v>71</v>
      </c>
      <c r="DF70" s="2393">
        <f>NormInputs!CY44</f>
        <v>101</v>
      </c>
      <c r="DG70" s="2391">
        <f>NormInputs!CZ44</f>
        <v>75</v>
      </c>
      <c r="DH70" s="2392">
        <f>NormInputs!DA44</f>
        <v>32</v>
      </c>
      <c r="DI70" s="2407">
        <f>NormInputs!DB44</f>
        <v>51</v>
      </c>
      <c r="DJ70" s="2481">
        <f>NormInputs!DC44</f>
        <v>28</v>
      </c>
      <c r="DK70" s="2496">
        <f>NormInputs!DD44</f>
        <v>32</v>
      </c>
      <c r="DL70" s="2563">
        <f>NormInputs!DE44</f>
        <v>-4</v>
      </c>
      <c r="DM70" s="2563">
        <f>NormInputs!DF44</f>
        <v>97</v>
      </c>
      <c r="DN70" s="2564">
        <f>NormInputs!DG44</f>
        <v>98</v>
      </c>
      <c r="DO70" s="2496">
        <f>NormInputs!DH44</f>
        <v>-846</v>
      </c>
      <c r="DP70" s="2563">
        <f>NormInputs!DI44</f>
        <v>-19</v>
      </c>
      <c r="DQ70" s="2563">
        <f>NormInputs!DJ44</f>
        <v>-511</v>
      </c>
      <c r="DR70" s="2564">
        <f>NormInputs!DK44</f>
        <v>-634</v>
      </c>
      <c r="DS70" s="2496">
        <f>NormInputs!DL44</f>
        <v>-75</v>
      </c>
      <c r="DT70" s="2392">
        <f t="shared" ref="DT70:DV70" si="373">DT72+DT73</f>
        <v>-12.02</v>
      </c>
      <c r="DU70" s="2392">
        <f t="shared" ca="1" si="373"/>
        <v>31.246115056278448</v>
      </c>
      <c r="DV70" s="2393">
        <f t="shared" ca="1" si="373"/>
        <v>63.142885576388423</v>
      </c>
      <c r="DW70" s="1923"/>
      <c r="DX70"/>
      <c r="DY70"/>
      <c r="DZ70"/>
      <c r="EA70"/>
      <c r="EB70"/>
      <c r="EC70"/>
    </row>
    <row r="71" spans="1:133" s="821" customFormat="1" ht="15" hidden="1" customHeight="1" outlineLevel="1">
      <c r="A71" s="2396" t="s">
        <v>1625</v>
      </c>
      <c r="B71" s="1921"/>
      <c r="C71" s="1921"/>
      <c r="D71" s="1921"/>
      <c r="E71" s="1921"/>
      <c r="F71" s="1921"/>
      <c r="G71" s="1921"/>
      <c r="H71" s="1958">
        <v>1.3629291357675443E-2</v>
      </c>
      <c r="I71" s="1958">
        <v>1.0245594394410404E-2</v>
      </c>
      <c r="J71" s="1958">
        <v>2.4562545267511312E-3</v>
      </c>
      <c r="K71" s="1958">
        <v>2.5782244262079258E-3</v>
      </c>
      <c r="L71" s="1958">
        <v>1.7613530692397739E-3</v>
      </c>
      <c r="M71" s="1958">
        <v>5.1405496001169842E-3</v>
      </c>
      <c r="N71" s="1921">
        <f>N70/N$30</f>
        <v>4.539934310049067E-3</v>
      </c>
      <c r="O71" s="1921">
        <f>O70/O$30</f>
        <v>2.2841677943166443E-3</v>
      </c>
      <c r="P71" s="1921">
        <f>P70/P$30</f>
        <v>3.3986981956002308E-3</v>
      </c>
      <c r="Q71" s="1921">
        <f>Q70/Q$35</f>
        <v>9.0808784041088544E-4</v>
      </c>
      <c r="R71" s="1921">
        <f t="shared" ref="R71:AA71" si="374">R70/R$35</f>
        <v>1.0438013521536782E-3</v>
      </c>
      <c r="S71" s="1921">
        <f t="shared" si="374"/>
        <v>-1.2626832018038331E-4</v>
      </c>
      <c r="T71" s="1921">
        <f t="shared" si="374"/>
        <v>7.0075872271582935E-4</v>
      </c>
      <c r="U71" s="1921">
        <f t="shared" si="374"/>
        <v>6.9194921259514307E-4</v>
      </c>
      <c r="V71" s="1921">
        <f t="shared" si="374"/>
        <v>-6.4420491551217055E-3</v>
      </c>
      <c r="W71" s="1921">
        <f t="shared" si="374"/>
        <v>1.4371701655836379E-3</v>
      </c>
      <c r="X71" s="1921">
        <f>X70/X$35</f>
        <v>1.7775297915587262E-3</v>
      </c>
      <c r="Y71" s="1921">
        <f>Y70/Y$35</f>
        <v>-1.5948077502896042E-2</v>
      </c>
      <c r="Z71" s="1921">
        <f ca="1">Z70/Z$35</f>
        <v>5.7148260220275025E-5</v>
      </c>
      <c r="AA71" s="1921">
        <f t="shared" ca="1" si="374"/>
        <v>1.2398733163634715E-3</v>
      </c>
      <c r="AB71" s="1921">
        <f t="shared" ref="AB71:AG71" ca="1" si="375">AB70/AB$35</f>
        <v>3.7523035244796518E-3</v>
      </c>
      <c r="AC71" s="1921">
        <f t="shared" ca="1" si="375"/>
        <v>5.3436857808472392E-3</v>
      </c>
      <c r="AD71" s="1921">
        <f t="shared" ca="1" si="375"/>
        <v>7.1992590569751637E-3</v>
      </c>
      <c r="AE71" s="1921">
        <f t="shared" ca="1" si="375"/>
        <v>9.083935956746135E-3</v>
      </c>
      <c r="AF71" s="1921">
        <f t="shared" ca="1" si="375"/>
        <v>1.1000915372836515E-2</v>
      </c>
      <c r="AG71" s="1921">
        <f t="shared" ca="1" si="375"/>
        <v>1.2952483445493585E-2</v>
      </c>
      <c r="AH71" s="1921"/>
      <c r="AI71" s="2386"/>
      <c r="AJ71" s="1921"/>
      <c r="AK71" s="1921"/>
      <c r="AL71" s="1921"/>
      <c r="AM71" s="1921"/>
      <c r="AN71" s="1921"/>
      <c r="AO71" s="1921"/>
      <c r="AP71" s="1921"/>
      <c r="AQ71" s="1921"/>
      <c r="AR71" s="1921"/>
      <c r="AS71" s="1921"/>
      <c r="AT71" s="1921"/>
      <c r="AU71" s="1921"/>
      <c r="AV71" s="1921"/>
      <c r="AW71" s="1921"/>
      <c r="AX71" s="1921"/>
      <c r="AY71" s="1921"/>
      <c r="AZ71" s="1921"/>
      <c r="BA71" s="1921"/>
      <c r="BB71" s="1921"/>
      <c r="BC71" s="1921"/>
      <c r="BD71" s="1921"/>
      <c r="BE71" s="1921"/>
      <c r="BF71" s="1921"/>
      <c r="BG71" s="2397">
        <v>2.6460582132806923E-3</v>
      </c>
      <c r="BH71" s="2398">
        <v>2.6958719460825611E-3</v>
      </c>
      <c r="BI71" s="2398">
        <v>1.6172506738544475E-3</v>
      </c>
      <c r="BJ71" s="2398">
        <v>2.8809897046985552E-3</v>
      </c>
      <c r="BK71" s="2398">
        <v>2.6211174697479359E-3</v>
      </c>
      <c r="BL71" s="2398">
        <v>-1.9744636040542321E-3</v>
      </c>
      <c r="BM71" s="2398">
        <v>4.2393252043179935E-3</v>
      </c>
      <c r="BN71" s="2398">
        <v>5.4460925392959929E-3</v>
      </c>
      <c r="BO71" s="2398">
        <v>7.1620411817367952E-4</v>
      </c>
      <c r="BP71" s="2398">
        <v>1.1817226890756302E-3</v>
      </c>
      <c r="BQ71" s="2398">
        <v>2.2046427181947868E-3</v>
      </c>
      <c r="BR71" s="2398">
        <v>2.9021918045568744E-3</v>
      </c>
      <c r="BS71" s="2398">
        <v>4.6810463515374028E-3</v>
      </c>
      <c r="BT71" s="2398">
        <v>7.8942619992782397E-3</v>
      </c>
      <c r="BU71" s="2398">
        <v>7.0366081767168432E-3</v>
      </c>
      <c r="BV71" s="2399">
        <v>9.7349440240718612E-4</v>
      </c>
      <c r="BW71" s="2400">
        <f t="shared" ref="BW71:CH71" si="376">BW70/BW$30</f>
        <v>4.8658509255524191E-3</v>
      </c>
      <c r="BX71" s="2401">
        <f t="shared" si="376"/>
        <v>2.7799657137561971E-3</v>
      </c>
      <c r="BY71" s="2401">
        <f t="shared" si="376"/>
        <v>4.5573504196372173E-3</v>
      </c>
      <c r="BZ71" s="2401">
        <f t="shared" si="376"/>
        <v>5.9158338188499979E-3</v>
      </c>
      <c r="CA71" s="2400">
        <f t="shared" si="376"/>
        <v>2.1514051364797632E-3</v>
      </c>
      <c r="CB71" s="2401">
        <f t="shared" si="376"/>
        <v>1.1739130434782609E-3</v>
      </c>
      <c r="CC71" s="2401">
        <f t="shared" si="376"/>
        <v>2.085727663559358E-3</v>
      </c>
      <c r="CD71" s="2401">
        <f t="shared" si="376"/>
        <v>3.6909761995672649E-3</v>
      </c>
      <c r="CE71" s="2400">
        <f t="shared" si="376"/>
        <v>9.7560975609756097E-4</v>
      </c>
      <c r="CF71" s="2401">
        <f t="shared" si="376"/>
        <v>3.8136295805007462E-3</v>
      </c>
      <c r="CG71" s="2401">
        <f t="shared" si="376"/>
        <v>4.2420814479638006E-3</v>
      </c>
      <c r="CH71" s="2401">
        <f t="shared" si="376"/>
        <v>4.4633799959423815E-3</v>
      </c>
      <c r="CI71" s="2400">
        <f>CI70/CI$35</f>
        <v>2.1458374726803101E-3</v>
      </c>
      <c r="CJ71" s="2401">
        <f t="shared" ref="CJ71:DG71" si="377">CJ70/CJ$35</f>
        <v>4.7038532397789191E-4</v>
      </c>
      <c r="CK71" s="2401">
        <f t="shared" si="377"/>
        <v>5.3983188092851086E-4</v>
      </c>
      <c r="CL71" s="2401">
        <f t="shared" si="377"/>
        <v>5.0381738557532074E-4</v>
      </c>
      <c r="CM71" s="2400">
        <f t="shared" si="377"/>
        <v>1.7944216890969378E-3</v>
      </c>
      <c r="CN71" s="2401">
        <f t="shared" si="377"/>
        <v>6.1747452917567151E-4</v>
      </c>
      <c r="CO71" s="2401">
        <f t="shared" si="377"/>
        <v>1.5103458692040478E-4</v>
      </c>
      <c r="CP71" s="2401">
        <f t="shared" si="377"/>
        <v>1.6290964197764727E-3</v>
      </c>
      <c r="CQ71" s="2400">
        <f t="shared" si="377"/>
        <v>1.3338273434605409E-3</v>
      </c>
      <c r="CR71" s="2401">
        <f t="shared" si="377"/>
        <v>3.631609529343405E-4</v>
      </c>
      <c r="CS71" s="2401">
        <f t="shared" si="377"/>
        <v>8.5981442338695232E-4</v>
      </c>
      <c r="CT71" s="2401">
        <f t="shared" si="377"/>
        <v>-2.9540019693346463E-3</v>
      </c>
      <c r="CU71" s="2400">
        <f t="shared" si="377"/>
        <v>6.7275688690602653E-4</v>
      </c>
      <c r="CV71" s="2401">
        <f t="shared" si="377"/>
        <v>1.1919368974583698E-3</v>
      </c>
      <c r="CW71" s="2401">
        <f t="shared" si="377"/>
        <v>3.4474437204812632E-4</v>
      </c>
      <c r="CX71" s="2401">
        <f t="shared" si="377"/>
        <v>6.0372295824249534E-4</v>
      </c>
      <c r="CY71" s="2400">
        <f t="shared" si="377"/>
        <v>1.3337893296853625E-3</v>
      </c>
      <c r="CZ71" s="2401">
        <f t="shared" si="377"/>
        <v>8.4297130525676906E-4</v>
      </c>
      <c r="DA71" s="2401">
        <f t="shared" si="377"/>
        <v>6.6396653608658126E-4</v>
      </c>
      <c r="DB71" s="2401">
        <f t="shared" si="377"/>
        <v>-3.2328979697400753E-5</v>
      </c>
      <c r="DC71" s="2400">
        <f t="shared" si="377"/>
        <v>-3.4376018246985988E-2</v>
      </c>
      <c r="DD71" s="2401">
        <f t="shared" si="377"/>
        <v>2.1049274437888693E-3</v>
      </c>
      <c r="DE71" s="2401">
        <f t="shared" si="377"/>
        <v>2.2478313176723867E-3</v>
      </c>
      <c r="DF71" s="2402">
        <f t="shared" si="377"/>
        <v>3.0429019040732709E-3</v>
      </c>
      <c r="DG71" s="2400">
        <f t="shared" si="377"/>
        <v>2.3863310954850615E-3</v>
      </c>
      <c r="DH71" s="2401">
        <f t="shared" ref="DH71:DJ71" si="378">DH70/DH$35</f>
        <v>1.0101966726647094E-3</v>
      </c>
      <c r="DI71" s="2401">
        <f t="shared" si="378"/>
        <v>1.5637456307107378E-3</v>
      </c>
      <c r="DJ71" s="2402">
        <f t="shared" si="378"/>
        <v>8.3083588024094246E-4</v>
      </c>
      <c r="DK71" s="2400">
        <f t="shared" ref="DK71:DL71" si="379">DK70/DK$35</f>
        <v>1.0111862478670291E-3</v>
      </c>
      <c r="DL71" s="2401">
        <f t="shared" si="379"/>
        <v>-1.3101008777675882E-4</v>
      </c>
      <c r="DM71" s="2401">
        <f t="shared" ref="DM71:DN71" si="380">DM70/DM$35</f>
        <v>3.1354042085528656E-3</v>
      </c>
      <c r="DN71" s="2402">
        <f t="shared" si="380"/>
        <v>3.0303030303030303E-3</v>
      </c>
      <c r="DO71" s="2400">
        <f t="shared" ref="DO71:DP71" si="381">DO70/DO$35</f>
        <v>-2.837593077077883E-2</v>
      </c>
      <c r="DP71" s="2401">
        <f t="shared" si="381"/>
        <v>-6.2197197852559901E-4</v>
      </c>
      <c r="DQ71" s="2401">
        <f t="shared" ref="DQ71:DR71" si="382">DQ70/DQ$35</f>
        <v>-1.6111233723239905E-2</v>
      </c>
      <c r="DR71" s="2402">
        <f t="shared" si="382"/>
        <v>-1.8671771462229422E-2</v>
      </c>
      <c r="DS71" s="2400">
        <f t="shared" ref="DS71" si="383">DS70/DS$35</f>
        <v>-2.360569054513408E-3</v>
      </c>
      <c r="DT71" s="2401">
        <f t="shared" ref="DT71:DV71" ca="1" si="384">DT70/DT$35</f>
        <v>-3.8093363671438312E-4</v>
      </c>
      <c r="DU71" s="2401">
        <f t="shared" ca="1" si="384"/>
        <v>9.741167985557902E-4</v>
      </c>
      <c r="DV71" s="2402">
        <f t="shared" ca="1" si="384"/>
        <v>1.8824508960834231E-3</v>
      </c>
      <c r="DW71" s="1923"/>
      <c r="DX71"/>
      <c r="DY71"/>
      <c r="DZ71"/>
      <c r="EA71"/>
      <c r="EB71"/>
      <c r="EC71"/>
    </row>
    <row r="72" spans="1:133" ht="15" hidden="1" customHeight="1" outlineLevel="1">
      <c r="A72" s="2408" t="s">
        <v>975</v>
      </c>
      <c r="B72" s="1918"/>
      <c r="C72" s="1918"/>
      <c r="D72" s="1918"/>
      <c r="E72" s="1918"/>
      <c r="F72" s="1918"/>
      <c r="G72" s="1918"/>
      <c r="H72" s="1958">
        <v>281</v>
      </c>
      <c r="I72" s="1958">
        <v>383</v>
      </c>
      <c r="J72" s="1958">
        <v>187</v>
      </c>
      <c r="K72" s="1958">
        <v>88.42</v>
      </c>
      <c r="L72" s="1958">
        <v>48.802500000000002</v>
      </c>
      <c r="M72" s="1958">
        <v>63.69</v>
      </c>
      <c r="N72" s="1918">
        <f>SUM(BW72:BZ72)</f>
        <v>94.177499999999995</v>
      </c>
      <c r="O72" s="1918">
        <f>SUM(CA72:CD72)</f>
        <v>72.87</v>
      </c>
      <c r="P72" s="1918">
        <f>SUM(CE72:CH72)</f>
        <v>183.45749999999998</v>
      </c>
      <c r="Q72" s="1918">
        <f>SUM(CI72:CL72)</f>
        <v>178.6575</v>
      </c>
      <c r="R72" s="1918">
        <f>SUM(CM72:CP72)</f>
        <v>262.95749999999998</v>
      </c>
      <c r="S72" s="1918">
        <f>SUM(CQ72:CT72)</f>
        <v>608.79</v>
      </c>
      <c r="T72" s="1918">
        <f>SUM(CU72:CX72)</f>
        <v>511.01249999999999</v>
      </c>
      <c r="U72" s="1918">
        <f>SUM(CY72:DB72)</f>
        <v>670.66000000000008</v>
      </c>
      <c r="V72" s="1918">
        <f>SUM(DC72:DF72)</f>
        <v>694.29</v>
      </c>
      <c r="W72" s="1918">
        <f>SUM(DG72:DJ72)</f>
        <v>218.67000000000002</v>
      </c>
      <c r="X72" s="1918">
        <f>SUM(DK72:DN72)</f>
        <v>196.14</v>
      </c>
      <c r="Y72" s="1918">
        <f>SUM(DO72:DR72)</f>
        <v>162.57</v>
      </c>
      <c r="Z72" s="1918">
        <f>SUM(DP72:DS72)</f>
        <v>154.56</v>
      </c>
      <c r="AA72" s="1918">
        <f ca="1">BS!AA97</f>
        <v>284.98830608213149</v>
      </c>
      <c r="AB72" s="1918">
        <f ca="1">BS!AB97</f>
        <v>486.49636165710768</v>
      </c>
      <c r="AC72" s="1918">
        <f ca="1">BS!AC97</f>
        <v>696.49918902194702</v>
      </c>
      <c r="AD72" s="1918">
        <f ca="1">BS!AD97</f>
        <v>943.76696378536292</v>
      </c>
      <c r="AE72" s="1918">
        <f ca="1">BS!AE97</f>
        <v>1198.3080453894493</v>
      </c>
      <c r="AF72" s="1918">
        <f ca="1">BS!AF97</f>
        <v>1461.1730634608302</v>
      </c>
      <c r="AG72" s="1918">
        <f ca="1">BS!AG97</f>
        <v>1733.4560315408712</v>
      </c>
      <c r="AI72" s="2386"/>
      <c r="AK72" s="1918"/>
      <c r="AL72" s="1918"/>
      <c r="AM72" s="1918"/>
      <c r="AN72" s="1918"/>
      <c r="AO72" s="1918"/>
      <c r="AP72" s="1918"/>
      <c r="AQ72" s="1918"/>
      <c r="AR72" s="1918"/>
      <c r="AS72" s="1918"/>
      <c r="AT72" s="1918"/>
      <c r="AU72" s="1918"/>
      <c r="AV72" s="1918"/>
      <c r="AW72" s="1918"/>
      <c r="AX72" s="1918"/>
      <c r="AY72" s="1918"/>
      <c r="AZ72" s="1918"/>
      <c r="BA72" s="1918"/>
      <c r="BB72" s="1918"/>
      <c r="BC72" s="1918"/>
      <c r="BD72" s="1918"/>
      <c r="BE72" s="1918"/>
      <c r="BF72" s="1918"/>
      <c r="BG72" s="2409">
        <v>54</v>
      </c>
      <c r="BH72" s="2410">
        <v>53</v>
      </c>
      <c r="BI72" s="2410">
        <v>44</v>
      </c>
      <c r="BJ72" s="2410">
        <v>36</v>
      </c>
      <c r="BK72" s="2410">
        <v>58</v>
      </c>
      <c r="BL72" s="2410">
        <v>9</v>
      </c>
      <c r="BM72" s="2410">
        <v>11.1225</v>
      </c>
      <c r="BN72" s="2410">
        <v>10.297499999999999</v>
      </c>
      <c r="BO72" s="2410">
        <v>9.33</v>
      </c>
      <c r="BP72" s="2410">
        <v>8.6850000000000005</v>
      </c>
      <c r="BQ72" s="2410">
        <v>8.9924999999999997</v>
      </c>
      <c r="BR72" s="2410">
        <v>21.795000000000002</v>
      </c>
      <c r="BS72" s="2410">
        <v>22.364999999999998</v>
      </c>
      <c r="BT72" s="2410">
        <v>15.727499999999999</v>
      </c>
      <c r="BU72" s="2410">
        <v>15.157500000000001</v>
      </c>
      <c r="BV72" s="2411">
        <v>10.44</v>
      </c>
      <c r="BW72">
        <f>BS!BZ97</f>
        <v>15.1875</v>
      </c>
      <c r="BX72">
        <f>BS!CA97</f>
        <v>18.262499999999999</v>
      </c>
      <c r="BY72">
        <f>BS!CB97</f>
        <v>22.74</v>
      </c>
      <c r="BZ72">
        <f>BS!CC97</f>
        <v>37.987499999999997</v>
      </c>
      <c r="CA72">
        <f>BS!CD97</f>
        <v>33.9</v>
      </c>
      <c r="CB72">
        <f>BS!CE97</f>
        <v>14.6775</v>
      </c>
      <c r="CC72">
        <f>BS!CF97</f>
        <v>10.282500000000001</v>
      </c>
      <c r="CD72">
        <f>BS!CG97</f>
        <v>14.01</v>
      </c>
      <c r="CE72">
        <f>BS!CH97</f>
        <v>49.784999999999997</v>
      </c>
      <c r="CF72">
        <f>BS!CI97</f>
        <v>45.502499999999998</v>
      </c>
      <c r="CG72">
        <f>BS!CJ97</f>
        <v>9.5850000000000009</v>
      </c>
      <c r="CH72">
        <f>BS!CK97</f>
        <v>78.584999999999994</v>
      </c>
      <c r="CI72">
        <f>BS!CL97</f>
        <v>103.2075</v>
      </c>
      <c r="CJ72">
        <f>BS!CM97</f>
        <v>35.9925</v>
      </c>
      <c r="CK72">
        <f>BS!CN97</f>
        <v>15.27</v>
      </c>
      <c r="CL72">
        <f>BS!CO97</f>
        <v>24.1875</v>
      </c>
      <c r="CM72">
        <f>BS!CP97</f>
        <v>37.844999999999999</v>
      </c>
      <c r="CN72">
        <f>BS!CQ97</f>
        <v>58.484999999999999</v>
      </c>
      <c r="CO72">
        <f>BS!CR97</f>
        <v>76.162499999999994</v>
      </c>
      <c r="CP72">
        <f>BS!CS97</f>
        <v>90.465000000000003</v>
      </c>
      <c r="CQ72">
        <f>BS!CT97</f>
        <v>155.0625</v>
      </c>
      <c r="CR72">
        <f>BS!CU97</f>
        <v>151.85249999999999</v>
      </c>
      <c r="CS72">
        <f>BS!CV97</f>
        <v>124.23</v>
      </c>
      <c r="CT72">
        <f>BS!CW97</f>
        <v>177.64500000000001</v>
      </c>
      <c r="CU72">
        <f>BS!CX97</f>
        <v>144.5325</v>
      </c>
      <c r="CV72">
        <f>BS!CY97</f>
        <v>119.325</v>
      </c>
      <c r="CW72">
        <f>BS!CZ97</f>
        <v>150.01499999999999</v>
      </c>
      <c r="CX72">
        <f>BS!DA97</f>
        <v>97.14</v>
      </c>
      <c r="CY72">
        <f>BS!DB97</f>
        <v>30.93</v>
      </c>
      <c r="CZ72">
        <f>BS!DC97</f>
        <v>54.75</v>
      </c>
      <c r="DA72">
        <f>BS!DD97</f>
        <v>17.88</v>
      </c>
      <c r="DB72">
        <f>BS!DE97</f>
        <v>567.1</v>
      </c>
      <c r="DC72">
        <f>BS!DF97</f>
        <v>535.28</v>
      </c>
      <c r="DD72">
        <f>BS!DG97</f>
        <v>29.07</v>
      </c>
      <c r="DE72">
        <f>BS!DH97</f>
        <v>57.76</v>
      </c>
      <c r="DF72">
        <f>BS!DI97</f>
        <v>72.180000000000007</v>
      </c>
      <c r="DG72">
        <f>BS!DJ97</f>
        <v>105.98</v>
      </c>
      <c r="DH72">
        <f>BS!DK97</f>
        <v>43.86</v>
      </c>
      <c r="DI72">
        <f>BS!DL97</f>
        <v>30.080000000000002</v>
      </c>
      <c r="DJ72" s="555">
        <f>BS!DM97</f>
        <v>38.75</v>
      </c>
      <c r="DK72" s="1918">
        <f>BS!DN97</f>
        <v>44.7</v>
      </c>
      <c r="DL72" s="1918">
        <f>BS!DO97</f>
        <v>58.46</v>
      </c>
      <c r="DM72" s="1918">
        <f>BS!DP97</f>
        <v>28.57</v>
      </c>
      <c r="DN72" s="3017">
        <f>BS!DQ97</f>
        <v>64.41</v>
      </c>
      <c r="DO72" s="3070">
        <f>BS!DR97</f>
        <v>28.8</v>
      </c>
      <c r="DP72" s="3058">
        <f>BS!DS97</f>
        <v>43.07</v>
      </c>
      <c r="DQ72" s="3058">
        <f>BS!DT97</f>
        <v>45.83</v>
      </c>
      <c r="DR72" s="3017">
        <f>BS!DU97</f>
        <v>44.87</v>
      </c>
      <c r="DS72" s="3070">
        <f>BS!DV97</f>
        <v>20.79</v>
      </c>
      <c r="DT72" s="3058">
        <f>BS!DW97</f>
        <v>19.23</v>
      </c>
      <c r="DU72" s="3058">
        <f ca="1">BS!DX97</f>
        <v>62.496115056278448</v>
      </c>
      <c r="DV72" s="3058">
        <f ca="1">BS!DY97</f>
        <v>94.392885576388423</v>
      </c>
      <c r="DW72" s="1923"/>
    </row>
    <row r="73" spans="1:133" ht="15" hidden="1" customHeight="1" outlineLevel="1">
      <c r="A73" s="2408" t="s">
        <v>976</v>
      </c>
      <c r="B73" s="1918"/>
      <c r="C73" s="1918"/>
      <c r="D73" s="1918"/>
      <c r="E73" s="1918"/>
      <c r="F73" s="1918"/>
      <c r="G73" s="1918"/>
      <c r="H73" s="1958">
        <v>1068</v>
      </c>
      <c r="I73" s="1958">
        <v>642</v>
      </c>
      <c r="J73" s="1958">
        <v>47</v>
      </c>
      <c r="K73" s="1958">
        <v>146.58000000000001</v>
      </c>
      <c r="L73" s="1958">
        <v>112.19750000000001</v>
      </c>
      <c r="M73" s="1958">
        <v>393.31</v>
      </c>
      <c r="N73" s="1918">
        <f>SUM(BW73:BZ73)</f>
        <v>301.82249999999999</v>
      </c>
      <c r="O73" s="1918">
        <f>SUM(CA73:CD73)</f>
        <v>138.13</v>
      </c>
      <c r="P73" s="1918">
        <f>SUM(CE73:CH73)</f>
        <v>146.54250000000002</v>
      </c>
      <c r="Q73" s="1918">
        <f>SUM(CI73:CL73)</f>
        <v>-85.657499999999985</v>
      </c>
      <c r="R73" s="1918">
        <f>SUM(CM73:CP73)</f>
        <v>-153.95749999999998</v>
      </c>
      <c r="S73" s="1918">
        <f>SUM(CQ73:CT73)</f>
        <v>-622.79</v>
      </c>
      <c r="T73" s="1918">
        <f>SUM(CU73:CX73)</f>
        <v>-430.01249999999999</v>
      </c>
      <c r="U73" s="1918">
        <f>SUM(CY73:DB73)</f>
        <v>-587.66</v>
      </c>
      <c r="V73" s="1918">
        <f>SUM(DC73:DF73)</f>
        <v>-1511.29</v>
      </c>
      <c r="W73" s="1918">
        <f>SUM(DG73:DJ73)</f>
        <v>-32.67</v>
      </c>
      <c r="X73" s="1918">
        <f>SUM(DK73:DN73)</f>
        <v>26.860000000000014</v>
      </c>
      <c r="Y73" s="1918">
        <f>SUM(DO73:DR73)</f>
        <v>-2172.5700000000002</v>
      </c>
      <c r="Z73" s="1918">
        <f>SUM(DS73:DV73)</f>
        <v>-189.54</v>
      </c>
      <c r="AA73" s="3314">
        <f>-250/2</f>
        <v>-125</v>
      </c>
      <c r="AB73" s="1918">
        <v>0</v>
      </c>
      <c r="AC73" s="1918">
        <v>0</v>
      </c>
      <c r="AD73" s="1918">
        <v>0</v>
      </c>
      <c r="AE73" s="1918">
        <v>0</v>
      </c>
      <c r="AF73" s="1918">
        <v>0</v>
      </c>
      <c r="AG73" s="1918">
        <v>0</v>
      </c>
      <c r="AI73" s="2386"/>
      <c r="AK73" s="1918"/>
      <c r="AL73" s="1918"/>
      <c r="AM73" s="1918"/>
      <c r="AN73" s="1918"/>
      <c r="AO73" s="1918"/>
      <c r="AP73" s="1918"/>
      <c r="AQ73" s="1918"/>
      <c r="AR73" s="1918"/>
      <c r="AS73" s="1918"/>
      <c r="AT73" s="1918"/>
      <c r="AU73" s="1918"/>
      <c r="AV73" s="1918"/>
      <c r="AW73" s="1918"/>
      <c r="AX73" s="1918"/>
      <c r="AY73" s="1918"/>
      <c r="AZ73" s="1918"/>
      <c r="BA73" s="1918"/>
      <c r="BB73" s="1918"/>
      <c r="BC73" s="1918"/>
      <c r="BD73" s="1918"/>
      <c r="BE73" s="1918"/>
      <c r="BF73" s="1918"/>
      <c r="BG73" s="2409">
        <v>9</v>
      </c>
      <c r="BH73" s="2410">
        <v>11</v>
      </c>
      <c r="BI73" s="2410">
        <v>-5</v>
      </c>
      <c r="BJ73" s="2410">
        <v>32</v>
      </c>
      <c r="BK73" s="2410">
        <v>2</v>
      </c>
      <c r="BL73" s="2410">
        <v>-54</v>
      </c>
      <c r="BM73" s="2410">
        <v>85.877499999999998</v>
      </c>
      <c r="BN73" s="2410">
        <v>112.7025</v>
      </c>
      <c r="BO73" s="2410">
        <v>6.67</v>
      </c>
      <c r="BP73" s="2410">
        <v>18.315000000000001</v>
      </c>
      <c r="BQ73" s="2410">
        <v>42.0075</v>
      </c>
      <c r="BR73" s="2410">
        <v>45.204999999999998</v>
      </c>
      <c r="BS73" s="2410">
        <v>79.635000000000005</v>
      </c>
      <c r="BT73" s="2410">
        <v>159.27250000000001</v>
      </c>
      <c r="BU73" s="2410">
        <v>142.8425</v>
      </c>
      <c r="BV73" s="2411">
        <v>11.56</v>
      </c>
      <c r="BW73">
        <f t="shared" ref="BW73:DC73" si="385">BW70-BW72</f>
        <v>87.8125</v>
      </c>
      <c r="BX73">
        <f t="shared" si="385"/>
        <v>41.737499999999997</v>
      </c>
      <c r="BY73">
        <f t="shared" si="385"/>
        <v>78.260000000000005</v>
      </c>
      <c r="BZ73">
        <f t="shared" si="385"/>
        <v>94.012500000000003</v>
      </c>
      <c r="CA73">
        <f t="shared" si="385"/>
        <v>14.100000000000001</v>
      </c>
      <c r="CB73">
        <f t="shared" si="385"/>
        <v>12.3225</v>
      </c>
      <c r="CC73">
        <f t="shared" si="385"/>
        <v>38.717500000000001</v>
      </c>
      <c r="CD73">
        <f t="shared" si="385"/>
        <v>72.989999999999995</v>
      </c>
      <c r="CE73">
        <f t="shared" si="385"/>
        <v>-26.784999999999997</v>
      </c>
      <c r="CF73">
        <f t="shared" si="385"/>
        <v>46.497500000000002</v>
      </c>
      <c r="CG73">
        <f t="shared" si="385"/>
        <v>95.414999999999992</v>
      </c>
      <c r="CH73">
        <f t="shared" si="385"/>
        <v>31.415000000000006</v>
      </c>
      <c r="CI73">
        <f t="shared" si="385"/>
        <v>-49.207499999999996</v>
      </c>
      <c r="CJ73">
        <f t="shared" si="385"/>
        <v>-23.9925</v>
      </c>
      <c r="CK73">
        <f t="shared" si="385"/>
        <v>-1.2699999999999996</v>
      </c>
      <c r="CL73">
        <f t="shared" si="385"/>
        <v>-11.1875</v>
      </c>
      <c r="CM73">
        <f t="shared" si="385"/>
        <v>8.1550000000000011</v>
      </c>
      <c r="CN73">
        <f t="shared" si="385"/>
        <v>-42.484999999999999</v>
      </c>
      <c r="CO73">
        <f t="shared" si="385"/>
        <v>-72.162499999999994</v>
      </c>
      <c r="CP73">
        <f t="shared" si="385"/>
        <v>-47.465000000000003</v>
      </c>
      <c r="CQ73">
        <f t="shared" si="385"/>
        <v>-119.0625</v>
      </c>
      <c r="CR73">
        <f t="shared" si="385"/>
        <v>-141.85249999999999</v>
      </c>
      <c r="CS73">
        <f t="shared" si="385"/>
        <v>-100.23</v>
      </c>
      <c r="CT73">
        <f t="shared" si="385"/>
        <v>-261.64499999999998</v>
      </c>
      <c r="CU73">
        <f t="shared" si="385"/>
        <v>-125.5325</v>
      </c>
      <c r="CV73">
        <f t="shared" si="385"/>
        <v>-85.325000000000003</v>
      </c>
      <c r="CW73">
        <f t="shared" si="385"/>
        <v>-140.01499999999999</v>
      </c>
      <c r="CX73">
        <f t="shared" si="385"/>
        <v>-79.14</v>
      </c>
      <c r="CY73">
        <f t="shared" si="385"/>
        <v>8.07</v>
      </c>
      <c r="CZ73">
        <f t="shared" si="385"/>
        <v>-29.75</v>
      </c>
      <c r="DA73">
        <f t="shared" si="385"/>
        <v>2.120000000000001</v>
      </c>
      <c r="DB73">
        <f t="shared" si="385"/>
        <v>-568.1</v>
      </c>
      <c r="DC73">
        <f t="shared" si="385"/>
        <v>-1590.28</v>
      </c>
      <c r="DD73">
        <f t="shared" ref="DD73:DI73" si="386">DD70-DD72</f>
        <v>36.93</v>
      </c>
      <c r="DE73">
        <f t="shared" si="386"/>
        <v>13.240000000000002</v>
      </c>
      <c r="DF73">
        <f t="shared" si="386"/>
        <v>28.819999999999993</v>
      </c>
      <c r="DG73">
        <f t="shared" si="386"/>
        <v>-30.980000000000004</v>
      </c>
      <c r="DH73">
        <f t="shared" si="386"/>
        <v>-11.86</v>
      </c>
      <c r="DI73">
        <f t="shared" si="386"/>
        <v>20.919999999999998</v>
      </c>
      <c r="DJ73" s="555">
        <f t="shared" ref="DJ73:DO73" si="387">DJ70-DJ72</f>
        <v>-10.75</v>
      </c>
      <c r="DK73" s="1918">
        <f t="shared" si="387"/>
        <v>-12.700000000000003</v>
      </c>
      <c r="DL73" s="1918">
        <f t="shared" si="387"/>
        <v>-62.46</v>
      </c>
      <c r="DM73" s="1918">
        <f t="shared" si="387"/>
        <v>68.430000000000007</v>
      </c>
      <c r="DN73" s="3017">
        <f t="shared" si="387"/>
        <v>33.590000000000003</v>
      </c>
      <c r="DO73" s="3070">
        <f t="shared" si="387"/>
        <v>-874.8</v>
      </c>
      <c r="DP73" s="3058">
        <f t="shared" ref="DP73:DQ73" si="388">DP70-DP72</f>
        <v>-62.07</v>
      </c>
      <c r="DQ73" s="3058">
        <f t="shared" si="388"/>
        <v>-556.83000000000004</v>
      </c>
      <c r="DR73" s="3017">
        <f t="shared" ref="DR73" si="389">DR70-DR72</f>
        <v>-678.87</v>
      </c>
      <c r="DS73" s="3070">
        <f t="shared" ref="DS73" si="390">DS70-DS72</f>
        <v>-95.789999999999992</v>
      </c>
      <c r="DT73" s="3314">
        <f t="shared" ref="DT73:DV73" si="391">-250/8</f>
        <v>-31.25</v>
      </c>
      <c r="DU73" s="3314">
        <f t="shared" si="391"/>
        <v>-31.25</v>
      </c>
      <c r="DV73" s="3315">
        <f t="shared" si="391"/>
        <v>-31.25</v>
      </c>
      <c r="DW73" s="1923"/>
    </row>
    <row r="74" spans="1:133" s="820" customFormat="1" ht="15" customHeight="1" collapsed="1">
      <c r="A74" s="1923" t="s">
        <v>977</v>
      </c>
      <c r="B74" s="1923"/>
      <c r="C74" s="1923"/>
      <c r="D74" s="1923"/>
      <c r="E74" s="1923"/>
      <c r="F74" s="1923"/>
      <c r="G74" s="1923"/>
      <c r="H74" s="1958">
        <v>4145</v>
      </c>
      <c r="I74" s="1958">
        <v>5370</v>
      </c>
      <c r="J74" s="1958">
        <v>4488</v>
      </c>
      <c r="K74" s="1958">
        <v>2902</v>
      </c>
      <c r="L74" s="1958">
        <v>2786</v>
      </c>
      <c r="M74" s="1958">
        <v>2577</v>
      </c>
      <c r="N74" s="1923">
        <f>SUM(BW74:BZ74)</f>
        <v>2323</v>
      </c>
      <c r="O74" s="1923">
        <f>SUM(CA74:CD74)</f>
        <v>1829</v>
      </c>
      <c r="P74" s="1923">
        <f>SUM(CE74:CH74)</f>
        <v>1819</v>
      </c>
      <c r="Q74" s="1923">
        <f>SUM(CI74:CL74)</f>
        <v>2847</v>
      </c>
      <c r="R74" s="1923">
        <f>SUM(CM74:CP74)</f>
        <v>2501</v>
      </c>
      <c r="S74" s="1923">
        <f>SUM(CQ74:CT74)</f>
        <v>2827</v>
      </c>
      <c r="T74" s="1923">
        <f>SUM(CU74:CX74)</f>
        <v>2571</v>
      </c>
      <c r="U74" s="1923">
        <f>SUM(CY74:DB74)</f>
        <v>2011</v>
      </c>
      <c r="V74" s="1923">
        <f>SUM(DC74:DF74)</f>
        <v>4915</v>
      </c>
      <c r="W74" s="1923">
        <f>SUM(DG74:DJ74)</f>
        <v>4920</v>
      </c>
      <c r="X74" s="1923">
        <f>SUM(DK74:DN74)</f>
        <v>4376</v>
      </c>
      <c r="Y74" s="1923">
        <f>SUM(DO74:DR74)</f>
        <v>4733</v>
      </c>
      <c r="Z74" s="1923">
        <f>SUM(DS74:DV74)</f>
        <v>4905.8260357735699</v>
      </c>
      <c r="AA74" s="3160">
        <f>BS!AA84</f>
        <v>4930.0768419312717</v>
      </c>
      <c r="AB74" s="3160">
        <f>BS!AB84</f>
        <v>4978.5784542466745</v>
      </c>
      <c r="AC74" s="3160">
        <f>BS!AC84</f>
        <v>5027.0800665620773</v>
      </c>
      <c r="AD74" s="3160">
        <f>BS!AD84</f>
        <v>5075.58167887748</v>
      </c>
      <c r="AE74" s="3160">
        <f>BS!AE84</f>
        <v>5124.0832911928828</v>
      </c>
      <c r="AF74" s="3160">
        <f>BS!AF84</f>
        <v>5172.5849035082865</v>
      </c>
      <c r="AG74" s="3160">
        <f>BS!AG84</f>
        <v>5221.0865158236893</v>
      </c>
      <c r="AH74" s="1923"/>
      <c r="AI74" s="2386">
        <f>(AA74/V74)^(1/5)-1</f>
        <v>6.1275184228337665E-4</v>
      </c>
      <c r="AJ74" s="1923"/>
      <c r="AK74" s="1923"/>
      <c r="AL74" s="1923"/>
      <c r="AM74" s="1923"/>
      <c r="AN74" s="1923"/>
      <c r="AO74" s="1923"/>
      <c r="AP74" s="1923"/>
      <c r="AQ74" s="1923"/>
      <c r="AR74" s="1923"/>
      <c r="AS74" s="1923"/>
      <c r="AT74" s="1923"/>
      <c r="AU74" s="1923"/>
      <c r="AV74" s="1923"/>
      <c r="AW74" s="1923"/>
      <c r="AX74" s="1923"/>
      <c r="AY74" s="1923"/>
      <c r="AZ74" s="1923"/>
      <c r="BA74" s="1923"/>
      <c r="BB74" s="1923"/>
      <c r="BC74" s="1923"/>
      <c r="BD74" s="1923"/>
      <c r="BE74" s="1923"/>
      <c r="BF74" s="1923"/>
      <c r="BG74" s="2388">
        <v>1329</v>
      </c>
      <c r="BH74" s="2389">
        <v>1341</v>
      </c>
      <c r="BI74" s="2389">
        <v>944</v>
      </c>
      <c r="BJ74" s="2389">
        <v>874</v>
      </c>
      <c r="BK74" s="2389">
        <v>799</v>
      </c>
      <c r="BL74" s="2389">
        <v>709</v>
      </c>
      <c r="BM74" s="2389">
        <v>704</v>
      </c>
      <c r="BN74" s="2389">
        <v>690</v>
      </c>
      <c r="BO74" s="2389">
        <v>738</v>
      </c>
      <c r="BP74" s="2389">
        <v>689</v>
      </c>
      <c r="BQ74" s="2389">
        <v>681</v>
      </c>
      <c r="BR74" s="2389">
        <v>678</v>
      </c>
      <c r="BS74" s="2389">
        <v>668</v>
      </c>
      <c r="BT74" s="2389">
        <v>644</v>
      </c>
      <c r="BU74" s="2389">
        <v>634</v>
      </c>
      <c r="BV74" s="2390">
        <v>631</v>
      </c>
      <c r="BW74" s="2391">
        <f>NormInputs!BP45</f>
        <v>610</v>
      </c>
      <c r="BX74" s="2392">
        <f>NormInputs!BQ45</f>
        <v>590</v>
      </c>
      <c r="BY74" s="2392">
        <f>NormInputs!BR45</f>
        <v>572</v>
      </c>
      <c r="BZ74" s="2392">
        <f>NormInputs!BS45</f>
        <v>551</v>
      </c>
      <c r="CA74" s="2391">
        <f>NormInputs!BT45</f>
        <v>485</v>
      </c>
      <c r="CB74" s="2392">
        <f>NormInputs!BU45</f>
        <v>455</v>
      </c>
      <c r="CC74" s="2392">
        <f>NormInputs!BV45</f>
        <v>450</v>
      </c>
      <c r="CD74" s="2392">
        <f>NormInputs!BW45</f>
        <v>439</v>
      </c>
      <c r="CE74" s="2391">
        <f>NormInputs!BX45</f>
        <v>459</v>
      </c>
      <c r="CF74" s="2392">
        <f>NormInputs!BY45</f>
        <v>403</v>
      </c>
      <c r="CG74" s="2392">
        <f>NormInputs!BZ45</f>
        <v>440</v>
      </c>
      <c r="CH74" s="2392">
        <f>NormInputs!CA45</f>
        <v>517</v>
      </c>
      <c r="CI74" s="2391">
        <f>NormInputs!CB45</f>
        <v>717</v>
      </c>
      <c r="CJ74" s="2392">
        <f>NormInputs!CC45</f>
        <v>740</v>
      </c>
      <c r="CK74" s="2392">
        <f>NormInputs!CD45</f>
        <v>704</v>
      </c>
      <c r="CL74" s="2392">
        <f>NormInputs!CE45</f>
        <v>686</v>
      </c>
      <c r="CM74" s="2391">
        <f>NormInputs!CF45</f>
        <v>669</v>
      </c>
      <c r="CN74" s="2392">
        <f>NormInputs!CG45</f>
        <v>668</v>
      </c>
      <c r="CO74" s="2392">
        <f>NormInputs!CH45</f>
        <v>597</v>
      </c>
      <c r="CP74" s="2392">
        <f>NormInputs!CI45</f>
        <v>567</v>
      </c>
      <c r="CQ74" s="2391">
        <f>NormInputs!CJ45</f>
        <v>709</v>
      </c>
      <c r="CR74" s="2392">
        <f>NormInputs!CK45</f>
        <v>717</v>
      </c>
      <c r="CS74" s="2392">
        <f>NormInputs!CL45</f>
        <v>698</v>
      </c>
      <c r="CT74" s="2392">
        <f>NormInputs!CM45</f>
        <v>703</v>
      </c>
      <c r="CU74" s="2391">
        <f>NormInputs!CN45</f>
        <v>685</v>
      </c>
      <c r="CV74" s="2392">
        <f>NormInputs!CO45</f>
        <v>679</v>
      </c>
      <c r="CW74" s="2392">
        <f>NormInputs!CP45</f>
        <v>632</v>
      </c>
      <c r="CX74" s="2392">
        <f>NormInputs!CQ45</f>
        <v>575</v>
      </c>
      <c r="CY74" s="2391">
        <f>NormInputs!CR45</f>
        <v>537</v>
      </c>
      <c r="CZ74" s="2392">
        <f>NormInputs!CS45</f>
        <v>514</v>
      </c>
      <c r="DA74" s="2392">
        <f>NormInputs!CT45</f>
        <v>515</v>
      </c>
      <c r="DB74" s="2392">
        <f>NormInputs!CU45</f>
        <v>445</v>
      </c>
      <c r="DC74" s="2391">
        <f>NormInputs!CV45</f>
        <v>1214</v>
      </c>
      <c r="DD74" s="2392">
        <f>NormInputs!CW45</f>
        <v>1164</v>
      </c>
      <c r="DE74" s="2392">
        <f>NormInputs!CX45</f>
        <v>1255</v>
      </c>
      <c r="DF74" s="2393">
        <f>NormInputs!CY45</f>
        <v>1282</v>
      </c>
      <c r="DG74" s="2391">
        <f>NormInputs!CZ45</f>
        <v>1332</v>
      </c>
      <c r="DH74" s="2392">
        <f>NormInputs!DA45</f>
        <v>1208</v>
      </c>
      <c r="DI74" s="2407">
        <f>NormInputs!DB45</f>
        <v>1202</v>
      </c>
      <c r="DJ74" s="2481">
        <f>NormInputs!DC45</f>
        <v>1178</v>
      </c>
      <c r="DK74" s="2496">
        <f>NormInputs!DD45</f>
        <v>1188</v>
      </c>
      <c r="DL74" s="2563">
        <f>NormInputs!DE45</f>
        <v>1013</v>
      </c>
      <c r="DM74" s="2563">
        <f>NormInputs!DF45</f>
        <v>1038</v>
      </c>
      <c r="DN74" s="2564">
        <f>NormInputs!DG45</f>
        <v>1137</v>
      </c>
      <c r="DO74" s="2496">
        <f>NormInputs!DH45</f>
        <v>1132</v>
      </c>
      <c r="DP74" s="2563">
        <f>NormInputs!DI45</f>
        <v>1218</v>
      </c>
      <c r="DQ74" s="2563">
        <f>NormInputs!DJ45</f>
        <v>1164</v>
      </c>
      <c r="DR74" s="2564">
        <f>NormInputs!DK45</f>
        <v>1219</v>
      </c>
      <c r="DS74" s="2496">
        <f>NormInputs!DL45</f>
        <v>1201</v>
      </c>
      <c r="DT74" s="2563">
        <f>BS!DW84</f>
        <v>1222.9600850299807</v>
      </c>
      <c r="DU74" s="2563">
        <f>BS!DX84</f>
        <v>1234.9420119245233</v>
      </c>
      <c r="DV74" s="2564">
        <f>BS!DY84</f>
        <v>1246.9239388190656</v>
      </c>
      <c r="DW74" s="1923"/>
      <c r="DX74"/>
      <c r="DY74"/>
      <c r="DZ74"/>
      <c r="EA74"/>
      <c r="EB74"/>
      <c r="EC74"/>
    </row>
    <row r="75" spans="1:133" s="821" customFormat="1" ht="15" customHeight="1">
      <c r="A75" s="2396" t="s">
        <v>1625</v>
      </c>
      <c r="B75" s="1921"/>
      <c r="C75" s="1921"/>
      <c r="D75" s="1921"/>
      <c r="E75" s="1921"/>
      <c r="F75" s="1921"/>
      <c r="G75" s="1921"/>
      <c r="H75" s="1958">
        <v>4.1877993089373393E-2</v>
      </c>
      <c r="I75" s="1958">
        <v>5.3676918924862309E-2</v>
      </c>
      <c r="J75" s="1958">
        <v>4.7109702205380667E-2</v>
      </c>
      <c r="K75" s="1958">
        <v>3.1838328871725108E-2</v>
      </c>
      <c r="L75" s="1958">
        <v>3.0479066154670869E-2</v>
      </c>
      <c r="M75" s="1958">
        <v>2.8987300480309557E-2</v>
      </c>
      <c r="N75" s="1921">
        <f>N74/N$30</f>
        <v>2.663198838950501E-2</v>
      </c>
      <c r="O75" s="1921">
        <f>O74/O$30</f>
        <v>1.9799729364005411E-2</v>
      </c>
      <c r="P75" s="1921">
        <f>P74/P$30</f>
        <v>1.873403641756612E-2</v>
      </c>
      <c r="Q75" s="1921">
        <f>Q74/Q$35</f>
        <v>2.7799205179030007E-2</v>
      </c>
      <c r="R75" s="1921">
        <f t="shared" ref="R75:AA75" si="392">R74/R$35</f>
        <v>2.3949974144370174E-2</v>
      </c>
      <c r="S75" s="1921">
        <f t="shared" si="392"/>
        <v>2.549718151071026E-2</v>
      </c>
      <c r="T75" s="1921">
        <f t="shared" si="392"/>
        <v>2.224260093953577E-2</v>
      </c>
      <c r="U75" s="1921">
        <f t="shared" si="392"/>
        <v>1.6765179114805212E-2</v>
      </c>
      <c r="V75" s="1921">
        <f t="shared" si="392"/>
        <v>3.8754799996846001E-2</v>
      </c>
      <c r="W75" s="1921">
        <f t="shared" si="392"/>
        <v>3.8015468896083322E-2</v>
      </c>
      <c r="X75" s="1921">
        <f>X74/X$35</f>
        <v>3.4881033039735367E-2</v>
      </c>
      <c r="Y75" s="1921">
        <f>Y74/Y$35</f>
        <v>3.7553358617515908E-2</v>
      </c>
      <c r="Z75" s="1921">
        <f ca="1">Z74/Z$35</f>
        <v>3.8045786242024635E-2</v>
      </c>
      <c r="AA75" s="1921">
        <f t="shared" ca="1" si="392"/>
        <v>3.8206984457939568E-2</v>
      </c>
      <c r="AB75" s="1921">
        <f t="shared" ref="AB75:AG75" ca="1" si="393">AB74/AB$35</f>
        <v>3.8399336466024982E-2</v>
      </c>
      <c r="AC75" s="1921">
        <f t="shared" ca="1" si="393"/>
        <v>3.8568797630031265E-2</v>
      </c>
      <c r="AD75" s="1921">
        <f t="shared" ca="1" si="393"/>
        <v>3.8717637693648006E-2</v>
      </c>
      <c r="AE75" s="1921">
        <f t="shared" ca="1" si="393"/>
        <v>3.8843805341473289E-2</v>
      </c>
      <c r="AF75" s="1921">
        <f t="shared" ca="1" si="393"/>
        <v>3.8943483291109679E-2</v>
      </c>
      <c r="AG75" s="1921">
        <f t="shared" ca="1" si="393"/>
        <v>3.9012259574639024E-2</v>
      </c>
      <c r="AH75" s="1921"/>
      <c r="AI75" s="2386"/>
      <c r="AJ75" s="1921"/>
      <c r="AK75" s="1921"/>
      <c r="AL75" s="1921"/>
      <c r="AM75" s="1921"/>
      <c r="AN75" s="1921"/>
      <c r="AO75" s="1921"/>
      <c r="AP75" s="1921"/>
      <c r="AQ75" s="1921"/>
      <c r="AR75" s="1921"/>
      <c r="AS75" s="1921"/>
      <c r="AT75" s="1921"/>
      <c r="AU75" s="1921"/>
      <c r="AV75" s="1921"/>
      <c r="AW75" s="1921"/>
      <c r="AX75" s="1921"/>
      <c r="AY75" s="1921"/>
      <c r="AZ75" s="1921"/>
      <c r="BA75" s="1921"/>
      <c r="BB75" s="1921"/>
      <c r="BC75" s="1921"/>
      <c r="BD75" s="1921"/>
      <c r="BE75" s="1921"/>
      <c r="BF75" s="1921"/>
      <c r="BG75" s="2397">
        <v>5.5819228023016504E-2</v>
      </c>
      <c r="BH75" s="2398">
        <v>5.6486941870261161E-2</v>
      </c>
      <c r="BI75" s="2398">
        <v>3.9145759900476883E-2</v>
      </c>
      <c r="BJ75" s="2398">
        <v>3.70291912045079E-2</v>
      </c>
      <c r="BK75" s="2398">
        <v>3.4904547638810013E-2</v>
      </c>
      <c r="BL75" s="2398">
        <v>3.11087710060989E-2</v>
      </c>
      <c r="BM75" s="2398">
        <v>3.0767886018967704E-2</v>
      </c>
      <c r="BN75" s="2398">
        <v>3.0551250830197035E-2</v>
      </c>
      <c r="BO75" s="2398">
        <v>3.3034914950760969E-2</v>
      </c>
      <c r="BP75" s="2398">
        <v>3.0155812324929972E-2</v>
      </c>
      <c r="BQ75" s="2398">
        <v>2.9438464531189212E-2</v>
      </c>
      <c r="BR75" s="2398">
        <v>2.9368448410291952E-2</v>
      </c>
      <c r="BS75" s="2398">
        <v>3.0656264341441027E-2</v>
      </c>
      <c r="BT75" s="2398">
        <v>2.9050884157343918E-2</v>
      </c>
      <c r="BU75" s="2398">
        <v>2.8235503696446066E-2</v>
      </c>
      <c r="BV75" s="2399">
        <v>2.7921589450860658E-2</v>
      </c>
      <c r="BW75" s="2400">
        <f t="shared" ref="BW75:CH75" si="394">BW74/BW$30</f>
        <v>2.8817175384339568E-2</v>
      </c>
      <c r="BX75" s="2401">
        <f t="shared" si="394"/>
        <v>2.7336329518602605E-2</v>
      </c>
      <c r="BY75" s="2401">
        <f t="shared" si="394"/>
        <v>2.5809944950816715E-2</v>
      </c>
      <c r="BZ75" s="2401">
        <f t="shared" si="394"/>
        <v>2.4694124501411733E-2</v>
      </c>
      <c r="CA75" s="2400">
        <f t="shared" si="394"/>
        <v>2.1738156066514275E-2</v>
      </c>
      <c r="CB75" s="2401">
        <f t="shared" si="394"/>
        <v>1.9782608695652175E-2</v>
      </c>
      <c r="CC75" s="2401">
        <f t="shared" si="394"/>
        <v>1.9154641808198185E-2</v>
      </c>
      <c r="CD75" s="2401">
        <f t="shared" si="394"/>
        <v>1.8624581052988844E-2</v>
      </c>
      <c r="CE75" s="2400">
        <f t="shared" si="394"/>
        <v>1.9469777306468716E-2</v>
      </c>
      <c r="CF75" s="2401">
        <f t="shared" si="394"/>
        <v>1.6705355662410878E-2</v>
      </c>
      <c r="CG75" s="2401">
        <f t="shared" si="394"/>
        <v>1.777634130575307E-2</v>
      </c>
      <c r="CH75" s="2401">
        <f t="shared" si="394"/>
        <v>2.0977885980929194E-2</v>
      </c>
      <c r="CI75" s="2400">
        <f>CI74/CI$35</f>
        <v>2.8491953109477448E-2</v>
      </c>
      <c r="CJ75" s="2401">
        <f t="shared" ref="CJ75:DG75" si="395">CJ74/CJ$35</f>
        <v>2.9007094978636665E-2</v>
      </c>
      <c r="CK75" s="2401">
        <f t="shared" si="395"/>
        <v>2.7145831726690831E-2</v>
      </c>
      <c r="CL75" s="2401">
        <f t="shared" si="395"/>
        <v>2.6586055884974615E-2</v>
      </c>
      <c r="CM75" s="2400">
        <f t="shared" si="395"/>
        <v>2.6097132826214162E-2</v>
      </c>
      <c r="CN75" s="2401">
        <f t="shared" si="395"/>
        <v>2.5779561593084286E-2</v>
      </c>
      <c r="CO75" s="2401">
        <f t="shared" si="395"/>
        <v>2.2541912097870414E-2</v>
      </c>
      <c r="CP75" s="2401">
        <f t="shared" si="395"/>
        <v>2.1481341163099073E-2</v>
      </c>
      <c r="CQ75" s="2400">
        <f t="shared" si="395"/>
        <v>2.6268988514264541E-2</v>
      </c>
      <c r="CR75" s="2401">
        <f t="shared" si="395"/>
        <v>2.6038640325392215E-2</v>
      </c>
      <c r="CS75" s="2401">
        <f t="shared" si="395"/>
        <v>2.5006269480170529E-2</v>
      </c>
      <c r="CT75" s="2401">
        <f t="shared" si="395"/>
        <v>2.47221831481221E-2</v>
      </c>
      <c r="CU75" s="2400">
        <f t="shared" si="395"/>
        <v>2.4254656185822534E-2</v>
      </c>
      <c r="CV75" s="2401">
        <f t="shared" si="395"/>
        <v>2.3803680981595091E-2</v>
      </c>
      <c r="CW75" s="2401">
        <f t="shared" si="395"/>
        <v>2.1787844313441582E-2</v>
      </c>
      <c r="CX75" s="2401">
        <f t="shared" si="395"/>
        <v>1.9285594499413049E-2</v>
      </c>
      <c r="CY75" s="2400">
        <f t="shared" si="395"/>
        <v>1.8365253077975378E-2</v>
      </c>
      <c r="CZ75" s="2401">
        <f t="shared" si="395"/>
        <v>1.7331490036079172E-2</v>
      </c>
      <c r="DA75" s="2401">
        <f t="shared" si="395"/>
        <v>1.7097138304229466E-2</v>
      </c>
      <c r="DB75" s="2401">
        <f t="shared" si="395"/>
        <v>1.4386395965343335E-2</v>
      </c>
      <c r="DC75" s="2400">
        <f t="shared" si="395"/>
        <v>3.955685891169762E-2</v>
      </c>
      <c r="DD75" s="2401">
        <f t="shared" si="395"/>
        <v>3.7123265826821877E-2</v>
      </c>
      <c r="DE75" s="2401">
        <f t="shared" si="395"/>
        <v>3.9732793009561201E-2</v>
      </c>
      <c r="DF75" s="2402">
        <f t="shared" si="395"/>
        <v>3.8623764762593396E-2</v>
      </c>
      <c r="DG75" s="2400">
        <f t="shared" si="395"/>
        <v>4.2381240255814696E-2</v>
      </c>
      <c r="DH75" s="2401">
        <f t="shared" ref="DH75:DJ75" si="396">DH74/DH$35</f>
        <v>3.8134924393092781E-2</v>
      </c>
      <c r="DI75" s="2401">
        <f t="shared" si="396"/>
        <v>3.6855338198319737E-2</v>
      </c>
      <c r="DJ75" s="2402">
        <f t="shared" si="396"/>
        <v>3.4954452390136788E-2</v>
      </c>
      <c r="DK75" s="2400">
        <f t="shared" ref="DK75:DL75" si="397">DK74/DK$35</f>
        <v>3.7540289452063454E-2</v>
      </c>
      <c r="DL75" s="2401">
        <f t="shared" si="397"/>
        <v>3.3178304729464168E-2</v>
      </c>
      <c r="DM75" s="2401">
        <f t="shared" ref="DM75:DN75" si="398">DM74/DM$35</f>
        <v>3.3552057406988398E-2</v>
      </c>
      <c r="DN75" s="2402">
        <f t="shared" si="398"/>
        <v>3.515769944341373E-2</v>
      </c>
      <c r="DO75" s="2400">
        <f t="shared" ref="DO75:DP75" si="399">DO74/DO$35</f>
        <v>3.7968739518347082E-2</v>
      </c>
      <c r="DP75" s="2401">
        <f t="shared" si="399"/>
        <v>3.987167736021998E-2</v>
      </c>
      <c r="DQ75" s="2401">
        <f t="shared" ref="DQ75:DR75" si="400">DQ74/DQ$35</f>
        <v>3.6699561749219664E-2</v>
      </c>
      <c r="DR75" s="2402">
        <f t="shared" si="400"/>
        <v>3.5900456486526282E-2</v>
      </c>
      <c r="DS75" s="2400">
        <f t="shared" ref="DS75" si="401">DS74/DS$35</f>
        <v>3.7800579126274707E-2</v>
      </c>
      <c r="DT75" s="2401">
        <f t="shared" ref="DT75:DV75" ca="1" si="402">DT74/DT$35</f>
        <v>3.8757623356655724E-2</v>
      </c>
      <c r="DU75" s="2401">
        <f t="shared" ca="1" si="402"/>
        <v>3.8500074549787669E-2</v>
      </c>
      <c r="DV75" s="2402">
        <f t="shared" ca="1" si="402"/>
        <v>3.7173991409343479E-2</v>
      </c>
      <c r="DW75" s="1923"/>
      <c r="DX75"/>
      <c r="DY75"/>
      <c r="DZ75"/>
      <c r="EA75"/>
      <c r="EB75"/>
      <c r="EC75"/>
    </row>
    <row r="76" spans="1:133" s="820" customFormat="1" ht="15" customHeight="1">
      <c r="A76" s="1923" t="s">
        <v>979</v>
      </c>
      <c r="B76" s="1923"/>
      <c r="C76" s="1923"/>
      <c r="D76" s="1923"/>
      <c r="E76" s="1923"/>
      <c r="F76" s="1923"/>
      <c r="G76" s="1923"/>
      <c r="H76" s="1958">
        <v>9617</v>
      </c>
      <c r="I76" s="1958">
        <v>11515</v>
      </c>
      <c r="J76" s="1958">
        <v>11900</v>
      </c>
      <c r="K76" s="1958">
        <v>11245</v>
      </c>
      <c r="L76" s="1958">
        <v>10150</v>
      </c>
      <c r="M76" s="1958">
        <v>10248</v>
      </c>
      <c r="N76" s="1923">
        <f>N56+N67+N70-N74+N84+N65</f>
        <v>9254.9316888045578</v>
      </c>
      <c r="O76" s="1923">
        <f>O56+O67+O70-O74+O84+O65</f>
        <v>10641</v>
      </c>
      <c r="P76" s="1923">
        <f>P56+P67+P70-P74+P84+P65</f>
        <v>11032</v>
      </c>
      <c r="Q76" s="1923">
        <f t="shared" ref="Q76:AA76" si="403">Q63-Q48+Q67+Q70-Q74+Q84+Q65</f>
        <v>7867.7719999999999</v>
      </c>
      <c r="R76" s="1923">
        <f t="shared" si="403"/>
        <v>8533.7439999999988</v>
      </c>
      <c r="S76" s="1923">
        <f t="shared" si="403"/>
        <v>8763</v>
      </c>
      <c r="T76" s="1923">
        <f t="shared" si="403"/>
        <v>9109.0000000000018</v>
      </c>
      <c r="U76" s="1923">
        <f t="shared" si="403"/>
        <v>11704.1</v>
      </c>
      <c r="V76" s="1923">
        <f t="shared" si="403"/>
        <v>20438</v>
      </c>
      <c r="W76" s="1923">
        <f t="shared" si="403"/>
        <v>23035</v>
      </c>
      <c r="X76" s="1923">
        <f>X63-X48+X67+X70-X74+X84+X65</f>
        <v>23576</v>
      </c>
      <c r="Y76" s="1923">
        <f>Y63-Y48+Y67+Y70-Y74+Y84+Y65</f>
        <v>22434</v>
      </c>
      <c r="Z76" s="1923">
        <f ca="1">Z63-Z48+Z67+Z70-Z74+Z84+Z65</f>
        <v>24889.67386620698</v>
      </c>
      <c r="AA76" s="1923">
        <f t="shared" ca="1" si="403"/>
        <v>26065.728233000984</v>
      </c>
      <c r="AB76" s="1923">
        <f t="shared" ref="AB76:AG76" ca="1" si="404">AB63-AB48+AB67+AB70-AB74+AB84+AB65</f>
        <v>27261.414321564356</v>
      </c>
      <c r="AC76" s="1923">
        <f t="shared" ca="1" si="404"/>
        <v>28425.624381713671</v>
      </c>
      <c r="AD76" s="1923">
        <f t="shared" ca="1" si="404"/>
        <v>29701.123077086278</v>
      </c>
      <c r="AE76" s="1923">
        <f t="shared" ca="1" si="404"/>
        <v>31058.646324380003</v>
      </c>
      <c r="AF76" s="1923">
        <f t="shared" ca="1" si="404"/>
        <v>32505.375446862585</v>
      </c>
      <c r="AG76" s="1923">
        <f t="shared" ca="1" si="404"/>
        <v>34010.540400611208</v>
      </c>
      <c r="AH76" s="1923"/>
      <c r="AI76" s="2386">
        <f ca="1">(AA76/V76)^(1/5)-1</f>
        <v>4.9847681859418902E-2</v>
      </c>
      <c r="AJ76" s="1923"/>
      <c r="AK76" s="1923"/>
      <c r="AL76" s="1923"/>
      <c r="AM76" s="1923"/>
      <c r="AN76" s="1923"/>
      <c r="AO76" s="1923"/>
      <c r="AP76" s="1923"/>
      <c r="AQ76" s="1923"/>
      <c r="AR76" s="1923"/>
      <c r="AS76" s="1923"/>
      <c r="AT76" s="1923"/>
      <c r="AU76" s="1923"/>
      <c r="AV76" s="1923"/>
      <c r="AW76" s="1923"/>
      <c r="AX76" s="1923"/>
      <c r="AY76" s="1923"/>
      <c r="AZ76" s="1923"/>
      <c r="BA76" s="1923"/>
      <c r="BB76" s="1923"/>
      <c r="BC76" s="1923"/>
      <c r="BD76" s="1923"/>
      <c r="BE76" s="1923"/>
      <c r="BF76" s="1923"/>
      <c r="BG76" s="2388">
        <v>2589</v>
      </c>
      <c r="BH76" s="2389">
        <v>2484</v>
      </c>
      <c r="BI76" s="2389">
        <v>3509</v>
      </c>
      <c r="BJ76" s="2389">
        <v>3318</v>
      </c>
      <c r="BK76" s="2389">
        <v>3377</v>
      </c>
      <c r="BL76" s="2389">
        <v>3022</v>
      </c>
      <c r="BM76" s="2389">
        <v>2792</v>
      </c>
      <c r="BN76" s="2389">
        <v>2054</v>
      </c>
      <c r="BO76" s="2389">
        <v>2107</v>
      </c>
      <c r="BP76" s="2389">
        <v>2600</v>
      </c>
      <c r="BQ76" s="2389">
        <v>2695</v>
      </c>
      <c r="BR76" s="2389">
        <v>2748</v>
      </c>
      <c r="BS76" s="2389">
        <v>2502</v>
      </c>
      <c r="BT76" s="2389">
        <v>2587</v>
      </c>
      <c r="BU76" s="2389">
        <v>2736</v>
      </c>
      <c r="BV76" s="2390">
        <v>2533</v>
      </c>
      <c r="BW76" s="2391">
        <f t="shared" ref="BW76:CH76" si="405">BW56+BW67+BW70-BW74+BW84+BW65</f>
        <v>2292.9316888045505</v>
      </c>
      <c r="BX76" s="2392">
        <f t="shared" si="405"/>
        <v>2293</v>
      </c>
      <c r="BY76" s="2392">
        <f t="shared" si="405"/>
        <v>2373</v>
      </c>
      <c r="BZ76" s="2392">
        <f t="shared" si="405"/>
        <v>2296</v>
      </c>
      <c r="CA76" s="2391">
        <f t="shared" si="405"/>
        <v>2479</v>
      </c>
      <c r="CB76" s="2392">
        <f t="shared" si="405"/>
        <v>2665</v>
      </c>
      <c r="CC76" s="2392">
        <f t="shared" si="405"/>
        <v>2762</v>
      </c>
      <c r="CD76" s="2392">
        <f t="shared" si="405"/>
        <v>2735</v>
      </c>
      <c r="CE76" s="2391">
        <f t="shared" si="405"/>
        <v>2719</v>
      </c>
      <c r="CF76" s="2392">
        <f t="shared" si="405"/>
        <v>2899</v>
      </c>
      <c r="CG76" s="2392">
        <f t="shared" si="405"/>
        <v>2834</v>
      </c>
      <c r="CH76" s="2392">
        <f t="shared" si="405"/>
        <v>2580</v>
      </c>
      <c r="CI76" s="2391">
        <f t="shared" ref="CI76:DG76" si="406">CI63-CI48+CI67+CI70-CI74+CI84+CI65</f>
        <v>2019.8889999999999</v>
      </c>
      <c r="CJ76" s="2392">
        <f t="shared" si="406"/>
        <v>2128.982</v>
      </c>
      <c r="CK76" s="2392">
        <f t="shared" si="406"/>
        <v>1958.7170000000001</v>
      </c>
      <c r="CL76" s="2392">
        <f t="shared" si="406"/>
        <v>1760.184</v>
      </c>
      <c r="CM76" s="2391">
        <f t="shared" si="406"/>
        <v>1930.1379999999999</v>
      </c>
      <c r="CN76" s="2392">
        <f t="shared" si="406"/>
        <v>2114.4459999999999</v>
      </c>
      <c r="CO76" s="2392">
        <f t="shared" si="406"/>
        <v>2256.1819999999998</v>
      </c>
      <c r="CP76" s="2392">
        <f t="shared" si="406"/>
        <v>2232.9780000000001</v>
      </c>
      <c r="CQ76" s="2391">
        <f t="shared" si="406"/>
        <v>2056</v>
      </c>
      <c r="CR76" s="2392">
        <f t="shared" si="406"/>
        <v>2311</v>
      </c>
      <c r="CS76" s="2392">
        <f t="shared" si="406"/>
        <v>2264</v>
      </c>
      <c r="CT76" s="2392">
        <f t="shared" si="406"/>
        <v>2132</v>
      </c>
      <c r="CU76" s="2391">
        <f t="shared" si="406"/>
        <v>2412</v>
      </c>
      <c r="CV76" s="2392">
        <f t="shared" si="406"/>
        <v>2591</v>
      </c>
      <c r="CW76" s="2392">
        <f t="shared" si="406"/>
        <v>2608</v>
      </c>
      <c r="CX76" s="2392">
        <f t="shared" si="406"/>
        <v>1498</v>
      </c>
      <c r="CY76" s="2391">
        <f t="shared" si="406"/>
        <v>2806</v>
      </c>
      <c r="CZ76" s="2392">
        <f t="shared" si="406"/>
        <v>2989</v>
      </c>
      <c r="DA76" s="2392">
        <f t="shared" si="406"/>
        <v>3145.1</v>
      </c>
      <c r="DB76" s="2392">
        <f t="shared" si="406"/>
        <v>2764</v>
      </c>
      <c r="DC76" s="2391">
        <f t="shared" si="406"/>
        <v>4748</v>
      </c>
      <c r="DD76" s="2392">
        <f t="shared" si="406"/>
        <v>5721</v>
      </c>
      <c r="DE76" s="2392">
        <f t="shared" si="406"/>
        <v>5559</v>
      </c>
      <c r="DF76" s="2393">
        <f t="shared" si="406"/>
        <v>4410</v>
      </c>
      <c r="DG76" s="2391">
        <f t="shared" si="406"/>
        <v>5995</v>
      </c>
      <c r="DH76" s="2392">
        <f t="shared" ref="DH76:DJ76" si="407">DH63-DH48+DH67+DH70-DH74+DH84+DH65</f>
        <v>5958</v>
      </c>
      <c r="DI76" s="2392">
        <f t="shared" si="407"/>
        <v>6031</v>
      </c>
      <c r="DJ76" s="2393">
        <f t="shared" si="407"/>
        <v>5051</v>
      </c>
      <c r="DK76" s="2391">
        <f t="shared" ref="DK76:DL76" si="408">DK63-DK48+DK67+DK70-DK74+DK84+DK65</f>
        <v>6144</v>
      </c>
      <c r="DL76" s="2392">
        <f t="shared" si="408"/>
        <v>5931</v>
      </c>
      <c r="DM76" s="2392">
        <f t="shared" ref="DM76:DN76" si="409">DM63-DM48+DM67+DM70-DM74+DM84+DM65</f>
        <v>6246</v>
      </c>
      <c r="DN76" s="2393">
        <f t="shared" si="409"/>
        <v>5255</v>
      </c>
      <c r="DO76" s="2391">
        <f t="shared" ref="DO76:DP76" si="410">DO63-DO48+DO67+DO70-DO74+DO84+DO65</f>
        <v>5205</v>
      </c>
      <c r="DP76" s="2392">
        <f t="shared" si="410"/>
        <v>5836</v>
      </c>
      <c r="DQ76" s="2392">
        <f t="shared" ref="DQ76:DR76" si="411">DQ63-DQ48+DQ67+DQ70-DQ74+DQ84+DQ65</f>
        <v>6015</v>
      </c>
      <c r="DR76" s="2393">
        <f t="shared" si="411"/>
        <v>5378</v>
      </c>
      <c r="DS76" s="2391">
        <f t="shared" ref="DS76" si="412">DS63-DS48+DS67+DS70-DS74+DS84+DS65</f>
        <v>6289</v>
      </c>
      <c r="DT76" s="2392">
        <f t="shared" ref="DT76:DV76" ca="1" si="413">DT63-DT48+DT67+DT70-DT74+DT84+DT65</f>
        <v>6397.718661125662</v>
      </c>
      <c r="DU76" s="2392">
        <f t="shared" ca="1" si="413"/>
        <v>6678.0133870214513</v>
      </c>
      <c r="DV76" s="2393">
        <f t="shared" ca="1" si="413"/>
        <v>5524.941818059875</v>
      </c>
      <c r="DW76" s="1923"/>
      <c r="DX76"/>
      <c r="DY76"/>
      <c r="DZ76"/>
      <c r="EA76"/>
      <c r="EB76"/>
      <c r="EC76"/>
    </row>
    <row r="77" spans="1:133" s="821" customFormat="1" ht="15" customHeight="1">
      <c r="A77" s="2396" t="s">
        <v>1625</v>
      </c>
      <c r="B77" s="1921"/>
      <c r="C77" s="1921"/>
      <c r="D77" s="1921"/>
      <c r="E77" s="1921"/>
      <c r="F77" s="1921"/>
      <c r="G77" s="1921"/>
      <c r="H77" s="1958">
        <v>9.7163005920507584E-2</v>
      </c>
      <c r="I77" s="1958">
        <v>0.11510050678208371</v>
      </c>
      <c r="J77" s="1958">
        <v>0.12491208918093359</v>
      </c>
      <c r="K77" s="1958">
        <v>0.12337078158599202</v>
      </c>
      <c r="L77" s="1958">
        <v>0.11104182393033356</v>
      </c>
      <c r="M77" s="1958">
        <v>0.1152742938774592</v>
      </c>
      <c r="N77" s="1921">
        <f>N76/N$30</f>
        <v>0.10610298462415195</v>
      </c>
      <c r="O77" s="1921">
        <f>O76/O$30</f>
        <v>0.11519350473612991</v>
      </c>
      <c r="P77" s="1921">
        <f>P76/P$30</f>
        <v>0.11361951058745984</v>
      </c>
      <c r="Q77" s="1921">
        <f>Q76/Q$35</f>
        <v>7.6823957895970241E-2</v>
      </c>
      <c r="R77" s="1921">
        <f t="shared" ref="R77:AA77" si="414">R76/R$35</f>
        <v>8.1720491065443462E-2</v>
      </c>
      <c r="S77" s="1921">
        <f t="shared" si="414"/>
        <v>7.9034949267192789E-2</v>
      </c>
      <c r="T77" s="1921">
        <f t="shared" si="414"/>
        <v>7.8805076607635693E-2</v>
      </c>
      <c r="U77" s="1921">
        <f t="shared" si="414"/>
        <v>9.7574009387166427E-2</v>
      </c>
      <c r="V77" s="1921">
        <f t="shared" si="414"/>
        <v>0.16115373394415838</v>
      </c>
      <c r="W77" s="1921">
        <f t="shared" si="414"/>
        <v>0.17798502561408117</v>
      </c>
      <c r="X77" s="1921">
        <f>X76/X$35</f>
        <v>0.18792395679725798</v>
      </c>
      <c r="Y77" s="1921">
        <f>Y76/Y$35</f>
        <v>0.17799958741292032</v>
      </c>
      <c r="Z77" s="1921">
        <f ca="1">Z76/Z$35</f>
        <v>0.19302502873975214</v>
      </c>
      <c r="AA77" s="1921">
        <f t="shared" ca="1" si="414"/>
        <v>0.20200351950153814</v>
      </c>
      <c r="AB77" s="1921">
        <f t="shared" ref="AB77:AG77" ca="1" si="415">AB76/AB$35</f>
        <v>0.21026488398119655</v>
      </c>
      <c r="AC77" s="1921">
        <f t="shared" ca="1" si="415"/>
        <v>0.21808726731407807</v>
      </c>
      <c r="AD77" s="1921">
        <f t="shared" ca="1" si="415"/>
        <v>0.2265666075631749</v>
      </c>
      <c r="AE77" s="1921">
        <f t="shared" ca="1" si="415"/>
        <v>0.23544426259960818</v>
      </c>
      <c r="AF77" s="1921">
        <f t="shared" ca="1" si="415"/>
        <v>0.2447272629063211</v>
      </c>
      <c r="AG77" s="1921">
        <f t="shared" ca="1" si="415"/>
        <v>0.25412871944587356</v>
      </c>
      <c r="AH77" s="1921"/>
      <c r="AI77" s="2386"/>
      <c r="AJ77" s="1921"/>
      <c r="AK77" s="1921"/>
      <c r="AL77" s="1921"/>
      <c r="AM77" s="1921"/>
      <c r="AN77" s="1921"/>
      <c r="AO77" s="1921"/>
      <c r="AP77" s="1921"/>
      <c r="AQ77" s="1921"/>
      <c r="AR77" s="1921"/>
      <c r="AS77" s="1921"/>
      <c r="AT77" s="1921"/>
      <c r="AU77" s="1921"/>
      <c r="AV77" s="1921"/>
      <c r="AW77" s="1921"/>
      <c r="AX77" s="1921"/>
      <c r="AY77" s="1921"/>
      <c r="AZ77" s="1921"/>
      <c r="BA77" s="1921"/>
      <c r="BB77" s="1921"/>
      <c r="BC77" s="1921"/>
      <c r="BD77" s="1921"/>
      <c r="BE77" s="1921"/>
      <c r="BF77" s="1921"/>
      <c r="BG77" s="2397">
        <v>0.10874039228863035</v>
      </c>
      <c r="BH77" s="2398">
        <v>0.1046335299073294</v>
      </c>
      <c r="BI77" s="2398">
        <v>0.14551109268090401</v>
      </c>
      <c r="BJ77" s="2398">
        <v>0.14057535059102658</v>
      </c>
      <c r="BK77" s="2398">
        <v>0.14752522825564632</v>
      </c>
      <c r="BL77" s="2398">
        <v>0.13259620025448643</v>
      </c>
      <c r="BM77" s="2398">
        <v>0.12202263887067873</v>
      </c>
      <c r="BN77" s="2398">
        <v>9.0945317688731458E-2</v>
      </c>
      <c r="BO77" s="2398">
        <v>9.4315129811996412E-2</v>
      </c>
      <c r="BP77" s="2398">
        <v>0.11379551820728291</v>
      </c>
      <c r="BQ77" s="2398">
        <v>0.11650023775558725</v>
      </c>
      <c r="BR77" s="2398">
        <v>0.11903318028242224</v>
      </c>
      <c r="BS77" s="2398">
        <v>0.11482331344653511</v>
      </c>
      <c r="BT77" s="2398">
        <v>0.11669974738361602</v>
      </c>
      <c r="BU77" s="2398">
        <v>0.12184911374365369</v>
      </c>
      <c r="BV77" s="2399">
        <v>0.1120846055135183</v>
      </c>
      <c r="BW77" s="2400">
        <f t="shared" ref="BW77:CH77" si="416">BW76/BW$30</f>
        <v>0.10832100757473877</v>
      </c>
      <c r="BX77" s="2401">
        <f t="shared" si="416"/>
        <v>0.10624102302738266</v>
      </c>
      <c r="BY77" s="2401">
        <f t="shared" si="416"/>
        <v>0.10707517372078332</v>
      </c>
      <c r="BZ77" s="2401">
        <f t="shared" si="416"/>
        <v>0.1028996549096939</v>
      </c>
      <c r="CA77" s="2400">
        <f t="shared" si="416"/>
        <v>0.1111111111111111</v>
      </c>
      <c r="CB77" s="2401">
        <f t="shared" si="416"/>
        <v>0.11586956521739131</v>
      </c>
      <c r="CC77" s="2401">
        <f t="shared" si="416"/>
        <v>0.11756693483165198</v>
      </c>
      <c r="CD77" s="2401">
        <f t="shared" si="416"/>
        <v>0.11603241271053413</v>
      </c>
      <c r="CE77" s="2400">
        <f t="shared" si="416"/>
        <v>0.11533404029692471</v>
      </c>
      <c r="CF77" s="2401">
        <f t="shared" si="416"/>
        <v>0.12017078428121374</v>
      </c>
      <c r="CG77" s="2401">
        <f t="shared" si="416"/>
        <v>0.11449579831932773</v>
      </c>
      <c r="CH77" s="2401">
        <f t="shared" si="416"/>
        <v>0.1046865489957395</v>
      </c>
      <c r="CI77" s="2400">
        <f>CI76/CI$35</f>
        <v>8.0265805682495528E-2</v>
      </c>
      <c r="CJ77" s="2401">
        <f t="shared" ref="CJ77:DG77" si="417">CJ76/CJ$35</f>
        <v>8.3453490651091686E-2</v>
      </c>
      <c r="CK77" s="2401">
        <f t="shared" si="417"/>
        <v>7.5526991594046425E-2</v>
      </c>
      <c r="CL77" s="2401">
        <f t="shared" si="417"/>
        <v>6.8216253923962328E-2</v>
      </c>
      <c r="CM77" s="2400">
        <f t="shared" si="417"/>
        <v>7.5293075872830115E-2</v>
      </c>
      <c r="CN77" s="2401">
        <f t="shared" si="417"/>
        <v>8.1601034269836364E-2</v>
      </c>
      <c r="CO77" s="2401">
        <f t="shared" si="417"/>
        <v>8.5190379096813165E-2</v>
      </c>
      <c r="CP77" s="2401">
        <f t="shared" si="417"/>
        <v>8.4598522447433225E-2</v>
      </c>
      <c r="CQ77" s="2400">
        <f t="shared" si="417"/>
        <v>7.6176361615413121E-2</v>
      </c>
      <c r="CR77" s="2401">
        <f t="shared" si="417"/>
        <v>8.392649622312609E-2</v>
      </c>
      <c r="CS77" s="2401">
        <f t="shared" si="417"/>
        <v>8.110916060616917E-2</v>
      </c>
      <c r="CT77" s="2401">
        <f t="shared" si="417"/>
        <v>7.4975383316922217E-2</v>
      </c>
      <c r="CU77" s="2400">
        <f t="shared" si="417"/>
        <v>8.5404716379859788E-2</v>
      </c>
      <c r="CV77" s="2401">
        <f t="shared" si="417"/>
        <v>9.0832602979842247E-2</v>
      </c>
      <c r="CW77" s="2401">
        <f t="shared" si="417"/>
        <v>8.9909332230151337E-2</v>
      </c>
      <c r="CX77" s="2401">
        <f t="shared" si="417"/>
        <v>5.0243166191514338E-2</v>
      </c>
      <c r="CY77" s="2400">
        <f t="shared" si="417"/>
        <v>9.5964432284541726E-2</v>
      </c>
      <c r="CZ77" s="2401">
        <f t="shared" si="417"/>
        <v>0.10078564925649931</v>
      </c>
      <c r="DA77" s="2401">
        <f t="shared" si="417"/>
        <v>0.10441205763229533</v>
      </c>
      <c r="DB77" s="2401">
        <f t="shared" si="417"/>
        <v>8.9357299883615668E-2</v>
      </c>
      <c r="DC77" s="2400">
        <f t="shared" si="417"/>
        <v>0.15470837406321278</v>
      </c>
      <c r="DD77" s="2401">
        <f t="shared" si="417"/>
        <v>0.18245893796842608</v>
      </c>
      <c r="DE77" s="2401">
        <f t="shared" si="417"/>
        <v>0.1759956942949408</v>
      </c>
      <c r="DF77" s="2402">
        <f t="shared" si="417"/>
        <v>0.13286334056399132</v>
      </c>
      <c r="DG77" s="2400">
        <f t="shared" si="417"/>
        <v>0.19074739889910591</v>
      </c>
      <c r="DH77" s="2401">
        <f t="shared" ref="DH77:DJ77" si="418">DH76/DH$35</f>
        <v>0.18808599299176057</v>
      </c>
      <c r="DI77" s="2401">
        <f t="shared" si="418"/>
        <v>0.18492058625130312</v>
      </c>
      <c r="DJ77" s="2402">
        <f t="shared" si="418"/>
        <v>0.14987685825346428</v>
      </c>
      <c r="DK77" s="2400">
        <f t="shared" ref="DK77:DL77" si="419">DK76/DK$35</f>
        <v>0.19414775959046957</v>
      </c>
      <c r="DL77" s="2401">
        <f t="shared" si="419"/>
        <v>0.19425520765098914</v>
      </c>
      <c r="DM77" s="2401">
        <f t="shared" ref="DM77:DN77" si="420">DM76/DM$35</f>
        <v>0.20189417202702267</v>
      </c>
      <c r="DN77" s="2402">
        <f t="shared" si="420"/>
        <v>0.16249226963512678</v>
      </c>
      <c r="DO77" s="2400">
        <f t="shared" ref="DO77:DP77" si="421">DO76/DO$35</f>
        <v>0.17458241094787683</v>
      </c>
      <c r="DP77" s="2401">
        <f t="shared" si="421"/>
        <v>0.19104360350923139</v>
      </c>
      <c r="DQ77" s="2401">
        <f t="shared" ref="DQ77:DR77" si="422">DQ76/DQ$35</f>
        <v>0.18964593120408613</v>
      </c>
      <c r="DR77" s="2402">
        <f t="shared" si="422"/>
        <v>0.15838609924900604</v>
      </c>
      <c r="DS77" s="2400">
        <f t="shared" ref="DS77" si="423">DS76/DS$35</f>
        <v>0.1979415837844643</v>
      </c>
      <c r="DT77" s="2401">
        <f t="shared" ref="DT77:DV77" ca="1" si="424">DT76/DT$35</f>
        <v>0.20275426258386628</v>
      </c>
      <c r="DU77" s="2401">
        <f t="shared" ca="1" si="424"/>
        <v>0.20819116263130216</v>
      </c>
      <c r="DV77" s="2402">
        <f t="shared" ca="1" si="424"/>
        <v>0.16471264468319949</v>
      </c>
      <c r="DW77" s="1923"/>
      <c r="DX77"/>
      <c r="DY77"/>
      <c r="DZ77"/>
      <c r="EA77"/>
      <c r="EB77"/>
      <c r="EC77"/>
    </row>
    <row r="78" spans="1:133" s="820" customFormat="1" ht="15" customHeight="1">
      <c r="A78" s="1923" t="s">
        <v>980</v>
      </c>
      <c r="B78" s="1923"/>
      <c r="C78" s="1923"/>
      <c r="D78" s="1923"/>
      <c r="E78" s="1923"/>
      <c r="F78" s="1923"/>
      <c r="G78" s="1923"/>
      <c r="H78" s="1958">
        <v>2550</v>
      </c>
      <c r="I78" s="1958">
        <v>5072</v>
      </c>
      <c r="J78" s="1958">
        <v>4403</v>
      </c>
      <c r="K78" s="1958">
        <v>3609</v>
      </c>
      <c r="L78" s="1958">
        <v>3587</v>
      </c>
      <c r="M78" s="1958">
        <v>2999</v>
      </c>
      <c r="N78" s="1923">
        <f>SUM(BW78:BZ78)</f>
        <v>3000</v>
      </c>
      <c r="O78" s="1923">
        <f>SUM(CA78:CD78)</f>
        <v>3787</v>
      </c>
      <c r="P78" s="1923">
        <f>SUM(CE78:CH78)</f>
        <v>3797</v>
      </c>
      <c r="Q78" s="1923">
        <f>SUM(CI78:CL78)</f>
        <v>2431.1349999999998</v>
      </c>
      <c r="R78" s="1923">
        <f>SUM(CM78:CP78)</f>
        <v>2655.6120000000001</v>
      </c>
      <c r="S78" s="1923">
        <f>SUM(CQ78:CT78)</f>
        <v>2673.9675000000002</v>
      </c>
      <c r="T78" s="1923">
        <f>SUM(CU78:CX78)</f>
        <v>2744.4859999999999</v>
      </c>
      <c r="U78" s="1923">
        <f>SUM(CY78:DB78)</f>
        <v>3605.61</v>
      </c>
      <c r="V78" s="1923">
        <f>SUM(DC78:DF78)</f>
        <v>6229.3600000000006</v>
      </c>
      <c r="W78" s="1923">
        <f>SUM(DG78:DJ78)</f>
        <v>8911.2000000000007</v>
      </c>
      <c r="X78" s="1923">
        <f>SUM(DK78:DN78)</f>
        <v>8288.74</v>
      </c>
      <c r="Y78" s="1923">
        <f>SUM(DO78:DR78)</f>
        <v>7159</v>
      </c>
      <c r="Z78" s="1923">
        <f ca="1">SUM(DS78:DV78)</f>
        <v>6128.1684665517478</v>
      </c>
      <c r="AA78" s="1923">
        <f ca="1">AA79*AA76</f>
        <v>6516.432058250246</v>
      </c>
      <c r="AB78" s="1923">
        <f ca="1">AB79*AB76</f>
        <v>6815.3535803910891</v>
      </c>
      <c r="AC78" s="1923">
        <f t="shared" ref="AC78:AG78" ca="1" si="425">AC79*AC76</f>
        <v>7106.4060954284178</v>
      </c>
      <c r="AD78" s="1923">
        <f t="shared" ca="1" si="425"/>
        <v>7425.2807692715696</v>
      </c>
      <c r="AE78" s="1923">
        <f t="shared" ca="1" si="425"/>
        <v>7764.6615810950007</v>
      </c>
      <c r="AF78" s="1923">
        <f t="shared" ca="1" si="425"/>
        <v>8126.3438617156462</v>
      </c>
      <c r="AG78" s="1923">
        <f t="shared" ca="1" si="425"/>
        <v>8502.6351001528019</v>
      </c>
      <c r="AH78" s="1923"/>
      <c r="AI78" s="2386">
        <f ca="1">(AA78/V78)^(1/5)-1</f>
        <v>9.0513977865283035E-3</v>
      </c>
      <c r="AJ78" s="1923"/>
      <c r="AK78" s="1923"/>
      <c r="AL78" s="1923"/>
      <c r="AM78" s="1923"/>
      <c r="AN78" s="1923"/>
      <c r="AO78" s="1923"/>
      <c r="AP78" s="1923"/>
      <c r="AQ78" s="1923"/>
      <c r="AR78" s="1923"/>
      <c r="AS78" s="1923"/>
      <c r="AT78" s="1923"/>
      <c r="AU78" s="1923"/>
      <c r="AV78" s="1923"/>
      <c r="AW78" s="1923"/>
      <c r="AX78" s="1923"/>
      <c r="AY78" s="1923"/>
      <c r="AZ78" s="1923"/>
      <c r="BA78" s="1923"/>
      <c r="BB78" s="1923"/>
      <c r="BC78" s="1923"/>
      <c r="BD78" s="1923"/>
      <c r="BE78" s="1923"/>
      <c r="BF78" s="1923"/>
      <c r="BG78" s="2388">
        <v>1034</v>
      </c>
      <c r="BH78" s="2389">
        <v>1121</v>
      </c>
      <c r="BI78" s="2389">
        <v>1105</v>
      </c>
      <c r="BJ78" s="2389">
        <v>1143</v>
      </c>
      <c r="BK78" s="2389">
        <v>1003</v>
      </c>
      <c r="BL78" s="2389">
        <v>963</v>
      </c>
      <c r="BM78" s="2389">
        <v>888</v>
      </c>
      <c r="BN78" s="2389">
        <v>755</v>
      </c>
      <c r="BO78" s="2389">
        <v>727</v>
      </c>
      <c r="BP78" s="2389">
        <v>850</v>
      </c>
      <c r="BQ78" s="2389">
        <v>753</v>
      </c>
      <c r="BR78" s="2389">
        <v>1257</v>
      </c>
      <c r="BS78" s="2389">
        <v>870</v>
      </c>
      <c r="BT78" s="2389">
        <v>725</v>
      </c>
      <c r="BU78" s="2389">
        <v>630</v>
      </c>
      <c r="BV78" s="2390">
        <v>774</v>
      </c>
      <c r="BW78" s="2391">
        <f>NormInputs!BP48</f>
        <v>699</v>
      </c>
      <c r="BX78" s="2392">
        <f>NormInputs!BQ48</f>
        <v>767</v>
      </c>
      <c r="BY78" s="2392">
        <f>NormInputs!BR48</f>
        <v>760</v>
      </c>
      <c r="BZ78" s="2392">
        <f>NormInputs!BS48</f>
        <v>774</v>
      </c>
      <c r="CA78" s="2391">
        <f>NormInputs!BT48</f>
        <v>921</v>
      </c>
      <c r="CB78" s="2392">
        <f>NormInputs!BU48</f>
        <v>965</v>
      </c>
      <c r="CC78" s="2392">
        <f>NormInputs!BV48</f>
        <v>948</v>
      </c>
      <c r="CD78" s="2392">
        <f>NormInputs!BW48</f>
        <v>953</v>
      </c>
      <c r="CE78" s="2391">
        <f>NormInputs!BX48</f>
        <v>978</v>
      </c>
      <c r="CF78" s="2392">
        <f>NormInputs!BY48</f>
        <v>995</v>
      </c>
      <c r="CG78" s="2392">
        <f>NormInputs!BZ48</f>
        <v>969</v>
      </c>
      <c r="CH78" s="2392">
        <f>NormInputs!CA48</f>
        <v>855</v>
      </c>
      <c r="CI78" s="2391">
        <f>NormInputs!CB48</f>
        <v>672.19</v>
      </c>
      <c r="CJ78" s="2392">
        <f>NormInputs!CC48</f>
        <v>665.85500000000002</v>
      </c>
      <c r="CK78" s="2392">
        <f>NormInputs!CD48</f>
        <v>592.05499999999995</v>
      </c>
      <c r="CL78" s="2392">
        <f>NormInputs!CE48</f>
        <v>501.03500000000003</v>
      </c>
      <c r="CM78" s="2391">
        <f>NormInputs!CF48</f>
        <v>576.45399999999995</v>
      </c>
      <c r="CN78" s="2392">
        <f>NormInputs!CG48</f>
        <v>662.36300000000028</v>
      </c>
      <c r="CO78" s="2392">
        <f>NormInputs!CH48</f>
        <v>709.43499999999995</v>
      </c>
      <c r="CP78" s="2392">
        <f>NormInputs!CI48</f>
        <v>707.36</v>
      </c>
      <c r="CQ78" s="2391">
        <f>NormInputs!CJ48</f>
        <v>617</v>
      </c>
      <c r="CR78" s="2392">
        <f>NormInputs!CK48</f>
        <v>702</v>
      </c>
      <c r="CS78" s="2392">
        <f>NormInputs!CL48</f>
        <v>684.31</v>
      </c>
      <c r="CT78" s="2392">
        <f>NormInputs!CM48</f>
        <v>670.65750000000025</v>
      </c>
      <c r="CU78" s="2391">
        <f>NormInputs!CN48</f>
        <v>726.49</v>
      </c>
      <c r="CV78" s="2392">
        <f>NormInputs!CO48</f>
        <v>793.49</v>
      </c>
      <c r="CW78" s="2392">
        <f>NormInputs!CP48</f>
        <v>787.98800000000006</v>
      </c>
      <c r="CX78" s="2392">
        <f>NormInputs!CQ48</f>
        <v>436.51800000000003</v>
      </c>
      <c r="CY78" s="2391">
        <f>NormInputs!CR48</f>
        <v>864</v>
      </c>
      <c r="CZ78" s="2392">
        <f>NormInputs!CS48</f>
        <v>900.31</v>
      </c>
      <c r="DA78" s="2392">
        <f>NormInputs!CT48</f>
        <v>945.93999999999994</v>
      </c>
      <c r="DB78" s="2392">
        <f>NormInputs!CU48</f>
        <v>895.36000000000013</v>
      </c>
      <c r="DC78" s="2391">
        <f>NormInputs!CV48</f>
        <v>968</v>
      </c>
      <c r="DD78" s="2392">
        <f>NormInputs!CW48</f>
        <v>1951.34</v>
      </c>
      <c r="DE78" s="2392">
        <f>NormInputs!CX48</f>
        <v>1864</v>
      </c>
      <c r="DF78" s="2393">
        <f>NormInputs!CY48</f>
        <v>1446.02</v>
      </c>
      <c r="DG78" s="2391">
        <f>NormInputs!CZ48</f>
        <v>2331</v>
      </c>
      <c r="DH78" s="2392">
        <f>NormInputs!DA48</f>
        <v>2274</v>
      </c>
      <c r="DI78" s="2407">
        <f>NormInputs!DB48</f>
        <v>2324.96</v>
      </c>
      <c r="DJ78" s="2481">
        <f>NormInputs!DC48</f>
        <v>1981.24</v>
      </c>
      <c r="DK78" s="2496">
        <f>NormInputs!DD48</f>
        <v>2344.7399999999998</v>
      </c>
      <c r="DL78" s="2563">
        <f>NormInputs!DE48</f>
        <v>2075</v>
      </c>
      <c r="DM78" s="2563">
        <f>NormInputs!DF48</f>
        <v>2124</v>
      </c>
      <c r="DN78" s="2564">
        <f>NormInputs!DG48</f>
        <v>1745</v>
      </c>
      <c r="DO78" s="2496">
        <f>NormInputs!DH48</f>
        <v>1342</v>
      </c>
      <c r="DP78" s="2563">
        <f>NormInputs!DI48</f>
        <v>1932</v>
      </c>
      <c r="DQ78" s="2563">
        <f>NormInputs!DJ48</f>
        <v>2021</v>
      </c>
      <c r="DR78" s="2564">
        <f>NormInputs!DK48</f>
        <v>1864</v>
      </c>
      <c r="DS78" s="2496">
        <f>NormInputs!DL48</f>
        <v>1478</v>
      </c>
      <c r="DT78" s="2392">
        <f t="shared" ref="DT78:DV78" ca="1" si="426">DT79*DT76</f>
        <v>1599.4296652814155</v>
      </c>
      <c r="DU78" s="2392">
        <f t="shared" ca="1" si="426"/>
        <v>1669.5033467553628</v>
      </c>
      <c r="DV78" s="2393">
        <f t="shared" ca="1" si="426"/>
        <v>1381.2354545149688</v>
      </c>
      <c r="DW78" s="1923"/>
      <c r="DX78"/>
      <c r="DY78"/>
      <c r="DZ78"/>
      <c r="EA78"/>
      <c r="EB78"/>
      <c r="EC78"/>
    </row>
    <row r="79" spans="1:133" s="821" customFormat="1" ht="15" customHeight="1">
      <c r="A79" s="2396" t="s">
        <v>981</v>
      </c>
      <c r="B79" s="1921"/>
      <c r="C79" s="1921"/>
      <c r="D79" s="1921"/>
      <c r="E79" s="1921"/>
      <c r="F79" s="1921"/>
      <c r="G79" s="1921"/>
      <c r="H79" s="1958">
        <v>0.26515545388374751</v>
      </c>
      <c r="I79" s="1958">
        <v>0.44046895353886234</v>
      </c>
      <c r="J79" s="1958">
        <v>0.37</v>
      </c>
      <c r="K79" s="1958">
        <v>0.32094264117385507</v>
      </c>
      <c r="L79" s="1958">
        <v>0.35339901477832514</v>
      </c>
      <c r="M79" s="1958">
        <v>0.29264246682279471</v>
      </c>
      <c r="N79" s="1921">
        <f t="shared" ref="N79:V79" si="427">N78/N76</f>
        <v>0.32415150115359787</v>
      </c>
      <c r="O79" s="1921">
        <f t="shared" si="427"/>
        <v>0.3558876045484447</v>
      </c>
      <c r="P79" s="1921">
        <f t="shared" si="427"/>
        <v>0.34418056562726612</v>
      </c>
      <c r="Q79" s="1921">
        <f t="shared" si="427"/>
        <v>0.30899916774405761</v>
      </c>
      <c r="R79" s="1921">
        <f t="shared" si="427"/>
        <v>0.31118955525265352</v>
      </c>
      <c r="S79" s="1921">
        <f t="shared" si="427"/>
        <v>0.30514293050325231</v>
      </c>
      <c r="T79" s="1921">
        <f t="shared" si="427"/>
        <v>0.30129388516851457</v>
      </c>
      <c r="U79" s="1921">
        <f t="shared" si="427"/>
        <v>0.30806384087627414</v>
      </c>
      <c r="V79" s="1921">
        <f t="shared" si="427"/>
        <v>0.30479303258635876</v>
      </c>
      <c r="W79" s="1921">
        <f>W78/W76</f>
        <v>0.38685478619492081</v>
      </c>
      <c r="X79" s="1921">
        <f>X78/X76</f>
        <v>0.35157533084492704</v>
      </c>
      <c r="Y79" s="1921">
        <f>Y78/Y76</f>
        <v>0.3191138450566105</v>
      </c>
      <c r="Z79" s="1921">
        <f ca="1">Z78/Z76</f>
        <v>0.24621328907294515</v>
      </c>
      <c r="AA79" s="3142">
        <v>0.25</v>
      </c>
      <c r="AB79" s="3142">
        <v>0.25</v>
      </c>
      <c r="AC79" s="3142">
        <v>0.25</v>
      </c>
      <c r="AD79" s="3142">
        <v>0.25</v>
      </c>
      <c r="AE79" s="3142">
        <v>0.25</v>
      </c>
      <c r="AF79" s="3142">
        <v>0.25</v>
      </c>
      <c r="AG79" s="3142">
        <v>0.25</v>
      </c>
      <c r="AH79" s="1921"/>
      <c r="AI79" s="2386"/>
      <c r="AJ79" s="1921"/>
      <c r="AK79" s="1921"/>
      <c r="AL79" s="1921"/>
      <c r="AM79" s="1921"/>
      <c r="AN79" s="1921"/>
      <c r="AO79" s="1921"/>
      <c r="AP79" s="1921"/>
      <c r="AQ79" s="1921"/>
      <c r="AR79" s="1921"/>
      <c r="AS79" s="1921"/>
      <c r="AT79" s="1921"/>
      <c r="AU79" s="1921"/>
      <c r="AV79" s="1921"/>
      <c r="AW79" s="1921"/>
      <c r="AX79" s="1921"/>
      <c r="AY79" s="1921"/>
      <c r="AZ79" s="1921"/>
      <c r="BA79" s="1921"/>
      <c r="BB79" s="1921"/>
      <c r="BC79" s="1921"/>
      <c r="BD79" s="1921"/>
      <c r="BE79" s="1921"/>
      <c r="BF79" s="1921"/>
      <c r="BG79" s="2397">
        <v>0.39938200077249902</v>
      </c>
      <c r="BH79" s="2398">
        <v>0.45128824476650564</v>
      </c>
      <c r="BI79" s="2398">
        <v>0.31490453120547163</v>
      </c>
      <c r="BJ79" s="2398">
        <v>0.34448462929475587</v>
      </c>
      <c r="BK79" s="2398">
        <v>0.29700917974533608</v>
      </c>
      <c r="BL79" s="2398">
        <v>0.3186631369953673</v>
      </c>
      <c r="BM79" s="2398">
        <v>0.31805157593123207</v>
      </c>
      <c r="BN79" s="2398">
        <v>0.36757546251217138</v>
      </c>
      <c r="BO79" s="2398">
        <v>0.34504034171808257</v>
      </c>
      <c r="BP79" s="2398">
        <v>0.32692307692307693</v>
      </c>
      <c r="BQ79" s="2398">
        <v>0.27940630797773652</v>
      </c>
      <c r="BR79" s="2398">
        <v>0.45742358078602618</v>
      </c>
      <c r="BS79" s="2398">
        <v>0.34772182254196643</v>
      </c>
      <c r="BT79" s="2398">
        <v>0.28024739080015459</v>
      </c>
      <c r="BU79" s="2398">
        <v>0.23026315789473684</v>
      </c>
      <c r="BV79" s="2399">
        <v>0.30556652191077771</v>
      </c>
      <c r="BW79" s="2400">
        <f t="shared" ref="BW79:DC79" si="428">BW78/BW76</f>
        <v>0.30484990172752713</v>
      </c>
      <c r="BX79" s="2401">
        <f t="shared" si="428"/>
        <v>0.3344962930658526</v>
      </c>
      <c r="BY79" s="2401">
        <f t="shared" si="428"/>
        <v>0.32026970080067424</v>
      </c>
      <c r="BZ79" s="2401">
        <f t="shared" si="428"/>
        <v>0.33710801393728224</v>
      </c>
      <c r="CA79" s="2400">
        <f t="shared" si="428"/>
        <v>0.37152077450584914</v>
      </c>
      <c r="CB79" s="2401">
        <f t="shared" si="428"/>
        <v>0.36210131332082551</v>
      </c>
      <c r="CC79" s="2401">
        <f t="shared" si="428"/>
        <v>0.34322954380883419</v>
      </c>
      <c r="CD79" s="2401">
        <f t="shared" si="428"/>
        <v>0.34844606946983547</v>
      </c>
      <c r="CE79" s="2400">
        <f t="shared" si="428"/>
        <v>0.35969106289076869</v>
      </c>
      <c r="CF79" s="2401">
        <f t="shared" si="428"/>
        <v>0.34322180062090374</v>
      </c>
      <c r="CG79" s="2401">
        <f t="shared" si="428"/>
        <v>0.34191954834156668</v>
      </c>
      <c r="CH79" s="2401">
        <f t="shared" si="428"/>
        <v>0.33139534883720928</v>
      </c>
      <c r="CI79" s="2400">
        <f t="shared" si="428"/>
        <v>0.33278561346687868</v>
      </c>
      <c r="CJ79" s="2401">
        <f t="shared" si="428"/>
        <v>0.31275745872910155</v>
      </c>
      <c r="CK79" s="2401">
        <f t="shared" si="428"/>
        <v>0.30226673889081473</v>
      </c>
      <c r="CL79" s="2401">
        <f t="shared" si="428"/>
        <v>0.28464921849079416</v>
      </c>
      <c r="CM79" s="2400">
        <f t="shared" si="428"/>
        <v>0.29865947408941745</v>
      </c>
      <c r="CN79" s="2401">
        <f t="shared" si="428"/>
        <v>0.3132560491022236</v>
      </c>
      <c r="CO79" s="2401">
        <f t="shared" si="428"/>
        <v>0.31444050169711485</v>
      </c>
      <c r="CP79" s="2401">
        <f t="shared" si="428"/>
        <v>0.31677875912794484</v>
      </c>
      <c r="CQ79" s="2400">
        <f t="shared" si="428"/>
        <v>0.30009727626459143</v>
      </c>
      <c r="CR79" s="2401">
        <f t="shared" si="428"/>
        <v>0.30376460406750322</v>
      </c>
      <c r="CS79" s="2401">
        <f t="shared" si="428"/>
        <v>0.30225706713780914</v>
      </c>
      <c r="CT79" s="2401">
        <f t="shared" si="428"/>
        <v>0.31456730769230778</v>
      </c>
      <c r="CU79" s="2400">
        <f t="shared" si="428"/>
        <v>0.30119817578772801</v>
      </c>
      <c r="CV79" s="2401">
        <f t="shared" si="428"/>
        <v>0.30624855268236201</v>
      </c>
      <c r="CW79" s="2401">
        <f t="shared" si="428"/>
        <v>0.30214263803680985</v>
      </c>
      <c r="CX79" s="2401">
        <f t="shared" si="428"/>
        <v>0.2914005340453939</v>
      </c>
      <c r="CY79" s="2400">
        <f t="shared" si="428"/>
        <v>0.30791161796151106</v>
      </c>
      <c r="CZ79" s="2401">
        <f t="shared" si="428"/>
        <v>0.30120776179324188</v>
      </c>
      <c r="DA79" s="2401">
        <f t="shared" si="428"/>
        <v>0.3007662713427236</v>
      </c>
      <c r="DB79" s="2401">
        <f t="shared" si="428"/>
        <v>0.32393632416787271</v>
      </c>
      <c r="DC79" s="2400">
        <f t="shared" si="428"/>
        <v>0.20387531592249369</v>
      </c>
      <c r="DD79" s="2401">
        <f t="shared" ref="DD79:DI79" si="429">DD78/DD76</f>
        <v>0.34108372662122005</v>
      </c>
      <c r="DE79" s="2401">
        <f t="shared" si="429"/>
        <v>0.33531210649397375</v>
      </c>
      <c r="DF79" s="2402">
        <f t="shared" si="429"/>
        <v>0.32789569160997734</v>
      </c>
      <c r="DG79" s="2400">
        <f t="shared" si="429"/>
        <v>0.38882402001668059</v>
      </c>
      <c r="DH79" s="2401">
        <f t="shared" si="429"/>
        <v>0.38167170191339378</v>
      </c>
      <c r="DI79" s="2401">
        <f t="shared" si="429"/>
        <v>0.38550157519482675</v>
      </c>
      <c r="DJ79" s="2402">
        <f t="shared" ref="DJ79:DO79" si="430">DJ78/DJ76</f>
        <v>0.39224707978618095</v>
      </c>
      <c r="DK79" s="2400">
        <f t="shared" si="430"/>
        <v>0.38163085937499996</v>
      </c>
      <c r="DL79" s="2401">
        <f t="shared" si="430"/>
        <v>0.34985668521328611</v>
      </c>
      <c r="DM79" s="2401">
        <f t="shared" si="430"/>
        <v>0.34005763688760809</v>
      </c>
      <c r="DN79" s="2402">
        <f t="shared" si="430"/>
        <v>0.33206470028544244</v>
      </c>
      <c r="DO79" s="2400">
        <f t="shared" si="430"/>
        <v>0.25782901056676272</v>
      </c>
      <c r="DP79" s="2401">
        <f t="shared" ref="DP79:DQ79" si="431">DP78/DP76</f>
        <v>0.33104866346812883</v>
      </c>
      <c r="DQ79" s="2401">
        <f t="shared" si="431"/>
        <v>0.33599334995843722</v>
      </c>
      <c r="DR79" s="2402">
        <f t="shared" ref="DR79" si="432">DR78/DR76</f>
        <v>0.34659724804760134</v>
      </c>
      <c r="DS79" s="2400">
        <f t="shared" ref="DS79" si="433">DS78/DS76</f>
        <v>0.23501351566226744</v>
      </c>
      <c r="DT79" s="2398">
        <v>0.25</v>
      </c>
      <c r="DU79" s="2398">
        <v>0.25</v>
      </c>
      <c r="DV79" s="2399">
        <v>0.25</v>
      </c>
      <c r="DW79" s="1923"/>
      <c r="DX79"/>
      <c r="DY79"/>
      <c r="DZ79"/>
      <c r="EA79"/>
      <c r="EB79"/>
      <c r="EC79"/>
    </row>
    <row r="80" spans="1:133" s="821" customFormat="1" ht="15" customHeight="1">
      <c r="A80" s="2396" t="s">
        <v>982</v>
      </c>
      <c r="B80" s="1921"/>
      <c r="C80" s="1921"/>
      <c r="D80" s="1921"/>
      <c r="E80" s="1921"/>
      <c r="F80" s="1921"/>
      <c r="G80" s="1921"/>
      <c r="H80" s="1958">
        <v>0.39300000000000002</v>
      </c>
      <c r="I80" s="1958">
        <v>0.46500000000000002</v>
      </c>
      <c r="J80" s="1958">
        <v>0.42799999999999999</v>
      </c>
      <c r="K80" s="1958">
        <v>0.38700000000000001</v>
      </c>
      <c r="L80" s="1958">
        <v>0.379</v>
      </c>
      <c r="M80" s="1958">
        <v>0.379</v>
      </c>
      <c r="N80" s="1921">
        <f t="shared" ref="N80:V80" si="434">M80</f>
        <v>0.379</v>
      </c>
      <c r="O80" s="1921">
        <f t="shared" si="434"/>
        <v>0.379</v>
      </c>
      <c r="P80" s="1921">
        <f t="shared" si="434"/>
        <v>0.379</v>
      </c>
      <c r="Q80" s="1921">
        <f t="shared" si="434"/>
        <v>0.379</v>
      </c>
      <c r="R80" s="1921">
        <f t="shared" si="434"/>
        <v>0.379</v>
      </c>
      <c r="S80" s="1921">
        <f t="shared" si="434"/>
        <v>0.379</v>
      </c>
      <c r="T80" s="1921">
        <f t="shared" si="434"/>
        <v>0.379</v>
      </c>
      <c r="U80" s="1921">
        <f t="shared" si="434"/>
        <v>0.379</v>
      </c>
      <c r="V80" s="1921">
        <f t="shared" si="434"/>
        <v>0.379</v>
      </c>
      <c r="W80" s="1921">
        <f>V80</f>
        <v>0.379</v>
      </c>
      <c r="X80" s="1921">
        <f>W80</f>
        <v>0.379</v>
      </c>
      <c r="Y80" s="1921">
        <f>X80</f>
        <v>0.379</v>
      </c>
      <c r="Z80" s="1921">
        <f>Y80</f>
        <v>0.379</v>
      </c>
      <c r="AA80" s="1921">
        <f t="shared" ref="AA80:AB80" si="435">Z80</f>
        <v>0.379</v>
      </c>
      <c r="AB80" s="1921">
        <f t="shared" si="435"/>
        <v>0.379</v>
      </c>
      <c r="AC80" s="1921">
        <f t="shared" ref="AC80" si="436">AB80</f>
        <v>0.379</v>
      </c>
      <c r="AD80" s="1921">
        <f t="shared" ref="AD80" si="437">AC80</f>
        <v>0.379</v>
      </c>
      <c r="AE80" s="1921">
        <f t="shared" ref="AE80" si="438">AD80</f>
        <v>0.379</v>
      </c>
      <c r="AF80" s="1921">
        <f t="shared" ref="AF80" si="439">AE80</f>
        <v>0.379</v>
      </c>
      <c r="AG80" s="1921">
        <f t="shared" ref="AG80" si="440">AF80</f>
        <v>0.379</v>
      </c>
      <c r="AH80" s="1921"/>
      <c r="AI80" s="2386"/>
      <c r="AJ80" s="1921"/>
      <c r="AK80" s="1921"/>
      <c r="AL80" s="1921"/>
      <c r="AM80" s="1921"/>
      <c r="AN80" s="1921"/>
      <c r="AO80" s="1921"/>
      <c r="AP80" s="1921"/>
      <c r="AQ80" s="1921"/>
      <c r="AR80" s="1921"/>
      <c r="AS80" s="1921"/>
      <c r="AT80" s="1921"/>
      <c r="AU80" s="1921"/>
      <c r="AV80" s="1921"/>
      <c r="AW80" s="1921"/>
      <c r="AX80" s="1921"/>
      <c r="AY80" s="1921"/>
      <c r="AZ80" s="1921"/>
      <c r="BA80" s="1921"/>
      <c r="BB80" s="1921"/>
      <c r="BC80" s="1921"/>
      <c r="BD80" s="1921"/>
      <c r="BE80" s="1921"/>
      <c r="BF80" s="1921"/>
      <c r="BG80" s="2397">
        <v>0.42799999999999999</v>
      </c>
      <c r="BH80" s="2398">
        <v>0.42799999999999999</v>
      </c>
      <c r="BI80" s="2398">
        <v>0.42799999999999999</v>
      </c>
      <c r="BJ80" s="2398">
        <v>0.42799999999999999</v>
      </c>
      <c r="BK80" s="2398">
        <v>0.38700000000000001</v>
      </c>
      <c r="BL80" s="2398">
        <v>0.38700000000000001</v>
      </c>
      <c r="BM80" s="2398">
        <v>0.38700000000000001</v>
      </c>
      <c r="BN80" s="2398">
        <v>0.38700000000000001</v>
      </c>
      <c r="BO80" s="2398">
        <v>0.379</v>
      </c>
      <c r="BP80" s="2398">
        <v>0.379</v>
      </c>
      <c r="BQ80" s="2398">
        <v>0.379</v>
      </c>
      <c r="BR80" s="2398">
        <v>0.379</v>
      </c>
      <c r="BS80" s="2398">
        <v>0.379</v>
      </c>
      <c r="BT80" s="2398">
        <v>0.379</v>
      </c>
      <c r="BU80" s="2398">
        <v>0.379</v>
      </c>
      <c r="BV80" s="2399">
        <v>0.379</v>
      </c>
      <c r="BW80" s="2400">
        <f>+Q80</f>
        <v>0.379</v>
      </c>
      <c r="BX80" s="2401">
        <f>+R80</f>
        <v>0.379</v>
      </c>
      <c r="BY80" s="2401">
        <f>+S80</f>
        <v>0.379</v>
      </c>
      <c r="BZ80" s="2401">
        <f>+T80</f>
        <v>0.379</v>
      </c>
      <c r="CA80" s="2400">
        <f t="shared" ref="CA80:DB80" si="441">BZ80</f>
        <v>0.379</v>
      </c>
      <c r="CB80" s="2401">
        <f t="shared" si="441"/>
        <v>0.379</v>
      </c>
      <c r="CC80" s="2401">
        <f t="shared" si="441"/>
        <v>0.379</v>
      </c>
      <c r="CD80" s="2401">
        <f t="shared" si="441"/>
        <v>0.379</v>
      </c>
      <c r="CE80" s="2400">
        <f t="shared" si="441"/>
        <v>0.379</v>
      </c>
      <c r="CF80" s="2401">
        <f t="shared" si="441"/>
        <v>0.379</v>
      </c>
      <c r="CG80" s="2401">
        <f t="shared" si="441"/>
        <v>0.379</v>
      </c>
      <c r="CH80" s="2401">
        <f t="shared" si="441"/>
        <v>0.379</v>
      </c>
      <c r="CI80" s="2400">
        <f t="shared" si="441"/>
        <v>0.379</v>
      </c>
      <c r="CJ80" s="2401">
        <f t="shared" si="441"/>
        <v>0.379</v>
      </c>
      <c r="CK80" s="2401">
        <f t="shared" si="441"/>
        <v>0.379</v>
      </c>
      <c r="CL80" s="2401">
        <f t="shared" si="441"/>
        <v>0.379</v>
      </c>
      <c r="CM80" s="2400">
        <f t="shared" si="441"/>
        <v>0.379</v>
      </c>
      <c r="CN80" s="2401">
        <f t="shared" si="441"/>
        <v>0.379</v>
      </c>
      <c r="CO80" s="2401">
        <f t="shared" si="441"/>
        <v>0.379</v>
      </c>
      <c r="CP80" s="2401">
        <f t="shared" si="441"/>
        <v>0.379</v>
      </c>
      <c r="CQ80" s="2400">
        <f t="shared" si="441"/>
        <v>0.379</v>
      </c>
      <c r="CR80" s="2401">
        <f t="shared" si="441"/>
        <v>0.379</v>
      </c>
      <c r="CS80" s="2401">
        <f t="shared" si="441"/>
        <v>0.379</v>
      </c>
      <c r="CT80" s="2401">
        <f t="shared" si="441"/>
        <v>0.379</v>
      </c>
      <c r="CU80" s="2400">
        <f t="shared" si="441"/>
        <v>0.379</v>
      </c>
      <c r="CV80" s="2401">
        <f t="shared" si="441"/>
        <v>0.379</v>
      </c>
      <c r="CW80" s="2401">
        <f t="shared" si="441"/>
        <v>0.379</v>
      </c>
      <c r="CX80" s="2401">
        <f t="shared" si="441"/>
        <v>0.379</v>
      </c>
      <c r="CY80" s="2400">
        <f t="shared" si="441"/>
        <v>0.379</v>
      </c>
      <c r="CZ80" s="2401">
        <f t="shared" si="441"/>
        <v>0.379</v>
      </c>
      <c r="DA80" s="2401">
        <f t="shared" si="441"/>
        <v>0.379</v>
      </c>
      <c r="DB80" s="2401">
        <f t="shared" si="441"/>
        <v>0.379</v>
      </c>
      <c r="DC80" s="2400">
        <f t="shared" ref="DC80:DS80" si="442">DB80</f>
        <v>0.379</v>
      </c>
      <c r="DD80" s="2401">
        <f>DC80</f>
        <v>0.379</v>
      </c>
      <c r="DE80" s="2401">
        <f>DD80</f>
        <v>0.379</v>
      </c>
      <c r="DF80" s="2402">
        <f t="shared" si="442"/>
        <v>0.379</v>
      </c>
      <c r="DG80" s="2400">
        <f t="shared" si="442"/>
        <v>0.379</v>
      </c>
      <c r="DH80" s="2401">
        <f t="shared" si="442"/>
        <v>0.379</v>
      </c>
      <c r="DI80" s="2401">
        <f t="shared" si="442"/>
        <v>0.379</v>
      </c>
      <c r="DJ80" s="2402">
        <f t="shared" si="442"/>
        <v>0.379</v>
      </c>
      <c r="DK80" s="2400">
        <f t="shared" si="442"/>
        <v>0.379</v>
      </c>
      <c r="DL80" s="2401">
        <f t="shared" si="442"/>
        <v>0.379</v>
      </c>
      <c r="DM80" s="2401">
        <f t="shared" si="442"/>
        <v>0.379</v>
      </c>
      <c r="DN80" s="2402">
        <f t="shared" si="442"/>
        <v>0.379</v>
      </c>
      <c r="DO80" s="2400">
        <f t="shared" si="442"/>
        <v>0.379</v>
      </c>
      <c r="DP80" s="2401">
        <f t="shared" si="442"/>
        <v>0.379</v>
      </c>
      <c r="DQ80" s="2401">
        <f t="shared" si="442"/>
        <v>0.379</v>
      </c>
      <c r="DR80" s="2402">
        <f t="shared" si="442"/>
        <v>0.379</v>
      </c>
      <c r="DS80" s="2400">
        <f t="shared" si="442"/>
        <v>0.379</v>
      </c>
      <c r="DT80" s="2401">
        <f t="shared" ref="DT80" si="443">DS80</f>
        <v>0.379</v>
      </c>
      <c r="DU80" s="2401">
        <f t="shared" ref="DU80" si="444">DT80</f>
        <v>0.379</v>
      </c>
      <c r="DV80" s="2402">
        <f t="shared" ref="DV80" si="445">DU80</f>
        <v>0.379</v>
      </c>
      <c r="DW80" s="1923"/>
      <c r="DX80"/>
      <c r="DY80"/>
      <c r="DZ80"/>
      <c r="EA80"/>
      <c r="EB80"/>
      <c r="EC80"/>
    </row>
    <row r="81" spans="1:133" ht="15" customHeight="1">
      <c r="A81" s="2419"/>
      <c r="B81" s="1918"/>
      <c r="C81" s="1918"/>
      <c r="D81" s="1918"/>
      <c r="E81" s="1918"/>
      <c r="F81" s="1918"/>
      <c r="G81" s="1918"/>
      <c r="H81" s="1958"/>
      <c r="I81" s="1958"/>
      <c r="J81" s="1958"/>
      <c r="K81" s="1958"/>
      <c r="L81" s="1958"/>
      <c r="M81" s="1958"/>
      <c r="N81" s="1918"/>
      <c r="O81" s="1918"/>
      <c r="P81" s="1918"/>
      <c r="Q81" s="1918"/>
      <c r="R81" s="1918"/>
      <c r="S81" s="1918"/>
      <c r="T81" s="1918"/>
      <c r="U81" s="1918"/>
      <c r="V81" s="1918"/>
      <c r="W81" s="1918"/>
      <c r="X81" s="1918"/>
      <c r="Y81" s="1918"/>
      <c r="Z81" s="1918"/>
      <c r="AA81" s="1918"/>
      <c r="AB81" s="1918"/>
      <c r="AC81" s="1918"/>
      <c r="AD81" s="1918"/>
      <c r="AE81" s="1918"/>
      <c r="AF81" s="1918"/>
      <c r="AG81" s="1918"/>
      <c r="AI81" s="2386"/>
      <c r="AJ81" s="2569"/>
      <c r="AK81" s="1918"/>
      <c r="AL81" s="1918"/>
      <c r="AM81" s="1918"/>
      <c r="AN81" s="1918"/>
      <c r="AO81" s="1918"/>
      <c r="AP81" s="1918"/>
      <c r="AQ81" s="1918"/>
      <c r="AR81" s="1918"/>
      <c r="AS81" s="1918"/>
      <c r="AT81" s="1918"/>
      <c r="AU81" s="1918"/>
      <c r="AV81" s="1918"/>
      <c r="AW81" s="1918"/>
      <c r="AX81" s="1918"/>
      <c r="AY81" s="1918"/>
      <c r="AZ81" s="1918"/>
      <c r="BA81" s="1918"/>
      <c r="BB81" s="1918"/>
      <c r="BC81" s="1918"/>
      <c r="BD81" s="1918"/>
      <c r="BE81" s="1918"/>
      <c r="BF81" s="1918"/>
      <c r="BG81" s="2409"/>
      <c r="BH81" s="2410"/>
      <c r="BI81" s="2410"/>
      <c r="BJ81" s="2410"/>
      <c r="BK81" s="2410"/>
      <c r="BL81" s="2410"/>
      <c r="BM81" s="2410"/>
      <c r="BN81" s="2410"/>
      <c r="BO81" s="2410"/>
      <c r="BP81" s="2410"/>
      <c r="BQ81" s="2410"/>
      <c r="BR81" s="2410"/>
      <c r="BS81" s="2410"/>
      <c r="BT81" s="2410"/>
      <c r="BU81" s="2410"/>
      <c r="BV81" s="241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s="555"/>
      <c r="DK81" s="554"/>
      <c r="DL81" s="1074"/>
      <c r="DM81" s="1074"/>
      <c r="DN81" s="555"/>
      <c r="DO81" s="554"/>
      <c r="DP81" s="1074"/>
      <c r="DQ81" s="1074"/>
      <c r="DR81" s="555"/>
      <c r="DS81" s="554"/>
      <c r="DT81" s="1074"/>
      <c r="DU81" s="1074"/>
      <c r="DV81" s="555"/>
      <c r="DW81" s="1923"/>
    </row>
    <row r="82" spans="1:133" s="820" customFormat="1" ht="15" hidden="1" customHeight="1">
      <c r="A82" s="1923" t="s">
        <v>983</v>
      </c>
      <c r="B82" s="1923"/>
      <c r="C82" s="1923"/>
      <c r="D82" s="1923"/>
      <c r="E82" s="1923"/>
      <c r="F82" s="1923"/>
      <c r="G82" s="1923"/>
      <c r="H82" s="1958"/>
      <c r="I82" s="1958"/>
      <c r="J82" s="1958">
        <v>-83</v>
      </c>
      <c r="K82" s="1958">
        <v>46</v>
      </c>
      <c r="L82" s="1958">
        <v>54</v>
      </c>
      <c r="M82" s="1958">
        <v>282</v>
      </c>
      <c r="N82" s="1923">
        <f>SUM(BW82:BZ82)</f>
        <v>1398</v>
      </c>
      <c r="O82" s="1923">
        <v>72</v>
      </c>
      <c r="P82" s="1923"/>
      <c r="Q82" s="1923"/>
      <c r="R82" s="1923"/>
      <c r="S82" s="1923"/>
      <c r="T82" s="1923"/>
      <c r="U82" s="1923"/>
      <c r="V82" s="1923"/>
      <c r="W82" s="1923"/>
      <c r="X82" s="1923"/>
      <c r="Y82" s="1923"/>
      <c r="Z82" s="1923"/>
      <c r="AA82" s="1923"/>
      <c r="AB82" s="1923"/>
      <c r="AC82" s="1923"/>
      <c r="AD82" s="1923"/>
      <c r="AE82" s="1923"/>
      <c r="AF82" s="1923"/>
      <c r="AG82" s="1923"/>
      <c r="AH82" s="1923"/>
      <c r="AI82" s="2386"/>
      <c r="AJ82" s="2570"/>
      <c r="AK82" s="1923"/>
      <c r="AL82" s="1923"/>
      <c r="AM82" s="1923"/>
      <c r="AN82" s="1923"/>
      <c r="AO82" s="1923"/>
      <c r="AP82" s="1923"/>
      <c r="AQ82" s="1923"/>
      <c r="AR82" s="1923"/>
      <c r="AS82" s="1923"/>
      <c r="AT82" s="1923"/>
      <c r="AU82" s="1923"/>
      <c r="AV82" s="1923"/>
      <c r="AW82" s="1923"/>
      <c r="AX82" s="1923"/>
      <c r="AY82" s="1923"/>
      <c r="AZ82" s="1923"/>
      <c r="BA82" s="1923"/>
      <c r="BB82" s="1923"/>
      <c r="BC82" s="1923"/>
      <c r="BD82" s="1923"/>
      <c r="BE82" s="1923"/>
      <c r="BF82" s="1923"/>
      <c r="BG82" s="2388">
        <v>-11</v>
      </c>
      <c r="BH82" s="2389">
        <v>-38</v>
      </c>
      <c r="BI82" s="2389">
        <v>-9</v>
      </c>
      <c r="BJ82" s="2389">
        <v>-25</v>
      </c>
      <c r="BK82" s="2389">
        <v>9</v>
      </c>
      <c r="BL82" s="2389">
        <v>19</v>
      </c>
      <c r="BM82" s="2389">
        <v>5</v>
      </c>
      <c r="BN82" s="2389">
        <v>13</v>
      </c>
      <c r="BO82" s="2389">
        <v>16</v>
      </c>
      <c r="BP82" s="2389">
        <v>15</v>
      </c>
      <c r="BQ82" s="2389">
        <v>17</v>
      </c>
      <c r="BR82" s="2389">
        <v>6</v>
      </c>
      <c r="BS82" s="2389">
        <v>71</v>
      </c>
      <c r="BT82" s="2389">
        <v>44</v>
      </c>
      <c r="BU82" s="2389">
        <v>77</v>
      </c>
      <c r="BV82" s="2390">
        <v>90</v>
      </c>
      <c r="BW82" s="2391">
        <f>NormInputs!BP50</f>
        <v>392</v>
      </c>
      <c r="BX82" s="2392">
        <f>NormInputs!BQ50</f>
        <v>348</v>
      </c>
      <c r="BY82" s="2392">
        <f>NormInputs!BR50</f>
        <v>374</v>
      </c>
      <c r="BZ82" s="2392">
        <f>NormInputs!BS50</f>
        <v>284</v>
      </c>
      <c r="CA82" s="2391">
        <f>NormInputs!BT50</f>
        <v>72</v>
      </c>
      <c r="CB82" s="2392"/>
      <c r="CC82" s="2392"/>
      <c r="CD82" s="2392"/>
      <c r="CE82" s="2391"/>
      <c r="CF82" s="2392"/>
      <c r="CG82" s="2392"/>
      <c r="CH82" s="2392"/>
      <c r="CI82" s="2391"/>
      <c r="CJ82" s="2392"/>
      <c r="CK82" s="2392"/>
      <c r="CL82" s="2392"/>
      <c r="CM82" s="2391"/>
      <c r="CN82" s="2392"/>
      <c r="CO82" s="2392"/>
      <c r="CP82" s="2392"/>
      <c r="CQ82" s="2391"/>
      <c r="CR82" s="2392"/>
      <c r="CS82" s="2392"/>
      <c r="CT82" s="2392"/>
      <c r="CU82" s="2391"/>
      <c r="CV82" s="2392"/>
      <c r="CW82" s="2392"/>
      <c r="CX82" s="2392"/>
      <c r="CY82" s="2391"/>
      <c r="CZ82" s="2392"/>
      <c r="DA82" s="2392"/>
      <c r="DB82" s="2392"/>
      <c r="DC82" s="2391"/>
      <c r="DD82" s="2392"/>
      <c r="DE82" s="2392"/>
      <c r="DF82" s="2393"/>
      <c r="DG82" s="2391"/>
      <c r="DH82" s="2392"/>
      <c r="DI82" s="2392"/>
      <c r="DJ82" s="2393"/>
      <c r="DK82" s="2391"/>
      <c r="DL82" s="2392"/>
      <c r="DM82" s="2392"/>
      <c r="DN82" s="2393"/>
      <c r="DO82" s="2391"/>
      <c r="DP82" s="2392"/>
      <c r="DQ82" s="2392"/>
      <c r="DR82" s="2393"/>
      <c r="DS82" s="2391"/>
      <c r="DT82" s="2392"/>
      <c r="DU82" s="2392"/>
      <c r="DV82" s="2393"/>
      <c r="DW82" s="1923"/>
      <c r="DX82"/>
      <c r="DY82"/>
      <c r="DZ82"/>
      <c r="EA82"/>
      <c r="EB82"/>
      <c r="EC82"/>
    </row>
    <row r="83" spans="1:133" ht="15" hidden="1" customHeight="1">
      <c r="A83" s="2419"/>
      <c r="B83" s="1918"/>
      <c r="C83" s="1918"/>
      <c r="D83" s="1918"/>
      <c r="E83" s="1918"/>
      <c r="F83" s="1918"/>
      <c r="G83" s="1918"/>
      <c r="H83" s="1958"/>
      <c r="I83" s="1958"/>
      <c r="J83" s="1958"/>
      <c r="K83" s="1958"/>
      <c r="L83" s="1958"/>
      <c r="M83" s="1958"/>
      <c r="N83" s="1918"/>
      <c r="O83" s="1918"/>
      <c r="P83" s="1918"/>
      <c r="Q83" s="1918"/>
      <c r="R83" s="1918"/>
      <c r="S83" s="1918"/>
      <c r="T83" s="1918"/>
      <c r="U83" s="1918"/>
      <c r="V83" s="1918"/>
      <c r="W83" s="1918"/>
      <c r="X83" s="1918"/>
      <c r="Y83" s="1918"/>
      <c r="Z83" s="1918"/>
      <c r="AA83" s="1918"/>
      <c r="AB83" s="1918"/>
      <c r="AC83" s="1918"/>
      <c r="AD83" s="1918"/>
      <c r="AE83" s="1918"/>
      <c r="AF83" s="1918"/>
      <c r="AG83" s="1918"/>
      <c r="AI83" s="2386"/>
      <c r="AJ83" s="2569"/>
      <c r="AK83" s="1918"/>
      <c r="AL83" s="1918"/>
      <c r="AM83" s="1918"/>
      <c r="AN83" s="1918"/>
      <c r="AO83" s="1918"/>
      <c r="AP83" s="1918"/>
      <c r="AQ83" s="1918"/>
      <c r="AR83" s="1918"/>
      <c r="AS83" s="1918"/>
      <c r="AT83" s="1918"/>
      <c r="AU83" s="1918"/>
      <c r="AV83" s="1918"/>
      <c r="AW83" s="1918"/>
      <c r="AX83" s="1918"/>
      <c r="AY83" s="1918"/>
      <c r="AZ83" s="1918"/>
      <c r="BA83" s="1918"/>
      <c r="BB83" s="1918"/>
      <c r="BC83" s="1918"/>
      <c r="BD83" s="1918"/>
      <c r="BE83" s="1918"/>
      <c r="BF83" s="1918"/>
      <c r="BG83" s="2409"/>
      <c r="BH83" s="2410"/>
      <c r="BI83" s="2410"/>
      <c r="BJ83" s="2410"/>
      <c r="BK83" s="2410"/>
      <c r="BL83" s="2410"/>
      <c r="BM83" s="2410"/>
      <c r="BN83" s="2410"/>
      <c r="BO83" s="2410"/>
      <c r="BP83" s="2410"/>
      <c r="BQ83" s="2410"/>
      <c r="BR83" s="2410"/>
      <c r="BS83" s="2410"/>
      <c r="BT83" s="2410"/>
      <c r="BU83" s="2410"/>
      <c r="BV83" s="2411"/>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s="555"/>
      <c r="DK83" s="554"/>
      <c r="DL83" s="1074"/>
      <c r="DM83" s="1074"/>
      <c r="DN83" s="555"/>
      <c r="DO83" s="554"/>
      <c r="DP83" s="1074"/>
      <c r="DQ83" s="1074"/>
      <c r="DR83" s="555"/>
      <c r="DS83" s="554"/>
      <c r="DT83" s="1074"/>
      <c r="DU83" s="1074"/>
      <c r="DV83" s="555"/>
      <c r="DW83" s="1923"/>
    </row>
    <row r="84" spans="1:133" s="820" customFormat="1" ht="15" customHeight="1">
      <c r="A84" s="1923" t="s">
        <v>1157</v>
      </c>
      <c r="B84" s="1923"/>
      <c r="C84" s="1923"/>
      <c r="D84" s="1923"/>
      <c r="E84" s="1923"/>
      <c r="F84" s="1923"/>
      <c r="G84" s="1923"/>
      <c r="H84" s="1958">
        <v>-910</v>
      </c>
      <c r="I84" s="1958">
        <v>-953</v>
      </c>
      <c r="J84" s="1958">
        <v>-1443</v>
      </c>
      <c r="K84" s="1958">
        <v>-1579</v>
      </c>
      <c r="L84" s="1958">
        <v>-2409</v>
      </c>
      <c r="M84" s="1958">
        <v>-3008</v>
      </c>
      <c r="N84" s="1923">
        <f>SUM(BW84:BZ84)</f>
        <v>-4040</v>
      </c>
      <c r="O84" s="1923">
        <f>SUM(CA84:CD84)</f>
        <v>-5053</v>
      </c>
      <c r="P84" s="1923">
        <f>SUM(CE84:CH84)</f>
        <v>-6157</v>
      </c>
      <c r="Q84" s="1923">
        <f>SUM(CI84:CL84)</f>
        <v>-6889.2280000000001</v>
      </c>
      <c r="R84" s="1923">
        <f>SUM(CM84:CP84)</f>
        <v>-8068.2560000000003</v>
      </c>
      <c r="S84" s="1923">
        <f>SUM(CQ84:CT84)</f>
        <v>-7794</v>
      </c>
      <c r="T84" s="1923">
        <v>-9681.9999999999982</v>
      </c>
      <c r="U84" s="1923">
        <v>-11924.9</v>
      </c>
      <c r="V84" s="1923">
        <f>SUM(DC84:DF84)</f>
        <v>-2331</v>
      </c>
      <c r="W84" s="1923">
        <f>SUM(DG84:DJ84)</f>
        <v>-496</v>
      </c>
      <c r="X84" s="1923">
        <f>SUM(DK84:DN84)</f>
        <v>-481</v>
      </c>
      <c r="Y84" s="1923">
        <f>SUM(DO84:DR84)</f>
        <v>-449</v>
      </c>
      <c r="Z84" s="1923">
        <f>SUM(DS84:DV84)</f>
        <v>-484</v>
      </c>
      <c r="AA84" s="1923">
        <f>Z84</f>
        <v>-484</v>
      </c>
      <c r="AB84" s="1923">
        <f>AA84</f>
        <v>-484</v>
      </c>
      <c r="AC84" s="1923">
        <f t="shared" ref="AC84:AG84" si="446">AB84</f>
        <v>-484</v>
      </c>
      <c r="AD84" s="1923">
        <f t="shared" si="446"/>
        <v>-484</v>
      </c>
      <c r="AE84" s="1923">
        <f t="shared" si="446"/>
        <v>-484</v>
      </c>
      <c r="AF84" s="1923">
        <f t="shared" si="446"/>
        <v>-484</v>
      </c>
      <c r="AG84" s="1923">
        <f t="shared" si="446"/>
        <v>-484</v>
      </c>
      <c r="AH84" s="1923"/>
      <c r="AI84" s="2386">
        <f>(AA84/V84)^(1/5)-1</f>
        <v>-0.26976840845732231</v>
      </c>
      <c r="AJ84" s="2570"/>
      <c r="AK84" s="1923"/>
      <c r="AL84" s="1923"/>
      <c r="AM84" s="1923"/>
      <c r="AN84" s="1923"/>
      <c r="AO84" s="1923"/>
      <c r="AP84" s="1923"/>
      <c r="AQ84" s="1923"/>
      <c r="AR84" s="1923"/>
      <c r="AS84" s="1923"/>
      <c r="AT84" s="1923"/>
      <c r="AU84" s="1923"/>
      <c r="AV84" s="1923"/>
      <c r="AW84" s="1923"/>
      <c r="AX84" s="1923"/>
      <c r="AY84" s="1923"/>
      <c r="AZ84" s="1923"/>
      <c r="BA84" s="1923"/>
      <c r="BB84" s="1923"/>
      <c r="BC84" s="1923"/>
      <c r="BD84" s="1923"/>
      <c r="BE84" s="1923"/>
      <c r="BF84" s="1923"/>
      <c r="BG84" s="2388">
        <v>-285</v>
      </c>
      <c r="BH84" s="2389">
        <v>-385</v>
      </c>
      <c r="BI84" s="2389">
        <v>-393</v>
      </c>
      <c r="BJ84" s="2389">
        <v>-380</v>
      </c>
      <c r="BK84" s="2389">
        <v>-335</v>
      </c>
      <c r="BL84" s="2389">
        <v>-381</v>
      </c>
      <c r="BM84" s="2389">
        <v>-410</v>
      </c>
      <c r="BN84" s="2389">
        <v>-453</v>
      </c>
      <c r="BO84" s="2389">
        <v>-477</v>
      </c>
      <c r="BP84" s="2389">
        <v>-676</v>
      </c>
      <c r="BQ84" s="2389">
        <v>-682</v>
      </c>
      <c r="BR84" s="2389">
        <v>-574</v>
      </c>
      <c r="BS84" s="2389">
        <v>-610</v>
      </c>
      <c r="BT84" s="2389">
        <v>-711</v>
      </c>
      <c r="BU84" s="2389">
        <v>-748</v>
      </c>
      <c r="BV84" s="2390">
        <v>-939</v>
      </c>
      <c r="BW84" s="2391">
        <f>NormInputs!BP46</f>
        <v>-868</v>
      </c>
      <c r="BX84" s="2392">
        <f>NormInputs!BQ46</f>
        <v>-986</v>
      </c>
      <c r="BY84" s="2392">
        <f>NormInputs!BR46</f>
        <v>-1088</v>
      </c>
      <c r="BZ84" s="2392">
        <f>NormInputs!BS46</f>
        <v>-1098</v>
      </c>
      <c r="CA84" s="2391">
        <f>NormInputs!BT46</f>
        <v>-1154</v>
      </c>
      <c r="CB84" s="2392">
        <f>NormInputs!BU46</f>
        <v>-1268</v>
      </c>
      <c r="CC84" s="2392">
        <f>NormInputs!BV46</f>
        <v>-1298</v>
      </c>
      <c r="CD84" s="2392">
        <f>NormInputs!BW46</f>
        <v>-1333</v>
      </c>
      <c r="CE84" s="2391">
        <f>NormInputs!BX46</f>
        <v>-1407</v>
      </c>
      <c r="CF84" s="2392">
        <f>NormInputs!BY46</f>
        <v>-1522</v>
      </c>
      <c r="CG84" s="2392">
        <f>NormInputs!BZ46</f>
        <v>-1530</v>
      </c>
      <c r="CH84" s="2392">
        <f>NormInputs!CA46</f>
        <v>-1698</v>
      </c>
      <c r="CI84" s="2391">
        <f>NormInputs!CB46</f>
        <v>-1645.1110000000001</v>
      </c>
      <c r="CJ84" s="2392">
        <f>NormInputs!CC46</f>
        <v>-1658.018</v>
      </c>
      <c r="CK84" s="2392">
        <f>NormInputs!CD46</f>
        <v>-1828.2829999999999</v>
      </c>
      <c r="CL84" s="2392">
        <f>NormInputs!CE46</f>
        <v>-1757.816</v>
      </c>
      <c r="CM84" s="2391">
        <f>NormInputs!CF46</f>
        <v>-1855.8620000000001</v>
      </c>
      <c r="CN84" s="2392">
        <f>NormInputs!CG46</f>
        <v>-1970.5540000000001</v>
      </c>
      <c r="CO84" s="2392">
        <f>NormInputs!CH46</f>
        <v>-2088.8180000000002</v>
      </c>
      <c r="CP84" s="2392">
        <f>NormInputs!CI46</f>
        <v>-2153.0219999999999</v>
      </c>
      <c r="CQ84" s="2391">
        <f>NormInputs!CJ46</f>
        <v>-1825</v>
      </c>
      <c r="CR84" s="2392">
        <f>NormInputs!CK46</f>
        <v>-1995</v>
      </c>
      <c r="CS84" s="2392">
        <f>NormInputs!CL46</f>
        <v>-2163</v>
      </c>
      <c r="CT84" s="2392">
        <f>NormInputs!CM46</f>
        <v>-1811</v>
      </c>
      <c r="CU84" s="2391">
        <f>NormInputs!CN46</f>
        <v>-2220</v>
      </c>
      <c r="CV84" s="2392">
        <f>NormInputs!CO46</f>
        <v>-2460</v>
      </c>
      <c r="CW84" s="2392">
        <f>NormInputs!CP46</f>
        <v>-2699</v>
      </c>
      <c r="CX84" s="2392">
        <f>NormInputs!CQ46</f>
        <v>-2303</v>
      </c>
      <c r="CY84" s="2391">
        <f>NormInputs!CR46</f>
        <v>-2903</v>
      </c>
      <c r="CZ84" s="2392">
        <f>NormInputs!CS46</f>
        <v>-2952</v>
      </c>
      <c r="DA84" s="2392">
        <f>NormInputs!CT46</f>
        <v>-3220.9</v>
      </c>
      <c r="DB84" s="2392">
        <f>NormInputs!CU46</f>
        <v>-2849</v>
      </c>
      <c r="DC84" s="2391">
        <f>NormInputs!CV46</f>
        <v>-2039</v>
      </c>
      <c r="DD84" s="2392">
        <f>NormInputs!CW46</f>
        <v>-110</v>
      </c>
      <c r="DE84" s="2392">
        <f>NormInputs!CX46</f>
        <v>-99</v>
      </c>
      <c r="DF84" s="2393">
        <f>NormInputs!CY46</f>
        <v>-83</v>
      </c>
      <c r="DG84" s="2391">
        <f>NormInputs!CZ46</f>
        <v>-119</v>
      </c>
      <c r="DH84" s="2392">
        <f>NormInputs!DA46</f>
        <v>-122</v>
      </c>
      <c r="DI84" s="2407">
        <f>NormInputs!DB46</f>
        <v>-133</v>
      </c>
      <c r="DJ84" s="2481">
        <f>NormInputs!DC46</f>
        <v>-122</v>
      </c>
      <c r="DK84" s="2496">
        <f>NormInputs!DD46</f>
        <v>-120</v>
      </c>
      <c r="DL84" s="2563">
        <f>NormInputs!DE46</f>
        <v>-129</v>
      </c>
      <c r="DM84" s="2563">
        <f>NormInputs!DF46</f>
        <v>-127</v>
      </c>
      <c r="DN84" s="2564">
        <f>NormInputs!DG46</f>
        <v>-105</v>
      </c>
      <c r="DO84" s="2496">
        <f>NormInputs!DH46</f>
        <v>-103</v>
      </c>
      <c r="DP84" s="2563">
        <f>NormInputs!DI46</f>
        <v>-116</v>
      </c>
      <c r="DQ84" s="2563">
        <f>NormInputs!DJ46</f>
        <v>-116</v>
      </c>
      <c r="DR84" s="2564">
        <f>NormInputs!DK46</f>
        <v>-114</v>
      </c>
      <c r="DS84" s="2496">
        <f>NormInputs!DL46</f>
        <v>-121</v>
      </c>
      <c r="DT84" s="2392">
        <f t="shared" ref="DT84" si="447">+DS84</f>
        <v>-121</v>
      </c>
      <c r="DU84" s="2392">
        <f t="shared" ref="DU84" si="448">+DT84</f>
        <v>-121</v>
      </c>
      <c r="DV84" s="2393">
        <f t="shared" ref="DV84" si="449">+DU84</f>
        <v>-121</v>
      </c>
      <c r="DW84" s="1923"/>
      <c r="DX84"/>
      <c r="DY84"/>
      <c r="DZ84"/>
      <c r="EA84"/>
      <c r="EB84"/>
      <c r="EC84"/>
    </row>
    <row r="85" spans="1:133" s="821" customFormat="1" ht="15" customHeight="1">
      <c r="A85" s="1924" t="s">
        <v>945</v>
      </c>
      <c r="B85" s="1921"/>
      <c r="C85" s="1921"/>
      <c r="D85" s="1921"/>
      <c r="E85" s="1921"/>
      <c r="F85" s="1921"/>
      <c r="G85" s="1921"/>
      <c r="H85" s="1958"/>
      <c r="I85" s="1958">
        <v>4.7252747252747307E-2</v>
      </c>
      <c r="J85" s="1958">
        <v>0.51416579223504733</v>
      </c>
      <c r="K85" s="1958">
        <v>9.4248094248094327E-2</v>
      </c>
      <c r="L85" s="1958">
        <v>0.52564914502849902</v>
      </c>
      <c r="M85" s="1958">
        <v>0.24865089248650896</v>
      </c>
      <c r="N85" s="1921">
        <f t="shared" ref="N85:AB85" si="450">N84/M84-1</f>
        <v>0.34308510638297873</v>
      </c>
      <c r="O85" s="1921">
        <f t="shared" si="450"/>
        <v>0.25074257425742563</v>
      </c>
      <c r="P85" s="1921">
        <f t="shared" si="450"/>
        <v>0.21848406886997829</v>
      </c>
      <c r="Q85" s="1921">
        <f t="shared" si="450"/>
        <v>0.11892610037355866</v>
      </c>
      <c r="R85" s="1921">
        <f t="shared" si="450"/>
        <v>0.17114080126249265</v>
      </c>
      <c r="S85" s="1921">
        <f t="shared" si="450"/>
        <v>-3.3991980423030754E-2</v>
      </c>
      <c r="T85" s="1921">
        <f t="shared" si="450"/>
        <v>0.24223761868103644</v>
      </c>
      <c r="U85" s="1921">
        <f t="shared" si="450"/>
        <v>0.23165668250361504</v>
      </c>
      <c r="V85" s="1921">
        <f t="shared" si="450"/>
        <v>-0.80452666269738105</v>
      </c>
      <c r="W85" s="1921">
        <f>W84/V84-1</f>
        <v>-0.78721578721578722</v>
      </c>
      <c r="X85" s="1921">
        <f>X84/W84-1</f>
        <v>-3.0241935483870996E-2</v>
      </c>
      <c r="Y85" s="1921">
        <f>Y84/X84-1</f>
        <v>-6.6528066528066532E-2</v>
      </c>
      <c r="Z85" s="1921">
        <f>Z84/Y84-1</f>
        <v>7.795100222717144E-2</v>
      </c>
      <c r="AA85" s="1921">
        <f t="shared" si="450"/>
        <v>0</v>
      </c>
      <c r="AB85" s="1921">
        <f t="shared" si="450"/>
        <v>0</v>
      </c>
      <c r="AC85" s="1921">
        <f t="shared" ref="AC85" si="451">AC84/AB84-1</f>
        <v>0</v>
      </c>
      <c r="AD85" s="1921">
        <f t="shared" ref="AD85" si="452">AD84/AC84-1</f>
        <v>0</v>
      </c>
      <c r="AE85" s="1921">
        <f t="shared" ref="AE85" si="453">AE84/AD84-1</f>
        <v>0</v>
      </c>
      <c r="AF85" s="1921">
        <f t="shared" ref="AF85" si="454">AF84/AE84-1</f>
        <v>0</v>
      </c>
      <c r="AG85" s="1921">
        <f t="shared" ref="AG85" si="455">AG84/AF84-1</f>
        <v>0</v>
      </c>
      <c r="AH85" s="1921"/>
      <c r="AI85" s="2386"/>
      <c r="AJ85" s="2571"/>
      <c r="AK85" s="1921"/>
      <c r="AL85" s="1921"/>
      <c r="AM85" s="1921"/>
      <c r="AN85" s="1921"/>
      <c r="AO85" s="1921"/>
      <c r="AP85" s="1921"/>
      <c r="AQ85" s="1921"/>
      <c r="AR85" s="1921"/>
      <c r="AS85" s="1921"/>
      <c r="AT85" s="1921"/>
      <c r="AU85" s="1921"/>
      <c r="AV85" s="1921"/>
      <c r="AW85" s="1921"/>
      <c r="AX85" s="1921"/>
      <c r="AY85" s="1921"/>
      <c r="AZ85" s="1921"/>
      <c r="BA85" s="1921"/>
      <c r="BB85" s="1921"/>
      <c r="BC85" s="1921"/>
      <c r="BD85" s="1921"/>
      <c r="BE85" s="1921"/>
      <c r="BF85" s="1921"/>
      <c r="BG85" s="2397"/>
      <c r="BH85" s="2398"/>
      <c r="BI85" s="2398"/>
      <c r="BJ85" s="2398"/>
      <c r="BK85" s="2398">
        <v>0.17543859649122817</v>
      </c>
      <c r="BL85" s="2398">
        <v>-1.0389610389610393E-2</v>
      </c>
      <c r="BM85" s="2398">
        <v>4.3256997455470847E-2</v>
      </c>
      <c r="BN85" s="2398">
        <v>0.19210526315789478</v>
      </c>
      <c r="BO85" s="2398">
        <v>0.42388059701492531</v>
      </c>
      <c r="BP85" s="2398">
        <v>0.77427821522309714</v>
      </c>
      <c r="BQ85" s="2398">
        <v>0.66341463414634139</v>
      </c>
      <c r="BR85" s="2398">
        <v>0.26710816777041946</v>
      </c>
      <c r="BS85" s="2398">
        <v>0.27882599580712797</v>
      </c>
      <c r="BT85" s="2398">
        <v>5.177514792899407E-2</v>
      </c>
      <c r="BU85" s="2398">
        <v>9.6774193548387011E-2</v>
      </c>
      <c r="BV85" s="2399">
        <v>0.63588850174216027</v>
      </c>
      <c r="BW85" s="2400">
        <f t="shared" ref="BW85:DS85" si="456">BW84/BS84-1</f>
        <v>0.42295081967213122</v>
      </c>
      <c r="BX85" s="2401">
        <f t="shared" si="456"/>
        <v>0.38677918424753877</v>
      </c>
      <c r="BY85" s="2401">
        <f t="shared" si="456"/>
        <v>0.45454545454545459</v>
      </c>
      <c r="BZ85" s="2401">
        <f t="shared" si="456"/>
        <v>0.16932907348242821</v>
      </c>
      <c r="CA85" s="2400">
        <f t="shared" si="456"/>
        <v>0.32949308755760365</v>
      </c>
      <c r="CB85" s="2401">
        <f t="shared" si="456"/>
        <v>0.28600405679513186</v>
      </c>
      <c r="CC85" s="2401">
        <f t="shared" si="456"/>
        <v>0.19301470588235303</v>
      </c>
      <c r="CD85" s="2401">
        <f t="shared" si="456"/>
        <v>0.21402550091074679</v>
      </c>
      <c r="CE85" s="2400">
        <f t="shared" si="456"/>
        <v>0.21923743500866544</v>
      </c>
      <c r="CF85" s="2401">
        <f t="shared" si="456"/>
        <v>0.2003154574132493</v>
      </c>
      <c r="CG85" s="2401">
        <f t="shared" si="456"/>
        <v>0.17873651771956856</v>
      </c>
      <c r="CH85" s="2401">
        <f t="shared" si="456"/>
        <v>0.27381845461365351</v>
      </c>
      <c r="CI85" s="2400">
        <f t="shared" si="456"/>
        <v>0.16923312011371716</v>
      </c>
      <c r="CJ85" s="2401">
        <f t="shared" si="456"/>
        <v>8.936793692509859E-2</v>
      </c>
      <c r="CK85" s="2401">
        <f t="shared" si="456"/>
        <v>0.19495620915032674</v>
      </c>
      <c r="CL85" s="2401">
        <f t="shared" si="456"/>
        <v>3.5227326266195513E-2</v>
      </c>
      <c r="CM85" s="2400">
        <f t="shared" si="456"/>
        <v>0.12810746508898174</v>
      </c>
      <c r="CN85" s="2401">
        <f t="shared" si="456"/>
        <v>0.18849976297000404</v>
      </c>
      <c r="CO85" s="2401">
        <f t="shared" si="456"/>
        <v>0.14250255567655579</v>
      </c>
      <c r="CP85" s="2401">
        <f t="shared" si="456"/>
        <v>0.22482785456498289</v>
      </c>
      <c r="CQ85" s="2400">
        <f t="shared" si="456"/>
        <v>-1.6629469217000037E-2</v>
      </c>
      <c r="CR85" s="2401">
        <f t="shared" si="456"/>
        <v>1.2405648360816146E-2</v>
      </c>
      <c r="CS85" s="2401">
        <f t="shared" si="456"/>
        <v>3.551386477902807E-2</v>
      </c>
      <c r="CT85" s="2401">
        <f t="shared" si="456"/>
        <v>-0.15885671395833389</v>
      </c>
      <c r="CU85" s="2400">
        <f t="shared" si="456"/>
        <v>0.21643835616438367</v>
      </c>
      <c r="CV85" s="2401">
        <f t="shared" si="456"/>
        <v>0.23308270676691722</v>
      </c>
      <c r="CW85" s="2401">
        <f t="shared" si="456"/>
        <v>0.2478039759593158</v>
      </c>
      <c r="CX85" s="2401">
        <f t="shared" si="456"/>
        <v>0.27167310877967976</v>
      </c>
      <c r="CY85" s="2400">
        <f t="shared" si="456"/>
        <v>0.30765765765765773</v>
      </c>
      <c r="CZ85" s="2401">
        <f t="shared" si="456"/>
        <v>0.19999999999999996</v>
      </c>
      <c r="DA85" s="2401">
        <f t="shared" si="456"/>
        <v>0.19336791404223796</v>
      </c>
      <c r="DB85" s="2401">
        <f t="shared" si="456"/>
        <v>0.237082066869301</v>
      </c>
      <c r="DC85" s="2400">
        <f t="shared" si="456"/>
        <v>-0.29762314846710303</v>
      </c>
      <c r="DD85" s="2401">
        <f t="shared" si="456"/>
        <v>-0.9627371273712737</v>
      </c>
      <c r="DE85" s="2401">
        <f t="shared" si="456"/>
        <v>-0.96926324940234099</v>
      </c>
      <c r="DF85" s="2402">
        <f t="shared" si="456"/>
        <v>-0.97086697086697082</v>
      </c>
      <c r="DG85" s="2400">
        <f t="shared" si="456"/>
        <v>-0.94163805787150567</v>
      </c>
      <c r="DH85" s="2401">
        <f t="shared" si="456"/>
        <v>0.10909090909090913</v>
      </c>
      <c r="DI85" s="2401">
        <f t="shared" si="456"/>
        <v>0.34343434343434343</v>
      </c>
      <c r="DJ85" s="2402">
        <f t="shared" si="456"/>
        <v>0.46987951807228923</v>
      </c>
      <c r="DK85" s="2400">
        <f t="shared" si="456"/>
        <v>8.4033613445377853E-3</v>
      </c>
      <c r="DL85" s="2401">
        <f t="shared" si="456"/>
        <v>5.7377049180327822E-2</v>
      </c>
      <c r="DM85" s="2401">
        <f t="shared" si="456"/>
        <v>-4.5112781954887216E-2</v>
      </c>
      <c r="DN85" s="2402">
        <f t="shared" si="456"/>
        <v>-0.13934426229508201</v>
      </c>
      <c r="DO85" s="2400">
        <f t="shared" si="456"/>
        <v>-0.14166666666666672</v>
      </c>
      <c r="DP85" s="2401">
        <f t="shared" si="456"/>
        <v>-0.10077519379844957</v>
      </c>
      <c r="DQ85" s="2401">
        <f t="shared" si="456"/>
        <v>-8.6614173228346414E-2</v>
      </c>
      <c r="DR85" s="2402">
        <f t="shared" si="456"/>
        <v>8.5714285714285632E-2</v>
      </c>
      <c r="DS85" s="2400">
        <f t="shared" si="456"/>
        <v>0.17475728155339798</v>
      </c>
      <c r="DT85" s="2401">
        <f t="shared" ref="DT85" si="457">DT84/DP84-1</f>
        <v>4.31034482758621E-2</v>
      </c>
      <c r="DU85" s="2401">
        <f t="shared" ref="DU85" si="458">DU84/DQ84-1</f>
        <v>4.31034482758621E-2</v>
      </c>
      <c r="DV85" s="2402">
        <f t="shared" ref="DV85" si="459">DV84/DR84-1</f>
        <v>6.1403508771929793E-2</v>
      </c>
      <c r="DW85" s="1923"/>
      <c r="DX85"/>
      <c r="DY85"/>
      <c r="DZ85"/>
      <c r="EA85"/>
      <c r="EB85"/>
      <c r="EC85"/>
    </row>
    <row r="86" spans="1:133" s="821" customFormat="1" ht="15" customHeight="1">
      <c r="A86" s="1924" t="s">
        <v>1625</v>
      </c>
      <c r="B86" s="1921"/>
      <c r="C86" s="1921"/>
      <c r="D86" s="1921"/>
      <c r="E86" s="1921"/>
      <c r="F86" s="1921"/>
      <c r="G86" s="1921"/>
      <c r="H86" s="1958">
        <v>-9.1939622946513363E-3</v>
      </c>
      <c r="I86" s="1958">
        <v>-9.5259038613396234E-3</v>
      </c>
      <c r="J86" s="1958">
        <v>-1.5146902914965309E-2</v>
      </c>
      <c r="K86" s="1958">
        <v>-1.7323473910563041E-2</v>
      </c>
      <c r="L86" s="1958">
        <v>-2.6354655551544193E-2</v>
      </c>
      <c r="M86" s="1958">
        <v>-3.3835389928122295E-2</v>
      </c>
      <c r="N86" s="1921">
        <f>N84/N$30</f>
        <v>-4.6316501546965233E-2</v>
      </c>
      <c r="O86" s="1921">
        <f>O84/O$30</f>
        <v>-5.4700947225981053E-2</v>
      </c>
      <c r="P86" s="1921">
        <f>P84/P$30</f>
        <v>-6.3411469061547335E-2</v>
      </c>
      <c r="Q86" s="1921">
        <f>Q84/Q$35</f>
        <v>-6.726907716793766E-2</v>
      </c>
      <c r="R86" s="1921">
        <f t="shared" ref="R86:AA86" si="460">R84/R$35</f>
        <v>-7.7262903874514011E-2</v>
      </c>
      <c r="S86" s="1921">
        <f t="shared" si="460"/>
        <v>-7.029537767756483E-2</v>
      </c>
      <c r="T86" s="1921">
        <f t="shared" si="460"/>
        <v>-8.3762295720180971E-2</v>
      </c>
      <c r="U86" s="1921">
        <f t="shared" si="460"/>
        <v>-9.9414761027419529E-2</v>
      </c>
      <c r="V86" s="1921">
        <f t="shared" si="460"/>
        <v>-1.8379946855065721E-2</v>
      </c>
      <c r="W86" s="1921">
        <f t="shared" si="460"/>
        <v>-3.832453774889701E-3</v>
      </c>
      <c r="X86" s="1921">
        <f>X84/X$35</f>
        <v>-3.8340440795504365E-3</v>
      </c>
      <c r="Y86" s="1921">
        <f>Y84/Y$35</f>
        <v>-3.5625307456718029E-3</v>
      </c>
      <c r="Z86" s="1921">
        <f ca="1">Z84/Z$35</f>
        <v>-3.7535290503297081E-3</v>
      </c>
      <c r="AA86" s="1921">
        <f t="shared" ca="1" si="460"/>
        <v>-3.7508909233144451E-3</v>
      </c>
      <c r="AB86" s="1921">
        <f t="shared" ref="AB86:AG86" ca="1" si="461">AB84/AB$35</f>
        <v>-3.7330493072180167E-3</v>
      </c>
      <c r="AC86" s="1921">
        <f t="shared" ca="1" si="461"/>
        <v>-3.7133480680170139E-3</v>
      </c>
      <c r="AD86" s="1921">
        <f t="shared" ca="1" si="461"/>
        <v>-3.6920569560945464E-3</v>
      </c>
      <c r="AE86" s="1921">
        <f t="shared" ca="1" si="461"/>
        <v>-3.6690273590178806E-3</v>
      </c>
      <c r="AF86" s="1921">
        <f t="shared" ca="1" si="461"/>
        <v>-3.6439509963602651E-3</v>
      </c>
      <c r="AG86" s="1921">
        <f t="shared" ca="1" si="461"/>
        <v>-3.6164759149076146E-3</v>
      </c>
      <c r="AH86" s="1921"/>
      <c r="AI86" s="2386"/>
      <c r="AJ86" s="2571"/>
      <c r="AK86" s="1921"/>
      <c r="AL86" s="1921"/>
      <c r="AM86" s="1921"/>
      <c r="AN86" s="1921"/>
      <c r="AO86" s="1921"/>
      <c r="AP86" s="1921"/>
      <c r="AQ86" s="1921"/>
      <c r="AR86" s="1921"/>
      <c r="AS86" s="1921"/>
      <c r="AT86" s="1921"/>
      <c r="AU86" s="1921"/>
      <c r="AV86" s="1921"/>
      <c r="AW86" s="1921"/>
      <c r="AX86" s="1921"/>
      <c r="AY86" s="1921"/>
      <c r="AZ86" s="1921"/>
      <c r="BA86" s="1921"/>
      <c r="BB86" s="1921"/>
      <c r="BC86" s="1921"/>
      <c r="BD86" s="1921"/>
      <c r="BE86" s="1921"/>
      <c r="BF86" s="1921"/>
      <c r="BG86" s="2397">
        <v>-1.1970263345793607E-2</v>
      </c>
      <c r="BH86" s="2398">
        <v>-1.6217354675652905E-2</v>
      </c>
      <c r="BI86" s="2398">
        <v>-1.6296910636533279E-2</v>
      </c>
      <c r="BJ86" s="2398">
        <v>-1.6099648349786045E-2</v>
      </c>
      <c r="BK86" s="2398">
        <v>-1.4634572539425975E-2</v>
      </c>
      <c r="BL86" s="2398">
        <v>-1.6717125180992498E-2</v>
      </c>
      <c r="BM86" s="2398">
        <v>-1.7918797255364712E-2</v>
      </c>
      <c r="BN86" s="2398">
        <v>-2.0057560327651096E-2</v>
      </c>
      <c r="BO86" s="2398">
        <v>-2.135183527305282E-2</v>
      </c>
      <c r="BP86" s="2398">
        <v>-2.9586834733893556E-2</v>
      </c>
      <c r="BQ86" s="2398">
        <v>-2.9481692819781264E-2</v>
      </c>
      <c r="BR86" s="2398">
        <v>-2.4863553668890235E-2</v>
      </c>
      <c r="BS86" s="2398">
        <v>-2.799449288664525E-2</v>
      </c>
      <c r="BT86" s="2398">
        <v>-3.2073258751353299E-2</v>
      </c>
      <c r="BU86" s="2398">
        <v>-3.3312550102431636E-2</v>
      </c>
      <c r="BV86" s="2399">
        <v>-4.1550511084561266E-2</v>
      </c>
      <c r="BW86" s="2400">
        <f t="shared" ref="BW86:CH86" si="462">BW84/BW$30</f>
        <v>-4.100542333378155E-2</v>
      </c>
      <c r="BX86" s="2401">
        <f t="shared" si="462"/>
        <v>-4.5684103229393501E-2</v>
      </c>
      <c r="BY86" s="2401">
        <f t="shared" si="462"/>
        <v>-4.9093042144210813E-2</v>
      </c>
      <c r="BZ86" s="2401">
        <f t="shared" si="462"/>
        <v>-4.9208981311343165E-2</v>
      </c>
      <c r="CA86" s="2400">
        <f t="shared" si="462"/>
        <v>-5.1723365156200976E-2</v>
      </c>
      <c r="CB86" s="2401">
        <f t="shared" si="462"/>
        <v>-5.5130434782608699E-2</v>
      </c>
      <c r="CC86" s="2401">
        <f t="shared" si="462"/>
        <v>-5.5250500148980544E-2</v>
      </c>
      <c r="CD86" s="2401">
        <f t="shared" si="462"/>
        <v>-5.6552543379576596E-2</v>
      </c>
      <c r="CE86" s="2400">
        <f t="shared" si="462"/>
        <v>-5.9681866383881232E-2</v>
      </c>
      <c r="CF86" s="2401">
        <f t="shared" si="462"/>
        <v>-6.3090698060023209E-2</v>
      </c>
      <c r="CG86" s="2401">
        <f t="shared" si="462"/>
        <v>-6.1813186813186816E-2</v>
      </c>
      <c r="CH86" s="2401">
        <f t="shared" si="462"/>
        <v>-6.8898356664637853E-2</v>
      </c>
      <c r="CI86" s="2400">
        <f>CI84/CI$35</f>
        <v>-6.5372978342936622E-2</v>
      </c>
      <c r="CJ86" s="2401">
        <f t="shared" ref="CJ86:DG86" si="463">CJ84/CJ$35</f>
        <v>-6.4992277840931367E-2</v>
      </c>
      <c r="CK86" s="2401">
        <f t="shared" si="463"/>
        <v>-7.0497532197115756E-2</v>
      </c>
      <c r="CL86" s="2401">
        <f t="shared" si="463"/>
        <v>-6.8124481649420615E-2</v>
      </c>
      <c r="CM86" s="2400">
        <f t="shared" si="463"/>
        <v>-7.2395630973278724E-2</v>
      </c>
      <c r="CN86" s="2401">
        <f t="shared" si="463"/>
        <v>-7.6047931460327262E-2</v>
      </c>
      <c r="CO86" s="2401">
        <f t="shared" si="463"/>
        <v>-7.8870940945476517E-2</v>
      </c>
      <c r="CP86" s="2401">
        <f t="shared" si="463"/>
        <v>-8.1569312369767E-2</v>
      </c>
      <c r="CQ86" s="2400">
        <f t="shared" si="463"/>
        <v>-6.7617636161541317E-2</v>
      </c>
      <c r="CR86" s="2401">
        <f t="shared" si="463"/>
        <v>-7.2450610110400923E-2</v>
      </c>
      <c r="CS86" s="2401">
        <f t="shared" si="463"/>
        <v>-7.7490774907749083E-2</v>
      </c>
      <c r="CT86" s="2401">
        <f t="shared" si="463"/>
        <v>-6.3686875791250527E-2</v>
      </c>
      <c r="CU86" s="2400">
        <f t="shared" si="463"/>
        <v>-7.8606330996388363E-2</v>
      </c>
      <c r="CV86" s="2401">
        <f t="shared" si="463"/>
        <v>-8.6240140227870285E-2</v>
      </c>
      <c r="CW86" s="2401">
        <f t="shared" si="463"/>
        <v>-9.3046506015789288E-2</v>
      </c>
      <c r="CX86" s="2401">
        <f t="shared" si="463"/>
        <v>-7.7242998490692605E-2</v>
      </c>
      <c r="CY86" s="2400">
        <f t="shared" si="463"/>
        <v>-9.9281805745554036E-2</v>
      </c>
      <c r="CZ86" s="2401">
        <f t="shared" si="463"/>
        <v>-9.9538051724719287E-2</v>
      </c>
      <c r="DA86" s="2401">
        <f t="shared" si="463"/>
        <v>-0.10692849080406348</v>
      </c>
      <c r="DB86" s="2401">
        <f t="shared" si="463"/>
        <v>-9.2105263157894732E-2</v>
      </c>
      <c r="DC86" s="2400">
        <f t="shared" si="463"/>
        <v>-6.6438579341805151E-2</v>
      </c>
      <c r="DD86" s="2401">
        <f t="shared" si="463"/>
        <v>-3.5082124063147823E-3</v>
      </c>
      <c r="DE86" s="2401">
        <f t="shared" si="463"/>
        <v>-3.1343000063319194E-3</v>
      </c>
      <c r="DF86" s="2402">
        <f t="shared" si="463"/>
        <v>-2.5006025548324896E-3</v>
      </c>
      <c r="DG86" s="2400">
        <f t="shared" si="463"/>
        <v>-3.7863120048362976E-3</v>
      </c>
      <c r="DH86" s="2401">
        <f t="shared" ref="DH86:DJ86" si="464">DH84/DH$35</f>
        <v>-3.8513748145342047E-3</v>
      </c>
      <c r="DI86" s="2401">
        <f t="shared" si="464"/>
        <v>-4.0780033114613352E-3</v>
      </c>
      <c r="DJ86" s="2402">
        <f t="shared" si="464"/>
        <v>-3.6200706210498205E-3</v>
      </c>
      <c r="DK86" s="2400">
        <f t="shared" ref="DK86:DL86" si="465">DK84/DK$35</f>
        <v>-3.7919484295013588E-3</v>
      </c>
      <c r="DL86" s="2401">
        <f t="shared" si="465"/>
        <v>-4.2250753308004712E-3</v>
      </c>
      <c r="DM86" s="2401">
        <f t="shared" ref="DM86:DN86" si="466">DM84/DM$35</f>
        <v>-4.1051168503733393E-3</v>
      </c>
      <c r="DN86" s="2402">
        <f t="shared" si="466"/>
        <v>-3.246753246753247E-3</v>
      </c>
      <c r="DO86" s="2400">
        <f t="shared" ref="DO86:DP86" si="467">DO84/DO$35</f>
        <v>-3.454752800697659E-3</v>
      </c>
      <c r="DP86" s="2401">
        <f t="shared" si="467"/>
        <v>-3.7973026057352365E-3</v>
      </c>
      <c r="DQ86" s="2401">
        <f t="shared" ref="DQ86:DR86" si="468">DQ84/DQ$35</f>
        <v>-3.6573446416748117E-3</v>
      </c>
      <c r="DR86" s="2402">
        <f t="shared" si="468"/>
        <v>-3.3573847739655428E-3</v>
      </c>
      <c r="DS86" s="2400">
        <f t="shared" ref="DS86" si="469">DS84/DS$35</f>
        <v>-3.8083847412816317E-3</v>
      </c>
      <c r="DT86" s="2401">
        <f t="shared" ref="DT86:DV86" ca="1" si="470">DT84/DT$35</f>
        <v>-3.8346896873910448E-3</v>
      </c>
      <c r="DU86" s="2401">
        <f t="shared" ca="1" si="470"/>
        <v>-3.7722492032354832E-3</v>
      </c>
      <c r="DV86" s="2402">
        <f t="shared" ca="1" si="470"/>
        <v>-3.6073194366535045E-3</v>
      </c>
      <c r="DW86" s="1923"/>
      <c r="DX86"/>
      <c r="DY86"/>
      <c r="DZ86"/>
      <c r="EA86"/>
      <c r="EB86"/>
      <c r="EC86"/>
    </row>
    <row r="87" spans="1:133" ht="15" customHeight="1">
      <c r="A87" s="2419"/>
      <c r="B87" s="1918"/>
      <c r="C87" s="1918"/>
      <c r="D87" s="1918"/>
      <c r="E87" s="1918"/>
      <c r="F87" s="1918"/>
      <c r="G87" s="1918"/>
      <c r="H87" s="1918"/>
      <c r="I87" s="1918"/>
      <c r="J87" s="1918"/>
      <c r="K87" s="1918"/>
      <c r="L87" s="1918"/>
      <c r="M87" s="1918"/>
      <c r="N87" s="1918"/>
      <c r="O87" s="1918"/>
      <c r="P87" s="1918"/>
      <c r="Q87" s="1918"/>
      <c r="R87" s="1918"/>
      <c r="S87" s="1918"/>
      <c r="T87" s="1918"/>
      <c r="U87" s="1918"/>
      <c r="V87" s="1918"/>
      <c r="W87" s="1918"/>
      <c r="X87" s="1918"/>
      <c r="Y87" s="1918"/>
      <c r="Z87" s="1918"/>
      <c r="AA87" s="1918"/>
      <c r="AB87" s="1918"/>
      <c r="AC87" s="1918"/>
      <c r="AD87" s="1918"/>
      <c r="AE87" s="1918"/>
      <c r="AF87" s="1918"/>
      <c r="AG87" s="1918"/>
      <c r="AI87" s="2386"/>
      <c r="AJ87" s="2569"/>
      <c r="AK87" s="1918"/>
      <c r="AL87" s="1918"/>
      <c r="AM87" s="1918"/>
      <c r="AN87" s="1918"/>
      <c r="AO87" s="1918"/>
      <c r="AP87" s="1918"/>
      <c r="AQ87" s="1918"/>
      <c r="AR87" s="1918"/>
      <c r="AS87" s="1918"/>
      <c r="AT87" s="1918"/>
      <c r="AU87" s="1918"/>
      <c r="AV87" s="1918"/>
      <c r="AW87" s="1918"/>
      <c r="AX87" s="1918"/>
      <c r="AY87" s="1918"/>
      <c r="AZ87" s="1918"/>
      <c r="BA87" s="1918"/>
      <c r="BB87" s="1918"/>
      <c r="BC87" s="1918"/>
      <c r="BD87" s="1918"/>
      <c r="BE87" s="1918"/>
      <c r="BF87" s="1918"/>
      <c r="BG87" s="2409"/>
      <c r="BH87" s="2410"/>
      <c r="BI87" s="2410"/>
      <c r="BJ87" s="2410"/>
      <c r="BK87" s="2410"/>
      <c r="BL87" s="2410"/>
      <c r="BM87" s="2410"/>
      <c r="BN87" s="2410"/>
      <c r="BO87" s="2410"/>
      <c r="BP87" s="2410"/>
      <c r="BQ87" s="2410"/>
      <c r="BR87" s="2410"/>
      <c r="BS87" s="2410"/>
      <c r="BT87" s="2410"/>
      <c r="BU87" s="2410"/>
      <c r="BV87" s="2411"/>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s="555"/>
      <c r="DK87" s="554"/>
      <c r="DL87" s="1425"/>
      <c r="DM87" s="1425"/>
      <c r="DN87" s="3052"/>
      <c r="DO87" s="791"/>
      <c r="DP87" s="1425"/>
      <c r="DQ87" s="1425"/>
      <c r="DR87" s="3052"/>
      <c r="DS87" s="791"/>
      <c r="DT87" s="1074"/>
      <c r="DU87" s="1074"/>
      <c r="DV87" s="555"/>
      <c r="DW87" s="1923"/>
    </row>
    <row r="88" spans="1:133" s="820" customFormat="1" ht="15" customHeight="1">
      <c r="A88" s="1923" t="s">
        <v>1158</v>
      </c>
      <c r="B88" s="1923"/>
      <c r="C88" s="1923"/>
      <c r="D88" s="1923"/>
      <c r="E88" s="1923"/>
      <c r="F88" s="1923"/>
      <c r="G88" s="1923"/>
      <c r="H88" s="1958">
        <v>7067</v>
      </c>
      <c r="I88" s="1958">
        <v>6443</v>
      </c>
      <c r="J88" s="1958">
        <v>7497</v>
      </c>
      <c r="K88" s="1958">
        <v>7636</v>
      </c>
      <c r="L88" s="1958">
        <v>6563</v>
      </c>
      <c r="M88" s="1958">
        <v>7641</v>
      </c>
      <c r="N88" s="1923">
        <f>N76-N78+N82</f>
        <v>7652.9316888045578</v>
      </c>
      <c r="O88" s="1923">
        <f>O76-O78+O82</f>
        <v>6926</v>
      </c>
      <c r="P88" s="1923">
        <f t="shared" ref="P88:V88" si="471">P76-P78</f>
        <v>7235</v>
      </c>
      <c r="Q88" s="1923">
        <f t="shared" si="471"/>
        <v>5436.6370000000006</v>
      </c>
      <c r="R88" s="1923">
        <f t="shared" si="471"/>
        <v>5878.1319999999987</v>
      </c>
      <c r="S88" s="1923">
        <f t="shared" si="471"/>
        <v>6089.0324999999993</v>
      </c>
      <c r="T88" s="1923">
        <f t="shared" si="471"/>
        <v>6364.5140000000019</v>
      </c>
      <c r="U88" s="1923">
        <f t="shared" si="471"/>
        <v>8098.49</v>
      </c>
      <c r="V88" s="1923">
        <f t="shared" si="471"/>
        <v>14208.64</v>
      </c>
      <c r="W88" s="1923">
        <f t="shared" ref="W88:AB88" si="472">W76-W78</f>
        <v>14123.8</v>
      </c>
      <c r="X88" s="1923">
        <f t="shared" si="472"/>
        <v>15287.26</v>
      </c>
      <c r="Y88" s="1923">
        <f t="shared" si="472"/>
        <v>15275</v>
      </c>
      <c r="Z88" s="1923">
        <f t="shared" ca="1" si="472"/>
        <v>18761.505399655231</v>
      </c>
      <c r="AA88" s="1923">
        <f t="shared" ca="1" si="472"/>
        <v>19549.296174750736</v>
      </c>
      <c r="AB88" s="1923">
        <f t="shared" ca="1" si="472"/>
        <v>20446.060741173267</v>
      </c>
      <c r="AC88" s="1923">
        <f t="shared" ref="AC88:AG88" ca="1" si="473">AC76-AC78</f>
        <v>21319.218286285253</v>
      </c>
      <c r="AD88" s="1923">
        <f t="shared" ca="1" si="473"/>
        <v>22275.84230781471</v>
      </c>
      <c r="AE88" s="1923">
        <f t="shared" ca="1" si="473"/>
        <v>23293.984743285</v>
      </c>
      <c r="AF88" s="1923">
        <f t="shared" ca="1" si="473"/>
        <v>24379.031585146939</v>
      </c>
      <c r="AG88" s="1923">
        <f t="shared" ca="1" si="473"/>
        <v>25507.905300458406</v>
      </c>
      <c r="AH88" s="1923"/>
      <c r="AI88" s="2386">
        <f ca="1">(AA88/V88)^(1/5)-1</f>
        <v>6.5898185977598223E-2</v>
      </c>
      <c r="AJ88" s="2570"/>
      <c r="AK88" s="1923"/>
      <c r="AL88" s="1923"/>
      <c r="AM88" s="1923"/>
      <c r="AN88" s="1923"/>
      <c r="AO88" s="1923"/>
      <c r="AP88" s="1923"/>
      <c r="AQ88" s="1923"/>
      <c r="AR88" s="1923"/>
      <c r="AS88" s="1923"/>
      <c r="AT88" s="1923"/>
      <c r="AU88" s="1923"/>
      <c r="AV88" s="1923"/>
      <c r="AW88" s="1923"/>
      <c r="AX88" s="1923"/>
      <c r="AY88" s="1923"/>
      <c r="AZ88" s="1923"/>
      <c r="BA88" s="1923"/>
      <c r="BB88" s="1923"/>
      <c r="BC88" s="1923"/>
      <c r="BD88" s="1923"/>
      <c r="BE88" s="1923"/>
      <c r="BF88" s="1923"/>
      <c r="BG88" s="2388">
        <v>1555</v>
      </c>
      <c r="BH88" s="2389">
        <v>1363</v>
      </c>
      <c r="BI88" s="2389">
        <v>2404</v>
      </c>
      <c r="BJ88" s="2389">
        <v>2175</v>
      </c>
      <c r="BK88" s="2389">
        <v>2374</v>
      </c>
      <c r="BL88" s="2389">
        <v>2059</v>
      </c>
      <c r="BM88" s="2389">
        <v>1904</v>
      </c>
      <c r="BN88" s="2389">
        <v>1299</v>
      </c>
      <c r="BO88" s="2389">
        <v>1380</v>
      </c>
      <c r="BP88" s="2389">
        <v>1750</v>
      </c>
      <c r="BQ88" s="2389">
        <v>1942</v>
      </c>
      <c r="BR88" s="2389">
        <v>1491</v>
      </c>
      <c r="BS88" s="2389">
        <v>1703</v>
      </c>
      <c r="BT88" s="2389">
        <v>1906</v>
      </c>
      <c r="BU88" s="2389">
        <v>2183</v>
      </c>
      <c r="BV88" s="2390">
        <v>1849</v>
      </c>
      <c r="BW88" s="2391">
        <f>BW76-BW78+BW82</f>
        <v>1985.9316888045505</v>
      </c>
      <c r="BX88" s="2392">
        <f>BX76-BX78+BX82</f>
        <v>1874</v>
      </c>
      <c r="BY88" s="2392">
        <f>BY76-BY78+BY82</f>
        <v>1987</v>
      </c>
      <c r="BZ88" s="2392">
        <f>BZ76-BZ78+BZ82</f>
        <v>1806</v>
      </c>
      <c r="CA88" s="2391">
        <f>CA76-CA78+CA82</f>
        <v>1630</v>
      </c>
      <c r="CB88" s="2392">
        <f t="shared" ref="CB88:DB88" si="474">CB76-CB78</f>
        <v>1700</v>
      </c>
      <c r="CC88" s="2392">
        <f t="shared" si="474"/>
        <v>1814</v>
      </c>
      <c r="CD88" s="2392">
        <f t="shared" si="474"/>
        <v>1782</v>
      </c>
      <c r="CE88" s="2391">
        <f t="shared" si="474"/>
        <v>1741</v>
      </c>
      <c r="CF88" s="2392">
        <f t="shared" si="474"/>
        <v>1904</v>
      </c>
      <c r="CG88" s="2392">
        <f t="shared" si="474"/>
        <v>1865</v>
      </c>
      <c r="CH88" s="2392">
        <f t="shared" si="474"/>
        <v>1725</v>
      </c>
      <c r="CI88" s="2391">
        <f t="shared" si="474"/>
        <v>1347.6989999999998</v>
      </c>
      <c r="CJ88" s="2392">
        <f t="shared" si="474"/>
        <v>1463.127</v>
      </c>
      <c r="CK88" s="2392">
        <f t="shared" si="474"/>
        <v>1366.6620000000003</v>
      </c>
      <c r="CL88" s="2392">
        <f t="shared" si="474"/>
        <v>1259.1489999999999</v>
      </c>
      <c r="CM88" s="2391">
        <f t="shared" si="474"/>
        <v>1353.684</v>
      </c>
      <c r="CN88" s="2392">
        <f t="shared" si="474"/>
        <v>1452.0829999999996</v>
      </c>
      <c r="CO88" s="2392">
        <f t="shared" si="474"/>
        <v>1546.7469999999998</v>
      </c>
      <c r="CP88" s="2392">
        <f t="shared" si="474"/>
        <v>1525.6179999999999</v>
      </c>
      <c r="CQ88" s="2391">
        <f t="shared" si="474"/>
        <v>1439</v>
      </c>
      <c r="CR88" s="2392">
        <f t="shared" si="474"/>
        <v>1609</v>
      </c>
      <c r="CS88" s="2392">
        <f t="shared" si="474"/>
        <v>1579.69</v>
      </c>
      <c r="CT88" s="2392">
        <f t="shared" si="474"/>
        <v>1461.3424999999997</v>
      </c>
      <c r="CU88" s="2391">
        <f t="shared" si="474"/>
        <v>1685.51</v>
      </c>
      <c r="CV88" s="2392">
        <f t="shared" si="474"/>
        <v>1797.51</v>
      </c>
      <c r="CW88" s="2392">
        <f t="shared" si="474"/>
        <v>1820.0119999999999</v>
      </c>
      <c r="CX88" s="2392">
        <f t="shared" si="474"/>
        <v>1061.482</v>
      </c>
      <c r="CY88" s="2391">
        <f t="shared" si="474"/>
        <v>1942</v>
      </c>
      <c r="CZ88" s="2392">
        <f t="shared" si="474"/>
        <v>2088.69</v>
      </c>
      <c r="DA88" s="2392">
        <f t="shared" si="474"/>
        <v>2199.16</v>
      </c>
      <c r="DB88" s="2392">
        <f t="shared" si="474"/>
        <v>1868.6399999999999</v>
      </c>
      <c r="DC88" s="2391">
        <f>DC76-DC78</f>
        <v>3780</v>
      </c>
      <c r="DD88" s="2392">
        <f>DD76-DD78</f>
        <v>3769.66</v>
      </c>
      <c r="DE88" s="2392">
        <f>DE76-DE78</f>
        <v>3695</v>
      </c>
      <c r="DF88" s="2393">
        <f>DF76-DF78</f>
        <v>2963.98</v>
      </c>
      <c r="DG88" s="2391">
        <f t="shared" ref="DG88:DJ88" si="475">DG76-DG78</f>
        <v>3664</v>
      </c>
      <c r="DH88" s="2392">
        <f t="shared" si="475"/>
        <v>3684</v>
      </c>
      <c r="DI88" s="2392">
        <f t="shared" si="475"/>
        <v>3706.04</v>
      </c>
      <c r="DJ88" s="2393">
        <f t="shared" si="475"/>
        <v>3069.76</v>
      </c>
      <c r="DK88" s="2391">
        <f t="shared" ref="DK88:DL88" si="476">DK76-DK78</f>
        <v>3799.26</v>
      </c>
      <c r="DL88" s="2392">
        <f t="shared" si="476"/>
        <v>3856</v>
      </c>
      <c r="DM88" s="2392">
        <f t="shared" ref="DM88:DN88" si="477">DM76-DM78</f>
        <v>4122</v>
      </c>
      <c r="DN88" s="2393">
        <f t="shared" si="477"/>
        <v>3510</v>
      </c>
      <c r="DO88" s="2391">
        <f t="shared" ref="DO88:DP88" si="478">DO76-DO78</f>
        <v>3863</v>
      </c>
      <c r="DP88" s="2392">
        <f t="shared" si="478"/>
        <v>3904</v>
      </c>
      <c r="DQ88" s="2392">
        <f t="shared" ref="DQ88:DR88" si="479">DQ76-DQ78</f>
        <v>3994</v>
      </c>
      <c r="DR88" s="2393">
        <f t="shared" si="479"/>
        <v>3514</v>
      </c>
      <c r="DS88" s="2391">
        <f t="shared" ref="DS88" si="480">DS76-DS78</f>
        <v>4811</v>
      </c>
      <c r="DT88" s="2392">
        <f t="shared" ref="DT88:DV88" ca="1" si="481">DT76-DT78</f>
        <v>4798.2889958442465</v>
      </c>
      <c r="DU88" s="2392">
        <f t="shared" ca="1" si="481"/>
        <v>5008.5100402660883</v>
      </c>
      <c r="DV88" s="2393">
        <f t="shared" ca="1" si="481"/>
        <v>4143.7063635449067</v>
      </c>
      <c r="DW88" s="1923"/>
      <c r="DX88"/>
      <c r="DY88"/>
      <c r="DZ88"/>
      <c r="EA88"/>
      <c r="EB88"/>
      <c r="EC88"/>
    </row>
    <row r="89" spans="1:133" s="821" customFormat="1" ht="15" customHeight="1">
      <c r="A89" s="1924" t="s">
        <v>945</v>
      </c>
      <c r="B89" s="1921"/>
      <c r="C89" s="1921"/>
      <c r="D89" s="1921"/>
      <c r="E89" s="1921"/>
      <c r="F89" s="1921"/>
      <c r="G89" s="1921"/>
      <c r="H89" s="1958"/>
      <c r="I89" s="1958">
        <v>-8.8297721805575158E-2</v>
      </c>
      <c r="J89" s="1958">
        <v>0.16358839050131935</v>
      </c>
      <c r="K89" s="1958">
        <v>1.8540749633186637E-2</v>
      </c>
      <c r="L89" s="1958">
        <v>-0.14051859612362494</v>
      </c>
      <c r="M89" s="1958">
        <v>0.16425415206460459</v>
      </c>
      <c r="N89" s="1921">
        <f t="shared" ref="N89:AB89" si="482">N88/M88-1</f>
        <v>1.5615349829285474E-3</v>
      </c>
      <c r="O89" s="1921">
        <f t="shared" si="482"/>
        <v>-9.4987348425961127E-2</v>
      </c>
      <c r="P89" s="1921">
        <f t="shared" si="482"/>
        <v>4.4614496101645917E-2</v>
      </c>
      <c r="Q89" s="1921">
        <f t="shared" si="482"/>
        <v>-0.24856434001382166</v>
      </c>
      <c r="R89" s="1921">
        <f t="shared" si="482"/>
        <v>8.1207371395220607E-2</v>
      </c>
      <c r="S89" s="1921">
        <f t="shared" si="482"/>
        <v>3.5878830213408097E-2</v>
      </c>
      <c r="T89" s="1921">
        <f t="shared" si="482"/>
        <v>4.5242244970773671E-2</v>
      </c>
      <c r="U89" s="1921">
        <f t="shared" si="482"/>
        <v>0.2724443688866105</v>
      </c>
      <c r="V89" s="1921">
        <f t="shared" si="482"/>
        <v>0.75448015617726272</v>
      </c>
      <c r="W89" s="1921">
        <f>W88/V88-1</f>
        <v>-5.9710148191522983E-3</v>
      </c>
      <c r="X89" s="1921">
        <f>X88/W88-1</f>
        <v>8.2375847859641249E-2</v>
      </c>
      <c r="Y89" s="1921">
        <f>Y88/X88-1</f>
        <v>-8.0197497785738925E-4</v>
      </c>
      <c r="Z89" s="1921">
        <f ca="1">Z88/Y88-1</f>
        <v>0.22824912600034253</v>
      </c>
      <c r="AA89" s="1921">
        <f t="shared" ca="1" si="482"/>
        <v>4.1989742204268099E-2</v>
      </c>
      <c r="AB89" s="1921">
        <f t="shared" ca="1" si="482"/>
        <v>4.5871961752810497E-2</v>
      </c>
      <c r="AC89" s="1921">
        <f t="shared" ref="AC89" ca="1" si="483">AC88/AB88-1</f>
        <v>4.2705416762929937E-2</v>
      </c>
      <c r="AD89" s="1921">
        <f t="shared" ref="AD89" ca="1" si="484">AD88/AC88-1</f>
        <v>4.4871439875675767E-2</v>
      </c>
      <c r="AE89" s="1921">
        <f t="shared" ref="AE89" ca="1" si="485">AE88/AD88-1</f>
        <v>4.5706125110838602E-2</v>
      </c>
      <c r="AF89" s="1921">
        <f t="shared" ref="AF89" ca="1" si="486">AF88/AE88-1</f>
        <v>4.65805594800488E-2</v>
      </c>
      <c r="AG89" s="1921">
        <f t="shared" ref="AG89" ca="1" si="487">AG88/AF88-1</f>
        <v>4.6305109018327073E-2</v>
      </c>
      <c r="AH89" s="1921"/>
      <c r="AI89" s="2386"/>
      <c r="AJ89" s="2571"/>
      <c r="AK89" s="1921"/>
      <c r="AL89" s="1921"/>
      <c r="AM89" s="1921"/>
      <c r="AN89" s="1921"/>
      <c r="AO89" s="1921"/>
      <c r="AP89" s="1921"/>
      <c r="AQ89" s="1921"/>
      <c r="AR89" s="1921"/>
      <c r="AS89" s="1921"/>
      <c r="AT89" s="1921"/>
      <c r="AU89" s="1921"/>
      <c r="AV89" s="1921"/>
      <c r="AW89" s="1921"/>
      <c r="AX89" s="1921"/>
      <c r="AY89" s="1921"/>
      <c r="AZ89" s="1921"/>
      <c r="BA89" s="1921"/>
      <c r="BB89" s="1921"/>
      <c r="BC89" s="1921"/>
      <c r="BD89" s="1921"/>
      <c r="BE89" s="1921"/>
      <c r="BF89" s="1921"/>
      <c r="BG89" s="2397"/>
      <c r="BH89" s="2398"/>
      <c r="BI89" s="2398"/>
      <c r="BJ89" s="2398"/>
      <c r="BK89" s="2398">
        <v>0.52668810289389079</v>
      </c>
      <c r="BL89" s="2398">
        <v>0.5106382978723405</v>
      </c>
      <c r="BM89" s="2398">
        <v>-0.20798668885191351</v>
      </c>
      <c r="BN89" s="2398">
        <v>-0.40275862068965518</v>
      </c>
      <c r="BO89" s="2398">
        <v>-0.4187026116259478</v>
      </c>
      <c r="BP89" s="2398">
        <v>-0.15007285089849443</v>
      </c>
      <c r="BQ89" s="2398">
        <v>1.995798319327724E-2</v>
      </c>
      <c r="BR89" s="2398">
        <v>0.14780600461893756</v>
      </c>
      <c r="BS89" s="2398">
        <v>0.23405797101449277</v>
      </c>
      <c r="BT89" s="2398">
        <v>8.914285714285719E-2</v>
      </c>
      <c r="BU89" s="2398">
        <v>0.12409886714727092</v>
      </c>
      <c r="BV89" s="2399">
        <v>0.24010731052984569</v>
      </c>
      <c r="BW89" s="2400">
        <f t="shared" ref="BW89:DS89" si="488">BW88/BS88-1</f>
        <v>0.16613722184647717</v>
      </c>
      <c r="BX89" s="2401">
        <f t="shared" si="488"/>
        <v>-1.6789087093389332E-2</v>
      </c>
      <c r="BY89" s="2401">
        <f t="shared" si="488"/>
        <v>-8.9784699954191471E-2</v>
      </c>
      <c r="BZ89" s="2401">
        <f t="shared" si="488"/>
        <v>-2.3255813953488413E-2</v>
      </c>
      <c r="CA89" s="2400">
        <f t="shared" si="488"/>
        <v>-0.17922655185526892</v>
      </c>
      <c r="CB89" s="2401">
        <f t="shared" si="488"/>
        <v>-9.2849519743863351E-2</v>
      </c>
      <c r="CC89" s="2401">
        <f t="shared" si="488"/>
        <v>-8.7065928535480674E-2</v>
      </c>
      <c r="CD89" s="2401">
        <f t="shared" si="488"/>
        <v>-1.3289036544850474E-2</v>
      </c>
      <c r="CE89" s="2400">
        <f t="shared" si="488"/>
        <v>6.8098159509202505E-2</v>
      </c>
      <c r="CF89" s="2401">
        <f t="shared" si="488"/>
        <v>0.12000000000000011</v>
      </c>
      <c r="CG89" s="2401">
        <f t="shared" si="488"/>
        <v>2.811466372657101E-2</v>
      </c>
      <c r="CH89" s="2401">
        <f t="shared" si="488"/>
        <v>-3.1986531986532007E-2</v>
      </c>
      <c r="CI89" s="2400">
        <f t="shared" si="488"/>
        <v>-0.22590522688110293</v>
      </c>
      <c r="CJ89" s="2401">
        <f t="shared" si="488"/>
        <v>-0.23155094537815124</v>
      </c>
      <c r="CK89" s="2401">
        <f t="shared" si="488"/>
        <v>-0.26720536193029476</v>
      </c>
      <c r="CL89" s="2401">
        <f t="shared" si="488"/>
        <v>-0.27005855072463769</v>
      </c>
      <c r="CM89" s="2400">
        <f t="shared" si="488"/>
        <v>4.4409026051070999E-3</v>
      </c>
      <c r="CN89" s="2401">
        <f t="shared" si="488"/>
        <v>-7.5482169353722206E-3</v>
      </c>
      <c r="CO89" s="2401">
        <f t="shared" si="488"/>
        <v>0.13176996214133374</v>
      </c>
      <c r="CP89" s="2401">
        <f t="shared" si="488"/>
        <v>0.21162626504091264</v>
      </c>
      <c r="CQ89" s="2400">
        <f t="shared" si="488"/>
        <v>6.3025048681967233E-2</v>
      </c>
      <c r="CR89" s="2401">
        <f t="shared" si="488"/>
        <v>0.10806338205185262</v>
      </c>
      <c r="CS89" s="2401">
        <f t="shared" si="488"/>
        <v>2.129824722465945E-2</v>
      </c>
      <c r="CT89" s="2401">
        <f t="shared" si="488"/>
        <v>-4.2130795520241793E-2</v>
      </c>
      <c r="CU89" s="2400">
        <f t="shared" si="488"/>
        <v>0.17130646282140383</v>
      </c>
      <c r="CV89" s="2401">
        <f t="shared" si="488"/>
        <v>0.11715972653822249</v>
      </c>
      <c r="CW89" s="2401">
        <f t="shared" si="488"/>
        <v>0.15213238040374999</v>
      </c>
      <c r="CX89" s="2401">
        <f t="shared" si="488"/>
        <v>-0.27362545057028032</v>
      </c>
      <c r="CY89" s="2400">
        <f t="shared" si="488"/>
        <v>0.15217352611375778</v>
      </c>
      <c r="CZ89" s="2401">
        <f t="shared" si="488"/>
        <v>0.16199075387619555</v>
      </c>
      <c r="DA89" s="2401">
        <f t="shared" si="488"/>
        <v>0.2083217033733844</v>
      </c>
      <c r="DB89" s="2401">
        <f t="shared" si="488"/>
        <v>0.76040667670294915</v>
      </c>
      <c r="DC89" s="2400">
        <f t="shared" si="488"/>
        <v>0.94644696189495359</v>
      </c>
      <c r="DD89" s="2401">
        <f t="shared" si="488"/>
        <v>0.80479630773355537</v>
      </c>
      <c r="DE89" s="2401">
        <f t="shared" si="488"/>
        <v>0.68018698048345749</v>
      </c>
      <c r="DF89" s="2402">
        <f t="shared" si="488"/>
        <v>0.58616962068670264</v>
      </c>
      <c r="DG89" s="2400">
        <f t="shared" si="488"/>
        <v>-3.0687830687830653E-2</v>
      </c>
      <c r="DH89" s="2401">
        <f t="shared" si="488"/>
        <v>-2.2723534748491869E-2</v>
      </c>
      <c r="DI89" s="2401">
        <f t="shared" si="488"/>
        <v>2.9878213802436715E-3</v>
      </c>
      <c r="DJ89" s="2402">
        <f t="shared" si="488"/>
        <v>3.568849992240164E-2</v>
      </c>
      <c r="DK89" s="2400">
        <f t="shared" si="488"/>
        <v>3.6915938864628961E-2</v>
      </c>
      <c r="DL89" s="2401">
        <f t="shared" si="488"/>
        <v>4.6688382193268207E-2</v>
      </c>
      <c r="DM89" s="2401">
        <f t="shared" si="488"/>
        <v>0.11223840001726915</v>
      </c>
      <c r="DN89" s="2402">
        <f t="shared" si="488"/>
        <v>0.14341186281663698</v>
      </c>
      <c r="DO89" s="2400">
        <f t="shared" si="488"/>
        <v>1.6776951301042731E-2</v>
      </c>
      <c r="DP89" s="2401">
        <f t="shared" si="488"/>
        <v>1.2448132780082943E-2</v>
      </c>
      <c r="DQ89" s="2401">
        <f t="shared" si="488"/>
        <v>-3.1052886948083502E-2</v>
      </c>
      <c r="DR89" s="2402">
        <f t="shared" si="488"/>
        <v>1.1396011396012096E-3</v>
      </c>
      <c r="DS89" s="2400">
        <f t="shared" si="488"/>
        <v>0.24540512555009064</v>
      </c>
      <c r="DT89" s="2401">
        <f t="shared" ref="DT89" ca="1" si="489">DT88/DP88-1</f>
        <v>0.2290699272142025</v>
      </c>
      <c r="DU89" s="2401">
        <f t="shared" ref="DU89" ca="1" si="490">DU88/DQ88-1</f>
        <v>0.25400852285079822</v>
      </c>
      <c r="DV89" s="2402">
        <f t="shared" ref="DV89" ca="1" si="491">DV88/DR88-1</f>
        <v>0.17919930664339967</v>
      </c>
      <c r="DW89" s="1923"/>
      <c r="DX89"/>
      <c r="DY89"/>
      <c r="DZ89"/>
      <c r="EA89"/>
      <c r="EB89"/>
      <c r="EC89"/>
    </row>
    <row r="90" spans="1:133" s="821" customFormat="1" ht="15" customHeight="1">
      <c r="A90" s="1924" t="s">
        <v>1625</v>
      </c>
      <c r="B90" s="1921"/>
      <c r="C90" s="1921"/>
      <c r="D90" s="1921"/>
      <c r="E90" s="1921"/>
      <c r="F90" s="1921"/>
      <c r="G90" s="1921"/>
      <c r="H90" s="1958">
        <v>7.1399704984946147E-2</v>
      </c>
      <c r="I90" s="1958">
        <v>6.4402307007986562E-2</v>
      </c>
      <c r="J90" s="1958">
        <v>7.8694616183988153E-2</v>
      </c>
      <c r="K90" s="1958">
        <v>8.3775837100100933E-2</v>
      </c>
      <c r="L90" s="1958">
        <v>7.1799752754165433E-2</v>
      </c>
      <c r="M90" s="1958">
        <v>8.594953937526012E-2</v>
      </c>
      <c r="N90" s="1921">
        <f>N88/N$30</f>
        <v>8.7736886733498901E-2</v>
      </c>
      <c r="O90" s="1921">
        <f>O88/O$30</f>
        <v>7.4976995940460076E-2</v>
      </c>
      <c r="P90" s="1921">
        <f>P88/P$30</f>
        <v>7.4513883167174749E-2</v>
      </c>
      <c r="Q90" s="1921">
        <f>Q88/Q$35</f>
        <v>5.3085418843310916E-2</v>
      </c>
      <c r="R90" s="1921">
        <f t="shared" ref="R90:AA90" si="492">R88/R$35</f>
        <v>5.6289927795759663E-2</v>
      </c>
      <c r="S90" s="1921">
        <f t="shared" si="492"/>
        <v>5.4917993235625698E-2</v>
      </c>
      <c r="T90" s="1921">
        <f t="shared" si="492"/>
        <v>5.506158890551871E-2</v>
      </c>
      <c r="U90" s="1921">
        <f t="shared" si="492"/>
        <v>6.7514985285658302E-2</v>
      </c>
      <c r="V90" s="1921">
        <f t="shared" si="492"/>
        <v>0.11203519866270313</v>
      </c>
      <c r="W90" s="1921">
        <f t="shared" si="492"/>
        <v>0.1091306665842483</v>
      </c>
      <c r="X90" s="1921">
        <f>X88/X$35</f>
        <v>0.12185452951257424</v>
      </c>
      <c r="Y90" s="1921">
        <f>Y88/Y$35</f>
        <v>0.12119745465509307</v>
      </c>
      <c r="Z90" s="1921">
        <f ca="1">Z88/Z$35</f>
        <v>0.14549970154033798</v>
      </c>
      <c r="AA90" s="1921">
        <f t="shared" ca="1" si="492"/>
        <v>0.1515026396261536</v>
      </c>
      <c r="AB90" s="1921">
        <f t="shared" ref="AB90:AG90" ca="1" si="493">AB88/AB$35</f>
        <v>0.15769866298589741</v>
      </c>
      <c r="AC90" s="1921">
        <f t="shared" ca="1" si="493"/>
        <v>0.16356545048555854</v>
      </c>
      <c r="AD90" s="1921">
        <f t="shared" ca="1" si="493"/>
        <v>0.16992495567238119</v>
      </c>
      <c r="AE90" s="1921">
        <f t="shared" ca="1" si="493"/>
        <v>0.17658319694970612</v>
      </c>
      <c r="AF90" s="1921">
        <f t="shared" ca="1" si="493"/>
        <v>0.18354544717974083</v>
      </c>
      <c r="AG90" s="1921">
        <f t="shared" ca="1" si="493"/>
        <v>0.19059653958440517</v>
      </c>
      <c r="AH90" s="1921"/>
      <c r="AI90" s="2386"/>
      <c r="AJ90" s="2571"/>
      <c r="AK90" s="1921"/>
      <c r="AL90" s="1921"/>
      <c r="AM90" s="1921"/>
      <c r="AN90" s="1921"/>
      <c r="AO90" s="1921"/>
      <c r="AP90" s="1921"/>
      <c r="AQ90" s="1921"/>
      <c r="AR90" s="1921"/>
      <c r="AS90" s="1921"/>
      <c r="AT90" s="1921"/>
      <c r="AU90" s="1921"/>
      <c r="AV90" s="1921"/>
      <c r="AW90" s="1921"/>
      <c r="AX90" s="1921"/>
      <c r="AY90" s="1921"/>
      <c r="AZ90" s="1921"/>
      <c r="BA90" s="1921"/>
      <c r="BB90" s="1921"/>
      <c r="BC90" s="1921"/>
      <c r="BD90" s="1921"/>
      <c r="BE90" s="1921"/>
      <c r="BF90" s="1921"/>
      <c r="BG90" s="2397">
        <v>6.5311436851610741E-2</v>
      </c>
      <c r="BH90" s="2398">
        <v>5.7413647851727041E-2</v>
      </c>
      <c r="BI90" s="2398">
        <v>9.968899025502799E-2</v>
      </c>
      <c r="BJ90" s="2398">
        <v>9.2149303054696444E-2</v>
      </c>
      <c r="BK90" s="2398">
        <v>0.10370888121969334</v>
      </c>
      <c r="BL90" s="2398">
        <v>9.0342679127725853E-2</v>
      </c>
      <c r="BM90" s="2398">
        <v>8.3213146278571737E-2</v>
      </c>
      <c r="BN90" s="2398">
        <v>5.751605047597963E-2</v>
      </c>
      <c r="BO90" s="2398">
        <v>6.177260519247986E-2</v>
      </c>
      <c r="BP90" s="2398">
        <v>7.6593137254901966E-2</v>
      </c>
      <c r="BQ90" s="2398">
        <v>8.3949336445770115E-2</v>
      </c>
      <c r="BR90" s="2398">
        <v>6.458459672528806E-2</v>
      </c>
      <c r="BS90" s="2398">
        <v>7.8155117026158794E-2</v>
      </c>
      <c r="BT90" s="2398">
        <v>8.5979790689281854E-2</v>
      </c>
      <c r="BU90" s="2398">
        <v>9.7220985125144738E-2</v>
      </c>
      <c r="BV90" s="2399">
        <v>8.1817779547767602E-2</v>
      </c>
      <c r="BW90" s="2400">
        <f t="shared" ref="BW90:CH90" si="494">BW88/BW$30</f>
        <v>9.3817937340325244E-2</v>
      </c>
      <c r="BX90" s="2401">
        <f t="shared" si="494"/>
        <v>8.6827595792985227E-2</v>
      </c>
      <c r="BY90" s="2401">
        <f t="shared" si="494"/>
        <v>8.9657973107120301E-2</v>
      </c>
      <c r="BZ90" s="2401">
        <f t="shared" si="494"/>
        <v>8.093936270335679E-2</v>
      </c>
      <c r="CA90" s="2400">
        <f t="shared" si="494"/>
        <v>7.3058132759625291E-2</v>
      </c>
      <c r="CB90" s="2401">
        <f t="shared" si="494"/>
        <v>7.3913043478260873E-2</v>
      </c>
      <c r="CC90" s="2401">
        <f t="shared" si="494"/>
        <v>7.7214489422381141E-2</v>
      </c>
      <c r="CD90" s="2401">
        <f t="shared" si="494"/>
        <v>7.560137457044673E-2</v>
      </c>
      <c r="CE90" s="2400">
        <f t="shared" si="494"/>
        <v>7.3849416755037117E-2</v>
      </c>
      <c r="CF90" s="2401">
        <f t="shared" si="494"/>
        <v>7.892555131818936E-2</v>
      </c>
      <c r="CG90" s="2401">
        <f t="shared" si="494"/>
        <v>7.5347446670976079E-2</v>
      </c>
      <c r="CH90" s="2401">
        <f t="shared" si="494"/>
        <v>6.999391357273281E-2</v>
      </c>
      <c r="CI90" s="2400">
        <f>CI88/CI$35</f>
        <v>5.3554500298032978E-2</v>
      </c>
      <c r="CJ90" s="2401">
        <f t="shared" ref="CJ90:DG90" si="495">CJ88/CJ$35</f>
        <v>5.7352788992983419E-2</v>
      </c>
      <c r="CK90" s="2401">
        <f t="shared" si="495"/>
        <v>5.2697694146680046E-2</v>
      </c>
      <c r="CL90" s="2401">
        <f t="shared" si="495"/>
        <v>4.8798550556136876E-2</v>
      </c>
      <c r="CM90" s="2400">
        <f t="shared" si="495"/>
        <v>5.2806085430076068E-2</v>
      </c>
      <c r="CN90" s="2401">
        <f t="shared" si="495"/>
        <v>5.6039016671812276E-2</v>
      </c>
      <c r="CO90" s="2401">
        <f t="shared" si="495"/>
        <v>5.8403073553843825E-2</v>
      </c>
      <c r="CP90" s="2401">
        <f t="shared" si="495"/>
        <v>5.7799507482477738E-2</v>
      </c>
      <c r="CQ90" s="2400">
        <f t="shared" si="495"/>
        <v>5.3316042978881067E-2</v>
      </c>
      <c r="CR90" s="2401">
        <f t="shared" si="495"/>
        <v>5.8432597327135384E-2</v>
      </c>
      <c r="CS90" s="2401">
        <f t="shared" si="495"/>
        <v>5.6593343603338946E-2</v>
      </c>
      <c r="CT90" s="2401">
        <f t="shared" si="495"/>
        <v>5.1390578843719219E-2</v>
      </c>
      <c r="CU90" s="2400">
        <f t="shared" si="495"/>
        <v>5.9680971602577723E-2</v>
      </c>
      <c r="CV90" s="2401">
        <f t="shared" si="495"/>
        <v>6.3015249780893956E-2</v>
      </c>
      <c r="CW90" s="2401">
        <f t="shared" si="495"/>
        <v>6.2743889406005449E-2</v>
      </c>
      <c r="CX90" s="2401">
        <f t="shared" si="495"/>
        <v>3.5602280731175578E-2</v>
      </c>
      <c r="CY90" s="2400">
        <f t="shared" si="495"/>
        <v>6.6415868673050618E-2</v>
      </c>
      <c r="CZ90" s="2401">
        <f t="shared" si="495"/>
        <v>7.0428229423070435E-2</v>
      </c>
      <c r="DA90" s="2401">
        <f t="shared" si="495"/>
        <v>7.30084323750083E-2</v>
      </c>
      <c r="DB90" s="2401">
        <f t="shared" si="495"/>
        <v>6.0411224621750935E-2</v>
      </c>
      <c r="DC90" s="2400">
        <f t="shared" si="495"/>
        <v>0.12316715542521994</v>
      </c>
      <c r="DD90" s="2401">
        <f t="shared" si="495"/>
        <v>0.12022516345080529</v>
      </c>
      <c r="DE90" s="2401">
        <f t="shared" si="495"/>
        <v>0.11698220730703476</v>
      </c>
      <c r="DF90" s="2402">
        <f t="shared" si="495"/>
        <v>8.9298023620149436E-2</v>
      </c>
      <c r="DG90" s="2400">
        <f t="shared" si="495"/>
        <v>0.11658022845143021</v>
      </c>
      <c r="DH90" s="2401">
        <f t="shared" ref="DH90:DJ90" si="496">DH88/DH$35</f>
        <v>0.11629889194052467</v>
      </c>
      <c r="DI90" s="2401">
        <f t="shared" si="496"/>
        <v>0.11363340896547496</v>
      </c>
      <c r="DJ90" s="2402">
        <f t="shared" si="496"/>
        <v>9.108809827601555E-2</v>
      </c>
      <c r="DK90" s="2400">
        <f t="shared" ref="DK90:DL90" si="497">DK88/DK$35</f>
        <v>0.12005498325222777</v>
      </c>
      <c r="DL90" s="2401">
        <f t="shared" si="497"/>
        <v>0.1262937246167955</v>
      </c>
      <c r="DM90" s="2401">
        <f t="shared" ref="DM90:DN90" si="498">DM88/DM$35</f>
        <v>0.13323851698613312</v>
      </c>
      <c r="DN90" s="2402">
        <f t="shared" si="498"/>
        <v>0.10853432282003711</v>
      </c>
      <c r="DO90" s="2400">
        <f t="shared" ref="DO90:DP90" si="499">DO88/DO$35</f>
        <v>0.12957000067082577</v>
      </c>
      <c r="DP90" s="2401">
        <f t="shared" si="499"/>
        <v>0.1277988739033652</v>
      </c>
      <c r="DQ90" s="2401">
        <f t="shared" ref="DQ90:DR90" si="500">DQ88/DQ$35</f>
        <v>0.12592615947283792</v>
      </c>
      <c r="DR90" s="2402">
        <f t="shared" si="500"/>
        <v>0.10348991312030628</v>
      </c>
      <c r="DS90" s="2400">
        <f t="shared" ref="DS90" si="501">DS88/DS$35</f>
        <v>0.15142263628352007</v>
      </c>
      <c r="DT90" s="2401">
        <f t="shared" ref="DT90:DV90" ca="1" si="502">DT88/DT$35</f>
        <v>0.1520656969378997</v>
      </c>
      <c r="DU90" s="2401">
        <f t="shared" ca="1" si="502"/>
        <v>0.15614337197347661</v>
      </c>
      <c r="DV90" s="2402">
        <f t="shared" ca="1" si="502"/>
        <v>0.12353448351239962</v>
      </c>
      <c r="DW90" s="1923"/>
      <c r="DX90"/>
      <c r="DY90"/>
      <c r="DZ90"/>
      <c r="EA90"/>
      <c r="EB90"/>
      <c r="EC90"/>
    </row>
    <row r="91" spans="1:133" ht="15" customHeight="1">
      <c r="A91" s="2419"/>
      <c r="B91" s="1918"/>
      <c r="C91" s="1918"/>
      <c r="D91" s="1918"/>
      <c r="E91" s="1918"/>
      <c r="F91" s="1918"/>
      <c r="G91" s="1918"/>
      <c r="H91" s="1958"/>
      <c r="I91" s="1958"/>
      <c r="J91" s="1958"/>
      <c r="K91" s="1958"/>
      <c r="L91" s="1958"/>
      <c r="M91" s="1958"/>
      <c r="N91" s="1918"/>
      <c r="O91" s="1918"/>
      <c r="P91" s="1918"/>
      <c r="Q91" s="1918"/>
      <c r="R91" s="1918"/>
      <c r="S91" s="1918"/>
      <c r="T91" s="1918"/>
      <c r="U91" s="1918"/>
      <c r="V91" s="1918"/>
      <c r="W91" s="1918"/>
      <c r="X91" s="1918"/>
      <c r="Y91" s="1918"/>
      <c r="Z91" s="1918"/>
      <c r="AA91" s="1918"/>
      <c r="AB91" s="1918"/>
      <c r="AC91" s="1918"/>
      <c r="AD91" s="1918"/>
      <c r="AE91" s="1918"/>
      <c r="AF91" s="1918"/>
      <c r="AG91" s="1918"/>
      <c r="AI91" s="2386"/>
      <c r="AJ91" s="2569"/>
      <c r="AK91" s="1918"/>
      <c r="AL91" s="1918"/>
      <c r="AM91" s="1918"/>
      <c r="AN91" s="1918"/>
      <c r="AO91" s="1918"/>
      <c r="AP91" s="1918"/>
      <c r="AQ91" s="1918"/>
      <c r="AR91" s="1918"/>
      <c r="AS91" s="1918"/>
      <c r="AT91" s="1918"/>
      <c r="AU91" s="1918"/>
      <c r="AV91" s="1918"/>
      <c r="AW91" s="1918"/>
      <c r="AX91" s="1918"/>
      <c r="AY91" s="1918"/>
      <c r="AZ91" s="1918"/>
      <c r="BA91" s="1918"/>
      <c r="BB91" s="1918"/>
      <c r="BC91" s="1918"/>
      <c r="BD91" s="1918"/>
      <c r="BE91" s="1918"/>
      <c r="BF91" s="1918"/>
      <c r="BG91" s="2409"/>
      <c r="BH91" s="2410"/>
      <c r="BI91" s="2410"/>
      <c r="BJ91" s="2410"/>
      <c r="BK91" s="2410"/>
      <c r="BL91" s="2410"/>
      <c r="BM91" s="2410"/>
      <c r="BN91" s="2410"/>
      <c r="BO91" s="2410"/>
      <c r="BP91" s="2410"/>
      <c r="BQ91" s="2410"/>
      <c r="BR91" s="2410"/>
      <c r="BS91" s="2410"/>
      <c r="BT91" s="2410"/>
      <c r="BU91" s="2410"/>
      <c r="BV91" s="241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s="555"/>
      <c r="DK91" s="554"/>
      <c r="DL91" s="1074"/>
      <c r="DM91" s="1074"/>
      <c r="DN91" s="555"/>
      <c r="DO91" s="554"/>
      <c r="DP91" s="1074"/>
      <c r="DQ91" s="1074"/>
      <c r="DR91" s="555"/>
      <c r="DS91" s="554"/>
      <c r="DT91" s="1074"/>
      <c r="DU91" s="1074"/>
      <c r="DV91" s="555"/>
      <c r="DW91" s="1923"/>
    </row>
    <row r="92" spans="1:133" s="820" customFormat="1" ht="15" customHeight="1">
      <c r="A92" s="1923" t="s">
        <v>1159</v>
      </c>
      <c r="B92" s="1923"/>
      <c r="C92" s="1923"/>
      <c r="D92" s="1923"/>
      <c r="E92" s="1923"/>
      <c r="F92" s="1923"/>
      <c r="G92" s="1923"/>
      <c r="H92" s="1958">
        <v>7977</v>
      </c>
      <c r="I92" s="1958">
        <v>7396</v>
      </c>
      <c r="J92" s="1958">
        <v>8940</v>
      </c>
      <c r="K92" s="1958">
        <v>9215</v>
      </c>
      <c r="L92" s="1958">
        <v>8972</v>
      </c>
      <c r="M92" s="1958">
        <v>10649</v>
      </c>
      <c r="N92" s="1923">
        <f t="shared" ref="N92:V92" si="503">+N88-N84</f>
        <v>11692.931688804558</v>
      </c>
      <c r="O92" s="1923">
        <f t="shared" si="503"/>
        <v>11979</v>
      </c>
      <c r="P92" s="1923">
        <f t="shared" si="503"/>
        <v>13392</v>
      </c>
      <c r="Q92" s="1923">
        <f t="shared" si="503"/>
        <v>12325.865000000002</v>
      </c>
      <c r="R92" s="1923">
        <f t="shared" si="503"/>
        <v>13946.387999999999</v>
      </c>
      <c r="S92" s="1923">
        <f t="shared" si="503"/>
        <v>13883.032499999999</v>
      </c>
      <c r="T92" s="1923">
        <f t="shared" si="503"/>
        <v>16046.513999999999</v>
      </c>
      <c r="U92" s="1923">
        <f t="shared" si="503"/>
        <v>20023.39</v>
      </c>
      <c r="V92" s="1923">
        <f t="shared" si="503"/>
        <v>16539.64</v>
      </c>
      <c r="W92" s="1923">
        <f t="shared" ref="W92:AB92" si="504">+W88-W84</f>
        <v>14619.8</v>
      </c>
      <c r="X92" s="1923">
        <f t="shared" si="504"/>
        <v>15768.26</v>
      </c>
      <c r="Y92" s="1923">
        <f t="shared" si="504"/>
        <v>15724</v>
      </c>
      <c r="Z92" s="1923">
        <f t="shared" ca="1" si="504"/>
        <v>19245.505399655231</v>
      </c>
      <c r="AA92" s="1923">
        <f t="shared" ca="1" si="504"/>
        <v>20033.296174750736</v>
      </c>
      <c r="AB92" s="1923">
        <f t="shared" ca="1" si="504"/>
        <v>20930.060741173267</v>
      </c>
      <c r="AC92" s="1923">
        <f t="shared" ref="AC92:AG92" ca="1" si="505">+AC88-AC84</f>
        <v>21803.218286285253</v>
      </c>
      <c r="AD92" s="1923">
        <f t="shared" ca="1" si="505"/>
        <v>22759.84230781471</v>
      </c>
      <c r="AE92" s="1923">
        <f t="shared" ca="1" si="505"/>
        <v>23777.984743285</v>
      </c>
      <c r="AF92" s="1923">
        <f t="shared" ca="1" si="505"/>
        <v>24863.031585146939</v>
      </c>
      <c r="AG92" s="1923">
        <f t="shared" ca="1" si="505"/>
        <v>25991.905300458406</v>
      </c>
      <c r="AH92" s="1923"/>
      <c r="AI92" s="2386">
        <f ca="1">(AA92/V92)^(1/5)-1</f>
        <v>3.9071114400283324E-2</v>
      </c>
      <c r="AJ92" s="2570"/>
      <c r="AK92" s="1923"/>
      <c r="AL92" s="1923"/>
      <c r="AM92" s="1923"/>
      <c r="AN92" s="1923"/>
      <c r="AO92" s="1923"/>
      <c r="AP92" s="1923"/>
      <c r="AQ92" s="1923"/>
      <c r="AR92" s="1923"/>
      <c r="AS92" s="1923"/>
      <c r="AT92" s="1923"/>
      <c r="AU92" s="1923"/>
      <c r="AV92" s="1923"/>
      <c r="AW92" s="1923"/>
      <c r="AX92" s="1923"/>
      <c r="AY92" s="1923"/>
      <c r="AZ92" s="1923"/>
      <c r="BA92" s="1923"/>
      <c r="BB92" s="1923"/>
      <c r="BC92" s="1923"/>
      <c r="BD92" s="1923"/>
      <c r="BE92" s="1923"/>
      <c r="BF92" s="1923"/>
      <c r="BG92" s="2388">
        <v>1840</v>
      </c>
      <c r="BH92" s="2389">
        <v>1748</v>
      </c>
      <c r="BI92" s="2389">
        <v>2797</v>
      </c>
      <c r="BJ92" s="2389">
        <v>2555</v>
      </c>
      <c r="BK92" s="2389">
        <v>2709</v>
      </c>
      <c r="BL92" s="2389">
        <v>2440</v>
      </c>
      <c r="BM92" s="2389">
        <v>2314</v>
      </c>
      <c r="BN92" s="2389">
        <v>1752</v>
      </c>
      <c r="BO92" s="2389">
        <v>1857</v>
      </c>
      <c r="BP92" s="2389">
        <v>2426</v>
      </c>
      <c r="BQ92" s="2389">
        <v>2624</v>
      </c>
      <c r="BR92" s="2389">
        <v>2065</v>
      </c>
      <c r="BS92" s="2389">
        <v>2313</v>
      </c>
      <c r="BT92" s="2389">
        <v>2617</v>
      </c>
      <c r="BU92" s="2389">
        <v>2931</v>
      </c>
      <c r="BV92" s="2390">
        <v>2788</v>
      </c>
      <c r="BW92" s="2391">
        <f t="shared" ref="BW92:DB92" si="506">+BW88-BW84</f>
        <v>2853.9316888045505</v>
      </c>
      <c r="BX92" s="2392">
        <f t="shared" si="506"/>
        <v>2860</v>
      </c>
      <c r="BY92" s="2392">
        <f t="shared" si="506"/>
        <v>3075</v>
      </c>
      <c r="BZ92" s="2392">
        <f t="shared" si="506"/>
        <v>2904</v>
      </c>
      <c r="CA92" s="2391">
        <f t="shared" si="506"/>
        <v>2784</v>
      </c>
      <c r="CB92" s="2392">
        <f t="shared" si="506"/>
        <v>2968</v>
      </c>
      <c r="CC92" s="2392">
        <f t="shared" si="506"/>
        <v>3112</v>
      </c>
      <c r="CD92" s="2392">
        <f t="shared" si="506"/>
        <v>3115</v>
      </c>
      <c r="CE92" s="2391">
        <f t="shared" si="506"/>
        <v>3148</v>
      </c>
      <c r="CF92" s="2392">
        <f t="shared" si="506"/>
        <v>3426</v>
      </c>
      <c r="CG92" s="2392">
        <f t="shared" si="506"/>
        <v>3395</v>
      </c>
      <c r="CH92" s="2392">
        <f t="shared" si="506"/>
        <v>3423</v>
      </c>
      <c r="CI92" s="2391">
        <f t="shared" si="506"/>
        <v>2992.81</v>
      </c>
      <c r="CJ92" s="2392">
        <f t="shared" si="506"/>
        <v>3121.145</v>
      </c>
      <c r="CK92" s="2392">
        <f t="shared" si="506"/>
        <v>3194.9450000000002</v>
      </c>
      <c r="CL92" s="2392">
        <f t="shared" si="506"/>
        <v>3016.9650000000001</v>
      </c>
      <c r="CM92" s="2391">
        <f t="shared" si="506"/>
        <v>3209.5460000000003</v>
      </c>
      <c r="CN92" s="2392">
        <f t="shared" si="506"/>
        <v>3422.6369999999997</v>
      </c>
      <c r="CO92" s="2392">
        <f t="shared" si="506"/>
        <v>3635.5650000000001</v>
      </c>
      <c r="CP92" s="2392">
        <f t="shared" si="506"/>
        <v>3678.64</v>
      </c>
      <c r="CQ92" s="2391">
        <f t="shared" si="506"/>
        <v>3264</v>
      </c>
      <c r="CR92" s="2392">
        <f t="shared" si="506"/>
        <v>3604</v>
      </c>
      <c r="CS92" s="2392">
        <f t="shared" si="506"/>
        <v>3742.69</v>
      </c>
      <c r="CT92" s="2392">
        <f t="shared" si="506"/>
        <v>3272.3424999999997</v>
      </c>
      <c r="CU92" s="2391">
        <f t="shared" si="506"/>
        <v>3905.51</v>
      </c>
      <c r="CV92" s="2392">
        <f t="shared" si="506"/>
        <v>4257.51</v>
      </c>
      <c r="CW92" s="2392">
        <f t="shared" si="506"/>
        <v>4519.0119999999997</v>
      </c>
      <c r="CX92" s="2392">
        <f t="shared" si="506"/>
        <v>3364.482</v>
      </c>
      <c r="CY92" s="2391">
        <f t="shared" si="506"/>
        <v>4845</v>
      </c>
      <c r="CZ92" s="2392">
        <f t="shared" si="506"/>
        <v>5040.6900000000005</v>
      </c>
      <c r="DA92" s="2392">
        <f t="shared" si="506"/>
        <v>5420.0599999999995</v>
      </c>
      <c r="DB92" s="2392">
        <f t="shared" si="506"/>
        <v>4717.6399999999994</v>
      </c>
      <c r="DC92" s="2391">
        <f>+DC88-DC84</f>
        <v>5819</v>
      </c>
      <c r="DD92" s="2392">
        <f>+DD88-DD84</f>
        <v>3879.66</v>
      </c>
      <c r="DE92" s="2392">
        <f>+DE88-DE84</f>
        <v>3794</v>
      </c>
      <c r="DF92" s="2393">
        <f>+DF88-DF84</f>
        <v>3046.98</v>
      </c>
      <c r="DG92" s="2391">
        <f t="shared" ref="DG92:DJ92" si="507">+DG88-DG84</f>
        <v>3783</v>
      </c>
      <c r="DH92" s="2392">
        <f t="shared" si="507"/>
        <v>3806</v>
      </c>
      <c r="DI92" s="2392">
        <f t="shared" si="507"/>
        <v>3839.04</v>
      </c>
      <c r="DJ92" s="2393">
        <f t="shared" si="507"/>
        <v>3191.76</v>
      </c>
      <c r="DK92" s="2391">
        <f t="shared" ref="DK92:DL92" si="508">+DK88-DK84</f>
        <v>3919.26</v>
      </c>
      <c r="DL92" s="2392">
        <f t="shared" si="508"/>
        <v>3985</v>
      </c>
      <c r="DM92" s="2392">
        <f t="shared" ref="DM92:DN92" si="509">+DM88-DM84</f>
        <v>4249</v>
      </c>
      <c r="DN92" s="2393">
        <f t="shared" si="509"/>
        <v>3615</v>
      </c>
      <c r="DO92" s="2391">
        <f t="shared" ref="DO92:DP92" si="510">+DO88-DO84</f>
        <v>3966</v>
      </c>
      <c r="DP92" s="2392">
        <f t="shared" si="510"/>
        <v>4020</v>
      </c>
      <c r="DQ92" s="2392">
        <f t="shared" ref="DQ92:DR92" si="511">+DQ88-DQ84</f>
        <v>4110</v>
      </c>
      <c r="DR92" s="2393">
        <f t="shared" si="511"/>
        <v>3628</v>
      </c>
      <c r="DS92" s="2391">
        <f t="shared" ref="DS92" si="512">+DS88-DS84</f>
        <v>4932</v>
      </c>
      <c r="DT92" s="2392">
        <f t="shared" ref="DT92:DV92" ca="1" si="513">+DT88-DT84</f>
        <v>4919.2889958442465</v>
      </c>
      <c r="DU92" s="2392">
        <f t="shared" ca="1" si="513"/>
        <v>5129.5100402660883</v>
      </c>
      <c r="DV92" s="2393">
        <f t="shared" ca="1" si="513"/>
        <v>4264.7063635449067</v>
      </c>
      <c r="DW92" s="1923"/>
      <c r="DX92"/>
      <c r="DY92"/>
      <c r="DZ92"/>
      <c r="EA92"/>
      <c r="EB92"/>
      <c r="EC92"/>
    </row>
    <row r="93" spans="1:133" s="821" customFormat="1" ht="15" customHeight="1">
      <c r="A93" s="1924" t="s">
        <v>945</v>
      </c>
      <c r="B93" s="1921"/>
      <c r="C93" s="1921"/>
      <c r="D93" s="1921"/>
      <c r="E93" s="1921"/>
      <c r="F93" s="1921"/>
      <c r="G93" s="1921"/>
      <c r="H93" s="1958"/>
      <c r="I93" s="1958">
        <v>-7.2834398896828412E-2</v>
      </c>
      <c r="J93" s="1958">
        <v>0.20876149269875599</v>
      </c>
      <c r="K93" s="1958">
        <v>3.0760626398210311E-2</v>
      </c>
      <c r="L93" s="1958">
        <v>-2.6370048833423754E-2</v>
      </c>
      <c r="M93" s="1958">
        <v>0.18691484618814092</v>
      </c>
      <c r="N93" s="1921">
        <f t="shared" ref="N93:AB93" si="514">N92/M92-1</f>
        <v>9.8030959602268597E-2</v>
      </c>
      <c r="O93" s="1921">
        <f t="shared" si="514"/>
        <v>2.4465063066205994E-2</v>
      </c>
      <c r="P93" s="1921">
        <f t="shared" si="514"/>
        <v>0.1179564237415478</v>
      </c>
      <c r="Q93" s="1921">
        <f t="shared" si="514"/>
        <v>-7.9609841696535177E-2</v>
      </c>
      <c r="R93" s="1921">
        <f t="shared" si="514"/>
        <v>0.13147336921181574</v>
      </c>
      <c r="S93" s="1921">
        <f t="shared" si="514"/>
        <v>-4.5427891436836676E-3</v>
      </c>
      <c r="T93" s="1921">
        <f t="shared" si="514"/>
        <v>0.15583637796713368</v>
      </c>
      <c r="U93" s="1921">
        <f t="shared" si="514"/>
        <v>0.24783426481290571</v>
      </c>
      <c r="V93" s="1921">
        <f t="shared" si="514"/>
        <v>-0.17398402568196492</v>
      </c>
      <c r="W93" s="1921">
        <f>W92/V92-1</f>
        <v>-0.11607507781306003</v>
      </c>
      <c r="X93" s="1921">
        <f>X92/W92-1</f>
        <v>7.8555110193025968E-2</v>
      </c>
      <c r="Y93" s="1921">
        <f>Y92/X92-1</f>
        <v>-2.8069045030967299E-3</v>
      </c>
      <c r="Z93" s="1921">
        <f ca="1">Z92/Y92-1</f>
        <v>0.22395735179694931</v>
      </c>
      <c r="AA93" s="1921">
        <f t="shared" ca="1" si="514"/>
        <v>4.093375355627793E-2</v>
      </c>
      <c r="AB93" s="1921">
        <f t="shared" ca="1" si="514"/>
        <v>4.476370531339624E-2</v>
      </c>
      <c r="AC93" s="1921">
        <f t="shared" ref="AC93" ca="1" si="515">AC92/AB92-1</f>
        <v>4.1717869618711934E-2</v>
      </c>
      <c r="AD93" s="1921">
        <f t="shared" ref="AD93" ca="1" si="516">AD92/AC92-1</f>
        <v>4.3875358626813243E-2</v>
      </c>
      <c r="AE93" s="1921">
        <f t="shared" ref="AE93" ca="1" si="517">AE92/AD92-1</f>
        <v>4.4734160355790697E-2</v>
      </c>
      <c r="AF93" s="1921">
        <f t="shared" ref="AF93" ca="1" si="518">AF92/AE92-1</f>
        <v>4.5632413914655334E-2</v>
      </c>
      <c r="AG93" s="1921">
        <f t="shared" ref="AG93" ca="1" si="519">AG92/AF92-1</f>
        <v>4.5403703544577123E-2</v>
      </c>
      <c r="AH93" s="1921"/>
      <c r="AI93" s="2386"/>
      <c r="AJ93" s="2571"/>
      <c r="AK93" s="1921"/>
      <c r="AL93" s="1921"/>
      <c r="AM93" s="1921"/>
      <c r="AN93" s="1921"/>
      <c r="AO93" s="1921"/>
      <c r="AP93" s="1921"/>
      <c r="AQ93" s="1921"/>
      <c r="AR93" s="1921"/>
      <c r="AS93" s="1921"/>
      <c r="AT93" s="1921"/>
      <c r="AU93" s="1921"/>
      <c r="AV93" s="1921"/>
      <c r="AW93" s="1921"/>
      <c r="AX93" s="1921"/>
      <c r="AY93" s="1921"/>
      <c r="AZ93" s="1921"/>
      <c r="BA93" s="1921"/>
      <c r="BB93" s="1921"/>
      <c r="BC93" s="1921"/>
      <c r="BD93" s="1921"/>
      <c r="BE93" s="1921"/>
      <c r="BF93" s="1921"/>
      <c r="BG93" s="2397"/>
      <c r="BH93" s="2398"/>
      <c r="BI93" s="2398"/>
      <c r="BJ93" s="2398"/>
      <c r="BK93" s="2398">
        <v>0.4722826086956522</v>
      </c>
      <c r="BL93" s="2398">
        <v>0.39588100686498851</v>
      </c>
      <c r="BM93" s="2398">
        <v>-0.17268501966392569</v>
      </c>
      <c r="BN93" s="2398">
        <v>-0.31428571428571428</v>
      </c>
      <c r="BO93" s="2398">
        <v>-0.31450719822812845</v>
      </c>
      <c r="BP93" s="2398">
        <v>-5.7377049180328266E-3</v>
      </c>
      <c r="BQ93" s="2398">
        <v>0.13396715643906654</v>
      </c>
      <c r="BR93" s="2398">
        <v>0.17865296803652964</v>
      </c>
      <c r="BS93" s="2398">
        <v>0.24555735056542805</v>
      </c>
      <c r="BT93" s="2398">
        <v>7.8730420445177307E-2</v>
      </c>
      <c r="BU93" s="2398">
        <v>0.11699695121951215</v>
      </c>
      <c r="BV93" s="2399">
        <v>0.35012106537530263</v>
      </c>
      <c r="BW93" s="2400">
        <f t="shared" ref="BW93:DS93" si="520">BW92/BS92-1</f>
        <v>0.23386584038242564</v>
      </c>
      <c r="BX93" s="2401">
        <f t="shared" si="520"/>
        <v>9.2854413450515816E-2</v>
      </c>
      <c r="BY93" s="2401">
        <f t="shared" si="520"/>
        <v>4.912998976458538E-2</v>
      </c>
      <c r="BZ93" s="2401">
        <f t="shared" si="520"/>
        <v>4.1606886657101771E-2</v>
      </c>
      <c r="CA93" s="2400">
        <f t="shared" si="520"/>
        <v>-2.4503630930929332E-2</v>
      </c>
      <c r="CB93" s="2401">
        <f t="shared" si="520"/>
        <v>3.7762237762237749E-2</v>
      </c>
      <c r="CC93" s="2401">
        <f t="shared" si="520"/>
        <v>1.2032520325203189E-2</v>
      </c>
      <c r="CD93" s="2401">
        <f t="shared" si="520"/>
        <v>7.2658402203856776E-2</v>
      </c>
      <c r="CE93" s="2400">
        <f t="shared" si="520"/>
        <v>0.13074712643678166</v>
      </c>
      <c r="CF93" s="2401">
        <f t="shared" si="520"/>
        <v>0.1543126684636118</v>
      </c>
      <c r="CG93" s="2401">
        <f t="shared" si="520"/>
        <v>9.0938303341902227E-2</v>
      </c>
      <c r="CH93" s="2401">
        <f t="shared" si="520"/>
        <v>9.8876404494381953E-2</v>
      </c>
      <c r="CI93" s="2400">
        <f t="shared" si="520"/>
        <v>-4.9297966963151252E-2</v>
      </c>
      <c r="CJ93" s="2401">
        <f t="shared" si="520"/>
        <v>-8.8982778750729685E-2</v>
      </c>
      <c r="CK93" s="2401">
        <f t="shared" si="520"/>
        <v>-5.892636229749626E-2</v>
      </c>
      <c r="CL93" s="2401">
        <f t="shared" si="520"/>
        <v>-0.11861963190184044</v>
      </c>
      <c r="CM93" s="2400">
        <f t="shared" si="520"/>
        <v>7.2418897290506434E-2</v>
      </c>
      <c r="CN93" s="2401">
        <f t="shared" si="520"/>
        <v>9.6596601567693785E-2</v>
      </c>
      <c r="CO93" s="2401">
        <f t="shared" si="520"/>
        <v>0.13791160724206519</v>
      </c>
      <c r="CP93" s="2401">
        <f t="shared" si="520"/>
        <v>0.21931808953700149</v>
      </c>
      <c r="CQ93" s="2400">
        <f t="shared" si="520"/>
        <v>1.6966262518125497E-2</v>
      </c>
      <c r="CR93" s="2401">
        <f t="shared" si="520"/>
        <v>5.2989259451119208E-2</v>
      </c>
      <c r="CS93" s="2401">
        <f t="shared" si="520"/>
        <v>2.9465846436523613E-2</v>
      </c>
      <c r="CT93" s="2401">
        <f t="shared" si="520"/>
        <v>-0.11044774699345417</v>
      </c>
      <c r="CU93" s="2400">
        <f t="shared" si="520"/>
        <v>0.19654105392156862</v>
      </c>
      <c r="CV93" s="2401">
        <f t="shared" si="520"/>
        <v>0.18132907880133198</v>
      </c>
      <c r="CW93" s="2401">
        <f t="shared" si="520"/>
        <v>0.20742353761599275</v>
      </c>
      <c r="CX93" s="2401">
        <f t="shared" si="520"/>
        <v>2.8157046519427631E-2</v>
      </c>
      <c r="CY93" s="2400">
        <f t="shared" si="520"/>
        <v>0.24055501074123464</v>
      </c>
      <c r="CZ93" s="2401">
        <f t="shared" si="520"/>
        <v>0.18395259200800473</v>
      </c>
      <c r="DA93" s="2401">
        <f t="shared" si="520"/>
        <v>0.19939048623902744</v>
      </c>
      <c r="DB93" s="2401">
        <f t="shared" si="520"/>
        <v>0.40218910370155037</v>
      </c>
      <c r="DC93" s="2400">
        <f t="shared" si="520"/>
        <v>0.20103199174406594</v>
      </c>
      <c r="DD93" s="2401">
        <f t="shared" si="520"/>
        <v>-0.23033156175047476</v>
      </c>
      <c r="DE93" s="2401">
        <f t="shared" si="520"/>
        <v>-0.30000774899170857</v>
      </c>
      <c r="DF93" s="2402">
        <f t="shared" si="520"/>
        <v>-0.35413045505803742</v>
      </c>
      <c r="DG93" s="2400">
        <f t="shared" si="520"/>
        <v>-0.3498882969582402</v>
      </c>
      <c r="DH93" s="2401">
        <f t="shared" si="520"/>
        <v>-1.8986199821633853E-2</v>
      </c>
      <c r="DI93" s="2401">
        <f t="shared" si="520"/>
        <v>1.1871375856615796E-2</v>
      </c>
      <c r="DJ93" s="2402">
        <f t="shared" si="520"/>
        <v>4.7515900990489079E-2</v>
      </c>
      <c r="DK93" s="2400">
        <f t="shared" si="520"/>
        <v>3.6019032513877836E-2</v>
      </c>
      <c r="DL93" s="2401">
        <f t="shared" si="520"/>
        <v>4.7031003678402516E-2</v>
      </c>
      <c r="DM93" s="2401">
        <f t="shared" si="520"/>
        <v>0.106787113445028</v>
      </c>
      <c r="DN93" s="2402">
        <f t="shared" si="520"/>
        <v>0.13260395518460033</v>
      </c>
      <c r="DO93" s="2400">
        <f t="shared" si="520"/>
        <v>1.1925720671759343E-2</v>
      </c>
      <c r="DP93" s="2401">
        <f t="shared" si="520"/>
        <v>8.7829360100375453E-3</v>
      </c>
      <c r="DQ93" s="2401">
        <f t="shared" si="520"/>
        <v>-3.2713579665803683E-2</v>
      </c>
      <c r="DR93" s="2402">
        <f t="shared" si="520"/>
        <v>3.596127247579517E-3</v>
      </c>
      <c r="DS93" s="2400">
        <f t="shared" si="520"/>
        <v>0.24357034795763988</v>
      </c>
      <c r="DT93" s="2401">
        <f t="shared" ref="DT93" ca="1" si="521">DT92/DP92-1</f>
        <v>0.22370373030951396</v>
      </c>
      <c r="DU93" s="2401">
        <f t="shared" ref="DU93" ca="1" si="522">DU92/DQ92-1</f>
        <v>0.24805597086766129</v>
      </c>
      <c r="DV93" s="2402">
        <f t="shared" ref="DV93" ca="1" si="523">DV92/DR92-1</f>
        <v>0.17549789513365677</v>
      </c>
      <c r="DW93" s="1923"/>
      <c r="DX93"/>
      <c r="DY93"/>
      <c r="DZ93"/>
      <c r="EA93"/>
      <c r="EB93"/>
      <c r="EC93"/>
    </row>
    <row r="94" spans="1:133" ht="15" customHeight="1">
      <c r="A94" s="2419"/>
      <c r="B94" s="1918"/>
      <c r="C94" s="1918"/>
      <c r="D94" s="1918"/>
      <c r="E94" s="1918"/>
      <c r="F94" s="1918"/>
      <c r="G94" s="1918"/>
      <c r="H94" s="1958"/>
      <c r="I94" s="1958"/>
      <c r="J94" s="1958"/>
      <c r="K94" s="1958"/>
      <c r="L94" s="1958"/>
      <c r="M94" s="1958"/>
      <c r="N94" s="1918"/>
      <c r="O94" s="1918"/>
      <c r="P94" s="1918"/>
      <c r="Q94" s="1918"/>
      <c r="R94" s="1918"/>
      <c r="S94" s="1918"/>
      <c r="T94" s="1918"/>
      <c r="U94" s="1918"/>
      <c r="V94" s="1918"/>
      <c r="W94" s="1918"/>
      <c r="X94" s="1918"/>
      <c r="Y94" s="1918"/>
      <c r="Z94" s="1918"/>
      <c r="AA94" s="1918"/>
      <c r="AB94" s="1918"/>
      <c r="AC94" s="1918"/>
      <c r="AD94" s="1918"/>
      <c r="AE94" s="1918"/>
      <c r="AF94" s="1918"/>
      <c r="AG94" s="1918"/>
      <c r="AI94" s="2386"/>
      <c r="AJ94" s="2569"/>
      <c r="AK94" s="1918"/>
      <c r="AL94" s="1918"/>
      <c r="AM94" s="1918"/>
      <c r="AN94" s="1918"/>
      <c r="AO94" s="1918"/>
      <c r="AP94" s="1918"/>
      <c r="AQ94" s="1918"/>
      <c r="AR94" s="1918"/>
      <c r="AS94" s="1918"/>
      <c r="AT94" s="1918"/>
      <c r="AU94" s="1918"/>
      <c r="AV94" s="1918"/>
      <c r="AW94" s="1918"/>
      <c r="AX94" s="1918"/>
      <c r="AY94" s="1918"/>
      <c r="AZ94" s="1918"/>
      <c r="BA94" s="1918"/>
      <c r="BB94" s="1918"/>
      <c r="BC94" s="1918"/>
      <c r="BD94" s="1918"/>
      <c r="BE94" s="1918"/>
      <c r="BF94" s="1918"/>
      <c r="BG94" s="2409"/>
      <c r="BH94" s="2410"/>
      <c r="BI94" s="2410"/>
      <c r="BJ94" s="2410"/>
      <c r="BK94" s="2410"/>
      <c r="BL94" s="2410"/>
      <c r="BM94" s="2410"/>
      <c r="BN94" s="2410"/>
      <c r="BO94" s="2410"/>
      <c r="BP94" s="2410"/>
      <c r="BQ94" s="2410"/>
      <c r="BR94" s="2410"/>
      <c r="BS94" s="2410"/>
      <c r="BT94" s="2410"/>
      <c r="BU94" s="2410"/>
      <c r="BV94" s="2411"/>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s="555"/>
      <c r="DK94" s="554"/>
      <c r="DL94" s="1074"/>
      <c r="DM94" s="1074"/>
      <c r="DN94" s="555"/>
      <c r="DO94" s="554"/>
      <c r="DP94" s="1074"/>
      <c r="DQ94" s="1074"/>
      <c r="DR94" s="555"/>
      <c r="DS94" s="554"/>
      <c r="DT94" s="1074"/>
      <c r="DU94" s="1074"/>
      <c r="DV94" s="555"/>
      <c r="DW94" s="3313"/>
    </row>
    <row r="95" spans="1:133" s="820" customFormat="1" ht="15" customHeight="1">
      <c r="A95" s="1920" t="s">
        <v>1160</v>
      </c>
      <c r="B95" s="1920"/>
      <c r="C95" s="1920"/>
      <c r="D95" s="1920"/>
      <c r="E95" s="1920"/>
      <c r="F95" s="1920"/>
      <c r="G95" s="1920"/>
      <c r="H95" s="1958">
        <v>2.58</v>
      </c>
      <c r="I95" s="1958">
        <v>2.36</v>
      </c>
      <c r="J95" s="1958">
        <v>2.7</v>
      </c>
      <c r="K95" s="1958">
        <v>2.76</v>
      </c>
      <c r="L95" s="1958">
        <v>2.35</v>
      </c>
      <c r="M95" s="1958">
        <v>2.74</v>
      </c>
      <c r="N95" s="1920">
        <f>SUM(BW95:BZ95)</f>
        <v>2.6146993702729495</v>
      </c>
      <c r="O95" s="1920">
        <f>SUM(CA95:CD95)</f>
        <v>2.3866533099135196</v>
      </c>
      <c r="P95" s="1920">
        <f>SUM(CE95:CH95)</f>
        <v>2.538231328484017</v>
      </c>
      <c r="Q95" s="1920">
        <f>SUM(CI95:CL95)</f>
        <v>1.9136349876803944</v>
      </c>
      <c r="R95" s="1920">
        <f>SUM(CM95:CP95)</f>
        <v>2.0773481954809991</v>
      </c>
      <c r="S95" s="1920">
        <f>SUM(CQ95:CT95)</f>
        <v>2.1540899052696991</v>
      </c>
      <c r="T95" s="1920">
        <f t="shared" ref="T95:U95" si="524">(T88+T101)/T103</f>
        <v>2.2251970649895183</v>
      </c>
      <c r="U95" s="1920">
        <f t="shared" si="524"/>
        <v>2.8220215727209466</v>
      </c>
      <c r="V95" s="1920">
        <f t="shared" ref="V95:AB95" si="525">(V88+V101)/V103</f>
        <v>3.4132820851600503</v>
      </c>
      <c r="W95" s="1920">
        <f t="shared" si="525"/>
        <v>3.4502992549163305</v>
      </c>
      <c r="X95" s="1920">
        <f t="shared" si="525"/>
        <v>3.7416043566052744</v>
      </c>
      <c r="Y95" s="1920">
        <f t="shared" si="525"/>
        <v>3.7374602397846832</v>
      </c>
      <c r="Z95" s="1920">
        <f t="shared" ca="1" si="525"/>
        <v>4.5447318949672786</v>
      </c>
      <c r="AA95" s="1920">
        <f t="shared" ca="1" si="525"/>
        <v>4.7340805279717273</v>
      </c>
      <c r="AB95" s="1920">
        <f t="shared" ca="1" si="525"/>
        <v>4.949467505016357</v>
      </c>
      <c r="AC95" s="1920">
        <f t="shared" ref="AC95:AG95" ca="1" si="526">(AC88+AC101)/AC103</f>
        <v>5.1589882052989253</v>
      </c>
      <c r="AD95" s="1920">
        <f t="shared" ca="1" si="526"/>
        <v>5.3885502047206435</v>
      </c>
      <c r="AE95" s="1920">
        <f t="shared" ca="1" si="526"/>
        <v>5.6328247202620876</v>
      </c>
      <c r="AF95" s="1920">
        <f t="shared" ca="1" si="526"/>
        <v>5.8930980122776591</v>
      </c>
      <c r="AG95" s="1920">
        <f t="shared" ca="1" si="526"/>
        <v>6.1637765370324686</v>
      </c>
      <c r="AH95" s="1920"/>
      <c r="AI95" s="2386">
        <f ca="1">(AA95/V95)^(1/5)-1</f>
        <v>6.7610144819963525E-2</v>
      </c>
      <c r="AJ95" s="2572"/>
      <c r="AK95" s="1920"/>
      <c r="AL95" s="1920"/>
      <c r="AM95" s="1920"/>
      <c r="AN95" s="1920"/>
      <c r="AO95" s="1920"/>
      <c r="AP95" s="1920"/>
      <c r="AQ95" s="1920"/>
      <c r="AR95" s="1920"/>
      <c r="AS95" s="1920"/>
      <c r="AT95" s="1920"/>
      <c r="AU95" s="1920"/>
      <c r="AV95" s="1920"/>
      <c r="AW95" s="1920"/>
      <c r="AX95" s="1920"/>
      <c r="AY95" s="1920"/>
      <c r="AZ95" s="1920"/>
      <c r="BA95" s="1920"/>
      <c r="BB95" s="1920"/>
      <c r="BC95" s="1920"/>
      <c r="BD95" s="1920"/>
      <c r="BE95" s="1920"/>
      <c r="BF95" s="1920"/>
      <c r="BG95" s="2412">
        <v>0.56999999999999995</v>
      </c>
      <c r="BH95" s="2413">
        <v>0.5</v>
      </c>
      <c r="BI95" s="2413">
        <v>0.87</v>
      </c>
      <c r="BJ95" s="2413">
        <v>0.78</v>
      </c>
      <c r="BK95" s="2413">
        <v>0.84803400637619553</v>
      </c>
      <c r="BL95" s="2413">
        <v>0.73462897526501769</v>
      </c>
      <c r="BM95" s="2413">
        <v>0.67925194071983064</v>
      </c>
      <c r="BN95" s="2413">
        <v>0.46980108499095841</v>
      </c>
      <c r="BO95" s="2413">
        <v>0.49244819107832805</v>
      </c>
      <c r="BP95" s="2413">
        <v>0.62385321100917435</v>
      </c>
      <c r="BQ95" s="2413">
        <v>0.69361702127659575</v>
      </c>
      <c r="BR95" s="2413">
        <v>0.53312079348211128</v>
      </c>
      <c r="BS95" s="2413">
        <v>0.60864941510102799</v>
      </c>
      <c r="BT95" s="2413">
        <v>0.68144732174529976</v>
      </c>
      <c r="BU95" s="2413">
        <v>0.78026269080582178</v>
      </c>
      <c r="BV95" s="2414">
        <v>0.66761363636363635</v>
      </c>
      <c r="BW95" s="2415">
        <f t="shared" ref="BW95:DB95" si="527">(BW88+BW101)/BW103</f>
        <v>0.67530600364649018</v>
      </c>
      <c r="BX95" s="2416">
        <f t="shared" si="527"/>
        <v>0.63953882672092233</v>
      </c>
      <c r="BY95" s="2416">
        <f t="shared" si="527"/>
        <v>0.68114950393431406</v>
      </c>
      <c r="BZ95" s="2416">
        <f t="shared" si="527"/>
        <v>0.61870503597122306</v>
      </c>
      <c r="CA95" s="2415">
        <f t="shared" si="527"/>
        <v>0.55994503607007906</v>
      </c>
      <c r="CB95" s="2416">
        <f t="shared" si="527"/>
        <v>0.58479532163742687</v>
      </c>
      <c r="CC95" s="2416">
        <f t="shared" si="527"/>
        <v>0.62551724137931031</v>
      </c>
      <c r="CD95" s="2416">
        <f t="shared" si="527"/>
        <v>0.61639571082670352</v>
      </c>
      <c r="CE95" s="2415">
        <f t="shared" si="527"/>
        <v>0.60767888307155327</v>
      </c>
      <c r="CF95" s="2416">
        <f t="shared" si="527"/>
        <v>0.66783584707120314</v>
      </c>
      <c r="CG95" s="2416">
        <f t="shared" si="527"/>
        <v>0.65553602811950795</v>
      </c>
      <c r="CH95" s="2416">
        <f t="shared" si="527"/>
        <v>0.60718057022175287</v>
      </c>
      <c r="CI95" s="2415">
        <f t="shared" si="527"/>
        <v>0.47437486800422379</v>
      </c>
      <c r="CJ95" s="2416">
        <f t="shared" si="527"/>
        <v>0.51500422386483635</v>
      </c>
      <c r="CK95" s="2416">
        <f t="shared" si="527"/>
        <v>0.48104963041182691</v>
      </c>
      <c r="CL95" s="2416">
        <f t="shared" si="527"/>
        <v>0.44320626539950719</v>
      </c>
      <c r="CM95" s="2415">
        <f t="shared" si="527"/>
        <v>0.47732157968970379</v>
      </c>
      <c r="CN95" s="2416">
        <f t="shared" si="527"/>
        <v>0.51364803678811444</v>
      </c>
      <c r="CO95" s="2416">
        <f t="shared" si="527"/>
        <v>0.54674690703428763</v>
      </c>
      <c r="CP95" s="2416">
        <f t="shared" si="527"/>
        <v>0.53963167196889361</v>
      </c>
      <c r="CQ95" s="2415">
        <f t="shared" si="527"/>
        <v>0.50918727915194351</v>
      </c>
      <c r="CR95" s="2416">
        <f t="shared" si="527"/>
        <v>0.5692090395480226</v>
      </c>
      <c r="CS95" s="2416">
        <f t="shared" si="527"/>
        <v>0.55881792519407203</v>
      </c>
      <c r="CT95" s="2416">
        <f t="shared" si="527"/>
        <v>0.51687566137566132</v>
      </c>
      <c r="CU95" s="2415">
        <f t="shared" si="527"/>
        <v>0.59301860301860299</v>
      </c>
      <c r="CV95" s="2416">
        <f t="shared" si="527"/>
        <v>0.63033939818054585</v>
      </c>
      <c r="CW95" s="2416">
        <f t="shared" si="527"/>
        <v>0.6364312630844382</v>
      </c>
      <c r="CX95" s="2416">
        <f t="shared" si="527"/>
        <v>0.37228581411600281</v>
      </c>
      <c r="CY95" s="2415">
        <f t="shared" si="527"/>
        <v>0.67757660167130918</v>
      </c>
      <c r="CZ95" s="2416">
        <f t="shared" si="527"/>
        <v>0.72865250696378836</v>
      </c>
      <c r="DA95" s="2416">
        <f t="shared" si="527"/>
        <v>0.76658315935977728</v>
      </c>
      <c r="DB95" s="2416">
        <f t="shared" si="527"/>
        <v>0.64996173913043476</v>
      </c>
      <c r="DC95" s="2415">
        <f>(DC88+DC101)/DC103</f>
        <v>0.91084337349397593</v>
      </c>
      <c r="DD95" s="2416">
        <f>(DD88+DD101)/DD103</f>
        <v>0.90769564170479167</v>
      </c>
      <c r="DE95" s="2416">
        <f>(DE88+DE101)/DE103</f>
        <v>0.88843471988458766</v>
      </c>
      <c r="DF95" s="2417">
        <f>(DF88+DF101)/DF103</f>
        <v>0.71300938176569639</v>
      </c>
      <c r="DG95" s="2415">
        <f t="shared" ref="DG95:DJ95" si="528">(DG88+DG101)/DG103</f>
        <v>0.88910458626546951</v>
      </c>
      <c r="DH95" s="2416">
        <f t="shared" si="528"/>
        <v>0.90183598531211751</v>
      </c>
      <c r="DI95" s="2416">
        <f t="shared" si="528"/>
        <v>0.91012770137524557</v>
      </c>
      <c r="DJ95" s="2417">
        <f t="shared" si="528"/>
        <v>0.7531305201177626</v>
      </c>
      <c r="DK95" s="2415">
        <f t="shared" ref="DK95:DL95" si="529">(DK88+DK101)/DK103</f>
        <v>0.93005140758873939</v>
      </c>
      <c r="DL95" s="2416">
        <f t="shared" si="529"/>
        <v>0.94394124847001226</v>
      </c>
      <c r="DM95" s="2416">
        <f t="shared" ref="DM95:DN95" si="530">(DM88+DM101)/DM103</f>
        <v>1.0088105726872247</v>
      </c>
      <c r="DN95" s="2417">
        <f t="shared" si="530"/>
        <v>0.85882065084413994</v>
      </c>
      <c r="DO95" s="2415">
        <f t="shared" ref="DO95:DP95" si="531">(DO88+DO101)/DO103</f>
        <v>0.94519207242476144</v>
      </c>
      <c r="DP95" s="2416">
        <f t="shared" si="531"/>
        <v>0.95639392454679084</v>
      </c>
      <c r="DQ95" s="2416">
        <f t="shared" ref="DQ95:DR95" si="532">(DQ88+DQ101)/DQ103</f>
        <v>0.97676693568109563</v>
      </c>
      <c r="DR95" s="2417">
        <f t="shared" si="532"/>
        <v>0.85916870415647917</v>
      </c>
      <c r="DS95" s="2415">
        <f t="shared" ref="DS95" si="533">(DS88+DS101)/DS103</f>
        <v>1.1714146579011444</v>
      </c>
      <c r="DT95" s="2416">
        <f t="shared" ref="DT95:DV95" ca="1" si="534">(DT88+DT101)/DT103</f>
        <v>1.1606189746252034</v>
      </c>
      <c r="DU95" s="2416">
        <f t="shared" ca="1" si="534"/>
        <v>1.2111746666504053</v>
      </c>
      <c r="DV95" s="2417">
        <f t="shared" ca="1" si="534"/>
        <v>1.0018026868648913</v>
      </c>
      <c r="DW95" s="3313"/>
      <c r="DX95"/>
      <c r="DY95"/>
      <c r="DZ95"/>
      <c r="EA95"/>
      <c r="EB95"/>
      <c r="EC95"/>
    </row>
    <row r="96" spans="1:133" s="821" customFormat="1" ht="15" customHeight="1">
      <c r="A96" s="1924" t="s">
        <v>945</v>
      </c>
      <c r="B96" s="1921"/>
      <c r="C96" s="1921"/>
      <c r="D96" s="1921"/>
      <c r="E96" s="1921"/>
      <c r="F96" s="1921"/>
      <c r="G96" s="1921"/>
      <c r="H96" s="1958"/>
      <c r="I96" s="1958">
        <v>-8.5271317829457405E-2</v>
      </c>
      <c r="J96" s="1958">
        <v>0.14406779661016955</v>
      </c>
      <c r="K96" s="1958">
        <v>2.2222222222222143E-2</v>
      </c>
      <c r="L96" s="1958">
        <v>-0.14855072463768104</v>
      </c>
      <c r="M96" s="1958">
        <v>0.16595744680851077</v>
      </c>
      <c r="N96" s="1921">
        <f t="shared" ref="N96:AB96" si="535">N95/M95-1</f>
        <v>-4.5730156834690061E-2</v>
      </c>
      <c r="O96" s="1921">
        <f t="shared" si="535"/>
        <v>-8.7216933216924253E-2</v>
      </c>
      <c r="P96" s="1921">
        <f t="shared" si="535"/>
        <v>6.3510698408052235E-2</v>
      </c>
      <c r="Q96" s="1921">
        <f t="shared" si="535"/>
        <v>-0.24607542023235085</v>
      </c>
      <c r="R96" s="1921">
        <f t="shared" si="535"/>
        <v>8.5550906444832986E-2</v>
      </c>
      <c r="S96" s="1921">
        <f t="shared" si="535"/>
        <v>3.6942150553114672E-2</v>
      </c>
      <c r="T96" s="1921">
        <f t="shared" si="535"/>
        <v>3.3010302655364976E-2</v>
      </c>
      <c r="U96" s="1921">
        <f t="shared" si="535"/>
        <v>0.26821197866996083</v>
      </c>
      <c r="V96" s="1921">
        <f t="shared" si="535"/>
        <v>0.20951665223062776</v>
      </c>
      <c r="W96" s="1921">
        <f>W95/V95-1</f>
        <v>1.0845036780645856E-2</v>
      </c>
      <c r="X96" s="1921">
        <f>X95/W95-1</f>
        <v>8.4428937946140037E-2</v>
      </c>
      <c r="Y96" s="1921">
        <f>Y95/X95-1</f>
        <v>-1.1075775056962334E-3</v>
      </c>
      <c r="Z96" s="1921">
        <f ca="1">Z95/Y95-1</f>
        <v>0.21599471389402725</v>
      </c>
      <c r="AA96" s="1921">
        <f t="shared" ca="1" si="535"/>
        <v>4.1663323025529442E-2</v>
      </c>
      <c r="AB96" s="1921">
        <f t="shared" ca="1" si="535"/>
        <v>4.5497108841304534E-2</v>
      </c>
      <c r="AC96" s="1921">
        <f t="shared" ref="AC96" ca="1" si="536">AC95/AB95-1</f>
        <v>4.2331968049131863E-2</v>
      </c>
      <c r="AD96" s="1921">
        <f t="shared" ref="AD96" ca="1" si="537">AD95/AC95-1</f>
        <v>4.4497484833543322E-2</v>
      </c>
      <c r="AE96" s="1921">
        <f t="shared" ref="AE96" ca="1" si="538">AE95/AD95-1</f>
        <v>4.5332140605732318E-2</v>
      </c>
      <c r="AF96" s="1921">
        <f t="shared" ref="AF96" ca="1" si="539">AF95/AE95-1</f>
        <v>4.6206531348176094E-2</v>
      </c>
      <c r="AG96" s="1921">
        <f t="shared" ref="AG96" ca="1" si="540">AG95/AF95-1</f>
        <v>4.5931447973693862E-2</v>
      </c>
      <c r="AH96" s="1921"/>
      <c r="AI96" s="2386"/>
      <c r="AJ96" s="2571"/>
      <c r="AK96" s="1921"/>
      <c r="AL96" s="1921"/>
      <c r="AM96" s="1921"/>
      <c r="AN96" s="1921"/>
      <c r="AO96" s="1921"/>
      <c r="AP96" s="1921"/>
      <c r="AQ96" s="1921"/>
      <c r="AR96" s="1921"/>
      <c r="AS96" s="1921"/>
      <c r="AT96" s="1921"/>
      <c r="AU96" s="1921"/>
      <c r="AV96" s="1921"/>
      <c r="AW96" s="1921"/>
      <c r="AX96" s="1921"/>
      <c r="AY96" s="1921"/>
      <c r="AZ96" s="1921"/>
      <c r="BA96" s="1921"/>
      <c r="BB96" s="1921"/>
      <c r="BC96" s="1921"/>
      <c r="BD96" s="1921"/>
      <c r="BE96" s="1921"/>
      <c r="BF96" s="1921"/>
      <c r="BG96" s="2397"/>
      <c r="BH96" s="2398"/>
      <c r="BI96" s="2398"/>
      <c r="BJ96" s="2398"/>
      <c r="BK96" s="2398">
        <v>0.48777895855472919</v>
      </c>
      <c r="BL96" s="2398">
        <v>0.46925795053003538</v>
      </c>
      <c r="BM96" s="2398">
        <v>-0.21925064285076934</v>
      </c>
      <c r="BN96" s="2398">
        <v>-0.39769091667825851</v>
      </c>
      <c r="BO96" s="2398">
        <v>-0.41930608044522966</v>
      </c>
      <c r="BP96" s="2398">
        <v>-0.15079144436942604</v>
      </c>
      <c r="BQ96" s="2398">
        <v>2.1148383531362169E-2</v>
      </c>
      <c r="BR96" s="2398">
        <v>0.13477982600310834</v>
      </c>
      <c r="BS96" s="2398">
        <v>0.23596639428860677</v>
      </c>
      <c r="BT96" s="2398">
        <v>9.2319971621142249E-2</v>
      </c>
      <c r="BU96" s="2398">
        <v>0.12491860330900684</v>
      </c>
      <c r="BV96" s="2399">
        <v>0.25227461491996372</v>
      </c>
      <c r="BW96" s="2400">
        <f t="shared" ref="BW96:DS96" si="541">BW95/BS95-1</f>
        <v>0.10951557151237568</v>
      </c>
      <c r="BX96" s="2401">
        <f t="shared" si="541"/>
        <v>-6.1499243869713727E-2</v>
      </c>
      <c r="BY96" s="2401">
        <f t="shared" si="541"/>
        <v>-0.12702540828800601</v>
      </c>
      <c r="BZ96" s="2401">
        <f t="shared" si="541"/>
        <v>-7.3258839736721204E-2</v>
      </c>
      <c r="CA96" s="2400">
        <f t="shared" si="541"/>
        <v>-0.17082769433929157</v>
      </c>
      <c r="CB96" s="2401">
        <f t="shared" si="541"/>
        <v>-8.5598407471488946E-2</v>
      </c>
      <c r="CC96" s="2401">
        <f t="shared" si="541"/>
        <v>-8.1674085107120042E-2</v>
      </c>
      <c r="CD96" s="2401">
        <f t="shared" si="541"/>
        <v>-3.732513896374634E-3</v>
      </c>
      <c r="CE96" s="2400">
        <f t="shared" si="541"/>
        <v>8.5247379522264577E-2</v>
      </c>
      <c r="CF96" s="2401">
        <f t="shared" si="541"/>
        <v>0.14199929849175752</v>
      </c>
      <c r="CG96" s="2401">
        <f t="shared" si="541"/>
        <v>4.7990342638684291E-2</v>
      </c>
      <c r="CH96" s="2401">
        <f t="shared" si="541"/>
        <v>-1.4950040117234775E-2</v>
      </c>
      <c r="CI96" s="2400">
        <f t="shared" si="541"/>
        <v>-0.21936588349678288</v>
      </c>
      <c r="CJ96" s="2401">
        <f t="shared" si="541"/>
        <v>-0.22884609126121414</v>
      </c>
      <c r="CK96" s="2401">
        <f t="shared" si="541"/>
        <v>-0.26617362009563139</v>
      </c>
      <c r="CL96" s="2401">
        <f t="shared" si="541"/>
        <v>-0.27005855072463769</v>
      </c>
      <c r="CM96" s="2400">
        <f t="shared" si="541"/>
        <v>6.2117786675279785E-3</v>
      </c>
      <c r="CN96" s="2401">
        <f t="shared" si="541"/>
        <v>-2.6333513666051411E-3</v>
      </c>
      <c r="CO96" s="2401">
        <f t="shared" si="541"/>
        <v>0.13657068308360865</v>
      </c>
      <c r="CP96" s="2401">
        <f t="shared" si="541"/>
        <v>0.21756327492904082</v>
      </c>
      <c r="CQ96" s="2400">
        <f t="shared" si="541"/>
        <v>6.6759394123674154E-2</v>
      </c>
      <c r="CR96" s="2401">
        <f t="shared" si="541"/>
        <v>0.10816940546942599</v>
      </c>
      <c r="CS96" s="2401">
        <f t="shared" si="541"/>
        <v>2.2077890161758873E-2</v>
      </c>
      <c r="CT96" s="2401">
        <f t="shared" si="541"/>
        <v>-4.2169523723848523E-2</v>
      </c>
      <c r="CU96" s="2400">
        <f t="shared" si="541"/>
        <v>0.16463750627525764</v>
      </c>
      <c r="CV96" s="2401">
        <f t="shared" si="541"/>
        <v>0.10739527025267104</v>
      </c>
      <c r="CW96" s="2401">
        <f t="shared" si="541"/>
        <v>0.13888841855495571</v>
      </c>
      <c r="CX96" s="2401">
        <f t="shared" si="541"/>
        <v>-0.27973816154321052</v>
      </c>
      <c r="CY96" s="2400">
        <f t="shared" si="541"/>
        <v>0.14258911646664418</v>
      </c>
      <c r="CZ96" s="2401">
        <f t="shared" si="541"/>
        <v>0.15596852912418302</v>
      </c>
      <c r="DA96" s="2401">
        <f t="shared" si="541"/>
        <v>0.20450267581853732</v>
      </c>
      <c r="DB96" s="2401">
        <f t="shared" si="541"/>
        <v>0.74586759550260284</v>
      </c>
      <c r="DC96" s="2400">
        <f t="shared" si="541"/>
        <v>0.34426627372800556</v>
      </c>
      <c r="DD96" s="2401">
        <f t="shared" si="541"/>
        <v>0.24571813454269931</v>
      </c>
      <c r="DE96" s="2401">
        <f t="shared" si="541"/>
        <v>0.15895413176905215</v>
      </c>
      <c r="DF96" s="2402">
        <f t="shared" si="541"/>
        <v>9.7002083106632275E-2</v>
      </c>
      <c r="DG96" s="2400">
        <f t="shared" si="541"/>
        <v>-2.3866657936058577E-2</v>
      </c>
      <c r="DH96" s="2401">
        <f t="shared" si="541"/>
        <v>-6.4555299413675549E-3</v>
      </c>
      <c r="DI96" s="2401">
        <f t="shared" si="541"/>
        <v>2.4417079842935285E-2</v>
      </c>
      <c r="DJ96" s="2402">
        <f t="shared" si="541"/>
        <v>5.6270140867866525E-2</v>
      </c>
      <c r="DK96" s="2400">
        <f t="shared" si="541"/>
        <v>4.6053998546177644E-2</v>
      </c>
      <c r="DL96" s="2401">
        <f t="shared" si="541"/>
        <v>4.6688382193268207E-2</v>
      </c>
      <c r="DM96" s="2401">
        <f t="shared" si="541"/>
        <v>0.1084274999682624</v>
      </c>
      <c r="DN96" s="2402">
        <f t="shared" si="541"/>
        <v>0.14033441469063179</v>
      </c>
      <c r="DO96" s="2400">
        <f t="shared" si="541"/>
        <v>1.6279384894729576E-2</v>
      </c>
      <c r="DP96" s="2401">
        <f t="shared" si="541"/>
        <v>1.3192215190259482E-2</v>
      </c>
      <c r="DQ96" s="2401">
        <f t="shared" si="541"/>
        <v>-3.1763779914372514E-2</v>
      </c>
      <c r="DR96" s="2402">
        <f t="shared" si="541"/>
        <v>4.0526891382630659E-4</v>
      </c>
      <c r="DS96" s="2400">
        <f t="shared" si="541"/>
        <v>0.23934033311984915</v>
      </c>
      <c r="DT96" s="2401">
        <f t="shared" ref="DT96" ca="1" si="542">DT95/DP95-1</f>
        <v>0.2135365405789138</v>
      </c>
      <c r="DU96" s="2401">
        <f t="shared" ref="DU96" ca="1" si="543">DU95/DQ95-1</f>
        <v>0.23998327790022711</v>
      </c>
      <c r="DV96" s="2402">
        <f t="shared" ref="DV96" ca="1" si="544">DV95/DR95-1</f>
        <v>0.16601394117171475</v>
      </c>
      <c r="DW96" s="3313"/>
      <c r="DX96"/>
      <c r="DY96"/>
      <c r="DZ96"/>
      <c r="EA96"/>
      <c r="EB96"/>
      <c r="EC96"/>
    </row>
    <row r="97" spans="1:133" ht="15" customHeight="1">
      <c r="A97" s="2419"/>
      <c r="B97" s="1918"/>
      <c r="C97" s="1918"/>
      <c r="D97" s="1918"/>
      <c r="E97" s="1918"/>
      <c r="F97" s="1918"/>
      <c r="G97" s="1918"/>
      <c r="H97" s="1958"/>
      <c r="I97" s="1958"/>
      <c r="J97" s="1958"/>
      <c r="K97" s="1958"/>
      <c r="L97" s="1958"/>
      <c r="M97" s="1958"/>
      <c r="N97" s="1918"/>
      <c r="O97" s="1918"/>
      <c r="P97" s="1918"/>
      <c r="Q97" s="1918"/>
      <c r="R97" s="1918"/>
      <c r="S97" s="1918"/>
      <c r="T97" s="1918"/>
      <c r="U97" s="1918"/>
      <c r="V97" s="1918"/>
      <c r="W97" s="1918"/>
      <c r="X97" s="1918"/>
      <c r="Y97" s="1918"/>
      <c r="Z97" s="1918"/>
      <c r="AA97" s="1918"/>
      <c r="AB97" s="1918"/>
      <c r="AC97" s="1918"/>
      <c r="AD97" s="1918"/>
      <c r="AE97" s="1918"/>
      <c r="AF97" s="1918"/>
      <c r="AG97" s="1918"/>
      <c r="AI97" s="2386"/>
      <c r="AJ97" s="2569"/>
      <c r="AK97" s="1918"/>
      <c r="AL97" s="1918"/>
      <c r="AM97" s="1918"/>
      <c r="AN97" s="1918"/>
      <c r="AO97" s="1918"/>
      <c r="AP97" s="1918"/>
      <c r="AQ97" s="1918"/>
      <c r="AR97" s="1918"/>
      <c r="AS97" s="1918"/>
      <c r="AT97" s="1918"/>
      <c r="AU97" s="1918"/>
      <c r="AV97" s="1918"/>
      <c r="AW97" s="1918"/>
      <c r="AX97" s="1918"/>
      <c r="AY97" s="1918"/>
      <c r="AZ97" s="1918"/>
      <c r="BA97" s="1918"/>
      <c r="BB97" s="1918"/>
      <c r="BC97" s="1918"/>
      <c r="BD97" s="1918"/>
      <c r="BE97" s="1918"/>
      <c r="BF97" s="1918"/>
      <c r="BG97" s="2409"/>
      <c r="BH97" s="2410"/>
      <c r="BI97" s="2410"/>
      <c r="BJ97" s="2410"/>
      <c r="BK97" s="2410"/>
      <c r="BL97" s="2410"/>
      <c r="BM97" s="2410"/>
      <c r="BN97" s="2410"/>
      <c r="BO97" s="2410"/>
      <c r="BP97" s="2410"/>
      <c r="BQ97" s="2410"/>
      <c r="BR97" s="2410"/>
      <c r="BS97" s="2410"/>
      <c r="BT97" s="2410"/>
      <c r="BU97" s="2410"/>
      <c r="BV97" s="2411"/>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s="555"/>
      <c r="DK97" s="554"/>
      <c r="DL97" s="1074"/>
      <c r="DM97" s="1074"/>
      <c r="DN97" s="555"/>
      <c r="DO97" s="554"/>
      <c r="DP97" s="1074"/>
      <c r="DQ97" s="1074"/>
      <c r="DR97" s="555"/>
      <c r="DS97" s="554"/>
      <c r="DT97" s="1074"/>
      <c r="DU97" s="1074"/>
      <c r="DV97" s="555"/>
      <c r="DW97" s="3313"/>
    </row>
    <row r="98" spans="1:133" ht="15" hidden="1" customHeight="1" outlineLevel="1">
      <c r="A98" s="1920" t="s">
        <v>1161</v>
      </c>
      <c r="B98" s="1920"/>
      <c r="C98" s="1920"/>
      <c r="D98" s="1920"/>
      <c r="E98" s="1920"/>
      <c r="F98" s="1920"/>
      <c r="G98" s="1920"/>
      <c r="H98" s="1958"/>
      <c r="I98" s="1958"/>
      <c r="J98" s="1958"/>
      <c r="K98" s="1958"/>
      <c r="L98" s="1958"/>
      <c r="M98" s="1958"/>
      <c r="N98" s="1920"/>
      <c r="O98" s="1920"/>
      <c r="P98" s="1920">
        <f>SUM(CE98:CH98)</f>
        <v>2.25</v>
      </c>
      <c r="Q98" s="1920">
        <f>SUM(CI98:CL98)</f>
        <v>1.28</v>
      </c>
      <c r="R98" s="1920">
        <f>SUM(CM98:CP98)</f>
        <v>1.31</v>
      </c>
      <c r="S98" s="1920">
        <f>SUM(CQ98:CT98)</f>
        <v>0.84569358656973326</v>
      </c>
      <c r="T98" s="1920">
        <f t="shared" ref="T98:U98" si="545">+T95</f>
        <v>2.2251970649895183</v>
      </c>
      <c r="U98" s="1920">
        <f t="shared" si="545"/>
        <v>2.8220215727209466</v>
      </c>
      <c r="V98" s="1920">
        <f t="shared" ref="V98:AB98" si="546">+V95</f>
        <v>3.4132820851600503</v>
      </c>
      <c r="W98" s="1920">
        <f t="shared" si="546"/>
        <v>3.4502992549163305</v>
      </c>
      <c r="X98" s="1920">
        <f t="shared" si="546"/>
        <v>3.7416043566052744</v>
      </c>
      <c r="Y98" s="1920">
        <f t="shared" si="546"/>
        <v>3.7374602397846832</v>
      </c>
      <c r="Z98" s="1920">
        <f t="shared" ca="1" si="546"/>
        <v>4.5447318949672786</v>
      </c>
      <c r="AA98" s="1920">
        <f t="shared" ca="1" si="546"/>
        <v>4.7340805279717273</v>
      </c>
      <c r="AB98" s="1920">
        <f t="shared" ca="1" si="546"/>
        <v>4.949467505016357</v>
      </c>
      <c r="AC98" s="1920">
        <f t="shared" ref="AC98:AG98" ca="1" si="547">+AC95</f>
        <v>5.1589882052989253</v>
      </c>
      <c r="AD98" s="1920">
        <f t="shared" ca="1" si="547"/>
        <v>5.3885502047206435</v>
      </c>
      <c r="AE98" s="1920">
        <f t="shared" ca="1" si="547"/>
        <v>5.6328247202620876</v>
      </c>
      <c r="AF98" s="1920">
        <f t="shared" ca="1" si="547"/>
        <v>5.8930980122776591</v>
      </c>
      <c r="AG98" s="1920">
        <f t="shared" ca="1" si="547"/>
        <v>6.1637765370324686</v>
      </c>
      <c r="AH98" s="1920"/>
      <c r="AI98" s="2386">
        <f ca="1">(AA98/V98)^(1/5)-1</f>
        <v>6.7610144819963525E-2</v>
      </c>
      <c r="AJ98" s="2572"/>
      <c r="AK98" s="1920"/>
      <c r="AL98" s="1920"/>
      <c r="AM98" s="1920"/>
      <c r="AN98" s="1920"/>
      <c r="AO98" s="1920"/>
      <c r="AP98" s="1920"/>
      <c r="AQ98" s="1920"/>
      <c r="AR98" s="1920"/>
      <c r="AS98" s="1920"/>
      <c r="AT98" s="1920"/>
      <c r="AU98" s="1920"/>
      <c r="AV98" s="1920"/>
      <c r="AW98" s="1920"/>
      <c r="AX98" s="1920"/>
      <c r="AY98" s="1920"/>
      <c r="AZ98" s="1920"/>
      <c r="BA98" s="1920"/>
      <c r="BB98" s="1920"/>
      <c r="BC98" s="1920"/>
      <c r="BD98" s="1920"/>
      <c r="BE98" s="1920"/>
      <c r="BF98" s="1920"/>
      <c r="BG98" s="2412"/>
      <c r="BH98" s="2413"/>
      <c r="BI98" s="2413"/>
      <c r="BJ98" s="2413"/>
      <c r="BK98" s="2413"/>
      <c r="BL98" s="2413"/>
      <c r="BM98" s="2413"/>
      <c r="BN98" s="2413"/>
      <c r="BO98" s="2413"/>
      <c r="BP98" s="2413"/>
      <c r="BQ98" s="2413"/>
      <c r="BR98" s="2413"/>
      <c r="BS98" s="2413"/>
      <c r="BT98" s="2413"/>
      <c r="BU98" s="2413"/>
      <c r="BV98" s="2414"/>
      <c r="BW98" s="2415"/>
      <c r="BX98" s="2416"/>
      <c r="BY98" s="2416"/>
      <c r="BZ98" s="2416"/>
      <c r="CA98" s="2415"/>
      <c r="CB98" s="2416"/>
      <c r="CC98" s="2416"/>
      <c r="CD98" s="2416"/>
      <c r="CE98" s="2415">
        <v>0.56999999999999995</v>
      </c>
      <c r="CF98" s="2416">
        <v>0.66</v>
      </c>
      <c r="CG98" s="2416">
        <v>0.59</v>
      </c>
      <c r="CH98" s="2416">
        <v>0.43</v>
      </c>
      <c r="CI98" s="2415">
        <v>0.57999999999999996</v>
      </c>
      <c r="CJ98" s="2416">
        <v>0.52</v>
      </c>
      <c r="CK98" s="2416">
        <v>0.41</v>
      </c>
      <c r="CL98" s="2416">
        <v>-0.23</v>
      </c>
      <c r="CM98" s="2415">
        <v>0.14000000000000001</v>
      </c>
      <c r="CN98" s="2416">
        <v>-7.0000000000000007E-2</v>
      </c>
      <c r="CO98" s="2416">
        <v>0.31</v>
      </c>
      <c r="CP98" s="2416">
        <v>0.93</v>
      </c>
      <c r="CQ98" s="2415">
        <v>0.5</v>
      </c>
      <c r="CR98" s="2416">
        <v>0.56999999999999995</v>
      </c>
      <c r="CS98" s="2416">
        <f>CS95-0.07</f>
        <v>0.48881792519407202</v>
      </c>
      <c r="CT98" s="2416">
        <f>+CT95-1.23</f>
        <v>-0.71312433862433866</v>
      </c>
      <c r="CU98" s="2415">
        <f t="shared" ref="CU98:DB98" si="548">+CU95</f>
        <v>0.59301860301860299</v>
      </c>
      <c r="CV98" s="2416">
        <f t="shared" si="548"/>
        <v>0.63033939818054585</v>
      </c>
      <c r="CW98" s="2416">
        <f t="shared" si="548"/>
        <v>0.6364312630844382</v>
      </c>
      <c r="CX98" s="2416">
        <f t="shared" si="548"/>
        <v>0.37228581411600281</v>
      </c>
      <c r="CY98" s="2415">
        <f t="shared" si="548"/>
        <v>0.67757660167130918</v>
      </c>
      <c r="CZ98" s="2416">
        <f t="shared" si="548"/>
        <v>0.72865250696378836</v>
      </c>
      <c r="DA98" s="2416">
        <f t="shared" si="548"/>
        <v>0.76658315935977728</v>
      </c>
      <c r="DB98" s="2416">
        <f t="shared" si="548"/>
        <v>0.64996173913043476</v>
      </c>
      <c r="DC98" s="2415">
        <f>+DC95</f>
        <v>0.91084337349397593</v>
      </c>
      <c r="DD98" s="2416">
        <f>+DD95</f>
        <v>0.90769564170479167</v>
      </c>
      <c r="DE98" s="2416">
        <f>+DE95</f>
        <v>0.88843471988458766</v>
      </c>
      <c r="DF98" s="2417">
        <f>+DF95</f>
        <v>0.71300938176569639</v>
      </c>
      <c r="DG98" s="2415">
        <f t="shared" ref="DG98:DJ98" si="549">+DG95</f>
        <v>0.88910458626546951</v>
      </c>
      <c r="DH98" s="2416">
        <f t="shared" si="549"/>
        <v>0.90183598531211751</v>
      </c>
      <c r="DI98" s="2416">
        <f t="shared" si="549"/>
        <v>0.91012770137524557</v>
      </c>
      <c r="DJ98" s="2417">
        <f t="shared" si="549"/>
        <v>0.7531305201177626</v>
      </c>
      <c r="DK98" s="2415">
        <f t="shared" ref="DK98:DL98" si="550">+DK95</f>
        <v>0.93005140758873939</v>
      </c>
      <c r="DL98" s="2416">
        <f t="shared" si="550"/>
        <v>0.94394124847001226</v>
      </c>
      <c r="DM98" s="2416">
        <f t="shared" ref="DM98:DN98" si="551">+DM95</f>
        <v>1.0088105726872247</v>
      </c>
      <c r="DN98" s="2417">
        <f t="shared" si="551"/>
        <v>0.85882065084413994</v>
      </c>
      <c r="DO98" s="2415">
        <f t="shared" ref="DO98:DP98" si="552">+DO95</f>
        <v>0.94519207242476144</v>
      </c>
      <c r="DP98" s="2416">
        <f t="shared" si="552"/>
        <v>0.95639392454679084</v>
      </c>
      <c r="DQ98" s="2416">
        <f t="shared" ref="DQ98:DR98" si="553">+DQ95</f>
        <v>0.97676693568109563</v>
      </c>
      <c r="DR98" s="2417">
        <f t="shared" si="553"/>
        <v>0.85916870415647917</v>
      </c>
      <c r="DS98" s="2415">
        <f t="shared" ref="DS98" si="554">+DS95</f>
        <v>1.1714146579011444</v>
      </c>
      <c r="DT98" s="2416">
        <f t="shared" ref="DT98:DV98" ca="1" si="555">+DT95</f>
        <v>1.1606189746252034</v>
      </c>
      <c r="DU98" s="2416">
        <f t="shared" ca="1" si="555"/>
        <v>1.2111746666504053</v>
      </c>
      <c r="DV98" s="2417">
        <f t="shared" ca="1" si="555"/>
        <v>1.0018026868648913</v>
      </c>
    </row>
    <row r="99" spans="1:133" s="821" customFormat="1" ht="15" hidden="1" customHeight="1" outlineLevel="1">
      <c r="A99" s="1924" t="s">
        <v>945</v>
      </c>
      <c r="B99" s="1921"/>
      <c r="C99" s="1921"/>
      <c r="D99" s="1921"/>
      <c r="E99" s="1921"/>
      <c r="F99" s="1921"/>
      <c r="G99" s="1921"/>
      <c r="H99" s="1958"/>
      <c r="I99" s="1958"/>
      <c r="J99" s="1958"/>
      <c r="K99" s="1958"/>
      <c r="L99" s="1958"/>
      <c r="M99" s="1958"/>
      <c r="N99" s="1921"/>
      <c r="O99" s="1921"/>
      <c r="P99" s="1921"/>
      <c r="Q99" s="1921">
        <f t="shared" ref="Q99:AB99" si="556">Q98/P98-1</f>
        <v>-0.43111111111111111</v>
      </c>
      <c r="R99" s="1921">
        <f t="shared" si="556"/>
        <v>2.34375E-2</v>
      </c>
      <c r="S99" s="1921">
        <f t="shared" si="556"/>
        <v>-0.35443237666432581</v>
      </c>
      <c r="T99" s="1921">
        <f t="shared" si="556"/>
        <v>1.6312095779456826</v>
      </c>
      <c r="U99" s="1921">
        <f t="shared" si="556"/>
        <v>0.26821197866996083</v>
      </c>
      <c r="V99" s="1921">
        <f t="shared" si="556"/>
        <v>0.20951665223062776</v>
      </c>
      <c r="W99" s="1921">
        <f>W98/V98-1</f>
        <v>1.0845036780645856E-2</v>
      </c>
      <c r="X99" s="1921">
        <f>X98/W98-1</f>
        <v>8.4428937946140037E-2</v>
      </c>
      <c r="Y99" s="1921">
        <f>Y98/X98-1</f>
        <v>-1.1075775056962334E-3</v>
      </c>
      <c r="Z99" s="1921">
        <f ca="1">Z98/Y98-1</f>
        <v>0.21599471389402725</v>
      </c>
      <c r="AA99" s="1921">
        <f t="shared" ca="1" si="556"/>
        <v>4.1663323025529442E-2</v>
      </c>
      <c r="AB99" s="1921">
        <f t="shared" ca="1" si="556"/>
        <v>4.5497108841304534E-2</v>
      </c>
      <c r="AC99" s="1921">
        <f t="shared" ref="AC99" ca="1" si="557">AC98/AB98-1</f>
        <v>4.2331968049131863E-2</v>
      </c>
      <c r="AD99" s="1921">
        <f t="shared" ref="AD99" ca="1" si="558">AD98/AC98-1</f>
        <v>4.4497484833543322E-2</v>
      </c>
      <c r="AE99" s="1921">
        <f t="shared" ref="AE99" ca="1" si="559">AE98/AD98-1</f>
        <v>4.5332140605732318E-2</v>
      </c>
      <c r="AF99" s="1921">
        <f t="shared" ref="AF99" ca="1" si="560">AF98/AE98-1</f>
        <v>4.6206531348176094E-2</v>
      </c>
      <c r="AG99" s="1921">
        <f t="shared" ref="AG99" ca="1" si="561">AG98/AF98-1</f>
        <v>4.5931447973693862E-2</v>
      </c>
      <c r="AH99" s="1921"/>
      <c r="AI99" s="2386"/>
      <c r="AJ99" s="2571"/>
      <c r="AK99" s="1921"/>
      <c r="AL99" s="1921"/>
      <c r="AM99" s="1921"/>
      <c r="AN99" s="1921"/>
      <c r="AO99" s="1921"/>
      <c r="AP99" s="1921"/>
      <c r="AQ99" s="1921"/>
      <c r="AR99" s="1921"/>
      <c r="AS99" s="1921"/>
      <c r="AT99" s="1921"/>
      <c r="AU99" s="1921"/>
      <c r="AV99" s="1921"/>
      <c r="AW99" s="1921"/>
      <c r="AX99" s="1921"/>
      <c r="AY99" s="1921"/>
      <c r="AZ99" s="1921"/>
      <c r="BA99" s="1921"/>
      <c r="BB99" s="1921"/>
      <c r="BC99" s="1921"/>
      <c r="BD99" s="1921"/>
      <c r="BE99" s="1921"/>
      <c r="BF99" s="1921"/>
      <c r="BG99" s="2397"/>
      <c r="BH99" s="2398"/>
      <c r="BI99" s="2398"/>
      <c r="BJ99" s="2398"/>
      <c r="BK99" s="2398"/>
      <c r="BL99" s="2398"/>
      <c r="BM99" s="2398"/>
      <c r="BN99" s="2398"/>
      <c r="BO99" s="2398"/>
      <c r="BP99" s="2398"/>
      <c r="BQ99" s="2398"/>
      <c r="BR99" s="2398"/>
      <c r="BS99" s="2398"/>
      <c r="BT99" s="2398"/>
      <c r="BU99" s="2398"/>
      <c r="BV99" s="2399"/>
      <c r="BW99" s="2400"/>
      <c r="BX99" s="2401"/>
      <c r="BY99" s="2401"/>
      <c r="BZ99" s="2401"/>
      <c r="CA99" s="2400"/>
      <c r="CB99" s="2401"/>
      <c r="CC99" s="2401"/>
      <c r="CD99" s="2401"/>
      <c r="CE99" s="2400"/>
      <c r="CF99" s="2401"/>
      <c r="CG99" s="2401"/>
      <c r="CH99" s="2401"/>
      <c r="CI99" s="2400">
        <f t="shared" ref="CI99:DS99" si="562">CI98/CE98-1</f>
        <v>1.7543859649122862E-2</v>
      </c>
      <c r="CJ99" s="2401">
        <f t="shared" si="562"/>
        <v>-0.21212121212121215</v>
      </c>
      <c r="CK99" s="2401">
        <f t="shared" si="562"/>
        <v>-0.30508474576271183</v>
      </c>
      <c r="CL99" s="2401">
        <f t="shared" si="562"/>
        <v>-1.5348837209302326</v>
      </c>
      <c r="CM99" s="2400">
        <f t="shared" si="562"/>
        <v>-0.75862068965517238</v>
      </c>
      <c r="CN99" s="2401">
        <f t="shared" si="562"/>
        <v>-1.1346153846153846</v>
      </c>
      <c r="CO99" s="2401">
        <f t="shared" si="562"/>
        <v>-0.24390243902439024</v>
      </c>
      <c r="CP99" s="2401">
        <f t="shared" si="562"/>
        <v>-5.0434782608695654</v>
      </c>
      <c r="CQ99" s="2400">
        <f t="shared" si="562"/>
        <v>2.5714285714285712</v>
      </c>
      <c r="CR99" s="2401">
        <f t="shared" si="562"/>
        <v>-9.1428571428571406</v>
      </c>
      <c r="CS99" s="2401">
        <f t="shared" si="562"/>
        <v>0.57683201675507112</v>
      </c>
      <c r="CT99" s="2401">
        <f t="shared" si="562"/>
        <v>-1.7668003641121921</v>
      </c>
      <c r="CU99" s="2400">
        <f t="shared" si="562"/>
        <v>0.18603720603720597</v>
      </c>
      <c r="CV99" s="2401">
        <f t="shared" si="562"/>
        <v>0.10585859329920333</v>
      </c>
      <c r="CW99" s="2401">
        <f t="shared" si="562"/>
        <v>0.30198020629411304</v>
      </c>
      <c r="CX99" s="2401">
        <f t="shared" si="562"/>
        <v>-1.5220489526891838</v>
      </c>
      <c r="CY99" s="2400">
        <f t="shared" si="562"/>
        <v>0.14258911646664418</v>
      </c>
      <c r="CZ99" s="2401">
        <f t="shared" si="562"/>
        <v>0.15596852912418302</v>
      </c>
      <c r="DA99" s="2401">
        <f t="shared" si="562"/>
        <v>0.20450267581853732</v>
      </c>
      <c r="DB99" s="2401">
        <f t="shared" si="562"/>
        <v>0.74586759550260284</v>
      </c>
      <c r="DC99" s="2400">
        <f t="shared" si="562"/>
        <v>0.34426627372800556</v>
      </c>
      <c r="DD99" s="2401">
        <f t="shared" si="562"/>
        <v>0.24571813454269931</v>
      </c>
      <c r="DE99" s="2401">
        <f t="shared" si="562"/>
        <v>0.15895413176905215</v>
      </c>
      <c r="DF99" s="2402">
        <f t="shared" si="562"/>
        <v>9.7002083106632275E-2</v>
      </c>
      <c r="DG99" s="2400">
        <f t="shared" si="562"/>
        <v>-2.3866657936058577E-2</v>
      </c>
      <c r="DH99" s="2401">
        <f t="shared" si="562"/>
        <v>-6.4555299413675549E-3</v>
      </c>
      <c r="DI99" s="2401">
        <f t="shared" si="562"/>
        <v>2.4417079842935285E-2</v>
      </c>
      <c r="DJ99" s="2402">
        <f t="shared" si="562"/>
        <v>5.6270140867866525E-2</v>
      </c>
      <c r="DK99" s="2400">
        <f t="shared" si="562"/>
        <v>4.6053998546177644E-2</v>
      </c>
      <c r="DL99" s="2401">
        <f t="shared" si="562"/>
        <v>4.6688382193268207E-2</v>
      </c>
      <c r="DM99" s="2401">
        <f t="shared" si="562"/>
        <v>0.1084274999682624</v>
      </c>
      <c r="DN99" s="2402">
        <f t="shared" si="562"/>
        <v>0.14033441469063179</v>
      </c>
      <c r="DO99" s="2400">
        <f t="shared" si="562"/>
        <v>1.6279384894729576E-2</v>
      </c>
      <c r="DP99" s="2401">
        <f t="shared" si="562"/>
        <v>1.3192215190259482E-2</v>
      </c>
      <c r="DQ99" s="2401">
        <f t="shared" si="562"/>
        <v>-3.1763779914372514E-2</v>
      </c>
      <c r="DR99" s="2402">
        <f t="shared" si="562"/>
        <v>4.0526891382630659E-4</v>
      </c>
      <c r="DS99" s="2400">
        <f t="shared" si="562"/>
        <v>0.23934033311984915</v>
      </c>
      <c r="DT99" s="2401">
        <f t="shared" ref="DT99" ca="1" si="563">DT98/DP98-1</f>
        <v>0.2135365405789138</v>
      </c>
      <c r="DU99" s="2401">
        <f t="shared" ref="DU99" ca="1" si="564">DU98/DQ98-1</f>
        <v>0.23998327790022711</v>
      </c>
      <c r="DV99" s="2402">
        <f t="shared" ref="DV99" ca="1" si="565">DV98/DR98-1</f>
        <v>0.16601394117171475</v>
      </c>
      <c r="DW99" s="1921"/>
      <c r="DX99"/>
      <c r="DY99"/>
      <c r="DZ99"/>
      <c r="EA99"/>
      <c r="EB99"/>
      <c r="EC99"/>
    </row>
    <row r="100" spans="1:133" ht="15" hidden="1" customHeight="1" outlineLevel="1">
      <c r="A100" s="2419"/>
      <c r="B100" s="1918"/>
      <c r="C100" s="1918"/>
      <c r="D100" s="1918"/>
      <c r="E100" s="1918"/>
      <c r="F100" s="1918"/>
      <c r="G100" s="1918"/>
      <c r="H100" s="1958"/>
      <c r="I100" s="1958"/>
      <c r="J100" s="1958"/>
      <c r="K100" s="1958"/>
      <c r="L100" s="1958"/>
      <c r="M100" s="1958"/>
      <c r="N100" s="1918"/>
      <c r="O100" s="1918"/>
      <c r="P100" s="1918"/>
      <c r="Q100" s="1918"/>
      <c r="R100" s="1918"/>
      <c r="S100" s="1918"/>
      <c r="T100" s="1918"/>
      <c r="U100" s="1918"/>
      <c r="V100" s="1918"/>
      <c r="W100" s="1918"/>
      <c r="X100" s="1918"/>
      <c r="Y100" s="1918"/>
      <c r="Z100" s="1918"/>
      <c r="AA100" s="1918"/>
      <c r="AB100" s="1918"/>
      <c r="AC100" s="1918"/>
      <c r="AD100" s="1918"/>
      <c r="AE100" s="1918"/>
      <c r="AF100" s="1918"/>
      <c r="AG100" s="1918"/>
      <c r="AI100" s="2386"/>
      <c r="AJ100" s="2569"/>
      <c r="AK100" s="1918"/>
      <c r="AL100" s="1918"/>
      <c r="AM100" s="1918"/>
      <c r="AN100" s="1918"/>
      <c r="AO100" s="1918"/>
      <c r="AP100" s="1918"/>
      <c r="AQ100" s="1918"/>
      <c r="AR100" s="1918"/>
      <c r="AS100" s="1918"/>
      <c r="AT100" s="1918"/>
      <c r="AU100" s="1918"/>
      <c r="AV100" s="1918"/>
      <c r="AW100" s="1918"/>
      <c r="AX100" s="1918"/>
      <c r="AY100" s="1918"/>
      <c r="AZ100" s="1918"/>
      <c r="BA100" s="1918"/>
      <c r="BB100" s="1918"/>
      <c r="BC100" s="1918"/>
      <c r="BD100" s="1918"/>
      <c r="BE100" s="1918"/>
      <c r="BF100" s="1918"/>
      <c r="BG100" s="2409"/>
      <c r="BH100" s="2410"/>
      <c r="BI100" s="2410"/>
      <c r="BJ100" s="2410"/>
      <c r="BK100" s="2410"/>
      <c r="BL100" s="2410"/>
      <c r="BM100" s="2410"/>
      <c r="BN100" s="2410"/>
      <c r="BO100" s="2410"/>
      <c r="BP100" s="2410"/>
      <c r="BQ100" s="2410"/>
      <c r="BR100" s="2410"/>
      <c r="BS100" s="2410"/>
      <c r="BT100" s="2410"/>
      <c r="BU100" s="2410"/>
      <c r="BV100" s="2411"/>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s="555"/>
      <c r="DK100" s="554"/>
      <c r="DL100" s="1074"/>
      <c r="DM100" s="1074"/>
      <c r="DN100" s="555"/>
      <c r="DO100" s="554"/>
      <c r="DP100" s="1074"/>
      <c r="DQ100" s="1074"/>
      <c r="DR100" s="555"/>
      <c r="DS100" s="554"/>
      <c r="DT100" s="1074"/>
      <c r="DU100" s="1074"/>
      <c r="DV100" s="1074"/>
    </row>
    <row r="101" spans="1:133" ht="15" hidden="1" customHeight="1" outlineLevel="1">
      <c r="A101" s="2419" t="s">
        <v>987</v>
      </c>
      <c r="B101" s="1918"/>
      <c r="C101" s="1918"/>
      <c r="D101" s="1918"/>
      <c r="E101" s="1918"/>
      <c r="F101" s="1918"/>
      <c r="G101" s="1918"/>
      <c r="H101" s="1958"/>
      <c r="I101" s="1958"/>
      <c r="J101" s="1958">
        <v>0</v>
      </c>
      <c r="K101" s="1958">
        <v>63</v>
      </c>
      <c r="L101" s="1958">
        <v>68</v>
      </c>
      <c r="M101" s="1958">
        <v>75</v>
      </c>
      <c r="N101" s="1918">
        <f>SUM(BW101:BZ101)</f>
        <v>31</v>
      </c>
      <c r="O101" s="1918">
        <f>SUM(CA101:CD101)</f>
        <v>0</v>
      </c>
      <c r="P101" s="1918">
        <f>SUM(CE101:CH101)</f>
        <v>0</v>
      </c>
      <c r="Q101" s="1918">
        <f>SUM(CI101:CL101)</f>
        <v>0</v>
      </c>
      <c r="R101" s="1918">
        <f>Q101</f>
        <v>0</v>
      </c>
      <c r="S101" s="1918">
        <f>R101</f>
        <v>0</v>
      </c>
      <c r="T101" s="1918">
        <v>4</v>
      </c>
      <c r="U101" s="1918">
        <f>SUM(CY101:DB101)</f>
        <v>12</v>
      </c>
      <c r="V101" s="1918">
        <f>SUM(DC101:DF101)</f>
        <v>0</v>
      </c>
      <c r="W101" s="1918">
        <f>SUM(DG101:DJ101)</f>
        <v>0</v>
      </c>
      <c r="X101" s="1918">
        <f>SUM(DK101:DN101)</f>
        <v>0</v>
      </c>
      <c r="Y101" s="1918">
        <f>SUM(DO101:DR101)</f>
        <v>0</v>
      </c>
      <c r="Z101" s="1918">
        <f>SUM(DP101:DS101)</f>
        <v>0</v>
      </c>
      <c r="AA101" s="1918">
        <f>Z101</f>
        <v>0</v>
      </c>
      <c r="AB101" s="1918">
        <f>AA101</f>
        <v>0</v>
      </c>
      <c r="AC101" s="1918">
        <f t="shared" ref="AC101:AG101" si="566">AB101</f>
        <v>0</v>
      </c>
      <c r="AD101" s="1918">
        <f t="shared" si="566"/>
        <v>0</v>
      </c>
      <c r="AE101" s="1918">
        <f t="shared" si="566"/>
        <v>0</v>
      </c>
      <c r="AF101" s="1918">
        <f t="shared" si="566"/>
        <v>0</v>
      </c>
      <c r="AG101" s="1918">
        <f t="shared" si="566"/>
        <v>0</v>
      </c>
      <c r="AI101" s="2386"/>
      <c r="AJ101" s="2569"/>
      <c r="AK101" s="1918"/>
      <c r="AL101" s="1918"/>
      <c r="AM101" s="1918"/>
      <c r="AN101" s="1918"/>
      <c r="AO101" s="1918"/>
      <c r="AP101" s="1918"/>
      <c r="AQ101" s="1918"/>
      <c r="AR101" s="1918"/>
      <c r="AS101" s="1918"/>
      <c r="AT101" s="1918"/>
      <c r="AU101" s="1918"/>
      <c r="AV101" s="1918"/>
      <c r="AW101" s="1918"/>
      <c r="AX101" s="1918"/>
      <c r="AY101" s="1918"/>
      <c r="AZ101" s="1918"/>
      <c r="BA101" s="1918"/>
      <c r="BB101" s="1918"/>
      <c r="BC101" s="1918"/>
      <c r="BD101" s="1918"/>
      <c r="BE101" s="1918"/>
      <c r="BF101" s="1918"/>
      <c r="BG101" s="2409"/>
      <c r="BH101" s="2410"/>
      <c r="BI101" s="2410"/>
      <c r="BJ101" s="2410"/>
      <c r="BK101" s="2410">
        <v>20</v>
      </c>
      <c r="BL101" s="2410">
        <v>20</v>
      </c>
      <c r="BM101" s="2410">
        <v>21</v>
      </c>
      <c r="BN101" s="2410">
        <v>0</v>
      </c>
      <c r="BO101" s="2410">
        <v>22</v>
      </c>
      <c r="BP101" s="2410">
        <v>18</v>
      </c>
      <c r="BQ101" s="2410">
        <v>14</v>
      </c>
      <c r="BR101" s="2410">
        <v>14</v>
      </c>
      <c r="BS101" s="2410">
        <v>14</v>
      </c>
      <c r="BT101" s="2410">
        <v>15</v>
      </c>
      <c r="BU101" s="2410">
        <v>15</v>
      </c>
      <c r="BV101" s="2411">
        <v>31</v>
      </c>
      <c r="BW101">
        <f>NormInputs!BP53</f>
        <v>15</v>
      </c>
      <c r="BX101">
        <f>NormInputs!BQ53</f>
        <v>12</v>
      </c>
      <c r="BY101">
        <f>NormInputs!BR53</f>
        <v>4</v>
      </c>
      <c r="BZ101">
        <f>NormInputs!BS53</f>
        <v>0</v>
      </c>
      <c r="CA101">
        <f>NormInputs!BT53</f>
        <v>0</v>
      </c>
      <c r="CB101">
        <v>0</v>
      </c>
      <c r="CC101">
        <v>0</v>
      </c>
      <c r="CD101">
        <v>0</v>
      </c>
      <c r="CE101">
        <v>0</v>
      </c>
      <c r="CF101">
        <v>0</v>
      </c>
      <c r="CG101">
        <v>0</v>
      </c>
      <c r="CH101">
        <v>0</v>
      </c>
      <c r="CI101">
        <v>0</v>
      </c>
      <c r="CJ101">
        <v>0</v>
      </c>
      <c r="CK101">
        <v>0</v>
      </c>
      <c r="CL101">
        <v>0</v>
      </c>
      <c r="CM101">
        <v>0</v>
      </c>
      <c r="CN101">
        <v>0</v>
      </c>
      <c r="CO101">
        <v>0</v>
      </c>
      <c r="CP101">
        <v>1</v>
      </c>
      <c r="CQ101">
        <v>2</v>
      </c>
      <c r="CR101">
        <v>3</v>
      </c>
      <c r="CS101">
        <v>4</v>
      </c>
      <c r="CT101">
        <v>4</v>
      </c>
      <c r="CU101">
        <v>4</v>
      </c>
      <c r="CV101">
        <v>4</v>
      </c>
      <c r="CW101">
        <v>4</v>
      </c>
      <c r="CX101">
        <v>4</v>
      </c>
      <c r="CY101">
        <v>4</v>
      </c>
      <c r="CZ101">
        <v>4</v>
      </c>
      <c r="DA101">
        <v>4</v>
      </c>
      <c r="DB101">
        <v>0</v>
      </c>
      <c r="DC101">
        <v>0</v>
      </c>
      <c r="DD101">
        <v>0</v>
      </c>
      <c r="DE101">
        <v>0</v>
      </c>
      <c r="DF101">
        <v>0</v>
      </c>
      <c r="DG101" s="2484">
        <v>0</v>
      </c>
      <c r="DH101" s="2418">
        <v>0</v>
      </c>
      <c r="DI101" s="2418">
        <v>0</v>
      </c>
      <c r="DJ101" s="2418">
        <v>0</v>
      </c>
      <c r="DK101" s="2484">
        <v>0</v>
      </c>
      <c r="DL101" s="2418">
        <v>0</v>
      </c>
      <c r="DM101" s="2418">
        <v>0</v>
      </c>
      <c r="DN101" s="2482">
        <v>0</v>
      </c>
      <c r="DO101" s="2484">
        <v>0</v>
      </c>
      <c r="DP101" s="2418">
        <v>0</v>
      </c>
      <c r="DQ101" s="2418">
        <v>0</v>
      </c>
      <c r="DR101" s="2482">
        <v>0</v>
      </c>
      <c r="DS101" s="2484">
        <v>0</v>
      </c>
      <c r="DT101" s="2410">
        <v>0</v>
      </c>
      <c r="DU101" s="2410">
        <v>0</v>
      </c>
      <c r="DV101" s="2411">
        <v>0</v>
      </c>
    </row>
    <row r="102" spans="1:133" ht="15" hidden="1" customHeight="1" outlineLevel="1">
      <c r="A102" s="2419"/>
      <c r="B102" s="1918"/>
      <c r="C102" s="1918"/>
      <c r="D102" s="1918"/>
      <c r="E102" s="1918"/>
      <c r="F102" s="1918"/>
      <c r="G102" s="1918"/>
      <c r="H102" s="1958"/>
      <c r="I102" s="1958"/>
      <c r="J102" s="1958"/>
      <c r="K102" s="1958"/>
      <c r="L102" s="1958"/>
      <c r="M102" s="1958"/>
      <c r="N102" s="1918"/>
      <c r="O102" s="1918"/>
      <c r="P102" s="1918"/>
      <c r="Q102" s="1918"/>
      <c r="R102" s="1918"/>
      <c r="S102" s="1918"/>
      <c r="T102" s="1918"/>
      <c r="U102" s="1918"/>
      <c r="V102" s="1918"/>
      <c r="W102" s="1918"/>
      <c r="X102" s="1918"/>
      <c r="Y102" s="1918"/>
      <c r="Z102" s="1918"/>
      <c r="AA102" s="1918"/>
      <c r="AB102" s="1918"/>
      <c r="AC102" s="1918"/>
      <c r="AD102" s="1918"/>
      <c r="AE102" s="1918"/>
      <c r="AF102" s="1918"/>
      <c r="AG102" s="1918"/>
      <c r="AI102" s="2386"/>
      <c r="AJ102" s="2569"/>
      <c r="AK102" s="1918"/>
      <c r="AL102" s="1918"/>
      <c r="AM102" s="1918"/>
      <c r="AN102" s="1918"/>
      <c r="AO102" s="1918"/>
      <c r="AP102" s="1918"/>
      <c r="AQ102" s="1918"/>
      <c r="AR102" s="1918"/>
      <c r="AS102" s="1918"/>
      <c r="AT102" s="1918"/>
      <c r="AU102" s="1918"/>
      <c r="AV102" s="1918"/>
      <c r="AW102" s="1918"/>
      <c r="AX102" s="1918"/>
      <c r="AY102" s="1918"/>
      <c r="AZ102" s="1918"/>
      <c r="BA102" s="1918"/>
      <c r="BB102" s="1918"/>
      <c r="BC102" s="1918"/>
      <c r="BD102" s="1918"/>
      <c r="BE102" s="1918"/>
      <c r="BF102" s="1918"/>
      <c r="BG102" s="2409"/>
      <c r="BH102" s="2410"/>
      <c r="BI102" s="2410"/>
      <c r="BJ102" s="2410"/>
      <c r="BK102" s="2410"/>
      <c r="BL102" s="2410"/>
      <c r="BM102" s="2410"/>
      <c r="BN102" s="2410"/>
      <c r="BO102" s="2410"/>
      <c r="BP102" s="2410"/>
      <c r="BQ102" s="2410"/>
      <c r="BR102" s="2410"/>
      <c r="BS102" s="2410"/>
      <c r="BT102" s="2410"/>
      <c r="BU102" s="2410"/>
      <c r="BV102" s="2411"/>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s="1074"/>
      <c r="DH102" s="2471"/>
      <c r="DI102"/>
      <c r="DJ102" s="555"/>
      <c r="DK102" s="554"/>
      <c r="DL102" s="2967"/>
      <c r="DM102" s="2990"/>
      <c r="DN102" s="555"/>
      <c r="DO102" s="554"/>
      <c r="DP102" s="1074"/>
      <c r="DQ102" s="1074"/>
      <c r="DR102" s="555"/>
      <c r="DS102" s="554"/>
      <c r="DT102" s="1074"/>
      <c r="DU102" s="1074"/>
      <c r="DV102" s="1074"/>
    </row>
    <row r="103" spans="1:133" s="820" customFormat="1" ht="15" customHeight="1" collapsed="1">
      <c r="A103" s="1923" t="s">
        <v>1162</v>
      </c>
      <c r="B103" s="1923"/>
      <c r="C103" s="1923"/>
      <c r="D103" s="1923"/>
      <c r="E103" s="1923"/>
      <c r="F103" s="1923"/>
      <c r="G103" s="1923"/>
      <c r="H103" s="1958">
        <v>2737</v>
      </c>
      <c r="I103" s="1958">
        <v>2730</v>
      </c>
      <c r="J103" s="1958">
        <v>2772</v>
      </c>
      <c r="K103" s="1958">
        <v>2789</v>
      </c>
      <c r="L103" s="1958">
        <v>2823</v>
      </c>
      <c r="M103" s="1958">
        <v>2816</v>
      </c>
      <c r="N103" s="1923">
        <f>(N88+N101)/N95</f>
        <v>2938.7438480173837</v>
      </c>
      <c r="O103" s="1923">
        <f>(O88+O101)/O95</f>
        <v>2901.9715478705048</v>
      </c>
      <c r="P103" s="1923">
        <f>(P88+P101)/P95</f>
        <v>2850.4100153555246</v>
      </c>
      <c r="Q103" s="1923">
        <f>(Q88+Q101)/Q95</f>
        <v>2841</v>
      </c>
      <c r="R103" s="1923">
        <v>2833</v>
      </c>
      <c r="S103" s="1923">
        <v>2839</v>
      </c>
      <c r="T103" s="1923">
        <v>2862</v>
      </c>
      <c r="U103" s="1923">
        <f t="shared" ref="U103" si="567">U111+U112</f>
        <v>2874</v>
      </c>
      <c r="V103" s="1923">
        <f>V111+V112</f>
        <v>4162.75</v>
      </c>
      <c r="W103" s="1923">
        <f>W111+W112</f>
        <v>4093.5</v>
      </c>
      <c r="X103" s="1923">
        <f>+AVERAGE(DK103:DN103)</f>
        <v>4085.75</v>
      </c>
      <c r="Y103" s="1923">
        <f>+AVERAGE(DO103:DR103)</f>
        <v>4087</v>
      </c>
      <c r="Z103" s="1923">
        <f>+AVERAGE(DS103:DV103)</f>
        <v>4128.1875</v>
      </c>
      <c r="AA103" s="1923">
        <f>AA111+AA112</f>
        <v>4129.4811229428851</v>
      </c>
      <c r="AB103" s="1923">
        <f>AB111+AB112</f>
        <v>4130.9617085981245</v>
      </c>
      <c r="AC103" s="1923">
        <f t="shared" ref="AC103:AG103" si="568">AC111+AC112</f>
        <v>4132.4417575500083</v>
      </c>
      <c r="AD103" s="1923">
        <f t="shared" si="568"/>
        <v>4133.9212703817702</v>
      </c>
      <c r="AE103" s="1923">
        <f t="shared" si="568"/>
        <v>4135.4002476755859</v>
      </c>
      <c r="AF103" s="1923">
        <f t="shared" si="568"/>
        <v>4136.8786900125797</v>
      </c>
      <c r="AG103" s="1923">
        <f t="shared" si="568"/>
        <v>4138.3565979728246</v>
      </c>
      <c r="AH103" s="1923"/>
      <c r="AI103" s="2386">
        <f>(AA103/V103)^(1/5)-1</f>
        <v>-1.6035430636095471E-3</v>
      </c>
      <c r="AJ103" s="2570"/>
      <c r="AK103" s="1923"/>
      <c r="AL103" s="1923"/>
      <c r="AM103" s="1923"/>
      <c r="AN103" s="1923"/>
      <c r="AO103" s="1923"/>
      <c r="AP103" s="1923"/>
      <c r="AQ103" s="1923"/>
      <c r="AR103" s="1923"/>
      <c r="AS103" s="1923"/>
      <c r="AT103" s="1923"/>
      <c r="AU103" s="1923"/>
      <c r="AV103" s="1923"/>
      <c r="AW103" s="1923"/>
      <c r="AX103" s="1923"/>
      <c r="AY103" s="1923"/>
      <c r="AZ103" s="1923"/>
      <c r="BA103" s="1923"/>
      <c r="BB103" s="1923"/>
      <c r="BC103" s="1923"/>
      <c r="BD103" s="1923"/>
      <c r="BE103" s="1923"/>
      <c r="BF103" s="1923"/>
      <c r="BG103" s="2388">
        <v>2732</v>
      </c>
      <c r="BH103" s="2389">
        <v>2733</v>
      </c>
      <c r="BI103" s="2389">
        <v>2749</v>
      </c>
      <c r="BJ103" s="2389">
        <v>2772</v>
      </c>
      <c r="BK103" s="2389">
        <v>2823</v>
      </c>
      <c r="BL103" s="2389">
        <v>2830</v>
      </c>
      <c r="BM103" s="2389">
        <v>2834</v>
      </c>
      <c r="BN103" s="2389">
        <v>2765</v>
      </c>
      <c r="BO103" s="2389">
        <v>2847</v>
      </c>
      <c r="BP103" s="2389">
        <v>2834</v>
      </c>
      <c r="BQ103" s="2389">
        <v>2820</v>
      </c>
      <c r="BR103" s="2389">
        <v>2823</v>
      </c>
      <c r="BS103" s="2389">
        <v>2821</v>
      </c>
      <c r="BT103" s="2389">
        <v>2819</v>
      </c>
      <c r="BU103" s="2389">
        <v>2817</v>
      </c>
      <c r="BV103" s="2390">
        <v>2816</v>
      </c>
      <c r="BW103" s="2391">
        <f>NormInputs!BP55</f>
        <v>2963</v>
      </c>
      <c r="BX103" s="2392">
        <f>NormInputs!BQ55</f>
        <v>2949</v>
      </c>
      <c r="BY103" s="2392">
        <f>NormInputs!BR55</f>
        <v>2923</v>
      </c>
      <c r="BZ103" s="2392">
        <f>NormInputs!BS55</f>
        <v>2919</v>
      </c>
      <c r="CA103" s="2391">
        <f>NormInputs!BT55</f>
        <v>2911</v>
      </c>
      <c r="CB103" s="2392">
        <f>NormInputs!BU55</f>
        <v>2907</v>
      </c>
      <c r="CC103" s="2392">
        <f>NormInputs!BV55</f>
        <v>2900</v>
      </c>
      <c r="CD103" s="2392">
        <f>NormInputs!BW55</f>
        <v>2891</v>
      </c>
      <c r="CE103" s="2391">
        <f>NormInputs!BX55</f>
        <v>2865</v>
      </c>
      <c r="CF103" s="2392">
        <f>NormInputs!BY55</f>
        <v>2851</v>
      </c>
      <c r="CG103" s="2392">
        <f>NormInputs!BZ55</f>
        <v>2845</v>
      </c>
      <c r="CH103" s="2392">
        <f>NormInputs!CA55</f>
        <v>2841</v>
      </c>
      <c r="CI103" s="2391">
        <f>NormInputs!CB55</f>
        <v>2841</v>
      </c>
      <c r="CJ103" s="2392">
        <f>NormInputs!CC55</f>
        <v>2841</v>
      </c>
      <c r="CK103" s="2392">
        <f>NormInputs!CD55</f>
        <v>2841</v>
      </c>
      <c r="CL103" s="2392">
        <f>NormInputs!CE55</f>
        <v>2841</v>
      </c>
      <c r="CM103" s="2391">
        <f>NormInputs!CF55</f>
        <v>2836</v>
      </c>
      <c r="CN103" s="2392">
        <f>NormInputs!CG55</f>
        <v>2827</v>
      </c>
      <c r="CO103" s="2392">
        <f>NormInputs!CH55</f>
        <v>2829</v>
      </c>
      <c r="CP103" s="2392">
        <f>NormInputs!CI55</f>
        <v>2829</v>
      </c>
      <c r="CQ103" s="2391">
        <f>NormInputs!CJ55</f>
        <v>2830</v>
      </c>
      <c r="CR103" s="2392">
        <f>NormInputs!CK55</f>
        <v>2832</v>
      </c>
      <c r="CS103" s="2392">
        <f>NormInputs!CL55</f>
        <v>2834</v>
      </c>
      <c r="CT103" s="2392">
        <f>NormInputs!CM55</f>
        <v>2835</v>
      </c>
      <c r="CU103" s="2391">
        <f>NormInputs!CN55</f>
        <v>2849</v>
      </c>
      <c r="CV103" s="2392">
        <f>NormInputs!CO55</f>
        <v>2858</v>
      </c>
      <c r="CW103" s="2392">
        <f>NormInputs!CP55</f>
        <v>2866</v>
      </c>
      <c r="CX103" s="2392">
        <f>NormInputs!CQ55</f>
        <v>2862</v>
      </c>
      <c r="CY103" s="2391">
        <f>NormInputs!CR55</f>
        <v>2872</v>
      </c>
      <c r="CZ103" s="2392">
        <f>NormInputs!CS55</f>
        <v>2872</v>
      </c>
      <c r="DA103" s="2392">
        <f>NormInputs!CT55</f>
        <v>2874</v>
      </c>
      <c r="DB103" s="2392">
        <f>NormInputs!CU55</f>
        <v>2875</v>
      </c>
      <c r="DC103" s="2391">
        <f>NormInputs!CV55</f>
        <v>4150</v>
      </c>
      <c r="DD103" s="2392">
        <f>NormInputs!CW55</f>
        <v>4153</v>
      </c>
      <c r="DE103" s="2392">
        <f>NormInputs!CX55</f>
        <v>4159</v>
      </c>
      <c r="DF103" s="2393">
        <f>NormInputs!CY55</f>
        <v>4157</v>
      </c>
      <c r="DG103" s="2496">
        <f>NormInputs!CZ55</f>
        <v>4121</v>
      </c>
      <c r="DH103" s="2563">
        <f>NormInputs!DA55</f>
        <v>4085</v>
      </c>
      <c r="DI103" s="2563">
        <f>NormInputs!DB55</f>
        <v>4072</v>
      </c>
      <c r="DJ103" s="2564">
        <f>NormInputs!DC55</f>
        <v>4076</v>
      </c>
      <c r="DK103" s="2496">
        <f>NormInputs!DD55</f>
        <v>4085</v>
      </c>
      <c r="DL103" s="2563">
        <f>NormInputs!DE55</f>
        <v>4085</v>
      </c>
      <c r="DM103" s="2563">
        <f>NormInputs!DF55</f>
        <v>4086</v>
      </c>
      <c r="DN103" s="2564">
        <f>NormInputs!DG55</f>
        <v>4087</v>
      </c>
      <c r="DO103" s="2496">
        <f>NormInputs!DH55</f>
        <v>4087</v>
      </c>
      <c r="DP103" s="2563">
        <f>NormInputs!DI55</f>
        <v>4082</v>
      </c>
      <c r="DQ103" s="2563">
        <f>NormInputs!DJ55</f>
        <v>4089</v>
      </c>
      <c r="DR103" s="2564">
        <f>NormInputs!DK55</f>
        <v>4090</v>
      </c>
      <c r="DS103" s="2496">
        <f>NormInputs!DL55</f>
        <v>4107</v>
      </c>
      <c r="DT103" s="2392">
        <f t="shared" ref="DT103:DV103" si="569">DT111+DT112</f>
        <v>4134.25</v>
      </c>
      <c r="DU103" s="2392">
        <f t="shared" si="569"/>
        <v>4135.25</v>
      </c>
      <c r="DV103" s="2393">
        <f t="shared" si="569"/>
        <v>4136.25</v>
      </c>
      <c r="DW103" s="3313"/>
      <c r="DX103"/>
      <c r="DY103"/>
      <c r="DZ103"/>
      <c r="EA103"/>
      <c r="EB103"/>
      <c r="EC103"/>
    </row>
    <row r="104" spans="1:133" s="821" customFormat="1" ht="15" customHeight="1">
      <c r="A104" s="1924" t="s">
        <v>945</v>
      </c>
      <c r="B104" s="1921"/>
      <c r="C104" s="1921"/>
      <c r="D104" s="1921"/>
      <c r="E104" s="1921"/>
      <c r="F104" s="1921"/>
      <c r="G104" s="1921"/>
      <c r="H104" s="1958"/>
      <c r="I104" s="1958">
        <v>-2.5575447570332921E-3</v>
      </c>
      <c r="J104" s="1958">
        <v>1.538461538461533E-2</v>
      </c>
      <c r="K104" s="1958">
        <v>6.1327561327562119E-3</v>
      </c>
      <c r="L104" s="1958">
        <v>1.2190749372535059E-2</v>
      </c>
      <c r="M104" s="1958">
        <v>-2.4796315975912364E-3</v>
      </c>
      <c r="N104" s="1921">
        <f t="shared" ref="N104:AB104" si="570">N103/M103-1</f>
        <v>4.3588014210718562E-2</v>
      </c>
      <c r="O104" s="1921">
        <f t="shared" si="570"/>
        <v>-1.2512931391311044E-2</v>
      </c>
      <c r="P104" s="1921">
        <f t="shared" si="570"/>
        <v>-1.7767759491927659E-2</v>
      </c>
      <c r="Q104" s="1921">
        <f t="shared" si="570"/>
        <v>-3.3012848344033952E-3</v>
      </c>
      <c r="R104" s="1921">
        <f t="shared" si="570"/>
        <v>-2.8159098908835389E-3</v>
      </c>
      <c r="S104" s="1921">
        <f t="shared" si="570"/>
        <v>2.1178962230850029E-3</v>
      </c>
      <c r="T104" s="1921">
        <f t="shared" si="570"/>
        <v>8.1014441704825302E-3</v>
      </c>
      <c r="U104" s="1921">
        <f t="shared" si="570"/>
        <v>4.1928721174004924E-3</v>
      </c>
      <c r="V104" s="1921">
        <f t="shared" si="570"/>
        <v>0.44841684064022269</v>
      </c>
      <c r="W104" s="1921">
        <f>W103/V103-1</f>
        <v>-1.6635637499249345E-2</v>
      </c>
      <c r="X104" s="1921">
        <f>X103/W103-1</f>
        <v>-1.8932453890313505E-3</v>
      </c>
      <c r="Y104" s="1921">
        <f>Y103/X103-1</f>
        <v>3.059413816313139E-4</v>
      </c>
      <c r="Z104" s="1921">
        <f>Z103/Y103-1</f>
        <v>1.0077685343772957E-2</v>
      </c>
      <c r="AA104" s="1921">
        <f t="shared" si="570"/>
        <v>3.1336341745258345E-4</v>
      </c>
      <c r="AB104" s="1921">
        <f t="shared" si="570"/>
        <v>3.5854036164817416E-4</v>
      </c>
      <c r="AC104" s="1921">
        <f t="shared" ref="AC104" si="571">AC103/AB103-1</f>
        <v>3.5828193439879641E-4</v>
      </c>
      <c r="AD104" s="1921">
        <f t="shared" ref="AD104" si="572">AD103/AC103-1</f>
        <v>3.580238799636426E-4</v>
      </c>
      <c r="AE104" s="1921">
        <f t="shared" ref="AE104" si="573">AE103/AD103-1</f>
        <v>3.5776619753558059E-4</v>
      </c>
      <c r="AF104" s="1921">
        <f t="shared" ref="AF104" si="574">AF103/AE103-1</f>
        <v>3.5750888631036482E-4</v>
      </c>
      <c r="AG104" s="1921">
        <f t="shared" ref="AG104" si="575">AG103/AF103-1</f>
        <v>3.5725194548552608E-4</v>
      </c>
      <c r="AH104" s="1921"/>
      <c r="AI104" s="2386"/>
      <c r="AJ104" s="2571"/>
      <c r="AK104" s="1921"/>
      <c r="AL104" s="1921"/>
      <c r="AM104" s="1921"/>
      <c r="AN104" s="1921"/>
      <c r="AO104" s="1921"/>
      <c r="AP104" s="1921"/>
      <c r="AQ104" s="1921"/>
      <c r="AR104" s="1921"/>
      <c r="AS104" s="1921"/>
      <c r="AT104" s="1921"/>
      <c r="AU104" s="1921"/>
      <c r="AV104" s="1921"/>
      <c r="AW104" s="1921"/>
      <c r="AX104" s="1921"/>
      <c r="AY104" s="1921"/>
      <c r="AZ104" s="1921"/>
      <c r="BA104" s="1921"/>
      <c r="BB104" s="1921"/>
      <c r="BC104" s="1921"/>
      <c r="BD104" s="1921"/>
      <c r="BE104" s="1921"/>
      <c r="BF104" s="1921"/>
      <c r="BG104" s="2397"/>
      <c r="BH104" s="2398"/>
      <c r="BI104" s="2398"/>
      <c r="BJ104" s="2398"/>
      <c r="BK104" s="2398">
        <v>3.3308931185944468E-2</v>
      </c>
      <c r="BL104" s="2398">
        <v>3.5492133186973973E-2</v>
      </c>
      <c r="BM104" s="2398">
        <v>3.0920334667151606E-2</v>
      </c>
      <c r="BN104" s="2398">
        <v>-2.525252525252486E-3</v>
      </c>
      <c r="BO104" s="2398">
        <v>8.5015940488841757E-3</v>
      </c>
      <c r="BP104" s="2398">
        <v>1.4134275618373771E-3</v>
      </c>
      <c r="BQ104" s="2398">
        <v>-4.9400141143259857E-3</v>
      </c>
      <c r="BR104" s="2398">
        <v>2.0976491862567892E-2</v>
      </c>
      <c r="BS104" s="2398">
        <v>-9.1324200913242004E-3</v>
      </c>
      <c r="BT104" s="2398">
        <v>-5.2928722653493576E-3</v>
      </c>
      <c r="BU104" s="2398">
        <v>-1.0638297872340718E-3</v>
      </c>
      <c r="BV104" s="2399">
        <v>-2.4796315975912364E-3</v>
      </c>
      <c r="BW104" s="2400">
        <f t="shared" ref="BW104:DS104" si="576">BW103/BS103-1</f>
        <v>5.0336760014179305E-2</v>
      </c>
      <c r="BX104" s="2401">
        <f t="shared" si="576"/>
        <v>4.6115643845335175E-2</v>
      </c>
      <c r="BY104" s="2401">
        <f t="shared" si="576"/>
        <v>3.7628682996095231E-2</v>
      </c>
      <c r="BZ104" s="2401">
        <f t="shared" si="576"/>
        <v>3.6576704545454586E-2</v>
      </c>
      <c r="CA104" s="2400">
        <f t="shared" si="576"/>
        <v>-1.7549780627742151E-2</v>
      </c>
      <c r="CB104" s="2401">
        <f t="shared" si="576"/>
        <v>-1.4242115971515812E-2</v>
      </c>
      <c r="CC104" s="2401">
        <f t="shared" si="576"/>
        <v>-7.8686281217926757E-3</v>
      </c>
      <c r="CD104" s="2401">
        <f t="shared" si="576"/>
        <v>-9.5923261390887804E-3</v>
      </c>
      <c r="CE104" s="2400">
        <f t="shared" si="576"/>
        <v>-1.5802129852284463E-2</v>
      </c>
      <c r="CF104" s="2401">
        <f t="shared" si="576"/>
        <v>-1.9263845889232911E-2</v>
      </c>
      <c r="CG104" s="2401">
        <f t="shared" si="576"/>
        <v>-1.8965517241379293E-2</v>
      </c>
      <c r="CH104" s="2401">
        <f t="shared" si="576"/>
        <v>-1.7295053614666211E-2</v>
      </c>
      <c r="CI104" s="2400">
        <f t="shared" si="576"/>
        <v>-8.3769633507853047E-3</v>
      </c>
      <c r="CJ104" s="2401">
        <f t="shared" si="576"/>
        <v>-3.5075412136092998E-3</v>
      </c>
      <c r="CK104" s="2401">
        <f t="shared" si="576"/>
        <v>-1.4059753954305254E-3</v>
      </c>
      <c r="CL104" s="2401">
        <f t="shared" si="576"/>
        <v>0</v>
      </c>
      <c r="CM104" s="2400">
        <f t="shared" si="576"/>
        <v>-1.7599436818022118E-3</v>
      </c>
      <c r="CN104" s="2401">
        <f t="shared" si="576"/>
        <v>-4.9278423090460821E-3</v>
      </c>
      <c r="CO104" s="2401">
        <f t="shared" si="576"/>
        <v>-4.2238648363251974E-3</v>
      </c>
      <c r="CP104" s="2401">
        <f t="shared" si="576"/>
        <v>-4.2238648363251974E-3</v>
      </c>
      <c r="CQ104" s="2400">
        <f t="shared" si="576"/>
        <v>-2.1156558533145242E-3</v>
      </c>
      <c r="CR104" s="2401">
        <f t="shared" si="576"/>
        <v>1.7686593562080688E-3</v>
      </c>
      <c r="CS104" s="2401">
        <f t="shared" si="576"/>
        <v>1.7674089784376346E-3</v>
      </c>
      <c r="CT104" s="2401">
        <f t="shared" si="576"/>
        <v>2.1208907741250282E-3</v>
      </c>
      <c r="CU104" s="2400">
        <f t="shared" si="576"/>
        <v>6.7137809187278741E-3</v>
      </c>
      <c r="CV104" s="2401">
        <f t="shared" si="576"/>
        <v>9.1807909604519899E-3</v>
      </c>
      <c r="CW104" s="2401">
        <f t="shared" si="576"/>
        <v>1.1291460832745237E-2</v>
      </c>
      <c r="CX104" s="2401">
        <f t="shared" si="576"/>
        <v>9.52380952380949E-3</v>
      </c>
      <c r="CY104" s="2400">
        <f t="shared" si="576"/>
        <v>8.0730080730080367E-3</v>
      </c>
      <c r="CZ104" s="2401">
        <f t="shared" si="576"/>
        <v>4.8985304408677433E-3</v>
      </c>
      <c r="DA104" s="2401">
        <f t="shared" si="576"/>
        <v>2.7913468248430551E-3</v>
      </c>
      <c r="DB104" s="2401">
        <f t="shared" si="576"/>
        <v>4.5422781271837742E-3</v>
      </c>
      <c r="DC104" s="2400">
        <f t="shared" si="576"/>
        <v>0.44498607242339827</v>
      </c>
      <c r="DD104" s="2401">
        <f t="shared" si="576"/>
        <v>0.44603064066852371</v>
      </c>
      <c r="DE104" s="2401">
        <f t="shared" si="576"/>
        <v>0.44711203897007645</v>
      </c>
      <c r="DF104" s="2402">
        <f t="shared" si="576"/>
        <v>0.44591304347826077</v>
      </c>
      <c r="DG104" s="2400">
        <f t="shared" si="576"/>
        <v>-6.9879518072288871E-3</v>
      </c>
      <c r="DH104" s="2401">
        <f t="shared" si="576"/>
        <v>-1.6373705754875956E-2</v>
      </c>
      <c r="DI104" s="2401">
        <f t="shared" si="576"/>
        <v>-2.0918490021639813E-2</v>
      </c>
      <c r="DJ104" s="2402">
        <f t="shared" si="576"/>
        <v>-1.9485205677171047E-2</v>
      </c>
      <c r="DK104" s="2400">
        <f t="shared" si="576"/>
        <v>-8.7357437515166447E-3</v>
      </c>
      <c r="DL104" s="2401">
        <f t="shared" si="576"/>
        <v>0</v>
      </c>
      <c r="DM104" s="2401">
        <f t="shared" si="576"/>
        <v>3.4381139489194634E-3</v>
      </c>
      <c r="DN104" s="2402">
        <f t="shared" si="576"/>
        <v>2.6987242394505007E-3</v>
      </c>
      <c r="DO104" s="2400">
        <f t="shared" si="576"/>
        <v>4.895960832314028E-4</v>
      </c>
      <c r="DP104" s="2401">
        <f t="shared" si="576"/>
        <v>-7.3439412484699318E-4</v>
      </c>
      <c r="DQ104" s="2401">
        <f t="shared" si="576"/>
        <v>7.3421439060195048E-4</v>
      </c>
      <c r="DR104" s="2402">
        <f t="shared" si="576"/>
        <v>7.3403474431121829E-4</v>
      </c>
      <c r="DS104" s="2400">
        <f t="shared" si="576"/>
        <v>4.8935649620749366E-3</v>
      </c>
      <c r="DT104" s="2401">
        <f t="shared" ref="DT104" si="577">DT103/DP103-1</f>
        <v>1.280009799118087E-2</v>
      </c>
      <c r="DU104" s="2401">
        <f t="shared" ref="DU104" si="578">DU103/DQ103-1</f>
        <v>1.131083394472987E-2</v>
      </c>
      <c r="DV104" s="2402">
        <f t="shared" ref="DV104" si="579">DV103/DR103-1</f>
        <v>1.1308068459657594E-2</v>
      </c>
      <c r="DW104" s="1921"/>
      <c r="DX104"/>
      <c r="DY104"/>
      <c r="DZ104"/>
      <c r="EA104"/>
      <c r="EB104"/>
      <c r="EC104"/>
    </row>
    <row r="105" spans="1:133" ht="15" hidden="1" customHeight="1" outlineLevel="1">
      <c r="A105" s="2419"/>
      <c r="B105" s="1918"/>
      <c r="C105" s="1918"/>
      <c r="D105" s="1918"/>
      <c r="E105" s="1918"/>
      <c r="F105" s="1918"/>
      <c r="G105" s="1918"/>
      <c r="H105" s="1958"/>
      <c r="I105" s="1958"/>
      <c r="J105" s="1958"/>
      <c r="K105" s="1958"/>
      <c r="L105" s="1958"/>
      <c r="M105" s="1958"/>
      <c r="N105" s="1918"/>
      <c r="O105" s="1918"/>
      <c r="P105" s="1918"/>
      <c r="Q105" s="1918"/>
      <c r="R105" s="1918"/>
      <c r="S105" s="1918"/>
      <c r="T105" s="1918"/>
      <c r="U105" s="1918"/>
      <c r="V105" s="1918"/>
      <c r="W105" s="1918"/>
      <c r="X105" s="1918"/>
      <c r="Y105" s="1918"/>
      <c r="Z105" s="1918"/>
      <c r="AA105" s="1918"/>
      <c r="AB105" s="1918"/>
      <c r="AC105" s="1918"/>
      <c r="AD105" s="1918"/>
      <c r="AE105" s="1918"/>
      <c r="AF105" s="1918"/>
      <c r="AG105" s="1918"/>
      <c r="AI105" s="2386"/>
      <c r="AJ105" s="2569"/>
      <c r="AK105" s="1918"/>
      <c r="AL105" s="1918"/>
      <c r="AM105" s="1918"/>
      <c r="AN105" s="1918"/>
      <c r="AO105" s="1918"/>
      <c r="AP105" s="1918"/>
      <c r="AQ105" s="1918"/>
      <c r="AR105" s="1918"/>
      <c r="AS105" s="1918"/>
      <c r="AT105" s="1918"/>
      <c r="AU105" s="1918"/>
      <c r="AV105" s="1918"/>
      <c r="AW105" s="1918"/>
      <c r="AX105" s="1918"/>
      <c r="AY105" s="1918"/>
      <c r="AZ105" s="1918"/>
      <c r="BA105" s="1918"/>
      <c r="BB105" s="1918"/>
      <c r="BC105" s="1918"/>
      <c r="BD105" s="1918"/>
      <c r="BE105" s="1918"/>
      <c r="BF105" s="1918"/>
      <c r="BG105" s="2409"/>
      <c r="BH105" s="2410"/>
      <c r="BI105" s="2410"/>
      <c r="BJ105" s="2410"/>
      <c r="BK105" s="2410"/>
      <c r="BL105" s="2410"/>
      <c r="BM105" s="2410"/>
      <c r="BN105" s="2410"/>
      <c r="BO105" s="2410"/>
      <c r="BP105" s="2410"/>
      <c r="BQ105" s="2410"/>
      <c r="BR105" s="2410"/>
      <c r="BS105" s="2410"/>
      <c r="BT105" s="2410"/>
      <c r="BU105" s="2410"/>
      <c r="BV105" s="2411"/>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s="1074"/>
      <c r="DH105" s="2471"/>
      <c r="DI105"/>
      <c r="DJ105" s="555"/>
      <c r="DK105" s="554"/>
      <c r="DL105" s="2967"/>
      <c r="DM105" s="2990"/>
      <c r="DN105" s="555"/>
      <c r="DO105" s="554"/>
      <c r="DP105" s="1074"/>
      <c r="DQ105" s="1074"/>
      <c r="DR105" s="555"/>
      <c r="DS105" s="554"/>
      <c r="DT105" s="1074"/>
      <c r="DU105" s="1074"/>
      <c r="DV105" s="555"/>
    </row>
    <row r="106" spans="1:133" ht="15" hidden="1" customHeight="1" outlineLevel="1">
      <c r="A106" s="2419"/>
      <c r="B106" s="1918"/>
      <c r="C106" s="1918"/>
      <c r="D106" s="1918"/>
      <c r="E106" s="1918"/>
      <c r="F106" s="1918"/>
      <c r="G106" s="1918"/>
      <c r="H106" s="1958"/>
      <c r="I106" s="1958"/>
      <c r="J106" s="1958"/>
      <c r="K106" s="1958"/>
      <c r="L106" s="1958"/>
      <c r="M106" s="1958"/>
      <c r="N106" s="1918"/>
      <c r="O106" s="1918"/>
      <c r="P106" s="1918"/>
      <c r="Q106" s="1918"/>
      <c r="R106" s="1918"/>
      <c r="S106" s="1918"/>
      <c r="T106" s="1918"/>
      <c r="U106" s="1918"/>
      <c r="V106" s="1918"/>
      <c r="W106" s="1918"/>
      <c r="X106" s="1918"/>
      <c r="Y106" s="1918"/>
      <c r="Z106" s="1918"/>
      <c r="AA106" s="1918"/>
      <c r="AB106" s="1918"/>
      <c r="AC106" s="1918"/>
      <c r="AD106" s="1918"/>
      <c r="AE106" s="1918"/>
      <c r="AF106" s="1918"/>
      <c r="AG106" s="1918"/>
      <c r="AI106" s="2386"/>
      <c r="AJ106" s="2569"/>
      <c r="AK106" s="1918"/>
      <c r="AL106" s="1918"/>
      <c r="AM106" s="1918"/>
      <c r="AN106" s="1918"/>
      <c r="AO106" s="1918"/>
      <c r="AP106" s="1918"/>
      <c r="AQ106" s="1918"/>
      <c r="AR106" s="1918"/>
      <c r="AS106" s="1918"/>
      <c r="AT106" s="1918"/>
      <c r="AU106" s="1918"/>
      <c r="AV106" s="1918"/>
      <c r="AW106" s="1918"/>
      <c r="AX106" s="1918"/>
      <c r="AY106" s="1918"/>
      <c r="AZ106" s="1918"/>
      <c r="BA106" s="1918"/>
      <c r="BB106" s="1918"/>
      <c r="BC106" s="1918"/>
      <c r="BD106" s="1918"/>
      <c r="BE106" s="1918"/>
      <c r="BF106" s="1918"/>
      <c r="BG106" s="2409"/>
      <c r="BH106" s="2410"/>
      <c r="BI106" s="2410"/>
      <c r="BJ106" s="2410"/>
      <c r="BK106" s="2410"/>
      <c r="BL106" s="2410"/>
      <c r="BM106" s="2410"/>
      <c r="BN106" s="2410"/>
      <c r="BO106" s="2410"/>
      <c r="BP106" s="2410"/>
      <c r="BQ106" s="2410"/>
      <c r="BR106" s="2410"/>
      <c r="BS106" s="2410"/>
      <c r="BT106" s="2410"/>
      <c r="BU106" s="2410"/>
      <c r="BV106" s="2411"/>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s="1074"/>
      <c r="DH106" s="2471"/>
      <c r="DI106"/>
      <c r="DJ106" s="555"/>
      <c r="DK106" s="554"/>
      <c r="DL106" s="2967"/>
      <c r="DM106" s="2990"/>
      <c r="DN106" s="555"/>
      <c r="DO106" s="554"/>
      <c r="DP106" s="1074"/>
      <c r="DQ106" s="1074"/>
      <c r="DR106" s="555"/>
      <c r="DS106" s="554"/>
      <c r="DT106" s="1074"/>
      <c r="DU106" s="1074"/>
      <c r="DV106" s="555"/>
    </row>
    <row r="107" spans="1:133" ht="15" hidden="1" customHeight="1" outlineLevel="1">
      <c r="A107" s="2419" t="s">
        <v>990</v>
      </c>
      <c r="B107" s="1918"/>
      <c r="C107" s="1918"/>
      <c r="D107" s="1918"/>
      <c r="E107" s="1918"/>
      <c r="F107" s="1918"/>
      <c r="G107" s="1918"/>
      <c r="H107" s="1958"/>
      <c r="I107" s="1958">
        <v>14</v>
      </c>
      <c r="J107" s="1958">
        <v>27</v>
      </c>
      <c r="K107" s="1958">
        <v>13</v>
      </c>
      <c r="L107" s="1958">
        <v>14</v>
      </c>
      <c r="M107" s="1958">
        <v>-6</v>
      </c>
      <c r="N107" s="1918">
        <f>SUM(BW107:BZ107)</f>
        <v>148</v>
      </c>
      <c r="O107" s="1918">
        <f>SUM(CA107:CD107)</f>
        <v>-35</v>
      </c>
      <c r="P107" s="1918">
        <f>SUM(CE107:CH107)</f>
        <v>-36</v>
      </c>
      <c r="Q107" s="1918">
        <f>SUM(CI107:CL107)</f>
        <v>-5</v>
      </c>
      <c r="R107" s="1918">
        <f>(CFS!R53+CFS!R54)/CFS!$A$68</f>
        <v>0</v>
      </c>
      <c r="S107" s="1918">
        <f>(CFS!S53+CFS!S54)/CFS!$A$68</f>
        <v>4.953751284686537</v>
      </c>
      <c r="T107" s="1918">
        <f>(CFS!T53+CFS!T54)/CFS!$A$68</f>
        <v>6.4748201438848927</v>
      </c>
      <c r="U107" s="1918">
        <f>(CFS!U53+CFS!U54)/CFS!$A$68</f>
        <v>-1.3977389516957863</v>
      </c>
      <c r="V107" s="1918">
        <f>SUM(DC107:DF107)</f>
        <v>1293</v>
      </c>
      <c r="W107" s="1918">
        <f>SUM(DG107:DJ107)</f>
        <v>-82</v>
      </c>
      <c r="X107" s="1918">
        <f>SUM(DK107:DN107)</f>
        <v>4</v>
      </c>
      <c r="Y107" s="1918">
        <f>SUM(DO107:DR107)</f>
        <v>2</v>
      </c>
      <c r="Z107" s="1918">
        <f>SUM(DP107:DS107)</f>
        <v>53</v>
      </c>
      <c r="AA107" s="2565">
        <v>3</v>
      </c>
      <c r="AB107" s="2567">
        <f>+AA107</f>
        <v>3</v>
      </c>
      <c r="AC107" s="2567">
        <f t="shared" ref="AC107:AG107" si="580">+AB107</f>
        <v>3</v>
      </c>
      <c r="AD107" s="2567">
        <f t="shared" si="580"/>
        <v>3</v>
      </c>
      <c r="AE107" s="2567">
        <f t="shared" si="580"/>
        <v>3</v>
      </c>
      <c r="AF107" s="2567">
        <f t="shared" si="580"/>
        <v>3</v>
      </c>
      <c r="AG107" s="2567">
        <f t="shared" si="580"/>
        <v>3</v>
      </c>
      <c r="AI107" s="2386"/>
      <c r="AJ107" s="2569"/>
      <c r="AK107" s="1918"/>
      <c r="AL107" s="1918"/>
      <c r="AM107" s="1918"/>
      <c r="AN107" s="1918"/>
      <c r="AO107" s="1918"/>
      <c r="AP107" s="1918"/>
      <c r="AQ107" s="1918"/>
      <c r="AR107" s="1918"/>
      <c r="AS107" s="1918"/>
      <c r="AT107" s="1918"/>
      <c r="AU107" s="1918"/>
      <c r="AV107" s="1918"/>
      <c r="AW107" s="1918"/>
      <c r="AX107" s="1918"/>
      <c r="AY107" s="1918"/>
      <c r="AZ107" s="1918"/>
      <c r="BA107" s="1918"/>
      <c r="BB107" s="1918"/>
      <c r="BC107" s="1918"/>
      <c r="BD107" s="1918"/>
      <c r="BE107" s="1918"/>
      <c r="BF107" s="1918"/>
      <c r="BG107" s="2409"/>
      <c r="BH107" s="2410">
        <v>5</v>
      </c>
      <c r="BI107" s="2410">
        <v>8</v>
      </c>
      <c r="BJ107" s="2410">
        <v>7</v>
      </c>
      <c r="BK107" s="2410">
        <v>5</v>
      </c>
      <c r="BL107" s="2410">
        <v>3</v>
      </c>
      <c r="BM107" s="2410">
        <v>2</v>
      </c>
      <c r="BN107" s="2410">
        <v>3</v>
      </c>
      <c r="BO107" s="2410">
        <v>14</v>
      </c>
      <c r="BP107" s="2410">
        <v>0</v>
      </c>
      <c r="BQ107" s="2410">
        <v>-1</v>
      </c>
      <c r="BR107" s="2410">
        <v>1</v>
      </c>
      <c r="BS107" s="2410">
        <v>-1</v>
      </c>
      <c r="BT107" s="2410">
        <v>-1</v>
      </c>
      <c r="BU107" s="2410">
        <v>-3</v>
      </c>
      <c r="BV107" s="2411">
        <v>-1</v>
      </c>
      <c r="BW107">
        <f t="shared" ref="BW107:CI107" si="581">BW109-BV109</f>
        <v>153</v>
      </c>
      <c r="BX107">
        <f t="shared" si="581"/>
        <v>-18</v>
      </c>
      <c r="BY107">
        <f t="shared" si="581"/>
        <v>21</v>
      </c>
      <c r="BZ107">
        <f t="shared" si="581"/>
        <v>-8</v>
      </c>
      <c r="CA107">
        <f t="shared" si="581"/>
        <v>-9</v>
      </c>
      <c r="CB107">
        <f t="shared" si="581"/>
        <v>0</v>
      </c>
      <c r="CC107">
        <f t="shared" si="581"/>
        <v>-13</v>
      </c>
      <c r="CD107">
        <f t="shared" si="581"/>
        <v>-13</v>
      </c>
      <c r="CE107">
        <f t="shared" si="581"/>
        <v>-26</v>
      </c>
      <c r="CF107">
        <f t="shared" si="581"/>
        <v>-3</v>
      </c>
      <c r="CG107">
        <f t="shared" si="581"/>
        <v>-8</v>
      </c>
      <c r="CH107">
        <f t="shared" si="581"/>
        <v>1</v>
      </c>
      <c r="CI107">
        <f t="shared" si="581"/>
        <v>0</v>
      </c>
      <c r="CJ107">
        <f>CJ109-CI109</f>
        <v>0</v>
      </c>
      <c r="CK107">
        <f t="shared" ref="CK107:DS107" si="582">CK109-CJ109</f>
        <v>0</v>
      </c>
      <c r="CL107">
        <f t="shared" si="582"/>
        <v>-5</v>
      </c>
      <c r="CM107">
        <f t="shared" si="582"/>
        <v>-9</v>
      </c>
      <c r="CN107">
        <f t="shared" si="582"/>
        <v>0</v>
      </c>
      <c r="CO107">
        <f t="shared" si="582"/>
        <v>0</v>
      </c>
      <c r="CP107">
        <f t="shared" si="582"/>
        <v>0</v>
      </c>
      <c r="CQ107">
        <f t="shared" si="582"/>
        <v>2</v>
      </c>
      <c r="CR107">
        <f t="shared" si="582"/>
        <v>2</v>
      </c>
      <c r="CS107">
        <f t="shared" si="582"/>
        <v>0</v>
      </c>
      <c r="CT107">
        <f t="shared" si="582"/>
        <v>3</v>
      </c>
      <c r="CU107">
        <f t="shared" si="582"/>
        <v>7</v>
      </c>
      <c r="CV107">
        <f t="shared" si="582"/>
        <v>8</v>
      </c>
      <c r="CW107">
        <f t="shared" si="582"/>
        <v>5</v>
      </c>
      <c r="CX107">
        <f t="shared" si="582"/>
        <v>5</v>
      </c>
      <c r="CY107">
        <f t="shared" si="582"/>
        <v>2</v>
      </c>
      <c r="CZ107">
        <f t="shared" si="582"/>
        <v>1</v>
      </c>
      <c r="DA107">
        <f t="shared" si="582"/>
        <v>0</v>
      </c>
      <c r="DB107">
        <f t="shared" si="582"/>
        <v>0</v>
      </c>
      <c r="DC107">
        <f t="shared" si="582"/>
        <v>1279</v>
      </c>
      <c r="DD107">
        <f t="shared" si="582"/>
        <v>4</v>
      </c>
      <c r="DE107">
        <f t="shared" si="582"/>
        <v>5</v>
      </c>
      <c r="DF107">
        <f t="shared" si="582"/>
        <v>5</v>
      </c>
      <c r="DG107" s="2484">
        <f t="shared" si="582"/>
        <v>-77</v>
      </c>
      <c r="DH107" s="2418">
        <f t="shared" si="582"/>
        <v>-12</v>
      </c>
      <c r="DI107" s="2418">
        <f t="shared" si="582"/>
        <v>3</v>
      </c>
      <c r="DJ107" s="2418">
        <f t="shared" si="582"/>
        <v>4</v>
      </c>
      <c r="DK107" s="2484">
        <f t="shared" si="582"/>
        <v>3</v>
      </c>
      <c r="DL107" s="2418">
        <f t="shared" si="582"/>
        <v>0</v>
      </c>
      <c r="DM107" s="2418">
        <f t="shared" si="582"/>
        <v>1</v>
      </c>
      <c r="DN107" s="2482">
        <f t="shared" si="582"/>
        <v>0</v>
      </c>
      <c r="DO107" s="2484">
        <f t="shared" si="582"/>
        <v>2</v>
      </c>
      <c r="DP107" s="2418">
        <f t="shared" si="582"/>
        <v>0</v>
      </c>
      <c r="DQ107" s="2418">
        <f t="shared" si="582"/>
        <v>0</v>
      </c>
      <c r="DR107" s="2482">
        <f t="shared" si="582"/>
        <v>0</v>
      </c>
      <c r="DS107" s="2484">
        <f t="shared" si="582"/>
        <v>53</v>
      </c>
      <c r="DT107" s="2565">
        <v>1</v>
      </c>
      <c r="DU107" s="2565">
        <v>1</v>
      </c>
      <c r="DV107" s="2566">
        <v>1</v>
      </c>
    </row>
    <row r="108" spans="1:133" s="821" customFormat="1" ht="15" hidden="1" customHeight="1" outlineLevel="1">
      <c r="A108" s="1924" t="s">
        <v>991</v>
      </c>
      <c r="B108" s="1921"/>
      <c r="C108" s="1921"/>
      <c r="D108" s="1921"/>
      <c r="E108" s="1921"/>
      <c r="F108" s="1921"/>
      <c r="G108" s="1921"/>
      <c r="H108" s="1958"/>
      <c r="I108" s="1958"/>
      <c r="J108" s="1958"/>
      <c r="K108" s="1958"/>
      <c r="L108" s="1958"/>
      <c r="M108" s="1958"/>
      <c r="N108" s="1921"/>
      <c r="O108" s="1921"/>
      <c r="P108" s="1921"/>
      <c r="Q108" s="1921"/>
      <c r="R108" s="1921"/>
      <c r="S108" s="1921"/>
      <c r="T108" s="1921"/>
      <c r="U108" s="1921"/>
      <c r="V108" s="1921"/>
      <c r="W108" s="1921"/>
      <c r="X108" s="1921"/>
      <c r="Y108" s="1921"/>
      <c r="Z108" s="1921"/>
      <c r="AA108" s="1921"/>
      <c r="AB108" s="1921"/>
      <c r="AC108" s="1921"/>
      <c r="AD108" s="1921"/>
      <c r="AE108" s="1921"/>
      <c r="AF108" s="1921"/>
      <c r="AG108" s="1921"/>
      <c r="AH108" s="1921"/>
      <c r="AI108" s="2386"/>
      <c r="AJ108" s="2571"/>
      <c r="AK108" s="1921"/>
      <c r="AL108" s="1921"/>
      <c r="AM108" s="1921"/>
      <c r="AN108" s="1921"/>
      <c r="AO108" s="1921"/>
      <c r="AP108" s="1921"/>
      <c r="AQ108" s="1921"/>
      <c r="AR108" s="1921"/>
      <c r="AS108" s="1921"/>
      <c r="AT108" s="1921"/>
      <c r="AU108" s="1921"/>
      <c r="AV108" s="1921"/>
      <c r="AW108" s="1921"/>
      <c r="AX108" s="1921"/>
      <c r="AY108" s="1921"/>
      <c r="AZ108" s="1921"/>
      <c r="BA108" s="1921"/>
      <c r="BB108" s="1921"/>
      <c r="BC108" s="1921"/>
      <c r="BD108" s="1921"/>
      <c r="BE108" s="1921"/>
      <c r="BF108" s="1921"/>
      <c r="BG108" s="2397"/>
      <c r="BH108" s="2398"/>
      <c r="BI108" s="2398"/>
      <c r="BJ108" s="2398"/>
      <c r="BK108" s="2398"/>
      <c r="BL108" s="2398"/>
      <c r="BM108" s="2398"/>
      <c r="BN108" s="2398"/>
      <c r="BO108" s="2398"/>
      <c r="BP108" s="2398"/>
      <c r="BQ108" s="2398"/>
      <c r="BR108" s="2398"/>
      <c r="BS108" s="2398"/>
      <c r="BT108" s="2398"/>
      <c r="BU108" s="2398"/>
      <c r="BV108" s="2399"/>
      <c r="BW108" s="2400"/>
      <c r="BX108" s="2401"/>
      <c r="BY108" s="2401"/>
      <c r="BZ108" s="2401"/>
      <c r="CA108" s="2400"/>
      <c r="CB108" s="2401"/>
      <c r="CC108" s="2401"/>
      <c r="CD108" s="2401"/>
      <c r="CE108" s="2400"/>
      <c r="CF108" s="2401"/>
      <c r="CG108" s="2401"/>
      <c r="CH108" s="2401"/>
      <c r="CI108" s="2400"/>
      <c r="CJ108" s="2401"/>
      <c r="CK108" s="2401"/>
      <c r="CL108" s="2401"/>
      <c r="CM108" s="2400"/>
      <c r="CN108" s="2401"/>
      <c r="CO108" s="2401"/>
      <c r="CP108" s="2401"/>
      <c r="CQ108" s="2400"/>
      <c r="CR108" s="2401"/>
      <c r="CS108" s="2401"/>
      <c r="CT108" s="2401"/>
      <c r="CU108" s="2400"/>
      <c r="CV108" s="2401"/>
      <c r="CW108" s="2401"/>
      <c r="CX108" s="2401"/>
      <c r="CY108" s="2400"/>
      <c r="CZ108" s="2401"/>
      <c r="DA108" s="2401"/>
      <c r="DB108" s="2401"/>
      <c r="DC108" s="2400"/>
      <c r="DD108" s="2401"/>
      <c r="DE108" s="2401"/>
      <c r="DF108" s="2402"/>
      <c r="DG108" s="2400"/>
      <c r="DH108" s="2401"/>
      <c r="DI108" s="2401"/>
      <c r="DJ108" s="2402"/>
      <c r="DK108" s="2400"/>
      <c r="DL108" s="2401"/>
      <c r="DM108" s="2401"/>
      <c r="DN108" s="2402"/>
      <c r="DO108" s="2400"/>
      <c r="DP108" s="2401"/>
      <c r="DQ108" s="2401"/>
      <c r="DR108" s="2402"/>
      <c r="DS108" s="2400"/>
      <c r="DT108" s="2401"/>
      <c r="DU108" s="2401"/>
      <c r="DV108" s="2402"/>
      <c r="DW108" s="1921"/>
      <c r="DX108"/>
      <c r="DY108"/>
      <c r="DZ108"/>
      <c r="EA108"/>
      <c r="EB108"/>
      <c r="EC108"/>
    </row>
    <row r="109" spans="1:133" ht="15" hidden="1" customHeight="1" outlineLevel="1">
      <c r="A109" s="2419" t="s">
        <v>992</v>
      </c>
      <c r="B109" s="1918"/>
      <c r="C109" s="1918"/>
      <c r="D109" s="1918"/>
      <c r="E109" s="1918"/>
      <c r="F109" s="1918"/>
      <c r="G109" s="1918"/>
      <c r="H109" s="1958">
        <v>2702</v>
      </c>
      <c r="I109" s="1958">
        <v>2716</v>
      </c>
      <c r="J109" s="1958">
        <v>2743</v>
      </c>
      <c r="K109" s="1958">
        <v>2756</v>
      </c>
      <c r="L109" s="1958">
        <v>2770</v>
      </c>
      <c r="M109" s="1958">
        <v>2764</v>
      </c>
      <c r="N109" s="1918">
        <f>BZ109</f>
        <v>2912</v>
      </c>
      <c r="O109" s="1918">
        <f>CD109</f>
        <v>2877</v>
      </c>
      <c r="P109" s="1918">
        <f>CH109</f>
        <v>2841</v>
      </c>
      <c r="Q109" s="1918">
        <f>CL109</f>
        <v>2836</v>
      </c>
      <c r="R109" s="1918">
        <f>+CP109</f>
        <v>2827</v>
      </c>
      <c r="S109" s="1918">
        <f>+CT109</f>
        <v>2834</v>
      </c>
      <c r="T109" s="1918">
        <f t="shared" ref="T109:AB109" si="583">S109+T107</f>
        <v>2840.4748201438847</v>
      </c>
      <c r="U109" s="1918">
        <f t="shared" si="583"/>
        <v>2839.0770811921889</v>
      </c>
      <c r="V109" s="1918">
        <f t="shared" si="583"/>
        <v>4132.0770811921884</v>
      </c>
      <c r="W109" s="1918">
        <f>+DJ109</f>
        <v>4073</v>
      </c>
      <c r="X109" s="1918">
        <f>+DN109</f>
        <v>4077</v>
      </c>
      <c r="Y109" s="1918">
        <f>+DR109</f>
        <v>4079</v>
      </c>
      <c r="Z109" s="1918">
        <f>+DS109</f>
        <v>4132</v>
      </c>
      <c r="AA109" s="1918">
        <f t="shared" si="583"/>
        <v>4135</v>
      </c>
      <c r="AB109" s="1918">
        <f t="shared" si="583"/>
        <v>4138</v>
      </c>
      <c r="AC109" s="1918">
        <f t="shared" ref="AC109" si="584">AB109+AC107</f>
        <v>4141</v>
      </c>
      <c r="AD109" s="1918">
        <f t="shared" ref="AD109" si="585">AC109+AD107</f>
        <v>4144</v>
      </c>
      <c r="AE109" s="1918">
        <f t="shared" ref="AE109" si="586">AD109+AE107</f>
        <v>4147</v>
      </c>
      <c r="AF109" s="1918">
        <f t="shared" ref="AF109" si="587">AE109+AF107</f>
        <v>4150</v>
      </c>
      <c r="AG109" s="1918">
        <f t="shared" ref="AG109" si="588">AF109+AG107</f>
        <v>4153</v>
      </c>
      <c r="AI109" s="2386"/>
      <c r="AJ109" s="2569"/>
      <c r="AK109" s="1918"/>
      <c r="AL109" s="1918"/>
      <c r="AM109" s="1918"/>
      <c r="AN109" s="1918"/>
      <c r="AO109" s="1918"/>
      <c r="AP109" s="1918"/>
      <c r="AQ109" s="1918"/>
      <c r="AR109" s="1918"/>
      <c r="AS109" s="1918"/>
      <c r="AT109" s="1918"/>
      <c r="AU109" s="1918"/>
      <c r="AV109" s="1918"/>
      <c r="AW109" s="1918"/>
      <c r="AX109" s="1918"/>
      <c r="AY109" s="1918"/>
      <c r="AZ109" s="1918"/>
      <c r="BA109" s="1918"/>
      <c r="BB109" s="1918"/>
      <c r="BC109" s="1918"/>
      <c r="BD109" s="1918"/>
      <c r="BE109" s="1918"/>
      <c r="BF109" s="1918"/>
      <c r="BG109" s="2409">
        <v>2723</v>
      </c>
      <c r="BH109" s="2410">
        <v>2728</v>
      </c>
      <c r="BI109" s="2410">
        <v>2736</v>
      </c>
      <c r="BJ109" s="2410">
        <v>2743</v>
      </c>
      <c r="BK109" s="2410">
        <v>2748</v>
      </c>
      <c r="BL109" s="2410">
        <v>2751</v>
      </c>
      <c r="BM109" s="2410">
        <v>2753</v>
      </c>
      <c r="BN109" s="2410">
        <v>2756</v>
      </c>
      <c r="BO109" s="2410">
        <v>2770</v>
      </c>
      <c r="BP109" s="2410">
        <v>2770</v>
      </c>
      <c r="BQ109" s="2410">
        <v>2769</v>
      </c>
      <c r="BR109" s="2410">
        <v>2770</v>
      </c>
      <c r="BS109" s="2410">
        <v>2769</v>
      </c>
      <c r="BT109" s="2410">
        <v>2768</v>
      </c>
      <c r="BU109" s="2410">
        <v>2765</v>
      </c>
      <c r="BV109" s="2411">
        <v>2764</v>
      </c>
      <c r="BW109">
        <f>NormInputs!BP123</f>
        <v>2917</v>
      </c>
      <c r="BX109">
        <f>NormInputs!BQ123</f>
        <v>2899</v>
      </c>
      <c r="BY109">
        <f>NormInputs!BR123</f>
        <v>2920</v>
      </c>
      <c r="BZ109">
        <f>NormInputs!BS123</f>
        <v>2912</v>
      </c>
      <c r="CA109">
        <f>NormInputs!BT123</f>
        <v>2903</v>
      </c>
      <c r="CB109">
        <f>NormInputs!BU123</f>
        <v>2903</v>
      </c>
      <c r="CC109">
        <f>NormInputs!BV123</f>
        <v>2890</v>
      </c>
      <c r="CD109">
        <f>NormInputs!BW123</f>
        <v>2877</v>
      </c>
      <c r="CE109">
        <f>NormInputs!BX123</f>
        <v>2851</v>
      </c>
      <c r="CF109">
        <f>NormInputs!BY123</f>
        <v>2848</v>
      </c>
      <c r="CG109">
        <f>NormInputs!BZ123</f>
        <v>2840</v>
      </c>
      <c r="CH109">
        <f>NormInputs!CA123</f>
        <v>2841</v>
      </c>
      <c r="CI109">
        <f>NormInputs!CB123</f>
        <v>2841</v>
      </c>
      <c r="CJ109">
        <f>NormInputs!CC123</f>
        <v>2841</v>
      </c>
      <c r="CK109">
        <f>NormInputs!CD123</f>
        <v>2841</v>
      </c>
      <c r="CL109">
        <f>NormInputs!CE123</f>
        <v>2836</v>
      </c>
      <c r="CM109">
        <f>NormInputs!CF123</f>
        <v>2827</v>
      </c>
      <c r="CN109">
        <f>NormInputs!CG123</f>
        <v>2827</v>
      </c>
      <c r="CO109">
        <f>NormInputs!CH123</f>
        <v>2827</v>
      </c>
      <c r="CP109">
        <f>NormInputs!CI123</f>
        <v>2827</v>
      </c>
      <c r="CQ109">
        <f>NormInputs!CJ123</f>
        <v>2829</v>
      </c>
      <c r="CR109">
        <f>NormInputs!CK123</f>
        <v>2831</v>
      </c>
      <c r="CS109">
        <f>NormInputs!CL123</f>
        <v>2831</v>
      </c>
      <c r="CT109">
        <f>NormInputs!CM123</f>
        <v>2834</v>
      </c>
      <c r="CU109">
        <f>NormInputs!CN123</f>
        <v>2841</v>
      </c>
      <c r="CV109">
        <f>NormInputs!CO123</f>
        <v>2849</v>
      </c>
      <c r="CW109">
        <f>NormInputs!CP123</f>
        <v>2854</v>
      </c>
      <c r="CX109">
        <f>NormInputs!CQ123</f>
        <v>2859</v>
      </c>
      <c r="CY109">
        <f>NormInputs!CR123</f>
        <v>2861</v>
      </c>
      <c r="CZ109">
        <f>NormInputs!CS123</f>
        <v>2862</v>
      </c>
      <c r="DA109">
        <f>NormInputs!CT123</f>
        <v>2862</v>
      </c>
      <c r="DB109">
        <f>NormInputs!CU123</f>
        <v>2862</v>
      </c>
      <c r="DC109">
        <f>NormInputs!CV123</f>
        <v>4141</v>
      </c>
      <c r="DD109">
        <f>NormInputs!CW123</f>
        <v>4145</v>
      </c>
      <c r="DE109">
        <f>NormInputs!CX123</f>
        <v>4150</v>
      </c>
      <c r="DF109">
        <f>NormInputs!CY123</f>
        <v>4155</v>
      </c>
      <c r="DG109" s="2560">
        <f>NormInputs!CZ123</f>
        <v>4078</v>
      </c>
      <c r="DH109" s="2561">
        <f>NormInputs!DA123</f>
        <v>4066</v>
      </c>
      <c r="DI109" s="2561">
        <f>NormInputs!DB123</f>
        <v>4069</v>
      </c>
      <c r="DJ109" s="2562">
        <f>NormInputs!DC123</f>
        <v>4073</v>
      </c>
      <c r="DK109" s="2560">
        <f>NormInputs!DD123</f>
        <v>4076</v>
      </c>
      <c r="DL109" s="2561">
        <f>NormInputs!DE123</f>
        <v>4076</v>
      </c>
      <c r="DM109" s="2561">
        <f>NormInputs!DF123</f>
        <v>4077</v>
      </c>
      <c r="DN109" s="2562">
        <f>NormInputs!DG123</f>
        <v>4077</v>
      </c>
      <c r="DO109" s="2560">
        <f>NormInputs!DH123</f>
        <v>4079</v>
      </c>
      <c r="DP109" s="2561">
        <f>NormInputs!DI123</f>
        <v>4079</v>
      </c>
      <c r="DQ109" s="2561">
        <f>NormInputs!DJ123</f>
        <v>4079</v>
      </c>
      <c r="DR109" s="2562">
        <f>NormInputs!DK123</f>
        <v>4079</v>
      </c>
      <c r="DS109" s="2560">
        <f>NormInputs!DL123</f>
        <v>4132</v>
      </c>
      <c r="DT109" s="2418">
        <f t="shared" ref="DT109" si="589">DS109+DT107</f>
        <v>4133</v>
      </c>
      <c r="DU109" s="2418">
        <f t="shared" ref="DU109" si="590">DT109+DU107</f>
        <v>4134</v>
      </c>
      <c r="DV109" s="2482">
        <f t="shared" ref="DV109" si="591">DU109+DV107</f>
        <v>4135</v>
      </c>
    </row>
    <row r="110" spans="1:133" s="821" customFormat="1" ht="15" hidden="1" customHeight="1" outlineLevel="1">
      <c r="A110" s="1924" t="s">
        <v>991</v>
      </c>
      <c r="B110" s="1921"/>
      <c r="C110" s="1921"/>
      <c r="D110" s="1921"/>
      <c r="E110" s="1921"/>
      <c r="F110" s="1921"/>
      <c r="G110" s="1921"/>
      <c r="H110" s="1958"/>
      <c r="I110" s="1958">
        <v>5.1813471502590858E-3</v>
      </c>
      <c r="J110" s="1958">
        <v>9.9410898379970192E-3</v>
      </c>
      <c r="K110" s="1958">
        <v>4.7393364928909332E-3</v>
      </c>
      <c r="L110" s="1958">
        <v>5.079825834542806E-3</v>
      </c>
      <c r="M110" s="1958">
        <v>-2.1660649819494893E-3</v>
      </c>
      <c r="N110" s="1921">
        <f t="shared" ref="N110:AB110" si="592">N109/M109-1</f>
        <v>5.3545586107091259E-2</v>
      </c>
      <c r="O110" s="1921">
        <f t="shared" si="592"/>
        <v>-1.2019230769230727E-2</v>
      </c>
      <c r="P110" s="1921">
        <f t="shared" si="592"/>
        <v>-1.2513034410844615E-2</v>
      </c>
      <c r="Q110" s="1921">
        <f t="shared" si="592"/>
        <v>-1.7599436818022118E-3</v>
      </c>
      <c r="R110" s="1921">
        <f t="shared" si="592"/>
        <v>-3.1734837799718418E-3</v>
      </c>
      <c r="S110" s="1921">
        <f t="shared" si="592"/>
        <v>2.4761230986911631E-3</v>
      </c>
      <c r="T110" s="1921">
        <f t="shared" si="592"/>
        <v>2.2846930641795549E-3</v>
      </c>
      <c r="U110" s="1921">
        <f t="shared" si="592"/>
        <v>-4.920793318721195E-4</v>
      </c>
      <c r="V110" s="1921">
        <f t="shared" si="592"/>
        <v>0.45542969177048254</v>
      </c>
      <c r="W110" s="1921">
        <f>W109/V109-1</f>
        <v>-1.429718759630294E-2</v>
      </c>
      <c r="X110" s="1921">
        <f>X109/W109-1</f>
        <v>9.8207709305175861E-4</v>
      </c>
      <c r="Y110" s="1921">
        <f>Y109/X109-1</f>
        <v>4.905567819475376E-4</v>
      </c>
      <c r="Z110" s="1921">
        <f>Z109/Y109-1</f>
        <v>1.2993380730571324E-2</v>
      </c>
      <c r="AA110" s="1921">
        <f t="shared" si="592"/>
        <v>7.2604065827697184E-4</v>
      </c>
      <c r="AB110" s="1921">
        <f t="shared" si="592"/>
        <v>7.2551390568320606E-4</v>
      </c>
      <c r="AC110" s="1921">
        <f t="shared" ref="AC110" si="593">AC109/AB109-1</f>
        <v>7.2498791686803621E-4</v>
      </c>
      <c r="AD110" s="1921">
        <f t="shared" ref="AD110" si="594">AD109/AC109-1</f>
        <v>7.2446269017145681E-4</v>
      </c>
      <c r="AE110" s="1921">
        <f t="shared" ref="AE110" si="595">AE109/AD109-1</f>
        <v>7.2393822393812535E-4</v>
      </c>
      <c r="AF110" s="1921">
        <f t="shared" ref="AF110" si="596">AF109/AE109-1</f>
        <v>7.2341451651802835E-4</v>
      </c>
      <c r="AG110" s="1921">
        <f t="shared" ref="AG110" si="597">AG109/AF109-1</f>
        <v>7.2289156626514917E-4</v>
      </c>
      <c r="AH110" s="1921"/>
      <c r="AI110" s="2386"/>
      <c r="AJ110" s="2571"/>
      <c r="AK110" s="1921"/>
      <c r="AL110" s="1921"/>
      <c r="AM110" s="1921"/>
      <c r="AN110" s="1921"/>
      <c r="AO110" s="1921"/>
      <c r="AP110" s="1921"/>
      <c r="AQ110" s="1921"/>
      <c r="AR110" s="1921"/>
      <c r="AS110" s="1921"/>
      <c r="AT110" s="1921"/>
      <c r="AU110" s="1921"/>
      <c r="AV110" s="1921"/>
      <c r="AW110" s="1921"/>
      <c r="AX110" s="1921"/>
      <c r="AY110" s="1921"/>
      <c r="AZ110" s="1921"/>
      <c r="BA110" s="1921"/>
      <c r="BB110" s="1921"/>
      <c r="BC110" s="1921"/>
      <c r="BD110" s="1921"/>
      <c r="BE110" s="1921"/>
      <c r="BF110" s="1921"/>
      <c r="BG110" s="2397">
        <v>0</v>
      </c>
      <c r="BH110" s="2398">
        <v>0</v>
      </c>
      <c r="BI110" s="2398">
        <v>0</v>
      </c>
      <c r="BJ110" s="2398">
        <v>0</v>
      </c>
      <c r="BK110" s="2398">
        <v>3.3308931185944468E-2</v>
      </c>
      <c r="BL110" s="2398">
        <v>3.5492133186973973E-2</v>
      </c>
      <c r="BM110" s="2398">
        <v>3.0920334667151606E-2</v>
      </c>
      <c r="BN110" s="2398">
        <v>-2.525252525252486E-3</v>
      </c>
      <c r="BO110" s="2398">
        <v>8.5015940488841757E-3</v>
      </c>
      <c r="BP110" s="2398">
        <v>1.4134275618373771E-3</v>
      </c>
      <c r="BQ110" s="2398">
        <v>-4.9400141143259857E-3</v>
      </c>
      <c r="BR110" s="2398">
        <v>2.0976491862567892E-2</v>
      </c>
      <c r="BS110" s="2398">
        <v>-9.1324200913242004E-3</v>
      </c>
      <c r="BT110" s="2398">
        <v>-5.2928722653493576E-3</v>
      </c>
      <c r="BU110" s="2398">
        <v>-1.0638297872340718E-3</v>
      </c>
      <c r="BV110" s="2399">
        <v>-2.4796315975912364E-3</v>
      </c>
      <c r="BW110" s="2400">
        <f t="shared" ref="BW110:DB110" si="598">BW104</f>
        <v>5.0336760014179305E-2</v>
      </c>
      <c r="BX110" s="2401">
        <f t="shared" si="598"/>
        <v>4.6115643845335175E-2</v>
      </c>
      <c r="BY110" s="2401">
        <f t="shared" si="598"/>
        <v>3.7628682996095231E-2</v>
      </c>
      <c r="BZ110" s="2401">
        <f t="shared" si="598"/>
        <v>3.6576704545454586E-2</v>
      </c>
      <c r="CA110" s="2400">
        <f t="shared" si="598"/>
        <v>-1.7549780627742151E-2</v>
      </c>
      <c r="CB110" s="2401">
        <f t="shared" si="598"/>
        <v>-1.4242115971515812E-2</v>
      </c>
      <c r="CC110" s="2401">
        <f t="shared" si="598"/>
        <v>-7.8686281217926757E-3</v>
      </c>
      <c r="CD110" s="2401">
        <f t="shared" si="598"/>
        <v>-9.5923261390887804E-3</v>
      </c>
      <c r="CE110" s="2400">
        <f t="shared" si="598"/>
        <v>-1.5802129852284463E-2</v>
      </c>
      <c r="CF110" s="2401">
        <f t="shared" si="598"/>
        <v>-1.9263845889232911E-2</v>
      </c>
      <c r="CG110" s="2401">
        <f t="shared" si="598"/>
        <v>-1.8965517241379293E-2</v>
      </c>
      <c r="CH110" s="2401">
        <f t="shared" si="598"/>
        <v>-1.7295053614666211E-2</v>
      </c>
      <c r="CI110" s="2400">
        <f t="shared" si="598"/>
        <v>-8.3769633507853047E-3</v>
      </c>
      <c r="CJ110" s="2401">
        <f t="shared" si="598"/>
        <v>-3.5075412136092998E-3</v>
      </c>
      <c r="CK110" s="2401">
        <f t="shared" si="598"/>
        <v>-1.4059753954305254E-3</v>
      </c>
      <c r="CL110" s="2401">
        <f t="shared" si="598"/>
        <v>0</v>
      </c>
      <c r="CM110" s="2400">
        <f t="shared" si="598"/>
        <v>-1.7599436818022118E-3</v>
      </c>
      <c r="CN110" s="2401">
        <f t="shared" si="598"/>
        <v>-4.9278423090460821E-3</v>
      </c>
      <c r="CO110" s="2401">
        <f t="shared" si="598"/>
        <v>-4.2238648363251974E-3</v>
      </c>
      <c r="CP110" s="2401">
        <f t="shared" si="598"/>
        <v>-4.2238648363251974E-3</v>
      </c>
      <c r="CQ110" s="2400">
        <f t="shared" si="598"/>
        <v>-2.1156558533145242E-3</v>
      </c>
      <c r="CR110" s="2401">
        <f t="shared" si="598"/>
        <v>1.7686593562080688E-3</v>
      </c>
      <c r="CS110" s="2401">
        <f t="shared" si="598"/>
        <v>1.7674089784376346E-3</v>
      </c>
      <c r="CT110" s="2401">
        <f t="shared" si="598"/>
        <v>2.1208907741250282E-3</v>
      </c>
      <c r="CU110" s="2400">
        <f t="shared" si="598"/>
        <v>6.7137809187278741E-3</v>
      </c>
      <c r="CV110" s="2401">
        <f t="shared" si="598"/>
        <v>9.1807909604519899E-3</v>
      </c>
      <c r="CW110" s="2401">
        <f t="shared" si="598"/>
        <v>1.1291460832745237E-2</v>
      </c>
      <c r="CX110" s="2401">
        <f t="shared" si="598"/>
        <v>9.52380952380949E-3</v>
      </c>
      <c r="CY110" s="2400">
        <f t="shared" si="598"/>
        <v>8.0730080730080367E-3</v>
      </c>
      <c r="CZ110" s="2401">
        <f t="shared" si="598"/>
        <v>4.8985304408677433E-3</v>
      </c>
      <c r="DA110" s="2401">
        <f t="shared" si="598"/>
        <v>2.7913468248430551E-3</v>
      </c>
      <c r="DB110" s="2401">
        <f t="shared" si="598"/>
        <v>4.5422781271837742E-3</v>
      </c>
      <c r="DC110" s="2400">
        <f>DC104</f>
        <v>0.44498607242339827</v>
      </c>
      <c r="DD110" s="2401">
        <f>DD104</f>
        <v>0.44603064066852371</v>
      </c>
      <c r="DE110" s="2401">
        <f>DE104</f>
        <v>0.44711203897007645</v>
      </c>
      <c r="DF110" s="2402">
        <f>DF104</f>
        <v>0.44591304347826077</v>
      </c>
      <c r="DG110" s="2400">
        <f t="shared" ref="DG110:DJ110" si="599">DG104</f>
        <v>-6.9879518072288871E-3</v>
      </c>
      <c r="DH110" s="2401">
        <f t="shared" si="599"/>
        <v>-1.6373705754875956E-2</v>
      </c>
      <c r="DI110" s="2401">
        <f t="shared" si="599"/>
        <v>-2.0918490021639813E-2</v>
      </c>
      <c r="DJ110" s="2402">
        <f t="shared" si="599"/>
        <v>-1.9485205677171047E-2</v>
      </c>
      <c r="DK110" s="2400">
        <f t="shared" ref="DK110:DL110" si="600">DK104</f>
        <v>-8.7357437515166447E-3</v>
      </c>
      <c r="DL110" s="2401">
        <f t="shared" si="600"/>
        <v>0</v>
      </c>
      <c r="DM110" s="2401">
        <f t="shared" ref="DM110:DN110" si="601">DM104</f>
        <v>3.4381139489194634E-3</v>
      </c>
      <c r="DN110" s="2402">
        <f t="shared" si="601"/>
        <v>2.6987242394505007E-3</v>
      </c>
      <c r="DO110" s="2400">
        <f t="shared" ref="DO110:DP110" si="602">DO104</f>
        <v>4.895960832314028E-4</v>
      </c>
      <c r="DP110" s="2401">
        <f t="shared" si="602"/>
        <v>-7.3439412484699318E-4</v>
      </c>
      <c r="DQ110" s="2401">
        <f t="shared" ref="DQ110:DR110" si="603">DQ104</f>
        <v>7.3421439060195048E-4</v>
      </c>
      <c r="DR110" s="2402">
        <f t="shared" si="603"/>
        <v>7.3403474431121829E-4</v>
      </c>
      <c r="DS110" s="2400">
        <f t="shared" ref="DS110" si="604">DS104</f>
        <v>4.8935649620749366E-3</v>
      </c>
      <c r="DT110" s="2401">
        <f t="shared" ref="DT110:DV110" si="605">DT104</f>
        <v>1.280009799118087E-2</v>
      </c>
      <c r="DU110" s="2401">
        <f t="shared" si="605"/>
        <v>1.131083394472987E-2</v>
      </c>
      <c r="DV110" s="2402">
        <f t="shared" si="605"/>
        <v>1.1308068459657594E-2</v>
      </c>
      <c r="DW110" s="1921"/>
      <c r="DX110"/>
      <c r="DY110"/>
      <c r="DZ110"/>
      <c r="EA110"/>
      <c r="EB110"/>
      <c r="EC110"/>
    </row>
    <row r="111" spans="1:133" ht="15" hidden="1" customHeight="1" outlineLevel="1">
      <c r="A111" s="2419" t="s">
        <v>994</v>
      </c>
      <c r="B111" s="1918"/>
      <c r="C111" s="1918"/>
      <c r="D111" s="1918"/>
      <c r="E111" s="1918"/>
      <c r="F111" s="1918"/>
      <c r="G111" s="1918"/>
      <c r="H111" s="1958">
        <v>2717.5</v>
      </c>
      <c r="I111" s="1958">
        <v>2709</v>
      </c>
      <c r="J111" s="1958">
        <v>2729.5</v>
      </c>
      <c r="K111" s="1958">
        <v>2749.5</v>
      </c>
      <c r="L111" s="1958">
        <v>2763</v>
      </c>
      <c r="M111" s="1958">
        <v>2767</v>
      </c>
      <c r="N111" s="1918">
        <f>AVERAGE(BW109:BZ109)</f>
        <v>2912</v>
      </c>
      <c r="O111" s="1918">
        <f>AVERAGE(CA109:CD109)</f>
        <v>2893.25</v>
      </c>
      <c r="P111" s="1918">
        <f>AVERAGE(CE109:CH109)</f>
        <v>2845</v>
      </c>
      <c r="Q111" s="1918">
        <f>AVERAGE(CI109:CL109)</f>
        <v>2839.75</v>
      </c>
      <c r="R111" s="1918">
        <v>2830</v>
      </c>
      <c r="S111" s="1918">
        <v>2839</v>
      </c>
      <c r="T111" s="1918">
        <v>2853</v>
      </c>
      <c r="U111" s="1918">
        <v>2866</v>
      </c>
      <c r="V111" s="1918">
        <f>AVERAGE(DC111:DF111)</f>
        <v>4154.75</v>
      </c>
      <c r="W111" s="1918">
        <f>AVERAGE(DG111:DJ111)</f>
        <v>4087.5</v>
      </c>
      <c r="X111" s="1918">
        <f>AVERAGE(DK111:DN111)</f>
        <v>4080</v>
      </c>
      <c r="Y111" s="1918">
        <f>AVERAGE(DO111:DR111)</f>
        <v>4080</v>
      </c>
      <c r="Z111" s="1918">
        <f>AVERAGE(DP111:DS111)</f>
        <v>4080</v>
      </c>
      <c r="AA111" s="1918">
        <f>AVERAGE(Z109:AA109)*(Z111/Z109)</f>
        <v>4081.4811229428847</v>
      </c>
      <c r="AB111" s="1918">
        <f>AVERAGE(AA109:AB109)*(AA111/AA109)</f>
        <v>4082.961708598124</v>
      </c>
      <c r="AC111" s="1918">
        <f t="shared" ref="AC111:AG111" si="606">AVERAGE(AB109:AC109)*(AB111/AB109)</f>
        <v>4084.4417575500079</v>
      </c>
      <c r="AD111" s="1918">
        <f t="shared" si="606"/>
        <v>4085.9212703817698</v>
      </c>
      <c r="AE111" s="1918">
        <f t="shared" si="606"/>
        <v>4087.4002476755859</v>
      </c>
      <c r="AF111" s="1918">
        <f t="shared" si="606"/>
        <v>4088.8786900125797</v>
      </c>
      <c r="AG111" s="1918">
        <f t="shared" si="606"/>
        <v>4090.3565979728251</v>
      </c>
      <c r="AI111" s="2386"/>
      <c r="AJ111" s="2569"/>
      <c r="AK111" s="1918"/>
      <c r="AL111" s="1918"/>
      <c r="AM111" s="1918"/>
      <c r="AN111" s="1918"/>
      <c r="AO111" s="1918"/>
      <c r="AP111" s="1918"/>
      <c r="AQ111" s="1918"/>
      <c r="AR111" s="1918"/>
      <c r="AS111" s="1918"/>
      <c r="AT111" s="1918"/>
      <c r="AU111" s="1918"/>
      <c r="AV111" s="1918"/>
      <c r="AW111" s="1918"/>
      <c r="AX111" s="1918"/>
      <c r="AY111" s="1918"/>
      <c r="AZ111" s="1918"/>
      <c r="BA111" s="1918"/>
      <c r="BB111" s="1918"/>
      <c r="BC111" s="1918"/>
      <c r="BD111" s="1918"/>
      <c r="BE111" s="1918"/>
      <c r="BF111" s="1918"/>
      <c r="BG111" s="2409">
        <v>2723</v>
      </c>
      <c r="BH111" s="2410">
        <v>2725.5</v>
      </c>
      <c r="BI111" s="2410">
        <v>2732</v>
      </c>
      <c r="BJ111" s="2410">
        <v>2739.5</v>
      </c>
      <c r="BK111" s="2410">
        <v>2745.5</v>
      </c>
      <c r="BL111" s="2410">
        <v>2749.5</v>
      </c>
      <c r="BM111" s="2410">
        <v>2752</v>
      </c>
      <c r="BN111" s="2410">
        <v>2754.5</v>
      </c>
      <c r="BO111" s="2410">
        <v>2763</v>
      </c>
      <c r="BP111" s="2410">
        <v>2770</v>
      </c>
      <c r="BQ111" s="2410">
        <v>2769.5</v>
      </c>
      <c r="BR111" s="2410">
        <v>2769.5</v>
      </c>
      <c r="BS111" s="2410">
        <v>2769.5</v>
      </c>
      <c r="BT111" s="2410">
        <v>2768.5</v>
      </c>
      <c r="BU111" s="2410">
        <v>2766.5</v>
      </c>
      <c r="BV111" s="2411">
        <v>2764.5</v>
      </c>
      <c r="BW111">
        <v>2915</v>
      </c>
      <c r="BX111">
        <v>2910</v>
      </c>
      <c r="BY111">
        <v>2907</v>
      </c>
      <c r="BZ111">
        <v>2916</v>
      </c>
      <c r="CA111">
        <v>2909</v>
      </c>
      <c r="CB111">
        <v>2903</v>
      </c>
      <c r="CC111">
        <v>2896</v>
      </c>
      <c r="CD111">
        <v>2886</v>
      </c>
      <c r="CE111">
        <v>2863</v>
      </c>
      <c r="CF111">
        <v>2850</v>
      </c>
      <c r="CG111">
        <v>2844</v>
      </c>
      <c r="CH111">
        <v>2841</v>
      </c>
      <c r="CI111">
        <v>2841</v>
      </c>
      <c r="CJ111">
        <v>2841</v>
      </c>
      <c r="CK111">
        <v>2841</v>
      </c>
      <c r="CL111">
        <v>2841</v>
      </c>
      <c r="CM111">
        <v>2836</v>
      </c>
      <c r="CN111">
        <f t="shared" ref="CN111:CT111" si="607">AVERAGE(CN109,CM109)</f>
        <v>2827</v>
      </c>
      <c r="CO111">
        <f t="shared" si="607"/>
        <v>2827</v>
      </c>
      <c r="CP111">
        <f t="shared" si="607"/>
        <v>2827</v>
      </c>
      <c r="CQ111">
        <f t="shared" si="607"/>
        <v>2828</v>
      </c>
      <c r="CR111">
        <f t="shared" si="607"/>
        <v>2830</v>
      </c>
      <c r="CS111">
        <f t="shared" si="607"/>
        <v>2831</v>
      </c>
      <c r="CT111">
        <f t="shared" si="607"/>
        <v>2832.5</v>
      </c>
      <c r="CU111">
        <v>2842</v>
      </c>
      <c r="CV111">
        <v>2849</v>
      </c>
      <c r="CW111">
        <v>2857</v>
      </c>
      <c r="CX111">
        <f>+CX103-CX112</f>
        <v>2853</v>
      </c>
      <c r="CY111" s="2409">
        <v>2866</v>
      </c>
      <c r="CZ111" s="2410">
        <v>2865</v>
      </c>
      <c r="DA111" s="2410">
        <v>2865</v>
      </c>
      <c r="DB111" s="2410">
        <v>2875</v>
      </c>
      <c r="DC111" s="2409">
        <f>3430+720</f>
        <v>4150</v>
      </c>
      <c r="DD111" s="2410">
        <v>4153</v>
      </c>
      <c r="DE111" s="2410">
        <v>4159</v>
      </c>
      <c r="DF111" s="2411">
        <v>4157</v>
      </c>
      <c r="DG111" s="2567">
        <v>4121</v>
      </c>
      <c r="DH111" s="2565">
        <v>4085</v>
      </c>
      <c r="DI111" s="2565">
        <v>4072</v>
      </c>
      <c r="DJ111" s="2566">
        <v>4072</v>
      </c>
      <c r="DK111" s="2567">
        <v>4080</v>
      </c>
      <c r="DL111" s="2565">
        <v>4080</v>
      </c>
      <c r="DM111" s="2565">
        <v>4080</v>
      </c>
      <c r="DN111" s="2566">
        <v>4080</v>
      </c>
      <c r="DO111" s="2567">
        <v>4080</v>
      </c>
      <c r="DP111" s="2565">
        <v>4080</v>
      </c>
      <c r="DQ111" s="2565">
        <v>4080</v>
      </c>
      <c r="DR111" s="2566">
        <v>4080</v>
      </c>
      <c r="DS111" s="2567">
        <v>4080</v>
      </c>
      <c r="DT111" s="2418">
        <f t="shared" ref="DT111" si="608">AVERAGE(DT109,DS109)</f>
        <v>4132.5</v>
      </c>
      <c r="DU111" s="2418">
        <f t="shared" ref="DU111" si="609">AVERAGE(DU109,DT109)</f>
        <v>4133.5</v>
      </c>
      <c r="DV111" s="2482">
        <f t="shared" ref="DV111" si="610">AVERAGE(DV109,DU109)</f>
        <v>4134.5</v>
      </c>
    </row>
    <row r="112" spans="1:133" ht="15" hidden="1" customHeight="1" outlineLevel="1">
      <c r="A112" s="2419" t="s">
        <v>1163</v>
      </c>
      <c r="B112" s="1918"/>
      <c r="C112" s="1918"/>
      <c r="D112" s="1918"/>
      <c r="E112" s="1918"/>
      <c r="F112" s="1918"/>
      <c r="G112" s="1918"/>
      <c r="H112" s="1958">
        <v>19.5</v>
      </c>
      <c r="I112" s="1958">
        <v>21</v>
      </c>
      <c r="J112" s="1958">
        <v>42.5</v>
      </c>
      <c r="K112" s="1958">
        <v>39.5</v>
      </c>
      <c r="L112" s="1958">
        <v>60</v>
      </c>
      <c r="M112" s="1958">
        <v>49</v>
      </c>
      <c r="N112" s="1918">
        <f t="shared" ref="N112:S112" si="611">N103-N111</f>
        <v>26.743848017383698</v>
      </c>
      <c r="O112" s="1918">
        <f t="shared" si="611"/>
        <v>8.7215478705047644</v>
      </c>
      <c r="P112" s="1918">
        <f t="shared" si="611"/>
        <v>5.4100153555245925</v>
      </c>
      <c r="Q112" s="1918">
        <f t="shared" si="611"/>
        <v>1.25</v>
      </c>
      <c r="R112" s="1918">
        <f t="shared" si="611"/>
        <v>3</v>
      </c>
      <c r="S112" s="1918">
        <f t="shared" si="611"/>
        <v>0</v>
      </c>
      <c r="T112" s="1918">
        <f>+T103-T111</f>
        <v>9</v>
      </c>
      <c r="U112" s="1918">
        <f>2874-U111</f>
        <v>8</v>
      </c>
      <c r="V112" s="1918">
        <f>+U112</f>
        <v>8</v>
      </c>
      <c r="W112" s="1918">
        <v>6</v>
      </c>
      <c r="X112" s="1918">
        <f>+SUM(DK112:DN112)</f>
        <v>23</v>
      </c>
      <c r="Y112" s="1918">
        <f>+SUM(DO112:DR112)</f>
        <v>28</v>
      </c>
      <c r="Z112" s="1918">
        <f>+SUM(DP112:DS112)</f>
        <v>48</v>
      </c>
      <c r="AA112" s="1918">
        <f>+Z112</f>
        <v>48</v>
      </c>
      <c r="AB112" s="1918">
        <f>+AA112</f>
        <v>48</v>
      </c>
      <c r="AC112" s="1918">
        <f t="shared" ref="AC112:AG112" si="612">+AB112</f>
        <v>48</v>
      </c>
      <c r="AD112" s="1918">
        <f t="shared" si="612"/>
        <v>48</v>
      </c>
      <c r="AE112" s="1918">
        <f t="shared" si="612"/>
        <v>48</v>
      </c>
      <c r="AF112" s="1918">
        <f t="shared" si="612"/>
        <v>48</v>
      </c>
      <c r="AG112" s="1918">
        <f t="shared" si="612"/>
        <v>48</v>
      </c>
      <c r="AI112" s="2386"/>
      <c r="AJ112" s="2569"/>
      <c r="AK112" s="1918"/>
      <c r="AL112" s="1918"/>
      <c r="AM112" s="1918"/>
      <c r="AN112" s="1918"/>
      <c r="AO112" s="1918"/>
      <c r="AP112" s="1918"/>
      <c r="AQ112" s="1918"/>
      <c r="AR112" s="1918"/>
      <c r="AS112" s="1918"/>
      <c r="AT112" s="1918"/>
      <c r="AU112" s="1918"/>
      <c r="AV112" s="1918"/>
      <c r="AW112" s="1918"/>
      <c r="AX112" s="1918"/>
      <c r="AY112" s="1918"/>
      <c r="AZ112" s="1918"/>
      <c r="BA112" s="1918"/>
      <c r="BB112" s="1918"/>
      <c r="BC112" s="1918"/>
      <c r="BD112" s="1918"/>
      <c r="BE112" s="1918"/>
      <c r="BF112" s="1918"/>
      <c r="BG112" s="2409">
        <v>9</v>
      </c>
      <c r="BH112" s="2410">
        <v>7.5</v>
      </c>
      <c r="BI112" s="2410">
        <v>17</v>
      </c>
      <c r="BJ112" s="2410">
        <v>32.5</v>
      </c>
      <c r="BK112" s="2410">
        <v>77.5</v>
      </c>
      <c r="BL112" s="2410">
        <v>80.5</v>
      </c>
      <c r="BM112" s="2410">
        <v>82</v>
      </c>
      <c r="BN112" s="2410">
        <v>10.5</v>
      </c>
      <c r="BO112" s="2410">
        <v>84</v>
      </c>
      <c r="BP112" s="2410">
        <v>64</v>
      </c>
      <c r="BQ112" s="2410">
        <v>50.5</v>
      </c>
      <c r="BR112" s="2410">
        <v>53.5</v>
      </c>
      <c r="BS112" s="2410">
        <v>51.5</v>
      </c>
      <c r="BT112" s="2410">
        <v>50.5</v>
      </c>
      <c r="BU112" s="2410">
        <v>50.5</v>
      </c>
      <c r="BV112" s="2411">
        <v>51.5</v>
      </c>
      <c r="BW112">
        <f t="shared" ref="BW112:CJ112" si="613">BW103-BW111</f>
        <v>48</v>
      </c>
      <c r="BX112">
        <f t="shared" si="613"/>
        <v>39</v>
      </c>
      <c r="BY112">
        <f t="shared" si="613"/>
        <v>16</v>
      </c>
      <c r="BZ112">
        <f t="shared" si="613"/>
        <v>3</v>
      </c>
      <c r="CA112">
        <f t="shared" si="613"/>
        <v>2</v>
      </c>
      <c r="CB112">
        <f t="shared" si="613"/>
        <v>4</v>
      </c>
      <c r="CC112">
        <f t="shared" si="613"/>
        <v>4</v>
      </c>
      <c r="CD112">
        <f t="shared" si="613"/>
        <v>5</v>
      </c>
      <c r="CE112">
        <f t="shared" si="613"/>
        <v>2</v>
      </c>
      <c r="CF112">
        <f t="shared" si="613"/>
        <v>1</v>
      </c>
      <c r="CG112">
        <f t="shared" si="613"/>
        <v>1</v>
      </c>
      <c r="CH112">
        <f t="shared" si="613"/>
        <v>0</v>
      </c>
      <c r="CI112">
        <f t="shared" si="613"/>
        <v>0</v>
      </c>
      <c r="CJ112">
        <f t="shared" si="613"/>
        <v>0</v>
      </c>
      <c r="CK112">
        <v>0</v>
      </c>
      <c r="CL112">
        <f t="shared" ref="CL112:CT112" si="614">+CK112</f>
        <v>0</v>
      </c>
      <c r="CM112">
        <f t="shared" si="614"/>
        <v>0</v>
      </c>
      <c r="CN112">
        <f t="shared" si="614"/>
        <v>0</v>
      </c>
      <c r="CO112">
        <f t="shared" si="614"/>
        <v>0</v>
      </c>
      <c r="CP112">
        <f t="shared" si="614"/>
        <v>0</v>
      </c>
      <c r="CQ112">
        <f t="shared" si="614"/>
        <v>0</v>
      </c>
      <c r="CR112">
        <f t="shared" si="614"/>
        <v>0</v>
      </c>
      <c r="CS112">
        <f t="shared" si="614"/>
        <v>0</v>
      </c>
      <c r="CT112">
        <f t="shared" si="614"/>
        <v>0</v>
      </c>
      <c r="CU112">
        <f>+CU103-CU111</f>
        <v>7</v>
      </c>
      <c r="CV112">
        <f>+CV103-CV111</f>
        <v>9</v>
      </c>
      <c r="CW112">
        <f>+CW103-CW111</f>
        <v>9</v>
      </c>
      <c r="CX112">
        <f>+CW112</f>
        <v>9</v>
      </c>
      <c r="CY112">
        <f t="shared" ref="CY112:DD112" si="615">CY103-CY111</f>
        <v>6</v>
      </c>
      <c r="CZ112">
        <f t="shared" si="615"/>
        <v>7</v>
      </c>
      <c r="DA112">
        <f t="shared" si="615"/>
        <v>9</v>
      </c>
      <c r="DB112">
        <f t="shared" si="615"/>
        <v>0</v>
      </c>
      <c r="DC112">
        <f t="shared" si="615"/>
        <v>0</v>
      </c>
      <c r="DD112">
        <f t="shared" si="615"/>
        <v>0</v>
      </c>
      <c r="DE112">
        <f t="shared" ref="DE112:DJ112" si="616">DE103-DE111</f>
        <v>0</v>
      </c>
      <c r="DF112">
        <f t="shared" si="616"/>
        <v>0</v>
      </c>
      <c r="DG112" s="2484">
        <f t="shared" si="616"/>
        <v>0</v>
      </c>
      <c r="DH112" s="2418">
        <f t="shared" si="616"/>
        <v>0</v>
      </c>
      <c r="DI112" s="2418">
        <f t="shared" si="616"/>
        <v>0</v>
      </c>
      <c r="DJ112" s="2418">
        <f t="shared" si="616"/>
        <v>4</v>
      </c>
      <c r="DK112" s="2484">
        <f t="shared" ref="DK112:DL112" si="617">DK103-DK111</f>
        <v>5</v>
      </c>
      <c r="DL112" s="2418">
        <f t="shared" si="617"/>
        <v>5</v>
      </c>
      <c r="DM112" s="2418">
        <f t="shared" ref="DM112:DN112" si="618">DM103-DM111</f>
        <v>6</v>
      </c>
      <c r="DN112" s="2482">
        <f t="shared" si="618"/>
        <v>7</v>
      </c>
      <c r="DO112" s="2484">
        <f t="shared" ref="DO112:DP112" si="619">DO103-DO111</f>
        <v>7</v>
      </c>
      <c r="DP112" s="2418">
        <f t="shared" si="619"/>
        <v>2</v>
      </c>
      <c r="DQ112" s="2418">
        <f t="shared" ref="DQ112:DR112" si="620">DQ103-DQ111</f>
        <v>9</v>
      </c>
      <c r="DR112" s="2482">
        <f t="shared" si="620"/>
        <v>10</v>
      </c>
      <c r="DS112" s="2484">
        <f t="shared" ref="DS112" si="621">DS103-DS111</f>
        <v>27</v>
      </c>
      <c r="DT112" s="2410">
        <v>1.75</v>
      </c>
      <c r="DU112" s="2410">
        <v>1.75</v>
      </c>
      <c r="DV112" s="2411">
        <v>1.75</v>
      </c>
    </row>
    <row r="113" spans="1:133" ht="15" customHeight="1" collapsed="1">
      <c r="A113" s="2419"/>
      <c r="B113" s="1918"/>
      <c r="C113" s="1918"/>
      <c r="D113" s="1918"/>
      <c r="E113" s="1918"/>
      <c r="F113" s="1918"/>
      <c r="G113" s="1918"/>
      <c r="H113" s="1918"/>
      <c r="I113" s="1918"/>
      <c r="J113" s="1918"/>
      <c r="K113" s="1918"/>
      <c r="L113" s="1918"/>
      <c r="M113" s="1918"/>
      <c r="N113" s="1918"/>
      <c r="O113" s="1918"/>
      <c r="P113" s="1918"/>
      <c r="Q113" s="1918"/>
      <c r="R113" s="1918"/>
      <c r="S113" s="1918"/>
      <c r="T113" s="1918"/>
      <c r="U113" s="1918"/>
      <c r="V113" s="1918"/>
      <c r="W113" s="1918"/>
      <c r="X113" s="1918"/>
      <c r="Y113" s="1918"/>
      <c r="Z113" s="1918"/>
      <c r="AA113" s="1918"/>
      <c r="AB113" s="1918"/>
      <c r="AC113" s="1918"/>
      <c r="AD113" s="1918"/>
      <c r="AE113" s="1918"/>
      <c r="AF113" s="1918"/>
      <c r="AG113" s="1918"/>
      <c r="AI113" s="2386"/>
      <c r="AJ113" s="2569"/>
      <c r="AK113" s="1918"/>
      <c r="AL113" s="1918"/>
      <c r="AM113" s="1918"/>
      <c r="AN113" s="1918"/>
      <c r="AO113" s="1918"/>
      <c r="AP113" s="1918"/>
      <c r="AQ113" s="1918"/>
      <c r="AR113" s="1918"/>
      <c r="AS113" s="1918"/>
      <c r="AT113" s="1918"/>
      <c r="AU113" s="1918"/>
      <c r="AV113" s="1918"/>
      <c r="AW113" s="1918"/>
      <c r="AX113" s="1918"/>
      <c r="AY113" s="1918"/>
      <c r="AZ113" s="1918"/>
      <c r="BA113" s="1918"/>
      <c r="BB113" s="1918"/>
      <c r="BC113" s="1918"/>
      <c r="BD113" s="1918"/>
      <c r="BE113" s="1918"/>
      <c r="BF113" s="1918"/>
      <c r="BG113" s="2409"/>
      <c r="BH113" s="2410"/>
      <c r="BI113" s="2410"/>
      <c r="BJ113" s="2410"/>
      <c r="BK113" s="2410"/>
      <c r="BL113" s="2410"/>
      <c r="BM113" s="2410"/>
      <c r="BN113" s="2410"/>
      <c r="BO113" s="2410"/>
      <c r="BP113" s="2410"/>
      <c r="BQ113" s="2410"/>
      <c r="BR113" s="2410"/>
      <c r="BS113" s="2410"/>
      <c r="BT113" s="2410"/>
      <c r="BU113" s="2410"/>
      <c r="BV113" s="2411"/>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s="555"/>
      <c r="DK113" s="554"/>
      <c r="DL113" s="1074"/>
      <c r="DM113" s="1074"/>
      <c r="DN113" s="555"/>
      <c r="DO113" s="554"/>
      <c r="DP113" s="1074"/>
      <c r="DQ113" s="1074"/>
      <c r="DR113" s="555"/>
      <c r="DS113" s="554"/>
      <c r="DT113" s="1074"/>
      <c r="DU113" s="1074"/>
      <c r="DV113" s="555"/>
    </row>
    <row r="114" spans="1:133" ht="15" customHeight="1">
      <c r="A114" s="826" t="s">
        <v>1164</v>
      </c>
      <c r="B114" s="1148"/>
      <c r="C114" s="1148"/>
      <c r="D114" s="1148"/>
      <c r="E114" s="1148"/>
      <c r="F114" s="1148"/>
      <c r="G114" s="1148"/>
      <c r="H114" s="1148"/>
      <c r="I114" s="1148"/>
      <c r="J114" s="1148"/>
      <c r="K114" s="1148"/>
      <c r="L114" s="1148"/>
      <c r="M114" s="1148"/>
      <c r="N114" s="1148"/>
      <c r="O114" s="1148"/>
      <c r="P114" s="1148"/>
      <c r="Q114" s="1148"/>
      <c r="R114" s="1148"/>
      <c r="S114" s="1148"/>
      <c r="T114" s="1148"/>
      <c r="U114" s="1148"/>
      <c r="V114" s="1148"/>
      <c r="W114" s="1148"/>
      <c r="X114" s="1148"/>
      <c r="Y114" s="1148"/>
      <c r="Z114" s="1148"/>
      <c r="AA114" s="1148"/>
      <c r="AB114" s="1148"/>
      <c r="AC114" s="1148"/>
      <c r="AD114" s="1148"/>
      <c r="AE114" s="1148"/>
      <c r="AF114" s="1148"/>
      <c r="AG114" s="1148"/>
      <c r="AH114" s="1925"/>
      <c r="AI114" s="1160"/>
      <c r="AJ114" s="1925"/>
      <c r="AK114" s="1422"/>
      <c r="AL114" s="1422"/>
      <c r="AM114" s="1422"/>
      <c r="AN114" s="1422"/>
      <c r="AO114" s="1422"/>
      <c r="AP114" s="1422"/>
      <c r="AQ114" s="1422"/>
      <c r="AR114" s="1422"/>
      <c r="AS114" s="1422"/>
      <c r="AT114" s="1422"/>
      <c r="AU114" s="1422"/>
      <c r="AV114" s="1422"/>
      <c r="AW114" s="1422"/>
      <c r="AX114" s="1422"/>
      <c r="AY114" s="1422"/>
      <c r="AZ114" s="1422"/>
      <c r="BA114" s="1422"/>
      <c r="BB114" s="1422"/>
      <c r="BC114" s="1422"/>
      <c r="BD114" s="1422"/>
      <c r="BE114" s="1422"/>
      <c r="BF114" s="1422"/>
      <c r="BG114" s="1190"/>
      <c r="BH114" s="1191"/>
      <c r="BI114" s="1191"/>
      <c r="BJ114" s="1191"/>
      <c r="BK114" s="1191"/>
      <c r="BL114" s="1191"/>
      <c r="BM114" s="1191"/>
      <c r="BN114" s="1191"/>
      <c r="BO114" s="1191"/>
      <c r="BP114" s="1191"/>
      <c r="BQ114" s="1191"/>
      <c r="BR114" s="1191"/>
      <c r="BS114" s="1191"/>
      <c r="BT114" s="1191"/>
      <c r="BU114" s="1191"/>
      <c r="BV114" s="1192"/>
      <c r="BW114" s="1176"/>
      <c r="BX114" s="1177"/>
      <c r="BY114" s="1177"/>
      <c r="BZ114" s="1177"/>
      <c r="CA114" s="1176"/>
      <c r="CB114" s="1177"/>
      <c r="CC114" s="1177"/>
      <c r="CD114" s="1177"/>
      <c r="CE114" s="1176"/>
      <c r="CF114" s="1177"/>
      <c r="CG114" s="1177"/>
      <c r="CH114" s="1177"/>
      <c r="CI114" s="1176"/>
      <c r="CJ114" s="1177"/>
      <c r="CK114" s="1177"/>
      <c r="CL114" s="1177"/>
      <c r="CM114" s="1176"/>
      <c r="CN114" s="1177"/>
      <c r="CO114" s="1177"/>
      <c r="CP114" s="1177"/>
      <c r="CQ114" s="1176"/>
      <c r="CR114" s="1177"/>
      <c r="CS114" s="1177"/>
      <c r="CT114" s="1177"/>
      <c r="CU114" s="1176"/>
      <c r="CV114" s="1177"/>
      <c r="CW114" s="1177"/>
      <c r="CX114" s="1177"/>
      <c r="CY114" s="1176"/>
      <c r="CZ114" s="1177"/>
      <c r="DA114" s="1177"/>
      <c r="DB114" s="1177"/>
      <c r="DC114" s="1176"/>
      <c r="DD114" s="1177"/>
      <c r="DE114" s="1177"/>
      <c r="DF114" s="1178"/>
      <c r="DG114" s="1176"/>
      <c r="DH114" s="1177"/>
      <c r="DI114" s="1177"/>
      <c r="DJ114" s="1178"/>
      <c r="DK114" s="1176"/>
      <c r="DL114" s="1177"/>
      <c r="DM114" s="1177"/>
      <c r="DN114" s="1178"/>
      <c r="DO114" s="1176"/>
      <c r="DP114" s="1177"/>
      <c r="DQ114" s="1177"/>
      <c r="DR114" s="1178"/>
      <c r="DS114" s="1176"/>
      <c r="DT114" s="1177"/>
      <c r="DU114" s="1177"/>
      <c r="DV114" s="1178"/>
    </row>
    <row r="115" spans="1:133" s="82" customFormat="1" ht="15" customHeight="1">
      <c r="A115" s="82" t="s">
        <v>1001</v>
      </c>
      <c r="H115" s="1156">
        <v>1.54</v>
      </c>
      <c r="I115" s="1156">
        <v>1.54</v>
      </c>
      <c r="J115" s="1156">
        <v>1.54</v>
      </c>
      <c r="K115" s="1156">
        <v>1.54</v>
      </c>
      <c r="L115" s="1156">
        <v>1.54</v>
      </c>
      <c r="M115" s="1156">
        <v>1.62</v>
      </c>
      <c r="N115" s="82">
        <f>SUM(BW115:BZ115)</f>
        <v>1.62</v>
      </c>
      <c r="O115" s="82">
        <f>SUM(CA115:CD115)</f>
        <v>1.67</v>
      </c>
      <c r="P115" s="82">
        <f>SUM(CE115:CH115)</f>
        <v>1.78</v>
      </c>
      <c r="Q115" s="82">
        <f>SUM(CI115:CL115)</f>
        <v>1.87</v>
      </c>
      <c r="R115" s="82">
        <f>SUM(CM115:CP115)</f>
        <v>1.925</v>
      </c>
      <c r="S115" s="82">
        <f>SUM(CQ115:CT115)</f>
        <v>1.9750000000000001</v>
      </c>
      <c r="T115" s="82">
        <f>SUM(CU115:CX115)</f>
        <v>2.0300000000000002</v>
      </c>
      <c r="U115" s="82">
        <f>SUM(CY115:DB115)</f>
        <v>2.09</v>
      </c>
      <c r="V115" s="82">
        <f>SUM(DC115:DF115)</f>
        <v>2.16</v>
      </c>
      <c r="W115" s="82">
        <f>SUM(DG115:DJ115)</f>
        <v>2.23</v>
      </c>
      <c r="X115" s="82">
        <f>+SUM(DK115:DN115)</f>
        <v>2.2850000000000001</v>
      </c>
      <c r="Y115" s="82">
        <f>SUM(DO115:DR115)</f>
        <v>2.335</v>
      </c>
      <c r="Z115" s="82">
        <f>SUM(DS115:DV115)</f>
        <v>2.3849999999999998</v>
      </c>
      <c r="AA115" s="3280">
        <f>+DU115*4+0.025</f>
        <v>2.4349999999999996</v>
      </c>
      <c r="AB115" s="1156">
        <f>+AA115+0.06</f>
        <v>2.4949999999999997</v>
      </c>
      <c r="AC115" s="1156">
        <f t="shared" ref="AC115:AG115" si="622">+AB115+0.06</f>
        <v>2.5549999999999997</v>
      </c>
      <c r="AD115" s="1156">
        <f t="shared" si="622"/>
        <v>2.6149999999999998</v>
      </c>
      <c r="AE115" s="1156">
        <f t="shared" si="622"/>
        <v>2.6749999999999998</v>
      </c>
      <c r="AF115" s="1156">
        <f t="shared" si="622"/>
        <v>2.7349999999999999</v>
      </c>
      <c r="AG115" s="1156">
        <f t="shared" si="622"/>
        <v>2.7949999999999999</v>
      </c>
      <c r="AH115" s="1920"/>
      <c r="AI115" s="1161">
        <f>(AA115/V115)^(1/5)-1</f>
        <v>2.4257240984376649E-2</v>
      </c>
      <c r="AJ115" s="1920"/>
      <c r="AK115" s="1419"/>
      <c r="AL115" s="1419"/>
      <c r="AM115" s="1419"/>
      <c r="AN115" s="1419"/>
      <c r="AO115" s="1419"/>
      <c r="AP115" s="1419"/>
      <c r="AQ115" s="1419"/>
      <c r="AR115" s="1419"/>
      <c r="AS115" s="1419"/>
      <c r="AT115" s="1419"/>
      <c r="AU115" s="1419"/>
      <c r="AV115" s="1419"/>
      <c r="AW115" s="1419"/>
      <c r="AX115" s="1419"/>
      <c r="AY115" s="1419"/>
      <c r="AZ115" s="1419"/>
      <c r="BA115" s="1419"/>
      <c r="BB115" s="1419"/>
      <c r="BC115" s="1419"/>
      <c r="BD115" s="1419"/>
      <c r="BE115" s="1419"/>
      <c r="BF115" s="1419"/>
      <c r="BG115" s="1193">
        <v>0.38500000000000001</v>
      </c>
      <c r="BH115" s="1186">
        <v>0.38500000000000001</v>
      </c>
      <c r="BI115" s="1186">
        <v>0.38500000000000001</v>
      </c>
      <c r="BJ115" s="1186">
        <v>0.38500000000000001</v>
      </c>
      <c r="BK115" s="1186">
        <v>0.38500000000000001</v>
      </c>
      <c r="BL115" s="1186">
        <v>0.38500000000000001</v>
      </c>
      <c r="BM115" s="1186">
        <v>0.38500000000000001</v>
      </c>
      <c r="BN115" s="1186">
        <v>0.38500000000000001</v>
      </c>
      <c r="BO115" s="1186">
        <v>0.38500000000000001</v>
      </c>
      <c r="BP115" s="1186">
        <v>0.38500000000000001</v>
      </c>
      <c r="BQ115" s="1186">
        <v>0.38500000000000001</v>
      </c>
      <c r="BR115" s="1186">
        <v>0.38500000000000001</v>
      </c>
      <c r="BS115" s="1186">
        <v>0.40500000000000003</v>
      </c>
      <c r="BT115" s="1186">
        <v>0.40500000000000003</v>
      </c>
      <c r="BU115" s="1186">
        <v>0.40500000000000003</v>
      </c>
      <c r="BV115" s="1194">
        <v>0.40500000000000003</v>
      </c>
      <c r="BW115" s="84">
        <f>NormInputs!BP122</f>
        <v>0.40500000000000003</v>
      </c>
      <c r="BX115" s="1185">
        <f>NormInputs!BQ122</f>
        <v>0.40500000000000003</v>
      </c>
      <c r="BY115" s="1185">
        <f>NormInputs!BR122</f>
        <v>0.40500000000000003</v>
      </c>
      <c r="BZ115" s="1185">
        <f>NormInputs!BS122</f>
        <v>0.40500000000000003</v>
      </c>
      <c r="CA115" s="84">
        <f>NormInputs!BT122</f>
        <v>0.40500000000000003</v>
      </c>
      <c r="CB115" s="1185">
        <f>NormInputs!BU122</f>
        <v>0.40500000000000003</v>
      </c>
      <c r="CC115" s="1185">
        <f>NormInputs!BV122</f>
        <v>0.43</v>
      </c>
      <c r="CD115" s="1185">
        <f>NormInputs!BW122</f>
        <v>0.43</v>
      </c>
      <c r="CE115" s="84">
        <f>NormInputs!BX122</f>
        <v>0.43</v>
      </c>
      <c r="CF115" s="1185">
        <f>NormInputs!BY122</f>
        <v>0.43</v>
      </c>
      <c r="CG115" s="1185">
        <f>NormInputs!BZ122</f>
        <v>0.46</v>
      </c>
      <c r="CH115" s="1185">
        <f>NormInputs!CA122</f>
        <v>0.46</v>
      </c>
      <c r="CI115" s="84">
        <f>NormInputs!CB122</f>
        <v>0.46</v>
      </c>
      <c r="CJ115" s="1185">
        <f>NormInputs!CC122</f>
        <v>0.46</v>
      </c>
      <c r="CK115" s="1185">
        <f>NormInputs!CD122</f>
        <v>0.47499999999999998</v>
      </c>
      <c r="CL115" s="1185">
        <f>NormInputs!CE122</f>
        <v>0.47499999999999998</v>
      </c>
      <c r="CM115" s="84">
        <f>NormInputs!CF122</f>
        <v>0.47499999999999998</v>
      </c>
      <c r="CN115" s="1185">
        <f>NormInputs!CG122</f>
        <v>0.47499999999999998</v>
      </c>
      <c r="CO115" s="1185">
        <f>NormInputs!CH122</f>
        <v>0.48749999999999999</v>
      </c>
      <c r="CP115" s="1185">
        <f>NormInputs!CI122</f>
        <v>0.48749999999999999</v>
      </c>
      <c r="CQ115" s="84">
        <f>NormInputs!CJ122</f>
        <v>0.48749999999999999</v>
      </c>
      <c r="CR115" s="1185">
        <f>NormInputs!CK122</f>
        <v>0.48749999999999999</v>
      </c>
      <c r="CS115" s="1185">
        <f>NormInputs!CL122</f>
        <v>0.5</v>
      </c>
      <c r="CT115" s="1185">
        <f>NormInputs!CM122</f>
        <v>0.5</v>
      </c>
      <c r="CU115" s="84">
        <f>NormInputs!CN122</f>
        <v>0.5</v>
      </c>
      <c r="CV115" s="1185">
        <f>NormInputs!CO122</f>
        <v>0.5</v>
      </c>
      <c r="CW115" s="1185">
        <f>NormInputs!CP122</f>
        <v>0.51500000000000001</v>
      </c>
      <c r="CX115" s="1185">
        <f>NormInputs!CQ122</f>
        <v>0.51500000000000001</v>
      </c>
      <c r="CY115" s="84">
        <f>NormInputs!CR122</f>
        <v>0.51500000000000001</v>
      </c>
      <c r="CZ115" s="1185">
        <f>NormInputs!CS122</f>
        <v>0.51500000000000001</v>
      </c>
      <c r="DA115" s="1185">
        <f>NormInputs!CT122</f>
        <v>0.53</v>
      </c>
      <c r="DB115" s="1185">
        <f>NormInputs!CU122</f>
        <v>0.53</v>
      </c>
      <c r="DC115" s="84">
        <f>NormInputs!CV122</f>
        <v>0.53</v>
      </c>
      <c r="DD115" s="1185">
        <f>NormInputs!CW122</f>
        <v>0.53</v>
      </c>
      <c r="DE115" s="1185">
        <f>NormInputs!CX122</f>
        <v>0.55000000000000004</v>
      </c>
      <c r="DF115" s="1187">
        <f>NormInputs!CY122</f>
        <v>0.55000000000000004</v>
      </c>
      <c r="DG115" s="84">
        <f>NormInputs!CZ122</f>
        <v>0.55000000000000004</v>
      </c>
      <c r="DH115" s="1185">
        <f>NormInputs!DA122</f>
        <v>0.55000000000000004</v>
      </c>
      <c r="DI115" s="2148">
        <f>NormInputs!DB122</f>
        <v>0.56499999999999995</v>
      </c>
      <c r="DJ115" s="2483">
        <f>NormInputs!DC122</f>
        <v>0.56499999999999995</v>
      </c>
      <c r="DK115" s="2497">
        <f>NormInputs!DD122</f>
        <v>0.56499999999999995</v>
      </c>
      <c r="DL115" s="2968">
        <f>NormInputs!DE122</f>
        <v>0.56499999999999995</v>
      </c>
      <c r="DM115" s="2968">
        <f>NormInputs!DF122</f>
        <v>0.57750000000000001</v>
      </c>
      <c r="DN115" s="3053">
        <f>NormInputs!DG122</f>
        <v>0.57750000000000001</v>
      </c>
      <c r="DO115" s="2497">
        <f>NormInputs!DH122</f>
        <v>0.57750000000000001</v>
      </c>
      <c r="DP115" s="2968">
        <f>NormInputs!DI122</f>
        <v>0.57750000000000001</v>
      </c>
      <c r="DQ115" s="2968">
        <f>NormInputs!DJ122</f>
        <v>0.59</v>
      </c>
      <c r="DR115" s="3053">
        <f>NormInputs!DK122</f>
        <v>0.59</v>
      </c>
      <c r="DS115" s="2497">
        <f>NormInputs!DL122</f>
        <v>0.59</v>
      </c>
      <c r="DT115" s="1185">
        <f t="shared" ref="DT115" si="623">+DS115</f>
        <v>0.59</v>
      </c>
      <c r="DU115" s="3274">
        <f>+DT115+0.0125</f>
        <v>0.60249999999999992</v>
      </c>
      <c r="DV115" s="1187">
        <f t="shared" ref="DV115" si="624">+DU115</f>
        <v>0.60249999999999992</v>
      </c>
      <c r="DW115" s="1923"/>
      <c r="DX115"/>
      <c r="DY115"/>
      <c r="DZ115"/>
      <c r="EA115"/>
      <c r="EB115"/>
      <c r="EC115"/>
    </row>
    <row r="116" spans="1:133" s="821" customFormat="1" ht="15" customHeight="1">
      <c r="A116" s="1578" t="s">
        <v>945</v>
      </c>
      <c r="H116" s="1146"/>
      <c r="I116" s="1146">
        <v>0</v>
      </c>
      <c r="J116" s="1146">
        <v>0</v>
      </c>
      <c r="K116" s="1146">
        <v>0</v>
      </c>
      <c r="L116" s="1146">
        <v>0</v>
      </c>
      <c r="M116" s="1146">
        <v>5.1948051948051965E-2</v>
      </c>
      <c r="N116" s="821">
        <f t="shared" ref="N116:AB116" si="625">N115/M115-1</f>
        <v>0</v>
      </c>
      <c r="O116" s="821">
        <f t="shared" si="625"/>
        <v>3.0864197530864113E-2</v>
      </c>
      <c r="P116" s="821">
        <f t="shared" si="625"/>
        <v>6.5868263473053856E-2</v>
      </c>
      <c r="Q116" s="821">
        <f t="shared" si="625"/>
        <v>5.0561797752809001E-2</v>
      </c>
      <c r="R116" s="821">
        <f t="shared" si="625"/>
        <v>2.9411764705882248E-2</v>
      </c>
      <c r="S116" s="821">
        <f t="shared" si="625"/>
        <v>2.5974025974025983E-2</v>
      </c>
      <c r="T116" s="821">
        <f t="shared" si="625"/>
        <v>2.7848101265822933E-2</v>
      </c>
      <c r="U116" s="821">
        <f t="shared" si="625"/>
        <v>2.9556650246305161E-2</v>
      </c>
      <c r="V116" s="821">
        <f t="shared" si="625"/>
        <v>3.3492822966507241E-2</v>
      </c>
      <c r="W116" s="821">
        <f>W115/V115-1</f>
        <v>3.240740740740744E-2</v>
      </c>
      <c r="X116" s="821">
        <f>X115/W115-1</f>
        <v>2.4663677130045025E-2</v>
      </c>
      <c r="Y116" s="821">
        <f>Y115/X115-1</f>
        <v>2.1881838074398141E-2</v>
      </c>
      <c r="Z116" s="821">
        <f>Z115/Y115-1</f>
        <v>2.1413276231263323E-2</v>
      </c>
      <c r="AA116" s="821">
        <f t="shared" si="625"/>
        <v>2.0964360587002018E-2</v>
      </c>
      <c r="AB116" s="821">
        <f t="shared" si="625"/>
        <v>2.4640657084188833E-2</v>
      </c>
      <c r="AC116" s="821">
        <f t="shared" ref="AC116" si="626">AC115/AB115-1</f>
        <v>2.4048096192384794E-2</v>
      </c>
      <c r="AD116" s="821">
        <f t="shared" ref="AD116" si="627">AD115/AC115-1</f>
        <v>2.3483365949119372E-2</v>
      </c>
      <c r="AE116" s="821">
        <f t="shared" ref="AE116" si="628">AE115/AD115-1</f>
        <v>2.2944550669216079E-2</v>
      </c>
      <c r="AF116" s="821">
        <f t="shared" ref="AF116" si="629">AF115/AE115-1</f>
        <v>2.2429906542056122E-2</v>
      </c>
      <c r="AG116" s="821">
        <f t="shared" ref="AG116" si="630">AG115/AF115-1</f>
        <v>2.1937842778793515E-2</v>
      </c>
      <c r="AH116" s="1921"/>
      <c r="AI116" s="1161"/>
      <c r="AJ116" s="1921"/>
      <c r="AK116" s="1420"/>
      <c r="AL116" s="1420"/>
      <c r="AM116" s="1420"/>
      <c r="AN116" s="1420"/>
      <c r="AO116" s="1420"/>
      <c r="AP116" s="1420"/>
      <c r="AQ116" s="1420"/>
      <c r="AR116" s="1420"/>
      <c r="AS116" s="1420"/>
      <c r="AT116" s="1420"/>
      <c r="AU116" s="1420"/>
      <c r="AV116" s="1420"/>
      <c r="AW116" s="1420"/>
      <c r="AX116" s="1420"/>
      <c r="AY116" s="1420"/>
      <c r="AZ116" s="1420"/>
      <c r="BA116" s="1420"/>
      <c r="BB116" s="1420"/>
      <c r="BC116" s="1420"/>
      <c r="BD116" s="1420"/>
      <c r="BE116" s="1420"/>
      <c r="BF116" s="1420"/>
      <c r="BG116" s="2428"/>
      <c r="BH116" s="2429"/>
      <c r="BI116" s="2429"/>
      <c r="BJ116" s="2429"/>
      <c r="BK116" s="2429">
        <v>0</v>
      </c>
      <c r="BL116" s="2429">
        <v>0</v>
      </c>
      <c r="BM116" s="2429">
        <v>0</v>
      </c>
      <c r="BN116" s="2429">
        <v>0</v>
      </c>
      <c r="BO116" s="2429">
        <v>0</v>
      </c>
      <c r="BP116" s="2429">
        <v>0</v>
      </c>
      <c r="BQ116" s="2429">
        <v>0</v>
      </c>
      <c r="BR116" s="2429">
        <v>0</v>
      </c>
      <c r="BS116" s="2429">
        <v>5.1948051948051965E-2</v>
      </c>
      <c r="BT116" s="2429">
        <v>5.1948051948051965E-2</v>
      </c>
      <c r="BU116" s="2429">
        <v>5.1948051948051965E-2</v>
      </c>
      <c r="BV116" s="2430">
        <v>5.1948051948051965E-2</v>
      </c>
      <c r="BW116" s="2431">
        <f t="shared" ref="BW116:DG116" si="631">BW115/BS115-1</f>
        <v>0</v>
      </c>
      <c r="BX116" s="2432">
        <f t="shared" si="631"/>
        <v>0</v>
      </c>
      <c r="BY116" s="2432">
        <f t="shared" si="631"/>
        <v>0</v>
      </c>
      <c r="BZ116" s="2432">
        <f t="shared" si="631"/>
        <v>0</v>
      </c>
      <c r="CA116" s="2431">
        <f t="shared" si="631"/>
        <v>0</v>
      </c>
      <c r="CB116" s="2432">
        <f t="shared" si="631"/>
        <v>0</v>
      </c>
      <c r="CC116" s="2432">
        <f t="shared" si="631"/>
        <v>6.1728395061728225E-2</v>
      </c>
      <c r="CD116" s="2432">
        <f t="shared" si="631"/>
        <v>6.1728395061728225E-2</v>
      </c>
      <c r="CE116" s="2431">
        <f t="shared" si="631"/>
        <v>6.1728395061728225E-2</v>
      </c>
      <c r="CF116" s="2432">
        <f t="shared" si="631"/>
        <v>6.1728395061728225E-2</v>
      </c>
      <c r="CG116" s="2432">
        <f t="shared" si="631"/>
        <v>6.976744186046524E-2</v>
      </c>
      <c r="CH116" s="2432">
        <f t="shared" si="631"/>
        <v>6.976744186046524E-2</v>
      </c>
      <c r="CI116" s="2431">
        <f t="shared" si="631"/>
        <v>6.976744186046524E-2</v>
      </c>
      <c r="CJ116" s="2432">
        <f t="shared" si="631"/>
        <v>6.976744186046524E-2</v>
      </c>
      <c r="CK116" s="2432">
        <f t="shared" si="631"/>
        <v>3.2608695652173836E-2</v>
      </c>
      <c r="CL116" s="2432">
        <f t="shared" si="631"/>
        <v>3.2608695652173836E-2</v>
      </c>
      <c r="CM116" s="2431">
        <f t="shared" si="631"/>
        <v>3.2608695652173836E-2</v>
      </c>
      <c r="CN116" s="2432">
        <f t="shared" si="631"/>
        <v>3.2608695652173836E-2</v>
      </c>
      <c r="CO116" s="2432">
        <f t="shared" si="631"/>
        <v>2.6315789473684292E-2</v>
      </c>
      <c r="CP116" s="2432">
        <f t="shared" si="631"/>
        <v>2.6315789473684292E-2</v>
      </c>
      <c r="CQ116" s="2431">
        <f t="shared" si="631"/>
        <v>2.6315789473684292E-2</v>
      </c>
      <c r="CR116" s="2432">
        <f t="shared" si="631"/>
        <v>2.6315789473684292E-2</v>
      </c>
      <c r="CS116" s="2432">
        <f t="shared" si="631"/>
        <v>2.5641025641025772E-2</v>
      </c>
      <c r="CT116" s="2432">
        <f t="shared" si="631"/>
        <v>2.5641025641025772E-2</v>
      </c>
      <c r="CU116" s="2431">
        <f t="shared" si="631"/>
        <v>2.5641025641025772E-2</v>
      </c>
      <c r="CV116" s="2432">
        <f t="shared" si="631"/>
        <v>2.5641025641025772E-2</v>
      </c>
      <c r="CW116" s="2432">
        <f t="shared" si="631"/>
        <v>3.0000000000000027E-2</v>
      </c>
      <c r="CX116" s="2432">
        <f t="shared" si="631"/>
        <v>3.0000000000000027E-2</v>
      </c>
      <c r="CY116" s="2431">
        <f t="shared" si="631"/>
        <v>3.0000000000000027E-2</v>
      </c>
      <c r="CZ116" s="2432">
        <f t="shared" si="631"/>
        <v>3.0000000000000027E-2</v>
      </c>
      <c r="DA116" s="2432">
        <f t="shared" si="631"/>
        <v>2.9126213592232997E-2</v>
      </c>
      <c r="DB116" s="2432">
        <f t="shared" si="631"/>
        <v>2.9126213592232997E-2</v>
      </c>
      <c r="DC116" s="2431">
        <f t="shared" si="631"/>
        <v>2.9126213592232997E-2</v>
      </c>
      <c r="DD116" s="2432">
        <f t="shared" si="631"/>
        <v>2.9126213592232997E-2</v>
      </c>
      <c r="DE116" s="2432">
        <f t="shared" si="631"/>
        <v>3.7735849056603765E-2</v>
      </c>
      <c r="DF116" s="2433">
        <f t="shared" si="631"/>
        <v>3.7735849056603765E-2</v>
      </c>
      <c r="DG116" s="2431">
        <f t="shared" si="631"/>
        <v>3.7735849056603765E-2</v>
      </c>
      <c r="DH116" s="2432">
        <f t="shared" ref="DH116:DS116" si="632">DH115/DD115-1</f>
        <v>3.7735849056603765E-2</v>
      </c>
      <c r="DI116" s="2432">
        <f t="shared" si="632"/>
        <v>2.7272727272727115E-2</v>
      </c>
      <c r="DJ116" s="2433">
        <f t="shared" si="632"/>
        <v>2.7272727272727115E-2</v>
      </c>
      <c r="DK116" s="2431">
        <f t="shared" si="632"/>
        <v>2.7272727272727115E-2</v>
      </c>
      <c r="DL116" s="2432">
        <f t="shared" si="632"/>
        <v>2.7272727272727115E-2</v>
      </c>
      <c r="DM116" s="2432">
        <f t="shared" si="632"/>
        <v>2.212389380530988E-2</v>
      </c>
      <c r="DN116" s="2433">
        <f t="shared" si="632"/>
        <v>2.212389380530988E-2</v>
      </c>
      <c r="DO116" s="2431">
        <f t="shared" si="632"/>
        <v>2.212389380530988E-2</v>
      </c>
      <c r="DP116" s="2432">
        <f t="shared" si="632"/>
        <v>2.212389380530988E-2</v>
      </c>
      <c r="DQ116" s="2432">
        <f t="shared" si="632"/>
        <v>2.1645021645021467E-2</v>
      </c>
      <c r="DR116" s="2433">
        <f t="shared" si="632"/>
        <v>2.1645021645021467E-2</v>
      </c>
      <c r="DS116" s="2431">
        <f t="shared" si="632"/>
        <v>2.1645021645021467E-2</v>
      </c>
      <c r="DT116" s="2432">
        <f t="shared" ref="DT116" si="633">DT115/DP115-1</f>
        <v>2.1645021645021467E-2</v>
      </c>
      <c r="DU116" s="2432">
        <f t="shared" ref="DU116" si="634">DU115/DQ115-1</f>
        <v>2.1186440677966045E-2</v>
      </c>
      <c r="DV116" s="2433">
        <f t="shared" ref="DV116" si="635">DV115/DR115-1</f>
        <v>2.1186440677966045E-2</v>
      </c>
      <c r="DW116" s="1921"/>
      <c r="DX116"/>
      <c r="DY116"/>
      <c r="DZ116"/>
      <c r="EA116"/>
      <c r="EB116"/>
      <c r="EC116"/>
    </row>
    <row r="117" spans="1:133" s="820" customFormat="1" ht="15" customHeight="1">
      <c r="A117" s="820" t="s">
        <v>1002</v>
      </c>
      <c r="H117" s="1145">
        <v>4161.08</v>
      </c>
      <c r="I117" s="1145">
        <v>4182.6400000000003</v>
      </c>
      <c r="J117" s="1145">
        <v>4224.22</v>
      </c>
      <c r="K117" s="1145">
        <v>4244.24</v>
      </c>
      <c r="L117" s="1145">
        <v>4265.415</v>
      </c>
      <c r="M117" s="1145">
        <v>4477.68</v>
      </c>
      <c r="N117" s="820">
        <f>SUM(BW117:BZ117)</f>
        <v>4717.4400000000005</v>
      </c>
      <c r="O117" s="820">
        <f>SUM(CA117:CD117)</f>
        <v>4831.24</v>
      </c>
      <c r="P117" s="820">
        <f>SUM(CE117:CH117)</f>
        <v>5063.83</v>
      </c>
      <c r="Q117" s="820">
        <f>SUM(CI117:CL117)</f>
        <v>5310.2950000000001</v>
      </c>
      <c r="R117" s="820">
        <f>SUM(CM117:CP117)</f>
        <v>5441.9750000000004</v>
      </c>
      <c r="S117" s="820">
        <f t="shared" ref="S117:V117" si="636">S109*S115</f>
        <v>5597.1500000000005</v>
      </c>
      <c r="T117" s="820">
        <f t="shared" si="636"/>
        <v>5766.1638848920866</v>
      </c>
      <c r="U117" s="820">
        <f t="shared" si="636"/>
        <v>5933.6710996916745</v>
      </c>
      <c r="V117" s="820">
        <f t="shared" si="636"/>
        <v>8925.2864953751268</v>
      </c>
      <c r="W117" s="820">
        <f t="shared" ref="W117:AB117" si="637">W109*W115</f>
        <v>9082.7899999999991</v>
      </c>
      <c r="X117" s="820">
        <f t="shared" si="637"/>
        <v>9315.9449999999997</v>
      </c>
      <c r="Y117" s="820">
        <f t="shared" si="637"/>
        <v>9524.4650000000001</v>
      </c>
      <c r="Z117" s="820">
        <f t="shared" si="637"/>
        <v>9854.82</v>
      </c>
      <c r="AA117" s="820">
        <f t="shared" si="637"/>
        <v>10068.724999999999</v>
      </c>
      <c r="AB117" s="820">
        <f t="shared" si="637"/>
        <v>10324.31</v>
      </c>
      <c r="AC117" s="820">
        <f t="shared" ref="AC117:AG117" si="638">AC109*AC115</f>
        <v>10580.254999999999</v>
      </c>
      <c r="AD117" s="820">
        <f t="shared" si="638"/>
        <v>10836.56</v>
      </c>
      <c r="AE117" s="820">
        <f t="shared" si="638"/>
        <v>11093.224999999999</v>
      </c>
      <c r="AF117" s="820">
        <f t="shared" si="638"/>
        <v>11350.25</v>
      </c>
      <c r="AG117" s="820">
        <f t="shared" si="638"/>
        <v>11607.635</v>
      </c>
      <c r="AH117" s="1923"/>
      <c r="AI117" s="1161"/>
      <c r="AJ117" s="1923"/>
      <c r="AK117" s="1421"/>
      <c r="AL117" s="1421"/>
      <c r="AM117" s="1421"/>
      <c r="AN117" s="1421"/>
      <c r="AO117" s="1421"/>
      <c r="AP117" s="1421"/>
      <c r="AQ117" s="1421"/>
      <c r="AR117" s="1421"/>
      <c r="AS117" s="1421"/>
      <c r="AT117" s="1421"/>
      <c r="AU117" s="1421"/>
      <c r="AV117" s="1421"/>
      <c r="AW117" s="1421"/>
      <c r="AX117" s="1421"/>
      <c r="AY117" s="1421"/>
      <c r="AZ117" s="1421"/>
      <c r="BA117" s="1421"/>
      <c r="BB117" s="1421"/>
      <c r="BC117" s="1421"/>
      <c r="BD117" s="1421"/>
      <c r="BE117" s="1421"/>
      <c r="BF117" s="1421"/>
      <c r="BG117" s="1181">
        <v>1048.355</v>
      </c>
      <c r="BH117" s="1182">
        <v>1050.28</v>
      </c>
      <c r="BI117" s="1182">
        <v>1053.3599999999999</v>
      </c>
      <c r="BJ117" s="1182">
        <v>1056.0550000000001</v>
      </c>
      <c r="BK117" s="1182">
        <v>1057.98</v>
      </c>
      <c r="BL117" s="1182">
        <v>1059.135</v>
      </c>
      <c r="BM117" s="1182">
        <v>1059.905</v>
      </c>
      <c r="BN117" s="1182">
        <v>1061.06</v>
      </c>
      <c r="BO117" s="1182">
        <v>1066.45</v>
      </c>
      <c r="BP117" s="1182">
        <v>1066.45</v>
      </c>
      <c r="BQ117" s="1182">
        <v>1066.0650000000001</v>
      </c>
      <c r="BR117" s="1182">
        <v>1066.45</v>
      </c>
      <c r="BS117" s="1182">
        <v>1121.4449999999999</v>
      </c>
      <c r="BT117" s="1182">
        <v>1121.04</v>
      </c>
      <c r="BU117" s="1182">
        <v>1119.825</v>
      </c>
      <c r="BV117" s="1183">
        <v>1119.42</v>
      </c>
      <c r="BW117" s="1179">
        <f t="shared" ref="BW117:DB117" si="639">BW109*BW115</f>
        <v>1181.385</v>
      </c>
      <c r="BX117" s="985">
        <f t="shared" si="639"/>
        <v>1174.095</v>
      </c>
      <c r="BY117" s="985">
        <f t="shared" si="639"/>
        <v>1182.6000000000001</v>
      </c>
      <c r="BZ117" s="985">
        <f t="shared" si="639"/>
        <v>1179.3600000000001</v>
      </c>
      <c r="CA117" s="1179">
        <f t="shared" si="639"/>
        <v>1175.7150000000001</v>
      </c>
      <c r="CB117" s="985">
        <f t="shared" si="639"/>
        <v>1175.7150000000001</v>
      </c>
      <c r="CC117" s="985">
        <f t="shared" si="639"/>
        <v>1242.7</v>
      </c>
      <c r="CD117" s="985">
        <f t="shared" si="639"/>
        <v>1237.1099999999999</v>
      </c>
      <c r="CE117" s="1179">
        <f t="shared" si="639"/>
        <v>1225.93</v>
      </c>
      <c r="CF117" s="985">
        <f t="shared" si="639"/>
        <v>1224.6399999999999</v>
      </c>
      <c r="CG117" s="985">
        <f t="shared" si="639"/>
        <v>1306.4000000000001</v>
      </c>
      <c r="CH117" s="985">
        <f t="shared" si="639"/>
        <v>1306.8600000000001</v>
      </c>
      <c r="CI117" s="1179">
        <f t="shared" si="639"/>
        <v>1306.8600000000001</v>
      </c>
      <c r="CJ117" s="985">
        <f t="shared" si="639"/>
        <v>1306.8600000000001</v>
      </c>
      <c r="CK117" s="985">
        <f t="shared" si="639"/>
        <v>1349.4749999999999</v>
      </c>
      <c r="CL117" s="985">
        <f t="shared" si="639"/>
        <v>1347.1</v>
      </c>
      <c r="CM117" s="1179">
        <f t="shared" si="639"/>
        <v>1342.825</v>
      </c>
      <c r="CN117" s="985">
        <f t="shared" si="639"/>
        <v>1342.825</v>
      </c>
      <c r="CO117" s="985">
        <f t="shared" si="639"/>
        <v>1378.1624999999999</v>
      </c>
      <c r="CP117" s="985">
        <f t="shared" si="639"/>
        <v>1378.1624999999999</v>
      </c>
      <c r="CQ117" s="1179">
        <f t="shared" si="639"/>
        <v>1379.1375</v>
      </c>
      <c r="CR117" s="985">
        <f t="shared" si="639"/>
        <v>1380.1125</v>
      </c>
      <c r="CS117" s="985">
        <f t="shared" si="639"/>
        <v>1415.5</v>
      </c>
      <c r="CT117" s="985">
        <f t="shared" si="639"/>
        <v>1417</v>
      </c>
      <c r="CU117" s="1179">
        <f t="shared" si="639"/>
        <v>1420.5</v>
      </c>
      <c r="CV117" s="985">
        <f t="shared" si="639"/>
        <v>1424.5</v>
      </c>
      <c r="CW117" s="985">
        <f t="shared" si="639"/>
        <v>1469.81</v>
      </c>
      <c r="CX117" s="985">
        <f t="shared" si="639"/>
        <v>1472.385</v>
      </c>
      <c r="CY117" s="1179">
        <f t="shared" si="639"/>
        <v>1473.415</v>
      </c>
      <c r="CZ117" s="985">
        <f t="shared" si="639"/>
        <v>1473.93</v>
      </c>
      <c r="DA117" s="985">
        <f t="shared" si="639"/>
        <v>1516.8600000000001</v>
      </c>
      <c r="DB117" s="985">
        <f t="shared" si="639"/>
        <v>1516.8600000000001</v>
      </c>
      <c r="DC117" s="1179">
        <f t="shared" ref="DC117:DJ117" si="640">DC109*DC115</f>
        <v>2194.73</v>
      </c>
      <c r="DD117" s="985">
        <f t="shared" si="640"/>
        <v>2196.85</v>
      </c>
      <c r="DE117" s="985">
        <f t="shared" si="640"/>
        <v>2282.5</v>
      </c>
      <c r="DF117" s="1180">
        <f t="shared" si="640"/>
        <v>2285.25</v>
      </c>
      <c r="DG117" s="1179">
        <f t="shared" si="640"/>
        <v>2242.9</v>
      </c>
      <c r="DH117" s="985">
        <f t="shared" si="640"/>
        <v>2236.3000000000002</v>
      </c>
      <c r="DI117" s="985">
        <f t="shared" si="640"/>
        <v>2298.9849999999997</v>
      </c>
      <c r="DJ117" s="1180">
        <f t="shared" si="640"/>
        <v>2301.2449999999999</v>
      </c>
      <c r="DK117" s="1179">
        <f t="shared" ref="DK117:DL117" si="641">DK109*DK115</f>
        <v>2302.9399999999996</v>
      </c>
      <c r="DL117" s="985">
        <f t="shared" si="641"/>
        <v>2302.9399999999996</v>
      </c>
      <c r="DM117" s="985">
        <f t="shared" ref="DM117:DN117" si="642">DM109*DM115</f>
        <v>2354.4675000000002</v>
      </c>
      <c r="DN117" s="1180">
        <f t="shared" si="642"/>
        <v>2354.4675000000002</v>
      </c>
      <c r="DO117" s="1179">
        <f t="shared" ref="DO117:DP117" si="643">DO109*DO115</f>
        <v>2355.6224999999999</v>
      </c>
      <c r="DP117" s="985">
        <f t="shared" si="643"/>
        <v>2355.6224999999999</v>
      </c>
      <c r="DQ117" s="985">
        <f t="shared" ref="DQ117:DR117" si="644">DQ109*DQ115</f>
        <v>2406.6099999999997</v>
      </c>
      <c r="DR117" s="1180">
        <f t="shared" si="644"/>
        <v>2406.6099999999997</v>
      </c>
      <c r="DS117" s="1179">
        <f t="shared" ref="DS117" si="645">DS109*DS115</f>
        <v>2437.8799999999997</v>
      </c>
      <c r="DT117" s="985">
        <f t="shared" ref="DT117:DV117" si="646">DT109*DT115</f>
        <v>2438.4699999999998</v>
      </c>
      <c r="DU117" s="985">
        <f t="shared" si="646"/>
        <v>2490.7349999999997</v>
      </c>
      <c r="DV117" s="1180">
        <f t="shared" si="646"/>
        <v>2491.3374999999996</v>
      </c>
      <c r="DW117" s="1923"/>
      <c r="DX117"/>
      <c r="DY117"/>
      <c r="DZ117"/>
      <c r="EA117"/>
      <c r="EB117"/>
      <c r="EC117"/>
    </row>
    <row r="118" spans="1:133" s="821" customFormat="1" ht="15" customHeight="1">
      <c r="A118" s="1578" t="s">
        <v>945</v>
      </c>
      <c r="H118" s="1146"/>
      <c r="I118" s="1146">
        <v>5.1813471502590858E-3</v>
      </c>
      <c r="J118" s="1146">
        <v>9.9410898379970192E-3</v>
      </c>
      <c r="K118" s="1146">
        <v>4.7393364928909332E-3</v>
      </c>
      <c r="L118" s="1146">
        <v>4.9891146589260416E-3</v>
      </c>
      <c r="M118" s="1146">
        <v>4.9764208172006885E-2</v>
      </c>
      <c r="N118" s="821">
        <f t="shared" ref="N118:AB118" si="647">N117/M117-1</f>
        <v>5.3545586107091259E-2</v>
      </c>
      <c r="O118" s="821">
        <f t="shared" si="647"/>
        <v>2.4123253289919822E-2</v>
      </c>
      <c r="P118" s="821">
        <f t="shared" si="647"/>
        <v>4.8142919830105768E-2</v>
      </c>
      <c r="Q118" s="821">
        <f t="shared" si="647"/>
        <v>4.867165761883796E-2</v>
      </c>
      <c r="R118" s="821">
        <f t="shared" si="647"/>
        <v>2.4797115791119095E-2</v>
      </c>
      <c r="S118" s="821">
        <f t="shared" si="647"/>
        <v>2.8514463958397407E-2</v>
      </c>
      <c r="T118" s="821">
        <f t="shared" si="647"/>
        <v>3.0196418693814842E-2</v>
      </c>
      <c r="U118" s="821">
        <f t="shared" si="647"/>
        <v>2.9050026697727604E-2</v>
      </c>
      <c r="V118" s="821">
        <f t="shared" si="647"/>
        <v>0.50417614077714945</v>
      </c>
      <c r="W118" s="821">
        <f>W117/V117-1</f>
        <v>1.7646885027890802E-2</v>
      </c>
      <c r="X118" s="821">
        <f>X117/W117-1</f>
        <v>2.5669975855436622E-2</v>
      </c>
      <c r="Y118" s="821">
        <f>Y117/X117-1</f>
        <v>2.2383129140414626E-2</v>
      </c>
      <c r="Z118" s="821">
        <f>Z117/Y117-1</f>
        <v>3.4684887812596266E-2</v>
      </c>
      <c r="AA118" s="821">
        <f t="shared" si="647"/>
        <v>2.1705622223439747E-2</v>
      </c>
      <c r="AB118" s="821">
        <f t="shared" si="647"/>
        <v>2.5384048129232006E-2</v>
      </c>
      <c r="AC118" s="821">
        <f t="shared" ref="AC118" si="648">AC117/AB117-1</f>
        <v>2.4790518688415863E-2</v>
      </c>
      <c r="AD118" s="821">
        <f t="shared" ref="AD118" si="649">AD117/AC117-1</f>
        <v>2.4224841461760738E-2</v>
      </c>
      <c r="AE118" s="821">
        <f t="shared" ref="AE118" si="650">AE117/AD117-1</f>
        <v>2.3685099330414738E-2</v>
      </c>
      <c r="AF118" s="821">
        <f t="shared" ref="AF118" si="651">AF117/AE117-1</f>
        <v>2.3169547178570893E-2</v>
      </c>
      <c r="AG118" s="821">
        <f t="shared" ref="AG118" si="652">AG117/AF117-1</f>
        <v>2.2676593026585312E-2</v>
      </c>
      <c r="AH118" s="1921"/>
      <c r="AI118" s="1161"/>
      <c r="AJ118" s="1921"/>
      <c r="AK118" s="1420"/>
      <c r="AL118" s="1420"/>
      <c r="AM118" s="1420"/>
      <c r="AN118" s="1420"/>
      <c r="AO118" s="1420"/>
      <c r="AP118" s="1420"/>
      <c r="AQ118" s="1420"/>
      <c r="AR118" s="1420"/>
      <c r="AS118" s="1420"/>
      <c r="AT118" s="1420"/>
      <c r="AU118" s="1420"/>
      <c r="AV118" s="1420"/>
      <c r="AW118" s="1420"/>
      <c r="AX118" s="1420"/>
      <c r="AY118" s="1420"/>
      <c r="AZ118" s="1420"/>
      <c r="BA118" s="1420"/>
      <c r="BB118" s="1420"/>
      <c r="BC118" s="1420"/>
      <c r="BD118" s="1420"/>
      <c r="BE118" s="1420"/>
      <c r="BF118" s="1420"/>
      <c r="BG118" s="2428"/>
      <c r="BH118" s="2429"/>
      <c r="BI118" s="2429"/>
      <c r="BJ118" s="2429"/>
      <c r="BK118" s="2429">
        <v>9.1810503121556586E-3</v>
      </c>
      <c r="BL118" s="2429">
        <v>8.4310850439883733E-3</v>
      </c>
      <c r="BM118" s="2429">
        <v>6.2134502923976154E-3</v>
      </c>
      <c r="BN118" s="2429">
        <v>4.7393364928909332E-3</v>
      </c>
      <c r="BO118" s="2429">
        <v>8.0058224163028768E-3</v>
      </c>
      <c r="BP118" s="2429">
        <v>6.9065794256635282E-3</v>
      </c>
      <c r="BQ118" s="2429">
        <v>5.8118416273156281E-3</v>
      </c>
      <c r="BR118" s="2429">
        <v>5.079825834542806E-3</v>
      </c>
      <c r="BS118" s="2429">
        <v>5.1568287308359606E-2</v>
      </c>
      <c r="BT118" s="2429">
        <v>5.1188522668667025E-2</v>
      </c>
      <c r="BU118" s="2429">
        <v>5.0428444794641925E-2</v>
      </c>
      <c r="BV118" s="2430">
        <v>4.9669464109897365E-2</v>
      </c>
      <c r="BW118" s="2431">
        <f t="shared" ref="BW118:DS118" si="653">BW117/BS117-1</f>
        <v>5.3448898519321109E-2</v>
      </c>
      <c r="BX118" s="2432">
        <f t="shared" si="653"/>
        <v>4.7326589595375834E-2</v>
      </c>
      <c r="BY118" s="2432">
        <f t="shared" si="653"/>
        <v>5.6057866184448635E-2</v>
      </c>
      <c r="BZ118" s="2432">
        <f t="shared" si="653"/>
        <v>5.3545586107091259E-2</v>
      </c>
      <c r="CA118" s="2431">
        <f t="shared" si="653"/>
        <v>-4.7994514912580444E-3</v>
      </c>
      <c r="CB118" s="2432">
        <f t="shared" si="653"/>
        <v>1.3797861331494854E-3</v>
      </c>
      <c r="CC118" s="2432">
        <f t="shared" si="653"/>
        <v>5.0820226619313402E-2</v>
      </c>
      <c r="CD118" s="2432">
        <f t="shared" si="653"/>
        <v>4.8967236467236219E-2</v>
      </c>
      <c r="CE118" s="2431">
        <f t="shared" si="653"/>
        <v>4.2710180613498849E-2</v>
      </c>
      <c r="CF118" s="2432">
        <f t="shared" si="653"/>
        <v>4.1612975933793317E-2</v>
      </c>
      <c r="CG118" s="2432">
        <f t="shared" si="653"/>
        <v>5.1259354631045362E-2</v>
      </c>
      <c r="CH118" s="2432">
        <f t="shared" si="653"/>
        <v>5.6381405048864019E-2</v>
      </c>
      <c r="CI118" s="2431">
        <f t="shared" si="653"/>
        <v>6.6015188469162212E-2</v>
      </c>
      <c r="CJ118" s="2432">
        <f t="shared" si="653"/>
        <v>6.7138097726679113E-2</v>
      </c>
      <c r="CK118" s="2432">
        <f t="shared" si="653"/>
        <v>3.2972290263318937E-2</v>
      </c>
      <c r="CL118" s="2432">
        <f t="shared" si="653"/>
        <v>3.0791362502486708E-2</v>
      </c>
      <c r="CM118" s="2431">
        <f t="shared" si="653"/>
        <v>2.7520162833050144E-2</v>
      </c>
      <c r="CN118" s="2432">
        <f t="shared" si="653"/>
        <v>2.7520162833050144E-2</v>
      </c>
      <c r="CO118" s="2432">
        <f t="shared" si="653"/>
        <v>2.1258267103873685E-2</v>
      </c>
      <c r="CP118" s="2432">
        <f t="shared" si="653"/>
        <v>2.3058792962660446E-2</v>
      </c>
      <c r="CQ118" s="2431">
        <f t="shared" si="653"/>
        <v>2.7041870683074842E-2</v>
      </c>
      <c r="CR118" s="2432">
        <f t="shared" si="653"/>
        <v>2.7767951892465392E-2</v>
      </c>
      <c r="CS118" s="2432">
        <f t="shared" si="653"/>
        <v>2.7092233317914216E-2</v>
      </c>
      <c r="CT118" s="2432">
        <f t="shared" si="653"/>
        <v>2.8180639075580771E-2</v>
      </c>
      <c r="CU118" s="2431">
        <f t="shared" si="653"/>
        <v>2.9991570818718172E-2</v>
      </c>
      <c r="CV118" s="2432">
        <f t="shared" si="653"/>
        <v>3.2162233151282971E-2</v>
      </c>
      <c r="CW118" s="2432">
        <f t="shared" si="653"/>
        <v>3.8368067820558016E-2</v>
      </c>
      <c r="CX118" s="2432">
        <f t="shared" si="653"/>
        <v>3.9086097388849605E-2</v>
      </c>
      <c r="CY118" s="2431">
        <f t="shared" si="653"/>
        <v>3.725096796902494E-2</v>
      </c>
      <c r="CZ118" s="2432">
        <f t="shared" si="653"/>
        <v>3.4699894699894651E-2</v>
      </c>
      <c r="DA118" s="2432">
        <f t="shared" si="653"/>
        <v>3.2010940189548531E-2</v>
      </c>
      <c r="DB118" s="2432">
        <f t="shared" si="653"/>
        <v>3.0206094194113797E-2</v>
      </c>
      <c r="DC118" s="2431">
        <f t="shared" si="653"/>
        <v>0.48955318087572075</v>
      </c>
      <c r="DD118" s="2432">
        <f t="shared" si="653"/>
        <v>0.49047105357784959</v>
      </c>
      <c r="DE118" s="2432">
        <f t="shared" si="653"/>
        <v>0.5047532402462982</v>
      </c>
      <c r="DF118" s="2433">
        <f t="shared" si="653"/>
        <v>0.50656619595743835</v>
      </c>
      <c r="DG118" s="2431">
        <f t="shared" si="653"/>
        <v>2.1948030053810852E-2</v>
      </c>
      <c r="DH118" s="2432">
        <f t="shared" si="653"/>
        <v>1.7957530099915964E-2</v>
      </c>
      <c r="DI118" s="2432">
        <f t="shared" si="653"/>
        <v>7.2223439211389628E-3</v>
      </c>
      <c r="DJ118" s="2433">
        <f t="shared" si="653"/>
        <v>6.9992342194507007E-3</v>
      </c>
      <c r="DK118" s="2431">
        <f t="shared" si="653"/>
        <v>2.6768915243657654E-2</v>
      </c>
      <c r="DL118" s="2432">
        <f t="shared" si="653"/>
        <v>2.9799221929079023E-2</v>
      </c>
      <c r="DM118" s="2432">
        <f t="shared" si="653"/>
        <v>2.4133476294973866E-2</v>
      </c>
      <c r="DN118" s="2433">
        <f t="shared" si="653"/>
        <v>2.3127698267676911E-2</v>
      </c>
      <c r="DO118" s="2431">
        <f t="shared" si="653"/>
        <v>2.2876193040200832E-2</v>
      </c>
      <c r="DP118" s="2432">
        <f t="shared" si="653"/>
        <v>2.2876193040200832E-2</v>
      </c>
      <c r="DQ118" s="2432">
        <f t="shared" si="653"/>
        <v>2.2146196539132301E-2</v>
      </c>
      <c r="DR118" s="2433">
        <f t="shared" si="653"/>
        <v>2.2146196539132301E-2</v>
      </c>
      <c r="DS118" s="2431">
        <f t="shared" si="653"/>
        <v>3.4919644382747972E-2</v>
      </c>
      <c r="DT118" s="2432">
        <f t="shared" ref="DT118" si="654">DT117/DP117-1</f>
        <v>3.5170108962705227E-2</v>
      </c>
      <c r="DU118" s="2432">
        <f t="shared" ref="DU118" si="655">DU117/DQ117-1</f>
        <v>3.4955809208804034E-2</v>
      </c>
      <c r="DV118" s="2433">
        <f t="shared" ref="DV118" si="656">DV117/DR117-1</f>
        <v>3.5206161363910304E-2</v>
      </c>
      <c r="DW118" s="1921"/>
      <c r="DX118"/>
      <c r="DY118"/>
      <c r="DZ118"/>
      <c r="EA118"/>
      <c r="EB118"/>
      <c r="EC118"/>
    </row>
    <row r="119" spans="1:133" s="821" customFormat="1">
      <c r="A119" s="1578" t="s">
        <v>1003</v>
      </c>
      <c r="H119" s="1146">
        <v>0.58880430168388287</v>
      </c>
      <c r="I119" s="1146">
        <v>0.64917584975942888</v>
      </c>
      <c r="J119" s="1146">
        <v>0.56345471521942114</v>
      </c>
      <c r="K119" s="1146">
        <v>0.55581980094290206</v>
      </c>
      <c r="L119" s="1146">
        <v>0.64991848240134087</v>
      </c>
      <c r="M119" s="1146">
        <v>0.58600706713780926</v>
      </c>
      <c r="N119" s="821">
        <f t="shared" ref="N119:V119" si="657">N117/N88</f>
        <v>0.6164225935664791</v>
      </c>
      <c r="O119" s="821">
        <f t="shared" si="657"/>
        <v>0.69755125613629798</v>
      </c>
      <c r="P119" s="821">
        <f t="shared" si="657"/>
        <v>0.69990739460953699</v>
      </c>
      <c r="Q119" s="821">
        <f t="shared" si="657"/>
        <v>0.97676100133225729</v>
      </c>
      <c r="R119" s="821">
        <f t="shared" si="657"/>
        <v>0.92580006709614582</v>
      </c>
      <c r="S119" s="821">
        <f t="shared" si="657"/>
        <v>0.919218283035934</v>
      </c>
      <c r="T119" s="821">
        <f t="shared" si="657"/>
        <v>0.90598651914224482</v>
      </c>
      <c r="U119" s="821">
        <f t="shared" si="657"/>
        <v>0.73268857523954156</v>
      </c>
      <c r="V119" s="821">
        <f t="shared" si="657"/>
        <v>0.62815909864526986</v>
      </c>
      <c r="W119" s="821">
        <f t="shared" ref="W119:AB119" si="658">W117/W88</f>
        <v>0.64308401421713701</v>
      </c>
      <c r="X119" s="821">
        <f t="shared" si="658"/>
        <v>0.60939272309099213</v>
      </c>
      <c r="Y119" s="821">
        <f t="shared" si="658"/>
        <v>0.62353289689034375</v>
      </c>
      <c r="Z119" s="821">
        <f t="shared" ca="1" si="658"/>
        <v>0.52526808430740834</v>
      </c>
      <c r="AA119" s="821">
        <f t="shared" ca="1" si="658"/>
        <v>0.51504283888258096</v>
      </c>
      <c r="AB119" s="821">
        <f t="shared" ca="1" si="658"/>
        <v>0.50495350330293276</v>
      </c>
      <c r="AC119" s="821">
        <f t="shared" ref="AC119:AG119" ca="1" si="659">AC117/AC88</f>
        <v>0.49627781178104097</v>
      </c>
      <c r="AD119" s="821">
        <f t="shared" ca="1" si="659"/>
        <v>0.48647139130619393</v>
      </c>
      <c r="AE119" s="821">
        <f t="shared" ca="1" si="659"/>
        <v>0.47622702265218331</v>
      </c>
      <c r="AF119" s="821">
        <f t="shared" ca="1" si="659"/>
        <v>0.46557427682710756</v>
      </c>
      <c r="AG119" s="821">
        <f t="shared" ca="1" si="659"/>
        <v>0.45506029849465524</v>
      </c>
      <c r="AH119" s="1921"/>
      <c r="AI119" s="1162"/>
      <c r="AJ119" s="1921"/>
      <c r="AK119" s="1420"/>
      <c r="AL119" s="1420"/>
      <c r="AM119" s="1420"/>
      <c r="AN119" s="1420"/>
      <c r="AO119" s="1420"/>
      <c r="AP119" s="1420"/>
      <c r="AQ119" s="1420"/>
      <c r="AR119" s="1420"/>
      <c r="AS119" s="1420"/>
      <c r="AT119" s="1420"/>
      <c r="AU119" s="1420"/>
      <c r="AV119" s="1420"/>
      <c r="AW119" s="1420"/>
      <c r="AX119" s="1420"/>
      <c r="AY119" s="1420"/>
      <c r="AZ119" s="1420"/>
      <c r="BA119" s="1420"/>
      <c r="BB119" s="1420"/>
      <c r="BC119" s="1420"/>
      <c r="BD119" s="1420"/>
      <c r="BE119" s="1420"/>
      <c r="BF119" s="1420"/>
      <c r="BG119" s="2428">
        <v>0.67418327974276526</v>
      </c>
      <c r="BH119" s="2429">
        <v>0.77056493030080697</v>
      </c>
      <c r="BI119" s="2429">
        <v>0.43816971713810321</v>
      </c>
      <c r="BJ119" s="2429">
        <v>0.4855425287356322</v>
      </c>
      <c r="BK119" s="2429">
        <v>0.44565290648694189</v>
      </c>
      <c r="BL119" s="2429">
        <v>0.51439290917921321</v>
      </c>
      <c r="BM119" s="2429">
        <v>0.55667279411764703</v>
      </c>
      <c r="BN119" s="2429">
        <v>0.81682832948421857</v>
      </c>
      <c r="BO119" s="2429">
        <v>0.77278985507246378</v>
      </c>
      <c r="BP119" s="2429">
        <v>0.60940000000000005</v>
      </c>
      <c r="BQ119" s="2429">
        <v>0.54895211122554066</v>
      </c>
      <c r="BR119" s="2429">
        <v>0.71525821596244132</v>
      </c>
      <c r="BS119" s="2429">
        <v>0.65851145038167946</v>
      </c>
      <c r="BT119" s="2429">
        <v>0.58816369359916054</v>
      </c>
      <c r="BU119" s="2429">
        <v>0.51297526339899224</v>
      </c>
      <c r="BV119" s="2430">
        <v>0.60541914548404552</v>
      </c>
      <c r="BW119" s="2431">
        <f t="shared" ref="BW119:DB119" si="660">BW117/BW88</f>
        <v>0.5948769570775847</v>
      </c>
      <c r="BX119" s="2432">
        <f t="shared" si="660"/>
        <v>0.62651814300960518</v>
      </c>
      <c r="BY119" s="2432">
        <f t="shared" si="660"/>
        <v>0.59516859587317572</v>
      </c>
      <c r="BZ119" s="2432">
        <f t="shared" si="660"/>
        <v>0.6530232558139536</v>
      </c>
      <c r="CA119" s="2431">
        <f t="shared" si="660"/>
        <v>0.72129754601227003</v>
      </c>
      <c r="CB119" s="2432">
        <f t="shared" si="660"/>
        <v>0.69159705882352951</v>
      </c>
      <c r="CC119" s="2432">
        <f t="shared" si="660"/>
        <v>0.68506063947078277</v>
      </c>
      <c r="CD119" s="2432">
        <f t="shared" si="660"/>
        <v>0.69422558922558919</v>
      </c>
      <c r="CE119" s="2431">
        <f t="shared" si="660"/>
        <v>0.70415278575531304</v>
      </c>
      <c r="CF119" s="2432">
        <f t="shared" si="660"/>
        <v>0.64319327731092435</v>
      </c>
      <c r="CG119" s="2432">
        <f t="shared" si="660"/>
        <v>0.70048257372654166</v>
      </c>
      <c r="CH119" s="2432">
        <f t="shared" si="660"/>
        <v>0.75760000000000005</v>
      </c>
      <c r="CI119" s="2431">
        <f t="shared" si="660"/>
        <v>0.96969723951713271</v>
      </c>
      <c r="CJ119" s="2432">
        <f t="shared" si="660"/>
        <v>0.89319655778343243</v>
      </c>
      <c r="CK119" s="2432">
        <f t="shared" si="660"/>
        <v>0.98742410339937725</v>
      </c>
      <c r="CL119" s="2432">
        <f t="shared" si="660"/>
        <v>1.0698495571215163</v>
      </c>
      <c r="CM119" s="2431">
        <f t="shared" si="660"/>
        <v>0.99197818693284401</v>
      </c>
      <c r="CN119" s="2432">
        <f t="shared" si="660"/>
        <v>0.92475774456418836</v>
      </c>
      <c r="CO119" s="2432">
        <f t="shared" si="660"/>
        <v>0.89100706191768919</v>
      </c>
      <c r="CP119" s="2432">
        <f t="shared" si="660"/>
        <v>0.90334703706956787</v>
      </c>
      <c r="CQ119" s="2431">
        <f t="shared" si="660"/>
        <v>0.95839993050729677</v>
      </c>
      <c r="CR119" s="2432">
        <f t="shared" si="660"/>
        <v>0.85774549409571155</v>
      </c>
      <c r="CS119" s="2432">
        <f t="shared" si="660"/>
        <v>0.89606188555982502</v>
      </c>
      <c r="CT119" s="2432">
        <f t="shared" si="660"/>
        <v>0.96965632628901177</v>
      </c>
      <c r="CU119" s="2431">
        <f t="shared" si="660"/>
        <v>0.84277162401884298</v>
      </c>
      <c r="CV119" s="2432">
        <f t="shared" si="660"/>
        <v>0.79248516002692615</v>
      </c>
      <c r="CW119" s="2432">
        <f t="shared" si="660"/>
        <v>0.80758258736755584</v>
      </c>
      <c r="CX119" s="2432">
        <f t="shared" si="660"/>
        <v>1.3871031256300155</v>
      </c>
      <c r="CY119" s="2431">
        <f t="shared" si="660"/>
        <v>0.75871009268795053</v>
      </c>
      <c r="CZ119" s="2432">
        <f t="shared" si="660"/>
        <v>0.70567197621475664</v>
      </c>
      <c r="DA119" s="2432">
        <f t="shared" si="660"/>
        <v>0.68974517543061908</v>
      </c>
      <c r="DB119" s="2432">
        <f t="shared" si="660"/>
        <v>0.81174544053429243</v>
      </c>
      <c r="DC119" s="2431">
        <f>DC117/DC88</f>
        <v>0.58061640211640209</v>
      </c>
      <c r="DD119" s="2432">
        <f>DD117/DD88</f>
        <v>0.58277139052328331</v>
      </c>
      <c r="DE119" s="2432">
        <f>DE117/DE88</f>
        <v>0.61772665764546686</v>
      </c>
      <c r="DF119" s="2433">
        <f>DF117/DF88</f>
        <v>0.77100722676941136</v>
      </c>
      <c r="DG119" s="2431">
        <f t="shared" ref="DG119:DJ119" si="661">DG117/DG88</f>
        <v>0.61214519650655019</v>
      </c>
      <c r="DH119" s="2432">
        <f t="shared" si="661"/>
        <v>0.60703040173724221</v>
      </c>
      <c r="DI119" s="2432">
        <f t="shared" si="661"/>
        <v>0.62033464290725404</v>
      </c>
      <c r="DJ119" s="2433">
        <f t="shared" si="661"/>
        <v>0.74964980975711448</v>
      </c>
      <c r="DK119" s="2431">
        <f t="shared" ref="DK119:DL119" si="662">DK117/DK88</f>
        <v>0.60615488279296481</v>
      </c>
      <c r="DL119" s="2432">
        <f t="shared" si="662"/>
        <v>0.59723547717842318</v>
      </c>
      <c r="DM119" s="2432">
        <f t="shared" ref="DM119:DN119" si="663">DM117/DM88</f>
        <v>0.57119541484716163</v>
      </c>
      <c r="DN119" s="2433">
        <f t="shared" si="663"/>
        <v>0.67078846153846161</v>
      </c>
      <c r="DO119" s="2431">
        <f t="shared" ref="DO119:DP119" si="664">DO117/DO88</f>
        <v>0.60979096557079993</v>
      </c>
      <c r="DP119" s="2432">
        <f t="shared" si="664"/>
        <v>0.60338691086065577</v>
      </c>
      <c r="DQ119" s="2432">
        <f t="shared" ref="DQ119:DR119" si="665">DQ117/DQ88</f>
        <v>0.6025563345017525</v>
      </c>
      <c r="DR119" s="2433">
        <f t="shared" si="665"/>
        <v>0.68486340352874209</v>
      </c>
      <c r="DS119" s="2431">
        <f t="shared" ref="DS119" si="666">DS117/DS88</f>
        <v>0.50673040947827885</v>
      </c>
      <c r="DT119" s="2432">
        <f t="shared" ref="DT119:DV119" ca="1" si="667">DT117/DT88</f>
        <v>0.50819573437780341</v>
      </c>
      <c r="DU119" s="2432">
        <f t="shared" ca="1" si="667"/>
        <v>0.49730059039028579</v>
      </c>
      <c r="DV119" s="2433">
        <f t="shared" ca="1" si="667"/>
        <v>0.60123408403598388</v>
      </c>
      <c r="DW119" s="1921"/>
      <c r="DX119"/>
      <c r="DY119"/>
      <c r="DZ119"/>
      <c r="EA119"/>
      <c r="EB119"/>
      <c r="EC119"/>
    </row>
    <row r="120" spans="1:133" hidden="1" outlineLevel="1">
      <c r="A120" s="820" t="s">
        <v>1004</v>
      </c>
      <c r="H120" s="1033">
        <v>4416</v>
      </c>
      <c r="I120" s="1033">
        <v>4176</v>
      </c>
      <c r="J120" s="1033">
        <v>4208</v>
      </c>
      <c r="K120" s="1033">
        <v>4238.08</v>
      </c>
      <c r="L120" s="1033">
        <v>4265.415</v>
      </c>
      <c r="M120" s="1033">
        <v>4477.68</v>
      </c>
      <c r="N120" s="812">
        <f t="shared" ref="N120:V120" si="668">N117</f>
        <v>4717.4400000000005</v>
      </c>
      <c r="O120" s="812">
        <f t="shared" si="668"/>
        <v>4831.24</v>
      </c>
      <c r="P120" s="812">
        <f t="shared" si="668"/>
        <v>5063.83</v>
      </c>
      <c r="Q120" s="812">
        <f t="shared" si="668"/>
        <v>5310.2950000000001</v>
      </c>
      <c r="R120" s="812">
        <f t="shared" si="668"/>
        <v>5441.9750000000004</v>
      </c>
      <c r="S120" s="812">
        <f t="shared" si="668"/>
        <v>5597.1500000000005</v>
      </c>
      <c r="T120" s="812">
        <f t="shared" si="668"/>
        <v>5766.1638848920866</v>
      </c>
      <c r="U120" s="812">
        <f t="shared" si="668"/>
        <v>5933.6710996916745</v>
      </c>
      <c r="V120" s="812">
        <f t="shared" si="668"/>
        <v>8925.2864953751268</v>
      </c>
      <c r="W120" s="812">
        <f t="shared" ref="W120:AB120" si="669">W117</f>
        <v>9082.7899999999991</v>
      </c>
      <c r="X120" s="812">
        <f t="shared" si="669"/>
        <v>9315.9449999999997</v>
      </c>
      <c r="Y120" s="812">
        <f t="shared" si="669"/>
        <v>9524.4650000000001</v>
      </c>
      <c r="Z120" s="812">
        <f t="shared" si="669"/>
        <v>9854.82</v>
      </c>
      <c r="AA120" s="812">
        <f t="shared" si="669"/>
        <v>10068.724999999999</v>
      </c>
      <c r="AB120" s="812">
        <f t="shared" si="669"/>
        <v>10324.31</v>
      </c>
      <c r="AC120" s="812">
        <f t="shared" ref="AC120:AG120" si="670">AC117</f>
        <v>10580.254999999999</v>
      </c>
      <c r="AD120" s="812">
        <f t="shared" si="670"/>
        <v>10836.56</v>
      </c>
      <c r="AE120" s="812">
        <f t="shared" si="670"/>
        <v>11093.224999999999</v>
      </c>
      <c r="AF120" s="812">
        <f t="shared" si="670"/>
        <v>11350.25</v>
      </c>
      <c r="AG120" s="812">
        <f t="shared" si="670"/>
        <v>11607.635</v>
      </c>
      <c r="BG120" s="2434"/>
      <c r="BH120" s="1184"/>
      <c r="BI120" s="1184"/>
      <c r="BJ120" s="1184"/>
      <c r="BK120" s="1184">
        <v>1057.98</v>
      </c>
      <c r="BL120" s="1184">
        <v>1059.135</v>
      </c>
      <c r="BM120" s="1184">
        <v>1059.905</v>
      </c>
      <c r="BN120" s="1184">
        <v>1061.06</v>
      </c>
      <c r="BO120" s="1184">
        <v>1066.45</v>
      </c>
      <c r="BP120" s="1184">
        <v>1066.45</v>
      </c>
      <c r="BQ120" s="1184">
        <v>1066.0650000000001</v>
      </c>
      <c r="BR120" s="1184">
        <v>1066.45</v>
      </c>
      <c r="BS120" s="1184">
        <v>1121.4449999999999</v>
      </c>
      <c r="BT120" s="1184">
        <v>1121.04</v>
      </c>
      <c r="BU120" s="1184">
        <v>1119.825</v>
      </c>
      <c r="BV120" s="2435">
        <v>1119.42</v>
      </c>
      <c r="BW120" s="2436">
        <f t="shared" ref="BW120:DB120" si="671">BW117</f>
        <v>1181.385</v>
      </c>
      <c r="BX120" s="2420">
        <f t="shared" si="671"/>
        <v>1174.095</v>
      </c>
      <c r="BY120" s="2420">
        <f t="shared" si="671"/>
        <v>1182.6000000000001</v>
      </c>
      <c r="BZ120" s="2420">
        <f t="shared" si="671"/>
        <v>1179.3600000000001</v>
      </c>
      <c r="CA120" s="2436">
        <f t="shared" si="671"/>
        <v>1175.7150000000001</v>
      </c>
      <c r="CB120" s="2420">
        <f t="shared" si="671"/>
        <v>1175.7150000000001</v>
      </c>
      <c r="CC120" s="2420">
        <f t="shared" si="671"/>
        <v>1242.7</v>
      </c>
      <c r="CD120" s="2420">
        <f t="shared" si="671"/>
        <v>1237.1099999999999</v>
      </c>
      <c r="CE120" s="2436">
        <f t="shared" si="671"/>
        <v>1225.93</v>
      </c>
      <c r="CF120" s="2420">
        <f t="shared" si="671"/>
        <v>1224.6399999999999</v>
      </c>
      <c r="CG120" s="2420">
        <f t="shared" si="671"/>
        <v>1306.4000000000001</v>
      </c>
      <c r="CH120" s="2420">
        <f t="shared" si="671"/>
        <v>1306.8600000000001</v>
      </c>
      <c r="CI120" s="2436">
        <f t="shared" si="671"/>
        <v>1306.8600000000001</v>
      </c>
      <c r="CJ120" s="2420">
        <f t="shared" si="671"/>
        <v>1306.8600000000001</v>
      </c>
      <c r="CK120" s="2420">
        <f t="shared" si="671"/>
        <v>1349.4749999999999</v>
      </c>
      <c r="CL120" s="2420">
        <f t="shared" si="671"/>
        <v>1347.1</v>
      </c>
      <c r="CM120" s="2436">
        <f t="shared" si="671"/>
        <v>1342.825</v>
      </c>
      <c r="CN120" s="2420">
        <f t="shared" si="671"/>
        <v>1342.825</v>
      </c>
      <c r="CO120" s="2420">
        <f t="shared" si="671"/>
        <v>1378.1624999999999</v>
      </c>
      <c r="CP120" s="2420">
        <f t="shared" si="671"/>
        <v>1378.1624999999999</v>
      </c>
      <c r="CQ120" s="2436">
        <f t="shared" si="671"/>
        <v>1379.1375</v>
      </c>
      <c r="CR120" s="2420">
        <f t="shared" si="671"/>
        <v>1380.1125</v>
      </c>
      <c r="CS120" s="2420">
        <f t="shared" si="671"/>
        <v>1415.5</v>
      </c>
      <c r="CT120" s="2420">
        <f t="shared" si="671"/>
        <v>1417</v>
      </c>
      <c r="CU120" s="2436">
        <f t="shared" si="671"/>
        <v>1420.5</v>
      </c>
      <c r="CV120" s="2420">
        <f t="shared" si="671"/>
        <v>1424.5</v>
      </c>
      <c r="CW120" s="2420">
        <f t="shared" si="671"/>
        <v>1469.81</v>
      </c>
      <c r="CX120" s="2420">
        <f t="shared" si="671"/>
        <v>1472.385</v>
      </c>
      <c r="CY120" s="2436">
        <f t="shared" si="671"/>
        <v>1473.415</v>
      </c>
      <c r="CZ120" s="2420">
        <f t="shared" si="671"/>
        <v>1473.93</v>
      </c>
      <c r="DA120" s="2420">
        <f t="shared" si="671"/>
        <v>1516.8600000000001</v>
      </c>
      <c r="DB120" s="2420">
        <f t="shared" si="671"/>
        <v>1516.8600000000001</v>
      </c>
      <c r="DC120" s="2436">
        <f>DC117</f>
        <v>2194.73</v>
      </c>
      <c r="DD120" s="2420">
        <f>DD117</f>
        <v>2196.85</v>
      </c>
      <c r="DE120" s="2420">
        <f>DE117</f>
        <v>2282.5</v>
      </c>
      <c r="DF120" s="2437">
        <f>DF117</f>
        <v>2285.25</v>
      </c>
      <c r="DG120" s="2436">
        <f t="shared" ref="DG120:DJ120" si="672">DG117</f>
        <v>2242.9</v>
      </c>
      <c r="DH120" s="2420">
        <f t="shared" si="672"/>
        <v>2236.3000000000002</v>
      </c>
      <c r="DI120" s="2420">
        <f t="shared" si="672"/>
        <v>2298.9849999999997</v>
      </c>
      <c r="DJ120" s="2437">
        <f t="shared" si="672"/>
        <v>2301.2449999999999</v>
      </c>
      <c r="DK120" s="2436">
        <f t="shared" ref="DK120:DL120" si="673">DK117</f>
        <v>2302.9399999999996</v>
      </c>
      <c r="DL120" s="2420">
        <f t="shared" si="673"/>
        <v>2302.9399999999996</v>
      </c>
      <c r="DM120" s="2420">
        <f t="shared" ref="DM120:DN120" si="674">DM117</f>
        <v>2354.4675000000002</v>
      </c>
      <c r="DN120" s="2437">
        <f t="shared" si="674"/>
        <v>2354.4675000000002</v>
      </c>
      <c r="DO120" s="2436">
        <f t="shared" ref="DO120:DP120" si="675">DO117</f>
        <v>2355.6224999999999</v>
      </c>
      <c r="DP120" s="2420">
        <f t="shared" si="675"/>
        <v>2355.6224999999999</v>
      </c>
      <c r="DQ120" s="2420">
        <f t="shared" ref="DQ120:DR120" si="676">DQ117</f>
        <v>2406.6099999999997</v>
      </c>
      <c r="DR120" s="2437">
        <f t="shared" si="676"/>
        <v>2406.6099999999997</v>
      </c>
      <c r="DS120" s="2436">
        <f t="shared" ref="DS120" si="677">DS117</f>
        <v>2437.8799999999997</v>
      </c>
      <c r="DT120" s="2420">
        <f t="shared" ref="DT120:DV120" si="678">DT117</f>
        <v>2438.4699999999998</v>
      </c>
      <c r="DU120" s="2420">
        <f t="shared" si="678"/>
        <v>2490.7349999999997</v>
      </c>
      <c r="DV120" s="2437">
        <f t="shared" si="678"/>
        <v>2491.3374999999996</v>
      </c>
    </row>
    <row r="121" spans="1:133" s="82" customFormat="1" hidden="1" outlineLevel="1">
      <c r="A121" s="82" t="s">
        <v>1005</v>
      </c>
      <c r="H121" s="1156">
        <v>1.54</v>
      </c>
      <c r="I121" s="1156">
        <v>1.54</v>
      </c>
      <c r="J121" s="1156">
        <v>1.54</v>
      </c>
      <c r="K121" s="1156">
        <v>1.54</v>
      </c>
      <c r="L121" s="1156">
        <v>1.54</v>
      </c>
      <c r="M121" s="1156">
        <v>1.62</v>
      </c>
      <c r="N121" s="82">
        <f t="shared" ref="N121:V121" si="679">N115</f>
        <v>1.62</v>
      </c>
      <c r="O121" s="82">
        <f t="shared" si="679"/>
        <v>1.67</v>
      </c>
      <c r="P121" s="82">
        <f t="shared" si="679"/>
        <v>1.78</v>
      </c>
      <c r="Q121" s="82">
        <f t="shared" si="679"/>
        <v>1.87</v>
      </c>
      <c r="R121" s="82">
        <f t="shared" si="679"/>
        <v>1.925</v>
      </c>
      <c r="S121" s="82">
        <f t="shared" si="679"/>
        <v>1.9750000000000001</v>
      </c>
      <c r="T121" s="82">
        <f t="shared" si="679"/>
        <v>2.0300000000000002</v>
      </c>
      <c r="U121" s="82">
        <f t="shared" si="679"/>
        <v>2.09</v>
      </c>
      <c r="V121" s="82">
        <f t="shared" si="679"/>
        <v>2.16</v>
      </c>
      <c r="W121" s="82">
        <f t="shared" ref="W121:AB121" si="680">W115</f>
        <v>2.23</v>
      </c>
      <c r="X121" s="82">
        <f t="shared" si="680"/>
        <v>2.2850000000000001</v>
      </c>
      <c r="Y121" s="82">
        <f t="shared" si="680"/>
        <v>2.335</v>
      </c>
      <c r="Z121" s="82">
        <f t="shared" si="680"/>
        <v>2.3849999999999998</v>
      </c>
      <c r="AA121" s="82">
        <f t="shared" si="680"/>
        <v>2.4349999999999996</v>
      </c>
      <c r="AB121" s="82">
        <f t="shared" si="680"/>
        <v>2.4949999999999997</v>
      </c>
      <c r="AC121" s="82">
        <f t="shared" ref="AC121:AG121" si="681">AC115</f>
        <v>2.5549999999999997</v>
      </c>
      <c r="AD121" s="82">
        <f t="shared" si="681"/>
        <v>2.6149999999999998</v>
      </c>
      <c r="AE121" s="82">
        <f t="shared" si="681"/>
        <v>2.6749999999999998</v>
      </c>
      <c r="AF121" s="82">
        <f t="shared" si="681"/>
        <v>2.7349999999999999</v>
      </c>
      <c r="AG121" s="82">
        <f t="shared" si="681"/>
        <v>2.7949999999999999</v>
      </c>
      <c r="AH121" s="1920"/>
      <c r="AI121" s="1149"/>
      <c r="AJ121" s="1920"/>
      <c r="AK121" s="1419"/>
      <c r="AL121" s="1419"/>
      <c r="AM121" s="1419"/>
      <c r="AN121" s="1419"/>
      <c r="AO121" s="1419"/>
      <c r="AP121" s="1419"/>
      <c r="AQ121" s="1419"/>
      <c r="AR121" s="1419"/>
      <c r="AS121" s="1419"/>
      <c r="AT121" s="1419"/>
      <c r="AU121" s="1419"/>
      <c r="AV121" s="1419"/>
      <c r="AW121" s="1419"/>
      <c r="AX121" s="1419"/>
      <c r="AY121" s="1419"/>
      <c r="AZ121" s="1419"/>
      <c r="BA121" s="1419"/>
      <c r="BB121" s="1419"/>
      <c r="BC121" s="1419"/>
      <c r="BD121" s="1419"/>
      <c r="BE121" s="1419"/>
      <c r="BF121" s="1419"/>
      <c r="BG121" s="84"/>
      <c r="BH121" s="1185"/>
      <c r="BI121" s="1185"/>
      <c r="BJ121" s="1185"/>
      <c r="BK121" s="1185"/>
      <c r="BL121" s="1185"/>
      <c r="BM121" s="1185"/>
      <c r="BN121" s="1185"/>
      <c r="BO121" s="1185"/>
      <c r="BP121" s="1185"/>
      <c r="BQ121" s="1185"/>
      <c r="BR121" s="1185"/>
      <c r="BS121" s="1185"/>
      <c r="BT121" s="1185"/>
      <c r="BU121" s="1185"/>
      <c r="BV121" s="1187"/>
      <c r="BW121" s="84"/>
      <c r="BX121" s="1185"/>
      <c r="BY121" s="1185"/>
      <c r="BZ121" s="1185"/>
      <c r="CA121" s="84"/>
      <c r="CB121" s="1185"/>
      <c r="CC121" s="1185"/>
      <c r="CD121" s="1185"/>
      <c r="CE121" s="84"/>
      <c r="CF121" s="1185"/>
      <c r="CG121" s="1185"/>
      <c r="CH121" s="1185"/>
      <c r="CI121" s="84"/>
      <c r="CJ121" s="1185"/>
      <c r="CK121" s="1185"/>
      <c r="CL121" s="1185"/>
      <c r="CM121" s="84"/>
      <c r="CN121" s="1185"/>
      <c r="CO121" s="1185"/>
      <c r="CP121" s="1185"/>
      <c r="CQ121" s="84"/>
      <c r="CR121" s="1185"/>
      <c r="CS121" s="1185"/>
      <c r="CT121" s="1185"/>
      <c r="CU121" s="84"/>
      <c r="CV121" s="1185"/>
      <c r="CW121" s="1185"/>
      <c r="CX121" s="1185"/>
      <c r="CY121" s="84"/>
      <c r="CZ121" s="1185"/>
      <c r="DA121" s="1185"/>
      <c r="DB121" s="1185"/>
      <c r="DC121" s="84"/>
      <c r="DD121" s="1185"/>
      <c r="DE121" s="1185"/>
      <c r="DF121" s="1187"/>
      <c r="DG121" s="84"/>
      <c r="DH121" s="1185"/>
      <c r="DI121" s="1185"/>
      <c r="DJ121" s="1187"/>
      <c r="DK121" s="84"/>
      <c r="DL121" s="1185"/>
      <c r="DM121" s="1185"/>
      <c r="DN121" s="1187"/>
      <c r="DO121" s="84"/>
      <c r="DP121" s="1185"/>
      <c r="DQ121" s="1185"/>
      <c r="DR121" s="1187"/>
      <c r="DS121" s="84"/>
      <c r="DT121" s="1185"/>
      <c r="DU121" s="1185"/>
      <c r="DV121" s="1187"/>
      <c r="DW121" s="1920"/>
      <c r="DX121"/>
      <c r="DY121"/>
      <c r="DZ121"/>
      <c r="EA121"/>
      <c r="EB121"/>
      <c r="EC121"/>
    </row>
    <row r="122" spans="1:133" s="821" customFormat="1" hidden="1" outlineLevel="1">
      <c r="A122" s="1578" t="s">
        <v>1006</v>
      </c>
      <c r="H122" s="1146">
        <v>6.6046035805626584</v>
      </c>
      <c r="I122" s="1146">
        <v>6.4707692307692311</v>
      </c>
      <c r="J122" s="1146">
        <v>6.0839826839826836</v>
      </c>
      <c r="K122" s="1146">
        <v>5.8210111150950157</v>
      </c>
      <c r="L122" s="1146">
        <v>5.5162592986184906</v>
      </c>
      <c r="M122" s="1146">
        <v>5.355681818181818</v>
      </c>
      <c r="N122" s="821">
        <f t="shared" ref="N122:V122" si="682">(N76+N48)*0.6/N103</f>
        <v>4.8018336211245245</v>
      </c>
      <c r="O122" s="821">
        <f t="shared" si="682"/>
        <v>5.1194850655589361</v>
      </c>
      <c r="P122" s="821">
        <f t="shared" si="682"/>
        <v>5.3754371888455843</v>
      </c>
      <c r="Q122" s="821">
        <f t="shared" si="682"/>
        <v>4.8998462513199579</v>
      </c>
      <c r="R122" s="821">
        <f t="shared" si="682"/>
        <v>5.1726955171196609</v>
      </c>
      <c r="S122" s="821">
        <f t="shared" si="682"/>
        <v>5.3382881296231064</v>
      </c>
      <c r="T122" s="821">
        <f t="shared" si="682"/>
        <v>5.3603773584905658</v>
      </c>
      <c r="U122" s="821">
        <f t="shared" si="682"/>
        <v>5.9102505219206671</v>
      </c>
      <c r="V122" s="821">
        <f t="shared" si="682"/>
        <v>5.3288331031169296</v>
      </c>
      <c r="W122" s="821">
        <f t="shared" ref="W122:AB122" si="683">(W76+W48)*0.6/W103</f>
        <v>5.7240014657383655</v>
      </c>
      <c r="X122" s="821">
        <f t="shared" si="683"/>
        <v>5.8012360031817902</v>
      </c>
      <c r="Y122" s="821">
        <f t="shared" si="683"/>
        <v>5.7824321017861511</v>
      </c>
      <c r="Z122" s="821">
        <f t="shared" ca="1" si="683"/>
        <v>6.1520165343814019</v>
      </c>
      <c r="AA122" s="821">
        <f t="shared" ca="1" si="683"/>
        <v>6.3224663130543295</v>
      </c>
      <c r="AB122" s="821">
        <f t="shared" ca="1" si="683"/>
        <v>6.4851551370791194</v>
      </c>
      <c r="AC122" s="821">
        <f t="shared" ref="AC122:AG122" ca="1" si="684">(AC76+AC48)*0.6/AC103</f>
        <v>6.643706438771364</v>
      </c>
      <c r="AD122" s="821">
        <f t="shared" ca="1" si="684"/>
        <v>6.8189047317206288</v>
      </c>
      <c r="AE122" s="821">
        <f t="shared" ca="1" si="684"/>
        <v>7.0065388563101028</v>
      </c>
      <c r="AF122" s="821">
        <f t="shared" ca="1" si="684"/>
        <v>7.2076972396496775</v>
      </c>
      <c r="AG122" s="821">
        <f t="shared" ca="1" si="684"/>
        <v>7.4238555922519192</v>
      </c>
      <c r="AH122" s="1921"/>
      <c r="AI122" s="1149"/>
      <c r="AJ122" s="1921"/>
      <c r="AK122" s="1420"/>
      <c r="AL122" s="1420"/>
      <c r="AM122" s="1420"/>
      <c r="AN122" s="1420"/>
      <c r="AO122" s="1420"/>
      <c r="AP122" s="1420"/>
      <c r="AQ122" s="1420"/>
      <c r="AR122" s="1420"/>
      <c r="AS122" s="1420"/>
      <c r="AT122" s="1420"/>
      <c r="AU122" s="1420"/>
      <c r="AV122" s="1420"/>
      <c r="AW122" s="1420"/>
      <c r="AX122" s="1420"/>
      <c r="AY122" s="1420"/>
      <c r="AZ122" s="1420"/>
      <c r="BA122" s="1420"/>
      <c r="BB122" s="1420"/>
      <c r="BC122" s="1420"/>
      <c r="BD122" s="1420"/>
      <c r="BE122" s="1420"/>
      <c r="BF122" s="1420"/>
      <c r="BG122" s="2431"/>
      <c r="BH122" s="2432"/>
      <c r="BI122" s="2432"/>
      <c r="BJ122" s="2432"/>
      <c r="BK122" s="2432"/>
      <c r="BL122" s="2432"/>
      <c r="BM122" s="2432"/>
      <c r="BN122" s="2432"/>
      <c r="BO122" s="2432"/>
      <c r="BP122" s="2432"/>
      <c r="BQ122" s="2432"/>
      <c r="BR122" s="2432"/>
      <c r="BS122" s="2432"/>
      <c r="BT122" s="2432"/>
      <c r="BU122" s="2432"/>
      <c r="BV122" s="2433"/>
      <c r="BW122" s="2431"/>
      <c r="BX122" s="2432"/>
      <c r="BY122" s="2432"/>
      <c r="BZ122" s="2432"/>
      <c r="CA122" s="2431"/>
      <c r="CB122" s="2432"/>
      <c r="CC122" s="2432"/>
      <c r="CD122" s="2432"/>
      <c r="CE122" s="2431"/>
      <c r="CF122" s="2432"/>
      <c r="CG122" s="2432"/>
      <c r="CH122" s="2432"/>
      <c r="CI122" s="2431"/>
      <c r="CJ122" s="2432"/>
      <c r="CK122" s="2432"/>
      <c r="CL122" s="2432"/>
      <c r="CM122" s="2431"/>
      <c r="CN122" s="2432"/>
      <c r="CO122" s="2432"/>
      <c r="CP122" s="2432"/>
      <c r="CQ122" s="2431"/>
      <c r="CR122" s="2432"/>
      <c r="CS122" s="2432"/>
      <c r="CT122" s="2432"/>
      <c r="CU122" s="2431"/>
      <c r="CV122" s="2432"/>
      <c r="CW122" s="2432"/>
      <c r="CX122" s="2432"/>
      <c r="CY122" s="2431"/>
      <c r="CZ122" s="2432"/>
      <c r="DA122" s="2432"/>
      <c r="DB122" s="2432"/>
      <c r="DC122" s="2431"/>
      <c r="DD122" s="2432"/>
      <c r="DE122" s="2432"/>
      <c r="DF122" s="2433"/>
      <c r="DG122" s="2431"/>
      <c r="DH122" s="2432"/>
      <c r="DI122" s="2432"/>
      <c r="DJ122" s="2433"/>
      <c r="DK122" s="2431"/>
      <c r="DL122" s="2432"/>
      <c r="DM122" s="2432"/>
      <c r="DN122" s="2433"/>
      <c r="DO122" s="2431"/>
      <c r="DP122" s="2432"/>
      <c r="DQ122" s="2432"/>
      <c r="DR122" s="2433"/>
      <c r="DS122" s="2431"/>
      <c r="DT122" s="2432"/>
      <c r="DU122" s="2432"/>
      <c r="DV122" s="2433"/>
      <c r="DW122" s="1921"/>
      <c r="DX122"/>
      <c r="DY122"/>
      <c r="DZ122"/>
      <c r="EA122"/>
      <c r="EB122"/>
      <c r="EC122"/>
    </row>
    <row r="123" spans="1:133" s="821" customFormat="1" hidden="1" outlineLevel="1">
      <c r="A123" s="1578" t="s">
        <v>945</v>
      </c>
      <c r="H123" s="1146"/>
      <c r="I123" s="1146">
        <v>-2.0263797540748918E-2</v>
      </c>
      <c r="J123" s="1146">
        <v>-5.9774430673146917E-2</v>
      </c>
      <c r="K123" s="1146">
        <v>-4.3223589307706867E-2</v>
      </c>
      <c r="L123" s="1146">
        <v>-5.2353759587616011E-2</v>
      </c>
      <c r="M123" s="1146">
        <v>-2.9109849944306987E-2</v>
      </c>
      <c r="N123" s="821">
        <f t="shared" ref="N123:AB123" si="685">N122/M122-1</f>
        <v>-0.10341320038413293</v>
      </c>
      <c r="O123" s="821">
        <f t="shared" si="685"/>
        <v>6.6152113858543471E-2</v>
      </c>
      <c r="P123" s="821">
        <f t="shared" si="685"/>
        <v>4.9995677301327035E-2</v>
      </c>
      <c r="Q123" s="821">
        <f t="shared" si="685"/>
        <v>-8.8474838569877035E-2</v>
      </c>
      <c r="R123" s="821">
        <f t="shared" si="685"/>
        <v>5.5685270885020177E-2</v>
      </c>
      <c r="S123" s="821">
        <f t="shared" si="685"/>
        <v>3.201282811938122E-2</v>
      </c>
      <c r="T123" s="821">
        <f t="shared" si="685"/>
        <v>4.1378862157857021E-3</v>
      </c>
      <c r="U123" s="821">
        <f t="shared" si="685"/>
        <v>0.10258105477576684</v>
      </c>
      <c r="V123" s="821">
        <f t="shared" si="685"/>
        <v>-9.8374411820159713E-2</v>
      </c>
      <c r="W123" s="821">
        <f>W122/V122-1</f>
        <v>7.4156640858257461E-2</v>
      </c>
      <c r="X123" s="821">
        <f>X122/W122-1</f>
        <v>1.3493102317621686E-2</v>
      </c>
      <c r="Y123" s="821">
        <f>Y122/X122-1</f>
        <v>-3.2413612177345508E-3</v>
      </c>
      <c r="Z123" s="821">
        <f ca="1">Z122/Y122-1</f>
        <v>6.3915049254290146E-2</v>
      </c>
      <c r="AA123" s="821">
        <f t="shared" ca="1" si="685"/>
        <v>2.7706326489915112E-2</v>
      </c>
      <c r="AB123" s="821">
        <f t="shared" ca="1" si="685"/>
        <v>2.5731860949401719E-2</v>
      </c>
      <c r="AC123" s="821">
        <f t="shared" ref="AC123" ca="1" si="686">AC122/AB122-1</f>
        <v>2.4448343692770269E-2</v>
      </c>
      <c r="AD123" s="821">
        <f t="shared" ref="AD123" ca="1" si="687">AD122/AC122-1</f>
        <v>2.6370565069949725E-2</v>
      </c>
      <c r="AE123" s="821">
        <f t="shared" ref="AE123" ca="1" si="688">AE122/AD122-1</f>
        <v>2.7516754078792838E-2</v>
      </c>
      <c r="AF123" s="821">
        <f t="shared" ref="AF123" ca="1" si="689">AF122/AE122-1</f>
        <v>2.8710093166529838E-2</v>
      </c>
      <c r="AG123" s="821">
        <f t="shared" ref="AG123" ca="1" si="690">AG122/AF122-1</f>
        <v>2.9989932348039039E-2</v>
      </c>
      <c r="AH123" s="1921"/>
      <c r="AI123" s="1149"/>
      <c r="AJ123" s="1921"/>
      <c r="AK123" s="1420"/>
      <c r="AL123" s="1420"/>
      <c r="AM123" s="1420"/>
      <c r="AN123" s="1420"/>
      <c r="AO123" s="1420"/>
      <c r="AP123" s="1420"/>
      <c r="AQ123" s="1420"/>
      <c r="AR123" s="1420"/>
      <c r="AS123" s="1420"/>
      <c r="AT123" s="1420"/>
      <c r="AU123" s="1420"/>
      <c r="AV123" s="1420"/>
      <c r="AW123" s="1420"/>
      <c r="AX123" s="1420"/>
      <c r="AY123" s="1420"/>
      <c r="AZ123" s="1420"/>
      <c r="BA123" s="1420"/>
      <c r="BB123" s="1420"/>
      <c r="BC123" s="1420"/>
      <c r="BD123" s="1420"/>
      <c r="BE123" s="1420"/>
      <c r="BF123" s="1420"/>
      <c r="BG123" s="2431"/>
      <c r="BH123" s="2432"/>
      <c r="BI123" s="2432"/>
      <c r="BJ123" s="2432"/>
      <c r="BK123" s="2432"/>
      <c r="BL123" s="2432"/>
      <c r="BM123" s="2432"/>
      <c r="BN123" s="2432"/>
      <c r="BO123" s="2432"/>
      <c r="BP123" s="2432"/>
      <c r="BQ123" s="2432"/>
      <c r="BR123" s="2432"/>
      <c r="BS123" s="2432"/>
      <c r="BT123" s="2432"/>
      <c r="BU123" s="2432"/>
      <c r="BV123" s="2433"/>
      <c r="BW123" s="2431"/>
      <c r="BX123" s="2432"/>
      <c r="BY123" s="2432"/>
      <c r="BZ123" s="2432"/>
      <c r="CA123" s="2431"/>
      <c r="CB123" s="2432"/>
      <c r="CC123" s="2432"/>
      <c r="CD123" s="2432"/>
      <c r="CE123" s="2431"/>
      <c r="CF123" s="2432"/>
      <c r="CG123" s="2432"/>
      <c r="CH123" s="2432"/>
      <c r="CI123" s="2431"/>
      <c r="CJ123" s="2432"/>
      <c r="CK123" s="2432"/>
      <c r="CL123" s="2432"/>
      <c r="CM123" s="2431"/>
      <c r="CN123" s="2432"/>
      <c r="CO123" s="2432"/>
      <c r="CP123" s="2432"/>
      <c r="CQ123" s="2431"/>
      <c r="CR123" s="2432"/>
      <c r="CS123" s="2432"/>
      <c r="CT123" s="2432"/>
      <c r="CU123" s="2431"/>
      <c r="CV123" s="2432"/>
      <c r="CW123" s="2432"/>
      <c r="CX123" s="2432"/>
      <c r="CY123" s="2431"/>
      <c r="CZ123" s="2432"/>
      <c r="DA123" s="2432"/>
      <c r="DB123" s="2432"/>
      <c r="DC123" s="2431"/>
      <c r="DD123" s="2432"/>
      <c r="DE123" s="2432"/>
      <c r="DF123" s="2433"/>
      <c r="DG123" s="2431"/>
      <c r="DH123" s="2432"/>
      <c r="DI123" s="2432"/>
      <c r="DJ123" s="2433"/>
      <c r="DK123" s="2431"/>
      <c r="DL123" s="2432"/>
      <c r="DM123" s="2432"/>
      <c r="DN123" s="2433"/>
      <c r="DO123" s="2431"/>
      <c r="DP123" s="2432"/>
      <c r="DQ123" s="2432"/>
      <c r="DR123" s="2433"/>
      <c r="DS123" s="2431"/>
      <c r="DT123" s="2432"/>
      <c r="DU123" s="2432"/>
      <c r="DV123" s="2433"/>
      <c r="DW123" s="1921"/>
      <c r="DX123"/>
      <c r="DY123"/>
      <c r="DZ123"/>
      <c r="EA123"/>
      <c r="EB123"/>
      <c r="EC123"/>
    </row>
    <row r="124" spans="1:133" hidden="1" outlineLevel="1">
      <c r="S124" s="812">
        <f>+S117/((CFS!S34+CFS!S38)-(0.45*CFS!S115))</f>
        <v>0.84580952054977221</v>
      </c>
      <c r="T124" s="812">
        <f>+T117/((CFS!T34+CFS!T38)-(0.45*CFS!T115))</f>
        <v>0.78624064591693321</v>
      </c>
      <c r="U124" s="812" t="e">
        <f>+U117/((CFS!U34+CFS!U38)-(0.45*CFS!U115))</f>
        <v>#REF!</v>
      </c>
      <c r="V124" s="812">
        <f>+V117/(CFS!V34+CFS!V38)</f>
        <v>0.66408381662017313</v>
      </c>
      <c r="W124" s="812">
        <f>+W117/(CFS!W34+CFS!W38)</f>
        <v>0.4293448357362325</v>
      </c>
      <c r="X124" s="812">
        <f>+X117/(CFS!X34+CFS!X38)</f>
        <v>1.6470907001414428</v>
      </c>
      <c r="Y124" s="812">
        <f>+Y117/(CFS!Y34+CFS!Y38)</f>
        <v>1.1819887068751551</v>
      </c>
      <c r="Z124" s="812">
        <f ca="1">+Z117/(CFS!Z34+CFS!Z38)</f>
        <v>0.58522061217249222</v>
      </c>
      <c r="BG124" s="2436"/>
      <c r="BH124" s="2420"/>
      <c r="BI124" s="2420"/>
      <c r="BJ124" s="2420"/>
      <c r="BK124" s="2420"/>
      <c r="BL124" s="2420"/>
      <c r="BM124" s="2420"/>
      <c r="BN124" s="2420"/>
      <c r="BO124" s="2420"/>
      <c r="BP124" s="2420"/>
      <c r="BQ124" s="2420"/>
      <c r="BR124" s="2420"/>
      <c r="BS124" s="2420"/>
      <c r="BT124" s="2420"/>
      <c r="BU124" s="2420"/>
      <c r="BV124" s="2437"/>
      <c r="BW124" s="2436"/>
      <c r="BX124" s="2420"/>
      <c r="BY124" s="2420"/>
      <c r="BZ124" s="2420"/>
      <c r="CA124" s="2436"/>
      <c r="CB124" s="2420"/>
      <c r="CC124" s="2420"/>
      <c r="CD124" s="2420"/>
      <c r="CE124" s="2436"/>
      <c r="CF124" s="2420"/>
      <c r="CG124" s="2420"/>
      <c r="CH124" s="2420"/>
      <c r="CI124" s="2436"/>
      <c r="CJ124" s="2420"/>
      <c r="CK124" s="2420"/>
      <c r="CL124" s="2420"/>
      <c r="CM124" s="2436"/>
      <c r="CN124" s="2420"/>
      <c r="CO124" s="2420"/>
      <c r="CP124" s="2420"/>
      <c r="CQ124" s="2436"/>
      <c r="CR124" s="2420"/>
      <c r="CS124" s="2420"/>
      <c r="CT124" s="2420"/>
      <c r="CU124" s="2436"/>
      <c r="CV124" s="2420"/>
      <c r="CW124" s="2420"/>
      <c r="CX124" s="2420"/>
      <c r="CY124" s="2436"/>
      <c r="CZ124" s="2420"/>
      <c r="DA124" s="2420"/>
      <c r="DB124" s="2420"/>
      <c r="DC124" s="2436"/>
      <c r="DF124" s="2437"/>
      <c r="DG124" s="2436"/>
      <c r="DJ124" s="2437"/>
      <c r="DK124" s="2436"/>
      <c r="DN124" s="2437"/>
      <c r="DO124" s="2436"/>
      <c r="DR124" s="2437"/>
      <c r="DS124" s="2436"/>
      <c r="DV124" s="2437"/>
    </row>
    <row r="125" spans="1:133" hidden="1" outlineLevel="1">
      <c r="A125" s="800" t="s">
        <v>1007</v>
      </c>
      <c r="BG125" s="2436"/>
      <c r="BH125" s="2420"/>
      <c r="BI125" s="2420"/>
      <c r="BJ125" s="2420"/>
      <c r="BK125" s="2420"/>
      <c r="BL125" s="2420"/>
      <c r="BM125" s="2420"/>
      <c r="BN125" s="2420"/>
      <c r="BO125" s="2420"/>
      <c r="BP125" s="2420"/>
      <c r="BQ125" s="2420"/>
      <c r="BR125" s="2420"/>
      <c r="BS125" s="2420"/>
      <c r="BT125" s="2420"/>
      <c r="BU125" s="2420"/>
      <c r="BV125" s="2437"/>
      <c r="BW125" s="2436"/>
      <c r="BX125" s="2420"/>
      <c r="BY125" s="2420"/>
      <c r="BZ125" s="2420"/>
      <c r="CA125" s="2436"/>
      <c r="CB125" s="2420"/>
      <c r="CC125" s="2420"/>
      <c r="CD125" s="2420"/>
      <c r="CE125" s="2436"/>
      <c r="CF125" s="2420"/>
      <c r="CG125" s="2420"/>
      <c r="CH125" s="2420"/>
      <c r="CI125" s="2436"/>
      <c r="CJ125" s="2420"/>
      <c r="CK125" s="2420"/>
      <c r="CL125" s="2420"/>
      <c r="CM125" s="2436"/>
      <c r="CN125" s="2420"/>
      <c r="CO125" s="2420"/>
      <c r="CP125" s="2420"/>
      <c r="CQ125" s="2436"/>
      <c r="CR125" s="2420"/>
      <c r="CS125" s="2420"/>
      <c r="CT125" s="2420"/>
      <c r="CU125" s="2436"/>
      <c r="CV125" s="2420"/>
      <c r="CW125" s="2420"/>
      <c r="CX125" s="2420"/>
      <c r="CY125" s="2436"/>
      <c r="CZ125" s="2420"/>
      <c r="DA125" s="2420"/>
      <c r="DB125" s="2420"/>
      <c r="DC125" s="2436"/>
      <c r="DF125" s="2437"/>
      <c r="DG125" s="2436"/>
      <c r="DJ125" s="2437"/>
      <c r="DK125" s="2436"/>
      <c r="DN125" s="2437"/>
      <c r="DO125" s="2436"/>
      <c r="DR125" s="2437"/>
      <c r="DS125" s="2436"/>
      <c r="DV125" s="2437"/>
    </row>
    <row r="126" spans="1:133" hidden="1" outlineLevel="1">
      <c r="BG126" s="2436"/>
      <c r="BH126" s="2420"/>
      <c r="BI126" s="2420"/>
      <c r="BJ126" s="2420"/>
      <c r="BK126" s="2420"/>
      <c r="BL126" s="2420"/>
      <c r="BM126" s="2420"/>
      <c r="BN126" s="2420"/>
      <c r="BO126" s="2420"/>
      <c r="BP126" s="2420"/>
      <c r="BQ126" s="2420"/>
      <c r="BR126" s="2420"/>
      <c r="BS126" s="2420"/>
      <c r="BT126" s="2420"/>
      <c r="BU126" s="2420"/>
      <c r="BV126" s="2437"/>
      <c r="BW126" s="2436"/>
      <c r="BX126" s="2420"/>
      <c r="BY126" s="2420"/>
      <c r="BZ126" s="2420"/>
      <c r="CA126" s="2436"/>
      <c r="CB126" s="2420"/>
      <c r="CC126" s="2420"/>
      <c r="CD126" s="2420"/>
      <c r="CE126" s="2436"/>
      <c r="CF126" s="2420"/>
      <c r="CG126" s="2420"/>
      <c r="CH126" s="2420"/>
      <c r="CI126" s="2436"/>
      <c r="CJ126" s="2420"/>
      <c r="CK126" s="2420"/>
      <c r="CL126" s="2420"/>
      <c r="CM126" s="2436"/>
      <c r="CN126" s="2420"/>
      <c r="CO126" s="2420"/>
      <c r="CP126" s="2420"/>
      <c r="CQ126" s="2436"/>
      <c r="CR126" s="2420"/>
      <c r="CS126" s="2420"/>
      <c r="CT126" s="2420"/>
      <c r="CU126" s="2436"/>
      <c r="CV126" s="2420"/>
      <c r="CW126" s="2420"/>
      <c r="CX126" s="2420"/>
      <c r="CY126" s="2436"/>
      <c r="CZ126" s="2420"/>
      <c r="DA126" s="2420"/>
      <c r="DB126" s="2420"/>
      <c r="DC126" s="2436"/>
      <c r="DF126" s="2437"/>
      <c r="DG126" s="2436"/>
      <c r="DJ126" s="2437"/>
      <c r="DK126" s="2436"/>
      <c r="DN126" s="2437"/>
      <c r="DO126" s="2436"/>
      <c r="DR126" s="2437"/>
      <c r="DS126" s="2436"/>
      <c r="DV126" s="2437"/>
    </row>
    <row r="127" spans="1:133" s="820" customFormat="1" hidden="1" outlineLevel="1">
      <c r="A127" s="1165" t="s">
        <v>1008</v>
      </c>
      <c r="B127" s="1166"/>
      <c r="C127" s="3148"/>
      <c r="D127" s="3148"/>
      <c r="E127" s="3148"/>
      <c r="F127" s="1166"/>
      <c r="G127" s="1166"/>
      <c r="H127" s="1166"/>
      <c r="I127" s="1166"/>
      <c r="J127" s="1166"/>
      <c r="K127" s="1166"/>
      <c r="L127" s="1166"/>
      <c r="M127" s="1166"/>
      <c r="N127" s="1166">
        <f t="shared" ref="N127:N143" si="691">SUM(BW127:BZ127)</f>
        <v>6197</v>
      </c>
      <c r="O127" s="1166">
        <f t="shared" ref="O127:O143" si="692">SUM(CA127:CD127)</f>
        <v>5521</v>
      </c>
      <c r="P127" s="1166">
        <f t="shared" ref="P127:P143" si="693">SUM(CE127:CH127)</f>
        <v>6428</v>
      </c>
      <c r="Q127" s="1166">
        <f>SUM(CI127:CL127)</f>
        <v>10358</v>
      </c>
      <c r="R127" s="1166">
        <f t="shared" ref="R127:V127" si="694">R92</f>
        <v>13946.387999999999</v>
      </c>
      <c r="S127" s="1166">
        <f t="shared" si="694"/>
        <v>13883.032499999999</v>
      </c>
      <c r="T127" s="1166">
        <f t="shared" si="694"/>
        <v>16046.513999999999</v>
      </c>
      <c r="U127" s="1166">
        <f t="shared" si="694"/>
        <v>20023.39</v>
      </c>
      <c r="V127" s="1166">
        <f t="shared" si="694"/>
        <v>16539.64</v>
      </c>
      <c r="W127" s="1166">
        <f t="shared" ref="W127:AB127" si="695">W92</f>
        <v>14619.8</v>
      </c>
      <c r="X127" s="1166">
        <f t="shared" si="695"/>
        <v>15768.26</v>
      </c>
      <c r="Y127" s="1166">
        <f t="shared" si="695"/>
        <v>15724</v>
      </c>
      <c r="Z127" s="1166">
        <f t="shared" ca="1" si="695"/>
        <v>19245.505399655231</v>
      </c>
      <c r="AA127" s="3148">
        <f t="shared" ca="1" si="695"/>
        <v>20033.296174750736</v>
      </c>
      <c r="AB127" s="1166">
        <f t="shared" ca="1" si="695"/>
        <v>20930.060741173267</v>
      </c>
      <c r="AC127" s="1166">
        <f t="shared" ref="AC127:AG127" ca="1" si="696">AC92</f>
        <v>21803.218286285253</v>
      </c>
      <c r="AD127" s="1166">
        <f t="shared" ca="1" si="696"/>
        <v>22759.84230781471</v>
      </c>
      <c r="AE127" s="1166">
        <f t="shared" ca="1" si="696"/>
        <v>23777.984743285</v>
      </c>
      <c r="AF127" s="1166">
        <f t="shared" ca="1" si="696"/>
        <v>24863.031585146939</v>
      </c>
      <c r="AG127" s="1166">
        <f t="shared" ca="1" si="696"/>
        <v>25991.905300458406</v>
      </c>
      <c r="AH127" s="1926"/>
      <c r="AI127" s="1167"/>
      <c r="AJ127" s="1926"/>
      <c r="AK127" s="1423"/>
      <c r="AL127" s="1423"/>
      <c r="AM127" s="1423"/>
      <c r="AN127" s="1423"/>
      <c r="AO127" s="1423"/>
      <c r="AP127" s="1423"/>
      <c r="AQ127" s="1423"/>
      <c r="AR127" s="1423"/>
      <c r="AS127" s="1423"/>
      <c r="AT127" s="1423"/>
      <c r="AU127" s="1423"/>
      <c r="AV127" s="1423"/>
      <c r="AW127" s="1423"/>
      <c r="AX127" s="3019"/>
      <c r="AY127" s="3019"/>
      <c r="AZ127" s="3019"/>
      <c r="BA127" s="1423"/>
      <c r="BB127" s="1423"/>
      <c r="BC127" s="1423"/>
      <c r="BD127" s="1423"/>
      <c r="BE127" s="1423"/>
      <c r="BF127" s="1423"/>
      <c r="BG127" s="1165">
        <v>-501</v>
      </c>
      <c r="BH127" s="1166">
        <v>-2115</v>
      </c>
      <c r="BI127" s="1166">
        <v>4405</v>
      </c>
      <c r="BJ127" s="1166">
        <v>2290</v>
      </c>
      <c r="BK127" s="1166">
        <v>2406</v>
      </c>
      <c r="BL127" s="1166">
        <v>338</v>
      </c>
      <c r="BM127" s="1166">
        <v>1791</v>
      </c>
      <c r="BN127" s="1166">
        <v>-1458</v>
      </c>
      <c r="BO127" s="1166"/>
      <c r="BP127" s="1166"/>
      <c r="BQ127" s="1166"/>
      <c r="BR127" s="1166"/>
      <c r="BS127" s="1166"/>
      <c r="BT127" s="1166"/>
      <c r="BU127" s="1166"/>
      <c r="BV127" s="1168"/>
      <c r="BW127" s="1165">
        <f>CFS!BZ12</f>
        <v>1632</v>
      </c>
      <c r="BX127" s="1166">
        <f>CFS!CA12</f>
        <v>1611</v>
      </c>
      <c r="BY127" s="1166">
        <f>CFS!CB12</f>
        <v>1922</v>
      </c>
      <c r="BZ127" s="1166">
        <f>CFS!CC12</f>
        <v>1032</v>
      </c>
      <c r="CA127" s="1165">
        <f>CFS!CD12</f>
        <v>1495</v>
      </c>
      <c r="CB127" s="1166">
        <f>CFS!CE12</f>
        <v>1683</v>
      </c>
      <c r="CC127" s="1166">
        <f>CFS!CF12</f>
        <v>1271</v>
      </c>
      <c r="CD127" s="1166">
        <f>CFS!CG12</f>
        <v>1072</v>
      </c>
      <c r="CE127" s="1165">
        <f>CFS!CH12</f>
        <v>1642</v>
      </c>
      <c r="CF127" s="1166">
        <f>CFS!CI12</f>
        <v>1882</v>
      </c>
      <c r="CG127" s="1166">
        <f>CFS!CJ12</f>
        <v>1669</v>
      </c>
      <c r="CH127" s="1166">
        <f>CFS!CK12</f>
        <v>1235</v>
      </c>
      <c r="CI127" s="1165">
        <f>CFS!CL12</f>
        <v>3210</v>
      </c>
      <c r="CJ127" s="1166">
        <f>CFS!CM12</f>
        <v>3160</v>
      </c>
      <c r="CK127" s="1166">
        <f>CFS!CN12</f>
        <v>2887</v>
      </c>
      <c r="CL127" s="1166">
        <f>CFS!CO12</f>
        <v>1101</v>
      </c>
      <c r="CM127" s="1165">
        <f>CFS!CP12</f>
        <v>2318</v>
      </c>
      <c r="CN127" s="1166">
        <f>CFS!CQ12</f>
        <v>553</v>
      </c>
      <c r="CO127" s="1166">
        <f>CFS!CR12</f>
        <v>2698</v>
      </c>
      <c r="CP127" s="1166">
        <f>CFS!CS12</f>
        <v>4648</v>
      </c>
      <c r="CQ127" s="1165">
        <f>CFS!CT12</f>
        <v>3264</v>
      </c>
      <c r="CR127" s="1166">
        <f>CFS!CU12</f>
        <v>3604</v>
      </c>
      <c r="CS127" s="1166">
        <f>CFS!CV12</f>
        <v>3542</v>
      </c>
      <c r="CT127" s="1166">
        <f>CFS!CW12</f>
        <v>-212</v>
      </c>
      <c r="CU127" s="1165">
        <f>CFS!CX12</f>
        <v>3906</v>
      </c>
      <c r="CV127" s="1166">
        <f>CFS!CY12</f>
        <v>4285</v>
      </c>
      <c r="CW127" s="1166">
        <f>CFS!CZ12</f>
        <v>4292</v>
      </c>
      <c r="CX127" s="1166">
        <f>CFS!DA12</f>
        <v>-1926</v>
      </c>
      <c r="CY127" s="1165">
        <f>CFS!DB12</f>
        <v>4855</v>
      </c>
      <c r="CZ127" s="1166">
        <f>CFS!DC12</f>
        <v>5198</v>
      </c>
      <c r="DA127" s="1166">
        <f>CFS!DD12</f>
        <v>5578</v>
      </c>
      <c r="DB127" s="1166">
        <f>CFS!DE12</f>
        <v>7916</v>
      </c>
      <c r="DC127" s="1165">
        <f>CFS!DF12</f>
        <v>5986</v>
      </c>
      <c r="DD127" s="1166">
        <f>CFS!DG12</f>
        <v>4324</v>
      </c>
      <c r="DE127" s="1166">
        <f>CFS!DH12</f>
        <v>3794</v>
      </c>
      <c r="DF127" s="1168">
        <f>CFS!DI12</f>
        <v>-2148</v>
      </c>
      <c r="DG127" s="1165">
        <f>CFS!DJ12</f>
        <v>4338</v>
      </c>
      <c r="DH127" s="1166">
        <f>CFS!DK12</f>
        <v>4353</v>
      </c>
      <c r="DI127" s="1166">
        <f>CFS!DL12</f>
        <v>4171</v>
      </c>
      <c r="DJ127" s="1168">
        <f>CFS!DM12</f>
        <v>5513</v>
      </c>
      <c r="DK127" s="1165">
        <f>CFS!DN12</f>
        <v>4430</v>
      </c>
      <c r="DL127" s="1166">
        <f>CFS!DO12</f>
        <v>831</v>
      </c>
      <c r="DM127" s="1166">
        <f>CFS!DP12</f>
        <v>3747</v>
      </c>
      <c r="DN127" s="3018">
        <f>CFS!DQ12</f>
        <v>4600</v>
      </c>
      <c r="DO127" s="3230">
        <f>CFS!DR12</f>
        <v>3553</v>
      </c>
      <c r="DP127" s="3229">
        <f>CFS!DS12</f>
        <v>4478</v>
      </c>
      <c r="DQ127" s="3229">
        <f>CFS!DT12</f>
        <v>3736</v>
      </c>
      <c r="DR127" s="3294">
        <f>CFS!DU12</f>
        <v>18783</v>
      </c>
      <c r="DS127" s="1165">
        <f>CFS!DV12</f>
        <v>4666</v>
      </c>
      <c r="DT127" s="3148">
        <f t="shared" ref="DT127:DV127" ca="1" si="697">+DT92</f>
        <v>4919.2889958442465</v>
      </c>
      <c r="DU127" s="3148">
        <f t="shared" ca="1" si="697"/>
        <v>5129.5100402660883</v>
      </c>
      <c r="DV127" s="3018">
        <f t="shared" ca="1" si="697"/>
        <v>4264.7063635449067</v>
      </c>
      <c r="DW127" s="1923"/>
      <c r="DX127"/>
      <c r="DY127"/>
      <c r="DZ127"/>
      <c r="EA127"/>
      <c r="EB127"/>
      <c r="EC127"/>
    </row>
    <row r="128" spans="1:133" hidden="1" outlineLevel="1">
      <c r="A128" s="2440" t="s">
        <v>818</v>
      </c>
      <c r="N128" s="812">
        <f t="shared" si="691"/>
        <v>0</v>
      </c>
      <c r="O128" s="812">
        <f t="shared" si="692"/>
        <v>0</v>
      </c>
      <c r="P128" s="812">
        <f t="shared" si="693"/>
        <v>0</v>
      </c>
      <c r="Q128" s="812">
        <f>SUM(CI128:CL128)</f>
        <v>0</v>
      </c>
      <c r="R128" s="812">
        <f t="shared" ref="R128:R143" si="698">SUM(CM128:CP128)</f>
        <v>0</v>
      </c>
      <c r="S128" s="812">
        <f t="shared" ref="S128:S135" si="699">SUM(CQ128:CT128)</f>
        <v>0</v>
      </c>
      <c r="BG128" s="2436">
        <v>11</v>
      </c>
      <c r="BH128" s="2420">
        <v>38</v>
      </c>
      <c r="BI128" s="2420">
        <v>9</v>
      </c>
      <c r="BJ128" s="2420">
        <v>25</v>
      </c>
      <c r="BK128" s="2420">
        <v>-9</v>
      </c>
      <c r="BL128" s="2420">
        <v>-19</v>
      </c>
      <c r="BM128" s="2420">
        <v>-5</v>
      </c>
      <c r="BN128" s="2420">
        <v>-13</v>
      </c>
      <c r="BO128" s="2420"/>
      <c r="BP128" s="2420"/>
      <c r="BQ128" s="2420"/>
      <c r="BR128" s="2420"/>
      <c r="BS128" s="2420"/>
      <c r="BT128" s="2420"/>
      <c r="BU128" s="2420"/>
      <c r="BV128" s="2437"/>
      <c r="BW128" s="2436"/>
      <c r="BX128" s="2420"/>
      <c r="BY128" s="2420"/>
      <c r="BZ128" s="2420"/>
      <c r="CA128" s="2436"/>
      <c r="CB128" s="2420"/>
      <c r="CC128" s="2420"/>
      <c r="CD128" s="2420"/>
      <c r="CE128" s="2436"/>
      <c r="CF128" s="2420"/>
      <c r="CG128" s="2420"/>
      <c r="CH128" s="2420"/>
      <c r="CI128" s="2436"/>
      <c r="CJ128" s="2420"/>
      <c r="CK128" s="2420"/>
      <c r="CL128" s="2420"/>
      <c r="CM128" s="2436"/>
      <c r="CN128" s="2420"/>
      <c r="CO128" s="2420"/>
      <c r="CP128" s="2420"/>
      <c r="CQ128" s="2436"/>
      <c r="CR128" s="2420"/>
      <c r="CS128" s="2420"/>
      <c r="CT128" s="2420"/>
      <c r="CU128" s="2436"/>
      <c r="CV128" s="2420"/>
      <c r="CW128" s="2420"/>
      <c r="CX128" s="2420"/>
      <c r="CY128" s="2436"/>
      <c r="CZ128" s="2420"/>
      <c r="DA128" s="2420"/>
      <c r="DB128" s="2420"/>
      <c r="DC128" s="2436"/>
      <c r="DF128" s="2437"/>
      <c r="DG128" s="2436"/>
      <c r="DJ128" s="2437"/>
      <c r="DK128" s="2436"/>
      <c r="DN128" s="2437"/>
      <c r="DO128" s="2436"/>
      <c r="DR128" s="2437"/>
      <c r="DS128" s="2436"/>
      <c r="DV128" s="2437"/>
    </row>
    <row r="129" spans="1:133" hidden="1" outlineLevel="1">
      <c r="A129" s="2440" t="s">
        <v>1010</v>
      </c>
      <c r="N129" s="812">
        <f t="shared" si="691"/>
        <v>0</v>
      </c>
      <c r="O129" s="812">
        <f t="shared" si="692"/>
        <v>0</v>
      </c>
      <c r="P129" s="812">
        <f t="shared" si="693"/>
        <v>0</v>
      </c>
      <c r="Q129" s="812">
        <f>SUM(CI129:CL129)</f>
        <v>0</v>
      </c>
      <c r="R129" s="812">
        <f t="shared" si="698"/>
        <v>0</v>
      </c>
      <c r="S129" s="812">
        <f t="shared" si="699"/>
        <v>0</v>
      </c>
      <c r="BG129" s="2436"/>
      <c r="BH129" s="2420"/>
      <c r="BI129" s="2420"/>
      <c r="BJ129" s="2420"/>
      <c r="BK129" s="2420"/>
      <c r="BL129" s="2420">
        <v>931</v>
      </c>
      <c r="BM129" s="2420"/>
      <c r="BN129" s="2420"/>
      <c r="BO129" s="2420"/>
      <c r="BP129" s="2420"/>
      <c r="BQ129" s="2420"/>
      <c r="BR129" s="2420"/>
      <c r="BS129" s="2420"/>
      <c r="BT129" s="2420"/>
      <c r="BU129" s="2420"/>
      <c r="BV129" s="2437"/>
      <c r="BW129" s="2436"/>
      <c r="BX129" s="2420"/>
      <c r="BY129" s="2420"/>
      <c r="BZ129" s="2420"/>
      <c r="CA129" s="2436"/>
      <c r="CB129" s="2420"/>
      <c r="CC129" s="2420"/>
      <c r="CD129" s="2420"/>
      <c r="CE129" s="2436"/>
      <c r="CF129" s="2420"/>
      <c r="CG129" s="2420"/>
      <c r="CH129" s="2420"/>
      <c r="CI129" s="2436"/>
      <c r="CJ129" s="2420"/>
      <c r="CK129" s="2420"/>
      <c r="CL129" s="2420"/>
      <c r="CM129" s="2436"/>
      <c r="CN129" s="2420"/>
      <c r="CO129" s="2420"/>
      <c r="CP129" s="2420"/>
      <c r="CQ129" s="2436"/>
      <c r="CR129" s="2420"/>
      <c r="CS129" s="2420"/>
      <c r="CT129" s="2420"/>
      <c r="CU129" s="2436"/>
      <c r="CV129" s="2420"/>
      <c r="CW129" s="2420"/>
      <c r="CX129" s="2420"/>
      <c r="CY129" s="2436"/>
      <c r="CZ129" s="2420"/>
      <c r="DA129" s="2420"/>
      <c r="DB129" s="2420"/>
      <c r="DC129" s="2436"/>
      <c r="DF129" s="2437"/>
      <c r="DG129" s="2436"/>
      <c r="DJ129" s="2437"/>
      <c r="DK129" s="2436"/>
      <c r="DN129" s="2437"/>
      <c r="DO129" s="2436"/>
      <c r="DR129" s="2437"/>
      <c r="DS129" s="2436"/>
      <c r="DV129" s="2437"/>
    </row>
    <row r="130" spans="1:133" hidden="1" outlineLevel="1">
      <c r="A130" s="2440" t="s">
        <v>1011</v>
      </c>
      <c r="N130" s="812">
        <f t="shared" si="691"/>
        <v>72</v>
      </c>
      <c r="O130" s="812">
        <f t="shared" si="692"/>
        <v>612</v>
      </c>
      <c r="P130" s="812">
        <f t="shared" si="693"/>
        <v>588</v>
      </c>
      <c r="R130" s="812">
        <f t="shared" si="698"/>
        <v>0</v>
      </c>
      <c r="S130" s="812">
        <f t="shared" si="699"/>
        <v>0</v>
      </c>
      <c r="BG130" s="2436"/>
      <c r="BH130" s="2420">
        <v>475</v>
      </c>
      <c r="BI130" s="2420">
        <v>185</v>
      </c>
      <c r="BJ130" s="2420">
        <v>604</v>
      </c>
      <c r="BK130" s="2420"/>
      <c r="BL130" s="2420">
        <v>436</v>
      </c>
      <c r="BM130" s="2420">
        <v>81</v>
      </c>
      <c r="BN130" s="2420">
        <v>2882</v>
      </c>
      <c r="BO130" s="2420"/>
      <c r="BP130" s="2420"/>
      <c r="BQ130" s="2420"/>
      <c r="BR130" s="2420"/>
      <c r="BS130" s="2420"/>
      <c r="BT130" s="2420"/>
      <c r="BU130" s="2420"/>
      <c r="BV130" s="2437"/>
      <c r="BW130" s="2436"/>
      <c r="BX130" s="2420"/>
      <c r="BY130" s="2420">
        <v>17</v>
      </c>
      <c r="BZ130" s="2420">
        <v>55</v>
      </c>
      <c r="CA130" s="2436">
        <v>135</v>
      </c>
      <c r="CB130" s="2420"/>
      <c r="CC130" s="2420"/>
      <c r="CD130" s="2420">
        <v>477</v>
      </c>
      <c r="CE130" s="2436"/>
      <c r="CF130" s="2420"/>
      <c r="CG130" s="2420">
        <v>164</v>
      </c>
      <c r="CH130" s="2420">
        <v>424</v>
      </c>
      <c r="CI130" s="2436"/>
      <c r="CJ130" s="2420">
        <v>253</v>
      </c>
      <c r="CK130" s="2420">
        <v>372</v>
      </c>
      <c r="CL130" s="2420"/>
      <c r="CM130" s="2436"/>
      <c r="CN130" s="2420"/>
      <c r="CO130" s="2420"/>
      <c r="CP130" s="2420"/>
      <c r="CQ130" s="2436"/>
      <c r="CR130" s="2420"/>
      <c r="CS130" s="2420"/>
      <c r="CT130" s="2420"/>
      <c r="CU130" s="2436"/>
      <c r="CV130" s="2420"/>
      <c r="CW130" s="2420"/>
      <c r="CX130" s="2420"/>
      <c r="CY130" s="2436"/>
      <c r="CZ130" s="2420"/>
      <c r="DA130" s="2420"/>
      <c r="DB130" s="2420"/>
      <c r="DC130" s="2436"/>
      <c r="DF130" s="2437"/>
      <c r="DG130" s="2436"/>
      <c r="DJ130" s="2437"/>
      <c r="DK130" s="2436"/>
      <c r="DN130" s="2437"/>
      <c r="DO130" s="2436"/>
      <c r="DR130" s="2437"/>
      <c r="DS130" s="2436"/>
      <c r="DV130" s="2437"/>
    </row>
    <row r="131" spans="1:133" hidden="1" outlineLevel="1">
      <c r="A131" s="2440" t="s">
        <v>1012</v>
      </c>
      <c r="N131" s="812">
        <f t="shared" si="691"/>
        <v>0</v>
      </c>
      <c r="O131" s="812">
        <f t="shared" si="692"/>
        <v>0</v>
      </c>
      <c r="P131" s="812">
        <f t="shared" si="693"/>
        <v>0</v>
      </c>
      <c r="R131" s="812">
        <f t="shared" si="698"/>
        <v>0.19</v>
      </c>
      <c r="S131" s="812">
        <f t="shared" si="699"/>
        <v>0</v>
      </c>
      <c r="BG131" s="2436">
        <v>496</v>
      </c>
      <c r="BH131" s="2420"/>
      <c r="BI131" s="2420"/>
      <c r="BJ131" s="2420"/>
      <c r="BK131" s="2420">
        <v>-503</v>
      </c>
      <c r="BL131" s="2420"/>
      <c r="BM131" s="2420"/>
      <c r="BN131" s="2420"/>
      <c r="BO131" s="2420"/>
      <c r="BP131" s="2420"/>
      <c r="BQ131" s="2420"/>
      <c r="BR131" s="2420"/>
      <c r="BS131" s="2420"/>
      <c r="BT131" s="2420"/>
      <c r="BU131" s="2420"/>
      <c r="BV131" s="2437"/>
      <c r="BW131" s="2436"/>
      <c r="BX131" s="2420"/>
      <c r="BY131" s="2420"/>
      <c r="BZ131" s="2420"/>
      <c r="CA131" s="2436"/>
      <c r="CB131" s="2420"/>
      <c r="CC131" s="2420"/>
      <c r="CD131" s="2420"/>
      <c r="CE131" s="2436"/>
      <c r="CF131" s="2420"/>
      <c r="CG131" s="2420"/>
      <c r="CH131" s="2420"/>
      <c r="CI131" s="2436"/>
      <c r="CJ131" s="2420"/>
      <c r="CK131" s="2420"/>
      <c r="CL131" s="2420"/>
      <c r="CM131" s="2436"/>
      <c r="CN131" s="2420"/>
      <c r="CO131" s="2420">
        <v>0.19</v>
      </c>
      <c r="CP131" s="2420"/>
      <c r="CQ131" s="2436"/>
      <c r="CR131" s="2420"/>
      <c r="CS131" s="2420"/>
      <c r="CT131" s="2420"/>
      <c r="CU131" s="2436"/>
      <c r="CV131" s="2420"/>
      <c r="CW131" s="2420"/>
      <c r="CX131" s="2420"/>
      <c r="CY131" s="2436"/>
      <c r="CZ131" s="2420"/>
      <c r="DA131" s="2420"/>
      <c r="DB131" s="2420"/>
      <c r="DC131" s="2436"/>
      <c r="DF131" s="2437"/>
      <c r="DG131" s="2436"/>
      <c r="DJ131" s="2437"/>
      <c r="DK131" s="2436"/>
      <c r="DN131" s="2437"/>
      <c r="DO131" s="2436"/>
      <c r="DR131" s="2437"/>
      <c r="DS131" s="2436"/>
      <c r="DV131" s="2437"/>
    </row>
    <row r="132" spans="1:133" hidden="1" outlineLevel="1">
      <c r="A132" s="2440" t="s">
        <v>1013</v>
      </c>
      <c r="N132" s="812">
        <f t="shared" si="691"/>
        <v>0</v>
      </c>
      <c r="O132" s="812">
        <f t="shared" si="692"/>
        <v>0</v>
      </c>
      <c r="P132" s="812">
        <f t="shared" si="693"/>
        <v>0</v>
      </c>
      <c r="R132" s="812">
        <f t="shared" si="698"/>
        <v>537.51</v>
      </c>
      <c r="S132" s="812">
        <f t="shared" si="699"/>
        <v>0</v>
      </c>
      <c r="BG132" s="2436"/>
      <c r="BH132" s="2420"/>
      <c r="BI132" s="2420"/>
      <c r="BJ132" s="2420"/>
      <c r="BK132" s="2420"/>
      <c r="BL132" s="2420">
        <v>204</v>
      </c>
      <c r="BM132" s="2420"/>
      <c r="BN132" s="2420"/>
      <c r="BO132" s="2420"/>
      <c r="BP132" s="2420"/>
      <c r="BQ132" s="2420"/>
      <c r="BR132" s="2420"/>
      <c r="BS132" s="2420"/>
      <c r="BT132" s="2420"/>
      <c r="BU132" s="2420"/>
      <c r="BV132" s="2437"/>
      <c r="BW132" s="2436"/>
      <c r="BX132" s="2420"/>
      <c r="BY132" s="2420"/>
      <c r="BZ132" s="2420"/>
      <c r="CA132" s="2436"/>
      <c r="CB132" s="2420"/>
      <c r="CC132" s="2420"/>
      <c r="CD132" s="2420"/>
      <c r="CE132" s="2436"/>
      <c r="CF132" s="2420"/>
      <c r="CG132" s="2420"/>
      <c r="CH132" s="2420"/>
      <c r="CI132" s="2436"/>
      <c r="CJ132" s="2420"/>
      <c r="CK132" s="2420"/>
      <c r="CL132" s="2420"/>
      <c r="CM132" s="2436"/>
      <c r="CN132" s="2420"/>
      <c r="CO132" s="2420">
        <f>+CO131*CO103</f>
        <v>537.51</v>
      </c>
      <c r="CP132" s="2420"/>
      <c r="CQ132" s="2436"/>
      <c r="CR132" s="2420"/>
      <c r="CS132" s="2420"/>
      <c r="CT132" s="2420"/>
      <c r="CU132" s="2436"/>
      <c r="CV132" s="2420"/>
      <c r="CW132" s="2420"/>
      <c r="CX132" s="2420"/>
      <c r="CY132" s="2436"/>
      <c r="CZ132" s="2420"/>
      <c r="DA132" s="2420"/>
      <c r="DB132" s="2420"/>
      <c r="DC132" s="2436"/>
      <c r="DF132" s="2437"/>
      <c r="DG132" s="2436"/>
      <c r="DJ132" s="2437"/>
      <c r="DK132" s="2436"/>
      <c r="DN132" s="2437"/>
      <c r="DO132" s="2436"/>
      <c r="DR132" s="2437"/>
      <c r="DS132" s="2436"/>
      <c r="DV132" s="2437"/>
    </row>
    <row r="133" spans="1:133" hidden="1" outlineLevel="1">
      <c r="A133" s="2440" t="s">
        <v>1014</v>
      </c>
      <c r="N133" s="812">
        <f t="shared" si="691"/>
        <v>0</v>
      </c>
      <c r="O133" s="812">
        <f t="shared" si="692"/>
        <v>0</v>
      </c>
      <c r="P133" s="812">
        <f t="shared" si="693"/>
        <v>0</v>
      </c>
      <c r="R133" s="812">
        <f t="shared" si="698"/>
        <v>784.04573393062981</v>
      </c>
      <c r="S133" s="812">
        <f t="shared" si="699"/>
        <v>0</v>
      </c>
      <c r="BG133" s="2436"/>
      <c r="BH133" s="2420"/>
      <c r="BI133" s="2420"/>
      <c r="BJ133" s="2420"/>
      <c r="BK133" s="2420"/>
      <c r="BL133" s="2420"/>
      <c r="BM133" s="2420"/>
      <c r="BN133" s="2420"/>
      <c r="BO133" s="2420"/>
      <c r="BP133" s="2420"/>
      <c r="BQ133" s="2420"/>
      <c r="BR133" s="2420"/>
      <c r="BS133" s="2420"/>
      <c r="BT133" s="2420"/>
      <c r="BU133" s="2420"/>
      <c r="BV133" s="2437"/>
      <c r="BW133" s="2436"/>
      <c r="BX133" s="2420"/>
      <c r="BY133" s="2420"/>
      <c r="BZ133" s="2420"/>
      <c r="CA133" s="2436"/>
      <c r="CB133" s="2420"/>
      <c r="CC133" s="2420"/>
      <c r="CD133" s="2420"/>
      <c r="CE133" s="2436"/>
      <c r="CF133" s="2420"/>
      <c r="CG133" s="2420"/>
      <c r="CH133" s="2420"/>
      <c r="CI133" s="2436"/>
      <c r="CJ133" s="2420"/>
      <c r="CK133" s="2420"/>
      <c r="CL133" s="2420"/>
      <c r="CM133" s="2436"/>
      <c r="CN133" s="2420"/>
      <c r="CO133" s="2420">
        <f>+CO132/(1-CO79)</f>
        <v>784.04573393062981</v>
      </c>
      <c r="CP133" s="2420"/>
      <c r="CQ133" s="2436"/>
      <c r="CR133" s="2420"/>
      <c r="CS133" s="2420"/>
      <c r="CT133" s="2420"/>
      <c r="CU133" s="2436"/>
      <c r="CV133" s="2420"/>
      <c r="CW133" s="2420"/>
      <c r="CX133" s="2420"/>
      <c r="CY133" s="2436"/>
      <c r="CZ133" s="2420"/>
      <c r="DA133" s="2420"/>
      <c r="DB133" s="2420"/>
      <c r="DC133" s="2436"/>
      <c r="DF133" s="2437"/>
      <c r="DG133" s="2436"/>
      <c r="DJ133" s="2437"/>
      <c r="DK133" s="2436"/>
      <c r="DN133" s="2437"/>
      <c r="DO133" s="2436"/>
      <c r="DR133" s="2437"/>
      <c r="DS133" s="2436"/>
      <c r="DV133" s="2437"/>
    </row>
    <row r="134" spans="1:133" hidden="1" outlineLevel="1">
      <c r="A134" s="2440" t="s">
        <v>1015</v>
      </c>
      <c r="N134" s="812">
        <f t="shared" si="691"/>
        <v>0</v>
      </c>
      <c r="O134" s="812">
        <f t="shared" si="692"/>
        <v>0</v>
      </c>
      <c r="P134" s="812">
        <f t="shared" si="693"/>
        <v>0</v>
      </c>
      <c r="R134" s="812">
        <f t="shared" si="698"/>
        <v>0</v>
      </c>
      <c r="S134" s="812">
        <f t="shared" si="699"/>
        <v>0</v>
      </c>
      <c r="BG134" s="2436"/>
      <c r="BH134" s="2420"/>
      <c r="BI134" s="2420"/>
      <c r="BJ134" s="2420"/>
      <c r="BK134" s="2420"/>
      <c r="BL134" s="2420"/>
      <c r="BM134" s="2420"/>
      <c r="BN134" s="2420"/>
      <c r="BO134" s="2420"/>
      <c r="BP134" s="2420"/>
      <c r="BQ134" s="2420"/>
      <c r="BR134" s="2420"/>
      <c r="BS134" s="2420"/>
      <c r="BT134" s="2420"/>
      <c r="BU134" s="2420"/>
      <c r="BV134" s="2437"/>
      <c r="BW134" s="2436"/>
      <c r="BX134" s="2420"/>
      <c r="BY134" s="2420"/>
      <c r="BZ134" s="2420"/>
      <c r="CA134" s="2436"/>
      <c r="CB134" s="2420"/>
      <c r="CC134" s="2420"/>
      <c r="CD134" s="2420"/>
      <c r="CE134" s="2436"/>
      <c r="CF134" s="2420"/>
      <c r="CG134" s="2420"/>
      <c r="CH134" s="2420"/>
      <c r="CI134" s="2436"/>
      <c r="CJ134" s="2420"/>
      <c r="CK134" s="2420"/>
      <c r="CL134" s="2420"/>
      <c r="CM134" s="2436"/>
      <c r="CN134" s="2420"/>
      <c r="CO134" s="2420"/>
      <c r="CP134" s="2420"/>
      <c r="CQ134" s="2436"/>
      <c r="CR134" s="2420"/>
      <c r="CS134" s="2420"/>
      <c r="CT134" s="2420"/>
      <c r="CU134" s="2436"/>
      <c r="CV134" s="2420"/>
      <c r="CW134" s="2420"/>
      <c r="CX134" s="2420"/>
      <c r="CY134" s="2436"/>
      <c r="CZ134" s="2420"/>
      <c r="DA134" s="2420"/>
      <c r="DB134" s="2420"/>
      <c r="DC134" s="2436"/>
      <c r="DF134" s="2437"/>
      <c r="DG134" s="2436"/>
      <c r="DJ134" s="2437"/>
      <c r="DK134" s="2436"/>
      <c r="DN134" s="2437"/>
      <c r="DO134" s="2436"/>
      <c r="DR134" s="2437"/>
      <c r="DS134" s="2436"/>
      <c r="DV134" s="2437"/>
    </row>
    <row r="135" spans="1:133" hidden="1" outlineLevel="1">
      <c r="A135" s="2440" t="s">
        <v>1016</v>
      </c>
      <c r="N135" s="812">
        <f t="shared" si="691"/>
        <v>642</v>
      </c>
      <c r="O135" s="812">
        <f t="shared" si="692"/>
        <v>80</v>
      </c>
      <c r="P135" s="812">
        <f t="shared" si="693"/>
        <v>81</v>
      </c>
      <c r="R135" s="812">
        <f t="shared" si="698"/>
        <v>0</v>
      </c>
      <c r="S135" s="812">
        <f t="shared" si="699"/>
        <v>0</v>
      </c>
      <c r="BG135" s="2436">
        <v>-116</v>
      </c>
      <c r="BH135" s="2420"/>
      <c r="BI135" s="2420">
        <v>-1779</v>
      </c>
      <c r="BJ135" s="2420"/>
      <c r="BK135" s="2420"/>
      <c r="BL135" s="2420"/>
      <c r="BM135" s="2420"/>
      <c r="BN135" s="2420"/>
      <c r="BO135" s="2420"/>
      <c r="BP135" s="2420"/>
      <c r="BQ135" s="2420"/>
      <c r="BR135" s="2420"/>
      <c r="BS135" s="2420"/>
      <c r="BT135" s="2420"/>
      <c r="BU135" s="2420"/>
      <c r="BV135" s="2437"/>
      <c r="BW135" s="2436"/>
      <c r="BX135" s="2420"/>
      <c r="BY135" s="2420"/>
      <c r="BZ135" s="2420">
        <f>541+101</f>
        <v>642</v>
      </c>
      <c r="CA135" s="2436"/>
      <c r="CB135" s="2420"/>
      <c r="CC135" s="2420">
        <v>44</v>
      </c>
      <c r="CD135" s="2420">
        <v>36</v>
      </c>
      <c r="CE135" s="2436">
        <v>81</v>
      </c>
      <c r="CF135" s="2420"/>
      <c r="CG135" s="2420"/>
      <c r="CH135" s="2420"/>
      <c r="CI135" s="2436"/>
      <c r="CJ135" s="2420"/>
      <c r="CK135" s="2420"/>
      <c r="CL135" s="2420"/>
      <c r="CM135" s="2436"/>
      <c r="CN135" s="2420"/>
      <c r="CO135" s="2420"/>
      <c r="CP135" s="2420"/>
      <c r="CQ135" s="2436"/>
      <c r="CR135" s="2420"/>
      <c r="CS135" s="2420"/>
      <c r="CT135" s="2420"/>
      <c r="CU135" s="2436"/>
      <c r="CV135" s="2420"/>
      <c r="CW135" s="2420"/>
      <c r="CX135" s="2420"/>
      <c r="CY135" s="2436"/>
      <c r="CZ135" s="2420"/>
      <c r="DA135" s="2420"/>
      <c r="DB135" s="2420"/>
      <c r="DC135" s="2436"/>
      <c r="DF135" s="2437"/>
      <c r="DG135" s="2436"/>
      <c r="DJ135" s="2437"/>
      <c r="DK135" s="2436"/>
      <c r="DN135" s="2437"/>
      <c r="DO135" s="2436"/>
      <c r="DR135" s="2437"/>
      <c r="DS135" s="2436"/>
      <c r="DV135" s="2437"/>
    </row>
    <row r="136" spans="1:133" hidden="1" outlineLevel="1">
      <c r="A136" s="2440" t="s">
        <v>1017</v>
      </c>
      <c r="N136" s="812">
        <f t="shared" si="691"/>
        <v>492</v>
      </c>
      <c r="O136" s="812">
        <f t="shared" si="692"/>
        <v>103</v>
      </c>
      <c r="P136" s="812">
        <f t="shared" si="693"/>
        <v>107</v>
      </c>
      <c r="R136" s="812">
        <f t="shared" si="698"/>
        <v>0</v>
      </c>
      <c r="BG136" s="2436">
        <v>52</v>
      </c>
      <c r="BH136" s="2420">
        <v>57</v>
      </c>
      <c r="BI136" s="2420">
        <v>50</v>
      </c>
      <c r="BJ136" s="2420">
        <v>129</v>
      </c>
      <c r="BK136" s="2420"/>
      <c r="BL136" s="2420"/>
      <c r="BM136" s="2420"/>
      <c r="BN136" s="2420"/>
      <c r="BO136" s="2420"/>
      <c r="BP136" s="2420"/>
      <c r="BQ136" s="2420"/>
      <c r="BR136" s="2420"/>
      <c r="BS136" s="2420"/>
      <c r="BT136" s="2420"/>
      <c r="BU136" s="2420"/>
      <c r="BV136" s="2437"/>
      <c r="BW136" s="2436">
        <f>28+35+42</f>
        <v>105</v>
      </c>
      <c r="BX136" s="2420">
        <f>48+29+186</f>
        <v>263</v>
      </c>
      <c r="BY136" s="2420">
        <f>16+31</f>
        <v>47</v>
      </c>
      <c r="BZ136" s="2420">
        <f>47+30</f>
        <v>77</v>
      </c>
      <c r="CA136" s="2436"/>
      <c r="CB136" s="2420">
        <v>17</v>
      </c>
      <c r="CC136" s="2420">
        <v>28</v>
      </c>
      <c r="CD136" s="2420">
        <v>58</v>
      </c>
      <c r="CE136" s="2436">
        <v>18</v>
      </c>
      <c r="CF136" s="2420">
        <v>22</v>
      </c>
      <c r="CG136" s="2420">
        <v>32</v>
      </c>
      <c r="CH136" s="2420">
        <v>35</v>
      </c>
      <c r="CI136" s="2436">
        <v>94</v>
      </c>
      <c r="CJ136" s="2420">
        <v>90</v>
      </c>
      <c r="CK136" s="2420">
        <v>277</v>
      </c>
      <c r="CL136" s="2420">
        <f>246+127</f>
        <v>373</v>
      </c>
      <c r="CM136" s="2436"/>
      <c r="CN136" s="2420"/>
      <c r="CO136" s="2420"/>
      <c r="CP136" s="2420"/>
      <c r="CQ136" s="2436"/>
      <c r="CR136" s="2420"/>
      <c r="CS136" s="2420">
        <v>201</v>
      </c>
      <c r="CT136" s="2420"/>
      <c r="CU136" s="2436"/>
      <c r="CV136" s="2420"/>
      <c r="CW136" s="2420"/>
      <c r="CX136" s="2420"/>
      <c r="CY136" s="2436"/>
      <c r="CZ136" s="2420"/>
      <c r="DA136" s="2420"/>
      <c r="DB136" s="2420"/>
      <c r="DC136" s="2436"/>
      <c r="DF136" s="2437"/>
      <c r="DG136" s="2436"/>
      <c r="DJ136" s="2437"/>
      <c r="DK136" s="2436"/>
      <c r="DN136" s="2437"/>
      <c r="DO136" s="2436"/>
      <c r="DR136" s="2437"/>
      <c r="DS136" s="2436"/>
      <c r="DV136" s="2437"/>
    </row>
    <row r="137" spans="1:133" hidden="1" outlineLevel="1">
      <c r="A137" s="2440" t="s">
        <v>1018</v>
      </c>
      <c r="N137" s="812">
        <f t="shared" si="691"/>
        <v>0</v>
      </c>
      <c r="O137" s="812">
        <f t="shared" si="692"/>
        <v>0</v>
      </c>
      <c r="P137" s="812">
        <f t="shared" si="693"/>
        <v>0</v>
      </c>
      <c r="R137" s="812">
        <f t="shared" si="698"/>
        <v>0</v>
      </c>
      <c r="S137" s="812">
        <f t="shared" ref="S137:S143" si="700">SUM(CQ137:CT137)</f>
        <v>0</v>
      </c>
      <c r="BG137" s="2436"/>
      <c r="BH137" s="2420"/>
      <c r="BI137" s="2420"/>
      <c r="BJ137" s="2420"/>
      <c r="BK137" s="2420"/>
      <c r="BL137" s="2420"/>
      <c r="BM137" s="2420"/>
      <c r="BN137" s="2420">
        <v>-44</v>
      </c>
      <c r="BO137" s="2420"/>
      <c r="BP137" s="2420"/>
      <c r="BQ137" s="2420"/>
      <c r="BR137" s="2420"/>
      <c r="BS137" s="2420"/>
      <c r="BT137" s="2420"/>
      <c r="BU137" s="2420"/>
      <c r="BV137" s="2437"/>
      <c r="BW137" s="2436"/>
      <c r="BX137" s="2420"/>
      <c r="BY137" s="2420"/>
      <c r="BZ137" s="2420"/>
      <c r="CA137" s="2436"/>
      <c r="CB137" s="2420"/>
      <c r="CC137" s="2420"/>
      <c r="CD137" s="2420"/>
      <c r="CE137" s="2436"/>
      <c r="CF137" s="2420"/>
      <c r="CG137" s="2420"/>
      <c r="CH137" s="2420"/>
      <c r="CI137" s="2436"/>
      <c r="CJ137" s="2420"/>
      <c r="CK137" s="2420"/>
      <c r="CL137" s="2420"/>
      <c r="CM137" s="2436"/>
      <c r="CN137" s="2420"/>
      <c r="CO137" s="2420"/>
      <c r="CP137" s="2420"/>
      <c r="CQ137" s="2436"/>
      <c r="CR137" s="2420"/>
      <c r="CS137" s="2420"/>
      <c r="CT137" s="2420"/>
      <c r="CU137" s="2436"/>
      <c r="CV137" s="2420"/>
      <c r="CW137" s="2420"/>
      <c r="CX137" s="2420"/>
      <c r="CY137" s="2436"/>
      <c r="CZ137" s="2420"/>
      <c r="DA137" s="2420"/>
      <c r="DB137" s="2420"/>
      <c r="DC137" s="2436"/>
      <c r="DF137" s="2437"/>
      <c r="DG137" s="2436"/>
      <c r="DJ137" s="2437"/>
      <c r="DK137" s="2436"/>
      <c r="DN137" s="2437"/>
      <c r="DO137" s="2436"/>
      <c r="DR137" s="2437"/>
      <c r="DS137" s="2436"/>
      <c r="DV137" s="2437"/>
    </row>
    <row r="138" spans="1:133" hidden="1" outlineLevel="1">
      <c r="A138" s="2440" t="s">
        <v>1019</v>
      </c>
      <c r="N138" s="812">
        <f t="shared" si="691"/>
        <v>0</v>
      </c>
      <c r="O138" s="812">
        <f t="shared" si="692"/>
        <v>0</v>
      </c>
      <c r="P138" s="812">
        <f t="shared" si="693"/>
        <v>31</v>
      </c>
      <c r="R138" s="812">
        <f t="shared" si="698"/>
        <v>0</v>
      </c>
      <c r="S138" s="812">
        <f t="shared" si="700"/>
        <v>0</v>
      </c>
      <c r="BG138" s="2436">
        <v>2026</v>
      </c>
      <c r="BH138" s="2420">
        <v>3305</v>
      </c>
      <c r="BI138" s="2420">
        <v>74</v>
      </c>
      <c r="BJ138" s="2420">
        <v>247</v>
      </c>
      <c r="BK138" s="2420"/>
      <c r="BL138" s="2420"/>
      <c r="BM138" s="2420"/>
      <c r="BN138" s="2420"/>
      <c r="BO138" s="2420"/>
      <c r="BP138" s="2420"/>
      <c r="BQ138" s="2420"/>
      <c r="BR138" s="2420"/>
      <c r="BS138" s="2420"/>
      <c r="BT138" s="2420"/>
      <c r="BU138" s="2420"/>
      <c r="BV138" s="2437"/>
      <c r="BW138" s="2436"/>
      <c r="BX138" s="2420"/>
      <c r="BY138" s="2420"/>
      <c r="BZ138" s="2420"/>
      <c r="CA138" s="2436"/>
      <c r="CB138" s="2420"/>
      <c r="CC138" s="2420"/>
      <c r="CD138" s="2420"/>
      <c r="CE138" s="2436"/>
      <c r="CF138" s="2420"/>
      <c r="CG138" s="2420"/>
      <c r="CH138" s="2420">
        <v>31</v>
      </c>
      <c r="CI138" s="2436">
        <v>185</v>
      </c>
      <c r="CJ138" s="2420">
        <v>6</v>
      </c>
      <c r="CK138" s="2420"/>
      <c r="CL138" s="2420"/>
      <c r="CM138" s="2436"/>
      <c r="CN138" s="2420"/>
      <c r="CO138" s="2420"/>
      <c r="CP138" s="2420"/>
      <c r="CQ138" s="2436"/>
      <c r="CR138" s="2420"/>
      <c r="CS138" s="2420"/>
      <c r="CT138" s="2420"/>
      <c r="CU138" s="2436"/>
      <c r="CV138" s="2420"/>
      <c r="CW138" s="2420"/>
      <c r="CX138" s="2420"/>
      <c r="CY138" s="2436"/>
      <c r="CZ138" s="2420"/>
      <c r="DA138" s="2420"/>
      <c r="DB138" s="2420"/>
      <c r="DC138" s="2436"/>
      <c r="DF138" s="2437"/>
      <c r="DG138" s="2436"/>
      <c r="DJ138" s="2437"/>
      <c r="DK138" s="2436"/>
      <c r="DN138" s="2437"/>
      <c r="DO138" s="2436"/>
      <c r="DR138" s="2437"/>
      <c r="DS138" s="2436"/>
      <c r="DV138" s="2437"/>
    </row>
    <row r="139" spans="1:133" hidden="1" outlineLevel="1">
      <c r="A139" s="2440" t="s">
        <v>955</v>
      </c>
      <c r="N139" s="812">
        <f t="shared" si="691"/>
        <v>0</v>
      </c>
      <c r="O139" s="812">
        <f t="shared" si="692"/>
        <v>0</v>
      </c>
      <c r="P139" s="812">
        <f t="shared" si="693"/>
        <v>0</v>
      </c>
      <c r="Q139" s="812">
        <f>SUM(CI139:CL139)</f>
        <v>0</v>
      </c>
      <c r="R139" s="812">
        <f t="shared" si="698"/>
        <v>0</v>
      </c>
      <c r="S139" s="812">
        <f t="shared" si="700"/>
        <v>0</v>
      </c>
      <c r="BG139" s="2436">
        <v>12</v>
      </c>
      <c r="BH139" s="2420"/>
      <c r="BI139" s="2420">
        <v>156</v>
      </c>
      <c r="BJ139" s="2420">
        <v>42</v>
      </c>
      <c r="BK139" s="2420"/>
      <c r="BL139" s="2420"/>
      <c r="BM139" s="2420"/>
      <c r="BN139" s="2420">
        <v>215</v>
      </c>
      <c r="BO139" s="2420"/>
      <c r="BP139" s="2420"/>
      <c r="BQ139" s="2420"/>
      <c r="BR139" s="2420"/>
      <c r="BS139" s="2420"/>
      <c r="BT139" s="2420"/>
      <c r="BU139" s="2420"/>
      <c r="BV139" s="2437"/>
      <c r="BW139" s="2436"/>
      <c r="BX139" s="2420"/>
      <c r="BY139" s="2420"/>
      <c r="BZ139" s="2420"/>
      <c r="CA139" s="2436"/>
      <c r="CB139" s="2420"/>
      <c r="CC139" s="2420"/>
      <c r="CD139" s="2420"/>
      <c r="CE139" s="2436"/>
      <c r="CF139" s="2420"/>
      <c r="CG139" s="2420"/>
      <c r="CH139" s="2420"/>
      <c r="CI139" s="2436"/>
      <c r="CJ139" s="2420"/>
      <c r="CK139" s="2420"/>
      <c r="CL139" s="2420"/>
      <c r="CM139" s="2436"/>
      <c r="CN139" s="2420"/>
      <c r="CO139" s="2420"/>
      <c r="CP139" s="2420"/>
      <c r="CQ139" s="2436"/>
      <c r="CR139" s="2420"/>
      <c r="CS139" s="2420"/>
      <c r="CT139" s="2420"/>
      <c r="CU139" s="2436"/>
      <c r="CV139" s="2420"/>
      <c r="CW139" s="2420">
        <f>0.61*384</f>
        <v>234.24</v>
      </c>
      <c r="CX139" s="2420">
        <f>0.61*7186</f>
        <v>4383.46</v>
      </c>
      <c r="CY139" s="2436"/>
      <c r="CZ139" s="2420">
        <f>-237+88</f>
        <v>-149</v>
      </c>
      <c r="DA139" s="2420"/>
      <c r="DB139" s="2420"/>
      <c r="DC139" s="2436"/>
      <c r="DF139" s="2437"/>
      <c r="DG139" s="2436"/>
      <c r="DJ139" s="2437"/>
      <c r="DK139" s="2436"/>
      <c r="DN139" s="2437"/>
      <c r="DO139" s="2436"/>
      <c r="DR139" s="2437"/>
      <c r="DS139" s="2436"/>
      <c r="DV139" s="2437"/>
    </row>
    <row r="140" spans="1:133" hidden="1" outlineLevel="1">
      <c r="A140" s="2440" t="s">
        <v>1020</v>
      </c>
      <c r="N140" s="812">
        <f t="shared" si="691"/>
        <v>0</v>
      </c>
      <c r="O140" s="812">
        <f t="shared" si="692"/>
        <v>0</v>
      </c>
      <c r="P140" s="812">
        <f t="shared" si="693"/>
        <v>0</v>
      </c>
      <c r="Q140" s="812">
        <f>SUM(CI140:CL140)</f>
        <v>0</v>
      </c>
      <c r="R140" s="812">
        <f t="shared" si="698"/>
        <v>0</v>
      </c>
      <c r="S140" s="812">
        <f t="shared" si="700"/>
        <v>0</v>
      </c>
      <c r="BG140" s="2436"/>
      <c r="BH140" s="2420">
        <v>259</v>
      </c>
      <c r="BI140" s="2420"/>
      <c r="BJ140" s="2420"/>
      <c r="BK140" s="2420"/>
      <c r="BL140" s="2420"/>
      <c r="BM140" s="2420"/>
      <c r="BN140" s="2420"/>
      <c r="BO140" s="2420"/>
      <c r="BP140" s="2420"/>
      <c r="BQ140" s="2420"/>
      <c r="BR140" s="2420"/>
      <c r="BS140" s="2420"/>
      <c r="BT140" s="2420"/>
      <c r="BU140" s="2420"/>
      <c r="BV140" s="2437"/>
      <c r="BW140" s="2436"/>
      <c r="BX140" s="2420"/>
      <c r="BY140" s="2420"/>
      <c r="BZ140" s="2420"/>
      <c r="CA140" s="2436"/>
      <c r="CB140" s="2420"/>
      <c r="CC140" s="2420"/>
      <c r="CD140" s="2420"/>
      <c r="CE140" s="2436"/>
      <c r="CF140" s="2420"/>
      <c r="CG140" s="2420"/>
      <c r="CH140" s="2420"/>
      <c r="CI140" s="2436"/>
      <c r="CJ140" s="2420"/>
      <c r="CK140" s="2420"/>
      <c r="CL140" s="2420"/>
      <c r="CM140" s="2436"/>
      <c r="CN140" s="2420"/>
      <c r="CO140" s="2420"/>
      <c r="CP140" s="2420"/>
      <c r="CQ140" s="2436"/>
      <c r="CR140" s="2420"/>
      <c r="CS140" s="2420"/>
      <c r="CT140" s="2420"/>
      <c r="CU140" s="2436"/>
      <c r="CV140" s="2420"/>
      <c r="CW140" s="2420"/>
      <c r="CX140" s="2420"/>
      <c r="CY140" s="2436"/>
      <c r="CZ140" s="2420"/>
      <c r="DA140" s="2420"/>
      <c r="DB140" s="2420"/>
      <c r="DC140" s="2436"/>
      <c r="DF140" s="2437"/>
      <c r="DG140" s="2436"/>
      <c r="DJ140" s="2437"/>
      <c r="DK140" s="2436"/>
      <c r="DN140" s="2437"/>
      <c r="DO140" s="2436"/>
      <c r="DR140" s="2437"/>
      <c r="DS140" s="2436"/>
      <c r="DV140" s="2437"/>
    </row>
    <row r="141" spans="1:133" hidden="1" outlineLevel="1">
      <c r="A141" s="2440" t="s">
        <v>1021</v>
      </c>
      <c r="N141" s="812">
        <f t="shared" si="691"/>
        <v>0</v>
      </c>
      <c r="O141" s="812">
        <f t="shared" si="692"/>
        <v>0</v>
      </c>
      <c r="P141" s="812">
        <f t="shared" si="693"/>
        <v>0</v>
      </c>
      <c r="Q141" s="812">
        <f>SUM(CI141:CL141)</f>
        <v>0</v>
      </c>
      <c r="R141" s="812">
        <f t="shared" si="698"/>
        <v>0</v>
      </c>
      <c r="S141" s="812">
        <f t="shared" si="700"/>
        <v>0</v>
      </c>
      <c r="BG141" s="2436"/>
      <c r="BH141" s="2420">
        <v>114</v>
      </c>
      <c r="BI141" s="2420"/>
      <c r="BJ141" s="2420"/>
      <c r="BK141" s="2420"/>
      <c r="BL141" s="2420"/>
      <c r="BM141" s="2420"/>
      <c r="BN141" s="2420"/>
      <c r="BO141" s="2420"/>
      <c r="BP141" s="2420"/>
      <c r="BQ141" s="2420"/>
      <c r="BR141" s="2420"/>
      <c r="BS141" s="2420"/>
      <c r="BT141" s="2420"/>
      <c r="BU141" s="2420"/>
      <c r="BV141" s="2437"/>
      <c r="BW141" s="2436"/>
      <c r="BX141" s="2420"/>
      <c r="BY141" s="2420"/>
      <c r="BZ141" s="2420"/>
      <c r="CA141" s="2436"/>
      <c r="CB141" s="2420"/>
      <c r="CC141" s="2420"/>
      <c r="CD141" s="2420"/>
      <c r="CE141" s="2436"/>
      <c r="CF141" s="2420"/>
      <c r="CG141" s="2420"/>
      <c r="CH141" s="2420"/>
      <c r="CI141" s="2436"/>
      <c r="CJ141" s="2420"/>
      <c r="CK141" s="2420"/>
      <c r="CL141" s="2420"/>
      <c r="CM141" s="2436"/>
      <c r="CN141" s="2420"/>
      <c r="CO141" s="2420"/>
      <c r="CP141" s="2420"/>
      <c r="CQ141" s="2436"/>
      <c r="CR141" s="2420"/>
      <c r="CS141" s="2420"/>
      <c r="CT141" s="2420"/>
      <c r="CU141" s="2436"/>
      <c r="CV141" s="2420"/>
      <c r="CW141" s="2420"/>
      <c r="CX141" s="2420"/>
      <c r="CY141" s="2436"/>
      <c r="CZ141" s="2420"/>
      <c r="DA141" s="2420"/>
      <c r="DB141" s="2420"/>
      <c r="DC141" s="2436"/>
      <c r="DF141" s="2437"/>
      <c r="DG141" s="2436"/>
      <c r="DJ141" s="2437"/>
      <c r="DK141" s="2436"/>
      <c r="DN141" s="2437"/>
      <c r="DO141" s="2436"/>
      <c r="DR141" s="2437"/>
      <c r="DS141" s="2436"/>
      <c r="DV141" s="2437"/>
    </row>
    <row r="142" spans="1:133" hidden="1" outlineLevel="1">
      <c r="A142" s="2440" t="s">
        <v>1022</v>
      </c>
      <c r="N142" s="812">
        <f t="shared" si="691"/>
        <v>0</v>
      </c>
      <c r="O142" s="812">
        <f t="shared" si="692"/>
        <v>610</v>
      </c>
      <c r="P142" s="812">
        <f t="shared" si="693"/>
        <v>0</v>
      </c>
      <c r="Q142" s="812">
        <f>SUM(CI142:CL142)</f>
        <v>0</v>
      </c>
      <c r="R142" s="812">
        <f t="shared" si="698"/>
        <v>0</v>
      </c>
      <c r="S142" s="812">
        <f t="shared" si="700"/>
        <v>0</v>
      </c>
      <c r="BG142" s="2436"/>
      <c r="BH142" s="2420"/>
      <c r="BI142" s="2420">
        <v>-983</v>
      </c>
      <c r="BJ142" s="2420">
        <v>-1121</v>
      </c>
      <c r="BK142" s="2420"/>
      <c r="BL142" s="2420"/>
      <c r="BM142" s="2420"/>
      <c r="BN142" s="2420"/>
      <c r="BO142" s="2420"/>
      <c r="BP142" s="2420"/>
      <c r="BQ142" s="2420"/>
      <c r="BR142" s="2420"/>
      <c r="BS142" s="2420"/>
      <c r="BT142" s="2420"/>
      <c r="BU142" s="2420"/>
      <c r="BV142" s="2437"/>
      <c r="BW142" s="2436"/>
      <c r="BX142" s="2420"/>
      <c r="BY142" s="2420"/>
      <c r="BZ142" s="2420"/>
      <c r="CA142" s="2436"/>
      <c r="CB142" s="2420"/>
      <c r="CC142" s="2420">
        <v>471</v>
      </c>
      <c r="CD142" s="2420">
        <v>139</v>
      </c>
      <c r="CE142" s="2436"/>
      <c r="CF142" s="2420"/>
      <c r="CG142" s="2420"/>
      <c r="CH142" s="2420"/>
      <c r="CI142" s="2436"/>
      <c r="CJ142" s="2420"/>
      <c r="CK142" s="2420"/>
      <c r="CL142" s="2420"/>
      <c r="CM142" s="2436"/>
      <c r="CN142" s="2420"/>
      <c r="CO142" s="2420"/>
      <c r="CP142" s="2420"/>
      <c r="CQ142" s="2436"/>
      <c r="CR142" s="2420"/>
      <c r="CS142" s="2420"/>
      <c r="CT142" s="2420"/>
      <c r="CU142" s="2436"/>
      <c r="CV142" s="2420"/>
      <c r="CW142" s="2420"/>
      <c r="CX142" s="2420"/>
      <c r="CY142" s="2436"/>
      <c r="CZ142" s="2420"/>
      <c r="DA142" s="2420"/>
      <c r="DB142" s="2420"/>
      <c r="DC142" s="2436"/>
      <c r="DF142" s="2437"/>
      <c r="DG142" s="2436"/>
      <c r="DJ142" s="2437"/>
      <c r="DK142" s="2436"/>
      <c r="DN142" s="2437"/>
      <c r="DO142" s="2436"/>
      <c r="DR142" s="2437"/>
      <c r="DS142" s="2436"/>
      <c r="DV142" s="2437"/>
    </row>
    <row r="143" spans="1:133" hidden="1" outlineLevel="1">
      <c r="A143" s="2440" t="s">
        <v>1023</v>
      </c>
      <c r="N143" s="812">
        <f t="shared" si="691"/>
        <v>16</v>
      </c>
      <c r="O143" s="812">
        <f t="shared" si="692"/>
        <v>0</v>
      </c>
      <c r="P143" s="812">
        <f t="shared" si="693"/>
        <v>0</v>
      </c>
      <c r="Q143" s="812">
        <f>SUM(CI143:CL143)</f>
        <v>0</v>
      </c>
      <c r="R143" s="812">
        <f t="shared" si="698"/>
        <v>0</v>
      </c>
      <c r="S143" s="812">
        <f t="shared" si="700"/>
        <v>0</v>
      </c>
      <c r="BG143" s="2436"/>
      <c r="BH143" s="2420"/>
      <c r="BI143" s="2420"/>
      <c r="BJ143" s="2420"/>
      <c r="BK143" s="2420"/>
      <c r="BL143" s="2420"/>
      <c r="BM143" s="2420"/>
      <c r="BN143" s="2420"/>
      <c r="BO143" s="2420"/>
      <c r="BP143" s="2420"/>
      <c r="BQ143" s="2420"/>
      <c r="BR143" s="2420"/>
      <c r="BS143" s="2420"/>
      <c r="BT143" s="2420"/>
      <c r="BU143" s="2420"/>
      <c r="BV143" s="2437"/>
      <c r="BW143" s="2436">
        <v>16</v>
      </c>
      <c r="BX143" s="2420"/>
      <c r="BY143" s="2420"/>
      <c r="BZ143" s="2420"/>
      <c r="CA143" s="2436"/>
      <c r="CB143" s="2420"/>
      <c r="CC143" s="2420"/>
      <c r="CD143" s="2420"/>
      <c r="CE143" s="2436"/>
      <c r="CF143" s="2420"/>
      <c r="CG143" s="2420"/>
      <c r="CH143" s="2420"/>
      <c r="CI143" s="2436"/>
      <c r="CJ143" s="2420"/>
      <c r="CK143" s="2420"/>
      <c r="CL143" s="2420"/>
      <c r="CM143" s="2436"/>
      <c r="CN143" s="2420"/>
      <c r="CO143" s="2420"/>
      <c r="CP143" s="2420"/>
      <c r="CQ143" s="2436"/>
      <c r="CR143" s="2420"/>
      <c r="CS143" s="2420"/>
      <c r="CT143" s="2420"/>
      <c r="CU143" s="2436"/>
      <c r="CV143" s="2420"/>
      <c r="CW143" s="2420"/>
      <c r="CX143" s="2420">
        <f>+(40+236+1097)*0.61</f>
        <v>837.53</v>
      </c>
      <c r="CY143" s="2436"/>
      <c r="CZ143" s="2420"/>
      <c r="DA143" s="2420"/>
      <c r="DB143" s="2420"/>
      <c r="DC143" s="2436"/>
      <c r="DF143" s="2437"/>
      <c r="DG143" s="2436"/>
      <c r="DJ143" s="2437"/>
      <c r="DK143" s="2436"/>
      <c r="DN143" s="2437"/>
      <c r="DO143" s="2436"/>
      <c r="DR143" s="2437"/>
      <c r="DS143" s="2436"/>
      <c r="DV143" s="2437"/>
    </row>
    <row r="144" spans="1:133" s="820" customFormat="1" hidden="1" outlineLevel="1">
      <c r="A144" s="1165" t="s">
        <v>1024</v>
      </c>
      <c r="B144" s="1166"/>
      <c r="C144" s="3148"/>
      <c r="D144" s="3148"/>
      <c r="E144" s="3148"/>
      <c r="F144" s="1166"/>
      <c r="G144" s="1166"/>
      <c r="H144" s="1166"/>
      <c r="I144" s="1166"/>
      <c r="J144" s="1166"/>
      <c r="K144" s="1166"/>
      <c r="L144" s="1166"/>
      <c r="M144" s="1166"/>
      <c r="N144" s="1166">
        <f>SUM(N127:N143)</f>
        <v>7419</v>
      </c>
      <c r="O144" s="1166">
        <f>SUM(O127:O143)</f>
        <v>6926</v>
      </c>
      <c r="P144" s="1166">
        <f>SUM(P127:P142)</f>
        <v>7235</v>
      </c>
      <c r="Q144" s="1166">
        <f>SUM(Q127:Q143)</f>
        <v>10358</v>
      </c>
      <c r="R144" s="1166">
        <f t="shared" ref="R144:V144" si="701">SUM(R127:R142)</f>
        <v>15268.13373393063</v>
      </c>
      <c r="S144" s="1166">
        <f t="shared" si="701"/>
        <v>13883.032499999999</v>
      </c>
      <c r="T144" s="1166">
        <f t="shared" si="701"/>
        <v>16046.513999999999</v>
      </c>
      <c r="U144" s="1166">
        <f t="shared" si="701"/>
        <v>20023.39</v>
      </c>
      <c r="V144" s="1166">
        <f t="shared" si="701"/>
        <v>16539.64</v>
      </c>
      <c r="W144" s="1166">
        <f t="shared" ref="W144:AB144" si="702">SUM(W127:W142)</f>
        <v>14619.8</v>
      </c>
      <c r="X144" s="1166">
        <f t="shared" si="702"/>
        <v>15768.26</v>
      </c>
      <c r="Y144" s="1166">
        <f t="shared" si="702"/>
        <v>15724</v>
      </c>
      <c r="Z144" s="1166">
        <f t="shared" ca="1" si="702"/>
        <v>19245.505399655231</v>
      </c>
      <c r="AA144" s="3148">
        <f t="shared" ca="1" si="702"/>
        <v>20033.296174750736</v>
      </c>
      <c r="AB144" s="1166">
        <f t="shared" ca="1" si="702"/>
        <v>20930.060741173267</v>
      </c>
      <c r="AC144" s="1166">
        <f t="shared" ref="AC144:AG144" ca="1" si="703">SUM(AC127:AC142)</f>
        <v>21803.218286285253</v>
      </c>
      <c r="AD144" s="1166">
        <f t="shared" ca="1" si="703"/>
        <v>22759.84230781471</v>
      </c>
      <c r="AE144" s="1166">
        <f t="shared" ca="1" si="703"/>
        <v>23777.984743285</v>
      </c>
      <c r="AF144" s="1166">
        <f t="shared" ca="1" si="703"/>
        <v>24863.031585146939</v>
      </c>
      <c r="AG144" s="1166">
        <f t="shared" ca="1" si="703"/>
        <v>25991.905300458406</v>
      </c>
      <c r="AH144" s="1926"/>
      <c r="AI144" s="1167"/>
      <c r="AJ144" s="1926"/>
      <c r="AK144" s="1423"/>
      <c r="AL144" s="1423"/>
      <c r="AM144" s="1423"/>
      <c r="AN144" s="1423"/>
      <c r="AO144" s="1423"/>
      <c r="AP144" s="1423"/>
      <c r="AQ144" s="1423"/>
      <c r="AR144" s="1423"/>
      <c r="AS144" s="1423"/>
      <c r="AT144" s="1423"/>
      <c r="AU144" s="1423"/>
      <c r="AV144" s="1423"/>
      <c r="AW144" s="1423"/>
      <c r="AX144" s="3019"/>
      <c r="AY144" s="3019"/>
      <c r="AZ144" s="3019"/>
      <c r="BA144" s="1423"/>
      <c r="BB144" s="1423"/>
      <c r="BC144" s="1423"/>
      <c r="BD144" s="1423"/>
      <c r="BE144" s="1423"/>
      <c r="BF144" s="1423"/>
      <c r="BG144" s="1165">
        <v>1980</v>
      </c>
      <c r="BH144" s="1166">
        <v>2133</v>
      </c>
      <c r="BI144" s="1166">
        <v>2117</v>
      </c>
      <c r="BJ144" s="1166">
        <v>2216</v>
      </c>
      <c r="BK144" s="1166">
        <v>1894</v>
      </c>
      <c r="BL144" s="1166">
        <v>1890</v>
      </c>
      <c r="BM144" s="1166">
        <v>1867</v>
      </c>
      <c r="BN144" s="1166">
        <v>1582</v>
      </c>
      <c r="BO144" s="1166"/>
      <c r="BP144" s="1166"/>
      <c r="BQ144" s="1166"/>
      <c r="BR144" s="1166"/>
      <c r="BS144" s="1166"/>
      <c r="BT144" s="1166"/>
      <c r="BU144" s="1166"/>
      <c r="BV144" s="1168"/>
      <c r="BW144" s="1165">
        <f t="shared" ref="BW144:DC144" si="704">SUM(BW127:BW143)</f>
        <v>1753</v>
      </c>
      <c r="BX144" s="1166">
        <f t="shared" si="704"/>
        <v>1874</v>
      </c>
      <c r="BY144" s="1166">
        <f t="shared" si="704"/>
        <v>1986</v>
      </c>
      <c r="BZ144" s="1166">
        <f t="shared" si="704"/>
        <v>1806</v>
      </c>
      <c r="CA144" s="1165">
        <f t="shared" si="704"/>
        <v>1630</v>
      </c>
      <c r="CB144" s="1166">
        <f t="shared" si="704"/>
        <v>1700</v>
      </c>
      <c r="CC144" s="1166">
        <f t="shared" si="704"/>
        <v>1814</v>
      </c>
      <c r="CD144" s="1166">
        <f t="shared" si="704"/>
        <v>1782</v>
      </c>
      <c r="CE144" s="1165">
        <f t="shared" si="704"/>
        <v>1741</v>
      </c>
      <c r="CF144" s="1166">
        <f t="shared" si="704"/>
        <v>1904</v>
      </c>
      <c r="CG144" s="1166">
        <f t="shared" si="704"/>
        <v>1865</v>
      </c>
      <c r="CH144" s="1166">
        <f t="shared" si="704"/>
        <v>1725</v>
      </c>
      <c r="CI144" s="1165">
        <f t="shared" si="704"/>
        <v>3489</v>
      </c>
      <c r="CJ144" s="1166">
        <f t="shared" si="704"/>
        <v>3509</v>
      </c>
      <c r="CK144" s="1166">
        <f t="shared" si="704"/>
        <v>3536</v>
      </c>
      <c r="CL144" s="1166">
        <f t="shared" si="704"/>
        <v>1474</v>
      </c>
      <c r="CM144" s="1165">
        <f t="shared" si="704"/>
        <v>2318</v>
      </c>
      <c r="CN144" s="1166">
        <f t="shared" si="704"/>
        <v>553</v>
      </c>
      <c r="CO144" s="1166">
        <f t="shared" si="704"/>
        <v>4019.7457339306297</v>
      </c>
      <c r="CP144" s="1166">
        <f t="shared" si="704"/>
        <v>4648</v>
      </c>
      <c r="CQ144" s="1165">
        <f t="shared" si="704"/>
        <v>3264</v>
      </c>
      <c r="CR144" s="1166">
        <f t="shared" si="704"/>
        <v>3604</v>
      </c>
      <c r="CS144" s="1166">
        <f t="shared" si="704"/>
        <v>3743</v>
      </c>
      <c r="CT144" s="1166">
        <f t="shared" si="704"/>
        <v>-212</v>
      </c>
      <c r="CU144" s="1165">
        <f t="shared" si="704"/>
        <v>3906</v>
      </c>
      <c r="CV144" s="1166">
        <f t="shared" si="704"/>
        <v>4285</v>
      </c>
      <c r="CW144" s="1166">
        <f t="shared" si="704"/>
        <v>4526.24</v>
      </c>
      <c r="CX144" s="1166">
        <f t="shared" si="704"/>
        <v>3294.99</v>
      </c>
      <c r="CY144" s="1165">
        <f t="shared" si="704"/>
        <v>4855</v>
      </c>
      <c r="CZ144" s="1166">
        <f t="shared" si="704"/>
        <v>5049</v>
      </c>
      <c r="DA144" s="1166">
        <f t="shared" si="704"/>
        <v>5578</v>
      </c>
      <c r="DB144" s="1166">
        <f t="shared" si="704"/>
        <v>7916</v>
      </c>
      <c r="DC144" s="1165">
        <f t="shared" si="704"/>
        <v>5986</v>
      </c>
      <c r="DD144" s="1166">
        <f>SUM(DD127:DD143)</f>
        <v>4324</v>
      </c>
      <c r="DE144" s="1166">
        <f>SUM(DE127:DE143)</f>
        <v>3794</v>
      </c>
      <c r="DF144" s="1168">
        <f>SUM(DF127:DF143)</f>
        <v>-2148</v>
      </c>
      <c r="DG144" s="1165">
        <f t="shared" ref="DG144:DJ144" si="705">SUM(DG127:DG143)</f>
        <v>4338</v>
      </c>
      <c r="DH144" s="1166">
        <f t="shared" si="705"/>
        <v>4353</v>
      </c>
      <c r="DI144" s="1166">
        <f t="shared" si="705"/>
        <v>4171</v>
      </c>
      <c r="DJ144" s="1168">
        <f t="shared" si="705"/>
        <v>5513</v>
      </c>
      <c r="DK144" s="1165">
        <f t="shared" ref="DK144:DL144" si="706">SUM(DK127:DK143)</f>
        <v>4430</v>
      </c>
      <c r="DL144" s="1166">
        <f t="shared" si="706"/>
        <v>831</v>
      </c>
      <c r="DM144" s="1166">
        <f t="shared" ref="DM144:DN144" si="707">SUM(DM127:DM143)</f>
        <v>3747</v>
      </c>
      <c r="DN144" s="3018">
        <f t="shared" si="707"/>
        <v>4600</v>
      </c>
      <c r="DO144" s="3230">
        <f t="shared" ref="DO144:DP144" si="708">SUM(DO127:DO143)</f>
        <v>3553</v>
      </c>
      <c r="DP144" s="3229">
        <f t="shared" si="708"/>
        <v>4478</v>
      </c>
      <c r="DQ144" s="3229">
        <f t="shared" ref="DQ144:DR144" si="709">SUM(DQ127:DQ143)</f>
        <v>3736</v>
      </c>
      <c r="DR144" s="3294">
        <f t="shared" si="709"/>
        <v>18783</v>
      </c>
      <c r="DS144" s="1165">
        <f t="shared" ref="DS144" si="710">SUM(DS127:DS143)</f>
        <v>4666</v>
      </c>
      <c r="DT144" s="3148">
        <f t="shared" ref="DT144:DV144" ca="1" si="711">SUM(DT127:DT143)</f>
        <v>4919.2889958442465</v>
      </c>
      <c r="DU144" s="3148">
        <f t="shared" ca="1" si="711"/>
        <v>5129.5100402660883</v>
      </c>
      <c r="DV144" s="3018">
        <f t="shared" ca="1" si="711"/>
        <v>4264.7063635449067</v>
      </c>
      <c r="DW144" s="1923"/>
      <c r="DX144"/>
      <c r="DY144"/>
      <c r="DZ144"/>
      <c r="EA144"/>
      <c r="EB144"/>
      <c r="EC144"/>
    </row>
    <row r="145" spans="1:133" hidden="1" outlineLevel="1">
      <c r="A145" s="2440" t="s">
        <v>1025</v>
      </c>
      <c r="N145" s="812">
        <f>N144-N88</f>
        <v>-233.93168880455778</v>
      </c>
      <c r="O145" s="812">
        <f>O144-O88</f>
        <v>0</v>
      </c>
      <c r="P145" s="812">
        <f>P144-P88</f>
        <v>0</v>
      </c>
      <c r="Q145" s="812">
        <f t="shared" ref="Q145:V145" si="712">Q144-Q92</f>
        <v>-1967.8650000000016</v>
      </c>
      <c r="R145" s="812">
        <f t="shared" si="712"/>
        <v>1321.7457339306311</v>
      </c>
      <c r="S145" s="812">
        <f t="shared" si="712"/>
        <v>0</v>
      </c>
      <c r="T145" s="812">
        <f t="shared" si="712"/>
        <v>0</v>
      </c>
      <c r="U145" s="812">
        <f t="shared" si="712"/>
        <v>0</v>
      </c>
      <c r="V145" s="812">
        <f t="shared" si="712"/>
        <v>0</v>
      </c>
      <c r="W145" s="812">
        <f>W144-W92</f>
        <v>0</v>
      </c>
      <c r="X145" s="812">
        <f>X144-X92</f>
        <v>0</v>
      </c>
      <c r="Y145" s="812">
        <f>Y144-Y92</f>
        <v>0</v>
      </c>
      <c r="Z145" s="812">
        <f ca="1">Z144-Z92</f>
        <v>0</v>
      </c>
      <c r="BG145" s="2436">
        <v>425</v>
      </c>
      <c r="BH145" s="2420">
        <v>770</v>
      </c>
      <c r="BI145" s="2420">
        <v>-287</v>
      </c>
      <c r="BJ145" s="2420">
        <v>41</v>
      </c>
      <c r="BK145" s="2420">
        <v>-480</v>
      </c>
      <c r="BL145" s="2420">
        <v>-169</v>
      </c>
      <c r="BM145" s="2420">
        <v>-37</v>
      </c>
      <c r="BN145" s="2420">
        <v>283</v>
      </c>
      <c r="BO145" s="2420"/>
      <c r="BP145" s="2420"/>
      <c r="BQ145" s="2420"/>
      <c r="BR145" s="2420"/>
      <c r="BS145" s="2420"/>
      <c r="BT145" s="2420"/>
      <c r="BU145" s="2420"/>
      <c r="BV145" s="2437"/>
      <c r="BW145" s="2436">
        <f t="shared" ref="BW145:CH145" si="713">BW144-BW88</f>
        <v>-232.9316888045505</v>
      </c>
      <c r="BX145" s="2420">
        <f t="shared" si="713"/>
        <v>0</v>
      </c>
      <c r="BY145" s="2420">
        <f t="shared" si="713"/>
        <v>-1</v>
      </c>
      <c r="BZ145" s="2420">
        <f t="shared" si="713"/>
        <v>0</v>
      </c>
      <c r="CA145" s="2436">
        <f t="shared" si="713"/>
        <v>0</v>
      </c>
      <c r="CB145" s="2420">
        <f t="shared" si="713"/>
        <v>0</v>
      </c>
      <c r="CC145" s="2420">
        <f t="shared" si="713"/>
        <v>0</v>
      </c>
      <c r="CD145" s="2420">
        <f t="shared" si="713"/>
        <v>0</v>
      </c>
      <c r="CE145" s="2436">
        <f t="shared" si="713"/>
        <v>0</v>
      </c>
      <c r="CF145" s="2420">
        <f t="shared" si="713"/>
        <v>0</v>
      </c>
      <c r="CG145" s="2420">
        <f t="shared" si="713"/>
        <v>0</v>
      </c>
      <c r="CH145" s="2420">
        <f t="shared" si="713"/>
        <v>0</v>
      </c>
      <c r="CI145" s="2436">
        <f t="shared" ref="CI145:DC145" si="714">CI144-CI92</f>
        <v>496.19000000000005</v>
      </c>
      <c r="CJ145" s="2420">
        <f t="shared" si="714"/>
        <v>387.85500000000002</v>
      </c>
      <c r="CK145" s="2420">
        <f t="shared" si="714"/>
        <v>341.05499999999984</v>
      </c>
      <c r="CL145" s="2420">
        <f t="shared" si="714"/>
        <v>-1542.9650000000001</v>
      </c>
      <c r="CM145" s="2436">
        <f t="shared" si="714"/>
        <v>-891.54600000000028</v>
      </c>
      <c r="CN145" s="2420">
        <f t="shared" si="714"/>
        <v>-2869.6369999999997</v>
      </c>
      <c r="CO145" s="2420">
        <f t="shared" si="714"/>
        <v>384.18073393062969</v>
      </c>
      <c r="CP145" s="2420">
        <f t="shared" si="714"/>
        <v>969.36000000000013</v>
      </c>
      <c r="CQ145" s="2436">
        <f t="shared" si="714"/>
        <v>0</v>
      </c>
      <c r="CR145" s="2420">
        <f t="shared" si="714"/>
        <v>0</v>
      </c>
      <c r="CS145" s="2420">
        <f t="shared" si="714"/>
        <v>0.30999999999994543</v>
      </c>
      <c r="CT145" s="2420">
        <f t="shared" si="714"/>
        <v>-3484.3424999999997</v>
      </c>
      <c r="CU145" s="2436">
        <f t="shared" si="714"/>
        <v>0.48999999999978172</v>
      </c>
      <c r="CV145" s="2420">
        <f t="shared" si="714"/>
        <v>27.489999999999782</v>
      </c>
      <c r="CW145" s="2420">
        <f t="shared" si="714"/>
        <v>7.2280000000000655</v>
      </c>
      <c r="CX145" s="2420">
        <f t="shared" si="714"/>
        <v>-69.492000000000189</v>
      </c>
      <c r="CY145" s="2436">
        <f t="shared" si="714"/>
        <v>10</v>
      </c>
      <c r="CZ145" s="2420">
        <f t="shared" si="714"/>
        <v>8.3099999999994907</v>
      </c>
      <c r="DA145" s="2420">
        <f t="shared" si="714"/>
        <v>157.94000000000051</v>
      </c>
      <c r="DB145" s="2420">
        <f t="shared" si="714"/>
        <v>3198.3600000000006</v>
      </c>
      <c r="DC145" s="2436">
        <f t="shared" si="714"/>
        <v>167</v>
      </c>
      <c r="DD145" s="2420">
        <f>DD144-DD92</f>
        <v>444.34000000000015</v>
      </c>
      <c r="DE145" s="2420">
        <f>DE144-DE92</f>
        <v>0</v>
      </c>
      <c r="DF145" s="2437">
        <f>DF144-DF92</f>
        <v>-5194.9799999999996</v>
      </c>
      <c r="DG145" s="2436">
        <f t="shared" ref="DG145:DJ145" si="715">DG144-DG92</f>
        <v>555</v>
      </c>
      <c r="DH145" s="2420">
        <f t="shared" si="715"/>
        <v>547</v>
      </c>
      <c r="DI145" s="2420">
        <f t="shared" si="715"/>
        <v>331.96000000000004</v>
      </c>
      <c r="DJ145" s="2437">
        <f t="shared" si="715"/>
        <v>2321.2399999999998</v>
      </c>
      <c r="DK145" s="2436">
        <f t="shared" ref="DK145:DL145" si="716">DK144-DK92</f>
        <v>510.73999999999978</v>
      </c>
      <c r="DL145" s="2420">
        <f t="shared" si="716"/>
        <v>-3154</v>
      </c>
      <c r="DM145" s="2420">
        <f t="shared" ref="DM145:DN145" si="717">DM144-DM92</f>
        <v>-502</v>
      </c>
      <c r="DN145" s="2437">
        <f t="shared" si="717"/>
        <v>985</v>
      </c>
      <c r="DO145" s="2436">
        <f t="shared" ref="DO145:DP145" si="718">DO144-DO92</f>
        <v>-413</v>
      </c>
      <c r="DP145" s="2420">
        <f t="shared" si="718"/>
        <v>458</v>
      </c>
      <c r="DQ145" s="2420">
        <f t="shared" ref="DQ145:DR145" si="719">DQ144-DQ92</f>
        <v>-374</v>
      </c>
      <c r="DR145" s="2437">
        <f t="shared" si="719"/>
        <v>15155</v>
      </c>
      <c r="DS145" s="2436">
        <f t="shared" ref="DS145" si="720">DS144-DS92</f>
        <v>-266</v>
      </c>
      <c r="DT145" s="2420">
        <f t="shared" ref="DT145:DV145" ca="1" si="721">DT144-DT92</f>
        <v>0</v>
      </c>
      <c r="DU145" s="2420">
        <f t="shared" ca="1" si="721"/>
        <v>0</v>
      </c>
      <c r="DV145" s="2437">
        <f t="shared" ca="1" si="721"/>
        <v>0</v>
      </c>
    </row>
    <row r="146" spans="1:133" hidden="1" outlineLevel="1">
      <c r="A146" s="2440" t="s">
        <v>1026</v>
      </c>
      <c r="N146" s="812">
        <f t="shared" ref="N146:V146" si="722">SUM(N128:N143)</f>
        <v>1222</v>
      </c>
      <c r="O146" s="812">
        <f t="shared" si="722"/>
        <v>1405</v>
      </c>
      <c r="P146" s="812">
        <f t="shared" si="722"/>
        <v>807</v>
      </c>
      <c r="Q146" s="812">
        <f t="shared" si="722"/>
        <v>0</v>
      </c>
      <c r="R146" s="812">
        <f t="shared" si="722"/>
        <v>1321.7457339306297</v>
      </c>
      <c r="S146" s="812">
        <f t="shared" si="722"/>
        <v>0</v>
      </c>
      <c r="T146" s="812">
        <f t="shared" si="722"/>
        <v>0</v>
      </c>
      <c r="U146" s="812">
        <f t="shared" si="722"/>
        <v>0</v>
      </c>
      <c r="V146" s="812">
        <f t="shared" si="722"/>
        <v>0</v>
      </c>
      <c r="W146" s="812">
        <f>SUM(W128:W143)</f>
        <v>0</v>
      </c>
      <c r="X146" s="812">
        <f>SUM(X128:X143)</f>
        <v>0</v>
      </c>
      <c r="Y146" s="812">
        <f>SUM(Y128:Y143)</f>
        <v>0</v>
      </c>
      <c r="Z146" s="812">
        <f>SUM(Z128:Z143)</f>
        <v>0</v>
      </c>
      <c r="BG146" s="2436">
        <v>2481</v>
      </c>
      <c r="BH146" s="2420">
        <v>4248</v>
      </c>
      <c r="BI146" s="2420">
        <v>-2288</v>
      </c>
      <c r="BJ146" s="2420">
        <v>-74</v>
      </c>
      <c r="BK146" s="2420">
        <v>-512</v>
      </c>
      <c r="BL146" s="2420">
        <v>1552</v>
      </c>
      <c r="BM146" s="2420">
        <v>76</v>
      </c>
      <c r="BN146" s="2420">
        <v>3040</v>
      </c>
      <c r="BO146" s="2420"/>
      <c r="BP146" s="2420"/>
      <c r="BQ146" s="2420"/>
      <c r="BR146" s="2420"/>
      <c r="BS146" s="2420"/>
      <c r="BT146" s="2420"/>
      <c r="BU146" s="2420"/>
      <c r="BV146" s="2437"/>
      <c r="BW146" s="2436">
        <f t="shared" ref="BW146:DB146" si="723">SUM(BW128:BW143)</f>
        <v>121</v>
      </c>
      <c r="BX146" s="2420">
        <f t="shared" si="723"/>
        <v>263</v>
      </c>
      <c r="BY146" s="2420">
        <f t="shared" si="723"/>
        <v>64</v>
      </c>
      <c r="BZ146" s="2420">
        <f t="shared" si="723"/>
        <v>774</v>
      </c>
      <c r="CA146" s="2436">
        <f t="shared" si="723"/>
        <v>135</v>
      </c>
      <c r="CB146" s="2420">
        <f t="shared" si="723"/>
        <v>17</v>
      </c>
      <c r="CC146" s="2420">
        <f t="shared" si="723"/>
        <v>543</v>
      </c>
      <c r="CD146" s="2420">
        <f t="shared" si="723"/>
        <v>710</v>
      </c>
      <c r="CE146" s="2436">
        <f t="shared" si="723"/>
        <v>99</v>
      </c>
      <c r="CF146" s="2420">
        <f t="shared" si="723"/>
        <v>22</v>
      </c>
      <c r="CG146" s="2420">
        <f t="shared" si="723"/>
        <v>196</v>
      </c>
      <c r="CH146" s="2420">
        <f t="shared" si="723"/>
        <v>490</v>
      </c>
      <c r="CI146" s="2436">
        <f t="shared" si="723"/>
        <v>279</v>
      </c>
      <c r="CJ146" s="2420">
        <f t="shared" si="723"/>
        <v>349</v>
      </c>
      <c r="CK146" s="2420">
        <f t="shared" si="723"/>
        <v>649</v>
      </c>
      <c r="CL146" s="2420">
        <f t="shared" si="723"/>
        <v>373</v>
      </c>
      <c r="CM146" s="2436">
        <f t="shared" si="723"/>
        <v>0</v>
      </c>
      <c r="CN146" s="2420">
        <f t="shared" si="723"/>
        <v>0</v>
      </c>
      <c r="CO146" s="2420">
        <f t="shared" si="723"/>
        <v>1321.7457339306297</v>
      </c>
      <c r="CP146" s="2420">
        <f t="shared" si="723"/>
        <v>0</v>
      </c>
      <c r="CQ146" s="2436">
        <f t="shared" si="723"/>
        <v>0</v>
      </c>
      <c r="CR146" s="2420">
        <f t="shared" si="723"/>
        <v>0</v>
      </c>
      <c r="CS146" s="2420">
        <f t="shared" si="723"/>
        <v>201</v>
      </c>
      <c r="CT146" s="2420">
        <f t="shared" si="723"/>
        <v>0</v>
      </c>
      <c r="CU146" s="2436">
        <f t="shared" si="723"/>
        <v>0</v>
      </c>
      <c r="CV146" s="2420">
        <f t="shared" si="723"/>
        <v>0</v>
      </c>
      <c r="CW146" s="2420">
        <f t="shared" si="723"/>
        <v>234.24</v>
      </c>
      <c r="CX146" s="2420">
        <f t="shared" si="723"/>
        <v>5220.99</v>
      </c>
      <c r="CY146" s="2436">
        <f t="shared" si="723"/>
        <v>0</v>
      </c>
      <c r="CZ146" s="2420">
        <f t="shared" si="723"/>
        <v>-149</v>
      </c>
      <c r="DA146" s="2420">
        <f t="shared" si="723"/>
        <v>0</v>
      </c>
      <c r="DB146" s="2420">
        <f t="shared" si="723"/>
        <v>0</v>
      </c>
      <c r="DC146" s="2436">
        <f>SUM(DC128:DC143)</f>
        <v>0</v>
      </c>
      <c r="DD146" s="2420">
        <f>SUM(DD128:DD143)</f>
        <v>0</v>
      </c>
      <c r="DE146" s="2420">
        <f>SUM(DE128:DE143)</f>
        <v>0</v>
      </c>
      <c r="DF146" s="2437">
        <f>SUM(DF128:DF143)</f>
        <v>0</v>
      </c>
      <c r="DG146" s="2436">
        <f t="shared" ref="DG146:DJ146" si="724">SUM(DG128:DG143)</f>
        <v>0</v>
      </c>
      <c r="DH146" s="2420">
        <f t="shared" si="724"/>
        <v>0</v>
      </c>
      <c r="DI146" s="2420">
        <f t="shared" si="724"/>
        <v>0</v>
      </c>
      <c r="DJ146" s="2437">
        <f t="shared" si="724"/>
        <v>0</v>
      </c>
      <c r="DK146" s="2436">
        <f t="shared" ref="DK146:DL146" si="725">SUM(DK128:DK143)</f>
        <v>0</v>
      </c>
      <c r="DL146" s="2420">
        <f t="shared" si="725"/>
        <v>0</v>
      </c>
      <c r="DM146" s="2420">
        <f t="shared" ref="DM146:DN146" si="726">SUM(DM128:DM143)</f>
        <v>0</v>
      </c>
      <c r="DN146" s="2437">
        <f t="shared" si="726"/>
        <v>0</v>
      </c>
      <c r="DO146" s="2436">
        <f t="shared" ref="DO146:DP146" si="727">SUM(DO128:DO143)</f>
        <v>0</v>
      </c>
      <c r="DP146" s="2420">
        <f t="shared" si="727"/>
        <v>0</v>
      </c>
      <c r="DQ146" s="2420">
        <f t="shared" ref="DQ146:DR146" si="728">SUM(DQ128:DQ143)</f>
        <v>0</v>
      </c>
      <c r="DR146" s="2437">
        <f t="shared" si="728"/>
        <v>0</v>
      </c>
      <c r="DS146" s="2436">
        <f t="shared" ref="DS146" si="729">SUM(DS128:DS143)</f>
        <v>0</v>
      </c>
      <c r="DT146" s="2420">
        <f t="shared" ref="DT146:DV146" si="730">SUM(DT128:DT143)</f>
        <v>0</v>
      </c>
      <c r="DU146" s="2420">
        <f t="shared" si="730"/>
        <v>0</v>
      </c>
      <c r="DV146" s="2437">
        <f t="shared" si="730"/>
        <v>0</v>
      </c>
    </row>
    <row r="147" spans="1:133" hidden="1" outlineLevel="1">
      <c r="BG147" s="2436"/>
      <c r="BH147" s="2420"/>
      <c r="BI147" s="2420"/>
      <c r="BJ147" s="2420"/>
      <c r="BK147" s="2420"/>
      <c r="BL147" s="2420"/>
      <c r="BM147" s="2420"/>
      <c r="BN147" s="2420"/>
      <c r="BO147" s="2420"/>
      <c r="BP147" s="2420"/>
      <c r="BQ147" s="2420"/>
      <c r="BR147" s="2420"/>
      <c r="BS147" s="2420"/>
      <c r="BT147" s="2420"/>
      <c r="BU147" s="2420"/>
      <c r="BV147" s="2437"/>
      <c r="BW147" s="2436"/>
      <c r="BX147" s="2420"/>
      <c r="BY147" s="2420"/>
      <c r="BZ147" s="2420"/>
      <c r="CA147" s="2436"/>
      <c r="CB147" s="2420"/>
      <c r="CC147" s="2420"/>
      <c r="CD147" s="2420"/>
      <c r="CE147" s="2436"/>
      <c r="CF147" s="2420"/>
      <c r="CG147" s="2420"/>
      <c r="CH147" s="2420"/>
      <c r="CI147" s="2436"/>
      <c r="CJ147" s="2420"/>
      <c r="CK147" s="2420"/>
      <c r="CL147" s="2420"/>
      <c r="CM147" s="2436"/>
      <c r="CN147" s="2420"/>
      <c r="CO147" s="2420"/>
      <c r="CP147" s="2420"/>
      <c r="CQ147" s="2436"/>
      <c r="CR147" s="2420"/>
      <c r="CS147" s="2420"/>
      <c r="CT147" s="2420"/>
      <c r="CU147" s="2436"/>
      <c r="CV147" s="2420"/>
      <c r="CW147" s="2420"/>
      <c r="CX147" s="2420"/>
      <c r="CY147" s="2436"/>
      <c r="CZ147" s="2420"/>
      <c r="DA147" s="2420"/>
      <c r="DB147" s="2420"/>
      <c r="DC147" s="2436"/>
      <c r="DF147" s="2437"/>
      <c r="DG147" s="2436"/>
      <c r="DJ147" s="2437"/>
      <c r="DK147" s="2436"/>
      <c r="DN147" s="2437"/>
      <c r="DO147" s="2436"/>
      <c r="DR147" s="2437"/>
      <c r="DS147" s="2436"/>
      <c r="DV147" s="2437"/>
    </row>
    <row r="148" spans="1:133" hidden="1" outlineLevel="1">
      <c r="A148" s="800" t="s">
        <v>1027</v>
      </c>
      <c r="N148" s="812">
        <f>N136+N138+N139+N129+N132+N128</f>
        <v>492</v>
      </c>
      <c r="O148" s="812">
        <f>O136+O138+O139+O129+O132+O128</f>
        <v>103</v>
      </c>
      <c r="P148" s="812">
        <f>P136+P138+P139+P129+P132+P128</f>
        <v>138</v>
      </c>
      <c r="Q148" s="812">
        <f>Q136+Q138+Q139+Q129+Q132+Q128</f>
        <v>0</v>
      </c>
      <c r="BG148" s="2436">
        <v>2090</v>
      </c>
      <c r="BH148" s="2420">
        <v>3362</v>
      </c>
      <c r="BI148" s="2420">
        <v>280</v>
      </c>
      <c r="BJ148" s="2420">
        <v>418</v>
      </c>
      <c r="BK148" s="2420">
        <v>0</v>
      </c>
      <c r="BL148" s="2420">
        <v>1135</v>
      </c>
      <c r="BM148" s="2420">
        <v>0</v>
      </c>
      <c r="BN148" s="2420">
        <v>215</v>
      </c>
      <c r="BO148" s="2420">
        <v>0</v>
      </c>
      <c r="BP148" s="2420">
        <v>0</v>
      </c>
      <c r="BQ148" s="2420">
        <v>0</v>
      </c>
      <c r="BR148" s="2420">
        <v>0</v>
      </c>
      <c r="BS148" s="2420"/>
      <c r="BT148" s="2420"/>
      <c r="BU148" s="2420"/>
      <c r="BV148" s="2437"/>
      <c r="BW148" s="2436"/>
      <c r="BX148" s="2420"/>
      <c r="BY148" s="2420"/>
      <c r="BZ148" s="2420"/>
      <c r="CA148" s="2436"/>
      <c r="CB148" s="2420"/>
      <c r="CC148" s="2420"/>
      <c r="CD148" s="2420"/>
      <c r="CE148" s="2436"/>
      <c r="CF148" s="2420"/>
      <c r="CG148" s="2420"/>
      <c r="CH148" s="2420"/>
      <c r="CI148" s="2436"/>
      <c r="CJ148" s="2420"/>
      <c r="CK148" s="2420"/>
      <c r="CL148" s="2420"/>
      <c r="CM148" s="2436"/>
      <c r="CN148" s="2420"/>
      <c r="CO148" s="2420"/>
      <c r="CP148" s="2420"/>
      <c r="CQ148" s="2436"/>
      <c r="CR148" s="2420"/>
      <c r="CS148" s="2420"/>
      <c r="CT148" s="2420"/>
      <c r="CU148" s="2436"/>
      <c r="CV148" s="2420"/>
      <c r="CW148" s="2420"/>
      <c r="CX148" s="2420"/>
      <c r="CY148" s="2436"/>
      <c r="CZ148" s="2420"/>
      <c r="DA148" s="2420"/>
      <c r="DB148" s="2420"/>
      <c r="DC148" s="2436"/>
      <c r="DF148" s="2437"/>
      <c r="DG148" s="2436"/>
      <c r="DJ148" s="2437"/>
      <c r="DK148" s="2436"/>
      <c r="DN148" s="2437"/>
      <c r="DO148" s="2436"/>
      <c r="DR148" s="2437"/>
      <c r="DS148" s="2436"/>
      <c r="DV148" s="2437"/>
    </row>
    <row r="149" spans="1:133" hidden="1" outlineLevel="1">
      <c r="A149" s="800" t="s">
        <v>1028</v>
      </c>
      <c r="N149" s="812">
        <f>N131+N133+N134</f>
        <v>0</v>
      </c>
      <c r="O149" s="812">
        <f>O131+O133+O134</f>
        <v>0</v>
      </c>
      <c r="P149" s="812">
        <f>P131+P133+P134</f>
        <v>0</v>
      </c>
      <c r="Q149" s="812">
        <f>Q131+Q133+Q134</f>
        <v>0</v>
      </c>
      <c r="BG149" s="2436">
        <v>496</v>
      </c>
      <c r="BH149" s="2420">
        <v>0</v>
      </c>
      <c r="BI149" s="2420">
        <v>0</v>
      </c>
      <c r="BJ149" s="2420">
        <v>0</v>
      </c>
      <c r="BK149" s="2420">
        <v>-503</v>
      </c>
      <c r="BL149" s="2420">
        <v>0</v>
      </c>
      <c r="BM149" s="2420">
        <v>0</v>
      </c>
      <c r="BN149" s="2420">
        <v>0</v>
      </c>
      <c r="BO149" s="2420">
        <v>0</v>
      </c>
      <c r="BP149" s="2420">
        <v>0</v>
      </c>
      <c r="BQ149" s="2420">
        <v>0</v>
      </c>
      <c r="BR149" s="2420">
        <v>0</v>
      </c>
      <c r="BS149" s="2420"/>
      <c r="BT149" s="2420"/>
      <c r="BU149" s="2420"/>
      <c r="BV149" s="2437"/>
      <c r="BW149" s="2436"/>
      <c r="BX149" s="2420"/>
      <c r="BY149" s="2420"/>
      <c r="BZ149" s="2420"/>
      <c r="CA149" s="2436"/>
      <c r="CB149" s="2420"/>
      <c r="CC149" s="2420"/>
      <c r="CD149" s="2420"/>
      <c r="CE149" s="2436"/>
      <c r="CF149" s="2420"/>
      <c r="CG149" s="2420"/>
      <c r="CH149" s="2420"/>
      <c r="CI149" s="2436"/>
      <c r="CJ149" s="2420"/>
      <c r="CK149" s="2420"/>
      <c r="CL149" s="2420"/>
      <c r="CM149" s="2436"/>
      <c r="CN149" s="2420"/>
      <c r="CO149" s="2420"/>
      <c r="CP149" s="2420"/>
      <c r="CQ149" s="2436"/>
      <c r="CR149" s="2420"/>
      <c r="CS149" s="2420"/>
      <c r="CT149" s="2420"/>
      <c r="CU149" s="2436"/>
      <c r="CV149" s="2420"/>
      <c r="CW149" s="2420"/>
      <c r="CX149" s="2420"/>
      <c r="CY149" s="2436"/>
      <c r="CZ149" s="2420"/>
      <c r="DA149" s="2420"/>
      <c r="DB149" s="2420"/>
      <c r="DC149" s="2436"/>
      <c r="DF149" s="2437"/>
      <c r="DG149" s="2436"/>
      <c r="DJ149" s="2437"/>
      <c r="DK149" s="2436"/>
      <c r="DN149" s="2437"/>
      <c r="DO149" s="2436"/>
      <c r="DR149" s="2437"/>
      <c r="DS149" s="2436"/>
      <c r="DV149" s="2437"/>
    </row>
    <row r="150" spans="1:133" hidden="1" outlineLevel="1">
      <c r="A150" s="800" t="s">
        <v>1029</v>
      </c>
      <c r="N150" s="812">
        <f>N135+N140+N141+N142+N130</f>
        <v>714</v>
      </c>
      <c r="O150" s="812">
        <f>O135+O140+O141+O142+O130</f>
        <v>1302</v>
      </c>
      <c r="P150" s="812">
        <f>P135+P140+P141+P142+P130</f>
        <v>669</v>
      </c>
      <c r="Q150" s="812">
        <f>Q135+Q140+Q141+Q142+Q130</f>
        <v>0</v>
      </c>
      <c r="BG150" s="2436">
        <v>-116</v>
      </c>
      <c r="BH150" s="2420">
        <v>848</v>
      </c>
      <c r="BI150" s="2420">
        <v>-2577</v>
      </c>
      <c r="BJ150" s="2420">
        <v>-517</v>
      </c>
      <c r="BK150" s="2420">
        <v>0</v>
      </c>
      <c r="BL150" s="2420">
        <v>436</v>
      </c>
      <c r="BM150" s="2420">
        <v>81</v>
      </c>
      <c r="BN150" s="2420">
        <v>2838</v>
      </c>
      <c r="BO150" s="2420">
        <v>0</v>
      </c>
      <c r="BP150" s="2420">
        <v>0</v>
      </c>
      <c r="BQ150" s="2420">
        <v>0</v>
      </c>
      <c r="BR150" s="2420">
        <v>0</v>
      </c>
      <c r="BS150" s="2420"/>
      <c r="BT150" s="2420"/>
      <c r="BU150" s="2420"/>
      <c r="BV150" s="2437"/>
      <c r="BW150" s="2436"/>
      <c r="BX150" s="2420"/>
      <c r="BY150" s="2420"/>
      <c r="BZ150" s="2420"/>
      <c r="CA150" s="2436"/>
      <c r="CB150" s="2420"/>
      <c r="CC150" s="2420"/>
      <c r="CD150" s="2420"/>
      <c r="CE150" s="2436"/>
      <c r="CF150" s="2420"/>
      <c r="CG150" s="2420"/>
      <c r="CH150" s="2420"/>
      <c r="CI150" s="2436"/>
      <c r="CJ150" s="2420"/>
      <c r="CK150" s="2420"/>
      <c r="CL150" s="2420"/>
      <c r="CM150" s="2436"/>
      <c r="CN150" s="2420"/>
      <c r="CO150" s="2420"/>
      <c r="CP150" s="2420"/>
      <c r="CQ150" s="2436"/>
      <c r="CR150" s="2420"/>
      <c r="CS150" s="2420"/>
      <c r="CT150" s="2420"/>
      <c r="CU150" s="2436"/>
      <c r="CV150" s="2420"/>
      <c r="CW150" s="2420"/>
      <c r="CX150" s="2420"/>
      <c r="CY150" s="2436"/>
      <c r="CZ150" s="2420"/>
      <c r="DA150" s="2420"/>
      <c r="DB150" s="2420"/>
      <c r="DC150" s="2436"/>
      <c r="DF150" s="2437"/>
      <c r="DG150" s="2436"/>
      <c r="DJ150" s="2437"/>
      <c r="DK150" s="2436"/>
      <c r="DN150" s="2437"/>
      <c r="DO150" s="2436"/>
      <c r="DR150" s="2437"/>
      <c r="DS150" s="2436"/>
      <c r="DV150" s="2437"/>
    </row>
    <row r="151" spans="1:133" hidden="1" outlineLevel="1">
      <c r="BG151" s="2436"/>
      <c r="BH151" s="2420"/>
      <c r="BI151" s="2420"/>
      <c r="BJ151" s="2420"/>
      <c r="BK151" s="2420"/>
      <c r="BL151" s="2420"/>
      <c r="BM151" s="2420"/>
      <c r="BN151" s="2420"/>
      <c r="BO151" s="2420"/>
      <c r="BP151" s="2420"/>
      <c r="BQ151" s="2420"/>
      <c r="BR151" s="2420"/>
      <c r="BS151" s="2420"/>
      <c r="BT151" s="2420"/>
      <c r="BU151" s="2420"/>
      <c r="BV151" s="2437"/>
      <c r="BW151" s="2436"/>
      <c r="BX151" s="2420"/>
      <c r="BY151" s="2420"/>
      <c r="BZ151" s="2420"/>
      <c r="CA151" s="2436"/>
      <c r="CB151" s="2420"/>
      <c r="CC151" s="2420"/>
      <c r="CD151" s="2420"/>
      <c r="CE151" s="2436"/>
      <c r="CF151" s="2420"/>
      <c r="CG151" s="2420"/>
      <c r="CH151" s="2420"/>
      <c r="CI151" s="2436"/>
      <c r="CJ151" s="2420"/>
      <c r="CK151" s="2420"/>
      <c r="CL151" s="2420"/>
      <c r="CM151" s="2436"/>
      <c r="CN151" s="2420"/>
      <c r="CO151" s="2420"/>
      <c r="CP151" s="2420"/>
      <c r="CQ151" s="2436"/>
      <c r="CR151" s="2420"/>
      <c r="CS151" s="2420"/>
      <c r="CT151" s="2420"/>
      <c r="CU151" s="2436"/>
      <c r="CV151" s="2420"/>
      <c r="CW151" s="2420"/>
      <c r="CX151" s="2420"/>
      <c r="CY151" s="2436"/>
      <c r="CZ151" s="2420"/>
      <c r="DA151" s="2420"/>
      <c r="DB151" s="2420"/>
      <c r="DC151" s="2436"/>
      <c r="DF151" s="2437"/>
      <c r="DG151" s="2436"/>
      <c r="DJ151" s="2437"/>
      <c r="DK151" s="2436"/>
      <c r="DN151" s="2437"/>
      <c r="DO151" s="2436"/>
      <c r="DR151" s="2437"/>
      <c r="DS151" s="2436"/>
      <c r="DV151" s="2437"/>
    </row>
    <row r="152" spans="1:133" s="820" customFormat="1" hidden="1" outlineLevel="1">
      <c r="A152" s="820" t="s">
        <v>1030</v>
      </c>
      <c r="AH152" s="1923"/>
      <c r="AI152" s="1149"/>
      <c r="AJ152" s="1923"/>
      <c r="AK152" s="1421"/>
      <c r="AL152" s="1421"/>
      <c r="AM152" s="1421"/>
      <c r="AN152" s="1421"/>
      <c r="AO152" s="1421"/>
      <c r="AP152" s="1421"/>
      <c r="AQ152" s="1421"/>
      <c r="AR152" s="1421"/>
      <c r="AS152" s="1421"/>
      <c r="AT152" s="1421"/>
      <c r="AU152" s="1421"/>
      <c r="AV152" s="1421"/>
      <c r="AW152" s="1421"/>
      <c r="AX152" s="1421"/>
      <c r="AY152" s="1421"/>
      <c r="AZ152" s="1421"/>
      <c r="BA152" s="1421"/>
      <c r="BB152" s="1421"/>
      <c r="BC152" s="1421"/>
      <c r="BD152" s="1421"/>
      <c r="BE152" s="1421"/>
      <c r="BF152" s="1421"/>
      <c r="BG152" s="1179"/>
      <c r="BH152" s="985"/>
      <c r="BI152" s="985"/>
      <c r="BJ152" s="985"/>
      <c r="BK152" s="985"/>
      <c r="BL152" s="985"/>
      <c r="BM152" s="985"/>
      <c r="BN152" s="985"/>
      <c r="BO152" s="985"/>
      <c r="BP152" s="985"/>
      <c r="BQ152" s="985"/>
      <c r="BR152" s="985"/>
      <c r="BS152" s="985"/>
      <c r="BT152" s="985"/>
      <c r="BU152" s="985"/>
      <c r="BV152" s="1180"/>
      <c r="BW152" s="1179"/>
      <c r="BX152" s="985"/>
      <c r="BY152" s="985"/>
      <c r="BZ152" s="985"/>
      <c r="CA152" s="1179"/>
      <c r="CB152" s="985"/>
      <c r="CC152" s="985"/>
      <c r="CD152" s="985"/>
      <c r="CE152" s="1179"/>
      <c r="CF152" s="985"/>
      <c r="CG152" s="985"/>
      <c r="CH152" s="985"/>
      <c r="CI152" s="1179"/>
      <c r="CJ152" s="985"/>
      <c r="CK152" s="985"/>
      <c r="CL152" s="985"/>
      <c r="CM152" s="1179"/>
      <c r="CN152" s="985"/>
      <c r="CO152" s="985"/>
      <c r="CP152" s="985"/>
      <c r="CQ152" s="1179"/>
      <c r="CR152" s="985"/>
      <c r="CS152" s="985"/>
      <c r="CT152" s="985"/>
      <c r="CU152" s="1179"/>
      <c r="CV152" s="985"/>
      <c r="CW152" s="985"/>
      <c r="CX152" s="985"/>
      <c r="CY152" s="1179"/>
      <c r="CZ152" s="985"/>
      <c r="DA152" s="985"/>
      <c r="DB152" s="985"/>
      <c r="DC152" s="1179"/>
      <c r="DD152" s="985"/>
      <c r="DE152" s="985"/>
      <c r="DF152" s="1180"/>
      <c r="DG152" s="1179"/>
      <c r="DH152" s="985"/>
      <c r="DI152" s="985"/>
      <c r="DJ152" s="1180"/>
      <c r="DK152" s="1179"/>
      <c r="DL152" s="985"/>
      <c r="DM152" s="985"/>
      <c r="DN152" s="1180"/>
      <c r="DO152" s="1179"/>
      <c r="DP152" s="985"/>
      <c r="DQ152" s="985"/>
      <c r="DR152" s="1180"/>
      <c r="DS152" s="1179"/>
      <c r="DT152" s="985"/>
      <c r="DU152" s="985"/>
      <c r="DV152" s="1180"/>
      <c r="DW152" s="1923"/>
      <c r="DX152"/>
      <c r="DY152"/>
      <c r="DZ152"/>
      <c r="EA152"/>
      <c r="EB152"/>
      <c r="EC152"/>
    </row>
    <row r="153" spans="1:133" s="820" customFormat="1" hidden="1" outlineLevel="1">
      <c r="A153" s="820" t="s">
        <v>1031</v>
      </c>
      <c r="H153" s="1145"/>
      <c r="I153" s="1145"/>
      <c r="J153" s="1169" t="s">
        <v>1032</v>
      </c>
      <c r="K153" s="1169" t="s">
        <v>1033</v>
      </c>
      <c r="L153" s="1145"/>
      <c r="M153" s="1164" t="s">
        <v>1034</v>
      </c>
      <c r="AH153" s="1923"/>
      <c r="AI153" s="1149"/>
      <c r="AJ153" s="1923"/>
      <c r="AK153" s="1421"/>
      <c r="AL153" s="1421"/>
      <c r="AM153" s="1421"/>
      <c r="AN153" s="1421"/>
      <c r="AO153" s="1421"/>
      <c r="AP153" s="1421"/>
      <c r="AQ153" s="1421"/>
      <c r="AR153" s="1421"/>
      <c r="AS153" s="1421"/>
      <c r="AT153" s="1421"/>
      <c r="AU153" s="1421"/>
      <c r="AV153" s="1421"/>
      <c r="AW153" s="1421"/>
      <c r="AX153" s="1421"/>
      <c r="AY153" s="1421"/>
      <c r="AZ153" s="1421"/>
      <c r="BA153" s="1421"/>
      <c r="BB153" s="1421"/>
      <c r="BC153" s="1421"/>
      <c r="BD153" s="1421"/>
      <c r="BE153" s="1421"/>
      <c r="BF153" s="1421"/>
      <c r="BG153" s="1179"/>
      <c r="BH153" s="985"/>
      <c r="BI153" s="985"/>
      <c r="BJ153" s="985"/>
      <c r="BK153" s="985"/>
      <c r="BL153" s="985"/>
      <c r="BM153" s="985"/>
      <c r="BN153" s="985"/>
      <c r="BO153" s="985"/>
      <c r="BP153" s="985"/>
      <c r="BQ153" s="985"/>
      <c r="BR153" s="985"/>
      <c r="BS153" s="985"/>
      <c r="BT153" s="985"/>
      <c r="BU153" s="985"/>
      <c r="BV153" s="1180"/>
      <c r="BW153" s="1179"/>
      <c r="BX153" s="985"/>
      <c r="BY153" s="985"/>
      <c r="BZ153" s="985"/>
      <c r="CA153" s="1179"/>
      <c r="CB153" s="985"/>
      <c r="CC153" s="985"/>
      <c r="CD153" s="985"/>
      <c r="CE153" s="1179"/>
      <c r="CF153" s="985"/>
      <c r="CG153" s="985"/>
      <c r="CH153" s="985"/>
      <c r="CI153" s="1179"/>
      <c r="CJ153" s="985"/>
      <c r="CK153" s="985"/>
      <c r="CL153" s="985"/>
      <c r="CM153" s="1179"/>
      <c r="CN153" s="985"/>
      <c r="CO153" s="985"/>
      <c r="CP153" s="985"/>
      <c r="CQ153" s="1179"/>
      <c r="CR153" s="985"/>
      <c r="CS153" s="985"/>
      <c r="CT153" s="985"/>
      <c r="CU153" s="1179"/>
      <c r="CV153" s="985"/>
      <c r="CW153" s="985"/>
      <c r="CX153" s="985"/>
      <c r="CY153" s="1179"/>
      <c r="CZ153" s="985"/>
      <c r="DA153" s="985"/>
      <c r="DB153" s="985"/>
      <c r="DC153" s="1179"/>
      <c r="DD153" s="985"/>
      <c r="DE153" s="985"/>
      <c r="DF153" s="1180"/>
      <c r="DG153" s="1179"/>
      <c r="DH153" s="985"/>
      <c r="DI153" s="985"/>
      <c r="DJ153" s="1180"/>
      <c r="DK153" s="1179"/>
      <c r="DL153" s="985"/>
      <c r="DM153" s="985"/>
      <c r="DN153" s="1180"/>
      <c r="DO153" s="1179"/>
      <c r="DP153" s="985"/>
      <c r="DQ153" s="985"/>
      <c r="DR153" s="1180"/>
      <c r="DS153" s="1179"/>
      <c r="DT153" s="985"/>
      <c r="DU153" s="985"/>
      <c r="DV153" s="1180"/>
      <c r="DW153" s="1923"/>
      <c r="DX153"/>
      <c r="DY153"/>
      <c r="DZ153"/>
      <c r="EA153"/>
      <c r="EB153"/>
      <c r="EC153"/>
    </row>
    <row r="154" spans="1:133" hidden="1" outlineLevel="1">
      <c r="A154" s="800" t="s">
        <v>1035</v>
      </c>
      <c r="H154" s="1033"/>
      <c r="I154" s="1033"/>
      <c r="J154" s="1033">
        <v>59756</v>
      </c>
      <c r="K154" s="1033">
        <v>34176</v>
      </c>
      <c r="L154" s="1033">
        <v>25580</v>
      </c>
      <c r="M154" s="1033">
        <v>1.74847846441948</v>
      </c>
      <c r="BG154" s="2436"/>
      <c r="BH154" s="2420"/>
      <c r="BI154" s="2420"/>
      <c r="BJ154" s="2420"/>
      <c r="BK154" s="2420"/>
      <c r="BL154" s="2420"/>
      <c r="BM154" s="2420"/>
      <c r="BN154" s="2420"/>
      <c r="BO154" s="2420"/>
      <c r="BP154" s="2420"/>
      <c r="BQ154" s="2420"/>
      <c r="BR154" s="2420"/>
      <c r="BS154" s="2420"/>
      <c r="BT154" s="2420"/>
      <c r="BU154" s="2420"/>
      <c r="BV154" s="2437"/>
      <c r="BW154" s="2436"/>
      <c r="BX154" s="2420"/>
      <c r="BY154" s="2420"/>
      <c r="BZ154" s="2420"/>
      <c r="CA154" s="2436"/>
      <c r="CB154" s="2420"/>
      <c r="CC154" s="2420"/>
      <c r="CD154" s="2420"/>
      <c r="CE154" s="2436"/>
      <c r="CF154" s="2420"/>
      <c r="CG154" s="2420"/>
      <c r="CH154" s="2420"/>
      <c r="CI154" s="2436"/>
      <c r="CJ154" s="2420"/>
      <c r="CK154" s="2420"/>
      <c r="CL154" s="2420"/>
      <c r="CM154" s="2436"/>
      <c r="CN154" s="2420"/>
      <c r="CO154" s="2420"/>
      <c r="CP154" s="2420"/>
      <c r="CQ154" s="2436"/>
      <c r="CR154" s="2420"/>
      <c r="CS154" s="2420"/>
      <c r="CT154" s="2420"/>
      <c r="CU154" s="2436"/>
      <c r="CV154" s="2420"/>
      <c r="CW154" s="2420"/>
      <c r="CX154" s="2420"/>
      <c r="CY154" s="2436"/>
      <c r="CZ154" s="2420"/>
      <c r="DA154" s="2420"/>
      <c r="DB154" s="2420"/>
      <c r="DC154" s="2436"/>
      <c r="DF154" s="2437"/>
      <c r="DG154" s="2436"/>
      <c r="DJ154" s="2437"/>
      <c r="DK154" s="2436"/>
      <c r="DN154" s="2437"/>
      <c r="DO154" s="2436"/>
      <c r="DR154" s="2437"/>
      <c r="DS154" s="2436"/>
      <c r="DV154" s="2437"/>
    </row>
    <row r="155" spans="1:133" hidden="1" outlineLevel="1">
      <c r="H155" s="1033"/>
      <c r="I155" s="1033"/>
      <c r="J155" s="1033"/>
      <c r="K155" s="1033"/>
      <c r="L155" s="1033"/>
      <c r="M155" s="1033"/>
      <c r="BG155" s="2436"/>
      <c r="BH155" s="2420"/>
      <c r="BI155" s="2420"/>
      <c r="BJ155" s="2420"/>
      <c r="BK155" s="2420"/>
      <c r="BL155" s="2420"/>
      <c r="BM155" s="2420"/>
      <c r="BN155" s="2420"/>
      <c r="BO155" s="2420"/>
      <c r="BP155" s="2420"/>
      <c r="BQ155" s="2420"/>
      <c r="BR155" s="2420"/>
      <c r="BS155" s="2420"/>
      <c r="BT155" s="2420"/>
      <c r="BU155" s="2420"/>
      <c r="BV155" s="2437"/>
      <c r="BW155" s="2436"/>
      <c r="BX155" s="2420"/>
      <c r="BY155" s="2420"/>
      <c r="BZ155" s="2420"/>
      <c r="CA155" s="2436"/>
      <c r="CB155" s="2420"/>
      <c r="CC155" s="2420"/>
      <c r="CD155" s="2420"/>
      <c r="CE155" s="2436"/>
      <c r="CF155" s="2420"/>
      <c r="CG155" s="2420"/>
      <c r="CH155" s="2420"/>
      <c r="CI155" s="2436"/>
      <c r="CJ155" s="2420"/>
      <c r="CK155" s="2420"/>
      <c r="CL155" s="2420"/>
      <c r="CM155" s="2436"/>
      <c r="CN155" s="2420"/>
      <c r="CO155" s="2420"/>
      <c r="CP155" s="2420"/>
      <c r="CQ155" s="2436"/>
      <c r="CR155" s="2420"/>
      <c r="CS155" s="2420"/>
      <c r="CT155" s="2420"/>
      <c r="CU155" s="2436"/>
      <c r="CV155" s="2420"/>
      <c r="CW155" s="2420"/>
      <c r="CX155" s="2420"/>
      <c r="CY155" s="2436"/>
      <c r="CZ155" s="2420"/>
      <c r="DA155" s="2420"/>
      <c r="DB155" s="2420"/>
      <c r="DC155" s="2436"/>
      <c r="DF155" s="2437"/>
      <c r="DG155" s="2436"/>
      <c r="DJ155" s="2437"/>
      <c r="DK155" s="2436"/>
      <c r="DN155" s="2437"/>
      <c r="DO155" s="2436"/>
      <c r="DR155" s="2437"/>
      <c r="DS155" s="2436"/>
      <c r="DV155" s="2437"/>
    </row>
    <row r="156" spans="1:133" hidden="1" outlineLevel="1">
      <c r="A156" s="800" t="s">
        <v>1030</v>
      </c>
      <c r="H156" s="1033">
        <v>25580</v>
      </c>
      <c r="I156" s="1033">
        <v>25580</v>
      </c>
      <c r="J156" s="1033">
        <v>25580</v>
      </c>
      <c r="K156" s="1033">
        <v>25580</v>
      </c>
      <c r="L156" s="1033">
        <v>25580</v>
      </c>
      <c r="M156" s="1033">
        <v>25580</v>
      </c>
      <c r="N156" s="812">
        <f t="shared" ref="N156:AB156" si="731">M156</f>
        <v>25580</v>
      </c>
      <c r="O156" s="812">
        <f t="shared" si="731"/>
        <v>25580</v>
      </c>
      <c r="P156" s="812">
        <f t="shared" si="731"/>
        <v>25580</v>
      </c>
      <c r="Q156" s="812">
        <f t="shared" si="731"/>
        <v>25580</v>
      </c>
      <c r="R156" s="812">
        <f t="shared" si="731"/>
        <v>25580</v>
      </c>
      <c r="S156" s="812">
        <f t="shared" si="731"/>
        <v>25580</v>
      </c>
      <c r="T156" s="812">
        <f t="shared" si="731"/>
        <v>25580</v>
      </c>
      <c r="U156" s="812">
        <f t="shared" si="731"/>
        <v>25580</v>
      </c>
      <c r="V156" s="812">
        <f t="shared" si="731"/>
        <v>25580</v>
      </c>
      <c r="W156" s="812">
        <f>V156</f>
        <v>25580</v>
      </c>
      <c r="X156" s="812">
        <f>W156</f>
        <v>25580</v>
      </c>
      <c r="Y156" s="812">
        <f>X156</f>
        <v>25580</v>
      </c>
      <c r="Z156" s="812">
        <f>Y156</f>
        <v>25580</v>
      </c>
      <c r="AA156" s="812">
        <f t="shared" si="731"/>
        <v>25580</v>
      </c>
      <c r="AB156" s="812">
        <f t="shared" si="731"/>
        <v>25580</v>
      </c>
      <c r="AC156" s="812">
        <f t="shared" ref="AC156" si="732">AB156</f>
        <v>25580</v>
      </c>
      <c r="AD156" s="812">
        <f t="shared" ref="AD156" si="733">AC156</f>
        <v>25580</v>
      </c>
      <c r="AE156" s="812">
        <f t="shared" ref="AE156" si="734">AD156</f>
        <v>25580</v>
      </c>
      <c r="AF156" s="812">
        <f t="shared" ref="AF156" si="735">AE156</f>
        <v>25580</v>
      </c>
      <c r="AG156" s="812">
        <f t="shared" ref="AG156" si="736">AF156</f>
        <v>25580</v>
      </c>
      <c r="BG156" s="2436"/>
      <c r="BH156" s="2420"/>
      <c r="BI156" s="2420"/>
      <c r="BJ156" s="2420"/>
      <c r="BK156" s="2420"/>
      <c r="BL156" s="2420"/>
      <c r="BM156" s="2420"/>
      <c r="BN156" s="2420"/>
      <c r="BO156" s="2420"/>
      <c r="BP156" s="2420"/>
      <c r="BQ156" s="2420"/>
      <c r="BR156" s="2420"/>
      <c r="BS156" s="2420"/>
      <c r="BT156" s="2420"/>
      <c r="BU156" s="2420"/>
      <c r="BV156" s="2437"/>
      <c r="BW156" s="2436"/>
      <c r="BX156" s="2420"/>
      <c r="BY156" s="2420"/>
      <c r="BZ156" s="2420"/>
      <c r="CA156" s="2436"/>
      <c r="CB156" s="2420"/>
      <c r="CC156" s="2420"/>
      <c r="CD156" s="2420"/>
      <c r="CE156" s="2436"/>
      <c r="CF156" s="2420"/>
      <c r="CG156" s="2420"/>
      <c r="CH156" s="2420"/>
      <c r="CI156" s="2436"/>
      <c r="CJ156" s="2420"/>
      <c r="CK156" s="2420"/>
      <c r="CL156" s="2420"/>
      <c r="CM156" s="2436"/>
      <c r="CN156" s="2420"/>
      <c r="CO156" s="2420"/>
      <c r="CP156" s="2420"/>
      <c r="CQ156" s="2436"/>
      <c r="CR156" s="2420"/>
      <c r="CS156" s="2420"/>
      <c r="CT156" s="2420"/>
      <c r="CU156" s="2436"/>
      <c r="CV156" s="2420"/>
      <c r="CW156" s="2420"/>
      <c r="CX156" s="2420"/>
      <c r="CY156" s="2436"/>
      <c r="CZ156" s="2420"/>
      <c r="DA156" s="2420"/>
      <c r="DB156" s="2420"/>
      <c r="DC156" s="2436"/>
      <c r="DF156" s="2437"/>
      <c r="DG156" s="2436"/>
      <c r="DJ156" s="2437"/>
      <c r="DK156" s="2436"/>
      <c r="DN156" s="2437"/>
      <c r="DO156" s="2436"/>
      <c r="DR156" s="2437"/>
      <c r="DS156" s="2436"/>
      <c r="DV156" s="2437"/>
    </row>
    <row r="157" spans="1:133" hidden="1" outlineLevel="1">
      <c r="BG157" s="2436"/>
      <c r="BH157" s="2420"/>
      <c r="BI157" s="2420"/>
      <c r="BJ157" s="2420"/>
      <c r="BK157" s="2420"/>
      <c r="BL157" s="2420"/>
      <c r="BM157" s="2420"/>
      <c r="BN157" s="2420"/>
      <c r="BO157" s="2420"/>
      <c r="BP157" s="2420"/>
      <c r="BQ157" s="2420"/>
      <c r="BR157" s="2420"/>
      <c r="BS157" s="2420"/>
      <c r="BT157" s="2420"/>
      <c r="BU157" s="2420"/>
      <c r="BV157" s="2437"/>
      <c r="BW157" s="2436"/>
      <c r="BX157" s="2420"/>
      <c r="BY157" s="2420"/>
      <c r="BZ157" s="2420"/>
      <c r="CA157" s="2436"/>
      <c r="CB157" s="2420"/>
      <c r="CC157" s="2420"/>
      <c r="CD157" s="2420"/>
      <c r="CE157" s="2436"/>
      <c r="CF157" s="2420"/>
      <c r="CG157" s="2420"/>
      <c r="CH157" s="2420"/>
      <c r="CI157" s="2436"/>
      <c r="CJ157" s="2420"/>
      <c r="CK157" s="2420"/>
      <c r="CL157" s="2420"/>
      <c r="CM157" s="2436"/>
      <c r="CN157" s="2420"/>
      <c r="CO157" s="2420"/>
      <c r="CP157" s="2420"/>
      <c r="CQ157" s="2436"/>
      <c r="CR157" s="2420"/>
      <c r="CS157" s="2420"/>
      <c r="CT157" s="2420"/>
      <c r="CU157" s="2436"/>
      <c r="CV157" s="2420"/>
      <c r="CW157" s="2420"/>
      <c r="CX157" s="2420"/>
      <c r="CY157" s="2436"/>
      <c r="CZ157" s="2420"/>
      <c r="DA157" s="2420"/>
      <c r="DB157" s="2420"/>
      <c r="DC157" s="2436"/>
      <c r="DF157" s="2437"/>
      <c r="DG157" s="2436"/>
      <c r="DJ157" s="2437"/>
      <c r="DK157" s="2436"/>
      <c r="DN157" s="2437"/>
      <c r="DO157" s="2436"/>
      <c r="DR157" s="2437"/>
      <c r="DS157" s="2436"/>
      <c r="DV157" s="2437"/>
    </row>
    <row r="158" spans="1:133" hidden="1" outlineLevel="1">
      <c r="BG158" s="2436"/>
      <c r="BH158" s="2420"/>
      <c r="BI158" s="2420"/>
      <c r="BJ158" s="2420"/>
      <c r="BK158" s="2420"/>
      <c r="BL158" s="2420"/>
      <c r="BM158" s="2420"/>
      <c r="BN158" s="2420"/>
      <c r="BO158" s="2420"/>
      <c r="BP158" s="2420"/>
      <c r="BQ158" s="2420"/>
      <c r="BR158" s="2420"/>
      <c r="BS158" s="2420"/>
      <c r="BT158" s="2420"/>
      <c r="BU158" s="2420"/>
      <c r="BV158" s="2437"/>
      <c r="BW158" s="2436"/>
      <c r="BX158" s="2420"/>
      <c r="BY158" s="2420"/>
      <c r="BZ158" s="2420"/>
      <c r="CA158" s="2436"/>
      <c r="CB158" s="2420"/>
      <c r="CC158" s="2420"/>
      <c r="CD158" s="2420"/>
      <c r="CE158" s="2436"/>
      <c r="CF158" s="2420"/>
      <c r="CG158" s="2420"/>
      <c r="CH158" s="2420"/>
      <c r="CI158" s="2436"/>
      <c r="CJ158" s="2420"/>
      <c r="CK158" s="2420"/>
      <c r="CL158" s="2420"/>
      <c r="CM158" s="2436"/>
      <c r="CN158" s="2420"/>
      <c r="CO158" s="2420"/>
      <c r="CP158" s="2420"/>
      <c r="CQ158" s="2436"/>
      <c r="CR158" s="2420"/>
      <c r="CS158" s="2420"/>
      <c r="CT158" s="2420"/>
      <c r="CU158" s="2436"/>
      <c r="CV158" s="2420"/>
      <c r="CW158" s="2420"/>
      <c r="CX158" s="2420"/>
      <c r="CY158" s="2436"/>
      <c r="CZ158" s="2420"/>
      <c r="DA158" s="2420"/>
      <c r="DB158" s="2420"/>
      <c r="DC158" s="2436"/>
      <c r="DF158" s="2437"/>
      <c r="DG158" s="2436"/>
      <c r="DJ158" s="2437"/>
      <c r="DK158" s="2436"/>
      <c r="DN158" s="2437"/>
      <c r="DO158" s="2436"/>
      <c r="DR158" s="2437"/>
      <c r="DS158" s="2436"/>
      <c r="DV158" s="2437"/>
    </row>
    <row r="159" spans="1:133" hidden="1" outlineLevel="1">
      <c r="BG159" s="2436"/>
      <c r="BH159" s="2420"/>
      <c r="BI159" s="2420"/>
      <c r="BJ159" s="2420"/>
      <c r="BK159" s="2420"/>
      <c r="BL159" s="2420"/>
      <c r="BM159" s="2420"/>
      <c r="BN159" s="2420"/>
      <c r="BO159" s="2420"/>
      <c r="BP159" s="2420"/>
      <c r="BQ159" s="2420"/>
      <c r="BR159" s="2420"/>
      <c r="BS159" s="2420"/>
      <c r="BT159" s="2420"/>
      <c r="BU159" s="2420"/>
      <c r="BV159" s="2437"/>
      <c r="BW159" s="2436"/>
      <c r="BX159" s="2420"/>
      <c r="BY159" s="2420"/>
      <c r="BZ159" s="2420"/>
      <c r="CA159" s="2436"/>
      <c r="CB159" s="2420"/>
      <c r="CC159" s="2420"/>
      <c r="CD159" s="2420"/>
      <c r="CE159" s="2436"/>
      <c r="CF159" s="2420"/>
      <c r="CG159" s="2420"/>
      <c r="CH159" s="2420"/>
      <c r="CI159" s="2436"/>
      <c r="CJ159" s="2420"/>
      <c r="CK159" s="2420"/>
      <c r="CL159" s="2420"/>
      <c r="CM159" s="2436"/>
      <c r="CN159" s="2420"/>
      <c r="CO159" s="2420"/>
      <c r="CP159" s="2420"/>
      <c r="CQ159" s="2436"/>
      <c r="CR159" s="2420"/>
      <c r="CS159" s="2420"/>
      <c r="CT159" s="2420"/>
      <c r="CU159" s="2436"/>
      <c r="CV159" s="2420"/>
      <c r="CW159" s="2420"/>
      <c r="CX159" s="2420"/>
      <c r="CY159" s="2436"/>
      <c r="CZ159" s="2420"/>
      <c r="DA159" s="2420"/>
      <c r="DB159" s="2420"/>
      <c r="DC159" s="2436"/>
      <c r="DF159" s="2437"/>
      <c r="DG159" s="2436"/>
      <c r="DJ159" s="2437"/>
      <c r="DK159" s="2436"/>
      <c r="DN159" s="2437"/>
      <c r="DO159" s="2436"/>
      <c r="DR159" s="2437"/>
      <c r="DS159" s="2436"/>
      <c r="DV159" s="2437"/>
    </row>
    <row r="160" spans="1:133" hidden="1" outlineLevel="1">
      <c r="BG160" s="2436"/>
      <c r="BH160" s="2420"/>
      <c r="BI160" s="2420"/>
      <c r="BJ160" s="2420"/>
      <c r="BK160" s="2420"/>
      <c r="BL160" s="2420"/>
      <c r="BM160" s="2420"/>
      <c r="BN160" s="2420"/>
      <c r="BO160" s="2420"/>
      <c r="BP160" s="2420"/>
      <c r="BQ160" s="2420"/>
      <c r="BR160" s="2420"/>
      <c r="BS160" s="2420"/>
      <c r="BT160" s="2420"/>
      <c r="BU160" s="2420"/>
      <c r="BV160" s="2437"/>
      <c r="BW160" s="2436"/>
      <c r="BX160" s="2420"/>
      <c r="BY160" s="2420"/>
      <c r="BZ160" s="2420"/>
      <c r="CA160" s="2436"/>
      <c r="CB160" s="2420"/>
      <c r="CC160" s="2420"/>
      <c r="CD160" s="2420"/>
      <c r="CE160" s="2436"/>
      <c r="CF160" s="2420"/>
      <c r="CG160" s="2420"/>
      <c r="CH160" s="2420"/>
      <c r="CI160" s="2436"/>
      <c r="CJ160" s="2420"/>
      <c r="CK160" s="2420"/>
      <c r="CL160" s="2420"/>
      <c r="CM160" s="2436"/>
      <c r="CN160" s="2420"/>
      <c r="CO160" s="2420"/>
      <c r="CP160" s="2420"/>
      <c r="CQ160" s="2436"/>
      <c r="CR160" s="2420"/>
      <c r="CS160" s="2420"/>
      <c r="CT160" s="2420"/>
      <c r="CU160" s="2436"/>
      <c r="CV160" s="2420"/>
      <c r="CW160" s="2420"/>
      <c r="CX160" s="2420"/>
      <c r="CY160" s="2436"/>
      <c r="CZ160" s="2420"/>
      <c r="DA160" s="2420"/>
      <c r="DB160" s="2420"/>
      <c r="DC160" s="2436"/>
      <c r="DF160" s="2437"/>
      <c r="DG160" s="2436"/>
      <c r="DJ160" s="2437"/>
      <c r="DK160" s="2436"/>
      <c r="DN160" s="2437"/>
      <c r="DO160" s="2436"/>
      <c r="DR160" s="2437"/>
      <c r="DS160" s="2436"/>
      <c r="DV160" s="2437"/>
    </row>
    <row r="161" spans="1:133" hidden="1" outlineLevel="1">
      <c r="A161" s="800" t="s">
        <v>816</v>
      </c>
      <c r="P161" s="812">
        <f t="shared" ref="P161:V161" si="737">P63</f>
        <v>39198.028139993796</v>
      </c>
      <c r="Q161" s="812">
        <f t="shared" si="737"/>
        <v>32291</v>
      </c>
      <c r="R161" s="812">
        <f t="shared" si="737"/>
        <v>34376</v>
      </c>
      <c r="S161" s="812">
        <f t="shared" si="737"/>
        <v>35450</v>
      </c>
      <c r="T161" s="812">
        <f t="shared" si="737"/>
        <v>37417</v>
      </c>
      <c r="U161" s="812">
        <f t="shared" si="737"/>
        <v>42021</v>
      </c>
      <c r="V161" s="812">
        <f t="shared" si="737"/>
        <v>43254</v>
      </c>
      <c r="W161" s="812">
        <f t="shared" ref="W161:AB161" si="738">W63</f>
        <v>44368</v>
      </c>
      <c r="X161" s="812">
        <f t="shared" si="738"/>
        <v>44236</v>
      </c>
      <c r="Y161" s="812">
        <f t="shared" si="738"/>
        <v>46657</v>
      </c>
      <c r="Z161" s="812">
        <f t="shared" ca="1" si="738"/>
        <v>47786.253296851944</v>
      </c>
      <c r="AA161" s="812">
        <f t="shared" ca="1" si="738"/>
        <v>48836.664019516073</v>
      </c>
      <c r="AB161" s="812">
        <f t="shared" ca="1" si="738"/>
        <v>49687.521335243342</v>
      </c>
      <c r="AC161" s="812">
        <f t="shared" ref="AC161:AG161" ca="1" si="739">AC63</f>
        <v>50627.868065011207</v>
      </c>
      <c r="AD161" s="812">
        <f t="shared" ca="1" si="739"/>
        <v>51647.037167036789</v>
      </c>
      <c r="AE161" s="812">
        <f t="shared" ca="1" si="739"/>
        <v>52746.05668869245</v>
      </c>
      <c r="AF161" s="812">
        <f t="shared" ca="1" si="739"/>
        <v>53931.416547329536</v>
      </c>
      <c r="AG161" s="812">
        <f t="shared" ca="1" si="739"/>
        <v>55212.250669671455</v>
      </c>
      <c r="BG161" s="2436"/>
      <c r="BH161" s="2420"/>
      <c r="BI161" s="2420"/>
      <c r="BJ161" s="2420"/>
      <c r="BK161" s="2420"/>
      <c r="BL161" s="2420"/>
      <c r="BM161" s="2420"/>
      <c r="BN161" s="2420"/>
      <c r="BO161" s="2420"/>
      <c r="BP161" s="2420"/>
      <c r="BQ161" s="2420"/>
      <c r="BR161" s="2420"/>
      <c r="BS161" s="2420"/>
      <c r="BT161" s="2420"/>
      <c r="BU161" s="2420"/>
      <c r="BV161" s="2437"/>
      <c r="BW161" s="2436"/>
      <c r="BX161" s="2420"/>
      <c r="BY161" s="2420"/>
      <c r="BZ161" s="2420"/>
      <c r="CA161" s="2436"/>
      <c r="CB161" s="2420"/>
      <c r="CC161" s="2420"/>
      <c r="CD161" s="2420"/>
      <c r="CE161" s="2436"/>
      <c r="CF161" s="2420"/>
      <c r="CG161" s="2420"/>
      <c r="CH161" s="2420"/>
      <c r="CI161" s="2436"/>
      <c r="CJ161" s="2420"/>
      <c r="CK161" s="2420"/>
      <c r="CL161" s="2420"/>
      <c r="CM161" s="2436"/>
      <c r="CN161" s="2420"/>
      <c r="CO161" s="2420"/>
      <c r="CP161" s="2420"/>
      <c r="CQ161" s="2436"/>
      <c r="CR161" s="2420"/>
      <c r="CS161" s="2420"/>
      <c r="CT161" s="2420"/>
      <c r="CU161" s="2436"/>
      <c r="CV161" s="2420"/>
      <c r="CW161" s="2420"/>
      <c r="CX161" s="2420"/>
      <c r="CY161" s="2436"/>
      <c r="CZ161" s="2420"/>
      <c r="DA161" s="2420"/>
      <c r="DB161" s="2420"/>
      <c r="DC161" s="2436"/>
      <c r="DF161" s="2437"/>
      <c r="DG161" s="2436"/>
      <c r="DJ161" s="2437"/>
      <c r="DK161" s="2436"/>
      <c r="DN161" s="2437"/>
      <c r="DO161" s="2436"/>
      <c r="DR161" s="2437"/>
      <c r="DS161" s="2436"/>
      <c r="DV161" s="2437"/>
    </row>
    <row r="162" spans="1:133" hidden="1" outlineLevel="1">
      <c r="A162" s="800" t="s">
        <v>1165</v>
      </c>
      <c r="P162" s="812">
        <f t="shared" ref="P162:V162" si="740">P67</f>
        <v>567</v>
      </c>
      <c r="Q162" s="812">
        <f t="shared" si="740"/>
        <v>553</v>
      </c>
      <c r="R162" s="812">
        <f t="shared" si="740"/>
        <v>508</v>
      </c>
      <c r="S162" s="812">
        <f t="shared" si="740"/>
        <v>444</v>
      </c>
      <c r="T162" s="812">
        <f t="shared" si="740"/>
        <v>324</v>
      </c>
      <c r="U162" s="812">
        <f t="shared" si="740"/>
        <v>142</v>
      </c>
      <c r="V162" s="812">
        <f t="shared" si="740"/>
        <v>1780</v>
      </c>
      <c r="W162" s="812">
        <f t="shared" ref="W162:AB162" si="741">W67</f>
        <v>-86</v>
      </c>
      <c r="X162" s="812">
        <f t="shared" si="741"/>
        <v>-98</v>
      </c>
      <c r="Y162" s="812">
        <f t="shared" si="741"/>
        <v>-77</v>
      </c>
      <c r="Z162" s="812">
        <f t="shared" si="741"/>
        <v>-76</v>
      </c>
      <c r="AA162" s="812">
        <f t="shared" si="741"/>
        <v>-68.400000000000006</v>
      </c>
      <c r="AB162" s="812">
        <f t="shared" si="741"/>
        <v>-61.560000000000009</v>
      </c>
      <c r="AC162" s="812">
        <f t="shared" ref="AC162:AG162" si="742">AC67</f>
        <v>-55.404000000000011</v>
      </c>
      <c r="AD162" s="812">
        <f t="shared" si="742"/>
        <v>-49.863600000000012</v>
      </c>
      <c r="AE162" s="812">
        <f t="shared" si="742"/>
        <v>-44.877240000000015</v>
      </c>
      <c r="AF162" s="812">
        <f t="shared" si="742"/>
        <v>-40.389516000000015</v>
      </c>
      <c r="AG162" s="812">
        <f t="shared" si="742"/>
        <v>-36.350564400000017</v>
      </c>
      <c r="BG162" s="2436"/>
      <c r="BH162" s="2420"/>
      <c r="BI162" s="2420"/>
      <c r="BJ162" s="2420"/>
      <c r="BK162" s="2420"/>
      <c r="BL162" s="2420"/>
      <c r="BM162" s="2420"/>
      <c r="BN162" s="2420"/>
      <c r="BO162" s="2420"/>
      <c r="BP162" s="2420"/>
      <c r="BQ162" s="2420"/>
      <c r="BR162" s="2420"/>
      <c r="BS162" s="2420"/>
      <c r="BT162" s="2420"/>
      <c r="BU162" s="2420"/>
      <c r="BV162" s="2437"/>
      <c r="BW162" s="2436"/>
      <c r="BX162" s="2420"/>
      <c r="BY162" s="2420"/>
      <c r="BZ162" s="2420"/>
      <c r="CA162" s="2436"/>
      <c r="CB162" s="2420"/>
      <c r="CC162" s="2420"/>
      <c r="CD162" s="2420"/>
      <c r="CE162" s="2436"/>
      <c r="CF162" s="2420"/>
      <c r="CG162" s="2420"/>
      <c r="CH162" s="2420"/>
      <c r="CI162" s="2436"/>
      <c r="CJ162" s="2420"/>
      <c r="CK162" s="2420"/>
      <c r="CL162" s="2420"/>
      <c r="CM162" s="2436"/>
      <c r="CN162" s="2420"/>
      <c r="CO162" s="2420"/>
      <c r="CP162" s="2420">
        <v>0.05</v>
      </c>
      <c r="CQ162" s="2436"/>
      <c r="CR162" s="2420"/>
      <c r="CS162" s="2420"/>
      <c r="CT162" s="2420"/>
      <c r="CU162" s="2436"/>
      <c r="CV162" s="2420"/>
      <c r="CW162" s="2420"/>
      <c r="CX162" s="2420"/>
      <c r="CY162" s="2436"/>
      <c r="CZ162" s="2420"/>
      <c r="DA162" s="2420"/>
      <c r="DB162" s="2420"/>
      <c r="DC162" s="2436"/>
      <c r="DF162" s="2437"/>
      <c r="DG162" s="2436"/>
      <c r="DJ162" s="2437"/>
      <c r="DK162" s="2436"/>
      <c r="DN162" s="2437"/>
      <c r="DO162" s="2436"/>
      <c r="DR162" s="2437"/>
      <c r="DS162" s="2436"/>
      <c r="DV162" s="2437"/>
    </row>
    <row r="163" spans="1:133" hidden="1" outlineLevel="1">
      <c r="A163" s="800" t="s">
        <v>817</v>
      </c>
      <c r="P163" s="812">
        <f>-(1-CFS!P104)*CFS!P107</f>
        <v>-9940.4999999999982</v>
      </c>
      <c r="Q163" s="812">
        <f>-(1-CFS!Q104)*CFS!Q107</f>
        <v>-10650.599999999999</v>
      </c>
      <c r="R163" s="812">
        <f>-(1-CFS!R104)*CFS!R107</f>
        <v>-11735.999999999998</v>
      </c>
      <c r="S163" s="812">
        <f>-(1-CFS!S104)*CFS!S107</f>
        <v>-11920.05</v>
      </c>
      <c r="T163" s="812">
        <f>-(1-CFS!T104)*CFS!T107</f>
        <v>-13377.599999999999</v>
      </c>
      <c r="U163" s="812">
        <f>-(1-CFS!U104)*CFS!U107</f>
        <v>-15389.55</v>
      </c>
      <c r="V163" s="812">
        <f>-(1-CFS!V104)*CFS!V107</f>
        <v>0</v>
      </c>
      <c r="W163" s="812">
        <f>-(1-CFS!W104)*CFS!W107</f>
        <v>0</v>
      </c>
      <c r="X163" s="812">
        <f>-(1-CFS!X104)*CFS!X107</f>
        <v>0</v>
      </c>
      <c r="Y163" s="812">
        <f>-(1-CFS!Y104)*CFS!Y107</f>
        <v>0</v>
      </c>
      <c r="Z163" s="812">
        <f ca="1">-(1-CFS!Z104)*CFS!Z107</f>
        <v>0</v>
      </c>
      <c r="AA163" s="812">
        <f ca="1">-(1-CFS!AA104)*CFS!AA107</f>
        <v>0</v>
      </c>
      <c r="AB163" s="812">
        <f ca="1">-(1-CFS!AB104)*CFS!AB107</f>
        <v>0</v>
      </c>
      <c r="AC163" s="812">
        <f>-(1-CFS!AC104)*CFS!AC107</f>
        <v>0</v>
      </c>
      <c r="AD163" s="812">
        <f>-(1-CFS!AD104)*CFS!AD107</f>
        <v>0</v>
      </c>
      <c r="AE163" s="812">
        <f>-(1-CFS!AE104)*CFS!AE107</f>
        <v>0</v>
      </c>
      <c r="AF163" s="812">
        <f>-(1-CFS!AF104)*CFS!AF107</f>
        <v>0</v>
      </c>
      <c r="AG163" s="812">
        <f>-(1-CFS!AG104)*CFS!AG107</f>
        <v>0</v>
      </c>
      <c r="BG163" s="2436"/>
      <c r="BH163" s="2420"/>
      <c r="BI163" s="2420"/>
      <c r="BJ163" s="2420"/>
      <c r="BK163" s="2420"/>
      <c r="BL163" s="2420"/>
      <c r="BM163" s="2420"/>
      <c r="BN163" s="2420"/>
      <c r="BO163" s="2420"/>
      <c r="BP163" s="2420"/>
      <c r="BQ163" s="2420"/>
      <c r="BR163" s="2420"/>
      <c r="BS163" s="2420"/>
      <c r="BT163" s="2420"/>
      <c r="BU163" s="2420"/>
      <c r="BV163" s="2437"/>
      <c r="BW163" s="2436"/>
      <c r="BX163" s="2420"/>
      <c r="BY163" s="2420"/>
      <c r="BZ163" s="2420"/>
      <c r="CA163" s="2436"/>
      <c r="CB163" s="2420"/>
      <c r="CC163" s="2420"/>
      <c r="CD163" s="2420"/>
      <c r="CE163" s="2436"/>
      <c r="CF163" s="2420"/>
      <c r="CG163" s="2420"/>
      <c r="CH163" s="2420"/>
      <c r="CI163" s="2436"/>
      <c r="CJ163" s="2420"/>
      <c r="CK163" s="2420"/>
      <c r="CL163" s="2420"/>
      <c r="CM163" s="2436"/>
      <c r="CN163" s="2420"/>
      <c r="CO163" s="2420"/>
      <c r="CP163" s="2420">
        <f>+CP162*CP103</f>
        <v>141.45000000000002</v>
      </c>
      <c r="CQ163" s="2436"/>
      <c r="CR163" s="2420"/>
      <c r="CS163" s="2420"/>
      <c r="CT163" s="2420"/>
      <c r="CU163" s="2436"/>
      <c r="CV163" s="2420"/>
      <c r="CW163" s="2420"/>
      <c r="CX163" s="2420"/>
      <c r="CY163" s="2436"/>
      <c r="CZ163" s="2420"/>
      <c r="DA163" s="2420"/>
      <c r="DB163" s="2420"/>
      <c r="DC163" s="2436"/>
      <c r="DF163" s="2437"/>
      <c r="DG163" s="2436"/>
      <c r="DJ163" s="2437"/>
      <c r="DK163" s="2436"/>
      <c r="DN163" s="2437"/>
      <c r="DO163" s="2436"/>
      <c r="DR163" s="2437"/>
      <c r="DS163" s="2436"/>
      <c r="DV163" s="2437"/>
    </row>
    <row r="164" spans="1:133" hidden="1" outlineLevel="1">
      <c r="A164" s="800" t="s">
        <v>1166</v>
      </c>
      <c r="P164" s="812">
        <v>461.9856470334089</v>
      </c>
      <c r="Q164" s="812">
        <v>-321.92799999999988</v>
      </c>
      <c r="R164" s="812">
        <v>-368.68175000000042</v>
      </c>
      <c r="S164" s="812">
        <v>-434.05649999999969</v>
      </c>
      <c r="T164" s="812">
        <v>-909.69099999999958</v>
      </c>
      <c r="U164" s="812">
        <v>-1420.8155000000002</v>
      </c>
      <c r="BG164" s="2436"/>
      <c r="BH164" s="2420"/>
      <c r="BI164" s="2420"/>
      <c r="BJ164" s="2420"/>
      <c r="BK164" s="2420"/>
      <c r="BL164" s="2420"/>
      <c r="BM164" s="2420"/>
      <c r="BN164" s="2420"/>
      <c r="BO164" s="2420"/>
      <c r="BP164" s="2420"/>
      <c r="BQ164" s="2420"/>
      <c r="BR164" s="2420"/>
      <c r="BS164" s="2420"/>
      <c r="BT164" s="2420"/>
      <c r="BU164" s="2420"/>
      <c r="BV164" s="2437"/>
      <c r="BW164" s="2436"/>
      <c r="BX164" s="2420"/>
      <c r="BY164" s="2420"/>
      <c r="BZ164" s="2420"/>
      <c r="CA164" s="2436"/>
      <c r="CB164" s="2420"/>
      <c r="CC164" s="2420"/>
      <c r="CD164" s="2420"/>
      <c r="CE164" s="2436"/>
      <c r="CF164" s="2420"/>
      <c r="CG164" s="2420"/>
      <c r="CH164" s="2420"/>
      <c r="CI164" s="2436"/>
      <c r="CJ164" s="2420"/>
      <c r="CK164" s="2420"/>
      <c r="CL164" s="2420"/>
      <c r="CM164" s="2436"/>
      <c r="CN164" s="2420"/>
      <c r="CO164" s="2420"/>
      <c r="CP164" s="2420">
        <f>+CP163/(1-CP79)</f>
        <v>207.03396138482898</v>
      </c>
      <c r="CQ164" s="2436"/>
      <c r="CR164" s="2420"/>
      <c r="CS164" s="2420"/>
      <c r="CT164" s="2420"/>
      <c r="CU164" s="2436"/>
      <c r="CV164" s="2420"/>
      <c r="CW164" s="2420"/>
      <c r="CX164" s="2420"/>
      <c r="CY164" s="2436"/>
      <c r="CZ164" s="2420"/>
      <c r="DA164" s="2420"/>
      <c r="DB164" s="2420"/>
      <c r="DC164" s="2436"/>
      <c r="DF164" s="2437"/>
      <c r="DG164" s="2436"/>
      <c r="DJ164" s="2437"/>
      <c r="DK164" s="2436"/>
      <c r="DN164" s="2437"/>
      <c r="DO164" s="2436"/>
      <c r="DR164" s="2437"/>
      <c r="DS164" s="2436"/>
      <c r="DV164" s="2437"/>
    </row>
    <row r="165" spans="1:133" s="820" customFormat="1" hidden="1" outlineLevel="1">
      <c r="A165" s="820" t="s">
        <v>1167</v>
      </c>
      <c r="P165" s="820">
        <f t="shared" ref="P165:V165" si="743">SUM(P161:P164)</f>
        <v>30286.513787027205</v>
      </c>
      <c r="Q165" s="820">
        <f t="shared" si="743"/>
        <v>21871.472000000002</v>
      </c>
      <c r="R165" s="820">
        <f t="shared" si="743"/>
        <v>22779.31825</v>
      </c>
      <c r="S165" s="820">
        <f t="shared" si="743"/>
        <v>23539.893500000002</v>
      </c>
      <c r="T165" s="820">
        <f t="shared" si="743"/>
        <v>23453.709000000003</v>
      </c>
      <c r="U165" s="820">
        <f t="shared" si="743"/>
        <v>25352.6345</v>
      </c>
      <c r="V165" s="820">
        <f t="shared" si="743"/>
        <v>45034</v>
      </c>
      <c r="W165" s="820">
        <f t="shared" ref="W165:AB165" si="744">SUM(W161:W164)</f>
        <v>44282</v>
      </c>
      <c r="X165" s="820">
        <f t="shared" si="744"/>
        <v>44138</v>
      </c>
      <c r="Y165" s="820">
        <f t="shared" si="744"/>
        <v>46580</v>
      </c>
      <c r="Z165" s="820">
        <f t="shared" ca="1" si="744"/>
        <v>47710.253296851944</v>
      </c>
      <c r="AA165" s="820">
        <f t="shared" ca="1" si="744"/>
        <v>48768.264019516071</v>
      </c>
      <c r="AB165" s="820">
        <f t="shared" ca="1" si="744"/>
        <v>49625.961335243344</v>
      </c>
      <c r="AC165" s="820">
        <f t="shared" ref="AC165:AG165" ca="1" si="745">SUM(AC161:AC164)</f>
        <v>50572.464065011205</v>
      </c>
      <c r="AD165" s="820">
        <f t="shared" ca="1" si="745"/>
        <v>51597.173567036793</v>
      </c>
      <c r="AE165" s="820">
        <f t="shared" ca="1" si="745"/>
        <v>52701.179448692448</v>
      </c>
      <c r="AF165" s="820">
        <f t="shared" ca="1" si="745"/>
        <v>53891.027031329533</v>
      </c>
      <c r="AG165" s="820">
        <f t="shared" ca="1" si="745"/>
        <v>55175.900105271452</v>
      </c>
      <c r="AH165" s="1923"/>
      <c r="AI165" s="1149"/>
      <c r="AJ165" s="1923"/>
      <c r="AK165" s="1421"/>
      <c r="AL165" s="1421"/>
      <c r="AM165" s="1421"/>
      <c r="AN165" s="1421"/>
      <c r="AO165" s="1421"/>
      <c r="AP165" s="1421"/>
      <c r="AQ165" s="1421"/>
      <c r="AR165" s="1421"/>
      <c r="AS165" s="1421"/>
      <c r="AT165" s="1421"/>
      <c r="AU165" s="1421"/>
      <c r="AV165" s="1421"/>
      <c r="AW165" s="1421"/>
      <c r="AX165" s="1421"/>
      <c r="AY165" s="1421"/>
      <c r="AZ165" s="1421"/>
      <c r="BA165" s="1421"/>
      <c r="BB165" s="1421"/>
      <c r="BC165" s="1421"/>
      <c r="BD165" s="1421"/>
      <c r="BE165" s="1421"/>
      <c r="BF165" s="1421"/>
      <c r="BG165" s="1179"/>
      <c r="BH165" s="985"/>
      <c r="BI165" s="985"/>
      <c r="BJ165" s="985"/>
      <c r="BK165" s="985"/>
      <c r="BL165" s="985"/>
      <c r="BM165" s="985"/>
      <c r="BN165" s="985"/>
      <c r="BO165" s="985"/>
      <c r="BP165" s="985"/>
      <c r="BQ165" s="985"/>
      <c r="BR165" s="985"/>
      <c r="BS165" s="985"/>
      <c r="BT165" s="985"/>
      <c r="BU165" s="985"/>
      <c r="BV165" s="1180"/>
      <c r="BW165" s="1179"/>
      <c r="BX165" s="985"/>
      <c r="BY165" s="985"/>
      <c r="BZ165" s="985"/>
      <c r="CA165" s="1179"/>
      <c r="CB165" s="985"/>
      <c r="CC165" s="985"/>
      <c r="CD165" s="985"/>
      <c r="CE165" s="1179"/>
      <c r="CF165" s="985"/>
      <c r="CG165" s="985"/>
      <c r="CH165" s="985"/>
      <c r="CI165" s="1179"/>
      <c r="CJ165" s="985"/>
      <c r="CK165" s="985"/>
      <c r="CL165" s="985"/>
      <c r="CM165" s="1179"/>
      <c r="CN165" s="985"/>
      <c r="CO165" s="985"/>
      <c r="CP165" s="985">
        <f>+CP164/0.55</f>
        <v>376.42538433605267</v>
      </c>
      <c r="CQ165" s="1179"/>
      <c r="CR165" s="985"/>
      <c r="CS165" s="985"/>
      <c r="CT165" s="985"/>
      <c r="CU165" s="1179"/>
      <c r="CV165" s="985"/>
      <c r="CW165" s="985"/>
      <c r="CX165" s="985"/>
      <c r="CY165" s="1179"/>
      <c r="CZ165" s="985"/>
      <c r="DA165" s="985"/>
      <c r="DB165" s="985"/>
      <c r="DC165" s="1179"/>
      <c r="DD165" s="985"/>
      <c r="DE165" s="985"/>
      <c r="DF165" s="1180"/>
      <c r="DG165" s="1179"/>
      <c r="DH165" s="985"/>
      <c r="DI165" s="985"/>
      <c r="DJ165" s="1180"/>
      <c r="DK165" s="1179"/>
      <c r="DL165" s="985"/>
      <c r="DM165" s="985"/>
      <c r="DN165" s="1180"/>
      <c r="DO165" s="1179"/>
      <c r="DP165" s="985"/>
      <c r="DQ165" s="985"/>
      <c r="DR165" s="1180"/>
      <c r="DS165" s="1179"/>
      <c r="DT165" s="985"/>
      <c r="DU165" s="985"/>
      <c r="DV165" s="1180"/>
      <c r="DW165" s="1923"/>
      <c r="DX165"/>
      <c r="DY165"/>
      <c r="DZ165"/>
      <c r="EA165"/>
      <c r="EB165"/>
      <c r="EC165"/>
    </row>
    <row r="166" spans="1:133" s="820" customFormat="1" hidden="1" outlineLevel="1">
      <c r="A166" s="820" t="s">
        <v>1168</v>
      </c>
      <c r="P166" s="820">
        <f t="shared" ref="P166:V166" si="746">P165-P161</f>
        <v>-8911.5143529665911</v>
      </c>
      <c r="Q166" s="820">
        <f t="shared" si="746"/>
        <v>-10419.527999999998</v>
      </c>
      <c r="R166" s="820">
        <f t="shared" si="746"/>
        <v>-11596.68175</v>
      </c>
      <c r="S166" s="820">
        <f t="shared" si="746"/>
        <v>-11910.106499999998</v>
      </c>
      <c r="T166" s="820">
        <f t="shared" si="746"/>
        <v>-13963.290999999997</v>
      </c>
      <c r="U166" s="820">
        <f t="shared" si="746"/>
        <v>-16668.3655</v>
      </c>
      <c r="V166" s="820">
        <f t="shared" si="746"/>
        <v>1780</v>
      </c>
      <c r="W166" s="820">
        <f t="shared" ref="W166:AB166" si="747">W165-W161</f>
        <v>-86</v>
      </c>
      <c r="X166" s="820">
        <f t="shared" si="747"/>
        <v>-98</v>
      </c>
      <c r="Y166" s="820">
        <f t="shared" si="747"/>
        <v>-77</v>
      </c>
      <c r="Z166" s="820">
        <f t="shared" ca="1" si="747"/>
        <v>-76</v>
      </c>
      <c r="AA166" s="820">
        <f t="shared" ca="1" si="747"/>
        <v>-68.400000000001455</v>
      </c>
      <c r="AB166" s="820">
        <f t="shared" ca="1" si="747"/>
        <v>-61.559999999997672</v>
      </c>
      <c r="AC166" s="820">
        <f t="shared" ref="AC166:AG166" ca="1" si="748">AC165-AC161</f>
        <v>-55.40400000000227</v>
      </c>
      <c r="AD166" s="820">
        <f t="shared" ca="1" si="748"/>
        <v>-49.86359999999695</v>
      </c>
      <c r="AE166" s="820">
        <f t="shared" ca="1" si="748"/>
        <v>-44.877240000001621</v>
      </c>
      <c r="AF166" s="820">
        <f t="shared" ca="1" si="748"/>
        <v>-40.389516000002914</v>
      </c>
      <c r="AG166" s="820">
        <f t="shared" ca="1" si="748"/>
        <v>-36.35056440000335</v>
      </c>
      <c r="AH166" s="1923"/>
      <c r="AI166" s="1149"/>
      <c r="AJ166" s="1923"/>
      <c r="AK166" s="1421"/>
      <c r="AL166" s="1421"/>
      <c r="AM166" s="1421"/>
      <c r="AN166" s="1421"/>
      <c r="AO166" s="1421"/>
      <c r="AP166" s="1421"/>
      <c r="AQ166" s="1421"/>
      <c r="AR166" s="1421"/>
      <c r="AS166" s="1421"/>
      <c r="AT166" s="1421"/>
      <c r="AU166" s="1421"/>
      <c r="AV166" s="1421"/>
      <c r="AW166" s="1421"/>
      <c r="AX166" s="1421"/>
      <c r="AY166" s="1421"/>
      <c r="AZ166" s="1421"/>
      <c r="BA166" s="1421"/>
      <c r="BB166" s="1421"/>
      <c r="BC166" s="1421"/>
      <c r="BD166" s="1421"/>
      <c r="BE166" s="1421"/>
      <c r="BF166" s="1421"/>
      <c r="BG166" s="1179"/>
      <c r="BH166" s="985"/>
      <c r="BI166" s="985"/>
      <c r="BJ166" s="985"/>
      <c r="BK166" s="985"/>
      <c r="BL166" s="985"/>
      <c r="BM166" s="985"/>
      <c r="BN166" s="985"/>
      <c r="BO166" s="985"/>
      <c r="BP166" s="985"/>
      <c r="BQ166" s="985"/>
      <c r="BR166" s="985"/>
      <c r="BS166" s="985"/>
      <c r="BT166" s="985"/>
      <c r="BU166" s="985"/>
      <c r="BV166" s="1180"/>
      <c r="BW166" s="1179"/>
      <c r="BX166" s="985"/>
      <c r="BY166" s="985"/>
      <c r="BZ166" s="985"/>
      <c r="CA166" s="1179"/>
      <c r="CB166" s="985"/>
      <c r="CC166" s="985"/>
      <c r="CD166" s="985"/>
      <c r="CE166" s="1179"/>
      <c r="CF166" s="985"/>
      <c r="CG166" s="985"/>
      <c r="CH166" s="985"/>
      <c r="CI166" s="1179"/>
      <c r="CJ166" s="985"/>
      <c r="CK166" s="985"/>
      <c r="CL166" s="985"/>
      <c r="CM166" s="1179"/>
      <c r="CN166" s="985"/>
      <c r="CO166" s="985"/>
      <c r="CP166" s="985"/>
      <c r="CQ166" s="1179"/>
      <c r="CR166" s="985"/>
      <c r="CS166" s="985"/>
      <c r="CT166" s="985"/>
      <c r="CU166" s="1179"/>
      <c r="CV166" s="985"/>
      <c r="CW166" s="985"/>
      <c r="CX166" s="985"/>
      <c r="CY166" s="1179"/>
      <c r="CZ166" s="985"/>
      <c r="DA166" s="985"/>
      <c r="DB166" s="985"/>
      <c r="DC166" s="1179"/>
      <c r="DD166" s="985"/>
      <c r="DE166" s="985"/>
      <c r="DF166" s="1180"/>
      <c r="DG166" s="1179"/>
      <c r="DH166" s="985"/>
      <c r="DI166" s="985"/>
      <c r="DJ166" s="1180"/>
      <c r="DK166" s="1179"/>
      <c r="DL166" s="985"/>
      <c r="DM166" s="985"/>
      <c r="DN166" s="1180"/>
      <c r="DO166" s="1179"/>
      <c r="DP166" s="985"/>
      <c r="DQ166" s="985"/>
      <c r="DR166" s="1180"/>
      <c r="DS166" s="1179"/>
      <c r="DT166" s="985"/>
      <c r="DU166" s="985"/>
      <c r="DV166" s="1180"/>
      <c r="DW166" s="1923"/>
      <c r="DX166"/>
      <c r="DY166"/>
      <c r="DZ166"/>
      <c r="EA166"/>
      <c r="EB166"/>
      <c r="EC166"/>
    </row>
    <row r="167" spans="1:133" ht="15" customHeight="1" collapsed="1">
      <c r="BG167" s="2436"/>
      <c r="BH167" s="2420"/>
      <c r="BI167" s="2420"/>
      <c r="BJ167" s="2420"/>
      <c r="BK167" s="2420"/>
      <c r="BL167" s="2420"/>
      <c r="BM167" s="2420"/>
      <c r="BN167" s="2420"/>
      <c r="BO167" s="2420"/>
      <c r="BP167" s="2420"/>
      <c r="BQ167" s="2420"/>
      <c r="BR167" s="2420"/>
      <c r="BS167" s="2420"/>
      <c r="BT167" s="2420"/>
      <c r="BU167" s="2420"/>
      <c r="BV167" s="2437"/>
      <c r="BW167" s="2436"/>
      <c r="BX167" s="2420"/>
      <c r="BY167" s="2420"/>
      <c r="BZ167" s="2420"/>
      <c r="CA167" s="2436"/>
      <c r="CB167" s="2420"/>
      <c r="CC167" s="2420"/>
      <c r="CD167" s="2420"/>
      <c r="CE167" s="2436"/>
      <c r="CF167" s="2420"/>
      <c r="CG167" s="2420"/>
      <c r="CH167" s="2420"/>
      <c r="CI167" s="2436">
        <v>0.57999999999999996</v>
      </c>
      <c r="CJ167" s="2420">
        <v>0.52</v>
      </c>
      <c r="CK167" s="2420">
        <v>0.41</v>
      </c>
      <c r="CL167" s="2420">
        <v>-0.23</v>
      </c>
      <c r="CM167" s="2436"/>
      <c r="CN167" s="2420"/>
      <c r="CO167" s="2420"/>
      <c r="CP167" s="2420"/>
      <c r="CQ167" s="2436"/>
      <c r="CR167" s="2420"/>
      <c r="CS167" s="2420"/>
      <c r="CT167" s="2420"/>
      <c r="CU167" s="2436"/>
      <c r="CV167" s="2420"/>
      <c r="CW167" s="2420"/>
      <c r="CX167" s="2420"/>
      <c r="CY167" s="2436"/>
      <c r="CZ167" s="2420"/>
      <c r="DA167" s="2420"/>
      <c r="DB167" s="2420"/>
      <c r="DC167" s="2436"/>
      <c r="DF167" s="2437"/>
      <c r="DG167" s="2436"/>
      <c r="DJ167" s="2437"/>
      <c r="DK167" s="2436"/>
      <c r="DN167" s="2437"/>
      <c r="DO167" s="2436"/>
      <c r="DR167" s="2437"/>
      <c r="DS167" s="2436"/>
      <c r="DV167" s="2437"/>
    </row>
    <row r="168" spans="1:133" customFormat="1" ht="15" customHeight="1"/>
    <row r="171" spans="1:133" ht="15" customHeight="1">
      <c r="X171" s="822"/>
    </row>
    <row r="172" spans="1:133" ht="15" customHeight="1">
      <c r="DE172" s="2438"/>
    </row>
    <row r="173" spans="1:133" ht="15" customHeight="1">
      <c r="DE173" s="2438"/>
    </row>
    <row r="174" spans="1:133" ht="15" customHeight="1">
      <c r="DE174" s="2438"/>
    </row>
    <row r="175" spans="1:133" ht="15" customHeight="1">
      <c r="DE175" s="2438"/>
    </row>
    <row r="176" spans="1:133" ht="15" customHeight="1">
      <c r="DE176" s="2438"/>
    </row>
    <row r="177" spans="109:113" ht="15" customHeight="1">
      <c r="DF177" s="985"/>
      <c r="DG177" s="985"/>
      <c r="DH177" s="985"/>
      <c r="DI177" s="985"/>
    </row>
    <row r="178" spans="109:113" ht="15" customHeight="1">
      <c r="DE178" s="2438"/>
    </row>
    <row r="179" spans="109:113" ht="15" customHeight="1">
      <c r="DE179" s="2438"/>
    </row>
    <row r="180" spans="109:113" ht="15" customHeight="1">
      <c r="DE180" s="2438"/>
    </row>
    <row r="181" spans="109:113" ht="15" customHeight="1">
      <c r="DF181" s="985"/>
      <c r="DG181" s="985"/>
      <c r="DH181" s="985"/>
      <c r="DI181" s="985"/>
    </row>
  </sheetData>
  <phoneticPr fontId="76" type="noConversion"/>
  <pageMargins left="0" right="0" top="0" bottom="0" header="0" footer="0"/>
  <pageSetup scale="71" orientation="landscape" r:id="rId1"/>
  <headerFooter alignWithMargins="0"/>
  <rowBreaks count="1" manualBreakCount="1">
    <brk id="62" max="121"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indexed="56"/>
    <pageSetUpPr fitToPage="1"/>
  </sheetPr>
  <dimension ref="A1:GC230"/>
  <sheetViews>
    <sheetView showGridLines="0" zoomScale="85" zoomScaleSheetLayoutView="85" workbookViewId="0">
      <pane xSplit="1" ySplit="9" topLeftCell="X10" activePane="bottomRight" state="frozen"/>
      <selection activeCell="W8" sqref="W8"/>
      <selection pane="topRight" activeCell="W8" sqref="W8"/>
      <selection pane="bottomLeft" activeCell="W8" sqref="W8"/>
      <selection pane="bottomRight" activeCell="X10" sqref="X10"/>
    </sheetView>
  </sheetViews>
  <sheetFormatPr defaultColWidth="12.88671875" defaultRowHeight="15" outlineLevelRow="1" outlineLevelCol="1"/>
  <cols>
    <col min="1" max="1" width="30.6640625" customWidth="1"/>
    <col min="2" max="3" width="2.5546875" hidden="1" customWidth="1" outlineLevel="1"/>
    <col min="4" max="17" width="7.44140625" hidden="1" customWidth="1" outlineLevel="1"/>
    <col min="18" max="18" width="7.44140625" hidden="1" customWidth="1" outlineLevel="1" collapsed="1"/>
    <col min="19" max="19" width="7.44140625" hidden="1" customWidth="1" outlineLevel="1"/>
    <col min="20" max="23" width="7.44140625" hidden="1" customWidth="1" outlineLevel="1" collapsed="1"/>
    <col min="24" max="24" width="7.44140625" customWidth="1" collapsed="1"/>
    <col min="25" max="27" width="7.44140625" customWidth="1"/>
    <col min="28" max="28" width="7.44140625" style="3144" hidden="1" customWidth="1" outlineLevel="1"/>
    <col min="29" max="33" width="7.44140625" style="3146" hidden="1" customWidth="1" outlineLevel="1"/>
    <col min="34" max="34" width="2.5546875" customWidth="1" collapsed="1"/>
    <col min="35" max="38" width="2.5546875" hidden="1" customWidth="1" outlineLevel="1"/>
    <col min="39" max="39" width="2.5546875" hidden="1" customWidth="1" outlineLevel="1" collapsed="1"/>
    <col min="40" max="41" width="2.5546875" hidden="1" customWidth="1" outlineLevel="1"/>
    <col min="42" max="49" width="7.44140625" hidden="1" customWidth="1" outlineLevel="1"/>
    <col min="50" max="50" width="7.44140625" hidden="1" customWidth="1" outlineLevel="1" collapsed="1"/>
    <col min="51" max="65" width="7.44140625" hidden="1" customWidth="1" outlineLevel="1"/>
    <col min="66" max="66" width="7.44140625" hidden="1" customWidth="1" outlineLevel="1" collapsed="1"/>
    <col min="67" max="97" width="7.44140625" hidden="1" customWidth="1" outlineLevel="1"/>
    <col min="98" max="98" width="7.44140625" hidden="1" customWidth="1" outlineLevel="1" collapsed="1"/>
    <col min="99" max="101" width="7.44140625" hidden="1" customWidth="1" outlineLevel="1"/>
    <col min="102" max="102" width="7.44140625" hidden="1" customWidth="1" outlineLevel="1" collapsed="1"/>
    <col min="103" max="105" width="7.44140625" hidden="1" customWidth="1" outlineLevel="1"/>
    <col min="106" max="106" width="7.44140625" hidden="1" customWidth="1" outlineLevel="1" collapsed="1"/>
    <col min="107" max="109" width="7.44140625" hidden="1" customWidth="1" outlineLevel="1"/>
    <col min="110" max="110" width="7.44140625" hidden="1" customWidth="1" outlineLevel="1" collapsed="1"/>
    <col min="111" max="113" width="7.44140625" style="1074" hidden="1" customWidth="1" outlineLevel="1"/>
    <col min="114" max="114" width="7.44140625" style="1074" hidden="1" customWidth="1" outlineLevel="1" collapsed="1"/>
    <col min="115" max="117" width="7.44140625" style="1074" hidden="1" customWidth="1" outlineLevel="1"/>
    <col min="118" max="118" width="7.44140625" style="1074" hidden="1" customWidth="1" outlineLevel="1" collapsed="1"/>
    <col min="119" max="121" width="7.44140625" style="1074" hidden="1" customWidth="1" outlineLevel="1"/>
    <col min="122" max="122" width="7.44140625" style="1074" customWidth="1" collapsed="1"/>
    <col min="123" max="129" width="7.44140625" style="1074" customWidth="1"/>
    <col min="130" max="130" width="6.88671875" style="1074" customWidth="1"/>
    <col min="131" max="131" width="64.44140625" customWidth="1"/>
    <col min="132" max="136" width="12.88671875" customWidth="1"/>
  </cols>
  <sheetData>
    <row r="1" spans="1:136" ht="15.75" customHeight="1">
      <c r="A1" s="91" t="s">
        <v>1111</v>
      </c>
      <c r="B1" s="87"/>
      <c r="C1" s="87"/>
      <c r="D1" s="87"/>
      <c r="E1" s="87"/>
      <c r="F1" s="87"/>
      <c r="G1" s="87"/>
      <c r="H1" s="123"/>
      <c r="I1" s="123"/>
      <c r="J1" s="123"/>
      <c r="K1" s="123"/>
      <c r="L1" s="123"/>
      <c r="M1" s="123"/>
      <c r="N1" s="123"/>
      <c r="O1" s="123"/>
      <c r="P1" s="123"/>
      <c r="Q1" s="123"/>
      <c r="R1" s="123"/>
      <c r="S1" s="123"/>
      <c r="T1" s="123"/>
      <c r="U1" s="123"/>
      <c r="V1" s="1425"/>
      <c r="W1" s="1425"/>
      <c r="X1" s="1425"/>
      <c r="Y1" s="1425"/>
      <c r="Z1" s="1425"/>
      <c r="AA1" s="1425"/>
      <c r="AB1" s="1425"/>
      <c r="AC1" s="1425"/>
      <c r="AD1" s="1425"/>
      <c r="AE1" s="1425"/>
      <c r="AF1" s="1425"/>
      <c r="AG1" s="1425"/>
      <c r="AH1" s="123"/>
      <c r="AI1" s="123"/>
      <c r="AJ1" s="123"/>
      <c r="AK1" s="123"/>
      <c r="AL1" s="123"/>
      <c r="AM1" s="123"/>
      <c r="AN1" s="123"/>
      <c r="AO1" s="123"/>
      <c r="AP1" s="123"/>
      <c r="AQ1" s="123"/>
      <c r="AR1" s="123"/>
      <c r="AS1" s="123"/>
      <c r="AT1" s="123"/>
      <c r="AU1" s="123"/>
      <c r="AV1" s="123"/>
      <c r="AW1" s="123"/>
      <c r="AX1" s="123"/>
      <c r="AY1" s="123"/>
      <c r="AZ1" s="123"/>
      <c r="BA1" s="123"/>
      <c r="BB1" s="123"/>
      <c r="BC1" s="123"/>
      <c r="BD1" s="123"/>
      <c r="BE1" s="123"/>
      <c r="BF1" s="123"/>
      <c r="BG1" s="123"/>
      <c r="BH1" s="123"/>
      <c r="BI1" s="123"/>
      <c r="BJ1" s="123"/>
      <c r="BK1" s="123"/>
      <c r="BL1" s="123"/>
      <c r="BM1" s="123"/>
      <c r="BN1" s="123"/>
      <c r="BO1" s="123"/>
      <c r="BP1" s="123"/>
      <c r="BQ1" s="123"/>
      <c r="BR1" s="123"/>
      <c r="BS1" s="123"/>
      <c r="BT1" s="123"/>
      <c r="BU1" s="123"/>
      <c r="BV1" s="123"/>
      <c r="BW1" s="123"/>
      <c r="BX1" s="123"/>
      <c r="BY1" s="123"/>
      <c r="BZ1" s="123"/>
      <c r="CA1" s="123"/>
      <c r="CB1" s="123"/>
      <c r="CC1" s="123"/>
      <c r="CD1" s="123"/>
      <c r="CE1" s="123"/>
      <c r="CF1" s="123"/>
      <c r="CG1" s="123"/>
      <c r="CH1" s="123"/>
      <c r="CI1" s="123"/>
      <c r="CJ1" s="123"/>
      <c r="CK1" s="123"/>
      <c r="CL1" s="123"/>
      <c r="CM1" s="123"/>
      <c r="CN1" s="123"/>
      <c r="CO1" s="123"/>
      <c r="CP1" s="123"/>
      <c r="CQ1" s="123"/>
      <c r="CR1" s="123"/>
      <c r="CS1" s="123"/>
      <c r="CT1" s="123"/>
      <c r="CU1" s="123"/>
      <c r="CV1" s="123"/>
      <c r="CW1" s="123"/>
      <c r="CX1" s="123"/>
      <c r="CY1" s="87"/>
      <c r="CZ1" s="87"/>
      <c r="DH1" s="1425"/>
      <c r="DI1" s="1425"/>
      <c r="DJ1" s="1425"/>
      <c r="DK1" s="1425"/>
      <c r="DL1" s="1425"/>
      <c r="DM1" s="1425"/>
      <c r="DN1" s="1425"/>
      <c r="DO1" s="1425"/>
      <c r="DP1" s="1425"/>
      <c r="DQ1" s="1425"/>
      <c r="DR1" s="1425"/>
      <c r="DS1" s="1425"/>
      <c r="DT1" s="1425"/>
      <c r="DU1" s="1425"/>
      <c r="DV1" s="1425"/>
      <c r="DW1" s="1425"/>
      <c r="DX1" s="1425"/>
      <c r="DY1" s="1425"/>
      <c r="DZ1" s="1041"/>
    </row>
    <row r="2" spans="1:136" ht="13.5" customHeight="1">
      <c r="A2" s="91" t="s">
        <v>1112</v>
      </c>
      <c r="B2" s="87"/>
      <c r="C2" s="87"/>
      <c r="D2" s="87"/>
      <c r="E2" s="87"/>
      <c r="F2" s="87"/>
      <c r="G2" s="87"/>
      <c r="H2" s="123"/>
      <c r="I2" s="123"/>
      <c r="J2" s="123"/>
      <c r="K2" s="123"/>
      <c r="L2" s="123"/>
      <c r="M2" s="123"/>
      <c r="N2" s="123"/>
      <c r="O2" s="123"/>
      <c r="P2" s="123"/>
      <c r="Q2" s="123"/>
      <c r="R2" s="87"/>
      <c r="S2" s="87"/>
      <c r="T2" s="87"/>
      <c r="U2" s="87"/>
      <c r="V2" s="1562"/>
      <c r="W2" s="1562"/>
      <c r="X2" s="1562"/>
      <c r="Y2" s="1562"/>
      <c r="Z2" s="1562"/>
      <c r="AA2" s="1562"/>
      <c r="AB2" s="1562"/>
      <c r="AC2" s="1562"/>
      <c r="AD2" s="1562"/>
      <c r="AE2" s="1562"/>
      <c r="AF2" s="1562"/>
      <c r="AG2" s="1562"/>
      <c r="AH2" s="123"/>
      <c r="AI2" s="123"/>
      <c r="AJ2" s="123"/>
      <c r="AK2" s="123"/>
      <c r="AL2" s="123"/>
      <c r="AM2" s="123"/>
      <c r="AN2" s="123"/>
      <c r="AO2" s="123"/>
      <c r="AP2" s="123"/>
      <c r="AQ2" s="123"/>
      <c r="AR2" s="123"/>
      <c r="AS2" s="123"/>
      <c r="AT2" s="123"/>
      <c r="AU2" s="123"/>
      <c r="AV2" s="123"/>
      <c r="AW2" s="123"/>
      <c r="AX2" s="123"/>
      <c r="AY2" s="123"/>
      <c r="AZ2" s="123"/>
      <c r="BA2" s="123"/>
      <c r="BB2" s="123"/>
      <c r="BC2" s="123"/>
      <c r="BD2" s="123"/>
      <c r="BE2" s="123"/>
      <c r="BF2" s="123"/>
      <c r="BG2" s="123"/>
      <c r="BH2" s="123"/>
      <c r="BI2" s="123"/>
      <c r="BJ2" s="123"/>
      <c r="BK2" s="123"/>
      <c r="BL2" s="123"/>
      <c r="BM2" s="123"/>
      <c r="BN2" s="123"/>
      <c r="BO2" s="123"/>
      <c r="BP2" s="123"/>
      <c r="BQ2" s="123"/>
      <c r="BR2" s="123"/>
      <c r="BS2" s="123"/>
      <c r="BT2" s="123"/>
      <c r="BU2" s="123"/>
      <c r="BV2" s="123"/>
      <c r="BW2" s="123"/>
      <c r="BX2" s="123"/>
      <c r="BY2" s="123"/>
      <c r="BZ2" s="123"/>
      <c r="CA2" s="123"/>
      <c r="CB2" s="123"/>
      <c r="CC2" s="123"/>
      <c r="CD2" s="123"/>
      <c r="CE2" s="123"/>
      <c r="CF2" s="123"/>
      <c r="CG2" s="123"/>
      <c r="CH2" s="123"/>
      <c r="CI2" s="123"/>
      <c r="CJ2" s="123"/>
      <c r="CK2" s="123"/>
      <c r="CL2" s="123"/>
      <c r="CM2" s="123"/>
      <c r="CN2" s="123"/>
      <c r="CO2" s="123"/>
      <c r="CP2" s="123"/>
      <c r="CQ2" s="123"/>
      <c r="CR2" s="123"/>
      <c r="CS2" s="123"/>
      <c r="CT2" s="123"/>
      <c r="CU2" s="123"/>
      <c r="CV2" s="123"/>
      <c r="CW2" s="123"/>
      <c r="CX2" s="123"/>
      <c r="CY2" s="87"/>
      <c r="CZ2" s="87"/>
      <c r="DF2" s="1562"/>
      <c r="DG2" s="1562"/>
      <c r="DH2" s="1562"/>
      <c r="DI2" s="1562"/>
      <c r="DJ2" s="1562"/>
      <c r="DK2" s="1562"/>
      <c r="DL2" s="1562"/>
      <c r="DM2" s="1562"/>
      <c r="DN2" s="1562"/>
      <c r="DO2" s="1562"/>
      <c r="DP2" s="1562"/>
      <c r="DQ2" s="1562"/>
      <c r="DR2" s="1562"/>
      <c r="DS2" s="1562"/>
      <c r="DT2" s="1562"/>
      <c r="DU2" s="1562"/>
      <c r="DV2" s="1562"/>
      <c r="DW2" s="1562"/>
      <c r="DX2" s="1562"/>
      <c r="DY2" s="1562"/>
      <c r="DZ2" s="1041"/>
    </row>
    <row r="3" spans="1:136">
      <c r="A3" s="87" t="s">
        <v>1113</v>
      </c>
      <c r="B3" s="87"/>
      <c r="C3" s="87"/>
      <c r="D3" s="87"/>
      <c r="E3" s="87"/>
      <c r="F3" s="87"/>
      <c r="G3" s="87"/>
      <c r="H3" s="123"/>
      <c r="I3" s="123"/>
      <c r="J3" s="123"/>
      <c r="K3" s="123"/>
      <c r="L3" s="123"/>
      <c r="M3" s="123"/>
      <c r="N3" s="123"/>
      <c r="O3" s="123"/>
      <c r="P3" s="123"/>
      <c r="Q3" s="123"/>
      <c r="R3" s="123"/>
      <c r="S3" s="228"/>
      <c r="T3" s="228"/>
      <c r="U3" s="228"/>
      <c r="V3" s="1443"/>
      <c r="W3" s="1443"/>
      <c r="X3" s="1443"/>
      <c r="Y3" s="1443"/>
      <c r="Z3" s="1443"/>
      <c r="AA3" s="1443"/>
      <c r="AB3" s="1443"/>
      <c r="AC3" s="1443"/>
      <c r="AD3" s="1443"/>
      <c r="AE3" s="1443"/>
      <c r="AF3" s="1443"/>
      <c r="AG3" s="1443"/>
      <c r="AH3" s="123"/>
      <c r="AI3" s="123"/>
      <c r="AJ3" s="123"/>
      <c r="AK3" s="123"/>
      <c r="AL3" s="123"/>
      <c r="AM3" s="123"/>
      <c r="AN3" s="123"/>
      <c r="AO3" s="123"/>
      <c r="AP3" s="123"/>
      <c r="AQ3" s="123"/>
      <c r="AR3" s="123"/>
      <c r="AS3" s="123"/>
      <c r="AT3" s="123"/>
      <c r="AU3" s="123"/>
      <c r="AV3" s="123"/>
      <c r="AW3" s="123"/>
      <c r="AX3" s="123"/>
      <c r="AY3" s="123"/>
      <c r="AZ3" s="123"/>
      <c r="BA3" s="123"/>
      <c r="BB3" s="123"/>
      <c r="BC3" s="123"/>
      <c r="BD3" s="123"/>
      <c r="BE3" s="123"/>
      <c r="BF3" s="123"/>
      <c r="BG3" s="123"/>
      <c r="BH3" s="123"/>
      <c r="BI3" s="123"/>
      <c r="BJ3" s="123"/>
      <c r="BK3" s="123"/>
      <c r="BL3" s="123"/>
      <c r="BM3" s="123"/>
      <c r="BN3" s="123"/>
      <c r="BO3" s="123"/>
      <c r="BP3" s="123"/>
      <c r="BQ3" s="123"/>
      <c r="BR3" s="123"/>
      <c r="BS3" s="123"/>
      <c r="BT3" s="123"/>
      <c r="BU3" s="123"/>
      <c r="BV3" s="123"/>
      <c r="BW3" s="123"/>
      <c r="BX3" s="123"/>
      <c r="BY3" s="123"/>
      <c r="BZ3" s="123"/>
      <c r="CA3" s="123"/>
      <c r="CB3" s="123"/>
      <c r="CC3" s="123"/>
      <c r="CD3" s="123"/>
      <c r="CE3" s="123"/>
      <c r="CF3" s="123"/>
      <c r="CG3" s="123"/>
      <c r="CH3" s="123"/>
      <c r="CI3" s="123"/>
      <c r="CJ3" s="123"/>
      <c r="CK3" s="123"/>
      <c r="CL3" s="123"/>
      <c r="CM3" s="123"/>
      <c r="CN3" s="123"/>
      <c r="CO3" s="123"/>
      <c r="CP3" s="123"/>
      <c r="CQ3" s="123"/>
      <c r="CR3" s="123"/>
      <c r="CS3" s="123"/>
      <c r="CT3" s="123"/>
      <c r="CU3" s="123"/>
      <c r="CV3" s="123"/>
      <c r="CW3" s="123"/>
      <c r="CX3" s="123"/>
      <c r="CY3" s="87"/>
      <c r="CZ3" s="87"/>
      <c r="DF3" s="1443"/>
      <c r="DG3" s="1443"/>
      <c r="DH3" s="1443"/>
      <c r="DI3" s="1443"/>
      <c r="DJ3" s="1562"/>
      <c r="DK3" s="1562"/>
      <c r="DL3" s="1562"/>
      <c r="DM3" s="1443"/>
      <c r="DN3" s="1443"/>
      <c r="DO3" s="1443"/>
      <c r="DP3" s="1443"/>
      <c r="DQ3" s="1443"/>
      <c r="DR3" s="1443"/>
      <c r="DS3" s="1443"/>
      <c r="DT3" s="1443"/>
      <c r="DU3" s="1443"/>
      <c r="DV3" s="1443"/>
      <c r="DW3" s="1443"/>
      <c r="DX3" s="1443"/>
      <c r="DY3" s="1443"/>
      <c r="DZ3" s="1041"/>
    </row>
    <row r="4" spans="1:136" ht="24.75" customHeight="1">
      <c r="A4" s="2189"/>
      <c r="B4" s="87"/>
      <c r="C4" s="87"/>
      <c r="D4" s="87"/>
      <c r="E4" s="87"/>
      <c r="F4" s="117" t="s">
        <v>1114</v>
      </c>
      <c r="G4" s="117" t="s">
        <v>1114</v>
      </c>
      <c r="H4" s="117" t="s">
        <v>1114</v>
      </c>
      <c r="I4" s="117" t="s">
        <v>1114</v>
      </c>
      <c r="J4" s="117" t="s">
        <v>1114</v>
      </c>
      <c r="K4" s="117" t="s">
        <v>1114</v>
      </c>
      <c r="L4" s="117" t="s">
        <v>1114</v>
      </c>
      <c r="M4" s="117" t="s">
        <v>1114</v>
      </c>
      <c r="N4" s="123"/>
      <c r="O4" s="123"/>
      <c r="P4" s="123"/>
      <c r="Q4" s="123"/>
      <c r="R4" s="123"/>
      <c r="S4" s="216"/>
      <c r="T4" s="216"/>
      <c r="U4" s="216"/>
      <c r="V4" s="125" t="s">
        <v>1211</v>
      </c>
      <c r="W4" s="125"/>
      <c r="X4" s="2190"/>
      <c r="Y4" s="2191"/>
      <c r="Z4" s="2191"/>
      <c r="AA4" s="2191"/>
      <c r="AB4" s="2191"/>
      <c r="AC4" s="2191"/>
      <c r="AD4" s="2191"/>
      <c r="AE4" s="2191"/>
      <c r="AF4" s="2191"/>
      <c r="AG4" s="2191"/>
      <c r="AH4" s="2192"/>
      <c r="AI4" s="2192"/>
      <c r="AJ4" s="2192"/>
      <c r="AK4" s="2192"/>
      <c r="AL4" s="2192"/>
      <c r="AM4" s="2192"/>
      <c r="AN4" s="2192"/>
      <c r="AO4" s="2192"/>
      <c r="AP4" s="2192"/>
      <c r="AQ4" s="2192"/>
      <c r="AR4" s="2192"/>
      <c r="AS4" s="2192"/>
      <c r="AT4" s="2192"/>
      <c r="AU4" s="2192"/>
      <c r="AV4" s="2192"/>
      <c r="AW4" s="2192"/>
      <c r="AX4" s="2192"/>
      <c r="AY4" s="2192"/>
      <c r="AZ4" s="2192"/>
      <c r="BA4" s="2192"/>
      <c r="BB4" s="2192"/>
      <c r="BC4" s="2192"/>
      <c r="BD4" s="2192"/>
      <c r="BE4" s="2192"/>
      <c r="BF4" s="2192"/>
      <c r="BG4" s="2192"/>
      <c r="BH4" s="2192"/>
      <c r="BI4" s="2192"/>
      <c r="BJ4" s="2192"/>
      <c r="BK4" s="2192"/>
      <c r="BL4" s="2192"/>
      <c r="BM4" s="2192"/>
      <c r="BN4" s="2192"/>
      <c r="BO4" s="2192"/>
      <c r="BP4" s="2192"/>
      <c r="BQ4" s="2192"/>
      <c r="BR4" s="2192"/>
      <c r="BS4" s="2192"/>
      <c r="BT4" s="2192"/>
      <c r="BU4" s="2192"/>
      <c r="BV4" s="2192"/>
      <c r="BW4" s="2192"/>
      <c r="BX4" s="2192"/>
      <c r="BY4" s="2192"/>
      <c r="BZ4" s="2192"/>
      <c r="CA4" s="2192"/>
      <c r="CB4" s="2192"/>
      <c r="CC4" s="2192"/>
      <c r="CD4" s="2192"/>
      <c r="CE4" s="2192"/>
      <c r="CF4" s="2192"/>
      <c r="CG4" s="2192"/>
      <c r="CH4" s="2192"/>
      <c r="CI4" s="2192"/>
      <c r="CJ4" s="2192"/>
      <c r="CK4" s="2192"/>
      <c r="CL4" s="2192"/>
      <c r="CM4" s="2192"/>
      <c r="CN4" s="2192"/>
      <c r="CO4" s="2192"/>
      <c r="CP4" s="2192"/>
      <c r="CQ4" s="2192"/>
      <c r="CR4" s="2192"/>
      <c r="CS4" s="2192"/>
      <c r="CT4" s="2192"/>
      <c r="CU4" s="2192"/>
      <c r="CV4" s="2192"/>
      <c r="CW4" s="2192"/>
      <c r="CX4" s="2192"/>
      <c r="CY4" s="1989"/>
      <c r="CZ4" s="1989"/>
      <c r="DA4" s="1958"/>
      <c r="DB4" s="1958"/>
      <c r="DC4" s="1958"/>
      <c r="DD4" s="1958"/>
      <c r="DE4" s="1958"/>
      <c r="DF4" s="2193" t="s">
        <v>1211</v>
      </c>
      <c r="DG4" s="2193"/>
      <c r="DH4" s="2193"/>
      <c r="DI4" s="2193"/>
      <c r="DJ4" s="2191"/>
      <c r="DK4" s="2191"/>
      <c r="DL4" s="2191"/>
      <c r="DM4" s="2194"/>
      <c r="DN4" s="2194"/>
      <c r="DO4" s="2194"/>
      <c r="DP4" s="2194"/>
      <c r="DQ4" s="2194"/>
      <c r="DR4" s="2194"/>
      <c r="DS4" s="2194"/>
      <c r="DT4" s="2194"/>
      <c r="DU4" s="2194"/>
      <c r="DV4" s="2194"/>
      <c r="DW4" s="2194"/>
      <c r="DX4" s="2194"/>
      <c r="DY4" s="2194"/>
      <c r="DZ4" s="1041"/>
    </row>
    <row r="5" spans="1:136">
      <c r="A5" s="1446" t="s">
        <v>1498</v>
      </c>
      <c r="B5" s="229"/>
      <c r="C5" s="229"/>
      <c r="D5" s="230">
        <v>1996</v>
      </c>
      <c r="E5" s="230">
        <v>1997</v>
      </c>
      <c r="F5" s="230">
        <v>1998</v>
      </c>
      <c r="G5" s="230">
        <v>1999</v>
      </c>
      <c r="H5" s="230">
        <v>2000</v>
      </c>
      <c r="I5" s="230">
        <v>2001</v>
      </c>
      <c r="J5" s="230">
        <v>2002</v>
      </c>
      <c r="K5" s="230">
        <v>2003</v>
      </c>
      <c r="L5" s="230">
        <v>2004</v>
      </c>
      <c r="M5" s="230">
        <v>2005</v>
      </c>
      <c r="N5" s="230">
        <f>IS!N5</f>
        <v>2006</v>
      </c>
      <c r="O5" s="230">
        <f>IS!O5</f>
        <v>2007</v>
      </c>
      <c r="P5" s="230">
        <f>IS!P5</f>
        <v>2008</v>
      </c>
      <c r="Q5" s="231">
        <f>IS!Q5</f>
        <v>2009</v>
      </c>
      <c r="R5" s="232">
        <f>IS!R5</f>
        <v>2010</v>
      </c>
      <c r="S5" s="233">
        <f>IS!S5</f>
        <v>2011</v>
      </c>
      <c r="T5" s="234">
        <f>IS!T5</f>
        <v>2012</v>
      </c>
      <c r="U5" s="231">
        <f>IS!U5</f>
        <v>2013</v>
      </c>
      <c r="V5" s="231" t="str">
        <f>IS!V5</f>
        <v>2014</v>
      </c>
      <c r="W5" s="231" t="str">
        <f>IS!W5</f>
        <v>2015</v>
      </c>
      <c r="X5" s="230" t="str">
        <f>IS!X5</f>
        <v>2016</v>
      </c>
      <c r="Y5" s="230" t="str">
        <f>IS!Y5</f>
        <v>2017</v>
      </c>
      <c r="Z5" s="230" t="str">
        <f>IS!Z5</f>
        <v>2018E</v>
      </c>
      <c r="AA5" s="230" t="str">
        <f>IS!AA5</f>
        <v>2019E</v>
      </c>
      <c r="AB5" s="230" t="str">
        <f>IS!AB5</f>
        <v>2020E</v>
      </c>
      <c r="AC5" s="230" t="str">
        <f>IS!AC5</f>
        <v>2021E</v>
      </c>
      <c r="AD5" s="230" t="str">
        <f>IS!AD5</f>
        <v>2022E</v>
      </c>
      <c r="AE5" s="230" t="str">
        <f>IS!AE5</f>
        <v>2023E</v>
      </c>
      <c r="AF5" s="230" t="str">
        <f>IS!AF5</f>
        <v>2024E</v>
      </c>
      <c r="AG5" s="230" t="str">
        <f>IS!AG5</f>
        <v>2025E</v>
      </c>
      <c r="AH5" s="1262"/>
      <c r="AI5" s="123"/>
      <c r="AJ5" s="123"/>
      <c r="AK5" s="123"/>
      <c r="AL5" s="123"/>
      <c r="AM5" s="123"/>
      <c r="AN5" s="123"/>
      <c r="AO5" s="123"/>
      <c r="AP5" s="230" t="s">
        <v>902</v>
      </c>
      <c r="AQ5" s="230" t="s">
        <v>903</v>
      </c>
      <c r="AR5" s="230" t="s">
        <v>904</v>
      </c>
      <c r="AS5" s="230" t="s">
        <v>905</v>
      </c>
      <c r="AT5" s="230" t="s">
        <v>906</v>
      </c>
      <c r="AU5" s="230" t="s">
        <v>907</v>
      </c>
      <c r="AV5" s="230" t="s">
        <v>908</v>
      </c>
      <c r="AW5" s="230" t="s">
        <v>909</v>
      </c>
      <c r="AX5" s="230" t="s">
        <v>910</v>
      </c>
      <c r="AY5" s="230" t="s">
        <v>911</v>
      </c>
      <c r="AZ5" s="230" t="s">
        <v>912</v>
      </c>
      <c r="BA5" s="230" t="s">
        <v>913</v>
      </c>
      <c r="BB5" s="230" t="s">
        <v>914</v>
      </c>
      <c r="BC5" s="230" t="s">
        <v>915</v>
      </c>
      <c r="BD5" s="230" t="s">
        <v>916</v>
      </c>
      <c r="BE5" s="230" t="s">
        <v>917</v>
      </c>
      <c r="BF5" s="230" t="s">
        <v>918</v>
      </c>
      <c r="BG5" s="230" t="s">
        <v>919</v>
      </c>
      <c r="BH5" s="230" t="s">
        <v>920</v>
      </c>
      <c r="BI5" s="230" t="s">
        <v>921</v>
      </c>
      <c r="BJ5" s="230" t="s">
        <v>922</v>
      </c>
      <c r="BK5" s="230" t="s">
        <v>923</v>
      </c>
      <c r="BL5" s="230" t="s">
        <v>924</v>
      </c>
      <c r="BM5" s="230" t="s">
        <v>925</v>
      </c>
      <c r="BN5" s="230" t="s">
        <v>926</v>
      </c>
      <c r="BO5" s="230" t="s">
        <v>927</v>
      </c>
      <c r="BP5" s="230" t="s">
        <v>928</v>
      </c>
      <c r="BQ5" s="230" t="s">
        <v>929</v>
      </c>
      <c r="BR5" s="235" t="s">
        <v>930</v>
      </c>
      <c r="BS5" s="230" t="s">
        <v>931</v>
      </c>
      <c r="BT5" s="230" t="s">
        <v>932</v>
      </c>
      <c r="BU5" s="230" t="s">
        <v>933</v>
      </c>
      <c r="BV5" s="235" t="s">
        <v>934</v>
      </c>
      <c r="BW5" s="230" t="s">
        <v>935</v>
      </c>
      <c r="BX5" s="230" t="s">
        <v>936</v>
      </c>
      <c r="BY5" s="230" t="s">
        <v>937</v>
      </c>
      <c r="BZ5" s="235" t="str">
        <f>IS!BW5</f>
        <v>1Q06</v>
      </c>
      <c r="CA5" s="230" t="str">
        <f>IS!BX5</f>
        <v>2Q06</v>
      </c>
      <c r="CB5" s="230" t="str">
        <f>IS!BY5</f>
        <v>3Q06</v>
      </c>
      <c r="CC5" s="230" t="str">
        <f>IS!BZ5</f>
        <v>4Q06</v>
      </c>
      <c r="CD5" s="235" t="str">
        <f>IS!CA5</f>
        <v>1Q07</v>
      </c>
      <c r="CE5" s="230" t="str">
        <f>IS!CB5</f>
        <v>2Q07</v>
      </c>
      <c r="CF5" s="230" t="str">
        <f>IS!CC5</f>
        <v>3Q07</v>
      </c>
      <c r="CG5" s="230" t="str">
        <f>IS!CD5</f>
        <v>4Q07</v>
      </c>
      <c r="CH5" s="235" t="str">
        <f>IS!CE5</f>
        <v>1Q08</v>
      </c>
      <c r="CI5" s="230" t="str">
        <f>IS!CF5</f>
        <v>2Q08</v>
      </c>
      <c r="CJ5" s="230" t="str">
        <f>IS!CG5</f>
        <v>3Q08</v>
      </c>
      <c r="CK5" s="230" t="str">
        <f>IS!CH5</f>
        <v>4Q08</v>
      </c>
      <c r="CL5" s="235" t="str">
        <f>IS!CI5</f>
        <v>1Q09</v>
      </c>
      <c r="CM5" s="230" t="str">
        <f>IS!CJ5</f>
        <v>2Q09</v>
      </c>
      <c r="CN5" s="230" t="str">
        <f>IS!CK5</f>
        <v>3Q09</v>
      </c>
      <c r="CO5" s="230" t="str">
        <f>IS!CL5</f>
        <v>4Q09</v>
      </c>
      <c r="CP5" s="235" t="str">
        <f>IS!CM5</f>
        <v>1Q10</v>
      </c>
      <c r="CQ5" s="230" t="str">
        <f>IS!CN5</f>
        <v>2Q10</v>
      </c>
      <c r="CR5" s="230" t="str">
        <f>IS!CO5</f>
        <v>3Q10</v>
      </c>
      <c r="CS5" s="230" t="str">
        <f>IS!CP5</f>
        <v>4Q10</v>
      </c>
      <c r="CT5" s="234" t="str">
        <f>IS!CQ5</f>
        <v>1Q11</v>
      </c>
      <c r="CU5" s="231" t="str">
        <f>IS!CR5</f>
        <v>2Q11</v>
      </c>
      <c r="CV5" s="231" t="str">
        <f>IS!CS5</f>
        <v>3Q11</v>
      </c>
      <c r="CW5" s="232" t="str">
        <f>IS!CT5</f>
        <v>4Q11</v>
      </c>
      <c r="CX5" s="231" t="str">
        <f>IS!CU5</f>
        <v>1Q12</v>
      </c>
      <c r="CY5" s="231" t="str">
        <f>IS!CV5</f>
        <v>2Q12</v>
      </c>
      <c r="CZ5" s="231" t="str">
        <f>IS!CW5</f>
        <v>3Q12</v>
      </c>
      <c r="DA5" s="231" t="str">
        <f>IS!CX5</f>
        <v>4Q12</v>
      </c>
      <c r="DB5" s="236" t="str">
        <f>IS!CY5</f>
        <v>1Q13</v>
      </c>
      <c r="DC5" s="232" t="str">
        <f>IS!CZ5</f>
        <v>2Q13</v>
      </c>
      <c r="DD5" s="232" t="str">
        <f>IS!DA5</f>
        <v>3Q13</v>
      </c>
      <c r="DE5" s="231" t="str">
        <f>IS!DB5</f>
        <v>4Q13</v>
      </c>
      <c r="DF5" s="234" t="str">
        <f>IS!DC5</f>
        <v>1Q14</v>
      </c>
      <c r="DG5" s="231" t="str">
        <f>IS!DD5</f>
        <v>2Q14</v>
      </c>
      <c r="DH5" s="231" t="str">
        <f>IS!DE5</f>
        <v>3Q14</v>
      </c>
      <c r="DI5" s="232" t="str">
        <f>IS!DF5</f>
        <v>4Q14</v>
      </c>
      <c r="DJ5" s="234" t="str">
        <f>IS!DG5</f>
        <v>1Q15</v>
      </c>
      <c r="DK5" s="231" t="str">
        <f>IS!DH5</f>
        <v>2Q15</v>
      </c>
      <c r="DL5" s="231" t="str">
        <f>IS!DI5</f>
        <v>3Q15</v>
      </c>
      <c r="DM5" s="232" t="str">
        <f>IS!DJ5</f>
        <v>4Q15</v>
      </c>
      <c r="DN5" s="232" t="str">
        <f>IS!DK5</f>
        <v>1Q16</v>
      </c>
      <c r="DO5" s="232" t="str">
        <f>IS!DL5</f>
        <v>2Q16</v>
      </c>
      <c r="DP5" s="232" t="str">
        <f>IS!DM5</f>
        <v>3Q16</v>
      </c>
      <c r="DQ5" s="232" t="str">
        <f>IS!DN5</f>
        <v>4Q16</v>
      </c>
      <c r="DR5" s="232" t="str">
        <f>IS!DO5</f>
        <v>1Q17</v>
      </c>
      <c r="DS5" s="232" t="str">
        <f>IS!DP5</f>
        <v>2Q17</v>
      </c>
      <c r="DT5" s="232" t="str">
        <f>IS!DQ5</f>
        <v>3Q17</v>
      </c>
      <c r="DU5" s="232" t="str">
        <f>IS!DR5</f>
        <v>4Q17</v>
      </c>
      <c r="DV5" s="232" t="str">
        <f>IS!DS5</f>
        <v>1Q18</v>
      </c>
      <c r="DW5" s="232" t="str">
        <f>IS!DT5</f>
        <v>2Q18E</v>
      </c>
      <c r="DX5" s="232" t="str">
        <f>IS!DU5</f>
        <v>3Q18E</v>
      </c>
      <c r="DY5" s="232" t="str">
        <f>IS!DV5</f>
        <v>4Q18E</v>
      </c>
      <c r="DZ5" s="1099"/>
    </row>
    <row r="6" spans="1:136" hidden="1" outlineLevel="1">
      <c r="A6" s="128" t="s">
        <v>1212</v>
      </c>
      <c r="B6" s="128"/>
      <c r="C6" s="128"/>
      <c r="D6" s="128"/>
      <c r="E6" s="130"/>
      <c r="F6" s="130">
        <v>2.67</v>
      </c>
      <c r="G6" s="130">
        <v>2.84</v>
      </c>
      <c r="H6" s="130">
        <v>2.91</v>
      </c>
      <c r="I6" s="130">
        <v>3</v>
      </c>
      <c r="J6" s="130">
        <v>1</v>
      </c>
      <c r="K6" s="130">
        <v>2.59</v>
      </c>
      <c r="L6" s="130">
        <v>2.4900000000000002</v>
      </c>
      <c r="M6" s="130">
        <v>1</v>
      </c>
      <c r="N6" s="130">
        <f>IS!N6</f>
        <v>2.61</v>
      </c>
      <c r="O6" s="130">
        <f>IS!O6</f>
        <v>2.3866533099135196</v>
      </c>
      <c r="P6" s="130">
        <f>IS!P6</f>
        <v>2.538231328484017</v>
      </c>
      <c r="Q6" s="130">
        <f>IS!Q6</f>
        <v>1.9136349876803944</v>
      </c>
      <c r="R6" s="130">
        <f>IS!R6</f>
        <v>2.0773481954809991</v>
      </c>
      <c r="S6" s="130">
        <f>IS!S6</f>
        <v>2.1540899052696991</v>
      </c>
      <c r="T6" s="130">
        <f>IS!T6</f>
        <v>2.2251970649895183</v>
      </c>
      <c r="U6" s="130">
        <f>IS!U6</f>
        <v>2.8220215727209466</v>
      </c>
      <c r="V6" s="130">
        <f>IS!V6</f>
        <v>3.4132820851600503</v>
      </c>
      <c r="W6" s="130">
        <f>IS!W6</f>
        <v>3.4502992549163305</v>
      </c>
      <c r="X6" s="130">
        <f>IS!X6</f>
        <v>3.7416043566052744</v>
      </c>
      <c r="Y6" s="130">
        <f>IS!Y6</f>
        <v>3.7374602397846832</v>
      </c>
      <c r="Z6" s="130">
        <f ca="1">IS!Z6</f>
        <v>4.5447318949672786</v>
      </c>
      <c r="AA6" s="130">
        <f ca="1">IS!AA6</f>
        <v>4.7340805279717273</v>
      </c>
      <c r="AB6" s="130">
        <f ca="1">IS!AB6</f>
        <v>4.949467505016357</v>
      </c>
      <c r="AC6" s="130">
        <f ca="1">IS!AC6</f>
        <v>5.1589882052989253</v>
      </c>
      <c r="AD6" s="130">
        <f ca="1">IS!AD6</f>
        <v>5.3885502047206435</v>
      </c>
      <c r="AE6" s="130">
        <f ca="1">IS!AE6</f>
        <v>5.6328247202620876</v>
      </c>
      <c r="AF6" s="130">
        <f ca="1">IS!AF6</f>
        <v>5.8930980122776537</v>
      </c>
      <c r="AG6" s="130">
        <f ca="1">IS!AG6</f>
        <v>6.1637765370324686</v>
      </c>
      <c r="AH6" s="1262"/>
      <c r="AI6" s="123"/>
      <c r="AJ6" s="123"/>
      <c r="AK6" s="123"/>
      <c r="AL6" s="123"/>
      <c r="AM6" s="123"/>
      <c r="AN6" s="123"/>
      <c r="AO6" s="123"/>
      <c r="AP6" s="130">
        <v>0.57999999999999996</v>
      </c>
      <c r="AQ6" s="130">
        <v>0.59</v>
      </c>
      <c r="AR6" s="130">
        <v>0.64</v>
      </c>
      <c r="AS6" s="130">
        <v>0.56999999999999995</v>
      </c>
      <c r="AT6" s="130">
        <v>0.63</v>
      </c>
      <c r="AU6" s="130">
        <v>0.63</v>
      </c>
      <c r="AV6" s="130">
        <v>0.7</v>
      </c>
      <c r="AW6" s="130">
        <v>0.72</v>
      </c>
      <c r="AX6" s="130">
        <v>0.7</v>
      </c>
      <c r="AY6" s="130">
        <v>0.67</v>
      </c>
      <c r="AZ6" s="130">
        <v>0.72</v>
      </c>
      <c r="BA6" s="130">
        <v>0.75</v>
      </c>
      <c r="BB6" s="130">
        <v>0.69</v>
      </c>
      <c r="BC6" s="130">
        <v>0.72</v>
      </c>
      <c r="BD6" s="130">
        <v>0.73</v>
      </c>
      <c r="BE6" s="130">
        <v>0.77</v>
      </c>
      <c r="BF6" s="130">
        <v>0.72</v>
      </c>
      <c r="BG6" s="130">
        <v>0.77</v>
      </c>
      <c r="BH6" s="130">
        <v>0.75</v>
      </c>
      <c r="BI6" s="130">
        <v>0.77</v>
      </c>
      <c r="BJ6" s="130">
        <v>0.72</v>
      </c>
      <c r="BK6" s="130">
        <v>0.77</v>
      </c>
      <c r="BL6" s="130">
        <v>0.77</v>
      </c>
      <c r="BM6" s="130">
        <v>0.8</v>
      </c>
      <c r="BN6" s="130"/>
      <c r="BO6" s="130"/>
      <c r="BP6" s="130"/>
      <c r="BQ6" s="130"/>
      <c r="BR6" s="131">
        <v>0.57428872497365646</v>
      </c>
      <c r="BS6" s="130">
        <v>0.63161609033168664</v>
      </c>
      <c r="BT6" s="130">
        <v>0.64290780141843973</v>
      </c>
      <c r="BU6" s="130">
        <v>0.6415161176053843</v>
      </c>
      <c r="BV6" s="131">
        <v>0.60262318326834452</v>
      </c>
      <c r="BW6" s="130">
        <v>0.61653068463994321</v>
      </c>
      <c r="BX6" s="130">
        <v>0.6340078097266596</v>
      </c>
      <c r="BY6" s="130">
        <v>0.61079545454545459</v>
      </c>
      <c r="BZ6" s="131">
        <f>IS!BW6</f>
        <v>0.67530600364649018</v>
      </c>
      <c r="CA6" s="130">
        <f>IS!BX6</f>
        <v>0.63953882672092233</v>
      </c>
      <c r="CB6" s="130">
        <f>IS!BY6</f>
        <v>0.68114950393431406</v>
      </c>
      <c r="CC6" s="130">
        <f>IS!BZ6</f>
        <v>0.61870503597122306</v>
      </c>
      <c r="CD6" s="131">
        <f>IS!CA6</f>
        <v>0.55994503607007906</v>
      </c>
      <c r="CE6" s="130">
        <f>IS!CB6</f>
        <v>0.58479532163742687</v>
      </c>
      <c r="CF6" s="130">
        <f>IS!CC6</f>
        <v>0.62551724137931031</v>
      </c>
      <c r="CG6" s="130">
        <f>IS!CD6</f>
        <v>0.61639571082670352</v>
      </c>
      <c r="CH6" s="131">
        <f>IS!CE6</f>
        <v>0.60767888307155327</v>
      </c>
      <c r="CI6" s="130">
        <f>IS!CF6</f>
        <v>0.66783584707120314</v>
      </c>
      <c r="CJ6" s="130">
        <f>IS!CG6</f>
        <v>0.65553602811950795</v>
      </c>
      <c r="CK6" s="130">
        <f>IS!CH6</f>
        <v>0.60718057022175287</v>
      </c>
      <c r="CL6" s="131">
        <f>IS!CI6</f>
        <v>0.47437486800422379</v>
      </c>
      <c r="CM6" s="130">
        <f>IS!CJ6</f>
        <v>0.51500422386483635</v>
      </c>
      <c r="CN6" s="130">
        <f>IS!CK6</f>
        <v>0.48104963041182691</v>
      </c>
      <c r="CO6" s="130">
        <f>IS!CL6</f>
        <v>0.44320626539950719</v>
      </c>
      <c r="CP6" s="131">
        <f>IS!CM6</f>
        <v>0.47732157968970379</v>
      </c>
      <c r="CQ6" s="130">
        <f>IS!CN6</f>
        <v>0.51364803678811444</v>
      </c>
      <c r="CR6" s="130">
        <f>IS!CO6</f>
        <v>0.54674690703428763</v>
      </c>
      <c r="CS6" s="130">
        <f>IS!CP6</f>
        <v>0.53963167196889361</v>
      </c>
      <c r="CT6" s="131">
        <f>IS!CQ6</f>
        <v>0.50918727915194351</v>
      </c>
      <c r="CU6" s="130">
        <f>IS!CR6</f>
        <v>0.5692090395480226</v>
      </c>
      <c r="CV6" s="130">
        <f>IS!CS6</f>
        <v>0.55881792519407203</v>
      </c>
      <c r="CW6" s="132">
        <f>IS!CT6</f>
        <v>0.51687566137566132</v>
      </c>
      <c r="CX6" s="130">
        <f>IS!CU6</f>
        <v>0.59301860301860299</v>
      </c>
      <c r="CY6" s="130">
        <f>IS!CV6</f>
        <v>0.63033939818054585</v>
      </c>
      <c r="CZ6" s="130">
        <f>IS!CW6</f>
        <v>0.6364312630844382</v>
      </c>
      <c r="DA6" s="130">
        <f>IS!CX6</f>
        <v>0.37228581411600281</v>
      </c>
      <c r="DB6" s="131">
        <f>IS!CY6</f>
        <v>0.67757660167130918</v>
      </c>
      <c r="DC6" s="130">
        <f>IS!CZ6</f>
        <v>0.72865250696378836</v>
      </c>
      <c r="DD6" s="130">
        <f>IS!DA6</f>
        <v>0.76658315935977728</v>
      </c>
      <c r="DE6" s="130">
        <f>IS!DB6</f>
        <v>0.64996173913043476</v>
      </c>
      <c r="DF6" s="131">
        <f>IS!DC6</f>
        <v>0.91084337349397593</v>
      </c>
      <c r="DG6" s="1036">
        <f>IS!DD6</f>
        <v>0.90769564170479167</v>
      </c>
      <c r="DH6" s="1036">
        <f>IS!DE6</f>
        <v>0.88843471988458766</v>
      </c>
      <c r="DI6" s="132">
        <f>IS!DF6</f>
        <v>0.71300938176569639</v>
      </c>
      <c r="DJ6" s="131">
        <f>IS!DG6</f>
        <v>0.88910458626546951</v>
      </c>
      <c r="DK6" s="1036">
        <f>IS!DH6</f>
        <v>0.90183598531211751</v>
      </c>
      <c r="DL6" s="1036">
        <f>IS!DI6</f>
        <v>0.91012770137524557</v>
      </c>
      <c r="DM6" s="132">
        <f>IS!DJ6</f>
        <v>0.7531305201177626</v>
      </c>
      <c r="DN6" s="132">
        <f>IS!DK6</f>
        <v>0.93005140758873939</v>
      </c>
      <c r="DO6" s="132">
        <f>IS!DL6</f>
        <v>0.94394124847001226</v>
      </c>
      <c r="DP6" s="132">
        <f>IS!DM6</f>
        <v>1.0088105726872247</v>
      </c>
      <c r="DQ6" s="132">
        <f>IS!DN6</f>
        <v>0.85882065084413994</v>
      </c>
      <c r="DR6" s="132">
        <f>IS!DO6</f>
        <v>0.94519207242476144</v>
      </c>
      <c r="DS6" s="132">
        <f>IS!DP6</f>
        <v>0.95639392454679084</v>
      </c>
      <c r="DT6" s="132">
        <f>IS!DQ6</f>
        <v>0.97676693568109563</v>
      </c>
      <c r="DU6" s="132">
        <f>IS!DR6</f>
        <v>0.85916870415647917</v>
      </c>
      <c r="DV6" s="132">
        <f>IS!DS6</f>
        <v>1.1714146579011444</v>
      </c>
      <c r="DW6" s="132">
        <f ca="1">IS!DT6</f>
        <v>1.1606189746252034</v>
      </c>
      <c r="DX6" s="132">
        <f ca="1">IS!DU6</f>
        <v>1.2111746666504053</v>
      </c>
      <c r="DY6" s="132">
        <f ca="1">IS!DV6</f>
        <v>1.0018026868648913</v>
      </c>
      <c r="DZ6" s="1041"/>
    </row>
    <row r="7" spans="1:136" hidden="1" outlineLevel="1">
      <c r="A7" s="133" t="s">
        <v>1213</v>
      </c>
      <c r="B7" s="237"/>
      <c r="C7" s="237"/>
      <c r="D7" s="238"/>
      <c r="E7" s="238"/>
      <c r="F7" s="239">
        <v>0.12184873949579833</v>
      </c>
      <c r="G7" s="239">
        <v>6.367041198501866E-2</v>
      </c>
      <c r="H7" s="239">
        <v>2.4647887323943518E-2</v>
      </c>
      <c r="I7" s="239">
        <v>3.0927835051546504E-2</v>
      </c>
      <c r="J7" s="239">
        <v>1.9999999999999796E-2</v>
      </c>
      <c r="K7" s="239">
        <v>-0.15359477124182996</v>
      </c>
      <c r="L7" s="239">
        <v>-3.8610038610038422E-2</v>
      </c>
      <c r="M7" s="239">
        <v>-0.59839357429718887</v>
      </c>
      <c r="N7" s="239">
        <f>IS!N7</f>
        <v>1.6099999999999999</v>
      </c>
      <c r="O7" s="239">
        <f>IS!O7</f>
        <v>-8.5573444477578642E-2</v>
      </c>
      <c r="P7" s="239">
        <f>IS!P7</f>
        <v>6.3510698408052235E-2</v>
      </c>
      <c r="Q7" s="239" t="str">
        <f>IS!Q7</f>
        <v>na</v>
      </c>
      <c r="R7" s="239">
        <f>IS!R7</f>
        <v>8.5550906444832986E-2</v>
      </c>
      <c r="S7" s="239">
        <f>IS!S7</f>
        <v>3.6942150553114672E-2</v>
      </c>
      <c r="T7" s="239">
        <f>IS!T7</f>
        <v>3.3010302655364976E-2</v>
      </c>
      <c r="U7" s="239">
        <f>IS!U7</f>
        <v>0.26821197866996083</v>
      </c>
      <c r="V7" s="239">
        <f>IS!V7</f>
        <v>0.20951665223062776</v>
      </c>
      <c r="W7" s="239">
        <f>IS!W7</f>
        <v>1.0845036780645856E-2</v>
      </c>
      <c r="X7" s="239">
        <f>IS!X7</f>
        <v>8.4428937946140037E-2</v>
      </c>
      <c r="Y7" s="239">
        <f>IS!Y7</f>
        <v>-1.1075775056962334E-3</v>
      </c>
      <c r="Z7" s="239">
        <f ca="1">IS!Z7</f>
        <v>0.21599471389402725</v>
      </c>
      <c r="AA7" s="239">
        <f ca="1">IS!AA7</f>
        <v>4.1663323025529442E-2</v>
      </c>
      <c r="AB7" s="239">
        <f ca="1">IS!AB7</f>
        <v>4.5497108841304534E-2</v>
      </c>
      <c r="AC7" s="239">
        <f ca="1">IS!AC7</f>
        <v>4.2331968049131863E-2</v>
      </c>
      <c r="AD7" s="239">
        <f ca="1">IS!AD7</f>
        <v>4.4497484833543322E-2</v>
      </c>
      <c r="AE7" s="239">
        <f ca="1">IS!AE7</f>
        <v>4.5332140605732318E-2</v>
      </c>
      <c r="AF7" s="239">
        <f ca="1">IS!AF7</f>
        <v>4.6206531348175206E-2</v>
      </c>
      <c r="AG7" s="239">
        <f ca="1">IS!AG7</f>
        <v>4.593144797369475E-2</v>
      </c>
      <c r="AH7" s="1235"/>
      <c r="AI7" s="240"/>
      <c r="AJ7" s="240"/>
      <c r="AK7" s="240"/>
      <c r="AL7" s="240"/>
      <c r="AM7" s="240"/>
      <c r="AN7" s="240"/>
      <c r="AO7" s="240"/>
      <c r="AP7" s="238"/>
      <c r="AQ7" s="238"/>
      <c r="AR7" s="238"/>
      <c r="AS7" s="238"/>
      <c r="AT7" s="238">
        <v>8.6206896551724199E-2</v>
      </c>
      <c r="AU7" s="238">
        <v>6.7796610169491567E-2</v>
      </c>
      <c r="AV7" s="238">
        <v>9.375E-2</v>
      </c>
      <c r="AW7" s="238">
        <v>0.26315789473684226</v>
      </c>
      <c r="AX7" s="239">
        <v>0.11111111111111094</v>
      </c>
      <c r="AY7" s="239">
        <v>6.3492063492063489E-2</v>
      </c>
      <c r="AZ7" s="239">
        <v>2.8571428571428692E-2</v>
      </c>
      <c r="BA7" s="239">
        <v>4.1666666666666741E-2</v>
      </c>
      <c r="BB7" s="239">
        <v>-1.4285714285714346E-2</v>
      </c>
      <c r="BC7" s="239">
        <v>7.4626865671641784E-2</v>
      </c>
      <c r="BD7" s="239">
        <v>1.388888888888884E-2</v>
      </c>
      <c r="BE7" s="239">
        <v>2.6666666666666616E-2</v>
      </c>
      <c r="BF7" s="239">
        <v>4.3478260869565188E-2</v>
      </c>
      <c r="BG7" s="239">
        <v>6.944444444444442E-2</v>
      </c>
      <c r="BH7" s="239">
        <v>2.7397260273972712E-2</v>
      </c>
      <c r="BI7" s="239">
        <v>0</v>
      </c>
      <c r="BJ7" s="239">
        <v>0</v>
      </c>
      <c r="BK7" s="239">
        <v>0</v>
      </c>
      <c r="BL7" s="239">
        <v>2.6666666666666616E-2</v>
      </c>
      <c r="BM7" s="239">
        <v>3.8961038961039085E-2</v>
      </c>
      <c r="BN7" s="239"/>
      <c r="BO7" s="239"/>
      <c r="BP7" s="239"/>
      <c r="BQ7" s="239"/>
      <c r="BR7" s="241">
        <v>-0.15545775739168177</v>
      </c>
      <c r="BS7" s="239">
        <v>-5.7289417415393173E-2</v>
      </c>
      <c r="BT7" s="239">
        <v>3.6948066803935031E-2</v>
      </c>
      <c r="BU7" s="239">
        <v>0.1254668729919024</v>
      </c>
      <c r="BV7" s="241">
        <v>4.9338350314970691E-2</v>
      </c>
      <c r="BW7" s="239">
        <v>-2.3883821078436229E-2</v>
      </c>
      <c r="BX7" s="239">
        <v>-1.3843340634760004E-2</v>
      </c>
      <c r="BY7" s="239">
        <v>-4.7887593494302383E-2</v>
      </c>
      <c r="BZ7" s="241">
        <f>IS!BW7</f>
        <v>0.12061072722749944</v>
      </c>
      <c r="CA7" s="239">
        <f>IS!BX7</f>
        <v>3.731872987703122E-2</v>
      </c>
      <c r="CB7" s="239">
        <f>IS!BY7</f>
        <v>7.4355068635477473E-2</v>
      </c>
      <c r="CC7" s="239">
        <f>IS!BZ7</f>
        <v>1.2949640287769792E-2</v>
      </c>
      <c r="CD7" s="241">
        <f>IS!CA7</f>
        <v>-0.17082769433929157</v>
      </c>
      <c r="CE7" s="239">
        <f>IS!CB7</f>
        <v>-8.5598407471488946E-2</v>
      </c>
      <c r="CF7" s="239">
        <f>IS!CC7</f>
        <v>-8.1674085107120042E-2</v>
      </c>
      <c r="CG7" s="239">
        <f>IS!CD7</f>
        <v>-3.732513896374634E-3</v>
      </c>
      <c r="CH7" s="241">
        <f>IS!CE7</f>
        <v>8.5247379522264577E-2</v>
      </c>
      <c r="CI7" s="239">
        <f>IS!CF7</f>
        <v>0.14199929849175752</v>
      </c>
      <c r="CJ7" s="239">
        <f>IS!CG7</f>
        <v>4.7990342638684291E-2</v>
      </c>
      <c r="CK7" s="239">
        <f>IS!CH7</f>
        <v>-1.4950040117234775E-2</v>
      </c>
      <c r="CL7" s="241" t="str">
        <f>IS!CI7</f>
        <v>na</v>
      </c>
      <c r="CM7" s="239" t="str">
        <f>IS!CJ7</f>
        <v>na</v>
      </c>
      <c r="CN7" s="239" t="str">
        <f>IS!CK7</f>
        <v>na</v>
      </c>
      <c r="CO7" s="239" t="str">
        <f>IS!CL7</f>
        <v>na</v>
      </c>
      <c r="CP7" s="241">
        <f>IS!CM7</f>
        <v>6.2117786675279785E-3</v>
      </c>
      <c r="CQ7" s="239">
        <f>IS!CN7</f>
        <v>-2.6333513666051411E-3</v>
      </c>
      <c r="CR7" s="239">
        <f>IS!CO7</f>
        <v>0.13657068308360865</v>
      </c>
      <c r="CS7" s="239">
        <f>IS!CP7</f>
        <v>0.21756327492904082</v>
      </c>
      <c r="CT7" s="241">
        <f>IS!CQ7</f>
        <v>6.6759394123674154E-2</v>
      </c>
      <c r="CU7" s="239">
        <f>IS!CR7</f>
        <v>0.10816940546942599</v>
      </c>
      <c r="CV7" s="239">
        <f>IS!CS7</f>
        <v>2.2077890161758873E-2</v>
      </c>
      <c r="CW7" s="242">
        <f>IS!CT7</f>
        <v>-4.2169523723848523E-2</v>
      </c>
      <c r="CX7" s="239">
        <f>IS!CU7</f>
        <v>0.16463750627525764</v>
      </c>
      <c r="CY7" s="239">
        <f>IS!CV7</f>
        <v>0.10739527025267104</v>
      </c>
      <c r="CZ7" s="239">
        <f>IS!CW7</f>
        <v>0.13888841855495571</v>
      </c>
      <c r="DA7" s="239">
        <f>IS!CX7</f>
        <v>-0.27973816154321052</v>
      </c>
      <c r="DB7" s="241">
        <f>IS!CY7</f>
        <v>0.14258911646664418</v>
      </c>
      <c r="DC7" s="239">
        <f>IS!CZ7</f>
        <v>0.15596852912418302</v>
      </c>
      <c r="DD7" s="239">
        <f>IS!DA7</f>
        <v>0.20450267581853732</v>
      </c>
      <c r="DE7" s="239">
        <f>IS!DB7</f>
        <v>0.74586759550260284</v>
      </c>
      <c r="DF7" s="241">
        <f>IS!DC7</f>
        <v>0.34426627372800556</v>
      </c>
      <c r="DG7" s="239">
        <f>IS!DD7</f>
        <v>0.24571813454269931</v>
      </c>
      <c r="DH7" s="239">
        <f>IS!DE7</f>
        <v>0.15895413176905215</v>
      </c>
      <c r="DI7" s="242">
        <f>IS!DF7</f>
        <v>9.7002083106632275E-2</v>
      </c>
      <c r="DJ7" s="241">
        <f>IS!DG7</f>
        <v>-2.3866657936058577E-2</v>
      </c>
      <c r="DK7" s="239">
        <f>IS!DH7</f>
        <v>-6.4555299413675549E-3</v>
      </c>
      <c r="DL7" s="239">
        <f>IS!DI7</f>
        <v>2.4417079842935285E-2</v>
      </c>
      <c r="DM7" s="242">
        <f>IS!DJ7</f>
        <v>5.6270140867866525E-2</v>
      </c>
      <c r="DN7" s="242">
        <f>IS!DK7</f>
        <v>4.6053998546177644E-2</v>
      </c>
      <c r="DO7" s="242">
        <f>IS!DL7</f>
        <v>4.6688382193268207E-2</v>
      </c>
      <c r="DP7" s="242">
        <f>IS!DM7</f>
        <v>0.1084274999682624</v>
      </c>
      <c r="DQ7" s="242">
        <f>IS!DN7</f>
        <v>0.14033441469063179</v>
      </c>
      <c r="DR7" s="242">
        <f>IS!DO7</f>
        <v>1.6279384894729576E-2</v>
      </c>
      <c r="DS7" s="242">
        <f>IS!DP7</f>
        <v>1.3192215190259482E-2</v>
      </c>
      <c r="DT7" s="242">
        <f>IS!DQ7</f>
        <v>-3.1763779914372514E-2</v>
      </c>
      <c r="DU7" s="242">
        <f>IS!DR7</f>
        <v>4.0526891382630659E-4</v>
      </c>
      <c r="DV7" s="242">
        <f>IS!DS7</f>
        <v>0.23934033311984915</v>
      </c>
      <c r="DW7" s="242">
        <f ca="1">IS!DT7</f>
        <v>0.2135365405789138</v>
      </c>
      <c r="DX7" s="242">
        <f ca="1">IS!DU7</f>
        <v>0.23998327790022711</v>
      </c>
      <c r="DY7" s="242">
        <f ca="1">IS!DV7</f>
        <v>0.16601394117171475</v>
      </c>
      <c r="DZ7" s="1045"/>
    </row>
    <row r="8" spans="1:136" hidden="1" outlineLevel="1">
      <c r="A8" s="87"/>
      <c r="B8" s="87"/>
      <c r="C8" s="87"/>
      <c r="D8" s="87"/>
      <c r="E8" s="87"/>
      <c r="F8" s="87"/>
      <c r="G8" s="87"/>
      <c r="H8" s="87"/>
      <c r="I8" s="87"/>
      <c r="J8" s="87"/>
      <c r="K8" s="87"/>
      <c r="L8" s="87"/>
      <c r="M8" s="87"/>
      <c r="N8" s="87"/>
      <c r="O8" s="107"/>
      <c r="P8" s="107"/>
      <c r="Q8" s="107"/>
      <c r="R8" s="107"/>
      <c r="S8" s="107"/>
      <c r="T8" s="107"/>
      <c r="U8" s="87"/>
      <c r="V8" s="87"/>
      <c r="W8" s="87"/>
      <c r="X8" s="87"/>
      <c r="Y8" s="87"/>
      <c r="Z8" s="87"/>
      <c r="AA8" s="87"/>
      <c r="AB8" s="87"/>
      <c r="AC8" s="87"/>
      <c r="AD8" s="87"/>
      <c r="AE8" s="87"/>
      <c r="AF8" s="87"/>
      <c r="AG8" s="87"/>
      <c r="AH8" s="1262"/>
      <c r="AI8" s="123"/>
      <c r="AJ8" s="123"/>
      <c r="AK8" s="123"/>
      <c r="AL8" s="123"/>
      <c r="AM8" s="123"/>
      <c r="AN8" s="123"/>
      <c r="AO8" s="123"/>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8"/>
      <c r="BS8" s="87"/>
      <c r="BT8" s="87"/>
      <c r="BU8" s="87"/>
      <c r="BV8" s="88"/>
      <c r="BW8" s="87"/>
      <c r="BX8" s="87"/>
      <c r="BY8" s="87"/>
      <c r="BZ8" s="88"/>
      <c r="CA8" s="87"/>
      <c r="CB8" s="87"/>
      <c r="CC8" s="87"/>
      <c r="CD8" s="88"/>
      <c r="CE8" s="87"/>
      <c r="CF8" s="87"/>
      <c r="CG8" s="87"/>
      <c r="CH8" s="88"/>
      <c r="CI8" s="87"/>
      <c r="CJ8" s="87"/>
      <c r="CK8" s="87"/>
      <c r="CL8" s="88"/>
      <c r="CM8" s="87"/>
      <c r="CN8" s="87"/>
      <c r="CO8" s="87"/>
      <c r="CP8" s="88"/>
      <c r="CQ8" s="87"/>
      <c r="CR8" s="87"/>
      <c r="CS8" s="87"/>
      <c r="CT8" s="88"/>
      <c r="CU8" s="87"/>
      <c r="CV8" s="87"/>
      <c r="CW8" s="144"/>
      <c r="CX8" s="87"/>
      <c r="CY8" s="87"/>
      <c r="CZ8" s="87"/>
      <c r="DA8" s="87"/>
      <c r="DB8" s="88"/>
      <c r="DC8" s="87"/>
      <c r="DD8" s="87"/>
      <c r="DE8" s="87"/>
      <c r="DF8" s="88"/>
      <c r="DG8" s="1041"/>
      <c r="DH8" s="1041"/>
      <c r="DI8" s="144"/>
      <c r="DJ8" s="88"/>
      <c r="DK8" s="1041"/>
      <c r="DL8" s="1041"/>
      <c r="DM8" s="144"/>
      <c r="DN8" s="144"/>
      <c r="DO8" s="144"/>
      <c r="DP8" s="144"/>
      <c r="DQ8" s="144"/>
      <c r="DR8" s="144"/>
      <c r="DS8" s="144"/>
      <c r="DT8" s="144"/>
      <c r="DU8" s="144"/>
      <c r="DV8" s="144"/>
      <c r="DW8" s="144"/>
      <c r="DX8" s="144"/>
      <c r="DY8" s="144"/>
      <c r="DZ8" s="1041"/>
    </row>
    <row r="9" spans="1:136" hidden="1" outlineLevel="1">
      <c r="A9" s="139" t="s">
        <v>1214</v>
      </c>
      <c r="B9" s="140"/>
      <c r="C9" s="140"/>
      <c r="D9" s="140"/>
      <c r="E9" s="140"/>
      <c r="F9" s="140"/>
      <c r="G9" s="140"/>
      <c r="H9" s="140"/>
      <c r="I9" s="140"/>
      <c r="J9" s="140"/>
      <c r="K9" s="140"/>
      <c r="L9" s="140"/>
      <c r="M9" s="140"/>
      <c r="N9" s="244">
        <f t="shared" ref="N9:Z9" si="0">N5</f>
        <v>2006</v>
      </c>
      <c r="O9" s="244">
        <f t="shared" si="0"/>
        <v>2007</v>
      </c>
      <c r="P9" s="244">
        <f t="shared" si="0"/>
        <v>2008</v>
      </c>
      <c r="Q9" s="244">
        <f t="shared" si="0"/>
        <v>2009</v>
      </c>
      <c r="R9" s="244">
        <f t="shared" si="0"/>
        <v>2010</v>
      </c>
      <c r="S9" s="244">
        <f t="shared" si="0"/>
        <v>2011</v>
      </c>
      <c r="T9" s="244">
        <f t="shared" si="0"/>
        <v>2012</v>
      </c>
      <c r="U9" s="244">
        <f t="shared" si="0"/>
        <v>2013</v>
      </c>
      <c r="V9" s="244" t="str">
        <f t="shared" si="0"/>
        <v>2014</v>
      </c>
      <c r="W9" s="244" t="str">
        <f>W5</f>
        <v>2015</v>
      </c>
      <c r="X9" s="244" t="str">
        <f t="shared" si="0"/>
        <v>2016</v>
      </c>
      <c r="Y9" s="244" t="str">
        <f t="shared" si="0"/>
        <v>2017</v>
      </c>
      <c r="Z9" s="244" t="str">
        <f t="shared" si="0"/>
        <v>2018E</v>
      </c>
      <c r="AA9" s="244" t="str">
        <f>AA5</f>
        <v>2019E</v>
      </c>
      <c r="AB9" s="244" t="str">
        <f>AB5</f>
        <v>2020E</v>
      </c>
      <c r="AC9" s="244" t="str">
        <f t="shared" ref="AC9:AG9" si="1">AC5</f>
        <v>2021E</v>
      </c>
      <c r="AD9" s="244" t="str">
        <f t="shared" si="1"/>
        <v>2022E</v>
      </c>
      <c r="AE9" s="244" t="str">
        <f t="shared" si="1"/>
        <v>2023E</v>
      </c>
      <c r="AF9" s="244" t="str">
        <f t="shared" si="1"/>
        <v>2024E</v>
      </c>
      <c r="AG9" s="244" t="str">
        <f t="shared" si="1"/>
        <v>2025E</v>
      </c>
      <c r="AH9" s="1262"/>
      <c r="AI9" s="123"/>
      <c r="AJ9" s="123"/>
      <c r="AK9" s="123"/>
      <c r="AL9" s="123"/>
      <c r="AM9" s="123"/>
      <c r="AN9" s="123"/>
      <c r="AO9" s="123"/>
      <c r="AP9" s="140"/>
      <c r="AQ9" s="140"/>
      <c r="AR9" s="140"/>
      <c r="AS9" s="140"/>
      <c r="AT9" s="140"/>
      <c r="AU9" s="140"/>
      <c r="AV9" s="140"/>
      <c r="AW9" s="140"/>
      <c r="AX9" s="140"/>
      <c r="AY9" s="140"/>
      <c r="AZ9" s="140"/>
      <c r="BA9" s="140"/>
      <c r="BB9" s="140"/>
      <c r="BC9" s="140"/>
      <c r="BD9" s="140"/>
      <c r="BE9" s="140"/>
      <c r="BF9" s="140"/>
      <c r="BG9" s="140"/>
      <c r="BH9" s="140"/>
      <c r="BI9" s="140"/>
      <c r="BJ9" s="140"/>
      <c r="BK9" s="140"/>
      <c r="BL9" s="140"/>
      <c r="BM9" s="140"/>
      <c r="BN9" s="140"/>
      <c r="BO9" s="140"/>
      <c r="BP9" s="140"/>
      <c r="BQ9" s="140"/>
      <c r="BR9" s="141"/>
      <c r="BS9" s="140"/>
      <c r="BT9" s="140"/>
      <c r="BU9" s="140"/>
      <c r="BV9" s="141"/>
      <c r="BW9" s="140"/>
      <c r="BX9" s="140"/>
      <c r="BY9" s="140"/>
      <c r="BZ9" s="244" t="str">
        <f t="shared" ref="BZ9:CS9" si="2">BZ5</f>
        <v>1Q06</v>
      </c>
      <c r="CA9" s="244" t="str">
        <f t="shared" si="2"/>
        <v>2Q06</v>
      </c>
      <c r="CB9" s="244" t="str">
        <f t="shared" si="2"/>
        <v>3Q06</v>
      </c>
      <c r="CC9" s="244" t="str">
        <f t="shared" si="2"/>
        <v>4Q06</v>
      </c>
      <c r="CD9" s="244" t="str">
        <f t="shared" si="2"/>
        <v>1Q07</v>
      </c>
      <c r="CE9" s="244" t="str">
        <f t="shared" si="2"/>
        <v>2Q07</v>
      </c>
      <c r="CF9" s="244" t="str">
        <f t="shared" si="2"/>
        <v>3Q07</v>
      </c>
      <c r="CG9" s="244" t="str">
        <f t="shared" si="2"/>
        <v>4Q07</v>
      </c>
      <c r="CH9" s="245" t="str">
        <f t="shared" si="2"/>
        <v>1Q08</v>
      </c>
      <c r="CI9" s="244" t="str">
        <f t="shared" si="2"/>
        <v>2Q08</v>
      </c>
      <c r="CJ9" s="244" t="str">
        <f t="shared" si="2"/>
        <v>3Q08</v>
      </c>
      <c r="CK9" s="244" t="str">
        <f t="shared" si="2"/>
        <v>4Q08</v>
      </c>
      <c r="CL9" s="245" t="str">
        <f t="shared" si="2"/>
        <v>1Q09</v>
      </c>
      <c r="CM9" s="244" t="str">
        <f t="shared" si="2"/>
        <v>2Q09</v>
      </c>
      <c r="CN9" s="244" t="str">
        <f t="shared" si="2"/>
        <v>3Q09</v>
      </c>
      <c r="CO9" s="244" t="str">
        <f t="shared" si="2"/>
        <v>4Q09</v>
      </c>
      <c r="CP9" s="245" t="str">
        <f t="shared" si="2"/>
        <v>1Q10</v>
      </c>
      <c r="CQ9" s="244" t="str">
        <f t="shared" si="2"/>
        <v>2Q10</v>
      </c>
      <c r="CR9" s="244" t="str">
        <f t="shared" si="2"/>
        <v>3Q10</v>
      </c>
      <c r="CS9" s="244" t="str">
        <f t="shared" si="2"/>
        <v>4Q10</v>
      </c>
      <c r="CT9" s="245"/>
      <c r="CU9" s="244"/>
      <c r="CV9" s="244"/>
      <c r="CW9" s="246"/>
      <c r="CX9" s="244"/>
      <c r="CY9" s="244"/>
      <c r="CZ9" s="244"/>
      <c r="DA9" s="244"/>
      <c r="DB9" s="245"/>
      <c r="DC9" s="244"/>
      <c r="DD9" s="244"/>
      <c r="DE9" s="244"/>
      <c r="DF9" s="245"/>
      <c r="DG9" s="1092"/>
      <c r="DH9" s="1092"/>
      <c r="DI9" s="246"/>
      <c r="DJ9" s="245"/>
      <c r="DK9" s="1092"/>
      <c r="DL9" s="1092"/>
      <c r="DM9" s="246"/>
      <c r="DN9" s="246"/>
      <c r="DO9" s="246"/>
      <c r="DP9" s="246"/>
      <c r="DQ9" s="246"/>
      <c r="DR9" s="246"/>
      <c r="DS9" s="246"/>
      <c r="DT9" s="246"/>
      <c r="DU9" s="246"/>
      <c r="DV9" s="246"/>
      <c r="DW9" s="246"/>
      <c r="DX9" s="246"/>
      <c r="DY9" s="246"/>
      <c r="DZ9" s="1047"/>
    </row>
    <row r="10" spans="1:136" ht="10.5" customHeight="1" collapsed="1">
      <c r="A10" s="87"/>
      <c r="B10" s="87"/>
      <c r="C10" s="87"/>
      <c r="D10" s="87"/>
      <c r="E10" s="143"/>
      <c r="F10" s="143"/>
      <c r="G10" s="143"/>
      <c r="H10" s="143"/>
      <c r="I10" s="143"/>
      <c r="J10" s="143"/>
      <c r="K10" s="143"/>
      <c r="L10" s="143"/>
      <c r="M10" s="143"/>
      <c r="N10" s="143"/>
      <c r="O10" s="143"/>
      <c r="P10" s="143"/>
      <c r="Q10" s="143"/>
      <c r="R10" s="143"/>
      <c r="S10" s="143"/>
      <c r="T10" s="143"/>
      <c r="U10" s="143"/>
      <c r="V10" s="143"/>
      <c r="W10" s="143"/>
      <c r="X10" s="143"/>
      <c r="Y10" s="143"/>
      <c r="Z10" s="143"/>
      <c r="AA10" s="143"/>
      <c r="AB10" s="143"/>
      <c r="AC10" s="143"/>
      <c r="AD10" s="143"/>
      <c r="AE10" s="143"/>
      <c r="AF10" s="143"/>
      <c r="AG10" s="143"/>
      <c r="AH10" s="1262"/>
      <c r="AI10" s="123"/>
      <c r="AJ10" s="123"/>
      <c r="AK10" s="123"/>
      <c r="AL10" s="123"/>
      <c r="AM10" s="123"/>
      <c r="AN10" s="123"/>
      <c r="AO10" s="123"/>
      <c r="AP10" s="143"/>
      <c r="AQ10" s="143"/>
      <c r="AR10" s="143"/>
      <c r="AS10" s="143"/>
      <c r="AT10" s="143"/>
      <c r="AU10" s="143"/>
      <c r="AV10" s="143"/>
      <c r="AW10" s="143"/>
      <c r="AX10" s="143"/>
      <c r="AY10" s="143"/>
      <c r="AZ10" s="143"/>
      <c r="BA10" s="143"/>
      <c r="BB10" s="143"/>
      <c r="BC10" s="143"/>
      <c r="BD10" s="143"/>
      <c r="BE10" s="143"/>
      <c r="BF10" s="143"/>
      <c r="BG10" s="143"/>
      <c r="BH10" s="143"/>
      <c r="BI10" s="143"/>
      <c r="BJ10" s="143"/>
      <c r="BK10" s="143"/>
      <c r="BL10" s="143"/>
      <c r="BM10" s="143"/>
      <c r="BN10" s="143"/>
      <c r="BO10" s="143"/>
      <c r="BP10" s="143"/>
      <c r="BQ10" s="143"/>
      <c r="BR10" s="159"/>
      <c r="BS10" s="143"/>
      <c r="BT10" s="143"/>
      <c r="BU10" s="143"/>
      <c r="BV10" s="159"/>
      <c r="BW10" s="143"/>
      <c r="BX10" s="143"/>
      <c r="BY10" s="143"/>
      <c r="BZ10" s="159"/>
      <c r="CA10" s="143"/>
      <c r="CB10" s="143"/>
      <c r="CC10" s="143"/>
      <c r="CD10" s="159"/>
      <c r="CE10" s="143"/>
      <c r="CF10" s="143"/>
      <c r="CG10" s="143"/>
      <c r="CH10" s="159"/>
      <c r="CI10" s="143"/>
      <c r="CJ10" s="143"/>
      <c r="CK10" s="143"/>
      <c r="CL10" s="159"/>
      <c r="CM10" s="143"/>
      <c r="CN10" s="143"/>
      <c r="CO10" s="143"/>
      <c r="CP10" s="159"/>
      <c r="CQ10" s="143"/>
      <c r="CR10" s="143"/>
      <c r="CS10" s="143"/>
      <c r="CT10" s="159"/>
      <c r="CU10" s="143"/>
      <c r="CV10" s="143"/>
      <c r="CW10" s="189"/>
      <c r="CX10" s="143"/>
      <c r="CY10" s="143"/>
      <c r="CZ10" s="143"/>
      <c r="DA10" s="143"/>
      <c r="DB10" s="159"/>
      <c r="DC10" s="143"/>
      <c r="DD10" s="143"/>
      <c r="DE10" s="143"/>
      <c r="DF10" s="159"/>
      <c r="DG10" s="1047"/>
      <c r="DH10" s="1047"/>
      <c r="DI10" s="189"/>
      <c r="DJ10" s="159"/>
      <c r="DK10" s="1047"/>
      <c r="DL10" s="1047"/>
      <c r="DM10" s="189"/>
      <c r="DN10" s="159"/>
      <c r="DO10" s="1047"/>
      <c r="DP10" s="1047"/>
      <c r="DQ10" s="189"/>
      <c r="DR10" s="1047"/>
      <c r="DS10" s="1047"/>
      <c r="DT10" s="1047"/>
      <c r="DU10" s="1047"/>
      <c r="DV10" s="1047"/>
      <c r="DW10" s="1047"/>
      <c r="DX10" s="1047"/>
      <c r="DY10" s="189"/>
      <c r="DZ10" s="1041"/>
    </row>
    <row r="11" spans="1:136">
      <c r="A11" s="91" t="s">
        <v>1215</v>
      </c>
      <c r="B11" s="87"/>
      <c r="C11" s="87"/>
      <c r="D11" s="87"/>
      <c r="E11" s="143"/>
      <c r="F11" s="143"/>
      <c r="G11" s="143"/>
      <c r="H11" s="143"/>
      <c r="I11" s="143"/>
      <c r="J11" s="143"/>
      <c r="K11" s="143"/>
      <c r="L11" s="143"/>
      <c r="M11" s="143"/>
      <c r="N11" s="143"/>
      <c r="O11" s="143"/>
      <c r="P11" s="143"/>
      <c r="Q11" s="143"/>
      <c r="R11" s="143"/>
      <c r="S11" s="143"/>
      <c r="T11" s="143"/>
      <c r="U11" s="143"/>
      <c r="V11" s="143"/>
      <c r="W11" s="143"/>
      <c r="X11" s="143"/>
      <c r="Y11" s="143"/>
      <c r="Z11" s="143"/>
      <c r="AA11" s="143"/>
      <c r="AB11" s="143"/>
      <c r="AC11" s="143"/>
      <c r="AD11" s="143"/>
      <c r="AE11" s="143"/>
      <c r="AF11" s="143"/>
      <c r="AG11" s="143"/>
      <c r="AH11" s="1262"/>
      <c r="AI11" s="123"/>
      <c r="AJ11" s="123"/>
      <c r="AK11" s="123"/>
      <c r="AL11" s="123"/>
      <c r="AM11" s="123"/>
      <c r="AN11" s="123"/>
      <c r="AO11" s="123"/>
      <c r="AP11" s="143"/>
      <c r="AQ11" s="143"/>
      <c r="AR11" s="143"/>
      <c r="AS11" s="143"/>
      <c r="AT11" s="143"/>
      <c r="AU11" s="143"/>
      <c r="AV11" s="143"/>
      <c r="AW11" s="143"/>
      <c r="AX11" s="143"/>
      <c r="AY11" s="143"/>
      <c r="AZ11" s="143"/>
      <c r="BA11" s="143"/>
      <c r="BB11" s="143"/>
      <c r="BC11" s="143"/>
      <c r="BD11" s="143"/>
      <c r="BE11" s="143"/>
      <c r="BF11" s="143"/>
      <c r="BG11" s="143"/>
      <c r="BH11" s="143"/>
      <c r="BI11" s="143"/>
      <c r="BJ11" s="143"/>
      <c r="BK11" s="143"/>
      <c r="BL11" s="143"/>
      <c r="BM11" s="143"/>
      <c r="BN11" s="143"/>
      <c r="BO11" s="143"/>
      <c r="BP11" s="143"/>
      <c r="BQ11" s="143"/>
      <c r="BR11" s="159"/>
      <c r="BS11" s="143"/>
      <c r="BT11" s="143"/>
      <c r="BU11" s="143"/>
      <c r="BV11" s="159"/>
      <c r="BW11" s="143"/>
      <c r="BX11" s="143"/>
      <c r="BY11" s="143"/>
      <c r="BZ11" s="159"/>
      <c r="CA11" s="143"/>
      <c r="CB11" s="143"/>
      <c r="CC11" s="143"/>
      <c r="CD11" s="159"/>
      <c r="CE11" s="143"/>
      <c r="CF11" s="143"/>
      <c r="CG11" s="143"/>
      <c r="CH11" s="159"/>
      <c r="CI11" s="143"/>
      <c r="CJ11" s="143"/>
      <c r="CK11" s="143"/>
      <c r="CL11" s="159"/>
      <c r="CM11" s="143"/>
      <c r="CN11" s="143"/>
      <c r="CO11" s="143"/>
      <c r="CP11" s="159"/>
      <c r="CQ11" s="143"/>
      <c r="CR11" s="143"/>
      <c r="CS11" s="143"/>
      <c r="CT11" s="159"/>
      <c r="CU11" s="143"/>
      <c r="CV11" s="143"/>
      <c r="CW11" s="189"/>
      <c r="CX11" s="143"/>
      <c r="CY11" s="143"/>
      <c r="CZ11" s="143"/>
      <c r="DA11" s="143"/>
      <c r="DB11" s="159"/>
      <c r="DC11" s="143"/>
      <c r="DD11" s="143"/>
      <c r="DE11" s="143"/>
      <c r="DF11" s="159"/>
      <c r="DG11" s="1047"/>
      <c r="DH11" s="1047"/>
      <c r="DI11" s="189"/>
      <c r="DJ11" s="159"/>
      <c r="DK11" s="1047"/>
      <c r="DL11" s="1047"/>
      <c r="DM11" s="189"/>
      <c r="DN11" s="159"/>
      <c r="DO11" s="1047"/>
      <c r="DP11" s="1047"/>
      <c r="DQ11" s="189"/>
      <c r="DR11" s="1047"/>
      <c r="DS11" s="1047"/>
      <c r="DT11" s="1047"/>
      <c r="DU11" s="1047"/>
      <c r="DV11" s="1047"/>
      <c r="DW11" s="1047"/>
      <c r="DX11" s="1047"/>
      <c r="DY11" s="189"/>
      <c r="DZ11" s="1041"/>
    </row>
    <row r="12" spans="1:136">
      <c r="A12" s="91" t="s">
        <v>1216</v>
      </c>
      <c r="B12" s="87"/>
      <c r="C12" s="87"/>
      <c r="D12" s="87"/>
      <c r="E12" s="143"/>
      <c r="F12" s="87"/>
      <c r="G12" s="143"/>
      <c r="H12" s="143"/>
      <c r="I12" s="143"/>
      <c r="J12" s="143"/>
      <c r="K12" s="143"/>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262"/>
      <c r="AI12" s="123"/>
      <c r="AJ12" s="123"/>
      <c r="AK12" s="123"/>
      <c r="AL12" s="123"/>
      <c r="AM12" s="123"/>
      <c r="AN12" s="123"/>
      <c r="AO12" s="123"/>
      <c r="AP12" s="143"/>
      <c r="AQ12" s="143"/>
      <c r="AR12" s="143"/>
      <c r="AS12" s="143"/>
      <c r="AT12" s="143"/>
      <c r="AU12" s="143"/>
      <c r="AV12" s="143"/>
      <c r="AW12" s="143"/>
      <c r="AX12" s="143"/>
      <c r="AY12" s="143"/>
      <c r="AZ12" s="143"/>
      <c r="BA12" s="143"/>
      <c r="BB12" s="143"/>
      <c r="BC12" s="143"/>
      <c r="BD12" s="143"/>
      <c r="BE12" s="143"/>
      <c r="BF12" s="143"/>
      <c r="BG12" s="143"/>
      <c r="BH12" s="143"/>
      <c r="BI12" s="143"/>
      <c r="BJ12" s="143"/>
      <c r="BK12" s="143"/>
      <c r="BL12" s="143"/>
      <c r="BM12" s="143"/>
      <c r="BN12" s="143"/>
      <c r="BO12" s="143"/>
      <c r="BP12" s="143"/>
      <c r="BQ12" s="143"/>
      <c r="BR12" s="159"/>
      <c r="BS12" s="143"/>
      <c r="BT12" s="143"/>
      <c r="BU12" s="143"/>
      <c r="BV12" s="159"/>
      <c r="BW12" s="143"/>
      <c r="BX12" s="143"/>
      <c r="BY12" s="143"/>
      <c r="BZ12" s="159"/>
      <c r="CA12" s="143"/>
      <c r="CB12" s="143"/>
      <c r="CC12" s="143"/>
      <c r="CD12" s="159"/>
      <c r="CE12" s="143"/>
      <c r="CF12" s="143"/>
      <c r="CG12" s="143"/>
      <c r="CH12" s="159"/>
      <c r="CI12" s="143"/>
      <c r="CJ12" s="143"/>
      <c r="CK12" s="143"/>
      <c r="CL12" s="159"/>
      <c r="CM12" s="143"/>
      <c r="CN12" s="143"/>
      <c r="CO12" s="143"/>
      <c r="CP12" s="159"/>
      <c r="CQ12" s="143"/>
      <c r="CR12" s="143"/>
      <c r="CS12" s="143"/>
      <c r="CT12" s="159"/>
      <c r="CU12" s="143"/>
      <c r="CV12" s="143"/>
      <c r="CW12" s="189"/>
      <c r="CX12" s="143"/>
      <c r="CY12" s="143"/>
      <c r="CZ12" s="143"/>
      <c r="DA12" s="143"/>
      <c r="DB12" s="159"/>
      <c r="DC12" s="143"/>
      <c r="DD12" s="143"/>
      <c r="DE12" s="143"/>
      <c r="DF12" s="159"/>
      <c r="DG12" s="1047"/>
      <c r="DH12" s="1047"/>
      <c r="DI12" s="189"/>
      <c r="DJ12" s="159"/>
      <c r="DK12" s="1047"/>
      <c r="DL12" s="1047"/>
      <c r="DM12" s="189"/>
      <c r="DN12" s="159"/>
      <c r="DO12" s="1047"/>
      <c r="DP12" s="1047"/>
      <c r="DQ12" s="189"/>
      <c r="DR12" s="1047"/>
      <c r="DS12" s="1047"/>
      <c r="DT12" s="1047"/>
      <c r="DU12" s="1047"/>
      <c r="DV12" s="1047"/>
      <c r="DW12" s="1047"/>
      <c r="DX12" s="1047"/>
      <c r="DY12" s="189"/>
      <c r="DZ12" s="1041"/>
    </row>
    <row r="13" spans="1:136">
      <c r="A13" s="102" t="s">
        <v>1217</v>
      </c>
      <c r="B13" s="87"/>
      <c r="C13" s="87"/>
      <c r="D13" s="87"/>
      <c r="E13" s="143"/>
      <c r="F13" s="143">
        <v>704</v>
      </c>
      <c r="G13" s="143">
        <v>2033</v>
      </c>
      <c r="H13" s="143">
        <v>757</v>
      </c>
      <c r="I13" s="143">
        <v>979</v>
      </c>
      <c r="J13" s="143">
        <v>1422</v>
      </c>
      <c r="K13" s="143">
        <v>669</v>
      </c>
      <c r="L13" s="143">
        <v>2290</v>
      </c>
      <c r="M13" s="143">
        <v>776</v>
      </c>
      <c r="N13" s="143">
        <f t="shared" ref="N13:N19" si="3">CC13</f>
        <v>3219</v>
      </c>
      <c r="O13" s="143">
        <f t="shared" ref="O13:O19" si="4">CG13</f>
        <v>1153</v>
      </c>
      <c r="P13" s="143">
        <f t="shared" ref="P13:P19" si="5">CK13</f>
        <v>9782</v>
      </c>
      <c r="Q13" s="143">
        <f>CO13</f>
        <v>2009</v>
      </c>
      <c r="R13" s="143">
        <f>+CS13</f>
        <v>6668</v>
      </c>
      <c r="S13" s="143">
        <f t="shared" ref="S13:S19" si="6">+CW13</f>
        <v>13362</v>
      </c>
      <c r="T13" s="143">
        <f t="shared" ref="T13:T19" si="7">+DA13</f>
        <v>3093</v>
      </c>
      <c r="U13" s="143">
        <f>+DE13</f>
        <v>53528</v>
      </c>
      <c r="V13" s="143">
        <f t="shared" ref="V13:V19" si="8">+DI13</f>
        <v>10598</v>
      </c>
      <c r="W13" s="143">
        <f t="shared" ref="W13:W19" si="9">+DM13</f>
        <v>4470</v>
      </c>
      <c r="X13" s="143">
        <f t="shared" ref="X13:X19" si="10">+DQ13</f>
        <v>2880</v>
      </c>
      <c r="Y13" s="143">
        <f t="shared" ref="Y13:Y19" si="11">+DU13</f>
        <v>2079</v>
      </c>
      <c r="Z13" s="143">
        <f t="shared" ref="Z13:Z19" ca="1" si="12">+DY13</f>
        <v>14249.415304106573</v>
      </c>
      <c r="AA13" s="2186">
        <f ca="1">CFS!AA61</f>
        <v>24324.818082855385</v>
      </c>
      <c r="AB13" s="2186">
        <f ca="1">CFS!AB61</f>
        <v>34824.959451097347</v>
      </c>
      <c r="AC13" s="2186">
        <f ca="1">CFS!AC61</f>
        <v>47188.348189268145</v>
      </c>
      <c r="AD13" s="2186">
        <f ca="1">CFS!AD61</f>
        <v>59915.402269472463</v>
      </c>
      <c r="AE13" s="2186">
        <f ca="1">CFS!AE61</f>
        <v>73058.653173041515</v>
      </c>
      <c r="AF13" s="2186">
        <f ca="1">CFS!AF61</f>
        <v>86672.80157704356</v>
      </c>
      <c r="AG13" s="2186">
        <f ca="1">CFS!AG61</f>
        <v>99525.935120029535</v>
      </c>
      <c r="AH13" s="1411"/>
      <c r="AI13" s="123"/>
      <c r="AJ13" s="123"/>
      <c r="AK13" s="123"/>
      <c r="AL13" s="123"/>
      <c r="AM13" s="123"/>
      <c r="AN13" s="123"/>
      <c r="AO13" s="123"/>
      <c r="AP13" s="143"/>
      <c r="AQ13" s="143"/>
      <c r="AR13" s="143"/>
      <c r="AS13" s="143"/>
      <c r="AT13" s="143"/>
      <c r="AU13" s="143"/>
      <c r="AV13" s="143"/>
      <c r="AW13" s="143"/>
      <c r="AX13" s="143"/>
      <c r="AY13" s="143"/>
      <c r="AZ13" s="143"/>
      <c r="BA13" s="143">
        <v>2033</v>
      </c>
      <c r="BB13" s="143"/>
      <c r="BC13" s="143">
        <v>1346</v>
      </c>
      <c r="BD13" s="143">
        <v>828</v>
      </c>
      <c r="BE13" s="143">
        <v>757</v>
      </c>
      <c r="BF13" s="143">
        <v>689</v>
      </c>
      <c r="BG13" s="143">
        <v>2616</v>
      </c>
      <c r="BH13" s="143">
        <v>1365</v>
      </c>
      <c r="BI13" s="143">
        <v>979</v>
      </c>
      <c r="BJ13" s="143">
        <v>1006</v>
      </c>
      <c r="BK13" s="143">
        <v>2941</v>
      </c>
      <c r="BL13" s="143">
        <v>5643</v>
      </c>
      <c r="BM13" s="143">
        <v>1422</v>
      </c>
      <c r="BN13" s="143">
        <v>4099</v>
      </c>
      <c r="BO13" s="143">
        <v>779</v>
      </c>
      <c r="BP13" s="143">
        <v>704</v>
      </c>
      <c r="BQ13" s="143">
        <v>669</v>
      </c>
      <c r="BR13" s="159">
        <v>575</v>
      </c>
      <c r="BS13" s="143">
        <v>583</v>
      </c>
      <c r="BT13" s="143">
        <v>616</v>
      </c>
      <c r="BU13" s="143">
        <v>2290</v>
      </c>
      <c r="BV13" s="159">
        <v>692</v>
      </c>
      <c r="BW13" s="143">
        <v>1405</v>
      </c>
      <c r="BX13" s="143">
        <v>616</v>
      </c>
      <c r="BY13" s="143">
        <v>776</v>
      </c>
      <c r="BZ13" s="159">
        <f>NormInputs!BP63</f>
        <v>1249</v>
      </c>
      <c r="CA13" s="143">
        <f>NormInputs!BQ63</f>
        <v>1186</v>
      </c>
      <c r="CB13" s="143">
        <f>NormInputs!BR63</f>
        <v>1846</v>
      </c>
      <c r="CC13" s="143">
        <f>NormInputs!BS63</f>
        <v>3219</v>
      </c>
      <c r="CD13" s="159">
        <f>NormInputs!BT63</f>
        <v>1301</v>
      </c>
      <c r="CE13" s="143">
        <f>NormInputs!BU63</f>
        <v>656</v>
      </c>
      <c r="CF13" s="143">
        <f>NormInputs!BV63</f>
        <v>715</v>
      </c>
      <c r="CG13" s="143">
        <f>NormInputs!BW63</f>
        <v>1153</v>
      </c>
      <c r="CH13" s="159">
        <f>NormInputs!BX63</f>
        <v>5485</v>
      </c>
      <c r="CI13" s="143">
        <f>NormInputs!BY63</f>
        <v>582</v>
      </c>
      <c r="CJ13" s="143">
        <f>NormInputs!BZ63</f>
        <v>696</v>
      </c>
      <c r="CK13" s="143">
        <f>NormInputs!CA63</f>
        <v>9782</v>
      </c>
      <c r="CL13" s="159">
        <f>NormInputs!CB63</f>
        <v>3979</v>
      </c>
      <c r="CM13" s="143">
        <f>NormInputs!CC63</f>
        <v>820</v>
      </c>
      <c r="CN13" s="143">
        <f>NormInputs!CD63</f>
        <v>1216</v>
      </c>
      <c r="CO13" s="143">
        <f>NormInputs!CE63</f>
        <v>2009</v>
      </c>
      <c r="CP13" s="159">
        <f>NormInputs!CF63</f>
        <v>3037</v>
      </c>
      <c r="CQ13" s="143">
        <f>NormInputs!CG63</f>
        <v>4761</v>
      </c>
      <c r="CR13" s="143">
        <f>NormInputs!CH63</f>
        <v>5394</v>
      </c>
      <c r="CS13" s="143">
        <f>NormInputs!CI63</f>
        <v>6668</v>
      </c>
      <c r="CT13" s="159">
        <f>NormInputs!CJ63</f>
        <v>14007</v>
      </c>
      <c r="CU13" s="143">
        <f>NormInputs!CK63</f>
        <v>6240</v>
      </c>
      <c r="CV13" s="143">
        <f>NormInputs!CL63</f>
        <v>10324</v>
      </c>
      <c r="CW13" s="189">
        <f>NormInputs!CM63</f>
        <v>13362</v>
      </c>
      <c r="CX13" s="143">
        <f>NormInputs!CN63</f>
        <v>5909</v>
      </c>
      <c r="CY13" s="143">
        <f>NormInputs!CO63</f>
        <v>10001</v>
      </c>
      <c r="CZ13" s="143">
        <f>NormInputs!CP63</f>
        <v>9714</v>
      </c>
      <c r="DA13" s="143">
        <f>NormInputs!CQ63</f>
        <v>3093</v>
      </c>
      <c r="DB13" s="159">
        <f>NormInputs!CR63</f>
        <v>5475</v>
      </c>
      <c r="DC13" s="143">
        <f>NormInputs!CS63</f>
        <v>1788</v>
      </c>
      <c r="DD13" s="143">
        <f>NormInputs!CT63</f>
        <v>56710</v>
      </c>
      <c r="DE13" s="143">
        <f>NormInputs!CU63</f>
        <v>53528</v>
      </c>
      <c r="DF13" s="159">
        <f>NormInputs!CV63</f>
        <v>2907</v>
      </c>
      <c r="DG13" s="1047">
        <f>NormInputs!CW63</f>
        <v>5776</v>
      </c>
      <c r="DH13" s="1047">
        <f>NormInputs!CX63</f>
        <v>7218</v>
      </c>
      <c r="DI13" s="189">
        <f>NormInputs!CY63</f>
        <v>10598</v>
      </c>
      <c r="DJ13" s="159">
        <f>NormInputs!CZ63</f>
        <v>4386</v>
      </c>
      <c r="DK13" s="1047">
        <f>NormInputs!DA63</f>
        <v>3008</v>
      </c>
      <c r="DL13" s="2149">
        <f>NormInputs!DB63</f>
        <v>3875</v>
      </c>
      <c r="DM13" s="2485">
        <f>NormInputs!DC63</f>
        <v>4470</v>
      </c>
      <c r="DN13" s="2488">
        <f>NormInputs!DD63</f>
        <v>5846</v>
      </c>
      <c r="DO13" s="2149">
        <f>NormInputs!DE63</f>
        <v>2857</v>
      </c>
      <c r="DP13" s="2149">
        <f>NormInputs!DF63</f>
        <v>6441</v>
      </c>
      <c r="DQ13" s="2485">
        <f>NormInputs!DG63</f>
        <v>2880</v>
      </c>
      <c r="DR13" s="2149">
        <f>NormInputs!DH63</f>
        <v>4307</v>
      </c>
      <c r="DS13" s="2149">
        <f>NormInputs!DI63</f>
        <v>4583</v>
      </c>
      <c r="DT13" s="2149">
        <f>NormInputs!DJ63</f>
        <v>4487</v>
      </c>
      <c r="DU13" s="2149">
        <f>NormInputs!DK63</f>
        <v>2079</v>
      </c>
      <c r="DV13" s="2149">
        <f>NormInputs!DL63</f>
        <v>1923</v>
      </c>
      <c r="DW13" s="3252">
        <f ca="1">CFS!DW61</f>
        <v>6249.611505627845</v>
      </c>
      <c r="DX13" s="3252">
        <f ca="1">CFS!DX61</f>
        <v>9439.2885576388417</v>
      </c>
      <c r="DY13" s="2175">
        <f ca="1">CFS!DY61</f>
        <v>14249.415304106573</v>
      </c>
      <c r="DZ13" s="1047"/>
    </row>
    <row r="14" spans="1:136" s="3318" customFormat="1">
      <c r="A14" s="3341" t="s">
        <v>1724</v>
      </c>
      <c r="B14" s="1989"/>
      <c r="C14" s="1989"/>
      <c r="D14" s="1989"/>
      <c r="E14" s="2163"/>
      <c r="F14" s="2163"/>
      <c r="G14" s="2163"/>
      <c r="H14" s="2163"/>
      <c r="I14" s="2163"/>
      <c r="J14" s="2163"/>
      <c r="K14" s="2163"/>
      <c r="L14" s="2163"/>
      <c r="M14" s="2163"/>
      <c r="N14" s="2163"/>
      <c r="O14" s="2163"/>
      <c r="P14" s="2163"/>
      <c r="Q14" s="2163"/>
      <c r="R14" s="2163"/>
      <c r="S14" s="2163"/>
      <c r="T14" s="2163"/>
      <c r="U14" s="2163"/>
      <c r="V14" s="2163"/>
      <c r="W14" s="2163"/>
      <c r="X14" s="2163"/>
      <c r="Y14" s="2163"/>
      <c r="Z14" s="2163"/>
      <c r="AA14" s="3342"/>
      <c r="AB14" s="3342"/>
      <c r="AC14" s="3342"/>
      <c r="AD14" s="3342"/>
      <c r="AE14" s="3342"/>
      <c r="AF14" s="3342"/>
      <c r="AG14" s="3342"/>
      <c r="AH14" s="3343"/>
      <c r="AI14" s="2192"/>
      <c r="AJ14" s="2192"/>
      <c r="AK14" s="2192"/>
      <c r="AL14" s="2192"/>
      <c r="AM14" s="2192"/>
      <c r="AN14" s="2192"/>
      <c r="AO14" s="2192"/>
      <c r="AP14" s="2163"/>
      <c r="AQ14" s="2163"/>
      <c r="AR14" s="2163"/>
      <c r="AS14" s="2163"/>
      <c r="AT14" s="2163"/>
      <c r="AU14" s="2163"/>
      <c r="AV14" s="2163"/>
      <c r="AW14" s="2163"/>
      <c r="AX14" s="2163"/>
      <c r="AY14" s="2163"/>
      <c r="AZ14" s="2163"/>
      <c r="BA14" s="2163"/>
      <c r="BB14" s="2163"/>
      <c r="BC14" s="2163"/>
      <c r="BD14" s="2163"/>
      <c r="BE14" s="2163"/>
      <c r="BF14" s="2163"/>
      <c r="BG14" s="2163"/>
      <c r="BH14" s="2163"/>
      <c r="BI14" s="2163"/>
      <c r="BJ14" s="2163"/>
      <c r="BK14" s="2163"/>
      <c r="BL14" s="2163"/>
      <c r="BM14" s="2163"/>
      <c r="BN14" s="2163"/>
      <c r="BO14" s="2163"/>
      <c r="BP14" s="2163"/>
      <c r="BQ14" s="2163"/>
      <c r="BR14" s="3344"/>
      <c r="BS14" s="2163"/>
      <c r="BT14" s="2163"/>
      <c r="BU14" s="2163"/>
      <c r="BV14" s="3344"/>
      <c r="BW14" s="2163"/>
      <c r="BX14" s="2163"/>
      <c r="BY14" s="2163"/>
      <c r="BZ14" s="3344"/>
      <c r="CA14" s="2163"/>
      <c r="CB14" s="2163"/>
      <c r="CC14" s="2163"/>
      <c r="CD14" s="3344"/>
      <c r="CE14" s="2163"/>
      <c r="CF14" s="2163"/>
      <c r="CG14" s="2163"/>
      <c r="CH14" s="3344"/>
      <c r="CI14" s="2163"/>
      <c r="CJ14" s="2163"/>
      <c r="CK14" s="2163"/>
      <c r="CL14" s="3344"/>
      <c r="CM14" s="2163"/>
      <c r="CN14" s="2163"/>
      <c r="CO14" s="2163"/>
      <c r="CP14" s="3344"/>
      <c r="CQ14" s="2163"/>
      <c r="CR14" s="2163"/>
      <c r="CS14" s="2163"/>
      <c r="CT14" s="3344"/>
      <c r="CU14" s="2163"/>
      <c r="CV14" s="2163"/>
      <c r="CW14" s="3345"/>
      <c r="CX14" s="2163"/>
      <c r="CY14" s="2163"/>
      <c r="CZ14" s="2163"/>
      <c r="DA14" s="2163"/>
      <c r="DB14" s="3344"/>
      <c r="DC14" s="2163"/>
      <c r="DD14" s="2163"/>
      <c r="DE14" s="2163"/>
      <c r="DF14" s="3344"/>
      <c r="DG14" s="2553"/>
      <c r="DH14" s="2553"/>
      <c r="DI14" s="3345"/>
      <c r="DJ14" s="3344"/>
      <c r="DK14" s="2553"/>
      <c r="DL14" s="3346"/>
      <c r="DM14" s="3347"/>
      <c r="DN14" s="3348"/>
      <c r="DO14" s="3346"/>
      <c r="DP14" s="3346"/>
      <c r="DQ14" s="3347"/>
      <c r="DR14" s="3346"/>
      <c r="DS14" s="3346"/>
      <c r="DT14" s="3346"/>
      <c r="DU14" s="3346"/>
      <c r="DV14" s="3346">
        <f>NormInputs!$DL$64</f>
        <v>1012</v>
      </c>
      <c r="DW14" s="3349"/>
      <c r="DX14" s="3349"/>
      <c r="DY14" s="3350"/>
      <c r="DZ14" s="1047"/>
      <c r="EA14"/>
      <c r="EB14"/>
      <c r="EC14"/>
      <c r="ED14"/>
      <c r="EE14"/>
      <c r="EF14"/>
    </row>
    <row r="15" spans="1:136">
      <c r="A15" s="102" t="s">
        <v>1218</v>
      </c>
      <c r="B15" s="87"/>
      <c r="C15" s="87"/>
      <c r="D15" s="87"/>
      <c r="E15" s="143"/>
      <c r="F15" s="143">
        <v>976</v>
      </c>
      <c r="G15" s="143">
        <v>1035</v>
      </c>
      <c r="H15" s="143">
        <v>1613</v>
      </c>
      <c r="I15" s="143">
        <v>1991</v>
      </c>
      <c r="J15" s="143">
        <v>2042</v>
      </c>
      <c r="K15" s="143">
        <v>2172</v>
      </c>
      <c r="L15" s="143">
        <v>2257</v>
      </c>
      <c r="M15" s="143">
        <v>2498</v>
      </c>
      <c r="N15" s="143">
        <f t="shared" si="3"/>
        <v>2434</v>
      </c>
      <c r="O15" s="143">
        <f t="shared" si="4"/>
        <v>2244</v>
      </c>
      <c r="P15" s="143">
        <f t="shared" si="5"/>
        <v>509</v>
      </c>
      <c r="Q15" s="143">
        <f>CO15</f>
        <v>490</v>
      </c>
      <c r="R15" s="143">
        <f>+CS15</f>
        <v>548</v>
      </c>
      <c r="S15" s="143">
        <f t="shared" si="6"/>
        <v>592</v>
      </c>
      <c r="T15" s="143">
        <f t="shared" si="7"/>
        <v>470</v>
      </c>
      <c r="U15" s="143">
        <f>+DE15</f>
        <v>601</v>
      </c>
      <c r="V15" s="143">
        <f t="shared" si="8"/>
        <v>555</v>
      </c>
      <c r="W15" s="143">
        <f t="shared" si="9"/>
        <v>350</v>
      </c>
      <c r="X15" s="143">
        <f t="shared" si="10"/>
        <v>0</v>
      </c>
      <c r="Y15" s="143">
        <f t="shared" si="11"/>
        <v>0</v>
      </c>
      <c r="Z15" s="143">
        <f t="shared" si="12"/>
        <v>0</v>
      </c>
      <c r="AA15" s="185">
        <f>Z15</f>
        <v>0</v>
      </c>
      <c r="AB15" s="185">
        <f>AA15</f>
        <v>0</v>
      </c>
      <c r="AC15" s="185">
        <f t="shared" ref="AC15:AG15" si="13">AB15</f>
        <v>0</v>
      </c>
      <c r="AD15" s="185">
        <f t="shared" si="13"/>
        <v>0</v>
      </c>
      <c r="AE15" s="185">
        <f t="shared" si="13"/>
        <v>0</v>
      </c>
      <c r="AF15" s="185">
        <f t="shared" si="13"/>
        <v>0</v>
      </c>
      <c r="AG15" s="185">
        <f t="shared" si="13"/>
        <v>0</v>
      </c>
      <c r="AH15" s="1411"/>
      <c r="AI15" s="123"/>
      <c r="AJ15" s="123"/>
      <c r="AK15" s="123"/>
      <c r="AL15" s="123"/>
      <c r="AM15" s="123"/>
      <c r="AN15" s="123"/>
      <c r="AO15" s="123"/>
      <c r="AP15" s="143"/>
      <c r="AQ15" s="143"/>
      <c r="AR15" s="143"/>
      <c r="AS15" s="143"/>
      <c r="AT15" s="143"/>
      <c r="AU15" s="143"/>
      <c r="AV15" s="143"/>
      <c r="AW15" s="143"/>
      <c r="AX15" s="143"/>
      <c r="AY15" s="143"/>
      <c r="AZ15" s="143"/>
      <c r="BA15" s="143">
        <v>1035</v>
      </c>
      <c r="BB15" s="143"/>
      <c r="BC15" s="143">
        <v>355</v>
      </c>
      <c r="BD15" s="143">
        <v>114</v>
      </c>
      <c r="BE15" s="143">
        <v>1613</v>
      </c>
      <c r="BF15" s="143">
        <v>1010</v>
      </c>
      <c r="BG15" s="143">
        <v>797</v>
      </c>
      <c r="BH15" s="143">
        <v>248</v>
      </c>
      <c r="BI15" s="143">
        <v>1991</v>
      </c>
      <c r="BJ15" s="143">
        <v>1302</v>
      </c>
      <c r="BK15" s="143">
        <v>743</v>
      </c>
      <c r="BL15" s="143">
        <v>213</v>
      </c>
      <c r="BM15" s="143">
        <v>2042</v>
      </c>
      <c r="BN15" s="143">
        <v>1479</v>
      </c>
      <c r="BO15" s="143">
        <v>906</v>
      </c>
      <c r="BP15" s="143">
        <v>366</v>
      </c>
      <c r="BQ15" s="143">
        <v>2172</v>
      </c>
      <c r="BR15" s="159">
        <v>1891</v>
      </c>
      <c r="BS15" s="143">
        <v>1390</v>
      </c>
      <c r="BT15" s="143">
        <v>986</v>
      </c>
      <c r="BU15" s="143">
        <v>2257</v>
      </c>
      <c r="BV15" s="159">
        <v>2019</v>
      </c>
      <c r="BW15" s="143">
        <v>1596</v>
      </c>
      <c r="BX15" s="143">
        <v>1208</v>
      </c>
      <c r="BY15" s="143">
        <v>2498</v>
      </c>
      <c r="BZ15" s="159">
        <f>NormInputs!BP65</f>
        <v>2678</v>
      </c>
      <c r="CA15" s="143">
        <f>NormInputs!BQ65</f>
        <v>2075</v>
      </c>
      <c r="CB15" s="143">
        <f>NormInputs!BR65</f>
        <v>1589</v>
      </c>
      <c r="CC15" s="143">
        <f>NormInputs!BS65</f>
        <v>2434</v>
      </c>
      <c r="CD15" s="159">
        <f>NormInputs!BT65</f>
        <v>2149</v>
      </c>
      <c r="CE15" s="143">
        <f>NormInputs!BU65</f>
        <v>1700</v>
      </c>
      <c r="CF15" s="143">
        <f>NormInputs!BV65</f>
        <v>1194</v>
      </c>
      <c r="CG15" s="143">
        <f>NormInputs!BW65</f>
        <v>2244</v>
      </c>
      <c r="CH15" s="159">
        <f>NormInputs!BX65</f>
        <v>1957</v>
      </c>
      <c r="CI15" s="143">
        <f>NormInputs!BY65</f>
        <v>1492</v>
      </c>
      <c r="CJ15" s="143">
        <f>NormInputs!BZ65</f>
        <v>978</v>
      </c>
      <c r="CK15" s="143">
        <f>NormInputs!CA65</f>
        <v>509</v>
      </c>
      <c r="CL15" s="159">
        <f>NormInputs!CB65</f>
        <v>372</v>
      </c>
      <c r="CM15" s="143">
        <f>NormInputs!CC65</f>
        <v>360</v>
      </c>
      <c r="CN15" s="143">
        <f>NormInputs!CD65</f>
        <v>474</v>
      </c>
      <c r="CO15" s="143">
        <f>NormInputs!CE65</f>
        <v>490</v>
      </c>
      <c r="CP15" s="159">
        <f>NormInputs!CF65</f>
        <v>520</v>
      </c>
      <c r="CQ15" s="143">
        <f>NormInputs!CG65</f>
        <v>464</v>
      </c>
      <c r="CR15" s="143">
        <f>NormInputs!CH65</f>
        <v>581</v>
      </c>
      <c r="CS15" s="143">
        <f>NormInputs!CI65</f>
        <v>548</v>
      </c>
      <c r="CT15" s="159">
        <f>NormInputs!CJ65</f>
        <v>723</v>
      </c>
      <c r="CU15" s="143">
        <f>NormInputs!CK65</f>
        <v>588</v>
      </c>
      <c r="CV15" s="143">
        <f>NormInputs!CL65</f>
        <v>534</v>
      </c>
      <c r="CW15" s="189">
        <f>NormInputs!CM65</f>
        <v>592</v>
      </c>
      <c r="CX15" s="143">
        <f>NormInputs!CN65</f>
        <v>623</v>
      </c>
      <c r="CY15" s="143">
        <f>NormInputs!CO65</f>
        <v>777</v>
      </c>
      <c r="CZ15" s="143">
        <f>NormInputs!CP65</f>
        <v>593</v>
      </c>
      <c r="DA15" s="143">
        <f>NormInputs!CQ65</f>
        <v>470</v>
      </c>
      <c r="DB15" s="159">
        <f>NormInputs!CR65</f>
        <v>660</v>
      </c>
      <c r="DC15" s="143">
        <f>NormInputs!CS65</f>
        <v>618</v>
      </c>
      <c r="DD15" s="143">
        <f>NormInputs!CT65</f>
        <v>631</v>
      </c>
      <c r="DE15" s="143">
        <f>NormInputs!CU65</f>
        <v>601</v>
      </c>
      <c r="DF15" s="159">
        <f>NormInputs!CV65</f>
        <v>637</v>
      </c>
      <c r="DG15" s="1047">
        <f>NormInputs!CW65</f>
        <v>648</v>
      </c>
      <c r="DH15" s="1047">
        <f>NormInputs!CX65</f>
        <v>635</v>
      </c>
      <c r="DI15" s="189">
        <f>NormInputs!CY65</f>
        <v>555</v>
      </c>
      <c r="DJ15" s="159">
        <f>NormInputs!CZ65</f>
        <v>547</v>
      </c>
      <c r="DK15" s="1047">
        <f>NormInputs!DA65</f>
        <v>309</v>
      </c>
      <c r="DL15" s="2149">
        <f>NormInputs!DB65</f>
        <v>306</v>
      </c>
      <c r="DM15" s="2485">
        <f>NormInputs!DC65</f>
        <v>350</v>
      </c>
      <c r="DN15" s="2488">
        <f>NormInputs!DD65</f>
        <v>0</v>
      </c>
      <c r="DO15" s="2149">
        <f>NormInputs!DE65</f>
        <v>0</v>
      </c>
      <c r="DP15" s="2149">
        <f>NormInputs!DF65</f>
        <v>0</v>
      </c>
      <c r="DQ15" s="2485">
        <f>NormInputs!DG65</f>
        <v>0</v>
      </c>
      <c r="DR15" s="2149">
        <f>NormInputs!DH65</f>
        <v>0</v>
      </c>
      <c r="DS15" s="2149">
        <f>NormInputs!DI65</f>
        <v>0</v>
      </c>
      <c r="DT15" s="2149">
        <f>NormInputs!DJ65</f>
        <v>0</v>
      </c>
      <c r="DU15" s="2149">
        <f>NormInputs!DK65</f>
        <v>0</v>
      </c>
      <c r="DV15" s="2149">
        <f>NormInputs!DL65</f>
        <v>0</v>
      </c>
      <c r="DW15" s="1369">
        <f t="shared" ref="DW15" si="14">DV15</f>
        <v>0</v>
      </c>
      <c r="DX15" s="1369">
        <f t="shared" ref="DX15" si="15">DW15</f>
        <v>0</v>
      </c>
      <c r="DY15" s="249">
        <f t="shared" ref="DY15" si="16">DX15</f>
        <v>0</v>
      </c>
      <c r="DZ15" s="1047"/>
    </row>
    <row r="16" spans="1:136">
      <c r="A16" s="102" t="s">
        <v>1219</v>
      </c>
      <c r="B16" s="87"/>
      <c r="C16" s="87"/>
      <c r="D16" s="87"/>
      <c r="E16" s="143"/>
      <c r="F16" s="143">
        <v>11306</v>
      </c>
      <c r="G16" s="143">
        <v>11998</v>
      </c>
      <c r="H16" s="143">
        <v>14010</v>
      </c>
      <c r="I16" s="143">
        <v>14254</v>
      </c>
      <c r="J16" s="143">
        <v>12496</v>
      </c>
      <c r="K16" s="143">
        <v>9854</v>
      </c>
      <c r="L16" s="143">
        <v>9801</v>
      </c>
      <c r="M16" s="143">
        <v>9171</v>
      </c>
      <c r="N16" s="143">
        <f t="shared" si="3"/>
        <v>10891</v>
      </c>
      <c r="O16" s="143">
        <f t="shared" si="4"/>
        <v>11736</v>
      </c>
      <c r="P16" s="143">
        <f t="shared" si="5"/>
        <v>11703</v>
      </c>
      <c r="Q16" s="143">
        <f>CO16</f>
        <v>12573</v>
      </c>
      <c r="R16" s="143">
        <f>+CS16</f>
        <v>11781</v>
      </c>
      <c r="S16" s="143">
        <f t="shared" si="6"/>
        <v>11776</v>
      </c>
      <c r="T16" s="143">
        <f t="shared" si="7"/>
        <v>12576</v>
      </c>
      <c r="U16" s="143">
        <f>+DE16</f>
        <v>12439</v>
      </c>
      <c r="V16" s="143">
        <f t="shared" si="8"/>
        <v>13993</v>
      </c>
      <c r="W16" s="143">
        <f t="shared" si="9"/>
        <v>13457</v>
      </c>
      <c r="X16" s="143">
        <f t="shared" si="10"/>
        <v>17513</v>
      </c>
      <c r="Y16" s="143">
        <f t="shared" si="11"/>
        <v>23493</v>
      </c>
      <c r="Z16" s="143">
        <f t="shared" ca="1" si="12"/>
        <v>24413.451994599243</v>
      </c>
      <c r="AA16" s="2186">
        <f ca="1">IS!AA30*(BS!AA70/360)</f>
        <v>24609.839472807773</v>
      </c>
      <c r="AB16" s="2186">
        <f ca="1">IS!AB30*(BS!AB70/360)</f>
        <v>24907.532173555668</v>
      </c>
      <c r="AC16" s="2186">
        <f ca="1">IS!AC30*(BS!AC70/360)</f>
        <v>25220.708167343168</v>
      </c>
      <c r="AD16" s="2186">
        <f ca="1">IS!AD30*(BS!AD70/360)</f>
        <v>25548.221842499497</v>
      </c>
      <c r="AE16" s="2186">
        <f ca="1">IS!AE30*(BS!AE70/360)</f>
        <v>25891.797224727688</v>
      </c>
      <c r="AF16" s="2186">
        <f ca="1">IS!AF30*(BS!AF70/360)</f>
        <v>26254.451475733502</v>
      </c>
      <c r="AG16" s="2186">
        <f ca="1">IS!AG30*(BS!AG70/360)</f>
        <v>26639.789425660994</v>
      </c>
      <c r="AH16" s="1411"/>
      <c r="AI16" s="143"/>
      <c r="AJ16" s="143"/>
      <c r="AK16" s="143"/>
      <c r="AL16" s="143"/>
      <c r="AM16" s="143"/>
      <c r="AN16" s="123"/>
      <c r="AO16" s="123"/>
      <c r="AP16" s="143"/>
      <c r="AQ16" s="143"/>
      <c r="AR16" s="143"/>
      <c r="AS16" s="143"/>
      <c r="AT16" s="143"/>
      <c r="AU16" s="143"/>
      <c r="AV16" s="143"/>
      <c r="AW16" s="143"/>
      <c r="AX16" s="143"/>
      <c r="AY16" s="143"/>
      <c r="AZ16" s="143"/>
      <c r="BA16" s="143">
        <v>11998</v>
      </c>
      <c r="BB16" s="143"/>
      <c r="BC16" s="143">
        <v>12360</v>
      </c>
      <c r="BD16" s="143">
        <v>14180</v>
      </c>
      <c r="BE16" s="143">
        <v>14010</v>
      </c>
      <c r="BF16" s="143">
        <v>13988</v>
      </c>
      <c r="BG16" s="143">
        <v>13777</v>
      </c>
      <c r="BH16" s="143">
        <v>13726</v>
      </c>
      <c r="BI16" s="143">
        <v>14254</v>
      </c>
      <c r="BJ16" s="143">
        <v>15288</v>
      </c>
      <c r="BK16" s="143">
        <v>12968</v>
      </c>
      <c r="BL16" s="143">
        <v>12834</v>
      </c>
      <c r="BM16" s="143">
        <v>12496</v>
      </c>
      <c r="BN16" s="143">
        <v>9528</v>
      </c>
      <c r="BO16" s="143">
        <v>10055</v>
      </c>
      <c r="BP16" s="143">
        <v>10031</v>
      </c>
      <c r="BQ16" s="143">
        <v>9854</v>
      </c>
      <c r="BR16" s="159">
        <v>9460</v>
      </c>
      <c r="BS16" s="143">
        <v>9578</v>
      </c>
      <c r="BT16" s="143">
        <v>9919</v>
      </c>
      <c r="BU16" s="143">
        <v>9801</v>
      </c>
      <c r="BV16" s="159">
        <v>9285</v>
      </c>
      <c r="BW16" s="143">
        <v>9566</v>
      </c>
      <c r="BX16" s="143">
        <v>9337</v>
      </c>
      <c r="BY16" s="143">
        <v>9171</v>
      </c>
      <c r="BZ16" s="159">
        <f>NormInputs!BP66</f>
        <v>10617</v>
      </c>
      <c r="CA16" s="143">
        <f>NormInputs!BQ66</f>
        <v>10451</v>
      </c>
      <c r="CB16" s="143">
        <f>NormInputs!BR66</f>
        <v>10834</v>
      </c>
      <c r="CC16" s="143">
        <f>NormInputs!BS66</f>
        <v>10891</v>
      </c>
      <c r="CD16" s="159">
        <f>NormInputs!BT66</f>
        <v>10177</v>
      </c>
      <c r="CE16" s="143">
        <f>NormInputs!BU66</f>
        <v>10689</v>
      </c>
      <c r="CF16" s="143">
        <f>NormInputs!BV66</f>
        <v>11509</v>
      </c>
      <c r="CG16" s="143">
        <f>NormInputs!BW66</f>
        <v>11736</v>
      </c>
      <c r="CH16" s="159">
        <f>NormInputs!BX66</f>
        <v>11048</v>
      </c>
      <c r="CI16" s="143">
        <f>NormInputs!BY66</f>
        <v>11584</v>
      </c>
      <c r="CJ16" s="143">
        <f>NormInputs!BZ66</f>
        <v>11724</v>
      </c>
      <c r="CK16" s="143">
        <f>NormInputs!CA66</f>
        <v>11703</v>
      </c>
      <c r="CL16" s="159">
        <f>NormInputs!CB66</f>
        <v>11989</v>
      </c>
      <c r="CM16" s="143">
        <f>NormInputs!CC66</f>
        <v>12170</v>
      </c>
      <c r="CN16" s="143">
        <f>NormInputs!CD66</f>
        <v>12489</v>
      </c>
      <c r="CO16" s="143">
        <f>NormInputs!CE66</f>
        <v>12573</v>
      </c>
      <c r="CP16" s="159">
        <f>NormInputs!CF66</f>
        <v>11969</v>
      </c>
      <c r="CQ16" s="143">
        <f>NormInputs!CG66</f>
        <v>12058</v>
      </c>
      <c r="CR16" s="143">
        <f>NormInputs!CH66</f>
        <v>11973</v>
      </c>
      <c r="CS16" s="143">
        <f>NormInputs!CI66</f>
        <v>11781</v>
      </c>
      <c r="CT16" s="159">
        <f>NormInputs!CJ66</f>
        <v>11028</v>
      </c>
      <c r="CU16" s="143">
        <f>NormInputs!CK66</f>
        <v>11483</v>
      </c>
      <c r="CV16" s="143">
        <f>NormInputs!CL66</f>
        <v>11648</v>
      </c>
      <c r="CW16" s="189">
        <f>NormInputs!CM66</f>
        <v>11776</v>
      </c>
      <c r="CX16" s="143">
        <f>NormInputs!CN66</f>
        <v>11234</v>
      </c>
      <c r="CY16" s="143">
        <f>NormInputs!CO66</f>
        <v>11595</v>
      </c>
      <c r="CZ16" s="143">
        <f>NormInputs!CP66</f>
        <v>12030</v>
      </c>
      <c r="DA16" s="143">
        <f>NormInputs!CQ66</f>
        <v>12576</v>
      </c>
      <c r="DB16" s="159">
        <f>NormInputs!CR66</f>
        <v>11814</v>
      </c>
      <c r="DC16" s="143">
        <f>NormInputs!CS66</f>
        <v>12216</v>
      </c>
      <c r="DD16" s="143">
        <f>NormInputs!CT66</f>
        <v>12111</v>
      </c>
      <c r="DE16" s="143">
        <f>NormInputs!CU66</f>
        <v>12439</v>
      </c>
      <c r="DF16" s="159">
        <f>NormInputs!CV66</f>
        <v>12131</v>
      </c>
      <c r="DG16" s="1047">
        <f>NormInputs!CW66</f>
        <v>12966</v>
      </c>
      <c r="DH16" s="1047">
        <f>NormInputs!CX66</f>
        <v>13283</v>
      </c>
      <c r="DI16" s="189">
        <f>NormInputs!CY66</f>
        <v>13993</v>
      </c>
      <c r="DJ16" s="159">
        <f>NormInputs!CZ66</f>
        <v>12698</v>
      </c>
      <c r="DK16" s="1047">
        <f>NormInputs!DA66</f>
        <v>13444</v>
      </c>
      <c r="DL16" s="2149">
        <f>NormInputs!DB66</f>
        <v>13105</v>
      </c>
      <c r="DM16" s="2485">
        <f>NormInputs!DC66</f>
        <v>13457</v>
      </c>
      <c r="DN16" s="2488">
        <f>NormInputs!DD66</f>
        <v>12485</v>
      </c>
      <c r="DO16" s="2149">
        <f>NormInputs!DE66</f>
        <v>13294</v>
      </c>
      <c r="DP16" s="2149">
        <f>NormInputs!DF66</f>
        <v>14832</v>
      </c>
      <c r="DQ16" s="2485">
        <f>NormInputs!DG66</f>
        <v>17513</v>
      </c>
      <c r="DR16" s="2149">
        <f>NormInputs!DH66</f>
        <v>16863</v>
      </c>
      <c r="DS16" s="2149">
        <f>NormInputs!DI66</f>
        <v>19771</v>
      </c>
      <c r="DT16" s="2149">
        <f>NormInputs!DJ66</f>
        <v>21549</v>
      </c>
      <c r="DU16" s="2149">
        <f>NormInputs!DK66</f>
        <v>23493</v>
      </c>
      <c r="DV16" s="2149">
        <f>NormInputs!DL66</f>
        <v>22595</v>
      </c>
      <c r="DW16" s="3252">
        <f ca="1">IS!DT30*(BS!DW70/90)</f>
        <v>22615.304632506784</v>
      </c>
      <c r="DX16" s="3252">
        <f ca="1">IS!DU30*(BS!DX70/90)</f>
        <v>23167.848401623018</v>
      </c>
      <c r="DY16" s="2175">
        <f ca="1">IS!DV30*(BS!DY70/90)</f>
        <v>24413.451994599243</v>
      </c>
      <c r="DZ16" s="1047"/>
    </row>
    <row r="17" spans="1:130">
      <c r="A17" s="102" t="s">
        <v>1220</v>
      </c>
      <c r="B17" s="87"/>
      <c r="C17" s="87"/>
      <c r="D17" s="87"/>
      <c r="E17" s="143"/>
      <c r="F17" s="143">
        <v>1234</v>
      </c>
      <c r="G17" s="143">
        <v>1366</v>
      </c>
      <c r="H17" s="143">
        <v>1910</v>
      </c>
      <c r="I17" s="143">
        <v>1968</v>
      </c>
      <c r="J17" s="143">
        <v>1497</v>
      </c>
      <c r="K17" s="143">
        <v>1262</v>
      </c>
      <c r="L17" s="143">
        <v>1535</v>
      </c>
      <c r="M17" s="143">
        <v>1780</v>
      </c>
      <c r="N17" s="143">
        <f t="shared" si="3"/>
        <v>1514</v>
      </c>
      <c r="O17" s="143">
        <f t="shared" si="4"/>
        <v>1729</v>
      </c>
      <c r="P17" s="143">
        <f t="shared" si="5"/>
        <v>2092</v>
      </c>
      <c r="Q17" s="143">
        <f>CO17</f>
        <v>2289</v>
      </c>
      <c r="R17" s="143">
        <f>+CS17</f>
        <v>1131</v>
      </c>
      <c r="S17" s="143">
        <f t="shared" si="6"/>
        <v>940</v>
      </c>
      <c r="T17" s="143">
        <f t="shared" si="7"/>
        <v>1075</v>
      </c>
      <c r="U17" s="143">
        <f>+DE17</f>
        <v>1020</v>
      </c>
      <c r="V17" s="143">
        <f t="shared" si="8"/>
        <v>1153</v>
      </c>
      <c r="W17" s="143">
        <f t="shared" si="9"/>
        <v>1252</v>
      </c>
      <c r="X17" s="143">
        <f t="shared" si="10"/>
        <v>1202</v>
      </c>
      <c r="Y17" s="143">
        <f t="shared" si="11"/>
        <v>1034</v>
      </c>
      <c r="Z17" s="143">
        <f t="shared" ca="1" si="12"/>
        <v>1473.5685796649509</v>
      </c>
      <c r="AA17" s="2186">
        <f ca="1">IS!AA45*(BS!AA72/360)</f>
        <v>1456.1433912072864</v>
      </c>
      <c r="AB17" s="2186">
        <f ca="1">IS!AB45*(BS!AB72/360)</f>
        <v>1451.8920942250945</v>
      </c>
      <c r="AC17" s="2186">
        <f ca="1">IS!AC45*(BS!AC72/360)</f>
        <v>1447.3080786302808</v>
      </c>
      <c r="AD17" s="2186">
        <f ca="1">IS!AD45*(BS!AD72/360)</f>
        <v>1442.4506660275752</v>
      </c>
      <c r="AE17" s="2186">
        <f ca="1">IS!AE45*(BS!AE72/360)</f>
        <v>1437.4360944499365</v>
      </c>
      <c r="AF17" s="2186">
        <f ca="1">IS!AF45*(BS!AF72/360)</f>
        <v>1432.3964227423389</v>
      </c>
      <c r="AG17" s="2186">
        <f ca="1">IS!AG45*(BS!AG72/360)</f>
        <v>1427.4623328823573</v>
      </c>
      <c r="AH17" s="1411"/>
      <c r="AI17" s="143"/>
      <c r="AJ17" s="143"/>
      <c r="AK17" s="143"/>
      <c r="AL17" s="143"/>
      <c r="AM17" s="143"/>
      <c r="AN17" s="123"/>
      <c r="AO17" s="123"/>
      <c r="AP17" s="143"/>
      <c r="AQ17" s="143"/>
      <c r="AR17" s="143"/>
      <c r="AS17" s="143"/>
      <c r="AT17" s="143"/>
      <c r="AU17" s="143"/>
      <c r="AV17" s="143"/>
      <c r="AW17" s="143"/>
      <c r="AX17" s="143"/>
      <c r="AY17" s="143"/>
      <c r="AZ17" s="143"/>
      <c r="BA17" s="143">
        <v>1366</v>
      </c>
      <c r="BB17" s="143"/>
      <c r="BC17" s="143">
        <v>1385</v>
      </c>
      <c r="BD17" s="143">
        <v>1487</v>
      </c>
      <c r="BE17" s="143">
        <v>1910</v>
      </c>
      <c r="BF17" s="143">
        <v>2049</v>
      </c>
      <c r="BG17" s="143">
        <v>2047</v>
      </c>
      <c r="BH17" s="143">
        <v>2259</v>
      </c>
      <c r="BI17" s="143">
        <v>1968</v>
      </c>
      <c r="BJ17" s="143">
        <v>1750</v>
      </c>
      <c r="BK17" s="143">
        <v>1824</v>
      </c>
      <c r="BL17" s="143">
        <v>1599</v>
      </c>
      <c r="BM17" s="143">
        <v>1497</v>
      </c>
      <c r="BN17" s="143">
        <v>1167</v>
      </c>
      <c r="BO17" s="143">
        <v>1220</v>
      </c>
      <c r="BP17" s="143">
        <v>1284</v>
      </c>
      <c r="BQ17" s="143">
        <v>1262</v>
      </c>
      <c r="BR17" s="159">
        <v>1284</v>
      </c>
      <c r="BS17" s="143">
        <v>1342</v>
      </c>
      <c r="BT17" s="143">
        <v>1389</v>
      </c>
      <c r="BU17" s="143">
        <v>1535</v>
      </c>
      <c r="BV17" s="159">
        <v>1460</v>
      </c>
      <c r="BW17" s="143">
        <v>1373</v>
      </c>
      <c r="BX17" s="143">
        <v>1503</v>
      </c>
      <c r="BY17" s="143">
        <v>1780</v>
      </c>
      <c r="BZ17" s="159">
        <f>NormInputs!BP67</f>
        <v>1647</v>
      </c>
      <c r="CA17" s="143">
        <f>NormInputs!BQ67</f>
        <v>1698</v>
      </c>
      <c r="CB17" s="143">
        <f>NormInputs!BR67</f>
        <v>1650</v>
      </c>
      <c r="CC17" s="143">
        <f>NormInputs!BS67</f>
        <v>1514</v>
      </c>
      <c r="CD17" s="159">
        <f>NormInputs!BT67</f>
        <v>1780</v>
      </c>
      <c r="CE17" s="143">
        <f>NormInputs!BU67</f>
        <v>1793</v>
      </c>
      <c r="CF17" s="143">
        <f>NormInputs!BV67</f>
        <v>1786</v>
      </c>
      <c r="CG17" s="143">
        <f>NormInputs!BW67</f>
        <v>1729</v>
      </c>
      <c r="CH17" s="159">
        <f>NormInputs!BX67</f>
        <v>1672</v>
      </c>
      <c r="CI17" s="143">
        <f>NormInputs!BY67</f>
        <v>2216</v>
      </c>
      <c r="CJ17" s="143">
        <f>NormInputs!BZ67</f>
        <v>2485</v>
      </c>
      <c r="CK17" s="143">
        <f>NormInputs!CA67</f>
        <v>2092</v>
      </c>
      <c r="CL17" s="159">
        <f>NormInputs!CB67</f>
        <v>2195</v>
      </c>
      <c r="CM17" s="143">
        <f>NormInputs!CC67</f>
        <v>2775</v>
      </c>
      <c r="CN17" s="143">
        <f>NormInputs!CD67</f>
        <v>2554</v>
      </c>
      <c r="CO17" s="143">
        <f>NormInputs!CE67</f>
        <v>2289</v>
      </c>
      <c r="CP17" s="159">
        <f>NormInputs!CF67</f>
        <v>1113</v>
      </c>
      <c r="CQ17" s="143">
        <f>NormInputs!CG67</f>
        <v>985</v>
      </c>
      <c r="CR17" s="143">
        <f>NormInputs!CH67</f>
        <v>1010</v>
      </c>
      <c r="CS17" s="143">
        <f>NormInputs!CI67</f>
        <v>1131</v>
      </c>
      <c r="CT17" s="159">
        <f>NormInputs!CJ67</f>
        <v>1245</v>
      </c>
      <c r="CU17" s="143">
        <f>NormInputs!CK67</f>
        <v>1270</v>
      </c>
      <c r="CV17" s="143">
        <f>NormInputs!CL67</f>
        <v>1153</v>
      </c>
      <c r="CW17" s="189">
        <f>NormInputs!CM67</f>
        <v>940</v>
      </c>
      <c r="CX17" s="143">
        <f>NormInputs!CN67</f>
        <v>1063</v>
      </c>
      <c r="CY17" s="143">
        <f>NormInputs!CO67</f>
        <v>856</v>
      </c>
      <c r="CZ17" s="143">
        <f>NormInputs!CP67</f>
        <v>1223</v>
      </c>
      <c r="DA17" s="143">
        <f>NormInputs!CQ67</f>
        <v>1075</v>
      </c>
      <c r="DB17" s="159">
        <f>NormInputs!CR67</f>
        <v>798</v>
      </c>
      <c r="DC17" s="143">
        <f>NormInputs!CS67</f>
        <v>1040</v>
      </c>
      <c r="DD17" s="143">
        <f>NormInputs!CT67</f>
        <v>1193</v>
      </c>
      <c r="DE17" s="143">
        <f>NormInputs!CU67</f>
        <v>1020</v>
      </c>
      <c r="DF17" s="159">
        <f>NormInputs!CV67</f>
        <v>881</v>
      </c>
      <c r="DG17" s="1047">
        <f>NormInputs!CW67</f>
        <v>1073</v>
      </c>
      <c r="DH17" s="1047">
        <f>NormInputs!CX67</f>
        <v>1206</v>
      </c>
      <c r="DI17" s="189">
        <f>NormInputs!CY67</f>
        <v>1153</v>
      </c>
      <c r="DJ17" s="159">
        <f>NormInputs!CZ67</f>
        <v>1076</v>
      </c>
      <c r="DK17" s="1047">
        <f>NormInputs!DA67</f>
        <v>1149</v>
      </c>
      <c r="DL17" s="2149">
        <f>NormInputs!DB67</f>
        <v>1319</v>
      </c>
      <c r="DM17" s="2485">
        <f>NormInputs!DC67</f>
        <v>1252</v>
      </c>
      <c r="DN17" s="2488">
        <f>NormInputs!DD67</f>
        <v>1142</v>
      </c>
      <c r="DO17" s="2149">
        <f>NormInputs!DE67</f>
        <v>931</v>
      </c>
      <c r="DP17" s="2149">
        <f>NormInputs!DF67</f>
        <v>1318</v>
      </c>
      <c r="DQ17" s="2485">
        <f>NormInputs!DG67</f>
        <v>1202</v>
      </c>
      <c r="DR17" s="2149">
        <f>NormInputs!DH67</f>
        <v>1194</v>
      </c>
      <c r="DS17" s="2149">
        <f>NormInputs!DI67</f>
        <v>1116</v>
      </c>
      <c r="DT17" s="2149">
        <f>NormInputs!DJ67</f>
        <v>1276</v>
      </c>
      <c r="DU17" s="2149">
        <f>NormInputs!DK67</f>
        <v>1034</v>
      </c>
      <c r="DV17" s="2149">
        <f>NormInputs!DL67</f>
        <v>1285</v>
      </c>
      <c r="DW17" s="3252">
        <f ca="1">IS!DT45*(BS!DW72/90)</f>
        <v>1285</v>
      </c>
      <c r="DX17" s="3252">
        <f ca="1">IS!DU45*(BS!DX72/90)</f>
        <v>1301.1427558504815</v>
      </c>
      <c r="DY17" s="2175">
        <f ca="1">IS!DV45*(BS!DY72/90)</f>
        <v>1473.5685796649509</v>
      </c>
      <c r="DZ17" s="1047"/>
    </row>
    <row r="18" spans="1:130">
      <c r="A18" s="102" t="s">
        <v>1221</v>
      </c>
      <c r="B18" s="87"/>
      <c r="C18" s="87"/>
      <c r="D18" s="87"/>
      <c r="E18" s="143"/>
      <c r="F18" s="143">
        <v>274</v>
      </c>
      <c r="G18" s="143">
        <v>1802</v>
      </c>
      <c r="H18" s="143">
        <v>518</v>
      </c>
      <c r="I18" s="143">
        <v>1199</v>
      </c>
      <c r="J18" s="143">
        <v>1305</v>
      </c>
      <c r="K18" s="143">
        <v>705</v>
      </c>
      <c r="L18" s="143">
        <v>950</v>
      </c>
      <c r="M18" s="143">
        <v>0</v>
      </c>
      <c r="N18" s="143">
        <f t="shared" si="3"/>
        <v>2592</v>
      </c>
      <c r="O18" s="143">
        <f t="shared" si="4"/>
        <v>0</v>
      </c>
      <c r="P18" s="183">
        <f t="shared" si="5"/>
        <v>0</v>
      </c>
      <c r="Q18" s="185">
        <f>P18</f>
        <v>0</v>
      </c>
      <c r="R18" s="143">
        <f>Q18</f>
        <v>0</v>
      </c>
      <c r="S18" s="143">
        <f t="shared" si="6"/>
        <v>0</v>
      </c>
      <c r="T18" s="143">
        <f t="shared" si="7"/>
        <v>0</v>
      </c>
      <c r="U18" s="143">
        <f>+DB18</f>
        <v>0</v>
      </c>
      <c r="V18" s="143">
        <f t="shared" si="8"/>
        <v>0</v>
      </c>
      <c r="W18" s="143">
        <f t="shared" si="9"/>
        <v>792</v>
      </c>
      <c r="X18" s="143">
        <f t="shared" si="10"/>
        <v>882</v>
      </c>
      <c r="Y18" s="143">
        <f t="shared" si="11"/>
        <v>0</v>
      </c>
      <c r="Z18" s="143">
        <f t="shared" si="12"/>
        <v>0</v>
      </c>
      <c r="AA18" s="185">
        <f>Z18</f>
        <v>0</v>
      </c>
      <c r="AB18" s="185">
        <f>AA18</f>
        <v>0</v>
      </c>
      <c r="AC18" s="185">
        <f t="shared" ref="AC18:AG18" si="17">AB18</f>
        <v>0</v>
      </c>
      <c r="AD18" s="185">
        <f t="shared" si="17"/>
        <v>0</v>
      </c>
      <c r="AE18" s="185">
        <f t="shared" si="17"/>
        <v>0</v>
      </c>
      <c r="AF18" s="185">
        <f t="shared" si="17"/>
        <v>0</v>
      </c>
      <c r="AG18" s="185">
        <f t="shared" si="17"/>
        <v>0</v>
      </c>
      <c r="AH18" s="1411"/>
      <c r="AI18" s="143"/>
      <c r="AJ18" s="143"/>
      <c r="AK18" s="143"/>
      <c r="AL18" s="143"/>
      <c r="AM18" s="143"/>
      <c r="AN18" s="123"/>
      <c r="AO18" s="123"/>
      <c r="AP18" s="143"/>
      <c r="AQ18" s="143"/>
      <c r="AR18" s="143"/>
      <c r="AS18" s="143"/>
      <c r="AT18" s="143"/>
      <c r="AU18" s="143"/>
      <c r="AV18" s="143"/>
      <c r="AW18" s="143"/>
      <c r="AX18" s="143"/>
      <c r="AY18" s="143"/>
      <c r="AZ18" s="143"/>
      <c r="BA18" s="143">
        <v>1802</v>
      </c>
      <c r="BB18" s="143"/>
      <c r="BC18" s="143">
        <v>2302</v>
      </c>
      <c r="BD18" s="143">
        <v>715</v>
      </c>
      <c r="BE18" s="143">
        <v>518</v>
      </c>
      <c r="BF18" s="143">
        <v>567</v>
      </c>
      <c r="BG18" s="143">
        <v>279</v>
      </c>
      <c r="BH18" s="143">
        <v>1487</v>
      </c>
      <c r="BI18" s="143">
        <v>1199</v>
      </c>
      <c r="BJ18" s="143">
        <v>2855</v>
      </c>
      <c r="BK18" s="143">
        <v>2833</v>
      </c>
      <c r="BL18" s="143">
        <v>1431</v>
      </c>
      <c r="BM18" s="143">
        <v>1305</v>
      </c>
      <c r="BN18" s="183">
        <v>0</v>
      </c>
      <c r="BO18" s="143">
        <v>1670</v>
      </c>
      <c r="BP18" s="143">
        <v>632</v>
      </c>
      <c r="BQ18" s="143">
        <v>705</v>
      </c>
      <c r="BR18" s="159">
        <v>681</v>
      </c>
      <c r="BS18" s="143">
        <v>1595</v>
      </c>
      <c r="BT18" s="143">
        <v>1669</v>
      </c>
      <c r="BU18" s="143">
        <v>950</v>
      </c>
      <c r="BV18" s="159">
        <v>964</v>
      </c>
      <c r="BW18" s="143">
        <v>0</v>
      </c>
      <c r="BX18" s="143">
        <v>0</v>
      </c>
      <c r="BY18" s="143">
        <v>0</v>
      </c>
      <c r="BZ18" s="159">
        <f>NormInputs!BP68</f>
        <v>0</v>
      </c>
      <c r="CA18" s="143">
        <f>NormInputs!BQ68</f>
        <v>3577</v>
      </c>
      <c r="CB18" s="143">
        <f>NormInputs!BR68</f>
        <v>3597</v>
      </c>
      <c r="CC18" s="143">
        <f>NormInputs!BS68</f>
        <v>2592</v>
      </c>
      <c r="CD18" s="159">
        <f>NormInputs!BT68</f>
        <v>0</v>
      </c>
      <c r="CE18" s="143">
        <f>NormInputs!BU68</f>
        <v>0</v>
      </c>
      <c r="CF18" s="143">
        <f>NormInputs!BV68</f>
        <v>0</v>
      </c>
      <c r="CG18" s="143">
        <f>NormInputs!BW68</f>
        <v>0</v>
      </c>
      <c r="CH18" s="159">
        <f>NormInputs!BX68</f>
        <v>0</v>
      </c>
      <c r="CI18" s="143">
        <f>NormInputs!BY68</f>
        <v>0</v>
      </c>
      <c r="CJ18" s="143">
        <f>NormInputs!BZ68</f>
        <v>0</v>
      </c>
      <c r="CK18" s="143">
        <f>NormInputs!CA68</f>
        <v>0</v>
      </c>
      <c r="CL18" s="159">
        <f>NormInputs!CB68</f>
        <v>0</v>
      </c>
      <c r="CM18" s="143">
        <f>NormInputs!CC68</f>
        <v>0</v>
      </c>
      <c r="CN18" s="143">
        <f>NormInputs!CD68</f>
        <v>0</v>
      </c>
      <c r="CO18" s="143">
        <f>NormInputs!CE68</f>
        <v>0</v>
      </c>
      <c r="CP18" s="159">
        <f>NormInputs!CF68</f>
        <v>0</v>
      </c>
      <c r="CQ18" s="143">
        <f>NormInputs!CG68</f>
        <v>0</v>
      </c>
      <c r="CR18" s="143">
        <f>NormInputs!CH68</f>
        <v>0</v>
      </c>
      <c r="CS18" s="143">
        <f>NormInputs!CI68</f>
        <v>0</v>
      </c>
      <c r="CT18" s="159">
        <f>NormInputs!CJ68</f>
        <v>0</v>
      </c>
      <c r="CU18" s="143">
        <f>NormInputs!CK68</f>
        <v>0</v>
      </c>
      <c r="CV18" s="143">
        <f>NormInputs!CL68</f>
        <v>0</v>
      </c>
      <c r="CW18" s="189">
        <f>NormInputs!CM68</f>
        <v>0</v>
      </c>
      <c r="CX18" s="143">
        <f>NormInputs!CN68</f>
        <v>0</v>
      </c>
      <c r="CY18" s="143">
        <f>NormInputs!CO68</f>
        <v>0</v>
      </c>
      <c r="CZ18" s="143">
        <f>NormInputs!CP68</f>
        <v>0</v>
      </c>
      <c r="DA18" s="143">
        <f>NormInputs!CQ68</f>
        <v>0</v>
      </c>
      <c r="DB18" s="159">
        <f>NormInputs!CR68</f>
        <v>0</v>
      </c>
      <c r="DC18" s="143">
        <f>NormInputs!CS68</f>
        <v>0</v>
      </c>
      <c r="DD18" s="143">
        <f>NormInputs!CT68</f>
        <v>0</v>
      </c>
      <c r="DE18" s="143">
        <f>NormInputs!CU68</f>
        <v>0</v>
      </c>
      <c r="DF18" s="159">
        <f>NormInputs!CV68</f>
        <v>0</v>
      </c>
      <c r="DG18" s="1047">
        <f>NormInputs!CW68</f>
        <v>0</v>
      </c>
      <c r="DH18" s="1047">
        <f>NormInputs!CX68</f>
        <v>0</v>
      </c>
      <c r="DI18" s="189">
        <f>NormInputs!CY68</f>
        <v>0</v>
      </c>
      <c r="DJ18" s="159">
        <f>NormInputs!CZ68</f>
        <v>893</v>
      </c>
      <c r="DK18" s="1047">
        <f>NormInputs!DA68</f>
        <v>774</v>
      </c>
      <c r="DL18" s="2149">
        <f>NormInputs!DB68</f>
        <v>895</v>
      </c>
      <c r="DM18" s="2485">
        <f>NormInputs!DC68</f>
        <v>792</v>
      </c>
      <c r="DN18" s="2488">
        <f>NormInputs!DD68</f>
        <v>720</v>
      </c>
      <c r="DO18" s="2149">
        <f>NormInputs!DE68</f>
        <v>317</v>
      </c>
      <c r="DP18" s="2149">
        <f>NormInputs!DF68</f>
        <v>0</v>
      </c>
      <c r="DQ18" s="2485">
        <f>NormInputs!DG68</f>
        <v>882</v>
      </c>
      <c r="DR18" s="2149">
        <f>NormInputs!DH68</f>
        <v>149</v>
      </c>
      <c r="DS18" s="2149">
        <f>NormInputs!DI68</f>
        <v>0</v>
      </c>
      <c r="DT18" s="2149">
        <f>NormInputs!DJ68</f>
        <v>275</v>
      </c>
      <c r="DU18" s="2149">
        <f>NormInputs!DK68</f>
        <v>0</v>
      </c>
      <c r="DV18" s="2149">
        <f>NormInputs!DL68</f>
        <v>0</v>
      </c>
      <c r="DW18" s="1369">
        <f t="shared" ref="DW18" si="18">DV18</f>
        <v>0</v>
      </c>
      <c r="DX18" s="1369">
        <f t="shared" ref="DX18" si="19">DW18</f>
        <v>0</v>
      </c>
      <c r="DY18" s="249">
        <f t="shared" ref="DY18" si="20">DX18</f>
        <v>0</v>
      </c>
      <c r="DZ18" s="1047"/>
    </row>
    <row r="19" spans="1:130">
      <c r="A19" s="102" t="s">
        <v>1222</v>
      </c>
      <c r="B19" s="87"/>
      <c r="C19" s="87"/>
      <c r="D19" s="87"/>
      <c r="E19" s="143"/>
      <c r="F19" s="143">
        <v>1245</v>
      </c>
      <c r="G19" s="143">
        <v>1761</v>
      </c>
      <c r="H19" s="143">
        <v>3313</v>
      </c>
      <c r="I19" s="143">
        <v>2796</v>
      </c>
      <c r="J19" s="143">
        <v>3331</v>
      </c>
      <c r="K19" s="143">
        <v>4233</v>
      </c>
      <c r="L19" s="143">
        <v>2646</v>
      </c>
      <c r="M19" s="143">
        <v>2223</v>
      </c>
      <c r="N19" s="143">
        <f t="shared" si="3"/>
        <v>1888</v>
      </c>
      <c r="O19" s="143">
        <f t="shared" si="4"/>
        <v>1836</v>
      </c>
      <c r="P19" s="143">
        <f t="shared" si="5"/>
        <v>1989</v>
      </c>
      <c r="Q19" s="143">
        <f>CO19</f>
        <v>5247</v>
      </c>
      <c r="R19" s="143">
        <f>+CS19</f>
        <v>2220</v>
      </c>
      <c r="S19" s="143">
        <f t="shared" si="6"/>
        <v>4269</v>
      </c>
      <c r="T19" s="143">
        <f t="shared" si="7"/>
        <v>4021</v>
      </c>
      <c r="U19" s="143">
        <f>+DE19</f>
        <v>3406</v>
      </c>
      <c r="V19" s="143">
        <f t="shared" si="8"/>
        <v>3324</v>
      </c>
      <c r="W19" s="143">
        <f t="shared" si="9"/>
        <v>1959</v>
      </c>
      <c r="X19" s="143">
        <f t="shared" si="10"/>
        <v>3918</v>
      </c>
      <c r="Y19" s="143">
        <f t="shared" si="11"/>
        <v>3307</v>
      </c>
      <c r="Z19" s="143">
        <f t="shared" ca="1" si="12"/>
        <v>4475.3573581199289</v>
      </c>
      <c r="AA19" s="2186">
        <f ca="1">IS!AA30*(BS!AA71/360)</f>
        <v>4478.5050266047756</v>
      </c>
      <c r="AB19" s="2186">
        <f ca="1">IS!AB30*(BS!AB71/360)</f>
        <v>4499.9094498509694</v>
      </c>
      <c r="AC19" s="2186">
        <f ca="1">IS!AC30*(BS!AC71/360)</f>
        <v>4523.7838055080492</v>
      </c>
      <c r="AD19" s="2186">
        <f ca="1">IS!AD30*(BS!AD71/360)</f>
        <v>4549.8712652795257</v>
      </c>
      <c r="AE19" s="2186">
        <f ca="1">IS!AE30*(BS!AE71/360)</f>
        <v>4578.4297064512848</v>
      </c>
      <c r="AF19" s="2186">
        <f ca="1">IS!AF30*(BS!AF71/360)</f>
        <v>4609.9368161341672</v>
      </c>
      <c r="AG19" s="2186">
        <f ca="1">IS!AG30*(BS!AG71/360)</f>
        <v>4644.9594161721634</v>
      </c>
      <c r="AH19" s="1411"/>
      <c r="AI19" s="143"/>
      <c r="AJ19" s="143"/>
      <c r="AK19" s="143"/>
      <c r="AL19" s="143"/>
      <c r="AM19" s="143"/>
      <c r="AN19" s="123"/>
      <c r="AO19" s="123"/>
      <c r="AP19" s="143"/>
      <c r="AQ19" s="143"/>
      <c r="AR19" s="143"/>
      <c r="AS19" s="143"/>
      <c r="AT19" s="143"/>
      <c r="AU19" s="143"/>
      <c r="AV19" s="143"/>
      <c r="AW19" s="143"/>
      <c r="AX19" s="143"/>
      <c r="AY19" s="143"/>
      <c r="AZ19" s="143"/>
      <c r="BA19" s="143">
        <v>1761</v>
      </c>
      <c r="BB19" s="143"/>
      <c r="BC19" s="143">
        <v>2388</v>
      </c>
      <c r="BD19" s="143">
        <v>2770</v>
      </c>
      <c r="BE19" s="143">
        <v>3313</v>
      </c>
      <c r="BF19" s="143">
        <v>3674</v>
      </c>
      <c r="BG19" s="143">
        <v>3744</v>
      </c>
      <c r="BH19" s="143">
        <v>2747</v>
      </c>
      <c r="BI19" s="143">
        <v>2796</v>
      </c>
      <c r="BJ19" s="143">
        <v>3364</v>
      </c>
      <c r="BK19" s="143">
        <v>3156</v>
      </c>
      <c r="BL19" s="143">
        <v>2983</v>
      </c>
      <c r="BM19" s="143">
        <v>3331</v>
      </c>
      <c r="BN19" s="143">
        <v>4498</v>
      </c>
      <c r="BO19" s="143">
        <v>4494</v>
      </c>
      <c r="BP19" s="143">
        <v>4124</v>
      </c>
      <c r="BQ19" s="143">
        <v>4233</v>
      </c>
      <c r="BR19" s="159">
        <v>3894</v>
      </c>
      <c r="BS19" s="143">
        <v>3482</v>
      </c>
      <c r="BT19" s="143">
        <v>3162</v>
      </c>
      <c r="BU19" s="143">
        <v>2646</v>
      </c>
      <c r="BV19" s="159">
        <v>2591</v>
      </c>
      <c r="BW19" s="143">
        <v>2729</v>
      </c>
      <c r="BX19" s="143">
        <v>2608</v>
      </c>
      <c r="BY19" s="143">
        <v>2223</v>
      </c>
      <c r="BZ19" s="159">
        <f>NormInputs!BP69</f>
        <v>2438</v>
      </c>
      <c r="CA19" s="143">
        <f>NormInputs!BQ69</f>
        <v>2289</v>
      </c>
      <c r="CB19" s="143">
        <f>NormInputs!BR69</f>
        <v>2099</v>
      </c>
      <c r="CC19" s="143">
        <f>NormInputs!BS69</f>
        <v>1888</v>
      </c>
      <c r="CD19" s="159">
        <f>NormInputs!BT69</f>
        <v>2487</v>
      </c>
      <c r="CE19" s="143">
        <f>NormInputs!BU69</f>
        <v>2190</v>
      </c>
      <c r="CF19" s="143">
        <f>NormInputs!BV69</f>
        <v>1833</v>
      </c>
      <c r="CG19" s="143">
        <f>NormInputs!BW69</f>
        <v>1836</v>
      </c>
      <c r="CH19" s="159">
        <f>NormInputs!BX69</f>
        <v>2286</v>
      </c>
      <c r="CI19" s="143">
        <f>NormInputs!BY69</f>
        <v>2122</v>
      </c>
      <c r="CJ19" s="143">
        <f>NormInputs!BZ69</f>
        <v>3248</v>
      </c>
      <c r="CK19" s="143">
        <f>NormInputs!CA69</f>
        <v>1989</v>
      </c>
      <c r="CL19" s="159">
        <f>NormInputs!CB69</f>
        <v>3343</v>
      </c>
      <c r="CM19" s="143">
        <f>NormInputs!CC69</f>
        <v>5339</v>
      </c>
      <c r="CN19" s="143">
        <f>NormInputs!CD69</f>
        <v>5290</v>
      </c>
      <c r="CO19" s="143">
        <f>NormInputs!CE69</f>
        <v>5247</v>
      </c>
      <c r="CP19" s="159">
        <f>NormInputs!CF69</f>
        <v>5766</v>
      </c>
      <c r="CQ19" s="143">
        <f>NormInputs!CG69</f>
        <v>2793</v>
      </c>
      <c r="CR19" s="143">
        <f>NormInputs!CH69</f>
        <v>2383</v>
      </c>
      <c r="CS19" s="143">
        <f>NormInputs!CI69</f>
        <v>2220</v>
      </c>
      <c r="CT19" s="159">
        <f>NormInputs!CJ69</f>
        <v>2920</v>
      </c>
      <c r="CU19" s="143">
        <f>NormInputs!CK69</f>
        <v>2891</v>
      </c>
      <c r="CV19" s="143">
        <f>NormInputs!CL69</f>
        <v>4111</v>
      </c>
      <c r="CW19" s="189">
        <f>NormInputs!CM69</f>
        <v>4269</v>
      </c>
      <c r="CX19" s="143">
        <f>NormInputs!CN69</f>
        <v>4683</v>
      </c>
      <c r="CY19" s="143">
        <f>NormInputs!CO69</f>
        <v>3901</v>
      </c>
      <c r="CZ19" s="143">
        <f>NormInputs!CP69</f>
        <v>4103</v>
      </c>
      <c r="DA19" s="143">
        <f>NormInputs!CQ69</f>
        <v>4021</v>
      </c>
      <c r="DB19" s="159">
        <f>NormInputs!CR69</f>
        <v>6511</v>
      </c>
      <c r="DC19" s="143">
        <f>NormInputs!CS69</f>
        <v>6295</v>
      </c>
      <c r="DD19" s="143">
        <f>NormInputs!CT69</f>
        <v>3060</v>
      </c>
      <c r="DE19" s="143">
        <f>NormInputs!CU69</f>
        <v>3406</v>
      </c>
      <c r="DF19" s="159">
        <f>NormInputs!CV69</f>
        <v>6716</v>
      </c>
      <c r="DG19" s="1047">
        <f>NormInputs!CW69</f>
        <v>2424</v>
      </c>
      <c r="DH19" s="1047">
        <f>NormInputs!CX69</f>
        <v>2431</v>
      </c>
      <c r="DI19" s="189">
        <f>NormInputs!CY69</f>
        <v>3324</v>
      </c>
      <c r="DJ19" s="159">
        <f>NormInputs!CZ69</f>
        <v>3236</v>
      </c>
      <c r="DK19" s="1047">
        <f>NormInputs!DA69</f>
        <v>2818</v>
      </c>
      <c r="DL19" s="2149">
        <f>NormInputs!DB69</f>
        <v>2268</v>
      </c>
      <c r="DM19" s="2485">
        <f>NormInputs!DC69</f>
        <v>1959</v>
      </c>
      <c r="DN19" s="2488">
        <f>NormInputs!DD69</f>
        <v>3422</v>
      </c>
      <c r="DO19" s="2149">
        <f>NormInputs!DE69</f>
        <v>3445</v>
      </c>
      <c r="DP19" s="2149">
        <f>NormInputs!DF69</f>
        <v>3030</v>
      </c>
      <c r="DQ19" s="2485">
        <f>NormInputs!DG69</f>
        <v>3918</v>
      </c>
      <c r="DR19" s="2149">
        <f>NormInputs!DH69</f>
        <v>4645</v>
      </c>
      <c r="DS19" s="2149">
        <f>NormInputs!DI69</f>
        <v>3353</v>
      </c>
      <c r="DT19" s="2149">
        <f>NormInputs!DJ69</f>
        <v>3280</v>
      </c>
      <c r="DU19" s="2149">
        <f>NormInputs!DK69</f>
        <v>3307</v>
      </c>
      <c r="DV19" s="2149">
        <f>NormInputs!DL69</f>
        <v>4210</v>
      </c>
      <c r="DW19" s="3252">
        <f ca="1">IS!DT30*(BS!DW71/90)</f>
        <v>4210</v>
      </c>
      <c r="DX19" s="3252">
        <f ca="1">IS!DU30*(BS!DX71/90)</f>
        <v>4279.6863924232375</v>
      </c>
      <c r="DY19" s="2175">
        <f ca="1">IS!DV30*(BS!DY71/90)</f>
        <v>4475.3573581199289</v>
      </c>
      <c r="DZ19" s="1047"/>
    </row>
    <row r="20" spans="1:130">
      <c r="A20" s="91" t="s">
        <v>1223</v>
      </c>
      <c r="B20" s="91"/>
      <c r="C20" s="91"/>
      <c r="D20" s="91"/>
      <c r="E20" s="149"/>
      <c r="F20" s="149">
        <v>15739</v>
      </c>
      <c r="G20" s="149">
        <v>19995</v>
      </c>
      <c r="H20" s="149">
        <v>22121</v>
      </c>
      <c r="I20" s="149">
        <v>23187</v>
      </c>
      <c r="J20" s="149">
        <v>22093</v>
      </c>
      <c r="K20" s="149">
        <v>18895</v>
      </c>
      <c r="L20" s="149">
        <v>19479</v>
      </c>
      <c r="M20" s="149">
        <v>16448</v>
      </c>
      <c r="N20" s="149">
        <f t="shared" ref="N20:V20" si="21">N19+N18+N17+N16+N15+N13</f>
        <v>22538</v>
      </c>
      <c r="O20" s="149">
        <f t="shared" si="21"/>
        <v>18698</v>
      </c>
      <c r="P20" s="149">
        <f t="shared" si="21"/>
        <v>26075</v>
      </c>
      <c r="Q20" s="149">
        <f t="shared" si="21"/>
        <v>22608</v>
      </c>
      <c r="R20" s="143">
        <f t="shared" si="21"/>
        <v>22348</v>
      </c>
      <c r="S20" s="149">
        <f t="shared" si="21"/>
        <v>30939</v>
      </c>
      <c r="T20" s="149">
        <f t="shared" si="21"/>
        <v>21235</v>
      </c>
      <c r="U20" s="149">
        <f t="shared" si="21"/>
        <v>70994</v>
      </c>
      <c r="V20" s="149">
        <f t="shared" si="21"/>
        <v>29623</v>
      </c>
      <c r="W20" s="149">
        <f t="shared" ref="W20:X20" si="22">W19+W18+W17+W16+W15+W13</f>
        <v>22280</v>
      </c>
      <c r="X20" s="149">
        <f t="shared" si="22"/>
        <v>26395</v>
      </c>
      <c r="Y20" s="149">
        <f t="shared" ref="Y20" si="23">Y19+Y18+Y17+Y16+Y15+Y13+Y14</f>
        <v>29913</v>
      </c>
      <c r="Z20" s="149">
        <f ca="1">Z19+Z18+Z17+Z16+Z15+Z13+Z14</f>
        <v>44611.793236490696</v>
      </c>
      <c r="AA20" s="149">
        <f t="shared" ref="AA20:AG20" ca="1" si="24">AA19+AA18+AA17+AA16+AA15+AA13+AA14</f>
        <v>54869.305973475217</v>
      </c>
      <c r="AB20" s="149">
        <f t="shared" ca="1" si="24"/>
        <v>65684.293168729084</v>
      </c>
      <c r="AC20" s="149">
        <f t="shared" ca="1" si="24"/>
        <v>78380.148240749637</v>
      </c>
      <c r="AD20" s="149">
        <f t="shared" ca="1" si="24"/>
        <v>91455.946043279051</v>
      </c>
      <c r="AE20" s="149">
        <f t="shared" ca="1" si="24"/>
        <v>104966.31619867042</v>
      </c>
      <c r="AF20" s="149">
        <f t="shared" ca="1" si="24"/>
        <v>118969.58629165357</v>
      </c>
      <c r="AG20" s="149">
        <f t="shared" ca="1" si="24"/>
        <v>132238.14629474503</v>
      </c>
      <c r="AH20" s="1411"/>
      <c r="AI20" s="91"/>
      <c r="AJ20" s="91"/>
      <c r="AK20" s="91"/>
      <c r="AL20" s="91"/>
      <c r="AM20" s="143"/>
      <c r="AN20" s="123"/>
      <c r="AO20" s="123"/>
      <c r="AP20" s="91"/>
      <c r="AQ20" s="91"/>
      <c r="AR20" s="91"/>
      <c r="AS20" s="91"/>
      <c r="AT20" s="91"/>
      <c r="AU20" s="91"/>
      <c r="AV20" s="91"/>
      <c r="AW20" s="91"/>
      <c r="AX20" s="149"/>
      <c r="AY20" s="149"/>
      <c r="AZ20" s="149"/>
      <c r="BA20" s="149">
        <v>19995</v>
      </c>
      <c r="BB20" s="149"/>
      <c r="BC20" s="149">
        <v>20136</v>
      </c>
      <c r="BD20" s="149">
        <v>20094</v>
      </c>
      <c r="BE20" s="149">
        <v>22121</v>
      </c>
      <c r="BF20" s="149">
        <v>21977</v>
      </c>
      <c r="BG20" s="149">
        <v>23260</v>
      </c>
      <c r="BH20" s="149">
        <v>21832</v>
      </c>
      <c r="BI20" s="149">
        <v>23187</v>
      </c>
      <c r="BJ20" s="149">
        <v>25565</v>
      </c>
      <c r="BK20" s="149">
        <v>24465</v>
      </c>
      <c r="BL20" s="149">
        <v>24703</v>
      </c>
      <c r="BM20" s="149">
        <v>22093</v>
      </c>
      <c r="BN20" s="149">
        <v>22605</v>
      </c>
      <c r="BO20" s="149">
        <v>19124</v>
      </c>
      <c r="BP20" s="149">
        <v>17141</v>
      </c>
      <c r="BQ20" s="149">
        <v>18895</v>
      </c>
      <c r="BR20" s="150">
        <v>17785</v>
      </c>
      <c r="BS20" s="149">
        <v>17970</v>
      </c>
      <c r="BT20" s="149">
        <v>17741</v>
      </c>
      <c r="BU20" s="149">
        <v>19479</v>
      </c>
      <c r="BV20" s="150">
        <v>17011</v>
      </c>
      <c r="BW20" s="149">
        <v>16669</v>
      </c>
      <c r="BX20" s="149">
        <v>15272</v>
      </c>
      <c r="BY20" s="149">
        <v>16448</v>
      </c>
      <c r="BZ20" s="150">
        <f t="shared" ref="BZ20:DF20" si="25">BZ19+BZ18+BZ17+BZ16+BZ15+BZ13</f>
        <v>18629</v>
      </c>
      <c r="CA20" s="149">
        <f t="shared" si="25"/>
        <v>21276</v>
      </c>
      <c r="CB20" s="149">
        <f t="shared" si="25"/>
        <v>21615</v>
      </c>
      <c r="CC20" s="149">
        <f t="shared" si="25"/>
        <v>22538</v>
      </c>
      <c r="CD20" s="150">
        <f t="shared" si="25"/>
        <v>17894</v>
      </c>
      <c r="CE20" s="149">
        <f t="shared" si="25"/>
        <v>17028</v>
      </c>
      <c r="CF20" s="149">
        <f t="shared" si="25"/>
        <v>17037</v>
      </c>
      <c r="CG20" s="149">
        <f t="shared" si="25"/>
        <v>18698</v>
      </c>
      <c r="CH20" s="150">
        <f t="shared" si="25"/>
        <v>22448</v>
      </c>
      <c r="CI20" s="149">
        <f t="shared" si="25"/>
        <v>17996</v>
      </c>
      <c r="CJ20" s="149">
        <f t="shared" si="25"/>
        <v>19131</v>
      </c>
      <c r="CK20" s="149">
        <f t="shared" si="25"/>
        <v>26075</v>
      </c>
      <c r="CL20" s="150">
        <f t="shared" si="25"/>
        <v>21878</v>
      </c>
      <c r="CM20" s="149">
        <f t="shared" si="25"/>
        <v>21464</v>
      </c>
      <c r="CN20" s="149">
        <f t="shared" si="25"/>
        <v>22023</v>
      </c>
      <c r="CO20" s="149">
        <f t="shared" si="25"/>
        <v>22608</v>
      </c>
      <c r="CP20" s="150">
        <f t="shared" si="25"/>
        <v>22405</v>
      </c>
      <c r="CQ20" s="149">
        <f t="shared" si="25"/>
        <v>21061</v>
      </c>
      <c r="CR20" s="149">
        <f t="shared" si="25"/>
        <v>21341</v>
      </c>
      <c r="CS20" s="149">
        <f t="shared" si="25"/>
        <v>22348</v>
      </c>
      <c r="CT20" s="150">
        <f t="shared" si="25"/>
        <v>29923</v>
      </c>
      <c r="CU20" s="149">
        <f t="shared" si="25"/>
        <v>22472</v>
      </c>
      <c r="CV20" s="149">
        <f t="shared" si="25"/>
        <v>27770</v>
      </c>
      <c r="CW20" s="155">
        <f t="shared" si="25"/>
        <v>30939</v>
      </c>
      <c r="CX20" s="149">
        <f t="shared" si="25"/>
        <v>23512</v>
      </c>
      <c r="CY20" s="149">
        <f t="shared" si="25"/>
        <v>27130</v>
      </c>
      <c r="CZ20" s="149">
        <f t="shared" si="25"/>
        <v>27663</v>
      </c>
      <c r="DA20" s="149">
        <f t="shared" si="25"/>
        <v>21235</v>
      </c>
      <c r="DB20" s="150">
        <f t="shared" si="25"/>
        <v>25258</v>
      </c>
      <c r="DC20" s="149">
        <f t="shared" si="25"/>
        <v>21957</v>
      </c>
      <c r="DD20" s="149">
        <f t="shared" si="25"/>
        <v>73705</v>
      </c>
      <c r="DE20" s="149">
        <f t="shared" si="25"/>
        <v>70994</v>
      </c>
      <c r="DF20" s="150">
        <f t="shared" si="25"/>
        <v>23272</v>
      </c>
      <c r="DG20" s="1113">
        <f>DG19+DG18+DG17+DG16+DG15+DG13</f>
        <v>22887</v>
      </c>
      <c r="DH20" s="1113">
        <f>DH19+DH18+DH17+DH16+DH15+DH13</f>
        <v>24773</v>
      </c>
      <c r="DI20" s="155">
        <f>DI19+DI18+DI17+DI16+DI15+DI13</f>
        <v>29623</v>
      </c>
      <c r="DJ20" s="150">
        <f t="shared" ref="DJ20:DM20" si="26">DJ19+DJ18+DJ17+DJ16+DJ15+DJ13</f>
        <v>22836</v>
      </c>
      <c r="DK20" s="1113">
        <f t="shared" si="26"/>
        <v>21502</v>
      </c>
      <c r="DL20" s="1113">
        <f t="shared" si="26"/>
        <v>21768</v>
      </c>
      <c r="DM20" s="155">
        <f t="shared" si="26"/>
        <v>22280</v>
      </c>
      <c r="DN20" s="150">
        <f t="shared" ref="DN20" si="27">DN19+DN18+DN17+DN16+DN15+DN13</f>
        <v>23615</v>
      </c>
      <c r="DO20" s="1113">
        <f t="shared" ref="DO20:DP20" si="28">DO19+DO18+DO17+DO16+DO15+DO13</f>
        <v>20844</v>
      </c>
      <c r="DP20" s="1113">
        <f t="shared" si="28"/>
        <v>25621</v>
      </c>
      <c r="DQ20" s="155">
        <f t="shared" ref="DQ20" si="29">DQ19+DQ18+DQ17+DQ16+DQ15+DQ13</f>
        <v>26395</v>
      </c>
      <c r="DR20" s="1113">
        <f>DR19+DR18+DR17+DR16+DR15+DR13+DR14</f>
        <v>27158</v>
      </c>
      <c r="DS20" s="1113">
        <f t="shared" ref="DS20:DY20" si="30">DS19+DS18+DS17+DS16+DS15+DS13+DS14</f>
        <v>28823</v>
      </c>
      <c r="DT20" s="1113">
        <f t="shared" si="30"/>
        <v>30867</v>
      </c>
      <c r="DU20" s="1113">
        <f t="shared" si="30"/>
        <v>29913</v>
      </c>
      <c r="DV20" s="1113">
        <f t="shared" si="30"/>
        <v>31025</v>
      </c>
      <c r="DW20" s="1113">
        <f t="shared" ca="1" si="30"/>
        <v>34359.916138134628</v>
      </c>
      <c r="DX20" s="1113">
        <f t="shared" ca="1" si="30"/>
        <v>38187.966107535576</v>
      </c>
      <c r="DY20" s="155">
        <f t="shared" ca="1" si="30"/>
        <v>44611.793236490696</v>
      </c>
      <c r="DZ20" s="1047"/>
    </row>
    <row r="21" spans="1:130">
      <c r="A21" s="102" t="s">
        <v>1224</v>
      </c>
      <c r="B21" s="87"/>
      <c r="C21" s="87"/>
      <c r="D21" s="87"/>
      <c r="E21" s="143"/>
      <c r="F21" s="143">
        <v>142113</v>
      </c>
      <c r="G21" s="143">
        <v>142989</v>
      </c>
      <c r="H21" s="143">
        <v>158957</v>
      </c>
      <c r="I21" s="143">
        <v>169586</v>
      </c>
      <c r="J21" s="143">
        <v>176838</v>
      </c>
      <c r="K21" s="143">
        <v>180940</v>
      </c>
      <c r="L21" s="143">
        <v>185522</v>
      </c>
      <c r="M21" s="143">
        <v>193610</v>
      </c>
      <c r="N21" s="143">
        <f>CC21</f>
        <v>204109</v>
      </c>
      <c r="O21" s="143">
        <f>CG21</f>
        <v>213994</v>
      </c>
      <c r="P21" s="143">
        <f>CK21</f>
        <v>215605</v>
      </c>
      <c r="Q21" s="143">
        <f>CO21</f>
        <v>228518</v>
      </c>
      <c r="R21" s="143">
        <f>+CS21</f>
        <v>211655</v>
      </c>
      <c r="S21" s="143">
        <f>+CW21</f>
        <v>215626</v>
      </c>
      <c r="T21" s="143">
        <f>+DA21</f>
        <v>209575</v>
      </c>
      <c r="U21" s="143">
        <f>+DE21</f>
        <v>220865</v>
      </c>
      <c r="V21" s="143">
        <f>+DI21</f>
        <v>230508</v>
      </c>
      <c r="W21" s="143">
        <f>+DM21</f>
        <v>220163</v>
      </c>
      <c r="X21" s="143">
        <f>+DQ21</f>
        <v>232215</v>
      </c>
      <c r="Y21" s="143">
        <f>+DU21</f>
        <v>246498</v>
      </c>
      <c r="Z21" s="143">
        <f ca="1">+DY21</f>
        <v>252053.70807238738</v>
      </c>
      <c r="AA21" s="143">
        <f ca="1">AA163</f>
        <v>255517.40874101289</v>
      </c>
      <c r="AB21" s="143">
        <f ca="1">AB163</f>
        <v>259003.06905096883</v>
      </c>
      <c r="AC21" s="143">
        <f t="shared" ref="AC21:AG21" ca="1" si="31">AC163</f>
        <v>262520.41276469914</v>
      </c>
      <c r="AD21" s="143">
        <f t="shared" ca="1" si="31"/>
        <v>266077.82650193601</v>
      </c>
      <c r="AE21" s="143">
        <f t="shared" ca="1" si="31"/>
        <v>269684.45432028908</v>
      </c>
      <c r="AF21" s="143">
        <f t="shared" ca="1" si="31"/>
        <v>273351.06785320869</v>
      </c>
      <c r="AG21" s="143">
        <f t="shared" ca="1" si="31"/>
        <v>278391.55063329882</v>
      </c>
      <c r="AH21" s="1411"/>
      <c r="AI21" s="143"/>
      <c r="AJ21" s="143"/>
      <c r="AK21" s="143"/>
      <c r="AL21" s="143"/>
      <c r="AM21" s="143"/>
      <c r="AN21" s="123"/>
      <c r="AO21" s="123"/>
      <c r="AP21" s="143"/>
      <c r="AQ21" s="143"/>
      <c r="AR21" s="143"/>
      <c r="AS21" s="143"/>
      <c r="AT21" s="143"/>
      <c r="AU21" s="143"/>
      <c r="AV21" s="143"/>
      <c r="AW21" s="143"/>
      <c r="AX21" s="143"/>
      <c r="AY21" s="143"/>
      <c r="AZ21" s="143"/>
      <c r="BA21" s="143">
        <v>142989</v>
      </c>
      <c r="BB21" s="183">
        <v>146500</v>
      </c>
      <c r="BC21" s="143">
        <v>150896</v>
      </c>
      <c r="BD21" s="143">
        <v>154496</v>
      </c>
      <c r="BE21" s="143">
        <v>158957</v>
      </c>
      <c r="BF21" s="143">
        <v>162892</v>
      </c>
      <c r="BG21" s="143">
        <v>167219</v>
      </c>
      <c r="BH21" s="143">
        <v>166312</v>
      </c>
      <c r="BI21" s="143">
        <v>169586</v>
      </c>
      <c r="BJ21" s="143">
        <v>171924</v>
      </c>
      <c r="BK21" s="143">
        <v>174547</v>
      </c>
      <c r="BL21" s="143">
        <v>175559</v>
      </c>
      <c r="BM21" s="143">
        <v>176838</v>
      </c>
      <c r="BN21" s="143">
        <v>177967</v>
      </c>
      <c r="BO21" s="143">
        <v>179151</v>
      </c>
      <c r="BP21" s="143">
        <v>179688</v>
      </c>
      <c r="BQ21" s="143">
        <v>180940</v>
      </c>
      <c r="BR21" s="159">
        <v>181719</v>
      </c>
      <c r="BS21" s="143">
        <v>181403</v>
      </c>
      <c r="BT21" s="143">
        <v>183356</v>
      </c>
      <c r="BU21" s="143">
        <v>185522</v>
      </c>
      <c r="BV21" s="159">
        <v>187482</v>
      </c>
      <c r="BW21" s="143">
        <v>190232</v>
      </c>
      <c r="BX21" s="143">
        <v>192506</v>
      </c>
      <c r="BY21" s="143">
        <v>193610</v>
      </c>
      <c r="BZ21" s="159">
        <f>NormInputs!BP72</f>
        <v>202850</v>
      </c>
      <c r="CA21" s="143">
        <f>NormInputs!BQ72</f>
        <v>200080</v>
      </c>
      <c r="CB21" s="143">
        <f>NormInputs!BR72</f>
        <v>201967</v>
      </c>
      <c r="CC21" s="143">
        <f>NormInputs!BS72</f>
        <v>204109</v>
      </c>
      <c r="CD21" s="159">
        <f>NormInputs!BT72</f>
        <v>206585</v>
      </c>
      <c r="CE21" s="143">
        <f>NormInputs!BU72</f>
        <v>209291</v>
      </c>
      <c r="CF21" s="143">
        <f>NormInputs!BV72</f>
        <v>211152</v>
      </c>
      <c r="CG21" s="143">
        <f>NormInputs!BW72</f>
        <v>213994</v>
      </c>
      <c r="CH21" s="159">
        <f>NormInputs!BX72</f>
        <v>211834</v>
      </c>
      <c r="CI21" s="143">
        <f>NormInputs!BY72</f>
        <v>212605</v>
      </c>
      <c r="CJ21" s="143">
        <f>NormInputs!BZ72</f>
        <v>214376</v>
      </c>
      <c r="CK21" s="143">
        <f>NormInputs!CA72</f>
        <v>215605</v>
      </c>
      <c r="CL21" s="159">
        <f>NormInputs!CB72</f>
        <v>221500</v>
      </c>
      <c r="CM21" s="143">
        <f>NormInputs!CC72</f>
        <v>224150</v>
      </c>
      <c r="CN21" s="143">
        <f>NormInputs!CD72</f>
        <v>226470</v>
      </c>
      <c r="CO21" s="143">
        <f>NormInputs!CE72</f>
        <v>228518</v>
      </c>
      <c r="CP21" s="159">
        <f>NormInputs!CF72</f>
        <v>231771</v>
      </c>
      <c r="CQ21" s="143">
        <f>NormInputs!CG72</f>
        <v>234727</v>
      </c>
      <c r="CR21" s="143">
        <f>NormInputs!CH72</f>
        <v>217859</v>
      </c>
      <c r="CS21" s="143">
        <f>NormInputs!CI72</f>
        <v>211655</v>
      </c>
      <c r="CT21" s="159">
        <f>NormInputs!CJ72</f>
        <v>211704</v>
      </c>
      <c r="CU21" s="143">
        <f>NormInputs!CK72</f>
        <v>212949</v>
      </c>
      <c r="CV21" s="143">
        <f>NormInputs!CL72</f>
        <v>214798</v>
      </c>
      <c r="CW21" s="189">
        <f>NormInputs!CM72</f>
        <v>215626</v>
      </c>
      <c r="CX21" s="143">
        <f>NormInputs!CN72</f>
        <v>218250</v>
      </c>
      <c r="CY21" s="143">
        <f>NormInputs!CO72</f>
        <v>217739</v>
      </c>
      <c r="CZ21" s="143">
        <f>NormInputs!CP72</f>
        <v>216995</v>
      </c>
      <c r="DA21" s="143">
        <f>NormInputs!CQ72</f>
        <v>209575</v>
      </c>
      <c r="DB21" s="159">
        <f>NormInputs!CR72</f>
        <v>212082</v>
      </c>
      <c r="DC21" s="143">
        <f>NormInputs!CS72</f>
        <v>215224</v>
      </c>
      <c r="DD21" s="143">
        <f>NormInputs!CT72</f>
        <v>218336</v>
      </c>
      <c r="DE21" s="143">
        <f>NormInputs!CU72</f>
        <v>220865</v>
      </c>
      <c r="DF21" s="159">
        <f>NormInputs!CV72</f>
        <v>223841</v>
      </c>
      <c r="DG21" s="1047">
        <f>NormInputs!CW72</f>
        <v>227475</v>
      </c>
      <c r="DH21" s="1047">
        <f>NormInputs!CX72</f>
        <v>230452</v>
      </c>
      <c r="DI21" s="189">
        <f>NormInputs!CY72</f>
        <v>230508</v>
      </c>
      <c r="DJ21" s="159">
        <f>NormInputs!CZ72</f>
        <v>210389</v>
      </c>
      <c r="DK21" s="1047">
        <f>NormInputs!DA72</f>
        <v>213661</v>
      </c>
      <c r="DL21" s="2149">
        <f>NormInputs!DB72</f>
        <v>216674</v>
      </c>
      <c r="DM21" s="2485">
        <f>NormInputs!DC72</f>
        <v>220163</v>
      </c>
      <c r="DN21" s="2488">
        <f>NormInputs!DD72</f>
        <v>222669</v>
      </c>
      <c r="DO21" s="2149">
        <f>NormInputs!DE72</f>
        <v>225756</v>
      </c>
      <c r="DP21" s="2149">
        <f>NormInputs!DF72</f>
        <v>228909</v>
      </c>
      <c r="DQ21" s="2485">
        <f>NormInputs!DG72</f>
        <v>232215</v>
      </c>
      <c r="DR21" s="2149">
        <f>NormInputs!DH72</f>
        <v>235550</v>
      </c>
      <c r="DS21" s="2149">
        <f>NormInputs!DI72</f>
        <v>239226</v>
      </c>
      <c r="DT21" s="2149">
        <f>NormInputs!DJ72</f>
        <v>242608</v>
      </c>
      <c r="DU21" s="2149">
        <f>NormInputs!DK72</f>
        <v>246498</v>
      </c>
      <c r="DV21" s="2149">
        <f>NormInputs!DL72</f>
        <v>246877</v>
      </c>
      <c r="DW21" s="1047">
        <f t="shared" ref="DW21:DY21" ca="1" si="32">DW163</f>
        <v>248510.25683458906</v>
      </c>
      <c r="DX21" s="1047">
        <f t="shared" ca="1" si="32"/>
        <v>250195.08025801176</v>
      </c>
      <c r="DY21" s="189">
        <f t="shared" ca="1" si="32"/>
        <v>252053.70807238738</v>
      </c>
      <c r="DZ21" s="1047"/>
    </row>
    <row r="22" spans="1:130">
      <c r="A22" s="102" t="s">
        <v>1225</v>
      </c>
      <c r="B22" s="87"/>
      <c r="C22" s="87"/>
      <c r="D22" s="87"/>
      <c r="E22" s="143"/>
      <c r="F22" s="143">
        <v>-80868</v>
      </c>
      <c r="G22" s="143">
        <v>-80816</v>
      </c>
      <c r="H22" s="143">
        <v>-89453</v>
      </c>
      <c r="I22" s="143">
        <v>-95167</v>
      </c>
      <c r="J22" s="143">
        <v>-103080</v>
      </c>
      <c r="K22" s="143">
        <v>-105638</v>
      </c>
      <c r="L22" s="143">
        <v>-111398</v>
      </c>
      <c r="M22" s="143">
        <v>-118305</v>
      </c>
      <c r="N22" s="143">
        <f>CC22</f>
        <v>-121753</v>
      </c>
      <c r="O22" s="143">
        <f>CG22</f>
        <v>-128700</v>
      </c>
      <c r="P22" s="143">
        <f>CK22</f>
        <v>-129059</v>
      </c>
      <c r="Q22" s="143">
        <f>CO22</f>
        <v>-137052</v>
      </c>
      <c r="R22" s="143">
        <f>+CS22</f>
        <v>-123944</v>
      </c>
      <c r="S22" s="143">
        <f>+CW22</f>
        <v>-127192</v>
      </c>
      <c r="T22" s="143">
        <f>+DA22</f>
        <v>-120933</v>
      </c>
      <c r="U22" s="143">
        <f>+DE22</f>
        <v>-131909</v>
      </c>
      <c r="V22" s="143">
        <f>+DI22</f>
        <v>-140561</v>
      </c>
      <c r="W22" s="143">
        <f>+DM22</f>
        <v>-136622</v>
      </c>
      <c r="X22" s="143">
        <f>+DQ22</f>
        <v>-147464</v>
      </c>
      <c r="Y22" s="143">
        <f>+DU22</f>
        <v>-157930</v>
      </c>
      <c r="Z22" s="143">
        <f ca="1">+DY22</f>
        <v>-164613.29902457807</v>
      </c>
      <c r="AA22" s="143">
        <f ca="1">-AA164</f>
        <v>-168198.79233126272</v>
      </c>
      <c r="AB22" s="143">
        <f ca="1">-AB164</f>
        <v>-171533.79977159642</v>
      </c>
      <c r="AC22" s="143">
        <f t="shared" ref="AC22:AG22" ca="1" si="33">-AC164</f>
        <v>-174620.88977955052</v>
      </c>
      <c r="AD22" s="143">
        <f t="shared" ca="1" si="33"/>
        <v>-177462.50285235044</v>
      </c>
      <c r="AE22" s="143">
        <f t="shared" ca="1" si="33"/>
        <v>-180060.98027325299</v>
      </c>
      <c r="AF22" s="143">
        <f t="shared" ca="1" si="33"/>
        <v>-182418.57503005659</v>
      </c>
      <c r="AG22" s="143">
        <f t="shared" ca="1" si="33"/>
        <v>-184577.99551850752</v>
      </c>
      <c r="AH22" s="1411"/>
      <c r="AI22" s="143"/>
      <c r="AJ22" s="143"/>
      <c r="AK22" s="143"/>
      <c r="AL22" s="143"/>
      <c r="AM22" s="143"/>
      <c r="AN22" s="123"/>
      <c r="AO22" s="123"/>
      <c r="AP22" s="143"/>
      <c r="AQ22" s="143"/>
      <c r="AR22" s="143"/>
      <c r="AS22" s="143"/>
      <c r="AT22" s="143"/>
      <c r="AU22" s="143"/>
      <c r="AV22" s="143"/>
      <c r="AW22" s="143"/>
      <c r="AX22" s="143"/>
      <c r="AY22" s="143"/>
      <c r="AZ22" s="143"/>
      <c r="BA22" s="143">
        <v>-80816</v>
      </c>
      <c r="BB22" s="183">
        <v>-83469</v>
      </c>
      <c r="BC22" s="143">
        <v>-86122</v>
      </c>
      <c r="BD22" s="143">
        <v>-88191</v>
      </c>
      <c r="BE22" s="143">
        <v>-89453</v>
      </c>
      <c r="BF22" s="143">
        <v>-91523</v>
      </c>
      <c r="BG22" s="143">
        <v>-93677</v>
      </c>
      <c r="BH22" s="143">
        <v>-93415</v>
      </c>
      <c r="BI22" s="143">
        <v>-95167</v>
      </c>
      <c r="BJ22" s="143">
        <v>-98449</v>
      </c>
      <c r="BK22" s="143">
        <v>-100989</v>
      </c>
      <c r="BL22" s="143">
        <v>-102201</v>
      </c>
      <c r="BM22" s="143">
        <v>-103080</v>
      </c>
      <c r="BN22" s="143">
        <v>-101556</v>
      </c>
      <c r="BO22" s="143">
        <v>-103393</v>
      </c>
      <c r="BP22" s="143">
        <v>-104602</v>
      </c>
      <c r="BQ22" s="143">
        <v>-105638</v>
      </c>
      <c r="BR22" s="159">
        <v>-107115</v>
      </c>
      <c r="BS22" s="143">
        <v>-107873</v>
      </c>
      <c r="BT22" s="143">
        <v>-109870</v>
      </c>
      <c r="BU22" s="143">
        <v>-111398</v>
      </c>
      <c r="BV22" s="159">
        <v>-113111</v>
      </c>
      <c r="BW22" s="143">
        <v>-115099</v>
      </c>
      <c r="BX22" s="143">
        <v>-117314</v>
      </c>
      <c r="BY22" s="143">
        <v>-118305</v>
      </c>
      <c r="BZ22" s="159">
        <f>-NormInputs!BP73</f>
        <v>-120580</v>
      </c>
      <c r="CA22" s="143">
        <f>-NormInputs!BQ73</f>
        <v>-119083</v>
      </c>
      <c r="CB22" s="143">
        <f>-NormInputs!BR73</f>
        <v>-120565</v>
      </c>
      <c r="CC22" s="143">
        <f>-NormInputs!BS73</f>
        <v>-121753</v>
      </c>
      <c r="CD22" s="159">
        <f>-NormInputs!BT73</f>
        <v>-123607</v>
      </c>
      <c r="CE22" s="143">
        <f>-NormInputs!BU73</f>
        <v>-125562</v>
      </c>
      <c r="CF22" s="143">
        <f>-NormInputs!BV73</f>
        <v>-126823</v>
      </c>
      <c r="CG22" s="143">
        <f>-NormInputs!BW73</f>
        <v>-128700</v>
      </c>
      <c r="CH22" s="159">
        <f>-NormInputs!BX73</f>
        <v>-127350</v>
      </c>
      <c r="CI22" s="143">
        <f>-NormInputs!BY73</f>
        <v>-127450</v>
      </c>
      <c r="CJ22" s="143">
        <f>-NormInputs!BZ73</f>
        <v>-128687</v>
      </c>
      <c r="CK22" s="143">
        <f>-NormInputs!CA73</f>
        <v>-129059</v>
      </c>
      <c r="CL22" s="159">
        <f>-NormInputs!CB73</f>
        <v>-131645</v>
      </c>
      <c r="CM22" s="143">
        <f>-NormInputs!CC73</f>
        <v>-133848</v>
      </c>
      <c r="CN22" s="143">
        <f>-NormInputs!CD73</f>
        <v>-135636</v>
      </c>
      <c r="CO22" s="143">
        <f>-NormInputs!CE73</f>
        <v>-137052</v>
      </c>
      <c r="CP22" s="159">
        <f>-NormInputs!CF73</f>
        <v>-139937</v>
      </c>
      <c r="CQ22" s="143">
        <f>-NormInputs!CG73</f>
        <v>-142626</v>
      </c>
      <c r="CR22" s="143">
        <f>-NormInputs!CH73</f>
        <v>-130429</v>
      </c>
      <c r="CS22" s="143">
        <f>-NormInputs!CI73</f>
        <v>-123944</v>
      </c>
      <c r="CT22" s="159">
        <f>-NormInputs!CJ73</f>
        <v>-123459</v>
      </c>
      <c r="CU22" s="143">
        <f>-NormInputs!CK73</f>
        <v>-123552</v>
      </c>
      <c r="CV22" s="143">
        <f>-NormInputs!CL73</f>
        <v>-125955</v>
      </c>
      <c r="CW22" s="189">
        <f>-NormInputs!CM73</f>
        <v>-127192</v>
      </c>
      <c r="CX22" s="143">
        <f>-NormInputs!CN73</f>
        <v>-130064</v>
      </c>
      <c r="CY22" s="143">
        <f>-NormInputs!CO73</f>
        <v>-129844</v>
      </c>
      <c r="CZ22" s="143">
        <f>-NormInputs!CP73</f>
        <v>-129185</v>
      </c>
      <c r="DA22" s="143">
        <f>-NormInputs!CQ73</f>
        <v>-120933</v>
      </c>
      <c r="DB22" s="159">
        <f>-NormInputs!CR73</f>
        <v>-123901</v>
      </c>
      <c r="DC22" s="143">
        <f>-NormInputs!CS73</f>
        <v>-126892</v>
      </c>
      <c r="DD22" s="143">
        <f>-NormInputs!CT73</f>
        <v>-129809</v>
      </c>
      <c r="DE22" s="143">
        <f>-NormInputs!CU73</f>
        <v>-131909</v>
      </c>
      <c r="DF22" s="159">
        <f>-NormInputs!CV73</f>
        <v>-134785</v>
      </c>
      <c r="DG22" s="1047">
        <f>-NormInputs!CW73</f>
        <v>-137763</v>
      </c>
      <c r="DH22" s="1047">
        <f>-NormInputs!CX73</f>
        <v>-140520</v>
      </c>
      <c r="DI22" s="189">
        <f>-NormInputs!CY73</f>
        <v>-140561</v>
      </c>
      <c r="DJ22" s="159">
        <f>-NormInputs!CZ73</f>
        <v>-128747</v>
      </c>
      <c r="DK22" s="1047">
        <f>-NormInputs!DA73</f>
        <v>-131129</v>
      </c>
      <c r="DL22" s="2149">
        <f>-NormInputs!DB73</f>
        <v>-134112</v>
      </c>
      <c r="DM22" s="2485">
        <f>-NormInputs!DC73</f>
        <v>-136622</v>
      </c>
      <c r="DN22" s="2488">
        <f>-NormInputs!DD73</f>
        <v>-139658</v>
      </c>
      <c r="DO22" s="2149">
        <f>-NormInputs!DE73</f>
        <v>-142584</v>
      </c>
      <c r="DP22" s="2149">
        <f>-NormInputs!DF73</f>
        <v>-145495</v>
      </c>
      <c r="DQ22" s="2485">
        <f>-NormInputs!DG73</f>
        <v>-147464</v>
      </c>
      <c r="DR22" s="2149">
        <f>-NormInputs!DH73</f>
        <v>-150337</v>
      </c>
      <c r="DS22" s="2149">
        <f>-NormInputs!DI73</f>
        <v>-152705</v>
      </c>
      <c r="DT22" s="2149">
        <f>-NormInputs!DJ73</f>
        <v>-155986</v>
      </c>
      <c r="DU22" s="2149">
        <f>-NormInputs!DK73</f>
        <v>-157930</v>
      </c>
      <c r="DV22" s="2149">
        <f>-NormInputs!DL73</f>
        <v>-158955</v>
      </c>
      <c r="DW22" s="1047">
        <f t="shared" ref="DW22:DY22" ca="1" si="34">-DW164</f>
        <v>-160827.86566972945</v>
      </c>
      <c r="DX22" s="1047">
        <f t="shared" ca="1" si="34"/>
        <v>-162713.47884009834</v>
      </c>
      <c r="DY22" s="189">
        <f t="shared" ca="1" si="34"/>
        <v>-164613.29902457807</v>
      </c>
      <c r="DZ22" s="1047"/>
    </row>
    <row r="23" spans="1:130">
      <c r="A23" s="102" t="s">
        <v>1226</v>
      </c>
      <c r="B23" s="102"/>
      <c r="C23" s="102"/>
      <c r="D23" s="87"/>
      <c r="E23" s="143"/>
      <c r="F23" s="143">
        <v>61245</v>
      </c>
      <c r="G23" s="143">
        <v>62173</v>
      </c>
      <c r="H23" s="143">
        <v>69504</v>
      </c>
      <c r="I23" s="143">
        <v>74419</v>
      </c>
      <c r="J23" s="143">
        <v>73758</v>
      </c>
      <c r="K23" s="143">
        <v>75302</v>
      </c>
      <c r="L23" s="143">
        <v>74124</v>
      </c>
      <c r="M23" s="143">
        <v>75305</v>
      </c>
      <c r="N23" s="143">
        <f t="shared" ref="N23:V23" si="35">N21+N22</f>
        <v>82356</v>
      </c>
      <c r="O23" s="143">
        <f t="shared" si="35"/>
        <v>85294</v>
      </c>
      <c r="P23" s="143">
        <f t="shared" si="35"/>
        <v>86546</v>
      </c>
      <c r="Q23" s="143">
        <f t="shared" si="35"/>
        <v>91466</v>
      </c>
      <c r="R23" s="143">
        <f t="shared" si="35"/>
        <v>87711</v>
      </c>
      <c r="S23" s="143">
        <f t="shared" si="35"/>
        <v>88434</v>
      </c>
      <c r="T23" s="143">
        <f t="shared" si="35"/>
        <v>88642</v>
      </c>
      <c r="U23" s="143">
        <f t="shared" si="35"/>
        <v>88956</v>
      </c>
      <c r="V23" s="143">
        <f t="shared" si="35"/>
        <v>89947</v>
      </c>
      <c r="W23" s="143">
        <f t="shared" ref="W23:AB23" si="36">W21+W22</f>
        <v>83541</v>
      </c>
      <c r="X23" s="143">
        <f t="shared" si="36"/>
        <v>84751</v>
      </c>
      <c r="Y23" s="143">
        <f t="shared" si="36"/>
        <v>88568</v>
      </c>
      <c r="Z23" s="143">
        <f t="shared" ca="1" si="36"/>
        <v>87440.409047809313</v>
      </c>
      <c r="AA23" s="143">
        <f t="shared" ca="1" si="36"/>
        <v>87318.616409750161</v>
      </c>
      <c r="AB23" s="143">
        <f t="shared" ca="1" si="36"/>
        <v>87469.269279372413</v>
      </c>
      <c r="AC23" s="143">
        <f t="shared" ref="AC23:AG23" ca="1" si="37">AC21+AC22</f>
        <v>87899.522985148622</v>
      </c>
      <c r="AD23" s="143">
        <f t="shared" ca="1" si="37"/>
        <v>88615.323649585567</v>
      </c>
      <c r="AE23" s="143">
        <f t="shared" ca="1" si="37"/>
        <v>89623.474047036085</v>
      </c>
      <c r="AF23" s="143">
        <f t="shared" ca="1" si="37"/>
        <v>90932.492823152104</v>
      </c>
      <c r="AG23" s="143">
        <f t="shared" ca="1" si="37"/>
        <v>93813.555114791292</v>
      </c>
      <c r="AH23" s="1411"/>
      <c r="AI23" s="143"/>
      <c r="AJ23" s="143"/>
      <c r="AK23" s="143"/>
      <c r="AL23" s="143"/>
      <c r="AM23" s="143"/>
      <c r="AN23" s="123"/>
      <c r="AO23" s="123"/>
      <c r="AP23" s="143"/>
      <c r="AQ23" s="143"/>
      <c r="AR23" s="143"/>
      <c r="AS23" s="143"/>
      <c r="AT23" s="143"/>
      <c r="AU23" s="143"/>
      <c r="AV23" s="143"/>
      <c r="AW23" s="143"/>
      <c r="AX23" s="143"/>
      <c r="AY23" s="143"/>
      <c r="AZ23" s="143"/>
      <c r="BA23" s="143">
        <v>62173</v>
      </c>
      <c r="BB23" s="143"/>
      <c r="BC23" s="143">
        <v>64774</v>
      </c>
      <c r="BD23" s="143">
        <v>66305</v>
      </c>
      <c r="BE23" s="143">
        <v>69504</v>
      </c>
      <c r="BF23" s="143">
        <v>71369</v>
      </c>
      <c r="BG23" s="143">
        <v>73542</v>
      </c>
      <c r="BH23" s="143">
        <v>72897</v>
      </c>
      <c r="BI23" s="143">
        <v>74419</v>
      </c>
      <c r="BJ23" s="143">
        <v>73475</v>
      </c>
      <c r="BK23" s="143">
        <v>73558</v>
      </c>
      <c r="BL23" s="143">
        <v>73358</v>
      </c>
      <c r="BM23" s="143">
        <v>73758</v>
      </c>
      <c r="BN23" s="143">
        <v>76411</v>
      </c>
      <c r="BO23" s="143">
        <v>75758</v>
      </c>
      <c r="BP23" s="143">
        <v>75086</v>
      </c>
      <c r="BQ23" s="143">
        <v>75302</v>
      </c>
      <c r="BR23" s="159">
        <v>74604</v>
      </c>
      <c r="BS23" s="143">
        <v>73530</v>
      </c>
      <c r="BT23" s="143">
        <v>73486</v>
      </c>
      <c r="BU23" s="143">
        <v>74124</v>
      </c>
      <c r="BV23" s="159">
        <v>74371</v>
      </c>
      <c r="BW23" s="143">
        <v>75133</v>
      </c>
      <c r="BX23" s="143">
        <v>75192</v>
      </c>
      <c r="BY23" s="143">
        <v>75305</v>
      </c>
      <c r="BZ23" s="159">
        <f t="shared" ref="BZ23:DF23" si="38">BZ21+BZ22</f>
        <v>82270</v>
      </c>
      <c r="CA23" s="143">
        <f t="shared" si="38"/>
        <v>80997</v>
      </c>
      <c r="CB23" s="143">
        <f t="shared" si="38"/>
        <v>81402</v>
      </c>
      <c r="CC23" s="143">
        <f t="shared" si="38"/>
        <v>82356</v>
      </c>
      <c r="CD23" s="159">
        <f t="shared" si="38"/>
        <v>82978</v>
      </c>
      <c r="CE23" s="143">
        <f t="shared" si="38"/>
        <v>83729</v>
      </c>
      <c r="CF23" s="143">
        <f t="shared" si="38"/>
        <v>84329</v>
      </c>
      <c r="CG23" s="143">
        <f t="shared" si="38"/>
        <v>85294</v>
      </c>
      <c r="CH23" s="159">
        <f t="shared" si="38"/>
        <v>84484</v>
      </c>
      <c r="CI23" s="143">
        <f t="shared" si="38"/>
        <v>85155</v>
      </c>
      <c r="CJ23" s="143">
        <f t="shared" si="38"/>
        <v>85689</v>
      </c>
      <c r="CK23" s="143">
        <f t="shared" si="38"/>
        <v>86546</v>
      </c>
      <c r="CL23" s="159">
        <f t="shared" si="38"/>
        <v>89855</v>
      </c>
      <c r="CM23" s="143">
        <f t="shared" si="38"/>
        <v>90302</v>
      </c>
      <c r="CN23" s="143">
        <f t="shared" si="38"/>
        <v>90834</v>
      </c>
      <c r="CO23" s="143">
        <f t="shared" si="38"/>
        <v>91466</v>
      </c>
      <c r="CP23" s="159">
        <f t="shared" si="38"/>
        <v>91834</v>
      </c>
      <c r="CQ23" s="143">
        <f t="shared" si="38"/>
        <v>92101</v>
      </c>
      <c r="CR23" s="143">
        <f t="shared" si="38"/>
        <v>87430</v>
      </c>
      <c r="CS23" s="143">
        <f t="shared" si="38"/>
        <v>87711</v>
      </c>
      <c r="CT23" s="159">
        <f t="shared" si="38"/>
        <v>88245</v>
      </c>
      <c r="CU23" s="143">
        <f t="shared" si="38"/>
        <v>89397</v>
      </c>
      <c r="CV23" s="143">
        <f t="shared" si="38"/>
        <v>88843</v>
      </c>
      <c r="CW23" s="189">
        <f t="shared" si="38"/>
        <v>88434</v>
      </c>
      <c r="CX23" s="143">
        <f t="shared" si="38"/>
        <v>88186</v>
      </c>
      <c r="CY23" s="143">
        <f t="shared" si="38"/>
        <v>87895</v>
      </c>
      <c r="CZ23" s="143">
        <f t="shared" si="38"/>
        <v>87810</v>
      </c>
      <c r="DA23" s="143">
        <f t="shared" si="38"/>
        <v>88642</v>
      </c>
      <c r="DB23" s="159">
        <f t="shared" si="38"/>
        <v>88181</v>
      </c>
      <c r="DC23" s="143">
        <f t="shared" si="38"/>
        <v>88332</v>
      </c>
      <c r="DD23" s="143">
        <f t="shared" si="38"/>
        <v>88527</v>
      </c>
      <c r="DE23" s="143">
        <f t="shared" si="38"/>
        <v>88956</v>
      </c>
      <c r="DF23" s="159">
        <f t="shared" si="38"/>
        <v>89056</v>
      </c>
      <c r="DG23" s="1047">
        <f>DG21+DG22</f>
        <v>89712</v>
      </c>
      <c r="DH23" s="1047">
        <f>DH21+DH22</f>
        <v>89932</v>
      </c>
      <c r="DI23" s="189">
        <f>DI21+DI22</f>
        <v>89947</v>
      </c>
      <c r="DJ23" s="159">
        <f t="shared" ref="DJ23:DM23" si="39">DJ21+DJ22</f>
        <v>81642</v>
      </c>
      <c r="DK23" s="1047">
        <f t="shared" si="39"/>
        <v>82532</v>
      </c>
      <c r="DL23" s="1047">
        <f t="shared" si="39"/>
        <v>82562</v>
      </c>
      <c r="DM23" s="189">
        <f t="shared" si="39"/>
        <v>83541</v>
      </c>
      <c r="DN23" s="159">
        <f t="shared" ref="DN23:DO23" si="40">DN21+DN22</f>
        <v>83011</v>
      </c>
      <c r="DO23" s="1047">
        <f t="shared" si="40"/>
        <v>83172</v>
      </c>
      <c r="DP23" s="1047">
        <f t="shared" ref="DP23:DQ23" si="41">DP21+DP22</f>
        <v>83414</v>
      </c>
      <c r="DQ23" s="189">
        <f t="shared" si="41"/>
        <v>84751</v>
      </c>
      <c r="DR23" s="1047">
        <f t="shared" ref="DR23:DS23" si="42">DR21+DR22</f>
        <v>85213</v>
      </c>
      <c r="DS23" s="1047">
        <f t="shared" si="42"/>
        <v>86521</v>
      </c>
      <c r="DT23" s="1047">
        <f t="shared" ref="DT23:DU23" si="43">DT21+DT22</f>
        <v>86622</v>
      </c>
      <c r="DU23" s="1047">
        <f t="shared" si="43"/>
        <v>88568</v>
      </c>
      <c r="DV23" s="1047">
        <f t="shared" ref="DV23" si="44">DV21+DV22</f>
        <v>87922</v>
      </c>
      <c r="DW23" s="1047">
        <f t="shared" ref="DW23:DY23" ca="1" si="45">DW21+DW22</f>
        <v>87682.391164859611</v>
      </c>
      <c r="DX23" s="1047">
        <f t="shared" ca="1" si="45"/>
        <v>87481.601417913422</v>
      </c>
      <c r="DY23" s="189">
        <f t="shared" ca="1" si="45"/>
        <v>87440.409047809313</v>
      </c>
      <c r="DZ23" s="1047"/>
    </row>
    <row r="24" spans="1:130" hidden="1">
      <c r="A24" s="250" t="s">
        <v>1227</v>
      </c>
      <c r="B24" s="103"/>
      <c r="C24" s="103"/>
      <c r="D24" s="103"/>
      <c r="E24" s="183"/>
      <c r="F24" s="183"/>
      <c r="G24" s="183"/>
      <c r="H24" s="183"/>
      <c r="I24" s="183">
        <v>2718</v>
      </c>
      <c r="J24" s="183">
        <v>0</v>
      </c>
      <c r="K24" s="183">
        <v>0</v>
      </c>
      <c r="L24" s="183">
        <v>0</v>
      </c>
      <c r="M24" s="183">
        <v>0</v>
      </c>
      <c r="N24" s="183">
        <f t="shared" ref="N24:AB24" si="46">M24</f>
        <v>0</v>
      </c>
      <c r="O24" s="183">
        <f t="shared" si="46"/>
        <v>0</v>
      </c>
      <c r="P24" s="183">
        <f t="shared" si="46"/>
        <v>0</v>
      </c>
      <c r="Q24" s="185">
        <f t="shared" si="46"/>
        <v>0</v>
      </c>
      <c r="R24" s="143">
        <f t="shared" si="46"/>
        <v>0</v>
      </c>
      <c r="S24" s="185">
        <f t="shared" si="46"/>
        <v>0</v>
      </c>
      <c r="T24" s="185">
        <f t="shared" si="46"/>
        <v>0</v>
      </c>
      <c r="U24" s="185">
        <f t="shared" si="46"/>
        <v>0</v>
      </c>
      <c r="V24" s="185">
        <f t="shared" si="46"/>
        <v>0</v>
      </c>
      <c r="W24" s="185">
        <f t="shared" ref="W24:Z25" si="47">V24</f>
        <v>0</v>
      </c>
      <c r="X24" s="185">
        <f t="shared" si="47"/>
        <v>0</v>
      </c>
      <c r="Y24" s="185">
        <f t="shared" si="47"/>
        <v>0</v>
      </c>
      <c r="Z24" s="185">
        <f t="shared" si="47"/>
        <v>0</v>
      </c>
      <c r="AA24" s="185">
        <f t="shared" si="46"/>
        <v>0</v>
      </c>
      <c r="AB24" s="185">
        <f t="shared" si="46"/>
        <v>0</v>
      </c>
      <c r="AC24" s="185">
        <f t="shared" ref="AC24:AC25" si="48">AB24</f>
        <v>0</v>
      </c>
      <c r="AD24" s="185">
        <f t="shared" ref="AD24:AD25" si="49">AC24</f>
        <v>0</v>
      </c>
      <c r="AE24" s="185">
        <f t="shared" ref="AE24:AE25" si="50">AD24</f>
        <v>0</v>
      </c>
      <c r="AF24" s="185">
        <f t="shared" ref="AF24:AF25" si="51">AE24</f>
        <v>0</v>
      </c>
      <c r="AG24" s="185">
        <f t="shared" ref="AG24:AG25" si="52">AF24</f>
        <v>0</v>
      </c>
      <c r="AH24" s="1411"/>
      <c r="AI24" s="183"/>
      <c r="AJ24" s="183"/>
      <c r="AK24" s="183"/>
      <c r="AL24" s="183"/>
      <c r="AM24" s="143"/>
      <c r="AN24" s="123"/>
      <c r="AO24" s="123"/>
      <c r="AP24" s="183"/>
      <c r="AQ24" s="183"/>
      <c r="AR24" s="183"/>
      <c r="AS24" s="183"/>
      <c r="AT24" s="183"/>
      <c r="AU24" s="183"/>
      <c r="AV24" s="183"/>
      <c r="AW24" s="183"/>
      <c r="AX24" s="183"/>
      <c r="AY24" s="183"/>
      <c r="AZ24" s="183"/>
      <c r="BA24" s="183"/>
      <c r="BB24" s="183"/>
      <c r="BC24" s="183"/>
      <c r="BD24" s="183"/>
      <c r="BE24" s="183"/>
      <c r="BF24" s="183"/>
      <c r="BG24" s="183"/>
      <c r="BH24" s="183"/>
      <c r="BI24" s="183"/>
      <c r="BJ24" s="183"/>
      <c r="BK24" s="183"/>
      <c r="BL24" s="183"/>
      <c r="BM24" s="183"/>
      <c r="BN24" s="183"/>
      <c r="BO24" s="183"/>
      <c r="BP24" s="183"/>
      <c r="BQ24" s="183"/>
      <c r="BR24" s="251"/>
      <c r="BS24" s="183"/>
      <c r="BT24" s="183"/>
      <c r="BU24" s="183"/>
      <c r="BV24" s="251"/>
      <c r="BW24" s="183"/>
      <c r="BX24" s="183"/>
      <c r="BY24" s="183"/>
      <c r="BZ24" s="251"/>
      <c r="CA24" s="183"/>
      <c r="CB24" s="183"/>
      <c r="CC24" s="183"/>
      <c r="CD24" s="251"/>
      <c r="CE24" s="183"/>
      <c r="CF24" s="183"/>
      <c r="CG24" s="183"/>
      <c r="CH24" s="251"/>
      <c r="CI24" s="183"/>
      <c r="CJ24" s="183"/>
      <c r="CK24" s="143"/>
      <c r="CL24" s="159"/>
      <c r="CM24" s="183"/>
      <c r="CN24" s="183"/>
      <c r="CO24" s="183"/>
      <c r="CP24" s="252"/>
      <c r="CQ24" s="185"/>
      <c r="CR24" s="185"/>
      <c r="CS24" s="185"/>
      <c r="CT24" s="252"/>
      <c r="CU24" s="185"/>
      <c r="CV24" s="185"/>
      <c r="CW24" s="249"/>
      <c r="CX24" s="185"/>
      <c r="CY24" s="185"/>
      <c r="CZ24" s="185"/>
      <c r="DA24" s="185"/>
      <c r="DB24" s="252"/>
      <c r="DC24" s="185"/>
      <c r="DD24" s="185"/>
      <c r="DE24" s="185"/>
      <c r="DF24" s="252"/>
      <c r="DG24" s="1369"/>
      <c r="DH24" s="1369"/>
      <c r="DI24" s="249"/>
      <c r="DJ24" s="252"/>
      <c r="DK24" s="1369"/>
      <c r="DL24" s="1369"/>
      <c r="DM24" s="249"/>
      <c r="DN24" s="252"/>
      <c r="DO24" s="1369"/>
      <c r="DP24" s="1369"/>
      <c r="DQ24" s="249"/>
      <c r="DR24" s="1369"/>
      <c r="DS24" s="1369"/>
      <c r="DT24" s="1369"/>
      <c r="DU24" s="1369"/>
      <c r="DV24" s="1369"/>
      <c r="DW24" s="1131"/>
      <c r="DX24" s="1131"/>
      <c r="DY24" s="253"/>
      <c r="DZ24" s="1047"/>
    </row>
    <row r="25" spans="1:130" hidden="1">
      <c r="A25" s="250" t="s">
        <v>1228</v>
      </c>
      <c r="B25" s="103"/>
      <c r="C25" s="103"/>
      <c r="D25" s="103"/>
      <c r="E25" s="183"/>
      <c r="F25" s="183"/>
      <c r="G25" s="183"/>
      <c r="H25" s="183">
        <v>49006.275000000001</v>
      </c>
      <c r="I25" s="183">
        <v>49006.275000000001</v>
      </c>
      <c r="J25" s="183">
        <v>49006.275000000001</v>
      </c>
      <c r="K25" s="183">
        <v>49006.275000000001</v>
      </c>
      <c r="L25" s="183">
        <v>49006.275000000001</v>
      </c>
      <c r="M25" s="183">
        <v>49006.275000000001</v>
      </c>
      <c r="N25" s="183">
        <f t="shared" ref="N25:AB25" si="53">M25</f>
        <v>49006.275000000001</v>
      </c>
      <c r="O25" s="183">
        <f t="shared" si="53"/>
        <v>49006.275000000001</v>
      </c>
      <c r="P25" s="183">
        <f t="shared" si="53"/>
        <v>49006.275000000001</v>
      </c>
      <c r="Q25" s="185">
        <f t="shared" si="53"/>
        <v>49006.275000000001</v>
      </c>
      <c r="R25" s="185">
        <f t="shared" si="53"/>
        <v>49006.275000000001</v>
      </c>
      <c r="S25" s="185">
        <f t="shared" si="53"/>
        <v>49006.275000000001</v>
      </c>
      <c r="T25" s="185">
        <f t="shared" si="53"/>
        <v>49006.275000000001</v>
      </c>
      <c r="U25" s="185">
        <f t="shared" si="53"/>
        <v>49006.275000000001</v>
      </c>
      <c r="V25" s="185">
        <f t="shared" si="53"/>
        <v>49006.275000000001</v>
      </c>
      <c r="W25" s="185">
        <f t="shared" si="47"/>
        <v>49006.275000000001</v>
      </c>
      <c r="X25" s="185">
        <f t="shared" si="47"/>
        <v>49006.275000000001</v>
      </c>
      <c r="Y25" s="185">
        <f t="shared" si="47"/>
        <v>49006.275000000001</v>
      </c>
      <c r="Z25" s="185">
        <f t="shared" si="47"/>
        <v>49006.275000000001</v>
      </c>
      <c r="AA25" s="185">
        <f t="shared" si="53"/>
        <v>49006.275000000001</v>
      </c>
      <c r="AB25" s="185">
        <f t="shared" si="53"/>
        <v>49006.275000000001</v>
      </c>
      <c r="AC25" s="185">
        <f t="shared" si="48"/>
        <v>49006.275000000001</v>
      </c>
      <c r="AD25" s="185">
        <f t="shared" si="49"/>
        <v>49006.275000000001</v>
      </c>
      <c r="AE25" s="185">
        <f t="shared" si="50"/>
        <v>49006.275000000001</v>
      </c>
      <c r="AF25" s="185">
        <f t="shared" si="51"/>
        <v>49006.275000000001</v>
      </c>
      <c r="AG25" s="185">
        <f t="shared" si="52"/>
        <v>49006.275000000001</v>
      </c>
      <c r="AH25" s="1411"/>
      <c r="AI25" s="183"/>
      <c r="AJ25" s="183"/>
      <c r="AK25" s="183"/>
      <c r="AL25" s="183"/>
      <c r="AM25" s="143"/>
      <c r="AN25" s="123"/>
      <c r="AO25" s="123"/>
      <c r="AP25" s="183"/>
      <c r="AQ25" s="183"/>
      <c r="AR25" s="183"/>
      <c r="AS25" s="183"/>
      <c r="AT25" s="183"/>
      <c r="AU25" s="183"/>
      <c r="AV25" s="183"/>
      <c r="AW25" s="183"/>
      <c r="AX25" s="183"/>
      <c r="AY25" s="183"/>
      <c r="AZ25" s="183"/>
      <c r="BA25" s="183"/>
      <c r="BB25" s="183"/>
      <c r="BC25" s="183"/>
      <c r="BD25" s="183"/>
      <c r="BE25" s="183"/>
      <c r="BF25" s="183"/>
      <c r="BG25" s="183"/>
      <c r="BH25" s="183"/>
      <c r="BI25" s="183"/>
      <c r="BJ25" s="183"/>
      <c r="BK25" s="183"/>
      <c r="BL25" s="183"/>
      <c r="BM25" s="183"/>
      <c r="BN25" s="183"/>
      <c r="BO25" s="183"/>
      <c r="BP25" s="183"/>
      <c r="BQ25" s="183"/>
      <c r="BR25" s="251"/>
      <c r="BS25" s="183"/>
      <c r="BT25" s="183"/>
      <c r="BU25" s="183"/>
      <c r="BV25" s="251"/>
      <c r="BW25" s="183"/>
      <c r="BX25" s="183"/>
      <c r="BY25" s="183"/>
      <c r="BZ25" s="251"/>
      <c r="CA25" s="183"/>
      <c r="CB25" s="183"/>
      <c r="CC25" s="183"/>
      <c r="CD25" s="251"/>
      <c r="CE25" s="183"/>
      <c r="CF25" s="183"/>
      <c r="CG25" s="183"/>
      <c r="CH25" s="251"/>
      <c r="CI25" s="183"/>
      <c r="CJ25" s="183"/>
      <c r="CK25" s="143"/>
      <c r="CL25" s="159"/>
      <c r="CM25" s="183"/>
      <c r="CN25" s="183"/>
      <c r="CO25" s="183"/>
      <c r="CP25" s="252"/>
      <c r="CQ25" s="185"/>
      <c r="CR25" s="185"/>
      <c r="CS25" s="185"/>
      <c r="CT25" s="252"/>
      <c r="CU25" s="185"/>
      <c r="CV25" s="185"/>
      <c r="CW25" s="249"/>
      <c r="CX25" s="185"/>
      <c r="CY25" s="185"/>
      <c r="CZ25" s="185"/>
      <c r="DA25" s="185"/>
      <c r="DB25" s="252"/>
      <c r="DC25" s="185"/>
      <c r="DD25" s="185"/>
      <c r="DE25" s="185"/>
      <c r="DF25" s="252"/>
      <c r="DG25" s="1369"/>
      <c r="DH25" s="1369"/>
      <c r="DI25" s="249"/>
      <c r="DJ25" s="252"/>
      <c r="DK25" s="1369"/>
      <c r="DL25" s="1369"/>
      <c r="DM25" s="249"/>
      <c r="DN25" s="252"/>
      <c r="DO25" s="1369"/>
      <c r="DP25" s="1369"/>
      <c r="DQ25" s="249"/>
      <c r="DR25" s="1369"/>
      <c r="DS25" s="1369"/>
      <c r="DT25" s="1369"/>
      <c r="DU25" s="1369"/>
      <c r="DV25" s="1369"/>
      <c r="DW25" s="1131"/>
      <c r="DX25" s="1131"/>
      <c r="DY25" s="253"/>
      <c r="DZ25" s="1047"/>
    </row>
    <row r="26" spans="1:130">
      <c r="A26" s="102" t="s">
        <v>1229</v>
      </c>
      <c r="B26" s="102"/>
      <c r="C26" s="102"/>
      <c r="D26" s="87"/>
      <c r="E26" s="143"/>
      <c r="F26" s="143">
        <v>6476</v>
      </c>
      <c r="G26" s="143">
        <v>10177</v>
      </c>
      <c r="H26" s="143">
        <v>13115</v>
      </c>
      <c r="I26" s="143">
        <v>10202</v>
      </c>
      <c r="J26" s="143">
        <v>4986</v>
      </c>
      <c r="K26" s="143">
        <v>5789</v>
      </c>
      <c r="L26" s="143">
        <v>5855</v>
      </c>
      <c r="M26" s="143">
        <v>4604</v>
      </c>
      <c r="N26" s="143">
        <f>CC26</f>
        <v>4868</v>
      </c>
      <c r="O26" s="143">
        <f>CG26</f>
        <v>3372</v>
      </c>
      <c r="P26" s="143">
        <f>CK26</f>
        <v>3393</v>
      </c>
      <c r="Q26" s="143">
        <f>CO26</f>
        <v>3535</v>
      </c>
      <c r="R26" s="143">
        <f>+CS26</f>
        <v>3497</v>
      </c>
      <c r="S26" s="143">
        <f>+CW26</f>
        <v>3448</v>
      </c>
      <c r="T26" s="143">
        <f>+DA26</f>
        <v>3401</v>
      </c>
      <c r="U26" s="143">
        <f>+DE26</f>
        <v>3432</v>
      </c>
      <c r="V26" s="143">
        <f>+DI26</f>
        <v>802</v>
      </c>
      <c r="W26" s="143">
        <f>+DM26</f>
        <v>796</v>
      </c>
      <c r="X26" s="143">
        <f>+DQ26</f>
        <v>1110</v>
      </c>
      <c r="Y26" s="143">
        <f>+DU26</f>
        <v>1039</v>
      </c>
      <c r="Z26" s="143">
        <f>+DY26</f>
        <v>937</v>
      </c>
      <c r="AA26" s="143">
        <f>Z26+IS!AA67</f>
        <v>868.6</v>
      </c>
      <c r="AB26" s="143">
        <f>AA26+IS!AB67</f>
        <v>807.04</v>
      </c>
      <c r="AC26" s="143">
        <f>AB26+IS!AC67</f>
        <v>751.63599999999997</v>
      </c>
      <c r="AD26" s="143">
        <f>AC26+IS!AD67</f>
        <v>701.77239999999995</v>
      </c>
      <c r="AE26" s="143">
        <f>AD26+IS!AE67</f>
        <v>656.89515999999992</v>
      </c>
      <c r="AF26" s="143">
        <f>AE26+IS!AF67</f>
        <v>616.50564399999985</v>
      </c>
      <c r="AG26" s="143">
        <f>AF26+IS!AG67</f>
        <v>580.15507959999979</v>
      </c>
      <c r="AH26" s="1411"/>
      <c r="AI26" s="143"/>
      <c r="AJ26" s="143"/>
      <c r="AK26" s="143"/>
      <c r="AL26" s="143"/>
      <c r="AM26" s="143"/>
      <c r="AN26" s="123"/>
      <c r="AO26" s="123"/>
      <c r="AP26" s="143"/>
      <c r="AQ26" s="143"/>
      <c r="AR26" s="143"/>
      <c r="AS26" s="143"/>
      <c r="AT26" s="143"/>
      <c r="AU26" s="143"/>
      <c r="AV26" s="143"/>
      <c r="AW26" s="143"/>
      <c r="AX26" s="143"/>
      <c r="AY26" s="143"/>
      <c r="AZ26" s="143"/>
      <c r="BA26" s="143">
        <v>10177</v>
      </c>
      <c r="BB26" s="143"/>
      <c r="BC26" s="143">
        <v>15905</v>
      </c>
      <c r="BD26" s="143">
        <v>14353</v>
      </c>
      <c r="BE26" s="143">
        <v>13115</v>
      </c>
      <c r="BF26" s="143">
        <v>12369</v>
      </c>
      <c r="BG26" s="143">
        <v>11850</v>
      </c>
      <c r="BH26" s="143">
        <v>11284</v>
      </c>
      <c r="BI26" s="143">
        <v>10202</v>
      </c>
      <c r="BJ26" s="143">
        <v>7613</v>
      </c>
      <c r="BK26" s="143">
        <v>5879</v>
      </c>
      <c r="BL26" s="143">
        <v>4948</v>
      </c>
      <c r="BM26" s="143">
        <v>4986</v>
      </c>
      <c r="BN26" s="143">
        <v>5237</v>
      </c>
      <c r="BO26" s="143">
        <v>5404</v>
      </c>
      <c r="BP26" s="143">
        <v>5567</v>
      </c>
      <c r="BQ26" s="143">
        <v>5789</v>
      </c>
      <c r="BR26" s="159">
        <v>5770</v>
      </c>
      <c r="BS26" s="143">
        <v>5679</v>
      </c>
      <c r="BT26" s="143">
        <v>5989</v>
      </c>
      <c r="BU26" s="143">
        <v>5855</v>
      </c>
      <c r="BV26" s="159">
        <v>5817</v>
      </c>
      <c r="BW26" s="143">
        <v>5609</v>
      </c>
      <c r="BX26" s="143">
        <v>5754</v>
      </c>
      <c r="BY26" s="143">
        <v>4604</v>
      </c>
      <c r="BZ26" s="159">
        <f>NormInputs!BP75</f>
        <v>3918</v>
      </c>
      <c r="CA26" s="143">
        <f>NormInputs!BQ75</f>
        <v>4206</v>
      </c>
      <c r="CB26" s="143">
        <f>NormInputs!BR75</f>
        <v>4478</v>
      </c>
      <c r="CC26" s="143">
        <f>NormInputs!BS75</f>
        <v>4868</v>
      </c>
      <c r="CD26" s="159">
        <f>NormInputs!BT75</f>
        <v>4898</v>
      </c>
      <c r="CE26" s="143">
        <f>NormInputs!BU75</f>
        <v>5071</v>
      </c>
      <c r="CF26" s="143">
        <f>NormInputs!BV75</f>
        <v>5453</v>
      </c>
      <c r="CG26" s="143">
        <f>NormInputs!BW75</f>
        <v>3372</v>
      </c>
      <c r="CH26" s="159">
        <f>NormInputs!BX75</f>
        <v>3653</v>
      </c>
      <c r="CI26" s="143">
        <f>NormInputs!BY75</f>
        <v>3175</v>
      </c>
      <c r="CJ26" s="143">
        <f>NormInputs!BZ75</f>
        <v>3198</v>
      </c>
      <c r="CK26" s="143">
        <f>NormInputs!CA75</f>
        <v>3393</v>
      </c>
      <c r="CL26" s="159">
        <f>NormInputs!CB75</f>
        <v>3574</v>
      </c>
      <c r="CM26" s="143">
        <f>NormInputs!CC75</f>
        <v>3513</v>
      </c>
      <c r="CN26" s="143">
        <f>NormInputs!CD75</f>
        <v>3808</v>
      </c>
      <c r="CO26" s="143">
        <f>NormInputs!CE75</f>
        <v>3535</v>
      </c>
      <c r="CP26" s="159">
        <f>NormInputs!CF75</f>
        <v>3685</v>
      </c>
      <c r="CQ26" s="143">
        <f>NormInputs!CG75</f>
        <v>3797</v>
      </c>
      <c r="CR26" s="143">
        <f>NormInputs!CH75</f>
        <v>3832</v>
      </c>
      <c r="CS26" s="143">
        <f>NormInputs!CI75</f>
        <v>3497</v>
      </c>
      <c r="CT26" s="159">
        <f>NormInputs!CJ75</f>
        <v>3732</v>
      </c>
      <c r="CU26" s="143">
        <f>NormInputs!CK75</f>
        <v>3908</v>
      </c>
      <c r="CV26" s="143">
        <f>NormInputs!CL75</f>
        <v>3461</v>
      </c>
      <c r="CW26" s="189">
        <f>NormInputs!CM75</f>
        <v>3448</v>
      </c>
      <c r="CX26" s="143">
        <f>NormInputs!CN75</f>
        <v>3566</v>
      </c>
      <c r="CY26" s="143">
        <f>NormInputs!CO75</f>
        <v>3539</v>
      </c>
      <c r="CZ26" s="143">
        <f>NormInputs!CP75</f>
        <v>3625</v>
      </c>
      <c r="DA26" s="143">
        <f>NormInputs!CQ75</f>
        <v>3401</v>
      </c>
      <c r="DB26" s="159">
        <f>NormInputs!CR75</f>
        <v>3321</v>
      </c>
      <c r="DC26" s="143">
        <f>NormInputs!CS75</f>
        <v>3319</v>
      </c>
      <c r="DD26" s="143">
        <f>NormInputs!CT75</f>
        <v>3423</v>
      </c>
      <c r="DE26" s="143">
        <f>NormInputs!CU75</f>
        <v>3432</v>
      </c>
      <c r="DF26" s="159">
        <f>NormInputs!CV75</f>
        <v>889</v>
      </c>
      <c r="DG26" s="1047">
        <f>NormInputs!CW75</f>
        <v>852</v>
      </c>
      <c r="DH26" s="1047">
        <f>NormInputs!CX75</f>
        <v>818</v>
      </c>
      <c r="DI26" s="189">
        <f>NormInputs!CY75</f>
        <v>802</v>
      </c>
      <c r="DJ26" s="159">
        <f>NormInputs!CZ75</f>
        <v>762</v>
      </c>
      <c r="DK26" s="1047">
        <f>NormInputs!DA75</f>
        <v>794</v>
      </c>
      <c r="DL26" s="2149">
        <f>NormInputs!DB75</f>
        <v>779</v>
      </c>
      <c r="DM26" s="2485">
        <f>NormInputs!DC75</f>
        <v>796</v>
      </c>
      <c r="DN26" s="2488">
        <f>NormInputs!DD75</f>
        <v>821</v>
      </c>
      <c r="DO26" s="2149">
        <f>NormInputs!DE75</f>
        <v>822</v>
      </c>
      <c r="DP26" s="2149">
        <f>NormInputs!DF75</f>
        <v>1119</v>
      </c>
      <c r="DQ26" s="2485">
        <f>NormInputs!DG75</f>
        <v>1110</v>
      </c>
      <c r="DR26" s="2149">
        <f>NormInputs!DH75</f>
        <v>1080</v>
      </c>
      <c r="DS26" s="2149">
        <f>NormInputs!DI75</f>
        <v>1075</v>
      </c>
      <c r="DT26" s="2149">
        <f>NormInputs!DJ75</f>
        <v>1054</v>
      </c>
      <c r="DU26" s="2149">
        <f>NormInputs!DK75</f>
        <v>1039</v>
      </c>
      <c r="DV26" s="2149">
        <f>NormInputs!DL75</f>
        <v>994</v>
      </c>
      <c r="DW26" s="1369">
        <f>DV26+IS!DT67</f>
        <v>975</v>
      </c>
      <c r="DX26" s="1369">
        <f>DW26+IS!DU67</f>
        <v>956</v>
      </c>
      <c r="DY26" s="249">
        <f>DX26+IS!DV67</f>
        <v>937</v>
      </c>
      <c r="DZ26" s="1047"/>
    </row>
    <row r="27" spans="1:130">
      <c r="A27" s="102" t="s">
        <v>1230</v>
      </c>
      <c r="B27" s="87"/>
      <c r="C27" s="87"/>
      <c r="D27" s="87"/>
      <c r="E27" s="143"/>
      <c r="F27" s="143">
        <v>4164</v>
      </c>
      <c r="G27" s="143">
        <v>8645</v>
      </c>
      <c r="H27" s="143">
        <v>41990</v>
      </c>
      <c r="I27" s="143">
        <v>44262</v>
      </c>
      <c r="J27" s="143">
        <v>46339</v>
      </c>
      <c r="K27" s="143">
        <v>46444</v>
      </c>
      <c r="L27" s="143">
        <v>47448</v>
      </c>
      <c r="M27" s="143">
        <v>52933</v>
      </c>
      <c r="N27" s="143">
        <f>CC27</f>
        <v>61754</v>
      </c>
      <c r="O27" s="143">
        <f>CG27</f>
        <v>61029</v>
      </c>
      <c r="P27" s="143">
        <f>CK27</f>
        <v>73208</v>
      </c>
      <c r="Q27" s="143">
        <f>CO27</f>
        <v>101303</v>
      </c>
      <c r="R27" s="143">
        <f>+CS27</f>
        <v>100814</v>
      </c>
      <c r="S27" s="143">
        <f>+CW27</f>
        <v>102485</v>
      </c>
      <c r="T27" s="143">
        <f>+DA27</f>
        <v>107816</v>
      </c>
      <c r="U27" s="143">
        <f>+DE27</f>
        <v>106181</v>
      </c>
      <c r="V27" s="143">
        <f>+DI27</f>
        <v>106629</v>
      </c>
      <c r="W27" s="143">
        <f>+DM27</f>
        <v>120244</v>
      </c>
      <c r="X27" s="143">
        <f>+DQ27</f>
        <v>122775</v>
      </c>
      <c r="Y27" s="143">
        <f>+DU27</f>
        <v>127836</v>
      </c>
      <c r="Z27" s="143">
        <f>+DY27</f>
        <v>132812</v>
      </c>
      <c r="AA27" s="185">
        <f t="shared" ref="AA27:AB29" si="54">Z27</f>
        <v>132812</v>
      </c>
      <c r="AB27" s="185">
        <f t="shared" si="54"/>
        <v>132812</v>
      </c>
      <c r="AC27" s="185">
        <f t="shared" ref="AC27:AC29" si="55">AB27</f>
        <v>132812</v>
      </c>
      <c r="AD27" s="185">
        <f t="shared" ref="AD27:AD29" si="56">AC27</f>
        <v>132812</v>
      </c>
      <c r="AE27" s="185">
        <f t="shared" ref="AE27:AE29" si="57">AD27</f>
        <v>132812</v>
      </c>
      <c r="AF27" s="185">
        <f t="shared" ref="AF27:AF29" si="58">AE27</f>
        <v>132812</v>
      </c>
      <c r="AG27" s="185">
        <f t="shared" ref="AG27:AG29" si="59">AF27</f>
        <v>132812</v>
      </c>
      <c r="AH27" s="1411"/>
      <c r="AI27" s="143"/>
      <c r="AJ27" s="143"/>
      <c r="AK27" s="143"/>
      <c r="AL27" s="143"/>
      <c r="AM27" s="143"/>
      <c r="AN27" s="123"/>
      <c r="AO27" s="123"/>
      <c r="AP27" s="143"/>
      <c r="AQ27" s="143"/>
      <c r="AR27" s="143"/>
      <c r="AS27" s="143"/>
      <c r="AT27" s="143"/>
      <c r="AU27" s="143"/>
      <c r="AV27" s="143"/>
      <c r="AW27" s="143"/>
      <c r="AX27" s="143"/>
      <c r="AY27" s="143"/>
      <c r="AZ27" s="143"/>
      <c r="BA27" s="143">
        <v>8645</v>
      </c>
      <c r="BB27" s="143"/>
      <c r="BC27" s="143">
        <v>44954</v>
      </c>
      <c r="BD27" s="143">
        <v>41586</v>
      </c>
      <c r="BE27" s="143">
        <v>41990</v>
      </c>
      <c r="BF27" s="143">
        <v>44083</v>
      </c>
      <c r="BG27" s="143">
        <v>43627</v>
      </c>
      <c r="BH27" s="143">
        <v>44080</v>
      </c>
      <c r="BI27" s="143">
        <v>44262</v>
      </c>
      <c r="BJ27" s="143">
        <v>44725</v>
      </c>
      <c r="BK27" s="143">
        <v>44804</v>
      </c>
      <c r="BL27" s="143">
        <v>46348</v>
      </c>
      <c r="BM27" s="143">
        <v>46339</v>
      </c>
      <c r="BN27" s="143">
        <v>45769</v>
      </c>
      <c r="BO27" s="143">
        <v>46448</v>
      </c>
      <c r="BP27" s="143">
        <v>46379</v>
      </c>
      <c r="BQ27" s="143">
        <v>46444</v>
      </c>
      <c r="BR27" s="159">
        <v>46280</v>
      </c>
      <c r="BS27" s="143">
        <v>46357</v>
      </c>
      <c r="BT27" s="143">
        <v>46357</v>
      </c>
      <c r="BU27" s="143">
        <v>47448</v>
      </c>
      <c r="BV27" s="159">
        <v>47986</v>
      </c>
      <c r="BW27" s="143">
        <v>52838</v>
      </c>
      <c r="BX27" s="143">
        <v>52924</v>
      </c>
      <c r="BY27" s="143">
        <v>52933</v>
      </c>
      <c r="BZ27" s="159">
        <f t="shared" ref="BZ27:DE27" si="60">BZ28+BZ29+BZ30</f>
        <v>59458</v>
      </c>
      <c r="CA27" s="143">
        <f t="shared" si="60"/>
        <v>58927</v>
      </c>
      <c r="CB27" s="143">
        <f t="shared" si="60"/>
        <v>59247</v>
      </c>
      <c r="CC27" s="143">
        <f t="shared" si="60"/>
        <v>61754</v>
      </c>
      <c r="CD27" s="159">
        <f t="shared" si="60"/>
        <v>61008</v>
      </c>
      <c r="CE27" s="143">
        <f t="shared" si="60"/>
        <v>60910</v>
      </c>
      <c r="CF27" s="143">
        <f t="shared" si="60"/>
        <v>61275</v>
      </c>
      <c r="CG27" s="143">
        <f t="shared" si="60"/>
        <v>61029</v>
      </c>
      <c r="CH27" s="159">
        <f t="shared" si="60"/>
        <v>60933</v>
      </c>
      <c r="CI27" s="143">
        <f t="shared" si="60"/>
        <v>70615</v>
      </c>
      <c r="CJ27" s="143">
        <f t="shared" si="60"/>
        <v>72812</v>
      </c>
      <c r="CK27" s="143">
        <f t="shared" si="60"/>
        <v>73208</v>
      </c>
      <c r="CL27" s="159">
        <f t="shared" si="60"/>
        <v>100703</v>
      </c>
      <c r="CM27" s="143">
        <f t="shared" si="60"/>
        <v>101129</v>
      </c>
      <c r="CN27" s="143">
        <f t="shared" si="60"/>
        <v>101037</v>
      </c>
      <c r="CO27" s="143">
        <f t="shared" si="60"/>
        <v>101303</v>
      </c>
      <c r="CP27" s="159">
        <f t="shared" si="60"/>
        <v>101238</v>
      </c>
      <c r="CQ27" s="143">
        <f t="shared" si="60"/>
        <v>101226</v>
      </c>
      <c r="CR27" s="143">
        <f t="shared" si="60"/>
        <v>100567</v>
      </c>
      <c r="CS27" s="143">
        <f t="shared" si="60"/>
        <v>100814</v>
      </c>
      <c r="CT27" s="159">
        <f t="shared" si="60"/>
        <v>100697</v>
      </c>
      <c r="CU27" s="143">
        <f t="shared" si="60"/>
        <v>102576</v>
      </c>
      <c r="CV27" s="143">
        <f t="shared" si="60"/>
        <v>102659</v>
      </c>
      <c r="CW27" s="189">
        <f t="shared" si="60"/>
        <v>102485</v>
      </c>
      <c r="CX27" s="143">
        <f t="shared" si="60"/>
        <v>102503</v>
      </c>
      <c r="CY27" s="143">
        <f t="shared" si="60"/>
        <v>102507</v>
      </c>
      <c r="CZ27" s="143">
        <f t="shared" si="60"/>
        <v>107469</v>
      </c>
      <c r="DA27" s="143">
        <f t="shared" si="60"/>
        <v>107816</v>
      </c>
      <c r="DB27" s="159">
        <f t="shared" si="60"/>
        <v>105604</v>
      </c>
      <c r="DC27" s="143">
        <f t="shared" si="60"/>
        <v>105937</v>
      </c>
      <c r="DD27" s="143">
        <f t="shared" si="60"/>
        <v>106574</v>
      </c>
      <c r="DE27" s="143">
        <f t="shared" si="60"/>
        <v>106181</v>
      </c>
      <c r="DF27" s="159">
        <f t="shared" ref="DF27:DK27" si="61">DF28+DF29+DF30</f>
        <v>103199</v>
      </c>
      <c r="DG27" s="1047">
        <f t="shared" si="61"/>
        <v>105714</v>
      </c>
      <c r="DH27" s="1047">
        <f t="shared" si="61"/>
        <v>105658</v>
      </c>
      <c r="DI27" s="189">
        <f t="shared" si="61"/>
        <v>106629</v>
      </c>
      <c r="DJ27" s="159">
        <f t="shared" si="61"/>
        <v>115205</v>
      </c>
      <c r="DK27" s="1047">
        <f t="shared" si="61"/>
        <v>119733</v>
      </c>
      <c r="DL27" s="1047">
        <f t="shared" ref="DL27:DQ27" si="62">DL28+DL29+DL30</f>
        <v>119777</v>
      </c>
      <c r="DM27" s="189">
        <f t="shared" si="62"/>
        <v>120244</v>
      </c>
      <c r="DN27" s="159">
        <f t="shared" si="62"/>
        <v>120410</v>
      </c>
      <c r="DO27" s="1047">
        <f t="shared" si="62"/>
        <v>119797</v>
      </c>
      <c r="DP27" s="1047">
        <f t="shared" si="62"/>
        <v>121069</v>
      </c>
      <c r="DQ27" s="189">
        <f t="shared" si="62"/>
        <v>122775</v>
      </c>
      <c r="DR27" s="1047">
        <f t="shared" ref="DR27:DS27" si="63">DR28+DR29+DR30</f>
        <v>124296</v>
      </c>
      <c r="DS27" s="1047">
        <f t="shared" si="63"/>
        <v>127674</v>
      </c>
      <c r="DT27" s="1047">
        <f t="shared" ref="DT27:DU27" si="64">DT28+DT29+DT30</f>
        <v>127601</v>
      </c>
      <c r="DU27" s="1047">
        <f t="shared" si="64"/>
        <v>127836</v>
      </c>
      <c r="DV27" s="1047">
        <f t="shared" ref="DV27" si="65">DV28+DV29+DV30</f>
        <v>132812</v>
      </c>
      <c r="DW27" s="1369">
        <f t="shared" ref="DW27:DW29" si="66">DV27</f>
        <v>132812</v>
      </c>
      <c r="DX27" s="1369">
        <f t="shared" ref="DX27:DX29" si="67">DW27</f>
        <v>132812</v>
      </c>
      <c r="DY27" s="249">
        <f t="shared" ref="DY27:DY29" si="68">DX27</f>
        <v>132812</v>
      </c>
      <c r="DZ27" s="1047"/>
    </row>
    <row r="28" spans="1:130" hidden="1" outlineLevel="1">
      <c r="A28" s="152" t="s">
        <v>1231</v>
      </c>
      <c r="B28" s="87"/>
      <c r="C28" s="87"/>
      <c r="D28" s="87"/>
      <c r="E28" s="143"/>
      <c r="F28" s="143"/>
      <c r="G28" s="143"/>
      <c r="H28" s="143"/>
      <c r="I28" s="143"/>
      <c r="J28" s="143">
        <v>40038</v>
      </c>
      <c r="K28" s="143">
        <v>40907</v>
      </c>
      <c r="L28" s="143">
        <v>42090</v>
      </c>
      <c r="M28" s="143">
        <v>47804</v>
      </c>
      <c r="N28" s="143">
        <f>CC28</f>
        <v>50959</v>
      </c>
      <c r="O28" s="143">
        <f>CG28</f>
        <v>50796</v>
      </c>
      <c r="P28" s="143">
        <f>CK28</f>
        <v>61974</v>
      </c>
      <c r="Q28" s="143">
        <f>CO28</f>
        <v>72067</v>
      </c>
      <c r="R28" s="143">
        <f>+CS28</f>
        <v>72996</v>
      </c>
      <c r="S28" s="185">
        <f>R28</f>
        <v>72996</v>
      </c>
      <c r="T28" s="185">
        <f>S28</f>
        <v>72996</v>
      </c>
      <c r="U28" s="185">
        <f>T28</f>
        <v>72996</v>
      </c>
      <c r="V28" s="143">
        <f>+DI28</f>
        <v>76262</v>
      </c>
      <c r="W28" s="143">
        <f>+DM28</f>
        <v>86575</v>
      </c>
      <c r="X28" s="143">
        <f t="shared" ref="X28:Z29" si="69">+DN28</f>
        <v>86830</v>
      </c>
      <c r="Y28" s="143">
        <f t="shared" si="69"/>
        <v>86981</v>
      </c>
      <c r="Z28" s="143">
        <f t="shared" si="69"/>
        <v>87407</v>
      </c>
      <c r="AA28" s="185">
        <f t="shared" si="54"/>
        <v>87407</v>
      </c>
      <c r="AB28" s="185">
        <f t="shared" si="54"/>
        <v>87407</v>
      </c>
      <c r="AC28" s="185">
        <f t="shared" si="55"/>
        <v>87407</v>
      </c>
      <c r="AD28" s="185">
        <f t="shared" si="56"/>
        <v>87407</v>
      </c>
      <c r="AE28" s="185">
        <f t="shared" si="57"/>
        <v>87407</v>
      </c>
      <c r="AF28" s="185">
        <f t="shared" si="58"/>
        <v>87407</v>
      </c>
      <c r="AG28" s="185">
        <f t="shared" si="59"/>
        <v>87407</v>
      </c>
      <c r="AH28" s="1411"/>
      <c r="AI28" s="143"/>
      <c r="AJ28" s="143"/>
      <c r="AK28" s="143"/>
      <c r="AL28" s="143"/>
      <c r="AM28" s="143"/>
      <c r="AN28" s="123"/>
      <c r="AO28" s="123"/>
      <c r="AP28" s="143"/>
      <c r="AQ28" s="143"/>
      <c r="AR28" s="143"/>
      <c r="AS28" s="143"/>
      <c r="AT28" s="143"/>
      <c r="AU28" s="143"/>
      <c r="AV28" s="143"/>
      <c r="AW28" s="143"/>
      <c r="AX28" s="143"/>
      <c r="AY28" s="143"/>
      <c r="AZ28" s="143"/>
      <c r="BA28" s="143"/>
      <c r="BB28" s="143"/>
      <c r="BC28" s="143"/>
      <c r="BD28" s="143"/>
      <c r="BE28" s="143"/>
      <c r="BF28" s="143"/>
      <c r="BG28" s="143"/>
      <c r="BH28" s="143"/>
      <c r="BI28" s="143"/>
      <c r="BJ28" s="143">
        <v>38487</v>
      </c>
      <c r="BK28" s="143">
        <v>38643</v>
      </c>
      <c r="BL28" s="143">
        <v>40190</v>
      </c>
      <c r="BM28" s="143">
        <v>40038</v>
      </c>
      <c r="BN28" s="143">
        <v>40116</v>
      </c>
      <c r="BO28" s="143">
        <v>40871</v>
      </c>
      <c r="BP28" s="143">
        <v>40884</v>
      </c>
      <c r="BQ28" s="143">
        <v>40907</v>
      </c>
      <c r="BR28" s="159">
        <v>40924</v>
      </c>
      <c r="BS28" s="143">
        <v>41075</v>
      </c>
      <c r="BT28" s="143">
        <v>41092</v>
      </c>
      <c r="BU28" s="143">
        <v>42090</v>
      </c>
      <c r="BV28" s="159">
        <v>42629</v>
      </c>
      <c r="BW28" s="143">
        <v>47568</v>
      </c>
      <c r="BX28" s="143">
        <v>47725</v>
      </c>
      <c r="BY28" s="143">
        <v>47804</v>
      </c>
      <c r="BZ28" s="159">
        <f>NormInputs!BP76</f>
        <v>48221</v>
      </c>
      <c r="CA28" s="143">
        <f>NormInputs!BQ76</f>
        <v>48250</v>
      </c>
      <c r="CB28" s="143">
        <f>NormInputs!BR76</f>
        <v>48318</v>
      </c>
      <c r="CC28" s="143">
        <f>NormInputs!BS76</f>
        <v>50959</v>
      </c>
      <c r="CD28" s="159">
        <f>NormInputs!BT76</f>
        <v>50566</v>
      </c>
      <c r="CE28" s="143">
        <f>NormInputs!BU76</f>
        <v>50670</v>
      </c>
      <c r="CF28" s="143">
        <f>NormInputs!BV76</f>
        <v>50755</v>
      </c>
      <c r="CG28" s="143">
        <f>NormInputs!BW76</f>
        <v>50796</v>
      </c>
      <c r="CH28" s="159">
        <f>NormInputs!BX76</f>
        <v>50833</v>
      </c>
      <c r="CI28" s="143">
        <f>NormInputs!BY76</f>
        <v>60423</v>
      </c>
      <c r="CJ28" s="143">
        <f>NormInputs!BZ76</f>
        <v>61595</v>
      </c>
      <c r="CK28" s="143">
        <f>NormInputs!CA76</f>
        <v>61974</v>
      </c>
      <c r="CL28" s="159">
        <f>NormInputs!CB76</f>
        <v>70873</v>
      </c>
      <c r="CM28" s="143">
        <f>NormInputs!CC76</f>
        <v>71708</v>
      </c>
      <c r="CN28" s="143">
        <f>NormInputs!CD76</f>
        <v>71899</v>
      </c>
      <c r="CO28" s="143">
        <f>NormInputs!CE76</f>
        <v>72067</v>
      </c>
      <c r="CP28" s="159">
        <f>NormInputs!CF76</f>
        <v>72256</v>
      </c>
      <c r="CQ28" s="143">
        <f>NormInputs!CG76</f>
        <v>72435</v>
      </c>
      <c r="CR28" s="143">
        <f>NormInputs!CH76</f>
        <v>72719</v>
      </c>
      <c r="CS28" s="143">
        <f>NormInputs!CI76</f>
        <v>72996</v>
      </c>
      <c r="CT28" s="159">
        <f>NormInputs!CJ76</f>
        <v>73049</v>
      </c>
      <c r="CU28" s="143">
        <f>NormInputs!CK76</f>
        <v>73151</v>
      </c>
      <c r="CV28" s="143">
        <f>NormInputs!CL76</f>
        <v>73203</v>
      </c>
      <c r="CW28" s="189">
        <f>NormInputs!CM76</f>
        <v>73250</v>
      </c>
      <c r="CX28" s="143">
        <f>NormInputs!CN76</f>
        <v>73294</v>
      </c>
      <c r="CY28" s="143">
        <f>NormInputs!CO76</f>
        <v>73303</v>
      </c>
      <c r="CZ28" s="143">
        <f>NormInputs!CP76</f>
        <v>77591</v>
      </c>
      <c r="DA28" s="143">
        <f>NormInputs!CQ76</f>
        <v>77744</v>
      </c>
      <c r="DB28" s="159">
        <f>NormInputs!CR76</f>
        <v>75645</v>
      </c>
      <c r="DC28" s="143">
        <f>NormInputs!CS76</f>
        <v>75825</v>
      </c>
      <c r="DD28" s="143">
        <f>NormInputs!CT76</f>
        <v>76503</v>
      </c>
      <c r="DE28" s="143">
        <f>NormInputs!CU76</f>
        <v>75747</v>
      </c>
      <c r="DF28" s="159">
        <f>NormInputs!CV76</f>
        <v>72713</v>
      </c>
      <c r="DG28" s="1047">
        <f>NormInputs!CW76</f>
        <v>75270</v>
      </c>
      <c r="DH28" s="1047">
        <f>NormInputs!CX76</f>
        <v>75303</v>
      </c>
      <c r="DI28" s="189">
        <f>NormInputs!CY76</f>
        <v>76262</v>
      </c>
      <c r="DJ28" s="159">
        <f>NormInputs!CZ76</f>
        <v>86123</v>
      </c>
      <c r="DK28" s="1047">
        <f>NormInputs!DA76</f>
        <v>86321</v>
      </c>
      <c r="DL28" s="1047">
        <f>NormInputs!DB76</f>
        <v>86331</v>
      </c>
      <c r="DM28" s="189">
        <f>NormInputs!DC76</f>
        <v>86575</v>
      </c>
      <c r="DN28" s="159">
        <f>NormInputs!DD76</f>
        <v>86830</v>
      </c>
      <c r="DO28" s="1047">
        <f>NormInputs!DE76</f>
        <v>86981</v>
      </c>
      <c r="DP28" s="1047">
        <f>NormInputs!DF76</f>
        <v>87407</v>
      </c>
      <c r="DQ28" s="189">
        <f>NormInputs!DG76</f>
        <v>86673</v>
      </c>
      <c r="DR28" s="1047">
        <f>NormInputs!DH76</f>
        <v>87754</v>
      </c>
      <c r="DS28" s="1047">
        <f>NormInputs!DI76</f>
        <v>88004</v>
      </c>
      <c r="DT28" s="1047">
        <f>NormInputs!DJ76</f>
        <v>87883</v>
      </c>
      <c r="DU28" s="1047">
        <f>NormInputs!DK76</f>
        <v>88417</v>
      </c>
      <c r="DV28" s="1047">
        <f>NormInputs!DL76</f>
        <v>93677</v>
      </c>
      <c r="DW28" s="1131">
        <f t="shared" si="66"/>
        <v>93677</v>
      </c>
      <c r="DX28" s="1131">
        <f t="shared" si="67"/>
        <v>93677</v>
      </c>
      <c r="DY28" s="253">
        <f t="shared" si="68"/>
        <v>93677</v>
      </c>
      <c r="DZ28" s="1041"/>
    </row>
    <row r="29" spans="1:130" hidden="1" outlineLevel="1">
      <c r="A29" s="152" t="s">
        <v>1232</v>
      </c>
      <c r="B29" s="87"/>
      <c r="C29" s="87"/>
      <c r="D29" s="87"/>
      <c r="E29" s="143"/>
      <c r="F29" s="143"/>
      <c r="G29" s="143"/>
      <c r="H29" s="143"/>
      <c r="I29" s="143"/>
      <c r="J29" s="143">
        <v>1339</v>
      </c>
      <c r="K29" s="143">
        <v>835</v>
      </c>
      <c r="L29" s="143">
        <v>837</v>
      </c>
      <c r="M29" s="143">
        <v>836</v>
      </c>
      <c r="N29" s="143">
        <f>CC29</f>
        <v>5655</v>
      </c>
      <c r="O29" s="143">
        <f>CG29</f>
        <v>5245</v>
      </c>
      <c r="P29" s="143">
        <f>CK29</f>
        <v>6035</v>
      </c>
      <c r="Q29" s="143">
        <f>CO29</f>
        <v>22472</v>
      </c>
      <c r="R29" s="143">
        <f>+CS29</f>
        <v>21988</v>
      </c>
      <c r="S29" s="185">
        <f>R29</f>
        <v>21988</v>
      </c>
      <c r="T29" s="185">
        <f>DA29</f>
        <v>24139</v>
      </c>
      <c r="U29" s="185">
        <f>DE29</f>
        <v>24634</v>
      </c>
      <c r="V29" s="143">
        <f>+DI29</f>
        <v>24639</v>
      </c>
      <c r="W29" s="143">
        <f>+DM29</f>
        <v>25331</v>
      </c>
      <c r="X29" s="143">
        <f t="shared" si="69"/>
        <v>25364</v>
      </c>
      <c r="Y29" s="143">
        <f t="shared" si="69"/>
        <v>25417</v>
      </c>
      <c r="Z29" s="143">
        <f t="shared" si="69"/>
        <v>25970</v>
      </c>
      <c r="AA29" s="185">
        <f t="shared" si="54"/>
        <v>25970</v>
      </c>
      <c r="AB29" s="185">
        <f t="shared" si="54"/>
        <v>25970</v>
      </c>
      <c r="AC29" s="185">
        <f t="shared" si="55"/>
        <v>25970</v>
      </c>
      <c r="AD29" s="185">
        <f t="shared" si="56"/>
        <v>25970</v>
      </c>
      <c r="AE29" s="185">
        <f t="shared" si="57"/>
        <v>25970</v>
      </c>
      <c r="AF29" s="185">
        <f t="shared" si="58"/>
        <v>25970</v>
      </c>
      <c r="AG29" s="185">
        <f t="shared" si="59"/>
        <v>25970</v>
      </c>
      <c r="AH29" s="1411"/>
      <c r="AI29" s="143"/>
      <c r="AJ29" s="143"/>
      <c r="AK29" s="143"/>
      <c r="AL29" s="143"/>
      <c r="AM29" s="143"/>
      <c r="AN29" s="123"/>
      <c r="AO29" s="123"/>
      <c r="AP29" s="143"/>
      <c r="AQ29" s="143"/>
      <c r="AR29" s="143"/>
      <c r="AS29" s="143"/>
      <c r="AT29" s="143"/>
      <c r="AU29" s="143"/>
      <c r="AV29" s="143"/>
      <c r="AW29" s="143"/>
      <c r="AX29" s="143"/>
      <c r="AY29" s="143"/>
      <c r="AZ29" s="143"/>
      <c r="BA29" s="143"/>
      <c r="BB29" s="143"/>
      <c r="BC29" s="143"/>
      <c r="BD29" s="143"/>
      <c r="BE29" s="143"/>
      <c r="BF29" s="143"/>
      <c r="BG29" s="143"/>
      <c r="BH29" s="143"/>
      <c r="BI29" s="143"/>
      <c r="BJ29" s="143">
        <v>1400</v>
      </c>
      <c r="BK29" s="143">
        <v>1399</v>
      </c>
      <c r="BL29" s="143">
        <v>1336</v>
      </c>
      <c r="BM29" s="143">
        <v>1339</v>
      </c>
      <c r="BN29" s="143">
        <v>873</v>
      </c>
      <c r="BO29" s="143">
        <v>870</v>
      </c>
      <c r="BP29" s="143">
        <v>836</v>
      </c>
      <c r="BQ29" s="143">
        <v>835</v>
      </c>
      <c r="BR29" s="159">
        <v>834</v>
      </c>
      <c r="BS29" s="143">
        <v>834</v>
      </c>
      <c r="BT29" s="143">
        <v>835</v>
      </c>
      <c r="BU29" s="143">
        <v>837</v>
      </c>
      <c r="BV29" s="159">
        <v>837</v>
      </c>
      <c r="BW29" s="143">
        <v>837</v>
      </c>
      <c r="BX29" s="143">
        <v>836</v>
      </c>
      <c r="BY29" s="143">
        <v>836</v>
      </c>
      <c r="BZ29" s="159">
        <f>NormInputs!BP77</f>
        <v>5740</v>
      </c>
      <c r="CA29" s="143">
        <f>NormInputs!BQ77</f>
        <v>5387</v>
      </c>
      <c r="CB29" s="143">
        <f>NormInputs!BR77</f>
        <v>5709</v>
      </c>
      <c r="CC29" s="143">
        <f>NormInputs!BS77</f>
        <v>5655</v>
      </c>
      <c r="CD29" s="159">
        <f>NormInputs!BT77</f>
        <v>5247</v>
      </c>
      <c r="CE29" s="143">
        <f>NormInputs!BU77</f>
        <v>5149</v>
      </c>
      <c r="CF29" s="143">
        <f>NormInputs!BV77</f>
        <v>5442</v>
      </c>
      <c r="CG29" s="143">
        <f>NormInputs!BW77</f>
        <v>5245</v>
      </c>
      <c r="CH29" s="159">
        <f>NormInputs!BX77</f>
        <v>5233</v>
      </c>
      <c r="CI29" s="143">
        <f>NormInputs!BY77</f>
        <v>5218</v>
      </c>
      <c r="CJ29" s="143">
        <f>NormInputs!BZ77</f>
        <v>6124</v>
      </c>
      <c r="CK29" s="143">
        <f>NormInputs!CA77</f>
        <v>6035</v>
      </c>
      <c r="CL29" s="159">
        <f>NormInputs!CB77</f>
        <v>22531</v>
      </c>
      <c r="CM29" s="143">
        <f>NormInputs!CC77</f>
        <v>22189</v>
      </c>
      <c r="CN29" s="143">
        <f>NormInputs!CD77</f>
        <v>22190</v>
      </c>
      <c r="CO29" s="143">
        <f>NormInputs!CE77</f>
        <v>22472</v>
      </c>
      <c r="CP29" s="159">
        <f>NormInputs!CF77</f>
        <v>22472</v>
      </c>
      <c r="CQ29" s="143">
        <f>NormInputs!CG77</f>
        <v>22467</v>
      </c>
      <c r="CR29" s="143">
        <f>NormInputs!CH77</f>
        <v>21933</v>
      </c>
      <c r="CS29" s="143">
        <f>NormInputs!CI77</f>
        <v>21988</v>
      </c>
      <c r="CT29" s="159">
        <f>NormInputs!CJ77</f>
        <v>21993</v>
      </c>
      <c r="CU29" s="143">
        <f>NormInputs!CK77</f>
        <v>23480</v>
      </c>
      <c r="CV29" s="143">
        <f>NormInputs!CL77</f>
        <v>23541</v>
      </c>
      <c r="CW29" s="189">
        <f>NormInputs!CM77</f>
        <v>23357</v>
      </c>
      <c r="CX29" s="143">
        <f>NormInputs!CN77</f>
        <v>23465</v>
      </c>
      <c r="CY29" s="143">
        <f>NormInputs!CO77</f>
        <v>23478</v>
      </c>
      <c r="CZ29" s="143">
        <f>NormInputs!CP77</f>
        <v>24048</v>
      </c>
      <c r="DA29" s="143">
        <f>NormInputs!CQ77</f>
        <v>24139</v>
      </c>
      <c r="DB29" s="159">
        <f>NormInputs!CR77</f>
        <v>24132</v>
      </c>
      <c r="DC29" s="143">
        <f>NormInputs!CS77</f>
        <v>24336</v>
      </c>
      <c r="DD29" s="143">
        <f>NormInputs!CT77</f>
        <v>24339</v>
      </c>
      <c r="DE29" s="143">
        <f>NormInputs!CU77</f>
        <v>24634</v>
      </c>
      <c r="DF29" s="159">
        <f>NormInputs!CV77</f>
        <v>24647</v>
      </c>
      <c r="DG29" s="1047">
        <f>NormInputs!CW77</f>
        <v>24663</v>
      </c>
      <c r="DH29" s="1047">
        <f>NormInputs!CX77</f>
        <v>24617</v>
      </c>
      <c r="DI29" s="189">
        <f>NormInputs!CY77</f>
        <v>24639</v>
      </c>
      <c r="DJ29" s="159">
        <f>NormInputs!CZ77</f>
        <v>23303</v>
      </c>
      <c r="DK29" s="1047">
        <f>NormInputs!DA77</f>
        <v>25429</v>
      </c>
      <c r="DL29" s="1047">
        <f>NormInputs!DB77</f>
        <v>25124</v>
      </c>
      <c r="DM29" s="189">
        <f>NormInputs!DC77</f>
        <v>25331</v>
      </c>
      <c r="DN29" s="159">
        <f>NormInputs!DD77</f>
        <v>25364</v>
      </c>
      <c r="DO29" s="1047">
        <f>NormInputs!DE77</f>
        <v>25417</v>
      </c>
      <c r="DP29" s="1047">
        <f>NormInputs!DF77</f>
        <v>25970</v>
      </c>
      <c r="DQ29" s="189">
        <f>NormInputs!DG77</f>
        <v>27205</v>
      </c>
      <c r="DR29" s="1047">
        <f>NormInputs!DH77</f>
        <v>27630</v>
      </c>
      <c r="DS29" s="1047">
        <f>NormInputs!DI77</f>
        <v>28527</v>
      </c>
      <c r="DT29" s="1047">
        <f>NormInputs!DJ77</f>
        <v>28725</v>
      </c>
      <c r="DU29" s="1047">
        <f>NormInputs!DK77</f>
        <v>29172</v>
      </c>
      <c r="DV29" s="1047">
        <f>NormInputs!DL77</f>
        <v>29121</v>
      </c>
      <c r="DW29" s="1131">
        <f t="shared" si="66"/>
        <v>29121</v>
      </c>
      <c r="DX29" s="1131">
        <f t="shared" si="67"/>
        <v>29121</v>
      </c>
      <c r="DY29" s="253">
        <f t="shared" si="68"/>
        <v>29121</v>
      </c>
      <c r="DZ29" s="1041"/>
    </row>
    <row r="30" spans="1:130" hidden="1" outlineLevel="1">
      <c r="A30" s="152" t="s">
        <v>1233</v>
      </c>
      <c r="B30" s="87"/>
      <c r="C30" s="87"/>
      <c r="D30" s="87"/>
      <c r="E30" s="143"/>
      <c r="F30" s="143"/>
      <c r="G30" s="143"/>
      <c r="H30" s="143"/>
      <c r="I30" s="143"/>
      <c r="J30" s="143">
        <v>4962</v>
      </c>
      <c r="K30" s="143">
        <v>4702</v>
      </c>
      <c r="L30" s="143">
        <v>4521</v>
      </c>
      <c r="M30" s="143">
        <v>4293</v>
      </c>
      <c r="N30" s="143">
        <f>CC30</f>
        <v>5140</v>
      </c>
      <c r="O30" s="143">
        <f>CG30</f>
        <v>4988</v>
      </c>
      <c r="P30" s="143">
        <f>CK30</f>
        <v>5199</v>
      </c>
      <c r="Q30" s="143">
        <f>CO30</f>
        <v>6764</v>
      </c>
      <c r="R30" s="143">
        <f>+CS30</f>
        <v>5830</v>
      </c>
      <c r="S30" s="185">
        <f t="shared" ref="S30:V30" si="70">S27-S28-S29</f>
        <v>7501</v>
      </c>
      <c r="T30" s="185">
        <f t="shared" si="70"/>
        <v>10681</v>
      </c>
      <c r="U30" s="185">
        <f t="shared" si="70"/>
        <v>8551</v>
      </c>
      <c r="V30" s="185">
        <f t="shared" si="70"/>
        <v>5728</v>
      </c>
      <c r="W30" s="185">
        <f t="shared" ref="W30:AB30" si="71">W27-W28-W29</f>
        <v>8338</v>
      </c>
      <c r="X30" s="185">
        <f t="shared" si="71"/>
        <v>10581</v>
      </c>
      <c r="Y30" s="185">
        <f t="shared" si="71"/>
        <v>15438</v>
      </c>
      <c r="Z30" s="185">
        <f t="shared" si="71"/>
        <v>19435</v>
      </c>
      <c r="AA30" s="185">
        <f t="shared" si="71"/>
        <v>19435</v>
      </c>
      <c r="AB30" s="185">
        <f t="shared" si="71"/>
        <v>19435</v>
      </c>
      <c r="AC30" s="185">
        <f t="shared" ref="AC30:AG30" si="72">AC27-AC28-AC29</f>
        <v>19435</v>
      </c>
      <c r="AD30" s="185">
        <f t="shared" si="72"/>
        <v>19435</v>
      </c>
      <c r="AE30" s="185">
        <f t="shared" si="72"/>
        <v>19435</v>
      </c>
      <c r="AF30" s="185">
        <f t="shared" si="72"/>
        <v>19435</v>
      </c>
      <c r="AG30" s="185">
        <f t="shared" si="72"/>
        <v>19435</v>
      </c>
      <c r="AH30" s="1411"/>
      <c r="AI30" s="143"/>
      <c r="AJ30" s="143"/>
      <c r="AK30" s="143"/>
      <c r="AL30" s="143"/>
      <c r="AM30" s="143"/>
      <c r="AN30" s="123"/>
      <c r="AO30" s="123"/>
      <c r="AP30" s="143"/>
      <c r="AQ30" s="143"/>
      <c r="AR30" s="143"/>
      <c r="AS30" s="143"/>
      <c r="AT30" s="143"/>
      <c r="AU30" s="143"/>
      <c r="AV30" s="143"/>
      <c r="AW30" s="143"/>
      <c r="AX30" s="143"/>
      <c r="AY30" s="143"/>
      <c r="AZ30" s="143"/>
      <c r="BA30" s="143"/>
      <c r="BB30" s="143"/>
      <c r="BC30" s="143"/>
      <c r="BD30" s="143"/>
      <c r="BE30" s="143"/>
      <c r="BF30" s="143"/>
      <c r="BG30" s="143"/>
      <c r="BH30" s="143"/>
      <c r="BI30" s="143"/>
      <c r="BJ30" s="143">
        <v>4838</v>
      </c>
      <c r="BK30" s="143">
        <v>4762</v>
      </c>
      <c r="BL30" s="143">
        <v>4822</v>
      </c>
      <c r="BM30" s="143">
        <v>4962</v>
      </c>
      <c r="BN30" s="143">
        <v>4780</v>
      </c>
      <c r="BO30" s="143">
        <v>4707</v>
      </c>
      <c r="BP30" s="143">
        <v>4659</v>
      </c>
      <c r="BQ30" s="143">
        <v>4702</v>
      </c>
      <c r="BR30" s="159">
        <v>4522</v>
      </c>
      <c r="BS30" s="143">
        <v>4448</v>
      </c>
      <c r="BT30" s="143">
        <v>4430</v>
      </c>
      <c r="BU30" s="143">
        <v>4521</v>
      </c>
      <c r="BV30" s="159">
        <v>4520</v>
      </c>
      <c r="BW30" s="143">
        <v>4433</v>
      </c>
      <c r="BX30" s="143">
        <v>4363</v>
      </c>
      <c r="BY30" s="143">
        <v>4293</v>
      </c>
      <c r="BZ30" s="159">
        <f>NormInputs!BP78</f>
        <v>5497</v>
      </c>
      <c r="CA30" s="143">
        <f>NormInputs!BQ78</f>
        <v>5290</v>
      </c>
      <c r="CB30" s="143">
        <f>NormInputs!BR78</f>
        <v>5220</v>
      </c>
      <c r="CC30" s="143">
        <f>NormInputs!BS78</f>
        <v>5140</v>
      </c>
      <c r="CD30" s="159">
        <f>NormInputs!BT78</f>
        <v>5195</v>
      </c>
      <c r="CE30" s="143">
        <f>NormInputs!BU78</f>
        <v>5091</v>
      </c>
      <c r="CF30" s="143">
        <f>NormInputs!BV78</f>
        <v>5078</v>
      </c>
      <c r="CG30" s="143">
        <f>NormInputs!BW78</f>
        <v>4988</v>
      </c>
      <c r="CH30" s="159">
        <f>NormInputs!BX78</f>
        <v>4867</v>
      </c>
      <c r="CI30" s="143">
        <f>NormInputs!BY78</f>
        <v>4974</v>
      </c>
      <c r="CJ30" s="143">
        <f>NormInputs!BZ78</f>
        <v>5093</v>
      </c>
      <c r="CK30" s="143">
        <f>NormInputs!CA78</f>
        <v>5199</v>
      </c>
      <c r="CL30" s="159">
        <f>NormInputs!CB78</f>
        <v>7299</v>
      </c>
      <c r="CM30" s="143">
        <f>NormInputs!CC78</f>
        <v>7232</v>
      </c>
      <c r="CN30" s="143">
        <f>NormInputs!CD78</f>
        <v>6948</v>
      </c>
      <c r="CO30" s="143">
        <f>NormInputs!CE78</f>
        <v>6764</v>
      </c>
      <c r="CP30" s="159">
        <f>NormInputs!CF78</f>
        <v>6510</v>
      </c>
      <c r="CQ30" s="143">
        <f>NormInputs!CG78</f>
        <v>6324</v>
      </c>
      <c r="CR30" s="143">
        <f>NormInputs!CH78</f>
        <v>5915</v>
      </c>
      <c r="CS30" s="143">
        <f>NormInputs!CI78</f>
        <v>5830</v>
      </c>
      <c r="CT30" s="159">
        <f>NormInputs!CJ78</f>
        <v>5655</v>
      </c>
      <c r="CU30" s="143">
        <f>NormInputs!CK78</f>
        <v>5945</v>
      </c>
      <c r="CV30" s="143">
        <f>NormInputs!CL78</f>
        <v>5915</v>
      </c>
      <c r="CW30" s="189">
        <f>NormInputs!CM78</f>
        <v>5878</v>
      </c>
      <c r="CX30" s="143">
        <f>NormInputs!CN78</f>
        <v>5744</v>
      </c>
      <c r="CY30" s="143">
        <f>NormInputs!CO78</f>
        <v>5726</v>
      </c>
      <c r="CZ30" s="143">
        <f>NormInputs!CP78</f>
        <v>5830</v>
      </c>
      <c r="DA30" s="143">
        <f>NormInputs!CQ78</f>
        <v>5933</v>
      </c>
      <c r="DB30" s="159">
        <f>NormInputs!CR78</f>
        <v>5827</v>
      </c>
      <c r="DC30" s="143">
        <f>NormInputs!CS78</f>
        <v>5776</v>
      </c>
      <c r="DD30" s="143">
        <f>NormInputs!CT78</f>
        <v>5732</v>
      </c>
      <c r="DE30" s="143">
        <f>NormInputs!CU78</f>
        <v>5800</v>
      </c>
      <c r="DF30" s="159">
        <f>NormInputs!CV78</f>
        <v>5839</v>
      </c>
      <c r="DG30" s="1047">
        <f>NormInputs!CW78</f>
        <v>5781</v>
      </c>
      <c r="DH30" s="1047">
        <f>NormInputs!CX78</f>
        <v>5738</v>
      </c>
      <c r="DI30" s="189">
        <f>NormInputs!CY78</f>
        <v>5728</v>
      </c>
      <c r="DJ30" s="159">
        <f>NormInputs!CZ78</f>
        <v>5779</v>
      </c>
      <c r="DK30" s="1047">
        <f>NormInputs!DA78</f>
        <v>7983</v>
      </c>
      <c r="DL30" s="1047">
        <f>NormInputs!DB78</f>
        <v>8322</v>
      </c>
      <c r="DM30" s="189">
        <f>NormInputs!DC78</f>
        <v>8338</v>
      </c>
      <c r="DN30" s="159">
        <f>NormInputs!DD78</f>
        <v>8216</v>
      </c>
      <c r="DO30" s="1047">
        <f>NormInputs!DE78</f>
        <v>7399</v>
      </c>
      <c r="DP30" s="1047">
        <f>NormInputs!DF78</f>
        <v>7692</v>
      </c>
      <c r="DQ30" s="189">
        <f>NormInputs!DG78</f>
        <v>8897</v>
      </c>
      <c r="DR30" s="1047">
        <f>NormInputs!DH78</f>
        <v>8912</v>
      </c>
      <c r="DS30" s="1047">
        <f>NormInputs!DI78</f>
        <v>11143</v>
      </c>
      <c r="DT30" s="1047">
        <f>NormInputs!DJ78</f>
        <v>10993</v>
      </c>
      <c r="DU30" s="1047">
        <f>NormInputs!DK78</f>
        <v>10247</v>
      </c>
      <c r="DV30" s="1047">
        <f>NormInputs!DL78</f>
        <v>10014</v>
      </c>
      <c r="DW30" s="1131">
        <f t="shared" ref="DW30:DY30" si="73">DW27-DW28-DW29</f>
        <v>10014</v>
      </c>
      <c r="DX30" s="1131">
        <f t="shared" si="73"/>
        <v>10014</v>
      </c>
      <c r="DY30" s="253">
        <f t="shared" si="73"/>
        <v>10014</v>
      </c>
      <c r="DZ30" s="1041"/>
    </row>
    <row r="31" spans="1:130" collapsed="1">
      <c r="A31" s="102" t="s">
        <v>1234</v>
      </c>
      <c r="B31" s="87"/>
      <c r="C31" s="87"/>
      <c r="D31" s="87"/>
      <c r="E31" s="143"/>
      <c r="F31" s="143">
        <v>10540</v>
      </c>
      <c r="G31" s="143">
        <v>11840</v>
      </c>
      <c r="H31" s="143">
        <v>9358</v>
      </c>
      <c r="I31" s="143">
        <v>8879</v>
      </c>
      <c r="J31" s="143">
        <v>7426</v>
      </c>
      <c r="K31" s="143">
        <v>6695</v>
      </c>
      <c r="L31" s="143">
        <v>6209</v>
      </c>
      <c r="M31" s="143">
        <v>5997</v>
      </c>
      <c r="N31" s="143" t="e">
        <f>CC31-N32</f>
        <v>#REF!</v>
      </c>
      <c r="O31" s="143" t="e">
        <f>CG31-O32</f>
        <v>#REF!</v>
      </c>
      <c r="P31" s="143">
        <f>CK31-P32</f>
        <v>13130</v>
      </c>
      <c r="Q31" s="143">
        <f>CO31-Q32</f>
        <v>8339</v>
      </c>
      <c r="R31" s="143">
        <f>CS31-R32</f>
        <v>5635</v>
      </c>
      <c r="S31" s="143">
        <f>+CW31</f>
        <v>5155</v>
      </c>
      <c r="T31" s="143">
        <f>+DA31</f>
        <v>4128</v>
      </c>
      <c r="U31" s="143">
        <f>+DE31</f>
        <v>4535</v>
      </c>
      <c r="V31" s="143">
        <f>+DI31</f>
        <v>5707</v>
      </c>
      <c r="W31" s="143">
        <f>+DM31</f>
        <v>17779</v>
      </c>
      <c r="X31" s="143">
        <f>+DQ31</f>
        <v>9149</v>
      </c>
      <c r="Y31" s="143">
        <f>+DU31</f>
        <v>9787</v>
      </c>
      <c r="Z31" s="143">
        <f>+DY31</f>
        <v>11763</v>
      </c>
      <c r="AA31" s="185">
        <f>Z31</f>
        <v>11763</v>
      </c>
      <c r="AB31" s="185">
        <f>AA31</f>
        <v>11763</v>
      </c>
      <c r="AC31" s="185">
        <f t="shared" ref="AC31:AG31" si="74">AB31</f>
        <v>11763</v>
      </c>
      <c r="AD31" s="185">
        <f t="shared" si="74"/>
        <v>11763</v>
      </c>
      <c r="AE31" s="185">
        <f t="shared" si="74"/>
        <v>11763</v>
      </c>
      <c r="AF31" s="185">
        <f t="shared" si="74"/>
        <v>11763</v>
      </c>
      <c r="AG31" s="185">
        <f t="shared" si="74"/>
        <v>11763</v>
      </c>
      <c r="AH31" s="1411"/>
      <c r="AI31" s="143"/>
      <c r="AJ31" s="143"/>
      <c r="AK31" s="143"/>
      <c r="AL31" s="143"/>
      <c r="AM31" s="143"/>
      <c r="AN31" s="123"/>
      <c r="AO31" s="123"/>
      <c r="AP31" s="143"/>
      <c r="AQ31" s="143"/>
      <c r="AR31" s="143"/>
      <c r="AS31" s="143"/>
      <c r="AT31" s="143"/>
      <c r="AU31" s="143"/>
      <c r="AV31" s="143"/>
      <c r="AW31" s="143"/>
      <c r="AX31" s="143"/>
      <c r="AY31" s="143"/>
      <c r="AZ31" s="143"/>
      <c r="BA31" s="143">
        <v>11840</v>
      </c>
      <c r="BB31" s="143"/>
      <c r="BC31" s="143">
        <v>15244</v>
      </c>
      <c r="BD31" s="143">
        <v>15190</v>
      </c>
      <c r="BE31" s="143">
        <v>18005</v>
      </c>
      <c r="BF31" s="143">
        <v>18000</v>
      </c>
      <c r="BG31" s="143">
        <v>17894</v>
      </c>
      <c r="BH31" s="143">
        <v>19410</v>
      </c>
      <c r="BI31" s="143">
        <v>18725</v>
      </c>
      <c r="BJ31" s="143">
        <v>19947</v>
      </c>
      <c r="BK31" s="143">
        <v>19587</v>
      </c>
      <c r="BL31" s="143">
        <v>19742</v>
      </c>
      <c r="BM31" s="143">
        <v>20292</v>
      </c>
      <c r="BN31" s="143">
        <v>20709</v>
      </c>
      <c r="BO31" s="143">
        <v>20892</v>
      </c>
      <c r="BP31" s="143">
        <v>20833</v>
      </c>
      <c r="BQ31" s="143">
        <v>19538</v>
      </c>
      <c r="BR31" s="159">
        <v>18982</v>
      </c>
      <c r="BS31" s="143">
        <v>18902</v>
      </c>
      <c r="BT31" s="143">
        <v>19324</v>
      </c>
      <c r="BU31" s="143">
        <v>19052</v>
      </c>
      <c r="BV31" s="159">
        <v>19697</v>
      </c>
      <c r="BW31" s="143">
        <v>19128</v>
      </c>
      <c r="BX31" s="143">
        <v>19159</v>
      </c>
      <c r="BY31" s="143">
        <v>18840</v>
      </c>
      <c r="BZ31" s="159">
        <f>NormInputs!BP79</f>
        <v>18539</v>
      </c>
      <c r="CA31" s="143">
        <f>NormInputs!BQ79</f>
        <v>18437</v>
      </c>
      <c r="CB31" s="143">
        <f>NormInputs!BR79</f>
        <v>18937</v>
      </c>
      <c r="CC31" s="143">
        <f>NormInputs!BS79</f>
        <v>17288</v>
      </c>
      <c r="CD31" s="159">
        <f>NormInputs!BT79</f>
        <v>17506</v>
      </c>
      <c r="CE31" s="143">
        <f>NormInputs!BU79</f>
        <v>18022</v>
      </c>
      <c r="CF31" s="143">
        <f>NormInputs!BV79</f>
        <v>17525</v>
      </c>
      <c r="CG31" s="143">
        <f>NormInputs!BW79</f>
        <v>18566</v>
      </c>
      <c r="CH31" s="159">
        <f>NormInputs!BX79</f>
        <v>19775</v>
      </c>
      <c r="CI31" s="143">
        <f>NormInputs!BY79</f>
        <v>23705</v>
      </c>
      <c r="CJ31" s="143">
        <f>NormInputs!BZ79</f>
        <v>24031</v>
      </c>
      <c r="CK31" s="143">
        <f>NormInputs!CA79</f>
        <v>13130</v>
      </c>
      <c r="CL31" s="159">
        <f>NormInputs!CB79</f>
        <v>10841</v>
      </c>
      <c r="CM31" s="143">
        <f>NormInputs!CC79</f>
        <v>8591</v>
      </c>
      <c r="CN31" s="143">
        <f>NormInputs!CD79</f>
        <v>8702</v>
      </c>
      <c r="CO31" s="143">
        <f>NormInputs!CE79</f>
        <v>8339</v>
      </c>
      <c r="CP31" s="159">
        <f>NormInputs!CF79</f>
        <v>8185</v>
      </c>
      <c r="CQ31" s="143">
        <f>NormInputs!CG79</f>
        <v>8066</v>
      </c>
      <c r="CR31" s="143">
        <f>NormInputs!CH79</f>
        <v>7682</v>
      </c>
      <c r="CS31" s="143">
        <f>NormInputs!CI79</f>
        <v>5635</v>
      </c>
      <c r="CT31" s="159">
        <f>NormInputs!CJ79</f>
        <v>5511</v>
      </c>
      <c r="CU31" s="143">
        <f>NormInputs!CK79</f>
        <v>5403</v>
      </c>
      <c r="CV31" s="143">
        <f>NormInputs!CL79</f>
        <v>5299</v>
      </c>
      <c r="CW31" s="189">
        <f>NormInputs!CM79</f>
        <v>5155</v>
      </c>
      <c r="CX31" s="143">
        <f>NormInputs!CN79</f>
        <v>5154</v>
      </c>
      <c r="CY31" s="143">
        <f>NormInputs!CO79</f>
        <v>5001</v>
      </c>
      <c r="CZ31" s="143">
        <f>NormInputs!CP79</f>
        <v>4515</v>
      </c>
      <c r="DA31" s="143">
        <f>NormInputs!CQ79</f>
        <v>4128</v>
      </c>
      <c r="DB31" s="159">
        <f>NormInputs!CR79</f>
        <v>3822</v>
      </c>
      <c r="DC31" s="143">
        <f>NormInputs!CS79</f>
        <v>3801</v>
      </c>
      <c r="DD31" s="143">
        <f>NormInputs!CT79</f>
        <v>4446</v>
      </c>
      <c r="DE31" s="143">
        <f>NormInputs!CU79</f>
        <v>4535</v>
      </c>
      <c r="DF31" s="159">
        <f>NormInputs!CV79</f>
        <v>5146</v>
      </c>
      <c r="DG31" s="1047">
        <f>NormInputs!CW79</f>
        <v>5262</v>
      </c>
      <c r="DH31" s="1047">
        <f>NormInputs!CX79</f>
        <v>5112</v>
      </c>
      <c r="DI31" s="189">
        <f>NormInputs!CY79</f>
        <v>5707</v>
      </c>
      <c r="DJ31" s="159">
        <f>NormInputs!CZ79</f>
        <v>15345</v>
      </c>
      <c r="DK31" s="1047">
        <f>NormInputs!DA79</f>
        <v>16192</v>
      </c>
      <c r="DL31" s="2149">
        <f>NormInputs!DB79</f>
        <v>17187</v>
      </c>
      <c r="DM31" s="2485">
        <f>NormInputs!DC79</f>
        <v>17779</v>
      </c>
      <c r="DN31" s="2488">
        <f>NormInputs!DD79</f>
        <v>16730</v>
      </c>
      <c r="DO31" s="2149">
        <f>NormInputs!DE79</f>
        <v>7235</v>
      </c>
      <c r="DP31" s="2149">
        <f>NormInputs!DF79</f>
        <v>8275</v>
      </c>
      <c r="DQ31" s="2485">
        <f>NormInputs!DG79</f>
        <v>9149</v>
      </c>
      <c r="DR31" s="2149">
        <f>NormInputs!DH79</f>
        <v>8984</v>
      </c>
      <c r="DS31" s="2149">
        <f>NormInputs!DI79</f>
        <v>8885</v>
      </c>
      <c r="DT31" s="2149">
        <f>NormInputs!DJ79</f>
        <v>8538</v>
      </c>
      <c r="DU31" s="2149">
        <f>NormInputs!DK79</f>
        <v>9787</v>
      </c>
      <c r="DV31" s="2149">
        <f>NormInputs!DL79</f>
        <v>11763</v>
      </c>
      <c r="DW31" s="1047">
        <f t="shared" ref="DW31" si="75">+DV31</f>
        <v>11763</v>
      </c>
      <c r="DX31" s="1047">
        <f t="shared" ref="DX31" si="76">+DW31</f>
        <v>11763</v>
      </c>
      <c r="DY31" s="189">
        <f t="shared" ref="DY31" si="77">+DX31</f>
        <v>11763</v>
      </c>
      <c r="DZ31" s="1047"/>
    </row>
    <row r="32" spans="1:130" hidden="1">
      <c r="A32" s="254" t="s">
        <v>1235</v>
      </c>
      <c r="B32" s="103"/>
      <c r="C32" s="103"/>
      <c r="D32" s="103"/>
      <c r="E32" s="183"/>
      <c r="F32" s="183"/>
      <c r="G32" s="183"/>
      <c r="H32" s="183">
        <v>8647</v>
      </c>
      <c r="I32" s="183">
        <v>9846</v>
      </c>
      <c r="J32" s="183">
        <v>12866</v>
      </c>
      <c r="K32" s="183">
        <v>12843</v>
      </c>
      <c r="L32" s="183">
        <v>12843</v>
      </c>
      <c r="M32" s="183">
        <v>12843</v>
      </c>
      <c r="N32" s="183" t="e">
        <f>(#REF!+#REF!)+N44</f>
        <v>#REF!</v>
      </c>
      <c r="O32" s="185" t="e">
        <f>(#REF!+#REF!)+O44</f>
        <v>#REF!</v>
      </c>
      <c r="P32" s="183">
        <v>0</v>
      </c>
      <c r="Q32" s="185">
        <v>0</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411"/>
      <c r="AI32" s="183"/>
      <c r="AJ32" s="183"/>
      <c r="AK32" s="183"/>
      <c r="AL32" s="183"/>
      <c r="AM32" s="143"/>
      <c r="AN32" s="123"/>
      <c r="AO32" s="123"/>
      <c r="AP32" s="183"/>
      <c r="AQ32" s="183"/>
      <c r="AR32" s="183"/>
      <c r="AS32" s="183"/>
      <c r="AT32" s="183"/>
      <c r="AU32" s="183"/>
      <c r="AV32" s="183"/>
      <c r="AW32" s="183"/>
      <c r="AX32" s="183"/>
      <c r="AY32" s="183"/>
      <c r="AZ32" s="183"/>
      <c r="BA32" s="183"/>
      <c r="BB32" s="183"/>
      <c r="BC32" s="183"/>
      <c r="BD32" s="183"/>
      <c r="BE32" s="183"/>
      <c r="BF32" s="183"/>
      <c r="BG32" s="183"/>
      <c r="BH32" s="183"/>
      <c r="BI32" s="183"/>
      <c r="BJ32" s="183"/>
      <c r="BK32" s="183"/>
      <c r="BL32" s="183"/>
      <c r="BM32" s="183"/>
      <c r="BN32" s="183"/>
      <c r="BO32" s="183"/>
      <c r="BP32" s="183"/>
      <c r="BQ32" s="183"/>
      <c r="BR32" s="251"/>
      <c r="BS32" s="183"/>
      <c r="BT32" s="183"/>
      <c r="BU32" s="183"/>
      <c r="BV32" s="251"/>
      <c r="BW32" s="183"/>
      <c r="BX32" s="183"/>
      <c r="BY32" s="183"/>
      <c r="BZ32" s="251"/>
      <c r="CA32" s="183"/>
      <c r="CB32" s="183"/>
      <c r="CC32" s="183"/>
      <c r="CD32" s="251"/>
      <c r="CE32" s="183"/>
      <c r="CF32" s="183"/>
      <c r="CG32" s="183"/>
      <c r="CH32" s="251"/>
      <c r="CI32" s="183"/>
      <c r="CJ32" s="183"/>
      <c r="CK32" s="183"/>
      <c r="CL32" s="252"/>
      <c r="CM32" s="185"/>
      <c r="CN32" s="185"/>
      <c r="CO32" s="185"/>
      <c r="CP32" s="252"/>
      <c r="CQ32" s="185"/>
      <c r="CR32" s="185"/>
      <c r="CS32" s="185"/>
      <c r="CT32" s="252"/>
      <c r="CU32" s="185"/>
      <c r="CV32" s="185"/>
      <c r="CW32" s="249"/>
      <c r="CX32" s="185"/>
      <c r="CY32" s="185"/>
      <c r="CZ32" s="185"/>
      <c r="DA32" s="185"/>
      <c r="DB32" s="252"/>
      <c r="DC32" s="185"/>
      <c r="DD32" s="185"/>
      <c r="DE32" s="185"/>
      <c r="DF32" s="252"/>
      <c r="DG32" s="1369"/>
      <c r="DH32" s="1369"/>
      <c r="DI32" s="249"/>
      <c r="DJ32" s="252"/>
      <c r="DK32" s="1369"/>
      <c r="DL32" s="1369"/>
      <c r="DM32" s="249"/>
      <c r="DN32" s="252"/>
      <c r="DO32" s="1369"/>
      <c r="DP32" s="1369"/>
      <c r="DQ32" s="249"/>
      <c r="DR32" s="1369"/>
      <c r="DS32" s="1369"/>
      <c r="DT32" s="1369"/>
      <c r="DU32" s="1369"/>
      <c r="DV32" s="1369"/>
      <c r="DW32" s="1369"/>
      <c r="DX32" s="1369"/>
      <c r="DY32" s="249"/>
      <c r="DZ32" s="1041"/>
    </row>
    <row r="33" spans="1:130">
      <c r="A33" s="91" t="s">
        <v>1236</v>
      </c>
      <c r="B33" s="91"/>
      <c r="C33" s="91"/>
      <c r="D33" s="91"/>
      <c r="E33" s="149"/>
      <c r="F33" s="149">
        <v>98164</v>
      </c>
      <c r="G33" s="149">
        <v>112830</v>
      </c>
      <c r="H33" s="149">
        <v>164735</v>
      </c>
      <c r="I33" s="149">
        <v>170795</v>
      </c>
      <c r="J33" s="149">
        <v>167468</v>
      </c>
      <c r="K33" s="149">
        <v>165968</v>
      </c>
      <c r="L33" s="149">
        <v>165958</v>
      </c>
      <c r="M33" s="149">
        <v>168130</v>
      </c>
      <c r="N33" s="149" t="e">
        <f t="shared" ref="N33:V33" si="78">N31+N27+N26+N23+N20+N32</f>
        <v>#REF!</v>
      </c>
      <c r="O33" s="149" t="e">
        <f t="shared" si="78"/>
        <v>#REF!</v>
      </c>
      <c r="P33" s="149">
        <f t="shared" si="78"/>
        <v>202352</v>
      </c>
      <c r="Q33" s="149">
        <f t="shared" si="78"/>
        <v>227251</v>
      </c>
      <c r="R33" s="149">
        <f t="shared" si="78"/>
        <v>220005</v>
      </c>
      <c r="S33" s="149">
        <f t="shared" si="78"/>
        <v>230461</v>
      </c>
      <c r="T33" s="149">
        <f t="shared" si="78"/>
        <v>225222</v>
      </c>
      <c r="U33" s="149">
        <f t="shared" si="78"/>
        <v>274098</v>
      </c>
      <c r="V33" s="149">
        <f t="shared" si="78"/>
        <v>232708</v>
      </c>
      <c r="W33" s="149">
        <f t="shared" ref="W33:AB33" si="79">W31+W27+W26+W23+W20+W32</f>
        <v>244640</v>
      </c>
      <c r="X33" s="149">
        <f t="shared" si="79"/>
        <v>244180</v>
      </c>
      <c r="Y33" s="149">
        <f t="shared" si="79"/>
        <v>257143</v>
      </c>
      <c r="Z33" s="149">
        <f t="shared" ca="1" si="79"/>
        <v>277564.2022843</v>
      </c>
      <c r="AA33" s="149">
        <f t="shared" ca="1" si="79"/>
        <v>287631.52238322538</v>
      </c>
      <c r="AB33" s="149">
        <f t="shared" ca="1" si="79"/>
        <v>298535.6024481015</v>
      </c>
      <c r="AC33" s="149">
        <f t="shared" ref="AC33:AG33" ca="1" si="80">AC31+AC27+AC26+AC23+AC20+AC32</f>
        <v>311606.30722589826</v>
      </c>
      <c r="AD33" s="149">
        <f t="shared" ca="1" si="80"/>
        <v>325348.04209286463</v>
      </c>
      <c r="AE33" s="149">
        <f t="shared" ca="1" si="80"/>
        <v>339821.68540570652</v>
      </c>
      <c r="AF33" s="149">
        <f t="shared" ca="1" si="80"/>
        <v>355093.58475880569</v>
      </c>
      <c r="AG33" s="149">
        <f t="shared" ca="1" si="80"/>
        <v>371206.85648913635</v>
      </c>
      <c r="AH33" s="1411"/>
      <c r="AI33" s="91"/>
      <c r="AJ33" s="91"/>
      <c r="AK33" s="91"/>
      <c r="AL33" s="91"/>
      <c r="AM33" s="143"/>
      <c r="AN33" s="123"/>
      <c r="AO33" s="123"/>
      <c r="AP33" s="91"/>
      <c r="AQ33" s="91"/>
      <c r="AR33" s="91"/>
      <c r="AS33" s="91"/>
      <c r="AT33" s="91"/>
      <c r="AU33" s="91"/>
      <c r="AV33" s="91"/>
      <c r="AW33" s="91"/>
      <c r="AX33" s="149"/>
      <c r="AY33" s="149"/>
      <c r="AZ33" s="149"/>
      <c r="BA33" s="149">
        <v>112830</v>
      </c>
      <c r="BB33" s="149"/>
      <c r="BC33" s="149">
        <v>161013</v>
      </c>
      <c r="BD33" s="149">
        <v>157528</v>
      </c>
      <c r="BE33" s="149">
        <v>164735</v>
      </c>
      <c r="BF33" s="149">
        <v>167798</v>
      </c>
      <c r="BG33" s="149">
        <v>170173</v>
      </c>
      <c r="BH33" s="149">
        <v>169503</v>
      </c>
      <c r="BI33" s="149">
        <v>170795</v>
      </c>
      <c r="BJ33" s="149">
        <v>171325</v>
      </c>
      <c r="BK33" s="149">
        <v>168293</v>
      </c>
      <c r="BL33" s="149">
        <v>169099</v>
      </c>
      <c r="BM33" s="149">
        <v>167468</v>
      </c>
      <c r="BN33" s="149">
        <v>170731</v>
      </c>
      <c r="BO33" s="149">
        <v>167626</v>
      </c>
      <c r="BP33" s="149">
        <v>165006</v>
      </c>
      <c r="BQ33" s="149">
        <v>165968</v>
      </c>
      <c r="BR33" s="150">
        <v>163421</v>
      </c>
      <c r="BS33" s="149">
        <v>162438</v>
      </c>
      <c r="BT33" s="149">
        <v>162897</v>
      </c>
      <c r="BU33" s="149">
        <v>165958</v>
      </c>
      <c r="BV33" s="150">
        <v>164882</v>
      </c>
      <c r="BW33" s="149">
        <v>169377</v>
      </c>
      <c r="BX33" s="149">
        <v>168301</v>
      </c>
      <c r="BY33" s="149">
        <v>168130</v>
      </c>
      <c r="BZ33" s="150">
        <f t="shared" ref="BZ33:DE33" si="81">BZ20+BZ23+BZ26+BZ27+BZ31</f>
        <v>182814</v>
      </c>
      <c r="CA33" s="149">
        <f t="shared" si="81"/>
        <v>183843</v>
      </c>
      <c r="CB33" s="149">
        <f t="shared" si="81"/>
        <v>185679</v>
      </c>
      <c r="CC33" s="149">
        <f t="shared" si="81"/>
        <v>188804</v>
      </c>
      <c r="CD33" s="150">
        <f t="shared" si="81"/>
        <v>184284</v>
      </c>
      <c r="CE33" s="149">
        <f t="shared" si="81"/>
        <v>184760</v>
      </c>
      <c r="CF33" s="149">
        <f t="shared" si="81"/>
        <v>185619</v>
      </c>
      <c r="CG33" s="149">
        <f t="shared" si="81"/>
        <v>186959</v>
      </c>
      <c r="CH33" s="150">
        <f t="shared" si="81"/>
        <v>191293</v>
      </c>
      <c r="CI33" s="149">
        <f t="shared" si="81"/>
        <v>200646</v>
      </c>
      <c r="CJ33" s="149">
        <f t="shared" si="81"/>
        <v>204861</v>
      </c>
      <c r="CK33" s="149">
        <f t="shared" si="81"/>
        <v>202352</v>
      </c>
      <c r="CL33" s="150">
        <f t="shared" si="81"/>
        <v>226851</v>
      </c>
      <c r="CM33" s="149">
        <f t="shared" si="81"/>
        <v>224999</v>
      </c>
      <c r="CN33" s="149">
        <f t="shared" si="81"/>
        <v>226404</v>
      </c>
      <c r="CO33" s="149">
        <f t="shared" si="81"/>
        <v>227251</v>
      </c>
      <c r="CP33" s="150">
        <f t="shared" si="81"/>
        <v>227347</v>
      </c>
      <c r="CQ33" s="149">
        <f t="shared" si="81"/>
        <v>226251</v>
      </c>
      <c r="CR33" s="149">
        <f t="shared" si="81"/>
        <v>220852</v>
      </c>
      <c r="CS33" s="149">
        <f t="shared" si="81"/>
        <v>220005</v>
      </c>
      <c r="CT33" s="150">
        <f t="shared" si="81"/>
        <v>228108</v>
      </c>
      <c r="CU33" s="149">
        <f t="shared" si="81"/>
        <v>223756</v>
      </c>
      <c r="CV33" s="149">
        <f t="shared" si="81"/>
        <v>228032</v>
      </c>
      <c r="CW33" s="155">
        <f t="shared" si="81"/>
        <v>230461</v>
      </c>
      <c r="CX33" s="149">
        <f t="shared" si="81"/>
        <v>222921</v>
      </c>
      <c r="CY33" s="149">
        <f t="shared" si="81"/>
        <v>226072</v>
      </c>
      <c r="CZ33" s="149">
        <f t="shared" si="81"/>
        <v>231082</v>
      </c>
      <c r="DA33" s="149">
        <f t="shared" si="81"/>
        <v>225222</v>
      </c>
      <c r="DB33" s="150">
        <f t="shared" si="81"/>
        <v>226186</v>
      </c>
      <c r="DC33" s="149">
        <f t="shared" si="81"/>
        <v>223346</v>
      </c>
      <c r="DD33" s="149">
        <f t="shared" si="81"/>
        <v>276675</v>
      </c>
      <c r="DE33" s="149">
        <f t="shared" si="81"/>
        <v>274098</v>
      </c>
      <c r="DF33" s="150">
        <f>DF20+DF23+DF26+DF27+DF31</f>
        <v>221562</v>
      </c>
      <c r="DG33" s="1113">
        <f>DG20+DG23+DG26+DG27+DG31</f>
        <v>224427</v>
      </c>
      <c r="DH33" s="1113">
        <f>DH20+DH23+DH26+DH27+DH31</f>
        <v>226293</v>
      </c>
      <c r="DI33" s="155">
        <f>DI20+DI23+DI26+DI27+DI31</f>
        <v>232708</v>
      </c>
      <c r="DJ33" s="150">
        <f t="shared" ref="DJ33:DM33" si="82">DJ20+DJ23+DJ26+DJ27+DJ31</f>
        <v>235790</v>
      </c>
      <c r="DK33" s="1113">
        <f t="shared" si="82"/>
        <v>240753</v>
      </c>
      <c r="DL33" s="1113">
        <f t="shared" si="82"/>
        <v>242073</v>
      </c>
      <c r="DM33" s="155">
        <f t="shared" si="82"/>
        <v>244640</v>
      </c>
      <c r="DN33" s="150">
        <f t="shared" ref="DN33:DO33" si="83">DN20+DN23+DN26+DN27+DN31</f>
        <v>244587</v>
      </c>
      <c r="DO33" s="1113">
        <f t="shared" si="83"/>
        <v>231870</v>
      </c>
      <c r="DP33" s="1113">
        <f t="shared" ref="DP33:DQ33" si="84">DP20+DP23+DP26+DP27+DP31</f>
        <v>239498</v>
      </c>
      <c r="DQ33" s="155">
        <f t="shared" si="84"/>
        <v>244180</v>
      </c>
      <c r="DR33" s="1113">
        <f t="shared" ref="DR33:DS33" si="85">DR20+DR23+DR26+DR27+DR31</f>
        <v>246731</v>
      </c>
      <c r="DS33" s="1113">
        <f t="shared" si="85"/>
        <v>252978</v>
      </c>
      <c r="DT33" s="1113">
        <f t="shared" ref="DT33:DU33" si="86">DT20+DT23+DT26+DT27+DT31</f>
        <v>254682</v>
      </c>
      <c r="DU33" s="1113">
        <f t="shared" si="86"/>
        <v>257143</v>
      </c>
      <c r="DV33" s="1113">
        <f t="shared" ref="DV33" si="87">DV20+DV23+DV26+DV27+DV31</f>
        <v>264516</v>
      </c>
      <c r="DW33" s="1113">
        <f t="shared" ref="DW33:DY33" ca="1" si="88">DW20+DW23+DW26+DW27+DW31</f>
        <v>267592.30730299425</v>
      </c>
      <c r="DX33" s="1113">
        <f t="shared" ca="1" si="88"/>
        <v>271200.56752544898</v>
      </c>
      <c r="DY33" s="155">
        <f t="shared" ca="1" si="88"/>
        <v>277564.2022843</v>
      </c>
      <c r="DZ33" s="1047"/>
    </row>
    <row r="34" spans="1:130" hidden="1">
      <c r="A34" s="255" t="s">
        <v>1237</v>
      </c>
      <c r="B34" s="256"/>
      <c r="C34" s="256"/>
      <c r="D34" s="256"/>
      <c r="E34" s="256"/>
      <c r="F34" s="256">
        <v>0</v>
      </c>
      <c r="G34" s="256">
        <v>0</v>
      </c>
      <c r="H34" s="256">
        <v>0</v>
      </c>
      <c r="I34" s="256">
        <v>0</v>
      </c>
      <c r="J34" s="256">
        <v>0</v>
      </c>
      <c r="K34" s="256">
        <v>0</v>
      </c>
      <c r="L34" s="256">
        <v>0</v>
      </c>
      <c r="M34" s="256">
        <v>0</v>
      </c>
      <c r="N34" s="256" t="e">
        <f t="shared" ref="N34:V34" si="89">N33-N20-SUM(N23:N27)-N31+N24-N32+N25</f>
        <v>#REF!</v>
      </c>
      <c r="O34" s="256" t="e">
        <f t="shared" si="89"/>
        <v>#REF!</v>
      </c>
      <c r="P34" s="256">
        <f t="shared" si="89"/>
        <v>0</v>
      </c>
      <c r="Q34" s="256">
        <f t="shared" si="89"/>
        <v>0</v>
      </c>
      <c r="R34" s="256">
        <f t="shared" si="89"/>
        <v>0</v>
      </c>
      <c r="S34" s="256">
        <f t="shared" si="89"/>
        <v>0</v>
      </c>
      <c r="T34" s="256">
        <f t="shared" si="89"/>
        <v>0</v>
      </c>
      <c r="U34" s="256">
        <f t="shared" si="89"/>
        <v>0</v>
      </c>
      <c r="V34" s="256">
        <f t="shared" si="89"/>
        <v>0</v>
      </c>
      <c r="W34" s="256">
        <f t="shared" ref="W34:AB34" si="90">W33-W20-SUM(W23:W27)-W31+W24-W32+W25</f>
        <v>0</v>
      </c>
      <c r="X34" s="256">
        <f t="shared" si="90"/>
        <v>0</v>
      </c>
      <c r="Y34" s="256">
        <f t="shared" si="90"/>
        <v>0</v>
      </c>
      <c r="Z34" s="256">
        <f t="shared" ca="1" si="90"/>
        <v>0</v>
      </c>
      <c r="AA34" s="256">
        <f t="shared" ca="1" si="90"/>
        <v>0</v>
      </c>
      <c r="AB34" s="256">
        <f t="shared" ca="1" si="90"/>
        <v>0</v>
      </c>
      <c r="AC34" s="256">
        <f t="shared" ref="AC34:AG34" ca="1" si="91">AC33-AC20-SUM(AC23:AC27)-AC31+AC24-AC32+AC25</f>
        <v>0</v>
      </c>
      <c r="AD34" s="256">
        <f t="shared" ca="1" si="91"/>
        <v>6.5483618527650833E-11</v>
      </c>
      <c r="AE34" s="256">
        <f t="shared" ca="1" si="91"/>
        <v>0</v>
      </c>
      <c r="AF34" s="256">
        <f t="shared" ca="1" si="91"/>
        <v>0</v>
      </c>
      <c r="AG34" s="256">
        <f t="shared" ca="1" si="91"/>
        <v>0</v>
      </c>
      <c r="AH34" s="1411"/>
      <c r="AI34" s="256"/>
      <c r="AJ34" s="256"/>
      <c r="AK34" s="256"/>
      <c r="AL34" s="256"/>
      <c r="AM34" s="143"/>
      <c r="AN34" s="228"/>
      <c r="AO34" s="228"/>
      <c r="AP34" s="256"/>
      <c r="AQ34" s="256"/>
      <c r="AR34" s="256"/>
      <c r="AS34" s="256"/>
      <c r="AT34" s="256"/>
      <c r="AU34" s="256"/>
      <c r="AV34" s="256"/>
      <c r="AW34" s="256"/>
      <c r="AX34" s="256"/>
      <c r="AY34" s="256"/>
      <c r="AZ34" s="256"/>
      <c r="BA34" s="256"/>
      <c r="BB34" s="256"/>
      <c r="BC34" s="256">
        <v>0</v>
      </c>
      <c r="BD34" s="256">
        <v>0</v>
      </c>
      <c r="BE34" s="256">
        <v>0</v>
      </c>
      <c r="BF34" s="256">
        <v>0</v>
      </c>
      <c r="BG34" s="256">
        <v>0</v>
      </c>
      <c r="BH34" s="256">
        <v>0</v>
      </c>
      <c r="BI34" s="256">
        <v>0</v>
      </c>
      <c r="BJ34" s="256">
        <v>0</v>
      </c>
      <c r="BK34" s="256">
        <v>0</v>
      </c>
      <c r="BL34" s="256">
        <v>0</v>
      </c>
      <c r="BM34" s="256">
        <v>0</v>
      </c>
      <c r="BN34" s="256">
        <v>0</v>
      </c>
      <c r="BO34" s="256">
        <v>0</v>
      </c>
      <c r="BP34" s="256">
        <v>0</v>
      </c>
      <c r="BQ34" s="256">
        <v>0</v>
      </c>
      <c r="BR34" s="257">
        <v>0</v>
      </c>
      <c r="BS34" s="256">
        <v>0</v>
      </c>
      <c r="BT34" s="256">
        <v>0</v>
      </c>
      <c r="BU34" s="256">
        <v>0</v>
      </c>
      <c r="BV34" s="257">
        <v>0</v>
      </c>
      <c r="BW34" s="256">
        <v>0</v>
      </c>
      <c r="BX34" s="256">
        <v>0</v>
      </c>
      <c r="BY34" s="256">
        <v>0</v>
      </c>
      <c r="BZ34" s="257">
        <f t="shared" ref="BZ34:DF34" si="92">BZ33-BZ20-SUM(BZ23:BZ27)-BZ31</f>
        <v>0</v>
      </c>
      <c r="CA34" s="256">
        <f t="shared" si="92"/>
        <v>0</v>
      </c>
      <c r="CB34" s="256">
        <f t="shared" si="92"/>
        <v>0</v>
      </c>
      <c r="CC34" s="256">
        <f t="shared" si="92"/>
        <v>0</v>
      </c>
      <c r="CD34" s="257">
        <f t="shared" si="92"/>
        <v>0</v>
      </c>
      <c r="CE34" s="256">
        <f t="shared" si="92"/>
        <v>0</v>
      </c>
      <c r="CF34" s="256">
        <f t="shared" si="92"/>
        <v>0</v>
      </c>
      <c r="CG34" s="256">
        <f t="shared" si="92"/>
        <v>0</v>
      </c>
      <c r="CH34" s="257">
        <f t="shared" si="92"/>
        <v>0</v>
      </c>
      <c r="CI34" s="256">
        <f t="shared" si="92"/>
        <v>0</v>
      </c>
      <c r="CJ34" s="256">
        <f t="shared" si="92"/>
        <v>0</v>
      </c>
      <c r="CK34" s="256">
        <f t="shared" si="92"/>
        <v>0</v>
      </c>
      <c r="CL34" s="257">
        <f t="shared" si="92"/>
        <v>0</v>
      </c>
      <c r="CM34" s="256">
        <f t="shared" si="92"/>
        <v>0</v>
      </c>
      <c r="CN34" s="256">
        <f t="shared" si="92"/>
        <v>0</v>
      </c>
      <c r="CO34" s="256">
        <f t="shared" si="92"/>
        <v>0</v>
      </c>
      <c r="CP34" s="257">
        <f t="shared" si="92"/>
        <v>0</v>
      </c>
      <c r="CQ34" s="256">
        <f t="shared" si="92"/>
        <v>0</v>
      </c>
      <c r="CR34" s="256">
        <f t="shared" si="92"/>
        <v>0</v>
      </c>
      <c r="CS34" s="256">
        <f t="shared" si="92"/>
        <v>0</v>
      </c>
      <c r="CT34" s="257">
        <f t="shared" si="92"/>
        <v>0</v>
      </c>
      <c r="CU34" s="256">
        <f t="shared" si="92"/>
        <v>0</v>
      </c>
      <c r="CV34" s="256">
        <f t="shared" si="92"/>
        <v>0</v>
      </c>
      <c r="CW34" s="258">
        <f t="shared" si="92"/>
        <v>0</v>
      </c>
      <c r="CX34" s="256">
        <f t="shared" si="92"/>
        <v>0</v>
      </c>
      <c r="CY34" s="256">
        <f t="shared" si="92"/>
        <v>0</v>
      </c>
      <c r="CZ34" s="256">
        <f t="shared" si="92"/>
        <v>0</v>
      </c>
      <c r="DA34" s="256">
        <f t="shared" si="92"/>
        <v>0</v>
      </c>
      <c r="DB34" s="257">
        <f t="shared" si="92"/>
        <v>0</v>
      </c>
      <c r="DC34" s="256">
        <f t="shared" si="92"/>
        <v>0</v>
      </c>
      <c r="DD34" s="256">
        <f t="shared" si="92"/>
        <v>0</v>
      </c>
      <c r="DE34" s="256">
        <f t="shared" si="92"/>
        <v>0</v>
      </c>
      <c r="DF34" s="257">
        <f t="shared" si="92"/>
        <v>0</v>
      </c>
      <c r="DG34" s="1082">
        <f>DG33-DG20-SUM(DG23:DG27)-DG31</f>
        <v>0</v>
      </c>
      <c r="DH34" s="1082">
        <f>DH33-DH20-SUM(DH23:DH27)-DH31</f>
        <v>0</v>
      </c>
      <c r="DI34" s="258">
        <f>DI33-DI20-SUM(DI23:DI27)-DI31</f>
        <v>0</v>
      </c>
      <c r="DJ34" s="257">
        <f t="shared" ref="DJ34:DM34" si="93">DJ33-DJ20-SUM(DJ23:DJ27)-DJ31</f>
        <v>0</v>
      </c>
      <c r="DK34" s="1082">
        <f t="shared" si="93"/>
        <v>0</v>
      </c>
      <c r="DL34" s="1082">
        <f t="shared" si="93"/>
        <v>0</v>
      </c>
      <c r="DM34" s="258">
        <f t="shared" si="93"/>
        <v>0</v>
      </c>
      <c r="DN34" s="257">
        <f t="shared" ref="DN34:DO34" si="94">DN33-DN20-SUM(DN23:DN27)-DN31</f>
        <v>0</v>
      </c>
      <c r="DO34" s="1082">
        <f t="shared" si="94"/>
        <v>0</v>
      </c>
      <c r="DP34" s="1082">
        <f t="shared" ref="DP34:DQ34" si="95">DP33-DP20-SUM(DP23:DP27)-DP31</f>
        <v>0</v>
      </c>
      <c r="DQ34" s="258">
        <f t="shared" si="95"/>
        <v>0</v>
      </c>
      <c r="DR34" s="1082">
        <f t="shared" ref="DR34:DS34" si="96">DR33-DR20-SUM(DR23:DR27)-DR31</f>
        <v>0</v>
      </c>
      <c r="DS34" s="1082">
        <f t="shared" si="96"/>
        <v>0</v>
      </c>
      <c r="DT34" s="1082">
        <f t="shared" ref="DT34:DU34" si="97">DT33-DT20-SUM(DT23:DT27)-DT31</f>
        <v>0</v>
      </c>
      <c r="DU34" s="1082">
        <f t="shared" si="97"/>
        <v>0</v>
      </c>
      <c r="DV34" s="1082">
        <f t="shared" ref="DV34" si="98">DV33-DV20-SUM(DV23:DV27)-DV31</f>
        <v>0</v>
      </c>
      <c r="DW34" s="1082">
        <f t="shared" ref="DW34:DY34" ca="1" si="99">DW33-DW20-SUM(DW23:DW27)-DW31</f>
        <v>0</v>
      </c>
      <c r="DX34" s="1082">
        <f t="shared" ca="1" si="99"/>
        <v>-2.9103830456733704E-11</v>
      </c>
      <c r="DY34" s="258">
        <f t="shared" ca="1" si="99"/>
        <v>0</v>
      </c>
      <c r="DZ34" s="1041"/>
    </row>
    <row r="35" spans="1:130" ht="9" customHeight="1">
      <c r="A35" s="87"/>
      <c r="B35" s="87"/>
      <c r="C35" s="87"/>
      <c r="D35" s="87"/>
      <c r="E35" s="87"/>
      <c r="F35" s="87"/>
      <c r="G35" s="87"/>
      <c r="H35" s="87"/>
      <c r="I35" s="87"/>
      <c r="J35" s="87"/>
      <c r="K35" s="143"/>
      <c r="L35" s="87"/>
      <c r="M35" s="87"/>
      <c r="N35" s="87"/>
      <c r="O35" s="87"/>
      <c r="P35" s="87"/>
      <c r="Q35" s="87"/>
      <c r="R35" s="87"/>
      <c r="S35" s="87"/>
      <c r="T35" s="87"/>
      <c r="U35" s="87"/>
      <c r="V35" s="87"/>
      <c r="W35" s="87"/>
      <c r="X35" s="87"/>
      <c r="Y35" s="87"/>
      <c r="Z35" s="87"/>
      <c r="AA35" s="87"/>
      <c r="AB35" s="87"/>
      <c r="AC35" s="87"/>
      <c r="AD35" s="87"/>
      <c r="AE35" s="87"/>
      <c r="AF35" s="87"/>
      <c r="AG35" s="87"/>
      <c r="AH35" s="1411"/>
      <c r="AI35" s="87"/>
      <c r="AJ35" s="87"/>
      <c r="AK35" s="87"/>
      <c r="AL35" s="87"/>
      <c r="AM35" s="143"/>
      <c r="AN35" s="123"/>
      <c r="AO35" s="123"/>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143"/>
      <c r="BR35" s="159"/>
      <c r="BS35" s="143"/>
      <c r="BT35" s="143"/>
      <c r="BU35" s="143"/>
      <c r="BV35" s="159"/>
      <c r="BW35" s="143"/>
      <c r="BX35" s="143"/>
      <c r="BY35" s="143"/>
      <c r="BZ35" s="159"/>
      <c r="CA35" s="143"/>
      <c r="CB35" s="143"/>
      <c r="CC35" s="143"/>
      <c r="CD35" s="159"/>
      <c r="CE35" s="143"/>
      <c r="CF35" s="143"/>
      <c r="CG35" s="143"/>
      <c r="CH35" s="159"/>
      <c r="CI35" s="143"/>
      <c r="CJ35" s="143"/>
      <c r="CK35" s="143"/>
      <c r="CL35" s="159"/>
      <c r="CM35" s="143"/>
      <c r="CN35" s="143"/>
      <c r="CO35" s="143"/>
      <c r="CP35" s="159"/>
      <c r="CQ35" s="143"/>
      <c r="CR35" s="143"/>
      <c r="CS35" s="143"/>
      <c r="CT35" s="159"/>
      <c r="CU35" s="143"/>
      <c r="CV35" s="143"/>
      <c r="CW35" s="189"/>
      <c r="CX35" s="143"/>
      <c r="CY35" s="143"/>
      <c r="CZ35" s="143"/>
      <c r="DA35" s="143"/>
      <c r="DB35" s="159"/>
      <c r="DC35" s="143"/>
      <c r="DD35" s="143"/>
      <c r="DE35" s="143"/>
      <c r="DF35" s="159"/>
      <c r="DG35" s="1047"/>
      <c r="DH35" s="1047"/>
      <c r="DI35" s="189"/>
      <c r="DJ35" s="159"/>
      <c r="DK35" s="1047"/>
      <c r="DL35" s="1047"/>
      <c r="DM35" s="189"/>
      <c r="DN35" s="159"/>
      <c r="DO35" s="1047"/>
      <c r="DP35" s="1047"/>
      <c r="DQ35" s="189"/>
      <c r="DR35" s="1047"/>
      <c r="DS35" s="1047"/>
      <c r="DT35" s="1047"/>
      <c r="DU35" s="1047"/>
      <c r="DV35" s="1047"/>
      <c r="DW35" s="1047"/>
      <c r="DX35" s="1047"/>
      <c r="DY35" s="189"/>
      <c r="DZ35" s="1041"/>
    </row>
    <row r="36" spans="1:130">
      <c r="A36" s="91" t="s">
        <v>1238</v>
      </c>
      <c r="B36" s="91"/>
      <c r="C36" s="91"/>
      <c r="D36" s="87"/>
      <c r="E36" s="87"/>
      <c r="F36" s="87"/>
      <c r="G36" s="87"/>
      <c r="H36" s="143"/>
      <c r="I36" s="143"/>
      <c r="J36" s="143"/>
      <c r="K36" s="143"/>
      <c r="L36" s="87"/>
      <c r="M36" s="87"/>
      <c r="N36" s="87"/>
      <c r="O36" s="87"/>
      <c r="P36" s="87"/>
      <c r="Q36" s="87"/>
      <c r="R36" s="87"/>
      <c r="S36" s="87"/>
      <c r="T36" s="87"/>
      <c r="U36" s="87"/>
      <c r="V36" s="87"/>
      <c r="W36" s="87"/>
      <c r="X36" s="87"/>
      <c r="Y36" s="87"/>
      <c r="Z36" s="87"/>
      <c r="AA36" s="87"/>
      <c r="AB36" s="87"/>
      <c r="AC36" s="87"/>
      <c r="AD36" s="87"/>
      <c r="AE36" s="87"/>
      <c r="AF36" s="87"/>
      <c r="AG36" s="87"/>
      <c r="AH36" s="1411"/>
      <c r="AI36" s="87"/>
      <c r="AJ36" s="87"/>
      <c r="AK36" s="87"/>
      <c r="AL36" s="87"/>
      <c r="AM36" s="143"/>
      <c r="AN36" s="123"/>
      <c r="AO36" s="123"/>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8"/>
      <c r="BS36" s="87"/>
      <c r="BT36" s="87"/>
      <c r="BU36" s="87"/>
      <c r="BV36" s="88"/>
      <c r="BW36" s="87"/>
      <c r="BX36" s="87"/>
      <c r="BY36" s="87"/>
      <c r="BZ36" s="88"/>
      <c r="CA36" s="87"/>
      <c r="CB36" s="87"/>
      <c r="CC36" s="87"/>
      <c r="CD36" s="88"/>
      <c r="CE36" s="87"/>
      <c r="CF36" s="87"/>
      <c r="CG36" s="87"/>
      <c r="CH36" s="88"/>
      <c r="CI36" s="87"/>
      <c r="CJ36" s="87"/>
      <c r="CK36" s="87"/>
      <c r="CL36" s="88"/>
      <c r="CM36" s="87"/>
      <c r="CN36" s="87"/>
      <c r="CO36" s="87"/>
      <c r="CP36" s="88"/>
      <c r="CQ36" s="87"/>
      <c r="CR36" s="87"/>
      <c r="CS36" s="87"/>
      <c r="CT36" s="88"/>
      <c r="CU36" s="87"/>
      <c r="CV36" s="87"/>
      <c r="CW36" s="144"/>
      <c r="CX36" s="87"/>
      <c r="CY36" s="87"/>
      <c r="CZ36" s="87"/>
      <c r="DA36" s="87"/>
      <c r="DB36" s="88"/>
      <c r="DC36" s="87"/>
      <c r="DD36" s="87"/>
      <c r="DE36" s="87"/>
      <c r="DF36" s="88"/>
      <c r="DG36" s="1041"/>
      <c r="DH36" s="1041"/>
      <c r="DI36" s="144"/>
      <c r="DJ36" s="88"/>
      <c r="DK36" s="1041"/>
      <c r="DL36" s="1041"/>
      <c r="DM36" s="144"/>
      <c r="DN36" s="88"/>
      <c r="DO36" s="1041"/>
      <c r="DP36" s="1041"/>
      <c r="DQ36" s="144"/>
      <c r="DR36" s="1041"/>
      <c r="DS36" s="1041"/>
      <c r="DT36" s="1041"/>
      <c r="DU36" s="1041"/>
      <c r="DV36" s="1041"/>
      <c r="DW36" s="1041"/>
      <c r="DX36" s="1041"/>
      <c r="DY36" s="144"/>
      <c r="DZ36" s="1041"/>
    </row>
    <row r="37" spans="1:130">
      <c r="A37" s="91" t="s">
        <v>1239</v>
      </c>
      <c r="B37" s="87"/>
      <c r="C37" s="87"/>
      <c r="D37" s="87"/>
      <c r="E37" s="87"/>
      <c r="F37" s="87"/>
      <c r="G37" s="87"/>
      <c r="H37" s="87"/>
      <c r="I37" s="87"/>
      <c r="J37" s="87"/>
      <c r="K37" s="143"/>
      <c r="L37" s="87"/>
      <c r="M37" s="143"/>
      <c r="N37" s="143"/>
      <c r="O37" s="143"/>
      <c r="P37" s="143"/>
      <c r="Q37" s="143"/>
      <c r="R37" s="143"/>
      <c r="S37" s="143"/>
      <c r="T37" s="143"/>
      <c r="U37" s="143"/>
      <c r="V37" s="143"/>
      <c r="W37" s="143"/>
      <c r="X37" s="143"/>
      <c r="Y37" s="143"/>
      <c r="Z37" s="143"/>
      <c r="AA37" s="143"/>
      <c r="AB37" s="143"/>
      <c r="AC37" s="143"/>
      <c r="AD37" s="143"/>
      <c r="AE37" s="143"/>
      <c r="AF37" s="143"/>
      <c r="AG37" s="143"/>
      <c r="AH37" s="1411"/>
      <c r="AI37" s="87"/>
      <c r="AJ37" s="87"/>
      <c r="AK37" s="87"/>
      <c r="AL37" s="87"/>
      <c r="AM37" s="143"/>
      <c r="AN37" s="123"/>
      <c r="AO37" s="123"/>
      <c r="AP37" s="87"/>
      <c r="AQ37" s="87"/>
      <c r="AR37" s="87"/>
      <c r="AS37" s="87"/>
      <c r="AT37" s="87"/>
      <c r="AU37" s="87"/>
      <c r="AV37" s="87"/>
      <c r="AW37" s="87"/>
      <c r="AX37" s="87"/>
      <c r="AY37" s="87"/>
      <c r="AZ37" s="87"/>
      <c r="BA37" s="87"/>
      <c r="BB37" s="87"/>
      <c r="BC37" s="87"/>
      <c r="BD37" s="143"/>
      <c r="BE37" s="87"/>
      <c r="BF37" s="87"/>
      <c r="BG37" s="87"/>
      <c r="BH37" s="87"/>
      <c r="BI37" s="87"/>
      <c r="BJ37" s="87"/>
      <c r="BK37" s="87"/>
      <c r="BL37" s="87"/>
      <c r="BM37" s="87"/>
      <c r="BN37" s="87"/>
      <c r="BO37" s="87"/>
      <c r="BP37" s="87"/>
      <c r="BQ37" s="87"/>
      <c r="BR37" s="88"/>
      <c r="BS37" s="87"/>
      <c r="BT37" s="87"/>
      <c r="BU37" s="87"/>
      <c r="BV37" s="88"/>
      <c r="BW37" s="87"/>
      <c r="BX37" s="87"/>
      <c r="BY37" s="87"/>
      <c r="BZ37" s="88"/>
      <c r="CA37" s="87"/>
      <c r="CB37" s="87"/>
      <c r="CC37" s="87"/>
      <c r="CD37" s="88"/>
      <c r="CE37" s="87"/>
      <c r="CF37" s="87"/>
      <c r="CG37" s="87"/>
      <c r="CH37" s="88"/>
      <c r="CI37" s="87"/>
      <c r="CJ37" s="87"/>
      <c r="CK37" s="87"/>
      <c r="CL37" s="88"/>
      <c r="CM37" s="87"/>
      <c r="CN37" s="87"/>
      <c r="CO37" s="87"/>
      <c r="CP37" s="88"/>
      <c r="CQ37" s="87"/>
      <c r="CR37" s="87"/>
      <c r="CS37" s="87"/>
      <c r="CT37" s="88"/>
      <c r="CU37" s="87"/>
      <c r="CV37" s="87"/>
      <c r="CW37" s="144"/>
      <c r="CX37" s="87"/>
      <c r="CY37" s="87"/>
      <c r="CZ37" s="87"/>
      <c r="DA37" s="87"/>
      <c r="DB37" s="88"/>
      <c r="DC37" s="87"/>
      <c r="DD37" s="87"/>
      <c r="DE37" s="87"/>
      <c r="DF37" s="88"/>
      <c r="DG37" s="1041"/>
      <c r="DH37" s="1041"/>
      <c r="DI37" s="144"/>
      <c r="DJ37" s="88"/>
      <c r="DK37" s="1041"/>
      <c r="DL37" s="1041"/>
      <c r="DM37" s="144"/>
      <c r="DN37" s="88"/>
      <c r="DO37" s="1041"/>
      <c r="DP37" s="1041"/>
      <c r="DQ37" s="144"/>
      <c r="DR37" s="1041"/>
      <c r="DS37" s="1041"/>
      <c r="DT37" s="1041"/>
      <c r="DU37" s="1041"/>
      <c r="DV37" s="1041"/>
      <c r="DW37" s="1041"/>
      <c r="DX37" s="1041"/>
      <c r="DY37" s="144"/>
      <c r="DZ37" s="1041"/>
    </row>
    <row r="38" spans="1:130">
      <c r="A38" s="102" t="s">
        <v>1240</v>
      </c>
      <c r="B38" s="87"/>
      <c r="C38" s="87"/>
      <c r="D38" s="87"/>
      <c r="E38" s="143"/>
      <c r="F38" s="143">
        <v>7136</v>
      </c>
      <c r="G38" s="143">
        <v>15063</v>
      </c>
      <c r="H38" s="143">
        <v>14838</v>
      </c>
      <c r="I38" s="143">
        <v>18669</v>
      </c>
      <c r="J38" s="143">
        <v>9267</v>
      </c>
      <c r="K38" s="143">
        <v>5967</v>
      </c>
      <c r="L38" s="143">
        <v>3593</v>
      </c>
      <c r="M38" s="143">
        <v>7141</v>
      </c>
      <c r="N38" s="143">
        <f>CC38</f>
        <v>7715</v>
      </c>
      <c r="O38" s="143">
        <f>CG38</f>
        <v>2954</v>
      </c>
      <c r="P38" s="143">
        <f>CK38</f>
        <v>4993</v>
      </c>
      <c r="Q38" s="143">
        <f>CO38</f>
        <v>7205</v>
      </c>
      <c r="R38" s="143">
        <f>+CS38</f>
        <v>7542</v>
      </c>
      <c r="S38" s="143">
        <f>+CW38</f>
        <v>4849</v>
      </c>
      <c r="T38" s="143">
        <f>+DA38</f>
        <v>4369</v>
      </c>
      <c r="U38" s="143">
        <f>+DE38</f>
        <v>3933</v>
      </c>
      <c r="V38" s="143">
        <f>+DI38</f>
        <v>2735</v>
      </c>
      <c r="W38" s="143">
        <f>+DM38</f>
        <v>6489</v>
      </c>
      <c r="X38" s="143">
        <f>+DQ38</f>
        <v>2645</v>
      </c>
      <c r="Y38" s="143">
        <f>+DU38</f>
        <v>3453</v>
      </c>
      <c r="Z38" s="143">
        <f>+DY38</f>
        <v>6323</v>
      </c>
      <c r="AA38" s="185">
        <f>Z38</f>
        <v>6323</v>
      </c>
      <c r="AB38" s="185">
        <f>AA38</f>
        <v>6323</v>
      </c>
      <c r="AC38" s="185">
        <f t="shared" ref="AC38:AG38" si="100">AB38</f>
        <v>6323</v>
      </c>
      <c r="AD38" s="185">
        <f t="shared" si="100"/>
        <v>6323</v>
      </c>
      <c r="AE38" s="185">
        <f t="shared" si="100"/>
        <v>6323</v>
      </c>
      <c r="AF38" s="185">
        <f t="shared" si="100"/>
        <v>6323</v>
      </c>
      <c r="AG38" s="185">
        <f t="shared" si="100"/>
        <v>6323</v>
      </c>
      <c r="AH38" s="1411"/>
      <c r="AI38" s="143"/>
      <c r="AJ38" s="143"/>
      <c r="AK38" s="143"/>
      <c r="AL38" s="143"/>
      <c r="AM38" s="143"/>
      <c r="AN38" s="123"/>
      <c r="AO38" s="123"/>
      <c r="AP38" s="143"/>
      <c r="AQ38" s="143"/>
      <c r="AR38" s="143"/>
      <c r="AS38" s="143"/>
      <c r="AT38" s="143"/>
      <c r="AU38" s="143"/>
      <c r="AV38" s="143"/>
      <c r="AW38" s="143"/>
      <c r="AX38" s="143"/>
      <c r="AY38" s="143"/>
      <c r="AZ38" s="143"/>
      <c r="BA38" s="143">
        <v>15063</v>
      </c>
      <c r="BB38" s="143"/>
      <c r="BC38" s="143">
        <v>20060</v>
      </c>
      <c r="BD38" s="143">
        <v>18888</v>
      </c>
      <c r="BE38" s="143">
        <v>14838</v>
      </c>
      <c r="BF38" s="143">
        <v>17429</v>
      </c>
      <c r="BG38" s="143">
        <v>20591</v>
      </c>
      <c r="BH38" s="143">
        <v>18847</v>
      </c>
      <c r="BI38" s="143">
        <v>18669</v>
      </c>
      <c r="BJ38" s="143">
        <v>16308</v>
      </c>
      <c r="BK38" s="143">
        <v>16930</v>
      </c>
      <c r="BL38" s="143">
        <v>11388</v>
      </c>
      <c r="BM38" s="143">
        <v>9267</v>
      </c>
      <c r="BN38" s="143">
        <v>10606</v>
      </c>
      <c r="BO38" s="143">
        <v>10083</v>
      </c>
      <c r="BP38" s="143">
        <v>7499</v>
      </c>
      <c r="BQ38" s="143">
        <v>5967</v>
      </c>
      <c r="BR38" s="159">
        <v>6320</v>
      </c>
      <c r="BS38" s="143">
        <v>4439</v>
      </c>
      <c r="BT38" s="143">
        <v>3271</v>
      </c>
      <c r="BU38" s="143">
        <v>3593</v>
      </c>
      <c r="BV38" s="159">
        <v>3716</v>
      </c>
      <c r="BW38" s="143">
        <v>8687</v>
      </c>
      <c r="BX38" s="143">
        <v>5048</v>
      </c>
      <c r="BY38" s="143">
        <v>7141</v>
      </c>
      <c r="BZ38" s="159">
        <f>NormInputs!BP85</f>
        <v>8436</v>
      </c>
      <c r="CA38" s="143">
        <f>NormInputs!BQ85</f>
        <v>10326</v>
      </c>
      <c r="CB38" s="143">
        <f>NormInputs!BR85</f>
        <v>11529</v>
      </c>
      <c r="CC38" s="143">
        <f>NormInputs!BS85</f>
        <v>7715</v>
      </c>
      <c r="CD38" s="159">
        <f>NormInputs!BT85</f>
        <v>6604</v>
      </c>
      <c r="CE38" s="143">
        <f>NormInputs!BU85</f>
        <v>3152</v>
      </c>
      <c r="CF38" s="143">
        <f>NormInputs!BV85</f>
        <v>2064</v>
      </c>
      <c r="CG38" s="143">
        <f>NormInputs!BW85</f>
        <v>2954</v>
      </c>
      <c r="CH38" s="159">
        <f>NormInputs!BX85</f>
        <v>3712</v>
      </c>
      <c r="CI38" s="143">
        <f>NormInputs!BY85</f>
        <v>9331</v>
      </c>
      <c r="CJ38" s="143">
        <f>NormInputs!BZ85</f>
        <v>7297</v>
      </c>
      <c r="CK38" s="143">
        <f>NormInputs!CA85</f>
        <v>4993</v>
      </c>
      <c r="CL38" s="159">
        <f>NormInputs!CB85</f>
        <v>13459</v>
      </c>
      <c r="CM38" s="143">
        <f>NormInputs!CC85</f>
        <v>5440</v>
      </c>
      <c r="CN38" s="143">
        <f>NormInputs!CD85</f>
        <v>5443</v>
      </c>
      <c r="CO38" s="143">
        <f>NormInputs!CE85</f>
        <v>7205</v>
      </c>
      <c r="CP38" s="159">
        <f>NormInputs!CF85</f>
        <v>7129</v>
      </c>
      <c r="CQ38" s="143">
        <f>NormInputs!CG85</f>
        <v>7874</v>
      </c>
      <c r="CR38" s="143">
        <f>NormInputs!CH85</f>
        <v>5810</v>
      </c>
      <c r="CS38" s="143">
        <f>NormInputs!CI85</f>
        <v>7542</v>
      </c>
      <c r="CT38" s="159">
        <f>NormInputs!CJ85</f>
        <v>11823</v>
      </c>
      <c r="CU38" s="143">
        <f>NormInputs!CK85</f>
        <v>6055</v>
      </c>
      <c r="CV38" s="143">
        <f>NormInputs!CL85</f>
        <v>8630</v>
      </c>
      <c r="CW38" s="189">
        <f>NormInputs!CM85</f>
        <v>4849</v>
      </c>
      <c r="CX38" s="143">
        <f>NormInputs!CN85</f>
        <v>3121</v>
      </c>
      <c r="CY38" s="143">
        <f>NormInputs!CO85</f>
        <v>5912</v>
      </c>
      <c r="CZ38" s="143">
        <f>NormInputs!CP85</f>
        <v>6335</v>
      </c>
      <c r="DA38" s="143">
        <f>NormInputs!CQ85</f>
        <v>4369</v>
      </c>
      <c r="DB38" s="159">
        <f>NormInputs!CR85</f>
        <v>10888</v>
      </c>
      <c r="DC38" s="143">
        <f>NormInputs!CS85</f>
        <v>7961</v>
      </c>
      <c r="DD38" s="143">
        <f>NormInputs!CT85</f>
        <v>8202</v>
      </c>
      <c r="DE38" s="143">
        <f>NormInputs!CU85</f>
        <v>3933</v>
      </c>
      <c r="DF38" s="159">
        <f>NormInputs!CV85</f>
        <v>2152</v>
      </c>
      <c r="DG38" s="1047">
        <f>NormInputs!CW85</f>
        <v>2283</v>
      </c>
      <c r="DH38" s="1047">
        <f>NormInputs!CX85</f>
        <v>1603</v>
      </c>
      <c r="DI38" s="189">
        <f>NormInputs!CY85</f>
        <v>2735</v>
      </c>
      <c r="DJ38" s="159">
        <f>NormInputs!CZ85</f>
        <v>4439</v>
      </c>
      <c r="DK38" s="1047">
        <f>NormInputs!DA85</f>
        <v>4206</v>
      </c>
      <c r="DL38" s="2149">
        <f>NormInputs!DB85</f>
        <v>7264</v>
      </c>
      <c r="DM38" s="2485">
        <f>NormInputs!DC85</f>
        <v>6489</v>
      </c>
      <c r="DN38" s="2488">
        <f>NormInputs!DD85</f>
        <v>6265</v>
      </c>
      <c r="DO38" s="2149">
        <f>NormInputs!DE85</f>
        <v>6803</v>
      </c>
      <c r="DP38" s="2149">
        <f>NormInputs!DF85</f>
        <v>3852</v>
      </c>
      <c r="DQ38" s="2485">
        <f>NormInputs!DG85</f>
        <v>2645</v>
      </c>
      <c r="DR38" s="2149">
        <f>NormInputs!DH85</f>
        <v>3707</v>
      </c>
      <c r="DS38" s="2149">
        <f>NormInputs!DI85</f>
        <v>1153</v>
      </c>
      <c r="DT38" s="2149">
        <f>NormInputs!DJ85</f>
        <v>2180</v>
      </c>
      <c r="DU38" s="2149">
        <f>NormInputs!DK85</f>
        <v>3453</v>
      </c>
      <c r="DV38" s="2149">
        <f>NormInputs!DL85</f>
        <v>6323</v>
      </c>
      <c r="DW38" s="1369">
        <f t="shared" ref="DW38" si="101">DV38</f>
        <v>6323</v>
      </c>
      <c r="DX38" s="1369">
        <f t="shared" ref="DX38" si="102">DW38</f>
        <v>6323</v>
      </c>
      <c r="DY38" s="249">
        <f t="shared" ref="DY38" si="103">DX38</f>
        <v>6323</v>
      </c>
      <c r="DZ38" s="1047"/>
    </row>
    <row r="39" spans="1:130">
      <c r="A39" s="102" t="s">
        <v>1241</v>
      </c>
      <c r="B39" s="102"/>
      <c r="C39" s="102"/>
      <c r="D39" s="87"/>
      <c r="E39" s="143"/>
      <c r="F39" s="143">
        <v>10386</v>
      </c>
      <c r="G39" s="143">
        <v>10878</v>
      </c>
      <c r="H39" s="143">
        <v>13965</v>
      </c>
      <c r="I39" s="143">
        <v>13947</v>
      </c>
      <c r="J39" s="143">
        <v>12642</v>
      </c>
      <c r="K39" s="143">
        <v>14652</v>
      </c>
      <c r="L39" s="143">
        <v>13177</v>
      </c>
      <c r="M39" s="143">
        <v>12351</v>
      </c>
      <c r="N39" s="143">
        <f>CC39</f>
        <v>14320</v>
      </c>
      <c r="O39" s="143">
        <f>CG39</f>
        <v>14462</v>
      </c>
      <c r="P39" s="143">
        <f>CK39</f>
        <v>13814</v>
      </c>
      <c r="Q39" s="143">
        <f>CO39</f>
        <v>15223</v>
      </c>
      <c r="R39" s="143">
        <f>+CS39</f>
        <v>15702</v>
      </c>
      <c r="S39" s="143">
        <f>+CW39</f>
        <v>14689</v>
      </c>
      <c r="T39" s="143">
        <f>+DA39</f>
        <v>16182</v>
      </c>
      <c r="U39" s="143">
        <f>+DE39</f>
        <v>16453</v>
      </c>
      <c r="V39" s="143">
        <f>+DI39</f>
        <v>16680</v>
      </c>
      <c r="W39" s="143">
        <f>+DM39</f>
        <v>19362</v>
      </c>
      <c r="X39" s="143">
        <f>+DQ39</f>
        <v>19593</v>
      </c>
      <c r="Y39" s="143">
        <f>+DU39</f>
        <v>21232</v>
      </c>
      <c r="Z39" s="143">
        <f ca="1">+DY39</f>
        <v>19554.31238945272</v>
      </c>
      <c r="AA39" s="2186">
        <f ca="1">IS!AA45*BS!AA73/360</f>
        <v>19323.079460596615</v>
      </c>
      <c r="AB39" s="2186">
        <f ca="1">IS!AB45*BS!AB73/360</f>
        <v>19266.664584222814</v>
      </c>
      <c r="AC39" s="2186">
        <f ca="1">IS!AC45*BS!AC73/360</f>
        <v>19205.834518913267</v>
      </c>
      <c r="AD39" s="2186">
        <f ca="1">IS!AD45*BS!AD73/360</f>
        <v>19141.376464670986</v>
      </c>
      <c r="AE39" s="2186">
        <f ca="1">IS!AE45*BS!AE73/360</f>
        <v>19074.832904716204</v>
      </c>
      <c r="AF39" s="2186">
        <f ca="1">IS!AF45*BS!AF73/360</f>
        <v>19007.956265060209</v>
      </c>
      <c r="AG39" s="2186">
        <f ca="1">IS!AG45*BS!AG73/360</f>
        <v>18942.48070063032</v>
      </c>
      <c r="AH39" s="1411"/>
      <c r="AI39" s="143"/>
      <c r="AJ39" s="143"/>
      <c r="AK39" s="143"/>
      <c r="AL39" s="143"/>
      <c r="AM39" s="143"/>
      <c r="AN39" s="123"/>
      <c r="AO39" s="123"/>
      <c r="AP39" s="143"/>
      <c r="AQ39" s="143"/>
      <c r="AR39" s="143"/>
      <c r="AS39" s="143"/>
      <c r="AT39" s="143"/>
      <c r="AU39" s="143"/>
      <c r="AV39" s="143"/>
      <c r="AW39" s="143"/>
      <c r="AX39" s="143"/>
      <c r="AY39" s="143"/>
      <c r="AZ39" s="143"/>
      <c r="BA39" s="143">
        <v>10878</v>
      </c>
      <c r="BB39" s="143"/>
      <c r="BC39" s="143">
        <v>13275</v>
      </c>
      <c r="BD39" s="143">
        <v>14927</v>
      </c>
      <c r="BE39" s="143">
        <v>13965</v>
      </c>
      <c r="BF39" s="143">
        <v>12610</v>
      </c>
      <c r="BG39" s="143">
        <v>11740</v>
      </c>
      <c r="BH39" s="143">
        <v>11945</v>
      </c>
      <c r="BI39" s="143">
        <v>13947</v>
      </c>
      <c r="BJ39" s="143">
        <v>12949</v>
      </c>
      <c r="BK39" s="143">
        <v>12945</v>
      </c>
      <c r="BL39" s="143">
        <v>14122</v>
      </c>
      <c r="BM39" s="143">
        <v>12642</v>
      </c>
      <c r="BN39" s="143">
        <v>12545</v>
      </c>
      <c r="BO39" s="143">
        <v>12561</v>
      </c>
      <c r="BP39" s="143">
        <v>12636</v>
      </c>
      <c r="BQ39" s="143">
        <v>14652</v>
      </c>
      <c r="BR39" s="159">
        <v>12647</v>
      </c>
      <c r="BS39" s="143">
        <v>12437</v>
      </c>
      <c r="BT39" s="143">
        <v>13291</v>
      </c>
      <c r="BU39" s="143">
        <v>13177</v>
      </c>
      <c r="BV39" s="159">
        <v>13202</v>
      </c>
      <c r="BW39" s="143">
        <v>12767</v>
      </c>
      <c r="BX39" s="143">
        <v>12760</v>
      </c>
      <c r="BY39" s="143">
        <v>12351</v>
      </c>
      <c r="BZ39" s="159">
        <f>NormInputs!BP86</f>
        <v>14442</v>
      </c>
      <c r="CA39" s="143">
        <f>NormInputs!BQ86</f>
        <v>14335</v>
      </c>
      <c r="CB39" s="143">
        <f>NormInputs!BR86</f>
        <v>14501</v>
      </c>
      <c r="CC39" s="143">
        <f>NormInputs!BS86</f>
        <v>14320</v>
      </c>
      <c r="CD39" s="159">
        <f>NormInputs!BT86</f>
        <v>13309</v>
      </c>
      <c r="CE39" s="143">
        <f>NormInputs!BU86</f>
        <v>13542</v>
      </c>
      <c r="CF39" s="143">
        <f>NormInputs!BV86</f>
        <v>14244</v>
      </c>
      <c r="CG39" s="143">
        <f>NormInputs!BW86</f>
        <v>14462</v>
      </c>
      <c r="CH39" s="159">
        <f>NormInputs!BX86</f>
        <v>13661</v>
      </c>
      <c r="CI39" s="143">
        <f>NormInputs!BY86</f>
        <v>13299</v>
      </c>
      <c r="CJ39" s="143">
        <f>NormInputs!BZ86</f>
        <v>13715</v>
      </c>
      <c r="CK39" s="143">
        <f>NormInputs!CA86</f>
        <v>13814</v>
      </c>
      <c r="CL39" s="159">
        <f>NormInputs!CB86</f>
        <v>14403</v>
      </c>
      <c r="CM39" s="143">
        <f>NormInputs!CC86</f>
        <v>14685</v>
      </c>
      <c r="CN39" s="143">
        <f>NormInputs!CD86</f>
        <v>14643</v>
      </c>
      <c r="CO39" s="143">
        <f>NormInputs!CE86</f>
        <v>15223</v>
      </c>
      <c r="CP39" s="159">
        <f>NormInputs!CF86</f>
        <v>14569</v>
      </c>
      <c r="CQ39" s="143">
        <f>NormInputs!CG86</f>
        <v>16905</v>
      </c>
      <c r="CR39" s="143">
        <f>NormInputs!CH86</f>
        <v>16092</v>
      </c>
      <c r="CS39" s="143">
        <f>NormInputs!CI86</f>
        <v>15702</v>
      </c>
      <c r="CT39" s="159">
        <f>NormInputs!CJ86</f>
        <v>13810</v>
      </c>
      <c r="CU39" s="143">
        <f>NormInputs!CK86</f>
        <v>14238</v>
      </c>
      <c r="CV39" s="143">
        <f>NormInputs!CL86</f>
        <v>14486</v>
      </c>
      <c r="CW39" s="189">
        <f>NormInputs!CM86</f>
        <v>14689</v>
      </c>
      <c r="CX39" s="143">
        <f>NormInputs!CN86</f>
        <v>13231</v>
      </c>
      <c r="CY39" s="143">
        <f>NormInputs!CO86</f>
        <v>13973</v>
      </c>
      <c r="CZ39" s="143">
        <f>NormInputs!CP86</f>
        <v>16003</v>
      </c>
      <c r="DA39" s="143">
        <f>NormInputs!CQ86</f>
        <v>16182</v>
      </c>
      <c r="DB39" s="159">
        <f>NormInputs!CR86</f>
        <v>14030</v>
      </c>
      <c r="DC39" s="143">
        <f>NormInputs!CS86</f>
        <v>14671</v>
      </c>
      <c r="DD39" s="143">
        <f>NormInputs!CT86</f>
        <v>15622</v>
      </c>
      <c r="DE39" s="143">
        <f>NormInputs!CU86</f>
        <v>16453</v>
      </c>
      <c r="DF39" s="159">
        <f>NormInputs!CV86</f>
        <v>14984</v>
      </c>
      <c r="DG39" s="1047">
        <f>NormInputs!CW86</f>
        <v>16521</v>
      </c>
      <c r="DH39" s="1047">
        <f>NormInputs!CX86</f>
        <v>17055</v>
      </c>
      <c r="DI39" s="189">
        <f>NormInputs!CY86</f>
        <v>16680</v>
      </c>
      <c r="DJ39" s="159">
        <f>NormInputs!CZ86</f>
        <v>15189</v>
      </c>
      <c r="DK39" s="1047">
        <f>NormInputs!DA86</f>
        <v>16953</v>
      </c>
      <c r="DL39" s="2149">
        <f>NormInputs!DB86</f>
        <v>17721</v>
      </c>
      <c r="DM39" s="2485">
        <f>NormInputs!DC86</f>
        <v>19362</v>
      </c>
      <c r="DN39" s="2488">
        <f>NormInputs!DD86</f>
        <v>18118</v>
      </c>
      <c r="DO39" s="2149">
        <f>NormInputs!DE86</f>
        <v>19090</v>
      </c>
      <c r="DP39" s="2149">
        <f>NormInputs!DF86</f>
        <v>18002</v>
      </c>
      <c r="DQ39" s="2485">
        <f>NormInputs!DG86</f>
        <v>19593</v>
      </c>
      <c r="DR39" s="2149">
        <f>NormInputs!DH86</f>
        <v>14826</v>
      </c>
      <c r="DS39" s="2149">
        <f>NormInputs!DI86</f>
        <v>17825</v>
      </c>
      <c r="DT39" s="2149">
        <f>NormInputs!DJ86</f>
        <v>18434</v>
      </c>
      <c r="DU39" s="2149">
        <f>NormInputs!DK86</f>
        <v>21232</v>
      </c>
      <c r="DV39" s="2149">
        <f>NormInputs!DL86</f>
        <v>17052</v>
      </c>
      <c r="DW39" s="3252">
        <f ca="1">IS!DT45*BS!DW73/90</f>
        <v>17052</v>
      </c>
      <c r="DX39" s="3252">
        <f ca="1">IS!DU45*BS!DX73/90</f>
        <v>17266.214998258685</v>
      </c>
      <c r="DY39" s="2175">
        <f ca="1">IS!DV45*BS!DY73/90</f>
        <v>19554.31238945272</v>
      </c>
      <c r="DZ39" s="1047"/>
    </row>
    <row r="40" spans="1:130">
      <c r="A40" s="102" t="s">
        <v>1242</v>
      </c>
      <c r="B40" s="87"/>
      <c r="C40" s="87"/>
      <c r="D40" s="87"/>
      <c r="E40" s="143"/>
      <c r="F40" s="143"/>
      <c r="G40" s="143"/>
      <c r="H40" s="143"/>
      <c r="I40" s="143"/>
      <c r="J40" s="143">
        <v>1007</v>
      </c>
      <c r="K40" s="143">
        <v>76</v>
      </c>
      <c r="L40" s="143">
        <v>525</v>
      </c>
      <c r="M40" s="143">
        <v>0</v>
      </c>
      <c r="N40" s="143">
        <f>CC40</f>
        <v>2154</v>
      </c>
      <c r="O40" s="143">
        <f>CG40</f>
        <v>0</v>
      </c>
      <c r="P40" s="183">
        <f>O40</f>
        <v>0</v>
      </c>
      <c r="Q40" s="185">
        <f>P40</f>
        <v>0</v>
      </c>
      <c r="R40" s="143">
        <f>Q40</f>
        <v>0</v>
      </c>
      <c r="S40" s="143">
        <f>+CW40</f>
        <v>0</v>
      </c>
      <c r="T40" s="143">
        <f>+DA40</f>
        <v>0</v>
      </c>
      <c r="U40" s="143">
        <f>+DB40</f>
        <v>0</v>
      </c>
      <c r="V40" s="143">
        <f>+DI40</f>
        <v>0</v>
      </c>
      <c r="W40" s="143">
        <f>+DM40</f>
        <v>0</v>
      </c>
      <c r="X40" s="143">
        <f>+DQ40</f>
        <v>24</v>
      </c>
      <c r="Y40" s="143">
        <f>+DU40</f>
        <v>0</v>
      </c>
      <c r="Z40" s="143">
        <f>+DY40</f>
        <v>0</v>
      </c>
      <c r="AA40" s="185">
        <f t="shared" ref="AA40:AB41" si="104">Z40</f>
        <v>0</v>
      </c>
      <c r="AB40" s="185">
        <f t="shared" si="104"/>
        <v>0</v>
      </c>
      <c r="AC40" s="185">
        <f t="shared" ref="AC40:AC41" si="105">AB40</f>
        <v>0</v>
      </c>
      <c r="AD40" s="185">
        <f t="shared" ref="AD40:AD41" si="106">AC40</f>
        <v>0</v>
      </c>
      <c r="AE40" s="185">
        <f t="shared" ref="AE40:AE41" si="107">AD40</f>
        <v>0</v>
      </c>
      <c r="AF40" s="185">
        <f t="shared" ref="AF40:AF41" si="108">AE40</f>
        <v>0</v>
      </c>
      <c r="AG40" s="185">
        <f t="shared" ref="AG40:AG41" si="109">AF40</f>
        <v>0</v>
      </c>
      <c r="AH40" s="1411"/>
      <c r="AI40" s="143"/>
      <c r="AJ40" s="143"/>
      <c r="AK40" s="143"/>
      <c r="AL40" s="143"/>
      <c r="AM40" s="143"/>
      <c r="AN40" s="123"/>
      <c r="AO40" s="12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43"/>
      <c r="BL40" s="143"/>
      <c r="BM40" s="143">
        <v>1007</v>
      </c>
      <c r="BN40" s="143">
        <v>999</v>
      </c>
      <c r="BO40" s="143">
        <v>1082</v>
      </c>
      <c r="BP40" s="143">
        <v>24</v>
      </c>
      <c r="BQ40" s="143">
        <v>76</v>
      </c>
      <c r="BR40" s="159">
        <v>69</v>
      </c>
      <c r="BS40" s="143">
        <v>570</v>
      </c>
      <c r="BT40" s="143">
        <v>595</v>
      </c>
      <c r="BU40" s="143">
        <v>525</v>
      </c>
      <c r="BV40" s="159">
        <v>400</v>
      </c>
      <c r="BW40" s="143">
        <v>0</v>
      </c>
      <c r="BX40" s="143">
        <v>0</v>
      </c>
      <c r="BY40" s="143">
        <v>0</v>
      </c>
      <c r="BZ40" s="159">
        <f>NormInputs!BP87</f>
        <v>0</v>
      </c>
      <c r="CA40" s="143">
        <f>NormInputs!BQ87</f>
        <v>2080</v>
      </c>
      <c r="CB40" s="143">
        <f>NormInputs!BR87</f>
        <v>2065</v>
      </c>
      <c r="CC40" s="143">
        <f>NormInputs!BS87</f>
        <v>2154</v>
      </c>
      <c r="CD40" s="159">
        <f>NormInputs!BT87</f>
        <v>0</v>
      </c>
      <c r="CE40" s="143">
        <f>NormInputs!BU87</f>
        <v>0</v>
      </c>
      <c r="CF40" s="143">
        <f>NormInputs!BV87</f>
        <v>0</v>
      </c>
      <c r="CG40" s="143">
        <f>NormInputs!BW87</f>
        <v>0</v>
      </c>
      <c r="CH40" s="159">
        <f>NormInputs!BX87</f>
        <v>0</v>
      </c>
      <c r="CI40" s="143">
        <f>NormInputs!BY87</f>
        <v>0</v>
      </c>
      <c r="CJ40" s="143">
        <f>NormInputs!BZ87</f>
        <v>0</v>
      </c>
      <c r="CK40" s="143">
        <f>NormInputs!CA87</f>
        <v>0</v>
      </c>
      <c r="CL40" s="159">
        <f>NormInputs!CB87</f>
        <v>0</v>
      </c>
      <c r="CM40" s="143">
        <f>NormInputs!CC87</f>
        <v>0</v>
      </c>
      <c r="CN40" s="143">
        <f>NormInputs!CD87</f>
        <v>0</v>
      </c>
      <c r="CO40" s="143">
        <f>NormInputs!CE87</f>
        <v>0</v>
      </c>
      <c r="CP40" s="159">
        <f>NormInputs!CF87</f>
        <v>0</v>
      </c>
      <c r="CQ40" s="143">
        <f>NormInputs!CG87</f>
        <v>0</v>
      </c>
      <c r="CR40" s="143">
        <f>NormInputs!CH87</f>
        <v>0</v>
      </c>
      <c r="CS40" s="143">
        <f>NormInputs!CI87</f>
        <v>0</v>
      </c>
      <c r="CT40" s="159">
        <f>NormInputs!CJ87</f>
        <v>0</v>
      </c>
      <c r="CU40" s="143">
        <f>NormInputs!CK87</f>
        <v>0</v>
      </c>
      <c r="CV40" s="143">
        <f>NormInputs!CL87</f>
        <v>0</v>
      </c>
      <c r="CW40" s="189">
        <f>NormInputs!CM87</f>
        <v>0</v>
      </c>
      <c r="CX40" s="143">
        <f>NormInputs!CN87</f>
        <v>0</v>
      </c>
      <c r="CY40" s="143">
        <f>NormInputs!CO87</f>
        <v>0</v>
      </c>
      <c r="CZ40" s="143">
        <f>NormInputs!CP87</f>
        <v>0</v>
      </c>
      <c r="DA40" s="143">
        <f>NormInputs!CQ87</f>
        <v>0</v>
      </c>
      <c r="DB40" s="159">
        <f>NormInputs!CR87</f>
        <v>0</v>
      </c>
      <c r="DC40" s="143">
        <f>NormInputs!CS87</f>
        <v>0</v>
      </c>
      <c r="DD40" s="143">
        <f>NormInputs!CT87</f>
        <v>0</v>
      </c>
      <c r="DE40" s="143">
        <f>NormInputs!CU87</f>
        <v>0</v>
      </c>
      <c r="DF40" s="159">
        <f>NormInputs!CV87</f>
        <v>0</v>
      </c>
      <c r="DG40" s="1047">
        <f>NormInputs!CW87</f>
        <v>0</v>
      </c>
      <c r="DH40" s="1047">
        <f>NormInputs!CX87</f>
        <v>0</v>
      </c>
      <c r="DI40" s="189">
        <f>NormInputs!CY87</f>
        <v>0</v>
      </c>
      <c r="DJ40" s="159">
        <f>NormInputs!CZ87</f>
        <v>0</v>
      </c>
      <c r="DK40" s="1047">
        <f>NormInputs!DA87</f>
        <v>0</v>
      </c>
      <c r="DL40" s="2149">
        <f>NormInputs!DB87</f>
        <v>0</v>
      </c>
      <c r="DM40" s="2485">
        <f>NormInputs!DC87</f>
        <v>0</v>
      </c>
      <c r="DN40" s="2488">
        <f>NormInputs!DD87</f>
        <v>0</v>
      </c>
      <c r="DO40" s="2149">
        <f>NormInputs!DE87</f>
        <v>0</v>
      </c>
      <c r="DP40" s="2149">
        <f>NormInputs!DF87</f>
        <v>0</v>
      </c>
      <c r="DQ40" s="2485">
        <f>NormInputs!DG87</f>
        <v>24</v>
      </c>
      <c r="DR40" s="2149">
        <f>NormInputs!DH87</f>
        <v>25</v>
      </c>
      <c r="DS40" s="2149">
        <f>NormInputs!DI87</f>
        <v>4</v>
      </c>
      <c r="DT40" s="2149">
        <f>NormInputs!DJ87</f>
        <v>0</v>
      </c>
      <c r="DU40" s="2149">
        <f>NormInputs!DK87</f>
        <v>0</v>
      </c>
      <c r="DV40" s="2149">
        <f>NormInputs!DL87</f>
        <v>0</v>
      </c>
      <c r="DW40" s="1369">
        <f t="shared" ref="DW40:DW41" si="110">DV40</f>
        <v>0</v>
      </c>
      <c r="DX40" s="1369">
        <f t="shared" ref="DX40:DX41" si="111">DW40</f>
        <v>0</v>
      </c>
      <c r="DY40" s="249">
        <f t="shared" ref="DY40:DY41" si="112">DX40</f>
        <v>0</v>
      </c>
      <c r="DZ40" s="1047"/>
    </row>
    <row r="41" spans="1:130">
      <c r="A41" s="102" t="s">
        <v>955</v>
      </c>
      <c r="B41" s="87"/>
      <c r="C41" s="87"/>
      <c r="D41" s="87"/>
      <c r="E41" s="143"/>
      <c r="F41" s="143">
        <v>3316</v>
      </c>
      <c r="G41" s="143">
        <v>3809</v>
      </c>
      <c r="H41" s="143">
        <v>5433</v>
      </c>
      <c r="I41" s="143">
        <v>5404</v>
      </c>
      <c r="J41" s="143">
        <v>5013</v>
      </c>
      <c r="K41" s="143">
        <v>5885</v>
      </c>
      <c r="L41" s="143">
        <v>5834</v>
      </c>
      <c r="M41" s="143">
        <v>5571</v>
      </c>
      <c r="N41" s="143">
        <f>CC41</f>
        <v>8091</v>
      </c>
      <c r="O41" s="143">
        <f>CG41</f>
        <v>7325</v>
      </c>
      <c r="P41" s="143">
        <f>CK41</f>
        <v>7099</v>
      </c>
      <c r="Q41" s="143">
        <f>CO41</f>
        <v>6708</v>
      </c>
      <c r="R41" s="143">
        <f>+CS41</f>
        <v>7353</v>
      </c>
      <c r="S41" s="143">
        <f>+CW41</f>
        <v>11223</v>
      </c>
      <c r="T41" s="143">
        <f>+DA41</f>
        <v>6405</v>
      </c>
      <c r="U41" s="143">
        <f>+DE41</f>
        <v>6664</v>
      </c>
      <c r="V41" s="143">
        <f>+DI41</f>
        <v>8649</v>
      </c>
      <c r="W41" s="143">
        <f>+DM41</f>
        <v>9201</v>
      </c>
      <c r="X41" s="143">
        <f>+DQ41</f>
        <v>8078</v>
      </c>
      <c r="Y41" s="143">
        <f>+DU41</f>
        <v>8352</v>
      </c>
      <c r="Z41" s="143">
        <f>+DY41</f>
        <v>8240</v>
      </c>
      <c r="AA41" s="185">
        <f t="shared" si="104"/>
        <v>8240</v>
      </c>
      <c r="AB41" s="185">
        <f t="shared" si="104"/>
        <v>8240</v>
      </c>
      <c r="AC41" s="185">
        <f t="shared" si="105"/>
        <v>8240</v>
      </c>
      <c r="AD41" s="185">
        <f t="shared" si="106"/>
        <v>8240</v>
      </c>
      <c r="AE41" s="185">
        <f t="shared" si="107"/>
        <v>8240</v>
      </c>
      <c r="AF41" s="185">
        <f t="shared" si="108"/>
        <v>8240</v>
      </c>
      <c r="AG41" s="185">
        <f t="shared" si="109"/>
        <v>8240</v>
      </c>
      <c r="AH41" s="1411"/>
      <c r="AI41" s="143"/>
      <c r="AJ41" s="143"/>
      <c r="AK41" s="143"/>
      <c r="AL41" s="143"/>
      <c r="AM41" s="143"/>
      <c r="AN41" s="123"/>
      <c r="AO41" s="123"/>
      <c r="AP41" s="143"/>
      <c r="AQ41" s="143"/>
      <c r="AR41" s="143"/>
      <c r="AS41" s="143"/>
      <c r="AT41" s="143"/>
      <c r="AU41" s="143"/>
      <c r="AV41" s="143"/>
      <c r="AW41" s="143"/>
      <c r="AX41" s="143"/>
      <c r="AY41" s="143"/>
      <c r="AZ41" s="143"/>
      <c r="BA41" s="143">
        <v>3809</v>
      </c>
      <c r="BB41" s="143"/>
      <c r="BC41" s="143">
        <v>4782</v>
      </c>
      <c r="BD41" s="143">
        <v>5193</v>
      </c>
      <c r="BE41" s="143">
        <v>5433</v>
      </c>
      <c r="BF41" s="143">
        <v>5376</v>
      </c>
      <c r="BG41" s="143">
        <v>5433</v>
      </c>
      <c r="BH41" s="143">
        <v>5450</v>
      </c>
      <c r="BI41" s="143">
        <v>5404</v>
      </c>
      <c r="BJ41" s="143">
        <v>5641</v>
      </c>
      <c r="BK41" s="143">
        <v>5575</v>
      </c>
      <c r="BL41" s="143">
        <v>5317</v>
      </c>
      <c r="BM41" s="143">
        <v>5013</v>
      </c>
      <c r="BN41" s="143">
        <v>5348</v>
      </c>
      <c r="BO41" s="143">
        <v>5636</v>
      </c>
      <c r="BP41" s="143">
        <v>5716</v>
      </c>
      <c r="BQ41" s="143">
        <v>5885</v>
      </c>
      <c r="BR41" s="159">
        <v>5931</v>
      </c>
      <c r="BS41" s="143">
        <v>5938</v>
      </c>
      <c r="BT41" s="143">
        <v>5967</v>
      </c>
      <c r="BU41" s="143">
        <v>5834</v>
      </c>
      <c r="BV41" s="159">
        <v>5841</v>
      </c>
      <c r="BW41" s="143">
        <v>5988</v>
      </c>
      <c r="BX41" s="143">
        <v>5831</v>
      </c>
      <c r="BY41" s="143">
        <v>5571</v>
      </c>
      <c r="BZ41" s="159">
        <f>NormInputs!BP88</f>
        <v>8034</v>
      </c>
      <c r="CA41" s="143">
        <f>NormInputs!BQ88</f>
        <v>7598</v>
      </c>
      <c r="CB41" s="143">
        <f>NormInputs!BR88</f>
        <v>7218</v>
      </c>
      <c r="CC41" s="143">
        <f>NormInputs!BS88</f>
        <v>8091</v>
      </c>
      <c r="CD41" s="159">
        <f>NormInputs!BT88</f>
        <v>7993</v>
      </c>
      <c r="CE41" s="143">
        <f>NormInputs!BU88</f>
        <v>7758</v>
      </c>
      <c r="CF41" s="143">
        <f>NormInputs!BV88</f>
        <v>7850</v>
      </c>
      <c r="CG41" s="143">
        <f>NormInputs!BW88</f>
        <v>7325</v>
      </c>
      <c r="CH41" s="159">
        <f>NormInputs!BX88</f>
        <v>7371</v>
      </c>
      <c r="CI41" s="143">
        <f>NormInputs!BY88</f>
        <v>7270</v>
      </c>
      <c r="CJ41" s="143">
        <f>NormInputs!BZ88</f>
        <v>7263</v>
      </c>
      <c r="CK41" s="143">
        <f>NormInputs!CA88</f>
        <v>7099</v>
      </c>
      <c r="CL41" s="159">
        <f>NormInputs!CB88</f>
        <v>7207</v>
      </c>
      <c r="CM41" s="143">
        <f>NormInputs!CC88</f>
        <v>6243</v>
      </c>
      <c r="CN41" s="143">
        <f>NormInputs!CD88</f>
        <v>7219</v>
      </c>
      <c r="CO41" s="143">
        <f>NormInputs!CE88</f>
        <v>6708</v>
      </c>
      <c r="CP41" s="159">
        <f>NormInputs!CF88</f>
        <v>6365</v>
      </c>
      <c r="CQ41" s="143">
        <f>NormInputs!CG88</f>
        <v>7055</v>
      </c>
      <c r="CR41" s="143">
        <f>NormInputs!CH88</f>
        <v>6865</v>
      </c>
      <c r="CS41" s="143">
        <f>NormInputs!CI88</f>
        <v>7353</v>
      </c>
      <c r="CT41" s="159">
        <f>NormInputs!CJ88</f>
        <v>7114</v>
      </c>
      <c r="CU41" s="143">
        <f>NormInputs!CK88</f>
        <v>7081</v>
      </c>
      <c r="CV41" s="143">
        <f>NormInputs!CL88</f>
        <v>11520</v>
      </c>
      <c r="CW41" s="189">
        <f>NormInputs!CM88</f>
        <v>11223</v>
      </c>
      <c r="CX41" s="143">
        <f>NormInputs!CN88</f>
        <v>6561</v>
      </c>
      <c r="CY41" s="143">
        <f>NormInputs!CO88</f>
        <v>6468</v>
      </c>
      <c r="CZ41" s="143">
        <f>NormInputs!CP88</f>
        <v>6432</v>
      </c>
      <c r="DA41" s="143">
        <f>NormInputs!CQ88</f>
        <v>6405</v>
      </c>
      <c r="DB41" s="159">
        <f>NormInputs!CR88</f>
        <v>6571</v>
      </c>
      <c r="DC41" s="143">
        <f>NormInputs!CS88</f>
        <v>6559</v>
      </c>
      <c r="DD41" s="143">
        <f>NormInputs!CT88</f>
        <v>6467</v>
      </c>
      <c r="DE41" s="143">
        <f>NormInputs!CU88</f>
        <v>6664</v>
      </c>
      <c r="DF41" s="159">
        <f>NormInputs!CV88</f>
        <v>8217</v>
      </c>
      <c r="DG41" s="1047">
        <f>NormInputs!CW88</f>
        <v>7689</v>
      </c>
      <c r="DH41" s="1047">
        <f>NormInputs!CX88</f>
        <v>8231</v>
      </c>
      <c r="DI41" s="189">
        <f>NormInputs!CY88</f>
        <v>8649</v>
      </c>
      <c r="DJ41" s="159">
        <f>NormInputs!CZ88</f>
        <v>9085</v>
      </c>
      <c r="DK41" s="1047">
        <f>NormInputs!DA88</f>
        <v>9486</v>
      </c>
      <c r="DL41" s="2149">
        <f>NormInputs!DB88</f>
        <v>9507</v>
      </c>
      <c r="DM41" s="2485">
        <f>NormInputs!DC88</f>
        <v>9201</v>
      </c>
      <c r="DN41" s="2488">
        <f>NormInputs!DD88</f>
        <v>8929</v>
      </c>
      <c r="DO41" s="2149">
        <f>NormInputs!DE88</f>
        <v>8515</v>
      </c>
      <c r="DP41" s="2149">
        <f>NormInputs!DF88</f>
        <v>8444</v>
      </c>
      <c r="DQ41" s="2485">
        <f>NormInputs!DG88</f>
        <v>8078</v>
      </c>
      <c r="DR41" s="2149">
        <f>NormInputs!DH88</f>
        <v>8106</v>
      </c>
      <c r="DS41" s="2149">
        <f>NormInputs!DI88</f>
        <v>8776</v>
      </c>
      <c r="DT41" s="2149">
        <f>NormInputs!DJ88</f>
        <v>8316</v>
      </c>
      <c r="DU41" s="2149">
        <f>NormInputs!DK88</f>
        <v>8352</v>
      </c>
      <c r="DV41" s="2149">
        <f>NormInputs!DL88</f>
        <v>8240</v>
      </c>
      <c r="DW41" s="1369">
        <f t="shared" si="110"/>
        <v>8240</v>
      </c>
      <c r="DX41" s="1369">
        <f t="shared" si="111"/>
        <v>8240</v>
      </c>
      <c r="DY41" s="249">
        <f t="shared" si="112"/>
        <v>8240</v>
      </c>
      <c r="DZ41" s="1047"/>
    </row>
    <row r="42" spans="1:130">
      <c r="A42" s="91" t="s">
        <v>1243</v>
      </c>
      <c r="B42" s="91"/>
      <c r="C42" s="91"/>
      <c r="D42" s="91"/>
      <c r="E42" s="149"/>
      <c r="F42" s="149">
        <v>20838</v>
      </c>
      <c r="G42" s="149">
        <v>29750</v>
      </c>
      <c r="H42" s="149">
        <v>34236</v>
      </c>
      <c r="I42" s="149">
        <v>38020</v>
      </c>
      <c r="J42" s="149">
        <v>27929</v>
      </c>
      <c r="K42" s="149">
        <v>26580</v>
      </c>
      <c r="L42" s="149">
        <v>23129</v>
      </c>
      <c r="M42" s="149">
        <v>25063</v>
      </c>
      <c r="N42" s="149">
        <f t="shared" ref="N42:V42" si="113">N41+N39+N38+N40</f>
        <v>32280</v>
      </c>
      <c r="O42" s="149">
        <f t="shared" si="113"/>
        <v>24741</v>
      </c>
      <c r="P42" s="149">
        <f t="shared" si="113"/>
        <v>25906</v>
      </c>
      <c r="Q42" s="149">
        <f t="shared" si="113"/>
        <v>29136</v>
      </c>
      <c r="R42" s="149">
        <f t="shared" si="113"/>
        <v>30597</v>
      </c>
      <c r="S42" s="149">
        <f t="shared" si="113"/>
        <v>30761</v>
      </c>
      <c r="T42" s="149">
        <f t="shared" si="113"/>
        <v>26956</v>
      </c>
      <c r="U42" s="149">
        <f t="shared" si="113"/>
        <v>27050</v>
      </c>
      <c r="V42" s="149">
        <f t="shared" si="113"/>
        <v>28064</v>
      </c>
      <c r="W42" s="149">
        <f t="shared" ref="W42:AB42" si="114">W41+W39+W38+W40</f>
        <v>35052</v>
      </c>
      <c r="X42" s="149">
        <f t="shared" si="114"/>
        <v>30340</v>
      </c>
      <c r="Y42" s="149">
        <f t="shared" si="114"/>
        <v>33037</v>
      </c>
      <c r="Z42" s="149">
        <f t="shared" ca="1" si="114"/>
        <v>34117.312389452723</v>
      </c>
      <c r="AA42" s="149">
        <f t="shared" ca="1" si="114"/>
        <v>33886.079460596615</v>
      </c>
      <c r="AB42" s="149">
        <f t="shared" ca="1" si="114"/>
        <v>33829.664584222817</v>
      </c>
      <c r="AC42" s="149">
        <f t="shared" ref="AC42:AG42" ca="1" si="115">AC41+AC39+AC38+AC40</f>
        <v>33768.834518913267</v>
      </c>
      <c r="AD42" s="149">
        <f t="shared" ca="1" si="115"/>
        <v>33704.37646467099</v>
      </c>
      <c r="AE42" s="149">
        <f t="shared" ca="1" si="115"/>
        <v>33637.832904716204</v>
      </c>
      <c r="AF42" s="149">
        <f t="shared" ca="1" si="115"/>
        <v>33570.956265060209</v>
      </c>
      <c r="AG42" s="149">
        <f t="shared" ca="1" si="115"/>
        <v>33505.480700630316</v>
      </c>
      <c r="AH42" s="1411"/>
      <c r="AI42" s="91"/>
      <c r="AJ42" s="91"/>
      <c r="AK42" s="91"/>
      <c r="AL42" s="91"/>
      <c r="AM42" s="143"/>
      <c r="AN42" s="123"/>
      <c r="AO42" s="123"/>
      <c r="AP42" s="91"/>
      <c r="AQ42" s="91"/>
      <c r="AR42" s="91"/>
      <c r="AS42" s="91"/>
      <c r="AT42" s="91"/>
      <c r="AU42" s="91"/>
      <c r="AV42" s="91"/>
      <c r="AW42" s="91"/>
      <c r="AX42" s="149"/>
      <c r="AY42" s="149"/>
      <c r="AZ42" s="149"/>
      <c r="BA42" s="149">
        <v>29750</v>
      </c>
      <c r="BB42" s="149"/>
      <c r="BC42" s="149">
        <v>38117</v>
      </c>
      <c r="BD42" s="149">
        <v>39008</v>
      </c>
      <c r="BE42" s="149">
        <v>34236</v>
      </c>
      <c r="BF42" s="149">
        <v>35415</v>
      </c>
      <c r="BG42" s="149">
        <v>37764</v>
      </c>
      <c r="BH42" s="149">
        <v>36242</v>
      </c>
      <c r="BI42" s="149">
        <v>38020</v>
      </c>
      <c r="BJ42" s="149">
        <v>34898</v>
      </c>
      <c r="BK42" s="149">
        <v>35450</v>
      </c>
      <c r="BL42" s="149">
        <v>30827</v>
      </c>
      <c r="BM42" s="149">
        <v>27929</v>
      </c>
      <c r="BN42" s="149">
        <v>29498</v>
      </c>
      <c r="BO42" s="149">
        <v>29362</v>
      </c>
      <c r="BP42" s="149">
        <v>25875</v>
      </c>
      <c r="BQ42" s="149">
        <v>26580</v>
      </c>
      <c r="BR42" s="150">
        <v>24974</v>
      </c>
      <c r="BS42" s="149">
        <v>23384</v>
      </c>
      <c r="BT42" s="149">
        <v>23124</v>
      </c>
      <c r="BU42" s="149">
        <v>23129</v>
      </c>
      <c r="BV42" s="150">
        <v>23159</v>
      </c>
      <c r="BW42" s="149">
        <v>27442</v>
      </c>
      <c r="BX42" s="149">
        <v>23639</v>
      </c>
      <c r="BY42" s="149">
        <v>25063</v>
      </c>
      <c r="BZ42" s="150">
        <f t="shared" ref="BZ42:DF42" si="116">SUM(BZ38:BZ41)</f>
        <v>30912</v>
      </c>
      <c r="CA42" s="149">
        <f t="shared" si="116"/>
        <v>34339</v>
      </c>
      <c r="CB42" s="149">
        <f t="shared" si="116"/>
        <v>35313</v>
      </c>
      <c r="CC42" s="149">
        <f t="shared" si="116"/>
        <v>32280</v>
      </c>
      <c r="CD42" s="150">
        <f t="shared" si="116"/>
        <v>27906</v>
      </c>
      <c r="CE42" s="149">
        <f t="shared" si="116"/>
        <v>24452</v>
      </c>
      <c r="CF42" s="149">
        <f t="shared" si="116"/>
        <v>24158</v>
      </c>
      <c r="CG42" s="149">
        <f t="shared" si="116"/>
        <v>24741</v>
      </c>
      <c r="CH42" s="150">
        <f t="shared" si="116"/>
        <v>24744</v>
      </c>
      <c r="CI42" s="149">
        <f t="shared" si="116"/>
        <v>29900</v>
      </c>
      <c r="CJ42" s="149">
        <f t="shared" si="116"/>
        <v>28275</v>
      </c>
      <c r="CK42" s="149">
        <f t="shared" si="116"/>
        <v>25906</v>
      </c>
      <c r="CL42" s="150">
        <f t="shared" si="116"/>
        <v>35069</v>
      </c>
      <c r="CM42" s="149">
        <f t="shared" si="116"/>
        <v>26368</v>
      </c>
      <c r="CN42" s="149">
        <f t="shared" si="116"/>
        <v>27305</v>
      </c>
      <c r="CO42" s="149">
        <f t="shared" si="116"/>
        <v>29136</v>
      </c>
      <c r="CP42" s="150">
        <f t="shared" si="116"/>
        <v>28063</v>
      </c>
      <c r="CQ42" s="149">
        <f t="shared" si="116"/>
        <v>31834</v>
      </c>
      <c r="CR42" s="149">
        <f t="shared" si="116"/>
        <v>28767</v>
      </c>
      <c r="CS42" s="149">
        <f t="shared" si="116"/>
        <v>30597</v>
      </c>
      <c r="CT42" s="150">
        <f t="shared" si="116"/>
        <v>32747</v>
      </c>
      <c r="CU42" s="149">
        <f t="shared" si="116"/>
        <v>27374</v>
      </c>
      <c r="CV42" s="149">
        <f t="shared" si="116"/>
        <v>34636</v>
      </c>
      <c r="CW42" s="155">
        <f t="shared" si="116"/>
        <v>30761</v>
      </c>
      <c r="CX42" s="149">
        <f t="shared" si="116"/>
        <v>22913</v>
      </c>
      <c r="CY42" s="149">
        <f t="shared" si="116"/>
        <v>26353</v>
      </c>
      <c r="CZ42" s="149">
        <f t="shared" si="116"/>
        <v>28770</v>
      </c>
      <c r="DA42" s="149">
        <f t="shared" si="116"/>
        <v>26956</v>
      </c>
      <c r="DB42" s="150">
        <f t="shared" si="116"/>
        <v>31489</v>
      </c>
      <c r="DC42" s="149">
        <f t="shared" si="116"/>
        <v>29191</v>
      </c>
      <c r="DD42" s="149">
        <f t="shared" si="116"/>
        <v>30291</v>
      </c>
      <c r="DE42" s="149">
        <f t="shared" si="116"/>
        <v>27050</v>
      </c>
      <c r="DF42" s="150">
        <f t="shared" si="116"/>
        <v>25353</v>
      </c>
      <c r="DG42" s="1113">
        <f>SUM(DG38:DG41)</f>
        <v>26493</v>
      </c>
      <c r="DH42" s="1113">
        <f>SUM(DH38:DH41)</f>
        <v>26889</v>
      </c>
      <c r="DI42" s="155">
        <f>SUM(DI38:DI41)</f>
        <v>28064</v>
      </c>
      <c r="DJ42" s="150">
        <f t="shared" ref="DJ42:DM42" si="117">SUM(DJ38:DJ41)</f>
        <v>28713</v>
      </c>
      <c r="DK42" s="1113">
        <f t="shared" si="117"/>
        <v>30645</v>
      </c>
      <c r="DL42" s="1113">
        <f t="shared" si="117"/>
        <v>34492</v>
      </c>
      <c r="DM42" s="155">
        <f t="shared" si="117"/>
        <v>35052</v>
      </c>
      <c r="DN42" s="150">
        <f t="shared" ref="DN42:DO42" si="118">SUM(DN38:DN41)</f>
        <v>33312</v>
      </c>
      <c r="DO42" s="1113">
        <f t="shared" si="118"/>
        <v>34408</v>
      </c>
      <c r="DP42" s="1113">
        <f t="shared" ref="DP42:DQ42" si="119">SUM(DP38:DP41)</f>
        <v>30298</v>
      </c>
      <c r="DQ42" s="155">
        <f t="shared" si="119"/>
        <v>30340</v>
      </c>
      <c r="DR42" s="1113">
        <f t="shared" ref="DR42:DS42" si="120">SUM(DR38:DR41)</f>
        <v>26664</v>
      </c>
      <c r="DS42" s="1113">
        <f t="shared" si="120"/>
        <v>27758</v>
      </c>
      <c r="DT42" s="1113">
        <f t="shared" ref="DT42:DU42" si="121">SUM(DT38:DT41)</f>
        <v>28930</v>
      </c>
      <c r="DU42" s="1113">
        <f t="shared" si="121"/>
        <v>33037</v>
      </c>
      <c r="DV42" s="1113">
        <f t="shared" ref="DV42" si="122">SUM(DV38:DV41)</f>
        <v>31615</v>
      </c>
      <c r="DW42" s="1113">
        <f t="shared" ref="DW42:DY42" ca="1" si="123">SUM(DW38:DW41)</f>
        <v>31615</v>
      </c>
      <c r="DX42" s="1113">
        <f t="shared" ca="1" si="123"/>
        <v>31829.214998258685</v>
      </c>
      <c r="DY42" s="155">
        <f t="shared" ca="1" si="123"/>
        <v>34117.312389452723</v>
      </c>
      <c r="DZ42" s="2553"/>
    </row>
    <row r="43" spans="1:130">
      <c r="A43" s="102" t="s">
        <v>1244</v>
      </c>
      <c r="B43" s="87"/>
      <c r="C43" s="87"/>
      <c r="D43" s="87"/>
      <c r="E43" s="143"/>
      <c r="F43" s="143">
        <v>33064</v>
      </c>
      <c r="G43" s="143">
        <v>32419</v>
      </c>
      <c r="H43" s="143">
        <v>42491</v>
      </c>
      <c r="I43" s="143">
        <v>45657</v>
      </c>
      <c r="J43" s="143">
        <v>44003</v>
      </c>
      <c r="K43" s="143">
        <v>39413</v>
      </c>
      <c r="L43" s="143">
        <v>35674</v>
      </c>
      <c r="M43" s="143">
        <v>31869</v>
      </c>
      <c r="N43" s="143">
        <f>CC43</f>
        <v>28646</v>
      </c>
      <c r="O43" s="143">
        <f>CG43</f>
        <v>28203</v>
      </c>
      <c r="P43" s="143">
        <f>CK43</f>
        <v>46959</v>
      </c>
      <c r="Q43" s="143">
        <f>CO43</f>
        <v>55051</v>
      </c>
      <c r="R43" s="143">
        <f>+CS43</f>
        <v>45252</v>
      </c>
      <c r="S43" s="143">
        <f>+CW43</f>
        <v>50303</v>
      </c>
      <c r="T43" s="143">
        <f>+DA43</f>
        <v>47618</v>
      </c>
      <c r="U43" s="143">
        <f>+DE43</f>
        <v>89658</v>
      </c>
      <c r="V43" s="143">
        <f>+DI43</f>
        <v>110536</v>
      </c>
      <c r="W43" s="143">
        <f>+DM43</f>
        <v>103705</v>
      </c>
      <c r="X43" s="143">
        <f>+DQ43</f>
        <v>105433</v>
      </c>
      <c r="Y43" s="143">
        <f>+DU43</f>
        <v>113642</v>
      </c>
      <c r="Z43" s="143">
        <f>+DY43</f>
        <v>116268</v>
      </c>
      <c r="AA43" s="185">
        <f>Z43+CFS!AA50+CFS!AA48+CFS!AA49</f>
        <v>117480</v>
      </c>
      <c r="AB43" s="185">
        <f>AA43+CFS!AB50+CFS!AB48+CFS!AB49</f>
        <v>118692</v>
      </c>
      <c r="AC43" s="185">
        <f>AB43+CFS!AC50+CFS!AC48+CFS!AC49</f>
        <v>119904</v>
      </c>
      <c r="AD43" s="185">
        <f>AC43+CFS!AD50+CFS!AD48+CFS!AD49</f>
        <v>121116</v>
      </c>
      <c r="AE43" s="185">
        <f>AD43+CFS!AE50+CFS!AE48+CFS!AE49</f>
        <v>122328</v>
      </c>
      <c r="AF43" s="185">
        <f>AE43+CFS!AF50+CFS!AF48+CFS!AF49</f>
        <v>123540</v>
      </c>
      <c r="AG43" s="185">
        <f>AF43+CFS!AG50+CFS!AG48+CFS!AG49</f>
        <v>124752</v>
      </c>
      <c r="AH43" s="1411"/>
      <c r="AI43" s="143"/>
      <c r="AJ43" s="143"/>
      <c r="AK43" s="143"/>
      <c r="AL43" s="143"/>
      <c r="AM43" s="143"/>
      <c r="AN43" s="123"/>
      <c r="AO43" s="123"/>
      <c r="AP43" s="143"/>
      <c r="AQ43" s="143"/>
      <c r="AR43" s="143"/>
      <c r="AS43" s="143"/>
      <c r="AT43" s="143"/>
      <c r="AU43" s="143"/>
      <c r="AV43" s="143"/>
      <c r="AW43" s="143"/>
      <c r="AX43" s="143"/>
      <c r="AY43" s="143"/>
      <c r="AZ43" s="143"/>
      <c r="BA43" s="143">
        <v>32419</v>
      </c>
      <c r="BB43" s="143"/>
      <c r="BC43" s="143">
        <v>33286</v>
      </c>
      <c r="BD43" s="143">
        <v>32825</v>
      </c>
      <c r="BE43" s="143">
        <v>42491</v>
      </c>
      <c r="BF43" s="143">
        <v>44394</v>
      </c>
      <c r="BG43" s="143">
        <v>44280</v>
      </c>
      <c r="BH43" s="143">
        <v>45043</v>
      </c>
      <c r="BI43" s="143">
        <v>45657</v>
      </c>
      <c r="BJ43" s="143">
        <v>45792</v>
      </c>
      <c r="BK43" s="143">
        <v>43853</v>
      </c>
      <c r="BL43" s="143">
        <v>45238</v>
      </c>
      <c r="BM43" s="143">
        <v>44003</v>
      </c>
      <c r="BN43" s="143">
        <v>42673</v>
      </c>
      <c r="BO43" s="143">
        <v>38846</v>
      </c>
      <c r="BP43" s="143">
        <v>37961</v>
      </c>
      <c r="BQ43" s="143">
        <v>39413</v>
      </c>
      <c r="BR43" s="159">
        <v>38132</v>
      </c>
      <c r="BS43" s="143">
        <v>37449</v>
      </c>
      <c r="BT43" s="143">
        <v>37252</v>
      </c>
      <c r="BU43" s="143">
        <v>35674</v>
      </c>
      <c r="BV43" s="159">
        <v>35471</v>
      </c>
      <c r="BW43" s="143">
        <v>33070</v>
      </c>
      <c r="BX43" s="143">
        <v>34391</v>
      </c>
      <c r="BY43" s="143">
        <v>31869</v>
      </c>
      <c r="BZ43" s="159">
        <f>NormInputs!BP91</f>
        <v>34614</v>
      </c>
      <c r="CA43" s="143">
        <f>NormInputs!BQ91</f>
        <v>32030</v>
      </c>
      <c r="CB43" s="143">
        <f>NormInputs!BR91</f>
        <v>30154</v>
      </c>
      <c r="CC43" s="143">
        <f>NormInputs!BS91</f>
        <v>28646</v>
      </c>
      <c r="CD43" s="159">
        <f>NormInputs!BT91</f>
        <v>28073</v>
      </c>
      <c r="CE43" s="143">
        <f>NormInputs!BU91</f>
        <v>29374</v>
      </c>
      <c r="CF43" s="143">
        <f>NormInputs!BV91</f>
        <v>29383</v>
      </c>
      <c r="CG43" s="143">
        <f>NormInputs!BW91</f>
        <v>28203</v>
      </c>
      <c r="CH43" s="159">
        <f>NormInputs!BX91</f>
        <v>32134</v>
      </c>
      <c r="CI43" s="143">
        <f>NormInputs!BY91</f>
        <v>33778</v>
      </c>
      <c r="CJ43" s="143">
        <f>NormInputs!BZ91</f>
        <v>37478</v>
      </c>
      <c r="CK43" s="143">
        <f>NormInputs!CA91</f>
        <v>46959</v>
      </c>
      <c r="CL43" s="159">
        <f>NormInputs!CB91</f>
        <v>55674</v>
      </c>
      <c r="CM43" s="143">
        <f>NormInputs!CC91</f>
        <v>59469</v>
      </c>
      <c r="CN43" s="143">
        <f>NormInputs!CD91</f>
        <v>57374</v>
      </c>
      <c r="CO43" s="143">
        <f>NormInputs!CE91</f>
        <v>55051</v>
      </c>
      <c r="CP43" s="159">
        <f>NormInputs!CF91</f>
        <v>54424</v>
      </c>
      <c r="CQ43" s="143">
        <f>NormInputs!CG91</f>
        <v>49594</v>
      </c>
      <c r="CR43" s="143">
        <f>NormInputs!CH91</f>
        <v>47360</v>
      </c>
      <c r="CS43" s="143">
        <f>NormInputs!CI91</f>
        <v>45252</v>
      </c>
      <c r="CT43" s="159">
        <f>NormInputs!CJ91</f>
        <v>49374</v>
      </c>
      <c r="CU43" s="143">
        <f>NormInputs!CK91</f>
        <v>47927</v>
      </c>
      <c r="CV43" s="143">
        <f>NormInputs!CL91</f>
        <v>46285</v>
      </c>
      <c r="CW43" s="189">
        <f>NormInputs!CM91</f>
        <v>50303</v>
      </c>
      <c r="CX43" s="143">
        <f>NormInputs!CN91</f>
        <v>48476</v>
      </c>
      <c r="CY43" s="143">
        <f>NormInputs!CO91</f>
        <v>46479</v>
      </c>
      <c r="CZ43" s="143">
        <f>NormInputs!CP91</f>
        <v>46467</v>
      </c>
      <c r="DA43" s="143">
        <f>NormInputs!CQ91</f>
        <v>47618</v>
      </c>
      <c r="DB43" s="159">
        <f>NormInputs!CR91</f>
        <v>41993</v>
      </c>
      <c r="DC43" s="143">
        <f>NormInputs!CS91</f>
        <v>41791</v>
      </c>
      <c r="DD43" s="143">
        <f>NormInputs!CT91</f>
        <v>90938</v>
      </c>
      <c r="DE43" s="143">
        <f>NormInputs!CU91</f>
        <v>89658</v>
      </c>
      <c r="DF43" s="159">
        <f>NormInputs!CV91</f>
        <v>107617</v>
      </c>
      <c r="DG43" s="1047">
        <f>NormInputs!CW91</f>
        <v>107696</v>
      </c>
      <c r="DH43" s="1047">
        <f>NormInputs!CX91</f>
        <v>107627</v>
      </c>
      <c r="DI43" s="189">
        <f>NormInputs!CY91</f>
        <v>110536</v>
      </c>
      <c r="DJ43" s="159">
        <f>NormInputs!CZ91</f>
        <v>108949</v>
      </c>
      <c r="DK43" s="1047">
        <f>NormInputs!DA91</f>
        <v>109465</v>
      </c>
      <c r="DL43" s="2149">
        <f>NormInputs!DB91</f>
        <v>105060</v>
      </c>
      <c r="DM43" s="2485">
        <f>NormInputs!DC91</f>
        <v>103705</v>
      </c>
      <c r="DN43" s="2488">
        <f>NormInputs!DD91</f>
        <v>103615</v>
      </c>
      <c r="DO43" s="2149">
        <f>NormInputs!DE91</f>
        <v>92922</v>
      </c>
      <c r="DP43" s="2149">
        <f>NormInputs!DF91</f>
        <v>102739</v>
      </c>
      <c r="DQ43" s="2485">
        <f>NormInputs!DG91</f>
        <v>105433</v>
      </c>
      <c r="DR43" s="2149">
        <f>NormInputs!DH91</f>
        <v>112839</v>
      </c>
      <c r="DS43" s="2149">
        <f>NormInputs!DI91</f>
        <v>116390</v>
      </c>
      <c r="DT43" s="2149">
        <f>NormInputs!DJ91</f>
        <v>115317</v>
      </c>
      <c r="DU43" s="2149">
        <f>NormInputs!DK91</f>
        <v>113642</v>
      </c>
      <c r="DV43" s="2149">
        <f>NormInputs!DL91</f>
        <v>112734</v>
      </c>
      <c r="DW43" s="1369">
        <f>DV43+CFS!DW50+CFS!DW48+CFS!DW49</f>
        <v>113912</v>
      </c>
      <c r="DX43" s="1369">
        <f>DW43+CFS!DX50+CFS!DX48+CFS!DX49</f>
        <v>115090</v>
      </c>
      <c r="DY43" s="249">
        <f>DX43+CFS!DY50+CFS!DY48+CFS!DY49</f>
        <v>116268</v>
      </c>
      <c r="DZ43" s="2553"/>
    </row>
    <row r="44" spans="1:130">
      <c r="A44" s="102" t="s">
        <v>1245</v>
      </c>
      <c r="B44" s="87"/>
      <c r="C44" s="87"/>
      <c r="D44" s="87"/>
      <c r="E44" s="143"/>
      <c r="F44" s="143">
        <v>14788</v>
      </c>
      <c r="G44" s="143">
        <v>13744</v>
      </c>
      <c r="H44" s="143">
        <v>12543</v>
      </c>
      <c r="I44" s="143">
        <v>11898</v>
      </c>
      <c r="J44" s="143">
        <v>15389</v>
      </c>
      <c r="K44" s="143">
        <v>16754</v>
      </c>
      <c r="L44" s="143">
        <v>17941</v>
      </c>
      <c r="M44" s="143">
        <v>18819</v>
      </c>
      <c r="N44" s="143">
        <f>CC44</f>
        <v>30779</v>
      </c>
      <c r="O44" s="143">
        <f>CG44</f>
        <v>29960</v>
      </c>
      <c r="P44" s="143">
        <f>CK44</f>
        <v>32512</v>
      </c>
      <c r="Q44" s="143">
        <f>CO44</f>
        <v>32622</v>
      </c>
      <c r="R44" s="143">
        <f>+CS44</f>
        <v>28164</v>
      </c>
      <c r="S44" s="143">
        <f>+CW44</f>
        <v>32957</v>
      </c>
      <c r="T44" s="143">
        <f>+DA44</f>
        <v>34346</v>
      </c>
      <c r="U44" s="143">
        <f>+DE44</f>
        <v>27682</v>
      </c>
      <c r="V44" s="143">
        <f>+DI44</f>
        <v>33280</v>
      </c>
      <c r="W44" s="143">
        <f>+DM44</f>
        <v>29957</v>
      </c>
      <c r="X44" s="143">
        <f>+DQ44</f>
        <v>26166</v>
      </c>
      <c r="Y44" s="143">
        <f>+DU44</f>
        <v>22112</v>
      </c>
      <c r="Z44" s="143">
        <f>+DY44</f>
        <v>20689</v>
      </c>
      <c r="AA44" s="143">
        <f>Z44+'Pension - NEW'!S53+'OPEB - NEW'!S53</f>
        <v>20237.141835431994</v>
      </c>
      <c r="AB44" s="143">
        <f>AA44+'Pension - NEW'!T53+'OPEB - NEW'!T53</f>
        <v>19750.877939396054</v>
      </c>
      <c r="AC44" s="143">
        <f>AB44+'Pension - NEW'!U53+'OPEB - NEW'!U53</f>
        <v>19227.757257582307</v>
      </c>
      <c r="AD44" s="143">
        <f>AC44+'Pension - NEW'!V53+'OPEB - NEW'!V53</f>
        <v>18665.15820126532</v>
      </c>
      <c r="AE44" s="143">
        <f>AD44+'Pension - NEW'!W53+'OPEB - NEW'!W53</f>
        <v>18060.276862052538</v>
      </c>
      <c r="AF44" s="143">
        <f>AE44+'Pension - NEW'!X53+'OPEB - NEW'!X53</f>
        <v>17410.114412218973</v>
      </c>
      <c r="AG44" s="143">
        <f>AF44+'Pension - NEW'!Y53+'OPEB - NEW'!Y53</f>
        <v>16711.463634222331</v>
      </c>
      <c r="AH44" s="1411"/>
      <c r="AI44" s="143"/>
      <c r="AJ44" s="143"/>
      <c r="AK44" s="143"/>
      <c r="AL44" s="143"/>
      <c r="AM44" s="143"/>
      <c r="AN44" s="123"/>
      <c r="AO44" s="123"/>
      <c r="AP44" s="143"/>
      <c r="AQ44" s="143"/>
      <c r="AR44" s="143"/>
      <c r="AS44" s="143"/>
      <c r="AT44" s="143"/>
      <c r="AU44" s="143"/>
      <c r="AV44" s="143"/>
      <c r="AW44" s="143"/>
      <c r="AX44" s="143"/>
      <c r="AY44" s="143"/>
      <c r="AZ44" s="143"/>
      <c r="BA44" s="143">
        <v>13744</v>
      </c>
      <c r="BB44" s="143"/>
      <c r="BC44" s="143">
        <v>13246</v>
      </c>
      <c r="BD44" s="143">
        <v>12420</v>
      </c>
      <c r="BE44" s="143">
        <v>12543</v>
      </c>
      <c r="BF44" s="143">
        <v>12470</v>
      </c>
      <c r="BG44" s="143">
        <v>12115</v>
      </c>
      <c r="BH44" s="143">
        <v>11648</v>
      </c>
      <c r="BI44" s="143">
        <v>11898</v>
      </c>
      <c r="BJ44" s="143">
        <v>13454</v>
      </c>
      <c r="BK44" s="143">
        <v>13627</v>
      </c>
      <c r="BL44" s="143">
        <v>13648</v>
      </c>
      <c r="BM44" s="143">
        <v>15389</v>
      </c>
      <c r="BN44" s="143">
        <v>15287</v>
      </c>
      <c r="BO44" s="143">
        <v>15540</v>
      </c>
      <c r="BP44" s="143">
        <v>15596</v>
      </c>
      <c r="BQ44" s="143">
        <v>16754</v>
      </c>
      <c r="BR44" s="159">
        <v>17178</v>
      </c>
      <c r="BS44" s="143">
        <v>17249</v>
      </c>
      <c r="BT44" s="143">
        <v>17104</v>
      </c>
      <c r="BU44" s="143">
        <v>17941</v>
      </c>
      <c r="BV44" s="159">
        <v>17687</v>
      </c>
      <c r="BW44" s="143">
        <v>18110</v>
      </c>
      <c r="BX44" s="143">
        <v>18570</v>
      </c>
      <c r="BY44" s="143">
        <v>18819</v>
      </c>
      <c r="BZ44" s="159">
        <f>NormInputs!BP92</f>
        <v>19669</v>
      </c>
      <c r="CA44" s="143">
        <f>NormInputs!BQ92</f>
        <v>19680</v>
      </c>
      <c r="CB44" s="143">
        <f>NormInputs!BR92</f>
        <v>20231</v>
      </c>
      <c r="CC44" s="143">
        <f>NormInputs!BS92</f>
        <v>30779</v>
      </c>
      <c r="CD44" s="159">
        <f>NormInputs!BT92</f>
        <v>29743</v>
      </c>
      <c r="CE44" s="143">
        <f>NormInputs!BU92</f>
        <v>30326</v>
      </c>
      <c r="CF44" s="143">
        <f>NormInputs!BV92</f>
        <v>30592</v>
      </c>
      <c r="CG44" s="143">
        <f>NormInputs!BW92</f>
        <v>29960</v>
      </c>
      <c r="CH44" s="159">
        <f>NormInputs!BX92</f>
        <v>29227</v>
      </c>
      <c r="CI44" s="143">
        <f>NormInputs!BY92</f>
        <v>29246</v>
      </c>
      <c r="CJ44" s="143">
        <f>NormInputs!BZ92</f>
        <v>28800</v>
      </c>
      <c r="CK44" s="143">
        <f>NormInputs!CA92</f>
        <v>32512</v>
      </c>
      <c r="CL44" s="159">
        <f>NormInputs!CB92</f>
        <v>32149</v>
      </c>
      <c r="CM44" s="143">
        <f>NormInputs!CC92</f>
        <v>32162</v>
      </c>
      <c r="CN44" s="143">
        <f>NormInputs!CD92</f>
        <v>31881</v>
      </c>
      <c r="CO44" s="143">
        <f>NormInputs!CE92</f>
        <v>32622</v>
      </c>
      <c r="CP44" s="159">
        <f>NormInputs!CF92</f>
        <v>31770</v>
      </c>
      <c r="CQ44" s="143">
        <f>NormInputs!CG92</f>
        <v>32435</v>
      </c>
      <c r="CR44" s="143">
        <f>NormInputs!CH92</f>
        <v>31915</v>
      </c>
      <c r="CS44" s="143">
        <f>NormInputs!CI92</f>
        <v>28164</v>
      </c>
      <c r="CT44" s="159">
        <f>NormInputs!CJ92</f>
        <v>27543</v>
      </c>
      <c r="CU44" s="143">
        <f>NormInputs!CK92</f>
        <v>27589</v>
      </c>
      <c r="CV44" s="143">
        <f>NormInputs!CL92</f>
        <v>27705</v>
      </c>
      <c r="CW44" s="189">
        <f>NormInputs!CM92</f>
        <v>32957</v>
      </c>
      <c r="CX44" s="143">
        <f>NormInputs!CN92</f>
        <v>32164</v>
      </c>
      <c r="CY44" s="143">
        <f>NormInputs!CO92</f>
        <v>31909</v>
      </c>
      <c r="CZ44" s="143">
        <f>NormInputs!CP92</f>
        <v>30904</v>
      </c>
      <c r="DA44" s="143">
        <f>NormInputs!CQ92</f>
        <v>34346</v>
      </c>
      <c r="DB44" s="159">
        <f>NormInputs!CR92</f>
        <v>34048</v>
      </c>
      <c r="DC44" s="143">
        <f>NormInputs!CS92</f>
        <v>33835</v>
      </c>
      <c r="DD44" s="143">
        <f>NormInputs!CT92</f>
        <v>33738</v>
      </c>
      <c r="DE44" s="143">
        <f>NormInputs!CU92</f>
        <v>27682</v>
      </c>
      <c r="DF44" s="159">
        <f>NormInputs!CV92</f>
        <v>26977</v>
      </c>
      <c r="DG44" s="1047">
        <f>NormInputs!CW92</f>
        <v>26342</v>
      </c>
      <c r="DH44" s="1047">
        <f>NormInputs!CX92</f>
        <v>25770</v>
      </c>
      <c r="DI44" s="189">
        <f>NormInputs!CY92</f>
        <v>33280</v>
      </c>
      <c r="DJ44" s="159">
        <f>NormInputs!CZ92</f>
        <v>33010</v>
      </c>
      <c r="DK44" s="1047">
        <f>NormInputs!DA92</f>
        <v>32711</v>
      </c>
      <c r="DL44" s="2149">
        <f>NormInputs!DB92</f>
        <v>32962</v>
      </c>
      <c r="DM44" s="2485">
        <f>NormInputs!DC92</f>
        <v>29957</v>
      </c>
      <c r="DN44" s="2488">
        <f>NormInputs!DD92</f>
        <v>29665</v>
      </c>
      <c r="DO44" s="2149">
        <f>NormInputs!DE92</f>
        <v>28059</v>
      </c>
      <c r="DP44" s="2149">
        <f>NormInputs!DF92</f>
        <v>28285</v>
      </c>
      <c r="DQ44" s="2485">
        <f>NormInputs!DG92</f>
        <v>26166</v>
      </c>
      <c r="DR44" s="2149">
        <f>NormInputs!DH92</f>
        <v>22079</v>
      </c>
      <c r="DS44" s="2149">
        <f>NormInputs!DI92</f>
        <v>21775</v>
      </c>
      <c r="DT44" s="2149">
        <f>NormInputs!DJ92</f>
        <v>21131</v>
      </c>
      <c r="DU44" s="2149">
        <f>NormInputs!DK92</f>
        <v>22112</v>
      </c>
      <c r="DV44" s="2149">
        <f>NormInputs!DL92</f>
        <v>20689</v>
      </c>
      <c r="DW44" s="1369">
        <f>DV44+('Pension - NEW'!$P$53+'OPEB - NEW'!$P$53)/4</f>
        <v>20689</v>
      </c>
      <c r="DX44" s="1369">
        <f>DW44+('Pension - NEW'!$P$53+'OPEB - NEW'!$P$53)/4</f>
        <v>20689</v>
      </c>
      <c r="DY44" s="249">
        <f>DX44+('Pension - NEW'!$P$53+'OPEB - NEW'!$P$53)/4</f>
        <v>20689</v>
      </c>
      <c r="DZ44" s="2553"/>
    </row>
    <row r="45" spans="1:130" hidden="1">
      <c r="A45" s="260" t="s">
        <v>1246</v>
      </c>
      <c r="B45" s="259"/>
      <c r="C45" s="259"/>
      <c r="D45" s="259"/>
      <c r="E45" s="261"/>
      <c r="F45" s="261"/>
      <c r="G45" s="261"/>
      <c r="H45" s="261">
        <v>1929</v>
      </c>
      <c r="I45" s="261">
        <v>1569</v>
      </c>
      <c r="J45" s="261">
        <v>3095</v>
      </c>
      <c r="K45" s="261">
        <v>4457</v>
      </c>
      <c r="L45" s="261">
        <v>4457</v>
      </c>
      <c r="M45" s="261">
        <v>4457</v>
      </c>
      <c r="N45" s="261">
        <f t="shared" ref="N45:S46" si="124">M45</f>
        <v>4457</v>
      </c>
      <c r="O45" s="261">
        <f t="shared" si="124"/>
        <v>4457</v>
      </c>
      <c r="P45" s="261">
        <f t="shared" si="124"/>
        <v>4457</v>
      </c>
      <c r="Q45" s="261">
        <f t="shared" si="124"/>
        <v>4457</v>
      </c>
      <c r="R45" s="261">
        <f t="shared" si="124"/>
        <v>4457</v>
      </c>
      <c r="S45" s="261">
        <f t="shared" si="124"/>
        <v>4457</v>
      </c>
      <c r="T45" s="185"/>
      <c r="U45" s="185"/>
      <c r="V45" s="143"/>
      <c r="W45" s="143"/>
      <c r="X45" s="143"/>
      <c r="Y45" s="143"/>
      <c r="Z45" s="143"/>
      <c r="AA45" s="185"/>
      <c r="AB45" s="185"/>
      <c r="AC45" s="185"/>
      <c r="AD45" s="185"/>
      <c r="AE45" s="185"/>
      <c r="AF45" s="185"/>
      <c r="AG45" s="185"/>
      <c r="AH45" s="1411"/>
      <c r="AI45" s="183"/>
      <c r="AJ45" s="183"/>
      <c r="AK45" s="183"/>
      <c r="AL45" s="183"/>
      <c r="AM45" s="143"/>
      <c r="AN45" s="123"/>
      <c r="AO45" s="123"/>
      <c r="AP45" s="183"/>
      <c r="AQ45" s="183"/>
      <c r="AR45" s="183"/>
      <c r="AS45" s="183"/>
      <c r="AT45" s="183"/>
      <c r="AU45" s="183"/>
      <c r="AV45" s="183"/>
      <c r="AW45" s="183"/>
      <c r="AX45" s="183"/>
      <c r="AY45" s="183"/>
      <c r="AZ45" s="183"/>
      <c r="BA45" s="183"/>
      <c r="BB45" s="183"/>
      <c r="BC45" s="183"/>
      <c r="BD45" s="183"/>
      <c r="BE45" s="183"/>
      <c r="BF45" s="183"/>
      <c r="BG45" s="183"/>
      <c r="BH45" s="183"/>
      <c r="BI45" s="183"/>
      <c r="BJ45" s="183"/>
      <c r="BK45" s="183"/>
      <c r="BL45" s="183"/>
      <c r="BM45" s="183"/>
      <c r="BN45" s="183"/>
      <c r="BO45" s="183"/>
      <c r="BP45" s="183"/>
      <c r="BQ45" s="183"/>
      <c r="BR45" s="251"/>
      <c r="BS45" s="183"/>
      <c r="BT45" s="183"/>
      <c r="BU45" s="183"/>
      <c r="BV45" s="251"/>
      <c r="BW45" s="183"/>
      <c r="BX45" s="183"/>
      <c r="BY45" s="183"/>
      <c r="BZ45" s="251"/>
      <c r="CA45" s="183"/>
      <c r="CB45" s="183"/>
      <c r="CC45" s="183"/>
      <c r="CD45" s="251"/>
      <c r="CE45" s="183"/>
      <c r="CF45" s="183"/>
      <c r="CG45" s="183"/>
      <c r="CH45" s="251"/>
      <c r="CI45" s="183"/>
      <c r="CJ45" s="183"/>
      <c r="CK45" s="143"/>
      <c r="CL45" s="159"/>
      <c r="CM45" s="183"/>
      <c r="CN45" s="183"/>
      <c r="CO45" s="183"/>
      <c r="CP45" s="252"/>
      <c r="CQ45" s="185"/>
      <c r="CR45" s="185"/>
      <c r="CS45" s="185"/>
      <c r="CT45" s="252"/>
      <c r="CU45" s="185"/>
      <c r="CV45" s="185"/>
      <c r="CW45" s="249"/>
      <c r="CX45" s="185"/>
      <c r="CY45" s="185"/>
      <c r="CZ45" s="185"/>
      <c r="DA45" s="185"/>
      <c r="DB45" s="252"/>
      <c r="DC45" s="185"/>
      <c r="DD45" s="185"/>
      <c r="DE45" s="185"/>
      <c r="DF45" s="252"/>
      <c r="DG45" s="1369"/>
      <c r="DH45" s="1369"/>
      <c r="DI45" s="249"/>
      <c r="DJ45" s="252"/>
      <c r="DK45" s="1369"/>
      <c r="DL45" s="2149"/>
      <c r="DM45" s="2485"/>
      <c r="DN45" s="2488"/>
      <c r="DO45" s="2149"/>
      <c r="DP45" s="2149"/>
      <c r="DQ45" s="2485"/>
      <c r="DR45" s="2149"/>
      <c r="DS45" s="2149"/>
      <c r="DT45" s="2149"/>
      <c r="DU45" s="2149"/>
      <c r="DV45" s="2149"/>
      <c r="DW45" s="1131"/>
      <c r="DX45" s="1131"/>
      <c r="DY45" s="253"/>
      <c r="DZ45" s="2199"/>
    </row>
    <row r="46" spans="1:130" hidden="1">
      <c r="A46" s="260" t="s">
        <v>1247</v>
      </c>
      <c r="B46" s="259"/>
      <c r="C46" s="259"/>
      <c r="D46" s="259"/>
      <c r="E46" s="261"/>
      <c r="F46" s="261"/>
      <c r="G46" s="261"/>
      <c r="H46" s="261">
        <v>9587</v>
      </c>
      <c r="I46" s="261">
        <v>9449</v>
      </c>
      <c r="J46" s="261">
        <v>9896</v>
      </c>
      <c r="K46" s="261">
        <v>10344</v>
      </c>
      <c r="L46" s="261">
        <v>10344</v>
      </c>
      <c r="M46" s="261">
        <v>10344</v>
      </c>
      <c r="N46" s="261">
        <f t="shared" si="124"/>
        <v>10344</v>
      </c>
      <c r="O46" s="261">
        <f t="shared" si="124"/>
        <v>10344</v>
      </c>
      <c r="P46" s="261">
        <f t="shared" si="124"/>
        <v>10344</v>
      </c>
      <c r="Q46" s="261">
        <f t="shared" si="124"/>
        <v>10344</v>
      </c>
      <c r="R46" s="261">
        <f t="shared" si="124"/>
        <v>10344</v>
      </c>
      <c r="S46" s="261">
        <f t="shared" si="124"/>
        <v>10344</v>
      </c>
      <c r="T46" s="185"/>
      <c r="U46" s="185"/>
      <c r="V46" s="143"/>
      <c r="W46" s="143"/>
      <c r="X46" s="143"/>
      <c r="Y46" s="143"/>
      <c r="Z46" s="143"/>
      <c r="AA46" s="185"/>
      <c r="AB46" s="185"/>
      <c r="AC46" s="185"/>
      <c r="AD46" s="185"/>
      <c r="AE46" s="185"/>
      <c r="AF46" s="185"/>
      <c r="AG46" s="185"/>
      <c r="AH46" s="1411"/>
      <c r="AI46" s="183"/>
      <c r="AJ46" s="183"/>
      <c r="AK46" s="183"/>
      <c r="AL46" s="183"/>
      <c r="AM46" s="143"/>
      <c r="AN46" s="123"/>
      <c r="AO46" s="123"/>
      <c r="AP46" s="183"/>
      <c r="AQ46" s="183"/>
      <c r="AR46" s="183"/>
      <c r="AS46" s="183"/>
      <c r="AT46" s="183"/>
      <c r="AU46" s="183"/>
      <c r="AV46" s="183"/>
      <c r="AW46" s="183"/>
      <c r="AX46" s="183"/>
      <c r="AY46" s="183"/>
      <c r="AZ46" s="183"/>
      <c r="BA46" s="183"/>
      <c r="BB46" s="183"/>
      <c r="BC46" s="183"/>
      <c r="BD46" s="183"/>
      <c r="BE46" s="183"/>
      <c r="BF46" s="183"/>
      <c r="BG46" s="183"/>
      <c r="BH46" s="183"/>
      <c r="BI46" s="183"/>
      <c r="BJ46" s="183"/>
      <c r="BK46" s="183"/>
      <c r="BL46" s="183"/>
      <c r="BM46" s="183"/>
      <c r="BN46" s="183"/>
      <c r="BO46" s="183"/>
      <c r="BP46" s="183"/>
      <c r="BQ46" s="183"/>
      <c r="BR46" s="251"/>
      <c r="BS46" s="183"/>
      <c r="BT46" s="183"/>
      <c r="BU46" s="183"/>
      <c r="BV46" s="251"/>
      <c r="BW46" s="183"/>
      <c r="BX46" s="183"/>
      <c r="BY46" s="183"/>
      <c r="BZ46" s="251"/>
      <c r="CA46" s="183"/>
      <c r="CB46" s="183"/>
      <c r="CC46" s="183"/>
      <c r="CD46" s="251"/>
      <c r="CE46" s="183"/>
      <c r="CF46" s="183"/>
      <c r="CG46" s="183"/>
      <c r="CH46" s="251"/>
      <c r="CI46" s="183"/>
      <c r="CJ46" s="183"/>
      <c r="CK46" s="143"/>
      <c r="CL46" s="159"/>
      <c r="CM46" s="183"/>
      <c r="CN46" s="183"/>
      <c r="CO46" s="183"/>
      <c r="CP46" s="252"/>
      <c r="CQ46" s="185"/>
      <c r="CR46" s="185"/>
      <c r="CS46" s="185"/>
      <c r="CT46" s="252"/>
      <c r="CU46" s="185"/>
      <c r="CV46" s="185"/>
      <c r="CW46" s="249"/>
      <c r="CX46" s="185"/>
      <c r="CY46" s="185"/>
      <c r="CZ46" s="185"/>
      <c r="DA46" s="185"/>
      <c r="DB46" s="252"/>
      <c r="DC46" s="185"/>
      <c r="DD46" s="185"/>
      <c r="DE46" s="185"/>
      <c r="DF46" s="252"/>
      <c r="DG46" s="1369"/>
      <c r="DH46" s="1369"/>
      <c r="DI46" s="249"/>
      <c r="DJ46" s="252"/>
      <c r="DK46" s="1369"/>
      <c r="DL46" s="2149"/>
      <c r="DM46" s="2485"/>
      <c r="DN46" s="2488"/>
      <c r="DO46" s="2149"/>
      <c r="DP46" s="2149"/>
      <c r="DQ46" s="2485"/>
      <c r="DR46" s="2149"/>
      <c r="DS46" s="2149"/>
      <c r="DT46" s="2149"/>
      <c r="DU46" s="2149"/>
      <c r="DV46" s="2149"/>
      <c r="DW46" s="1131"/>
      <c r="DX46" s="1131"/>
      <c r="DY46" s="253"/>
      <c r="DZ46" s="2199"/>
    </row>
    <row r="47" spans="1:130" hidden="1">
      <c r="A47" s="260" t="s">
        <v>955</v>
      </c>
      <c r="B47" s="259"/>
      <c r="C47" s="259"/>
      <c r="D47" s="259"/>
      <c r="E47" s="261"/>
      <c r="F47" s="261"/>
      <c r="G47" s="261"/>
      <c r="H47" s="261">
        <v>1027</v>
      </c>
      <c r="I47" s="261">
        <v>880</v>
      </c>
      <c r="J47" s="261">
        <v>2398</v>
      </c>
      <c r="K47" s="261">
        <v>1953</v>
      </c>
      <c r="L47" s="261">
        <v>3140</v>
      </c>
      <c r="M47" s="261">
        <v>4018</v>
      </c>
      <c r="N47" s="261">
        <f t="shared" ref="N47:S47" si="125">N44-SUM(N45:N46)</f>
        <v>15978</v>
      </c>
      <c r="O47" s="261">
        <f t="shared" si="125"/>
        <v>15159</v>
      </c>
      <c r="P47" s="261">
        <f t="shared" si="125"/>
        <v>17711</v>
      </c>
      <c r="Q47" s="261">
        <f t="shared" si="125"/>
        <v>17821</v>
      </c>
      <c r="R47" s="261">
        <f t="shared" si="125"/>
        <v>13363</v>
      </c>
      <c r="S47" s="261">
        <f t="shared" si="125"/>
        <v>18156</v>
      </c>
      <c r="T47" s="185"/>
      <c r="U47" s="185"/>
      <c r="V47" s="143"/>
      <c r="W47" s="143"/>
      <c r="X47" s="143"/>
      <c r="Y47" s="143"/>
      <c r="Z47" s="143"/>
      <c r="AA47" s="185"/>
      <c r="AB47" s="185"/>
      <c r="AC47" s="185"/>
      <c r="AD47" s="185"/>
      <c r="AE47" s="185"/>
      <c r="AF47" s="185"/>
      <c r="AG47" s="185"/>
      <c r="AH47" s="1411"/>
      <c r="AI47" s="183"/>
      <c r="AJ47" s="183"/>
      <c r="AK47" s="183"/>
      <c r="AL47" s="183"/>
      <c r="AM47" s="143"/>
      <c r="AN47" s="123"/>
      <c r="AO47" s="123"/>
      <c r="AP47" s="183"/>
      <c r="AQ47" s="183"/>
      <c r="AR47" s="183"/>
      <c r="AS47" s="183"/>
      <c r="AT47" s="183"/>
      <c r="AU47" s="183"/>
      <c r="AV47" s="183"/>
      <c r="AW47" s="183"/>
      <c r="AX47" s="183"/>
      <c r="AY47" s="183"/>
      <c r="AZ47" s="183"/>
      <c r="BA47" s="183"/>
      <c r="BB47" s="183"/>
      <c r="BC47" s="183"/>
      <c r="BD47" s="183"/>
      <c r="BE47" s="183"/>
      <c r="BF47" s="183"/>
      <c r="BG47" s="183"/>
      <c r="BH47" s="183"/>
      <c r="BI47" s="183"/>
      <c r="BJ47" s="183"/>
      <c r="BK47" s="183"/>
      <c r="BL47" s="183"/>
      <c r="BM47" s="183"/>
      <c r="BN47" s="183"/>
      <c r="BO47" s="183"/>
      <c r="BP47" s="183"/>
      <c r="BQ47" s="183"/>
      <c r="BR47" s="251"/>
      <c r="BS47" s="183"/>
      <c r="BT47" s="183"/>
      <c r="BU47" s="183"/>
      <c r="BV47" s="251"/>
      <c r="BW47" s="183"/>
      <c r="BX47" s="183"/>
      <c r="BY47" s="183"/>
      <c r="BZ47" s="251"/>
      <c r="CA47" s="183"/>
      <c r="CB47" s="183"/>
      <c r="CC47" s="183"/>
      <c r="CD47" s="251"/>
      <c r="CE47" s="183"/>
      <c r="CF47" s="183"/>
      <c r="CG47" s="183"/>
      <c r="CH47" s="251"/>
      <c r="CI47" s="183"/>
      <c r="CJ47" s="183"/>
      <c r="CK47" s="143"/>
      <c r="CL47" s="159"/>
      <c r="CM47" s="183"/>
      <c r="CN47" s="183"/>
      <c r="CO47" s="183"/>
      <c r="CP47" s="252"/>
      <c r="CQ47" s="185"/>
      <c r="CR47" s="185"/>
      <c r="CS47" s="185"/>
      <c r="CT47" s="252"/>
      <c r="CU47" s="185"/>
      <c r="CV47" s="185"/>
      <c r="CW47" s="249"/>
      <c r="CX47" s="185"/>
      <c r="CY47" s="185"/>
      <c r="CZ47" s="185"/>
      <c r="DA47" s="185"/>
      <c r="DB47" s="252"/>
      <c r="DC47" s="185"/>
      <c r="DD47" s="185"/>
      <c r="DE47" s="185"/>
      <c r="DF47" s="252"/>
      <c r="DG47" s="1369"/>
      <c r="DH47" s="1369"/>
      <c r="DI47" s="249"/>
      <c r="DJ47" s="252"/>
      <c r="DK47" s="1369"/>
      <c r="DL47" s="2149"/>
      <c r="DM47" s="2485"/>
      <c r="DN47" s="2488"/>
      <c r="DO47" s="2149"/>
      <c r="DP47" s="2149"/>
      <c r="DQ47" s="2485"/>
      <c r="DR47" s="2149"/>
      <c r="DS47" s="2149"/>
      <c r="DT47" s="2149"/>
      <c r="DU47" s="2149"/>
      <c r="DV47" s="2149"/>
      <c r="DW47" s="1131"/>
      <c r="DX47" s="1131"/>
      <c r="DY47" s="253"/>
      <c r="DZ47" s="2199"/>
    </row>
    <row r="48" spans="1:130">
      <c r="A48" s="102" t="s">
        <v>1248</v>
      </c>
      <c r="B48" s="87"/>
      <c r="C48" s="87"/>
      <c r="D48" s="87"/>
      <c r="E48" s="143"/>
      <c r="F48" s="143">
        <v>4258</v>
      </c>
      <c r="G48" s="143">
        <v>7288</v>
      </c>
      <c r="H48" s="143">
        <v>15260</v>
      </c>
      <c r="I48" s="143">
        <v>16543</v>
      </c>
      <c r="J48" s="143">
        <v>19467</v>
      </c>
      <c r="K48" s="143">
        <v>21704</v>
      </c>
      <c r="L48" s="143">
        <v>22532</v>
      </c>
      <c r="M48" s="143">
        <v>22411</v>
      </c>
      <c r="N48" s="143">
        <f>CC48</f>
        <v>16804</v>
      </c>
      <c r="O48" s="143">
        <f>CG48</f>
        <v>14784</v>
      </c>
      <c r="P48" s="143">
        <f>CK48</f>
        <v>11769</v>
      </c>
      <c r="Q48" s="143">
        <f>CO48</f>
        <v>19310</v>
      </c>
      <c r="R48" s="143">
        <f>+CS48</f>
        <v>22818</v>
      </c>
      <c r="S48" s="143">
        <f>+CW48</f>
        <v>25060</v>
      </c>
      <c r="T48" s="143">
        <f>+DA48</f>
        <v>24677</v>
      </c>
      <c r="U48" s="143">
        <f>+DE48</f>
        <v>28639</v>
      </c>
      <c r="V48" s="143">
        <f>+DI48</f>
        <v>41578</v>
      </c>
      <c r="W48" s="143">
        <f>+DM48</f>
        <v>45484</v>
      </c>
      <c r="X48" s="143">
        <f>+DQ48</f>
        <v>45964</v>
      </c>
      <c r="Y48" s="143">
        <f>+DU48</f>
        <v>31232</v>
      </c>
      <c r="Z48" s="143">
        <f>+DY48</f>
        <v>33266.464921450002</v>
      </c>
      <c r="AA48" s="1577">
        <f>Z48-'Pension - NEW'!S49-'OPEB - NEW'!S49+'Cash Taxes'!N104+2250</f>
        <v>34053.704939048795</v>
      </c>
      <c r="AB48" s="1577">
        <f>AA48-'Pension - NEW'!T49-'OPEB - NEW'!T49+'Cash Taxes'!O104+2250</f>
        <v>34896.113035161376</v>
      </c>
      <c r="AC48" s="1577">
        <f>AB48-'Pension - NEW'!U49-'OPEB - NEW'!U49+'Cash Taxes'!U104+2250</f>
        <v>37329.205273796186</v>
      </c>
      <c r="AD48" s="1577">
        <f>AC48-'Pension - NEW'!V49-'OPEB - NEW'!V49+'Cash Taxes'!V104+2250</f>
        <v>39776.114943507127</v>
      </c>
      <c r="AE48" s="1577">
        <f>AD48-'Pension - NEW'!W49-'OPEB - NEW'!W49+'Cash Taxes'!W104+2250</f>
        <v>42237.823412231606</v>
      </c>
      <c r="AF48" s="1577">
        <f>AE48-'Pension - NEW'!X49-'OPEB - NEW'!X49+'Cash Taxes'!X104+2250</f>
        <v>44715.380269673355</v>
      </c>
      <c r="AG48" s="1577">
        <f>AF48-'Pension - NEW'!Y49-'OPEB - NEW'!Y49+'Cash Taxes'!Y104+2250</f>
        <v>47209.908041972179</v>
      </c>
      <c r="AH48" s="1411"/>
      <c r="AI48" s="143"/>
      <c r="AJ48" s="143"/>
      <c r="AK48" s="143"/>
      <c r="AL48" s="143"/>
      <c r="AM48" s="143"/>
      <c r="AN48" s="123"/>
      <c r="AO48" s="123"/>
      <c r="AP48" s="143"/>
      <c r="AQ48" s="143"/>
      <c r="AR48" s="143"/>
      <c r="AS48" s="143"/>
      <c r="AT48" s="143"/>
      <c r="AU48" s="143"/>
      <c r="AV48" s="143"/>
      <c r="AW48" s="143"/>
      <c r="AX48" s="143"/>
      <c r="AY48" s="143"/>
      <c r="AZ48" s="143"/>
      <c r="BA48" s="143">
        <v>7288</v>
      </c>
      <c r="BB48" s="143"/>
      <c r="BC48" s="143">
        <v>15122</v>
      </c>
      <c r="BD48" s="143">
        <v>15304</v>
      </c>
      <c r="BE48" s="143">
        <v>15260</v>
      </c>
      <c r="BF48" s="143">
        <v>15559</v>
      </c>
      <c r="BG48" s="143">
        <v>15689</v>
      </c>
      <c r="BH48" s="143">
        <v>16129</v>
      </c>
      <c r="BI48" s="143">
        <v>16543</v>
      </c>
      <c r="BJ48" s="143">
        <v>18402</v>
      </c>
      <c r="BK48" s="143">
        <v>18851</v>
      </c>
      <c r="BL48" s="143">
        <v>18801</v>
      </c>
      <c r="BM48" s="143">
        <v>19467</v>
      </c>
      <c r="BN48" s="143">
        <v>21305</v>
      </c>
      <c r="BO48" s="143">
        <v>21795</v>
      </c>
      <c r="BP48" s="143">
        <v>22370</v>
      </c>
      <c r="BQ48" s="143">
        <v>21704</v>
      </c>
      <c r="BR48" s="159">
        <v>21822</v>
      </c>
      <c r="BS48" s="143">
        <v>21871</v>
      </c>
      <c r="BT48" s="143">
        <v>22129</v>
      </c>
      <c r="BU48" s="143">
        <v>22532</v>
      </c>
      <c r="BV48" s="159">
        <v>21811</v>
      </c>
      <c r="BW48" s="143">
        <v>22896</v>
      </c>
      <c r="BX48" s="143">
        <v>22527</v>
      </c>
      <c r="BY48" s="143">
        <v>22411</v>
      </c>
      <c r="BZ48" s="159">
        <f>NormInputs!BP93</f>
        <v>20926</v>
      </c>
      <c r="CA48" s="143">
        <f>NormInputs!BQ93</f>
        <v>20943</v>
      </c>
      <c r="CB48" s="143">
        <f>NormInputs!BR93</f>
        <v>21905</v>
      </c>
      <c r="CC48" s="143">
        <f>NormInputs!BS93</f>
        <v>16804</v>
      </c>
      <c r="CD48" s="159">
        <f>NormInputs!BT93</f>
        <v>13518</v>
      </c>
      <c r="CE48" s="143">
        <f>NormInputs!BU93</f>
        <v>13710</v>
      </c>
      <c r="CF48" s="143">
        <f>NormInputs!BV93</f>
        <v>14118</v>
      </c>
      <c r="CG48" s="143">
        <f>NormInputs!BW93</f>
        <v>14784</v>
      </c>
      <c r="CH48" s="159">
        <f>NormInputs!BX93</f>
        <v>15468</v>
      </c>
      <c r="CI48" s="143">
        <f>NormInputs!BY93</f>
        <v>16346</v>
      </c>
      <c r="CJ48" s="143">
        <f>NormInputs!BZ93</f>
        <v>17409</v>
      </c>
      <c r="CK48" s="143">
        <f>NormInputs!CA93</f>
        <v>11769</v>
      </c>
      <c r="CL48" s="159">
        <f>NormInputs!CB93</f>
        <v>16998</v>
      </c>
      <c r="CM48" s="143">
        <f>NormInputs!CC93</f>
        <v>17737</v>
      </c>
      <c r="CN48" s="143">
        <f>NormInputs!CD93</f>
        <v>18652</v>
      </c>
      <c r="CO48" s="143">
        <f>NormInputs!CE93</f>
        <v>19310</v>
      </c>
      <c r="CP48" s="159">
        <f>NormInputs!CF93</f>
        <v>21665</v>
      </c>
      <c r="CQ48" s="143">
        <f>NormInputs!CG93</f>
        <v>21324</v>
      </c>
      <c r="CR48" s="143">
        <f>NormInputs!CH93</f>
        <v>21772</v>
      </c>
      <c r="CS48" s="143">
        <f>NormInputs!CI93</f>
        <v>22818</v>
      </c>
      <c r="CT48" s="159">
        <f>NormInputs!CJ93</f>
        <v>23578</v>
      </c>
      <c r="CU48" s="143">
        <f>NormInputs!CK93</f>
        <v>24603</v>
      </c>
      <c r="CV48" s="143">
        <f>NormInputs!CL93</f>
        <v>26412</v>
      </c>
      <c r="CW48" s="189">
        <f>NormInputs!CM93</f>
        <v>25060</v>
      </c>
      <c r="CX48" s="143">
        <f>NormInputs!CN93</f>
        <v>25610</v>
      </c>
      <c r="CY48" s="143">
        <f>NormInputs!CO93</f>
        <v>25649</v>
      </c>
      <c r="CZ48" s="143">
        <f>NormInputs!CP93</f>
        <v>26474</v>
      </c>
      <c r="DA48" s="143">
        <f>NormInputs!CQ93</f>
        <v>24677</v>
      </c>
      <c r="DB48" s="159">
        <f>NormInputs!CR93</f>
        <v>24993</v>
      </c>
      <c r="DC48" s="143">
        <f>NormInputs!CS93</f>
        <v>25696</v>
      </c>
      <c r="DD48" s="143">
        <f>NormInputs!CT93</f>
        <v>25821</v>
      </c>
      <c r="DE48" s="143">
        <f>NormInputs!CU93</f>
        <v>28639</v>
      </c>
      <c r="DF48" s="159">
        <f>NormInputs!CV93</f>
        <v>41597</v>
      </c>
      <c r="DG48" s="1047">
        <f>NormInputs!CW93</f>
        <v>42027</v>
      </c>
      <c r="DH48" s="1047">
        <f>NormInputs!CX93</f>
        <v>42289</v>
      </c>
      <c r="DI48" s="189">
        <f>NormInputs!CY93</f>
        <v>41578</v>
      </c>
      <c r="DJ48" s="159">
        <f>NormInputs!CZ93</f>
        <v>42330</v>
      </c>
      <c r="DK48" s="1047">
        <f>NormInputs!DA93</f>
        <v>42945</v>
      </c>
      <c r="DL48" s="2149">
        <f>NormInputs!DB93</f>
        <v>42896</v>
      </c>
      <c r="DM48" s="2485">
        <f>NormInputs!DC93</f>
        <v>45484</v>
      </c>
      <c r="DN48" s="2488">
        <f>NormInputs!DD93</f>
        <v>45568</v>
      </c>
      <c r="DO48" s="2149">
        <f>NormInputs!DE93</f>
        <v>43825</v>
      </c>
      <c r="DP48" s="2149">
        <f>NormInputs!DF93</f>
        <v>44617</v>
      </c>
      <c r="DQ48" s="2485">
        <f>NormInputs!DG93</f>
        <v>45964</v>
      </c>
      <c r="DR48" s="2149">
        <f>NormInputs!DH93</f>
        <v>47847</v>
      </c>
      <c r="DS48" s="2149">
        <f>NormInputs!DI93</f>
        <v>47506</v>
      </c>
      <c r="DT48" s="2149">
        <f>NormInputs!DJ93</f>
        <v>48345</v>
      </c>
      <c r="DU48" s="2149">
        <f>NormInputs!DK93</f>
        <v>31232</v>
      </c>
      <c r="DV48" s="2149">
        <f>NormInputs!DL93</f>
        <v>34414</v>
      </c>
      <c r="DW48" s="3253">
        <f>DV48-('Pension - NEW'!$R$49+'OPEB - NEW'!$R$49)/4+'Cash Taxes'!$M$104/4</f>
        <v>34031.488307150001</v>
      </c>
      <c r="DX48" s="3253">
        <f>DW48-('Pension - NEW'!$R$49+'OPEB - NEW'!$R$49)/4+'Cash Taxes'!$M$104/4</f>
        <v>33648.976614300002</v>
      </c>
      <c r="DY48" s="1573">
        <f>DX48-('Pension - NEW'!$R$49+'OPEB - NEW'!$R$49)/4+'Cash Taxes'!$M$104/4</f>
        <v>33266.464921450002</v>
      </c>
      <c r="DZ48" s="2553"/>
    </row>
    <row r="49" spans="1:130">
      <c r="A49" s="102" t="s">
        <v>1249</v>
      </c>
      <c r="B49" s="87"/>
      <c r="C49" s="87"/>
      <c r="D49" s="87"/>
      <c r="E49" s="143"/>
      <c r="F49" s="143">
        <v>1291</v>
      </c>
      <c r="G49" s="143">
        <v>1353</v>
      </c>
      <c r="H49" s="143">
        <v>3797</v>
      </c>
      <c r="I49" s="143">
        <v>3989</v>
      </c>
      <c r="J49" s="143">
        <v>4007</v>
      </c>
      <c r="K49" s="143">
        <v>3703</v>
      </c>
      <c r="L49" s="143">
        <v>4069</v>
      </c>
      <c r="M49" s="143">
        <v>3534</v>
      </c>
      <c r="N49" s="143">
        <f>CC49</f>
        <v>3957</v>
      </c>
      <c r="O49" s="143">
        <f>CG49</f>
        <v>6402</v>
      </c>
      <c r="P49" s="143">
        <f>CK49</f>
        <v>6301</v>
      </c>
      <c r="Q49" s="143">
        <f>CO49</f>
        <v>6765</v>
      </c>
      <c r="R49" s="185">
        <f>+CS49</f>
        <v>6262</v>
      </c>
      <c r="S49" s="143">
        <f>+CW49</f>
        <v>5472</v>
      </c>
      <c r="T49" s="143">
        <f>+DA49</f>
        <v>6092</v>
      </c>
      <c r="U49" s="143">
        <f>+DE49</f>
        <v>5653</v>
      </c>
      <c r="V49" s="143">
        <f>+DI49</f>
        <v>5574</v>
      </c>
      <c r="W49" s="143">
        <f>+DM49</f>
        <v>12600</v>
      </c>
      <c r="X49" s="143">
        <f>+DQ49</f>
        <v>12245</v>
      </c>
      <c r="Y49" s="143">
        <f>+DU49</f>
        <v>12433</v>
      </c>
      <c r="Z49" s="143">
        <f ca="1">+DY49</f>
        <v>14585.462073742034</v>
      </c>
      <c r="AA49" s="185">
        <f ca="1">Z49</f>
        <v>14585.462073742034</v>
      </c>
      <c r="AB49" s="185">
        <f ca="1">AA49</f>
        <v>14585.462073742034</v>
      </c>
      <c r="AC49" s="185">
        <f t="shared" ref="AC49:AG49" ca="1" si="126">AB49</f>
        <v>14585.462073742034</v>
      </c>
      <c r="AD49" s="185">
        <f t="shared" ca="1" si="126"/>
        <v>14585.462073742034</v>
      </c>
      <c r="AE49" s="185">
        <f t="shared" ca="1" si="126"/>
        <v>14585.462073742034</v>
      </c>
      <c r="AF49" s="185">
        <f t="shared" ca="1" si="126"/>
        <v>14585.462073742034</v>
      </c>
      <c r="AG49" s="185">
        <f t="shared" ca="1" si="126"/>
        <v>14585.462073742034</v>
      </c>
      <c r="AH49" s="1411"/>
      <c r="AI49" s="143"/>
      <c r="AJ49" s="143"/>
      <c r="AK49" s="143"/>
      <c r="AL49" s="143"/>
      <c r="AM49" s="143"/>
      <c r="AN49" s="123"/>
      <c r="AO49" s="123"/>
      <c r="AP49" s="143"/>
      <c r="AQ49" s="143"/>
      <c r="AR49" s="143"/>
      <c r="AS49" s="143"/>
      <c r="AT49" s="143"/>
      <c r="AU49" s="143"/>
      <c r="AV49" s="143"/>
      <c r="AW49" s="143"/>
      <c r="AX49" s="143"/>
      <c r="AY49" s="143"/>
      <c r="AZ49" s="143"/>
      <c r="BA49" s="143">
        <v>1353</v>
      </c>
      <c r="BB49" s="143"/>
      <c r="BC49" s="143">
        <v>1577</v>
      </c>
      <c r="BD49" s="143">
        <v>1519</v>
      </c>
      <c r="BE49" s="143">
        <v>3797</v>
      </c>
      <c r="BF49" s="143">
        <v>3561</v>
      </c>
      <c r="BG49" s="143">
        <v>3677</v>
      </c>
      <c r="BH49" s="143">
        <v>3706</v>
      </c>
      <c r="BI49" s="143">
        <v>3989</v>
      </c>
      <c r="BJ49" s="143">
        <v>4244</v>
      </c>
      <c r="BK49" s="143">
        <v>4047</v>
      </c>
      <c r="BL49" s="143">
        <v>3941</v>
      </c>
      <c r="BM49" s="143">
        <v>4007</v>
      </c>
      <c r="BN49" s="143">
        <v>3959</v>
      </c>
      <c r="BO49" s="143">
        <v>3803</v>
      </c>
      <c r="BP49" s="143">
        <v>4100</v>
      </c>
      <c r="BQ49" s="143">
        <v>3703</v>
      </c>
      <c r="BR49" s="159">
        <v>3643</v>
      </c>
      <c r="BS49" s="143">
        <v>3565</v>
      </c>
      <c r="BT49" s="143">
        <v>3526</v>
      </c>
      <c r="BU49" s="143">
        <v>4069</v>
      </c>
      <c r="BV49" s="159">
        <v>4020</v>
      </c>
      <c r="BW49" s="143">
        <v>3952</v>
      </c>
      <c r="BX49" s="143">
        <v>3978</v>
      </c>
      <c r="BY49" s="143">
        <v>3534</v>
      </c>
      <c r="BZ49" s="159">
        <f>NormInputs!BP94</f>
        <v>4544</v>
      </c>
      <c r="CA49" s="143">
        <f>NormInputs!BQ94</f>
        <v>4327</v>
      </c>
      <c r="CB49" s="143">
        <f>NormInputs!BR94</f>
        <v>4274</v>
      </c>
      <c r="CC49" s="143">
        <f>NormInputs!BS94</f>
        <v>3957</v>
      </c>
      <c r="CD49" s="159">
        <f>NormInputs!BT94</f>
        <v>7025</v>
      </c>
      <c r="CE49" s="143">
        <f>NormInputs!BU94</f>
        <v>6866</v>
      </c>
      <c r="CF49" s="143">
        <f>NormInputs!BV94</f>
        <v>6445</v>
      </c>
      <c r="CG49" s="143">
        <f>NormInputs!BW94</f>
        <v>6402</v>
      </c>
      <c r="CH49" s="159">
        <f>NormInputs!BX94</f>
        <v>6041</v>
      </c>
      <c r="CI49" s="143">
        <f>NormInputs!BY94</f>
        <v>5856</v>
      </c>
      <c r="CJ49" s="143">
        <f>NormInputs!BZ94</f>
        <v>6053</v>
      </c>
      <c r="CK49" s="143">
        <f>NormInputs!CA94</f>
        <v>6301</v>
      </c>
      <c r="CL49" s="159">
        <f>NormInputs!CB94</f>
        <v>6407</v>
      </c>
      <c r="CM49" s="143">
        <f>NormInputs!CC94</f>
        <v>6442</v>
      </c>
      <c r="CN49" s="143">
        <f>NormInputs!CD94</f>
        <v>6610</v>
      </c>
      <c r="CO49" s="143">
        <f>NormInputs!CE94</f>
        <v>6765</v>
      </c>
      <c r="CP49" s="159">
        <f>NormInputs!CF94</f>
        <v>6773</v>
      </c>
      <c r="CQ49" s="143">
        <f>NormInputs!CG94</f>
        <v>6591</v>
      </c>
      <c r="CR49" s="143">
        <f>NormInputs!CH94</f>
        <v>6414</v>
      </c>
      <c r="CS49" s="143">
        <f>NormInputs!CI94</f>
        <v>6262</v>
      </c>
      <c r="CT49" s="159">
        <f>NormInputs!CJ94</f>
        <v>6002</v>
      </c>
      <c r="CU49" s="143">
        <f>NormInputs!CK94</f>
        <v>5551</v>
      </c>
      <c r="CV49" s="143">
        <f>NormInputs!CL94</f>
        <v>5479</v>
      </c>
      <c r="CW49" s="189">
        <f>NormInputs!CM94</f>
        <v>5472</v>
      </c>
      <c r="CX49" s="143">
        <f>NormInputs!CN94</f>
        <v>5337</v>
      </c>
      <c r="CY49" s="143">
        <f>NormInputs!CO94</f>
        <v>5254</v>
      </c>
      <c r="CZ49" s="143">
        <f>NormInputs!CP94</f>
        <v>5839</v>
      </c>
      <c r="DA49" s="143">
        <f>NormInputs!CQ94</f>
        <v>6092</v>
      </c>
      <c r="DB49" s="159">
        <f>NormInputs!CR94</f>
        <v>6075</v>
      </c>
      <c r="DC49" s="143">
        <f>NormInputs!CS94</f>
        <v>5677</v>
      </c>
      <c r="DD49" s="143">
        <f>NormInputs!CT94</f>
        <v>5622</v>
      </c>
      <c r="DE49" s="143">
        <f>NormInputs!CU94</f>
        <v>5653</v>
      </c>
      <c r="DF49" s="159">
        <f>NormInputs!CV94</f>
        <v>6167</v>
      </c>
      <c r="DG49" s="1047">
        <f>NormInputs!CW94</f>
        <v>5857</v>
      </c>
      <c r="DH49" s="1047">
        <f>NormInputs!CX94</f>
        <v>5750</v>
      </c>
      <c r="DI49" s="189">
        <f>NormInputs!CY94</f>
        <v>5574</v>
      </c>
      <c r="DJ49" s="159">
        <f>NormInputs!CZ94</f>
        <v>12029</v>
      </c>
      <c r="DK49" s="1047">
        <f>NormInputs!DA94</f>
        <v>12113</v>
      </c>
      <c r="DL49" s="2149">
        <f>NormInputs!DB94</f>
        <v>12121</v>
      </c>
      <c r="DM49" s="2485">
        <f>NormInputs!DC94</f>
        <v>12600</v>
      </c>
      <c r="DN49" s="2488">
        <f>NormInputs!DD94</f>
        <v>12324</v>
      </c>
      <c r="DO49" s="2149">
        <f>NormInputs!DE94</f>
        <v>11912</v>
      </c>
      <c r="DP49" s="2149">
        <f>NormInputs!DF94</f>
        <v>11576</v>
      </c>
      <c r="DQ49" s="2485">
        <f>NormInputs!DG94</f>
        <v>12245</v>
      </c>
      <c r="DR49" s="2149">
        <f>NormInputs!DH94</f>
        <v>12265</v>
      </c>
      <c r="DS49" s="2149">
        <f>NormInputs!DI94</f>
        <v>12788</v>
      </c>
      <c r="DT49" s="2149">
        <f>NormInputs!DJ94</f>
        <v>12508</v>
      </c>
      <c r="DU49" s="2149">
        <f>NormInputs!DK94</f>
        <v>12433</v>
      </c>
      <c r="DV49" s="2149">
        <f>NormInputs!DL94</f>
        <v>12719</v>
      </c>
      <c r="DW49" s="3252">
        <f ca="1">IS!DT45*BS!DW74/90</f>
        <v>12719</v>
      </c>
      <c r="DX49" s="3252">
        <f ca="1">IS!DU45*BS!DX74/90</f>
        <v>12878.781876779982</v>
      </c>
      <c r="DY49" s="2175">
        <f ca="1">IS!DV45*BS!DY74/90</f>
        <v>14585.462073742034</v>
      </c>
      <c r="DZ49" s="2553"/>
    </row>
    <row r="50" spans="1:130">
      <c r="A50" s="91" t="s">
        <v>1250</v>
      </c>
      <c r="B50" s="91"/>
      <c r="C50" s="91"/>
      <c r="D50" s="91"/>
      <c r="E50" s="149"/>
      <c r="F50" s="149">
        <v>74239</v>
      </c>
      <c r="G50" s="149">
        <v>84554</v>
      </c>
      <c r="H50" s="149">
        <v>108327</v>
      </c>
      <c r="I50" s="149">
        <v>116107</v>
      </c>
      <c r="J50" s="149">
        <v>110795</v>
      </c>
      <c r="K50" s="149">
        <v>108154</v>
      </c>
      <c r="L50" s="149">
        <v>103345</v>
      </c>
      <c r="M50" s="149">
        <v>101696</v>
      </c>
      <c r="N50" s="149">
        <f t="shared" ref="N50:V50" si="127">N49+N48+N44+N43+N42</f>
        <v>112466</v>
      </c>
      <c r="O50" s="149">
        <f t="shared" si="127"/>
        <v>104090</v>
      </c>
      <c r="P50" s="149">
        <f t="shared" si="127"/>
        <v>123447</v>
      </c>
      <c r="Q50" s="149">
        <f t="shared" si="127"/>
        <v>142884</v>
      </c>
      <c r="R50" s="149">
        <f t="shared" si="127"/>
        <v>133093</v>
      </c>
      <c r="S50" s="149">
        <f t="shared" si="127"/>
        <v>144553</v>
      </c>
      <c r="T50" s="149">
        <f t="shared" si="127"/>
        <v>139689</v>
      </c>
      <c r="U50" s="149">
        <f t="shared" si="127"/>
        <v>178682</v>
      </c>
      <c r="V50" s="149">
        <f t="shared" si="127"/>
        <v>219032</v>
      </c>
      <c r="W50" s="149">
        <f t="shared" ref="W50:AB50" si="128">W49+W48+W44+W43+W42</f>
        <v>226798</v>
      </c>
      <c r="X50" s="149">
        <f t="shared" si="128"/>
        <v>220148</v>
      </c>
      <c r="Y50" s="149">
        <f t="shared" si="128"/>
        <v>212456</v>
      </c>
      <c r="Z50" s="149">
        <f t="shared" ca="1" si="128"/>
        <v>218926.23938464478</v>
      </c>
      <c r="AA50" s="149">
        <f t="shared" ca="1" si="128"/>
        <v>220242.38830881944</v>
      </c>
      <c r="AB50" s="149">
        <f t="shared" ca="1" si="128"/>
        <v>221754.11763252231</v>
      </c>
      <c r="AC50" s="149">
        <f t="shared" ref="AC50:AG50" ca="1" si="129">AC49+AC48+AC44+AC43+AC42</f>
        <v>224815.25912403379</v>
      </c>
      <c r="AD50" s="149">
        <f t="shared" ca="1" si="129"/>
        <v>227847.11168318547</v>
      </c>
      <c r="AE50" s="149">
        <f t="shared" ca="1" si="129"/>
        <v>230849.39525274237</v>
      </c>
      <c r="AF50" s="149">
        <f t="shared" ca="1" si="129"/>
        <v>233821.91302069457</v>
      </c>
      <c r="AG50" s="149">
        <f t="shared" ca="1" si="129"/>
        <v>236764.31445056686</v>
      </c>
      <c r="AH50" s="1411"/>
      <c r="AI50" s="91"/>
      <c r="AJ50" s="91"/>
      <c r="AK50" s="91"/>
      <c r="AL50" s="91"/>
      <c r="AM50" s="143"/>
      <c r="AN50" s="123"/>
      <c r="AO50" s="123"/>
      <c r="AP50" s="91"/>
      <c r="AQ50" s="91"/>
      <c r="AR50" s="91"/>
      <c r="AS50" s="91"/>
      <c r="AT50" s="91"/>
      <c r="AU50" s="91"/>
      <c r="AV50" s="91"/>
      <c r="AW50" s="91"/>
      <c r="AX50" s="149">
        <v>0</v>
      </c>
      <c r="AY50" s="149">
        <v>0</v>
      </c>
      <c r="AZ50" s="149">
        <v>0</v>
      </c>
      <c r="BA50" s="149">
        <v>84554</v>
      </c>
      <c r="BB50" s="149">
        <v>0</v>
      </c>
      <c r="BC50" s="149">
        <v>101348</v>
      </c>
      <c r="BD50" s="149">
        <v>101076</v>
      </c>
      <c r="BE50" s="149">
        <v>108327</v>
      </c>
      <c r="BF50" s="149">
        <v>111399</v>
      </c>
      <c r="BG50" s="149">
        <v>113525</v>
      </c>
      <c r="BH50" s="149">
        <v>112768</v>
      </c>
      <c r="BI50" s="149">
        <v>116107</v>
      </c>
      <c r="BJ50" s="149">
        <v>116790</v>
      </c>
      <c r="BK50" s="149">
        <v>115828</v>
      </c>
      <c r="BL50" s="149">
        <v>112455</v>
      </c>
      <c r="BM50" s="149">
        <v>110795</v>
      </c>
      <c r="BN50" s="149">
        <v>112722</v>
      </c>
      <c r="BO50" s="149">
        <v>109346</v>
      </c>
      <c r="BP50" s="149">
        <v>105902</v>
      </c>
      <c r="BQ50" s="149">
        <v>108154</v>
      </c>
      <c r="BR50" s="150">
        <v>105749</v>
      </c>
      <c r="BS50" s="149">
        <v>103518</v>
      </c>
      <c r="BT50" s="149">
        <v>103135</v>
      </c>
      <c r="BU50" s="149">
        <v>103345</v>
      </c>
      <c r="BV50" s="150">
        <v>102148</v>
      </c>
      <c r="BW50" s="149">
        <v>105470</v>
      </c>
      <c r="BX50" s="149">
        <v>103105</v>
      </c>
      <c r="BY50" s="149">
        <v>101696</v>
      </c>
      <c r="BZ50" s="150">
        <f t="shared" ref="BZ50:DF50" si="130">BZ49+BZ48+BZ44+BZ43+BZ42</f>
        <v>110665</v>
      </c>
      <c r="CA50" s="149">
        <f t="shared" si="130"/>
        <v>111319</v>
      </c>
      <c r="CB50" s="149">
        <f t="shared" si="130"/>
        <v>111877</v>
      </c>
      <c r="CC50" s="149">
        <f t="shared" si="130"/>
        <v>112466</v>
      </c>
      <c r="CD50" s="150">
        <f t="shared" si="130"/>
        <v>106265</v>
      </c>
      <c r="CE50" s="149">
        <f t="shared" si="130"/>
        <v>104728</v>
      </c>
      <c r="CF50" s="149">
        <f t="shared" si="130"/>
        <v>104696</v>
      </c>
      <c r="CG50" s="149">
        <f t="shared" si="130"/>
        <v>104090</v>
      </c>
      <c r="CH50" s="150">
        <f t="shared" si="130"/>
        <v>107614</v>
      </c>
      <c r="CI50" s="149">
        <f t="shared" si="130"/>
        <v>115126</v>
      </c>
      <c r="CJ50" s="149">
        <f t="shared" si="130"/>
        <v>118015</v>
      </c>
      <c r="CK50" s="149">
        <f t="shared" si="130"/>
        <v>123447</v>
      </c>
      <c r="CL50" s="150">
        <f t="shared" si="130"/>
        <v>146297</v>
      </c>
      <c r="CM50" s="149">
        <f t="shared" si="130"/>
        <v>142178</v>
      </c>
      <c r="CN50" s="149">
        <f t="shared" si="130"/>
        <v>141822</v>
      </c>
      <c r="CO50" s="149">
        <f t="shared" si="130"/>
        <v>142884</v>
      </c>
      <c r="CP50" s="150">
        <f t="shared" si="130"/>
        <v>142695</v>
      </c>
      <c r="CQ50" s="149">
        <f t="shared" si="130"/>
        <v>141778</v>
      </c>
      <c r="CR50" s="149">
        <f t="shared" si="130"/>
        <v>136228</v>
      </c>
      <c r="CS50" s="149">
        <f t="shared" si="130"/>
        <v>133093</v>
      </c>
      <c r="CT50" s="150">
        <f t="shared" si="130"/>
        <v>139244</v>
      </c>
      <c r="CU50" s="149">
        <f t="shared" si="130"/>
        <v>133044</v>
      </c>
      <c r="CV50" s="149">
        <f t="shared" si="130"/>
        <v>140517</v>
      </c>
      <c r="CW50" s="155">
        <f t="shared" si="130"/>
        <v>144553</v>
      </c>
      <c r="CX50" s="149">
        <f t="shared" si="130"/>
        <v>134500</v>
      </c>
      <c r="CY50" s="149">
        <f t="shared" si="130"/>
        <v>135644</v>
      </c>
      <c r="CZ50" s="149">
        <f t="shared" si="130"/>
        <v>138454</v>
      </c>
      <c r="DA50" s="149">
        <f t="shared" si="130"/>
        <v>139689</v>
      </c>
      <c r="DB50" s="150">
        <f t="shared" si="130"/>
        <v>138598</v>
      </c>
      <c r="DC50" s="149">
        <f t="shared" si="130"/>
        <v>136190</v>
      </c>
      <c r="DD50" s="149">
        <f t="shared" si="130"/>
        <v>186410</v>
      </c>
      <c r="DE50" s="149">
        <f t="shared" si="130"/>
        <v>178682</v>
      </c>
      <c r="DF50" s="150">
        <f t="shared" si="130"/>
        <v>207711</v>
      </c>
      <c r="DG50" s="1113">
        <f>DG49+DG48+DG44+DG43+DG42</f>
        <v>208415</v>
      </c>
      <c r="DH50" s="1113">
        <f>DH49+DH48+DH44+DH43+DH42</f>
        <v>208325</v>
      </c>
      <c r="DI50" s="155">
        <f>DI49+DI48+DI44+DI43+DI42</f>
        <v>219032</v>
      </c>
      <c r="DJ50" s="150">
        <f t="shared" ref="DJ50:DM50" si="131">DJ49+DJ48+DJ44+DJ43+DJ42</f>
        <v>225031</v>
      </c>
      <c r="DK50" s="1113">
        <f t="shared" si="131"/>
        <v>227879</v>
      </c>
      <c r="DL50" s="1113">
        <f t="shared" si="131"/>
        <v>227531</v>
      </c>
      <c r="DM50" s="155">
        <f t="shared" si="131"/>
        <v>226798</v>
      </c>
      <c r="DN50" s="150">
        <f t="shared" ref="DN50:DO50" si="132">DN49+DN48+DN44+DN43+DN42</f>
        <v>224484</v>
      </c>
      <c r="DO50" s="1113">
        <f t="shared" si="132"/>
        <v>211126</v>
      </c>
      <c r="DP50" s="1113">
        <f t="shared" ref="DP50:DQ50" si="133">DP49+DP48+DP44+DP43+DP42</f>
        <v>217515</v>
      </c>
      <c r="DQ50" s="155">
        <f t="shared" si="133"/>
        <v>220148</v>
      </c>
      <c r="DR50" s="1113">
        <f t="shared" ref="DR50:DS50" si="134">DR49+DR48+DR44+DR43+DR42</f>
        <v>221694</v>
      </c>
      <c r="DS50" s="1113">
        <f t="shared" si="134"/>
        <v>226217</v>
      </c>
      <c r="DT50" s="1113">
        <f t="shared" ref="DT50:DU50" si="135">DT49+DT48+DT44+DT43+DT42</f>
        <v>226231</v>
      </c>
      <c r="DU50" s="1113">
        <f t="shared" si="135"/>
        <v>212456</v>
      </c>
      <c r="DV50" s="1113">
        <f t="shared" ref="DV50" si="136">DV49+DV48+DV44+DV43+DV42</f>
        <v>212171</v>
      </c>
      <c r="DW50" s="1113">
        <f t="shared" ref="DW50:DY50" ca="1" si="137">DW49+DW48+DW44+DW43+DW42</f>
        <v>212966.48830714999</v>
      </c>
      <c r="DX50" s="1113">
        <f t="shared" ca="1" si="137"/>
        <v>214135.97348933868</v>
      </c>
      <c r="DY50" s="155">
        <f t="shared" ca="1" si="137"/>
        <v>218926.23938464478</v>
      </c>
      <c r="DZ50" s="2553"/>
    </row>
    <row r="51" spans="1:130" hidden="1">
      <c r="A51" s="262" t="s">
        <v>1237</v>
      </c>
      <c r="B51" s="263"/>
      <c r="C51" s="263"/>
      <c r="D51" s="263"/>
      <c r="E51" s="263"/>
      <c r="F51" s="263">
        <v>0</v>
      </c>
      <c r="G51" s="263">
        <v>0</v>
      </c>
      <c r="H51" s="263">
        <v>0</v>
      </c>
      <c r="I51" s="263">
        <v>0</v>
      </c>
      <c r="J51" s="263">
        <v>0</v>
      </c>
      <c r="K51" s="263">
        <v>0</v>
      </c>
      <c r="L51" s="263">
        <v>0</v>
      </c>
      <c r="M51" s="263">
        <v>0</v>
      </c>
      <c r="N51" s="263">
        <f t="shared" ref="N51:V51" si="138">N38+N39+N41+N43+N44+N48+N49-N50+N40</f>
        <v>0</v>
      </c>
      <c r="O51" s="263">
        <f t="shared" si="138"/>
        <v>0</v>
      </c>
      <c r="P51" s="263">
        <f t="shared" si="138"/>
        <v>0</v>
      </c>
      <c r="Q51" s="263">
        <f t="shared" si="138"/>
        <v>0</v>
      </c>
      <c r="R51" s="263">
        <f t="shared" si="138"/>
        <v>0</v>
      </c>
      <c r="S51" s="263">
        <f t="shared" si="138"/>
        <v>0</v>
      </c>
      <c r="T51" s="263">
        <f t="shared" si="138"/>
        <v>0</v>
      </c>
      <c r="U51" s="263">
        <f t="shared" si="138"/>
        <v>0</v>
      </c>
      <c r="V51" s="263">
        <f t="shared" si="138"/>
        <v>0</v>
      </c>
      <c r="W51" s="263">
        <f t="shared" ref="W51:AB51" si="139">W38+W39+W41+W43+W44+W48+W49-W50+W40</f>
        <v>0</v>
      </c>
      <c r="X51" s="263">
        <f t="shared" si="139"/>
        <v>0</v>
      </c>
      <c r="Y51" s="263">
        <f t="shared" si="139"/>
        <v>0</v>
      </c>
      <c r="Z51" s="263">
        <f t="shared" ca="1" si="139"/>
        <v>-2.9103830456733704E-11</v>
      </c>
      <c r="AA51" s="263">
        <f t="shared" ca="1" si="139"/>
        <v>0</v>
      </c>
      <c r="AB51" s="263">
        <f t="shared" ca="1" si="139"/>
        <v>-2.9103830456733704E-11</v>
      </c>
      <c r="AC51" s="263">
        <f t="shared" ref="AC51:AG51" ca="1" si="140">AC38+AC39+AC41+AC43+AC44+AC48+AC49-AC50+AC40</f>
        <v>0</v>
      </c>
      <c r="AD51" s="263">
        <f t="shared" ca="1" si="140"/>
        <v>0</v>
      </c>
      <c r="AE51" s="263">
        <f t="shared" ca="1" si="140"/>
        <v>0</v>
      </c>
      <c r="AF51" s="263">
        <f t="shared" ca="1" si="140"/>
        <v>0</v>
      </c>
      <c r="AG51" s="263">
        <f t="shared" ca="1" si="140"/>
        <v>0</v>
      </c>
      <c r="AH51" s="1411"/>
      <c r="AI51" s="263"/>
      <c r="AJ51" s="263"/>
      <c r="AK51" s="263"/>
      <c r="AL51" s="263"/>
      <c r="AM51" s="143"/>
      <c r="AN51" s="228"/>
      <c r="AO51" s="228"/>
      <c r="AP51" s="263"/>
      <c r="AQ51" s="263"/>
      <c r="AR51" s="263"/>
      <c r="AS51" s="263"/>
      <c r="AT51" s="263"/>
      <c r="AU51" s="263"/>
      <c r="AV51" s="263"/>
      <c r="AW51" s="263"/>
      <c r="AX51" s="263"/>
      <c r="AY51" s="263"/>
      <c r="AZ51" s="263"/>
      <c r="BA51" s="263"/>
      <c r="BB51" s="263"/>
      <c r="BC51" s="263"/>
      <c r="BD51" s="263"/>
      <c r="BE51" s="263"/>
      <c r="BF51" s="263"/>
      <c r="BG51" s="263"/>
      <c r="BH51" s="263"/>
      <c r="BI51" s="263"/>
      <c r="BJ51" s="263"/>
      <c r="BK51" s="263"/>
      <c r="BL51" s="263"/>
      <c r="BM51" s="263"/>
      <c r="BN51" s="263"/>
      <c r="BO51" s="263"/>
      <c r="BP51" s="263"/>
      <c r="BQ51" s="263"/>
      <c r="BR51" s="264"/>
      <c r="BS51" s="263"/>
      <c r="BT51" s="263"/>
      <c r="BU51" s="263"/>
      <c r="BV51" s="264"/>
      <c r="BW51" s="263"/>
      <c r="BX51" s="263"/>
      <c r="BY51" s="263"/>
      <c r="BZ51" s="264"/>
      <c r="CA51" s="263"/>
      <c r="CB51" s="263"/>
      <c r="CC51" s="263"/>
      <c r="CD51" s="264"/>
      <c r="CE51" s="263"/>
      <c r="CF51" s="263"/>
      <c r="CG51" s="263"/>
      <c r="CH51" s="264"/>
      <c r="CI51" s="263"/>
      <c r="CJ51" s="263"/>
      <c r="CK51" s="263"/>
      <c r="CL51" s="264"/>
      <c r="CM51" s="263"/>
      <c r="CN51" s="263"/>
      <c r="CO51" s="263"/>
      <c r="CP51" s="264"/>
      <c r="CQ51" s="263"/>
      <c r="CR51" s="263"/>
      <c r="CS51" s="263"/>
      <c r="CT51" s="264"/>
      <c r="CU51" s="263"/>
      <c r="CV51" s="263"/>
      <c r="CW51" s="265"/>
      <c r="CX51" s="263"/>
      <c r="CY51" s="263"/>
      <c r="CZ51" s="263"/>
      <c r="DA51" s="263"/>
      <c r="DB51" s="264"/>
      <c r="DC51" s="263"/>
      <c r="DD51" s="263"/>
      <c r="DE51" s="263"/>
      <c r="DF51" s="264"/>
      <c r="DG51" s="1409"/>
      <c r="DH51" s="1409"/>
      <c r="DI51" s="265"/>
      <c r="DJ51" s="264"/>
      <c r="DK51" s="1409"/>
      <c r="DL51" s="1409"/>
      <c r="DM51" s="265"/>
      <c r="DN51" s="264"/>
      <c r="DO51" s="1409"/>
      <c r="DP51" s="1409"/>
      <c r="DQ51" s="265"/>
      <c r="DR51" s="1409"/>
      <c r="DS51" s="1409"/>
      <c r="DT51" s="1409"/>
      <c r="DU51" s="1409"/>
      <c r="DV51" s="1409"/>
      <c r="DW51" s="1409"/>
      <c r="DX51" s="1409"/>
      <c r="DY51" s="265"/>
      <c r="DZ51" s="2199"/>
    </row>
    <row r="52" spans="1:130">
      <c r="A52" s="87"/>
      <c r="B52" s="87"/>
      <c r="C52" s="87"/>
      <c r="D52" s="87"/>
      <c r="E52" s="87"/>
      <c r="F52" s="87"/>
      <c r="G52" s="87"/>
      <c r="H52" s="87"/>
      <c r="I52" s="87"/>
      <c r="J52" s="87"/>
      <c r="K52" s="143">
        <v>0</v>
      </c>
      <c r="L52" s="87"/>
      <c r="M52" s="87"/>
      <c r="N52" s="87"/>
      <c r="O52" s="87"/>
      <c r="P52" s="87"/>
      <c r="Q52" s="143"/>
      <c r="R52" s="87"/>
      <c r="S52" s="87"/>
      <c r="T52" s="87"/>
      <c r="U52" s="87"/>
      <c r="V52" s="87"/>
      <c r="W52" s="87"/>
      <c r="X52" s="87"/>
      <c r="Y52" s="87"/>
      <c r="Z52" s="87"/>
      <c r="AA52" s="87"/>
      <c r="AB52" s="87"/>
      <c r="AC52" s="87"/>
      <c r="AD52" s="87"/>
      <c r="AE52" s="87"/>
      <c r="AF52" s="87"/>
      <c r="AG52" s="87"/>
      <c r="AH52" s="1411"/>
      <c r="AI52" s="87"/>
      <c r="AJ52" s="87"/>
      <c r="AK52" s="87"/>
      <c r="AL52" s="87"/>
      <c r="AM52" s="143"/>
      <c r="AN52" s="123"/>
      <c r="AO52" s="123"/>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8"/>
      <c r="BS52" s="87"/>
      <c r="BT52" s="87"/>
      <c r="BU52" s="87"/>
      <c r="BV52" s="159"/>
      <c r="BW52" s="87"/>
      <c r="BX52" s="87"/>
      <c r="BY52" s="87"/>
      <c r="BZ52" s="88"/>
      <c r="CA52" s="87"/>
      <c r="CB52" s="87"/>
      <c r="CC52" s="87"/>
      <c r="CD52" s="88"/>
      <c r="CE52" s="87"/>
      <c r="CF52" s="87"/>
      <c r="CG52" s="87"/>
      <c r="CH52" s="88"/>
      <c r="CI52" s="87"/>
      <c r="CJ52" s="87"/>
      <c r="CK52" s="87"/>
      <c r="CL52" s="88"/>
      <c r="CM52" s="87"/>
      <c r="CN52" s="87"/>
      <c r="CO52" s="87"/>
      <c r="CP52" s="88"/>
      <c r="CQ52" s="87"/>
      <c r="CR52" s="87"/>
      <c r="CS52" s="87"/>
      <c r="CT52" s="88"/>
      <c r="CU52" s="87"/>
      <c r="CV52" s="87"/>
      <c r="CW52" s="144"/>
      <c r="CX52" s="87"/>
      <c r="CY52" s="87"/>
      <c r="CZ52" s="87"/>
      <c r="DA52" s="87"/>
      <c r="DB52" s="88"/>
      <c r="DC52" s="87"/>
      <c r="DD52" s="87"/>
      <c r="DE52" s="87"/>
      <c r="DF52" s="88"/>
      <c r="DG52" s="1041"/>
      <c r="DH52" s="1041"/>
      <c r="DI52" s="144"/>
      <c r="DJ52" s="88"/>
      <c r="DK52" s="1041"/>
      <c r="DL52" s="1041"/>
      <c r="DM52" s="144"/>
      <c r="DN52" s="88"/>
      <c r="DO52" s="1041"/>
      <c r="DP52" s="1041"/>
      <c r="DQ52" s="144"/>
      <c r="DR52" s="1041"/>
      <c r="DS52" s="1041"/>
      <c r="DT52" s="1041"/>
      <c r="DU52" s="1041"/>
      <c r="DV52" s="1041"/>
      <c r="DW52" s="1041"/>
      <c r="DX52" s="1041"/>
      <c r="DY52" s="144"/>
      <c r="DZ52" s="2199"/>
    </row>
    <row r="53" spans="1:130">
      <c r="A53" s="91" t="s">
        <v>1251</v>
      </c>
      <c r="B53" s="87"/>
      <c r="C53" s="87"/>
      <c r="D53" s="87"/>
      <c r="E53" s="87"/>
      <c r="F53" s="87"/>
      <c r="G53" s="87"/>
      <c r="H53" s="87"/>
      <c r="I53" s="87"/>
      <c r="J53" s="143"/>
      <c r="K53" s="143">
        <v>0</v>
      </c>
      <c r="L53" s="87"/>
      <c r="M53" s="87"/>
      <c r="N53" s="143"/>
      <c r="O53" s="266"/>
      <c r="P53" s="87"/>
      <c r="Q53" s="87"/>
      <c r="R53" s="87"/>
      <c r="S53" s="87"/>
      <c r="T53" s="87"/>
      <c r="U53" s="87"/>
      <c r="V53" s="87"/>
      <c r="W53" s="87"/>
      <c r="X53" s="87"/>
      <c r="Y53" s="87"/>
      <c r="Z53" s="87"/>
      <c r="AA53" s="87"/>
      <c r="AB53" s="87"/>
      <c r="AC53" s="87"/>
      <c r="AD53" s="87"/>
      <c r="AE53" s="87"/>
      <c r="AF53" s="87"/>
      <c r="AG53" s="87"/>
      <c r="AH53" s="1411"/>
      <c r="AI53" s="87"/>
      <c r="AJ53" s="87"/>
      <c r="AK53" s="87"/>
      <c r="AL53" s="87"/>
      <c r="AM53" s="143"/>
      <c r="AN53" s="123"/>
      <c r="AO53" s="123"/>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8"/>
      <c r="BS53" s="143"/>
      <c r="BT53" s="143"/>
      <c r="BU53" s="143"/>
      <c r="BV53" s="159"/>
      <c r="BW53" s="143"/>
      <c r="BX53" s="143"/>
      <c r="BY53" s="143"/>
      <c r="BZ53" s="159"/>
      <c r="CA53" s="143"/>
      <c r="CB53" s="143"/>
      <c r="CC53" s="143"/>
      <c r="CD53" s="159"/>
      <c r="CE53" s="143"/>
      <c r="CF53" s="143"/>
      <c r="CG53" s="143"/>
      <c r="CH53" s="159"/>
      <c r="CI53" s="143"/>
      <c r="CJ53" s="143"/>
      <c r="CK53" s="143"/>
      <c r="CL53" s="159"/>
      <c r="CM53" s="143"/>
      <c r="CN53" s="143"/>
      <c r="CO53" s="143"/>
      <c r="CP53" s="159"/>
      <c r="CQ53" s="143"/>
      <c r="CR53" s="143"/>
      <c r="CS53" s="143"/>
      <c r="CT53" s="159"/>
      <c r="CU53" s="143"/>
      <c r="CV53" s="143"/>
      <c r="CW53" s="189"/>
      <c r="CX53" s="143"/>
      <c r="CY53" s="143"/>
      <c r="CZ53" s="143"/>
      <c r="DA53" s="143"/>
      <c r="DB53" s="159"/>
      <c r="DC53" s="143"/>
      <c r="DD53" s="143"/>
      <c r="DE53" s="143"/>
      <c r="DF53" s="159"/>
      <c r="DG53" s="1047"/>
      <c r="DH53" s="1047"/>
      <c r="DI53" s="189"/>
      <c r="DJ53" s="159"/>
      <c r="DK53" s="1047"/>
      <c r="DL53" s="1047"/>
      <c r="DM53" s="189"/>
      <c r="DN53" s="159"/>
      <c r="DO53" s="1047"/>
      <c r="DP53" s="1047"/>
      <c r="DQ53" s="189"/>
      <c r="DR53" s="1047"/>
      <c r="DS53" s="1047"/>
      <c r="DT53" s="1047"/>
      <c r="DU53" s="1047"/>
      <c r="DV53" s="1047"/>
      <c r="DW53" s="1047"/>
      <c r="DX53" s="1047"/>
      <c r="DY53" s="189"/>
      <c r="DZ53" s="2199"/>
    </row>
    <row r="54" spans="1:130">
      <c r="A54" s="102" t="s">
        <v>1252</v>
      </c>
      <c r="B54" s="87"/>
      <c r="C54" s="87"/>
      <c r="D54" s="87"/>
      <c r="E54" s="143"/>
      <c r="F54" s="143">
        <v>276</v>
      </c>
      <c r="G54" s="143">
        <v>276</v>
      </c>
      <c r="H54" s="143">
        <v>275</v>
      </c>
      <c r="I54" s="143">
        <v>275</v>
      </c>
      <c r="J54" s="143">
        <v>275</v>
      </c>
      <c r="K54" s="143">
        <v>277</v>
      </c>
      <c r="L54" s="143">
        <v>277</v>
      </c>
      <c r="M54" s="143">
        <v>277</v>
      </c>
      <c r="N54" s="143">
        <f t="shared" ref="N54:N60" si="141">CC54</f>
        <v>297</v>
      </c>
      <c r="O54" s="143">
        <f t="shared" ref="O54:O60" si="142">CG54</f>
        <v>297</v>
      </c>
      <c r="P54" s="143">
        <f t="shared" ref="P54:P60" si="143">CK54</f>
        <v>297</v>
      </c>
      <c r="Q54" s="143">
        <f t="shared" ref="Q54:Q60" si="144">CO54</f>
        <v>297</v>
      </c>
      <c r="R54" s="143">
        <f t="shared" ref="R54:R60" si="145">+CS54</f>
        <v>297</v>
      </c>
      <c r="S54" s="143">
        <f t="shared" ref="S54:S60" si="146">+CW54</f>
        <v>297</v>
      </c>
      <c r="T54" s="143">
        <f t="shared" ref="T54:T60" si="147">+DA54</f>
        <v>297</v>
      </c>
      <c r="U54" s="143">
        <f t="shared" ref="U54:U60" si="148">+DE54</f>
        <v>297</v>
      </c>
      <c r="V54" s="143">
        <f t="shared" ref="V54:V60" si="149">+DI54</f>
        <v>424</v>
      </c>
      <c r="W54" s="143">
        <f t="shared" ref="W54:W60" si="150">+DM54</f>
        <v>424</v>
      </c>
      <c r="X54" s="143">
        <f t="shared" ref="X54:X60" si="151">+DQ54</f>
        <v>424</v>
      </c>
      <c r="Y54" s="143">
        <f t="shared" ref="Y54:Y60" si="152">+DU54</f>
        <v>424</v>
      </c>
      <c r="Z54" s="143">
        <f t="shared" ref="Z54:Z60" si="153">+DY54</f>
        <v>429</v>
      </c>
      <c r="AA54" s="185">
        <f t="shared" ref="AA54:AB55" si="154">Z54</f>
        <v>429</v>
      </c>
      <c r="AB54" s="185">
        <f t="shared" si="154"/>
        <v>429</v>
      </c>
      <c r="AC54" s="185">
        <f t="shared" ref="AC54:AC55" si="155">AB54</f>
        <v>429</v>
      </c>
      <c r="AD54" s="185">
        <f t="shared" ref="AD54:AD55" si="156">AC54</f>
        <v>429</v>
      </c>
      <c r="AE54" s="185">
        <f t="shared" ref="AE54:AE55" si="157">AD54</f>
        <v>429</v>
      </c>
      <c r="AF54" s="185">
        <f t="shared" ref="AF54:AF55" si="158">AE54</f>
        <v>429</v>
      </c>
      <c r="AG54" s="185">
        <f t="shared" ref="AG54:AG55" si="159">AF54</f>
        <v>429</v>
      </c>
      <c r="AH54" s="1411"/>
      <c r="AI54" s="143"/>
      <c r="AJ54" s="143"/>
      <c r="AK54" s="143"/>
      <c r="AL54" s="143"/>
      <c r="AM54" s="143"/>
      <c r="AN54" s="123"/>
      <c r="AO54" s="123"/>
      <c r="AP54" s="143"/>
      <c r="AQ54" s="143"/>
      <c r="AR54" s="143"/>
      <c r="AS54" s="143"/>
      <c r="AT54" s="143"/>
      <c r="AU54" s="143"/>
      <c r="AV54" s="143"/>
      <c r="AW54" s="143"/>
      <c r="AX54" s="143"/>
      <c r="AY54" s="143"/>
      <c r="AZ54" s="143"/>
      <c r="BA54" s="143">
        <v>276</v>
      </c>
      <c r="BB54" s="143"/>
      <c r="BC54" s="143">
        <v>275</v>
      </c>
      <c r="BD54" s="143">
        <v>275</v>
      </c>
      <c r="BE54" s="143">
        <v>275</v>
      </c>
      <c r="BF54" s="143">
        <v>275</v>
      </c>
      <c r="BG54" s="143">
        <v>275</v>
      </c>
      <c r="BH54" s="143">
        <v>275</v>
      </c>
      <c r="BI54" s="143">
        <v>275</v>
      </c>
      <c r="BJ54" s="143">
        <v>275</v>
      </c>
      <c r="BK54" s="143">
        <v>275</v>
      </c>
      <c r="BL54" s="143">
        <v>275</v>
      </c>
      <c r="BM54" s="143">
        <v>275</v>
      </c>
      <c r="BN54" s="143">
        <v>276</v>
      </c>
      <c r="BO54" s="143">
        <v>276</v>
      </c>
      <c r="BP54" s="143">
        <v>277</v>
      </c>
      <c r="BQ54" s="143">
        <v>277</v>
      </c>
      <c r="BR54" s="159">
        <v>277</v>
      </c>
      <c r="BS54" s="143">
        <v>277</v>
      </c>
      <c r="BT54" s="143">
        <v>277</v>
      </c>
      <c r="BU54" s="143">
        <v>277</v>
      </c>
      <c r="BV54" s="159">
        <v>277</v>
      </c>
      <c r="BW54" s="143">
        <v>277</v>
      </c>
      <c r="BX54" s="143">
        <v>277</v>
      </c>
      <c r="BY54" s="143">
        <v>277</v>
      </c>
      <c r="BZ54" s="159">
        <f>NormInputs!BP100</f>
        <v>294</v>
      </c>
      <c r="CA54" s="143">
        <f>NormInputs!BQ100</f>
        <v>294</v>
      </c>
      <c r="CB54" s="143">
        <f>NormInputs!BR100</f>
        <v>297</v>
      </c>
      <c r="CC54" s="143">
        <f>NormInputs!BS100</f>
        <v>297</v>
      </c>
      <c r="CD54" s="159">
        <f>NormInputs!BT100</f>
        <v>297</v>
      </c>
      <c r="CE54" s="143">
        <f>NormInputs!BU100</f>
        <v>297</v>
      </c>
      <c r="CF54" s="143">
        <f>NormInputs!BV100</f>
        <v>297</v>
      </c>
      <c r="CG54" s="143">
        <f>NormInputs!BW100</f>
        <v>297</v>
      </c>
      <c r="CH54" s="159">
        <f>NormInputs!BX100</f>
        <v>297</v>
      </c>
      <c r="CI54" s="143">
        <f>NormInputs!BY100</f>
        <v>297</v>
      </c>
      <c r="CJ54" s="143">
        <f>NormInputs!BZ100</f>
        <v>297</v>
      </c>
      <c r="CK54" s="143">
        <f>NormInputs!CA100</f>
        <v>297</v>
      </c>
      <c r="CL54" s="159">
        <f>NormInputs!CB100</f>
        <v>297</v>
      </c>
      <c r="CM54" s="143">
        <f>NormInputs!CC100</f>
        <v>297</v>
      </c>
      <c r="CN54" s="143">
        <f>NormInputs!CD100</f>
        <v>297</v>
      </c>
      <c r="CO54" s="143">
        <f>NormInputs!CE100</f>
        <v>297</v>
      </c>
      <c r="CP54" s="159">
        <f>NormInputs!CF100</f>
        <v>297</v>
      </c>
      <c r="CQ54" s="143">
        <f>NormInputs!CG100</f>
        <v>297</v>
      </c>
      <c r="CR54" s="143">
        <f>NormInputs!CH100</f>
        <v>297</v>
      </c>
      <c r="CS54" s="143">
        <f>NormInputs!CI100</f>
        <v>297</v>
      </c>
      <c r="CT54" s="159">
        <f>NormInputs!CJ100</f>
        <v>297</v>
      </c>
      <c r="CU54" s="143">
        <f>NormInputs!CK100</f>
        <v>297</v>
      </c>
      <c r="CV54" s="143">
        <f>NormInputs!CL100</f>
        <v>297</v>
      </c>
      <c r="CW54" s="189">
        <f>NormInputs!CM100</f>
        <v>297</v>
      </c>
      <c r="CX54" s="143">
        <f>NormInputs!CN100</f>
        <v>297</v>
      </c>
      <c r="CY54" s="143">
        <f>NormInputs!CO100</f>
        <v>297</v>
      </c>
      <c r="CZ54" s="143">
        <f>NormInputs!CP100</f>
        <v>297</v>
      </c>
      <c r="DA54" s="143">
        <f>NormInputs!CQ100</f>
        <v>297</v>
      </c>
      <c r="DB54" s="159">
        <f>NormInputs!CR100</f>
        <v>297</v>
      </c>
      <c r="DC54" s="143">
        <f>NormInputs!CS100</f>
        <v>297</v>
      </c>
      <c r="DD54" s="143">
        <f>NormInputs!CT100</f>
        <v>297</v>
      </c>
      <c r="DE54" s="143">
        <f>NormInputs!CU100</f>
        <v>297</v>
      </c>
      <c r="DF54" s="159">
        <f>NormInputs!CV100</f>
        <v>424</v>
      </c>
      <c r="DG54" s="1047">
        <f>NormInputs!CW100</f>
        <v>424</v>
      </c>
      <c r="DH54" s="1047">
        <f>NormInputs!CX100</f>
        <v>424</v>
      </c>
      <c r="DI54" s="189">
        <f>NormInputs!CY100</f>
        <v>424</v>
      </c>
      <c r="DJ54" s="159">
        <f>NormInputs!CZ100</f>
        <v>424</v>
      </c>
      <c r="DK54" s="1047">
        <f>NormInputs!DA100</f>
        <v>424</v>
      </c>
      <c r="DL54" s="2149">
        <f>NormInputs!DB100</f>
        <v>424</v>
      </c>
      <c r="DM54" s="2485">
        <f>NormInputs!DC100</f>
        <v>424</v>
      </c>
      <c r="DN54" s="2488">
        <f>NormInputs!DD100</f>
        <v>424</v>
      </c>
      <c r="DO54" s="2149">
        <f>NormInputs!DE100</f>
        <v>424</v>
      </c>
      <c r="DP54" s="2149">
        <f>NormInputs!DF100</f>
        <v>424</v>
      </c>
      <c r="DQ54" s="2485">
        <f>NormInputs!DG100</f>
        <v>424</v>
      </c>
      <c r="DR54" s="2149">
        <f>NormInputs!DH100</f>
        <v>424</v>
      </c>
      <c r="DS54" s="2149">
        <f>NormInputs!DI100</f>
        <v>424</v>
      </c>
      <c r="DT54" s="2149">
        <f>NormInputs!DJ100</f>
        <v>424</v>
      </c>
      <c r="DU54" s="2149">
        <f>NormInputs!DK100</f>
        <v>424</v>
      </c>
      <c r="DV54" s="2149">
        <f>NormInputs!DL100</f>
        <v>429</v>
      </c>
      <c r="DW54" s="1369">
        <f t="shared" ref="DW54:DW55" si="160">DV54</f>
        <v>429</v>
      </c>
      <c r="DX54" s="1369">
        <f t="shared" ref="DX54:DX55" si="161">DW54</f>
        <v>429</v>
      </c>
      <c r="DY54" s="249">
        <f t="shared" ref="DY54:DY55" si="162">DX54</f>
        <v>429</v>
      </c>
      <c r="DZ54" s="2553"/>
    </row>
    <row r="55" spans="1:130">
      <c r="A55" s="102" t="s">
        <v>1253</v>
      </c>
      <c r="B55" s="87"/>
      <c r="C55" s="87"/>
      <c r="D55" s="87"/>
      <c r="E55" s="143"/>
      <c r="F55" s="143">
        <v>20160</v>
      </c>
      <c r="G55" s="143">
        <v>20134</v>
      </c>
      <c r="H55" s="143">
        <v>24555</v>
      </c>
      <c r="I55" s="143">
        <v>24676</v>
      </c>
      <c r="J55" s="143">
        <v>24685</v>
      </c>
      <c r="K55" s="143">
        <v>25363</v>
      </c>
      <c r="L55" s="143">
        <v>25404</v>
      </c>
      <c r="M55" s="143">
        <v>25369</v>
      </c>
      <c r="N55" s="143">
        <f t="shared" si="141"/>
        <v>40124</v>
      </c>
      <c r="O55" s="143">
        <f t="shared" si="142"/>
        <v>40316</v>
      </c>
      <c r="P55" s="143">
        <f t="shared" si="143"/>
        <v>40291</v>
      </c>
      <c r="Q55" s="143">
        <f t="shared" si="144"/>
        <v>40108</v>
      </c>
      <c r="R55" s="143">
        <f t="shared" si="145"/>
        <v>37922</v>
      </c>
      <c r="S55" s="143">
        <f t="shared" si="146"/>
        <v>37919</v>
      </c>
      <c r="T55" s="143">
        <f t="shared" si="147"/>
        <v>37990</v>
      </c>
      <c r="U55" s="143">
        <f t="shared" si="148"/>
        <v>37939</v>
      </c>
      <c r="V55" s="143">
        <f t="shared" si="149"/>
        <v>11155</v>
      </c>
      <c r="W55" s="143">
        <f t="shared" si="150"/>
        <v>11196</v>
      </c>
      <c r="X55" s="143">
        <f t="shared" si="151"/>
        <v>11182</v>
      </c>
      <c r="Y55" s="143">
        <f t="shared" si="152"/>
        <v>11101</v>
      </c>
      <c r="Z55" s="143">
        <f t="shared" si="153"/>
        <v>13437</v>
      </c>
      <c r="AA55" s="185">
        <f t="shared" si="154"/>
        <v>13437</v>
      </c>
      <c r="AB55" s="185">
        <f t="shared" si="154"/>
        <v>13437</v>
      </c>
      <c r="AC55" s="185">
        <f t="shared" si="155"/>
        <v>13437</v>
      </c>
      <c r="AD55" s="185">
        <f t="shared" si="156"/>
        <v>13437</v>
      </c>
      <c r="AE55" s="185">
        <f t="shared" si="157"/>
        <v>13437</v>
      </c>
      <c r="AF55" s="185">
        <f t="shared" si="158"/>
        <v>13437</v>
      </c>
      <c r="AG55" s="185">
        <f t="shared" si="159"/>
        <v>13437</v>
      </c>
      <c r="AH55" s="1411"/>
      <c r="AI55" s="143"/>
      <c r="AJ55" s="143"/>
      <c r="AK55" s="143"/>
      <c r="AL55" s="143"/>
      <c r="AM55" s="143"/>
      <c r="AN55" s="123"/>
      <c r="AO55" s="123"/>
      <c r="AP55" s="143"/>
      <c r="AQ55" s="143"/>
      <c r="AR55" s="143"/>
      <c r="AS55" s="143"/>
      <c r="AT55" s="143"/>
      <c r="AU55" s="143"/>
      <c r="AV55" s="143"/>
      <c r="AW55" s="143"/>
      <c r="AX55" s="143"/>
      <c r="AY55" s="143"/>
      <c r="AZ55" s="143"/>
      <c r="BA55" s="143">
        <v>20134</v>
      </c>
      <c r="BB55" s="143"/>
      <c r="BC55" s="143">
        <v>25175</v>
      </c>
      <c r="BD55" s="143">
        <v>24323</v>
      </c>
      <c r="BE55" s="143">
        <v>24555</v>
      </c>
      <c r="BF55" s="143">
        <v>24545</v>
      </c>
      <c r="BG55" s="143">
        <v>24498</v>
      </c>
      <c r="BH55" s="143">
        <v>24505</v>
      </c>
      <c r="BI55" s="143">
        <v>24676</v>
      </c>
      <c r="BJ55" s="143">
        <v>24685</v>
      </c>
      <c r="BK55" s="143">
        <v>24713</v>
      </c>
      <c r="BL55" s="143">
        <v>24671</v>
      </c>
      <c r="BM55" s="143">
        <v>24685</v>
      </c>
      <c r="BN55" s="143">
        <v>24804</v>
      </c>
      <c r="BO55" s="143">
        <v>25023</v>
      </c>
      <c r="BP55" s="143">
        <v>25159</v>
      </c>
      <c r="BQ55" s="143">
        <v>25363</v>
      </c>
      <c r="BR55" s="159">
        <v>25445</v>
      </c>
      <c r="BS55" s="143">
        <v>25461</v>
      </c>
      <c r="BT55" s="143">
        <v>25420</v>
      </c>
      <c r="BU55" s="143">
        <v>25404</v>
      </c>
      <c r="BV55" s="159">
        <v>25387</v>
      </c>
      <c r="BW55" s="143">
        <v>25385</v>
      </c>
      <c r="BX55" s="143">
        <v>25361</v>
      </c>
      <c r="BY55" s="143">
        <v>25369</v>
      </c>
      <c r="BZ55" s="159">
        <f>NormInputs!BP101</f>
        <v>30379</v>
      </c>
      <c r="CA55" s="143">
        <f>NormInputs!BQ101</f>
        <v>30381</v>
      </c>
      <c r="CB55" s="143">
        <f>NormInputs!BR101</f>
        <v>31423</v>
      </c>
      <c r="CC55" s="143">
        <f>NormInputs!BS101</f>
        <v>40124</v>
      </c>
      <c r="CD55" s="159">
        <f>NormInputs!BT101</f>
        <v>40122</v>
      </c>
      <c r="CE55" s="143">
        <f>NormInputs!BU101</f>
        <v>40217</v>
      </c>
      <c r="CF55" s="143">
        <f>NormInputs!BV101</f>
        <v>40289</v>
      </c>
      <c r="CG55" s="143">
        <f>NormInputs!BW101</f>
        <v>40316</v>
      </c>
      <c r="CH55" s="159">
        <f>NormInputs!BX101</f>
        <v>40290</v>
      </c>
      <c r="CI55" s="143">
        <f>NormInputs!BY101</f>
        <v>40291</v>
      </c>
      <c r="CJ55" s="143">
        <f>NormInputs!BZ101</f>
        <v>40290</v>
      </c>
      <c r="CK55" s="143">
        <f>NormInputs!CA101</f>
        <v>40291</v>
      </c>
      <c r="CL55" s="159">
        <f>NormInputs!CB101</f>
        <v>40108</v>
      </c>
      <c r="CM55" s="143">
        <f>NormInputs!CC101</f>
        <v>40102</v>
      </c>
      <c r="CN55" s="143">
        <f>NormInputs!CD101</f>
        <v>40100</v>
      </c>
      <c r="CO55" s="143">
        <f>NormInputs!CE101</f>
        <v>40108</v>
      </c>
      <c r="CP55" s="159">
        <f>NormInputs!CF101</f>
        <v>40108</v>
      </c>
      <c r="CQ55" s="143">
        <f>NormInputs!CG101</f>
        <v>40108</v>
      </c>
      <c r="CR55" s="143">
        <f>NormInputs!CH101</f>
        <v>37921</v>
      </c>
      <c r="CS55" s="143">
        <f>NormInputs!CI101</f>
        <v>37922</v>
      </c>
      <c r="CT55" s="159">
        <f>NormInputs!CJ101</f>
        <v>37914</v>
      </c>
      <c r="CU55" s="143">
        <f>NormInputs!CK101</f>
        <v>37914</v>
      </c>
      <c r="CV55" s="143">
        <f>NormInputs!CL101</f>
        <v>37912</v>
      </c>
      <c r="CW55" s="189">
        <f>NormInputs!CM101</f>
        <v>37919</v>
      </c>
      <c r="CX55" s="143">
        <f>NormInputs!CN101</f>
        <v>37926</v>
      </c>
      <c r="CY55" s="143">
        <f>NormInputs!CO101</f>
        <v>37932</v>
      </c>
      <c r="CZ55" s="143">
        <f>NormInputs!CP101</f>
        <v>37959</v>
      </c>
      <c r="DA55" s="143">
        <f>NormInputs!CQ101</f>
        <v>37990</v>
      </c>
      <c r="DB55" s="159">
        <f>NormInputs!CR101</f>
        <v>37894</v>
      </c>
      <c r="DC55" s="143">
        <f>NormInputs!CS101</f>
        <v>37895</v>
      </c>
      <c r="DD55" s="143">
        <f>NormInputs!CT101</f>
        <v>37918</v>
      </c>
      <c r="DE55" s="143">
        <f>NormInputs!CU101</f>
        <v>37939</v>
      </c>
      <c r="DF55" s="159">
        <f>NormInputs!CV101</f>
        <v>10976</v>
      </c>
      <c r="DG55" s="1047">
        <f>NormInputs!CW101</f>
        <v>11038</v>
      </c>
      <c r="DH55" s="1047">
        <f>NormInputs!CX101</f>
        <v>11089</v>
      </c>
      <c r="DI55" s="189">
        <f>NormInputs!CY101</f>
        <v>11155</v>
      </c>
      <c r="DJ55" s="159">
        <f>NormInputs!CZ101</f>
        <v>10391</v>
      </c>
      <c r="DK55" s="1047">
        <f>NormInputs!DA101</f>
        <v>11167</v>
      </c>
      <c r="DL55" s="2149">
        <f>NormInputs!DB101</f>
        <v>11184</v>
      </c>
      <c r="DM55" s="2485">
        <f>NormInputs!DC101</f>
        <v>11196</v>
      </c>
      <c r="DN55" s="2488">
        <f>NormInputs!DD101</f>
        <v>11191</v>
      </c>
      <c r="DO55" s="2149">
        <f>NormInputs!DE101</f>
        <v>11192</v>
      </c>
      <c r="DP55" s="2149">
        <f>NormInputs!DF101</f>
        <v>11179</v>
      </c>
      <c r="DQ55" s="2485">
        <f>NormInputs!DG101</f>
        <v>11182</v>
      </c>
      <c r="DR55" s="2149">
        <f>NormInputs!DH101</f>
        <v>11161</v>
      </c>
      <c r="DS55" s="2149">
        <f>NormInputs!DI101</f>
        <v>11099</v>
      </c>
      <c r="DT55" s="2149">
        <f>NormInputs!DJ101</f>
        <v>11098</v>
      </c>
      <c r="DU55" s="2149">
        <f>NormInputs!DK101</f>
        <v>11101</v>
      </c>
      <c r="DV55" s="2149">
        <f>NormInputs!DL101</f>
        <v>13437</v>
      </c>
      <c r="DW55" s="1369">
        <f t="shared" si="160"/>
        <v>13437</v>
      </c>
      <c r="DX55" s="1369">
        <f t="shared" si="161"/>
        <v>13437</v>
      </c>
      <c r="DY55" s="249">
        <f t="shared" si="162"/>
        <v>13437</v>
      </c>
      <c r="DZ55" s="2553"/>
    </row>
    <row r="56" spans="1:130">
      <c r="A56" s="102" t="s">
        <v>1254</v>
      </c>
      <c r="B56" s="87"/>
      <c r="C56" s="87"/>
      <c r="D56" s="87"/>
      <c r="E56" s="143"/>
      <c r="F56" s="143">
        <v>3754</v>
      </c>
      <c r="G56" s="143">
        <v>7428</v>
      </c>
      <c r="H56" s="143">
        <v>14667</v>
      </c>
      <c r="I56" s="143">
        <v>10704</v>
      </c>
      <c r="J56" s="143">
        <v>10536</v>
      </c>
      <c r="K56" s="143">
        <v>9409</v>
      </c>
      <c r="L56" s="143">
        <v>12984</v>
      </c>
      <c r="M56" s="143">
        <v>15905</v>
      </c>
      <c r="N56" s="143">
        <f t="shared" si="141"/>
        <v>17324</v>
      </c>
      <c r="O56" s="143">
        <f t="shared" si="142"/>
        <v>17884</v>
      </c>
      <c r="P56" s="143">
        <f t="shared" si="143"/>
        <v>19250</v>
      </c>
      <c r="Q56" s="143">
        <f t="shared" si="144"/>
        <v>17592</v>
      </c>
      <c r="R56" s="143">
        <f t="shared" si="145"/>
        <v>4368</v>
      </c>
      <c r="S56" s="143">
        <f t="shared" si="146"/>
        <v>1179</v>
      </c>
      <c r="T56" s="143">
        <f t="shared" si="147"/>
        <v>-3734</v>
      </c>
      <c r="U56" s="143">
        <f t="shared" si="148"/>
        <v>1782</v>
      </c>
      <c r="V56" s="143">
        <f t="shared" si="149"/>
        <v>2447</v>
      </c>
      <c r="W56" s="143">
        <f t="shared" si="150"/>
        <v>11246</v>
      </c>
      <c r="X56" s="143">
        <f t="shared" si="151"/>
        <v>15059</v>
      </c>
      <c r="Y56" s="143">
        <f t="shared" si="152"/>
        <v>35635</v>
      </c>
      <c r="Z56" s="143">
        <f t="shared" ca="1" si="153"/>
        <v>46503.962899655242</v>
      </c>
      <c r="AA56" s="143">
        <f ca="1">Z56+IS!AA88-IS!AA117</f>
        <v>55984.534074405972</v>
      </c>
      <c r="AB56" s="143">
        <f ca="1">AA56+IS!AB88-IS!AB117</f>
        <v>66106.284815579245</v>
      </c>
      <c r="AC56" s="143">
        <f ca="1">AB56+IS!AC88-IS!AC117</f>
        <v>76845.24810186449</v>
      </c>
      <c r="AD56" s="143">
        <f ca="1">AC56+IS!AD88-IS!AD117</f>
        <v>88284.530409679195</v>
      </c>
      <c r="AE56" s="143">
        <f ca="1">AD56+IS!AE88-IS!AE117</f>
        <v>100485.29015296418</v>
      </c>
      <c r="AF56" s="143">
        <f ca="1">AE56+IS!AF88-IS!AF117</f>
        <v>113514.0717381111</v>
      </c>
      <c r="AG56" s="143">
        <f ca="1">AF56+IS!AG88-IS!AG117</f>
        <v>127414.34203856949</v>
      </c>
      <c r="AH56" s="1411"/>
      <c r="AI56" s="143"/>
      <c r="AJ56" s="143"/>
      <c r="AK56" s="143"/>
      <c r="AL56" s="143"/>
      <c r="AM56" s="143"/>
      <c r="AN56" s="123"/>
      <c r="AO56" s="123"/>
      <c r="AP56" s="143"/>
      <c r="AQ56" s="143"/>
      <c r="AR56" s="143"/>
      <c r="AS56" s="143"/>
      <c r="AT56" s="143"/>
      <c r="AU56" s="143"/>
      <c r="AV56" s="143"/>
      <c r="AW56" s="143"/>
      <c r="AX56" s="143"/>
      <c r="AY56" s="143"/>
      <c r="AZ56" s="143"/>
      <c r="BA56" s="143">
        <v>7428</v>
      </c>
      <c r="BB56" s="143">
        <v>9323</v>
      </c>
      <c r="BC56" s="143">
        <v>11512</v>
      </c>
      <c r="BD56" s="143">
        <v>13891</v>
      </c>
      <c r="BE56" s="143">
        <v>14667</v>
      </c>
      <c r="BF56" s="143">
        <v>15200</v>
      </c>
      <c r="BG56" s="143">
        <v>13137</v>
      </c>
      <c r="BH56" s="143">
        <v>13968</v>
      </c>
      <c r="BI56" s="143">
        <v>10704</v>
      </c>
      <c r="BJ56" s="143">
        <v>9065</v>
      </c>
      <c r="BK56" s="143">
        <v>5842</v>
      </c>
      <c r="BL56" s="143">
        <v>9223</v>
      </c>
      <c r="BM56" s="143">
        <v>10536</v>
      </c>
      <c r="BN56" s="143">
        <v>11922</v>
      </c>
      <c r="BO56" s="143">
        <v>11200</v>
      </c>
      <c r="BP56" s="143">
        <v>11931</v>
      </c>
      <c r="BQ56" s="143">
        <v>9409</v>
      </c>
      <c r="BR56" s="159">
        <v>9542</v>
      </c>
      <c r="BS56" s="143">
        <v>10275</v>
      </c>
      <c r="BT56" s="143">
        <v>11005</v>
      </c>
      <c r="BU56" s="143">
        <v>12984</v>
      </c>
      <c r="BV56" s="159">
        <v>13621</v>
      </c>
      <c r="BW56" s="143">
        <v>14615</v>
      </c>
      <c r="BX56" s="143">
        <v>15365</v>
      </c>
      <c r="BY56" s="143">
        <v>15905</v>
      </c>
      <c r="BZ56" s="159">
        <f>NormInputs!BP102</f>
        <v>16290</v>
      </c>
      <c r="CA56" s="143">
        <f>NormInputs!BQ102</f>
        <v>16729</v>
      </c>
      <c r="CB56" s="143">
        <f>NormInputs!BR102</f>
        <v>17471</v>
      </c>
      <c r="CC56" s="143">
        <f>NormInputs!BS102</f>
        <v>17324</v>
      </c>
      <c r="CD56" s="159">
        <f>NormInputs!BT102</f>
        <v>17485</v>
      </c>
      <c r="CE56" s="143">
        <f>NormInputs!BU102</f>
        <v>18020</v>
      </c>
      <c r="CF56" s="143">
        <f>NormInputs!BV102</f>
        <v>18049</v>
      </c>
      <c r="CG56" s="143">
        <f>NormInputs!BW102</f>
        <v>17884</v>
      </c>
      <c r="CH56" s="159">
        <f>NormInputs!BX102</f>
        <v>18301</v>
      </c>
      <c r="CI56" s="143">
        <f>NormInputs!BY102</f>
        <v>18958</v>
      </c>
      <c r="CJ56" s="143">
        <f>NormInputs!BZ102</f>
        <v>19322</v>
      </c>
      <c r="CK56" s="143">
        <f>NormInputs!CA102</f>
        <v>19250</v>
      </c>
      <c r="CL56" s="159">
        <f>NormInputs!CB102</f>
        <v>19588</v>
      </c>
      <c r="CM56" s="143">
        <f>NormInputs!CC102</f>
        <v>19765</v>
      </c>
      <c r="CN56" s="143">
        <f>NormInputs!CD102</f>
        <v>19591</v>
      </c>
      <c r="CO56" s="143">
        <f>NormInputs!CE102</f>
        <v>17592</v>
      </c>
      <c r="CP56" s="159">
        <f>NormInputs!CF102</f>
        <v>16658</v>
      </c>
      <c r="CQ56" s="143">
        <f>NormInputs!CG102</f>
        <v>15117</v>
      </c>
      <c r="CR56" s="143">
        <f>NormInputs!CH102</f>
        <v>14621</v>
      </c>
      <c r="CS56" s="143">
        <f>NormInputs!CI102</f>
        <v>4368</v>
      </c>
      <c r="CT56" s="159">
        <f>NormInputs!CJ102</f>
        <v>4427</v>
      </c>
      <c r="CU56" s="143">
        <f>NormInputs!CK102</f>
        <v>4656</v>
      </c>
      <c r="CV56" s="143">
        <f>NormInputs!CL102</f>
        <v>4619</v>
      </c>
      <c r="CW56" s="189">
        <f>NormInputs!CM102</f>
        <v>1179</v>
      </c>
      <c r="CX56" s="143">
        <f>NormInputs!CN102</f>
        <v>1444</v>
      </c>
      <c r="CY56" s="143">
        <f>NormInputs!CO102</f>
        <v>1845</v>
      </c>
      <c r="CZ56" s="143">
        <f>NormInputs!CP102</f>
        <v>1968</v>
      </c>
      <c r="DA56" s="143">
        <f>NormInputs!CQ102</f>
        <v>-3734</v>
      </c>
      <c r="DB56" s="159">
        <f>NormInputs!CR102</f>
        <v>-3255</v>
      </c>
      <c r="DC56" s="143">
        <f>NormInputs!CS102</f>
        <v>-2483</v>
      </c>
      <c r="DD56" s="143">
        <f>NormInputs!CT102</f>
        <v>-1768</v>
      </c>
      <c r="DE56" s="143">
        <f>NormInputs!CU102</f>
        <v>1782</v>
      </c>
      <c r="DF56" s="159">
        <f>NormInputs!CV102</f>
        <v>3534</v>
      </c>
      <c r="DG56" s="1047">
        <f>NormInputs!CW102</f>
        <v>5551</v>
      </c>
      <c r="DH56" s="1047">
        <f>NormInputs!CX102</f>
        <v>6964</v>
      </c>
      <c r="DI56" s="189">
        <f>NormInputs!CY102</f>
        <v>2447</v>
      </c>
      <c r="DJ56" s="159">
        <f>NormInputs!CZ102</f>
        <v>4422</v>
      </c>
      <c r="DK56" s="1047">
        <f>NormInputs!DA102</f>
        <v>6418</v>
      </c>
      <c r="DL56" s="2149">
        <f>NormInputs!DB102</f>
        <v>8156</v>
      </c>
      <c r="DM56" s="2485">
        <f>NormInputs!DC102</f>
        <v>11246</v>
      </c>
      <c r="DN56" s="2488">
        <f>NormInputs!DD102</f>
        <v>13253</v>
      </c>
      <c r="DO56" s="2149">
        <f>NormInputs!DE102</f>
        <v>11652</v>
      </c>
      <c r="DP56" s="2149">
        <f>NormInputs!DF102</f>
        <v>12918</v>
      </c>
      <c r="DQ56" s="2485">
        <f>NormInputs!DG102</f>
        <v>15059</v>
      </c>
      <c r="DR56" s="2149">
        <f>NormInputs!DH102</f>
        <v>16153</v>
      </c>
      <c r="DS56" s="2149">
        <f>NormInputs!DI102</f>
        <v>18159</v>
      </c>
      <c r="DT56" s="2149">
        <f>NormInputs!DJ102</f>
        <v>19373</v>
      </c>
      <c r="DU56" s="2149">
        <f>NormInputs!DK102</f>
        <v>35635</v>
      </c>
      <c r="DV56" s="2149">
        <f>NormInputs!DL102</f>
        <v>39974</v>
      </c>
      <c r="DW56" s="1047">
        <f ca="1">DV56+IS!DT88-IS!DT117</f>
        <v>42333.818995844245</v>
      </c>
      <c r="DX56" s="1047">
        <f ca="1">DW56+IS!DU88-IS!DU117</f>
        <v>44851.594036110335</v>
      </c>
      <c r="DY56" s="189">
        <f ca="1">DX56+IS!DV88-IS!DV117</f>
        <v>46503.962899655242</v>
      </c>
      <c r="DZ56" s="2553"/>
    </row>
    <row r="57" spans="1:130">
      <c r="A57" s="102" t="s">
        <v>1255</v>
      </c>
      <c r="B57" s="102"/>
      <c r="C57" s="102"/>
      <c r="D57" s="87"/>
      <c r="E57" s="143"/>
      <c r="F57" s="143">
        <v>-1088</v>
      </c>
      <c r="G57" s="143">
        <v>75</v>
      </c>
      <c r="H57" s="143">
        <v>-2176</v>
      </c>
      <c r="I57" s="143">
        <v>-1187</v>
      </c>
      <c r="J57" s="143">
        <v>-2110</v>
      </c>
      <c r="K57" s="143">
        <v>-1250</v>
      </c>
      <c r="L57" s="143">
        <v>-1053</v>
      </c>
      <c r="M57" s="143">
        <v>-1783</v>
      </c>
      <c r="N57" s="143">
        <f t="shared" si="141"/>
        <v>-8064</v>
      </c>
      <c r="O57" s="143">
        <f t="shared" si="142"/>
        <v>-4506</v>
      </c>
      <c r="P57" s="143">
        <f t="shared" si="143"/>
        <v>-13372</v>
      </c>
      <c r="Q57" s="143">
        <f t="shared" si="144"/>
        <v>-11479</v>
      </c>
      <c r="R57" s="143">
        <f t="shared" si="145"/>
        <v>1049</v>
      </c>
      <c r="S57" s="143">
        <f t="shared" si="146"/>
        <v>1269</v>
      </c>
      <c r="T57" s="143">
        <f t="shared" si="147"/>
        <v>2235</v>
      </c>
      <c r="U57" s="143">
        <f t="shared" si="148"/>
        <v>2358</v>
      </c>
      <c r="V57" s="143">
        <f t="shared" si="149"/>
        <v>1111</v>
      </c>
      <c r="W57" s="143">
        <f t="shared" si="150"/>
        <v>550</v>
      </c>
      <c r="X57" s="143">
        <f t="shared" si="151"/>
        <v>2673</v>
      </c>
      <c r="Y57" s="143">
        <f t="shared" si="152"/>
        <v>2659</v>
      </c>
      <c r="Z57" s="143">
        <f t="shared" si="153"/>
        <v>3705</v>
      </c>
      <c r="AA57" s="185">
        <f>Z57+'Pension - NEW'!S55+'OPEB - NEW'!S55</f>
        <v>3291.6</v>
      </c>
      <c r="AB57" s="185">
        <f>AA57+'Pension - NEW'!T55+'OPEB - NEW'!T55</f>
        <v>2878.2</v>
      </c>
      <c r="AC57" s="185">
        <f>AB57+'Pension - NEW'!U55+'OPEB - NEW'!U55</f>
        <v>2464.7999999999997</v>
      </c>
      <c r="AD57" s="185">
        <f>AC57+'Pension - NEW'!V55+'OPEB - NEW'!V55</f>
        <v>2051.3999999999996</v>
      </c>
      <c r="AE57" s="185">
        <f>AD57+'Pension - NEW'!W55+'OPEB - NEW'!W55</f>
        <v>1637.9999999999998</v>
      </c>
      <c r="AF57" s="185">
        <f>AE57+'Pension - NEW'!X55+'OPEB - NEW'!X55</f>
        <v>1224.5999999999999</v>
      </c>
      <c r="AG57" s="185">
        <f>AF57+'Pension - NEW'!Y55+'OPEB - NEW'!Y55</f>
        <v>811.2</v>
      </c>
      <c r="AH57" s="1411"/>
      <c r="AI57" s="143"/>
      <c r="AJ57" s="143"/>
      <c r="AK57" s="143"/>
      <c r="AL57" s="143"/>
      <c r="AM57" s="143"/>
      <c r="AN57" s="123"/>
      <c r="AO57" s="123"/>
      <c r="AP57" s="143"/>
      <c r="AQ57" s="143"/>
      <c r="AR57" s="143"/>
      <c r="AS57" s="143"/>
      <c r="AT57" s="143"/>
      <c r="AU57" s="143"/>
      <c r="AV57" s="143"/>
      <c r="AW57" s="143"/>
      <c r="AX57" s="143"/>
      <c r="AY57" s="143"/>
      <c r="AZ57" s="143"/>
      <c r="BA57" s="143">
        <v>75</v>
      </c>
      <c r="BB57" s="143"/>
      <c r="BC57" s="143">
        <v>92</v>
      </c>
      <c r="BD57" s="143">
        <v>-1202</v>
      </c>
      <c r="BE57" s="143">
        <v>-2176</v>
      </c>
      <c r="BF57" s="143">
        <v>-2737</v>
      </c>
      <c r="BG57" s="143">
        <v>-692</v>
      </c>
      <c r="BH57" s="143">
        <v>-1832</v>
      </c>
      <c r="BI57" s="143">
        <v>-1187</v>
      </c>
      <c r="BJ57" s="143">
        <v>-1455</v>
      </c>
      <c r="BK57" s="143">
        <v>-924</v>
      </c>
      <c r="BL57" s="143">
        <v>-1336</v>
      </c>
      <c r="BM57" s="143">
        <v>-2110</v>
      </c>
      <c r="BN57" s="143">
        <v>-2140</v>
      </c>
      <c r="BO57" s="143">
        <v>-1757</v>
      </c>
      <c r="BP57" s="143">
        <v>-1801</v>
      </c>
      <c r="BQ57" s="143">
        <v>-1250</v>
      </c>
      <c r="BR57" s="159">
        <v>-1528</v>
      </c>
      <c r="BS57" s="143">
        <v>-1669</v>
      </c>
      <c r="BT57" s="143">
        <v>-1372</v>
      </c>
      <c r="BU57" s="143">
        <v>-1053</v>
      </c>
      <c r="BV57" s="159">
        <v>-1222</v>
      </c>
      <c r="BW57" s="143">
        <v>-1613</v>
      </c>
      <c r="BX57" s="143">
        <v>-1710</v>
      </c>
      <c r="BY57" s="143">
        <v>-1783</v>
      </c>
      <c r="BZ57" s="159">
        <f>NormInputs!BP103</f>
        <v>-1655</v>
      </c>
      <c r="CA57" s="143">
        <f>NormInputs!BQ103</f>
        <v>-1497</v>
      </c>
      <c r="CB57" s="143">
        <f>NormInputs!BR103</f>
        <v>-1516</v>
      </c>
      <c r="CC57" s="143">
        <f>NormInputs!BS103</f>
        <v>-8064</v>
      </c>
      <c r="CD57" s="159">
        <f>NormInputs!BT103</f>
        <v>-7136</v>
      </c>
      <c r="CE57" s="143">
        <f>NormInputs!BU103</f>
        <v>-6532</v>
      </c>
      <c r="CF57" s="143">
        <f>NormInputs!BV103</f>
        <v>-6216</v>
      </c>
      <c r="CG57" s="143">
        <f>NormInputs!BW103</f>
        <v>-4506</v>
      </c>
      <c r="CH57" s="159">
        <f>NormInputs!BX103</f>
        <v>-4207</v>
      </c>
      <c r="CI57" s="143">
        <f>NormInputs!BY103</f>
        <v>-4150</v>
      </c>
      <c r="CJ57" s="143">
        <f>NormInputs!BZ103</f>
        <v>-4199</v>
      </c>
      <c r="CK57" s="143">
        <f>NormInputs!CA103</f>
        <v>-13372</v>
      </c>
      <c r="CL57" s="159">
        <f>NormInputs!CB103</f>
        <v>-13387</v>
      </c>
      <c r="CM57" s="143">
        <f>NormInputs!CC103</f>
        <v>-12742</v>
      </c>
      <c r="CN57" s="143">
        <f>NormInputs!CD103</f>
        <v>-12058</v>
      </c>
      <c r="CO57" s="143">
        <f>NormInputs!CE103</f>
        <v>-11479</v>
      </c>
      <c r="CP57" s="159">
        <f>NormInputs!CF103</f>
        <v>-11442</v>
      </c>
      <c r="CQ57" s="143">
        <f>NormInputs!CG103</f>
        <v>-11140</v>
      </c>
      <c r="CR57" s="143">
        <f>NormInputs!CH103</f>
        <v>-9835</v>
      </c>
      <c r="CS57" s="143">
        <f>NormInputs!CI103</f>
        <v>1049</v>
      </c>
      <c r="CT57" s="159">
        <f>NormInputs!CJ103</f>
        <v>1293</v>
      </c>
      <c r="CU57" s="143">
        <f>NormInputs!CK103</f>
        <v>1354</v>
      </c>
      <c r="CV57" s="143">
        <f>NormInputs!CL103</f>
        <v>1037</v>
      </c>
      <c r="CW57" s="189">
        <f>NormInputs!CM103</f>
        <v>1269</v>
      </c>
      <c r="CX57" s="143">
        <f>NormInputs!CN103</f>
        <v>1398</v>
      </c>
      <c r="CY57" s="143">
        <f>NormInputs!CO103</f>
        <v>1147</v>
      </c>
      <c r="CZ57" s="143">
        <f>NormInputs!CP103</f>
        <v>1257</v>
      </c>
      <c r="DA57" s="143">
        <f>NormInputs!CQ103</f>
        <v>2235</v>
      </c>
      <c r="DB57" s="159">
        <f>NormInputs!CR103</f>
        <v>2056</v>
      </c>
      <c r="DC57" s="143">
        <f>NormInputs!CS103</f>
        <v>1994</v>
      </c>
      <c r="DD57" s="143">
        <f>NormInputs!CT103</f>
        <v>2118</v>
      </c>
      <c r="DE57" s="143">
        <f>NormInputs!CU103</f>
        <v>2358</v>
      </c>
      <c r="DF57" s="159">
        <f>NormInputs!CV103</f>
        <v>1290</v>
      </c>
      <c r="DG57" s="1047">
        <f>NormInputs!CW103</f>
        <v>1188</v>
      </c>
      <c r="DH57" s="1047">
        <f>NormInputs!CX103</f>
        <v>1175</v>
      </c>
      <c r="DI57" s="189">
        <f>NormInputs!CY103</f>
        <v>1111</v>
      </c>
      <c r="DJ57" s="159">
        <f>NormInputs!CZ103</f>
        <v>916</v>
      </c>
      <c r="DK57" s="1047">
        <f>NormInputs!DA103</f>
        <v>821</v>
      </c>
      <c r="DL57" s="2149">
        <f>NormInputs!DB103</f>
        <v>600</v>
      </c>
      <c r="DM57" s="2485">
        <f>NormInputs!DC103</f>
        <v>550</v>
      </c>
      <c r="DN57" s="2488">
        <f>NormInputs!DD103</f>
        <v>459</v>
      </c>
      <c r="DO57" s="2149">
        <f>NormInputs!DE103</f>
        <v>2847</v>
      </c>
      <c r="DP57" s="2149">
        <f>NormInputs!DF103</f>
        <v>2758</v>
      </c>
      <c r="DQ57" s="2485">
        <f>NormInputs!DG103</f>
        <v>2673</v>
      </c>
      <c r="DR57" s="2149">
        <f>NormInputs!DH103</f>
        <v>2609</v>
      </c>
      <c r="DS57" s="2149">
        <f>NormInputs!DI103</f>
        <v>2284</v>
      </c>
      <c r="DT57" s="2149">
        <f>NormInputs!DJ103</f>
        <v>2683</v>
      </c>
      <c r="DU57" s="2149">
        <f>NormInputs!DK103</f>
        <v>2659</v>
      </c>
      <c r="DV57" s="2149">
        <f>NormInputs!DL103</f>
        <v>3705</v>
      </c>
      <c r="DW57" s="1369">
        <f>DV57+('Pension - NEW'!$O$55+'OPEB - NEW'!$O$55)/4</f>
        <v>3705</v>
      </c>
      <c r="DX57" s="1369">
        <f>DW57+('Pension - NEW'!$O$55+'OPEB - NEW'!$O$55)/4</f>
        <v>3705</v>
      </c>
      <c r="DY57" s="249">
        <f>DX57+('Pension - NEW'!$O$55+'OPEB - NEW'!$O$55)/4</f>
        <v>3705</v>
      </c>
      <c r="DZ57" s="2553"/>
    </row>
    <row r="58" spans="1:130">
      <c r="A58" s="152" t="s">
        <v>1256</v>
      </c>
      <c r="B58" s="152"/>
      <c r="C58" s="152"/>
      <c r="D58" s="87"/>
      <c r="E58" s="143"/>
      <c r="F58" s="143">
        <v>-593</v>
      </c>
      <c r="G58" s="143">
        <v>-640</v>
      </c>
      <c r="H58" s="143">
        <v>-1861</v>
      </c>
      <c r="I58" s="143">
        <v>-1182</v>
      </c>
      <c r="J58" s="143">
        <v>-218</v>
      </c>
      <c r="K58" s="143">
        <v>-115</v>
      </c>
      <c r="L58" s="143">
        <v>-142</v>
      </c>
      <c r="M58" s="143">
        <v>-353</v>
      </c>
      <c r="N58" s="143">
        <f t="shared" si="141"/>
        <v>-1871</v>
      </c>
      <c r="O58" s="143">
        <f t="shared" si="142"/>
        <v>-3489</v>
      </c>
      <c r="P58" s="143">
        <f t="shared" si="143"/>
        <v>-4839</v>
      </c>
      <c r="Q58" s="143">
        <f t="shared" si="144"/>
        <v>-5000</v>
      </c>
      <c r="R58" s="143">
        <f t="shared" si="145"/>
        <v>-5267</v>
      </c>
      <c r="S58" s="143">
        <f t="shared" si="146"/>
        <v>-5002</v>
      </c>
      <c r="T58" s="143">
        <f t="shared" si="147"/>
        <v>-4071</v>
      </c>
      <c r="U58" s="143">
        <f t="shared" si="148"/>
        <v>-3961</v>
      </c>
      <c r="V58" s="143">
        <f t="shared" si="149"/>
        <v>-3263</v>
      </c>
      <c r="W58" s="143">
        <f t="shared" si="150"/>
        <v>-7416</v>
      </c>
      <c r="X58" s="143">
        <f t="shared" si="151"/>
        <v>-7263</v>
      </c>
      <c r="Y58" s="143">
        <f t="shared" si="152"/>
        <v>-7139</v>
      </c>
      <c r="Z58" s="143">
        <f t="shared" si="153"/>
        <v>-6992</v>
      </c>
      <c r="AA58" s="185">
        <f t="shared" ref="AA58:AB59" si="163">Z58</f>
        <v>-6992</v>
      </c>
      <c r="AB58" s="185">
        <f t="shared" si="163"/>
        <v>-6992</v>
      </c>
      <c r="AC58" s="185">
        <f t="shared" ref="AC58:AC59" si="164">AB58</f>
        <v>-6992</v>
      </c>
      <c r="AD58" s="185">
        <f t="shared" ref="AD58:AD59" si="165">AC58</f>
        <v>-6992</v>
      </c>
      <c r="AE58" s="185">
        <f t="shared" ref="AE58:AE59" si="166">AD58</f>
        <v>-6992</v>
      </c>
      <c r="AF58" s="185">
        <f t="shared" ref="AF58:AF59" si="167">AE58</f>
        <v>-6992</v>
      </c>
      <c r="AG58" s="185">
        <f t="shared" ref="AG58:AG59" si="168">AF58</f>
        <v>-6992</v>
      </c>
      <c r="AH58" s="1411"/>
      <c r="AI58" s="143"/>
      <c r="AJ58" s="143"/>
      <c r="AK58" s="143"/>
      <c r="AL58" s="143"/>
      <c r="AM58" s="143"/>
      <c r="AN58" s="123"/>
      <c r="AO58" s="123"/>
      <c r="AP58" s="143"/>
      <c r="AQ58" s="143"/>
      <c r="AR58" s="143"/>
      <c r="AS58" s="143"/>
      <c r="AT58" s="143"/>
      <c r="AU58" s="143"/>
      <c r="AV58" s="143"/>
      <c r="AW58" s="143"/>
      <c r="AX58" s="143"/>
      <c r="AY58" s="143"/>
      <c r="AZ58" s="143"/>
      <c r="BA58" s="143">
        <v>-640</v>
      </c>
      <c r="BB58" s="143"/>
      <c r="BC58" s="143">
        <v>-1200</v>
      </c>
      <c r="BD58" s="143">
        <v>-2021</v>
      </c>
      <c r="BE58" s="143">
        <v>-1861</v>
      </c>
      <c r="BF58" s="143">
        <v>-1753</v>
      </c>
      <c r="BG58" s="143">
        <v>-1525</v>
      </c>
      <c r="BH58" s="143">
        <v>-1277</v>
      </c>
      <c r="BI58" s="143">
        <v>-1182</v>
      </c>
      <c r="BJ58" s="143">
        <v>-867</v>
      </c>
      <c r="BK58" s="143">
        <v>-606</v>
      </c>
      <c r="BL58" s="143">
        <v>-402</v>
      </c>
      <c r="BM58" s="143">
        <v>-218</v>
      </c>
      <c r="BN58" s="143">
        <v>-115</v>
      </c>
      <c r="BO58" s="143">
        <v>-115</v>
      </c>
      <c r="BP58" s="143">
        <v>-115</v>
      </c>
      <c r="BQ58" s="143">
        <v>-115</v>
      </c>
      <c r="BR58" s="159">
        <v>-115</v>
      </c>
      <c r="BS58" s="143">
        <v>-180</v>
      </c>
      <c r="BT58" s="143">
        <v>-168</v>
      </c>
      <c r="BU58" s="143">
        <v>-142</v>
      </c>
      <c r="BV58" s="159">
        <v>-229</v>
      </c>
      <c r="BW58" s="143">
        <v>-298</v>
      </c>
      <c r="BX58" s="143">
        <v>-303</v>
      </c>
      <c r="BY58" s="143">
        <v>-353</v>
      </c>
      <c r="BZ58" s="159">
        <f>-NormInputs!BP105</f>
        <v>-677</v>
      </c>
      <c r="CA58" s="143">
        <f>-NormInputs!BQ105</f>
        <v>-1284</v>
      </c>
      <c r="CB58" s="143">
        <f>-NormInputs!BR105</f>
        <v>-1575</v>
      </c>
      <c r="CC58" s="143">
        <f>-NormInputs!BS105</f>
        <v>-1871</v>
      </c>
      <c r="CD58" s="159">
        <f>-NormInputs!BT105</f>
        <v>-2185</v>
      </c>
      <c r="CE58" s="143">
        <f>-NormInputs!BU105</f>
        <v>-2284</v>
      </c>
      <c r="CF58" s="143">
        <f>-NormInputs!BV105</f>
        <v>-2832</v>
      </c>
      <c r="CG58" s="143">
        <f>-NormInputs!BW105</f>
        <v>-3489</v>
      </c>
      <c r="CH58" s="159">
        <f>-NormInputs!BX105</f>
        <v>-4481</v>
      </c>
      <c r="CI58" s="143">
        <f>-NormInputs!BY105</f>
        <v>-4591</v>
      </c>
      <c r="CJ58" s="143">
        <f>-NormInputs!BZ105</f>
        <v>-4841</v>
      </c>
      <c r="CK58" s="143">
        <f>-NormInputs!CA105</f>
        <v>-4839</v>
      </c>
      <c r="CL58" s="159">
        <f>-NormInputs!CB105</f>
        <v>-4837</v>
      </c>
      <c r="CM58" s="143">
        <f>-NormInputs!CC105</f>
        <v>-4836</v>
      </c>
      <c r="CN58" s="143">
        <f>-NormInputs!CD105</f>
        <v>-4834</v>
      </c>
      <c r="CO58" s="143">
        <f>-NormInputs!CE105</f>
        <v>-5000</v>
      </c>
      <c r="CP58" s="159">
        <f>-NormInputs!CF105</f>
        <v>-5277</v>
      </c>
      <c r="CQ58" s="143">
        <f>-NormInputs!CG105</f>
        <v>-5277</v>
      </c>
      <c r="CR58" s="143">
        <f>-NormInputs!CH105</f>
        <v>-5276</v>
      </c>
      <c r="CS58" s="143">
        <f>-NormInputs!CI105</f>
        <v>-5267</v>
      </c>
      <c r="CT58" s="159">
        <f>-NormInputs!CJ105</f>
        <v>-5189</v>
      </c>
      <c r="CU58" s="143">
        <f>-NormInputs!CK105</f>
        <v>-5132</v>
      </c>
      <c r="CV58" s="143">
        <f>-NormInputs!CL105</f>
        <v>-5112</v>
      </c>
      <c r="CW58" s="189">
        <f>-NormInputs!CM105</f>
        <v>-5002</v>
      </c>
      <c r="CX58" s="143">
        <f>-NormInputs!CN105</f>
        <v>-4735</v>
      </c>
      <c r="CY58" s="143">
        <f>-NormInputs!CO105</f>
        <v>-4438</v>
      </c>
      <c r="CZ58" s="143">
        <f>-NormInputs!CP105</f>
        <v>-4247</v>
      </c>
      <c r="DA58" s="143">
        <f>-NormInputs!CQ105</f>
        <v>-4071</v>
      </c>
      <c r="DB58" s="159">
        <f>-NormInputs!CR105</f>
        <v>-3994</v>
      </c>
      <c r="DC58" s="143">
        <f>-NormInputs!CS105</f>
        <v>-3974</v>
      </c>
      <c r="DD58" s="143">
        <f>-NormInputs!CT105</f>
        <v>-3970</v>
      </c>
      <c r="DE58" s="143">
        <f>-NormInputs!CU105</f>
        <v>-3961</v>
      </c>
      <c r="DF58" s="159">
        <f>-NormInputs!CV105</f>
        <v>-3794</v>
      </c>
      <c r="DG58" s="1047">
        <f>-NormInputs!CW105</f>
        <v>-3638</v>
      </c>
      <c r="DH58" s="1047">
        <f>-NormInputs!CX105</f>
        <v>-3465</v>
      </c>
      <c r="DI58" s="189">
        <f>-NormInputs!CY105</f>
        <v>-3263</v>
      </c>
      <c r="DJ58" s="159">
        <f>-NormInputs!CZ105</f>
        <v>-7093</v>
      </c>
      <c r="DK58" s="1047">
        <f>-NormInputs!DA105</f>
        <v>-7741</v>
      </c>
      <c r="DL58" s="2149">
        <f>-NormInputs!DB105</f>
        <v>-7604</v>
      </c>
      <c r="DM58" s="2485">
        <f>-NormInputs!DC105</f>
        <v>-7416</v>
      </c>
      <c r="DN58" s="2488">
        <f>-NormInputs!DD105</f>
        <v>-7279</v>
      </c>
      <c r="DO58" s="2149">
        <f>-NormInputs!DE105</f>
        <v>-7279</v>
      </c>
      <c r="DP58" s="2149">
        <f>-NormInputs!DF105</f>
        <v>-7264</v>
      </c>
      <c r="DQ58" s="2485">
        <f>-NormInputs!DG105</f>
        <v>-7263</v>
      </c>
      <c r="DR58" s="2149">
        <f>-NormInputs!DH105</f>
        <v>-7144</v>
      </c>
      <c r="DS58" s="2149">
        <f>-NormInputs!DI105</f>
        <v>-7142</v>
      </c>
      <c r="DT58" s="2149">
        <f>-NormInputs!DJ105</f>
        <v>-7141</v>
      </c>
      <c r="DU58" s="2149">
        <f>-NormInputs!DK105</f>
        <v>-7139</v>
      </c>
      <c r="DV58" s="2149">
        <f>-NormInputs!DL105</f>
        <v>-6992</v>
      </c>
      <c r="DW58" s="1369">
        <f t="shared" ref="DW58:DW59" si="169">DV58</f>
        <v>-6992</v>
      </c>
      <c r="DX58" s="1369">
        <f t="shared" ref="DX58:DX59" si="170">DW58</f>
        <v>-6992</v>
      </c>
      <c r="DY58" s="249">
        <f t="shared" ref="DY58:DY59" si="171">DX58</f>
        <v>-6992</v>
      </c>
      <c r="DZ58" s="2553"/>
    </row>
    <row r="59" spans="1:130">
      <c r="A59" s="152" t="s">
        <v>1257</v>
      </c>
      <c r="B59" s="152"/>
      <c r="C59" s="152"/>
      <c r="D59" s="152"/>
      <c r="E59" s="152"/>
      <c r="F59" s="143">
        <v>-1074</v>
      </c>
      <c r="G59" s="143">
        <v>-897</v>
      </c>
      <c r="H59" s="143">
        <v>-882</v>
      </c>
      <c r="I59" s="143">
        <v>-747</v>
      </c>
      <c r="J59" s="143">
        <v>-552</v>
      </c>
      <c r="K59" s="143">
        <v>-218</v>
      </c>
      <c r="L59" s="143">
        <v>90</v>
      </c>
      <c r="M59" s="143">
        <v>265</v>
      </c>
      <c r="N59" s="143">
        <f t="shared" si="141"/>
        <v>191</v>
      </c>
      <c r="O59" s="143">
        <f t="shared" si="142"/>
        <v>79</v>
      </c>
      <c r="P59" s="143">
        <f t="shared" si="143"/>
        <v>79</v>
      </c>
      <c r="Q59" s="143">
        <f t="shared" si="144"/>
        <v>88</v>
      </c>
      <c r="R59" s="143">
        <f t="shared" si="145"/>
        <v>200</v>
      </c>
      <c r="S59" s="143">
        <f t="shared" si="146"/>
        <v>308</v>
      </c>
      <c r="T59" s="143">
        <f t="shared" si="147"/>
        <v>440</v>
      </c>
      <c r="U59" s="143">
        <f t="shared" si="148"/>
        <v>421</v>
      </c>
      <c r="V59" s="143">
        <f t="shared" si="149"/>
        <v>424</v>
      </c>
      <c r="W59" s="143">
        <f t="shared" si="150"/>
        <v>428</v>
      </c>
      <c r="X59" s="143">
        <f t="shared" si="151"/>
        <v>449</v>
      </c>
      <c r="Y59" s="143">
        <f t="shared" si="152"/>
        <v>416</v>
      </c>
      <c r="Z59" s="143">
        <f t="shared" si="153"/>
        <v>228</v>
      </c>
      <c r="AA59" s="185">
        <f t="shared" si="163"/>
        <v>228</v>
      </c>
      <c r="AB59" s="185">
        <f t="shared" si="163"/>
        <v>228</v>
      </c>
      <c r="AC59" s="185">
        <f t="shared" si="164"/>
        <v>228</v>
      </c>
      <c r="AD59" s="185">
        <f t="shared" si="165"/>
        <v>228</v>
      </c>
      <c r="AE59" s="185">
        <f t="shared" si="166"/>
        <v>228</v>
      </c>
      <c r="AF59" s="185">
        <f t="shared" si="167"/>
        <v>228</v>
      </c>
      <c r="AG59" s="185">
        <f t="shared" si="168"/>
        <v>228</v>
      </c>
      <c r="AH59" s="1411"/>
      <c r="AI59" s="143"/>
      <c r="AJ59" s="143"/>
      <c r="AK59" s="143"/>
      <c r="AL59" s="143"/>
      <c r="AM59" s="143"/>
      <c r="AN59" s="123"/>
      <c r="AO59" s="123"/>
      <c r="AP59" s="143"/>
      <c r="AQ59" s="143"/>
      <c r="AR59" s="143"/>
      <c r="AS59" s="143"/>
      <c r="AT59" s="143"/>
      <c r="AU59" s="143"/>
      <c r="AV59" s="143"/>
      <c r="AW59" s="143"/>
      <c r="AX59" s="143"/>
      <c r="AY59" s="143"/>
      <c r="AZ59" s="143"/>
      <c r="BA59" s="143">
        <v>-897</v>
      </c>
      <c r="BB59" s="143"/>
      <c r="BC59" s="143">
        <v>-827</v>
      </c>
      <c r="BD59" s="143">
        <v>-784</v>
      </c>
      <c r="BE59" s="143">
        <v>-882</v>
      </c>
      <c r="BF59" s="143">
        <v>-832</v>
      </c>
      <c r="BG59" s="143">
        <v>-784</v>
      </c>
      <c r="BH59" s="143">
        <v>-803</v>
      </c>
      <c r="BI59" s="143">
        <v>-747</v>
      </c>
      <c r="BJ59" s="143">
        <v>-696</v>
      </c>
      <c r="BK59" s="143">
        <v>-658</v>
      </c>
      <c r="BL59" s="143">
        <v>-586</v>
      </c>
      <c r="BM59" s="143">
        <v>-552</v>
      </c>
      <c r="BN59" s="143">
        <v>-478</v>
      </c>
      <c r="BO59" s="143">
        <v>-402</v>
      </c>
      <c r="BP59" s="143">
        <v>-315</v>
      </c>
      <c r="BQ59" s="143">
        <v>-218</v>
      </c>
      <c r="BR59" s="159">
        <v>-126</v>
      </c>
      <c r="BS59" s="143">
        <v>-65</v>
      </c>
      <c r="BT59" s="143">
        <v>12</v>
      </c>
      <c r="BU59" s="143">
        <v>90</v>
      </c>
      <c r="BV59" s="159">
        <v>146</v>
      </c>
      <c r="BW59" s="143">
        <v>188</v>
      </c>
      <c r="BX59" s="143">
        <v>233</v>
      </c>
      <c r="BY59" s="143">
        <v>265</v>
      </c>
      <c r="BZ59" s="159">
        <f>-NormInputs!BP106</f>
        <v>140</v>
      </c>
      <c r="CA59" s="143">
        <f>-NormInputs!BQ106</f>
        <v>156</v>
      </c>
      <c r="CB59" s="143">
        <f>-NormInputs!BR106</f>
        <v>179</v>
      </c>
      <c r="CC59" s="143">
        <f>-NormInputs!BS106</f>
        <v>191</v>
      </c>
      <c r="CD59" s="159">
        <f>-NormInputs!BT106</f>
        <v>199</v>
      </c>
      <c r="CE59" s="143">
        <f>-NormInputs!BU106</f>
        <v>113</v>
      </c>
      <c r="CF59" s="143">
        <f>-NormInputs!BV106</f>
        <v>102</v>
      </c>
      <c r="CG59" s="143">
        <f>-NormInputs!BW106</f>
        <v>79</v>
      </c>
      <c r="CH59" s="159">
        <f>-NormInputs!BX106</f>
        <v>80</v>
      </c>
      <c r="CI59" s="143">
        <f>-NormInputs!BY106</f>
        <v>82</v>
      </c>
      <c r="CJ59" s="143">
        <f>-NormInputs!BZ106</f>
        <v>85</v>
      </c>
      <c r="CK59" s="143">
        <f>-NormInputs!CA106</f>
        <v>79</v>
      </c>
      <c r="CL59" s="159">
        <f>-NormInputs!CB106</f>
        <v>82</v>
      </c>
      <c r="CM59" s="143">
        <f>-NormInputs!CC106</f>
        <v>86</v>
      </c>
      <c r="CN59" s="143">
        <f>-NormInputs!CD106</f>
        <v>90</v>
      </c>
      <c r="CO59" s="143">
        <f>-NormInputs!CE106</f>
        <v>88</v>
      </c>
      <c r="CP59" s="159">
        <f>-NormInputs!CF106</f>
        <v>118</v>
      </c>
      <c r="CQ59" s="143">
        <f>-NormInputs!CG106</f>
        <v>149</v>
      </c>
      <c r="CR59" s="143">
        <f>-NormInputs!CH106</f>
        <v>189</v>
      </c>
      <c r="CS59" s="143">
        <f>-NormInputs!CI106</f>
        <v>200</v>
      </c>
      <c r="CT59" s="159">
        <f>-NormInputs!CJ106</f>
        <v>246</v>
      </c>
      <c r="CU59" s="143">
        <f>-NormInputs!CK106</f>
        <v>259</v>
      </c>
      <c r="CV59" s="143">
        <f>-NormInputs!CL106</f>
        <v>298</v>
      </c>
      <c r="CW59" s="189">
        <f>-NormInputs!CM106</f>
        <v>308</v>
      </c>
      <c r="CX59" s="143">
        <f>-NormInputs!CN106</f>
        <v>341</v>
      </c>
      <c r="CY59" s="143">
        <f>-NormInputs!CO106</f>
        <v>367</v>
      </c>
      <c r="CZ59" s="143">
        <f>-NormInputs!CP106</f>
        <v>411</v>
      </c>
      <c r="DA59" s="143">
        <f>-NormInputs!CQ106</f>
        <v>440</v>
      </c>
      <c r="DB59" s="159">
        <f>-NormInputs!CR106</f>
        <v>312</v>
      </c>
      <c r="DC59" s="143">
        <f>-NormInputs!CS106</f>
        <v>332</v>
      </c>
      <c r="DD59" s="143">
        <f>-NormInputs!CT106</f>
        <v>390</v>
      </c>
      <c r="DE59" s="143">
        <f>-NormInputs!CU106</f>
        <v>421</v>
      </c>
      <c r="DF59" s="159">
        <f>-NormInputs!CV106</f>
        <v>281</v>
      </c>
      <c r="DG59" s="1047">
        <f>-NormInputs!CW106</f>
        <v>338</v>
      </c>
      <c r="DH59" s="1047">
        <f>-NormInputs!CX106</f>
        <v>390</v>
      </c>
      <c r="DI59" s="189">
        <f>-NormInputs!CY106</f>
        <v>424</v>
      </c>
      <c r="DJ59" s="159">
        <f>-NormInputs!CZ106</f>
        <v>279</v>
      </c>
      <c r="DK59" s="1047">
        <f>-NormInputs!DA106</f>
        <v>326</v>
      </c>
      <c r="DL59" s="2149">
        <f>-NormInputs!DB106</f>
        <v>378</v>
      </c>
      <c r="DM59" s="2485">
        <f>-NormInputs!DC106</f>
        <v>428</v>
      </c>
      <c r="DN59" s="2488">
        <f>-NormInputs!DD106</f>
        <v>593</v>
      </c>
      <c r="DO59" s="2149">
        <f>-NormInputs!DE106</f>
        <v>408</v>
      </c>
      <c r="DP59" s="2149">
        <f>-NormInputs!DF106</f>
        <v>445</v>
      </c>
      <c r="DQ59" s="2485">
        <f>-NormInputs!DG106</f>
        <v>449</v>
      </c>
      <c r="DR59" s="2149">
        <f>-NormInputs!DH106</f>
        <v>290</v>
      </c>
      <c r="DS59" s="2149">
        <f>-NormInputs!DI106</f>
        <v>365</v>
      </c>
      <c r="DT59" s="2149">
        <f>-NormInputs!DJ106</f>
        <v>411</v>
      </c>
      <c r="DU59" s="2149">
        <f>-NormInputs!DK106</f>
        <v>416</v>
      </c>
      <c r="DV59" s="2149">
        <f>-NormInputs!DL106</f>
        <v>228</v>
      </c>
      <c r="DW59" s="1369">
        <f t="shared" si="169"/>
        <v>228</v>
      </c>
      <c r="DX59" s="1369">
        <f t="shared" si="170"/>
        <v>228</v>
      </c>
      <c r="DY59" s="249">
        <f t="shared" si="171"/>
        <v>228</v>
      </c>
      <c r="DZ59" s="1047"/>
    </row>
    <row r="60" spans="1:130">
      <c r="A60" s="91" t="s">
        <v>1258</v>
      </c>
      <c r="B60" s="91"/>
      <c r="C60" s="91"/>
      <c r="D60" s="91"/>
      <c r="E60" s="149"/>
      <c r="F60" s="149">
        <v>2490</v>
      </c>
      <c r="G60" s="149">
        <v>1900</v>
      </c>
      <c r="H60" s="149">
        <v>21830</v>
      </c>
      <c r="I60" s="149">
        <v>22149</v>
      </c>
      <c r="J60" s="149">
        <v>24057</v>
      </c>
      <c r="K60" s="149">
        <v>24348</v>
      </c>
      <c r="L60" s="149">
        <v>25053</v>
      </c>
      <c r="M60" s="149">
        <v>26754</v>
      </c>
      <c r="N60" s="149">
        <f t="shared" si="141"/>
        <v>28337</v>
      </c>
      <c r="O60" s="149">
        <f t="shared" si="142"/>
        <v>32288</v>
      </c>
      <c r="P60" s="149">
        <f t="shared" si="143"/>
        <v>37199</v>
      </c>
      <c r="Q60" s="149">
        <f t="shared" si="144"/>
        <v>42761</v>
      </c>
      <c r="R60" s="149">
        <f t="shared" si="145"/>
        <v>48343</v>
      </c>
      <c r="S60" s="149">
        <f t="shared" si="146"/>
        <v>49938</v>
      </c>
      <c r="T60" s="149">
        <f t="shared" si="147"/>
        <v>52376</v>
      </c>
      <c r="U60" s="149">
        <f t="shared" si="148"/>
        <v>56580</v>
      </c>
      <c r="V60" s="149">
        <f t="shared" si="149"/>
        <v>1378</v>
      </c>
      <c r="W60" s="149">
        <f t="shared" si="150"/>
        <v>1414</v>
      </c>
      <c r="X60" s="149">
        <f t="shared" si="151"/>
        <v>1508</v>
      </c>
      <c r="Y60" s="149">
        <f t="shared" si="152"/>
        <v>1591</v>
      </c>
      <c r="Z60" s="149">
        <f t="shared" si="153"/>
        <v>1327</v>
      </c>
      <c r="AA60" s="267">
        <f>Z60-IS!AA84+CFS!AA55+CFS!AA56</f>
        <v>1011</v>
      </c>
      <c r="AB60" s="267">
        <f>AA60-IS!AB84+CFS!AB55+CFS!AB56</f>
        <v>695</v>
      </c>
      <c r="AC60" s="267">
        <f>AB60-IS!AC84+CFS!AC55+CFS!AC56</f>
        <v>379</v>
      </c>
      <c r="AD60" s="267">
        <f>AC60-IS!AD84+CFS!AD55+CFS!AD56</f>
        <v>63</v>
      </c>
      <c r="AE60" s="267">
        <f>AD60-IS!AE84+CFS!AE55+CFS!AE56</f>
        <v>-253</v>
      </c>
      <c r="AF60" s="267">
        <f>AE60-IS!AF84+CFS!AF55+CFS!AF56</f>
        <v>-569</v>
      </c>
      <c r="AG60" s="267">
        <f>AF60-IS!AG84+CFS!AG55+CFS!AG56</f>
        <v>-885</v>
      </c>
      <c r="AH60" s="1411"/>
      <c r="AI60" s="149"/>
      <c r="AJ60" s="149"/>
      <c r="AK60" s="149"/>
      <c r="AL60" s="149"/>
      <c r="AM60" s="143"/>
      <c r="AN60" s="123"/>
      <c r="AO60" s="123"/>
      <c r="AP60" s="149"/>
      <c r="AQ60" s="149"/>
      <c r="AR60" s="149"/>
      <c r="AS60" s="149"/>
      <c r="AT60" s="149"/>
      <c r="AU60" s="149"/>
      <c r="AV60" s="149"/>
      <c r="AW60" s="149"/>
      <c r="AX60" s="149"/>
      <c r="AY60" s="149"/>
      <c r="AZ60" s="149"/>
      <c r="BA60" s="149">
        <v>1900</v>
      </c>
      <c r="BB60" s="149"/>
      <c r="BC60" s="149">
        <v>24638</v>
      </c>
      <c r="BD60" s="149">
        <v>21970</v>
      </c>
      <c r="BE60" s="149">
        <v>21830</v>
      </c>
      <c r="BF60" s="149">
        <v>21701</v>
      </c>
      <c r="BG60" s="149">
        <v>21739</v>
      </c>
      <c r="BH60" s="149">
        <v>21899</v>
      </c>
      <c r="BI60" s="149">
        <v>22149</v>
      </c>
      <c r="BJ60" s="149">
        <v>22294</v>
      </c>
      <c r="BK60" s="149">
        <v>22657</v>
      </c>
      <c r="BL60" s="149">
        <v>23708</v>
      </c>
      <c r="BM60" s="149">
        <v>24057</v>
      </c>
      <c r="BN60" s="149">
        <v>23740</v>
      </c>
      <c r="BO60" s="149">
        <v>24055</v>
      </c>
      <c r="BP60" s="149">
        <v>23968</v>
      </c>
      <c r="BQ60" s="149">
        <v>24348</v>
      </c>
      <c r="BR60" s="150">
        <v>24184</v>
      </c>
      <c r="BS60" s="149">
        <v>24821</v>
      </c>
      <c r="BT60" s="149">
        <v>24588</v>
      </c>
      <c r="BU60" s="149">
        <v>25053</v>
      </c>
      <c r="BV60" s="150">
        <v>24754</v>
      </c>
      <c r="BW60" s="149">
        <v>25353</v>
      </c>
      <c r="BX60" s="149">
        <v>25973</v>
      </c>
      <c r="BY60" s="149">
        <v>26754</v>
      </c>
      <c r="BZ60" s="150">
        <f>NormInputs!BP97</f>
        <v>27378</v>
      </c>
      <c r="CA60" s="149">
        <f>NormInputs!BQ97</f>
        <v>27745</v>
      </c>
      <c r="CB60" s="149">
        <f>NormInputs!BR97</f>
        <v>27523</v>
      </c>
      <c r="CC60" s="149">
        <f>NormInputs!BS97</f>
        <v>28337</v>
      </c>
      <c r="CD60" s="150">
        <f>NormInputs!BT97</f>
        <v>29237</v>
      </c>
      <c r="CE60" s="149">
        <f>NormInputs!BU97</f>
        <v>30201</v>
      </c>
      <c r="CF60" s="149">
        <f>NormInputs!BV97</f>
        <v>31234</v>
      </c>
      <c r="CG60" s="149">
        <f>NormInputs!BW97</f>
        <v>32288</v>
      </c>
      <c r="CH60" s="150">
        <f>NormInputs!BX97</f>
        <v>33399</v>
      </c>
      <c r="CI60" s="149">
        <f>NormInputs!BY97</f>
        <v>34633</v>
      </c>
      <c r="CJ60" s="149">
        <f>NormInputs!BZ97</f>
        <v>35892</v>
      </c>
      <c r="CK60" s="149">
        <f>NormInputs!CA97</f>
        <v>37199</v>
      </c>
      <c r="CL60" s="150">
        <f>NormInputs!CB97</f>
        <v>38703</v>
      </c>
      <c r="CM60" s="149">
        <f>NormInputs!CC97</f>
        <v>40149</v>
      </c>
      <c r="CN60" s="149">
        <f>NormInputs!CD97</f>
        <v>41396</v>
      </c>
      <c r="CO60" s="149">
        <f>NormInputs!CE97</f>
        <v>42761</v>
      </c>
      <c r="CP60" s="150">
        <f>NormInputs!CF97</f>
        <v>44190</v>
      </c>
      <c r="CQ60" s="149">
        <f>NormInputs!CG97</f>
        <v>45219</v>
      </c>
      <c r="CR60" s="149">
        <f>NormInputs!CH97</f>
        <v>46707</v>
      </c>
      <c r="CS60" s="149">
        <f>NormInputs!CI97</f>
        <v>48343</v>
      </c>
      <c r="CT60" s="150">
        <f>NormInputs!CJ97</f>
        <v>49876</v>
      </c>
      <c r="CU60" s="149">
        <f>NormInputs!CK97</f>
        <v>51364</v>
      </c>
      <c r="CV60" s="149">
        <f>NormInputs!CL97</f>
        <v>48464</v>
      </c>
      <c r="CW60" s="155">
        <f>NormInputs!CM97</f>
        <v>49938</v>
      </c>
      <c r="CX60" s="149">
        <f>NormInputs!CN97</f>
        <v>51750</v>
      </c>
      <c r="CY60" s="149">
        <f>NormInputs!CO97</f>
        <v>53278</v>
      </c>
      <c r="CZ60" s="149">
        <f>NormInputs!CP97</f>
        <v>54983</v>
      </c>
      <c r="DA60" s="149">
        <f>NormInputs!CQ97</f>
        <v>52376</v>
      </c>
      <c r="DB60" s="150">
        <f>NormInputs!CR97</f>
        <v>54278</v>
      </c>
      <c r="DC60" s="149">
        <f>NormInputs!CS97</f>
        <v>53095</v>
      </c>
      <c r="DD60" s="149">
        <f>NormInputs!CT97</f>
        <v>55280</v>
      </c>
      <c r="DE60" s="149">
        <f>NormInputs!CU97</f>
        <v>56580</v>
      </c>
      <c r="DF60" s="150">
        <f>NormInputs!CV97</f>
        <v>1140</v>
      </c>
      <c r="DG60" s="1113">
        <f>NormInputs!CW97</f>
        <v>1111</v>
      </c>
      <c r="DH60" s="1113">
        <f>NormInputs!CX97</f>
        <v>1391</v>
      </c>
      <c r="DI60" s="155">
        <f>NormInputs!CY97</f>
        <v>1378</v>
      </c>
      <c r="DJ60" s="150">
        <f>NormInputs!CZ97</f>
        <v>1420</v>
      </c>
      <c r="DK60" s="1113">
        <f>NormInputs!DA97</f>
        <v>1459</v>
      </c>
      <c r="DL60" s="2150">
        <f>NormInputs!DB97</f>
        <v>1404</v>
      </c>
      <c r="DM60" s="2477">
        <f>NormInputs!DC97</f>
        <v>1414</v>
      </c>
      <c r="DN60" s="2489">
        <f>NormInputs!DD97</f>
        <v>1462</v>
      </c>
      <c r="DO60" s="2150">
        <f>NormInputs!DE97</f>
        <v>1500</v>
      </c>
      <c r="DP60" s="2150">
        <f>NormInputs!DF97</f>
        <v>1523</v>
      </c>
      <c r="DQ60" s="2477">
        <f>NormInputs!DG97</f>
        <v>1508</v>
      </c>
      <c r="DR60" s="2150">
        <f>NormInputs!DH97</f>
        <v>1544</v>
      </c>
      <c r="DS60" s="2150">
        <f>NormInputs!DI97</f>
        <v>1572</v>
      </c>
      <c r="DT60" s="2150">
        <f>NormInputs!DJ97</f>
        <v>1603</v>
      </c>
      <c r="DU60" s="2150">
        <f>NormInputs!DK97</f>
        <v>1591</v>
      </c>
      <c r="DV60" s="2150">
        <f>NormInputs!DL97</f>
        <v>1564</v>
      </c>
      <c r="DW60" s="1113">
        <f>DV60-IS!DT84+CFS!DW55+CFS!DW56</f>
        <v>1485</v>
      </c>
      <c r="DX60" s="1113">
        <f>DW60-IS!DU84+CFS!DX55+CFS!DX56</f>
        <v>1406</v>
      </c>
      <c r="DY60" s="155">
        <f>DX60-IS!DV84+CFS!DY55+CFS!DY56</f>
        <v>1327</v>
      </c>
      <c r="DZ60" s="1047"/>
    </row>
    <row r="61" spans="1:130">
      <c r="A61" s="91" t="s">
        <v>1259</v>
      </c>
      <c r="B61" s="91"/>
      <c r="C61" s="91"/>
      <c r="D61" s="91"/>
      <c r="E61" s="149"/>
      <c r="F61" s="149">
        <v>23925</v>
      </c>
      <c r="G61" s="149">
        <v>28276</v>
      </c>
      <c r="H61" s="149">
        <v>56408</v>
      </c>
      <c r="I61" s="149">
        <v>54688</v>
      </c>
      <c r="J61" s="149">
        <v>56673</v>
      </c>
      <c r="K61" s="149">
        <v>57814</v>
      </c>
      <c r="L61" s="149">
        <v>62613</v>
      </c>
      <c r="M61" s="149">
        <v>66434</v>
      </c>
      <c r="N61" s="149">
        <f t="shared" ref="N61:V61" si="172">SUM(N54:N60)</f>
        <v>76338</v>
      </c>
      <c r="O61" s="149">
        <f t="shared" si="172"/>
        <v>82869</v>
      </c>
      <c r="P61" s="149">
        <f t="shared" si="172"/>
        <v>78905</v>
      </c>
      <c r="Q61" s="149">
        <f t="shared" si="172"/>
        <v>84367</v>
      </c>
      <c r="R61" s="149">
        <f t="shared" si="172"/>
        <v>86912</v>
      </c>
      <c r="S61" s="149">
        <f t="shared" si="172"/>
        <v>85908</v>
      </c>
      <c r="T61" s="149">
        <f t="shared" si="172"/>
        <v>85533</v>
      </c>
      <c r="U61" s="149">
        <f t="shared" si="172"/>
        <v>95416</v>
      </c>
      <c r="V61" s="149">
        <f t="shared" si="172"/>
        <v>13676</v>
      </c>
      <c r="W61" s="149">
        <f t="shared" ref="W61:AB61" si="173">SUM(W54:W60)</f>
        <v>17842</v>
      </c>
      <c r="X61" s="149">
        <f t="shared" si="173"/>
        <v>24032</v>
      </c>
      <c r="Y61" s="149">
        <f t="shared" si="173"/>
        <v>44687</v>
      </c>
      <c r="Z61" s="149">
        <f t="shared" ca="1" si="173"/>
        <v>58637.962899655242</v>
      </c>
      <c r="AA61" s="149">
        <f t="shared" ca="1" si="173"/>
        <v>67389.134074405971</v>
      </c>
      <c r="AB61" s="149">
        <f t="shared" ca="1" si="173"/>
        <v>76781.484815579242</v>
      </c>
      <c r="AC61" s="149">
        <f t="shared" ref="AC61:AG61" ca="1" si="174">SUM(AC54:AC60)</f>
        <v>86791.048101864493</v>
      </c>
      <c r="AD61" s="149">
        <f t="shared" ca="1" si="174"/>
        <v>97500.930409679189</v>
      </c>
      <c r="AE61" s="149">
        <f t="shared" ca="1" si="174"/>
        <v>108972.29015296418</v>
      </c>
      <c r="AF61" s="149">
        <f t="shared" ca="1" si="174"/>
        <v>121271.67173811111</v>
      </c>
      <c r="AG61" s="149">
        <f t="shared" ca="1" si="174"/>
        <v>134442.54203856952</v>
      </c>
      <c r="AH61" s="1411"/>
      <c r="AI61" s="91"/>
      <c r="AJ61" s="91"/>
      <c r="AK61" s="91"/>
      <c r="AL61" s="91"/>
      <c r="AM61" s="143"/>
      <c r="AN61" s="123"/>
      <c r="AO61" s="123"/>
      <c r="AP61" s="91"/>
      <c r="AQ61" s="91"/>
      <c r="AR61" s="91"/>
      <c r="AS61" s="91"/>
      <c r="AT61" s="91"/>
      <c r="AU61" s="91"/>
      <c r="AV61" s="91"/>
      <c r="AW61" s="91"/>
      <c r="AX61" s="149"/>
      <c r="AY61" s="149"/>
      <c r="AZ61" s="149"/>
      <c r="BA61" s="149">
        <v>28276</v>
      </c>
      <c r="BB61" s="149">
        <v>9323</v>
      </c>
      <c r="BC61" s="149">
        <v>59665</v>
      </c>
      <c r="BD61" s="149">
        <v>56452</v>
      </c>
      <c r="BE61" s="149">
        <v>56408</v>
      </c>
      <c r="BF61" s="149">
        <v>56399</v>
      </c>
      <c r="BG61" s="149">
        <v>56648</v>
      </c>
      <c r="BH61" s="149">
        <v>56735</v>
      </c>
      <c r="BI61" s="149">
        <v>54688</v>
      </c>
      <c r="BJ61" s="149">
        <v>53301</v>
      </c>
      <c r="BK61" s="149">
        <v>51299</v>
      </c>
      <c r="BL61" s="149">
        <v>55553</v>
      </c>
      <c r="BM61" s="149">
        <v>56673</v>
      </c>
      <c r="BN61" s="149">
        <v>58009</v>
      </c>
      <c r="BO61" s="149">
        <v>58280</v>
      </c>
      <c r="BP61" s="149">
        <v>59104</v>
      </c>
      <c r="BQ61" s="149">
        <v>57814</v>
      </c>
      <c r="BR61" s="150">
        <v>57679</v>
      </c>
      <c r="BS61" s="149">
        <v>58920</v>
      </c>
      <c r="BT61" s="149">
        <v>59762</v>
      </c>
      <c r="BU61" s="149">
        <v>62613</v>
      </c>
      <c r="BV61" s="150">
        <v>62734</v>
      </c>
      <c r="BW61" s="149">
        <v>63907</v>
      </c>
      <c r="BX61" s="149">
        <v>65196</v>
      </c>
      <c r="BY61" s="149">
        <v>66434</v>
      </c>
      <c r="BZ61" s="150">
        <f t="shared" ref="BZ61:DF61" si="175">SUM(BZ54:BZ60)</f>
        <v>72149</v>
      </c>
      <c r="CA61" s="149">
        <f t="shared" si="175"/>
        <v>72524</v>
      </c>
      <c r="CB61" s="149">
        <f t="shared" si="175"/>
        <v>73802</v>
      </c>
      <c r="CC61" s="149">
        <f t="shared" si="175"/>
        <v>76338</v>
      </c>
      <c r="CD61" s="150">
        <f t="shared" si="175"/>
        <v>78019</v>
      </c>
      <c r="CE61" s="149">
        <f t="shared" si="175"/>
        <v>80032</v>
      </c>
      <c r="CF61" s="149">
        <f t="shared" si="175"/>
        <v>80923</v>
      </c>
      <c r="CG61" s="149">
        <f t="shared" si="175"/>
        <v>82869</v>
      </c>
      <c r="CH61" s="150">
        <f t="shared" si="175"/>
        <v>83679</v>
      </c>
      <c r="CI61" s="149">
        <f t="shared" si="175"/>
        <v>85520</v>
      </c>
      <c r="CJ61" s="149">
        <f t="shared" si="175"/>
        <v>86846</v>
      </c>
      <c r="CK61" s="149">
        <f t="shared" si="175"/>
        <v>78905</v>
      </c>
      <c r="CL61" s="150">
        <f t="shared" si="175"/>
        <v>80554</v>
      </c>
      <c r="CM61" s="149">
        <f t="shared" si="175"/>
        <v>82821</v>
      </c>
      <c r="CN61" s="149">
        <f t="shared" si="175"/>
        <v>84582</v>
      </c>
      <c r="CO61" s="149">
        <f t="shared" si="175"/>
        <v>84367</v>
      </c>
      <c r="CP61" s="150">
        <f t="shared" si="175"/>
        <v>84652</v>
      </c>
      <c r="CQ61" s="149">
        <f t="shared" si="175"/>
        <v>84473</v>
      </c>
      <c r="CR61" s="149">
        <f t="shared" si="175"/>
        <v>84624</v>
      </c>
      <c r="CS61" s="149">
        <f t="shared" si="175"/>
        <v>86912</v>
      </c>
      <c r="CT61" s="150">
        <f t="shared" si="175"/>
        <v>88864</v>
      </c>
      <c r="CU61" s="149">
        <f t="shared" si="175"/>
        <v>90712</v>
      </c>
      <c r="CV61" s="149">
        <f t="shared" si="175"/>
        <v>87515</v>
      </c>
      <c r="CW61" s="155">
        <f t="shared" si="175"/>
        <v>85908</v>
      </c>
      <c r="CX61" s="149">
        <f t="shared" si="175"/>
        <v>88421</v>
      </c>
      <c r="CY61" s="149">
        <f t="shared" si="175"/>
        <v>90428</v>
      </c>
      <c r="CZ61" s="149">
        <f t="shared" si="175"/>
        <v>92628</v>
      </c>
      <c r="DA61" s="149">
        <f t="shared" si="175"/>
        <v>85533</v>
      </c>
      <c r="DB61" s="150">
        <f t="shared" si="175"/>
        <v>87588</v>
      </c>
      <c r="DC61" s="149">
        <f t="shared" si="175"/>
        <v>87156</v>
      </c>
      <c r="DD61" s="149">
        <f t="shared" si="175"/>
        <v>90265</v>
      </c>
      <c r="DE61" s="149">
        <f t="shared" si="175"/>
        <v>95416</v>
      </c>
      <c r="DF61" s="150">
        <f t="shared" si="175"/>
        <v>13851</v>
      </c>
      <c r="DG61" s="1113">
        <f>SUM(DG54:DG60)</f>
        <v>16012</v>
      </c>
      <c r="DH61" s="1113">
        <f>SUM(DH54:DH60)</f>
        <v>17968</v>
      </c>
      <c r="DI61" s="155">
        <f>SUM(DI54:DI60)</f>
        <v>13676</v>
      </c>
      <c r="DJ61" s="150">
        <f t="shared" ref="DJ61:DM61" si="176">SUM(DJ54:DJ60)</f>
        <v>10759</v>
      </c>
      <c r="DK61" s="1113">
        <f t="shared" si="176"/>
        <v>12874</v>
      </c>
      <c r="DL61" s="1113">
        <f t="shared" si="176"/>
        <v>14542</v>
      </c>
      <c r="DM61" s="155">
        <f t="shared" si="176"/>
        <v>17842</v>
      </c>
      <c r="DN61" s="150">
        <f t="shared" ref="DN61:DO61" si="177">SUM(DN54:DN60)</f>
        <v>20103</v>
      </c>
      <c r="DO61" s="1113">
        <f t="shared" si="177"/>
        <v>20744</v>
      </c>
      <c r="DP61" s="1113">
        <f t="shared" ref="DP61:DQ61" si="178">SUM(DP54:DP60)</f>
        <v>21983</v>
      </c>
      <c r="DQ61" s="155">
        <f t="shared" si="178"/>
        <v>24032</v>
      </c>
      <c r="DR61" s="1113">
        <f t="shared" ref="DR61:DS61" si="179">SUM(DR54:DR60)</f>
        <v>25037</v>
      </c>
      <c r="DS61" s="1113">
        <f t="shared" si="179"/>
        <v>26761</v>
      </c>
      <c r="DT61" s="1113">
        <f t="shared" ref="DT61:DU61" si="180">SUM(DT54:DT60)</f>
        <v>28451</v>
      </c>
      <c r="DU61" s="1113">
        <f t="shared" si="180"/>
        <v>44687</v>
      </c>
      <c r="DV61" s="1113">
        <f t="shared" ref="DV61" si="181">SUM(DV54:DV60)</f>
        <v>52345</v>
      </c>
      <c r="DW61" s="1113">
        <f t="shared" ref="DW61:DY61" ca="1" si="182">SUM(DW54:DW60)</f>
        <v>54625.818995844245</v>
      </c>
      <c r="DX61" s="1113">
        <f t="shared" ca="1" si="182"/>
        <v>57064.594036110335</v>
      </c>
      <c r="DY61" s="155">
        <f t="shared" ca="1" si="182"/>
        <v>58637.962899655242</v>
      </c>
      <c r="DZ61" s="1047"/>
    </row>
    <row r="62" spans="1:130">
      <c r="A62" s="91" t="s">
        <v>1260</v>
      </c>
      <c r="B62" s="91"/>
      <c r="C62" s="91"/>
      <c r="D62" s="91"/>
      <c r="E62" s="149"/>
      <c r="F62" s="149">
        <v>98164</v>
      </c>
      <c r="G62" s="149">
        <v>112830</v>
      </c>
      <c r="H62" s="149">
        <v>164735</v>
      </c>
      <c r="I62" s="149">
        <v>170795</v>
      </c>
      <c r="J62" s="149">
        <v>167468</v>
      </c>
      <c r="K62" s="149">
        <v>165968</v>
      </c>
      <c r="L62" s="149">
        <v>165958</v>
      </c>
      <c r="M62" s="149">
        <v>168130</v>
      </c>
      <c r="N62" s="149">
        <f t="shared" ref="N62:V62" si="183">N61+N50</f>
        <v>188804</v>
      </c>
      <c r="O62" s="149">
        <f t="shared" si="183"/>
        <v>186959</v>
      </c>
      <c r="P62" s="149">
        <f t="shared" si="183"/>
        <v>202352</v>
      </c>
      <c r="Q62" s="149">
        <f t="shared" si="183"/>
        <v>227251</v>
      </c>
      <c r="R62" s="149">
        <f t="shared" si="183"/>
        <v>220005</v>
      </c>
      <c r="S62" s="149">
        <f t="shared" si="183"/>
        <v>230461</v>
      </c>
      <c r="T62" s="149">
        <f t="shared" si="183"/>
        <v>225222</v>
      </c>
      <c r="U62" s="149">
        <f t="shared" si="183"/>
        <v>274098</v>
      </c>
      <c r="V62" s="149">
        <f t="shared" si="183"/>
        <v>232708</v>
      </c>
      <c r="W62" s="149">
        <f t="shared" ref="W62:AB62" si="184">W61+W50</f>
        <v>244640</v>
      </c>
      <c r="X62" s="149">
        <f t="shared" si="184"/>
        <v>244180</v>
      </c>
      <c r="Y62" s="149">
        <f t="shared" si="184"/>
        <v>257143</v>
      </c>
      <c r="Z62" s="149">
        <f t="shared" ca="1" si="184"/>
        <v>277564.2022843</v>
      </c>
      <c r="AA62" s="149">
        <f t="shared" ca="1" si="184"/>
        <v>287631.52238322538</v>
      </c>
      <c r="AB62" s="149">
        <f t="shared" ca="1" si="184"/>
        <v>298535.60244810156</v>
      </c>
      <c r="AC62" s="149">
        <f t="shared" ref="AC62:AG62" ca="1" si="185">AC61+AC50</f>
        <v>311606.30722589826</v>
      </c>
      <c r="AD62" s="149">
        <f t="shared" ca="1" si="185"/>
        <v>325348.04209286463</v>
      </c>
      <c r="AE62" s="149">
        <f t="shared" ca="1" si="185"/>
        <v>339821.68540570652</v>
      </c>
      <c r="AF62" s="149">
        <f t="shared" ca="1" si="185"/>
        <v>355093.58475880569</v>
      </c>
      <c r="AG62" s="149">
        <f t="shared" ca="1" si="185"/>
        <v>371206.85648913635</v>
      </c>
      <c r="AH62" s="1411"/>
      <c r="AI62" s="91"/>
      <c r="AJ62" s="91"/>
      <c r="AK62" s="91"/>
      <c r="AL62" s="91"/>
      <c r="AM62" s="143"/>
      <c r="AN62" s="123"/>
      <c r="AO62" s="123"/>
      <c r="AP62" s="91"/>
      <c r="AQ62" s="91"/>
      <c r="AR62" s="91"/>
      <c r="AS62" s="91"/>
      <c r="AT62" s="91"/>
      <c r="AU62" s="91"/>
      <c r="AV62" s="91"/>
      <c r="AW62" s="91"/>
      <c r="AX62" s="149"/>
      <c r="AY62" s="149"/>
      <c r="AZ62" s="149"/>
      <c r="BA62" s="149">
        <v>112830</v>
      </c>
      <c r="BB62" s="149">
        <v>9323</v>
      </c>
      <c r="BC62" s="149">
        <v>161013</v>
      </c>
      <c r="BD62" s="149">
        <v>157528</v>
      </c>
      <c r="BE62" s="149">
        <v>164735</v>
      </c>
      <c r="BF62" s="149">
        <v>167798</v>
      </c>
      <c r="BG62" s="149">
        <v>170173</v>
      </c>
      <c r="BH62" s="149">
        <v>169503</v>
      </c>
      <c r="BI62" s="149">
        <v>170795</v>
      </c>
      <c r="BJ62" s="149">
        <v>170091</v>
      </c>
      <c r="BK62" s="149">
        <v>167127</v>
      </c>
      <c r="BL62" s="149">
        <v>168008</v>
      </c>
      <c r="BM62" s="149">
        <v>167468</v>
      </c>
      <c r="BN62" s="149">
        <v>170731</v>
      </c>
      <c r="BO62" s="149">
        <v>167626</v>
      </c>
      <c r="BP62" s="149">
        <v>165006</v>
      </c>
      <c r="BQ62" s="149">
        <v>165968</v>
      </c>
      <c r="BR62" s="150">
        <v>163428</v>
      </c>
      <c r="BS62" s="149">
        <v>162438</v>
      </c>
      <c r="BT62" s="149">
        <v>162897</v>
      </c>
      <c r="BU62" s="149">
        <v>165958</v>
      </c>
      <c r="BV62" s="150">
        <v>164882</v>
      </c>
      <c r="BW62" s="149">
        <v>169377</v>
      </c>
      <c r="BX62" s="149">
        <v>168301</v>
      </c>
      <c r="BY62" s="149">
        <v>168130</v>
      </c>
      <c r="BZ62" s="150">
        <f t="shared" ref="BZ62:DF62" si="186">BZ61+BZ50</f>
        <v>182814</v>
      </c>
      <c r="CA62" s="149">
        <f t="shared" si="186"/>
        <v>183843</v>
      </c>
      <c r="CB62" s="149">
        <f t="shared" si="186"/>
        <v>185679</v>
      </c>
      <c r="CC62" s="149">
        <f t="shared" si="186"/>
        <v>188804</v>
      </c>
      <c r="CD62" s="150">
        <f t="shared" si="186"/>
        <v>184284</v>
      </c>
      <c r="CE62" s="149">
        <f t="shared" si="186"/>
        <v>184760</v>
      </c>
      <c r="CF62" s="149">
        <f t="shared" si="186"/>
        <v>185619</v>
      </c>
      <c r="CG62" s="149">
        <f t="shared" si="186"/>
        <v>186959</v>
      </c>
      <c r="CH62" s="150">
        <f t="shared" si="186"/>
        <v>191293</v>
      </c>
      <c r="CI62" s="149">
        <f t="shared" si="186"/>
        <v>200646</v>
      </c>
      <c r="CJ62" s="149">
        <f t="shared" si="186"/>
        <v>204861</v>
      </c>
      <c r="CK62" s="149">
        <f t="shared" si="186"/>
        <v>202352</v>
      </c>
      <c r="CL62" s="150">
        <f t="shared" si="186"/>
        <v>226851</v>
      </c>
      <c r="CM62" s="149">
        <f t="shared" si="186"/>
        <v>224999</v>
      </c>
      <c r="CN62" s="149">
        <f t="shared" si="186"/>
        <v>226404</v>
      </c>
      <c r="CO62" s="149">
        <f t="shared" si="186"/>
        <v>227251</v>
      </c>
      <c r="CP62" s="150">
        <f t="shared" si="186"/>
        <v>227347</v>
      </c>
      <c r="CQ62" s="149">
        <f t="shared" si="186"/>
        <v>226251</v>
      </c>
      <c r="CR62" s="149">
        <f t="shared" si="186"/>
        <v>220852</v>
      </c>
      <c r="CS62" s="149">
        <f t="shared" si="186"/>
        <v>220005</v>
      </c>
      <c r="CT62" s="150">
        <f t="shared" si="186"/>
        <v>228108</v>
      </c>
      <c r="CU62" s="149">
        <f t="shared" si="186"/>
        <v>223756</v>
      </c>
      <c r="CV62" s="149">
        <f t="shared" si="186"/>
        <v>228032</v>
      </c>
      <c r="CW62" s="155">
        <f t="shared" si="186"/>
        <v>230461</v>
      </c>
      <c r="CX62" s="149">
        <f t="shared" si="186"/>
        <v>222921</v>
      </c>
      <c r="CY62" s="149">
        <f t="shared" si="186"/>
        <v>226072</v>
      </c>
      <c r="CZ62" s="149">
        <f t="shared" si="186"/>
        <v>231082</v>
      </c>
      <c r="DA62" s="149">
        <f t="shared" si="186"/>
        <v>225222</v>
      </c>
      <c r="DB62" s="150">
        <f t="shared" si="186"/>
        <v>226186</v>
      </c>
      <c r="DC62" s="149">
        <f t="shared" si="186"/>
        <v>223346</v>
      </c>
      <c r="DD62" s="149">
        <f t="shared" si="186"/>
        <v>276675</v>
      </c>
      <c r="DE62" s="149">
        <f t="shared" si="186"/>
        <v>274098</v>
      </c>
      <c r="DF62" s="150">
        <f t="shared" si="186"/>
        <v>221562</v>
      </c>
      <c r="DG62" s="1113">
        <f>DG61+DG50</f>
        <v>224427</v>
      </c>
      <c r="DH62" s="1113">
        <f>DH61+DH50</f>
        <v>226293</v>
      </c>
      <c r="DI62" s="155">
        <f>DI61+DI50</f>
        <v>232708</v>
      </c>
      <c r="DJ62" s="150">
        <f t="shared" ref="DJ62:DM62" si="187">DJ61+DJ50</f>
        <v>235790</v>
      </c>
      <c r="DK62" s="1113">
        <f t="shared" si="187"/>
        <v>240753</v>
      </c>
      <c r="DL62" s="1113">
        <f t="shared" si="187"/>
        <v>242073</v>
      </c>
      <c r="DM62" s="155">
        <f t="shared" si="187"/>
        <v>244640</v>
      </c>
      <c r="DN62" s="150">
        <f t="shared" ref="DN62:DO62" si="188">DN61+DN50</f>
        <v>244587</v>
      </c>
      <c r="DO62" s="1113">
        <f t="shared" si="188"/>
        <v>231870</v>
      </c>
      <c r="DP62" s="1113">
        <f t="shared" ref="DP62:DQ62" si="189">DP61+DP50</f>
        <v>239498</v>
      </c>
      <c r="DQ62" s="155">
        <f t="shared" si="189"/>
        <v>244180</v>
      </c>
      <c r="DR62" s="1113">
        <f t="shared" ref="DR62:DS62" si="190">DR61+DR50</f>
        <v>246731</v>
      </c>
      <c r="DS62" s="1113">
        <f t="shared" si="190"/>
        <v>252978</v>
      </c>
      <c r="DT62" s="1113">
        <f t="shared" ref="DT62:DU62" si="191">DT61+DT50</f>
        <v>254682</v>
      </c>
      <c r="DU62" s="1113">
        <f t="shared" si="191"/>
        <v>257143</v>
      </c>
      <c r="DV62" s="1113">
        <f t="shared" ref="DV62" si="192">DV61+DV50</f>
        <v>264516</v>
      </c>
      <c r="DW62" s="1113">
        <f t="shared" ref="DW62:DY62" ca="1" si="193">DW61+DW50</f>
        <v>267592.30730299425</v>
      </c>
      <c r="DX62" s="1113">
        <f t="shared" ca="1" si="193"/>
        <v>271200.56752544903</v>
      </c>
      <c r="DY62" s="155">
        <f t="shared" ca="1" si="193"/>
        <v>277564.2022843</v>
      </c>
      <c r="DZ62" s="1041"/>
    </row>
    <row r="63" spans="1:130">
      <c r="A63" s="262" t="s">
        <v>1237</v>
      </c>
      <c r="B63" s="184"/>
      <c r="C63" s="184"/>
      <c r="D63" s="184"/>
      <c r="E63" s="184"/>
      <c r="F63" s="184">
        <v>0</v>
      </c>
      <c r="G63" s="184">
        <v>0</v>
      </c>
      <c r="H63" s="184">
        <v>0</v>
      </c>
      <c r="I63" s="184">
        <v>0</v>
      </c>
      <c r="J63" s="184">
        <v>0</v>
      </c>
      <c r="K63" s="184">
        <v>0</v>
      </c>
      <c r="L63" s="184">
        <v>0</v>
      </c>
      <c r="M63" s="184">
        <v>0</v>
      </c>
      <c r="N63" s="184" t="e">
        <f t="shared" ref="N63:V63" si="194">N33-N50-N61</f>
        <v>#REF!</v>
      </c>
      <c r="O63" s="184" t="e">
        <f t="shared" si="194"/>
        <v>#REF!</v>
      </c>
      <c r="P63" s="184">
        <f t="shared" si="194"/>
        <v>0</v>
      </c>
      <c r="Q63" s="184">
        <f t="shared" si="194"/>
        <v>0</v>
      </c>
      <c r="R63" s="184">
        <f t="shared" si="194"/>
        <v>0</v>
      </c>
      <c r="S63" s="184">
        <f t="shared" si="194"/>
        <v>0</v>
      </c>
      <c r="T63" s="1052">
        <f t="shared" si="194"/>
        <v>0</v>
      </c>
      <c r="U63" s="1052">
        <f t="shared" si="194"/>
        <v>0</v>
      </c>
      <c r="V63" s="184">
        <f t="shared" si="194"/>
        <v>0</v>
      </c>
      <c r="W63" s="184">
        <f t="shared" ref="W63:AB63" si="195">W33-W50-W61</f>
        <v>0</v>
      </c>
      <c r="X63" s="184">
        <f t="shared" si="195"/>
        <v>0</v>
      </c>
      <c r="Y63" s="184">
        <f t="shared" si="195"/>
        <v>0</v>
      </c>
      <c r="Z63" s="184">
        <f t="shared" ca="1" si="195"/>
        <v>0</v>
      </c>
      <c r="AA63" s="184">
        <f t="shared" ca="1" si="195"/>
        <v>0</v>
      </c>
      <c r="AB63" s="184">
        <f t="shared" ca="1" si="195"/>
        <v>0</v>
      </c>
      <c r="AC63" s="184">
        <f t="shared" ref="AC63:AG63" ca="1" si="196">AC33-AC50-AC61</f>
        <v>0</v>
      </c>
      <c r="AD63" s="184">
        <f t="shared" ca="1" si="196"/>
        <v>0</v>
      </c>
      <c r="AE63" s="184">
        <f t="shared" ca="1" si="196"/>
        <v>0</v>
      </c>
      <c r="AF63" s="184">
        <f t="shared" ca="1" si="196"/>
        <v>0</v>
      </c>
      <c r="AG63" s="184">
        <f t="shared" ca="1" si="196"/>
        <v>0</v>
      </c>
      <c r="AH63" s="1412"/>
      <c r="AI63" s="184"/>
      <c r="AJ63" s="184"/>
      <c r="AK63" s="184"/>
      <c r="AL63" s="184"/>
      <c r="AM63" s="143"/>
      <c r="AN63" s="228"/>
      <c r="AO63" s="228"/>
      <c r="AP63" s="184"/>
      <c r="AQ63" s="184"/>
      <c r="AR63" s="184"/>
      <c r="AS63" s="184"/>
      <c r="AT63" s="184"/>
      <c r="AU63" s="184"/>
      <c r="AV63" s="184"/>
      <c r="AW63" s="184"/>
      <c r="AX63" s="184"/>
      <c r="AY63" s="184"/>
      <c r="AZ63" s="184"/>
      <c r="BA63" s="184">
        <v>0</v>
      </c>
      <c r="BB63" s="184"/>
      <c r="BC63" s="184">
        <v>0</v>
      </c>
      <c r="BD63" s="184">
        <v>0</v>
      </c>
      <c r="BE63" s="184">
        <v>0</v>
      </c>
      <c r="BF63" s="184">
        <v>0</v>
      </c>
      <c r="BG63" s="184">
        <v>0</v>
      </c>
      <c r="BH63" s="184">
        <v>0</v>
      </c>
      <c r="BI63" s="184">
        <v>0</v>
      </c>
      <c r="BJ63" s="184">
        <v>1234</v>
      </c>
      <c r="BK63" s="184">
        <v>1166</v>
      </c>
      <c r="BL63" s="184">
        <v>1091</v>
      </c>
      <c r="BM63" s="184">
        <v>0</v>
      </c>
      <c r="BN63" s="184">
        <v>0</v>
      </c>
      <c r="BO63" s="184">
        <v>0</v>
      </c>
      <c r="BP63" s="184">
        <v>0</v>
      </c>
      <c r="BQ63" s="184">
        <v>0</v>
      </c>
      <c r="BR63" s="203">
        <v>-7</v>
      </c>
      <c r="BS63" s="184">
        <v>0</v>
      </c>
      <c r="BT63" s="184">
        <v>0</v>
      </c>
      <c r="BU63" s="184">
        <v>0</v>
      </c>
      <c r="BV63" s="203">
        <v>0</v>
      </c>
      <c r="BW63" s="184">
        <v>0</v>
      </c>
      <c r="BX63" s="184">
        <v>0</v>
      </c>
      <c r="BY63" s="184">
        <v>0</v>
      </c>
      <c r="BZ63" s="203">
        <f t="shared" ref="BZ63:DF63" si="197">BZ33-BZ62</f>
        <v>0</v>
      </c>
      <c r="CA63" s="184">
        <f t="shared" si="197"/>
        <v>0</v>
      </c>
      <c r="CB63" s="184">
        <f t="shared" si="197"/>
        <v>0</v>
      </c>
      <c r="CC63" s="184">
        <f t="shared" si="197"/>
        <v>0</v>
      </c>
      <c r="CD63" s="203">
        <f t="shared" si="197"/>
        <v>0</v>
      </c>
      <c r="CE63" s="184">
        <f t="shared" si="197"/>
        <v>0</v>
      </c>
      <c r="CF63" s="184">
        <f t="shared" si="197"/>
        <v>0</v>
      </c>
      <c r="CG63" s="184">
        <f t="shared" si="197"/>
        <v>0</v>
      </c>
      <c r="CH63" s="203">
        <f t="shared" si="197"/>
        <v>0</v>
      </c>
      <c r="CI63" s="184">
        <f t="shared" si="197"/>
        <v>0</v>
      </c>
      <c r="CJ63" s="184">
        <f t="shared" si="197"/>
        <v>0</v>
      </c>
      <c r="CK63" s="184">
        <f t="shared" si="197"/>
        <v>0</v>
      </c>
      <c r="CL63" s="203">
        <f t="shared" si="197"/>
        <v>0</v>
      </c>
      <c r="CM63" s="184">
        <f t="shared" si="197"/>
        <v>0</v>
      </c>
      <c r="CN63" s="184">
        <f t="shared" si="197"/>
        <v>0</v>
      </c>
      <c r="CO63" s="184">
        <f t="shared" si="197"/>
        <v>0</v>
      </c>
      <c r="CP63" s="203">
        <f t="shared" si="197"/>
        <v>0</v>
      </c>
      <c r="CQ63" s="184">
        <f t="shared" si="197"/>
        <v>0</v>
      </c>
      <c r="CR63" s="184">
        <f t="shared" si="197"/>
        <v>0</v>
      </c>
      <c r="CS63" s="184">
        <f t="shared" si="197"/>
        <v>0</v>
      </c>
      <c r="CT63" s="203">
        <f t="shared" si="197"/>
        <v>0</v>
      </c>
      <c r="CU63" s="184">
        <f t="shared" si="197"/>
        <v>0</v>
      </c>
      <c r="CV63" s="184">
        <f t="shared" si="197"/>
        <v>0</v>
      </c>
      <c r="CW63" s="202">
        <f t="shared" si="197"/>
        <v>0</v>
      </c>
      <c r="CX63" s="184">
        <f t="shared" si="197"/>
        <v>0</v>
      </c>
      <c r="CY63" s="184">
        <f t="shared" si="197"/>
        <v>0</v>
      </c>
      <c r="CZ63" s="184">
        <f t="shared" si="197"/>
        <v>0</v>
      </c>
      <c r="DA63" s="184">
        <f t="shared" si="197"/>
        <v>0</v>
      </c>
      <c r="DB63" s="203">
        <f t="shared" si="197"/>
        <v>0</v>
      </c>
      <c r="DC63" s="184">
        <f t="shared" si="197"/>
        <v>0</v>
      </c>
      <c r="DD63" s="184">
        <f t="shared" si="197"/>
        <v>0</v>
      </c>
      <c r="DE63" s="184">
        <f t="shared" si="197"/>
        <v>0</v>
      </c>
      <c r="DF63" s="203">
        <f t="shared" si="197"/>
        <v>0</v>
      </c>
      <c r="DG63" s="1052">
        <f>DG33-DG62</f>
        <v>0</v>
      </c>
      <c r="DH63" s="1052">
        <f>DH33-DH62</f>
        <v>0</v>
      </c>
      <c r="DI63" s="202">
        <f>DI33-DI62</f>
        <v>0</v>
      </c>
      <c r="DJ63" s="203">
        <f t="shared" ref="DJ63:DM63" si="198">DJ33-DJ62</f>
        <v>0</v>
      </c>
      <c r="DK63" s="1052">
        <f t="shared" si="198"/>
        <v>0</v>
      </c>
      <c r="DL63" s="1052">
        <f t="shared" si="198"/>
        <v>0</v>
      </c>
      <c r="DM63" s="202">
        <f t="shared" si="198"/>
        <v>0</v>
      </c>
      <c r="DN63" s="203">
        <f t="shared" ref="DN63:DO63" si="199">DN33-DN62</f>
        <v>0</v>
      </c>
      <c r="DO63" s="1052">
        <f t="shared" si="199"/>
        <v>0</v>
      </c>
      <c r="DP63" s="1052">
        <f t="shared" ref="DP63:DQ63" si="200">DP33-DP62</f>
        <v>0</v>
      </c>
      <c r="DQ63" s="202">
        <f t="shared" si="200"/>
        <v>0</v>
      </c>
      <c r="DR63" s="1052">
        <f t="shared" ref="DR63:DS63" si="201">DR33-DR62</f>
        <v>0</v>
      </c>
      <c r="DS63" s="1052">
        <f t="shared" si="201"/>
        <v>0</v>
      </c>
      <c r="DT63" s="1052">
        <f t="shared" ref="DT63:DU63" si="202">DT33-DT62</f>
        <v>0</v>
      </c>
      <c r="DU63" s="1052">
        <f t="shared" si="202"/>
        <v>0</v>
      </c>
      <c r="DV63" s="1052">
        <f t="shared" ref="DV63" si="203">DV33-DV62</f>
        <v>0</v>
      </c>
      <c r="DW63" s="1052">
        <f t="shared" ref="DW63:DY63" ca="1" si="204">DW33-DW62</f>
        <v>0</v>
      </c>
      <c r="DX63" s="1052">
        <f t="shared" ca="1" si="204"/>
        <v>0</v>
      </c>
      <c r="DY63" s="202">
        <f t="shared" ca="1" si="204"/>
        <v>0</v>
      </c>
      <c r="DZ63" s="1052"/>
    </row>
    <row r="64" spans="1:130" hidden="1" outlineLevel="1">
      <c r="A64" s="262" t="s">
        <v>955</v>
      </c>
      <c r="B64" s="184"/>
      <c r="C64" s="184"/>
      <c r="D64" s="184"/>
      <c r="E64" s="184"/>
      <c r="F64" s="184"/>
      <c r="G64" s="184"/>
      <c r="H64" s="184"/>
      <c r="I64" s="184"/>
      <c r="J64" s="184"/>
      <c r="K64" s="184"/>
      <c r="L64" s="184"/>
      <c r="M64" s="184"/>
      <c r="N64" s="184"/>
      <c r="O64" s="184"/>
      <c r="P64" s="184"/>
      <c r="Q64" s="184"/>
      <c r="R64" s="184"/>
      <c r="S64" s="184"/>
      <c r="T64" s="1052">
        <f>-5376.528182+T57-S57</f>
        <v>-4410.528182</v>
      </c>
      <c r="U64" s="1052"/>
      <c r="V64" s="184"/>
      <c r="W64" s="184"/>
      <c r="X64" s="184"/>
      <c r="Y64" s="184"/>
      <c r="Z64" s="184"/>
      <c r="AA64" s="184"/>
      <c r="AB64" s="184"/>
      <c r="AC64" s="184"/>
      <c r="AD64" s="184"/>
      <c r="AE64" s="184"/>
      <c r="AF64" s="184"/>
      <c r="AG64" s="184"/>
      <c r="AH64" s="1412"/>
      <c r="AI64" s="184"/>
      <c r="AJ64" s="184"/>
      <c r="AK64" s="184"/>
      <c r="AL64" s="184"/>
      <c r="AM64" s="143"/>
      <c r="AN64" s="228"/>
      <c r="AO64" s="228"/>
      <c r="AP64" s="184"/>
      <c r="AQ64" s="184"/>
      <c r="AR64" s="184"/>
      <c r="AS64" s="184"/>
      <c r="AT64" s="184"/>
      <c r="AU64" s="184"/>
      <c r="AV64" s="184"/>
      <c r="AW64" s="184"/>
      <c r="AX64" s="184"/>
      <c r="AY64" s="184"/>
      <c r="AZ64" s="184"/>
      <c r="BA64" s="184"/>
      <c r="BB64" s="184"/>
      <c r="BC64" s="184"/>
      <c r="BD64" s="184"/>
      <c r="BE64" s="184"/>
      <c r="BF64" s="184"/>
      <c r="BG64" s="184"/>
      <c r="BH64" s="184"/>
      <c r="BI64" s="184"/>
      <c r="BJ64" s="184"/>
      <c r="BK64" s="184"/>
      <c r="BL64" s="184"/>
      <c r="BM64" s="184"/>
      <c r="BN64" s="184"/>
      <c r="BO64" s="184"/>
      <c r="BP64" s="184"/>
      <c r="BQ64" s="184"/>
      <c r="BR64" s="203"/>
      <c r="BS64" s="184"/>
      <c r="BT64" s="184"/>
      <c r="BU64" s="184"/>
      <c r="BV64" s="203"/>
      <c r="BW64" s="184"/>
      <c r="BX64" s="184"/>
      <c r="BY64" s="184"/>
      <c r="BZ64" s="203"/>
      <c r="CA64" s="184"/>
      <c r="CB64" s="184"/>
      <c r="CC64" s="184"/>
      <c r="CD64" s="203"/>
      <c r="CE64" s="184"/>
      <c r="CF64" s="184"/>
      <c r="CG64" s="184"/>
      <c r="CH64" s="203"/>
      <c r="CI64" s="184"/>
      <c r="CJ64" s="184"/>
      <c r="CK64" s="184"/>
      <c r="CL64" s="203"/>
      <c r="CM64" s="184"/>
      <c r="CN64" s="184"/>
      <c r="CO64" s="184"/>
      <c r="CP64" s="203"/>
      <c r="CQ64" s="184"/>
      <c r="CR64" s="184"/>
      <c r="CS64" s="184"/>
      <c r="CT64" s="203"/>
      <c r="CU64" s="184"/>
      <c r="CV64" s="184"/>
      <c r="CW64" s="202"/>
      <c r="CX64" s="184"/>
      <c r="CY64" s="184"/>
      <c r="CZ64" s="184"/>
      <c r="DA64" s="184"/>
      <c r="DB64" s="203"/>
      <c r="DC64" s="184"/>
      <c r="DD64" s="184"/>
      <c r="DE64" s="184"/>
      <c r="DF64" s="203"/>
      <c r="DG64" s="1052"/>
      <c r="DH64" s="1052"/>
      <c r="DI64" s="202"/>
      <c r="DJ64" s="203"/>
      <c r="DK64" s="1052"/>
      <c r="DL64" s="1052"/>
      <c r="DM64" s="202"/>
      <c r="DN64" s="203"/>
      <c r="DO64" s="1052"/>
      <c r="DP64" s="1052"/>
      <c r="DQ64" s="202"/>
      <c r="DR64" s="1052"/>
      <c r="DS64" s="1052"/>
      <c r="DT64" s="1052"/>
      <c r="DU64" s="1052"/>
      <c r="DV64" s="1052"/>
      <c r="DW64" s="1052"/>
      <c r="DX64" s="1052"/>
      <c r="DY64" s="202"/>
      <c r="DZ64" s="1052"/>
    </row>
    <row r="65" spans="1:185" hidden="1" outlineLevel="1">
      <c r="A65" s="118" t="s">
        <v>1261</v>
      </c>
      <c r="B65" s="113"/>
      <c r="C65" s="113"/>
      <c r="D65" s="113"/>
      <c r="E65" s="113"/>
      <c r="F65" s="113"/>
      <c r="G65" s="113"/>
      <c r="H65" s="113"/>
      <c r="I65" s="184">
        <v>423</v>
      </c>
      <c r="J65" s="184">
        <v>934</v>
      </c>
      <c r="K65" s="184">
        <v>817.08</v>
      </c>
      <c r="L65" s="184">
        <v>23.414999999999999</v>
      </c>
      <c r="M65" s="184">
        <v>-71</v>
      </c>
      <c r="N65" s="184">
        <f>SUM(BZ65:CC65)</f>
        <v>13183</v>
      </c>
      <c r="O65" s="184">
        <f>SUM(CD65:CG65)</f>
        <v>-1538</v>
      </c>
      <c r="P65" s="184">
        <f>P54-O54+P55-O55+P58-O58+P59-O59</f>
        <v>-1375</v>
      </c>
      <c r="Q65" s="184">
        <f>Q54-P54+Q55-P55+Q58-P58+Q59-P59-1889.125</f>
        <v>-2224.125</v>
      </c>
      <c r="R65" s="184">
        <f>R54-Q54+R55-Q55+R58-Q58+R59-Q59-12568.375707</f>
        <v>-14909.375706999999</v>
      </c>
      <c r="S65" s="184">
        <f>S54-R54+S55-R55+S58-R58+S59-R59-3693.4</f>
        <v>-3323.4</v>
      </c>
      <c r="T65" s="1052">
        <f t="shared" ref="T65:AB65" si="205">T54-S54+T55-S55+T58-S58+T59-S59</f>
        <v>1134</v>
      </c>
      <c r="U65" s="1052">
        <f t="shared" si="205"/>
        <v>40</v>
      </c>
      <c r="V65" s="184">
        <f t="shared" si="205"/>
        <v>-25956</v>
      </c>
      <c r="W65" s="184">
        <f>W54-V54+W55-V55+W58-V58+W59-V59</f>
        <v>-4108</v>
      </c>
      <c r="X65" s="184">
        <f>X54-W54+X55-W55+X58-W58+X59-W59</f>
        <v>160</v>
      </c>
      <c r="Y65" s="184">
        <f>Y54-X54+Y55-X55+Y58-X58+Y59-X59</f>
        <v>10</v>
      </c>
      <c r="Z65" s="184">
        <f>Z54-Y54+Z55-Y55+Z58-Y58+Z59-Y59</f>
        <v>2300</v>
      </c>
      <c r="AA65" s="184">
        <f t="shared" si="205"/>
        <v>0</v>
      </c>
      <c r="AB65" s="184">
        <f t="shared" si="205"/>
        <v>0</v>
      </c>
      <c r="AC65" s="184">
        <f t="shared" ref="AC65" si="206">AC54-AB54+AC55-AB55+AC58-AB58+AC59-AB59</f>
        <v>0</v>
      </c>
      <c r="AD65" s="184">
        <f t="shared" ref="AD65" si="207">AD54-AC54+AD55-AC55+AD58-AC58+AD59-AC59</f>
        <v>0</v>
      </c>
      <c r="AE65" s="184">
        <f t="shared" ref="AE65" si="208">AE54-AD54+AE55-AD55+AE58-AD58+AE59-AD59</f>
        <v>0</v>
      </c>
      <c r="AF65" s="184">
        <f t="shared" ref="AF65" si="209">AF54-AE54+AF55-AE55+AF58-AE58+AF59-AE59</f>
        <v>0</v>
      </c>
      <c r="AG65" s="184">
        <f t="shared" ref="AG65" si="210">AG54-AF54+AG55-AF55+AG58-AF58+AG59-AF59</f>
        <v>0</v>
      </c>
      <c r="AH65" s="1412"/>
      <c r="AI65" s="184" t="e">
        <f>BS!AI30-BS!AH30+BS!AI31-BS!AH31+BS!AI34-BS!AH34+(BS!AI32-BS!AH32-#REF!+#REF!)</f>
        <v>#REF!</v>
      </c>
      <c r="AJ65" s="184" t="e">
        <f>BS!AJ30-BS!AI30+BS!AJ31-BS!AI31+BS!AJ34-BS!AI34+(BS!AJ32-BS!AI32-#REF!+#REF!)</f>
        <v>#REF!</v>
      </c>
      <c r="AK65" s="184" t="e">
        <f>BS!AK30-BS!AJ30+BS!AK31-BS!AJ31+BS!AK34-BS!AJ34+(BS!AK32-BS!AJ32-#REF!+#REF!)</f>
        <v>#REF!</v>
      </c>
      <c r="AL65" s="184" t="e">
        <f>BS!AL30-BS!AK30+BS!AL31-BS!AK31+BS!AL34-BS!AK34+(BS!AL32-BS!AK32-#REF!+#REF!)</f>
        <v>#REF!</v>
      </c>
      <c r="AM65" s="143"/>
      <c r="AN65" s="123"/>
      <c r="AO65" s="123"/>
      <c r="AP65" s="113"/>
      <c r="AQ65" s="113"/>
      <c r="AR65" s="113"/>
      <c r="AS65" s="113"/>
      <c r="AT65" s="113"/>
      <c r="AU65" s="113"/>
      <c r="AV65" s="113"/>
      <c r="AW65" s="113"/>
      <c r="AX65" s="113"/>
      <c r="AY65" s="113"/>
      <c r="AZ65" s="113"/>
      <c r="BA65" s="113"/>
      <c r="BB65" s="113"/>
      <c r="BC65" s="113"/>
      <c r="BD65" s="184"/>
      <c r="BE65" s="184"/>
      <c r="BF65" s="184"/>
      <c r="BG65" s="184"/>
      <c r="BH65" s="184"/>
      <c r="BI65" s="184"/>
      <c r="BJ65" s="184"/>
      <c r="BK65" s="184"/>
      <c r="BL65" s="184"/>
      <c r="BM65" s="184"/>
      <c r="BN65" s="184"/>
      <c r="BO65" s="184"/>
      <c r="BP65" s="184"/>
      <c r="BQ65" s="113">
        <v>222</v>
      </c>
      <c r="BR65" s="203">
        <v>80</v>
      </c>
      <c r="BS65" s="184">
        <v>-75</v>
      </c>
      <c r="BT65" s="184">
        <v>-42</v>
      </c>
      <c r="BU65" s="184">
        <v>-13</v>
      </c>
      <c r="BV65" s="203">
        <v>-48</v>
      </c>
      <c r="BW65" s="184">
        <v>-29</v>
      </c>
      <c r="BX65" s="184">
        <v>16</v>
      </c>
      <c r="BY65" s="184">
        <v>-10</v>
      </c>
      <c r="BZ65" s="203">
        <f t="shared" ref="BZ65:CK65" si="211">BZ54-BY54+BZ55-BY55+BZ58-BY58+BZ59-BY59</f>
        <v>4578</v>
      </c>
      <c r="CA65" s="184">
        <f t="shared" si="211"/>
        <v>-589</v>
      </c>
      <c r="CB65" s="184">
        <f t="shared" si="211"/>
        <v>777</v>
      </c>
      <c r="CC65" s="184">
        <f t="shared" si="211"/>
        <v>8417</v>
      </c>
      <c r="CD65" s="203">
        <f t="shared" si="211"/>
        <v>-308</v>
      </c>
      <c r="CE65" s="184">
        <f t="shared" si="211"/>
        <v>-90</v>
      </c>
      <c r="CF65" s="184">
        <f t="shared" si="211"/>
        <v>-487</v>
      </c>
      <c r="CG65" s="184">
        <f t="shared" si="211"/>
        <v>-653</v>
      </c>
      <c r="CH65" s="203">
        <f t="shared" si="211"/>
        <v>-1017</v>
      </c>
      <c r="CI65" s="184">
        <f t="shared" si="211"/>
        <v>-107</v>
      </c>
      <c r="CJ65" s="184">
        <f t="shared" si="211"/>
        <v>-248</v>
      </c>
      <c r="CK65" s="184">
        <f t="shared" si="211"/>
        <v>-3</v>
      </c>
      <c r="CL65" s="203">
        <f>CL54-CK54+CL55-CK55+CL58-CK58+CL59-CK59+386.8635</f>
        <v>208.86349999999999</v>
      </c>
      <c r="CM65" s="184">
        <f>CM54-CL54+CM55-CL55+CM58-CL58+CM59-CL59+298.5635</f>
        <v>297.56349999999998</v>
      </c>
      <c r="CN65" s="184">
        <f>CN54-CM54+CN55-CM55+CN58-CM58+CN59-CM59+453.085</f>
        <v>457.08499999999998</v>
      </c>
      <c r="CO65" s="184">
        <f>CO54-CN54+CO55-CN55+CO58-CN58+CO59-CN59-1578.1465</f>
        <v>-1738.1465000000001</v>
      </c>
      <c r="CP65" s="203">
        <f>CP54-CO54+CP55-CO55+CP58-CO58+CP59-CO59-1043.02125</f>
        <v>-1290.02125</v>
      </c>
      <c r="CQ65" s="184">
        <f>CQ54-CP54+CQ55-CP55+CQ58-CP58+CQ59-CP59-1661.635008</f>
        <v>-1630.635008</v>
      </c>
      <c r="CR65" s="184">
        <f>CR54-CQ54+CR55-CQ55+CR58-CQ58+CR59-CQ59+558.623234</f>
        <v>-1587.3767659999999</v>
      </c>
      <c r="CS65" s="184">
        <f>CS54-CR54+CS55-CR55+CS58-CR58+CS59-CR59-10405.8375</f>
        <v>-10384.8375</v>
      </c>
      <c r="CT65" s="203">
        <f>CT54-CS54+CT55-CS55+CT58-CS58+CT59-CS59</f>
        <v>116</v>
      </c>
      <c r="CU65" s="184">
        <f>CU54-CT54+CU55-CT55+CU58-CT58+CU59-CT59</f>
        <v>70</v>
      </c>
      <c r="CV65" s="184">
        <f>CV54-CU54+CV55-CU55+CV58-CU58+CV59-CU59</f>
        <v>57</v>
      </c>
      <c r="CW65" s="202">
        <f>CW54-CV54+CW55-CV55+CW58-CV58+CW59-CV59-3526.6</f>
        <v>-3399.6</v>
      </c>
      <c r="CX65" s="184">
        <f t="shared" ref="CX65:DV65" si="212">CX54-CW54+CX55-CW55+CX58-CW58+CX59-CW59</f>
        <v>307</v>
      </c>
      <c r="CY65" s="184">
        <f t="shared" si="212"/>
        <v>329</v>
      </c>
      <c r="CZ65" s="184">
        <f t="shared" si="212"/>
        <v>262</v>
      </c>
      <c r="DA65" s="184">
        <f t="shared" si="212"/>
        <v>236</v>
      </c>
      <c r="DB65" s="203">
        <f t="shared" si="212"/>
        <v>-147</v>
      </c>
      <c r="DC65" s="184">
        <f t="shared" si="212"/>
        <v>41</v>
      </c>
      <c r="DD65" s="184">
        <f t="shared" si="212"/>
        <v>85</v>
      </c>
      <c r="DE65" s="184">
        <f t="shared" si="212"/>
        <v>61</v>
      </c>
      <c r="DF65" s="203">
        <f t="shared" si="212"/>
        <v>-26809</v>
      </c>
      <c r="DG65" s="1052">
        <f t="shared" si="212"/>
        <v>275</v>
      </c>
      <c r="DH65" s="1052">
        <f t="shared" si="212"/>
        <v>276</v>
      </c>
      <c r="DI65" s="202">
        <f t="shared" si="212"/>
        <v>302</v>
      </c>
      <c r="DJ65" s="203">
        <f t="shared" si="212"/>
        <v>-4739</v>
      </c>
      <c r="DK65" s="1052">
        <f t="shared" si="212"/>
        <v>175</v>
      </c>
      <c r="DL65" s="1052">
        <f t="shared" si="212"/>
        <v>206</v>
      </c>
      <c r="DM65" s="202">
        <f t="shared" si="212"/>
        <v>250</v>
      </c>
      <c r="DN65" s="203">
        <f t="shared" si="212"/>
        <v>297</v>
      </c>
      <c r="DO65" s="1052">
        <f t="shared" si="212"/>
        <v>-184</v>
      </c>
      <c r="DP65" s="1052">
        <f t="shared" si="212"/>
        <v>39</v>
      </c>
      <c r="DQ65" s="202">
        <f t="shared" si="212"/>
        <v>8</v>
      </c>
      <c r="DR65" s="1052">
        <f t="shared" si="212"/>
        <v>-61</v>
      </c>
      <c r="DS65" s="1052">
        <f t="shared" si="212"/>
        <v>15</v>
      </c>
      <c r="DT65" s="1052">
        <f t="shared" si="212"/>
        <v>46</v>
      </c>
      <c r="DU65" s="1052">
        <f t="shared" si="212"/>
        <v>10</v>
      </c>
      <c r="DV65" s="1052">
        <f t="shared" si="212"/>
        <v>2300</v>
      </c>
      <c r="DW65" s="1052">
        <f t="shared" ref="DW65" si="213">DW54-DV54+DW55-DV55+DW58-DV58+DW59-DV59</f>
        <v>0</v>
      </c>
      <c r="DX65" s="1052">
        <f t="shared" ref="DX65" si="214">DX54-DW54+DX55-DW55+DX58-DW58+DX59-DW59</f>
        <v>0</v>
      </c>
      <c r="DY65" s="202">
        <f t="shared" ref="DY65" si="215">DY54-DX54+DY55-DX55+DY58-DX58+DY59-DX59</f>
        <v>0</v>
      </c>
      <c r="DZ65" s="1306"/>
    </row>
    <row r="66" spans="1:185" hidden="1" outlineLevel="1">
      <c r="A66" s="87"/>
      <c r="B66" s="87"/>
      <c r="C66" s="87"/>
      <c r="D66" s="87"/>
      <c r="E66" s="87"/>
      <c r="F66" s="87"/>
      <c r="G66" s="87"/>
      <c r="H66" s="87"/>
      <c r="I66" s="87"/>
      <c r="J66" s="143"/>
      <c r="K66" s="143"/>
      <c r="L66" s="143"/>
      <c r="M66" s="143"/>
      <c r="N66" s="266"/>
      <c r="O66" s="87"/>
      <c r="P66" s="87"/>
      <c r="Q66" s="87"/>
      <c r="R66" s="87"/>
      <c r="S66" s="87"/>
      <c r="T66" s="1041"/>
      <c r="U66" s="1041"/>
      <c r="V66" s="87"/>
      <c r="W66" s="87"/>
      <c r="X66" s="87"/>
      <c r="Y66" s="87"/>
      <c r="Z66" s="87"/>
      <c r="AA66" s="87"/>
      <c r="AB66" s="87"/>
      <c r="AC66" s="87"/>
      <c r="AD66" s="87"/>
      <c r="AE66" s="87"/>
      <c r="AF66" s="87"/>
      <c r="AG66" s="87"/>
      <c r="AH66" s="678"/>
      <c r="AI66" s="87"/>
      <c r="AJ66" s="87"/>
      <c r="AK66" s="87"/>
      <c r="AL66" s="87"/>
      <c r="AM66" s="87"/>
      <c r="AN66" s="123"/>
      <c r="AO66" s="123"/>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143"/>
      <c r="BN66" s="87"/>
      <c r="BO66" s="87"/>
      <c r="BP66" s="87"/>
      <c r="BQ66" s="87"/>
      <c r="BR66" s="88"/>
      <c r="BS66" s="87"/>
      <c r="BT66" s="87"/>
      <c r="BU66" s="87"/>
      <c r="BV66" s="88"/>
      <c r="BW66" s="87"/>
      <c r="BX66" s="87"/>
      <c r="BY66" s="87"/>
      <c r="BZ66" s="159"/>
      <c r="CA66" s="266"/>
      <c r="CB66" s="266"/>
      <c r="CC66" s="266"/>
      <c r="CD66" s="268"/>
      <c r="CE66" s="266"/>
      <c r="CF66" s="266"/>
      <c r="CG66" s="266"/>
      <c r="CH66" s="268"/>
      <c r="CI66" s="266"/>
      <c r="CJ66" s="266"/>
      <c r="CK66" s="266"/>
      <c r="CL66" s="268"/>
      <c r="CM66" s="266"/>
      <c r="CN66" s="266"/>
      <c r="CO66" s="266"/>
      <c r="CP66" s="268"/>
      <c r="CQ66" s="266"/>
      <c r="CR66" s="266"/>
      <c r="CS66" s="266"/>
      <c r="CT66" s="266"/>
      <c r="CU66" s="266"/>
      <c r="CV66" s="266"/>
      <c r="CW66" s="269"/>
      <c r="CX66" s="266"/>
      <c r="CY66" s="266"/>
      <c r="CZ66" s="266"/>
      <c r="DA66" s="266"/>
      <c r="DB66" s="268"/>
      <c r="DC66" s="266"/>
      <c r="DD66" s="266"/>
      <c r="DE66" s="266"/>
      <c r="DF66" s="268"/>
      <c r="DG66" s="1298"/>
      <c r="DH66" s="1298"/>
      <c r="DI66" s="269"/>
      <c r="DJ66" s="268"/>
      <c r="DK66" s="1298"/>
      <c r="DL66" s="1298"/>
      <c r="DM66" s="269"/>
      <c r="DN66" s="268"/>
      <c r="DO66" s="1298"/>
      <c r="DP66" s="1298"/>
      <c r="DQ66" s="269"/>
      <c r="DR66" s="1298"/>
      <c r="DS66" s="1298"/>
      <c r="DT66" s="1298"/>
      <c r="DU66" s="1298"/>
      <c r="DV66" s="1298"/>
      <c r="DW66" s="1298"/>
      <c r="DX66" s="1298"/>
      <c r="DY66" s="269"/>
      <c r="DZ66" s="1041"/>
    </row>
    <row r="67" spans="1:185" collapsed="1">
      <c r="A67" s="139" t="s">
        <v>1262</v>
      </c>
      <c r="B67" s="139"/>
      <c r="C67" s="139"/>
      <c r="D67" s="139"/>
      <c r="E67" s="140"/>
      <c r="F67" s="140"/>
      <c r="G67" s="140"/>
      <c r="H67" s="140"/>
      <c r="I67" s="140"/>
      <c r="J67" s="140"/>
      <c r="K67" s="140"/>
      <c r="L67" s="140"/>
      <c r="M67" s="140"/>
      <c r="N67" s="140"/>
      <c r="O67" s="140"/>
      <c r="P67" s="140"/>
      <c r="Q67" s="140"/>
      <c r="R67" s="140"/>
      <c r="S67" s="140"/>
      <c r="T67" s="1038"/>
      <c r="U67" s="1038"/>
      <c r="V67" s="140"/>
      <c r="W67" s="140"/>
      <c r="X67" s="140"/>
      <c r="Y67" s="140"/>
      <c r="Z67" s="140"/>
      <c r="AA67" s="140"/>
      <c r="AB67" s="140"/>
      <c r="AC67" s="140"/>
      <c r="AD67" s="140"/>
      <c r="AE67" s="140"/>
      <c r="AF67" s="140"/>
      <c r="AG67" s="140"/>
      <c r="AH67" s="1242"/>
      <c r="AI67" s="140"/>
      <c r="AJ67" s="140"/>
      <c r="AK67" s="140"/>
      <c r="AL67" s="140"/>
      <c r="AM67" s="140"/>
      <c r="AN67" s="123"/>
      <c r="AO67" s="123"/>
      <c r="AP67" s="140"/>
      <c r="AQ67" s="140"/>
      <c r="AR67" s="140"/>
      <c r="AS67" s="140"/>
      <c r="AT67" s="140"/>
      <c r="AU67" s="140"/>
      <c r="AV67" s="140"/>
      <c r="AW67" s="140"/>
      <c r="AX67" s="140"/>
      <c r="AY67" s="140"/>
      <c r="AZ67" s="140"/>
      <c r="BA67" s="140"/>
      <c r="BB67" s="140"/>
      <c r="BC67" s="140"/>
      <c r="BD67" s="140"/>
      <c r="BE67" s="140"/>
      <c r="BF67" s="140"/>
      <c r="BG67" s="140"/>
      <c r="BH67" s="140"/>
      <c r="BI67" s="140"/>
      <c r="BJ67" s="140"/>
      <c r="BK67" s="140"/>
      <c r="BL67" s="140"/>
      <c r="BM67" s="140"/>
      <c r="BN67" s="140"/>
      <c r="BO67" s="140"/>
      <c r="BP67" s="140"/>
      <c r="BQ67" s="140"/>
      <c r="BR67" s="141"/>
      <c r="BS67" s="140"/>
      <c r="BT67" s="140"/>
      <c r="BU67" s="140"/>
      <c r="BV67" s="141"/>
      <c r="BW67" s="140"/>
      <c r="BX67" s="140"/>
      <c r="BY67" s="140"/>
      <c r="BZ67" s="141"/>
      <c r="CA67" s="140"/>
      <c r="CB67" s="140"/>
      <c r="CC67" s="140"/>
      <c r="CD67" s="141"/>
      <c r="CE67" s="140"/>
      <c r="CF67" s="140"/>
      <c r="CG67" s="140"/>
      <c r="CH67" s="141"/>
      <c r="CI67" s="140"/>
      <c r="CJ67" s="140"/>
      <c r="CK67" s="140"/>
      <c r="CL67" s="141"/>
      <c r="CM67" s="140"/>
      <c r="CN67" s="140"/>
      <c r="CO67" s="140"/>
      <c r="CP67" s="141"/>
      <c r="CQ67" s="140"/>
      <c r="CR67" s="140"/>
      <c r="CS67" s="140"/>
      <c r="CT67" s="141"/>
      <c r="CU67" s="140"/>
      <c r="CV67" s="140"/>
      <c r="CW67" s="142"/>
      <c r="CX67" s="140"/>
      <c r="CY67" s="140"/>
      <c r="CZ67" s="140"/>
      <c r="DA67" s="140"/>
      <c r="DB67" s="141"/>
      <c r="DC67" s="140"/>
      <c r="DD67" s="140"/>
      <c r="DE67" s="140"/>
      <c r="DF67" s="141"/>
      <c r="DG67" s="1038"/>
      <c r="DH67" s="1038"/>
      <c r="DI67" s="142"/>
      <c r="DJ67" s="141"/>
      <c r="DK67" s="1038"/>
      <c r="DL67" s="1038"/>
      <c r="DM67" s="142"/>
      <c r="DN67" s="141"/>
      <c r="DO67" s="1038"/>
      <c r="DP67" s="1038"/>
      <c r="DQ67" s="142"/>
      <c r="DR67" s="1038"/>
      <c r="DS67" s="1038"/>
      <c r="DT67" s="1038"/>
      <c r="DU67" s="1038"/>
      <c r="DV67" s="1038"/>
      <c r="DW67" s="1038"/>
      <c r="DX67" s="1038"/>
      <c r="DY67" s="142"/>
      <c r="DZ67" s="1041"/>
    </row>
    <row r="68" spans="1:185">
      <c r="A68" s="91"/>
      <c r="B68" s="87"/>
      <c r="C68" s="87"/>
      <c r="D68" s="270"/>
      <c r="E68" s="270"/>
      <c r="F68" s="270"/>
      <c r="G68" s="270"/>
      <c r="H68" s="270"/>
      <c r="I68" s="270"/>
      <c r="J68" s="270"/>
      <c r="K68" s="270"/>
      <c r="L68" s="270"/>
      <c r="M68" s="270"/>
      <c r="N68" s="270"/>
      <c r="O68" s="270"/>
      <c r="P68" s="270"/>
      <c r="Q68" s="270"/>
      <c r="R68" s="270"/>
      <c r="S68" s="270"/>
      <c r="T68" s="270"/>
      <c r="U68" s="270"/>
      <c r="V68" s="270"/>
      <c r="W68" s="270"/>
      <c r="X68" s="270"/>
      <c r="Y68" s="270"/>
      <c r="Z68" s="270"/>
      <c r="AA68" s="270"/>
      <c r="AB68" s="270"/>
      <c r="AC68" s="270"/>
      <c r="AD68" s="270"/>
      <c r="AE68" s="270"/>
      <c r="AF68" s="270"/>
      <c r="AG68" s="270"/>
      <c r="AH68" s="678"/>
      <c r="AI68" s="87"/>
      <c r="AJ68" s="87"/>
      <c r="AK68" s="87"/>
      <c r="AL68" s="270"/>
      <c r="AM68" s="270"/>
      <c r="AN68" s="123"/>
      <c r="AO68" s="123"/>
      <c r="AP68" s="270"/>
      <c r="AQ68" s="270"/>
      <c r="AR68" s="270"/>
      <c r="AS68" s="270"/>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8"/>
      <c r="BS68" s="87"/>
      <c r="BT68" s="87"/>
      <c r="BU68" s="87"/>
      <c r="BV68" s="88"/>
      <c r="BW68" s="87"/>
      <c r="BX68" s="87"/>
      <c r="BY68" s="87"/>
      <c r="BZ68" s="88"/>
      <c r="CA68" s="87"/>
      <c r="CB68" s="87"/>
      <c r="CC68" s="87"/>
      <c r="CD68" s="88"/>
      <c r="CE68" s="87"/>
      <c r="CF68" s="87"/>
      <c r="CG68" s="87"/>
      <c r="CH68" s="150"/>
      <c r="CI68" s="149"/>
      <c r="CJ68" s="149"/>
      <c r="CK68" s="87"/>
      <c r="CL68" s="88"/>
      <c r="CM68" s="87"/>
      <c r="CN68" s="87"/>
      <c r="CO68" s="87"/>
      <c r="CP68" s="88"/>
      <c r="CQ68" s="87"/>
      <c r="CR68" s="87"/>
      <c r="CS68" s="87"/>
      <c r="CT68" s="88"/>
      <c r="CU68" s="87"/>
      <c r="CV68" s="87"/>
      <c r="CW68" s="144"/>
      <c r="CX68" s="87"/>
      <c r="CY68" s="87"/>
      <c r="CZ68" s="87"/>
      <c r="DA68" s="87"/>
      <c r="DB68" s="88"/>
      <c r="DC68" s="87"/>
      <c r="DD68" s="87"/>
      <c r="DE68" s="87"/>
      <c r="DF68" s="88"/>
      <c r="DG68" s="1041"/>
      <c r="DH68" s="1041"/>
      <c r="DI68" s="144"/>
      <c r="DJ68" s="88"/>
      <c r="DK68" s="1041"/>
      <c r="DL68" s="1041"/>
      <c r="DM68" s="144"/>
      <c r="DN68" s="88"/>
      <c r="DO68" s="1041"/>
      <c r="DP68" s="1041"/>
      <c r="DQ68" s="144"/>
      <c r="DR68" s="1041"/>
      <c r="DS68" s="1041"/>
      <c r="DT68" s="1041"/>
      <c r="DU68" s="1041"/>
      <c r="DV68" s="1041"/>
      <c r="DW68" s="1041"/>
      <c r="DX68" s="1041"/>
      <c r="DY68" s="144"/>
      <c r="DZ68" s="1041"/>
    </row>
    <row r="69" spans="1:185">
      <c r="A69" s="91" t="s">
        <v>1263</v>
      </c>
      <c r="B69" s="87"/>
      <c r="C69" s="87"/>
      <c r="D69" s="87"/>
      <c r="E69" s="247"/>
      <c r="F69" s="247"/>
      <c r="G69" s="247"/>
      <c r="H69" s="247"/>
      <c r="I69" s="247"/>
      <c r="J69" s="247"/>
      <c r="K69" s="247"/>
      <c r="L69" s="247"/>
      <c r="M69" s="247" t="s">
        <v>1264</v>
      </c>
      <c r="N69" s="247"/>
      <c r="O69" s="247"/>
      <c r="P69" s="247"/>
      <c r="Q69" s="247"/>
      <c r="R69" s="247"/>
      <c r="S69" s="247"/>
      <c r="T69" s="247"/>
      <c r="U69" s="247"/>
      <c r="V69" s="247"/>
      <c r="W69" s="247"/>
      <c r="X69" s="247"/>
      <c r="Y69" s="247"/>
      <c r="Z69" s="247"/>
      <c r="AA69" s="247"/>
      <c r="AB69" s="247"/>
      <c r="AC69" s="247"/>
      <c r="AD69" s="247"/>
      <c r="AE69" s="247"/>
      <c r="AF69" s="247"/>
      <c r="AG69" s="247"/>
      <c r="AH69" s="678"/>
      <c r="AI69" s="87"/>
      <c r="AJ69" s="87"/>
      <c r="AK69" s="87"/>
      <c r="AL69" s="247"/>
      <c r="AM69" s="247"/>
      <c r="AN69" s="123"/>
      <c r="AO69" s="123"/>
      <c r="AP69" s="247"/>
      <c r="AQ69" s="247"/>
      <c r="AR69" s="247"/>
      <c r="AS69" s="24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8"/>
      <c r="BS69" s="87"/>
      <c r="BT69" s="87"/>
      <c r="BU69" s="87"/>
      <c r="BV69" s="88"/>
      <c r="BW69" s="87"/>
      <c r="BX69" s="87"/>
      <c r="BY69" s="87"/>
      <c r="BZ69" s="88"/>
      <c r="CA69" s="87"/>
      <c r="CB69" s="87"/>
      <c r="CC69" s="87"/>
      <c r="CD69" s="88"/>
      <c r="CE69" s="87"/>
      <c r="CF69" s="87"/>
      <c r="CG69" s="87"/>
      <c r="CH69" s="150"/>
      <c r="CI69" s="149"/>
      <c r="CJ69" s="149"/>
      <c r="CK69" s="87"/>
      <c r="CL69" s="88"/>
      <c r="CM69" s="87"/>
      <c r="CN69" s="87"/>
      <c r="CO69" s="87"/>
      <c r="CP69" s="88"/>
      <c r="CQ69" s="87"/>
      <c r="CR69" s="87"/>
      <c r="CS69" s="87"/>
      <c r="CT69" s="88"/>
      <c r="CU69" s="87"/>
      <c r="CV69" s="87"/>
      <c r="CW69" s="144"/>
      <c r="CX69" s="87"/>
      <c r="CY69" s="87"/>
      <c r="CZ69" s="87"/>
      <c r="DA69" s="87"/>
      <c r="DB69" s="88"/>
      <c r="DC69" s="87"/>
      <c r="DD69" s="87"/>
      <c r="DE69" s="87"/>
      <c r="DF69" s="88"/>
      <c r="DG69" s="1041"/>
      <c r="DH69" s="1041"/>
      <c r="DI69" s="144"/>
      <c r="DJ69" s="88"/>
      <c r="DK69" s="1041"/>
      <c r="DL69" s="1041"/>
      <c r="DM69" s="144"/>
      <c r="DN69" s="88"/>
      <c r="DO69" s="1041"/>
      <c r="DP69" s="1041"/>
      <c r="DQ69" s="144"/>
      <c r="DR69" s="1041"/>
      <c r="DS69" s="1041"/>
      <c r="DT69" s="1041"/>
      <c r="DU69" s="1041"/>
      <c r="DV69" s="1041"/>
      <c r="DW69" s="1041"/>
      <c r="DX69" s="1041"/>
      <c r="DY69" s="144"/>
      <c r="DZ69" s="1041"/>
    </row>
    <row r="70" spans="1:185">
      <c r="A70" s="206" t="s">
        <v>1265</v>
      </c>
      <c r="B70" s="206"/>
      <c r="C70" s="206"/>
      <c r="D70" s="206"/>
      <c r="E70" s="206"/>
      <c r="F70" s="206">
        <v>76.049327354260086</v>
      </c>
      <c r="G70" s="206">
        <v>71.285834529880674</v>
      </c>
      <c r="H70" s="206">
        <v>78.265727320691468</v>
      </c>
      <c r="I70" s="206">
        <v>76.556662887151631</v>
      </c>
      <c r="J70" s="206">
        <v>67.463895262518562</v>
      </c>
      <c r="K70" s="206">
        <v>53.062494390761955</v>
      </c>
      <c r="L70" s="206">
        <v>49.914554096876408</v>
      </c>
      <c r="M70" s="206">
        <v>45.357329303475751</v>
      </c>
      <c r="N70" s="206">
        <f>N16/IS!N30*360</f>
        <v>44.949476882494906</v>
      </c>
      <c r="O70" s="206">
        <f>O16/IS!O30*360</f>
        <v>45.737050067658998</v>
      </c>
      <c r="P70" s="206">
        <f>P16/IS!P30*360</f>
        <v>43.390870890664907</v>
      </c>
      <c r="Q70" s="206">
        <f>Q16/IS!Q30*360</f>
        <v>44.196342261236367</v>
      </c>
      <c r="R70" s="206">
        <f>R16/IS!R30*360</f>
        <v>40.614023327523796</v>
      </c>
      <c r="S70" s="206">
        <f>S16/IS!S30*360</f>
        <v>38.235490417136418</v>
      </c>
      <c r="T70" s="206">
        <f>T16/IS!T30*360</f>
        <v>39.16774087499676</v>
      </c>
      <c r="U70" s="206">
        <f>U16/IS!U30*360</f>
        <v>37.332243999633185</v>
      </c>
      <c r="V70" s="206">
        <f>V16/IS!V30*360</f>
        <v>39.720555419758249</v>
      </c>
      <c r="W70" s="206">
        <f>W16/IS!W30*360</f>
        <v>37.432255970823903</v>
      </c>
      <c r="X70" s="206">
        <f>X16/IS!X30*360</f>
        <v>50.254513570603002</v>
      </c>
      <c r="Y70" s="206">
        <f>Y16/IS!Y30*360</f>
        <v>67.104749512036435</v>
      </c>
      <c r="Z70" s="206">
        <f ca="1">Z16/IS!Z30*360</f>
        <v>68.15945549793571</v>
      </c>
      <c r="AA70" s="271">
        <f ca="1">+Z70+0.5</f>
        <v>68.65945549793571</v>
      </c>
      <c r="AB70" s="271">
        <f ca="1">+AA70+0.5</f>
        <v>69.15945549793571</v>
      </c>
      <c r="AC70" s="271">
        <f t="shared" ref="AC70:AG70" ca="1" si="216">+AB70+0.5</f>
        <v>69.65945549793571</v>
      </c>
      <c r="AD70" s="271">
        <f t="shared" ca="1" si="216"/>
        <v>70.15945549793571</v>
      </c>
      <c r="AE70" s="271">
        <f t="shared" ca="1" si="216"/>
        <v>70.65945549793571</v>
      </c>
      <c r="AF70" s="271">
        <f t="shared" ca="1" si="216"/>
        <v>71.15945549793571</v>
      </c>
      <c r="AG70" s="271">
        <f t="shared" ca="1" si="216"/>
        <v>71.65945549793571</v>
      </c>
      <c r="AH70" s="566"/>
      <c r="AI70" s="206"/>
      <c r="AJ70" s="206"/>
      <c r="AK70" s="206"/>
      <c r="AL70" s="206"/>
      <c r="AM70" s="206"/>
      <c r="AN70" s="272"/>
      <c r="AO70" s="272"/>
      <c r="AP70" s="206"/>
      <c r="AQ70" s="206"/>
      <c r="AR70" s="206"/>
      <c r="AS70" s="206"/>
      <c r="AT70" s="206"/>
      <c r="AU70" s="206"/>
      <c r="AV70" s="206"/>
      <c r="AW70" s="206"/>
      <c r="AX70" s="206"/>
      <c r="AY70" s="206"/>
      <c r="AZ70" s="206"/>
      <c r="BA70" s="206"/>
      <c r="BB70" s="206">
        <v>0</v>
      </c>
      <c r="BC70" s="206">
        <v>69.15330100708691</v>
      </c>
      <c r="BD70" s="206">
        <v>78.05027215460828</v>
      </c>
      <c r="BE70" s="206">
        <v>74.924237922633552</v>
      </c>
      <c r="BF70" s="206">
        <v>77.677546739063374</v>
      </c>
      <c r="BG70" s="206">
        <v>73.420772145902404</v>
      </c>
      <c r="BH70" s="206">
        <v>72.808392762421164</v>
      </c>
      <c r="BI70" s="206">
        <v>75.613580101379227</v>
      </c>
      <c r="BJ70" s="206">
        <v>85.759162303664922</v>
      </c>
      <c r="BK70" s="206">
        <v>70.708833151581246</v>
      </c>
      <c r="BL70" s="206">
        <v>68.036755610531898</v>
      </c>
      <c r="BM70" s="206">
        <v>65.561385099685211</v>
      </c>
      <c r="BN70" s="206">
        <v>52.653813090998405</v>
      </c>
      <c r="BO70" s="206">
        <v>54.4592886802672</v>
      </c>
      <c r="BP70" s="206">
        <v>53.381622516556291</v>
      </c>
      <c r="BQ70" s="206">
        <v>52.04882915664065</v>
      </c>
      <c r="BR70" s="273">
        <v>50.357839947950552</v>
      </c>
      <c r="BS70" s="206">
        <v>48.945037474449236</v>
      </c>
      <c r="BT70" s="206">
        <v>49.438444924406042</v>
      </c>
      <c r="BU70" s="206">
        <v>48.701965547703175</v>
      </c>
      <c r="BV70" s="273">
        <v>47.66155250099812</v>
      </c>
      <c r="BW70" s="206">
        <v>47.83</v>
      </c>
      <c r="BX70" s="206">
        <v>45.457643622200585</v>
      </c>
      <c r="BY70" s="206">
        <v>43.971551861914655</v>
      </c>
      <c r="BZ70" s="273">
        <f>BZ16/IS!BW30*90</f>
        <v>45.140451795078668</v>
      </c>
      <c r="CA70" s="206">
        <f>CA16/IS!BX30*90</f>
        <v>43.58013251169902</v>
      </c>
      <c r="CB70" s="206">
        <f>CB16/IS!BY30*90</f>
        <v>43.996931684865991</v>
      </c>
      <c r="CC70" s="206">
        <f>CC16/IS!BZ30*90</f>
        <v>43.929099628019543</v>
      </c>
      <c r="CD70" s="273">
        <f>CD16/IS!CA30*90</f>
        <v>41.052843888664782</v>
      </c>
      <c r="CE70" s="206">
        <f>CE16/IS!CB30*90</f>
        <v>41.826521739130435</v>
      </c>
      <c r="CF70" s="206">
        <f>CF16/IS!CC30*90</f>
        <v>44.090154514110587</v>
      </c>
      <c r="CG70" s="206">
        <f>CG16/IS!CD30*90</f>
        <v>44.81099656357388</v>
      </c>
      <c r="CH70" s="273">
        <f>CH16/IS!CE30*90</f>
        <v>42.176882290562034</v>
      </c>
      <c r="CI70" s="206">
        <f>CI16/IS!CF30*90</f>
        <v>43.216713646161502</v>
      </c>
      <c r="CJ70" s="206">
        <f>CJ16/IS!CG30*90</f>
        <v>42.629282482223658</v>
      </c>
      <c r="CK70" s="206">
        <f>CK16/IS!CH30*90</f>
        <v>42.737674984783936</v>
      </c>
      <c r="CL70" s="273">
        <f>CL16/IS!CI30*90</f>
        <v>42.877409099940394</v>
      </c>
      <c r="CM70" s="206">
        <f>CM16/IS!CJ30*90</f>
        <v>42.934420446082086</v>
      </c>
      <c r="CN70" s="206">
        <f>CN16/IS!CK30*90</f>
        <v>43.341173748746819</v>
      </c>
      <c r="CO70" s="206">
        <f>CO16/IS!CL30*90</f>
        <v>43.854202999651207</v>
      </c>
      <c r="CP70" s="273">
        <f>CP16/IS!CM30*90</f>
        <v>42.021064950263309</v>
      </c>
      <c r="CQ70" s="206">
        <f>CQ16/IS!CN30*90</f>
        <v>41.880981784501394</v>
      </c>
      <c r="CR70" s="206">
        <f>CR16/IS!CO30*90</f>
        <v>40.687584956955142</v>
      </c>
      <c r="CS70" s="206">
        <f>CS16/IS!CP30*90</f>
        <v>40.170107974995261</v>
      </c>
      <c r="CT70" s="273">
        <f>CT16/IS!CQ30*90</f>
        <v>36.773619859207116</v>
      </c>
      <c r="CU70" s="206">
        <f>CU16/IS!CR30*90</f>
        <v>37.531595002905284</v>
      </c>
      <c r="CV70" s="206">
        <f>CV16/IS!CS30*90</f>
        <v>37.556694013542078</v>
      </c>
      <c r="CW70" s="274">
        <f>CW16/IS!CT30*90</f>
        <v>37.271064847376564</v>
      </c>
      <c r="CX70" s="206">
        <f>CX16/IS!CU30*90</f>
        <v>35.799872530274058</v>
      </c>
      <c r="CY70" s="206">
        <f>CY16/IS!CV30*90</f>
        <v>36.583698510078875</v>
      </c>
      <c r="CZ70" s="206">
        <f>CZ16/IS!CW30*90</f>
        <v>37.325473161650635</v>
      </c>
      <c r="DA70" s="206">
        <f>DA16/IS!CX30*90</f>
        <v>37.962099614288107</v>
      </c>
      <c r="DB70" s="273">
        <f>DB16/IS!CY30*90</f>
        <v>36.363201094391243</v>
      </c>
      <c r="DC70" s="206">
        <f>DC16/IS!CZ30*90</f>
        <v>37.071854874060087</v>
      </c>
      <c r="DD70" s="206">
        <f>DD16/IS!DA30*90</f>
        <v>36.185844233450631</v>
      </c>
      <c r="DE70" s="206">
        <f>DE16/IS!DB30*90</f>
        <v>36.192616061037114</v>
      </c>
      <c r="DF70" s="273">
        <f>DF16/IS!DC30*90</f>
        <v>35.574780058651029</v>
      </c>
      <c r="DG70" s="1071">
        <f>DG16/IS!DD30*90</f>
        <v>37.217030776590654</v>
      </c>
      <c r="DH70" s="1071">
        <f>DH16/IS!DE30*90</f>
        <v>37.848097258278983</v>
      </c>
      <c r="DI70" s="274">
        <f>DI16/IS!DF30*90</f>
        <v>37.941973969631235</v>
      </c>
      <c r="DJ70" s="273">
        <f>DJ16/IS!DG30*90</f>
        <v>36.361958700563179</v>
      </c>
      <c r="DK70" s="1071">
        <f>DK16/IS!DH30*90</f>
        <v>38.196798939293494</v>
      </c>
      <c r="DL70" s="1071">
        <f>DL16/IS!DI30*90</f>
        <v>36.163917336113329</v>
      </c>
      <c r="DM70" s="274">
        <f>DM16/IS!DJ30*90</f>
        <v>35.937509272721876</v>
      </c>
      <c r="DN70" s="273">
        <f>DN16/IS!DK30*90</f>
        <v>35.506857106743347</v>
      </c>
      <c r="DO70" s="1071">
        <f>DO16/IS!DL30*90</f>
        <v>39.187082405345208</v>
      </c>
      <c r="DP70" s="1071">
        <f>DP16/IS!DM30*90</f>
        <v>43.148333710443808</v>
      </c>
      <c r="DQ70" s="274">
        <f>DQ16/IS!DN30*90</f>
        <v>48.737476808905377</v>
      </c>
      <c r="DR70" s="1071">
        <f>DR16/IS!DO30*90</f>
        <v>50.904608573153553</v>
      </c>
      <c r="DS70" s="1071">
        <f>DS16/IS!DP30*90</f>
        <v>58.248985203613977</v>
      </c>
      <c r="DT70" s="1071">
        <f>DT16/IS!DQ30*90</f>
        <v>61.147334237159889</v>
      </c>
      <c r="DU70" s="1071">
        <f>DU16/IS!DR30*90</f>
        <v>62.269768811662495</v>
      </c>
      <c r="DV70" s="1071">
        <f>DV16/IS!DS30*90</f>
        <v>64.00446934407654</v>
      </c>
      <c r="DW70" s="3254">
        <f t="shared" ref="DW70" si="217">+DV70+0.5</f>
        <v>64.50446934407654</v>
      </c>
      <c r="DX70" s="3254">
        <f t="shared" ref="DX70" si="218">+DW70+0.5</f>
        <v>65.00446934407654</v>
      </c>
      <c r="DY70" s="275">
        <f t="shared" ref="DY70" si="219">+DX70+0.5</f>
        <v>65.50446934407654</v>
      </c>
      <c r="DZ70" s="1071"/>
    </row>
    <row r="71" spans="1:185">
      <c r="A71" s="206" t="s">
        <v>1266</v>
      </c>
      <c r="B71" s="206"/>
      <c r="C71" s="206"/>
      <c r="D71" s="206"/>
      <c r="E71" s="206"/>
      <c r="F71" s="206">
        <v>8.3744394618834086</v>
      </c>
      <c r="G71" s="206">
        <v>10.462940040600088</v>
      </c>
      <c r="H71" s="206">
        <v>18.507805468483287</v>
      </c>
      <c r="I71" s="206">
        <v>15.017007817628453</v>
      </c>
      <c r="J71" s="206">
        <v>17.983533540288839</v>
      </c>
      <c r="K71" s="206">
        <v>22.794148442875517</v>
      </c>
      <c r="L71" s="206">
        <v>13.47555454956994</v>
      </c>
      <c r="M71" s="206">
        <v>10.994367358153593</v>
      </c>
      <c r="N71" s="206">
        <f>N19/IS!N30*360</f>
        <v>7.792178161247854</v>
      </c>
      <c r="O71" s="206">
        <f>O19/IS!O30*360</f>
        <v>7.1551826792963462</v>
      </c>
      <c r="P71" s="206">
        <f>P19/IS!P30*360</f>
        <v>7.3745571393260274</v>
      </c>
      <c r="Q71" s="206">
        <f>Q19/IS!Q30*360</f>
        <v>18.44414283342935</v>
      </c>
      <c r="R71" s="206">
        <f>R19/IS!R30*360</f>
        <v>7.653266427901098</v>
      </c>
      <c r="S71" s="206">
        <f>S19/IS!S30*360</f>
        <v>13.861014656144308</v>
      </c>
      <c r="T71" s="206">
        <f>T19/IS!T30*360</f>
        <v>12.523336995734889</v>
      </c>
      <c r="U71" s="206">
        <f>U19/IS!U30*360</f>
        <v>10.222174054405549</v>
      </c>
      <c r="V71" s="206">
        <f>V19/IS!V30*360</f>
        <v>9.4355124859055532</v>
      </c>
      <c r="W71" s="206">
        <f>W19/IS!W30*360</f>
        <v>5.4491929439580904</v>
      </c>
      <c r="X71" s="206">
        <f>X19/IS!X30*360</f>
        <v>11.242915786537004</v>
      </c>
      <c r="Y71" s="206">
        <f>Y19/IS!Y30*360</f>
        <v>9.4460225018645758</v>
      </c>
      <c r="Z71" s="206">
        <f ca="1">Z19/IS!Z30*360</f>
        <v>12.494665676759482</v>
      </c>
      <c r="AA71" s="271">
        <f ca="1">+Z71</f>
        <v>12.494665676759482</v>
      </c>
      <c r="AB71" s="271">
        <f ca="1">+AA71</f>
        <v>12.494665676759482</v>
      </c>
      <c r="AC71" s="271">
        <f t="shared" ref="AC71:AG71" ca="1" si="220">+AB71</f>
        <v>12.494665676759482</v>
      </c>
      <c r="AD71" s="271">
        <f t="shared" ca="1" si="220"/>
        <v>12.494665676759482</v>
      </c>
      <c r="AE71" s="271">
        <f t="shared" ca="1" si="220"/>
        <v>12.494665676759482</v>
      </c>
      <c r="AF71" s="271">
        <f t="shared" ca="1" si="220"/>
        <v>12.494665676759482</v>
      </c>
      <c r="AG71" s="271">
        <f t="shared" ca="1" si="220"/>
        <v>12.494665676759482</v>
      </c>
      <c r="AH71" s="566"/>
      <c r="AI71" s="206"/>
      <c r="AJ71" s="206"/>
      <c r="AK71" s="206"/>
      <c r="AL71" s="206"/>
      <c r="AM71" s="206"/>
      <c r="AN71" s="272"/>
      <c r="AO71" s="272"/>
      <c r="AP71" s="206"/>
      <c r="AQ71" s="206"/>
      <c r="AR71" s="206"/>
      <c r="AS71" s="206"/>
      <c r="AT71" s="206"/>
      <c r="AU71" s="206"/>
      <c r="AV71" s="206"/>
      <c r="AW71" s="206"/>
      <c r="AX71" s="206"/>
      <c r="AY71" s="206"/>
      <c r="AZ71" s="206"/>
      <c r="BA71" s="206"/>
      <c r="BB71" s="206">
        <v>0</v>
      </c>
      <c r="BC71" s="206">
        <v>13.360686311077956</v>
      </c>
      <c r="BD71" s="206">
        <v>15.246773897620942</v>
      </c>
      <c r="BE71" s="206">
        <v>17.717630281062451</v>
      </c>
      <c r="BF71" s="206">
        <v>20.402295304498058</v>
      </c>
      <c r="BG71" s="206">
        <v>19.952629085741357</v>
      </c>
      <c r="BH71" s="206">
        <v>14.571226498497081</v>
      </c>
      <c r="BI71" s="206">
        <v>14.832016975126724</v>
      </c>
      <c r="BJ71" s="206">
        <v>18.870605833956621</v>
      </c>
      <c r="BK71" s="206">
        <v>17.208287895310797</v>
      </c>
      <c r="BL71" s="206">
        <v>15.813748012016257</v>
      </c>
      <c r="BM71" s="206">
        <v>17.476390346274922</v>
      </c>
      <c r="BN71" s="206">
        <v>24.856932334520447</v>
      </c>
      <c r="BO71" s="206">
        <v>24.340133598122403</v>
      </c>
      <c r="BP71" s="206">
        <v>21.946546830652792</v>
      </c>
      <c r="BQ71" s="206">
        <v>22.358706496860144</v>
      </c>
      <c r="BR71" s="273">
        <v>20.728692257644763</v>
      </c>
      <c r="BS71" s="206">
        <v>17.793549852373381</v>
      </c>
      <c r="BT71" s="206">
        <v>15.76009303871075</v>
      </c>
      <c r="BU71" s="206">
        <v>13.148189045936396</v>
      </c>
      <c r="BV71" s="273">
        <v>13.30006273883534</v>
      </c>
      <c r="BW71" s="206">
        <v>13.645</v>
      </c>
      <c r="BX71" s="206">
        <v>12.69717624148004</v>
      </c>
      <c r="BY71" s="206">
        <v>10.658462521975387</v>
      </c>
      <c r="BZ71" s="273">
        <f>BZ19/IS!BX30*90</f>
        <v>10.166334615206413</v>
      </c>
      <c r="CA71" s="206">
        <f>CA19/IS!BY30*90</f>
        <v>9.295641187618445</v>
      </c>
      <c r="CB71" s="206">
        <f>CB19/IS!BZ30*90</f>
        <v>8.4663648993860079</v>
      </c>
      <c r="CC71" s="206">
        <f>CC19/IS!CA30*90</f>
        <v>7.6159741831383618</v>
      </c>
      <c r="CD71" s="273">
        <f>CD19/IS!CB30*90</f>
        <v>9.7317391304347822</v>
      </c>
      <c r="CE71" s="206">
        <f>CE19/IS!CC30*90</f>
        <v>8.3897331119908056</v>
      </c>
      <c r="CF71" s="206">
        <f>CF19/IS!CD30*90</f>
        <v>6.9988545246277205</v>
      </c>
      <c r="CG71" s="206">
        <f>CG19/IS!CE30*90</f>
        <v>7.0091198303287374</v>
      </c>
      <c r="CH71" s="273">
        <f>CH19/IS!CF30*90</f>
        <v>8.5284364118719953</v>
      </c>
      <c r="CI71" s="206">
        <f>CI19/IS!CG30*90</f>
        <v>7.7157401422107306</v>
      </c>
      <c r="CJ71" s="206">
        <f>CJ19/IS!CH30*90</f>
        <v>11.861229458307973</v>
      </c>
      <c r="CK71" s="206">
        <f>CK19/IS!CI30*90</f>
        <v>7.1134512219352271</v>
      </c>
      <c r="CL71" s="273">
        <f>CL19/IS!CJ30*90</f>
        <v>11.793736035435694</v>
      </c>
      <c r="CM71" s="206">
        <f>CM19/IS!CK30*90</f>
        <v>18.528186936068483</v>
      </c>
      <c r="CN71" s="206">
        <f>CN19/IS!CL30*90</f>
        <v>18.451342867108476</v>
      </c>
      <c r="CO71" s="206">
        <f>CO19/IS!CM30*90</f>
        <v>18.421299005266238</v>
      </c>
      <c r="CP71" s="273">
        <f>CP19/IS!CN30*90</f>
        <v>20.027014510651437</v>
      </c>
      <c r="CQ71" s="206">
        <f>CQ19/IS!CO30*90</f>
        <v>9.4913910285455376</v>
      </c>
      <c r="CR71" s="206">
        <f>CR19/IS!CP30*90</f>
        <v>8.1254025383595376</v>
      </c>
      <c r="CS71" s="206">
        <f>CS19/IS!CQ30*90</f>
        <v>7.4027417562060016</v>
      </c>
      <c r="CT71" s="273">
        <f>CT19/IS!CR30*90</f>
        <v>9.543869843114468</v>
      </c>
      <c r="CU71" s="206">
        <f>CU19/IS!CS30*90</f>
        <v>9.3214631175437965</v>
      </c>
      <c r="CV71" s="206">
        <f>CV19/IS!CT30*90</f>
        <v>13.011323674215783</v>
      </c>
      <c r="CW71" s="274">
        <f>CW19/IS!CU30*90</f>
        <v>13.604206500956023</v>
      </c>
      <c r="CX71" s="206">
        <f>CX19/IS!CV30*90</f>
        <v>14.775460122699386</v>
      </c>
      <c r="CY71" s="206">
        <f>CY19/IS!CW30*90</f>
        <v>12.103630158237666</v>
      </c>
      <c r="CZ71" s="206">
        <f>CZ19/IS!CX30*90</f>
        <v>12.385376488344795</v>
      </c>
      <c r="DA71" s="206">
        <f>DA19/IS!CY30*90</f>
        <v>12.376538987688098</v>
      </c>
      <c r="DB71" s="273">
        <f>DB19/IS!CZ30*90</f>
        <v>19.758910206696562</v>
      </c>
      <c r="DC71" s="206">
        <f>DC19/IS!DA30*90</f>
        <v>18.808512050992629</v>
      </c>
      <c r="DD71" s="206">
        <f>DD19/IS!DB30*90</f>
        <v>8.9034010086641668</v>
      </c>
      <c r="DE71" s="206">
        <f>DE19/IS!DC30*90</f>
        <v>9.9882697947214076</v>
      </c>
      <c r="DF71" s="273">
        <f>DF19/IS!DD30*90</f>
        <v>19.277308244299153</v>
      </c>
      <c r="DG71" s="1071">
        <f>DG19/IS!DE30*90</f>
        <v>6.9068574684987016</v>
      </c>
      <c r="DH71" s="1071">
        <f>DH19/IS!DF30*90</f>
        <v>6.5916485900216921</v>
      </c>
      <c r="DI71" s="274">
        <f>DI19/IS!DG30*90</f>
        <v>9.5185974736708143</v>
      </c>
      <c r="DJ71" s="273">
        <f>DJ19/IS!DH30*90</f>
        <v>9.194052467089687</v>
      </c>
      <c r="DK71" s="1071">
        <f>DK19/IS!DI30*90</f>
        <v>7.7764150364873981</v>
      </c>
      <c r="DL71" s="1071">
        <f>DL19/IS!DJ30*90</f>
        <v>6.056793566956471</v>
      </c>
      <c r="DM71" s="274">
        <f>DM19/IS!DK30*90</f>
        <v>5.5713202300448712</v>
      </c>
      <c r="DN71" s="273">
        <f>DN19/IS!DL30*90</f>
        <v>10.087121708371544</v>
      </c>
      <c r="DO71" s="1071">
        <f>DO19/IS!DM30*90</f>
        <v>10.021980153214598</v>
      </c>
      <c r="DP71" s="1071">
        <f>DP19/IS!DN30*90</f>
        <v>8.4322820037105739</v>
      </c>
      <c r="DQ71" s="274">
        <f>DQ19/IS!DO30*90</f>
        <v>11.827329442543771</v>
      </c>
      <c r="DR71" s="1071">
        <f>DR19/IS!DP30*90</f>
        <v>13.685020295927721</v>
      </c>
      <c r="DS71" s="1071">
        <f>DS19/IS!DQ30*90</f>
        <v>9.5144559699845512</v>
      </c>
      <c r="DT71" s="1071">
        <f>DT19/IS!DR30*90</f>
        <v>8.6938595199528788</v>
      </c>
      <c r="DU71" s="1071">
        <f>DU19/IS!DS30*90</f>
        <v>9.3676822359310083</v>
      </c>
      <c r="DV71" s="1071">
        <f ca="1">DV19/IS!DT30*90</f>
        <v>12.007966302086503</v>
      </c>
      <c r="DW71" s="3254">
        <f t="shared" ref="DW71" ca="1" si="221">+DV71</f>
        <v>12.007966302086503</v>
      </c>
      <c r="DX71" s="3254">
        <f t="shared" ref="DX71" ca="1" si="222">+DW71</f>
        <v>12.007966302086503</v>
      </c>
      <c r="DY71" s="275">
        <f t="shared" ref="DY71" ca="1" si="223">+DX71</f>
        <v>12.007966302086503</v>
      </c>
      <c r="DZ71" s="1071"/>
    </row>
    <row r="72" spans="1:185">
      <c r="A72" s="206" t="s">
        <v>1267</v>
      </c>
      <c r="B72" s="206"/>
      <c r="C72" s="206"/>
      <c r="D72" s="206"/>
      <c r="E72" s="206"/>
      <c r="F72" s="206">
        <v>14.451528952504878</v>
      </c>
      <c r="G72" s="206">
        <v>14.109140988121879</v>
      </c>
      <c r="H72" s="206">
        <v>18.315974534508936</v>
      </c>
      <c r="I72" s="206">
        <v>18.552910676408199</v>
      </c>
      <c r="J72" s="206">
        <v>14.349388928828182</v>
      </c>
      <c r="K72" s="206">
        <v>11.384183622331362</v>
      </c>
      <c r="L72" s="206">
        <v>12.830872109222625</v>
      </c>
      <c r="M72" s="206">
        <v>14.208740770305328</v>
      </c>
      <c r="N72" s="206">
        <f>N17/IS!N45*360</f>
        <v>9.2870774263904039</v>
      </c>
      <c r="O72" s="206">
        <f>O17/IS!O45*360</f>
        <v>10.086533787068547</v>
      </c>
      <c r="P72" s="206">
        <f>P17/IS!P45*360</f>
        <v>11.671936023805095</v>
      </c>
      <c r="Q72" s="206">
        <f>Q17/IS!Q45*360</f>
        <v>11.751518781552152</v>
      </c>
      <c r="R72" s="206">
        <f>R17/IS!R45*360</f>
        <v>5.8124197002141322</v>
      </c>
      <c r="S72" s="206">
        <f>S17/IS!S45*360</f>
        <v>4.4865760689426581</v>
      </c>
      <c r="T72" s="206">
        <f>T17/IS!T45*360</f>
        <v>4.9506217059816819</v>
      </c>
      <c r="U72" s="206">
        <f>U17/IS!U45*360</f>
        <v>4.711920954702939</v>
      </c>
      <c r="V72" s="206">
        <f>V17/IS!V45*360</f>
        <v>4.9669135684284837</v>
      </c>
      <c r="W72" s="206">
        <f>W17/IS!W45*360</f>
        <v>5.299283975873867</v>
      </c>
      <c r="X72" s="206">
        <f>X17/IS!X45*360</f>
        <v>5.3278173826321424</v>
      </c>
      <c r="Y72" s="206">
        <f>Y17/IS!Y45*360</f>
        <v>4.6895196341509502</v>
      </c>
      <c r="Z72" s="206">
        <f ca="1">Z17/IS!Z45*360</f>
        <v>6.5363577737761096</v>
      </c>
      <c r="AA72" s="271">
        <f ca="1">Z72</f>
        <v>6.5363577737761096</v>
      </c>
      <c r="AB72" s="271">
        <f ca="1">AA72</f>
        <v>6.5363577737761096</v>
      </c>
      <c r="AC72" s="271">
        <f t="shared" ref="AC72:AG72" ca="1" si="224">AB72</f>
        <v>6.5363577737761096</v>
      </c>
      <c r="AD72" s="271">
        <f t="shared" ca="1" si="224"/>
        <v>6.5363577737761096</v>
      </c>
      <c r="AE72" s="271">
        <f t="shared" ca="1" si="224"/>
        <v>6.5363577737761096</v>
      </c>
      <c r="AF72" s="271">
        <f t="shared" ca="1" si="224"/>
        <v>6.5363577737761096</v>
      </c>
      <c r="AG72" s="271">
        <f t="shared" ca="1" si="224"/>
        <v>6.5363577737761096</v>
      </c>
      <c r="AH72" s="566"/>
      <c r="AI72" s="206"/>
      <c r="AJ72" s="206"/>
      <c r="AK72" s="206"/>
      <c r="AL72" s="206"/>
      <c r="AM72" s="206"/>
      <c r="AN72" s="272"/>
      <c r="AO72" s="272"/>
      <c r="AP72" s="206"/>
      <c r="AQ72" s="206"/>
      <c r="AR72" s="206"/>
      <c r="AS72" s="206"/>
      <c r="AT72" s="206"/>
      <c r="AU72" s="206"/>
      <c r="AV72" s="206"/>
      <c r="AW72" s="206"/>
      <c r="AX72" s="206"/>
      <c r="AY72" s="206"/>
      <c r="AZ72" s="206"/>
      <c r="BA72" s="206"/>
      <c r="BB72" s="206">
        <v>0</v>
      </c>
      <c r="BC72" s="206">
        <v>13.416209234743301</v>
      </c>
      <c r="BD72" s="206">
        <v>14.241779291263171</v>
      </c>
      <c r="BE72" s="206">
        <v>17.321644498186217</v>
      </c>
      <c r="BF72" s="206">
        <v>20.220394736842103</v>
      </c>
      <c r="BG72" s="206">
        <v>19.505558496559026</v>
      </c>
      <c r="BH72" s="206">
        <v>20.95763323368725</v>
      </c>
      <c r="BI72" s="206">
        <v>17.853039008164501</v>
      </c>
      <c r="BJ72" s="206">
        <v>17.357284549261625</v>
      </c>
      <c r="BK72" s="206">
        <v>17.651612903225807</v>
      </c>
      <c r="BL72" s="206">
        <v>14.919137466307278</v>
      </c>
      <c r="BM72" s="206">
        <v>14.127083988675684</v>
      </c>
      <c r="BN72" s="206">
        <v>11.285054260234233</v>
      </c>
      <c r="BO72" s="206">
        <v>11.327762302692664</v>
      </c>
      <c r="BP72" s="206">
        <v>11.138313253012049</v>
      </c>
      <c r="BQ72" s="206">
        <v>10.783252634577044</v>
      </c>
      <c r="BR72" s="273">
        <v>11.167375338229609</v>
      </c>
      <c r="BS72" s="206">
        <v>11.396489903755425</v>
      </c>
      <c r="BT72" s="206">
        <v>11.366612111292962</v>
      </c>
      <c r="BU72" s="206">
        <v>12.419093851132688</v>
      </c>
      <c r="BV72" s="273">
        <v>12.013165112452004</v>
      </c>
      <c r="BW72" s="206">
        <v>11.078536847767616</v>
      </c>
      <c r="BX72" s="206">
        <v>11.767725097868638</v>
      </c>
      <c r="BY72" s="206">
        <v>13.91591382904795</v>
      </c>
      <c r="BZ72" s="273">
        <f>BZ17/IS!BX45*90</f>
        <v>10.257421631720987</v>
      </c>
      <c r="CA72" s="206">
        <f>CA17/IS!BY45*90</f>
        <v>10.161579892280072</v>
      </c>
      <c r="CB72" s="206">
        <f>CB17/IS!BZ45*90</f>
        <v>9.8389982110912335</v>
      </c>
      <c r="CC72" s="206">
        <f>CC17/IS!CA45*90</f>
        <v>9.0936999466097177</v>
      </c>
      <c r="CD72" s="273">
        <f>CD17/IS!CB45*90</f>
        <v>10.42900852809062</v>
      </c>
      <c r="CE72" s="206">
        <f>CE17/IS!CC45*90</f>
        <v>10.284894837476099</v>
      </c>
      <c r="CF72" s="206">
        <f>CF17/IS!CD45*90</f>
        <v>10.254545454545454</v>
      </c>
      <c r="CG72" s="206">
        <f>CG17/IS!CE45*90</f>
        <v>9.9545803480040931</v>
      </c>
      <c r="CH72" s="273">
        <f>CH17/IS!CF45*90</f>
        <v>9.4297531018924676</v>
      </c>
      <c r="CI72" s="206">
        <f>CI17/IS!CG45*90</f>
        <v>12.00577895497231</v>
      </c>
      <c r="CJ72" s="206">
        <f>CJ17/IS!CH45*90</f>
        <v>13.702364906261487</v>
      </c>
      <c r="CK72" s="206">
        <f>CK17/IS!CI45*90</f>
        <v>10.947148090005234</v>
      </c>
      <c r="CL72" s="273">
        <f>CL17/IS!CJ45*90</f>
        <v>11.390106088560886</v>
      </c>
      <c r="CM72" s="206">
        <f>CM17/IS!CK45*90</f>
        <v>14.051423427478339</v>
      </c>
      <c r="CN72" s="206">
        <f>CN17/IS!CL45*90</f>
        <v>12.909856781802864</v>
      </c>
      <c r="CO72" s="206">
        <f>CO17/IS!CM45*90</f>
        <v>11.79221522610189</v>
      </c>
      <c r="CP72" s="273">
        <f>CP17/IS!CN45*90</f>
        <v>5.7728215767634854</v>
      </c>
      <c r="CQ72" s="206">
        <f>CQ17/IS!CO45*90</f>
        <v>5.0115891231839003</v>
      </c>
      <c r="CR72" s="206">
        <f>CR17/IS!CP45*90</f>
        <v>5.182735617766121</v>
      </c>
      <c r="CS72" s="206">
        <f>CS17/IS!CQ45*90</f>
        <v>5.4982984929508998</v>
      </c>
      <c r="CT72" s="273">
        <f>CT17/IS!CR45*90</f>
        <v>6.0466245750364251</v>
      </c>
      <c r="CU72" s="206">
        <f>CU17/IS!CS45*90</f>
        <v>6.0934001492696455</v>
      </c>
      <c r="CV72" s="206">
        <f>CV17/IS!CT45*90</f>
        <v>5.2881822351322434</v>
      </c>
      <c r="CW72" s="274">
        <f>CW17/IS!CU45*90</f>
        <v>4.4481833955518164</v>
      </c>
      <c r="CX72" s="206">
        <f>CX17/IS!CV45*90</f>
        <v>5.0961487242316093</v>
      </c>
      <c r="CY72" s="206">
        <f>CY17/IS!CW45*90</f>
        <v>4.0605070363147631</v>
      </c>
      <c r="CZ72" s="206">
        <f>CZ17/IS!CX45*90</f>
        <v>5.1417760545615927</v>
      </c>
      <c r="DA72" s="206">
        <f>DA17/IS!CY45*90</f>
        <v>5.1163405605499737</v>
      </c>
      <c r="DB72" s="273">
        <f>DB17/IS!CZ45*90</f>
        <v>3.7414044592623465</v>
      </c>
      <c r="DC72" s="206">
        <f>DC17/IS!DA45*90</f>
        <v>4.8938617588622817</v>
      </c>
      <c r="DD72" s="206">
        <f>DD17/IS!DB45*90</f>
        <v>5.1874577253840952</v>
      </c>
      <c r="DE72" s="206">
        <f>DE17/IS!DC45*90</f>
        <v>4.7322026908603538</v>
      </c>
      <c r="DF72" s="273">
        <f>DF17/IS!DD45*90</f>
        <v>3.9209771535950941</v>
      </c>
      <c r="DG72" s="1071">
        <f>DG17/IS!DE45*90</f>
        <v>4.704077159140728</v>
      </c>
      <c r="DH72" s="1071">
        <f>DH17/IS!DF45*90</f>
        <v>4.6346983218754003</v>
      </c>
      <c r="DI72" s="274">
        <f>DI17/IS!DG45*90</f>
        <v>5.1794359870227105</v>
      </c>
      <c r="DJ72" s="273">
        <f>DJ17/IS!DH45*90</f>
        <v>4.7417127748127115</v>
      </c>
      <c r="DK72" s="1071">
        <f>DK17/IS!DI45*90</f>
        <v>4.861320045129748</v>
      </c>
      <c r="DL72" s="1071">
        <f>DL17/IS!DJ45*90</f>
        <v>5.0898254941474077</v>
      </c>
      <c r="DM72" s="274">
        <f>DM17/IS!DK45*90</f>
        <v>5.5812571202139782</v>
      </c>
      <c r="DN72" s="273">
        <f>DN17/IS!DL45*90</f>
        <v>5.2835038297434842</v>
      </c>
      <c r="DO72" s="1071">
        <f>DO17/IS!DM45*90</f>
        <v>4.262386814528436</v>
      </c>
      <c r="DP72" s="1071">
        <f>DP17/IS!DN45*90</f>
        <v>5.4117432364615174</v>
      </c>
      <c r="DQ72" s="274">
        <f>DQ17/IS!DO45*90</f>
        <v>5.864050303555941</v>
      </c>
      <c r="DR72" s="1071">
        <f>DR17/IS!DP45*90</f>
        <v>5.6073888541014405</v>
      </c>
      <c r="DS72" s="1071">
        <f>DS17/IS!DQ45*90</f>
        <v>5.1200489371463522</v>
      </c>
      <c r="DT72" s="1071">
        <f>DT17/IS!DR45*90</f>
        <v>5.1851182951056529</v>
      </c>
      <c r="DU72" s="1071">
        <f>DU17/IS!DS45*90</f>
        <v>4.7135693663576967</v>
      </c>
      <c r="DV72" s="1071">
        <f ca="1">DV17/IS!DT45*90</f>
        <v>5.9491603253074405</v>
      </c>
      <c r="DW72" s="3254">
        <f t="shared" ref="DW72" ca="1" si="225">DV72</f>
        <v>5.9491603253074405</v>
      </c>
      <c r="DX72" s="3254">
        <f t="shared" ref="DX72" ca="1" si="226">DW72</f>
        <v>5.9491603253074405</v>
      </c>
      <c r="DY72" s="275">
        <f t="shared" ref="DY72" ca="1" si="227">DX72</f>
        <v>5.9491603253074405</v>
      </c>
      <c r="DZ72" s="1071"/>
    </row>
    <row r="73" spans="1:185">
      <c r="A73" s="206" t="s">
        <v>1268</v>
      </c>
      <c r="B73" s="206"/>
      <c r="C73" s="206"/>
      <c r="D73" s="206"/>
      <c r="E73" s="206"/>
      <c r="F73" s="206">
        <v>121.63175016265453</v>
      </c>
      <c r="G73" s="206">
        <v>112.35668789808916</v>
      </c>
      <c r="H73" s="206">
        <v>133.91758344210331</v>
      </c>
      <c r="I73" s="206">
        <v>131.48244166863068</v>
      </c>
      <c r="J73" s="206">
        <v>121.17900790797988</v>
      </c>
      <c r="K73" s="206">
        <v>132.17199558985666</v>
      </c>
      <c r="L73" s="206">
        <v>110.14488715519644</v>
      </c>
      <c r="M73" s="206">
        <v>98.591099580921977</v>
      </c>
      <c r="N73" s="206">
        <f>N39/IS!N45*360</f>
        <v>87.840785169029445</v>
      </c>
      <c r="O73" s="206">
        <f>O39/IS!O45*360</f>
        <v>84.367525522605746</v>
      </c>
      <c r="P73" s="206">
        <f>P39/IS!P45*360</f>
        <v>77.07271712851032</v>
      </c>
      <c r="Q73" s="206">
        <f>Q39/IS!Q45*360</f>
        <v>78.153503893214676</v>
      </c>
      <c r="R73" s="206">
        <f>R39/IS!R45*360</f>
        <v>80.695503211991436</v>
      </c>
      <c r="S73" s="206">
        <f>S39/IS!S45*360</f>
        <v>70.109910507126287</v>
      </c>
      <c r="T73" s="206">
        <f>T39/IS!T45*360</f>
        <v>74.521823670879598</v>
      </c>
      <c r="U73" s="206">
        <f>U39/IS!U45*360</f>
        <v>76.005132811497504</v>
      </c>
      <c r="V73" s="206">
        <f>V39/IS!V45*360</f>
        <v>71.854395768765926</v>
      </c>
      <c r="W73" s="206">
        <f>W39/IS!W45*360</f>
        <v>81.952664809001448</v>
      </c>
      <c r="X73" s="206">
        <f>X39/IS!X45*360</f>
        <v>86.845196321057884</v>
      </c>
      <c r="Y73" s="206">
        <f>Y39/IS!Y45*360</f>
        <v>96.293888657923588</v>
      </c>
      <c r="Z73" s="206">
        <f ca="1">Z39/IS!Z45*360</f>
        <v>86.737721990996292</v>
      </c>
      <c r="AA73" s="271">
        <f t="shared" ref="AA73:AB74" ca="1" si="228">+Z73</f>
        <v>86.737721990996292</v>
      </c>
      <c r="AB73" s="271">
        <f t="shared" ca="1" si="228"/>
        <v>86.737721990996292</v>
      </c>
      <c r="AC73" s="271">
        <f t="shared" ref="AC73:AC74" ca="1" si="229">+AB73</f>
        <v>86.737721990996292</v>
      </c>
      <c r="AD73" s="271">
        <f t="shared" ref="AD73:AD74" ca="1" si="230">+AC73</f>
        <v>86.737721990996292</v>
      </c>
      <c r="AE73" s="271">
        <f t="shared" ref="AE73:AE74" ca="1" si="231">+AD73</f>
        <v>86.737721990996292</v>
      </c>
      <c r="AF73" s="271">
        <f t="shared" ref="AF73:AF74" ca="1" si="232">+AE73</f>
        <v>86.737721990996292</v>
      </c>
      <c r="AG73" s="271">
        <f t="shared" ref="AG73:AG74" ca="1" si="233">+AF73</f>
        <v>86.737721990996292</v>
      </c>
      <c r="AH73" s="566"/>
      <c r="AI73" s="206"/>
      <c r="AJ73" s="206"/>
      <c r="AK73" s="206"/>
      <c r="AL73" s="206"/>
      <c r="AM73" s="206"/>
      <c r="AN73" s="272"/>
      <c r="AO73" s="272"/>
      <c r="AP73" s="206"/>
      <c r="AQ73" s="206"/>
      <c r="AR73" s="206"/>
      <c r="AS73" s="206"/>
      <c r="AT73" s="206"/>
      <c r="AU73" s="206"/>
      <c r="AV73" s="206"/>
      <c r="AW73" s="206"/>
      <c r="AX73" s="206"/>
      <c r="AY73" s="206"/>
      <c r="AZ73" s="206"/>
      <c r="BA73" s="206"/>
      <c r="BB73" s="206">
        <v>0</v>
      </c>
      <c r="BC73" s="206">
        <v>128.59218598643849</v>
      </c>
      <c r="BD73" s="206">
        <v>142.96371182292222</v>
      </c>
      <c r="BE73" s="206">
        <v>126.64752116082225</v>
      </c>
      <c r="BF73" s="206">
        <v>124.44078947368421</v>
      </c>
      <c r="BG73" s="206">
        <v>111.86871360508206</v>
      </c>
      <c r="BH73" s="206">
        <v>110.818472322441</v>
      </c>
      <c r="BI73" s="206">
        <v>126.52252797097067</v>
      </c>
      <c r="BJ73" s="206">
        <v>128.43398721622216</v>
      </c>
      <c r="BK73" s="206">
        <v>125.27419354838709</v>
      </c>
      <c r="BL73" s="206">
        <v>131.76238855484138</v>
      </c>
      <c r="BM73" s="206">
        <v>119.30166719094055</v>
      </c>
      <c r="BN73" s="206">
        <v>121.31191576232943</v>
      </c>
      <c r="BO73" s="206">
        <v>116.62952646239555</v>
      </c>
      <c r="BP73" s="206">
        <v>109.61349397590361</v>
      </c>
      <c r="BQ73" s="206">
        <v>125.19510111079465</v>
      </c>
      <c r="BR73" s="273">
        <v>109.99516814843447</v>
      </c>
      <c r="BS73" s="206">
        <v>105.6170975655784</v>
      </c>
      <c r="BT73" s="206">
        <v>108.76432078559739</v>
      </c>
      <c r="BU73" s="206">
        <v>106.61003236245955</v>
      </c>
      <c r="BV73" s="273">
        <v>108.6286341195831</v>
      </c>
      <c r="BW73" s="206">
        <v>103.0150618612157</v>
      </c>
      <c r="BX73" s="206">
        <v>99.904306220095691</v>
      </c>
      <c r="BY73" s="206">
        <v>96.559242529534401</v>
      </c>
      <c r="BZ73" s="273">
        <f>BZ39/IS!BX45*90</f>
        <v>89.943948515673654</v>
      </c>
      <c r="CA73" s="206">
        <f>CA39/IS!BY45*90</f>
        <v>85.786953919808496</v>
      </c>
      <c r="CB73" s="206">
        <f>CB39/IS!BZ45*90</f>
        <v>86.469886702444839</v>
      </c>
      <c r="CC73" s="206">
        <f>CC39/IS!CA45*90</f>
        <v>86.011745862253065</v>
      </c>
      <c r="CD73" s="273">
        <f>CD39/IS!CB45*90</f>
        <v>77.977345224920256</v>
      </c>
      <c r="CE73" s="206">
        <f>CE39/IS!CC45*90</f>
        <v>77.678776290630978</v>
      </c>
      <c r="CF73" s="206">
        <f>CF39/IS!CD45*90</f>
        <v>81.783732057416273</v>
      </c>
      <c r="CG73" s="206">
        <f>CG39/IS!CE45*90</f>
        <v>83.263817809621287</v>
      </c>
      <c r="CH73" s="273">
        <f>CH39/IS!CF45*90</f>
        <v>77.045369093871415</v>
      </c>
      <c r="CI73" s="206">
        <f>CI39/IS!CG45*90</f>
        <v>72.050927040693466</v>
      </c>
      <c r="CJ73" s="206">
        <f>CJ39/IS!CH45*90</f>
        <v>75.624923416248009</v>
      </c>
      <c r="CK73" s="206">
        <f>CK39/IS!CI45*90</f>
        <v>72.286760858189439</v>
      </c>
      <c r="CL73" s="273">
        <f>CL39/IS!CJ45*90</f>
        <v>74.738814575645762</v>
      </c>
      <c r="CM73" s="206">
        <f>CM39/IS!CK45*90</f>
        <v>74.358613705412409</v>
      </c>
      <c r="CN73" s="206">
        <f>CN39/IS!CL45*90</f>
        <v>74.016849199663014</v>
      </c>
      <c r="CO73" s="206">
        <f>CO39/IS!CM45*90</f>
        <v>78.424155695477964</v>
      </c>
      <c r="CP73" s="273">
        <f>CP39/IS!CN45*90</f>
        <v>75.565352697095435</v>
      </c>
      <c r="CQ73" s="206">
        <f>CQ39/IS!CO45*90</f>
        <v>86.011080332409975</v>
      </c>
      <c r="CR73" s="206">
        <f>CR39/IS!CP45*90</f>
        <v>82.57483322880438</v>
      </c>
      <c r="CS73" s="206">
        <f>CS39/IS!CQ45*90</f>
        <v>76.334467671366056</v>
      </c>
      <c r="CT73" s="273">
        <f>CT39/IS!CR45*90</f>
        <v>67.071393880524525</v>
      </c>
      <c r="CU73" s="206">
        <f>CU39/IS!CS45*90</f>
        <v>68.313253012048193</v>
      </c>
      <c r="CV73" s="206">
        <f>CV39/IS!CT45*90</f>
        <v>66.439382357437708</v>
      </c>
      <c r="CW73" s="274">
        <f>CW39/IS!CU45*90</f>
        <v>69.509963720490035</v>
      </c>
      <c r="CX73" s="206">
        <f>CX39/IS!CV45*90</f>
        <v>63.430991317317428</v>
      </c>
      <c r="CY73" s="206">
        <f>CY39/IS!CW45*90</f>
        <v>66.282085068254887</v>
      </c>
      <c r="CZ73" s="206">
        <f>CZ39/IS!CX45*90</f>
        <v>67.280328864390157</v>
      </c>
      <c r="DA73" s="206">
        <f>DA39/IS!CY45*90</f>
        <v>77.016393442622956</v>
      </c>
      <c r="DB73" s="273">
        <f>DB39/IS!CZ45*90</f>
        <v>65.779329026880603</v>
      </c>
      <c r="DC73" s="206">
        <f>DC39/IS!DA45*90</f>
        <v>69.036390254104361</v>
      </c>
      <c r="DD73" s="206">
        <f>DD39/IS!DB45*90</f>
        <v>67.928302251425251</v>
      </c>
      <c r="DE73" s="206">
        <f>DE39/IS!DC45*90</f>
        <v>76.332285169338633</v>
      </c>
      <c r="DF73" s="273">
        <f>DF39/IS!DD45*90</f>
        <v>66.687765799624174</v>
      </c>
      <c r="DG73" s="1071">
        <f>DG39/IS!DE45*90</f>
        <v>72.42875931608944</v>
      </c>
      <c r="DH73" s="1071">
        <f>DH39/IS!DF45*90</f>
        <v>65.542935223536446</v>
      </c>
      <c r="DI73" s="274">
        <f>DI39/IS!DG45*90</f>
        <v>74.928874469678064</v>
      </c>
      <c r="DJ73" s="273">
        <f>DJ39/IS!DH45*90</f>
        <v>66.934828379767907</v>
      </c>
      <c r="DK73" s="1071">
        <f>DK39/IS!DI45*90</f>
        <v>71.726682963520119</v>
      </c>
      <c r="DL73" s="1071">
        <f>DL39/IS!DJ45*90</f>
        <v>68.382712344038069</v>
      </c>
      <c r="DM73" s="274">
        <f>DM39/IS!DK45*90</f>
        <v>86.313338946951319</v>
      </c>
      <c r="DN73" s="273">
        <f>DN39/IS!DL45*90</f>
        <v>83.823574769958356</v>
      </c>
      <c r="DO73" s="1071">
        <f>DO39/IS!DM45*90</f>
        <v>87.399531997151286</v>
      </c>
      <c r="DP73" s="1071">
        <f>DP39/IS!DN45*90</f>
        <v>73.916693279802914</v>
      </c>
      <c r="DQ73" s="274">
        <f>DQ39/IS!DO45*90</f>
        <v>95.585971379011269</v>
      </c>
      <c r="DR73" s="1071">
        <f>DR39/IS!DP45*90</f>
        <v>69.627426424546016</v>
      </c>
      <c r="DS73" s="1071">
        <f>DS39/IS!DQ45*90</f>
        <v>81.778559412754248</v>
      </c>
      <c r="DT73" s="1071">
        <f>DT39/IS!DR45*90</f>
        <v>74.907892360484013</v>
      </c>
      <c r="DU73" s="1071">
        <f>DU39/IS!DS45*90</f>
        <v>96.787722230664031</v>
      </c>
      <c r="DV73" s="1071">
        <f ca="1">DV39/IS!DT45*90</f>
        <v>78.945589001667301</v>
      </c>
      <c r="DW73" s="3254">
        <f t="shared" ref="DW73:DW74" ca="1" si="234">+DV73</f>
        <v>78.945589001667301</v>
      </c>
      <c r="DX73" s="3254">
        <f t="shared" ref="DX73:DX74" ca="1" si="235">+DW73</f>
        <v>78.945589001667301</v>
      </c>
      <c r="DY73" s="275">
        <f t="shared" ref="DY73:DY74" ca="1" si="236">+DX73</f>
        <v>78.945589001667301</v>
      </c>
      <c r="DZ73" s="1071"/>
    </row>
    <row r="74" spans="1:185">
      <c r="A74" s="206" t="s">
        <v>1269</v>
      </c>
      <c r="B74" s="206"/>
      <c r="C74" s="206"/>
      <c r="D74" s="206"/>
      <c r="E74" s="206"/>
      <c r="F74" s="206">
        <v>15.119063109954457</v>
      </c>
      <c r="G74" s="206">
        <v>13.974866586331554</v>
      </c>
      <c r="H74" s="206">
        <v>36.411390213366722</v>
      </c>
      <c r="I74" s="206">
        <v>37.605467829366013</v>
      </c>
      <c r="J74" s="206">
        <v>38.408818595734481</v>
      </c>
      <c r="K74" s="206">
        <v>33.403828806254388</v>
      </c>
      <c r="L74" s="206">
        <v>34.012259682362775</v>
      </c>
      <c r="M74" s="206">
        <v>28.209938136100579</v>
      </c>
      <c r="N74" s="206">
        <f>N49/IS!N45*360</f>
        <v>24.272764449291166</v>
      </c>
      <c r="O74" s="206">
        <f>O49/IS!O45*360</f>
        <v>37.347593582887704</v>
      </c>
      <c r="P74" s="206">
        <f>P49/IS!P45*360</f>
        <v>35.15529105449135</v>
      </c>
      <c r="Q74" s="206">
        <f>Q49/IS!Q45*360</f>
        <v>34.730897578506031</v>
      </c>
      <c r="R74" s="206">
        <f>R49/IS!R45*360</f>
        <v>32.181584582441111</v>
      </c>
      <c r="S74" s="206">
        <f>S49/IS!S45*360</f>
        <v>26.117600265164068</v>
      </c>
      <c r="T74" s="206">
        <f>T49/IS!T45*360</f>
        <v>28.055058077060842</v>
      </c>
      <c r="U74" s="206">
        <f>U49/IS!U45*360</f>
        <v>26.114205055819326</v>
      </c>
      <c r="V74" s="206">
        <f>V49/IS!V45*360</f>
        <v>24.011774701145161</v>
      </c>
      <c r="W74" s="206">
        <f>W49/IS!W45*360</f>
        <v>53.331452153363195</v>
      </c>
      <c r="X74" s="206">
        <f>X49/IS!X45*360</f>
        <v>54.275477412920615</v>
      </c>
      <c r="Y74" s="206">
        <f>Y49/IS!Y45*360</f>
        <v>56.387618579689331</v>
      </c>
      <c r="Z74" s="206">
        <f ca="1">Z49/IS!Z45*360</f>
        <v>64.697225311018173</v>
      </c>
      <c r="AA74" s="271">
        <f t="shared" ca="1" si="228"/>
        <v>64.697225311018173</v>
      </c>
      <c r="AB74" s="271">
        <f t="shared" ca="1" si="228"/>
        <v>64.697225311018173</v>
      </c>
      <c r="AC74" s="271">
        <f t="shared" ca="1" si="229"/>
        <v>64.697225311018173</v>
      </c>
      <c r="AD74" s="271">
        <f t="shared" ca="1" si="230"/>
        <v>64.697225311018173</v>
      </c>
      <c r="AE74" s="271">
        <f t="shared" ca="1" si="231"/>
        <v>64.697225311018173</v>
      </c>
      <c r="AF74" s="271">
        <f t="shared" ca="1" si="232"/>
        <v>64.697225311018173</v>
      </c>
      <c r="AG74" s="271">
        <f t="shared" ca="1" si="233"/>
        <v>64.697225311018173</v>
      </c>
      <c r="AH74" s="566"/>
      <c r="AI74" s="206"/>
      <c r="AJ74" s="206"/>
      <c r="AK74" s="206"/>
      <c r="AL74" s="206"/>
      <c r="AM74" s="206"/>
      <c r="AN74" s="272"/>
      <c r="AO74" s="272"/>
      <c r="AP74" s="206"/>
      <c r="AQ74" s="206"/>
      <c r="AR74" s="206"/>
      <c r="AS74" s="206"/>
      <c r="AT74" s="206"/>
      <c r="AU74" s="206"/>
      <c r="AV74" s="206"/>
      <c r="AW74" s="206"/>
      <c r="AX74" s="206"/>
      <c r="AY74" s="206"/>
      <c r="AZ74" s="206"/>
      <c r="BA74" s="206"/>
      <c r="BB74" s="206">
        <v>0</v>
      </c>
      <c r="BC74" s="206">
        <v>15.276073619631902</v>
      </c>
      <c r="BD74" s="206">
        <v>14.548260083005216</v>
      </c>
      <c r="BE74" s="206">
        <v>34.434703748488516</v>
      </c>
      <c r="BF74" s="206">
        <v>35.141447368421055</v>
      </c>
      <c r="BG74" s="206">
        <v>35.037586024351512</v>
      </c>
      <c r="BH74" s="206">
        <v>34.382022471910112</v>
      </c>
      <c r="BI74" s="206">
        <v>36.186876322951314</v>
      </c>
      <c r="BJ74" s="206">
        <v>42.09389464403791</v>
      </c>
      <c r="BK74" s="206">
        <v>39.164516129032258</v>
      </c>
      <c r="BL74" s="206">
        <v>36.770682148040642</v>
      </c>
      <c r="BM74" s="206">
        <v>37.813777917584147</v>
      </c>
      <c r="BN74" s="206">
        <v>38.284087246158805</v>
      </c>
      <c r="BO74" s="206">
        <v>35.311049210770655</v>
      </c>
      <c r="BP74" s="206">
        <v>35.566265060240966</v>
      </c>
      <c r="BQ74" s="206">
        <v>31.6405582455141</v>
      </c>
      <c r="BR74" s="273">
        <v>31.684383455740239</v>
      </c>
      <c r="BS74" s="206">
        <v>30.274580109454615</v>
      </c>
      <c r="BT74" s="206">
        <v>28.854337152209489</v>
      </c>
      <c r="BU74" s="206">
        <v>32.920711974110034</v>
      </c>
      <c r="BV74" s="273">
        <v>33.077345035655512</v>
      </c>
      <c r="BW74" s="206">
        <v>31.888111888111887</v>
      </c>
      <c r="BX74" s="206">
        <v>31.145715528490648</v>
      </c>
      <c r="BY74" s="206">
        <v>27.628561501042388</v>
      </c>
      <c r="BZ74" s="273">
        <f>BZ49/IS!BX45*90</f>
        <v>28.299771642100893</v>
      </c>
      <c r="CA74" s="206">
        <f>CA49/IS!BY45*90</f>
        <v>25.894673847995211</v>
      </c>
      <c r="CB74" s="206">
        <f>CB49/IS!BZ45*90</f>
        <v>25.485986881335716</v>
      </c>
      <c r="CC74" s="206">
        <f>CC49/IS!CA45*90</f>
        <v>23.767351841964761</v>
      </c>
      <c r="CD74" s="273">
        <f>CD49/IS!CB45*90</f>
        <v>41.159429724627302</v>
      </c>
      <c r="CE74" s="206">
        <f>CE49/IS!CC45*90</f>
        <v>39.384321223709371</v>
      </c>
      <c r="CF74" s="206">
        <f>CF49/IS!CD45*90</f>
        <v>37.004784688995215</v>
      </c>
      <c r="CG74" s="206">
        <f>CG49/IS!CE45*90</f>
        <v>36.859007164790178</v>
      </c>
      <c r="CH74" s="273">
        <f>CH49/IS!CF45*90</f>
        <v>34.070058904624638</v>
      </c>
      <c r="CI74" s="206">
        <f>CI49/IS!CG45*90</f>
        <v>31.726462797977366</v>
      </c>
      <c r="CJ74" s="206">
        <f>CJ49/IS!CH45*90</f>
        <v>33.376424457787039</v>
      </c>
      <c r="CK74" s="206">
        <f>CK49/IS!CI45*90</f>
        <v>32.972265829408684</v>
      </c>
      <c r="CL74" s="273">
        <f>CL49/IS!CJ45*90</f>
        <v>33.24665590405904</v>
      </c>
      <c r="CM74" s="206">
        <f>CM49/IS!CK45*90</f>
        <v>32.619556655789353</v>
      </c>
      <c r="CN74" s="206">
        <f>CN49/IS!CL45*90</f>
        <v>33.411962931760741</v>
      </c>
      <c r="CO74" s="206">
        <f>CO49/IS!CM45*90</f>
        <v>34.851173440183167</v>
      </c>
      <c r="CP74" s="273">
        <f>CP49/IS!CN45*90</f>
        <v>35.129668049792528</v>
      </c>
      <c r="CQ74" s="206">
        <f>CQ49/IS!CO45*90</f>
        <v>33.534399909548306</v>
      </c>
      <c r="CR74" s="206">
        <f>CR49/IS!CP45*90</f>
        <v>32.912936883516736</v>
      </c>
      <c r="CS74" s="206">
        <f>CS49/IS!CQ45*90</f>
        <v>30.442391832766166</v>
      </c>
      <c r="CT74" s="273">
        <f>CT49/IS!CR45*90</f>
        <v>29.150072850898493</v>
      </c>
      <c r="CU74" s="206">
        <f>CU49/IS!CS45*90</f>
        <v>26.633436400469133</v>
      </c>
      <c r="CV74" s="206">
        <f>CV49/IS!CT45*90</f>
        <v>25.129185139886868</v>
      </c>
      <c r="CW74" s="274">
        <f>CW49/IS!CU45*90</f>
        <v>25.894105894105898</v>
      </c>
      <c r="CX74" s="206">
        <f>CX49/IS!CV45*90</f>
        <v>25.586214243860866</v>
      </c>
      <c r="CY74" s="206">
        <f>CY49/IS!CW45*90</f>
        <v>24.92278501027776</v>
      </c>
      <c r="CZ74" s="206">
        <f>CZ49/IS!CX45*90</f>
        <v>24.548512168916709</v>
      </c>
      <c r="DA74" s="206">
        <f>DA49/IS!CY45*90</f>
        <v>28.994182971972499</v>
      </c>
      <c r="DB74" s="273">
        <f>DB49/IS!CZ45*90</f>
        <v>28.482496353406962</v>
      </c>
      <c r="DC74" s="206">
        <f>DC49/IS!DA45*90</f>
        <v>26.713897312558817</v>
      </c>
      <c r="DD74" s="206">
        <f>DD49/IS!DB45*90</f>
        <v>24.445840177794953</v>
      </c>
      <c r="DE74" s="206">
        <f>DE49/IS!DC45*90</f>
        <v>26.226609619052528</v>
      </c>
      <c r="DF74" s="273">
        <f>DF49/IS!DD45*90</f>
        <v>27.44684007516566</v>
      </c>
      <c r="DG74" s="1071">
        <f>DG49/IS!DE45*90</f>
        <v>25.677334502411224</v>
      </c>
      <c r="DH74" s="1071">
        <f>DH49/IS!DF45*90</f>
        <v>22.097442247747555</v>
      </c>
      <c r="DI74" s="274">
        <f>DI49/IS!DG45*90</f>
        <v>25.039181432493137</v>
      </c>
      <c r="DJ74" s="273">
        <f>DJ49/IS!DH45*90</f>
        <v>53.009352200949905</v>
      </c>
      <c r="DK74" s="1071">
        <f>DK49/IS!DI45*90</f>
        <v>51.249059796916129</v>
      </c>
      <c r="DL74" s="1071">
        <f>DL49/IS!DJ45*90</f>
        <v>46.773142391630579</v>
      </c>
      <c r="DM74" s="274">
        <f>DM49/IS!DK45*90</f>
        <v>56.169201050076779</v>
      </c>
      <c r="DN74" s="273">
        <f>DN49/IS!DL45*90</f>
        <v>57.017426618002361</v>
      </c>
      <c r="DO74" s="1071">
        <f>DO49/IS!DM45*90</f>
        <v>54.536575440024414</v>
      </c>
      <c r="DP74" s="1071">
        <f>DP49/IS!DN45*90</f>
        <v>47.531365482001917</v>
      </c>
      <c r="DQ74" s="274">
        <f>DQ49/IS!DO45*90</f>
        <v>59.738183000867302</v>
      </c>
      <c r="DR74" s="1071">
        <f>DR49/IS!DP45*90</f>
        <v>57.600187852222916</v>
      </c>
      <c r="DS74" s="1071">
        <f>DS49/IS!DQ45*90</f>
        <v>58.66952133353724</v>
      </c>
      <c r="DT74" s="1071">
        <f>DT49/IS!DR45*90</f>
        <v>50.827162723496485</v>
      </c>
      <c r="DU74" s="1071">
        <f>DU49/IS!DS45*90</f>
        <v>56.676796839386107</v>
      </c>
      <c r="DV74" s="1071">
        <f ca="1">DV49/IS!DT45*90</f>
        <v>58.885112978665639</v>
      </c>
      <c r="DW74" s="3254">
        <f t="shared" ca="1" si="234"/>
        <v>58.885112978665639</v>
      </c>
      <c r="DX74" s="3254">
        <f t="shared" ca="1" si="235"/>
        <v>58.885112978665639</v>
      </c>
      <c r="DY74" s="275">
        <f t="shared" ca="1" si="236"/>
        <v>58.885112978665639</v>
      </c>
      <c r="DZ74" s="1071"/>
    </row>
    <row r="75" spans="1:185">
      <c r="A75" s="206"/>
      <c r="B75" s="206"/>
      <c r="C75" s="206"/>
      <c r="D75" s="206"/>
      <c r="E75" s="206"/>
      <c r="F75" s="206"/>
      <c r="G75" s="206"/>
      <c r="H75" s="206"/>
      <c r="I75" s="206"/>
      <c r="J75" s="206"/>
      <c r="K75" s="206"/>
      <c r="L75" s="206"/>
      <c r="M75" s="206"/>
      <c r="N75" s="206"/>
      <c r="O75" s="206"/>
      <c r="P75" s="206"/>
      <c r="Q75" s="206"/>
      <c r="R75" s="206"/>
      <c r="S75" s="206"/>
      <c r="T75" s="206"/>
      <c r="U75" s="206"/>
      <c r="V75" s="206"/>
      <c r="W75" s="206"/>
      <c r="X75" s="206"/>
      <c r="Y75" s="206"/>
      <c r="Z75" s="206"/>
      <c r="AA75" s="206"/>
      <c r="AB75" s="206"/>
      <c r="AC75" s="206"/>
      <c r="AD75" s="206"/>
      <c r="AE75" s="206"/>
      <c r="AF75" s="206"/>
      <c r="AG75" s="206"/>
      <c r="AH75" s="566"/>
      <c r="AI75" s="206"/>
      <c r="AJ75" s="206"/>
      <c r="AK75" s="206"/>
      <c r="AL75" s="206"/>
      <c r="AM75" s="206"/>
      <c r="AN75" s="272"/>
      <c r="AO75" s="272"/>
      <c r="AP75" s="206"/>
      <c r="AQ75" s="206"/>
      <c r="AR75" s="206"/>
      <c r="AS75" s="206"/>
      <c r="AT75" s="206"/>
      <c r="AU75" s="206"/>
      <c r="AV75" s="206"/>
      <c r="AW75" s="206"/>
      <c r="AX75" s="206"/>
      <c r="AY75" s="206"/>
      <c r="AZ75" s="206"/>
      <c r="BA75" s="206"/>
      <c r="BB75" s="206"/>
      <c r="BC75" s="206"/>
      <c r="BD75" s="206"/>
      <c r="BE75" s="206"/>
      <c r="BF75" s="206"/>
      <c r="BG75" s="206"/>
      <c r="BH75" s="206"/>
      <c r="BI75" s="206"/>
      <c r="BJ75" s="206"/>
      <c r="BK75" s="206"/>
      <c r="BL75" s="206"/>
      <c r="BM75" s="206"/>
      <c r="BN75" s="206"/>
      <c r="BO75" s="206"/>
      <c r="BP75" s="206"/>
      <c r="BQ75" s="206"/>
      <c r="BR75" s="273"/>
      <c r="BS75" s="206"/>
      <c r="BT75" s="206"/>
      <c r="BU75" s="206"/>
      <c r="BV75" s="273"/>
      <c r="BW75" s="206"/>
      <c r="BX75" s="206"/>
      <c r="BY75" s="206"/>
      <c r="BZ75" s="273"/>
      <c r="CA75" s="206"/>
      <c r="CB75" s="206"/>
      <c r="CC75" s="206"/>
      <c r="CD75" s="273"/>
      <c r="CE75" s="206"/>
      <c r="CF75" s="206"/>
      <c r="CG75" s="206"/>
      <c r="CH75" s="273"/>
      <c r="CI75" s="206"/>
      <c r="CJ75" s="206"/>
      <c r="CK75" s="206"/>
      <c r="CL75" s="273"/>
      <c r="CM75" s="206"/>
      <c r="CN75" s="206"/>
      <c r="CO75" s="206"/>
      <c r="CP75" s="273"/>
      <c r="CQ75" s="206"/>
      <c r="CR75" s="206"/>
      <c r="CS75" s="206"/>
      <c r="CT75" s="273"/>
      <c r="CU75" s="206"/>
      <c r="CV75" s="206"/>
      <c r="CW75" s="274"/>
      <c r="CX75" s="206"/>
      <c r="CY75" s="206"/>
      <c r="CZ75" s="206"/>
      <c r="DA75" s="206"/>
      <c r="DB75" s="273"/>
      <c r="DC75" s="206"/>
      <c r="DD75" s="206"/>
      <c r="DE75" s="206"/>
      <c r="DF75" s="273"/>
      <c r="DG75" s="1071"/>
      <c r="DH75" s="1071"/>
      <c r="DI75" s="274"/>
      <c r="DJ75" s="273"/>
      <c r="DK75" s="1071"/>
      <c r="DL75" s="1071"/>
      <c r="DM75" s="274"/>
      <c r="DN75" s="273"/>
      <c r="DO75" s="1071"/>
      <c r="DP75" s="1071"/>
      <c r="DQ75" s="274"/>
      <c r="DR75" s="1071"/>
      <c r="DS75" s="1071"/>
      <c r="DT75" s="1071"/>
      <c r="DU75" s="1071"/>
      <c r="DV75" s="1071"/>
      <c r="DW75" s="1071"/>
      <c r="DX75" s="1071"/>
      <c r="DY75" s="274"/>
      <c r="DZ75" s="1071"/>
    </row>
    <row r="76" spans="1:185">
      <c r="A76" s="109" t="s">
        <v>1270</v>
      </c>
      <c r="B76" s="109"/>
      <c r="C76" s="109"/>
      <c r="D76" s="109"/>
      <c r="E76" s="109"/>
      <c r="F76" s="109">
        <v>1333</v>
      </c>
      <c r="G76" s="109">
        <v>3275</v>
      </c>
      <c r="H76" s="109">
        <v>1966</v>
      </c>
      <c r="I76" s="109">
        <v>2857</v>
      </c>
      <c r="J76" s="109">
        <v>2009</v>
      </c>
      <c r="K76" s="109">
        <v>-2387</v>
      </c>
      <c r="L76" s="109">
        <v>-2347</v>
      </c>
      <c r="M76" s="109">
        <v>-2250</v>
      </c>
      <c r="N76" s="109">
        <f t="shared" ref="N76:U76" si="237">(N20-N13)-(N42-N38)</f>
        <v>-5246</v>
      </c>
      <c r="O76" s="109">
        <f t="shared" si="237"/>
        <v>-4242</v>
      </c>
      <c r="P76" s="109">
        <f t="shared" si="237"/>
        <v>-4620</v>
      </c>
      <c r="Q76" s="109">
        <f t="shared" si="237"/>
        <v>-1332</v>
      </c>
      <c r="R76" s="109">
        <f t="shared" si="237"/>
        <v>-7375</v>
      </c>
      <c r="S76" s="109">
        <f t="shared" si="237"/>
        <v>-8335</v>
      </c>
      <c r="T76" s="109">
        <f t="shared" si="237"/>
        <v>-4445</v>
      </c>
      <c r="U76" s="109">
        <f t="shared" si="237"/>
        <v>-5651</v>
      </c>
      <c r="V76" s="109">
        <f t="shared" ref="V76:AB76" si="238">(V20-V13)-(V42-V38)</f>
        <v>-6304</v>
      </c>
      <c r="W76" s="109">
        <f t="shared" si="238"/>
        <v>-10753</v>
      </c>
      <c r="X76" s="109">
        <f t="shared" si="238"/>
        <v>-4180</v>
      </c>
      <c r="Y76" s="109">
        <f t="shared" si="238"/>
        <v>-1750</v>
      </c>
      <c r="Z76" s="109">
        <f t="shared" ca="1" si="238"/>
        <v>2568.0655429313992</v>
      </c>
      <c r="AA76" s="109">
        <f t="shared" ca="1" si="238"/>
        <v>2981.4084300232171</v>
      </c>
      <c r="AB76" s="109">
        <f t="shared" ca="1" si="238"/>
        <v>3352.6691334089192</v>
      </c>
      <c r="AC76" s="109">
        <f t="shared" ref="AC76:AG76" ca="1" si="239">(AC20-AC13)-(AC42-AC38)</f>
        <v>3745.9655325682252</v>
      </c>
      <c r="AD76" s="109">
        <f t="shared" ca="1" si="239"/>
        <v>4159.1673091355988</v>
      </c>
      <c r="AE76" s="109">
        <f t="shared" ca="1" si="239"/>
        <v>4592.8301209127021</v>
      </c>
      <c r="AF76" s="109">
        <f t="shared" ca="1" si="239"/>
        <v>5048.828449549801</v>
      </c>
      <c r="AG76" s="109">
        <f t="shared" ca="1" si="239"/>
        <v>5529.7304740851832</v>
      </c>
      <c r="AH76" s="536"/>
      <c r="AI76" s="109"/>
      <c r="AJ76" s="109"/>
      <c r="AK76" s="109"/>
      <c r="AL76" s="109"/>
      <c r="AM76" s="109"/>
      <c r="AN76" s="276"/>
      <c r="AO76" s="276"/>
      <c r="AP76" s="109"/>
      <c r="AQ76" s="109"/>
      <c r="AR76" s="109"/>
      <c r="AS76" s="109"/>
      <c r="AT76" s="109"/>
      <c r="AU76" s="109"/>
      <c r="AV76" s="109"/>
      <c r="AW76" s="109"/>
      <c r="AX76" s="109"/>
      <c r="AY76" s="109"/>
      <c r="AZ76" s="109"/>
      <c r="BA76" s="109"/>
      <c r="BB76" s="109">
        <v>0</v>
      </c>
      <c r="BC76" s="109">
        <v>733</v>
      </c>
      <c r="BD76" s="109">
        <v>-854</v>
      </c>
      <c r="BE76" s="109">
        <v>1966</v>
      </c>
      <c r="BF76" s="109">
        <v>3302</v>
      </c>
      <c r="BG76" s="109">
        <v>3471</v>
      </c>
      <c r="BH76" s="109">
        <v>3072</v>
      </c>
      <c r="BI76" s="109">
        <v>2857</v>
      </c>
      <c r="BJ76" s="109">
        <v>5969</v>
      </c>
      <c r="BK76" s="109">
        <v>3004</v>
      </c>
      <c r="BL76" s="109">
        <v>-379</v>
      </c>
      <c r="BM76" s="109">
        <v>2009</v>
      </c>
      <c r="BN76" s="109">
        <v>-386</v>
      </c>
      <c r="BO76" s="109">
        <v>-934</v>
      </c>
      <c r="BP76" s="109">
        <v>-1939</v>
      </c>
      <c r="BQ76" s="109">
        <v>-2387</v>
      </c>
      <c r="BR76" s="171">
        <v>-1444</v>
      </c>
      <c r="BS76" s="109">
        <v>-1558</v>
      </c>
      <c r="BT76" s="109">
        <v>-2728</v>
      </c>
      <c r="BU76" s="109">
        <v>-2347</v>
      </c>
      <c r="BV76" s="171">
        <v>-3124</v>
      </c>
      <c r="BW76" s="109">
        <v>-3491</v>
      </c>
      <c r="BX76" s="109">
        <v>-3935</v>
      </c>
      <c r="BY76" s="109">
        <v>-2250</v>
      </c>
      <c r="BZ76" s="171">
        <f t="shared" ref="BZ76:DE76" si="240">(BZ20-BZ13)-(BZ42-BZ38)</f>
        <v>-5096</v>
      </c>
      <c r="CA76" s="109">
        <f t="shared" si="240"/>
        <v>-3923</v>
      </c>
      <c r="CB76" s="109">
        <f t="shared" si="240"/>
        <v>-4015</v>
      </c>
      <c r="CC76" s="109">
        <f t="shared" si="240"/>
        <v>-5246</v>
      </c>
      <c r="CD76" s="171">
        <f t="shared" si="240"/>
        <v>-4709</v>
      </c>
      <c r="CE76" s="109">
        <f t="shared" si="240"/>
        <v>-4928</v>
      </c>
      <c r="CF76" s="109">
        <f t="shared" si="240"/>
        <v>-5772</v>
      </c>
      <c r="CG76" s="109">
        <f t="shared" si="240"/>
        <v>-4242</v>
      </c>
      <c r="CH76" s="171">
        <f t="shared" si="240"/>
        <v>-4069</v>
      </c>
      <c r="CI76" s="109">
        <f t="shared" si="240"/>
        <v>-3155</v>
      </c>
      <c r="CJ76" s="109">
        <f t="shared" si="240"/>
        <v>-2543</v>
      </c>
      <c r="CK76" s="109">
        <f t="shared" si="240"/>
        <v>-4620</v>
      </c>
      <c r="CL76" s="171">
        <f t="shared" si="240"/>
        <v>-3711</v>
      </c>
      <c r="CM76" s="109">
        <f t="shared" si="240"/>
        <v>-284</v>
      </c>
      <c r="CN76" s="109">
        <f t="shared" si="240"/>
        <v>-1055</v>
      </c>
      <c r="CO76" s="109">
        <f t="shared" si="240"/>
        <v>-1332</v>
      </c>
      <c r="CP76" s="171">
        <f t="shared" si="240"/>
        <v>-1566</v>
      </c>
      <c r="CQ76" s="109">
        <f t="shared" si="240"/>
        <v>-7660</v>
      </c>
      <c r="CR76" s="109">
        <f t="shared" si="240"/>
        <v>-7010</v>
      </c>
      <c r="CS76" s="109">
        <f t="shared" si="240"/>
        <v>-7375</v>
      </c>
      <c r="CT76" s="171">
        <f t="shared" si="240"/>
        <v>-5008</v>
      </c>
      <c r="CU76" s="109">
        <f t="shared" si="240"/>
        <v>-5087</v>
      </c>
      <c r="CV76" s="109">
        <f t="shared" si="240"/>
        <v>-8560</v>
      </c>
      <c r="CW76" s="172">
        <f t="shared" si="240"/>
        <v>-8335</v>
      </c>
      <c r="CX76" s="109">
        <f t="shared" si="240"/>
        <v>-2189</v>
      </c>
      <c r="CY76" s="109">
        <f t="shared" si="240"/>
        <v>-3312</v>
      </c>
      <c r="CZ76" s="109">
        <f t="shared" si="240"/>
        <v>-4486</v>
      </c>
      <c r="DA76" s="109">
        <f t="shared" si="240"/>
        <v>-4445</v>
      </c>
      <c r="DB76" s="171">
        <f t="shared" si="240"/>
        <v>-818</v>
      </c>
      <c r="DC76" s="109">
        <f t="shared" si="240"/>
        <v>-1061</v>
      </c>
      <c r="DD76" s="109">
        <f t="shared" si="240"/>
        <v>-5094</v>
      </c>
      <c r="DE76" s="109">
        <f t="shared" si="240"/>
        <v>-5651</v>
      </c>
      <c r="DF76" s="171">
        <f>(DF20-DF13)-(DF42-DF38)</f>
        <v>-2836</v>
      </c>
      <c r="DG76" s="1044">
        <f>(DG20-DG13)-(DG42-DG38)</f>
        <v>-7099</v>
      </c>
      <c r="DH76" s="1044">
        <f>(DH20-DH13)-(DH42-DH38)</f>
        <v>-7731</v>
      </c>
      <c r="DI76" s="172">
        <f>(DI20-DI13)-(DI42-DI38)</f>
        <v>-6304</v>
      </c>
      <c r="DJ76" s="171">
        <f t="shared" ref="DJ76:DM76" si="241">(DJ20-DJ13)-(DJ42-DJ38)</f>
        <v>-5824</v>
      </c>
      <c r="DK76" s="1044">
        <f t="shared" si="241"/>
        <v>-7945</v>
      </c>
      <c r="DL76" s="1044">
        <f t="shared" si="241"/>
        <v>-9335</v>
      </c>
      <c r="DM76" s="172">
        <f t="shared" si="241"/>
        <v>-10753</v>
      </c>
      <c r="DN76" s="171">
        <f t="shared" ref="DN76:DO76" si="242">(DN20-DN13)-(DN42-DN38)</f>
        <v>-9278</v>
      </c>
      <c r="DO76" s="1044">
        <f t="shared" si="242"/>
        <v>-9618</v>
      </c>
      <c r="DP76" s="1044">
        <f t="shared" ref="DP76:DQ76" si="243">(DP20-DP13)-(DP42-DP38)</f>
        <v>-7266</v>
      </c>
      <c r="DQ76" s="172">
        <f t="shared" si="243"/>
        <v>-4180</v>
      </c>
      <c r="DR76" s="1044">
        <f t="shared" ref="DR76:DS76" si="244">(DR20-DR13)-(DR42-DR38)</f>
        <v>-106</v>
      </c>
      <c r="DS76" s="1044">
        <f t="shared" si="244"/>
        <v>-2365</v>
      </c>
      <c r="DT76" s="1044">
        <f t="shared" ref="DT76:DU76" si="245">(DT20-DT13)-(DT42-DT38)</f>
        <v>-370</v>
      </c>
      <c r="DU76" s="1044">
        <f t="shared" si="245"/>
        <v>-1750</v>
      </c>
      <c r="DV76" s="1044">
        <f t="shared" ref="DV76" si="246">(DV20-DV13)-(DV42-DV38)</f>
        <v>3810</v>
      </c>
      <c r="DW76" s="1044">
        <f t="shared" ref="DW76:DY76" ca="1" si="247">(DW20-DW13)-(DW42-DW38)</f>
        <v>2818.3046325067844</v>
      </c>
      <c r="DX76" s="1044">
        <f t="shared" ca="1" si="247"/>
        <v>3242.4625516380474</v>
      </c>
      <c r="DY76" s="172">
        <f t="shared" ca="1" si="247"/>
        <v>2568.0655429313992</v>
      </c>
      <c r="DZ76" s="1044"/>
    </row>
    <row r="77" spans="1:185">
      <c r="A77" s="109" t="s">
        <v>1271</v>
      </c>
      <c r="B77" s="109"/>
      <c r="C77" s="109"/>
      <c r="D77" s="109"/>
      <c r="E77" s="109"/>
      <c r="F77" s="109">
        <v>1333</v>
      </c>
      <c r="G77" s="109">
        <v>1942</v>
      </c>
      <c r="H77" s="109">
        <v>-1309</v>
      </c>
      <c r="I77" s="109">
        <v>891</v>
      </c>
      <c r="J77" s="109">
        <v>-848</v>
      </c>
      <c r="K77" s="109">
        <v>-4396</v>
      </c>
      <c r="L77" s="109">
        <v>40</v>
      </c>
      <c r="M77" s="109">
        <v>97</v>
      </c>
      <c r="N77" s="109">
        <f t="shared" ref="N77:AB77" si="248">N76-M76</f>
        <v>-2996</v>
      </c>
      <c r="O77" s="109">
        <f t="shared" si="248"/>
        <v>1004</v>
      </c>
      <c r="P77" s="109">
        <f t="shared" si="248"/>
        <v>-378</v>
      </c>
      <c r="Q77" s="109">
        <f t="shared" si="248"/>
        <v>3288</v>
      </c>
      <c r="R77" s="109">
        <f t="shared" si="248"/>
        <v>-6043</v>
      </c>
      <c r="S77" s="109">
        <f t="shared" si="248"/>
        <v>-960</v>
      </c>
      <c r="T77" s="109">
        <f t="shared" si="248"/>
        <v>3890</v>
      </c>
      <c r="U77" s="109">
        <f t="shared" si="248"/>
        <v>-1206</v>
      </c>
      <c r="V77" s="109">
        <f>V76-U76</f>
        <v>-653</v>
      </c>
      <c r="W77" s="109">
        <f>W76-V76</f>
        <v>-4449</v>
      </c>
      <c r="X77" s="109">
        <f>X76-W76</f>
        <v>6573</v>
      </c>
      <c r="Y77" s="109">
        <f>Y76-X76</f>
        <v>2430</v>
      </c>
      <c r="Z77" s="109">
        <f ca="1">Z76-Y76</f>
        <v>4318.0655429313992</v>
      </c>
      <c r="AA77" s="109">
        <f t="shared" ca="1" si="248"/>
        <v>413.34288709181783</v>
      </c>
      <c r="AB77" s="109">
        <f t="shared" ca="1" si="248"/>
        <v>371.26070338570207</v>
      </c>
      <c r="AC77" s="109">
        <f t="shared" ref="AC77" ca="1" si="249">AC76-AB76</f>
        <v>393.29639915930602</v>
      </c>
      <c r="AD77" s="109">
        <f t="shared" ref="AD77" ca="1" si="250">AD76-AC76</f>
        <v>413.2017765673736</v>
      </c>
      <c r="AE77" s="109">
        <f t="shared" ref="AE77" ca="1" si="251">AE76-AD76</f>
        <v>433.66281177710334</v>
      </c>
      <c r="AF77" s="109">
        <f t="shared" ref="AF77" ca="1" si="252">AF76-AE76</f>
        <v>455.99832863709889</v>
      </c>
      <c r="AG77" s="109">
        <f t="shared" ref="AG77" ca="1" si="253">AG76-AF76</f>
        <v>480.90202453538222</v>
      </c>
      <c r="AH77" s="536"/>
      <c r="AI77" s="109"/>
      <c r="AJ77" s="109"/>
      <c r="AK77" s="109"/>
      <c r="AL77" s="109"/>
      <c r="AM77" s="109"/>
      <c r="AN77" s="276"/>
      <c r="AO77" s="276"/>
      <c r="AP77" s="109"/>
      <c r="AQ77" s="109"/>
      <c r="AR77" s="109"/>
      <c r="AS77" s="109"/>
      <c r="AT77" s="109"/>
      <c r="AU77" s="109"/>
      <c r="AV77" s="109"/>
      <c r="AW77" s="109"/>
      <c r="AX77" s="109"/>
      <c r="AY77" s="109"/>
      <c r="AZ77" s="109"/>
      <c r="BA77" s="109"/>
      <c r="BB77" s="109">
        <v>0</v>
      </c>
      <c r="BC77" s="109">
        <v>733</v>
      </c>
      <c r="BD77" s="109">
        <v>-1587</v>
      </c>
      <c r="BE77" s="109">
        <v>2820</v>
      </c>
      <c r="BF77" s="109">
        <v>1336</v>
      </c>
      <c r="BG77" s="109">
        <v>169</v>
      </c>
      <c r="BH77" s="109">
        <v>-399</v>
      </c>
      <c r="BI77" s="109">
        <v>-215</v>
      </c>
      <c r="BJ77" s="109">
        <v>3112</v>
      </c>
      <c r="BK77" s="109">
        <v>-2965</v>
      </c>
      <c r="BL77" s="109">
        <v>-3383</v>
      </c>
      <c r="BM77" s="109">
        <v>2388</v>
      </c>
      <c r="BN77" s="109">
        <v>-2395</v>
      </c>
      <c r="BO77" s="109">
        <v>-548</v>
      </c>
      <c r="BP77" s="109">
        <v>-1005</v>
      </c>
      <c r="BQ77" s="109">
        <v>-448</v>
      </c>
      <c r="BR77" s="171">
        <v>943</v>
      </c>
      <c r="BS77" s="109">
        <v>-114</v>
      </c>
      <c r="BT77" s="109">
        <v>-1170</v>
      </c>
      <c r="BU77" s="109">
        <v>381</v>
      </c>
      <c r="BV77" s="171">
        <v>-777</v>
      </c>
      <c r="BW77" s="109">
        <v>-367</v>
      </c>
      <c r="BX77" s="109">
        <v>-444</v>
      </c>
      <c r="BY77" s="109">
        <v>1685</v>
      </c>
      <c r="BZ77" s="171">
        <f t="shared" ref="BZ77:DV77" si="254">BZ76-BY76</f>
        <v>-2846</v>
      </c>
      <c r="CA77" s="109">
        <f t="shared" si="254"/>
        <v>1173</v>
      </c>
      <c r="CB77" s="109">
        <f t="shared" si="254"/>
        <v>-92</v>
      </c>
      <c r="CC77" s="109">
        <f t="shared" si="254"/>
        <v>-1231</v>
      </c>
      <c r="CD77" s="171">
        <f t="shared" si="254"/>
        <v>537</v>
      </c>
      <c r="CE77" s="109">
        <f t="shared" si="254"/>
        <v>-219</v>
      </c>
      <c r="CF77" s="109">
        <f t="shared" si="254"/>
        <v>-844</v>
      </c>
      <c r="CG77" s="109">
        <f t="shared" si="254"/>
        <v>1530</v>
      </c>
      <c r="CH77" s="171">
        <f t="shared" si="254"/>
        <v>173</v>
      </c>
      <c r="CI77" s="109">
        <f t="shared" si="254"/>
        <v>914</v>
      </c>
      <c r="CJ77" s="109">
        <f t="shared" si="254"/>
        <v>612</v>
      </c>
      <c r="CK77" s="109">
        <f t="shared" si="254"/>
        <v>-2077</v>
      </c>
      <c r="CL77" s="171">
        <f t="shared" si="254"/>
        <v>909</v>
      </c>
      <c r="CM77" s="109">
        <f t="shared" si="254"/>
        <v>3427</v>
      </c>
      <c r="CN77" s="109">
        <f t="shared" si="254"/>
        <v>-771</v>
      </c>
      <c r="CO77" s="109">
        <f t="shared" si="254"/>
        <v>-277</v>
      </c>
      <c r="CP77" s="171">
        <f t="shared" si="254"/>
        <v>-234</v>
      </c>
      <c r="CQ77" s="109">
        <f t="shared" si="254"/>
        <v>-6094</v>
      </c>
      <c r="CR77" s="109">
        <f t="shared" si="254"/>
        <v>650</v>
      </c>
      <c r="CS77" s="109">
        <f t="shared" si="254"/>
        <v>-365</v>
      </c>
      <c r="CT77" s="171">
        <f t="shared" si="254"/>
        <v>2367</v>
      </c>
      <c r="CU77" s="109">
        <f t="shared" si="254"/>
        <v>-79</v>
      </c>
      <c r="CV77" s="109">
        <f t="shared" si="254"/>
        <v>-3473</v>
      </c>
      <c r="CW77" s="172">
        <f t="shared" si="254"/>
        <v>225</v>
      </c>
      <c r="CX77" s="109">
        <f t="shared" si="254"/>
        <v>6146</v>
      </c>
      <c r="CY77" s="109">
        <f t="shared" si="254"/>
        <v>-1123</v>
      </c>
      <c r="CZ77" s="109">
        <f t="shared" si="254"/>
        <v>-1174</v>
      </c>
      <c r="DA77" s="109">
        <f t="shared" si="254"/>
        <v>41</v>
      </c>
      <c r="DB77" s="171">
        <f t="shared" si="254"/>
        <v>3627</v>
      </c>
      <c r="DC77" s="109">
        <f t="shared" si="254"/>
        <v>-243</v>
      </c>
      <c r="DD77" s="109">
        <f t="shared" si="254"/>
        <v>-4033</v>
      </c>
      <c r="DE77" s="109">
        <f t="shared" si="254"/>
        <v>-557</v>
      </c>
      <c r="DF77" s="171">
        <f t="shared" si="254"/>
        <v>2815</v>
      </c>
      <c r="DG77" s="1044">
        <f t="shared" si="254"/>
        <v>-4263</v>
      </c>
      <c r="DH77" s="1044">
        <f t="shared" si="254"/>
        <v>-632</v>
      </c>
      <c r="DI77" s="172">
        <f t="shared" si="254"/>
        <v>1427</v>
      </c>
      <c r="DJ77" s="171">
        <f t="shared" si="254"/>
        <v>480</v>
      </c>
      <c r="DK77" s="1044">
        <f t="shared" si="254"/>
        <v>-2121</v>
      </c>
      <c r="DL77" s="1044">
        <f t="shared" si="254"/>
        <v>-1390</v>
      </c>
      <c r="DM77" s="172">
        <f t="shared" si="254"/>
        <v>-1418</v>
      </c>
      <c r="DN77" s="171">
        <f t="shared" si="254"/>
        <v>1475</v>
      </c>
      <c r="DO77" s="1044">
        <f t="shared" si="254"/>
        <v>-340</v>
      </c>
      <c r="DP77" s="1044">
        <f t="shared" si="254"/>
        <v>2352</v>
      </c>
      <c r="DQ77" s="172">
        <f t="shared" si="254"/>
        <v>3086</v>
      </c>
      <c r="DR77" s="1044">
        <f t="shared" si="254"/>
        <v>4074</v>
      </c>
      <c r="DS77" s="1044">
        <f t="shared" si="254"/>
        <v>-2259</v>
      </c>
      <c r="DT77" s="1044">
        <f t="shared" si="254"/>
        <v>1995</v>
      </c>
      <c r="DU77" s="1044">
        <f t="shared" si="254"/>
        <v>-1380</v>
      </c>
      <c r="DV77" s="1044">
        <f t="shared" si="254"/>
        <v>5560</v>
      </c>
      <c r="DW77" s="1044">
        <f t="shared" ref="DW77" ca="1" si="255">DW76-DV76</f>
        <v>-991.6953674932156</v>
      </c>
      <c r="DX77" s="1044">
        <f t="shared" ref="DX77" ca="1" si="256">DX76-DW76</f>
        <v>424.15791913126304</v>
      </c>
      <c r="DY77" s="172">
        <f t="shared" ref="DY77" ca="1" si="257">DY76-DX76</f>
        <v>-674.39700870664819</v>
      </c>
      <c r="DZ77" s="1044"/>
    </row>
    <row r="78" spans="1:18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536"/>
      <c r="AI78" s="109"/>
      <c r="AJ78" s="109"/>
      <c r="AK78" s="109"/>
      <c r="AL78" s="109"/>
      <c r="AM78" s="109"/>
      <c r="AN78" s="276"/>
      <c r="AO78" s="276"/>
      <c r="AP78" s="109"/>
      <c r="AQ78" s="109"/>
      <c r="AR78" s="109"/>
      <c r="AS78" s="109"/>
      <c r="AT78" s="109"/>
      <c r="AU78" s="109"/>
      <c r="AV78" s="109"/>
      <c r="AW78" s="109"/>
      <c r="AX78" s="109"/>
      <c r="AY78" s="109"/>
      <c r="AZ78" s="109"/>
      <c r="BA78" s="109"/>
      <c r="BB78" s="109"/>
      <c r="BC78" s="109"/>
      <c r="BD78" s="109"/>
      <c r="BE78" s="109"/>
      <c r="BF78" s="109"/>
      <c r="BG78" s="109"/>
      <c r="BH78" s="109"/>
      <c r="BI78" s="109"/>
      <c r="BJ78" s="109"/>
      <c r="BK78" s="109"/>
      <c r="BL78" s="109"/>
      <c r="BM78" s="109"/>
      <c r="BN78" s="109"/>
      <c r="BO78" s="109"/>
      <c r="BP78" s="109"/>
      <c r="BQ78" s="109"/>
      <c r="BR78" s="171"/>
      <c r="BS78" s="109"/>
      <c r="BT78" s="109"/>
      <c r="BU78" s="109"/>
      <c r="BV78" s="171"/>
      <c r="BW78" s="109"/>
      <c r="BX78" s="109"/>
      <c r="BY78" s="109"/>
      <c r="BZ78" s="171"/>
      <c r="CA78" s="109"/>
      <c r="CB78" s="109"/>
      <c r="CC78" s="109"/>
      <c r="CD78" s="171"/>
      <c r="CE78" s="109"/>
      <c r="CF78" s="109"/>
      <c r="CG78" s="109"/>
      <c r="CH78" s="171"/>
      <c r="CI78" s="109"/>
      <c r="CJ78" s="109"/>
      <c r="CK78" s="109"/>
      <c r="CL78" s="171"/>
      <c r="CM78" s="109"/>
      <c r="CN78" s="109"/>
      <c r="CO78" s="109"/>
      <c r="CP78" s="171"/>
      <c r="CQ78" s="109"/>
      <c r="CR78" s="109"/>
      <c r="CS78" s="109"/>
      <c r="CT78" s="171"/>
      <c r="CU78" s="109"/>
      <c r="CV78" s="109"/>
      <c r="CW78" s="172"/>
      <c r="CX78" s="109"/>
      <c r="CY78" s="109"/>
      <c r="CZ78" s="109"/>
      <c r="DA78" s="109"/>
      <c r="DB78" s="171"/>
      <c r="DC78" s="109"/>
      <c r="DD78" s="109"/>
      <c r="DE78" s="109"/>
      <c r="DF78" s="171"/>
      <c r="DG78" s="1044"/>
      <c r="DH78" s="1044"/>
      <c r="DI78" s="172"/>
      <c r="DJ78" s="171"/>
      <c r="DK78" s="1044"/>
      <c r="DL78" s="1044"/>
      <c r="DM78" s="172"/>
      <c r="DN78" s="171"/>
      <c r="DO78" s="1044"/>
      <c r="DP78" s="1044"/>
      <c r="DQ78" s="172"/>
      <c r="DR78" s="1044"/>
      <c r="DS78" s="1044"/>
      <c r="DT78" s="1044"/>
      <c r="DU78" s="1044"/>
      <c r="DV78" s="1044"/>
      <c r="DW78" s="1044"/>
      <c r="DX78" s="1044"/>
      <c r="DY78" s="172"/>
      <c r="DZ78" s="1044"/>
    </row>
    <row r="79" spans="1:185">
      <c r="A79" s="169" t="s">
        <v>1272</v>
      </c>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536"/>
      <c r="AI79" s="109"/>
      <c r="AJ79" s="109"/>
      <c r="AK79" s="109"/>
      <c r="AL79" s="109"/>
      <c r="AM79" s="109"/>
      <c r="AN79" s="276"/>
      <c r="AO79" s="276"/>
      <c r="AP79" s="109"/>
      <c r="AQ79" s="109"/>
      <c r="AR79" s="109"/>
      <c r="AS79" s="109"/>
      <c r="AT79" s="109"/>
      <c r="AU79" s="109"/>
      <c r="AV79" s="109"/>
      <c r="AW79" s="109"/>
      <c r="AX79" s="109"/>
      <c r="AY79" s="109"/>
      <c r="AZ79" s="109"/>
      <c r="BA79" s="109"/>
      <c r="BB79" s="109"/>
      <c r="BC79" s="109"/>
      <c r="BD79" s="109"/>
      <c r="BE79" s="109"/>
      <c r="BF79" s="109"/>
      <c r="BG79" s="109"/>
      <c r="BH79" s="109"/>
      <c r="BI79" s="109"/>
      <c r="BJ79" s="109"/>
      <c r="BK79" s="109"/>
      <c r="BL79" s="109"/>
      <c r="BM79" s="109"/>
      <c r="BN79" s="109"/>
      <c r="BO79" s="109"/>
      <c r="BP79" s="109"/>
      <c r="BQ79" s="109"/>
      <c r="BR79" s="171"/>
      <c r="BS79" s="109"/>
      <c r="BT79" s="109"/>
      <c r="BU79" s="109"/>
      <c r="BV79" s="171"/>
      <c r="BW79" s="109"/>
      <c r="BX79" s="109"/>
      <c r="BY79" s="109"/>
      <c r="BZ79" s="171"/>
      <c r="CA79" s="109"/>
      <c r="CB79" s="109"/>
      <c r="CC79" s="109"/>
      <c r="CD79" s="171"/>
      <c r="CE79" s="109"/>
      <c r="CF79" s="109"/>
      <c r="CG79" s="109"/>
      <c r="CH79" s="171"/>
      <c r="CI79" s="109"/>
      <c r="CJ79" s="109"/>
      <c r="CK79" s="109"/>
      <c r="CL79" s="171"/>
      <c r="CM79" s="109"/>
      <c r="CN79" s="109"/>
      <c r="CO79" s="109"/>
      <c r="CP79" s="171"/>
      <c r="CQ79" s="109"/>
      <c r="CR79" s="109"/>
      <c r="CS79" s="109"/>
      <c r="CT79" s="171"/>
      <c r="CU79" s="109"/>
      <c r="CV79" s="109"/>
      <c r="CW79" s="172"/>
      <c r="CX79" s="109"/>
      <c r="CY79" s="109"/>
      <c r="CZ79" s="109"/>
      <c r="DA79" s="109"/>
      <c r="DB79" s="171"/>
      <c r="DC79" s="109"/>
      <c r="DD79" s="109"/>
      <c r="DE79" s="109"/>
      <c r="DF79" s="171"/>
      <c r="DG79" s="1044"/>
      <c r="DH79" s="1044"/>
      <c r="DI79" s="1801"/>
      <c r="DJ79" s="1809"/>
      <c r="DK79" s="1902"/>
      <c r="DL79" s="1902"/>
      <c r="DM79" s="1801"/>
      <c r="DN79" s="1809"/>
      <c r="DO79" s="1902"/>
      <c r="DP79" s="1902"/>
      <c r="DQ79" s="1801"/>
      <c r="DR79" s="1902"/>
      <c r="DS79" s="1902"/>
      <c r="DT79" s="1902"/>
      <c r="DU79" s="1902"/>
      <c r="DV79" s="1902"/>
      <c r="DW79" s="1044"/>
      <c r="DX79" s="1044"/>
      <c r="DY79" s="172"/>
      <c r="DZ79" s="1044"/>
    </row>
    <row r="80" spans="1:185" s="2471" customFormat="1">
      <c r="A80" s="109" t="s">
        <v>1273</v>
      </c>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c r="AA80" s="109">
        <f>AA36+AA41</f>
        <v>8240</v>
      </c>
      <c r="AB80" s="109">
        <f>AB36+AB41</f>
        <v>8240</v>
      </c>
      <c r="AC80" s="109">
        <f t="shared" ref="AC80:AG80" si="258">AC36+AC41</f>
        <v>8240</v>
      </c>
      <c r="AD80" s="109">
        <f t="shared" si="258"/>
        <v>8240</v>
      </c>
      <c r="AE80" s="109">
        <f t="shared" si="258"/>
        <v>8240</v>
      </c>
      <c r="AF80" s="109">
        <f t="shared" si="258"/>
        <v>8240</v>
      </c>
      <c r="AG80" s="109">
        <f t="shared" si="258"/>
        <v>8240</v>
      </c>
      <c r="AH80" s="536"/>
      <c r="AI80" s="109"/>
      <c r="AJ80" s="109"/>
      <c r="AK80" s="109"/>
      <c r="AL80" s="109"/>
      <c r="AM80" s="109"/>
      <c r="AN80" s="276"/>
      <c r="AO80" s="276"/>
      <c r="AP80" s="109"/>
      <c r="AQ80" s="109"/>
      <c r="AR80" s="109"/>
      <c r="AS80" s="109"/>
      <c r="AT80" s="109"/>
      <c r="AU80" s="109"/>
      <c r="AV80" s="109"/>
      <c r="AW80" s="109"/>
      <c r="AX80" s="109"/>
      <c r="AY80" s="109"/>
      <c r="AZ80" s="109"/>
      <c r="BA80" s="109"/>
      <c r="BB80" s="109"/>
      <c r="BC80" s="109"/>
      <c r="BD80" s="109"/>
      <c r="BE80" s="109"/>
      <c r="BF80" s="109">
        <v>61823</v>
      </c>
      <c r="BG80" s="109">
        <v>64871</v>
      </c>
      <c r="BH80" s="109">
        <v>63890</v>
      </c>
      <c r="BI80" s="109">
        <v>64326</v>
      </c>
      <c r="BJ80" s="109">
        <v>62100</v>
      </c>
      <c r="BK80" s="109">
        <v>60783</v>
      </c>
      <c r="BL80" s="109">
        <v>56626</v>
      </c>
      <c r="BM80" s="109">
        <v>53270</v>
      </c>
      <c r="BN80" s="109">
        <v>53279</v>
      </c>
      <c r="BO80" s="109">
        <v>48929</v>
      </c>
      <c r="BP80" s="109">
        <v>45460</v>
      </c>
      <c r="BQ80" s="109">
        <v>45380</v>
      </c>
      <c r="BR80" s="171">
        <v>44452</v>
      </c>
      <c r="BS80" s="109">
        <v>41888</v>
      </c>
      <c r="BT80" s="109">
        <v>40523</v>
      </c>
      <c r="BU80" s="109">
        <v>39267</v>
      </c>
      <c r="BV80" s="171">
        <v>39187</v>
      </c>
      <c r="BW80" s="109">
        <v>41757</v>
      </c>
      <c r="BX80" s="109">
        <v>39439</v>
      </c>
      <c r="BY80" s="109">
        <v>39010</v>
      </c>
      <c r="BZ80" s="171">
        <f t="shared" ref="BZ80:DI80" si="259">BZ36+BZ41</f>
        <v>8034</v>
      </c>
      <c r="CA80" s="109">
        <f t="shared" si="259"/>
        <v>7598</v>
      </c>
      <c r="CB80" s="109">
        <f t="shared" si="259"/>
        <v>7218</v>
      </c>
      <c r="CC80" s="109">
        <f t="shared" si="259"/>
        <v>8091</v>
      </c>
      <c r="CD80" s="171">
        <f t="shared" si="259"/>
        <v>7993</v>
      </c>
      <c r="CE80" s="109">
        <f t="shared" si="259"/>
        <v>7758</v>
      </c>
      <c r="CF80" s="109">
        <f t="shared" si="259"/>
        <v>7850</v>
      </c>
      <c r="CG80" s="109">
        <f t="shared" si="259"/>
        <v>7325</v>
      </c>
      <c r="CH80" s="171">
        <f t="shared" si="259"/>
        <v>7371</v>
      </c>
      <c r="CI80" s="109">
        <f t="shared" si="259"/>
        <v>7270</v>
      </c>
      <c r="CJ80" s="109">
        <f t="shared" si="259"/>
        <v>7263</v>
      </c>
      <c r="CK80" s="109">
        <f t="shared" si="259"/>
        <v>7099</v>
      </c>
      <c r="CL80" s="171">
        <f t="shared" si="259"/>
        <v>7207</v>
      </c>
      <c r="CM80" s="109">
        <f t="shared" si="259"/>
        <v>6243</v>
      </c>
      <c r="CN80" s="109">
        <f t="shared" si="259"/>
        <v>7219</v>
      </c>
      <c r="CO80" s="109">
        <f t="shared" si="259"/>
        <v>6708</v>
      </c>
      <c r="CP80" s="171">
        <f t="shared" si="259"/>
        <v>6365</v>
      </c>
      <c r="CQ80" s="109">
        <f t="shared" si="259"/>
        <v>7055</v>
      </c>
      <c r="CR80" s="109">
        <f t="shared" si="259"/>
        <v>6865</v>
      </c>
      <c r="CS80" s="109">
        <f t="shared" si="259"/>
        <v>7353</v>
      </c>
      <c r="CT80" s="171">
        <f t="shared" si="259"/>
        <v>7114</v>
      </c>
      <c r="CU80" s="109">
        <f t="shared" si="259"/>
        <v>7081</v>
      </c>
      <c r="CV80" s="109">
        <f t="shared" si="259"/>
        <v>11520</v>
      </c>
      <c r="CW80" s="172">
        <f t="shared" si="259"/>
        <v>11223</v>
      </c>
      <c r="CX80" s="109">
        <f t="shared" si="259"/>
        <v>6561</v>
      </c>
      <c r="CY80" s="109">
        <f t="shared" si="259"/>
        <v>6468</v>
      </c>
      <c r="CZ80" s="109">
        <f t="shared" si="259"/>
        <v>6432</v>
      </c>
      <c r="DA80" s="109">
        <f t="shared" si="259"/>
        <v>6405</v>
      </c>
      <c r="DB80" s="171">
        <f t="shared" si="259"/>
        <v>6571</v>
      </c>
      <c r="DC80" s="109">
        <f t="shared" si="259"/>
        <v>6559</v>
      </c>
      <c r="DD80" s="109">
        <f t="shared" si="259"/>
        <v>6467</v>
      </c>
      <c r="DE80" s="109">
        <f t="shared" si="259"/>
        <v>6664</v>
      </c>
      <c r="DF80" s="171">
        <f t="shared" si="259"/>
        <v>8217</v>
      </c>
      <c r="DG80" s="1044">
        <f t="shared" si="259"/>
        <v>7689</v>
      </c>
      <c r="DH80" s="1044">
        <f t="shared" si="259"/>
        <v>8231</v>
      </c>
      <c r="DI80" s="172">
        <f t="shared" si="259"/>
        <v>8649</v>
      </c>
      <c r="DJ80" s="171"/>
      <c r="DK80" s="1044">
        <f>DJ38+DJ43</f>
        <v>113388</v>
      </c>
      <c r="DL80" s="1044">
        <f t="shared" ref="DL80:DV80" si="260">DK38+DK43</f>
        <v>113671</v>
      </c>
      <c r="DM80" s="172">
        <f t="shared" si="260"/>
        <v>112324</v>
      </c>
      <c r="DN80" s="171">
        <f t="shared" si="260"/>
        <v>110194</v>
      </c>
      <c r="DO80" s="1044">
        <f t="shared" si="260"/>
        <v>109880</v>
      </c>
      <c r="DP80" s="1044">
        <f t="shared" si="260"/>
        <v>99725</v>
      </c>
      <c r="DQ80" s="172">
        <f t="shared" si="260"/>
        <v>106591</v>
      </c>
      <c r="DR80" s="1044">
        <f t="shared" si="260"/>
        <v>108078</v>
      </c>
      <c r="DS80" s="1044">
        <f t="shared" si="260"/>
        <v>116546</v>
      </c>
      <c r="DT80" s="1044">
        <f t="shared" si="260"/>
        <v>117543</v>
      </c>
      <c r="DU80" s="1044">
        <f t="shared" si="260"/>
        <v>117497</v>
      </c>
      <c r="DV80" s="1044">
        <f t="shared" si="260"/>
        <v>117095</v>
      </c>
      <c r="DW80" s="1044">
        <f t="shared" ref="DW80" si="261">+DV82</f>
        <v>119057</v>
      </c>
      <c r="DX80" s="1044">
        <f t="shared" ref="DX80" si="262">+DW82</f>
        <v>120235</v>
      </c>
      <c r="DY80" s="172">
        <f t="shared" ref="DY80" si="263">+DX82</f>
        <v>121413</v>
      </c>
      <c r="DZ80" s="1044"/>
      <c r="EA80"/>
      <c r="EB80"/>
      <c r="EC80"/>
      <c r="ED80"/>
      <c r="EE80"/>
      <c r="EF80"/>
    </row>
    <row r="81" spans="1:136" s="2471" customFormat="1">
      <c r="A81" s="2549" t="s">
        <v>1656</v>
      </c>
      <c r="B81" s="109"/>
      <c r="C81" s="109"/>
      <c r="D81" s="109"/>
      <c r="E81" s="109"/>
      <c r="F81" s="109"/>
      <c r="G81" s="109"/>
      <c r="H81" s="109"/>
      <c r="I81" s="109"/>
      <c r="J81" s="109"/>
      <c r="K81" s="109"/>
      <c r="L81" s="109"/>
      <c r="M81" s="109"/>
      <c r="N81" s="109"/>
      <c r="O81" s="109"/>
      <c r="P81" s="109"/>
      <c r="Q81" s="109"/>
      <c r="R81" s="109"/>
      <c r="S81" s="109"/>
      <c r="T81" s="109"/>
      <c r="U81" s="109"/>
      <c r="V81" s="109"/>
      <c r="W81" s="109"/>
      <c r="X81" s="109">
        <f>+SUM(DN81:DQ81)</f>
        <v>0</v>
      </c>
      <c r="Y81" s="109">
        <f>+SUM(DR81:DU81)</f>
        <v>0</v>
      </c>
      <c r="Z81" s="109">
        <f>+SUM(DV81:DY81)</f>
        <v>-3534</v>
      </c>
      <c r="AA81" s="2552">
        <f>-CFS!AA50-CFS!AA48-CFS!AA49</f>
        <v>-1212</v>
      </c>
      <c r="AB81" s="2552">
        <f>-CFS!AB50-CFS!AB48-CFS!AB49</f>
        <v>-1212</v>
      </c>
      <c r="AC81" s="2552">
        <f>-CFS!AC50-CFS!AC48-CFS!AC49</f>
        <v>-1212</v>
      </c>
      <c r="AD81" s="2552">
        <f>-CFS!AD50-CFS!AD48-CFS!AD49</f>
        <v>-1212</v>
      </c>
      <c r="AE81" s="2552">
        <f>-CFS!AE50-CFS!AE48-CFS!AE49</f>
        <v>-1212</v>
      </c>
      <c r="AF81" s="2552">
        <f>-CFS!AF50-CFS!AF48-CFS!AF49</f>
        <v>-1212</v>
      </c>
      <c r="AG81" s="2552">
        <f>-CFS!AG50-CFS!AG48-CFS!AG49</f>
        <v>-1212</v>
      </c>
      <c r="AH81" s="536"/>
      <c r="AI81" s="109"/>
      <c r="AJ81" s="109"/>
      <c r="AK81" s="109"/>
      <c r="AL81" s="109"/>
      <c r="AM81" s="109"/>
      <c r="AN81" s="276"/>
      <c r="AO81" s="276"/>
      <c r="AP81" s="109"/>
      <c r="AQ81" s="109"/>
      <c r="AR81" s="109"/>
      <c r="AS81" s="109"/>
      <c r="AT81" s="109"/>
      <c r="AU81" s="109"/>
      <c r="AV81" s="109"/>
      <c r="AW81" s="109"/>
      <c r="AX81" s="109"/>
      <c r="AY81" s="109"/>
      <c r="AZ81" s="109"/>
      <c r="BA81" s="109"/>
      <c r="BB81" s="109"/>
      <c r="BC81" s="109"/>
      <c r="BD81" s="109"/>
      <c r="BE81" s="109"/>
      <c r="BF81" s="109"/>
      <c r="BG81" s="109"/>
      <c r="BH81" s="109"/>
      <c r="BI81" s="109"/>
      <c r="BJ81" s="109"/>
      <c r="BK81" s="109"/>
      <c r="BL81" s="109"/>
      <c r="BM81" s="109"/>
      <c r="BN81" s="109"/>
      <c r="BO81" s="109"/>
      <c r="BP81" s="109"/>
      <c r="BQ81" s="109"/>
      <c r="BR81" s="171"/>
      <c r="BS81" s="109"/>
      <c r="BT81" s="109"/>
      <c r="BU81" s="109"/>
      <c r="BV81" s="171"/>
      <c r="BW81" s="109"/>
      <c r="BX81" s="109"/>
      <c r="BY81" s="109"/>
      <c r="BZ81" s="171"/>
      <c r="CA81" s="109"/>
      <c r="CB81" s="109"/>
      <c r="CC81" s="109"/>
      <c r="CD81" s="171"/>
      <c r="CE81" s="109"/>
      <c r="CF81" s="109"/>
      <c r="CG81" s="109"/>
      <c r="CH81" s="171"/>
      <c r="CI81" s="109"/>
      <c r="CJ81" s="109"/>
      <c r="CK81" s="109"/>
      <c r="CL81" s="171"/>
      <c r="CM81" s="109"/>
      <c r="CN81" s="109"/>
      <c r="CO81" s="109"/>
      <c r="CP81" s="171"/>
      <c r="CQ81" s="109"/>
      <c r="CR81" s="109"/>
      <c r="CS81" s="109"/>
      <c r="CT81" s="171"/>
      <c r="CU81" s="109"/>
      <c r="CV81" s="109"/>
      <c r="CW81" s="172"/>
      <c r="CX81" s="109"/>
      <c r="CY81" s="109"/>
      <c r="CZ81" s="109"/>
      <c r="DA81" s="109"/>
      <c r="DB81" s="171"/>
      <c r="DC81" s="109"/>
      <c r="DD81" s="109"/>
      <c r="DE81" s="109"/>
      <c r="DF81" s="171"/>
      <c r="DG81" s="1044"/>
      <c r="DH81" s="1044"/>
      <c r="DI81" s="1801"/>
      <c r="DJ81" s="1809"/>
      <c r="DK81" s="1902"/>
      <c r="DL81" s="1902"/>
      <c r="DM81" s="1801"/>
      <c r="DN81" s="1809"/>
      <c r="DO81" s="1902"/>
      <c r="DP81" s="1902"/>
      <c r="DQ81" s="1801"/>
      <c r="DR81" s="1902"/>
      <c r="DS81" s="1902"/>
      <c r="DT81" s="1902"/>
      <c r="DU81" s="1902"/>
      <c r="DV81" s="1902"/>
      <c r="DW81" s="2550">
        <f>-CFS!DW50-CFS!DW48-CFS!DW49</f>
        <v>-1178</v>
      </c>
      <c r="DX81" s="2550">
        <f>-CFS!DX50-CFS!DX48-CFS!DX49</f>
        <v>-1178</v>
      </c>
      <c r="DY81" s="2551">
        <f>-CFS!DY50-CFS!DY48-CFS!DY49</f>
        <v>-1178</v>
      </c>
      <c r="DZ81" s="1044"/>
      <c r="EA81"/>
      <c r="EB81"/>
      <c r="EC81"/>
      <c r="ED81"/>
      <c r="EE81"/>
      <c r="EF81"/>
    </row>
    <row r="82" spans="1:136">
      <c r="A82" s="109" t="s">
        <v>1273</v>
      </c>
      <c r="B82" s="109"/>
      <c r="C82" s="109"/>
      <c r="D82" s="109"/>
      <c r="E82" s="109"/>
      <c r="F82" s="109">
        <v>40200</v>
      </c>
      <c r="G82" s="109">
        <v>47482</v>
      </c>
      <c r="H82" s="109">
        <v>57329</v>
      </c>
      <c r="I82" s="109">
        <v>64326</v>
      </c>
      <c r="J82" s="109">
        <v>53270</v>
      </c>
      <c r="K82" s="109">
        <v>45380</v>
      </c>
      <c r="L82" s="109">
        <v>39267</v>
      </c>
      <c r="M82" s="109">
        <v>39010</v>
      </c>
      <c r="N82" s="109">
        <f t="shared" ref="N82:AA82" si="264">N38+N43</f>
        <v>36361</v>
      </c>
      <c r="O82" s="109">
        <f t="shared" si="264"/>
        <v>31157</v>
      </c>
      <c r="P82" s="109">
        <f t="shared" si="264"/>
        <v>51952</v>
      </c>
      <c r="Q82" s="109">
        <f t="shared" si="264"/>
        <v>62256</v>
      </c>
      <c r="R82" s="109">
        <f t="shared" si="264"/>
        <v>52794</v>
      </c>
      <c r="S82" s="109">
        <f t="shared" si="264"/>
        <v>55152</v>
      </c>
      <c r="T82" s="109">
        <f t="shared" si="264"/>
        <v>51987</v>
      </c>
      <c r="U82" s="109">
        <f t="shared" si="264"/>
        <v>93591</v>
      </c>
      <c r="V82" s="109">
        <f t="shared" si="264"/>
        <v>113271</v>
      </c>
      <c r="W82" s="109">
        <f t="shared" si="264"/>
        <v>110194</v>
      </c>
      <c r="X82" s="109">
        <f t="shared" si="264"/>
        <v>108078</v>
      </c>
      <c r="Y82" s="109">
        <f>Y38+Y43</f>
        <v>117095</v>
      </c>
      <c r="Z82" s="109">
        <f>Z38+Z43</f>
        <v>122591</v>
      </c>
      <c r="AA82" s="109">
        <f t="shared" si="264"/>
        <v>123803</v>
      </c>
      <c r="AB82" s="109">
        <f t="shared" ref="AB82:AG82" si="265">AB38+AB43</f>
        <v>125015</v>
      </c>
      <c r="AC82" s="109">
        <f t="shared" si="265"/>
        <v>126227</v>
      </c>
      <c r="AD82" s="109">
        <f>AD38+AD43</f>
        <v>127439</v>
      </c>
      <c r="AE82" s="109">
        <f t="shared" si="265"/>
        <v>128651</v>
      </c>
      <c r="AF82" s="109">
        <f t="shared" si="265"/>
        <v>129863</v>
      </c>
      <c r="AG82" s="109">
        <f t="shared" si="265"/>
        <v>131075</v>
      </c>
      <c r="AH82" s="536"/>
      <c r="AI82" s="109"/>
      <c r="AJ82" s="109"/>
      <c r="AK82" s="109"/>
      <c r="AL82" s="109"/>
      <c r="AM82" s="109"/>
      <c r="AN82" s="276"/>
      <c r="AO82" s="276"/>
      <c r="AP82" s="109"/>
      <c r="AQ82" s="109"/>
      <c r="AR82" s="109"/>
      <c r="AS82" s="109"/>
      <c r="AT82" s="109"/>
      <c r="AU82" s="109"/>
      <c r="AV82" s="109"/>
      <c r="AW82" s="109"/>
      <c r="AX82" s="109"/>
      <c r="AY82" s="109"/>
      <c r="AZ82" s="109"/>
      <c r="BA82" s="109"/>
      <c r="BB82" s="109"/>
      <c r="BC82" s="109"/>
      <c r="BD82" s="109"/>
      <c r="BE82" s="109"/>
      <c r="BF82" s="109">
        <v>61823</v>
      </c>
      <c r="BG82" s="109">
        <v>64871</v>
      </c>
      <c r="BH82" s="109">
        <v>63890</v>
      </c>
      <c r="BI82" s="109">
        <v>64326</v>
      </c>
      <c r="BJ82" s="109">
        <v>62100</v>
      </c>
      <c r="BK82" s="109">
        <v>60783</v>
      </c>
      <c r="BL82" s="109">
        <v>56626</v>
      </c>
      <c r="BM82" s="109">
        <v>53270</v>
      </c>
      <c r="BN82" s="109">
        <v>53279</v>
      </c>
      <c r="BO82" s="109">
        <v>48929</v>
      </c>
      <c r="BP82" s="109">
        <v>45460</v>
      </c>
      <c r="BQ82" s="109">
        <v>45380</v>
      </c>
      <c r="BR82" s="171">
        <v>44452</v>
      </c>
      <c r="BS82" s="109">
        <v>41888</v>
      </c>
      <c r="BT82" s="109">
        <v>40523</v>
      </c>
      <c r="BU82" s="109">
        <v>39267</v>
      </c>
      <c r="BV82" s="171">
        <v>39187</v>
      </c>
      <c r="BW82" s="109">
        <v>41757</v>
      </c>
      <c r="BX82" s="109">
        <v>39439</v>
      </c>
      <c r="BY82" s="109">
        <v>39010</v>
      </c>
      <c r="BZ82" s="171">
        <f t="shared" ref="BZ82:DN82" si="266">BZ38+BZ43</f>
        <v>43050</v>
      </c>
      <c r="CA82" s="109">
        <f t="shared" si="266"/>
        <v>42356</v>
      </c>
      <c r="CB82" s="109">
        <f t="shared" si="266"/>
        <v>41683</v>
      </c>
      <c r="CC82" s="109">
        <f t="shared" si="266"/>
        <v>36361</v>
      </c>
      <c r="CD82" s="171">
        <f t="shared" si="266"/>
        <v>34677</v>
      </c>
      <c r="CE82" s="109">
        <f t="shared" si="266"/>
        <v>32526</v>
      </c>
      <c r="CF82" s="109">
        <f t="shared" si="266"/>
        <v>31447</v>
      </c>
      <c r="CG82" s="109">
        <f t="shared" si="266"/>
        <v>31157</v>
      </c>
      <c r="CH82" s="171">
        <f t="shared" si="266"/>
        <v>35846</v>
      </c>
      <c r="CI82" s="109">
        <f t="shared" si="266"/>
        <v>43109</v>
      </c>
      <c r="CJ82" s="109">
        <f t="shared" si="266"/>
        <v>44775</v>
      </c>
      <c r="CK82" s="109">
        <f t="shared" si="266"/>
        <v>51952</v>
      </c>
      <c r="CL82" s="171">
        <f t="shared" si="266"/>
        <v>69133</v>
      </c>
      <c r="CM82" s="109">
        <f t="shared" si="266"/>
        <v>64909</v>
      </c>
      <c r="CN82" s="109">
        <f t="shared" si="266"/>
        <v>62817</v>
      </c>
      <c r="CO82" s="109">
        <f t="shared" si="266"/>
        <v>62256</v>
      </c>
      <c r="CP82" s="171">
        <f t="shared" si="266"/>
        <v>61553</v>
      </c>
      <c r="CQ82" s="109">
        <f t="shared" si="266"/>
        <v>57468</v>
      </c>
      <c r="CR82" s="109">
        <f t="shared" si="266"/>
        <v>53170</v>
      </c>
      <c r="CS82" s="109">
        <f t="shared" si="266"/>
        <v>52794</v>
      </c>
      <c r="CT82" s="171">
        <f t="shared" si="266"/>
        <v>61197</v>
      </c>
      <c r="CU82" s="109">
        <f t="shared" si="266"/>
        <v>53982</v>
      </c>
      <c r="CV82" s="109">
        <f t="shared" si="266"/>
        <v>54915</v>
      </c>
      <c r="CW82" s="172">
        <f t="shared" si="266"/>
        <v>55152</v>
      </c>
      <c r="CX82" s="109">
        <f t="shared" si="266"/>
        <v>51597</v>
      </c>
      <c r="CY82" s="109">
        <f t="shared" si="266"/>
        <v>52391</v>
      </c>
      <c r="CZ82" s="109">
        <f t="shared" si="266"/>
        <v>52802</v>
      </c>
      <c r="DA82" s="109">
        <f t="shared" si="266"/>
        <v>51987</v>
      </c>
      <c r="DB82" s="171">
        <f t="shared" si="266"/>
        <v>52881</v>
      </c>
      <c r="DC82" s="109">
        <f t="shared" si="266"/>
        <v>49752</v>
      </c>
      <c r="DD82" s="109">
        <f t="shared" si="266"/>
        <v>99140</v>
      </c>
      <c r="DE82" s="109">
        <f t="shared" si="266"/>
        <v>93591</v>
      </c>
      <c r="DF82" s="171">
        <f t="shared" si="266"/>
        <v>109769</v>
      </c>
      <c r="DG82" s="1044">
        <f t="shared" si="266"/>
        <v>109979</v>
      </c>
      <c r="DH82" s="1044">
        <f t="shared" si="266"/>
        <v>109230</v>
      </c>
      <c r="DI82" s="172">
        <f t="shared" si="266"/>
        <v>113271</v>
      </c>
      <c r="DJ82" s="171">
        <f t="shared" si="266"/>
        <v>113388</v>
      </c>
      <c r="DK82" s="1044">
        <f t="shared" si="266"/>
        <v>113671</v>
      </c>
      <c r="DL82" s="1044">
        <f t="shared" si="266"/>
        <v>112324</v>
      </c>
      <c r="DM82" s="172">
        <f t="shared" si="266"/>
        <v>110194</v>
      </c>
      <c r="DN82" s="171">
        <f t="shared" si="266"/>
        <v>109880</v>
      </c>
      <c r="DO82" s="1044">
        <f t="shared" ref="DO82:DP82" si="267">DO38+DO43</f>
        <v>99725</v>
      </c>
      <c r="DP82" s="1044">
        <f t="shared" si="267"/>
        <v>106591</v>
      </c>
      <c r="DQ82" s="172">
        <f t="shared" ref="DQ82:DV82" si="268">DQ38+DQ43</f>
        <v>108078</v>
      </c>
      <c r="DR82" s="1044">
        <f t="shared" si="268"/>
        <v>116546</v>
      </c>
      <c r="DS82" s="1044">
        <f t="shared" si="268"/>
        <v>117543</v>
      </c>
      <c r="DT82" s="1044">
        <f t="shared" si="268"/>
        <v>117497</v>
      </c>
      <c r="DU82" s="1044">
        <f t="shared" si="268"/>
        <v>117095</v>
      </c>
      <c r="DV82" s="1044">
        <f t="shared" si="268"/>
        <v>119057</v>
      </c>
      <c r="DW82" s="1044">
        <f t="shared" ref="DW82:DY82" si="269">+DW80-DW81</f>
        <v>120235</v>
      </c>
      <c r="DX82" s="1044">
        <f t="shared" si="269"/>
        <v>121413</v>
      </c>
      <c r="DY82" s="172">
        <f t="shared" si="269"/>
        <v>122591</v>
      </c>
      <c r="DZ82" s="1044"/>
    </row>
    <row r="83" spans="1:136">
      <c r="A83" s="109" t="s">
        <v>1274</v>
      </c>
      <c r="B83" s="109"/>
      <c r="C83" s="109"/>
      <c r="D83" s="109"/>
      <c r="E83" s="109"/>
      <c r="F83" s="109">
        <v>40200</v>
      </c>
      <c r="G83" s="109">
        <v>43841</v>
      </c>
      <c r="H83" s="109">
        <v>52405.5</v>
      </c>
      <c r="I83" s="109">
        <v>60827.5</v>
      </c>
      <c r="J83" s="109">
        <v>58798</v>
      </c>
      <c r="K83" s="109">
        <v>49325</v>
      </c>
      <c r="L83" s="109">
        <v>42323.5</v>
      </c>
      <c r="M83" s="109">
        <v>39138.5</v>
      </c>
      <c r="N83" s="109">
        <f t="shared" ref="N83:AB83" si="270">AVERAGE(M82:N82)</f>
        <v>37685.5</v>
      </c>
      <c r="O83" s="109">
        <f t="shared" si="270"/>
        <v>33759</v>
      </c>
      <c r="P83" s="109">
        <f t="shared" si="270"/>
        <v>41554.5</v>
      </c>
      <c r="Q83" s="109">
        <f t="shared" si="270"/>
        <v>57104</v>
      </c>
      <c r="R83" s="109">
        <f t="shared" si="270"/>
        <v>57525</v>
      </c>
      <c r="S83" s="109">
        <f t="shared" si="270"/>
        <v>53973</v>
      </c>
      <c r="T83" s="109">
        <f t="shared" si="270"/>
        <v>53569.5</v>
      </c>
      <c r="U83" s="109">
        <f t="shared" si="270"/>
        <v>72789</v>
      </c>
      <c r="V83" s="109">
        <f t="shared" si="270"/>
        <v>103431</v>
      </c>
      <c r="W83" s="109">
        <f t="shared" si="270"/>
        <v>111732.5</v>
      </c>
      <c r="X83" s="109">
        <f t="shared" si="270"/>
        <v>109136</v>
      </c>
      <c r="Y83" s="109">
        <f t="shared" si="270"/>
        <v>112586.5</v>
      </c>
      <c r="Z83" s="109">
        <f t="shared" si="270"/>
        <v>119843</v>
      </c>
      <c r="AA83" s="109">
        <f t="shared" si="270"/>
        <v>123197</v>
      </c>
      <c r="AB83" s="109">
        <f t="shared" si="270"/>
        <v>124409</v>
      </c>
      <c r="AC83" s="109">
        <f t="shared" ref="AC83" si="271">AVERAGE(AB82:AC82)</f>
        <v>125621</v>
      </c>
      <c r="AD83" s="109">
        <f t="shared" ref="AD83" si="272">AVERAGE(AC82:AD82)</f>
        <v>126833</v>
      </c>
      <c r="AE83" s="109">
        <f t="shared" ref="AE83" si="273">AVERAGE(AD82:AE82)</f>
        <v>128045</v>
      </c>
      <c r="AF83" s="109">
        <f t="shared" ref="AF83" si="274">AVERAGE(AE82:AF82)</f>
        <v>129257</v>
      </c>
      <c r="AG83" s="109">
        <f t="shared" ref="AG83" si="275">AVERAGE(AF82:AG82)</f>
        <v>130469</v>
      </c>
      <c r="AH83" s="536"/>
      <c r="AI83" s="109"/>
      <c r="AJ83" s="109"/>
      <c r="AK83" s="109"/>
      <c r="AL83" s="109"/>
      <c r="AM83" s="109"/>
      <c r="AN83" s="276"/>
      <c r="AO83" s="276"/>
      <c r="AP83" s="109"/>
      <c r="AQ83" s="109"/>
      <c r="AR83" s="109"/>
      <c r="AS83" s="109"/>
      <c r="AT83" s="109"/>
      <c r="AU83" s="109"/>
      <c r="AV83" s="109"/>
      <c r="AW83" s="109"/>
      <c r="AX83" s="109"/>
      <c r="AY83" s="109"/>
      <c r="AZ83" s="109"/>
      <c r="BA83" s="109"/>
      <c r="BB83" s="109"/>
      <c r="BC83" s="109"/>
      <c r="BD83" s="109"/>
      <c r="BE83" s="109"/>
      <c r="BF83" s="109">
        <v>61823</v>
      </c>
      <c r="BG83" s="109">
        <v>63347</v>
      </c>
      <c r="BH83" s="109">
        <v>64380.5</v>
      </c>
      <c r="BI83" s="109">
        <v>64108</v>
      </c>
      <c r="BJ83" s="109">
        <v>63213</v>
      </c>
      <c r="BK83" s="109">
        <v>61441.5</v>
      </c>
      <c r="BL83" s="109">
        <v>58704.5</v>
      </c>
      <c r="BM83" s="109">
        <v>54948</v>
      </c>
      <c r="BN83" s="109">
        <v>53274.5</v>
      </c>
      <c r="BO83" s="109">
        <v>51104</v>
      </c>
      <c r="BP83" s="109">
        <v>47194.5</v>
      </c>
      <c r="BQ83" s="109">
        <v>45420</v>
      </c>
      <c r="BR83" s="171">
        <v>44916</v>
      </c>
      <c r="BS83" s="109">
        <v>43170</v>
      </c>
      <c r="BT83" s="109">
        <v>41205.5</v>
      </c>
      <c r="BU83" s="109">
        <v>39895</v>
      </c>
      <c r="BV83" s="171">
        <v>39227</v>
      </c>
      <c r="BW83" s="109">
        <v>40472</v>
      </c>
      <c r="BX83" s="109">
        <v>40598</v>
      </c>
      <c r="BY83" s="109">
        <v>39224.5</v>
      </c>
      <c r="BZ83" s="171">
        <f t="shared" ref="BZ83:DV83" si="276">AVERAGE(BY82:BZ82)</f>
        <v>41030</v>
      </c>
      <c r="CA83" s="109">
        <f t="shared" si="276"/>
        <v>42703</v>
      </c>
      <c r="CB83" s="109">
        <f t="shared" si="276"/>
        <v>42019.5</v>
      </c>
      <c r="CC83" s="109">
        <f t="shared" si="276"/>
        <v>39022</v>
      </c>
      <c r="CD83" s="171">
        <f t="shared" si="276"/>
        <v>35519</v>
      </c>
      <c r="CE83" s="109">
        <f t="shared" si="276"/>
        <v>33601.5</v>
      </c>
      <c r="CF83" s="109">
        <f t="shared" si="276"/>
        <v>31986.5</v>
      </c>
      <c r="CG83" s="109">
        <f t="shared" si="276"/>
        <v>31302</v>
      </c>
      <c r="CH83" s="171">
        <f t="shared" si="276"/>
        <v>33501.5</v>
      </c>
      <c r="CI83" s="109">
        <f t="shared" si="276"/>
        <v>39477.5</v>
      </c>
      <c r="CJ83" s="109">
        <f t="shared" si="276"/>
        <v>43942</v>
      </c>
      <c r="CK83" s="109">
        <f t="shared" si="276"/>
        <v>48363.5</v>
      </c>
      <c r="CL83" s="171">
        <f t="shared" si="276"/>
        <v>60542.5</v>
      </c>
      <c r="CM83" s="109">
        <f t="shared" si="276"/>
        <v>67021</v>
      </c>
      <c r="CN83" s="109">
        <f t="shared" si="276"/>
        <v>63863</v>
      </c>
      <c r="CO83" s="109">
        <f t="shared" si="276"/>
        <v>62536.5</v>
      </c>
      <c r="CP83" s="171">
        <f t="shared" si="276"/>
        <v>61904.5</v>
      </c>
      <c r="CQ83" s="109">
        <f t="shared" si="276"/>
        <v>59510.5</v>
      </c>
      <c r="CR83" s="109">
        <f t="shared" si="276"/>
        <v>55319</v>
      </c>
      <c r="CS83" s="109">
        <f t="shared" si="276"/>
        <v>52982</v>
      </c>
      <c r="CT83" s="171">
        <f t="shared" si="276"/>
        <v>56995.5</v>
      </c>
      <c r="CU83" s="109">
        <f t="shared" si="276"/>
        <v>57589.5</v>
      </c>
      <c r="CV83" s="109">
        <f t="shared" si="276"/>
        <v>54448.5</v>
      </c>
      <c r="CW83" s="172">
        <f t="shared" si="276"/>
        <v>55033.5</v>
      </c>
      <c r="CX83" s="109">
        <f t="shared" si="276"/>
        <v>53374.5</v>
      </c>
      <c r="CY83" s="109">
        <f t="shared" si="276"/>
        <v>51994</v>
      </c>
      <c r="CZ83" s="109">
        <f t="shared" si="276"/>
        <v>52596.5</v>
      </c>
      <c r="DA83" s="109">
        <f t="shared" si="276"/>
        <v>52394.5</v>
      </c>
      <c r="DB83" s="171">
        <f t="shared" si="276"/>
        <v>52434</v>
      </c>
      <c r="DC83" s="109">
        <f t="shared" si="276"/>
        <v>51316.5</v>
      </c>
      <c r="DD83" s="109">
        <f t="shared" si="276"/>
        <v>74446</v>
      </c>
      <c r="DE83" s="109">
        <f t="shared" si="276"/>
        <v>96365.5</v>
      </c>
      <c r="DF83" s="171">
        <f t="shared" si="276"/>
        <v>101680</v>
      </c>
      <c r="DG83" s="1044">
        <f t="shared" si="276"/>
        <v>109874</v>
      </c>
      <c r="DH83" s="1044">
        <f t="shared" si="276"/>
        <v>109604.5</v>
      </c>
      <c r="DI83" s="172">
        <f t="shared" si="276"/>
        <v>111250.5</v>
      </c>
      <c r="DJ83" s="171">
        <f t="shared" si="276"/>
        <v>113329.5</v>
      </c>
      <c r="DK83" s="1044">
        <f t="shared" si="276"/>
        <v>113529.5</v>
      </c>
      <c r="DL83" s="1044">
        <f t="shared" si="276"/>
        <v>112997.5</v>
      </c>
      <c r="DM83" s="172">
        <f t="shared" si="276"/>
        <v>111259</v>
      </c>
      <c r="DN83" s="171">
        <f t="shared" si="276"/>
        <v>110037</v>
      </c>
      <c r="DO83" s="1044">
        <f t="shared" si="276"/>
        <v>104802.5</v>
      </c>
      <c r="DP83" s="1044">
        <f t="shared" si="276"/>
        <v>103158</v>
      </c>
      <c r="DQ83" s="172">
        <f t="shared" si="276"/>
        <v>107334.5</v>
      </c>
      <c r="DR83" s="1044">
        <f t="shared" si="276"/>
        <v>112312</v>
      </c>
      <c r="DS83" s="1044">
        <f t="shared" si="276"/>
        <v>117044.5</v>
      </c>
      <c r="DT83" s="1044">
        <f t="shared" si="276"/>
        <v>117520</v>
      </c>
      <c r="DU83" s="1044">
        <f t="shared" si="276"/>
        <v>117296</v>
      </c>
      <c r="DV83" s="1044">
        <f t="shared" si="276"/>
        <v>118076</v>
      </c>
      <c r="DW83" s="1044">
        <f t="shared" ref="DW83" si="277">AVERAGE(DV82:DW82)</f>
        <v>119646</v>
      </c>
      <c r="DX83" s="1044">
        <f t="shared" ref="DX83" si="278">AVERAGE(DW82:DX82)</f>
        <v>120824</v>
      </c>
      <c r="DY83" s="172">
        <f t="shared" ref="DY83" si="279">AVERAGE(DX82:DY82)</f>
        <v>122002</v>
      </c>
      <c r="DZ83" s="1044"/>
    </row>
    <row r="84" spans="1:136">
      <c r="A84" s="109" t="s">
        <v>977</v>
      </c>
      <c r="B84" s="109"/>
      <c r="C84" s="109"/>
      <c r="D84" s="109"/>
      <c r="E84" s="109"/>
      <c r="F84" s="109">
        <v>2605</v>
      </c>
      <c r="G84" s="109">
        <v>2744</v>
      </c>
      <c r="H84" s="109">
        <v>2856</v>
      </c>
      <c r="I84" s="109">
        <v>3299</v>
      </c>
      <c r="J84" s="109">
        <v>3130</v>
      </c>
      <c r="K84" s="109">
        <v>2797</v>
      </c>
      <c r="L84" s="109">
        <v>2384</v>
      </c>
      <c r="M84" s="109">
        <v>2129</v>
      </c>
      <c r="N84" s="109">
        <f>IS!N74</f>
        <v>2323</v>
      </c>
      <c r="O84" s="109">
        <f>IS!O74</f>
        <v>1829</v>
      </c>
      <c r="P84" s="109">
        <f>IS!P74</f>
        <v>1819</v>
      </c>
      <c r="Q84" s="109">
        <f>IS!Q74</f>
        <v>2847</v>
      </c>
      <c r="R84" s="109">
        <f>IS!R74</f>
        <v>2501</v>
      </c>
      <c r="S84" s="109">
        <f>IS!S74</f>
        <v>2827</v>
      </c>
      <c r="T84" s="109">
        <f>IS!T74</f>
        <v>2571</v>
      </c>
      <c r="U84" s="109">
        <f>IS!U74</f>
        <v>2011</v>
      </c>
      <c r="V84" s="109">
        <f>IS!V74</f>
        <v>4915</v>
      </c>
      <c r="W84" s="109">
        <f>IS!W74</f>
        <v>4920</v>
      </c>
      <c r="X84" s="109">
        <f>IS!X74</f>
        <v>4376</v>
      </c>
      <c r="Y84" s="2552">
        <f>IS!Y74</f>
        <v>4733</v>
      </c>
      <c r="Z84" s="2552">
        <f>IS!Z74</f>
        <v>4905.8260357735699</v>
      </c>
      <c r="AA84" s="109">
        <f>AA83*AA85</f>
        <v>4930.0768419312717</v>
      </c>
      <c r="AB84" s="109">
        <f>AB83*AB85</f>
        <v>4978.5784542466745</v>
      </c>
      <c r="AC84" s="109">
        <f t="shared" ref="AC84:AG84" si="280">AC83*AC85</f>
        <v>5027.0800665620773</v>
      </c>
      <c r="AD84" s="109">
        <f t="shared" si="280"/>
        <v>5075.58167887748</v>
      </c>
      <c r="AE84" s="109">
        <f t="shared" si="280"/>
        <v>5124.0832911928828</v>
      </c>
      <c r="AF84" s="109">
        <f t="shared" si="280"/>
        <v>5172.5849035082865</v>
      </c>
      <c r="AG84" s="109">
        <f t="shared" si="280"/>
        <v>5221.0865158236893</v>
      </c>
      <c r="AH84" s="536"/>
      <c r="AI84" s="109"/>
      <c r="AJ84" s="109"/>
      <c r="AK84" s="109"/>
      <c r="AL84" s="109"/>
      <c r="AM84" s="109"/>
      <c r="AN84" s="276"/>
      <c r="AO84" s="276"/>
      <c r="AP84" s="109"/>
      <c r="AQ84" s="109"/>
      <c r="AR84" s="109"/>
      <c r="AS84" s="109"/>
      <c r="AT84" s="109"/>
      <c r="AU84" s="109"/>
      <c r="AV84" s="109"/>
      <c r="AW84" s="109"/>
      <c r="AX84" s="109"/>
      <c r="AY84" s="109"/>
      <c r="AZ84" s="109"/>
      <c r="BA84" s="109"/>
      <c r="BB84" s="109"/>
      <c r="BC84" s="168"/>
      <c r="BD84" s="168"/>
      <c r="BE84" s="168"/>
      <c r="BF84" s="109">
        <v>899</v>
      </c>
      <c r="BG84" s="1245">
        <v>891</v>
      </c>
      <c r="BH84" s="1245">
        <v>787</v>
      </c>
      <c r="BI84" s="1245">
        <v>722</v>
      </c>
      <c r="BJ84" s="1245">
        <v>787</v>
      </c>
      <c r="BK84" s="1245">
        <v>769</v>
      </c>
      <c r="BL84" s="1245">
        <v>776</v>
      </c>
      <c r="BM84" s="1245">
        <v>798</v>
      </c>
      <c r="BN84" s="1245">
        <v>755</v>
      </c>
      <c r="BO84" s="1245">
        <v>692</v>
      </c>
      <c r="BP84" s="1245">
        <v>685</v>
      </c>
      <c r="BQ84" s="1245">
        <v>665</v>
      </c>
      <c r="BR84" s="1263">
        <v>638</v>
      </c>
      <c r="BS84" s="1245">
        <v>594</v>
      </c>
      <c r="BT84" s="1245">
        <v>577</v>
      </c>
      <c r="BU84" s="1245">
        <v>575</v>
      </c>
      <c r="BV84" s="1263">
        <v>548</v>
      </c>
      <c r="BW84" s="1245">
        <v>528</v>
      </c>
      <c r="BX84" s="1245">
        <v>525</v>
      </c>
      <c r="BY84" s="1245">
        <v>528</v>
      </c>
      <c r="BZ84" s="1263">
        <f>NormInputs!BP45</f>
        <v>610</v>
      </c>
      <c r="CA84" s="1245">
        <f>NormInputs!BQ45</f>
        <v>590</v>
      </c>
      <c r="CB84" s="1245">
        <f>NormInputs!BR45</f>
        <v>572</v>
      </c>
      <c r="CC84" s="1245">
        <f>NormInputs!BS45</f>
        <v>551</v>
      </c>
      <c r="CD84" s="1263">
        <f>NormInputs!BT45</f>
        <v>485</v>
      </c>
      <c r="CE84" s="1245">
        <f>NormInputs!BU45</f>
        <v>455</v>
      </c>
      <c r="CF84" s="1245">
        <f>NormInputs!BV45</f>
        <v>450</v>
      </c>
      <c r="CG84" s="1245">
        <f>NormInputs!BW45</f>
        <v>439</v>
      </c>
      <c r="CH84" s="1263">
        <f>NormInputs!BX45</f>
        <v>459</v>
      </c>
      <c r="CI84" s="1245">
        <f>NormInputs!BY45</f>
        <v>403</v>
      </c>
      <c r="CJ84" s="1245">
        <f>NormInputs!BZ45</f>
        <v>440</v>
      </c>
      <c r="CK84" s="1245">
        <f>NormInputs!CA45</f>
        <v>517</v>
      </c>
      <c r="CL84" s="1263">
        <f>+IS!CI74</f>
        <v>717</v>
      </c>
      <c r="CM84" s="1245">
        <f>+IS!CJ74</f>
        <v>740</v>
      </c>
      <c r="CN84" s="1245">
        <f>+IS!CK74</f>
        <v>704</v>
      </c>
      <c r="CO84" s="1245">
        <f>+IS!CL74</f>
        <v>686</v>
      </c>
      <c r="CP84" s="1263">
        <f>+IS!CM74</f>
        <v>669</v>
      </c>
      <c r="CQ84" s="1245">
        <f>+IS!CN74</f>
        <v>668</v>
      </c>
      <c r="CR84" s="1245">
        <f>+IS!CO74</f>
        <v>597</v>
      </c>
      <c r="CS84" s="1245">
        <f>+IS!CP74</f>
        <v>567</v>
      </c>
      <c r="CT84" s="1263">
        <f>+IS!CQ74</f>
        <v>709</v>
      </c>
      <c r="CU84" s="1245">
        <f>+IS!CR74</f>
        <v>717</v>
      </c>
      <c r="CV84" s="1245">
        <f>+IS!CS74</f>
        <v>698</v>
      </c>
      <c r="CW84" s="1432">
        <f>+IS!CT74</f>
        <v>703</v>
      </c>
      <c r="CX84" s="109">
        <f>+IS!CU74</f>
        <v>685</v>
      </c>
      <c r="CY84" s="109">
        <f>+IS!CV74</f>
        <v>679</v>
      </c>
      <c r="CZ84" s="109">
        <f>+IS!CW74</f>
        <v>632</v>
      </c>
      <c r="DA84" s="109">
        <f>+IS!CX74</f>
        <v>575</v>
      </c>
      <c r="DB84" s="171">
        <f>+IS!CY74</f>
        <v>537</v>
      </c>
      <c r="DC84" s="109">
        <f>+IS!CZ74</f>
        <v>514</v>
      </c>
      <c r="DD84" s="109">
        <f>+IS!DA74</f>
        <v>515</v>
      </c>
      <c r="DE84" s="109">
        <f>+IS!DB74</f>
        <v>445</v>
      </c>
      <c r="DF84" s="171">
        <f>+IS!DC74</f>
        <v>1214</v>
      </c>
      <c r="DG84" s="1044">
        <f>+IS!DD74</f>
        <v>1164</v>
      </c>
      <c r="DH84" s="1044">
        <f>+IS!DE74</f>
        <v>1255</v>
      </c>
      <c r="DI84" s="172">
        <f>+IS!DF74</f>
        <v>1282</v>
      </c>
      <c r="DJ84" s="171">
        <f>+IS!DG74</f>
        <v>1332</v>
      </c>
      <c r="DK84" s="1044">
        <f>+IS!DH74</f>
        <v>1208</v>
      </c>
      <c r="DL84" s="2151">
        <f>+IS!DI74</f>
        <v>1202</v>
      </c>
      <c r="DM84" s="2473">
        <f>+IS!DJ74</f>
        <v>1178</v>
      </c>
      <c r="DN84" s="2490">
        <f>+IS!DK74</f>
        <v>1188</v>
      </c>
      <c r="DO84" s="2151">
        <f>+IS!DL74</f>
        <v>1013</v>
      </c>
      <c r="DP84" s="2151">
        <f>+IS!DM74</f>
        <v>1038</v>
      </c>
      <c r="DQ84" s="2473">
        <f>+IS!DN74</f>
        <v>1137</v>
      </c>
      <c r="DR84" s="2151">
        <f>+IS!DO74</f>
        <v>1132</v>
      </c>
      <c r="DS84" s="2151">
        <f>+IS!DP74</f>
        <v>1218</v>
      </c>
      <c r="DT84" s="2151">
        <f>+IS!DQ74</f>
        <v>1164</v>
      </c>
      <c r="DU84" s="2151">
        <f>+IS!DR74</f>
        <v>1219</v>
      </c>
      <c r="DV84" s="2151">
        <f>+IS!DS74</f>
        <v>1201</v>
      </c>
      <c r="DW84" s="1044">
        <f t="shared" ref="DW84:DY84" si="281">+DW82*DW85/4</f>
        <v>1222.9600850299807</v>
      </c>
      <c r="DX84" s="1044">
        <f t="shared" si="281"/>
        <v>1234.9420119245233</v>
      </c>
      <c r="DY84" s="172">
        <f t="shared" si="281"/>
        <v>1246.9239388190656</v>
      </c>
      <c r="DZ84" s="1044"/>
    </row>
    <row r="85" spans="1:136">
      <c r="A85" s="94" t="s">
        <v>1275</v>
      </c>
      <c r="B85" s="94"/>
      <c r="C85" s="94"/>
      <c r="D85" s="94"/>
      <c r="E85" s="94"/>
      <c r="F85" s="94">
        <v>6.4800995024875616E-2</v>
      </c>
      <c r="G85" s="94">
        <v>6.2589813188567781E-2</v>
      </c>
      <c r="H85" s="94">
        <v>5.4498096573832901E-2</v>
      </c>
      <c r="I85" s="94">
        <v>5.4235337635115698E-2</v>
      </c>
      <c r="J85" s="94">
        <v>5.3233103166774383E-2</v>
      </c>
      <c r="K85" s="94">
        <v>5.6705524581855044E-2</v>
      </c>
      <c r="L85" s="94">
        <v>5.632804470329722E-2</v>
      </c>
      <c r="M85" s="94">
        <v>5.4396566041110414E-2</v>
      </c>
      <c r="N85" s="94">
        <f t="shared" ref="N85:U85" si="282">N84/N83</f>
        <v>6.1641745498931949E-2</v>
      </c>
      <c r="O85" s="94">
        <f t="shared" si="282"/>
        <v>5.4178145087235993E-2</v>
      </c>
      <c r="P85" s="94">
        <f t="shared" si="282"/>
        <v>4.3773839175059261E-2</v>
      </c>
      <c r="Q85" s="94">
        <f t="shared" si="282"/>
        <v>4.9856402353600449E-2</v>
      </c>
      <c r="R85" s="94">
        <f t="shared" si="282"/>
        <v>4.3476749239461106E-2</v>
      </c>
      <c r="S85" s="94">
        <f t="shared" si="282"/>
        <v>5.2378040872287993E-2</v>
      </c>
      <c r="T85" s="94">
        <f t="shared" si="282"/>
        <v>4.7993727774199871E-2</v>
      </c>
      <c r="U85" s="94">
        <f t="shared" si="282"/>
        <v>2.7627800903982744E-2</v>
      </c>
      <c r="V85" s="94">
        <f>V84/V82</f>
        <v>4.3391512390638383E-2</v>
      </c>
      <c r="W85" s="94">
        <f>W84/W82</f>
        <v>4.464852895801949E-2</v>
      </c>
      <c r="X85" s="94">
        <f>X84/X82</f>
        <v>4.0489276263439365E-2</v>
      </c>
      <c r="Y85" s="94">
        <f>Y84/Y82</f>
        <v>4.04201716554934E-2</v>
      </c>
      <c r="Z85" s="94">
        <f>Z84/Z82</f>
        <v>4.0017831943401798E-2</v>
      </c>
      <c r="AA85" s="2555">
        <f>+Z85</f>
        <v>4.0017831943401798E-2</v>
      </c>
      <c r="AB85" s="2555">
        <f>+AA85</f>
        <v>4.0017831943401798E-2</v>
      </c>
      <c r="AC85" s="2555">
        <f t="shared" ref="AC85:AG85" si="283">+AB85</f>
        <v>4.0017831943401798E-2</v>
      </c>
      <c r="AD85" s="2555">
        <f t="shared" si="283"/>
        <v>4.0017831943401798E-2</v>
      </c>
      <c r="AE85" s="2555">
        <f t="shared" si="283"/>
        <v>4.0017831943401798E-2</v>
      </c>
      <c r="AF85" s="2555">
        <f t="shared" si="283"/>
        <v>4.0017831943401798E-2</v>
      </c>
      <c r="AG85" s="2555">
        <f t="shared" si="283"/>
        <v>4.0017831943401798E-2</v>
      </c>
      <c r="AH85" s="138"/>
      <c r="AI85" s="94"/>
      <c r="AJ85" s="94"/>
      <c r="AK85" s="94"/>
      <c r="AL85" s="94"/>
      <c r="AM85" s="94"/>
      <c r="AN85" s="240"/>
      <c r="AO85" s="240"/>
      <c r="AP85" s="94"/>
      <c r="AQ85" s="94"/>
      <c r="AR85" s="94"/>
      <c r="AS85" s="94"/>
      <c r="AT85" s="94"/>
      <c r="AU85" s="94"/>
      <c r="AV85" s="94"/>
      <c r="AW85" s="94"/>
      <c r="AX85" s="94"/>
      <c r="AY85" s="94"/>
      <c r="AZ85" s="94"/>
      <c r="BA85" s="94"/>
      <c r="BB85" s="94"/>
      <c r="BC85" s="110"/>
      <c r="BD85" s="110"/>
      <c r="BE85" s="110"/>
      <c r="BF85" s="94">
        <v>5.8166054704559794E-2</v>
      </c>
      <c r="BG85" s="94">
        <v>5.6261543561652486E-2</v>
      </c>
      <c r="BH85" s="94">
        <v>4.8896793283680615E-2</v>
      </c>
      <c r="BI85" s="94">
        <v>4.5048979846509019E-2</v>
      </c>
      <c r="BJ85" s="94">
        <v>4.9799882935472134E-2</v>
      </c>
      <c r="BK85" s="94">
        <v>5.006388190392487E-2</v>
      </c>
      <c r="BL85" s="94">
        <v>5.2874992547419702E-2</v>
      </c>
      <c r="BM85" s="94">
        <v>5.8091286307053944E-2</v>
      </c>
      <c r="BN85" s="94">
        <v>1.417188335883021E-2</v>
      </c>
      <c r="BO85" s="94">
        <v>1.3541014402003757E-2</v>
      </c>
      <c r="BP85" s="94">
        <v>1.4514403161385331E-2</v>
      </c>
      <c r="BQ85" s="94">
        <v>1.4641127256715104E-2</v>
      </c>
      <c r="BR85" s="147">
        <v>1.4204292457030901E-2</v>
      </c>
      <c r="BS85" s="94">
        <v>1.3759555246699097E-2</v>
      </c>
      <c r="BT85" s="94">
        <v>1.4002985038405068E-2</v>
      </c>
      <c r="BU85" s="94">
        <v>1.4412833688432134E-2</v>
      </c>
      <c r="BV85" s="147">
        <v>1.3969969663752007E-2</v>
      </c>
      <c r="BW85" s="94">
        <v>1.3046056532911642E-2</v>
      </c>
      <c r="BX85" s="94">
        <v>1.2931671510911867E-2</v>
      </c>
      <c r="BY85" s="94">
        <v>1.3460974645948323E-2</v>
      </c>
      <c r="BZ85" s="147">
        <f t="shared" ref="BZ85:CW85" si="284">BZ84/BZ83</f>
        <v>1.4867170363148916E-2</v>
      </c>
      <c r="CA85" s="94">
        <f t="shared" si="284"/>
        <v>1.3816359506357867E-2</v>
      </c>
      <c r="CB85" s="94">
        <f t="shared" si="284"/>
        <v>1.361272742417211E-2</v>
      </c>
      <c r="CC85" s="94">
        <f t="shared" si="284"/>
        <v>1.4120239864691712E-2</v>
      </c>
      <c r="CD85" s="147">
        <f t="shared" si="284"/>
        <v>1.3654663701117712E-2</v>
      </c>
      <c r="CE85" s="94">
        <f t="shared" si="284"/>
        <v>1.3541062154963319E-2</v>
      </c>
      <c r="CF85" s="94">
        <f t="shared" si="284"/>
        <v>1.4068435121066701E-2</v>
      </c>
      <c r="CG85" s="94">
        <f t="shared" si="284"/>
        <v>1.4024662960833174E-2</v>
      </c>
      <c r="CH85" s="147">
        <f t="shared" si="284"/>
        <v>1.3700879065116488E-2</v>
      </c>
      <c r="CI85" s="94">
        <f t="shared" si="284"/>
        <v>1.0208346526502439E-2</v>
      </c>
      <c r="CJ85" s="94">
        <f t="shared" si="284"/>
        <v>1.001319921714988E-2</v>
      </c>
      <c r="CK85" s="94">
        <f t="shared" si="284"/>
        <v>1.0689879764698585E-2</v>
      </c>
      <c r="CL85" s="147">
        <f t="shared" si="284"/>
        <v>1.1842920262625428E-2</v>
      </c>
      <c r="CM85" s="94">
        <f t="shared" si="284"/>
        <v>1.1041315408603274E-2</v>
      </c>
      <c r="CN85" s="94">
        <f t="shared" si="284"/>
        <v>1.1023597388159027E-2</v>
      </c>
      <c r="CO85" s="94">
        <f t="shared" si="284"/>
        <v>1.0969593757245769E-2</v>
      </c>
      <c r="CP85" s="147">
        <f t="shared" si="284"/>
        <v>1.0806968798714149E-2</v>
      </c>
      <c r="CQ85" s="94">
        <f t="shared" si="284"/>
        <v>1.1224909889851371E-2</v>
      </c>
      <c r="CR85" s="94">
        <f t="shared" si="284"/>
        <v>1.0791952132178817E-2</v>
      </c>
      <c r="CS85" s="94">
        <f t="shared" si="284"/>
        <v>1.0701747763391341E-2</v>
      </c>
      <c r="CT85" s="147">
        <f t="shared" si="284"/>
        <v>1.2439578563219903E-2</v>
      </c>
      <c r="CU85" s="94">
        <f t="shared" si="284"/>
        <v>1.2450186231865184E-2</v>
      </c>
      <c r="CV85" s="94">
        <f t="shared" si="284"/>
        <v>1.2819453244809315E-2</v>
      </c>
      <c r="CW85" s="101">
        <f t="shared" si="284"/>
        <v>1.2774037631624375E-2</v>
      </c>
      <c r="CX85" s="94">
        <f t="shared" ref="CX85:DD85" si="285">CX84/CX83*4</f>
        <v>5.133537550703051E-2</v>
      </c>
      <c r="CY85" s="277">
        <f t="shared" si="285"/>
        <v>5.2236796553448477E-2</v>
      </c>
      <c r="CZ85" s="277">
        <f t="shared" si="285"/>
        <v>4.8064034679113632E-2</v>
      </c>
      <c r="DA85" s="277">
        <f t="shared" si="285"/>
        <v>4.389773735792879E-2</v>
      </c>
      <c r="DB85" s="278">
        <f t="shared" si="285"/>
        <v>4.0965785558988443E-2</v>
      </c>
      <c r="DC85" s="277">
        <f t="shared" si="285"/>
        <v>4.0065086278292555E-2</v>
      </c>
      <c r="DD85" s="277">
        <f t="shared" si="285"/>
        <v>2.7671063589716036E-2</v>
      </c>
      <c r="DE85" s="277">
        <f>DE84/DE83*4</f>
        <v>1.8471340884445159E-2</v>
      </c>
      <c r="DF85" s="278">
        <f>DF84/DF83*4</f>
        <v>4.775767112509835E-2</v>
      </c>
      <c r="DG85" s="1085">
        <f>DG84/DG83*4</f>
        <v>4.2375812294082313E-2</v>
      </c>
      <c r="DH85" s="1085">
        <f>DH84/DH83*4</f>
        <v>4.5801039190909131E-2</v>
      </c>
      <c r="DI85" s="442">
        <f>DI84/DI83*4</f>
        <v>4.6094174857641092E-2</v>
      </c>
      <c r="DJ85" s="278">
        <f t="shared" ref="DJ85:DM85" si="286">DJ84/DJ83*4</f>
        <v>4.7013354863473321E-2</v>
      </c>
      <c r="DK85" s="1085">
        <f t="shared" si="286"/>
        <v>4.2561624952104957E-2</v>
      </c>
      <c r="DL85" s="1085">
        <f t="shared" si="286"/>
        <v>4.2549613929511718E-2</v>
      </c>
      <c r="DM85" s="442">
        <f t="shared" si="286"/>
        <v>4.2351629980495957E-2</v>
      </c>
      <c r="DN85" s="278">
        <f t="shared" ref="DN85:DO85" si="287">DN84/DN83*4</f>
        <v>4.3185473976935028E-2</v>
      </c>
      <c r="DO85" s="1085">
        <f t="shared" si="287"/>
        <v>3.8663199828248375E-2</v>
      </c>
      <c r="DP85" s="1085">
        <f t="shared" ref="DP85:DQ85" si="288">DP84/DP83*4</f>
        <v>4.0248938521491306E-2</v>
      </c>
      <c r="DQ85" s="442">
        <f t="shared" si="288"/>
        <v>4.237221023995081E-2</v>
      </c>
      <c r="DR85" s="1085">
        <f t="shared" ref="DR85:DS85" si="289">DR84/DR83*4</f>
        <v>4.0316261842011536E-2</v>
      </c>
      <c r="DS85" s="1085">
        <f t="shared" si="289"/>
        <v>4.1625193836532258E-2</v>
      </c>
      <c r="DT85" s="1085">
        <f t="shared" ref="DT85:DU85" si="290">DT84/DT83*4</f>
        <v>3.9618788291354665E-2</v>
      </c>
      <c r="DU85" s="1085">
        <f t="shared" si="290"/>
        <v>4.1570045014322737E-2</v>
      </c>
      <c r="DV85" s="1085">
        <f t="shared" ref="DV85" si="291">DV84/DV83*4</f>
        <v>4.0685660083336156E-2</v>
      </c>
      <c r="DW85" s="3255">
        <f t="shared" ref="DW85" si="292">+DV85</f>
        <v>4.0685660083336156E-2</v>
      </c>
      <c r="DX85" s="3255">
        <f t="shared" ref="DX85" si="293">+DW85</f>
        <v>4.0685660083336156E-2</v>
      </c>
      <c r="DY85" s="2554">
        <f t="shared" ref="DY85" si="294">+DX85</f>
        <v>4.0685660083336156E-2</v>
      </c>
      <c r="DZ85" s="1045"/>
    </row>
    <row r="86" spans="1:136">
      <c r="A86" s="279" t="s">
        <v>1276</v>
      </c>
      <c r="B86" s="280"/>
      <c r="C86" s="280"/>
      <c r="D86" s="280"/>
      <c r="E86" s="280"/>
      <c r="F86" s="280">
        <v>0.6420442189198986</v>
      </c>
      <c r="G86" s="280">
        <v>0.67191933741447607</v>
      </c>
      <c r="H86" s="280">
        <v>0.7095652173913044</v>
      </c>
      <c r="I86" s="280">
        <v>0.82172893772893774</v>
      </c>
      <c r="J86" s="280">
        <v>0.7749499362825415</v>
      </c>
      <c r="K86" s="280">
        <v>0.687496837158865</v>
      </c>
      <c r="L86" s="280">
        <v>0.57263157894736849</v>
      </c>
      <c r="M86" s="280">
        <v>0.51369466867737068</v>
      </c>
      <c r="N86" s="280">
        <f>(N84*0.68)/IS!N103</f>
        <v>0.53752218011981556</v>
      </c>
      <c r="O86" s="280">
        <f>(O84*0.68)/IS!O103</f>
        <v>0.42857759956766428</v>
      </c>
      <c r="P86" s="280">
        <f>(P84*0.68)/IS!P103</f>
        <v>0.43394458808962683</v>
      </c>
      <c r="Q86" s="280">
        <f>(Q84*0.68)/IS!Q103</f>
        <v>0.68143611404435056</v>
      </c>
      <c r="R86" s="280">
        <f>(R84*0.68)/IS!R103</f>
        <v>0.60031062477938579</v>
      </c>
      <c r="S86" s="280">
        <f>(S84*0.68)/IS!S103</f>
        <v>0.67712574850299401</v>
      </c>
      <c r="T86" s="280">
        <f>(T84*0.68)/IS!T103</f>
        <v>0.61085953878406718</v>
      </c>
      <c r="U86" s="280">
        <f>(U84*0.68)/IS!U103</f>
        <v>0.4758107167710508</v>
      </c>
      <c r="V86" s="280">
        <f>(V84*0.68)/IS!V103</f>
        <v>0.80288270974716236</v>
      </c>
      <c r="W86" s="280">
        <f>(W84*0.68)/IS!W103</f>
        <v>0.81729571271528045</v>
      </c>
      <c r="X86" s="280">
        <f>(X84*0.68)/IS!X103</f>
        <v>0.72830692039405254</v>
      </c>
      <c r="Y86" s="280">
        <f>(Y84*0.68)/IS!Y103</f>
        <v>0.78748226082701245</v>
      </c>
      <c r="Z86" s="280">
        <f>(Z84*0.68)/IS!Z103</f>
        <v>0.80809355300020358</v>
      </c>
      <c r="AA86" s="280">
        <f>(AA84*0.68)/IS!AA103</f>
        <v>0.81183377589195316</v>
      </c>
      <c r="AB86" s="280">
        <f>(AB84*0.68)/IS!AB103</f>
        <v>0.8195266835423205</v>
      </c>
      <c r="AC86" s="280">
        <f>(AC84*0.68)/IS!AC103</f>
        <v>0.8272141861447263</v>
      </c>
      <c r="AD86" s="280">
        <f>(AD84*0.68)/IS!AD103</f>
        <v>0.83489629238099838</v>
      </c>
      <c r="AE86" s="280">
        <f>(AE84*0.68)/IS!AE103</f>
        <v>0.84257301091222048</v>
      </c>
      <c r="AF86" s="280">
        <f>(AF84*0.68)/IS!AF103</f>
        <v>0.85024435037879709</v>
      </c>
      <c r="AG86" s="280">
        <f>(AG84*0.68)/IS!AG103</f>
        <v>0.85791031940051843</v>
      </c>
      <c r="AH86" s="1413"/>
      <c r="AI86" s="280"/>
      <c r="AJ86" s="280"/>
      <c r="AK86" s="280"/>
      <c r="AL86" s="280"/>
      <c r="AM86" s="280"/>
      <c r="AN86" s="272"/>
      <c r="AO86" s="272"/>
      <c r="AP86" s="280"/>
      <c r="AQ86" s="280"/>
      <c r="AR86" s="280"/>
      <c r="AS86" s="280"/>
      <c r="AT86" s="280"/>
      <c r="AU86" s="280"/>
      <c r="AV86" s="280"/>
      <c r="AW86" s="280"/>
      <c r="AX86" s="280"/>
      <c r="AY86" s="280"/>
      <c r="AZ86" s="280"/>
      <c r="BA86" s="280"/>
      <c r="BB86" s="280"/>
      <c r="BC86" s="282"/>
      <c r="BD86" s="282"/>
      <c r="BE86" s="282"/>
      <c r="BF86" s="280"/>
      <c r="BG86" s="280"/>
      <c r="BH86" s="280"/>
      <c r="BI86" s="280"/>
      <c r="BJ86" s="280"/>
      <c r="BK86" s="280"/>
      <c r="BL86" s="280"/>
      <c r="BM86" s="280"/>
      <c r="BN86" s="280"/>
      <c r="BO86" s="280"/>
      <c r="BP86" s="280"/>
      <c r="BQ86" s="280"/>
      <c r="BR86" s="283"/>
      <c r="BS86" s="280"/>
      <c r="BT86" s="280"/>
      <c r="BU86" s="280"/>
      <c r="BV86" s="283"/>
      <c r="BW86" s="280"/>
      <c r="BX86" s="280"/>
      <c r="BY86" s="280"/>
      <c r="BZ86" s="283"/>
      <c r="CA86" s="280"/>
      <c r="CB86" s="280"/>
      <c r="CC86" s="280"/>
      <c r="CD86" s="283"/>
      <c r="CE86" s="284"/>
      <c r="CF86" s="284"/>
      <c r="CG86" s="284"/>
      <c r="CH86" s="285"/>
      <c r="CI86" s="284"/>
      <c r="CJ86" s="284"/>
      <c r="CK86" s="284"/>
      <c r="CL86" s="285"/>
      <c r="CM86" s="284"/>
      <c r="CN86" s="284"/>
      <c r="CO86" s="284"/>
      <c r="CP86" s="285"/>
      <c r="CQ86" s="284"/>
      <c r="CR86" s="284"/>
      <c r="CS86" s="284"/>
      <c r="CT86" s="285"/>
      <c r="CU86" s="284"/>
      <c r="CV86" s="284"/>
      <c r="CW86" s="286"/>
      <c r="CX86" s="284"/>
      <c r="CY86" s="284"/>
      <c r="CZ86" s="284"/>
      <c r="DA86" s="284"/>
      <c r="DB86" s="285"/>
      <c r="DC86" s="284"/>
      <c r="DD86" s="284"/>
      <c r="DE86" s="284"/>
      <c r="DF86" s="285"/>
      <c r="DG86" s="1554"/>
      <c r="DH86" s="1554"/>
      <c r="DI86" s="286"/>
      <c r="DJ86" s="285"/>
      <c r="DK86" s="1554"/>
      <c r="DL86" s="1554"/>
      <c r="DM86" s="286"/>
      <c r="DN86" s="285"/>
      <c r="DO86" s="1554"/>
      <c r="DP86" s="1554"/>
      <c r="DQ86" s="286"/>
      <c r="DR86" s="1554"/>
      <c r="DS86" s="1554"/>
      <c r="DT86" s="1554"/>
      <c r="DU86" s="1554"/>
      <c r="DV86" s="1554"/>
      <c r="DW86" s="1554"/>
      <c r="DX86" s="1554"/>
      <c r="DY86" s="286"/>
      <c r="DZ86" s="1410"/>
    </row>
    <row r="87" spans="1:136">
      <c r="A87" s="94" t="s">
        <v>1277</v>
      </c>
      <c r="B87" s="94"/>
      <c r="C87" s="94"/>
      <c r="D87" s="94"/>
      <c r="E87" s="94"/>
      <c r="F87" s="94">
        <v>0.62690058479532162</v>
      </c>
      <c r="G87" s="94">
        <v>0.62675889015021513</v>
      </c>
      <c r="H87" s="94">
        <v>0.50404881436999394</v>
      </c>
      <c r="I87" s="94">
        <v>0.54049103466819026</v>
      </c>
      <c r="J87" s="94">
        <v>0.48452379869568779</v>
      </c>
      <c r="K87" s="94">
        <v>0.43975424927805878</v>
      </c>
      <c r="L87" s="94">
        <v>0.38542402826855121</v>
      </c>
      <c r="M87" s="94">
        <v>0.36995940973407687</v>
      </c>
      <c r="N87" s="94">
        <f t="shared" ref="N87:AA87" si="295">N82/(N82+N61)</f>
        <v>0.32263817780104526</v>
      </c>
      <c r="O87" s="94">
        <f t="shared" si="295"/>
        <v>0.27324469857751743</v>
      </c>
      <c r="P87" s="94">
        <f t="shared" si="295"/>
        <v>0.39701353385756971</v>
      </c>
      <c r="Q87" s="94">
        <f t="shared" si="295"/>
        <v>0.42459914201728244</v>
      </c>
      <c r="R87" s="94">
        <f t="shared" si="295"/>
        <v>0.3778935765106724</v>
      </c>
      <c r="S87" s="94">
        <f t="shared" si="295"/>
        <v>0.3909825606125053</v>
      </c>
      <c r="T87" s="94">
        <f t="shared" si="295"/>
        <v>0.37803228621291446</v>
      </c>
      <c r="U87" s="94">
        <f t="shared" si="295"/>
        <v>0.4951721364817176</v>
      </c>
      <c r="V87" s="94">
        <f t="shared" si="295"/>
        <v>0.89227000244196397</v>
      </c>
      <c r="W87" s="94">
        <f t="shared" si="295"/>
        <v>0.86064856759036523</v>
      </c>
      <c r="X87" s="94">
        <f t="shared" si="295"/>
        <v>0.81809098478540609</v>
      </c>
      <c r="Y87" s="94">
        <f t="shared" ref="Y87:Z87" si="296">Y82/(Y82+Y61)</f>
        <v>0.72378262105796687</v>
      </c>
      <c r="Z87" s="94">
        <f t="shared" ca="1" si="296"/>
        <v>0.67644265043815022</v>
      </c>
      <c r="AA87" s="94">
        <f t="shared" ca="1" si="295"/>
        <v>0.64753186944301677</v>
      </c>
      <c r="AB87" s="94">
        <f t="shared" ref="AB87:AG87" ca="1" si="297">AB82/(AB82+AB61)</f>
        <v>0.61951029580247918</v>
      </c>
      <c r="AC87" s="94">
        <f t="shared" ca="1" si="297"/>
        <v>0.59256481375530534</v>
      </c>
      <c r="AD87" s="94">
        <f t="shared" ca="1" si="297"/>
        <v>0.56654680993231199</v>
      </c>
      <c r="AE87" s="94">
        <f t="shared" ca="1" si="297"/>
        <v>0.54140736759087904</v>
      </c>
      <c r="AF87" s="94">
        <f t="shared" ca="1" si="297"/>
        <v>0.51710502218277554</v>
      </c>
      <c r="AG87" s="94">
        <f t="shared" ca="1" si="297"/>
        <v>0.49365853191334463</v>
      </c>
      <c r="AH87" s="138"/>
      <c r="AI87" s="94"/>
      <c r="AJ87" s="94"/>
      <c r="AK87" s="94"/>
      <c r="AL87" s="94"/>
      <c r="AM87" s="94"/>
      <c r="AN87" s="240"/>
      <c r="AO87" s="240"/>
      <c r="AP87" s="94"/>
      <c r="AQ87" s="94"/>
      <c r="AR87" s="94"/>
      <c r="AS87" s="94"/>
      <c r="AT87" s="94"/>
      <c r="AU87" s="94"/>
      <c r="AV87" s="94"/>
      <c r="AW87" s="94"/>
      <c r="AX87" s="94"/>
      <c r="AY87" s="94"/>
      <c r="AZ87" s="94"/>
      <c r="BA87" s="94"/>
      <c r="BB87" s="94"/>
      <c r="BC87" s="94"/>
      <c r="BD87" s="94"/>
      <c r="BE87" s="94"/>
      <c r="BF87" s="94">
        <v>0.52293989274415931</v>
      </c>
      <c r="BG87" s="94">
        <v>0.53383421522560259</v>
      </c>
      <c r="BH87" s="94">
        <v>0.52965803108808285</v>
      </c>
      <c r="BI87" s="94">
        <v>0.54049103466819026</v>
      </c>
      <c r="BJ87" s="94">
        <v>0.538123586450724</v>
      </c>
      <c r="BK87" s="94">
        <v>0.54230830998733071</v>
      </c>
      <c r="BL87" s="94">
        <v>0.50478253505558079</v>
      </c>
      <c r="BM87" s="94">
        <v>0.48452379869568779</v>
      </c>
      <c r="BN87" s="94">
        <v>0.47874883185967937</v>
      </c>
      <c r="BO87" s="94">
        <v>0.45638892257179903</v>
      </c>
      <c r="BP87" s="94">
        <v>0.4347576603802456</v>
      </c>
      <c r="BQ87" s="94">
        <v>0.43975424927805878</v>
      </c>
      <c r="BR87" s="147">
        <v>0.43524493053039726</v>
      </c>
      <c r="BS87" s="94">
        <v>0.41552257757320848</v>
      </c>
      <c r="BT87" s="94">
        <v>0.40407837662661417</v>
      </c>
      <c r="BU87" s="94">
        <v>0.38542402826855121</v>
      </c>
      <c r="BV87" s="147">
        <v>0.38448406118464301</v>
      </c>
      <c r="BW87" s="94">
        <v>0.39518662931556631</v>
      </c>
      <c r="BX87" s="94">
        <v>0.37691976871983562</v>
      </c>
      <c r="BY87" s="94">
        <v>0.36995940973407687</v>
      </c>
      <c r="BZ87" s="147">
        <f t="shared" ref="BZ87:DN87" si="298">BZ82/(BZ82+BZ61)</f>
        <v>0.37370116060035241</v>
      </c>
      <c r="CA87" s="94">
        <f t="shared" si="298"/>
        <v>0.36869777158774375</v>
      </c>
      <c r="CB87" s="94">
        <f t="shared" si="298"/>
        <v>0.3609386500411309</v>
      </c>
      <c r="CC87" s="94">
        <f t="shared" si="298"/>
        <v>0.32263817780104526</v>
      </c>
      <c r="CD87" s="147">
        <f t="shared" si="298"/>
        <v>0.30770391140768083</v>
      </c>
      <c r="CE87" s="94">
        <f t="shared" si="298"/>
        <v>0.28897101938556125</v>
      </c>
      <c r="CF87" s="94">
        <f t="shared" si="298"/>
        <v>0.27985227373854232</v>
      </c>
      <c r="CG87" s="94">
        <f t="shared" si="298"/>
        <v>0.27324469857751743</v>
      </c>
      <c r="CH87" s="147">
        <f t="shared" si="298"/>
        <v>0.29990378581886634</v>
      </c>
      <c r="CI87" s="94">
        <f t="shared" si="298"/>
        <v>0.33514215301370609</v>
      </c>
      <c r="CJ87" s="94">
        <f t="shared" si="298"/>
        <v>0.34018127806353088</v>
      </c>
      <c r="CK87" s="94">
        <f t="shared" si="298"/>
        <v>0.39701353385756971</v>
      </c>
      <c r="CL87" s="147">
        <f t="shared" si="298"/>
        <v>0.46185039448983545</v>
      </c>
      <c r="CM87" s="94">
        <f t="shared" si="298"/>
        <v>0.43937588844513642</v>
      </c>
      <c r="CN87" s="94">
        <f t="shared" si="298"/>
        <v>0.42616978405552275</v>
      </c>
      <c r="CO87" s="94">
        <f t="shared" si="298"/>
        <v>0.42459914201728244</v>
      </c>
      <c r="CP87" s="147">
        <f t="shared" si="298"/>
        <v>0.4210047535993981</v>
      </c>
      <c r="CQ87" s="94">
        <f t="shared" si="298"/>
        <v>0.40487244700262787</v>
      </c>
      <c r="CR87" s="94">
        <f t="shared" si="298"/>
        <v>0.38586585772965443</v>
      </c>
      <c r="CS87" s="94">
        <f t="shared" si="298"/>
        <v>0.3778935765106724</v>
      </c>
      <c r="CT87" s="147">
        <f t="shared" si="298"/>
        <v>0.40781415557673212</v>
      </c>
      <c r="CU87" s="94">
        <f t="shared" si="298"/>
        <v>0.37307697623951236</v>
      </c>
      <c r="CV87" s="94">
        <f t="shared" si="298"/>
        <v>0.38555781787544757</v>
      </c>
      <c r="CW87" s="101">
        <f t="shared" si="298"/>
        <v>0.3909825606125053</v>
      </c>
      <c r="CX87" s="94">
        <f t="shared" si="298"/>
        <v>0.36850262109157395</v>
      </c>
      <c r="CY87" s="94">
        <f t="shared" si="298"/>
        <v>0.36683494493029639</v>
      </c>
      <c r="CZ87" s="94">
        <f t="shared" si="298"/>
        <v>0.36307501890944099</v>
      </c>
      <c r="DA87" s="94">
        <f t="shared" si="298"/>
        <v>0.37803228621291446</v>
      </c>
      <c r="DB87" s="147">
        <f t="shared" si="298"/>
        <v>0.37646028661128078</v>
      </c>
      <c r="DC87" s="94">
        <f t="shared" si="298"/>
        <v>0.3633973179069156</v>
      </c>
      <c r="DD87" s="94">
        <f t="shared" si="298"/>
        <v>0.52342863176790477</v>
      </c>
      <c r="DE87" s="94">
        <f t="shared" si="298"/>
        <v>0.4951721364817176</v>
      </c>
      <c r="DF87" s="147">
        <f t="shared" si="298"/>
        <v>0.88795502345898725</v>
      </c>
      <c r="DG87" s="1045">
        <f t="shared" si="298"/>
        <v>0.8729115571747188</v>
      </c>
      <c r="DH87" s="1045">
        <f t="shared" si="298"/>
        <v>0.85873991729429711</v>
      </c>
      <c r="DI87" s="101">
        <f t="shared" si="298"/>
        <v>0.89227000244196397</v>
      </c>
      <c r="DJ87" s="147">
        <f t="shared" si="298"/>
        <v>0.91333660901995217</v>
      </c>
      <c r="DK87" s="1045">
        <f t="shared" si="298"/>
        <v>0.8982654391718361</v>
      </c>
      <c r="DL87" s="1045">
        <f t="shared" si="298"/>
        <v>0.88537512020557119</v>
      </c>
      <c r="DM87" s="101">
        <f t="shared" si="298"/>
        <v>0.86064856759036523</v>
      </c>
      <c r="DN87" s="147">
        <f t="shared" si="298"/>
        <v>0.8453413138641207</v>
      </c>
      <c r="DO87" s="1045">
        <f t="shared" ref="DO87:DP87" si="299">DO82/(DO82+DO61)</f>
        <v>0.82780632361852424</v>
      </c>
      <c r="DP87" s="1045">
        <f t="shared" si="299"/>
        <v>0.82902453062049875</v>
      </c>
      <c r="DQ87" s="101">
        <f t="shared" ref="DQ87:DR87" si="300">DQ82/(DQ82+DQ61)</f>
        <v>0.81809098478540609</v>
      </c>
      <c r="DR87" s="1045">
        <f t="shared" si="300"/>
        <v>0.82316379791359129</v>
      </c>
      <c r="DS87" s="1045">
        <f t="shared" ref="DS87:DT87" si="301">DS82/(DS82+DS61)</f>
        <v>0.81455122519126288</v>
      </c>
      <c r="DT87" s="1045">
        <f t="shared" si="301"/>
        <v>0.80506070655301887</v>
      </c>
      <c r="DU87" s="1045">
        <f t="shared" ref="DU87:DV87" si="302">DU82/(DU82+DU61)</f>
        <v>0.72378262105796687</v>
      </c>
      <c r="DV87" s="1045">
        <f t="shared" si="302"/>
        <v>0.69460683072542906</v>
      </c>
      <c r="DW87" s="1045">
        <f t="shared" ref="DW87:DY87" ca="1" si="303">DW82/(DW82+DW61)</f>
        <v>0.68760400809318811</v>
      </c>
      <c r="DX87" s="1045">
        <f t="shared" ca="1" si="303"/>
        <v>0.68027026392699586</v>
      </c>
      <c r="DY87" s="101">
        <f t="shared" ca="1" si="303"/>
        <v>0.67644265043815022</v>
      </c>
      <c r="DZ87" s="1045"/>
    </row>
    <row r="88" spans="1:136" s="1440" customFormat="1">
      <c r="A88" s="1433" t="s">
        <v>1278</v>
      </c>
      <c r="B88" s="1434"/>
      <c r="C88" s="1434"/>
      <c r="D88" s="1434"/>
      <c r="E88" s="1434"/>
      <c r="F88" s="1434">
        <v>1.7647058823529411</v>
      </c>
      <c r="G88" s="1434">
        <v>1.844892567121265</v>
      </c>
      <c r="H88" s="1434">
        <v>2.1311103676443257</v>
      </c>
      <c r="I88" s="1434">
        <v>2.2303664921465969</v>
      </c>
      <c r="J88" s="1434">
        <v>1.8290756764180744</v>
      </c>
      <c r="K88" s="1434">
        <v>1.6841089586580569</v>
      </c>
      <c r="L88" s="1434">
        <v>1.4216871832005793</v>
      </c>
      <c r="M88" s="1434">
        <v>1.4087609692679932</v>
      </c>
      <c r="N88" s="1434">
        <f>N82/IS!N59</f>
        <v>1.2741287769731551</v>
      </c>
      <c r="O88" s="1434">
        <f>O82/IS!O59</f>
        <v>1.0160443502364258</v>
      </c>
      <c r="P88" s="1434">
        <f>P82/IS!P59</f>
        <v>1.5949895615866387</v>
      </c>
      <c r="Q88" s="1434">
        <f>Q82/IS!Q59</f>
        <v>1.9279675451364158</v>
      </c>
      <c r="R88" s="1434">
        <f>R82/IS!R59</f>
        <v>1.5357807772864789</v>
      </c>
      <c r="S88" s="1434">
        <f>S82/IS!S59</f>
        <v>1.555768688293371</v>
      </c>
      <c r="T88" s="1434">
        <f>T82/IS!T59</f>
        <v>1.3893951946975973</v>
      </c>
      <c r="U88" s="1434">
        <f>U82/IS!U59</f>
        <v>2.2272435210965944</v>
      </c>
      <c r="V88" s="1434">
        <f>V82/IS!V59</f>
        <v>2.6187404633097517</v>
      </c>
      <c r="W88" s="1434">
        <f>W82/IS!W59</f>
        <v>2.4836368553912731</v>
      </c>
      <c r="X88" s="1434">
        <f>X82/IS!X59</f>
        <v>2.4432136721222535</v>
      </c>
      <c r="Y88" s="1434">
        <f>Y82/IS!Y59</f>
        <v>2.5096984375334892</v>
      </c>
      <c r="Z88" s="1434">
        <f ca="1">Z82/IS!Z59</f>
        <v>2.5654030509246049</v>
      </c>
      <c r="AA88" s="1434">
        <f ca="1">AA82/IS!AA59</f>
        <v>2.5350421140667172</v>
      </c>
      <c r="AB88" s="1434">
        <f ca="1">AB82/IS!AB59</f>
        <v>2.5160240768807864</v>
      </c>
      <c r="AC88" s="1434">
        <f ca="1">AC82/IS!AC59</f>
        <v>2.4932315901177589</v>
      </c>
      <c r="AD88" s="1434">
        <f ca="1">AD82/IS!AD59</f>
        <v>2.4674987567599849</v>
      </c>
      <c r="AE88" s="1434">
        <f ca="1">AE82/IS!AE59</f>
        <v>2.4390638481147326</v>
      </c>
      <c r="AF88" s="1434">
        <f ca="1">AF82/IS!AF59</f>
        <v>2.40792859364326</v>
      </c>
      <c r="AG88" s="1434">
        <f ca="1">AG82/IS!AG59</f>
        <v>2.3740202293908776</v>
      </c>
      <c r="AH88" s="1435"/>
      <c r="AI88" s="1434"/>
      <c r="AJ88" s="1434"/>
      <c r="AK88" s="1434"/>
      <c r="AL88" s="1434"/>
      <c r="AM88" s="1434"/>
      <c r="AN88" s="1436"/>
      <c r="AO88" s="1436"/>
      <c r="AP88" s="1434"/>
      <c r="AQ88" s="1434"/>
      <c r="AR88" s="1434"/>
      <c r="AS88" s="1434"/>
      <c r="AT88" s="1434"/>
      <c r="AU88" s="1434"/>
      <c r="AV88" s="1434"/>
      <c r="AW88" s="1434"/>
      <c r="AX88" s="1434"/>
      <c r="AY88" s="1434"/>
      <c r="AZ88" s="1434"/>
      <c r="BA88" s="1434"/>
      <c r="BB88" s="1434"/>
      <c r="BC88" s="1434"/>
      <c r="BD88" s="1434"/>
      <c r="BE88" s="1434"/>
      <c r="BF88" s="1434">
        <v>8.7234372795258928</v>
      </c>
      <c r="BG88" s="1434">
        <v>8.7157060325137721</v>
      </c>
      <c r="BH88" s="1434">
        <v>8.7930085328929266</v>
      </c>
      <c r="BI88" s="1434">
        <v>9.1307310149041871</v>
      </c>
      <c r="BJ88" s="1434">
        <v>8.9096126255380206</v>
      </c>
      <c r="BK88" s="1434">
        <v>8.4350541215653614</v>
      </c>
      <c r="BL88" s="1434">
        <v>7.7241849679443462</v>
      </c>
      <c r="BM88" s="1434">
        <v>6.993567021136931</v>
      </c>
      <c r="BN88" s="1434">
        <v>7.6341882791230837</v>
      </c>
      <c r="BO88" s="1434">
        <v>7.0665800115540147</v>
      </c>
      <c r="BP88" s="1434">
        <v>6.9542603640813825</v>
      </c>
      <c r="BQ88" s="1434">
        <v>6.9750999077774365</v>
      </c>
      <c r="BR88" s="1437">
        <v>6.7772526299740816</v>
      </c>
      <c r="BS88" s="1434">
        <v>5.9720558882235526</v>
      </c>
      <c r="BT88" s="1434">
        <v>5.740614817962884</v>
      </c>
      <c r="BU88" s="1434">
        <v>5.619204350314825</v>
      </c>
      <c r="BV88" s="1437">
        <v>5.9419257012888549</v>
      </c>
      <c r="BW88" s="1434">
        <v>6.0994741454864156</v>
      </c>
      <c r="BX88" s="1434">
        <v>5.641396080675154</v>
      </c>
      <c r="BY88" s="1434">
        <v>5.3740184598429535</v>
      </c>
      <c r="BZ88" s="1437">
        <f>BZ82/SUM(IS!BT59:'IS'!BW59)</f>
        <v>1.4573986782438795</v>
      </c>
      <c r="CA88" s="1434">
        <f>CA82/SUM(IS!BU59:'IS'!BX59)</f>
        <v>1.4408306434283666</v>
      </c>
      <c r="CB88" s="1434">
        <f>CB82/SUM(IS!BV59:'IS'!BY59)</f>
        <v>1.4366051399694812</v>
      </c>
      <c r="CC88" s="1434">
        <f>CC82/SUM(IS!BW59:'IS'!BZ59)</f>
        <v>1.2741287769731555</v>
      </c>
      <c r="CD88" s="1437">
        <f>CD82/SUM(IS!BX59:'IS'!CA59)</f>
        <v>1.2039788903548365</v>
      </c>
      <c r="CE88" s="1434">
        <f>CE82/SUM(IS!BY59:'IS'!CB59)</f>
        <v>1.1097615067044253</v>
      </c>
      <c r="CF88" s="1434">
        <f>CF82/SUM(IS!BZ59:'IS'!CC59)</f>
        <v>1.0486178265363966</v>
      </c>
      <c r="CG88" s="1434">
        <f>CG82/SUM(IS!CA59:'IS'!CD59)</f>
        <v>1.0160443502364258</v>
      </c>
      <c r="CH88" s="1437">
        <f>CH82/SUM(IS!CB59:'IS'!CE59)</f>
        <v>1.1459352322496084</v>
      </c>
      <c r="CI88" s="1434">
        <f>CI82/SUM(IS!CC59:'IS'!CF59)</f>
        <v>1.3552879778672031</v>
      </c>
      <c r="CJ88" s="1434">
        <f>CJ82/SUM(IS!CD59:'IS'!CG59)</f>
        <v>1.3929071395240318</v>
      </c>
      <c r="CK88" s="1434">
        <f>CK82/SUM(IS!CE59:'IS'!CH59)</f>
        <v>1.5949895615866387</v>
      </c>
      <c r="CL88" s="1437">
        <f>CL82/SUM(IS!CF59:'IS'!CI59)</f>
        <v>2.1209694738456819</v>
      </c>
      <c r="CM88" s="1434">
        <f>CM82/SUM(IS!CG59:'IS'!CJ59)</f>
        <v>1.9913179531230827</v>
      </c>
      <c r="CN88" s="1434">
        <f>CN82/SUM(IS!CH59:'IS'!CK59)</f>
        <v>1.9259565857247976</v>
      </c>
      <c r="CO88" s="1434">
        <f>CO82/SUM(IS!CI59:'IS'!CL59)</f>
        <v>1.9279675451364158</v>
      </c>
      <c r="CP88" s="1437">
        <f>CP82/SUM(IS!CJ59:'IS'!CM59)</f>
        <v>1.8945213911972916</v>
      </c>
      <c r="CQ88" s="1434">
        <f>CQ82/SUM(IS!CK59:'IS'!CN59)</f>
        <v>1.7476507617918073</v>
      </c>
      <c r="CR88" s="1434">
        <f>CR82/SUM(IS!CL59:'IS'!CO59)</f>
        <v>1.5863118324482368</v>
      </c>
      <c r="CS88" s="1434">
        <f>CS82/SUM(IS!CM59:'IS'!CP59)</f>
        <v>1.5357807772864789</v>
      </c>
      <c r="CT88" s="1437">
        <f>CT82/SUM(IS!CN59:'IS'!CQ59)</f>
        <v>1.7642124077490775</v>
      </c>
      <c r="CU88" s="1434">
        <f>CU82/SUM(IS!CO59:'IS'!CR59)</f>
        <v>1.5365041414055163</v>
      </c>
      <c r="CV88" s="1434">
        <f>CV82/SUM(IS!CP59:'IS'!CS59)</f>
        <v>1.5472064914208437</v>
      </c>
      <c r="CW88" s="1438">
        <f>CW82/SUM(IS!CQ59:'IS'!CT59)</f>
        <v>1.555768688293371</v>
      </c>
      <c r="CX88" s="1434">
        <f>CX82/SUM(IS!CR59:'IS'!CU59)</f>
        <v>1.4254890043098685</v>
      </c>
      <c r="CY88" s="1434">
        <f>CY82/SUM(IS!CS59:'IS'!CV59)</f>
        <v>1.4181577024064098</v>
      </c>
      <c r="CZ88" s="1434">
        <f>CZ82/SUM(IS!CT59:'IS'!CW59)</f>
        <v>1.3960657818201048</v>
      </c>
      <c r="DA88" s="1434">
        <f>DA82/SUM(IS!CU59:'IS'!CX59)</f>
        <v>1.3893951946975973</v>
      </c>
      <c r="DB88" s="1437">
        <f>DB82/SUM(IS!CV59:'IS'!CY59)</f>
        <v>1.3726767729207767</v>
      </c>
      <c r="DC88" s="1434">
        <f>DC82/SUM(IS!CW59:'IS'!CZ59)</f>
        <v>1.2681161267300487</v>
      </c>
      <c r="DD88" s="1434">
        <f>DD82/SUM(IS!CX59:'IS'!DA59)</f>
        <v>2.4664759298420202</v>
      </c>
      <c r="DE88" s="1434">
        <f>DE82/SUM(IS!CY59:'IS'!DB59)</f>
        <v>2.2272435210965944</v>
      </c>
      <c r="DF88" s="1437">
        <f>DF82/SUM(IS!CZ59:'IS'!DC59)</f>
        <v>2.5538364896933601</v>
      </c>
      <c r="DG88" s="1439">
        <f>DG82/SUM(IS!DA59:'IS'!DD59)</f>
        <v>2.5193338525679203</v>
      </c>
      <c r="DH88" s="1439">
        <f>DH82/SUM(IS!DB59:'IS'!DE59)</f>
        <v>2.4986846620153265</v>
      </c>
      <c r="DI88" s="1438">
        <f>DI82/SUM(IS!DC59:'IS'!DF59)</f>
        <v>2.6187404633097517</v>
      </c>
      <c r="DJ88" s="1437">
        <f>DJ82/SUM(IS!DD59:'IS'!DG59)</f>
        <v>2.6152178425629078</v>
      </c>
      <c r="DK88" s="1439">
        <f>DK82/SUM(IS!DE59:'IS'!DH59)</f>
        <v>2.6144486866921199</v>
      </c>
      <c r="DL88" s="1439">
        <f>DL82/SUM(IS!DF59:'IS'!DI59)</f>
        <v>2.5666430546351942</v>
      </c>
      <c r="DM88" s="1438">
        <f>DM82/SUM(IS!DG59:'IS'!DJ59)</f>
        <v>2.4836368553912731</v>
      </c>
      <c r="DN88" s="1437">
        <f>DN82/SUM(IS!DH59:'IS'!DK59)</f>
        <v>2.4730480970493574</v>
      </c>
      <c r="DO88" s="1439">
        <f>DO82/SUM(IS!DI59:'IS'!DL59)</f>
        <v>2.2533667751265365</v>
      </c>
      <c r="DP88" s="1439">
        <f>DP82/SUM(IS!DJ59:'IS'!DM59)</f>
        <v>2.411943067906682</v>
      </c>
      <c r="DQ88" s="1438">
        <f>DQ82/SUM(IS!DK59:'IS'!DN59)</f>
        <v>2.4432136721222535</v>
      </c>
      <c r="DR88" s="1439">
        <f>DR82/SUM(IS!DL59:'IS'!DO59)</f>
        <v>2.6400724883905311</v>
      </c>
      <c r="DS88" s="1439">
        <f>DS82/SUM(IS!DM59:'IS'!DP59)</f>
        <v>2.6443869516310463</v>
      </c>
      <c r="DT88" s="1439">
        <f>DT82/SUM(IS!DN59:'IS'!DQ59)</f>
        <v>2.5954142828742461</v>
      </c>
      <c r="DU88" s="1439">
        <f>DU82/SUM(IS!DO59:'IS'!DR59)</f>
        <v>2.5096984375334892</v>
      </c>
      <c r="DV88" s="1439">
        <f>DV82/SUM(IS!DP59:'IS'!DS59)</f>
        <v>2.515997464074387</v>
      </c>
      <c r="DW88" s="1439">
        <f ca="1">DW82/SUM(IS!DQ59:'IS'!DT59)</f>
        <v>2.5022718668166273</v>
      </c>
      <c r="DX88" s="1439">
        <f ca="1">DX82/SUM(IS!DR59:'IS'!DU59)</f>
        <v>2.511503302877935</v>
      </c>
      <c r="DY88" s="1438">
        <f ca="1">DY82/SUM(IS!DS59:'IS'!DV59)</f>
        <v>2.5654030509246057</v>
      </c>
      <c r="DZ88" s="1439"/>
      <c r="EA88"/>
      <c r="EB88"/>
      <c r="EC88"/>
      <c r="ED88"/>
      <c r="EE88"/>
      <c r="EF88"/>
    </row>
    <row r="89" spans="1:136">
      <c r="A89" s="87"/>
      <c r="B89" s="87"/>
      <c r="C89" s="87"/>
      <c r="D89" s="270"/>
      <c r="E89" s="270"/>
      <c r="F89" s="270"/>
      <c r="G89" s="270"/>
      <c r="H89" s="270"/>
      <c r="I89" s="270"/>
      <c r="J89" s="270"/>
      <c r="K89" s="270"/>
      <c r="L89" s="270"/>
      <c r="M89" s="270"/>
      <c r="N89" s="270"/>
      <c r="O89" s="270"/>
      <c r="P89" s="270"/>
      <c r="Q89" s="270"/>
      <c r="R89" s="270"/>
      <c r="S89" s="270"/>
      <c r="T89" s="270"/>
      <c r="U89" s="270"/>
      <c r="V89" s="270"/>
      <c r="W89" s="270"/>
      <c r="X89" s="270"/>
      <c r="Y89" s="270"/>
      <c r="Z89" s="270"/>
      <c r="AA89" s="270"/>
      <c r="AB89" s="270"/>
      <c r="AC89" s="270"/>
      <c r="AD89" s="270"/>
      <c r="AE89" s="270"/>
      <c r="AF89" s="270"/>
      <c r="AG89" s="270"/>
      <c r="AH89" s="678"/>
      <c r="AI89" s="87"/>
      <c r="AJ89" s="87"/>
      <c r="AK89" s="87"/>
      <c r="AL89" s="270"/>
      <c r="AM89" s="270"/>
      <c r="AN89" s="123"/>
      <c r="AO89" s="123"/>
      <c r="AP89" s="270"/>
      <c r="AQ89" s="270"/>
      <c r="AR89" s="270"/>
      <c r="AS89" s="270"/>
      <c r="AT89" s="87"/>
      <c r="AU89" s="87"/>
      <c r="AV89" s="87"/>
      <c r="AW89" s="87"/>
      <c r="AX89" s="87"/>
      <c r="AY89" s="87"/>
      <c r="AZ89" s="87"/>
      <c r="BA89" s="87"/>
      <c r="BB89" s="87"/>
      <c r="BC89" s="87"/>
      <c r="BD89" s="87"/>
      <c r="BE89" s="87"/>
      <c r="BF89" s="270"/>
      <c r="BG89" s="270"/>
      <c r="BH89" s="270"/>
      <c r="BI89" s="270"/>
      <c r="BJ89" s="270"/>
      <c r="BK89" s="270"/>
      <c r="BL89" s="270"/>
      <c r="BM89" s="270"/>
      <c r="BN89" s="270"/>
      <c r="BO89" s="270"/>
      <c r="BP89" s="270"/>
      <c r="BQ89" s="270"/>
      <c r="BR89" s="292"/>
      <c r="BS89" s="270"/>
      <c r="BT89" s="270"/>
      <c r="BU89" s="270"/>
      <c r="BV89" s="292"/>
      <c r="BW89" s="270"/>
      <c r="BX89" s="270"/>
      <c r="BY89" s="270"/>
      <c r="BZ89" s="292"/>
      <c r="CA89" s="270"/>
      <c r="CB89" s="270"/>
      <c r="CC89" s="270"/>
      <c r="CD89" s="292"/>
      <c r="CE89" s="270"/>
      <c r="CF89" s="270"/>
      <c r="CG89" s="270"/>
      <c r="CH89" s="292"/>
      <c r="CI89" s="270"/>
      <c r="CJ89" s="270"/>
      <c r="CK89" s="270"/>
      <c r="CL89" s="292"/>
      <c r="CM89" s="270"/>
      <c r="CN89" s="270"/>
      <c r="CO89" s="270"/>
      <c r="CP89" s="292"/>
      <c r="CQ89" s="270"/>
      <c r="CR89" s="270"/>
      <c r="CS89" s="270"/>
      <c r="CT89" s="292"/>
      <c r="CU89" s="270"/>
      <c r="CV89" s="270"/>
      <c r="CW89" s="293"/>
      <c r="CX89" s="270"/>
      <c r="CY89" s="270"/>
      <c r="CZ89" s="270"/>
      <c r="DA89" s="270"/>
      <c r="DB89" s="292"/>
      <c r="DC89" s="270"/>
      <c r="DD89" s="270"/>
      <c r="DE89" s="270"/>
      <c r="DF89" s="292"/>
      <c r="DG89" s="1544"/>
      <c r="DH89" s="1544"/>
      <c r="DI89" s="293"/>
      <c r="DJ89" s="292"/>
      <c r="DK89" s="1544"/>
      <c r="DL89" s="1544"/>
      <c r="DM89" s="293"/>
      <c r="DN89" s="292"/>
      <c r="DO89" s="1544"/>
      <c r="DP89" s="1544"/>
      <c r="DQ89" s="293"/>
      <c r="DR89" s="1544"/>
      <c r="DS89" s="1544"/>
      <c r="DT89" s="1544"/>
      <c r="DU89" s="1544"/>
      <c r="DV89" s="1544"/>
      <c r="DW89" s="1544"/>
      <c r="DX89" s="1544"/>
      <c r="DY89" s="293"/>
      <c r="DZ89" s="1041"/>
    </row>
    <row r="90" spans="1:136">
      <c r="A90" s="109" t="s">
        <v>1279</v>
      </c>
      <c r="B90" s="109"/>
      <c r="C90" s="109"/>
      <c r="D90" s="109"/>
      <c r="E90" s="109"/>
      <c r="F90" s="109">
        <v>38520</v>
      </c>
      <c r="G90" s="109">
        <v>44414</v>
      </c>
      <c r="H90" s="109">
        <v>54959</v>
      </c>
      <c r="I90" s="109">
        <v>61356</v>
      </c>
      <c r="J90" s="109">
        <v>49806</v>
      </c>
      <c r="K90" s="109">
        <v>42539</v>
      </c>
      <c r="L90" s="109">
        <v>34720</v>
      </c>
      <c r="M90" s="109">
        <v>35736</v>
      </c>
      <c r="N90" s="109">
        <f t="shared" ref="N90:AA90" si="304">N82-N13</f>
        <v>33142</v>
      </c>
      <c r="O90" s="109">
        <f t="shared" si="304"/>
        <v>30004</v>
      </c>
      <c r="P90" s="109">
        <f t="shared" si="304"/>
        <v>42170</v>
      </c>
      <c r="Q90" s="109">
        <f t="shared" si="304"/>
        <v>60247</v>
      </c>
      <c r="R90" s="109">
        <f t="shared" si="304"/>
        <v>46126</v>
      </c>
      <c r="S90" s="109">
        <f t="shared" si="304"/>
        <v>41790</v>
      </c>
      <c r="T90" s="109">
        <f t="shared" si="304"/>
        <v>48894</v>
      </c>
      <c r="U90" s="109">
        <f t="shared" si="304"/>
        <v>40063</v>
      </c>
      <c r="V90" s="109">
        <f t="shared" si="304"/>
        <v>102673</v>
      </c>
      <c r="W90" s="109">
        <f t="shared" si="304"/>
        <v>105724</v>
      </c>
      <c r="X90" s="109">
        <f t="shared" si="304"/>
        <v>105198</v>
      </c>
      <c r="Y90" s="109">
        <f t="shared" ref="Y90:Z90" si="305">Y82-Y13</f>
        <v>115016</v>
      </c>
      <c r="Z90" s="109">
        <f t="shared" ca="1" si="305"/>
        <v>108341.58469589343</v>
      </c>
      <c r="AA90" s="109">
        <f t="shared" ca="1" si="304"/>
        <v>99478.181917144611</v>
      </c>
      <c r="AB90" s="109">
        <f t="shared" ref="AB90:AG90" ca="1" si="306">AB82-AB13</f>
        <v>90190.040548902645</v>
      </c>
      <c r="AC90" s="109">
        <f t="shared" ca="1" si="306"/>
        <v>79038.651810731855</v>
      </c>
      <c r="AD90" s="109">
        <f t="shared" ca="1" si="306"/>
        <v>67523.597730527545</v>
      </c>
      <c r="AE90" s="109">
        <f t="shared" ca="1" si="306"/>
        <v>55592.346826958485</v>
      </c>
      <c r="AF90" s="109">
        <f t="shared" ca="1" si="306"/>
        <v>43190.19842295644</v>
      </c>
      <c r="AG90" s="109">
        <f t="shared" ca="1" si="306"/>
        <v>31549.064879970465</v>
      </c>
      <c r="AH90" s="536"/>
      <c r="AI90" s="109"/>
      <c r="AJ90" s="109"/>
      <c r="AK90" s="109"/>
      <c r="AL90" s="109"/>
      <c r="AM90" s="109"/>
      <c r="AN90" s="276"/>
      <c r="AO90" s="276"/>
      <c r="AP90" s="109"/>
      <c r="AQ90" s="109"/>
      <c r="AR90" s="109"/>
      <c r="AS90" s="109"/>
      <c r="AT90" s="109"/>
      <c r="AU90" s="109"/>
      <c r="AV90" s="109"/>
      <c r="AW90" s="109"/>
      <c r="AX90" s="109"/>
      <c r="AY90" s="109"/>
      <c r="AZ90" s="109"/>
      <c r="BA90" s="109"/>
      <c r="BB90" s="109"/>
      <c r="BC90" s="109"/>
      <c r="BD90" s="109"/>
      <c r="BE90" s="109"/>
      <c r="BF90" s="109">
        <f t="shared" ref="BF90:CK90" si="307">BF82-BF13</f>
        <v>61134</v>
      </c>
      <c r="BG90" s="109">
        <f t="shared" si="307"/>
        <v>62255</v>
      </c>
      <c r="BH90" s="109">
        <f t="shared" si="307"/>
        <v>62525</v>
      </c>
      <c r="BI90" s="109">
        <f t="shared" si="307"/>
        <v>63347</v>
      </c>
      <c r="BJ90" s="109">
        <f t="shared" si="307"/>
        <v>61094</v>
      </c>
      <c r="BK90" s="109">
        <f t="shared" si="307"/>
        <v>57842</v>
      </c>
      <c r="BL90" s="109">
        <f t="shared" si="307"/>
        <v>50983</v>
      </c>
      <c r="BM90" s="109">
        <f t="shared" si="307"/>
        <v>51848</v>
      </c>
      <c r="BN90" s="109">
        <f t="shared" si="307"/>
        <v>49180</v>
      </c>
      <c r="BO90" s="109">
        <f t="shared" si="307"/>
        <v>48150</v>
      </c>
      <c r="BP90" s="109">
        <f t="shared" si="307"/>
        <v>44756</v>
      </c>
      <c r="BQ90" s="109">
        <f t="shared" si="307"/>
        <v>44711</v>
      </c>
      <c r="BR90" s="171">
        <f t="shared" si="307"/>
        <v>43877</v>
      </c>
      <c r="BS90" s="109">
        <f t="shared" si="307"/>
        <v>41305</v>
      </c>
      <c r="BT90" s="109">
        <f t="shared" si="307"/>
        <v>39907</v>
      </c>
      <c r="BU90" s="109">
        <f t="shared" si="307"/>
        <v>36977</v>
      </c>
      <c r="BV90" s="171">
        <f t="shared" si="307"/>
        <v>38495</v>
      </c>
      <c r="BW90" s="109">
        <f t="shared" si="307"/>
        <v>40352</v>
      </c>
      <c r="BX90" s="109">
        <f t="shared" si="307"/>
        <v>38823</v>
      </c>
      <c r="BY90" s="109">
        <f t="shared" si="307"/>
        <v>38234</v>
      </c>
      <c r="BZ90" s="171">
        <f t="shared" si="307"/>
        <v>41801</v>
      </c>
      <c r="CA90" s="109">
        <f t="shared" si="307"/>
        <v>41170</v>
      </c>
      <c r="CB90" s="109">
        <f t="shared" si="307"/>
        <v>39837</v>
      </c>
      <c r="CC90" s="109">
        <f t="shared" si="307"/>
        <v>33142</v>
      </c>
      <c r="CD90" s="171">
        <f t="shared" si="307"/>
        <v>33376</v>
      </c>
      <c r="CE90" s="109">
        <f t="shared" si="307"/>
        <v>31870</v>
      </c>
      <c r="CF90" s="109">
        <f t="shared" si="307"/>
        <v>30732</v>
      </c>
      <c r="CG90" s="109">
        <f t="shared" si="307"/>
        <v>30004</v>
      </c>
      <c r="CH90" s="171">
        <f t="shared" si="307"/>
        <v>30361</v>
      </c>
      <c r="CI90" s="109">
        <f t="shared" si="307"/>
        <v>42527</v>
      </c>
      <c r="CJ90" s="109">
        <f t="shared" si="307"/>
        <v>44079</v>
      </c>
      <c r="CK90" s="109">
        <f t="shared" si="307"/>
        <v>42170</v>
      </c>
      <c r="CL90" s="171">
        <f t="shared" ref="CL90:DN90" si="308">CL82-CL13</f>
        <v>65154</v>
      </c>
      <c r="CM90" s="109">
        <f t="shared" si="308"/>
        <v>64089</v>
      </c>
      <c r="CN90" s="109">
        <f t="shared" si="308"/>
        <v>61601</v>
      </c>
      <c r="CO90" s="109">
        <f t="shared" si="308"/>
        <v>60247</v>
      </c>
      <c r="CP90" s="171">
        <f t="shared" si="308"/>
        <v>58516</v>
      </c>
      <c r="CQ90" s="109">
        <f t="shared" si="308"/>
        <v>52707</v>
      </c>
      <c r="CR90" s="109">
        <f t="shared" si="308"/>
        <v>47776</v>
      </c>
      <c r="CS90" s="109">
        <f t="shared" si="308"/>
        <v>46126</v>
      </c>
      <c r="CT90" s="171">
        <f t="shared" si="308"/>
        <v>47190</v>
      </c>
      <c r="CU90" s="109">
        <f t="shared" si="308"/>
        <v>47742</v>
      </c>
      <c r="CV90" s="109">
        <f t="shared" si="308"/>
        <v>44591</v>
      </c>
      <c r="CW90" s="172">
        <f t="shared" si="308"/>
        <v>41790</v>
      </c>
      <c r="CX90" s="109">
        <f t="shared" si="308"/>
        <v>45688</v>
      </c>
      <c r="CY90" s="109">
        <f t="shared" si="308"/>
        <v>42390</v>
      </c>
      <c r="CZ90" s="109">
        <f t="shared" si="308"/>
        <v>43088</v>
      </c>
      <c r="DA90" s="109">
        <f t="shared" si="308"/>
        <v>48894</v>
      </c>
      <c r="DB90" s="171">
        <f t="shared" si="308"/>
        <v>47406</v>
      </c>
      <c r="DC90" s="109">
        <f t="shared" si="308"/>
        <v>47964</v>
      </c>
      <c r="DD90" s="109">
        <f t="shared" si="308"/>
        <v>42430</v>
      </c>
      <c r="DE90" s="109">
        <f t="shared" si="308"/>
        <v>40063</v>
      </c>
      <c r="DF90" s="171">
        <f t="shared" si="308"/>
        <v>106862</v>
      </c>
      <c r="DG90" s="1044">
        <f t="shared" si="308"/>
        <v>104203</v>
      </c>
      <c r="DH90" s="1044">
        <f t="shared" si="308"/>
        <v>102012</v>
      </c>
      <c r="DI90" s="172">
        <f t="shared" si="308"/>
        <v>102673</v>
      </c>
      <c r="DJ90" s="171">
        <f t="shared" si="308"/>
        <v>109002</v>
      </c>
      <c r="DK90" s="1044">
        <f t="shared" si="308"/>
        <v>110663</v>
      </c>
      <c r="DL90" s="1044">
        <f t="shared" si="308"/>
        <v>108449</v>
      </c>
      <c r="DM90" s="172">
        <f t="shared" si="308"/>
        <v>105724</v>
      </c>
      <c r="DN90" s="171">
        <f t="shared" si="308"/>
        <v>104034</v>
      </c>
      <c r="DO90" s="1044">
        <f t="shared" ref="DO90:DP90" si="309">DO82-DO13</f>
        <v>96868</v>
      </c>
      <c r="DP90" s="1044">
        <f t="shared" si="309"/>
        <v>100150</v>
      </c>
      <c r="DQ90" s="172">
        <f t="shared" ref="DQ90:DR90" si="310">DQ82-DQ13</f>
        <v>105198</v>
      </c>
      <c r="DR90" s="1044">
        <f t="shared" si="310"/>
        <v>112239</v>
      </c>
      <c r="DS90" s="1044">
        <f t="shared" ref="DS90:DT90" si="311">DS82-DS13</f>
        <v>112960</v>
      </c>
      <c r="DT90" s="1044">
        <f t="shared" si="311"/>
        <v>113010</v>
      </c>
      <c r="DU90" s="1044">
        <f t="shared" ref="DU90:DV90" si="312">DU82-DU13</f>
        <v>115016</v>
      </c>
      <c r="DV90" s="1044">
        <f t="shared" si="312"/>
        <v>117134</v>
      </c>
      <c r="DW90" s="1044">
        <f t="shared" ref="DW90:DY90" ca="1" si="313">DW82-DW13</f>
        <v>113985.38849437215</v>
      </c>
      <c r="DX90" s="1044">
        <f t="shared" ca="1" si="313"/>
        <v>111973.71144236116</v>
      </c>
      <c r="DY90" s="172">
        <f t="shared" ca="1" si="313"/>
        <v>108341.58469589343</v>
      </c>
      <c r="DZ90" s="1044"/>
    </row>
    <row r="91" spans="1:136">
      <c r="A91" s="94" t="s">
        <v>1280</v>
      </c>
      <c r="B91" s="94"/>
      <c r="C91" s="94"/>
      <c r="D91" s="94"/>
      <c r="E91" s="94"/>
      <c r="F91" s="94">
        <v>0.61686283929858277</v>
      </c>
      <c r="G91" s="94">
        <v>0.61100564039070027</v>
      </c>
      <c r="H91" s="94">
        <v>0.49349448220747616</v>
      </c>
      <c r="I91" s="94">
        <v>0.52873048154148428</v>
      </c>
      <c r="J91" s="94">
        <v>0.46775420505451781</v>
      </c>
      <c r="K91" s="94">
        <v>0.42389365539645052</v>
      </c>
      <c r="L91" s="94">
        <v>0.3567135503888712</v>
      </c>
      <c r="M91" s="94">
        <v>0.34976999119115199</v>
      </c>
      <c r="N91" s="94">
        <f t="shared" ref="N91:AA91" si="314">N90/(N90+N61)</f>
        <v>0.30272195834855681</v>
      </c>
      <c r="O91" s="94">
        <f t="shared" si="314"/>
        <v>0.26582087833228496</v>
      </c>
      <c r="P91" s="94">
        <f t="shared" si="314"/>
        <v>0.34829651042742105</v>
      </c>
      <c r="Q91" s="94">
        <f t="shared" si="314"/>
        <v>0.41660558452155394</v>
      </c>
      <c r="R91" s="94">
        <f t="shared" si="314"/>
        <v>0.34671296922683742</v>
      </c>
      <c r="S91" s="94">
        <f t="shared" si="314"/>
        <v>0.32725649579476579</v>
      </c>
      <c r="T91" s="94">
        <f t="shared" si="314"/>
        <v>0.36372157379097947</v>
      </c>
      <c r="U91" s="94">
        <f t="shared" si="314"/>
        <v>0.29571372685065583</v>
      </c>
      <c r="V91" s="94">
        <f t="shared" si="314"/>
        <v>0.88245709030589004</v>
      </c>
      <c r="W91" s="94">
        <f t="shared" si="314"/>
        <v>0.85560752957933417</v>
      </c>
      <c r="X91" s="94">
        <f t="shared" si="314"/>
        <v>0.81403698831540661</v>
      </c>
      <c r="Y91" s="94">
        <f t="shared" ref="Y91:Z91" si="315">Y90/(Y90+Y61)</f>
        <v>0.72018684683443646</v>
      </c>
      <c r="Z91" s="94">
        <f t="shared" ca="1" si="315"/>
        <v>0.64883146622431975</v>
      </c>
      <c r="AA91" s="94">
        <f t="shared" ca="1" si="314"/>
        <v>0.59615138726257066</v>
      </c>
      <c r="AB91" s="94">
        <f t="shared" ref="AB91:AG91" ca="1" si="316">AB90/(AB90+AB61)</f>
        <v>0.54015222267405738</v>
      </c>
      <c r="AC91" s="94">
        <f t="shared" ca="1" si="316"/>
        <v>0.47662542869215019</v>
      </c>
      <c r="AD91" s="94">
        <f t="shared" ca="1" si="316"/>
        <v>0.40917309985070049</v>
      </c>
      <c r="AE91" s="94">
        <f t="shared" ca="1" si="316"/>
        <v>0.33781465962058971</v>
      </c>
      <c r="AF91" s="94">
        <f t="shared" ca="1" si="316"/>
        <v>0.26261526991428252</v>
      </c>
      <c r="AG91" s="94">
        <f t="shared" ca="1" si="316"/>
        <v>0.19006421749656957</v>
      </c>
      <c r="AH91" s="138"/>
      <c r="AI91" s="94"/>
      <c r="AJ91" s="94"/>
      <c r="AK91" s="94"/>
      <c r="AL91" s="94"/>
      <c r="AM91" s="94"/>
      <c r="AN91" s="240"/>
      <c r="AO91" s="240"/>
      <c r="AP91" s="94"/>
      <c r="AQ91" s="94"/>
      <c r="AR91" s="94"/>
      <c r="AS91" s="94"/>
      <c r="AT91" s="94"/>
      <c r="AU91" s="94"/>
      <c r="AV91" s="94"/>
      <c r="AW91" s="94"/>
      <c r="AX91" s="94"/>
      <c r="AY91" s="94"/>
      <c r="AZ91" s="94"/>
      <c r="BA91" s="94"/>
      <c r="BB91" s="94"/>
      <c r="BC91" s="94"/>
      <c r="BD91" s="94"/>
      <c r="BE91" s="94"/>
      <c r="BF91" s="94">
        <v>0.51598396883018804</v>
      </c>
      <c r="BG91" s="94">
        <v>0.52036306368855101</v>
      </c>
      <c r="BH91" s="94">
        <v>0.52328336638322182</v>
      </c>
      <c r="BI91" s="94">
        <v>0.52873048154148428</v>
      </c>
      <c r="BJ91" s="94">
        <v>0.52869762054238545</v>
      </c>
      <c r="BK91" s="94">
        <v>0.5267532611302792</v>
      </c>
      <c r="BL91" s="94">
        <v>0.47750721856982969</v>
      </c>
      <c r="BM91" s="94">
        <v>0.46775420505451781</v>
      </c>
      <c r="BN91" s="94">
        <v>0.4512439693501088</v>
      </c>
      <c r="BO91" s="94">
        <v>0.44770857814336074</v>
      </c>
      <c r="BP91" s="94">
        <v>0.42891375345430655</v>
      </c>
      <c r="BQ91" s="94">
        <v>0.42389365539645052</v>
      </c>
      <c r="BR91" s="147">
        <v>0.42127125871670096</v>
      </c>
      <c r="BS91" s="94">
        <v>0.40385490969798149</v>
      </c>
      <c r="BT91" s="94">
        <v>0.39440430469280424</v>
      </c>
      <c r="BU91" s="94">
        <v>0.3567135503888712</v>
      </c>
      <c r="BV91" s="147">
        <v>0.36766454994456205</v>
      </c>
      <c r="BW91" s="94">
        <v>0.37750698888596673</v>
      </c>
      <c r="BX91" s="94">
        <v>0.36586552022643493</v>
      </c>
      <c r="BY91" s="94">
        <v>0.34976999119115199</v>
      </c>
      <c r="BZ91" s="147">
        <f t="shared" ref="BZ91:DN91" si="317">BZ90/(BZ90+BZ61)</f>
        <v>0.36683633172444052</v>
      </c>
      <c r="CA91" s="94">
        <f t="shared" si="317"/>
        <v>0.36211233662286491</v>
      </c>
      <c r="CB91" s="94">
        <f t="shared" si="317"/>
        <v>0.35055746706676405</v>
      </c>
      <c r="CC91" s="94">
        <f t="shared" si="317"/>
        <v>0.30272195834855681</v>
      </c>
      <c r="CD91" s="147">
        <f t="shared" si="317"/>
        <v>0.29961847479689396</v>
      </c>
      <c r="CE91" s="94">
        <f t="shared" si="317"/>
        <v>0.28480277385569513</v>
      </c>
      <c r="CF91" s="94">
        <f t="shared" si="317"/>
        <v>0.27524069678921681</v>
      </c>
      <c r="CG91" s="94">
        <f t="shared" si="317"/>
        <v>0.26582087833228496</v>
      </c>
      <c r="CH91" s="147">
        <f t="shared" si="317"/>
        <v>0.26623114696597683</v>
      </c>
      <c r="CI91" s="94">
        <f t="shared" si="317"/>
        <v>0.3321202371004397</v>
      </c>
      <c r="CJ91" s="94">
        <f t="shared" si="317"/>
        <v>0.33667366813060912</v>
      </c>
      <c r="CK91" s="94">
        <f t="shared" si="317"/>
        <v>0.34829651042742105</v>
      </c>
      <c r="CL91" s="147">
        <f t="shared" si="317"/>
        <v>0.44715458313888051</v>
      </c>
      <c r="CM91" s="94">
        <f t="shared" si="317"/>
        <v>0.43624668164182151</v>
      </c>
      <c r="CN91" s="94">
        <f t="shared" si="317"/>
        <v>0.42139646880964271</v>
      </c>
      <c r="CO91" s="94">
        <f t="shared" si="317"/>
        <v>0.41660558452155394</v>
      </c>
      <c r="CP91" s="147">
        <f t="shared" si="317"/>
        <v>0.40872261957979439</v>
      </c>
      <c r="CQ91" s="94">
        <f t="shared" si="317"/>
        <v>0.38421781600816446</v>
      </c>
      <c r="CR91" s="94">
        <f t="shared" si="317"/>
        <v>0.36084592145015104</v>
      </c>
      <c r="CS91" s="94">
        <f t="shared" si="317"/>
        <v>0.34671296922683742</v>
      </c>
      <c r="CT91" s="147">
        <f t="shared" si="317"/>
        <v>0.34684757522748322</v>
      </c>
      <c r="CU91" s="94">
        <f t="shared" si="317"/>
        <v>0.34482210698138011</v>
      </c>
      <c r="CV91" s="94">
        <f t="shared" si="317"/>
        <v>0.33753955157222232</v>
      </c>
      <c r="CW91" s="101">
        <f t="shared" si="317"/>
        <v>0.32725649579476579</v>
      </c>
      <c r="CX91" s="94">
        <f t="shared" si="317"/>
        <v>0.34067810512344437</v>
      </c>
      <c r="CY91" s="94">
        <f t="shared" si="317"/>
        <v>0.31915854778719754</v>
      </c>
      <c r="CZ91" s="94">
        <f t="shared" si="317"/>
        <v>0.31748651595979838</v>
      </c>
      <c r="DA91" s="94">
        <f t="shared" si="317"/>
        <v>0.36372157379097947</v>
      </c>
      <c r="DB91" s="147">
        <f t="shared" si="317"/>
        <v>0.35117116316280722</v>
      </c>
      <c r="DC91" s="94">
        <f t="shared" si="317"/>
        <v>0.35497335701598581</v>
      </c>
      <c r="DD91" s="94">
        <f t="shared" si="317"/>
        <v>0.31975583104110933</v>
      </c>
      <c r="DE91" s="94">
        <f t="shared" si="317"/>
        <v>0.29571372685065583</v>
      </c>
      <c r="DF91" s="147">
        <f t="shared" si="317"/>
        <v>0.88525676604839576</v>
      </c>
      <c r="DG91" s="1045">
        <f t="shared" si="317"/>
        <v>0.86680530715800852</v>
      </c>
      <c r="DH91" s="1045">
        <f t="shared" si="317"/>
        <v>0.85024170695115853</v>
      </c>
      <c r="DI91" s="101">
        <f t="shared" si="317"/>
        <v>0.88245709030589004</v>
      </c>
      <c r="DJ91" s="147">
        <f t="shared" si="317"/>
        <v>0.9101627407920776</v>
      </c>
      <c r="DK91" s="1045">
        <f t="shared" si="317"/>
        <v>0.89578830633737261</v>
      </c>
      <c r="DL91" s="1045">
        <f t="shared" si="317"/>
        <v>0.88176370628745193</v>
      </c>
      <c r="DM91" s="101">
        <f t="shared" si="317"/>
        <v>0.85560752957933417</v>
      </c>
      <c r="DN91" s="147">
        <f t="shared" si="317"/>
        <v>0.8380579521013074</v>
      </c>
      <c r="DO91" s="1045">
        <f t="shared" ref="DO91:DP91" si="318">DO90/(DO90+DO61)</f>
        <v>0.82362343978505592</v>
      </c>
      <c r="DP91" s="1045">
        <f t="shared" si="318"/>
        <v>0.82000769652755601</v>
      </c>
      <c r="DQ91" s="101">
        <f t="shared" ref="DQ91:DR91" si="319">DQ90/(DQ90+DQ61)</f>
        <v>0.81403698831540661</v>
      </c>
      <c r="DR91" s="1045">
        <f t="shared" si="319"/>
        <v>0.81761560651534138</v>
      </c>
      <c r="DS91" s="1045">
        <f t="shared" ref="DS91:DT91" si="320">DS90/(DS90+DS61)</f>
        <v>0.80846830469292374</v>
      </c>
      <c r="DT91" s="1045">
        <f t="shared" si="320"/>
        <v>0.79887742911473836</v>
      </c>
      <c r="DU91" s="1045">
        <f t="shared" ref="DU91:DV91" si="321">DU90/(DU90+DU61)</f>
        <v>0.72018684683443646</v>
      </c>
      <c r="DV91" s="1045">
        <f t="shared" si="321"/>
        <v>0.69114167536980986</v>
      </c>
      <c r="DW91" s="1045">
        <f t="shared" ref="DW91:DY91" ca="1" si="322">DW90/(DW90+DW61)</f>
        <v>0.67602498191578464</v>
      </c>
      <c r="DX91" s="1045">
        <f t="shared" ca="1" si="322"/>
        <v>0.66241619688161146</v>
      </c>
      <c r="DY91" s="101">
        <f t="shared" ca="1" si="322"/>
        <v>0.64883146622431975</v>
      </c>
      <c r="DZ91" s="1045"/>
    </row>
    <row r="92" spans="1:136" s="1440" customFormat="1">
      <c r="A92" s="1433" t="s">
        <v>1281</v>
      </c>
      <c r="B92" s="1434"/>
      <c r="C92" s="1434"/>
      <c r="D92" s="1434"/>
      <c r="E92" s="1434"/>
      <c r="F92" s="1434">
        <v>1.690956979806848</v>
      </c>
      <c r="G92" s="1434">
        <v>1.7256867544779888</v>
      </c>
      <c r="H92" s="1434">
        <v>2.0430095535481954</v>
      </c>
      <c r="I92" s="1434">
        <v>2.1273880933393432</v>
      </c>
      <c r="J92" s="1434">
        <v>1.7101359703337453</v>
      </c>
      <c r="K92" s="1434">
        <v>1.5786758702590367</v>
      </c>
      <c r="L92" s="1434">
        <v>1.2570601013758147</v>
      </c>
      <c r="M92" s="1434">
        <v>1.2905276082481674</v>
      </c>
      <c r="N92" s="1434">
        <f>N90/IS!N59</f>
        <v>1.1613315345134707</v>
      </c>
      <c r="O92" s="1434">
        <f>O90/IS!O59</f>
        <v>0.9784444806782977</v>
      </c>
      <c r="P92" s="1434">
        <f>P90/IS!P59</f>
        <v>1.2946702689426501</v>
      </c>
      <c r="Q92" s="1434">
        <f>Q90/IS!Q59</f>
        <v>1.8657520671394505</v>
      </c>
      <c r="R92" s="1434">
        <f>R90/IS!R59</f>
        <v>1.3418082383057948</v>
      </c>
      <c r="S92" s="1434">
        <f>S90/IS!S59</f>
        <v>1.1788434414668547</v>
      </c>
      <c r="T92" s="1434">
        <f>T90/IS!T59</f>
        <v>1.3067322340112784</v>
      </c>
      <c r="U92" s="1434">
        <f>U90/IS!U59</f>
        <v>0.95340425025582443</v>
      </c>
      <c r="V92" s="1434">
        <f>V90/IS!V59</f>
        <v>2.373722661487955</v>
      </c>
      <c r="W92" s="1434">
        <f>W90/IS!W59</f>
        <v>2.3828885683375405</v>
      </c>
      <c r="X92" s="1434">
        <f>X90/IS!X59</f>
        <v>2.3781083280585946</v>
      </c>
      <c r="Y92" s="1434">
        <f>Y90/IS!Y59</f>
        <v>2.4651392074072485</v>
      </c>
      <c r="Z92" s="1434">
        <f ca="1">Z90/IS!Z59</f>
        <v>2.2672123722039261</v>
      </c>
      <c r="AA92" s="1434">
        <f ca="1">AA90/IS!AA59</f>
        <v>2.0369569444258357</v>
      </c>
      <c r="AB92" s="1434">
        <f ca="1">AB90/IS!AB59</f>
        <v>1.8151446907642561</v>
      </c>
      <c r="AC92" s="1434">
        <f ca="1">AC90/IS!AC59</f>
        <v>1.561168874605551</v>
      </c>
      <c r="AD92" s="1434">
        <f ca="1">AD90/IS!AD59</f>
        <v>1.3074050600839464</v>
      </c>
      <c r="AE92" s="1434">
        <f ca="1">AE90/IS!AE59</f>
        <v>1.0539621408111106</v>
      </c>
      <c r="AF92" s="1434">
        <f ca="1">AF90/IS!AF59</f>
        <v>0.80083560173230905</v>
      </c>
      <c r="AG92" s="1434">
        <f ca="1">AG90/IS!AG59</f>
        <v>0.57141421509376433</v>
      </c>
      <c r="AH92" s="1435"/>
      <c r="AI92" s="1434"/>
      <c r="AJ92" s="1434"/>
      <c r="AK92" s="1434"/>
      <c r="AL92" s="1434"/>
      <c r="AM92" s="1434"/>
      <c r="AN92" s="1436"/>
      <c r="AO92" s="1436"/>
      <c r="AP92" s="1434"/>
      <c r="AQ92" s="1434"/>
      <c r="AR92" s="1434"/>
      <c r="AS92" s="1434"/>
      <c r="AT92" s="1434"/>
      <c r="AU92" s="1434"/>
      <c r="AV92" s="1434"/>
      <c r="AW92" s="1434"/>
      <c r="AX92" s="1434"/>
      <c r="AY92" s="1434"/>
      <c r="AZ92" s="1434"/>
      <c r="BA92" s="1434"/>
      <c r="BB92" s="1434"/>
      <c r="BC92" s="1434"/>
      <c r="BD92" s="1434"/>
      <c r="BE92" s="1434"/>
      <c r="BF92" s="1434">
        <v>8.4837025539720621</v>
      </c>
      <c r="BG92" s="1434">
        <v>8.2571543732365988</v>
      </c>
      <c r="BH92" s="1434">
        <v>8.5710156895127998</v>
      </c>
      <c r="BI92" s="1434">
        <v>8.7091554293825411</v>
      </c>
      <c r="BJ92" s="1434">
        <v>2.1446197991391678</v>
      </c>
      <c r="BK92" s="1434">
        <v>1.9809533721898418</v>
      </c>
      <c r="BL92" s="1434">
        <v>1.7313463374710134</v>
      </c>
      <c r="BM92" s="1434">
        <v>1.6346987002756992</v>
      </c>
      <c r="BN92" s="1434">
        <v>1.7087333428858003</v>
      </c>
      <c r="BO92" s="1434">
        <v>1.7058058925476602</v>
      </c>
      <c r="BP92" s="1434">
        <v>1.6976441792871348</v>
      </c>
      <c r="BQ92" s="1434">
        <v>1.6346065170611743</v>
      </c>
      <c r="BR92" s="1437">
        <v>1.6003201707577375</v>
      </c>
      <c r="BS92" s="1434">
        <v>1.4226903336184773</v>
      </c>
      <c r="BT92" s="1434">
        <v>1.3784176228927609</v>
      </c>
      <c r="BU92" s="1434">
        <v>1.2421293646250715</v>
      </c>
      <c r="BV92" s="1437">
        <v>1.3827141774071265</v>
      </c>
      <c r="BW92" s="1434">
        <v>1.4152789950335962</v>
      </c>
      <c r="BX92" s="1434">
        <v>1.3451223001001287</v>
      </c>
      <c r="BY92" s="1434">
        <v>1.2307480369196859</v>
      </c>
      <c r="BZ92" s="1437">
        <f>BZ90/SUM(IS!BT59:BW59)</f>
        <v>1.4151154970794984</v>
      </c>
      <c r="CA92" s="1434">
        <f>CA90/SUM(IS!BU59:BX59)</f>
        <v>1.4004862968633924</v>
      </c>
      <c r="CB92" s="1434">
        <f>CB90/SUM(IS!BV59:BY59)</f>
        <v>1.3729827258346143</v>
      </c>
      <c r="CC92" s="1434">
        <f>CC90/SUM(IS!BW59:BZ59)</f>
        <v>1.1613315345134709</v>
      </c>
      <c r="CD92" s="1437">
        <f>CD90/SUM(IS!BX59:CA59)</f>
        <v>1.1588084160822165</v>
      </c>
      <c r="CE92" s="1434">
        <f>CE90/SUM(IS!BY59:CB59)</f>
        <v>1.0873793032856802</v>
      </c>
      <c r="CF92" s="1434">
        <f>CF90/SUM(IS!BZ59:CC59)</f>
        <v>1.0247757511087399</v>
      </c>
      <c r="CG92" s="1434">
        <f>CG90/SUM(IS!CA59:CD59)</f>
        <v>0.9784444806782977</v>
      </c>
      <c r="CH92" s="1437">
        <f>CH90/SUM(IS!CB59:CE59)</f>
        <v>0.97058917553786639</v>
      </c>
      <c r="CI92" s="1434">
        <f>CI90/SUM(IS!CC59:CF59)</f>
        <v>1.3369906941649898</v>
      </c>
      <c r="CJ92" s="1434">
        <f>CJ90/SUM(IS!CD59:CG59)</f>
        <v>1.3712552496500234</v>
      </c>
      <c r="CK92" s="1434">
        <f>CK90/SUM(IS!CE59:CH59)</f>
        <v>1.2946702689426501</v>
      </c>
      <c r="CL92" s="1437">
        <f>CL90/SUM(IS!CF59:CI59)</f>
        <v>1.9988955361251726</v>
      </c>
      <c r="CM92" s="1434">
        <f>CM90/SUM(IS!CG59:CJ59)</f>
        <v>1.9661614922076329</v>
      </c>
      <c r="CN92" s="1434">
        <f>CN90/SUM(IS!CH59:CK59)</f>
        <v>1.8886742702967869</v>
      </c>
      <c r="CO92" s="1434">
        <f>CO90/SUM(IS!CI59:CL59)</f>
        <v>1.8657520671394505</v>
      </c>
      <c r="CP92" s="1437">
        <f>CP90/SUM(IS!CJ59:CM59)</f>
        <v>1.8010464758387197</v>
      </c>
      <c r="CQ92" s="1434">
        <f>CQ90/SUM(IS!CK59:CN59)</f>
        <v>1.6028647021257185</v>
      </c>
      <c r="CR92" s="1434">
        <f>CR90/SUM(IS!CL59:CO59)</f>
        <v>1.4253833760964258</v>
      </c>
      <c r="CS92" s="1434">
        <f>CS90/SUM(IS!CM59:CP59)</f>
        <v>1.3418082383057948</v>
      </c>
      <c r="CT92" s="1437">
        <f>CT90/SUM(IS!CN59:CQ59)</f>
        <v>1.3604128228782288</v>
      </c>
      <c r="CU92" s="1434">
        <f>CU90/SUM(IS!CO59:CR59)</f>
        <v>1.3588933481342327</v>
      </c>
      <c r="CV92" s="1434">
        <f>CV90/SUM(IS!CP59:CS59)</f>
        <v>1.2563322345251176</v>
      </c>
      <c r="CW92" s="1438">
        <f>CW90/SUM(IS!CQ59:CT59)</f>
        <v>1.1788434414668547</v>
      </c>
      <c r="CX92" s="1434">
        <f>CX90/SUM(IS!CR59:CU59)</f>
        <v>1.262238921427782</v>
      </c>
      <c r="CY92" s="1434">
        <f>CY90/SUM(IS!CS59:CV59)</f>
        <v>1.1474433586877082</v>
      </c>
      <c r="CZ92" s="1434">
        <f>CZ90/SUM(IS!CT59:CW59)</f>
        <v>1.1392311353180689</v>
      </c>
      <c r="DA92" s="1434">
        <f>DA90/SUM(IS!CU59:CX59)</f>
        <v>1.3067322340112784</v>
      </c>
      <c r="DB92" s="1437">
        <f>DB90/SUM(IS!CV59:CY59)</f>
        <v>1.2305575744990136</v>
      </c>
      <c r="DC92" s="1434">
        <f>DC90/SUM(IS!CW59:CZ59)</f>
        <v>1.2225422475976857</v>
      </c>
      <c r="DD92" s="1434">
        <f>DD90/SUM(IS!CX59:DA59)</f>
        <v>1.0556039308371687</v>
      </c>
      <c r="DE92" s="1434">
        <f>DE90/SUM(IS!CY59:DB59)</f>
        <v>0.95340425025582443</v>
      </c>
      <c r="DF92" s="1437">
        <f>DF90/SUM(IS!CZ59:DC59)</f>
        <v>2.486203527057838</v>
      </c>
      <c r="DG92" s="1439">
        <f>DG90/SUM(IS!DA59:DD59)</f>
        <v>2.387020662482247</v>
      </c>
      <c r="DH92" s="1439">
        <f>DH90/SUM(IS!DB59:DE59)</f>
        <v>2.3335697129131878</v>
      </c>
      <c r="DI92" s="1438">
        <f>DI90/SUM(IS!DC59:DF59)</f>
        <v>2.373722661487955</v>
      </c>
      <c r="DJ92" s="1437">
        <f>DJ90/SUM(IS!DD59:DG59)</f>
        <v>2.5140577069446688</v>
      </c>
      <c r="DK92" s="1439">
        <f>DK90/SUM(IS!DE59:DH59)</f>
        <v>2.5452642715856295</v>
      </c>
      <c r="DL92" s="1439">
        <f>DL90/SUM(IS!DF59:DI59)</f>
        <v>2.4780979366131208</v>
      </c>
      <c r="DM92" s="1438">
        <f>DM90/SUM(IS!DG59:DJ59)</f>
        <v>2.3828885683375405</v>
      </c>
      <c r="DN92" s="1437">
        <f>DN90/SUM(IS!DH59:DK59)</f>
        <v>2.3414732956719408</v>
      </c>
      <c r="DO92" s="1439">
        <f>DO90/SUM(IS!DI59:DL59)</f>
        <v>2.1888105567606653</v>
      </c>
      <c r="DP92" s="1439">
        <f>DP90/SUM(IS!DJ59:DM59)</f>
        <v>2.266196003892019</v>
      </c>
      <c r="DQ92" s="1438">
        <f>DQ90/SUM(IS!DK59:DN59)</f>
        <v>2.3781083280585946</v>
      </c>
      <c r="DR92" s="1439">
        <f>DR90/SUM(IS!DL59:DO59)</f>
        <v>2.5425076452599389</v>
      </c>
      <c r="DS92" s="1439">
        <f>DS90/SUM(IS!DM59:DP59)</f>
        <v>2.5412823397075366</v>
      </c>
      <c r="DT92" s="1439">
        <f>DT90/SUM(IS!DN59:DQ59)</f>
        <v>2.4963000596408298</v>
      </c>
      <c r="DU92" s="1439">
        <f>DU90/SUM(IS!DO59:DR59)</f>
        <v>2.4651392074072485</v>
      </c>
      <c r="DV92" s="1439">
        <f>DV90/SUM(IS!DP59:DS59)</f>
        <v>2.475359256128487</v>
      </c>
      <c r="DW92" s="1439">
        <f ca="1">DW90/SUM(IS!DQ59:DT59)</f>
        <v>2.3722080164480484</v>
      </c>
      <c r="DX92" s="1439">
        <f ca="1">DX90/SUM(IS!DR59:DU59)</f>
        <v>2.3162457572334993</v>
      </c>
      <c r="DY92" s="1438">
        <f ca="1">DY90/SUM(IS!DS59:DV59)</f>
        <v>2.2672123722039266</v>
      </c>
      <c r="DZ92" s="1439"/>
      <c r="EA92"/>
      <c r="EB92"/>
      <c r="EC92"/>
      <c r="ED92"/>
      <c r="EE92"/>
      <c r="EF92"/>
    </row>
    <row r="93" spans="1:136">
      <c r="A93" s="87"/>
      <c r="B93" s="87"/>
      <c r="C93" s="87"/>
      <c r="D93" s="270"/>
      <c r="E93" s="270"/>
      <c r="F93" s="270"/>
      <c r="G93" s="270"/>
      <c r="H93" s="270"/>
      <c r="I93" s="270"/>
      <c r="J93" s="270"/>
      <c r="K93" s="270"/>
      <c r="L93" s="270"/>
      <c r="M93" s="270"/>
      <c r="N93" s="270"/>
      <c r="O93" s="270"/>
      <c r="P93" s="270"/>
      <c r="Q93" s="270"/>
      <c r="R93" s="270"/>
      <c r="S93" s="270"/>
      <c r="T93" s="270"/>
      <c r="U93" s="270"/>
      <c r="V93" s="270"/>
      <c r="W93" s="270"/>
      <c r="X93" s="270"/>
      <c r="Y93" s="270"/>
      <c r="Z93" s="270"/>
      <c r="AA93" s="270"/>
      <c r="AB93" s="270"/>
      <c r="AC93" s="270"/>
      <c r="AD93" s="270"/>
      <c r="AE93" s="270"/>
      <c r="AF93" s="270"/>
      <c r="AG93" s="270"/>
      <c r="AH93" s="678"/>
      <c r="AI93" s="87"/>
      <c r="AJ93" s="87"/>
      <c r="AK93" s="87"/>
      <c r="AL93" s="270"/>
      <c r="AM93" s="270"/>
      <c r="AN93" s="123"/>
      <c r="AO93" s="123"/>
      <c r="AP93" s="270"/>
      <c r="AQ93" s="270"/>
      <c r="AR93" s="270"/>
      <c r="AS93" s="270"/>
      <c r="AT93" s="270"/>
      <c r="AU93" s="270"/>
      <c r="AV93" s="270"/>
      <c r="AW93" s="270"/>
      <c r="AX93" s="270"/>
      <c r="AY93" s="270"/>
      <c r="AZ93" s="270"/>
      <c r="BA93" s="270"/>
      <c r="BB93" s="270"/>
      <c r="BC93" s="270"/>
      <c r="BD93" s="270"/>
      <c r="BE93" s="270"/>
      <c r="BF93" s="270"/>
      <c r="BG93" s="270"/>
      <c r="BH93" s="270"/>
      <c r="BI93" s="270"/>
      <c r="BJ93" s="270"/>
      <c r="BK93" s="270"/>
      <c r="BL93" s="270"/>
      <c r="BM93" s="270"/>
      <c r="BN93" s="270"/>
      <c r="BO93" s="270"/>
      <c r="BP93" s="270"/>
      <c r="BQ93" s="270"/>
      <c r="BR93" s="292"/>
      <c r="BS93" s="270"/>
      <c r="BT93" s="270"/>
      <c r="BU93" s="270"/>
      <c r="BV93" s="292"/>
      <c r="BW93" s="270"/>
      <c r="BX93" s="270"/>
      <c r="BY93" s="270"/>
      <c r="BZ93" s="292"/>
      <c r="CA93" s="270"/>
      <c r="CB93" s="270"/>
      <c r="CC93" s="270"/>
      <c r="CD93" s="292"/>
      <c r="CE93" s="270"/>
      <c r="CF93" s="270"/>
      <c r="CG93" s="270"/>
      <c r="CH93" s="292"/>
      <c r="CI93" s="270"/>
      <c r="CJ93" s="270"/>
      <c r="CK93" s="270"/>
      <c r="CL93" s="292"/>
      <c r="CM93" s="270"/>
      <c r="CN93" s="270"/>
      <c r="CO93" s="270"/>
      <c r="CP93" s="292"/>
      <c r="CQ93" s="270"/>
      <c r="CR93" s="270"/>
      <c r="CS93" s="270"/>
      <c r="CT93" s="292"/>
      <c r="CU93" s="270"/>
      <c r="CV93" s="270"/>
      <c r="CW93" s="293"/>
      <c r="CX93" s="270"/>
      <c r="CY93" s="270"/>
      <c r="CZ93" s="270"/>
      <c r="DA93" s="270"/>
      <c r="DB93" s="292"/>
      <c r="DC93" s="270"/>
      <c r="DD93" s="270"/>
      <c r="DE93" s="270"/>
      <c r="DF93" s="292"/>
      <c r="DG93" s="1544"/>
      <c r="DH93" s="1544"/>
      <c r="DI93" s="293"/>
      <c r="DJ93" s="292"/>
      <c r="DK93" s="1544"/>
      <c r="DL93" s="1544"/>
      <c r="DM93" s="293"/>
      <c r="DN93" s="292"/>
      <c r="DO93" s="1544"/>
      <c r="DP93" s="1544"/>
      <c r="DQ93" s="293"/>
      <c r="DR93" s="1544"/>
      <c r="DS93" s="1544"/>
      <c r="DT93" s="1544"/>
      <c r="DU93" s="1544"/>
      <c r="DV93" s="1544"/>
      <c r="DW93" s="1544"/>
      <c r="DX93" s="1544"/>
      <c r="DY93" s="293"/>
      <c r="DZ93" s="1041"/>
    </row>
    <row r="94" spans="1:136">
      <c r="A94" s="287" t="s">
        <v>1282</v>
      </c>
      <c r="B94" s="288"/>
      <c r="C94" s="288"/>
      <c r="D94" s="288"/>
      <c r="E94" s="288"/>
      <c r="F94" s="288">
        <v>8.7447216890595012</v>
      </c>
      <c r="G94" s="288">
        <v>9.3793731778425649</v>
      </c>
      <c r="H94" s="288">
        <v>9.4191176470588243</v>
      </c>
      <c r="I94" s="288">
        <v>8.7423461655046992</v>
      </c>
      <c r="J94" s="288">
        <v>9.3047923322683701</v>
      </c>
      <c r="K94" s="288">
        <v>9.6338934572756525</v>
      </c>
      <c r="L94" s="288">
        <v>11.585570469798657</v>
      </c>
      <c r="M94" s="288">
        <v>13.006575857209958</v>
      </c>
      <c r="N94" s="288">
        <f>IS!N59/IS!N74</f>
        <v>12.284946917264122</v>
      </c>
      <c r="O94" s="288">
        <f>IS!O59/IS!O74</f>
        <v>16.765992345544014</v>
      </c>
      <c r="P94" s="288">
        <f>IS!P59/IS!P74</f>
        <v>17.906542056074766</v>
      </c>
      <c r="Q94" s="288">
        <f>IS!Q59/IS!Q74</f>
        <v>11.342114506498069</v>
      </c>
      <c r="R94" s="288">
        <f>IS!R59/IS!R74</f>
        <v>13.744902039184327</v>
      </c>
      <c r="S94" s="288">
        <f>IS!S59/IS!S74</f>
        <v>12.53979483551468</v>
      </c>
      <c r="T94" s="288">
        <f>IS!T59/IS!T74</f>
        <v>14.553481135744846</v>
      </c>
      <c r="U94" s="288">
        <f>IS!U59/IS!U74</f>
        <v>20.895574341123819</v>
      </c>
      <c r="V94" s="288">
        <f>IS!V59/IS!V74</f>
        <v>8.8004069175991866</v>
      </c>
      <c r="W94" s="288">
        <f>IS!W59/IS!W74</f>
        <v>9.0178861788617883</v>
      </c>
      <c r="X94" s="288">
        <f>IS!X59/IS!X74</f>
        <v>10.108775137111518</v>
      </c>
      <c r="Y94" s="3021">
        <f>IS!Y59/IS!Y74</f>
        <v>9.8578068878090015</v>
      </c>
      <c r="Z94" s="3021">
        <f ca="1">IS!Z59/IS!Z74</f>
        <v>9.7407150087246919</v>
      </c>
      <c r="AA94" s="2187">
        <f ca="1">IS!AA59/IS!AA74</f>
        <v>9.9058626437930251</v>
      </c>
      <c r="AB94" s="2187">
        <f ca="1">IS!AB59/IS!AB74</f>
        <v>9.9802627982813856</v>
      </c>
      <c r="AC94" s="2187">
        <f ca="1">IS!AC59/IS!AC74</f>
        <v>10.07102878702201</v>
      </c>
      <c r="AD94" s="2187">
        <f ca="1">IS!AD59/IS!AD74</f>
        <v>10.175589801257832</v>
      </c>
      <c r="AE94" s="2187">
        <f ca="1">IS!AE59/IS!AE74</f>
        <v>10.293754744258498</v>
      </c>
      <c r="AF94" s="2187">
        <f ca="1">IS!AF59/IS!AF74</f>
        <v>10.426395613293989</v>
      </c>
      <c r="AG94" s="2187">
        <f ca="1">IS!AG59/IS!AG74</f>
        <v>10.574858413538667</v>
      </c>
      <c r="AH94" s="472"/>
      <c r="AI94" s="288"/>
      <c r="AJ94" s="288"/>
      <c r="AK94" s="288"/>
      <c r="AL94" s="288"/>
      <c r="AM94" s="288"/>
      <c r="AN94" s="289"/>
      <c r="AO94" s="289"/>
      <c r="AP94" s="288"/>
      <c r="AQ94" s="288"/>
      <c r="AR94" s="288"/>
      <c r="AS94" s="288"/>
      <c r="AT94" s="288"/>
      <c r="AU94" s="288"/>
      <c r="AV94" s="288"/>
      <c r="AW94" s="288"/>
      <c r="AX94" s="288"/>
      <c r="AY94" s="288"/>
      <c r="AZ94" s="288"/>
      <c r="BA94" s="288"/>
      <c r="BB94" s="288"/>
      <c r="BC94" s="288"/>
      <c r="BD94" s="288"/>
      <c r="BE94" s="288"/>
      <c r="BF94" s="288">
        <v>7.8832035595105676</v>
      </c>
      <c r="BG94" s="288">
        <v>8.3535353535353529</v>
      </c>
      <c r="BH94" s="288">
        <v>9.2325285895806868</v>
      </c>
      <c r="BI94" s="288">
        <v>9.7576177285318568</v>
      </c>
      <c r="BJ94" s="288">
        <v>8.8564167725540024</v>
      </c>
      <c r="BK94" s="288">
        <v>9.3706111833550061</v>
      </c>
      <c r="BL94" s="288">
        <v>9.447164948453608</v>
      </c>
      <c r="BM94" s="288">
        <v>9.545112781954888</v>
      </c>
      <c r="BN94" s="288">
        <v>9.2437086092715237</v>
      </c>
      <c r="BO94" s="288">
        <v>10.00578034682081</v>
      </c>
      <c r="BP94" s="288">
        <v>9.5430656934306572</v>
      </c>
      <c r="BQ94" s="288">
        <v>9.7834586466165412</v>
      </c>
      <c r="BR94" s="290">
        <v>10.280564263322884</v>
      </c>
      <c r="BS94" s="288">
        <v>11.808080808080808</v>
      </c>
      <c r="BT94" s="288">
        <v>12.233968804159446</v>
      </c>
      <c r="BU94" s="288">
        <v>12.153043478260869</v>
      </c>
      <c r="BV94" s="290">
        <v>12.034671532846716</v>
      </c>
      <c r="BW94" s="288">
        <v>12.965909090909092</v>
      </c>
      <c r="BX94" s="288">
        <v>13.316190476190476</v>
      </c>
      <c r="BY94" s="288">
        <v>13.748106060606061</v>
      </c>
      <c r="BZ94" s="290">
        <f>IS!BW59/IS!BW74</f>
        <v>11.578576539023853</v>
      </c>
      <c r="CA94" s="288">
        <f>IS!BX59/IS!BX74</f>
        <v>12.08813559322034</v>
      </c>
      <c r="CB94" s="288">
        <f>IS!BY59/IS!BY74</f>
        <v>12.452797202797203</v>
      </c>
      <c r="CC94" s="288">
        <f>IS!BZ59/IS!BZ74</f>
        <v>13.103448275862069</v>
      </c>
      <c r="CD94" s="290">
        <f>IS!CA59/IS!CA74</f>
        <v>15.10721649484536</v>
      </c>
      <c r="CE94" s="288">
        <f>IS!CB59/IS!CB74</f>
        <v>16.78901098901099</v>
      </c>
      <c r="CF94" s="288">
        <f>IS!CC59/IS!CC74</f>
        <v>17.34</v>
      </c>
      <c r="CG94" s="288">
        <f>IS!CD59/IS!CD74</f>
        <v>17.986332574031891</v>
      </c>
      <c r="CH94" s="290">
        <f>IS!CE59/IS!CE74</f>
        <v>17.305010893246187</v>
      </c>
      <c r="CI94" s="288">
        <f>IS!CF59/IS!CF74</f>
        <v>20.263027295285358</v>
      </c>
      <c r="CJ94" s="288">
        <f>IS!CG59/IS!CG74</f>
        <v>18.5</v>
      </c>
      <c r="CK94" s="288">
        <f>IS!CH59/IS!CH74</f>
        <v>16.098646034816248</v>
      </c>
      <c r="CL94" s="290">
        <f>IS!CI59/IS!CI74</f>
        <v>11.110181311018131</v>
      </c>
      <c r="CM94" s="288">
        <f>IS!CJ59/IS!CJ74</f>
        <v>11.036486486486487</v>
      </c>
      <c r="CN94" s="288">
        <f>IS!CK59/IS!CK74</f>
        <v>11.590909090909092</v>
      </c>
      <c r="CO94" s="288">
        <f>IS!CL59/IS!CL74</f>
        <v>11.658892128279883</v>
      </c>
      <c r="CP94" s="290">
        <f>IS!CM59/IS!CM74</f>
        <v>12.204783258594917</v>
      </c>
      <c r="CQ94" s="288">
        <f>IS!CN59/IS!CN74</f>
        <v>12.81437125748503</v>
      </c>
      <c r="CR94" s="288">
        <f>IS!CO59/IS!CO74</f>
        <v>14.731993299832496</v>
      </c>
      <c r="CS94" s="288">
        <f>IS!CP59/IS!CP74</f>
        <v>15.619047619047619</v>
      </c>
      <c r="CT94" s="290">
        <f>IS!CQ59/IS!CQ74</f>
        <v>11.956276445698167</v>
      </c>
      <c r="CU94" s="288">
        <f>IS!CR59/IS!CR74</f>
        <v>12.559274755927476</v>
      </c>
      <c r="CV94" s="288">
        <f>IS!CS59/IS!CS74</f>
        <v>13.116045845272206</v>
      </c>
      <c r="CW94" s="291">
        <f>IS!CT59/IS!CT74</f>
        <v>12.536273115220483</v>
      </c>
      <c r="CX94" s="288">
        <f>IS!CU59/IS!CU74</f>
        <v>13.464233576642336</v>
      </c>
      <c r="CY94" s="288">
        <f>IS!CV59/IS!CV74</f>
        <v>14.362297496318115</v>
      </c>
      <c r="CZ94" s="288">
        <f>IS!CW59/IS!CW74</f>
        <v>15.876582278481013</v>
      </c>
      <c r="DA94" s="288">
        <f>IS!CX59/IS!CX74</f>
        <v>14.622608695652174</v>
      </c>
      <c r="DB94" s="290">
        <f>IS!CY59/IS!CY74</f>
        <v>19.236499068901303</v>
      </c>
      <c r="DC94" s="288">
        <f>IS!CZ59/IS!CZ74</f>
        <v>20.352140077821012</v>
      </c>
      <c r="DD94" s="288">
        <f>IS!DA59/IS!DA74</f>
        <v>21.351456310679612</v>
      </c>
      <c r="DE94" s="288">
        <f>IS!DB59/IS!DB74</f>
        <v>22.997752808988764</v>
      </c>
      <c r="DF94" s="290">
        <f>IS!DC59/IS!DC74</f>
        <v>9.3006589785831952</v>
      </c>
      <c r="DG94" s="1049">
        <f>IS!DD59/IS!DD74</f>
        <v>9.5644329896907223</v>
      </c>
      <c r="DH94" s="1049">
        <f>IS!DE59/IS!DE74</f>
        <v>8.8103585657370527</v>
      </c>
      <c r="DI94" s="291">
        <f>IS!DF59/IS!DF74</f>
        <v>7.6232449297971918</v>
      </c>
      <c r="DJ94" s="290">
        <f>IS!DG59/IS!DG74</f>
        <v>8.5540540540540544</v>
      </c>
      <c r="DK94" s="1049">
        <f>IS!DH59/IS!DH74</f>
        <v>9.3162251655629138</v>
      </c>
      <c r="DL94" s="2152">
        <f>IS!DI59/IS!DI74</f>
        <v>9.4359400998336103</v>
      </c>
      <c r="DM94" s="2486">
        <f>IS!DJ59/IS!DJ74</f>
        <v>8.8098471986417657</v>
      </c>
      <c r="DN94" s="2491">
        <f>IS!DK59/IS!DK74</f>
        <v>9.6439393939393945</v>
      </c>
      <c r="DO94" s="2152">
        <f>IS!DL59/IS!DL74</f>
        <v>10.936821322803555</v>
      </c>
      <c r="DP94" s="2152">
        <f>IS!DM59/IS!DM74</f>
        <v>10.866088631984585</v>
      </c>
      <c r="DQ94" s="2486">
        <f>IS!DN59/IS!DN74</f>
        <v>9.1653474054529465</v>
      </c>
      <c r="DR94" s="2152">
        <f>IS!DO59/IS!DO74</f>
        <v>10.040636042402827</v>
      </c>
      <c r="DS94" s="2152">
        <f>IS!DP59/IS!DP74</f>
        <v>9.346469622331691</v>
      </c>
      <c r="DT94" s="2152">
        <f>IS!DQ59/IS!DQ74</f>
        <v>10.395189003436426</v>
      </c>
      <c r="DU94" s="2152">
        <f>IS!DR59/IS!DR74</f>
        <v>9.6858080393765373</v>
      </c>
      <c r="DV94" s="2152">
        <f>IS!DS59/IS!DS74</f>
        <v>10.015820149875104</v>
      </c>
      <c r="DW94" s="3256">
        <f ca="1">IS!DT59/IS!DT74</f>
        <v>9.9057479996071205</v>
      </c>
      <c r="DX94" s="3256">
        <f ca="1">IS!DU59/IS!DU74</f>
        <v>10.034823419192154</v>
      </c>
      <c r="DY94" s="2176">
        <f ca="1">IS!DV59/IS!DV74</f>
        <v>9.0225983382895709</v>
      </c>
      <c r="DZ94" s="1049"/>
    </row>
    <row r="95" spans="1:136">
      <c r="A95" s="287" t="s">
        <v>1283</v>
      </c>
      <c r="B95" s="288"/>
      <c r="C95" s="288"/>
      <c r="D95" s="288"/>
      <c r="E95" s="288"/>
      <c r="F95" s="288">
        <v>3.7324376199616123</v>
      </c>
      <c r="G95" s="288">
        <v>4.6370262390670556</v>
      </c>
      <c r="H95" s="288">
        <v>2.8249299719887957</v>
      </c>
      <c r="I95" s="288">
        <v>3.1312518945134888</v>
      </c>
      <c r="J95" s="288">
        <v>5.1319488817891372</v>
      </c>
      <c r="K95" s="288">
        <v>5.3886306757239897</v>
      </c>
      <c r="L95" s="288">
        <v>6.0239093959731544</v>
      </c>
      <c r="M95" s="288">
        <v>5.8088304368248007</v>
      </c>
      <c r="N95" s="288">
        <f>(IS!N59-Capex!N17)/IS!N74</f>
        <v>4.9233455397350658</v>
      </c>
      <c r="O95" s="288">
        <f>(IS!O59-Capex!O17)/IS!O74</f>
        <v>7.1771459814106064</v>
      </c>
      <c r="P95" s="288">
        <f>(IS!P59-Capex!P17)/IS!P74</f>
        <v>8.4299065420560755</v>
      </c>
      <c r="Q95" s="288">
        <f>(IS!Q59-Capex!Q17)/IS!Q74</f>
        <v>5.4158763610818408</v>
      </c>
      <c r="R95" s="288">
        <f>(IS!R59-Capex!R17)/IS!R74</f>
        <v>7.1643342662934826</v>
      </c>
      <c r="S95" s="288">
        <f>(IS!S59-Capex!S17)/IS!S74</f>
        <v>6.7937743190661477</v>
      </c>
      <c r="T95" s="288">
        <f>(IS!T59-Capex!T17)/IS!T74</f>
        <v>8.2621548035783743</v>
      </c>
      <c r="U95" s="288">
        <f>(IS!U59-Capex!U17)/IS!U74</f>
        <v>12.638985579313774</v>
      </c>
      <c r="V95" s="288">
        <f>(IS!V59-Capex!V17)/IS!V74</f>
        <v>5.3027466937945062</v>
      </c>
      <c r="W95" s="288">
        <f>(IS!W59-Capex!W17)/IS!W74</f>
        <v>5.4050813008130083</v>
      </c>
      <c r="X95" s="288">
        <f>(IS!X59-Capex!X17)/IS!X74</f>
        <v>6.2104661791590496</v>
      </c>
      <c r="Y95" s="3021">
        <f>(IS!Y59-Capex!Y17)/IS!Y74</f>
        <v>6.2138178744982042</v>
      </c>
      <c r="Z95" s="3021">
        <f ca="1">(IS!Z59-Capex!Z17)/IS!Z74</f>
        <v>6.2376288173278773</v>
      </c>
      <c r="AA95" s="2187">
        <f ca="1">(IS!AA59-Capex!AA17)/IS!AA74</f>
        <v>6.3913830183964713</v>
      </c>
      <c r="AB95" s="2187">
        <f ca="1">(IS!AB59-Capex!AB17)/IS!AB74</f>
        <v>6.4573459753575699</v>
      </c>
      <c r="AC95" s="2187">
        <f ca="1">(IS!AC59-Capex!AC17)/IS!AC74</f>
        <v>6.5376630406353531</v>
      </c>
      <c r="AD95" s="2187">
        <f ca="1">(IS!AD59-Capex!AD17)/IS!AD74</f>
        <v>6.6299791544648565</v>
      </c>
      <c r="AE95" s="2187">
        <f ca="1">(IS!AE59-Capex!AE17)/IS!AE74</f>
        <v>6.7339163811094265</v>
      </c>
      <c r="AF95" s="2187">
        <f ca="1">(IS!AF59-Capex!AF17)/IS!AF74</f>
        <v>6.8499906116112887</v>
      </c>
      <c r="AG95" s="2187">
        <f ca="1">(IS!AG59-Capex!AG17)/IS!AG74</f>
        <v>6.7299132184771748</v>
      </c>
      <c r="AH95" s="472"/>
      <c r="AI95" s="288"/>
      <c r="AJ95" s="288"/>
      <c r="AK95" s="288"/>
      <c r="AL95" s="288"/>
      <c r="AM95" s="288"/>
      <c r="AN95" s="289"/>
      <c r="AO95" s="289"/>
      <c r="AP95" s="288"/>
      <c r="AQ95" s="288"/>
      <c r="AR95" s="288"/>
      <c r="AS95" s="288"/>
      <c r="AT95" s="288"/>
      <c r="AU95" s="288"/>
      <c r="AV95" s="288"/>
      <c r="AW95" s="288"/>
      <c r="AX95" s="288"/>
      <c r="AY95" s="288"/>
      <c r="AZ95" s="288"/>
      <c r="BA95" s="288"/>
      <c r="BB95" s="288"/>
      <c r="BC95" s="288"/>
      <c r="BD95" s="288"/>
      <c r="BE95" s="288"/>
      <c r="BF95" s="288">
        <v>2.5795328142380423</v>
      </c>
      <c r="BG95" s="288">
        <v>2.7699214365881031</v>
      </c>
      <c r="BH95" s="288">
        <v>4.653113087674714</v>
      </c>
      <c r="BI95" s="288">
        <v>2.6052631578947367</v>
      </c>
      <c r="BJ95" s="288">
        <v>5.5781448538754761</v>
      </c>
      <c r="BK95" s="288">
        <v>4.9492847854356308</v>
      </c>
      <c r="BL95" s="288">
        <v>5.820876288659794</v>
      </c>
      <c r="BM95" s="288">
        <v>4.1979949874686717</v>
      </c>
      <c r="BN95" s="288">
        <v>5.9814569536423843</v>
      </c>
      <c r="BO95" s="288">
        <v>5.9248554913294802</v>
      </c>
      <c r="BP95" s="288">
        <v>5.3868613138686134</v>
      </c>
      <c r="BQ95" s="288">
        <v>4.1593984962406019</v>
      </c>
      <c r="BR95" s="290">
        <v>6.1410658307210033</v>
      </c>
      <c r="BS95" s="288">
        <v>6.4494949494949498</v>
      </c>
      <c r="BT95" s="288">
        <v>6.5961871750433279</v>
      </c>
      <c r="BU95" s="288">
        <v>4.88</v>
      </c>
      <c r="BV95" s="290">
        <v>5.476277372262774</v>
      </c>
      <c r="BW95" s="288">
        <v>5.2746212121212119</v>
      </c>
      <c r="BX95" s="288">
        <v>5.8933333333333335</v>
      </c>
      <c r="BY95" s="288">
        <v>6.604166666666667</v>
      </c>
      <c r="BZ95" s="290">
        <f>(IS!BW59-Capex!BZ17)/IS!BW74</f>
        <v>4.9867732603353288</v>
      </c>
      <c r="CA95" s="288">
        <f>(IS!BX59-Capex!CA17)/IS!BX74</f>
        <v>4.8610169491525426</v>
      </c>
      <c r="CB95" s="288">
        <f>(IS!BY59-Capex!CB17)/IS!BY74</f>
        <v>5.4720279720279716</v>
      </c>
      <c r="CC95" s="288">
        <f>(IS!BZ59-Capex!CC17)/IS!BZ74</f>
        <v>4.3502722323049001</v>
      </c>
      <c r="CD95" s="290">
        <f>(IS!CA59-Capex!CD17)/IS!CA74</f>
        <v>6.5237113402061855</v>
      </c>
      <c r="CE95" s="288">
        <f>(IS!CB59-Capex!CE17)/IS!CB74</f>
        <v>7.2241758241758243</v>
      </c>
      <c r="CF95" s="288">
        <f>(IS!CC59-Capex!CF17)/IS!CC74</f>
        <v>7.8355555555555556</v>
      </c>
      <c r="CG95" s="288">
        <f>(IS!CD59-Capex!CG17)/IS!CD74</f>
        <v>7.1753986332574033</v>
      </c>
      <c r="CH95" s="290">
        <f>(IS!CE59-Capex!CH17)/IS!CE74</f>
        <v>8.1111111111111107</v>
      </c>
      <c r="CI95" s="288">
        <f>(IS!CF59-Capex!CI17)/IS!CF74</f>
        <v>9.8982630272952861</v>
      </c>
      <c r="CJ95" s="288">
        <f>(IS!CG59-Capex!CJ17)/IS!CG74</f>
        <v>9.004545454545454</v>
      </c>
      <c r="CK95" s="288">
        <f>(IS!CH59-Capex!CK17)/IS!CH74</f>
        <v>7.0793036750483562</v>
      </c>
      <c r="CL95" s="290">
        <f>(IS!CI59-Capex!CL17)/IS!CI74</f>
        <v>6.0013947001394703</v>
      </c>
      <c r="CM95" s="288">
        <f>(IS!CJ59-Capex!CM17)/IS!CJ74</f>
        <v>5.1675675675675672</v>
      </c>
      <c r="CN95" s="288">
        <f>(IS!CK59-Capex!CN17)/IS!CK74</f>
        <v>5.4644886363636367</v>
      </c>
      <c r="CO95" s="288">
        <f>(IS!CL59-Capex!CO17)/IS!CL74</f>
        <v>5.0218658892128278</v>
      </c>
      <c r="CP95" s="290">
        <f>(IS!CM59-Capex!CP17)/IS!CM74</f>
        <v>7.0881913303437969</v>
      </c>
      <c r="CQ95" s="288">
        <f>(IS!CN59-Capex!CQ17)/IS!CN74</f>
        <v>6.5329341317365266</v>
      </c>
      <c r="CR95" s="288">
        <f>(IS!CO59-Capex!CR17)/IS!CO74</f>
        <v>7.8224455611390287</v>
      </c>
      <c r="CS95" s="288">
        <f>(IS!CP59-Capex!CS17)/IS!CP74</f>
        <v>7.3051146384479715</v>
      </c>
      <c r="CT95" s="290">
        <f>(IS!CQ59-Capex!CT17)/IS!CQ74</f>
        <v>5.8025387870239777</v>
      </c>
      <c r="CU95" s="288">
        <f>(IS!CR59-Capex!CU17)/IS!CR74</f>
        <v>6.2064156206415619</v>
      </c>
      <c r="CV95" s="288">
        <f>(IS!CS59-Capex!CV17)/IS!CS74</f>
        <v>7.9183381088825211</v>
      </c>
      <c r="CW95" s="291">
        <f>(IS!CT59-Capex!CW17)/IS!CT74</f>
        <v>7.2759601706970125</v>
      </c>
      <c r="CX95" s="288">
        <f>(IS!CU59-Capex!CX17)/IS!CU74</f>
        <v>8.25985401459854</v>
      </c>
      <c r="CY95" s="288">
        <f>(IS!CV59-Capex!CY17)/IS!CV74</f>
        <v>8.8659793814432994</v>
      </c>
      <c r="CZ95" s="288">
        <f>(IS!CW59-Capex!CZ17)/IS!CW74</f>
        <v>9.7294303797468356</v>
      </c>
      <c r="DA95" s="288">
        <f>(IS!CX59-Capex!DA17)/IS!CX74</f>
        <v>5.9391304347826086</v>
      </c>
      <c r="DB95" s="290">
        <f>(IS!CY59-Capex!DB17)/IS!CY74</f>
        <v>12.528864059590317</v>
      </c>
      <c r="DC95" s="288">
        <f>(IS!CZ59-Capex!DC17)/IS!CZ74</f>
        <v>12.542801556420233</v>
      </c>
      <c r="DD95" s="288">
        <f>(IS!DA59-Capex!DD17)/IS!DA74</f>
        <v>13.21359223300971</v>
      </c>
      <c r="DE95" s="288">
        <f>(IS!DB59-Capex!DE17)/IS!DB74</f>
        <v>12.217977528089888</v>
      </c>
      <c r="DF95" s="290">
        <f>(IS!DC59-Capex!DF17)/IS!DC74</f>
        <v>5.8822075782537064</v>
      </c>
      <c r="DG95" s="1049">
        <f>(IS!DD59-Capex!DG17)/IS!DD74</f>
        <v>5.8324742268041234</v>
      </c>
      <c r="DH95" s="1049">
        <f>(IS!DE59-Capex!DH17)/IS!DE74</f>
        <v>5.5195219123505979</v>
      </c>
      <c r="DI95" s="291">
        <f>(IS!DF59-Capex!DI17)/IS!DF74</f>
        <v>4.0608424336973483</v>
      </c>
      <c r="DJ95" s="290">
        <f>(IS!DG59-Capex!DJ17)/IS!DG74</f>
        <v>5.8025525525525525</v>
      </c>
      <c r="DK95" s="1049">
        <f>(IS!DH59-Capex!DK17)/IS!DH74</f>
        <v>5.6009933774834435</v>
      </c>
      <c r="DL95" s="2152">
        <f>(IS!DI59-Capex!DL17)/IS!DI74</f>
        <v>5.7861896838602327</v>
      </c>
      <c r="DM95" s="2486">
        <f>(IS!DJ59-Capex!DM17)/IS!DJ74</f>
        <v>4.3658743633276744</v>
      </c>
      <c r="DN95" s="2491">
        <f>(IS!DK59-Capex!DN17)/IS!DK74</f>
        <v>6.7929292929292933</v>
      </c>
      <c r="DO95" s="2152">
        <f>(IS!DL59-Capex!DO17)/IS!DL74</f>
        <v>7.1006910167818358</v>
      </c>
      <c r="DP95" s="2152">
        <f>(IS!DM59-Capex!DP17)/IS!DM74</f>
        <v>6.8921001926782273</v>
      </c>
      <c r="DQ95" s="2486">
        <f>(IS!DN59-Capex!DQ17)/IS!DN74</f>
        <v>4.1864555848724718</v>
      </c>
      <c r="DR95" s="2152">
        <f>(IS!DO59-Capex!DR17)/IS!DO74</f>
        <v>7.3312720848056534</v>
      </c>
      <c r="DS95" s="2152">
        <f>(IS!DP59-Capex!DS17)/IS!DP74</f>
        <v>6.1083743842364528</v>
      </c>
      <c r="DT95" s="2152">
        <f>(IS!DQ59-Capex!DT17)/IS!DQ74</f>
        <v>6.7259450171821307</v>
      </c>
      <c r="DU95" s="2152">
        <f>(IS!DR59-Capex!DU17)/IS!DR74</f>
        <v>4.7924528301886795</v>
      </c>
      <c r="DV95" s="2152">
        <f>(IS!DS59-Capex!DV17)/IS!DS74</f>
        <v>6.2248126561198998</v>
      </c>
      <c r="DW95" s="3256">
        <f ca="1">(IS!DT59-Capex!EM17)/IS!DT74</f>
        <v>9.9057479996071205</v>
      </c>
      <c r="DX95" s="3256">
        <f ca="1">(IS!DU59-Capex!EN17)/IS!DU74</f>
        <v>10.034823419192154</v>
      </c>
      <c r="DY95" s="2176">
        <f ca="1">(IS!DV59-Capex!EO17)/IS!DV74</f>
        <v>9.0225983382895709</v>
      </c>
      <c r="DZ95" s="1049"/>
    </row>
    <row r="96" spans="1:136">
      <c r="A96" s="87"/>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678"/>
      <c r="AI96" s="87"/>
      <c r="AJ96" s="87"/>
      <c r="AK96" s="87"/>
      <c r="AL96" s="87"/>
      <c r="AM96" s="87"/>
      <c r="AN96" s="123"/>
      <c r="AO96" s="123"/>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8"/>
      <c r="BS96" s="87"/>
      <c r="BT96" s="87"/>
      <c r="BU96" s="87"/>
      <c r="BV96" s="88"/>
      <c r="BW96" s="87"/>
      <c r="BX96" s="87"/>
      <c r="BY96" s="87"/>
      <c r="BZ96" s="88"/>
      <c r="CA96" s="87"/>
      <c r="CB96" s="87"/>
      <c r="CC96" s="87"/>
      <c r="CD96" s="88"/>
      <c r="CE96" s="87"/>
      <c r="CF96" s="87"/>
      <c r="CG96" s="87"/>
      <c r="CH96" s="88"/>
      <c r="CI96" s="87"/>
      <c r="CJ96" s="87"/>
      <c r="CK96" s="87"/>
      <c r="CL96" s="88"/>
      <c r="CM96" s="87"/>
      <c r="CN96" s="87"/>
      <c r="CO96" s="87"/>
      <c r="CP96" s="88"/>
      <c r="CQ96" s="87"/>
      <c r="CR96" s="87"/>
      <c r="CS96" s="87"/>
      <c r="CT96" s="88"/>
      <c r="CU96" s="87"/>
      <c r="CV96" s="87"/>
      <c r="CW96" s="144"/>
      <c r="CX96" s="87"/>
      <c r="CY96" s="87"/>
      <c r="CZ96" s="87"/>
      <c r="DA96" s="87"/>
      <c r="DB96" s="88"/>
      <c r="DC96" s="87"/>
      <c r="DD96" s="87"/>
      <c r="DE96" s="87"/>
      <c r="DF96" s="88"/>
      <c r="DG96" s="1041"/>
      <c r="DH96" s="1041"/>
      <c r="DI96" s="144"/>
      <c r="DJ96" s="88"/>
      <c r="DK96" s="1041"/>
      <c r="DL96" s="1041"/>
      <c r="DM96" s="144"/>
      <c r="DN96" s="88"/>
      <c r="DO96" s="1041"/>
      <c r="DP96" s="1041"/>
      <c r="DQ96" s="144"/>
      <c r="DR96" s="1041"/>
      <c r="DS96" s="1041"/>
      <c r="DT96" s="1041"/>
      <c r="DU96" s="1041"/>
      <c r="DV96" s="1041"/>
      <c r="DW96" s="1041"/>
      <c r="DX96" s="1041"/>
      <c r="DY96" s="144"/>
      <c r="DZ96" s="1041"/>
    </row>
    <row r="97" spans="1:130">
      <c r="A97" s="87" t="s">
        <v>1284</v>
      </c>
      <c r="B97" s="87"/>
      <c r="C97" s="87"/>
      <c r="D97" s="87"/>
      <c r="E97" s="87"/>
      <c r="F97" s="87"/>
      <c r="G97" s="87"/>
      <c r="H97" s="87">
        <v>281</v>
      </c>
      <c r="I97" s="87">
        <v>383</v>
      </c>
      <c r="J97" s="143">
        <v>187</v>
      </c>
      <c r="K97" s="143">
        <v>88.42</v>
      </c>
      <c r="L97" s="143">
        <v>48.802500000000002</v>
      </c>
      <c r="M97" s="143">
        <v>63.69</v>
      </c>
      <c r="N97" s="143">
        <f>SUM(BZ97:CC97)</f>
        <v>94.177499999999995</v>
      </c>
      <c r="O97" s="143">
        <f>SUM(CD97:CG97)</f>
        <v>72.87</v>
      </c>
      <c r="P97" s="143">
        <f>SUM(CH97:CK97)</f>
        <v>183.45749999999998</v>
      </c>
      <c r="Q97" s="143">
        <f>SUM(CL97:CO97)</f>
        <v>178.6575</v>
      </c>
      <c r="R97" s="143">
        <f>SUM(CP97:CS97)</f>
        <v>262.95749999999998</v>
      </c>
      <c r="S97" s="143">
        <f>SUM(CT97:CW97)</f>
        <v>608.79</v>
      </c>
      <c r="T97" s="143">
        <f>SUM(CU97:CX97)</f>
        <v>598.26</v>
      </c>
      <c r="U97" s="143">
        <f>SUM(DB97:DE97)</f>
        <v>670.66000000000008</v>
      </c>
      <c r="V97" s="143">
        <f>SUM(DF97:DI97)</f>
        <v>694.29</v>
      </c>
      <c r="W97" s="143">
        <f>SUM(DJ97:DM97)</f>
        <v>218.67000000000002</v>
      </c>
      <c r="X97" s="143">
        <f>SUM(DN97:DQ97)</f>
        <v>196.14</v>
      </c>
      <c r="Y97" s="143">
        <f>SUM(DR97:DU97)</f>
        <v>162.57</v>
      </c>
      <c r="Z97" s="143">
        <f ca="1">SUM(DV97:DY97)</f>
        <v>196.90900063266685</v>
      </c>
      <c r="AA97" s="143">
        <f ca="1">AA98*AVERAGE(Z13)</f>
        <v>284.98830608213149</v>
      </c>
      <c r="AB97" s="143">
        <f ca="1">AB98*AVERAGE(AA13)</f>
        <v>486.49636165710768</v>
      </c>
      <c r="AC97" s="143">
        <f t="shared" ref="AC97:AG97" ca="1" si="323">AC98*AVERAGE(AB13)</f>
        <v>696.49918902194702</v>
      </c>
      <c r="AD97" s="143">
        <f t="shared" ca="1" si="323"/>
        <v>943.76696378536292</v>
      </c>
      <c r="AE97" s="143">
        <f t="shared" ca="1" si="323"/>
        <v>1198.3080453894493</v>
      </c>
      <c r="AF97" s="143">
        <f t="shared" ca="1" si="323"/>
        <v>1461.1730634608302</v>
      </c>
      <c r="AG97" s="143">
        <f t="shared" ca="1" si="323"/>
        <v>1733.4560315408712</v>
      </c>
      <c r="AH97" s="1237"/>
      <c r="AI97" s="143"/>
      <c r="AJ97" s="143"/>
      <c r="AK97" s="143"/>
      <c r="AL97" s="143"/>
      <c r="AM97" s="143"/>
      <c r="AN97" s="123"/>
      <c r="AO97" s="123"/>
      <c r="AP97" s="87"/>
      <c r="AQ97" s="87"/>
      <c r="AR97" s="87"/>
      <c r="AS97" s="87"/>
      <c r="AT97" s="103"/>
      <c r="AU97" s="103"/>
      <c r="AV97" s="103"/>
      <c r="AW97" s="103"/>
      <c r="AX97" s="103"/>
      <c r="AY97" s="103"/>
      <c r="AZ97" s="103"/>
      <c r="BA97" s="103"/>
      <c r="BB97" s="103"/>
      <c r="BC97" s="129"/>
      <c r="BD97" s="129"/>
      <c r="BE97" s="129"/>
      <c r="BF97" s="87"/>
      <c r="BG97" s="87"/>
      <c r="BH97" s="87"/>
      <c r="BI97" s="87"/>
      <c r="BJ97" s="143">
        <v>54</v>
      </c>
      <c r="BK97" s="143">
        <v>53</v>
      </c>
      <c r="BL97" s="143">
        <v>44</v>
      </c>
      <c r="BM97" s="143">
        <v>36</v>
      </c>
      <c r="BN97" s="143">
        <v>58</v>
      </c>
      <c r="BO97" s="143">
        <v>9</v>
      </c>
      <c r="BP97" s="143">
        <v>11.1225</v>
      </c>
      <c r="BQ97" s="143">
        <v>10.297499999999999</v>
      </c>
      <c r="BR97" s="159">
        <v>9.33</v>
      </c>
      <c r="BS97" s="143">
        <v>8.6850000000000005</v>
      </c>
      <c r="BT97" s="143">
        <v>8.9924999999999997</v>
      </c>
      <c r="BU97" s="143">
        <v>21.795000000000002</v>
      </c>
      <c r="BV97" s="159">
        <v>22.364999999999998</v>
      </c>
      <c r="BW97" s="143">
        <v>15.727499999999999</v>
      </c>
      <c r="BX97" s="143">
        <v>15.157500000000001</v>
      </c>
      <c r="BY97" s="143">
        <v>10.44</v>
      </c>
      <c r="BZ97" s="159">
        <v>15.1875</v>
      </c>
      <c r="CA97" s="143">
        <v>18.262499999999999</v>
      </c>
      <c r="CB97" s="143">
        <v>22.74</v>
      </c>
      <c r="CC97" s="143">
        <v>37.987499999999997</v>
      </c>
      <c r="CD97" s="159">
        <v>33.9</v>
      </c>
      <c r="CE97" s="143">
        <v>14.6775</v>
      </c>
      <c r="CF97" s="143">
        <v>10.282500000000001</v>
      </c>
      <c r="CG97" s="143">
        <v>14.01</v>
      </c>
      <c r="CH97" s="159">
        <v>49.784999999999997</v>
      </c>
      <c r="CI97" s="143">
        <v>45.502499999999998</v>
      </c>
      <c r="CJ97" s="143">
        <v>9.5850000000000009</v>
      </c>
      <c r="CK97" s="143">
        <v>78.584999999999994</v>
      </c>
      <c r="CL97" s="159">
        <v>103.2075</v>
      </c>
      <c r="CM97" s="143">
        <v>35.9925</v>
      </c>
      <c r="CN97" s="143">
        <v>15.27</v>
      </c>
      <c r="CO97" s="143">
        <v>24.1875</v>
      </c>
      <c r="CP97" s="159">
        <v>37.844999999999999</v>
      </c>
      <c r="CQ97" s="143">
        <v>58.484999999999999</v>
      </c>
      <c r="CR97" s="143">
        <v>76.162499999999994</v>
      </c>
      <c r="CS97" s="143">
        <v>90.465000000000003</v>
      </c>
      <c r="CT97" s="159">
        <v>155.0625</v>
      </c>
      <c r="CU97" s="143">
        <v>151.85249999999999</v>
      </c>
      <c r="CV97" s="143">
        <v>124.23</v>
      </c>
      <c r="CW97" s="189">
        <v>177.64500000000001</v>
      </c>
      <c r="CX97" s="143">
        <v>144.5325</v>
      </c>
      <c r="CY97" s="143">
        <v>119.325</v>
      </c>
      <c r="CZ97" s="143">
        <f t="shared" ref="CZ97:DV97" si="324">CY13*CZ98</f>
        <v>150.01499999999999</v>
      </c>
      <c r="DA97" s="143">
        <f t="shared" si="324"/>
        <v>97.14</v>
      </c>
      <c r="DB97" s="159">
        <f t="shared" si="324"/>
        <v>30.93</v>
      </c>
      <c r="DC97" s="143">
        <f t="shared" si="324"/>
        <v>54.75</v>
      </c>
      <c r="DD97" s="143">
        <f t="shared" si="324"/>
        <v>17.88</v>
      </c>
      <c r="DE97" s="143">
        <f t="shared" si="324"/>
        <v>567.1</v>
      </c>
      <c r="DF97" s="159">
        <f t="shared" si="324"/>
        <v>535.28</v>
      </c>
      <c r="DG97" s="1047">
        <f t="shared" si="324"/>
        <v>29.07</v>
      </c>
      <c r="DH97" s="1047">
        <f t="shared" si="324"/>
        <v>57.76</v>
      </c>
      <c r="DI97" s="189">
        <f t="shared" si="324"/>
        <v>72.180000000000007</v>
      </c>
      <c r="DJ97" s="159">
        <f t="shared" si="324"/>
        <v>105.98</v>
      </c>
      <c r="DK97" s="1047">
        <f t="shared" si="324"/>
        <v>43.86</v>
      </c>
      <c r="DL97" s="1047">
        <f t="shared" si="324"/>
        <v>30.080000000000002</v>
      </c>
      <c r="DM97" s="189">
        <f t="shared" si="324"/>
        <v>38.75</v>
      </c>
      <c r="DN97" s="159">
        <f t="shared" si="324"/>
        <v>44.7</v>
      </c>
      <c r="DO97" s="1047">
        <f t="shared" si="324"/>
        <v>58.46</v>
      </c>
      <c r="DP97" s="1047">
        <f t="shared" si="324"/>
        <v>28.57</v>
      </c>
      <c r="DQ97" s="189">
        <f t="shared" si="324"/>
        <v>64.41</v>
      </c>
      <c r="DR97" s="1047">
        <f t="shared" si="324"/>
        <v>28.8</v>
      </c>
      <c r="DS97" s="1047">
        <f t="shared" si="324"/>
        <v>43.07</v>
      </c>
      <c r="DT97" s="1047">
        <f t="shared" si="324"/>
        <v>45.83</v>
      </c>
      <c r="DU97" s="1047">
        <f t="shared" si="324"/>
        <v>44.87</v>
      </c>
      <c r="DV97" s="1047">
        <f t="shared" si="324"/>
        <v>20.79</v>
      </c>
      <c r="DW97" s="1047">
        <f t="shared" ref="DW97" si="325">DV13*DW98</f>
        <v>19.23</v>
      </c>
      <c r="DX97" s="1047">
        <f t="shared" ref="DX97" ca="1" si="326">DW13*DX98</f>
        <v>62.496115056278448</v>
      </c>
      <c r="DY97" s="189">
        <f t="shared" ref="DY97" ca="1" si="327">DX13*DY98</f>
        <v>94.392885576388423</v>
      </c>
      <c r="DZ97" s="1041"/>
    </row>
    <row r="98" spans="1:130">
      <c r="A98" s="294" t="s">
        <v>1285</v>
      </c>
      <c r="B98" s="295"/>
      <c r="C98" s="295"/>
      <c r="D98" s="295"/>
      <c r="E98" s="295"/>
      <c r="F98" s="295"/>
      <c r="G98" s="295"/>
      <c r="H98" s="295">
        <v>0.2014336917562724</v>
      </c>
      <c r="I98" s="295">
        <v>0.44124423963133641</v>
      </c>
      <c r="J98" s="295">
        <v>5.8128691327323595E-2</v>
      </c>
      <c r="K98" s="295">
        <v>2.8047581284694686E-2</v>
      </c>
      <c r="L98" s="295">
        <v>1.3211288576069301E-2</v>
      </c>
      <c r="M98" s="295">
        <v>1.6286919831223629E-2</v>
      </c>
      <c r="N98" s="295">
        <f t="shared" ref="N98:Z98" si="328">N97/((N13+N15+M13+M15)/2)</f>
        <v>2.1099473507337291E-2</v>
      </c>
      <c r="O98" s="295">
        <f t="shared" si="328"/>
        <v>1.6103867403314917E-2</v>
      </c>
      <c r="P98" s="295">
        <f t="shared" si="328"/>
        <v>2.680559614260666E-2</v>
      </c>
      <c r="Q98" s="295">
        <f t="shared" si="328"/>
        <v>2.7937060203283817E-2</v>
      </c>
      <c r="R98" s="295">
        <f t="shared" si="328"/>
        <v>5.4134328358208951E-2</v>
      </c>
      <c r="S98" s="295">
        <f t="shared" si="328"/>
        <v>5.7514407179971652E-2</v>
      </c>
      <c r="T98" s="295">
        <f t="shared" si="328"/>
        <v>6.8306216817948281E-2</v>
      </c>
      <c r="U98" s="295">
        <f t="shared" si="328"/>
        <v>2.3249670664910217E-2</v>
      </c>
      <c r="V98" s="295">
        <f t="shared" si="328"/>
        <v>2.1270488036518487E-2</v>
      </c>
      <c r="W98" s="295">
        <f t="shared" si="328"/>
        <v>2.7379953671821201E-2</v>
      </c>
      <c r="X98" s="295">
        <f t="shared" si="328"/>
        <v>5.0945454545454544E-2</v>
      </c>
      <c r="Y98" s="295">
        <f t="shared" si="328"/>
        <v>6.5565638233514814E-2</v>
      </c>
      <c r="Z98" s="295">
        <f t="shared" ca="1" si="328"/>
        <v>2.4118568393240773E-2</v>
      </c>
      <c r="AA98" s="296">
        <v>0.02</v>
      </c>
      <c r="AB98" s="296">
        <v>0.02</v>
      </c>
      <c r="AC98" s="296">
        <v>0.02</v>
      </c>
      <c r="AD98" s="296">
        <v>0.02</v>
      </c>
      <c r="AE98" s="296">
        <v>0.02</v>
      </c>
      <c r="AF98" s="296">
        <v>0.02</v>
      </c>
      <c r="AG98" s="296">
        <v>0.02</v>
      </c>
      <c r="AH98" s="1243"/>
      <c r="AI98" s="295"/>
      <c r="AJ98" s="295"/>
      <c r="AK98" s="295"/>
      <c r="AL98" s="295"/>
      <c r="AM98" s="295"/>
      <c r="AN98" s="240"/>
      <c r="AO98" s="240"/>
      <c r="AP98" s="295"/>
      <c r="AQ98" s="295"/>
      <c r="AR98" s="295"/>
      <c r="AS98" s="295"/>
      <c r="AT98" s="296"/>
      <c r="AU98" s="296"/>
      <c r="AV98" s="296"/>
      <c r="AW98" s="296"/>
      <c r="AX98" s="296"/>
      <c r="AY98" s="296"/>
      <c r="AZ98" s="296"/>
      <c r="BA98" s="296"/>
      <c r="BB98" s="296"/>
      <c r="BC98" s="297"/>
      <c r="BD98" s="297"/>
      <c r="BE98" s="297"/>
      <c r="BF98" s="295"/>
      <c r="BG98" s="295"/>
      <c r="BH98" s="295"/>
      <c r="BI98" s="295"/>
      <c r="BJ98" s="295">
        <v>1.3602015113350126E-2</v>
      </c>
      <c r="BK98" s="295">
        <v>6.7139599695971624E-3</v>
      </c>
      <c r="BL98" s="295">
        <v>2.5629077353215286E-3</v>
      </c>
      <c r="BM98" s="295">
        <v>2.5477707006369425E-3</v>
      </c>
      <c r="BN98" s="295">
        <v>5.2526716174606048E-3</v>
      </c>
      <c r="BO98" s="295">
        <v>9.225092250922509E-4</v>
      </c>
      <c r="BP98" s="295">
        <v>1.4999999999999999E-2</v>
      </c>
      <c r="BQ98" s="295">
        <v>1.4999999999999999E-2</v>
      </c>
      <c r="BR98" s="298">
        <v>1.4999999999999999E-2</v>
      </c>
      <c r="BS98" s="295">
        <v>1.4999999999999999E-2</v>
      </c>
      <c r="BT98" s="295">
        <v>1.4999999999999999E-2</v>
      </c>
      <c r="BU98" s="295">
        <v>1.4999999999999999E-2</v>
      </c>
      <c r="BV98" s="298">
        <v>1.4999999999999999E-2</v>
      </c>
      <c r="BW98" s="295">
        <v>1.4999999999999999E-2</v>
      </c>
      <c r="BX98" s="295">
        <v>1.4999999999999999E-2</v>
      </c>
      <c r="BY98" s="295">
        <v>1.4999999999999999E-2</v>
      </c>
      <c r="BZ98" s="298">
        <f t="shared" ref="BZ98:CY98" si="329">BY98</f>
        <v>1.4999999999999999E-2</v>
      </c>
      <c r="CA98" s="295">
        <f t="shared" si="329"/>
        <v>1.4999999999999999E-2</v>
      </c>
      <c r="CB98" s="295">
        <f t="shared" si="329"/>
        <v>1.4999999999999999E-2</v>
      </c>
      <c r="CC98" s="295">
        <f t="shared" si="329"/>
        <v>1.4999999999999999E-2</v>
      </c>
      <c r="CD98" s="298">
        <f t="shared" si="329"/>
        <v>1.4999999999999999E-2</v>
      </c>
      <c r="CE98" s="295">
        <f t="shared" si="329"/>
        <v>1.4999999999999999E-2</v>
      </c>
      <c r="CF98" s="295">
        <f t="shared" si="329"/>
        <v>1.4999999999999999E-2</v>
      </c>
      <c r="CG98" s="295">
        <f t="shared" si="329"/>
        <v>1.4999999999999999E-2</v>
      </c>
      <c r="CH98" s="298">
        <f t="shared" si="329"/>
        <v>1.4999999999999999E-2</v>
      </c>
      <c r="CI98" s="295">
        <f t="shared" si="329"/>
        <v>1.4999999999999999E-2</v>
      </c>
      <c r="CJ98" s="295">
        <f t="shared" si="329"/>
        <v>1.4999999999999999E-2</v>
      </c>
      <c r="CK98" s="295">
        <f t="shared" si="329"/>
        <v>1.4999999999999999E-2</v>
      </c>
      <c r="CL98" s="298">
        <f t="shared" si="329"/>
        <v>1.4999999999999999E-2</v>
      </c>
      <c r="CM98" s="295">
        <f t="shared" si="329"/>
        <v>1.4999999999999999E-2</v>
      </c>
      <c r="CN98" s="295">
        <f t="shared" si="329"/>
        <v>1.4999999999999999E-2</v>
      </c>
      <c r="CO98" s="295">
        <f t="shared" si="329"/>
        <v>1.4999999999999999E-2</v>
      </c>
      <c r="CP98" s="298">
        <f t="shared" si="329"/>
        <v>1.4999999999999999E-2</v>
      </c>
      <c r="CQ98" s="295">
        <f t="shared" si="329"/>
        <v>1.4999999999999999E-2</v>
      </c>
      <c r="CR98" s="295">
        <f t="shared" si="329"/>
        <v>1.4999999999999999E-2</v>
      </c>
      <c r="CS98" s="295">
        <f t="shared" si="329"/>
        <v>1.4999999999999999E-2</v>
      </c>
      <c r="CT98" s="298">
        <f t="shared" si="329"/>
        <v>1.4999999999999999E-2</v>
      </c>
      <c r="CU98" s="295">
        <f t="shared" si="329"/>
        <v>1.4999999999999999E-2</v>
      </c>
      <c r="CV98" s="295">
        <f t="shared" si="329"/>
        <v>1.4999999999999999E-2</v>
      </c>
      <c r="CW98" s="299">
        <f t="shared" si="329"/>
        <v>1.4999999999999999E-2</v>
      </c>
      <c r="CX98" s="295">
        <f t="shared" si="329"/>
        <v>1.4999999999999999E-2</v>
      </c>
      <c r="CY98" s="295">
        <f t="shared" si="329"/>
        <v>1.4999999999999999E-2</v>
      </c>
      <c r="CZ98" s="296">
        <f>+CY98</f>
        <v>1.4999999999999999E-2</v>
      </c>
      <c r="DA98" s="296">
        <v>0.01</v>
      </c>
      <c r="DB98" s="300">
        <v>0.01</v>
      </c>
      <c r="DC98" s="296">
        <v>0.01</v>
      </c>
      <c r="DD98" s="296">
        <v>0.01</v>
      </c>
      <c r="DE98" s="296">
        <v>0.01</v>
      </c>
      <c r="DF98" s="300">
        <v>0.01</v>
      </c>
      <c r="DG98" s="1555">
        <v>0.01</v>
      </c>
      <c r="DH98" s="1555">
        <v>0.01</v>
      </c>
      <c r="DI98" s="301">
        <v>0.01</v>
      </c>
      <c r="DJ98" s="300">
        <v>0.01</v>
      </c>
      <c r="DK98" s="1555">
        <v>0.01</v>
      </c>
      <c r="DL98" s="1555">
        <v>0.01</v>
      </c>
      <c r="DM98" s="301">
        <v>0.01</v>
      </c>
      <c r="DN98" s="300">
        <v>0.01</v>
      </c>
      <c r="DO98" s="1555">
        <v>0.01</v>
      </c>
      <c r="DP98" s="1555">
        <v>0.01</v>
      </c>
      <c r="DQ98" s="301">
        <v>0.01</v>
      </c>
      <c r="DR98" s="1555">
        <v>0.01</v>
      </c>
      <c r="DS98" s="1555">
        <v>0.01</v>
      </c>
      <c r="DT98" s="1555">
        <v>0.01</v>
      </c>
      <c r="DU98" s="1555">
        <v>0.01</v>
      </c>
      <c r="DV98" s="1555">
        <v>0.01</v>
      </c>
      <c r="DW98" s="1555">
        <v>0.01</v>
      </c>
      <c r="DX98" s="1555">
        <v>0.01</v>
      </c>
      <c r="DY98" s="301">
        <v>0.01</v>
      </c>
      <c r="DZ98" s="1130"/>
    </row>
    <row r="99" spans="1:130">
      <c r="A99" s="87"/>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678"/>
      <c r="AI99" s="87"/>
      <c r="AJ99" s="87"/>
      <c r="AK99" s="87"/>
      <c r="AL99" s="87"/>
      <c r="AM99" s="87"/>
      <c r="AN99" s="123"/>
      <c r="AO99" s="123"/>
      <c r="AP99" s="87"/>
      <c r="AQ99" s="87"/>
      <c r="AR99" s="87"/>
      <c r="AS99" s="87"/>
      <c r="AT99" s="103"/>
      <c r="AU99" s="103"/>
      <c r="AV99" s="103"/>
      <c r="AW99" s="103"/>
      <c r="AX99" s="103"/>
      <c r="AY99" s="103"/>
      <c r="AZ99" s="103"/>
      <c r="BA99" s="103"/>
      <c r="BB99" s="103"/>
      <c r="BC99" s="129"/>
      <c r="BD99" s="129"/>
      <c r="BE99" s="129"/>
      <c r="BF99" s="87"/>
      <c r="BG99" s="87"/>
      <c r="BH99" s="87"/>
      <c r="BI99" s="87"/>
      <c r="BJ99" s="87"/>
      <c r="BK99" s="87"/>
      <c r="BL99" s="87"/>
      <c r="BM99" s="87"/>
      <c r="BN99" s="87"/>
      <c r="BO99" s="87"/>
      <c r="BP99" s="87"/>
      <c r="BQ99" s="87"/>
      <c r="BR99" s="88"/>
      <c r="BS99" s="87"/>
      <c r="BT99" s="87"/>
      <c r="BU99" s="87"/>
      <c r="BV99" s="88"/>
      <c r="BW99" s="87"/>
      <c r="BX99" s="87"/>
      <c r="BY99" s="87"/>
      <c r="BZ99" s="88"/>
      <c r="CA99" s="87"/>
      <c r="CB99" s="87"/>
      <c r="CC99" s="87"/>
      <c r="CD99" s="88"/>
      <c r="CE99" s="87"/>
      <c r="CF99" s="87"/>
      <c r="CG99" s="87"/>
      <c r="CH99" s="88"/>
      <c r="CI99" s="87"/>
      <c r="CJ99" s="87"/>
      <c r="CK99" s="87"/>
      <c r="CL99" s="88"/>
      <c r="CM99" s="87"/>
      <c r="CN99" s="87"/>
      <c r="CO99" s="87"/>
      <c r="CP99" s="88"/>
      <c r="CQ99" s="87"/>
      <c r="CR99" s="87"/>
      <c r="CS99" s="87"/>
      <c r="CT99" s="88"/>
      <c r="CU99" s="87"/>
      <c r="CV99" s="87"/>
      <c r="CW99" s="144"/>
      <c r="CX99" s="87"/>
      <c r="CY99" s="87"/>
      <c r="CZ99" s="87"/>
      <c r="DA99" s="87"/>
      <c r="DB99" s="268"/>
      <c r="DC99" s="266"/>
      <c r="DD99" s="266"/>
      <c r="DE99" s="266"/>
      <c r="DF99" s="268"/>
      <c r="DG99" s="1298"/>
      <c r="DH99" s="1298"/>
      <c r="DI99" s="269"/>
      <c r="DJ99" s="268"/>
      <c r="DK99" s="1298"/>
      <c r="DL99" s="1298"/>
      <c r="DM99" s="269"/>
      <c r="DN99" s="268"/>
      <c r="DO99" s="1298"/>
      <c r="DP99" s="1298"/>
      <c r="DQ99" s="269"/>
      <c r="DR99" s="1298"/>
      <c r="DS99" s="1298"/>
      <c r="DT99" s="1298"/>
      <c r="DU99" s="1298"/>
      <c r="DV99" s="1298"/>
      <c r="DW99" s="1041"/>
      <c r="DX99" s="1041"/>
      <c r="DY99" s="144"/>
      <c r="DZ99" s="1041"/>
    </row>
    <row r="100" spans="1:130" hidden="1">
      <c r="A100" s="91" t="s">
        <v>1286</v>
      </c>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678"/>
      <c r="AI100" s="87"/>
      <c r="AJ100" s="87"/>
      <c r="AK100" s="87"/>
      <c r="AL100" s="87"/>
      <c r="AM100" s="87"/>
      <c r="AN100" s="123"/>
      <c r="AO100" s="123"/>
      <c r="AP100" s="87"/>
      <c r="AQ100" s="87"/>
      <c r="AR100" s="87"/>
      <c r="AS100" s="87"/>
      <c r="AT100" s="103"/>
      <c r="AU100" s="103"/>
      <c r="AV100" s="103"/>
      <c r="AW100" s="103"/>
      <c r="AX100" s="103"/>
      <c r="AY100" s="103"/>
      <c r="AZ100" s="103"/>
      <c r="BA100" s="103"/>
      <c r="BB100" s="103"/>
      <c r="BC100" s="129"/>
      <c r="BD100" s="129"/>
      <c r="BE100" s="129"/>
      <c r="BF100" s="87"/>
      <c r="BG100" s="87"/>
      <c r="BH100" s="87"/>
      <c r="BI100" s="87"/>
      <c r="BJ100" s="87"/>
      <c r="BK100" s="87"/>
      <c r="BL100" s="87"/>
      <c r="BM100" s="87"/>
      <c r="BN100" s="87"/>
      <c r="BO100" s="87"/>
      <c r="BP100" s="87"/>
      <c r="BQ100" s="87"/>
      <c r="BR100" s="88"/>
      <c r="BS100" s="87"/>
      <c r="BT100" s="87"/>
      <c r="BU100" s="87"/>
      <c r="BV100" s="88"/>
      <c r="BW100" s="87"/>
      <c r="BX100" s="87"/>
      <c r="BY100" s="87"/>
      <c r="BZ100" s="88"/>
      <c r="CA100" s="87"/>
      <c r="CB100" s="87"/>
      <c r="CC100" s="87"/>
      <c r="CD100" s="88"/>
      <c r="CE100" s="87"/>
      <c r="CF100" s="87"/>
      <c r="CG100" s="87"/>
      <c r="CH100" s="88"/>
      <c r="CI100" s="87"/>
      <c r="CJ100" s="87"/>
      <c r="CK100" s="87"/>
      <c r="CL100" s="88"/>
      <c r="CM100" s="87"/>
      <c r="CN100" s="87"/>
      <c r="CO100" s="87"/>
      <c r="CP100" s="88"/>
      <c r="CQ100" s="87"/>
      <c r="CR100" s="87"/>
      <c r="CS100" s="87"/>
      <c r="CT100" s="88"/>
      <c r="CU100" s="87"/>
      <c r="CV100" s="87"/>
      <c r="CW100" s="144"/>
      <c r="CX100" s="87"/>
      <c r="CY100" s="87"/>
      <c r="CZ100" s="87"/>
      <c r="DA100" s="87"/>
      <c r="DB100" s="88"/>
      <c r="DC100" s="87"/>
      <c r="DD100" s="87"/>
      <c r="DE100" s="87"/>
      <c r="DF100" s="88"/>
      <c r="DG100" s="1041"/>
      <c r="DH100" s="1041"/>
      <c r="DI100" s="144"/>
      <c r="DJ100" s="88"/>
      <c r="DK100" s="1041"/>
      <c r="DL100" s="1041"/>
      <c r="DM100" s="144"/>
      <c r="DN100" s="88"/>
      <c r="DO100" s="1041"/>
      <c r="DP100" s="1041"/>
      <c r="DQ100" s="144"/>
      <c r="DR100" s="1041"/>
      <c r="DS100" s="1041"/>
      <c r="DT100" s="1041"/>
      <c r="DU100" s="1041"/>
      <c r="DV100" s="1041"/>
      <c r="DW100" s="1041"/>
      <c r="DX100" s="1041"/>
      <c r="DY100" s="144"/>
      <c r="DZ100" s="1041"/>
    </row>
    <row r="101" spans="1:130" hidden="1">
      <c r="A101" s="109" t="s">
        <v>1287</v>
      </c>
      <c r="B101" s="109"/>
      <c r="C101" s="109"/>
      <c r="D101" s="109"/>
      <c r="E101" s="109"/>
      <c r="F101" s="109">
        <v>2490</v>
      </c>
      <c r="G101" s="109">
        <v>1900</v>
      </c>
      <c r="H101" s="109">
        <v>21830</v>
      </c>
      <c r="I101" s="109">
        <v>22149</v>
      </c>
      <c r="J101" s="109">
        <v>24057</v>
      </c>
      <c r="K101" s="109">
        <v>24348</v>
      </c>
      <c r="L101" s="109">
        <v>25053</v>
      </c>
      <c r="M101" s="109">
        <v>26754</v>
      </c>
      <c r="N101" s="109">
        <f t="shared" ref="N101:AA101" si="330">N60</f>
        <v>28337</v>
      </c>
      <c r="O101" s="109">
        <f t="shared" si="330"/>
        <v>32288</v>
      </c>
      <c r="P101" s="109">
        <f t="shared" si="330"/>
        <v>37199</v>
      </c>
      <c r="Q101" s="109">
        <f t="shared" si="330"/>
        <v>42761</v>
      </c>
      <c r="R101" s="109">
        <f t="shared" si="330"/>
        <v>48343</v>
      </c>
      <c r="S101" s="109">
        <f t="shared" si="330"/>
        <v>49938</v>
      </c>
      <c r="T101" s="109">
        <f t="shared" si="330"/>
        <v>52376</v>
      </c>
      <c r="U101" s="109">
        <f t="shared" si="330"/>
        <v>56580</v>
      </c>
      <c r="V101" s="109">
        <f t="shared" si="330"/>
        <v>1378</v>
      </c>
      <c r="W101" s="109">
        <f t="shared" si="330"/>
        <v>1414</v>
      </c>
      <c r="X101" s="109">
        <f t="shared" si="330"/>
        <v>1508</v>
      </c>
      <c r="Y101" s="109">
        <f t="shared" ref="Y101:Z101" si="331">Y60</f>
        <v>1591</v>
      </c>
      <c r="Z101" s="109">
        <f t="shared" si="331"/>
        <v>1327</v>
      </c>
      <c r="AA101" s="109">
        <f t="shared" si="330"/>
        <v>1011</v>
      </c>
      <c r="AB101" s="109">
        <f t="shared" ref="AB101:AG101" si="332">AB60</f>
        <v>695</v>
      </c>
      <c r="AC101" s="109">
        <f t="shared" si="332"/>
        <v>379</v>
      </c>
      <c r="AD101" s="109">
        <f t="shared" si="332"/>
        <v>63</v>
      </c>
      <c r="AE101" s="109">
        <f t="shared" si="332"/>
        <v>-253</v>
      </c>
      <c r="AF101" s="109">
        <f t="shared" si="332"/>
        <v>-569</v>
      </c>
      <c r="AG101" s="109">
        <f t="shared" si="332"/>
        <v>-885</v>
      </c>
      <c r="AH101" s="536"/>
      <c r="AI101" s="109"/>
      <c r="AJ101" s="109"/>
      <c r="AK101" s="109"/>
      <c r="AL101" s="109"/>
      <c r="AM101" s="109"/>
      <c r="AN101" s="276"/>
      <c r="AO101" s="276"/>
      <c r="AP101" s="109"/>
      <c r="AQ101" s="109"/>
      <c r="AR101" s="109"/>
      <c r="AS101" s="109"/>
      <c r="AT101" s="168"/>
      <c r="AU101" s="168"/>
      <c r="AV101" s="168"/>
      <c r="AW101" s="168"/>
      <c r="AX101" s="168"/>
      <c r="AY101" s="168"/>
      <c r="AZ101" s="168"/>
      <c r="BA101" s="168"/>
      <c r="BB101" s="168"/>
      <c r="BC101" s="177"/>
      <c r="BD101" s="177"/>
      <c r="BE101" s="177"/>
      <c r="BF101" s="109">
        <v>21701</v>
      </c>
      <c r="BG101" s="109">
        <v>21739</v>
      </c>
      <c r="BH101" s="109">
        <v>21899</v>
      </c>
      <c r="BI101" s="109">
        <v>22149</v>
      </c>
      <c r="BJ101" s="109">
        <v>22294</v>
      </c>
      <c r="BK101" s="109">
        <v>22657</v>
      </c>
      <c r="BL101" s="109">
        <v>23708</v>
      </c>
      <c r="BM101" s="109">
        <v>24057</v>
      </c>
      <c r="BN101" s="109">
        <v>23740</v>
      </c>
      <c r="BO101" s="109">
        <v>24055</v>
      </c>
      <c r="BP101" s="109">
        <v>23968</v>
      </c>
      <c r="BQ101" s="109">
        <v>24348</v>
      </c>
      <c r="BR101" s="171">
        <v>24184</v>
      </c>
      <c r="BS101" s="109">
        <v>24821</v>
      </c>
      <c r="BT101" s="109">
        <v>24588</v>
      </c>
      <c r="BU101" s="109">
        <v>25053</v>
      </c>
      <c r="BV101" s="171">
        <v>24754</v>
      </c>
      <c r="BW101" s="109">
        <v>25353</v>
      </c>
      <c r="BX101" s="109">
        <v>25973</v>
      </c>
      <c r="BY101" s="109">
        <v>26754</v>
      </c>
      <c r="BZ101" s="171">
        <f t="shared" ref="BZ101:DA101" si="333">BZ60</f>
        <v>27378</v>
      </c>
      <c r="CA101" s="109">
        <f t="shared" si="333"/>
        <v>27745</v>
      </c>
      <c r="CB101" s="109">
        <f t="shared" si="333"/>
        <v>27523</v>
      </c>
      <c r="CC101" s="109">
        <f t="shared" si="333"/>
        <v>28337</v>
      </c>
      <c r="CD101" s="171">
        <f t="shared" si="333"/>
        <v>29237</v>
      </c>
      <c r="CE101" s="109">
        <f t="shared" si="333"/>
        <v>30201</v>
      </c>
      <c r="CF101" s="109">
        <f t="shared" si="333"/>
        <v>31234</v>
      </c>
      <c r="CG101" s="109">
        <f t="shared" si="333"/>
        <v>32288</v>
      </c>
      <c r="CH101" s="171">
        <f t="shared" si="333"/>
        <v>33399</v>
      </c>
      <c r="CI101" s="109">
        <f t="shared" si="333"/>
        <v>34633</v>
      </c>
      <c r="CJ101" s="109">
        <f t="shared" si="333"/>
        <v>35892</v>
      </c>
      <c r="CK101" s="109">
        <f t="shared" si="333"/>
        <v>37199</v>
      </c>
      <c r="CL101" s="171">
        <f t="shared" si="333"/>
        <v>38703</v>
      </c>
      <c r="CM101" s="109">
        <f t="shared" si="333"/>
        <v>40149</v>
      </c>
      <c r="CN101" s="109">
        <f t="shared" si="333"/>
        <v>41396</v>
      </c>
      <c r="CO101" s="109">
        <f t="shared" si="333"/>
        <v>42761</v>
      </c>
      <c r="CP101" s="171">
        <f t="shared" si="333"/>
        <v>44190</v>
      </c>
      <c r="CQ101" s="109">
        <f t="shared" si="333"/>
        <v>45219</v>
      </c>
      <c r="CR101" s="109">
        <f t="shared" si="333"/>
        <v>46707</v>
      </c>
      <c r="CS101" s="109">
        <f t="shared" si="333"/>
        <v>48343</v>
      </c>
      <c r="CT101" s="171">
        <f t="shared" si="333"/>
        <v>49876</v>
      </c>
      <c r="CU101" s="109">
        <f t="shared" si="333"/>
        <v>51364</v>
      </c>
      <c r="CV101" s="109">
        <f t="shared" si="333"/>
        <v>48464</v>
      </c>
      <c r="CW101" s="172">
        <f t="shared" si="333"/>
        <v>49938</v>
      </c>
      <c r="CX101" s="109">
        <f t="shared" si="333"/>
        <v>51750</v>
      </c>
      <c r="CY101" s="109">
        <f t="shared" si="333"/>
        <v>53278</v>
      </c>
      <c r="CZ101" s="109">
        <f t="shared" si="333"/>
        <v>54983</v>
      </c>
      <c r="DA101" s="109">
        <f t="shared" si="333"/>
        <v>52376</v>
      </c>
      <c r="DB101" s="171"/>
      <c r="DC101" s="109"/>
      <c r="DD101" s="109"/>
      <c r="DE101" s="109"/>
      <c r="DF101" s="171"/>
      <c r="DG101" s="1044"/>
      <c r="DH101" s="1044"/>
      <c r="DI101" s="172"/>
      <c r="DJ101" s="171"/>
      <c r="DK101" s="1044"/>
      <c r="DL101" s="1044"/>
      <c r="DM101" s="172"/>
      <c r="DN101" s="171"/>
      <c r="DO101" s="1044"/>
      <c r="DP101" s="1044"/>
      <c r="DQ101" s="172"/>
      <c r="DR101" s="1044"/>
      <c r="DS101" s="1044"/>
      <c r="DT101" s="1044"/>
      <c r="DU101" s="1044"/>
      <c r="DV101" s="1044"/>
      <c r="DW101" s="1044">
        <f t="shared" ref="DW101:DY101" si="334">DW60</f>
        <v>1485</v>
      </c>
      <c r="DX101" s="1044">
        <f t="shared" si="334"/>
        <v>1406</v>
      </c>
      <c r="DY101" s="172">
        <f t="shared" si="334"/>
        <v>1327</v>
      </c>
      <c r="DZ101" s="1044"/>
    </row>
    <row r="102" spans="1:130" hidden="1">
      <c r="A102" s="109" t="s">
        <v>1288</v>
      </c>
      <c r="B102" s="109"/>
      <c r="C102" s="109"/>
      <c r="D102" s="109"/>
      <c r="E102" s="109"/>
      <c r="F102" s="109"/>
      <c r="G102" s="109"/>
      <c r="H102" s="109"/>
      <c r="I102" s="109"/>
      <c r="J102" s="109"/>
      <c r="K102" s="109"/>
      <c r="L102" s="109"/>
      <c r="M102" s="109">
        <v>1124.0999999999999</v>
      </c>
      <c r="N102" s="109">
        <f>CC102</f>
        <v>1124.0999999999999</v>
      </c>
      <c r="O102" s="109">
        <f>CG102</f>
        <v>1124.0999999999999</v>
      </c>
      <c r="P102" s="109">
        <f>CK102</f>
        <v>1124.0999999999999</v>
      </c>
      <c r="Q102" s="109">
        <f>CO102</f>
        <v>11997.9</v>
      </c>
      <c r="R102" s="109">
        <f>+CS102</f>
        <v>7426.35</v>
      </c>
      <c r="S102" s="109">
        <f>+Wless!S656*0.45</f>
        <v>5207.4000000000005</v>
      </c>
      <c r="T102" s="109">
        <f>+Wless!T656*0.45</f>
        <v>4560.75</v>
      </c>
      <c r="U102" s="109">
        <f>+Wless!U656*0.45</f>
        <v>4560.75</v>
      </c>
      <c r="V102" s="109">
        <f>+Wless!V656*0.45</f>
        <v>4560.75</v>
      </c>
      <c r="W102" s="109">
        <f>+Wless!W656*0.45</f>
        <v>4560.75</v>
      </c>
      <c r="X102" s="109">
        <f>+Wless!X656*0.45</f>
        <v>4560.75</v>
      </c>
      <c r="Y102" s="109">
        <f>+Wless!Y656*0.45</f>
        <v>4560.75</v>
      </c>
      <c r="Z102" s="109">
        <f>+Wless!Z656*0.45</f>
        <v>4560.75</v>
      </c>
      <c r="AA102" s="109">
        <f>+Wless!AA656*0.45</f>
        <v>4560.75</v>
      </c>
      <c r="AB102" s="109">
        <f>+Wless!AB656*0.45</f>
        <v>4560.75</v>
      </c>
      <c r="AC102" s="109">
        <f>+Wless!AC656*0.45</f>
        <v>4560.75</v>
      </c>
      <c r="AD102" s="109">
        <f>+Wless!AD656*0.45</f>
        <v>4560.75</v>
      </c>
      <c r="AE102" s="109">
        <f>+Wless!AE656*0.45</f>
        <v>4560.75</v>
      </c>
      <c r="AF102" s="109">
        <f>+Wless!AF656*0.45</f>
        <v>4560.75</v>
      </c>
      <c r="AG102" s="109">
        <f>+Wless!AG656*0.45</f>
        <v>4560.75</v>
      </c>
      <c r="AH102" s="536"/>
      <c r="AI102" s="109"/>
      <c r="AJ102" s="109"/>
      <c r="AK102" s="109"/>
      <c r="AL102" s="109"/>
      <c r="AM102" s="109"/>
      <c r="AN102" s="276"/>
      <c r="AO102" s="276"/>
      <c r="AP102" s="109"/>
      <c r="AQ102" s="109"/>
      <c r="AR102" s="109"/>
      <c r="AS102" s="109"/>
      <c r="AT102" s="168"/>
      <c r="AU102" s="168"/>
      <c r="AV102" s="168"/>
      <c r="AW102" s="168"/>
      <c r="AX102" s="168"/>
      <c r="AY102" s="168"/>
      <c r="AZ102" s="168"/>
      <c r="BA102" s="168"/>
      <c r="BB102" s="168"/>
      <c r="BC102" s="177"/>
      <c r="BD102" s="177"/>
      <c r="BE102" s="177"/>
      <c r="BF102" s="109"/>
      <c r="BG102" s="109"/>
      <c r="BH102" s="109"/>
      <c r="BI102" s="109"/>
      <c r="BJ102" s="109"/>
      <c r="BK102" s="109"/>
      <c r="BL102" s="109"/>
      <c r="BM102" s="109"/>
      <c r="BN102" s="109"/>
      <c r="BO102" s="109"/>
      <c r="BP102" s="109"/>
      <c r="BQ102" s="109"/>
      <c r="BR102" s="171"/>
      <c r="BS102" s="109"/>
      <c r="BT102" s="109"/>
      <c r="BU102" s="109"/>
      <c r="BV102" s="171"/>
      <c r="BW102" s="109">
        <v>1124.0999999999999</v>
      </c>
      <c r="BX102" s="109">
        <v>1124.0999999999999</v>
      </c>
      <c r="BY102" s="109">
        <v>1124.0999999999999</v>
      </c>
      <c r="BZ102" s="171">
        <f t="shared" ref="BZ102:CK102" si="335">BY102</f>
        <v>1124.0999999999999</v>
      </c>
      <c r="CA102" s="109">
        <f t="shared" si="335"/>
        <v>1124.0999999999999</v>
      </c>
      <c r="CB102" s="109">
        <f t="shared" si="335"/>
        <v>1124.0999999999999</v>
      </c>
      <c r="CC102" s="109">
        <f t="shared" si="335"/>
        <v>1124.0999999999999</v>
      </c>
      <c r="CD102" s="171">
        <f t="shared" si="335"/>
        <v>1124.0999999999999</v>
      </c>
      <c r="CE102" s="109">
        <f t="shared" si="335"/>
        <v>1124.0999999999999</v>
      </c>
      <c r="CF102" s="109">
        <f t="shared" si="335"/>
        <v>1124.0999999999999</v>
      </c>
      <c r="CG102" s="109">
        <f t="shared" si="335"/>
        <v>1124.0999999999999</v>
      </c>
      <c r="CH102" s="171">
        <f t="shared" si="335"/>
        <v>1124.0999999999999</v>
      </c>
      <c r="CI102" s="109">
        <f t="shared" si="335"/>
        <v>1124.0999999999999</v>
      </c>
      <c r="CJ102" s="109">
        <f t="shared" si="335"/>
        <v>1124.0999999999999</v>
      </c>
      <c r="CK102" s="109">
        <f t="shared" si="335"/>
        <v>1124.0999999999999</v>
      </c>
      <c r="CL102" s="171">
        <f>+Wless!CL656*0.45</f>
        <v>15915.6</v>
      </c>
      <c r="CM102" s="109">
        <f>+Wless!CM656*0.45</f>
        <v>14647.050000000001</v>
      </c>
      <c r="CN102" s="109">
        <f>+Wless!CN656*0.45</f>
        <v>13244.85</v>
      </c>
      <c r="CO102" s="109">
        <f>+Wless!CO656*0.45</f>
        <v>11997.9</v>
      </c>
      <c r="CP102" s="171">
        <f>+Wless!CP656*0.45</f>
        <v>10488.15</v>
      </c>
      <c r="CQ102" s="109">
        <f>+Wless!CQ656*0.45</f>
        <v>7900.2</v>
      </c>
      <c r="CR102" s="109">
        <f>+Wless!CR656*0.45</f>
        <v>7441.6500000000005</v>
      </c>
      <c r="CS102" s="109">
        <f>+Wless!CS656*0.45</f>
        <v>7426.35</v>
      </c>
      <c r="CT102" s="171">
        <f>+Wless!CT656*0.45</f>
        <v>7426.35</v>
      </c>
      <c r="CU102" s="109">
        <f>+Wless!CU656*0.45</f>
        <v>5626.35</v>
      </c>
      <c r="CV102" s="109">
        <f>+Wless!CV656*0.45</f>
        <v>5626.35</v>
      </c>
      <c r="CW102" s="172">
        <f>+Wless!CW656*0.45</f>
        <v>5207.4000000000005</v>
      </c>
      <c r="CX102" s="109">
        <f>+Wless!CX656*0.45</f>
        <v>0</v>
      </c>
      <c r="CY102" s="109">
        <f>+Wless!CY656*0.45</f>
        <v>0</v>
      </c>
      <c r="CZ102" s="109">
        <f>+Wless!CZ656*0.45</f>
        <v>0</v>
      </c>
      <c r="DA102" s="109">
        <f>+Wless!DA656*0.45</f>
        <v>4560.75</v>
      </c>
      <c r="DB102" s="171"/>
      <c r="DC102" s="109"/>
      <c r="DD102" s="109"/>
      <c r="DE102" s="109"/>
      <c r="DF102" s="171"/>
      <c r="DG102" s="1044"/>
      <c r="DH102" s="1044"/>
      <c r="DI102" s="172"/>
      <c r="DJ102" s="171"/>
      <c r="DK102" s="1044"/>
      <c r="DL102" s="1044"/>
      <c r="DM102" s="172"/>
      <c r="DN102" s="171"/>
      <c r="DO102" s="1044"/>
      <c r="DP102" s="1044"/>
      <c r="DQ102" s="172"/>
      <c r="DR102" s="1044"/>
      <c r="DS102" s="1044"/>
      <c r="DT102" s="1044"/>
      <c r="DU102" s="1044"/>
      <c r="DV102" s="1044"/>
      <c r="DW102" s="1044">
        <f>+Wless!DW656*0.45</f>
        <v>2385</v>
      </c>
      <c r="DX102" s="1044">
        <f>+Wless!DX656*0.45</f>
        <v>2385</v>
      </c>
      <c r="DY102" s="172">
        <f>+Wless!DY656*0.45</f>
        <v>2385</v>
      </c>
      <c r="DZ102" s="1044"/>
    </row>
    <row r="103" spans="1:130" hidden="1">
      <c r="A103" s="109" t="s">
        <v>1289</v>
      </c>
      <c r="B103" s="109"/>
      <c r="C103" s="109"/>
      <c r="D103" s="109"/>
      <c r="E103" s="109"/>
      <c r="F103" s="109">
        <v>38520</v>
      </c>
      <c r="G103" s="109">
        <v>44414</v>
      </c>
      <c r="H103" s="109">
        <v>54959</v>
      </c>
      <c r="I103" s="109">
        <v>61356</v>
      </c>
      <c r="J103" s="109">
        <v>49806</v>
      </c>
      <c r="K103" s="109">
        <v>42539</v>
      </c>
      <c r="L103" s="109">
        <v>34720</v>
      </c>
      <c r="M103" s="109">
        <v>35736</v>
      </c>
      <c r="N103" s="109">
        <f t="shared" ref="N103:V103" si="336">N90</f>
        <v>33142</v>
      </c>
      <c r="O103" s="109">
        <f t="shared" si="336"/>
        <v>30004</v>
      </c>
      <c r="P103" s="109">
        <f t="shared" si="336"/>
        <v>42170</v>
      </c>
      <c r="Q103" s="109">
        <f t="shared" si="336"/>
        <v>60247</v>
      </c>
      <c r="R103" s="109">
        <f t="shared" si="336"/>
        <v>46126</v>
      </c>
      <c r="S103" s="109">
        <f t="shared" si="336"/>
        <v>41790</v>
      </c>
      <c r="T103" s="109">
        <f t="shared" si="336"/>
        <v>48894</v>
      </c>
      <c r="U103" s="109">
        <f t="shared" si="336"/>
        <v>40063</v>
      </c>
      <c r="V103" s="109">
        <f t="shared" si="336"/>
        <v>102673</v>
      </c>
      <c r="W103" s="109">
        <f t="shared" ref="W103:AB103" si="337">W90</f>
        <v>105724</v>
      </c>
      <c r="X103" s="109">
        <f t="shared" si="337"/>
        <v>105198</v>
      </c>
      <c r="Y103" s="109">
        <f t="shared" si="337"/>
        <v>115016</v>
      </c>
      <c r="Z103" s="109">
        <f t="shared" ca="1" si="337"/>
        <v>108341.58469589343</v>
      </c>
      <c r="AA103" s="109">
        <f t="shared" ca="1" si="337"/>
        <v>99478.181917144611</v>
      </c>
      <c r="AB103" s="109">
        <f t="shared" ca="1" si="337"/>
        <v>90190.040548902645</v>
      </c>
      <c r="AC103" s="109">
        <f t="shared" ref="AC103:AG103" ca="1" si="338">AC90</f>
        <v>79038.651810731855</v>
      </c>
      <c r="AD103" s="109">
        <f t="shared" ca="1" si="338"/>
        <v>67523.597730527545</v>
      </c>
      <c r="AE103" s="109">
        <f t="shared" ca="1" si="338"/>
        <v>55592.346826958485</v>
      </c>
      <c r="AF103" s="109">
        <f t="shared" ca="1" si="338"/>
        <v>43190.19842295644</v>
      </c>
      <c r="AG103" s="109">
        <f t="shared" ca="1" si="338"/>
        <v>31549.064879970465</v>
      </c>
      <c r="AH103" s="536"/>
      <c r="AI103" s="109"/>
      <c r="AJ103" s="109"/>
      <c r="AK103" s="109"/>
      <c r="AL103" s="109"/>
      <c r="AM103" s="109"/>
      <c r="AN103" s="276"/>
      <c r="AO103" s="276"/>
      <c r="AP103" s="109"/>
      <c r="AQ103" s="109"/>
      <c r="AR103" s="109"/>
      <c r="AS103" s="109"/>
      <c r="AT103" s="168"/>
      <c r="AU103" s="168"/>
      <c r="AV103" s="168"/>
      <c r="AW103" s="168"/>
      <c r="AX103" s="168"/>
      <c r="AY103" s="168"/>
      <c r="AZ103" s="168"/>
      <c r="BA103" s="168"/>
      <c r="BB103" s="168"/>
      <c r="BC103" s="177"/>
      <c r="BD103" s="177"/>
      <c r="BE103" s="177"/>
      <c r="BF103" s="109">
        <v>60124</v>
      </c>
      <c r="BG103" s="109">
        <v>61458</v>
      </c>
      <c r="BH103" s="109">
        <v>62277</v>
      </c>
      <c r="BI103" s="109">
        <v>61356</v>
      </c>
      <c r="BJ103" s="109">
        <v>59792</v>
      </c>
      <c r="BK103" s="109">
        <v>57099</v>
      </c>
      <c r="BL103" s="109">
        <v>50770</v>
      </c>
      <c r="BM103" s="109">
        <v>49806</v>
      </c>
      <c r="BN103" s="109">
        <v>47701</v>
      </c>
      <c r="BO103" s="109">
        <v>47244</v>
      </c>
      <c r="BP103" s="109">
        <v>44390</v>
      </c>
      <c r="BQ103" s="109">
        <v>42539</v>
      </c>
      <c r="BR103" s="171">
        <v>41986</v>
      </c>
      <c r="BS103" s="109">
        <v>39915</v>
      </c>
      <c r="BT103" s="109">
        <v>38921</v>
      </c>
      <c r="BU103" s="109">
        <v>34720</v>
      </c>
      <c r="BV103" s="171">
        <v>36476</v>
      </c>
      <c r="BW103" s="109">
        <v>38756</v>
      </c>
      <c r="BX103" s="109">
        <v>37615</v>
      </c>
      <c r="BY103" s="109">
        <v>35736</v>
      </c>
      <c r="BZ103" s="171">
        <f t="shared" ref="BZ103:DA103" si="339">BZ90</f>
        <v>41801</v>
      </c>
      <c r="CA103" s="109">
        <f t="shared" si="339"/>
        <v>41170</v>
      </c>
      <c r="CB103" s="109">
        <f t="shared" si="339"/>
        <v>39837</v>
      </c>
      <c r="CC103" s="109">
        <f t="shared" si="339"/>
        <v>33142</v>
      </c>
      <c r="CD103" s="171">
        <f t="shared" si="339"/>
        <v>33376</v>
      </c>
      <c r="CE103" s="109">
        <f t="shared" si="339"/>
        <v>31870</v>
      </c>
      <c r="CF103" s="109">
        <f t="shared" si="339"/>
        <v>30732</v>
      </c>
      <c r="CG103" s="109">
        <f t="shared" si="339"/>
        <v>30004</v>
      </c>
      <c r="CH103" s="171">
        <f t="shared" si="339"/>
        <v>30361</v>
      </c>
      <c r="CI103" s="109">
        <f t="shared" si="339"/>
        <v>42527</v>
      </c>
      <c r="CJ103" s="109">
        <f t="shared" si="339"/>
        <v>44079</v>
      </c>
      <c r="CK103" s="109">
        <f t="shared" si="339"/>
        <v>42170</v>
      </c>
      <c r="CL103" s="171">
        <f t="shared" si="339"/>
        <v>65154</v>
      </c>
      <c r="CM103" s="109">
        <f t="shared" si="339"/>
        <v>64089</v>
      </c>
      <c r="CN103" s="109">
        <f t="shared" si="339"/>
        <v>61601</v>
      </c>
      <c r="CO103" s="109">
        <f t="shared" si="339"/>
        <v>60247</v>
      </c>
      <c r="CP103" s="171">
        <f t="shared" si="339"/>
        <v>58516</v>
      </c>
      <c r="CQ103" s="109">
        <f t="shared" si="339"/>
        <v>52707</v>
      </c>
      <c r="CR103" s="109">
        <f t="shared" si="339"/>
        <v>47776</v>
      </c>
      <c r="CS103" s="109">
        <f t="shared" si="339"/>
        <v>46126</v>
      </c>
      <c r="CT103" s="171">
        <f t="shared" si="339"/>
        <v>47190</v>
      </c>
      <c r="CU103" s="109">
        <f t="shared" si="339"/>
        <v>47742</v>
      </c>
      <c r="CV103" s="109">
        <f t="shared" si="339"/>
        <v>44591</v>
      </c>
      <c r="CW103" s="172">
        <f t="shared" si="339"/>
        <v>41790</v>
      </c>
      <c r="CX103" s="109">
        <f t="shared" si="339"/>
        <v>45688</v>
      </c>
      <c r="CY103" s="109">
        <f t="shared" si="339"/>
        <v>42390</v>
      </c>
      <c r="CZ103" s="109">
        <f t="shared" si="339"/>
        <v>43088</v>
      </c>
      <c r="DA103" s="109">
        <f t="shared" si="339"/>
        <v>48894</v>
      </c>
      <c r="DB103" s="171"/>
      <c r="DC103" s="109"/>
      <c r="DD103" s="109"/>
      <c r="DE103" s="109"/>
      <c r="DF103" s="171"/>
      <c r="DG103" s="1044"/>
      <c r="DH103" s="1044"/>
      <c r="DI103" s="172"/>
      <c r="DJ103" s="171"/>
      <c r="DK103" s="1044"/>
      <c r="DL103" s="1044"/>
      <c r="DM103" s="172"/>
      <c r="DN103" s="171"/>
      <c r="DO103" s="1044"/>
      <c r="DP103" s="1044"/>
      <c r="DQ103" s="172"/>
      <c r="DR103" s="1044"/>
      <c r="DS103" s="1044"/>
      <c r="DT103" s="1044"/>
      <c r="DU103" s="1044"/>
      <c r="DV103" s="1044"/>
      <c r="DW103" s="1044">
        <f t="shared" ref="DW103:DY103" ca="1" si="340">DW90</f>
        <v>113985.38849437215</v>
      </c>
      <c r="DX103" s="1044">
        <f t="shared" ca="1" si="340"/>
        <v>111973.71144236116</v>
      </c>
      <c r="DY103" s="172">
        <f t="shared" ca="1" si="340"/>
        <v>108341.58469589343</v>
      </c>
      <c r="DZ103" s="1044"/>
    </row>
    <row r="104" spans="1:130" hidden="1">
      <c r="A104" s="109" t="s">
        <v>1290</v>
      </c>
      <c r="B104" s="109"/>
      <c r="C104" s="109"/>
      <c r="D104" s="109"/>
      <c r="E104" s="109"/>
      <c r="F104" s="109">
        <v>41010</v>
      </c>
      <c r="G104" s="109">
        <v>46314</v>
      </c>
      <c r="H104" s="109">
        <v>76789</v>
      </c>
      <c r="I104" s="109">
        <v>83505</v>
      </c>
      <c r="J104" s="109">
        <v>73863</v>
      </c>
      <c r="K104" s="109">
        <v>66887</v>
      </c>
      <c r="L104" s="109">
        <v>59773</v>
      </c>
      <c r="M104" s="109">
        <v>62490</v>
      </c>
      <c r="N104" s="109">
        <f t="shared" ref="N104:V104" si="341">N101+N103</f>
        <v>61479</v>
      </c>
      <c r="O104" s="109">
        <f t="shared" si="341"/>
        <v>62292</v>
      </c>
      <c r="P104" s="109">
        <f t="shared" si="341"/>
        <v>79369</v>
      </c>
      <c r="Q104" s="109">
        <f t="shared" si="341"/>
        <v>103008</v>
      </c>
      <c r="R104" s="109">
        <f t="shared" si="341"/>
        <v>94469</v>
      </c>
      <c r="S104" s="109">
        <f t="shared" si="341"/>
        <v>91728</v>
      </c>
      <c r="T104" s="109">
        <f t="shared" si="341"/>
        <v>101270</v>
      </c>
      <c r="U104" s="109">
        <f t="shared" si="341"/>
        <v>96643</v>
      </c>
      <c r="V104" s="109">
        <f t="shared" si="341"/>
        <v>104051</v>
      </c>
      <c r="W104" s="109">
        <f t="shared" ref="W104:AB104" si="342">W101+W103</f>
        <v>107138</v>
      </c>
      <c r="X104" s="109">
        <f t="shared" si="342"/>
        <v>106706</v>
      </c>
      <c r="Y104" s="109">
        <f t="shared" si="342"/>
        <v>116607</v>
      </c>
      <c r="Z104" s="109">
        <f t="shared" ca="1" si="342"/>
        <v>109668.58469589343</v>
      </c>
      <c r="AA104" s="109">
        <f t="shared" ca="1" si="342"/>
        <v>100489.18191714461</v>
      </c>
      <c r="AB104" s="109">
        <f t="shared" ca="1" si="342"/>
        <v>90885.040548902645</v>
      </c>
      <c r="AC104" s="109">
        <f t="shared" ref="AC104:AG104" ca="1" si="343">AC101+AC103</f>
        <v>79417.651810731855</v>
      </c>
      <c r="AD104" s="109">
        <f t="shared" ca="1" si="343"/>
        <v>67586.597730527545</v>
      </c>
      <c r="AE104" s="109">
        <f t="shared" ca="1" si="343"/>
        <v>55339.346826958485</v>
      </c>
      <c r="AF104" s="109">
        <f t="shared" ca="1" si="343"/>
        <v>42621.19842295644</v>
      </c>
      <c r="AG104" s="109">
        <f t="shared" ca="1" si="343"/>
        <v>30664.064879970465</v>
      </c>
      <c r="AH104" s="536"/>
      <c r="AI104" s="109"/>
      <c r="AJ104" s="109"/>
      <c r="AK104" s="109"/>
      <c r="AL104" s="109"/>
      <c r="AM104" s="109"/>
      <c r="AN104" s="276"/>
      <c r="AO104" s="276"/>
      <c r="AP104" s="109"/>
      <c r="AQ104" s="109"/>
      <c r="AR104" s="109"/>
      <c r="AS104" s="109"/>
      <c r="AT104" s="168"/>
      <c r="AU104" s="168"/>
      <c r="AV104" s="168"/>
      <c r="AW104" s="168"/>
      <c r="AX104" s="168"/>
      <c r="AY104" s="168"/>
      <c r="AZ104" s="168"/>
      <c r="BA104" s="168"/>
      <c r="BB104" s="168"/>
      <c r="BC104" s="177"/>
      <c r="BD104" s="177"/>
      <c r="BE104" s="177"/>
      <c r="BF104" s="109">
        <v>81825</v>
      </c>
      <c r="BG104" s="109">
        <v>83197</v>
      </c>
      <c r="BH104" s="109">
        <v>84176</v>
      </c>
      <c r="BI104" s="109">
        <v>83505</v>
      </c>
      <c r="BJ104" s="109">
        <v>82086</v>
      </c>
      <c r="BK104" s="109">
        <v>79756</v>
      </c>
      <c r="BL104" s="109">
        <v>74478</v>
      </c>
      <c r="BM104" s="109">
        <v>73863</v>
      </c>
      <c r="BN104" s="109">
        <v>71441</v>
      </c>
      <c r="BO104" s="109">
        <v>71299</v>
      </c>
      <c r="BP104" s="109">
        <v>68358</v>
      </c>
      <c r="BQ104" s="109">
        <v>66887</v>
      </c>
      <c r="BR104" s="171">
        <v>66170</v>
      </c>
      <c r="BS104" s="109">
        <v>64736</v>
      </c>
      <c r="BT104" s="109">
        <v>63509</v>
      </c>
      <c r="BU104" s="109">
        <v>59773</v>
      </c>
      <c r="BV104" s="171">
        <v>61230</v>
      </c>
      <c r="BW104" s="109">
        <v>64109</v>
      </c>
      <c r="BX104" s="109">
        <v>63588</v>
      </c>
      <c r="BY104" s="109">
        <v>62490</v>
      </c>
      <c r="BZ104" s="171">
        <f t="shared" ref="BZ104:DA104" si="344">BZ101+BZ103</f>
        <v>69179</v>
      </c>
      <c r="CA104" s="109">
        <f t="shared" si="344"/>
        <v>68915</v>
      </c>
      <c r="CB104" s="109">
        <f t="shared" si="344"/>
        <v>67360</v>
      </c>
      <c r="CC104" s="109">
        <f t="shared" si="344"/>
        <v>61479</v>
      </c>
      <c r="CD104" s="171">
        <f t="shared" si="344"/>
        <v>62613</v>
      </c>
      <c r="CE104" s="109">
        <f t="shared" si="344"/>
        <v>62071</v>
      </c>
      <c r="CF104" s="109">
        <f t="shared" si="344"/>
        <v>61966</v>
      </c>
      <c r="CG104" s="109">
        <f t="shared" si="344"/>
        <v>62292</v>
      </c>
      <c r="CH104" s="171">
        <f t="shared" si="344"/>
        <v>63760</v>
      </c>
      <c r="CI104" s="109">
        <f t="shared" si="344"/>
        <v>77160</v>
      </c>
      <c r="CJ104" s="109">
        <f t="shared" si="344"/>
        <v>79971</v>
      </c>
      <c r="CK104" s="109">
        <f t="shared" si="344"/>
        <v>79369</v>
      </c>
      <c r="CL104" s="171">
        <f t="shared" si="344"/>
        <v>103857</v>
      </c>
      <c r="CM104" s="109">
        <f t="shared" si="344"/>
        <v>104238</v>
      </c>
      <c r="CN104" s="109">
        <f t="shared" si="344"/>
        <v>102997</v>
      </c>
      <c r="CO104" s="109">
        <f t="shared" si="344"/>
        <v>103008</v>
      </c>
      <c r="CP104" s="171">
        <f t="shared" si="344"/>
        <v>102706</v>
      </c>
      <c r="CQ104" s="109">
        <f t="shared" si="344"/>
        <v>97926</v>
      </c>
      <c r="CR104" s="109">
        <f t="shared" si="344"/>
        <v>94483</v>
      </c>
      <c r="CS104" s="109">
        <f t="shared" si="344"/>
        <v>94469</v>
      </c>
      <c r="CT104" s="171">
        <f t="shared" si="344"/>
        <v>97066</v>
      </c>
      <c r="CU104" s="109">
        <f t="shared" si="344"/>
        <v>99106</v>
      </c>
      <c r="CV104" s="109">
        <f t="shared" si="344"/>
        <v>93055</v>
      </c>
      <c r="CW104" s="172">
        <f t="shared" si="344"/>
        <v>91728</v>
      </c>
      <c r="CX104" s="109">
        <f t="shared" si="344"/>
        <v>97438</v>
      </c>
      <c r="CY104" s="109">
        <f t="shared" si="344"/>
        <v>95668</v>
      </c>
      <c r="CZ104" s="109">
        <f t="shared" si="344"/>
        <v>98071</v>
      </c>
      <c r="DA104" s="109">
        <f t="shared" si="344"/>
        <v>101270</v>
      </c>
      <c r="DB104" s="171"/>
      <c r="DC104" s="109"/>
      <c r="DD104" s="109"/>
      <c r="DE104" s="109"/>
      <c r="DF104" s="171"/>
      <c r="DG104" s="1044"/>
      <c r="DH104" s="1044"/>
      <c r="DI104" s="172"/>
      <c r="DJ104" s="171"/>
      <c r="DK104" s="1044"/>
      <c r="DL104" s="1044"/>
      <c r="DM104" s="172"/>
      <c r="DN104" s="171"/>
      <c r="DO104" s="1044"/>
      <c r="DP104" s="1044"/>
      <c r="DQ104" s="172"/>
      <c r="DR104" s="1044"/>
      <c r="DS104" s="1044"/>
      <c r="DT104" s="1044"/>
      <c r="DU104" s="1044"/>
      <c r="DV104" s="1044"/>
      <c r="DW104" s="1044">
        <f t="shared" ref="DW104:DY104" ca="1" si="345">DW101+DW103</f>
        <v>115470.38849437215</v>
      </c>
      <c r="DX104" s="1044">
        <f t="shared" ca="1" si="345"/>
        <v>113379.71144236116</v>
      </c>
      <c r="DY104" s="172">
        <f t="shared" ca="1" si="345"/>
        <v>109668.58469589343</v>
      </c>
      <c r="DZ104" s="1044"/>
    </row>
    <row r="105" spans="1:130" hidden="1">
      <c r="A105" s="87"/>
      <c r="B105" s="87"/>
      <c r="C105" s="87"/>
      <c r="D105" s="247"/>
      <c r="E105" s="247"/>
      <c r="F105" s="247"/>
      <c r="G105" s="247"/>
      <c r="H105" s="247"/>
      <c r="I105" s="247"/>
      <c r="J105" s="247"/>
      <c r="K105" s="247"/>
      <c r="L105" s="247"/>
      <c r="M105" s="247"/>
      <c r="N105" s="247"/>
      <c r="O105" s="247"/>
      <c r="P105" s="247"/>
      <c r="Q105" s="247"/>
      <c r="R105" s="247"/>
      <c r="S105" s="247"/>
      <c r="T105" s="247"/>
      <c r="U105" s="247"/>
      <c r="V105" s="247"/>
      <c r="W105" s="247"/>
      <c r="X105" s="247"/>
      <c r="Y105" s="247"/>
      <c r="Z105" s="247"/>
      <c r="AA105" s="247"/>
      <c r="AB105" s="247"/>
      <c r="AC105" s="247"/>
      <c r="AD105" s="247"/>
      <c r="AE105" s="247"/>
      <c r="AF105" s="247"/>
      <c r="AG105" s="247"/>
      <c r="AH105" s="678"/>
      <c r="AI105" s="87"/>
      <c r="AJ105" s="87"/>
      <c r="AK105" s="87"/>
      <c r="AL105" s="247"/>
      <c r="AM105" s="247"/>
      <c r="AN105" s="123"/>
      <c r="AO105" s="123"/>
      <c r="AP105" s="247"/>
      <c r="AQ105" s="247"/>
      <c r="AR105" s="247"/>
      <c r="AS105" s="24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8"/>
      <c r="BS105" s="87"/>
      <c r="BT105" s="87"/>
      <c r="BU105" s="87"/>
      <c r="BV105" s="88"/>
      <c r="BW105" s="87"/>
      <c r="BX105" s="87"/>
      <c r="BY105" s="87"/>
      <c r="BZ105" s="88"/>
      <c r="CA105" s="87"/>
      <c r="CB105" s="87"/>
      <c r="CC105" s="87"/>
      <c r="CD105" s="88"/>
      <c r="CE105" s="87"/>
      <c r="CF105" s="87"/>
      <c r="CG105" s="87"/>
      <c r="CH105" s="88"/>
      <c r="CI105" s="87"/>
      <c r="CJ105" s="87"/>
      <c r="CK105" s="87"/>
      <c r="CL105" s="88"/>
      <c r="CM105" s="87"/>
      <c r="CN105" s="87"/>
      <c r="CO105" s="87"/>
      <c r="CP105" s="88"/>
      <c r="CQ105" s="87"/>
      <c r="CR105" s="87"/>
      <c r="CS105" s="87"/>
      <c r="CT105" s="88"/>
      <c r="CU105" s="87"/>
      <c r="CV105" s="87"/>
      <c r="CW105" s="144"/>
      <c r="CX105" s="87"/>
      <c r="CY105" s="87"/>
      <c r="CZ105" s="87"/>
      <c r="DA105" s="87"/>
      <c r="DB105" s="88"/>
      <c r="DC105" s="87"/>
      <c r="DD105" s="87"/>
      <c r="DE105" s="87"/>
      <c r="DF105" s="88"/>
      <c r="DG105" s="1041"/>
      <c r="DH105" s="1041"/>
      <c r="DI105" s="144"/>
      <c r="DJ105" s="88"/>
      <c r="DK105" s="1041"/>
      <c r="DL105" s="1041"/>
      <c r="DM105" s="144"/>
      <c r="DN105" s="88"/>
      <c r="DO105" s="1041"/>
      <c r="DP105" s="1041"/>
      <c r="DQ105" s="144"/>
      <c r="DR105" s="1041"/>
      <c r="DS105" s="1041"/>
      <c r="DT105" s="1041"/>
      <c r="DU105" s="1041"/>
      <c r="DV105" s="1041"/>
      <c r="DW105" s="1041"/>
      <c r="DX105" s="1041"/>
      <c r="DY105" s="144"/>
      <c r="DZ105" s="1041"/>
    </row>
    <row r="106" spans="1:130">
      <c r="A106" s="214" t="s">
        <v>1556</v>
      </c>
      <c r="B106" s="98"/>
      <c r="C106" s="98"/>
      <c r="D106" s="302"/>
      <c r="E106" s="302"/>
      <c r="F106" s="302"/>
      <c r="G106" s="302"/>
      <c r="H106" s="302"/>
      <c r="I106" s="302"/>
      <c r="J106" s="302"/>
      <c r="K106" s="302"/>
      <c r="L106" s="302"/>
      <c r="M106" s="302"/>
      <c r="N106" s="302"/>
      <c r="O106" s="302"/>
      <c r="P106" s="302"/>
      <c r="Q106" s="302"/>
      <c r="R106" s="302"/>
      <c r="S106" s="302"/>
      <c r="T106" s="302"/>
      <c r="U106" s="302"/>
      <c r="V106" s="302"/>
      <c r="W106" s="302"/>
      <c r="X106" s="302"/>
      <c r="Y106" s="302"/>
      <c r="Z106" s="302"/>
      <c r="AA106" s="302"/>
      <c r="AB106" s="302"/>
      <c r="AC106" s="302"/>
      <c r="AD106" s="302"/>
      <c r="AE106" s="302"/>
      <c r="AF106" s="302"/>
      <c r="AG106" s="302"/>
      <c r="AH106" s="1414"/>
      <c r="AI106" s="98"/>
      <c r="AJ106" s="98"/>
      <c r="AK106" s="98"/>
      <c r="AL106" s="302"/>
      <c r="AM106" s="302"/>
      <c r="AN106" s="123"/>
      <c r="AO106" s="123"/>
      <c r="AP106" s="302"/>
      <c r="AQ106" s="302"/>
      <c r="AR106" s="302"/>
      <c r="AS106" s="302"/>
      <c r="AT106" s="98"/>
      <c r="AU106" s="98"/>
      <c r="AV106" s="98"/>
      <c r="AW106" s="98"/>
      <c r="AX106" s="98"/>
      <c r="AY106" s="98"/>
      <c r="AZ106" s="98"/>
      <c r="BA106" s="98"/>
      <c r="BB106" s="98"/>
      <c r="BC106" s="98"/>
      <c r="BD106" s="98"/>
      <c r="BE106" s="98"/>
      <c r="BF106" s="98"/>
      <c r="BG106" s="98"/>
      <c r="BH106" s="98"/>
      <c r="BI106" s="98"/>
      <c r="BJ106" s="98"/>
      <c r="BK106" s="98"/>
      <c r="BL106" s="98"/>
      <c r="BM106" s="98"/>
      <c r="BN106" s="98"/>
      <c r="BO106" s="98"/>
      <c r="BP106" s="98"/>
      <c r="BQ106" s="98"/>
      <c r="BR106" s="303"/>
      <c r="BS106" s="98"/>
      <c r="BT106" s="98"/>
      <c r="BU106" s="98"/>
      <c r="BV106" s="303"/>
      <c r="BW106" s="98"/>
      <c r="BX106" s="98"/>
      <c r="BY106" s="98"/>
      <c r="BZ106" s="303"/>
      <c r="CA106" s="98"/>
      <c r="CB106" s="98"/>
      <c r="CC106" s="98"/>
      <c r="CD106" s="303"/>
      <c r="CE106" s="98"/>
      <c r="CF106" s="98"/>
      <c r="CG106" s="98"/>
      <c r="CH106" s="303"/>
      <c r="CI106" s="98"/>
      <c r="CJ106" s="98"/>
      <c r="CK106" s="98"/>
      <c r="CL106" s="303"/>
      <c r="CM106" s="98"/>
      <c r="CN106" s="98"/>
      <c r="CO106" s="98"/>
      <c r="CP106" s="303"/>
      <c r="CQ106" s="98"/>
      <c r="CR106" s="98"/>
      <c r="CS106" s="98"/>
      <c r="CT106" s="303"/>
      <c r="CU106" s="98"/>
      <c r="CV106" s="98"/>
      <c r="CW106" s="104"/>
      <c r="CX106" s="98"/>
      <c r="CY106" s="98"/>
      <c r="CZ106" s="98"/>
      <c r="DA106" s="98"/>
      <c r="DB106" s="211"/>
      <c r="DC106" s="212"/>
      <c r="DD106" s="212"/>
      <c r="DE106" s="212"/>
      <c r="DF106" s="211"/>
      <c r="DG106" s="212"/>
      <c r="DH106" s="212"/>
      <c r="DI106" s="213"/>
      <c r="DJ106" s="211"/>
      <c r="DK106" s="212"/>
      <c r="DL106" s="212"/>
      <c r="DM106" s="213"/>
      <c r="DN106" s="211"/>
      <c r="DO106" s="212"/>
      <c r="DP106" s="212"/>
      <c r="DQ106" s="213"/>
      <c r="DR106" s="212"/>
      <c r="DS106" s="212"/>
      <c r="DT106" s="212"/>
      <c r="DU106" s="212"/>
      <c r="DV106" s="212"/>
      <c r="DW106" s="98"/>
      <c r="DX106" s="98"/>
      <c r="DY106" s="104"/>
      <c r="DZ106" s="1041"/>
    </row>
    <row r="107" spans="1:130">
      <c r="A107" s="91"/>
      <c r="B107" s="87"/>
      <c r="C107" s="87"/>
      <c r="D107" s="270"/>
      <c r="E107" s="270"/>
      <c r="F107" s="270"/>
      <c r="G107" s="270"/>
      <c r="H107" s="270"/>
      <c r="I107" s="270"/>
      <c r="J107" s="270"/>
      <c r="K107" s="270"/>
      <c r="L107" s="270"/>
      <c r="M107" s="270"/>
      <c r="N107" s="270"/>
      <c r="O107" s="270"/>
      <c r="P107" s="270"/>
      <c r="Q107" s="270"/>
      <c r="R107" s="270"/>
      <c r="S107" s="270"/>
      <c r="T107" s="270"/>
      <c r="U107" s="270"/>
      <c r="V107" s="270"/>
      <c r="W107" s="270"/>
      <c r="X107" s="270"/>
      <c r="Y107" s="270"/>
      <c r="Z107" s="270"/>
      <c r="AA107" s="270"/>
      <c r="AB107" s="270"/>
      <c r="AC107" s="270"/>
      <c r="AD107" s="270"/>
      <c r="AE107" s="270"/>
      <c r="AF107" s="270"/>
      <c r="AG107" s="270"/>
      <c r="AH107" s="678"/>
      <c r="AI107" s="87"/>
      <c r="AJ107" s="87"/>
      <c r="AK107" s="87"/>
      <c r="AL107" s="270"/>
      <c r="AM107" s="270"/>
      <c r="AN107" s="123"/>
      <c r="AO107" s="123"/>
      <c r="AP107" s="270"/>
      <c r="AQ107" s="270"/>
      <c r="AR107" s="270"/>
      <c r="AS107" s="270"/>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8"/>
      <c r="BS107" s="87"/>
      <c r="BT107" s="87"/>
      <c r="BU107" s="87"/>
      <c r="BV107" s="88"/>
      <c r="BW107" s="87"/>
      <c r="BX107" s="87"/>
      <c r="BY107" s="87"/>
      <c r="BZ107" s="88"/>
      <c r="CA107" s="87"/>
      <c r="CB107" s="87"/>
      <c r="CC107" s="87"/>
      <c r="CD107" s="88"/>
      <c r="CE107" s="87"/>
      <c r="CF107" s="87"/>
      <c r="CG107" s="87"/>
      <c r="CH107" s="88"/>
      <c r="CI107" s="87"/>
      <c r="CJ107" s="87"/>
      <c r="CK107" s="87"/>
      <c r="CL107" s="88"/>
      <c r="CM107" s="87"/>
      <c r="CN107" s="87"/>
      <c r="CO107" s="87"/>
      <c r="CP107" s="88"/>
      <c r="CQ107" s="87"/>
      <c r="CR107" s="87"/>
      <c r="CS107" s="87"/>
      <c r="CT107" s="88"/>
      <c r="CU107" s="87"/>
      <c r="CV107" s="87"/>
      <c r="CW107" s="144"/>
      <c r="CX107" s="87"/>
      <c r="CY107" s="87"/>
      <c r="CZ107" s="87"/>
      <c r="DA107" s="87"/>
      <c r="DB107" s="88"/>
      <c r="DC107" s="87"/>
      <c r="DD107" s="87"/>
      <c r="DE107" s="87"/>
      <c r="DF107" s="88"/>
      <c r="DG107" s="1041"/>
      <c r="DH107" s="1041"/>
      <c r="DI107" s="144"/>
      <c r="DJ107" s="88"/>
      <c r="DK107" s="1041"/>
      <c r="DL107" s="1041"/>
      <c r="DM107" s="144"/>
      <c r="DN107" s="88"/>
      <c r="DO107" s="1041"/>
      <c r="DP107" s="1041"/>
      <c r="DQ107" s="144"/>
      <c r="DR107" s="1041"/>
      <c r="DS107" s="1041"/>
      <c r="DT107" s="1041"/>
      <c r="DU107" s="1041"/>
      <c r="DV107" s="1041"/>
      <c r="DW107" s="1041"/>
      <c r="DX107" s="1041"/>
      <c r="DY107" s="144"/>
      <c r="DZ107" s="1041"/>
    </row>
    <row r="108" spans="1:130">
      <c r="A108" s="195" t="s">
        <v>1291</v>
      </c>
      <c r="B108" s="94"/>
      <c r="C108" s="94"/>
      <c r="D108" s="94"/>
      <c r="E108" s="94"/>
      <c r="F108" s="94">
        <v>0.13047155139888775</v>
      </c>
      <c r="G108" s="94">
        <v>0.12692008969667909</v>
      </c>
      <c r="H108" s="94">
        <v>8.6944825000806233E-2</v>
      </c>
      <c r="I108" s="94">
        <v>8.445107965421951E-2</v>
      </c>
      <c r="J108" s="94">
        <v>9.3416624369754009E-2</v>
      </c>
      <c r="K108" s="94">
        <v>8.4916301547010561E-2</v>
      </c>
      <c r="L108" s="94">
        <v>8.6858745924728045E-2</v>
      </c>
      <c r="M108" s="94">
        <v>8.4126628525243066E-2</v>
      </c>
      <c r="N108" s="94">
        <f t="shared" ref="N108:V108" si="346">+((N109*(1-N110))/(N111+N112+N113))</f>
        <v>7.6396673856241215E-2</v>
      </c>
      <c r="O108" s="94">
        <f t="shared" si="346"/>
        <v>8.1084693273882624E-2</v>
      </c>
      <c r="P108" s="94">
        <f t="shared" si="346"/>
        <v>8.2223677585504626E-2</v>
      </c>
      <c r="Q108" s="94">
        <f t="shared" si="346"/>
        <v>6.8321503956604412E-2</v>
      </c>
      <c r="R108" s="94">
        <f t="shared" si="346"/>
        <v>7.7181752180412025E-2</v>
      </c>
      <c r="S108" s="94">
        <f t="shared" si="346"/>
        <v>7.7860495907823041E-2</v>
      </c>
      <c r="T108" s="94">
        <f t="shared" si="346"/>
        <v>8.1863162730460584E-2</v>
      </c>
      <c r="U108" s="94">
        <f t="shared" si="346"/>
        <v>9.864926875192602E-2</v>
      </c>
      <c r="V108" s="94">
        <f t="shared" si="346"/>
        <v>0.10347795011416147</v>
      </c>
      <c r="W108" s="94">
        <f t="shared" ref="W108:AB108" si="347">+((W109*(1-W110))/(W111+W112+W113))</f>
        <v>9.5136103333519462E-2</v>
      </c>
      <c r="X108" s="94">
        <f t="shared" si="347"/>
        <v>9.5369886818968283E-2</v>
      </c>
      <c r="Y108" s="94">
        <f t="shared" si="347"/>
        <v>9.929365075047715E-2</v>
      </c>
      <c r="Z108" s="94">
        <f t="shared" ca="1" si="347"/>
        <v>0.10807838263797845</v>
      </c>
      <c r="AA108" s="94">
        <f t="shared" ca="1" si="347"/>
        <v>0.11089121079155338</v>
      </c>
      <c r="AB108" s="94">
        <f t="shared" ca="1" si="347"/>
        <v>0.11368709280470449</v>
      </c>
      <c r="AC108" s="94">
        <f t="shared" ref="AC108:AG108" ca="1" si="348">+((AC109*(1-AC110))/(AC111+AC112+AC113))</f>
        <v>0.11659983864772938</v>
      </c>
      <c r="AD108" s="94">
        <f t="shared" ca="1" si="348"/>
        <v>0.11957764372100554</v>
      </c>
      <c r="AE108" s="94">
        <f t="shared" ca="1" si="348"/>
        <v>0.12260574385053803</v>
      </c>
      <c r="AF108" s="94">
        <f t="shared" ca="1" si="348"/>
        <v>0.12568497385423233</v>
      </c>
      <c r="AG108" s="94">
        <f t="shared" ca="1" si="348"/>
        <v>0.12799144767089565</v>
      </c>
      <c r="AH108" s="138"/>
      <c r="AI108" s="94"/>
      <c r="AJ108" s="94"/>
      <c r="AK108" s="94"/>
      <c r="AL108" s="94"/>
      <c r="AM108" s="94"/>
      <c r="AN108" s="240"/>
      <c r="AO108" s="240"/>
      <c r="AP108" s="94"/>
      <c r="AQ108" s="94"/>
      <c r="AR108" s="94"/>
      <c r="AS108" s="94"/>
      <c r="AT108" s="94"/>
      <c r="AU108" s="94"/>
      <c r="AV108" s="94"/>
      <c r="AW108" s="94"/>
      <c r="AX108" s="94"/>
      <c r="AY108" s="94"/>
      <c r="AZ108" s="94"/>
      <c r="BA108" s="94"/>
      <c r="BB108" s="94"/>
      <c r="BC108" s="94">
        <v>2.1919628728968851E-2</v>
      </c>
      <c r="BD108" s="94">
        <v>2.2851679424492431E-2</v>
      </c>
      <c r="BE108" s="94">
        <v>2.325188848634234E-2</v>
      </c>
      <c r="BF108" s="94">
        <v>2.1248381166835261E-2</v>
      </c>
      <c r="BG108" s="94">
        <v>2.2189894442000972E-2</v>
      </c>
      <c r="BH108" s="94">
        <v>2.1835023910381033E-2</v>
      </c>
      <c r="BI108" s="94">
        <v>2.0064033082905663E-2</v>
      </c>
      <c r="BJ108" s="94">
        <v>8.4683214490897399E-2</v>
      </c>
      <c r="BK108" s="94">
        <v>9.2035583216570335E-2</v>
      </c>
      <c r="BL108" s="94">
        <v>9.7444346432625631E-2</v>
      </c>
      <c r="BM108" s="94">
        <v>0.10092751044391711</v>
      </c>
      <c r="BN108" s="94">
        <v>8.8241378578858179E-2</v>
      </c>
      <c r="BO108" s="94">
        <v>8.8289474775472485E-2</v>
      </c>
      <c r="BP108" s="94">
        <v>7.9763969283510691E-2</v>
      </c>
      <c r="BQ108" s="94">
        <v>8.013625536442312E-2</v>
      </c>
      <c r="BR108" s="147">
        <v>8.1552924875671964E-2</v>
      </c>
      <c r="BS108" s="94">
        <v>9.0336297774899585E-2</v>
      </c>
      <c r="BT108" s="94">
        <v>9.1930673039813754E-2</v>
      </c>
      <c r="BU108" s="94">
        <v>8.5819255039434217E-2</v>
      </c>
      <c r="BV108" s="147">
        <v>8.2451706326011301E-2</v>
      </c>
      <c r="BW108" s="94">
        <v>8.4426924744802456E-2</v>
      </c>
      <c r="BX108" s="94">
        <v>8.6547208577657339E-2</v>
      </c>
      <c r="BY108" s="94">
        <v>8.93409333069905E-2</v>
      </c>
      <c r="BZ108" s="147">
        <f t="shared" ref="BZ108:DE108" si="349">+((4*BZ109*(1-BZ110))/(BZ111+BZ112+BZ113))</f>
        <v>7.7734413646643491E-2</v>
      </c>
      <c r="CA108" s="94">
        <f t="shared" si="349"/>
        <v>7.7290836471973434E-2</v>
      </c>
      <c r="CB108" s="94">
        <f t="shared" si="349"/>
        <v>7.8438072715984075E-2</v>
      </c>
      <c r="CC108" s="94">
        <f t="shared" si="349"/>
        <v>7.6125838962885717E-2</v>
      </c>
      <c r="CD108" s="147">
        <f t="shared" si="349"/>
        <v>7.5687170525021316E-2</v>
      </c>
      <c r="CE108" s="94">
        <f t="shared" si="349"/>
        <v>8.1550546791424705E-2</v>
      </c>
      <c r="CF108" s="94">
        <f t="shared" si="349"/>
        <v>8.638923136852876E-2</v>
      </c>
      <c r="CG108" s="94">
        <f t="shared" si="349"/>
        <v>8.4915112728845207E-2</v>
      </c>
      <c r="CH108" s="147">
        <f t="shared" si="349"/>
        <v>8.6373846845103672E-2</v>
      </c>
      <c r="CI108" s="94">
        <f t="shared" si="349"/>
        <v>8.4826229977140941E-2</v>
      </c>
      <c r="CJ108" s="94">
        <f t="shared" si="349"/>
        <v>8.1585975280625611E-2</v>
      </c>
      <c r="CK108" s="94">
        <f t="shared" si="349"/>
        <v>8.4848065333465672E-2</v>
      </c>
      <c r="CL108" s="147">
        <f t="shared" si="349"/>
        <v>6.7026037534596156E-2</v>
      </c>
      <c r="CM108" s="94">
        <f t="shared" si="349"/>
        <v>7.0174263370732445E-2</v>
      </c>
      <c r="CN108" s="94">
        <f t="shared" si="349"/>
        <v>7.0257456811545604E-2</v>
      </c>
      <c r="CO108" s="94">
        <f t="shared" si="349"/>
        <v>6.8046081641911643E-2</v>
      </c>
      <c r="CP108" s="147">
        <f t="shared" si="349"/>
        <v>6.9274891586292742E-2</v>
      </c>
      <c r="CQ108" s="94">
        <f t="shared" si="349"/>
        <v>7.4996743354518114E-2</v>
      </c>
      <c r="CR108" s="94">
        <f t="shared" si="349"/>
        <v>7.9545765521062781E-2</v>
      </c>
      <c r="CS108" s="94">
        <f t="shared" si="349"/>
        <v>7.9203124804378452E-2</v>
      </c>
      <c r="CT108" s="147">
        <f t="shared" si="349"/>
        <v>7.3504740365548979E-2</v>
      </c>
      <c r="CU108" s="94">
        <f t="shared" si="349"/>
        <v>7.8506514658591361E-2</v>
      </c>
      <c r="CV108" s="94">
        <f t="shared" si="349"/>
        <v>8.1654177004988712E-2</v>
      </c>
      <c r="CW108" s="101">
        <f t="shared" si="349"/>
        <v>7.5220253996895831E-2</v>
      </c>
      <c r="CX108" s="94">
        <f t="shared" si="349"/>
        <v>8.247715111445425E-2</v>
      </c>
      <c r="CY108" s="94">
        <f t="shared" si="349"/>
        <v>8.8861295010529043E-2</v>
      </c>
      <c r="CZ108" s="94">
        <f t="shared" si="349"/>
        <v>9.1734301772270516E-2</v>
      </c>
      <c r="DA108" s="94">
        <f t="shared" si="349"/>
        <v>6.8995201447231785E-2</v>
      </c>
      <c r="DB108" s="147">
        <f t="shared" si="349"/>
        <v>9.4857429136349508E-2</v>
      </c>
      <c r="DC108" s="94">
        <f t="shared" si="349"/>
        <v>9.7074570791423703E-2</v>
      </c>
      <c r="DD108" s="94">
        <f t="shared" si="349"/>
        <v>0.10660345488189372</v>
      </c>
      <c r="DE108" s="94">
        <f t="shared" si="349"/>
        <v>9.2065625382203489E-2</v>
      </c>
      <c r="DF108" s="147">
        <f>+((4*DF109*(1-DF110))/(DF111+DF112+DF113))</f>
        <v>0.12699730995352065</v>
      </c>
      <c r="DG108" s="1045">
        <f>+((4*DG109*(1-DG110))/(DG111+DG112+DG113))</f>
        <v>0.1031722645685083</v>
      </c>
      <c r="DH108" s="1045">
        <f>+((4*DH109*(1-DH110))/(DH111+DH112+DH113))</f>
        <v>0.10317471600847299</v>
      </c>
      <c r="DI108" s="101">
        <f>+((4*DI109*(1-DI110))/(DI111+DI112+DI113))</f>
        <v>8.6259603151721514E-2</v>
      </c>
      <c r="DJ108" s="147">
        <f t="shared" ref="DJ108:DM108" si="350">+((4*DJ109*(1-DJ110))/(DJ111+DJ112+DJ113))</f>
        <v>9.9888045392854424E-2</v>
      </c>
      <c r="DK108" s="1045">
        <f t="shared" si="350"/>
        <v>9.7674997108205361E-2</v>
      </c>
      <c r="DL108" s="1045">
        <f t="shared" si="350"/>
        <v>9.8483271207195799E-2</v>
      </c>
      <c r="DM108" s="101">
        <f t="shared" si="350"/>
        <v>8.4869802505717726E-2</v>
      </c>
      <c r="DN108" s="147">
        <f t="shared" ref="DN108:DO108" si="351">+((4*DN109*(1-DN110))/(DN111+DN112+DN113))</f>
        <v>9.9885425948913947E-2</v>
      </c>
      <c r="DO108" s="1045">
        <f t="shared" si="351"/>
        <v>0.10083473953495962</v>
      </c>
      <c r="DP108" s="1045">
        <f t="shared" ref="DP108:DQ108" si="352">+((4*DP109*(1-DP110))/(DP111+DP112+DP113))</f>
        <v>0.10356052598712234</v>
      </c>
      <c r="DQ108" s="101">
        <f t="shared" si="352"/>
        <v>8.9791190153714076E-2</v>
      </c>
      <c r="DR108" s="1045">
        <f t="shared" ref="DR108:DS108" si="353">+((4*DR109*(1-DR110))/(DR111+DR112+DR113))</f>
        <v>0.10926131556017746</v>
      </c>
      <c r="DS108" s="1045">
        <f t="shared" si="353"/>
        <v>9.6216821609087705E-2</v>
      </c>
      <c r="DT108" s="1045">
        <f t="shared" ref="DT108:DU108" si="354">+((4*DT109*(1-DT110))/(DT111+DT112+DT113))</f>
        <v>0.1021906957871431</v>
      </c>
      <c r="DU108" s="1045">
        <f t="shared" si="354"/>
        <v>9.4375594778257882E-2</v>
      </c>
      <c r="DV108" s="1045">
        <f t="shared" ref="DV108" si="355">+((4*DV109*(1-DV110))/(DV111+DV112+DV113))</f>
        <v>0.11044989766918417</v>
      </c>
      <c r="DW108" s="1045">
        <f t="shared" ref="DW108:DY108" ca="1" si="356">+((4*DW109*(1-DW110))/(DW111+DW112+DW113))</f>
        <v>0.10979266606818729</v>
      </c>
      <c r="DX108" s="1045">
        <f t="shared" ca="1" si="356"/>
        <v>0.11302483994309993</v>
      </c>
      <c r="DY108" s="101">
        <f t="shared" ca="1" si="356"/>
        <v>9.75950197298939E-2</v>
      </c>
      <c r="DZ108" s="1045"/>
    </row>
    <row r="109" spans="1:130">
      <c r="A109" s="109" t="s">
        <v>1292</v>
      </c>
      <c r="B109" s="109"/>
      <c r="C109" s="109"/>
      <c r="D109" s="109"/>
      <c r="E109" s="109"/>
      <c r="F109" s="109">
        <v>13527</v>
      </c>
      <c r="G109" s="109">
        <v>14671.02</v>
      </c>
      <c r="H109" s="109">
        <v>15026.62</v>
      </c>
      <c r="I109" s="109">
        <v>15871</v>
      </c>
      <c r="J109" s="109">
        <v>16998</v>
      </c>
      <c r="K109" s="109">
        <v>14846</v>
      </c>
      <c r="L109" s="109">
        <v>15073</v>
      </c>
      <c r="M109" s="109">
        <v>15427</v>
      </c>
      <c r="N109" s="109">
        <f>IS!N56+IS!N52</f>
        <v>15696.931688804558</v>
      </c>
      <c r="O109" s="109">
        <f>IS!O56+IS!O52</f>
        <v>17886</v>
      </c>
      <c r="P109" s="109">
        <f>IS!P56+IS!P52</f>
        <v>19450</v>
      </c>
      <c r="Q109" s="109">
        <f>IS!Q56+IS!Q52</f>
        <v>18928</v>
      </c>
      <c r="R109" s="109">
        <f>IS!R56+IS!R52</f>
        <v>20298</v>
      </c>
      <c r="S109" s="109">
        <f>IS!S56+IS!S52</f>
        <v>20459</v>
      </c>
      <c r="T109" s="109">
        <f>IS!T56+IS!T52</f>
        <v>22497</v>
      </c>
      <c r="U109" s="109">
        <f>IS!U56+IS!U52</f>
        <v>27015</v>
      </c>
      <c r="V109" s="109">
        <f>IS!V56+IS!V52</f>
        <v>28321</v>
      </c>
      <c r="W109" s="109">
        <f>IS!W56+IS!W52</f>
        <v>29951</v>
      </c>
      <c r="X109" s="109">
        <f>IS!X56+IS!X52</f>
        <v>29908</v>
      </c>
      <c r="Y109" s="2552">
        <f>IS!Y56+IS!Y52</f>
        <v>31303</v>
      </c>
      <c r="Z109" s="2552">
        <f ca="1">IS!Z56+IS!Z52</f>
        <v>31948.130901347889</v>
      </c>
      <c r="AA109" s="2183">
        <f ca="1">IS!AA56+IS!AA52</f>
        <v>32988.216768850136</v>
      </c>
      <c r="AB109" s="2183">
        <f ca="1">IS!AB56+IS!AB52</f>
        <v>33899.056414153922</v>
      </c>
      <c r="AC109" s="2183">
        <f ca="1">IS!AC56+IS!AC52</f>
        <v>34895.609259253804</v>
      </c>
      <c r="AD109" s="2183">
        <f ca="1">IS!AD56+IS!AD52</f>
        <v>35966.8013921784</v>
      </c>
      <c r="AE109" s="2183">
        <f ca="1">IS!AE56+IS!AE52</f>
        <v>37113.29881018342</v>
      </c>
      <c r="AF109" s="2183">
        <f ca="1">IS!AF56+IS!AF52</f>
        <v>38341.17680291002</v>
      </c>
      <c r="AG109" s="2183">
        <f ca="1">IS!AG56+IS!AG52</f>
        <v>39618.521449293999</v>
      </c>
      <c r="AH109" s="536"/>
      <c r="AI109" s="109"/>
      <c r="AJ109" s="109"/>
      <c r="AK109" s="109"/>
      <c r="AL109" s="109"/>
      <c r="AM109" s="109"/>
      <c r="AN109" s="276"/>
      <c r="AO109" s="276"/>
      <c r="AP109" s="109"/>
      <c r="AQ109" s="109"/>
      <c r="AR109" s="109"/>
      <c r="AS109" s="109"/>
      <c r="AT109" s="109"/>
      <c r="AU109" s="109"/>
      <c r="AV109" s="109"/>
      <c r="AW109" s="109"/>
      <c r="AX109" s="109"/>
      <c r="AY109" s="109"/>
      <c r="AZ109" s="109"/>
      <c r="BA109" s="109"/>
      <c r="BB109" s="109"/>
      <c r="BC109" s="109">
        <v>3847.5380999999998</v>
      </c>
      <c r="BD109" s="109">
        <v>3922.93</v>
      </c>
      <c r="BE109" s="109">
        <v>3862.125</v>
      </c>
      <c r="BF109" s="109">
        <v>3914</v>
      </c>
      <c r="BG109" s="109">
        <v>4234</v>
      </c>
      <c r="BH109" s="109">
        <v>4018</v>
      </c>
      <c r="BI109" s="109">
        <v>3705</v>
      </c>
      <c r="BJ109" s="109">
        <v>3975</v>
      </c>
      <c r="BK109" s="109">
        <v>4175</v>
      </c>
      <c r="BL109" s="109">
        <v>4335</v>
      </c>
      <c r="BM109" s="109">
        <v>4513</v>
      </c>
      <c r="BN109" s="109">
        <v>3986.25</v>
      </c>
      <c r="BO109" s="109">
        <v>3920.25</v>
      </c>
      <c r="BP109" s="109">
        <v>3499.25</v>
      </c>
      <c r="BQ109" s="109">
        <v>3440.25</v>
      </c>
      <c r="BR109" s="171">
        <v>3496.5</v>
      </c>
      <c r="BS109" s="109">
        <v>3910.5</v>
      </c>
      <c r="BT109" s="109">
        <v>3909.5</v>
      </c>
      <c r="BU109" s="109">
        <v>3756.5</v>
      </c>
      <c r="BV109" s="171">
        <v>3552.5</v>
      </c>
      <c r="BW109" s="109">
        <v>3769.5</v>
      </c>
      <c r="BX109" s="109">
        <v>3891.5</v>
      </c>
      <c r="BY109" s="109">
        <v>4103.5</v>
      </c>
      <c r="BZ109" s="171">
        <f>IS!BW56+IS!BW52</f>
        <v>3819.6816888045505</v>
      </c>
      <c r="CA109" s="109">
        <f>IS!BX56+IS!BX52</f>
        <v>3948.75</v>
      </c>
      <c r="CB109" s="109">
        <f>IS!BY56+IS!BY52</f>
        <v>3941.75</v>
      </c>
      <c r="CC109" s="109">
        <f>IS!BZ56+IS!BZ52</f>
        <v>3986.75</v>
      </c>
      <c r="CD109" s="171">
        <f>IS!CA56+IS!CA52</f>
        <v>4193.25</v>
      </c>
      <c r="CE109" s="109">
        <f>IS!CB56+IS!CB52</f>
        <v>4465.25</v>
      </c>
      <c r="CF109" s="109">
        <f>IS!CC56+IS!CC52</f>
        <v>4598.25</v>
      </c>
      <c r="CG109" s="109">
        <f>IS!CD56+IS!CD52</f>
        <v>4629.25</v>
      </c>
      <c r="CH109" s="171">
        <f>IS!CE56+IS!CE52</f>
        <v>4766.75</v>
      </c>
      <c r="CI109" s="109">
        <f>IS!CF56+IS!CF52</f>
        <v>4927.75</v>
      </c>
      <c r="CJ109" s="109">
        <f>IS!CG56+IS!CG52</f>
        <v>4833.75</v>
      </c>
      <c r="CK109" s="109">
        <f>IS!CH56+IS!CH52</f>
        <v>4921.75</v>
      </c>
      <c r="CL109" s="171">
        <f>IS!CI56+IS!CI52</f>
        <v>4692.5</v>
      </c>
      <c r="CM109" s="109">
        <f>IS!CJ56+IS!CJ52</f>
        <v>4879.5</v>
      </c>
      <c r="CN109" s="109">
        <f>IS!CK56+IS!CK52</f>
        <v>4803.5</v>
      </c>
      <c r="CO109" s="109">
        <f>IS!CL56+IS!CL52</f>
        <v>4552.5</v>
      </c>
      <c r="CP109" s="171">
        <f>IS!CM56+IS!CM52</f>
        <v>4729</v>
      </c>
      <c r="CQ109" s="109">
        <f>IS!CN56+IS!CN52</f>
        <v>5069</v>
      </c>
      <c r="CR109" s="109">
        <f>IS!CO56+IS!CO52</f>
        <v>5250</v>
      </c>
      <c r="CS109" s="109">
        <f>IS!CP56+IS!CP52</f>
        <v>5250</v>
      </c>
      <c r="CT109" s="171">
        <f>IS!CQ56+IS!CQ52</f>
        <v>4829.25</v>
      </c>
      <c r="CU109" s="109">
        <f>IS!CR56+IS!CR52</f>
        <v>5268.25</v>
      </c>
      <c r="CV109" s="109">
        <f>IS!CS56+IS!CS52</f>
        <v>5352.25</v>
      </c>
      <c r="CW109" s="172">
        <f>IS!CT56+IS!CT52</f>
        <v>5009.25</v>
      </c>
      <c r="CX109" s="109">
        <f>IS!CU56+IS!CU52</f>
        <v>5562</v>
      </c>
      <c r="CY109" s="109">
        <f>IS!CV56+IS!CV52</f>
        <v>5991</v>
      </c>
      <c r="CZ109" s="109">
        <f>IS!CW56+IS!CW52</f>
        <v>6270</v>
      </c>
      <c r="DA109" s="109">
        <f>IS!CX56+IS!CX52</f>
        <v>4674</v>
      </c>
      <c r="DB109" s="171">
        <f>IS!CY56+IS!CY52</f>
        <v>6612</v>
      </c>
      <c r="DC109" s="109">
        <f>IS!CZ56+IS!CZ52</f>
        <v>6710</v>
      </c>
      <c r="DD109" s="109">
        <f>IS!DA56+IS!DA52</f>
        <v>7242</v>
      </c>
      <c r="DE109" s="109">
        <f>IS!DB56+IS!DB52</f>
        <v>6451</v>
      </c>
      <c r="DF109" s="171">
        <f>IS!DC56+IS!DC52</f>
        <v>7554</v>
      </c>
      <c r="DG109" s="1044">
        <f>IS!DD56+IS!DD52</f>
        <v>7372</v>
      </c>
      <c r="DH109" s="1044">
        <f>IS!DE56+IS!DE52</f>
        <v>7290</v>
      </c>
      <c r="DI109" s="172">
        <f>IS!DF56+IS!DF52</f>
        <v>6105</v>
      </c>
      <c r="DJ109" s="171">
        <f>IS!DG56+IS!DG52</f>
        <v>7805</v>
      </c>
      <c r="DK109" s="1044">
        <f>IS!DH56+IS!DH52</f>
        <v>7674</v>
      </c>
      <c r="DL109" s="2151">
        <f>IS!DI56+IS!DI52</f>
        <v>7733</v>
      </c>
      <c r="DM109" s="2473">
        <f>IS!DJ56+IS!DJ52</f>
        <v>6739</v>
      </c>
      <c r="DN109" s="2490">
        <f>IS!DK56+IS!DK52</f>
        <v>7840</v>
      </c>
      <c r="DO109" s="2151">
        <f>IS!DL56+IS!DL52</f>
        <v>7497</v>
      </c>
      <c r="DP109" s="2151">
        <f>IS!DM56+IS!DM52</f>
        <v>7737</v>
      </c>
      <c r="DQ109" s="2473">
        <f>IS!DN56+IS!DN52</f>
        <v>6834</v>
      </c>
      <c r="DR109" s="2151">
        <f>IS!DO56+IS!DO52</f>
        <v>7707</v>
      </c>
      <c r="DS109" s="2151">
        <f>IS!DP56+IS!DP52</f>
        <v>7617</v>
      </c>
      <c r="DT109" s="2151">
        <f>IS!DQ56+IS!DQ52</f>
        <v>8228</v>
      </c>
      <c r="DU109" s="2151">
        <f>IS!DR56+IS!DR52</f>
        <v>7751</v>
      </c>
      <c r="DV109" s="2151">
        <f>IS!DS56+IS!DS52</f>
        <v>8105</v>
      </c>
      <c r="DW109" s="2164">
        <f ca="1">IS!DT56+IS!DT52</f>
        <v>8172.6987461556455</v>
      </c>
      <c r="DX109" s="2164">
        <f ca="1">IS!DU56+IS!DU52</f>
        <v>8421.7092838897006</v>
      </c>
      <c r="DY109" s="2165">
        <f ca="1">IS!DV56+IS!DV52</f>
        <v>7248.7228713025543</v>
      </c>
      <c r="DZ109" s="1044"/>
    </row>
    <row r="110" spans="1:130">
      <c r="A110" s="94" t="s">
        <v>1293</v>
      </c>
      <c r="B110" s="94"/>
      <c r="C110" s="94"/>
      <c r="D110" s="94"/>
      <c r="E110" s="94"/>
      <c r="F110" s="94">
        <v>0.35625546806649167</v>
      </c>
      <c r="G110" s="94">
        <v>0.35901592350797407</v>
      </c>
      <c r="H110" s="94">
        <v>0.34351438682874286</v>
      </c>
      <c r="I110" s="94">
        <v>0.35328490208464941</v>
      </c>
      <c r="J110" s="94">
        <v>0.32893691403146352</v>
      </c>
      <c r="K110" s="94">
        <v>0.31728917982287252</v>
      </c>
      <c r="L110" s="94">
        <v>0.3129613227044582</v>
      </c>
      <c r="M110" s="94">
        <v>0.3129613227044582</v>
      </c>
      <c r="N110" s="94">
        <f>IS!N79</f>
        <v>0.32415150115359787</v>
      </c>
      <c r="O110" s="94">
        <f>IS!O79</f>
        <v>0.3558876045484447</v>
      </c>
      <c r="P110" s="94">
        <f>IS!P79</f>
        <v>0.34418056562726612</v>
      </c>
      <c r="Q110" s="94">
        <f>IS!Q79</f>
        <v>0.30899916774405761</v>
      </c>
      <c r="R110" s="94">
        <f>IS!R79</f>
        <v>0.31118955525265352</v>
      </c>
      <c r="S110" s="94">
        <f>IS!S79</f>
        <v>0.30514293050325231</v>
      </c>
      <c r="T110" s="94">
        <f>IS!T79</f>
        <v>0.30129388516851457</v>
      </c>
      <c r="U110" s="94">
        <f>IS!U79</f>
        <v>0.30806384087627414</v>
      </c>
      <c r="V110" s="94">
        <f>IS!V79</f>
        <v>0.30479303258635876</v>
      </c>
      <c r="W110" s="94">
        <f>IS!W79</f>
        <v>0.38685478619492081</v>
      </c>
      <c r="X110" s="94">
        <f>IS!X79</f>
        <v>0.35157533084492704</v>
      </c>
      <c r="Y110" s="3022">
        <f>IS!Y79</f>
        <v>0.3191138450566105</v>
      </c>
      <c r="Z110" s="3022">
        <f ca="1">IS!Z79</f>
        <v>0.24621328907294515</v>
      </c>
      <c r="AA110" s="2188">
        <f>IS!AA79</f>
        <v>0.25</v>
      </c>
      <c r="AB110" s="2188">
        <f>IS!AB79</f>
        <v>0.25</v>
      </c>
      <c r="AC110" s="2188">
        <f>IS!AC79</f>
        <v>0.25</v>
      </c>
      <c r="AD110" s="2188">
        <f>IS!AD79</f>
        <v>0.25</v>
      </c>
      <c r="AE110" s="2188">
        <f>IS!AE79</f>
        <v>0.25</v>
      </c>
      <c r="AF110" s="2188">
        <f>IS!AF79</f>
        <v>0.25</v>
      </c>
      <c r="AG110" s="2188">
        <f>IS!AG79</f>
        <v>0.25</v>
      </c>
      <c r="AH110" s="138"/>
      <c r="AI110" s="94"/>
      <c r="AJ110" s="94"/>
      <c r="AK110" s="94"/>
      <c r="AL110" s="94"/>
      <c r="AM110" s="94"/>
      <c r="AN110" s="240"/>
      <c r="AO110" s="240"/>
      <c r="AP110" s="94"/>
      <c r="AQ110" s="94"/>
      <c r="AR110" s="94"/>
      <c r="AS110" s="94"/>
      <c r="AT110" s="94"/>
      <c r="AU110" s="94"/>
      <c r="AV110" s="94"/>
      <c r="AW110" s="94"/>
      <c r="AX110" s="94"/>
      <c r="AY110" s="94"/>
      <c r="AZ110" s="94"/>
      <c r="BA110" s="94"/>
      <c r="BB110" s="94"/>
      <c r="BC110" s="94">
        <v>0.37069782128197032</v>
      </c>
      <c r="BD110" s="94">
        <v>0.37649277184160906</v>
      </c>
      <c r="BE110" s="94">
        <v>0.31691510045366172</v>
      </c>
      <c r="BF110" s="94">
        <v>0.35530652603823337</v>
      </c>
      <c r="BG110" s="94">
        <v>0.36773999398134216</v>
      </c>
      <c r="BH110" s="94">
        <v>0.34761752478413815</v>
      </c>
      <c r="BI110" s="94">
        <v>0.34182389937106916</v>
      </c>
      <c r="BJ110" s="94">
        <v>0.33867735470941884</v>
      </c>
      <c r="BK110" s="94">
        <v>0.33113828786453436</v>
      </c>
      <c r="BL110" s="94">
        <v>0.32942667089008554</v>
      </c>
      <c r="BM110" s="94">
        <v>0.31731361675908809</v>
      </c>
      <c r="BN110" s="94">
        <v>0.32597864768683277</v>
      </c>
      <c r="BO110" s="94">
        <v>0.31719653179190749</v>
      </c>
      <c r="BP110" s="94">
        <v>0.31886345698500396</v>
      </c>
      <c r="BQ110" s="94">
        <v>0.30492091388400705</v>
      </c>
      <c r="BR110" s="147">
        <v>0.30354058721934368</v>
      </c>
      <c r="BS110" s="94">
        <v>0.31662167373698419</v>
      </c>
      <c r="BT110" s="94">
        <v>0.3115193264446996</v>
      </c>
      <c r="BU110" s="94">
        <v>0.31906025009473288</v>
      </c>
      <c r="BV110" s="147">
        <v>0.3081657775954042</v>
      </c>
      <c r="BW110" s="94">
        <v>0.30299352750809061</v>
      </c>
      <c r="BX110" s="94">
        <v>0.30955165692007797</v>
      </c>
      <c r="BY110" s="94">
        <v>0.31425091352009743</v>
      </c>
      <c r="BZ110" s="147">
        <f>IS!BW79</f>
        <v>0.30484990172752713</v>
      </c>
      <c r="CA110" s="94">
        <f>IS!BX79</f>
        <v>0.3344962930658526</v>
      </c>
      <c r="CB110" s="94">
        <f>IS!BY79</f>
        <v>0.32026970080067424</v>
      </c>
      <c r="CC110" s="94">
        <f>IS!BZ79</f>
        <v>0.33710801393728224</v>
      </c>
      <c r="CD110" s="147">
        <f>IS!CA79</f>
        <v>0.37152077450584914</v>
      </c>
      <c r="CE110" s="94">
        <f>IS!CB79</f>
        <v>0.36210131332082551</v>
      </c>
      <c r="CF110" s="94">
        <f>IS!CC79</f>
        <v>0.34322954380883419</v>
      </c>
      <c r="CG110" s="94">
        <f>IS!CD79</f>
        <v>0.34844606946983547</v>
      </c>
      <c r="CH110" s="147">
        <f>IS!CE79</f>
        <v>0.35969106289076869</v>
      </c>
      <c r="CI110" s="94">
        <f>IS!CF79</f>
        <v>0.34322180062090374</v>
      </c>
      <c r="CJ110" s="94">
        <f>IS!CG79</f>
        <v>0.34191954834156668</v>
      </c>
      <c r="CK110" s="94">
        <f>IS!CH79</f>
        <v>0.33139534883720928</v>
      </c>
      <c r="CL110" s="147">
        <f>IS!CI79</f>
        <v>0.33278561346687868</v>
      </c>
      <c r="CM110" s="94">
        <f>IS!CJ79</f>
        <v>0.31275745872910155</v>
      </c>
      <c r="CN110" s="94">
        <f>IS!CK79</f>
        <v>0.30226673889081473</v>
      </c>
      <c r="CO110" s="94">
        <f>IS!CL79</f>
        <v>0.28464921849079416</v>
      </c>
      <c r="CP110" s="147">
        <f>IS!CM79</f>
        <v>0.29865947408941745</v>
      </c>
      <c r="CQ110" s="94">
        <f>IS!CN79</f>
        <v>0.3132560491022236</v>
      </c>
      <c r="CR110" s="94">
        <f>IS!CO79</f>
        <v>0.31444050169711485</v>
      </c>
      <c r="CS110" s="94">
        <f>IS!CP79</f>
        <v>0.31677875912794484</v>
      </c>
      <c r="CT110" s="147">
        <f>IS!CQ79</f>
        <v>0.30009727626459143</v>
      </c>
      <c r="CU110" s="94">
        <f>IS!CR79</f>
        <v>0.30376460406750322</v>
      </c>
      <c r="CV110" s="94">
        <f>IS!CS79</f>
        <v>0.30225706713780914</v>
      </c>
      <c r="CW110" s="101">
        <f>IS!CT79</f>
        <v>0.31456730769230778</v>
      </c>
      <c r="CX110" s="94">
        <f>IS!CU79</f>
        <v>0.30119817578772801</v>
      </c>
      <c r="CY110" s="94">
        <f>IS!CV79</f>
        <v>0.30624855268236201</v>
      </c>
      <c r="CZ110" s="94">
        <f>IS!CW79</f>
        <v>0.30214263803680985</v>
      </c>
      <c r="DA110" s="94">
        <f>IS!CX79</f>
        <v>0.2914005340453939</v>
      </c>
      <c r="DB110" s="147">
        <f>IS!CY79</f>
        <v>0.30791161796151106</v>
      </c>
      <c r="DC110" s="94">
        <f>IS!CZ79</f>
        <v>0.30120776179324188</v>
      </c>
      <c r="DD110" s="94">
        <f>IS!DA79</f>
        <v>0.3007662713427236</v>
      </c>
      <c r="DE110" s="94">
        <f>IS!DB79</f>
        <v>0.32393632416787271</v>
      </c>
      <c r="DF110" s="147">
        <f>IS!DC79</f>
        <v>0.20387531592249369</v>
      </c>
      <c r="DG110" s="1045">
        <f>IS!DD79</f>
        <v>0.34108372662122005</v>
      </c>
      <c r="DH110" s="1045">
        <f>IS!DE79</f>
        <v>0.33531210649397375</v>
      </c>
      <c r="DI110" s="101">
        <f>IS!DF79</f>
        <v>0.32789569160997734</v>
      </c>
      <c r="DJ110" s="147">
        <f>IS!DG79</f>
        <v>0.38882402001668059</v>
      </c>
      <c r="DK110" s="1045">
        <f>IS!DH79</f>
        <v>0.38167170191339378</v>
      </c>
      <c r="DL110" s="1537">
        <f>IS!DI79</f>
        <v>0.38550157519482675</v>
      </c>
      <c r="DM110" s="2476">
        <f>IS!DJ79</f>
        <v>0.39224707978618095</v>
      </c>
      <c r="DN110" s="1538">
        <f>IS!DK79</f>
        <v>0.38163085937499996</v>
      </c>
      <c r="DO110" s="1537">
        <f>IS!DL79</f>
        <v>0.34985668521328611</v>
      </c>
      <c r="DP110" s="1537">
        <f>IS!DM79</f>
        <v>0.34005763688760809</v>
      </c>
      <c r="DQ110" s="2476">
        <f>IS!DN79</f>
        <v>0.33206470028544244</v>
      </c>
      <c r="DR110" s="1537">
        <f>IS!DO79</f>
        <v>0.25782901056676272</v>
      </c>
      <c r="DS110" s="1537">
        <f>IS!DP79</f>
        <v>0.33104866346812883</v>
      </c>
      <c r="DT110" s="1537">
        <f>IS!DQ79</f>
        <v>0.33599334995843722</v>
      </c>
      <c r="DU110" s="1537">
        <f>IS!DR79</f>
        <v>0.34659724804760134</v>
      </c>
      <c r="DV110" s="1537">
        <f>IS!DS79</f>
        <v>0.23501351566226744</v>
      </c>
      <c r="DW110" s="3257">
        <f>IS!DT79</f>
        <v>0.25</v>
      </c>
      <c r="DX110" s="3257">
        <f>IS!DU79</f>
        <v>0.25</v>
      </c>
      <c r="DY110" s="2177">
        <f>IS!DV79</f>
        <v>0.25</v>
      </c>
      <c r="DZ110" s="1045"/>
    </row>
    <row r="111" spans="1:130">
      <c r="A111" s="109" t="s">
        <v>1294</v>
      </c>
      <c r="B111" s="109"/>
      <c r="C111" s="109"/>
      <c r="D111" s="109"/>
      <c r="E111" s="109"/>
      <c r="F111" s="109">
        <v>61245</v>
      </c>
      <c r="G111" s="109">
        <v>62173</v>
      </c>
      <c r="H111" s="109">
        <v>69504</v>
      </c>
      <c r="I111" s="109">
        <v>74419</v>
      </c>
      <c r="J111" s="109">
        <v>73758</v>
      </c>
      <c r="K111" s="109">
        <v>75302</v>
      </c>
      <c r="L111" s="109">
        <v>74124</v>
      </c>
      <c r="M111" s="109">
        <v>75305</v>
      </c>
      <c r="N111" s="109">
        <f t="shared" ref="N111:AA111" si="357">N23</f>
        <v>82356</v>
      </c>
      <c r="O111" s="109">
        <f t="shared" si="357"/>
        <v>85294</v>
      </c>
      <c r="P111" s="109">
        <f t="shared" si="357"/>
        <v>86546</v>
      </c>
      <c r="Q111" s="109">
        <f t="shared" si="357"/>
        <v>91466</v>
      </c>
      <c r="R111" s="109">
        <f t="shared" si="357"/>
        <v>87711</v>
      </c>
      <c r="S111" s="109">
        <f t="shared" si="357"/>
        <v>88434</v>
      </c>
      <c r="T111" s="109">
        <f t="shared" si="357"/>
        <v>88642</v>
      </c>
      <c r="U111" s="109">
        <f t="shared" si="357"/>
        <v>88956</v>
      </c>
      <c r="V111" s="109">
        <f t="shared" si="357"/>
        <v>89947</v>
      </c>
      <c r="W111" s="109">
        <f t="shared" si="357"/>
        <v>83541</v>
      </c>
      <c r="X111" s="109">
        <f t="shared" si="357"/>
        <v>84751</v>
      </c>
      <c r="Y111" s="109">
        <f t="shared" ref="Y111:Z111" si="358">Y23</f>
        <v>88568</v>
      </c>
      <c r="Z111" s="109">
        <f t="shared" ca="1" si="358"/>
        <v>87440.409047809313</v>
      </c>
      <c r="AA111" s="109">
        <f t="shared" ca="1" si="357"/>
        <v>87318.616409750161</v>
      </c>
      <c r="AB111" s="109">
        <f t="shared" ref="AB111:AG111" ca="1" si="359">AB23</f>
        <v>87469.269279372413</v>
      </c>
      <c r="AC111" s="109">
        <f t="shared" ca="1" si="359"/>
        <v>87899.522985148622</v>
      </c>
      <c r="AD111" s="109">
        <f t="shared" ca="1" si="359"/>
        <v>88615.323649585567</v>
      </c>
      <c r="AE111" s="109">
        <f t="shared" ca="1" si="359"/>
        <v>89623.474047036085</v>
      </c>
      <c r="AF111" s="109">
        <f t="shared" ca="1" si="359"/>
        <v>90932.492823152104</v>
      </c>
      <c r="AG111" s="109">
        <f t="shared" ca="1" si="359"/>
        <v>93813.555114791292</v>
      </c>
      <c r="AH111" s="536"/>
      <c r="AI111" s="109"/>
      <c r="AJ111" s="109"/>
      <c r="AK111" s="109"/>
      <c r="AL111" s="109"/>
      <c r="AM111" s="109"/>
      <c r="AN111" s="276"/>
      <c r="AO111" s="276"/>
      <c r="AP111" s="109"/>
      <c r="AQ111" s="109"/>
      <c r="AR111" s="109"/>
      <c r="AS111" s="109"/>
      <c r="AT111" s="109"/>
      <c r="AU111" s="109"/>
      <c r="AV111" s="109"/>
      <c r="AW111" s="109"/>
      <c r="AX111" s="109"/>
      <c r="AY111" s="109"/>
      <c r="AZ111" s="109"/>
      <c r="BA111" s="109"/>
      <c r="BB111" s="109"/>
      <c r="BC111" s="109">
        <v>64774</v>
      </c>
      <c r="BD111" s="109">
        <v>66305</v>
      </c>
      <c r="BE111" s="109">
        <v>69504</v>
      </c>
      <c r="BF111" s="109">
        <v>71369</v>
      </c>
      <c r="BG111" s="109">
        <v>73542</v>
      </c>
      <c r="BH111" s="109">
        <v>72897</v>
      </c>
      <c r="BI111" s="109">
        <v>74419</v>
      </c>
      <c r="BJ111" s="109">
        <v>73475</v>
      </c>
      <c r="BK111" s="109">
        <v>73558</v>
      </c>
      <c r="BL111" s="109">
        <v>73358</v>
      </c>
      <c r="BM111" s="109">
        <v>73758</v>
      </c>
      <c r="BN111" s="109">
        <v>76411</v>
      </c>
      <c r="BO111" s="109">
        <v>75758</v>
      </c>
      <c r="BP111" s="109">
        <v>75086</v>
      </c>
      <c r="BQ111" s="109">
        <v>75302</v>
      </c>
      <c r="BR111" s="171">
        <v>74604</v>
      </c>
      <c r="BS111" s="109">
        <v>73530</v>
      </c>
      <c r="BT111" s="109">
        <v>73486</v>
      </c>
      <c r="BU111" s="109">
        <v>74124</v>
      </c>
      <c r="BV111" s="171">
        <v>74371</v>
      </c>
      <c r="BW111" s="109">
        <v>75133</v>
      </c>
      <c r="BX111" s="109">
        <v>75192</v>
      </c>
      <c r="BY111" s="109">
        <v>75305</v>
      </c>
      <c r="BZ111" s="171">
        <f t="shared" ref="BZ111:DN111" si="360">BZ23</f>
        <v>82270</v>
      </c>
      <c r="CA111" s="109">
        <f t="shared" si="360"/>
        <v>80997</v>
      </c>
      <c r="CB111" s="109">
        <f t="shared" si="360"/>
        <v>81402</v>
      </c>
      <c r="CC111" s="109">
        <f t="shared" si="360"/>
        <v>82356</v>
      </c>
      <c r="CD111" s="171">
        <f t="shared" si="360"/>
        <v>82978</v>
      </c>
      <c r="CE111" s="109">
        <f t="shared" si="360"/>
        <v>83729</v>
      </c>
      <c r="CF111" s="109">
        <f t="shared" si="360"/>
        <v>84329</v>
      </c>
      <c r="CG111" s="109">
        <f t="shared" si="360"/>
        <v>85294</v>
      </c>
      <c r="CH111" s="171">
        <f t="shared" si="360"/>
        <v>84484</v>
      </c>
      <c r="CI111" s="109">
        <f t="shared" si="360"/>
        <v>85155</v>
      </c>
      <c r="CJ111" s="109">
        <f t="shared" si="360"/>
        <v>85689</v>
      </c>
      <c r="CK111" s="109">
        <f t="shared" si="360"/>
        <v>86546</v>
      </c>
      <c r="CL111" s="171">
        <f t="shared" si="360"/>
        <v>89855</v>
      </c>
      <c r="CM111" s="109">
        <f t="shared" si="360"/>
        <v>90302</v>
      </c>
      <c r="CN111" s="109">
        <f t="shared" si="360"/>
        <v>90834</v>
      </c>
      <c r="CO111" s="109">
        <f t="shared" si="360"/>
        <v>91466</v>
      </c>
      <c r="CP111" s="171">
        <f t="shared" si="360"/>
        <v>91834</v>
      </c>
      <c r="CQ111" s="109">
        <f t="shared" si="360"/>
        <v>92101</v>
      </c>
      <c r="CR111" s="109">
        <f t="shared" si="360"/>
        <v>87430</v>
      </c>
      <c r="CS111" s="109">
        <f t="shared" si="360"/>
        <v>87711</v>
      </c>
      <c r="CT111" s="171">
        <f t="shared" si="360"/>
        <v>88245</v>
      </c>
      <c r="CU111" s="109">
        <f t="shared" si="360"/>
        <v>89397</v>
      </c>
      <c r="CV111" s="109">
        <f t="shared" si="360"/>
        <v>88843</v>
      </c>
      <c r="CW111" s="172">
        <f t="shared" si="360"/>
        <v>88434</v>
      </c>
      <c r="CX111" s="109">
        <f t="shared" si="360"/>
        <v>88186</v>
      </c>
      <c r="CY111" s="109">
        <f t="shared" si="360"/>
        <v>87895</v>
      </c>
      <c r="CZ111" s="109">
        <f t="shared" si="360"/>
        <v>87810</v>
      </c>
      <c r="DA111" s="109">
        <f t="shared" si="360"/>
        <v>88642</v>
      </c>
      <c r="DB111" s="171">
        <f t="shared" si="360"/>
        <v>88181</v>
      </c>
      <c r="DC111" s="109">
        <f t="shared" si="360"/>
        <v>88332</v>
      </c>
      <c r="DD111" s="109">
        <f t="shared" si="360"/>
        <v>88527</v>
      </c>
      <c r="DE111" s="109">
        <f t="shared" si="360"/>
        <v>88956</v>
      </c>
      <c r="DF111" s="171">
        <f t="shared" si="360"/>
        <v>89056</v>
      </c>
      <c r="DG111" s="1044">
        <f t="shared" si="360"/>
        <v>89712</v>
      </c>
      <c r="DH111" s="1044">
        <f t="shared" si="360"/>
        <v>89932</v>
      </c>
      <c r="DI111" s="172">
        <f t="shared" si="360"/>
        <v>89947</v>
      </c>
      <c r="DJ111" s="171">
        <f t="shared" si="360"/>
        <v>81642</v>
      </c>
      <c r="DK111" s="1044">
        <f t="shared" si="360"/>
        <v>82532</v>
      </c>
      <c r="DL111" s="1044">
        <f t="shared" si="360"/>
        <v>82562</v>
      </c>
      <c r="DM111" s="172">
        <f t="shared" si="360"/>
        <v>83541</v>
      </c>
      <c r="DN111" s="171">
        <f t="shared" si="360"/>
        <v>83011</v>
      </c>
      <c r="DO111" s="1044">
        <f t="shared" ref="DO111:DP111" si="361">DO23</f>
        <v>83172</v>
      </c>
      <c r="DP111" s="1044">
        <f t="shared" si="361"/>
        <v>83414</v>
      </c>
      <c r="DQ111" s="172">
        <f t="shared" ref="DQ111:DR111" si="362">DQ23</f>
        <v>84751</v>
      </c>
      <c r="DR111" s="1044">
        <f t="shared" si="362"/>
        <v>85213</v>
      </c>
      <c r="DS111" s="1044">
        <f t="shared" ref="DS111:DT111" si="363">DS23</f>
        <v>86521</v>
      </c>
      <c r="DT111" s="1044">
        <f t="shared" si="363"/>
        <v>86622</v>
      </c>
      <c r="DU111" s="1044">
        <f t="shared" ref="DU111:DV111" si="364">DU23</f>
        <v>88568</v>
      </c>
      <c r="DV111" s="1044">
        <f t="shared" si="364"/>
        <v>87922</v>
      </c>
      <c r="DW111" s="1044">
        <f t="shared" ref="DW111:DY111" ca="1" si="365">DW23</f>
        <v>87682.391164859611</v>
      </c>
      <c r="DX111" s="1044">
        <f t="shared" ca="1" si="365"/>
        <v>87481.601417913422</v>
      </c>
      <c r="DY111" s="172">
        <f t="shared" ca="1" si="365"/>
        <v>87440.409047809313</v>
      </c>
      <c r="DZ111" s="1044"/>
    </row>
    <row r="112" spans="1:130">
      <c r="A112" s="109" t="s">
        <v>1295</v>
      </c>
      <c r="B112" s="109"/>
      <c r="C112" s="109"/>
      <c r="D112" s="109"/>
      <c r="E112" s="109"/>
      <c r="F112" s="109">
        <v>1333</v>
      </c>
      <c r="G112" s="109">
        <v>3275</v>
      </c>
      <c r="H112" s="109">
        <v>1966</v>
      </c>
      <c r="I112" s="109">
        <v>2857</v>
      </c>
      <c r="J112" s="109">
        <v>2009</v>
      </c>
      <c r="K112" s="109">
        <v>-2387</v>
      </c>
      <c r="L112" s="109">
        <v>-2347</v>
      </c>
      <c r="M112" s="109">
        <v>-2250</v>
      </c>
      <c r="N112" s="109">
        <f t="shared" ref="N112:AA112" si="366">N76</f>
        <v>-5246</v>
      </c>
      <c r="O112" s="109">
        <f t="shared" si="366"/>
        <v>-4242</v>
      </c>
      <c r="P112" s="109">
        <f t="shared" si="366"/>
        <v>-4620</v>
      </c>
      <c r="Q112" s="109">
        <f t="shared" si="366"/>
        <v>-1332</v>
      </c>
      <c r="R112" s="109">
        <f t="shared" si="366"/>
        <v>-7375</v>
      </c>
      <c r="S112" s="109">
        <f t="shared" si="366"/>
        <v>-8335</v>
      </c>
      <c r="T112" s="109">
        <f t="shared" si="366"/>
        <v>-4445</v>
      </c>
      <c r="U112" s="109">
        <f t="shared" si="366"/>
        <v>-5651</v>
      </c>
      <c r="V112" s="109">
        <f t="shared" si="366"/>
        <v>-6304</v>
      </c>
      <c r="W112" s="109">
        <f t="shared" si="366"/>
        <v>-10753</v>
      </c>
      <c r="X112" s="109">
        <f t="shared" si="366"/>
        <v>-4180</v>
      </c>
      <c r="Y112" s="109">
        <f t="shared" ref="Y112:Z112" si="367">Y76</f>
        <v>-1750</v>
      </c>
      <c r="Z112" s="109">
        <f t="shared" ca="1" si="367"/>
        <v>2568.0655429313992</v>
      </c>
      <c r="AA112" s="109">
        <f t="shared" ca="1" si="366"/>
        <v>2981.4084300232171</v>
      </c>
      <c r="AB112" s="109">
        <f t="shared" ref="AB112:AG112" ca="1" si="368">AB76</f>
        <v>3352.6691334089192</v>
      </c>
      <c r="AC112" s="109">
        <f t="shared" ca="1" si="368"/>
        <v>3745.9655325682252</v>
      </c>
      <c r="AD112" s="109">
        <f t="shared" ca="1" si="368"/>
        <v>4159.1673091355988</v>
      </c>
      <c r="AE112" s="109">
        <f t="shared" ca="1" si="368"/>
        <v>4592.8301209127021</v>
      </c>
      <c r="AF112" s="109">
        <f t="shared" ca="1" si="368"/>
        <v>5048.828449549801</v>
      </c>
      <c r="AG112" s="109">
        <f t="shared" ca="1" si="368"/>
        <v>5529.7304740851832</v>
      </c>
      <c r="AH112" s="536"/>
      <c r="AI112" s="109"/>
      <c r="AJ112" s="109"/>
      <c r="AK112" s="109"/>
      <c r="AL112" s="109"/>
      <c r="AM112" s="109"/>
      <c r="AN112" s="276"/>
      <c r="AO112" s="276"/>
      <c r="AP112" s="109"/>
      <c r="AQ112" s="109"/>
      <c r="AR112" s="109"/>
      <c r="AS112" s="109"/>
      <c r="AT112" s="109"/>
      <c r="AU112" s="109"/>
      <c r="AV112" s="109"/>
      <c r="AW112" s="109"/>
      <c r="AX112" s="109"/>
      <c r="AY112" s="109"/>
      <c r="AZ112" s="109"/>
      <c r="BA112" s="109"/>
      <c r="BB112" s="109"/>
      <c r="BC112" s="109">
        <v>733</v>
      </c>
      <c r="BD112" s="109">
        <v>-854</v>
      </c>
      <c r="BE112" s="109">
        <v>1966</v>
      </c>
      <c r="BF112" s="109">
        <v>3302</v>
      </c>
      <c r="BG112" s="109">
        <v>3471</v>
      </c>
      <c r="BH112" s="109">
        <v>3072</v>
      </c>
      <c r="BI112" s="109">
        <v>2857</v>
      </c>
      <c r="BJ112" s="109">
        <v>5969</v>
      </c>
      <c r="BK112" s="109">
        <v>3004</v>
      </c>
      <c r="BL112" s="109">
        <v>-379</v>
      </c>
      <c r="BM112" s="109">
        <v>2009</v>
      </c>
      <c r="BN112" s="109">
        <v>-386</v>
      </c>
      <c r="BO112" s="109">
        <v>-934</v>
      </c>
      <c r="BP112" s="109">
        <v>-1939</v>
      </c>
      <c r="BQ112" s="109">
        <v>-2387</v>
      </c>
      <c r="BR112" s="171">
        <v>-1444</v>
      </c>
      <c r="BS112" s="109">
        <v>-1558</v>
      </c>
      <c r="BT112" s="109">
        <v>-2728</v>
      </c>
      <c r="BU112" s="109">
        <v>-2347</v>
      </c>
      <c r="BV112" s="171">
        <v>-3124</v>
      </c>
      <c r="BW112" s="109">
        <v>-3491</v>
      </c>
      <c r="BX112" s="109">
        <v>-3935</v>
      </c>
      <c r="BY112" s="109">
        <v>-2250</v>
      </c>
      <c r="BZ112" s="171">
        <f t="shared" ref="BZ112:DN112" si="369">BZ76</f>
        <v>-5096</v>
      </c>
      <c r="CA112" s="109">
        <f t="shared" si="369"/>
        <v>-3923</v>
      </c>
      <c r="CB112" s="109">
        <f t="shared" si="369"/>
        <v>-4015</v>
      </c>
      <c r="CC112" s="109">
        <f t="shared" si="369"/>
        <v>-5246</v>
      </c>
      <c r="CD112" s="171">
        <f t="shared" si="369"/>
        <v>-4709</v>
      </c>
      <c r="CE112" s="109">
        <f t="shared" si="369"/>
        <v>-4928</v>
      </c>
      <c r="CF112" s="109">
        <f t="shared" si="369"/>
        <v>-5772</v>
      </c>
      <c r="CG112" s="109">
        <f t="shared" si="369"/>
        <v>-4242</v>
      </c>
      <c r="CH112" s="171">
        <f t="shared" si="369"/>
        <v>-4069</v>
      </c>
      <c r="CI112" s="109">
        <f t="shared" si="369"/>
        <v>-3155</v>
      </c>
      <c r="CJ112" s="109">
        <f t="shared" si="369"/>
        <v>-2543</v>
      </c>
      <c r="CK112" s="109">
        <f t="shared" si="369"/>
        <v>-4620</v>
      </c>
      <c r="CL112" s="171">
        <f t="shared" si="369"/>
        <v>-3711</v>
      </c>
      <c r="CM112" s="109">
        <f t="shared" si="369"/>
        <v>-284</v>
      </c>
      <c r="CN112" s="109">
        <f t="shared" si="369"/>
        <v>-1055</v>
      </c>
      <c r="CO112" s="109">
        <f t="shared" si="369"/>
        <v>-1332</v>
      </c>
      <c r="CP112" s="171">
        <f t="shared" si="369"/>
        <v>-1566</v>
      </c>
      <c r="CQ112" s="109">
        <f t="shared" si="369"/>
        <v>-7660</v>
      </c>
      <c r="CR112" s="109">
        <f t="shared" si="369"/>
        <v>-7010</v>
      </c>
      <c r="CS112" s="109">
        <f t="shared" si="369"/>
        <v>-7375</v>
      </c>
      <c r="CT112" s="171">
        <f t="shared" si="369"/>
        <v>-5008</v>
      </c>
      <c r="CU112" s="109">
        <f t="shared" si="369"/>
        <v>-5087</v>
      </c>
      <c r="CV112" s="109">
        <f t="shared" si="369"/>
        <v>-8560</v>
      </c>
      <c r="CW112" s="172">
        <f t="shared" si="369"/>
        <v>-8335</v>
      </c>
      <c r="CX112" s="109">
        <f t="shared" si="369"/>
        <v>-2189</v>
      </c>
      <c r="CY112" s="109">
        <f t="shared" si="369"/>
        <v>-3312</v>
      </c>
      <c r="CZ112" s="109">
        <f t="shared" si="369"/>
        <v>-4486</v>
      </c>
      <c r="DA112" s="109">
        <f t="shared" si="369"/>
        <v>-4445</v>
      </c>
      <c r="DB112" s="171">
        <f t="shared" si="369"/>
        <v>-818</v>
      </c>
      <c r="DC112" s="109">
        <f t="shared" si="369"/>
        <v>-1061</v>
      </c>
      <c r="DD112" s="109">
        <f t="shared" si="369"/>
        <v>-5094</v>
      </c>
      <c r="DE112" s="109">
        <f t="shared" si="369"/>
        <v>-5651</v>
      </c>
      <c r="DF112" s="171">
        <f t="shared" si="369"/>
        <v>-2836</v>
      </c>
      <c r="DG112" s="1044">
        <f t="shared" si="369"/>
        <v>-7099</v>
      </c>
      <c r="DH112" s="1044">
        <f t="shared" si="369"/>
        <v>-7731</v>
      </c>
      <c r="DI112" s="172">
        <f t="shared" si="369"/>
        <v>-6304</v>
      </c>
      <c r="DJ112" s="171">
        <f t="shared" si="369"/>
        <v>-5824</v>
      </c>
      <c r="DK112" s="1044">
        <f t="shared" si="369"/>
        <v>-7945</v>
      </c>
      <c r="DL112" s="1044">
        <f t="shared" si="369"/>
        <v>-9335</v>
      </c>
      <c r="DM112" s="172">
        <f t="shared" si="369"/>
        <v>-10753</v>
      </c>
      <c r="DN112" s="171">
        <f t="shared" si="369"/>
        <v>-9278</v>
      </c>
      <c r="DO112" s="1044">
        <f t="shared" ref="DO112:DP112" si="370">DO76</f>
        <v>-9618</v>
      </c>
      <c r="DP112" s="1044">
        <f t="shared" si="370"/>
        <v>-7266</v>
      </c>
      <c r="DQ112" s="172">
        <f t="shared" ref="DQ112:DR112" si="371">DQ76</f>
        <v>-4180</v>
      </c>
      <c r="DR112" s="1044">
        <f t="shared" si="371"/>
        <v>-106</v>
      </c>
      <c r="DS112" s="1044">
        <f t="shared" ref="DS112:DT112" si="372">DS76</f>
        <v>-2365</v>
      </c>
      <c r="DT112" s="1044">
        <f t="shared" si="372"/>
        <v>-370</v>
      </c>
      <c r="DU112" s="1044">
        <f t="shared" ref="DU112:DV112" si="373">DU76</f>
        <v>-1750</v>
      </c>
      <c r="DV112" s="1044">
        <f t="shared" si="373"/>
        <v>3810</v>
      </c>
      <c r="DW112" s="1044">
        <f t="shared" ref="DW112:DY112" ca="1" si="374">DW76</f>
        <v>2818.3046325067844</v>
      </c>
      <c r="DX112" s="1044">
        <f t="shared" ca="1" si="374"/>
        <v>3242.4625516380474</v>
      </c>
      <c r="DY112" s="172">
        <f t="shared" ca="1" si="374"/>
        <v>2568.0655429313992</v>
      </c>
      <c r="DZ112" s="1044"/>
    </row>
    <row r="113" spans="1:130">
      <c r="A113" s="109" t="s">
        <v>1296</v>
      </c>
      <c r="B113" s="109"/>
      <c r="C113" s="109"/>
      <c r="D113" s="109"/>
      <c r="E113" s="109"/>
      <c r="F113" s="109">
        <v>4164</v>
      </c>
      <c r="G113" s="109">
        <v>8645</v>
      </c>
      <c r="H113" s="109">
        <v>41990</v>
      </c>
      <c r="I113" s="109">
        <v>44262</v>
      </c>
      <c r="J113" s="109">
        <v>46339</v>
      </c>
      <c r="K113" s="109">
        <v>46444</v>
      </c>
      <c r="L113" s="109">
        <v>47448</v>
      </c>
      <c r="M113" s="109">
        <v>52933</v>
      </c>
      <c r="N113" s="109">
        <f t="shared" ref="N113:AA113" si="375">N27</f>
        <v>61754</v>
      </c>
      <c r="O113" s="109">
        <f t="shared" si="375"/>
        <v>61029</v>
      </c>
      <c r="P113" s="109">
        <f t="shared" si="375"/>
        <v>73208</v>
      </c>
      <c r="Q113" s="109">
        <f t="shared" si="375"/>
        <v>101303</v>
      </c>
      <c r="R113" s="109">
        <f t="shared" si="375"/>
        <v>100814</v>
      </c>
      <c r="S113" s="109">
        <f t="shared" si="375"/>
        <v>102485</v>
      </c>
      <c r="T113" s="109">
        <f t="shared" si="375"/>
        <v>107816</v>
      </c>
      <c r="U113" s="109">
        <f t="shared" si="375"/>
        <v>106181</v>
      </c>
      <c r="V113" s="109">
        <f t="shared" si="375"/>
        <v>106629</v>
      </c>
      <c r="W113" s="109">
        <f t="shared" si="375"/>
        <v>120244</v>
      </c>
      <c r="X113" s="109">
        <f t="shared" si="375"/>
        <v>122775</v>
      </c>
      <c r="Y113" s="109">
        <f t="shared" ref="Y113:Z113" si="376">Y27</f>
        <v>127836</v>
      </c>
      <c r="Z113" s="109">
        <f t="shared" si="376"/>
        <v>132812</v>
      </c>
      <c r="AA113" s="109">
        <f t="shared" si="375"/>
        <v>132812</v>
      </c>
      <c r="AB113" s="109">
        <f t="shared" ref="AB113:AG113" si="377">AB27</f>
        <v>132812</v>
      </c>
      <c r="AC113" s="109">
        <f t="shared" si="377"/>
        <v>132812</v>
      </c>
      <c r="AD113" s="109">
        <f t="shared" si="377"/>
        <v>132812</v>
      </c>
      <c r="AE113" s="109">
        <f t="shared" si="377"/>
        <v>132812</v>
      </c>
      <c r="AF113" s="109">
        <f t="shared" si="377"/>
        <v>132812</v>
      </c>
      <c r="AG113" s="109">
        <f t="shared" si="377"/>
        <v>132812</v>
      </c>
      <c r="AH113" s="536"/>
      <c r="AI113" s="109"/>
      <c r="AJ113" s="109"/>
      <c r="AK113" s="109"/>
      <c r="AL113" s="109"/>
      <c r="AM113" s="109"/>
      <c r="AN113" s="276"/>
      <c r="AO113" s="276"/>
      <c r="AP113" s="109"/>
      <c r="AQ113" s="109"/>
      <c r="AR113" s="109"/>
      <c r="AS113" s="109"/>
      <c r="AT113" s="109"/>
      <c r="AU113" s="109"/>
      <c r="AV113" s="109"/>
      <c r="AW113" s="109"/>
      <c r="AX113" s="109"/>
      <c r="AY113" s="109"/>
      <c r="AZ113" s="109"/>
      <c r="BA113" s="109"/>
      <c r="BB113" s="109"/>
      <c r="BC113" s="109">
        <v>44954</v>
      </c>
      <c r="BD113" s="109">
        <v>41586</v>
      </c>
      <c r="BE113" s="109">
        <v>41990</v>
      </c>
      <c r="BF113" s="109">
        <v>44083</v>
      </c>
      <c r="BG113" s="109">
        <v>43627</v>
      </c>
      <c r="BH113" s="109">
        <v>44080</v>
      </c>
      <c r="BI113" s="109">
        <v>44262</v>
      </c>
      <c r="BJ113" s="109">
        <v>44725</v>
      </c>
      <c r="BK113" s="109">
        <v>44804</v>
      </c>
      <c r="BL113" s="109">
        <v>46348</v>
      </c>
      <c r="BM113" s="109">
        <v>46339</v>
      </c>
      <c r="BN113" s="109">
        <v>45769</v>
      </c>
      <c r="BO113" s="109">
        <v>46448</v>
      </c>
      <c r="BP113" s="109">
        <v>46379</v>
      </c>
      <c r="BQ113" s="109">
        <v>46444</v>
      </c>
      <c r="BR113" s="171">
        <v>46280</v>
      </c>
      <c r="BS113" s="109">
        <v>46357</v>
      </c>
      <c r="BT113" s="109">
        <v>46357</v>
      </c>
      <c r="BU113" s="109">
        <v>47448</v>
      </c>
      <c r="BV113" s="171">
        <v>47986</v>
      </c>
      <c r="BW113" s="109">
        <v>52838</v>
      </c>
      <c r="BX113" s="109">
        <v>52924</v>
      </c>
      <c r="BY113" s="109">
        <v>52933</v>
      </c>
      <c r="BZ113" s="171">
        <f t="shared" ref="BZ113:DN113" si="378">BZ27</f>
        <v>59458</v>
      </c>
      <c r="CA113" s="109">
        <f t="shared" si="378"/>
        <v>58927</v>
      </c>
      <c r="CB113" s="109">
        <f t="shared" si="378"/>
        <v>59247</v>
      </c>
      <c r="CC113" s="109">
        <f t="shared" si="378"/>
        <v>61754</v>
      </c>
      <c r="CD113" s="171">
        <f t="shared" si="378"/>
        <v>61008</v>
      </c>
      <c r="CE113" s="109">
        <f t="shared" si="378"/>
        <v>60910</v>
      </c>
      <c r="CF113" s="109">
        <f t="shared" si="378"/>
        <v>61275</v>
      </c>
      <c r="CG113" s="109">
        <f t="shared" si="378"/>
        <v>61029</v>
      </c>
      <c r="CH113" s="171">
        <f t="shared" si="378"/>
        <v>60933</v>
      </c>
      <c r="CI113" s="109">
        <f t="shared" si="378"/>
        <v>70615</v>
      </c>
      <c r="CJ113" s="109">
        <f t="shared" si="378"/>
        <v>72812</v>
      </c>
      <c r="CK113" s="109">
        <f t="shared" si="378"/>
        <v>73208</v>
      </c>
      <c r="CL113" s="171">
        <f t="shared" si="378"/>
        <v>100703</v>
      </c>
      <c r="CM113" s="109">
        <f t="shared" si="378"/>
        <v>101129</v>
      </c>
      <c r="CN113" s="109">
        <f t="shared" si="378"/>
        <v>101037</v>
      </c>
      <c r="CO113" s="109">
        <f t="shared" si="378"/>
        <v>101303</v>
      </c>
      <c r="CP113" s="171">
        <f t="shared" si="378"/>
        <v>101238</v>
      </c>
      <c r="CQ113" s="109">
        <f t="shared" si="378"/>
        <v>101226</v>
      </c>
      <c r="CR113" s="109">
        <f t="shared" si="378"/>
        <v>100567</v>
      </c>
      <c r="CS113" s="109">
        <f t="shared" si="378"/>
        <v>100814</v>
      </c>
      <c r="CT113" s="171">
        <f t="shared" si="378"/>
        <v>100697</v>
      </c>
      <c r="CU113" s="109">
        <f t="shared" si="378"/>
        <v>102576</v>
      </c>
      <c r="CV113" s="109">
        <f t="shared" si="378"/>
        <v>102659</v>
      </c>
      <c r="CW113" s="172">
        <f t="shared" si="378"/>
        <v>102485</v>
      </c>
      <c r="CX113" s="109">
        <f t="shared" si="378"/>
        <v>102503</v>
      </c>
      <c r="CY113" s="109">
        <f t="shared" si="378"/>
        <v>102507</v>
      </c>
      <c r="CZ113" s="109">
        <f t="shared" si="378"/>
        <v>107469</v>
      </c>
      <c r="DA113" s="109">
        <f t="shared" si="378"/>
        <v>107816</v>
      </c>
      <c r="DB113" s="171">
        <f t="shared" si="378"/>
        <v>105604</v>
      </c>
      <c r="DC113" s="109">
        <f t="shared" si="378"/>
        <v>105937</v>
      </c>
      <c r="DD113" s="109">
        <f t="shared" si="378"/>
        <v>106574</v>
      </c>
      <c r="DE113" s="109">
        <f t="shared" si="378"/>
        <v>106181</v>
      </c>
      <c r="DF113" s="171">
        <f t="shared" si="378"/>
        <v>103199</v>
      </c>
      <c r="DG113" s="1044">
        <f t="shared" si="378"/>
        <v>105714</v>
      </c>
      <c r="DH113" s="1044">
        <f t="shared" si="378"/>
        <v>105658</v>
      </c>
      <c r="DI113" s="172">
        <f t="shared" si="378"/>
        <v>106629</v>
      </c>
      <c r="DJ113" s="171">
        <f t="shared" si="378"/>
        <v>115205</v>
      </c>
      <c r="DK113" s="1044">
        <f t="shared" si="378"/>
        <v>119733</v>
      </c>
      <c r="DL113" s="1044">
        <f t="shared" si="378"/>
        <v>119777</v>
      </c>
      <c r="DM113" s="172">
        <f t="shared" si="378"/>
        <v>120244</v>
      </c>
      <c r="DN113" s="171">
        <f t="shared" si="378"/>
        <v>120410</v>
      </c>
      <c r="DO113" s="1044">
        <f t="shared" ref="DO113:DP113" si="379">DO27</f>
        <v>119797</v>
      </c>
      <c r="DP113" s="1044">
        <f t="shared" si="379"/>
        <v>121069</v>
      </c>
      <c r="DQ113" s="172">
        <f t="shared" ref="DQ113:DR113" si="380">DQ27</f>
        <v>122775</v>
      </c>
      <c r="DR113" s="1044">
        <f t="shared" si="380"/>
        <v>124296</v>
      </c>
      <c r="DS113" s="1044">
        <f t="shared" ref="DS113:DT113" si="381">DS27</f>
        <v>127674</v>
      </c>
      <c r="DT113" s="1044">
        <f t="shared" si="381"/>
        <v>127601</v>
      </c>
      <c r="DU113" s="1044">
        <f t="shared" ref="DU113:DV113" si="382">DU27</f>
        <v>127836</v>
      </c>
      <c r="DV113" s="1044">
        <f t="shared" si="382"/>
        <v>132812</v>
      </c>
      <c r="DW113" s="1044">
        <f t="shared" ref="DW113:DY113" si="383">DW27</f>
        <v>132812</v>
      </c>
      <c r="DX113" s="1044">
        <f t="shared" si="383"/>
        <v>132812</v>
      </c>
      <c r="DY113" s="172">
        <f t="shared" si="383"/>
        <v>132812</v>
      </c>
      <c r="DZ113" s="1044"/>
    </row>
    <row r="114" spans="1:130">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536"/>
      <c r="AI114" s="109"/>
      <c r="AJ114" s="109"/>
      <c r="AK114" s="109"/>
      <c r="AL114" s="109"/>
      <c r="AM114" s="109"/>
      <c r="AN114" s="276"/>
      <c r="AO114" s="276"/>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71"/>
      <c r="BS114" s="109"/>
      <c r="BT114" s="109"/>
      <c r="BU114" s="109"/>
      <c r="BV114" s="171"/>
      <c r="BW114" s="109"/>
      <c r="BX114" s="109"/>
      <c r="BY114" s="109"/>
      <c r="BZ114" s="171"/>
      <c r="CA114" s="109"/>
      <c r="CB114" s="109"/>
      <c r="CC114" s="109"/>
      <c r="CD114" s="171"/>
      <c r="CE114" s="109"/>
      <c r="CF114" s="109"/>
      <c r="CG114" s="109"/>
      <c r="CH114" s="171"/>
      <c r="CI114" s="109"/>
      <c r="CJ114" s="109"/>
      <c r="CK114" s="109"/>
      <c r="CL114" s="171"/>
      <c r="CM114" s="109"/>
      <c r="CN114" s="109"/>
      <c r="CO114" s="109"/>
      <c r="CP114" s="171"/>
      <c r="CQ114" s="109"/>
      <c r="CR114" s="109"/>
      <c r="CS114" s="109"/>
      <c r="CT114" s="171"/>
      <c r="CU114" s="109"/>
      <c r="CV114" s="109"/>
      <c r="CW114" s="172"/>
      <c r="CX114" s="109"/>
      <c r="CY114" s="109"/>
      <c r="CZ114" s="109"/>
      <c r="DA114" s="109"/>
      <c r="DB114" s="171"/>
      <c r="DC114" s="109"/>
      <c r="DD114" s="109"/>
      <c r="DE114" s="109"/>
      <c r="DF114" s="171"/>
      <c r="DG114" s="1044"/>
      <c r="DH114" s="1044"/>
      <c r="DI114" s="172"/>
      <c r="DJ114" s="171"/>
      <c r="DK114" s="1044"/>
      <c r="DL114" s="1044"/>
      <c r="DM114" s="172"/>
      <c r="DN114" s="171"/>
      <c r="DO114" s="1044"/>
      <c r="DP114" s="1044"/>
      <c r="DQ114" s="172"/>
      <c r="DR114" s="1044"/>
      <c r="DS114" s="1044"/>
      <c r="DT114" s="1044"/>
      <c r="DU114" s="1044"/>
      <c r="DV114" s="1044"/>
      <c r="DW114" s="1044"/>
      <c r="DX114" s="1044"/>
      <c r="DY114" s="172"/>
      <c r="DZ114" s="1044"/>
    </row>
    <row r="115" spans="1:130">
      <c r="A115" s="195" t="s">
        <v>1297</v>
      </c>
      <c r="B115" s="94"/>
      <c r="C115" s="94"/>
      <c r="D115" s="94"/>
      <c r="E115" s="94"/>
      <c r="F115" s="94">
        <v>0.13915325327534542</v>
      </c>
      <c r="G115" s="94">
        <v>0.14368491330363101</v>
      </c>
      <c r="H115" s="94">
        <v>0.13802658240648488</v>
      </c>
      <c r="I115" s="94">
        <v>0.13282280810360952</v>
      </c>
      <c r="J115" s="94">
        <v>0.15055011199193821</v>
      </c>
      <c r="K115" s="94">
        <v>0.13900466071932571</v>
      </c>
      <c r="L115" s="94">
        <v>0.14427649501756415</v>
      </c>
      <c r="M115" s="94">
        <v>0.14508172848728115</v>
      </c>
      <c r="N115" s="94">
        <f t="shared" ref="N115:V115" si="384">+((N116*(1-N117))/(N118+N119))</f>
        <v>0.13757940239103983</v>
      </c>
      <c r="O115" s="94">
        <f t="shared" si="384"/>
        <v>0.14213831003610666</v>
      </c>
      <c r="P115" s="94">
        <f t="shared" si="384"/>
        <v>0.15569767837499299</v>
      </c>
      <c r="Q115" s="94">
        <f t="shared" si="384"/>
        <v>0.14510910148157719</v>
      </c>
      <c r="R115" s="94">
        <f t="shared" si="384"/>
        <v>0.17403747270814626</v>
      </c>
      <c r="S115" s="94">
        <f t="shared" si="384"/>
        <v>0.17748137660687352</v>
      </c>
      <c r="T115" s="94">
        <f t="shared" si="384"/>
        <v>0.1866906358345776</v>
      </c>
      <c r="U115" s="94">
        <f t="shared" si="384"/>
        <v>0.22438815603778231</v>
      </c>
      <c r="V115" s="94">
        <f t="shared" si="384"/>
        <v>0.23539275879776828</v>
      </c>
      <c r="W115" s="94">
        <f t="shared" ref="W115:AB115" si="385">+((W116*(1-W117))/(W118+W119))</f>
        <v>0.25229862475512349</v>
      </c>
      <c r="X115" s="94">
        <f t="shared" si="385"/>
        <v>0.24069559773479199</v>
      </c>
      <c r="Y115" s="94">
        <f t="shared" si="385"/>
        <v>0.24549954281592437</v>
      </c>
      <c r="Z115" s="94">
        <f t="shared" ca="1" si="385"/>
        <v>0.26755343451705804</v>
      </c>
      <c r="AA115" s="94">
        <f t="shared" ca="1" si="385"/>
        <v>0.27398843600029837</v>
      </c>
      <c r="AB115" s="94">
        <f t="shared" ca="1" si="385"/>
        <v>0.27993558335061353</v>
      </c>
      <c r="AC115" s="94">
        <f t="shared" ref="AC115:AG115" ca="1" si="386">+((AC116*(1-AC117))/(AC118+AC119))</f>
        <v>0.2855755080554877</v>
      </c>
      <c r="AD115" s="94">
        <f t="shared" ca="1" si="386"/>
        <v>0.29075989278276965</v>
      </c>
      <c r="AE115" s="94">
        <f t="shared" ca="1" si="386"/>
        <v>0.29543691353058488</v>
      </c>
      <c r="AF115" s="94">
        <f t="shared" ca="1" si="386"/>
        <v>0.29959873672171455</v>
      </c>
      <c r="AG115" s="94">
        <f t="shared" ca="1" si="386"/>
        <v>0.29910316445480634</v>
      </c>
      <c r="AH115" s="138"/>
      <c r="AI115" s="94"/>
      <c r="AJ115" s="94"/>
      <c r="AK115" s="94"/>
      <c r="AL115" s="94"/>
      <c r="AM115" s="94"/>
      <c r="AN115" s="240"/>
      <c r="AO115" s="240"/>
      <c r="AP115" s="94"/>
      <c r="AQ115" s="94"/>
      <c r="AR115" s="94"/>
      <c r="AS115" s="94"/>
      <c r="AT115" s="94"/>
      <c r="AU115" s="94"/>
      <c r="AV115" s="94"/>
      <c r="AW115" s="94"/>
      <c r="AX115" s="94"/>
      <c r="AY115" s="94"/>
      <c r="AZ115" s="94"/>
      <c r="BA115" s="94"/>
      <c r="BB115" s="94"/>
      <c r="BC115" s="94">
        <v>3.6961914131781771E-2</v>
      </c>
      <c r="BD115" s="94">
        <v>3.7371089984253814E-2</v>
      </c>
      <c r="BE115" s="94">
        <v>3.6912820311464978E-2</v>
      </c>
      <c r="BF115" s="94">
        <v>3.379264047737883E-2</v>
      </c>
      <c r="BG115" s="94">
        <v>3.476022055345198E-2</v>
      </c>
      <c r="BH115" s="94">
        <v>3.4504505593299012E-2</v>
      </c>
      <c r="BI115" s="94">
        <v>3.1556271712176988E-2</v>
      </c>
      <c r="BJ115" s="94">
        <v>0.13235776219878456</v>
      </c>
      <c r="BK115" s="94">
        <v>0.14589470746143357</v>
      </c>
      <c r="BL115" s="94">
        <v>0.15932996515115194</v>
      </c>
      <c r="BM115" s="94">
        <v>0.16265464635349086</v>
      </c>
      <c r="BN115" s="94">
        <v>0.14136495182681291</v>
      </c>
      <c r="BO115" s="94">
        <v>0.14309634856424544</v>
      </c>
      <c r="BP115" s="94">
        <v>0.13033847174294091</v>
      </c>
      <c r="BQ115" s="94">
        <v>0.13117991228200207</v>
      </c>
      <c r="BR115" s="147">
        <v>0.13314217259636768</v>
      </c>
      <c r="BS115" s="94">
        <v>0.14852169981945887</v>
      </c>
      <c r="BT115" s="94">
        <v>0.15215891875205331</v>
      </c>
      <c r="BU115" s="94">
        <v>0.14254985137406892</v>
      </c>
      <c r="BV115" s="147">
        <v>0.137984256184391</v>
      </c>
      <c r="BW115" s="94">
        <v>0.14669416811692873</v>
      </c>
      <c r="BX115" s="94">
        <v>0.1508275524984502</v>
      </c>
      <c r="BY115" s="94">
        <v>0.1540741291558568</v>
      </c>
      <c r="BZ115" s="147">
        <f t="shared" ref="BZ115:DE115" si="387">+((4*BZ116*(1-BZ117))/(BZ118+BZ119))</f>
        <v>0.13762417919724509</v>
      </c>
      <c r="CA115" s="94">
        <f t="shared" si="387"/>
        <v>0.1363836190028396</v>
      </c>
      <c r="CB115" s="94">
        <f t="shared" si="387"/>
        <v>0.13848976737017546</v>
      </c>
      <c r="CC115" s="94">
        <f t="shared" si="387"/>
        <v>0.13709166776996709</v>
      </c>
      <c r="CD115" s="147">
        <f t="shared" si="387"/>
        <v>0.13468272303483364</v>
      </c>
      <c r="CE115" s="94">
        <f t="shared" si="387"/>
        <v>0.14458583574798209</v>
      </c>
      <c r="CF115" s="94">
        <f t="shared" si="387"/>
        <v>0.15377342567465807</v>
      </c>
      <c r="CG115" s="94">
        <f t="shared" si="387"/>
        <v>0.14885288619191453</v>
      </c>
      <c r="CH115" s="147">
        <f t="shared" si="387"/>
        <v>0.15182205439111748</v>
      </c>
      <c r="CI115" s="94">
        <f t="shared" si="387"/>
        <v>0.15787506204830931</v>
      </c>
      <c r="CJ115" s="94">
        <f t="shared" si="387"/>
        <v>0.15303184197454847</v>
      </c>
      <c r="CK115" s="94">
        <f t="shared" si="387"/>
        <v>0.16066718462321927</v>
      </c>
      <c r="CL115" s="147">
        <f t="shared" si="387"/>
        <v>0.14537999205082985</v>
      </c>
      <c r="CM115" s="94">
        <f t="shared" si="387"/>
        <v>0.14901019707753332</v>
      </c>
      <c r="CN115" s="94">
        <f t="shared" si="387"/>
        <v>0.14932497442555481</v>
      </c>
      <c r="CO115" s="94">
        <f t="shared" si="387"/>
        <v>0.14452412775736834</v>
      </c>
      <c r="CP115" s="147">
        <f t="shared" si="387"/>
        <v>0.14696855350871382</v>
      </c>
      <c r="CQ115" s="94">
        <f t="shared" si="387"/>
        <v>0.16490117772649915</v>
      </c>
      <c r="CR115" s="94">
        <f t="shared" si="387"/>
        <v>0.17901951584631423</v>
      </c>
      <c r="CS115" s="94">
        <f t="shared" si="387"/>
        <v>0.17859547473502735</v>
      </c>
      <c r="CT115" s="147">
        <f t="shared" si="387"/>
        <v>0.16242801776129467</v>
      </c>
      <c r="CU115" s="94">
        <f t="shared" si="387"/>
        <v>0.17402168780080066</v>
      </c>
      <c r="CV115" s="94">
        <f t="shared" si="387"/>
        <v>0.18606652030500412</v>
      </c>
      <c r="CW115" s="101">
        <f t="shared" si="387"/>
        <v>0.17146300023432537</v>
      </c>
      <c r="CX115" s="94">
        <f t="shared" si="387"/>
        <v>0.18078471324667869</v>
      </c>
      <c r="CY115" s="94">
        <f t="shared" si="387"/>
        <v>0.1965532043498088</v>
      </c>
      <c r="CZ115" s="94">
        <f t="shared" si="387"/>
        <v>0.21005067733230293</v>
      </c>
      <c r="DA115" s="94">
        <f t="shared" si="387"/>
        <v>0.15734498397196237</v>
      </c>
      <c r="DB115" s="147">
        <f t="shared" si="387"/>
        <v>0.20952066124279106</v>
      </c>
      <c r="DC115" s="94">
        <f t="shared" si="387"/>
        <v>0.21491198305816814</v>
      </c>
      <c r="DD115" s="94">
        <f t="shared" si="387"/>
        <v>0.24277447355056131</v>
      </c>
      <c r="DE115" s="94">
        <f t="shared" si="387"/>
        <v>0.20941296550233732</v>
      </c>
      <c r="DF115" s="147">
        <f>+((4*DF116*(1-DF117))/(DF118+DF119))</f>
        <v>0.27900375149716922</v>
      </c>
      <c r="DG115" s="1045">
        <f>+((4*DG116*(1-DG117))/(DG118+DG119))</f>
        <v>0.23519449807407386</v>
      </c>
      <c r="DH115" s="1045">
        <f>+((4*DH116*(1-DH117))/(DH118+DH119))</f>
        <v>0.23579152290891506</v>
      </c>
      <c r="DI115" s="101">
        <f>+((4*DI116*(1-DI117))/(DI118+DI119))</f>
        <v>0.19622427711684606</v>
      </c>
      <c r="DJ115" s="147">
        <f t="shared" ref="DJ115:DM115" si="388">+((4*DJ116*(1-DJ117))/(DJ118+DJ119))</f>
        <v>0.25166733618770254</v>
      </c>
      <c r="DK115" s="1045">
        <f t="shared" si="388"/>
        <v>0.25447069111328335</v>
      </c>
      <c r="DL115" s="1045">
        <f t="shared" si="388"/>
        <v>0.25957181471415758</v>
      </c>
      <c r="DM115" s="101">
        <f t="shared" si="388"/>
        <v>0.2250726454536971</v>
      </c>
      <c r="DN115" s="147">
        <f t="shared" ref="DN115:DO115" si="389">+((4*DN116*(1-DN117))/(DN118+DN119))</f>
        <v>0.26300376018878929</v>
      </c>
      <c r="DO115" s="1045">
        <f t="shared" si="389"/>
        <v>0.26506373173211489</v>
      </c>
      <c r="DP115" s="1045">
        <f t="shared" ref="DP115:DQ115" si="390">+((4*DP116*(1-DP117))/(DP118+DP119))</f>
        <v>0.26821316716922711</v>
      </c>
      <c r="DQ115" s="101">
        <f t="shared" si="390"/>
        <v>0.22661602006922024</v>
      </c>
      <c r="DR115" s="1045">
        <f t="shared" ref="DR115:DS115" si="391">+((4*DR116*(1-DR117))/(DR118+DR119))</f>
        <v>0.26883390628559156</v>
      </c>
      <c r="DS115" s="1045">
        <f t="shared" si="391"/>
        <v>0.24218842769919016</v>
      </c>
      <c r="DT115" s="1045">
        <f t="shared" ref="DT115:DU115" si="392">+((4*DT116*(1-DT117))/(DT118+DT119))</f>
        <v>0.25337136375003377</v>
      </c>
      <c r="DU115" s="1045">
        <f t="shared" si="392"/>
        <v>0.23333984797544483</v>
      </c>
      <c r="DV115" s="1045">
        <f t="shared" ref="DV115" si="393">+((4*DV116*(1-DV117))/(DV118+DV119))</f>
        <v>0.27036216175630412</v>
      </c>
      <c r="DW115" s="1045">
        <f t="shared" ref="DW115:DY115" ca="1" si="394">+((4*DW116*(1-DW117))/(DW118+DW119))</f>
        <v>0.27091610757737866</v>
      </c>
      <c r="DX115" s="1045">
        <f t="shared" ca="1" si="394"/>
        <v>0.27848320220915707</v>
      </c>
      <c r="DY115" s="101">
        <f t="shared" ca="1" si="394"/>
        <v>0.24160134601530861</v>
      </c>
      <c r="DZ115" s="1045"/>
    </row>
    <row r="116" spans="1:130">
      <c r="A116" s="109" t="s">
        <v>1292</v>
      </c>
      <c r="B116" s="109"/>
      <c r="C116" s="109"/>
      <c r="D116" s="109"/>
      <c r="E116" s="109"/>
      <c r="F116" s="109">
        <v>13527</v>
      </c>
      <c r="G116" s="109">
        <v>14671.02</v>
      </c>
      <c r="H116" s="109">
        <v>15026.62</v>
      </c>
      <c r="I116" s="109">
        <v>15871</v>
      </c>
      <c r="J116" s="109">
        <v>16998</v>
      </c>
      <c r="K116" s="109">
        <v>14846</v>
      </c>
      <c r="L116" s="109">
        <v>15073</v>
      </c>
      <c r="M116" s="109">
        <v>15427</v>
      </c>
      <c r="N116" s="109">
        <f t="shared" ref="N116:V116" si="395">N109</f>
        <v>15696.931688804558</v>
      </c>
      <c r="O116" s="109">
        <f t="shared" si="395"/>
        <v>17886</v>
      </c>
      <c r="P116" s="109">
        <f t="shared" si="395"/>
        <v>19450</v>
      </c>
      <c r="Q116" s="109">
        <f t="shared" si="395"/>
        <v>18928</v>
      </c>
      <c r="R116" s="109">
        <f t="shared" si="395"/>
        <v>20298</v>
      </c>
      <c r="S116" s="109">
        <f t="shared" si="395"/>
        <v>20459</v>
      </c>
      <c r="T116" s="109">
        <f t="shared" si="395"/>
        <v>22497</v>
      </c>
      <c r="U116" s="109">
        <f t="shared" si="395"/>
        <v>27015</v>
      </c>
      <c r="V116" s="109">
        <f t="shared" si="395"/>
        <v>28321</v>
      </c>
      <c r="W116" s="109">
        <f t="shared" ref="W116:X119" si="396">W109</f>
        <v>29951</v>
      </c>
      <c r="X116" s="109">
        <f t="shared" si="396"/>
        <v>29908</v>
      </c>
      <c r="Y116" s="109">
        <f t="shared" ref="Y116:Z116" si="397">Y109</f>
        <v>31303</v>
      </c>
      <c r="Z116" s="109">
        <f t="shared" ca="1" si="397"/>
        <v>31948.130901347889</v>
      </c>
      <c r="AA116" s="109">
        <f t="shared" ref="AA116:AB119" ca="1" si="398">AA109</f>
        <v>32988.216768850136</v>
      </c>
      <c r="AB116" s="109">
        <f t="shared" ca="1" si="398"/>
        <v>33899.056414153922</v>
      </c>
      <c r="AC116" s="109">
        <f t="shared" ref="AC116:AG116" ca="1" si="399">AC109</f>
        <v>34895.609259253804</v>
      </c>
      <c r="AD116" s="109">
        <f t="shared" ca="1" si="399"/>
        <v>35966.8013921784</v>
      </c>
      <c r="AE116" s="109">
        <f t="shared" ca="1" si="399"/>
        <v>37113.29881018342</v>
      </c>
      <c r="AF116" s="109">
        <f t="shared" ca="1" si="399"/>
        <v>38341.17680291002</v>
      </c>
      <c r="AG116" s="109">
        <f t="shared" ca="1" si="399"/>
        <v>39618.521449293999</v>
      </c>
      <c r="AH116" s="536"/>
      <c r="AI116" s="109"/>
      <c r="AJ116" s="109"/>
      <c r="AK116" s="109"/>
      <c r="AL116" s="109"/>
      <c r="AM116" s="109"/>
      <c r="AN116" s="276"/>
      <c r="AO116" s="276"/>
      <c r="AP116" s="109"/>
      <c r="AQ116" s="109"/>
      <c r="AR116" s="109"/>
      <c r="AS116" s="109"/>
      <c r="AT116" s="109"/>
      <c r="AU116" s="109"/>
      <c r="AV116" s="109"/>
      <c r="AW116" s="109"/>
      <c r="AX116" s="109"/>
      <c r="AY116" s="109"/>
      <c r="AZ116" s="109"/>
      <c r="BA116" s="109"/>
      <c r="BB116" s="109"/>
      <c r="BC116" s="109">
        <v>3847.5380999999998</v>
      </c>
      <c r="BD116" s="109">
        <v>3922.93</v>
      </c>
      <c r="BE116" s="109">
        <v>3862.125</v>
      </c>
      <c r="BF116" s="109">
        <v>3914</v>
      </c>
      <c r="BG116" s="109">
        <v>4234</v>
      </c>
      <c r="BH116" s="109">
        <v>4018</v>
      </c>
      <c r="BI116" s="109">
        <v>3705</v>
      </c>
      <c r="BJ116" s="109">
        <v>3975</v>
      </c>
      <c r="BK116" s="109">
        <v>4175</v>
      </c>
      <c r="BL116" s="109">
        <v>4335</v>
      </c>
      <c r="BM116" s="109">
        <v>4513</v>
      </c>
      <c r="BN116" s="109">
        <v>3986.25</v>
      </c>
      <c r="BO116" s="109">
        <v>3920.25</v>
      </c>
      <c r="BP116" s="109">
        <v>3499.25</v>
      </c>
      <c r="BQ116" s="109">
        <v>3440.25</v>
      </c>
      <c r="BR116" s="171">
        <v>3496.5</v>
      </c>
      <c r="BS116" s="109">
        <v>3910.5</v>
      </c>
      <c r="BT116" s="109">
        <v>3909.5</v>
      </c>
      <c r="BU116" s="109">
        <v>3756.5</v>
      </c>
      <c r="BV116" s="171">
        <v>3552.5</v>
      </c>
      <c r="BW116" s="109">
        <v>3769.5</v>
      </c>
      <c r="BX116" s="109">
        <v>3891.5</v>
      </c>
      <c r="BY116" s="109">
        <v>4103.5</v>
      </c>
      <c r="BZ116" s="171">
        <f t="shared" ref="BZ116:DE116" si="400">BZ109</f>
        <v>3819.6816888045505</v>
      </c>
      <c r="CA116" s="109">
        <f t="shared" si="400"/>
        <v>3948.75</v>
      </c>
      <c r="CB116" s="109">
        <f t="shared" si="400"/>
        <v>3941.75</v>
      </c>
      <c r="CC116" s="109">
        <f t="shared" si="400"/>
        <v>3986.75</v>
      </c>
      <c r="CD116" s="171">
        <f t="shared" si="400"/>
        <v>4193.25</v>
      </c>
      <c r="CE116" s="109">
        <f t="shared" si="400"/>
        <v>4465.25</v>
      </c>
      <c r="CF116" s="109">
        <f t="shared" si="400"/>
        <v>4598.25</v>
      </c>
      <c r="CG116" s="109">
        <f t="shared" si="400"/>
        <v>4629.25</v>
      </c>
      <c r="CH116" s="171">
        <f t="shared" si="400"/>
        <v>4766.75</v>
      </c>
      <c r="CI116" s="109">
        <f t="shared" si="400"/>
        <v>4927.75</v>
      </c>
      <c r="CJ116" s="109">
        <f t="shared" si="400"/>
        <v>4833.75</v>
      </c>
      <c r="CK116" s="109">
        <f t="shared" si="400"/>
        <v>4921.75</v>
      </c>
      <c r="CL116" s="171">
        <f t="shared" si="400"/>
        <v>4692.5</v>
      </c>
      <c r="CM116" s="109">
        <f t="shared" si="400"/>
        <v>4879.5</v>
      </c>
      <c r="CN116" s="109">
        <f t="shared" si="400"/>
        <v>4803.5</v>
      </c>
      <c r="CO116" s="109">
        <f t="shared" si="400"/>
        <v>4552.5</v>
      </c>
      <c r="CP116" s="171">
        <f t="shared" si="400"/>
        <v>4729</v>
      </c>
      <c r="CQ116" s="109">
        <f t="shared" si="400"/>
        <v>5069</v>
      </c>
      <c r="CR116" s="109">
        <f t="shared" si="400"/>
        <v>5250</v>
      </c>
      <c r="CS116" s="109">
        <f t="shared" si="400"/>
        <v>5250</v>
      </c>
      <c r="CT116" s="171">
        <f t="shared" si="400"/>
        <v>4829.25</v>
      </c>
      <c r="CU116" s="109">
        <f t="shared" si="400"/>
        <v>5268.25</v>
      </c>
      <c r="CV116" s="109">
        <f t="shared" si="400"/>
        <v>5352.25</v>
      </c>
      <c r="CW116" s="172">
        <f t="shared" si="400"/>
        <v>5009.25</v>
      </c>
      <c r="CX116" s="109">
        <f t="shared" si="400"/>
        <v>5562</v>
      </c>
      <c r="CY116" s="109">
        <f t="shared" si="400"/>
        <v>5991</v>
      </c>
      <c r="CZ116" s="109">
        <f t="shared" si="400"/>
        <v>6270</v>
      </c>
      <c r="DA116" s="109">
        <f t="shared" si="400"/>
        <v>4674</v>
      </c>
      <c r="DB116" s="171">
        <f t="shared" si="400"/>
        <v>6612</v>
      </c>
      <c r="DC116" s="109">
        <f t="shared" si="400"/>
        <v>6710</v>
      </c>
      <c r="DD116" s="109">
        <f t="shared" si="400"/>
        <v>7242</v>
      </c>
      <c r="DE116" s="109">
        <f t="shared" si="400"/>
        <v>6451</v>
      </c>
      <c r="DF116" s="171">
        <f t="shared" ref="DF116:DG119" si="401">DF109</f>
        <v>7554</v>
      </c>
      <c r="DG116" s="1044">
        <f t="shared" si="401"/>
        <v>7372</v>
      </c>
      <c r="DH116" s="1044">
        <f t="shared" ref="DH116:DI119" si="402">DH109</f>
        <v>7290</v>
      </c>
      <c r="DI116" s="172">
        <f t="shared" si="402"/>
        <v>6105</v>
      </c>
      <c r="DJ116" s="171">
        <f t="shared" ref="DJ116:DK119" si="403">DJ109</f>
        <v>7805</v>
      </c>
      <c r="DK116" s="1044">
        <f t="shared" si="403"/>
        <v>7674</v>
      </c>
      <c r="DL116" s="1044">
        <f t="shared" ref="DL116:DM119" si="404">DL109</f>
        <v>7733</v>
      </c>
      <c r="DM116" s="172">
        <f t="shared" si="404"/>
        <v>6739</v>
      </c>
      <c r="DN116" s="171">
        <f t="shared" ref="DN116:DO116" si="405">DN109</f>
        <v>7840</v>
      </c>
      <c r="DO116" s="1044">
        <f t="shared" si="405"/>
        <v>7497</v>
      </c>
      <c r="DP116" s="1044">
        <f t="shared" ref="DP116:DQ116" si="406">DP109</f>
        <v>7737</v>
      </c>
      <c r="DQ116" s="172">
        <f t="shared" si="406"/>
        <v>6834</v>
      </c>
      <c r="DR116" s="1044">
        <f t="shared" ref="DR116:DS116" si="407">DR109</f>
        <v>7707</v>
      </c>
      <c r="DS116" s="1044">
        <f t="shared" si="407"/>
        <v>7617</v>
      </c>
      <c r="DT116" s="1044">
        <f t="shared" ref="DT116:DU116" si="408">DT109</f>
        <v>8228</v>
      </c>
      <c r="DU116" s="1044">
        <f t="shared" si="408"/>
        <v>7751</v>
      </c>
      <c r="DV116" s="1044">
        <f t="shared" ref="DV116" si="409">DV109</f>
        <v>8105</v>
      </c>
      <c r="DW116" s="1044">
        <f t="shared" ref="DW116:DY119" ca="1" si="410">DW109</f>
        <v>8172.6987461556455</v>
      </c>
      <c r="DX116" s="1044">
        <f t="shared" ca="1" si="410"/>
        <v>8421.7092838897006</v>
      </c>
      <c r="DY116" s="172">
        <f t="shared" ca="1" si="410"/>
        <v>7248.7228713025543</v>
      </c>
      <c r="DZ116" s="1044"/>
    </row>
    <row r="117" spans="1:130">
      <c r="A117" s="94" t="s">
        <v>1293</v>
      </c>
      <c r="B117" s="94"/>
      <c r="C117" s="94"/>
      <c r="D117" s="94"/>
      <c r="E117" s="94"/>
      <c r="F117" s="94">
        <v>0.35625546806649167</v>
      </c>
      <c r="G117" s="94">
        <v>0.35901592350797407</v>
      </c>
      <c r="H117" s="94">
        <v>0.34351438682874286</v>
      </c>
      <c r="I117" s="94">
        <v>0.35328490208464941</v>
      </c>
      <c r="J117" s="94">
        <v>0.32893691403146352</v>
      </c>
      <c r="K117" s="94">
        <v>0.31728917982287252</v>
      </c>
      <c r="L117" s="94">
        <v>0.3129613227044582</v>
      </c>
      <c r="M117" s="94">
        <v>0.3129613227044582</v>
      </c>
      <c r="N117" s="94">
        <f t="shared" ref="N117:V117" si="411">N110</f>
        <v>0.32415150115359787</v>
      </c>
      <c r="O117" s="94">
        <f t="shared" si="411"/>
        <v>0.3558876045484447</v>
      </c>
      <c r="P117" s="94">
        <f t="shared" si="411"/>
        <v>0.34418056562726612</v>
      </c>
      <c r="Q117" s="94">
        <f t="shared" si="411"/>
        <v>0.30899916774405761</v>
      </c>
      <c r="R117" s="94">
        <f t="shared" si="411"/>
        <v>0.31118955525265352</v>
      </c>
      <c r="S117" s="94">
        <f t="shared" si="411"/>
        <v>0.30514293050325231</v>
      </c>
      <c r="T117" s="94">
        <f t="shared" si="411"/>
        <v>0.30129388516851457</v>
      </c>
      <c r="U117" s="94">
        <f t="shared" si="411"/>
        <v>0.30806384087627414</v>
      </c>
      <c r="V117" s="94">
        <f t="shared" si="411"/>
        <v>0.30479303258635876</v>
      </c>
      <c r="W117" s="94">
        <f t="shared" si="396"/>
        <v>0.38685478619492081</v>
      </c>
      <c r="X117" s="94">
        <f t="shared" si="396"/>
        <v>0.35157533084492704</v>
      </c>
      <c r="Y117" s="94">
        <f t="shared" ref="Y117:Z117" si="412">Y110</f>
        <v>0.3191138450566105</v>
      </c>
      <c r="Z117" s="94">
        <f t="shared" ca="1" si="412"/>
        <v>0.24621328907294515</v>
      </c>
      <c r="AA117" s="94">
        <f t="shared" si="398"/>
        <v>0.25</v>
      </c>
      <c r="AB117" s="94">
        <f t="shared" si="398"/>
        <v>0.25</v>
      </c>
      <c r="AC117" s="94">
        <f t="shared" ref="AC117:AG117" si="413">AC110</f>
        <v>0.25</v>
      </c>
      <c r="AD117" s="94">
        <f t="shared" si="413"/>
        <v>0.25</v>
      </c>
      <c r="AE117" s="94">
        <f t="shared" si="413"/>
        <v>0.25</v>
      </c>
      <c r="AF117" s="94">
        <f t="shared" si="413"/>
        <v>0.25</v>
      </c>
      <c r="AG117" s="94">
        <f t="shared" si="413"/>
        <v>0.25</v>
      </c>
      <c r="AH117" s="138"/>
      <c r="AI117" s="94"/>
      <c r="AJ117" s="94"/>
      <c r="AK117" s="94"/>
      <c r="AL117" s="94"/>
      <c r="AM117" s="94"/>
      <c r="AN117" s="240"/>
      <c r="AO117" s="240"/>
      <c r="AP117" s="94"/>
      <c r="AQ117" s="94"/>
      <c r="AR117" s="94"/>
      <c r="AS117" s="94"/>
      <c r="AT117" s="94"/>
      <c r="AU117" s="94"/>
      <c r="AV117" s="94"/>
      <c r="AW117" s="94"/>
      <c r="AX117" s="94"/>
      <c r="AY117" s="94"/>
      <c r="AZ117" s="94"/>
      <c r="BA117" s="94"/>
      <c r="BB117" s="94"/>
      <c r="BC117" s="94">
        <v>0.37069782128197032</v>
      </c>
      <c r="BD117" s="94">
        <v>0.37649277184160906</v>
      </c>
      <c r="BE117" s="94">
        <v>0.31691510045366172</v>
      </c>
      <c r="BF117" s="94">
        <v>0.35530652603823337</v>
      </c>
      <c r="BG117" s="94">
        <v>0.36773999398134216</v>
      </c>
      <c r="BH117" s="94">
        <v>0.34761752478413815</v>
      </c>
      <c r="BI117" s="94">
        <v>0.34182389937106916</v>
      </c>
      <c r="BJ117" s="94">
        <v>0.33867735470941884</v>
      </c>
      <c r="BK117" s="94">
        <v>0.33113828786453436</v>
      </c>
      <c r="BL117" s="94">
        <v>0.32942667089008554</v>
      </c>
      <c r="BM117" s="94">
        <v>0.31731361675908809</v>
      </c>
      <c r="BN117" s="94">
        <v>0.32597864768683277</v>
      </c>
      <c r="BO117" s="94">
        <v>0.31719653179190749</v>
      </c>
      <c r="BP117" s="94">
        <v>0.31886345698500396</v>
      </c>
      <c r="BQ117" s="94">
        <v>0.30492091388400705</v>
      </c>
      <c r="BR117" s="147">
        <v>0.30354058721934368</v>
      </c>
      <c r="BS117" s="94">
        <v>0.31662167373698419</v>
      </c>
      <c r="BT117" s="94">
        <v>0.3115193264446996</v>
      </c>
      <c r="BU117" s="94">
        <v>0.31906025009473288</v>
      </c>
      <c r="BV117" s="147">
        <v>0.3081657775954042</v>
      </c>
      <c r="BW117" s="94">
        <v>0.30299352750809061</v>
      </c>
      <c r="BX117" s="94">
        <v>0.30955165692007797</v>
      </c>
      <c r="BY117" s="94">
        <v>0.31425091352009743</v>
      </c>
      <c r="BZ117" s="147">
        <f t="shared" ref="BZ117:DE117" si="414">BZ110</f>
        <v>0.30484990172752713</v>
      </c>
      <c r="CA117" s="94">
        <f t="shared" si="414"/>
        <v>0.3344962930658526</v>
      </c>
      <c r="CB117" s="94">
        <f t="shared" si="414"/>
        <v>0.32026970080067424</v>
      </c>
      <c r="CC117" s="94">
        <f t="shared" si="414"/>
        <v>0.33710801393728224</v>
      </c>
      <c r="CD117" s="147">
        <f t="shared" si="414"/>
        <v>0.37152077450584914</v>
      </c>
      <c r="CE117" s="94">
        <f t="shared" si="414"/>
        <v>0.36210131332082551</v>
      </c>
      <c r="CF117" s="94">
        <f t="shared" si="414"/>
        <v>0.34322954380883419</v>
      </c>
      <c r="CG117" s="94">
        <f t="shared" si="414"/>
        <v>0.34844606946983547</v>
      </c>
      <c r="CH117" s="147">
        <f t="shared" si="414"/>
        <v>0.35969106289076869</v>
      </c>
      <c r="CI117" s="94">
        <f t="shared" si="414"/>
        <v>0.34322180062090374</v>
      </c>
      <c r="CJ117" s="94">
        <f t="shared" si="414"/>
        <v>0.34191954834156668</v>
      </c>
      <c r="CK117" s="94">
        <f t="shared" si="414"/>
        <v>0.33139534883720928</v>
      </c>
      <c r="CL117" s="147">
        <f t="shared" si="414"/>
        <v>0.33278561346687868</v>
      </c>
      <c r="CM117" s="94">
        <f t="shared" si="414"/>
        <v>0.31275745872910155</v>
      </c>
      <c r="CN117" s="94">
        <f t="shared" si="414"/>
        <v>0.30226673889081473</v>
      </c>
      <c r="CO117" s="94">
        <f t="shared" si="414"/>
        <v>0.28464921849079416</v>
      </c>
      <c r="CP117" s="147">
        <f t="shared" si="414"/>
        <v>0.29865947408941745</v>
      </c>
      <c r="CQ117" s="94">
        <f t="shared" si="414"/>
        <v>0.3132560491022236</v>
      </c>
      <c r="CR117" s="94">
        <f t="shared" si="414"/>
        <v>0.31444050169711485</v>
      </c>
      <c r="CS117" s="94">
        <f t="shared" si="414"/>
        <v>0.31677875912794484</v>
      </c>
      <c r="CT117" s="147">
        <f t="shared" si="414"/>
        <v>0.30009727626459143</v>
      </c>
      <c r="CU117" s="94">
        <f t="shared" si="414"/>
        <v>0.30376460406750322</v>
      </c>
      <c r="CV117" s="94">
        <f t="shared" si="414"/>
        <v>0.30225706713780914</v>
      </c>
      <c r="CW117" s="101">
        <f t="shared" si="414"/>
        <v>0.31456730769230778</v>
      </c>
      <c r="CX117" s="94">
        <f t="shared" si="414"/>
        <v>0.30119817578772801</v>
      </c>
      <c r="CY117" s="94">
        <f t="shared" si="414"/>
        <v>0.30624855268236201</v>
      </c>
      <c r="CZ117" s="94">
        <f t="shared" si="414"/>
        <v>0.30214263803680985</v>
      </c>
      <c r="DA117" s="94">
        <f t="shared" si="414"/>
        <v>0.2914005340453939</v>
      </c>
      <c r="DB117" s="147">
        <f t="shared" si="414"/>
        <v>0.30791161796151106</v>
      </c>
      <c r="DC117" s="94">
        <f t="shared" si="414"/>
        <v>0.30120776179324188</v>
      </c>
      <c r="DD117" s="94">
        <f t="shared" si="414"/>
        <v>0.3007662713427236</v>
      </c>
      <c r="DE117" s="94">
        <f t="shared" si="414"/>
        <v>0.32393632416787271</v>
      </c>
      <c r="DF117" s="147">
        <f t="shared" si="401"/>
        <v>0.20387531592249369</v>
      </c>
      <c r="DG117" s="1045">
        <f t="shared" si="401"/>
        <v>0.34108372662122005</v>
      </c>
      <c r="DH117" s="1045">
        <f t="shared" si="402"/>
        <v>0.33531210649397375</v>
      </c>
      <c r="DI117" s="101">
        <f t="shared" si="402"/>
        <v>0.32789569160997734</v>
      </c>
      <c r="DJ117" s="147">
        <f t="shared" si="403"/>
        <v>0.38882402001668059</v>
      </c>
      <c r="DK117" s="1045">
        <f t="shared" si="403"/>
        <v>0.38167170191339378</v>
      </c>
      <c r="DL117" s="1045">
        <f t="shared" si="404"/>
        <v>0.38550157519482675</v>
      </c>
      <c r="DM117" s="101">
        <f t="shared" si="404"/>
        <v>0.39224707978618095</v>
      </c>
      <c r="DN117" s="147">
        <f t="shared" ref="DN117:DO117" si="415">DN110</f>
        <v>0.38163085937499996</v>
      </c>
      <c r="DO117" s="1045">
        <f t="shared" si="415"/>
        <v>0.34985668521328611</v>
      </c>
      <c r="DP117" s="1045">
        <f t="shared" ref="DP117:DQ117" si="416">DP110</f>
        <v>0.34005763688760809</v>
      </c>
      <c r="DQ117" s="101">
        <f t="shared" si="416"/>
        <v>0.33206470028544244</v>
      </c>
      <c r="DR117" s="1045">
        <f t="shared" ref="DR117:DS117" si="417">DR110</f>
        <v>0.25782901056676272</v>
      </c>
      <c r="DS117" s="1045">
        <f t="shared" si="417"/>
        <v>0.33104866346812883</v>
      </c>
      <c r="DT117" s="1045">
        <f t="shared" ref="DT117:DU117" si="418">DT110</f>
        <v>0.33599334995843722</v>
      </c>
      <c r="DU117" s="1045">
        <f t="shared" si="418"/>
        <v>0.34659724804760134</v>
      </c>
      <c r="DV117" s="1045">
        <f t="shared" ref="DV117" si="419">DV110</f>
        <v>0.23501351566226744</v>
      </c>
      <c r="DW117" s="1045">
        <f t="shared" si="410"/>
        <v>0.25</v>
      </c>
      <c r="DX117" s="1045">
        <f t="shared" si="410"/>
        <v>0.25</v>
      </c>
      <c r="DY117" s="101">
        <f t="shared" si="410"/>
        <v>0.25</v>
      </c>
      <c r="DZ117" s="1045"/>
    </row>
    <row r="118" spans="1:130">
      <c r="A118" s="109" t="s">
        <v>1294</v>
      </c>
      <c r="B118" s="109"/>
      <c r="C118" s="109"/>
      <c r="D118" s="109"/>
      <c r="E118" s="109"/>
      <c r="F118" s="109">
        <v>61245</v>
      </c>
      <c r="G118" s="109">
        <v>62173</v>
      </c>
      <c r="H118" s="109">
        <v>69504</v>
      </c>
      <c r="I118" s="109">
        <v>74419</v>
      </c>
      <c r="J118" s="109">
        <v>73758</v>
      </c>
      <c r="K118" s="109">
        <v>75302</v>
      </c>
      <c r="L118" s="109">
        <v>74124</v>
      </c>
      <c r="M118" s="109">
        <v>75305</v>
      </c>
      <c r="N118" s="109">
        <f t="shared" ref="N118:V118" si="420">N111</f>
        <v>82356</v>
      </c>
      <c r="O118" s="109">
        <f t="shared" si="420"/>
        <v>85294</v>
      </c>
      <c r="P118" s="109">
        <f t="shared" si="420"/>
        <v>86546</v>
      </c>
      <c r="Q118" s="109">
        <f t="shared" si="420"/>
        <v>91466</v>
      </c>
      <c r="R118" s="109">
        <f t="shared" si="420"/>
        <v>87711</v>
      </c>
      <c r="S118" s="109">
        <f t="shared" si="420"/>
        <v>88434</v>
      </c>
      <c r="T118" s="109">
        <f t="shared" si="420"/>
        <v>88642</v>
      </c>
      <c r="U118" s="109">
        <f t="shared" si="420"/>
        <v>88956</v>
      </c>
      <c r="V118" s="109">
        <f t="shared" si="420"/>
        <v>89947</v>
      </c>
      <c r="W118" s="109">
        <f t="shared" si="396"/>
        <v>83541</v>
      </c>
      <c r="X118" s="109">
        <f t="shared" si="396"/>
        <v>84751</v>
      </c>
      <c r="Y118" s="109">
        <f t="shared" ref="Y118:Z118" si="421">Y111</f>
        <v>88568</v>
      </c>
      <c r="Z118" s="109">
        <f t="shared" ca="1" si="421"/>
        <v>87440.409047809313</v>
      </c>
      <c r="AA118" s="109">
        <f t="shared" ca="1" si="398"/>
        <v>87318.616409750161</v>
      </c>
      <c r="AB118" s="109">
        <f t="shared" ca="1" si="398"/>
        <v>87469.269279372413</v>
      </c>
      <c r="AC118" s="109">
        <f t="shared" ref="AC118:AG118" ca="1" si="422">AC111</f>
        <v>87899.522985148622</v>
      </c>
      <c r="AD118" s="109">
        <f t="shared" ca="1" si="422"/>
        <v>88615.323649585567</v>
      </c>
      <c r="AE118" s="109">
        <f t="shared" ca="1" si="422"/>
        <v>89623.474047036085</v>
      </c>
      <c r="AF118" s="109">
        <f t="shared" ca="1" si="422"/>
        <v>90932.492823152104</v>
      </c>
      <c r="AG118" s="109">
        <f t="shared" ca="1" si="422"/>
        <v>93813.555114791292</v>
      </c>
      <c r="AH118" s="536"/>
      <c r="AI118" s="109"/>
      <c r="AJ118" s="109"/>
      <c r="AK118" s="109"/>
      <c r="AL118" s="109"/>
      <c r="AM118" s="109"/>
      <c r="AN118" s="276"/>
      <c r="AO118" s="276"/>
      <c r="AP118" s="109"/>
      <c r="AQ118" s="109"/>
      <c r="AR118" s="109"/>
      <c r="AS118" s="109"/>
      <c r="AT118" s="109"/>
      <c r="AU118" s="109"/>
      <c r="AV118" s="109"/>
      <c r="AW118" s="109"/>
      <c r="AX118" s="109"/>
      <c r="AY118" s="109"/>
      <c r="AZ118" s="109"/>
      <c r="BA118" s="109"/>
      <c r="BB118" s="109"/>
      <c r="BC118" s="109">
        <v>64774</v>
      </c>
      <c r="BD118" s="109">
        <v>66305</v>
      </c>
      <c r="BE118" s="109">
        <v>69504</v>
      </c>
      <c r="BF118" s="109">
        <v>71369</v>
      </c>
      <c r="BG118" s="109">
        <v>73542</v>
      </c>
      <c r="BH118" s="109">
        <v>72897</v>
      </c>
      <c r="BI118" s="109">
        <v>74419</v>
      </c>
      <c r="BJ118" s="109">
        <v>73475</v>
      </c>
      <c r="BK118" s="109">
        <v>73558</v>
      </c>
      <c r="BL118" s="109">
        <v>73358</v>
      </c>
      <c r="BM118" s="109">
        <v>73758</v>
      </c>
      <c r="BN118" s="109">
        <v>76411</v>
      </c>
      <c r="BO118" s="109">
        <v>75758</v>
      </c>
      <c r="BP118" s="109">
        <v>75086</v>
      </c>
      <c r="BQ118" s="109">
        <v>75302</v>
      </c>
      <c r="BR118" s="171">
        <v>74604</v>
      </c>
      <c r="BS118" s="109">
        <v>73530</v>
      </c>
      <c r="BT118" s="109">
        <v>73486</v>
      </c>
      <c r="BU118" s="109">
        <v>74124</v>
      </c>
      <c r="BV118" s="171">
        <v>74371</v>
      </c>
      <c r="BW118" s="109">
        <v>75133</v>
      </c>
      <c r="BX118" s="109">
        <v>75192</v>
      </c>
      <c r="BY118" s="109">
        <v>75305</v>
      </c>
      <c r="BZ118" s="171">
        <f t="shared" ref="BZ118:DE118" si="423">BZ111</f>
        <v>82270</v>
      </c>
      <c r="CA118" s="109">
        <f t="shared" si="423"/>
        <v>80997</v>
      </c>
      <c r="CB118" s="109">
        <f t="shared" si="423"/>
        <v>81402</v>
      </c>
      <c r="CC118" s="109">
        <f t="shared" si="423"/>
        <v>82356</v>
      </c>
      <c r="CD118" s="171">
        <f t="shared" si="423"/>
        <v>82978</v>
      </c>
      <c r="CE118" s="109">
        <f t="shared" si="423"/>
        <v>83729</v>
      </c>
      <c r="CF118" s="109">
        <f t="shared" si="423"/>
        <v>84329</v>
      </c>
      <c r="CG118" s="109">
        <f t="shared" si="423"/>
        <v>85294</v>
      </c>
      <c r="CH118" s="171">
        <f t="shared" si="423"/>
        <v>84484</v>
      </c>
      <c r="CI118" s="109">
        <f t="shared" si="423"/>
        <v>85155</v>
      </c>
      <c r="CJ118" s="109">
        <f t="shared" si="423"/>
        <v>85689</v>
      </c>
      <c r="CK118" s="109">
        <f t="shared" si="423"/>
        <v>86546</v>
      </c>
      <c r="CL118" s="171">
        <f t="shared" si="423"/>
        <v>89855</v>
      </c>
      <c r="CM118" s="109">
        <f t="shared" si="423"/>
        <v>90302</v>
      </c>
      <c r="CN118" s="109">
        <f t="shared" si="423"/>
        <v>90834</v>
      </c>
      <c r="CO118" s="109">
        <f t="shared" si="423"/>
        <v>91466</v>
      </c>
      <c r="CP118" s="171">
        <f t="shared" si="423"/>
        <v>91834</v>
      </c>
      <c r="CQ118" s="109">
        <f t="shared" si="423"/>
        <v>92101</v>
      </c>
      <c r="CR118" s="109">
        <f t="shared" si="423"/>
        <v>87430</v>
      </c>
      <c r="CS118" s="109">
        <f t="shared" si="423"/>
        <v>87711</v>
      </c>
      <c r="CT118" s="171">
        <f t="shared" si="423"/>
        <v>88245</v>
      </c>
      <c r="CU118" s="109">
        <f t="shared" si="423"/>
        <v>89397</v>
      </c>
      <c r="CV118" s="109">
        <f t="shared" si="423"/>
        <v>88843</v>
      </c>
      <c r="CW118" s="172">
        <f t="shared" si="423"/>
        <v>88434</v>
      </c>
      <c r="CX118" s="109">
        <f t="shared" si="423"/>
        <v>88186</v>
      </c>
      <c r="CY118" s="109">
        <f t="shared" si="423"/>
        <v>87895</v>
      </c>
      <c r="CZ118" s="109">
        <f t="shared" si="423"/>
        <v>87810</v>
      </c>
      <c r="DA118" s="109">
        <f t="shared" si="423"/>
        <v>88642</v>
      </c>
      <c r="DB118" s="171">
        <f t="shared" si="423"/>
        <v>88181</v>
      </c>
      <c r="DC118" s="109">
        <f t="shared" si="423"/>
        <v>88332</v>
      </c>
      <c r="DD118" s="109">
        <f t="shared" si="423"/>
        <v>88527</v>
      </c>
      <c r="DE118" s="109">
        <f t="shared" si="423"/>
        <v>88956</v>
      </c>
      <c r="DF118" s="171">
        <f t="shared" si="401"/>
        <v>89056</v>
      </c>
      <c r="DG118" s="1044">
        <f t="shared" si="401"/>
        <v>89712</v>
      </c>
      <c r="DH118" s="1044">
        <f t="shared" si="402"/>
        <v>89932</v>
      </c>
      <c r="DI118" s="172">
        <f t="shared" si="402"/>
        <v>89947</v>
      </c>
      <c r="DJ118" s="171">
        <f t="shared" si="403"/>
        <v>81642</v>
      </c>
      <c r="DK118" s="1044">
        <f t="shared" si="403"/>
        <v>82532</v>
      </c>
      <c r="DL118" s="1044">
        <f t="shared" si="404"/>
        <v>82562</v>
      </c>
      <c r="DM118" s="172">
        <f t="shared" si="404"/>
        <v>83541</v>
      </c>
      <c r="DN118" s="171">
        <f t="shared" ref="DN118:DO118" si="424">DN111</f>
        <v>83011</v>
      </c>
      <c r="DO118" s="1044">
        <f t="shared" si="424"/>
        <v>83172</v>
      </c>
      <c r="DP118" s="1044">
        <f t="shared" ref="DP118:DQ118" si="425">DP111</f>
        <v>83414</v>
      </c>
      <c r="DQ118" s="172">
        <f t="shared" si="425"/>
        <v>84751</v>
      </c>
      <c r="DR118" s="1044">
        <f t="shared" ref="DR118:DS118" si="426">DR111</f>
        <v>85213</v>
      </c>
      <c r="DS118" s="1044">
        <f t="shared" si="426"/>
        <v>86521</v>
      </c>
      <c r="DT118" s="1044">
        <f t="shared" ref="DT118:DU118" si="427">DT111</f>
        <v>86622</v>
      </c>
      <c r="DU118" s="1044">
        <f t="shared" si="427"/>
        <v>88568</v>
      </c>
      <c r="DV118" s="1044">
        <f t="shared" ref="DV118" si="428">DV111</f>
        <v>87922</v>
      </c>
      <c r="DW118" s="1044">
        <f t="shared" ca="1" si="410"/>
        <v>87682.391164859611</v>
      </c>
      <c r="DX118" s="1044">
        <f t="shared" ca="1" si="410"/>
        <v>87481.601417913422</v>
      </c>
      <c r="DY118" s="172">
        <f t="shared" ca="1" si="410"/>
        <v>87440.409047809313</v>
      </c>
      <c r="DZ118" s="1044"/>
    </row>
    <row r="119" spans="1:130">
      <c r="A119" s="109" t="s">
        <v>1295</v>
      </c>
      <c r="B119" s="109"/>
      <c r="C119" s="109"/>
      <c r="D119" s="109"/>
      <c r="E119" s="109"/>
      <c r="F119" s="109">
        <v>1333</v>
      </c>
      <c r="G119" s="109">
        <v>3275</v>
      </c>
      <c r="H119" s="109">
        <v>1966</v>
      </c>
      <c r="I119" s="109">
        <v>2857</v>
      </c>
      <c r="J119" s="109">
        <v>2009</v>
      </c>
      <c r="K119" s="109">
        <v>-2387</v>
      </c>
      <c r="L119" s="109">
        <v>-2347</v>
      </c>
      <c r="M119" s="109">
        <v>-2250</v>
      </c>
      <c r="N119" s="109">
        <f t="shared" ref="N119:V119" si="429">N112</f>
        <v>-5246</v>
      </c>
      <c r="O119" s="109">
        <f t="shared" si="429"/>
        <v>-4242</v>
      </c>
      <c r="P119" s="109">
        <f t="shared" si="429"/>
        <v>-4620</v>
      </c>
      <c r="Q119" s="109">
        <f t="shared" si="429"/>
        <v>-1332</v>
      </c>
      <c r="R119" s="109">
        <f t="shared" si="429"/>
        <v>-7375</v>
      </c>
      <c r="S119" s="109">
        <f t="shared" si="429"/>
        <v>-8335</v>
      </c>
      <c r="T119" s="109">
        <f t="shared" si="429"/>
        <v>-4445</v>
      </c>
      <c r="U119" s="109">
        <f t="shared" si="429"/>
        <v>-5651</v>
      </c>
      <c r="V119" s="109">
        <f t="shared" si="429"/>
        <v>-6304</v>
      </c>
      <c r="W119" s="109">
        <f t="shared" si="396"/>
        <v>-10753</v>
      </c>
      <c r="X119" s="109">
        <f t="shared" si="396"/>
        <v>-4180</v>
      </c>
      <c r="Y119" s="109">
        <f t="shared" ref="Y119:Z119" si="430">Y112</f>
        <v>-1750</v>
      </c>
      <c r="Z119" s="109">
        <f t="shared" ca="1" si="430"/>
        <v>2568.0655429313992</v>
      </c>
      <c r="AA119" s="109">
        <f t="shared" ca="1" si="398"/>
        <v>2981.4084300232171</v>
      </c>
      <c r="AB119" s="109">
        <f t="shared" ca="1" si="398"/>
        <v>3352.6691334089192</v>
      </c>
      <c r="AC119" s="109">
        <f t="shared" ref="AC119:AG119" ca="1" si="431">AC112</f>
        <v>3745.9655325682252</v>
      </c>
      <c r="AD119" s="109">
        <f t="shared" ca="1" si="431"/>
        <v>4159.1673091355988</v>
      </c>
      <c r="AE119" s="109">
        <f t="shared" ca="1" si="431"/>
        <v>4592.8301209127021</v>
      </c>
      <c r="AF119" s="109">
        <f t="shared" ca="1" si="431"/>
        <v>5048.828449549801</v>
      </c>
      <c r="AG119" s="109">
        <f t="shared" ca="1" si="431"/>
        <v>5529.7304740851832</v>
      </c>
      <c r="AH119" s="536"/>
      <c r="AI119" s="109"/>
      <c r="AJ119" s="109"/>
      <c r="AK119" s="109"/>
      <c r="AL119" s="109"/>
      <c r="AM119" s="109"/>
      <c r="AN119" s="276"/>
      <c r="AO119" s="276"/>
      <c r="AP119" s="109"/>
      <c r="AQ119" s="109"/>
      <c r="AR119" s="109"/>
      <c r="AS119" s="109"/>
      <c r="AT119" s="109"/>
      <c r="AU119" s="109"/>
      <c r="AV119" s="109"/>
      <c r="AW119" s="109"/>
      <c r="AX119" s="109"/>
      <c r="AY119" s="109"/>
      <c r="AZ119" s="109"/>
      <c r="BA119" s="109"/>
      <c r="BB119" s="109"/>
      <c r="BC119" s="109">
        <v>733</v>
      </c>
      <c r="BD119" s="109">
        <v>-854</v>
      </c>
      <c r="BE119" s="109">
        <v>1966</v>
      </c>
      <c r="BF119" s="109">
        <v>3302</v>
      </c>
      <c r="BG119" s="109">
        <v>3471</v>
      </c>
      <c r="BH119" s="109">
        <v>3072</v>
      </c>
      <c r="BI119" s="109">
        <v>2857</v>
      </c>
      <c r="BJ119" s="109">
        <v>5969</v>
      </c>
      <c r="BK119" s="109">
        <v>3004</v>
      </c>
      <c r="BL119" s="109">
        <v>-379</v>
      </c>
      <c r="BM119" s="109">
        <v>2009</v>
      </c>
      <c r="BN119" s="109">
        <v>-386</v>
      </c>
      <c r="BO119" s="109">
        <v>-934</v>
      </c>
      <c r="BP119" s="109">
        <v>-1939</v>
      </c>
      <c r="BQ119" s="109">
        <v>-2387</v>
      </c>
      <c r="BR119" s="171">
        <v>-1444</v>
      </c>
      <c r="BS119" s="109">
        <v>-1558</v>
      </c>
      <c r="BT119" s="109">
        <v>-2728</v>
      </c>
      <c r="BU119" s="109">
        <v>-2347</v>
      </c>
      <c r="BV119" s="171">
        <v>-3124</v>
      </c>
      <c r="BW119" s="109">
        <v>-3491</v>
      </c>
      <c r="BX119" s="109">
        <v>-3935</v>
      </c>
      <c r="BY119" s="109">
        <v>-2250</v>
      </c>
      <c r="BZ119" s="171">
        <f t="shared" ref="BZ119:DE119" si="432">BZ112</f>
        <v>-5096</v>
      </c>
      <c r="CA119" s="109">
        <f t="shared" si="432"/>
        <v>-3923</v>
      </c>
      <c r="CB119" s="109">
        <f t="shared" si="432"/>
        <v>-4015</v>
      </c>
      <c r="CC119" s="109">
        <f t="shared" si="432"/>
        <v>-5246</v>
      </c>
      <c r="CD119" s="171">
        <f t="shared" si="432"/>
        <v>-4709</v>
      </c>
      <c r="CE119" s="109">
        <f t="shared" si="432"/>
        <v>-4928</v>
      </c>
      <c r="CF119" s="109">
        <f t="shared" si="432"/>
        <v>-5772</v>
      </c>
      <c r="CG119" s="109">
        <f t="shared" si="432"/>
        <v>-4242</v>
      </c>
      <c r="CH119" s="171">
        <f t="shared" si="432"/>
        <v>-4069</v>
      </c>
      <c r="CI119" s="109">
        <f t="shared" si="432"/>
        <v>-3155</v>
      </c>
      <c r="CJ119" s="109">
        <f t="shared" si="432"/>
        <v>-2543</v>
      </c>
      <c r="CK119" s="109">
        <f t="shared" si="432"/>
        <v>-4620</v>
      </c>
      <c r="CL119" s="171">
        <f t="shared" si="432"/>
        <v>-3711</v>
      </c>
      <c r="CM119" s="109">
        <f t="shared" si="432"/>
        <v>-284</v>
      </c>
      <c r="CN119" s="109">
        <f t="shared" si="432"/>
        <v>-1055</v>
      </c>
      <c r="CO119" s="109">
        <f t="shared" si="432"/>
        <v>-1332</v>
      </c>
      <c r="CP119" s="171">
        <f t="shared" si="432"/>
        <v>-1566</v>
      </c>
      <c r="CQ119" s="109">
        <f t="shared" si="432"/>
        <v>-7660</v>
      </c>
      <c r="CR119" s="109">
        <f t="shared" si="432"/>
        <v>-7010</v>
      </c>
      <c r="CS119" s="109">
        <f t="shared" si="432"/>
        <v>-7375</v>
      </c>
      <c r="CT119" s="171">
        <f t="shared" si="432"/>
        <v>-5008</v>
      </c>
      <c r="CU119" s="109">
        <f t="shared" si="432"/>
        <v>-5087</v>
      </c>
      <c r="CV119" s="109">
        <f t="shared" si="432"/>
        <v>-8560</v>
      </c>
      <c r="CW119" s="172">
        <f t="shared" si="432"/>
        <v>-8335</v>
      </c>
      <c r="CX119" s="109">
        <f t="shared" si="432"/>
        <v>-2189</v>
      </c>
      <c r="CY119" s="109">
        <f t="shared" si="432"/>
        <v>-3312</v>
      </c>
      <c r="CZ119" s="109">
        <f t="shared" si="432"/>
        <v>-4486</v>
      </c>
      <c r="DA119" s="109">
        <f t="shared" si="432"/>
        <v>-4445</v>
      </c>
      <c r="DB119" s="171">
        <f t="shared" si="432"/>
        <v>-818</v>
      </c>
      <c r="DC119" s="109">
        <f t="shared" si="432"/>
        <v>-1061</v>
      </c>
      <c r="DD119" s="109">
        <f t="shared" si="432"/>
        <v>-5094</v>
      </c>
      <c r="DE119" s="109">
        <f t="shared" si="432"/>
        <v>-5651</v>
      </c>
      <c r="DF119" s="171">
        <f t="shared" si="401"/>
        <v>-2836</v>
      </c>
      <c r="DG119" s="1044">
        <f t="shared" si="401"/>
        <v>-7099</v>
      </c>
      <c r="DH119" s="1044">
        <f t="shared" si="402"/>
        <v>-7731</v>
      </c>
      <c r="DI119" s="172">
        <f t="shared" si="402"/>
        <v>-6304</v>
      </c>
      <c r="DJ119" s="171">
        <f t="shared" si="403"/>
        <v>-5824</v>
      </c>
      <c r="DK119" s="1044">
        <f t="shared" si="403"/>
        <v>-7945</v>
      </c>
      <c r="DL119" s="1044">
        <f t="shared" si="404"/>
        <v>-9335</v>
      </c>
      <c r="DM119" s="172">
        <f t="shared" si="404"/>
        <v>-10753</v>
      </c>
      <c r="DN119" s="171">
        <f t="shared" ref="DN119:DO119" si="433">DN112</f>
        <v>-9278</v>
      </c>
      <c r="DO119" s="1044">
        <f t="shared" si="433"/>
        <v>-9618</v>
      </c>
      <c r="DP119" s="1044">
        <f t="shared" ref="DP119:DQ119" si="434">DP112</f>
        <v>-7266</v>
      </c>
      <c r="DQ119" s="172">
        <f t="shared" si="434"/>
        <v>-4180</v>
      </c>
      <c r="DR119" s="1044">
        <f t="shared" ref="DR119:DS119" si="435">DR112</f>
        <v>-106</v>
      </c>
      <c r="DS119" s="1044">
        <f t="shared" si="435"/>
        <v>-2365</v>
      </c>
      <c r="DT119" s="1044">
        <f t="shared" ref="DT119:DU119" si="436">DT112</f>
        <v>-370</v>
      </c>
      <c r="DU119" s="1044">
        <f t="shared" si="436"/>
        <v>-1750</v>
      </c>
      <c r="DV119" s="1044">
        <f t="shared" ref="DV119" si="437">DV112</f>
        <v>3810</v>
      </c>
      <c r="DW119" s="1044">
        <f t="shared" ca="1" si="410"/>
        <v>2818.3046325067844</v>
      </c>
      <c r="DX119" s="1044">
        <f t="shared" ca="1" si="410"/>
        <v>3242.4625516380474</v>
      </c>
      <c r="DY119" s="172">
        <f t="shared" ca="1" si="410"/>
        <v>2568.0655429313992</v>
      </c>
      <c r="DZ119" s="1044"/>
    </row>
    <row r="120" spans="1:130">
      <c r="A120" s="87"/>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678"/>
      <c r="AI120" s="87"/>
      <c r="AJ120" s="87"/>
      <c r="AK120" s="87"/>
      <c r="AL120" s="87"/>
      <c r="AM120" s="87"/>
      <c r="AN120" s="123"/>
      <c r="AO120" s="123"/>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8"/>
      <c r="BS120" s="87"/>
      <c r="BT120" s="87"/>
      <c r="BU120" s="87"/>
      <c r="BV120" s="88"/>
      <c r="BW120" s="87"/>
      <c r="BX120" s="87"/>
      <c r="BY120" s="87"/>
      <c r="BZ120" s="88"/>
      <c r="CA120" s="87"/>
      <c r="CB120" s="87"/>
      <c r="CC120" s="87"/>
      <c r="CD120" s="88"/>
      <c r="CE120" s="87"/>
      <c r="CF120" s="87"/>
      <c r="CG120" s="87"/>
      <c r="CH120" s="88"/>
      <c r="CI120" s="87"/>
      <c r="CJ120" s="87"/>
      <c r="CK120" s="87"/>
      <c r="CL120" s="88"/>
      <c r="CM120" s="87"/>
      <c r="CN120" s="87"/>
      <c r="CO120" s="87"/>
      <c r="CP120" s="88"/>
      <c r="CQ120" s="87"/>
      <c r="CR120" s="87"/>
      <c r="CS120" s="87"/>
      <c r="CT120" s="88"/>
      <c r="CU120" s="87"/>
      <c r="CV120" s="87"/>
      <c r="CW120" s="144"/>
      <c r="CX120" s="87"/>
      <c r="CY120" s="87"/>
      <c r="CZ120" s="87"/>
      <c r="DA120" s="87"/>
      <c r="DB120" s="88"/>
      <c r="DC120" s="87"/>
      <c r="DD120" s="87"/>
      <c r="DE120" s="87"/>
      <c r="DF120" s="88"/>
      <c r="DG120" s="1041"/>
      <c r="DH120" s="1041"/>
      <c r="DI120" s="144"/>
      <c r="DJ120" s="88"/>
      <c r="DK120" s="1041"/>
      <c r="DL120" s="1041"/>
      <c r="DM120" s="144"/>
      <c r="DN120" s="88"/>
      <c r="DO120" s="1041"/>
      <c r="DP120" s="1041"/>
      <c r="DQ120" s="144"/>
      <c r="DR120" s="1041"/>
      <c r="DS120" s="1041"/>
      <c r="DT120" s="1041"/>
      <c r="DU120" s="1041"/>
      <c r="DV120" s="1041"/>
      <c r="DW120" s="1041"/>
      <c r="DX120" s="1041"/>
      <c r="DY120" s="144"/>
      <c r="DZ120" s="1041"/>
    </row>
    <row r="121" spans="1:130" hidden="1">
      <c r="A121" s="139" t="s">
        <v>1298</v>
      </c>
      <c r="B121" s="140"/>
      <c r="C121" s="140"/>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140"/>
      <c r="AB121" s="140"/>
      <c r="AC121" s="140"/>
      <c r="AD121" s="140"/>
      <c r="AE121" s="140"/>
      <c r="AF121" s="140"/>
      <c r="AG121" s="140"/>
      <c r="AH121" s="1242"/>
      <c r="AI121" s="140"/>
      <c r="AJ121" s="140"/>
      <c r="AK121" s="140"/>
      <c r="AL121" s="140"/>
      <c r="AM121" s="140"/>
      <c r="AN121" s="123"/>
      <c r="AO121" s="123"/>
      <c r="AP121" s="140"/>
      <c r="AQ121" s="140"/>
      <c r="AR121" s="140"/>
      <c r="AS121" s="140"/>
      <c r="AT121" s="140"/>
      <c r="AU121" s="140"/>
      <c r="AV121" s="140"/>
      <c r="AW121" s="140"/>
      <c r="AX121" s="140"/>
      <c r="AY121" s="140"/>
      <c r="AZ121" s="140"/>
      <c r="BA121" s="140"/>
      <c r="BB121" s="140"/>
      <c r="BC121" s="140"/>
      <c r="BD121" s="140"/>
      <c r="BE121" s="140"/>
      <c r="BF121" s="140"/>
      <c r="BG121" s="140"/>
      <c r="BH121" s="140"/>
      <c r="BI121" s="140"/>
      <c r="BJ121" s="140"/>
      <c r="BK121" s="140"/>
      <c r="BL121" s="140"/>
      <c r="BM121" s="140"/>
      <c r="BN121" s="140"/>
      <c r="BO121" s="140"/>
      <c r="BP121" s="140"/>
      <c r="BQ121" s="140"/>
      <c r="BR121" s="141"/>
      <c r="BS121" s="140"/>
      <c r="BT121" s="140"/>
      <c r="BU121" s="140"/>
      <c r="BV121" s="141"/>
      <c r="BW121" s="140"/>
      <c r="BX121" s="140"/>
      <c r="BY121" s="140"/>
      <c r="BZ121" s="141"/>
      <c r="CA121" s="140"/>
      <c r="CB121" s="140"/>
      <c r="CC121" s="140"/>
      <c r="CD121" s="141"/>
      <c r="CE121" s="140"/>
      <c r="CF121" s="140"/>
      <c r="CG121" s="140"/>
      <c r="CH121" s="141"/>
      <c r="CI121" s="140"/>
      <c r="CJ121" s="140"/>
      <c r="CK121" s="140"/>
      <c r="CL121" s="141"/>
      <c r="CM121" s="140"/>
      <c r="CN121" s="140"/>
      <c r="CO121" s="140"/>
      <c r="CP121" s="141"/>
      <c r="CQ121" s="140"/>
      <c r="CR121" s="140"/>
      <c r="CS121" s="140"/>
      <c r="CT121" s="141"/>
      <c r="CU121" s="140"/>
      <c r="CV121" s="140"/>
      <c r="CW121" s="142"/>
      <c r="CX121" s="140"/>
      <c r="CY121" s="140"/>
      <c r="CZ121" s="140"/>
      <c r="DA121" s="140"/>
      <c r="DB121" s="141"/>
      <c r="DC121" s="140"/>
      <c r="DD121" s="140"/>
      <c r="DE121" s="140"/>
      <c r="DF121" s="141"/>
      <c r="DG121" s="1038"/>
      <c r="DH121" s="1038"/>
      <c r="DI121" s="142"/>
      <c r="DJ121" s="141"/>
      <c r="DK121" s="1038"/>
      <c r="DL121" s="1038"/>
      <c r="DM121" s="142"/>
      <c r="DN121" s="141"/>
      <c r="DO121" s="1038"/>
      <c r="DP121" s="1038"/>
      <c r="DQ121" s="142"/>
      <c r="DR121" s="1038"/>
      <c r="DS121" s="1038"/>
      <c r="DT121" s="1038"/>
      <c r="DU121" s="1038"/>
      <c r="DV121" s="1038"/>
      <c r="DW121" s="1038"/>
      <c r="DX121" s="1038"/>
      <c r="DY121" s="142"/>
      <c r="DZ121" s="1041"/>
    </row>
    <row r="122" spans="1:130" hidden="1">
      <c r="A122" s="304" t="s">
        <v>1299</v>
      </c>
      <c r="B122" s="87"/>
      <c r="C122" s="87"/>
      <c r="D122" s="87"/>
      <c r="E122" s="87"/>
      <c r="F122" s="87"/>
      <c r="G122" s="87"/>
      <c r="H122" s="87">
        <v>3927</v>
      </c>
      <c r="I122" s="87">
        <v>1111</v>
      </c>
      <c r="J122" s="87">
        <v>-104</v>
      </c>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678"/>
      <c r="AI122" s="87"/>
      <c r="AJ122" s="87"/>
      <c r="AK122" s="87"/>
      <c r="AL122" s="87"/>
      <c r="AM122" s="87"/>
      <c r="AN122" s="123"/>
      <c r="AO122" s="123"/>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8"/>
      <c r="BS122" s="87"/>
      <c r="BT122" s="87"/>
      <c r="BU122" s="87"/>
      <c r="BV122" s="88"/>
      <c r="BW122" s="87"/>
      <c r="BX122" s="87"/>
      <c r="BY122" s="87"/>
      <c r="BZ122" s="88"/>
      <c r="CA122" s="87"/>
      <c r="CB122" s="87"/>
      <c r="CC122" s="87"/>
      <c r="CD122" s="88"/>
      <c r="CE122" s="87"/>
      <c r="CF122" s="87"/>
      <c r="CG122" s="87"/>
      <c r="CH122" s="88"/>
      <c r="CI122" s="87"/>
      <c r="CJ122" s="87"/>
      <c r="CK122" s="87"/>
      <c r="CL122" s="88"/>
      <c r="CM122" s="87"/>
      <c r="CN122" s="87"/>
      <c r="CO122" s="87"/>
      <c r="CP122" s="88"/>
      <c r="CQ122" s="87"/>
      <c r="CR122" s="87"/>
      <c r="CS122" s="87"/>
      <c r="CT122" s="88"/>
      <c r="CU122" s="87"/>
      <c r="CV122" s="87"/>
      <c r="CW122" s="144"/>
      <c r="CX122" s="87"/>
      <c r="CY122" s="87"/>
      <c r="CZ122" s="87"/>
      <c r="DA122" s="87"/>
      <c r="DB122" s="88"/>
      <c r="DC122" s="87"/>
      <c r="DD122" s="87"/>
      <c r="DE122" s="87"/>
      <c r="DF122" s="88"/>
      <c r="DG122" s="1041"/>
      <c r="DH122" s="1041"/>
      <c r="DI122" s="144"/>
      <c r="DJ122" s="88"/>
      <c r="DK122" s="1041"/>
      <c r="DL122" s="1041"/>
      <c r="DM122" s="144"/>
      <c r="DN122" s="88"/>
      <c r="DO122" s="1041"/>
      <c r="DP122" s="1041"/>
      <c r="DQ122" s="144"/>
      <c r="DR122" s="1041"/>
      <c r="DS122" s="1041"/>
      <c r="DT122" s="1041"/>
      <c r="DU122" s="1041"/>
      <c r="DV122" s="1041"/>
      <c r="DW122" s="1041"/>
      <c r="DX122" s="1041"/>
      <c r="DY122" s="144"/>
      <c r="DZ122" s="1041"/>
    </row>
    <row r="123" spans="1:130" hidden="1">
      <c r="A123" s="304" t="s">
        <v>1300</v>
      </c>
      <c r="B123" s="87"/>
      <c r="C123" s="87"/>
      <c r="D123" s="87"/>
      <c r="E123" s="87"/>
      <c r="F123" s="87"/>
      <c r="G123" s="87"/>
      <c r="H123" s="87">
        <v>3462</v>
      </c>
      <c r="I123" s="87">
        <v>1114</v>
      </c>
      <c r="J123" s="87">
        <v>1737</v>
      </c>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678"/>
      <c r="AI123" s="87"/>
      <c r="AJ123" s="87"/>
      <c r="AK123" s="87"/>
      <c r="AL123" s="87"/>
      <c r="AM123" s="87"/>
      <c r="AN123" s="123"/>
      <c r="AO123" s="123"/>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8"/>
      <c r="BS123" s="87"/>
      <c r="BT123" s="87"/>
      <c r="BU123" s="87"/>
      <c r="BV123" s="88"/>
      <c r="BW123" s="87"/>
      <c r="BX123" s="87"/>
      <c r="BY123" s="87"/>
      <c r="BZ123" s="88"/>
      <c r="CA123" s="87"/>
      <c r="CB123" s="87"/>
      <c r="CC123" s="87"/>
      <c r="CD123" s="88"/>
      <c r="CE123" s="87"/>
      <c r="CF123" s="87"/>
      <c r="CG123" s="87"/>
      <c r="CH123" s="88"/>
      <c r="CI123" s="87"/>
      <c r="CJ123" s="87"/>
      <c r="CK123" s="87"/>
      <c r="CL123" s="88"/>
      <c r="CM123" s="87"/>
      <c r="CN123" s="87"/>
      <c r="CO123" s="87"/>
      <c r="CP123" s="88"/>
      <c r="CQ123" s="87"/>
      <c r="CR123" s="87"/>
      <c r="CS123" s="87"/>
      <c r="CT123" s="88"/>
      <c r="CU123" s="87"/>
      <c r="CV123" s="87"/>
      <c r="CW123" s="144"/>
      <c r="CX123" s="87"/>
      <c r="CY123" s="87"/>
      <c r="CZ123" s="87"/>
      <c r="DA123" s="87"/>
      <c r="DB123" s="88"/>
      <c r="DC123" s="87"/>
      <c r="DD123" s="87"/>
      <c r="DE123" s="87"/>
      <c r="DF123" s="88"/>
      <c r="DG123" s="1041"/>
      <c r="DH123" s="1041"/>
      <c r="DI123" s="144"/>
      <c r="DJ123" s="88"/>
      <c r="DK123" s="1041"/>
      <c r="DL123" s="1041"/>
      <c r="DM123" s="144"/>
      <c r="DN123" s="88"/>
      <c r="DO123" s="1041"/>
      <c r="DP123" s="1041"/>
      <c r="DQ123" s="144"/>
      <c r="DR123" s="1041"/>
      <c r="DS123" s="1041"/>
      <c r="DT123" s="1041"/>
      <c r="DU123" s="1041"/>
      <c r="DV123" s="1041"/>
      <c r="DW123" s="1041"/>
      <c r="DX123" s="1041"/>
      <c r="DY123" s="144"/>
      <c r="DZ123" s="1041"/>
    </row>
    <row r="124" spans="1:130" hidden="1">
      <c r="A124" s="304" t="s">
        <v>1301</v>
      </c>
      <c r="B124" s="87"/>
      <c r="C124" s="87"/>
      <c r="D124" s="87"/>
      <c r="E124" s="87"/>
      <c r="F124" s="87"/>
      <c r="G124" s="87"/>
      <c r="H124" s="87">
        <v>-380</v>
      </c>
      <c r="I124" s="87">
        <v>-49</v>
      </c>
      <c r="J124" s="87">
        <v>-15</v>
      </c>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678"/>
      <c r="AI124" s="87"/>
      <c r="AJ124" s="87"/>
      <c r="AK124" s="87"/>
      <c r="AL124" s="87"/>
      <c r="AM124" s="87"/>
      <c r="AN124" s="123"/>
      <c r="AO124" s="123"/>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8"/>
      <c r="BS124" s="87"/>
      <c r="BT124" s="87"/>
      <c r="BU124" s="87"/>
      <c r="BV124" s="88"/>
      <c r="BW124" s="87"/>
      <c r="BX124" s="87"/>
      <c r="BY124" s="87"/>
      <c r="BZ124" s="88"/>
      <c r="CA124" s="87"/>
      <c r="CB124" s="87"/>
      <c r="CC124" s="87"/>
      <c r="CD124" s="88"/>
      <c r="CE124" s="87"/>
      <c r="CF124" s="87"/>
      <c r="CG124" s="87"/>
      <c r="CH124" s="88"/>
      <c r="CI124" s="87"/>
      <c r="CJ124" s="87"/>
      <c r="CK124" s="87"/>
      <c r="CL124" s="88"/>
      <c r="CM124" s="87"/>
      <c r="CN124" s="87"/>
      <c r="CO124" s="87"/>
      <c r="CP124" s="88"/>
      <c r="CQ124" s="87"/>
      <c r="CR124" s="87"/>
      <c r="CS124" s="87"/>
      <c r="CT124" s="88"/>
      <c r="CU124" s="87"/>
      <c r="CV124" s="87"/>
      <c r="CW124" s="144"/>
      <c r="CX124" s="87"/>
      <c r="CY124" s="87"/>
      <c r="CZ124" s="87"/>
      <c r="DA124" s="87"/>
      <c r="DB124" s="88"/>
      <c r="DC124" s="87"/>
      <c r="DD124" s="87"/>
      <c r="DE124" s="87"/>
      <c r="DF124" s="88"/>
      <c r="DG124" s="1041"/>
      <c r="DH124" s="1041"/>
      <c r="DI124" s="144"/>
      <c r="DJ124" s="88"/>
      <c r="DK124" s="1041"/>
      <c r="DL124" s="1041"/>
      <c r="DM124" s="144"/>
      <c r="DN124" s="88"/>
      <c r="DO124" s="1041"/>
      <c r="DP124" s="1041"/>
      <c r="DQ124" s="144"/>
      <c r="DR124" s="1041"/>
      <c r="DS124" s="1041"/>
      <c r="DT124" s="1041"/>
      <c r="DU124" s="1041"/>
      <c r="DV124" s="1041"/>
      <c r="DW124" s="1041"/>
      <c r="DX124" s="1041"/>
      <c r="DY124" s="144"/>
      <c r="DZ124" s="1041"/>
    </row>
    <row r="125" spans="1:130" hidden="1">
      <c r="A125" s="305" t="s">
        <v>1302</v>
      </c>
      <c r="B125" s="91"/>
      <c r="C125" s="91"/>
      <c r="D125" s="91"/>
      <c r="E125" s="91"/>
      <c r="F125" s="91"/>
      <c r="G125" s="91"/>
      <c r="H125" s="91">
        <v>7009</v>
      </c>
      <c r="I125" s="91">
        <v>2176</v>
      </c>
      <c r="J125" s="91">
        <v>1618</v>
      </c>
      <c r="K125" s="91"/>
      <c r="L125" s="91"/>
      <c r="M125" s="91"/>
      <c r="N125" s="91"/>
      <c r="O125" s="91"/>
      <c r="P125" s="91"/>
      <c r="Q125" s="91"/>
      <c r="R125" s="91"/>
      <c r="S125" s="91"/>
      <c r="T125" s="91"/>
      <c r="U125" s="91"/>
      <c r="V125" s="91"/>
      <c r="W125" s="91"/>
      <c r="X125" s="91"/>
      <c r="Y125" s="91"/>
      <c r="Z125" s="91"/>
      <c r="AA125" s="91"/>
      <c r="AB125" s="91"/>
      <c r="AC125" s="91"/>
      <c r="AD125" s="91"/>
      <c r="AE125" s="91"/>
      <c r="AF125" s="91"/>
      <c r="AG125" s="91"/>
      <c r="AH125" s="1238"/>
      <c r="AI125" s="91"/>
      <c r="AJ125" s="91"/>
      <c r="AK125" s="91"/>
      <c r="AL125" s="91"/>
      <c r="AM125" s="91"/>
      <c r="AN125" s="123"/>
      <c r="AO125" s="123"/>
      <c r="AP125" s="91"/>
      <c r="AQ125" s="91"/>
      <c r="AR125" s="91"/>
      <c r="AS125" s="91"/>
      <c r="AT125" s="91"/>
      <c r="AU125" s="91"/>
      <c r="AV125" s="91"/>
      <c r="AW125" s="91"/>
      <c r="AX125" s="91"/>
      <c r="AY125" s="91"/>
      <c r="AZ125" s="91"/>
      <c r="BA125" s="91"/>
      <c r="BB125" s="91"/>
      <c r="BC125" s="91"/>
      <c r="BD125" s="91"/>
      <c r="BE125" s="91"/>
      <c r="BF125" s="91"/>
      <c r="BG125" s="91"/>
      <c r="BH125" s="91"/>
      <c r="BI125" s="91"/>
      <c r="BJ125" s="91"/>
      <c r="BK125" s="91"/>
      <c r="BL125" s="91"/>
      <c r="BM125" s="91"/>
      <c r="BN125" s="91"/>
      <c r="BO125" s="91"/>
      <c r="BP125" s="91"/>
      <c r="BQ125" s="91"/>
      <c r="BR125" s="151"/>
      <c r="BS125" s="91"/>
      <c r="BT125" s="91"/>
      <c r="BU125" s="91"/>
      <c r="BV125" s="151"/>
      <c r="BW125" s="91"/>
      <c r="BX125" s="91"/>
      <c r="BY125" s="91"/>
      <c r="BZ125" s="151"/>
      <c r="CA125" s="91"/>
      <c r="CB125" s="91"/>
      <c r="CC125" s="91"/>
      <c r="CD125" s="151"/>
      <c r="CE125" s="91"/>
      <c r="CF125" s="91"/>
      <c r="CG125" s="91"/>
      <c r="CH125" s="151"/>
      <c r="CI125" s="91"/>
      <c r="CJ125" s="91"/>
      <c r="CK125" s="91"/>
      <c r="CL125" s="151"/>
      <c r="CM125" s="91"/>
      <c r="CN125" s="91"/>
      <c r="CO125" s="91"/>
      <c r="CP125" s="151"/>
      <c r="CQ125" s="91"/>
      <c r="CR125" s="91"/>
      <c r="CS125" s="91"/>
      <c r="CT125" s="151"/>
      <c r="CU125" s="91"/>
      <c r="CV125" s="91"/>
      <c r="CW125" s="93"/>
      <c r="CX125" s="91"/>
      <c r="CY125" s="91"/>
      <c r="CZ125" s="91"/>
      <c r="DA125" s="91"/>
      <c r="DB125" s="151"/>
      <c r="DC125" s="91"/>
      <c r="DD125" s="91"/>
      <c r="DE125" s="91"/>
      <c r="DF125" s="151"/>
      <c r="DG125" s="1068"/>
      <c r="DH125" s="1068"/>
      <c r="DI125" s="93"/>
      <c r="DJ125" s="151"/>
      <c r="DK125" s="1068"/>
      <c r="DL125" s="1068"/>
      <c r="DM125" s="93"/>
      <c r="DN125" s="151"/>
      <c r="DO125" s="1068"/>
      <c r="DP125" s="1068"/>
      <c r="DQ125" s="93"/>
      <c r="DR125" s="1068"/>
      <c r="DS125" s="1068"/>
      <c r="DT125" s="1068"/>
      <c r="DU125" s="1068"/>
      <c r="DV125" s="1068"/>
      <c r="DW125" s="1068"/>
      <c r="DX125" s="1068"/>
      <c r="DY125" s="93"/>
      <c r="DZ125" s="1068"/>
    </row>
    <row r="126" spans="1:130" hidden="1">
      <c r="A126" s="106" t="s">
        <v>1303</v>
      </c>
      <c r="B126" s="105"/>
      <c r="C126" s="105"/>
      <c r="D126" s="105"/>
      <c r="E126" s="105"/>
      <c r="F126" s="105"/>
      <c r="G126" s="105"/>
      <c r="H126" s="105">
        <v>0.56027964046226275</v>
      </c>
      <c r="I126" s="105">
        <v>0.51056985294117652</v>
      </c>
      <c r="J126" s="105">
        <v>-6.4276885043263288E-2</v>
      </c>
      <c r="K126" s="105"/>
      <c r="L126" s="105"/>
      <c r="M126" s="105"/>
      <c r="N126" s="105"/>
      <c r="O126" s="105"/>
      <c r="P126" s="105"/>
      <c r="Q126" s="105"/>
      <c r="R126" s="105"/>
      <c r="S126" s="105"/>
      <c r="T126" s="105"/>
      <c r="U126" s="105"/>
      <c r="V126" s="105"/>
      <c r="W126" s="105"/>
      <c r="X126" s="105"/>
      <c r="Y126" s="105"/>
      <c r="Z126" s="105"/>
      <c r="AA126" s="105"/>
      <c r="AB126" s="105"/>
      <c r="AC126" s="105"/>
      <c r="AD126" s="105"/>
      <c r="AE126" s="105"/>
      <c r="AF126" s="105"/>
      <c r="AG126" s="105"/>
      <c r="AH126" s="1244"/>
      <c r="AI126" s="105"/>
      <c r="AJ126" s="105"/>
      <c r="AK126" s="105"/>
      <c r="AL126" s="105"/>
      <c r="AM126" s="105"/>
      <c r="AN126" s="123"/>
      <c r="AO126" s="123"/>
      <c r="AP126" s="105"/>
      <c r="AQ126" s="105"/>
      <c r="AR126" s="105"/>
      <c r="AS126" s="105"/>
      <c r="AT126" s="105"/>
      <c r="AU126" s="105"/>
      <c r="AV126" s="105"/>
      <c r="AW126" s="105"/>
      <c r="AX126" s="105"/>
      <c r="AY126" s="105"/>
      <c r="AZ126" s="105"/>
      <c r="BA126" s="105"/>
      <c r="BB126" s="105"/>
      <c r="BC126" s="105"/>
      <c r="BD126" s="105"/>
      <c r="BE126" s="105"/>
      <c r="BF126" s="105"/>
      <c r="BG126" s="105"/>
      <c r="BH126" s="105"/>
      <c r="BI126" s="105"/>
      <c r="BJ126" s="105"/>
      <c r="BK126" s="105"/>
      <c r="BL126" s="105"/>
      <c r="BM126" s="105"/>
      <c r="BN126" s="105"/>
      <c r="BO126" s="105"/>
      <c r="BP126" s="105"/>
      <c r="BQ126" s="105"/>
      <c r="BR126" s="306"/>
      <c r="BS126" s="105"/>
      <c r="BT126" s="105"/>
      <c r="BU126" s="105"/>
      <c r="BV126" s="306"/>
      <c r="BW126" s="105"/>
      <c r="BX126" s="105"/>
      <c r="BY126" s="105"/>
      <c r="BZ126" s="306"/>
      <c r="CA126" s="105"/>
      <c r="CB126" s="105"/>
      <c r="CC126" s="105"/>
      <c r="CD126" s="306"/>
      <c r="CE126" s="105"/>
      <c r="CF126" s="105"/>
      <c r="CG126" s="105"/>
      <c r="CH126" s="306"/>
      <c r="CI126" s="105"/>
      <c r="CJ126" s="105"/>
      <c r="CK126" s="105"/>
      <c r="CL126" s="306"/>
      <c r="CM126" s="105"/>
      <c r="CN126" s="105"/>
      <c r="CO126" s="105"/>
      <c r="CP126" s="306"/>
      <c r="CQ126" s="105"/>
      <c r="CR126" s="105"/>
      <c r="CS126" s="105"/>
      <c r="CT126" s="306"/>
      <c r="CU126" s="105"/>
      <c r="CV126" s="105"/>
      <c r="CW126" s="307"/>
      <c r="CX126" s="105"/>
      <c r="CY126" s="105"/>
      <c r="CZ126" s="105"/>
      <c r="DA126" s="105"/>
      <c r="DB126" s="306"/>
      <c r="DC126" s="105"/>
      <c r="DD126" s="105"/>
      <c r="DE126" s="105"/>
      <c r="DF126" s="306"/>
      <c r="DG126" s="1132"/>
      <c r="DH126" s="1132"/>
      <c r="DI126" s="307"/>
      <c r="DJ126" s="306"/>
      <c r="DK126" s="1132"/>
      <c r="DL126" s="1132"/>
      <c r="DM126" s="307"/>
      <c r="DN126" s="306"/>
      <c r="DO126" s="1132"/>
      <c r="DP126" s="1132"/>
      <c r="DQ126" s="307"/>
      <c r="DR126" s="1132"/>
      <c r="DS126" s="1132"/>
      <c r="DT126" s="1132"/>
      <c r="DU126" s="1132"/>
      <c r="DV126" s="1132"/>
      <c r="DW126" s="1132"/>
      <c r="DX126" s="1132"/>
      <c r="DY126" s="307"/>
      <c r="DZ126" s="1132"/>
    </row>
    <row r="127" spans="1:130" hidden="1">
      <c r="A127" s="305" t="s">
        <v>1304</v>
      </c>
      <c r="B127" s="308"/>
      <c r="C127" s="308"/>
      <c r="D127" s="308"/>
      <c r="E127" s="87"/>
      <c r="F127" s="87"/>
      <c r="G127" s="87"/>
      <c r="H127" s="87"/>
      <c r="I127" s="87"/>
      <c r="J127" s="87"/>
      <c r="K127" s="87"/>
      <c r="L127" s="87"/>
      <c r="M127" s="87"/>
      <c r="N127" s="87"/>
      <c r="O127" s="87"/>
      <c r="P127" s="87"/>
      <c r="Q127" s="87"/>
      <c r="R127" s="87"/>
      <c r="S127" s="87"/>
      <c r="T127" s="87"/>
      <c r="U127" s="87"/>
      <c r="V127" s="87"/>
      <c r="W127" s="87"/>
      <c r="X127" s="87"/>
      <c r="Y127" s="87"/>
      <c r="Z127" s="87"/>
      <c r="AA127" s="87"/>
      <c r="AB127" s="87"/>
      <c r="AC127" s="87"/>
      <c r="AD127" s="87"/>
      <c r="AE127" s="87"/>
      <c r="AF127" s="87"/>
      <c r="AG127" s="87"/>
      <c r="AH127" s="678"/>
      <c r="AI127" s="87"/>
      <c r="AJ127" s="87"/>
      <c r="AK127" s="87"/>
      <c r="AL127" s="87"/>
      <c r="AM127" s="87"/>
      <c r="AN127" s="123"/>
      <c r="AO127" s="123"/>
      <c r="AP127" s="87"/>
      <c r="AQ127" s="87"/>
      <c r="AR127" s="87"/>
      <c r="AS127" s="87"/>
      <c r="AT127" s="87"/>
      <c r="AU127" s="87"/>
      <c r="AV127" s="87"/>
      <c r="AW127" s="87"/>
      <c r="AX127" s="87"/>
      <c r="AY127" s="87"/>
      <c r="AZ127" s="87"/>
      <c r="BA127" s="87"/>
      <c r="BB127" s="87"/>
      <c r="BC127" s="87"/>
      <c r="BD127" s="87"/>
      <c r="BE127" s="87"/>
      <c r="BF127" s="87"/>
      <c r="BG127" s="87"/>
      <c r="BH127" s="87"/>
      <c r="BI127" s="87"/>
      <c r="BJ127" s="87"/>
      <c r="BK127" s="87"/>
      <c r="BL127" s="87"/>
      <c r="BM127" s="87"/>
      <c r="BN127" s="87"/>
      <c r="BO127" s="87"/>
      <c r="BP127" s="87"/>
      <c r="BQ127" s="87"/>
      <c r="BR127" s="88"/>
      <c r="BS127" s="87"/>
      <c r="BT127" s="87"/>
      <c r="BU127" s="87"/>
      <c r="BV127" s="88"/>
      <c r="BW127" s="87"/>
      <c r="BX127" s="87"/>
      <c r="BY127" s="87"/>
      <c r="BZ127" s="88"/>
      <c r="CA127" s="87"/>
      <c r="CB127" s="87"/>
      <c r="CC127" s="87"/>
      <c r="CD127" s="88"/>
      <c r="CE127" s="87"/>
      <c r="CF127" s="87"/>
      <c r="CG127" s="87"/>
      <c r="CH127" s="88"/>
      <c r="CI127" s="87"/>
      <c r="CJ127" s="87"/>
      <c r="CK127" s="87"/>
      <c r="CL127" s="88"/>
      <c r="CM127" s="87"/>
      <c r="CN127" s="87"/>
      <c r="CO127" s="87"/>
      <c r="CP127" s="88"/>
      <c r="CQ127" s="87"/>
      <c r="CR127" s="87"/>
      <c r="CS127" s="87"/>
      <c r="CT127" s="88"/>
      <c r="CU127" s="87"/>
      <c r="CV127" s="87"/>
      <c r="CW127" s="144"/>
      <c r="CX127" s="87"/>
      <c r="CY127" s="87"/>
      <c r="CZ127" s="87"/>
      <c r="DA127" s="87"/>
      <c r="DB127" s="88"/>
      <c r="DC127" s="87"/>
      <c r="DD127" s="87"/>
      <c r="DE127" s="87"/>
      <c r="DF127" s="88"/>
      <c r="DG127" s="1041"/>
      <c r="DH127" s="1041"/>
      <c r="DI127" s="144"/>
      <c r="DJ127" s="88"/>
      <c r="DK127" s="1041"/>
      <c r="DL127" s="1041"/>
      <c r="DM127" s="144"/>
      <c r="DN127" s="88"/>
      <c r="DO127" s="1041"/>
      <c r="DP127" s="1041"/>
      <c r="DQ127" s="144"/>
      <c r="DR127" s="1041"/>
      <c r="DS127" s="1041"/>
      <c r="DT127" s="1041"/>
      <c r="DU127" s="1041"/>
      <c r="DV127" s="1041"/>
      <c r="DW127" s="1041"/>
      <c r="DX127" s="1041"/>
      <c r="DY127" s="144"/>
      <c r="DZ127" s="1041"/>
    </row>
    <row r="128" spans="1:130" hidden="1">
      <c r="A128" s="304" t="s">
        <v>1305</v>
      </c>
      <c r="B128" s="87"/>
      <c r="C128" s="87"/>
      <c r="D128" s="87"/>
      <c r="E128" s="87"/>
      <c r="F128" s="87"/>
      <c r="G128" s="87"/>
      <c r="H128" s="87">
        <v>1623</v>
      </c>
      <c r="I128" s="87">
        <v>533</v>
      </c>
      <c r="J128" s="87">
        <v>427</v>
      </c>
      <c r="K128" s="87"/>
      <c r="L128" s="87"/>
      <c r="M128" s="87"/>
      <c r="N128" s="87"/>
      <c r="O128" s="87"/>
      <c r="P128" s="87"/>
      <c r="Q128" s="87"/>
      <c r="R128" s="87"/>
      <c r="S128" s="87"/>
      <c r="T128" s="87"/>
      <c r="U128" s="87"/>
      <c r="V128" s="87"/>
      <c r="W128" s="87"/>
      <c r="X128" s="87"/>
      <c r="Y128" s="87"/>
      <c r="Z128" s="87"/>
      <c r="AA128" s="87"/>
      <c r="AB128" s="87"/>
      <c r="AC128" s="87"/>
      <c r="AD128" s="87"/>
      <c r="AE128" s="87"/>
      <c r="AF128" s="87"/>
      <c r="AG128" s="87"/>
      <c r="AH128" s="678"/>
      <c r="AI128" s="87"/>
      <c r="AJ128" s="87"/>
      <c r="AK128" s="87"/>
      <c r="AL128" s="87"/>
      <c r="AM128" s="87"/>
      <c r="AN128" s="123"/>
      <c r="AO128" s="123"/>
      <c r="AP128" s="87"/>
      <c r="AQ128" s="87"/>
      <c r="AR128" s="87"/>
      <c r="AS128" s="87"/>
      <c r="AT128" s="87"/>
      <c r="AU128" s="87"/>
      <c r="AV128" s="87"/>
      <c r="AW128" s="87"/>
      <c r="AX128" s="87"/>
      <c r="AY128" s="87"/>
      <c r="AZ128" s="87"/>
      <c r="BA128" s="87"/>
      <c r="BB128" s="87"/>
      <c r="BC128" s="87"/>
      <c r="BD128" s="87"/>
      <c r="BE128" s="87"/>
      <c r="BF128" s="87"/>
      <c r="BG128" s="87"/>
      <c r="BH128" s="87"/>
      <c r="BI128" s="87"/>
      <c r="BJ128" s="87"/>
      <c r="BK128" s="87"/>
      <c r="BL128" s="87"/>
      <c r="BM128" s="87"/>
      <c r="BN128" s="87"/>
      <c r="BO128" s="87"/>
      <c r="BP128" s="87"/>
      <c r="BQ128" s="87"/>
      <c r="BR128" s="88"/>
      <c r="BS128" s="87"/>
      <c r="BT128" s="87"/>
      <c r="BU128" s="87"/>
      <c r="BV128" s="88"/>
      <c r="BW128" s="87"/>
      <c r="BX128" s="87"/>
      <c r="BY128" s="87"/>
      <c r="BZ128" s="88"/>
      <c r="CA128" s="87"/>
      <c r="CB128" s="87"/>
      <c r="CC128" s="87"/>
      <c r="CD128" s="88"/>
      <c r="CE128" s="87"/>
      <c r="CF128" s="87"/>
      <c r="CG128" s="87"/>
      <c r="CH128" s="88"/>
      <c r="CI128" s="87"/>
      <c r="CJ128" s="87"/>
      <c r="CK128" s="87"/>
      <c r="CL128" s="88"/>
      <c r="CM128" s="87"/>
      <c r="CN128" s="87"/>
      <c r="CO128" s="87"/>
      <c r="CP128" s="88"/>
      <c r="CQ128" s="87"/>
      <c r="CR128" s="87"/>
      <c r="CS128" s="87"/>
      <c r="CT128" s="88"/>
      <c r="CU128" s="87"/>
      <c r="CV128" s="87"/>
      <c r="CW128" s="144"/>
      <c r="CX128" s="87"/>
      <c r="CY128" s="87"/>
      <c r="CZ128" s="87"/>
      <c r="DA128" s="87"/>
      <c r="DB128" s="88"/>
      <c r="DC128" s="87"/>
      <c r="DD128" s="87"/>
      <c r="DE128" s="87"/>
      <c r="DF128" s="88"/>
      <c r="DG128" s="1041"/>
      <c r="DH128" s="1041"/>
      <c r="DI128" s="144"/>
      <c r="DJ128" s="88"/>
      <c r="DK128" s="1041"/>
      <c r="DL128" s="1041"/>
      <c r="DM128" s="144"/>
      <c r="DN128" s="88"/>
      <c r="DO128" s="1041"/>
      <c r="DP128" s="1041"/>
      <c r="DQ128" s="144"/>
      <c r="DR128" s="1041"/>
      <c r="DS128" s="1041"/>
      <c r="DT128" s="1041"/>
      <c r="DU128" s="1041"/>
      <c r="DV128" s="1041"/>
      <c r="DW128" s="1041"/>
      <c r="DX128" s="1041"/>
      <c r="DY128" s="144"/>
      <c r="DZ128" s="1041"/>
    </row>
    <row r="129" spans="1:130" hidden="1">
      <c r="A129" s="304" t="s">
        <v>1306</v>
      </c>
      <c r="B129" s="102"/>
      <c r="C129" s="102"/>
      <c r="D129" s="102"/>
      <c r="E129" s="87"/>
      <c r="F129" s="87"/>
      <c r="G129" s="87"/>
      <c r="H129" s="87">
        <v>515</v>
      </c>
      <c r="I129" s="87">
        <v>1124</v>
      </c>
      <c r="J129" s="87">
        <v>388</v>
      </c>
      <c r="K129" s="87"/>
      <c r="L129" s="87"/>
      <c r="M129" s="87"/>
      <c r="N129" s="87"/>
      <c r="O129" s="87"/>
      <c r="P129" s="87"/>
      <c r="Q129" s="87"/>
      <c r="R129" s="87"/>
      <c r="S129" s="87"/>
      <c r="T129" s="87"/>
      <c r="U129" s="87"/>
      <c r="V129" s="87"/>
      <c r="W129" s="87"/>
      <c r="X129" s="87"/>
      <c r="Y129" s="87"/>
      <c r="Z129" s="87"/>
      <c r="AA129" s="87"/>
      <c r="AB129" s="87"/>
      <c r="AC129" s="87"/>
      <c r="AD129" s="87"/>
      <c r="AE129" s="87"/>
      <c r="AF129" s="87"/>
      <c r="AG129" s="87"/>
      <c r="AH129" s="678"/>
      <c r="AI129" s="87"/>
      <c r="AJ129" s="87"/>
      <c r="AK129" s="87"/>
      <c r="AL129" s="87"/>
      <c r="AM129" s="87"/>
      <c r="AN129" s="123"/>
      <c r="AO129" s="123"/>
      <c r="AP129" s="87"/>
      <c r="AQ129" s="87"/>
      <c r="AR129" s="87"/>
      <c r="AS129" s="87"/>
      <c r="AT129" s="87"/>
      <c r="AU129" s="87"/>
      <c r="AV129" s="87"/>
      <c r="AW129" s="87"/>
      <c r="AX129" s="87"/>
      <c r="AY129" s="87"/>
      <c r="AZ129" s="87"/>
      <c r="BA129" s="87"/>
      <c r="BB129" s="87"/>
      <c r="BC129" s="87"/>
      <c r="BD129" s="87"/>
      <c r="BE129" s="87"/>
      <c r="BF129" s="87"/>
      <c r="BG129" s="87"/>
      <c r="BH129" s="87"/>
      <c r="BI129" s="87"/>
      <c r="BJ129" s="87"/>
      <c r="BK129" s="87"/>
      <c r="BL129" s="87"/>
      <c r="BM129" s="87"/>
      <c r="BN129" s="87"/>
      <c r="BO129" s="87"/>
      <c r="BP129" s="87"/>
      <c r="BQ129" s="87"/>
      <c r="BR129" s="88"/>
      <c r="BS129" s="87"/>
      <c r="BT129" s="87"/>
      <c r="BU129" s="87"/>
      <c r="BV129" s="88"/>
      <c r="BW129" s="87"/>
      <c r="BX129" s="87"/>
      <c r="BY129" s="87"/>
      <c r="BZ129" s="88"/>
      <c r="CA129" s="87"/>
      <c r="CB129" s="87"/>
      <c r="CC129" s="87"/>
      <c r="CD129" s="88"/>
      <c r="CE129" s="87"/>
      <c r="CF129" s="87"/>
      <c r="CG129" s="87"/>
      <c r="CH129" s="88"/>
      <c r="CI129" s="87"/>
      <c r="CJ129" s="87"/>
      <c r="CK129" s="87"/>
      <c r="CL129" s="88"/>
      <c r="CM129" s="87"/>
      <c r="CN129" s="87"/>
      <c r="CO129" s="87"/>
      <c r="CP129" s="88"/>
      <c r="CQ129" s="87"/>
      <c r="CR129" s="87"/>
      <c r="CS129" s="87"/>
      <c r="CT129" s="88"/>
      <c r="CU129" s="87"/>
      <c r="CV129" s="87"/>
      <c r="CW129" s="144"/>
      <c r="CX129" s="87"/>
      <c r="CY129" s="87"/>
      <c r="CZ129" s="87"/>
      <c r="DA129" s="87"/>
      <c r="DB129" s="88"/>
      <c r="DC129" s="87"/>
      <c r="DD129" s="87"/>
      <c r="DE129" s="87"/>
      <c r="DF129" s="88"/>
      <c r="DG129" s="1041"/>
      <c r="DH129" s="1041"/>
      <c r="DI129" s="144"/>
      <c r="DJ129" s="88"/>
      <c r="DK129" s="1041"/>
      <c r="DL129" s="1041"/>
      <c r="DM129" s="144"/>
      <c r="DN129" s="88"/>
      <c r="DO129" s="1041"/>
      <c r="DP129" s="1041"/>
      <c r="DQ129" s="144"/>
      <c r="DR129" s="1041"/>
      <c r="DS129" s="1041"/>
      <c r="DT129" s="1041"/>
      <c r="DU129" s="1041"/>
      <c r="DV129" s="1041"/>
      <c r="DW129" s="1041"/>
      <c r="DX129" s="1041"/>
      <c r="DY129" s="144"/>
      <c r="DZ129" s="1041"/>
    </row>
    <row r="130" spans="1:130" hidden="1">
      <c r="A130" s="304" t="s">
        <v>1307</v>
      </c>
      <c r="B130" s="87"/>
      <c r="C130" s="87"/>
      <c r="D130" s="87"/>
      <c r="E130" s="87"/>
      <c r="F130" s="87"/>
      <c r="G130" s="87"/>
      <c r="H130" s="87">
        <v>0</v>
      </c>
      <c r="I130" s="87">
        <v>255</v>
      </c>
      <c r="J130" s="87">
        <v>704</v>
      </c>
      <c r="K130" s="87"/>
      <c r="L130" s="87"/>
      <c r="M130" s="87"/>
      <c r="N130" s="87"/>
      <c r="O130" s="87"/>
      <c r="P130" s="87"/>
      <c r="Q130" s="87"/>
      <c r="R130" s="87"/>
      <c r="S130" s="87"/>
      <c r="T130" s="87"/>
      <c r="U130" s="87"/>
      <c r="V130" s="87"/>
      <c r="W130" s="87"/>
      <c r="X130" s="87"/>
      <c r="Y130" s="87"/>
      <c r="Z130" s="87"/>
      <c r="AA130" s="87"/>
      <c r="AB130" s="87"/>
      <c r="AC130" s="87"/>
      <c r="AD130" s="87"/>
      <c r="AE130" s="87"/>
      <c r="AF130" s="87"/>
      <c r="AG130" s="87"/>
      <c r="AH130" s="678"/>
      <c r="AI130" s="87"/>
      <c r="AJ130" s="87"/>
      <c r="AK130" s="87"/>
      <c r="AL130" s="87"/>
      <c r="AM130" s="87"/>
      <c r="AN130" s="123"/>
      <c r="AO130" s="123"/>
      <c r="AP130" s="87"/>
      <c r="AQ130" s="87"/>
      <c r="AR130" s="87"/>
      <c r="AS130" s="87"/>
      <c r="AT130" s="87"/>
      <c r="AU130" s="87"/>
      <c r="AV130" s="87"/>
      <c r="AW130" s="87"/>
      <c r="AX130" s="87"/>
      <c r="AY130" s="87"/>
      <c r="AZ130" s="87"/>
      <c r="BA130" s="87"/>
      <c r="BB130" s="87"/>
      <c r="BC130" s="87"/>
      <c r="BD130" s="87"/>
      <c r="BE130" s="87"/>
      <c r="BF130" s="87"/>
      <c r="BG130" s="87"/>
      <c r="BH130" s="87"/>
      <c r="BI130" s="87"/>
      <c r="BJ130" s="87"/>
      <c r="BK130" s="87"/>
      <c r="BL130" s="87"/>
      <c r="BM130" s="87"/>
      <c r="BN130" s="87"/>
      <c r="BO130" s="87"/>
      <c r="BP130" s="87"/>
      <c r="BQ130" s="87"/>
      <c r="BR130" s="88"/>
      <c r="BS130" s="87"/>
      <c r="BT130" s="87"/>
      <c r="BU130" s="87"/>
      <c r="BV130" s="88"/>
      <c r="BW130" s="87"/>
      <c r="BX130" s="87"/>
      <c r="BY130" s="87"/>
      <c r="BZ130" s="88"/>
      <c r="CA130" s="87"/>
      <c r="CB130" s="87"/>
      <c r="CC130" s="87"/>
      <c r="CD130" s="88"/>
      <c r="CE130" s="87"/>
      <c r="CF130" s="87"/>
      <c r="CG130" s="87"/>
      <c r="CH130" s="88"/>
      <c r="CI130" s="87"/>
      <c r="CJ130" s="87"/>
      <c r="CK130" s="87"/>
      <c r="CL130" s="88"/>
      <c r="CM130" s="87"/>
      <c r="CN130" s="87"/>
      <c r="CO130" s="87"/>
      <c r="CP130" s="88"/>
      <c r="CQ130" s="87"/>
      <c r="CR130" s="87"/>
      <c r="CS130" s="87"/>
      <c r="CT130" s="88"/>
      <c r="CU130" s="87"/>
      <c r="CV130" s="87"/>
      <c r="CW130" s="144"/>
      <c r="CX130" s="87"/>
      <c r="CY130" s="87"/>
      <c r="CZ130" s="87"/>
      <c r="DA130" s="87"/>
      <c r="DB130" s="88"/>
      <c r="DC130" s="87"/>
      <c r="DD130" s="87"/>
      <c r="DE130" s="87"/>
      <c r="DF130" s="88"/>
      <c r="DG130" s="1041"/>
      <c r="DH130" s="1041"/>
      <c r="DI130" s="144"/>
      <c r="DJ130" s="88"/>
      <c r="DK130" s="1041"/>
      <c r="DL130" s="1041"/>
      <c r="DM130" s="144"/>
      <c r="DN130" s="88"/>
      <c r="DO130" s="1041"/>
      <c r="DP130" s="1041"/>
      <c r="DQ130" s="144"/>
      <c r="DR130" s="1041"/>
      <c r="DS130" s="1041"/>
      <c r="DT130" s="1041"/>
      <c r="DU130" s="1041"/>
      <c r="DV130" s="1041"/>
      <c r="DW130" s="1041"/>
      <c r="DX130" s="1041"/>
      <c r="DY130" s="144"/>
      <c r="DZ130" s="1041"/>
    </row>
    <row r="131" spans="1:130" hidden="1">
      <c r="A131" s="304" t="s">
        <v>1308</v>
      </c>
      <c r="B131" s="87"/>
      <c r="C131" s="87"/>
      <c r="D131" s="87"/>
      <c r="E131" s="87"/>
      <c r="F131" s="87"/>
      <c r="G131" s="87"/>
      <c r="H131" s="87">
        <v>0</v>
      </c>
      <c r="I131" s="87">
        <v>204</v>
      </c>
      <c r="J131" s="87">
        <v>425</v>
      </c>
      <c r="K131" s="87"/>
      <c r="L131" s="87"/>
      <c r="M131" s="87"/>
      <c r="N131" s="87"/>
      <c r="O131" s="87"/>
      <c r="P131" s="87"/>
      <c r="Q131" s="87"/>
      <c r="R131" s="87"/>
      <c r="S131" s="87"/>
      <c r="T131" s="87"/>
      <c r="U131" s="87"/>
      <c r="V131" s="87"/>
      <c r="W131" s="87"/>
      <c r="X131" s="87"/>
      <c r="Y131" s="87"/>
      <c r="Z131" s="87"/>
      <c r="AA131" s="87"/>
      <c r="AB131" s="87"/>
      <c r="AC131" s="87"/>
      <c r="AD131" s="87"/>
      <c r="AE131" s="87"/>
      <c r="AF131" s="87"/>
      <c r="AG131" s="87"/>
      <c r="AH131" s="678"/>
      <c r="AI131" s="87"/>
      <c r="AJ131" s="87"/>
      <c r="AK131" s="87"/>
      <c r="AL131" s="87"/>
      <c r="AM131" s="87"/>
      <c r="AN131" s="123"/>
      <c r="AO131" s="123"/>
      <c r="AP131" s="87"/>
      <c r="AQ131" s="87"/>
      <c r="AR131" s="87"/>
      <c r="AS131" s="87"/>
      <c r="AT131" s="87"/>
      <c r="AU131" s="87"/>
      <c r="AV131" s="87"/>
      <c r="AW131" s="87"/>
      <c r="AX131" s="87"/>
      <c r="AY131" s="87"/>
      <c r="AZ131" s="87"/>
      <c r="BA131" s="87"/>
      <c r="BB131" s="87"/>
      <c r="BC131" s="87"/>
      <c r="BD131" s="87"/>
      <c r="BE131" s="87"/>
      <c r="BF131" s="87"/>
      <c r="BG131" s="87"/>
      <c r="BH131" s="87"/>
      <c r="BI131" s="87"/>
      <c r="BJ131" s="87"/>
      <c r="BK131" s="87"/>
      <c r="BL131" s="87"/>
      <c r="BM131" s="87"/>
      <c r="BN131" s="87"/>
      <c r="BO131" s="87"/>
      <c r="BP131" s="87"/>
      <c r="BQ131" s="87"/>
      <c r="BR131" s="88"/>
      <c r="BS131" s="87"/>
      <c r="BT131" s="87"/>
      <c r="BU131" s="87"/>
      <c r="BV131" s="88"/>
      <c r="BW131" s="87"/>
      <c r="BX131" s="87"/>
      <c r="BY131" s="87"/>
      <c r="BZ131" s="88"/>
      <c r="CA131" s="87"/>
      <c r="CB131" s="87"/>
      <c r="CC131" s="87"/>
      <c r="CD131" s="88"/>
      <c r="CE131" s="87"/>
      <c r="CF131" s="87"/>
      <c r="CG131" s="87"/>
      <c r="CH131" s="88"/>
      <c r="CI131" s="87"/>
      <c r="CJ131" s="87"/>
      <c r="CK131" s="87"/>
      <c r="CL131" s="88"/>
      <c r="CM131" s="87"/>
      <c r="CN131" s="87"/>
      <c r="CO131" s="87"/>
      <c r="CP131" s="88"/>
      <c r="CQ131" s="87"/>
      <c r="CR131" s="87"/>
      <c r="CS131" s="87"/>
      <c r="CT131" s="88"/>
      <c r="CU131" s="87"/>
      <c r="CV131" s="87"/>
      <c r="CW131" s="144"/>
      <c r="CX131" s="87"/>
      <c r="CY131" s="87"/>
      <c r="CZ131" s="87"/>
      <c r="DA131" s="87"/>
      <c r="DB131" s="88"/>
      <c r="DC131" s="87"/>
      <c r="DD131" s="87"/>
      <c r="DE131" s="87"/>
      <c r="DF131" s="88"/>
      <c r="DG131" s="1041"/>
      <c r="DH131" s="1041"/>
      <c r="DI131" s="144"/>
      <c r="DJ131" s="88"/>
      <c r="DK131" s="1041"/>
      <c r="DL131" s="1041"/>
      <c r="DM131" s="144"/>
      <c r="DN131" s="88"/>
      <c r="DO131" s="1041"/>
      <c r="DP131" s="1041"/>
      <c r="DQ131" s="144"/>
      <c r="DR131" s="1041"/>
      <c r="DS131" s="1041"/>
      <c r="DT131" s="1041"/>
      <c r="DU131" s="1041"/>
      <c r="DV131" s="1041"/>
      <c r="DW131" s="1041"/>
      <c r="DX131" s="1041"/>
      <c r="DY131" s="144"/>
      <c r="DZ131" s="1041"/>
    </row>
    <row r="132" spans="1:130" hidden="1">
      <c r="A132" s="305" t="s">
        <v>1040</v>
      </c>
      <c r="B132" s="91"/>
      <c r="C132" s="91"/>
      <c r="D132" s="91"/>
      <c r="E132" s="91"/>
      <c r="F132" s="91"/>
      <c r="G132" s="91"/>
      <c r="H132" s="91">
        <v>2138</v>
      </c>
      <c r="I132" s="91">
        <v>2116</v>
      </c>
      <c r="J132" s="91">
        <v>1944</v>
      </c>
      <c r="K132" s="91"/>
      <c r="L132" s="91"/>
      <c r="M132" s="91"/>
      <c r="N132" s="91"/>
      <c r="O132" s="91"/>
      <c r="P132" s="91"/>
      <c r="Q132" s="91"/>
      <c r="R132" s="91"/>
      <c r="S132" s="91"/>
      <c r="T132" s="91"/>
      <c r="U132" s="91"/>
      <c r="V132" s="91"/>
      <c r="W132" s="91"/>
      <c r="X132" s="91"/>
      <c r="Y132" s="91"/>
      <c r="Z132" s="91"/>
      <c r="AA132" s="91"/>
      <c r="AB132" s="91"/>
      <c r="AC132" s="91"/>
      <c r="AD132" s="91"/>
      <c r="AE132" s="91"/>
      <c r="AF132" s="91"/>
      <c r="AG132" s="91"/>
      <c r="AH132" s="1238"/>
      <c r="AI132" s="91"/>
      <c r="AJ132" s="91"/>
      <c r="AK132" s="91"/>
      <c r="AL132" s="91"/>
      <c r="AM132" s="91"/>
      <c r="AN132" s="123"/>
      <c r="AO132" s="123"/>
      <c r="AP132" s="91"/>
      <c r="AQ132" s="91"/>
      <c r="AR132" s="91"/>
      <c r="AS132" s="91"/>
      <c r="AT132" s="91"/>
      <c r="AU132" s="91"/>
      <c r="AV132" s="91"/>
      <c r="AW132" s="91"/>
      <c r="AX132" s="91"/>
      <c r="AY132" s="91"/>
      <c r="AZ132" s="91"/>
      <c r="BA132" s="91"/>
      <c r="BB132" s="91"/>
      <c r="BC132" s="91"/>
      <c r="BD132" s="91"/>
      <c r="BE132" s="91"/>
      <c r="BF132" s="91"/>
      <c r="BG132" s="91"/>
      <c r="BH132" s="91"/>
      <c r="BI132" s="91"/>
      <c r="BJ132" s="91"/>
      <c r="BK132" s="91"/>
      <c r="BL132" s="91"/>
      <c r="BM132" s="91"/>
      <c r="BN132" s="91"/>
      <c r="BO132" s="91"/>
      <c r="BP132" s="91"/>
      <c r="BQ132" s="91"/>
      <c r="BR132" s="151"/>
      <c r="BS132" s="91"/>
      <c r="BT132" s="91"/>
      <c r="BU132" s="91"/>
      <c r="BV132" s="151"/>
      <c r="BW132" s="91"/>
      <c r="BX132" s="91"/>
      <c r="BY132" s="91"/>
      <c r="BZ132" s="151"/>
      <c r="CA132" s="91"/>
      <c r="CB132" s="91"/>
      <c r="CC132" s="91"/>
      <c r="CD132" s="151"/>
      <c r="CE132" s="91"/>
      <c r="CF132" s="91"/>
      <c r="CG132" s="91"/>
      <c r="CH132" s="151"/>
      <c r="CI132" s="91"/>
      <c r="CJ132" s="91"/>
      <c r="CK132" s="91"/>
      <c r="CL132" s="151"/>
      <c r="CM132" s="91"/>
      <c r="CN132" s="91"/>
      <c r="CO132" s="91"/>
      <c r="CP132" s="151"/>
      <c r="CQ132" s="91"/>
      <c r="CR132" s="91"/>
      <c r="CS132" s="91"/>
      <c r="CT132" s="151"/>
      <c r="CU132" s="91"/>
      <c r="CV132" s="91"/>
      <c r="CW132" s="93"/>
      <c r="CX132" s="91"/>
      <c r="CY132" s="91"/>
      <c r="CZ132" s="91"/>
      <c r="DA132" s="91"/>
      <c r="DB132" s="151"/>
      <c r="DC132" s="91"/>
      <c r="DD132" s="91"/>
      <c r="DE132" s="91"/>
      <c r="DF132" s="151"/>
      <c r="DG132" s="1068"/>
      <c r="DH132" s="1068"/>
      <c r="DI132" s="93"/>
      <c r="DJ132" s="151"/>
      <c r="DK132" s="1068"/>
      <c r="DL132" s="1068"/>
      <c r="DM132" s="93"/>
      <c r="DN132" s="151"/>
      <c r="DO132" s="1068"/>
      <c r="DP132" s="1068"/>
      <c r="DQ132" s="93"/>
      <c r="DR132" s="1068"/>
      <c r="DS132" s="1068"/>
      <c r="DT132" s="1068"/>
      <c r="DU132" s="1068"/>
      <c r="DV132" s="1068"/>
      <c r="DW132" s="1068"/>
      <c r="DX132" s="1068"/>
      <c r="DY132" s="93"/>
      <c r="DZ132" s="1068"/>
    </row>
    <row r="133" spans="1:130" hidden="1">
      <c r="A133" s="304" t="s">
        <v>1309</v>
      </c>
      <c r="B133" s="87"/>
      <c r="C133" s="87"/>
      <c r="D133" s="87"/>
      <c r="E133" s="87"/>
      <c r="F133" s="87"/>
      <c r="G133" s="87"/>
      <c r="H133" s="87">
        <v>-441</v>
      </c>
      <c r="I133" s="87">
        <v>-1574</v>
      </c>
      <c r="J133" s="87">
        <v>-661</v>
      </c>
      <c r="K133" s="87"/>
      <c r="L133" s="87"/>
      <c r="M133" s="87"/>
      <c r="N133" s="87"/>
      <c r="O133" s="87"/>
      <c r="P133" s="87"/>
      <c r="Q133" s="87"/>
      <c r="R133" s="87"/>
      <c r="S133" s="87"/>
      <c r="T133" s="87"/>
      <c r="U133" s="87"/>
      <c r="V133" s="87"/>
      <c r="W133" s="87"/>
      <c r="X133" s="87"/>
      <c r="Y133" s="87"/>
      <c r="Z133" s="87"/>
      <c r="AA133" s="87"/>
      <c r="AB133" s="87"/>
      <c r="AC133" s="87"/>
      <c r="AD133" s="87"/>
      <c r="AE133" s="87"/>
      <c r="AF133" s="87"/>
      <c r="AG133" s="87"/>
      <c r="AH133" s="678"/>
      <c r="AI133" s="87"/>
      <c r="AJ133" s="87"/>
      <c r="AK133" s="87"/>
      <c r="AL133" s="87"/>
      <c r="AM133" s="87"/>
      <c r="AN133" s="123"/>
      <c r="AO133" s="123"/>
      <c r="AP133" s="87"/>
      <c r="AQ133" s="87"/>
      <c r="AR133" s="87"/>
      <c r="AS133" s="87"/>
      <c r="AT133" s="87"/>
      <c r="AU133" s="87"/>
      <c r="AV133" s="87"/>
      <c r="AW133" s="87"/>
      <c r="AX133" s="87"/>
      <c r="AY133" s="87"/>
      <c r="AZ133" s="87"/>
      <c r="BA133" s="87"/>
      <c r="BB133" s="87"/>
      <c r="BC133" s="87"/>
      <c r="BD133" s="87"/>
      <c r="BE133" s="87"/>
      <c r="BF133" s="87"/>
      <c r="BG133" s="87"/>
      <c r="BH133" s="87"/>
      <c r="BI133" s="87"/>
      <c r="BJ133" s="87"/>
      <c r="BK133" s="87"/>
      <c r="BL133" s="87"/>
      <c r="BM133" s="87"/>
      <c r="BN133" s="87"/>
      <c r="BO133" s="87"/>
      <c r="BP133" s="87"/>
      <c r="BQ133" s="87"/>
      <c r="BR133" s="88"/>
      <c r="BS133" s="87"/>
      <c r="BT133" s="87"/>
      <c r="BU133" s="87"/>
      <c r="BV133" s="88"/>
      <c r="BW133" s="87"/>
      <c r="BX133" s="87"/>
      <c r="BY133" s="87"/>
      <c r="BZ133" s="88"/>
      <c r="CA133" s="87"/>
      <c r="CB133" s="87"/>
      <c r="CC133" s="87"/>
      <c r="CD133" s="88"/>
      <c r="CE133" s="87"/>
      <c r="CF133" s="87"/>
      <c r="CG133" s="87"/>
      <c r="CH133" s="88"/>
      <c r="CI133" s="87"/>
      <c r="CJ133" s="87"/>
      <c r="CK133" s="87"/>
      <c r="CL133" s="88"/>
      <c r="CM133" s="87"/>
      <c r="CN133" s="87"/>
      <c r="CO133" s="87"/>
      <c r="CP133" s="88"/>
      <c r="CQ133" s="87"/>
      <c r="CR133" s="87"/>
      <c r="CS133" s="87"/>
      <c r="CT133" s="88"/>
      <c r="CU133" s="87"/>
      <c r="CV133" s="87"/>
      <c r="CW133" s="144"/>
      <c r="CX133" s="87"/>
      <c r="CY133" s="87"/>
      <c r="CZ133" s="87"/>
      <c r="DA133" s="87"/>
      <c r="DB133" s="88"/>
      <c r="DC133" s="87"/>
      <c r="DD133" s="87"/>
      <c r="DE133" s="87"/>
      <c r="DF133" s="88"/>
      <c r="DG133" s="1041"/>
      <c r="DH133" s="1041"/>
      <c r="DI133" s="144"/>
      <c r="DJ133" s="88"/>
      <c r="DK133" s="1041"/>
      <c r="DL133" s="1041"/>
      <c r="DM133" s="144"/>
      <c r="DN133" s="88"/>
      <c r="DO133" s="1041"/>
      <c r="DP133" s="1041"/>
      <c r="DQ133" s="144"/>
      <c r="DR133" s="1041"/>
      <c r="DS133" s="1041"/>
      <c r="DT133" s="1041"/>
      <c r="DU133" s="1041"/>
      <c r="DV133" s="1041"/>
      <c r="DW133" s="1041"/>
      <c r="DX133" s="1041"/>
      <c r="DY133" s="144"/>
      <c r="DZ133" s="1041"/>
    </row>
    <row r="134" spans="1:130" hidden="1">
      <c r="A134" s="305" t="s">
        <v>1310</v>
      </c>
      <c r="B134" s="91"/>
      <c r="C134" s="91"/>
      <c r="D134" s="91"/>
      <c r="E134" s="91"/>
      <c r="F134" s="91"/>
      <c r="G134" s="91"/>
      <c r="H134" s="91">
        <v>1697</v>
      </c>
      <c r="I134" s="91">
        <v>542</v>
      </c>
      <c r="J134" s="91">
        <v>1283</v>
      </c>
      <c r="K134" s="91"/>
      <c r="L134" s="91"/>
      <c r="M134" s="91"/>
      <c r="N134" s="91"/>
      <c r="O134" s="91"/>
      <c r="P134" s="91"/>
      <c r="Q134" s="91"/>
      <c r="R134" s="91"/>
      <c r="S134" s="91"/>
      <c r="T134" s="91"/>
      <c r="U134" s="91"/>
      <c r="V134" s="91"/>
      <c r="W134" s="91"/>
      <c r="X134" s="91"/>
      <c r="Y134" s="91"/>
      <c r="Z134" s="91"/>
      <c r="AA134" s="91"/>
      <c r="AB134" s="91"/>
      <c r="AC134" s="91"/>
      <c r="AD134" s="91"/>
      <c r="AE134" s="91"/>
      <c r="AF134" s="91"/>
      <c r="AG134" s="91"/>
      <c r="AH134" s="1238"/>
      <c r="AI134" s="91"/>
      <c r="AJ134" s="91"/>
      <c r="AK134" s="91"/>
      <c r="AL134" s="91"/>
      <c r="AM134" s="91"/>
      <c r="AN134" s="123"/>
      <c r="AO134" s="123"/>
      <c r="AP134" s="91"/>
      <c r="AQ134" s="91"/>
      <c r="AR134" s="91"/>
      <c r="AS134" s="91"/>
      <c r="AT134" s="91"/>
      <c r="AU134" s="91"/>
      <c r="AV134" s="91"/>
      <c r="AW134" s="91"/>
      <c r="AX134" s="91"/>
      <c r="AY134" s="91"/>
      <c r="AZ134" s="91"/>
      <c r="BA134" s="91"/>
      <c r="BB134" s="91"/>
      <c r="BC134" s="91"/>
      <c r="BD134" s="91"/>
      <c r="BE134" s="91"/>
      <c r="BF134" s="91"/>
      <c r="BG134" s="91"/>
      <c r="BH134" s="91"/>
      <c r="BI134" s="91"/>
      <c r="BJ134" s="91"/>
      <c r="BK134" s="91"/>
      <c r="BL134" s="91"/>
      <c r="BM134" s="91"/>
      <c r="BN134" s="91"/>
      <c r="BO134" s="91"/>
      <c r="BP134" s="91"/>
      <c r="BQ134" s="91"/>
      <c r="BR134" s="151"/>
      <c r="BS134" s="91"/>
      <c r="BT134" s="91"/>
      <c r="BU134" s="91"/>
      <c r="BV134" s="151"/>
      <c r="BW134" s="91"/>
      <c r="BX134" s="91"/>
      <c r="BY134" s="91"/>
      <c r="BZ134" s="151"/>
      <c r="CA134" s="91"/>
      <c r="CB134" s="91"/>
      <c r="CC134" s="91"/>
      <c r="CD134" s="151"/>
      <c r="CE134" s="91"/>
      <c r="CF134" s="91"/>
      <c r="CG134" s="91"/>
      <c r="CH134" s="151"/>
      <c r="CI134" s="91"/>
      <c r="CJ134" s="91"/>
      <c r="CK134" s="91"/>
      <c r="CL134" s="151"/>
      <c r="CM134" s="91"/>
      <c r="CN134" s="91"/>
      <c r="CO134" s="91"/>
      <c r="CP134" s="151"/>
      <c r="CQ134" s="91"/>
      <c r="CR134" s="91"/>
      <c r="CS134" s="91"/>
      <c r="CT134" s="151"/>
      <c r="CU134" s="91"/>
      <c r="CV134" s="91"/>
      <c r="CW134" s="93"/>
      <c r="CX134" s="91"/>
      <c r="CY134" s="91"/>
      <c r="CZ134" s="91"/>
      <c r="DA134" s="91"/>
      <c r="DB134" s="151"/>
      <c r="DC134" s="91"/>
      <c r="DD134" s="91"/>
      <c r="DE134" s="91"/>
      <c r="DF134" s="151"/>
      <c r="DG134" s="1068"/>
      <c r="DH134" s="1068"/>
      <c r="DI134" s="93"/>
      <c r="DJ134" s="151"/>
      <c r="DK134" s="1068"/>
      <c r="DL134" s="1068"/>
      <c r="DM134" s="93"/>
      <c r="DN134" s="151"/>
      <c r="DO134" s="1068"/>
      <c r="DP134" s="1068"/>
      <c r="DQ134" s="93"/>
      <c r="DR134" s="1068"/>
      <c r="DS134" s="1068"/>
      <c r="DT134" s="1068"/>
      <c r="DU134" s="1068"/>
      <c r="DV134" s="1068"/>
      <c r="DW134" s="1068"/>
      <c r="DX134" s="1068"/>
      <c r="DY134" s="93"/>
      <c r="DZ134" s="1068"/>
    </row>
    <row r="135" spans="1:130" hidden="1">
      <c r="A135" s="305" t="s">
        <v>1311</v>
      </c>
      <c r="B135" s="308"/>
      <c r="C135" s="308"/>
      <c r="D135" s="308"/>
      <c r="E135" s="87"/>
      <c r="F135" s="87"/>
      <c r="G135" s="87"/>
      <c r="H135" s="87"/>
      <c r="I135" s="87"/>
      <c r="J135" s="87"/>
      <c r="K135" s="87"/>
      <c r="L135" s="87"/>
      <c r="M135" s="87"/>
      <c r="N135" s="87"/>
      <c r="O135" s="87"/>
      <c r="P135" s="87"/>
      <c r="Q135" s="87"/>
      <c r="R135" s="87"/>
      <c r="S135" s="87"/>
      <c r="T135" s="87"/>
      <c r="U135" s="87"/>
      <c r="V135" s="87"/>
      <c r="W135" s="87"/>
      <c r="X135" s="87"/>
      <c r="Y135" s="87"/>
      <c r="Z135" s="87"/>
      <c r="AA135" s="87"/>
      <c r="AB135" s="87"/>
      <c r="AC135" s="87"/>
      <c r="AD135" s="87"/>
      <c r="AE135" s="87"/>
      <c r="AF135" s="87"/>
      <c r="AG135" s="87"/>
      <c r="AH135" s="678"/>
      <c r="AI135" s="87"/>
      <c r="AJ135" s="87"/>
      <c r="AK135" s="87"/>
      <c r="AL135" s="87"/>
      <c r="AM135" s="87"/>
      <c r="AN135" s="123"/>
      <c r="AO135" s="123"/>
      <c r="AP135" s="87"/>
      <c r="AQ135" s="87"/>
      <c r="AR135" s="87"/>
      <c r="AS135" s="87"/>
      <c r="AT135" s="87"/>
      <c r="AU135" s="87"/>
      <c r="AV135" s="87"/>
      <c r="AW135" s="87"/>
      <c r="AX135" s="87"/>
      <c r="AY135" s="87"/>
      <c r="AZ135" s="87"/>
      <c r="BA135" s="87"/>
      <c r="BB135" s="87"/>
      <c r="BC135" s="87"/>
      <c r="BD135" s="87"/>
      <c r="BE135" s="87"/>
      <c r="BF135" s="87"/>
      <c r="BG135" s="87"/>
      <c r="BH135" s="87"/>
      <c r="BI135" s="87"/>
      <c r="BJ135" s="87"/>
      <c r="BK135" s="87"/>
      <c r="BL135" s="87"/>
      <c r="BM135" s="87"/>
      <c r="BN135" s="87"/>
      <c r="BO135" s="87"/>
      <c r="BP135" s="87"/>
      <c r="BQ135" s="87"/>
      <c r="BR135" s="88"/>
      <c r="BS135" s="87"/>
      <c r="BT135" s="87"/>
      <c r="BU135" s="87"/>
      <c r="BV135" s="88"/>
      <c r="BW135" s="87"/>
      <c r="BX135" s="87"/>
      <c r="BY135" s="87"/>
      <c r="BZ135" s="88"/>
      <c r="CA135" s="87"/>
      <c r="CB135" s="87"/>
      <c r="CC135" s="87"/>
      <c r="CD135" s="88"/>
      <c r="CE135" s="87"/>
      <c r="CF135" s="87"/>
      <c r="CG135" s="87"/>
      <c r="CH135" s="88"/>
      <c r="CI135" s="87"/>
      <c r="CJ135" s="87"/>
      <c r="CK135" s="87"/>
      <c r="CL135" s="88"/>
      <c r="CM135" s="87"/>
      <c r="CN135" s="87"/>
      <c r="CO135" s="87"/>
      <c r="CP135" s="88"/>
      <c r="CQ135" s="87"/>
      <c r="CR135" s="87"/>
      <c r="CS135" s="87"/>
      <c r="CT135" s="88"/>
      <c r="CU135" s="87"/>
      <c r="CV135" s="87"/>
      <c r="CW135" s="144"/>
      <c r="CX135" s="87"/>
      <c r="CY135" s="87"/>
      <c r="CZ135" s="87"/>
      <c r="DA135" s="87"/>
      <c r="DB135" s="88"/>
      <c r="DC135" s="87"/>
      <c r="DD135" s="87"/>
      <c r="DE135" s="87"/>
      <c r="DF135" s="88"/>
      <c r="DG135" s="1041"/>
      <c r="DH135" s="1041"/>
      <c r="DI135" s="144"/>
      <c r="DJ135" s="88"/>
      <c r="DK135" s="1041"/>
      <c r="DL135" s="1041"/>
      <c r="DM135" s="144"/>
      <c r="DN135" s="88"/>
      <c r="DO135" s="1041"/>
      <c r="DP135" s="1041"/>
      <c r="DQ135" s="144"/>
      <c r="DR135" s="1041"/>
      <c r="DS135" s="1041"/>
      <c r="DT135" s="1041"/>
      <c r="DU135" s="1041"/>
      <c r="DV135" s="1041"/>
      <c r="DW135" s="1041"/>
      <c r="DX135" s="1041"/>
      <c r="DY135" s="144"/>
      <c r="DZ135" s="1041"/>
    </row>
    <row r="136" spans="1:130" hidden="1">
      <c r="A136" s="304" t="s">
        <v>966</v>
      </c>
      <c r="B136" s="87"/>
      <c r="C136" s="87"/>
      <c r="D136" s="87"/>
      <c r="E136" s="87"/>
      <c r="F136" s="87"/>
      <c r="G136" s="87"/>
      <c r="H136" s="87">
        <v>-5360</v>
      </c>
      <c r="I136" s="87">
        <v>-6171</v>
      </c>
      <c r="J136" s="87">
        <v>-7314</v>
      </c>
      <c r="K136" s="87"/>
      <c r="L136" s="87"/>
      <c r="M136" s="87"/>
      <c r="N136" s="87"/>
      <c r="O136" s="87"/>
      <c r="P136" s="87"/>
      <c r="Q136" s="87"/>
      <c r="R136" s="87"/>
      <c r="S136" s="87"/>
      <c r="T136" s="87"/>
      <c r="U136" s="87"/>
      <c r="V136" s="87"/>
      <c r="W136" s="87"/>
      <c r="X136" s="87"/>
      <c r="Y136" s="87"/>
      <c r="Z136" s="87"/>
      <c r="AA136" s="87"/>
      <c r="AB136" s="87"/>
      <c r="AC136" s="87"/>
      <c r="AD136" s="87"/>
      <c r="AE136" s="87"/>
      <c r="AF136" s="87"/>
      <c r="AG136" s="87"/>
      <c r="AH136" s="678"/>
      <c r="AI136" s="87"/>
      <c r="AJ136" s="87"/>
      <c r="AK136" s="87"/>
      <c r="AL136" s="87"/>
      <c r="AM136" s="87"/>
      <c r="AN136" s="123"/>
      <c r="AO136" s="123"/>
      <c r="AP136" s="87"/>
      <c r="AQ136" s="87"/>
      <c r="AR136" s="87"/>
      <c r="AS136" s="87"/>
      <c r="AT136" s="87"/>
      <c r="AU136" s="87"/>
      <c r="AV136" s="87"/>
      <c r="AW136" s="87"/>
      <c r="AX136" s="87"/>
      <c r="AY136" s="87"/>
      <c r="AZ136" s="87"/>
      <c r="BA136" s="87"/>
      <c r="BB136" s="87"/>
      <c r="BC136" s="87"/>
      <c r="BD136" s="87"/>
      <c r="BE136" s="87"/>
      <c r="BF136" s="87"/>
      <c r="BG136" s="87"/>
      <c r="BH136" s="87"/>
      <c r="BI136" s="87"/>
      <c r="BJ136" s="87"/>
      <c r="BK136" s="87"/>
      <c r="BL136" s="87"/>
      <c r="BM136" s="87"/>
      <c r="BN136" s="87"/>
      <c r="BO136" s="87"/>
      <c r="BP136" s="87"/>
      <c r="BQ136" s="87"/>
      <c r="BR136" s="88"/>
      <c r="BS136" s="87"/>
      <c r="BT136" s="87"/>
      <c r="BU136" s="87"/>
      <c r="BV136" s="88"/>
      <c r="BW136" s="87"/>
      <c r="BX136" s="87"/>
      <c r="BY136" s="87"/>
      <c r="BZ136" s="88"/>
      <c r="CA136" s="87"/>
      <c r="CB136" s="87"/>
      <c r="CC136" s="87"/>
      <c r="CD136" s="88"/>
      <c r="CE136" s="87"/>
      <c r="CF136" s="87"/>
      <c r="CG136" s="87"/>
      <c r="CH136" s="88"/>
      <c r="CI136" s="87"/>
      <c r="CJ136" s="87"/>
      <c r="CK136" s="87"/>
      <c r="CL136" s="88"/>
      <c r="CM136" s="87"/>
      <c r="CN136" s="87"/>
      <c r="CO136" s="87"/>
      <c r="CP136" s="88"/>
      <c r="CQ136" s="87"/>
      <c r="CR136" s="87"/>
      <c r="CS136" s="87"/>
      <c r="CT136" s="88"/>
      <c r="CU136" s="87"/>
      <c r="CV136" s="87"/>
      <c r="CW136" s="144"/>
      <c r="CX136" s="87"/>
      <c r="CY136" s="87"/>
      <c r="CZ136" s="87"/>
      <c r="DA136" s="87"/>
      <c r="DB136" s="88"/>
      <c r="DC136" s="87"/>
      <c r="DD136" s="87"/>
      <c r="DE136" s="87"/>
      <c r="DF136" s="88"/>
      <c r="DG136" s="1041"/>
      <c r="DH136" s="1041"/>
      <c r="DI136" s="144"/>
      <c r="DJ136" s="88"/>
      <c r="DK136" s="1041"/>
      <c r="DL136" s="1041"/>
      <c r="DM136" s="144"/>
      <c r="DN136" s="88"/>
      <c r="DO136" s="1041"/>
      <c r="DP136" s="1041"/>
      <c r="DQ136" s="144"/>
      <c r="DR136" s="1041"/>
      <c r="DS136" s="1041"/>
      <c r="DT136" s="1041"/>
      <c r="DU136" s="1041"/>
      <c r="DV136" s="1041"/>
      <c r="DW136" s="1041"/>
      <c r="DX136" s="1041"/>
      <c r="DY136" s="144"/>
      <c r="DZ136" s="1041"/>
    </row>
    <row r="137" spans="1:130" hidden="1">
      <c r="A137" s="304" t="s">
        <v>1312</v>
      </c>
      <c r="B137" s="87"/>
      <c r="C137" s="87"/>
      <c r="D137" s="87"/>
      <c r="E137" s="87"/>
      <c r="F137" s="87"/>
      <c r="G137" s="87"/>
      <c r="H137" s="87">
        <v>-2953</v>
      </c>
      <c r="I137" s="87">
        <v>-3060</v>
      </c>
      <c r="J137" s="87">
        <v>-3109</v>
      </c>
      <c r="K137" s="87"/>
      <c r="L137" s="87"/>
      <c r="M137" s="87"/>
      <c r="N137" s="87"/>
      <c r="O137" s="87"/>
      <c r="P137" s="87"/>
      <c r="Q137" s="87"/>
      <c r="R137" s="87"/>
      <c r="S137" s="87"/>
      <c r="T137" s="87"/>
      <c r="U137" s="87"/>
      <c r="V137" s="87"/>
      <c r="W137" s="87"/>
      <c r="X137" s="87"/>
      <c r="Y137" s="87"/>
      <c r="Z137" s="87"/>
      <c r="AA137" s="87"/>
      <c r="AB137" s="87"/>
      <c r="AC137" s="87"/>
      <c r="AD137" s="87"/>
      <c r="AE137" s="87"/>
      <c r="AF137" s="87"/>
      <c r="AG137" s="87"/>
      <c r="AH137" s="678"/>
      <c r="AI137" s="87"/>
      <c r="AJ137" s="87"/>
      <c r="AK137" s="87"/>
      <c r="AL137" s="87"/>
      <c r="AM137" s="87"/>
      <c r="AN137" s="123"/>
      <c r="AO137" s="123"/>
      <c r="AP137" s="87"/>
      <c r="AQ137" s="87"/>
      <c r="AR137" s="87"/>
      <c r="AS137" s="87"/>
      <c r="AT137" s="87"/>
      <c r="AU137" s="87"/>
      <c r="AV137" s="87"/>
      <c r="AW137" s="87"/>
      <c r="AX137" s="87"/>
      <c r="AY137" s="87"/>
      <c r="AZ137" s="87"/>
      <c r="BA137" s="87"/>
      <c r="BB137" s="87"/>
      <c r="BC137" s="87"/>
      <c r="BD137" s="87"/>
      <c r="BE137" s="87"/>
      <c r="BF137" s="87"/>
      <c r="BG137" s="87"/>
      <c r="BH137" s="87"/>
      <c r="BI137" s="87"/>
      <c r="BJ137" s="87"/>
      <c r="BK137" s="87"/>
      <c r="BL137" s="87"/>
      <c r="BM137" s="87"/>
      <c r="BN137" s="87"/>
      <c r="BO137" s="87"/>
      <c r="BP137" s="87"/>
      <c r="BQ137" s="87"/>
      <c r="BR137" s="88"/>
      <c r="BS137" s="87"/>
      <c r="BT137" s="87"/>
      <c r="BU137" s="87"/>
      <c r="BV137" s="88"/>
      <c r="BW137" s="87"/>
      <c r="BX137" s="87"/>
      <c r="BY137" s="87"/>
      <c r="BZ137" s="88"/>
      <c r="CA137" s="87"/>
      <c r="CB137" s="87"/>
      <c r="CC137" s="87"/>
      <c r="CD137" s="88"/>
      <c r="CE137" s="87"/>
      <c r="CF137" s="87"/>
      <c r="CG137" s="87"/>
      <c r="CH137" s="88"/>
      <c r="CI137" s="87"/>
      <c r="CJ137" s="87"/>
      <c r="CK137" s="87"/>
      <c r="CL137" s="88"/>
      <c r="CM137" s="87"/>
      <c r="CN137" s="87"/>
      <c r="CO137" s="87"/>
      <c r="CP137" s="88"/>
      <c r="CQ137" s="87"/>
      <c r="CR137" s="87"/>
      <c r="CS137" s="87"/>
      <c r="CT137" s="88"/>
      <c r="CU137" s="87"/>
      <c r="CV137" s="87"/>
      <c r="CW137" s="144"/>
      <c r="CX137" s="87"/>
      <c r="CY137" s="87"/>
      <c r="CZ137" s="87"/>
      <c r="DA137" s="87"/>
      <c r="DB137" s="88"/>
      <c r="DC137" s="87"/>
      <c r="DD137" s="87"/>
      <c r="DE137" s="87"/>
      <c r="DF137" s="88"/>
      <c r="DG137" s="1041"/>
      <c r="DH137" s="1041"/>
      <c r="DI137" s="144"/>
      <c r="DJ137" s="88"/>
      <c r="DK137" s="1041"/>
      <c r="DL137" s="1041"/>
      <c r="DM137" s="144"/>
      <c r="DN137" s="88"/>
      <c r="DO137" s="1041"/>
      <c r="DP137" s="1041"/>
      <c r="DQ137" s="144"/>
      <c r="DR137" s="1041"/>
      <c r="DS137" s="1041"/>
      <c r="DT137" s="1041"/>
      <c r="DU137" s="1041"/>
      <c r="DV137" s="1041"/>
      <c r="DW137" s="1041"/>
      <c r="DX137" s="1041"/>
      <c r="DY137" s="144"/>
      <c r="DZ137" s="1041"/>
    </row>
    <row r="138" spans="1:130" hidden="1">
      <c r="A138" s="304" t="s">
        <v>1313</v>
      </c>
      <c r="B138" s="87"/>
      <c r="C138" s="87"/>
      <c r="D138" s="87"/>
      <c r="E138" s="87"/>
      <c r="F138" s="87"/>
      <c r="G138" s="87"/>
      <c r="H138" s="87">
        <v>-5925</v>
      </c>
      <c r="I138" s="87">
        <v>-7287</v>
      </c>
      <c r="J138" s="87">
        <v>-7638</v>
      </c>
      <c r="K138" s="87"/>
      <c r="L138" s="87"/>
      <c r="M138" s="87"/>
      <c r="N138" s="87"/>
      <c r="O138" s="87"/>
      <c r="P138" s="87"/>
      <c r="Q138" s="87"/>
      <c r="R138" s="87"/>
      <c r="S138" s="87"/>
      <c r="T138" s="87"/>
      <c r="U138" s="87"/>
      <c r="V138" s="87"/>
      <c r="W138" s="87"/>
      <c r="X138" s="87"/>
      <c r="Y138" s="87"/>
      <c r="Z138" s="87"/>
      <c r="AA138" s="87"/>
      <c r="AB138" s="87"/>
      <c r="AC138" s="87"/>
      <c r="AD138" s="87"/>
      <c r="AE138" s="87"/>
      <c r="AF138" s="87"/>
      <c r="AG138" s="87"/>
      <c r="AH138" s="678"/>
      <c r="AI138" s="87"/>
      <c r="AJ138" s="87"/>
      <c r="AK138" s="87"/>
      <c r="AL138" s="87"/>
      <c r="AM138" s="87"/>
      <c r="AN138" s="123"/>
      <c r="AO138" s="123"/>
      <c r="AP138" s="87"/>
      <c r="AQ138" s="87"/>
      <c r="AR138" s="87"/>
      <c r="AS138" s="87"/>
      <c r="AT138" s="87"/>
      <c r="AU138" s="87"/>
      <c r="AV138" s="87"/>
      <c r="AW138" s="87"/>
      <c r="AX138" s="87"/>
      <c r="AY138" s="87"/>
      <c r="AZ138" s="87"/>
      <c r="BA138" s="87"/>
      <c r="BB138" s="87"/>
      <c r="BC138" s="87"/>
      <c r="BD138" s="87"/>
      <c r="BE138" s="87"/>
      <c r="BF138" s="87"/>
      <c r="BG138" s="87"/>
      <c r="BH138" s="87"/>
      <c r="BI138" s="87"/>
      <c r="BJ138" s="87"/>
      <c r="BK138" s="87"/>
      <c r="BL138" s="87"/>
      <c r="BM138" s="87"/>
      <c r="BN138" s="87"/>
      <c r="BO138" s="87"/>
      <c r="BP138" s="87"/>
      <c r="BQ138" s="87"/>
      <c r="BR138" s="88"/>
      <c r="BS138" s="87"/>
      <c r="BT138" s="87"/>
      <c r="BU138" s="87"/>
      <c r="BV138" s="88"/>
      <c r="BW138" s="87"/>
      <c r="BX138" s="87"/>
      <c r="BY138" s="87"/>
      <c r="BZ138" s="88"/>
      <c r="CA138" s="87"/>
      <c r="CB138" s="87"/>
      <c r="CC138" s="87"/>
      <c r="CD138" s="88"/>
      <c r="CE138" s="87"/>
      <c r="CF138" s="87"/>
      <c r="CG138" s="87"/>
      <c r="CH138" s="88"/>
      <c r="CI138" s="87"/>
      <c r="CJ138" s="87"/>
      <c r="CK138" s="87"/>
      <c r="CL138" s="88"/>
      <c r="CM138" s="87"/>
      <c r="CN138" s="87"/>
      <c r="CO138" s="87"/>
      <c r="CP138" s="88"/>
      <c r="CQ138" s="87"/>
      <c r="CR138" s="87"/>
      <c r="CS138" s="87"/>
      <c r="CT138" s="88"/>
      <c r="CU138" s="87"/>
      <c r="CV138" s="87"/>
      <c r="CW138" s="144"/>
      <c r="CX138" s="87"/>
      <c r="CY138" s="87"/>
      <c r="CZ138" s="87"/>
      <c r="DA138" s="87"/>
      <c r="DB138" s="88"/>
      <c r="DC138" s="87"/>
      <c r="DD138" s="87"/>
      <c r="DE138" s="87"/>
      <c r="DF138" s="88"/>
      <c r="DG138" s="1041"/>
      <c r="DH138" s="1041"/>
      <c r="DI138" s="144"/>
      <c r="DJ138" s="88"/>
      <c r="DK138" s="1041"/>
      <c r="DL138" s="1041"/>
      <c r="DM138" s="144"/>
      <c r="DN138" s="88"/>
      <c r="DO138" s="1041"/>
      <c r="DP138" s="1041"/>
      <c r="DQ138" s="144"/>
      <c r="DR138" s="1041"/>
      <c r="DS138" s="1041"/>
      <c r="DT138" s="1041"/>
      <c r="DU138" s="1041"/>
      <c r="DV138" s="1041"/>
      <c r="DW138" s="1041"/>
      <c r="DX138" s="1041"/>
      <c r="DY138" s="144"/>
      <c r="DZ138" s="1041"/>
    </row>
    <row r="139" spans="1:130" hidden="1">
      <c r="A139" s="304" t="s">
        <v>1231</v>
      </c>
      <c r="B139" s="87"/>
      <c r="C139" s="87"/>
      <c r="D139" s="87"/>
      <c r="E139" s="87"/>
      <c r="F139" s="87"/>
      <c r="G139" s="87"/>
      <c r="H139" s="87">
        <v>0</v>
      </c>
      <c r="I139" s="87">
        <v>0</v>
      </c>
      <c r="J139" s="87">
        <v>-1613</v>
      </c>
      <c r="K139" s="87"/>
      <c r="L139" s="87"/>
      <c r="M139" s="87"/>
      <c r="N139" s="87"/>
      <c r="O139" s="87"/>
      <c r="P139" s="87"/>
      <c r="Q139" s="87"/>
      <c r="R139" s="87"/>
      <c r="S139" s="87"/>
      <c r="T139" s="87"/>
      <c r="U139" s="87"/>
      <c r="V139" s="87"/>
      <c r="W139" s="87"/>
      <c r="X139" s="87"/>
      <c r="Y139" s="87"/>
      <c r="Z139" s="87"/>
      <c r="AA139" s="87"/>
      <c r="AB139" s="87"/>
      <c r="AC139" s="87"/>
      <c r="AD139" s="87"/>
      <c r="AE139" s="87"/>
      <c r="AF139" s="87"/>
      <c r="AG139" s="87"/>
      <c r="AH139" s="678"/>
      <c r="AI139" s="87"/>
      <c r="AJ139" s="87"/>
      <c r="AK139" s="87"/>
      <c r="AL139" s="87"/>
      <c r="AM139" s="87"/>
      <c r="AN139" s="123"/>
      <c r="AO139" s="123"/>
      <c r="AP139" s="87"/>
      <c r="AQ139" s="87"/>
      <c r="AR139" s="87"/>
      <c r="AS139" s="87"/>
      <c r="AT139" s="87"/>
      <c r="AU139" s="87"/>
      <c r="AV139" s="87"/>
      <c r="AW139" s="87"/>
      <c r="AX139" s="87"/>
      <c r="AY139" s="87"/>
      <c r="AZ139" s="87"/>
      <c r="BA139" s="87"/>
      <c r="BB139" s="87"/>
      <c r="BC139" s="87"/>
      <c r="BD139" s="87"/>
      <c r="BE139" s="87"/>
      <c r="BF139" s="87"/>
      <c r="BG139" s="87"/>
      <c r="BH139" s="87"/>
      <c r="BI139" s="87"/>
      <c r="BJ139" s="87"/>
      <c r="BK139" s="87"/>
      <c r="BL139" s="87"/>
      <c r="BM139" s="87"/>
      <c r="BN139" s="87"/>
      <c r="BO139" s="87"/>
      <c r="BP139" s="87"/>
      <c r="BQ139" s="87"/>
      <c r="BR139" s="88"/>
      <c r="BS139" s="87"/>
      <c r="BT139" s="87"/>
      <c r="BU139" s="87"/>
      <c r="BV139" s="88"/>
      <c r="BW139" s="87"/>
      <c r="BX139" s="87"/>
      <c r="BY139" s="87"/>
      <c r="BZ139" s="88"/>
      <c r="CA139" s="87"/>
      <c r="CB139" s="87"/>
      <c r="CC139" s="87"/>
      <c r="CD139" s="88"/>
      <c r="CE139" s="87"/>
      <c r="CF139" s="87"/>
      <c r="CG139" s="87"/>
      <c r="CH139" s="88"/>
      <c r="CI139" s="87"/>
      <c r="CJ139" s="87"/>
      <c r="CK139" s="87"/>
      <c r="CL139" s="88"/>
      <c r="CM139" s="87"/>
      <c r="CN139" s="87"/>
      <c r="CO139" s="87"/>
      <c r="CP139" s="88"/>
      <c r="CQ139" s="87"/>
      <c r="CR139" s="87"/>
      <c r="CS139" s="87"/>
      <c r="CT139" s="88"/>
      <c r="CU139" s="87"/>
      <c r="CV139" s="87"/>
      <c r="CW139" s="144"/>
      <c r="CX139" s="87"/>
      <c r="CY139" s="87"/>
      <c r="CZ139" s="87"/>
      <c r="DA139" s="87"/>
      <c r="DB139" s="88"/>
      <c r="DC139" s="87"/>
      <c r="DD139" s="87"/>
      <c r="DE139" s="87"/>
      <c r="DF139" s="88"/>
      <c r="DG139" s="1041"/>
      <c r="DH139" s="1041"/>
      <c r="DI139" s="144"/>
      <c r="DJ139" s="88"/>
      <c r="DK139" s="1041"/>
      <c r="DL139" s="1041"/>
      <c r="DM139" s="144"/>
      <c r="DN139" s="88"/>
      <c r="DO139" s="1041"/>
      <c r="DP139" s="1041"/>
      <c r="DQ139" s="144"/>
      <c r="DR139" s="1041"/>
      <c r="DS139" s="1041"/>
      <c r="DT139" s="1041"/>
      <c r="DU139" s="1041"/>
      <c r="DV139" s="1041"/>
      <c r="DW139" s="1041"/>
      <c r="DX139" s="1041"/>
      <c r="DY139" s="144"/>
      <c r="DZ139" s="1041"/>
    </row>
    <row r="140" spans="1:130" hidden="1">
      <c r="A140" s="304" t="s">
        <v>1314</v>
      </c>
      <c r="B140" s="87"/>
      <c r="C140" s="87"/>
      <c r="D140" s="87"/>
      <c r="E140" s="87"/>
      <c r="F140" s="87"/>
      <c r="G140" s="87"/>
      <c r="H140" s="87">
        <v>-1147</v>
      </c>
      <c r="I140" s="87">
        <v>0</v>
      </c>
      <c r="J140" s="87">
        <v>0</v>
      </c>
      <c r="K140" s="87"/>
      <c r="L140" s="87"/>
      <c r="M140" s="87"/>
      <c r="N140" s="87"/>
      <c r="O140" s="87"/>
      <c r="P140" s="87"/>
      <c r="Q140" s="87"/>
      <c r="R140" s="87"/>
      <c r="S140" s="87"/>
      <c r="T140" s="87"/>
      <c r="U140" s="87"/>
      <c r="V140" s="87"/>
      <c r="W140" s="87"/>
      <c r="X140" s="87"/>
      <c r="Y140" s="87"/>
      <c r="Z140" s="87"/>
      <c r="AA140" s="87"/>
      <c r="AB140" s="87"/>
      <c r="AC140" s="87"/>
      <c r="AD140" s="87"/>
      <c r="AE140" s="87"/>
      <c r="AF140" s="87"/>
      <c r="AG140" s="87"/>
      <c r="AH140" s="678"/>
      <c r="AI140" s="87"/>
      <c r="AJ140" s="87"/>
      <c r="AK140" s="87"/>
      <c r="AL140" s="87"/>
      <c r="AM140" s="87"/>
      <c r="AN140" s="123"/>
      <c r="AO140" s="123"/>
      <c r="AP140" s="87"/>
      <c r="AQ140" s="87"/>
      <c r="AR140" s="87"/>
      <c r="AS140" s="87"/>
      <c r="AT140" s="87"/>
      <c r="AU140" s="87"/>
      <c r="AV140" s="87"/>
      <c r="AW140" s="87"/>
      <c r="AX140" s="87"/>
      <c r="AY140" s="87"/>
      <c r="AZ140" s="87"/>
      <c r="BA140" s="87"/>
      <c r="BB140" s="87"/>
      <c r="BC140" s="87"/>
      <c r="BD140" s="87"/>
      <c r="BE140" s="87"/>
      <c r="BF140" s="87"/>
      <c r="BG140" s="87"/>
      <c r="BH140" s="87"/>
      <c r="BI140" s="87"/>
      <c r="BJ140" s="87"/>
      <c r="BK140" s="87"/>
      <c r="BL140" s="87"/>
      <c r="BM140" s="87"/>
      <c r="BN140" s="87"/>
      <c r="BO140" s="87"/>
      <c r="BP140" s="87"/>
      <c r="BQ140" s="87"/>
      <c r="BR140" s="88"/>
      <c r="BS140" s="87"/>
      <c r="BT140" s="87"/>
      <c r="BU140" s="87"/>
      <c r="BV140" s="88"/>
      <c r="BW140" s="87"/>
      <c r="BX140" s="87"/>
      <c r="BY140" s="87"/>
      <c r="BZ140" s="88"/>
      <c r="CA140" s="87"/>
      <c r="CB140" s="87"/>
      <c r="CC140" s="87"/>
      <c r="CD140" s="88"/>
      <c r="CE140" s="87"/>
      <c r="CF140" s="87"/>
      <c r="CG140" s="87"/>
      <c r="CH140" s="88"/>
      <c r="CI140" s="87"/>
      <c r="CJ140" s="87"/>
      <c r="CK140" s="87"/>
      <c r="CL140" s="88"/>
      <c r="CM140" s="87"/>
      <c r="CN140" s="87"/>
      <c r="CO140" s="87"/>
      <c r="CP140" s="88"/>
      <c r="CQ140" s="87"/>
      <c r="CR140" s="87"/>
      <c r="CS140" s="87"/>
      <c r="CT140" s="88"/>
      <c r="CU140" s="87"/>
      <c r="CV140" s="87"/>
      <c r="CW140" s="144"/>
      <c r="CX140" s="87"/>
      <c r="CY140" s="87"/>
      <c r="CZ140" s="87"/>
      <c r="DA140" s="87"/>
      <c r="DB140" s="88"/>
      <c r="DC140" s="87"/>
      <c r="DD140" s="87"/>
      <c r="DE140" s="87"/>
      <c r="DF140" s="88"/>
      <c r="DG140" s="1041"/>
      <c r="DH140" s="1041"/>
      <c r="DI140" s="144"/>
      <c r="DJ140" s="88"/>
      <c r="DK140" s="1041"/>
      <c r="DL140" s="1041"/>
      <c r="DM140" s="144"/>
      <c r="DN140" s="88"/>
      <c r="DO140" s="1041"/>
      <c r="DP140" s="1041"/>
      <c r="DQ140" s="144"/>
      <c r="DR140" s="1041"/>
      <c r="DS140" s="1041"/>
      <c r="DT140" s="1041"/>
      <c r="DU140" s="1041"/>
      <c r="DV140" s="1041"/>
      <c r="DW140" s="1041"/>
      <c r="DX140" s="1041"/>
      <c r="DY140" s="144"/>
      <c r="DZ140" s="1041"/>
    </row>
    <row r="141" spans="1:130" hidden="1">
      <c r="A141" s="304" t="s">
        <v>1308</v>
      </c>
      <c r="B141" s="87"/>
      <c r="C141" s="87"/>
      <c r="D141" s="87"/>
      <c r="E141" s="87"/>
      <c r="F141" s="87"/>
      <c r="G141" s="87"/>
      <c r="H141" s="87">
        <v>-589</v>
      </c>
      <c r="I141" s="87">
        <v>0</v>
      </c>
      <c r="J141" s="87">
        <v>0</v>
      </c>
      <c r="K141" s="87"/>
      <c r="L141" s="87"/>
      <c r="M141" s="87"/>
      <c r="N141" s="87"/>
      <c r="O141" s="87"/>
      <c r="P141" s="87"/>
      <c r="Q141" s="87"/>
      <c r="R141" s="87"/>
      <c r="S141" s="87"/>
      <c r="T141" s="87"/>
      <c r="U141" s="87"/>
      <c r="V141" s="87"/>
      <c r="W141" s="87"/>
      <c r="X141" s="87"/>
      <c r="Y141" s="87"/>
      <c r="Z141" s="87"/>
      <c r="AA141" s="87"/>
      <c r="AB141" s="87"/>
      <c r="AC141" s="87"/>
      <c r="AD141" s="87"/>
      <c r="AE141" s="87"/>
      <c r="AF141" s="87"/>
      <c r="AG141" s="87"/>
      <c r="AH141" s="678"/>
      <c r="AI141" s="87"/>
      <c r="AJ141" s="87"/>
      <c r="AK141" s="87"/>
      <c r="AL141" s="87"/>
      <c r="AM141" s="87"/>
      <c r="AN141" s="123"/>
      <c r="AO141" s="123"/>
      <c r="AP141" s="87"/>
      <c r="AQ141" s="87"/>
      <c r="AR141" s="87"/>
      <c r="AS141" s="87"/>
      <c r="AT141" s="87"/>
      <c r="AU141" s="87"/>
      <c r="AV141" s="87"/>
      <c r="AW141" s="87"/>
      <c r="AX141" s="87"/>
      <c r="AY141" s="87"/>
      <c r="AZ141" s="87"/>
      <c r="BA141" s="87"/>
      <c r="BB141" s="87"/>
      <c r="BC141" s="87"/>
      <c r="BD141" s="87"/>
      <c r="BE141" s="87"/>
      <c r="BF141" s="87"/>
      <c r="BG141" s="87"/>
      <c r="BH141" s="87"/>
      <c r="BI141" s="87"/>
      <c r="BJ141" s="87"/>
      <c r="BK141" s="87"/>
      <c r="BL141" s="87"/>
      <c r="BM141" s="87"/>
      <c r="BN141" s="87"/>
      <c r="BO141" s="87"/>
      <c r="BP141" s="87"/>
      <c r="BQ141" s="87"/>
      <c r="BR141" s="88"/>
      <c r="BS141" s="87"/>
      <c r="BT141" s="87"/>
      <c r="BU141" s="87"/>
      <c r="BV141" s="88"/>
      <c r="BW141" s="87"/>
      <c r="BX141" s="87"/>
      <c r="BY141" s="87"/>
      <c r="BZ141" s="88"/>
      <c r="CA141" s="87"/>
      <c r="CB141" s="87"/>
      <c r="CC141" s="87"/>
      <c r="CD141" s="88"/>
      <c r="CE141" s="87"/>
      <c r="CF141" s="87"/>
      <c r="CG141" s="87"/>
      <c r="CH141" s="88"/>
      <c r="CI141" s="87"/>
      <c r="CJ141" s="87"/>
      <c r="CK141" s="87"/>
      <c r="CL141" s="88"/>
      <c r="CM141" s="87"/>
      <c r="CN141" s="87"/>
      <c r="CO141" s="87"/>
      <c r="CP141" s="88"/>
      <c r="CQ141" s="87"/>
      <c r="CR141" s="87"/>
      <c r="CS141" s="87"/>
      <c r="CT141" s="88"/>
      <c r="CU141" s="87"/>
      <c r="CV141" s="87"/>
      <c r="CW141" s="144"/>
      <c r="CX141" s="87"/>
      <c r="CY141" s="87"/>
      <c r="CZ141" s="87"/>
      <c r="DA141" s="87"/>
      <c r="DB141" s="88"/>
      <c r="DC141" s="87"/>
      <c r="DD141" s="87"/>
      <c r="DE141" s="87"/>
      <c r="DF141" s="88"/>
      <c r="DG141" s="1041"/>
      <c r="DH141" s="1041"/>
      <c r="DI141" s="144"/>
      <c r="DJ141" s="88"/>
      <c r="DK141" s="1041"/>
      <c r="DL141" s="1041"/>
      <c r="DM141" s="144"/>
      <c r="DN141" s="88"/>
      <c r="DO141" s="1041"/>
      <c r="DP141" s="1041"/>
      <c r="DQ141" s="144"/>
      <c r="DR141" s="1041"/>
      <c r="DS141" s="1041"/>
      <c r="DT141" s="1041"/>
      <c r="DU141" s="1041"/>
      <c r="DV141" s="1041"/>
      <c r="DW141" s="1041"/>
      <c r="DX141" s="1041"/>
      <c r="DY141" s="144"/>
      <c r="DZ141" s="1041"/>
    </row>
    <row r="142" spans="1:130" hidden="1">
      <c r="A142" s="305" t="s">
        <v>1315</v>
      </c>
      <c r="B142" s="91"/>
      <c r="C142" s="91"/>
      <c r="D142" s="91"/>
      <c r="E142" s="91"/>
      <c r="F142" s="91"/>
      <c r="G142" s="91"/>
      <c r="H142" s="91">
        <v>-15974</v>
      </c>
      <c r="I142" s="91">
        <v>-16518</v>
      </c>
      <c r="J142" s="91">
        <v>-19674</v>
      </c>
      <c r="K142" s="91"/>
      <c r="L142" s="91"/>
      <c r="M142" s="91"/>
      <c r="N142" s="91"/>
      <c r="O142" s="91"/>
      <c r="P142" s="91"/>
      <c r="Q142" s="91"/>
      <c r="R142" s="91"/>
      <c r="S142" s="91"/>
      <c r="T142" s="91"/>
      <c r="U142" s="91"/>
      <c r="V142" s="91"/>
      <c r="W142" s="91"/>
      <c r="X142" s="91"/>
      <c r="Y142" s="91"/>
      <c r="Z142" s="91"/>
      <c r="AA142" s="91"/>
      <c r="AB142" s="91"/>
      <c r="AC142" s="91"/>
      <c r="AD142" s="91"/>
      <c r="AE142" s="91"/>
      <c r="AF142" s="91"/>
      <c r="AG142" s="91"/>
      <c r="AH142" s="1238"/>
      <c r="AI142" s="91"/>
      <c r="AJ142" s="91"/>
      <c r="AK142" s="91"/>
      <c r="AL142" s="91"/>
      <c r="AM142" s="91"/>
      <c r="AN142" s="123"/>
      <c r="AO142" s="123"/>
      <c r="AP142" s="91"/>
      <c r="AQ142" s="91"/>
      <c r="AR142" s="91"/>
      <c r="AS142" s="91"/>
      <c r="AT142" s="91"/>
      <c r="AU142" s="91"/>
      <c r="AV142" s="91"/>
      <c r="AW142" s="91"/>
      <c r="AX142" s="91"/>
      <c r="AY142" s="91"/>
      <c r="AZ142" s="91"/>
      <c r="BA142" s="91"/>
      <c r="BB142" s="91"/>
      <c r="BC142" s="91"/>
      <c r="BD142" s="91"/>
      <c r="BE142" s="91"/>
      <c r="BF142" s="91"/>
      <c r="BG142" s="91"/>
      <c r="BH142" s="91"/>
      <c r="BI142" s="91"/>
      <c r="BJ142" s="91"/>
      <c r="BK142" s="91"/>
      <c r="BL142" s="91"/>
      <c r="BM142" s="91"/>
      <c r="BN142" s="91"/>
      <c r="BO142" s="91"/>
      <c r="BP142" s="91"/>
      <c r="BQ142" s="91"/>
      <c r="BR142" s="151"/>
      <c r="BS142" s="91"/>
      <c r="BT142" s="91"/>
      <c r="BU142" s="91"/>
      <c r="BV142" s="151"/>
      <c r="BW142" s="91"/>
      <c r="BX142" s="91"/>
      <c r="BY142" s="91"/>
      <c r="BZ142" s="151"/>
      <c r="CA142" s="91"/>
      <c r="CB142" s="91"/>
      <c r="CC142" s="91"/>
      <c r="CD142" s="151"/>
      <c r="CE142" s="91"/>
      <c r="CF142" s="91"/>
      <c r="CG142" s="91"/>
      <c r="CH142" s="151"/>
      <c r="CI142" s="91"/>
      <c r="CJ142" s="91"/>
      <c r="CK142" s="91"/>
      <c r="CL142" s="151"/>
      <c r="CM142" s="91"/>
      <c r="CN142" s="91"/>
      <c r="CO142" s="91"/>
      <c r="CP142" s="151"/>
      <c r="CQ142" s="91"/>
      <c r="CR142" s="91"/>
      <c r="CS142" s="91"/>
      <c r="CT142" s="151"/>
      <c r="CU142" s="91"/>
      <c r="CV142" s="91"/>
      <c r="CW142" s="93"/>
      <c r="CX142" s="91"/>
      <c r="CY142" s="91"/>
      <c r="CZ142" s="91"/>
      <c r="DA142" s="91"/>
      <c r="DB142" s="151"/>
      <c r="DC142" s="91"/>
      <c r="DD142" s="91"/>
      <c r="DE142" s="91"/>
      <c r="DF142" s="151"/>
      <c r="DG142" s="1068"/>
      <c r="DH142" s="1068"/>
      <c r="DI142" s="93"/>
      <c r="DJ142" s="151"/>
      <c r="DK142" s="1068"/>
      <c r="DL142" s="1068"/>
      <c r="DM142" s="93"/>
      <c r="DN142" s="151"/>
      <c r="DO142" s="1068"/>
      <c r="DP142" s="1068"/>
      <c r="DQ142" s="93"/>
      <c r="DR142" s="1068"/>
      <c r="DS142" s="1068"/>
      <c r="DT142" s="1068"/>
      <c r="DU142" s="1068"/>
      <c r="DV142" s="1068"/>
      <c r="DW142" s="1068"/>
      <c r="DX142" s="1068"/>
      <c r="DY142" s="93"/>
      <c r="DZ142" s="1068"/>
    </row>
    <row r="143" spans="1:130" hidden="1">
      <c r="A143" s="304" t="s">
        <v>1316</v>
      </c>
      <c r="B143" s="87"/>
      <c r="C143" s="87"/>
      <c r="D143" s="87"/>
      <c r="E143" s="87"/>
      <c r="F143" s="87"/>
      <c r="G143" s="87"/>
      <c r="H143" s="87"/>
      <c r="I143" s="87"/>
      <c r="J143" s="87"/>
      <c r="K143" s="87"/>
      <c r="L143" s="87"/>
      <c r="M143" s="87"/>
      <c r="N143" s="87"/>
      <c r="O143" s="87"/>
      <c r="P143" s="87"/>
      <c r="Q143" s="87"/>
      <c r="R143" s="87"/>
      <c r="S143" s="87"/>
      <c r="T143" s="87"/>
      <c r="U143" s="87"/>
      <c r="V143" s="87"/>
      <c r="W143" s="87"/>
      <c r="X143" s="87"/>
      <c r="Y143" s="87"/>
      <c r="Z143" s="87"/>
      <c r="AA143" s="87"/>
      <c r="AB143" s="87"/>
      <c r="AC143" s="87"/>
      <c r="AD143" s="87"/>
      <c r="AE143" s="87"/>
      <c r="AF143" s="87"/>
      <c r="AG143" s="87"/>
      <c r="AH143" s="678"/>
      <c r="AI143" s="87"/>
      <c r="AJ143" s="87"/>
      <c r="AK143" s="87"/>
      <c r="AL143" s="87"/>
      <c r="AM143" s="87"/>
      <c r="AN143" s="123"/>
      <c r="AO143" s="123"/>
      <c r="AP143" s="87"/>
      <c r="AQ143" s="87"/>
      <c r="AR143" s="87"/>
      <c r="AS143" s="87"/>
      <c r="AT143" s="87"/>
      <c r="AU143" s="87"/>
      <c r="AV143" s="87"/>
      <c r="AW143" s="87"/>
      <c r="AX143" s="87"/>
      <c r="AY143" s="87"/>
      <c r="AZ143" s="87"/>
      <c r="BA143" s="87"/>
      <c r="BB143" s="87"/>
      <c r="BC143" s="87"/>
      <c r="BD143" s="87"/>
      <c r="BE143" s="87"/>
      <c r="BF143" s="87"/>
      <c r="BG143" s="87"/>
      <c r="BH143" s="87"/>
      <c r="BI143" s="87"/>
      <c r="BJ143" s="87"/>
      <c r="BK143" s="87"/>
      <c r="BL143" s="87"/>
      <c r="BM143" s="87"/>
      <c r="BN143" s="87"/>
      <c r="BO143" s="87"/>
      <c r="BP143" s="87"/>
      <c r="BQ143" s="87"/>
      <c r="BR143" s="88"/>
      <c r="BS143" s="87"/>
      <c r="BT143" s="87"/>
      <c r="BU143" s="87"/>
      <c r="BV143" s="88"/>
      <c r="BW143" s="87"/>
      <c r="BX143" s="87"/>
      <c r="BY143" s="87"/>
      <c r="BZ143" s="88"/>
      <c r="CA143" s="87"/>
      <c r="CB143" s="87"/>
      <c r="CC143" s="87"/>
      <c r="CD143" s="88"/>
      <c r="CE143" s="87"/>
      <c r="CF143" s="87"/>
      <c r="CG143" s="87"/>
      <c r="CH143" s="88"/>
      <c r="CI143" s="87"/>
      <c r="CJ143" s="87"/>
      <c r="CK143" s="87"/>
      <c r="CL143" s="88"/>
      <c r="CM143" s="87"/>
      <c r="CN143" s="87"/>
      <c r="CO143" s="87"/>
      <c r="CP143" s="88"/>
      <c r="CQ143" s="87"/>
      <c r="CR143" s="87"/>
      <c r="CS143" s="87"/>
      <c r="CT143" s="88"/>
      <c r="CU143" s="87"/>
      <c r="CV143" s="87"/>
      <c r="CW143" s="144"/>
      <c r="CX143" s="87"/>
      <c r="CY143" s="87"/>
      <c r="CZ143" s="87"/>
      <c r="DA143" s="87"/>
      <c r="DB143" s="88"/>
      <c r="DC143" s="87"/>
      <c r="DD143" s="87"/>
      <c r="DE143" s="87"/>
      <c r="DF143" s="88"/>
      <c r="DG143" s="1041"/>
      <c r="DH143" s="1041"/>
      <c r="DI143" s="144"/>
      <c r="DJ143" s="88"/>
      <c r="DK143" s="1041"/>
      <c r="DL143" s="1041"/>
      <c r="DM143" s="144"/>
      <c r="DN143" s="88"/>
      <c r="DO143" s="1041"/>
      <c r="DP143" s="1041"/>
      <c r="DQ143" s="144"/>
      <c r="DR143" s="1041"/>
      <c r="DS143" s="1041"/>
      <c r="DT143" s="1041"/>
      <c r="DU143" s="1041"/>
      <c r="DV143" s="1041"/>
      <c r="DW143" s="1041"/>
      <c r="DX143" s="1041"/>
      <c r="DY143" s="144"/>
      <c r="DZ143" s="1041"/>
    </row>
    <row r="144" spans="1:130" hidden="1">
      <c r="A144" s="308" t="s">
        <v>1317</v>
      </c>
      <c r="B144" s="91"/>
      <c r="C144" s="91"/>
      <c r="D144" s="91"/>
      <c r="E144" s="91"/>
      <c r="F144" s="91"/>
      <c r="G144" s="91"/>
      <c r="H144" s="91">
        <v>-14277</v>
      </c>
      <c r="I144" s="91">
        <v>-15976</v>
      </c>
      <c r="J144" s="91">
        <v>-18391</v>
      </c>
      <c r="K144" s="91"/>
      <c r="L144" s="91"/>
      <c r="M144" s="91"/>
      <c r="N144" s="91"/>
      <c r="O144" s="91"/>
      <c r="P144" s="91"/>
      <c r="Q144" s="91"/>
      <c r="R144" s="91"/>
      <c r="S144" s="91"/>
      <c r="T144" s="91"/>
      <c r="U144" s="91"/>
      <c r="V144" s="91"/>
      <c r="W144" s="91"/>
      <c r="X144" s="91"/>
      <c r="Y144" s="91"/>
      <c r="Z144" s="91"/>
      <c r="AA144" s="91"/>
      <c r="AB144" s="91"/>
      <c r="AC144" s="91"/>
      <c r="AD144" s="91"/>
      <c r="AE144" s="91"/>
      <c r="AF144" s="91"/>
      <c r="AG144" s="91"/>
      <c r="AH144" s="1238"/>
      <c r="AI144" s="91"/>
      <c r="AJ144" s="91"/>
      <c r="AK144" s="91"/>
      <c r="AL144" s="91"/>
      <c r="AM144" s="91"/>
      <c r="AN144" s="123"/>
      <c r="AO144" s="123"/>
      <c r="AP144" s="91"/>
      <c r="AQ144" s="91"/>
      <c r="AR144" s="91"/>
      <c r="AS144" s="91"/>
      <c r="AT144" s="91"/>
      <c r="AU144" s="91"/>
      <c r="AV144" s="91"/>
      <c r="AW144" s="91"/>
      <c r="AX144" s="91"/>
      <c r="AY144" s="91"/>
      <c r="AZ144" s="91"/>
      <c r="BA144" s="91"/>
      <c r="BB144" s="91"/>
      <c r="BC144" s="91"/>
      <c r="BD144" s="91"/>
      <c r="BE144" s="91"/>
      <c r="BF144" s="91"/>
      <c r="BG144" s="91"/>
      <c r="BH144" s="91"/>
      <c r="BI144" s="91"/>
      <c r="BJ144" s="91"/>
      <c r="BK144" s="91"/>
      <c r="BL144" s="91"/>
      <c r="BM144" s="91"/>
      <c r="BN144" s="91"/>
      <c r="BO144" s="91"/>
      <c r="BP144" s="91"/>
      <c r="BQ144" s="91"/>
      <c r="BR144" s="151"/>
      <c r="BS144" s="91"/>
      <c r="BT144" s="91"/>
      <c r="BU144" s="91"/>
      <c r="BV144" s="151"/>
      <c r="BW144" s="91"/>
      <c r="BX144" s="91"/>
      <c r="BY144" s="91"/>
      <c r="BZ144" s="151"/>
      <c r="CA144" s="91"/>
      <c r="CB144" s="91"/>
      <c r="CC144" s="91"/>
      <c r="CD144" s="151"/>
      <c r="CE144" s="91"/>
      <c r="CF144" s="91"/>
      <c r="CG144" s="91"/>
      <c r="CH144" s="151"/>
      <c r="CI144" s="91"/>
      <c r="CJ144" s="91"/>
      <c r="CK144" s="91"/>
      <c r="CL144" s="151"/>
      <c r="CM144" s="91"/>
      <c r="CN144" s="91"/>
      <c r="CO144" s="91"/>
      <c r="CP144" s="151"/>
      <c r="CQ144" s="91"/>
      <c r="CR144" s="91"/>
      <c r="CS144" s="91"/>
      <c r="CT144" s="151"/>
      <c r="CU144" s="91"/>
      <c r="CV144" s="91"/>
      <c r="CW144" s="93"/>
      <c r="CX144" s="91"/>
      <c r="CY144" s="91"/>
      <c r="CZ144" s="91"/>
      <c r="DA144" s="91"/>
      <c r="DB144" s="151"/>
      <c r="DC144" s="91"/>
      <c r="DD144" s="91"/>
      <c r="DE144" s="91"/>
      <c r="DF144" s="151"/>
      <c r="DG144" s="1068"/>
      <c r="DH144" s="1068"/>
      <c r="DI144" s="93"/>
      <c r="DJ144" s="151"/>
      <c r="DK144" s="1068"/>
      <c r="DL144" s="1068"/>
      <c r="DM144" s="93"/>
      <c r="DN144" s="151"/>
      <c r="DO144" s="1068"/>
      <c r="DP144" s="1068"/>
      <c r="DQ144" s="93"/>
      <c r="DR144" s="1068"/>
      <c r="DS144" s="1068"/>
      <c r="DT144" s="1068"/>
      <c r="DU144" s="1068"/>
      <c r="DV144" s="1068"/>
      <c r="DW144" s="1068"/>
      <c r="DX144" s="1068"/>
      <c r="DY144" s="93"/>
      <c r="DZ144" s="1068"/>
    </row>
    <row r="145" spans="1:130" hidden="1">
      <c r="A145" s="87"/>
      <c r="B145" s="87"/>
      <c r="C145" s="87"/>
      <c r="D145" s="87"/>
      <c r="E145" s="87"/>
      <c r="F145" s="87"/>
      <c r="G145" s="87"/>
      <c r="H145" s="87"/>
      <c r="I145" s="87"/>
      <c r="J145" s="87"/>
      <c r="K145" s="87"/>
      <c r="L145" s="87"/>
      <c r="M145" s="87"/>
      <c r="N145" s="87"/>
      <c r="O145" s="87"/>
      <c r="P145" s="87"/>
      <c r="Q145" s="87"/>
      <c r="R145" s="87"/>
      <c r="S145" s="87"/>
      <c r="T145" s="87"/>
      <c r="U145" s="87"/>
      <c r="V145" s="87"/>
      <c r="W145" s="87"/>
      <c r="X145" s="87"/>
      <c r="Y145" s="87"/>
      <c r="Z145" s="87"/>
      <c r="AA145" s="87"/>
      <c r="AB145" s="87"/>
      <c r="AC145" s="87"/>
      <c r="AD145" s="87"/>
      <c r="AE145" s="87"/>
      <c r="AF145" s="87"/>
      <c r="AG145" s="87"/>
      <c r="AH145" s="678"/>
      <c r="AI145" s="87"/>
      <c r="AJ145" s="87"/>
      <c r="AK145" s="87"/>
      <c r="AL145" s="87"/>
      <c r="AM145" s="87"/>
      <c r="AN145" s="123"/>
      <c r="AO145" s="123"/>
      <c r="AP145" s="87"/>
      <c r="AQ145" s="87"/>
      <c r="AR145" s="87"/>
      <c r="AS145" s="87"/>
      <c r="AT145" s="87"/>
      <c r="AU145" s="87"/>
      <c r="AV145" s="87"/>
      <c r="AW145" s="87"/>
      <c r="AX145" s="87"/>
      <c r="AY145" s="87"/>
      <c r="AZ145" s="87"/>
      <c r="BA145" s="87"/>
      <c r="BB145" s="87"/>
      <c r="BC145" s="87"/>
      <c r="BD145" s="87"/>
      <c r="BE145" s="87"/>
      <c r="BF145" s="87"/>
      <c r="BG145" s="87"/>
      <c r="BH145" s="87"/>
      <c r="BI145" s="87"/>
      <c r="BJ145" s="87"/>
      <c r="BK145" s="87"/>
      <c r="BL145" s="87"/>
      <c r="BM145" s="87"/>
      <c r="BN145" s="87"/>
      <c r="BO145" s="87"/>
      <c r="BP145" s="87"/>
      <c r="BQ145" s="87"/>
      <c r="BR145" s="88"/>
      <c r="BS145" s="87"/>
      <c r="BT145" s="87"/>
      <c r="BU145" s="87"/>
      <c r="BV145" s="88"/>
      <c r="BW145" s="87"/>
      <c r="BX145" s="87"/>
      <c r="BY145" s="87"/>
      <c r="BZ145" s="88"/>
      <c r="CA145" s="87"/>
      <c r="CB145" s="87"/>
      <c r="CC145" s="87"/>
      <c r="CD145" s="88"/>
      <c r="CE145" s="87"/>
      <c r="CF145" s="87"/>
      <c r="CG145" s="87"/>
      <c r="CH145" s="88"/>
      <c r="CI145" s="87"/>
      <c r="CJ145" s="87"/>
      <c r="CK145" s="87"/>
      <c r="CL145" s="88"/>
      <c r="CM145" s="87"/>
      <c r="CN145" s="87"/>
      <c r="CO145" s="87"/>
      <c r="CP145" s="88"/>
      <c r="CQ145" s="87"/>
      <c r="CR145" s="87"/>
      <c r="CS145" s="87"/>
      <c r="CT145" s="88"/>
      <c r="CU145" s="87"/>
      <c r="CV145" s="87"/>
      <c r="CW145" s="144"/>
      <c r="CX145" s="87"/>
      <c r="CY145" s="87"/>
      <c r="CZ145" s="87"/>
      <c r="DA145" s="87"/>
      <c r="DB145" s="88"/>
      <c r="DC145" s="87"/>
      <c r="DD145" s="87"/>
      <c r="DE145" s="87"/>
      <c r="DF145" s="88"/>
      <c r="DG145" s="1041"/>
      <c r="DH145" s="1041"/>
      <c r="DI145" s="144"/>
      <c r="DJ145" s="88"/>
      <c r="DK145" s="1041"/>
      <c r="DL145" s="1041"/>
      <c r="DM145" s="144"/>
      <c r="DN145" s="88"/>
      <c r="DO145" s="1041"/>
      <c r="DP145" s="1041"/>
      <c r="DQ145" s="144"/>
      <c r="DR145" s="1041"/>
      <c r="DS145" s="1041"/>
      <c r="DT145" s="1041"/>
      <c r="DU145" s="1041"/>
      <c r="DV145" s="1041"/>
      <c r="DW145" s="1041"/>
      <c r="DX145" s="1041"/>
      <c r="DY145" s="144"/>
      <c r="DZ145" s="1041"/>
    </row>
    <row r="146" spans="1:130" hidden="1">
      <c r="A146" s="87" t="s">
        <v>1318</v>
      </c>
      <c r="B146" s="87"/>
      <c r="C146" s="87"/>
      <c r="D146" s="87"/>
      <c r="E146" s="87"/>
      <c r="F146" s="87"/>
      <c r="G146" s="87"/>
      <c r="H146" s="87">
        <v>4465</v>
      </c>
      <c r="I146" s="87">
        <v>4474</v>
      </c>
      <c r="J146" s="87">
        <v>4140</v>
      </c>
      <c r="K146" s="87"/>
      <c r="L146" s="87"/>
      <c r="M146" s="87"/>
      <c r="N146" s="87"/>
      <c r="O146" s="87"/>
      <c r="P146" s="87"/>
      <c r="Q146" s="87"/>
      <c r="R146" s="87"/>
      <c r="S146" s="87"/>
      <c r="T146" s="87"/>
      <c r="U146" s="87"/>
      <c r="V146" s="87"/>
      <c r="W146" s="87"/>
      <c r="X146" s="87"/>
      <c r="Y146" s="87"/>
      <c r="Z146" s="87"/>
      <c r="AA146" s="87"/>
      <c r="AB146" s="87"/>
      <c r="AC146" s="87"/>
      <c r="AD146" s="87"/>
      <c r="AE146" s="87"/>
      <c r="AF146" s="87"/>
      <c r="AG146" s="87"/>
      <c r="AH146" s="678"/>
      <c r="AI146" s="87"/>
      <c r="AJ146" s="87"/>
      <c r="AK146" s="87"/>
      <c r="AL146" s="87"/>
      <c r="AM146" s="87"/>
      <c r="AN146" s="123"/>
      <c r="AO146" s="123"/>
      <c r="AP146" s="87"/>
      <c r="AQ146" s="87"/>
      <c r="AR146" s="87"/>
      <c r="AS146" s="87"/>
      <c r="AT146" s="87"/>
      <c r="AU146" s="87"/>
      <c r="AV146" s="87"/>
      <c r="AW146" s="87"/>
      <c r="AX146" s="87"/>
      <c r="AY146" s="87"/>
      <c r="AZ146" s="87"/>
      <c r="BA146" s="87"/>
      <c r="BB146" s="87"/>
      <c r="BC146" s="87"/>
      <c r="BD146" s="87"/>
      <c r="BE146" s="87"/>
      <c r="BF146" s="87"/>
      <c r="BG146" s="87"/>
      <c r="BH146" s="87"/>
      <c r="BI146" s="87"/>
      <c r="BJ146" s="87"/>
      <c r="BK146" s="87"/>
      <c r="BL146" s="87"/>
      <c r="BM146" s="87"/>
      <c r="BN146" s="87"/>
      <c r="BO146" s="87"/>
      <c r="BP146" s="87"/>
      <c r="BQ146" s="87"/>
      <c r="BR146" s="88"/>
      <c r="BS146" s="87"/>
      <c r="BT146" s="87"/>
      <c r="BU146" s="87"/>
      <c r="BV146" s="88"/>
      <c r="BW146" s="87"/>
      <c r="BX146" s="87"/>
      <c r="BY146" s="87"/>
      <c r="BZ146" s="88"/>
      <c r="CA146" s="87"/>
      <c r="CB146" s="87"/>
      <c r="CC146" s="87"/>
      <c r="CD146" s="88"/>
      <c r="CE146" s="87"/>
      <c r="CF146" s="87"/>
      <c r="CG146" s="87"/>
      <c r="CH146" s="88"/>
      <c r="CI146" s="87"/>
      <c r="CJ146" s="87"/>
      <c r="CK146" s="87"/>
      <c r="CL146" s="88"/>
      <c r="CM146" s="87"/>
      <c r="CN146" s="87"/>
      <c r="CO146" s="87"/>
      <c r="CP146" s="88"/>
      <c r="CQ146" s="87"/>
      <c r="CR146" s="87"/>
      <c r="CS146" s="87"/>
      <c r="CT146" s="88"/>
      <c r="CU146" s="87"/>
      <c r="CV146" s="87"/>
      <c r="CW146" s="144"/>
      <c r="CX146" s="87"/>
      <c r="CY146" s="87"/>
      <c r="CZ146" s="87"/>
      <c r="DA146" s="87"/>
      <c r="DB146" s="88"/>
      <c r="DC146" s="87"/>
      <c r="DD146" s="87"/>
      <c r="DE146" s="87"/>
      <c r="DF146" s="88"/>
      <c r="DG146" s="1041"/>
      <c r="DH146" s="1041"/>
      <c r="DI146" s="144"/>
      <c r="DJ146" s="88"/>
      <c r="DK146" s="1041"/>
      <c r="DL146" s="1041"/>
      <c r="DM146" s="144"/>
      <c r="DN146" s="88"/>
      <c r="DO146" s="1041"/>
      <c r="DP146" s="1041"/>
      <c r="DQ146" s="144"/>
      <c r="DR146" s="1041"/>
      <c r="DS146" s="1041"/>
      <c r="DT146" s="1041"/>
      <c r="DU146" s="1041"/>
      <c r="DV146" s="1041"/>
      <c r="DW146" s="1041"/>
      <c r="DX146" s="1041"/>
      <c r="DY146" s="144"/>
      <c r="DZ146" s="1041"/>
    </row>
    <row r="147" spans="1:130" hidden="1">
      <c r="A147" s="102" t="s">
        <v>1319</v>
      </c>
      <c r="B147" s="87"/>
      <c r="C147" s="87"/>
      <c r="D147" s="87"/>
      <c r="E147" s="87"/>
      <c r="F147" s="87"/>
      <c r="G147" s="87"/>
      <c r="H147" s="143"/>
      <c r="I147" s="143">
        <v>-1699</v>
      </c>
      <c r="J147" s="143">
        <v>-2415</v>
      </c>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678"/>
      <c r="AI147" s="87"/>
      <c r="AJ147" s="87"/>
      <c r="AK147" s="87"/>
      <c r="AL147" s="87"/>
      <c r="AM147" s="87"/>
      <c r="AN147" s="123"/>
      <c r="AO147" s="123"/>
      <c r="AP147" s="87"/>
      <c r="AQ147" s="87"/>
      <c r="AR147" s="87"/>
      <c r="AS147" s="87"/>
      <c r="AT147" s="87"/>
      <c r="AU147" s="87"/>
      <c r="AV147" s="87"/>
      <c r="AW147" s="87"/>
      <c r="AX147" s="87"/>
      <c r="AY147" s="87"/>
      <c r="AZ147" s="87"/>
      <c r="BA147" s="87"/>
      <c r="BB147" s="87"/>
      <c r="BC147" s="87"/>
      <c r="BD147" s="87"/>
      <c r="BE147" s="87"/>
      <c r="BF147" s="87"/>
      <c r="BG147" s="87"/>
      <c r="BH147" s="87"/>
      <c r="BI147" s="87"/>
      <c r="BJ147" s="87"/>
      <c r="BK147" s="87"/>
      <c r="BL147" s="87"/>
      <c r="BM147" s="87"/>
      <c r="BN147" s="87"/>
      <c r="BO147" s="87"/>
      <c r="BP147" s="87"/>
      <c r="BQ147" s="87"/>
      <c r="BR147" s="88"/>
      <c r="BS147" s="87"/>
      <c r="BT147" s="87"/>
      <c r="BU147" s="87"/>
      <c r="BV147" s="88"/>
      <c r="BW147" s="87"/>
      <c r="BX147" s="87"/>
      <c r="BY147" s="87"/>
      <c r="BZ147" s="88"/>
      <c r="CA147" s="87"/>
      <c r="CB147" s="87"/>
      <c r="CC147" s="87"/>
      <c r="CD147" s="88"/>
      <c r="CE147" s="87"/>
      <c r="CF147" s="87"/>
      <c r="CG147" s="87"/>
      <c r="CH147" s="88"/>
      <c r="CI147" s="87"/>
      <c r="CJ147" s="87"/>
      <c r="CK147" s="87"/>
      <c r="CL147" s="88"/>
      <c r="CM147" s="87"/>
      <c r="CN147" s="87"/>
      <c r="CO147" s="87"/>
      <c r="CP147" s="88"/>
      <c r="CQ147" s="87"/>
      <c r="CR147" s="87"/>
      <c r="CS147" s="87"/>
      <c r="CT147" s="88"/>
      <c r="CU147" s="87"/>
      <c r="CV147" s="87"/>
      <c r="CW147" s="144"/>
      <c r="CX147" s="87"/>
      <c r="CY147" s="87"/>
      <c r="CZ147" s="87"/>
      <c r="DA147" s="87"/>
      <c r="DB147" s="88"/>
      <c r="DC147" s="87"/>
      <c r="DD147" s="87"/>
      <c r="DE147" s="87"/>
      <c r="DF147" s="88"/>
      <c r="DG147" s="1041"/>
      <c r="DH147" s="1041"/>
      <c r="DI147" s="144"/>
      <c r="DJ147" s="88"/>
      <c r="DK147" s="1041"/>
      <c r="DL147" s="1041"/>
      <c r="DM147" s="144"/>
      <c r="DN147" s="88"/>
      <c r="DO147" s="1041"/>
      <c r="DP147" s="1041"/>
      <c r="DQ147" s="144"/>
      <c r="DR147" s="1041"/>
      <c r="DS147" s="1041"/>
      <c r="DT147" s="1041"/>
      <c r="DU147" s="1041"/>
      <c r="DV147" s="1041"/>
      <c r="DW147" s="1041"/>
      <c r="DX147" s="1041"/>
      <c r="DY147" s="144"/>
      <c r="DZ147" s="1041"/>
    </row>
    <row r="148" spans="1:130" hidden="1">
      <c r="A148" s="106" t="s">
        <v>1320</v>
      </c>
      <c r="B148" s="87"/>
      <c r="C148" s="87"/>
      <c r="D148" s="87"/>
      <c r="E148" s="87"/>
      <c r="F148" s="87"/>
      <c r="G148" s="87"/>
      <c r="H148" s="87"/>
      <c r="I148" s="87"/>
      <c r="J148" s="87"/>
      <c r="K148" s="87"/>
      <c r="L148" s="87"/>
      <c r="M148" s="87"/>
      <c r="N148" s="87"/>
      <c r="O148" s="87"/>
      <c r="P148" s="87"/>
      <c r="Q148" s="87"/>
      <c r="R148" s="87"/>
      <c r="S148" s="87"/>
      <c r="T148" s="87"/>
      <c r="U148" s="87"/>
      <c r="V148" s="87"/>
      <c r="W148" s="87"/>
      <c r="X148" s="87"/>
      <c r="Y148" s="87"/>
      <c r="Z148" s="87"/>
      <c r="AA148" s="87"/>
      <c r="AB148" s="87"/>
      <c r="AC148" s="87"/>
      <c r="AD148" s="87"/>
      <c r="AE148" s="87"/>
      <c r="AF148" s="87"/>
      <c r="AG148" s="87"/>
      <c r="AH148" s="678"/>
      <c r="AI148" s="87"/>
      <c r="AJ148" s="87"/>
      <c r="AK148" s="87"/>
      <c r="AL148" s="87"/>
      <c r="AM148" s="87"/>
      <c r="AN148" s="123"/>
      <c r="AO148" s="123"/>
      <c r="AP148" s="87"/>
      <c r="AQ148" s="87"/>
      <c r="AR148" s="87"/>
      <c r="AS148" s="87"/>
      <c r="AT148" s="87"/>
      <c r="AU148" s="87"/>
      <c r="AV148" s="87"/>
      <c r="AW148" s="87"/>
      <c r="AX148" s="87"/>
      <c r="AY148" s="87"/>
      <c r="AZ148" s="87"/>
      <c r="BA148" s="87"/>
      <c r="BB148" s="87"/>
      <c r="BC148" s="87"/>
      <c r="BD148" s="87"/>
      <c r="BE148" s="87"/>
      <c r="BF148" s="87"/>
      <c r="BG148" s="87"/>
      <c r="BH148" s="87"/>
      <c r="BI148" s="87"/>
      <c r="BJ148" s="87"/>
      <c r="BK148" s="87"/>
      <c r="BL148" s="87"/>
      <c r="BM148" s="87"/>
      <c r="BN148" s="87"/>
      <c r="BO148" s="87"/>
      <c r="BP148" s="87"/>
      <c r="BQ148" s="87"/>
      <c r="BR148" s="88"/>
      <c r="BS148" s="87"/>
      <c r="BT148" s="87"/>
      <c r="BU148" s="87"/>
      <c r="BV148" s="88"/>
      <c r="BW148" s="87"/>
      <c r="BX148" s="87"/>
      <c r="BY148" s="87"/>
      <c r="BZ148" s="88"/>
      <c r="CA148" s="87"/>
      <c r="CB148" s="87"/>
      <c r="CC148" s="87"/>
      <c r="CD148" s="88"/>
      <c r="CE148" s="87"/>
      <c r="CF148" s="87"/>
      <c r="CG148" s="87"/>
      <c r="CH148" s="88"/>
      <c r="CI148" s="87"/>
      <c r="CJ148" s="87"/>
      <c r="CK148" s="87"/>
      <c r="CL148" s="88"/>
      <c r="CM148" s="87"/>
      <c r="CN148" s="87"/>
      <c r="CO148" s="87"/>
      <c r="CP148" s="88"/>
      <c r="CQ148" s="87"/>
      <c r="CR148" s="87"/>
      <c r="CS148" s="87"/>
      <c r="CT148" s="88"/>
      <c r="CU148" s="87"/>
      <c r="CV148" s="87"/>
      <c r="CW148" s="144"/>
      <c r="CX148" s="87"/>
      <c r="CY148" s="87"/>
      <c r="CZ148" s="87"/>
      <c r="DA148" s="87"/>
      <c r="DB148" s="88"/>
      <c r="DC148" s="87"/>
      <c r="DD148" s="87"/>
      <c r="DE148" s="87"/>
      <c r="DF148" s="88"/>
      <c r="DG148" s="1041"/>
      <c r="DH148" s="1041"/>
      <c r="DI148" s="144"/>
      <c r="DJ148" s="88"/>
      <c r="DK148" s="1041"/>
      <c r="DL148" s="1041"/>
      <c r="DM148" s="144"/>
      <c r="DN148" s="88"/>
      <c r="DO148" s="1041"/>
      <c r="DP148" s="1041"/>
      <c r="DQ148" s="144"/>
      <c r="DR148" s="1041"/>
      <c r="DS148" s="1041"/>
      <c r="DT148" s="1041"/>
      <c r="DU148" s="1041"/>
      <c r="DV148" s="1041"/>
      <c r="DW148" s="1041"/>
      <c r="DX148" s="1041"/>
      <c r="DY148" s="144"/>
      <c r="DZ148" s="1041"/>
    </row>
    <row r="149" spans="1:130" hidden="1">
      <c r="A149" s="87" t="s">
        <v>1321</v>
      </c>
      <c r="B149" s="87"/>
      <c r="C149" s="87"/>
      <c r="D149" s="87"/>
      <c r="E149" s="87"/>
      <c r="F149" s="87"/>
      <c r="G149" s="87"/>
      <c r="H149" s="143"/>
      <c r="I149" s="143">
        <v>2775</v>
      </c>
      <c r="J149" s="143">
        <v>1725</v>
      </c>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678"/>
      <c r="AI149" s="87"/>
      <c r="AJ149" s="87"/>
      <c r="AK149" s="87"/>
      <c r="AL149" s="87"/>
      <c r="AM149" s="87"/>
      <c r="AN149" s="123"/>
      <c r="AO149" s="123"/>
      <c r="AP149" s="87"/>
      <c r="AQ149" s="87"/>
      <c r="AR149" s="87"/>
      <c r="AS149" s="87"/>
      <c r="AT149" s="87"/>
      <c r="AU149" s="87"/>
      <c r="AV149" s="87"/>
      <c r="AW149" s="87"/>
      <c r="AX149" s="87"/>
      <c r="AY149" s="87"/>
      <c r="AZ149" s="87"/>
      <c r="BA149" s="87"/>
      <c r="BB149" s="87"/>
      <c r="BC149" s="87"/>
      <c r="BD149" s="87"/>
      <c r="BE149" s="87"/>
      <c r="BF149" s="87"/>
      <c r="BG149" s="87"/>
      <c r="BH149" s="87"/>
      <c r="BI149" s="87"/>
      <c r="BJ149" s="87"/>
      <c r="BK149" s="87"/>
      <c r="BL149" s="87"/>
      <c r="BM149" s="87"/>
      <c r="BN149" s="87"/>
      <c r="BO149" s="87"/>
      <c r="BP149" s="87"/>
      <c r="BQ149" s="87"/>
      <c r="BR149" s="88"/>
      <c r="BS149" s="87"/>
      <c r="BT149" s="87"/>
      <c r="BU149" s="87"/>
      <c r="BV149" s="88"/>
      <c r="BW149" s="87"/>
      <c r="BX149" s="87"/>
      <c r="BY149" s="87"/>
      <c r="BZ149" s="88"/>
      <c r="CA149" s="87"/>
      <c r="CB149" s="87"/>
      <c r="CC149" s="87"/>
      <c r="CD149" s="88"/>
      <c r="CE149" s="87"/>
      <c r="CF149" s="87"/>
      <c r="CG149" s="87"/>
      <c r="CH149" s="88"/>
      <c r="CI149" s="87"/>
      <c r="CJ149" s="87"/>
      <c r="CK149" s="87"/>
      <c r="CL149" s="88"/>
      <c r="CM149" s="87"/>
      <c r="CN149" s="87"/>
      <c r="CO149" s="87"/>
      <c r="CP149" s="88"/>
      <c r="CQ149" s="87"/>
      <c r="CR149" s="87"/>
      <c r="CS149" s="87"/>
      <c r="CT149" s="88"/>
      <c r="CU149" s="87"/>
      <c r="CV149" s="87"/>
      <c r="CW149" s="144"/>
      <c r="CX149" s="87"/>
      <c r="CY149" s="87"/>
      <c r="CZ149" s="87"/>
      <c r="DA149" s="87"/>
      <c r="DB149" s="88"/>
      <c r="DC149" s="87"/>
      <c r="DD149" s="87"/>
      <c r="DE149" s="87"/>
      <c r="DF149" s="88"/>
      <c r="DG149" s="1041"/>
      <c r="DH149" s="1041"/>
      <c r="DI149" s="144"/>
      <c r="DJ149" s="88"/>
      <c r="DK149" s="1041"/>
      <c r="DL149" s="1041"/>
      <c r="DM149" s="144"/>
      <c r="DN149" s="88"/>
      <c r="DO149" s="1041"/>
      <c r="DP149" s="1041"/>
      <c r="DQ149" s="144"/>
      <c r="DR149" s="1041"/>
      <c r="DS149" s="1041"/>
      <c r="DT149" s="1041"/>
      <c r="DU149" s="1041"/>
      <c r="DV149" s="1041"/>
      <c r="DW149" s="1041"/>
      <c r="DX149" s="1041"/>
      <c r="DY149" s="144"/>
      <c r="DZ149" s="1041"/>
    </row>
    <row r="150" spans="1:130" hidden="1">
      <c r="A150" s="106" t="s">
        <v>991</v>
      </c>
      <c r="B150" s="87"/>
      <c r="C150" s="87"/>
      <c r="D150" s="87"/>
      <c r="E150" s="87"/>
      <c r="F150" s="87"/>
      <c r="G150" s="87"/>
      <c r="H150" s="87"/>
      <c r="I150" s="87"/>
      <c r="J150" s="87"/>
      <c r="K150" s="87"/>
      <c r="L150" s="87"/>
      <c r="M150" s="87"/>
      <c r="N150" s="87"/>
      <c r="O150" s="87"/>
      <c r="P150" s="87"/>
      <c r="Q150" s="87"/>
      <c r="R150" s="87"/>
      <c r="S150" s="87"/>
      <c r="T150" s="87"/>
      <c r="U150" s="87"/>
      <c r="V150" s="87"/>
      <c r="W150" s="87"/>
      <c r="X150" s="87"/>
      <c r="Y150" s="87"/>
      <c r="Z150" s="87"/>
      <c r="AA150" s="87"/>
      <c r="AB150" s="87"/>
      <c r="AC150" s="87"/>
      <c r="AD150" s="87"/>
      <c r="AE150" s="87"/>
      <c r="AF150" s="87"/>
      <c r="AG150" s="87"/>
      <c r="AH150" s="678"/>
      <c r="AI150" s="87"/>
      <c r="AJ150" s="87"/>
      <c r="AK150" s="87"/>
      <c r="AL150" s="87"/>
      <c r="AM150" s="87"/>
      <c r="AN150" s="123"/>
      <c r="AO150" s="123"/>
      <c r="AP150" s="87"/>
      <c r="AQ150" s="87"/>
      <c r="AR150" s="87"/>
      <c r="AS150" s="87"/>
      <c r="AT150" s="87"/>
      <c r="AU150" s="87"/>
      <c r="AV150" s="87"/>
      <c r="AW150" s="87"/>
      <c r="AX150" s="87"/>
      <c r="AY150" s="87"/>
      <c r="AZ150" s="87"/>
      <c r="BA150" s="87"/>
      <c r="BB150" s="87"/>
      <c r="BC150" s="87"/>
      <c r="BD150" s="87"/>
      <c r="BE150" s="87"/>
      <c r="BF150" s="87"/>
      <c r="BG150" s="87"/>
      <c r="BH150" s="87"/>
      <c r="BI150" s="87"/>
      <c r="BJ150" s="87"/>
      <c r="BK150" s="87"/>
      <c r="BL150" s="87"/>
      <c r="BM150" s="87"/>
      <c r="BN150" s="87"/>
      <c r="BO150" s="87"/>
      <c r="BP150" s="87"/>
      <c r="BQ150" s="87"/>
      <c r="BR150" s="88"/>
      <c r="BS150" s="87"/>
      <c r="BT150" s="87"/>
      <c r="BU150" s="87"/>
      <c r="BV150" s="88"/>
      <c r="BW150" s="87"/>
      <c r="BX150" s="87"/>
      <c r="BY150" s="87"/>
      <c r="BZ150" s="88"/>
      <c r="CA150" s="87"/>
      <c r="CB150" s="87"/>
      <c r="CC150" s="87"/>
      <c r="CD150" s="88"/>
      <c r="CE150" s="87"/>
      <c r="CF150" s="87"/>
      <c r="CG150" s="87"/>
      <c r="CH150" s="88"/>
      <c r="CI150" s="87"/>
      <c r="CJ150" s="87"/>
      <c r="CK150" s="87"/>
      <c r="CL150" s="88"/>
      <c r="CM150" s="87"/>
      <c r="CN150" s="87"/>
      <c r="CO150" s="87"/>
      <c r="CP150" s="88"/>
      <c r="CQ150" s="87"/>
      <c r="CR150" s="87"/>
      <c r="CS150" s="87"/>
      <c r="CT150" s="88"/>
      <c r="CU150" s="87"/>
      <c r="CV150" s="87"/>
      <c r="CW150" s="144"/>
      <c r="CX150" s="87"/>
      <c r="CY150" s="87"/>
      <c r="CZ150" s="87"/>
      <c r="DA150" s="87"/>
      <c r="DB150" s="88"/>
      <c r="DC150" s="87"/>
      <c r="DD150" s="87"/>
      <c r="DE150" s="87"/>
      <c r="DF150" s="88"/>
      <c r="DG150" s="1041"/>
      <c r="DH150" s="1041"/>
      <c r="DI150" s="144"/>
      <c r="DJ150" s="88"/>
      <c r="DK150" s="1041"/>
      <c r="DL150" s="1041"/>
      <c r="DM150" s="144"/>
      <c r="DN150" s="88"/>
      <c r="DO150" s="1041"/>
      <c r="DP150" s="1041"/>
      <c r="DQ150" s="144"/>
      <c r="DR150" s="1041"/>
      <c r="DS150" s="1041"/>
      <c r="DT150" s="1041"/>
      <c r="DU150" s="1041"/>
      <c r="DV150" s="1041"/>
      <c r="DW150" s="1041"/>
      <c r="DX150" s="1041"/>
      <c r="DY150" s="144"/>
      <c r="DZ150" s="1041"/>
    </row>
    <row r="151" spans="1:130" hidden="1">
      <c r="A151" s="105" t="s">
        <v>1322</v>
      </c>
      <c r="B151" s="105"/>
      <c r="C151" s="105"/>
      <c r="D151" s="87"/>
      <c r="E151" s="87"/>
      <c r="F151" s="87"/>
      <c r="G151" s="87"/>
      <c r="H151" s="87"/>
      <c r="I151" s="87"/>
      <c r="J151" s="87"/>
      <c r="K151" s="87"/>
      <c r="L151" s="87"/>
      <c r="M151" s="87"/>
      <c r="N151" s="87"/>
      <c r="O151" s="87"/>
      <c r="P151" s="87"/>
      <c r="Q151" s="87"/>
      <c r="R151" s="87"/>
      <c r="S151" s="87"/>
      <c r="T151" s="87"/>
      <c r="U151" s="87"/>
      <c r="V151" s="87"/>
      <c r="W151" s="87"/>
      <c r="X151" s="87"/>
      <c r="Y151" s="87"/>
      <c r="Z151" s="87"/>
      <c r="AA151" s="87"/>
      <c r="AB151" s="87"/>
      <c r="AC151" s="87"/>
      <c r="AD151" s="87"/>
      <c r="AE151" s="87"/>
      <c r="AF151" s="87"/>
      <c r="AG151" s="87"/>
      <c r="AH151" s="678"/>
      <c r="AI151" s="87"/>
      <c r="AJ151" s="87"/>
      <c r="AK151" s="87"/>
      <c r="AL151" s="87"/>
      <c r="AM151" s="87"/>
      <c r="AN151" s="123"/>
      <c r="AO151" s="123"/>
      <c r="AP151" s="87"/>
      <c r="AQ151" s="87"/>
      <c r="AR151" s="87"/>
      <c r="AS151" s="87"/>
      <c r="AT151" s="87"/>
      <c r="AU151" s="87"/>
      <c r="AV151" s="87"/>
      <c r="AW151" s="87"/>
      <c r="AX151" s="87"/>
      <c r="AY151" s="87"/>
      <c r="AZ151" s="87"/>
      <c r="BA151" s="87"/>
      <c r="BB151" s="87"/>
      <c r="BC151" s="87"/>
      <c r="BD151" s="87"/>
      <c r="BE151" s="87"/>
      <c r="BF151" s="87"/>
      <c r="BG151" s="87"/>
      <c r="BH151" s="87"/>
      <c r="BI151" s="87"/>
      <c r="BJ151" s="87"/>
      <c r="BK151" s="87"/>
      <c r="BL151" s="87"/>
      <c r="BM151" s="87"/>
      <c r="BN151" s="87"/>
      <c r="BO151" s="87"/>
      <c r="BP151" s="87"/>
      <c r="BQ151" s="87"/>
      <c r="BR151" s="88"/>
      <c r="BS151" s="87"/>
      <c r="BT151" s="87"/>
      <c r="BU151" s="87"/>
      <c r="BV151" s="88"/>
      <c r="BW151" s="87"/>
      <c r="BX151" s="87"/>
      <c r="BY151" s="87"/>
      <c r="BZ151" s="88"/>
      <c r="CA151" s="87"/>
      <c r="CB151" s="87"/>
      <c r="CC151" s="87"/>
      <c r="CD151" s="88"/>
      <c r="CE151" s="87"/>
      <c r="CF151" s="87"/>
      <c r="CG151" s="87"/>
      <c r="CH151" s="88"/>
      <c r="CI151" s="87"/>
      <c r="CJ151" s="87"/>
      <c r="CK151" s="87"/>
      <c r="CL151" s="88"/>
      <c r="CM151" s="87"/>
      <c r="CN151" s="87"/>
      <c r="CO151" s="87"/>
      <c r="CP151" s="88"/>
      <c r="CQ151" s="87"/>
      <c r="CR151" s="87"/>
      <c r="CS151" s="87"/>
      <c r="CT151" s="88"/>
      <c r="CU151" s="87"/>
      <c r="CV151" s="87"/>
      <c r="CW151" s="144"/>
      <c r="CX151" s="87"/>
      <c r="CY151" s="87"/>
      <c r="CZ151" s="87"/>
      <c r="DA151" s="87"/>
      <c r="DB151" s="88"/>
      <c r="DC151" s="87"/>
      <c r="DD151" s="87"/>
      <c r="DE151" s="87"/>
      <c r="DF151" s="88"/>
      <c r="DG151" s="1041"/>
      <c r="DH151" s="1041"/>
      <c r="DI151" s="144"/>
      <c r="DJ151" s="88"/>
      <c r="DK151" s="1041"/>
      <c r="DL151" s="1041"/>
      <c r="DM151" s="144"/>
      <c r="DN151" s="88"/>
      <c r="DO151" s="1041"/>
      <c r="DP151" s="1041"/>
      <c r="DQ151" s="144"/>
      <c r="DR151" s="1041"/>
      <c r="DS151" s="1041"/>
      <c r="DT151" s="1041"/>
      <c r="DU151" s="1041"/>
      <c r="DV151" s="1041"/>
      <c r="DW151" s="1041"/>
      <c r="DX151" s="1041"/>
      <c r="DY151" s="144"/>
      <c r="DZ151" s="1041"/>
    </row>
    <row r="152" spans="1:130" hidden="1">
      <c r="A152" s="105"/>
      <c r="B152" s="87"/>
      <c r="C152" s="87"/>
      <c r="D152" s="87"/>
      <c r="E152" s="87"/>
      <c r="F152" s="87"/>
      <c r="G152" s="87"/>
      <c r="H152" s="87"/>
      <c r="I152" s="87"/>
      <c r="J152" s="87"/>
      <c r="K152" s="87"/>
      <c r="L152" s="87"/>
      <c r="M152" s="87"/>
      <c r="N152" s="87"/>
      <c r="O152" s="87"/>
      <c r="P152" s="87"/>
      <c r="Q152" s="87"/>
      <c r="R152" s="87"/>
      <c r="S152" s="87"/>
      <c r="T152" s="87"/>
      <c r="U152" s="87"/>
      <c r="V152" s="87"/>
      <c r="W152" s="87"/>
      <c r="X152" s="87"/>
      <c r="Y152" s="87"/>
      <c r="Z152" s="87"/>
      <c r="AA152" s="87"/>
      <c r="AB152" s="87"/>
      <c r="AC152" s="87"/>
      <c r="AD152" s="87"/>
      <c r="AE152" s="87"/>
      <c r="AF152" s="87"/>
      <c r="AG152" s="87"/>
      <c r="AH152" s="678"/>
      <c r="AI152" s="87"/>
      <c r="AJ152" s="87"/>
      <c r="AK152" s="87"/>
      <c r="AL152" s="87"/>
      <c r="AM152" s="87"/>
      <c r="AN152" s="123"/>
      <c r="AO152" s="123"/>
      <c r="AP152" s="87"/>
      <c r="AQ152" s="87"/>
      <c r="AR152" s="87"/>
      <c r="AS152" s="87"/>
      <c r="AT152" s="87"/>
      <c r="AU152" s="87"/>
      <c r="AV152" s="87"/>
      <c r="AW152" s="87"/>
      <c r="AX152" s="87"/>
      <c r="AY152" s="87"/>
      <c r="AZ152" s="87"/>
      <c r="BA152" s="87"/>
      <c r="BB152" s="87"/>
      <c r="BC152" s="87"/>
      <c r="BD152" s="87"/>
      <c r="BE152" s="87"/>
      <c r="BF152" s="87"/>
      <c r="BG152" s="87"/>
      <c r="BH152" s="87"/>
      <c r="BI152" s="87"/>
      <c r="BJ152" s="87"/>
      <c r="BK152" s="87"/>
      <c r="BL152" s="87"/>
      <c r="BM152" s="87"/>
      <c r="BN152" s="87"/>
      <c r="BO152" s="87"/>
      <c r="BP152" s="87"/>
      <c r="BQ152" s="87"/>
      <c r="BR152" s="88"/>
      <c r="BS152" s="87"/>
      <c r="BT152" s="87"/>
      <c r="BU152" s="87"/>
      <c r="BV152" s="88"/>
      <c r="BW152" s="87"/>
      <c r="BX152" s="87"/>
      <c r="BY152" s="87"/>
      <c r="BZ152" s="88"/>
      <c r="CA152" s="87"/>
      <c r="CB152" s="87"/>
      <c r="CC152" s="87"/>
      <c r="CD152" s="88"/>
      <c r="CE152" s="87"/>
      <c r="CF152" s="87"/>
      <c r="CG152" s="87"/>
      <c r="CH152" s="88"/>
      <c r="CI152" s="87"/>
      <c r="CJ152" s="87"/>
      <c r="CK152" s="87"/>
      <c r="CL152" s="88"/>
      <c r="CM152" s="87"/>
      <c r="CN152" s="87"/>
      <c r="CO152" s="87"/>
      <c r="CP152" s="88"/>
      <c r="CQ152" s="87"/>
      <c r="CR152" s="87"/>
      <c r="CS152" s="87"/>
      <c r="CT152" s="88"/>
      <c r="CU152" s="87"/>
      <c r="CV152" s="87"/>
      <c r="CW152" s="144"/>
      <c r="CX152" s="87"/>
      <c r="CY152" s="87"/>
      <c r="CZ152" s="87"/>
      <c r="DA152" s="87"/>
      <c r="DB152" s="88"/>
      <c r="DC152" s="87"/>
      <c r="DD152" s="87"/>
      <c r="DE152" s="87"/>
      <c r="DF152" s="88"/>
      <c r="DG152" s="1041"/>
      <c r="DH152" s="1041"/>
      <c r="DI152" s="144"/>
      <c r="DJ152" s="88"/>
      <c r="DK152" s="1041"/>
      <c r="DL152" s="1041"/>
      <c r="DM152" s="144"/>
      <c r="DN152" s="88"/>
      <c r="DO152" s="1041"/>
      <c r="DP152" s="1041"/>
      <c r="DQ152" s="144"/>
      <c r="DR152" s="1041"/>
      <c r="DS152" s="1041"/>
      <c r="DT152" s="1041"/>
      <c r="DU152" s="1041"/>
      <c r="DV152" s="1041"/>
      <c r="DW152" s="1041"/>
      <c r="DX152" s="1041"/>
      <c r="DY152" s="144"/>
      <c r="DZ152" s="1041"/>
    </row>
    <row r="153" spans="1:130" hidden="1">
      <c r="A153" s="91" t="s">
        <v>1323</v>
      </c>
      <c r="B153" s="87"/>
      <c r="C153" s="87"/>
      <c r="D153" s="87"/>
      <c r="E153" s="87"/>
      <c r="F153" s="87"/>
      <c r="G153" s="87"/>
      <c r="H153" s="87"/>
      <c r="I153" s="87"/>
      <c r="J153" s="87"/>
      <c r="K153" s="87"/>
      <c r="L153" s="87"/>
      <c r="M153" s="87"/>
      <c r="N153" s="87"/>
      <c r="O153" s="87"/>
      <c r="P153" s="87"/>
      <c r="Q153" s="87"/>
      <c r="R153" s="87"/>
      <c r="S153" s="87"/>
      <c r="T153" s="87"/>
      <c r="U153" s="87"/>
      <c r="V153" s="87"/>
      <c r="W153" s="87"/>
      <c r="X153" s="87"/>
      <c r="Y153" s="87"/>
      <c r="Z153" s="87"/>
      <c r="AA153" s="87"/>
      <c r="AB153" s="87"/>
      <c r="AC153" s="87"/>
      <c r="AD153" s="87"/>
      <c r="AE153" s="87"/>
      <c r="AF153" s="87"/>
      <c r="AG153" s="87"/>
      <c r="AH153" s="678"/>
      <c r="AI153" s="87"/>
      <c r="AJ153" s="87"/>
      <c r="AK153" s="87"/>
      <c r="AL153" s="87"/>
      <c r="AM153" s="87"/>
      <c r="AN153" s="123"/>
      <c r="AO153" s="123"/>
      <c r="AP153" s="87"/>
      <c r="AQ153" s="87"/>
      <c r="AR153" s="87"/>
      <c r="AS153" s="87"/>
      <c r="AT153" s="87"/>
      <c r="AU153" s="87"/>
      <c r="AV153" s="87"/>
      <c r="AW153" s="87"/>
      <c r="AX153" s="87"/>
      <c r="AY153" s="87"/>
      <c r="AZ153" s="87"/>
      <c r="BA153" s="87"/>
      <c r="BB153" s="87"/>
      <c r="BC153" s="87"/>
      <c r="BD153" s="87"/>
      <c r="BE153" s="87"/>
      <c r="BF153" s="87"/>
      <c r="BG153" s="87"/>
      <c r="BH153" s="87"/>
      <c r="BI153" s="87"/>
      <c r="BJ153" s="87"/>
      <c r="BK153" s="87"/>
      <c r="BL153" s="87"/>
      <c r="BM153" s="87"/>
      <c r="BN153" s="87"/>
      <c r="BO153" s="87"/>
      <c r="BP153" s="87"/>
      <c r="BQ153" s="87"/>
      <c r="BR153" s="88"/>
      <c r="BS153" s="87"/>
      <c r="BT153" s="87"/>
      <c r="BU153" s="87"/>
      <c r="BV153" s="88"/>
      <c r="BW153" s="87"/>
      <c r="BX153" s="87"/>
      <c r="BY153" s="87"/>
      <c r="BZ153" s="88"/>
      <c r="CA153" s="87"/>
      <c r="CB153" s="87"/>
      <c r="CC153" s="87"/>
      <c r="CD153" s="88"/>
      <c r="CE153" s="87"/>
      <c r="CF153" s="87"/>
      <c r="CG153" s="87"/>
      <c r="CH153" s="88"/>
      <c r="CI153" s="87"/>
      <c r="CJ153" s="87"/>
      <c r="CK153" s="87"/>
      <c r="CL153" s="88"/>
      <c r="CM153" s="87"/>
      <c r="CN153" s="87"/>
      <c r="CO153" s="87"/>
      <c r="CP153" s="88"/>
      <c r="CQ153" s="87"/>
      <c r="CR153" s="87"/>
      <c r="CS153" s="87"/>
      <c r="CT153" s="88"/>
      <c r="CU153" s="87"/>
      <c r="CV153" s="87"/>
      <c r="CW153" s="144"/>
      <c r="CX153" s="87"/>
      <c r="CY153" s="87"/>
      <c r="CZ153" s="87"/>
      <c r="DA153" s="87"/>
      <c r="DB153" s="88"/>
      <c r="DC153" s="87"/>
      <c r="DD153" s="87"/>
      <c r="DE153" s="87"/>
      <c r="DF153" s="88"/>
      <c r="DG153" s="1041"/>
      <c r="DH153" s="1041"/>
      <c r="DI153" s="144"/>
      <c r="DJ153" s="88"/>
      <c r="DK153" s="1041"/>
      <c r="DL153" s="1041"/>
      <c r="DM153" s="144"/>
      <c r="DN153" s="88"/>
      <c r="DO153" s="1041"/>
      <c r="DP153" s="1041"/>
      <c r="DQ153" s="144"/>
      <c r="DR153" s="1041"/>
      <c r="DS153" s="1041"/>
      <c r="DT153" s="1041"/>
      <c r="DU153" s="1041"/>
      <c r="DV153" s="1041"/>
      <c r="DW153" s="1041"/>
      <c r="DX153" s="1041"/>
      <c r="DY153" s="144"/>
      <c r="DZ153" s="1041"/>
    </row>
    <row r="154" spans="1:130" hidden="1">
      <c r="A154" s="87" t="s">
        <v>1324</v>
      </c>
      <c r="B154" s="87"/>
      <c r="C154" s="87"/>
      <c r="D154" s="87"/>
      <c r="E154" s="87"/>
      <c r="F154" s="87"/>
      <c r="G154" s="87"/>
      <c r="H154" s="87"/>
      <c r="I154" s="87"/>
      <c r="J154" s="87"/>
      <c r="K154" s="87"/>
      <c r="L154" s="87"/>
      <c r="M154" s="87"/>
      <c r="N154" s="87"/>
      <c r="O154" s="87"/>
      <c r="P154" s="87"/>
      <c r="Q154" s="87"/>
      <c r="R154" s="87"/>
      <c r="S154" s="87"/>
      <c r="T154" s="87"/>
      <c r="U154" s="87"/>
      <c r="V154" s="87"/>
      <c r="W154" s="87"/>
      <c r="X154" s="87"/>
      <c r="Y154" s="87"/>
      <c r="Z154" s="87"/>
      <c r="AA154" s="87"/>
      <c r="AB154" s="87"/>
      <c r="AC154" s="87"/>
      <c r="AD154" s="87"/>
      <c r="AE154" s="87"/>
      <c r="AF154" s="87"/>
      <c r="AG154" s="87"/>
      <c r="AH154" s="678"/>
      <c r="AI154" s="87"/>
      <c r="AJ154" s="87"/>
      <c r="AK154" s="87"/>
      <c r="AL154" s="87"/>
      <c r="AM154" s="87"/>
      <c r="AN154" s="123"/>
      <c r="AO154" s="123"/>
      <c r="AP154" s="87"/>
      <c r="AQ154" s="87"/>
      <c r="AR154" s="87"/>
      <c r="AS154" s="87"/>
      <c r="AT154" s="87"/>
      <c r="AU154" s="87"/>
      <c r="AV154" s="87"/>
      <c r="AW154" s="87"/>
      <c r="AX154" s="87"/>
      <c r="AY154" s="87"/>
      <c r="AZ154" s="87"/>
      <c r="BA154" s="87"/>
      <c r="BB154" s="87"/>
      <c r="BC154" s="87"/>
      <c r="BD154" s="87"/>
      <c r="BE154" s="87"/>
      <c r="BF154" s="87"/>
      <c r="BG154" s="87"/>
      <c r="BH154" s="87"/>
      <c r="BI154" s="87"/>
      <c r="BJ154" s="87"/>
      <c r="BK154" s="87"/>
      <c r="BL154" s="87"/>
      <c r="BM154" s="87"/>
      <c r="BN154" s="87"/>
      <c r="BO154" s="87"/>
      <c r="BP154" s="87"/>
      <c r="BQ154" s="87"/>
      <c r="BR154" s="88"/>
      <c r="BS154" s="87"/>
      <c r="BT154" s="87"/>
      <c r="BU154" s="87"/>
      <c r="BV154" s="88"/>
      <c r="BW154" s="87"/>
      <c r="BX154" s="87"/>
      <c r="BY154" s="87"/>
      <c r="BZ154" s="88"/>
      <c r="CA154" s="87"/>
      <c r="CB154" s="87"/>
      <c r="CC154" s="87"/>
      <c r="CD154" s="88"/>
      <c r="CE154" s="87"/>
      <c r="CF154" s="87"/>
      <c r="CG154" s="87"/>
      <c r="CH154" s="88"/>
      <c r="CI154" s="87"/>
      <c r="CJ154" s="87"/>
      <c r="CK154" s="87"/>
      <c r="CL154" s="88"/>
      <c r="CM154" s="87"/>
      <c r="CN154" s="87"/>
      <c r="CO154" s="87"/>
      <c r="CP154" s="88"/>
      <c r="CQ154" s="87"/>
      <c r="CR154" s="87"/>
      <c r="CS154" s="87"/>
      <c r="CT154" s="88"/>
      <c r="CU154" s="87"/>
      <c r="CV154" s="87"/>
      <c r="CW154" s="144"/>
      <c r="CX154" s="87"/>
      <c r="CY154" s="87"/>
      <c r="CZ154" s="87"/>
      <c r="DA154" s="87"/>
      <c r="DB154" s="88"/>
      <c r="DC154" s="87"/>
      <c r="DD154" s="87"/>
      <c r="DE154" s="87"/>
      <c r="DF154" s="88"/>
      <c r="DG154" s="1041"/>
      <c r="DH154" s="1041"/>
      <c r="DI154" s="144"/>
      <c r="DJ154" s="88"/>
      <c r="DK154" s="1041"/>
      <c r="DL154" s="1041"/>
      <c r="DM154" s="144"/>
      <c r="DN154" s="88"/>
      <c r="DO154" s="1041"/>
      <c r="DP154" s="1041"/>
      <c r="DQ154" s="144"/>
      <c r="DR154" s="1041"/>
      <c r="DS154" s="1041"/>
      <c r="DT154" s="1041"/>
      <c r="DU154" s="1041"/>
      <c r="DV154" s="1041"/>
      <c r="DW154" s="1041"/>
      <c r="DX154" s="1041"/>
      <c r="DY154" s="144"/>
      <c r="DZ154" s="1041"/>
    </row>
    <row r="155" spans="1:130" hidden="1">
      <c r="A155" s="105" t="s">
        <v>1325</v>
      </c>
      <c r="B155" s="87"/>
      <c r="C155" s="87"/>
      <c r="D155" s="87"/>
      <c r="E155" s="87"/>
      <c r="F155" s="87"/>
      <c r="G155" s="87"/>
      <c r="H155" s="87"/>
      <c r="I155" s="87"/>
      <c r="J155" s="87"/>
      <c r="K155" s="87"/>
      <c r="L155" s="87"/>
      <c r="M155" s="87"/>
      <c r="N155" s="87"/>
      <c r="O155" s="87"/>
      <c r="P155" s="87"/>
      <c r="Q155" s="87"/>
      <c r="R155" s="87"/>
      <c r="S155" s="87"/>
      <c r="T155" s="87"/>
      <c r="U155" s="87"/>
      <c r="V155" s="87"/>
      <c r="W155" s="87"/>
      <c r="X155" s="87"/>
      <c r="Y155" s="87"/>
      <c r="Z155" s="87"/>
      <c r="AA155" s="87"/>
      <c r="AB155" s="87"/>
      <c r="AC155" s="87"/>
      <c r="AD155" s="87"/>
      <c r="AE155" s="87"/>
      <c r="AF155" s="87"/>
      <c r="AG155" s="87"/>
      <c r="AH155" s="678"/>
      <c r="AI155" s="87"/>
      <c r="AJ155" s="87"/>
      <c r="AK155" s="87"/>
      <c r="AL155" s="87"/>
      <c r="AM155" s="87"/>
      <c r="AN155" s="123"/>
      <c r="AO155" s="123"/>
      <c r="AP155" s="87"/>
      <c r="AQ155" s="87"/>
      <c r="AR155" s="87"/>
      <c r="AS155" s="87"/>
      <c r="AT155" s="87"/>
      <c r="AU155" s="87"/>
      <c r="AV155" s="87"/>
      <c r="AW155" s="87"/>
      <c r="AX155" s="87"/>
      <c r="AY155" s="87"/>
      <c r="AZ155" s="87"/>
      <c r="BA155" s="87"/>
      <c r="BB155" s="87"/>
      <c r="BC155" s="87"/>
      <c r="BD155" s="87"/>
      <c r="BE155" s="87"/>
      <c r="BF155" s="87"/>
      <c r="BG155" s="87"/>
      <c r="BH155" s="87"/>
      <c r="BI155" s="87"/>
      <c r="BJ155" s="87"/>
      <c r="BK155" s="87"/>
      <c r="BL155" s="87"/>
      <c r="BM155" s="87"/>
      <c r="BN155" s="87"/>
      <c r="BO155" s="87"/>
      <c r="BP155" s="87"/>
      <c r="BQ155" s="87"/>
      <c r="BR155" s="88"/>
      <c r="BS155" s="87"/>
      <c r="BT155" s="87"/>
      <c r="BU155" s="87"/>
      <c r="BV155" s="88"/>
      <c r="BW155" s="87"/>
      <c r="BX155" s="87"/>
      <c r="BY155" s="87"/>
      <c r="BZ155" s="88"/>
      <c r="CA155" s="87"/>
      <c r="CB155" s="87"/>
      <c r="CC155" s="87"/>
      <c r="CD155" s="88"/>
      <c r="CE155" s="87"/>
      <c r="CF155" s="87"/>
      <c r="CG155" s="87"/>
      <c r="CH155" s="88"/>
      <c r="CI155" s="87"/>
      <c r="CJ155" s="87"/>
      <c r="CK155" s="87"/>
      <c r="CL155" s="88"/>
      <c r="CM155" s="87"/>
      <c r="CN155" s="87"/>
      <c r="CO155" s="87"/>
      <c r="CP155" s="88"/>
      <c r="CQ155" s="87"/>
      <c r="CR155" s="87"/>
      <c r="CS155" s="87"/>
      <c r="CT155" s="88"/>
      <c r="CU155" s="87"/>
      <c r="CV155" s="87"/>
      <c r="CW155" s="144"/>
      <c r="CX155" s="87"/>
      <c r="CY155" s="87"/>
      <c r="CZ155" s="87"/>
      <c r="DA155" s="87"/>
      <c r="DB155" s="88"/>
      <c r="DC155" s="87"/>
      <c r="DD155" s="87"/>
      <c r="DE155" s="87"/>
      <c r="DF155" s="88"/>
      <c r="DG155" s="1041"/>
      <c r="DH155" s="1041"/>
      <c r="DI155" s="144"/>
      <c r="DJ155" s="88"/>
      <c r="DK155" s="1041"/>
      <c r="DL155" s="1041"/>
      <c r="DM155" s="144"/>
      <c r="DN155" s="88"/>
      <c r="DO155" s="1041"/>
      <c r="DP155" s="1041"/>
      <c r="DQ155" s="144"/>
      <c r="DR155" s="1041"/>
      <c r="DS155" s="1041"/>
      <c r="DT155" s="1041"/>
      <c r="DU155" s="1041"/>
      <c r="DV155" s="1041"/>
      <c r="DW155" s="1041"/>
      <c r="DX155" s="1041"/>
      <c r="DY155" s="144"/>
      <c r="DZ155" s="1041"/>
    </row>
    <row r="156" spans="1:130" hidden="1" collapsed="1">
      <c r="A156" s="87"/>
      <c r="B156" s="87"/>
      <c r="C156" s="87"/>
      <c r="D156" s="87"/>
      <c r="E156" s="87"/>
      <c r="F156" s="87"/>
      <c r="G156" s="87"/>
      <c r="H156" s="87"/>
      <c r="I156" s="87"/>
      <c r="J156" s="87"/>
      <c r="K156" s="87"/>
      <c r="L156" s="87"/>
      <c r="M156" s="87"/>
      <c r="N156" s="87"/>
      <c r="O156" s="87"/>
      <c r="P156" s="87"/>
      <c r="Q156" s="87"/>
      <c r="R156" s="87"/>
      <c r="S156" s="87"/>
      <c r="T156" s="87"/>
      <c r="U156" s="87"/>
      <c r="V156" s="87"/>
      <c r="W156" s="87"/>
      <c r="X156" s="87"/>
      <c r="Y156" s="87"/>
      <c r="Z156" s="87"/>
      <c r="AA156" s="87"/>
      <c r="AB156" s="87"/>
      <c r="AC156" s="87"/>
      <c r="AD156" s="87"/>
      <c r="AE156" s="87"/>
      <c r="AF156" s="87"/>
      <c r="AG156" s="87"/>
      <c r="AH156" s="678"/>
      <c r="AI156" s="87"/>
      <c r="AJ156" s="87"/>
      <c r="AK156" s="87"/>
      <c r="AL156" s="87"/>
      <c r="AM156" s="87"/>
      <c r="AN156" s="123"/>
      <c r="AO156" s="123"/>
      <c r="AP156" s="87"/>
      <c r="AQ156" s="87"/>
      <c r="AR156" s="87"/>
      <c r="AS156" s="87"/>
      <c r="AT156" s="87"/>
      <c r="AU156" s="87"/>
      <c r="AV156" s="87"/>
      <c r="AW156" s="87"/>
      <c r="AX156" s="87"/>
      <c r="AY156" s="87"/>
      <c r="AZ156" s="87"/>
      <c r="BA156" s="87"/>
      <c r="BB156" s="87"/>
      <c r="BC156" s="87"/>
      <c r="BD156" s="87"/>
      <c r="BE156" s="87"/>
      <c r="BF156" s="87"/>
      <c r="BG156" s="87"/>
      <c r="BH156" s="87"/>
      <c r="BI156" s="87"/>
      <c r="BJ156" s="87"/>
      <c r="BK156" s="87"/>
      <c r="BL156" s="87"/>
      <c r="BM156" s="87"/>
      <c r="BN156" s="87"/>
      <c r="BO156" s="87"/>
      <c r="BP156" s="87"/>
      <c r="BQ156" s="87"/>
      <c r="BR156" s="88"/>
      <c r="BS156" s="87"/>
      <c r="BT156" s="87"/>
      <c r="BU156" s="87"/>
      <c r="BV156" s="88"/>
      <c r="BW156" s="87"/>
      <c r="BX156" s="87"/>
      <c r="BY156" s="87"/>
      <c r="BZ156" s="88"/>
      <c r="CA156" s="87"/>
      <c r="CB156" s="87"/>
      <c r="CC156" s="87"/>
      <c r="CD156" s="88"/>
      <c r="CE156" s="87"/>
      <c r="CF156" s="87"/>
      <c r="CG156" s="87"/>
      <c r="CH156" s="88"/>
      <c r="CI156" s="87"/>
      <c r="CJ156" s="87"/>
      <c r="CK156" s="87"/>
      <c r="CL156" s="88"/>
      <c r="CM156" s="87"/>
      <c r="CN156" s="87"/>
      <c r="CO156" s="87"/>
      <c r="CP156" s="88"/>
      <c r="CQ156" s="87"/>
      <c r="CR156" s="87"/>
      <c r="CS156" s="87"/>
      <c r="CT156" s="88"/>
      <c r="CU156" s="87"/>
      <c r="CV156" s="87"/>
      <c r="CW156" s="144"/>
      <c r="CX156" s="87"/>
      <c r="CY156" s="87"/>
      <c r="CZ156" s="87"/>
      <c r="DA156" s="87"/>
      <c r="DB156" s="88"/>
      <c r="DC156" s="87"/>
      <c r="DD156" s="87"/>
      <c r="DE156" s="87"/>
      <c r="DF156" s="88"/>
      <c r="DG156" s="1041"/>
      <c r="DH156" s="1041"/>
      <c r="DI156" s="144"/>
      <c r="DJ156" s="88"/>
      <c r="DK156" s="1041"/>
      <c r="DL156" s="1041"/>
      <c r="DM156" s="144"/>
      <c r="DN156" s="88"/>
      <c r="DO156" s="1041"/>
      <c r="DP156" s="1041"/>
      <c r="DQ156" s="144"/>
      <c r="DR156" s="1041"/>
      <c r="DS156" s="1041"/>
      <c r="DT156" s="1041"/>
      <c r="DU156" s="1041"/>
      <c r="DV156" s="1041"/>
      <c r="DW156" s="1041"/>
      <c r="DX156" s="1041"/>
      <c r="DY156" s="144"/>
      <c r="DZ156" s="1041"/>
    </row>
    <row r="157" spans="1:130" hidden="1">
      <c r="A157" s="139" t="s">
        <v>1030</v>
      </c>
      <c r="B157" s="139"/>
      <c r="C157" s="139"/>
      <c r="D157" s="139"/>
      <c r="E157" s="139"/>
      <c r="F157" s="139"/>
      <c r="G157" s="139"/>
      <c r="H157" s="139"/>
      <c r="I157" s="139"/>
      <c r="J157" s="139"/>
      <c r="K157" s="139"/>
      <c r="L157" s="139"/>
      <c r="M157" s="139"/>
      <c r="N157" s="139"/>
      <c r="O157" s="139"/>
      <c r="P157" s="139"/>
      <c r="Q157" s="139"/>
      <c r="R157" s="139"/>
      <c r="S157" s="139"/>
      <c r="T157" s="139"/>
      <c r="U157" s="139"/>
      <c r="V157" s="139"/>
      <c r="W157" s="139"/>
      <c r="X157" s="139"/>
      <c r="Y157" s="139"/>
      <c r="Z157" s="139"/>
      <c r="AA157" s="139"/>
      <c r="AB157" s="139"/>
      <c r="AC157" s="139"/>
      <c r="AD157" s="139"/>
      <c r="AE157" s="139"/>
      <c r="AF157" s="139"/>
      <c r="AG157" s="139"/>
      <c r="AH157" s="1317"/>
      <c r="AI157" s="139"/>
      <c r="AJ157" s="139"/>
      <c r="AK157" s="139"/>
      <c r="AL157" s="139"/>
      <c r="AM157" s="139"/>
      <c r="AN157" s="123"/>
      <c r="AO157" s="123"/>
      <c r="AP157" s="139"/>
      <c r="AQ157" s="139"/>
      <c r="AR157" s="139"/>
      <c r="AS157" s="139"/>
      <c r="AT157" s="139"/>
      <c r="AU157" s="139"/>
      <c r="AV157" s="139"/>
      <c r="AW157" s="139"/>
      <c r="AX157" s="139"/>
      <c r="AY157" s="139"/>
      <c r="AZ157" s="139"/>
      <c r="BA157" s="139"/>
      <c r="BB157" s="139"/>
      <c r="BC157" s="139"/>
      <c r="BD157" s="139"/>
      <c r="BE157" s="139"/>
      <c r="BF157" s="139"/>
      <c r="BG157" s="139"/>
      <c r="BH157" s="139"/>
      <c r="BI157" s="139"/>
      <c r="BJ157" s="139"/>
      <c r="BK157" s="139"/>
      <c r="BL157" s="139"/>
      <c r="BM157" s="139"/>
      <c r="BN157" s="139"/>
      <c r="BO157" s="139"/>
      <c r="BP157" s="139"/>
      <c r="BQ157" s="139"/>
      <c r="BR157" s="198"/>
      <c r="BS157" s="139"/>
      <c r="BT157" s="139"/>
      <c r="BU157" s="139"/>
      <c r="BV157" s="198"/>
      <c r="BW157" s="139"/>
      <c r="BX157" s="139"/>
      <c r="BY157" s="139"/>
      <c r="BZ157" s="198"/>
      <c r="CA157" s="139"/>
      <c r="CB157" s="139"/>
      <c r="CC157" s="139"/>
      <c r="CD157" s="198"/>
      <c r="CE157" s="139"/>
      <c r="CF157" s="139"/>
      <c r="CG157" s="139"/>
      <c r="CH157" s="198"/>
      <c r="CI157" s="139"/>
      <c r="CJ157" s="139"/>
      <c r="CK157" s="139"/>
      <c r="CL157" s="198"/>
      <c r="CM157" s="139"/>
      <c r="CN157" s="139"/>
      <c r="CO157" s="139"/>
      <c r="CP157" s="198"/>
      <c r="CQ157" s="139"/>
      <c r="CR157" s="139"/>
      <c r="CS157" s="139"/>
      <c r="CT157" s="198"/>
      <c r="CU157" s="139"/>
      <c r="CV157" s="139"/>
      <c r="CW157" s="199"/>
      <c r="CX157" s="139"/>
      <c r="CY157" s="139"/>
      <c r="CZ157" s="139"/>
      <c r="DA157" s="139"/>
      <c r="DB157" s="198"/>
      <c r="DC157" s="139"/>
      <c r="DD157" s="139"/>
      <c r="DE157" s="139"/>
      <c r="DF157" s="198"/>
      <c r="DG157" s="1048"/>
      <c r="DH157" s="1048"/>
      <c r="DI157" s="199"/>
      <c r="DJ157" s="198"/>
      <c r="DK157" s="1048"/>
      <c r="DL157" s="1048"/>
      <c r="DM157" s="199"/>
      <c r="DN157" s="198"/>
      <c r="DO157" s="1048"/>
      <c r="DP157" s="1048"/>
      <c r="DQ157" s="199"/>
      <c r="DR157" s="1048"/>
      <c r="DS157" s="1048"/>
      <c r="DT157" s="1048"/>
      <c r="DU157" s="1048"/>
      <c r="DV157" s="1048"/>
      <c r="DW157" s="1048"/>
      <c r="DX157" s="1048"/>
      <c r="DY157" s="199"/>
      <c r="DZ157" s="1041"/>
    </row>
    <row r="158" spans="1:130" hidden="1">
      <c r="A158" s="91" t="s">
        <v>1031</v>
      </c>
      <c r="B158" s="91"/>
      <c r="C158" s="91"/>
      <c r="D158" s="91"/>
      <c r="E158" s="91"/>
      <c r="F158" s="91"/>
      <c r="G158" s="91"/>
      <c r="H158" s="91"/>
      <c r="I158" s="91"/>
      <c r="J158" s="91" t="s">
        <v>1032</v>
      </c>
      <c r="K158" s="91" t="s">
        <v>1033</v>
      </c>
      <c r="L158" s="91" t="s">
        <v>1030</v>
      </c>
      <c r="M158" s="91" t="s">
        <v>1034</v>
      </c>
      <c r="N158" s="91"/>
      <c r="O158" s="91"/>
      <c r="P158" s="91"/>
      <c r="Q158" s="91"/>
      <c r="R158" s="91"/>
      <c r="S158" s="91"/>
      <c r="T158" s="91"/>
      <c r="U158" s="91"/>
      <c r="V158" s="91"/>
      <c r="W158" s="91"/>
      <c r="X158" s="91"/>
      <c r="Y158" s="91"/>
      <c r="Z158" s="91"/>
      <c r="AA158" s="91"/>
      <c r="AB158" s="91"/>
      <c r="AC158" s="91"/>
      <c r="AD158" s="91"/>
      <c r="AE158" s="91"/>
      <c r="AF158" s="91"/>
      <c r="AG158" s="91"/>
      <c r="AH158" s="1238"/>
      <c r="AI158" s="91"/>
      <c r="AJ158" s="91"/>
      <c r="AK158" s="91"/>
      <c r="AL158" s="91"/>
      <c r="AM158" s="91"/>
      <c r="AN158" s="123"/>
      <c r="AO158" s="123"/>
      <c r="AP158" s="91"/>
      <c r="AQ158" s="91"/>
      <c r="AR158" s="91"/>
      <c r="AS158" s="91"/>
      <c r="AT158" s="91"/>
      <c r="AU158" s="91"/>
      <c r="AV158" s="91"/>
      <c r="AW158" s="91"/>
      <c r="AX158" s="91"/>
      <c r="AY158" s="91"/>
      <c r="AZ158" s="91"/>
      <c r="BA158" s="91"/>
      <c r="BB158" s="91"/>
      <c r="BC158" s="91"/>
      <c r="BD158" s="91"/>
      <c r="BE158" s="91"/>
      <c r="BF158" s="91"/>
      <c r="BG158" s="91"/>
      <c r="BH158" s="91"/>
      <c r="BI158" s="91"/>
      <c r="BJ158" s="91"/>
      <c r="BK158" s="91"/>
      <c r="BL158" s="91"/>
      <c r="BM158" s="91"/>
      <c r="BN158" s="91"/>
      <c r="BO158" s="91"/>
      <c r="BP158" s="91"/>
      <c r="BQ158" s="91"/>
      <c r="BR158" s="151"/>
      <c r="BS158" s="91"/>
      <c r="BT158" s="91"/>
      <c r="BU158" s="91"/>
      <c r="BV158" s="151"/>
      <c r="BW158" s="91"/>
      <c r="BX158" s="91"/>
      <c r="BY158" s="91"/>
      <c r="BZ158" s="151"/>
      <c r="CA158" s="91"/>
      <c r="CB158" s="91"/>
      <c r="CC158" s="91"/>
      <c r="CD158" s="151"/>
      <c r="CE158" s="91"/>
      <c r="CF158" s="91"/>
      <c r="CG158" s="91"/>
      <c r="CH158" s="151"/>
      <c r="CI158" s="91"/>
      <c r="CJ158" s="91"/>
      <c r="CK158" s="91"/>
      <c r="CL158" s="151"/>
      <c r="CM158" s="91"/>
      <c r="CN158" s="91"/>
      <c r="CO158" s="91"/>
      <c r="CP158" s="151"/>
      <c r="CQ158" s="91"/>
      <c r="CR158" s="91"/>
      <c r="CS158" s="91"/>
      <c r="CT158" s="151"/>
      <c r="CU158" s="91"/>
      <c r="CV158" s="91"/>
      <c r="CW158" s="93"/>
      <c r="CX158" s="91"/>
      <c r="CY158" s="91"/>
      <c r="CZ158" s="91"/>
      <c r="DA158" s="91"/>
      <c r="DB158" s="151"/>
      <c r="DC158" s="91"/>
      <c r="DD158" s="91"/>
      <c r="DE158" s="91"/>
      <c r="DF158" s="151"/>
      <c r="DG158" s="1068"/>
      <c r="DH158" s="1068"/>
      <c r="DI158" s="93"/>
      <c r="DJ158" s="151"/>
      <c r="DK158" s="1068"/>
      <c r="DL158" s="1068"/>
      <c r="DM158" s="93"/>
      <c r="DN158" s="151"/>
      <c r="DO158" s="1068"/>
      <c r="DP158" s="1068"/>
      <c r="DQ158" s="93"/>
      <c r="DR158" s="1068"/>
      <c r="DS158" s="1068"/>
      <c r="DT158" s="1068"/>
      <c r="DU158" s="1068"/>
      <c r="DV158" s="1068"/>
      <c r="DW158" s="1068"/>
      <c r="DX158" s="1068"/>
      <c r="DY158" s="93"/>
      <c r="DZ158" s="1068"/>
    </row>
    <row r="159" spans="1:130" hidden="1">
      <c r="A159" s="87" t="s">
        <v>1326</v>
      </c>
      <c r="B159" s="87"/>
      <c r="C159" s="87"/>
      <c r="D159" s="87"/>
      <c r="E159" s="87"/>
      <c r="F159" s="87"/>
      <c r="G159" s="87"/>
      <c r="H159" s="87"/>
      <c r="I159" s="87"/>
      <c r="J159" s="109">
        <v>59705.275000000001</v>
      </c>
      <c r="K159" s="109">
        <v>10699</v>
      </c>
      <c r="L159" s="109">
        <v>49006.275000000001</v>
      </c>
      <c r="M159" s="87">
        <v>5.5804537807271712</v>
      </c>
      <c r="N159" s="87"/>
      <c r="O159" s="87"/>
      <c r="P159" s="87"/>
      <c r="Q159" s="87"/>
      <c r="R159" s="87"/>
      <c r="S159" s="87"/>
      <c r="T159" s="87"/>
      <c r="U159" s="87"/>
      <c r="V159" s="87"/>
      <c r="W159" s="87"/>
      <c r="X159" s="87"/>
      <c r="Y159" s="87"/>
      <c r="Z159" s="87"/>
      <c r="AA159" s="87"/>
      <c r="AB159" s="87"/>
      <c r="AC159" s="87"/>
      <c r="AD159" s="87"/>
      <c r="AE159" s="87"/>
      <c r="AF159" s="87"/>
      <c r="AG159" s="87"/>
      <c r="AH159" s="678"/>
      <c r="AI159" s="87"/>
      <c r="AJ159" s="87"/>
      <c r="AK159" s="87"/>
      <c r="AL159" s="87"/>
      <c r="AM159" s="87"/>
      <c r="AN159" s="123"/>
      <c r="AO159" s="123"/>
      <c r="AP159" s="87"/>
      <c r="AQ159" s="87"/>
      <c r="AR159" s="87"/>
      <c r="AS159" s="87"/>
      <c r="AT159" s="87"/>
      <c r="AU159" s="87"/>
      <c r="AV159" s="87"/>
      <c r="AW159" s="87"/>
      <c r="AX159" s="87"/>
      <c r="AY159" s="87"/>
      <c r="AZ159" s="87"/>
      <c r="BA159" s="87"/>
      <c r="BB159" s="87"/>
      <c r="BC159" s="87"/>
      <c r="BD159" s="87"/>
      <c r="BE159" s="87"/>
      <c r="BF159" s="87"/>
      <c r="BG159" s="87"/>
      <c r="BH159" s="87"/>
      <c r="BI159" s="87"/>
      <c r="BJ159" s="87"/>
      <c r="BK159" s="87"/>
      <c r="BL159" s="87"/>
      <c r="BM159" s="87"/>
      <c r="BN159" s="87"/>
      <c r="BO159" s="87"/>
      <c r="BP159" s="87"/>
      <c r="BQ159" s="87"/>
      <c r="BR159" s="88"/>
      <c r="BS159" s="87"/>
      <c r="BT159" s="87"/>
      <c r="BU159" s="87"/>
      <c r="BV159" s="88"/>
      <c r="BW159" s="87"/>
      <c r="BX159" s="87"/>
      <c r="BY159" s="87"/>
      <c r="BZ159" s="88"/>
      <c r="CA159" s="87"/>
      <c r="CB159" s="87"/>
      <c r="CC159" s="87"/>
      <c r="CD159" s="88"/>
      <c r="CE159" s="87"/>
      <c r="CF159" s="87"/>
      <c r="CG159" s="87"/>
      <c r="CH159" s="88"/>
      <c r="CI159" s="87"/>
      <c r="CJ159" s="87"/>
      <c r="CK159" s="87"/>
      <c r="CL159" s="88"/>
      <c r="CM159" s="87"/>
      <c r="CN159" s="87"/>
      <c r="CO159" s="87"/>
      <c r="CP159" s="88"/>
      <c r="CQ159" s="87"/>
      <c r="CR159" s="87"/>
      <c r="CS159" s="87"/>
      <c r="CT159" s="88"/>
      <c r="CU159" s="87"/>
      <c r="CV159" s="87"/>
      <c r="CW159" s="144"/>
      <c r="CX159" s="87"/>
      <c r="CY159" s="87"/>
      <c r="CZ159" s="87"/>
      <c r="DA159" s="87"/>
      <c r="DB159" s="88"/>
      <c r="DC159" s="87"/>
      <c r="DD159" s="87"/>
      <c r="DE159" s="87"/>
      <c r="DF159" s="88"/>
      <c r="DG159" s="1041"/>
      <c r="DH159" s="1041"/>
      <c r="DI159" s="144"/>
      <c r="DJ159" s="88"/>
      <c r="DK159" s="1041"/>
      <c r="DL159" s="1041"/>
      <c r="DM159" s="144"/>
      <c r="DN159" s="88"/>
      <c r="DO159" s="1041"/>
      <c r="DP159" s="1041"/>
      <c r="DQ159" s="144"/>
      <c r="DR159" s="1041"/>
      <c r="DS159" s="1041"/>
      <c r="DT159" s="1041"/>
      <c r="DU159" s="1041"/>
      <c r="DV159" s="1041"/>
      <c r="DW159" s="1041"/>
      <c r="DX159" s="1041"/>
      <c r="DY159" s="144"/>
      <c r="DZ159" s="1041"/>
    </row>
    <row r="160" spans="1:130" hidden="1">
      <c r="A160" s="87" t="s">
        <v>1290</v>
      </c>
      <c r="B160" s="87"/>
      <c r="C160" s="87"/>
      <c r="D160" s="87"/>
      <c r="E160" s="87"/>
      <c r="F160" s="87"/>
      <c r="G160" s="87"/>
      <c r="H160" s="87"/>
      <c r="I160" s="87"/>
      <c r="J160" s="87"/>
      <c r="K160" s="87"/>
      <c r="L160" s="109">
        <v>49006.275000000001</v>
      </c>
      <c r="M160" s="87"/>
      <c r="N160" s="87"/>
      <c r="O160" s="87"/>
      <c r="P160" s="87"/>
      <c r="Q160" s="87"/>
      <c r="R160" s="87"/>
      <c r="S160" s="87"/>
      <c r="T160" s="87"/>
      <c r="U160" s="87"/>
      <c r="V160" s="87"/>
      <c r="W160" s="87"/>
      <c r="X160" s="87"/>
      <c r="Y160" s="87"/>
      <c r="Z160" s="87"/>
      <c r="AA160" s="87"/>
      <c r="AB160" s="87"/>
      <c r="AC160" s="87"/>
      <c r="AD160" s="87"/>
      <c r="AE160" s="87"/>
      <c r="AF160" s="87"/>
      <c r="AG160" s="87"/>
      <c r="AH160" s="678"/>
      <c r="AI160" s="87"/>
      <c r="AJ160" s="87"/>
      <c r="AK160" s="87"/>
      <c r="AL160" s="87"/>
      <c r="AM160" s="87"/>
      <c r="AN160" s="123"/>
      <c r="AO160" s="123"/>
      <c r="AP160" s="87"/>
      <c r="AQ160" s="87"/>
      <c r="AR160" s="87"/>
      <c r="AS160" s="87"/>
      <c r="AT160" s="87"/>
      <c r="AU160" s="87"/>
      <c r="AV160" s="87"/>
      <c r="AW160" s="87"/>
      <c r="AX160" s="87"/>
      <c r="AY160" s="87"/>
      <c r="AZ160" s="87"/>
      <c r="BA160" s="87"/>
      <c r="BB160" s="87"/>
      <c r="BC160" s="87"/>
      <c r="BD160" s="87"/>
      <c r="BE160" s="87"/>
      <c r="BF160" s="87"/>
      <c r="BG160" s="87"/>
      <c r="BH160" s="87"/>
      <c r="BI160" s="87"/>
      <c r="BJ160" s="87"/>
      <c r="BK160" s="87"/>
      <c r="BL160" s="87"/>
      <c r="BM160" s="87"/>
      <c r="BN160" s="87"/>
      <c r="BO160" s="87"/>
      <c r="BP160" s="87"/>
      <c r="BQ160" s="87"/>
      <c r="BR160" s="88"/>
      <c r="BS160" s="87"/>
      <c r="BT160" s="87"/>
      <c r="BU160" s="87"/>
      <c r="BV160" s="88"/>
      <c r="BW160" s="87"/>
      <c r="BX160" s="87"/>
      <c r="BY160" s="87"/>
      <c r="BZ160" s="88"/>
      <c r="CA160" s="87"/>
      <c r="CB160" s="87"/>
      <c r="CC160" s="87"/>
      <c r="CD160" s="88"/>
      <c r="CE160" s="87"/>
      <c r="CF160" s="87"/>
      <c r="CG160" s="87"/>
      <c r="CH160" s="88"/>
      <c r="CI160" s="87"/>
      <c r="CJ160" s="87"/>
      <c r="CK160" s="87"/>
      <c r="CL160" s="88"/>
      <c r="CM160" s="87"/>
      <c r="CN160" s="87"/>
      <c r="CO160" s="87"/>
      <c r="CP160" s="88"/>
      <c r="CQ160" s="87"/>
      <c r="CR160" s="87"/>
      <c r="CS160" s="87"/>
      <c r="CT160" s="88"/>
      <c r="CU160" s="87"/>
      <c r="CV160" s="87"/>
      <c r="CW160" s="144"/>
      <c r="CX160" s="87"/>
      <c r="CY160" s="87"/>
      <c r="CZ160" s="87"/>
      <c r="DA160" s="87"/>
      <c r="DB160" s="88"/>
      <c r="DC160" s="87"/>
      <c r="DD160" s="87"/>
      <c r="DE160" s="87"/>
      <c r="DF160" s="88"/>
      <c r="DG160" s="1041"/>
      <c r="DH160" s="1041"/>
      <c r="DI160" s="144"/>
      <c r="DJ160" s="88"/>
      <c r="DK160" s="1041"/>
      <c r="DL160" s="1041"/>
      <c r="DM160" s="144"/>
      <c r="DN160" s="88"/>
      <c r="DO160" s="1041"/>
      <c r="DP160" s="1041"/>
      <c r="DQ160" s="144"/>
      <c r="DR160" s="1041"/>
      <c r="DS160" s="1041"/>
      <c r="DT160" s="1041"/>
      <c r="DU160" s="1041"/>
      <c r="DV160" s="1041"/>
      <c r="DW160" s="1041"/>
      <c r="DX160" s="1041"/>
      <c r="DY160" s="144"/>
      <c r="DZ160" s="1041"/>
    </row>
    <row r="161" spans="1:130" hidden="1">
      <c r="A161" s="87"/>
      <c r="B161" s="87"/>
      <c r="C161" s="87"/>
      <c r="D161" s="87"/>
      <c r="E161" s="87"/>
      <c r="F161" s="87"/>
      <c r="G161" s="87"/>
      <c r="H161" s="87"/>
      <c r="I161" s="87"/>
      <c r="J161" s="87"/>
      <c r="K161" s="87"/>
      <c r="L161" s="87"/>
      <c r="M161" s="87"/>
      <c r="N161" s="87"/>
      <c r="O161" s="87"/>
      <c r="P161" s="87"/>
      <c r="Q161" s="87"/>
      <c r="R161" s="87"/>
      <c r="S161" s="87"/>
      <c r="T161" s="87"/>
      <c r="U161" s="87"/>
      <c r="V161" s="87"/>
      <c r="W161" s="87"/>
      <c r="X161" s="87"/>
      <c r="Y161" s="87"/>
      <c r="Z161" s="87"/>
      <c r="AA161" s="87"/>
      <c r="AB161" s="87"/>
      <c r="AC161" s="87"/>
      <c r="AD161" s="87"/>
      <c r="AE161" s="87"/>
      <c r="AF161" s="87"/>
      <c r="AG161" s="87"/>
      <c r="AH161" s="678"/>
      <c r="AI161" s="87"/>
      <c r="AJ161" s="87"/>
      <c r="AK161" s="87"/>
      <c r="AL161" s="87"/>
      <c r="AM161" s="87"/>
      <c r="AN161" s="123"/>
      <c r="AO161" s="123"/>
      <c r="AP161" s="87"/>
      <c r="AQ161" s="87"/>
      <c r="AR161" s="87"/>
      <c r="AS161" s="87"/>
      <c r="AT161" s="87"/>
      <c r="AU161" s="87"/>
      <c r="AV161" s="87"/>
      <c r="AW161" s="87"/>
      <c r="AX161" s="87"/>
      <c r="AY161" s="87"/>
      <c r="AZ161" s="87"/>
      <c r="BA161" s="87"/>
      <c r="BB161" s="87"/>
      <c r="BC161" s="87"/>
      <c r="BD161" s="87"/>
      <c r="BE161" s="87"/>
      <c r="BF161" s="87"/>
      <c r="BG161" s="87"/>
      <c r="BH161" s="87"/>
      <c r="BI161" s="87"/>
      <c r="BJ161" s="87"/>
      <c r="BK161" s="87"/>
      <c r="BL161" s="87"/>
      <c r="BM161" s="87"/>
      <c r="BN161" s="87"/>
      <c r="BO161" s="87"/>
      <c r="BP161" s="87"/>
      <c r="BQ161" s="87"/>
      <c r="BR161" s="88"/>
      <c r="BS161" s="87"/>
      <c r="BT161" s="87"/>
      <c r="BU161" s="87"/>
      <c r="BV161" s="88"/>
      <c r="BW161" s="87"/>
      <c r="BX161" s="87"/>
      <c r="BY161" s="87"/>
      <c r="BZ161" s="88"/>
      <c r="CA161" s="87"/>
      <c r="CB161" s="87"/>
      <c r="CC161" s="87"/>
      <c r="CD161" s="88"/>
      <c r="CE161" s="87"/>
      <c r="CF161" s="87"/>
      <c r="CG161" s="87"/>
      <c r="CH161" s="88"/>
      <c r="CI161" s="87"/>
      <c r="CJ161" s="87"/>
      <c r="CK161" s="87"/>
      <c r="CL161" s="88"/>
      <c r="CM161" s="87"/>
      <c r="CN161" s="87"/>
      <c r="CO161" s="87"/>
      <c r="CP161" s="88"/>
      <c r="CQ161" s="87"/>
      <c r="CR161" s="87"/>
      <c r="CS161" s="87"/>
      <c r="CT161" s="88"/>
      <c r="CU161" s="87"/>
      <c r="CV161" s="87"/>
      <c r="CW161" s="144"/>
      <c r="CX161" s="87"/>
      <c r="CY161" s="87"/>
      <c r="CZ161" s="87"/>
      <c r="DA161" s="87"/>
      <c r="DB161" s="88"/>
      <c r="DC161" s="87"/>
      <c r="DD161" s="87"/>
      <c r="DE161" s="87"/>
      <c r="DF161" s="88"/>
      <c r="DG161" s="1041"/>
      <c r="DH161" s="1041"/>
      <c r="DI161" s="144"/>
      <c r="DJ161" s="88"/>
      <c r="DK161" s="1041"/>
      <c r="DL161" s="1041"/>
      <c r="DM161" s="144"/>
      <c r="DN161" s="88"/>
      <c r="DO161" s="1041"/>
      <c r="DP161" s="1041"/>
      <c r="DQ161" s="144"/>
      <c r="DR161" s="1041"/>
      <c r="DS161" s="1041"/>
      <c r="DT161" s="1041"/>
      <c r="DU161" s="1041"/>
      <c r="DV161" s="1041"/>
      <c r="DW161" s="1041"/>
      <c r="DX161" s="1041"/>
      <c r="DY161" s="144"/>
      <c r="DZ161" s="1041"/>
    </row>
    <row r="162" spans="1:130">
      <c r="A162" s="309" t="s">
        <v>1327</v>
      </c>
      <c r="B162" s="310"/>
      <c r="C162" s="310"/>
      <c r="D162" s="310"/>
      <c r="E162" s="310"/>
      <c r="F162" s="310"/>
      <c r="G162" s="310"/>
      <c r="H162" s="310"/>
      <c r="I162" s="310"/>
      <c r="J162" s="310"/>
      <c r="K162" s="310"/>
      <c r="L162" s="310"/>
      <c r="M162" s="310"/>
      <c r="N162" s="310"/>
      <c r="O162" s="310"/>
      <c r="P162" s="310"/>
      <c r="Q162" s="310"/>
      <c r="R162" s="310"/>
      <c r="S162" s="310"/>
      <c r="T162" s="310"/>
      <c r="U162" s="311"/>
      <c r="V162" s="311"/>
      <c r="W162" s="311"/>
      <c r="X162" s="311"/>
      <c r="Y162" s="311"/>
      <c r="Z162" s="311"/>
      <c r="AA162" s="310"/>
      <c r="AB162" s="310"/>
      <c r="AC162" s="310"/>
      <c r="AD162" s="310"/>
      <c r="AE162" s="310"/>
      <c r="AF162" s="310"/>
      <c r="AG162" s="310"/>
      <c r="AH162" s="1415"/>
      <c r="AI162" s="310"/>
      <c r="AJ162" s="310"/>
      <c r="AK162" s="310"/>
      <c r="AL162" s="310"/>
      <c r="AM162" s="310"/>
      <c r="AN162" s="123"/>
      <c r="AO162" s="123"/>
      <c r="AP162" s="310"/>
      <c r="AQ162" s="310"/>
      <c r="AR162" s="310"/>
      <c r="AS162" s="310"/>
      <c r="AT162" s="310"/>
      <c r="AU162" s="310"/>
      <c r="AV162" s="310"/>
      <c r="AW162" s="310"/>
      <c r="AX162" s="310"/>
      <c r="AY162" s="310"/>
      <c r="AZ162" s="310"/>
      <c r="BA162" s="310"/>
      <c r="BB162" s="310"/>
      <c r="BC162" s="310"/>
      <c r="BD162" s="310"/>
      <c r="BE162" s="310"/>
      <c r="BF162" s="310"/>
      <c r="BG162" s="310"/>
      <c r="BH162" s="310"/>
      <c r="BI162" s="310"/>
      <c r="BJ162" s="310"/>
      <c r="BK162" s="310"/>
      <c r="BL162" s="310"/>
      <c r="BM162" s="310"/>
      <c r="BN162" s="310"/>
      <c r="BO162" s="310"/>
      <c r="BP162" s="310"/>
      <c r="BQ162" s="310"/>
      <c r="BR162" s="312"/>
      <c r="BS162" s="310"/>
      <c r="BT162" s="310"/>
      <c r="BU162" s="310"/>
      <c r="BV162" s="312"/>
      <c r="BW162" s="310"/>
      <c r="BX162" s="310"/>
      <c r="BY162" s="310"/>
      <c r="BZ162" s="312"/>
      <c r="CA162" s="310"/>
      <c r="CB162" s="310"/>
      <c r="CC162" s="310"/>
      <c r="CD162" s="312"/>
      <c r="CE162" s="310"/>
      <c r="CF162" s="310"/>
      <c r="CG162" s="310"/>
      <c r="CH162" s="312"/>
      <c r="CI162" s="310"/>
      <c r="CJ162" s="310"/>
      <c r="CK162" s="310"/>
      <c r="CL162" s="312"/>
      <c r="CM162" s="310"/>
      <c r="CN162" s="310"/>
      <c r="CO162" s="310"/>
      <c r="CP162" s="312"/>
      <c r="CQ162" s="310"/>
      <c r="CR162" s="310"/>
      <c r="CS162" s="310"/>
      <c r="CT162" s="312"/>
      <c r="CU162" s="310"/>
      <c r="CV162" s="310"/>
      <c r="CW162" s="313"/>
      <c r="CX162" s="310"/>
      <c r="CY162" s="310"/>
      <c r="CZ162" s="310"/>
      <c r="DA162" s="310"/>
      <c r="DB162" s="312"/>
      <c r="DC162" s="310"/>
      <c r="DD162" s="310"/>
      <c r="DE162" s="310"/>
      <c r="DF162" s="312"/>
      <c r="DG162" s="310"/>
      <c r="DH162" s="310"/>
      <c r="DI162" s="313"/>
      <c r="DJ162" s="312"/>
      <c r="DK162" s="310"/>
      <c r="DL162" s="310"/>
      <c r="DM162" s="313"/>
      <c r="DN162" s="312"/>
      <c r="DO162" s="310"/>
      <c r="DP162" s="310"/>
      <c r="DQ162" s="3071"/>
      <c r="DR162" s="310"/>
      <c r="DS162" s="310"/>
      <c r="DT162" s="310"/>
      <c r="DU162" s="310"/>
      <c r="DV162" s="3339"/>
      <c r="DW162" s="1038"/>
      <c r="DX162" s="1038"/>
      <c r="DY162" s="142"/>
      <c r="DZ162" s="1041"/>
    </row>
    <row r="163" spans="1:130">
      <c r="A163" s="314" t="s">
        <v>1328</v>
      </c>
      <c r="B163" s="109"/>
      <c r="C163" s="109"/>
      <c r="D163" s="109"/>
      <c r="E163" s="109"/>
      <c r="F163" s="109"/>
      <c r="G163" s="109"/>
      <c r="H163" s="109"/>
      <c r="I163" s="109"/>
      <c r="J163" s="109"/>
      <c r="K163" s="109">
        <v>180940</v>
      </c>
      <c r="L163" s="109">
        <v>185522</v>
      </c>
      <c r="M163" s="109">
        <v>193610</v>
      </c>
      <c r="N163" s="109">
        <f t="shared" ref="N163:V163" si="438">N171</f>
        <v>204109</v>
      </c>
      <c r="O163" s="109">
        <f t="shared" si="438"/>
        <v>213994</v>
      </c>
      <c r="P163" s="109">
        <f t="shared" si="438"/>
        <v>215605</v>
      </c>
      <c r="Q163" s="109">
        <f t="shared" si="438"/>
        <v>228518</v>
      </c>
      <c r="R163" s="109">
        <f t="shared" si="438"/>
        <v>211655</v>
      </c>
      <c r="S163" s="109">
        <f t="shared" si="438"/>
        <v>215626</v>
      </c>
      <c r="T163" s="1044">
        <f t="shared" si="438"/>
        <v>209575</v>
      </c>
      <c r="U163" s="1044">
        <f t="shared" si="438"/>
        <v>220865</v>
      </c>
      <c r="V163" s="109">
        <f t="shared" si="438"/>
        <v>230508</v>
      </c>
      <c r="W163" s="109">
        <f t="shared" ref="W163:AB163" si="439">W171</f>
        <v>220163</v>
      </c>
      <c r="X163" s="109">
        <f t="shared" si="439"/>
        <v>232215</v>
      </c>
      <c r="Y163" s="109">
        <f t="shared" si="439"/>
        <v>246498</v>
      </c>
      <c r="Z163" s="109">
        <f t="shared" ca="1" si="439"/>
        <v>252053.70807238732</v>
      </c>
      <c r="AA163" s="109">
        <f t="shared" ca="1" si="439"/>
        <v>255517.40874101289</v>
      </c>
      <c r="AB163" s="109">
        <f t="shared" ca="1" si="439"/>
        <v>259003.06905096883</v>
      </c>
      <c r="AC163" s="109">
        <f t="shared" ref="AC163:AG163" ca="1" si="440">AC171</f>
        <v>262520.41276469914</v>
      </c>
      <c r="AD163" s="109">
        <f t="shared" ca="1" si="440"/>
        <v>266077.82650193601</v>
      </c>
      <c r="AE163" s="109">
        <f t="shared" ca="1" si="440"/>
        <v>269684.45432028908</v>
      </c>
      <c r="AF163" s="109">
        <f t="shared" ca="1" si="440"/>
        <v>273351.06785320869</v>
      </c>
      <c r="AG163" s="109">
        <f t="shared" ca="1" si="440"/>
        <v>278391.55063329882</v>
      </c>
      <c r="AH163" s="536"/>
      <c r="AI163" s="109"/>
      <c r="AJ163" s="109"/>
      <c r="AK163" s="109"/>
      <c r="AL163" s="109"/>
      <c r="AM163" s="109"/>
      <c r="AN163" s="276"/>
      <c r="AO163" s="276"/>
      <c r="AP163" s="109"/>
      <c r="AQ163" s="109"/>
      <c r="AR163" s="109"/>
      <c r="AS163" s="109"/>
      <c r="AT163" s="109"/>
      <c r="AU163" s="109"/>
      <c r="AV163" s="109"/>
      <c r="AW163" s="109"/>
      <c r="AX163" s="109"/>
      <c r="AY163" s="109"/>
      <c r="AZ163" s="109"/>
      <c r="BA163" s="109"/>
      <c r="BB163" s="109"/>
      <c r="BC163" s="109"/>
      <c r="BD163" s="109"/>
      <c r="BE163" s="109"/>
      <c r="BF163" s="109"/>
      <c r="BG163" s="109"/>
      <c r="BH163" s="109"/>
      <c r="BI163" s="109"/>
      <c r="BJ163" s="109"/>
      <c r="BK163" s="109"/>
      <c r="BL163" s="109"/>
      <c r="BM163" s="109"/>
      <c r="BN163" s="109"/>
      <c r="BO163" s="109"/>
      <c r="BP163" s="109"/>
      <c r="BQ163" s="109">
        <v>180940</v>
      </c>
      <c r="BR163" s="171">
        <v>181719</v>
      </c>
      <c r="BS163" s="109">
        <v>181403</v>
      </c>
      <c r="BT163" s="109">
        <v>183356</v>
      </c>
      <c r="BU163" s="109">
        <v>185522</v>
      </c>
      <c r="BV163" s="171">
        <v>187482</v>
      </c>
      <c r="BW163" s="109">
        <v>190232</v>
      </c>
      <c r="BX163" s="109">
        <v>192506</v>
      </c>
      <c r="BY163" s="109">
        <v>193610</v>
      </c>
      <c r="BZ163" s="171">
        <f t="shared" ref="BZ163:DN163" si="441">BZ21</f>
        <v>202850</v>
      </c>
      <c r="CA163" s="109">
        <f t="shared" si="441"/>
        <v>200080</v>
      </c>
      <c r="CB163" s="109">
        <f t="shared" si="441"/>
        <v>201967</v>
      </c>
      <c r="CC163" s="109">
        <f t="shared" si="441"/>
        <v>204109</v>
      </c>
      <c r="CD163" s="171">
        <f t="shared" si="441"/>
        <v>206585</v>
      </c>
      <c r="CE163" s="109">
        <f t="shared" si="441"/>
        <v>209291</v>
      </c>
      <c r="CF163" s="109">
        <f t="shared" si="441"/>
        <v>211152</v>
      </c>
      <c r="CG163" s="109">
        <f t="shared" si="441"/>
        <v>213994</v>
      </c>
      <c r="CH163" s="171">
        <f t="shared" si="441"/>
        <v>211834</v>
      </c>
      <c r="CI163" s="109">
        <f t="shared" si="441"/>
        <v>212605</v>
      </c>
      <c r="CJ163" s="109">
        <f t="shared" si="441"/>
        <v>214376</v>
      </c>
      <c r="CK163" s="109">
        <f t="shared" si="441"/>
        <v>215605</v>
      </c>
      <c r="CL163" s="171">
        <f t="shared" si="441"/>
        <v>221500</v>
      </c>
      <c r="CM163" s="109">
        <f t="shared" si="441"/>
        <v>224150</v>
      </c>
      <c r="CN163" s="109">
        <f t="shared" si="441"/>
        <v>226470</v>
      </c>
      <c r="CO163" s="109">
        <f t="shared" si="441"/>
        <v>228518</v>
      </c>
      <c r="CP163" s="171">
        <f t="shared" si="441"/>
        <v>231771</v>
      </c>
      <c r="CQ163" s="109">
        <f t="shared" si="441"/>
        <v>234727</v>
      </c>
      <c r="CR163" s="109">
        <f t="shared" si="441"/>
        <v>217859</v>
      </c>
      <c r="CS163" s="109">
        <f t="shared" si="441"/>
        <v>211655</v>
      </c>
      <c r="CT163" s="171">
        <f t="shared" si="441"/>
        <v>211704</v>
      </c>
      <c r="CU163" s="109">
        <f t="shared" si="441"/>
        <v>212949</v>
      </c>
      <c r="CV163" s="109">
        <f t="shared" si="441"/>
        <v>214798</v>
      </c>
      <c r="CW163" s="172">
        <f t="shared" si="441"/>
        <v>215626</v>
      </c>
      <c r="CX163" s="109">
        <f t="shared" si="441"/>
        <v>218250</v>
      </c>
      <c r="CY163" s="109">
        <f t="shared" si="441"/>
        <v>217739</v>
      </c>
      <c r="CZ163" s="109">
        <f t="shared" si="441"/>
        <v>216995</v>
      </c>
      <c r="DA163" s="109">
        <f t="shared" si="441"/>
        <v>209575</v>
      </c>
      <c r="DB163" s="171">
        <f t="shared" si="441"/>
        <v>212082</v>
      </c>
      <c r="DC163" s="109">
        <f t="shared" si="441"/>
        <v>215224</v>
      </c>
      <c r="DD163" s="109">
        <f t="shared" si="441"/>
        <v>218336</v>
      </c>
      <c r="DE163" s="109">
        <f t="shared" si="441"/>
        <v>220865</v>
      </c>
      <c r="DF163" s="171">
        <f t="shared" si="441"/>
        <v>223841</v>
      </c>
      <c r="DG163" s="1044">
        <f t="shared" si="441"/>
        <v>227475</v>
      </c>
      <c r="DH163" s="1044">
        <f t="shared" si="441"/>
        <v>230452</v>
      </c>
      <c r="DI163" s="172">
        <f t="shared" si="441"/>
        <v>230508</v>
      </c>
      <c r="DJ163" s="171">
        <f t="shared" si="441"/>
        <v>210389</v>
      </c>
      <c r="DK163" s="1044">
        <f t="shared" si="441"/>
        <v>213661</v>
      </c>
      <c r="DL163" s="1044">
        <f t="shared" si="441"/>
        <v>216674</v>
      </c>
      <c r="DM163" s="172">
        <f t="shared" si="441"/>
        <v>220163</v>
      </c>
      <c r="DN163" s="171">
        <f t="shared" si="441"/>
        <v>222669</v>
      </c>
      <c r="DO163" s="1044">
        <f t="shared" ref="DO163:DP163" si="442">DO21</f>
        <v>225756</v>
      </c>
      <c r="DP163" s="1044">
        <f t="shared" si="442"/>
        <v>228909</v>
      </c>
      <c r="DQ163" s="172">
        <f t="shared" ref="DQ163:DR163" si="443">DQ21</f>
        <v>232215</v>
      </c>
      <c r="DR163" s="1044">
        <f t="shared" si="443"/>
        <v>235550</v>
      </c>
      <c r="DS163" s="1044">
        <f t="shared" ref="DS163:DT163" si="444">DS21</f>
        <v>239226</v>
      </c>
      <c r="DT163" s="1044">
        <f t="shared" si="444"/>
        <v>242608</v>
      </c>
      <c r="DU163" s="1044">
        <f t="shared" ref="DU163:DV163" si="445">DU21</f>
        <v>246498</v>
      </c>
      <c r="DV163" s="1044">
        <f t="shared" si="445"/>
        <v>246877</v>
      </c>
      <c r="DW163" s="1044">
        <f t="shared" ref="DW163:DY163" ca="1" si="446">DW171</f>
        <v>248510.25683458906</v>
      </c>
      <c r="DX163" s="1044">
        <f t="shared" ca="1" si="446"/>
        <v>250195.08025801176</v>
      </c>
      <c r="DY163" s="172">
        <f t="shared" ca="1" si="446"/>
        <v>252053.70807238738</v>
      </c>
      <c r="DZ163" s="1044"/>
    </row>
    <row r="164" spans="1:130">
      <c r="A164" s="314" t="s">
        <v>1329</v>
      </c>
      <c r="B164" s="109"/>
      <c r="C164" s="109"/>
      <c r="D164" s="109"/>
      <c r="E164" s="109"/>
      <c r="F164" s="109"/>
      <c r="G164" s="109"/>
      <c r="H164" s="109"/>
      <c r="I164" s="109"/>
      <c r="J164" s="212"/>
      <c r="K164" s="212">
        <v>105638</v>
      </c>
      <c r="L164" s="212">
        <v>111398</v>
      </c>
      <c r="M164" s="212">
        <v>118305</v>
      </c>
      <c r="N164" s="212">
        <f t="shared" ref="N164:V164" si="447">N181</f>
        <v>121753</v>
      </c>
      <c r="O164" s="212">
        <f t="shared" si="447"/>
        <v>128700</v>
      </c>
      <c r="P164" s="212">
        <f t="shared" si="447"/>
        <v>129059</v>
      </c>
      <c r="Q164" s="212">
        <f t="shared" si="447"/>
        <v>137052</v>
      </c>
      <c r="R164" s="212">
        <f t="shared" si="447"/>
        <v>123944</v>
      </c>
      <c r="S164" s="212">
        <f t="shared" si="447"/>
        <v>127192</v>
      </c>
      <c r="T164" s="212">
        <f t="shared" si="447"/>
        <v>120933</v>
      </c>
      <c r="U164" s="212">
        <f t="shared" si="447"/>
        <v>131909</v>
      </c>
      <c r="V164" s="212">
        <f t="shared" si="447"/>
        <v>140561</v>
      </c>
      <c r="W164" s="212">
        <f t="shared" ref="W164:AB164" si="448">W181</f>
        <v>136622</v>
      </c>
      <c r="X164" s="212">
        <f t="shared" si="448"/>
        <v>147464</v>
      </c>
      <c r="Y164" s="212">
        <f t="shared" si="448"/>
        <v>157930</v>
      </c>
      <c r="Z164" s="212">
        <f t="shared" ca="1" si="448"/>
        <v>164613.29902457807</v>
      </c>
      <c r="AA164" s="212">
        <f t="shared" ca="1" si="448"/>
        <v>168198.79233126272</v>
      </c>
      <c r="AB164" s="212">
        <f t="shared" ca="1" si="448"/>
        <v>171533.79977159642</v>
      </c>
      <c r="AC164" s="212">
        <f t="shared" ref="AC164:AG164" ca="1" si="449">AC181</f>
        <v>174620.88977955052</v>
      </c>
      <c r="AD164" s="212">
        <f t="shared" ca="1" si="449"/>
        <v>177462.50285235044</v>
      </c>
      <c r="AE164" s="212">
        <f t="shared" ca="1" si="449"/>
        <v>180060.98027325299</v>
      </c>
      <c r="AF164" s="212">
        <f t="shared" ca="1" si="449"/>
        <v>182418.57503005659</v>
      </c>
      <c r="AG164" s="212">
        <f t="shared" ca="1" si="449"/>
        <v>184577.99551850752</v>
      </c>
      <c r="AH164" s="536"/>
      <c r="AI164" s="109"/>
      <c r="AJ164" s="109"/>
      <c r="AK164" s="109"/>
      <c r="AL164" s="109"/>
      <c r="AM164" s="109"/>
      <c r="AN164" s="276"/>
      <c r="AO164" s="276"/>
      <c r="AP164" s="109"/>
      <c r="AQ164" s="109"/>
      <c r="AR164" s="109"/>
      <c r="AS164" s="109"/>
      <c r="AT164" s="109"/>
      <c r="AU164" s="109"/>
      <c r="AV164" s="109"/>
      <c r="AW164" s="109"/>
      <c r="AX164" s="109"/>
      <c r="AY164" s="109"/>
      <c r="AZ164" s="109"/>
      <c r="BA164" s="109"/>
      <c r="BB164" s="109"/>
      <c r="BC164" s="109"/>
      <c r="BD164" s="109"/>
      <c r="BE164" s="109"/>
      <c r="BF164" s="109"/>
      <c r="BG164" s="109"/>
      <c r="BH164" s="109"/>
      <c r="BI164" s="109"/>
      <c r="BJ164" s="109"/>
      <c r="BK164" s="109"/>
      <c r="BL164" s="109"/>
      <c r="BM164" s="109"/>
      <c r="BN164" s="109"/>
      <c r="BO164" s="109"/>
      <c r="BP164" s="109"/>
      <c r="BQ164" s="212">
        <v>105638</v>
      </c>
      <c r="BR164" s="211">
        <v>107115</v>
      </c>
      <c r="BS164" s="212">
        <v>107873</v>
      </c>
      <c r="BT164" s="212">
        <v>109870</v>
      </c>
      <c r="BU164" s="212">
        <v>111398</v>
      </c>
      <c r="BV164" s="211">
        <v>113111</v>
      </c>
      <c r="BW164" s="212">
        <v>115099</v>
      </c>
      <c r="BX164" s="212">
        <v>117314</v>
      </c>
      <c r="BY164" s="212">
        <v>118305</v>
      </c>
      <c r="BZ164" s="211">
        <f t="shared" ref="BZ164:DN164" si="450">-BZ22</f>
        <v>120580</v>
      </c>
      <c r="CA164" s="212">
        <f t="shared" si="450"/>
        <v>119083</v>
      </c>
      <c r="CB164" s="212">
        <f t="shared" si="450"/>
        <v>120565</v>
      </c>
      <c r="CC164" s="212">
        <f t="shared" si="450"/>
        <v>121753</v>
      </c>
      <c r="CD164" s="211">
        <f t="shared" si="450"/>
        <v>123607</v>
      </c>
      <c r="CE164" s="212">
        <f t="shared" si="450"/>
        <v>125562</v>
      </c>
      <c r="CF164" s="212">
        <f t="shared" si="450"/>
        <v>126823</v>
      </c>
      <c r="CG164" s="212">
        <f t="shared" si="450"/>
        <v>128700</v>
      </c>
      <c r="CH164" s="211">
        <f t="shared" si="450"/>
        <v>127350</v>
      </c>
      <c r="CI164" s="212">
        <f t="shared" si="450"/>
        <v>127450</v>
      </c>
      <c r="CJ164" s="212">
        <f t="shared" si="450"/>
        <v>128687</v>
      </c>
      <c r="CK164" s="212">
        <f t="shared" si="450"/>
        <v>129059</v>
      </c>
      <c r="CL164" s="211">
        <f t="shared" si="450"/>
        <v>131645</v>
      </c>
      <c r="CM164" s="212">
        <f t="shared" si="450"/>
        <v>133848</v>
      </c>
      <c r="CN164" s="212">
        <f t="shared" si="450"/>
        <v>135636</v>
      </c>
      <c r="CO164" s="212">
        <f t="shared" si="450"/>
        <v>137052</v>
      </c>
      <c r="CP164" s="211">
        <f t="shared" si="450"/>
        <v>139937</v>
      </c>
      <c r="CQ164" s="212">
        <f t="shared" si="450"/>
        <v>142626</v>
      </c>
      <c r="CR164" s="212">
        <f t="shared" si="450"/>
        <v>130429</v>
      </c>
      <c r="CS164" s="212">
        <f t="shared" si="450"/>
        <v>123944</v>
      </c>
      <c r="CT164" s="211">
        <f t="shared" si="450"/>
        <v>123459</v>
      </c>
      <c r="CU164" s="212">
        <f t="shared" si="450"/>
        <v>123552</v>
      </c>
      <c r="CV164" s="212">
        <f t="shared" si="450"/>
        <v>125955</v>
      </c>
      <c r="CW164" s="213">
        <f t="shared" si="450"/>
        <v>127192</v>
      </c>
      <c r="CX164" s="212">
        <f t="shared" si="450"/>
        <v>130064</v>
      </c>
      <c r="CY164" s="212">
        <f t="shared" si="450"/>
        <v>129844</v>
      </c>
      <c r="CZ164" s="212">
        <f t="shared" si="450"/>
        <v>129185</v>
      </c>
      <c r="DA164" s="212">
        <f t="shared" si="450"/>
        <v>120933</v>
      </c>
      <c r="DB164" s="211">
        <f t="shared" si="450"/>
        <v>123901</v>
      </c>
      <c r="DC164" s="212">
        <f t="shared" si="450"/>
        <v>126892</v>
      </c>
      <c r="DD164" s="212">
        <f t="shared" si="450"/>
        <v>129809</v>
      </c>
      <c r="DE164" s="212">
        <f t="shared" si="450"/>
        <v>131909</v>
      </c>
      <c r="DF164" s="211">
        <f t="shared" si="450"/>
        <v>134785</v>
      </c>
      <c r="DG164" s="212">
        <f t="shared" si="450"/>
        <v>137763</v>
      </c>
      <c r="DH164" s="212">
        <f t="shared" si="450"/>
        <v>140520</v>
      </c>
      <c r="DI164" s="213">
        <f t="shared" si="450"/>
        <v>140561</v>
      </c>
      <c r="DJ164" s="211">
        <f t="shared" si="450"/>
        <v>128747</v>
      </c>
      <c r="DK164" s="212">
        <f t="shared" si="450"/>
        <v>131129</v>
      </c>
      <c r="DL164" s="212">
        <f t="shared" si="450"/>
        <v>134112</v>
      </c>
      <c r="DM164" s="213">
        <f t="shared" si="450"/>
        <v>136622</v>
      </c>
      <c r="DN164" s="211">
        <f t="shared" si="450"/>
        <v>139658</v>
      </c>
      <c r="DO164" s="212">
        <f t="shared" ref="DO164:DP164" si="451">-DO22</f>
        <v>142584</v>
      </c>
      <c r="DP164" s="212">
        <f t="shared" si="451"/>
        <v>145495</v>
      </c>
      <c r="DQ164" s="213">
        <f t="shared" ref="DQ164:DR164" si="452">-DQ22</f>
        <v>147464</v>
      </c>
      <c r="DR164" s="212">
        <f t="shared" si="452"/>
        <v>150337</v>
      </c>
      <c r="DS164" s="212">
        <f t="shared" ref="DS164:DT164" si="453">-DS22</f>
        <v>152705</v>
      </c>
      <c r="DT164" s="212">
        <f t="shared" si="453"/>
        <v>155986</v>
      </c>
      <c r="DU164" s="212">
        <f t="shared" ref="DU164:DV164" si="454">-DU22</f>
        <v>157930</v>
      </c>
      <c r="DV164" s="212">
        <f t="shared" si="454"/>
        <v>158955</v>
      </c>
      <c r="DW164" s="212">
        <f t="shared" ref="DW164:DY164" ca="1" si="455">DW181</f>
        <v>160827.86566972945</v>
      </c>
      <c r="DX164" s="212">
        <f t="shared" ca="1" si="455"/>
        <v>162713.47884009834</v>
      </c>
      <c r="DY164" s="213">
        <f t="shared" ca="1" si="455"/>
        <v>164613.29902457807</v>
      </c>
      <c r="DZ164" s="1044"/>
    </row>
    <row r="165" spans="1:130">
      <c r="A165" s="315" t="s">
        <v>1330</v>
      </c>
      <c r="B165" s="109"/>
      <c r="C165" s="109"/>
      <c r="D165" s="109"/>
      <c r="E165" s="109"/>
      <c r="F165" s="109"/>
      <c r="G165" s="109"/>
      <c r="H165" s="109"/>
      <c r="I165" s="109"/>
      <c r="J165" s="109"/>
      <c r="K165" s="109">
        <v>286578</v>
      </c>
      <c r="L165" s="109">
        <v>296920</v>
      </c>
      <c r="M165" s="109">
        <v>311915</v>
      </c>
      <c r="N165" s="109">
        <f t="shared" ref="N165:V165" si="456">N163+N164</f>
        <v>325862</v>
      </c>
      <c r="O165" s="109">
        <f t="shared" si="456"/>
        <v>342694</v>
      </c>
      <c r="P165" s="109">
        <f t="shared" si="456"/>
        <v>344664</v>
      </c>
      <c r="Q165" s="109">
        <f t="shared" si="456"/>
        <v>365570</v>
      </c>
      <c r="R165" s="109">
        <f t="shared" si="456"/>
        <v>335599</v>
      </c>
      <c r="S165" s="109">
        <f t="shared" si="456"/>
        <v>342818</v>
      </c>
      <c r="T165" s="1044">
        <f t="shared" si="456"/>
        <v>330508</v>
      </c>
      <c r="U165" s="1044">
        <f t="shared" si="456"/>
        <v>352774</v>
      </c>
      <c r="V165" s="109">
        <f t="shared" si="456"/>
        <v>371069</v>
      </c>
      <c r="W165" s="109">
        <f t="shared" ref="W165:AB165" si="457">W163+W164</f>
        <v>356785</v>
      </c>
      <c r="X165" s="109">
        <f t="shared" si="457"/>
        <v>379679</v>
      </c>
      <c r="Y165" s="109">
        <f t="shared" si="457"/>
        <v>404428</v>
      </c>
      <c r="Z165" s="109">
        <f t="shared" ca="1" si="457"/>
        <v>416667.00709696539</v>
      </c>
      <c r="AA165" s="109">
        <f t="shared" ca="1" si="457"/>
        <v>423716.20107227564</v>
      </c>
      <c r="AB165" s="109">
        <f t="shared" ca="1" si="457"/>
        <v>430536.86882256524</v>
      </c>
      <c r="AC165" s="109">
        <f t="shared" ref="AC165:AG165" ca="1" si="458">AC163+AC164</f>
        <v>437141.30254424969</v>
      </c>
      <c r="AD165" s="109">
        <f t="shared" ca="1" si="458"/>
        <v>443540.32935428643</v>
      </c>
      <c r="AE165" s="109">
        <f t="shared" ca="1" si="458"/>
        <v>449745.43459354207</v>
      </c>
      <c r="AF165" s="109">
        <f t="shared" ca="1" si="458"/>
        <v>455769.64288326527</v>
      </c>
      <c r="AG165" s="109">
        <f t="shared" ca="1" si="458"/>
        <v>462969.54615180637</v>
      </c>
      <c r="AH165" s="536"/>
      <c r="AI165" s="109"/>
      <c r="AJ165" s="109"/>
      <c r="AK165" s="109"/>
      <c r="AL165" s="109"/>
      <c r="AM165" s="109"/>
      <c r="AN165" s="276"/>
      <c r="AO165" s="276"/>
      <c r="AP165" s="109"/>
      <c r="AQ165" s="109"/>
      <c r="AR165" s="109"/>
      <c r="AS165" s="109"/>
      <c r="AT165" s="109"/>
      <c r="AU165" s="109"/>
      <c r="AV165" s="109"/>
      <c r="AW165" s="109"/>
      <c r="AX165" s="109"/>
      <c r="AY165" s="109"/>
      <c r="AZ165" s="109"/>
      <c r="BA165" s="109"/>
      <c r="BB165" s="109"/>
      <c r="BC165" s="109"/>
      <c r="BD165" s="109"/>
      <c r="BE165" s="109"/>
      <c r="BF165" s="109"/>
      <c r="BG165" s="109"/>
      <c r="BH165" s="109"/>
      <c r="BI165" s="109"/>
      <c r="BJ165" s="109"/>
      <c r="BK165" s="109"/>
      <c r="BL165" s="109"/>
      <c r="BM165" s="109"/>
      <c r="BN165" s="109"/>
      <c r="BO165" s="109"/>
      <c r="BP165" s="109"/>
      <c r="BQ165" s="109">
        <v>286578</v>
      </c>
      <c r="BR165" s="171">
        <v>288834</v>
      </c>
      <c r="BS165" s="109">
        <v>289276</v>
      </c>
      <c r="BT165" s="109">
        <v>293226</v>
      </c>
      <c r="BU165" s="109">
        <v>296920</v>
      </c>
      <c r="BV165" s="171">
        <v>300593</v>
      </c>
      <c r="BW165" s="109">
        <v>305331</v>
      </c>
      <c r="BX165" s="109">
        <v>309820</v>
      </c>
      <c r="BY165" s="109">
        <v>311915</v>
      </c>
      <c r="BZ165" s="171">
        <f t="shared" ref="BZ165:DF165" si="459">BZ163+BZ164</f>
        <v>323430</v>
      </c>
      <c r="CA165" s="109">
        <f t="shared" si="459"/>
        <v>319163</v>
      </c>
      <c r="CB165" s="109">
        <f t="shared" si="459"/>
        <v>322532</v>
      </c>
      <c r="CC165" s="109">
        <f t="shared" si="459"/>
        <v>325862</v>
      </c>
      <c r="CD165" s="171">
        <f t="shared" si="459"/>
        <v>330192</v>
      </c>
      <c r="CE165" s="109">
        <f t="shared" si="459"/>
        <v>334853</v>
      </c>
      <c r="CF165" s="109">
        <f t="shared" si="459"/>
        <v>337975</v>
      </c>
      <c r="CG165" s="109">
        <f t="shared" si="459"/>
        <v>342694</v>
      </c>
      <c r="CH165" s="171">
        <f t="shared" si="459"/>
        <v>339184</v>
      </c>
      <c r="CI165" s="109">
        <f t="shared" si="459"/>
        <v>340055</v>
      </c>
      <c r="CJ165" s="109">
        <f t="shared" si="459"/>
        <v>343063</v>
      </c>
      <c r="CK165" s="109">
        <f t="shared" si="459"/>
        <v>344664</v>
      </c>
      <c r="CL165" s="171">
        <f t="shared" si="459"/>
        <v>353145</v>
      </c>
      <c r="CM165" s="109">
        <f t="shared" si="459"/>
        <v>357998</v>
      </c>
      <c r="CN165" s="109">
        <f t="shared" si="459"/>
        <v>362106</v>
      </c>
      <c r="CO165" s="109">
        <f t="shared" si="459"/>
        <v>365570</v>
      </c>
      <c r="CP165" s="171">
        <f t="shared" si="459"/>
        <v>371708</v>
      </c>
      <c r="CQ165" s="109">
        <f t="shared" si="459"/>
        <v>377353</v>
      </c>
      <c r="CR165" s="109">
        <f t="shared" si="459"/>
        <v>348288</v>
      </c>
      <c r="CS165" s="109">
        <f t="shared" si="459"/>
        <v>335599</v>
      </c>
      <c r="CT165" s="171">
        <f t="shared" si="459"/>
        <v>335163</v>
      </c>
      <c r="CU165" s="109">
        <f t="shared" si="459"/>
        <v>336501</v>
      </c>
      <c r="CV165" s="109">
        <f t="shared" si="459"/>
        <v>340753</v>
      </c>
      <c r="CW165" s="172">
        <f t="shared" si="459"/>
        <v>342818</v>
      </c>
      <c r="CX165" s="109">
        <f t="shared" si="459"/>
        <v>348314</v>
      </c>
      <c r="CY165" s="109">
        <f t="shared" si="459"/>
        <v>347583</v>
      </c>
      <c r="CZ165" s="109">
        <f t="shared" si="459"/>
        <v>346180</v>
      </c>
      <c r="DA165" s="109">
        <f t="shared" si="459"/>
        <v>330508</v>
      </c>
      <c r="DB165" s="171">
        <f t="shared" si="459"/>
        <v>335983</v>
      </c>
      <c r="DC165" s="109">
        <f t="shared" si="459"/>
        <v>342116</v>
      </c>
      <c r="DD165" s="109">
        <f t="shared" si="459"/>
        <v>348145</v>
      </c>
      <c r="DE165" s="109">
        <f t="shared" si="459"/>
        <v>352774</v>
      </c>
      <c r="DF165" s="171">
        <f t="shared" si="459"/>
        <v>358626</v>
      </c>
      <c r="DG165" s="1044">
        <f>DG163+DG164</f>
        <v>365238</v>
      </c>
      <c r="DH165" s="1044">
        <f>DH163+DH164</f>
        <v>370972</v>
      </c>
      <c r="DI165" s="172">
        <f>DI163+DI164</f>
        <v>371069</v>
      </c>
      <c r="DJ165" s="171">
        <f t="shared" ref="DJ165:DM165" si="460">DJ163+DJ164</f>
        <v>339136</v>
      </c>
      <c r="DK165" s="1044">
        <f t="shared" si="460"/>
        <v>344790</v>
      </c>
      <c r="DL165" s="1044">
        <f t="shared" si="460"/>
        <v>350786</v>
      </c>
      <c r="DM165" s="172">
        <f t="shared" si="460"/>
        <v>356785</v>
      </c>
      <c r="DN165" s="171">
        <f t="shared" ref="DN165:DO165" si="461">DN163+DN164</f>
        <v>362327</v>
      </c>
      <c r="DO165" s="1044">
        <f t="shared" si="461"/>
        <v>368340</v>
      </c>
      <c r="DP165" s="1044">
        <f t="shared" ref="DP165:DQ165" si="462">DP163+DP164</f>
        <v>374404</v>
      </c>
      <c r="DQ165" s="172">
        <f t="shared" si="462"/>
        <v>379679</v>
      </c>
      <c r="DR165" s="1044">
        <f t="shared" ref="DR165:DS165" si="463">DR163+DR164</f>
        <v>385887</v>
      </c>
      <c r="DS165" s="1044">
        <f t="shared" si="463"/>
        <v>391931</v>
      </c>
      <c r="DT165" s="1044">
        <f t="shared" ref="DT165:DU165" si="464">DT163+DT164</f>
        <v>398594</v>
      </c>
      <c r="DU165" s="1044">
        <f t="shared" si="464"/>
        <v>404428</v>
      </c>
      <c r="DV165" s="1044">
        <f t="shared" ref="DV165" si="465">DV163+DV164</f>
        <v>405832</v>
      </c>
      <c r="DW165" s="1044">
        <f t="shared" ref="DW165:DY165" ca="1" si="466">DW163+DW164</f>
        <v>409338.12250431848</v>
      </c>
      <c r="DX165" s="1044">
        <f t="shared" ca="1" si="466"/>
        <v>412908.55909811007</v>
      </c>
      <c r="DY165" s="172">
        <f t="shared" ca="1" si="466"/>
        <v>416667.00709696545</v>
      </c>
      <c r="DZ165" s="1044"/>
    </row>
    <row r="166" spans="1:130">
      <c r="A166" s="314"/>
      <c r="B166" s="109"/>
      <c r="C166" s="109"/>
      <c r="D166" s="109"/>
      <c r="E166" s="109"/>
      <c r="F166" s="109"/>
      <c r="G166" s="109"/>
      <c r="H166" s="109"/>
      <c r="I166" s="109"/>
      <c r="J166" s="109"/>
      <c r="K166" s="109"/>
      <c r="L166" s="109"/>
      <c r="M166" s="109"/>
      <c r="N166" s="109"/>
      <c r="O166" s="109"/>
      <c r="P166" s="109"/>
      <c r="Q166" s="109"/>
      <c r="R166" s="109"/>
      <c r="S166" s="109"/>
      <c r="T166" s="1044"/>
      <c r="U166" s="1044"/>
      <c r="V166" s="109"/>
      <c r="W166" s="109"/>
      <c r="X166" s="109"/>
      <c r="Y166" s="109"/>
      <c r="Z166" s="109"/>
      <c r="AA166" s="109"/>
      <c r="AB166" s="109"/>
      <c r="AC166" s="109"/>
      <c r="AD166" s="109"/>
      <c r="AE166" s="109"/>
      <c r="AF166" s="109"/>
      <c r="AG166" s="109"/>
      <c r="AH166" s="536"/>
      <c r="AI166" s="109"/>
      <c r="AJ166" s="109"/>
      <c r="AK166" s="109"/>
      <c r="AL166" s="109"/>
      <c r="AM166" s="109"/>
      <c r="AN166" s="276"/>
      <c r="AO166" s="276"/>
      <c r="AP166" s="109"/>
      <c r="AQ166" s="109"/>
      <c r="AR166" s="109"/>
      <c r="AS166" s="109"/>
      <c r="AT166" s="109"/>
      <c r="AU166" s="109"/>
      <c r="AV166" s="109"/>
      <c r="AW166" s="109"/>
      <c r="AX166" s="109"/>
      <c r="AY166" s="109"/>
      <c r="AZ166" s="109"/>
      <c r="BA166" s="109"/>
      <c r="BB166" s="109"/>
      <c r="BC166" s="109"/>
      <c r="BD166" s="109"/>
      <c r="BE166" s="109"/>
      <c r="BF166" s="109"/>
      <c r="BG166" s="109"/>
      <c r="BH166" s="109"/>
      <c r="BI166" s="109"/>
      <c r="BJ166" s="109"/>
      <c r="BK166" s="109"/>
      <c r="BL166" s="109"/>
      <c r="BM166" s="109"/>
      <c r="BN166" s="109"/>
      <c r="BO166" s="109"/>
      <c r="BP166" s="109"/>
      <c r="BQ166" s="109"/>
      <c r="BR166" s="171"/>
      <c r="BS166" s="109"/>
      <c r="BT166" s="109"/>
      <c r="BU166" s="109"/>
      <c r="BV166" s="171"/>
      <c r="BW166" s="109"/>
      <c r="BX166" s="109"/>
      <c r="BY166" s="109"/>
      <c r="BZ166" s="171"/>
      <c r="CA166" s="109"/>
      <c r="CB166" s="109"/>
      <c r="CC166" s="109"/>
      <c r="CD166" s="171"/>
      <c r="CE166" s="109"/>
      <c r="CF166" s="109"/>
      <c r="CG166" s="109"/>
      <c r="CH166" s="171"/>
      <c r="CI166" s="109"/>
      <c r="CJ166" s="109"/>
      <c r="CK166" s="109"/>
      <c r="CL166" s="171"/>
      <c r="CM166" s="109"/>
      <c r="CN166" s="109"/>
      <c r="CO166" s="109"/>
      <c r="CP166" s="171"/>
      <c r="CQ166" s="109"/>
      <c r="CR166" s="109"/>
      <c r="CS166" s="109"/>
      <c r="CT166" s="171"/>
      <c r="CU166" s="109"/>
      <c r="CV166" s="109"/>
      <c r="CW166" s="172"/>
      <c r="CX166" s="109"/>
      <c r="CY166" s="109"/>
      <c r="CZ166" s="109"/>
      <c r="DA166" s="109"/>
      <c r="DB166" s="171"/>
      <c r="DC166" s="109"/>
      <c r="DD166" s="109"/>
      <c r="DE166" s="109"/>
      <c r="DF166" s="171"/>
      <c r="DG166" s="1044"/>
      <c r="DH166" s="1044"/>
      <c r="DI166" s="172"/>
      <c r="DJ166" s="171"/>
      <c r="DK166" s="1044"/>
      <c r="DL166" s="1044"/>
      <c r="DM166" s="172"/>
      <c r="DN166" s="171"/>
      <c r="DO166" s="1044"/>
      <c r="DP166" s="1044"/>
      <c r="DQ166" s="172"/>
      <c r="DR166" s="1044"/>
      <c r="DS166" s="1044"/>
      <c r="DT166" s="1044"/>
      <c r="DU166" s="1044"/>
      <c r="DV166" s="1044"/>
      <c r="DW166" s="1044"/>
      <c r="DX166" s="1044"/>
      <c r="DY166" s="172"/>
      <c r="DZ166" s="1044"/>
    </row>
    <row r="167" spans="1:130">
      <c r="A167" s="316" t="s">
        <v>1331</v>
      </c>
      <c r="B167" s="109"/>
      <c r="C167" s="109"/>
      <c r="D167" s="109"/>
      <c r="E167" s="109"/>
      <c r="F167" s="109"/>
      <c r="G167" s="109"/>
      <c r="H167" s="109"/>
      <c r="I167" s="109"/>
      <c r="J167" s="109"/>
      <c r="K167" s="109"/>
      <c r="L167" s="109">
        <v>180940</v>
      </c>
      <c r="M167" s="109">
        <v>185522</v>
      </c>
      <c r="N167" s="109">
        <f t="shared" ref="N167:AB167" si="467">M171</f>
        <v>193610</v>
      </c>
      <c r="O167" s="109">
        <f t="shared" si="467"/>
        <v>204109</v>
      </c>
      <c r="P167" s="109">
        <f t="shared" si="467"/>
        <v>213994</v>
      </c>
      <c r="Q167" s="109">
        <f t="shared" si="467"/>
        <v>215605</v>
      </c>
      <c r="R167" s="109">
        <f t="shared" si="467"/>
        <v>228518</v>
      </c>
      <c r="S167" s="109">
        <f t="shared" si="467"/>
        <v>211655</v>
      </c>
      <c r="T167" s="1044">
        <f t="shared" si="467"/>
        <v>215626</v>
      </c>
      <c r="U167" s="1044">
        <f t="shared" si="467"/>
        <v>209575</v>
      </c>
      <c r="V167" s="109">
        <f t="shared" si="467"/>
        <v>220865</v>
      </c>
      <c r="W167" s="109">
        <f>V171</f>
        <v>230508</v>
      </c>
      <c r="X167" s="109">
        <f>W171</f>
        <v>220163</v>
      </c>
      <c r="Y167" s="109">
        <f>X171</f>
        <v>232215</v>
      </c>
      <c r="Z167" s="109">
        <f>Y171</f>
        <v>246498</v>
      </c>
      <c r="AA167" s="109">
        <f t="shared" ca="1" si="467"/>
        <v>252053.70807238732</v>
      </c>
      <c r="AB167" s="109">
        <f t="shared" ca="1" si="467"/>
        <v>255517.40874101289</v>
      </c>
      <c r="AC167" s="109">
        <f t="shared" ref="AC167" ca="1" si="468">AB171</f>
        <v>259003.06905096883</v>
      </c>
      <c r="AD167" s="109">
        <f t="shared" ref="AD167" ca="1" si="469">AC171</f>
        <v>262520.41276469914</v>
      </c>
      <c r="AE167" s="109">
        <f t="shared" ref="AE167" ca="1" si="470">AD171</f>
        <v>266077.82650193601</v>
      </c>
      <c r="AF167" s="109">
        <f t="shared" ref="AF167" ca="1" si="471">AE171</f>
        <v>269684.45432028908</v>
      </c>
      <c r="AG167" s="109">
        <f t="shared" ref="AG167" ca="1" si="472">AF171</f>
        <v>273351.06785320869</v>
      </c>
      <c r="AH167" s="536"/>
      <c r="AI167" s="109"/>
      <c r="AJ167" s="109"/>
      <c r="AK167" s="109"/>
      <c r="AL167" s="109"/>
      <c r="AM167" s="109"/>
      <c r="AN167" s="276"/>
      <c r="AO167" s="276"/>
      <c r="AP167" s="109"/>
      <c r="AQ167" s="109"/>
      <c r="AR167" s="109"/>
      <c r="AS167" s="109"/>
      <c r="AT167" s="109"/>
      <c r="AU167" s="109"/>
      <c r="AV167" s="109"/>
      <c r="AW167" s="109"/>
      <c r="AX167" s="109"/>
      <c r="AY167" s="109"/>
      <c r="AZ167" s="109"/>
      <c r="BA167" s="109"/>
      <c r="BB167" s="109"/>
      <c r="BC167" s="109"/>
      <c r="BD167" s="109"/>
      <c r="BE167" s="109"/>
      <c r="BF167" s="109"/>
      <c r="BG167" s="109"/>
      <c r="BH167" s="109"/>
      <c r="BI167" s="109"/>
      <c r="BJ167" s="109"/>
      <c r="BK167" s="109"/>
      <c r="BL167" s="109"/>
      <c r="BM167" s="109"/>
      <c r="BN167" s="109"/>
      <c r="BO167" s="109"/>
      <c r="BP167" s="109"/>
      <c r="BQ167" s="109"/>
      <c r="BR167" s="171">
        <v>180940</v>
      </c>
      <c r="BS167" s="109">
        <v>181719</v>
      </c>
      <c r="BT167" s="109">
        <v>181403</v>
      </c>
      <c r="BU167" s="109">
        <v>183356</v>
      </c>
      <c r="BV167" s="171">
        <v>185522</v>
      </c>
      <c r="BW167" s="109">
        <v>187482</v>
      </c>
      <c r="BX167" s="109">
        <v>190232</v>
      </c>
      <c r="BY167" s="109">
        <v>192506</v>
      </c>
      <c r="BZ167" s="171">
        <f t="shared" ref="BZ167:DV167" si="473">BY171</f>
        <v>193610</v>
      </c>
      <c r="CA167" s="109">
        <f t="shared" si="473"/>
        <v>202850</v>
      </c>
      <c r="CB167" s="109">
        <f t="shared" si="473"/>
        <v>200080</v>
      </c>
      <c r="CC167" s="109">
        <f t="shared" si="473"/>
        <v>201967</v>
      </c>
      <c r="CD167" s="171">
        <f t="shared" si="473"/>
        <v>204109</v>
      </c>
      <c r="CE167" s="109">
        <f t="shared" si="473"/>
        <v>206585</v>
      </c>
      <c r="CF167" s="109">
        <f t="shared" si="473"/>
        <v>209291</v>
      </c>
      <c r="CG167" s="109">
        <f t="shared" si="473"/>
        <v>211152</v>
      </c>
      <c r="CH167" s="171">
        <f t="shared" si="473"/>
        <v>213994</v>
      </c>
      <c r="CI167" s="109">
        <f t="shared" si="473"/>
        <v>211834</v>
      </c>
      <c r="CJ167" s="109">
        <f t="shared" si="473"/>
        <v>212605</v>
      </c>
      <c r="CK167" s="109">
        <f t="shared" si="473"/>
        <v>214376</v>
      </c>
      <c r="CL167" s="171">
        <f t="shared" si="473"/>
        <v>215605</v>
      </c>
      <c r="CM167" s="109">
        <f t="shared" si="473"/>
        <v>221500</v>
      </c>
      <c r="CN167" s="109">
        <f t="shared" si="473"/>
        <v>224150</v>
      </c>
      <c r="CO167" s="109">
        <f t="shared" si="473"/>
        <v>226470</v>
      </c>
      <c r="CP167" s="171">
        <f t="shared" si="473"/>
        <v>228518</v>
      </c>
      <c r="CQ167" s="109">
        <f t="shared" si="473"/>
        <v>231771</v>
      </c>
      <c r="CR167" s="109">
        <f t="shared" si="473"/>
        <v>234727</v>
      </c>
      <c r="CS167" s="109">
        <f t="shared" si="473"/>
        <v>217859</v>
      </c>
      <c r="CT167" s="171">
        <f t="shared" si="473"/>
        <v>211655</v>
      </c>
      <c r="CU167" s="109">
        <f t="shared" si="473"/>
        <v>211704</v>
      </c>
      <c r="CV167" s="109">
        <f t="shared" si="473"/>
        <v>212949</v>
      </c>
      <c r="CW167" s="172">
        <f t="shared" si="473"/>
        <v>214798</v>
      </c>
      <c r="CX167" s="109">
        <f t="shared" si="473"/>
        <v>215626</v>
      </c>
      <c r="CY167" s="109">
        <f t="shared" si="473"/>
        <v>218250</v>
      </c>
      <c r="CZ167" s="109">
        <f t="shared" si="473"/>
        <v>217739</v>
      </c>
      <c r="DA167" s="109">
        <f t="shared" si="473"/>
        <v>216995</v>
      </c>
      <c r="DB167" s="171">
        <f t="shared" si="473"/>
        <v>209575</v>
      </c>
      <c r="DC167" s="109">
        <f t="shared" si="473"/>
        <v>212082</v>
      </c>
      <c r="DD167" s="109">
        <f t="shared" si="473"/>
        <v>215224</v>
      </c>
      <c r="DE167" s="109">
        <f t="shared" si="473"/>
        <v>218336</v>
      </c>
      <c r="DF167" s="171">
        <f t="shared" si="473"/>
        <v>220865</v>
      </c>
      <c r="DG167" s="1044">
        <f t="shared" si="473"/>
        <v>223841</v>
      </c>
      <c r="DH167" s="1044">
        <f t="shared" si="473"/>
        <v>227475</v>
      </c>
      <c r="DI167" s="172">
        <f t="shared" si="473"/>
        <v>230452</v>
      </c>
      <c r="DJ167" s="171">
        <f t="shared" si="473"/>
        <v>230508</v>
      </c>
      <c r="DK167" s="1044">
        <f t="shared" si="473"/>
        <v>210389</v>
      </c>
      <c r="DL167" s="1044">
        <f t="shared" si="473"/>
        <v>213661</v>
      </c>
      <c r="DM167" s="172">
        <f t="shared" si="473"/>
        <v>216674</v>
      </c>
      <c r="DN167" s="171">
        <f t="shared" si="473"/>
        <v>220163</v>
      </c>
      <c r="DO167" s="1044">
        <f t="shared" si="473"/>
        <v>222669</v>
      </c>
      <c r="DP167" s="1044">
        <f t="shared" si="473"/>
        <v>225756</v>
      </c>
      <c r="DQ167" s="172">
        <f t="shared" si="473"/>
        <v>228909</v>
      </c>
      <c r="DR167" s="1044">
        <f t="shared" si="473"/>
        <v>232215</v>
      </c>
      <c r="DS167" s="1044">
        <f t="shared" si="473"/>
        <v>235550</v>
      </c>
      <c r="DT167" s="1044">
        <f t="shared" si="473"/>
        <v>239226</v>
      </c>
      <c r="DU167" s="1044">
        <f t="shared" si="473"/>
        <v>242608</v>
      </c>
      <c r="DV167" s="1044">
        <f t="shared" si="473"/>
        <v>246498</v>
      </c>
      <c r="DW167" s="1044">
        <f t="shared" ref="DW167" si="474">DV171</f>
        <v>246877</v>
      </c>
      <c r="DX167" s="1044">
        <f t="shared" ref="DX167" ca="1" si="475">DW171</f>
        <v>248510.25683458906</v>
      </c>
      <c r="DY167" s="172">
        <f t="shared" ref="DY167" ca="1" si="476">DX171</f>
        <v>250195.08025801176</v>
      </c>
      <c r="DZ167" s="1044"/>
    </row>
    <row r="168" spans="1:130">
      <c r="A168" s="109" t="s">
        <v>1332</v>
      </c>
      <c r="B168" s="109"/>
      <c r="C168" s="109"/>
      <c r="D168" s="109"/>
      <c r="E168" s="109"/>
      <c r="F168" s="109"/>
      <c r="G168" s="109"/>
      <c r="H168" s="109"/>
      <c r="I168" s="109"/>
      <c r="J168" s="109"/>
      <c r="K168" s="109"/>
      <c r="L168" s="109">
        <v>13259</v>
      </c>
      <c r="M168" s="109">
        <v>15324</v>
      </c>
      <c r="N168" s="109">
        <f>SUM(BZ168:CC168)</f>
        <v>17101</v>
      </c>
      <c r="O168" s="109">
        <f>SUM(CD168:CG168)</f>
        <v>17538</v>
      </c>
      <c r="P168" s="109">
        <f>SUM(CH168:CK168)</f>
        <v>17238</v>
      </c>
      <c r="Q168" s="109">
        <f>SUM(CL168:CO168)</f>
        <v>16872</v>
      </c>
      <c r="R168" s="109">
        <f>SUM(CP168:CS168)</f>
        <v>16458</v>
      </c>
      <c r="S168" s="109">
        <f>SUM(CT168:CW168)</f>
        <v>16244</v>
      </c>
      <c r="T168" s="1044">
        <f>SUM(CX168:DA168)</f>
        <v>16175</v>
      </c>
      <c r="U168" s="1044">
        <f>SUM(DB168:DE168)</f>
        <v>16604</v>
      </c>
      <c r="V168" s="109">
        <f>SUM(DF168:DI168)</f>
        <v>17191</v>
      </c>
      <c r="W168" s="109">
        <f>SUM(DJ168:DM168)</f>
        <v>17775</v>
      </c>
      <c r="X168" s="109">
        <f>SUM(DN168:DQ168)</f>
        <v>17059</v>
      </c>
      <c r="Y168" s="109">
        <f>SUM(DR168:DU168)</f>
        <v>17247</v>
      </c>
      <c r="Z168" s="109">
        <f ca="1">SUM(DV168:DY168)</f>
        <v>17184.531443313364</v>
      </c>
      <c r="AA168" s="2183">
        <f ca="1">-CFS!AA38</f>
        <v>17326.654612606839</v>
      </c>
      <c r="AB168" s="2183">
        <f ca="1">-CFS!AB38</f>
        <v>17539.117790711662</v>
      </c>
      <c r="AC168" s="2183">
        <f ca="1">-CFS!AC38</f>
        <v>17762.512511533605</v>
      </c>
      <c r="AD168" s="2183">
        <f ca="1">-CFS!AD38</f>
        <v>17996.036439295356</v>
      </c>
      <c r="AE168" s="2183">
        <f ca="1">-CFS!AE38</f>
        <v>18240.908275959573</v>
      </c>
      <c r="AF168" s="2183">
        <f ca="1">-CFS!AF38</f>
        <v>18499.258520535466</v>
      </c>
      <c r="AG168" s="2183">
        <f ca="1">-CFS!AG38</f>
        <v>20074.79151201664</v>
      </c>
      <c r="AH168" s="536"/>
      <c r="AI168" s="109"/>
      <c r="AJ168" s="109"/>
      <c r="AK168" s="109"/>
      <c r="AL168" s="109"/>
      <c r="AM168" s="109"/>
      <c r="AN168" s="276"/>
      <c r="AO168" s="276"/>
      <c r="AP168" s="109"/>
      <c r="AQ168" s="109"/>
      <c r="AR168" s="109"/>
      <c r="AS168" s="109"/>
      <c r="AT168" s="109"/>
      <c r="AU168" s="109"/>
      <c r="AV168" s="109"/>
      <c r="AW168" s="109"/>
      <c r="AX168" s="109"/>
      <c r="AY168" s="109"/>
      <c r="AZ168" s="109"/>
      <c r="BA168" s="109"/>
      <c r="BB168" s="109"/>
      <c r="BC168" s="109"/>
      <c r="BD168" s="109"/>
      <c r="BE168" s="109"/>
      <c r="BF168" s="109"/>
      <c r="BG168" s="109"/>
      <c r="BH168" s="109"/>
      <c r="BI168" s="109"/>
      <c r="BJ168" s="109"/>
      <c r="BK168" s="109"/>
      <c r="BL168" s="109"/>
      <c r="BM168" s="109"/>
      <c r="BN168" s="109"/>
      <c r="BO168" s="109"/>
      <c r="BP168" s="109"/>
      <c r="BQ168" s="109">
        <v>3740</v>
      </c>
      <c r="BR168" s="171">
        <v>2641</v>
      </c>
      <c r="BS168" s="109">
        <v>3183</v>
      </c>
      <c r="BT168" s="109">
        <v>3253</v>
      </c>
      <c r="BU168" s="109">
        <v>4182</v>
      </c>
      <c r="BV168" s="171">
        <v>3594</v>
      </c>
      <c r="BW168" s="109">
        <v>4061</v>
      </c>
      <c r="BX168" s="109">
        <v>3897</v>
      </c>
      <c r="BY168" s="109">
        <v>3772</v>
      </c>
      <c r="BZ168" s="171">
        <f>-CFS!BZ38</f>
        <v>4066</v>
      </c>
      <c r="CA168" s="109">
        <f>-CFS!CA38</f>
        <v>4245</v>
      </c>
      <c r="CB168" s="109">
        <f>-CFS!CB38</f>
        <v>4007</v>
      </c>
      <c r="CC168" s="109">
        <f>-CFS!CC38</f>
        <v>4783</v>
      </c>
      <c r="CD168" s="171">
        <f>-CFS!CD38</f>
        <v>4163</v>
      </c>
      <c r="CE168" s="109">
        <f>-CFS!CE38</f>
        <v>4352</v>
      </c>
      <c r="CF168" s="109">
        <f>-CFS!CF38</f>
        <v>4277</v>
      </c>
      <c r="CG168" s="109">
        <f>-CFS!CG38</f>
        <v>4746</v>
      </c>
      <c r="CH168" s="171">
        <f>-CFS!CH38</f>
        <v>4220</v>
      </c>
      <c r="CI168" s="109">
        <f>-CFS!CI38</f>
        <v>4177</v>
      </c>
      <c r="CJ168" s="109">
        <f>-CFS!CJ38</f>
        <v>4178</v>
      </c>
      <c r="CK168" s="109">
        <f>-CFS!CK38</f>
        <v>4663</v>
      </c>
      <c r="CL168" s="171">
        <f>-CFS!CL38</f>
        <v>3663</v>
      </c>
      <c r="CM168" s="109">
        <f>-CFS!CM38</f>
        <v>4343</v>
      </c>
      <c r="CN168" s="109">
        <f>-CFS!CN38</f>
        <v>4313</v>
      </c>
      <c r="CO168" s="109">
        <f>-CFS!CO38</f>
        <v>4553</v>
      </c>
      <c r="CP168" s="171">
        <f>-CFS!CP38</f>
        <v>3423</v>
      </c>
      <c r="CQ168" s="109">
        <f>-CFS!CQ38</f>
        <v>4196</v>
      </c>
      <c r="CR168" s="109">
        <f>-CFS!CR38</f>
        <v>4125</v>
      </c>
      <c r="CS168" s="109">
        <f>-CFS!CS38</f>
        <v>4714</v>
      </c>
      <c r="CT168" s="171">
        <f>-CFS!CT38</f>
        <v>4363</v>
      </c>
      <c r="CU168" s="109">
        <f>-CFS!CU38</f>
        <v>4555</v>
      </c>
      <c r="CV168" s="109">
        <f>-CFS!CV38</f>
        <v>3628</v>
      </c>
      <c r="CW168" s="172">
        <f>-CFS!CW38</f>
        <v>3698</v>
      </c>
      <c r="CX168" s="109">
        <f>-CFS!CX38</f>
        <v>3565</v>
      </c>
      <c r="CY168" s="109">
        <f>-CFS!CY38</f>
        <v>3865</v>
      </c>
      <c r="CZ168" s="109">
        <f>-CFS!CZ38</f>
        <v>3885</v>
      </c>
      <c r="DA168" s="109">
        <f>-CFS!DA38</f>
        <v>4860</v>
      </c>
      <c r="DB168" s="171">
        <f>-CFS!DB38</f>
        <v>3602</v>
      </c>
      <c r="DC168" s="109">
        <f>-CFS!DC38</f>
        <v>4014</v>
      </c>
      <c r="DD168" s="109">
        <f>-CFS!DD38</f>
        <v>4191</v>
      </c>
      <c r="DE168" s="109">
        <f>-CFS!DE38</f>
        <v>4797</v>
      </c>
      <c r="DF168" s="171">
        <f>-CFS!DF38</f>
        <v>4150</v>
      </c>
      <c r="DG168" s="1044">
        <f>-CFS!DG38</f>
        <v>4344</v>
      </c>
      <c r="DH168" s="1044">
        <f>-CFS!DH38</f>
        <v>4130</v>
      </c>
      <c r="DI168" s="172">
        <f>-CFS!DI38</f>
        <v>4567</v>
      </c>
      <c r="DJ168" s="171">
        <f>-CFS!DJ38</f>
        <v>3665</v>
      </c>
      <c r="DK168" s="1044">
        <f>-CFS!DK38</f>
        <v>4488</v>
      </c>
      <c r="DL168" s="2151">
        <f>-CFS!DL38</f>
        <v>4387</v>
      </c>
      <c r="DM168" s="2473">
        <f>-CFS!DM38</f>
        <v>5235</v>
      </c>
      <c r="DN168" s="2490">
        <f>-CFS!DN38</f>
        <v>3387</v>
      </c>
      <c r="DO168" s="2151">
        <f>-CFS!DO38</f>
        <v>3886</v>
      </c>
      <c r="DP168" s="2151">
        <f>-CFS!DP38</f>
        <v>4125</v>
      </c>
      <c r="DQ168" s="2473">
        <f>-CFS!DQ38</f>
        <v>5661</v>
      </c>
      <c r="DR168" s="2151">
        <f>-CFS!DR38</f>
        <v>3067</v>
      </c>
      <c r="DS168" s="2151">
        <f>-CFS!DS38</f>
        <v>3944</v>
      </c>
      <c r="DT168" s="2151">
        <f>-CFS!DT38</f>
        <v>4271</v>
      </c>
      <c r="DU168" s="2151">
        <f>-CFS!DU38</f>
        <v>5965</v>
      </c>
      <c r="DV168" s="2151">
        <f>-CFS!DV38</f>
        <v>4552</v>
      </c>
      <c r="DW168" s="2164">
        <f ca="1">-CFS!DW38</f>
        <v>4102.0268345890599</v>
      </c>
      <c r="DX168" s="2164">
        <f ca="1">-CFS!DX38</f>
        <v>4169.9259917685913</v>
      </c>
      <c r="DY168" s="2165">
        <f ca="1">-CFS!DY38</f>
        <v>4360.5786169557132</v>
      </c>
      <c r="DZ168" s="1044"/>
    </row>
    <row r="169" spans="1:130">
      <c r="A169" s="109" t="s">
        <v>1333</v>
      </c>
      <c r="B169" s="109"/>
      <c r="C169" s="109"/>
      <c r="D169" s="109"/>
      <c r="E169" s="109"/>
      <c r="F169" s="109"/>
      <c r="G169" s="109"/>
      <c r="H169" s="109"/>
      <c r="I169" s="109"/>
      <c r="J169" s="109"/>
      <c r="K169" s="109"/>
      <c r="L169" s="109">
        <v>-8677</v>
      </c>
      <c r="M169" s="109">
        <v>-7236</v>
      </c>
      <c r="N169" s="109">
        <f>SUM(BZ169:CC169)</f>
        <v>-6602</v>
      </c>
      <c r="O169" s="109">
        <f>SUM(CD169:CG169)</f>
        <v>-7653</v>
      </c>
      <c r="P169" s="109">
        <f>SUM(CH169:CK169)</f>
        <v>-15627</v>
      </c>
      <c r="Q169" s="109">
        <f>SUM(CL169:CO169)</f>
        <v>-3959</v>
      </c>
      <c r="R169" s="109">
        <f>SUM(CP169:CS169)</f>
        <v>-33321</v>
      </c>
      <c r="S169" s="109">
        <f>SUM(CT169:CW169)</f>
        <v>-12273</v>
      </c>
      <c r="T169" s="1044">
        <f>SUM(CX169:DA169)</f>
        <v>-22226</v>
      </c>
      <c r="U169" s="1044">
        <f>SUM(DB169:DE169)</f>
        <v>-5314</v>
      </c>
      <c r="V169" s="109">
        <f>SUM(DF169:DI169)</f>
        <v>-7548</v>
      </c>
      <c r="W169" s="109">
        <f>SUM(DJ169:DM169)</f>
        <v>-28120</v>
      </c>
      <c r="X169" s="109">
        <f>SUM(DN169:DQ169)</f>
        <v>-5007</v>
      </c>
      <c r="Y169" s="109">
        <f>SUM(DR169:DU169)</f>
        <v>-2964</v>
      </c>
      <c r="Z169" s="109">
        <f ca="1">SUM(DV169:DY169)</f>
        <v>-11628.823370926009</v>
      </c>
      <c r="AA169" s="109">
        <f ca="1">AA175*AA167</f>
        <v>-13862.953943981303</v>
      </c>
      <c r="AB169" s="109">
        <f ca="1">AB175*AB167</f>
        <v>-14053.457480755709</v>
      </c>
      <c r="AC169" s="109">
        <f t="shared" ref="AC169:AG169" ca="1" si="477">AC175*AC167</f>
        <v>-14245.168797803286</v>
      </c>
      <c r="AD169" s="109">
        <f t="shared" ca="1" si="477"/>
        <v>-14438.622702058452</v>
      </c>
      <c r="AE169" s="109">
        <f t="shared" ca="1" si="477"/>
        <v>-14634.280457606481</v>
      </c>
      <c r="AF169" s="109">
        <f t="shared" ca="1" si="477"/>
        <v>-14832.644987615899</v>
      </c>
      <c r="AG169" s="109">
        <f t="shared" ca="1" si="477"/>
        <v>-15034.308731926478</v>
      </c>
      <c r="AH169" s="536"/>
      <c r="AI169" s="109"/>
      <c r="AJ169" s="109"/>
      <c r="AK169" s="109"/>
      <c r="AL169" s="109"/>
      <c r="AM169" s="109"/>
      <c r="AN169" s="276"/>
      <c r="AO169" s="276"/>
      <c r="AP169" s="109"/>
      <c r="AQ169" s="109"/>
      <c r="AR169" s="109"/>
      <c r="AS169" s="109"/>
      <c r="AT169" s="109"/>
      <c r="AU169" s="109"/>
      <c r="AV169" s="109"/>
      <c r="AW169" s="109"/>
      <c r="AX169" s="109"/>
      <c r="AY169" s="109"/>
      <c r="AZ169" s="109"/>
      <c r="BA169" s="109"/>
      <c r="BB169" s="109"/>
      <c r="BC169" s="109"/>
      <c r="BD169" s="109"/>
      <c r="BE169" s="109"/>
      <c r="BF169" s="109"/>
      <c r="BG169" s="109"/>
      <c r="BH169" s="109"/>
      <c r="BI169" s="109"/>
      <c r="BJ169" s="109"/>
      <c r="BK169" s="109"/>
      <c r="BL169" s="109"/>
      <c r="BM169" s="109"/>
      <c r="BN169" s="109"/>
      <c r="BO169" s="109"/>
      <c r="BP169" s="109"/>
      <c r="BQ169" s="109"/>
      <c r="BR169" s="171">
        <v>-1862</v>
      </c>
      <c r="BS169" s="109">
        <v>-3499</v>
      </c>
      <c r="BT169" s="109">
        <v>-1300</v>
      </c>
      <c r="BU169" s="109">
        <v>-2016</v>
      </c>
      <c r="BV169" s="171">
        <v>-1634</v>
      </c>
      <c r="BW169" s="109">
        <v>-1311</v>
      </c>
      <c r="BX169" s="109">
        <v>-1623</v>
      </c>
      <c r="BY169" s="109">
        <v>-2668</v>
      </c>
      <c r="BZ169" s="171">
        <f t="shared" ref="BZ169:DF169" si="478">BZ171-BZ167-BZ168-BZ170</f>
        <v>5174</v>
      </c>
      <c r="CA169" s="109">
        <f t="shared" si="478"/>
        <v>-7015</v>
      </c>
      <c r="CB169" s="109">
        <f t="shared" si="478"/>
        <v>-2120</v>
      </c>
      <c r="CC169" s="109">
        <f t="shared" si="478"/>
        <v>-2641</v>
      </c>
      <c r="CD169" s="171">
        <f t="shared" si="478"/>
        <v>-1687</v>
      </c>
      <c r="CE169" s="109">
        <f t="shared" si="478"/>
        <v>-1646</v>
      </c>
      <c r="CF169" s="109">
        <f t="shared" si="478"/>
        <v>-2416</v>
      </c>
      <c r="CG169" s="109">
        <f t="shared" si="478"/>
        <v>-1904</v>
      </c>
      <c r="CH169" s="171">
        <f t="shared" si="478"/>
        <v>-6380</v>
      </c>
      <c r="CI169" s="109">
        <f t="shared" si="478"/>
        <v>-3406</v>
      </c>
      <c r="CJ169" s="109">
        <f t="shared" si="478"/>
        <v>-2407</v>
      </c>
      <c r="CK169" s="109">
        <f t="shared" si="478"/>
        <v>-3434</v>
      </c>
      <c r="CL169" s="171">
        <f t="shared" si="478"/>
        <v>2232</v>
      </c>
      <c r="CM169" s="109">
        <f t="shared" si="478"/>
        <v>-1693</v>
      </c>
      <c r="CN169" s="109">
        <f t="shared" si="478"/>
        <v>-1993</v>
      </c>
      <c r="CO169" s="109">
        <f t="shared" si="478"/>
        <v>-2505</v>
      </c>
      <c r="CP169" s="171">
        <f t="shared" si="478"/>
        <v>-170</v>
      </c>
      <c r="CQ169" s="109">
        <f t="shared" si="478"/>
        <v>-1240</v>
      </c>
      <c r="CR169" s="109">
        <f t="shared" si="478"/>
        <v>-20993</v>
      </c>
      <c r="CS169" s="109">
        <f t="shared" si="478"/>
        <v>-10918</v>
      </c>
      <c r="CT169" s="171">
        <f t="shared" si="478"/>
        <v>-4314</v>
      </c>
      <c r="CU169" s="109">
        <f t="shared" si="478"/>
        <v>-3310</v>
      </c>
      <c r="CV169" s="109">
        <f t="shared" si="478"/>
        <v>-1779</v>
      </c>
      <c r="CW169" s="172">
        <f t="shared" si="478"/>
        <v>-2870</v>
      </c>
      <c r="CX169" s="109">
        <f t="shared" si="478"/>
        <v>-941</v>
      </c>
      <c r="CY169" s="109">
        <f t="shared" si="478"/>
        <v>-4376</v>
      </c>
      <c r="CZ169" s="109">
        <f t="shared" si="478"/>
        <v>-4629</v>
      </c>
      <c r="DA169" s="109">
        <f t="shared" si="478"/>
        <v>-12280</v>
      </c>
      <c r="DB169" s="171">
        <f t="shared" si="478"/>
        <v>-1095</v>
      </c>
      <c r="DC169" s="109">
        <f t="shared" si="478"/>
        <v>-872</v>
      </c>
      <c r="DD169" s="109">
        <f t="shared" si="478"/>
        <v>-1079</v>
      </c>
      <c r="DE169" s="109">
        <f t="shared" si="478"/>
        <v>-2268</v>
      </c>
      <c r="DF169" s="171">
        <f t="shared" si="478"/>
        <v>-1174</v>
      </c>
      <c r="DG169" s="1044">
        <f t="shared" ref="DG169:DL169" si="479">DG171-DG167-DG168-DG170</f>
        <v>-710</v>
      </c>
      <c r="DH169" s="1044">
        <f t="shared" si="479"/>
        <v>-1153</v>
      </c>
      <c r="DI169" s="172">
        <f t="shared" si="479"/>
        <v>-4511</v>
      </c>
      <c r="DJ169" s="171">
        <f t="shared" si="479"/>
        <v>-23784</v>
      </c>
      <c r="DK169" s="1044">
        <f t="shared" si="479"/>
        <v>-1216</v>
      </c>
      <c r="DL169" s="1044">
        <f t="shared" si="479"/>
        <v>-1374</v>
      </c>
      <c r="DM169" s="172">
        <f t="shared" ref="DM169:DR169" si="480">DM171-DM167-DM168-DM170</f>
        <v>-1746</v>
      </c>
      <c r="DN169" s="171">
        <f t="shared" si="480"/>
        <v>-881</v>
      </c>
      <c r="DO169" s="1044">
        <f t="shared" si="480"/>
        <v>-799</v>
      </c>
      <c r="DP169" s="1044">
        <f t="shared" si="480"/>
        <v>-972</v>
      </c>
      <c r="DQ169" s="172">
        <f t="shared" si="480"/>
        <v>-2355</v>
      </c>
      <c r="DR169" s="1044">
        <f t="shared" si="480"/>
        <v>268</v>
      </c>
      <c r="DS169" s="1044">
        <f t="shared" ref="DS169:DT169" si="481">DS171-DS167-DS168-DS170</f>
        <v>-268</v>
      </c>
      <c r="DT169" s="1044">
        <f t="shared" si="481"/>
        <v>-889</v>
      </c>
      <c r="DU169" s="1044">
        <f t="shared" ref="DU169:DV169" si="482">DU171-DU167-DU168-DU170</f>
        <v>-2075</v>
      </c>
      <c r="DV169" s="1044">
        <f t="shared" si="482"/>
        <v>-4173</v>
      </c>
      <c r="DW169" s="1044">
        <f t="shared" ref="DW169:DY169" si="483">DW175*DW167</f>
        <v>-2468.77</v>
      </c>
      <c r="DX169" s="1044">
        <f t="shared" ca="1" si="483"/>
        <v>-2485.1025683458906</v>
      </c>
      <c r="DY169" s="172">
        <f t="shared" ca="1" si="483"/>
        <v>-2501.9508025801179</v>
      </c>
      <c r="DZ169" s="1044"/>
    </row>
    <row r="170" spans="1:130">
      <c r="A170" s="316" t="s">
        <v>1334</v>
      </c>
      <c r="B170" s="109"/>
      <c r="C170" s="109"/>
      <c r="D170" s="109"/>
      <c r="E170" s="109"/>
      <c r="F170" s="109"/>
      <c r="G170" s="109"/>
      <c r="H170" s="109"/>
      <c r="I170" s="109"/>
      <c r="J170" s="212"/>
      <c r="K170" s="212"/>
      <c r="L170" s="212">
        <v>0</v>
      </c>
      <c r="M170" s="212">
        <v>0</v>
      </c>
      <c r="N170" s="212">
        <f>SUM(BZ170:CC170)</f>
        <v>0</v>
      </c>
      <c r="O170" s="212">
        <f>SUM(CD170:CG170)</f>
        <v>0</v>
      </c>
      <c r="P170" s="212">
        <f>SUM(CH170:CK170)</f>
        <v>0</v>
      </c>
      <c r="Q170" s="212">
        <f>SUM(CL170:CO170)</f>
        <v>0</v>
      </c>
      <c r="R170" s="212">
        <f>SUM(CP170:CS170)</f>
        <v>0</v>
      </c>
      <c r="S170" s="212"/>
      <c r="T170" s="212"/>
      <c r="U170" s="212">
        <f>SUM(DB170:DE170)</f>
        <v>0</v>
      </c>
      <c r="V170" s="212">
        <f>SUM(DF170:DI170)</f>
        <v>0</v>
      </c>
      <c r="W170" s="212">
        <f>SUM(DJ170:DM170)</f>
        <v>0</v>
      </c>
      <c r="X170" s="212">
        <f>SUM(DN170:DQ170)</f>
        <v>0</v>
      </c>
      <c r="Y170" s="212">
        <f>SUM(DR170:DU170)</f>
        <v>0</v>
      </c>
      <c r="Z170" s="212">
        <f>SUM(DV170:DY170)</f>
        <v>0</v>
      </c>
      <c r="AA170" s="3056">
        <f>-CFS!AA39</f>
        <v>0</v>
      </c>
      <c r="AB170" s="3056">
        <f>-CFS!AB39</f>
        <v>0</v>
      </c>
      <c r="AC170" s="3056">
        <f>-CFS!AC39</f>
        <v>0</v>
      </c>
      <c r="AD170" s="3056">
        <f>-CFS!AD39</f>
        <v>0</v>
      </c>
      <c r="AE170" s="3056">
        <f>-CFS!AE39</f>
        <v>0</v>
      </c>
      <c r="AF170" s="3056">
        <f>-CFS!AF39</f>
        <v>0</v>
      </c>
      <c r="AG170" s="3056">
        <f>-CFS!AG39</f>
        <v>0</v>
      </c>
      <c r="AH170" s="536"/>
      <c r="AI170" s="109"/>
      <c r="AJ170" s="109"/>
      <c r="AK170" s="109"/>
      <c r="AL170" s="109"/>
      <c r="AM170" s="109"/>
      <c r="AN170" s="276"/>
      <c r="AO170" s="276"/>
      <c r="AP170" s="109"/>
      <c r="AQ170" s="109"/>
      <c r="AR170" s="109"/>
      <c r="AS170" s="109"/>
      <c r="AT170" s="109"/>
      <c r="AU170" s="109"/>
      <c r="AV170" s="109"/>
      <c r="AW170" s="109"/>
      <c r="AX170" s="109"/>
      <c r="AY170" s="109"/>
      <c r="AZ170" s="109"/>
      <c r="BA170" s="109"/>
      <c r="BB170" s="109"/>
      <c r="BC170" s="109"/>
      <c r="BD170" s="109"/>
      <c r="BE170" s="109"/>
      <c r="BF170" s="109"/>
      <c r="BG170" s="109"/>
      <c r="BH170" s="109"/>
      <c r="BI170" s="109"/>
      <c r="BJ170" s="109"/>
      <c r="BK170" s="109"/>
      <c r="BL170" s="109"/>
      <c r="BM170" s="109"/>
      <c r="BN170" s="109"/>
      <c r="BO170" s="109"/>
      <c r="BP170" s="109"/>
      <c r="BQ170" s="212"/>
      <c r="BR170" s="211"/>
      <c r="BS170" s="212"/>
      <c r="BT170" s="212"/>
      <c r="BU170" s="212"/>
      <c r="BV170" s="211"/>
      <c r="BW170" s="212"/>
      <c r="BX170" s="212"/>
      <c r="BY170" s="212"/>
      <c r="BZ170" s="211"/>
      <c r="CA170" s="212"/>
      <c r="CB170" s="212"/>
      <c r="CC170" s="212"/>
      <c r="CD170" s="211"/>
      <c r="CE170" s="212"/>
      <c r="CF170" s="212"/>
      <c r="CG170" s="212"/>
      <c r="CH170" s="211"/>
      <c r="CI170" s="212"/>
      <c r="CJ170" s="212"/>
      <c r="CK170" s="212"/>
      <c r="CL170" s="211"/>
      <c r="CM170" s="212"/>
      <c r="CN170" s="212"/>
      <c r="CO170" s="212"/>
      <c r="CP170" s="211"/>
      <c r="CQ170" s="212"/>
      <c r="CR170" s="212"/>
      <c r="CS170" s="212"/>
      <c r="CT170" s="211"/>
      <c r="CU170" s="212"/>
      <c r="CV170" s="212"/>
      <c r="CW170" s="213"/>
      <c r="CX170" s="212"/>
      <c r="CY170" s="212"/>
      <c r="CZ170" s="212"/>
      <c r="DA170" s="212"/>
      <c r="DB170" s="211"/>
      <c r="DC170" s="212"/>
      <c r="DD170" s="212"/>
      <c r="DE170" s="212"/>
      <c r="DF170" s="211"/>
      <c r="DG170" s="212"/>
      <c r="DH170" s="212"/>
      <c r="DI170" s="213"/>
      <c r="DJ170" s="211"/>
      <c r="DK170" s="212"/>
      <c r="DL170" s="212"/>
      <c r="DM170" s="213"/>
      <c r="DN170" s="211"/>
      <c r="DO170" s="212"/>
      <c r="DP170" s="212"/>
      <c r="DQ170" s="213"/>
      <c r="DR170" s="212"/>
      <c r="DS170" s="212"/>
      <c r="DT170" s="212"/>
      <c r="DU170" s="212"/>
      <c r="DV170" s="212"/>
      <c r="DW170" s="3056">
        <f>-CFS!DW39</f>
        <v>0</v>
      </c>
      <c r="DX170" s="3056">
        <f>-CFS!DX39</f>
        <v>0</v>
      </c>
      <c r="DY170" s="3057">
        <f>-CFS!DY39</f>
        <v>0</v>
      </c>
      <c r="DZ170" s="1044"/>
    </row>
    <row r="171" spans="1:130">
      <c r="A171" s="316" t="s">
        <v>1335</v>
      </c>
      <c r="B171" s="109"/>
      <c r="C171" s="109"/>
      <c r="D171" s="109"/>
      <c r="E171" s="109"/>
      <c r="F171" s="109"/>
      <c r="G171" s="109"/>
      <c r="H171" s="109"/>
      <c r="I171" s="109"/>
      <c r="J171" s="109"/>
      <c r="K171" s="109">
        <v>180940</v>
      </c>
      <c r="L171" s="109">
        <v>185522</v>
      </c>
      <c r="M171" s="109">
        <v>193610</v>
      </c>
      <c r="N171" s="109">
        <f t="shared" ref="N171:V171" si="484">N167+N168+N169+N170</f>
        <v>204109</v>
      </c>
      <c r="O171" s="109">
        <f t="shared" si="484"/>
        <v>213994</v>
      </c>
      <c r="P171" s="109">
        <f t="shared" si="484"/>
        <v>215605</v>
      </c>
      <c r="Q171" s="109">
        <f t="shared" si="484"/>
        <v>228518</v>
      </c>
      <c r="R171" s="109">
        <f t="shared" si="484"/>
        <v>211655</v>
      </c>
      <c r="S171" s="109">
        <f t="shared" si="484"/>
        <v>215626</v>
      </c>
      <c r="T171" s="1044">
        <f t="shared" si="484"/>
        <v>209575</v>
      </c>
      <c r="U171" s="1044">
        <f t="shared" si="484"/>
        <v>220865</v>
      </c>
      <c r="V171" s="109">
        <f t="shared" si="484"/>
        <v>230508</v>
      </c>
      <c r="W171" s="109">
        <f t="shared" ref="W171:AB171" si="485">W167+W168+W169+W170</f>
        <v>220163</v>
      </c>
      <c r="X171" s="109">
        <f t="shared" si="485"/>
        <v>232215</v>
      </c>
      <c r="Y171" s="109">
        <f t="shared" si="485"/>
        <v>246498</v>
      </c>
      <c r="Z171" s="109">
        <f t="shared" ca="1" si="485"/>
        <v>252053.70807238732</v>
      </c>
      <c r="AA171" s="109">
        <f t="shared" ca="1" si="485"/>
        <v>255517.40874101289</v>
      </c>
      <c r="AB171" s="109">
        <f t="shared" ca="1" si="485"/>
        <v>259003.06905096883</v>
      </c>
      <c r="AC171" s="109">
        <f t="shared" ref="AC171:AG171" ca="1" si="486">AC167+AC168+AC169+AC170</f>
        <v>262520.41276469914</v>
      </c>
      <c r="AD171" s="109">
        <f t="shared" ca="1" si="486"/>
        <v>266077.82650193601</v>
      </c>
      <c r="AE171" s="109">
        <f t="shared" ca="1" si="486"/>
        <v>269684.45432028908</v>
      </c>
      <c r="AF171" s="109">
        <f t="shared" ca="1" si="486"/>
        <v>273351.06785320869</v>
      </c>
      <c r="AG171" s="109">
        <f t="shared" ca="1" si="486"/>
        <v>278391.55063329882</v>
      </c>
      <c r="AH171" s="536"/>
      <c r="AI171" s="109"/>
      <c r="AJ171" s="109"/>
      <c r="AK171" s="109"/>
      <c r="AL171" s="109"/>
      <c r="AM171" s="109"/>
      <c r="AN171" s="276"/>
      <c r="AO171" s="276"/>
      <c r="AP171" s="109"/>
      <c r="AQ171" s="109"/>
      <c r="AR171" s="109"/>
      <c r="AS171" s="109"/>
      <c r="AT171" s="109"/>
      <c r="AU171" s="109"/>
      <c r="AV171" s="109"/>
      <c r="AW171" s="109"/>
      <c r="AX171" s="109"/>
      <c r="AY171" s="109"/>
      <c r="AZ171" s="109"/>
      <c r="BA171" s="109"/>
      <c r="BB171" s="109"/>
      <c r="BC171" s="109"/>
      <c r="BD171" s="109"/>
      <c r="BE171" s="109"/>
      <c r="BF171" s="109"/>
      <c r="BG171" s="109"/>
      <c r="BH171" s="109"/>
      <c r="BI171" s="109"/>
      <c r="BJ171" s="109"/>
      <c r="BK171" s="109"/>
      <c r="BL171" s="109"/>
      <c r="BM171" s="109"/>
      <c r="BN171" s="109"/>
      <c r="BO171" s="109"/>
      <c r="BP171" s="109"/>
      <c r="BQ171" s="109">
        <v>180940</v>
      </c>
      <c r="BR171" s="171">
        <v>181719</v>
      </c>
      <c r="BS171" s="109">
        <v>181403</v>
      </c>
      <c r="BT171" s="109">
        <v>183356</v>
      </c>
      <c r="BU171" s="109">
        <v>185522</v>
      </c>
      <c r="BV171" s="171">
        <v>187482</v>
      </c>
      <c r="BW171" s="109">
        <v>190232</v>
      </c>
      <c r="BX171" s="109">
        <v>192506</v>
      </c>
      <c r="BY171" s="109">
        <v>193610</v>
      </c>
      <c r="BZ171" s="171">
        <f t="shared" ref="BZ171:DE171" si="487">BZ163</f>
        <v>202850</v>
      </c>
      <c r="CA171" s="109">
        <f t="shared" si="487"/>
        <v>200080</v>
      </c>
      <c r="CB171" s="109">
        <f t="shared" si="487"/>
        <v>201967</v>
      </c>
      <c r="CC171" s="109">
        <f t="shared" si="487"/>
        <v>204109</v>
      </c>
      <c r="CD171" s="171">
        <f t="shared" si="487"/>
        <v>206585</v>
      </c>
      <c r="CE171" s="109">
        <f t="shared" si="487"/>
        <v>209291</v>
      </c>
      <c r="CF171" s="109">
        <f t="shared" si="487"/>
        <v>211152</v>
      </c>
      <c r="CG171" s="109">
        <f t="shared" si="487"/>
        <v>213994</v>
      </c>
      <c r="CH171" s="171">
        <f t="shared" si="487"/>
        <v>211834</v>
      </c>
      <c r="CI171" s="109">
        <f t="shared" si="487"/>
        <v>212605</v>
      </c>
      <c r="CJ171" s="109">
        <f t="shared" si="487"/>
        <v>214376</v>
      </c>
      <c r="CK171" s="109">
        <f t="shared" si="487"/>
        <v>215605</v>
      </c>
      <c r="CL171" s="171">
        <f t="shared" si="487"/>
        <v>221500</v>
      </c>
      <c r="CM171" s="109">
        <f t="shared" si="487"/>
        <v>224150</v>
      </c>
      <c r="CN171" s="109">
        <f t="shared" si="487"/>
        <v>226470</v>
      </c>
      <c r="CO171" s="109">
        <f t="shared" si="487"/>
        <v>228518</v>
      </c>
      <c r="CP171" s="171">
        <f t="shared" si="487"/>
        <v>231771</v>
      </c>
      <c r="CQ171" s="109">
        <f t="shared" si="487"/>
        <v>234727</v>
      </c>
      <c r="CR171" s="109">
        <f t="shared" si="487"/>
        <v>217859</v>
      </c>
      <c r="CS171" s="109">
        <f t="shared" si="487"/>
        <v>211655</v>
      </c>
      <c r="CT171" s="171">
        <f t="shared" si="487"/>
        <v>211704</v>
      </c>
      <c r="CU171" s="109">
        <f t="shared" si="487"/>
        <v>212949</v>
      </c>
      <c r="CV171" s="109">
        <f t="shared" si="487"/>
        <v>214798</v>
      </c>
      <c r="CW171" s="172">
        <f t="shared" si="487"/>
        <v>215626</v>
      </c>
      <c r="CX171" s="109">
        <f t="shared" si="487"/>
        <v>218250</v>
      </c>
      <c r="CY171" s="109">
        <f t="shared" si="487"/>
        <v>217739</v>
      </c>
      <c r="CZ171" s="109">
        <f t="shared" si="487"/>
        <v>216995</v>
      </c>
      <c r="DA171" s="109">
        <f t="shared" si="487"/>
        <v>209575</v>
      </c>
      <c r="DB171" s="171">
        <f t="shared" si="487"/>
        <v>212082</v>
      </c>
      <c r="DC171" s="109">
        <f t="shared" si="487"/>
        <v>215224</v>
      </c>
      <c r="DD171" s="109">
        <f t="shared" si="487"/>
        <v>218336</v>
      </c>
      <c r="DE171" s="109">
        <f t="shared" si="487"/>
        <v>220865</v>
      </c>
      <c r="DF171" s="171">
        <f t="shared" ref="DF171:DK171" si="488">DF163</f>
        <v>223841</v>
      </c>
      <c r="DG171" s="1044">
        <f t="shared" si="488"/>
        <v>227475</v>
      </c>
      <c r="DH171" s="1044">
        <f t="shared" si="488"/>
        <v>230452</v>
      </c>
      <c r="DI171" s="172">
        <f t="shared" si="488"/>
        <v>230508</v>
      </c>
      <c r="DJ171" s="171">
        <f t="shared" si="488"/>
        <v>210389</v>
      </c>
      <c r="DK171" s="1044">
        <f t="shared" si="488"/>
        <v>213661</v>
      </c>
      <c r="DL171" s="1044">
        <f t="shared" ref="DL171:DQ171" si="489">DL163</f>
        <v>216674</v>
      </c>
      <c r="DM171" s="172">
        <f t="shared" si="489"/>
        <v>220163</v>
      </c>
      <c r="DN171" s="171">
        <f t="shared" si="489"/>
        <v>222669</v>
      </c>
      <c r="DO171" s="1044">
        <f t="shared" si="489"/>
        <v>225756</v>
      </c>
      <c r="DP171" s="1044">
        <f t="shared" si="489"/>
        <v>228909</v>
      </c>
      <c r="DQ171" s="172">
        <f t="shared" si="489"/>
        <v>232215</v>
      </c>
      <c r="DR171" s="1044">
        <f t="shared" ref="DR171:DS171" si="490">DR163</f>
        <v>235550</v>
      </c>
      <c r="DS171" s="1044">
        <f t="shared" si="490"/>
        <v>239226</v>
      </c>
      <c r="DT171" s="1044">
        <f t="shared" ref="DT171:DU171" si="491">DT163</f>
        <v>242608</v>
      </c>
      <c r="DU171" s="1044">
        <f t="shared" si="491"/>
        <v>246498</v>
      </c>
      <c r="DV171" s="1044">
        <f t="shared" ref="DV171" si="492">DV163</f>
        <v>246877</v>
      </c>
      <c r="DW171" s="1044">
        <f t="shared" ref="DW171:DY171" ca="1" si="493">DW167+DW168+DW169+DW170</f>
        <v>248510.25683458906</v>
      </c>
      <c r="DX171" s="1044">
        <f t="shared" ca="1" si="493"/>
        <v>250195.08025801176</v>
      </c>
      <c r="DY171" s="172">
        <f t="shared" ca="1" si="493"/>
        <v>252053.70807238738</v>
      </c>
      <c r="DZ171" s="1044"/>
    </row>
    <row r="172" spans="1:130">
      <c r="A172" s="316" t="s">
        <v>1336</v>
      </c>
      <c r="B172" s="109"/>
      <c r="C172" s="109"/>
      <c r="D172" s="109"/>
      <c r="E172" s="109"/>
      <c r="F172" s="109"/>
      <c r="G172" s="109"/>
      <c r="H172" s="109"/>
      <c r="I172" s="109"/>
      <c r="J172" s="317"/>
      <c r="K172" s="317"/>
      <c r="L172" s="317">
        <v>183231</v>
      </c>
      <c r="M172" s="317">
        <v>189566</v>
      </c>
      <c r="N172" s="317">
        <f t="shared" ref="N172:AB172" si="494">AVERAGE(M171:N171)</f>
        <v>198859.5</v>
      </c>
      <c r="O172" s="317">
        <f t="shared" si="494"/>
        <v>209051.5</v>
      </c>
      <c r="P172" s="317">
        <f t="shared" si="494"/>
        <v>214799.5</v>
      </c>
      <c r="Q172" s="317">
        <f t="shared" si="494"/>
        <v>222061.5</v>
      </c>
      <c r="R172" s="317">
        <f t="shared" si="494"/>
        <v>220086.5</v>
      </c>
      <c r="S172" s="317">
        <f t="shared" si="494"/>
        <v>213640.5</v>
      </c>
      <c r="T172" s="1083">
        <f t="shared" si="494"/>
        <v>212600.5</v>
      </c>
      <c r="U172" s="1083">
        <f t="shared" si="494"/>
        <v>215220</v>
      </c>
      <c r="V172" s="317">
        <f t="shared" si="494"/>
        <v>225686.5</v>
      </c>
      <c r="W172" s="317">
        <f>AVERAGE(V171:W171)</f>
        <v>225335.5</v>
      </c>
      <c r="X172" s="317">
        <f>AVERAGE(W171:X171)</f>
        <v>226189</v>
      </c>
      <c r="Y172" s="317">
        <f>AVERAGE(X171:Y171)</f>
        <v>239356.5</v>
      </c>
      <c r="Z172" s="317">
        <f ca="1">AVERAGE(Y171:Z171)</f>
        <v>249275.85403619366</v>
      </c>
      <c r="AA172" s="317">
        <f t="shared" ca="1" si="494"/>
        <v>253785.55840670009</v>
      </c>
      <c r="AB172" s="317">
        <f t="shared" ca="1" si="494"/>
        <v>257260.23889599086</v>
      </c>
      <c r="AC172" s="317">
        <f t="shared" ref="AC172" ca="1" si="495">AVERAGE(AB171:AC171)</f>
        <v>260761.74090783397</v>
      </c>
      <c r="AD172" s="317">
        <f t="shared" ref="AD172" ca="1" si="496">AVERAGE(AC171:AD171)</f>
        <v>264299.11963331758</v>
      </c>
      <c r="AE172" s="317">
        <f t="shared" ref="AE172" ca="1" si="497">AVERAGE(AD171:AE171)</f>
        <v>267881.14041111257</v>
      </c>
      <c r="AF172" s="317">
        <f t="shared" ref="AF172" ca="1" si="498">AVERAGE(AE171:AF171)</f>
        <v>271517.76108674891</v>
      </c>
      <c r="AG172" s="317">
        <f t="shared" ref="AG172" ca="1" si="499">AVERAGE(AF171:AG171)</f>
        <v>275871.30924325378</v>
      </c>
      <c r="AH172" s="536"/>
      <c r="AI172" s="109"/>
      <c r="AJ172" s="109"/>
      <c r="AK172" s="109"/>
      <c r="AL172" s="109"/>
      <c r="AM172" s="109"/>
      <c r="AN172" s="276"/>
      <c r="AO172" s="276"/>
      <c r="AP172" s="109"/>
      <c r="AQ172" s="109"/>
      <c r="AR172" s="109"/>
      <c r="AS172" s="109"/>
      <c r="AT172" s="109"/>
      <c r="AU172" s="109"/>
      <c r="AV172" s="109"/>
      <c r="AW172" s="109"/>
      <c r="AX172" s="109"/>
      <c r="AY172" s="109"/>
      <c r="AZ172" s="109"/>
      <c r="BA172" s="109"/>
      <c r="BB172" s="109"/>
      <c r="BC172" s="109"/>
      <c r="BD172" s="109"/>
      <c r="BE172" s="109"/>
      <c r="BF172" s="109"/>
      <c r="BG172" s="109"/>
      <c r="BH172" s="109"/>
      <c r="BI172" s="109"/>
      <c r="BJ172" s="109"/>
      <c r="BK172" s="109"/>
      <c r="BL172" s="109"/>
      <c r="BM172" s="109"/>
      <c r="BN172" s="109"/>
      <c r="BO172" s="109"/>
      <c r="BP172" s="109"/>
      <c r="BQ172" s="109"/>
      <c r="BR172" s="171">
        <v>181329.5</v>
      </c>
      <c r="BS172" s="109">
        <v>181561</v>
      </c>
      <c r="BT172" s="109">
        <v>182379.5</v>
      </c>
      <c r="BU172" s="109">
        <v>184439</v>
      </c>
      <c r="BV172" s="171">
        <v>186502</v>
      </c>
      <c r="BW172" s="109">
        <v>188857</v>
      </c>
      <c r="BX172" s="109">
        <v>191369</v>
      </c>
      <c r="BY172" s="109">
        <v>193058</v>
      </c>
      <c r="BZ172" s="171">
        <f t="shared" ref="BZ172:DV172" si="500">AVERAGE(BY171:BZ171)</f>
        <v>198230</v>
      </c>
      <c r="CA172" s="109">
        <f t="shared" si="500"/>
        <v>201465</v>
      </c>
      <c r="CB172" s="109">
        <f t="shared" si="500"/>
        <v>201023.5</v>
      </c>
      <c r="CC172" s="109">
        <f t="shared" si="500"/>
        <v>203038</v>
      </c>
      <c r="CD172" s="171">
        <f t="shared" si="500"/>
        <v>205347</v>
      </c>
      <c r="CE172" s="109">
        <f t="shared" si="500"/>
        <v>207938</v>
      </c>
      <c r="CF172" s="109">
        <f t="shared" si="500"/>
        <v>210221.5</v>
      </c>
      <c r="CG172" s="109">
        <f t="shared" si="500"/>
        <v>212573</v>
      </c>
      <c r="CH172" s="171">
        <f t="shared" si="500"/>
        <v>212914</v>
      </c>
      <c r="CI172" s="109">
        <f t="shared" si="500"/>
        <v>212219.5</v>
      </c>
      <c r="CJ172" s="109">
        <f t="shared" si="500"/>
        <v>213490.5</v>
      </c>
      <c r="CK172" s="109">
        <f t="shared" si="500"/>
        <v>214990.5</v>
      </c>
      <c r="CL172" s="171">
        <f t="shared" si="500"/>
        <v>218552.5</v>
      </c>
      <c r="CM172" s="109">
        <f t="shared" si="500"/>
        <v>222825</v>
      </c>
      <c r="CN172" s="109">
        <f t="shared" si="500"/>
        <v>225310</v>
      </c>
      <c r="CO172" s="109">
        <f t="shared" si="500"/>
        <v>227494</v>
      </c>
      <c r="CP172" s="171">
        <f t="shared" si="500"/>
        <v>230144.5</v>
      </c>
      <c r="CQ172" s="109">
        <f t="shared" si="500"/>
        <v>233249</v>
      </c>
      <c r="CR172" s="109">
        <f t="shared" si="500"/>
        <v>226293</v>
      </c>
      <c r="CS172" s="109">
        <f t="shared" si="500"/>
        <v>214757</v>
      </c>
      <c r="CT172" s="171">
        <f t="shared" si="500"/>
        <v>211679.5</v>
      </c>
      <c r="CU172" s="109">
        <f t="shared" si="500"/>
        <v>212326.5</v>
      </c>
      <c r="CV172" s="109">
        <f t="shared" si="500"/>
        <v>213873.5</v>
      </c>
      <c r="CW172" s="172">
        <f t="shared" si="500"/>
        <v>215212</v>
      </c>
      <c r="CX172" s="109">
        <f t="shared" si="500"/>
        <v>216938</v>
      </c>
      <c r="CY172" s="109">
        <f t="shared" si="500"/>
        <v>217994.5</v>
      </c>
      <c r="CZ172" s="109">
        <f t="shared" si="500"/>
        <v>217367</v>
      </c>
      <c r="DA172" s="109">
        <f t="shared" si="500"/>
        <v>213285</v>
      </c>
      <c r="DB172" s="171">
        <f t="shared" si="500"/>
        <v>210828.5</v>
      </c>
      <c r="DC172" s="109">
        <f t="shared" si="500"/>
        <v>213653</v>
      </c>
      <c r="DD172" s="109">
        <f t="shared" si="500"/>
        <v>216780</v>
      </c>
      <c r="DE172" s="109">
        <f t="shared" si="500"/>
        <v>219600.5</v>
      </c>
      <c r="DF172" s="171">
        <f t="shared" si="500"/>
        <v>222353</v>
      </c>
      <c r="DG172" s="1044">
        <f t="shared" si="500"/>
        <v>225658</v>
      </c>
      <c r="DH172" s="1044">
        <f t="shared" si="500"/>
        <v>228963.5</v>
      </c>
      <c r="DI172" s="172">
        <f t="shared" si="500"/>
        <v>230480</v>
      </c>
      <c r="DJ172" s="171">
        <f t="shared" si="500"/>
        <v>220448.5</v>
      </c>
      <c r="DK172" s="1044">
        <f t="shared" si="500"/>
        <v>212025</v>
      </c>
      <c r="DL172" s="1044">
        <f t="shared" si="500"/>
        <v>215167.5</v>
      </c>
      <c r="DM172" s="172">
        <f t="shared" si="500"/>
        <v>218418.5</v>
      </c>
      <c r="DN172" s="171">
        <f t="shared" si="500"/>
        <v>221416</v>
      </c>
      <c r="DO172" s="1044">
        <f t="shared" si="500"/>
        <v>224212.5</v>
      </c>
      <c r="DP172" s="1044">
        <f t="shared" si="500"/>
        <v>227332.5</v>
      </c>
      <c r="DQ172" s="172">
        <f t="shared" si="500"/>
        <v>230562</v>
      </c>
      <c r="DR172" s="1044">
        <f t="shared" si="500"/>
        <v>233882.5</v>
      </c>
      <c r="DS172" s="1044">
        <f t="shared" si="500"/>
        <v>237388</v>
      </c>
      <c r="DT172" s="1044">
        <f t="shared" si="500"/>
        <v>240917</v>
      </c>
      <c r="DU172" s="1044">
        <f t="shared" si="500"/>
        <v>244553</v>
      </c>
      <c r="DV172" s="1044">
        <f t="shared" si="500"/>
        <v>246687.5</v>
      </c>
      <c r="DW172" s="1044">
        <f t="shared" ref="DW172" ca="1" si="501">AVERAGE(DV171:DW171)</f>
        <v>247693.62841729453</v>
      </c>
      <c r="DX172" s="1044">
        <f t="shared" ref="DX172" ca="1" si="502">AVERAGE(DW171:DX171)</f>
        <v>249352.66854630041</v>
      </c>
      <c r="DY172" s="172">
        <f t="shared" ref="DY172" ca="1" si="503">AVERAGE(DX171:DY171)</f>
        <v>251124.39416519957</v>
      </c>
      <c r="DZ172" s="1044"/>
    </row>
    <row r="173" spans="1:130">
      <c r="A173" s="109"/>
      <c r="B173" s="109"/>
      <c r="C173" s="109"/>
      <c r="D173" s="109"/>
      <c r="E173" s="109"/>
      <c r="F173" s="109"/>
      <c r="G173" s="109"/>
      <c r="H173" s="109"/>
      <c r="I173" s="109"/>
      <c r="J173" s="109"/>
      <c r="K173" s="109"/>
      <c r="L173" s="109"/>
      <c r="M173" s="109"/>
      <c r="N173" s="109"/>
      <c r="O173" s="109"/>
      <c r="P173" s="109"/>
      <c r="Q173" s="109"/>
      <c r="R173" s="109"/>
      <c r="S173" s="109"/>
      <c r="T173" s="1044"/>
      <c r="U173" s="1044"/>
      <c r="V173" s="109"/>
      <c r="W173" s="109"/>
      <c r="X173" s="109"/>
      <c r="Y173" s="109"/>
      <c r="Z173" s="109"/>
      <c r="AA173" s="109"/>
      <c r="AB173" s="109"/>
      <c r="AC173" s="109"/>
      <c r="AD173" s="109"/>
      <c r="AE173" s="109"/>
      <c r="AF173" s="109"/>
      <c r="AG173" s="109"/>
      <c r="AH173" s="536"/>
      <c r="AI173" s="109"/>
      <c r="AJ173" s="109"/>
      <c r="AK173" s="109"/>
      <c r="AL173" s="109"/>
      <c r="AM173" s="109"/>
      <c r="AN173" s="276"/>
      <c r="AO173" s="276"/>
      <c r="AP173" s="109"/>
      <c r="AQ173" s="109"/>
      <c r="AR173" s="109"/>
      <c r="AS173" s="109"/>
      <c r="AT173" s="109"/>
      <c r="AU173" s="109"/>
      <c r="AV173" s="109"/>
      <c r="AW173" s="109"/>
      <c r="AX173" s="109"/>
      <c r="AY173" s="109"/>
      <c r="AZ173" s="109"/>
      <c r="BA173" s="109"/>
      <c r="BB173" s="109"/>
      <c r="BC173" s="109"/>
      <c r="BD173" s="109"/>
      <c r="BE173" s="109"/>
      <c r="BF173" s="109"/>
      <c r="BG173" s="109"/>
      <c r="BH173" s="109"/>
      <c r="BI173" s="109"/>
      <c r="BJ173" s="109"/>
      <c r="BK173" s="109"/>
      <c r="BL173" s="109"/>
      <c r="BM173" s="109"/>
      <c r="BN173" s="109"/>
      <c r="BO173" s="109"/>
      <c r="BP173" s="109"/>
      <c r="BQ173" s="109"/>
      <c r="BR173" s="171"/>
      <c r="BS173" s="109"/>
      <c r="BT173" s="109"/>
      <c r="BU173" s="109"/>
      <c r="BV173" s="171"/>
      <c r="BW173" s="109"/>
      <c r="BX173" s="109"/>
      <c r="BY173" s="109"/>
      <c r="BZ173" s="171"/>
      <c r="CA173" s="109"/>
      <c r="CB173" s="109"/>
      <c r="CC173" s="109"/>
      <c r="CD173" s="171"/>
      <c r="CE173" s="109"/>
      <c r="CF173" s="109"/>
      <c r="CG173" s="109"/>
      <c r="CH173" s="171"/>
      <c r="CI173" s="109"/>
      <c r="CJ173" s="109"/>
      <c r="CK173" s="109"/>
      <c r="CL173" s="171"/>
      <c r="CM173" s="109"/>
      <c r="CN173" s="109"/>
      <c r="CO173" s="109"/>
      <c r="CP173" s="171"/>
      <c r="CQ173" s="109"/>
      <c r="CR173" s="109"/>
      <c r="CS173" s="109"/>
      <c r="CT173" s="171"/>
      <c r="CU173" s="109"/>
      <c r="CV173" s="109"/>
      <c r="CW173" s="172"/>
      <c r="CX173" s="109"/>
      <c r="CY173" s="109"/>
      <c r="CZ173" s="109"/>
      <c r="DA173" s="109"/>
      <c r="DB173" s="171"/>
      <c r="DC173" s="109"/>
      <c r="DD173" s="109"/>
      <c r="DE173" s="109"/>
      <c r="DF173" s="171"/>
      <c r="DG173" s="1044"/>
      <c r="DH173" s="1044"/>
      <c r="DI173" s="172"/>
      <c r="DJ173" s="171"/>
      <c r="DK173" s="1044"/>
      <c r="DL173" s="1044"/>
      <c r="DM173" s="172"/>
      <c r="DN173" s="171"/>
      <c r="DO173" s="1044"/>
      <c r="DP173" s="1044"/>
      <c r="DQ173" s="172"/>
      <c r="DR173" s="1044"/>
      <c r="DS173" s="1044"/>
      <c r="DT173" s="1044"/>
      <c r="DU173" s="1044"/>
      <c r="DV173" s="1044"/>
      <c r="DW173" s="1044"/>
      <c r="DX173" s="1044"/>
      <c r="DY173" s="172"/>
      <c r="DZ173" s="1044"/>
    </row>
    <row r="174" spans="1:130">
      <c r="A174" s="319" t="s">
        <v>1337</v>
      </c>
      <c r="B174" s="320"/>
      <c r="C174" s="320"/>
      <c r="D174" s="94"/>
      <c r="E174" s="94"/>
      <c r="F174" s="94"/>
      <c r="G174" s="94"/>
      <c r="H174" s="94"/>
      <c r="I174" s="94"/>
      <c r="J174" s="94"/>
      <c r="K174" s="94"/>
      <c r="L174" s="94">
        <v>7.2362209451457452E-2</v>
      </c>
      <c r="M174" s="94">
        <v>8.0837280947005263E-2</v>
      </c>
      <c r="N174" s="94">
        <f t="shared" ref="N174:V174" si="504">N168/N172</f>
        <v>8.5995388704085046E-2</v>
      </c>
      <c r="O174" s="94">
        <f t="shared" si="504"/>
        <v>8.38932033494139E-2</v>
      </c>
      <c r="P174" s="94">
        <f t="shared" si="504"/>
        <v>8.025158345340655E-2</v>
      </c>
      <c r="Q174" s="94">
        <f t="shared" si="504"/>
        <v>7.5978951776872625E-2</v>
      </c>
      <c r="R174" s="94">
        <f t="shared" si="504"/>
        <v>7.4779688895048088E-2</v>
      </c>
      <c r="S174" s="94">
        <f t="shared" si="504"/>
        <v>7.6034272527914878E-2</v>
      </c>
      <c r="T174" s="1045">
        <f t="shared" si="504"/>
        <v>7.608166490671471E-2</v>
      </c>
      <c r="U174" s="1045">
        <f t="shared" si="504"/>
        <v>7.714896385094322E-2</v>
      </c>
      <c r="V174" s="94">
        <f t="shared" si="504"/>
        <v>7.6172035101789423E-2</v>
      </c>
      <c r="W174" s="94">
        <f t="shared" ref="W174:AB174" si="505">W168/W172</f>
        <v>7.8882377610274459E-2</v>
      </c>
      <c r="X174" s="94">
        <f t="shared" si="505"/>
        <v>7.5419229051810657E-2</v>
      </c>
      <c r="Y174" s="94">
        <f t="shared" si="505"/>
        <v>7.2055699343865742E-2</v>
      </c>
      <c r="Z174" s="94">
        <f t="shared" ca="1" si="505"/>
        <v>6.893780992048372E-2</v>
      </c>
      <c r="AA174" s="94">
        <f t="shared" ca="1" si="505"/>
        <v>6.8272815527352732E-2</v>
      </c>
      <c r="AB174" s="94">
        <f t="shared" ca="1" si="505"/>
        <v>6.8176558748367824E-2</v>
      </c>
      <c r="AC174" s="94">
        <f t="shared" ref="AC174:AG174" ca="1" si="506">AC168/AC172</f>
        <v>6.8117786181722692E-2</v>
      </c>
      <c r="AD174" s="94">
        <f t="shared" ca="1" si="506"/>
        <v>6.8089657144006527E-2</v>
      </c>
      <c r="AE174" s="94">
        <f t="shared" ca="1" si="506"/>
        <v>6.8093290359916958E-2</v>
      </c>
      <c r="AF174" s="94">
        <f t="shared" ca="1" si="506"/>
        <v>6.8132774984930075E-2</v>
      </c>
      <c r="AG174" s="94">
        <f t="shared" ca="1" si="506"/>
        <v>7.2768681770801258E-2</v>
      </c>
      <c r="AH174" s="138"/>
      <c r="AI174" s="94"/>
      <c r="AJ174" s="94"/>
      <c r="AK174" s="94"/>
      <c r="AL174" s="94"/>
      <c r="AM174" s="94"/>
      <c r="AN174" s="240"/>
      <c r="AO174" s="240"/>
      <c r="AP174" s="94"/>
      <c r="AQ174" s="94"/>
      <c r="AR174" s="94"/>
      <c r="AS174" s="94"/>
      <c r="AT174" s="94"/>
      <c r="AU174" s="94"/>
      <c r="AV174" s="94"/>
      <c r="AW174" s="94"/>
      <c r="AX174" s="94"/>
      <c r="AY174" s="94"/>
      <c r="AZ174" s="94"/>
      <c r="BA174" s="94"/>
      <c r="BB174" s="94"/>
      <c r="BC174" s="94"/>
      <c r="BD174" s="94"/>
      <c r="BE174" s="94"/>
      <c r="BF174" s="94"/>
      <c r="BG174" s="94"/>
      <c r="BH174" s="94"/>
      <c r="BI174" s="94"/>
      <c r="BJ174" s="94"/>
      <c r="BK174" s="94"/>
      <c r="BL174" s="94"/>
      <c r="BM174" s="94"/>
      <c r="BN174" s="94"/>
      <c r="BO174" s="94"/>
      <c r="BP174" s="94"/>
      <c r="BQ174" s="94"/>
      <c r="BR174" s="147">
        <v>1.4564646127629536E-2</v>
      </c>
      <c r="BS174" s="94">
        <v>1.7531298021050776E-2</v>
      </c>
      <c r="BT174" s="94">
        <v>1.7836434467689625E-2</v>
      </c>
      <c r="BU174" s="94">
        <v>2.2674163273494218E-2</v>
      </c>
      <c r="BV174" s="147">
        <v>1.9270570824977747E-2</v>
      </c>
      <c r="BW174" s="94">
        <v>2.1503041984146737E-2</v>
      </c>
      <c r="BX174" s="94">
        <v>2.0363799779483615E-2</v>
      </c>
      <c r="BY174" s="94">
        <v>1.9538169876410199E-2</v>
      </c>
      <c r="BZ174" s="147">
        <f t="shared" ref="BZ174:DE174" si="507">BZ168/BZ172</f>
        <v>2.0511527014074559E-2</v>
      </c>
      <c r="CA174" s="94">
        <f t="shared" si="507"/>
        <v>2.1070657434293798E-2</v>
      </c>
      <c r="CB174" s="94">
        <f t="shared" si="507"/>
        <v>1.993299290878927E-2</v>
      </c>
      <c r="CC174" s="94">
        <f t="shared" si="507"/>
        <v>2.3557166638757277E-2</v>
      </c>
      <c r="CD174" s="147">
        <f t="shared" si="507"/>
        <v>2.0273001309977744E-2</v>
      </c>
      <c r="CE174" s="94">
        <f t="shared" si="507"/>
        <v>2.0929315469034038E-2</v>
      </c>
      <c r="CF174" s="94">
        <f t="shared" si="507"/>
        <v>2.0345207317044166E-2</v>
      </c>
      <c r="CG174" s="94">
        <f t="shared" si="507"/>
        <v>2.2326447855560209E-2</v>
      </c>
      <c r="CH174" s="147">
        <f t="shared" si="507"/>
        <v>1.9820209098509258E-2</v>
      </c>
      <c r="CI174" s="94">
        <f t="shared" si="507"/>
        <v>1.9682451424115125E-2</v>
      </c>
      <c r="CJ174" s="94">
        <f t="shared" si="507"/>
        <v>1.9569957445413261E-2</v>
      </c>
      <c r="CK174" s="94">
        <f t="shared" si="507"/>
        <v>2.1689330458787712E-2</v>
      </c>
      <c r="CL174" s="147">
        <f t="shared" si="507"/>
        <v>1.6760274991134853E-2</v>
      </c>
      <c r="CM174" s="94">
        <f t="shared" si="507"/>
        <v>1.9490631661617863E-2</v>
      </c>
      <c r="CN174" s="94">
        <f t="shared" si="507"/>
        <v>1.9142514757445297E-2</v>
      </c>
      <c r="CO174" s="94">
        <f t="shared" si="507"/>
        <v>2.0013714647419273E-2</v>
      </c>
      <c r="CP174" s="147">
        <f t="shared" si="507"/>
        <v>1.4873264405623424E-2</v>
      </c>
      <c r="CQ174" s="94">
        <f t="shared" si="507"/>
        <v>1.7989359011185473E-2</v>
      </c>
      <c r="CR174" s="94">
        <f t="shared" si="507"/>
        <v>1.8228579761636464E-2</v>
      </c>
      <c r="CS174" s="94">
        <f t="shared" si="507"/>
        <v>2.1950390441289457E-2</v>
      </c>
      <c r="CT174" s="147">
        <f t="shared" si="507"/>
        <v>2.0611348760744427E-2</v>
      </c>
      <c r="CU174" s="94">
        <f t="shared" si="507"/>
        <v>2.1452809705806857E-2</v>
      </c>
      <c r="CV174" s="94">
        <f t="shared" si="507"/>
        <v>1.6963298398352297E-2</v>
      </c>
      <c r="CW174" s="101">
        <f t="shared" si="507"/>
        <v>1.7183056706875081E-2</v>
      </c>
      <c r="CX174" s="94">
        <f t="shared" si="507"/>
        <v>1.6433266647613604E-2</v>
      </c>
      <c r="CY174" s="94">
        <f t="shared" si="507"/>
        <v>1.7729805109761944E-2</v>
      </c>
      <c r="CZ174" s="94">
        <f t="shared" si="507"/>
        <v>1.7872998201198895E-2</v>
      </c>
      <c r="DA174" s="94">
        <f t="shared" si="507"/>
        <v>2.2786412546592586E-2</v>
      </c>
      <c r="DB174" s="147">
        <f t="shared" si="507"/>
        <v>1.7084976651638654E-2</v>
      </c>
      <c r="DC174" s="94">
        <f t="shared" si="507"/>
        <v>1.8787473145708229E-2</v>
      </c>
      <c r="DD174" s="94">
        <f t="shared" si="507"/>
        <v>1.9332964295599227E-2</v>
      </c>
      <c r="DE174" s="94">
        <f t="shared" si="507"/>
        <v>2.1844212558714576E-2</v>
      </c>
      <c r="DF174" s="147">
        <f>DF168/DF172</f>
        <v>1.8664016226450735E-2</v>
      </c>
      <c r="DG174" s="1045">
        <f>DG168/DG172</f>
        <v>1.925037002898191E-2</v>
      </c>
      <c r="DH174" s="1045">
        <f>DH168/DH172</f>
        <v>1.8037809519857968E-2</v>
      </c>
      <c r="DI174" s="101">
        <f>DI168/DI172</f>
        <v>1.9815168344324886E-2</v>
      </c>
      <c r="DJ174" s="147">
        <f t="shared" ref="DJ174:DM174" si="508">DJ168/DJ172</f>
        <v>1.6625198175537596E-2</v>
      </c>
      <c r="DK174" s="1045">
        <f t="shared" si="508"/>
        <v>2.1167315175097276E-2</v>
      </c>
      <c r="DL174" s="1045">
        <f t="shared" si="508"/>
        <v>2.038876689091057E-2</v>
      </c>
      <c r="DM174" s="101">
        <f t="shared" si="508"/>
        <v>2.3967749984548013E-2</v>
      </c>
      <c r="DN174" s="147">
        <f t="shared" ref="DN174:DO174" si="509">DN168/DN172</f>
        <v>1.5296997506955234E-2</v>
      </c>
      <c r="DO174" s="1045">
        <f t="shared" si="509"/>
        <v>1.7331772314210851E-2</v>
      </c>
      <c r="DP174" s="1045">
        <f t="shared" ref="DP174:DQ174" si="510">DP168/DP172</f>
        <v>1.8145227805087261E-2</v>
      </c>
      <c r="DQ174" s="101">
        <f t="shared" si="510"/>
        <v>2.4553048637676635E-2</v>
      </c>
      <c r="DR174" s="1045">
        <f t="shared" ref="DR174:DS174" si="511">DR168/DR172</f>
        <v>1.3113422338139879E-2</v>
      </c>
      <c r="DS174" s="1045">
        <f t="shared" si="511"/>
        <v>1.6614150673159554E-2</v>
      </c>
      <c r="DT174" s="1045">
        <f t="shared" ref="DT174:DU174" si="512">DT168/DT172</f>
        <v>1.7728097228506084E-2</v>
      </c>
      <c r="DU174" s="1045">
        <f t="shared" si="512"/>
        <v>2.4391440710193699E-2</v>
      </c>
      <c r="DV174" s="1045">
        <f t="shared" ref="DV174" si="513">DV168/DV172</f>
        <v>1.8452495566252849E-2</v>
      </c>
      <c r="DW174" s="1045">
        <f t="shared" ref="DW174:DY174" ca="1" si="514">DW168/DW172</f>
        <v>1.6560889598977859E-2</v>
      </c>
      <c r="DX174" s="1045">
        <f t="shared" ca="1" si="514"/>
        <v>1.6723005276337393E-2</v>
      </c>
      <c r="DY174" s="101">
        <f t="shared" ca="1" si="514"/>
        <v>1.7364217568155295E-2</v>
      </c>
      <c r="DZ174" s="1045"/>
    </row>
    <row r="175" spans="1:130">
      <c r="A175" s="319" t="s">
        <v>1338</v>
      </c>
      <c r="B175" s="320"/>
      <c r="C175" s="320"/>
      <c r="D175" s="94"/>
      <c r="E175" s="94"/>
      <c r="F175" s="94"/>
      <c r="G175" s="94"/>
      <c r="H175" s="94"/>
      <c r="I175" s="94"/>
      <c r="J175" s="94"/>
      <c r="K175" s="94"/>
      <c r="L175" s="94">
        <v>-4.7955123245274678E-2</v>
      </c>
      <c r="M175" s="94">
        <v>-3.900346050603163E-2</v>
      </c>
      <c r="N175" s="94">
        <f t="shared" ref="N175:V175" si="515">N169/N167</f>
        <v>-3.4099478332730748E-2</v>
      </c>
      <c r="O175" s="94">
        <f t="shared" si="515"/>
        <v>-3.7494671964489565E-2</v>
      </c>
      <c r="P175" s="94">
        <f t="shared" si="515"/>
        <v>-7.3025411927437223E-2</v>
      </c>
      <c r="Q175" s="94">
        <f t="shared" si="515"/>
        <v>-1.836228287841191E-2</v>
      </c>
      <c r="R175" s="94">
        <f t="shared" si="515"/>
        <v>-0.14581345889601693</v>
      </c>
      <c r="S175" s="94">
        <f t="shared" si="515"/>
        <v>-5.7985873237107556E-2</v>
      </c>
      <c r="T175" s="1045">
        <f t="shared" si="515"/>
        <v>-0.10307662341276098</v>
      </c>
      <c r="U175" s="1045">
        <f t="shared" si="515"/>
        <v>-2.5356077776452345E-2</v>
      </c>
      <c r="V175" s="94">
        <f t="shared" si="515"/>
        <v>-3.4174722115319314E-2</v>
      </c>
      <c r="W175" s="94">
        <f>W169/W167</f>
        <v>-0.12199142762940983</v>
      </c>
      <c r="X175" s="94">
        <f>X169/X167</f>
        <v>-2.2742240976004142E-2</v>
      </c>
      <c r="Y175" s="94">
        <f>Y169/Y167</f>
        <v>-1.2764033331180155E-2</v>
      </c>
      <c r="Z175" s="94">
        <f ca="1">Z169/Z167</f>
        <v>-4.7176136808112071E-2</v>
      </c>
      <c r="AA175" s="157">
        <v>-5.5E-2</v>
      </c>
      <c r="AB175" s="157">
        <v>-5.5E-2</v>
      </c>
      <c r="AC175" s="157">
        <v>-5.5E-2</v>
      </c>
      <c r="AD175" s="157">
        <v>-5.5E-2</v>
      </c>
      <c r="AE175" s="157">
        <v>-5.5E-2</v>
      </c>
      <c r="AF175" s="157">
        <v>-5.5E-2</v>
      </c>
      <c r="AG175" s="157">
        <v>-5.5E-2</v>
      </c>
      <c r="AH175" s="138"/>
      <c r="AI175" s="94"/>
      <c r="AJ175" s="94"/>
      <c r="AK175" s="94"/>
      <c r="AL175" s="94"/>
      <c r="AM175" s="94"/>
      <c r="AN175" s="240"/>
      <c r="AO175" s="240"/>
      <c r="AP175" s="94"/>
      <c r="AQ175" s="94"/>
      <c r="AR175" s="94"/>
      <c r="AS175" s="94"/>
      <c r="AT175" s="94"/>
      <c r="AU175" s="94"/>
      <c r="AV175" s="94"/>
      <c r="AW175" s="94"/>
      <c r="AX175" s="94"/>
      <c r="AY175" s="94"/>
      <c r="AZ175" s="94"/>
      <c r="BA175" s="94"/>
      <c r="BB175" s="94"/>
      <c r="BC175" s="94"/>
      <c r="BD175" s="94"/>
      <c r="BE175" s="94"/>
      <c r="BF175" s="94"/>
      <c r="BG175" s="94"/>
      <c r="BH175" s="94"/>
      <c r="BI175" s="94"/>
      <c r="BJ175" s="94"/>
      <c r="BK175" s="94"/>
      <c r="BL175" s="94"/>
      <c r="BM175" s="94"/>
      <c r="BN175" s="94"/>
      <c r="BO175" s="94"/>
      <c r="BP175" s="94"/>
      <c r="BQ175" s="94"/>
      <c r="BR175" s="147">
        <v>-1.0290704100806897E-2</v>
      </c>
      <c r="BS175" s="94">
        <v>-1.9255003604466237E-2</v>
      </c>
      <c r="BT175" s="94">
        <v>-7.1663643930916249E-3</v>
      </c>
      <c r="BU175" s="94">
        <v>-1.0995004254019503E-2</v>
      </c>
      <c r="BV175" s="147">
        <v>-8.8075807720917193E-3</v>
      </c>
      <c r="BW175" s="94">
        <v>-6.992671296444459E-3</v>
      </c>
      <c r="BX175" s="94">
        <v>-8.5316876235333704E-3</v>
      </c>
      <c r="BY175" s="94">
        <v>-1.3859308281300322E-2</v>
      </c>
      <c r="BZ175" s="147">
        <f t="shared" ref="BZ175:DE175" si="516">BZ169/BZ167</f>
        <v>2.6723826248644181E-2</v>
      </c>
      <c r="CA175" s="94">
        <f t="shared" si="516"/>
        <v>-3.4582203598718261E-2</v>
      </c>
      <c r="CB175" s="94">
        <f t="shared" si="516"/>
        <v>-1.0595761695321872E-2</v>
      </c>
      <c r="CC175" s="94">
        <f t="shared" si="516"/>
        <v>-1.307639366827254E-2</v>
      </c>
      <c r="CD175" s="147">
        <f t="shared" si="516"/>
        <v>-8.2651916378013706E-3</v>
      </c>
      <c r="CE175" s="94">
        <f t="shared" si="516"/>
        <v>-7.967664641672919E-3</v>
      </c>
      <c r="CF175" s="94">
        <f t="shared" si="516"/>
        <v>-1.1543735755479213E-2</v>
      </c>
      <c r="CG175" s="94">
        <f t="shared" si="516"/>
        <v>-9.0172008789876495E-3</v>
      </c>
      <c r="CH175" s="147">
        <f t="shared" si="516"/>
        <v>-2.9813920016449058E-2</v>
      </c>
      <c r="CI175" s="94">
        <f t="shared" si="516"/>
        <v>-1.6078627604633817E-2</v>
      </c>
      <c r="CJ175" s="94">
        <f t="shared" si="516"/>
        <v>-1.1321464688036499E-2</v>
      </c>
      <c r="CK175" s="94">
        <f t="shared" si="516"/>
        <v>-1.6018584169869763E-2</v>
      </c>
      <c r="CL175" s="147">
        <f t="shared" si="516"/>
        <v>1.0352264557872035E-2</v>
      </c>
      <c r="CM175" s="94">
        <f t="shared" si="516"/>
        <v>-7.6433408577878106E-3</v>
      </c>
      <c r="CN175" s="94">
        <f t="shared" si="516"/>
        <v>-8.891367387909882E-3</v>
      </c>
      <c r="CO175" s="94">
        <f t="shared" si="516"/>
        <v>-1.1061067691084912E-2</v>
      </c>
      <c r="CP175" s="147">
        <f t="shared" si="516"/>
        <v>-7.4392389220980404E-4</v>
      </c>
      <c r="CQ175" s="94">
        <f t="shared" si="516"/>
        <v>-5.3501085122815194E-3</v>
      </c>
      <c r="CR175" s="94">
        <f t="shared" si="516"/>
        <v>-8.9435812667481795E-2</v>
      </c>
      <c r="CS175" s="94">
        <f t="shared" si="516"/>
        <v>-5.0114982626377612E-2</v>
      </c>
      <c r="CT175" s="147">
        <f t="shared" si="516"/>
        <v>-2.0382225791972786E-2</v>
      </c>
      <c r="CU175" s="94">
        <f t="shared" si="516"/>
        <v>-1.5635037599667459E-2</v>
      </c>
      <c r="CV175" s="94">
        <f t="shared" si="516"/>
        <v>-8.3541129566234162E-3</v>
      </c>
      <c r="CW175" s="101">
        <f t="shared" si="516"/>
        <v>-1.3361390701961844E-2</v>
      </c>
      <c r="CX175" s="94">
        <f t="shared" si="516"/>
        <v>-4.3640377319989244E-3</v>
      </c>
      <c r="CY175" s="94">
        <f t="shared" si="516"/>
        <v>-2.0050400916380298E-2</v>
      </c>
      <c r="CZ175" s="94">
        <f t="shared" si="516"/>
        <v>-2.1259397719287771E-2</v>
      </c>
      <c r="DA175" s="94">
        <f t="shared" si="516"/>
        <v>-5.6591165695062097E-2</v>
      </c>
      <c r="DB175" s="147">
        <f t="shared" si="516"/>
        <v>-5.2248598353811281E-3</v>
      </c>
      <c r="DC175" s="94">
        <f t="shared" si="516"/>
        <v>-4.1116172046661197E-3</v>
      </c>
      <c r="DD175" s="94">
        <f t="shared" si="516"/>
        <v>-5.0133814072779986E-3</v>
      </c>
      <c r="DE175" s="94">
        <f t="shared" si="516"/>
        <v>-1.0387659387366261E-2</v>
      </c>
      <c r="DF175" s="147">
        <f t="shared" ref="DF175:DK175" si="517">DF169/DF167</f>
        <v>-5.315464197586761E-3</v>
      </c>
      <c r="DG175" s="1045">
        <f t="shared" si="517"/>
        <v>-3.1718943357115096E-3</v>
      </c>
      <c r="DH175" s="1045">
        <f t="shared" si="517"/>
        <v>-5.0686888669084513E-3</v>
      </c>
      <c r="DI175" s="101">
        <f t="shared" si="517"/>
        <v>-1.9574575182684465E-2</v>
      </c>
      <c r="DJ175" s="147">
        <f t="shared" si="517"/>
        <v>-0.10318080066635431</v>
      </c>
      <c r="DK175" s="1045">
        <f t="shared" si="517"/>
        <v>-5.7797698548878503E-3</v>
      </c>
      <c r="DL175" s="1045">
        <f t="shared" ref="DL175:DQ175" si="518">DL169/DL167</f>
        <v>-6.4307477733418824E-3</v>
      </c>
      <c r="DM175" s="101">
        <f t="shared" si="518"/>
        <v>-8.0581887997637006E-3</v>
      </c>
      <c r="DN175" s="147">
        <f t="shared" si="518"/>
        <v>-4.0015806470660373E-3</v>
      </c>
      <c r="DO175" s="1045">
        <f t="shared" si="518"/>
        <v>-3.5882857514966159E-3</v>
      </c>
      <c r="DP175" s="1045">
        <f t="shared" si="518"/>
        <v>-4.3055334077499599E-3</v>
      </c>
      <c r="DQ175" s="101">
        <f t="shared" si="518"/>
        <v>-1.028793101188682E-2</v>
      </c>
      <c r="DR175" s="1045">
        <f t="shared" ref="DR175:DS175" si="519">DR169/DR167</f>
        <v>1.1541028787976659E-3</v>
      </c>
      <c r="DS175" s="1045">
        <f t="shared" si="519"/>
        <v>-1.1377626830821482E-3</v>
      </c>
      <c r="DT175" s="1045">
        <f t="shared" ref="DT175:DU175" si="520">DT169/DT167</f>
        <v>-3.7161512544623076E-3</v>
      </c>
      <c r="DU175" s="1045">
        <f t="shared" si="520"/>
        <v>-8.5528919079337854E-3</v>
      </c>
      <c r="DV175" s="1045">
        <f t="shared" ref="DV175" si="521">DV169/DV167</f>
        <v>-1.6929143441326094E-2</v>
      </c>
      <c r="DW175" s="1284">
        <v>-0.01</v>
      </c>
      <c r="DX175" s="1284">
        <v>-0.01</v>
      </c>
      <c r="DY175" s="322">
        <v>-0.01</v>
      </c>
      <c r="DZ175" s="1045"/>
    </row>
    <row r="176" spans="1:130">
      <c r="A176" s="323"/>
      <c r="B176" s="87"/>
      <c r="C176" s="87"/>
      <c r="D176" s="87"/>
      <c r="E176" s="87"/>
      <c r="F176" s="87"/>
      <c r="G176" s="87"/>
      <c r="H176" s="87"/>
      <c r="I176" s="87"/>
      <c r="J176" s="87"/>
      <c r="K176" s="87"/>
      <c r="L176" s="87"/>
      <c r="M176" s="87"/>
      <c r="N176" s="87"/>
      <c r="O176" s="266"/>
      <c r="P176" s="87"/>
      <c r="Q176" s="143"/>
      <c r="R176" s="143"/>
      <c r="S176" s="143"/>
      <c r="T176" s="1047"/>
      <c r="U176" s="1047"/>
      <c r="V176" s="143"/>
      <c r="W176" s="143"/>
      <c r="X176" s="143"/>
      <c r="Y176" s="143"/>
      <c r="Z176" s="143"/>
      <c r="AA176" s="87"/>
      <c r="AB176" s="87"/>
      <c r="AC176" s="87"/>
      <c r="AD176" s="87"/>
      <c r="AE176" s="87"/>
      <c r="AF176" s="87"/>
      <c r="AG176" s="87"/>
      <c r="AH176" s="678"/>
      <c r="AI176" s="87"/>
      <c r="AJ176" s="87"/>
      <c r="AK176" s="87"/>
      <c r="AL176" s="87"/>
      <c r="AM176" s="87"/>
      <c r="AN176" s="123"/>
      <c r="AO176" s="123"/>
      <c r="AP176" s="87"/>
      <c r="AQ176" s="87"/>
      <c r="AR176" s="87"/>
      <c r="AS176" s="87"/>
      <c r="AT176" s="87"/>
      <c r="AU176" s="87"/>
      <c r="AV176" s="87"/>
      <c r="AW176" s="87"/>
      <c r="AX176" s="87"/>
      <c r="AY176" s="87"/>
      <c r="AZ176" s="87"/>
      <c r="BA176" s="87"/>
      <c r="BB176" s="87"/>
      <c r="BC176" s="87"/>
      <c r="BD176" s="87"/>
      <c r="BE176" s="87"/>
      <c r="BF176" s="87"/>
      <c r="BG176" s="87"/>
      <c r="BH176" s="87"/>
      <c r="BI176" s="87"/>
      <c r="BJ176" s="87"/>
      <c r="BK176" s="87"/>
      <c r="BL176" s="87"/>
      <c r="BM176" s="87"/>
      <c r="BN176" s="87"/>
      <c r="BO176" s="87"/>
      <c r="BP176" s="87"/>
      <c r="BQ176" s="87"/>
      <c r="BR176" s="88"/>
      <c r="BS176" s="87"/>
      <c r="BT176" s="87"/>
      <c r="BU176" s="87"/>
      <c r="BV176" s="88"/>
      <c r="BW176" s="87"/>
      <c r="BX176" s="87"/>
      <c r="BY176" s="87"/>
      <c r="BZ176" s="88"/>
      <c r="CA176" s="87"/>
      <c r="CB176" s="87"/>
      <c r="CC176" s="87"/>
      <c r="CD176" s="88"/>
      <c r="CE176" s="87"/>
      <c r="CF176" s="87"/>
      <c r="CG176" s="87"/>
      <c r="CH176" s="88"/>
      <c r="CI176" s="87"/>
      <c r="CJ176" s="87"/>
      <c r="CK176" s="87"/>
      <c r="CL176" s="88"/>
      <c r="CM176" s="87"/>
      <c r="CN176" s="87"/>
      <c r="CO176" s="87"/>
      <c r="CP176" s="88"/>
      <c r="CQ176" s="87"/>
      <c r="CR176" s="87"/>
      <c r="CS176" s="87"/>
      <c r="CT176" s="88"/>
      <c r="CU176" s="87"/>
      <c r="CV176" s="87"/>
      <c r="CW176" s="144"/>
      <c r="CX176" s="87"/>
      <c r="CY176" s="87"/>
      <c r="CZ176" s="87"/>
      <c r="DA176" s="87"/>
      <c r="DB176" s="88"/>
      <c r="DC176" s="87"/>
      <c r="DD176" s="87"/>
      <c r="DE176" s="87"/>
      <c r="DF176" s="88"/>
      <c r="DG176" s="1041"/>
      <c r="DH176" s="1041"/>
      <c r="DI176" s="144"/>
      <c r="DJ176" s="88"/>
      <c r="DK176" s="1041"/>
      <c r="DL176" s="1041"/>
      <c r="DM176" s="144"/>
      <c r="DN176" s="88"/>
      <c r="DO176" s="1041"/>
      <c r="DP176" s="1041"/>
      <c r="DQ176" s="144"/>
      <c r="DR176" s="1041"/>
      <c r="DS176" s="1041"/>
      <c r="DT176" s="1041"/>
      <c r="DU176" s="1041"/>
      <c r="DV176" s="1041"/>
      <c r="DW176" s="1041"/>
      <c r="DX176" s="1041"/>
      <c r="DY176" s="144"/>
      <c r="DZ176" s="1041"/>
    </row>
    <row r="177" spans="1:130">
      <c r="A177" s="324" t="s">
        <v>1339</v>
      </c>
      <c r="B177" s="325"/>
      <c r="C177" s="325"/>
      <c r="D177" s="325"/>
      <c r="E177" s="325"/>
      <c r="F177" s="325"/>
      <c r="G177" s="325"/>
      <c r="H177" s="325"/>
      <c r="I177" s="325"/>
      <c r="J177" s="325"/>
      <c r="K177" s="325"/>
      <c r="L177" s="192">
        <v>105638</v>
      </c>
      <c r="M177" s="192">
        <v>111398</v>
      </c>
      <c r="N177" s="192">
        <f t="shared" ref="N177:AB177" si="522">M181</f>
        <v>118305</v>
      </c>
      <c r="O177" s="192">
        <f t="shared" si="522"/>
        <v>121753</v>
      </c>
      <c r="P177" s="192">
        <f t="shared" si="522"/>
        <v>128700</v>
      </c>
      <c r="Q177" s="192">
        <f t="shared" si="522"/>
        <v>129059</v>
      </c>
      <c r="R177" s="192">
        <f t="shared" si="522"/>
        <v>137052</v>
      </c>
      <c r="S177" s="192">
        <f t="shared" si="522"/>
        <v>123944</v>
      </c>
      <c r="T177" s="325">
        <f t="shared" si="522"/>
        <v>127192</v>
      </c>
      <c r="U177" s="325">
        <f t="shared" si="522"/>
        <v>120933</v>
      </c>
      <c r="V177" s="192">
        <f t="shared" si="522"/>
        <v>131909</v>
      </c>
      <c r="W177" s="192">
        <f>V181</f>
        <v>140561</v>
      </c>
      <c r="X177" s="192">
        <f>W181</f>
        <v>136622</v>
      </c>
      <c r="Y177" s="192">
        <f>X181</f>
        <v>147464</v>
      </c>
      <c r="Z177" s="192">
        <f>Y181</f>
        <v>157930</v>
      </c>
      <c r="AA177" s="192">
        <f t="shared" ca="1" si="522"/>
        <v>164613.29902457807</v>
      </c>
      <c r="AB177" s="192">
        <f t="shared" ca="1" si="522"/>
        <v>168198.79233126272</v>
      </c>
      <c r="AC177" s="192">
        <f t="shared" ref="AC177" ca="1" si="523">AB181</f>
        <v>171533.79977159642</v>
      </c>
      <c r="AD177" s="192">
        <f t="shared" ref="AD177" ca="1" si="524">AC181</f>
        <v>174620.88977955052</v>
      </c>
      <c r="AE177" s="192">
        <f t="shared" ref="AE177" ca="1" si="525">AD181</f>
        <v>177462.50285235044</v>
      </c>
      <c r="AF177" s="192">
        <f t="shared" ref="AF177" ca="1" si="526">AE181</f>
        <v>180060.98027325299</v>
      </c>
      <c r="AG177" s="192">
        <f t="shared" ref="AG177" ca="1" si="527">AF181</f>
        <v>182418.57503005659</v>
      </c>
      <c r="AH177" s="1416"/>
      <c r="AI177" s="325"/>
      <c r="AJ177" s="325"/>
      <c r="AK177" s="325"/>
      <c r="AL177" s="325"/>
      <c r="AM177" s="325"/>
      <c r="AN177" s="327"/>
      <c r="AO177" s="327"/>
      <c r="AP177" s="325"/>
      <c r="AQ177" s="325"/>
      <c r="AR177" s="325"/>
      <c r="AS177" s="325"/>
      <c r="AT177" s="325"/>
      <c r="AU177" s="325"/>
      <c r="AV177" s="325"/>
      <c r="AW177" s="325"/>
      <c r="AX177" s="325"/>
      <c r="AY177" s="325"/>
      <c r="AZ177" s="325"/>
      <c r="BA177" s="325"/>
      <c r="BB177" s="325"/>
      <c r="BC177" s="325"/>
      <c r="BD177" s="325"/>
      <c r="BE177" s="325"/>
      <c r="BF177" s="325"/>
      <c r="BG177" s="325"/>
      <c r="BH177" s="325"/>
      <c r="BI177" s="325"/>
      <c r="BJ177" s="325"/>
      <c r="BK177" s="325"/>
      <c r="BL177" s="325"/>
      <c r="BM177" s="325"/>
      <c r="BN177" s="325"/>
      <c r="BO177" s="325"/>
      <c r="BP177" s="325"/>
      <c r="BQ177" s="325"/>
      <c r="BR177" s="328">
        <v>105638</v>
      </c>
      <c r="BS177" s="192">
        <v>107115</v>
      </c>
      <c r="BT177" s="192">
        <v>107873</v>
      </c>
      <c r="BU177" s="192">
        <v>109870</v>
      </c>
      <c r="BV177" s="328">
        <v>111398</v>
      </c>
      <c r="BW177" s="192">
        <v>113111</v>
      </c>
      <c r="BX177" s="192">
        <v>115099</v>
      </c>
      <c r="BY177" s="192">
        <v>117314</v>
      </c>
      <c r="BZ177" s="328">
        <f t="shared" ref="BZ177:DV177" si="528">BY181</f>
        <v>118305</v>
      </c>
      <c r="CA177" s="192">
        <f t="shared" si="528"/>
        <v>120580</v>
      </c>
      <c r="CB177" s="192">
        <f t="shared" si="528"/>
        <v>119083</v>
      </c>
      <c r="CC177" s="192">
        <f t="shared" si="528"/>
        <v>120565</v>
      </c>
      <c r="CD177" s="328">
        <f t="shared" si="528"/>
        <v>121753</v>
      </c>
      <c r="CE177" s="192">
        <f t="shared" si="528"/>
        <v>123607</v>
      </c>
      <c r="CF177" s="192">
        <f t="shared" si="528"/>
        <v>125562</v>
      </c>
      <c r="CG177" s="192">
        <f t="shared" si="528"/>
        <v>126823</v>
      </c>
      <c r="CH177" s="328">
        <f t="shared" si="528"/>
        <v>128700</v>
      </c>
      <c r="CI177" s="192">
        <f t="shared" si="528"/>
        <v>127350</v>
      </c>
      <c r="CJ177" s="192">
        <f t="shared" si="528"/>
        <v>127450</v>
      </c>
      <c r="CK177" s="192">
        <f t="shared" si="528"/>
        <v>128687</v>
      </c>
      <c r="CL177" s="328">
        <f t="shared" si="528"/>
        <v>129059</v>
      </c>
      <c r="CM177" s="192">
        <f t="shared" si="528"/>
        <v>131645</v>
      </c>
      <c r="CN177" s="192">
        <f t="shared" si="528"/>
        <v>133848</v>
      </c>
      <c r="CO177" s="192">
        <f t="shared" si="528"/>
        <v>135636</v>
      </c>
      <c r="CP177" s="328">
        <f t="shared" si="528"/>
        <v>137052</v>
      </c>
      <c r="CQ177" s="192">
        <f t="shared" si="528"/>
        <v>139937</v>
      </c>
      <c r="CR177" s="192">
        <f t="shared" si="528"/>
        <v>142626</v>
      </c>
      <c r="CS177" s="192">
        <f t="shared" si="528"/>
        <v>130429</v>
      </c>
      <c r="CT177" s="328">
        <f t="shared" si="528"/>
        <v>123944</v>
      </c>
      <c r="CU177" s="192">
        <f t="shared" si="528"/>
        <v>123459</v>
      </c>
      <c r="CV177" s="192">
        <f t="shared" si="528"/>
        <v>123552</v>
      </c>
      <c r="CW177" s="326">
        <f t="shared" si="528"/>
        <v>125955</v>
      </c>
      <c r="CX177" s="192">
        <f t="shared" si="528"/>
        <v>127192</v>
      </c>
      <c r="CY177" s="192">
        <f t="shared" si="528"/>
        <v>130064</v>
      </c>
      <c r="CZ177" s="192">
        <f t="shared" si="528"/>
        <v>129844</v>
      </c>
      <c r="DA177" s="192">
        <f t="shared" si="528"/>
        <v>129185</v>
      </c>
      <c r="DB177" s="328">
        <f t="shared" si="528"/>
        <v>120933</v>
      </c>
      <c r="DC177" s="192">
        <f t="shared" si="528"/>
        <v>123901</v>
      </c>
      <c r="DD177" s="192">
        <f t="shared" si="528"/>
        <v>126892</v>
      </c>
      <c r="DE177" s="192">
        <f t="shared" si="528"/>
        <v>129809</v>
      </c>
      <c r="DF177" s="328">
        <f t="shared" si="528"/>
        <v>131909</v>
      </c>
      <c r="DG177" s="325">
        <f t="shared" si="528"/>
        <v>134785</v>
      </c>
      <c r="DH177" s="325">
        <f t="shared" si="528"/>
        <v>137763</v>
      </c>
      <c r="DI177" s="326">
        <f t="shared" si="528"/>
        <v>140520</v>
      </c>
      <c r="DJ177" s="328">
        <f t="shared" si="528"/>
        <v>140561</v>
      </c>
      <c r="DK177" s="325">
        <f t="shared" si="528"/>
        <v>128747</v>
      </c>
      <c r="DL177" s="325">
        <f t="shared" si="528"/>
        <v>131129</v>
      </c>
      <c r="DM177" s="326">
        <f t="shared" si="528"/>
        <v>134112</v>
      </c>
      <c r="DN177" s="328">
        <f t="shared" si="528"/>
        <v>136622</v>
      </c>
      <c r="DO177" s="325">
        <f t="shared" si="528"/>
        <v>139658</v>
      </c>
      <c r="DP177" s="325">
        <f t="shared" si="528"/>
        <v>142584</v>
      </c>
      <c r="DQ177" s="326">
        <f t="shared" si="528"/>
        <v>145495</v>
      </c>
      <c r="DR177" s="325">
        <f t="shared" si="528"/>
        <v>147464</v>
      </c>
      <c r="DS177" s="325">
        <f t="shared" si="528"/>
        <v>150337</v>
      </c>
      <c r="DT177" s="325">
        <f t="shared" si="528"/>
        <v>152705</v>
      </c>
      <c r="DU177" s="325">
        <f t="shared" si="528"/>
        <v>155986</v>
      </c>
      <c r="DV177" s="325">
        <f t="shared" si="528"/>
        <v>157930</v>
      </c>
      <c r="DW177" s="325">
        <f t="shared" ref="DW177" si="529">DV181</f>
        <v>158955</v>
      </c>
      <c r="DX177" s="325">
        <f t="shared" ref="DX177" ca="1" si="530">DW181</f>
        <v>160827.86566972945</v>
      </c>
      <c r="DY177" s="326">
        <f t="shared" ref="DY177" ca="1" si="531">DX181</f>
        <v>162713.47884009834</v>
      </c>
      <c r="DZ177" s="325"/>
    </row>
    <row r="178" spans="1:130">
      <c r="A178" s="329" t="s">
        <v>1340</v>
      </c>
      <c r="B178" s="308"/>
      <c r="C178" s="308"/>
      <c r="D178" s="91"/>
      <c r="E178" s="91"/>
      <c r="F178" s="91"/>
      <c r="G178" s="91"/>
      <c r="H178" s="91"/>
      <c r="I178" s="91"/>
      <c r="J178" s="109"/>
      <c r="K178" s="109"/>
      <c r="L178" s="149">
        <v>13881</v>
      </c>
      <c r="M178" s="149">
        <v>13708</v>
      </c>
      <c r="N178" s="169">
        <f>SUM(BZ178:CC178)</f>
        <v>14264</v>
      </c>
      <c r="O178" s="149">
        <f>SUM(CD178:CG178)</f>
        <v>14120</v>
      </c>
      <c r="P178" s="149">
        <f>SUM(CH178:CK178)</f>
        <v>14505</v>
      </c>
      <c r="Q178" s="149">
        <f>SUM(CL178:CO178)</f>
        <v>15333</v>
      </c>
      <c r="R178" s="149">
        <f>SUM(CP178:CS178)</f>
        <v>15890</v>
      </c>
      <c r="S178" s="149">
        <f>SUM(CT178:CW178)</f>
        <v>16496</v>
      </c>
      <c r="T178" s="1113">
        <f>SUM(CX178:DA178)</f>
        <v>16460</v>
      </c>
      <c r="U178" s="1113">
        <f>SUM(DB178:DE178)</f>
        <v>16606</v>
      </c>
      <c r="V178" s="149">
        <f>SUM(DF178:DI178)</f>
        <v>16533</v>
      </c>
      <c r="W178" s="149">
        <f>SUM(DJ178:DM178)</f>
        <v>16017</v>
      </c>
      <c r="X178" s="149">
        <f>SUM(DN178:DQ178)</f>
        <v>15928</v>
      </c>
      <c r="Y178" s="149">
        <f>SUM(DR178:DU178)</f>
        <v>16954</v>
      </c>
      <c r="Z178" s="149">
        <f ca="1">SUM(DV178:DY178)</f>
        <v>17438.122395504059</v>
      </c>
      <c r="AA178" s="149">
        <f ca="1">AA172/(AA188)</f>
        <v>17448.447250665944</v>
      </c>
      <c r="AB178" s="149">
        <f ca="1">AB172/(AB188)</f>
        <v>17388.464921089417</v>
      </c>
      <c r="AC178" s="149">
        <f t="shared" ref="AC178:AG178" ca="1" si="532">AC172/(AC188)</f>
        <v>17332.258805757399</v>
      </c>
      <c r="AD178" s="149">
        <f t="shared" ca="1" si="532"/>
        <v>17280.235774858396</v>
      </c>
      <c r="AE178" s="149">
        <f t="shared" ca="1" si="532"/>
        <v>17232.757878509019</v>
      </c>
      <c r="AF178" s="149">
        <f t="shared" ca="1" si="532"/>
        <v>17190.239744419494</v>
      </c>
      <c r="AG178" s="149">
        <f t="shared" ca="1" si="532"/>
        <v>17193.729220377427</v>
      </c>
      <c r="AH178" s="1238"/>
      <c r="AI178" s="91"/>
      <c r="AJ178" s="91"/>
      <c r="AK178" s="91"/>
      <c r="AL178" s="91"/>
      <c r="AM178" s="91"/>
      <c r="AN178" s="123"/>
      <c r="AO178" s="123"/>
      <c r="AP178" s="149"/>
      <c r="AQ178" s="149"/>
      <c r="AR178" s="149"/>
      <c r="AS178" s="149"/>
      <c r="AT178" s="149"/>
      <c r="AU178" s="149"/>
      <c r="AV178" s="149"/>
      <c r="AW178" s="149"/>
      <c r="AX178" s="149"/>
      <c r="AY178" s="149"/>
      <c r="AZ178" s="149"/>
      <c r="BA178" s="149"/>
      <c r="BB178" s="149"/>
      <c r="BC178" s="149"/>
      <c r="BD178" s="149"/>
      <c r="BE178" s="149"/>
      <c r="BF178" s="149"/>
      <c r="BG178" s="149"/>
      <c r="BH178" s="149"/>
      <c r="BI178" s="149"/>
      <c r="BJ178" s="149"/>
      <c r="BK178" s="149"/>
      <c r="BL178" s="149"/>
      <c r="BM178" s="149"/>
      <c r="BN178" s="149"/>
      <c r="BO178" s="149"/>
      <c r="BP178" s="149"/>
      <c r="BQ178" s="149"/>
      <c r="BR178" s="150">
        <v>3396</v>
      </c>
      <c r="BS178" s="149">
        <v>3437</v>
      </c>
      <c r="BT178" s="149">
        <v>3483</v>
      </c>
      <c r="BU178" s="149">
        <v>3565</v>
      </c>
      <c r="BV178" s="150">
        <v>3376</v>
      </c>
      <c r="BW178" s="149">
        <v>3410</v>
      </c>
      <c r="BX178" s="149">
        <v>3433</v>
      </c>
      <c r="BY178" s="149">
        <v>3489</v>
      </c>
      <c r="BZ178" s="150">
        <f>IS!BW48</f>
        <v>3599</v>
      </c>
      <c r="CA178" s="149">
        <f>IS!BX48</f>
        <v>3539</v>
      </c>
      <c r="CB178" s="149">
        <f>IS!BY48</f>
        <v>3537</v>
      </c>
      <c r="CC178" s="149">
        <f>IS!BZ48</f>
        <v>3589</v>
      </c>
      <c r="CD178" s="150">
        <f>IS!CA48</f>
        <v>3469</v>
      </c>
      <c r="CE178" s="149">
        <f>IS!CB48</f>
        <v>3509</v>
      </c>
      <c r="CF178" s="149">
        <f>IS!CC48</f>
        <v>3540</v>
      </c>
      <c r="CG178" s="149">
        <f>IS!CD48</f>
        <v>3602</v>
      </c>
      <c r="CH178" s="150">
        <f>IS!CE48</f>
        <v>3522</v>
      </c>
      <c r="CI178" s="149">
        <f>IS!CF48</f>
        <v>3584</v>
      </c>
      <c r="CJ178" s="149">
        <f>IS!CG48</f>
        <v>3652</v>
      </c>
      <c r="CK178" s="149">
        <f>IS!CH48</f>
        <v>3747</v>
      </c>
      <c r="CL178" s="150">
        <f>IS!CI48</f>
        <v>3766</v>
      </c>
      <c r="CM178" s="149">
        <f>IS!CJ48</f>
        <v>3780</v>
      </c>
      <c r="CN178" s="149">
        <f>IS!CK48</f>
        <v>3849</v>
      </c>
      <c r="CO178" s="149">
        <f>IS!CL48</f>
        <v>3938</v>
      </c>
      <c r="CP178" s="150">
        <f>IS!CM48</f>
        <v>3889</v>
      </c>
      <c r="CQ178" s="149">
        <f>IS!CN48</f>
        <v>3944</v>
      </c>
      <c r="CR178" s="149">
        <f>IS!CO48</f>
        <v>3998</v>
      </c>
      <c r="CS178" s="149">
        <f>IS!CP48</f>
        <v>4059</v>
      </c>
      <c r="CT178" s="150">
        <f>IS!CQ48</f>
        <v>4024</v>
      </c>
      <c r="CU178" s="149">
        <f>IS!CR48</f>
        <v>4113</v>
      </c>
      <c r="CV178" s="149">
        <f>IS!CS48</f>
        <v>4179</v>
      </c>
      <c r="CW178" s="155">
        <f>IS!CT48</f>
        <v>4180</v>
      </c>
      <c r="CX178" s="149">
        <f>IS!CU48</f>
        <v>4028</v>
      </c>
      <c r="CY178" s="149">
        <f>IS!CV48</f>
        <v>4128</v>
      </c>
      <c r="CZ178" s="149">
        <f>IS!CW48</f>
        <v>4167</v>
      </c>
      <c r="DA178" s="149">
        <f>IS!CX48</f>
        <v>4137</v>
      </c>
      <c r="DB178" s="150">
        <f>IS!CY48</f>
        <v>4118</v>
      </c>
      <c r="DC178" s="149">
        <f>IS!CZ48</f>
        <v>4151</v>
      </c>
      <c r="DD178" s="149">
        <f>IS!DA48</f>
        <v>4154</v>
      </c>
      <c r="DE178" s="149">
        <f>IS!DB48</f>
        <v>4183</v>
      </c>
      <c r="DF178" s="150">
        <f>IS!DC48</f>
        <v>4137</v>
      </c>
      <c r="DG178" s="1113">
        <f>IS!DD48</f>
        <v>4161</v>
      </c>
      <c r="DH178" s="1113">
        <f>IS!DE48</f>
        <v>4167</v>
      </c>
      <c r="DI178" s="155">
        <f>IS!DF48</f>
        <v>4068</v>
      </c>
      <c r="DJ178" s="150">
        <f>IS!DG48</f>
        <v>3989</v>
      </c>
      <c r="DK178" s="1113">
        <f>IS!DH48</f>
        <v>3980</v>
      </c>
      <c r="DL178" s="2150">
        <f>IS!DI48</f>
        <v>4009</v>
      </c>
      <c r="DM178" s="2477">
        <f>IS!DJ48</f>
        <v>4039</v>
      </c>
      <c r="DN178" s="2489">
        <f>IS!DK48</f>
        <v>4017</v>
      </c>
      <c r="DO178" s="2150">
        <f>IS!DL48</f>
        <v>3982</v>
      </c>
      <c r="DP178" s="2150">
        <f>IS!DM48</f>
        <v>3942</v>
      </c>
      <c r="DQ178" s="2477">
        <f>IS!DN48</f>
        <v>3987</v>
      </c>
      <c r="DR178" s="2150">
        <f>IS!DO48</f>
        <v>4059</v>
      </c>
      <c r="DS178" s="2150">
        <f>IS!DP48</f>
        <v>4167</v>
      </c>
      <c r="DT178" s="2150">
        <f>IS!DQ48</f>
        <v>4272</v>
      </c>
      <c r="DU178" s="2150">
        <f>IS!DR48</f>
        <v>4456</v>
      </c>
      <c r="DV178" s="2150">
        <f>IS!DS48</f>
        <v>4324</v>
      </c>
      <c r="DW178" s="1113">
        <f t="shared" ref="DW178:DY178" ca="1" si="533">DW172/(DW188*4)</f>
        <v>4341.6356697294414</v>
      </c>
      <c r="DX178" s="1113">
        <f t="shared" ca="1" si="533"/>
        <v>4370.7157387147827</v>
      </c>
      <c r="DY178" s="155">
        <f t="shared" ca="1" si="533"/>
        <v>4401.7709870598346</v>
      </c>
      <c r="DZ178" s="1068"/>
    </row>
    <row r="179" spans="1:130">
      <c r="A179" s="87" t="s">
        <v>1333</v>
      </c>
      <c r="B179" s="87"/>
      <c r="C179" s="87"/>
      <c r="D179" s="87"/>
      <c r="E179" s="87"/>
      <c r="F179" s="87"/>
      <c r="G179" s="87"/>
      <c r="H179" s="87"/>
      <c r="I179" s="87"/>
      <c r="J179" s="109"/>
      <c r="K179" s="109"/>
      <c r="L179" s="143">
        <v>-8121</v>
      </c>
      <c r="M179" s="143">
        <v>-6801</v>
      </c>
      <c r="N179" s="109">
        <f>SUM(BZ179:CC179)</f>
        <v>-10816</v>
      </c>
      <c r="O179" s="143">
        <f>SUM(CD179:CG179)</f>
        <v>-7173</v>
      </c>
      <c r="P179" s="143">
        <f>SUM(CH179:CK179)</f>
        <v>-14146</v>
      </c>
      <c r="Q179" s="143">
        <f>SUM(CL179:CO179)</f>
        <v>-7340</v>
      </c>
      <c r="R179" s="143">
        <f>SUM(CP179:CS179)</f>
        <v>-28998</v>
      </c>
      <c r="S179" s="143">
        <f>SUM(CT179:CW179)</f>
        <v>-13248</v>
      </c>
      <c r="T179" s="1047">
        <f>SUM(CX179:DA179)</f>
        <v>-22719</v>
      </c>
      <c r="U179" s="1047">
        <f>SUM(DB179:DE179)</f>
        <v>-5630</v>
      </c>
      <c r="V179" s="143">
        <f>SUM(DF179:DI179)</f>
        <v>-7881</v>
      </c>
      <c r="W179" s="143">
        <f>SUM(DJ179:DM179)</f>
        <v>-19956</v>
      </c>
      <c r="X179" s="143">
        <f>SUM(DN179:DQ179)</f>
        <v>-5086</v>
      </c>
      <c r="Y179" s="143">
        <f>SUM(DR179:DU179)</f>
        <v>-6488</v>
      </c>
      <c r="Z179" s="143">
        <f ca="1">SUM(DV179:DY179)</f>
        <v>-10754.823370926009</v>
      </c>
      <c r="AA179" s="109">
        <f ca="1">AA169</f>
        <v>-13862.953943981303</v>
      </c>
      <c r="AB179" s="109">
        <f ca="1">AB169</f>
        <v>-14053.457480755709</v>
      </c>
      <c r="AC179" s="109">
        <f t="shared" ref="AC179:AG179" ca="1" si="534">AC169</f>
        <v>-14245.168797803286</v>
      </c>
      <c r="AD179" s="109">
        <f t="shared" ca="1" si="534"/>
        <v>-14438.622702058452</v>
      </c>
      <c r="AE179" s="109">
        <f t="shared" ca="1" si="534"/>
        <v>-14634.280457606481</v>
      </c>
      <c r="AF179" s="109">
        <f t="shared" ca="1" si="534"/>
        <v>-14832.644987615899</v>
      </c>
      <c r="AG179" s="109">
        <f t="shared" ca="1" si="534"/>
        <v>-15034.308731926478</v>
      </c>
      <c r="AH179" s="678"/>
      <c r="AI179" s="87"/>
      <c r="AJ179" s="87"/>
      <c r="AK179" s="87"/>
      <c r="AL179" s="87"/>
      <c r="AM179" s="87"/>
      <c r="AN179" s="123"/>
      <c r="AO179" s="123"/>
      <c r="AP179" s="143"/>
      <c r="AQ179" s="143"/>
      <c r="AR179" s="143"/>
      <c r="AS179" s="143"/>
      <c r="AT179" s="143"/>
      <c r="AU179" s="143"/>
      <c r="AV179" s="143"/>
      <c r="AW179" s="143"/>
      <c r="AX179" s="143"/>
      <c r="AY179" s="143"/>
      <c r="AZ179" s="143"/>
      <c r="BA179" s="143"/>
      <c r="BB179" s="143"/>
      <c r="BC179" s="143"/>
      <c r="BD179" s="143"/>
      <c r="BE179" s="143"/>
      <c r="BF179" s="143"/>
      <c r="BG179" s="143"/>
      <c r="BH179" s="143"/>
      <c r="BI179" s="143"/>
      <c r="BJ179" s="143"/>
      <c r="BK179" s="143"/>
      <c r="BL179" s="143"/>
      <c r="BM179" s="143"/>
      <c r="BN179" s="143"/>
      <c r="BO179" s="143"/>
      <c r="BP179" s="143"/>
      <c r="BQ179" s="143"/>
      <c r="BR179" s="159">
        <v>-1919</v>
      </c>
      <c r="BS179" s="143">
        <v>-2679</v>
      </c>
      <c r="BT179" s="143">
        <v>-1486</v>
      </c>
      <c r="BU179" s="143">
        <v>-2037</v>
      </c>
      <c r="BV179" s="159">
        <v>-1663</v>
      </c>
      <c r="BW179" s="143">
        <v>-1422</v>
      </c>
      <c r="BX179" s="143">
        <v>-1218</v>
      </c>
      <c r="BY179" s="143">
        <v>-2498</v>
      </c>
      <c r="BZ179" s="159">
        <f t="shared" ref="BZ179:DF179" si="535">BZ181-BZ177-BZ178-BZ180</f>
        <v>-1324</v>
      </c>
      <c r="CA179" s="143">
        <f t="shared" si="535"/>
        <v>-5036</v>
      </c>
      <c r="CB179" s="143">
        <f t="shared" si="535"/>
        <v>-2055</v>
      </c>
      <c r="CC179" s="143">
        <f t="shared" si="535"/>
        <v>-2401</v>
      </c>
      <c r="CD179" s="159">
        <f t="shared" si="535"/>
        <v>-1615</v>
      </c>
      <c r="CE179" s="143">
        <f t="shared" si="535"/>
        <v>-1554</v>
      </c>
      <c r="CF179" s="143">
        <f t="shared" si="535"/>
        <v>-2279</v>
      </c>
      <c r="CG179" s="143">
        <f t="shared" si="535"/>
        <v>-1725</v>
      </c>
      <c r="CH179" s="159">
        <f t="shared" si="535"/>
        <v>-4872</v>
      </c>
      <c r="CI179" s="143">
        <f t="shared" si="535"/>
        <v>-3484</v>
      </c>
      <c r="CJ179" s="143">
        <f t="shared" si="535"/>
        <v>-2415</v>
      </c>
      <c r="CK179" s="143">
        <f t="shared" si="535"/>
        <v>-3375</v>
      </c>
      <c r="CL179" s="159">
        <f t="shared" si="535"/>
        <v>-1180</v>
      </c>
      <c r="CM179" s="143">
        <f t="shared" si="535"/>
        <v>-1577</v>
      </c>
      <c r="CN179" s="143">
        <f t="shared" si="535"/>
        <v>-2061</v>
      </c>
      <c r="CO179" s="143">
        <f t="shared" si="535"/>
        <v>-2522</v>
      </c>
      <c r="CP179" s="159">
        <f t="shared" si="535"/>
        <v>-1004</v>
      </c>
      <c r="CQ179" s="143">
        <f t="shared" si="535"/>
        <v>-1255</v>
      </c>
      <c r="CR179" s="143">
        <f t="shared" si="535"/>
        <v>-16195</v>
      </c>
      <c r="CS179" s="143">
        <f t="shared" si="535"/>
        <v>-10544</v>
      </c>
      <c r="CT179" s="159">
        <f t="shared" si="535"/>
        <v>-4509</v>
      </c>
      <c r="CU179" s="143">
        <f t="shared" si="535"/>
        <v>-4020</v>
      </c>
      <c r="CV179" s="143">
        <f t="shared" si="535"/>
        <v>-1776</v>
      </c>
      <c r="CW179" s="189">
        <f t="shared" si="535"/>
        <v>-2943</v>
      </c>
      <c r="CX179" s="143">
        <f t="shared" si="535"/>
        <v>-1156</v>
      </c>
      <c r="CY179" s="143">
        <f t="shared" si="535"/>
        <v>-4348</v>
      </c>
      <c r="CZ179" s="143">
        <f t="shared" si="535"/>
        <v>-4826</v>
      </c>
      <c r="DA179" s="143">
        <f t="shared" si="535"/>
        <v>-12389</v>
      </c>
      <c r="DB179" s="159">
        <f t="shared" si="535"/>
        <v>-1150</v>
      </c>
      <c r="DC179" s="143">
        <f t="shared" si="535"/>
        <v>-1160</v>
      </c>
      <c r="DD179" s="143">
        <f t="shared" si="535"/>
        <v>-1237</v>
      </c>
      <c r="DE179" s="143">
        <f t="shared" si="535"/>
        <v>-2083</v>
      </c>
      <c r="DF179" s="159">
        <f t="shared" si="535"/>
        <v>-1261</v>
      </c>
      <c r="DG179" s="1047">
        <f t="shared" ref="DG179:DL179" si="536">DG181-DG177-DG178-DG180</f>
        <v>-1183</v>
      </c>
      <c r="DH179" s="1047">
        <f t="shared" si="536"/>
        <v>-1410</v>
      </c>
      <c r="DI179" s="189">
        <f t="shared" si="536"/>
        <v>-4027</v>
      </c>
      <c r="DJ179" s="159">
        <f t="shared" si="536"/>
        <v>-15803</v>
      </c>
      <c r="DK179" s="1047">
        <f t="shared" si="536"/>
        <v>-1598</v>
      </c>
      <c r="DL179" s="1047">
        <f t="shared" si="536"/>
        <v>-1026</v>
      </c>
      <c r="DM179" s="189">
        <f t="shared" ref="DM179:DR179" si="537">DM181-DM177-DM178-DM180</f>
        <v>-1529</v>
      </c>
      <c r="DN179" s="159">
        <f t="shared" si="537"/>
        <v>-981</v>
      </c>
      <c r="DO179" s="1047">
        <f t="shared" si="537"/>
        <v>-1056</v>
      </c>
      <c r="DP179" s="1047">
        <f t="shared" si="537"/>
        <v>-1031</v>
      </c>
      <c r="DQ179" s="189">
        <f t="shared" si="537"/>
        <v>-2018</v>
      </c>
      <c r="DR179" s="1047">
        <f t="shared" si="537"/>
        <v>-1186</v>
      </c>
      <c r="DS179" s="1047">
        <f t="shared" ref="DS179:DT179" si="538">DS181-DS177-DS178-DS180</f>
        <v>-1799</v>
      </c>
      <c r="DT179" s="1047">
        <f t="shared" si="538"/>
        <v>-991</v>
      </c>
      <c r="DU179" s="1047">
        <f t="shared" ref="DU179:DV179" si="539">DU181-DU177-DU178-DU180</f>
        <v>-2512</v>
      </c>
      <c r="DV179" s="1047">
        <f t="shared" si="539"/>
        <v>-3299</v>
      </c>
      <c r="DW179" s="1047">
        <f t="shared" ref="DW179:DY179" si="540">+DW169</f>
        <v>-2468.77</v>
      </c>
      <c r="DX179" s="1047">
        <f t="shared" ca="1" si="540"/>
        <v>-2485.1025683458906</v>
      </c>
      <c r="DY179" s="189">
        <f t="shared" ca="1" si="540"/>
        <v>-2501.9508025801179</v>
      </c>
      <c r="DZ179" s="1041"/>
    </row>
    <row r="180" spans="1:130">
      <c r="A180" s="87" t="s">
        <v>1341</v>
      </c>
      <c r="B180" s="87"/>
      <c r="C180" s="87"/>
      <c r="D180" s="87"/>
      <c r="E180" s="87"/>
      <c r="F180" s="87"/>
      <c r="G180" s="87"/>
      <c r="H180" s="87"/>
      <c r="I180" s="87"/>
      <c r="J180" s="212"/>
      <c r="K180" s="212"/>
      <c r="L180" s="212">
        <v>0</v>
      </c>
      <c r="M180" s="212">
        <v>0</v>
      </c>
      <c r="N180" s="212">
        <f>SUM(BQ180:BT180)</f>
        <v>0</v>
      </c>
      <c r="O180" s="98"/>
      <c r="P180" s="98"/>
      <c r="Q180" s="210">
        <f>+SUM(CL180:CO180)</f>
        <v>0</v>
      </c>
      <c r="R180" s="98"/>
      <c r="S180" s="98"/>
      <c r="T180" s="98"/>
      <c r="U180" s="98"/>
      <c r="V180" s="98"/>
      <c r="W180" s="98"/>
      <c r="X180" s="98"/>
      <c r="Y180" s="98"/>
      <c r="Z180" s="98"/>
      <c r="AA180" s="98"/>
      <c r="AB180" s="98"/>
      <c r="AC180" s="98"/>
      <c r="AD180" s="98"/>
      <c r="AE180" s="98"/>
      <c r="AF180" s="98"/>
      <c r="AG180" s="98"/>
      <c r="AH180" s="678"/>
      <c r="AI180" s="87"/>
      <c r="AJ180" s="87"/>
      <c r="AK180" s="87"/>
      <c r="AL180" s="87"/>
      <c r="AM180" s="87"/>
      <c r="AN180" s="123"/>
      <c r="AO180" s="123"/>
      <c r="AP180" s="87"/>
      <c r="AQ180" s="87"/>
      <c r="AR180" s="87"/>
      <c r="AS180" s="87"/>
      <c r="AT180" s="87"/>
      <c r="AU180" s="87"/>
      <c r="AV180" s="87"/>
      <c r="AW180" s="87"/>
      <c r="AX180" s="87"/>
      <c r="AY180" s="87"/>
      <c r="AZ180" s="87"/>
      <c r="BA180" s="87"/>
      <c r="BB180" s="87"/>
      <c r="BC180" s="87"/>
      <c r="BD180" s="87"/>
      <c r="BE180" s="87"/>
      <c r="BF180" s="87"/>
      <c r="BG180" s="87"/>
      <c r="BH180" s="87"/>
      <c r="BI180" s="87"/>
      <c r="BJ180" s="98"/>
      <c r="BK180" s="98"/>
      <c r="BL180" s="98"/>
      <c r="BM180" s="98"/>
      <c r="BN180" s="98"/>
      <c r="BO180" s="98"/>
      <c r="BP180" s="98"/>
      <c r="BQ180" s="98"/>
      <c r="BR180" s="303">
        <v>0</v>
      </c>
      <c r="BS180" s="98">
        <v>0</v>
      </c>
      <c r="BT180" s="98">
        <v>0</v>
      </c>
      <c r="BU180" s="98">
        <v>0</v>
      </c>
      <c r="BV180" s="303">
        <v>0</v>
      </c>
      <c r="BW180" s="98">
        <v>0</v>
      </c>
      <c r="BX180" s="98">
        <v>0</v>
      </c>
      <c r="BY180" s="98">
        <v>0</v>
      </c>
      <c r="BZ180" s="303">
        <v>0</v>
      </c>
      <c r="CA180" s="98">
        <v>0</v>
      </c>
      <c r="CB180" s="98">
        <v>0</v>
      </c>
      <c r="CC180" s="98">
        <v>0</v>
      </c>
      <c r="CD180" s="330">
        <v>0</v>
      </c>
      <c r="CE180" s="331">
        <v>0</v>
      </c>
      <c r="CF180" s="331">
        <v>0</v>
      </c>
      <c r="CG180" s="331">
        <v>0</v>
      </c>
      <c r="CH180" s="330"/>
      <c r="CI180" s="331"/>
      <c r="CJ180" s="331"/>
      <c r="CK180" s="331"/>
      <c r="CL180" s="330"/>
      <c r="CM180" s="331"/>
      <c r="CN180" s="331"/>
      <c r="CO180" s="331"/>
      <c r="CP180" s="330"/>
      <c r="CQ180" s="331"/>
      <c r="CR180" s="331"/>
      <c r="CS180" s="331"/>
      <c r="CT180" s="330"/>
      <c r="CU180" s="331"/>
      <c r="CV180" s="331"/>
      <c r="CW180" s="332"/>
      <c r="CX180" s="331"/>
      <c r="CY180" s="331"/>
      <c r="CZ180" s="331"/>
      <c r="DA180" s="331"/>
      <c r="DB180" s="330"/>
      <c r="DC180" s="331"/>
      <c r="DD180" s="331"/>
      <c r="DE180" s="331"/>
      <c r="DF180" s="330"/>
      <c r="DG180" s="331"/>
      <c r="DH180" s="331"/>
      <c r="DI180" s="332"/>
      <c r="DJ180" s="330"/>
      <c r="DK180" s="331"/>
      <c r="DL180" s="331"/>
      <c r="DM180" s="332"/>
      <c r="DN180" s="330"/>
      <c r="DO180" s="331"/>
      <c r="DP180" s="331"/>
      <c r="DQ180" s="332"/>
      <c r="DR180" s="331"/>
      <c r="DS180" s="331"/>
      <c r="DT180" s="331"/>
      <c r="DU180" s="331"/>
      <c r="DV180" s="331"/>
      <c r="DW180" s="331"/>
      <c r="DX180" s="331"/>
      <c r="DY180" s="332"/>
      <c r="DZ180" s="1041"/>
    </row>
    <row r="181" spans="1:130">
      <c r="A181" s="316" t="s">
        <v>1342</v>
      </c>
      <c r="B181" s="109"/>
      <c r="C181" s="109"/>
      <c r="D181" s="109"/>
      <c r="E181" s="109"/>
      <c r="F181" s="109"/>
      <c r="G181" s="109"/>
      <c r="H181" s="109"/>
      <c r="I181" s="109"/>
      <c r="J181" s="109"/>
      <c r="K181" s="109">
        <v>105638</v>
      </c>
      <c r="L181" s="109">
        <v>111398</v>
      </c>
      <c r="M181" s="109">
        <v>118305</v>
      </c>
      <c r="N181" s="109">
        <f t="shared" ref="N181:V181" si="541">SUM(N177:N180)</f>
        <v>121753</v>
      </c>
      <c r="O181" s="109">
        <f t="shared" si="541"/>
        <v>128700</v>
      </c>
      <c r="P181" s="109">
        <f t="shared" si="541"/>
        <v>129059</v>
      </c>
      <c r="Q181" s="109">
        <f t="shared" si="541"/>
        <v>137052</v>
      </c>
      <c r="R181" s="109">
        <f t="shared" si="541"/>
        <v>123944</v>
      </c>
      <c r="S181" s="109">
        <f t="shared" si="541"/>
        <v>127192</v>
      </c>
      <c r="T181" s="1044">
        <f t="shared" si="541"/>
        <v>120933</v>
      </c>
      <c r="U181" s="1044">
        <f t="shared" si="541"/>
        <v>131909</v>
      </c>
      <c r="V181" s="109">
        <f t="shared" si="541"/>
        <v>140561</v>
      </c>
      <c r="W181" s="109">
        <f t="shared" ref="W181:AB181" si="542">SUM(W177:W180)</f>
        <v>136622</v>
      </c>
      <c r="X181" s="109">
        <f t="shared" si="542"/>
        <v>147464</v>
      </c>
      <c r="Y181" s="109">
        <f t="shared" si="542"/>
        <v>157930</v>
      </c>
      <c r="Z181" s="109">
        <f t="shared" ca="1" si="542"/>
        <v>164613.29902457807</v>
      </c>
      <c r="AA181" s="109">
        <f t="shared" ca="1" si="542"/>
        <v>168198.79233126272</v>
      </c>
      <c r="AB181" s="109">
        <f t="shared" ca="1" si="542"/>
        <v>171533.79977159642</v>
      </c>
      <c r="AC181" s="109">
        <f t="shared" ref="AC181:AG181" ca="1" si="543">SUM(AC177:AC180)</f>
        <v>174620.88977955052</v>
      </c>
      <c r="AD181" s="109">
        <f t="shared" ca="1" si="543"/>
        <v>177462.50285235044</v>
      </c>
      <c r="AE181" s="109">
        <f t="shared" ca="1" si="543"/>
        <v>180060.98027325299</v>
      </c>
      <c r="AF181" s="109">
        <f t="shared" ca="1" si="543"/>
        <v>182418.57503005659</v>
      </c>
      <c r="AG181" s="109">
        <f t="shared" ca="1" si="543"/>
        <v>184577.99551850752</v>
      </c>
      <c r="AH181" s="536"/>
      <c r="AI181" s="109"/>
      <c r="AJ181" s="109"/>
      <c r="AK181" s="109"/>
      <c r="AL181" s="109"/>
      <c r="AM181" s="109"/>
      <c r="AN181" s="276"/>
      <c r="AO181" s="276"/>
      <c r="AP181" s="109"/>
      <c r="AQ181" s="109"/>
      <c r="AR181" s="109"/>
      <c r="AS181" s="109"/>
      <c r="AT181" s="109"/>
      <c r="AU181" s="109"/>
      <c r="AV181" s="109"/>
      <c r="AW181" s="109"/>
      <c r="AX181" s="109"/>
      <c r="AY181" s="109"/>
      <c r="AZ181" s="109"/>
      <c r="BA181" s="109"/>
      <c r="BB181" s="109"/>
      <c r="BC181" s="109"/>
      <c r="BD181" s="109"/>
      <c r="BE181" s="109"/>
      <c r="BF181" s="109"/>
      <c r="BG181" s="109"/>
      <c r="BH181" s="109"/>
      <c r="BI181" s="109"/>
      <c r="BJ181" s="109"/>
      <c r="BK181" s="109"/>
      <c r="BL181" s="109"/>
      <c r="BM181" s="109"/>
      <c r="BN181" s="109"/>
      <c r="BO181" s="109"/>
      <c r="BP181" s="109"/>
      <c r="BQ181" s="109">
        <v>105638</v>
      </c>
      <c r="BR181" s="171">
        <v>107115</v>
      </c>
      <c r="BS181" s="109">
        <v>107873</v>
      </c>
      <c r="BT181" s="109">
        <v>109870</v>
      </c>
      <c r="BU181" s="109">
        <v>111398</v>
      </c>
      <c r="BV181" s="171">
        <v>113111</v>
      </c>
      <c r="BW181" s="109">
        <v>115099</v>
      </c>
      <c r="BX181" s="109">
        <v>117314</v>
      </c>
      <c r="BY181" s="109">
        <v>118305</v>
      </c>
      <c r="BZ181" s="171">
        <f t="shared" ref="BZ181:DE181" si="544">BZ164</f>
        <v>120580</v>
      </c>
      <c r="CA181" s="109">
        <f t="shared" si="544"/>
        <v>119083</v>
      </c>
      <c r="CB181" s="109">
        <f t="shared" si="544"/>
        <v>120565</v>
      </c>
      <c r="CC181" s="109">
        <f t="shared" si="544"/>
        <v>121753</v>
      </c>
      <c r="CD181" s="171">
        <f t="shared" si="544"/>
        <v>123607</v>
      </c>
      <c r="CE181" s="109">
        <f t="shared" si="544"/>
        <v>125562</v>
      </c>
      <c r="CF181" s="109">
        <f t="shared" si="544"/>
        <v>126823</v>
      </c>
      <c r="CG181" s="109">
        <f t="shared" si="544"/>
        <v>128700</v>
      </c>
      <c r="CH181" s="171">
        <f t="shared" si="544"/>
        <v>127350</v>
      </c>
      <c r="CI181" s="109">
        <f t="shared" si="544"/>
        <v>127450</v>
      </c>
      <c r="CJ181" s="109">
        <f t="shared" si="544"/>
        <v>128687</v>
      </c>
      <c r="CK181" s="109">
        <f t="shared" si="544"/>
        <v>129059</v>
      </c>
      <c r="CL181" s="171">
        <f t="shared" si="544"/>
        <v>131645</v>
      </c>
      <c r="CM181" s="109">
        <f t="shared" si="544"/>
        <v>133848</v>
      </c>
      <c r="CN181" s="109">
        <f t="shared" si="544"/>
        <v>135636</v>
      </c>
      <c r="CO181" s="109">
        <f t="shared" si="544"/>
        <v>137052</v>
      </c>
      <c r="CP181" s="171">
        <f t="shared" si="544"/>
        <v>139937</v>
      </c>
      <c r="CQ181" s="109">
        <f t="shared" si="544"/>
        <v>142626</v>
      </c>
      <c r="CR181" s="109">
        <f t="shared" si="544"/>
        <v>130429</v>
      </c>
      <c r="CS181" s="109">
        <f t="shared" si="544"/>
        <v>123944</v>
      </c>
      <c r="CT181" s="171">
        <f t="shared" si="544"/>
        <v>123459</v>
      </c>
      <c r="CU181" s="109">
        <f t="shared" si="544"/>
        <v>123552</v>
      </c>
      <c r="CV181" s="109">
        <f t="shared" si="544"/>
        <v>125955</v>
      </c>
      <c r="CW181" s="172">
        <f t="shared" si="544"/>
        <v>127192</v>
      </c>
      <c r="CX181" s="109">
        <f t="shared" si="544"/>
        <v>130064</v>
      </c>
      <c r="CY181" s="109">
        <f t="shared" si="544"/>
        <v>129844</v>
      </c>
      <c r="CZ181" s="109">
        <f t="shared" si="544"/>
        <v>129185</v>
      </c>
      <c r="DA181" s="109">
        <f t="shared" si="544"/>
        <v>120933</v>
      </c>
      <c r="DB181" s="171">
        <f t="shared" si="544"/>
        <v>123901</v>
      </c>
      <c r="DC181" s="109">
        <f t="shared" si="544"/>
        <v>126892</v>
      </c>
      <c r="DD181" s="109">
        <f t="shared" si="544"/>
        <v>129809</v>
      </c>
      <c r="DE181" s="109">
        <f t="shared" si="544"/>
        <v>131909</v>
      </c>
      <c r="DF181" s="171">
        <f t="shared" ref="DF181:DK181" si="545">DF164</f>
        <v>134785</v>
      </c>
      <c r="DG181" s="1044">
        <f t="shared" si="545"/>
        <v>137763</v>
      </c>
      <c r="DH181" s="1044">
        <f t="shared" si="545"/>
        <v>140520</v>
      </c>
      <c r="DI181" s="172">
        <f t="shared" si="545"/>
        <v>140561</v>
      </c>
      <c r="DJ181" s="171">
        <f t="shared" si="545"/>
        <v>128747</v>
      </c>
      <c r="DK181" s="1044">
        <f t="shared" si="545"/>
        <v>131129</v>
      </c>
      <c r="DL181" s="1044">
        <f t="shared" ref="DL181:DQ181" si="546">DL164</f>
        <v>134112</v>
      </c>
      <c r="DM181" s="172">
        <f t="shared" si="546"/>
        <v>136622</v>
      </c>
      <c r="DN181" s="171">
        <f t="shared" si="546"/>
        <v>139658</v>
      </c>
      <c r="DO181" s="1044">
        <f t="shared" si="546"/>
        <v>142584</v>
      </c>
      <c r="DP181" s="1044">
        <f t="shared" si="546"/>
        <v>145495</v>
      </c>
      <c r="DQ181" s="172">
        <f t="shared" si="546"/>
        <v>147464</v>
      </c>
      <c r="DR181" s="1044">
        <f t="shared" ref="DR181:DS181" si="547">DR164</f>
        <v>150337</v>
      </c>
      <c r="DS181" s="1044">
        <f t="shared" si="547"/>
        <v>152705</v>
      </c>
      <c r="DT181" s="1044">
        <f t="shared" ref="DT181:DU181" si="548">DT164</f>
        <v>155986</v>
      </c>
      <c r="DU181" s="1044">
        <f t="shared" si="548"/>
        <v>157930</v>
      </c>
      <c r="DV181" s="1044">
        <f t="shared" ref="DV181" si="549">DV164</f>
        <v>158955</v>
      </c>
      <c r="DW181" s="1044">
        <f t="shared" ref="DW181:DY181" ca="1" si="550">SUM(DW177:DW180)</f>
        <v>160827.86566972945</v>
      </c>
      <c r="DX181" s="1044">
        <f t="shared" ca="1" si="550"/>
        <v>162713.47884009834</v>
      </c>
      <c r="DY181" s="172">
        <f t="shared" ca="1" si="550"/>
        <v>164613.29902457807</v>
      </c>
      <c r="DZ181" s="1044"/>
    </row>
    <row r="182" spans="1:130">
      <c r="A182" s="316" t="s">
        <v>1343</v>
      </c>
      <c r="B182" s="109"/>
      <c r="C182" s="109"/>
      <c r="D182" s="109"/>
      <c r="E182" s="109"/>
      <c r="F182" s="109"/>
      <c r="G182" s="109"/>
      <c r="H182" s="109"/>
      <c r="I182" s="109"/>
      <c r="J182" s="317"/>
      <c r="K182" s="317"/>
      <c r="L182" s="317">
        <v>108518</v>
      </c>
      <c r="M182" s="317">
        <v>114851.5</v>
      </c>
      <c r="N182" s="317">
        <f t="shared" ref="N182:AB182" si="551">AVERAGE(M181:N181)</f>
        <v>120029</v>
      </c>
      <c r="O182" s="317">
        <f t="shared" si="551"/>
        <v>125226.5</v>
      </c>
      <c r="P182" s="317">
        <f t="shared" si="551"/>
        <v>128879.5</v>
      </c>
      <c r="Q182" s="317">
        <f t="shared" si="551"/>
        <v>133055.5</v>
      </c>
      <c r="R182" s="317">
        <f t="shared" si="551"/>
        <v>130498</v>
      </c>
      <c r="S182" s="317">
        <f t="shared" si="551"/>
        <v>125568</v>
      </c>
      <c r="T182" s="1083">
        <f t="shared" si="551"/>
        <v>124062.5</v>
      </c>
      <c r="U182" s="1083">
        <f t="shared" si="551"/>
        <v>126421</v>
      </c>
      <c r="V182" s="317">
        <f t="shared" si="551"/>
        <v>136235</v>
      </c>
      <c r="W182" s="317">
        <f>AVERAGE(V181:W181)</f>
        <v>138591.5</v>
      </c>
      <c r="X182" s="317">
        <f>AVERAGE(W181:X181)</f>
        <v>142043</v>
      </c>
      <c r="Y182" s="317">
        <f>AVERAGE(X181:Y181)</f>
        <v>152697</v>
      </c>
      <c r="Z182" s="317">
        <f ca="1">AVERAGE(Y181:Z181)</f>
        <v>161271.64951228903</v>
      </c>
      <c r="AA182" s="317">
        <f t="shared" ca="1" si="551"/>
        <v>166406.0456779204</v>
      </c>
      <c r="AB182" s="317">
        <f t="shared" ca="1" si="551"/>
        <v>169866.29605142958</v>
      </c>
      <c r="AC182" s="317">
        <f t="shared" ref="AC182" ca="1" si="552">AVERAGE(AB181:AC181)</f>
        <v>173077.34477557347</v>
      </c>
      <c r="AD182" s="317">
        <f t="shared" ref="AD182" ca="1" si="553">AVERAGE(AC181:AD181)</f>
        <v>176041.69631595048</v>
      </c>
      <c r="AE182" s="317">
        <f t="shared" ref="AE182" ca="1" si="554">AVERAGE(AD181:AE181)</f>
        <v>178761.7415628017</v>
      </c>
      <c r="AF182" s="317">
        <f t="shared" ref="AF182" ca="1" si="555">AVERAGE(AE181:AF181)</f>
        <v>181239.77765165479</v>
      </c>
      <c r="AG182" s="317">
        <f t="shared" ref="AG182" ca="1" si="556">AVERAGE(AF181:AG181)</f>
        <v>183498.28527428204</v>
      </c>
      <c r="AH182" s="536"/>
      <c r="AI182" s="109"/>
      <c r="AJ182" s="109"/>
      <c r="AK182" s="109"/>
      <c r="AL182" s="109"/>
      <c r="AM182" s="109"/>
      <c r="AN182" s="276"/>
      <c r="AO182" s="276"/>
      <c r="AP182" s="109"/>
      <c r="AQ182" s="109"/>
      <c r="AR182" s="109"/>
      <c r="AS182" s="109"/>
      <c r="AT182" s="109"/>
      <c r="AU182" s="109"/>
      <c r="AV182" s="109"/>
      <c r="AW182" s="109"/>
      <c r="AX182" s="109"/>
      <c r="AY182" s="109"/>
      <c r="AZ182" s="109"/>
      <c r="BA182" s="109"/>
      <c r="BB182" s="109"/>
      <c r="BC182" s="109"/>
      <c r="BD182" s="109"/>
      <c r="BE182" s="109"/>
      <c r="BF182" s="109"/>
      <c r="BG182" s="109"/>
      <c r="BH182" s="109"/>
      <c r="BI182" s="109"/>
      <c r="BJ182" s="109"/>
      <c r="BK182" s="109"/>
      <c r="BL182" s="109"/>
      <c r="BM182" s="109"/>
      <c r="BN182" s="109"/>
      <c r="BO182" s="109"/>
      <c r="BP182" s="109"/>
      <c r="BQ182" s="109"/>
      <c r="BR182" s="171">
        <v>106376.5</v>
      </c>
      <c r="BS182" s="109">
        <v>107494</v>
      </c>
      <c r="BT182" s="109">
        <v>108871.5</v>
      </c>
      <c r="BU182" s="109">
        <v>110634</v>
      </c>
      <c r="BV182" s="171">
        <v>112254.5</v>
      </c>
      <c r="BW182" s="109">
        <v>114105</v>
      </c>
      <c r="BX182" s="109">
        <v>116206.5</v>
      </c>
      <c r="BY182" s="109">
        <v>117809.5</v>
      </c>
      <c r="BZ182" s="171">
        <f t="shared" ref="BZ182:DV182" si="557">AVERAGE(BY181:BZ181)</f>
        <v>119442.5</v>
      </c>
      <c r="CA182" s="109">
        <f t="shared" si="557"/>
        <v>119831.5</v>
      </c>
      <c r="CB182" s="109">
        <f t="shared" si="557"/>
        <v>119824</v>
      </c>
      <c r="CC182" s="109">
        <f t="shared" si="557"/>
        <v>121159</v>
      </c>
      <c r="CD182" s="171">
        <f t="shared" si="557"/>
        <v>122680</v>
      </c>
      <c r="CE182" s="109">
        <f t="shared" si="557"/>
        <v>124584.5</v>
      </c>
      <c r="CF182" s="109">
        <f t="shared" si="557"/>
        <v>126192.5</v>
      </c>
      <c r="CG182" s="109">
        <f t="shared" si="557"/>
        <v>127761.5</v>
      </c>
      <c r="CH182" s="171">
        <f t="shared" si="557"/>
        <v>128025</v>
      </c>
      <c r="CI182" s="109">
        <f t="shared" si="557"/>
        <v>127400</v>
      </c>
      <c r="CJ182" s="109">
        <f t="shared" si="557"/>
        <v>128068.5</v>
      </c>
      <c r="CK182" s="109">
        <f t="shared" si="557"/>
        <v>128873</v>
      </c>
      <c r="CL182" s="171">
        <f t="shared" si="557"/>
        <v>130352</v>
      </c>
      <c r="CM182" s="109">
        <f t="shared" si="557"/>
        <v>132746.5</v>
      </c>
      <c r="CN182" s="109">
        <f t="shared" si="557"/>
        <v>134742</v>
      </c>
      <c r="CO182" s="109">
        <f t="shared" si="557"/>
        <v>136344</v>
      </c>
      <c r="CP182" s="171">
        <f t="shared" si="557"/>
        <v>138494.5</v>
      </c>
      <c r="CQ182" s="109">
        <f t="shared" si="557"/>
        <v>141281.5</v>
      </c>
      <c r="CR182" s="109">
        <f t="shared" si="557"/>
        <v>136527.5</v>
      </c>
      <c r="CS182" s="109">
        <f t="shared" si="557"/>
        <v>127186.5</v>
      </c>
      <c r="CT182" s="171">
        <f t="shared" si="557"/>
        <v>123701.5</v>
      </c>
      <c r="CU182" s="109">
        <f t="shared" si="557"/>
        <v>123505.5</v>
      </c>
      <c r="CV182" s="109">
        <f t="shared" si="557"/>
        <v>124753.5</v>
      </c>
      <c r="CW182" s="172">
        <f t="shared" si="557"/>
        <v>126573.5</v>
      </c>
      <c r="CX182" s="109">
        <f t="shared" si="557"/>
        <v>128628</v>
      </c>
      <c r="CY182" s="109">
        <f t="shared" si="557"/>
        <v>129954</v>
      </c>
      <c r="CZ182" s="109">
        <f t="shared" si="557"/>
        <v>129514.5</v>
      </c>
      <c r="DA182" s="109">
        <f t="shared" si="557"/>
        <v>125059</v>
      </c>
      <c r="DB182" s="171">
        <f t="shared" si="557"/>
        <v>122417</v>
      </c>
      <c r="DC182" s="109">
        <f t="shared" si="557"/>
        <v>125396.5</v>
      </c>
      <c r="DD182" s="109">
        <f t="shared" si="557"/>
        <v>128350.5</v>
      </c>
      <c r="DE182" s="109">
        <f t="shared" si="557"/>
        <v>130859</v>
      </c>
      <c r="DF182" s="171">
        <f t="shared" si="557"/>
        <v>133347</v>
      </c>
      <c r="DG182" s="1044">
        <f t="shared" si="557"/>
        <v>136274</v>
      </c>
      <c r="DH182" s="1044">
        <f t="shared" si="557"/>
        <v>139141.5</v>
      </c>
      <c r="DI182" s="172">
        <f t="shared" si="557"/>
        <v>140540.5</v>
      </c>
      <c r="DJ182" s="171">
        <f t="shared" si="557"/>
        <v>134654</v>
      </c>
      <c r="DK182" s="1044">
        <f t="shared" si="557"/>
        <v>129938</v>
      </c>
      <c r="DL182" s="1044">
        <f t="shared" si="557"/>
        <v>132620.5</v>
      </c>
      <c r="DM182" s="172">
        <f t="shared" si="557"/>
        <v>135367</v>
      </c>
      <c r="DN182" s="171">
        <f t="shared" si="557"/>
        <v>138140</v>
      </c>
      <c r="DO182" s="1044">
        <f t="shared" si="557"/>
        <v>141121</v>
      </c>
      <c r="DP182" s="1044">
        <f t="shared" si="557"/>
        <v>144039.5</v>
      </c>
      <c r="DQ182" s="172">
        <f t="shared" si="557"/>
        <v>146479.5</v>
      </c>
      <c r="DR182" s="1044">
        <f t="shared" si="557"/>
        <v>148900.5</v>
      </c>
      <c r="DS182" s="1044">
        <f t="shared" si="557"/>
        <v>151521</v>
      </c>
      <c r="DT182" s="1044">
        <f t="shared" si="557"/>
        <v>154345.5</v>
      </c>
      <c r="DU182" s="1044">
        <f t="shared" si="557"/>
        <v>156958</v>
      </c>
      <c r="DV182" s="1044">
        <f t="shared" si="557"/>
        <v>158442.5</v>
      </c>
      <c r="DW182" s="1044">
        <f t="shared" ref="DW182" ca="1" si="558">AVERAGE(DV181:DW181)</f>
        <v>159891.43283486471</v>
      </c>
      <c r="DX182" s="1044">
        <f t="shared" ref="DX182" ca="1" si="559">AVERAGE(DW181:DX181)</f>
        <v>161770.67225491389</v>
      </c>
      <c r="DY182" s="172">
        <f t="shared" ref="DY182" ca="1" si="560">AVERAGE(DX181:DY181)</f>
        <v>163663.38893233822</v>
      </c>
      <c r="DZ182" s="1044"/>
    </row>
    <row r="183" spans="1:130">
      <c r="A183" s="87"/>
      <c r="B183" s="87"/>
      <c r="C183" s="87"/>
      <c r="D183" s="87"/>
      <c r="E183" s="87"/>
      <c r="F183" s="87"/>
      <c r="G183" s="87"/>
      <c r="H183" s="87"/>
      <c r="I183" s="87"/>
      <c r="J183" s="87"/>
      <c r="K183" s="87"/>
      <c r="L183" s="87"/>
      <c r="M183" s="87"/>
      <c r="N183" s="87"/>
      <c r="O183" s="87"/>
      <c r="P183" s="87"/>
      <c r="Q183" s="87"/>
      <c r="R183" s="87"/>
      <c r="S183" s="87"/>
      <c r="T183" s="1041"/>
      <c r="U183" s="1041"/>
      <c r="V183" s="87"/>
      <c r="W183" s="87"/>
      <c r="X183" s="87"/>
      <c r="Y183" s="87"/>
      <c r="Z183" s="87"/>
      <c r="AA183" s="87"/>
      <c r="AB183" s="87"/>
      <c r="AC183" s="87"/>
      <c r="AD183" s="87"/>
      <c r="AE183" s="87"/>
      <c r="AF183" s="87"/>
      <c r="AG183" s="87"/>
      <c r="AH183" s="678"/>
      <c r="AI183" s="87"/>
      <c r="AJ183" s="87"/>
      <c r="AK183" s="87"/>
      <c r="AL183" s="87"/>
      <c r="AM183" s="87"/>
      <c r="AN183" s="123"/>
      <c r="AO183" s="123"/>
      <c r="AP183" s="87"/>
      <c r="AQ183" s="87"/>
      <c r="AR183" s="87"/>
      <c r="AS183" s="87"/>
      <c r="AT183" s="87"/>
      <c r="AU183" s="87"/>
      <c r="AV183" s="87"/>
      <c r="AW183" s="87"/>
      <c r="AX183" s="87"/>
      <c r="AY183" s="87"/>
      <c r="AZ183" s="87"/>
      <c r="BA183" s="87"/>
      <c r="BB183" s="87"/>
      <c r="BC183" s="87"/>
      <c r="BD183" s="87"/>
      <c r="BE183" s="87"/>
      <c r="BF183" s="87"/>
      <c r="BG183" s="87"/>
      <c r="BH183" s="87"/>
      <c r="BI183" s="87"/>
      <c r="BJ183" s="87"/>
      <c r="BK183" s="87"/>
      <c r="BL183" s="87"/>
      <c r="BM183" s="87"/>
      <c r="BN183" s="87"/>
      <c r="BO183" s="87"/>
      <c r="BP183" s="87"/>
      <c r="BQ183" s="87"/>
      <c r="BR183" s="88"/>
      <c r="BS183" s="87"/>
      <c r="BT183" s="87"/>
      <c r="BU183" s="87"/>
      <c r="BV183" s="88"/>
      <c r="BW183" s="87"/>
      <c r="BX183" s="87"/>
      <c r="BY183" s="87"/>
      <c r="BZ183" s="88"/>
      <c r="CA183" s="87"/>
      <c r="CB183" s="87"/>
      <c r="CC183" s="87"/>
      <c r="CD183" s="88"/>
      <c r="CE183" s="87"/>
      <c r="CF183" s="87"/>
      <c r="CG183" s="87"/>
      <c r="CH183" s="88"/>
      <c r="CI183" s="87"/>
      <c r="CJ183" s="87"/>
      <c r="CK183" s="87"/>
      <c r="CL183" s="88"/>
      <c r="CM183" s="87"/>
      <c r="CN183" s="87"/>
      <c r="CO183" s="87"/>
      <c r="CP183" s="88"/>
      <c r="CQ183" s="87"/>
      <c r="CR183" s="87"/>
      <c r="CS183" s="87"/>
      <c r="CT183" s="88"/>
      <c r="CU183" s="87"/>
      <c r="CV183" s="87"/>
      <c r="CW183" s="144"/>
      <c r="CX183" s="87"/>
      <c r="CY183" s="87"/>
      <c r="CZ183" s="87"/>
      <c r="DA183" s="87"/>
      <c r="DB183" s="88"/>
      <c r="DC183" s="87"/>
      <c r="DD183" s="87"/>
      <c r="DE183" s="87"/>
      <c r="DF183" s="88"/>
      <c r="DG183" s="1041"/>
      <c r="DH183" s="1041"/>
      <c r="DI183" s="144"/>
      <c r="DJ183" s="88"/>
      <c r="DK183" s="1041"/>
      <c r="DL183" s="1041"/>
      <c r="DM183" s="144"/>
      <c r="DN183" s="88"/>
      <c r="DO183" s="1041"/>
      <c r="DP183" s="1041"/>
      <c r="DQ183" s="144"/>
      <c r="DR183" s="1041"/>
      <c r="DS183" s="1041"/>
      <c r="DT183" s="1041"/>
      <c r="DU183" s="1041"/>
      <c r="DV183" s="1041"/>
      <c r="DW183" s="1041"/>
      <c r="DX183" s="1041"/>
      <c r="DY183" s="144"/>
      <c r="DZ183" s="1041"/>
    </row>
    <row r="184" spans="1:130">
      <c r="A184" s="319" t="s">
        <v>1344</v>
      </c>
      <c r="B184" s="94"/>
      <c r="C184" s="94"/>
      <c r="D184" s="94"/>
      <c r="E184" s="94"/>
      <c r="F184" s="94"/>
      <c r="G184" s="94"/>
      <c r="H184" s="94"/>
      <c r="I184" s="94"/>
      <c r="J184" s="94"/>
      <c r="K184" s="94"/>
      <c r="L184" s="94">
        <v>7.5756831540514435E-2</v>
      </c>
      <c r="M184" s="94">
        <v>7.2312545498665379E-2</v>
      </c>
      <c r="N184" s="94">
        <f t="shared" ref="N184:V184" si="561">N178/N172</f>
        <v>7.1729034821067142E-2</v>
      </c>
      <c r="O184" s="94">
        <f t="shared" si="561"/>
        <v>6.7543165200919394E-2</v>
      </c>
      <c r="P184" s="94">
        <f t="shared" si="561"/>
        <v>6.7528090149185635E-2</v>
      </c>
      <c r="Q184" s="94">
        <f t="shared" si="561"/>
        <v>6.9048439283711946E-2</v>
      </c>
      <c r="R184" s="94">
        <f t="shared" si="561"/>
        <v>7.2198885438225419E-2</v>
      </c>
      <c r="S184" s="94">
        <f t="shared" si="561"/>
        <v>7.7213824157872687E-2</v>
      </c>
      <c r="T184" s="1045">
        <f t="shared" si="561"/>
        <v>7.7422207379568717E-2</v>
      </c>
      <c r="U184" s="1045">
        <f t="shared" si="561"/>
        <v>7.7158256667595945E-2</v>
      </c>
      <c r="V184" s="94">
        <f t="shared" si="561"/>
        <v>7.3256486320626174E-2</v>
      </c>
      <c r="W184" s="94">
        <f t="shared" ref="W184:AB184" si="562">W178/W172</f>
        <v>7.1080677478692886E-2</v>
      </c>
      <c r="X184" s="94">
        <f t="shared" si="562"/>
        <v>7.0418985892328978E-2</v>
      </c>
      <c r="Y184" s="94">
        <f t="shared" si="562"/>
        <v>7.0831583850866797E-2</v>
      </c>
      <c r="Z184" s="94">
        <f t="shared" ca="1" si="562"/>
        <v>6.995512045451513E-2</v>
      </c>
      <c r="AA184" s="94">
        <f t="shared" ca="1" si="562"/>
        <v>6.8752719265074203E-2</v>
      </c>
      <c r="AB184" s="94">
        <f t="shared" ca="1" si="562"/>
        <v>6.7590953797253897E-2</v>
      </c>
      <c r="AC184" s="94">
        <f t="shared" ref="AC184:AG184" ca="1" si="563">AC178/AC172</f>
        <v>6.6467798325842098E-2</v>
      </c>
      <c r="AD184" s="94">
        <f t="shared" ca="1" si="563"/>
        <v>6.5381359570295172E-2</v>
      </c>
      <c r="AE184" s="94">
        <f t="shared" ca="1" si="563"/>
        <v>6.4329866044553208E-2</v>
      </c>
      <c r="AF184" s="94">
        <f t="shared" ca="1" si="563"/>
        <v>6.3311658418276642E-2</v>
      </c>
      <c r="AG184" s="94">
        <f t="shared" ca="1" si="563"/>
        <v>6.2325180779189297E-2</v>
      </c>
      <c r="AH184" s="138"/>
      <c r="AI184" s="94"/>
      <c r="AJ184" s="94"/>
      <c r="AK184" s="94"/>
      <c r="AL184" s="94"/>
      <c r="AM184" s="94"/>
      <c r="AN184" s="240"/>
      <c r="AO184" s="240"/>
      <c r="AP184" s="94"/>
      <c r="AQ184" s="94"/>
      <c r="AR184" s="94"/>
      <c r="AS184" s="94"/>
      <c r="AT184" s="94"/>
      <c r="AU184" s="94"/>
      <c r="AV184" s="94"/>
      <c r="AW184" s="94"/>
      <c r="AX184" s="94"/>
      <c r="AY184" s="94"/>
      <c r="AZ184" s="94"/>
      <c r="BA184" s="94"/>
      <c r="BB184" s="94"/>
      <c r="BC184" s="94"/>
      <c r="BD184" s="94"/>
      <c r="BE184" s="94"/>
      <c r="BF184" s="94"/>
      <c r="BG184" s="94"/>
      <c r="BH184" s="94"/>
      <c r="BI184" s="94"/>
      <c r="BJ184" s="94"/>
      <c r="BK184" s="94"/>
      <c r="BL184" s="94"/>
      <c r="BM184" s="94"/>
      <c r="BN184" s="94"/>
      <c r="BO184" s="94"/>
      <c r="BP184" s="94"/>
      <c r="BQ184" s="94"/>
      <c r="BR184" s="147">
        <v>1.8728337088008293E-2</v>
      </c>
      <c r="BS184" s="94">
        <v>1.8930276876642012E-2</v>
      </c>
      <c r="BT184" s="94">
        <v>1.9097541116189047E-2</v>
      </c>
      <c r="BU184" s="94">
        <v>1.9328883804401457E-2</v>
      </c>
      <c r="BV184" s="147">
        <v>1.8101682555683049E-2</v>
      </c>
      <c r="BW184" s="94">
        <v>1.8055989452336954E-2</v>
      </c>
      <c r="BX184" s="94">
        <v>1.793916465049198E-2</v>
      </c>
      <c r="BY184" s="94">
        <v>1.8072289156626505E-2</v>
      </c>
      <c r="BZ184" s="147">
        <f t="shared" ref="BZ184:DE184" si="564">BZ178/BZ172</f>
        <v>1.8155677748070424E-2</v>
      </c>
      <c r="CA184" s="94">
        <f t="shared" si="564"/>
        <v>1.7566326657235749E-2</v>
      </c>
      <c r="CB184" s="94">
        <f t="shared" si="564"/>
        <v>1.7594957803440892E-2</v>
      </c>
      <c r="CC184" s="94">
        <f t="shared" si="564"/>
        <v>1.7676494055299995E-2</v>
      </c>
      <c r="CD184" s="147">
        <f t="shared" si="564"/>
        <v>1.6893356124024213E-2</v>
      </c>
      <c r="CE184" s="94">
        <f t="shared" si="564"/>
        <v>1.6875222422068115E-2</v>
      </c>
      <c r="CF184" s="94">
        <f t="shared" si="564"/>
        <v>1.6839381319227575E-2</v>
      </c>
      <c r="CG184" s="94">
        <f t="shared" si="564"/>
        <v>1.6944767209382188E-2</v>
      </c>
      <c r="CH184" s="147">
        <f t="shared" si="564"/>
        <v>1.6541890152831661E-2</v>
      </c>
      <c r="CI184" s="94">
        <f t="shared" si="564"/>
        <v>1.6888174743602734E-2</v>
      </c>
      <c r="CJ184" s="94">
        <f t="shared" si="564"/>
        <v>1.7106147580337298E-2</v>
      </c>
      <c r="CK184" s="94">
        <f t="shared" si="564"/>
        <v>1.7428677081080327E-2</v>
      </c>
      <c r="CL184" s="147">
        <f t="shared" si="564"/>
        <v>1.7231557634893219E-2</v>
      </c>
      <c r="CM184" s="94">
        <f t="shared" si="564"/>
        <v>1.6963985190171661E-2</v>
      </c>
      <c r="CN184" s="94">
        <f t="shared" si="564"/>
        <v>1.7083129909901913E-2</v>
      </c>
      <c r="CO184" s="94">
        <f t="shared" si="564"/>
        <v>1.7310346646504961E-2</v>
      </c>
      <c r="CP184" s="147">
        <f t="shared" si="564"/>
        <v>1.6898079250210193E-2</v>
      </c>
      <c r="CQ184" s="94">
        <f t="shared" si="564"/>
        <v>1.6908968527196259E-2</v>
      </c>
      <c r="CR184" s="94">
        <f t="shared" si="564"/>
        <v>1.7667360457460018E-2</v>
      </c>
      <c r="CS184" s="94">
        <f t="shared" si="564"/>
        <v>1.8900431650656323E-2</v>
      </c>
      <c r="CT184" s="147">
        <f t="shared" si="564"/>
        <v>1.9009871055062015E-2</v>
      </c>
      <c r="CU184" s="94">
        <f t="shared" si="564"/>
        <v>1.9371110059271925E-2</v>
      </c>
      <c r="CV184" s="94">
        <f t="shared" si="564"/>
        <v>1.9539587653449351E-2</v>
      </c>
      <c r="CW184" s="101">
        <f t="shared" si="564"/>
        <v>1.9422708770886383E-2</v>
      </c>
      <c r="CX184" s="94">
        <f t="shared" si="564"/>
        <v>1.8567516986420084E-2</v>
      </c>
      <c r="CY184" s="94">
        <f t="shared" si="564"/>
        <v>1.8936257566131254E-2</v>
      </c>
      <c r="CZ184" s="94">
        <f t="shared" si="564"/>
        <v>1.9170343244374721E-2</v>
      </c>
      <c r="DA184" s="94">
        <f t="shared" si="564"/>
        <v>1.9396582038118011E-2</v>
      </c>
      <c r="DB184" s="147">
        <f t="shared" si="564"/>
        <v>1.9532463590074396E-2</v>
      </c>
      <c r="DC184" s="94">
        <f t="shared" si="564"/>
        <v>1.9428699807632E-2</v>
      </c>
      <c r="DD184" s="94">
        <f t="shared" si="564"/>
        <v>1.9162284343574129E-2</v>
      </c>
      <c r="DE184" s="94">
        <f t="shared" si="564"/>
        <v>1.9048226210778209E-2</v>
      </c>
      <c r="DF184" s="147">
        <f>DF178/DF172</f>
        <v>1.8605550633452213E-2</v>
      </c>
      <c r="DG184" s="1045">
        <f>DG178/DG172</f>
        <v>1.8439408308147727E-2</v>
      </c>
      <c r="DH184" s="1045">
        <f>DH178/DH172</f>
        <v>1.8199407329115777E-2</v>
      </c>
      <c r="DI184" s="101">
        <f>DI178/DI172</f>
        <v>1.7650121485595281E-2</v>
      </c>
      <c r="DJ184" s="147">
        <f t="shared" ref="DJ184:DM184" si="565">DJ178/DJ172</f>
        <v>1.8094929201151289E-2</v>
      </c>
      <c r="DK184" s="1045">
        <f t="shared" si="565"/>
        <v>1.8771371300554181E-2</v>
      </c>
      <c r="DL184" s="1045">
        <f t="shared" si="565"/>
        <v>1.8631996003113854E-2</v>
      </c>
      <c r="DM184" s="101">
        <f t="shared" si="565"/>
        <v>1.8492023340513739E-2</v>
      </c>
      <c r="DN184" s="147">
        <f t="shared" ref="DN184:DO184" si="566">DN178/DN172</f>
        <v>1.8142320338186944E-2</v>
      </c>
      <c r="DO184" s="1045">
        <f t="shared" si="566"/>
        <v>1.7759937559235099E-2</v>
      </c>
      <c r="DP184" s="1045">
        <f t="shared" ref="DP184:DQ184" si="567">DP178/DP172</f>
        <v>1.7340239517007028E-2</v>
      </c>
      <c r="DQ184" s="101">
        <f t="shared" si="567"/>
        <v>1.7292528690764305E-2</v>
      </c>
      <c r="DR184" s="1045">
        <f t="shared" ref="DR184:DS184" si="568">DR178/DR172</f>
        <v>1.7354868363387597E-2</v>
      </c>
      <c r="DS184" s="1045">
        <f t="shared" si="568"/>
        <v>1.7553541038300167E-2</v>
      </c>
      <c r="DT184" s="1045">
        <f t="shared" ref="DT184:DU184" si="569">DT178/DT172</f>
        <v>1.7732248035630529E-2</v>
      </c>
      <c r="DU184" s="1045">
        <f t="shared" si="569"/>
        <v>1.8220999129023155E-2</v>
      </c>
      <c r="DV184" s="1045">
        <f t="shared" ref="DV184" si="570">DV178/DV172</f>
        <v>1.7528249303268306E-2</v>
      </c>
      <c r="DW184" s="1045">
        <f t="shared" ref="DW184:DY184" ca="1" si="571">DW178/DW172</f>
        <v>1.7528249303268306E-2</v>
      </c>
      <c r="DX184" s="1045">
        <f t="shared" ca="1" si="571"/>
        <v>1.7528249303268306E-2</v>
      </c>
      <c r="DY184" s="101">
        <f t="shared" ca="1" si="571"/>
        <v>1.7528249303268306E-2</v>
      </c>
      <c r="DZ184" s="1045"/>
    </row>
    <row r="185" spans="1:130">
      <c r="A185" s="319" t="s">
        <v>1345</v>
      </c>
      <c r="B185" s="94"/>
      <c r="C185" s="94"/>
      <c r="D185" s="94"/>
      <c r="E185" s="94"/>
      <c r="F185" s="94"/>
      <c r="G185" s="94"/>
      <c r="H185" s="94"/>
      <c r="I185" s="94"/>
      <c r="J185" s="94"/>
      <c r="K185" s="94"/>
      <c r="L185" s="94">
        <v>-4.4321102870147518E-2</v>
      </c>
      <c r="M185" s="94">
        <v>-3.5876686747623517E-2</v>
      </c>
      <c r="N185" s="94">
        <f t="shared" ref="N185:V185" si="572">N179/N172</f>
        <v>-5.4390159886754219E-2</v>
      </c>
      <c r="O185" s="94">
        <f t="shared" si="572"/>
        <v>-3.4312119262478381E-2</v>
      </c>
      <c r="P185" s="94">
        <f t="shared" si="572"/>
        <v>-6.5856764098612894E-2</v>
      </c>
      <c r="Q185" s="94">
        <f t="shared" si="572"/>
        <v>-3.3053906237686406E-2</v>
      </c>
      <c r="R185" s="94">
        <f t="shared" si="572"/>
        <v>-0.13175728633968917</v>
      </c>
      <c r="S185" s="94">
        <f t="shared" si="572"/>
        <v>-6.2010714260638783E-2</v>
      </c>
      <c r="T185" s="1045">
        <f t="shared" si="572"/>
        <v>-0.10686240154656268</v>
      </c>
      <c r="U185" s="1045">
        <f t="shared" si="572"/>
        <v>-2.615927887742775E-2</v>
      </c>
      <c r="V185" s="94">
        <f t="shared" si="572"/>
        <v>-3.4920121495968966E-2</v>
      </c>
      <c r="W185" s="94">
        <f t="shared" ref="W185:AB185" si="573">W179/W172</f>
        <v>-8.8561278626758763E-2</v>
      </c>
      <c r="X185" s="94">
        <f t="shared" si="573"/>
        <v>-2.2485620432470189E-2</v>
      </c>
      <c r="Y185" s="94">
        <f t="shared" si="573"/>
        <v>-2.7106011326201711E-2</v>
      </c>
      <c r="Z185" s="94">
        <f t="shared" ca="1" si="573"/>
        <v>-4.3144264463594859E-2</v>
      </c>
      <c r="AA185" s="94">
        <f t="shared" ca="1" si="573"/>
        <v>-5.4624676167606995E-2</v>
      </c>
      <c r="AB185" s="94">
        <f t="shared" ca="1" si="573"/>
        <v>-5.4627398081665696E-2</v>
      </c>
      <c r="AC185" s="94">
        <f t="shared" ref="AC185:AG185" ca="1" si="574">AC179/AC172</f>
        <v>-5.4629060030851037E-2</v>
      </c>
      <c r="AD185" s="94">
        <f t="shared" ca="1" si="574"/>
        <v>-5.4629855453511386E-2</v>
      </c>
      <c r="AE185" s="94">
        <f t="shared" ca="1" si="574"/>
        <v>-5.4629752714758131E-2</v>
      </c>
      <c r="AF185" s="94">
        <f t="shared" ca="1" si="574"/>
        <v>-5.462863618294541E-2</v>
      </c>
      <c r="AG185" s="94">
        <f t="shared" ca="1" si="574"/>
        <v>-5.4497543703139292E-2</v>
      </c>
      <c r="AH185" s="138"/>
      <c r="AI185" s="94"/>
      <c r="AJ185" s="94"/>
      <c r="AK185" s="94"/>
      <c r="AL185" s="94"/>
      <c r="AM185" s="94"/>
      <c r="AN185" s="240"/>
      <c r="AO185" s="240"/>
      <c r="AP185" s="94"/>
      <c r="AQ185" s="94"/>
      <c r="AR185" s="94"/>
      <c r="AS185" s="94"/>
      <c r="AT185" s="94"/>
      <c r="AU185" s="94"/>
      <c r="AV185" s="94"/>
      <c r="AW185" s="94"/>
      <c r="AX185" s="94"/>
      <c r="AY185" s="94"/>
      <c r="AZ185" s="94"/>
      <c r="BA185" s="94"/>
      <c r="BB185" s="94"/>
      <c r="BC185" s="94"/>
      <c r="BD185" s="94"/>
      <c r="BE185" s="94"/>
      <c r="BF185" s="94"/>
      <c r="BG185" s="94"/>
      <c r="BH185" s="94"/>
      <c r="BI185" s="94"/>
      <c r="BJ185" s="94"/>
      <c r="BK185" s="94"/>
      <c r="BL185" s="94"/>
      <c r="BM185" s="94"/>
      <c r="BN185" s="94"/>
      <c r="BO185" s="94"/>
      <c r="BP185" s="94"/>
      <c r="BQ185" s="94"/>
      <c r="BR185" s="147">
        <v>-1.0582944308565347E-2</v>
      </c>
      <c r="BS185" s="94">
        <v>-1.4755371472948486E-2</v>
      </c>
      <c r="BT185" s="94">
        <v>-8.1478455637832101E-3</v>
      </c>
      <c r="BU185" s="94">
        <v>-1.1044301910116624E-2</v>
      </c>
      <c r="BV185" s="147">
        <v>-8.9167944579682783E-3</v>
      </c>
      <c r="BW185" s="94">
        <v>-7.5295064519715973E-3</v>
      </c>
      <c r="BX185" s="94">
        <v>-6.364667213603039E-3</v>
      </c>
      <c r="BY185" s="94">
        <v>-1.2939116742118948E-2</v>
      </c>
      <c r="BZ185" s="147">
        <f t="shared" ref="BZ185:DE185" si="575">BZ179/BZ172</f>
        <v>-6.6791101246027338E-3</v>
      </c>
      <c r="CA185" s="94">
        <f t="shared" si="575"/>
        <v>-2.499689772417045E-2</v>
      </c>
      <c r="CB185" s="94">
        <f t="shared" si="575"/>
        <v>-1.022268540742749E-2</v>
      </c>
      <c r="CC185" s="94">
        <f t="shared" si="575"/>
        <v>-1.1825372590352545E-2</v>
      </c>
      <c r="CD185" s="147">
        <f t="shared" si="575"/>
        <v>-7.8647362756699632E-3</v>
      </c>
      <c r="CE185" s="94">
        <f t="shared" si="575"/>
        <v>-7.4733814887129818E-3</v>
      </c>
      <c r="CF185" s="94">
        <f t="shared" si="575"/>
        <v>-1.0840946335175041E-2</v>
      </c>
      <c r="CG185" s="94">
        <f t="shared" si="575"/>
        <v>-8.1148593659589874E-3</v>
      </c>
      <c r="CH185" s="147">
        <f t="shared" si="575"/>
        <v>-2.2882478371549077E-2</v>
      </c>
      <c r="CI185" s="94">
        <f t="shared" si="575"/>
        <v>-1.6416964510801317E-2</v>
      </c>
      <c r="CJ185" s="94">
        <f t="shared" si="575"/>
        <v>-1.131197875315295E-2</v>
      </c>
      <c r="CK185" s="94">
        <f t="shared" si="575"/>
        <v>-1.5698368067426235E-2</v>
      </c>
      <c r="CL185" s="147">
        <f t="shared" si="575"/>
        <v>-5.3991603848045668E-3</v>
      </c>
      <c r="CM185" s="94">
        <f t="shared" si="575"/>
        <v>-7.0773028161112981E-3</v>
      </c>
      <c r="CN185" s="94">
        <f t="shared" si="575"/>
        <v>-9.147396919799388E-3</v>
      </c>
      <c r="CO185" s="94">
        <f t="shared" si="575"/>
        <v>-1.1086006663912015E-2</v>
      </c>
      <c r="CP185" s="147">
        <f t="shared" si="575"/>
        <v>-4.3624766179508959E-3</v>
      </c>
      <c r="CQ185" s="94">
        <f t="shared" si="575"/>
        <v>-5.3805161008192957E-3</v>
      </c>
      <c r="CR185" s="94">
        <f t="shared" si="575"/>
        <v>-7.156650890659455E-2</v>
      </c>
      <c r="CS185" s="94">
        <f t="shared" si="575"/>
        <v>-4.9097351890741631E-2</v>
      </c>
      <c r="CT185" s="147">
        <f t="shared" si="575"/>
        <v>-2.1301070722483755E-2</v>
      </c>
      <c r="CU185" s="94">
        <f t="shared" si="575"/>
        <v>-1.8933105382512309E-2</v>
      </c>
      <c r="CV185" s="94">
        <f t="shared" si="575"/>
        <v>-8.3039740781349729E-3</v>
      </c>
      <c r="CW185" s="101">
        <f t="shared" si="575"/>
        <v>-1.3674888017396799E-2</v>
      </c>
      <c r="CX185" s="94">
        <f t="shared" si="575"/>
        <v>-5.3287114290719011E-3</v>
      </c>
      <c r="CY185" s="94">
        <f t="shared" si="575"/>
        <v>-1.9945457339520033E-2</v>
      </c>
      <c r="CZ185" s="94">
        <f t="shared" si="575"/>
        <v>-2.2202082192789154E-2</v>
      </c>
      <c r="DA185" s="94">
        <f t="shared" si="575"/>
        <v>-5.8086597744801557E-2</v>
      </c>
      <c r="DB185" s="147">
        <f t="shared" si="575"/>
        <v>-5.4546705023277211E-3</v>
      </c>
      <c r="DC185" s="94">
        <f t="shared" si="575"/>
        <v>-5.4293644367268421E-3</v>
      </c>
      <c r="DD185" s="94">
        <f t="shared" si="575"/>
        <v>-5.7062459636497828E-3</v>
      </c>
      <c r="DE185" s="94">
        <f t="shared" si="575"/>
        <v>-9.4854064539925918E-3</v>
      </c>
      <c r="DF185" s="147">
        <f>DF179/DF172</f>
        <v>-5.6711625208564756E-3</v>
      </c>
      <c r="DG185" s="1045">
        <f>DG179/DG172</f>
        <v>-5.2424465341357274E-3</v>
      </c>
      <c r="DH185" s="1045">
        <f>DH179/DH172</f>
        <v>-6.1581867852299604E-3</v>
      </c>
      <c r="DI185" s="101">
        <f>DI179/DI172</f>
        <v>-1.7472231863936132E-2</v>
      </c>
      <c r="DJ185" s="147">
        <f t="shared" ref="DJ185:DM185" si="576">DJ179/DJ172</f>
        <v>-7.1685677153620911E-2</v>
      </c>
      <c r="DK185" s="1045">
        <f t="shared" si="576"/>
        <v>-7.5368470699209997E-3</v>
      </c>
      <c r="DL185" s="1045">
        <f t="shared" si="576"/>
        <v>-4.7683781240196593E-3</v>
      </c>
      <c r="DM185" s="101">
        <f t="shared" si="576"/>
        <v>-7.0003227748565251E-3</v>
      </c>
      <c r="DN185" s="147">
        <f t="shared" ref="DN185:DO185" si="577">DN179/DN172</f>
        <v>-4.4305741229179463E-3</v>
      </c>
      <c r="DO185" s="1045">
        <f t="shared" si="577"/>
        <v>-4.7098176952667667E-3</v>
      </c>
      <c r="DP185" s="1045">
        <f t="shared" ref="DP185:DQ185" si="578">DP179/DP172</f>
        <v>-4.5352072404957495E-3</v>
      </c>
      <c r="DQ185" s="101">
        <f t="shared" si="578"/>
        <v>-8.7525264354056612E-3</v>
      </c>
      <c r="DR185" s="1045">
        <f t="shared" ref="DR185:DS185" si="579">DR179/DR172</f>
        <v>-5.0709223648626985E-3</v>
      </c>
      <c r="DS185" s="1045">
        <f t="shared" si="579"/>
        <v>-7.5783106138473727E-3</v>
      </c>
      <c r="DT185" s="1045">
        <f t="shared" ref="DT185:DU185" si="580">DT179/DT172</f>
        <v>-4.1134498603253404E-3</v>
      </c>
      <c r="DU185" s="1045">
        <f t="shared" si="580"/>
        <v>-1.0271802022465477E-2</v>
      </c>
      <c r="DV185" s="1045">
        <f t="shared" ref="DV185" si="581">DV179/DV172</f>
        <v>-1.3373194831517608E-2</v>
      </c>
      <c r="DW185" s="1045">
        <f t="shared" ref="DW185:DY185" ca="1" si="582">DW179/DW172</f>
        <v>-9.9670307055327746E-3</v>
      </c>
      <c r="DX185" s="1045">
        <f t="shared" ca="1" si="582"/>
        <v>-9.9662160538877519E-3</v>
      </c>
      <c r="DY185" s="101">
        <f t="shared" ca="1" si="582"/>
        <v>-9.9629938815670588E-3</v>
      </c>
      <c r="DZ185" s="1045"/>
    </row>
    <row r="186" spans="1:130">
      <c r="A186" s="333" t="s">
        <v>1346</v>
      </c>
      <c r="B186" s="94"/>
      <c r="C186" s="94"/>
      <c r="D186" s="94"/>
      <c r="E186" s="94"/>
      <c r="F186" s="94"/>
      <c r="G186" s="94"/>
      <c r="H186" s="94"/>
      <c r="I186" s="94"/>
      <c r="J186" s="195"/>
      <c r="K186" s="195"/>
      <c r="L186" s="195">
        <v>1.0469115317897277</v>
      </c>
      <c r="M186" s="195">
        <v>0.89454450535108332</v>
      </c>
      <c r="N186" s="195">
        <f t="shared" ref="N186:V186" si="583">N178/N168</f>
        <v>0.83410326881468921</v>
      </c>
      <c r="O186" s="195">
        <f t="shared" si="583"/>
        <v>0.80510890637472921</v>
      </c>
      <c r="P186" s="195">
        <f t="shared" si="583"/>
        <v>0.84145492516533238</v>
      </c>
      <c r="Q186" s="195">
        <f t="shared" si="583"/>
        <v>0.90878378378378377</v>
      </c>
      <c r="R186" s="195">
        <f t="shared" si="583"/>
        <v>0.96548790861587075</v>
      </c>
      <c r="S186" s="195">
        <f t="shared" si="583"/>
        <v>1.0155134203398177</v>
      </c>
      <c r="T186" s="1241">
        <f t="shared" si="583"/>
        <v>1.0176197836166925</v>
      </c>
      <c r="U186" s="1241">
        <f t="shared" si="583"/>
        <v>1.0001204529029151</v>
      </c>
      <c r="V186" s="195">
        <f t="shared" si="583"/>
        <v>0.96172415798964572</v>
      </c>
      <c r="W186" s="195">
        <f t="shared" ref="W186:AB186" si="584">W178/W168</f>
        <v>0.90109704641350208</v>
      </c>
      <c r="X186" s="195">
        <f t="shared" si="584"/>
        <v>0.9337006858549739</v>
      </c>
      <c r="Y186" s="195">
        <f t="shared" si="584"/>
        <v>0.98301153823853427</v>
      </c>
      <c r="Z186" s="195">
        <f t="shared" ca="1" si="584"/>
        <v>1.0147569314314571</v>
      </c>
      <c r="AA186" s="195">
        <f t="shared" ca="1" si="584"/>
        <v>1.0070292067789295</v>
      </c>
      <c r="AB186" s="195">
        <f t="shared" ca="1" si="584"/>
        <v>0.99141046480102735</v>
      </c>
      <c r="AC186" s="195">
        <f t="shared" ref="AC186:AG186" ca="1" si="585">AC178/AC168</f>
        <v>0.97577742982605464</v>
      </c>
      <c r="AD186" s="195">
        <f t="shared" ca="1" si="585"/>
        <v>0.96022453795025842</v>
      </c>
      <c r="AE186" s="195">
        <f t="shared" ca="1" si="585"/>
        <v>0.94473134877942255</v>
      </c>
      <c r="AF186" s="195">
        <f t="shared" ca="1" si="585"/>
        <v>0.92923939223494445</v>
      </c>
      <c r="AG186" s="195">
        <f t="shared" ca="1" si="585"/>
        <v>0.8564835759357885</v>
      </c>
      <c r="AH186" s="138"/>
      <c r="AI186" s="94"/>
      <c r="AJ186" s="94"/>
      <c r="AK186" s="94"/>
      <c r="AL186" s="94"/>
      <c r="AM186" s="94"/>
      <c r="AN186" s="240"/>
      <c r="AO186" s="240"/>
      <c r="AP186" s="94"/>
      <c r="AQ186" s="94"/>
      <c r="AR186" s="94"/>
      <c r="AS186" s="94"/>
      <c r="AT186" s="94"/>
      <c r="AU186" s="94"/>
      <c r="AV186" s="94"/>
      <c r="AW186" s="94"/>
      <c r="AX186" s="94"/>
      <c r="AY186" s="94"/>
      <c r="AZ186" s="94"/>
      <c r="BA186" s="94"/>
      <c r="BB186" s="94"/>
      <c r="BC186" s="94"/>
      <c r="BD186" s="94"/>
      <c r="BE186" s="94"/>
      <c r="BF186" s="94"/>
      <c r="BG186" s="94"/>
      <c r="BH186" s="94"/>
      <c r="BI186" s="94"/>
      <c r="BJ186" s="195"/>
      <c r="BK186" s="195"/>
      <c r="BL186" s="195"/>
      <c r="BM186" s="195"/>
      <c r="BN186" s="195"/>
      <c r="BO186" s="195"/>
      <c r="BP186" s="195"/>
      <c r="BQ186" s="195"/>
      <c r="BR186" s="182">
        <v>1.2858765619083681</v>
      </c>
      <c r="BS186" s="195">
        <v>1.0797989318253221</v>
      </c>
      <c r="BT186" s="195">
        <v>1.0707039655702428</v>
      </c>
      <c r="BU186" s="195">
        <v>0.85246293639406978</v>
      </c>
      <c r="BV186" s="182">
        <v>0.9393433500278241</v>
      </c>
      <c r="BW186" s="195">
        <v>0.83969465648854957</v>
      </c>
      <c r="BX186" s="195">
        <v>0.88093405183474471</v>
      </c>
      <c r="BY186" s="195">
        <v>0.92497348886532349</v>
      </c>
      <c r="BZ186" s="182">
        <f t="shared" ref="BZ186:DE186" si="586">BZ178/BZ168</f>
        <v>0.88514510575504179</v>
      </c>
      <c r="CA186" s="195">
        <f t="shared" si="586"/>
        <v>0.83368669022379271</v>
      </c>
      <c r="CB186" s="195">
        <f t="shared" si="586"/>
        <v>0.88270526578487651</v>
      </c>
      <c r="CC186" s="195">
        <f t="shared" si="586"/>
        <v>0.75036587915534181</v>
      </c>
      <c r="CD186" s="182">
        <f t="shared" si="586"/>
        <v>0.8332932981023301</v>
      </c>
      <c r="CE186" s="195">
        <f t="shared" si="586"/>
        <v>0.80629595588235292</v>
      </c>
      <c r="CF186" s="195">
        <f t="shared" si="586"/>
        <v>0.82768295534252978</v>
      </c>
      <c r="CG186" s="195">
        <f t="shared" si="586"/>
        <v>0.7589549093973873</v>
      </c>
      <c r="CH186" s="182">
        <f t="shared" si="586"/>
        <v>0.83459715639810428</v>
      </c>
      <c r="CI186" s="195">
        <f t="shared" si="586"/>
        <v>0.85803208044050749</v>
      </c>
      <c r="CJ186" s="195">
        <f t="shared" si="586"/>
        <v>0.8741024413595021</v>
      </c>
      <c r="CK186" s="195">
        <f t="shared" si="586"/>
        <v>0.80355993995282005</v>
      </c>
      <c r="CL186" s="182">
        <f t="shared" si="586"/>
        <v>1.0281190281190282</v>
      </c>
      <c r="CM186" s="195">
        <f t="shared" si="586"/>
        <v>0.87036610637807965</v>
      </c>
      <c r="CN186" s="195">
        <f t="shared" si="586"/>
        <v>0.89241827034546717</v>
      </c>
      <c r="CO186" s="195">
        <f t="shared" si="586"/>
        <v>0.86492422578519657</v>
      </c>
      <c r="CP186" s="182">
        <f t="shared" si="586"/>
        <v>1.1361378907391178</v>
      </c>
      <c r="CQ186" s="195">
        <f t="shared" si="586"/>
        <v>0.93994280266920882</v>
      </c>
      <c r="CR186" s="195">
        <f t="shared" si="586"/>
        <v>0.96921212121212119</v>
      </c>
      <c r="CS186" s="195">
        <f t="shared" si="586"/>
        <v>0.86105218498090796</v>
      </c>
      <c r="CT186" s="182">
        <f t="shared" si="586"/>
        <v>0.92230116892046754</v>
      </c>
      <c r="CU186" s="195">
        <f t="shared" si="586"/>
        <v>0.90296377607025247</v>
      </c>
      <c r="CV186" s="195">
        <f t="shared" si="586"/>
        <v>1.1518743109151048</v>
      </c>
      <c r="CW186" s="196">
        <f t="shared" si="586"/>
        <v>1.1303407247160628</v>
      </c>
      <c r="CX186" s="195">
        <f t="shared" si="586"/>
        <v>1.1298737727910237</v>
      </c>
      <c r="CY186" s="195">
        <f t="shared" si="586"/>
        <v>1.0680465717981888</v>
      </c>
      <c r="CZ186" s="195">
        <f t="shared" si="586"/>
        <v>1.0725868725868726</v>
      </c>
      <c r="DA186" s="195">
        <f t="shared" si="586"/>
        <v>0.85123456790123453</v>
      </c>
      <c r="DB186" s="182">
        <f t="shared" si="586"/>
        <v>1.1432537479178235</v>
      </c>
      <c r="DC186" s="195">
        <f t="shared" si="586"/>
        <v>1.034130543099153</v>
      </c>
      <c r="DD186" s="195">
        <f t="shared" si="586"/>
        <v>0.99117155810069191</v>
      </c>
      <c r="DE186" s="195">
        <f t="shared" si="586"/>
        <v>0.87200333541796959</v>
      </c>
      <c r="DF186" s="182">
        <f>DF178/DF168</f>
        <v>0.99686746987951802</v>
      </c>
      <c r="DG186" s="1241">
        <f>DG178/DG168</f>
        <v>0.95787292817679559</v>
      </c>
      <c r="DH186" s="1241">
        <f>DH178/DH168</f>
        <v>1.008958837772397</v>
      </c>
      <c r="DI186" s="196">
        <f>DI178/DI168</f>
        <v>0.89073790234289463</v>
      </c>
      <c r="DJ186" s="182">
        <f t="shared" ref="DJ186:DM186" si="587">DJ178/DJ168</f>
        <v>1.0884038199181447</v>
      </c>
      <c r="DK186" s="1241">
        <f t="shared" si="587"/>
        <v>0.88680926916221037</v>
      </c>
      <c r="DL186" s="1241">
        <f t="shared" si="587"/>
        <v>0.91383633462502845</v>
      </c>
      <c r="DM186" s="196">
        <f t="shared" si="587"/>
        <v>0.77153772683858646</v>
      </c>
      <c r="DN186" s="182">
        <f t="shared" ref="DN186:DO186" si="588">DN178/DN168</f>
        <v>1.1860053144375553</v>
      </c>
      <c r="DO186" s="1241">
        <f t="shared" si="588"/>
        <v>1.0247040658775091</v>
      </c>
      <c r="DP186" s="1241">
        <f t="shared" ref="DP186:DQ186" si="589">DP178/DP168</f>
        <v>0.95563636363636362</v>
      </c>
      <c r="DQ186" s="196">
        <f t="shared" si="589"/>
        <v>0.70429252782193963</v>
      </c>
      <c r="DR186" s="1241">
        <f t="shared" ref="DR186:DS186" si="590">DR178/DR168</f>
        <v>1.3234431040104337</v>
      </c>
      <c r="DS186" s="1241">
        <f t="shared" si="590"/>
        <v>1.0565415821501014</v>
      </c>
      <c r="DT186" s="1241">
        <f t="shared" ref="DT186:DU186" si="591">DT178/DT168</f>
        <v>1.0002341372044017</v>
      </c>
      <c r="DU186" s="1241">
        <f t="shared" si="591"/>
        <v>0.74702430846605195</v>
      </c>
      <c r="DV186" s="1241">
        <f t="shared" ref="DV186" si="592">DV178/DV168</f>
        <v>0.94991212653778556</v>
      </c>
      <c r="DW186" s="1241">
        <f t="shared" ref="DW186:DY186" ca="1" si="593">DW178/DW168</f>
        <v>1.0584123031863066</v>
      </c>
      <c r="DX186" s="1241">
        <f t="shared" ca="1" si="593"/>
        <v>1.0481518730410442</v>
      </c>
      <c r="DY186" s="196">
        <f t="shared" ca="1" si="593"/>
        <v>1.0094465376553352</v>
      </c>
      <c r="DZ186" s="1045"/>
    </row>
    <row r="187" spans="1:130">
      <c r="A187" s="316" t="s">
        <v>1347</v>
      </c>
      <c r="B187" s="314"/>
      <c r="C187" s="314"/>
      <c r="D187" s="109"/>
      <c r="E187" s="109"/>
      <c r="F187" s="109"/>
      <c r="G187" s="109"/>
      <c r="H187" s="109"/>
      <c r="I187" s="109"/>
      <c r="J187" s="109"/>
      <c r="K187" s="109"/>
      <c r="L187" s="109"/>
      <c r="M187" s="109"/>
      <c r="N187" s="109"/>
      <c r="O187" s="109"/>
      <c r="P187" s="109"/>
      <c r="Q187" s="109"/>
      <c r="R187" s="109"/>
      <c r="S187" s="109"/>
      <c r="T187" s="1044"/>
      <c r="U187" s="1044"/>
      <c r="V187" s="109"/>
      <c r="W187" s="109"/>
      <c r="X187" s="109"/>
      <c r="Y187" s="109"/>
      <c r="Z187" s="109"/>
      <c r="AA187" s="109"/>
      <c r="AB187" s="109"/>
      <c r="AC187" s="109"/>
      <c r="AD187" s="109"/>
      <c r="AE187" s="109"/>
      <c r="AF187" s="109"/>
      <c r="AG187" s="109"/>
      <c r="AH187" s="536"/>
      <c r="AI187" s="109"/>
      <c r="AJ187" s="109"/>
      <c r="AK187" s="109"/>
      <c r="AL187" s="109"/>
      <c r="AM187" s="109"/>
      <c r="AN187" s="276"/>
      <c r="AO187" s="276"/>
      <c r="AP187" s="109"/>
      <c r="AQ187" s="109"/>
      <c r="AR187" s="109"/>
      <c r="AS187" s="109"/>
      <c r="AT187" s="109"/>
      <c r="AU187" s="109"/>
      <c r="AV187" s="109"/>
      <c r="AW187" s="109"/>
      <c r="AX187" s="109"/>
      <c r="AY187" s="109"/>
      <c r="AZ187" s="109"/>
      <c r="BA187" s="109"/>
      <c r="BB187" s="109"/>
      <c r="BC187" s="109"/>
      <c r="BD187" s="109"/>
      <c r="BE187" s="109"/>
      <c r="BF187" s="109"/>
      <c r="BG187" s="109"/>
      <c r="BH187" s="109"/>
      <c r="BI187" s="109"/>
      <c r="BJ187" s="109"/>
      <c r="BK187" s="109"/>
      <c r="BL187" s="109"/>
      <c r="BM187" s="109"/>
      <c r="BN187" s="109"/>
      <c r="BO187" s="109"/>
      <c r="BP187" s="109"/>
      <c r="BQ187" s="109"/>
      <c r="BR187" s="171"/>
      <c r="BS187" s="109"/>
      <c r="BT187" s="109"/>
      <c r="BU187" s="109"/>
      <c r="BV187" s="171"/>
      <c r="BW187" s="109"/>
      <c r="BX187" s="109"/>
      <c r="BY187" s="109"/>
      <c r="BZ187" s="171"/>
      <c r="CA187" s="109"/>
      <c r="CB187" s="109"/>
      <c r="CC187" s="109"/>
      <c r="CD187" s="171"/>
      <c r="CE187" s="109"/>
      <c r="CF187" s="109"/>
      <c r="CG187" s="109"/>
      <c r="CH187" s="171"/>
      <c r="CI187" s="109"/>
      <c r="CJ187" s="109"/>
      <c r="CK187" s="109"/>
      <c r="CL187" s="171"/>
      <c r="CM187" s="109"/>
      <c r="CN187" s="109"/>
      <c r="CO187" s="109"/>
      <c r="CP187" s="171"/>
      <c r="CQ187" s="109"/>
      <c r="CR187" s="109"/>
      <c r="CS187" s="109"/>
      <c r="CT187" s="171"/>
      <c r="CU187" s="109"/>
      <c r="CV187" s="109"/>
      <c r="CW187" s="172"/>
      <c r="CX187" s="109"/>
      <c r="CY187" s="109"/>
      <c r="CZ187" s="109"/>
      <c r="DA187" s="109"/>
      <c r="DB187" s="171"/>
      <c r="DC187" s="109"/>
      <c r="DD187" s="109"/>
      <c r="DE187" s="109"/>
      <c r="DF187" s="171"/>
      <c r="DG187" s="1044"/>
      <c r="DH187" s="1044"/>
      <c r="DI187" s="172"/>
      <c r="DJ187" s="171"/>
      <c r="DK187" s="1044"/>
      <c r="DL187" s="1044"/>
      <c r="DM187" s="172"/>
      <c r="DN187" s="171"/>
      <c r="DO187" s="1044"/>
      <c r="DP187" s="1044"/>
      <c r="DQ187" s="172"/>
      <c r="DR187" s="1044"/>
      <c r="DS187" s="1044"/>
      <c r="DT187" s="1044"/>
      <c r="DU187" s="1044"/>
      <c r="DV187" s="1044"/>
      <c r="DW187" s="1044"/>
      <c r="DX187" s="1044"/>
      <c r="DY187" s="172"/>
      <c r="DZ187" s="1044"/>
    </row>
    <row r="188" spans="1:130">
      <c r="A188" s="287" t="s">
        <v>1348</v>
      </c>
      <c r="B188" s="288"/>
      <c r="C188" s="288"/>
      <c r="D188" s="288"/>
      <c r="E188" s="288"/>
      <c r="F188" s="288"/>
      <c r="G188" s="288"/>
      <c r="H188" s="288"/>
      <c r="I188" s="288"/>
      <c r="J188" s="288"/>
      <c r="K188" s="288"/>
      <c r="L188" s="288">
        <v>13.200129673654637</v>
      </c>
      <c r="M188" s="288">
        <v>13.828859060402685</v>
      </c>
      <c r="N188" s="288">
        <f t="shared" ref="N188:V188" si="594">N172/(N178)</f>
        <v>13.941355860908581</v>
      </c>
      <c r="O188" s="288">
        <f t="shared" si="594"/>
        <v>14.805347025495751</v>
      </c>
      <c r="P188" s="288">
        <f t="shared" si="594"/>
        <v>14.808652188900378</v>
      </c>
      <c r="Q188" s="288">
        <f t="shared" si="594"/>
        <v>14.482586577969085</v>
      </c>
      <c r="R188" s="288">
        <f t="shared" si="594"/>
        <v>13.850629326620517</v>
      </c>
      <c r="S188" s="288">
        <f t="shared" si="594"/>
        <v>12.951048739088264</v>
      </c>
      <c r="T188" s="1049">
        <f t="shared" si="594"/>
        <v>12.916190765492102</v>
      </c>
      <c r="U188" s="1049">
        <f t="shared" si="594"/>
        <v>12.960375767794773</v>
      </c>
      <c r="V188" s="288">
        <f t="shared" si="594"/>
        <v>13.650668360249199</v>
      </c>
      <c r="W188" s="288">
        <f>W172/(W178)</f>
        <v>14.068520946494349</v>
      </c>
      <c r="X188" s="288">
        <f>X172/(X178)</f>
        <v>14.200715720743345</v>
      </c>
      <c r="Y188" s="288">
        <f>Y172/(Y178)</f>
        <v>14.117995753214581</v>
      </c>
      <c r="Z188" s="288">
        <f ca="1">Z172/(Z178)</f>
        <v>14.294879252623126</v>
      </c>
      <c r="AA188" s="334">
        <f t="shared" ref="AA188:AB188" ca="1" si="595">+Z188+0.25</f>
        <v>14.544879252623126</v>
      </c>
      <c r="AB188" s="334">
        <f t="shared" ca="1" si="595"/>
        <v>14.794879252623126</v>
      </c>
      <c r="AC188" s="334">
        <f t="shared" ref="AC188" ca="1" si="596">+AB188+0.25</f>
        <v>15.044879252623126</v>
      </c>
      <c r="AD188" s="334">
        <f t="shared" ref="AD188" ca="1" si="597">+AC188+0.25</f>
        <v>15.294879252623126</v>
      </c>
      <c r="AE188" s="334">
        <f t="shared" ref="AE188" ca="1" si="598">+AD188+0.25</f>
        <v>15.544879252623126</v>
      </c>
      <c r="AF188" s="334">
        <f t="shared" ref="AF188" ca="1" si="599">+AE188+0.25</f>
        <v>15.794879252623126</v>
      </c>
      <c r="AG188" s="334">
        <f t="shared" ref="AG188" ca="1" si="600">+AF188+0.25</f>
        <v>16.044879252623126</v>
      </c>
      <c r="AH188" s="472"/>
      <c r="AI188" s="288"/>
      <c r="AJ188" s="288"/>
      <c r="AK188" s="288"/>
      <c r="AL188" s="288"/>
      <c r="AM188" s="288"/>
      <c r="AN188" s="289"/>
      <c r="AO188" s="289"/>
      <c r="AP188" s="288"/>
      <c r="AQ188" s="288"/>
      <c r="AR188" s="288"/>
      <c r="AS188" s="288"/>
      <c r="AT188" s="288"/>
      <c r="AU188" s="288"/>
      <c r="AV188" s="288"/>
      <c r="AW188" s="288"/>
      <c r="AX188" s="288"/>
      <c r="AY188" s="288"/>
      <c r="AZ188" s="288"/>
      <c r="BA188" s="288"/>
      <c r="BB188" s="288"/>
      <c r="BC188" s="288"/>
      <c r="BD188" s="288"/>
      <c r="BE188" s="288"/>
      <c r="BF188" s="288"/>
      <c r="BG188" s="288"/>
      <c r="BH188" s="288"/>
      <c r="BI188" s="288"/>
      <c r="BJ188" s="288"/>
      <c r="BK188" s="288"/>
      <c r="BL188" s="288"/>
      <c r="BM188" s="288"/>
      <c r="BN188" s="288"/>
      <c r="BO188" s="288"/>
      <c r="BP188" s="288"/>
      <c r="BQ188" s="288"/>
      <c r="BR188" s="290">
        <v>13.348755889281508</v>
      </c>
      <c r="BS188" s="288">
        <v>13.206357288332848</v>
      </c>
      <c r="BT188" s="288">
        <v>13.090690496698249</v>
      </c>
      <c r="BU188" s="288">
        <v>12.934011220196354</v>
      </c>
      <c r="BV188" s="290">
        <v>13.810870853080569</v>
      </c>
      <c r="BW188" s="288">
        <v>13.845821114369501</v>
      </c>
      <c r="BX188" s="288">
        <v>13.935988930964172</v>
      </c>
      <c r="BY188" s="288">
        <v>13.833333333333334</v>
      </c>
      <c r="BZ188" s="290">
        <f t="shared" ref="BZ188:DE188" si="601">BZ172/(BZ178*4)</f>
        <v>13.76979716587941</v>
      </c>
      <c r="CA188" s="288">
        <f t="shared" si="601"/>
        <v>14.231774512574173</v>
      </c>
      <c r="CB188" s="288">
        <f t="shared" si="601"/>
        <v>14.208616058806898</v>
      </c>
      <c r="CC188" s="288">
        <f t="shared" si="601"/>
        <v>14.143076065756478</v>
      </c>
      <c r="CD188" s="290">
        <f t="shared" si="601"/>
        <v>14.798717209570482</v>
      </c>
      <c r="CE188" s="288">
        <f t="shared" si="601"/>
        <v>14.814619549729267</v>
      </c>
      <c r="CF188" s="288">
        <f t="shared" si="601"/>
        <v>14.846151129943502</v>
      </c>
      <c r="CG188" s="288">
        <f t="shared" si="601"/>
        <v>14.75381732370905</v>
      </c>
      <c r="CH188" s="290">
        <f t="shared" si="601"/>
        <v>15.113145939806929</v>
      </c>
      <c r="CI188" s="288">
        <f t="shared" si="601"/>
        <v>14.803257533482142</v>
      </c>
      <c r="CJ188" s="288">
        <f t="shared" si="601"/>
        <v>14.614628970427162</v>
      </c>
      <c r="CK188" s="288">
        <f t="shared" si="601"/>
        <v>14.344175340272217</v>
      </c>
      <c r="CL188" s="290">
        <f t="shared" si="601"/>
        <v>14.508264737121614</v>
      </c>
      <c r="CM188" s="288">
        <f t="shared" si="601"/>
        <v>14.737103174603174</v>
      </c>
      <c r="CN188" s="288">
        <f t="shared" si="601"/>
        <v>14.634320602753961</v>
      </c>
      <c r="CO188" s="288">
        <f t="shared" si="601"/>
        <v>14.442229558151347</v>
      </c>
      <c r="CP188" s="290">
        <f t="shared" si="601"/>
        <v>14.794580869118025</v>
      </c>
      <c r="CQ188" s="288">
        <f t="shared" si="601"/>
        <v>14.785053245436105</v>
      </c>
      <c r="CR188" s="288">
        <f t="shared" si="601"/>
        <v>14.150387693846923</v>
      </c>
      <c r="CS188" s="288">
        <f t="shared" si="601"/>
        <v>13.227211135747721</v>
      </c>
      <c r="CT188" s="290">
        <f t="shared" si="601"/>
        <v>13.151062375745527</v>
      </c>
      <c r="CU188" s="288">
        <f t="shared" si="601"/>
        <v>12.905816921954777</v>
      </c>
      <c r="CV188" s="288">
        <f t="shared" si="601"/>
        <v>12.794538167025605</v>
      </c>
      <c r="CW188" s="288">
        <f t="shared" si="601"/>
        <v>12.871531100478469</v>
      </c>
      <c r="CX188" s="288">
        <f t="shared" si="601"/>
        <v>13.464374379344587</v>
      </c>
      <c r="CY188" s="288">
        <f t="shared" si="601"/>
        <v>13.202186288759689</v>
      </c>
      <c r="CZ188" s="288">
        <f t="shared" si="601"/>
        <v>13.040976721862251</v>
      </c>
      <c r="DA188" s="288">
        <f t="shared" si="601"/>
        <v>12.888868745467731</v>
      </c>
      <c r="DB188" s="290">
        <f t="shared" si="601"/>
        <v>12.799204711024769</v>
      </c>
      <c r="DC188" s="288">
        <f t="shared" si="601"/>
        <v>12.867562033245001</v>
      </c>
      <c r="DD188" s="288">
        <f t="shared" si="601"/>
        <v>13.046461242176216</v>
      </c>
      <c r="DE188" s="288">
        <f t="shared" si="601"/>
        <v>13.124581639971312</v>
      </c>
      <c r="DF188" s="290">
        <f t="shared" ref="DF188:DK188" si="602">DF172/(DF178*4)</f>
        <v>13.436850374667634</v>
      </c>
      <c r="DG188" s="1049">
        <f t="shared" si="602"/>
        <v>13.557918769526555</v>
      </c>
      <c r="DH188" s="1049">
        <f t="shared" si="602"/>
        <v>13.736711063114951</v>
      </c>
      <c r="DI188" s="291">
        <f t="shared" si="602"/>
        <v>14.164208456243854</v>
      </c>
      <c r="DJ188" s="290">
        <f t="shared" si="602"/>
        <v>13.816025319628979</v>
      </c>
      <c r="DK188" s="1049">
        <f t="shared" si="602"/>
        <v>13.318153266331658</v>
      </c>
      <c r="DL188" s="1049">
        <f t="shared" ref="DL188:DQ188" si="603">DL172/(DL178*4)</f>
        <v>13.41777874781741</v>
      </c>
      <c r="DM188" s="291">
        <f t="shared" si="603"/>
        <v>13.519342659074029</v>
      </c>
      <c r="DN188" s="290">
        <f t="shared" si="603"/>
        <v>13.779935275080906</v>
      </c>
      <c r="DO188" s="1049">
        <f t="shared" si="603"/>
        <v>14.076626067302863</v>
      </c>
      <c r="DP188" s="1049">
        <f t="shared" si="603"/>
        <v>14.417332572298326</v>
      </c>
      <c r="DQ188" s="291">
        <f t="shared" si="603"/>
        <v>14.457110609480813</v>
      </c>
      <c r="DR188" s="1049">
        <f t="shared" ref="DR188:DS188" si="604">DR172/(DR178*4)</f>
        <v>14.405179847253018</v>
      </c>
      <c r="DS188" s="1049">
        <f t="shared" si="604"/>
        <v>14.2421406287497</v>
      </c>
      <c r="DT188" s="1049">
        <f t="shared" ref="DT188:DU188" si="605">DT172/(DT178*4)</f>
        <v>14.098607209737828</v>
      </c>
      <c r="DU188" s="1049">
        <f t="shared" si="605"/>
        <v>13.720433123877918</v>
      </c>
      <c r="DV188" s="1049">
        <f t="shared" ref="DV188" si="606">DV172/(DV178*4)</f>
        <v>14.262690795559667</v>
      </c>
      <c r="DW188" s="3258">
        <f t="shared" ref="DW188:DY188" si="607">+DV188</f>
        <v>14.262690795559667</v>
      </c>
      <c r="DX188" s="3258">
        <f t="shared" si="607"/>
        <v>14.262690795559667</v>
      </c>
      <c r="DY188" s="335">
        <f t="shared" si="607"/>
        <v>14.262690795559667</v>
      </c>
      <c r="DZ188" s="1049"/>
    </row>
    <row r="189" spans="1:130">
      <c r="A189" s="109"/>
      <c r="B189" s="109"/>
      <c r="C189" s="109"/>
      <c r="D189" s="109"/>
      <c r="E189" s="109"/>
      <c r="F189" s="109"/>
      <c r="G189" s="109"/>
      <c r="H189" s="109"/>
      <c r="I189" s="109"/>
      <c r="J189" s="109"/>
      <c r="K189" s="109"/>
      <c r="L189" s="109"/>
      <c r="M189" s="109"/>
      <c r="N189" s="109"/>
      <c r="O189" s="109"/>
      <c r="P189" s="109"/>
      <c r="Q189" s="109"/>
      <c r="R189" s="109"/>
      <c r="S189" s="109"/>
      <c r="T189" s="1044"/>
      <c r="U189" s="1044"/>
      <c r="V189" s="109"/>
      <c r="W189" s="109"/>
      <c r="X189" s="109"/>
      <c r="Y189" s="109"/>
      <c r="Z189" s="109"/>
      <c r="AA189" s="109"/>
      <c r="AB189" s="109"/>
      <c r="AC189" s="109"/>
      <c r="AD189" s="109"/>
      <c r="AE189" s="109"/>
      <c r="AF189" s="109"/>
      <c r="AG189" s="109"/>
      <c r="AH189" s="536"/>
      <c r="AI189" s="109"/>
      <c r="AJ189" s="109"/>
      <c r="AK189" s="109"/>
      <c r="AL189" s="109"/>
      <c r="AM189" s="109"/>
      <c r="AN189" s="276"/>
      <c r="AO189" s="276"/>
      <c r="AP189" s="109"/>
      <c r="AQ189" s="109"/>
      <c r="AR189" s="109"/>
      <c r="AS189" s="109"/>
      <c r="AT189" s="109"/>
      <c r="AU189" s="109"/>
      <c r="AV189" s="109"/>
      <c r="AW189" s="109"/>
      <c r="AX189" s="109"/>
      <c r="AY189" s="109"/>
      <c r="AZ189" s="109"/>
      <c r="BA189" s="109"/>
      <c r="BB189" s="109"/>
      <c r="BC189" s="109"/>
      <c r="BD189" s="109"/>
      <c r="BE189" s="109"/>
      <c r="BF189" s="109"/>
      <c r="BG189" s="109"/>
      <c r="BH189" s="109"/>
      <c r="BI189" s="109"/>
      <c r="BJ189" s="109"/>
      <c r="BK189" s="109"/>
      <c r="BL189" s="109"/>
      <c r="BM189" s="109"/>
      <c r="BN189" s="109"/>
      <c r="BO189" s="109"/>
      <c r="BP189" s="109"/>
      <c r="BQ189" s="109"/>
      <c r="BR189" s="171"/>
      <c r="BS189" s="109"/>
      <c r="BT189" s="109"/>
      <c r="BU189" s="109"/>
      <c r="BV189" s="171"/>
      <c r="BW189" s="109"/>
      <c r="BX189" s="109"/>
      <c r="BY189" s="109"/>
      <c r="BZ189" s="171"/>
      <c r="CA189" s="109"/>
      <c r="CB189" s="109"/>
      <c r="CC189" s="109"/>
      <c r="CD189" s="171"/>
      <c r="CE189" s="109"/>
      <c r="CF189" s="109"/>
      <c r="CG189" s="109"/>
      <c r="CH189" s="171"/>
      <c r="CI189" s="109"/>
      <c r="CJ189" s="109"/>
      <c r="CK189" s="109"/>
      <c r="CL189" s="171"/>
      <c r="CM189" s="109"/>
      <c r="CN189" s="109"/>
      <c r="CO189" s="109"/>
      <c r="CP189" s="171"/>
      <c r="CQ189" s="109"/>
      <c r="CR189" s="109"/>
      <c r="CS189" s="109"/>
      <c r="CT189" s="171"/>
      <c r="CU189" s="109"/>
      <c r="CV189" s="109"/>
      <c r="CW189" s="172"/>
      <c r="CX189" s="109"/>
      <c r="CY189" s="109"/>
      <c r="CZ189" s="109"/>
      <c r="DA189" s="109"/>
      <c r="DB189" s="171"/>
      <c r="DC189" s="109"/>
      <c r="DD189" s="109"/>
      <c r="DE189" s="109"/>
      <c r="DF189" s="171"/>
      <c r="DG189" s="1044"/>
      <c r="DH189" s="1044"/>
      <c r="DI189" s="172"/>
      <c r="DJ189" s="171"/>
      <c r="DK189" s="1044"/>
      <c r="DL189" s="1044"/>
      <c r="DM189" s="172"/>
      <c r="DN189" s="171"/>
      <c r="DO189" s="1044"/>
      <c r="DP189" s="1044"/>
      <c r="DQ189" s="172"/>
      <c r="DR189" s="1044"/>
      <c r="DS189" s="1044"/>
      <c r="DT189" s="1044"/>
      <c r="DU189" s="1044"/>
      <c r="DV189" s="1044"/>
      <c r="DW189" s="1044"/>
      <c r="DX189" s="1044"/>
      <c r="DY189" s="172"/>
      <c r="DZ189" s="1044"/>
    </row>
    <row r="190" spans="1:130">
      <c r="A190" s="336" t="s">
        <v>1349</v>
      </c>
      <c r="B190" s="94"/>
      <c r="C190" s="94"/>
      <c r="D190" s="94"/>
      <c r="E190" s="94"/>
      <c r="F190" s="94"/>
      <c r="G190" s="94"/>
      <c r="H190" s="94"/>
      <c r="I190" s="94"/>
      <c r="J190" s="295"/>
      <c r="K190" s="295"/>
      <c r="L190" s="295"/>
      <c r="M190" s="295">
        <v>-1.2463079028888435E-2</v>
      </c>
      <c r="N190" s="295">
        <f t="shared" ref="N190:AB190" si="608">N178/M178-1</f>
        <v>4.0560256784359483E-2</v>
      </c>
      <c r="O190" s="295">
        <f t="shared" si="608"/>
        <v>-1.0095344924284877E-2</v>
      </c>
      <c r="P190" s="295">
        <f t="shared" si="608"/>
        <v>2.7266288951841355E-2</v>
      </c>
      <c r="Q190" s="295">
        <f t="shared" si="608"/>
        <v>5.7083764219234778E-2</v>
      </c>
      <c r="R190" s="295">
        <f t="shared" si="608"/>
        <v>3.6326876671231911E-2</v>
      </c>
      <c r="S190" s="295">
        <f t="shared" si="608"/>
        <v>3.8137193203272579E-2</v>
      </c>
      <c r="T190" s="1130">
        <f t="shared" si="608"/>
        <v>-2.1823472356935492E-3</v>
      </c>
      <c r="U190" s="1130">
        <f t="shared" si="608"/>
        <v>8.8699878493316842E-3</v>
      </c>
      <c r="V190" s="295">
        <f t="shared" si="608"/>
        <v>-4.3960014452607554E-3</v>
      </c>
      <c r="W190" s="295">
        <f>W178/V178-1</f>
        <v>-3.1210306659408493E-2</v>
      </c>
      <c r="X190" s="295">
        <f>X178/W178-1</f>
        <v>-5.5565961166260669E-3</v>
      </c>
      <c r="Y190" s="295">
        <f>Y178/X178-1</f>
        <v>6.441486690105469E-2</v>
      </c>
      <c r="Z190" s="295">
        <f ca="1">Z178/Y178-1</f>
        <v>2.8555054589126883E-2</v>
      </c>
      <c r="AA190" s="295">
        <f t="shared" ca="1" si="608"/>
        <v>5.9208525595311201E-4</v>
      </c>
      <c r="AB190" s="295">
        <f t="shared" ca="1" si="608"/>
        <v>-3.4376886788156646E-3</v>
      </c>
      <c r="AC190" s="295">
        <f t="shared" ref="AC190" ca="1" si="609">AC178/AB178-1</f>
        <v>-3.2323793725947958E-3</v>
      </c>
      <c r="AD190" s="295">
        <f t="shared" ref="AD190" ca="1" si="610">AD178/AC178-1</f>
        <v>-3.0015147755422245E-3</v>
      </c>
      <c r="AE190" s="295">
        <f t="shared" ref="AE190" ca="1" si="611">AE178/AD178-1</f>
        <v>-2.7475259578607636E-3</v>
      </c>
      <c r="AF190" s="295">
        <f t="shared" ref="AF190" ca="1" si="612">AF178/AE178-1</f>
        <v>-2.4672855261634874E-3</v>
      </c>
      <c r="AG190" s="295">
        <f t="shared" ref="AG190" ca="1" si="613">AG178/AF178-1</f>
        <v>2.029916981853841E-4</v>
      </c>
      <c r="AH190" s="138"/>
      <c r="AI190" s="94"/>
      <c r="AJ190" s="94"/>
      <c r="AK190" s="94"/>
      <c r="AL190" s="94"/>
      <c r="AM190" s="94"/>
      <c r="AN190" s="240"/>
      <c r="AO190" s="240"/>
      <c r="AP190" s="94"/>
      <c r="AQ190" s="94"/>
      <c r="AR190" s="94"/>
      <c r="AS190" s="94"/>
      <c r="AT190" s="94"/>
      <c r="AU190" s="94"/>
      <c r="AV190" s="94"/>
      <c r="AW190" s="94"/>
      <c r="AX190" s="94"/>
      <c r="AY190" s="94"/>
      <c r="AZ190" s="94"/>
      <c r="BA190" s="94"/>
      <c r="BB190" s="94"/>
      <c r="BC190" s="94"/>
      <c r="BD190" s="94"/>
      <c r="BE190" s="94"/>
      <c r="BF190" s="94"/>
      <c r="BG190" s="94"/>
      <c r="BH190" s="94"/>
      <c r="BI190" s="94"/>
      <c r="BJ190" s="295"/>
      <c r="BK190" s="295"/>
      <c r="BL190" s="295"/>
      <c r="BM190" s="295"/>
      <c r="BN190" s="295"/>
      <c r="BO190" s="295"/>
      <c r="BP190" s="295"/>
      <c r="BQ190" s="295"/>
      <c r="BR190" s="298"/>
      <c r="BS190" s="295"/>
      <c r="BT190" s="295"/>
      <c r="BU190" s="295"/>
      <c r="BV190" s="298">
        <v>-5.8892815076561078E-3</v>
      </c>
      <c r="BW190" s="295">
        <v>-7.8556881000872991E-3</v>
      </c>
      <c r="BX190" s="295">
        <v>-1.4355440712029877E-2</v>
      </c>
      <c r="BY190" s="295">
        <v>-2.1318373071528729E-2</v>
      </c>
      <c r="BZ190" s="298">
        <f t="shared" ref="BZ190:DV190" si="614">BZ178/BV178-1</f>
        <v>6.6054502369668144E-2</v>
      </c>
      <c r="CA190" s="295">
        <f t="shared" si="614"/>
        <v>3.7829912023460421E-2</v>
      </c>
      <c r="CB190" s="295">
        <f t="shared" si="614"/>
        <v>3.0294203320710755E-2</v>
      </c>
      <c r="CC190" s="295">
        <f t="shared" si="614"/>
        <v>2.8661507595299618E-2</v>
      </c>
      <c r="CD190" s="298">
        <f t="shared" si="614"/>
        <v>-3.6121144762433999E-2</v>
      </c>
      <c r="CE190" s="295">
        <f t="shared" si="614"/>
        <v>-8.4769708957332934E-3</v>
      </c>
      <c r="CF190" s="295">
        <f t="shared" si="614"/>
        <v>8.4817642069556776E-4</v>
      </c>
      <c r="CG190" s="295">
        <f t="shared" si="614"/>
        <v>3.6221788799108978E-3</v>
      </c>
      <c r="CH190" s="298">
        <f t="shared" si="614"/>
        <v>1.527817814932253E-2</v>
      </c>
      <c r="CI190" s="295">
        <f t="shared" si="614"/>
        <v>2.1373610715303526E-2</v>
      </c>
      <c r="CJ190" s="295">
        <f t="shared" si="614"/>
        <v>3.1638418079096065E-2</v>
      </c>
      <c r="CK190" s="295">
        <f t="shared" si="614"/>
        <v>4.0255413659078254E-2</v>
      </c>
      <c r="CL190" s="298">
        <f t="shared" si="614"/>
        <v>6.9278818852924529E-2</v>
      </c>
      <c r="CM190" s="295">
        <f t="shared" si="614"/>
        <v>5.46875E-2</v>
      </c>
      <c r="CN190" s="295">
        <f t="shared" si="614"/>
        <v>5.3943044906900273E-2</v>
      </c>
      <c r="CO190" s="295">
        <f t="shared" si="614"/>
        <v>5.0974112623431989E-2</v>
      </c>
      <c r="CP190" s="298">
        <f t="shared" si="614"/>
        <v>3.2660647902283513E-2</v>
      </c>
      <c r="CQ190" s="295">
        <f t="shared" si="614"/>
        <v>4.3386243386243306E-2</v>
      </c>
      <c r="CR190" s="295">
        <f t="shared" si="614"/>
        <v>3.8711353598337217E-2</v>
      </c>
      <c r="CS190" s="295">
        <f t="shared" si="614"/>
        <v>3.0726256983240274E-2</v>
      </c>
      <c r="CT190" s="298">
        <f t="shared" si="614"/>
        <v>3.4713293905888509E-2</v>
      </c>
      <c r="CU190" s="295">
        <f t="shared" si="614"/>
        <v>4.2849898580121781E-2</v>
      </c>
      <c r="CV190" s="295">
        <f t="shared" si="614"/>
        <v>4.5272636318159032E-2</v>
      </c>
      <c r="CW190" s="299">
        <f t="shared" si="614"/>
        <v>2.9810298102981081E-2</v>
      </c>
      <c r="CX190" s="295">
        <f t="shared" si="614"/>
        <v>9.9403578528822756E-4</v>
      </c>
      <c r="CY190" s="295">
        <f t="shared" si="614"/>
        <v>3.6469730123998012E-3</v>
      </c>
      <c r="CZ190" s="295">
        <f t="shared" si="614"/>
        <v>-2.8715003589375732E-3</v>
      </c>
      <c r="DA190" s="295">
        <f t="shared" si="614"/>
        <v>-1.02870813397129E-2</v>
      </c>
      <c r="DB190" s="298">
        <f t="shared" si="614"/>
        <v>2.2343594836147007E-2</v>
      </c>
      <c r="DC190" s="295">
        <f t="shared" si="614"/>
        <v>5.5717054263566546E-3</v>
      </c>
      <c r="DD190" s="295">
        <f t="shared" si="614"/>
        <v>-3.1197504199663717E-3</v>
      </c>
      <c r="DE190" s="295">
        <f t="shared" si="614"/>
        <v>1.1119168479574615E-2</v>
      </c>
      <c r="DF190" s="298">
        <f t="shared" si="614"/>
        <v>4.6138902379795343E-3</v>
      </c>
      <c r="DG190" s="1130">
        <f t="shared" si="614"/>
        <v>2.4090580582991628E-3</v>
      </c>
      <c r="DH190" s="1130">
        <f t="shared" si="614"/>
        <v>3.1295137217139946E-3</v>
      </c>
      <c r="DI190" s="299">
        <f t="shared" si="614"/>
        <v>-2.7492230456610089E-2</v>
      </c>
      <c r="DJ190" s="298">
        <f t="shared" si="614"/>
        <v>-3.5774715977761717E-2</v>
      </c>
      <c r="DK190" s="1130">
        <f t="shared" si="614"/>
        <v>-4.3499158856044273E-2</v>
      </c>
      <c r="DL190" s="1130">
        <f t="shared" si="614"/>
        <v>-3.7916966642668637E-2</v>
      </c>
      <c r="DM190" s="299">
        <f t="shared" si="614"/>
        <v>-7.1288102261554132E-3</v>
      </c>
      <c r="DN190" s="298">
        <f t="shared" si="614"/>
        <v>7.0193030834795334E-3</v>
      </c>
      <c r="DO190" s="1130">
        <f t="shared" si="614"/>
        <v>5.0251256281397261E-4</v>
      </c>
      <c r="DP190" s="1130">
        <f t="shared" si="614"/>
        <v>-1.6712397106510402E-2</v>
      </c>
      <c r="DQ190" s="299">
        <f t="shared" si="614"/>
        <v>-1.2874473879673221E-2</v>
      </c>
      <c r="DR190" s="1130">
        <f t="shared" si="614"/>
        <v>1.0455563853622118E-2</v>
      </c>
      <c r="DS190" s="1130">
        <f t="shared" si="614"/>
        <v>4.6459065796082388E-2</v>
      </c>
      <c r="DT190" s="1130">
        <f t="shared" si="614"/>
        <v>8.3713850837138448E-2</v>
      </c>
      <c r="DU190" s="1130">
        <f t="shared" si="614"/>
        <v>0.11763230499122157</v>
      </c>
      <c r="DV190" s="1130">
        <f t="shared" si="614"/>
        <v>6.5287016506528683E-2</v>
      </c>
      <c r="DW190" s="1130">
        <f t="shared" ref="DW190" ca="1" si="615">DW178/DS178-1</f>
        <v>4.1909207998426012E-2</v>
      </c>
      <c r="DX190" s="1130">
        <f t="shared" ref="DX190" ca="1" si="616">DX178/DT178-1</f>
        <v>2.3107616740351666E-2</v>
      </c>
      <c r="DY190" s="299">
        <f t="shared" ref="DY190" ca="1" si="617">DY178/DU178-1</f>
        <v>-1.2169886207398006E-2</v>
      </c>
      <c r="DZ190" s="1045"/>
    </row>
    <row r="191" spans="1:130">
      <c r="A191" s="109"/>
      <c r="B191" s="109"/>
      <c r="C191" s="109"/>
      <c r="D191" s="109"/>
      <c r="E191" s="109"/>
      <c r="F191" s="109"/>
      <c r="G191" s="109"/>
      <c r="H191" s="109"/>
      <c r="I191" s="109"/>
      <c r="J191" s="109"/>
      <c r="K191" s="109"/>
      <c r="L191" s="109"/>
      <c r="M191" s="109"/>
      <c r="N191" s="109"/>
      <c r="O191" s="109"/>
      <c r="P191" s="109"/>
      <c r="Q191" s="109"/>
      <c r="R191" s="109"/>
      <c r="S191" s="109"/>
      <c r="T191" s="1044"/>
      <c r="U191" s="1044"/>
      <c r="V191" s="109"/>
      <c r="W191" s="109"/>
      <c r="X191" s="109"/>
      <c r="Y191" s="109"/>
      <c r="Z191" s="109"/>
      <c r="AA191" s="109"/>
      <c r="AB191" s="109"/>
      <c r="AC191" s="109"/>
      <c r="AD191" s="109"/>
      <c r="AE191" s="109"/>
      <c r="AF191" s="109"/>
      <c r="AG191" s="109"/>
      <c r="AH191" s="536"/>
      <c r="AI191" s="109"/>
      <c r="AJ191" s="109"/>
      <c r="AK191" s="109"/>
      <c r="AL191" s="109"/>
      <c r="AM191" s="109"/>
      <c r="AN191" s="276"/>
      <c r="AO191" s="276"/>
      <c r="AP191" s="109"/>
      <c r="AQ191" s="109"/>
      <c r="AR191" s="109"/>
      <c r="AS191" s="109"/>
      <c r="AT191" s="109"/>
      <c r="AU191" s="109"/>
      <c r="AV191" s="109"/>
      <c r="AW191" s="109"/>
      <c r="AX191" s="109"/>
      <c r="AY191" s="109"/>
      <c r="AZ191" s="109"/>
      <c r="BA191" s="109"/>
      <c r="BB191" s="109"/>
      <c r="BC191" s="109"/>
      <c r="BD191" s="109"/>
      <c r="BE191" s="109"/>
      <c r="BF191" s="109"/>
      <c r="BG191" s="109"/>
      <c r="BH191" s="109"/>
      <c r="BI191" s="109"/>
      <c r="BJ191" s="109"/>
      <c r="BK191" s="109"/>
      <c r="BL191" s="109"/>
      <c r="BM191" s="109"/>
      <c r="BN191" s="109"/>
      <c r="BO191" s="109"/>
      <c r="BP191" s="109"/>
      <c r="BQ191" s="109"/>
      <c r="BR191" s="171"/>
      <c r="BS191" s="109"/>
      <c r="BT191" s="109"/>
      <c r="BU191" s="109"/>
      <c r="BV191" s="171"/>
      <c r="BW191" s="109"/>
      <c r="BX191" s="109"/>
      <c r="BY191" s="109"/>
      <c r="BZ191" s="171"/>
      <c r="CA191" s="109"/>
      <c r="CB191" s="109"/>
      <c r="CC191" s="109"/>
      <c r="CD191" s="171"/>
      <c r="CE191" s="109"/>
      <c r="CF191" s="109"/>
      <c r="CG191" s="109"/>
      <c r="CH191" s="171"/>
      <c r="CI191" s="109"/>
      <c r="CJ191" s="109"/>
      <c r="CK191" s="109"/>
      <c r="CL191" s="171"/>
      <c r="CM191" s="109"/>
      <c r="CN191" s="109"/>
      <c r="CO191" s="109"/>
      <c r="CP191" s="171"/>
      <c r="CQ191" s="109"/>
      <c r="CR191" s="109"/>
      <c r="CS191" s="109"/>
      <c r="CT191" s="171"/>
      <c r="CU191" s="109"/>
      <c r="CV191" s="109"/>
      <c r="CW191" s="172"/>
      <c r="CX191" s="109"/>
      <c r="CY191" s="109"/>
      <c r="CZ191" s="109"/>
      <c r="DA191" s="109"/>
      <c r="DB191" s="171"/>
      <c r="DC191" s="109"/>
      <c r="DD191" s="109"/>
      <c r="DE191" s="109"/>
      <c r="DF191" s="171"/>
      <c r="DG191" s="1044"/>
      <c r="DH191" s="1044"/>
      <c r="DI191" s="172"/>
      <c r="DJ191" s="171"/>
      <c r="DK191" s="1044"/>
      <c r="DL191" s="1044"/>
      <c r="DM191" s="172"/>
      <c r="DN191" s="171"/>
      <c r="DO191" s="1044"/>
      <c r="DP191" s="1044"/>
      <c r="DQ191" s="172"/>
      <c r="DR191" s="1044"/>
      <c r="DS191" s="1044"/>
      <c r="DT191" s="1044"/>
      <c r="DU191" s="1044"/>
      <c r="DV191" s="1044"/>
      <c r="DW191" s="1044"/>
      <c r="DX191" s="1044"/>
      <c r="DY191" s="172"/>
      <c r="DZ191" s="1044"/>
    </row>
    <row r="192" spans="1:130">
      <c r="A192" s="212" t="s">
        <v>1350</v>
      </c>
      <c r="B192" s="212"/>
      <c r="C192" s="212"/>
      <c r="D192" s="212"/>
      <c r="E192" s="212"/>
      <c r="F192" s="212"/>
      <c r="G192" s="212"/>
      <c r="H192" s="212"/>
      <c r="I192" s="212"/>
      <c r="J192" s="212"/>
      <c r="K192" s="212"/>
      <c r="L192" s="212"/>
      <c r="M192" s="212"/>
      <c r="N192" s="212">
        <f>IS!N48</f>
        <v>14264</v>
      </c>
      <c r="O192" s="212">
        <f>IS!O48</f>
        <v>14120</v>
      </c>
      <c r="P192" s="212">
        <f>IS!P48</f>
        <v>14505</v>
      </c>
      <c r="Q192" s="212">
        <f>IS!Q48</f>
        <v>15333</v>
      </c>
      <c r="R192" s="212">
        <f>IS!R48</f>
        <v>15890</v>
      </c>
      <c r="S192" s="212">
        <f>IS!S48</f>
        <v>16496</v>
      </c>
      <c r="T192" s="212">
        <f>IS!T48</f>
        <v>16460</v>
      </c>
      <c r="U192" s="2178">
        <f>IS!U48</f>
        <v>16606</v>
      </c>
      <c r="V192" s="2178">
        <f>IS!V48</f>
        <v>16533</v>
      </c>
      <c r="W192" s="2178">
        <f>IS!W48</f>
        <v>16017</v>
      </c>
      <c r="X192" s="2153">
        <f>IS!X48</f>
        <v>15928</v>
      </c>
      <c r="Y192" s="2153">
        <f>IS!Y48</f>
        <v>16954</v>
      </c>
      <c r="Z192" s="2153">
        <f ca="1">IS!Z48</f>
        <v>17438.122395504059</v>
      </c>
      <c r="AA192" s="2178">
        <f ca="1">IS!AA48</f>
        <v>17448.447250665944</v>
      </c>
      <c r="AB192" s="2178">
        <f ca="1">IS!AB48</f>
        <v>17388.464921089417</v>
      </c>
      <c r="AC192" s="2178">
        <f ca="1">IS!AC48</f>
        <v>17332.258805757399</v>
      </c>
      <c r="AD192" s="2178">
        <f ca="1">IS!AD48</f>
        <v>17280.235774858396</v>
      </c>
      <c r="AE192" s="2178">
        <f ca="1">IS!AE48</f>
        <v>17232.757878509019</v>
      </c>
      <c r="AF192" s="2178">
        <f ca="1">IS!AF48</f>
        <v>17190.239744419494</v>
      </c>
      <c r="AG192" s="2178">
        <f ca="1">IS!AG48</f>
        <v>17193.729220377427</v>
      </c>
      <c r="AH192" s="676"/>
      <c r="AI192" s="212"/>
      <c r="AJ192" s="212"/>
      <c r="AK192" s="212"/>
      <c r="AL192" s="212"/>
      <c r="AM192" s="212"/>
      <c r="AN192" s="790"/>
      <c r="AO192" s="790"/>
      <c r="AP192" s="212"/>
      <c r="AQ192" s="212"/>
      <c r="AR192" s="212"/>
      <c r="AS192" s="212"/>
      <c r="AT192" s="212"/>
      <c r="AU192" s="212"/>
      <c r="AV192" s="212"/>
      <c r="AW192" s="212"/>
      <c r="AX192" s="212"/>
      <c r="AY192" s="212"/>
      <c r="AZ192" s="212"/>
      <c r="BA192" s="212"/>
      <c r="BB192" s="212"/>
      <c r="BC192" s="212"/>
      <c r="BD192" s="212"/>
      <c r="BE192" s="212"/>
      <c r="BF192" s="212"/>
      <c r="BG192" s="212"/>
      <c r="BH192" s="212"/>
      <c r="BI192" s="212"/>
      <c r="BJ192" s="212"/>
      <c r="BK192" s="212"/>
      <c r="BL192" s="212"/>
      <c r="BM192" s="212"/>
      <c r="BN192" s="212"/>
      <c r="BO192" s="212"/>
      <c r="BP192" s="212"/>
      <c r="BQ192" s="212"/>
      <c r="BR192" s="211"/>
      <c r="BS192" s="212"/>
      <c r="BT192" s="212"/>
      <c r="BU192" s="212"/>
      <c r="BV192" s="211"/>
      <c r="BW192" s="212"/>
      <c r="BX192" s="212"/>
      <c r="BY192" s="212"/>
      <c r="BZ192" s="211"/>
      <c r="CA192" s="212"/>
      <c r="CB192" s="212"/>
      <c r="CC192" s="212"/>
      <c r="CD192" s="211">
        <f>IS!CA48</f>
        <v>3469</v>
      </c>
      <c r="CE192" s="212">
        <f>IS!CB48</f>
        <v>3509</v>
      </c>
      <c r="CF192" s="212">
        <f>IS!CC48</f>
        <v>3540</v>
      </c>
      <c r="CG192" s="212">
        <f>IS!CD48</f>
        <v>3602</v>
      </c>
      <c r="CH192" s="211">
        <f>IS!CE48</f>
        <v>3522</v>
      </c>
      <c r="CI192" s="212">
        <f>IS!CF48</f>
        <v>3584</v>
      </c>
      <c r="CJ192" s="212">
        <f>IS!CG48</f>
        <v>3652</v>
      </c>
      <c r="CK192" s="212">
        <f>IS!CH48</f>
        <v>3747</v>
      </c>
      <c r="CL192" s="211">
        <f>IS!CI48</f>
        <v>3766</v>
      </c>
      <c r="CM192" s="212">
        <f>IS!CJ48</f>
        <v>3780</v>
      </c>
      <c r="CN192" s="212">
        <f>IS!CK48</f>
        <v>3849</v>
      </c>
      <c r="CO192" s="212">
        <f>IS!CL48</f>
        <v>3938</v>
      </c>
      <c r="CP192" s="211">
        <f>IS!CM48</f>
        <v>3889</v>
      </c>
      <c r="CQ192" s="212">
        <f>IS!CN48</f>
        <v>3944</v>
      </c>
      <c r="CR192" s="212">
        <f>IS!CO48</f>
        <v>3998</v>
      </c>
      <c r="CS192" s="212">
        <f>IS!CP48</f>
        <v>4059</v>
      </c>
      <c r="CT192" s="211">
        <f>IS!CQ48</f>
        <v>4024</v>
      </c>
      <c r="CU192" s="212">
        <f>IS!CR48</f>
        <v>4113</v>
      </c>
      <c r="CV192" s="212">
        <f>IS!CS48</f>
        <v>4179</v>
      </c>
      <c r="CW192" s="213">
        <f>IS!CT48</f>
        <v>4180</v>
      </c>
      <c r="CX192" s="212">
        <f>IS!CU48</f>
        <v>4028</v>
      </c>
      <c r="CY192" s="212">
        <f>IS!CV48</f>
        <v>4128</v>
      </c>
      <c r="CZ192" s="212">
        <f>IS!CW48</f>
        <v>4167</v>
      </c>
      <c r="DA192" s="212">
        <f>IS!CX48</f>
        <v>4137</v>
      </c>
      <c r="DB192" s="211">
        <f>IS!CY48</f>
        <v>4118</v>
      </c>
      <c r="DC192" s="212">
        <f>IS!CZ48</f>
        <v>4151</v>
      </c>
      <c r="DD192" s="212">
        <f>IS!DA48</f>
        <v>4154</v>
      </c>
      <c r="DE192" s="212">
        <f>IS!DB48</f>
        <v>4183</v>
      </c>
      <c r="DF192" s="211">
        <f>IS!DC48</f>
        <v>4137</v>
      </c>
      <c r="DG192" s="212">
        <f>IS!DD48</f>
        <v>4161</v>
      </c>
      <c r="DH192" s="212">
        <f>IS!DE48</f>
        <v>4167</v>
      </c>
      <c r="DI192" s="213">
        <f>IS!DF48</f>
        <v>4068</v>
      </c>
      <c r="DJ192" s="211">
        <f>IS!DG48</f>
        <v>3989</v>
      </c>
      <c r="DK192" s="212">
        <f>IS!DH48</f>
        <v>3980</v>
      </c>
      <c r="DL192" s="2153">
        <f>IS!DI48</f>
        <v>4009</v>
      </c>
      <c r="DM192" s="2487">
        <f>IS!DJ48</f>
        <v>4039</v>
      </c>
      <c r="DN192" s="2492">
        <f>IS!DK48</f>
        <v>4017</v>
      </c>
      <c r="DO192" s="2153">
        <f>IS!DL48</f>
        <v>3982</v>
      </c>
      <c r="DP192" s="2153">
        <f>IS!DM48</f>
        <v>3942</v>
      </c>
      <c r="DQ192" s="2487">
        <f>IS!DN48</f>
        <v>3987</v>
      </c>
      <c r="DR192" s="2153">
        <f>IS!DO48</f>
        <v>4059</v>
      </c>
      <c r="DS192" s="2153">
        <f>IS!DP48</f>
        <v>4167</v>
      </c>
      <c r="DT192" s="2153">
        <f>IS!DQ48</f>
        <v>4272</v>
      </c>
      <c r="DU192" s="2153">
        <f>IS!DR48</f>
        <v>4456</v>
      </c>
      <c r="DV192" s="2153">
        <f>IS!DS48</f>
        <v>4324</v>
      </c>
      <c r="DW192" s="2178">
        <f ca="1">IS!DT48</f>
        <v>4341.6356697294414</v>
      </c>
      <c r="DX192" s="2178">
        <f ca="1">IS!DU48</f>
        <v>4370.7157387147827</v>
      </c>
      <c r="DY192" s="2179">
        <f ca="1">IS!DV48</f>
        <v>4401.7709870598346</v>
      </c>
      <c r="DZ192" s="1044"/>
    </row>
    <row r="193" spans="1:130" hidden="1">
      <c r="A193" s="256" t="s">
        <v>1351</v>
      </c>
      <c r="B193" s="143"/>
      <c r="C193" s="143"/>
      <c r="D193" s="143"/>
      <c r="E193" s="143"/>
      <c r="F193" s="143"/>
      <c r="G193" s="143"/>
      <c r="H193" s="143"/>
      <c r="I193" s="143"/>
      <c r="J193" s="143"/>
      <c r="K193" s="143"/>
      <c r="L193" s="143"/>
      <c r="M193" s="143"/>
      <c r="N193" s="143">
        <f t="shared" ref="N193:AA193" si="618">N178-N192</f>
        <v>0</v>
      </c>
      <c r="O193" s="143">
        <f t="shared" si="618"/>
        <v>0</v>
      </c>
      <c r="P193" s="143">
        <f t="shared" si="618"/>
        <v>0</v>
      </c>
      <c r="Q193" s="143">
        <f t="shared" si="618"/>
        <v>0</v>
      </c>
      <c r="R193" s="143">
        <f t="shared" si="618"/>
        <v>0</v>
      </c>
      <c r="S193" s="143">
        <f t="shared" si="618"/>
        <v>0</v>
      </c>
      <c r="T193" s="1047">
        <f t="shared" si="618"/>
        <v>0</v>
      </c>
      <c r="U193" s="1047">
        <f t="shared" si="618"/>
        <v>0</v>
      </c>
      <c r="V193" s="143">
        <f t="shared" si="618"/>
        <v>0</v>
      </c>
      <c r="W193" s="143">
        <f t="shared" si="618"/>
        <v>0</v>
      </c>
      <c r="X193" s="143">
        <f t="shared" si="618"/>
        <v>0</v>
      </c>
      <c r="Y193" s="143">
        <f t="shared" si="618"/>
        <v>0</v>
      </c>
      <c r="Z193" s="143">
        <f t="shared" ca="1" si="618"/>
        <v>0</v>
      </c>
      <c r="AA193" s="143">
        <f t="shared" ca="1" si="618"/>
        <v>0</v>
      </c>
      <c r="AB193" s="143">
        <f t="shared" ref="AB193" ca="1" si="619">AB178-AB192</f>
        <v>0</v>
      </c>
      <c r="AC193" s="143"/>
      <c r="AD193" s="143"/>
      <c r="AE193" s="143"/>
      <c r="AF193" s="143"/>
      <c r="AG193" s="143"/>
      <c r="AH193" s="1237"/>
      <c r="AI193" s="143"/>
      <c r="AJ193" s="143"/>
      <c r="AK193" s="143"/>
      <c r="AL193" s="143"/>
      <c r="AM193" s="143"/>
      <c r="AN193" s="228"/>
      <c r="AO193" s="228"/>
      <c r="AP193" s="143"/>
      <c r="AQ193" s="143"/>
      <c r="AR193" s="143"/>
      <c r="AS193" s="143"/>
      <c r="AT193" s="143"/>
      <c r="AU193" s="143"/>
      <c r="AV193" s="143"/>
      <c r="AW193" s="143"/>
      <c r="AX193" s="143"/>
      <c r="AY193" s="143"/>
      <c r="AZ193" s="143"/>
      <c r="BA193" s="143"/>
      <c r="BB193" s="143"/>
      <c r="BC193" s="143"/>
      <c r="BD193" s="143"/>
      <c r="BE193" s="143"/>
      <c r="BF193" s="143"/>
      <c r="BG193" s="143"/>
      <c r="BH193" s="143"/>
      <c r="BI193" s="143"/>
      <c r="BJ193" s="143"/>
      <c r="BK193" s="143"/>
      <c r="BL193" s="143"/>
      <c r="BM193" s="143"/>
      <c r="BN193" s="143"/>
      <c r="BO193" s="143"/>
      <c r="BP193" s="143"/>
      <c r="BQ193" s="143"/>
      <c r="BR193" s="159"/>
      <c r="BS193" s="143"/>
      <c r="BT193" s="143"/>
      <c r="BU193" s="143"/>
      <c r="BV193" s="159"/>
      <c r="BW193" s="143"/>
      <c r="BX193" s="143"/>
      <c r="BY193" s="143"/>
      <c r="BZ193" s="159"/>
      <c r="CA193" s="143"/>
      <c r="CB193" s="143"/>
      <c r="CC193" s="143"/>
      <c r="CD193" s="159">
        <f t="shared" ref="CD193:DM193" si="620">CD178-CD192</f>
        <v>0</v>
      </c>
      <c r="CE193" s="143">
        <f t="shared" si="620"/>
        <v>0</v>
      </c>
      <c r="CF193" s="143">
        <f t="shared" si="620"/>
        <v>0</v>
      </c>
      <c r="CG193" s="143">
        <f t="shared" si="620"/>
        <v>0</v>
      </c>
      <c r="CH193" s="159">
        <f t="shared" si="620"/>
        <v>0</v>
      </c>
      <c r="CI193" s="143">
        <f t="shared" si="620"/>
        <v>0</v>
      </c>
      <c r="CJ193" s="143">
        <f t="shared" si="620"/>
        <v>0</v>
      </c>
      <c r="CK193" s="143">
        <f t="shared" si="620"/>
        <v>0</v>
      </c>
      <c r="CL193" s="159">
        <f t="shared" si="620"/>
        <v>0</v>
      </c>
      <c r="CM193" s="143">
        <f t="shared" si="620"/>
        <v>0</v>
      </c>
      <c r="CN193" s="143">
        <f t="shared" si="620"/>
        <v>0</v>
      </c>
      <c r="CO193" s="143">
        <f t="shared" si="620"/>
        <v>0</v>
      </c>
      <c r="CP193" s="159">
        <f t="shared" si="620"/>
        <v>0</v>
      </c>
      <c r="CQ193" s="143">
        <f t="shared" si="620"/>
        <v>0</v>
      </c>
      <c r="CR193" s="143">
        <f t="shared" si="620"/>
        <v>0</v>
      </c>
      <c r="CS193" s="143">
        <f t="shared" si="620"/>
        <v>0</v>
      </c>
      <c r="CT193" s="159">
        <f t="shared" si="620"/>
        <v>0</v>
      </c>
      <c r="CU193" s="143">
        <f t="shared" si="620"/>
        <v>0</v>
      </c>
      <c r="CV193" s="143">
        <f t="shared" si="620"/>
        <v>0</v>
      </c>
      <c r="CW193" s="189">
        <f t="shared" si="620"/>
        <v>0</v>
      </c>
      <c r="CX193" s="143">
        <f t="shared" si="620"/>
        <v>0</v>
      </c>
      <c r="CY193" s="143">
        <f t="shared" si="620"/>
        <v>0</v>
      </c>
      <c r="CZ193" s="143">
        <f t="shared" si="620"/>
        <v>0</v>
      </c>
      <c r="DA193" s="143">
        <f t="shared" si="620"/>
        <v>0</v>
      </c>
      <c r="DB193" s="159">
        <f t="shared" si="620"/>
        <v>0</v>
      </c>
      <c r="DC193" s="143">
        <f t="shared" si="620"/>
        <v>0</v>
      </c>
      <c r="DD193" s="143">
        <f t="shared" si="620"/>
        <v>0</v>
      </c>
      <c r="DE193" s="143">
        <f t="shared" si="620"/>
        <v>0</v>
      </c>
      <c r="DF193" s="159">
        <f t="shared" si="620"/>
        <v>0</v>
      </c>
      <c r="DG193" s="1047">
        <f t="shared" si="620"/>
        <v>0</v>
      </c>
      <c r="DH193" s="1047">
        <f t="shared" si="620"/>
        <v>0</v>
      </c>
      <c r="DI193" s="1047">
        <f>DI178-DI192</f>
        <v>0</v>
      </c>
      <c r="DJ193" s="1047">
        <f>DJ178-DJ192</f>
        <v>0</v>
      </c>
      <c r="DK193" s="1047">
        <f>DK178-DK192</f>
        <v>0</v>
      </c>
      <c r="DL193" s="1047">
        <f>DL178-DL192</f>
        <v>0</v>
      </c>
      <c r="DM193" s="189">
        <f t="shared" si="620"/>
        <v>0</v>
      </c>
      <c r="DN193" s="189">
        <f>DN178-DN192</f>
        <v>0</v>
      </c>
      <c r="DO193" s="189">
        <f>DO178-DO192</f>
        <v>0</v>
      </c>
      <c r="DP193" s="189">
        <f>DP178-DP192</f>
        <v>0</v>
      </c>
      <c r="DQ193" s="189">
        <f>DQ178-DQ192</f>
        <v>0</v>
      </c>
      <c r="DR193" s="189">
        <f t="shared" ref="DR193:DU193" si="621">DR178-DR192</f>
        <v>0</v>
      </c>
      <c r="DS193" s="189">
        <f t="shared" si="621"/>
        <v>0</v>
      </c>
      <c r="DT193" s="189">
        <f t="shared" si="621"/>
        <v>0</v>
      </c>
      <c r="DU193" s="189">
        <f t="shared" si="621"/>
        <v>0</v>
      </c>
      <c r="DV193" s="189">
        <f t="shared" ref="DV193:DY193" si="622">DV178-DV192</f>
        <v>0</v>
      </c>
      <c r="DW193" s="189">
        <f t="shared" ca="1" si="622"/>
        <v>0</v>
      </c>
      <c r="DX193" s="189">
        <f t="shared" ca="1" si="622"/>
        <v>0</v>
      </c>
      <c r="DY193" s="189">
        <f t="shared" ca="1" si="622"/>
        <v>0</v>
      </c>
      <c r="DZ193" s="1044"/>
    </row>
    <row r="194" spans="1:130" hidden="1">
      <c r="A194" s="109" t="s">
        <v>1352</v>
      </c>
      <c r="B194" s="109"/>
      <c r="C194" s="109"/>
      <c r="D194" s="109"/>
      <c r="E194" s="109"/>
      <c r="F194" s="109"/>
      <c r="G194" s="109"/>
      <c r="H194" s="109"/>
      <c r="I194" s="109"/>
      <c r="J194" s="109"/>
      <c r="K194" s="109"/>
      <c r="L194" s="109"/>
      <c r="M194" s="109"/>
      <c r="N194" s="109">
        <f t="shared" ref="N194:AA194" si="623">N22</f>
        <v>-121753</v>
      </c>
      <c r="O194" s="109">
        <f t="shared" si="623"/>
        <v>-128700</v>
      </c>
      <c r="P194" s="109">
        <f t="shared" si="623"/>
        <v>-129059</v>
      </c>
      <c r="Q194" s="109">
        <f t="shared" si="623"/>
        <v>-137052</v>
      </c>
      <c r="R194" s="109">
        <f t="shared" si="623"/>
        <v>-123944</v>
      </c>
      <c r="S194" s="109">
        <f t="shared" si="623"/>
        <v>-127192</v>
      </c>
      <c r="T194" s="1044">
        <f t="shared" si="623"/>
        <v>-120933</v>
      </c>
      <c r="U194" s="1044">
        <f t="shared" si="623"/>
        <v>-131909</v>
      </c>
      <c r="V194" s="109">
        <f t="shared" si="623"/>
        <v>-140561</v>
      </c>
      <c r="W194" s="109">
        <f t="shared" si="623"/>
        <v>-136622</v>
      </c>
      <c r="X194" s="109">
        <f t="shared" si="623"/>
        <v>-147464</v>
      </c>
      <c r="Y194" s="109">
        <f t="shared" si="623"/>
        <v>-157930</v>
      </c>
      <c r="Z194" s="109">
        <f t="shared" ca="1" si="623"/>
        <v>-164613.29902457807</v>
      </c>
      <c r="AA194" s="109">
        <f t="shared" ca="1" si="623"/>
        <v>-168198.79233126272</v>
      </c>
      <c r="AB194" s="109">
        <f t="shared" ref="AB194" ca="1" si="624">AB22</f>
        <v>-171533.79977159642</v>
      </c>
      <c r="AC194" s="109"/>
      <c r="AD194" s="109"/>
      <c r="AE194" s="109"/>
      <c r="AF194" s="109"/>
      <c r="AG194" s="109"/>
      <c r="AH194" s="536"/>
      <c r="AI194" s="109">
        <f>AI22</f>
        <v>0</v>
      </c>
      <c r="AJ194" s="109">
        <f>AJ22</f>
        <v>0</v>
      </c>
      <c r="AK194" s="109">
        <f>AK22</f>
        <v>0</v>
      </c>
      <c r="AL194" s="109">
        <f>AL22</f>
        <v>0</v>
      </c>
      <c r="AM194" s="109"/>
      <c r="AN194" s="276"/>
      <c r="AO194" s="276"/>
      <c r="AP194" s="109"/>
      <c r="AQ194" s="109"/>
      <c r="AR194" s="109"/>
      <c r="AS194" s="109"/>
      <c r="AT194" s="109"/>
      <c r="AU194" s="109"/>
      <c r="AV194" s="109"/>
      <c r="AW194" s="109"/>
      <c r="AX194" s="109"/>
      <c r="AY194" s="109"/>
      <c r="AZ194" s="109"/>
      <c r="BA194" s="109"/>
      <c r="BB194" s="109"/>
      <c r="BC194" s="109"/>
      <c r="BD194" s="109"/>
      <c r="BE194" s="109"/>
      <c r="BF194" s="109"/>
      <c r="BG194" s="109"/>
      <c r="BH194" s="109"/>
      <c r="BI194" s="109"/>
      <c r="BJ194" s="109"/>
      <c r="BK194" s="109"/>
      <c r="BL194" s="109"/>
      <c r="BM194" s="109"/>
      <c r="BN194" s="109"/>
      <c r="BO194" s="109"/>
      <c r="BP194" s="109"/>
      <c r="BQ194" s="109"/>
      <c r="BR194" s="171"/>
      <c r="BS194" s="109"/>
      <c r="BT194" s="109"/>
      <c r="BU194" s="109"/>
      <c r="BV194" s="171"/>
      <c r="BW194" s="109"/>
      <c r="BX194" s="109"/>
      <c r="BY194" s="109"/>
      <c r="BZ194" s="171"/>
      <c r="CA194" s="109"/>
      <c r="CB194" s="109"/>
      <c r="CC194" s="109"/>
      <c r="CD194" s="171">
        <f t="shared" ref="CD194:DQ194" si="625">CD22</f>
        <v>-123607</v>
      </c>
      <c r="CE194" s="109">
        <f t="shared" si="625"/>
        <v>-125562</v>
      </c>
      <c r="CF194" s="109">
        <f t="shared" si="625"/>
        <v>-126823</v>
      </c>
      <c r="CG194" s="109">
        <f t="shared" si="625"/>
        <v>-128700</v>
      </c>
      <c r="CH194" s="171">
        <f t="shared" si="625"/>
        <v>-127350</v>
      </c>
      <c r="CI194" s="109">
        <f t="shared" si="625"/>
        <v>-127450</v>
      </c>
      <c r="CJ194" s="109">
        <f t="shared" si="625"/>
        <v>-128687</v>
      </c>
      <c r="CK194" s="109">
        <f t="shared" si="625"/>
        <v>-129059</v>
      </c>
      <c r="CL194" s="171">
        <f t="shared" si="625"/>
        <v>-131645</v>
      </c>
      <c r="CM194" s="109">
        <f t="shared" si="625"/>
        <v>-133848</v>
      </c>
      <c r="CN194" s="109">
        <f t="shared" si="625"/>
        <v>-135636</v>
      </c>
      <c r="CO194" s="109">
        <f t="shared" si="625"/>
        <v>-137052</v>
      </c>
      <c r="CP194" s="171">
        <f t="shared" si="625"/>
        <v>-139937</v>
      </c>
      <c r="CQ194" s="109">
        <f t="shared" si="625"/>
        <v>-142626</v>
      </c>
      <c r="CR194" s="109">
        <f t="shared" si="625"/>
        <v>-130429</v>
      </c>
      <c r="CS194" s="109">
        <f t="shared" si="625"/>
        <v>-123944</v>
      </c>
      <c r="CT194" s="171">
        <f t="shared" si="625"/>
        <v>-123459</v>
      </c>
      <c r="CU194" s="109">
        <f t="shared" si="625"/>
        <v>-123552</v>
      </c>
      <c r="CV194" s="109">
        <f t="shared" si="625"/>
        <v>-125955</v>
      </c>
      <c r="CW194" s="172">
        <f t="shared" si="625"/>
        <v>-127192</v>
      </c>
      <c r="CX194" s="109">
        <f t="shared" si="625"/>
        <v>-130064</v>
      </c>
      <c r="CY194" s="109">
        <f t="shared" si="625"/>
        <v>-129844</v>
      </c>
      <c r="CZ194" s="109">
        <f t="shared" si="625"/>
        <v>-129185</v>
      </c>
      <c r="DA194" s="109">
        <f t="shared" si="625"/>
        <v>-120933</v>
      </c>
      <c r="DB194" s="171">
        <f t="shared" si="625"/>
        <v>-123901</v>
      </c>
      <c r="DC194" s="109">
        <f t="shared" si="625"/>
        <v>-126892</v>
      </c>
      <c r="DD194" s="109">
        <f t="shared" si="625"/>
        <v>-129809</v>
      </c>
      <c r="DE194" s="109">
        <f t="shared" si="625"/>
        <v>-131909</v>
      </c>
      <c r="DF194" s="171">
        <f t="shared" si="625"/>
        <v>-134785</v>
      </c>
      <c r="DG194" s="1044">
        <f t="shared" si="625"/>
        <v>-137763</v>
      </c>
      <c r="DH194" s="1044">
        <f t="shared" si="625"/>
        <v>-140520</v>
      </c>
      <c r="DI194" s="1044">
        <f t="shared" si="625"/>
        <v>-140561</v>
      </c>
      <c r="DJ194" s="1044">
        <f t="shared" si="625"/>
        <v>-128747</v>
      </c>
      <c r="DK194" s="1044">
        <f t="shared" si="625"/>
        <v>-131129</v>
      </c>
      <c r="DL194" s="1044">
        <f t="shared" si="625"/>
        <v>-134112</v>
      </c>
      <c r="DM194" s="172">
        <f t="shared" si="625"/>
        <v>-136622</v>
      </c>
      <c r="DN194" s="172">
        <f t="shared" si="625"/>
        <v>-139658</v>
      </c>
      <c r="DO194" s="172">
        <f t="shared" si="625"/>
        <v>-142584</v>
      </c>
      <c r="DP194" s="172">
        <f t="shared" si="625"/>
        <v>-145495</v>
      </c>
      <c r="DQ194" s="172">
        <f t="shared" si="625"/>
        <v>-147464</v>
      </c>
      <c r="DR194" s="172">
        <f t="shared" ref="DR194:DU194" si="626">DR22</f>
        <v>-150337</v>
      </c>
      <c r="DS194" s="172">
        <f t="shared" si="626"/>
        <v>-152705</v>
      </c>
      <c r="DT194" s="172">
        <f t="shared" si="626"/>
        <v>-155986</v>
      </c>
      <c r="DU194" s="172">
        <f t="shared" si="626"/>
        <v>-157930</v>
      </c>
      <c r="DV194" s="172">
        <f t="shared" ref="DV194:DY194" si="627">DV22</f>
        <v>-158955</v>
      </c>
      <c r="DW194" s="172">
        <f t="shared" ca="1" si="627"/>
        <v>-160827.86566972945</v>
      </c>
      <c r="DX194" s="172">
        <f t="shared" ca="1" si="627"/>
        <v>-162713.47884009834</v>
      </c>
      <c r="DY194" s="172">
        <f t="shared" ca="1" si="627"/>
        <v>-164613.29902457807</v>
      </c>
      <c r="DZ194" s="1044"/>
    </row>
    <row r="195" spans="1:130" hidden="1">
      <c r="A195" s="256" t="s">
        <v>1351</v>
      </c>
      <c r="B195" s="143"/>
      <c r="C195" s="143"/>
      <c r="D195" s="143"/>
      <c r="E195" s="143"/>
      <c r="F195" s="143"/>
      <c r="G195" s="143"/>
      <c r="H195" s="143"/>
      <c r="I195" s="143"/>
      <c r="J195" s="143"/>
      <c r="K195" s="143"/>
      <c r="L195" s="143"/>
      <c r="M195" s="143"/>
      <c r="N195" s="143">
        <f t="shared" ref="N195:AA195" si="628">N194+N181</f>
        <v>0</v>
      </c>
      <c r="O195" s="143">
        <f t="shared" si="628"/>
        <v>0</v>
      </c>
      <c r="P195" s="143">
        <f t="shared" si="628"/>
        <v>0</v>
      </c>
      <c r="Q195" s="143">
        <f t="shared" si="628"/>
        <v>0</v>
      </c>
      <c r="R195" s="143">
        <f t="shared" si="628"/>
        <v>0</v>
      </c>
      <c r="S195" s="143">
        <f t="shared" si="628"/>
        <v>0</v>
      </c>
      <c r="T195" s="1047">
        <f t="shared" si="628"/>
        <v>0</v>
      </c>
      <c r="U195" s="1047">
        <f t="shared" si="628"/>
        <v>0</v>
      </c>
      <c r="V195" s="143">
        <f t="shared" si="628"/>
        <v>0</v>
      </c>
      <c r="W195" s="143">
        <f t="shared" si="628"/>
        <v>0</v>
      </c>
      <c r="X195" s="143">
        <f t="shared" si="628"/>
        <v>0</v>
      </c>
      <c r="Y195" s="143">
        <f t="shared" si="628"/>
        <v>0</v>
      </c>
      <c r="Z195" s="143">
        <f t="shared" ca="1" si="628"/>
        <v>0</v>
      </c>
      <c r="AA195" s="143">
        <f t="shared" ca="1" si="628"/>
        <v>0</v>
      </c>
      <c r="AB195" s="143">
        <f t="shared" ref="AB195" ca="1" si="629">AB194+AB181</f>
        <v>0</v>
      </c>
      <c r="AC195" s="143"/>
      <c r="AD195" s="143"/>
      <c r="AE195" s="143"/>
      <c r="AF195" s="143"/>
      <c r="AG195" s="143"/>
      <c r="AH195" s="1237"/>
      <c r="AI195" s="143"/>
      <c r="AJ195" s="143"/>
      <c r="AK195" s="143"/>
      <c r="AL195" s="143"/>
      <c r="AM195" s="143"/>
      <c r="AN195" s="228"/>
      <c r="AO195" s="228"/>
      <c r="AP195" s="143"/>
      <c r="AQ195" s="143"/>
      <c r="AR195" s="143"/>
      <c r="AS195" s="143"/>
      <c r="AT195" s="143"/>
      <c r="AU195" s="143"/>
      <c r="AV195" s="143"/>
      <c r="AW195" s="143"/>
      <c r="AX195" s="143"/>
      <c r="AY195" s="143"/>
      <c r="AZ195" s="143"/>
      <c r="BA195" s="143"/>
      <c r="BB195" s="143"/>
      <c r="BC195" s="143"/>
      <c r="BD195" s="143"/>
      <c r="BE195" s="143"/>
      <c r="BF195" s="143"/>
      <c r="BG195" s="143"/>
      <c r="BH195" s="143"/>
      <c r="BI195" s="143"/>
      <c r="BJ195" s="143"/>
      <c r="BK195" s="143"/>
      <c r="BL195" s="143"/>
      <c r="BM195" s="143"/>
      <c r="BN195" s="143"/>
      <c r="BO195" s="143"/>
      <c r="BP195" s="143"/>
      <c r="BQ195" s="143"/>
      <c r="BR195" s="159"/>
      <c r="BS195" s="143"/>
      <c r="BT195" s="143"/>
      <c r="BU195" s="143"/>
      <c r="BV195" s="159"/>
      <c r="BW195" s="143"/>
      <c r="BX195" s="143"/>
      <c r="BY195" s="143"/>
      <c r="BZ195" s="159"/>
      <c r="CA195" s="143"/>
      <c r="CB195" s="143"/>
      <c r="CC195" s="143"/>
      <c r="CD195" s="159">
        <f t="shared" ref="CD195:DM195" si="630">CD194+CD181</f>
        <v>0</v>
      </c>
      <c r="CE195" s="143">
        <f t="shared" si="630"/>
        <v>0</v>
      </c>
      <c r="CF195" s="143">
        <f t="shared" si="630"/>
        <v>0</v>
      </c>
      <c r="CG195" s="143">
        <f t="shared" si="630"/>
        <v>0</v>
      </c>
      <c r="CH195" s="159">
        <f t="shared" si="630"/>
        <v>0</v>
      </c>
      <c r="CI195" s="143">
        <f t="shared" si="630"/>
        <v>0</v>
      </c>
      <c r="CJ195" s="143">
        <f t="shared" si="630"/>
        <v>0</v>
      </c>
      <c r="CK195" s="143">
        <f t="shared" si="630"/>
        <v>0</v>
      </c>
      <c r="CL195" s="159">
        <f t="shared" si="630"/>
        <v>0</v>
      </c>
      <c r="CM195" s="143">
        <f t="shared" si="630"/>
        <v>0</v>
      </c>
      <c r="CN195" s="143">
        <f t="shared" si="630"/>
        <v>0</v>
      </c>
      <c r="CO195" s="143">
        <f t="shared" si="630"/>
        <v>0</v>
      </c>
      <c r="CP195" s="159">
        <f t="shared" si="630"/>
        <v>0</v>
      </c>
      <c r="CQ195" s="143">
        <f t="shared" si="630"/>
        <v>0</v>
      </c>
      <c r="CR195" s="143">
        <f t="shared" si="630"/>
        <v>0</v>
      </c>
      <c r="CS195" s="143">
        <f t="shared" si="630"/>
        <v>0</v>
      </c>
      <c r="CT195" s="159">
        <f t="shared" si="630"/>
        <v>0</v>
      </c>
      <c r="CU195" s="143">
        <f t="shared" si="630"/>
        <v>0</v>
      </c>
      <c r="CV195" s="143">
        <f t="shared" si="630"/>
        <v>0</v>
      </c>
      <c r="CW195" s="189">
        <f t="shared" si="630"/>
        <v>0</v>
      </c>
      <c r="CX195" s="143">
        <f t="shared" si="630"/>
        <v>0</v>
      </c>
      <c r="CY195" s="143">
        <f t="shared" si="630"/>
        <v>0</v>
      </c>
      <c r="CZ195" s="143">
        <f t="shared" si="630"/>
        <v>0</v>
      </c>
      <c r="DA195" s="143">
        <f t="shared" si="630"/>
        <v>0</v>
      </c>
      <c r="DB195" s="159">
        <f t="shared" si="630"/>
        <v>0</v>
      </c>
      <c r="DC195" s="143">
        <f t="shared" si="630"/>
        <v>0</v>
      </c>
      <c r="DD195" s="143">
        <f t="shared" si="630"/>
        <v>0</v>
      </c>
      <c r="DE195" s="143">
        <f t="shared" si="630"/>
        <v>0</v>
      </c>
      <c r="DF195" s="159">
        <f t="shared" si="630"/>
        <v>0</v>
      </c>
      <c r="DG195" s="1047">
        <f t="shared" si="630"/>
        <v>0</v>
      </c>
      <c r="DH195" s="1047">
        <f t="shared" si="630"/>
        <v>0</v>
      </c>
      <c r="DI195" s="1047">
        <f>DI194+DI181</f>
        <v>0</v>
      </c>
      <c r="DJ195" s="1047">
        <f>DJ194+DJ181</f>
        <v>0</v>
      </c>
      <c r="DK195" s="1047">
        <f>DK194+DK181</f>
        <v>0</v>
      </c>
      <c r="DL195" s="1047">
        <f>DL194+DL181</f>
        <v>0</v>
      </c>
      <c r="DM195" s="189">
        <f t="shared" si="630"/>
        <v>0</v>
      </c>
      <c r="DN195" s="189">
        <f>DN194+DN181</f>
        <v>0</v>
      </c>
      <c r="DO195" s="189">
        <f>DO194+DO181</f>
        <v>0</v>
      </c>
      <c r="DP195" s="189">
        <f>DP194+DP181</f>
        <v>0</v>
      </c>
      <c r="DQ195" s="189">
        <f>DQ194+DQ181</f>
        <v>0</v>
      </c>
      <c r="DR195" s="189">
        <f t="shared" ref="DR195:DU195" si="631">DR194+DR181</f>
        <v>0</v>
      </c>
      <c r="DS195" s="189">
        <f t="shared" si="631"/>
        <v>0</v>
      </c>
      <c r="DT195" s="189">
        <f t="shared" si="631"/>
        <v>0</v>
      </c>
      <c r="DU195" s="189">
        <f t="shared" si="631"/>
        <v>0</v>
      </c>
      <c r="DV195" s="189">
        <f t="shared" ref="DV195:DY195" si="632">DV194+DV181</f>
        <v>0</v>
      </c>
      <c r="DW195" s="189">
        <f t="shared" ca="1" si="632"/>
        <v>0</v>
      </c>
      <c r="DX195" s="189">
        <f t="shared" ca="1" si="632"/>
        <v>0</v>
      </c>
      <c r="DY195" s="189">
        <f t="shared" ca="1" si="632"/>
        <v>0</v>
      </c>
      <c r="DZ195" s="1044"/>
    </row>
    <row r="196" spans="1:130" hidden="1">
      <c r="A196" s="109" t="s">
        <v>1353</v>
      </c>
      <c r="B196" s="109"/>
      <c r="C196" s="109"/>
      <c r="D196" s="109"/>
      <c r="E196" s="109"/>
      <c r="F196" s="109"/>
      <c r="G196" s="109"/>
      <c r="H196" s="109"/>
      <c r="I196" s="109"/>
      <c r="J196" s="109"/>
      <c r="K196" s="109"/>
      <c r="L196" s="109"/>
      <c r="M196" s="109"/>
      <c r="N196" s="109">
        <f t="shared" ref="N196:AA196" si="633">N21</f>
        <v>204109</v>
      </c>
      <c r="O196" s="109">
        <f t="shared" si="633"/>
        <v>213994</v>
      </c>
      <c r="P196" s="109">
        <f t="shared" si="633"/>
        <v>215605</v>
      </c>
      <c r="Q196" s="109">
        <f t="shared" si="633"/>
        <v>228518</v>
      </c>
      <c r="R196" s="109">
        <f t="shared" si="633"/>
        <v>211655</v>
      </c>
      <c r="S196" s="109">
        <f t="shared" si="633"/>
        <v>215626</v>
      </c>
      <c r="T196" s="1044">
        <f t="shared" si="633"/>
        <v>209575</v>
      </c>
      <c r="U196" s="1044">
        <f t="shared" si="633"/>
        <v>220865</v>
      </c>
      <c r="V196" s="109">
        <f t="shared" si="633"/>
        <v>230508</v>
      </c>
      <c r="W196" s="109">
        <f t="shared" si="633"/>
        <v>220163</v>
      </c>
      <c r="X196" s="109">
        <f t="shared" si="633"/>
        <v>232215</v>
      </c>
      <c r="Y196" s="109">
        <f t="shared" si="633"/>
        <v>246498</v>
      </c>
      <c r="Z196" s="109">
        <f t="shared" ca="1" si="633"/>
        <v>252053.70807238738</v>
      </c>
      <c r="AA196" s="109">
        <f t="shared" ca="1" si="633"/>
        <v>255517.40874101289</v>
      </c>
      <c r="AB196" s="109">
        <f t="shared" ref="AB196" ca="1" si="634">AB21</f>
        <v>259003.06905096883</v>
      </c>
      <c r="AC196" s="109"/>
      <c r="AD196" s="109"/>
      <c r="AE196" s="109"/>
      <c r="AF196" s="109"/>
      <c r="AG196" s="109"/>
      <c r="AH196" s="536"/>
      <c r="AI196" s="109"/>
      <c r="AJ196" s="109"/>
      <c r="AK196" s="109"/>
      <c r="AL196" s="109"/>
      <c r="AM196" s="109"/>
      <c r="AN196" s="276"/>
      <c r="AO196" s="276"/>
      <c r="AP196" s="109"/>
      <c r="AQ196" s="109"/>
      <c r="AR196" s="109"/>
      <c r="AS196" s="109"/>
      <c r="AT196" s="109"/>
      <c r="AU196" s="109"/>
      <c r="AV196" s="109"/>
      <c r="AW196" s="109"/>
      <c r="AX196" s="109"/>
      <c r="AY196" s="109"/>
      <c r="AZ196" s="109"/>
      <c r="BA196" s="109"/>
      <c r="BB196" s="109"/>
      <c r="BC196" s="109"/>
      <c r="BD196" s="109"/>
      <c r="BE196" s="109"/>
      <c r="BF196" s="109"/>
      <c r="BG196" s="109"/>
      <c r="BH196" s="109"/>
      <c r="BI196" s="109"/>
      <c r="BJ196" s="109"/>
      <c r="BK196" s="109"/>
      <c r="BL196" s="109"/>
      <c r="BM196" s="109"/>
      <c r="BN196" s="109"/>
      <c r="BO196" s="109"/>
      <c r="BP196" s="109"/>
      <c r="BQ196" s="109"/>
      <c r="BR196" s="171"/>
      <c r="BS196" s="109"/>
      <c r="BT196" s="109"/>
      <c r="BU196" s="109"/>
      <c r="BV196" s="171"/>
      <c r="BW196" s="109"/>
      <c r="BX196" s="109"/>
      <c r="BY196" s="109"/>
      <c r="BZ196" s="171"/>
      <c r="CA196" s="109"/>
      <c r="CB196" s="109"/>
      <c r="CC196" s="109"/>
      <c r="CD196" s="171">
        <f t="shared" ref="CD196:DQ196" si="635">CD21</f>
        <v>206585</v>
      </c>
      <c r="CE196" s="109">
        <f t="shared" si="635"/>
        <v>209291</v>
      </c>
      <c r="CF196" s="109">
        <f t="shared" si="635"/>
        <v>211152</v>
      </c>
      <c r="CG196" s="109">
        <f t="shared" si="635"/>
        <v>213994</v>
      </c>
      <c r="CH196" s="171">
        <f t="shared" si="635"/>
        <v>211834</v>
      </c>
      <c r="CI196" s="109">
        <f t="shared" si="635"/>
        <v>212605</v>
      </c>
      <c r="CJ196" s="109">
        <f t="shared" si="635"/>
        <v>214376</v>
      </c>
      <c r="CK196" s="109">
        <f t="shared" si="635"/>
        <v>215605</v>
      </c>
      <c r="CL196" s="171">
        <f t="shared" si="635"/>
        <v>221500</v>
      </c>
      <c r="CM196" s="109">
        <f t="shared" si="635"/>
        <v>224150</v>
      </c>
      <c r="CN196" s="109">
        <f t="shared" si="635"/>
        <v>226470</v>
      </c>
      <c r="CO196" s="109">
        <f t="shared" si="635"/>
        <v>228518</v>
      </c>
      <c r="CP196" s="171">
        <f t="shared" si="635"/>
        <v>231771</v>
      </c>
      <c r="CQ196" s="109">
        <f t="shared" si="635"/>
        <v>234727</v>
      </c>
      <c r="CR196" s="109">
        <f t="shared" si="635"/>
        <v>217859</v>
      </c>
      <c r="CS196" s="109">
        <f t="shared" si="635"/>
        <v>211655</v>
      </c>
      <c r="CT196" s="171">
        <f t="shared" si="635"/>
        <v>211704</v>
      </c>
      <c r="CU196" s="109">
        <f t="shared" si="635"/>
        <v>212949</v>
      </c>
      <c r="CV196" s="109">
        <f t="shared" si="635"/>
        <v>214798</v>
      </c>
      <c r="CW196" s="172">
        <f t="shared" si="635"/>
        <v>215626</v>
      </c>
      <c r="CX196" s="109">
        <f t="shared" si="635"/>
        <v>218250</v>
      </c>
      <c r="CY196" s="109">
        <f t="shared" si="635"/>
        <v>217739</v>
      </c>
      <c r="CZ196" s="109">
        <f t="shared" si="635"/>
        <v>216995</v>
      </c>
      <c r="DA196" s="109">
        <f t="shared" si="635"/>
        <v>209575</v>
      </c>
      <c r="DB196" s="171">
        <f t="shared" si="635"/>
        <v>212082</v>
      </c>
      <c r="DC196" s="109">
        <f t="shared" si="635"/>
        <v>215224</v>
      </c>
      <c r="DD196" s="109">
        <f t="shared" si="635"/>
        <v>218336</v>
      </c>
      <c r="DE196" s="109">
        <f t="shared" si="635"/>
        <v>220865</v>
      </c>
      <c r="DF196" s="171">
        <f t="shared" si="635"/>
        <v>223841</v>
      </c>
      <c r="DG196" s="1044">
        <f t="shared" si="635"/>
        <v>227475</v>
      </c>
      <c r="DH196" s="1044">
        <f t="shared" si="635"/>
        <v>230452</v>
      </c>
      <c r="DI196" s="1044">
        <f t="shared" si="635"/>
        <v>230508</v>
      </c>
      <c r="DJ196" s="1044">
        <f t="shared" si="635"/>
        <v>210389</v>
      </c>
      <c r="DK196" s="1044">
        <f t="shared" si="635"/>
        <v>213661</v>
      </c>
      <c r="DL196" s="1044">
        <f t="shared" si="635"/>
        <v>216674</v>
      </c>
      <c r="DM196" s="172">
        <f t="shared" si="635"/>
        <v>220163</v>
      </c>
      <c r="DN196" s="172">
        <f t="shared" si="635"/>
        <v>222669</v>
      </c>
      <c r="DO196" s="172">
        <f t="shared" si="635"/>
        <v>225756</v>
      </c>
      <c r="DP196" s="172">
        <f t="shared" si="635"/>
        <v>228909</v>
      </c>
      <c r="DQ196" s="172">
        <f t="shared" si="635"/>
        <v>232215</v>
      </c>
      <c r="DR196" s="172">
        <f t="shared" ref="DR196:DU196" si="636">DR21</f>
        <v>235550</v>
      </c>
      <c r="DS196" s="172">
        <f t="shared" si="636"/>
        <v>239226</v>
      </c>
      <c r="DT196" s="172">
        <f t="shared" si="636"/>
        <v>242608</v>
      </c>
      <c r="DU196" s="172">
        <f t="shared" si="636"/>
        <v>246498</v>
      </c>
      <c r="DV196" s="172">
        <f t="shared" ref="DV196:DY196" si="637">DV21</f>
        <v>246877</v>
      </c>
      <c r="DW196" s="172">
        <f t="shared" ca="1" si="637"/>
        <v>248510.25683458906</v>
      </c>
      <c r="DX196" s="172">
        <f t="shared" ca="1" si="637"/>
        <v>250195.08025801176</v>
      </c>
      <c r="DY196" s="172">
        <f t="shared" ca="1" si="637"/>
        <v>252053.70807238738</v>
      </c>
      <c r="DZ196" s="1044"/>
    </row>
    <row r="197" spans="1:130" hidden="1">
      <c r="A197" s="256" t="s">
        <v>1351</v>
      </c>
      <c r="B197" s="143"/>
      <c r="C197" s="143"/>
      <c r="D197" s="143"/>
      <c r="E197" s="143"/>
      <c r="F197" s="143"/>
      <c r="G197" s="143"/>
      <c r="H197" s="143"/>
      <c r="I197" s="143"/>
      <c r="J197" s="143"/>
      <c r="K197" s="143"/>
      <c r="L197" s="143"/>
      <c r="M197" s="143"/>
      <c r="N197" s="143">
        <f t="shared" ref="N197:AA197" si="638">N171-N196</f>
        <v>0</v>
      </c>
      <c r="O197" s="143">
        <f t="shared" si="638"/>
        <v>0</v>
      </c>
      <c r="P197" s="143">
        <f t="shared" si="638"/>
        <v>0</v>
      </c>
      <c r="Q197" s="143">
        <f t="shared" si="638"/>
        <v>0</v>
      </c>
      <c r="R197" s="143">
        <f t="shared" si="638"/>
        <v>0</v>
      </c>
      <c r="S197" s="143">
        <f t="shared" si="638"/>
        <v>0</v>
      </c>
      <c r="T197" s="1047">
        <f t="shared" si="638"/>
        <v>0</v>
      </c>
      <c r="U197" s="1047">
        <f t="shared" si="638"/>
        <v>0</v>
      </c>
      <c r="V197" s="143">
        <f t="shared" si="638"/>
        <v>0</v>
      </c>
      <c r="W197" s="143">
        <f t="shared" si="638"/>
        <v>0</v>
      </c>
      <c r="X197" s="143">
        <f t="shared" si="638"/>
        <v>0</v>
      </c>
      <c r="Y197" s="143">
        <f t="shared" si="638"/>
        <v>0</v>
      </c>
      <c r="Z197" s="143">
        <f t="shared" ca="1" si="638"/>
        <v>0</v>
      </c>
      <c r="AA197" s="143">
        <f t="shared" ca="1" si="638"/>
        <v>0</v>
      </c>
      <c r="AB197" s="143">
        <f t="shared" ref="AB197" ca="1" si="639">AB171-AB196</f>
        <v>0</v>
      </c>
      <c r="AC197" s="143"/>
      <c r="AD197" s="143"/>
      <c r="AE197" s="143"/>
      <c r="AF197" s="143"/>
      <c r="AG197" s="143"/>
      <c r="AH197" s="1237"/>
      <c r="AI197" s="143"/>
      <c r="AJ197" s="143"/>
      <c r="AK197" s="143"/>
      <c r="AL197" s="143"/>
      <c r="AM197" s="143"/>
      <c r="AN197" s="228"/>
      <c r="AO197" s="228"/>
      <c r="AP197" s="143"/>
      <c r="AQ197" s="143"/>
      <c r="AR197" s="143"/>
      <c r="AS197" s="143"/>
      <c r="AT197" s="143"/>
      <c r="AU197" s="143"/>
      <c r="AV197" s="143"/>
      <c r="AW197" s="143"/>
      <c r="AX197" s="143"/>
      <c r="AY197" s="143"/>
      <c r="AZ197" s="143"/>
      <c r="BA197" s="143"/>
      <c r="BB197" s="143"/>
      <c r="BC197" s="143"/>
      <c r="BD197" s="143"/>
      <c r="BE197" s="143"/>
      <c r="BF197" s="143"/>
      <c r="BG197" s="143"/>
      <c r="BH197" s="143"/>
      <c r="BI197" s="143"/>
      <c r="BJ197" s="143"/>
      <c r="BK197" s="143"/>
      <c r="BL197" s="143"/>
      <c r="BM197" s="143"/>
      <c r="BN197" s="143"/>
      <c r="BO197" s="143"/>
      <c r="BP197" s="143"/>
      <c r="BQ197" s="143"/>
      <c r="BR197" s="159"/>
      <c r="BS197" s="143"/>
      <c r="BT197" s="143"/>
      <c r="BU197" s="143"/>
      <c r="BV197" s="159"/>
      <c r="BW197" s="143"/>
      <c r="BX197" s="143"/>
      <c r="BY197" s="143"/>
      <c r="BZ197" s="159"/>
      <c r="CA197" s="143"/>
      <c r="CB197" s="143"/>
      <c r="CC197" s="143"/>
      <c r="CD197" s="159">
        <f t="shared" ref="CD197:DM197" si="640">CD171-CD196</f>
        <v>0</v>
      </c>
      <c r="CE197" s="143">
        <f t="shared" si="640"/>
        <v>0</v>
      </c>
      <c r="CF197" s="143">
        <f t="shared" si="640"/>
        <v>0</v>
      </c>
      <c r="CG197" s="143">
        <f t="shared" si="640"/>
        <v>0</v>
      </c>
      <c r="CH197" s="159">
        <f t="shared" si="640"/>
        <v>0</v>
      </c>
      <c r="CI197" s="143">
        <f t="shared" si="640"/>
        <v>0</v>
      </c>
      <c r="CJ197" s="143">
        <f t="shared" si="640"/>
        <v>0</v>
      </c>
      <c r="CK197" s="143">
        <f t="shared" si="640"/>
        <v>0</v>
      </c>
      <c r="CL197" s="159">
        <f t="shared" si="640"/>
        <v>0</v>
      </c>
      <c r="CM197" s="143">
        <f t="shared" si="640"/>
        <v>0</v>
      </c>
      <c r="CN197" s="143">
        <f t="shared" si="640"/>
        <v>0</v>
      </c>
      <c r="CO197" s="143">
        <f t="shared" si="640"/>
        <v>0</v>
      </c>
      <c r="CP197" s="159">
        <f t="shared" si="640"/>
        <v>0</v>
      </c>
      <c r="CQ197" s="143">
        <f t="shared" si="640"/>
        <v>0</v>
      </c>
      <c r="CR197" s="143">
        <f t="shared" si="640"/>
        <v>0</v>
      </c>
      <c r="CS197" s="143">
        <f t="shared" si="640"/>
        <v>0</v>
      </c>
      <c r="CT197" s="159">
        <f t="shared" si="640"/>
        <v>0</v>
      </c>
      <c r="CU197" s="143">
        <f t="shared" si="640"/>
        <v>0</v>
      </c>
      <c r="CV197" s="143">
        <f t="shared" si="640"/>
        <v>0</v>
      </c>
      <c r="CW197" s="189">
        <f t="shared" si="640"/>
        <v>0</v>
      </c>
      <c r="CX197" s="143">
        <f t="shared" si="640"/>
        <v>0</v>
      </c>
      <c r="CY197" s="143">
        <f t="shared" si="640"/>
        <v>0</v>
      </c>
      <c r="CZ197" s="143">
        <f t="shared" si="640"/>
        <v>0</v>
      </c>
      <c r="DA197" s="143">
        <f t="shared" si="640"/>
        <v>0</v>
      </c>
      <c r="DB197" s="159">
        <f t="shared" si="640"/>
        <v>0</v>
      </c>
      <c r="DC197" s="143">
        <f t="shared" si="640"/>
        <v>0</v>
      </c>
      <c r="DD197" s="143">
        <f t="shared" si="640"/>
        <v>0</v>
      </c>
      <c r="DE197" s="143">
        <f t="shared" si="640"/>
        <v>0</v>
      </c>
      <c r="DF197" s="159">
        <f t="shared" si="640"/>
        <v>0</v>
      </c>
      <c r="DG197" s="1047">
        <f t="shared" si="640"/>
        <v>0</v>
      </c>
      <c r="DH197" s="1047">
        <f t="shared" si="640"/>
        <v>0</v>
      </c>
      <c r="DI197" s="1047">
        <f>DI171-DI196</f>
        <v>0</v>
      </c>
      <c r="DJ197" s="1047">
        <f>DJ171-DJ196</f>
        <v>0</v>
      </c>
      <c r="DK197" s="1047">
        <f>DK171-DK196</f>
        <v>0</v>
      </c>
      <c r="DL197" s="1047">
        <f>DL171-DL196</f>
        <v>0</v>
      </c>
      <c r="DM197" s="189">
        <f t="shared" si="640"/>
        <v>0</v>
      </c>
      <c r="DN197" s="189">
        <f>DN171-DN196</f>
        <v>0</v>
      </c>
      <c r="DO197" s="189">
        <f>DO171-DO196</f>
        <v>0</v>
      </c>
      <c r="DP197" s="189">
        <f>DP171-DP196</f>
        <v>0</v>
      </c>
      <c r="DQ197" s="189">
        <f>DQ171-DQ196</f>
        <v>0</v>
      </c>
      <c r="DR197" s="189">
        <f t="shared" ref="DR197:DU197" si="641">DR171-DR196</f>
        <v>0</v>
      </c>
      <c r="DS197" s="189">
        <f t="shared" si="641"/>
        <v>0</v>
      </c>
      <c r="DT197" s="189">
        <f t="shared" si="641"/>
        <v>0</v>
      </c>
      <c r="DU197" s="189">
        <f t="shared" si="641"/>
        <v>0</v>
      </c>
      <c r="DV197" s="189">
        <f t="shared" ref="DV197:DY197" si="642">DV171-DV196</f>
        <v>0</v>
      </c>
      <c r="DW197" s="189">
        <f t="shared" ca="1" si="642"/>
        <v>0</v>
      </c>
      <c r="DX197" s="189">
        <f t="shared" ca="1" si="642"/>
        <v>0</v>
      </c>
      <c r="DY197" s="189">
        <f t="shared" ca="1" si="642"/>
        <v>0</v>
      </c>
      <c r="DZ197" s="1044"/>
    </row>
    <row r="198" spans="1:130" hidden="1">
      <c r="A198" s="109"/>
      <c r="B198" s="109"/>
      <c r="C198" s="109"/>
      <c r="D198" s="109"/>
      <c r="E198" s="109"/>
      <c r="F198" s="109"/>
      <c r="G198" s="109"/>
      <c r="H198" s="109"/>
      <c r="I198" s="109"/>
      <c r="J198" s="109"/>
      <c r="K198" s="109"/>
      <c r="L198" s="109"/>
      <c r="M198" s="109"/>
      <c r="N198" s="109"/>
      <c r="O198" s="109"/>
      <c r="P198" s="109"/>
      <c r="Q198" s="109"/>
      <c r="R198" s="109"/>
      <c r="S198" s="109"/>
      <c r="T198" s="1044"/>
      <c r="U198" s="1044"/>
      <c r="V198" s="109"/>
      <c r="W198" s="109"/>
      <c r="X198" s="109"/>
      <c r="Y198" s="109"/>
      <c r="Z198" s="109"/>
      <c r="AA198" s="109"/>
      <c r="AB198" s="109"/>
      <c r="AC198" s="109"/>
      <c r="AD198" s="109"/>
      <c r="AE198" s="109"/>
      <c r="AF198" s="109"/>
      <c r="AG198" s="109"/>
      <c r="AH198" s="536"/>
      <c r="AI198" s="109"/>
      <c r="AJ198" s="109"/>
      <c r="AK198" s="109"/>
      <c r="AL198" s="109"/>
      <c r="AM198" s="109"/>
      <c r="AN198" s="276"/>
      <c r="AO198" s="276"/>
      <c r="AP198" s="109"/>
      <c r="AQ198" s="109"/>
      <c r="AR198" s="109"/>
      <c r="AS198" s="109"/>
      <c r="AT198" s="109"/>
      <c r="AU198" s="109"/>
      <c r="AV198" s="109"/>
      <c r="AW198" s="109"/>
      <c r="AX198" s="109"/>
      <c r="AY198" s="109"/>
      <c r="AZ198" s="109"/>
      <c r="BA198" s="109"/>
      <c r="BB198" s="109"/>
      <c r="BC198" s="109"/>
      <c r="BD198" s="109"/>
      <c r="BE198" s="109"/>
      <c r="BF198" s="109"/>
      <c r="BG198" s="109"/>
      <c r="BH198" s="109"/>
      <c r="BI198" s="109"/>
      <c r="BJ198" s="109"/>
      <c r="BK198" s="109"/>
      <c r="BL198" s="109"/>
      <c r="BM198" s="109"/>
      <c r="BN198" s="109"/>
      <c r="BO198" s="109"/>
      <c r="BP198" s="109"/>
      <c r="BQ198" s="109"/>
      <c r="BR198" s="171"/>
      <c r="BS198" s="109"/>
      <c r="BT198" s="109"/>
      <c r="BU198" s="109"/>
      <c r="BV198" s="171"/>
      <c r="BW198" s="109"/>
      <c r="BX198" s="109"/>
      <c r="BY198" s="109"/>
      <c r="BZ198" s="171"/>
      <c r="CA198" s="109"/>
      <c r="CB198" s="109"/>
      <c r="CC198" s="109"/>
      <c r="CD198" s="171"/>
      <c r="CE198" s="109"/>
      <c r="CF198" s="109"/>
      <c r="CG198" s="109"/>
      <c r="CH198" s="171"/>
      <c r="CI198" s="109"/>
      <c r="CJ198" s="109"/>
      <c r="CK198" s="109"/>
      <c r="CL198" s="171"/>
      <c r="CM198" s="109"/>
      <c r="CN198" s="109"/>
      <c r="CO198" s="109"/>
      <c r="CP198" s="171"/>
      <c r="CQ198" s="109"/>
      <c r="CR198" s="109"/>
      <c r="CS198" s="109"/>
      <c r="CT198" s="171"/>
      <c r="CU198" s="109"/>
      <c r="CV198" s="109"/>
      <c r="CW198" s="172"/>
      <c r="CX198" s="109"/>
      <c r="CY198" s="109"/>
      <c r="CZ198" s="109"/>
      <c r="DA198" s="109"/>
      <c r="DB198" s="171"/>
      <c r="DC198" s="109"/>
      <c r="DD198" s="109"/>
      <c r="DE198" s="109"/>
      <c r="DF198" s="171"/>
      <c r="DG198" s="1044"/>
      <c r="DH198" s="1044"/>
      <c r="DI198" s="1044"/>
      <c r="DJ198" s="1044"/>
      <c r="DK198" s="1044"/>
      <c r="DL198" s="1044"/>
      <c r="DM198" s="172"/>
      <c r="DN198" s="172"/>
      <c r="DO198" s="172"/>
      <c r="DP198" s="172"/>
      <c r="DQ198" s="172"/>
      <c r="DR198" s="172"/>
      <c r="DS198" s="172"/>
      <c r="DT198" s="172"/>
      <c r="DU198" s="172"/>
      <c r="DV198" s="172"/>
      <c r="DW198" s="172"/>
      <c r="DX198" s="172"/>
      <c r="DY198" s="172"/>
      <c r="DZ198" s="1044"/>
    </row>
    <row r="199" spans="1:130" ht="15.75" hidden="1" thickBot="1">
      <c r="A199" s="338"/>
      <c r="B199" s="338"/>
      <c r="C199" s="338"/>
      <c r="D199" s="338"/>
      <c r="E199" s="338"/>
      <c r="F199" s="338"/>
      <c r="G199" s="338"/>
      <c r="H199" s="338"/>
      <c r="I199" s="338"/>
      <c r="J199" s="338"/>
      <c r="K199" s="338"/>
      <c r="L199" s="338"/>
      <c r="M199" s="338"/>
      <c r="N199" s="338"/>
      <c r="O199" s="338"/>
      <c r="P199" s="338"/>
      <c r="Q199" s="338"/>
      <c r="R199" s="338"/>
      <c r="S199" s="338"/>
      <c r="T199" s="338"/>
      <c r="U199" s="338"/>
      <c r="V199" s="338"/>
      <c r="W199" s="338"/>
      <c r="X199" s="338"/>
      <c r="Y199" s="338"/>
      <c r="Z199" s="338"/>
      <c r="AA199" s="338"/>
      <c r="AB199" s="338"/>
      <c r="AC199" s="1044"/>
      <c r="AD199" s="1044"/>
      <c r="AE199" s="1044"/>
      <c r="AF199" s="1044"/>
      <c r="AG199" s="1044"/>
      <c r="AH199" s="536"/>
      <c r="AI199" s="338"/>
      <c r="AJ199" s="338"/>
      <c r="AK199" s="338"/>
      <c r="AL199" s="338"/>
      <c r="AM199" s="338"/>
      <c r="AN199" s="276"/>
      <c r="AO199" s="276"/>
      <c r="AP199" s="338"/>
      <c r="AQ199" s="338"/>
      <c r="AR199" s="338"/>
      <c r="AS199" s="338"/>
      <c r="AT199" s="338"/>
      <c r="AU199" s="338"/>
      <c r="AV199" s="338"/>
      <c r="AW199" s="338"/>
      <c r="AX199" s="338"/>
      <c r="AY199" s="338"/>
      <c r="AZ199" s="338"/>
      <c r="BA199" s="338"/>
      <c r="BB199" s="338"/>
      <c r="BC199" s="338"/>
      <c r="BD199" s="338"/>
      <c r="BE199" s="338"/>
      <c r="BF199" s="338"/>
      <c r="BG199" s="338"/>
      <c r="BH199" s="338"/>
      <c r="BI199" s="338"/>
      <c r="BJ199" s="338"/>
      <c r="BK199" s="338"/>
      <c r="BL199" s="338"/>
      <c r="BM199" s="338"/>
      <c r="BN199" s="338"/>
      <c r="BO199" s="338"/>
      <c r="BP199" s="338"/>
      <c r="BQ199" s="338"/>
      <c r="BR199" s="340"/>
      <c r="BS199" s="338"/>
      <c r="BT199" s="338"/>
      <c r="BU199" s="338"/>
      <c r="BV199" s="340"/>
      <c r="BW199" s="338"/>
      <c r="BX199" s="338"/>
      <c r="BY199" s="338"/>
      <c r="BZ199" s="340"/>
      <c r="CA199" s="338"/>
      <c r="CB199" s="338"/>
      <c r="CC199" s="338"/>
      <c r="CD199" s="340"/>
      <c r="CE199" s="338"/>
      <c r="CF199" s="338"/>
      <c r="CG199" s="338"/>
      <c r="CH199" s="340"/>
      <c r="CI199" s="338"/>
      <c r="CJ199" s="338"/>
      <c r="CK199" s="338"/>
      <c r="CL199" s="340"/>
      <c r="CM199" s="338"/>
      <c r="CN199" s="338"/>
      <c r="CO199" s="338"/>
      <c r="CP199" s="340"/>
      <c r="CQ199" s="338"/>
      <c r="CR199" s="338"/>
      <c r="CS199" s="338"/>
      <c r="CT199" s="340"/>
      <c r="CU199" s="338"/>
      <c r="CV199" s="338"/>
      <c r="CW199" s="339"/>
      <c r="CX199" s="338"/>
      <c r="CY199" s="338"/>
      <c r="CZ199" s="338"/>
      <c r="DA199" s="338"/>
      <c r="DB199" s="340"/>
      <c r="DC199" s="338"/>
      <c r="DD199" s="338"/>
      <c r="DE199" s="338"/>
      <c r="DF199" s="340"/>
      <c r="DG199" s="338"/>
      <c r="DH199" s="338"/>
      <c r="DI199" s="338"/>
      <c r="DJ199" s="338"/>
      <c r="DK199" s="338"/>
      <c r="DL199" s="338"/>
      <c r="DM199" s="339"/>
      <c r="DN199" s="339"/>
      <c r="DO199" s="339"/>
      <c r="DP199" s="339"/>
      <c r="DQ199" s="339"/>
      <c r="DR199" s="339"/>
      <c r="DS199" s="339"/>
      <c r="DT199" s="339"/>
      <c r="DU199" s="339"/>
      <c r="DV199" s="339"/>
      <c r="DW199" s="339"/>
      <c r="DX199" s="339"/>
      <c r="DY199" s="339"/>
      <c r="DZ199" s="1044"/>
    </row>
    <row r="200" spans="1:130" hidden="1">
      <c r="A200" s="109"/>
      <c r="B200" s="109"/>
      <c r="C200" s="109"/>
      <c r="D200" s="109"/>
      <c r="E200" s="109"/>
      <c r="F200" s="109"/>
      <c r="G200" s="109"/>
      <c r="H200" s="109"/>
      <c r="I200" s="109"/>
      <c r="J200" s="109"/>
      <c r="K200" s="109"/>
      <c r="L200" s="109"/>
      <c r="M200" s="109"/>
      <c r="N200" s="109"/>
      <c r="O200" s="109"/>
      <c r="P200" s="109"/>
      <c r="Q200" s="109"/>
      <c r="R200" s="109"/>
      <c r="S200" s="109"/>
      <c r="T200" s="1044"/>
      <c r="U200" s="1044"/>
      <c r="V200" s="109"/>
      <c r="W200" s="109"/>
      <c r="X200" s="109"/>
      <c r="Y200" s="109"/>
      <c r="Z200" s="109"/>
      <c r="AA200" s="109"/>
      <c r="AB200" s="109"/>
      <c r="AC200" s="109"/>
      <c r="AD200" s="109"/>
      <c r="AE200" s="109"/>
      <c r="AF200" s="109"/>
      <c r="AG200" s="109"/>
      <c r="AH200" s="536"/>
      <c r="AI200" s="109"/>
      <c r="AJ200" s="109"/>
      <c r="AK200" s="109"/>
      <c r="AL200" s="109"/>
      <c r="AM200" s="109"/>
      <c r="AN200" s="276"/>
      <c r="AO200" s="109"/>
      <c r="AP200" s="109"/>
      <c r="AQ200" s="109"/>
      <c r="AR200" s="109"/>
      <c r="AS200" s="109"/>
      <c r="AT200" s="109"/>
      <c r="AU200" s="109"/>
      <c r="AV200" s="109"/>
      <c r="AW200" s="109"/>
      <c r="AX200" s="109"/>
      <c r="AY200" s="109"/>
      <c r="AZ200" s="109"/>
      <c r="BA200" s="109"/>
      <c r="BB200" s="109"/>
      <c r="BC200" s="109"/>
      <c r="BD200" s="109"/>
      <c r="BE200" s="109"/>
      <c r="BF200" s="109"/>
      <c r="BG200" s="109"/>
      <c r="BH200" s="109"/>
      <c r="BI200" s="109"/>
      <c r="BJ200" s="109"/>
      <c r="BK200" s="109"/>
      <c r="BL200" s="109"/>
      <c r="BM200" s="109"/>
      <c r="BN200" s="109"/>
      <c r="BO200" s="109"/>
      <c r="BP200" s="109"/>
      <c r="BQ200" s="109"/>
      <c r="BR200" s="109"/>
      <c r="BS200" s="109"/>
      <c r="BT200" s="109"/>
      <c r="BU200" s="109"/>
      <c r="BV200" s="109"/>
      <c r="BW200" s="109"/>
      <c r="BX200" s="109"/>
      <c r="BY200" s="109"/>
      <c r="BZ200" s="109"/>
      <c r="CA200" s="109"/>
      <c r="CB200" s="109"/>
      <c r="CC200" s="109"/>
      <c r="CD200" s="109"/>
      <c r="CE200" s="109"/>
      <c r="CF200" s="109"/>
      <c r="CG200" s="109"/>
      <c r="CH200" s="109"/>
      <c r="CI200" s="109"/>
      <c r="CJ200" s="109"/>
      <c r="CK200" s="109"/>
      <c r="CL200" s="109"/>
      <c r="CM200" s="109"/>
      <c r="CN200" s="109"/>
      <c r="CO200" s="109"/>
      <c r="CP200" s="109"/>
      <c r="CQ200" s="109"/>
      <c r="CR200" s="109"/>
      <c r="CS200" s="109"/>
      <c r="CT200" s="109"/>
      <c r="CU200" s="109"/>
      <c r="CV200" s="109"/>
      <c r="CW200" s="172"/>
      <c r="CX200" s="109"/>
      <c r="CY200" s="109"/>
      <c r="CZ200" s="109"/>
      <c r="DA200" s="109"/>
      <c r="DB200" s="171"/>
      <c r="DC200" s="109"/>
      <c r="DD200" s="170"/>
      <c r="DE200" s="170"/>
      <c r="DF200" s="791"/>
      <c r="DG200" s="1425"/>
      <c r="DH200" s="1425"/>
      <c r="DI200" s="1425"/>
      <c r="DJ200" s="1425"/>
      <c r="DK200" s="1425"/>
      <c r="DL200" s="1425"/>
      <c r="DM200" s="1425"/>
      <c r="DN200" s="1425"/>
      <c r="DO200" s="1425"/>
      <c r="DP200" s="1425"/>
      <c r="DQ200" s="1425"/>
      <c r="DR200" s="1425"/>
      <c r="DS200" s="1425"/>
      <c r="DT200" s="1425"/>
      <c r="DU200" s="1425"/>
      <c r="DV200" s="1425"/>
      <c r="DW200" s="1425"/>
      <c r="DX200" s="1425"/>
      <c r="DY200" s="1425"/>
      <c r="DZ200" s="1044"/>
    </row>
    <row r="201" spans="1:130" hidden="1">
      <c r="A201" s="218" t="s">
        <v>1354</v>
      </c>
      <c r="B201" s="219"/>
      <c r="C201" s="219"/>
      <c r="D201" s="219"/>
      <c r="E201" s="219"/>
      <c r="F201" s="219"/>
      <c r="G201" s="219"/>
      <c r="H201" s="219"/>
      <c r="I201" s="219"/>
      <c r="J201" s="219"/>
      <c r="K201" s="219"/>
      <c r="L201" s="219"/>
      <c r="M201" s="219"/>
      <c r="N201" s="219"/>
      <c r="O201" s="219"/>
      <c r="P201" s="219">
        <f t="shared" ref="P201:AA201" si="643">P90</f>
        <v>42170</v>
      </c>
      <c r="Q201" s="219">
        <f t="shared" si="643"/>
        <v>60247</v>
      </c>
      <c r="R201" s="219">
        <f t="shared" si="643"/>
        <v>46126</v>
      </c>
      <c r="S201" s="219">
        <f t="shared" si="643"/>
        <v>41790</v>
      </c>
      <c r="T201" s="219">
        <f t="shared" si="643"/>
        <v>48894</v>
      </c>
      <c r="U201" s="219">
        <f t="shared" si="643"/>
        <v>40063</v>
      </c>
      <c r="V201" s="219">
        <f t="shared" si="643"/>
        <v>102673</v>
      </c>
      <c r="W201" s="219">
        <f t="shared" si="643"/>
        <v>105724</v>
      </c>
      <c r="X201" s="219">
        <f t="shared" si="643"/>
        <v>105198</v>
      </c>
      <c r="Y201" s="219">
        <f t="shared" si="643"/>
        <v>115016</v>
      </c>
      <c r="Z201" s="219">
        <f t="shared" ca="1" si="643"/>
        <v>108341.58469589343</v>
      </c>
      <c r="AA201" s="219">
        <f t="shared" ca="1" si="643"/>
        <v>99478.181917144611</v>
      </c>
      <c r="AB201" s="219">
        <f t="shared" ref="AB201" ca="1" si="644">AB90</f>
        <v>90190.040548902645</v>
      </c>
      <c r="AC201" s="1417"/>
      <c r="AD201" s="1417"/>
      <c r="AE201" s="1417"/>
      <c r="AF201" s="1417"/>
      <c r="AG201" s="1417"/>
      <c r="AH201" s="536"/>
      <c r="AI201" s="109"/>
      <c r="AJ201" s="109"/>
      <c r="AK201" s="109"/>
      <c r="AL201" s="109"/>
      <c r="AM201" s="109"/>
      <c r="AN201" s="276"/>
      <c r="AO201" s="276"/>
      <c r="AP201" s="109"/>
      <c r="AQ201" s="109"/>
      <c r="AR201" s="109"/>
      <c r="AS201" s="109"/>
      <c r="AT201" s="109"/>
      <c r="AU201" s="109"/>
      <c r="AV201" s="109"/>
      <c r="AW201" s="109"/>
      <c r="AX201" s="109"/>
      <c r="AY201" s="109"/>
      <c r="AZ201" s="109"/>
      <c r="BA201" s="109"/>
      <c r="BB201" s="109"/>
      <c r="BC201" s="109"/>
      <c r="BD201" s="109"/>
      <c r="BE201" s="109"/>
      <c r="BF201" s="109"/>
      <c r="BG201" s="109"/>
      <c r="BH201" s="109"/>
      <c r="BI201" s="109"/>
      <c r="BJ201" s="109"/>
      <c r="BK201" s="109"/>
      <c r="BL201" s="109"/>
      <c r="BM201" s="109"/>
      <c r="BN201" s="109"/>
      <c r="BO201" s="109"/>
      <c r="BP201" s="109"/>
      <c r="BQ201" s="109"/>
      <c r="BR201" s="109"/>
      <c r="BS201" s="109"/>
      <c r="BT201" s="109"/>
      <c r="BU201" s="109"/>
      <c r="BV201" s="109"/>
      <c r="BW201" s="109"/>
      <c r="BX201" s="109"/>
      <c r="BY201" s="109"/>
      <c r="BZ201" s="109"/>
      <c r="CA201" s="109"/>
      <c r="CB201" s="109"/>
      <c r="CC201" s="109"/>
      <c r="CD201" s="109"/>
      <c r="CE201" s="109"/>
      <c r="CF201" s="109"/>
      <c r="CG201" s="109"/>
      <c r="CH201" s="109"/>
      <c r="CI201" s="109"/>
      <c r="CJ201" s="109"/>
      <c r="CK201" s="109"/>
      <c r="CL201" s="109"/>
      <c r="CM201" s="109"/>
      <c r="CN201" s="109"/>
      <c r="CO201" s="109"/>
      <c r="CP201" s="109"/>
      <c r="CQ201" s="109"/>
      <c r="CR201" s="109"/>
      <c r="CS201" s="109"/>
      <c r="CT201" s="109"/>
      <c r="CU201" s="109"/>
      <c r="CV201" s="109"/>
      <c r="CW201" s="172"/>
      <c r="CX201" s="109"/>
      <c r="CY201" s="109"/>
      <c r="CZ201" s="109"/>
      <c r="DA201" s="109"/>
      <c r="DB201" s="171"/>
      <c r="DC201" s="109"/>
      <c r="DD201" s="170"/>
      <c r="DE201" s="170"/>
      <c r="DF201" s="791"/>
      <c r="DG201" s="1425"/>
      <c r="DH201" s="1425"/>
      <c r="DI201" s="1425"/>
      <c r="DJ201" s="1425"/>
      <c r="DK201" s="1425"/>
      <c r="DL201" s="1425"/>
      <c r="DM201" s="1425"/>
      <c r="DN201" s="1425"/>
      <c r="DO201" s="1425"/>
      <c r="DP201" s="1425"/>
      <c r="DQ201" s="1425"/>
      <c r="DR201" s="1425"/>
      <c r="DS201" s="1425"/>
      <c r="DT201" s="1425"/>
      <c r="DU201" s="1425"/>
      <c r="DV201" s="1425"/>
      <c r="DW201" s="1425"/>
      <c r="DX201" s="1425"/>
      <c r="DY201" s="1425"/>
      <c r="DZ201" s="1044"/>
    </row>
    <row r="202" spans="1:130" hidden="1">
      <c r="A202" s="222" t="s">
        <v>1355</v>
      </c>
      <c r="B202" s="221"/>
      <c r="C202" s="221"/>
      <c r="D202" s="221"/>
      <c r="E202" s="223"/>
      <c r="F202" s="223"/>
      <c r="G202" s="223"/>
      <c r="H202" s="223"/>
      <c r="I202" s="223"/>
      <c r="J202" s="223"/>
      <c r="K202" s="223"/>
      <c r="L202" s="223"/>
      <c r="M202" s="223"/>
      <c r="N202" s="223"/>
      <c r="O202" s="223"/>
      <c r="P202" s="221">
        <f>1.5*IS!P162</f>
        <v>850.5</v>
      </c>
      <c r="Q202" s="221">
        <f>1.5*IS!Q162</f>
        <v>829.5</v>
      </c>
      <c r="R202" s="221">
        <f>1.5*IS!R162</f>
        <v>762</v>
      </c>
      <c r="S202" s="221">
        <f>1.5*IS!S162</f>
        <v>666</v>
      </c>
      <c r="T202" s="1417">
        <f>1.5*IS!T162</f>
        <v>486</v>
      </c>
      <c r="U202" s="1417">
        <f>1.5*IS!U162</f>
        <v>213</v>
      </c>
      <c r="V202" s="221">
        <f>1.5*IS!V162</f>
        <v>2670</v>
      </c>
      <c r="W202" s="221">
        <f>1.5*IS!W162</f>
        <v>-129</v>
      </c>
      <c r="X202" s="221">
        <f>1.5*IS!X162</f>
        <v>-147</v>
      </c>
      <c r="Y202" s="221">
        <f>1.5*IS!Y162</f>
        <v>-115.5</v>
      </c>
      <c r="Z202" s="221">
        <f>1.5*IS!Z162</f>
        <v>-114</v>
      </c>
      <c r="AA202" s="221">
        <f>1.5*IS!AA162</f>
        <v>-102.60000000000001</v>
      </c>
      <c r="AB202" s="221">
        <f>1.5*IS!AB162</f>
        <v>-92.340000000000018</v>
      </c>
      <c r="AC202" s="221"/>
      <c r="AD202" s="221"/>
      <c r="AE202" s="221"/>
      <c r="AF202" s="221"/>
      <c r="AG202" s="221"/>
      <c r="AH202" s="536"/>
      <c r="AI202" s="109"/>
      <c r="AJ202" s="109"/>
      <c r="AK202" s="109"/>
      <c r="AL202" s="109"/>
      <c r="AM202" s="109"/>
      <c r="AN202" s="276"/>
      <c r="AO202" s="276"/>
      <c r="AP202" s="109"/>
      <c r="AQ202" s="109"/>
      <c r="AR202" s="109"/>
      <c r="AS202" s="109"/>
      <c r="AT202" s="109"/>
      <c r="AU202" s="109"/>
      <c r="AV202" s="109"/>
      <c r="AW202" s="109"/>
      <c r="AX202" s="109"/>
      <c r="AY202" s="109"/>
      <c r="AZ202" s="109"/>
      <c r="BA202" s="109"/>
      <c r="BB202" s="109"/>
      <c r="BC202" s="109"/>
      <c r="BD202" s="109"/>
      <c r="BE202" s="109"/>
      <c r="BF202" s="109"/>
      <c r="BG202" s="109"/>
      <c r="BH202" s="109"/>
      <c r="BI202" s="109"/>
      <c r="BJ202" s="109"/>
      <c r="BK202" s="109"/>
      <c r="BL202" s="109"/>
      <c r="BM202" s="109"/>
      <c r="BN202" s="109"/>
      <c r="BO202" s="109"/>
      <c r="BP202" s="109"/>
      <c r="BQ202" s="109"/>
      <c r="BR202" s="109"/>
      <c r="BS202" s="109"/>
      <c r="BT202" s="109"/>
      <c r="BU202" s="109"/>
      <c r="BV202" s="109"/>
      <c r="BW202" s="109"/>
      <c r="BX202" s="109"/>
      <c r="BY202" s="109"/>
      <c r="BZ202" s="109"/>
      <c r="CA202" s="109"/>
      <c r="CB202" s="109"/>
      <c r="CC202" s="109"/>
      <c r="CD202" s="109"/>
      <c r="CE202" s="109"/>
      <c r="CF202" s="109"/>
      <c r="CG202" s="109"/>
      <c r="CH202" s="109"/>
      <c r="CI202" s="109"/>
      <c r="CJ202" s="109"/>
      <c r="CK202" s="109"/>
      <c r="CL202" s="109"/>
      <c r="CM202" s="109"/>
      <c r="CN202" s="109"/>
      <c r="CO202" s="109"/>
      <c r="CP202" s="109"/>
      <c r="CQ202" s="109"/>
      <c r="CR202" s="109"/>
      <c r="CS202" s="109"/>
      <c r="CT202" s="109"/>
      <c r="CU202" s="109"/>
      <c r="CV202" s="109"/>
      <c r="CW202" s="172"/>
      <c r="CX202" s="109"/>
      <c r="CY202" s="109"/>
      <c r="CZ202" s="109"/>
      <c r="DA202" s="109"/>
      <c r="DB202" s="171"/>
      <c r="DC202" s="109"/>
      <c r="DD202" s="170"/>
      <c r="DE202" s="170"/>
      <c r="DF202" s="791"/>
      <c r="DG202" s="1425"/>
      <c r="DH202" s="1425"/>
      <c r="DI202" s="1425"/>
      <c r="DJ202" s="1425"/>
      <c r="DK202" s="1425"/>
      <c r="DL202" s="1425"/>
      <c r="DM202" s="1425"/>
      <c r="DN202" s="1425"/>
      <c r="DO202" s="1425"/>
      <c r="DP202" s="1425"/>
      <c r="DQ202" s="1425"/>
      <c r="DR202" s="1425"/>
      <c r="DS202" s="1425"/>
      <c r="DT202" s="1425"/>
      <c r="DU202" s="1425"/>
      <c r="DV202" s="1425"/>
      <c r="DW202" s="1425"/>
      <c r="DX202" s="1425"/>
      <c r="DY202" s="1425"/>
      <c r="DZ202" s="1044"/>
    </row>
    <row r="203" spans="1:130" hidden="1">
      <c r="A203" s="341" t="s">
        <v>1356</v>
      </c>
      <c r="B203" s="221"/>
      <c r="C203" s="221"/>
      <c r="D203" s="221"/>
      <c r="E203" s="221"/>
      <c r="F203" s="221"/>
      <c r="G203" s="221"/>
      <c r="H203" s="221"/>
      <c r="I203" s="221"/>
      <c r="J203" s="221"/>
      <c r="K203" s="221"/>
      <c r="L203" s="221"/>
      <c r="M203" s="221"/>
      <c r="N203" s="221"/>
      <c r="O203" s="221"/>
      <c r="P203" s="221">
        <f>-(1-CFS!P104)*Wless!P657</f>
        <v>-5806.3499999999995</v>
      </c>
      <c r="Q203" s="221">
        <f>-(1-CFS!Q104)*Wless!Q657</f>
        <v>-11724.749999999998</v>
      </c>
      <c r="R203" s="221">
        <f>-(1-CFS!R104)*Wless!R657</f>
        <v>-5027.3999999999996</v>
      </c>
      <c r="S203" s="221">
        <f>-(1-CFS!S104)*Wless!S657</f>
        <v>532.79999999999995</v>
      </c>
      <c r="T203" s="1417">
        <f>-(1-CFS!T104)*Wless!T657</f>
        <v>-3951.45</v>
      </c>
      <c r="U203" s="1417">
        <f>-(1-CFS!U104)*Wless!U657</f>
        <v>-3951.45</v>
      </c>
      <c r="V203" s="221">
        <f>-(1-CFS!V104)*Wless!V657</f>
        <v>0</v>
      </c>
      <c r="W203" s="221">
        <f>-(1-CFS!W104)*Wless!W657</f>
        <v>0</v>
      </c>
      <c r="X203" s="221">
        <f>-(1-CFS!X104)*Wless!X657</f>
        <v>0</v>
      </c>
      <c r="Y203" s="221">
        <f>-(1-CFS!Y104)*Wless!Y657</f>
        <v>0</v>
      </c>
      <c r="Z203" s="221">
        <f>-(1-CFS!Z104)*Wless!Z657</f>
        <v>0</v>
      </c>
      <c r="AA203" s="221">
        <f>-(1-CFS!AA104)*Wless!AA657</f>
        <v>0</v>
      </c>
      <c r="AB203" s="221">
        <f>-(1-CFS!AB104)*Wless!AB657</f>
        <v>0</v>
      </c>
      <c r="AC203" s="221"/>
      <c r="AD203" s="221"/>
      <c r="AE203" s="221"/>
      <c r="AF203" s="221"/>
      <c r="AG203" s="221"/>
      <c r="AH203" s="536"/>
      <c r="AI203" s="109"/>
      <c r="AJ203" s="109"/>
      <c r="AK203" s="109"/>
      <c r="AL203" s="109"/>
      <c r="AM203" s="109"/>
      <c r="AN203" s="276"/>
      <c r="AO203" s="276"/>
      <c r="AP203" s="109"/>
      <c r="AQ203" s="109"/>
      <c r="AR203" s="109"/>
      <c r="AS203" s="109"/>
      <c r="AT203" s="109"/>
      <c r="AU203" s="109"/>
      <c r="AV203" s="109"/>
      <c r="AW203" s="109"/>
      <c r="AX203" s="109"/>
      <c r="AY203" s="109"/>
      <c r="AZ203" s="109"/>
      <c r="BA203" s="109"/>
      <c r="BB203" s="109"/>
      <c r="BC203" s="109"/>
      <c r="BD203" s="109"/>
      <c r="BE203" s="109"/>
      <c r="BF203" s="109"/>
      <c r="BG203" s="109"/>
      <c r="BH203" s="109"/>
      <c r="BI203" s="109"/>
      <c r="BJ203" s="109"/>
      <c r="BK203" s="109"/>
      <c r="BL203" s="109"/>
      <c r="BM203" s="109"/>
      <c r="BN203" s="109"/>
      <c r="BO203" s="109"/>
      <c r="BP203" s="109"/>
      <c r="BQ203" s="109"/>
      <c r="BR203" s="109"/>
      <c r="BS203" s="109"/>
      <c r="BT203" s="109"/>
      <c r="BU203" s="109"/>
      <c r="BV203" s="109"/>
      <c r="BW203" s="109"/>
      <c r="BX203" s="109"/>
      <c r="BY203" s="109"/>
      <c r="BZ203" s="109"/>
      <c r="CA203" s="109"/>
      <c r="CB203" s="109"/>
      <c r="CC203" s="109"/>
      <c r="CD203" s="109"/>
      <c r="CE203" s="109"/>
      <c r="CF203" s="109"/>
      <c r="CG203" s="109"/>
      <c r="CH203" s="109"/>
      <c r="CI203" s="109"/>
      <c r="CJ203" s="109"/>
      <c r="CK203" s="109"/>
      <c r="CL203" s="109"/>
      <c r="CM203" s="109"/>
      <c r="CN203" s="109"/>
      <c r="CO203" s="109"/>
      <c r="CP203" s="109"/>
      <c r="CQ203" s="109"/>
      <c r="CR203" s="109"/>
      <c r="CS203" s="109"/>
      <c r="CT203" s="109"/>
      <c r="CU203" s="109"/>
      <c r="CV203" s="109"/>
      <c r="CW203" s="172"/>
      <c r="CX203" s="109"/>
      <c r="CY203" s="109"/>
      <c r="CZ203" s="109"/>
      <c r="DA203" s="109"/>
      <c r="DB203" s="171"/>
      <c r="DC203" s="109"/>
      <c r="DD203" s="170"/>
      <c r="DE203" s="170"/>
      <c r="DF203" s="791"/>
      <c r="DG203" s="1425"/>
      <c r="DH203" s="1425"/>
      <c r="DI203" s="1425"/>
      <c r="DJ203" s="1425"/>
      <c r="DK203" s="1425"/>
      <c r="DL203" s="1425"/>
      <c r="DM203" s="1425"/>
      <c r="DN203" s="1425"/>
      <c r="DO203" s="1425"/>
      <c r="DP203" s="1425"/>
      <c r="DQ203" s="1425"/>
      <c r="DR203" s="1425"/>
      <c r="DS203" s="1425"/>
      <c r="DT203" s="1425"/>
      <c r="DU203" s="1425"/>
      <c r="DV203" s="1425"/>
      <c r="DW203" s="1425"/>
      <c r="DX203" s="1425"/>
      <c r="DY203" s="1425"/>
      <c r="DZ203" s="1044"/>
    </row>
    <row r="204" spans="1:130" hidden="1">
      <c r="A204" s="341" t="s">
        <v>1357</v>
      </c>
      <c r="B204" s="342"/>
      <c r="C204" s="342"/>
      <c r="D204" s="342"/>
      <c r="E204" s="221"/>
      <c r="F204" s="221"/>
      <c r="G204" s="221"/>
      <c r="H204" s="221"/>
      <c r="I204" s="221"/>
      <c r="J204" s="221"/>
      <c r="K204" s="221"/>
      <c r="L204" s="221"/>
      <c r="M204" s="221"/>
      <c r="N204" s="221"/>
      <c r="O204" s="221"/>
      <c r="P204" s="221">
        <f>1.5*IS!P164</f>
        <v>692.97847055011334</v>
      </c>
      <c r="Q204" s="221">
        <f>1.5*IS!Q164</f>
        <v>-482.89199999999983</v>
      </c>
      <c r="R204" s="221">
        <f>1.5*IS!R164</f>
        <v>-553.02262500000063</v>
      </c>
      <c r="S204" s="221">
        <f>1.5*IS!S164</f>
        <v>-651.08474999999953</v>
      </c>
      <c r="T204" s="1417">
        <f>1.5*IS!T164</f>
        <v>-1364.5364999999993</v>
      </c>
      <c r="U204" s="1417">
        <f>1.5*IS!U164</f>
        <v>-2131.22325</v>
      </c>
      <c r="V204" s="221">
        <f>1.5*IS!V164</f>
        <v>0</v>
      </c>
      <c r="W204" s="221">
        <f>1.5*IS!W164</f>
        <v>0</v>
      </c>
      <c r="X204" s="221">
        <f>1.5*IS!X164</f>
        <v>0</v>
      </c>
      <c r="Y204" s="221">
        <f>1.5*IS!Y164</f>
        <v>0</v>
      </c>
      <c r="Z204" s="221">
        <f>1.5*IS!Z164</f>
        <v>0</v>
      </c>
      <c r="AA204" s="221">
        <f>1.5*IS!AA164</f>
        <v>0</v>
      </c>
      <c r="AB204" s="221">
        <f>1.5*IS!AB164</f>
        <v>0</v>
      </c>
      <c r="AC204" s="221"/>
      <c r="AD204" s="221"/>
      <c r="AE204" s="221"/>
      <c r="AF204" s="221"/>
      <c r="AG204" s="221"/>
      <c r="AH204" s="536"/>
      <c r="AI204" s="109"/>
      <c r="AJ204" s="109"/>
      <c r="AK204" s="109"/>
      <c r="AL204" s="109"/>
      <c r="AM204" s="109"/>
      <c r="AN204" s="276"/>
      <c r="AO204" s="276"/>
      <c r="AP204" s="109"/>
      <c r="AQ204" s="109"/>
      <c r="AR204" s="109"/>
      <c r="AS204" s="109"/>
      <c r="AT204" s="109"/>
      <c r="AU204" s="109"/>
      <c r="AV204" s="109"/>
      <c r="AW204" s="109"/>
      <c r="AX204" s="109"/>
      <c r="AY204" s="109"/>
      <c r="AZ204" s="109"/>
      <c r="BA204" s="109"/>
      <c r="BB204" s="109"/>
      <c r="BC204" s="109"/>
      <c r="BD204" s="109"/>
      <c r="BE204" s="109"/>
      <c r="BF204" s="109"/>
      <c r="BG204" s="109"/>
      <c r="BH204" s="109"/>
      <c r="BI204" s="109"/>
      <c r="BJ204" s="109"/>
      <c r="BK204" s="109"/>
      <c r="BL204" s="109"/>
      <c r="BM204" s="109"/>
      <c r="BN204" s="109"/>
      <c r="BO204" s="109"/>
      <c r="BP204" s="109"/>
      <c r="BQ204" s="109"/>
      <c r="BR204" s="109"/>
      <c r="BS204" s="109"/>
      <c r="BT204" s="109"/>
      <c r="BU204" s="109"/>
      <c r="BV204" s="109"/>
      <c r="BW204" s="109"/>
      <c r="BX204" s="109"/>
      <c r="BY204" s="109"/>
      <c r="BZ204" s="109"/>
      <c r="CA204" s="109"/>
      <c r="CB204" s="109"/>
      <c r="CC204" s="109"/>
      <c r="CD204" s="109"/>
      <c r="CE204" s="109"/>
      <c r="CF204" s="109"/>
      <c r="CG204" s="109"/>
      <c r="CH204" s="109"/>
      <c r="CI204" s="109"/>
      <c r="CJ204" s="109"/>
      <c r="CK204" s="109"/>
      <c r="CL204" s="109"/>
      <c r="CM204" s="109"/>
      <c r="CN204" s="109"/>
      <c r="CO204" s="109"/>
      <c r="CP204" s="109"/>
      <c r="CQ204" s="109"/>
      <c r="CR204" s="109"/>
      <c r="CS204" s="109"/>
      <c r="CT204" s="109"/>
      <c r="CU204" s="109"/>
      <c r="CV204" s="109"/>
      <c r="CW204" s="172"/>
      <c r="CX204" s="109"/>
      <c r="CY204" s="109"/>
      <c r="CZ204" s="109"/>
      <c r="DA204" s="109"/>
      <c r="DB204" s="171"/>
      <c r="DC204" s="109"/>
      <c r="DD204" s="170"/>
      <c r="DE204" s="170"/>
      <c r="DF204" s="791"/>
      <c r="DG204" s="1425"/>
      <c r="DH204" s="1425"/>
      <c r="DI204" s="1425"/>
      <c r="DJ204" s="1425"/>
      <c r="DK204" s="1425"/>
      <c r="DL204" s="1425"/>
      <c r="DM204" s="1425"/>
      <c r="DN204" s="1425"/>
      <c r="DO204" s="1425"/>
      <c r="DP204" s="1425"/>
      <c r="DQ204" s="1425"/>
      <c r="DR204" s="1425"/>
      <c r="DS204" s="1425"/>
      <c r="DT204" s="1425"/>
      <c r="DU204" s="1425"/>
      <c r="DV204" s="1425"/>
      <c r="DW204" s="1425"/>
      <c r="DX204" s="1425"/>
      <c r="DY204" s="1425"/>
      <c r="DZ204" s="1044"/>
    </row>
    <row r="205" spans="1:130" hidden="1">
      <c r="A205" s="224" t="s">
        <v>1358</v>
      </c>
      <c r="B205" s="225"/>
      <c r="C205" s="225"/>
      <c r="D205" s="225"/>
      <c r="E205" s="225"/>
      <c r="F205" s="225"/>
      <c r="G205" s="226"/>
      <c r="H205" s="226"/>
      <c r="I205" s="226"/>
      <c r="J205" s="226"/>
      <c r="K205" s="226"/>
      <c r="L205" s="226"/>
      <c r="M205" s="226"/>
      <c r="N205" s="226"/>
      <c r="O205" s="226"/>
      <c r="P205" s="226">
        <f t="shared" ref="P205:Z205" si="645">SUM(P201:P204)</f>
        <v>37907.128470550117</v>
      </c>
      <c r="Q205" s="226">
        <f t="shared" si="645"/>
        <v>48868.858</v>
      </c>
      <c r="R205" s="226">
        <f t="shared" si="645"/>
        <v>41307.577375000001</v>
      </c>
      <c r="S205" s="226">
        <f t="shared" si="645"/>
        <v>42337.715250000001</v>
      </c>
      <c r="T205" s="226">
        <f t="shared" si="645"/>
        <v>44064.013500000001</v>
      </c>
      <c r="U205" s="226">
        <f t="shared" si="645"/>
        <v>34193.32675</v>
      </c>
      <c r="V205" s="226">
        <f t="shared" si="645"/>
        <v>105343</v>
      </c>
      <c r="W205" s="226">
        <f>SUM(W201:W204)</f>
        <v>105595</v>
      </c>
      <c r="X205" s="226">
        <f t="shared" si="645"/>
        <v>105051</v>
      </c>
      <c r="Y205" s="226">
        <f t="shared" si="645"/>
        <v>114900.5</v>
      </c>
      <c r="Z205" s="226">
        <f t="shared" ca="1" si="645"/>
        <v>108227.58469589343</v>
      </c>
      <c r="AA205" s="226">
        <f ca="1">SUM(AA201:AA204)</f>
        <v>99375.581917144606</v>
      </c>
      <c r="AB205" s="226">
        <f ca="1">SUM(AB201:AB204)</f>
        <v>90097.700548902649</v>
      </c>
      <c r="AC205" s="3149"/>
      <c r="AD205" s="3149"/>
      <c r="AE205" s="3149"/>
      <c r="AF205" s="3149"/>
      <c r="AG205" s="3149"/>
      <c r="AH205" s="536"/>
      <c r="AI205" s="109"/>
      <c r="AJ205" s="109"/>
      <c r="AK205" s="109"/>
      <c r="AL205" s="109"/>
      <c r="AM205" s="109"/>
      <c r="AN205" s="276"/>
      <c r="AO205" s="276"/>
      <c r="AP205" s="109"/>
      <c r="AQ205" s="109"/>
      <c r="AR205" s="109"/>
      <c r="AS205" s="109"/>
      <c r="AT205" s="109"/>
      <c r="AU205" s="109"/>
      <c r="AV205" s="109"/>
      <c r="AW205" s="109"/>
      <c r="AX205" s="109"/>
      <c r="AY205" s="109"/>
      <c r="AZ205" s="109"/>
      <c r="BA205" s="109"/>
      <c r="BB205" s="109"/>
      <c r="BC205" s="109"/>
      <c r="BD205" s="109"/>
      <c r="BE205" s="109"/>
      <c r="BF205" s="109"/>
      <c r="BG205" s="109"/>
      <c r="BH205" s="109"/>
      <c r="BI205" s="109"/>
      <c r="BJ205" s="109"/>
      <c r="BK205" s="109"/>
      <c r="BL205" s="109"/>
      <c r="BM205" s="109"/>
      <c r="BN205" s="109"/>
      <c r="BO205" s="109"/>
      <c r="BP205" s="109"/>
      <c r="BQ205" s="109"/>
      <c r="BR205" s="109"/>
      <c r="BS205" s="109"/>
      <c r="BT205" s="109"/>
      <c r="BU205" s="109"/>
      <c r="BV205" s="109"/>
      <c r="BW205" s="109"/>
      <c r="BX205" s="109"/>
      <c r="BY205" s="109"/>
      <c r="BZ205" s="109"/>
      <c r="CA205" s="109"/>
      <c r="CB205" s="109"/>
      <c r="CC205" s="109"/>
      <c r="CD205" s="109"/>
      <c r="CE205" s="109"/>
      <c r="CF205" s="109"/>
      <c r="CG205" s="109"/>
      <c r="CH205" s="109"/>
      <c r="CI205" s="109"/>
      <c r="CJ205" s="109"/>
      <c r="CK205" s="109"/>
      <c r="CL205" s="170"/>
      <c r="CM205" s="109"/>
      <c r="CN205" s="109"/>
      <c r="CO205" s="109"/>
      <c r="CP205" s="109"/>
      <c r="CQ205" s="109"/>
      <c r="CR205" s="109"/>
      <c r="CS205" s="109"/>
      <c r="CT205" s="109"/>
      <c r="CU205" s="109"/>
      <c r="CV205" s="109"/>
      <c r="CW205" s="172"/>
      <c r="CX205" s="109"/>
      <c r="CY205" s="109"/>
      <c r="CZ205" s="109"/>
      <c r="DA205" s="109"/>
      <c r="DB205" s="171"/>
      <c r="DC205" s="109"/>
      <c r="DD205" s="170"/>
      <c r="DE205" s="170"/>
      <c r="DF205" s="791"/>
      <c r="DG205" s="1425"/>
      <c r="DH205" s="1425"/>
      <c r="DI205" s="1425"/>
      <c r="DJ205" s="1425"/>
      <c r="DK205" s="1425"/>
      <c r="DL205" s="1425"/>
      <c r="DM205" s="1425"/>
      <c r="DN205" s="1425"/>
      <c r="DO205" s="1425"/>
      <c r="DP205" s="1425"/>
      <c r="DQ205" s="1425"/>
      <c r="DR205" s="1425"/>
      <c r="DS205" s="1425"/>
      <c r="DT205" s="1425"/>
      <c r="DU205" s="1425"/>
      <c r="DV205" s="1425"/>
      <c r="DW205" s="1425"/>
      <c r="DX205" s="1425"/>
      <c r="DY205" s="1425"/>
      <c r="DZ205" s="1044"/>
    </row>
    <row r="206" spans="1:130" hidden="1">
      <c r="A206" s="227" t="s">
        <v>1168</v>
      </c>
      <c r="B206" s="226"/>
      <c r="C206" s="226"/>
      <c r="D206" s="226"/>
      <c r="E206" s="226"/>
      <c r="F206" s="226"/>
      <c r="G206" s="226"/>
      <c r="H206" s="226"/>
      <c r="I206" s="226"/>
      <c r="J206" s="226"/>
      <c r="K206" s="226"/>
      <c r="L206" s="226"/>
      <c r="M206" s="226"/>
      <c r="N206" s="226"/>
      <c r="O206" s="226"/>
      <c r="P206" s="226">
        <f t="shared" ref="P206:Z206" si="646">P205-P201</f>
        <v>-4262.8715294498834</v>
      </c>
      <c r="Q206" s="226">
        <f t="shared" si="646"/>
        <v>-11378.142</v>
      </c>
      <c r="R206" s="226">
        <f t="shared" si="646"/>
        <v>-4818.4226249999992</v>
      </c>
      <c r="S206" s="226">
        <f t="shared" si="646"/>
        <v>547.71525000000111</v>
      </c>
      <c r="T206" s="226">
        <f t="shared" si="646"/>
        <v>-4829.9864999999991</v>
      </c>
      <c r="U206" s="226">
        <f t="shared" si="646"/>
        <v>-5869.6732499999998</v>
      </c>
      <c r="V206" s="226">
        <f t="shared" si="646"/>
        <v>2670</v>
      </c>
      <c r="W206" s="226">
        <f>W205-W201</f>
        <v>-129</v>
      </c>
      <c r="X206" s="226">
        <f t="shared" si="646"/>
        <v>-147</v>
      </c>
      <c r="Y206" s="226">
        <f t="shared" si="646"/>
        <v>-115.5</v>
      </c>
      <c r="Z206" s="226">
        <f t="shared" ca="1" si="646"/>
        <v>-114</v>
      </c>
      <c r="AA206" s="226">
        <f ca="1">AA205-AA201</f>
        <v>-102.60000000000582</v>
      </c>
      <c r="AB206" s="226">
        <f ca="1">AB205-AB201</f>
        <v>-92.339999999996508</v>
      </c>
      <c r="AC206" s="3149"/>
      <c r="AD206" s="3149"/>
      <c r="AE206" s="3149"/>
      <c r="AF206" s="3149"/>
      <c r="AG206" s="3149"/>
      <c r="AH206" s="536"/>
      <c r="AI206" s="109"/>
      <c r="AJ206" s="109"/>
      <c r="AK206" s="109"/>
      <c r="AL206" s="109"/>
      <c r="AM206" s="109"/>
      <c r="AN206" s="276"/>
      <c r="AO206" s="276"/>
      <c r="AP206" s="109"/>
      <c r="AQ206" s="109"/>
      <c r="AR206" s="109"/>
      <c r="AS206" s="109"/>
      <c r="AT206" s="109"/>
      <c r="AU206" s="109"/>
      <c r="AV206" s="109"/>
      <c r="AW206" s="109"/>
      <c r="AX206" s="109"/>
      <c r="AY206" s="109"/>
      <c r="AZ206" s="109"/>
      <c r="BA206" s="109"/>
      <c r="BB206" s="109"/>
      <c r="BC206" s="109"/>
      <c r="BD206" s="109"/>
      <c r="BE206" s="109"/>
      <c r="BF206" s="109"/>
      <c r="BG206" s="109"/>
      <c r="BH206" s="109"/>
      <c r="BI206" s="109"/>
      <c r="BJ206" s="109"/>
      <c r="BK206" s="109"/>
      <c r="BL206" s="109"/>
      <c r="BM206" s="109"/>
      <c r="BN206" s="109"/>
      <c r="BO206" s="109"/>
      <c r="BP206" s="109"/>
      <c r="BQ206" s="109"/>
      <c r="BR206" s="109"/>
      <c r="BS206" s="109"/>
      <c r="BT206" s="109"/>
      <c r="BU206" s="109"/>
      <c r="BV206" s="109"/>
      <c r="BW206" s="109"/>
      <c r="BX206" s="109"/>
      <c r="BY206" s="109"/>
      <c r="BZ206" s="109"/>
      <c r="CA206" s="109"/>
      <c r="CB206" s="109"/>
      <c r="CC206" s="109"/>
      <c r="CD206" s="109"/>
      <c r="CE206" s="109"/>
      <c r="CF206" s="109"/>
      <c r="CG206" s="109"/>
      <c r="CH206" s="109"/>
      <c r="CI206" s="109"/>
      <c r="CJ206" s="109"/>
      <c r="CK206" s="109"/>
      <c r="CL206" s="109"/>
      <c r="CM206" s="109"/>
      <c r="CN206" s="109"/>
      <c r="CO206" s="109"/>
      <c r="CP206" s="109"/>
      <c r="CQ206" s="109"/>
      <c r="CR206" s="109"/>
      <c r="CS206" s="109"/>
      <c r="CT206" s="109"/>
      <c r="CU206" s="109"/>
      <c r="CV206" s="109"/>
      <c r="CW206" s="172"/>
      <c r="CX206" s="109"/>
      <c r="CY206" s="109"/>
      <c r="CZ206" s="109"/>
      <c r="DA206" s="109"/>
      <c r="DB206" s="171"/>
      <c r="DC206" s="109"/>
      <c r="DD206" s="170"/>
      <c r="DE206" s="170"/>
      <c r="DF206" s="791"/>
      <c r="DG206" s="1425"/>
      <c r="DH206" s="1425"/>
      <c r="DI206" s="1425"/>
      <c r="DJ206" s="1425"/>
      <c r="DK206" s="1425"/>
      <c r="DL206" s="1425"/>
      <c r="DM206" s="1425"/>
      <c r="DN206" s="1425"/>
      <c r="DO206" s="1425"/>
      <c r="DP206" s="1425"/>
      <c r="DQ206" s="1425"/>
      <c r="DR206" s="1425"/>
      <c r="DS206" s="1425"/>
      <c r="DT206" s="1425"/>
      <c r="DU206" s="1425"/>
      <c r="DV206" s="1425"/>
      <c r="DW206" s="1425"/>
      <c r="DX206" s="1425"/>
      <c r="DY206" s="1425"/>
      <c r="DZ206" s="1044"/>
    </row>
    <row r="207" spans="1:130" hidden="1">
      <c r="A207" s="87"/>
      <c r="B207" s="87"/>
      <c r="C207" s="87"/>
      <c r="D207" s="87"/>
      <c r="E207" s="87"/>
      <c r="F207" s="87"/>
      <c r="G207" s="87"/>
      <c r="H207" s="87"/>
      <c r="I207" s="87"/>
      <c r="J207" s="87"/>
      <c r="K207" s="87"/>
      <c r="L207" s="87"/>
      <c r="M207" s="87"/>
      <c r="N207" s="87"/>
      <c r="O207" s="87"/>
      <c r="P207" s="87"/>
      <c r="Q207" s="87"/>
      <c r="R207" s="87"/>
      <c r="S207" s="87"/>
      <c r="T207" s="1041"/>
      <c r="U207" s="1041"/>
      <c r="V207" s="87"/>
      <c r="W207" s="87"/>
      <c r="X207" s="87"/>
      <c r="Y207" s="87"/>
      <c r="Z207" s="87"/>
      <c r="AA207" s="87"/>
      <c r="AB207" s="87"/>
      <c r="AC207" s="87"/>
      <c r="AD207" s="87"/>
      <c r="AE207" s="87"/>
      <c r="AF207" s="87"/>
      <c r="AG207" s="87"/>
      <c r="AH207" s="678"/>
      <c r="AI207" s="87"/>
      <c r="AJ207" s="87"/>
      <c r="AK207" s="87"/>
      <c r="AL207" s="87"/>
      <c r="AM207" s="87"/>
      <c r="AN207" s="105"/>
      <c r="AO207" s="123"/>
      <c r="AP207" s="87"/>
      <c r="AQ207" s="87"/>
      <c r="AR207" s="87"/>
      <c r="AS207" s="87"/>
      <c r="AT207" s="87"/>
      <c r="AU207" s="87"/>
      <c r="AV207" s="87"/>
      <c r="AW207" s="87"/>
      <c r="AX207" s="87"/>
      <c r="AY207" s="87"/>
      <c r="AZ207" s="87"/>
      <c r="BA207" s="87"/>
      <c r="BB207" s="87"/>
      <c r="BC207" s="87"/>
      <c r="BD207" s="87"/>
      <c r="BE207" s="87"/>
      <c r="BF207" s="87"/>
      <c r="BG207" s="87"/>
      <c r="BH207" s="87"/>
      <c r="BI207" s="87"/>
      <c r="BJ207" s="87"/>
      <c r="BK207" s="87"/>
      <c r="BL207" s="87"/>
      <c r="BM207" s="87"/>
      <c r="BN207" s="87"/>
      <c r="BO207" s="87"/>
      <c r="BP207" s="87"/>
      <c r="BQ207" s="87"/>
      <c r="BR207" s="87"/>
      <c r="BS207" s="87"/>
      <c r="BT207" s="87"/>
      <c r="BU207" s="87"/>
      <c r="BV207" s="87"/>
      <c r="BW207" s="87"/>
      <c r="BX207" s="87"/>
      <c r="BY207" s="87"/>
      <c r="BZ207" s="87"/>
      <c r="CA207" s="87"/>
      <c r="CB207" s="87"/>
      <c r="CC207" s="87"/>
      <c r="CD207" s="87"/>
      <c r="CE207" s="87"/>
      <c r="CF207" s="87"/>
      <c r="CG207" s="87"/>
      <c r="CH207" s="87"/>
      <c r="CI207" s="87"/>
      <c r="CJ207" s="87"/>
      <c r="CK207" s="87"/>
      <c r="CL207" s="87"/>
      <c r="CM207" s="87"/>
      <c r="CN207" s="87"/>
      <c r="CO207" s="87"/>
      <c r="CP207" s="87"/>
      <c r="CQ207" s="87"/>
      <c r="CR207" s="87"/>
      <c r="CS207" s="87"/>
      <c r="CT207" s="87"/>
      <c r="CU207" s="87"/>
      <c r="CV207" s="87"/>
      <c r="CW207" s="144"/>
      <c r="CX207" s="87"/>
      <c r="CY207" s="87"/>
      <c r="CZ207" s="87"/>
      <c r="DA207" s="87"/>
      <c r="DB207" s="88"/>
      <c r="DC207" s="87"/>
      <c r="DF207" s="554"/>
      <c r="DZ207" s="1044"/>
    </row>
    <row r="208" spans="1:130">
      <c r="AB208"/>
      <c r="AC208"/>
      <c r="AD208"/>
      <c r="AE208"/>
      <c r="AF208"/>
      <c r="AG208"/>
      <c r="DG208"/>
      <c r="DH208"/>
      <c r="DI208"/>
      <c r="DJ208"/>
      <c r="DK208"/>
      <c r="DL208"/>
      <c r="DM208"/>
      <c r="DN208"/>
      <c r="DO208"/>
      <c r="DP208"/>
      <c r="DQ208"/>
      <c r="DR208"/>
      <c r="DS208"/>
      <c r="DT208"/>
      <c r="DU208"/>
      <c r="DV208"/>
      <c r="DW208"/>
      <c r="DX208"/>
      <c r="DY208"/>
      <c r="DZ208"/>
    </row>
    <row r="209" spans="107:136">
      <c r="DZ209" s="1044"/>
    </row>
    <row r="210" spans="107:136">
      <c r="DJ210" s="1425"/>
      <c r="DK210" s="1425"/>
      <c r="DL210" s="1425"/>
      <c r="DM210" s="1425"/>
      <c r="DN210" s="1425"/>
      <c r="DO210" s="1425"/>
      <c r="DP210" s="1425"/>
      <c r="DQ210" s="1425"/>
      <c r="DR210" s="1425"/>
      <c r="DS210" s="1425"/>
      <c r="DT210" s="1425"/>
      <c r="DU210" s="1425"/>
      <c r="DV210" s="1425"/>
      <c r="DW210" s="1425"/>
      <c r="DX210" s="1425"/>
      <c r="DY210" s="1425"/>
    </row>
    <row r="211" spans="107:136" s="1540" customFormat="1">
      <c r="DG211" s="1541"/>
      <c r="DH211" s="1541"/>
      <c r="DI211" s="1541"/>
      <c r="DJ211" s="1541"/>
      <c r="DK211" s="1541"/>
      <c r="DL211" s="1541"/>
      <c r="DM211" s="1541"/>
      <c r="DN211" s="1541"/>
      <c r="DO211" s="1541"/>
      <c r="DP211" s="1541"/>
      <c r="DQ211" s="1541"/>
      <c r="DR211" s="1541"/>
      <c r="DS211" s="1541"/>
      <c r="DT211" s="1541"/>
      <c r="DU211" s="1541"/>
      <c r="DV211" s="1541"/>
      <c r="DW211" s="1541"/>
      <c r="DX211" s="1541"/>
      <c r="DY211" s="1541"/>
      <c r="DZ211" s="1541"/>
      <c r="EA211"/>
      <c r="EB211"/>
      <c r="EC211"/>
      <c r="ED211"/>
      <c r="EE211"/>
      <c r="EF211"/>
    </row>
    <row r="212" spans="107:136" s="1540" customFormat="1">
      <c r="DG212" s="1541"/>
      <c r="DH212" s="1541"/>
      <c r="DI212" s="1541"/>
      <c r="DJ212" s="1541"/>
      <c r="DK212" s="1541"/>
      <c r="DL212" s="1541"/>
      <c r="DM212" s="1541"/>
      <c r="DN212" s="1541"/>
      <c r="DO212" s="1541"/>
      <c r="DP212" s="1541"/>
      <c r="DQ212" s="1541"/>
      <c r="DR212" s="1541"/>
      <c r="DS212" s="1541"/>
      <c r="DT212" s="1541"/>
      <c r="DU212" s="1541"/>
      <c r="DV212" s="1541"/>
      <c r="DW212" s="1541"/>
      <c r="DX212" s="1541"/>
      <c r="DY212" s="1541"/>
      <c r="DZ212" s="1541"/>
      <c r="EA212"/>
      <c r="EB212"/>
      <c r="EC212"/>
      <c r="ED212"/>
      <c r="EE212"/>
      <c r="EF212"/>
    </row>
    <row r="213" spans="107:136" s="1540" customFormat="1">
      <c r="DC213" s="1542"/>
      <c r="DG213" s="1541"/>
      <c r="DH213" s="1541"/>
      <c r="DI213" s="1541"/>
      <c r="DJ213" s="1541"/>
      <c r="DK213" s="1541"/>
      <c r="DL213" s="1541"/>
      <c r="DM213" s="1541"/>
      <c r="DN213" s="1541"/>
      <c r="DO213" s="1541"/>
      <c r="DP213" s="1541"/>
      <c r="DQ213" s="1541"/>
      <c r="DR213" s="1541"/>
      <c r="DS213" s="1541"/>
      <c r="DT213" s="1541"/>
      <c r="DU213" s="1541"/>
      <c r="DV213" s="1541"/>
      <c r="DW213" s="1541"/>
      <c r="DX213" s="1541"/>
      <c r="DY213" s="1541"/>
      <c r="DZ213" s="1541"/>
      <c r="EA213"/>
      <c r="EB213"/>
      <c r="EC213"/>
      <c r="ED213"/>
      <c r="EE213"/>
      <c r="EF213"/>
    </row>
    <row r="214" spans="107:136" s="1540" customFormat="1">
      <c r="DC214" s="1542"/>
      <c r="DG214" s="1541"/>
      <c r="DH214" s="1541"/>
      <c r="DI214" s="1541"/>
      <c r="DJ214" s="1541"/>
      <c r="DK214" s="1541"/>
      <c r="DL214" s="1541"/>
      <c r="DM214" s="1541"/>
      <c r="DN214" s="1541"/>
      <c r="DO214" s="1541"/>
      <c r="DP214" s="1541"/>
      <c r="DQ214" s="1541"/>
      <c r="DR214" s="1541"/>
      <c r="DS214" s="1541"/>
      <c r="DT214" s="1541"/>
      <c r="DU214" s="1541"/>
      <c r="DV214" s="1541"/>
      <c r="DW214" s="1541"/>
      <c r="DX214" s="1541"/>
      <c r="DY214" s="1541"/>
      <c r="DZ214" s="1541"/>
      <c r="EA214"/>
      <c r="EB214"/>
      <c r="EC214"/>
      <c r="ED214"/>
      <c r="EE214"/>
      <c r="EF214"/>
    </row>
    <row r="215" spans="107:136" s="1540" customFormat="1">
      <c r="DC215" s="1542"/>
      <c r="DG215" s="1541"/>
      <c r="DH215" s="1541"/>
      <c r="DI215" s="1541"/>
      <c r="DJ215" s="1541"/>
      <c r="DK215" s="1541"/>
      <c r="DL215" s="1541"/>
      <c r="DM215" s="1541"/>
      <c r="DN215" s="1541"/>
      <c r="DO215" s="1541"/>
      <c r="DP215" s="1541"/>
      <c r="DQ215" s="1541"/>
      <c r="DR215" s="1541"/>
      <c r="DS215" s="1541"/>
      <c r="DT215" s="1541"/>
      <c r="DU215" s="1541"/>
      <c r="DV215" s="1541"/>
      <c r="DW215" s="1541"/>
      <c r="DX215" s="1541"/>
      <c r="DY215" s="1541"/>
      <c r="DZ215" s="1541"/>
      <c r="EA215"/>
      <c r="EB215"/>
      <c r="EC215"/>
      <c r="ED215"/>
      <c r="EE215"/>
      <c r="EF215"/>
    </row>
    <row r="216" spans="107:136" s="1540" customFormat="1">
      <c r="DC216" s="1542"/>
      <c r="DG216" s="1541"/>
      <c r="DH216" s="1541"/>
      <c r="DI216" s="1541"/>
      <c r="DJ216" s="1541"/>
      <c r="DK216" s="1541"/>
      <c r="DL216" s="1541"/>
      <c r="DM216" s="1541"/>
      <c r="DN216" s="1541"/>
      <c r="DO216" s="1541"/>
      <c r="DP216" s="1541"/>
      <c r="DQ216" s="1541"/>
      <c r="DR216" s="1541"/>
      <c r="DS216" s="1541"/>
      <c r="DT216" s="1541"/>
      <c r="DU216" s="1541"/>
      <c r="DV216" s="1541"/>
      <c r="DW216" s="1541"/>
      <c r="DX216" s="1541"/>
      <c r="DY216" s="1541"/>
      <c r="DZ216" s="1541"/>
      <c r="EA216"/>
      <c r="EB216"/>
      <c r="EC216"/>
      <c r="ED216"/>
      <c r="EE216"/>
      <c r="EF216"/>
    </row>
    <row r="217" spans="107:136" s="1540" customFormat="1">
      <c r="DC217" s="1542"/>
      <c r="DG217" s="1541"/>
      <c r="DH217" s="1541"/>
      <c r="DI217" s="1541"/>
      <c r="DJ217" s="1541"/>
      <c r="DK217" s="1541"/>
      <c r="DL217" s="1541"/>
      <c r="DM217" s="1541"/>
      <c r="DN217" s="1541"/>
      <c r="DO217" s="1541"/>
      <c r="DP217" s="1541"/>
      <c r="DQ217" s="1541"/>
      <c r="DR217" s="1541"/>
      <c r="DS217" s="1541"/>
      <c r="DT217" s="1541"/>
      <c r="DU217" s="1541"/>
      <c r="DV217" s="1541"/>
      <c r="DW217" s="1541"/>
      <c r="DX217" s="1541"/>
      <c r="DY217" s="1541"/>
      <c r="DZ217" s="1541"/>
      <c r="EA217"/>
      <c r="EB217"/>
      <c r="EC217"/>
      <c r="ED217"/>
      <c r="EE217"/>
      <c r="EF217"/>
    </row>
    <row r="218" spans="107:136" s="1540" customFormat="1">
      <c r="DC218" s="1542"/>
      <c r="DG218" s="1541"/>
      <c r="DH218" s="1541"/>
      <c r="DI218" s="1541"/>
      <c r="DJ218" s="1541"/>
      <c r="DK218" s="1541"/>
      <c r="DL218" s="1541"/>
      <c r="DM218" s="1541"/>
      <c r="DN218" s="1541"/>
      <c r="DO218" s="1541"/>
      <c r="DP218" s="1541"/>
      <c r="DQ218" s="1541"/>
      <c r="DR218" s="1541"/>
      <c r="DS218" s="1541"/>
      <c r="DT218" s="1541"/>
      <c r="DU218" s="1541"/>
      <c r="DV218" s="1541"/>
      <c r="DW218" s="1541"/>
      <c r="DX218" s="1541"/>
      <c r="DY218" s="1541"/>
      <c r="DZ218" s="1541"/>
      <c r="EA218"/>
      <c r="EB218"/>
      <c r="EC218"/>
      <c r="ED218"/>
      <c r="EE218"/>
      <c r="EF218"/>
    </row>
    <row r="219" spans="107:136" s="1540" customFormat="1">
      <c r="DC219" s="1542"/>
      <c r="DG219" s="1541"/>
      <c r="DH219" s="1541"/>
      <c r="DI219" s="1541"/>
      <c r="DJ219" s="1541"/>
      <c r="DK219" s="1541"/>
      <c r="DL219" s="1541"/>
      <c r="DM219" s="1541"/>
      <c r="DN219" s="1541"/>
      <c r="DO219" s="1541"/>
      <c r="DP219" s="1541"/>
      <c r="DQ219" s="1541"/>
      <c r="DR219" s="1541"/>
      <c r="DS219" s="1541"/>
      <c r="DT219" s="1541"/>
      <c r="DU219" s="1541"/>
      <c r="DV219" s="1541"/>
      <c r="DW219" s="1541"/>
      <c r="DX219" s="1541"/>
      <c r="DY219" s="1541"/>
      <c r="DZ219" s="1541"/>
      <c r="EA219"/>
      <c r="EB219"/>
      <c r="EC219"/>
      <c r="ED219"/>
      <c r="EE219"/>
      <c r="EF219"/>
    </row>
    <row r="220" spans="107:136" s="1540" customFormat="1">
      <c r="DC220" s="1542"/>
      <c r="DG220" s="1541"/>
      <c r="DH220" s="1541"/>
      <c r="DI220" s="1541"/>
      <c r="DJ220" s="1541"/>
      <c r="DK220" s="1541"/>
      <c r="DL220" s="1541"/>
      <c r="DM220" s="1541"/>
      <c r="DN220" s="1541"/>
      <c r="DO220" s="1541"/>
      <c r="DP220" s="1541"/>
      <c r="DQ220" s="1541"/>
      <c r="DR220" s="1541"/>
      <c r="DS220" s="1541"/>
      <c r="DT220" s="1541"/>
      <c r="DU220" s="1541"/>
      <c r="DV220" s="1541"/>
      <c r="DW220" s="1541"/>
      <c r="DX220" s="1541"/>
      <c r="DY220" s="1541"/>
      <c r="DZ220" s="1541"/>
      <c r="EA220"/>
      <c r="EB220"/>
      <c r="EC220"/>
      <c r="ED220"/>
      <c r="EE220"/>
      <c r="EF220"/>
    </row>
    <row r="221" spans="107:136" s="1540" customFormat="1">
      <c r="DC221" s="1542"/>
      <c r="DG221" s="1541"/>
      <c r="DH221" s="1541"/>
      <c r="DI221" s="1541"/>
      <c r="DJ221" s="1541"/>
      <c r="DK221" s="1541"/>
      <c r="DL221" s="1541"/>
      <c r="DM221" s="1541"/>
      <c r="DN221" s="1541"/>
      <c r="DO221" s="1541"/>
      <c r="DP221" s="1541"/>
      <c r="DQ221" s="1541"/>
      <c r="DR221" s="1541"/>
      <c r="DS221" s="1541"/>
      <c r="DT221" s="1541"/>
      <c r="DU221" s="1541"/>
      <c r="DV221" s="1541"/>
      <c r="DW221" s="1541"/>
      <c r="DX221" s="1541"/>
      <c r="DY221" s="1541"/>
      <c r="DZ221" s="1541"/>
      <c r="EA221"/>
      <c r="EB221"/>
      <c r="EC221"/>
      <c r="ED221"/>
      <c r="EE221"/>
      <c r="EF221"/>
    </row>
    <row r="222" spans="107:136" s="1540" customFormat="1">
      <c r="DC222" s="1542"/>
      <c r="DG222" s="1541"/>
      <c r="DH222" s="1541"/>
      <c r="DI222" s="1541"/>
      <c r="DJ222" s="1541"/>
      <c r="DK222" s="1541"/>
      <c r="DL222" s="1541"/>
      <c r="DM222" s="1541"/>
      <c r="DN222" s="1541"/>
      <c r="DO222" s="1541"/>
      <c r="DP222" s="1541"/>
      <c r="DQ222" s="1541"/>
      <c r="DR222" s="1541"/>
      <c r="DS222" s="1541"/>
      <c r="DT222" s="1541"/>
      <c r="DU222" s="1541"/>
      <c r="DV222" s="1541"/>
      <c r="DW222" s="1541"/>
      <c r="DX222" s="1541"/>
      <c r="DY222" s="1541"/>
      <c r="DZ222" s="1541"/>
      <c r="EA222"/>
      <c r="EB222"/>
      <c r="EC222"/>
      <c r="ED222"/>
      <c r="EE222"/>
      <c r="EF222"/>
    </row>
    <row r="223" spans="107:136" s="1540" customFormat="1">
      <c r="DC223" s="1542"/>
      <c r="DG223" s="1541"/>
      <c r="DH223" s="1541"/>
      <c r="DI223" s="1541"/>
      <c r="DJ223" s="1541"/>
      <c r="DK223" s="1541"/>
      <c r="DL223" s="1541"/>
      <c r="DM223" s="1541"/>
      <c r="DN223" s="1541"/>
      <c r="DO223" s="1541"/>
      <c r="DP223" s="1541"/>
      <c r="DQ223" s="1541"/>
      <c r="DR223" s="1541"/>
      <c r="DS223" s="1541"/>
      <c r="DT223" s="1541"/>
      <c r="DU223" s="1541"/>
      <c r="DV223" s="1541"/>
      <c r="DW223" s="1541"/>
      <c r="DX223" s="1541"/>
      <c r="DY223" s="1541"/>
      <c r="DZ223" s="1541"/>
      <c r="EA223"/>
      <c r="EB223"/>
      <c r="EC223"/>
      <c r="ED223"/>
      <c r="EE223"/>
      <c r="EF223"/>
    </row>
    <row r="224" spans="107:136" s="1540" customFormat="1">
      <c r="DC224" s="1542"/>
      <c r="DG224" s="1541"/>
      <c r="DH224" s="1541"/>
      <c r="DI224" s="1541"/>
      <c r="DJ224" s="1541"/>
      <c r="DK224" s="1541"/>
      <c r="DL224" s="1541"/>
      <c r="DM224" s="1541"/>
      <c r="DN224" s="1541"/>
      <c r="DO224" s="1541"/>
      <c r="DP224" s="1541"/>
      <c r="DQ224" s="1541"/>
      <c r="DR224" s="1541"/>
      <c r="DS224" s="1541"/>
      <c r="DT224" s="1541"/>
      <c r="DU224" s="1541"/>
      <c r="DV224" s="1541"/>
      <c r="DW224" s="1541"/>
      <c r="DX224" s="1541"/>
      <c r="DY224" s="1541"/>
      <c r="DZ224" s="1541"/>
      <c r="EA224"/>
      <c r="EB224"/>
      <c r="EC224"/>
      <c r="ED224"/>
      <c r="EE224"/>
      <c r="EF224"/>
    </row>
    <row r="225" spans="107:136" s="1540" customFormat="1">
      <c r="DC225" s="1542"/>
      <c r="DG225" s="1541"/>
      <c r="DH225" s="1541"/>
      <c r="DI225" s="1541"/>
      <c r="DJ225" s="1541"/>
      <c r="DK225" s="1541"/>
      <c r="DL225" s="1541"/>
      <c r="DM225" s="1541"/>
      <c r="DN225" s="1541"/>
      <c r="DO225" s="1541"/>
      <c r="DP225" s="1541"/>
      <c r="DQ225" s="1541"/>
      <c r="DR225" s="1541"/>
      <c r="DS225" s="1541"/>
      <c r="DT225" s="1541"/>
      <c r="DU225" s="1541"/>
      <c r="DV225" s="1541"/>
      <c r="DW225" s="1541"/>
      <c r="DX225" s="1541"/>
      <c r="DY225" s="1541"/>
      <c r="DZ225" s="1541"/>
      <c r="EA225"/>
      <c r="EB225"/>
      <c r="EC225"/>
      <c r="ED225"/>
      <c r="EE225"/>
      <c r="EF225"/>
    </row>
    <row r="226" spans="107:136" s="1540" customFormat="1">
      <c r="DC226" s="1542"/>
      <c r="DG226" s="1541"/>
      <c r="DH226" s="1541"/>
      <c r="DI226" s="1541"/>
      <c r="DJ226" s="1541"/>
      <c r="DK226" s="1541"/>
      <c r="DL226" s="1541"/>
      <c r="DM226" s="1541"/>
      <c r="DN226" s="1541"/>
      <c r="DO226" s="1541"/>
      <c r="DP226" s="1541"/>
      <c r="DQ226" s="1541"/>
      <c r="DR226" s="1541"/>
      <c r="DS226" s="1541"/>
      <c r="DT226" s="1541"/>
      <c r="DU226" s="1541"/>
      <c r="DV226" s="1541"/>
      <c r="DW226" s="1541"/>
      <c r="DX226" s="1541"/>
      <c r="DY226" s="1541"/>
      <c r="DZ226" s="1541"/>
      <c r="EA226"/>
      <c r="EB226"/>
      <c r="EC226"/>
      <c r="ED226"/>
      <c r="EE226"/>
      <c r="EF226"/>
    </row>
    <row r="227" spans="107:136" s="1540" customFormat="1">
      <c r="DG227" s="1541"/>
      <c r="DH227" s="1541"/>
      <c r="DI227" s="1541"/>
      <c r="DJ227" s="1541"/>
      <c r="DK227" s="1541"/>
      <c r="DL227" s="1541"/>
      <c r="DM227" s="1541"/>
      <c r="DN227" s="1541"/>
      <c r="DO227" s="1541"/>
      <c r="DP227" s="1541"/>
      <c r="DQ227" s="1541"/>
      <c r="DR227" s="1541"/>
      <c r="DS227" s="1541"/>
      <c r="DT227" s="1541"/>
      <c r="DU227" s="1541"/>
      <c r="DV227" s="1541"/>
      <c r="DW227" s="1541"/>
      <c r="DX227" s="1541"/>
      <c r="DY227" s="1541"/>
      <c r="DZ227" s="1541"/>
      <c r="EA227"/>
      <c r="EB227"/>
      <c r="EC227"/>
      <c r="ED227"/>
      <c r="EE227"/>
      <c r="EF227"/>
    </row>
    <row r="228" spans="107:136" s="1540" customFormat="1">
      <c r="DC228" s="1542"/>
      <c r="DG228" s="1541"/>
      <c r="DH228" s="1541"/>
      <c r="DI228" s="1541"/>
      <c r="DJ228" s="1541"/>
      <c r="DK228" s="1541"/>
      <c r="DL228" s="1541"/>
      <c r="DM228" s="1541"/>
      <c r="DN228" s="1541"/>
      <c r="DO228" s="1541"/>
      <c r="DP228" s="1541"/>
      <c r="DQ228" s="1541"/>
      <c r="DR228" s="1541"/>
      <c r="DS228" s="1541"/>
      <c r="DT228" s="1541"/>
      <c r="DU228" s="1541"/>
      <c r="DV228" s="1541"/>
      <c r="DW228" s="1541"/>
      <c r="DX228" s="1541"/>
      <c r="DY228" s="1541"/>
      <c r="DZ228" s="1541"/>
      <c r="EA228"/>
      <c r="EB228"/>
      <c r="EC228"/>
      <c r="ED228"/>
      <c r="EE228"/>
      <c r="EF228"/>
    </row>
    <row r="229" spans="107:136" s="1540" customFormat="1">
      <c r="DC229" s="1542"/>
      <c r="DG229" s="1541"/>
      <c r="DH229" s="1541"/>
      <c r="DI229" s="1541"/>
      <c r="DJ229" s="1541"/>
      <c r="DK229" s="1541"/>
      <c r="DL229" s="1541"/>
      <c r="DM229" s="1541"/>
      <c r="DN229" s="1541"/>
      <c r="DO229" s="1541"/>
      <c r="DP229" s="1541"/>
      <c r="DQ229" s="1541"/>
      <c r="DR229" s="1541"/>
      <c r="DS229" s="1541"/>
      <c r="DT229" s="1541"/>
      <c r="DU229" s="1541"/>
      <c r="DV229" s="1541"/>
      <c r="DW229" s="1541"/>
      <c r="DX229" s="1541"/>
      <c r="DY229" s="1541"/>
      <c r="DZ229" s="1541"/>
      <c r="EA229"/>
      <c r="EB229"/>
      <c r="EC229"/>
      <c r="ED229"/>
      <c r="EE229"/>
      <c r="EF229"/>
    </row>
    <row r="230" spans="107:136" s="1540" customFormat="1">
      <c r="DC230" s="1542"/>
      <c r="DG230" s="1541"/>
      <c r="DH230" s="1541"/>
      <c r="DI230" s="1541"/>
      <c r="DJ230" s="1541"/>
      <c r="DK230" s="1541"/>
      <c r="DL230" s="1541"/>
      <c r="DM230" s="1541"/>
      <c r="DN230" s="1541"/>
      <c r="DO230" s="1541"/>
      <c r="DP230" s="1541"/>
      <c r="DQ230" s="1541"/>
      <c r="DR230" s="1541"/>
      <c r="DS230" s="1541"/>
      <c r="DT230" s="1541"/>
      <c r="DU230" s="1541"/>
      <c r="DV230" s="1541"/>
      <c r="DW230" s="1541"/>
      <c r="DX230" s="1541"/>
      <c r="DY230" s="1541"/>
      <c r="DZ230" s="1541"/>
      <c r="EA230"/>
      <c r="EB230"/>
      <c r="EC230"/>
      <c r="ED230"/>
      <c r="EE230"/>
      <c r="EF230"/>
    </row>
  </sheetData>
  <phoneticPr fontId="76" type="noConversion"/>
  <pageMargins left="0" right="0" top="0" bottom="0" header="0" footer="0"/>
  <pageSetup scale="93" orientation="landscape" r:id="rId1"/>
  <headerFooter alignWithMargins="0"/>
  <rowBreaks count="3" manualBreakCount="3">
    <brk id="66" max="99" man="1"/>
    <brk id="120" max="99" man="1"/>
    <brk id="161" max="99"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indexed="56"/>
    <pageSetUpPr fitToPage="1"/>
  </sheetPr>
  <dimension ref="A1:EF135"/>
  <sheetViews>
    <sheetView showGridLines="0" zoomScale="85" zoomScaleSheetLayoutView="85" workbookViewId="0">
      <pane xSplit="1" ySplit="8" topLeftCell="X11" activePane="bottomRight" state="frozen"/>
      <selection activeCell="W8" sqref="W8"/>
      <selection pane="topRight" activeCell="W8" sqref="W8"/>
      <selection pane="bottomLeft" activeCell="W8" sqref="W8"/>
      <selection pane="bottomRight" activeCell="X11" sqref="X11"/>
    </sheetView>
  </sheetViews>
  <sheetFormatPr defaultColWidth="9" defaultRowHeight="15" outlineLevelRow="1" outlineLevelCol="1"/>
  <cols>
    <col min="1" max="1" width="38" bestFit="1" customWidth="1"/>
    <col min="2" max="3" width="2.5546875" hidden="1" customWidth="1" outlineLevel="1"/>
    <col min="4" max="17" width="7.44140625" hidden="1" customWidth="1" outlineLevel="1"/>
    <col min="18" max="18" width="7.44140625" hidden="1" customWidth="1" outlineLevel="1" collapsed="1"/>
    <col min="19" max="19" width="7.44140625" hidden="1" customWidth="1" outlineLevel="1"/>
    <col min="20" max="20" width="7.44140625" hidden="1" customWidth="1" outlineLevel="1" collapsed="1"/>
    <col min="21" max="21" width="7.44140625" style="1074" hidden="1" customWidth="1" outlineLevel="1" collapsed="1"/>
    <col min="22" max="23" width="7.44140625" hidden="1" customWidth="1" outlineLevel="1" collapsed="1"/>
    <col min="24" max="24" width="7.44140625" customWidth="1" collapsed="1"/>
    <col min="25" max="27" width="7.44140625" customWidth="1"/>
    <col min="28" max="28" width="7.44140625" style="3144" hidden="1" customWidth="1" outlineLevel="1"/>
    <col min="29" max="33" width="7.44140625" style="3146" hidden="1" customWidth="1" outlineLevel="1"/>
    <col min="34" max="34" width="2.5546875" customWidth="1" collapsed="1"/>
    <col min="35" max="41" width="2.5546875" hidden="1" customWidth="1" outlineLevel="1"/>
    <col min="42" max="61" width="7.44140625" hidden="1" customWidth="1" outlineLevel="1"/>
    <col min="62" max="62" width="7.44140625" hidden="1" customWidth="1" outlineLevel="1" collapsed="1"/>
    <col min="63" max="65" width="7.44140625" hidden="1" customWidth="1" outlineLevel="1"/>
    <col min="66" max="66" width="7.44140625" hidden="1" customWidth="1" outlineLevel="1" collapsed="1"/>
    <col min="67" max="97" width="7.44140625" hidden="1" customWidth="1" outlineLevel="1"/>
    <col min="98" max="98" width="7.44140625" hidden="1" customWidth="1" outlineLevel="1" collapsed="1"/>
    <col min="99" max="101" width="7.44140625" hidden="1" customWidth="1" outlineLevel="1"/>
    <col min="102" max="102" width="7.44140625" hidden="1" customWidth="1" outlineLevel="1" collapsed="1"/>
    <col min="103" max="105" width="7.44140625" hidden="1" customWidth="1" outlineLevel="1"/>
    <col min="106" max="106" width="7.44140625" hidden="1" customWidth="1" outlineLevel="1" collapsed="1"/>
    <col min="107" max="109" width="7.44140625" hidden="1" customWidth="1" outlineLevel="1"/>
    <col min="110" max="110" width="7.44140625" hidden="1" customWidth="1" outlineLevel="1" collapsed="1"/>
    <col min="111" max="113" width="7.44140625" style="1074" hidden="1" customWidth="1" outlineLevel="1"/>
    <col min="114" max="114" width="7.44140625" style="1074" hidden="1" customWidth="1" outlineLevel="1" collapsed="1"/>
    <col min="115" max="116" width="7.44140625" style="1074" hidden="1" customWidth="1" outlineLevel="1"/>
    <col min="117" max="117" width="7.44140625" hidden="1" customWidth="1" outlineLevel="1"/>
    <col min="118" max="118" width="7.44140625" hidden="1" customWidth="1" outlineLevel="1" collapsed="1"/>
    <col min="119" max="121" width="7.44140625" hidden="1" customWidth="1" outlineLevel="1"/>
    <col min="122" max="122" width="7.44140625" style="2993" customWidth="1" collapsed="1"/>
    <col min="123" max="125" width="7.44140625" style="2993" customWidth="1"/>
    <col min="126" max="129" width="7.44140625" style="3250" customWidth="1"/>
    <col min="130" max="130" width="7.6640625" customWidth="1"/>
    <col min="131" max="131" width="75.6640625" customWidth="1"/>
    <col min="132" max="133" width="12.6640625" customWidth="1"/>
    <col min="134" max="134" width="11.5546875" customWidth="1"/>
    <col min="135" max="135" width="18" customWidth="1"/>
    <col min="136" max="136" width="10.109375" customWidth="1"/>
  </cols>
  <sheetData>
    <row r="1" spans="1:130">
      <c r="A1" s="91" t="s">
        <v>1111</v>
      </c>
      <c r="B1" s="87"/>
      <c r="C1" s="87"/>
      <c r="D1" s="103"/>
      <c r="E1" s="103"/>
      <c r="F1" s="103"/>
      <c r="G1" s="103"/>
      <c r="H1" s="103"/>
      <c r="I1" s="103"/>
      <c r="J1" s="103"/>
      <c r="K1" s="103"/>
      <c r="L1" s="103"/>
      <c r="M1" s="103"/>
      <c r="N1" s="87"/>
      <c r="O1" s="87"/>
      <c r="P1" s="216"/>
      <c r="Q1" s="216"/>
      <c r="R1" s="143"/>
      <c r="S1" s="143"/>
      <c r="T1" s="143"/>
      <c r="U1" s="1047"/>
      <c r="V1" s="143"/>
      <c r="W1" s="143"/>
      <c r="X1" s="2163"/>
      <c r="Y1" s="2163"/>
      <c r="Z1" s="2163"/>
      <c r="AA1" s="2163"/>
      <c r="AB1" s="2163"/>
      <c r="AC1" s="2163"/>
      <c r="AD1" s="2163"/>
      <c r="AE1" s="2163"/>
      <c r="AF1" s="2163"/>
      <c r="AG1" s="2163"/>
      <c r="AH1" s="2163"/>
      <c r="AI1" s="1989"/>
      <c r="AJ1" s="1989"/>
      <c r="AK1" s="1989"/>
      <c r="AL1" s="1989"/>
      <c r="AM1" s="1989"/>
      <c r="AN1" s="1989"/>
      <c r="AO1" s="1989"/>
      <c r="AP1" s="2163"/>
      <c r="AQ1" s="2163"/>
      <c r="AR1" s="2163"/>
      <c r="AS1" s="2163"/>
      <c r="AT1" s="2163"/>
      <c r="AU1" s="2163"/>
      <c r="AV1" s="2163"/>
      <c r="AW1" s="2163"/>
      <c r="AX1" s="2163"/>
      <c r="AY1" s="2163"/>
      <c r="AZ1" s="2163"/>
      <c r="BA1" s="2163"/>
      <c r="BB1" s="2163"/>
      <c r="BC1" s="2163"/>
      <c r="BD1" s="2163"/>
      <c r="BE1" s="2163"/>
      <c r="BF1" s="2163"/>
      <c r="BG1" s="2163"/>
      <c r="BH1" s="2163"/>
      <c r="BI1" s="2163"/>
      <c r="BJ1" s="2163"/>
      <c r="BK1" s="2163"/>
      <c r="BL1" s="2163"/>
      <c r="BM1" s="2163"/>
      <c r="BN1" s="2163"/>
      <c r="BO1" s="2163"/>
      <c r="BP1" s="2163"/>
      <c r="BQ1" s="2163"/>
      <c r="BR1" s="2163"/>
      <c r="BS1" s="2163"/>
      <c r="BT1" s="2163"/>
      <c r="BU1" s="2163"/>
      <c r="BV1" s="2163"/>
      <c r="BW1" s="2163"/>
      <c r="BX1" s="2163"/>
      <c r="BY1" s="2163"/>
      <c r="BZ1" s="2163"/>
      <c r="CA1" s="2163"/>
      <c r="CB1" s="2163"/>
      <c r="CC1" s="2163"/>
      <c r="CD1" s="2163"/>
      <c r="CE1" s="2163"/>
      <c r="CF1" s="2163"/>
      <c r="CG1" s="2163"/>
      <c r="CH1" s="2163"/>
      <c r="CI1" s="2163"/>
      <c r="CJ1" s="2163"/>
      <c r="CK1" s="2163"/>
      <c r="CL1" s="2163"/>
      <c r="CM1" s="2163"/>
      <c r="CN1" s="2163"/>
      <c r="CO1" s="2163"/>
      <c r="CP1" s="2163"/>
      <c r="CQ1" s="2163"/>
      <c r="CR1" s="2163"/>
      <c r="CS1" s="2163"/>
      <c r="CT1" s="2163"/>
      <c r="CU1" s="2163"/>
      <c r="CV1" s="2163"/>
      <c r="CW1" s="2163"/>
      <c r="CX1" s="2163"/>
      <c r="CY1" s="1989"/>
      <c r="CZ1" s="1989"/>
      <c r="DA1" s="1989"/>
      <c r="DB1" s="1989"/>
      <c r="DC1" s="1989"/>
      <c r="DD1" s="1989"/>
      <c r="DE1" s="1989"/>
      <c r="DF1" s="1989"/>
      <c r="DG1" s="2199"/>
      <c r="DH1" s="2199"/>
      <c r="DI1" s="2199"/>
      <c r="DJ1" s="2199"/>
      <c r="DK1" s="2199"/>
      <c r="DL1" s="2199"/>
      <c r="DM1" s="1989"/>
      <c r="DN1" s="1989"/>
      <c r="DO1" s="1989"/>
      <c r="DP1" s="1989"/>
      <c r="DQ1" s="1989"/>
      <c r="DR1" s="1989"/>
      <c r="DS1" s="1989"/>
      <c r="DT1" s="1989"/>
      <c r="DU1" s="1989"/>
      <c r="DV1" s="1989"/>
      <c r="DW1" s="1989"/>
      <c r="DX1" s="1989"/>
      <c r="DY1" s="1989"/>
      <c r="DZ1" s="1989"/>
    </row>
    <row r="2" spans="1:130">
      <c r="A2" s="91" t="s">
        <v>1112</v>
      </c>
      <c r="B2" s="87"/>
      <c r="C2" s="87"/>
      <c r="D2" s="103"/>
      <c r="E2" s="103"/>
      <c r="F2" s="103"/>
      <c r="G2" s="103"/>
      <c r="H2" s="103"/>
      <c r="I2" s="103"/>
      <c r="J2" s="103"/>
      <c r="K2" s="103"/>
      <c r="L2" s="103"/>
      <c r="M2" s="103"/>
      <c r="N2" s="87"/>
      <c r="O2" s="87"/>
      <c r="P2" s="216"/>
      <c r="Q2" s="216"/>
      <c r="R2" s="143"/>
      <c r="S2" s="143"/>
      <c r="T2" s="143"/>
      <c r="U2" s="1047"/>
      <c r="V2" s="95"/>
      <c r="W2" s="95"/>
      <c r="X2" s="2163"/>
      <c r="Y2" s="2163"/>
      <c r="Z2" s="2163"/>
      <c r="AA2" s="2163"/>
      <c r="AB2" s="2163"/>
      <c r="AC2" s="2163"/>
      <c r="AD2" s="2163"/>
      <c r="AE2" s="2163"/>
      <c r="AF2" s="2163"/>
      <c r="AG2" s="2163"/>
      <c r="AH2" s="2163"/>
      <c r="AI2" s="1989"/>
      <c r="AJ2" s="1989"/>
      <c r="AK2" s="1989"/>
      <c r="AL2" s="1989"/>
      <c r="AM2" s="1989"/>
      <c r="AN2" s="1989"/>
      <c r="AO2" s="1989"/>
      <c r="AP2" s="2163"/>
      <c r="AQ2" s="2163"/>
      <c r="AR2" s="2163"/>
      <c r="AS2" s="2163"/>
      <c r="AT2" s="2163"/>
      <c r="AU2" s="2163"/>
      <c r="AV2" s="2163"/>
      <c r="AW2" s="2163"/>
      <c r="AX2" s="2163"/>
      <c r="AY2" s="2163"/>
      <c r="AZ2" s="2163"/>
      <c r="BA2" s="2163"/>
      <c r="BB2" s="2163"/>
      <c r="BC2" s="2163"/>
      <c r="BD2" s="2163"/>
      <c r="BE2" s="2163"/>
      <c r="BF2" s="2163"/>
      <c r="BG2" s="2163"/>
      <c r="BH2" s="2163"/>
      <c r="BI2" s="2163"/>
      <c r="BJ2" s="2163"/>
      <c r="BK2" s="2163"/>
      <c r="BL2" s="2163"/>
      <c r="BM2" s="2163"/>
      <c r="BN2" s="2163"/>
      <c r="BO2" s="2163"/>
      <c r="BP2" s="2163"/>
      <c r="BQ2" s="2163"/>
      <c r="BR2" s="2163"/>
      <c r="BS2" s="2163"/>
      <c r="BT2" s="2163"/>
      <c r="BU2" s="2163"/>
      <c r="BV2" s="2163"/>
      <c r="BW2" s="2163"/>
      <c r="BX2" s="2163"/>
      <c r="BY2" s="2163"/>
      <c r="BZ2" s="2163"/>
      <c r="CA2" s="2163"/>
      <c r="CB2" s="2163"/>
      <c r="CC2" s="2163"/>
      <c r="CD2" s="2163"/>
      <c r="CE2" s="2163"/>
      <c r="CF2" s="2163"/>
      <c r="CG2" s="2163"/>
      <c r="CH2" s="2163"/>
      <c r="CI2" s="2163"/>
      <c r="CJ2" s="2163"/>
      <c r="CK2" s="2163"/>
      <c r="CL2" s="2163"/>
      <c r="CM2" s="2163"/>
      <c r="CN2" s="2163"/>
      <c r="CO2" s="2163"/>
      <c r="CP2" s="2163"/>
      <c r="CQ2" s="2163"/>
      <c r="CR2" s="2163"/>
      <c r="CS2" s="2163"/>
      <c r="CT2" s="2163"/>
      <c r="CU2" s="2163"/>
      <c r="CV2" s="2163"/>
      <c r="CW2" s="2163"/>
      <c r="CX2" s="2163"/>
      <c r="CY2" s="1989"/>
      <c r="CZ2" s="1989"/>
      <c r="DA2" s="1989"/>
      <c r="DB2" s="1989"/>
      <c r="DC2" s="1989"/>
      <c r="DD2" s="1989"/>
      <c r="DE2" s="1989"/>
      <c r="DF2" s="1989"/>
      <c r="DG2" s="2199"/>
      <c r="DH2" s="2199"/>
      <c r="DI2" s="2199"/>
      <c r="DJ2" s="2199"/>
      <c r="DK2" s="1982"/>
      <c r="DL2" s="1982"/>
      <c r="DM2" s="1989"/>
      <c r="DN2" s="1989"/>
      <c r="DO2" s="1989"/>
      <c r="DP2" s="1989"/>
      <c r="DQ2" s="1989"/>
      <c r="DR2" s="1989"/>
      <c r="DS2" s="1989"/>
      <c r="DT2" s="1989"/>
      <c r="DU2" s="1989"/>
      <c r="DV2" s="1989"/>
      <c r="DW2" s="1989"/>
      <c r="DX2" s="1989"/>
      <c r="DY2" s="1989"/>
      <c r="DZ2" s="1989"/>
    </row>
    <row r="3" spans="1:130">
      <c r="A3" s="87" t="s">
        <v>1113</v>
      </c>
      <c r="B3" s="87"/>
      <c r="C3" s="87"/>
      <c r="D3" s="103"/>
      <c r="E3" s="103"/>
      <c r="F3" s="103"/>
      <c r="G3" s="103"/>
      <c r="H3" s="103"/>
      <c r="I3" s="103"/>
      <c r="J3" s="103"/>
      <c r="K3" s="103"/>
      <c r="L3" s="103"/>
      <c r="M3" s="103"/>
      <c r="N3" s="87"/>
      <c r="O3" s="87"/>
      <c r="P3" s="216"/>
      <c r="Q3" s="216"/>
      <c r="R3" s="276"/>
      <c r="S3" s="276"/>
      <c r="T3" s="276"/>
      <c r="U3" s="1428"/>
      <c r="V3" s="1445"/>
      <c r="W3" s="1445"/>
      <c r="X3" s="3024"/>
      <c r="Y3" s="3024"/>
      <c r="Z3" s="3024"/>
      <c r="AA3" s="3024"/>
      <c r="AB3" s="3024"/>
      <c r="AC3" s="3024"/>
      <c r="AD3" s="3024"/>
      <c r="AE3" s="3024"/>
      <c r="AF3" s="3024"/>
      <c r="AG3" s="3024"/>
      <c r="AH3" s="2195"/>
      <c r="AI3" s="1989"/>
      <c r="AJ3" s="1989"/>
      <c r="AK3" s="1989"/>
      <c r="AL3" s="1989"/>
      <c r="AM3" s="1989"/>
      <c r="AN3" s="1989"/>
      <c r="AO3" s="1989"/>
      <c r="AP3" s="2195"/>
      <c r="AQ3" s="2195"/>
      <c r="AR3" s="2195"/>
      <c r="AS3" s="2195"/>
      <c r="AT3" s="2195"/>
      <c r="AU3" s="2195"/>
      <c r="AV3" s="2195"/>
      <c r="AW3" s="2195"/>
      <c r="AX3" s="2195"/>
      <c r="AY3" s="2195"/>
      <c r="AZ3" s="2195"/>
      <c r="BA3" s="2195"/>
      <c r="BB3" s="2195"/>
      <c r="BC3" s="2195"/>
      <c r="BD3" s="2195"/>
      <c r="BE3" s="2195"/>
      <c r="BF3" s="2195"/>
      <c r="BG3" s="2195"/>
      <c r="BH3" s="2195"/>
      <c r="BI3" s="2195"/>
      <c r="BJ3" s="2195"/>
      <c r="BK3" s="2195"/>
      <c r="BL3" s="2195"/>
      <c r="BM3" s="2195"/>
      <c r="BN3" s="2195"/>
      <c r="BO3" s="2195"/>
      <c r="BP3" s="2195"/>
      <c r="BQ3" s="2195"/>
      <c r="BR3" s="2195"/>
      <c r="BS3" s="2195"/>
      <c r="BT3" s="2195"/>
      <c r="BU3" s="2195"/>
      <c r="BV3" s="2195"/>
      <c r="BW3" s="2195"/>
      <c r="BX3" s="2195"/>
      <c r="BY3" s="2195"/>
      <c r="BZ3" s="2195"/>
      <c r="CA3" s="2195"/>
      <c r="CB3" s="2195"/>
      <c r="CC3" s="2195"/>
      <c r="CD3" s="2195"/>
      <c r="CE3" s="2195"/>
      <c r="CF3" s="2195"/>
      <c r="CG3" s="2195"/>
      <c r="CH3" s="2195"/>
      <c r="CI3" s="2195"/>
      <c r="CJ3" s="2195"/>
      <c r="CK3" s="2195"/>
      <c r="CL3" s="2195"/>
      <c r="CM3" s="2195"/>
      <c r="CN3" s="2195"/>
      <c r="CO3" s="2195"/>
      <c r="CP3" s="2195"/>
      <c r="CQ3" s="2195"/>
      <c r="CR3" s="2195"/>
      <c r="CS3" s="2195"/>
      <c r="CT3" s="2195"/>
      <c r="CU3" s="2195"/>
      <c r="CV3" s="2195"/>
      <c r="CW3" s="2195"/>
      <c r="CX3" s="2195"/>
      <c r="CY3" s="1989"/>
      <c r="CZ3" s="1989"/>
      <c r="DA3" s="1989"/>
      <c r="DB3" s="3024"/>
      <c r="DC3" s="3024"/>
      <c r="DD3" s="3024"/>
      <c r="DE3" s="3024"/>
      <c r="DF3" s="3024"/>
      <c r="DG3" s="3024"/>
      <c r="DH3" s="3024"/>
      <c r="DI3" s="3024"/>
      <c r="DJ3" s="3025"/>
      <c r="DK3" s="1982"/>
      <c r="DL3" s="1982"/>
      <c r="DM3" s="3024"/>
      <c r="DN3" s="3024"/>
      <c r="DO3" s="3024"/>
      <c r="DP3" s="3024"/>
      <c r="DQ3" s="3024"/>
      <c r="DR3" s="3024"/>
      <c r="DS3" s="3024"/>
      <c r="DT3" s="3024"/>
      <c r="DU3" s="3024"/>
      <c r="DV3" s="3024"/>
      <c r="DW3" s="3024"/>
      <c r="DX3" s="3024"/>
      <c r="DY3" s="3024"/>
      <c r="DZ3" s="1989"/>
    </row>
    <row r="4" spans="1:130">
      <c r="A4" s="91"/>
      <c r="B4" s="87"/>
      <c r="C4" s="87"/>
      <c r="D4" s="103"/>
      <c r="E4" s="103"/>
      <c r="F4" s="103"/>
      <c r="G4" s="103"/>
      <c r="H4" s="103"/>
      <c r="I4" s="103"/>
      <c r="J4" s="103"/>
      <c r="K4" s="103"/>
      <c r="L4" s="103"/>
      <c r="M4" s="103"/>
      <c r="N4" s="87"/>
      <c r="O4" s="87"/>
      <c r="P4" s="216"/>
      <c r="Q4" s="344"/>
      <c r="R4" s="344"/>
      <c r="S4" s="216"/>
      <c r="T4" s="216"/>
      <c r="U4" s="1086"/>
      <c r="V4" s="216"/>
      <c r="W4" s="216"/>
      <c r="X4" s="2195"/>
      <c r="Y4" s="2195"/>
      <c r="Z4" s="2195"/>
      <c r="AA4" s="3026"/>
      <c r="AB4" s="2195"/>
      <c r="AC4" s="2195"/>
      <c r="AD4" s="2195"/>
      <c r="AE4" s="2195"/>
      <c r="AF4" s="2195"/>
      <c r="AG4" s="2195"/>
      <c r="AH4" s="2195"/>
      <c r="AI4" s="1989"/>
      <c r="AJ4" s="1989"/>
      <c r="AK4" s="1989"/>
      <c r="AL4" s="1989"/>
      <c r="AM4" s="1989"/>
      <c r="AN4" s="1989"/>
      <c r="AO4" s="1989"/>
      <c r="AP4" s="2195"/>
      <c r="AQ4" s="2195"/>
      <c r="AR4" s="2195"/>
      <c r="AS4" s="2195"/>
      <c r="AT4" s="2195"/>
      <c r="AU4" s="2195"/>
      <c r="AV4" s="2195"/>
      <c r="AW4" s="2195"/>
      <c r="AX4" s="2195"/>
      <c r="AY4" s="2195"/>
      <c r="AZ4" s="2195"/>
      <c r="BA4" s="2195"/>
      <c r="BB4" s="2195"/>
      <c r="BC4" s="2195"/>
      <c r="BD4" s="2195"/>
      <c r="BE4" s="2195"/>
      <c r="BF4" s="2195"/>
      <c r="BG4" s="2195"/>
      <c r="BH4" s="2195"/>
      <c r="BI4" s="2195"/>
      <c r="BJ4" s="2195"/>
      <c r="BK4" s="2195"/>
      <c r="BL4" s="2195"/>
      <c r="BM4" s="2195"/>
      <c r="BN4" s="2195"/>
      <c r="BO4" s="2195"/>
      <c r="BP4" s="2195"/>
      <c r="BQ4" s="2195"/>
      <c r="BR4" s="2195"/>
      <c r="BS4" s="2195"/>
      <c r="BT4" s="2195"/>
      <c r="BU4" s="2195"/>
      <c r="BV4" s="2195"/>
      <c r="BW4" s="2195"/>
      <c r="BX4" s="2195"/>
      <c r="BY4" s="2195"/>
      <c r="BZ4" s="2195"/>
      <c r="CA4" s="2195"/>
      <c r="CB4" s="2195"/>
      <c r="CC4" s="2195"/>
      <c r="CD4" s="2195"/>
      <c r="CE4" s="2195"/>
      <c r="CF4" s="2195"/>
      <c r="CG4" s="2195"/>
      <c r="CH4" s="2195"/>
      <c r="CI4" s="2195"/>
      <c r="CJ4" s="2195"/>
      <c r="CK4" s="2195"/>
      <c r="CL4" s="2195"/>
      <c r="CM4" s="2195"/>
      <c r="CN4" s="2195"/>
      <c r="CO4" s="2195"/>
      <c r="CP4" s="2195"/>
      <c r="CQ4" s="2195"/>
      <c r="CR4" s="2195"/>
      <c r="CS4" s="2195"/>
      <c r="CT4" s="2195"/>
      <c r="CU4" s="2195"/>
      <c r="CV4" s="2195"/>
      <c r="CW4" s="2195"/>
      <c r="CX4" s="3026"/>
      <c r="CY4" s="1989"/>
      <c r="CZ4" s="1989"/>
      <c r="DA4" s="1989"/>
      <c r="DB4" s="1989"/>
      <c r="DC4" s="1989"/>
      <c r="DD4" s="1989"/>
      <c r="DE4" s="1989"/>
      <c r="DF4" s="1989"/>
      <c r="DG4" s="2199"/>
      <c r="DH4" s="2199"/>
      <c r="DI4" s="2199"/>
      <c r="DJ4" s="2199"/>
      <c r="DK4" s="1982"/>
      <c r="DL4" s="1982"/>
      <c r="DM4" s="1989"/>
      <c r="DN4" s="1989"/>
      <c r="DO4" s="1989"/>
      <c r="DP4" s="1989"/>
      <c r="DQ4" s="1989"/>
      <c r="DR4" s="1989"/>
      <c r="DS4" s="1989"/>
      <c r="DT4" s="1989"/>
      <c r="DU4" s="1989"/>
      <c r="DV4" s="1989"/>
      <c r="DW4" s="1989"/>
      <c r="DX4" s="1989"/>
      <c r="DY4" s="1989"/>
      <c r="DZ4" s="1989"/>
    </row>
    <row r="5" spans="1:130">
      <c r="A5" s="2189"/>
      <c r="B5" s="87"/>
      <c r="C5" s="87"/>
      <c r="D5" s="117" t="s">
        <v>1114</v>
      </c>
      <c r="E5" s="117" t="s">
        <v>1114</v>
      </c>
      <c r="F5" s="117" t="s">
        <v>1114</v>
      </c>
      <c r="G5" s="117" t="s">
        <v>1114</v>
      </c>
      <c r="H5" s="117" t="s">
        <v>1114</v>
      </c>
      <c r="I5" s="117" t="s">
        <v>1114</v>
      </c>
      <c r="J5" s="117" t="s">
        <v>1114</v>
      </c>
      <c r="K5" s="117" t="s">
        <v>1114</v>
      </c>
      <c r="L5" s="117" t="s">
        <v>1114</v>
      </c>
      <c r="M5" s="117" t="s">
        <v>1114</v>
      </c>
      <c r="N5" s="87"/>
      <c r="O5" s="87"/>
      <c r="P5" s="216"/>
      <c r="Q5" s="344"/>
      <c r="R5" s="344"/>
      <c r="S5" s="216"/>
      <c r="T5" s="345"/>
      <c r="U5" s="345"/>
      <c r="V5" s="125" t="s">
        <v>1211</v>
      </c>
      <c r="W5" s="2193"/>
      <c r="X5" s="2190"/>
      <c r="Y5" s="2195"/>
      <c r="Z5" s="2195"/>
      <c r="AA5" s="2195"/>
      <c r="AB5" s="2195"/>
      <c r="AC5" s="2195"/>
      <c r="AD5" s="2195"/>
      <c r="AE5" s="2195"/>
      <c r="AF5" s="2195"/>
      <c r="AG5" s="2195"/>
      <c r="AH5" s="2196"/>
      <c r="AI5" s="2197"/>
      <c r="AJ5" s="2197"/>
      <c r="AK5" s="2197"/>
      <c r="AL5" s="2197"/>
      <c r="AM5" s="2197"/>
      <c r="AN5" s="2197"/>
      <c r="AO5" s="2197"/>
      <c r="AP5" s="2198"/>
      <c r="AQ5" s="2198"/>
      <c r="AR5" s="2198"/>
      <c r="AS5" s="2198"/>
      <c r="AT5" s="2198"/>
      <c r="AU5" s="2198"/>
      <c r="AV5" s="2198"/>
      <c r="AW5" s="2198"/>
      <c r="AX5" s="2198"/>
      <c r="AY5" s="2198"/>
      <c r="AZ5" s="2198"/>
      <c r="BA5" s="2198"/>
      <c r="BB5" s="2198"/>
      <c r="BC5" s="2198"/>
      <c r="BD5" s="2198"/>
      <c r="BE5" s="2198"/>
      <c r="BF5" s="2198"/>
      <c r="BG5" s="2198"/>
      <c r="BH5" s="2198"/>
      <c r="BI5" s="2198"/>
      <c r="BJ5" s="2198"/>
      <c r="BK5" s="2198"/>
      <c r="BL5" s="2198"/>
      <c r="BM5" s="2198"/>
      <c r="BN5" s="2198"/>
      <c r="BO5" s="2198"/>
      <c r="BP5" s="2198"/>
      <c r="BQ5" s="2198"/>
      <c r="BR5" s="2198"/>
      <c r="BS5" s="2198"/>
      <c r="BT5" s="2198"/>
      <c r="BU5" s="2198"/>
      <c r="BV5" s="2198"/>
      <c r="BW5" s="2198"/>
      <c r="BX5" s="2198"/>
      <c r="BY5" s="2198"/>
      <c r="BZ5" s="2198"/>
      <c r="CA5" s="2198"/>
      <c r="CB5" s="2198"/>
      <c r="CC5" s="2198"/>
      <c r="CD5" s="2198"/>
      <c r="CE5" s="2198"/>
      <c r="CF5" s="2198"/>
      <c r="CG5" s="2198"/>
      <c r="CH5" s="2198"/>
      <c r="CI5" s="2198"/>
      <c r="CJ5" s="2198"/>
      <c r="CK5" s="2198"/>
      <c r="CL5" s="2198"/>
      <c r="CM5" s="2198"/>
      <c r="CN5" s="2198"/>
      <c r="CO5" s="2198"/>
      <c r="CP5" s="2198"/>
      <c r="CQ5" s="2198"/>
      <c r="CR5" s="2198"/>
      <c r="CS5" s="2198"/>
      <c r="CT5" s="2198"/>
      <c r="CU5" s="2198"/>
      <c r="CV5" s="2198"/>
      <c r="CW5" s="2198"/>
      <c r="CX5" s="2198"/>
      <c r="CY5" s="2197"/>
      <c r="CZ5" s="2197"/>
      <c r="DA5" s="2197"/>
      <c r="DB5" s="2197"/>
      <c r="DC5" s="2197"/>
      <c r="DD5" s="2197"/>
      <c r="DE5" s="2197"/>
      <c r="DF5" s="2193" t="s">
        <v>1211</v>
      </c>
      <c r="DG5" s="2193"/>
      <c r="DH5" s="2193"/>
      <c r="DI5" s="2193"/>
      <c r="DJ5" s="2199"/>
      <c r="DK5" s="2199"/>
      <c r="DL5" s="2199"/>
      <c r="DM5" s="2190"/>
      <c r="DN5" s="2190"/>
      <c r="DO5" s="2190"/>
      <c r="DP5" s="2190"/>
      <c r="DQ5" s="2190"/>
      <c r="DR5" s="2190"/>
      <c r="DS5" s="2190"/>
      <c r="DT5" s="2190"/>
      <c r="DU5" s="2190"/>
      <c r="DV5" s="2190"/>
      <c r="DW5" s="2190"/>
      <c r="DX5" s="2190"/>
      <c r="DY5" s="2190"/>
      <c r="DZ5" s="1989"/>
    </row>
    <row r="6" spans="1:130">
      <c r="A6" s="1447" t="s">
        <v>1497</v>
      </c>
      <c r="B6" s="346"/>
      <c r="C6" s="346"/>
      <c r="D6" s="231">
        <v>1996</v>
      </c>
      <c r="E6" s="231">
        <v>1997</v>
      </c>
      <c r="F6" s="231">
        <v>1998</v>
      </c>
      <c r="G6" s="231">
        <v>1999</v>
      </c>
      <c r="H6" s="231">
        <v>2000</v>
      </c>
      <c r="I6" s="231">
        <v>2001</v>
      </c>
      <c r="J6" s="231">
        <v>2002</v>
      </c>
      <c r="K6" s="231">
        <v>2003</v>
      </c>
      <c r="L6" s="231">
        <v>2004</v>
      </c>
      <c r="M6" s="231">
        <v>2005</v>
      </c>
      <c r="N6" s="231">
        <f>IS!N5</f>
        <v>2006</v>
      </c>
      <c r="O6" s="231">
        <f>IS!O5</f>
        <v>2007</v>
      </c>
      <c r="P6" s="231">
        <f>IS!P5</f>
        <v>2008</v>
      </c>
      <c r="Q6" s="231">
        <f>IS!Q5</f>
        <v>2009</v>
      </c>
      <c r="R6" s="231">
        <f>IS!R5</f>
        <v>2010</v>
      </c>
      <c r="S6" s="232">
        <f>IS!S5</f>
        <v>2011</v>
      </c>
      <c r="T6" s="231">
        <f>IS!T5</f>
        <v>2012</v>
      </c>
      <c r="U6" s="232">
        <f>IS!U5</f>
        <v>2013</v>
      </c>
      <c r="V6" s="232" t="str">
        <f>IS!V5</f>
        <v>2014</v>
      </c>
      <c r="W6" s="232" t="str">
        <f>IS!W5</f>
        <v>2015</v>
      </c>
      <c r="X6" s="231" t="str">
        <f>IS!X5</f>
        <v>2016</v>
      </c>
      <c r="Y6" s="231" t="str">
        <f>IS!Y5</f>
        <v>2017</v>
      </c>
      <c r="Z6" s="231" t="str">
        <f>IS!Z5</f>
        <v>2018E</v>
      </c>
      <c r="AA6" s="231" t="str">
        <f>IS!AA5</f>
        <v>2019E</v>
      </c>
      <c r="AB6" s="231" t="str">
        <f>IS!AB5</f>
        <v>2020E</v>
      </c>
      <c r="AC6" s="231" t="str">
        <f>IS!AC5</f>
        <v>2021E</v>
      </c>
      <c r="AD6" s="231" t="str">
        <f>IS!AD5</f>
        <v>2022E</v>
      </c>
      <c r="AE6" s="231" t="str">
        <f>IS!AE5</f>
        <v>2023E</v>
      </c>
      <c r="AF6" s="231" t="str">
        <f>IS!AF5</f>
        <v>2024E</v>
      </c>
      <c r="AG6" s="231" t="str">
        <f>IS!AG5</f>
        <v>2025E</v>
      </c>
      <c r="AH6" s="1234"/>
      <c r="AI6" s="346"/>
      <c r="AJ6" s="346"/>
      <c r="AK6" s="346"/>
      <c r="AL6" s="346"/>
      <c r="AM6" s="346"/>
      <c r="AN6" s="346"/>
      <c r="AO6" s="346"/>
      <c r="AP6" s="231" t="s">
        <v>902</v>
      </c>
      <c r="AQ6" s="231" t="s">
        <v>903</v>
      </c>
      <c r="AR6" s="231" t="s">
        <v>904</v>
      </c>
      <c r="AS6" s="231" t="s">
        <v>905</v>
      </c>
      <c r="AT6" s="231" t="s">
        <v>906</v>
      </c>
      <c r="AU6" s="231" t="s">
        <v>907</v>
      </c>
      <c r="AV6" s="231" t="s">
        <v>908</v>
      </c>
      <c r="AW6" s="231" t="s">
        <v>909</v>
      </c>
      <c r="AX6" s="231" t="s">
        <v>910</v>
      </c>
      <c r="AY6" s="231" t="s">
        <v>911</v>
      </c>
      <c r="AZ6" s="231" t="s">
        <v>912</v>
      </c>
      <c r="BA6" s="231" t="s">
        <v>913</v>
      </c>
      <c r="BB6" s="231" t="s">
        <v>914</v>
      </c>
      <c r="BC6" s="231" t="s">
        <v>915</v>
      </c>
      <c r="BD6" s="231" t="s">
        <v>916</v>
      </c>
      <c r="BE6" s="231" t="s">
        <v>917</v>
      </c>
      <c r="BF6" s="231" t="s">
        <v>918</v>
      </c>
      <c r="BG6" s="231" t="s">
        <v>919</v>
      </c>
      <c r="BH6" s="231" t="s">
        <v>920</v>
      </c>
      <c r="BI6" s="231" t="s">
        <v>921</v>
      </c>
      <c r="BJ6" s="231" t="s">
        <v>922</v>
      </c>
      <c r="BK6" s="231" t="s">
        <v>923</v>
      </c>
      <c r="BL6" s="231" t="s">
        <v>924</v>
      </c>
      <c r="BM6" s="231" t="s">
        <v>925</v>
      </c>
      <c r="BN6" s="347" t="s">
        <v>926</v>
      </c>
      <c r="BO6" s="127" t="s">
        <v>927</v>
      </c>
      <c r="BP6" s="127" t="s">
        <v>928</v>
      </c>
      <c r="BQ6" s="127" t="s">
        <v>929</v>
      </c>
      <c r="BR6" s="347" t="s">
        <v>930</v>
      </c>
      <c r="BS6" s="127" t="s">
        <v>931</v>
      </c>
      <c r="BT6" s="127" t="s">
        <v>932</v>
      </c>
      <c r="BU6" s="127" t="s">
        <v>933</v>
      </c>
      <c r="BV6" s="347" t="s">
        <v>934</v>
      </c>
      <c r="BW6" s="231" t="s">
        <v>935</v>
      </c>
      <c r="BX6" s="231" t="s">
        <v>936</v>
      </c>
      <c r="BY6" s="231" t="s">
        <v>937</v>
      </c>
      <c r="BZ6" s="234" t="str">
        <f>IS!BW5</f>
        <v>1Q06</v>
      </c>
      <c r="CA6" s="231" t="str">
        <f>IS!BX5</f>
        <v>2Q06</v>
      </c>
      <c r="CB6" s="231" t="str">
        <f>IS!BY5</f>
        <v>3Q06</v>
      </c>
      <c r="CC6" s="231" t="str">
        <f>IS!BZ5</f>
        <v>4Q06</v>
      </c>
      <c r="CD6" s="234" t="str">
        <f>IS!CA5</f>
        <v>1Q07</v>
      </c>
      <c r="CE6" s="231" t="str">
        <f>IS!CB5</f>
        <v>2Q07</v>
      </c>
      <c r="CF6" s="231" t="str">
        <f>IS!CC5</f>
        <v>3Q07</v>
      </c>
      <c r="CG6" s="231" t="str">
        <f>IS!CD5</f>
        <v>4Q07</v>
      </c>
      <c r="CH6" s="234" t="str">
        <f>IS!CE5</f>
        <v>1Q08</v>
      </c>
      <c r="CI6" s="231" t="str">
        <f>IS!CF5</f>
        <v>2Q08</v>
      </c>
      <c r="CJ6" s="231" t="str">
        <f>IS!CG5</f>
        <v>3Q08</v>
      </c>
      <c r="CK6" s="231" t="str">
        <f>IS!CH5</f>
        <v>4Q08</v>
      </c>
      <c r="CL6" s="234" t="str">
        <f>IS!CI5</f>
        <v>1Q09</v>
      </c>
      <c r="CM6" s="231" t="str">
        <f>IS!CJ5</f>
        <v>2Q09</v>
      </c>
      <c r="CN6" s="231" t="str">
        <f>IS!CK5</f>
        <v>3Q09</v>
      </c>
      <c r="CO6" s="231" t="str">
        <f>IS!CL5</f>
        <v>4Q09</v>
      </c>
      <c r="CP6" s="234" t="str">
        <f>IS!CM5</f>
        <v>1Q10</v>
      </c>
      <c r="CQ6" s="231" t="str">
        <f>IS!CN5</f>
        <v>2Q10</v>
      </c>
      <c r="CR6" s="231" t="str">
        <f>IS!CO5</f>
        <v>3Q10</v>
      </c>
      <c r="CS6" s="231" t="str">
        <f>IS!CP5</f>
        <v>4Q10</v>
      </c>
      <c r="CT6" s="234" t="str">
        <f>IS!CQ5</f>
        <v>1Q11</v>
      </c>
      <c r="CU6" s="231" t="str">
        <f>IS!CR5</f>
        <v>2Q11</v>
      </c>
      <c r="CV6" s="231" t="str">
        <f>IS!CS5</f>
        <v>3Q11</v>
      </c>
      <c r="CW6" s="232" t="str">
        <f>IS!CT5</f>
        <v>4Q11</v>
      </c>
      <c r="CX6" s="231" t="str">
        <f>IS!CU5</f>
        <v>1Q12</v>
      </c>
      <c r="CY6" s="231" t="str">
        <f>IS!CV5</f>
        <v>2Q12</v>
      </c>
      <c r="CZ6" s="231" t="str">
        <f>IS!CW5</f>
        <v>3Q12</v>
      </c>
      <c r="DA6" s="231" t="str">
        <f>IS!CX5</f>
        <v>4Q12</v>
      </c>
      <c r="DB6" s="234" t="str">
        <f>IS!CY5</f>
        <v>1Q13</v>
      </c>
      <c r="DC6" s="231" t="str">
        <f>IS!CZ5</f>
        <v>2Q13</v>
      </c>
      <c r="DD6" s="231" t="str">
        <f>IS!DA5</f>
        <v>3Q13</v>
      </c>
      <c r="DE6" s="231" t="str">
        <f>IS!DB5</f>
        <v>4Q13</v>
      </c>
      <c r="DF6" s="234" t="str">
        <f>IS!DC5</f>
        <v>1Q14</v>
      </c>
      <c r="DG6" s="1552" t="str">
        <f>IS!DD5</f>
        <v>2Q14</v>
      </c>
      <c r="DH6" s="1552" t="str">
        <f>IS!DE5</f>
        <v>3Q14</v>
      </c>
      <c r="DI6" s="1552" t="str">
        <f>IS!DF5</f>
        <v>4Q14</v>
      </c>
      <c r="DJ6" s="1808" t="str">
        <f>IS!DG5</f>
        <v>1Q15</v>
      </c>
      <c r="DK6" s="1552" t="str">
        <f>IS!DH5</f>
        <v>2Q15</v>
      </c>
      <c r="DL6" s="1552" t="str">
        <f>IS!DI5</f>
        <v>3Q15</v>
      </c>
      <c r="DM6" s="232" t="str">
        <f>IS!DJ5</f>
        <v>4Q15</v>
      </c>
      <c r="DN6" s="232" t="str">
        <f>IS!DK5</f>
        <v>1Q16</v>
      </c>
      <c r="DO6" s="232" t="str">
        <f>IS!DL5</f>
        <v>2Q16</v>
      </c>
      <c r="DP6" s="232" t="str">
        <f>IS!DM5</f>
        <v>3Q16</v>
      </c>
      <c r="DQ6" s="232" t="str">
        <f>IS!DN5</f>
        <v>4Q16</v>
      </c>
      <c r="DR6" s="232" t="str">
        <f>IS!DO5</f>
        <v>1Q17</v>
      </c>
      <c r="DS6" s="232" t="str">
        <f>IS!DP5</f>
        <v>2Q17</v>
      </c>
      <c r="DT6" s="232" t="str">
        <f>IS!DQ5</f>
        <v>3Q17</v>
      </c>
      <c r="DU6" s="232" t="str">
        <f>IS!DR5</f>
        <v>4Q17</v>
      </c>
      <c r="DV6" s="232" t="str">
        <f>IS!DS5</f>
        <v>1Q18</v>
      </c>
      <c r="DW6" s="232" t="str">
        <f>IS!DT5</f>
        <v>2Q18E</v>
      </c>
      <c r="DX6" s="232" t="str">
        <f>IS!DU5</f>
        <v>3Q18E</v>
      </c>
      <c r="DY6" s="232" t="str">
        <f>IS!DV5</f>
        <v>4Q18E</v>
      </c>
      <c r="DZ6" s="87"/>
    </row>
    <row r="7" spans="1:130" hidden="1" outlineLevel="1">
      <c r="A7" s="188" t="s">
        <v>1212</v>
      </c>
      <c r="B7" s="188"/>
      <c r="C7" s="188"/>
      <c r="D7" s="130"/>
      <c r="E7" s="130">
        <v>2.38</v>
      </c>
      <c r="F7" s="130">
        <v>2.67</v>
      </c>
      <c r="G7" s="130">
        <v>2.84</v>
      </c>
      <c r="H7" s="130">
        <v>2.91</v>
      </c>
      <c r="I7" s="130">
        <v>3</v>
      </c>
      <c r="J7" s="130">
        <v>3.06</v>
      </c>
      <c r="K7" s="130">
        <v>2.59</v>
      </c>
      <c r="L7" s="130">
        <v>2.4900000000000002</v>
      </c>
      <c r="M7" s="130">
        <v>1</v>
      </c>
      <c r="N7" s="130">
        <f>IS!N6</f>
        <v>2.61</v>
      </c>
      <c r="O7" s="130">
        <f>IS!O6</f>
        <v>2.3866533099135196</v>
      </c>
      <c r="P7" s="130">
        <f>IS!P6</f>
        <v>2.538231328484017</v>
      </c>
      <c r="Q7" s="130">
        <f>IS!Q6</f>
        <v>1.9136349876803944</v>
      </c>
      <c r="R7" s="130">
        <f>IS!R6</f>
        <v>2.0773481954809991</v>
      </c>
      <c r="S7" s="132">
        <f>IS!S6</f>
        <v>2.1540899052696991</v>
      </c>
      <c r="T7" s="130">
        <f>IS!T6</f>
        <v>2.2251970649895183</v>
      </c>
      <c r="U7" s="1036">
        <f>IS!U6</f>
        <v>2.8220215727209466</v>
      </c>
      <c r="V7" s="130">
        <f>IS!V6</f>
        <v>3.4132820851600503</v>
      </c>
      <c r="W7" s="130">
        <f>IS!W6</f>
        <v>3.4502992549163305</v>
      </c>
      <c r="X7" s="130">
        <f>IS!X6</f>
        <v>3.7416043566052744</v>
      </c>
      <c r="Y7" s="130">
        <f>IS!Y6</f>
        <v>3.7374602397846832</v>
      </c>
      <c r="Z7" s="130">
        <f ca="1">IS!Z6</f>
        <v>4.5447318949672786</v>
      </c>
      <c r="AA7" s="130">
        <f ca="1">IS!AA6</f>
        <v>4.7340805279717273</v>
      </c>
      <c r="AB7" s="130">
        <f ca="1">IS!AB6</f>
        <v>4.949467505016357</v>
      </c>
      <c r="AC7" s="130">
        <f ca="1">IS!AC6</f>
        <v>5.1589882052989253</v>
      </c>
      <c r="AD7" s="130">
        <f ca="1">IS!AD6</f>
        <v>5.3885502047206435</v>
      </c>
      <c r="AE7" s="130">
        <f ca="1">IS!AE6</f>
        <v>5.6328247202620876</v>
      </c>
      <c r="AF7" s="130">
        <f ca="1">IS!AF6</f>
        <v>5.8930980122776537</v>
      </c>
      <c r="AG7" s="130">
        <f ca="1">IS!AG6</f>
        <v>6.1637765370324686</v>
      </c>
      <c r="AH7" s="1262"/>
      <c r="AI7" s="188"/>
      <c r="AJ7" s="188"/>
      <c r="AK7" s="188"/>
      <c r="AL7" s="188"/>
      <c r="AM7" s="188"/>
      <c r="AN7" s="188"/>
      <c r="AO7" s="188"/>
      <c r="AP7" s="130">
        <v>0.57999999999999996</v>
      </c>
      <c r="AQ7" s="130">
        <v>0.59</v>
      </c>
      <c r="AR7" s="130">
        <v>0.64</v>
      </c>
      <c r="AS7" s="130">
        <v>0.56999999999999995</v>
      </c>
      <c r="AT7" s="130">
        <v>0.63</v>
      </c>
      <c r="AU7" s="130">
        <v>0.63</v>
      </c>
      <c r="AV7" s="130">
        <v>0.7</v>
      </c>
      <c r="AW7" s="130">
        <v>0.72</v>
      </c>
      <c r="AX7" s="130">
        <v>0.7</v>
      </c>
      <c r="AY7" s="130">
        <v>0.67</v>
      </c>
      <c r="AZ7" s="130">
        <v>0.72</v>
      </c>
      <c r="BA7" s="130">
        <v>0.75</v>
      </c>
      <c r="BB7" s="130">
        <v>0.69</v>
      </c>
      <c r="BC7" s="130">
        <v>0.72</v>
      </c>
      <c r="BD7" s="130">
        <v>0.73</v>
      </c>
      <c r="BE7" s="130">
        <v>0.77</v>
      </c>
      <c r="BF7" s="130">
        <v>0.72</v>
      </c>
      <c r="BG7" s="130">
        <v>0.77</v>
      </c>
      <c r="BH7" s="130">
        <v>0.75</v>
      </c>
      <c r="BI7" s="130">
        <v>0.77</v>
      </c>
      <c r="BJ7" s="130"/>
      <c r="BK7" s="130"/>
      <c r="BL7" s="130"/>
      <c r="BM7" s="130"/>
      <c r="BN7" s="131"/>
      <c r="BO7" s="130"/>
      <c r="BP7" s="130"/>
      <c r="BQ7" s="130"/>
      <c r="BR7" s="131">
        <v>0.57428872497365646</v>
      </c>
      <c r="BS7" s="130">
        <v>0.63161609033168664</v>
      </c>
      <c r="BT7" s="130">
        <v>0.64290780141843973</v>
      </c>
      <c r="BU7" s="130">
        <v>0.6415161176053843</v>
      </c>
      <c r="BV7" s="131">
        <v>0.60262318326834452</v>
      </c>
      <c r="BW7" s="130">
        <v>0.61653068463994321</v>
      </c>
      <c r="BX7" s="130">
        <v>0.6340078097266596</v>
      </c>
      <c r="BY7" s="130">
        <v>0.61079545454545459</v>
      </c>
      <c r="BZ7" s="131">
        <f>IS!BW6</f>
        <v>0.67530600364649018</v>
      </c>
      <c r="CA7" s="130">
        <f>IS!BX6</f>
        <v>0.63953882672092233</v>
      </c>
      <c r="CB7" s="130">
        <f>IS!BY6</f>
        <v>0.68114950393431406</v>
      </c>
      <c r="CC7" s="130">
        <f>IS!BZ6</f>
        <v>0.61870503597122306</v>
      </c>
      <c r="CD7" s="131">
        <f>IS!CA6</f>
        <v>0.55994503607007906</v>
      </c>
      <c r="CE7" s="130">
        <f>IS!CB6</f>
        <v>0.58479532163742687</v>
      </c>
      <c r="CF7" s="130">
        <f>IS!CC6</f>
        <v>0.62551724137931031</v>
      </c>
      <c r="CG7" s="130">
        <f>IS!CD6</f>
        <v>0.61639571082670352</v>
      </c>
      <c r="CH7" s="131">
        <f>IS!CE6</f>
        <v>0.60767888307155327</v>
      </c>
      <c r="CI7" s="130">
        <f>IS!CF6</f>
        <v>0.66783584707120314</v>
      </c>
      <c r="CJ7" s="130">
        <f>IS!CG6</f>
        <v>0.65553602811950795</v>
      </c>
      <c r="CK7" s="130">
        <f>IS!CH6</f>
        <v>0.60718057022175287</v>
      </c>
      <c r="CL7" s="131">
        <f>IS!CI6</f>
        <v>0.47437486800422379</v>
      </c>
      <c r="CM7" s="130">
        <f>IS!CJ6</f>
        <v>0.51500422386483635</v>
      </c>
      <c r="CN7" s="130">
        <f>IS!CK6</f>
        <v>0.48104963041182691</v>
      </c>
      <c r="CO7" s="130">
        <f>IS!CL6</f>
        <v>0.44320626539950719</v>
      </c>
      <c r="CP7" s="131">
        <f>IS!CM6</f>
        <v>0.47732157968970379</v>
      </c>
      <c r="CQ7" s="130">
        <f>IS!CN6</f>
        <v>0.51364803678811444</v>
      </c>
      <c r="CR7" s="130">
        <f>IS!CO6</f>
        <v>0.54674690703428763</v>
      </c>
      <c r="CS7" s="130">
        <f>IS!CP6</f>
        <v>0.53963167196889361</v>
      </c>
      <c r="CT7" s="131">
        <f>IS!CQ6</f>
        <v>0.50918727915194351</v>
      </c>
      <c r="CU7" s="130">
        <f>IS!CR6</f>
        <v>0.5692090395480226</v>
      </c>
      <c r="CV7" s="130">
        <f>IS!CS6</f>
        <v>0.55881792519407203</v>
      </c>
      <c r="CW7" s="132">
        <f>IS!CT6</f>
        <v>0.51687566137566132</v>
      </c>
      <c r="CX7" s="130">
        <f>IS!CU6</f>
        <v>0.59301860301860299</v>
      </c>
      <c r="CY7" s="130">
        <f>IS!CV6</f>
        <v>0.63033939818054585</v>
      </c>
      <c r="CZ7" s="130">
        <f>IS!CW6</f>
        <v>0.6364312630844382</v>
      </c>
      <c r="DA7" s="130">
        <f>IS!CX6</f>
        <v>0.37228581411600281</v>
      </c>
      <c r="DB7" s="131">
        <f>IS!CY6</f>
        <v>0.67757660167130918</v>
      </c>
      <c r="DC7" s="130">
        <f>IS!CZ6</f>
        <v>0.72865250696378836</v>
      </c>
      <c r="DD7" s="130">
        <f>IS!DA6</f>
        <v>0.76658315935977728</v>
      </c>
      <c r="DE7" s="130">
        <f>IS!DB6</f>
        <v>0.64996173913043476</v>
      </c>
      <c r="DF7" s="131">
        <f>IS!DC6</f>
        <v>0.91084337349397593</v>
      </c>
      <c r="DG7" s="1036">
        <f>IS!DD6</f>
        <v>0.90769564170479167</v>
      </c>
      <c r="DH7" s="1036">
        <f>IS!DE6</f>
        <v>0.88843471988458766</v>
      </c>
      <c r="DI7" s="1036">
        <f>IS!DF6</f>
        <v>0.71300938176569639</v>
      </c>
      <c r="DJ7" s="131">
        <f>IS!DG6</f>
        <v>0.88910458626546951</v>
      </c>
      <c r="DK7" s="1036">
        <f>IS!DH6</f>
        <v>0.90183598531211751</v>
      </c>
      <c r="DL7" s="1036">
        <f>IS!DI6</f>
        <v>0.91012770137524557</v>
      </c>
      <c r="DM7" s="132">
        <f>IS!DJ6</f>
        <v>0.7531305201177626</v>
      </c>
      <c r="DN7" s="132">
        <f>IS!DK6</f>
        <v>0.93005140758873939</v>
      </c>
      <c r="DO7" s="132">
        <f>IS!DL6</f>
        <v>0.94394124847001226</v>
      </c>
      <c r="DP7" s="132">
        <f>IS!DM6</f>
        <v>1.0088105726872247</v>
      </c>
      <c r="DQ7" s="132">
        <f>IS!DN6</f>
        <v>0.85882065084413994</v>
      </c>
      <c r="DR7" s="132">
        <f>IS!DO6</f>
        <v>0.94519207242476144</v>
      </c>
      <c r="DS7" s="132">
        <f>IS!DP6</f>
        <v>0.95639392454679084</v>
      </c>
      <c r="DT7" s="132">
        <f>IS!DQ6</f>
        <v>0.97676693568109563</v>
      </c>
      <c r="DU7" s="132">
        <f>IS!DR6</f>
        <v>0.85916870415647917</v>
      </c>
      <c r="DV7" s="132">
        <f>IS!DS6</f>
        <v>1.1714146579011444</v>
      </c>
      <c r="DW7" s="132">
        <f ca="1">IS!DT6</f>
        <v>1.1606189746252034</v>
      </c>
      <c r="DX7" s="132">
        <f ca="1">IS!DU6</f>
        <v>1.2111746666504053</v>
      </c>
      <c r="DY7" s="132">
        <f ca="1">IS!DV6</f>
        <v>1.0018026868648913</v>
      </c>
      <c r="DZ7" s="107"/>
    </row>
    <row r="8" spans="1:130" hidden="1" outlineLevel="1">
      <c r="A8" s="133" t="s">
        <v>1213</v>
      </c>
      <c r="B8" s="349"/>
      <c r="C8" s="349"/>
      <c r="D8" s="350"/>
      <c r="E8" s="350"/>
      <c r="F8" s="351">
        <v>0.12184873949579833</v>
      </c>
      <c r="G8" s="351">
        <v>6.367041198501866E-2</v>
      </c>
      <c r="H8" s="351">
        <v>2.4647887323943518E-2</v>
      </c>
      <c r="I8" s="351">
        <v>3.0927835051546504E-2</v>
      </c>
      <c r="J8" s="239">
        <v>1.9999999999999796E-2</v>
      </c>
      <c r="K8" s="239">
        <v>-0.15359477124182996</v>
      </c>
      <c r="L8" s="239">
        <v>-3.8610038610038422E-2</v>
      </c>
      <c r="M8" s="239">
        <v>-0.59839357429718887</v>
      </c>
      <c r="N8" s="239">
        <f>IS!N7</f>
        <v>1.6099999999999999</v>
      </c>
      <c r="O8" s="239">
        <f>IS!O7</f>
        <v>-8.5573444477578642E-2</v>
      </c>
      <c r="P8" s="239">
        <f>IS!P7</f>
        <v>6.3510698408052235E-2</v>
      </c>
      <c r="Q8" s="239" t="str">
        <f>IS!Q7</f>
        <v>na</v>
      </c>
      <c r="R8" s="239">
        <f>IS!R7</f>
        <v>8.5550906444832986E-2</v>
      </c>
      <c r="S8" s="242">
        <f>IS!S7</f>
        <v>3.6942150553114672E-2</v>
      </c>
      <c r="T8" s="239">
        <f>IS!T7</f>
        <v>3.3010302655364976E-2</v>
      </c>
      <c r="U8" s="239">
        <f>IS!U7</f>
        <v>0.26821197866996083</v>
      </c>
      <c r="V8" s="239">
        <f>IS!V7</f>
        <v>0.20951665223062776</v>
      </c>
      <c r="W8" s="239">
        <f>IS!W7</f>
        <v>1.0845036780645856E-2</v>
      </c>
      <c r="X8" s="239">
        <f>IS!X7</f>
        <v>8.4428937946140037E-2</v>
      </c>
      <c r="Y8" s="239">
        <f>IS!Y7</f>
        <v>-1.1075775056962334E-3</v>
      </c>
      <c r="Z8" s="239">
        <f ca="1">IS!Z7</f>
        <v>0.21599471389402725</v>
      </c>
      <c r="AA8" s="239">
        <f ca="1">IS!AA7</f>
        <v>4.1663323025529442E-2</v>
      </c>
      <c r="AB8" s="239">
        <f ca="1">IS!AB7</f>
        <v>4.5497108841304534E-2</v>
      </c>
      <c r="AC8" s="239">
        <f ca="1">IS!AC7</f>
        <v>4.2331968049131863E-2</v>
      </c>
      <c r="AD8" s="239">
        <f ca="1">IS!AD7</f>
        <v>4.4497484833543322E-2</v>
      </c>
      <c r="AE8" s="239">
        <f ca="1">IS!AE7</f>
        <v>4.5332140605732318E-2</v>
      </c>
      <c r="AF8" s="239">
        <f ca="1">IS!AF7</f>
        <v>4.6206531348175206E-2</v>
      </c>
      <c r="AG8" s="239">
        <f ca="1">IS!AG7</f>
        <v>4.593144797369475E-2</v>
      </c>
      <c r="AH8" s="1235"/>
      <c r="AI8" s="349"/>
      <c r="AJ8" s="349"/>
      <c r="AK8" s="349"/>
      <c r="AL8" s="349"/>
      <c r="AM8" s="349"/>
      <c r="AN8" s="349"/>
      <c r="AO8" s="349"/>
      <c r="AP8" s="350"/>
      <c r="AQ8" s="350"/>
      <c r="AR8" s="350"/>
      <c r="AS8" s="350"/>
      <c r="AT8" s="350">
        <v>8.6206896551724199E-2</v>
      </c>
      <c r="AU8" s="350">
        <v>6.7796610169491567E-2</v>
      </c>
      <c r="AV8" s="350">
        <v>9.375E-2</v>
      </c>
      <c r="AW8" s="350">
        <v>0.26315789473684226</v>
      </c>
      <c r="AX8" s="351">
        <v>0.11111111111111094</v>
      </c>
      <c r="AY8" s="351">
        <v>6.3492063492063489E-2</v>
      </c>
      <c r="AZ8" s="351">
        <v>2.8571428571428692E-2</v>
      </c>
      <c r="BA8" s="351">
        <v>4.1666666666666741E-2</v>
      </c>
      <c r="BB8" s="351">
        <v>-1.4285714285714346E-2</v>
      </c>
      <c r="BC8" s="351">
        <v>7.4626865671641784E-2</v>
      </c>
      <c r="BD8" s="351">
        <v>1.388888888888884E-2</v>
      </c>
      <c r="BE8" s="351">
        <v>2.6666666666666616E-2</v>
      </c>
      <c r="BF8" s="351">
        <v>4.3478260869565188E-2</v>
      </c>
      <c r="BG8" s="351">
        <v>6.944444444444442E-2</v>
      </c>
      <c r="BH8" s="351">
        <v>2.7397260273972712E-2</v>
      </c>
      <c r="BI8" s="351">
        <v>0</v>
      </c>
      <c r="BJ8" s="351"/>
      <c r="BK8" s="351"/>
      <c r="BL8" s="351"/>
      <c r="BM8" s="351"/>
      <c r="BN8" s="241"/>
      <c r="BO8" s="239"/>
      <c r="BP8" s="239"/>
      <c r="BQ8" s="239"/>
      <c r="BR8" s="241">
        <v>-0.15545775739168177</v>
      </c>
      <c r="BS8" s="239">
        <v>-5.7289417415393173E-2</v>
      </c>
      <c r="BT8" s="239">
        <v>3.6948066803935031E-2</v>
      </c>
      <c r="BU8" s="239">
        <v>0.1254668729919024</v>
      </c>
      <c r="BV8" s="241">
        <v>4.9338350314970691E-2</v>
      </c>
      <c r="BW8" s="239">
        <v>-2.3883821078436229E-2</v>
      </c>
      <c r="BX8" s="239">
        <v>-1.3843340634760004E-2</v>
      </c>
      <c r="BY8" s="239">
        <v>-4.7887593494302383E-2</v>
      </c>
      <c r="BZ8" s="241">
        <f>IS!BW7</f>
        <v>0.12061072722749944</v>
      </c>
      <c r="CA8" s="239">
        <f>IS!BX7</f>
        <v>3.731872987703122E-2</v>
      </c>
      <c r="CB8" s="239">
        <f>IS!BY7</f>
        <v>7.4355068635477473E-2</v>
      </c>
      <c r="CC8" s="239">
        <f>IS!BZ7</f>
        <v>1.2949640287769792E-2</v>
      </c>
      <c r="CD8" s="241">
        <f>IS!CA7</f>
        <v>-0.17082769433929157</v>
      </c>
      <c r="CE8" s="239">
        <f>IS!CB7</f>
        <v>-8.5598407471488946E-2</v>
      </c>
      <c r="CF8" s="239">
        <f>IS!CC7</f>
        <v>-8.1674085107120042E-2</v>
      </c>
      <c r="CG8" s="239">
        <f>IS!CD7</f>
        <v>-3.732513896374634E-3</v>
      </c>
      <c r="CH8" s="241">
        <f>IS!CE7</f>
        <v>8.5247379522264577E-2</v>
      </c>
      <c r="CI8" s="239">
        <f>IS!CF7</f>
        <v>0.14199929849175752</v>
      </c>
      <c r="CJ8" s="239">
        <f>IS!CG7</f>
        <v>4.7990342638684291E-2</v>
      </c>
      <c r="CK8" s="239">
        <f>IS!CH7</f>
        <v>-1.4950040117234775E-2</v>
      </c>
      <c r="CL8" s="241" t="str">
        <f>IS!CI7</f>
        <v>na</v>
      </c>
      <c r="CM8" s="239" t="str">
        <f>IS!CJ7</f>
        <v>na</v>
      </c>
      <c r="CN8" s="239" t="str">
        <f>IS!CK7</f>
        <v>na</v>
      </c>
      <c r="CO8" s="239" t="str">
        <f>IS!CL7</f>
        <v>na</v>
      </c>
      <c r="CP8" s="241">
        <f>IS!CM7</f>
        <v>6.2117786675279785E-3</v>
      </c>
      <c r="CQ8" s="239">
        <f>IS!CN7</f>
        <v>-2.6333513666051411E-3</v>
      </c>
      <c r="CR8" s="239">
        <f>IS!CO7</f>
        <v>0.13657068308360865</v>
      </c>
      <c r="CS8" s="239">
        <f>IS!CP7</f>
        <v>0.21756327492904082</v>
      </c>
      <c r="CT8" s="241">
        <f>IS!CQ7</f>
        <v>6.6759394123674154E-2</v>
      </c>
      <c r="CU8" s="239">
        <f>IS!CR7</f>
        <v>0.10816940546942599</v>
      </c>
      <c r="CV8" s="239">
        <f>IS!CS7</f>
        <v>2.2077890161758873E-2</v>
      </c>
      <c r="CW8" s="242">
        <f>IS!CT7</f>
        <v>-4.2169523723848523E-2</v>
      </c>
      <c r="CX8" s="239">
        <f>IS!CU7</f>
        <v>0.16463750627525764</v>
      </c>
      <c r="CY8" s="239">
        <f>IS!CV7</f>
        <v>0.10739527025267104</v>
      </c>
      <c r="CZ8" s="239">
        <f>IS!CW7</f>
        <v>0.13888841855495571</v>
      </c>
      <c r="DA8" s="239">
        <f>IS!CX7</f>
        <v>-0.27973816154321052</v>
      </c>
      <c r="DB8" s="241">
        <f>IS!CY7</f>
        <v>0.14258911646664418</v>
      </c>
      <c r="DC8" s="239">
        <f>IS!CZ7</f>
        <v>0.15596852912418302</v>
      </c>
      <c r="DD8" s="239">
        <f>IS!DA7</f>
        <v>0.20450267581853732</v>
      </c>
      <c r="DE8" s="239">
        <f>IS!DB7</f>
        <v>0.74586759550260284</v>
      </c>
      <c r="DF8" s="241">
        <f>IS!DC7</f>
        <v>0.34426627372800556</v>
      </c>
      <c r="DG8" s="239">
        <f>IS!DD7</f>
        <v>0.24571813454269931</v>
      </c>
      <c r="DH8" s="239">
        <f>IS!DE7</f>
        <v>0.15895413176905215</v>
      </c>
      <c r="DI8" s="239">
        <f>IS!DF7</f>
        <v>9.7002083106632275E-2</v>
      </c>
      <c r="DJ8" s="241">
        <f>IS!DG7</f>
        <v>-2.3866657936058577E-2</v>
      </c>
      <c r="DK8" s="239">
        <f>IS!DH7</f>
        <v>-6.4555299413675549E-3</v>
      </c>
      <c r="DL8" s="239">
        <f>IS!DI7</f>
        <v>2.4417079842935285E-2</v>
      </c>
      <c r="DM8" s="242">
        <f>IS!DJ7</f>
        <v>5.6270140867866525E-2</v>
      </c>
      <c r="DN8" s="242">
        <f>IS!DK7</f>
        <v>4.6053998546177644E-2</v>
      </c>
      <c r="DO8" s="242">
        <f>IS!DL7</f>
        <v>4.6688382193268207E-2</v>
      </c>
      <c r="DP8" s="242">
        <f>IS!DM7</f>
        <v>0.1084274999682624</v>
      </c>
      <c r="DQ8" s="242">
        <f>IS!DN7</f>
        <v>0.14033441469063179</v>
      </c>
      <c r="DR8" s="242">
        <f>IS!DO7</f>
        <v>1.6279384894729576E-2</v>
      </c>
      <c r="DS8" s="242">
        <f>IS!DP7</f>
        <v>1.3192215190259482E-2</v>
      </c>
      <c r="DT8" s="242">
        <f>IS!DQ7</f>
        <v>-3.1763779914372514E-2</v>
      </c>
      <c r="DU8" s="242">
        <f>IS!DR7</f>
        <v>4.0526891382630659E-4</v>
      </c>
      <c r="DV8" s="242">
        <f>IS!DS7</f>
        <v>0.23934033311984915</v>
      </c>
      <c r="DW8" s="242">
        <f ca="1">IS!DT7</f>
        <v>0.2135365405789138</v>
      </c>
      <c r="DX8" s="242">
        <f ca="1">IS!DU7</f>
        <v>0.23998327790022711</v>
      </c>
      <c r="DY8" s="242">
        <f ca="1">IS!DV7</f>
        <v>0.16601394117171475</v>
      </c>
      <c r="DZ8" s="352"/>
    </row>
    <row r="9" spans="1:130" hidden="1" outlineLevel="1">
      <c r="A9" s="109"/>
      <c r="B9" s="109"/>
      <c r="C9" s="109"/>
      <c r="D9" s="109"/>
      <c r="E9" s="109"/>
      <c r="F9" s="109"/>
      <c r="G9" s="109"/>
      <c r="H9" s="109"/>
      <c r="I9" s="109"/>
      <c r="J9" s="109"/>
      <c r="K9" s="109"/>
      <c r="L9" s="109"/>
      <c r="M9" s="109"/>
      <c r="N9" s="109"/>
      <c r="O9" s="109"/>
      <c r="P9" s="109"/>
      <c r="Q9" s="109"/>
      <c r="R9" s="109"/>
      <c r="S9" s="172"/>
      <c r="T9" s="109"/>
      <c r="U9" s="1044"/>
      <c r="V9" s="109"/>
      <c r="W9" s="109"/>
      <c r="X9" s="109"/>
      <c r="Y9" s="109"/>
      <c r="Z9" s="109"/>
      <c r="AA9" s="109"/>
      <c r="AB9" s="109"/>
      <c r="AC9" s="109"/>
      <c r="AD9" s="109"/>
      <c r="AE9" s="109"/>
      <c r="AF9" s="109"/>
      <c r="AG9" s="109"/>
      <c r="AH9" s="1236"/>
      <c r="AI9" s="109"/>
      <c r="AJ9" s="109"/>
      <c r="AK9" s="109"/>
      <c r="AL9" s="109"/>
      <c r="AM9" s="109"/>
      <c r="AN9" s="109"/>
      <c r="AO9" s="109"/>
      <c r="AP9" s="109"/>
      <c r="AQ9" s="109"/>
      <c r="AR9" s="109"/>
      <c r="AS9" s="109"/>
      <c r="AT9" s="109"/>
      <c r="AU9" s="109"/>
      <c r="AV9" s="109"/>
      <c r="AW9" s="109"/>
      <c r="AX9" s="109"/>
      <c r="AY9" s="109"/>
      <c r="AZ9" s="109"/>
      <c r="BA9" s="109"/>
      <c r="BB9" s="109"/>
      <c r="BC9" s="109"/>
      <c r="BD9" s="109"/>
      <c r="BE9" s="109"/>
      <c r="BF9" s="109"/>
      <c r="BG9" s="109"/>
      <c r="BH9" s="109"/>
      <c r="BI9" s="109"/>
      <c r="BJ9" s="109"/>
      <c r="BK9" s="109"/>
      <c r="BL9" s="109"/>
      <c r="BM9" s="109"/>
      <c r="BN9" s="171"/>
      <c r="BO9" s="109"/>
      <c r="BP9" s="109"/>
      <c r="BQ9" s="109"/>
      <c r="BR9" s="171"/>
      <c r="BS9" s="109"/>
      <c r="BT9" s="109"/>
      <c r="BU9" s="109"/>
      <c r="BV9" s="171"/>
      <c r="BW9" s="109"/>
      <c r="BX9" s="109"/>
      <c r="BY9" s="109"/>
      <c r="BZ9" s="171"/>
      <c r="CA9" s="109"/>
      <c r="CB9" s="109"/>
      <c r="CC9" s="109"/>
      <c r="CD9" s="171"/>
      <c r="CE9" s="109"/>
      <c r="CF9" s="109"/>
      <c r="CG9" s="109"/>
      <c r="CH9" s="171"/>
      <c r="CI9" s="109"/>
      <c r="CJ9" s="109"/>
      <c r="CK9" s="109"/>
      <c r="CL9" s="171"/>
      <c r="CM9" s="109"/>
      <c r="CN9" s="109"/>
      <c r="CO9" s="109"/>
      <c r="CP9" s="171"/>
      <c r="CQ9" s="109"/>
      <c r="CR9" s="109"/>
      <c r="CS9" s="109"/>
      <c r="CT9" s="171"/>
      <c r="CU9" s="109"/>
      <c r="CV9" s="109"/>
      <c r="CW9" s="172"/>
      <c r="CX9" s="109"/>
      <c r="CY9" s="109"/>
      <c r="CZ9" s="109"/>
      <c r="DA9" s="109"/>
      <c r="DB9" s="171"/>
      <c r="DC9" s="109"/>
      <c r="DD9" s="109"/>
      <c r="DE9" s="109"/>
      <c r="DF9" s="171"/>
      <c r="DG9" s="1044"/>
      <c r="DH9" s="1044"/>
      <c r="DI9" s="1044"/>
      <c r="DJ9" s="171"/>
      <c r="DK9" s="1044"/>
      <c r="DL9" s="1044"/>
      <c r="DM9" s="172"/>
      <c r="DN9" s="172"/>
      <c r="DO9" s="172"/>
      <c r="DP9" s="172"/>
      <c r="DQ9" s="172"/>
      <c r="DR9" s="172"/>
      <c r="DS9" s="172"/>
      <c r="DT9" s="172"/>
      <c r="DU9" s="172"/>
      <c r="DV9" s="172"/>
      <c r="DW9" s="172"/>
      <c r="DX9" s="172"/>
      <c r="DY9" s="172"/>
      <c r="DZ9" s="109"/>
    </row>
    <row r="10" spans="1:130" hidden="1" outlineLevel="1">
      <c r="A10" s="353" t="s">
        <v>1359</v>
      </c>
      <c r="B10" s="354"/>
      <c r="C10" s="354"/>
      <c r="D10" s="354"/>
      <c r="E10" s="354"/>
      <c r="F10" s="354"/>
      <c r="G10" s="354"/>
      <c r="H10" s="354"/>
      <c r="I10" s="354"/>
      <c r="J10" s="354"/>
      <c r="K10" s="354"/>
      <c r="L10" s="354"/>
      <c r="M10" s="354"/>
      <c r="N10" s="354"/>
      <c r="O10" s="354"/>
      <c r="P10" s="354"/>
      <c r="Q10" s="354"/>
      <c r="R10" s="354"/>
      <c r="S10" s="355"/>
      <c r="T10" s="354"/>
      <c r="U10" s="1087"/>
      <c r="V10" s="354"/>
      <c r="W10" s="354"/>
      <c r="X10" s="354"/>
      <c r="Y10" s="354"/>
      <c r="Z10" s="354"/>
      <c r="AA10" s="354"/>
      <c r="AB10" s="354"/>
      <c r="AC10" s="354"/>
      <c r="AD10" s="354"/>
      <c r="AE10" s="354"/>
      <c r="AF10" s="354"/>
      <c r="AG10" s="354"/>
      <c r="AH10" s="1236"/>
      <c r="AI10" s="354"/>
      <c r="AJ10" s="354"/>
      <c r="AK10" s="354"/>
      <c r="AL10" s="354"/>
      <c r="AM10" s="354"/>
      <c r="AN10" s="354"/>
      <c r="AO10" s="354"/>
      <c r="AP10" s="354"/>
      <c r="AQ10" s="354"/>
      <c r="AR10" s="354"/>
      <c r="AS10" s="354"/>
      <c r="AT10" s="354"/>
      <c r="AU10" s="354"/>
      <c r="AV10" s="354"/>
      <c r="AW10" s="354"/>
      <c r="AX10" s="354"/>
      <c r="AY10" s="354"/>
      <c r="AZ10" s="354"/>
      <c r="BA10" s="354"/>
      <c r="BB10" s="354"/>
      <c r="BC10" s="354"/>
      <c r="BD10" s="354"/>
      <c r="BE10" s="354"/>
      <c r="BF10" s="354"/>
      <c r="BG10" s="354"/>
      <c r="BH10" s="354"/>
      <c r="BI10" s="354"/>
      <c r="BJ10" s="354"/>
      <c r="BK10" s="354"/>
      <c r="BL10" s="354"/>
      <c r="BM10" s="354"/>
      <c r="BN10" s="356"/>
      <c r="BO10" s="354"/>
      <c r="BP10" s="354"/>
      <c r="BQ10" s="354"/>
      <c r="BR10" s="356"/>
      <c r="BS10" s="354"/>
      <c r="BT10" s="354"/>
      <c r="BU10" s="354"/>
      <c r="BV10" s="356"/>
      <c r="BW10" s="354"/>
      <c r="BX10" s="354"/>
      <c r="BY10" s="354"/>
      <c r="BZ10" s="356"/>
      <c r="CA10" s="354"/>
      <c r="CB10" s="354"/>
      <c r="CC10" s="354"/>
      <c r="CD10" s="356"/>
      <c r="CE10" s="354"/>
      <c r="CF10" s="354"/>
      <c r="CG10" s="354"/>
      <c r="CH10" s="356"/>
      <c r="CI10" s="354"/>
      <c r="CJ10" s="354"/>
      <c r="CK10" s="354"/>
      <c r="CL10" s="356"/>
      <c r="CM10" s="354"/>
      <c r="CN10" s="354"/>
      <c r="CO10" s="354"/>
      <c r="CP10" s="356"/>
      <c r="CQ10" s="354"/>
      <c r="CR10" s="354"/>
      <c r="CS10" s="354"/>
      <c r="CT10" s="356"/>
      <c r="CU10" s="354"/>
      <c r="CV10" s="354"/>
      <c r="CW10" s="355"/>
      <c r="CX10" s="354"/>
      <c r="CY10" s="354"/>
      <c r="CZ10" s="354"/>
      <c r="DA10" s="354"/>
      <c r="DB10" s="356"/>
      <c r="DC10" s="354"/>
      <c r="DD10" s="354"/>
      <c r="DE10" s="354"/>
      <c r="DF10" s="356"/>
      <c r="DG10" s="1087"/>
      <c r="DH10" s="1087"/>
      <c r="DI10" s="1087"/>
      <c r="DJ10" s="356"/>
      <c r="DK10" s="1087"/>
      <c r="DL10" s="1087"/>
      <c r="DM10" s="355"/>
      <c r="DN10" s="355"/>
      <c r="DO10" s="355"/>
      <c r="DP10" s="355"/>
      <c r="DQ10" s="355"/>
      <c r="DR10" s="355"/>
      <c r="DS10" s="355"/>
      <c r="DT10" s="355"/>
      <c r="DU10" s="355"/>
      <c r="DV10" s="355"/>
      <c r="DW10" s="355"/>
      <c r="DX10" s="355"/>
      <c r="DY10" s="355"/>
      <c r="DZ10" s="357"/>
    </row>
    <row r="11" spans="1:130" collapsed="1">
      <c r="A11" s="109"/>
      <c r="B11" s="357"/>
      <c r="C11" s="357"/>
      <c r="D11" s="357"/>
      <c r="E11" s="357"/>
      <c r="F11" s="357"/>
      <c r="G11" s="357"/>
      <c r="H11" s="357"/>
      <c r="I11" s="357"/>
      <c r="J11" s="357"/>
      <c r="K11" s="357"/>
      <c r="L11" s="357"/>
      <c r="M11" s="357"/>
      <c r="N11" s="357"/>
      <c r="O11" s="180"/>
      <c r="P11" s="180"/>
      <c r="Q11" s="180"/>
      <c r="R11" s="180"/>
      <c r="S11" s="180"/>
      <c r="T11" s="180"/>
      <c r="U11" s="1370"/>
      <c r="V11" s="180"/>
      <c r="W11" s="180"/>
      <c r="X11" s="357"/>
      <c r="Y11" s="357"/>
      <c r="Z11" s="357"/>
      <c r="AA11" s="357"/>
      <c r="AB11" s="357"/>
      <c r="AC11" s="357"/>
      <c r="AD11" s="357"/>
      <c r="AE11" s="357"/>
      <c r="AF11" s="357"/>
      <c r="AG11" s="357"/>
      <c r="AH11" s="1236"/>
      <c r="AI11" s="357"/>
      <c r="AJ11" s="357"/>
      <c r="AK11" s="357"/>
      <c r="AL11" s="357"/>
      <c r="AM11" s="357"/>
      <c r="AN11" s="357"/>
      <c r="AO11" s="357"/>
      <c r="AP11" s="357"/>
      <c r="AQ11" s="357"/>
      <c r="AR11" s="357"/>
      <c r="AS11" s="357"/>
      <c r="AT11" s="357"/>
      <c r="AU11" s="357"/>
      <c r="AV11" s="357"/>
      <c r="AW11" s="357"/>
      <c r="AX11" s="357"/>
      <c r="AY11" s="357"/>
      <c r="AZ11" s="357"/>
      <c r="BA11" s="357"/>
      <c r="BB11" s="357"/>
      <c r="BC11" s="357"/>
      <c r="BD11" s="357"/>
      <c r="BE11" s="357"/>
      <c r="BF11" s="357"/>
      <c r="BG11" s="357"/>
      <c r="BH11" s="357"/>
      <c r="BI11" s="357"/>
      <c r="BJ11" s="357"/>
      <c r="BK11" s="357"/>
      <c r="BL11" s="357"/>
      <c r="BM11" s="357"/>
      <c r="BN11" s="358"/>
      <c r="BO11" s="357"/>
      <c r="BP11" s="357"/>
      <c r="BQ11" s="357"/>
      <c r="BR11" s="358"/>
      <c r="BS11" s="357"/>
      <c r="BT11" s="357"/>
      <c r="BU11" s="357"/>
      <c r="BV11" s="358"/>
      <c r="BW11" s="357"/>
      <c r="BX11" s="357"/>
      <c r="BY11" s="357"/>
      <c r="BZ11" s="358"/>
      <c r="CA11" s="357"/>
      <c r="CB11" s="357"/>
      <c r="CC11" s="357"/>
      <c r="CD11" s="358"/>
      <c r="CE11" s="357"/>
      <c r="CF11" s="357"/>
      <c r="CG11" s="357"/>
      <c r="CH11" s="358"/>
      <c r="CI11" s="357"/>
      <c r="CJ11" s="357"/>
      <c r="CK11" s="357"/>
      <c r="CL11" s="358"/>
      <c r="CM11" s="357"/>
      <c r="CN11" s="357"/>
      <c r="CO11" s="357"/>
      <c r="CP11" s="359"/>
      <c r="CQ11" s="180"/>
      <c r="CR11" s="180"/>
      <c r="CS11" s="180"/>
      <c r="CT11" s="359"/>
      <c r="CU11" s="180"/>
      <c r="CV11" s="180"/>
      <c r="CW11" s="360"/>
      <c r="CX11" s="180"/>
      <c r="CY11" s="180"/>
      <c r="CZ11" s="180"/>
      <c r="DA11" s="180"/>
      <c r="DB11" s="359"/>
      <c r="DC11" s="180"/>
      <c r="DD11" s="180"/>
      <c r="DE11" s="180"/>
      <c r="DF11" s="359"/>
      <c r="DG11" s="1370"/>
      <c r="DH11" s="1370"/>
      <c r="DI11" s="1370"/>
      <c r="DJ11" s="359"/>
      <c r="DK11" s="1370"/>
      <c r="DL11" s="1370"/>
      <c r="DM11" s="360"/>
      <c r="DN11" s="1370"/>
      <c r="DO11" s="1370"/>
      <c r="DP11" s="1370"/>
      <c r="DQ11" s="1370"/>
      <c r="DR11" s="359"/>
      <c r="DS11" s="1370"/>
      <c r="DT11" s="1370"/>
      <c r="DU11" s="360"/>
      <c r="DV11" s="359"/>
      <c r="DW11" s="1370"/>
      <c r="DX11" s="1370"/>
      <c r="DY11" s="360"/>
      <c r="DZ11" s="357"/>
    </row>
    <row r="12" spans="1:130">
      <c r="A12" s="109" t="s">
        <v>1008</v>
      </c>
      <c r="B12" s="109"/>
      <c r="C12" s="109"/>
      <c r="D12" s="109"/>
      <c r="E12" s="109"/>
      <c r="F12" s="109"/>
      <c r="G12" s="109"/>
      <c r="H12" s="109"/>
      <c r="I12" s="109">
        <v>590</v>
      </c>
      <c r="J12" s="109">
        <v>4079</v>
      </c>
      <c r="K12" s="109">
        <v>3460</v>
      </c>
      <c r="L12" s="109">
        <v>7261</v>
      </c>
      <c r="M12" s="109">
        <v>7397</v>
      </c>
      <c r="N12" s="109">
        <f>SUM(BZ12:CC12)</f>
        <v>6197</v>
      </c>
      <c r="O12" s="109">
        <f>SUM(CD12:CG12)</f>
        <v>5521</v>
      </c>
      <c r="P12" s="109">
        <f>SUM(CH12:CK12)</f>
        <v>6428</v>
      </c>
      <c r="Q12" s="109">
        <f>SUM(CL12:CO12)</f>
        <v>10358</v>
      </c>
      <c r="R12" s="109">
        <f>SUM(CP12:CS12)</f>
        <v>10217</v>
      </c>
      <c r="S12" s="109">
        <f>SUM(CT12:CW12)</f>
        <v>10198</v>
      </c>
      <c r="T12" s="109">
        <f>SUM(CX12:DA12)</f>
        <v>10557</v>
      </c>
      <c r="U12" s="1044">
        <f>SUM(DB12:DE12)</f>
        <v>23547</v>
      </c>
      <c r="V12" s="109">
        <f>SUM(DF12:DI12)</f>
        <v>11956</v>
      </c>
      <c r="W12" s="109">
        <f>SUM(DJ12:DM12)</f>
        <v>18375</v>
      </c>
      <c r="X12" s="109">
        <f>SUM(DN12:DQ12)</f>
        <v>13608</v>
      </c>
      <c r="Y12" s="109">
        <f>SUM(DR12:DU12)</f>
        <v>30550</v>
      </c>
      <c r="Z12" s="109">
        <f ca="1">SUM(DV12:DY12)</f>
        <v>18979.505399655241</v>
      </c>
      <c r="AA12" s="2183">
        <f ca="1">IS!AA92</f>
        <v>20033.296174750736</v>
      </c>
      <c r="AB12" s="2183">
        <f ca="1">IS!AB92</f>
        <v>20930.060741173267</v>
      </c>
      <c r="AC12" s="2183">
        <f ca="1">IS!AC92</f>
        <v>21803.218286285253</v>
      </c>
      <c r="AD12" s="2183">
        <f ca="1">IS!AD92</f>
        <v>22759.84230781471</v>
      </c>
      <c r="AE12" s="2183">
        <f ca="1">IS!AE92</f>
        <v>23777.984743285</v>
      </c>
      <c r="AF12" s="2183">
        <f ca="1">IS!AF92</f>
        <v>24863.031585146917</v>
      </c>
      <c r="AG12" s="2183">
        <f ca="1">IS!AG92</f>
        <v>25991.905300458384</v>
      </c>
      <c r="AH12" s="536"/>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81">
        <v>1754</v>
      </c>
      <c r="BG12" s="181">
        <v>-1021</v>
      </c>
      <c r="BH12" s="181">
        <v>1883</v>
      </c>
      <c r="BI12" s="181">
        <v>-2026</v>
      </c>
      <c r="BJ12" s="181">
        <v>-501</v>
      </c>
      <c r="BK12" s="181">
        <v>-2115</v>
      </c>
      <c r="BL12" s="181">
        <v>4405</v>
      </c>
      <c r="BM12" s="181">
        <v>2290</v>
      </c>
      <c r="BN12" s="171">
        <v>1894</v>
      </c>
      <c r="BO12" s="109">
        <v>1251</v>
      </c>
      <c r="BP12" s="109">
        <v>1786</v>
      </c>
      <c r="BQ12" s="109">
        <v>-1471</v>
      </c>
      <c r="BR12" s="171">
        <v>1183</v>
      </c>
      <c r="BS12" s="109">
        <v>1782</v>
      </c>
      <c r="BT12" s="109">
        <v>1779</v>
      </c>
      <c r="BU12" s="109">
        <v>2517</v>
      </c>
      <c r="BV12" s="171">
        <v>1757</v>
      </c>
      <c r="BW12" s="109">
        <v>2113</v>
      </c>
      <c r="BX12" s="109">
        <v>1869</v>
      </c>
      <c r="BY12" s="109">
        <v>1658</v>
      </c>
      <c r="BZ12" s="171">
        <f>NormInputs!BP369</f>
        <v>1632</v>
      </c>
      <c r="CA12" s="109">
        <f>NormInputs!BQ369</f>
        <v>1611</v>
      </c>
      <c r="CB12" s="109">
        <f>NormInputs!BR369</f>
        <v>1922</v>
      </c>
      <c r="CC12" s="109">
        <f>NormInputs!BS369</f>
        <v>1032</v>
      </c>
      <c r="CD12" s="171">
        <f>NormInputs!BT369</f>
        <v>1495</v>
      </c>
      <c r="CE12" s="109">
        <f>NormInputs!BU369</f>
        <v>1683</v>
      </c>
      <c r="CF12" s="109">
        <f>NormInputs!BV369</f>
        <v>1271</v>
      </c>
      <c r="CG12" s="109">
        <f>NormInputs!BW369</f>
        <v>1072</v>
      </c>
      <c r="CH12" s="171">
        <f>NormInputs!BX369</f>
        <v>1642</v>
      </c>
      <c r="CI12" s="109">
        <f>NormInputs!BY369</f>
        <v>1882</v>
      </c>
      <c r="CJ12" s="109">
        <f>NormInputs!BZ369</f>
        <v>1669</v>
      </c>
      <c r="CK12" s="109">
        <f>NormInputs!CA369</f>
        <v>1235</v>
      </c>
      <c r="CL12" s="171">
        <f>NormInputs!CB369</f>
        <v>3210</v>
      </c>
      <c r="CM12" s="109">
        <f>NormInputs!CC369</f>
        <v>3160</v>
      </c>
      <c r="CN12" s="109">
        <f>NormInputs!CD369</f>
        <v>2887</v>
      </c>
      <c r="CO12" s="109">
        <f>NormInputs!CE369</f>
        <v>1101</v>
      </c>
      <c r="CP12" s="171">
        <f>NormInputs!CF369</f>
        <v>2318</v>
      </c>
      <c r="CQ12" s="109">
        <f>NormInputs!CG369</f>
        <v>553</v>
      </c>
      <c r="CR12" s="109">
        <f>NormInputs!CH369</f>
        <v>2698</v>
      </c>
      <c r="CS12" s="109">
        <f>NormInputs!CI369</f>
        <v>4648</v>
      </c>
      <c r="CT12" s="171">
        <f>NormInputs!CJ369</f>
        <v>3264</v>
      </c>
      <c r="CU12" s="109">
        <f>NormInputs!CK369</f>
        <v>3604</v>
      </c>
      <c r="CV12" s="109">
        <f>NormInputs!CL369</f>
        <v>3542</v>
      </c>
      <c r="CW12" s="172">
        <f>NormInputs!CM369</f>
        <v>-212</v>
      </c>
      <c r="CX12" s="109">
        <f>NormInputs!CN369</f>
        <v>3906</v>
      </c>
      <c r="CY12" s="109">
        <f>NormInputs!CO369</f>
        <v>4285</v>
      </c>
      <c r="CZ12" s="109">
        <f>NormInputs!CP369</f>
        <v>4292</v>
      </c>
      <c r="DA12" s="109">
        <f>NormInputs!CQ369</f>
        <v>-1926</v>
      </c>
      <c r="DB12" s="171">
        <f>NormInputs!CR369</f>
        <v>4855</v>
      </c>
      <c r="DC12" s="109">
        <f>NormInputs!CS369</f>
        <v>5198</v>
      </c>
      <c r="DD12" s="109">
        <f>NormInputs!CT369</f>
        <v>5578</v>
      </c>
      <c r="DE12" s="109">
        <f>NormInputs!CU369</f>
        <v>7916</v>
      </c>
      <c r="DF12" s="171">
        <f>NormInputs!CV369</f>
        <v>5986</v>
      </c>
      <c r="DG12" s="1044">
        <f>NormInputs!CW369</f>
        <v>4324</v>
      </c>
      <c r="DH12" s="1044">
        <f>NormInputs!CX369</f>
        <v>3794</v>
      </c>
      <c r="DI12" s="1044">
        <f>NormInputs!CY369</f>
        <v>-2148</v>
      </c>
      <c r="DJ12" s="171">
        <f>NormInputs!CZ369</f>
        <v>4338</v>
      </c>
      <c r="DK12" s="1044">
        <f>NormInputs!DA369</f>
        <v>4353</v>
      </c>
      <c r="DL12" s="2151">
        <f>NormInputs!DB369</f>
        <v>4171</v>
      </c>
      <c r="DM12" s="2473">
        <f>NormInputs!DC369</f>
        <v>5513</v>
      </c>
      <c r="DN12" s="2151">
        <f>NormInputs!DD369</f>
        <v>4430</v>
      </c>
      <c r="DO12" s="2151">
        <f>NormInputs!DE369</f>
        <v>831</v>
      </c>
      <c r="DP12" s="2151">
        <f>NormInputs!DF369</f>
        <v>3747</v>
      </c>
      <c r="DQ12" s="2473">
        <f>NormInputs!DG369</f>
        <v>4600</v>
      </c>
      <c r="DR12" s="2151">
        <f>NormInputs!DH369</f>
        <v>3553</v>
      </c>
      <c r="DS12" s="2151">
        <f>NormInputs!DI369</f>
        <v>4478</v>
      </c>
      <c r="DT12" s="2151">
        <f>NormInputs!DJ369</f>
        <v>3736</v>
      </c>
      <c r="DU12" s="2473">
        <f>NormInputs!DK369</f>
        <v>18783</v>
      </c>
      <c r="DV12" s="2490">
        <f>NormInputs!DL369</f>
        <v>4666</v>
      </c>
      <c r="DW12" s="2164">
        <f ca="1">IS!DT92</f>
        <v>4919.2889958442465</v>
      </c>
      <c r="DX12" s="2164">
        <f ca="1">IS!DU92</f>
        <v>5129.5100402660883</v>
      </c>
      <c r="DY12" s="2165">
        <f ca="1">IS!DV92</f>
        <v>4264.7063635449067</v>
      </c>
      <c r="DZ12" s="109"/>
    </row>
    <row r="13" spans="1:130" hidden="1">
      <c r="A13" s="109" t="s">
        <v>1360</v>
      </c>
      <c r="B13" s="109"/>
      <c r="C13" s="109"/>
      <c r="D13" s="109"/>
      <c r="E13" s="109"/>
      <c r="F13" s="109">
        <v>5326</v>
      </c>
      <c r="G13" s="109">
        <v>8296</v>
      </c>
      <c r="H13" s="109">
        <v>10810</v>
      </c>
      <c r="I13" s="109">
        <v>590</v>
      </c>
      <c r="J13" s="109">
        <v>0</v>
      </c>
      <c r="K13" s="109">
        <v>0</v>
      </c>
      <c r="L13" s="109"/>
      <c r="M13" s="109"/>
      <c r="N13" s="109"/>
      <c r="O13" s="109"/>
      <c r="P13" s="109"/>
      <c r="Q13" s="109"/>
      <c r="R13" s="109"/>
      <c r="S13" s="109"/>
      <c r="T13" s="109"/>
      <c r="U13" s="1044"/>
      <c r="V13" s="109"/>
      <c r="W13" s="109"/>
      <c r="X13" s="109"/>
      <c r="Y13" s="109"/>
      <c r="Z13" s="109"/>
      <c r="AA13" s="109"/>
      <c r="AB13" s="109"/>
      <c r="AC13" s="109"/>
      <c r="AD13" s="109"/>
      <c r="AE13" s="109"/>
      <c r="AF13" s="109"/>
      <c r="AG13" s="109"/>
      <c r="AH13" s="536"/>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68">
        <v>1754</v>
      </c>
      <c r="BG13" s="168">
        <v>-1021</v>
      </c>
      <c r="BH13" s="168">
        <v>1883</v>
      </c>
      <c r="BI13" s="168">
        <v>-2026</v>
      </c>
      <c r="BJ13" s="181"/>
      <c r="BK13" s="181"/>
      <c r="BL13" s="181"/>
      <c r="BM13" s="181"/>
      <c r="BN13" s="361"/>
      <c r="BO13" s="362"/>
      <c r="BP13" s="362"/>
      <c r="BQ13" s="362"/>
      <c r="BR13" s="361"/>
      <c r="BS13" s="362"/>
      <c r="BT13" s="362"/>
      <c r="BU13" s="362"/>
      <c r="BV13" s="361"/>
      <c r="BW13" s="362"/>
      <c r="BX13" s="362"/>
      <c r="BY13" s="362"/>
      <c r="BZ13" s="361"/>
      <c r="CA13" s="362"/>
      <c r="CB13" s="362"/>
      <c r="CC13" s="362"/>
      <c r="CD13" s="361"/>
      <c r="CE13" s="362"/>
      <c r="CF13" s="362"/>
      <c r="CG13" s="109"/>
      <c r="CH13" s="171"/>
      <c r="CI13" s="109"/>
      <c r="CJ13" s="109"/>
      <c r="CK13" s="109"/>
      <c r="CL13" s="171"/>
      <c r="CM13" s="109"/>
      <c r="CN13" s="109"/>
      <c r="CO13" s="109"/>
      <c r="CP13" s="171"/>
      <c r="CQ13" s="109"/>
      <c r="CR13" s="109"/>
      <c r="CS13" s="109"/>
      <c r="CT13" s="171"/>
      <c r="CU13" s="109"/>
      <c r="CV13" s="109"/>
      <c r="CW13" s="172"/>
      <c r="CX13" s="109"/>
      <c r="CY13" s="109"/>
      <c r="CZ13" s="109"/>
      <c r="DA13" s="109"/>
      <c r="DB13" s="171"/>
      <c r="DC13" s="109"/>
      <c r="DD13" s="109"/>
      <c r="DE13" s="109"/>
      <c r="DF13" s="171"/>
      <c r="DG13" s="1044"/>
      <c r="DH13" s="1044"/>
      <c r="DI13" s="1044"/>
      <c r="DJ13" s="171"/>
      <c r="DK13" s="1044"/>
      <c r="DL13" s="1044"/>
      <c r="DM13" s="172"/>
      <c r="DN13" s="1044"/>
      <c r="DO13" s="1044"/>
      <c r="DP13" s="1044"/>
      <c r="DQ13" s="172"/>
      <c r="DR13" s="1044"/>
      <c r="DS13" s="1044"/>
      <c r="DT13" s="1044"/>
      <c r="DU13" s="172"/>
      <c r="DV13" s="171"/>
      <c r="DW13" s="1044"/>
      <c r="DX13" s="1044"/>
      <c r="DY13" s="172"/>
      <c r="DZ13" s="109"/>
    </row>
    <row r="14" spans="1:130">
      <c r="A14" s="109" t="s">
        <v>1361</v>
      </c>
      <c r="B14" s="109"/>
      <c r="C14" s="109"/>
      <c r="D14" s="109"/>
      <c r="E14" s="109"/>
      <c r="F14" s="109"/>
      <c r="G14" s="109"/>
      <c r="H14" s="109"/>
      <c r="I14" s="109">
        <v>0</v>
      </c>
      <c r="J14" s="109">
        <v>0</v>
      </c>
      <c r="K14" s="109">
        <v>0</v>
      </c>
      <c r="L14" s="109">
        <v>0</v>
      </c>
      <c r="M14" s="109">
        <v>0</v>
      </c>
      <c r="N14" s="109">
        <f t="shared" ref="N14:N26" si="0">SUM(BZ14:CC14)</f>
        <v>0</v>
      </c>
      <c r="O14" s="109">
        <f t="shared" ref="O14:O26" si="1">SUM(CD14:CG14)</f>
        <v>0</v>
      </c>
      <c r="P14" s="109">
        <f t="shared" ref="P14:P33" si="2">SUM(CH14:CK14)</f>
        <v>0</v>
      </c>
      <c r="Q14" s="109">
        <f t="shared" ref="Q14:Q33" si="3">SUM(CL14:CO14)</f>
        <v>0</v>
      </c>
      <c r="R14" s="109">
        <f t="shared" ref="R14:R33" si="4">SUM(CP14:CS14)</f>
        <v>0</v>
      </c>
      <c r="S14" s="109"/>
      <c r="T14" s="109"/>
      <c r="U14" s="1044"/>
      <c r="V14" s="109"/>
      <c r="W14" s="109"/>
      <c r="X14" s="109"/>
      <c r="Y14" s="109"/>
      <c r="Z14" s="109"/>
      <c r="AA14" s="109"/>
      <c r="AB14" s="109"/>
      <c r="AC14" s="109"/>
      <c r="AD14" s="109"/>
      <c r="AE14" s="109"/>
      <c r="AF14" s="109"/>
      <c r="AG14" s="109"/>
      <c r="AH14" s="536"/>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68">
        <v>0</v>
      </c>
      <c r="BG14" s="168"/>
      <c r="BH14" s="168"/>
      <c r="BI14" s="168"/>
      <c r="BJ14" s="181">
        <v>0</v>
      </c>
      <c r="BK14" s="181"/>
      <c r="BL14" s="181"/>
      <c r="BM14" s="181"/>
      <c r="BN14" s="208"/>
      <c r="BO14" s="181"/>
      <c r="BP14" s="181"/>
      <c r="BQ14" s="181"/>
      <c r="BR14" s="208"/>
      <c r="BS14" s="181"/>
      <c r="BT14" s="181"/>
      <c r="BU14" s="181"/>
      <c r="BV14" s="208"/>
      <c r="BW14" s="181"/>
      <c r="BX14" s="181"/>
      <c r="BY14" s="181"/>
      <c r="BZ14" s="208"/>
      <c r="CA14" s="181"/>
      <c r="CB14" s="181"/>
      <c r="CC14" s="181"/>
      <c r="CD14" s="208"/>
      <c r="CE14" s="181"/>
      <c r="CF14" s="181"/>
      <c r="CG14" s="109"/>
      <c r="CH14" s="171"/>
      <c r="CI14" s="109"/>
      <c r="CJ14" s="109"/>
      <c r="CK14" s="109"/>
      <c r="CL14" s="171"/>
      <c r="CM14" s="109"/>
      <c r="CN14" s="109"/>
      <c r="CO14" s="109"/>
      <c r="CP14" s="171"/>
      <c r="CQ14" s="109"/>
      <c r="CR14" s="109"/>
      <c r="CS14" s="109"/>
      <c r="CT14" s="171"/>
      <c r="CU14" s="109"/>
      <c r="CV14" s="109"/>
      <c r="CW14" s="172"/>
      <c r="CX14" s="109"/>
      <c r="CY14" s="109"/>
      <c r="CZ14" s="109"/>
      <c r="DA14" s="109"/>
      <c r="DB14" s="171"/>
      <c r="DC14" s="109"/>
      <c r="DD14" s="109"/>
      <c r="DE14" s="109"/>
      <c r="DF14" s="171"/>
      <c r="DG14" s="1044"/>
      <c r="DH14" s="1044"/>
      <c r="DI14" s="1044"/>
      <c r="DJ14" s="171"/>
      <c r="DK14" s="1044"/>
      <c r="DL14" s="1044"/>
      <c r="DM14" s="172"/>
      <c r="DN14" s="1044"/>
      <c r="DO14" s="1044"/>
      <c r="DP14" s="1044"/>
      <c r="DQ14" s="172"/>
      <c r="DR14" s="1044"/>
      <c r="DS14" s="1044"/>
      <c r="DT14" s="1044"/>
      <c r="DU14" s="172"/>
      <c r="DV14" s="171"/>
      <c r="DW14" s="1044"/>
      <c r="DX14" s="1044"/>
      <c r="DY14" s="172"/>
      <c r="DZ14" s="109"/>
    </row>
    <row r="15" spans="1:130" hidden="1">
      <c r="A15" s="167" t="s">
        <v>1362</v>
      </c>
      <c r="B15" s="109"/>
      <c r="C15" s="109"/>
      <c r="D15" s="109"/>
      <c r="E15" s="109"/>
      <c r="F15" s="109"/>
      <c r="G15" s="109"/>
      <c r="H15" s="109"/>
      <c r="I15" s="109"/>
      <c r="J15" s="109">
        <v>496</v>
      </c>
      <c r="K15" s="109">
        <v>0</v>
      </c>
      <c r="L15" s="109">
        <v>0</v>
      </c>
      <c r="M15" s="109">
        <v>0</v>
      </c>
      <c r="N15" s="109">
        <f t="shared" si="0"/>
        <v>0</v>
      </c>
      <c r="O15" s="109">
        <f t="shared" si="1"/>
        <v>0</v>
      </c>
      <c r="P15" s="109">
        <f t="shared" si="2"/>
        <v>0</v>
      </c>
      <c r="Q15" s="109">
        <f t="shared" si="3"/>
        <v>0</v>
      </c>
      <c r="R15" s="109">
        <f t="shared" si="4"/>
        <v>0</v>
      </c>
      <c r="S15" s="109"/>
      <c r="T15" s="109"/>
      <c r="U15" s="1044"/>
      <c r="V15" s="109"/>
      <c r="W15" s="109"/>
      <c r="X15" s="109"/>
      <c r="Y15" s="109"/>
      <c r="Z15" s="109"/>
      <c r="AA15" s="109"/>
      <c r="AB15" s="109"/>
      <c r="AC15" s="109"/>
      <c r="AD15" s="109"/>
      <c r="AE15" s="109"/>
      <c r="AF15" s="109"/>
      <c r="AG15" s="109"/>
      <c r="AH15" s="536"/>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c r="BE15" s="109"/>
      <c r="BF15" s="168"/>
      <c r="BG15" s="168"/>
      <c r="BH15" s="168"/>
      <c r="BI15" s="168"/>
      <c r="BJ15" s="181">
        <v>496</v>
      </c>
      <c r="BK15" s="181"/>
      <c r="BL15" s="181"/>
      <c r="BM15" s="181"/>
      <c r="BN15" s="208"/>
      <c r="BO15" s="181"/>
      <c r="BP15" s="181"/>
      <c r="BQ15" s="181"/>
      <c r="BR15" s="208"/>
      <c r="BS15" s="181"/>
      <c r="BT15" s="181"/>
      <c r="BU15" s="181"/>
      <c r="BV15" s="208"/>
      <c r="BW15" s="181"/>
      <c r="BX15" s="181"/>
      <c r="BY15" s="181"/>
      <c r="BZ15" s="208"/>
      <c r="CA15" s="181"/>
      <c r="CB15" s="181"/>
      <c r="CC15" s="181"/>
      <c r="CD15" s="208"/>
      <c r="CE15" s="181"/>
      <c r="CF15" s="181"/>
      <c r="CG15" s="109"/>
      <c r="CH15" s="171"/>
      <c r="CI15" s="109"/>
      <c r="CJ15" s="109"/>
      <c r="CK15" s="109"/>
      <c r="CL15" s="171"/>
      <c r="CM15" s="109"/>
      <c r="CN15" s="109"/>
      <c r="CO15" s="109"/>
      <c r="CP15" s="171"/>
      <c r="CQ15" s="109"/>
      <c r="CR15" s="109"/>
      <c r="CS15" s="109"/>
      <c r="CT15" s="171"/>
      <c r="CU15" s="109"/>
      <c r="CV15" s="109"/>
      <c r="CW15" s="172"/>
      <c r="CX15" s="109"/>
      <c r="CY15" s="109"/>
      <c r="CZ15" s="109"/>
      <c r="DA15" s="109"/>
      <c r="DB15" s="171"/>
      <c r="DC15" s="109"/>
      <c r="DD15" s="109"/>
      <c r="DE15" s="109"/>
      <c r="DF15" s="171"/>
      <c r="DG15" s="1044"/>
      <c r="DH15" s="1044"/>
      <c r="DI15" s="1044"/>
      <c r="DJ15" s="171"/>
      <c r="DK15" s="1044"/>
      <c r="DL15" s="1044"/>
      <c r="DM15" s="172"/>
      <c r="DN15" s="1044"/>
      <c r="DO15" s="1044"/>
      <c r="DP15" s="1044"/>
      <c r="DQ15" s="172"/>
      <c r="DR15" s="1044"/>
      <c r="DS15" s="1044"/>
      <c r="DT15" s="1044"/>
      <c r="DU15" s="172"/>
      <c r="DV15" s="171"/>
      <c r="DW15" s="1044"/>
      <c r="DX15" s="1044"/>
      <c r="DY15" s="172"/>
      <c r="DZ15" s="109"/>
    </row>
    <row r="16" spans="1:130" hidden="1">
      <c r="A16" s="167" t="s">
        <v>1363</v>
      </c>
      <c r="B16" s="109"/>
      <c r="C16" s="109"/>
      <c r="D16" s="109"/>
      <c r="E16" s="109"/>
      <c r="F16" s="109"/>
      <c r="G16" s="109"/>
      <c r="H16" s="109"/>
      <c r="I16" s="109"/>
      <c r="J16" s="109">
        <v>86</v>
      </c>
      <c r="K16" s="109">
        <v>0</v>
      </c>
      <c r="L16" s="109">
        <v>0</v>
      </c>
      <c r="M16" s="109">
        <v>0</v>
      </c>
      <c r="N16" s="109">
        <f t="shared" si="0"/>
        <v>0</v>
      </c>
      <c r="O16" s="109">
        <f t="shared" si="1"/>
        <v>0</v>
      </c>
      <c r="P16" s="109">
        <f t="shared" si="2"/>
        <v>0</v>
      </c>
      <c r="Q16" s="109">
        <f t="shared" si="3"/>
        <v>0</v>
      </c>
      <c r="R16" s="109">
        <f t="shared" si="4"/>
        <v>0</v>
      </c>
      <c r="S16" s="109"/>
      <c r="T16" s="109"/>
      <c r="U16" s="1044"/>
      <c r="V16" s="109"/>
      <c r="W16" s="109"/>
      <c r="X16" s="109"/>
      <c r="Y16" s="109"/>
      <c r="Z16" s="109"/>
      <c r="AA16" s="109"/>
      <c r="AB16" s="109"/>
      <c r="AC16" s="109"/>
      <c r="AD16" s="109"/>
      <c r="AE16" s="109"/>
      <c r="AF16" s="109"/>
      <c r="AG16" s="109"/>
      <c r="AH16" s="536"/>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68"/>
      <c r="BG16" s="168"/>
      <c r="BH16" s="168"/>
      <c r="BI16" s="168"/>
      <c r="BJ16" s="181">
        <v>11</v>
      </c>
      <c r="BK16" s="181">
        <v>38</v>
      </c>
      <c r="BL16" s="181">
        <v>10</v>
      </c>
      <c r="BM16" s="181">
        <v>27</v>
      </c>
      <c r="BN16" s="208"/>
      <c r="BO16" s="181"/>
      <c r="BP16" s="181"/>
      <c r="BQ16" s="181"/>
      <c r="BR16" s="208"/>
      <c r="BS16" s="181"/>
      <c r="BT16" s="181"/>
      <c r="BU16" s="181"/>
      <c r="BV16" s="208"/>
      <c r="BW16" s="181"/>
      <c r="BX16" s="181"/>
      <c r="BY16" s="181"/>
      <c r="BZ16" s="208"/>
      <c r="CA16" s="181"/>
      <c r="CB16" s="181"/>
      <c r="CC16" s="181"/>
      <c r="CD16" s="208"/>
      <c r="CE16" s="181"/>
      <c r="CF16" s="181"/>
      <c r="CG16" s="109"/>
      <c r="CH16" s="171"/>
      <c r="CI16" s="109"/>
      <c r="CJ16" s="109"/>
      <c r="CK16" s="109"/>
      <c r="CL16" s="171"/>
      <c r="CM16" s="109"/>
      <c r="CN16" s="109"/>
      <c r="CO16" s="109"/>
      <c r="CP16" s="171"/>
      <c r="CQ16" s="109"/>
      <c r="CR16" s="109"/>
      <c r="CS16" s="109"/>
      <c r="CT16" s="171"/>
      <c r="CU16" s="109"/>
      <c r="CV16" s="109"/>
      <c r="CW16" s="172"/>
      <c r="CX16" s="109"/>
      <c r="CY16" s="109"/>
      <c r="CZ16" s="109"/>
      <c r="DA16" s="109"/>
      <c r="DB16" s="171"/>
      <c r="DC16" s="109"/>
      <c r="DD16" s="109"/>
      <c r="DE16" s="109"/>
      <c r="DF16" s="171"/>
      <c r="DG16" s="1044"/>
      <c r="DH16" s="1044"/>
      <c r="DI16" s="1044"/>
      <c r="DJ16" s="171"/>
      <c r="DK16" s="1044"/>
      <c r="DL16" s="1044"/>
      <c r="DM16" s="172"/>
      <c r="DN16" s="1044"/>
      <c r="DO16" s="1044"/>
      <c r="DP16" s="1044"/>
      <c r="DQ16" s="172"/>
      <c r="DR16" s="1044"/>
      <c r="DS16" s="1044"/>
      <c r="DT16" s="1044"/>
      <c r="DU16" s="172"/>
      <c r="DV16" s="171"/>
      <c r="DW16" s="1044"/>
      <c r="DX16" s="1044"/>
      <c r="DY16" s="172"/>
      <c r="DZ16" s="109"/>
    </row>
    <row r="17" spans="1:136">
      <c r="A17" s="167" t="s">
        <v>966</v>
      </c>
      <c r="B17" s="109"/>
      <c r="C17" s="109"/>
      <c r="D17" s="109"/>
      <c r="E17" s="109"/>
      <c r="F17" s="109">
        <v>9645</v>
      </c>
      <c r="G17" s="109">
        <v>9167.98</v>
      </c>
      <c r="H17" s="109">
        <v>11549.38</v>
      </c>
      <c r="I17" s="109">
        <v>12941</v>
      </c>
      <c r="J17" s="109">
        <v>12126</v>
      </c>
      <c r="K17" s="109">
        <v>12210</v>
      </c>
      <c r="L17" s="109">
        <v>12576</v>
      </c>
      <c r="M17" s="109">
        <v>12603</v>
      </c>
      <c r="N17" s="109">
        <f t="shared" si="0"/>
        <v>13122</v>
      </c>
      <c r="O17" s="109">
        <f t="shared" si="1"/>
        <v>13036</v>
      </c>
      <c r="P17" s="109">
        <f t="shared" si="2"/>
        <v>13182</v>
      </c>
      <c r="Q17" s="109">
        <f t="shared" si="3"/>
        <v>14562</v>
      </c>
      <c r="R17" s="109">
        <f t="shared" si="4"/>
        <v>14593</v>
      </c>
      <c r="S17" s="109">
        <f t="shared" ref="S17:S33" si="5">SUM(CT17:CW17)</f>
        <v>14991</v>
      </c>
      <c r="T17" s="109">
        <f t="shared" ref="T17:T33" si="6">SUM(CX17:DA17)</f>
        <v>14920</v>
      </c>
      <c r="U17" s="1044">
        <f t="shared" ref="U17:U33" si="7">SUM(DB17:DE17)</f>
        <v>15006</v>
      </c>
      <c r="V17" s="109">
        <f t="shared" ref="V17:V33" si="8">SUM(DF17:DI17)</f>
        <v>14933</v>
      </c>
      <c r="W17" s="109">
        <f t="shared" ref="W17:W33" si="9">SUM(DJ17:DM17)</f>
        <v>14417</v>
      </c>
      <c r="X17" s="109">
        <f t="shared" ref="X17:X33" si="10">SUM(DN17:DQ17)</f>
        <v>14328</v>
      </c>
      <c r="Y17" s="109">
        <f t="shared" ref="Y17:Z33" si="11">SUM(DR17:DU17)</f>
        <v>15354</v>
      </c>
      <c r="Z17" s="109">
        <f t="shared" ref="Z17:Z24" ca="1" si="12">SUM(DV17:DY17)</f>
        <v>15838.122395504059</v>
      </c>
      <c r="AA17" s="2183">
        <f ca="1">Capex!AA11-AA18</f>
        <v>15848.447250665944</v>
      </c>
      <c r="AB17" s="2183">
        <f ca="1">Capex!AB11-AB18</f>
        <v>15788.464921089417</v>
      </c>
      <c r="AC17" s="2183">
        <f ca="1">Capex!AC11-AC18</f>
        <v>15732.258805757399</v>
      </c>
      <c r="AD17" s="2183">
        <f ca="1">Capex!AD11-AD18</f>
        <v>15680.235774858396</v>
      </c>
      <c r="AE17" s="2183">
        <f ca="1">Capex!AE11-AE18</f>
        <v>15632.757878509019</v>
      </c>
      <c r="AF17" s="2183">
        <f ca="1">Capex!AF11-AF18</f>
        <v>15590.239744419494</v>
      </c>
      <c r="AG17" s="2183">
        <f ca="1">Capex!AG11-AG18</f>
        <v>15593.729220377427</v>
      </c>
      <c r="AH17" s="536"/>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68">
        <v>3181</v>
      </c>
      <c r="BG17" s="168">
        <v>3221</v>
      </c>
      <c r="BH17" s="168">
        <v>3223</v>
      </c>
      <c r="BI17" s="168">
        <v>3316</v>
      </c>
      <c r="BJ17" s="168">
        <v>2995</v>
      </c>
      <c r="BK17" s="168">
        <v>3031</v>
      </c>
      <c r="BL17" s="168">
        <v>2996</v>
      </c>
      <c r="BM17" s="168">
        <v>3104</v>
      </c>
      <c r="BN17" s="171">
        <v>3014.75</v>
      </c>
      <c r="BO17" s="109">
        <v>3032.75</v>
      </c>
      <c r="BP17" s="109">
        <v>3066.75</v>
      </c>
      <c r="BQ17" s="109">
        <v>3095.75</v>
      </c>
      <c r="BR17" s="171">
        <v>3091.5</v>
      </c>
      <c r="BS17" s="109">
        <v>3103.5</v>
      </c>
      <c r="BT17" s="109">
        <v>3149.5</v>
      </c>
      <c r="BU17" s="109">
        <v>3231.5</v>
      </c>
      <c r="BV17" s="171">
        <v>3099</v>
      </c>
      <c r="BW17" s="109">
        <v>3135</v>
      </c>
      <c r="BX17" s="109">
        <v>3157</v>
      </c>
      <c r="BY17" s="109">
        <v>3212</v>
      </c>
      <c r="BZ17" s="171">
        <f>NormInputs!BP371-CFS!BZ18</f>
        <v>3420.25</v>
      </c>
      <c r="CA17" s="109">
        <f>NormInputs!BQ371-CFS!CA18</f>
        <v>3187.25</v>
      </c>
      <c r="CB17" s="109">
        <f>NormInputs!BR371-CFS!CB18</f>
        <v>3272.25</v>
      </c>
      <c r="CC17" s="109">
        <f>NormInputs!BS371-CFS!CC18</f>
        <v>3242.25</v>
      </c>
      <c r="CD17" s="171">
        <f>NormInputs!BT371-CFS!CD18</f>
        <v>3197.75</v>
      </c>
      <c r="CE17" s="109">
        <f>NormInputs!BU371-CFS!CE18</f>
        <v>3237.75</v>
      </c>
      <c r="CF17" s="109">
        <f>NormInputs!BV371-CFS!CF18</f>
        <v>3269.75</v>
      </c>
      <c r="CG17" s="109">
        <f>NormInputs!BW371-CFS!CG18</f>
        <v>3330.75</v>
      </c>
      <c r="CH17" s="171">
        <f>NormInputs!BX371-CFS!CH18</f>
        <v>3236.25</v>
      </c>
      <c r="CI17" s="109">
        <f>NormInputs!BY371-CFS!CI18</f>
        <v>3238.25</v>
      </c>
      <c r="CJ17" s="109">
        <f>NormInputs!BZ371-CFS!CJ18</f>
        <v>3306.25</v>
      </c>
      <c r="CK17" s="109">
        <f>NormInputs!CA371-CFS!CK18</f>
        <v>3401.25</v>
      </c>
      <c r="CL17" s="171">
        <f>NormInputs!CB371-CFS!CL18</f>
        <v>3535.5</v>
      </c>
      <c r="CM17" s="109">
        <f>NormInputs!CC371-CFS!CM18</f>
        <v>3598.5</v>
      </c>
      <c r="CN17" s="109">
        <f>NormInputs!CD371-CFS!CN18</f>
        <v>3679.5</v>
      </c>
      <c r="CO17" s="109">
        <f>NormInputs!CE371-CFS!CO18</f>
        <v>3748.5</v>
      </c>
      <c r="CP17" s="171">
        <f>NormInputs!CF371-CFS!CP18</f>
        <v>3669</v>
      </c>
      <c r="CQ17" s="109">
        <f>NormInputs!CG371-CFS!CQ18</f>
        <v>3724</v>
      </c>
      <c r="CR17" s="109">
        <f>NormInputs!CH371-CFS!CR18</f>
        <v>3570</v>
      </c>
      <c r="CS17" s="109">
        <f>NormInputs!CI371-CFS!CS18</f>
        <v>3630</v>
      </c>
      <c r="CT17" s="171">
        <f>NormInputs!CJ371-CFS!CT18</f>
        <v>3647.75</v>
      </c>
      <c r="CU17" s="109">
        <f>NormInputs!CK371-CFS!CU18</f>
        <v>3736.75</v>
      </c>
      <c r="CV17" s="109">
        <f>NormInputs!CL371-CFS!CV18</f>
        <v>3802.75</v>
      </c>
      <c r="CW17" s="172">
        <f>NormInputs!CM371-CFS!CW18</f>
        <v>3803.75</v>
      </c>
      <c r="CX17" s="109">
        <f>NormInputs!CN371-CFS!CX18</f>
        <v>3661</v>
      </c>
      <c r="CY17" s="109">
        <f>NormInputs!CO371-CFS!CY18</f>
        <v>3761</v>
      </c>
      <c r="CZ17" s="109">
        <f>NormInputs!CP371-CFS!CZ18</f>
        <v>3764</v>
      </c>
      <c r="DA17" s="109">
        <f>NormInputs!CQ371-CFS!DA18</f>
        <v>3734</v>
      </c>
      <c r="DB17" s="171">
        <f>NormInputs!CR371-CFS!DB18</f>
        <v>3718</v>
      </c>
      <c r="DC17" s="109">
        <f>NormInputs!CS371-CFS!DC18</f>
        <v>3751</v>
      </c>
      <c r="DD17" s="109">
        <f>NormInputs!CT371-CFS!DD18</f>
        <v>3754</v>
      </c>
      <c r="DE17" s="109">
        <f>NormInputs!CU371-CFS!DE18</f>
        <v>3783</v>
      </c>
      <c r="DF17" s="171">
        <f>NormInputs!CV371-CFS!DF18</f>
        <v>3737</v>
      </c>
      <c r="DG17" s="1044">
        <f>NormInputs!CW371-CFS!DG18</f>
        <v>3761</v>
      </c>
      <c r="DH17" s="1044">
        <f>NormInputs!CX371-CFS!DH18</f>
        <v>3767</v>
      </c>
      <c r="DI17" s="1044">
        <f>NormInputs!CY371-CFS!DI18</f>
        <v>3668</v>
      </c>
      <c r="DJ17" s="171">
        <f>NormInputs!CZ371-CFS!DJ18</f>
        <v>3589</v>
      </c>
      <c r="DK17" s="1044">
        <f>NormInputs!DA371-CFS!DK18</f>
        <v>3580</v>
      </c>
      <c r="DL17" s="2151">
        <f>NormInputs!DB371-CFS!DL18</f>
        <v>3609</v>
      </c>
      <c r="DM17" s="2473">
        <f>NormInputs!DC371-CFS!DM18</f>
        <v>3639</v>
      </c>
      <c r="DN17" s="2151">
        <f>NormInputs!DD371-CFS!DN18</f>
        <v>3617</v>
      </c>
      <c r="DO17" s="2151">
        <f>NormInputs!DE371-CFS!DO18</f>
        <v>3582</v>
      </c>
      <c r="DP17" s="2151">
        <f>NormInputs!DF371-CFS!DP18</f>
        <v>3542</v>
      </c>
      <c r="DQ17" s="2473">
        <f>NormInputs!DG371-CFS!DQ18</f>
        <v>3587</v>
      </c>
      <c r="DR17" s="2151">
        <f>NormInputs!DH371-CFS!DR18</f>
        <v>3659</v>
      </c>
      <c r="DS17" s="2151">
        <f>NormInputs!DI371-CFS!DS18</f>
        <v>3767</v>
      </c>
      <c r="DT17" s="2151">
        <f>NormInputs!DJ371-CFS!DT18</f>
        <v>3872</v>
      </c>
      <c r="DU17" s="2473">
        <f>NormInputs!DK371-CFS!DU18</f>
        <v>4056</v>
      </c>
      <c r="DV17" s="2490">
        <f>NormInputs!DL371-CFS!DV18</f>
        <v>3924</v>
      </c>
      <c r="DW17" s="2164">
        <f ca="1">Capex!DW11-DW18</f>
        <v>3941.6356697294414</v>
      </c>
      <c r="DX17" s="2164">
        <f ca="1">Capex!DX11-DX18</f>
        <v>3970.7157387147827</v>
      </c>
      <c r="DY17" s="2165">
        <f ca="1">Capex!DY11-DY18</f>
        <v>4001.7709870598346</v>
      </c>
      <c r="DZ17" s="109"/>
    </row>
    <row r="18" spans="1:136">
      <c r="A18" s="167" t="s">
        <v>967</v>
      </c>
      <c r="B18" s="109"/>
      <c r="C18" s="109"/>
      <c r="D18" s="109"/>
      <c r="E18" s="109"/>
      <c r="F18" s="109">
        <v>0</v>
      </c>
      <c r="G18" s="109">
        <v>722.02</v>
      </c>
      <c r="H18" s="109">
        <v>711.62</v>
      </c>
      <c r="I18" s="109">
        <v>716</v>
      </c>
      <c r="J18" s="109">
        <v>1164</v>
      </c>
      <c r="K18" s="363">
        <v>1372</v>
      </c>
      <c r="L18" s="109">
        <v>1334</v>
      </c>
      <c r="M18" s="109">
        <v>1444</v>
      </c>
      <c r="N18" s="109">
        <f t="shared" si="0"/>
        <v>1423</v>
      </c>
      <c r="O18" s="109">
        <f t="shared" si="1"/>
        <v>1341</v>
      </c>
      <c r="P18" s="109">
        <f t="shared" si="2"/>
        <v>1383</v>
      </c>
      <c r="Q18" s="109">
        <f t="shared" si="3"/>
        <v>1970</v>
      </c>
      <c r="R18" s="109">
        <f t="shared" si="4"/>
        <v>1812</v>
      </c>
      <c r="S18" s="109">
        <f t="shared" si="5"/>
        <v>1505</v>
      </c>
      <c r="T18" s="109">
        <f t="shared" si="6"/>
        <v>1540</v>
      </c>
      <c r="U18" s="1044">
        <f t="shared" si="7"/>
        <v>1600</v>
      </c>
      <c r="V18" s="109">
        <f t="shared" si="8"/>
        <v>1600</v>
      </c>
      <c r="W18" s="109">
        <f t="shared" si="9"/>
        <v>1600</v>
      </c>
      <c r="X18" s="109">
        <f t="shared" si="10"/>
        <v>1600</v>
      </c>
      <c r="Y18" s="109">
        <f t="shared" si="11"/>
        <v>1600</v>
      </c>
      <c r="Z18" s="109">
        <f t="shared" si="12"/>
        <v>1600</v>
      </c>
      <c r="AA18" s="2183">
        <f>Capex!AA31</f>
        <v>1600</v>
      </c>
      <c r="AB18" s="2183">
        <f>Capex!AB31</f>
        <v>1600</v>
      </c>
      <c r="AC18" s="2183">
        <f>Capex!AC31</f>
        <v>1600</v>
      </c>
      <c r="AD18" s="2183">
        <f>Capex!AD31</f>
        <v>1600</v>
      </c>
      <c r="AE18" s="2183">
        <f>Capex!AE31</f>
        <v>1600</v>
      </c>
      <c r="AF18" s="2183">
        <f>Capex!AF31</f>
        <v>1600</v>
      </c>
      <c r="AG18" s="2183">
        <f>Capex!AG31</f>
        <v>1600</v>
      </c>
      <c r="AH18" s="536"/>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68">
        <v>179</v>
      </c>
      <c r="BG18" s="168">
        <v>179</v>
      </c>
      <c r="BH18" s="168">
        <v>179</v>
      </c>
      <c r="BI18" s="168">
        <v>179</v>
      </c>
      <c r="BJ18" s="168">
        <v>291</v>
      </c>
      <c r="BK18" s="168">
        <v>291</v>
      </c>
      <c r="BL18" s="168">
        <v>291</v>
      </c>
      <c r="BM18" s="168">
        <v>291</v>
      </c>
      <c r="BN18" s="171">
        <v>349.25</v>
      </c>
      <c r="BO18" s="109">
        <v>349.25</v>
      </c>
      <c r="BP18" s="109">
        <v>349.25</v>
      </c>
      <c r="BQ18" s="109">
        <v>349.25</v>
      </c>
      <c r="BR18" s="171">
        <v>333.5</v>
      </c>
      <c r="BS18" s="109">
        <v>333.5</v>
      </c>
      <c r="BT18" s="109">
        <v>333.5</v>
      </c>
      <c r="BU18" s="109">
        <v>333.5</v>
      </c>
      <c r="BV18" s="171">
        <v>361</v>
      </c>
      <c r="BW18" s="109">
        <v>361</v>
      </c>
      <c r="BX18" s="109">
        <v>361</v>
      </c>
      <c r="BY18" s="109">
        <v>361</v>
      </c>
      <c r="BZ18" s="171">
        <f>Capex!BZ13</f>
        <v>355.75</v>
      </c>
      <c r="CA18" s="109">
        <f>Capex!CA13</f>
        <v>355.75</v>
      </c>
      <c r="CB18" s="109">
        <f>Capex!CB13</f>
        <v>355.75</v>
      </c>
      <c r="CC18" s="109">
        <f>Capex!CC13</f>
        <v>355.75</v>
      </c>
      <c r="CD18" s="171">
        <f>Capex!CD13</f>
        <v>335.25</v>
      </c>
      <c r="CE18" s="109">
        <f>Capex!CE13</f>
        <v>335.25</v>
      </c>
      <c r="CF18" s="109">
        <f>Capex!CF13</f>
        <v>335.25</v>
      </c>
      <c r="CG18" s="109">
        <f>Capex!CG13</f>
        <v>335.25</v>
      </c>
      <c r="CH18" s="171">
        <f>Capex!CH13</f>
        <v>345.75</v>
      </c>
      <c r="CI18" s="109">
        <f>Capex!CI13</f>
        <v>345.75</v>
      </c>
      <c r="CJ18" s="109">
        <f>Capex!CJ13</f>
        <v>345.75</v>
      </c>
      <c r="CK18" s="109">
        <f>Capex!CK13</f>
        <v>345.75</v>
      </c>
      <c r="CL18" s="171">
        <f>Capex!CL13</f>
        <v>492.5</v>
      </c>
      <c r="CM18" s="109">
        <f>Capex!CM13</f>
        <v>492.5</v>
      </c>
      <c r="CN18" s="109">
        <f>Capex!CN13</f>
        <v>492.5</v>
      </c>
      <c r="CO18" s="109">
        <f>Capex!CO13</f>
        <v>492.5</v>
      </c>
      <c r="CP18" s="171">
        <f>Capex!CP13</f>
        <v>453</v>
      </c>
      <c r="CQ18" s="109">
        <f>Capex!CQ13</f>
        <v>453</v>
      </c>
      <c r="CR18" s="109">
        <f>Capex!CR13</f>
        <v>453</v>
      </c>
      <c r="CS18" s="109">
        <f>Capex!CS13</f>
        <v>453</v>
      </c>
      <c r="CT18" s="171">
        <f>Capex!CT13</f>
        <v>376.25</v>
      </c>
      <c r="CU18" s="109">
        <f>Capex!CU13</f>
        <v>376.25</v>
      </c>
      <c r="CV18" s="109">
        <f>Capex!CV13</f>
        <v>376.25</v>
      </c>
      <c r="CW18" s="172">
        <f>Capex!CW13</f>
        <v>376.25</v>
      </c>
      <c r="CX18" s="109">
        <f>Capex!CX13</f>
        <v>367</v>
      </c>
      <c r="CY18" s="109">
        <f>Capex!CY13</f>
        <v>367</v>
      </c>
      <c r="CZ18" s="109">
        <f>Capex!CZ13</f>
        <v>403</v>
      </c>
      <c r="DA18" s="109">
        <f>Capex!DA13</f>
        <v>403</v>
      </c>
      <c r="DB18" s="171">
        <f>Capex!DB13</f>
        <v>400</v>
      </c>
      <c r="DC18" s="109">
        <f>Capex!DC13</f>
        <v>400</v>
      </c>
      <c r="DD18" s="109">
        <f>Capex!DD13</f>
        <v>400</v>
      </c>
      <c r="DE18" s="109">
        <f>Capex!DE13</f>
        <v>400</v>
      </c>
      <c r="DF18" s="171">
        <f>Capex!DF13</f>
        <v>400</v>
      </c>
      <c r="DG18" s="1044">
        <f>Capex!DG13</f>
        <v>400</v>
      </c>
      <c r="DH18" s="1044">
        <f>Capex!DH13</f>
        <v>400</v>
      </c>
      <c r="DI18" s="1044">
        <f>Capex!DI13</f>
        <v>400</v>
      </c>
      <c r="DJ18" s="171">
        <f>Capex!DJ13</f>
        <v>400</v>
      </c>
      <c r="DK18" s="1044">
        <f>Capex!DK13</f>
        <v>400</v>
      </c>
      <c r="DL18" s="2151">
        <f>Capex!DL13</f>
        <v>400</v>
      </c>
      <c r="DM18" s="2473">
        <f>Capex!DM13</f>
        <v>400</v>
      </c>
      <c r="DN18" s="2151">
        <f>Capex!DN13</f>
        <v>400</v>
      </c>
      <c r="DO18" s="2151">
        <f>Capex!DO13</f>
        <v>400</v>
      </c>
      <c r="DP18" s="2151">
        <f>Capex!DP13</f>
        <v>400</v>
      </c>
      <c r="DQ18" s="2473">
        <f>Capex!DQ13</f>
        <v>400</v>
      </c>
      <c r="DR18" s="2151">
        <f>Capex!DR13</f>
        <v>400</v>
      </c>
      <c r="DS18" s="2151">
        <f>Capex!DS13</f>
        <v>400</v>
      </c>
      <c r="DT18" s="2151">
        <f>Capex!DT13</f>
        <v>400</v>
      </c>
      <c r="DU18" s="2473">
        <f>Capex!DU13</f>
        <v>400</v>
      </c>
      <c r="DV18" s="2490">
        <f>Capex!DV13</f>
        <v>400</v>
      </c>
      <c r="DW18" s="2164">
        <f>Capex!DW31</f>
        <v>400</v>
      </c>
      <c r="DX18" s="2164">
        <f>Capex!DX31</f>
        <v>400</v>
      </c>
      <c r="DY18" s="2165">
        <f>Capex!DY31</f>
        <v>400</v>
      </c>
      <c r="DZ18" s="109"/>
    </row>
    <row r="19" spans="1:136">
      <c r="A19" s="167" t="s">
        <v>1364</v>
      </c>
      <c r="B19" s="109"/>
      <c r="C19" s="109"/>
      <c r="D19" s="109"/>
      <c r="E19" s="109"/>
      <c r="F19" s="109">
        <v>361</v>
      </c>
      <c r="G19" s="109">
        <v>-1379</v>
      </c>
      <c r="H19" s="109">
        <v>-3793</v>
      </c>
      <c r="I19" s="109">
        <v>350</v>
      </c>
      <c r="J19" s="109">
        <v>-2747</v>
      </c>
      <c r="K19" s="109">
        <v>-141</v>
      </c>
      <c r="L19" s="109">
        <v>0</v>
      </c>
      <c r="M19" s="109">
        <v>-530</v>
      </c>
      <c r="N19" s="109">
        <f t="shared" si="0"/>
        <v>541</v>
      </c>
      <c r="O19" s="109">
        <f t="shared" si="1"/>
        <v>131</v>
      </c>
      <c r="P19" s="109">
        <f t="shared" si="2"/>
        <v>0</v>
      </c>
      <c r="Q19" s="109">
        <f t="shared" si="3"/>
        <v>0</v>
      </c>
      <c r="R19" s="109">
        <f t="shared" si="4"/>
        <v>0</v>
      </c>
      <c r="S19" s="109">
        <f t="shared" si="5"/>
        <v>0</v>
      </c>
      <c r="T19" s="109">
        <f t="shared" si="6"/>
        <v>0</v>
      </c>
      <c r="U19" s="1044">
        <f>SUM(DB19:DE19)</f>
        <v>0</v>
      </c>
      <c r="V19" s="109">
        <f t="shared" si="8"/>
        <v>0</v>
      </c>
      <c r="W19" s="109">
        <f t="shared" si="9"/>
        <v>0</v>
      </c>
      <c r="X19" s="109">
        <f t="shared" si="10"/>
        <v>0</v>
      </c>
      <c r="Y19" s="109">
        <f t="shared" si="11"/>
        <v>0</v>
      </c>
      <c r="Z19" s="109">
        <f t="shared" si="12"/>
        <v>0</v>
      </c>
      <c r="AA19" s="109"/>
      <c r="AB19" s="109"/>
      <c r="AC19" s="109"/>
      <c r="AD19" s="109"/>
      <c r="AE19" s="109"/>
      <c r="AF19" s="109"/>
      <c r="AG19" s="109"/>
      <c r="AH19" s="536"/>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68">
        <v>0</v>
      </c>
      <c r="BG19" s="168">
        <v>-5</v>
      </c>
      <c r="BH19" s="168">
        <v>0</v>
      </c>
      <c r="BI19" s="168">
        <v>355</v>
      </c>
      <c r="BJ19" s="168">
        <v>-220</v>
      </c>
      <c r="BK19" s="168">
        <v>0</v>
      </c>
      <c r="BL19" s="168">
        <v>-2527</v>
      </c>
      <c r="BM19" s="168">
        <v>0</v>
      </c>
      <c r="BN19" s="171">
        <v>0</v>
      </c>
      <c r="BO19" s="109">
        <v>0</v>
      </c>
      <c r="BP19" s="109">
        <v>-141</v>
      </c>
      <c r="BQ19" s="109">
        <v>0</v>
      </c>
      <c r="BR19" s="171">
        <v>0</v>
      </c>
      <c r="BS19" s="109">
        <v>0</v>
      </c>
      <c r="BT19" s="109">
        <v>0</v>
      </c>
      <c r="BU19" s="109">
        <v>0</v>
      </c>
      <c r="BV19" s="171">
        <v>0</v>
      </c>
      <c r="BW19" s="109">
        <v>-530</v>
      </c>
      <c r="BX19" s="109">
        <v>0</v>
      </c>
      <c r="BY19" s="109">
        <v>0</v>
      </c>
      <c r="BZ19" s="171">
        <f>NormInputs!BP372</f>
        <v>0</v>
      </c>
      <c r="CA19" s="109">
        <f>NormInputs!BQ372</f>
        <v>0</v>
      </c>
      <c r="CB19" s="109">
        <f>NormInputs!BR372</f>
        <v>0</v>
      </c>
      <c r="CC19" s="109">
        <f>NormInputs!BS372</f>
        <v>541</v>
      </c>
      <c r="CD19" s="171">
        <f>NormInputs!BT372</f>
        <v>131</v>
      </c>
      <c r="CE19" s="109">
        <f>NormInputs!BU372</f>
        <v>0</v>
      </c>
      <c r="CF19" s="109">
        <f>NormInputs!BV372</f>
        <v>0</v>
      </c>
      <c r="CG19" s="109">
        <f>NormInputs!BW372</f>
        <v>0</v>
      </c>
      <c r="CH19" s="171">
        <f>NormInputs!BX372</f>
        <v>0</v>
      </c>
      <c r="CI19" s="109">
        <f>NormInputs!BY372</f>
        <v>0</v>
      </c>
      <c r="CJ19" s="109">
        <f>NormInputs!BZ372</f>
        <v>0</v>
      </c>
      <c r="CK19" s="109">
        <f>NormInputs!CA372</f>
        <v>0</v>
      </c>
      <c r="CL19" s="171">
        <f>NormInputs!CB372</f>
        <v>0</v>
      </c>
      <c r="CM19" s="109">
        <f>NormInputs!CC372</f>
        <v>0</v>
      </c>
      <c r="CN19" s="109">
        <f>NormInputs!CD372</f>
        <v>0</v>
      </c>
      <c r="CO19" s="109">
        <f>NormInputs!CE372</f>
        <v>0</v>
      </c>
      <c r="CP19" s="171">
        <f>NormInputs!CF372</f>
        <v>0</v>
      </c>
      <c r="CQ19" s="109">
        <f>NormInputs!CG372</f>
        <v>0</v>
      </c>
      <c r="CR19" s="109">
        <f>NormInputs!CH372</f>
        <v>0</v>
      </c>
      <c r="CS19" s="109">
        <f>NormInputs!CI372</f>
        <v>0</v>
      </c>
      <c r="CT19" s="171">
        <f>NormInputs!CJ372</f>
        <v>0</v>
      </c>
      <c r="CU19" s="109">
        <f>NormInputs!CK372</f>
        <v>0</v>
      </c>
      <c r="CV19" s="109">
        <f>NormInputs!CL372</f>
        <v>0</v>
      </c>
      <c r="CW19" s="172">
        <f>NormInputs!CM372</f>
        <v>0</v>
      </c>
      <c r="CX19" s="109">
        <f>NormInputs!CN372</f>
        <v>0</v>
      </c>
      <c r="CY19" s="109">
        <f>NormInputs!CO372</f>
        <v>0</v>
      </c>
      <c r="CZ19" s="109">
        <f>NormInputs!CP372</f>
        <v>0</v>
      </c>
      <c r="DA19" s="109">
        <f>NormInputs!CQ372</f>
        <v>0</v>
      </c>
      <c r="DB19" s="171">
        <f>NormInputs!CR372</f>
        <v>0</v>
      </c>
      <c r="DC19" s="109">
        <f>NormInputs!CS372</f>
        <v>0</v>
      </c>
      <c r="DD19" s="109">
        <f>NormInputs!CT372</f>
        <v>0</v>
      </c>
      <c r="DE19" s="109">
        <f>NormInputs!CU372</f>
        <v>0</v>
      </c>
      <c r="DF19" s="171">
        <f>NormInputs!CV372</f>
        <v>0</v>
      </c>
      <c r="DG19" s="1044">
        <f>NormInputs!CW372</f>
        <v>0</v>
      </c>
      <c r="DH19" s="1044">
        <f>NormInputs!CX372</f>
        <v>0</v>
      </c>
      <c r="DI19" s="1044">
        <f>NormInputs!CY372</f>
        <v>0</v>
      </c>
      <c r="DJ19" s="171">
        <f>NormInputs!CZ372</f>
        <v>0</v>
      </c>
      <c r="DK19" s="1044">
        <f>NormInputs!DA372</f>
        <v>0</v>
      </c>
      <c r="DL19" s="2151">
        <f>NormInputs!DB372</f>
        <v>0</v>
      </c>
      <c r="DM19" s="2473">
        <f>NormInputs!DC372</f>
        <v>0</v>
      </c>
      <c r="DN19" s="2151">
        <f>NormInputs!DD372</f>
        <v>0</v>
      </c>
      <c r="DO19" s="2151">
        <f>NormInputs!DE372</f>
        <v>0</v>
      </c>
      <c r="DP19" s="2151">
        <f>NormInputs!DF372</f>
        <v>0</v>
      </c>
      <c r="DQ19" s="2473">
        <f>NormInputs!DG372</f>
        <v>0</v>
      </c>
      <c r="DR19" s="2151">
        <f>NormInputs!DH372</f>
        <v>0</v>
      </c>
      <c r="DS19" s="2151">
        <f>NormInputs!DI372</f>
        <v>0</v>
      </c>
      <c r="DT19" s="2151">
        <f>NormInputs!DJ372</f>
        <v>0</v>
      </c>
      <c r="DU19" s="2473">
        <f>NormInputs!DK372</f>
        <v>0</v>
      </c>
      <c r="DV19" s="2490">
        <f>NormInputs!DL372</f>
        <v>0</v>
      </c>
      <c r="DW19" s="3259">
        <v>0</v>
      </c>
      <c r="DX19" s="3259">
        <v>0</v>
      </c>
      <c r="DY19" s="2498">
        <v>0</v>
      </c>
      <c r="DZ19" s="109"/>
    </row>
    <row r="20" spans="1:136">
      <c r="A20" s="167" t="s">
        <v>1365</v>
      </c>
      <c r="B20" s="109"/>
      <c r="C20" s="109"/>
      <c r="D20" s="109"/>
      <c r="E20" s="109"/>
      <c r="F20" s="168">
        <v>0</v>
      </c>
      <c r="G20" s="168">
        <v>664</v>
      </c>
      <c r="H20" s="168">
        <v>-664</v>
      </c>
      <c r="I20" s="168">
        <v>182</v>
      </c>
      <c r="J20" s="168">
        <v>0</v>
      </c>
      <c r="K20" s="168">
        <v>0</v>
      </c>
      <c r="L20" s="109">
        <v>0</v>
      </c>
      <c r="M20" s="168">
        <v>0</v>
      </c>
      <c r="N20" s="109">
        <f t="shared" si="0"/>
        <v>0</v>
      </c>
      <c r="O20" s="109">
        <f t="shared" si="1"/>
        <v>0</v>
      </c>
      <c r="P20" s="109">
        <f t="shared" si="2"/>
        <v>0</v>
      </c>
      <c r="Q20" s="109">
        <f t="shared" si="3"/>
        <v>0</v>
      </c>
      <c r="R20" s="109">
        <f t="shared" si="4"/>
        <v>0</v>
      </c>
      <c r="S20" s="109">
        <f t="shared" si="5"/>
        <v>0</v>
      </c>
      <c r="T20" s="109">
        <f t="shared" si="6"/>
        <v>0</v>
      </c>
      <c r="U20" s="1044">
        <f t="shared" si="7"/>
        <v>0</v>
      </c>
      <c r="V20" s="109">
        <f t="shared" si="8"/>
        <v>0</v>
      </c>
      <c r="W20" s="109">
        <f t="shared" si="9"/>
        <v>0</v>
      </c>
      <c r="X20" s="109">
        <f t="shared" si="10"/>
        <v>0</v>
      </c>
      <c r="Y20" s="109">
        <f t="shared" si="11"/>
        <v>0</v>
      </c>
      <c r="Z20" s="109">
        <f t="shared" si="12"/>
        <v>0</v>
      </c>
      <c r="AA20" s="168"/>
      <c r="AB20" s="168"/>
      <c r="AC20" s="168"/>
      <c r="AD20" s="168"/>
      <c r="AE20" s="168"/>
      <c r="AF20" s="168"/>
      <c r="AG20" s="168"/>
      <c r="AH20" s="792"/>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68"/>
      <c r="BF20" s="168">
        <v>116</v>
      </c>
      <c r="BG20" s="168">
        <v>37</v>
      </c>
      <c r="BH20" s="168">
        <v>13</v>
      </c>
      <c r="BI20" s="168">
        <v>16</v>
      </c>
      <c r="BJ20" s="168"/>
      <c r="BK20" s="168"/>
      <c r="BL20" s="168"/>
      <c r="BM20" s="168"/>
      <c r="BN20" s="171">
        <v>0</v>
      </c>
      <c r="BO20" s="109">
        <v>0</v>
      </c>
      <c r="BP20" s="109">
        <v>0</v>
      </c>
      <c r="BQ20" s="109">
        <v>0</v>
      </c>
      <c r="BR20" s="171">
        <v>0</v>
      </c>
      <c r="BS20" s="109">
        <v>0</v>
      </c>
      <c r="BT20" s="109">
        <v>0</v>
      </c>
      <c r="BU20" s="109">
        <v>0</v>
      </c>
      <c r="BV20" s="171">
        <v>0</v>
      </c>
      <c r="BW20" s="109">
        <v>0</v>
      </c>
      <c r="BX20" s="109">
        <v>0</v>
      </c>
      <c r="BY20" s="109">
        <v>0</v>
      </c>
      <c r="BZ20" s="171">
        <f>NormInputs!BP373</f>
        <v>0</v>
      </c>
      <c r="CA20" s="109">
        <f>NormInputs!BQ373</f>
        <v>0</v>
      </c>
      <c r="CB20" s="109">
        <f>NormInputs!BR373</f>
        <v>0</v>
      </c>
      <c r="CC20" s="109">
        <f>NormInputs!BS373</f>
        <v>0</v>
      </c>
      <c r="CD20" s="171">
        <f>NormInputs!BT373</f>
        <v>0</v>
      </c>
      <c r="CE20" s="109">
        <f>NormInputs!BU373</f>
        <v>0</v>
      </c>
      <c r="CF20" s="109">
        <f>NormInputs!BV373</f>
        <v>0</v>
      </c>
      <c r="CG20" s="109">
        <f>NormInputs!BW373</f>
        <v>0</v>
      </c>
      <c r="CH20" s="171">
        <f>NormInputs!BX373</f>
        <v>0</v>
      </c>
      <c r="CI20" s="109">
        <f>NormInputs!BY373</f>
        <v>0</v>
      </c>
      <c r="CJ20" s="109">
        <f>NormInputs!BZ373</f>
        <v>0</v>
      </c>
      <c r="CK20" s="109">
        <f>NormInputs!CA373</f>
        <v>0</v>
      </c>
      <c r="CL20" s="171">
        <f>NormInputs!CB373</f>
        <v>0</v>
      </c>
      <c r="CM20" s="109">
        <f>NormInputs!CC373</f>
        <v>0</v>
      </c>
      <c r="CN20" s="109">
        <f>NormInputs!CD373</f>
        <v>0</v>
      </c>
      <c r="CO20" s="109">
        <f>NormInputs!CE373</f>
        <v>0</v>
      </c>
      <c r="CP20" s="171">
        <f>NormInputs!CF373</f>
        <v>0</v>
      </c>
      <c r="CQ20" s="109">
        <f>NormInputs!CG373</f>
        <v>0</v>
      </c>
      <c r="CR20" s="109">
        <f>NormInputs!CH373</f>
        <v>0</v>
      </c>
      <c r="CS20" s="109">
        <f>NormInputs!CI373</f>
        <v>0</v>
      </c>
      <c r="CT20" s="171">
        <f>NormInputs!CJ373</f>
        <v>0</v>
      </c>
      <c r="CU20" s="109">
        <f>NormInputs!CK373</f>
        <v>0</v>
      </c>
      <c r="CV20" s="109">
        <f>NormInputs!CL373</f>
        <v>0</v>
      </c>
      <c r="CW20" s="172">
        <f>NormInputs!CM373</f>
        <v>0</v>
      </c>
      <c r="CX20" s="109">
        <f>NormInputs!CN373</f>
        <v>0</v>
      </c>
      <c r="CY20" s="109">
        <f>NormInputs!CO373</f>
        <v>0</v>
      </c>
      <c r="CZ20" s="109">
        <f>NormInputs!CP373</f>
        <v>0</v>
      </c>
      <c r="DA20" s="109">
        <f>NormInputs!CQ373</f>
        <v>0</v>
      </c>
      <c r="DB20" s="171">
        <f>NormInputs!CR373</f>
        <v>0</v>
      </c>
      <c r="DC20" s="109">
        <f>NormInputs!CS373</f>
        <v>0</v>
      </c>
      <c r="DD20" s="109">
        <f>NormInputs!CT373</f>
        <v>0</v>
      </c>
      <c r="DE20" s="109">
        <f>NormInputs!CU373</f>
        <v>0</v>
      </c>
      <c r="DF20" s="171">
        <f>NormInputs!CV373</f>
        <v>0</v>
      </c>
      <c r="DG20" s="1044">
        <f>NormInputs!CW373</f>
        <v>0</v>
      </c>
      <c r="DH20" s="1044">
        <f>NormInputs!CX373</f>
        <v>0</v>
      </c>
      <c r="DI20" s="1044">
        <f>NormInputs!CY373</f>
        <v>0</v>
      </c>
      <c r="DJ20" s="171">
        <f>NormInputs!CZ373</f>
        <v>0</v>
      </c>
      <c r="DK20" s="1044">
        <f>NormInputs!DA373</f>
        <v>0</v>
      </c>
      <c r="DL20" s="2151">
        <f>NormInputs!DB373</f>
        <v>0</v>
      </c>
      <c r="DM20" s="2473">
        <f>NormInputs!DC373</f>
        <v>0</v>
      </c>
      <c r="DN20" s="2151">
        <f>NormInputs!DD373</f>
        <v>0</v>
      </c>
      <c r="DO20" s="2151">
        <f>NormInputs!DE373</f>
        <v>0</v>
      </c>
      <c r="DP20" s="2151">
        <f>NormInputs!DF373</f>
        <v>0</v>
      </c>
      <c r="DQ20" s="2473">
        <f>NormInputs!DG373</f>
        <v>0</v>
      </c>
      <c r="DR20" s="2151">
        <f>NormInputs!DH373</f>
        <v>0</v>
      </c>
      <c r="DS20" s="2151">
        <f>NormInputs!DI373</f>
        <v>0</v>
      </c>
      <c r="DT20" s="2151">
        <f>NormInputs!DJ373</f>
        <v>0</v>
      </c>
      <c r="DU20" s="2473">
        <f>NormInputs!DK373</f>
        <v>0</v>
      </c>
      <c r="DV20" s="2490">
        <f>NormInputs!DL373</f>
        <v>0</v>
      </c>
      <c r="DW20" s="1370"/>
      <c r="DX20" s="1370"/>
      <c r="DY20" s="360"/>
      <c r="DZ20" s="109"/>
    </row>
    <row r="21" spans="1:136">
      <c r="A21" s="167" t="s">
        <v>1366</v>
      </c>
      <c r="B21" s="109"/>
      <c r="C21" s="109"/>
      <c r="D21" s="109"/>
      <c r="E21" s="109"/>
      <c r="F21" s="109">
        <v>167</v>
      </c>
      <c r="G21" s="109">
        <v>-1707</v>
      </c>
      <c r="H21" s="109">
        <v>-3340</v>
      </c>
      <c r="I21" s="109">
        <v>-1327</v>
      </c>
      <c r="J21" s="109">
        <v>-501</v>
      </c>
      <c r="K21" s="109">
        <v>3048</v>
      </c>
      <c r="L21" s="109">
        <v>1999</v>
      </c>
      <c r="M21" s="109">
        <v>1840</v>
      </c>
      <c r="N21" s="109">
        <f t="shared" si="0"/>
        <v>1923</v>
      </c>
      <c r="O21" s="109">
        <f t="shared" si="1"/>
        <v>1720</v>
      </c>
      <c r="P21" s="109">
        <f t="shared" si="2"/>
        <v>1955</v>
      </c>
      <c r="Q21" s="109">
        <f t="shared" si="3"/>
        <v>5095</v>
      </c>
      <c r="R21" s="109">
        <f t="shared" si="4"/>
        <v>3988</v>
      </c>
      <c r="S21" s="109">
        <f t="shared" si="5"/>
        <v>7426</v>
      </c>
      <c r="T21" s="109">
        <f t="shared" si="6"/>
        <v>8198</v>
      </c>
      <c r="U21" s="1044">
        <f t="shared" si="7"/>
        <v>-5052</v>
      </c>
      <c r="V21" s="109">
        <f t="shared" si="8"/>
        <v>8130</v>
      </c>
      <c r="W21" s="109">
        <f t="shared" si="9"/>
        <v>-1747</v>
      </c>
      <c r="X21" s="109">
        <f t="shared" si="10"/>
        <v>2705</v>
      </c>
      <c r="Y21" s="109">
        <f t="shared" si="11"/>
        <v>440</v>
      </c>
      <c r="Z21" s="109">
        <f t="shared" si="12"/>
        <v>272.39599999999984</v>
      </c>
      <c r="AA21" s="2183">
        <f>'Pension - NEW'!S18+'OPEB - NEW'!S18</f>
        <v>512.14183543199988</v>
      </c>
      <c r="AB21" s="2183">
        <f>'Pension - NEW'!T18+'OPEB - NEW'!T18</f>
        <v>477.73610396405599</v>
      </c>
      <c r="AC21" s="2183">
        <f>'Pension - NEW'!U18+'OPEB - NEW'!U18</f>
        <v>440.87931818625179</v>
      </c>
      <c r="AD21" s="2183">
        <f>'Pension - NEW'!V18+'OPEB - NEW'!V18</f>
        <v>401.40094368301152</v>
      </c>
      <c r="AE21" s="2183">
        <f>'Pension - NEW'!W18+'OPEB - NEW'!W18</f>
        <v>359.11866078721766</v>
      </c>
      <c r="AF21" s="2183">
        <f>'Pension - NEW'!X18+'OPEB - NEW'!X18</f>
        <v>313.83755016643505</v>
      </c>
      <c r="AG21" s="2183">
        <f>'Pension - NEW'!Y18+'OPEB - NEW'!Y18</f>
        <v>265.34922200335865</v>
      </c>
      <c r="AH21" s="536"/>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68">
        <v>-476</v>
      </c>
      <c r="BG21" s="168">
        <v>-642</v>
      </c>
      <c r="BH21" s="168">
        <v>-492</v>
      </c>
      <c r="BI21" s="168">
        <v>283</v>
      </c>
      <c r="BJ21" s="168">
        <v>-405</v>
      </c>
      <c r="BK21" s="168">
        <v>-321</v>
      </c>
      <c r="BL21" s="168">
        <v>-237</v>
      </c>
      <c r="BM21" s="168">
        <v>462</v>
      </c>
      <c r="BN21" s="171">
        <v>-78</v>
      </c>
      <c r="BO21" s="109">
        <v>248</v>
      </c>
      <c r="BP21" s="109">
        <v>60</v>
      </c>
      <c r="BQ21" s="109">
        <v>2818</v>
      </c>
      <c r="BR21" s="171">
        <v>1054</v>
      </c>
      <c r="BS21" s="109">
        <v>356</v>
      </c>
      <c r="BT21" s="109">
        <v>269</v>
      </c>
      <c r="BU21" s="109">
        <v>320</v>
      </c>
      <c r="BV21" s="171">
        <v>435</v>
      </c>
      <c r="BW21" s="109">
        <v>426</v>
      </c>
      <c r="BX21" s="109">
        <v>439</v>
      </c>
      <c r="BY21" s="109">
        <v>540</v>
      </c>
      <c r="BZ21" s="171">
        <f>NormInputs!BP374</f>
        <v>523</v>
      </c>
      <c r="CA21" s="109">
        <f>NormInputs!BQ374</f>
        <v>517</v>
      </c>
      <c r="CB21" s="109">
        <f>NormInputs!BR374</f>
        <v>460</v>
      </c>
      <c r="CC21" s="109">
        <f>NormInputs!BS374</f>
        <v>423</v>
      </c>
      <c r="CD21" s="171">
        <f>NormInputs!BT374</f>
        <v>430</v>
      </c>
      <c r="CE21" s="109">
        <f>NormInputs!BU374</f>
        <v>432</v>
      </c>
      <c r="CF21" s="109">
        <f>NormInputs!BV374</f>
        <v>428</v>
      </c>
      <c r="CG21" s="109">
        <f>NormInputs!BW374</f>
        <v>430</v>
      </c>
      <c r="CH21" s="171">
        <f>NormInputs!BX374</f>
        <v>407</v>
      </c>
      <c r="CI21" s="109">
        <f>NormInputs!BY374</f>
        <v>401</v>
      </c>
      <c r="CJ21" s="109">
        <f>NormInputs!BZ374</f>
        <v>424</v>
      </c>
      <c r="CK21" s="109">
        <f>NormInputs!CA374</f>
        <v>723</v>
      </c>
      <c r="CL21" s="171">
        <f>NormInputs!CB374</f>
        <v>502</v>
      </c>
      <c r="CM21" s="109">
        <f>NormInputs!CC374</f>
        <v>918</v>
      </c>
      <c r="CN21" s="109">
        <f>NormInputs!CD374</f>
        <v>1113</v>
      </c>
      <c r="CO21" s="109">
        <f>NormInputs!CE374</f>
        <v>2562</v>
      </c>
      <c r="CP21" s="171">
        <f>NormInputs!CF374</f>
        <v>543</v>
      </c>
      <c r="CQ21" s="109">
        <f>NormInputs!CG374</f>
        <v>3445</v>
      </c>
      <c r="CR21" s="109">
        <f>NormInputs!CH374</f>
        <v>1722</v>
      </c>
      <c r="CS21" s="109">
        <f>NormInputs!CI374</f>
        <v>-1722</v>
      </c>
      <c r="CT21" s="171">
        <f>NormInputs!CJ374</f>
        <v>373</v>
      </c>
      <c r="CU21" s="109">
        <f>NormInputs!CK374</f>
        <v>353</v>
      </c>
      <c r="CV21" s="109">
        <f>NormInputs!CL374</f>
        <v>702</v>
      </c>
      <c r="CW21" s="172">
        <f>NormInputs!CM374</f>
        <v>5998</v>
      </c>
      <c r="CX21" s="109">
        <f>NormInputs!CN374</f>
        <v>375</v>
      </c>
      <c r="CY21" s="109">
        <f>NormInputs!CO374</f>
        <v>376</v>
      </c>
      <c r="CZ21" s="109">
        <f>NormInputs!CP374</f>
        <v>375</v>
      </c>
      <c r="DA21" s="109">
        <f>NormInputs!CQ374</f>
        <v>7072</v>
      </c>
      <c r="DB21" s="171">
        <f>NormInputs!CR374</f>
        <v>295</v>
      </c>
      <c r="DC21" s="109">
        <f>NormInputs!CS374</f>
        <v>59</v>
      </c>
      <c r="DD21" s="109">
        <f>NormInputs!CT374</f>
        <v>295</v>
      </c>
      <c r="DE21" s="109">
        <f>NormInputs!CU374</f>
        <v>-5701</v>
      </c>
      <c r="DF21" s="171">
        <f>NormInputs!CV374</f>
        <v>281</v>
      </c>
      <c r="DG21" s="1044">
        <f>NormInputs!CW374</f>
        <v>281</v>
      </c>
      <c r="DH21" s="1044">
        <f>NormInputs!CX374</f>
        <v>281</v>
      </c>
      <c r="DI21" s="1044">
        <f>NormInputs!CY374</f>
        <v>7287</v>
      </c>
      <c r="DJ21" s="171">
        <f>NormInputs!CZ374</f>
        <v>284</v>
      </c>
      <c r="DK21" s="1044">
        <f>NormInputs!DA374</f>
        <v>277</v>
      </c>
      <c r="DL21" s="2151">
        <f>NormInputs!DB374</f>
        <v>623</v>
      </c>
      <c r="DM21" s="2473">
        <f>NormInputs!DC374</f>
        <v>-2931</v>
      </c>
      <c r="DN21" s="2151">
        <f>NormInputs!DD374</f>
        <v>356</v>
      </c>
      <c r="DO21" s="2151">
        <f>NormInputs!DE374</f>
        <v>3665</v>
      </c>
      <c r="DP21" s="2151">
        <f>NormInputs!DF374</f>
        <v>510</v>
      </c>
      <c r="DQ21" s="2473">
        <f>NormInputs!DG374</f>
        <v>-1826</v>
      </c>
      <c r="DR21" s="2151">
        <f>NormInputs!DH374</f>
        <v>-111</v>
      </c>
      <c r="DS21" s="2151">
        <f>NormInputs!DI374</f>
        <v>-112</v>
      </c>
      <c r="DT21" s="2151">
        <f>NormInputs!DJ374</f>
        <v>-111</v>
      </c>
      <c r="DU21" s="2473">
        <f>NormInputs!DK374</f>
        <v>774</v>
      </c>
      <c r="DV21" s="2490">
        <f>NormInputs!DL374</f>
        <v>-151</v>
      </c>
      <c r="DW21" s="2164">
        <f>('Pension - NEW'!$Q$18+'OPEB - NEW'!$Q$18)/4</f>
        <v>141.13199999999995</v>
      </c>
      <c r="DX21" s="2164">
        <f>('Pension - NEW'!$Q$18+'OPEB - NEW'!$Q$18)/4</f>
        <v>141.13199999999995</v>
      </c>
      <c r="DY21" s="2165">
        <f>('Pension - NEW'!$Q$18+'OPEB - NEW'!$Q$18)/4</f>
        <v>141.13199999999995</v>
      </c>
      <c r="DZ21" s="109"/>
    </row>
    <row r="22" spans="1:136">
      <c r="A22" s="167" t="s">
        <v>1367</v>
      </c>
      <c r="B22" s="109"/>
      <c r="C22" s="109"/>
      <c r="D22" s="109"/>
      <c r="E22" s="109"/>
      <c r="F22" s="109">
        <v>639</v>
      </c>
      <c r="G22" s="109">
        <v>2148</v>
      </c>
      <c r="H22" s="109">
        <v>3434</v>
      </c>
      <c r="I22" s="109">
        <v>1065</v>
      </c>
      <c r="J22" s="109">
        <v>1704</v>
      </c>
      <c r="K22" s="109">
        <v>826</v>
      </c>
      <c r="L22" s="109">
        <v>1842</v>
      </c>
      <c r="M22" s="109">
        <v>-1059</v>
      </c>
      <c r="N22" s="109">
        <f t="shared" si="0"/>
        <v>-252</v>
      </c>
      <c r="O22" s="109">
        <f t="shared" si="1"/>
        <v>408</v>
      </c>
      <c r="P22" s="109">
        <f t="shared" si="2"/>
        <v>2183</v>
      </c>
      <c r="Q22" s="109">
        <f t="shared" si="3"/>
        <v>1384</v>
      </c>
      <c r="R22" s="109">
        <f t="shared" si="4"/>
        <v>3233</v>
      </c>
      <c r="S22" s="109">
        <f t="shared" si="5"/>
        <v>-223</v>
      </c>
      <c r="T22" s="109">
        <f t="shared" si="6"/>
        <v>-952</v>
      </c>
      <c r="U22" s="1044">
        <f t="shared" si="7"/>
        <v>5785</v>
      </c>
      <c r="V22" s="109">
        <f t="shared" si="8"/>
        <v>-92</v>
      </c>
      <c r="W22" s="109">
        <f>SUM(DJ22:DM22)</f>
        <v>3516</v>
      </c>
      <c r="X22" s="109">
        <f t="shared" si="10"/>
        <v>-1063</v>
      </c>
      <c r="Y22" s="109">
        <f t="shared" si="11"/>
        <v>-14463</v>
      </c>
      <c r="Z22" s="109">
        <f t="shared" si="12"/>
        <v>-445.53507854999771</v>
      </c>
      <c r="AA22" s="2183">
        <f>BS!AA48-BS!Z48</f>
        <v>787.2400175987932</v>
      </c>
      <c r="AB22" s="2183">
        <f>BS!AB48-BS!AA48</f>
        <v>842.4080961125801</v>
      </c>
      <c r="AC22" s="2183">
        <f>BS!AC48-BS!AB48</f>
        <v>2433.0922386348102</v>
      </c>
      <c r="AD22" s="2183">
        <f>BS!AD48-BS!AC48</f>
        <v>2446.9096697109417</v>
      </c>
      <c r="AE22" s="2183">
        <f>BS!AE48-BS!AD48</f>
        <v>2461.7084687244787</v>
      </c>
      <c r="AF22" s="2183">
        <f>BS!AF48-BS!AE48</f>
        <v>2477.5568574417484</v>
      </c>
      <c r="AG22" s="2183">
        <f>BS!AG48-BS!AF48</f>
        <v>2494.5277722988249</v>
      </c>
      <c r="AH22" s="536"/>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68">
        <v>416</v>
      </c>
      <c r="BG22" s="168">
        <v>-765</v>
      </c>
      <c r="BH22" s="168">
        <v>901</v>
      </c>
      <c r="BI22" s="168">
        <v>513</v>
      </c>
      <c r="BJ22" s="168">
        <v>369</v>
      </c>
      <c r="BK22" s="168">
        <v>415</v>
      </c>
      <c r="BL22" s="168">
        <v>67</v>
      </c>
      <c r="BM22" s="168">
        <v>853</v>
      </c>
      <c r="BN22" s="171">
        <v>421</v>
      </c>
      <c r="BO22" s="109">
        <v>331</v>
      </c>
      <c r="BP22" s="109">
        <v>666</v>
      </c>
      <c r="BQ22" s="109">
        <v>-592</v>
      </c>
      <c r="BR22" s="171">
        <v>124</v>
      </c>
      <c r="BS22" s="109">
        <v>348</v>
      </c>
      <c r="BT22" s="109">
        <v>496</v>
      </c>
      <c r="BU22" s="109">
        <v>874</v>
      </c>
      <c r="BV22" s="171">
        <v>-281</v>
      </c>
      <c r="BW22" s="109">
        <v>-454</v>
      </c>
      <c r="BX22" s="109">
        <v>-182</v>
      </c>
      <c r="BY22" s="109">
        <v>-142</v>
      </c>
      <c r="BZ22" s="171">
        <f>NormInputs!BP375</f>
        <v>-157</v>
      </c>
      <c r="CA22" s="109">
        <f>NormInputs!BQ375</f>
        <v>-506</v>
      </c>
      <c r="CB22" s="109">
        <f>NormInputs!BR375</f>
        <v>123</v>
      </c>
      <c r="CC22" s="109">
        <f>NormInputs!BS375</f>
        <v>288</v>
      </c>
      <c r="CD22" s="171">
        <f>NormInputs!BT375</f>
        <v>222</v>
      </c>
      <c r="CE22" s="109">
        <f>NormInputs!BU375</f>
        <v>110</v>
      </c>
      <c r="CF22" s="109">
        <f>NormInputs!BV375</f>
        <v>376</v>
      </c>
      <c r="CG22" s="109">
        <f>NormInputs!BW375</f>
        <v>-300</v>
      </c>
      <c r="CH22" s="171">
        <f>NormInputs!BX375</f>
        <v>682</v>
      </c>
      <c r="CI22" s="109">
        <f>NormInputs!BY375</f>
        <v>1092</v>
      </c>
      <c r="CJ22" s="109">
        <f>NormInputs!BZ375</f>
        <v>466</v>
      </c>
      <c r="CK22" s="109">
        <f>NormInputs!CA375</f>
        <v>-57</v>
      </c>
      <c r="CL22" s="171">
        <f>NormInputs!CB375</f>
        <v>604</v>
      </c>
      <c r="CM22" s="109">
        <f>NormInputs!CC375</f>
        <v>692</v>
      </c>
      <c r="CN22" s="109">
        <f>NormInputs!CD375</f>
        <v>1376</v>
      </c>
      <c r="CO22" s="109">
        <f>NormInputs!CE375</f>
        <v>-1288</v>
      </c>
      <c r="CP22" s="171">
        <f>NormInputs!CF375</f>
        <v>2445</v>
      </c>
      <c r="CQ22" s="109">
        <f>NormInputs!CG375</f>
        <v>-1670</v>
      </c>
      <c r="CR22" s="109">
        <f>NormInputs!CH375</f>
        <v>836</v>
      </c>
      <c r="CS22" s="109">
        <f>NormInputs!CI375</f>
        <v>1622</v>
      </c>
      <c r="CT22" s="171">
        <f>NormInputs!CJ375</f>
        <v>790</v>
      </c>
      <c r="CU22" s="109">
        <f>NormInputs!CK375</f>
        <v>711</v>
      </c>
      <c r="CV22" s="109">
        <f>NormInputs!CL375</f>
        <v>400</v>
      </c>
      <c r="CW22" s="172">
        <f>NormInputs!CM375</f>
        <v>-2124</v>
      </c>
      <c r="CX22" s="109">
        <f>NormInputs!CN375</f>
        <v>656</v>
      </c>
      <c r="CY22" s="109">
        <f>NormInputs!CO375</f>
        <v>581</v>
      </c>
      <c r="CZ22" s="109">
        <f>NormInputs!CP375</f>
        <v>428</v>
      </c>
      <c r="DA22" s="109">
        <f>NormInputs!CQ375</f>
        <v>-2617</v>
      </c>
      <c r="DB22" s="171">
        <f>NormInputs!CR375</f>
        <v>878</v>
      </c>
      <c r="DC22" s="109">
        <f>NormInputs!CS375</f>
        <v>934</v>
      </c>
      <c r="DD22" s="109">
        <f>NormInputs!CT375</f>
        <v>1199</v>
      </c>
      <c r="DE22" s="109">
        <f>NormInputs!CU375</f>
        <v>2774</v>
      </c>
      <c r="DF22" s="171">
        <f>NormInputs!CV375</f>
        <v>-155</v>
      </c>
      <c r="DG22" s="1044">
        <f>NormInputs!CW375</f>
        <v>408</v>
      </c>
      <c r="DH22" s="1044">
        <f>NormInputs!CX375</f>
        <v>661</v>
      </c>
      <c r="DI22" s="1044">
        <f>NormInputs!CY375</f>
        <v>-1006</v>
      </c>
      <c r="DJ22" s="171">
        <f>NormInputs!CZ375</f>
        <v>823</v>
      </c>
      <c r="DK22" s="1044">
        <f>NormInputs!DA375</f>
        <v>3</v>
      </c>
      <c r="DL22" s="2151">
        <f>NormInputs!DB375</f>
        <v>64</v>
      </c>
      <c r="DM22" s="2473">
        <f>NormInputs!DC375</f>
        <v>2626</v>
      </c>
      <c r="DN22" s="2151">
        <f>NormInputs!DD375</f>
        <v>167</v>
      </c>
      <c r="DO22" s="2151">
        <f>NormInputs!DE375</f>
        <v>-3252</v>
      </c>
      <c r="DP22" s="2151">
        <f>NormInputs!DF375</f>
        <v>754</v>
      </c>
      <c r="DQ22" s="2473">
        <f>NormInputs!DG375</f>
        <v>1268</v>
      </c>
      <c r="DR22" s="2151">
        <f>NormInputs!DH375</f>
        <v>2025</v>
      </c>
      <c r="DS22" s="2151">
        <f>NormInputs!DI375</f>
        <v>-145</v>
      </c>
      <c r="DT22" s="2151">
        <f>NormInputs!DJ375</f>
        <v>697</v>
      </c>
      <c r="DU22" s="2473">
        <f>NormInputs!DK375</f>
        <v>-17040</v>
      </c>
      <c r="DV22" s="2490">
        <f>NormInputs!DL375</f>
        <v>702</v>
      </c>
      <c r="DW22" s="2164">
        <f>BS!DW48-BS!DV48</f>
        <v>-382.51169284999924</v>
      </c>
      <c r="DX22" s="2164">
        <f>BS!DX48-BS!DW48</f>
        <v>-382.51169284999924</v>
      </c>
      <c r="DY22" s="2165">
        <f>BS!DY48-BS!DX48</f>
        <v>-382.51169284999924</v>
      </c>
      <c r="DZ22" s="109"/>
    </row>
    <row r="23" spans="1:136" s="1543" customFormat="1">
      <c r="A23" s="1470" t="s">
        <v>1368</v>
      </c>
      <c r="B23" s="220"/>
      <c r="C23" s="220"/>
      <c r="D23" s="220"/>
      <c r="E23" s="220"/>
      <c r="F23" s="220">
        <v>929</v>
      </c>
      <c r="G23" s="220">
        <v>1133</v>
      </c>
      <c r="H23" s="220">
        <v>1409</v>
      </c>
      <c r="I23" s="220">
        <v>1952</v>
      </c>
      <c r="J23" s="220">
        <v>2899</v>
      </c>
      <c r="K23" s="220">
        <v>1789</v>
      </c>
      <c r="L23" s="220">
        <v>1181</v>
      </c>
      <c r="M23" s="220">
        <v>1290</v>
      </c>
      <c r="N23" s="220">
        <f t="shared" si="0"/>
        <v>1034</v>
      </c>
      <c r="O23" s="220">
        <f t="shared" si="1"/>
        <v>1047</v>
      </c>
      <c r="P23" s="220">
        <f t="shared" si="2"/>
        <v>1085</v>
      </c>
      <c r="Q23" s="220">
        <f t="shared" si="3"/>
        <v>1306</v>
      </c>
      <c r="R23" s="220">
        <f t="shared" si="4"/>
        <v>1246</v>
      </c>
      <c r="S23" s="220">
        <f t="shared" si="5"/>
        <v>1026</v>
      </c>
      <c r="T23" s="220">
        <f t="shared" si="6"/>
        <v>972</v>
      </c>
      <c r="U23" s="1302">
        <f t="shared" si="7"/>
        <v>993</v>
      </c>
      <c r="V23" s="220">
        <f t="shared" si="8"/>
        <v>1095</v>
      </c>
      <c r="W23" s="220">
        <f t="shared" si="9"/>
        <v>1610</v>
      </c>
      <c r="X23" s="220">
        <f t="shared" si="10"/>
        <v>1420</v>
      </c>
      <c r="Y23" s="220">
        <f t="shared" si="11"/>
        <v>1167</v>
      </c>
      <c r="Z23" s="220">
        <f t="shared" si="12"/>
        <v>956</v>
      </c>
      <c r="AA23" s="220">
        <f>Z23</f>
        <v>956</v>
      </c>
      <c r="AB23" s="220">
        <f>AA23</f>
        <v>956</v>
      </c>
      <c r="AC23" s="220">
        <f t="shared" ref="AC23:AG23" si="13">AB23</f>
        <v>956</v>
      </c>
      <c r="AD23" s="220">
        <f t="shared" si="13"/>
        <v>956</v>
      </c>
      <c r="AE23" s="220">
        <f t="shared" si="13"/>
        <v>956</v>
      </c>
      <c r="AF23" s="220">
        <f t="shared" si="13"/>
        <v>956</v>
      </c>
      <c r="AG23" s="220">
        <f t="shared" si="13"/>
        <v>956</v>
      </c>
      <c r="AH23" s="1316"/>
      <c r="AI23" s="220"/>
      <c r="AJ23" s="220"/>
      <c r="AK23" s="220"/>
      <c r="AL23" s="220"/>
      <c r="AM23" s="220"/>
      <c r="AN23" s="220"/>
      <c r="AO23" s="220"/>
      <c r="AP23" s="220"/>
      <c r="AQ23" s="220"/>
      <c r="AR23" s="220"/>
      <c r="AS23" s="220"/>
      <c r="AT23" s="220"/>
      <c r="AU23" s="220"/>
      <c r="AV23" s="220"/>
      <c r="AW23" s="220"/>
      <c r="AX23" s="220"/>
      <c r="AY23" s="220"/>
      <c r="AZ23" s="220"/>
      <c r="BA23" s="220"/>
      <c r="BB23" s="220"/>
      <c r="BC23" s="220"/>
      <c r="BD23" s="220"/>
      <c r="BE23" s="220"/>
      <c r="BF23" s="220">
        <v>364</v>
      </c>
      <c r="BG23" s="220">
        <v>418</v>
      </c>
      <c r="BH23" s="220">
        <v>592</v>
      </c>
      <c r="BI23" s="220">
        <v>578</v>
      </c>
      <c r="BJ23" s="220">
        <v>600</v>
      </c>
      <c r="BK23" s="220">
        <v>862</v>
      </c>
      <c r="BL23" s="220">
        <v>726</v>
      </c>
      <c r="BM23" s="220">
        <v>711</v>
      </c>
      <c r="BN23" s="1452">
        <v>432</v>
      </c>
      <c r="BO23" s="220">
        <v>465</v>
      </c>
      <c r="BP23" s="220">
        <v>385</v>
      </c>
      <c r="BQ23" s="220">
        <v>507</v>
      </c>
      <c r="BR23" s="1452">
        <v>390</v>
      </c>
      <c r="BS23" s="220">
        <v>115</v>
      </c>
      <c r="BT23" s="220">
        <v>371</v>
      </c>
      <c r="BU23" s="220">
        <v>305</v>
      </c>
      <c r="BV23" s="1452">
        <v>316</v>
      </c>
      <c r="BW23" s="220">
        <v>274</v>
      </c>
      <c r="BX23" s="220">
        <v>417</v>
      </c>
      <c r="BY23" s="220">
        <v>283</v>
      </c>
      <c r="BZ23" s="1452">
        <f>NormInputs!BP376</f>
        <v>347</v>
      </c>
      <c r="CA23" s="220">
        <f>NormInputs!BQ376</f>
        <v>253</v>
      </c>
      <c r="CB23" s="220">
        <f>NormInputs!BR376</f>
        <v>316</v>
      </c>
      <c r="CC23" s="220">
        <f>NormInputs!BS376</f>
        <v>118</v>
      </c>
      <c r="CD23" s="1452">
        <f>NormInputs!BT376</f>
        <v>281</v>
      </c>
      <c r="CE23" s="220">
        <f>NormInputs!BU376</f>
        <v>217</v>
      </c>
      <c r="CF23" s="220">
        <f>NormInputs!BV376</f>
        <v>243</v>
      </c>
      <c r="CG23" s="220">
        <f>NormInputs!BW376</f>
        <v>306</v>
      </c>
      <c r="CH23" s="1452">
        <f>NormInputs!BX376</f>
        <v>298</v>
      </c>
      <c r="CI23" s="220">
        <f>NormInputs!BY376</f>
        <v>196</v>
      </c>
      <c r="CJ23" s="220">
        <f>NormInputs!BZ376</f>
        <v>230</v>
      </c>
      <c r="CK23" s="220">
        <f>NormInputs!CA376</f>
        <v>361</v>
      </c>
      <c r="CL23" s="1452">
        <f>NormInputs!CB376</f>
        <v>358</v>
      </c>
      <c r="CM23" s="220">
        <f>NormInputs!CC376</f>
        <v>285</v>
      </c>
      <c r="CN23" s="220">
        <f>NormInputs!CD376</f>
        <v>274</v>
      </c>
      <c r="CO23" s="220">
        <f>NormInputs!CE376</f>
        <v>389</v>
      </c>
      <c r="CP23" s="1452">
        <f>NormInputs!CF376</f>
        <v>371</v>
      </c>
      <c r="CQ23" s="220">
        <f>NormInputs!CG376</f>
        <v>309</v>
      </c>
      <c r="CR23" s="220">
        <f>NormInputs!CH376</f>
        <v>242</v>
      </c>
      <c r="CS23" s="220">
        <f>NormInputs!CI376</f>
        <v>324</v>
      </c>
      <c r="CT23" s="1452">
        <f>NormInputs!CJ376</f>
        <v>270</v>
      </c>
      <c r="CU23" s="220">
        <f>NormInputs!CK376</f>
        <v>228</v>
      </c>
      <c r="CV23" s="220">
        <f>NormInputs!CL376</f>
        <v>256</v>
      </c>
      <c r="CW23" s="1482">
        <f>NormInputs!CM376</f>
        <v>272</v>
      </c>
      <c r="CX23" s="220">
        <f>NormInputs!CN376</f>
        <v>278</v>
      </c>
      <c r="CY23" s="220">
        <f>NormInputs!CO376</f>
        <v>243</v>
      </c>
      <c r="CZ23" s="220">
        <f>NormInputs!CP376</f>
        <v>188</v>
      </c>
      <c r="DA23" s="220">
        <f>NormInputs!CQ376</f>
        <v>263</v>
      </c>
      <c r="DB23" s="1452">
        <f>NormInputs!CR376</f>
        <v>260</v>
      </c>
      <c r="DC23" s="220">
        <f>NormInputs!CS376</f>
        <v>247</v>
      </c>
      <c r="DD23" s="220">
        <f>NormInputs!CT376</f>
        <v>239</v>
      </c>
      <c r="DE23" s="220">
        <f>NormInputs!CU376</f>
        <v>247</v>
      </c>
      <c r="DF23" s="1452">
        <f>NormInputs!CV376</f>
        <v>231</v>
      </c>
      <c r="DG23" s="1302">
        <f>NormInputs!CW376</f>
        <v>242</v>
      </c>
      <c r="DH23" s="1302">
        <f>NormInputs!CX376</f>
        <v>211</v>
      </c>
      <c r="DI23" s="1302">
        <f>NormInputs!CY376</f>
        <v>411</v>
      </c>
      <c r="DJ23" s="1452">
        <f>NormInputs!CZ376</f>
        <v>383</v>
      </c>
      <c r="DK23" s="1302">
        <f>NormInputs!DA376</f>
        <v>361</v>
      </c>
      <c r="DL23" s="2151">
        <f>NormInputs!DB376</f>
        <v>392</v>
      </c>
      <c r="DM23" s="2473">
        <f>NormInputs!DC376</f>
        <v>474</v>
      </c>
      <c r="DN23" s="2151">
        <f>NormInputs!DD376</f>
        <v>353</v>
      </c>
      <c r="DO23" s="2151">
        <f>NormInputs!DE376</f>
        <v>298</v>
      </c>
      <c r="DP23" s="2151">
        <f>NormInputs!DF376</f>
        <v>312</v>
      </c>
      <c r="DQ23" s="2473">
        <f>NormInputs!DG376</f>
        <v>457</v>
      </c>
      <c r="DR23" s="2151">
        <f>NormInputs!DH376</f>
        <v>330</v>
      </c>
      <c r="DS23" s="2151">
        <f>NormInputs!DI376</f>
        <v>302</v>
      </c>
      <c r="DT23" s="2151">
        <f>NormInputs!DJ376</f>
        <v>210</v>
      </c>
      <c r="DU23" s="2473">
        <f>NormInputs!DK376</f>
        <v>325</v>
      </c>
      <c r="DV23" s="2490">
        <f>NormInputs!DL376</f>
        <v>239</v>
      </c>
      <c r="DW23" s="1302">
        <f t="shared" ref="DW23" si="14">DV23</f>
        <v>239</v>
      </c>
      <c r="DX23" s="1302">
        <f t="shared" ref="DX23" si="15">DW23</f>
        <v>239</v>
      </c>
      <c r="DY23" s="1482">
        <f t="shared" ref="DY23" si="16">DX23</f>
        <v>239</v>
      </c>
      <c r="DZ23" s="109"/>
      <c r="EA23"/>
      <c r="EB23"/>
      <c r="EC23"/>
      <c r="ED23"/>
      <c r="EE23"/>
      <c r="EF23"/>
    </row>
    <row r="24" spans="1:136">
      <c r="A24" s="167" t="s">
        <v>973</v>
      </c>
      <c r="B24" s="109"/>
      <c r="C24" s="109"/>
      <c r="D24" s="109"/>
      <c r="E24" s="109"/>
      <c r="F24" s="109"/>
      <c r="G24" s="109"/>
      <c r="H24" s="109"/>
      <c r="I24" s="109">
        <v>-674</v>
      </c>
      <c r="J24" s="109">
        <v>-733</v>
      </c>
      <c r="K24" s="109">
        <v>-1609</v>
      </c>
      <c r="L24" s="109">
        <v>-1766</v>
      </c>
      <c r="M24" s="109">
        <v>-781</v>
      </c>
      <c r="N24" s="109">
        <f t="shared" si="0"/>
        <v>-773</v>
      </c>
      <c r="O24" s="109">
        <f t="shared" si="1"/>
        <v>1986</v>
      </c>
      <c r="P24" s="109">
        <f t="shared" si="2"/>
        <v>212</v>
      </c>
      <c r="Q24" s="109">
        <f t="shared" si="3"/>
        <v>389</v>
      </c>
      <c r="R24" s="109">
        <f t="shared" si="4"/>
        <v>2</v>
      </c>
      <c r="S24" s="109">
        <f t="shared" si="5"/>
        <v>36</v>
      </c>
      <c r="T24" s="109">
        <f t="shared" si="6"/>
        <v>77</v>
      </c>
      <c r="U24" s="1044">
        <f t="shared" si="7"/>
        <v>-102</v>
      </c>
      <c r="V24" s="109">
        <f t="shared" si="8"/>
        <v>-1743</v>
      </c>
      <c r="W24" s="109">
        <f t="shared" si="9"/>
        <v>127</v>
      </c>
      <c r="X24" s="109">
        <f t="shared" si="10"/>
        <v>138</v>
      </c>
      <c r="Y24" s="109">
        <f t="shared" si="11"/>
        <v>117</v>
      </c>
      <c r="Z24" s="109">
        <f t="shared" si="12"/>
        <v>87</v>
      </c>
      <c r="AA24" s="2183">
        <f>BS!Z26-BS!AA26</f>
        <v>68.399999999999977</v>
      </c>
      <c r="AB24" s="2183">
        <f>BS!AA26-BS!AB26</f>
        <v>61.560000000000059</v>
      </c>
      <c r="AC24" s="2183">
        <f>BS!AB26-BS!AC26</f>
        <v>55.403999999999996</v>
      </c>
      <c r="AD24" s="2183">
        <f>BS!AC26-BS!AD26</f>
        <v>49.863600000000019</v>
      </c>
      <c r="AE24" s="2183">
        <f>BS!AD26-BS!AE26</f>
        <v>44.877240000000029</v>
      </c>
      <c r="AF24" s="2183">
        <f>BS!AE26-BS!AF26</f>
        <v>40.389516000000071</v>
      </c>
      <c r="AG24" s="2183">
        <f>BS!AF26-BS!AG26</f>
        <v>36.350564400000053</v>
      </c>
      <c r="AH24" s="536"/>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68">
        <v>-167</v>
      </c>
      <c r="BG24" s="168">
        <v>-200</v>
      </c>
      <c r="BH24" s="168">
        <v>-110</v>
      </c>
      <c r="BI24" s="168">
        <v>-197</v>
      </c>
      <c r="BJ24" s="168">
        <v>-145</v>
      </c>
      <c r="BK24" s="168">
        <v>-241</v>
      </c>
      <c r="BL24" s="168">
        <v>-195</v>
      </c>
      <c r="BM24" s="168">
        <v>-152</v>
      </c>
      <c r="BN24" s="171">
        <v>-167</v>
      </c>
      <c r="BO24" s="109">
        <v>-227</v>
      </c>
      <c r="BP24" s="109">
        <v>-438</v>
      </c>
      <c r="BQ24" s="109">
        <v>-777</v>
      </c>
      <c r="BR24" s="171">
        <v>-271</v>
      </c>
      <c r="BS24" s="109">
        <v>-212</v>
      </c>
      <c r="BT24" s="109">
        <v>-226</v>
      </c>
      <c r="BU24" s="109">
        <v>-1057</v>
      </c>
      <c r="BV24" s="171">
        <v>-249</v>
      </c>
      <c r="BW24" s="109">
        <v>-179</v>
      </c>
      <c r="BX24" s="109">
        <v>-184</v>
      </c>
      <c r="BY24" s="109">
        <v>-169</v>
      </c>
      <c r="BZ24" s="171">
        <f>NormInputs!BP377</f>
        <v>-186</v>
      </c>
      <c r="CA24" s="109">
        <f>NormInputs!BQ377</f>
        <v>-142</v>
      </c>
      <c r="CB24" s="109">
        <f>NormInputs!BR377</f>
        <v>-288</v>
      </c>
      <c r="CC24" s="109">
        <f>NormInputs!BS377</f>
        <v>-157</v>
      </c>
      <c r="CD24" s="171">
        <f>NormInputs!BT377</f>
        <v>-160</v>
      </c>
      <c r="CE24" s="109">
        <f>NormInputs!BU377</f>
        <v>-185</v>
      </c>
      <c r="CF24" s="109">
        <f>NormInputs!BV377</f>
        <v>-147</v>
      </c>
      <c r="CG24" s="109">
        <f>NormInputs!BW377</f>
        <v>2478</v>
      </c>
      <c r="CH24" s="171">
        <f>NormInputs!BX377</f>
        <v>-90</v>
      </c>
      <c r="CI24" s="109">
        <f>NormInputs!BY377</f>
        <v>597</v>
      </c>
      <c r="CJ24" s="109">
        <f>NormInputs!BZ377</f>
        <v>-204</v>
      </c>
      <c r="CK24" s="109">
        <f>NormInputs!CA377</f>
        <v>-91</v>
      </c>
      <c r="CL24" s="171">
        <f>NormInputs!CB377</f>
        <v>-117</v>
      </c>
      <c r="CM24" s="109">
        <f>NormInputs!CC377</f>
        <v>290</v>
      </c>
      <c r="CN24" s="109">
        <f>NormInputs!CD377</f>
        <v>-152</v>
      </c>
      <c r="CO24" s="109">
        <f>NormInputs!CE377</f>
        <v>368</v>
      </c>
      <c r="CP24" s="171">
        <f>NormInputs!CF377</f>
        <v>-120</v>
      </c>
      <c r="CQ24" s="109">
        <f>NormInputs!CG377</f>
        <v>-107</v>
      </c>
      <c r="CR24" s="109">
        <f>NormInputs!CH377</f>
        <v>309</v>
      </c>
      <c r="CS24" s="109">
        <f>NormInputs!CI377</f>
        <v>-80</v>
      </c>
      <c r="CT24" s="171">
        <f>NormInputs!CJ377</f>
        <v>-86</v>
      </c>
      <c r="CU24" s="109">
        <f>NormInputs!CK377</f>
        <v>-109</v>
      </c>
      <c r="CV24" s="109">
        <f>NormInputs!CL377</f>
        <v>297</v>
      </c>
      <c r="CW24" s="172">
        <f>NormInputs!CM377</f>
        <v>-66</v>
      </c>
      <c r="CX24" s="109">
        <f>NormInputs!CN377</f>
        <v>-89</v>
      </c>
      <c r="CY24" s="109">
        <f>NormInputs!CO377</f>
        <v>-60</v>
      </c>
      <c r="CZ24" s="109">
        <f>NormInputs!CP377</f>
        <v>-48</v>
      </c>
      <c r="DA24" s="109">
        <f>NormInputs!CQ377</f>
        <v>274</v>
      </c>
      <c r="DB24" s="171">
        <f>NormInputs!CR377</f>
        <v>14</v>
      </c>
      <c r="DC24" s="109">
        <f>NormInputs!CS377</f>
        <v>-109</v>
      </c>
      <c r="DD24" s="109">
        <f>NormInputs!CT377</f>
        <v>-5</v>
      </c>
      <c r="DE24" s="109">
        <f>NormInputs!CU377</f>
        <v>-2</v>
      </c>
      <c r="DF24" s="171">
        <f>NormInputs!CV377</f>
        <v>-1894</v>
      </c>
      <c r="DG24" s="1044">
        <f>NormInputs!CW377</f>
        <v>53</v>
      </c>
      <c r="DH24" s="1044">
        <f>NormInputs!CX377</f>
        <v>56</v>
      </c>
      <c r="DI24" s="1044">
        <f>NormInputs!CY377</f>
        <v>42</v>
      </c>
      <c r="DJ24" s="171">
        <f>NormInputs!CZ377</f>
        <v>44</v>
      </c>
      <c r="DK24" s="1044">
        <f>NormInputs!DA377</f>
        <v>28</v>
      </c>
      <c r="DL24" s="2151">
        <f>NormInputs!DB377</f>
        <v>26</v>
      </c>
      <c r="DM24" s="2473">
        <f>NormInputs!DC377</f>
        <v>29</v>
      </c>
      <c r="DN24" s="2151">
        <f>NormInputs!DD377</f>
        <v>29</v>
      </c>
      <c r="DO24" s="2151">
        <f>NormInputs!DE377</f>
        <v>29</v>
      </c>
      <c r="DP24" s="2151">
        <f>NormInputs!DF377</f>
        <v>36</v>
      </c>
      <c r="DQ24" s="2473">
        <f>NormInputs!DG377</f>
        <v>44</v>
      </c>
      <c r="DR24" s="2151">
        <f>NormInputs!DH377</f>
        <v>28</v>
      </c>
      <c r="DS24" s="2151">
        <f>NormInputs!DI377</f>
        <v>39</v>
      </c>
      <c r="DT24" s="2151">
        <f>NormInputs!DJ377</f>
        <v>33</v>
      </c>
      <c r="DU24" s="2473">
        <f>NormInputs!DK377</f>
        <v>17</v>
      </c>
      <c r="DV24" s="2490">
        <f>NormInputs!DL377</f>
        <v>30</v>
      </c>
      <c r="DW24" s="2164">
        <f>BS!DV26-BS!DW26</f>
        <v>19</v>
      </c>
      <c r="DX24" s="2164">
        <f>BS!DW26-BS!DX26</f>
        <v>19</v>
      </c>
      <c r="DY24" s="2165">
        <f>BS!DX26-BS!DY26</f>
        <v>19</v>
      </c>
      <c r="DZ24" s="109"/>
    </row>
    <row r="25" spans="1:136" hidden="1" outlineLevel="1">
      <c r="A25" s="167" t="s">
        <v>1369</v>
      </c>
      <c r="B25" s="167"/>
      <c r="C25" s="167"/>
      <c r="D25" s="109"/>
      <c r="E25" s="109"/>
      <c r="F25" s="109"/>
      <c r="G25" s="109"/>
      <c r="H25" s="109"/>
      <c r="I25" s="109">
        <v>5716</v>
      </c>
      <c r="J25" s="109">
        <v>4842</v>
      </c>
      <c r="K25" s="109">
        <v>0</v>
      </c>
      <c r="L25" s="109">
        <v>0</v>
      </c>
      <c r="M25" s="109">
        <v>0</v>
      </c>
      <c r="N25" s="109">
        <f t="shared" si="0"/>
        <v>0</v>
      </c>
      <c r="O25" s="109">
        <f t="shared" si="1"/>
        <v>0</v>
      </c>
      <c r="P25" s="109">
        <f t="shared" si="2"/>
        <v>0</v>
      </c>
      <c r="Q25" s="109">
        <f t="shared" si="3"/>
        <v>0</v>
      </c>
      <c r="R25" s="109">
        <f t="shared" si="4"/>
        <v>0</v>
      </c>
      <c r="S25" s="109">
        <f t="shared" si="5"/>
        <v>0</v>
      </c>
      <c r="T25" s="109">
        <f t="shared" si="6"/>
        <v>0</v>
      </c>
      <c r="U25" s="1044">
        <f t="shared" si="7"/>
        <v>0</v>
      </c>
      <c r="V25" s="109">
        <f t="shared" si="8"/>
        <v>0</v>
      </c>
      <c r="W25" s="109">
        <f t="shared" si="9"/>
        <v>0</v>
      </c>
      <c r="X25" s="109">
        <f t="shared" si="10"/>
        <v>0</v>
      </c>
      <c r="Y25" s="109">
        <f t="shared" si="11"/>
        <v>0</v>
      </c>
      <c r="Z25" s="109">
        <f t="shared" si="11"/>
        <v>0</v>
      </c>
      <c r="AA25" s="109"/>
      <c r="AB25" s="109"/>
      <c r="AC25" s="109"/>
      <c r="AD25" s="109"/>
      <c r="AE25" s="109"/>
      <c r="AF25" s="109"/>
      <c r="AG25" s="109"/>
      <c r="AH25" s="536"/>
      <c r="AI25" s="167"/>
      <c r="AJ25" s="167"/>
      <c r="AK25" s="167"/>
      <c r="AL25" s="167"/>
      <c r="AM25" s="167"/>
      <c r="AN25" s="167"/>
      <c r="AO25" s="167"/>
      <c r="AP25" s="109"/>
      <c r="AQ25" s="109"/>
      <c r="AR25" s="109"/>
      <c r="AS25" s="109"/>
      <c r="AT25" s="109"/>
      <c r="AU25" s="109"/>
      <c r="AV25" s="109"/>
      <c r="AW25" s="109"/>
      <c r="AX25" s="109"/>
      <c r="AY25" s="109"/>
      <c r="AZ25" s="109"/>
      <c r="BA25" s="109"/>
      <c r="BB25" s="109"/>
      <c r="BC25" s="109"/>
      <c r="BD25" s="109"/>
      <c r="BE25" s="109"/>
      <c r="BF25" s="181">
        <v>-49</v>
      </c>
      <c r="BG25" s="181">
        <v>3864</v>
      </c>
      <c r="BH25" s="181">
        <v>-32</v>
      </c>
      <c r="BI25" s="181">
        <v>1933</v>
      </c>
      <c r="BJ25" s="181">
        <v>1689</v>
      </c>
      <c r="BK25" s="181">
        <v>3305</v>
      </c>
      <c r="BL25" s="181">
        <v>-291</v>
      </c>
      <c r="BM25" s="181">
        <v>139</v>
      </c>
      <c r="BN25" s="171"/>
      <c r="BO25" s="109"/>
      <c r="BP25" s="109"/>
      <c r="BQ25" s="109"/>
      <c r="BR25" s="171"/>
      <c r="BS25" s="109"/>
      <c r="BT25" s="109"/>
      <c r="BU25" s="109"/>
      <c r="BV25" s="171"/>
      <c r="BW25" s="109"/>
      <c r="BX25" s="109"/>
      <c r="BY25" s="109"/>
      <c r="BZ25" s="171"/>
      <c r="CA25" s="109"/>
      <c r="CB25" s="109"/>
      <c r="CC25" s="109"/>
      <c r="CD25" s="171"/>
      <c r="CE25" s="109"/>
      <c r="CF25" s="109"/>
      <c r="CG25" s="109"/>
      <c r="CH25" s="171"/>
      <c r="CI25" s="109"/>
      <c r="CJ25" s="109"/>
      <c r="CK25" s="109"/>
      <c r="CL25" s="171"/>
      <c r="CM25" s="109"/>
      <c r="CN25" s="109"/>
      <c r="CO25" s="109"/>
      <c r="CP25" s="171"/>
      <c r="CQ25" s="109"/>
      <c r="CR25" s="109"/>
      <c r="CS25" s="109"/>
      <c r="CT25" s="171"/>
      <c r="CU25" s="109"/>
      <c r="CV25" s="109"/>
      <c r="CW25" s="172"/>
      <c r="CX25" s="109"/>
      <c r="CY25" s="109"/>
      <c r="CZ25" s="109"/>
      <c r="DA25" s="109"/>
      <c r="DB25" s="171"/>
      <c r="DC25" s="109"/>
      <c r="DD25" s="109"/>
      <c r="DE25" s="109"/>
      <c r="DF25" s="171"/>
      <c r="DG25" s="1044"/>
      <c r="DH25" s="1044"/>
      <c r="DI25" s="1044"/>
      <c r="DJ25" s="171"/>
      <c r="DK25" s="1044"/>
      <c r="DL25" s="1044"/>
      <c r="DM25" s="172"/>
      <c r="DN25" s="1044"/>
      <c r="DO25" s="1044"/>
      <c r="DP25" s="1044"/>
      <c r="DQ25" s="172"/>
      <c r="DR25" s="1044"/>
      <c r="DS25" s="1044"/>
      <c r="DT25" s="1044"/>
      <c r="DU25" s="172"/>
      <c r="DV25" s="171"/>
      <c r="DW25" s="1044"/>
      <c r="DX25" s="1044"/>
      <c r="DY25" s="172"/>
      <c r="DZ25" s="109"/>
    </row>
    <row r="26" spans="1:136" hidden="1" outlineLevel="1">
      <c r="A26" s="167" t="s">
        <v>1370</v>
      </c>
      <c r="B26" s="167"/>
      <c r="C26" s="167"/>
      <c r="D26" s="109"/>
      <c r="E26" s="109"/>
      <c r="F26" s="109"/>
      <c r="G26" s="109"/>
      <c r="H26" s="109"/>
      <c r="I26" s="109">
        <v>0</v>
      </c>
      <c r="J26" s="109">
        <v>295</v>
      </c>
      <c r="K26" s="109">
        <v>0</v>
      </c>
      <c r="L26" s="109">
        <v>0</v>
      </c>
      <c r="M26" s="109">
        <v>0</v>
      </c>
      <c r="N26" s="109">
        <f t="shared" si="0"/>
        <v>0</v>
      </c>
      <c r="O26" s="109">
        <f t="shared" si="1"/>
        <v>0</v>
      </c>
      <c r="P26" s="109">
        <f t="shared" si="2"/>
        <v>0</v>
      </c>
      <c r="Q26" s="109">
        <f t="shared" si="3"/>
        <v>0</v>
      </c>
      <c r="R26" s="109">
        <f t="shared" si="4"/>
        <v>0</v>
      </c>
      <c r="S26" s="109">
        <f t="shared" si="5"/>
        <v>0</v>
      </c>
      <c r="T26" s="109">
        <f t="shared" si="6"/>
        <v>0</v>
      </c>
      <c r="U26" s="1044">
        <f t="shared" si="7"/>
        <v>0</v>
      </c>
      <c r="V26" s="109">
        <f t="shared" si="8"/>
        <v>0</v>
      </c>
      <c r="W26" s="109">
        <f t="shared" si="9"/>
        <v>0</v>
      </c>
      <c r="X26" s="109">
        <f t="shared" si="10"/>
        <v>0</v>
      </c>
      <c r="Y26" s="109">
        <f t="shared" si="11"/>
        <v>0</v>
      </c>
      <c r="Z26" s="109">
        <f t="shared" si="11"/>
        <v>0</v>
      </c>
      <c r="AA26" s="109"/>
      <c r="AB26" s="109"/>
      <c r="AC26" s="109"/>
      <c r="AD26" s="109"/>
      <c r="AE26" s="109"/>
      <c r="AF26" s="109"/>
      <c r="AG26" s="109"/>
      <c r="AH26" s="536"/>
      <c r="AI26" s="167"/>
      <c r="AJ26" s="167"/>
      <c r="AK26" s="167"/>
      <c r="AL26" s="167"/>
      <c r="AM26" s="167"/>
      <c r="AN26" s="167"/>
      <c r="AO26" s="167"/>
      <c r="AP26" s="109"/>
      <c r="AQ26" s="109"/>
      <c r="AR26" s="109"/>
      <c r="AS26" s="109"/>
      <c r="AT26" s="109"/>
      <c r="AU26" s="109"/>
      <c r="AV26" s="109"/>
      <c r="AW26" s="109"/>
      <c r="AX26" s="109"/>
      <c r="AY26" s="109"/>
      <c r="AZ26" s="109"/>
      <c r="BA26" s="109"/>
      <c r="BB26" s="109"/>
      <c r="BC26" s="109"/>
      <c r="BD26" s="109"/>
      <c r="BE26" s="109"/>
      <c r="BF26" s="168">
        <v>0</v>
      </c>
      <c r="BG26" s="168">
        <v>0</v>
      </c>
      <c r="BH26" s="168">
        <v>0</v>
      </c>
      <c r="BI26" s="168">
        <v>0</v>
      </c>
      <c r="BJ26" s="181">
        <v>0</v>
      </c>
      <c r="BK26" s="181">
        <v>295</v>
      </c>
      <c r="BL26" s="181">
        <v>0</v>
      </c>
      <c r="BM26" s="181">
        <v>0</v>
      </c>
      <c r="BN26" s="171">
        <v>0</v>
      </c>
      <c r="BO26" s="109">
        <v>0</v>
      </c>
      <c r="BP26" s="109">
        <v>0</v>
      </c>
      <c r="BQ26" s="109">
        <v>0</v>
      </c>
      <c r="BR26" s="171">
        <v>0</v>
      </c>
      <c r="BS26" s="109">
        <v>0</v>
      </c>
      <c r="BT26" s="109">
        <v>0</v>
      </c>
      <c r="BU26" s="109">
        <v>0</v>
      </c>
      <c r="BV26" s="171">
        <v>0</v>
      </c>
      <c r="BW26" s="109">
        <v>0</v>
      </c>
      <c r="BX26" s="109">
        <v>0</v>
      </c>
      <c r="BY26" s="109">
        <v>0</v>
      </c>
      <c r="BZ26" s="171">
        <f>NormInputs!BP378</f>
        <v>0</v>
      </c>
      <c r="CA26" s="109">
        <f>NormInputs!BQ378</f>
        <v>0</v>
      </c>
      <c r="CB26" s="109">
        <f>NormInputs!BR378</f>
        <v>0</v>
      </c>
      <c r="CC26" s="109">
        <f>NormInputs!BS378</f>
        <v>0</v>
      </c>
      <c r="CD26" s="171">
        <f>NormInputs!BT378</f>
        <v>0</v>
      </c>
      <c r="CE26" s="109">
        <f>NormInputs!BU378</f>
        <v>0</v>
      </c>
      <c r="CF26" s="109">
        <f>NormInputs!BV378</f>
        <v>0</v>
      </c>
      <c r="CG26" s="109">
        <f>NormInputs!BW378</f>
        <v>0</v>
      </c>
      <c r="CH26" s="171">
        <f>NormInputs!BX378</f>
        <v>0</v>
      </c>
      <c r="CI26" s="109">
        <f>NormInputs!BY378</f>
        <v>0</v>
      </c>
      <c r="CJ26" s="109">
        <f>NormInputs!BZ378</f>
        <v>0</v>
      </c>
      <c r="CK26" s="109">
        <f>NormInputs!CA378</f>
        <v>0</v>
      </c>
      <c r="CL26" s="171">
        <f>NormInputs!CB378</f>
        <v>0</v>
      </c>
      <c r="CM26" s="109">
        <f>NormInputs!CC378</f>
        <v>0</v>
      </c>
      <c r="CN26" s="109">
        <f>NormInputs!CD378</f>
        <v>0</v>
      </c>
      <c r="CO26" s="109">
        <f>NormInputs!CE378</f>
        <v>0</v>
      </c>
      <c r="CP26" s="171">
        <f>NormInputs!CF378</f>
        <v>0</v>
      </c>
      <c r="CQ26" s="109">
        <f>NormInputs!CG378</f>
        <v>0</v>
      </c>
      <c r="CR26" s="109">
        <f>NormInputs!CH378</f>
        <v>0</v>
      </c>
      <c r="CS26" s="109">
        <f>NormInputs!CI378</f>
        <v>0</v>
      </c>
      <c r="CT26" s="171">
        <f>NormInputs!CJ378</f>
        <v>0</v>
      </c>
      <c r="CU26" s="109">
        <f>NormInputs!CK378</f>
        <v>0</v>
      </c>
      <c r="CV26" s="109">
        <f>NormInputs!CL378</f>
        <v>0</v>
      </c>
      <c r="CW26" s="172">
        <f>NormInputs!CM378</f>
        <v>0</v>
      </c>
      <c r="CX26" s="109">
        <f>NormInputs!CN378</f>
        <v>0</v>
      </c>
      <c r="CY26" s="109">
        <f>NormInputs!CO378</f>
        <v>0</v>
      </c>
      <c r="CZ26" s="109">
        <f>NormInputs!CP378</f>
        <v>0</v>
      </c>
      <c r="DA26" s="109">
        <f>NormInputs!CQ378</f>
        <v>0</v>
      </c>
      <c r="DB26" s="171">
        <f>NormInputs!CR378</f>
        <v>0</v>
      </c>
      <c r="DC26" s="109">
        <f>NormInputs!CS378</f>
        <v>0</v>
      </c>
      <c r="DD26" s="109">
        <f>NormInputs!CT378</f>
        <v>0</v>
      </c>
      <c r="DE26" s="109">
        <f>NormInputs!CU378</f>
        <v>0</v>
      </c>
      <c r="DF26" s="171">
        <f>NormInputs!CV378</f>
        <v>0</v>
      </c>
      <c r="DG26" s="1044">
        <f>NormInputs!CW378</f>
        <v>0</v>
      </c>
      <c r="DH26" s="1044">
        <f>NormInputs!CX378</f>
        <v>0</v>
      </c>
      <c r="DI26" s="1044">
        <f>NormInputs!CY378</f>
        <v>0</v>
      </c>
      <c r="DJ26" s="171">
        <f>NormInputs!CZ378</f>
        <v>0</v>
      </c>
      <c r="DK26" s="1044">
        <f>NormInputs!DA378</f>
        <v>0</v>
      </c>
      <c r="DL26" s="2151">
        <f>NormInputs!DB378</f>
        <v>0</v>
      </c>
      <c r="DM26" s="2473">
        <f>NormInputs!DC378</f>
        <v>0</v>
      </c>
      <c r="DN26" s="2151">
        <f>NormInputs!DD378</f>
        <v>0</v>
      </c>
      <c r="DO26" s="2151">
        <f>NormInputs!DE378</f>
        <v>0</v>
      </c>
      <c r="DP26" s="2151">
        <f>NormInputs!DF378</f>
        <v>0</v>
      </c>
      <c r="DQ26" s="2473">
        <f>NormInputs!DG378</f>
        <v>0</v>
      </c>
      <c r="DR26" s="2151">
        <f>NormInputs!DH378</f>
        <v>0</v>
      </c>
      <c r="DS26" s="2151">
        <f>NormInputs!DI378</f>
        <v>0</v>
      </c>
      <c r="DT26" s="2151">
        <f>NormInputs!DJ378</f>
        <v>0</v>
      </c>
      <c r="DU26" s="2473">
        <f>NormInputs!DK378</f>
        <v>0</v>
      </c>
      <c r="DV26" s="2490">
        <f>NormInputs!DL378</f>
        <v>0</v>
      </c>
      <c r="DW26" s="1044"/>
      <c r="DX26" s="1044"/>
      <c r="DY26" s="172"/>
      <c r="DZ26" s="109"/>
    </row>
    <row r="27" spans="1:136" hidden="1" outlineLevel="1">
      <c r="A27" s="167" t="s">
        <v>1371</v>
      </c>
      <c r="B27" s="109"/>
      <c r="C27" s="109"/>
      <c r="D27" s="109"/>
      <c r="E27" s="109"/>
      <c r="F27" s="109">
        <v>-1446</v>
      </c>
      <c r="G27" s="109">
        <v>-1865</v>
      </c>
      <c r="H27" s="109">
        <v>-2440</v>
      </c>
      <c r="I27" s="109"/>
      <c r="J27" s="109"/>
      <c r="K27" s="109"/>
      <c r="L27" s="109"/>
      <c r="M27" s="109"/>
      <c r="N27" s="109"/>
      <c r="O27" s="109"/>
      <c r="P27" s="109">
        <f t="shared" si="2"/>
        <v>0</v>
      </c>
      <c r="Q27" s="109">
        <f t="shared" si="3"/>
        <v>0</v>
      </c>
      <c r="R27" s="109">
        <f t="shared" si="4"/>
        <v>0</v>
      </c>
      <c r="S27" s="109">
        <f t="shared" si="5"/>
        <v>0</v>
      </c>
      <c r="T27" s="109">
        <f t="shared" si="6"/>
        <v>0</v>
      </c>
      <c r="U27" s="1044">
        <f t="shared" si="7"/>
        <v>0</v>
      </c>
      <c r="V27" s="109">
        <f t="shared" si="8"/>
        <v>0</v>
      </c>
      <c r="W27" s="109">
        <f t="shared" si="9"/>
        <v>0</v>
      </c>
      <c r="X27" s="109">
        <f t="shared" si="10"/>
        <v>0</v>
      </c>
      <c r="Y27" s="109">
        <f t="shared" si="11"/>
        <v>0</v>
      </c>
      <c r="Z27" s="109">
        <f t="shared" si="11"/>
        <v>0</v>
      </c>
      <c r="AA27" s="109">
        <f ca="1">BS!Z16-BS!AA16-AA23</f>
        <v>-1152.3874782085295</v>
      </c>
      <c r="AB27" s="109">
        <f ca="1">BS!AA16-BS!AB16-AB23</f>
        <v>-1253.6927007478953</v>
      </c>
      <c r="AC27" s="109">
        <f ca="1">BS!AB16-BS!AC16-AC23</f>
        <v>-1269.1759937874995</v>
      </c>
      <c r="AD27" s="109">
        <f ca="1">BS!AC16-BS!AD16-AD23</f>
        <v>-1283.5136751563296</v>
      </c>
      <c r="AE27" s="109">
        <f ca="1">BS!AD16-BS!AE16-AE23</f>
        <v>-1299.5753822281913</v>
      </c>
      <c r="AF27" s="109">
        <f ca="1">BS!AE16-BS!AF16-AF23</f>
        <v>-1318.6542510058134</v>
      </c>
      <c r="AG27" s="109">
        <f ca="1">BS!AF16-BS!AG16-AG23</f>
        <v>-1341.3379499274924</v>
      </c>
      <c r="AH27" s="536"/>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68"/>
      <c r="BG27" s="168"/>
      <c r="BH27" s="168"/>
      <c r="BI27" s="168"/>
      <c r="BJ27" s="168"/>
      <c r="BK27" s="168"/>
      <c r="BL27" s="168"/>
      <c r="BM27" s="168"/>
      <c r="BN27" s="171"/>
      <c r="BO27" s="109"/>
      <c r="BP27" s="109"/>
      <c r="BQ27" s="109"/>
      <c r="BR27" s="171"/>
      <c r="BS27" s="109"/>
      <c r="BT27" s="109"/>
      <c r="BU27" s="109"/>
      <c r="BV27" s="171"/>
      <c r="BW27" s="109"/>
      <c r="BX27" s="109"/>
      <c r="BY27" s="109"/>
      <c r="BZ27" s="171"/>
      <c r="CA27" s="109"/>
      <c r="CB27" s="109"/>
      <c r="CC27" s="109"/>
      <c r="CD27" s="171"/>
      <c r="CE27" s="109"/>
      <c r="CF27" s="109"/>
      <c r="CG27" s="109"/>
      <c r="CH27" s="171"/>
      <c r="CI27" s="109"/>
      <c r="CJ27" s="109"/>
      <c r="CK27" s="109"/>
      <c r="CL27" s="171"/>
      <c r="CM27" s="109"/>
      <c r="CN27" s="109"/>
      <c r="CO27" s="109"/>
      <c r="CP27" s="171"/>
      <c r="CQ27" s="109"/>
      <c r="CR27" s="109"/>
      <c r="CS27" s="109"/>
      <c r="CT27" s="171"/>
      <c r="CU27" s="109"/>
      <c r="CV27" s="109"/>
      <c r="CW27" s="172"/>
      <c r="CX27" s="109"/>
      <c r="CY27" s="109"/>
      <c r="CZ27" s="109"/>
      <c r="DA27" s="109"/>
      <c r="DB27" s="171"/>
      <c r="DC27" s="109"/>
      <c r="DD27" s="109"/>
      <c r="DE27" s="109"/>
      <c r="DF27" s="171"/>
      <c r="DG27" s="1044"/>
      <c r="DH27" s="1044"/>
      <c r="DI27" s="1044"/>
      <c r="DJ27" s="171"/>
      <c r="DK27" s="1044"/>
      <c r="DL27" s="1044"/>
      <c r="DM27" s="172"/>
      <c r="DN27" s="1044"/>
      <c r="DO27" s="1044"/>
      <c r="DP27" s="1044"/>
      <c r="DQ27" s="172"/>
      <c r="DR27" s="1044"/>
      <c r="DS27" s="1044"/>
      <c r="DT27" s="1044"/>
      <c r="DU27" s="172"/>
      <c r="DV27" s="171"/>
      <c r="DW27" s="1044">
        <f ca="1">BS!DV16-BS!DW16-DW23</f>
        <v>-259.3046325067844</v>
      </c>
      <c r="DX27" s="1044">
        <f ca="1">BS!DW16-BS!DX16-DX23</f>
        <v>-791.54376911623331</v>
      </c>
      <c r="DY27" s="172">
        <f ca="1">BS!DX16-BS!DY16-DY23</f>
        <v>-1484.6035929762256</v>
      </c>
      <c r="DZ27" s="109"/>
    </row>
    <row r="28" spans="1:136" hidden="1" outlineLevel="1">
      <c r="A28" s="167" t="s">
        <v>1372</v>
      </c>
      <c r="B28" s="109"/>
      <c r="C28" s="109"/>
      <c r="D28" s="109"/>
      <c r="E28" s="109"/>
      <c r="F28" s="109">
        <v>17</v>
      </c>
      <c r="G28" s="109">
        <v>-334</v>
      </c>
      <c r="H28" s="109">
        <v>-264</v>
      </c>
      <c r="I28" s="109"/>
      <c r="J28" s="109"/>
      <c r="K28" s="109"/>
      <c r="L28" s="109"/>
      <c r="M28" s="109"/>
      <c r="N28" s="109"/>
      <c r="O28" s="109"/>
      <c r="P28" s="109">
        <f t="shared" si="2"/>
        <v>0</v>
      </c>
      <c r="Q28" s="109">
        <f t="shared" si="3"/>
        <v>0</v>
      </c>
      <c r="R28" s="109">
        <f t="shared" si="4"/>
        <v>0</v>
      </c>
      <c r="S28" s="109">
        <f t="shared" si="5"/>
        <v>0</v>
      </c>
      <c r="T28" s="109">
        <f t="shared" si="6"/>
        <v>0</v>
      </c>
      <c r="U28" s="1044">
        <f t="shared" si="7"/>
        <v>0</v>
      </c>
      <c r="V28" s="109">
        <f t="shared" si="8"/>
        <v>0</v>
      </c>
      <c r="W28" s="109">
        <f t="shared" si="9"/>
        <v>0</v>
      </c>
      <c r="X28" s="109">
        <f t="shared" si="10"/>
        <v>0</v>
      </c>
      <c r="Y28" s="109">
        <f t="shared" si="11"/>
        <v>0</v>
      </c>
      <c r="Z28" s="109">
        <f t="shared" si="11"/>
        <v>0</v>
      </c>
      <c r="AA28" s="109">
        <f ca="1">BS!Z19-BS!AA19</f>
        <v>-3.1476684848466903</v>
      </c>
      <c r="AB28" s="109">
        <f ca="1">BS!AA19-BS!AB19</f>
        <v>-21.404423246193801</v>
      </c>
      <c r="AC28" s="109">
        <f ca="1">BS!AB19-BS!AC19</f>
        <v>-23.874355657079832</v>
      </c>
      <c r="AD28" s="109">
        <f ca="1">BS!AC19-BS!AD19</f>
        <v>-26.08745977147646</v>
      </c>
      <c r="AE28" s="109">
        <f ca="1">BS!AD19-BS!AE19</f>
        <v>-28.558441171759114</v>
      </c>
      <c r="AF28" s="109">
        <f ca="1">BS!AE19-BS!AF19</f>
        <v>-31.507109682882401</v>
      </c>
      <c r="AG28" s="109">
        <f ca="1">BS!AF19-BS!AG19</f>
        <v>-35.022600037996199</v>
      </c>
      <c r="AH28" s="536"/>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68"/>
      <c r="BG28" s="168"/>
      <c r="BH28" s="168"/>
      <c r="BI28" s="168"/>
      <c r="BJ28" s="168"/>
      <c r="BK28" s="168"/>
      <c r="BL28" s="168"/>
      <c r="BM28" s="168"/>
      <c r="BN28" s="171"/>
      <c r="BO28" s="109"/>
      <c r="BP28" s="109"/>
      <c r="BQ28" s="109"/>
      <c r="BR28" s="171"/>
      <c r="BS28" s="109"/>
      <c r="BT28" s="109"/>
      <c r="BU28" s="109"/>
      <c r="BV28" s="171"/>
      <c r="BW28" s="109"/>
      <c r="BX28" s="109"/>
      <c r="BY28" s="109"/>
      <c r="BZ28" s="171"/>
      <c r="CA28" s="109"/>
      <c r="CB28" s="109"/>
      <c r="CC28" s="109"/>
      <c r="CD28" s="171"/>
      <c r="CE28" s="109"/>
      <c r="CF28" s="109"/>
      <c r="CG28" s="109"/>
      <c r="CH28" s="171"/>
      <c r="CI28" s="109"/>
      <c r="CJ28" s="109"/>
      <c r="CK28" s="109"/>
      <c r="CL28" s="171"/>
      <c r="CM28" s="109"/>
      <c r="CN28" s="109"/>
      <c r="CO28" s="109"/>
      <c r="CP28" s="171"/>
      <c r="CQ28" s="109"/>
      <c r="CR28" s="109"/>
      <c r="CS28" s="109"/>
      <c r="CT28" s="171"/>
      <c r="CU28" s="109"/>
      <c r="CV28" s="109"/>
      <c r="CW28" s="172"/>
      <c r="CX28" s="109"/>
      <c r="CY28" s="109"/>
      <c r="CZ28" s="109"/>
      <c r="DA28" s="109"/>
      <c r="DB28" s="171"/>
      <c r="DC28" s="109"/>
      <c r="DD28" s="109"/>
      <c r="DE28" s="109"/>
      <c r="DF28" s="171"/>
      <c r="DG28" s="1044"/>
      <c r="DH28" s="1044"/>
      <c r="DI28" s="1044"/>
      <c r="DJ28" s="171"/>
      <c r="DK28" s="1044"/>
      <c r="DL28" s="1044"/>
      <c r="DM28" s="172"/>
      <c r="DN28" s="1044"/>
      <c r="DO28" s="1044"/>
      <c r="DP28" s="1044"/>
      <c r="DQ28" s="172"/>
      <c r="DR28" s="1044"/>
      <c r="DS28" s="1044"/>
      <c r="DT28" s="1044"/>
      <c r="DU28" s="172"/>
      <c r="DV28" s="171"/>
      <c r="DW28" s="1044">
        <f ca="1">BS!DV19-BS!DW19</f>
        <v>0</v>
      </c>
      <c r="DX28" s="1044">
        <f ca="1">BS!DW19-BS!DX19</f>
        <v>-69.686392423237521</v>
      </c>
      <c r="DY28" s="172">
        <f ca="1">BS!DX19-BS!DY19</f>
        <v>-195.67096569669138</v>
      </c>
      <c r="DZ28" s="109"/>
    </row>
    <row r="29" spans="1:136" hidden="1" outlineLevel="1">
      <c r="A29" s="167" t="s">
        <v>1373</v>
      </c>
      <c r="B29" s="109"/>
      <c r="C29" s="109"/>
      <c r="D29" s="109"/>
      <c r="E29" s="109"/>
      <c r="F29" s="109">
        <v>-111</v>
      </c>
      <c r="G29" s="109">
        <v>-146</v>
      </c>
      <c r="H29" s="109">
        <v>-530</v>
      </c>
      <c r="I29" s="109"/>
      <c r="J29" s="109"/>
      <c r="K29" s="109"/>
      <c r="L29" s="109"/>
      <c r="M29" s="109"/>
      <c r="N29" s="109"/>
      <c r="O29" s="109"/>
      <c r="P29" s="109">
        <f t="shared" si="2"/>
        <v>0</v>
      </c>
      <c r="Q29" s="109">
        <f t="shared" si="3"/>
        <v>0</v>
      </c>
      <c r="R29" s="109">
        <f t="shared" si="4"/>
        <v>0</v>
      </c>
      <c r="S29" s="109">
        <f t="shared" si="5"/>
        <v>0</v>
      </c>
      <c r="T29" s="109">
        <f t="shared" si="6"/>
        <v>0</v>
      </c>
      <c r="U29" s="1044">
        <f t="shared" si="7"/>
        <v>0</v>
      </c>
      <c r="V29" s="109">
        <f t="shared" si="8"/>
        <v>0</v>
      </c>
      <c r="W29" s="109">
        <f t="shared" si="9"/>
        <v>0</v>
      </c>
      <c r="X29" s="109">
        <f t="shared" si="10"/>
        <v>0</v>
      </c>
      <c r="Y29" s="109">
        <f t="shared" si="11"/>
        <v>0</v>
      </c>
      <c r="Z29" s="109">
        <f t="shared" si="11"/>
        <v>0</v>
      </c>
      <c r="AA29" s="109">
        <f ca="1">BS!Z17-BS!AA17</f>
        <v>17.42518845766449</v>
      </c>
      <c r="AB29" s="109">
        <f ca="1">BS!AA17-BS!AB17</f>
        <v>4.2512969821918887</v>
      </c>
      <c r="AC29" s="109">
        <f ca="1">BS!AB17-BS!AC17</f>
        <v>4.5840155948137635</v>
      </c>
      <c r="AD29" s="109">
        <f ca="1">BS!AC17-BS!AD17</f>
        <v>4.8574126027056082</v>
      </c>
      <c r="AE29" s="109">
        <f ca="1">BS!AD17-BS!AE17</f>
        <v>5.0145715776386623</v>
      </c>
      <c r="AF29" s="109">
        <f ca="1">BS!AE17-BS!AF17</f>
        <v>5.039671707597563</v>
      </c>
      <c r="AG29" s="109">
        <f ca="1">BS!AF17-BS!AG17</f>
        <v>4.9340898599816683</v>
      </c>
      <c r="AH29" s="536"/>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68"/>
      <c r="BG29" s="168"/>
      <c r="BH29" s="168"/>
      <c r="BI29" s="168"/>
      <c r="BJ29" s="168"/>
      <c r="BK29" s="168"/>
      <c r="BL29" s="168"/>
      <c r="BM29" s="168"/>
      <c r="BN29" s="171"/>
      <c r="BO29" s="109"/>
      <c r="BP29" s="109"/>
      <c r="BQ29" s="109"/>
      <c r="BR29" s="171"/>
      <c r="BS29" s="109"/>
      <c r="BT29" s="109"/>
      <c r="BU29" s="109"/>
      <c r="BV29" s="171"/>
      <c r="BW29" s="109"/>
      <c r="BX29" s="109"/>
      <c r="BY29" s="109"/>
      <c r="BZ29" s="171"/>
      <c r="CA29" s="109"/>
      <c r="CB29" s="109"/>
      <c r="CC29" s="109"/>
      <c r="CD29" s="171"/>
      <c r="CE29" s="109"/>
      <c r="CF29" s="109"/>
      <c r="CG29" s="109"/>
      <c r="CH29" s="171"/>
      <c r="CI29" s="109"/>
      <c r="CJ29" s="109"/>
      <c r="CK29" s="109"/>
      <c r="CL29" s="171"/>
      <c r="CM29" s="109"/>
      <c r="CN29" s="109"/>
      <c r="CO29" s="109"/>
      <c r="CP29" s="171"/>
      <c r="CQ29" s="109"/>
      <c r="CR29" s="109"/>
      <c r="CS29" s="109"/>
      <c r="CT29" s="171"/>
      <c r="CU29" s="109"/>
      <c r="CV29" s="109"/>
      <c r="CW29" s="172"/>
      <c r="CX29" s="109"/>
      <c r="CY29" s="109"/>
      <c r="CZ29" s="109"/>
      <c r="DA29" s="109"/>
      <c r="DB29" s="171"/>
      <c r="DC29" s="109"/>
      <c r="DD29" s="109"/>
      <c r="DE29" s="109"/>
      <c r="DF29" s="171"/>
      <c r="DG29" s="1044"/>
      <c r="DH29" s="1044"/>
      <c r="DI29" s="1044"/>
      <c r="DJ29" s="171"/>
      <c r="DK29" s="1044"/>
      <c r="DL29" s="1044"/>
      <c r="DM29" s="172"/>
      <c r="DN29" s="1044"/>
      <c r="DO29" s="1044"/>
      <c r="DP29" s="1044"/>
      <c r="DQ29" s="172"/>
      <c r="DR29" s="1044"/>
      <c r="DS29" s="1044"/>
      <c r="DT29" s="1044"/>
      <c r="DU29" s="172"/>
      <c r="DV29" s="171"/>
      <c r="DW29" s="1044">
        <f ca="1">BS!DV17-BS!DW17</f>
        <v>0</v>
      </c>
      <c r="DX29" s="1044">
        <f ca="1">BS!DW17-BS!DX17</f>
        <v>-16.142755850481535</v>
      </c>
      <c r="DY29" s="172">
        <f ca="1">BS!DX17-BS!DY17</f>
        <v>-172.42582381446937</v>
      </c>
      <c r="DZ29" s="109"/>
    </row>
    <row r="30" spans="1:136" hidden="1" outlineLevel="1">
      <c r="A30" s="167" t="s">
        <v>1374</v>
      </c>
      <c r="B30" s="109"/>
      <c r="C30" s="109"/>
      <c r="D30" s="109"/>
      <c r="E30" s="109"/>
      <c r="F30" s="109">
        <v>90</v>
      </c>
      <c r="G30" s="109">
        <v>780</v>
      </c>
      <c r="H30" s="109">
        <v>1973</v>
      </c>
      <c r="I30" s="109"/>
      <c r="J30" s="109"/>
      <c r="K30" s="109"/>
      <c r="L30" s="109"/>
      <c r="M30" s="109"/>
      <c r="N30" s="109"/>
      <c r="O30" s="109"/>
      <c r="P30" s="109">
        <f t="shared" si="2"/>
        <v>0</v>
      </c>
      <c r="Q30" s="109">
        <f t="shared" si="3"/>
        <v>0</v>
      </c>
      <c r="R30" s="109">
        <f t="shared" si="4"/>
        <v>0</v>
      </c>
      <c r="S30" s="109">
        <f t="shared" si="5"/>
        <v>0</v>
      </c>
      <c r="T30" s="109">
        <f t="shared" si="6"/>
        <v>0</v>
      </c>
      <c r="U30" s="1044">
        <f t="shared" si="7"/>
        <v>0</v>
      </c>
      <c r="V30" s="109">
        <f t="shared" si="8"/>
        <v>0</v>
      </c>
      <c r="W30" s="109">
        <f t="shared" si="9"/>
        <v>0</v>
      </c>
      <c r="X30" s="109">
        <f t="shared" si="10"/>
        <v>0</v>
      </c>
      <c r="Y30" s="109">
        <f t="shared" si="11"/>
        <v>0</v>
      </c>
      <c r="Z30" s="109">
        <f t="shared" si="11"/>
        <v>0</v>
      </c>
      <c r="AA30" s="109">
        <f ca="1">BS!AA39-BS!Z39</f>
        <v>-231.23292885610499</v>
      </c>
      <c r="AB30" s="109">
        <f ca="1">BS!AB39-BS!AA39</f>
        <v>-56.414876373801235</v>
      </c>
      <c r="AC30" s="109">
        <f ca="1">BS!AC39-BS!AB39</f>
        <v>-60.830065309546626</v>
      </c>
      <c r="AD30" s="109">
        <f ca="1">BS!AD39-BS!AC39</f>
        <v>-64.458054242280923</v>
      </c>
      <c r="AE30" s="109">
        <f ca="1">BS!AE39-BS!AD39</f>
        <v>-66.543559954781813</v>
      </c>
      <c r="AF30" s="109">
        <f ca="1">BS!AF39-BS!AE39</f>
        <v>-66.87663965599495</v>
      </c>
      <c r="AG30" s="109">
        <f ca="1">BS!AG39-BS!AF39</f>
        <v>-65.475564429889346</v>
      </c>
      <c r="AH30" s="536"/>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68"/>
      <c r="BG30" s="168"/>
      <c r="BH30" s="168"/>
      <c r="BI30" s="168"/>
      <c r="BJ30" s="168"/>
      <c r="BK30" s="168"/>
      <c r="BL30" s="168"/>
      <c r="BM30" s="168"/>
      <c r="BN30" s="171"/>
      <c r="BO30" s="109"/>
      <c r="BP30" s="109"/>
      <c r="BQ30" s="109"/>
      <c r="BR30" s="171"/>
      <c r="BS30" s="109"/>
      <c r="BT30" s="109"/>
      <c r="BU30" s="109"/>
      <c r="BV30" s="171"/>
      <c r="BW30" s="109"/>
      <c r="BX30" s="109"/>
      <c r="BY30" s="109"/>
      <c r="BZ30" s="171"/>
      <c r="CA30" s="109"/>
      <c r="CB30" s="109"/>
      <c r="CC30" s="109"/>
      <c r="CD30" s="171"/>
      <c r="CE30" s="109"/>
      <c r="CF30" s="109"/>
      <c r="CG30" s="109"/>
      <c r="CH30" s="171"/>
      <c r="CI30" s="109"/>
      <c r="CJ30" s="109"/>
      <c r="CK30" s="109"/>
      <c r="CL30" s="171"/>
      <c r="CM30" s="109"/>
      <c r="CN30" s="109"/>
      <c r="CO30" s="109"/>
      <c r="CP30" s="171"/>
      <c r="CQ30" s="109"/>
      <c r="CR30" s="109"/>
      <c r="CS30" s="109"/>
      <c r="CT30" s="171"/>
      <c r="CU30" s="109"/>
      <c r="CV30" s="109"/>
      <c r="CW30" s="172"/>
      <c r="CX30" s="109"/>
      <c r="CY30" s="109"/>
      <c r="CZ30" s="109"/>
      <c r="DA30" s="109"/>
      <c r="DB30" s="171"/>
      <c r="DC30" s="109"/>
      <c r="DD30" s="109"/>
      <c r="DE30" s="109"/>
      <c r="DF30" s="171"/>
      <c r="DG30" s="1044"/>
      <c r="DH30" s="1044"/>
      <c r="DI30" s="1044"/>
      <c r="DJ30" s="171"/>
      <c r="DK30" s="1044"/>
      <c r="DL30" s="1044"/>
      <c r="DM30" s="172"/>
      <c r="DN30" s="1044"/>
      <c r="DO30" s="1044"/>
      <c r="DP30" s="1044"/>
      <c r="DQ30" s="172"/>
      <c r="DR30" s="1044"/>
      <c r="DS30" s="1044"/>
      <c r="DT30" s="1044"/>
      <c r="DU30" s="172"/>
      <c r="DV30" s="171"/>
      <c r="DW30" s="1044">
        <f ca="1">BS!DW39-BS!DV39</f>
        <v>0</v>
      </c>
      <c r="DX30" s="1044">
        <f ca="1">BS!DX39-BS!DW39</f>
        <v>214.21499825868523</v>
      </c>
      <c r="DY30" s="172">
        <f ca="1">BS!DY39-BS!DX39</f>
        <v>2288.0973911940346</v>
      </c>
      <c r="DZ30" s="109"/>
    </row>
    <row r="31" spans="1:136" hidden="1" outlineLevel="1">
      <c r="A31" s="167" t="s">
        <v>1375</v>
      </c>
      <c r="B31" s="109"/>
      <c r="C31" s="109"/>
      <c r="D31" s="109"/>
      <c r="E31" s="109"/>
      <c r="F31" s="109"/>
      <c r="G31" s="109"/>
      <c r="H31" s="109"/>
      <c r="I31" s="109"/>
      <c r="J31" s="109"/>
      <c r="K31" s="109"/>
      <c r="L31" s="109"/>
      <c r="M31" s="109"/>
      <c r="N31" s="109"/>
      <c r="O31" s="109"/>
      <c r="P31" s="109">
        <f t="shared" si="2"/>
        <v>0</v>
      </c>
      <c r="Q31" s="109">
        <f t="shared" si="3"/>
        <v>0</v>
      </c>
      <c r="R31" s="109">
        <f t="shared" si="4"/>
        <v>0</v>
      </c>
      <c r="S31" s="109">
        <f t="shared" si="5"/>
        <v>0</v>
      </c>
      <c r="T31" s="109">
        <f t="shared" si="6"/>
        <v>0</v>
      </c>
      <c r="U31" s="1044">
        <f t="shared" si="7"/>
        <v>0</v>
      </c>
      <c r="V31" s="109">
        <f t="shared" si="8"/>
        <v>0</v>
      </c>
      <c r="W31" s="109">
        <f t="shared" si="9"/>
        <v>0</v>
      </c>
      <c r="X31" s="109">
        <f t="shared" si="10"/>
        <v>0</v>
      </c>
      <c r="Y31" s="109">
        <f t="shared" si="11"/>
        <v>0</v>
      </c>
      <c r="Z31" s="109">
        <f t="shared" si="11"/>
        <v>0</v>
      </c>
      <c r="AA31" s="109">
        <f>BS!AA41-BS!Z41</f>
        <v>0</v>
      </c>
      <c r="AB31" s="109">
        <f>BS!AB41-BS!AA41</f>
        <v>0</v>
      </c>
      <c r="AC31" s="109">
        <f>BS!AC41-BS!AB41</f>
        <v>0</v>
      </c>
      <c r="AD31" s="109">
        <f>BS!AD41-BS!AC41</f>
        <v>0</v>
      </c>
      <c r="AE31" s="109">
        <f>BS!AE41-BS!AD41</f>
        <v>0</v>
      </c>
      <c r="AF31" s="109">
        <f>BS!AF41-BS!AE41</f>
        <v>0</v>
      </c>
      <c r="AG31" s="109">
        <f>BS!AG41-BS!AF41</f>
        <v>0</v>
      </c>
      <c r="AH31" s="536"/>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68"/>
      <c r="BG31" s="168"/>
      <c r="BH31" s="168"/>
      <c r="BI31" s="168"/>
      <c r="BJ31" s="168"/>
      <c r="BK31" s="168"/>
      <c r="BL31" s="168"/>
      <c r="BM31" s="168"/>
      <c r="BN31" s="171"/>
      <c r="BO31" s="109"/>
      <c r="BP31" s="109"/>
      <c r="BQ31" s="109"/>
      <c r="BR31" s="171"/>
      <c r="BS31" s="109"/>
      <c r="BT31" s="109"/>
      <c r="BU31" s="109"/>
      <c r="BV31" s="171"/>
      <c r="BW31" s="109"/>
      <c r="BX31" s="109"/>
      <c r="BY31" s="109"/>
      <c r="BZ31" s="171"/>
      <c r="CA31" s="109"/>
      <c r="CB31" s="109"/>
      <c r="CC31" s="109"/>
      <c r="CD31" s="171"/>
      <c r="CE31" s="109"/>
      <c r="CF31" s="109"/>
      <c r="CG31" s="109"/>
      <c r="CH31" s="171"/>
      <c r="CI31" s="109"/>
      <c r="CJ31" s="109"/>
      <c r="CK31" s="109"/>
      <c r="CL31" s="171"/>
      <c r="CM31" s="109"/>
      <c r="CN31" s="109"/>
      <c r="CO31" s="109"/>
      <c r="CP31" s="171"/>
      <c r="CQ31" s="109"/>
      <c r="CR31" s="109"/>
      <c r="CS31" s="109"/>
      <c r="CT31" s="171"/>
      <c r="CU31" s="109"/>
      <c r="CV31" s="109"/>
      <c r="CW31" s="172"/>
      <c r="CX31" s="109"/>
      <c r="CY31" s="109"/>
      <c r="CZ31" s="109"/>
      <c r="DA31" s="109"/>
      <c r="DB31" s="171"/>
      <c r="DC31" s="109"/>
      <c r="DD31" s="109"/>
      <c r="DE31" s="109"/>
      <c r="DF31" s="171"/>
      <c r="DG31" s="1044"/>
      <c r="DH31" s="1044"/>
      <c r="DI31" s="1044"/>
      <c r="DJ31" s="171"/>
      <c r="DK31" s="1044"/>
      <c r="DL31" s="1044"/>
      <c r="DM31" s="172"/>
      <c r="DN31" s="1044"/>
      <c r="DO31" s="1044"/>
      <c r="DP31" s="1044"/>
      <c r="DQ31" s="172"/>
      <c r="DR31" s="1044"/>
      <c r="DS31" s="1044"/>
      <c r="DT31" s="1044"/>
      <c r="DU31" s="172"/>
      <c r="DV31" s="171"/>
      <c r="DW31" s="1044">
        <f>BS!DW41-BS!DV41</f>
        <v>0</v>
      </c>
      <c r="DX31" s="1044">
        <f>BS!DX41-BS!DW41</f>
        <v>0</v>
      </c>
      <c r="DY31" s="172">
        <f>BS!DY41-BS!DX41</f>
        <v>0</v>
      </c>
      <c r="DZ31" s="109"/>
    </row>
    <row r="32" spans="1:136" collapsed="1">
      <c r="A32" s="167" t="s">
        <v>1376</v>
      </c>
      <c r="B32" s="167"/>
      <c r="C32" s="167"/>
      <c r="D32" s="109"/>
      <c r="E32" s="109"/>
      <c r="F32" s="109">
        <v>-1450</v>
      </c>
      <c r="G32" s="109">
        <v>-1565</v>
      </c>
      <c r="H32" s="109">
        <v>-1261</v>
      </c>
      <c r="I32" s="109">
        <v>-2402</v>
      </c>
      <c r="J32" s="109">
        <v>-1581</v>
      </c>
      <c r="K32" s="109">
        <v>1740</v>
      </c>
      <c r="L32" s="109">
        <v>-3243</v>
      </c>
      <c r="M32" s="109">
        <v>-2410</v>
      </c>
      <c r="N32" s="109">
        <f>SUM(BZ32:CC32)</f>
        <v>-1635</v>
      </c>
      <c r="O32" s="109">
        <f>SUM(CD32:CG32)</f>
        <v>-2893</v>
      </c>
      <c r="P32" s="109">
        <f t="shared" si="2"/>
        <v>-3033</v>
      </c>
      <c r="Q32" s="109">
        <f t="shared" si="3"/>
        <v>-2511</v>
      </c>
      <c r="R32" s="109">
        <f t="shared" si="4"/>
        <v>202</v>
      </c>
      <c r="S32" s="109">
        <f t="shared" si="5"/>
        <v>-2279</v>
      </c>
      <c r="T32" s="109">
        <f t="shared" si="6"/>
        <v>-403</v>
      </c>
      <c r="U32" s="1044">
        <f t="shared" si="7"/>
        <v>-5</v>
      </c>
      <c r="V32" s="109">
        <f t="shared" si="8"/>
        <v>-2160</v>
      </c>
      <c r="W32" s="109">
        <f t="shared" si="9"/>
        <v>2443</v>
      </c>
      <c r="X32" s="109">
        <f t="shared" si="10"/>
        <v>-5636</v>
      </c>
      <c r="Y32" s="109">
        <f t="shared" si="11"/>
        <v>-4947</v>
      </c>
      <c r="Z32" s="109">
        <f ca="1">SUM(DV32:DY32)</f>
        <v>-3520.0655429314033</v>
      </c>
      <c r="AA32" s="109">
        <f ca="1">SUM(AA27:AA31)</f>
        <v>-1369.3428870918167</v>
      </c>
      <c r="AB32" s="109">
        <f ca="1">SUM(AB27:AB31)</f>
        <v>-1327.2607033856984</v>
      </c>
      <c r="AC32" s="109">
        <f t="shared" ref="AC32:AG32" ca="1" si="17">SUM(AC27:AC31)</f>
        <v>-1349.2963991593122</v>
      </c>
      <c r="AD32" s="109">
        <f t="shared" ca="1" si="17"/>
        <v>-1369.2017765673813</v>
      </c>
      <c r="AE32" s="109">
        <f t="shared" ca="1" si="17"/>
        <v>-1389.6628117770936</v>
      </c>
      <c r="AF32" s="109">
        <f t="shared" ca="1" si="17"/>
        <v>-1411.9983286370932</v>
      </c>
      <c r="AG32" s="109">
        <f t="shared" ca="1" si="17"/>
        <v>-1436.9020245353963</v>
      </c>
      <c r="AH32" s="792"/>
      <c r="AI32" s="167"/>
      <c r="AJ32" s="167"/>
      <c r="AK32" s="167"/>
      <c r="AL32" s="167"/>
      <c r="AM32" s="167"/>
      <c r="AN32" s="167"/>
      <c r="AO32" s="167"/>
      <c r="AP32" s="109"/>
      <c r="AQ32" s="109"/>
      <c r="AR32" s="109"/>
      <c r="AS32" s="109"/>
      <c r="AT32" s="109"/>
      <c r="AU32" s="109"/>
      <c r="AV32" s="109"/>
      <c r="AW32" s="109"/>
      <c r="AX32" s="109"/>
      <c r="AY32" s="109"/>
      <c r="AZ32" s="109"/>
      <c r="BA32" s="109"/>
      <c r="BB32" s="109"/>
      <c r="BC32" s="109"/>
      <c r="BD32" s="109"/>
      <c r="BE32" s="168"/>
      <c r="BF32" s="168">
        <v>-2170</v>
      </c>
      <c r="BG32" s="168">
        <v>-791</v>
      </c>
      <c r="BH32" s="168">
        <v>-508</v>
      </c>
      <c r="BI32" s="168">
        <v>1067</v>
      </c>
      <c r="BJ32" s="168">
        <v>-799</v>
      </c>
      <c r="BK32" s="168">
        <v>-2</v>
      </c>
      <c r="BL32" s="168">
        <v>1010</v>
      </c>
      <c r="BM32" s="168">
        <v>-1790</v>
      </c>
      <c r="BN32" s="171">
        <v>497</v>
      </c>
      <c r="BO32" s="109">
        <v>-637</v>
      </c>
      <c r="BP32" s="109">
        <v>-266</v>
      </c>
      <c r="BQ32" s="109">
        <v>2146</v>
      </c>
      <c r="BR32" s="171">
        <v>-1771</v>
      </c>
      <c r="BS32" s="109">
        <v>-538</v>
      </c>
      <c r="BT32" s="109">
        <v>-35</v>
      </c>
      <c r="BU32" s="109">
        <v>-899</v>
      </c>
      <c r="BV32" s="171">
        <v>-250</v>
      </c>
      <c r="BW32" s="109">
        <v>-1002</v>
      </c>
      <c r="BX32" s="109">
        <v>-712</v>
      </c>
      <c r="BY32" s="109">
        <v>-446</v>
      </c>
      <c r="BZ32" s="171">
        <f>NormInputs!BP379</f>
        <v>-258</v>
      </c>
      <c r="CA32" s="109">
        <f>NormInputs!BQ379</f>
        <v>-763</v>
      </c>
      <c r="CB32" s="109">
        <f>NormInputs!BR379</f>
        <v>-580</v>
      </c>
      <c r="CC32" s="109">
        <f>NormInputs!BS379</f>
        <v>-34</v>
      </c>
      <c r="CD32" s="171">
        <f>NormInputs!BT379</f>
        <v>-1116</v>
      </c>
      <c r="CE32" s="109">
        <f>NormInputs!BU379</f>
        <v>-885</v>
      </c>
      <c r="CF32" s="109">
        <f>NormInputs!BV379</f>
        <v>-295</v>
      </c>
      <c r="CG32" s="109">
        <f>NormInputs!BW379</f>
        <v>-597</v>
      </c>
      <c r="CH32" s="171">
        <f>NormInputs!BX379</f>
        <v>-564</v>
      </c>
      <c r="CI32" s="109">
        <f>NormInputs!BY379</f>
        <v>-1745</v>
      </c>
      <c r="CJ32" s="109">
        <f>NormInputs!BZ379</f>
        <v>-149</v>
      </c>
      <c r="CK32" s="109">
        <f>NormInputs!CA379</f>
        <v>-575</v>
      </c>
      <c r="CL32" s="171">
        <f>NormInputs!CB379</f>
        <v>-393</v>
      </c>
      <c r="CM32" s="109">
        <f>NormInputs!CC379</f>
        <v>-1677</v>
      </c>
      <c r="CN32" s="109">
        <f>NormInputs!CD379</f>
        <v>-267</v>
      </c>
      <c r="CO32" s="109">
        <f>NormInputs!CE379</f>
        <v>-174</v>
      </c>
      <c r="CP32" s="171">
        <f>NormInputs!CF379</f>
        <v>-1043</v>
      </c>
      <c r="CQ32" s="109">
        <f>NormInputs!CG379</f>
        <v>2545</v>
      </c>
      <c r="CR32" s="109">
        <f>NormInputs!CH379</f>
        <v>-862</v>
      </c>
      <c r="CS32" s="109">
        <f>NormInputs!CI379</f>
        <v>-438</v>
      </c>
      <c r="CT32" s="171">
        <f>NormInputs!CJ379</f>
        <v>-2070</v>
      </c>
      <c r="CU32" s="109">
        <f>NormInputs!CK379</f>
        <v>-291</v>
      </c>
      <c r="CV32" s="109">
        <f>NormInputs!CL379</f>
        <v>-192</v>
      </c>
      <c r="CW32" s="172">
        <f>NormInputs!CM379</f>
        <v>274</v>
      </c>
      <c r="CX32" s="109">
        <f>NormInputs!CN379</f>
        <v>-1580</v>
      </c>
      <c r="CY32" s="109">
        <f>NormInputs!CO379</f>
        <v>444</v>
      </c>
      <c r="CZ32" s="109">
        <f>NormInputs!CP379</f>
        <v>939</v>
      </c>
      <c r="DA32" s="109">
        <f>NormInputs!CQ379</f>
        <v>-206</v>
      </c>
      <c r="DB32" s="171">
        <f>NormInputs!CR379</f>
        <v>-1491</v>
      </c>
      <c r="DC32" s="109">
        <f>NormInputs!CS379</f>
        <v>-169</v>
      </c>
      <c r="DD32" s="109">
        <f>NormInputs!CT379</f>
        <v>582</v>
      </c>
      <c r="DE32" s="109">
        <f>NormInputs!CU379</f>
        <v>1073</v>
      </c>
      <c r="DF32" s="171">
        <f>NormInputs!CV379</f>
        <v>-1626</v>
      </c>
      <c r="DG32" s="1044">
        <f>NormInputs!CW379</f>
        <v>779</v>
      </c>
      <c r="DH32" s="1044">
        <f>NormInputs!CX379</f>
        <v>31</v>
      </c>
      <c r="DI32" s="1044">
        <f>NormInputs!CY379</f>
        <v>-1344</v>
      </c>
      <c r="DJ32" s="171">
        <f>NormInputs!CZ379</f>
        <v>-888</v>
      </c>
      <c r="DK32" s="1044">
        <f>NormInputs!DA379</f>
        <v>1304</v>
      </c>
      <c r="DL32" s="2151">
        <f>NormInputs!DB379</f>
        <v>1027</v>
      </c>
      <c r="DM32" s="2473">
        <f>NormInputs!DC379</f>
        <v>1000</v>
      </c>
      <c r="DN32" s="2151">
        <f>NormInputs!DD379</f>
        <v>-1162</v>
      </c>
      <c r="DO32" s="2151">
        <f>NormInputs!DE379</f>
        <v>95</v>
      </c>
      <c r="DP32" s="2151">
        <f>NormInputs!DF379</f>
        <v>-2943</v>
      </c>
      <c r="DQ32" s="2473">
        <f>NormInputs!DG379</f>
        <v>-1626</v>
      </c>
      <c r="DR32" s="2151">
        <f>NormInputs!DH379</f>
        <v>-4694</v>
      </c>
      <c r="DS32" s="2151">
        <f>NormInputs!DI379</f>
        <v>1600</v>
      </c>
      <c r="DT32" s="2151">
        <f>NormInputs!DJ379</f>
        <v>-2419</v>
      </c>
      <c r="DU32" s="2473">
        <f>NormInputs!DK379</f>
        <v>566</v>
      </c>
      <c r="DV32" s="2490">
        <f>NormInputs!DL379</f>
        <v>-3033</v>
      </c>
      <c r="DW32" s="1370">
        <f t="shared" ref="DW32:DY32" ca="1" si="18">SUM(DW27:DW31)</f>
        <v>-259.3046325067844</v>
      </c>
      <c r="DX32" s="1370">
        <f t="shared" ca="1" si="18"/>
        <v>-663.15791913126714</v>
      </c>
      <c r="DY32" s="360">
        <f t="shared" ca="1" si="18"/>
        <v>435.39700870664819</v>
      </c>
      <c r="DZ32" s="109"/>
    </row>
    <row r="33" spans="1:136" s="1543" customFormat="1">
      <c r="A33" s="1470" t="s">
        <v>1377</v>
      </c>
      <c r="B33" s="220"/>
      <c r="C33" s="220"/>
      <c r="D33" s="220"/>
      <c r="E33" s="220"/>
      <c r="F33" s="220">
        <v>-109</v>
      </c>
      <c r="G33" s="220">
        <v>48</v>
      </c>
      <c r="H33" s="220">
        <v>763</v>
      </c>
      <c r="I33" s="220">
        <v>664</v>
      </c>
      <c r="J33" s="220">
        <v>-30</v>
      </c>
      <c r="K33" s="220">
        <v>-253</v>
      </c>
      <c r="L33" s="220">
        <v>636</v>
      </c>
      <c r="M33" s="220">
        <v>2218</v>
      </c>
      <c r="N33" s="220">
        <f>SUM(BZ33:CC33)</f>
        <v>2526</v>
      </c>
      <c r="O33" s="220">
        <f>SUM(CD33:CG33)</f>
        <v>3442</v>
      </c>
      <c r="P33" s="220">
        <f t="shared" si="2"/>
        <v>3225</v>
      </c>
      <c r="Q33" s="220">
        <f t="shared" si="3"/>
        <v>-988</v>
      </c>
      <c r="R33" s="220">
        <f t="shared" si="4"/>
        <v>-1930</v>
      </c>
      <c r="S33" s="220">
        <f t="shared" si="5"/>
        <v>-2900</v>
      </c>
      <c r="T33" s="220">
        <f t="shared" si="6"/>
        <v>-3423</v>
      </c>
      <c r="U33" s="1302">
        <f t="shared" si="7"/>
        <v>-2954</v>
      </c>
      <c r="V33" s="220">
        <f t="shared" si="8"/>
        <v>-3088</v>
      </c>
      <c r="W33" s="220">
        <f t="shared" si="9"/>
        <v>-1411</v>
      </c>
      <c r="X33" s="220">
        <f t="shared" si="10"/>
        <v>-4385</v>
      </c>
      <c r="Y33" s="220">
        <f t="shared" si="11"/>
        <v>-4513</v>
      </c>
      <c r="Z33" s="220">
        <f>SUM(DV33:DY33)</f>
        <v>256.60400000000016</v>
      </c>
      <c r="AA33" s="2183">
        <f>+BS!AA44-BS!Z44+BS!AA57-BS!Z57+BS!Z31-BS!AA31-AA21</f>
        <v>-1377.4000000000055</v>
      </c>
      <c r="AB33" s="2183">
        <f>+BS!AB44-BS!AA44+BS!AB57-BS!AA57+BS!AA31-BS!AB31-AB21</f>
        <v>-1377.3999999999955</v>
      </c>
      <c r="AC33" s="2183">
        <f>+BS!AC44-BS!AB44+BS!AC57-BS!AB57+BS!AB31-BS!AC31-AC21</f>
        <v>-1377.3999999999985</v>
      </c>
      <c r="AD33" s="2183">
        <f>+BS!AD44-BS!AC44+BS!AD57-BS!AC57+BS!AC31-BS!AD31-AD21</f>
        <v>-1377.3999999999983</v>
      </c>
      <c r="AE33" s="2183">
        <f>+BS!AE44-BS!AD44+BS!AE57-BS!AD57+BS!AD31-BS!AE31-AE21</f>
        <v>-1377.3999999999987</v>
      </c>
      <c r="AF33" s="2183">
        <f>+BS!AF44-BS!AE44+BS!AF57-BS!AE57+BS!AE31-BS!AF31-AF21</f>
        <v>-1377.4000000000005</v>
      </c>
      <c r="AG33" s="2183">
        <f>+BS!AG44-BS!AF44+BS!AG57-BS!AF57+BS!AF31-BS!AG31-AG21</f>
        <v>-1377.3999999999996</v>
      </c>
      <c r="AH33" s="1316"/>
      <c r="AI33" s="220"/>
      <c r="AJ33" s="220"/>
      <c r="AK33" s="220"/>
      <c r="AL33" s="220"/>
      <c r="AM33" s="220"/>
      <c r="AN33" s="220"/>
      <c r="AO33" s="220"/>
      <c r="AP33" s="220"/>
      <c r="AQ33" s="220"/>
      <c r="AR33" s="220"/>
      <c r="AS33" s="220"/>
      <c r="AT33" s="220"/>
      <c r="AU33" s="220"/>
      <c r="AV33" s="220"/>
      <c r="AW33" s="220"/>
      <c r="AX33" s="220"/>
      <c r="AY33" s="220"/>
      <c r="AZ33" s="220"/>
      <c r="BA33" s="220"/>
      <c r="BB33" s="220"/>
      <c r="BC33" s="220"/>
      <c r="BD33" s="220"/>
      <c r="BE33" s="220"/>
      <c r="BF33" s="220">
        <v>-46</v>
      </c>
      <c r="BG33" s="220">
        <v>261</v>
      </c>
      <c r="BH33" s="220">
        <v>-211</v>
      </c>
      <c r="BI33" s="220">
        <v>660</v>
      </c>
      <c r="BJ33" s="220">
        <v>159</v>
      </c>
      <c r="BK33" s="220">
        <v>-3</v>
      </c>
      <c r="BL33" s="220">
        <v>-252</v>
      </c>
      <c r="BM33" s="220">
        <v>66</v>
      </c>
      <c r="BN33" s="1452">
        <v>-571</v>
      </c>
      <c r="BO33" s="220">
        <v>342</v>
      </c>
      <c r="BP33" s="220">
        <v>-159</v>
      </c>
      <c r="BQ33" s="220">
        <v>135</v>
      </c>
      <c r="BR33" s="1452">
        <v>-92</v>
      </c>
      <c r="BS33" s="220">
        <v>563</v>
      </c>
      <c r="BT33" s="220">
        <v>-536</v>
      </c>
      <c r="BU33" s="220">
        <v>701</v>
      </c>
      <c r="BV33" s="1452">
        <v>-1252</v>
      </c>
      <c r="BW33" s="220">
        <v>1832</v>
      </c>
      <c r="BX33" s="220">
        <v>198</v>
      </c>
      <c r="BY33" s="220">
        <v>1440</v>
      </c>
      <c r="BZ33" s="1452">
        <f>NormInputs!BP380</f>
        <v>374</v>
      </c>
      <c r="CA33" s="220">
        <f>NormInputs!BQ380</f>
        <v>973</v>
      </c>
      <c r="CB33" s="220">
        <f>NormInputs!BR380</f>
        <v>818</v>
      </c>
      <c r="CC33" s="220">
        <f>NormInputs!BS380</f>
        <v>361</v>
      </c>
      <c r="CD33" s="1452">
        <f>NormInputs!BT380</f>
        <v>-299</v>
      </c>
      <c r="CE33" s="220">
        <f>NormInputs!BU380</f>
        <v>1530</v>
      </c>
      <c r="CF33" s="220">
        <f>NormInputs!BV380</f>
        <v>976</v>
      </c>
      <c r="CG33" s="220">
        <f>NormInputs!BW380</f>
        <v>1235</v>
      </c>
      <c r="CH33" s="1452">
        <f>NormInputs!BX380</f>
        <v>-567</v>
      </c>
      <c r="CI33" s="220">
        <f>NormInputs!BY380</f>
        <v>655</v>
      </c>
      <c r="CJ33" s="220">
        <f>NormInputs!BZ380</f>
        <v>938</v>
      </c>
      <c r="CK33" s="220">
        <f>NormInputs!CA380</f>
        <v>2199</v>
      </c>
      <c r="CL33" s="1452">
        <f>NormInputs!CB380</f>
        <v>-1772</v>
      </c>
      <c r="CM33" s="220">
        <f>NormInputs!CC380</f>
        <v>-42</v>
      </c>
      <c r="CN33" s="220">
        <f>NormInputs!CD380</f>
        <v>-422</v>
      </c>
      <c r="CO33" s="220">
        <f>NormInputs!CE380</f>
        <v>1248</v>
      </c>
      <c r="CP33" s="1452">
        <f>NormInputs!CF380</f>
        <v>-1552</v>
      </c>
      <c r="CQ33" s="220">
        <f>NormInputs!CG380</f>
        <v>471</v>
      </c>
      <c r="CR33" s="220">
        <f>NormInputs!CH380</f>
        <v>-661</v>
      </c>
      <c r="CS33" s="220">
        <f>NormInputs!CI380</f>
        <v>-188</v>
      </c>
      <c r="CT33" s="1452">
        <f>NormInputs!CJ380</f>
        <v>-1530</v>
      </c>
      <c r="CU33" s="220">
        <f>NormInputs!CK380</f>
        <v>-852</v>
      </c>
      <c r="CV33" s="220">
        <f>NormInputs!CL380</f>
        <v>-464</v>
      </c>
      <c r="CW33" s="1482">
        <f>NormInputs!CM380</f>
        <v>-54</v>
      </c>
      <c r="CX33" s="220">
        <f>NormInputs!CN380</f>
        <v>-1617</v>
      </c>
      <c r="CY33" s="220">
        <f>NormInputs!CO380</f>
        <v>-683</v>
      </c>
      <c r="CZ33" s="220">
        <f>NormInputs!CP380</f>
        <v>-854</v>
      </c>
      <c r="DA33" s="220">
        <f>NormInputs!CQ380</f>
        <v>-269</v>
      </c>
      <c r="DB33" s="1452">
        <f>NormInputs!CR380</f>
        <v>-1398</v>
      </c>
      <c r="DC33" s="220">
        <f>NormInputs!CS380</f>
        <v>-694</v>
      </c>
      <c r="DD33" s="220">
        <f>NormInputs!CT380</f>
        <v>-803</v>
      </c>
      <c r="DE33" s="220">
        <f>NormInputs!CU380</f>
        <v>-59</v>
      </c>
      <c r="DF33" s="1452">
        <f>NormInputs!CV380</f>
        <v>179</v>
      </c>
      <c r="DG33" s="1302">
        <f>NormInputs!CW380</f>
        <v>-2583</v>
      </c>
      <c r="DH33" s="1302">
        <f>NormInputs!CX380</f>
        <v>-848</v>
      </c>
      <c r="DI33" s="1302">
        <f>NormInputs!CY380</f>
        <v>164</v>
      </c>
      <c r="DJ33" s="1452">
        <f>NormInputs!CZ380</f>
        <v>1196</v>
      </c>
      <c r="DK33" s="1302">
        <f>NormInputs!DA380</f>
        <v>-1569</v>
      </c>
      <c r="DL33" s="2151">
        <f>NormInputs!DB380</f>
        <v>-792</v>
      </c>
      <c r="DM33" s="2473">
        <f>NormInputs!DC380</f>
        <v>-246</v>
      </c>
      <c r="DN33" s="2151">
        <f>NormInputs!DD380</f>
        <v>-771</v>
      </c>
      <c r="DO33" s="2151">
        <f>NormInputs!DE380</f>
        <v>-237</v>
      </c>
      <c r="DP33" s="2151">
        <f>NormInputs!DF380</f>
        <v>-1559</v>
      </c>
      <c r="DQ33" s="2473">
        <f>NormInputs!DG380</f>
        <v>-1818</v>
      </c>
      <c r="DR33" s="2151">
        <f>NormInputs!DH380</f>
        <v>-3509</v>
      </c>
      <c r="DS33" s="2151">
        <f>NormInputs!DI380</f>
        <v>-2092</v>
      </c>
      <c r="DT33" s="2151">
        <f>NormInputs!DJ380</f>
        <v>885</v>
      </c>
      <c r="DU33" s="2473">
        <f>NormInputs!DK380</f>
        <v>203</v>
      </c>
      <c r="DV33" s="2490">
        <f>NormInputs!DL380</f>
        <v>680</v>
      </c>
      <c r="DW33" s="2164">
        <f>+BS!DW44-BS!DV44+BS!DW57-BS!DV57+BS!DV31-BS!DW31-DW21</f>
        <v>-141.13199999999995</v>
      </c>
      <c r="DX33" s="2164">
        <f>+BS!DX44-BS!DW44+BS!DX57-BS!DW57+BS!DW31-BS!DX31-DX21</f>
        <v>-141.13199999999995</v>
      </c>
      <c r="DY33" s="2165">
        <f>+BS!DY44-BS!DX44+BS!DY57-BS!DX57+BS!DX31-BS!DY31-DY21</f>
        <v>-141.13199999999995</v>
      </c>
      <c r="DZ33" s="109"/>
      <c r="EA33"/>
      <c r="EB33"/>
      <c r="EC33"/>
      <c r="ED33"/>
      <c r="EE33"/>
      <c r="EF33"/>
    </row>
    <row r="34" spans="1:136">
      <c r="A34" s="169" t="s">
        <v>1378</v>
      </c>
      <c r="B34" s="169"/>
      <c r="C34" s="169"/>
      <c r="D34" s="169"/>
      <c r="E34" s="169"/>
      <c r="F34" s="169">
        <v>10182</v>
      </c>
      <c r="G34" s="169">
        <v>9232</v>
      </c>
      <c r="H34" s="169">
        <v>8809</v>
      </c>
      <c r="I34" s="169">
        <v>19773</v>
      </c>
      <c r="J34" s="169">
        <v>22099</v>
      </c>
      <c r="K34" s="169">
        <v>22442</v>
      </c>
      <c r="L34" s="169">
        <v>21820</v>
      </c>
      <c r="M34" s="169">
        <v>22012</v>
      </c>
      <c r="N34" s="169">
        <f>SUM(N12:N33)</f>
        <v>24106</v>
      </c>
      <c r="O34" s="169">
        <f>SUM(O12:O33)</f>
        <v>25739</v>
      </c>
      <c r="P34" s="169">
        <f t="shared" ref="P34:V34" si="19">SUM(P12:P26)+P32+P33</f>
        <v>26620</v>
      </c>
      <c r="Q34" s="169">
        <f t="shared" si="19"/>
        <v>31565</v>
      </c>
      <c r="R34" s="169">
        <f t="shared" si="19"/>
        <v>33363</v>
      </c>
      <c r="S34" s="169">
        <f t="shared" si="19"/>
        <v>29780</v>
      </c>
      <c r="T34" s="169">
        <f t="shared" si="19"/>
        <v>31486</v>
      </c>
      <c r="U34" s="1051">
        <f t="shared" si="19"/>
        <v>38818</v>
      </c>
      <c r="V34" s="169">
        <f t="shared" si="19"/>
        <v>30631</v>
      </c>
      <c r="W34" s="169">
        <f t="shared" ref="W34:AB34" si="20">SUM(W12:W26)+W32+W33</f>
        <v>38930</v>
      </c>
      <c r="X34" s="169">
        <f t="shared" si="20"/>
        <v>22715</v>
      </c>
      <c r="Y34" s="169">
        <f t="shared" si="20"/>
        <v>25305</v>
      </c>
      <c r="Z34" s="169">
        <f t="shared" ca="1" si="20"/>
        <v>34024.027173677896</v>
      </c>
      <c r="AA34" s="169">
        <f t="shared" ca="1" si="20"/>
        <v>37058.782391355649</v>
      </c>
      <c r="AB34" s="169">
        <f t="shared" ca="1" si="20"/>
        <v>37951.569158953622</v>
      </c>
      <c r="AC34" s="169">
        <f t="shared" ref="AC34:AG34" ca="1" si="21">SUM(AC12:AC26)+AC32+AC33</f>
        <v>40294.1562497044</v>
      </c>
      <c r="AD34" s="169">
        <f t="shared" ca="1" si="21"/>
        <v>41147.650519499672</v>
      </c>
      <c r="AE34" s="169">
        <f t="shared" ca="1" si="21"/>
        <v>42065.384179528621</v>
      </c>
      <c r="AF34" s="169">
        <f t="shared" ca="1" si="21"/>
        <v>43051.656924537507</v>
      </c>
      <c r="AG34" s="169">
        <f t="shared" ca="1" si="21"/>
        <v>44123.560055002599</v>
      </c>
      <c r="AH34" s="532"/>
      <c r="AI34" s="169"/>
      <c r="AJ34" s="169"/>
      <c r="AK34" s="169"/>
      <c r="AL34" s="169"/>
      <c r="AM34" s="169"/>
      <c r="AN34" s="169"/>
      <c r="AO34" s="169"/>
      <c r="AP34" s="169"/>
      <c r="AQ34" s="169"/>
      <c r="AR34" s="169"/>
      <c r="AS34" s="169"/>
      <c r="AT34" s="169"/>
      <c r="AU34" s="169"/>
      <c r="AV34" s="169"/>
      <c r="AW34" s="169"/>
      <c r="AX34" s="169"/>
      <c r="AY34" s="169"/>
      <c r="AZ34" s="169"/>
      <c r="BA34" s="169"/>
      <c r="BB34" s="169"/>
      <c r="BC34" s="169"/>
      <c r="BD34" s="169"/>
      <c r="BE34" s="169"/>
      <c r="BF34" s="169">
        <v>3102</v>
      </c>
      <c r="BG34" s="169">
        <v>4556</v>
      </c>
      <c r="BH34" s="169">
        <v>5438</v>
      </c>
      <c r="BI34" s="169">
        <v>6677</v>
      </c>
      <c r="BJ34" s="169">
        <v>4540</v>
      </c>
      <c r="BK34" s="169">
        <v>5555</v>
      </c>
      <c r="BL34" s="169">
        <v>6003</v>
      </c>
      <c r="BM34" s="169">
        <v>6001</v>
      </c>
      <c r="BN34" s="178">
        <v>5792</v>
      </c>
      <c r="BO34" s="169">
        <v>5155</v>
      </c>
      <c r="BP34" s="169">
        <v>5309</v>
      </c>
      <c r="BQ34" s="169">
        <v>6211</v>
      </c>
      <c r="BR34" s="178">
        <v>4042</v>
      </c>
      <c r="BS34" s="169">
        <v>5851</v>
      </c>
      <c r="BT34" s="169">
        <v>5601</v>
      </c>
      <c r="BU34" s="169">
        <v>6326</v>
      </c>
      <c r="BV34" s="178">
        <v>3936</v>
      </c>
      <c r="BW34" s="169">
        <v>5976</v>
      </c>
      <c r="BX34" s="169">
        <v>5363</v>
      </c>
      <c r="BY34" s="169">
        <v>6737</v>
      </c>
      <c r="BZ34" s="178">
        <f>NormInputs!BP381</f>
        <v>6051</v>
      </c>
      <c r="CA34" s="169">
        <f>NormInputs!BQ381</f>
        <v>5486</v>
      </c>
      <c r="CB34" s="169">
        <f>NormInputs!BR381</f>
        <v>6399</v>
      </c>
      <c r="CC34" s="169">
        <f>NormInputs!BS381</f>
        <v>6170</v>
      </c>
      <c r="CD34" s="178">
        <f>NormInputs!BT381</f>
        <v>4517</v>
      </c>
      <c r="CE34" s="169">
        <f>NormInputs!BU381</f>
        <v>6475</v>
      </c>
      <c r="CF34" s="169">
        <f>NormInputs!BV381</f>
        <v>6457</v>
      </c>
      <c r="CG34" s="169">
        <f>NormInputs!BW381</f>
        <v>8290</v>
      </c>
      <c r="CH34" s="178">
        <f>NormInputs!BX381</f>
        <v>5390</v>
      </c>
      <c r="CI34" s="169">
        <f>NormInputs!BY381</f>
        <v>6662</v>
      </c>
      <c r="CJ34" s="169">
        <f>NormInputs!BZ381</f>
        <v>7026</v>
      </c>
      <c r="CK34" s="169">
        <f>NormInputs!CA381</f>
        <v>7542</v>
      </c>
      <c r="CL34" s="178">
        <f>NormInputs!CB381</f>
        <v>6420</v>
      </c>
      <c r="CM34" s="169">
        <f>NormInputs!CC381</f>
        <v>7717</v>
      </c>
      <c r="CN34" s="169">
        <f>NormInputs!CD381</f>
        <v>8981</v>
      </c>
      <c r="CO34" s="169">
        <f>NormInputs!CE381</f>
        <v>8447</v>
      </c>
      <c r="CP34" s="178">
        <f>NormInputs!CF381</f>
        <v>7084</v>
      </c>
      <c r="CQ34" s="169">
        <f>NormInputs!CG381</f>
        <v>9723</v>
      </c>
      <c r="CR34" s="169">
        <f>NormInputs!CH381</f>
        <v>8307</v>
      </c>
      <c r="CS34" s="169">
        <f>NormInputs!CI381</f>
        <v>8249</v>
      </c>
      <c r="CT34" s="178">
        <f>NormInputs!CJ381</f>
        <v>5035</v>
      </c>
      <c r="CU34" s="169">
        <f>NormInputs!CK381</f>
        <v>7757</v>
      </c>
      <c r="CV34" s="169">
        <f>NormInputs!CL381</f>
        <v>8720</v>
      </c>
      <c r="CW34" s="179">
        <f>NormInputs!CM381</f>
        <v>8268</v>
      </c>
      <c r="CX34" s="169">
        <f>NormInputs!CN381</f>
        <v>5957</v>
      </c>
      <c r="CY34" s="169">
        <f>NormInputs!CO381</f>
        <v>9314</v>
      </c>
      <c r="CZ34" s="169">
        <f>NormInputs!CP381</f>
        <v>9487</v>
      </c>
      <c r="DA34" s="169">
        <f>NormInputs!CQ381</f>
        <v>6728</v>
      </c>
      <c r="DB34" s="178">
        <f>NormInputs!CR381</f>
        <v>7531</v>
      </c>
      <c r="DC34" s="169">
        <f>NormInputs!CS381</f>
        <v>9617</v>
      </c>
      <c r="DD34" s="169">
        <f>NormInputs!CT381</f>
        <v>11239</v>
      </c>
      <c r="DE34" s="169">
        <f>NormInputs!CU381</f>
        <v>10431</v>
      </c>
      <c r="DF34" s="178">
        <f>NormInputs!CV381</f>
        <v>7139</v>
      </c>
      <c r="DG34" s="1051">
        <f>NormInputs!CW381</f>
        <v>7665</v>
      </c>
      <c r="DH34" s="1051">
        <f>NormInputs!CX381</f>
        <v>8353</v>
      </c>
      <c r="DI34" s="1051">
        <f>NormInputs!CY381</f>
        <v>7474</v>
      </c>
      <c r="DJ34" s="178">
        <f>NormInputs!CZ381</f>
        <v>10169</v>
      </c>
      <c r="DK34" s="1051">
        <f>NormInputs!DA381</f>
        <v>8737</v>
      </c>
      <c r="DL34" s="2154">
        <f>NormInputs!DB381</f>
        <v>9520</v>
      </c>
      <c r="DM34" s="2475">
        <f>NormInputs!DC381</f>
        <v>10504</v>
      </c>
      <c r="DN34" s="2154">
        <f>NormInputs!DD381</f>
        <v>7419</v>
      </c>
      <c r="DO34" s="2154">
        <f>NormInputs!DE381</f>
        <v>5411</v>
      </c>
      <c r="DP34" s="2154">
        <f>NormInputs!DF381</f>
        <v>4799</v>
      </c>
      <c r="DQ34" s="2475">
        <f>NormInputs!DG381</f>
        <v>5086</v>
      </c>
      <c r="DR34" s="2154">
        <f>NormInputs!DH381</f>
        <v>1681</v>
      </c>
      <c r="DS34" s="2154">
        <f>NormInputs!DI381</f>
        <v>8237</v>
      </c>
      <c r="DT34" s="2154">
        <f>NormInputs!DJ381</f>
        <v>7303</v>
      </c>
      <c r="DU34" s="2475">
        <f>NormInputs!DK381</f>
        <v>8084</v>
      </c>
      <c r="DV34" s="3337">
        <f>NormInputs!DL381</f>
        <v>7457</v>
      </c>
      <c r="DW34" s="1051">
        <f t="shared" ref="DW34:DY34" ca="1" si="22">SUM(DW12:DW26)+DW32+DW33</f>
        <v>8877.1083402169043</v>
      </c>
      <c r="DX34" s="1051">
        <f t="shared" ca="1" si="22"/>
        <v>8712.5561669996059</v>
      </c>
      <c r="DY34" s="179">
        <f t="shared" ca="1" si="22"/>
        <v>8977.3626664613912</v>
      </c>
      <c r="DZ34" s="109"/>
    </row>
    <row r="35" spans="1:136" ht="8.25" customHeight="1">
      <c r="A35" s="204" t="s">
        <v>1237</v>
      </c>
      <c r="B35" s="143"/>
      <c r="C35" s="143"/>
      <c r="D35" s="143"/>
      <c r="E35" s="143"/>
      <c r="F35" s="143"/>
      <c r="G35" s="143"/>
      <c r="H35" s="143"/>
      <c r="I35" s="143">
        <v>0</v>
      </c>
      <c r="J35" s="143">
        <v>0</v>
      </c>
      <c r="K35" s="143">
        <v>0</v>
      </c>
      <c r="L35" s="143">
        <v>0</v>
      </c>
      <c r="M35" s="143">
        <v>0</v>
      </c>
      <c r="N35" s="143">
        <f>N12+SUM(N15:N33)-N34</f>
        <v>0</v>
      </c>
      <c r="O35" s="143">
        <f>O12+SUM(O15:O33)-O34</f>
        <v>0</v>
      </c>
      <c r="P35" s="143">
        <f t="shared" ref="P35:V35" si="23">SUM(P12:P26)+P32+P33-P34</f>
        <v>0</v>
      </c>
      <c r="Q35" s="143">
        <f t="shared" si="23"/>
        <v>0</v>
      </c>
      <c r="R35" s="143">
        <f t="shared" si="23"/>
        <v>0</v>
      </c>
      <c r="S35" s="143">
        <f t="shared" si="23"/>
        <v>0</v>
      </c>
      <c r="T35" s="143">
        <f t="shared" si="23"/>
        <v>0</v>
      </c>
      <c r="U35" s="1047">
        <f t="shared" si="23"/>
        <v>0</v>
      </c>
      <c r="V35" s="143">
        <f t="shared" si="23"/>
        <v>0</v>
      </c>
      <c r="W35" s="143">
        <f t="shared" ref="W35:AB35" si="24">SUM(W12:W26)+W32+W33-W34</f>
        <v>0</v>
      </c>
      <c r="X35" s="143">
        <f t="shared" si="24"/>
        <v>0</v>
      </c>
      <c r="Y35" s="143">
        <f t="shared" si="24"/>
        <v>0</v>
      </c>
      <c r="Z35" s="143">
        <f t="shared" ca="1" si="24"/>
        <v>0</v>
      </c>
      <c r="AA35" s="143">
        <f t="shared" ca="1" si="24"/>
        <v>0</v>
      </c>
      <c r="AB35" s="143">
        <f t="shared" ca="1" si="24"/>
        <v>0</v>
      </c>
      <c r="AC35" s="143">
        <f t="shared" ref="AC35:AG35" ca="1" si="25">SUM(AC12:AC26)+AC32+AC33-AC34</f>
        <v>0</v>
      </c>
      <c r="AD35" s="143">
        <f t="shared" ca="1" si="25"/>
        <v>0</v>
      </c>
      <c r="AE35" s="143">
        <f t="shared" ca="1" si="25"/>
        <v>0</v>
      </c>
      <c r="AF35" s="143">
        <f t="shared" ca="1" si="25"/>
        <v>0</v>
      </c>
      <c r="AG35" s="143">
        <f t="shared" ca="1" si="25"/>
        <v>0</v>
      </c>
      <c r="AH35" s="1237"/>
      <c r="AI35" s="143"/>
      <c r="AJ35" s="143"/>
      <c r="AK35" s="143"/>
      <c r="AL35" s="143"/>
      <c r="AM35" s="143"/>
      <c r="AN35" s="143"/>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43"/>
      <c r="BL35" s="143"/>
      <c r="BM35" s="143"/>
      <c r="BN35" s="159">
        <v>0</v>
      </c>
      <c r="BO35" s="143">
        <v>0</v>
      </c>
      <c r="BP35" s="143">
        <v>0</v>
      </c>
      <c r="BQ35" s="143">
        <v>0</v>
      </c>
      <c r="BR35" s="159">
        <v>0</v>
      </c>
      <c r="BS35" s="143">
        <v>0</v>
      </c>
      <c r="BT35" s="143">
        <v>0</v>
      </c>
      <c r="BU35" s="143">
        <v>0</v>
      </c>
      <c r="BV35" s="159">
        <v>0</v>
      </c>
      <c r="BW35" s="143">
        <v>0</v>
      </c>
      <c r="BX35" s="143">
        <v>0</v>
      </c>
      <c r="BY35" s="143">
        <v>0</v>
      </c>
      <c r="BZ35" s="159">
        <f t="shared" ref="BZ35:DF35" si="26">BZ12+SUM(BZ15:BZ33)-BZ34</f>
        <v>0</v>
      </c>
      <c r="CA35" s="143">
        <f t="shared" si="26"/>
        <v>0</v>
      </c>
      <c r="CB35" s="143">
        <f t="shared" si="26"/>
        <v>0</v>
      </c>
      <c r="CC35" s="143">
        <f t="shared" si="26"/>
        <v>0</v>
      </c>
      <c r="CD35" s="159">
        <f t="shared" si="26"/>
        <v>0</v>
      </c>
      <c r="CE35" s="143">
        <f t="shared" si="26"/>
        <v>0</v>
      </c>
      <c r="CF35" s="143">
        <f t="shared" si="26"/>
        <v>0</v>
      </c>
      <c r="CG35" s="143">
        <f t="shared" si="26"/>
        <v>0</v>
      </c>
      <c r="CH35" s="159">
        <f t="shared" si="26"/>
        <v>0</v>
      </c>
      <c r="CI35" s="143">
        <f t="shared" si="26"/>
        <v>0</v>
      </c>
      <c r="CJ35" s="143">
        <f t="shared" si="26"/>
        <v>0</v>
      </c>
      <c r="CK35" s="143">
        <f t="shared" si="26"/>
        <v>0</v>
      </c>
      <c r="CL35" s="159">
        <f t="shared" si="26"/>
        <v>0</v>
      </c>
      <c r="CM35" s="143">
        <f t="shared" si="26"/>
        <v>0</v>
      </c>
      <c r="CN35" s="143">
        <f t="shared" si="26"/>
        <v>0</v>
      </c>
      <c r="CO35" s="143">
        <f t="shared" si="26"/>
        <v>0</v>
      </c>
      <c r="CP35" s="159">
        <f t="shared" si="26"/>
        <v>0</v>
      </c>
      <c r="CQ35" s="143">
        <f t="shared" si="26"/>
        <v>0</v>
      </c>
      <c r="CR35" s="143">
        <f t="shared" si="26"/>
        <v>0</v>
      </c>
      <c r="CS35" s="143">
        <f t="shared" si="26"/>
        <v>0</v>
      </c>
      <c r="CT35" s="159">
        <f t="shared" si="26"/>
        <v>0</v>
      </c>
      <c r="CU35" s="143">
        <f t="shared" si="26"/>
        <v>0</v>
      </c>
      <c r="CV35" s="143">
        <f t="shared" si="26"/>
        <v>0</v>
      </c>
      <c r="CW35" s="189">
        <f t="shared" si="26"/>
        <v>0</v>
      </c>
      <c r="CX35" s="143">
        <f t="shared" si="26"/>
        <v>0</v>
      </c>
      <c r="CY35" s="143">
        <f t="shared" si="26"/>
        <v>0</v>
      </c>
      <c r="CZ35" s="143">
        <f t="shared" si="26"/>
        <v>0</v>
      </c>
      <c r="DA35" s="143">
        <f t="shared" si="26"/>
        <v>0</v>
      </c>
      <c r="DB35" s="159">
        <f t="shared" si="26"/>
        <v>0</v>
      </c>
      <c r="DC35" s="143">
        <f t="shared" si="26"/>
        <v>0</v>
      </c>
      <c r="DD35" s="143">
        <f t="shared" si="26"/>
        <v>0</v>
      </c>
      <c r="DE35" s="143">
        <f t="shared" si="26"/>
        <v>0</v>
      </c>
      <c r="DF35" s="159">
        <f t="shared" si="26"/>
        <v>0</v>
      </c>
      <c r="DG35" s="1047">
        <f t="shared" ref="DG35:DL35" si="27">DG12+SUM(DG15:DG33)-DG34</f>
        <v>0</v>
      </c>
      <c r="DH35" s="1047">
        <f t="shared" si="27"/>
        <v>0</v>
      </c>
      <c r="DI35" s="1047">
        <f t="shared" si="27"/>
        <v>0</v>
      </c>
      <c r="DJ35" s="159">
        <f t="shared" si="27"/>
        <v>0</v>
      </c>
      <c r="DK35" s="1047">
        <f t="shared" si="27"/>
        <v>0</v>
      </c>
      <c r="DL35" s="1047">
        <f t="shared" si="27"/>
        <v>0</v>
      </c>
      <c r="DM35" s="189">
        <f t="shared" ref="DM35:DR35" si="28">DM12+SUM(DM15:DM33)-DM34</f>
        <v>0</v>
      </c>
      <c r="DN35" s="1047">
        <f t="shared" si="28"/>
        <v>0</v>
      </c>
      <c r="DO35" s="1047">
        <f t="shared" si="28"/>
        <v>0</v>
      </c>
      <c r="DP35" s="1047">
        <f t="shared" si="28"/>
        <v>0</v>
      </c>
      <c r="DQ35" s="189">
        <f t="shared" si="28"/>
        <v>0</v>
      </c>
      <c r="DR35" s="1047">
        <f t="shared" si="28"/>
        <v>0</v>
      </c>
      <c r="DS35" s="1047">
        <f t="shared" ref="DS35:DT35" si="29">DS12+SUM(DS15:DS33)-DS34</f>
        <v>0</v>
      </c>
      <c r="DT35" s="1047">
        <f t="shared" si="29"/>
        <v>0</v>
      </c>
      <c r="DU35" s="189">
        <f t="shared" ref="DU35:DV35" si="30">DU12+SUM(DU15:DU33)-DU34</f>
        <v>0</v>
      </c>
      <c r="DV35" s="159">
        <f t="shared" si="30"/>
        <v>0</v>
      </c>
      <c r="DW35" s="1047">
        <f t="shared" ref="DW35:DY35" ca="1" si="31">DW12+SUM(DW15:DW33)-DW32-DW34</f>
        <v>0</v>
      </c>
      <c r="DX35" s="1047">
        <f t="shared" ca="1" si="31"/>
        <v>0</v>
      </c>
      <c r="DY35" s="189">
        <f t="shared" ca="1" si="31"/>
        <v>0</v>
      </c>
      <c r="DZ35" s="109"/>
    </row>
    <row r="36" spans="1:136">
      <c r="A36" s="109"/>
      <c r="B36" s="109"/>
      <c r="C36" s="109"/>
      <c r="D36" s="109"/>
      <c r="E36" s="109"/>
      <c r="F36" s="109"/>
      <c r="G36" s="109"/>
      <c r="H36" s="109"/>
      <c r="I36" s="109"/>
      <c r="J36" s="109"/>
      <c r="K36" s="109"/>
      <c r="L36" s="109"/>
      <c r="M36" s="109"/>
      <c r="N36" s="109"/>
      <c r="O36" s="109"/>
      <c r="P36" s="109"/>
      <c r="Q36" s="109"/>
      <c r="R36" s="109"/>
      <c r="S36" s="109"/>
      <c r="T36" s="109"/>
      <c r="U36" s="1044"/>
      <c r="V36" s="109"/>
      <c r="W36" s="109"/>
      <c r="X36" s="109"/>
      <c r="Y36" s="109"/>
      <c r="Z36" s="109"/>
      <c r="AA36" s="109"/>
      <c r="AB36" s="109"/>
      <c r="AC36" s="109"/>
      <c r="AD36" s="109"/>
      <c r="AE36" s="109"/>
      <c r="AF36" s="109"/>
      <c r="AG36" s="109"/>
      <c r="AH36" s="536"/>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c r="BL36" s="109"/>
      <c r="BM36" s="109"/>
      <c r="BN36" s="171"/>
      <c r="BO36" s="109"/>
      <c r="BP36" s="109"/>
      <c r="BQ36" s="109"/>
      <c r="BR36" s="171"/>
      <c r="BS36" s="109"/>
      <c r="BT36" s="109"/>
      <c r="BU36" s="109"/>
      <c r="BV36" s="171"/>
      <c r="BW36" s="109"/>
      <c r="BX36" s="109"/>
      <c r="BY36" s="109"/>
      <c r="BZ36" s="171"/>
      <c r="CA36" s="109"/>
      <c r="CB36" s="109"/>
      <c r="CC36" s="109"/>
      <c r="CD36" s="171"/>
      <c r="CE36" s="109"/>
      <c r="CF36" s="109"/>
      <c r="CG36" s="109"/>
      <c r="CH36" s="171"/>
      <c r="CI36" s="109"/>
      <c r="CJ36" s="109"/>
      <c r="CK36" s="109"/>
      <c r="CL36" s="171"/>
      <c r="CM36" s="109"/>
      <c r="CN36" s="109"/>
      <c r="CO36" s="109"/>
      <c r="CP36" s="171"/>
      <c r="CQ36" s="109"/>
      <c r="CR36" s="109"/>
      <c r="CS36" s="109"/>
      <c r="CT36" s="171"/>
      <c r="CU36" s="109"/>
      <c r="CV36" s="109"/>
      <c r="CW36" s="172"/>
      <c r="CX36" s="109"/>
      <c r="CY36" s="109"/>
      <c r="CZ36" s="109"/>
      <c r="DA36" s="109"/>
      <c r="DB36" s="171"/>
      <c r="DC36" s="109"/>
      <c r="DD36" s="109"/>
      <c r="DE36" s="109"/>
      <c r="DF36" s="171"/>
      <c r="DG36" s="1044"/>
      <c r="DH36" s="1044"/>
      <c r="DI36" s="1044"/>
      <c r="DJ36" s="171"/>
      <c r="DK36" s="1044"/>
      <c r="DL36" s="1044"/>
      <c r="DM36" s="172"/>
      <c r="DN36" s="1044"/>
      <c r="DO36" s="1044"/>
      <c r="DP36" s="1044"/>
      <c r="DQ36" s="172"/>
      <c r="DR36" s="1044"/>
      <c r="DS36" s="1044"/>
      <c r="DT36" s="1044"/>
      <c r="DU36" s="172"/>
      <c r="DV36" s="171"/>
      <c r="DW36" s="1044"/>
      <c r="DX36" s="1044"/>
      <c r="DY36" s="172"/>
      <c r="DZ36" s="109"/>
    </row>
    <row r="37" spans="1:136">
      <c r="A37" s="169" t="s">
        <v>1379</v>
      </c>
      <c r="B37" s="109"/>
      <c r="C37" s="109"/>
      <c r="D37" s="109"/>
      <c r="E37" s="109"/>
      <c r="F37" s="109"/>
      <c r="G37" s="109"/>
      <c r="H37" s="109"/>
      <c r="I37" s="109"/>
      <c r="J37" s="109"/>
      <c r="K37" s="109"/>
      <c r="L37" s="109"/>
      <c r="M37" s="109"/>
      <c r="N37" s="109"/>
      <c r="O37" s="109"/>
      <c r="P37" s="109"/>
      <c r="Q37" s="109"/>
      <c r="R37" s="109"/>
      <c r="S37" s="109"/>
      <c r="T37" s="109"/>
      <c r="U37" s="1044"/>
      <c r="V37" s="109"/>
      <c r="W37" s="109"/>
      <c r="X37" s="109"/>
      <c r="Y37" s="109"/>
      <c r="Z37" s="109"/>
      <c r="AA37" s="109"/>
      <c r="AB37" s="109"/>
      <c r="AC37" s="109"/>
      <c r="AD37" s="109"/>
      <c r="AE37" s="109"/>
      <c r="AF37" s="109"/>
      <c r="AG37" s="109"/>
      <c r="AH37" s="536"/>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BM37" s="109"/>
      <c r="BN37" s="171"/>
      <c r="BO37" s="109"/>
      <c r="BP37" s="109"/>
      <c r="BQ37" s="109"/>
      <c r="BR37" s="171"/>
      <c r="BS37" s="109"/>
      <c r="BT37" s="109"/>
      <c r="BU37" s="109"/>
      <c r="BV37" s="171"/>
      <c r="BW37" s="109"/>
      <c r="BX37" s="109"/>
      <c r="BY37" s="109"/>
      <c r="BZ37" s="171"/>
      <c r="CA37" s="109"/>
      <c r="CB37" s="109"/>
      <c r="CC37" s="109"/>
      <c r="CD37" s="171"/>
      <c r="CE37" s="109"/>
      <c r="CF37" s="109"/>
      <c r="CG37" s="109"/>
      <c r="CH37" s="171"/>
      <c r="CI37" s="109"/>
      <c r="CJ37" s="109"/>
      <c r="CK37" s="109"/>
      <c r="CL37" s="171"/>
      <c r="CM37" s="109"/>
      <c r="CN37" s="109"/>
      <c r="CO37" s="109"/>
      <c r="CP37" s="171"/>
      <c r="CQ37" s="109"/>
      <c r="CR37" s="109"/>
      <c r="CS37" s="109"/>
      <c r="CT37" s="171"/>
      <c r="CU37" s="109"/>
      <c r="CV37" s="109"/>
      <c r="CW37" s="172"/>
      <c r="CX37" s="109"/>
      <c r="CY37" s="109"/>
      <c r="CZ37" s="109"/>
      <c r="DA37" s="109"/>
      <c r="DB37" s="171"/>
      <c r="DC37" s="109"/>
      <c r="DD37" s="109"/>
      <c r="DE37" s="109"/>
      <c r="DF37" s="171"/>
      <c r="DG37" s="1044"/>
      <c r="DH37" s="1044"/>
      <c r="DI37" s="1044"/>
      <c r="DJ37" s="171"/>
      <c r="DK37" s="1044"/>
      <c r="DL37" s="1044"/>
      <c r="DM37" s="172"/>
      <c r="DN37" s="1044"/>
      <c r="DO37" s="1044"/>
      <c r="DP37" s="1044"/>
      <c r="DQ37" s="172"/>
      <c r="DR37" s="1044"/>
      <c r="DS37" s="1044"/>
      <c r="DT37" s="1044"/>
      <c r="DU37" s="172"/>
      <c r="DV37" s="171"/>
      <c r="DW37" s="1044"/>
      <c r="DX37" s="1044"/>
      <c r="DY37" s="172"/>
      <c r="DZ37" s="109"/>
    </row>
    <row r="38" spans="1:136">
      <c r="A38" s="109" t="s">
        <v>1380</v>
      </c>
      <c r="B38" s="109"/>
      <c r="C38" s="109"/>
      <c r="D38" s="109"/>
      <c r="E38" s="109"/>
      <c r="F38" s="109">
        <v>-12820</v>
      </c>
      <c r="G38" s="109">
        <v>-13013</v>
      </c>
      <c r="H38" s="109">
        <v>-17633</v>
      </c>
      <c r="I38" s="109">
        <v>-17371</v>
      </c>
      <c r="J38" s="109">
        <v>-13061</v>
      </c>
      <c r="K38" s="109">
        <v>-11874</v>
      </c>
      <c r="L38" s="109">
        <v>-13259</v>
      </c>
      <c r="M38" s="109">
        <v>-15324</v>
      </c>
      <c r="N38" s="109">
        <f t="shared" ref="N38:N43" si="32">SUM(BZ38:CC38)</f>
        <v>-17101</v>
      </c>
      <c r="O38" s="109">
        <f t="shared" ref="O38:O43" si="33">SUM(CD38:CG38)</f>
        <v>-17538</v>
      </c>
      <c r="P38" s="109">
        <f t="shared" ref="P38:P43" si="34">SUM(CH38:CK38)</f>
        <v>-17238</v>
      </c>
      <c r="Q38" s="109">
        <f t="shared" ref="Q38:Q43" si="35">SUM(CL38:CO38)</f>
        <v>-16872</v>
      </c>
      <c r="R38" s="109">
        <f t="shared" ref="R38:R43" si="36">SUM(CP38:CS38)</f>
        <v>-16458</v>
      </c>
      <c r="S38" s="109">
        <f t="shared" ref="S38:S43" si="37">SUM(CT38:CW38)</f>
        <v>-16244</v>
      </c>
      <c r="T38" s="109">
        <f t="shared" ref="T38:T43" si="38">SUM(CX38:DA38)</f>
        <v>-16175</v>
      </c>
      <c r="U38" s="1044">
        <f t="shared" ref="U38:U43" si="39">SUM(DB38:DE38)</f>
        <v>-16604</v>
      </c>
      <c r="V38" s="109">
        <f t="shared" ref="V38:V43" si="40">SUM(DF38:DI38)</f>
        <v>-17191</v>
      </c>
      <c r="W38" s="109">
        <f t="shared" ref="W38:Z43" si="41">SUM(DJ38:DM38)</f>
        <v>-17775</v>
      </c>
      <c r="X38" s="109">
        <f>SUM(DN38:DQ38)</f>
        <v>-17059</v>
      </c>
      <c r="Y38" s="109">
        <f>SUM(DR38:DU38)</f>
        <v>-17247</v>
      </c>
      <c r="Z38" s="109">
        <f ca="1">SUM(DV38:DY38)</f>
        <v>-17184.531443313364</v>
      </c>
      <c r="AA38" s="2183">
        <f ca="1">-Capex!AA17</f>
        <v>-17326.654612606839</v>
      </c>
      <c r="AB38" s="2183">
        <f ca="1">-Capex!AB17</f>
        <v>-17539.117790711662</v>
      </c>
      <c r="AC38" s="2183">
        <f ca="1">-Capex!AC17</f>
        <v>-17762.512511533605</v>
      </c>
      <c r="AD38" s="2183">
        <f ca="1">-Capex!AD17</f>
        <v>-17996.036439295356</v>
      </c>
      <c r="AE38" s="2183">
        <f ca="1">-Capex!AE17</f>
        <v>-18240.908275959573</v>
      </c>
      <c r="AF38" s="2183">
        <f ca="1">-Capex!AF17</f>
        <v>-18499.258520535466</v>
      </c>
      <c r="AG38" s="2183">
        <f ca="1">-Capex!AG17</f>
        <v>-20074.791512016636</v>
      </c>
      <c r="AH38" s="536"/>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68">
        <v>-4478</v>
      </c>
      <c r="BG38" s="168">
        <v>-4685</v>
      </c>
      <c r="BH38" s="168">
        <v>-3314</v>
      </c>
      <c r="BI38" s="168">
        <v>-4894</v>
      </c>
      <c r="BJ38" s="168">
        <v>-2580</v>
      </c>
      <c r="BK38" s="168">
        <v>-3400</v>
      </c>
      <c r="BL38" s="168">
        <v>-2814</v>
      </c>
      <c r="BM38" s="168">
        <v>-4267</v>
      </c>
      <c r="BN38" s="171">
        <v>-2463</v>
      </c>
      <c r="BO38" s="109">
        <v>-2824</v>
      </c>
      <c r="BP38" s="109">
        <v>-2847</v>
      </c>
      <c r="BQ38" s="109">
        <v>-3740</v>
      </c>
      <c r="BR38" s="171">
        <v>-2641</v>
      </c>
      <c r="BS38" s="109">
        <v>-3183</v>
      </c>
      <c r="BT38" s="109">
        <v>-3253</v>
      </c>
      <c r="BU38" s="109">
        <v>-4182</v>
      </c>
      <c r="BV38" s="171">
        <v>-3594</v>
      </c>
      <c r="BW38" s="109">
        <v>-4061</v>
      </c>
      <c r="BX38" s="109">
        <v>-3897</v>
      </c>
      <c r="BY38" s="109">
        <v>-3772</v>
      </c>
      <c r="BZ38" s="171">
        <f>NormInputs!BP384</f>
        <v>-4066</v>
      </c>
      <c r="CA38" s="109">
        <f>NormInputs!BQ384</f>
        <v>-4245</v>
      </c>
      <c r="CB38" s="109">
        <f>NormInputs!BR384</f>
        <v>-4007</v>
      </c>
      <c r="CC38" s="109">
        <f>NormInputs!BS384</f>
        <v>-4783</v>
      </c>
      <c r="CD38" s="171">
        <f>NormInputs!BT384</f>
        <v>-4163</v>
      </c>
      <c r="CE38" s="109">
        <f>NormInputs!BU384</f>
        <v>-4352</v>
      </c>
      <c r="CF38" s="109">
        <f>NormInputs!BV384</f>
        <v>-4277</v>
      </c>
      <c r="CG38" s="109">
        <f>NormInputs!BW384</f>
        <v>-4746</v>
      </c>
      <c r="CH38" s="171">
        <f>NormInputs!BX384</f>
        <v>-4220</v>
      </c>
      <c r="CI38" s="109">
        <f>NormInputs!BY384</f>
        <v>-4177</v>
      </c>
      <c r="CJ38" s="109">
        <f>NormInputs!BZ384</f>
        <v>-4178</v>
      </c>
      <c r="CK38" s="109">
        <f>NormInputs!CA384</f>
        <v>-4663</v>
      </c>
      <c r="CL38" s="171">
        <f>NormInputs!CB384</f>
        <v>-3663</v>
      </c>
      <c r="CM38" s="109">
        <f>NormInputs!CC384</f>
        <v>-4343</v>
      </c>
      <c r="CN38" s="109">
        <f>NormInputs!CD384</f>
        <v>-4313</v>
      </c>
      <c r="CO38" s="109">
        <f>NormInputs!CE384</f>
        <v>-4553</v>
      </c>
      <c r="CP38" s="171">
        <f>NormInputs!CF384</f>
        <v>-3423</v>
      </c>
      <c r="CQ38" s="109">
        <f>NormInputs!CG384</f>
        <v>-4196</v>
      </c>
      <c r="CR38" s="109">
        <f>NormInputs!CH384</f>
        <v>-4125</v>
      </c>
      <c r="CS38" s="109">
        <f>NormInputs!CI384</f>
        <v>-4714</v>
      </c>
      <c r="CT38" s="171">
        <f>NormInputs!CJ384</f>
        <v>-4363</v>
      </c>
      <c r="CU38" s="109">
        <f>NormInputs!CK384</f>
        <v>-4555</v>
      </c>
      <c r="CV38" s="109">
        <f>NormInputs!CL384</f>
        <v>-3628</v>
      </c>
      <c r="CW38" s="172">
        <f>NormInputs!CM384</f>
        <v>-3698</v>
      </c>
      <c r="CX38" s="109">
        <f>NormInputs!CN384</f>
        <v>-3565</v>
      </c>
      <c r="CY38" s="109">
        <f>NormInputs!CO384</f>
        <v>-3865</v>
      </c>
      <c r="CZ38" s="109">
        <f>NormInputs!CP384</f>
        <v>-3885</v>
      </c>
      <c r="DA38" s="109">
        <f>NormInputs!CQ384</f>
        <v>-4860</v>
      </c>
      <c r="DB38" s="171">
        <f>NormInputs!CR384</f>
        <v>-3602</v>
      </c>
      <c r="DC38" s="109">
        <f>NormInputs!CS384</f>
        <v>-4014</v>
      </c>
      <c r="DD38" s="109">
        <f>NormInputs!CT384</f>
        <v>-4191</v>
      </c>
      <c r="DE38" s="109">
        <f>NormInputs!CU384</f>
        <v>-4797</v>
      </c>
      <c r="DF38" s="171">
        <f>NormInputs!CV384</f>
        <v>-4150</v>
      </c>
      <c r="DG38" s="1044">
        <f>NormInputs!CW384</f>
        <v>-4344</v>
      </c>
      <c r="DH38" s="1044">
        <f>NormInputs!CX384</f>
        <v>-4130</v>
      </c>
      <c r="DI38" s="1044">
        <f>NormInputs!CY384</f>
        <v>-4567</v>
      </c>
      <c r="DJ38" s="171">
        <f>NormInputs!CZ384</f>
        <v>-3665</v>
      </c>
      <c r="DK38" s="1044">
        <f>NormInputs!DA384</f>
        <v>-4488</v>
      </c>
      <c r="DL38" s="2151">
        <f>NormInputs!DB384</f>
        <v>-4387</v>
      </c>
      <c r="DM38" s="2473">
        <f>NormInputs!DC384</f>
        <v>-5235</v>
      </c>
      <c r="DN38" s="2151">
        <f>NormInputs!DD384</f>
        <v>-3387</v>
      </c>
      <c r="DO38" s="2151">
        <f>NormInputs!DE384</f>
        <v>-3886</v>
      </c>
      <c r="DP38" s="2151">
        <f>NormInputs!DF384</f>
        <v>-4125</v>
      </c>
      <c r="DQ38" s="2473">
        <f>NormInputs!DG384</f>
        <v>-5661</v>
      </c>
      <c r="DR38" s="2151">
        <f>NormInputs!DH384</f>
        <v>-3067</v>
      </c>
      <c r="DS38" s="2151">
        <f>NormInputs!DI384</f>
        <v>-3944</v>
      </c>
      <c r="DT38" s="2151">
        <f>NormInputs!DJ384</f>
        <v>-4271</v>
      </c>
      <c r="DU38" s="2473">
        <f>NormInputs!DK384</f>
        <v>-5965</v>
      </c>
      <c r="DV38" s="2490">
        <f>NormInputs!DL384</f>
        <v>-4552</v>
      </c>
      <c r="DW38" s="2164">
        <f ca="1">-Capex!DW17</f>
        <v>-4102.0268345890599</v>
      </c>
      <c r="DX38" s="2164">
        <f ca="1">-Capex!DX17</f>
        <v>-4169.9259917685913</v>
      </c>
      <c r="DY38" s="2165">
        <f ca="1">-Capex!DY17</f>
        <v>-4360.5786169557132</v>
      </c>
      <c r="DZ38" s="109"/>
    </row>
    <row r="39" spans="1:136">
      <c r="A39" s="109" t="s">
        <v>1381</v>
      </c>
      <c r="B39" s="109"/>
      <c r="C39" s="109"/>
      <c r="D39" s="109"/>
      <c r="E39" s="109"/>
      <c r="F39" s="109">
        <v>-784</v>
      </c>
      <c r="G39" s="109">
        <v>-5219</v>
      </c>
      <c r="H39" s="109">
        <v>-2247</v>
      </c>
      <c r="I39" s="109">
        <v>-3142</v>
      </c>
      <c r="J39" s="109">
        <v>-1088</v>
      </c>
      <c r="K39" s="109">
        <v>-1162</v>
      </c>
      <c r="L39" s="109">
        <v>-1196</v>
      </c>
      <c r="M39" s="109">
        <v>-4684</v>
      </c>
      <c r="N39" s="109">
        <f t="shared" si="32"/>
        <v>-1422</v>
      </c>
      <c r="O39" s="109">
        <f t="shared" si="33"/>
        <v>-763</v>
      </c>
      <c r="P39" s="109">
        <f t="shared" si="34"/>
        <v>-15904</v>
      </c>
      <c r="Q39" s="109">
        <f t="shared" si="35"/>
        <v>-5958</v>
      </c>
      <c r="R39" s="109">
        <f t="shared" si="36"/>
        <v>-1438</v>
      </c>
      <c r="S39" s="109">
        <f t="shared" si="37"/>
        <v>-2018</v>
      </c>
      <c r="T39" s="109">
        <f t="shared" si="38"/>
        <v>-4848</v>
      </c>
      <c r="U39" s="1044">
        <f t="shared" si="39"/>
        <v>1037</v>
      </c>
      <c r="V39" s="109">
        <f t="shared" si="40"/>
        <v>1831</v>
      </c>
      <c r="W39" s="109">
        <f t="shared" si="41"/>
        <v>-13487</v>
      </c>
      <c r="X39" s="109">
        <f>SUM(DN39:DQ39)</f>
        <v>-4299</v>
      </c>
      <c r="Y39" s="109">
        <f>SUM(DR39:DU39)</f>
        <v>-5928</v>
      </c>
      <c r="Z39" s="109">
        <f>SUM(DV39:DY39)</f>
        <v>-1002</v>
      </c>
      <c r="AA39" s="168">
        <v>0</v>
      </c>
      <c r="AB39" s="168">
        <v>0</v>
      </c>
      <c r="AC39" s="168">
        <v>0</v>
      </c>
      <c r="AD39" s="168">
        <v>0</v>
      </c>
      <c r="AE39" s="168">
        <v>0</v>
      </c>
      <c r="AF39" s="168">
        <v>0</v>
      </c>
      <c r="AG39" s="168">
        <v>0</v>
      </c>
      <c r="AH39" s="792"/>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68">
        <v>-2099</v>
      </c>
      <c r="BG39" s="168">
        <v>-113</v>
      </c>
      <c r="BH39" s="168">
        <v>-793</v>
      </c>
      <c r="BI39" s="168">
        <v>-137</v>
      </c>
      <c r="BJ39" s="168">
        <v>-925</v>
      </c>
      <c r="BK39" s="168">
        <v>-68</v>
      </c>
      <c r="BL39" s="168">
        <v>-19</v>
      </c>
      <c r="BM39" s="168">
        <v>-76</v>
      </c>
      <c r="BN39" s="171">
        <v>-169</v>
      </c>
      <c r="BO39" s="109">
        <v>-864</v>
      </c>
      <c r="BP39" s="109">
        <v>-64</v>
      </c>
      <c r="BQ39" s="109">
        <v>-65</v>
      </c>
      <c r="BR39" s="171">
        <v>-34</v>
      </c>
      <c r="BS39" s="109">
        <v>-21</v>
      </c>
      <c r="BT39" s="109">
        <v>-245</v>
      </c>
      <c r="BU39" s="109">
        <v>-896</v>
      </c>
      <c r="BV39" s="171">
        <v>-1178</v>
      </c>
      <c r="BW39" s="109">
        <v>-3260</v>
      </c>
      <c r="BX39" s="109">
        <v>-192</v>
      </c>
      <c r="BY39" s="109">
        <v>-54</v>
      </c>
      <c r="BZ39" s="171">
        <f>NormInputs!BP385</f>
        <v>1526</v>
      </c>
      <c r="CA39" s="109">
        <f>NormInputs!BQ385</f>
        <v>-55</v>
      </c>
      <c r="CB39" s="109">
        <f>NormInputs!BR385</f>
        <v>-434</v>
      </c>
      <c r="CC39" s="109">
        <f>NormInputs!BS385</f>
        <v>-2459</v>
      </c>
      <c r="CD39" s="171">
        <f>NormInputs!BT385</f>
        <v>-124</v>
      </c>
      <c r="CE39" s="109">
        <f>NormInputs!BU385</f>
        <v>-505</v>
      </c>
      <c r="CF39" s="109">
        <f>NormInputs!BV385</f>
        <v>-68</v>
      </c>
      <c r="CG39" s="109">
        <f>NormInputs!BW385</f>
        <v>-66</v>
      </c>
      <c r="CH39" s="171">
        <f>NormInputs!BX385</f>
        <v>-931</v>
      </c>
      <c r="CI39" s="109">
        <f>NormInputs!BY385</f>
        <v>-13562</v>
      </c>
      <c r="CJ39" s="109">
        <f>NormInputs!BZ385</f>
        <v>-1485</v>
      </c>
      <c r="CK39" s="109">
        <f>NormInputs!CA385</f>
        <v>74</v>
      </c>
      <c r="CL39" s="171">
        <f>NormInputs!CB385</f>
        <v>-5118</v>
      </c>
      <c r="CM39" s="109">
        <f>NormInputs!CC385</f>
        <v>-249</v>
      </c>
      <c r="CN39" s="109">
        <f>NormInputs!CD385</f>
        <v>-260</v>
      </c>
      <c r="CO39" s="109">
        <f>NormInputs!CE385</f>
        <v>-331</v>
      </c>
      <c r="CP39" s="171">
        <f>NormInputs!CF385</f>
        <v>-274</v>
      </c>
      <c r="CQ39" s="109">
        <f>NormInputs!CG385</f>
        <v>-264</v>
      </c>
      <c r="CR39" s="109">
        <f>NormInputs!CH385</f>
        <v>-489</v>
      </c>
      <c r="CS39" s="109">
        <f>NormInputs!CI385</f>
        <v>-411</v>
      </c>
      <c r="CT39" s="171">
        <f>NormInputs!CJ385</f>
        <v>-104</v>
      </c>
      <c r="CU39" s="109">
        <f>NormInputs!CK385</f>
        <v>-1564</v>
      </c>
      <c r="CV39" s="109">
        <f>NormInputs!CL385</f>
        <v>-186</v>
      </c>
      <c r="CW39" s="172">
        <f>NormInputs!CM385</f>
        <v>-164</v>
      </c>
      <c r="CX39" s="109">
        <f>NormInputs!CN385</f>
        <v>-165</v>
      </c>
      <c r="CY39" s="109">
        <f>NormInputs!CO385</f>
        <v>-77</v>
      </c>
      <c r="CZ39" s="109">
        <f>NormInputs!CP385</f>
        <v>-4412</v>
      </c>
      <c r="DA39" s="109">
        <f>NormInputs!CQ385</f>
        <v>-194</v>
      </c>
      <c r="DB39" s="171">
        <f>NormInputs!CR385</f>
        <v>-138</v>
      </c>
      <c r="DC39" s="109">
        <f>NormInputs!CS385</f>
        <v>-202</v>
      </c>
      <c r="DD39" s="109">
        <f>NormInputs!CT385</f>
        <v>1940</v>
      </c>
      <c r="DE39" s="109">
        <f>NormInputs!CU385</f>
        <v>-563</v>
      </c>
      <c r="DF39" s="171">
        <f>NormInputs!CV385</f>
        <v>-370</v>
      </c>
      <c r="DG39" s="1044">
        <f>NormInputs!CW385</f>
        <v>2287</v>
      </c>
      <c r="DH39" s="1044">
        <f>NormInputs!CX385</f>
        <v>-73</v>
      </c>
      <c r="DI39" s="1044">
        <f>NormInputs!CY385</f>
        <v>-13</v>
      </c>
      <c r="DJ39" s="171">
        <f>NormInputs!CZ385</f>
        <v>-9557</v>
      </c>
      <c r="DK39" s="1044">
        <f>NormInputs!DA385</f>
        <v>-3345</v>
      </c>
      <c r="DL39" s="2151">
        <f>NormInputs!DB385</f>
        <v>-114</v>
      </c>
      <c r="DM39" s="2473">
        <f>NormInputs!DC385</f>
        <v>-471</v>
      </c>
      <c r="DN39" s="2151">
        <f>NormInputs!DD385</f>
        <v>-292</v>
      </c>
      <c r="DO39" s="2151">
        <f>NormInputs!DE385</f>
        <v>-168</v>
      </c>
      <c r="DP39" s="2151">
        <f>NormInputs!DF385</f>
        <v>-913</v>
      </c>
      <c r="DQ39" s="2473">
        <f>NormInputs!DG385</f>
        <v>-2926</v>
      </c>
      <c r="DR39" s="2151">
        <f>NormInputs!DH385</f>
        <v>-1746</v>
      </c>
      <c r="DS39" s="2151">
        <f>NormInputs!DI385</f>
        <v>-4534</v>
      </c>
      <c r="DT39" s="2151">
        <f>NormInputs!DJ385</f>
        <v>-15</v>
      </c>
      <c r="DU39" s="2473">
        <f>NormInputs!DK385</f>
        <v>367</v>
      </c>
      <c r="DV39" s="2490">
        <f>NormInputs!DL385</f>
        <v>-1002</v>
      </c>
      <c r="DW39" s="1050">
        <v>0</v>
      </c>
      <c r="DX39" s="1050">
        <v>0</v>
      </c>
      <c r="DY39" s="174">
        <v>0</v>
      </c>
      <c r="DZ39" s="109"/>
    </row>
    <row r="40" spans="1:136" ht="15" hidden="1" customHeight="1">
      <c r="A40" s="109" t="s">
        <v>1382</v>
      </c>
      <c r="B40" s="109"/>
      <c r="C40" s="109"/>
      <c r="D40" s="109"/>
      <c r="E40" s="109"/>
      <c r="F40" s="109">
        <v>846</v>
      </c>
      <c r="G40" s="109">
        <v>1813</v>
      </c>
      <c r="H40" s="109">
        <v>6794</v>
      </c>
      <c r="I40" s="109">
        <v>415</v>
      </c>
      <c r="J40" s="109">
        <v>4638</v>
      </c>
      <c r="K40" s="109">
        <v>229</v>
      </c>
      <c r="L40" s="109">
        <v>1720</v>
      </c>
      <c r="M40" s="109">
        <v>1326</v>
      </c>
      <c r="N40" s="109">
        <f t="shared" si="32"/>
        <v>0</v>
      </c>
      <c r="O40" s="109">
        <f t="shared" si="33"/>
        <v>0</v>
      </c>
      <c r="P40" s="109">
        <f t="shared" si="34"/>
        <v>0</v>
      </c>
      <c r="Q40" s="109">
        <f t="shared" si="35"/>
        <v>0</v>
      </c>
      <c r="R40" s="109">
        <f t="shared" si="36"/>
        <v>2594</v>
      </c>
      <c r="S40" s="109">
        <f t="shared" si="37"/>
        <v>0</v>
      </c>
      <c r="T40" s="109">
        <f t="shared" si="38"/>
        <v>0</v>
      </c>
      <c r="U40" s="1044">
        <f t="shared" si="39"/>
        <v>0</v>
      </c>
      <c r="V40" s="109">
        <f t="shared" si="40"/>
        <v>0</v>
      </c>
      <c r="W40" s="109">
        <f t="shared" si="41"/>
        <v>0</v>
      </c>
      <c r="X40" s="109">
        <f t="shared" si="41"/>
        <v>0</v>
      </c>
      <c r="Y40" s="109">
        <f t="shared" si="41"/>
        <v>0</v>
      </c>
      <c r="Z40" s="109">
        <f t="shared" si="41"/>
        <v>0</v>
      </c>
      <c r="AA40" s="109"/>
      <c r="AB40" s="109"/>
      <c r="AC40" s="109"/>
      <c r="AD40" s="109"/>
      <c r="AE40" s="109"/>
      <c r="AF40" s="109"/>
      <c r="AG40" s="109"/>
      <c r="AH40" s="536"/>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68">
        <v>0</v>
      </c>
      <c r="BG40" s="168">
        <v>0</v>
      </c>
      <c r="BH40" s="168">
        <v>200</v>
      </c>
      <c r="BI40" s="168">
        <v>215</v>
      </c>
      <c r="BJ40" s="168">
        <v>728</v>
      </c>
      <c r="BK40" s="168">
        <v>42</v>
      </c>
      <c r="BL40" s="168">
        <v>3868</v>
      </c>
      <c r="BM40" s="168">
        <v>0</v>
      </c>
      <c r="BN40" s="171">
        <v>0</v>
      </c>
      <c r="BO40" s="109">
        <v>0</v>
      </c>
      <c r="BP40" s="109">
        <v>229</v>
      </c>
      <c r="BQ40" s="109">
        <v>0</v>
      </c>
      <c r="BR40" s="171">
        <v>117</v>
      </c>
      <c r="BS40" s="109">
        <v>0</v>
      </c>
      <c r="BT40" s="109">
        <v>0</v>
      </c>
      <c r="BU40" s="109">
        <v>1603</v>
      </c>
      <c r="BV40" s="171">
        <v>0</v>
      </c>
      <c r="BW40" s="109">
        <v>1326</v>
      </c>
      <c r="BX40" s="109">
        <v>0</v>
      </c>
      <c r="BY40" s="109">
        <v>0</v>
      </c>
      <c r="BZ40" s="171">
        <f>NormInputs!BP386</f>
        <v>0</v>
      </c>
      <c r="CA40" s="109">
        <f>NormInputs!BQ386</f>
        <v>0</v>
      </c>
      <c r="CB40" s="109">
        <f>NormInputs!BR386</f>
        <v>0</v>
      </c>
      <c r="CC40" s="109">
        <f>NormInputs!BS386</f>
        <v>0</v>
      </c>
      <c r="CD40" s="171">
        <f>NormInputs!BT386</f>
        <v>0</v>
      </c>
      <c r="CE40" s="109">
        <f>NormInputs!BU386</f>
        <v>0</v>
      </c>
      <c r="CF40" s="109">
        <f>NormInputs!BV386</f>
        <v>0</v>
      </c>
      <c r="CG40" s="109">
        <f>NormInputs!BW386</f>
        <v>0</v>
      </c>
      <c r="CH40" s="171">
        <f>NormInputs!BX386</f>
        <v>0</v>
      </c>
      <c r="CI40" s="109">
        <f>NormInputs!BY386</f>
        <v>0</v>
      </c>
      <c r="CJ40" s="109">
        <f>NormInputs!BZ386</f>
        <v>0</v>
      </c>
      <c r="CK40" s="109">
        <f>NormInputs!CA386</f>
        <v>0</v>
      </c>
      <c r="CL40" s="171">
        <f>NormInputs!CB386</f>
        <v>0</v>
      </c>
      <c r="CM40" s="109">
        <f>NormInputs!CC386</f>
        <v>0</v>
      </c>
      <c r="CN40" s="109">
        <f>NormInputs!CD386</f>
        <v>0</v>
      </c>
      <c r="CO40" s="109">
        <f>NormInputs!CE386</f>
        <v>0</v>
      </c>
      <c r="CP40" s="171">
        <f>NormInputs!CF386</f>
        <v>0</v>
      </c>
      <c r="CQ40" s="109">
        <f>NormInputs!CG386</f>
        <v>2594</v>
      </c>
      <c r="CR40" s="109">
        <f>NormInputs!CH386</f>
        <v>0</v>
      </c>
      <c r="CS40" s="109">
        <f>NormInputs!CI386</f>
        <v>0</v>
      </c>
      <c r="CT40" s="171">
        <f>NormInputs!CJ386</f>
        <v>0</v>
      </c>
      <c r="CU40" s="109">
        <f>NormInputs!CK386</f>
        <v>0</v>
      </c>
      <c r="CV40" s="109">
        <f>NormInputs!CL386</f>
        <v>0</v>
      </c>
      <c r="CW40" s="172">
        <f>NormInputs!CM386</f>
        <v>0</v>
      </c>
      <c r="CX40" s="109">
        <f>NormInputs!CN386</f>
        <v>0</v>
      </c>
      <c r="CY40" s="109">
        <f>NormInputs!CO386</f>
        <v>0</v>
      </c>
      <c r="CZ40" s="109">
        <f>NormInputs!CP386</f>
        <v>0</v>
      </c>
      <c r="DA40" s="109">
        <f>NormInputs!CQ386</f>
        <v>0</v>
      </c>
      <c r="DB40" s="171">
        <f>NormInputs!CR386</f>
        <v>0</v>
      </c>
      <c r="DC40" s="109">
        <f>NormInputs!CS386</f>
        <v>0</v>
      </c>
      <c r="DD40" s="109">
        <f>NormInputs!CT386</f>
        <v>0</v>
      </c>
      <c r="DE40" s="109">
        <f>NormInputs!CU386</f>
        <v>0</v>
      </c>
      <c r="DF40" s="171">
        <f>NormInputs!CV386</f>
        <v>0</v>
      </c>
      <c r="DG40" s="1044">
        <f>NormInputs!CW386</f>
        <v>0</v>
      </c>
      <c r="DH40" s="1044">
        <f>NormInputs!CX386</f>
        <v>0</v>
      </c>
      <c r="DI40" s="1044">
        <f>NormInputs!CY386</f>
        <v>0</v>
      </c>
      <c r="DJ40" s="171">
        <f>NormInputs!CZ386</f>
        <v>0</v>
      </c>
      <c r="DK40" s="1044">
        <f>NormInputs!DA386</f>
        <v>0</v>
      </c>
      <c r="DL40" s="2151">
        <f>NormInputs!DB386</f>
        <v>0</v>
      </c>
      <c r="DM40" s="2473">
        <f>NormInputs!DC386</f>
        <v>0</v>
      </c>
      <c r="DN40" s="2151">
        <f>NormInputs!DD386</f>
        <v>0</v>
      </c>
      <c r="DO40" s="2151">
        <f>NormInputs!DE386</f>
        <v>0</v>
      </c>
      <c r="DP40" s="2151">
        <f>NormInputs!DF386</f>
        <v>0</v>
      </c>
      <c r="DQ40" s="2473">
        <f>NormInputs!DG386</f>
        <v>0</v>
      </c>
      <c r="DR40" s="2151">
        <f>NormInputs!DH386</f>
        <v>0</v>
      </c>
      <c r="DS40" s="2151">
        <f>NormInputs!DI386</f>
        <v>0</v>
      </c>
      <c r="DT40" s="2151">
        <f>NormInputs!DJ386</f>
        <v>0</v>
      </c>
      <c r="DU40" s="2473">
        <f>NormInputs!DK386</f>
        <v>0</v>
      </c>
      <c r="DV40" s="2490">
        <f>NormInputs!DL386</f>
        <v>0</v>
      </c>
      <c r="DW40" s="1044"/>
      <c r="DX40" s="1044"/>
      <c r="DY40" s="172"/>
      <c r="DZ40" s="109"/>
    </row>
    <row r="41" spans="1:136" ht="15" hidden="1" customHeight="1">
      <c r="A41" s="109" t="s">
        <v>1383</v>
      </c>
      <c r="B41" s="109"/>
      <c r="C41" s="109"/>
      <c r="D41" s="109"/>
      <c r="E41" s="109"/>
      <c r="F41" s="109">
        <v>0</v>
      </c>
      <c r="G41" s="109">
        <v>-1</v>
      </c>
      <c r="H41" s="109">
        <v>-1024</v>
      </c>
      <c r="I41" s="109">
        <v>-50</v>
      </c>
      <c r="J41" s="109">
        <v>1740</v>
      </c>
      <c r="K41" s="109">
        <v>0</v>
      </c>
      <c r="L41" s="109">
        <v>0</v>
      </c>
      <c r="M41" s="109">
        <v>0</v>
      </c>
      <c r="N41" s="109">
        <f t="shared" si="32"/>
        <v>0</v>
      </c>
      <c r="O41" s="109">
        <f t="shared" si="33"/>
        <v>0</v>
      </c>
      <c r="P41" s="109">
        <f t="shared" si="34"/>
        <v>0</v>
      </c>
      <c r="Q41" s="109">
        <f t="shared" si="35"/>
        <v>0</v>
      </c>
      <c r="R41" s="109">
        <f t="shared" si="36"/>
        <v>0</v>
      </c>
      <c r="S41" s="109">
        <f t="shared" si="37"/>
        <v>0</v>
      </c>
      <c r="T41" s="109">
        <f t="shared" si="38"/>
        <v>0</v>
      </c>
      <c r="U41" s="1044">
        <f t="shared" si="39"/>
        <v>0</v>
      </c>
      <c r="V41" s="109">
        <f t="shared" si="40"/>
        <v>0</v>
      </c>
      <c r="W41" s="109">
        <f t="shared" si="41"/>
        <v>0</v>
      </c>
      <c r="X41" s="109">
        <f t="shared" si="41"/>
        <v>0</v>
      </c>
      <c r="Y41" s="109">
        <f t="shared" si="41"/>
        <v>0</v>
      </c>
      <c r="Z41" s="109">
        <f t="shared" si="41"/>
        <v>0</v>
      </c>
      <c r="AA41" s="109"/>
      <c r="AB41" s="109"/>
      <c r="AC41" s="109"/>
      <c r="AD41" s="109"/>
      <c r="AE41" s="109"/>
      <c r="AF41" s="109"/>
      <c r="AG41" s="109"/>
      <c r="AH41" s="536"/>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68">
        <v>0</v>
      </c>
      <c r="BG41" s="168">
        <v>0</v>
      </c>
      <c r="BH41" s="168">
        <v>0</v>
      </c>
      <c r="BI41" s="168">
        <v>-50</v>
      </c>
      <c r="BJ41" s="168">
        <v>0</v>
      </c>
      <c r="BK41" s="168">
        <v>1479</v>
      </c>
      <c r="BL41" s="168">
        <v>0</v>
      </c>
      <c r="BM41" s="168">
        <v>261</v>
      </c>
      <c r="BN41" s="171">
        <v>0</v>
      </c>
      <c r="BO41" s="109">
        <v>0</v>
      </c>
      <c r="BP41" s="109">
        <v>0</v>
      </c>
      <c r="BQ41" s="109">
        <v>0</v>
      </c>
      <c r="BR41" s="171">
        <v>0</v>
      </c>
      <c r="BS41" s="109">
        <v>0</v>
      </c>
      <c r="BT41" s="109">
        <v>0</v>
      </c>
      <c r="BU41" s="109">
        <v>0</v>
      </c>
      <c r="BV41" s="171">
        <v>0</v>
      </c>
      <c r="BW41" s="109">
        <v>0</v>
      </c>
      <c r="BX41" s="109">
        <v>0</v>
      </c>
      <c r="BY41" s="109">
        <v>0</v>
      </c>
      <c r="BZ41" s="171">
        <f>NormInputs!BP387</f>
        <v>0</v>
      </c>
      <c r="CA41" s="109">
        <f>NormInputs!BQ387</f>
        <v>0</v>
      </c>
      <c r="CB41" s="109">
        <f>NormInputs!BR387</f>
        <v>0</v>
      </c>
      <c r="CC41" s="109">
        <f>NormInputs!BS387</f>
        <v>0</v>
      </c>
      <c r="CD41" s="171">
        <f>NormInputs!BT387</f>
        <v>0</v>
      </c>
      <c r="CE41" s="109">
        <f>NormInputs!BU387</f>
        <v>0</v>
      </c>
      <c r="CF41" s="109">
        <f>NormInputs!BV387</f>
        <v>0</v>
      </c>
      <c r="CG41" s="109">
        <f>NormInputs!BW387</f>
        <v>0</v>
      </c>
      <c r="CH41" s="171">
        <f>NormInputs!BX387</f>
        <v>0</v>
      </c>
      <c r="CI41" s="109">
        <f>NormInputs!BY387</f>
        <v>0</v>
      </c>
      <c r="CJ41" s="109">
        <f>NormInputs!BZ387</f>
        <v>0</v>
      </c>
      <c r="CK41" s="109">
        <f>NormInputs!CA387</f>
        <v>0</v>
      </c>
      <c r="CL41" s="171">
        <f>NormInputs!CB387</f>
        <v>0</v>
      </c>
      <c r="CM41" s="109">
        <f>NormInputs!CC387</f>
        <v>0</v>
      </c>
      <c r="CN41" s="109">
        <f>NormInputs!CD387</f>
        <v>0</v>
      </c>
      <c r="CO41" s="109">
        <f>NormInputs!CE387</f>
        <v>0</v>
      </c>
      <c r="CP41" s="171">
        <f>NormInputs!CF387</f>
        <v>0</v>
      </c>
      <c r="CQ41" s="109">
        <f>NormInputs!CG387</f>
        <v>0</v>
      </c>
      <c r="CR41" s="109">
        <f>NormInputs!CH387</f>
        <v>0</v>
      </c>
      <c r="CS41" s="109">
        <f>NormInputs!CI387</f>
        <v>0</v>
      </c>
      <c r="CT41" s="171">
        <f>NormInputs!CJ387</f>
        <v>0</v>
      </c>
      <c r="CU41" s="109">
        <f>NormInputs!CK387</f>
        <v>0</v>
      </c>
      <c r="CV41" s="109">
        <f>NormInputs!CL387</f>
        <v>0</v>
      </c>
      <c r="CW41" s="172">
        <f>NormInputs!CM387</f>
        <v>0</v>
      </c>
      <c r="CX41" s="109">
        <f>NormInputs!CN387</f>
        <v>0</v>
      </c>
      <c r="CY41" s="109">
        <f>NormInputs!CO387</f>
        <v>0</v>
      </c>
      <c r="CZ41" s="109">
        <f>NormInputs!CP387</f>
        <v>0</v>
      </c>
      <c r="DA41" s="109">
        <f>NormInputs!CQ387</f>
        <v>0</v>
      </c>
      <c r="DB41" s="171">
        <f>NormInputs!CR387</f>
        <v>0</v>
      </c>
      <c r="DC41" s="109">
        <f>NormInputs!CS387</f>
        <v>0</v>
      </c>
      <c r="DD41" s="109">
        <f>NormInputs!CT387</f>
        <v>0</v>
      </c>
      <c r="DE41" s="109">
        <f>NormInputs!CU387</f>
        <v>0</v>
      </c>
      <c r="DF41" s="171">
        <f>NormInputs!CV387</f>
        <v>0</v>
      </c>
      <c r="DG41" s="1044">
        <f>NormInputs!CW387</f>
        <v>0</v>
      </c>
      <c r="DH41" s="1044">
        <f>NormInputs!CX387</f>
        <v>0</v>
      </c>
      <c r="DI41" s="1044">
        <f>NormInputs!CY387</f>
        <v>0</v>
      </c>
      <c r="DJ41" s="171">
        <f>NormInputs!CZ387</f>
        <v>0</v>
      </c>
      <c r="DK41" s="1044">
        <f>NormInputs!DA387</f>
        <v>0</v>
      </c>
      <c r="DL41" s="2151">
        <f>NormInputs!DB387</f>
        <v>0</v>
      </c>
      <c r="DM41" s="2473">
        <f>NormInputs!DC387</f>
        <v>0</v>
      </c>
      <c r="DN41" s="2151">
        <f>NormInputs!DD387</f>
        <v>0</v>
      </c>
      <c r="DO41" s="2151">
        <f>NormInputs!DE387</f>
        <v>0</v>
      </c>
      <c r="DP41" s="2151">
        <f>NormInputs!DF387</f>
        <v>0</v>
      </c>
      <c r="DQ41" s="2473">
        <f>NormInputs!DG387</f>
        <v>0</v>
      </c>
      <c r="DR41" s="2151">
        <f>NormInputs!DH387</f>
        <v>0</v>
      </c>
      <c r="DS41" s="2151">
        <f>NormInputs!DI387</f>
        <v>0</v>
      </c>
      <c r="DT41" s="2151">
        <f>NormInputs!DJ387</f>
        <v>0</v>
      </c>
      <c r="DU41" s="2473">
        <f>NormInputs!DK387</f>
        <v>0</v>
      </c>
      <c r="DV41" s="2490">
        <f>NormInputs!DL387</f>
        <v>0</v>
      </c>
      <c r="DW41" s="1044"/>
      <c r="DX41" s="1044"/>
      <c r="DY41" s="172"/>
      <c r="DZ41" s="109"/>
    </row>
    <row r="42" spans="1:136">
      <c r="A42" s="109" t="s">
        <v>1384</v>
      </c>
      <c r="B42" s="109"/>
      <c r="C42" s="109"/>
      <c r="D42" s="109"/>
      <c r="E42" s="109"/>
      <c r="F42" s="109">
        <v>-60</v>
      </c>
      <c r="G42" s="109">
        <v>-97</v>
      </c>
      <c r="H42" s="109">
        <v>-221</v>
      </c>
      <c r="I42" s="109">
        <v>-407</v>
      </c>
      <c r="J42" s="109">
        <v>-216</v>
      </c>
      <c r="K42" s="109">
        <v>-120</v>
      </c>
      <c r="L42" s="109">
        <v>-100</v>
      </c>
      <c r="M42" s="109">
        <v>-344</v>
      </c>
      <c r="N42" s="109">
        <f t="shared" si="32"/>
        <v>290</v>
      </c>
      <c r="O42" s="109">
        <f t="shared" si="33"/>
        <v>169</v>
      </c>
      <c r="P42" s="109">
        <f t="shared" si="34"/>
        <v>1677</v>
      </c>
      <c r="Q42" s="109">
        <f t="shared" si="35"/>
        <v>84</v>
      </c>
      <c r="R42" s="109">
        <f t="shared" si="36"/>
        <v>-3</v>
      </c>
      <c r="S42" s="109">
        <f t="shared" si="37"/>
        <v>35</v>
      </c>
      <c r="T42" s="109">
        <f t="shared" si="38"/>
        <v>27</v>
      </c>
      <c r="U42" s="1044">
        <f t="shared" si="39"/>
        <v>63</v>
      </c>
      <c r="V42" s="109">
        <f t="shared" si="40"/>
        <v>120</v>
      </c>
      <c r="W42" s="109">
        <f t="shared" si="41"/>
        <v>48</v>
      </c>
      <c r="X42" s="109">
        <f>SUM(DN42:DQ42)</f>
        <v>0</v>
      </c>
      <c r="Y42" s="109">
        <f>SUM(DR42:DU42)</f>
        <v>0</v>
      </c>
      <c r="Z42" s="109">
        <f>SUM(DV42:DY42)</f>
        <v>0</v>
      </c>
      <c r="AA42" s="2183">
        <f>BS!Z15-BS!AA15</f>
        <v>0</v>
      </c>
      <c r="AB42" s="2183">
        <f>BS!AA15-BS!AB15</f>
        <v>0</v>
      </c>
      <c r="AC42" s="2183">
        <f>BS!AB15-BS!AC15</f>
        <v>0</v>
      </c>
      <c r="AD42" s="2183">
        <f>BS!AC15-BS!AD15</f>
        <v>0</v>
      </c>
      <c r="AE42" s="2183">
        <f>BS!AD15-BS!AE15</f>
        <v>0</v>
      </c>
      <c r="AF42" s="2183">
        <f>BS!AE15-BS!AF15</f>
        <v>0</v>
      </c>
      <c r="AG42" s="2183">
        <f>BS!AF15-BS!AG15</f>
        <v>0</v>
      </c>
      <c r="AH42" s="536"/>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68">
        <v>577</v>
      </c>
      <c r="BG42" s="168">
        <v>433</v>
      </c>
      <c r="BH42" s="168">
        <v>328</v>
      </c>
      <c r="BI42" s="168">
        <v>-1745</v>
      </c>
      <c r="BJ42" s="168">
        <v>545</v>
      </c>
      <c r="BK42" s="168">
        <v>559</v>
      </c>
      <c r="BL42" s="168">
        <v>529</v>
      </c>
      <c r="BM42" s="168">
        <v>-1849</v>
      </c>
      <c r="BN42" s="171">
        <v>518</v>
      </c>
      <c r="BO42" s="109">
        <v>627</v>
      </c>
      <c r="BP42" s="109">
        <v>538</v>
      </c>
      <c r="BQ42" s="109">
        <v>-1803</v>
      </c>
      <c r="BR42" s="171">
        <v>282</v>
      </c>
      <c r="BS42" s="109">
        <v>477</v>
      </c>
      <c r="BT42" s="109">
        <v>415</v>
      </c>
      <c r="BU42" s="109">
        <v>-1274</v>
      </c>
      <c r="BV42" s="171">
        <v>237</v>
      </c>
      <c r="BW42" s="109">
        <v>297</v>
      </c>
      <c r="BX42" s="109">
        <v>404</v>
      </c>
      <c r="BY42" s="109">
        <v>-1282</v>
      </c>
      <c r="BZ42" s="171">
        <f>NormInputs!BP388</f>
        <v>436</v>
      </c>
      <c r="CA42" s="109">
        <f>NormInputs!BQ388</f>
        <v>590</v>
      </c>
      <c r="CB42" s="109">
        <f>NormInputs!BR388</f>
        <v>495</v>
      </c>
      <c r="CC42" s="109">
        <f>NormInputs!BS388</f>
        <v>-1231</v>
      </c>
      <c r="CD42" s="171">
        <f>NormInputs!BT388</f>
        <v>282</v>
      </c>
      <c r="CE42" s="109">
        <f>NormInputs!BU388</f>
        <v>466</v>
      </c>
      <c r="CF42" s="109">
        <f>NormInputs!BV388</f>
        <v>519</v>
      </c>
      <c r="CG42" s="109">
        <f>NormInputs!BW388</f>
        <v>-1098</v>
      </c>
      <c r="CH42" s="171">
        <f>NormInputs!BX388</f>
        <v>241</v>
      </c>
      <c r="CI42" s="109">
        <f>NormInputs!BY388</f>
        <v>495</v>
      </c>
      <c r="CJ42" s="109">
        <f>NormInputs!BZ388</f>
        <v>502</v>
      </c>
      <c r="CK42" s="109">
        <f>NormInputs!CA388</f>
        <v>439</v>
      </c>
      <c r="CL42" s="171">
        <f>NormInputs!CB388</f>
        <v>80</v>
      </c>
      <c r="CM42" s="109">
        <f>NormInputs!CC388</f>
        <v>39</v>
      </c>
      <c r="CN42" s="109">
        <f>NormInputs!CD388</f>
        <v>-41</v>
      </c>
      <c r="CO42" s="109">
        <f>NormInputs!CE388</f>
        <v>6</v>
      </c>
      <c r="CP42" s="171">
        <f>NormInputs!CF388</f>
        <v>-40</v>
      </c>
      <c r="CQ42" s="109">
        <f>NormInputs!CG388</f>
        <v>23</v>
      </c>
      <c r="CR42" s="109">
        <f>NormInputs!CH388</f>
        <v>-17</v>
      </c>
      <c r="CS42" s="109">
        <f>NormInputs!CI388</f>
        <v>31</v>
      </c>
      <c r="CT42" s="171">
        <f>NormInputs!CJ388</f>
        <v>24</v>
      </c>
      <c r="CU42" s="109">
        <f>NormInputs!CK388</f>
        <v>23</v>
      </c>
      <c r="CV42" s="109">
        <f>NormInputs!CL388</f>
        <v>-4</v>
      </c>
      <c r="CW42" s="172">
        <f>NormInputs!CM388</f>
        <v>-8</v>
      </c>
      <c r="CX42" s="109">
        <f>NormInputs!CN388</f>
        <v>16</v>
      </c>
      <c r="CY42" s="109">
        <f>NormInputs!CO388</f>
        <v>5</v>
      </c>
      <c r="CZ42" s="109">
        <f>NormInputs!CP388</f>
        <v>7</v>
      </c>
      <c r="DA42" s="109">
        <f>NormInputs!CQ388</f>
        <v>-1</v>
      </c>
      <c r="DB42" s="171">
        <f>NormInputs!CR388</f>
        <v>0</v>
      </c>
      <c r="DC42" s="109">
        <f>NormInputs!CS388</f>
        <v>-21</v>
      </c>
      <c r="DD42" s="109">
        <f>NormInputs!CT388</f>
        <v>10</v>
      </c>
      <c r="DE42" s="109">
        <f>NormInputs!CU388</f>
        <v>74</v>
      </c>
      <c r="DF42" s="171">
        <f>NormInputs!CV388</f>
        <v>0</v>
      </c>
      <c r="DG42" s="1044">
        <f>NormInputs!CW388</f>
        <v>0</v>
      </c>
      <c r="DH42" s="1044">
        <f>NormInputs!CX388</f>
        <v>120</v>
      </c>
      <c r="DI42" s="1044">
        <f>NormInputs!CY388</f>
        <v>0</v>
      </c>
      <c r="DJ42" s="171">
        <f>NormInputs!CZ388</f>
        <v>0</v>
      </c>
      <c r="DK42" s="1044">
        <f>NormInputs!DA388</f>
        <v>0</v>
      </c>
      <c r="DL42" s="2151">
        <f>NormInputs!DB388</f>
        <v>0</v>
      </c>
      <c r="DM42" s="2473">
        <f>NormInputs!DC388</f>
        <v>48</v>
      </c>
      <c r="DN42" s="2151">
        <f>NormInputs!DD388</f>
        <v>0</v>
      </c>
      <c r="DO42" s="2151">
        <f>NormInputs!DE388</f>
        <v>0</v>
      </c>
      <c r="DP42" s="2151">
        <f>NormInputs!DF388</f>
        <v>0</v>
      </c>
      <c r="DQ42" s="2473">
        <f>NormInputs!DG388</f>
        <v>0</v>
      </c>
      <c r="DR42" s="2151">
        <f>NormInputs!DH388</f>
        <v>0</v>
      </c>
      <c r="DS42" s="2151">
        <f>NormInputs!DI388</f>
        <v>0</v>
      </c>
      <c r="DT42" s="2151">
        <f>NormInputs!DJ388</f>
        <v>0</v>
      </c>
      <c r="DU42" s="2473">
        <f>NormInputs!DK388</f>
        <v>0</v>
      </c>
      <c r="DV42" s="2490">
        <f>NormInputs!DL388</f>
        <v>0</v>
      </c>
      <c r="DW42" s="2164">
        <f>BS!DV15-BS!DW15</f>
        <v>0</v>
      </c>
      <c r="DX42" s="2164">
        <f>BS!DW15-BS!DX15</f>
        <v>0</v>
      </c>
      <c r="DY42" s="2165">
        <f>BS!DX15-BS!DY15</f>
        <v>0</v>
      </c>
      <c r="DZ42" s="109"/>
    </row>
    <row r="43" spans="1:136">
      <c r="A43" s="109" t="s">
        <v>1377</v>
      </c>
      <c r="B43" s="109"/>
      <c r="C43" s="109"/>
      <c r="D43" s="109"/>
      <c r="E43" s="109"/>
      <c r="F43" s="109">
        <v>-138</v>
      </c>
      <c r="G43" s="109">
        <v>-903</v>
      </c>
      <c r="H43" s="109">
        <v>-1724</v>
      </c>
      <c r="I43" s="109">
        <v>-1071</v>
      </c>
      <c r="J43" s="109">
        <v>1140</v>
      </c>
      <c r="K43" s="109">
        <v>691</v>
      </c>
      <c r="L43" s="109">
        <v>2492</v>
      </c>
      <c r="M43" s="109">
        <v>534</v>
      </c>
      <c r="N43" s="109">
        <f t="shared" si="32"/>
        <v>2617</v>
      </c>
      <c r="O43" s="109">
        <f t="shared" si="33"/>
        <v>2024</v>
      </c>
      <c r="P43" s="109">
        <f t="shared" si="34"/>
        <v>-114</v>
      </c>
      <c r="Q43" s="109">
        <f t="shared" si="35"/>
        <v>-410</v>
      </c>
      <c r="R43" s="109">
        <f t="shared" si="36"/>
        <v>251</v>
      </c>
      <c r="S43" s="109">
        <f t="shared" si="37"/>
        <v>977</v>
      </c>
      <c r="T43" s="109">
        <f t="shared" si="38"/>
        <v>494</v>
      </c>
      <c r="U43" s="1044">
        <f t="shared" si="39"/>
        <v>671</v>
      </c>
      <c r="V43" s="109">
        <f t="shared" si="40"/>
        <v>-616</v>
      </c>
      <c r="W43" s="109">
        <f t="shared" si="41"/>
        <v>1171</v>
      </c>
      <c r="X43" s="109">
        <f>SUM(DN43:DQ43)</f>
        <v>10375</v>
      </c>
      <c r="Y43" s="109">
        <f>SUM(DR43:DU43)</f>
        <v>3803</v>
      </c>
      <c r="Z43" s="109">
        <f ca="1">SUM(DV43:DY43)</f>
        <v>2135.4620737420337</v>
      </c>
      <c r="AA43" s="2183">
        <f ca="1">BS!AA49-BS!Z49</f>
        <v>0</v>
      </c>
      <c r="AB43" s="2183">
        <f ca="1">BS!AB49-BS!AA49</f>
        <v>0</v>
      </c>
      <c r="AC43" s="2183">
        <f ca="1">BS!AC49-BS!AB49</f>
        <v>0</v>
      </c>
      <c r="AD43" s="2183">
        <f ca="1">BS!AD49-BS!AC49</f>
        <v>0</v>
      </c>
      <c r="AE43" s="2183">
        <f ca="1">BS!AE49-BS!AD49</f>
        <v>0</v>
      </c>
      <c r="AF43" s="2183">
        <f ca="1">BS!AF49-BS!AE49</f>
        <v>0</v>
      </c>
      <c r="AG43" s="2183">
        <f ca="1">BS!AG49-BS!AF49</f>
        <v>0</v>
      </c>
      <c r="AH43" s="536"/>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68">
        <v>-454</v>
      </c>
      <c r="BG43" s="168">
        <v>-56</v>
      </c>
      <c r="BH43" s="168">
        <v>-703</v>
      </c>
      <c r="BI43" s="168">
        <v>142</v>
      </c>
      <c r="BJ43" s="168">
        <v>239</v>
      </c>
      <c r="BK43" s="168">
        <v>-110</v>
      </c>
      <c r="BL43" s="168">
        <v>984</v>
      </c>
      <c r="BM43" s="181">
        <v>27</v>
      </c>
      <c r="BN43" s="171">
        <v>24</v>
      </c>
      <c r="BO43" s="109">
        <v>73</v>
      </c>
      <c r="BP43" s="109">
        <v>312</v>
      </c>
      <c r="BQ43" s="109">
        <v>282</v>
      </c>
      <c r="BR43" s="171">
        <v>188</v>
      </c>
      <c r="BS43" s="109">
        <v>59</v>
      </c>
      <c r="BT43" s="109">
        <v>14</v>
      </c>
      <c r="BU43" s="109">
        <v>2231</v>
      </c>
      <c r="BV43" s="171">
        <v>223</v>
      </c>
      <c r="BW43" s="109">
        <v>-912</v>
      </c>
      <c r="BX43" s="109">
        <v>982</v>
      </c>
      <c r="BY43" s="109">
        <v>241</v>
      </c>
      <c r="BZ43" s="171">
        <f>NormInputs!BP389</f>
        <v>356</v>
      </c>
      <c r="CA43" s="109">
        <f>NormInputs!BQ389</f>
        <v>-28</v>
      </c>
      <c r="CB43" s="109">
        <f>NormInputs!BR389</f>
        <v>248</v>
      </c>
      <c r="CC43" s="109">
        <f>NormInputs!BS389</f>
        <v>2041</v>
      </c>
      <c r="CD43" s="171">
        <f>NormInputs!BT389</f>
        <v>818</v>
      </c>
      <c r="CE43" s="109">
        <f>NormInputs!BU389</f>
        <v>701</v>
      </c>
      <c r="CF43" s="109">
        <f>NormInputs!BV389</f>
        <v>219</v>
      </c>
      <c r="CG43" s="109">
        <f>NormInputs!BW389</f>
        <v>286</v>
      </c>
      <c r="CH43" s="171">
        <f>NormInputs!BX389</f>
        <v>92</v>
      </c>
      <c r="CI43" s="109">
        <f>NormInputs!BY389</f>
        <v>-206</v>
      </c>
      <c r="CJ43" s="109">
        <f>NormInputs!BZ389</f>
        <v>-453</v>
      </c>
      <c r="CK43" s="109">
        <f>NormInputs!CA389</f>
        <v>453</v>
      </c>
      <c r="CL43" s="171">
        <f>NormInputs!CB389</f>
        <v>-14</v>
      </c>
      <c r="CM43" s="109">
        <f>NormInputs!CC389</f>
        <v>78</v>
      </c>
      <c r="CN43" s="109">
        <f>NormInputs!CD389</f>
        <v>-13</v>
      </c>
      <c r="CO43" s="109">
        <f>NormInputs!CE389</f>
        <v>-461</v>
      </c>
      <c r="CP43" s="171">
        <f>NormInputs!CF389</f>
        <v>114</v>
      </c>
      <c r="CQ43" s="109">
        <f>NormInputs!CG389</f>
        <v>-77</v>
      </c>
      <c r="CR43" s="109">
        <f>NormInputs!CH389</f>
        <v>114</v>
      </c>
      <c r="CS43" s="109">
        <f>NormInputs!CI389</f>
        <v>100</v>
      </c>
      <c r="CT43" s="171">
        <f>NormInputs!CJ389</f>
        <v>68</v>
      </c>
      <c r="CU43" s="109">
        <f>NormInputs!CK389</f>
        <v>599</v>
      </c>
      <c r="CV43" s="109">
        <f>NormInputs!CL389</f>
        <v>278</v>
      </c>
      <c r="CW43" s="172">
        <f>NormInputs!CM389</f>
        <v>32</v>
      </c>
      <c r="CX43" s="109">
        <f>NormInputs!CN389</f>
        <v>41</v>
      </c>
      <c r="CY43" s="109">
        <f>NormInputs!CO389</f>
        <v>26</v>
      </c>
      <c r="CZ43" s="109">
        <f>NormInputs!CP389</f>
        <v>449</v>
      </c>
      <c r="DA43" s="109">
        <f>NormInputs!CQ389</f>
        <v>-22</v>
      </c>
      <c r="DB43" s="171">
        <f>NormInputs!CR389</f>
        <v>141</v>
      </c>
      <c r="DC43" s="109">
        <f>NormInputs!CS389</f>
        <v>1</v>
      </c>
      <c r="DD43" s="109">
        <f>NormInputs!CT389</f>
        <v>53</v>
      </c>
      <c r="DE43" s="109">
        <f>NormInputs!CU389</f>
        <v>476</v>
      </c>
      <c r="DF43" s="171">
        <f>NormInputs!CV389</f>
        <v>-11</v>
      </c>
      <c r="DG43" s="1044">
        <f>NormInputs!CW389</f>
        <v>242</v>
      </c>
      <c r="DH43" s="1044">
        <f>NormInputs!CX389</f>
        <v>-1</v>
      </c>
      <c r="DI43" s="1044">
        <f>NormInputs!CY389</f>
        <v>-846</v>
      </c>
      <c r="DJ43" s="171">
        <f>NormInputs!CZ389</f>
        <v>46</v>
      </c>
      <c r="DK43" s="1044">
        <f>NormInputs!DA389</f>
        <v>838</v>
      </c>
      <c r="DL43" s="2151">
        <f>NormInputs!DB389</f>
        <v>76</v>
      </c>
      <c r="DM43" s="2473">
        <f>NormInputs!DC389</f>
        <v>211</v>
      </c>
      <c r="DN43" s="2151">
        <f>NormInputs!DD389</f>
        <v>243</v>
      </c>
      <c r="DO43" s="2151">
        <f>NormInputs!DE389</f>
        <v>10143</v>
      </c>
      <c r="DP43" s="2151">
        <f>NormInputs!DF389</f>
        <v>-154</v>
      </c>
      <c r="DQ43" s="2473">
        <f>NormInputs!DG389</f>
        <v>143</v>
      </c>
      <c r="DR43" s="2151">
        <f>NormInputs!DH389</f>
        <v>-20</v>
      </c>
      <c r="DS43" s="2151">
        <f>NormInputs!DI389</f>
        <v>3428</v>
      </c>
      <c r="DT43" s="2151">
        <f>NormInputs!DJ389</f>
        <v>468</v>
      </c>
      <c r="DU43" s="2473">
        <f>NormInputs!DK389</f>
        <v>-73</v>
      </c>
      <c r="DV43" s="2490">
        <f>NormInputs!DL389</f>
        <v>269</v>
      </c>
      <c r="DW43" s="2164">
        <f ca="1">BS!DW49-BS!DV49</f>
        <v>0</v>
      </c>
      <c r="DX43" s="2164">
        <f ca="1">BS!DX49-BS!DW49</f>
        <v>159.78187677998176</v>
      </c>
      <c r="DY43" s="2165">
        <f ca="1">BS!DY49-BS!DX49</f>
        <v>1706.6801969620519</v>
      </c>
      <c r="DZ43" s="109"/>
    </row>
    <row r="44" spans="1:136">
      <c r="A44" s="169" t="s">
        <v>1385</v>
      </c>
      <c r="B44" s="169"/>
      <c r="C44" s="169"/>
      <c r="D44" s="169"/>
      <c r="E44" s="169"/>
      <c r="F44" s="169">
        <v>-12956</v>
      </c>
      <c r="G44" s="169">
        <v>-17420</v>
      </c>
      <c r="H44" s="169">
        <v>-16055</v>
      </c>
      <c r="I44" s="169">
        <v>-21626</v>
      </c>
      <c r="J44" s="169">
        <v>-6847</v>
      </c>
      <c r="K44" s="169">
        <v>-12236</v>
      </c>
      <c r="L44" s="169">
        <v>-10343</v>
      </c>
      <c r="M44" s="169">
        <v>-18492</v>
      </c>
      <c r="N44" s="169">
        <f t="shared" ref="N44:V44" si="42">SUM(N38:N43)</f>
        <v>-15616</v>
      </c>
      <c r="O44" s="169">
        <f t="shared" si="42"/>
        <v>-16108</v>
      </c>
      <c r="P44" s="169">
        <f t="shared" si="42"/>
        <v>-31579</v>
      </c>
      <c r="Q44" s="169">
        <f t="shared" si="42"/>
        <v>-23156</v>
      </c>
      <c r="R44" s="169">
        <f t="shared" si="42"/>
        <v>-15054</v>
      </c>
      <c r="S44" s="169">
        <f t="shared" si="42"/>
        <v>-17250</v>
      </c>
      <c r="T44" s="169">
        <f t="shared" si="42"/>
        <v>-20502</v>
      </c>
      <c r="U44" s="1051">
        <f t="shared" si="42"/>
        <v>-14833</v>
      </c>
      <c r="V44" s="169">
        <f t="shared" si="42"/>
        <v>-15856</v>
      </c>
      <c r="W44" s="169">
        <f t="shared" ref="W44:AB44" si="43">SUM(W38:W43)</f>
        <v>-30043</v>
      </c>
      <c r="X44" s="169">
        <f t="shared" si="43"/>
        <v>-10983</v>
      </c>
      <c r="Y44" s="169">
        <f t="shared" si="43"/>
        <v>-19372</v>
      </c>
      <c r="Z44" s="169">
        <f t="shared" ca="1" si="43"/>
        <v>-16051.069369571331</v>
      </c>
      <c r="AA44" s="169">
        <f t="shared" ca="1" si="43"/>
        <v>-17326.654612606839</v>
      </c>
      <c r="AB44" s="169">
        <f t="shared" ca="1" si="43"/>
        <v>-17539.117790711662</v>
      </c>
      <c r="AC44" s="169">
        <f t="shared" ref="AC44:AG44" ca="1" si="44">SUM(AC38:AC43)</f>
        <v>-17762.512511533605</v>
      </c>
      <c r="AD44" s="169">
        <f t="shared" ca="1" si="44"/>
        <v>-17996.036439295356</v>
      </c>
      <c r="AE44" s="169">
        <f t="shared" ca="1" si="44"/>
        <v>-18240.908275959573</v>
      </c>
      <c r="AF44" s="169">
        <f t="shared" ca="1" si="44"/>
        <v>-18499.258520535466</v>
      </c>
      <c r="AG44" s="169">
        <f t="shared" ca="1" si="44"/>
        <v>-20074.791512016636</v>
      </c>
      <c r="AH44" s="532"/>
      <c r="AI44" s="169"/>
      <c r="AJ44" s="169"/>
      <c r="AK44" s="169"/>
      <c r="AL44" s="169"/>
      <c r="AM44" s="169"/>
      <c r="AN44" s="169"/>
      <c r="AO44" s="169"/>
      <c r="AP44" s="169"/>
      <c r="AQ44" s="169"/>
      <c r="AR44" s="169"/>
      <c r="AS44" s="169"/>
      <c r="AT44" s="169"/>
      <c r="AU44" s="169"/>
      <c r="AV44" s="169"/>
      <c r="AW44" s="169"/>
      <c r="AX44" s="169"/>
      <c r="AY44" s="169"/>
      <c r="AZ44" s="169"/>
      <c r="BA44" s="169"/>
      <c r="BB44" s="169"/>
      <c r="BC44" s="169"/>
      <c r="BD44" s="169"/>
      <c r="BE44" s="169"/>
      <c r="BF44" s="169">
        <v>-6454</v>
      </c>
      <c r="BG44" s="169">
        <v>-4421</v>
      </c>
      <c r="BH44" s="169">
        <v>-4282</v>
      </c>
      <c r="BI44" s="169">
        <v>-6469</v>
      </c>
      <c r="BJ44" s="169">
        <v>-1993</v>
      </c>
      <c r="BK44" s="169">
        <v>-1498</v>
      </c>
      <c r="BL44" s="169">
        <v>2548</v>
      </c>
      <c r="BM44" s="169">
        <v>-5904</v>
      </c>
      <c r="BN44" s="178">
        <v>-2090</v>
      </c>
      <c r="BO44" s="169">
        <v>-2988</v>
      </c>
      <c r="BP44" s="169">
        <v>-1832</v>
      </c>
      <c r="BQ44" s="169">
        <v>-5326</v>
      </c>
      <c r="BR44" s="178">
        <v>-2088</v>
      </c>
      <c r="BS44" s="169">
        <v>-2668</v>
      </c>
      <c r="BT44" s="169">
        <v>-3069</v>
      </c>
      <c r="BU44" s="169">
        <v>-2518</v>
      </c>
      <c r="BV44" s="178">
        <v>-4312</v>
      </c>
      <c r="BW44" s="169">
        <v>-6610</v>
      </c>
      <c r="BX44" s="169">
        <v>-2703</v>
      </c>
      <c r="BY44" s="169">
        <v>-4867</v>
      </c>
      <c r="BZ44" s="178">
        <f>NormInputs!BP390</f>
        <v>-1748</v>
      </c>
      <c r="CA44" s="169">
        <f>NormInputs!BQ390</f>
        <v>-3738</v>
      </c>
      <c r="CB44" s="169">
        <f>NormInputs!BR390</f>
        <v>-3698</v>
      </c>
      <c r="CC44" s="169">
        <f>NormInputs!BS390</f>
        <v>-6432</v>
      </c>
      <c r="CD44" s="178">
        <f>NormInputs!BT390</f>
        <v>-3187</v>
      </c>
      <c r="CE44" s="169">
        <f>NormInputs!BU390</f>
        <v>-3690</v>
      </c>
      <c r="CF44" s="169">
        <f>NormInputs!BV390</f>
        <v>-3607</v>
      </c>
      <c r="CG44" s="169">
        <f>NormInputs!BW390</f>
        <v>-5624</v>
      </c>
      <c r="CH44" s="178">
        <f>NormInputs!BX390</f>
        <v>-4818</v>
      </c>
      <c r="CI44" s="169">
        <f>NormInputs!BY390</f>
        <v>-17450</v>
      </c>
      <c r="CJ44" s="169">
        <f>NormInputs!BZ390</f>
        <v>-5614</v>
      </c>
      <c r="CK44" s="169">
        <f>NormInputs!CA390</f>
        <v>-3697</v>
      </c>
      <c r="CL44" s="178">
        <f>NormInputs!CB390</f>
        <v>-8715</v>
      </c>
      <c r="CM44" s="169">
        <f>NormInputs!CC390</f>
        <v>-4475</v>
      </c>
      <c r="CN44" s="169">
        <f>NormInputs!CD390</f>
        <v>-4627</v>
      </c>
      <c r="CO44" s="169">
        <f>NormInputs!CE390</f>
        <v>-5339</v>
      </c>
      <c r="CP44" s="178">
        <f>NormInputs!CF390</f>
        <v>-3623</v>
      </c>
      <c r="CQ44" s="169">
        <f>NormInputs!CG390</f>
        <v>-1920</v>
      </c>
      <c r="CR44" s="169">
        <f>NormInputs!CH390</f>
        <v>-4517</v>
      </c>
      <c r="CS44" s="169">
        <f>NormInputs!CI390</f>
        <v>-4994</v>
      </c>
      <c r="CT44" s="178">
        <f>NormInputs!CJ390</f>
        <v>-4375</v>
      </c>
      <c r="CU44" s="169">
        <f>NormInputs!CK390</f>
        <v>-5497</v>
      </c>
      <c r="CV44" s="169">
        <f>NormInputs!CL390</f>
        <v>-3540</v>
      </c>
      <c r="CW44" s="179">
        <f>NormInputs!CM390</f>
        <v>-3838</v>
      </c>
      <c r="CX44" s="169">
        <f>NormInputs!CN390</f>
        <v>-3673</v>
      </c>
      <c r="CY44" s="169">
        <f>NormInputs!CO390</f>
        <v>-3911</v>
      </c>
      <c r="CZ44" s="169">
        <f>NormInputs!CP390</f>
        <v>-7841</v>
      </c>
      <c r="DA44" s="169">
        <f>NormInputs!CQ390</f>
        <v>-5077</v>
      </c>
      <c r="DB44" s="178">
        <f>NormInputs!CR390</f>
        <v>-3599</v>
      </c>
      <c r="DC44" s="169">
        <f>NormInputs!CS390</f>
        <v>-4236</v>
      </c>
      <c r="DD44" s="169">
        <f>NormInputs!CT390</f>
        <v>-2188</v>
      </c>
      <c r="DE44" s="169">
        <f>NormInputs!CU390</f>
        <v>-4810</v>
      </c>
      <c r="DF44" s="178">
        <f>NormInputs!CV390</f>
        <v>-4531</v>
      </c>
      <c r="DG44" s="1051">
        <f>NormInputs!CW390</f>
        <v>-1815</v>
      </c>
      <c r="DH44" s="1051">
        <f>NormInputs!CX390</f>
        <v>-4084</v>
      </c>
      <c r="DI44" s="1051">
        <f>NormInputs!CY390</f>
        <v>-5426</v>
      </c>
      <c r="DJ44" s="178">
        <f>NormInputs!CZ390</f>
        <v>-13176</v>
      </c>
      <c r="DK44" s="1051">
        <f>NormInputs!DA390</f>
        <v>-6995</v>
      </c>
      <c r="DL44" s="2154">
        <f>NormInputs!DB390</f>
        <v>-4425</v>
      </c>
      <c r="DM44" s="2475">
        <f>NormInputs!DC390</f>
        <v>-5447</v>
      </c>
      <c r="DN44" s="2154">
        <f>NormInputs!DD390</f>
        <v>-3436</v>
      </c>
      <c r="DO44" s="2154">
        <f>NormInputs!DE390</f>
        <v>6089</v>
      </c>
      <c r="DP44" s="2154">
        <f>NormInputs!DF390</f>
        <v>-5192</v>
      </c>
      <c r="DQ44" s="2475">
        <f>NormInputs!DG390</f>
        <v>-8444</v>
      </c>
      <c r="DR44" s="2154">
        <f>NormInputs!DH390</f>
        <v>-4833</v>
      </c>
      <c r="DS44" s="2154">
        <f>NormInputs!DI390</f>
        <v>-5050</v>
      </c>
      <c r="DT44" s="2154">
        <f>NormInputs!DJ390</f>
        <v>-3818</v>
      </c>
      <c r="DU44" s="2475">
        <f>NormInputs!DK390</f>
        <v>-5671</v>
      </c>
      <c r="DV44" s="3337">
        <f>NormInputs!DL390</f>
        <v>-5285</v>
      </c>
      <c r="DW44" s="1051">
        <f t="shared" ref="DW44:DY44" ca="1" si="45">SUM(DW38:DW43)</f>
        <v>-4102.0268345890599</v>
      </c>
      <c r="DX44" s="1051">
        <f t="shared" ca="1" si="45"/>
        <v>-4010.1441149886095</v>
      </c>
      <c r="DY44" s="179">
        <f t="shared" ca="1" si="45"/>
        <v>-2653.8984199936613</v>
      </c>
      <c r="DZ44" s="109"/>
    </row>
    <row r="45" spans="1:136">
      <c r="A45" s="143"/>
      <c r="B45" s="143"/>
      <c r="C45" s="143"/>
      <c r="D45" s="143"/>
      <c r="E45" s="143"/>
      <c r="F45" s="143"/>
      <c r="G45" s="143"/>
      <c r="H45" s="143"/>
      <c r="I45" s="143"/>
      <c r="J45" s="143"/>
      <c r="K45" s="143">
        <v>0</v>
      </c>
      <c r="L45" s="143"/>
      <c r="M45" s="143"/>
      <c r="N45" s="143"/>
      <c r="O45" s="143"/>
      <c r="P45" s="143"/>
      <c r="Q45" s="143"/>
      <c r="R45" s="143"/>
      <c r="S45" s="143"/>
      <c r="T45" s="143"/>
      <c r="U45" s="1047"/>
      <c r="V45" s="143"/>
      <c r="W45" s="143"/>
      <c r="X45" s="143"/>
      <c r="Y45" s="143"/>
      <c r="Z45" s="143"/>
      <c r="AA45" s="143"/>
      <c r="AB45" s="143"/>
      <c r="AC45" s="143"/>
      <c r="AD45" s="143"/>
      <c r="AE45" s="143"/>
      <c r="AF45" s="143"/>
      <c r="AG45" s="143"/>
      <c r="AH45" s="1237"/>
      <c r="AI45" s="143"/>
      <c r="AJ45" s="143"/>
      <c r="AK45" s="143"/>
      <c r="AL45" s="143"/>
      <c r="AM45" s="143"/>
      <c r="AN45" s="143"/>
      <c r="AO45" s="143"/>
      <c r="AP45" s="143"/>
      <c r="AQ45" s="143"/>
      <c r="AR45" s="143"/>
      <c r="AS45" s="143"/>
      <c r="AT45" s="143"/>
      <c r="AU45" s="143"/>
      <c r="AV45" s="143"/>
      <c r="AW45" s="143"/>
      <c r="AX45" s="143"/>
      <c r="AY45" s="143"/>
      <c r="AZ45" s="143"/>
      <c r="BA45" s="143"/>
      <c r="BB45" s="143"/>
      <c r="BC45" s="143"/>
      <c r="BD45" s="143"/>
      <c r="BE45" s="143"/>
      <c r="BF45" s="143"/>
      <c r="BG45" s="143"/>
      <c r="BH45" s="143"/>
      <c r="BI45" s="143"/>
      <c r="BJ45" s="143"/>
      <c r="BK45" s="143"/>
      <c r="BL45" s="143"/>
      <c r="BM45" s="143"/>
      <c r="BN45" s="159">
        <v>0</v>
      </c>
      <c r="BO45" s="143">
        <v>0</v>
      </c>
      <c r="BP45" s="143">
        <v>0</v>
      </c>
      <c r="BQ45" s="143">
        <v>0</v>
      </c>
      <c r="BR45" s="159">
        <v>0</v>
      </c>
      <c r="BS45" s="143">
        <v>0</v>
      </c>
      <c r="BT45" s="143">
        <v>0</v>
      </c>
      <c r="BU45" s="143">
        <v>0</v>
      </c>
      <c r="BV45" s="159">
        <v>0</v>
      </c>
      <c r="BW45" s="143">
        <v>0</v>
      </c>
      <c r="BX45" s="143">
        <v>0</v>
      </c>
      <c r="BY45" s="143">
        <v>0</v>
      </c>
      <c r="BZ45" s="159">
        <f t="shared" ref="BZ45:CW45" si="46">SUM(BZ38:BZ43)-BZ44</f>
        <v>0</v>
      </c>
      <c r="CA45" s="143">
        <f t="shared" si="46"/>
        <v>0</v>
      </c>
      <c r="CB45" s="143">
        <f t="shared" si="46"/>
        <v>0</v>
      </c>
      <c r="CC45" s="143">
        <f t="shared" si="46"/>
        <v>0</v>
      </c>
      <c r="CD45" s="159">
        <f t="shared" si="46"/>
        <v>0</v>
      </c>
      <c r="CE45" s="143">
        <f t="shared" si="46"/>
        <v>0</v>
      </c>
      <c r="CF45" s="143">
        <f t="shared" si="46"/>
        <v>0</v>
      </c>
      <c r="CG45" s="143">
        <f t="shared" si="46"/>
        <v>0</v>
      </c>
      <c r="CH45" s="159">
        <f t="shared" si="46"/>
        <v>0</v>
      </c>
      <c r="CI45" s="143">
        <f t="shared" si="46"/>
        <v>0</v>
      </c>
      <c r="CJ45" s="143">
        <f t="shared" si="46"/>
        <v>0</v>
      </c>
      <c r="CK45" s="143">
        <f t="shared" si="46"/>
        <v>0</v>
      </c>
      <c r="CL45" s="159">
        <f t="shared" si="46"/>
        <v>0</v>
      </c>
      <c r="CM45" s="143">
        <f t="shared" si="46"/>
        <v>0</v>
      </c>
      <c r="CN45" s="143">
        <f t="shared" si="46"/>
        <v>0</v>
      </c>
      <c r="CO45" s="143">
        <f t="shared" si="46"/>
        <v>0</v>
      </c>
      <c r="CP45" s="159">
        <f t="shared" si="46"/>
        <v>0</v>
      </c>
      <c r="CQ45" s="143">
        <f t="shared" si="46"/>
        <v>0</v>
      </c>
      <c r="CR45" s="143">
        <f t="shared" si="46"/>
        <v>0</v>
      </c>
      <c r="CS45" s="143">
        <f t="shared" si="46"/>
        <v>0</v>
      </c>
      <c r="CT45" s="159">
        <f t="shared" si="46"/>
        <v>0</v>
      </c>
      <c r="CU45" s="143">
        <f t="shared" si="46"/>
        <v>0</v>
      </c>
      <c r="CV45" s="143">
        <f t="shared" si="46"/>
        <v>0</v>
      </c>
      <c r="CW45" s="189">
        <f t="shared" si="46"/>
        <v>0</v>
      </c>
      <c r="CX45" s="143"/>
      <c r="CY45" s="143"/>
      <c r="CZ45" s="143"/>
      <c r="DA45" s="143"/>
      <c r="DB45" s="159"/>
      <c r="DC45" s="143"/>
      <c r="DD45" s="143"/>
      <c r="DE45" s="143"/>
      <c r="DF45" s="159"/>
      <c r="DG45" s="1047"/>
      <c r="DH45" s="1047"/>
      <c r="DI45" s="1047"/>
      <c r="DJ45" s="159"/>
      <c r="DK45" s="1047"/>
      <c r="DL45" s="1047"/>
      <c r="DM45" s="189"/>
      <c r="DN45" s="1047"/>
      <c r="DO45" s="1047"/>
      <c r="DP45" s="1047"/>
      <c r="DQ45" s="189"/>
      <c r="DR45" s="1047"/>
      <c r="DS45" s="1047"/>
      <c r="DT45" s="1047"/>
      <c r="DU45" s="189"/>
      <c r="DV45" s="159"/>
      <c r="DW45" s="1047"/>
      <c r="DX45" s="1047"/>
      <c r="DY45" s="189"/>
      <c r="DZ45" s="109"/>
    </row>
    <row r="46" spans="1:136" ht="6" customHeight="1">
      <c r="A46" s="109"/>
      <c r="B46" s="109"/>
      <c r="C46" s="109"/>
      <c r="D46" s="109"/>
      <c r="E46" s="109"/>
      <c r="F46" s="109"/>
      <c r="G46" s="109"/>
      <c r="H46" s="109"/>
      <c r="I46" s="109"/>
      <c r="J46" s="109"/>
      <c r="K46" s="109"/>
      <c r="L46" s="109"/>
      <c r="M46" s="109"/>
      <c r="N46" s="109"/>
      <c r="O46" s="109"/>
      <c r="P46" s="109"/>
      <c r="Q46" s="109"/>
      <c r="R46" s="109"/>
      <c r="S46" s="109"/>
      <c r="T46" s="109"/>
      <c r="U46" s="1044"/>
      <c r="V46" s="109"/>
      <c r="W46" s="109"/>
      <c r="X46" s="109"/>
      <c r="Y46" s="109"/>
      <c r="Z46" s="109"/>
      <c r="AA46" s="109"/>
      <c r="AB46" s="109"/>
      <c r="AC46" s="109"/>
      <c r="AD46" s="109"/>
      <c r="AE46" s="109"/>
      <c r="AF46" s="109"/>
      <c r="AG46" s="109"/>
      <c r="AH46" s="536"/>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c r="BL46" s="109"/>
      <c r="BM46" s="109"/>
      <c r="BN46" s="171"/>
      <c r="BO46" s="109"/>
      <c r="BP46" s="109"/>
      <c r="BQ46" s="109"/>
      <c r="BR46" s="171"/>
      <c r="BS46" s="109"/>
      <c r="BT46" s="109"/>
      <c r="BU46" s="109"/>
      <c r="BV46" s="171"/>
      <c r="BW46" s="109"/>
      <c r="BX46" s="109"/>
      <c r="BY46" s="109"/>
      <c r="BZ46" s="171"/>
      <c r="CA46" s="109"/>
      <c r="CB46" s="109"/>
      <c r="CC46" s="109"/>
      <c r="CD46" s="171"/>
      <c r="CE46" s="109"/>
      <c r="CF46" s="109"/>
      <c r="CG46" s="109"/>
      <c r="CH46" s="171"/>
      <c r="CI46" s="109"/>
      <c r="CJ46" s="109"/>
      <c r="CK46" s="109"/>
      <c r="CL46" s="171"/>
      <c r="CM46" s="109"/>
      <c r="CN46" s="109"/>
      <c r="CO46" s="109"/>
      <c r="CP46" s="171"/>
      <c r="CQ46" s="109"/>
      <c r="CR46" s="109"/>
      <c r="CS46" s="109"/>
      <c r="CT46" s="171"/>
      <c r="CU46" s="109"/>
      <c r="CV46" s="109"/>
      <c r="CW46" s="172"/>
      <c r="CX46" s="109"/>
      <c r="CY46" s="109"/>
      <c r="CZ46" s="109"/>
      <c r="DA46" s="109"/>
      <c r="DB46" s="171"/>
      <c r="DC46" s="109"/>
      <c r="DD46" s="109"/>
      <c r="DE46" s="109"/>
      <c r="DF46" s="171"/>
      <c r="DG46" s="1044"/>
      <c r="DH46" s="1044"/>
      <c r="DI46" s="1044"/>
      <c r="DJ46" s="171"/>
      <c r="DK46" s="1044"/>
      <c r="DL46" s="1044"/>
      <c r="DM46" s="172"/>
      <c r="DN46" s="1044"/>
      <c r="DO46" s="1044"/>
      <c r="DP46" s="1044"/>
      <c r="DQ46" s="172"/>
      <c r="DR46" s="1044"/>
      <c r="DS46" s="1044"/>
      <c r="DT46" s="1044"/>
      <c r="DU46" s="172"/>
      <c r="DV46" s="171"/>
      <c r="DW46" s="1044"/>
      <c r="DX46" s="1044"/>
      <c r="DY46" s="172"/>
      <c r="DZ46" s="109"/>
    </row>
    <row r="47" spans="1:136">
      <c r="A47" s="169" t="s">
        <v>1386</v>
      </c>
      <c r="B47" s="109"/>
      <c r="C47" s="109"/>
      <c r="D47" s="109"/>
      <c r="E47" s="109"/>
      <c r="F47" s="109"/>
      <c r="G47" s="109"/>
      <c r="H47" s="109"/>
      <c r="I47" s="109"/>
      <c r="J47" s="109"/>
      <c r="K47" s="109"/>
      <c r="L47" s="109"/>
      <c r="M47" s="109"/>
      <c r="N47" s="109"/>
      <c r="O47" s="109"/>
      <c r="P47" s="109"/>
      <c r="Q47" s="109"/>
      <c r="R47" s="109"/>
      <c r="S47" s="109"/>
      <c r="T47" s="109"/>
      <c r="U47" s="364"/>
      <c r="V47" s="364"/>
      <c r="W47" s="364"/>
      <c r="X47" s="364"/>
      <c r="Y47" s="364"/>
      <c r="Z47" s="364"/>
      <c r="AA47" s="109"/>
      <c r="AB47" s="109"/>
      <c r="AC47" s="109"/>
      <c r="AD47" s="109"/>
      <c r="AE47" s="109"/>
      <c r="AF47" s="109"/>
      <c r="AG47" s="109"/>
      <c r="AH47" s="536"/>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c r="BL47" s="109"/>
      <c r="BM47" s="109"/>
      <c r="BN47" s="171"/>
      <c r="BO47" s="109"/>
      <c r="BP47" s="109"/>
      <c r="BQ47" s="109"/>
      <c r="BR47" s="171"/>
      <c r="BS47" s="109"/>
      <c r="BT47" s="109"/>
      <c r="BU47" s="109"/>
      <c r="BV47" s="171"/>
      <c r="BW47" s="109"/>
      <c r="BX47" s="109"/>
      <c r="BY47" s="109"/>
      <c r="BZ47" s="171"/>
      <c r="CA47" s="109"/>
      <c r="CB47" s="109"/>
      <c r="CC47" s="109"/>
      <c r="CD47" s="171"/>
      <c r="CE47" s="109"/>
      <c r="CF47" s="109"/>
      <c r="CG47" s="109"/>
      <c r="CH47" s="171"/>
      <c r="CI47" s="109"/>
      <c r="CJ47" s="109"/>
      <c r="CK47" s="109"/>
      <c r="CL47" s="171"/>
      <c r="CM47" s="109"/>
      <c r="CN47" s="109"/>
      <c r="CO47" s="109"/>
      <c r="CP47" s="171"/>
      <c r="CQ47" s="109"/>
      <c r="CR47" s="109"/>
      <c r="CS47" s="109"/>
      <c r="CT47" s="171"/>
      <c r="CU47" s="109"/>
      <c r="CV47" s="109"/>
      <c r="CW47" s="172"/>
      <c r="CX47" s="109"/>
      <c r="CY47" s="109"/>
      <c r="CZ47" s="109"/>
      <c r="DA47" s="109"/>
      <c r="DB47" s="171"/>
      <c r="DC47" s="109"/>
      <c r="DD47" s="109"/>
      <c r="DE47" s="109"/>
      <c r="DF47" s="171"/>
      <c r="DG47" s="1044"/>
      <c r="DH47" s="1044"/>
      <c r="DI47" s="1044"/>
      <c r="DJ47" s="171"/>
      <c r="DK47" s="1044"/>
      <c r="DL47" s="1044"/>
      <c r="DM47" s="172"/>
      <c r="DN47" s="1044"/>
      <c r="DO47" s="1044"/>
      <c r="DP47" s="1044"/>
      <c r="DQ47" s="172"/>
      <c r="DR47" s="1044"/>
      <c r="DS47" s="1044"/>
      <c r="DT47" s="1044"/>
      <c r="DU47" s="172"/>
      <c r="DV47" s="171"/>
      <c r="DW47" s="1044"/>
      <c r="DX47" s="1044"/>
      <c r="DY47" s="172"/>
      <c r="DZ47" s="109"/>
    </row>
    <row r="48" spans="1:136">
      <c r="A48" s="109" t="s">
        <v>1387</v>
      </c>
      <c r="B48" s="109"/>
      <c r="C48" s="109"/>
      <c r="D48" s="109"/>
      <c r="E48" s="109"/>
      <c r="F48" s="109">
        <v>10262</v>
      </c>
      <c r="G48" s="109">
        <v>5299</v>
      </c>
      <c r="H48" s="109">
        <v>8781</v>
      </c>
      <c r="I48" s="109">
        <v>14199</v>
      </c>
      <c r="J48" s="109">
        <v>7820</v>
      </c>
      <c r="K48" s="109">
        <v>4653</v>
      </c>
      <c r="L48" s="109">
        <v>514</v>
      </c>
      <c r="M48" s="109">
        <v>1487</v>
      </c>
      <c r="N48" s="109">
        <f t="shared" ref="N48:N56" si="47">SUM(BZ48:CC48)</f>
        <v>3983</v>
      </c>
      <c r="O48" s="109">
        <f t="shared" ref="O48:O56" si="48">SUM(CD48:CG48)</f>
        <v>3402</v>
      </c>
      <c r="P48" s="109">
        <f t="shared" ref="P48:P56" si="49">SUM(CH48:CK48)</f>
        <v>21598</v>
      </c>
      <c r="Q48" s="109">
        <f t="shared" ref="Q48:Q56" si="50">SUM(CL48:CO48)</f>
        <v>12040</v>
      </c>
      <c r="R48" s="109">
        <f t="shared" ref="R48:R56" si="51">SUM(CP48:CS48)</f>
        <v>0</v>
      </c>
      <c r="S48" s="109">
        <f t="shared" ref="S48:S56" si="52">SUM(CT48:CW48)</f>
        <v>11060</v>
      </c>
      <c r="T48" s="109">
        <f t="shared" ref="T48:T56" si="53">SUM(CX48:DA48)</f>
        <v>4489</v>
      </c>
      <c r="U48" s="1044">
        <f t="shared" ref="U48:U56" si="54">SUM(DB48:DE48)</f>
        <v>49166</v>
      </c>
      <c r="V48" s="109">
        <f t="shared" ref="V48:V56" si="55">SUM(DF48:DI48)</f>
        <v>30967</v>
      </c>
      <c r="W48" s="109">
        <f t="shared" ref="W48:W56" si="56">SUM(DJ48:DM48)</f>
        <v>6667</v>
      </c>
      <c r="X48" s="109">
        <f t="shared" ref="X48:X56" si="57">SUM(DN48:DQ48)</f>
        <v>12964</v>
      </c>
      <c r="Y48" s="109">
        <f t="shared" ref="Y48:Y56" si="58">SUM(DR48:DU48)</f>
        <v>27707</v>
      </c>
      <c r="Z48" s="109">
        <f t="shared" ref="Z48:Z56" si="59">SUM(DV48:DY48)</f>
        <v>1956</v>
      </c>
      <c r="AA48" s="2987"/>
      <c r="AB48" s="2987"/>
      <c r="AC48" s="2987"/>
      <c r="AD48" s="2987"/>
      <c r="AE48" s="2987"/>
      <c r="AF48" s="2987"/>
      <c r="AG48" s="2987"/>
      <c r="AH48" s="536"/>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68">
        <v>2941</v>
      </c>
      <c r="BG48" s="168">
        <v>5312</v>
      </c>
      <c r="BH48" s="168">
        <v>951</v>
      </c>
      <c r="BI48" s="168">
        <v>4995</v>
      </c>
      <c r="BJ48" s="168">
        <v>2967</v>
      </c>
      <c r="BK48" s="168">
        <v>2587</v>
      </c>
      <c r="BL48" s="168">
        <v>1917</v>
      </c>
      <c r="BM48" s="168">
        <v>349</v>
      </c>
      <c r="BN48" s="171">
        <v>1946</v>
      </c>
      <c r="BO48" s="109">
        <v>869</v>
      </c>
      <c r="BP48" s="109">
        <v>16</v>
      </c>
      <c r="BQ48" s="109">
        <v>1822</v>
      </c>
      <c r="BR48" s="171">
        <v>500</v>
      </c>
      <c r="BS48" s="109">
        <v>0</v>
      </c>
      <c r="BT48" s="109">
        <v>2</v>
      </c>
      <c r="BU48" s="109">
        <v>12</v>
      </c>
      <c r="BV48" s="171">
        <v>8</v>
      </c>
      <c r="BW48" s="109">
        <v>0</v>
      </c>
      <c r="BX48" s="109">
        <v>1478</v>
      </c>
      <c r="BY48" s="109">
        <v>1</v>
      </c>
      <c r="BZ48" s="171">
        <f>NormInputs!BP393</f>
        <v>3971</v>
      </c>
      <c r="CA48" s="109">
        <f>NormInputs!BQ393</f>
        <v>0</v>
      </c>
      <c r="CB48" s="109">
        <f>NormInputs!BR393</f>
        <v>-13</v>
      </c>
      <c r="CC48" s="109">
        <f>NormInputs!BS393</f>
        <v>25</v>
      </c>
      <c r="CD48" s="171">
        <f>NormInputs!BT393</f>
        <v>1424</v>
      </c>
      <c r="CE48" s="109">
        <f>NormInputs!BU393</f>
        <v>1978</v>
      </c>
      <c r="CF48" s="109">
        <f>NormInputs!BV393</f>
        <v>0</v>
      </c>
      <c r="CG48" s="109">
        <f>NormInputs!BW393</f>
        <v>0</v>
      </c>
      <c r="CH48" s="171">
        <f>NormInputs!BX393</f>
        <v>4194</v>
      </c>
      <c r="CI48" s="109">
        <f>NormInputs!BY393</f>
        <v>3950</v>
      </c>
      <c r="CJ48" s="109">
        <f>NormInputs!BZ393</f>
        <v>4408</v>
      </c>
      <c r="CK48" s="109">
        <f>NormInputs!CA393</f>
        <v>9046</v>
      </c>
      <c r="CL48" s="171">
        <f>NormInputs!CB393</f>
        <v>7052</v>
      </c>
      <c r="CM48" s="109">
        <f>NormInputs!CC393</f>
        <v>4988</v>
      </c>
      <c r="CN48" s="109">
        <f>NormInputs!CD393</f>
        <v>0</v>
      </c>
      <c r="CO48" s="109">
        <f>NormInputs!CE393</f>
        <v>0</v>
      </c>
      <c r="CP48" s="171">
        <f>NormInputs!CF393</f>
        <v>0</v>
      </c>
      <c r="CQ48" s="109">
        <f>NormInputs!CG393</f>
        <v>0</v>
      </c>
      <c r="CR48" s="109">
        <f>NormInputs!CH393</f>
        <v>0</v>
      </c>
      <c r="CS48" s="109">
        <f>NormInputs!CI393</f>
        <v>0</v>
      </c>
      <c r="CT48" s="171">
        <f>NormInputs!CJ393</f>
        <v>6440</v>
      </c>
      <c r="CU48" s="109">
        <f>NormInputs!CK393</f>
        <v>0</v>
      </c>
      <c r="CV48" s="109">
        <f>NormInputs!CL393</f>
        <v>70</v>
      </c>
      <c r="CW48" s="172">
        <f>NormInputs!CM393</f>
        <v>4550</v>
      </c>
      <c r="CX48" s="109">
        <f>NormInputs!CN393</f>
        <v>0</v>
      </c>
      <c r="CY48" s="109">
        <f>NormInputs!CO393</f>
        <v>0</v>
      </c>
      <c r="CZ48" s="109">
        <f>NormInputs!CP393</f>
        <v>0</v>
      </c>
      <c r="DA48" s="109">
        <f>NormInputs!CQ393</f>
        <v>4489</v>
      </c>
      <c r="DB48" s="171">
        <f>NormInputs!CR393</f>
        <v>500</v>
      </c>
      <c r="DC48" s="109">
        <f>NormInputs!CS393</f>
        <v>-1</v>
      </c>
      <c r="DD48" s="109">
        <f>NormInputs!CT393</f>
        <v>48667</v>
      </c>
      <c r="DE48" s="109">
        <f>NormInputs!CU393</f>
        <v>0</v>
      </c>
      <c r="DF48" s="171">
        <f>NormInputs!CV393</f>
        <v>16952</v>
      </c>
      <c r="DG48" s="1044">
        <f>NormInputs!CW393</f>
        <v>3293</v>
      </c>
      <c r="DH48" s="1044">
        <f>NormInputs!CX393</f>
        <v>1330</v>
      </c>
      <c r="DI48" s="1044">
        <f>NormInputs!CY393</f>
        <v>9392</v>
      </c>
      <c r="DJ48" s="171">
        <f>NormInputs!CZ393</f>
        <v>6497</v>
      </c>
      <c r="DK48" s="1044">
        <f>NormInputs!DA393</f>
        <v>0</v>
      </c>
      <c r="DL48" s="2151">
        <f>NormInputs!DB393</f>
        <v>0</v>
      </c>
      <c r="DM48" s="2473">
        <f>NormInputs!DC393</f>
        <v>170</v>
      </c>
      <c r="DN48" s="2151">
        <f>NormInputs!DD393</f>
        <v>0</v>
      </c>
      <c r="DO48" s="2151">
        <f>NormInputs!DE393</f>
        <v>0</v>
      </c>
      <c r="DP48" s="2151">
        <f>NormInputs!DF393</f>
        <v>8152</v>
      </c>
      <c r="DQ48" s="2473">
        <f>NormInputs!DG393</f>
        <v>4812</v>
      </c>
      <c r="DR48" s="2151">
        <f>NormInputs!DH393</f>
        <v>13054</v>
      </c>
      <c r="DS48" s="2151">
        <f>NormInputs!DI393</f>
        <v>2955</v>
      </c>
      <c r="DT48" s="2151">
        <f>NormInputs!DJ393</f>
        <v>5906</v>
      </c>
      <c r="DU48" s="2473">
        <f>NormInputs!DK393</f>
        <v>5792</v>
      </c>
      <c r="DV48" s="2490">
        <f>NormInputs!DL393</f>
        <v>1956</v>
      </c>
      <c r="DW48" s="3259"/>
      <c r="DX48" s="3259"/>
      <c r="DY48" s="2498"/>
      <c r="DZ48" s="109"/>
    </row>
    <row r="49" spans="1:136" s="3028" customFormat="1">
      <c r="A49" s="109" t="s">
        <v>1670</v>
      </c>
      <c r="B49" s="109"/>
      <c r="C49" s="109"/>
      <c r="D49" s="109"/>
      <c r="E49" s="109"/>
      <c r="F49" s="109"/>
      <c r="G49" s="109"/>
      <c r="H49" s="109"/>
      <c r="I49" s="109"/>
      <c r="J49" s="109"/>
      <c r="K49" s="109"/>
      <c r="L49" s="109"/>
      <c r="M49" s="109"/>
      <c r="N49" s="109"/>
      <c r="O49" s="109"/>
      <c r="P49" s="109"/>
      <c r="Q49" s="109"/>
      <c r="R49" s="109"/>
      <c r="S49" s="109"/>
      <c r="T49" s="109"/>
      <c r="U49" s="1044"/>
      <c r="V49" s="109"/>
      <c r="W49" s="109"/>
      <c r="X49" s="109">
        <f t="shared" si="57"/>
        <v>4986</v>
      </c>
      <c r="Y49" s="109">
        <f t="shared" si="58"/>
        <v>3890</v>
      </c>
      <c r="Z49" s="109">
        <f t="shared" si="59"/>
        <v>4712</v>
      </c>
      <c r="AA49" s="2987">
        <f>+Z49</f>
        <v>4712</v>
      </c>
      <c r="AB49" s="2987">
        <f>+AA49</f>
        <v>4712</v>
      </c>
      <c r="AC49" s="2987">
        <f t="shared" ref="AC49:AG49" si="60">+AB49</f>
        <v>4712</v>
      </c>
      <c r="AD49" s="2987">
        <f t="shared" si="60"/>
        <v>4712</v>
      </c>
      <c r="AE49" s="2987">
        <f t="shared" si="60"/>
        <v>4712</v>
      </c>
      <c r="AF49" s="2987">
        <f t="shared" si="60"/>
        <v>4712</v>
      </c>
      <c r="AG49" s="2987">
        <f t="shared" si="60"/>
        <v>4712</v>
      </c>
      <c r="AH49" s="536"/>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68"/>
      <c r="BG49" s="168"/>
      <c r="BH49" s="168"/>
      <c r="BI49" s="168"/>
      <c r="BJ49" s="168"/>
      <c r="BK49" s="168"/>
      <c r="BL49" s="168"/>
      <c r="BM49" s="168"/>
      <c r="BN49" s="171"/>
      <c r="BO49" s="109"/>
      <c r="BP49" s="109"/>
      <c r="BQ49" s="109"/>
      <c r="BR49" s="171"/>
      <c r="BS49" s="109"/>
      <c r="BT49" s="109"/>
      <c r="BU49" s="109"/>
      <c r="BV49" s="171"/>
      <c r="BW49" s="109"/>
      <c r="BX49" s="109"/>
      <c r="BY49" s="109"/>
      <c r="BZ49" s="171"/>
      <c r="CA49" s="109"/>
      <c r="CB49" s="109"/>
      <c r="CC49" s="109"/>
      <c r="CD49" s="171"/>
      <c r="CE49" s="109"/>
      <c r="CF49" s="109"/>
      <c r="CG49" s="109"/>
      <c r="CH49" s="171"/>
      <c r="CI49" s="109"/>
      <c r="CJ49" s="109"/>
      <c r="CK49" s="109"/>
      <c r="CL49" s="171"/>
      <c r="CM49" s="109"/>
      <c r="CN49" s="109"/>
      <c r="CO49" s="109"/>
      <c r="CP49" s="171"/>
      <c r="CQ49" s="109"/>
      <c r="CR49" s="109"/>
      <c r="CS49" s="109"/>
      <c r="CT49" s="171"/>
      <c r="CU49" s="109"/>
      <c r="CV49" s="109"/>
      <c r="CW49" s="172"/>
      <c r="CX49" s="109"/>
      <c r="CY49" s="109"/>
      <c r="CZ49" s="109"/>
      <c r="DA49" s="109"/>
      <c r="DB49" s="171"/>
      <c r="DC49" s="109"/>
      <c r="DD49" s="109"/>
      <c r="DE49" s="109"/>
      <c r="DF49" s="171"/>
      <c r="DG49" s="1044"/>
      <c r="DH49" s="1044"/>
      <c r="DI49" s="1044"/>
      <c r="DJ49" s="171"/>
      <c r="DK49" s="1044"/>
      <c r="DL49" s="2151"/>
      <c r="DM49" s="2473"/>
      <c r="DN49" s="2151">
        <f>NormInputs!DD394</f>
        <v>0</v>
      </c>
      <c r="DO49" s="2151">
        <f>NormInputs!DE394</f>
        <v>0</v>
      </c>
      <c r="DP49" s="2151">
        <f>NormInputs!DF394</f>
        <v>2594</v>
      </c>
      <c r="DQ49" s="2473">
        <f>NormInputs!DG394</f>
        <v>2392</v>
      </c>
      <c r="DR49" s="2151">
        <f>NormInputs!DH394</f>
        <v>1283</v>
      </c>
      <c r="DS49" s="2151">
        <f>NormInputs!DI394</f>
        <v>1595</v>
      </c>
      <c r="DT49" s="2151">
        <f>NormInputs!DJ394</f>
        <v>0</v>
      </c>
      <c r="DU49" s="2473">
        <f>NormInputs!DK394</f>
        <v>1012</v>
      </c>
      <c r="DV49" s="2490">
        <f>NormInputs!DL394</f>
        <v>1178</v>
      </c>
      <c r="DW49" s="3259">
        <f t="shared" ref="DW49:DY49" si="61">+DV49</f>
        <v>1178</v>
      </c>
      <c r="DX49" s="3259">
        <f t="shared" si="61"/>
        <v>1178</v>
      </c>
      <c r="DY49" s="2498">
        <f t="shared" si="61"/>
        <v>1178</v>
      </c>
      <c r="DZ49" s="109"/>
      <c r="EA49"/>
      <c r="EB49"/>
      <c r="EC49"/>
      <c r="ED49"/>
      <c r="EE49"/>
      <c r="EF49"/>
    </row>
    <row r="50" spans="1:136">
      <c r="A50" s="109" t="s">
        <v>1388</v>
      </c>
      <c r="B50" s="109"/>
      <c r="C50" s="109"/>
      <c r="D50" s="109"/>
      <c r="E50" s="109"/>
      <c r="F50" s="109">
        <v>-2639</v>
      </c>
      <c r="G50" s="109">
        <v>-2873</v>
      </c>
      <c r="H50" s="109">
        <v>-7238</v>
      </c>
      <c r="I50" s="109">
        <v>-7589</v>
      </c>
      <c r="J50" s="109">
        <v>-8391</v>
      </c>
      <c r="K50" s="109">
        <v>-10759</v>
      </c>
      <c r="L50" s="109">
        <v>-5198</v>
      </c>
      <c r="M50" s="109">
        <v>-3919</v>
      </c>
      <c r="N50" s="109">
        <f t="shared" si="47"/>
        <v>-11233</v>
      </c>
      <c r="O50" s="109">
        <f t="shared" si="48"/>
        <v>-5503</v>
      </c>
      <c r="P50" s="109">
        <f t="shared" si="49"/>
        <v>-4146</v>
      </c>
      <c r="Q50" s="109">
        <f t="shared" si="50"/>
        <v>-19260</v>
      </c>
      <c r="R50" s="109">
        <f t="shared" si="51"/>
        <v>-8136</v>
      </c>
      <c r="S50" s="109">
        <f t="shared" si="52"/>
        <v>-11805</v>
      </c>
      <c r="T50" s="109">
        <f t="shared" si="53"/>
        <v>-6403</v>
      </c>
      <c r="U50" s="1044">
        <f t="shared" si="54"/>
        <v>-8163</v>
      </c>
      <c r="V50" s="109">
        <f t="shared" si="55"/>
        <v>-17669</v>
      </c>
      <c r="W50" s="109">
        <f t="shared" si="56"/>
        <v>-9340</v>
      </c>
      <c r="X50" s="109">
        <f t="shared" si="57"/>
        <v>-19159</v>
      </c>
      <c r="Y50" s="109">
        <f t="shared" si="58"/>
        <v>-23837</v>
      </c>
      <c r="Z50" s="109">
        <f t="shared" si="59"/>
        <v>-2984</v>
      </c>
      <c r="AA50" s="168">
        <v>-3500</v>
      </c>
      <c r="AB50" s="168">
        <v>-3500</v>
      </c>
      <c r="AC50" s="168">
        <v>-3500</v>
      </c>
      <c r="AD50" s="168">
        <v>-3500</v>
      </c>
      <c r="AE50" s="168">
        <v>-3500</v>
      </c>
      <c r="AF50" s="168">
        <v>-3500</v>
      </c>
      <c r="AG50" s="168">
        <v>-3500</v>
      </c>
      <c r="AH50" s="536"/>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68">
        <v>-798</v>
      </c>
      <c r="BG50" s="168">
        <v>-806</v>
      </c>
      <c r="BH50" s="168">
        <v>-399</v>
      </c>
      <c r="BI50" s="168">
        <v>-5586</v>
      </c>
      <c r="BJ50" s="168">
        <v>-2222</v>
      </c>
      <c r="BK50" s="168">
        <v>-1698</v>
      </c>
      <c r="BL50" s="168">
        <v>-1947</v>
      </c>
      <c r="BM50" s="168">
        <v>-2524</v>
      </c>
      <c r="BN50" s="171">
        <v>-3580</v>
      </c>
      <c r="BO50" s="109">
        <v>-4993</v>
      </c>
      <c r="BP50" s="109">
        <v>-297</v>
      </c>
      <c r="BQ50" s="109">
        <v>-1889</v>
      </c>
      <c r="BR50" s="171">
        <v>-2049</v>
      </c>
      <c r="BS50" s="109">
        <v>-2716</v>
      </c>
      <c r="BT50" s="109">
        <v>-102</v>
      </c>
      <c r="BU50" s="109">
        <v>-331</v>
      </c>
      <c r="BV50" s="171">
        <v>-384</v>
      </c>
      <c r="BW50" s="109">
        <v>-1563</v>
      </c>
      <c r="BX50" s="109">
        <v>-517</v>
      </c>
      <c r="BY50" s="109">
        <v>-1455</v>
      </c>
      <c r="BZ50" s="171">
        <f>NormInputs!BP395</f>
        <v>-6129</v>
      </c>
      <c r="CA50" s="109">
        <f>NormInputs!BQ395</f>
        <v>-2560</v>
      </c>
      <c r="CB50" s="109">
        <f>NormInputs!BR395</f>
        <v>-17</v>
      </c>
      <c r="CC50" s="109">
        <f>NormInputs!BS395</f>
        <v>-2527</v>
      </c>
      <c r="CD50" s="171">
        <f>NormInputs!BT395</f>
        <v>-3314</v>
      </c>
      <c r="CE50" s="109">
        <f>NormInputs!BU395</f>
        <v>-1497</v>
      </c>
      <c r="CF50" s="109">
        <f>NormInputs!BV395</f>
        <v>-183</v>
      </c>
      <c r="CG50" s="109">
        <f>NormInputs!BW395</f>
        <v>-509</v>
      </c>
      <c r="CH50" s="171">
        <f>NormInputs!BX395</f>
        <v>-1182</v>
      </c>
      <c r="CI50" s="109">
        <f>NormInputs!BY395</f>
        <v>-667</v>
      </c>
      <c r="CJ50" s="109">
        <f>NormInputs!BZ395</f>
        <v>-1549</v>
      </c>
      <c r="CK50" s="109">
        <f>NormInputs!CA395</f>
        <v>-748</v>
      </c>
      <c r="CL50" s="171">
        <f>NormInputs!CB395</f>
        <v>-16865</v>
      </c>
      <c r="CM50" s="109">
        <f>NormInputs!CC395</f>
        <v>-1308</v>
      </c>
      <c r="CN50" s="109">
        <f>NormInputs!CD395</f>
        <v>-793</v>
      </c>
      <c r="CO50" s="109">
        <f>NormInputs!CE395</f>
        <v>-294</v>
      </c>
      <c r="CP50" s="171">
        <f>NormInputs!CF395</f>
        <v>-519</v>
      </c>
      <c r="CQ50" s="109">
        <f>NormInputs!CG395</f>
        <v>-4075</v>
      </c>
      <c r="CR50" s="109">
        <f>NormInputs!CH395</f>
        <v>-3347</v>
      </c>
      <c r="CS50" s="109">
        <f>NormInputs!CI395</f>
        <v>-195</v>
      </c>
      <c r="CT50" s="171">
        <f>NormInputs!CJ395</f>
        <v>-552</v>
      </c>
      <c r="CU50" s="109">
        <f>NormInputs!CK395</f>
        <v>-6804</v>
      </c>
      <c r="CV50" s="109">
        <f>NormInputs!CL395</f>
        <v>-64</v>
      </c>
      <c r="CW50" s="172">
        <f>NormInputs!CM395</f>
        <v>-4385</v>
      </c>
      <c r="CX50" s="109">
        <f>NormInputs!CN395</f>
        <v>-1828</v>
      </c>
      <c r="CY50" s="109">
        <f>NormInputs!CO395</f>
        <v>-63</v>
      </c>
      <c r="CZ50" s="109">
        <f>NormInputs!CP395</f>
        <v>-987</v>
      </c>
      <c r="DA50" s="109">
        <f>NormInputs!CQ395</f>
        <v>-3525</v>
      </c>
      <c r="DB50" s="171">
        <f>NormInputs!CR395</f>
        <v>-73</v>
      </c>
      <c r="DC50" s="109">
        <f>NormInputs!CS395</f>
        <v>-2257</v>
      </c>
      <c r="DD50" s="109">
        <f>NormInputs!CT395</f>
        <v>-62</v>
      </c>
      <c r="DE50" s="109">
        <f>NormInputs!CU395</f>
        <v>-5771</v>
      </c>
      <c r="DF50" s="171">
        <f>NormInputs!CV395</f>
        <v>-7951</v>
      </c>
      <c r="DG50" s="1044">
        <f>NormInputs!CW395</f>
        <v>-3366</v>
      </c>
      <c r="DH50" s="1044">
        <f>NormInputs!CX395</f>
        <v>-1277</v>
      </c>
      <c r="DI50" s="1044">
        <f>NormInputs!CY395</f>
        <v>-5075</v>
      </c>
      <c r="DJ50" s="171">
        <f>NormInputs!CZ395</f>
        <v>-5576</v>
      </c>
      <c r="DK50" s="1044">
        <f>NormInputs!DA395</f>
        <v>-221</v>
      </c>
      <c r="DL50" s="2151">
        <f>NormInputs!DB395</f>
        <v>-1371</v>
      </c>
      <c r="DM50" s="2473">
        <f>NormInputs!DC395</f>
        <v>-2172</v>
      </c>
      <c r="DN50" s="2151">
        <f>NormInputs!DD395</f>
        <v>-376</v>
      </c>
      <c r="DO50" s="2151">
        <f>NormInputs!DE395</f>
        <v>-10924</v>
      </c>
      <c r="DP50" s="2151">
        <f>NormInputs!DF395</f>
        <v>-3210</v>
      </c>
      <c r="DQ50" s="2473">
        <f>NormInputs!DG395</f>
        <v>-4649</v>
      </c>
      <c r="DR50" s="2151">
        <f>NormInputs!DH395</f>
        <v>-5592</v>
      </c>
      <c r="DS50" s="2151">
        <f>NormInputs!DI395</f>
        <v>-4702</v>
      </c>
      <c r="DT50" s="2151">
        <f>NormInputs!DJ395</f>
        <v>-6163</v>
      </c>
      <c r="DU50" s="2473">
        <f>NormInputs!DK395</f>
        <v>-7380</v>
      </c>
      <c r="DV50" s="2490">
        <f>NormInputs!DL395</f>
        <v>-2984</v>
      </c>
      <c r="DW50" s="1050">
        <v>0</v>
      </c>
      <c r="DX50" s="1050">
        <v>0</v>
      </c>
      <c r="DY50" s="174">
        <v>0</v>
      </c>
      <c r="DZ50" s="109"/>
    </row>
    <row r="51" spans="1:136">
      <c r="A51" s="109" t="s">
        <v>1389</v>
      </c>
      <c r="B51" s="109"/>
      <c r="C51" s="109"/>
      <c r="D51" s="109"/>
      <c r="E51" s="109"/>
      <c r="F51" s="109">
        <v>-5016</v>
      </c>
      <c r="G51" s="109">
        <v>4166</v>
      </c>
      <c r="H51" s="109">
        <v>3515</v>
      </c>
      <c r="I51" s="109">
        <v>-546</v>
      </c>
      <c r="J51" s="109">
        <v>-11024</v>
      </c>
      <c r="K51" s="109">
        <v>-1330</v>
      </c>
      <c r="L51" s="109">
        <v>-783</v>
      </c>
      <c r="M51" s="109">
        <v>2129</v>
      </c>
      <c r="N51" s="109">
        <f t="shared" si="47"/>
        <v>7944</v>
      </c>
      <c r="O51" s="109">
        <f t="shared" si="48"/>
        <v>-3252</v>
      </c>
      <c r="P51" s="109">
        <f t="shared" si="49"/>
        <v>2389</v>
      </c>
      <c r="Q51" s="109">
        <f t="shared" si="50"/>
        <v>-1652</v>
      </c>
      <c r="R51" s="109">
        <f t="shared" si="51"/>
        <v>-1097</v>
      </c>
      <c r="S51" s="109">
        <f t="shared" si="52"/>
        <v>1928</v>
      </c>
      <c r="T51" s="109">
        <f t="shared" si="53"/>
        <v>-1437</v>
      </c>
      <c r="U51" s="1044">
        <f t="shared" si="54"/>
        <v>-142</v>
      </c>
      <c r="V51" s="109">
        <f t="shared" si="55"/>
        <v>-475</v>
      </c>
      <c r="W51" s="109">
        <f t="shared" si="56"/>
        <v>-344</v>
      </c>
      <c r="X51" s="109">
        <f t="shared" si="57"/>
        <v>-149</v>
      </c>
      <c r="Y51" s="109">
        <f t="shared" si="58"/>
        <v>-170</v>
      </c>
      <c r="Z51" s="109">
        <f t="shared" si="59"/>
        <v>1222</v>
      </c>
      <c r="AA51" s="2183">
        <f>BS!AA38-BS!Z38</f>
        <v>0</v>
      </c>
      <c r="AB51" s="2183">
        <f>BS!AB38-BS!AA38</f>
        <v>0</v>
      </c>
      <c r="AC51" s="2183">
        <f>BS!AC38-BS!AB38</f>
        <v>0</v>
      </c>
      <c r="AD51" s="2183">
        <f>BS!AD38-BS!AC38</f>
        <v>0</v>
      </c>
      <c r="AE51" s="2183">
        <f>BS!AE38-BS!AD38</f>
        <v>0</v>
      </c>
      <c r="AF51" s="2183">
        <f>BS!AF38-BS!AE38</f>
        <v>0</v>
      </c>
      <c r="AG51" s="2183">
        <f>BS!AG38-BS!AF38</f>
        <v>0</v>
      </c>
      <c r="AH51" s="536"/>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68">
        <v>2205</v>
      </c>
      <c r="BG51" s="168">
        <v>-1585</v>
      </c>
      <c r="BH51" s="168">
        <v>-2056</v>
      </c>
      <c r="BI51" s="168">
        <v>890</v>
      </c>
      <c r="BJ51" s="168">
        <v>-2385</v>
      </c>
      <c r="BK51" s="168">
        <v>-2238</v>
      </c>
      <c r="BL51" s="168">
        <v>-5010</v>
      </c>
      <c r="BM51" s="168">
        <v>-1391</v>
      </c>
      <c r="BN51" s="171">
        <v>1576</v>
      </c>
      <c r="BO51" s="109">
        <v>-467</v>
      </c>
      <c r="BP51" s="109">
        <v>-2383</v>
      </c>
      <c r="BQ51" s="109">
        <v>-56</v>
      </c>
      <c r="BR51" s="171">
        <v>572</v>
      </c>
      <c r="BS51" s="109">
        <v>682</v>
      </c>
      <c r="BT51" s="109">
        <v>-1333</v>
      </c>
      <c r="BU51" s="109">
        <v>-704</v>
      </c>
      <c r="BV51" s="171">
        <v>334</v>
      </c>
      <c r="BW51" s="109">
        <v>4040</v>
      </c>
      <c r="BX51" s="109">
        <v>-3253</v>
      </c>
      <c r="BY51" s="109">
        <v>1008</v>
      </c>
      <c r="BZ51" s="171">
        <f>NormInputs!BP396</f>
        <v>-38</v>
      </c>
      <c r="CA51" s="109">
        <f>NormInputs!BQ396</f>
        <v>2623</v>
      </c>
      <c r="CB51" s="109">
        <f>NormInputs!BR396</f>
        <v>-754</v>
      </c>
      <c r="CC51" s="109">
        <f>NormInputs!BS396</f>
        <v>6113</v>
      </c>
      <c r="CD51" s="171">
        <f>NormInputs!BT396</f>
        <v>141</v>
      </c>
      <c r="CE51" s="109">
        <f>NormInputs!BU396</f>
        <v>-2638</v>
      </c>
      <c r="CF51" s="109">
        <f>NormInputs!BV396</f>
        <v>-941</v>
      </c>
      <c r="CG51" s="109">
        <f>NormInputs!BW396</f>
        <v>186</v>
      </c>
      <c r="CH51" s="171">
        <f>NormInputs!BX396</f>
        <v>2929</v>
      </c>
      <c r="CI51" s="109">
        <f>NormInputs!BY396</f>
        <v>4000</v>
      </c>
      <c r="CJ51" s="109">
        <f>NormInputs!BZ396</f>
        <v>-2797</v>
      </c>
      <c r="CK51" s="109">
        <f>NormInputs!CA396</f>
        <v>-1743</v>
      </c>
      <c r="CL51" s="171">
        <f>NormInputs!CB396</f>
        <v>7908</v>
      </c>
      <c r="CM51" s="109">
        <f>NormInputs!CC396</f>
        <v>-8011</v>
      </c>
      <c r="CN51" s="109">
        <f>NormInputs!CD396</f>
        <v>-1351</v>
      </c>
      <c r="CO51" s="109">
        <f>NormInputs!CE396</f>
        <v>-198</v>
      </c>
      <c r="CP51" s="171">
        <f>NormInputs!CF396</f>
        <v>-97</v>
      </c>
      <c r="CQ51" s="109">
        <f>NormInputs!CG396</f>
        <v>0</v>
      </c>
      <c r="CR51" s="109">
        <f>NormInputs!CH396</f>
        <v>-1000</v>
      </c>
      <c r="CS51" s="109">
        <f>NormInputs!CI396</f>
        <v>0</v>
      </c>
      <c r="CT51" s="171">
        <f>NormInputs!CJ396</f>
        <v>2384</v>
      </c>
      <c r="CU51" s="109">
        <f>NormInputs!CK396</f>
        <v>-1372</v>
      </c>
      <c r="CV51" s="109">
        <f>NormInputs!CL396</f>
        <v>805</v>
      </c>
      <c r="CW51" s="172">
        <f>NormInputs!CM396</f>
        <v>111</v>
      </c>
      <c r="CX51" s="109">
        <f>NormInputs!CN396</f>
        <v>-1734</v>
      </c>
      <c r="CY51" s="109">
        <f>NormInputs!CO396</f>
        <v>847</v>
      </c>
      <c r="CZ51" s="109">
        <f>NormInputs!CP396</f>
        <v>1262</v>
      </c>
      <c r="DA51" s="109">
        <f>NormInputs!CQ396</f>
        <v>-1812</v>
      </c>
      <c r="DB51" s="171">
        <f>NormInputs!CR396</f>
        <v>581</v>
      </c>
      <c r="DC51" s="109">
        <f>NormInputs!CS396</f>
        <v>-1013</v>
      </c>
      <c r="DD51" s="109">
        <f>NormInputs!CT396</f>
        <v>108</v>
      </c>
      <c r="DE51" s="109">
        <f>NormInputs!CU396</f>
        <v>182</v>
      </c>
      <c r="DF51" s="171">
        <f>NormInputs!CV396</f>
        <v>252</v>
      </c>
      <c r="DG51" s="1044">
        <f>NormInputs!CW396</f>
        <v>27</v>
      </c>
      <c r="DH51" s="1044">
        <f>NormInputs!CX396</f>
        <v>-705</v>
      </c>
      <c r="DI51" s="1044">
        <f>NormInputs!CY396</f>
        <v>-49</v>
      </c>
      <c r="DJ51" s="171">
        <f>NormInputs!CZ396</f>
        <v>482</v>
      </c>
      <c r="DK51" s="1044">
        <f>NormInputs!DA396</f>
        <v>-588</v>
      </c>
      <c r="DL51" s="2151">
        <f>NormInputs!DB396</f>
        <v>-199</v>
      </c>
      <c r="DM51" s="2473">
        <f>NormInputs!DC396</f>
        <v>-39</v>
      </c>
      <c r="DN51" s="2151">
        <f>NormInputs!DD396</f>
        <v>-40</v>
      </c>
      <c r="DO51" s="2151">
        <f>NormInputs!DE396</f>
        <v>650</v>
      </c>
      <c r="DP51" s="2151">
        <f>NormInputs!DF396</f>
        <v>-730</v>
      </c>
      <c r="DQ51" s="2473">
        <f>NormInputs!DG396</f>
        <v>-29</v>
      </c>
      <c r="DR51" s="2151">
        <f>NormInputs!DH396</f>
        <v>-52</v>
      </c>
      <c r="DS51" s="2151">
        <f>NormInputs!DI396</f>
        <v>-100</v>
      </c>
      <c r="DT51" s="2151">
        <f>NormInputs!DJ396</f>
        <v>-8</v>
      </c>
      <c r="DU51" s="2473">
        <f>NormInputs!DK396</f>
        <v>-10</v>
      </c>
      <c r="DV51" s="2490">
        <f>NormInputs!DL396</f>
        <v>1222</v>
      </c>
      <c r="DW51" s="2164">
        <f>BS!DW38-BS!DV38</f>
        <v>0</v>
      </c>
      <c r="DX51" s="2164">
        <f>BS!DX38-BS!DW38</f>
        <v>0</v>
      </c>
      <c r="DY51" s="2165">
        <f>BS!DY38-BS!DX38</f>
        <v>0</v>
      </c>
      <c r="DZ51" s="109"/>
    </row>
    <row r="52" spans="1:136">
      <c r="A52" s="109" t="s">
        <v>1002</v>
      </c>
      <c r="B52" s="109"/>
      <c r="C52" s="109"/>
      <c r="D52" s="109"/>
      <c r="E52" s="109"/>
      <c r="F52" s="109">
        <v>-4186</v>
      </c>
      <c r="G52" s="109">
        <v>-4227</v>
      </c>
      <c r="H52" s="109">
        <v>-4421</v>
      </c>
      <c r="I52" s="109">
        <v>-4168</v>
      </c>
      <c r="J52" s="109">
        <v>-4200</v>
      </c>
      <c r="K52" s="109">
        <v>-4239</v>
      </c>
      <c r="L52" s="109">
        <v>-4262</v>
      </c>
      <c r="M52" s="109">
        <v>-4427</v>
      </c>
      <c r="N52" s="109">
        <f t="shared" si="47"/>
        <v>-4719</v>
      </c>
      <c r="O52" s="109">
        <f t="shared" si="48"/>
        <v>-4773</v>
      </c>
      <c r="P52" s="109">
        <f t="shared" si="49"/>
        <v>-4994</v>
      </c>
      <c r="Q52" s="109">
        <f t="shared" si="50"/>
        <v>-5271</v>
      </c>
      <c r="R52" s="109">
        <f t="shared" si="51"/>
        <v>-5412</v>
      </c>
      <c r="S52" s="109">
        <f t="shared" si="52"/>
        <v>-5555</v>
      </c>
      <c r="T52" s="109">
        <f t="shared" si="53"/>
        <v>-5230</v>
      </c>
      <c r="U52" s="1044">
        <f t="shared" si="54"/>
        <v>-5936</v>
      </c>
      <c r="V52" s="109">
        <f t="shared" si="55"/>
        <v>-7803</v>
      </c>
      <c r="W52" s="109">
        <f t="shared" si="56"/>
        <v>-8538</v>
      </c>
      <c r="X52" s="109">
        <f t="shared" si="57"/>
        <v>-9262</v>
      </c>
      <c r="Y52" s="109">
        <f t="shared" si="58"/>
        <v>-9472</v>
      </c>
      <c r="Z52" s="109">
        <f t="shared" si="59"/>
        <v>-9827.5424999999996</v>
      </c>
      <c r="AA52" s="2183">
        <f>-IS!AA117</f>
        <v>-10068.724999999999</v>
      </c>
      <c r="AB52" s="2183">
        <f>-IS!AB117</f>
        <v>-10324.31</v>
      </c>
      <c r="AC52" s="2183">
        <f>-IS!AC117</f>
        <v>-10580.254999999999</v>
      </c>
      <c r="AD52" s="2183">
        <f>-IS!AD117</f>
        <v>-10836.56</v>
      </c>
      <c r="AE52" s="2183">
        <f>-IS!AE117</f>
        <v>-11093.224999999999</v>
      </c>
      <c r="AF52" s="2183">
        <f>-IS!AF117</f>
        <v>-11350.25</v>
      </c>
      <c r="AG52" s="2183">
        <f>-IS!AG117</f>
        <v>-11607.635</v>
      </c>
      <c r="AH52" s="536"/>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68">
        <v>-1040</v>
      </c>
      <c r="BG52" s="168">
        <v>-1039</v>
      </c>
      <c r="BH52" s="168">
        <v>-1040</v>
      </c>
      <c r="BI52" s="168">
        <v>-1049</v>
      </c>
      <c r="BJ52" s="168">
        <v>-1051</v>
      </c>
      <c r="BK52" s="168">
        <v>-1045</v>
      </c>
      <c r="BL52" s="168">
        <v>-1051</v>
      </c>
      <c r="BM52" s="168">
        <v>-1053</v>
      </c>
      <c r="BN52" s="171">
        <v>-1056</v>
      </c>
      <c r="BO52" s="109">
        <v>-1059</v>
      </c>
      <c r="BP52" s="109">
        <v>-1060</v>
      </c>
      <c r="BQ52" s="109">
        <v>-1064</v>
      </c>
      <c r="BR52" s="171">
        <v>-1065</v>
      </c>
      <c r="BS52" s="109">
        <v>-1066</v>
      </c>
      <c r="BT52" s="109">
        <v>-1067</v>
      </c>
      <c r="BU52" s="109">
        <v>-1064</v>
      </c>
      <c r="BV52" s="171">
        <v>-1066</v>
      </c>
      <c r="BW52" s="109">
        <v>-1122</v>
      </c>
      <c r="BX52" s="109">
        <v>-1120</v>
      </c>
      <c r="BY52" s="109">
        <v>-1119</v>
      </c>
      <c r="BZ52" s="171">
        <f>NormInputs!BP397</f>
        <v>-1185</v>
      </c>
      <c r="CA52" s="109">
        <f>NormInputs!BQ397</f>
        <v>-1180</v>
      </c>
      <c r="CB52" s="109">
        <f>NormInputs!BR397</f>
        <v>-1172</v>
      </c>
      <c r="CC52" s="109">
        <f>NormInputs!BS397</f>
        <v>-1182</v>
      </c>
      <c r="CD52" s="171">
        <f>NormInputs!BT397</f>
        <v>-1179</v>
      </c>
      <c r="CE52" s="109">
        <f>NormInputs!BU397</f>
        <v>-1164</v>
      </c>
      <c r="CF52" s="109">
        <f>NormInputs!BV397</f>
        <v>-1186</v>
      </c>
      <c r="CG52" s="109">
        <f>NormInputs!BW397</f>
        <v>-1244</v>
      </c>
      <c r="CH52" s="171">
        <f>NormInputs!BX397</f>
        <v>-1237</v>
      </c>
      <c r="CI52" s="109">
        <f>NormInputs!BY397</f>
        <v>-1227</v>
      </c>
      <c r="CJ52" s="109">
        <f>NormInputs!BZ397</f>
        <v>-1223</v>
      </c>
      <c r="CK52" s="109">
        <f>NormInputs!CA397</f>
        <v>-1307</v>
      </c>
      <c r="CL52" s="171">
        <f>NormInputs!CB397</f>
        <v>-1307</v>
      </c>
      <c r="CM52" s="109">
        <f>NormInputs!CC397</f>
        <v>-1307</v>
      </c>
      <c r="CN52" s="109">
        <f>NormInputs!CD397</f>
        <v>-1306</v>
      </c>
      <c r="CO52" s="109">
        <f>NormInputs!CE397</f>
        <v>-1351</v>
      </c>
      <c r="CP52" s="171">
        <f>NormInputs!CF397</f>
        <v>-1347</v>
      </c>
      <c r="CQ52" s="109">
        <f>NormInputs!CG397</f>
        <v>-1343</v>
      </c>
      <c r="CR52" s="109">
        <f>NormInputs!CH397</f>
        <v>-1344</v>
      </c>
      <c r="CS52" s="109">
        <f>NormInputs!CI397</f>
        <v>-1378</v>
      </c>
      <c r="CT52" s="171">
        <f>NormInputs!CJ397</f>
        <v>-1379</v>
      </c>
      <c r="CU52" s="109">
        <f>NormInputs!CK397</f>
        <v>-1380</v>
      </c>
      <c r="CV52" s="109">
        <f>NormInputs!CL397</f>
        <v>-1380</v>
      </c>
      <c r="CW52" s="172">
        <f>NormInputs!CM397</f>
        <v>-1416</v>
      </c>
      <c r="CX52" s="109">
        <f>NormInputs!CN397</f>
        <v>-1291</v>
      </c>
      <c r="CY52" s="109">
        <f>NormInputs!CO397</f>
        <v>-1296</v>
      </c>
      <c r="CZ52" s="109">
        <f>NormInputs!CP397</f>
        <v>-1300</v>
      </c>
      <c r="DA52" s="109">
        <f>NormInputs!CQ397</f>
        <v>-1343</v>
      </c>
      <c r="DB52" s="171">
        <f>NormInputs!CR397</f>
        <v>-1472</v>
      </c>
      <c r="DC52" s="109">
        <f>NormInputs!CS397</f>
        <v>-1474</v>
      </c>
      <c r="DD52" s="109">
        <f>NormInputs!CT397</f>
        <v>-1474</v>
      </c>
      <c r="DE52" s="109">
        <f>NormInputs!CU397</f>
        <v>-1516</v>
      </c>
      <c r="DF52" s="171">
        <f>NormInputs!CV397</f>
        <v>-1517</v>
      </c>
      <c r="DG52" s="1044">
        <f>NormInputs!CW397</f>
        <v>-2066</v>
      </c>
      <c r="DH52" s="1044">
        <f>NormInputs!CX397</f>
        <v>-2070</v>
      </c>
      <c r="DI52" s="1044">
        <f>NormInputs!CY397</f>
        <v>-2150</v>
      </c>
      <c r="DJ52" s="171">
        <f>NormInputs!CZ397</f>
        <v>-2153</v>
      </c>
      <c r="DK52" s="1044">
        <f>NormInputs!DA397</f>
        <v>-2113</v>
      </c>
      <c r="DL52" s="2151">
        <f>NormInputs!DB397</f>
        <v>-2107</v>
      </c>
      <c r="DM52" s="2473">
        <f>NormInputs!DC397</f>
        <v>-2165</v>
      </c>
      <c r="DN52" s="2151">
        <f>NormInputs!DD397</f>
        <v>-2302</v>
      </c>
      <c r="DO52" s="2151">
        <f>NormInputs!DE397</f>
        <v>-2303</v>
      </c>
      <c r="DP52" s="2151">
        <f>NormInputs!DF397</f>
        <v>-2303</v>
      </c>
      <c r="DQ52" s="2473">
        <f>NormInputs!DG397</f>
        <v>-2354</v>
      </c>
      <c r="DR52" s="2151">
        <f>NormInputs!DH397</f>
        <v>-2354</v>
      </c>
      <c r="DS52" s="2151">
        <f>NormInputs!DI397</f>
        <v>-2356</v>
      </c>
      <c r="DT52" s="2151">
        <f>NormInputs!DJ397</f>
        <v>-2357</v>
      </c>
      <c r="DU52" s="2473">
        <f>NormInputs!DK397</f>
        <v>-2405</v>
      </c>
      <c r="DV52" s="2490">
        <f>NormInputs!DL397</f>
        <v>-2407</v>
      </c>
      <c r="DW52" s="2164">
        <f>-IS!DT117</f>
        <v>-2438.4699999999998</v>
      </c>
      <c r="DX52" s="2164">
        <f>-IS!DU117</f>
        <v>-2490.7349999999997</v>
      </c>
      <c r="DY52" s="2165">
        <f>-IS!DV117</f>
        <v>-2491.3374999999996</v>
      </c>
      <c r="DZ52" s="109"/>
    </row>
    <row r="53" spans="1:136" s="1543" customFormat="1">
      <c r="A53" s="220" t="s">
        <v>1390</v>
      </c>
      <c r="B53" s="220"/>
      <c r="C53" s="220"/>
      <c r="D53" s="220"/>
      <c r="E53" s="220"/>
      <c r="F53" s="220">
        <v>1006</v>
      </c>
      <c r="G53" s="220">
        <v>1166</v>
      </c>
      <c r="H53" s="220">
        <v>576</v>
      </c>
      <c r="I53" s="220">
        <v>501</v>
      </c>
      <c r="J53" s="220">
        <v>915</v>
      </c>
      <c r="K53" s="220">
        <v>839</v>
      </c>
      <c r="L53" s="220">
        <v>320</v>
      </c>
      <c r="M53" s="220">
        <v>37</v>
      </c>
      <c r="N53" s="220">
        <f t="shared" si="47"/>
        <v>174</v>
      </c>
      <c r="O53" s="220">
        <f t="shared" si="48"/>
        <v>1274</v>
      </c>
      <c r="P53" s="220">
        <f t="shared" si="49"/>
        <v>16</v>
      </c>
      <c r="Q53" s="220">
        <f t="shared" si="50"/>
        <v>0</v>
      </c>
      <c r="R53" s="220">
        <f t="shared" si="51"/>
        <v>0</v>
      </c>
      <c r="S53" s="220">
        <f t="shared" si="52"/>
        <v>241</v>
      </c>
      <c r="T53" s="220">
        <f t="shared" si="53"/>
        <v>315</v>
      </c>
      <c r="U53" s="1302">
        <f t="shared" si="54"/>
        <v>85</v>
      </c>
      <c r="V53" s="220">
        <f t="shared" si="55"/>
        <v>34</v>
      </c>
      <c r="W53" s="220">
        <f t="shared" si="56"/>
        <v>40</v>
      </c>
      <c r="X53" s="220">
        <f t="shared" si="57"/>
        <v>3</v>
      </c>
      <c r="Y53" s="220">
        <f t="shared" si="58"/>
        <v>0</v>
      </c>
      <c r="Z53" s="220">
        <f t="shared" si="59"/>
        <v>0</v>
      </c>
      <c r="AA53" s="2183">
        <f>+BS!AA54-BS!Z54+BS!AA55-BS!Z55</f>
        <v>0</v>
      </c>
      <c r="AB53" s="2183">
        <f>+BS!AB54-BS!AA54+BS!AB55-BS!AA55</f>
        <v>0</v>
      </c>
      <c r="AC53" s="2183">
        <f>+BS!AC54-BS!AB54+BS!AC55-BS!AB55</f>
        <v>0</v>
      </c>
      <c r="AD53" s="2183">
        <f>+BS!AD54-BS!AC54+BS!AD55-BS!AC55</f>
        <v>0</v>
      </c>
      <c r="AE53" s="2183">
        <f>+BS!AE54-BS!AD54+BS!AE55-BS!AD55</f>
        <v>0</v>
      </c>
      <c r="AF53" s="2183">
        <f>+BS!AF54-BS!AE54+BS!AF55-BS!AE55</f>
        <v>0</v>
      </c>
      <c r="AG53" s="2183">
        <f>+BS!AG54-BS!AF54+BS!AG55-BS!AF55</f>
        <v>0</v>
      </c>
      <c r="AH53" s="1316"/>
      <c r="AI53" s="220"/>
      <c r="AJ53" s="220"/>
      <c r="AK53" s="220"/>
      <c r="AL53" s="220"/>
      <c r="AM53" s="220"/>
      <c r="AN53" s="220"/>
      <c r="AO53" s="220"/>
      <c r="AP53" s="220"/>
      <c r="AQ53" s="220"/>
      <c r="AR53" s="220"/>
      <c r="AS53" s="220"/>
      <c r="AT53" s="220"/>
      <c r="AU53" s="220"/>
      <c r="AV53" s="220"/>
      <c r="AW53" s="220"/>
      <c r="AX53" s="220"/>
      <c r="AY53" s="220"/>
      <c r="AZ53" s="220"/>
      <c r="BA53" s="220"/>
      <c r="BB53" s="220"/>
      <c r="BC53" s="220"/>
      <c r="BD53" s="220"/>
      <c r="BE53" s="220"/>
      <c r="BF53" s="220">
        <v>77</v>
      </c>
      <c r="BG53" s="220">
        <v>165</v>
      </c>
      <c r="BH53" s="220">
        <v>194</v>
      </c>
      <c r="BI53" s="220">
        <v>65</v>
      </c>
      <c r="BJ53" s="220">
        <v>222</v>
      </c>
      <c r="BK53" s="220">
        <v>202</v>
      </c>
      <c r="BL53" s="220">
        <v>229</v>
      </c>
      <c r="BM53" s="220">
        <v>262</v>
      </c>
      <c r="BN53" s="1452">
        <v>256</v>
      </c>
      <c r="BO53" s="220">
        <v>215</v>
      </c>
      <c r="BP53" s="220">
        <v>146</v>
      </c>
      <c r="BQ53" s="220">
        <v>222</v>
      </c>
      <c r="BR53" s="1452">
        <v>80</v>
      </c>
      <c r="BS53" s="220">
        <v>11</v>
      </c>
      <c r="BT53" s="220">
        <v>129</v>
      </c>
      <c r="BU53" s="220">
        <v>100</v>
      </c>
      <c r="BV53" s="1452">
        <v>25</v>
      </c>
      <c r="BW53" s="220">
        <v>7</v>
      </c>
      <c r="BX53" s="220">
        <v>5</v>
      </c>
      <c r="BY53" s="220">
        <v>0</v>
      </c>
      <c r="BZ53" s="1452">
        <f>NormInputs!BP398</f>
        <v>64</v>
      </c>
      <c r="CA53" s="220">
        <f>NormInputs!BQ398</f>
        <v>5</v>
      </c>
      <c r="CB53" s="220">
        <f>NormInputs!BR398</f>
        <v>46</v>
      </c>
      <c r="CC53" s="220">
        <f>NormInputs!BS398</f>
        <v>59</v>
      </c>
      <c r="CD53" s="1452">
        <f>NormInputs!BT398</f>
        <v>110</v>
      </c>
      <c r="CE53" s="220">
        <f>NormInputs!BU398</f>
        <v>443</v>
      </c>
      <c r="CF53" s="220">
        <f>NormInputs!BV398</f>
        <v>241</v>
      </c>
      <c r="CG53" s="220">
        <f>NormInputs!BW398</f>
        <v>480</v>
      </c>
      <c r="CH53" s="1452">
        <f>NormInputs!BX398</f>
        <v>9</v>
      </c>
      <c r="CI53" s="220">
        <f>NormInputs!BY398</f>
        <v>6</v>
      </c>
      <c r="CJ53" s="220">
        <f>NormInputs!BZ398</f>
        <v>1</v>
      </c>
      <c r="CK53" s="220">
        <f>NormInputs!CA398</f>
        <v>0</v>
      </c>
      <c r="CL53" s="1452">
        <f>NormInputs!CB398</f>
        <v>0</v>
      </c>
      <c r="CM53" s="220">
        <f>NormInputs!CC398</f>
        <v>0</v>
      </c>
      <c r="CN53" s="220">
        <f>NormInputs!CD398</f>
        <v>0</v>
      </c>
      <c r="CO53" s="220">
        <f>NormInputs!CE398</f>
        <v>0</v>
      </c>
      <c r="CP53" s="1452">
        <f>NormInputs!CF398</f>
        <v>0</v>
      </c>
      <c r="CQ53" s="220">
        <f>NormInputs!CG398</f>
        <v>0</v>
      </c>
      <c r="CR53" s="220">
        <f>NormInputs!CH398</f>
        <v>0</v>
      </c>
      <c r="CS53" s="220">
        <f>NormInputs!CI398</f>
        <v>0</v>
      </c>
      <c r="CT53" s="1452">
        <f>NormInputs!CJ398</f>
        <v>70</v>
      </c>
      <c r="CU53" s="220">
        <f>NormInputs!CK398</f>
        <v>52</v>
      </c>
      <c r="CV53" s="220">
        <f>NormInputs!CL398</f>
        <v>17</v>
      </c>
      <c r="CW53" s="1482">
        <f>NormInputs!CM398</f>
        <v>102</v>
      </c>
      <c r="CX53" s="220">
        <f>NormInputs!CN398</f>
        <v>69</v>
      </c>
      <c r="CY53" s="220">
        <f>NormInputs!CO398</f>
        <v>141</v>
      </c>
      <c r="CZ53" s="220">
        <f>NormInputs!CP398</f>
        <v>68</v>
      </c>
      <c r="DA53" s="220">
        <f>NormInputs!CQ398</f>
        <v>37</v>
      </c>
      <c r="DB53" s="1452">
        <f>NormInputs!CR398</f>
        <v>56</v>
      </c>
      <c r="DC53" s="220">
        <f>NormInputs!CS398</f>
        <v>18</v>
      </c>
      <c r="DD53" s="220">
        <f>NormInputs!CT398</f>
        <v>2</v>
      </c>
      <c r="DE53" s="220">
        <f>NormInputs!CU398</f>
        <v>9</v>
      </c>
      <c r="DF53" s="1452">
        <f>NormInputs!CV398</f>
        <v>34</v>
      </c>
      <c r="DG53" s="1302">
        <f>NormInputs!CW398</f>
        <v>0</v>
      </c>
      <c r="DH53" s="1302">
        <f>NormInputs!CX398</f>
        <v>0</v>
      </c>
      <c r="DI53" s="1302">
        <f>NormInputs!CY398</f>
        <v>0</v>
      </c>
      <c r="DJ53" s="1452">
        <f>NormInputs!CZ398</f>
        <v>0</v>
      </c>
      <c r="DK53" s="1302">
        <f>NormInputs!DA398</f>
        <v>0</v>
      </c>
      <c r="DL53" s="2151">
        <f>NormInputs!DB398</f>
        <v>31</v>
      </c>
      <c r="DM53" s="2473">
        <f>NormInputs!DC398</f>
        <v>9</v>
      </c>
      <c r="DN53" s="2151">
        <f>NormInputs!DD398</f>
        <v>3</v>
      </c>
      <c r="DO53" s="2151">
        <f>NormInputs!DE398</f>
        <v>0</v>
      </c>
      <c r="DP53" s="2151">
        <f>NormInputs!DF398</f>
        <v>0</v>
      </c>
      <c r="DQ53" s="2473">
        <f>NormInputs!DG398</f>
        <v>0</v>
      </c>
      <c r="DR53" s="2151">
        <f>NormInputs!DH398</f>
        <v>0</v>
      </c>
      <c r="DS53" s="2151">
        <f>NormInputs!DI398</f>
        <v>0</v>
      </c>
      <c r="DT53" s="2151">
        <f>NormInputs!DJ398</f>
        <v>0</v>
      </c>
      <c r="DU53" s="2473">
        <f>NormInputs!DK398</f>
        <v>0</v>
      </c>
      <c r="DV53" s="2490">
        <f>NormInputs!DL398</f>
        <v>0</v>
      </c>
      <c r="DW53" s="2164">
        <f>+BS!DW54+BS!DW55-BS!DV54-BS!DV55</f>
        <v>0</v>
      </c>
      <c r="DX53" s="2164">
        <f>+BS!DX54+BS!DX55-BS!DW54-BS!DW55</f>
        <v>0</v>
      </c>
      <c r="DY53" s="2165">
        <f>+BS!DY54+BS!DY55-BS!DX54-BS!DX55</f>
        <v>0</v>
      </c>
      <c r="DZ53" s="109"/>
      <c r="EA53"/>
      <c r="EB53"/>
      <c r="EC53"/>
      <c r="ED53"/>
      <c r="EE53"/>
      <c r="EF53"/>
    </row>
    <row r="54" spans="1:136" s="1543" customFormat="1">
      <c r="A54" s="220" t="s">
        <v>1391</v>
      </c>
      <c r="B54" s="220"/>
      <c r="C54" s="220"/>
      <c r="D54" s="220"/>
      <c r="E54" s="220"/>
      <c r="F54" s="220">
        <v>-1002</v>
      </c>
      <c r="G54" s="220">
        <v>-2037</v>
      </c>
      <c r="H54" s="220">
        <v>-2294</v>
      </c>
      <c r="I54" s="220">
        <v>-18</v>
      </c>
      <c r="J54" s="220">
        <v>0</v>
      </c>
      <c r="K54" s="220">
        <v>0</v>
      </c>
      <c r="L54" s="220">
        <v>-370</v>
      </c>
      <c r="M54" s="220">
        <v>-271</v>
      </c>
      <c r="N54" s="220">
        <f t="shared" si="47"/>
        <v>-1700</v>
      </c>
      <c r="O54" s="220">
        <f t="shared" si="48"/>
        <v>-2843</v>
      </c>
      <c r="P54" s="220">
        <f t="shared" si="49"/>
        <v>-1368</v>
      </c>
      <c r="Q54" s="220">
        <f t="shared" si="50"/>
        <v>0</v>
      </c>
      <c r="R54" s="220">
        <f t="shared" si="51"/>
        <v>0</v>
      </c>
      <c r="S54" s="220">
        <f t="shared" si="52"/>
        <v>0</v>
      </c>
      <c r="T54" s="220">
        <f t="shared" si="53"/>
        <v>0</v>
      </c>
      <c r="U54" s="1302">
        <f t="shared" si="54"/>
        <v>-153</v>
      </c>
      <c r="V54" s="220">
        <f t="shared" si="55"/>
        <v>0</v>
      </c>
      <c r="W54" s="220">
        <f t="shared" si="56"/>
        <v>-5134</v>
      </c>
      <c r="X54" s="220">
        <f t="shared" si="57"/>
        <v>0</v>
      </c>
      <c r="Y54" s="220">
        <f t="shared" si="58"/>
        <v>0</v>
      </c>
      <c r="Z54" s="220">
        <f t="shared" si="59"/>
        <v>0</v>
      </c>
      <c r="AA54" s="2183">
        <f>BS!AA58-BS!Z58</f>
        <v>0</v>
      </c>
      <c r="AB54" s="2183">
        <f>BS!AB58-BS!AA58</f>
        <v>0</v>
      </c>
      <c r="AC54" s="2183">
        <f>BS!AC58-BS!AB58</f>
        <v>0</v>
      </c>
      <c r="AD54" s="2183">
        <f>BS!AD58-BS!AC58</f>
        <v>0</v>
      </c>
      <c r="AE54" s="2183">
        <f>BS!AE58-BS!AD58</f>
        <v>0</v>
      </c>
      <c r="AF54" s="2183">
        <f>BS!AF58-BS!AE58</f>
        <v>0</v>
      </c>
      <c r="AG54" s="2183">
        <f>BS!AG58-BS!AF58</f>
        <v>0</v>
      </c>
      <c r="AH54" s="1316"/>
      <c r="AI54" s="220"/>
      <c r="AJ54" s="220"/>
      <c r="AK54" s="220"/>
      <c r="AL54" s="220"/>
      <c r="AM54" s="220"/>
      <c r="AN54" s="220"/>
      <c r="AO54" s="220"/>
      <c r="AP54" s="220"/>
      <c r="AQ54" s="220"/>
      <c r="AR54" s="220"/>
      <c r="AS54" s="220"/>
      <c r="AT54" s="220"/>
      <c r="AU54" s="220"/>
      <c r="AV54" s="220"/>
      <c r="AW54" s="220"/>
      <c r="AX54" s="220"/>
      <c r="AY54" s="220"/>
      <c r="AZ54" s="220"/>
      <c r="BA54" s="220"/>
      <c r="BB54" s="220"/>
      <c r="BC54" s="220"/>
      <c r="BD54" s="220"/>
      <c r="BE54" s="220"/>
      <c r="BF54" s="220">
        <v>-6</v>
      </c>
      <c r="BG54" s="220">
        <v>-2</v>
      </c>
      <c r="BH54" s="220">
        <v>-10</v>
      </c>
      <c r="BI54" s="220">
        <v>0</v>
      </c>
      <c r="BJ54" s="220"/>
      <c r="BK54" s="220"/>
      <c r="BL54" s="220"/>
      <c r="BM54" s="220"/>
      <c r="BN54" s="1452">
        <v>0</v>
      </c>
      <c r="BO54" s="220">
        <v>0</v>
      </c>
      <c r="BP54" s="220">
        <v>0</v>
      </c>
      <c r="BQ54" s="220">
        <v>0</v>
      </c>
      <c r="BR54" s="1452">
        <v>0</v>
      </c>
      <c r="BS54" s="220">
        <v>-86</v>
      </c>
      <c r="BT54" s="220">
        <v>-171</v>
      </c>
      <c r="BU54" s="220">
        <v>-113</v>
      </c>
      <c r="BV54" s="1452">
        <v>-118</v>
      </c>
      <c r="BW54" s="220">
        <v>-75</v>
      </c>
      <c r="BX54" s="220">
        <v>-28</v>
      </c>
      <c r="BY54" s="220">
        <v>-50</v>
      </c>
      <c r="BZ54" s="1452">
        <f>NormInputs!BP399</f>
        <v>-398</v>
      </c>
      <c r="CA54" s="220">
        <f>NormInputs!BQ399</f>
        <v>-611</v>
      </c>
      <c r="CB54" s="220">
        <f>NormInputs!BR399</f>
        <v>-339</v>
      </c>
      <c r="CC54" s="220">
        <f>NormInputs!BS399</f>
        <v>-352</v>
      </c>
      <c r="CD54" s="1452">
        <f>NormInputs!BT399</f>
        <v>-427</v>
      </c>
      <c r="CE54" s="220">
        <f>NormInputs!BU399</f>
        <v>-525</v>
      </c>
      <c r="CF54" s="220">
        <f>NormInputs!BV399</f>
        <v>-782</v>
      </c>
      <c r="CG54" s="220">
        <f>NormInputs!BW399</f>
        <v>-1109</v>
      </c>
      <c r="CH54" s="1452">
        <f>NormInputs!BX399</f>
        <v>-1001</v>
      </c>
      <c r="CI54" s="220">
        <f>NormInputs!BY399</f>
        <v>-116</v>
      </c>
      <c r="CJ54" s="220">
        <f>NormInputs!BZ399</f>
        <v>-252</v>
      </c>
      <c r="CK54" s="220">
        <f>NormInputs!CA399</f>
        <v>1</v>
      </c>
      <c r="CL54" s="1452">
        <f>NormInputs!CB399</f>
        <v>0</v>
      </c>
      <c r="CM54" s="220">
        <f>NormInputs!CC399</f>
        <v>0</v>
      </c>
      <c r="CN54" s="220">
        <f>NormInputs!CD399</f>
        <v>0</v>
      </c>
      <c r="CO54" s="220">
        <f>NormInputs!CE399</f>
        <v>0</v>
      </c>
      <c r="CP54" s="1452">
        <f>NormInputs!CF399</f>
        <v>0</v>
      </c>
      <c r="CQ54" s="220">
        <f>NormInputs!CG399</f>
        <v>0</v>
      </c>
      <c r="CR54" s="220">
        <f>NormInputs!CH399</f>
        <v>0</v>
      </c>
      <c r="CS54" s="220">
        <f>NormInputs!CI399</f>
        <v>0</v>
      </c>
      <c r="CT54" s="1452">
        <f>NormInputs!CJ399</f>
        <v>0</v>
      </c>
      <c r="CU54" s="220">
        <f>NormInputs!CK399</f>
        <v>0</v>
      </c>
      <c r="CV54" s="220">
        <f>NormInputs!CL399</f>
        <v>0</v>
      </c>
      <c r="CW54" s="1482">
        <f>NormInputs!CM399</f>
        <v>0</v>
      </c>
      <c r="CX54" s="220">
        <f>NormInputs!CN399</f>
        <v>0</v>
      </c>
      <c r="CY54" s="220">
        <f>NormInputs!CO399</f>
        <v>0</v>
      </c>
      <c r="CZ54" s="220">
        <f>NormInputs!CP399</f>
        <v>0</v>
      </c>
      <c r="DA54" s="220">
        <f>NormInputs!CQ399</f>
        <v>0</v>
      </c>
      <c r="DB54" s="1452">
        <f>NormInputs!CR399</f>
        <v>-153</v>
      </c>
      <c r="DC54" s="220">
        <f>NormInputs!CS399</f>
        <v>0</v>
      </c>
      <c r="DD54" s="220">
        <f>NormInputs!CT399</f>
        <v>0</v>
      </c>
      <c r="DE54" s="220">
        <f>NormInputs!CU399</f>
        <v>0</v>
      </c>
      <c r="DF54" s="1452">
        <f>NormInputs!CV399</f>
        <v>0</v>
      </c>
      <c r="DG54" s="1302">
        <f>NormInputs!CW399</f>
        <v>0</v>
      </c>
      <c r="DH54" s="1302">
        <f>NormInputs!CX399</f>
        <v>0</v>
      </c>
      <c r="DI54" s="1302">
        <f>NormInputs!CY399</f>
        <v>0</v>
      </c>
      <c r="DJ54" s="1452">
        <f>NormInputs!CZ399</f>
        <v>-5000</v>
      </c>
      <c r="DK54" s="1302">
        <f>NormInputs!DA399</f>
        <v>-74</v>
      </c>
      <c r="DL54" s="2151">
        <f>NormInputs!DB399</f>
        <v>-60</v>
      </c>
      <c r="DM54" s="2473">
        <f>NormInputs!DC399</f>
        <v>0</v>
      </c>
      <c r="DN54" s="2151">
        <f>NormInputs!DD399</f>
        <v>0</v>
      </c>
      <c r="DO54" s="2151">
        <f>NormInputs!DE399</f>
        <v>0</v>
      </c>
      <c r="DP54" s="2151">
        <f>NormInputs!DF399</f>
        <v>0</v>
      </c>
      <c r="DQ54" s="2473">
        <f>NormInputs!DG399</f>
        <v>0</v>
      </c>
      <c r="DR54" s="2151">
        <f>NormInputs!DH399</f>
        <v>0</v>
      </c>
      <c r="DS54" s="2151">
        <f>NormInputs!DI399</f>
        <v>0</v>
      </c>
      <c r="DT54" s="2151">
        <f>NormInputs!DJ399</f>
        <v>0</v>
      </c>
      <c r="DU54" s="2473">
        <f>NormInputs!DK399</f>
        <v>0</v>
      </c>
      <c r="DV54" s="2490">
        <f>NormInputs!DL399</f>
        <v>0</v>
      </c>
      <c r="DW54" s="2164">
        <f>BS!DW58-BS!DV58</f>
        <v>0</v>
      </c>
      <c r="DX54" s="2164">
        <f>BS!DX58-BS!DW58</f>
        <v>0</v>
      </c>
      <c r="DY54" s="2165">
        <f>BS!DY58-BS!DX58</f>
        <v>0</v>
      </c>
      <c r="DZ54" s="109"/>
      <c r="EA54"/>
      <c r="EB54"/>
      <c r="EC54"/>
      <c r="ED54"/>
      <c r="EE54"/>
      <c r="EF54"/>
    </row>
    <row r="55" spans="1:136">
      <c r="A55" s="109" t="s">
        <v>1392</v>
      </c>
      <c r="B55" s="109"/>
      <c r="C55" s="109"/>
      <c r="D55" s="109"/>
      <c r="E55" s="109"/>
      <c r="F55" s="109">
        <v>-628</v>
      </c>
      <c r="G55" s="109">
        <v>122</v>
      </c>
      <c r="H55" s="109">
        <v>3</v>
      </c>
      <c r="I55" s="109"/>
      <c r="J55" s="109">
        <v>0</v>
      </c>
      <c r="K55" s="109">
        <v>0</v>
      </c>
      <c r="L55" s="109">
        <v>0</v>
      </c>
      <c r="M55" s="109">
        <v>0</v>
      </c>
      <c r="N55" s="109">
        <f t="shared" si="47"/>
        <v>0</v>
      </c>
      <c r="O55" s="109">
        <f t="shared" si="48"/>
        <v>0</v>
      </c>
      <c r="P55" s="109">
        <f t="shared" si="49"/>
        <v>0</v>
      </c>
      <c r="Q55" s="109">
        <f t="shared" si="50"/>
        <v>0</v>
      </c>
      <c r="R55" s="109">
        <f t="shared" si="51"/>
        <v>0</v>
      </c>
      <c r="S55" s="109">
        <f t="shared" si="52"/>
        <v>0</v>
      </c>
      <c r="T55" s="109">
        <f t="shared" si="53"/>
        <v>-8325</v>
      </c>
      <c r="U55" s="1044">
        <f t="shared" si="54"/>
        <v>-3150</v>
      </c>
      <c r="V55" s="109">
        <f t="shared" si="55"/>
        <v>-58886</v>
      </c>
      <c r="W55" s="109">
        <f t="shared" si="56"/>
        <v>0</v>
      </c>
      <c r="X55" s="109">
        <f t="shared" si="57"/>
        <v>0</v>
      </c>
      <c r="Y55" s="109">
        <f t="shared" si="58"/>
        <v>0</v>
      </c>
      <c r="Z55" s="109">
        <f t="shared" si="59"/>
        <v>0</v>
      </c>
      <c r="AA55" s="109">
        <f>Z55*1.05</f>
        <v>0</v>
      </c>
      <c r="AB55" s="109">
        <f>AA55*1.05</f>
        <v>0</v>
      </c>
      <c r="AC55" s="109">
        <f t="shared" ref="AC55:AG55" si="62">AB55*1.05</f>
        <v>0</v>
      </c>
      <c r="AD55" s="109">
        <f t="shared" si="62"/>
        <v>0</v>
      </c>
      <c r="AE55" s="109">
        <f t="shared" si="62"/>
        <v>0</v>
      </c>
      <c r="AF55" s="109">
        <f t="shared" si="62"/>
        <v>0</v>
      </c>
      <c r="AG55" s="109">
        <f t="shared" si="62"/>
        <v>0</v>
      </c>
      <c r="AH55" s="792"/>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68"/>
      <c r="BG55" s="168"/>
      <c r="BH55" s="168"/>
      <c r="BI55" s="168"/>
      <c r="BJ55" s="168"/>
      <c r="BK55" s="168"/>
      <c r="BL55" s="168"/>
      <c r="BM55" s="168"/>
      <c r="BN55" s="171"/>
      <c r="BO55" s="109"/>
      <c r="BP55" s="109"/>
      <c r="BQ55" s="109"/>
      <c r="BR55" s="171"/>
      <c r="BS55" s="109"/>
      <c r="BT55" s="109"/>
      <c r="BU55" s="109"/>
      <c r="BV55" s="171"/>
      <c r="BW55" s="109"/>
      <c r="BX55" s="109"/>
      <c r="BY55" s="109"/>
      <c r="BZ55" s="171"/>
      <c r="CA55" s="109"/>
      <c r="CB55" s="109"/>
      <c r="CC55" s="109"/>
      <c r="CD55" s="171"/>
      <c r="CE55" s="109"/>
      <c r="CF55" s="109"/>
      <c r="CG55" s="109"/>
      <c r="CH55" s="171"/>
      <c r="CI55" s="109"/>
      <c r="CJ55" s="109"/>
      <c r="CK55" s="109"/>
      <c r="CL55" s="171"/>
      <c r="CM55" s="109"/>
      <c r="CN55" s="109"/>
      <c r="CO55" s="109"/>
      <c r="CP55" s="171"/>
      <c r="CQ55" s="109"/>
      <c r="CR55" s="109"/>
      <c r="CS55" s="109"/>
      <c r="CT55" s="171"/>
      <c r="CU55" s="109"/>
      <c r="CV55" s="109"/>
      <c r="CW55" s="172"/>
      <c r="CX55" s="109">
        <f>NormInputs!CN400</f>
        <v>-4500</v>
      </c>
      <c r="CY55" s="109">
        <f>NormInputs!CO400</f>
        <v>0</v>
      </c>
      <c r="CZ55" s="109">
        <f>NormInputs!CP400</f>
        <v>0</v>
      </c>
      <c r="DA55" s="109">
        <f>NormInputs!CQ400</f>
        <v>-3825</v>
      </c>
      <c r="DB55" s="171">
        <f>NormInputs!CR400</f>
        <v>0</v>
      </c>
      <c r="DC55" s="109">
        <f>NormInputs!CS400</f>
        <v>-3150</v>
      </c>
      <c r="DD55" s="109">
        <f>NormInputs!CT400</f>
        <v>0</v>
      </c>
      <c r="DE55" s="109">
        <f>NormInputs!CU400</f>
        <v>0</v>
      </c>
      <c r="DF55" s="171">
        <f>NormInputs!CV400</f>
        <v>-58886</v>
      </c>
      <c r="DG55" s="1044">
        <f>NormInputs!CW400</f>
        <v>0</v>
      </c>
      <c r="DH55" s="1044">
        <f>NormInputs!CX400</f>
        <v>0</v>
      </c>
      <c r="DI55" s="1044">
        <f>NormInputs!CY400</f>
        <v>0</v>
      </c>
      <c r="DJ55" s="171">
        <f>NormInputs!CZ400</f>
        <v>0</v>
      </c>
      <c r="DK55" s="1044">
        <f>NormInputs!DA400</f>
        <v>0</v>
      </c>
      <c r="DL55" s="2151">
        <f>NormInputs!DB400</f>
        <v>0</v>
      </c>
      <c r="DM55" s="2473">
        <f>NormInputs!DC400</f>
        <v>0</v>
      </c>
      <c r="DN55" s="2151">
        <f>NormInputs!DD400</f>
        <v>0</v>
      </c>
      <c r="DO55" s="2151">
        <f>NormInputs!DE400</f>
        <v>0</v>
      </c>
      <c r="DP55" s="2151">
        <f>NormInputs!DF400</f>
        <v>0</v>
      </c>
      <c r="DQ55" s="2473">
        <f>NormInputs!DG400</f>
        <v>0</v>
      </c>
      <c r="DR55" s="2151">
        <f>NormInputs!DH400</f>
        <v>0</v>
      </c>
      <c r="DS55" s="2151">
        <f>NormInputs!DI400</f>
        <v>0</v>
      </c>
      <c r="DT55" s="2151">
        <f>NormInputs!DJ400</f>
        <v>0</v>
      </c>
      <c r="DU55" s="2473">
        <f>NormInputs!DK400</f>
        <v>0</v>
      </c>
      <c r="DV55" s="2490">
        <f>NormInputs!DL400</f>
        <v>0</v>
      </c>
      <c r="DW55" s="1050">
        <v>0</v>
      </c>
      <c r="DX55" s="1050">
        <v>0</v>
      </c>
      <c r="DY55" s="174">
        <v>0</v>
      </c>
      <c r="DZ55" s="109"/>
    </row>
    <row r="56" spans="1:136">
      <c r="A56" s="109" t="s">
        <v>1393</v>
      </c>
      <c r="B56" s="109"/>
      <c r="C56" s="109"/>
      <c r="D56" s="109"/>
      <c r="E56" s="109"/>
      <c r="F56" s="109">
        <v>-735</v>
      </c>
      <c r="G56" s="109">
        <v>116</v>
      </c>
      <c r="H56" s="109">
        <v>30</v>
      </c>
      <c r="I56" s="109">
        <v>-304</v>
      </c>
      <c r="J56" s="109">
        <v>71</v>
      </c>
      <c r="K56" s="109">
        <v>-123</v>
      </c>
      <c r="L56" s="109">
        <v>-77</v>
      </c>
      <c r="M56" s="109">
        <v>-70</v>
      </c>
      <c r="N56" s="109">
        <f t="shared" si="47"/>
        <v>-496</v>
      </c>
      <c r="O56" s="109">
        <f t="shared" si="48"/>
        <v>-2</v>
      </c>
      <c r="P56" s="109">
        <f t="shared" si="49"/>
        <v>93</v>
      </c>
      <c r="Q56" s="109">
        <f t="shared" si="50"/>
        <v>-2039</v>
      </c>
      <c r="R56" s="109">
        <f t="shared" si="51"/>
        <v>995</v>
      </c>
      <c r="S56" s="109">
        <f t="shared" si="52"/>
        <v>-1705</v>
      </c>
      <c r="T56" s="109">
        <f t="shared" si="53"/>
        <v>-4662</v>
      </c>
      <c r="U56" s="1044">
        <f t="shared" si="54"/>
        <v>-5257</v>
      </c>
      <c r="V56" s="109">
        <f t="shared" si="55"/>
        <v>-3873</v>
      </c>
      <c r="W56" s="109">
        <f t="shared" si="56"/>
        <v>1634</v>
      </c>
      <c r="X56" s="109">
        <f t="shared" si="57"/>
        <v>-2705</v>
      </c>
      <c r="Y56" s="109">
        <f t="shared" si="58"/>
        <v>-4852</v>
      </c>
      <c r="Z56" s="109">
        <f t="shared" si="59"/>
        <v>-881</v>
      </c>
      <c r="AA56" s="168">
        <v>-800</v>
      </c>
      <c r="AB56" s="168">
        <v>-800</v>
      </c>
      <c r="AC56" s="168">
        <v>-800</v>
      </c>
      <c r="AD56" s="168">
        <v>-800</v>
      </c>
      <c r="AE56" s="168">
        <v>-800</v>
      </c>
      <c r="AF56" s="168">
        <v>-800</v>
      </c>
      <c r="AG56" s="168">
        <v>-800</v>
      </c>
      <c r="AH56" s="536"/>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68">
        <v>-95</v>
      </c>
      <c r="BG56" s="168">
        <v>-253</v>
      </c>
      <c r="BH56" s="168">
        <v>-47</v>
      </c>
      <c r="BI56" s="168">
        <v>91</v>
      </c>
      <c r="BJ56" s="168">
        <v>-4</v>
      </c>
      <c r="BK56" s="168">
        <v>70</v>
      </c>
      <c r="BL56" s="168">
        <v>13</v>
      </c>
      <c r="BM56" s="168">
        <v>-8</v>
      </c>
      <c r="BN56" s="171">
        <v>-142</v>
      </c>
      <c r="BO56" s="109">
        <v>-52</v>
      </c>
      <c r="BP56" s="109">
        <v>26</v>
      </c>
      <c r="BQ56" s="109">
        <v>45</v>
      </c>
      <c r="BR56" s="171">
        <v>-86</v>
      </c>
      <c r="BS56" s="109">
        <v>0</v>
      </c>
      <c r="BT56" s="109">
        <v>43</v>
      </c>
      <c r="BU56" s="109">
        <v>-34</v>
      </c>
      <c r="BV56" s="171">
        <v>-21</v>
      </c>
      <c r="BW56" s="109">
        <v>60</v>
      </c>
      <c r="BX56" s="109">
        <v>-14</v>
      </c>
      <c r="BY56" s="109">
        <v>-95</v>
      </c>
      <c r="BZ56" s="171">
        <f>NormInputs!BP401</f>
        <v>-115</v>
      </c>
      <c r="CA56" s="109">
        <f>NormInputs!BQ401</f>
        <v>-88</v>
      </c>
      <c r="CB56" s="109">
        <f>NormInputs!BR401</f>
        <v>208</v>
      </c>
      <c r="CC56" s="109">
        <f>NormInputs!BS401</f>
        <v>-501</v>
      </c>
      <c r="CD56" s="171">
        <f>NormInputs!BT401</f>
        <v>-3</v>
      </c>
      <c r="CE56" s="109">
        <f>NormInputs!BU401</f>
        <v>-27</v>
      </c>
      <c r="CF56" s="109">
        <f>NormInputs!BV401</f>
        <v>60</v>
      </c>
      <c r="CG56" s="109">
        <f>NormInputs!BW401</f>
        <v>-32</v>
      </c>
      <c r="CH56" s="171">
        <f>NormInputs!BX401</f>
        <v>48</v>
      </c>
      <c r="CI56" s="109">
        <f>NormInputs!BY401</f>
        <v>-61</v>
      </c>
      <c r="CJ56" s="109">
        <f>NormInputs!BZ401</f>
        <v>114</v>
      </c>
      <c r="CK56" s="109">
        <f>NormInputs!CA401</f>
        <v>-8</v>
      </c>
      <c r="CL56" s="178">
        <f>NormInputs!CB401</f>
        <v>-296</v>
      </c>
      <c r="CM56" s="169">
        <f>NormInputs!CC401</f>
        <v>-763</v>
      </c>
      <c r="CN56" s="169">
        <f>NormInputs!CD401</f>
        <v>-508</v>
      </c>
      <c r="CO56" s="169">
        <f>NormInputs!CE401</f>
        <v>-472</v>
      </c>
      <c r="CP56" s="171">
        <f>NormInputs!CF401</f>
        <v>-470</v>
      </c>
      <c r="CQ56" s="109">
        <f>NormInputs!CG401</f>
        <v>-661</v>
      </c>
      <c r="CR56" s="109">
        <f>NormInputs!CH401</f>
        <v>2534</v>
      </c>
      <c r="CS56" s="109">
        <f>NormInputs!CI401</f>
        <v>-408</v>
      </c>
      <c r="CT56" s="171">
        <f>NormInputs!CJ401</f>
        <v>-284</v>
      </c>
      <c r="CU56" s="109">
        <f>NormInputs!CK401</f>
        <v>-523</v>
      </c>
      <c r="CV56" s="109">
        <f>NormInputs!CL401</f>
        <v>-544</v>
      </c>
      <c r="CW56" s="172">
        <f>NormInputs!CM401</f>
        <v>-354</v>
      </c>
      <c r="CX56" s="109">
        <f>NormInputs!CN401</f>
        <v>-453</v>
      </c>
      <c r="CY56" s="109">
        <f>NormInputs!CO401</f>
        <v>-940</v>
      </c>
      <c r="CZ56" s="109">
        <f>NormInputs!CP401</f>
        <v>-976</v>
      </c>
      <c r="DA56" s="109">
        <f>NormInputs!CQ401</f>
        <v>-2293</v>
      </c>
      <c r="DB56" s="171">
        <f>NormInputs!CR401</f>
        <v>-989</v>
      </c>
      <c r="DC56" s="109">
        <f>NormInputs!CS401</f>
        <v>-1191</v>
      </c>
      <c r="DD56" s="109">
        <f>NormInputs!CT401</f>
        <v>-1370</v>
      </c>
      <c r="DE56" s="109">
        <f>NormInputs!CU401</f>
        <v>-1707</v>
      </c>
      <c r="DF56" s="171">
        <f>NormInputs!CV401</f>
        <v>-2113</v>
      </c>
      <c r="DG56" s="1044">
        <f>NormInputs!CW401</f>
        <v>-869</v>
      </c>
      <c r="DH56" s="1044">
        <f>NormInputs!CX401</f>
        <v>-105</v>
      </c>
      <c r="DI56" s="1044">
        <f>NormInputs!CY401</f>
        <v>-786</v>
      </c>
      <c r="DJ56" s="171">
        <f>NormInputs!CZ401</f>
        <v>2545</v>
      </c>
      <c r="DK56" s="1044">
        <f>NormInputs!DA401</f>
        <v>-124</v>
      </c>
      <c r="DL56" s="2151">
        <f>NormInputs!DB401</f>
        <v>-522</v>
      </c>
      <c r="DM56" s="2473">
        <f>NormInputs!DC401</f>
        <v>-265</v>
      </c>
      <c r="DN56" s="2151">
        <f>NormInputs!DD401</f>
        <v>108</v>
      </c>
      <c r="DO56" s="2151">
        <f>NormInputs!DE401</f>
        <v>-1912</v>
      </c>
      <c r="DP56" s="2151">
        <f>NormInputs!DF401</f>
        <v>-526</v>
      </c>
      <c r="DQ56" s="2473">
        <f>NormInputs!DG401</f>
        <v>-375</v>
      </c>
      <c r="DR56" s="2151">
        <f>NormInputs!DH401</f>
        <v>-1760</v>
      </c>
      <c r="DS56" s="2151">
        <f>NormInputs!DI401</f>
        <v>-303</v>
      </c>
      <c r="DT56" s="2151">
        <f>NormInputs!DJ401</f>
        <v>-959</v>
      </c>
      <c r="DU56" s="2473">
        <f>NormInputs!DK401</f>
        <v>-1830</v>
      </c>
      <c r="DV56" s="2490">
        <f>NormInputs!DL401</f>
        <v>-281</v>
      </c>
      <c r="DW56" s="1050">
        <v>-200</v>
      </c>
      <c r="DX56" s="1050">
        <v>-200</v>
      </c>
      <c r="DY56" s="174">
        <v>-200</v>
      </c>
      <c r="DZ56" s="109"/>
    </row>
    <row r="57" spans="1:136">
      <c r="A57" s="169" t="s">
        <v>1394</v>
      </c>
      <c r="B57" s="169"/>
      <c r="C57" s="169"/>
      <c r="D57" s="169"/>
      <c r="E57" s="169"/>
      <c r="F57" s="169">
        <v>-2938</v>
      </c>
      <c r="G57" s="169">
        <v>1732</v>
      </c>
      <c r="H57" s="169">
        <v>-1048</v>
      </c>
      <c r="I57" s="169">
        <v>2075</v>
      </c>
      <c r="J57" s="169">
        <v>-14809</v>
      </c>
      <c r="K57" s="169">
        <v>-10959</v>
      </c>
      <c r="L57" s="169">
        <v>-9856</v>
      </c>
      <c r="M57" s="169">
        <v>-5034</v>
      </c>
      <c r="N57" s="169">
        <f t="shared" ref="N57:V57" si="63">N50+N51+N52+N53+N54+N48+N56+N55</f>
        <v>-6047</v>
      </c>
      <c r="O57" s="169">
        <f t="shared" si="63"/>
        <v>-11697</v>
      </c>
      <c r="P57" s="169">
        <f t="shared" si="63"/>
        <v>13588</v>
      </c>
      <c r="Q57" s="169">
        <f t="shared" si="63"/>
        <v>-16182</v>
      </c>
      <c r="R57" s="169">
        <f t="shared" si="63"/>
        <v>-13650</v>
      </c>
      <c r="S57" s="169">
        <f t="shared" si="63"/>
        <v>-5836</v>
      </c>
      <c r="T57" s="169">
        <f t="shared" si="63"/>
        <v>-21253</v>
      </c>
      <c r="U57" s="1051">
        <f t="shared" si="63"/>
        <v>26450</v>
      </c>
      <c r="V57" s="169">
        <f t="shared" si="63"/>
        <v>-57705</v>
      </c>
      <c r="W57" s="169">
        <f>W50+W51+W52+W53+W54+W48+W56+W55</f>
        <v>-15015</v>
      </c>
      <c r="X57" s="169">
        <f>X50+X51+X52+X53+X54+X48+X56+X55</f>
        <v>-18308</v>
      </c>
      <c r="Y57" s="169">
        <f>SUM(Y48:Y56)</f>
        <v>-6734</v>
      </c>
      <c r="Z57" s="169">
        <f>SUM(Z48:Z56)</f>
        <v>-5802.5424999999996</v>
      </c>
      <c r="AA57" s="169">
        <f>SUM(AA48:AA56)</f>
        <v>-9656.7249999999985</v>
      </c>
      <c r="AB57" s="169">
        <f>SUM(AB48:AB56)</f>
        <v>-9912.31</v>
      </c>
      <c r="AC57" s="169">
        <f t="shared" ref="AC57:AG57" si="64">SUM(AC48:AC56)</f>
        <v>-10168.254999999999</v>
      </c>
      <c r="AD57" s="169">
        <f t="shared" si="64"/>
        <v>-10424.56</v>
      </c>
      <c r="AE57" s="169">
        <f t="shared" si="64"/>
        <v>-10681.224999999999</v>
      </c>
      <c r="AF57" s="169">
        <f t="shared" si="64"/>
        <v>-10938.25</v>
      </c>
      <c r="AG57" s="169">
        <f t="shared" si="64"/>
        <v>-11195.635</v>
      </c>
      <c r="AH57" s="532"/>
      <c r="AI57" s="169"/>
      <c r="AJ57" s="169"/>
      <c r="AK57" s="169"/>
      <c r="AL57" s="169"/>
      <c r="AM57" s="169"/>
      <c r="AN57" s="169"/>
      <c r="AO57" s="169"/>
      <c r="AP57" s="169"/>
      <c r="AQ57" s="169"/>
      <c r="AR57" s="169"/>
      <c r="AS57" s="169"/>
      <c r="AT57" s="169"/>
      <c r="AU57" s="169"/>
      <c r="AV57" s="169"/>
      <c r="AW57" s="169"/>
      <c r="AX57" s="169"/>
      <c r="AY57" s="169"/>
      <c r="AZ57" s="169"/>
      <c r="BA57" s="169"/>
      <c r="BB57" s="169"/>
      <c r="BC57" s="169"/>
      <c r="BD57" s="169"/>
      <c r="BE57" s="169"/>
      <c r="BF57" s="169">
        <v>3284</v>
      </c>
      <c r="BG57" s="169">
        <v>1792</v>
      </c>
      <c r="BH57" s="169">
        <v>-2407</v>
      </c>
      <c r="BI57" s="169">
        <v>-594</v>
      </c>
      <c r="BJ57" s="169">
        <v>-2473</v>
      </c>
      <c r="BK57" s="169">
        <v>-2122</v>
      </c>
      <c r="BL57" s="169">
        <v>-5849</v>
      </c>
      <c r="BM57" s="169">
        <v>-4365</v>
      </c>
      <c r="BN57" s="178">
        <v>-1000</v>
      </c>
      <c r="BO57" s="169">
        <v>-5487</v>
      </c>
      <c r="BP57" s="169">
        <v>-3552</v>
      </c>
      <c r="BQ57" s="169">
        <v>-920</v>
      </c>
      <c r="BR57" s="178">
        <v>-2048</v>
      </c>
      <c r="BS57" s="169">
        <v>-3175</v>
      </c>
      <c r="BT57" s="169">
        <v>-2499</v>
      </c>
      <c r="BU57" s="169">
        <v>-2134</v>
      </c>
      <c r="BV57" s="178">
        <v>-1222</v>
      </c>
      <c r="BW57" s="169">
        <v>1347</v>
      </c>
      <c r="BX57" s="169">
        <v>-3449</v>
      </c>
      <c r="BY57" s="169">
        <v>-1710</v>
      </c>
      <c r="BZ57" s="178">
        <f>NormInputs!BP402</f>
        <v>-3830</v>
      </c>
      <c r="CA57" s="169">
        <f>NormInputs!BQ402</f>
        <v>-1811</v>
      </c>
      <c r="CB57" s="169">
        <f>NormInputs!BR402</f>
        <v>-2041</v>
      </c>
      <c r="CC57" s="169">
        <f>NormInputs!BS402</f>
        <v>1635</v>
      </c>
      <c r="CD57" s="178">
        <f>NormInputs!BT402</f>
        <v>-3248</v>
      </c>
      <c r="CE57" s="169">
        <f>NormInputs!BU402</f>
        <v>-3430</v>
      </c>
      <c r="CF57" s="169">
        <f>NormInputs!BV402</f>
        <v>-2791</v>
      </c>
      <c r="CG57" s="169">
        <f>NormInputs!BW402</f>
        <v>-2228</v>
      </c>
      <c r="CH57" s="178">
        <f>NormInputs!BX402</f>
        <v>3760</v>
      </c>
      <c r="CI57" s="169">
        <f>NormInputs!BY402</f>
        <v>5885</v>
      </c>
      <c r="CJ57" s="169">
        <f>NormInputs!BZ402</f>
        <v>-1298</v>
      </c>
      <c r="CK57" s="169">
        <f>NormInputs!CA402</f>
        <v>5241</v>
      </c>
      <c r="CL57" s="178">
        <f>SUM(CL48:CL56)</f>
        <v>-3508</v>
      </c>
      <c r="CM57" s="169">
        <f>SUM(CM48:CM56)</f>
        <v>-6401</v>
      </c>
      <c r="CN57" s="169">
        <f>SUM(CN48:CN56)</f>
        <v>-3958</v>
      </c>
      <c r="CO57" s="169">
        <f>SUM(CO48:CO56)</f>
        <v>-2315</v>
      </c>
      <c r="CP57" s="178">
        <f t="shared" ref="CP57:DF57" si="65">CP50+CP51+CP52+CP53+CP54+CP48+CP56+CP55</f>
        <v>-2433</v>
      </c>
      <c r="CQ57" s="169">
        <f t="shared" si="65"/>
        <v>-6079</v>
      </c>
      <c r="CR57" s="169">
        <f t="shared" si="65"/>
        <v>-3157</v>
      </c>
      <c r="CS57" s="169">
        <f t="shared" si="65"/>
        <v>-1981</v>
      </c>
      <c r="CT57" s="178">
        <f t="shared" si="65"/>
        <v>6679</v>
      </c>
      <c r="CU57" s="169">
        <f t="shared" si="65"/>
        <v>-10027</v>
      </c>
      <c r="CV57" s="169">
        <f t="shared" si="65"/>
        <v>-1096</v>
      </c>
      <c r="CW57" s="179">
        <f t="shared" si="65"/>
        <v>-1392</v>
      </c>
      <c r="CX57" s="169">
        <f t="shared" si="65"/>
        <v>-9737</v>
      </c>
      <c r="CY57" s="169">
        <f t="shared" si="65"/>
        <v>-1311</v>
      </c>
      <c r="CZ57" s="169">
        <f t="shared" si="65"/>
        <v>-1933</v>
      </c>
      <c r="DA57" s="169">
        <f t="shared" si="65"/>
        <v>-8272</v>
      </c>
      <c r="DB57" s="178">
        <f t="shared" si="65"/>
        <v>-1550</v>
      </c>
      <c r="DC57" s="169">
        <f t="shared" si="65"/>
        <v>-9068</v>
      </c>
      <c r="DD57" s="169">
        <f t="shared" si="65"/>
        <v>45871</v>
      </c>
      <c r="DE57" s="169">
        <f t="shared" si="65"/>
        <v>-8803</v>
      </c>
      <c r="DF57" s="178">
        <f t="shared" si="65"/>
        <v>-53229</v>
      </c>
      <c r="DG57" s="1051">
        <f>DG50+DG51+DG52+DG53+DG54+DG48+DG56+DG55</f>
        <v>-2981</v>
      </c>
      <c r="DH57" s="1051">
        <f>DH50+DH51+DH52+DH53+DH54+DH48+DH56+DH55</f>
        <v>-2827</v>
      </c>
      <c r="DI57" s="1051">
        <f>DI50+DI51+DI52+DI53+DI54+DI48+DI56+DI55</f>
        <v>1332</v>
      </c>
      <c r="DJ57" s="178">
        <f t="shared" ref="DJ57:DM57" si="66">DJ50+DJ51+DJ52+DJ53+DJ54+DJ48+DJ56+DJ55</f>
        <v>-3205</v>
      </c>
      <c r="DK57" s="1051">
        <f t="shared" si="66"/>
        <v>-3120</v>
      </c>
      <c r="DL57" s="1051">
        <f t="shared" si="66"/>
        <v>-4228</v>
      </c>
      <c r="DM57" s="179">
        <f t="shared" si="66"/>
        <v>-4462</v>
      </c>
      <c r="DN57" s="1051">
        <f>SUM(DN48:DN56)</f>
        <v>-2607</v>
      </c>
      <c r="DO57" s="1051">
        <f t="shared" ref="DO57:DQ57" si="67">SUM(DO48:DO56)</f>
        <v>-14489</v>
      </c>
      <c r="DP57" s="1051">
        <f t="shared" si="67"/>
        <v>3977</v>
      </c>
      <c r="DQ57" s="179">
        <f t="shared" si="67"/>
        <v>-203</v>
      </c>
      <c r="DR57" s="1051">
        <f t="shared" ref="DR57:DS57" si="68">SUM(DR48:DR56)</f>
        <v>4579</v>
      </c>
      <c r="DS57" s="1051">
        <f t="shared" si="68"/>
        <v>-2911</v>
      </c>
      <c r="DT57" s="1051">
        <f t="shared" ref="DT57:DU57" si="69">SUM(DT48:DT56)</f>
        <v>-3581</v>
      </c>
      <c r="DU57" s="179">
        <f t="shared" si="69"/>
        <v>-4821</v>
      </c>
      <c r="DV57" s="178">
        <f t="shared" ref="DV57" si="70">SUM(DV48:DV56)</f>
        <v>-1316</v>
      </c>
      <c r="DW57" s="1051">
        <f t="shared" ref="DW57:DY57" si="71">SUM(DW48:DW56)</f>
        <v>-1460.4699999999998</v>
      </c>
      <c r="DX57" s="1051">
        <f t="shared" si="71"/>
        <v>-1512.7349999999997</v>
      </c>
      <c r="DY57" s="179">
        <f t="shared" si="71"/>
        <v>-1513.3374999999996</v>
      </c>
      <c r="DZ57" s="109"/>
    </row>
    <row r="58" spans="1:136" ht="10.5" customHeight="1">
      <c r="A58" s="143"/>
      <c r="B58" s="143"/>
      <c r="C58" s="143"/>
      <c r="D58" s="143"/>
      <c r="E58" s="143"/>
      <c r="F58" s="143"/>
      <c r="G58" s="143"/>
      <c r="H58" s="143"/>
      <c r="I58" s="143"/>
      <c r="J58" s="143"/>
      <c r="K58" s="143"/>
      <c r="L58" s="143"/>
      <c r="M58" s="143"/>
      <c r="N58" s="143"/>
      <c r="O58" s="143"/>
      <c r="P58" s="143"/>
      <c r="Q58" s="143"/>
      <c r="R58" s="143"/>
      <c r="S58" s="143"/>
      <c r="T58" s="143"/>
      <c r="U58" s="1047"/>
      <c r="V58" s="143"/>
      <c r="W58" s="143"/>
      <c r="X58" s="143"/>
      <c r="Y58" s="143"/>
      <c r="Z58" s="143"/>
      <c r="AA58" s="143"/>
      <c r="AB58" s="143"/>
      <c r="AC58" s="143"/>
      <c r="AD58" s="143"/>
      <c r="AE58" s="143"/>
      <c r="AF58" s="143"/>
      <c r="AG58" s="143"/>
      <c r="AH58" s="1237"/>
      <c r="AI58" s="143"/>
      <c r="AJ58" s="143"/>
      <c r="AK58" s="143"/>
      <c r="AL58" s="143"/>
      <c r="AM58" s="143"/>
      <c r="AN58" s="143"/>
      <c r="AO58" s="143"/>
      <c r="AP58" s="143"/>
      <c r="AQ58" s="143"/>
      <c r="AR58" s="143"/>
      <c r="AS58" s="143"/>
      <c r="AT58" s="143"/>
      <c r="AU58" s="143"/>
      <c r="AV58" s="143"/>
      <c r="AW58" s="143"/>
      <c r="AX58" s="143"/>
      <c r="AY58" s="143"/>
      <c r="AZ58" s="143"/>
      <c r="BA58" s="143"/>
      <c r="BB58" s="143"/>
      <c r="BC58" s="143"/>
      <c r="BD58" s="143"/>
      <c r="BE58" s="143"/>
      <c r="BF58" s="143"/>
      <c r="BG58" s="143"/>
      <c r="BH58" s="143"/>
      <c r="BI58" s="143"/>
      <c r="BJ58" s="143"/>
      <c r="BK58" s="143"/>
      <c r="BL58" s="143"/>
      <c r="BM58" s="143"/>
      <c r="BN58" s="159">
        <v>0</v>
      </c>
      <c r="BO58" s="143">
        <v>0</v>
      </c>
      <c r="BP58" s="143">
        <v>0</v>
      </c>
      <c r="BQ58" s="143">
        <v>0</v>
      </c>
      <c r="BR58" s="159">
        <v>0</v>
      </c>
      <c r="BS58" s="143">
        <v>0</v>
      </c>
      <c r="BT58" s="143">
        <v>0</v>
      </c>
      <c r="BU58" s="143">
        <v>0</v>
      </c>
      <c r="BV58" s="159">
        <v>0</v>
      </c>
      <c r="BW58" s="143">
        <v>0</v>
      </c>
      <c r="BX58" s="143">
        <v>0</v>
      </c>
      <c r="BY58" s="143">
        <v>0</v>
      </c>
      <c r="BZ58" s="159">
        <f t="shared" ref="BZ58:DF58" si="72">SUM(BZ48:BZ56)-BZ57</f>
        <v>0</v>
      </c>
      <c r="CA58" s="143">
        <f t="shared" si="72"/>
        <v>0</v>
      </c>
      <c r="CB58" s="143">
        <f t="shared" si="72"/>
        <v>0</v>
      </c>
      <c r="CC58" s="143">
        <f t="shared" si="72"/>
        <v>0</v>
      </c>
      <c r="CD58" s="159">
        <f t="shared" si="72"/>
        <v>0</v>
      </c>
      <c r="CE58" s="143">
        <f t="shared" si="72"/>
        <v>0</v>
      </c>
      <c r="CF58" s="143">
        <f t="shared" si="72"/>
        <v>0</v>
      </c>
      <c r="CG58" s="143">
        <f t="shared" si="72"/>
        <v>0</v>
      </c>
      <c r="CH58" s="159">
        <f t="shared" si="72"/>
        <v>0</v>
      </c>
      <c r="CI58" s="143">
        <f t="shared" si="72"/>
        <v>0</v>
      </c>
      <c r="CJ58" s="143">
        <f t="shared" si="72"/>
        <v>0</v>
      </c>
      <c r="CK58" s="143">
        <f t="shared" si="72"/>
        <v>0</v>
      </c>
      <c r="CL58" s="159">
        <f t="shared" si="72"/>
        <v>0</v>
      </c>
      <c r="CM58" s="143">
        <f t="shared" si="72"/>
        <v>0</v>
      </c>
      <c r="CN58" s="143">
        <f t="shared" si="72"/>
        <v>0</v>
      </c>
      <c r="CO58" s="143">
        <f t="shared" si="72"/>
        <v>0</v>
      </c>
      <c r="CP58" s="159">
        <f t="shared" si="72"/>
        <v>0</v>
      </c>
      <c r="CQ58" s="143">
        <f t="shared" si="72"/>
        <v>0</v>
      </c>
      <c r="CR58" s="143">
        <f t="shared" si="72"/>
        <v>0</v>
      </c>
      <c r="CS58" s="143">
        <f t="shared" si="72"/>
        <v>0</v>
      </c>
      <c r="CT58" s="159">
        <f t="shared" si="72"/>
        <v>0</v>
      </c>
      <c r="CU58" s="143">
        <f t="shared" si="72"/>
        <v>0</v>
      </c>
      <c r="CV58" s="143">
        <f t="shared" si="72"/>
        <v>0</v>
      </c>
      <c r="CW58" s="189">
        <f t="shared" si="72"/>
        <v>0</v>
      </c>
      <c r="CX58" s="143">
        <f t="shared" si="72"/>
        <v>0</v>
      </c>
      <c r="CY58" s="143">
        <f t="shared" si="72"/>
        <v>0</v>
      </c>
      <c r="CZ58" s="143">
        <f t="shared" si="72"/>
        <v>0</v>
      </c>
      <c r="DA58" s="143">
        <f t="shared" si="72"/>
        <v>0</v>
      </c>
      <c r="DB58" s="159">
        <f t="shared" si="72"/>
        <v>0</v>
      </c>
      <c r="DC58" s="143">
        <f t="shared" si="72"/>
        <v>0</v>
      </c>
      <c r="DD58" s="143">
        <f t="shared" si="72"/>
        <v>0</v>
      </c>
      <c r="DE58" s="143">
        <f t="shared" si="72"/>
        <v>0</v>
      </c>
      <c r="DF58" s="159">
        <f t="shared" si="72"/>
        <v>0</v>
      </c>
      <c r="DG58" s="1047">
        <f t="shared" ref="DG58:DL58" si="73">SUM(DG48:DG56)-DG57</f>
        <v>0</v>
      </c>
      <c r="DH58" s="1047">
        <f t="shared" si="73"/>
        <v>0</v>
      </c>
      <c r="DI58" s="1047">
        <f t="shared" si="73"/>
        <v>0</v>
      </c>
      <c r="DJ58" s="159">
        <f t="shared" si="73"/>
        <v>0</v>
      </c>
      <c r="DK58" s="1047">
        <f t="shared" si="73"/>
        <v>0</v>
      </c>
      <c r="DL58" s="1047">
        <f t="shared" si="73"/>
        <v>0</v>
      </c>
      <c r="DM58" s="189">
        <f t="shared" ref="DM58:DR58" si="74">SUM(DM48:DM56)-DM57</f>
        <v>0</v>
      </c>
      <c r="DN58" s="1047">
        <f t="shared" si="74"/>
        <v>0</v>
      </c>
      <c r="DO58" s="1047">
        <f t="shared" si="74"/>
        <v>0</v>
      </c>
      <c r="DP58" s="1047">
        <f t="shared" si="74"/>
        <v>0</v>
      </c>
      <c r="DQ58" s="189">
        <f t="shared" si="74"/>
        <v>0</v>
      </c>
      <c r="DR58" s="1047">
        <f t="shared" si="74"/>
        <v>0</v>
      </c>
      <c r="DS58" s="1047">
        <f t="shared" ref="DS58:DT58" si="75">SUM(DS48:DS56)-DS57</f>
        <v>0</v>
      </c>
      <c r="DT58" s="1047">
        <f t="shared" si="75"/>
        <v>0</v>
      </c>
      <c r="DU58" s="189">
        <f t="shared" ref="DU58:DV58" si="76">SUM(DU48:DU56)-DU57</f>
        <v>0</v>
      </c>
      <c r="DV58" s="159">
        <f t="shared" si="76"/>
        <v>0</v>
      </c>
      <c r="DW58" s="1047"/>
      <c r="DX58" s="1047"/>
      <c r="DY58" s="189"/>
      <c r="DZ58" s="109"/>
    </row>
    <row r="59" spans="1:136">
      <c r="A59" s="169" t="s">
        <v>1395</v>
      </c>
      <c r="B59" s="169"/>
      <c r="C59" s="169"/>
      <c r="D59" s="169"/>
      <c r="E59" s="169"/>
      <c r="F59" s="169"/>
      <c r="G59" s="169"/>
      <c r="H59" s="169"/>
      <c r="I59" s="169">
        <v>222</v>
      </c>
      <c r="J59" s="169">
        <v>443</v>
      </c>
      <c r="K59" s="169">
        <v>-753</v>
      </c>
      <c r="L59" s="169">
        <v>1621</v>
      </c>
      <c r="M59" s="169">
        <v>-1514</v>
      </c>
      <c r="N59" s="169">
        <f t="shared" ref="N59:V59" si="77">N34+N44+N57</f>
        <v>2443</v>
      </c>
      <c r="O59" s="169">
        <f t="shared" si="77"/>
        <v>-2066</v>
      </c>
      <c r="P59" s="169">
        <f t="shared" si="77"/>
        <v>8629</v>
      </c>
      <c r="Q59" s="169">
        <f t="shared" si="77"/>
        <v>-7773</v>
      </c>
      <c r="R59" s="169">
        <f t="shared" si="77"/>
        <v>4659</v>
      </c>
      <c r="S59" s="169">
        <f t="shared" si="77"/>
        <v>6694</v>
      </c>
      <c r="T59" s="169">
        <f t="shared" si="77"/>
        <v>-10269</v>
      </c>
      <c r="U59" s="1051">
        <f t="shared" si="77"/>
        <v>50435</v>
      </c>
      <c r="V59" s="169">
        <f t="shared" si="77"/>
        <v>-42930</v>
      </c>
      <c r="W59" s="169">
        <f t="shared" ref="W59:AB59" si="78">W34+W44+W57</f>
        <v>-6128</v>
      </c>
      <c r="X59" s="169">
        <f t="shared" si="78"/>
        <v>-6576</v>
      </c>
      <c r="Y59" s="169">
        <f t="shared" si="78"/>
        <v>-801</v>
      </c>
      <c r="Z59" s="169">
        <f t="shared" ca="1" si="78"/>
        <v>12170.415304106566</v>
      </c>
      <c r="AA59" s="169">
        <f t="shared" ca="1" si="78"/>
        <v>10075.402778748812</v>
      </c>
      <c r="AB59" s="169">
        <f t="shared" ca="1" si="78"/>
        <v>10500.141368241961</v>
      </c>
      <c r="AC59" s="169">
        <f t="shared" ref="AC59:AG59" ca="1" si="79">AC34+AC44+AC57</f>
        <v>12363.388738170795</v>
      </c>
      <c r="AD59" s="169">
        <f t="shared" ca="1" si="79"/>
        <v>12727.054080204316</v>
      </c>
      <c r="AE59" s="169">
        <f t="shared" ca="1" si="79"/>
        <v>13143.250903569049</v>
      </c>
      <c r="AF59" s="169">
        <f t="shared" ca="1" si="79"/>
        <v>13614.14840400204</v>
      </c>
      <c r="AG59" s="169">
        <f t="shared" ca="1" si="79"/>
        <v>12853.133542985963</v>
      </c>
      <c r="AH59" s="532"/>
      <c r="AI59" s="169"/>
      <c r="AJ59" s="169"/>
      <c r="AK59" s="169"/>
      <c r="AL59" s="169"/>
      <c r="AM59" s="169"/>
      <c r="AN59" s="169"/>
      <c r="AO59" s="169"/>
      <c r="AP59" s="169"/>
      <c r="AQ59" s="169"/>
      <c r="AR59" s="169"/>
      <c r="AS59" s="169"/>
      <c r="AT59" s="169"/>
      <c r="AU59" s="169"/>
      <c r="AV59" s="169"/>
      <c r="AW59" s="169"/>
      <c r="AX59" s="169"/>
      <c r="AY59" s="169"/>
      <c r="AZ59" s="169"/>
      <c r="BA59" s="169"/>
      <c r="BB59" s="169"/>
      <c r="BC59" s="169"/>
      <c r="BD59" s="169"/>
      <c r="BE59" s="169"/>
      <c r="BF59" s="169">
        <v>-68</v>
      </c>
      <c r="BG59" s="169">
        <v>1927</v>
      </c>
      <c r="BH59" s="169">
        <v>-1251</v>
      </c>
      <c r="BI59" s="169">
        <v>-386</v>
      </c>
      <c r="BJ59" s="169">
        <v>74</v>
      </c>
      <c r="BK59" s="169">
        <v>1935</v>
      </c>
      <c r="BL59" s="169">
        <v>2702</v>
      </c>
      <c r="BM59" s="169">
        <v>-4268</v>
      </c>
      <c r="BN59" s="178">
        <v>2702</v>
      </c>
      <c r="BO59" s="169">
        <v>-3320</v>
      </c>
      <c r="BP59" s="169">
        <v>-75</v>
      </c>
      <c r="BQ59" s="169">
        <v>-35</v>
      </c>
      <c r="BR59" s="178">
        <v>-94</v>
      </c>
      <c r="BS59" s="169">
        <v>8</v>
      </c>
      <c r="BT59" s="169">
        <v>33</v>
      </c>
      <c r="BU59" s="169">
        <v>1674</v>
      </c>
      <c r="BV59" s="178">
        <v>-1598</v>
      </c>
      <c r="BW59" s="169">
        <v>713</v>
      </c>
      <c r="BX59" s="169">
        <v>-789</v>
      </c>
      <c r="BY59" s="169">
        <v>160</v>
      </c>
      <c r="BZ59" s="178">
        <f t="shared" ref="BZ59:DE59" si="80">BZ34+BZ44+BZ57</f>
        <v>473</v>
      </c>
      <c r="CA59" s="169">
        <f t="shared" si="80"/>
        <v>-63</v>
      </c>
      <c r="CB59" s="169">
        <f t="shared" si="80"/>
        <v>660</v>
      </c>
      <c r="CC59" s="169">
        <f t="shared" si="80"/>
        <v>1373</v>
      </c>
      <c r="CD59" s="178">
        <f t="shared" si="80"/>
        <v>-1918</v>
      </c>
      <c r="CE59" s="169">
        <f t="shared" si="80"/>
        <v>-645</v>
      </c>
      <c r="CF59" s="169">
        <f t="shared" si="80"/>
        <v>59</v>
      </c>
      <c r="CG59" s="169">
        <f t="shared" si="80"/>
        <v>438</v>
      </c>
      <c r="CH59" s="178">
        <f t="shared" si="80"/>
        <v>4332</v>
      </c>
      <c r="CI59" s="169">
        <f t="shared" si="80"/>
        <v>-4903</v>
      </c>
      <c r="CJ59" s="169">
        <f t="shared" si="80"/>
        <v>114</v>
      </c>
      <c r="CK59" s="169">
        <f t="shared" si="80"/>
        <v>9086</v>
      </c>
      <c r="CL59" s="178">
        <f t="shared" si="80"/>
        <v>-5803</v>
      </c>
      <c r="CM59" s="169">
        <f t="shared" si="80"/>
        <v>-3159</v>
      </c>
      <c r="CN59" s="169">
        <f t="shared" si="80"/>
        <v>396</v>
      </c>
      <c r="CO59" s="169">
        <f t="shared" si="80"/>
        <v>793</v>
      </c>
      <c r="CP59" s="178">
        <f t="shared" si="80"/>
        <v>1028</v>
      </c>
      <c r="CQ59" s="169">
        <f t="shared" si="80"/>
        <v>1724</v>
      </c>
      <c r="CR59" s="169">
        <f t="shared" si="80"/>
        <v>633</v>
      </c>
      <c r="CS59" s="169">
        <f t="shared" si="80"/>
        <v>1274</v>
      </c>
      <c r="CT59" s="178">
        <f t="shared" si="80"/>
        <v>7339</v>
      </c>
      <c r="CU59" s="169">
        <f t="shared" si="80"/>
        <v>-7767</v>
      </c>
      <c r="CV59" s="169">
        <f t="shared" si="80"/>
        <v>4084</v>
      </c>
      <c r="CW59" s="179">
        <f t="shared" si="80"/>
        <v>3038</v>
      </c>
      <c r="CX59" s="169">
        <f t="shared" si="80"/>
        <v>-7453</v>
      </c>
      <c r="CY59" s="169">
        <f t="shared" si="80"/>
        <v>4092</v>
      </c>
      <c r="CZ59" s="169">
        <f t="shared" si="80"/>
        <v>-287</v>
      </c>
      <c r="DA59" s="169">
        <f t="shared" si="80"/>
        <v>-6621</v>
      </c>
      <c r="DB59" s="178">
        <f t="shared" si="80"/>
        <v>2382</v>
      </c>
      <c r="DC59" s="169">
        <f t="shared" si="80"/>
        <v>-3687</v>
      </c>
      <c r="DD59" s="169">
        <f t="shared" si="80"/>
        <v>54922</v>
      </c>
      <c r="DE59" s="169">
        <f t="shared" si="80"/>
        <v>-3182</v>
      </c>
      <c r="DF59" s="178">
        <f>DF34+DF44+DF57</f>
        <v>-50621</v>
      </c>
      <c r="DG59" s="1051">
        <f>DG34+DG44+DG57</f>
        <v>2869</v>
      </c>
      <c r="DH59" s="1051">
        <f>DH34+DH44+DH57</f>
        <v>1442</v>
      </c>
      <c r="DI59" s="1051">
        <f>DI34+DI44+DI57</f>
        <v>3380</v>
      </c>
      <c r="DJ59" s="178">
        <f t="shared" ref="DJ59:DM59" si="81">DJ34+DJ44+DJ57</f>
        <v>-6212</v>
      </c>
      <c r="DK59" s="1051">
        <f t="shared" si="81"/>
        <v>-1378</v>
      </c>
      <c r="DL59" s="1051">
        <f t="shared" si="81"/>
        <v>867</v>
      </c>
      <c r="DM59" s="179">
        <f t="shared" si="81"/>
        <v>595</v>
      </c>
      <c r="DN59" s="1051">
        <f t="shared" ref="DN59:DO59" si="82">DN34+DN44+DN57</f>
        <v>1376</v>
      </c>
      <c r="DO59" s="1051">
        <f t="shared" si="82"/>
        <v>-2989</v>
      </c>
      <c r="DP59" s="1051">
        <f t="shared" ref="DP59:DQ59" si="83">DP34+DP44+DP57</f>
        <v>3584</v>
      </c>
      <c r="DQ59" s="179">
        <f t="shared" si="83"/>
        <v>-3561</v>
      </c>
      <c r="DR59" s="1051">
        <f t="shared" ref="DR59:DS59" si="84">DR34+DR44+DR57</f>
        <v>1427</v>
      </c>
      <c r="DS59" s="1051">
        <f t="shared" si="84"/>
        <v>276</v>
      </c>
      <c r="DT59" s="1051">
        <f t="shared" ref="DT59:DU59" si="85">DT34+DT44+DT57</f>
        <v>-96</v>
      </c>
      <c r="DU59" s="179">
        <f t="shared" si="85"/>
        <v>-2408</v>
      </c>
      <c r="DV59" s="178">
        <f t="shared" ref="DV59" si="86">DV34+DV44+DV57</f>
        <v>856</v>
      </c>
      <c r="DW59" s="1051">
        <f t="shared" ref="DW59:DY59" ca="1" si="87">DW34+DW44+DW57</f>
        <v>3314.6115056278445</v>
      </c>
      <c r="DX59" s="1051">
        <f t="shared" ca="1" si="87"/>
        <v>3189.6770520109967</v>
      </c>
      <c r="DY59" s="179">
        <f t="shared" ca="1" si="87"/>
        <v>4810.1267464677303</v>
      </c>
      <c r="DZ59" s="109"/>
    </row>
    <row r="60" spans="1:136">
      <c r="A60" s="169" t="s">
        <v>1396</v>
      </c>
      <c r="B60" s="169"/>
      <c r="C60" s="169"/>
      <c r="D60" s="169"/>
      <c r="E60" s="169"/>
      <c r="F60" s="169"/>
      <c r="G60" s="169"/>
      <c r="H60" s="169"/>
      <c r="I60" s="169">
        <v>710</v>
      </c>
      <c r="J60" s="365">
        <v>979</v>
      </c>
      <c r="K60" s="169">
        <v>1422</v>
      </c>
      <c r="L60" s="169">
        <v>669</v>
      </c>
      <c r="M60" s="169">
        <v>2290</v>
      </c>
      <c r="N60" s="169">
        <f>BS!M13</f>
        <v>776</v>
      </c>
      <c r="O60" s="169">
        <f>BS!N13</f>
        <v>3219</v>
      </c>
      <c r="P60" s="169">
        <f>BS!O13</f>
        <v>1153</v>
      </c>
      <c r="Q60" s="169">
        <f>BS!P13</f>
        <v>9782</v>
      </c>
      <c r="R60" s="169">
        <f>BS!Q13</f>
        <v>2009</v>
      </c>
      <c r="S60" s="169">
        <f>BS!R13</f>
        <v>6668</v>
      </c>
      <c r="T60" s="169">
        <f>BS!S13</f>
        <v>13362</v>
      </c>
      <c r="U60" s="1051">
        <f>BS!T13</f>
        <v>3093</v>
      </c>
      <c r="V60" s="169">
        <f>BS!U13</f>
        <v>53528</v>
      </c>
      <c r="W60" s="169">
        <f>BS!V13</f>
        <v>10598</v>
      </c>
      <c r="X60" s="169">
        <f>BS!W13</f>
        <v>4470</v>
      </c>
      <c r="Y60" s="169">
        <f>BS!X13</f>
        <v>2880</v>
      </c>
      <c r="Z60" s="169">
        <f>BS!Y13</f>
        <v>2079</v>
      </c>
      <c r="AA60" s="169">
        <f ca="1">BS!Z13</f>
        <v>14249.415304106573</v>
      </c>
      <c r="AB60" s="169">
        <f ca="1">BS!AA13</f>
        <v>24324.818082855385</v>
      </c>
      <c r="AC60" s="169">
        <f ca="1">BS!AB13</f>
        <v>34824.959451097347</v>
      </c>
      <c r="AD60" s="169">
        <f ca="1">BS!AC13</f>
        <v>47188.348189268145</v>
      </c>
      <c r="AE60" s="169">
        <f ca="1">BS!AD13</f>
        <v>59915.402269472463</v>
      </c>
      <c r="AF60" s="169">
        <f ca="1">BS!AE13</f>
        <v>73058.653173041515</v>
      </c>
      <c r="AG60" s="169">
        <f ca="1">BS!AF13</f>
        <v>86672.80157704356</v>
      </c>
      <c r="AH60" s="532"/>
      <c r="AI60" s="169"/>
      <c r="AJ60" s="169"/>
      <c r="AK60" s="169"/>
      <c r="AL60" s="169"/>
      <c r="AM60" s="169"/>
      <c r="AN60" s="169"/>
      <c r="AO60" s="169"/>
      <c r="AP60" s="169"/>
      <c r="AQ60" s="169"/>
      <c r="AR60" s="169"/>
      <c r="AS60" s="169"/>
      <c r="AT60" s="169"/>
      <c r="AU60" s="169"/>
      <c r="AV60" s="169"/>
      <c r="AW60" s="169"/>
      <c r="AX60" s="169"/>
      <c r="AY60" s="169"/>
      <c r="AZ60" s="169"/>
      <c r="BA60" s="169"/>
      <c r="BB60" s="169"/>
      <c r="BC60" s="169"/>
      <c r="BD60" s="169"/>
      <c r="BE60" s="169"/>
      <c r="BF60" s="169">
        <v>757</v>
      </c>
      <c r="BG60" s="169">
        <v>689</v>
      </c>
      <c r="BH60" s="169">
        <v>2616</v>
      </c>
      <c r="BI60" s="169">
        <v>1365</v>
      </c>
      <c r="BJ60" s="365">
        <v>979</v>
      </c>
      <c r="BK60" s="169">
        <v>1053</v>
      </c>
      <c r="BL60" s="169">
        <v>2988</v>
      </c>
      <c r="BM60" s="169">
        <v>5690</v>
      </c>
      <c r="BN60" s="366">
        <v>1397</v>
      </c>
      <c r="BO60" s="169">
        <v>4099</v>
      </c>
      <c r="BP60" s="169">
        <v>779</v>
      </c>
      <c r="BQ60" s="169">
        <v>704</v>
      </c>
      <c r="BR60" s="178">
        <v>669</v>
      </c>
      <c r="BS60" s="169">
        <v>575</v>
      </c>
      <c r="BT60" s="169">
        <v>583</v>
      </c>
      <c r="BU60" s="169">
        <v>616</v>
      </c>
      <c r="BV60" s="178">
        <v>2290</v>
      </c>
      <c r="BW60" s="169">
        <v>692</v>
      </c>
      <c r="BX60" s="169">
        <v>1405</v>
      </c>
      <c r="BY60" s="169">
        <v>616</v>
      </c>
      <c r="BZ60" s="178">
        <f>NormInputs!BP406</f>
        <v>776</v>
      </c>
      <c r="CA60" s="169">
        <f>NormInputs!BQ406</f>
        <v>1249</v>
      </c>
      <c r="CB60" s="169">
        <f>NormInputs!BR406</f>
        <v>1186</v>
      </c>
      <c r="CC60" s="169">
        <f>NormInputs!BS406</f>
        <v>1846</v>
      </c>
      <c r="CD60" s="178">
        <f>NormInputs!BT406</f>
        <v>3219</v>
      </c>
      <c r="CE60" s="169">
        <f>NormInputs!BU406</f>
        <v>1301</v>
      </c>
      <c r="CF60" s="169">
        <f>NormInputs!BV406</f>
        <v>656</v>
      </c>
      <c r="CG60" s="169">
        <f>NormInputs!BW406</f>
        <v>715</v>
      </c>
      <c r="CH60" s="178">
        <f>NormInputs!BX406</f>
        <v>1153</v>
      </c>
      <c r="CI60" s="169">
        <f>NormInputs!BY406</f>
        <v>5485</v>
      </c>
      <c r="CJ60" s="169">
        <f>NormInputs!BZ406</f>
        <v>582</v>
      </c>
      <c r="CK60" s="169">
        <f>NormInputs!CA406</f>
        <v>696</v>
      </c>
      <c r="CL60" s="178">
        <f>NormInputs!CB406</f>
        <v>9782</v>
      </c>
      <c r="CM60" s="169">
        <f t="shared" ref="CM60:DV60" si="88">+CL61</f>
        <v>3979</v>
      </c>
      <c r="CN60" s="169">
        <f t="shared" si="88"/>
        <v>820</v>
      </c>
      <c r="CO60" s="169">
        <f t="shared" si="88"/>
        <v>1216</v>
      </c>
      <c r="CP60" s="178">
        <f t="shared" si="88"/>
        <v>2009</v>
      </c>
      <c r="CQ60" s="169">
        <f t="shared" si="88"/>
        <v>3037</v>
      </c>
      <c r="CR60" s="169">
        <f t="shared" si="88"/>
        <v>4761</v>
      </c>
      <c r="CS60" s="169">
        <f t="shared" si="88"/>
        <v>5394</v>
      </c>
      <c r="CT60" s="178">
        <f t="shared" si="88"/>
        <v>6668</v>
      </c>
      <c r="CU60" s="169">
        <f t="shared" si="88"/>
        <v>14007</v>
      </c>
      <c r="CV60" s="169">
        <f t="shared" si="88"/>
        <v>6240</v>
      </c>
      <c r="CW60" s="179">
        <f t="shared" si="88"/>
        <v>10324</v>
      </c>
      <c r="CX60" s="169">
        <f t="shared" si="88"/>
        <v>13362</v>
      </c>
      <c r="CY60" s="169">
        <f t="shared" si="88"/>
        <v>5909</v>
      </c>
      <c r="CZ60" s="169">
        <f t="shared" si="88"/>
        <v>10001</v>
      </c>
      <c r="DA60" s="169">
        <f t="shared" si="88"/>
        <v>9714</v>
      </c>
      <c r="DB60" s="178">
        <f t="shared" si="88"/>
        <v>3093</v>
      </c>
      <c r="DC60" s="169">
        <f t="shared" si="88"/>
        <v>5475</v>
      </c>
      <c r="DD60" s="169">
        <f t="shared" si="88"/>
        <v>1788</v>
      </c>
      <c r="DE60" s="169">
        <f t="shared" si="88"/>
        <v>56710</v>
      </c>
      <c r="DF60" s="178">
        <f t="shared" si="88"/>
        <v>53528</v>
      </c>
      <c r="DG60" s="1051">
        <f t="shared" si="88"/>
        <v>2907</v>
      </c>
      <c r="DH60" s="1051">
        <f t="shared" si="88"/>
        <v>5776</v>
      </c>
      <c r="DI60" s="1051">
        <f t="shared" si="88"/>
        <v>7218</v>
      </c>
      <c r="DJ60" s="178">
        <f t="shared" si="88"/>
        <v>10598</v>
      </c>
      <c r="DK60" s="1051">
        <f t="shared" si="88"/>
        <v>4386</v>
      </c>
      <c r="DL60" s="1051">
        <f t="shared" si="88"/>
        <v>3008</v>
      </c>
      <c r="DM60" s="179">
        <f t="shared" si="88"/>
        <v>3875</v>
      </c>
      <c r="DN60" s="1051">
        <f t="shared" si="88"/>
        <v>4470</v>
      </c>
      <c r="DO60" s="1051">
        <f t="shared" si="88"/>
        <v>5846</v>
      </c>
      <c r="DP60" s="1051">
        <f t="shared" si="88"/>
        <v>2857</v>
      </c>
      <c r="DQ60" s="179">
        <f t="shared" si="88"/>
        <v>6441</v>
      </c>
      <c r="DR60" s="1051">
        <f t="shared" si="88"/>
        <v>2880</v>
      </c>
      <c r="DS60" s="1051">
        <f t="shared" si="88"/>
        <v>4307</v>
      </c>
      <c r="DT60" s="1051">
        <f t="shared" si="88"/>
        <v>4583</v>
      </c>
      <c r="DU60" s="179">
        <f t="shared" si="88"/>
        <v>4487</v>
      </c>
      <c r="DV60" s="178">
        <f t="shared" si="88"/>
        <v>2079</v>
      </c>
      <c r="DW60" s="1051">
        <f t="shared" ref="DW60" si="89">DV61</f>
        <v>2935</v>
      </c>
      <c r="DX60" s="1051">
        <f t="shared" ref="DX60" ca="1" si="90">DW61</f>
        <v>6249.611505627845</v>
      </c>
      <c r="DY60" s="179">
        <f t="shared" ref="DY60" ca="1" si="91">DX61</f>
        <v>9439.2885576388417</v>
      </c>
      <c r="DZ60" s="169"/>
    </row>
    <row r="61" spans="1:136">
      <c r="A61" s="169" t="s">
        <v>1397</v>
      </c>
      <c r="B61" s="169"/>
      <c r="C61" s="169"/>
      <c r="D61" s="169"/>
      <c r="E61" s="169"/>
      <c r="F61" s="169"/>
      <c r="G61" s="169"/>
      <c r="H61" s="169"/>
      <c r="I61" s="365">
        <v>979</v>
      </c>
      <c r="J61" s="169">
        <v>1422</v>
      </c>
      <c r="K61" s="169">
        <v>669</v>
      </c>
      <c r="L61" s="169">
        <v>2290</v>
      </c>
      <c r="M61" s="169">
        <v>776</v>
      </c>
      <c r="N61" s="169">
        <f t="shared" ref="N61:V61" si="92">N59+N60</f>
        <v>3219</v>
      </c>
      <c r="O61" s="169">
        <f t="shared" si="92"/>
        <v>1153</v>
      </c>
      <c r="P61" s="169">
        <f t="shared" si="92"/>
        <v>9782</v>
      </c>
      <c r="Q61" s="169">
        <f t="shared" si="92"/>
        <v>2009</v>
      </c>
      <c r="R61" s="169">
        <f t="shared" si="92"/>
        <v>6668</v>
      </c>
      <c r="S61" s="169">
        <f t="shared" si="92"/>
        <v>13362</v>
      </c>
      <c r="T61" s="169">
        <f t="shared" si="92"/>
        <v>3093</v>
      </c>
      <c r="U61" s="1051">
        <f t="shared" si="92"/>
        <v>53528</v>
      </c>
      <c r="V61" s="169">
        <f t="shared" si="92"/>
        <v>10598</v>
      </c>
      <c r="W61" s="169">
        <f t="shared" ref="W61:AB61" si="93">W59+W60</f>
        <v>4470</v>
      </c>
      <c r="X61" s="169">
        <f t="shared" si="93"/>
        <v>-2106</v>
      </c>
      <c r="Y61" s="169">
        <f t="shared" si="93"/>
        <v>2079</v>
      </c>
      <c r="Z61" s="169">
        <f t="shared" ca="1" si="93"/>
        <v>14249.415304106566</v>
      </c>
      <c r="AA61" s="169">
        <f t="shared" ca="1" si="93"/>
        <v>24324.818082855385</v>
      </c>
      <c r="AB61" s="169">
        <f t="shared" ca="1" si="93"/>
        <v>34824.959451097347</v>
      </c>
      <c r="AC61" s="169">
        <f t="shared" ref="AC61:AG61" ca="1" si="94">AC59+AC60</f>
        <v>47188.348189268145</v>
      </c>
      <c r="AD61" s="169">
        <f t="shared" ca="1" si="94"/>
        <v>59915.402269472463</v>
      </c>
      <c r="AE61" s="169">
        <f t="shared" ca="1" si="94"/>
        <v>73058.653173041515</v>
      </c>
      <c r="AF61" s="169">
        <f t="shared" ca="1" si="94"/>
        <v>86672.80157704356</v>
      </c>
      <c r="AG61" s="169">
        <f t="shared" ca="1" si="94"/>
        <v>99525.93512002952</v>
      </c>
      <c r="AH61" s="532"/>
      <c r="AI61" s="169"/>
      <c r="AJ61" s="169"/>
      <c r="AK61" s="169"/>
      <c r="AL61" s="169"/>
      <c r="AM61" s="169"/>
      <c r="AN61" s="169"/>
      <c r="AO61" s="169"/>
      <c r="AP61" s="169"/>
      <c r="AQ61" s="169"/>
      <c r="AR61" s="169"/>
      <c r="AS61" s="169"/>
      <c r="AT61" s="169"/>
      <c r="AU61" s="169"/>
      <c r="AV61" s="169"/>
      <c r="AW61" s="169"/>
      <c r="AX61" s="169"/>
      <c r="AY61" s="169"/>
      <c r="AZ61" s="169"/>
      <c r="BA61" s="169"/>
      <c r="BB61" s="169"/>
      <c r="BC61" s="169"/>
      <c r="BD61" s="169"/>
      <c r="BE61" s="169"/>
      <c r="BF61" s="169">
        <v>689</v>
      </c>
      <c r="BG61" s="169">
        <v>2616</v>
      </c>
      <c r="BH61" s="169">
        <v>1365</v>
      </c>
      <c r="BI61" s="169">
        <v>979</v>
      </c>
      <c r="BJ61" s="169">
        <v>1053</v>
      </c>
      <c r="BK61" s="169">
        <v>2988</v>
      </c>
      <c r="BL61" s="169">
        <v>5690</v>
      </c>
      <c r="BM61" s="169">
        <v>1422</v>
      </c>
      <c r="BN61" s="178">
        <v>4099</v>
      </c>
      <c r="BO61" s="169">
        <v>779</v>
      </c>
      <c r="BP61" s="169">
        <v>704</v>
      </c>
      <c r="BQ61" s="169">
        <v>669</v>
      </c>
      <c r="BR61" s="178">
        <v>575</v>
      </c>
      <c r="BS61" s="169">
        <v>583</v>
      </c>
      <c r="BT61" s="169">
        <v>616</v>
      </c>
      <c r="BU61" s="169">
        <v>2290</v>
      </c>
      <c r="BV61" s="178">
        <v>692</v>
      </c>
      <c r="BW61" s="169">
        <v>1405</v>
      </c>
      <c r="BX61" s="169">
        <v>616</v>
      </c>
      <c r="BY61" s="169">
        <v>776</v>
      </c>
      <c r="BZ61" s="178">
        <f t="shared" ref="BZ61:DF61" si="95">BZ59+BZ60</f>
        <v>1249</v>
      </c>
      <c r="CA61" s="169">
        <f t="shared" si="95"/>
        <v>1186</v>
      </c>
      <c r="CB61" s="169">
        <f t="shared" si="95"/>
        <v>1846</v>
      </c>
      <c r="CC61" s="169">
        <f t="shared" si="95"/>
        <v>3219</v>
      </c>
      <c r="CD61" s="178">
        <f t="shared" si="95"/>
        <v>1301</v>
      </c>
      <c r="CE61" s="169">
        <f t="shared" si="95"/>
        <v>656</v>
      </c>
      <c r="CF61" s="169">
        <f t="shared" si="95"/>
        <v>715</v>
      </c>
      <c r="CG61" s="169">
        <f t="shared" si="95"/>
        <v>1153</v>
      </c>
      <c r="CH61" s="178">
        <f t="shared" si="95"/>
        <v>5485</v>
      </c>
      <c r="CI61" s="169">
        <f t="shared" si="95"/>
        <v>582</v>
      </c>
      <c r="CJ61" s="169">
        <f t="shared" si="95"/>
        <v>696</v>
      </c>
      <c r="CK61" s="169">
        <f t="shared" si="95"/>
        <v>9782</v>
      </c>
      <c r="CL61" s="178">
        <f t="shared" si="95"/>
        <v>3979</v>
      </c>
      <c r="CM61" s="169">
        <f t="shared" si="95"/>
        <v>820</v>
      </c>
      <c r="CN61" s="169">
        <f t="shared" si="95"/>
        <v>1216</v>
      </c>
      <c r="CO61" s="169">
        <f t="shared" si="95"/>
        <v>2009</v>
      </c>
      <c r="CP61" s="178">
        <f t="shared" si="95"/>
        <v>3037</v>
      </c>
      <c r="CQ61" s="169">
        <f t="shared" si="95"/>
        <v>4761</v>
      </c>
      <c r="CR61" s="169">
        <f t="shared" si="95"/>
        <v>5394</v>
      </c>
      <c r="CS61" s="169">
        <f t="shared" si="95"/>
        <v>6668</v>
      </c>
      <c r="CT61" s="178">
        <f t="shared" si="95"/>
        <v>14007</v>
      </c>
      <c r="CU61" s="169">
        <f t="shared" si="95"/>
        <v>6240</v>
      </c>
      <c r="CV61" s="169">
        <f t="shared" si="95"/>
        <v>10324</v>
      </c>
      <c r="CW61" s="179">
        <f t="shared" si="95"/>
        <v>13362</v>
      </c>
      <c r="CX61" s="169">
        <f t="shared" si="95"/>
        <v>5909</v>
      </c>
      <c r="CY61" s="169">
        <f t="shared" si="95"/>
        <v>10001</v>
      </c>
      <c r="CZ61" s="169">
        <f t="shared" si="95"/>
        <v>9714</v>
      </c>
      <c r="DA61" s="169">
        <f t="shared" si="95"/>
        <v>3093</v>
      </c>
      <c r="DB61" s="178">
        <f t="shared" si="95"/>
        <v>5475</v>
      </c>
      <c r="DC61" s="169">
        <f t="shared" si="95"/>
        <v>1788</v>
      </c>
      <c r="DD61" s="169">
        <f t="shared" si="95"/>
        <v>56710</v>
      </c>
      <c r="DE61" s="169">
        <f t="shared" si="95"/>
        <v>53528</v>
      </c>
      <c r="DF61" s="178">
        <f t="shared" si="95"/>
        <v>2907</v>
      </c>
      <c r="DG61" s="1051">
        <f>DG59+DG60</f>
        <v>5776</v>
      </c>
      <c r="DH61" s="1051">
        <f>DH59+DH60</f>
        <v>7218</v>
      </c>
      <c r="DI61" s="1051">
        <f>DI59+DI60</f>
        <v>10598</v>
      </c>
      <c r="DJ61" s="178">
        <f t="shared" ref="DJ61:DM61" si="96">DJ59+DJ60</f>
        <v>4386</v>
      </c>
      <c r="DK61" s="1051">
        <f t="shared" si="96"/>
        <v>3008</v>
      </c>
      <c r="DL61" s="1051">
        <f t="shared" si="96"/>
        <v>3875</v>
      </c>
      <c r="DM61" s="179">
        <f t="shared" si="96"/>
        <v>4470</v>
      </c>
      <c r="DN61" s="1051">
        <f t="shared" ref="DN61:DO61" si="97">DN59+DN60</f>
        <v>5846</v>
      </c>
      <c r="DO61" s="1051">
        <f t="shared" si="97"/>
        <v>2857</v>
      </c>
      <c r="DP61" s="1051">
        <f t="shared" ref="DP61:DQ61" si="98">DP59+DP60</f>
        <v>6441</v>
      </c>
      <c r="DQ61" s="179">
        <f t="shared" si="98"/>
        <v>2880</v>
      </c>
      <c r="DR61" s="1051">
        <f t="shared" ref="DR61:DS61" si="99">DR59+DR60</f>
        <v>4307</v>
      </c>
      <c r="DS61" s="1051">
        <f t="shared" si="99"/>
        <v>4583</v>
      </c>
      <c r="DT61" s="1051">
        <f t="shared" ref="DT61:DU61" si="100">DT59+DT60</f>
        <v>4487</v>
      </c>
      <c r="DU61" s="179">
        <f t="shared" si="100"/>
        <v>2079</v>
      </c>
      <c r="DV61" s="178">
        <f t="shared" ref="DV61" si="101">DV59+DV60</f>
        <v>2935</v>
      </c>
      <c r="DW61" s="1051">
        <f t="shared" ref="DW61:DY61" ca="1" si="102">DW59+DW60</f>
        <v>6249.611505627845</v>
      </c>
      <c r="DX61" s="1051">
        <f t="shared" ca="1" si="102"/>
        <v>9439.2885576388417</v>
      </c>
      <c r="DY61" s="179">
        <f t="shared" ca="1" si="102"/>
        <v>14249.415304106573</v>
      </c>
      <c r="DZ61" s="169"/>
    </row>
    <row r="62" spans="1:136" hidden="1" outlineLevel="1">
      <c r="A62" s="109" t="s">
        <v>1398</v>
      </c>
      <c r="B62" s="109"/>
      <c r="C62" s="109"/>
      <c r="D62" s="109"/>
      <c r="E62" s="109"/>
      <c r="F62" s="109"/>
      <c r="G62" s="109"/>
      <c r="H62" s="109"/>
      <c r="I62" s="109">
        <v>979</v>
      </c>
      <c r="J62" s="109">
        <v>1422</v>
      </c>
      <c r="K62" s="109">
        <v>669</v>
      </c>
      <c r="L62" s="109">
        <v>2290</v>
      </c>
      <c r="M62" s="109">
        <v>776</v>
      </c>
      <c r="N62" s="109">
        <f>BS!N13</f>
        <v>3219</v>
      </c>
      <c r="O62" s="109">
        <f>BS!O13</f>
        <v>1153</v>
      </c>
      <c r="P62" s="109">
        <f>BS!P13</f>
        <v>9782</v>
      </c>
      <c r="Q62" s="109">
        <f>BS!Q13</f>
        <v>2009</v>
      </c>
      <c r="R62" s="109">
        <f>BS!R13</f>
        <v>6668</v>
      </c>
      <c r="S62" s="109">
        <f>BS!S13</f>
        <v>13362</v>
      </c>
      <c r="T62" s="109">
        <f>BS!T13</f>
        <v>3093</v>
      </c>
      <c r="U62" s="1044">
        <f>BS!U13</f>
        <v>53528</v>
      </c>
      <c r="V62" s="109">
        <f>BS!V13</f>
        <v>10598</v>
      </c>
      <c r="W62" s="109">
        <f>BS!W13</f>
        <v>4470</v>
      </c>
      <c r="X62" s="109">
        <f>BS!X13</f>
        <v>2880</v>
      </c>
      <c r="Y62" s="109">
        <f>BS!Y13</f>
        <v>2079</v>
      </c>
      <c r="Z62" s="109">
        <f ca="1">BS!Z13</f>
        <v>14249.415304106573</v>
      </c>
      <c r="AA62" s="109">
        <f ca="1">BS!AA13</f>
        <v>24324.818082855385</v>
      </c>
      <c r="AB62" s="109">
        <f ca="1">BS!AB13</f>
        <v>34824.959451097347</v>
      </c>
      <c r="AC62" s="109">
        <f ca="1">BS!AC13</f>
        <v>47188.348189268145</v>
      </c>
      <c r="AD62" s="109">
        <f ca="1">BS!AD13</f>
        <v>59915.402269472463</v>
      </c>
      <c r="AE62" s="109">
        <f ca="1">BS!AE13</f>
        <v>73058.653173041515</v>
      </c>
      <c r="AF62" s="109">
        <f ca="1">BS!AF13</f>
        <v>86672.80157704356</v>
      </c>
      <c r="AG62" s="109">
        <f ca="1">BS!AG13</f>
        <v>99525.935120029535</v>
      </c>
      <c r="AH62" s="536"/>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c r="BE62" s="109"/>
      <c r="BF62" s="109">
        <v>689</v>
      </c>
      <c r="BG62" s="109">
        <v>2616</v>
      </c>
      <c r="BH62" s="109">
        <v>1365</v>
      </c>
      <c r="BI62" s="109">
        <v>979</v>
      </c>
      <c r="BJ62" s="109">
        <v>1006</v>
      </c>
      <c r="BK62" s="109">
        <v>2941</v>
      </c>
      <c r="BL62" s="109">
        <v>5643</v>
      </c>
      <c r="BM62" s="109">
        <v>1422</v>
      </c>
      <c r="BN62" s="171">
        <v>4099</v>
      </c>
      <c r="BO62" s="109">
        <v>779</v>
      </c>
      <c r="BP62" s="109">
        <v>704</v>
      </c>
      <c r="BQ62" s="109">
        <v>669</v>
      </c>
      <c r="BR62" s="171">
        <v>575</v>
      </c>
      <c r="BS62" s="109">
        <v>583</v>
      </c>
      <c r="BT62" s="109">
        <v>616</v>
      </c>
      <c r="BU62" s="109">
        <v>2290</v>
      </c>
      <c r="BV62" s="171">
        <v>692</v>
      </c>
      <c r="BW62" s="109">
        <v>1405</v>
      </c>
      <c r="BX62" s="109">
        <v>616</v>
      </c>
      <c r="BY62" s="109">
        <v>776</v>
      </c>
      <c r="BZ62" s="171">
        <f>BS!BZ13</f>
        <v>1249</v>
      </c>
      <c r="CA62" s="109">
        <f>BS!CA13</f>
        <v>1186</v>
      </c>
      <c r="CB62" s="109">
        <f>BS!CB13</f>
        <v>1846</v>
      </c>
      <c r="CC62" s="109">
        <f>BS!CC13</f>
        <v>3219</v>
      </c>
      <c r="CD62" s="171">
        <f>BS!CD13</f>
        <v>1301</v>
      </c>
      <c r="CE62" s="109">
        <f>BS!CE13</f>
        <v>656</v>
      </c>
      <c r="CF62" s="109">
        <f>BS!CF13</f>
        <v>715</v>
      </c>
      <c r="CG62" s="109">
        <f>BS!CG13</f>
        <v>1153</v>
      </c>
      <c r="CH62" s="171">
        <f>BS!CH13</f>
        <v>5485</v>
      </c>
      <c r="CI62" s="109">
        <f>BS!CI13</f>
        <v>582</v>
      </c>
      <c r="CJ62" s="109">
        <f>BS!CJ13</f>
        <v>696</v>
      </c>
      <c r="CK62" s="109">
        <f>BS!CK13</f>
        <v>9782</v>
      </c>
      <c r="CL62" s="171">
        <f>BS!CL13</f>
        <v>3979</v>
      </c>
      <c r="CM62" s="109">
        <f>BS!CM13</f>
        <v>820</v>
      </c>
      <c r="CN62" s="109">
        <f>BS!CN13</f>
        <v>1216</v>
      </c>
      <c r="CO62" s="109">
        <f>BS!CO13</f>
        <v>2009</v>
      </c>
      <c r="CP62" s="171">
        <f>BS!CP13</f>
        <v>3037</v>
      </c>
      <c r="CQ62" s="109">
        <f>BS!CQ13</f>
        <v>4761</v>
      </c>
      <c r="CR62" s="109">
        <f>BS!CR13</f>
        <v>5394</v>
      </c>
      <c r="CS62" s="109">
        <f>BS!CS13</f>
        <v>6668</v>
      </c>
      <c r="CT62" s="171">
        <f>BS!CT13</f>
        <v>14007</v>
      </c>
      <c r="CU62" s="109">
        <f>BS!CU13</f>
        <v>6240</v>
      </c>
      <c r="CV62" s="109">
        <f>BS!CV13</f>
        <v>10324</v>
      </c>
      <c r="CW62" s="172">
        <f>BS!CW13</f>
        <v>13362</v>
      </c>
      <c r="CX62" s="109">
        <f>BS!CX13</f>
        <v>5909</v>
      </c>
      <c r="CY62" s="109">
        <f>BS!CY13</f>
        <v>10001</v>
      </c>
      <c r="CZ62" s="109">
        <f>BS!CZ13</f>
        <v>9714</v>
      </c>
      <c r="DA62" s="109">
        <f>BS!DA13</f>
        <v>3093</v>
      </c>
      <c r="DB62" s="171">
        <f>BS!DB13</f>
        <v>5475</v>
      </c>
      <c r="DC62" s="109">
        <f>BS!DC13</f>
        <v>1788</v>
      </c>
      <c r="DD62" s="109">
        <f>BS!DD13</f>
        <v>56710</v>
      </c>
      <c r="DE62" s="109">
        <f>BS!DE13</f>
        <v>53528</v>
      </c>
      <c r="DF62" s="171">
        <f>BS!DF13</f>
        <v>2907</v>
      </c>
      <c r="DG62" s="1044">
        <f>BS!DG13</f>
        <v>5776</v>
      </c>
      <c r="DH62" s="1044">
        <f>BS!DH13</f>
        <v>7218</v>
      </c>
      <c r="DI62" s="1044">
        <f>BS!DI13</f>
        <v>10598</v>
      </c>
      <c r="DJ62" s="171">
        <f>BS!DJ13</f>
        <v>4386</v>
      </c>
      <c r="DK62" s="1044">
        <f>BS!DK13</f>
        <v>3008</v>
      </c>
      <c r="DL62" s="2151">
        <f>BS!DL13</f>
        <v>3875</v>
      </c>
      <c r="DM62" s="2473">
        <f>BS!DM13</f>
        <v>4470</v>
      </c>
      <c r="DN62" s="2151">
        <f>BS!DN13</f>
        <v>5846</v>
      </c>
      <c r="DO62" s="2151">
        <f>BS!DO13</f>
        <v>2857</v>
      </c>
      <c r="DP62" s="2151">
        <f>BS!DP13</f>
        <v>6441</v>
      </c>
      <c r="DQ62" s="2473">
        <f>BS!DQ13</f>
        <v>2880</v>
      </c>
      <c r="DR62" s="2151">
        <f>BS!DR13</f>
        <v>4307</v>
      </c>
      <c r="DS62" s="2151">
        <f>BS!DS13</f>
        <v>4583</v>
      </c>
      <c r="DT62" s="2151">
        <f>BS!DT13</f>
        <v>4487</v>
      </c>
      <c r="DU62" s="2473">
        <f>BS!DU13</f>
        <v>2079</v>
      </c>
      <c r="DV62" s="2490">
        <f>BS!DV13</f>
        <v>1923</v>
      </c>
      <c r="DW62" s="1044">
        <f ca="1">BS!DW13</f>
        <v>6249.611505627845</v>
      </c>
      <c r="DX62" s="1044">
        <f ca="1">BS!DX13</f>
        <v>9439.2885576388417</v>
      </c>
      <c r="DY62" s="172">
        <f ca="1">BS!DY13</f>
        <v>14249.415304106573</v>
      </c>
      <c r="DZ62" s="109"/>
    </row>
    <row r="63" spans="1:136" hidden="1" outlineLevel="1">
      <c r="A63" s="143" t="s">
        <v>1399</v>
      </c>
      <c r="B63" s="143"/>
      <c r="C63" s="143"/>
      <c r="D63" s="143"/>
      <c r="E63" s="143"/>
      <c r="F63" s="143"/>
      <c r="G63" s="143"/>
      <c r="H63" s="143"/>
      <c r="I63" s="143">
        <v>0</v>
      </c>
      <c r="J63" s="143">
        <v>0</v>
      </c>
      <c r="K63" s="143">
        <v>0</v>
      </c>
      <c r="L63" s="143">
        <v>0</v>
      </c>
      <c r="M63" s="143">
        <v>0</v>
      </c>
      <c r="N63" s="143">
        <f t="shared" ref="N63:V63" si="103">N61-N62</f>
        <v>0</v>
      </c>
      <c r="O63" s="143">
        <f t="shared" si="103"/>
        <v>0</v>
      </c>
      <c r="P63" s="143">
        <f t="shared" si="103"/>
        <v>0</v>
      </c>
      <c r="Q63" s="143">
        <f t="shared" si="103"/>
        <v>0</v>
      </c>
      <c r="R63" s="143">
        <f t="shared" si="103"/>
        <v>0</v>
      </c>
      <c r="S63" s="143">
        <f t="shared" si="103"/>
        <v>0</v>
      </c>
      <c r="T63" s="143">
        <f t="shared" si="103"/>
        <v>0</v>
      </c>
      <c r="U63" s="1047">
        <f t="shared" si="103"/>
        <v>0</v>
      </c>
      <c r="V63" s="143">
        <f t="shared" si="103"/>
        <v>0</v>
      </c>
      <c r="W63" s="143">
        <f t="shared" ref="W63:AB63" si="104">W61-W62</f>
        <v>0</v>
      </c>
      <c r="X63" s="143">
        <f t="shared" si="104"/>
        <v>-4986</v>
      </c>
      <c r="Y63" s="143">
        <f t="shared" si="104"/>
        <v>0</v>
      </c>
      <c r="Z63" s="143">
        <f t="shared" ca="1" si="104"/>
        <v>0</v>
      </c>
      <c r="AA63" s="143">
        <f t="shared" ca="1" si="104"/>
        <v>0</v>
      </c>
      <c r="AB63" s="143">
        <f t="shared" ca="1" si="104"/>
        <v>0</v>
      </c>
      <c r="AC63" s="143">
        <f t="shared" ref="AC63:AG63" ca="1" si="105">AC61-AC62</f>
        <v>0</v>
      </c>
      <c r="AD63" s="143">
        <f t="shared" ca="1" si="105"/>
        <v>0</v>
      </c>
      <c r="AE63" s="143">
        <f t="shared" ca="1" si="105"/>
        <v>0</v>
      </c>
      <c r="AF63" s="143">
        <f t="shared" ca="1" si="105"/>
        <v>0</v>
      </c>
      <c r="AG63" s="143">
        <f t="shared" ca="1" si="105"/>
        <v>0</v>
      </c>
      <c r="AH63" s="1237"/>
      <c r="AI63" s="143"/>
      <c r="AJ63" s="143"/>
      <c r="AK63" s="143"/>
      <c r="AL63" s="143"/>
      <c r="AM63" s="143"/>
      <c r="AN63" s="143"/>
      <c r="AO63" s="143"/>
      <c r="AP63" s="143"/>
      <c r="AQ63" s="143"/>
      <c r="AR63" s="143"/>
      <c r="AS63" s="143"/>
      <c r="AT63" s="143"/>
      <c r="AU63" s="143"/>
      <c r="AV63" s="143"/>
      <c r="AW63" s="143"/>
      <c r="AX63" s="143"/>
      <c r="AY63" s="143"/>
      <c r="AZ63" s="143"/>
      <c r="BA63" s="143"/>
      <c r="BB63" s="143"/>
      <c r="BC63" s="143"/>
      <c r="BD63" s="143"/>
      <c r="BE63" s="143"/>
      <c r="BF63" s="143">
        <v>0</v>
      </c>
      <c r="BG63" s="143">
        <v>0</v>
      </c>
      <c r="BH63" s="143">
        <v>0</v>
      </c>
      <c r="BI63" s="143">
        <v>0</v>
      </c>
      <c r="BJ63" s="143">
        <v>47</v>
      </c>
      <c r="BK63" s="143">
        <v>47</v>
      </c>
      <c r="BL63" s="143">
        <v>47</v>
      </c>
      <c r="BM63" s="143">
        <v>0</v>
      </c>
      <c r="BN63" s="159">
        <v>0</v>
      </c>
      <c r="BO63" s="143">
        <v>0</v>
      </c>
      <c r="BP63" s="143">
        <v>0</v>
      </c>
      <c r="BQ63" s="143">
        <v>0</v>
      </c>
      <c r="BR63" s="159">
        <v>0</v>
      </c>
      <c r="BS63" s="143">
        <v>0</v>
      </c>
      <c r="BT63" s="143">
        <v>0</v>
      </c>
      <c r="BU63" s="143">
        <v>0</v>
      </c>
      <c r="BV63" s="159">
        <v>0</v>
      </c>
      <c r="BW63" s="143">
        <v>0</v>
      </c>
      <c r="BX63" s="143">
        <v>0</v>
      </c>
      <c r="BY63" s="143">
        <v>0</v>
      </c>
      <c r="BZ63" s="159">
        <f t="shared" ref="BZ63:DF63" si="106">BZ61-BZ62</f>
        <v>0</v>
      </c>
      <c r="CA63" s="143">
        <f t="shared" si="106"/>
        <v>0</v>
      </c>
      <c r="CB63" s="143">
        <f t="shared" si="106"/>
        <v>0</v>
      </c>
      <c r="CC63" s="143">
        <f t="shared" si="106"/>
        <v>0</v>
      </c>
      <c r="CD63" s="159">
        <f t="shared" si="106"/>
        <v>0</v>
      </c>
      <c r="CE63" s="143">
        <f t="shared" si="106"/>
        <v>0</v>
      </c>
      <c r="CF63" s="143">
        <f t="shared" si="106"/>
        <v>0</v>
      </c>
      <c r="CG63" s="143">
        <f t="shared" si="106"/>
        <v>0</v>
      </c>
      <c r="CH63" s="159">
        <f t="shared" si="106"/>
        <v>0</v>
      </c>
      <c r="CI63" s="143">
        <f t="shared" si="106"/>
        <v>0</v>
      </c>
      <c r="CJ63" s="143">
        <f t="shared" si="106"/>
        <v>0</v>
      </c>
      <c r="CK63" s="143">
        <f t="shared" si="106"/>
        <v>0</v>
      </c>
      <c r="CL63" s="159">
        <f t="shared" si="106"/>
        <v>0</v>
      </c>
      <c r="CM63" s="143">
        <f t="shared" si="106"/>
        <v>0</v>
      </c>
      <c r="CN63" s="143">
        <f t="shared" si="106"/>
        <v>0</v>
      </c>
      <c r="CO63" s="143">
        <f t="shared" si="106"/>
        <v>0</v>
      </c>
      <c r="CP63" s="159">
        <f t="shared" si="106"/>
        <v>0</v>
      </c>
      <c r="CQ63" s="143">
        <f t="shared" si="106"/>
        <v>0</v>
      </c>
      <c r="CR63" s="143">
        <f t="shared" si="106"/>
        <v>0</v>
      </c>
      <c r="CS63" s="143">
        <f t="shared" si="106"/>
        <v>0</v>
      </c>
      <c r="CT63" s="159">
        <f t="shared" si="106"/>
        <v>0</v>
      </c>
      <c r="CU63" s="143">
        <f t="shared" si="106"/>
        <v>0</v>
      </c>
      <c r="CV63" s="143">
        <f t="shared" si="106"/>
        <v>0</v>
      </c>
      <c r="CW63" s="189">
        <f t="shared" si="106"/>
        <v>0</v>
      </c>
      <c r="CX63" s="143">
        <f t="shared" si="106"/>
        <v>0</v>
      </c>
      <c r="CY63" s="143">
        <f t="shared" si="106"/>
        <v>0</v>
      </c>
      <c r="CZ63" s="143">
        <f t="shared" si="106"/>
        <v>0</v>
      </c>
      <c r="DA63" s="143">
        <f t="shared" si="106"/>
        <v>0</v>
      </c>
      <c r="DB63" s="159">
        <f t="shared" si="106"/>
        <v>0</v>
      </c>
      <c r="DC63" s="143">
        <f t="shared" si="106"/>
        <v>0</v>
      </c>
      <c r="DD63" s="143">
        <f t="shared" si="106"/>
        <v>0</v>
      </c>
      <c r="DE63" s="143">
        <f t="shared" si="106"/>
        <v>0</v>
      </c>
      <c r="DF63" s="159">
        <f t="shared" si="106"/>
        <v>0</v>
      </c>
      <c r="DG63" s="1047">
        <f>DG61-DG62</f>
        <v>0</v>
      </c>
      <c r="DH63" s="1047">
        <f>DH61-DH62</f>
        <v>0</v>
      </c>
      <c r="DI63" s="1047">
        <f>DI61-DI62</f>
        <v>0</v>
      </c>
      <c r="DJ63" s="159">
        <f t="shared" ref="DJ63:DM63" si="107">DJ61-DJ62</f>
        <v>0</v>
      </c>
      <c r="DK63" s="1047">
        <f t="shared" si="107"/>
        <v>0</v>
      </c>
      <c r="DL63" s="1047">
        <f t="shared" si="107"/>
        <v>0</v>
      </c>
      <c r="DM63" s="189">
        <f t="shared" si="107"/>
        <v>0</v>
      </c>
      <c r="DN63" s="1047">
        <f t="shared" ref="DN63:DO63" si="108">DN61-DN62</f>
        <v>0</v>
      </c>
      <c r="DO63" s="1047">
        <f t="shared" si="108"/>
        <v>0</v>
      </c>
      <c r="DP63" s="1047">
        <f t="shared" ref="DP63:DQ63" si="109">DP61-DP62</f>
        <v>0</v>
      </c>
      <c r="DQ63" s="189">
        <f t="shared" si="109"/>
        <v>0</v>
      </c>
      <c r="DR63" s="1047">
        <f t="shared" ref="DR63:DS63" si="110">DR61-DR62</f>
        <v>0</v>
      </c>
      <c r="DS63" s="1047">
        <f t="shared" si="110"/>
        <v>0</v>
      </c>
      <c r="DT63" s="1047">
        <f t="shared" ref="DT63:DU63" si="111">DT61-DT62</f>
        <v>0</v>
      </c>
      <c r="DU63" s="189">
        <f t="shared" si="111"/>
        <v>0</v>
      </c>
      <c r="DV63" s="159">
        <f t="shared" ref="DV63" si="112">DV61-DV62</f>
        <v>1012</v>
      </c>
      <c r="DW63" s="1047">
        <f t="shared" ref="DW63:DY63" ca="1" si="113">DW61-DW62</f>
        <v>0</v>
      </c>
      <c r="DX63" s="1047">
        <f t="shared" ca="1" si="113"/>
        <v>0</v>
      </c>
      <c r="DY63" s="189">
        <f t="shared" ca="1" si="113"/>
        <v>0</v>
      </c>
      <c r="DZ63" s="143"/>
    </row>
    <row r="64" spans="1:136" collapsed="1">
      <c r="A64" s="109"/>
      <c r="B64" s="109"/>
      <c r="C64" s="109"/>
      <c r="D64" s="109"/>
      <c r="E64" s="109"/>
      <c r="F64" s="109"/>
      <c r="G64" s="109"/>
      <c r="H64" s="109"/>
      <c r="I64" s="109"/>
      <c r="J64" s="109"/>
      <c r="K64" s="109"/>
      <c r="L64" s="109"/>
      <c r="M64" s="109"/>
      <c r="N64" s="109"/>
      <c r="O64" s="109"/>
      <c r="P64" s="109"/>
      <c r="Q64" s="109"/>
      <c r="R64" s="109"/>
      <c r="S64" s="109"/>
      <c r="T64" s="109"/>
      <c r="U64" s="1044"/>
      <c r="V64" s="109"/>
      <c r="W64" s="109"/>
      <c r="X64" s="109"/>
      <c r="Y64" s="109"/>
      <c r="Z64" s="109"/>
      <c r="AA64" s="109"/>
      <c r="AB64" s="109"/>
      <c r="AC64" s="109"/>
      <c r="AD64" s="109"/>
      <c r="AE64" s="109"/>
      <c r="AF64" s="109"/>
      <c r="AG64" s="109"/>
      <c r="AH64" s="536"/>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c r="BE64" s="109"/>
      <c r="BF64" s="109"/>
      <c r="BG64" s="109"/>
      <c r="BH64" s="109"/>
      <c r="BI64" s="109"/>
      <c r="BJ64" s="109"/>
      <c r="BK64" s="109"/>
      <c r="BL64" s="109"/>
      <c r="BM64" s="109"/>
      <c r="BN64" s="171"/>
      <c r="BO64" s="109"/>
      <c r="BP64" s="109"/>
      <c r="BQ64" s="109"/>
      <c r="BR64" s="171"/>
      <c r="BS64" s="109"/>
      <c r="BT64" s="109"/>
      <c r="BU64" s="109"/>
      <c r="BV64" s="171"/>
      <c r="BW64" s="109"/>
      <c r="BX64" s="109"/>
      <c r="BY64" s="109"/>
      <c r="BZ64" s="171"/>
      <c r="CA64" s="109"/>
      <c r="CB64" s="109"/>
      <c r="CC64" s="109"/>
      <c r="CD64" s="171"/>
      <c r="CE64" s="109"/>
      <c r="CF64" s="109"/>
      <c r="CG64" s="109"/>
      <c r="CH64" s="171"/>
      <c r="CI64" s="109"/>
      <c r="CJ64" s="109"/>
      <c r="CK64" s="109"/>
      <c r="CL64" s="171"/>
      <c r="CM64" s="109"/>
      <c r="CN64" s="109"/>
      <c r="CO64" s="109"/>
      <c r="CP64" s="171"/>
      <c r="CQ64" s="109"/>
      <c r="CR64" s="109"/>
      <c r="CS64" s="109"/>
      <c r="CT64" s="171"/>
      <c r="CU64" s="109"/>
      <c r="CV64" s="109"/>
      <c r="CW64" s="172"/>
      <c r="CX64" s="109"/>
      <c r="CY64" s="109"/>
      <c r="CZ64" s="109"/>
      <c r="DA64" s="109"/>
      <c r="DB64" s="171"/>
      <c r="DC64" s="109"/>
      <c r="DD64" s="109"/>
      <c r="DE64" s="109"/>
      <c r="DF64" s="171"/>
      <c r="DG64" s="1044"/>
      <c r="DH64" s="1044"/>
      <c r="DI64" s="1044"/>
      <c r="DJ64" s="171"/>
      <c r="DK64" s="1044"/>
      <c r="DL64" s="1044"/>
      <c r="DM64" s="172"/>
      <c r="DN64" s="1044"/>
      <c r="DO64" s="1044"/>
      <c r="DP64" s="1044"/>
      <c r="DQ64" s="172"/>
      <c r="DR64" s="1044"/>
      <c r="DS64" s="1044"/>
      <c r="DT64" s="1044"/>
      <c r="DU64" s="172"/>
      <c r="DV64" s="171"/>
      <c r="DW64" s="1044"/>
      <c r="DX64" s="1044"/>
      <c r="DY64" s="172"/>
      <c r="DZ64" s="109"/>
    </row>
    <row r="65" spans="1:130">
      <c r="A65" s="1591" t="s">
        <v>1400</v>
      </c>
      <c r="B65" s="1591"/>
      <c r="C65" s="1591"/>
      <c r="D65" s="1591"/>
      <c r="E65" s="1591"/>
      <c r="F65" s="1591"/>
      <c r="G65" s="1591"/>
      <c r="H65" s="1591"/>
      <c r="I65" s="1591">
        <v>2402</v>
      </c>
      <c r="J65" s="1591">
        <v>9038</v>
      </c>
      <c r="K65" s="1591">
        <v>10568</v>
      </c>
      <c r="L65" s="1591">
        <v>8561</v>
      </c>
      <c r="M65" s="1591">
        <v>6688</v>
      </c>
      <c r="N65" s="1591">
        <f t="shared" ref="N65:U65" si="114">N34+N38</f>
        <v>7005</v>
      </c>
      <c r="O65" s="1591">
        <f t="shared" si="114"/>
        <v>8201</v>
      </c>
      <c r="P65" s="1591">
        <f t="shared" si="114"/>
        <v>9382</v>
      </c>
      <c r="Q65" s="1591">
        <f t="shared" si="114"/>
        <v>14693</v>
      </c>
      <c r="R65" s="1591">
        <f t="shared" si="114"/>
        <v>16905</v>
      </c>
      <c r="S65" s="1591">
        <f t="shared" si="114"/>
        <v>13536</v>
      </c>
      <c r="T65" s="1591">
        <f>T34+T38</f>
        <v>15311</v>
      </c>
      <c r="U65" s="1591">
        <f t="shared" si="114"/>
        <v>22214</v>
      </c>
      <c r="V65" s="1591">
        <f t="shared" ref="V65:AB65" si="115">V34+V38</f>
        <v>13440</v>
      </c>
      <c r="W65" s="1591">
        <f t="shared" si="115"/>
        <v>21155</v>
      </c>
      <c r="X65" s="1591">
        <f t="shared" si="115"/>
        <v>5656</v>
      </c>
      <c r="Y65" s="1591">
        <f t="shared" si="115"/>
        <v>8058</v>
      </c>
      <c r="Z65" s="1591">
        <f t="shared" ca="1" si="115"/>
        <v>16839.495730364531</v>
      </c>
      <c r="AA65" s="1591">
        <f t="shared" ca="1" si="115"/>
        <v>19732.127778748811</v>
      </c>
      <c r="AB65" s="1591">
        <f t="shared" ca="1" si="115"/>
        <v>20412.45136824196</v>
      </c>
      <c r="AC65" s="1591">
        <f t="shared" ref="AC65:AG65" ca="1" si="116">AC34+AC38</f>
        <v>22531.643738170795</v>
      </c>
      <c r="AD65" s="1591">
        <f t="shared" ca="1" si="116"/>
        <v>23151.614080204316</v>
      </c>
      <c r="AE65" s="1591">
        <f t="shared" ca="1" si="116"/>
        <v>23824.475903569048</v>
      </c>
      <c r="AF65" s="1591">
        <f t="shared" ca="1" si="116"/>
        <v>24552.39840400204</v>
      </c>
      <c r="AG65" s="1591">
        <f t="shared" ca="1" si="116"/>
        <v>24048.768542985963</v>
      </c>
      <c r="AH65" s="1592"/>
      <c r="AI65" s="1591"/>
      <c r="AJ65" s="1591"/>
      <c r="AK65" s="1591"/>
      <c r="AL65" s="1591"/>
      <c r="AM65" s="1591"/>
      <c r="AN65" s="1591"/>
      <c r="AO65" s="1591"/>
      <c r="AP65" s="1591"/>
      <c r="AQ65" s="1591"/>
      <c r="AR65" s="1591"/>
      <c r="AS65" s="1591"/>
      <c r="AT65" s="1591"/>
      <c r="AU65" s="1591"/>
      <c r="AV65" s="1591"/>
      <c r="AW65" s="1591"/>
      <c r="AX65" s="1591"/>
      <c r="AY65" s="1591"/>
      <c r="AZ65" s="1591"/>
      <c r="BA65" s="1591"/>
      <c r="BB65" s="1591"/>
      <c r="BC65" s="1591"/>
      <c r="BD65" s="1591"/>
      <c r="BE65" s="1591"/>
      <c r="BF65" s="1591"/>
      <c r="BG65" s="1591"/>
      <c r="BH65" s="1591"/>
      <c r="BI65" s="1591"/>
      <c r="BJ65" s="1591">
        <v>1960</v>
      </c>
      <c r="BK65" s="1591">
        <v>2155</v>
      </c>
      <c r="BL65" s="1591">
        <v>3189</v>
      </c>
      <c r="BM65" s="1591">
        <v>1734</v>
      </c>
      <c r="BN65" s="1593">
        <v>3329</v>
      </c>
      <c r="BO65" s="1591">
        <v>2331</v>
      </c>
      <c r="BP65" s="1591">
        <v>2462</v>
      </c>
      <c r="BQ65" s="1591">
        <v>2471</v>
      </c>
      <c r="BR65" s="1593">
        <v>1401</v>
      </c>
      <c r="BS65" s="1591">
        <v>2668</v>
      </c>
      <c r="BT65" s="1591">
        <v>2348</v>
      </c>
      <c r="BU65" s="1591">
        <v>2144</v>
      </c>
      <c r="BV65" s="1593">
        <v>342</v>
      </c>
      <c r="BW65" s="1591">
        <v>1915</v>
      </c>
      <c r="BX65" s="1591">
        <v>1466</v>
      </c>
      <c r="BY65" s="1591">
        <v>2965</v>
      </c>
      <c r="BZ65" s="1593">
        <f t="shared" ref="BZ65:DE65" si="117">BZ34+BZ38</f>
        <v>1985</v>
      </c>
      <c r="CA65" s="1591">
        <f t="shared" si="117"/>
        <v>1241</v>
      </c>
      <c r="CB65" s="1591">
        <f t="shared" si="117"/>
        <v>2392</v>
      </c>
      <c r="CC65" s="1591">
        <f t="shared" si="117"/>
        <v>1387</v>
      </c>
      <c r="CD65" s="1593">
        <f t="shared" si="117"/>
        <v>354</v>
      </c>
      <c r="CE65" s="1591">
        <f t="shared" si="117"/>
        <v>2123</v>
      </c>
      <c r="CF65" s="1591">
        <f t="shared" si="117"/>
        <v>2180</v>
      </c>
      <c r="CG65" s="1591">
        <f t="shared" si="117"/>
        <v>3544</v>
      </c>
      <c r="CH65" s="1593">
        <f t="shared" si="117"/>
        <v>1170</v>
      </c>
      <c r="CI65" s="1591">
        <f t="shared" si="117"/>
        <v>2485</v>
      </c>
      <c r="CJ65" s="1591">
        <f t="shared" si="117"/>
        <v>2848</v>
      </c>
      <c r="CK65" s="1591">
        <f t="shared" si="117"/>
        <v>2879</v>
      </c>
      <c r="CL65" s="1593">
        <f t="shared" si="117"/>
        <v>2757</v>
      </c>
      <c r="CM65" s="1591">
        <f t="shared" si="117"/>
        <v>3374</v>
      </c>
      <c r="CN65" s="1591">
        <f t="shared" si="117"/>
        <v>4668</v>
      </c>
      <c r="CO65" s="1591">
        <f t="shared" si="117"/>
        <v>3894</v>
      </c>
      <c r="CP65" s="1593">
        <f t="shared" si="117"/>
        <v>3661</v>
      </c>
      <c r="CQ65" s="1591">
        <f t="shared" si="117"/>
        <v>5527</v>
      </c>
      <c r="CR65" s="1591">
        <f t="shared" si="117"/>
        <v>4182</v>
      </c>
      <c r="CS65" s="1591">
        <f t="shared" si="117"/>
        <v>3535</v>
      </c>
      <c r="CT65" s="1593">
        <f t="shared" si="117"/>
        <v>672</v>
      </c>
      <c r="CU65" s="1591">
        <f t="shared" si="117"/>
        <v>3202</v>
      </c>
      <c r="CV65" s="1591">
        <f t="shared" si="117"/>
        <v>5092</v>
      </c>
      <c r="CW65" s="1594">
        <f t="shared" si="117"/>
        <v>4570</v>
      </c>
      <c r="CX65" s="1591">
        <f t="shared" si="117"/>
        <v>2392</v>
      </c>
      <c r="CY65" s="1591">
        <f t="shared" si="117"/>
        <v>5449</v>
      </c>
      <c r="CZ65" s="1591">
        <f t="shared" si="117"/>
        <v>5602</v>
      </c>
      <c r="DA65" s="1591">
        <f t="shared" si="117"/>
        <v>1868</v>
      </c>
      <c r="DB65" s="1593">
        <f t="shared" si="117"/>
        <v>3929</v>
      </c>
      <c r="DC65" s="1591">
        <f t="shared" si="117"/>
        <v>5603</v>
      </c>
      <c r="DD65" s="1591">
        <f t="shared" si="117"/>
        <v>7048</v>
      </c>
      <c r="DE65" s="1591">
        <f t="shared" si="117"/>
        <v>5634</v>
      </c>
      <c r="DF65" s="1593">
        <f>DF34+DF38</f>
        <v>2989</v>
      </c>
      <c r="DG65" s="1591">
        <f>DG34+DG38</f>
        <v>3321</v>
      </c>
      <c r="DH65" s="1591">
        <f>DH34+DH38</f>
        <v>4223</v>
      </c>
      <c r="DI65" s="1591">
        <f>DI34+DI38</f>
        <v>2907</v>
      </c>
      <c r="DJ65" s="1593">
        <f t="shared" ref="DJ65:DM65" si="118">DJ34+DJ38</f>
        <v>6504</v>
      </c>
      <c r="DK65" s="1591">
        <f t="shared" si="118"/>
        <v>4249</v>
      </c>
      <c r="DL65" s="1591">
        <f t="shared" si="118"/>
        <v>5133</v>
      </c>
      <c r="DM65" s="1594">
        <f t="shared" si="118"/>
        <v>5269</v>
      </c>
      <c r="DN65" s="1591">
        <f t="shared" ref="DN65:DO65" si="119">DN34+DN38</f>
        <v>4032</v>
      </c>
      <c r="DO65" s="1591">
        <f t="shared" si="119"/>
        <v>1525</v>
      </c>
      <c r="DP65" s="1591">
        <f t="shared" ref="DP65:DQ65" si="120">DP34+DP38</f>
        <v>674</v>
      </c>
      <c r="DQ65" s="1594">
        <f t="shared" si="120"/>
        <v>-575</v>
      </c>
      <c r="DR65" s="1591">
        <f t="shared" ref="DR65" si="121">DR34+DR38</f>
        <v>-1386</v>
      </c>
      <c r="DS65" s="1591">
        <f>DS34+DS38</f>
        <v>4293</v>
      </c>
      <c r="DT65" s="1591">
        <f>DT34+DT38</f>
        <v>3032</v>
      </c>
      <c r="DU65" s="3295">
        <f>DU34+DU38</f>
        <v>2119</v>
      </c>
      <c r="DV65" s="3338">
        <f>DV34+DV38</f>
        <v>2905</v>
      </c>
      <c r="DW65" s="1591">
        <f t="shared" ref="DW65:DY65" ca="1" si="122">DW34+DW38</f>
        <v>4775.0815056278443</v>
      </c>
      <c r="DX65" s="1591">
        <f t="shared" ca="1" si="122"/>
        <v>4542.6301752310146</v>
      </c>
      <c r="DY65" s="1594">
        <f t="shared" ca="1" si="122"/>
        <v>4616.784049505678</v>
      </c>
      <c r="DZ65" s="169"/>
    </row>
    <row r="66" spans="1:130">
      <c r="A66" s="107" t="s">
        <v>1401</v>
      </c>
      <c r="B66" s="107"/>
      <c r="C66" s="107"/>
      <c r="D66" s="107"/>
      <c r="E66" s="107"/>
      <c r="F66" s="107"/>
      <c r="G66" s="107"/>
      <c r="H66" s="107"/>
      <c r="I66" s="107">
        <v>0.88610163238956008</v>
      </c>
      <c r="J66" s="107">
        <v>3.2907336610231201</v>
      </c>
      <c r="K66" s="107">
        <v>3.8199891559732513</v>
      </c>
      <c r="L66" s="107">
        <v>3.0240197809961145</v>
      </c>
      <c r="M66" s="107">
        <v>2.3731038765191164</v>
      </c>
      <c r="N66" s="107">
        <f>N65/IS!N103</f>
        <v>2.3836715148637082</v>
      </c>
      <c r="O66" s="107">
        <f>O65/IS!O103</f>
        <v>2.8260097884205564</v>
      </c>
      <c r="P66" s="107">
        <f>P65/IS!P103</f>
        <v>3.2914562990790666</v>
      </c>
      <c r="Q66" s="107">
        <f>Q65/IS!Q103</f>
        <v>5.1717705033438932</v>
      </c>
      <c r="R66" s="107">
        <f>R65/IS!R103</f>
        <v>5.9671726085421817</v>
      </c>
      <c r="S66" s="107">
        <f>S65/IS!S103</f>
        <v>4.7678760126805217</v>
      </c>
      <c r="T66" s="107">
        <f>T65/IS!T103</f>
        <v>5.3497554157931519</v>
      </c>
      <c r="U66" s="1058">
        <f>U65/IS!U103</f>
        <v>7.7292971468336811</v>
      </c>
      <c r="V66" s="107">
        <f>V65/IS!V103</f>
        <v>3.2286349168218127</v>
      </c>
      <c r="W66" s="107">
        <f>W65/IS!W103</f>
        <v>5.1679491877366557</v>
      </c>
      <c r="X66" s="107">
        <f>X65/IS!X103</f>
        <v>1.3843235636052131</v>
      </c>
      <c r="Y66" s="107">
        <f>Y65/IS!Y103</f>
        <v>1.9716173232199656</v>
      </c>
      <c r="Z66" s="107">
        <f ca="1">Z65/IS!Z103</f>
        <v>4.0791499248434162</v>
      </c>
      <c r="AA66" s="107">
        <f ca="1">AA65/IS!AA103</f>
        <v>4.7783552439844206</v>
      </c>
      <c r="AB66" s="107">
        <f ca="1">AB65/IS!AB103</f>
        <v>4.9413315368563637</v>
      </c>
      <c r="AC66" s="107">
        <f ca="1">AC65/IS!AC103</f>
        <v>5.4523802294382682</v>
      </c>
      <c r="AD66" s="107">
        <f ca="1">AD65/IS!AD103</f>
        <v>5.6004003380708429</v>
      </c>
      <c r="AE66" s="107">
        <f ca="1">AE65/IS!AE103</f>
        <v>5.7611052078841078</v>
      </c>
      <c r="AF66" s="107">
        <f ca="1">AF65/IS!AF103</f>
        <v>5.9350056513084217</v>
      </c>
      <c r="AG66" s="107">
        <f ca="1">AG65/IS!AG103</f>
        <v>5.8111880824301752</v>
      </c>
      <c r="AH66" s="1318"/>
      <c r="AI66" s="107"/>
      <c r="AJ66" s="107"/>
      <c r="AK66" s="107"/>
      <c r="AL66" s="107"/>
      <c r="AM66" s="107"/>
      <c r="AN66" s="107"/>
      <c r="AO66" s="107"/>
      <c r="AP66" s="107"/>
      <c r="AQ66" s="107"/>
      <c r="AR66" s="107"/>
      <c r="AS66" s="107"/>
      <c r="AT66" s="107"/>
      <c r="AU66" s="107"/>
      <c r="AV66" s="107"/>
      <c r="AW66" s="107"/>
      <c r="AX66" s="107"/>
      <c r="AY66" s="107"/>
      <c r="AZ66" s="107"/>
      <c r="BA66" s="107"/>
      <c r="BB66" s="107"/>
      <c r="BC66" s="107"/>
      <c r="BD66" s="107"/>
      <c r="BE66" s="107"/>
      <c r="BF66" s="107"/>
      <c r="BG66" s="107"/>
      <c r="BH66" s="107"/>
      <c r="BI66" s="107"/>
      <c r="BJ66" s="107">
        <v>0.71979434447300772</v>
      </c>
      <c r="BK66" s="107">
        <v>0.78995601173020524</v>
      </c>
      <c r="BL66" s="107">
        <v>1.1655701754385965</v>
      </c>
      <c r="BM66" s="107">
        <v>0.63215457528253738</v>
      </c>
      <c r="BN66" s="200">
        <v>1.2114264919941775</v>
      </c>
      <c r="BO66" s="107">
        <v>0.84732824427480913</v>
      </c>
      <c r="BP66" s="107">
        <v>0.89429713040319647</v>
      </c>
      <c r="BQ66" s="107">
        <v>0.89658925979680693</v>
      </c>
      <c r="BR66" s="200">
        <v>0.50577617328519853</v>
      </c>
      <c r="BS66" s="107">
        <v>0.96317689530685924</v>
      </c>
      <c r="BT66" s="107">
        <v>0.84795955218490426</v>
      </c>
      <c r="BU66" s="107">
        <v>0.77400722021660651</v>
      </c>
      <c r="BV66" s="200">
        <v>0.12351029252437704</v>
      </c>
      <c r="BW66" s="107">
        <v>0.69183526011560692</v>
      </c>
      <c r="BX66" s="107">
        <v>0.53019891500904159</v>
      </c>
      <c r="BY66" s="107">
        <v>1.0727206946454413</v>
      </c>
      <c r="BZ66" s="200">
        <f>BZ65/IS!BW103</f>
        <v>0.66992912588592646</v>
      </c>
      <c r="CA66" s="107">
        <f>CA65/IS!BX103</f>
        <v>0.42082061715835878</v>
      </c>
      <c r="CB66" s="107">
        <f>CB65/IS!BY103</f>
        <v>0.8183373246664386</v>
      </c>
      <c r="CC66" s="107">
        <f>CC65/IS!BZ103</f>
        <v>0.47516272696128814</v>
      </c>
      <c r="CD66" s="200">
        <f>CD65/IS!CA103</f>
        <v>0.12160769495018894</v>
      </c>
      <c r="CE66" s="107">
        <f>CE65/IS!CB103</f>
        <v>0.73030615755073958</v>
      </c>
      <c r="CF66" s="107">
        <f>CF65/IS!CC103</f>
        <v>0.75172413793103443</v>
      </c>
      <c r="CG66" s="107">
        <f>CG65/IS!CD103</f>
        <v>1.2258734002075407</v>
      </c>
      <c r="CH66" s="200">
        <f>CH65/IS!CE103</f>
        <v>0.40837696335078533</v>
      </c>
      <c r="CI66" s="107">
        <f>CI65/IS!CF103</f>
        <v>0.87162399158190107</v>
      </c>
      <c r="CJ66" s="107">
        <f>CJ65/IS!CG103</f>
        <v>1.0010544815465729</v>
      </c>
      <c r="CK66" s="107">
        <f>CK65/IS!CH103</f>
        <v>1.0133755719816966</v>
      </c>
      <c r="CL66" s="200">
        <f>CL65/IS!CI103</f>
        <v>0.97043294614572329</v>
      </c>
      <c r="CM66" s="107">
        <f>CM65/IS!CJ103</f>
        <v>1.1876099964801126</v>
      </c>
      <c r="CN66" s="107">
        <f>CN65/IS!CK103</f>
        <v>1.6430834213305174</v>
      </c>
      <c r="CO66" s="107">
        <f>CO65/IS!CL103</f>
        <v>1.3706441393875397</v>
      </c>
      <c r="CP66" s="200">
        <f>CP65/IS!CM103</f>
        <v>1.2909026798307475</v>
      </c>
      <c r="CQ66" s="107">
        <f>CQ65/IS!CN103</f>
        <v>1.955076052352317</v>
      </c>
      <c r="CR66" s="107">
        <f>CR65/IS!CO103</f>
        <v>1.4782608695652173</v>
      </c>
      <c r="CS66" s="107">
        <f>CS65/IS!CP103</f>
        <v>1.2495581477553905</v>
      </c>
      <c r="CT66" s="200">
        <f>CT65/IS!CQ103</f>
        <v>0.23745583038869258</v>
      </c>
      <c r="CU66" s="107">
        <f>CU65/IS!CR103</f>
        <v>1.1306497175141244</v>
      </c>
      <c r="CV66" s="107">
        <f>CV65/IS!CS103</f>
        <v>1.7967537050105857</v>
      </c>
      <c r="CW66" s="201">
        <f>CW65/IS!CT103</f>
        <v>1.6119929453262787</v>
      </c>
      <c r="CX66" s="107">
        <f>CX65/IS!CU103</f>
        <v>0.83959283959283959</v>
      </c>
      <c r="CY66" s="107">
        <f>CY65/IS!CV103</f>
        <v>1.9065780265920225</v>
      </c>
      <c r="CZ66" s="107">
        <f>CZ65/IS!CW103</f>
        <v>1.9546406140963015</v>
      </c>
      <c r="DA66" s="107">
        <f>DA65/IS!CX103</f>
        <v>0.65269042627533191</v>
      </c>
      <c r="DB66" s="200">
        <f>DB65/IS!CY103</f>
        <v>1.3680362116991645</v>
      </c>
      <c r="DC66" s="107">
        <f>DC65/IS!CZ103</f>
        <v>1.9509052924791086</v>
      </c>
      <c r="DD66" s="107">
        <f>DD65/IS!DA103</f>
        <v>2.4523312456506612</v>
      </c>
      <c r="DE66" s="107">
        <f>DE65/IS!DB103</f>
        <v>1.9596521739130435</v>
      </c>
      <c r="DF66" s="200">
        <f>DF65/IS!DC103</f>
        <v>0.72024096385542169</v>
      </c>
      <c r="DG66" s="1058">
        <f>DG65/IS!DD103</f>
        <v>0.79966289429328197</v>
      </c>
      <c r="DH66" s="1058">
        <f>DH65/IS!DE103</f>
        <v>1.0153883144986775</v>
      </c>
      <c r="DI66" s="1058">
        <f>DI65/IS!DF103</f>
        <v>0.69930238152513835</v>
      </c>
      <c r="DJ66" s="200">
        <f>DJ65/IS!DG103</f>
        <v>1.5782577044406698</v>
      </c>
      <c r="DK66" s="1058">
        <f>DK65/IS!DH103</f>
        <v>1.0401468788249695</v>
      </c>
      <c r="DL66" s="1058">
        <f>DL65/IS!DI103</f>
        <v>1.2605599214145382</v>
      </c>
      <c r="DM66" s="201">
        <f>DM65/IS!DJ103</f>
        <v>1.2926889106967616</v>
      </c>
      <c r="DN66" s="1058">
        <f>DN65/IS!DK103</f>
        <v>0.9870257037943696</v>
      </c>
      <c r="DO66" s="1058">
        <f>DO65/IS!DL103</f>
        <v>0.37331701346389229</v>
      </c>
      <c r="DP66" s="1058">
        <f>DP65/IS!DM103</f>
        <v>0.16495349975526186</v>
      </c>
      <c r="DQ66" s="201">
        <f>DQ65/IS!DN103</f>
        <v>-0.14068999265965257</v>
      </c>
      <c r="DR66" s="1058">
        <f>DR65/IS!DO103</f>
        <v>-0.33912405187178862</v>
      </c>
      <c r="DS66" s="1058">
        <f>DS65/IS!DP103</f>
        <v>1.0516903478686919</v>
      </c>
      <c r="DT66" s="1058">
        <f>DT65/IS!DQ103</f>
        <v>0.74150158963071655</v>
      </c>
      <c r="DU66" s="201">
        <f>DU65/IS!DR103</f>
        <v>0.51809290953545228</v>
      </c>
      <c r="DV66" s="200">
        <f>DV65/IS!DS103</f>
        <v>0.7073289505721938</v>
      </c>
      <c r="DW66" s="1058">
        <f ca="1">DW65/IS!DT103</f>
        <v>1.1550055041731497</v>
      </c>
      <c r="DX66" s="1058">
        <f ca="1">DX65/IS!DU103</f>
        <v>1.0985140379012186</v>
      </c>
      <c r="DY66" s="201">
        <f ca="1">DY65/IS!DV103</f>
        <v>1.1161762585689159</v>
      </c>
      <c r="DZ66" s="107"/>
    </row>
    <row r="67" spans="1:130" hidden="1">
      <c r="A67" s="109" t="s">
        <v>1402</v>
      </c>
      <c r="B67" s="109"/>
      <c r="C67" s="109"/>
      <c r="D67" s="109"/>
      <c r="E67" s="109"/>
      <c r="F67" s="169"/>
      <c r="G67" s="169"/>
      <c r="H67" s="169"/>
      <c r="I67" s="109"/>
      <c r="J67" s="109"/>
      <c r="K67" s="109"/>
      <c r="L67" s="109"/>
      <c r="M67" s="109"/>
      <c r="N67" s="109"/>
      <c r="O67" s="109"/>
      <c r="P67" s="170"/>
      <c r="Q67" s="109"/>
      <c r="R67" s="109"/>
      <c r="S67" s="288"/>
      <c r="T67" s="109"/>
      <c r="U67" s="1044"/>
      <c r="V67" s="364"/>
      <c r="W67" s="364"/>
      <c r="X67" s="364"/>
      <c r="Y67" s="364"/>
      <c r="Z67" s="364"/>
      <c r="AA67" s="364"/>
      <c r="AB67" s="364"/>
      <c r="AC67" s="364"/>
      <c r="AD67" s="364"/>
      <c r="AE67" s="364"/>
      <c r="AF67" s="364"/>
      <c r="AG67" s="364"/>
      <c r="AH67" s="1236"/>
      <c r="AI67" s="109"/>
      <c r="AJ67" s="109"/>
      <c r="AK67" s="109"/>
      <c r="AL67" s="109"/>
      <c r="AM67" s="109"/>
      <c r="AN67" s="109"/>
      <c r="AO67" s="109"/>
      <c r="AP67" s="109"/>
      <c r="AQ67" s="109"/>
      <c r="AR67" s="109"/>
      <c r="AS67" s="109"/>
      <c r="AT67" s="109"/>
      <c r="AU67" s="109"/>
      <c r="AV67" s="109"/>
      <c r="AW67" s="109"/>
      <c r="AX67" s="109"/>
      <c r="AY67" s="109"/>
      <c r="AZ67" s="109"/>
      <c r="BA67" s="109"/>
      <c r="BB67" s="181"/>
      <c r="BC67" s="181"/>
      <c r="BD67" s="109"/>
      <c r="BE67" s="168"/>
      <c r="BF67" s="109"/>
      <c r="BG67" s="109"/>
      <c r="BH67" s="109"/>
      <c r="BI67" s="109"/>
      <c r="BJ67" s="109"/>
      <c r="BK67" s="109"/>
      <c r="BL67" s="109"/>
      <c r="BM67" s="109"/>
      <c r="BN67" s="171"/>
      <c r="BO67" s="109"/>
      <c r="BP67" s="109"/>
      <c r="BQ67" s="109"/>
      <c r="BR67" s="171"/>
      <c r="BS67" s="109"/>
      <c r="BT67" s="109"/>
      <c r="BU67" s="109"/>
      <c r="BV67" s="171"/>
      <c r="BW67" s="109"/>
      <c r="BX67" s="109"/>
      <c r="BY67" s="109"/>
      <c r="BZ67" s="171"/>
      <c r="CA67" s="109"/>
      <c r="CB67" s="109"/>
      <c r="CC67" s="109"/>
      <c r="CD67" s="171"/>
      <c r="CE67" s="109"/>
      <c r="CF67" s="109"/>
      <c r="CG67" s="109"/>
      <c r="CH67" s="171"/>
      <c r="CI67" s="109"/>
      <c r="CJ67" s="109"/>
      <c r="CK67" s="109"/>
      <c r="CL67" s="171"/>
      <c r="CM67" s="109"/>
      <c r="CN67" s="109"/>
      <c r="CO67" s="109"/>
      <c r="CP67" s="171"/>
      <c r="CQ67" s="109"/>
      <c r="CR67" s="109"/>
      <c r="CS67" s="109"/>
      <c r="CT67" s="171"/>
      <c r="CU67" s="109"/>
      <c r="CV67" s="109"/>
      <c r="CW67" s="172"/>
      <c r="CX67" s="109"/>
      <c r="CY67" s="109"/>
      <c r="CZ67" s="109"/>
      <c r="DA67" s="109"/>
      <c r="DB67" s="171"/>
      <c r="DC67" s="109"/>
      <c r="DD67" s="109"/>
      <c r="DE67" s="109"/>
      <c r="DF67" s="171"/>
      <c r="DG67" s="1044"/>
      <c r="DH67" s="1044"/>
      <c r="DI67" s="1044"/>
      <c r="DJ67" s="171"/>
      <c r="DK67" s="1044"/>
      <c r="DL67" s="1044"/>
      <c r="DM67" s="172"/>
      <c r="DN67" s="171"/>
      <c r="DO67" s="1044"/>
      <c r="DP67" s="1044"/>
      <c r="DQ67" s="172"/>
      <c r="DR67" s="171"/>
      <c r="DS67" s="1044"/>
      <c r="DT67" s="1044"/>
      <c r="DU67" s="172"/>
      <c r="DV67" s="171"/>
      <c r="DW67" s="1044"/>
      <c r="DX67" s="1044"/>
      <c r="DY67" s="172"/>
      <c r="DZ67" s="109"/>
    </row>
    <row r="68" spans="1:130" hidden="1">
      <c r="A68" s="1582">
        <f>+Valuation!E8</f>
        <v>48.65</v>
      </c>
      <c r="B68" s="194"/>
      <c r="C68" s="194"/>
      <c r="D68" s="194"/>
      <c r="E68" s="194"/>
      <c r="F68" s="194"/>
      <c r="G68" s="194"/>
      <c r="H68" s="194"/>
      <c r="I68" s="194"/>
      <c r="J68" s="194"/>
      <c r="K68" s="194"/>
      <c r="L68" s="194"/>
      <c r="M68" s="194"/>
      <c r="N68" s="194"/>
      <c r="O68" s="194"/>
      <c r="P68" s="194"/>
      <c r="Q68" s="367"/>
      <c r="R68" s="194"/>
      <c r="S68" s="194"/>
      <c r="T68" s="194"/>
      <c r="U68" s="1301"/>
      <c r="V68" s="194"/>
      <c r="W68" s="194"/>
      <c r="X68" s="194"/>
      <c r="Y68" s="194"/>
      <c r="Z68" s="194"/>
      <c r="AA68" s="194"/>
      <c r="AB68" s="194"/>
      <c r="AC68" s="194"/>
      <c r="AD68" s="194"/>
      <c r="AE68" s="194"/>
      <c r="AF68" s="194"/>
      <c r="AG68" s="194"/>
      <c r="AH68" s="1403"/>
      <c r="AI68" s="194"/>
      <c r="AJ68" s="194"/>
      <c r="AK68" s="194"/>
      <c r="AL68" s="194"/>
      <c r="AM68" s="194"/>
      <c r="AN68" s="194"/>
      <c r="AO68" s="194"/>
      <c r="AP68" s="194"/>
      <c r="AQ68" s="194"/>
      <c r="AR68" s="194"/>
      <c r="AS68" s="194"/>
      <c r="AT68" s="194"/>
      <c r="AU68" s="194"/>
      <c r="AV68" s="194"/>
      <c r="AW68" s="194"/>
      <c r="AX68" s="194"/>
      <c r="AY68" s="194"/>
      <c r="AZ68" s="194"/>
      <c r="BA68" s="194"/>
      <c r="BB68" s="194"/>
      <c r="BC68" s="194"/>
      <c r="BD68" s="194"/>
      <c r="BE68" s="194"/>
      <c r="BF68" s="194"/>
      <c r="BG68" s="194"/>
      <c r="BH68" s="194"/>
      <c r="BI68" s="194"/>
      <c r="BJ68" s="194"/>
      <c r="BK68" s="194"/>
      <c r="BL68" s="194"/>
      <c r="BM68" s="194"/>
      <c r="BN68" s="368"/>
      <c r="BO68" s="194"/>
      <c r="BP68" s="194"/>
      <c r="BQ68" s="194"/>
      <c r="BR68" s="368"/>
      <c r="BS68" s="194"/>
      <c r="BT68" s="194"/>
      <c r="BU68" s="194"/>
      <c r="BV68" s="368"/>
      <c r="BW68" s="194"/>
      <c r="BX68" s="194"/>
      <c r="BY68" s="194"/>
      <c r="BZ68" s="368"/>
      <c r="CA68" s="194"/>
      <c r="CB68" s="194"/>
      <c r="CC68" s="194"/>
      <c r="CD68" s="368"/>
      <c r="CE68" s="194"/>
      <c r="CF68" s="194"/>
      <c r="CG68" s="194"/>
      <c r="CH68" s="368"/>
      <c r="CI68" s="194"/>
      <c r="CJ68" s="194"/>
      <c r="CK68" s="194"/>
      <c r="CL68" s="368"/>
      <c r="CM68" s="194"/>
      <c r="CN68" s="194"/>
      <c r="CO68" s="194"/>
      <c r="CP68" s="194">
        <f>+CP61-BS!CP13</f>
        <v>0</v>
      </c>
      <c r="CQ68" s="194">
        <f>+CQ61-BS!CQ13</f>
        <v>0</v>
      </c>
      <c r="CR68" s="194">
        <f>+CR61-BS!CR13</f>
        <v>0</v>
      </c>
      <c r="CS68" s="194">
        <f>+CS61-BS!CS13</f>
        <v>0</v>
      </c>
      <c r="CT68" s="368">
        <f>+CT61-BS!CT13</f>
        <v>0</v>
      </c>
      <c r="CU68" s="194">
        <f>+CU61-BS!CU13</f>
        <v>0</v>
      </c>
      <c r="CV68" s="194">
        <f>+CV61-BS!CV13</f>
        <v>0</v>
      </c>
      <c r="CW68" s="369">
        <f>+CW61-BS!CW13</f>
        <v>0</v>
      </c>
      <c r="CX68" s="194">
        <f>+CX61-BS!CX13</f>
        <v>0</v>
      </c>
      <c r="CY68" s="194">
        <f>+CY61-BS!CY13</f>
        <v>0</v>
      </c>
      <c r="CZ68" s="194">
        <f>+CZ61-BS!CZ13</f>
        <v>0</v>
      </c>
      <c r="DA68" s="194">
        <f>+DA61-BS!DA13</f>
        <v>0</v>
      </c>
      <c r="DB68" s="368">
        <f>+DB61-BS!DB13</f>
        <v>0</v>
      </c>
      <c r="DC68" s="194">
        <f>+DC61-BS!DC13</f>
        <v>0</v>
      </c>
      <c r="DD68" s="194">
        <f>+DD61-BS!DD13</f>
        <v>0</v>
      </c>
      <c r="DE68" s="194">
        <f>+DE61-BS!DE13</f>
        <v>0</v>
      </c>
      <c r="DF68" s="368">
        <f>+DF61-BS!DF13</f>
        <v>0</v>
      </c>
      <c r="DG68" s="1301">
        <f>+DG61-BS!DG13</f>
        <v>0</v>
      </c>
      <c r="DH68" s="1301">
        <f>+DH61-BS!DH13</f>
        <v>0</v>
      </c>
      <c r="DI68" s="1301">
        <f>+DI61-BS!DI13</f>
        <v>0</v>
      </c>
      <c r="DJ68" s="368">
        <f>+DJ61-BS!DJ13</f>
        <v>0</v>
      </c>
      <c r="DK68" s="1301">
        <f>+DK61-BS!DK13</f>
        <v>0</v>
      </c>
      <c r="DL68" s="1301">
        <f>+DL61-BS!DL13</f>
        <v>0</v>
      </c>
      <c r="DM68" s="369">
        <f>+DM61-BS!DM13</f>
        <v>0</v>
      </c>
      <c r="DN68" s="368">
        <f>+DN61-BS!DN13</f>
        <v>0</v>
      </c>
      <c r="DO68" s="1301">
        <f>+DO61-BS!DO13</f>
        <v>0</v>
      </c>
      <c r="DP68" s="1301">
        <f>+DP61-BS!DP13</f>
        <v>0</v>
      </c>
      <c r="DQ68" s="369">
        <f>+DQ61-BS!DQ13</f>
        <v>0</v>
      </c>
      <c r="DR68" s="368">
        <f>+DR61-BS!DR13</f>
        <v>0</v>
      </c>
      <c r="DS68" s="1301">
        <f>+DS61-BS!DS13</f>
        <v>0</v>
      </c>
      <c r="DT68" s="1301">
        <f>+DT61-BS!DT13</f>
        <v>0</v>
      </c>
      <c r="DU68" s="369">
        <f>+DU61-BS!DU13</f>
        <v>0</v>
      </c>
      <c r="DV68" s="368">
        <f>+DV61-BS!DV13</f>
        <v>1012</v>
      </c>
      <c r="DW68" s="1301">
        <f ca="1">+DW61-BS!DW13</f>
        <v>0</v>
      </c>
      <c r="DX68" s="1301">
        <f ca="1">+DX61-BS!DX13</f>
        <v>0</v>
      </c>
      <c r="DY68" s="369">
        <f ca="1">+DY61-BS!DY13</f>
        <v>0</v>
      </c>
      <c r="DZ68" s="194"/>
    </row>
    <row r="69" spans="1:130" hidden="1">
      <c r="A69" s="371" t="s">
        <v>1403</v>
      </c>
      <c r="B69" s="372"/>
      <c r="C69" s="372"/>
      <c r="D69" s="372"/>
      <c r="E69" s="372"/>
      <c r="F69" s="373"/>
      <c r="G69" s="373"/>
      <c r="H69" s="373"/>
      <c r="I69" s="373">
        <v>3.2116768118505258E-2</v>
      </c>
      <c r="J69" s="373">
        <v>0.11927269521649583</v>
      </c>
      <c r="K69" s="373">
        <v>0.13845556926325667</v>
      </c>
      <c r="L69" s="373">
        <v>0.10960564628474499</v>
      </c>
      <c r="M69" s="373">
        <v>8.6013188710370295E-2</v>
      </c>
      <c r="N69" s="373">
        <f t="shared" ref="N69:Z69" si="123">N66/$A$68</f>
        <v>4.8996331240775091E-2</v>
      </c>
      <c r="O69" s="373">
        <f t="shared" si="123"/>
        <v>5.808858763454381E-2</v>
      </c>
      <c r="P69" s="373">
        <f t="shared" si="123"/>
        <v>6.7655833485695108E-2</v>
      </c>
      <c r="Q69" s="374">
        <f t="shared" si="123"/>
        <v>0.1063056629669865</v>
      </c>
      <c r="R69" s="373">
        <f t="shared" si="123"/>
        <v>0.12265514097722882</v>
      </c>
      <c r="S69" s="373">
        <f t="shared" si="123"/>
        <v>9.8003617937934676E-2</v>
      </c>
      <c r="T69" s="373">
        <f t="shared" si="123"/>
        <v>0.10996414009852316</v>
      </c>
      <c r="U69" s="1429">
        <f t="shared" si="123"/>
        <v>0.15887558369647856</v>
      </c>
      <c r="V69" s="375">
        <f t="shared" si="123"/>
        <v>6.6364540941866654E-2</v>
      </c>
      <c r="W69" s="375">
        <f>W66/$A$68</f>
        <v>0.10622711588359005</v>
      </c>
      <c r="X69" s="375">
        <f t="shared" si="123"/>
        <v>2.8454749508843025E-2</v>
      </c>
      <c r="Y69" s="375">
        <f t="shared" si="123"/>
        <v>4.0526563683863634E-2</v>
      </c>
      <c r="Z69" s="375">
        <f t="shared" ca="1" si="123"/>
        <v>8.3846863820008555E-2</v>
      </c>
      <c r="AA69" s="375">
        <f ca="1">AA66/$A$68</f>
        <v>9.8219018375835992E-2</v>
      </c>
      <c r="AB69" s="375">
        <f ca="1">AB66/$A$68</f>
        <v>0.10156899356333739</v>
      </c>
      <c r="AC69" s="375"/>
      <c r="AD69" s="375"/>
      <c r="AE69" s="375"/>
      <c r="AF69" s="375"/>
      <c r="AG69" s="375"/>
      <c r="AH69" s="1235"/>
      <c r="AI69" s="372"/>
      <c r="AJ69" s="372"/>
      <c r="AK69" s="372"/>
      <c r="AL69" s="372"/>
      <c r="AM69" s="372"/>
      <c r="AN69" s="372"/>
      <c r="AO69" s="372"/>
      <c r="AP69" s="376"/>
      <c r="AQ69" s="376"/>
      <c r="AR69" s="376"/>
      <c r="AS69" s="376"/>
      <c r="AT69" s="376"/>
      <c r="AU69" s="376"/>
      <c r="AV69" s="376"/>
      <c r="AW69" s="376"/>
      <c r="AX69" s="376"/>
      <c r="AY69" s="376"/>
      <c r="AZ69" s="376"/>
      <c r="BA69" s="377"/>
      <c r="BB69" s="377"/>
      <c r="BC69" s="377"/>
      <c r="BD69" s="377"/>
      <c r="BE69" s="378"/>
      <c r="BF69" s="376"/>
      <c r="BG69" s="376"/>
      <c r="BH69" s="376"/>
      <c r="BI69" s="376"/>
      <c r="BJ69" s="373">
        <v>0.10435583102182062</v>
      </c>
      <c r="BK69" s="373">
        <v>0.11452787411818852</v>
      </c>
      <c r="BL69" s="373">
        <v>0.16898444007808577</v>
      </c>
      <c r="BM69" s="373">
        <v>9.1649811566877473E-2</v>
      </c>
      <c r="BN69" s="379">
        <v>0.17563269184402719</v>
      </c>
      <c r="BO69" s="373">
        <v>0.12284570413552869</v>
      </c>
      <c r="BP69" s="373">
        <v>0.12965525631072075</v>
      </c>
      <c r="BQ69" s="373">
        <v>0.12998756937974729</v>
      </c>
      <c r="BR69" s="379">
        <v>7.3327462600246252E-2</v>
      </c>
      <c r="BS69" s="373">
        <v>0.13964144912024057</v>
      </c>
      <c r="BT69" s="373">
        <v>0.12293723119752147</v>
      </c>
      <c r="BU69" s="373">
        <v>0.11221561728403139</v>
      </c>
      <c r="BV69" s="379">
        <v>1.7906530268122802E-2</v>
      </c>
      <c r="BW69" s="373">
        <v>0.10030232114760521</v>
      </c>
      <c r="BX69" s="373">
        <v>7.6868273288733829E-2</v>
      </c>
      <c r="BY69" s="373">
        <v>0.15552311629509841</v>
      </c>
      <c r="BZ69" s="379">
        <f t="shared" ref="BZ69:DE69" si="124">BZ66/$A$68*4</f>
        <v>5.5081531419192309E-2</v>
      </c>
      <c r="CA69" s="373">
        <f t="shared" si="124"/>
        <v>3.4599845192876365E-2</v>
      </c>
      <c r="CB69" s="373">
        <f t="shared" si="124"/>
        <v>6.7283644371341308E-2</v>
      </c>
      <c r="CC69" s="373">
        <f t="shared" si="124"/>
        <v>3.9067850109869531E-2</v>
      </c>
      <c r="CD69" s="379">
        <f t="shared" si="124"/>
        <v>9.9985771798716504E-3</v>
      </c>
      <c r="CE69" s="373">
        <f t="shared" si="124"/>
        <v>6.0045727239526378E-2</v>
      </c>
      <c r="CF69" s="373">
        <f t="shared" si="124"/>
        <v>6.1806712265655456E-2</v>
      </c>
      <c r="CG69" s="373">
        <f t="shared" si="124"/>
        <v>0.10079123537163746</v>
      </c>
      <c r="CH69" s="379">
        <f t="shared" si="124"/>
        <v>3.3576728744155016E-2</v>
      </c>
      <c r="CI69" s="373">
        <f t="shared" si="124"/>
        <v>7.1664870839210776E-2</v>
      </c>
      <c r="CJ69" s="373">
        <f t="shared" si="124"/>
        <v>8.2306637742780922E-2</v>
      </c>
      <c r="CK69" s="373">
        <f t="shared" si="124"/>
        <v>8.3319677038577317E-2</v>
      </c>
      <c r="CL69" s="379">
        <f t="shared" si="124"/>
        <v>7.9788936990398629E-2</v>
      </c>
      <c r="CM69" s="373">
        <f t="shared" si="124"/>
        <v>9.7645220676679356E-2</v>
      </c>
      <c r="CN69" s="373">
        <f t="shared" si="124"/>
        <v>0.13509421758113196</v>
      </c>
      <c r="CO69" s="373">
        <f t="shared" si="124"/>
        <v>0.11269427661973605</v>
      </c>
      <c r="CP69" s="379">
        <f t="shared" si="124"/>
        <v>0.10613793873223001</v>
      </c>
      <c r="CQ69" s="373">
        <f t="shared" si="124"/>
        <v>0.16074623246473316</v>
      </c>
      <c r="CR69" s="373">
        <f t="shared" si="124"/>
        <v>0.12154251753876402</v>
      </c>
      <c r="CS69" s="373">
        <f t="shared" si="124"/>
        <v>0.10273859385450282</v>
      </c>
      <c r="CT69" s="379">
        <f t="shared" si="124"/>
        <v>1.9523603731855507E-2</v>
      </c>
      <c r="CU69" s="373">
        <f t="shared" si="124"/>
        <v>9.2961950052548772E-2</v>
      </c>
      <c r="CV69" s="373">
        <f t="shared" si="124"/>
        <v>0.14772897882923625</v>
      </c>
      <c r="CW69" s="380">
        <f t="shared" si="124"/>
        <v>0.13253796056125622</v>
      </c>
      <c r="CX69" s="373">
        <f t="shared" si="124"/>
        <v>6.9031271497869653E-2</v>
      </c>
      <c r="CY69" s="373">
        <f t="shared" si="124"/>
        <v>0.15675872777735025</v>
      </c>
      <c r="CZ69" s="373">
        <f t="shared" si="124"/>
        <v>0.16071043075817484</v>
      </c>
      <c r="DA69" s="373">
        <f t="shared" si="124"/>
        <v>5.3664166600232842E-2</v>
      </c>
      <c r="DB69" s="379">
        <f t="shared" si="124"/>
        <v>0.11247985296601558</v>
      </c>
      <c r="DC69" s="373">
        <f t="shared" si="124"/>
        <v>0.16040331284514767</v>
      </c>
      <c r="DD69" s="373">
        <f t="shared" si="124"/>
        <v>0.20163052379450452</v>
      </c>
      <c r="DE69" s="373">
        <f t="shared" si="124"/>
        <v>0.16112248089726977</v>
      </c>
      <c r="DF69" s="379">
        <f t="shared" ref="DF69:DM69" si="125">DF66/$A$68*4</f>
        <v>5.9218167634567047E-2</v>
      </c>
      <c r="DG69" s="373">
        <f t="shared" si="125"/>
        <v>6.5748233857618257E-2</v>
      </c>
      <c r="DH69" s="373">
        <f t="shared" si="125"/>
        <v>8.3485164604207809E-2</v>
      </c>
      <c r="DI69" s="373">
        <f t="shared" si="125"/>
        <v>5.7496598686547863E-2</v>
      </c>
      <c r="DJ69" s="379">
        <f>DJ66/$A$68*4</f>
        <v>0.12976425113592352</v>
      </c>
      <c r="DK69" s="373">
        <f>DK66/$A$68*4</f>
        <v>8.552081223637982E-2</v>
      </c>
      <c r="DL69" s="373">
        <f>DL66/$A$68*4</f>
        <v>0.10364315900633408</v>
      </c>
      <c r="DM69" s="1560">
        <f t="shared" si="125"/>
        <v>0.10628480252388585</v>
      </c>
      <c r="DN69" s="2139">
        <f>DN66/$A$68*4</f>
        <v>8.1153192501078691E-2</v>
      </c>
      <c r="DO69" s="1429">
        <f>DO66/$A$68*4</f>
        <v>3.0694101826424854E-2</v>
      </c>
      <c r="DP69" s="1429">
        <f>DP66/$A$68*4</f>
        <v>1.3562466578027697E-2</v>
      </c>
      <c r="DQ69" s="1560">
        <f>DQ66/$A$68*4</f>
        <v>-1.1567522520834744E-2</v>
      </c>
      <c r="DR69" s="2139">
        <f t="shared" ref="DR69:DU69" si="126">DR66/$A$68*4</f>
        <v>-2.7882758632829487E-2</v>
      </c>
      <c r="DS69" s="1429">
        <f t="shared" si="126"/>
        <v>8.6469915549327189E-2</v>
      </c>
      <c r="DT69" s="1429">
        <f t="shared" si="126"/>
        <v>6.0966214974776285E-2</v>
      </c>
      <c r="DU69" s="1560">
        <f t="shared" si="126"/>
        <v>4.2597567073829584E-2</v>
      </c>
      <c r="DV69" s="2139">
        <f t="shared" ref="DV69:DY69" si="127">DV66/$A$68*4</f>
        <v>5.815654269863875E-2</v>
      </c>
      <c r="DW69" s="1429">
        <f t="shared" ca="1" si="127"/>
        <v>9.4964481329755379E-2</v>
      </c>
      <c r="DX69" s="1429">
        <f t="shared" ca="1" si="127"/>
        <v>9.0319756456420847E-2</v>
      </c>
      <c r="DY69" s="1560">
        <f t="shared" ca="1" si="127"/>
        <v>9.1771943150578905E-2</v>
      </c>
      <c r="DZ69" s="94"/>
    </row>
    <row r="70" spans="1:130" hidden="1">
      <c r="A70" s="109"/>
      <c r="B70" s="109"/>
      <c r="C70" s="109"/>
      <c r="D70" s="109"/>
      <c r="E70" s="109"/>
      <c r="F70" s="109"/>
      <c r="G70" s="109"/>
      <c r="H70" s="109"/>
      <c r="I70" s="109"/>
      <c r="J70" s="109"/>
      <c r="K70" s="109"/>
      <c r="L70" s="109"/>
      <c r="M70" s="109"/>
      <c r="N70" s="109"/>
      <c r="O70" s="109"/>
      <c r="P70" s="109"/>
      <c r="Q70" s="109"/>
      <c r="R70" s="109"/>
      <c r="S70" s="109"/>
      <c r="T70" s="109"/>
      <c r="U70" s="1044"/>
      <c r="V70" s="109"/>
      <c r="W70" s="109"/>
      <c r="X70" s="109"/>
      <c r="Y70" s="109"/>
      <c r="Z70" s="109"/>
      <c r="AA70" s="109"/>
      <c r="AB70" s="109"/>
      <c r="AC70" s="109"/>
      <c r="AD70" s="109"/>
      <c r="AE70" s="109"/>
      <c r="AF70" s="109"/>
      <c r="AG70" s="109"/>
      <c r="AH70" s="1236"/>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c r="BJ70" s="109"/>
      <c r="BK70" s="109"/>
      <c r="BL70" s="109"/>
      <c r="BM70" s="109"/>
      <c r="BN70" s="171"/>
      <c r="BO70" s="109"/>
      <c r="BP70" s="109"/>
      <c r="BQ70" s="109"/>
      <c r="BR70" s="171"/>
      <c r="BS70" s="109"/>
      <c r="BT70" s="109"/>
      <c r="BU70" s="109"/>
      <c r="BV70" s="171"/>
      <c r="BW70" s="109"/>
      <c r="BX70" s="109"/>
      <c r="BY70" s="109"/>
      <c r="BZ70" s="171"/>
      <c r="CA70" s="109"/>
      <c r="CB70" s="109"/>
      <c r="CC70" s="109"/>
      <c r="CD70" s="171"/>
      <c r="CE70" s="109"/>
      <c r="CF70" s="109"/>
      <c r="CG70" s="109"/>
      <c r="CH70" s="171"/>
      <c r="CI70" s="109"/>
      <c r="CJ70" s="109"/>
      <c r="CK70" s="109"/>
      <c r="CL70" s="171"/>
      <c r="CM70" s="109"/>
      <c r="CN70" s="109"/>
      <c r="CO70" s="109"/>
      <c r="CP70" s="171"/>
      <c r="CQ70" s="109"/>
      <c r="CR70" s="109"/>
      <c r="CS70" s="109"/>
      <c r="CT70" s="171"/>
      <c r="CU70" s="109"/>
      <c r="CV70" s="109"/>
      <c r="CW70" s="172"/>
      <c r="CX70" s="109"/>
      <c r="CY70" s="109"/>
      <c r="CZ70" s="109"/>
      <c r="DA70" s="109"/>
      <c r="DB70" s="171"/>
      <c r="DC70" s="109"/>
      <c r="DD70" s="109"/>
      <c r="DE70" s="109"/>
      <c r="DF70" s="171"/>
      <c r="DG70" s="1044"/>
      <c r="DH70" s="1044"/>
      <c r="DI70" s="1044"/>
      <c r="DJ70" s="171"/>
      <c r="DK70" s="1044"/>
      <c r="DL70" s="1044"/>
      <c r="DM70" s="172"/>
      <c r="DN70" s="171"/>
      <c r="DO70" s="1044"/>
      <c r="DP70" s="1044"/>
      <c r="DQ70" s="172"/>
      <c r="DR70" s="171"/>
      <c r="DS70" s="1044"/>
      <c r="DT70" s="1044"/>
      <c r="DU70" s="172"/>
      <c r="DV70" s="171"/>
      <c r="DW70" s="1044"/>
      <c r="DX70" s="1044"/>
      <c r="DY70" s="172"/>
      <c r="DZ70" s="109"/>
    </row>
    <row r="71" spans="1:130" hidden="1">
      <c r="A71" s="109" t="s">
        <v>1404</v>
      </c>
      <c r="B71" s="109"/>
      <c r="C71" s="109"/>
      <c r="D71" s="109"/>
      <c r="E71" s="109"/>
      <c r="F71" s="109"/>
      <c r="G71" s="109"/>
      <c r="H71" s="109"/>
      <c r="I71" s="109"/>
      <c r="J71" s="109">
        <v>4838</v>
      </c>
      <c r="K71" s="109">
        <v>6329</v>
      </c>
      <c r="L71" s="109">
        <v>4299</v>
      </c>
      <c r="M71" s="109">
        <v>2261</v>
      </c>
      <c r="N71" s="109">
        <f t="shared" ref="N71:Z71" si="128">N65+N52</f>
        <v>2286</v>
      </c>
      <c r="O71" s="109">
        <f t="shared" si="128"/>
        <v>3428</v>
      </c>
      <c r="P71" s="109">
        <f t="shared" si="128"/>
        <v>4388</v>
      </c>
      <c r="Q71" s="109">
        <f t="shared" si="128"/>
        <v>9422</v>
      </c>
      <c r="R71" s="109">
        <f t="shared" si="128"/>
        <v>11493</v>
      </c>
      <c r="S71" s="109">
        <f t="shared" si="128"/>
        <v>7981</v>
      </c>
      <c r="T71" s="109">
        <f>T65+T52</f>
        <v>10081</v>
      </c>
      <c r="U71" s="1044">
        <f t="shared" si="128"/>
        <v>16278</v>
      </c>
      <c r="V71" s="109">
        <f t="shared" si="128"/>
        <v>5637</v>
      </c>
      <c r="W71" s="109">
        <f>W65+W52</f>
        <v>12617</v>
      </c>
      <c r="X71" s="109">
        <f t="shared" si="128"/>
        <v>-3606</v>
      </c>
      <c r="Y71" s="109">
        <f t="shared" si="128"/>
        <v>-1414</v>
      </c>
      <c r="Z71" s="109">
        <f t="shared" ca="1" si="128"/>
        <v>7011.9532303645319</v>
      </c>
      <c r="AA71" s="109">
        <f ca="1">AA65+AA52</f>
        <v>9663.4027787488121</v>
      </c>
      <c r="AB71" s="109">
        <f ca="1">AB65+AB52</f>
        <v>10088.141368241961</v>
      </c>
      <c r="AC71" s="109"/>
      <c r="AD71" s="109"/>
      <c r="AE71" s="109"/>
      <c r="AF71" s="109"/>
      <c r="AG71" s="109"/>
      <c r="AH71" s="1236"/>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c r="BE71" s="109"/>
      <c r="BF71" s="109"/>
      <c r="BG71" s="109"/>
      <c r="BH71" s="109"/>
      <c r="BI71" s="109"/>
      <c r="BJ71" s="109">
        <v>909</v>
      </c>
      <c r="BK71" s="109">
        <v>1110</v>
      </c>
      <c r="BL71" s="109">
        <v>2138</v>
      </c>
      <c r="BM71" s="109">
        <v>681</v>
      </c>
      <c r="BN71" s="171">
        <v>2273</v>
      </c>
      <c r="BO71" s="109">
        <v>1272</v>
      </c>
      <c r="BP71" s="109">
        <v>1402</v>
      </c>
      <c r="BQ71" s="109">
        <v>1407</v>
      </c>
      <c r="BR71" s="171">
        <v>336</v>
      </c>
      <c r="BS71" s="109">
        <v>1602</v>
      </c>
      <c r="BT71" s="109">
        <v>1281</v>
      </c>
      <c r="BU71" s="109">
        <v>1080</v>
      </c>
      <c r="BV71" s="171">
        <v>-724</v>
      </c>
      <c r="BW71" s="109">
        <v>793</v>
      </c>
      <c r="BX71" s="109">
        <v>346</v>
      </c>
      <c r="BY71" s="109">
        <v>1846</v>
      </c>
      <c r="BZ71" s="171">
        <f t="shared" ref="BZ71:DE71" si="129">BZ65+BZ52</f>
        <v>800</v>
      </c>
      <c r="CA71" s="109">
        <f t="shared" si="129"/>
        <v>61</v>
      </c>
      <c r="CB71" s="109">
        <f t="shared" si="129"/>
        <v>1220</v>
      </c>
      <c r="CC71" s="109">
        <f t="shared" si="129"/>
        <v>205</v>
      </c>
      <c r="CD71" s="171">
        <f t="shared" si="129"/>
        <v>-825</v>
      </c>
      <c r="CE71" s="109">
        <f t="shared" si="129"/>
        <v>959</v>
      </c>
      <c r="CF71" s="109">
        <f t="shared" si="129"/>
        <v>994</v>
      </c>
      <c r="CG71" s="109">
        <f t="shared" si="129"/>
        <v>2300</v>
      </c>
      <c r="CH71" s="171">
        <f t="shared" si="129"/>
        <v>-67</v>
      </c>
      <c r="CI71" s="109">
        <f t="shared" si="129"/>
        <v>1258</v>
      </c>
      <c r="CJ71" s="109">
        <f t="shared" si="129"/>
        <v>1625</v>
      </c>
      <c r="CK71" s="109">
        <f t="shared" si="129"/>
        <v>1572</v>
      </c>
      <c r="CL71" s="171">
        <f t="shared" si="129"/>
        <v>1450</v>
      </c>
      <c r="CM71" s="109">
        <f t="shared" si="129"/>
        <v>2067</v>
      </c>
      <c r="CN71" s="109">
        <f t="shared" si="129"/>
        <v>3362</v>
      </c>
      <c r="CO71" s="109">
        <f t="shared" si="129"/>
        <v>2543</v>
      </c>
      <c r="CP71" s="171">
        <f t="shared" si="129"/>
        <v>2314</v>
      </c>
      <c r="CQ71" s="109">
        <f t="shared" si="129"/>
        <v>4184</v>
      </c>
      <c r="CR71" s="109">
        <f t="shared" si="129"/>
        <v>2838</v>
      </c>
      <c r="CS71" s="109">
        <f t="shared" si="129"/>
        <v>2157</v>
      </c>
      <c r="CT71" s="171">
        <f t="shared" si="129"/>
        <v>-707</v>
      </c>
      <c r="CU71" s="109">
        <f t="shared" si="129"/>
        <v>1822</v>
      </c>
      <c r="CV71" s="109">
        <f t="shared" si="129"/>
        <v>3712</v>
      </c>
      <c r="CW71" s="172">
        <f t="shared" si="129"/>
        <v>3154</v>
      </c>
      <c r="CX71" s="109">
        <f t="shared" si="129"/>
        <v>1101</v>
      </c>
      <c r="CY71" s="109">
        <f t="shared" si="129"/>
        <v>4153</v>
      </c>
      <c r="CZ71" s="109">
        <f t="shared" si="129"/>
        <v>4302</v>
      </c>
      <c r="DA71" s="109">
        <f t="shared" si="129"/>
        <v>525</v>
      </c>
      <c r="DB71" s="171">
        <f t="shared" si="129"/>
        <v>2457</v>
      </c>
      <c r="DC71" s="109">
        <f t="shared" si="129"/>
        <v>4129</v>
      </c>
      <c r="DD71" s="109">
        <f t="shared" si="129"/>
        <v>5574</v>
      </c>
      <c r="DE71" s="109">
        <f t="shared" si="129"/>
        <v>4118</v>
      </c>
      <c r="DF71" s="171">
        <f t="shared" ref="DF71:DM71" si="130">DF65+DF52</f>
        <v>1472</v>
      </c>
      <c r="DG71" s="1044">
        <f t="shared" si="130"/>
        <v>1255</v>
      </c>
      <c r="DH71" s="1044">
        <f t="shared" si="130"/>
        <v>2153</v>
      </c>
      <c r="DI71" s="1044">
        <f t="shared" si="130"/>
        <v>757</v>
      </c>
      <c r="DJ71" s="171">
        <f>DJ65+DJ52</f>
        <v>4351</v>
      </c>
      <c r="DK71" s="1044">
        <f>DK65+DK52</f>
        <v>2136</v>
      </c>
      <c r="DL71" s="1044">
        <f>DL65+DL52</f>
        <v>3026</v>
      </c>
      <c r="DM71" s="172">
        <f t="shared" si="130"/>
        <v>3104</v>
      </c>
      <c r="DN71" s="171">
        <f>DN65+DN52</f>
        <v>1730</v>
      </c>
      <c r="DO71" s="1044">
        <f>DO65+DO52</f>
        <v>-778</v>
      </c>
      <c r="DP71" s="1044">
        <f>DP65+DP52</f>
        <v>-1629</v>
      </c>
      <c r="DQ71" s="172">
        <f>DQ65+DQ52</f>
        <v>-2929</v>
      </c>
      <c r="DR71" s="171">
        <f t="shared" ref="DR71:DU71" si="131">DR65+DR52</f>
        <v>-3740</v>
      </c>
      <c r="DS71" s="1044">
        <f t="shared" si="131"/>
        <v>1937</v>
      </c>
      <c r="DT71" s="1044">
        <f t="shared" si="131"/>
        <v>675</v>
      </c>
      <c r="DU71" s="172">
        <f t="shared" si="131"/>
        <v>-286</v>
      </c>
      <c r="DV71" s="171">
        <f t="shared" ref="DV71:DY71" si="132">DV65+DV52</f>
        <v>498</v>
      </c>
      <c r="DW71" s="1044">
        <f t="shared" ca="1" si="132"/>
        <v>2336.6115056278445</v>
      </c>
      <c r="DX71" s="1044">
        <f t="shared" ca="1" si="132"/>
        <v>2051.8951752310149</v>
      </c>
      <c r="DY71" s="172">
        <f t="shared" ca="1" si="132"/>
        <v>2125.4465495056784</v>
      </c>
      <c r="DZ71" s="109"/>
    </row>
    <row r="72" spans="1:130" hidden="1">
      <c r="A72" s="109"/>
      <c r="B72" s="109"/>
      <c r="C72" s="109"/>
      <c r="D72" s="109"/>
      <c r="E72" s="109"/>
      <c r="F72" s="109"/>
      <c r="G72" s="109"/>
      <c r="H72" s="109"/>
      <c r="I72" s="109"/>
      <c r="J72" s="109"/>
      <c r="K72" s="109"/>
      <c r="L72" s="109"/>
      <c r="M72" s="109"/>
      <c r="N72" s="109"/>
      <c r="O72" s="109"/>
      <c r="P72" s="109"/>
      <c r="Q72" s="109"/>
      <c r="R72" s="109"/>
      <c r="S72" s="109"/>
      <c r="T72" s="109"/>
      <c r="U72" s="1044"/>
      <c r="V72" s="109"/>
      <c r="W72" s="109"/>
      <c r="X72" s="109"/>
      <c r="Y72" s="109"/>
      <c r="Z72" s="109"/>
      <c r="AA72" s="109"/>
      <c r="AB72" s="109"/>
      <c r="AC72" s="109"/>
      <c r="AD72" s="109"/>
      <c r="AE72" s="109"/>
      <c r="AF72" s="109"/>
      <c r="AG72" s="109"/>
      <c r="AH72" s="1236"/>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c r="BE72" s="109"/>
      <c r="BF72" s="109"/>
      <c r="BG72" s="109"/>
      <c r="BH72" s="109"/>
      <c r="BI72" s="109"/>
      <c r="BJ72" s="109"/>
      <c r="BK72" s="109"/>
      <c r="BL72" s="109"/>
      <c r="BM72" s="109"/>
      <c r="BN72" s="171"/>
      <c r="BO72" s="109"/>
      <c r="BP72" s="109"/>
      <c r="BQ72" s="109"/>
      <c r="BR72" s="171"/>
      <c r="BS72" s="109"/>
      <c r="BT72" s="109"/>
      <c r="BU72" s="109"/>
      <c r="BV72" s="171"/>
      <c r="BW72" s="109"/>
      <c r="BX72" s="109"/>
      <c r="BY72" s="109"/>
      <c r="BZ72" s="171"/>
      <c r="CA72" s="109"/>
      <c r="CB72" s="109"/>
      <c r="CC72" s="109"/>
      <c r="CD72" s="171"/>
      <c r="CE72" s="109"/>
      <c r="CF72" s="109"/>
      <c r="CG72" s="109"/>
      <c r="CH72" s="171"/>
      <c r="CI72" s="109"/>
      <c r="CJ72" s="109"/>
      <c r="CK72" s="109"/>
      <c r="CL72" s="171"/>
      <c r="CM72" s="109"/>
      <c r="CN72" s="109"/>
      <c r="CO72" s="109"/>
      <c r="CP72" s="171"/>
      <c r="CQ72" s="109"/>
      <c r="CR72" s="109"/>
      <c r="CS72" s="109"/>
      <c r="CT72" s="171"/>
      <c r="CU72" s="109"/>
      <c r="CV72" s="109"/>
      <c r="CW72" s="172"/>
      <c r="CX72" s="109"/>
      <c r="CY72" s="109"/>
      <c r="CZ72" s="109"/>
      <c r="DA72" s="109"/>
      <c r="DB72" s="171"/>
      <c r="DC72" s="109"/>
      <c r="DD72" s="109"/>
      <c r="DE72" s="109"/>
      <c r="DF72" s="171"/>
      <c r="DG72" s="1044"/>
      <c r="DH72" s="1044"/>
      <c r="DI72" s="1044"/>
      <c r="DJ72" s="171"/>
      <c r="DK72" s="1044"/>
      <c r="DL72" s="1044"/>
      <c r="DM72" s="172"/>
      <c r="DN72" s="171"/>
      <c r="DO72" s="1044"/>
      <c r="DP72" s="1044"/>
      <c r="DQ72" s="172"/>
      <c r="DR72" s="171"/>
      <c r="DS72" s="1044"/>
      <c r="DT72" s="1044"/>
      <c r="DU72" s="172"/>
      <c r="DV72" s="171"/>
      <c r="DW72" s="1044"/>
      <c r="DX72" s="1044"/>
      <c r="DY72" s="172"/>
      <c r="DZ72" s="109"/>
    </row>
    <row r="73" spans="1:130" hidden="1">
      <c r="A73" s="169" t="s">
        <v>984</v>
      </c>
      <c r="B73" s="169"/>
      <c r="C73" s="169"/>
      <c r="D73" s="169"/>
      <c r="E73" s="169"/>
      <c r="F73" s="382"/>
      <c r="G73" s="382"/>
      <c r="H73" s="382"/>
      <c r="I73" s="382">
        <v>590</v>
      </c>
      <c r="J73" s="382">
        <v>4079</v>
      </c>
      <c r="K73" s="382">
        <v>3460</v>
      </c>
      <c r="L73" s="382">
        <v>7261</v>
      </c>
      <c r="M73" s="382">
        <v>7397</v>
      </c>
      <c r="N73" s="382">
        <f>N12</f>
        <v>6197</v>
      </c>
      <c r="O73" s="382">
        <f>O12</f>
        <v>5521</v>
      </c>
      <c r="P73" s="382">
        <f>P12</f>
        <v>6428</v>
      </c>
      <c r="Q73" s="382">
        <f>Q12</f>
        <v>10358</v>
      </c>
      <c r="R73" s="382">
        <f>IS!R92</f>
        <v>13946.387999999999</v>
      </c>
      <c r="S73" s="382">
        <f>IS!S92</f>
        <v>13883.032499999999</v>
      </c>
      <c r="T73" s="382">
        <f>IS!T92</f>
        <v>16046.513999999999</v>
      </c>
      <c r="U73" s="1093">
        <f>IS!U92</f>
        <v>20023.39</v>
      </c>
      <c r="V73" s="382">
        <f>IS!V92</f>
        <v>16539.64</v>
      </c>
      <c r="W73" s="382">
        <f>IS!W92</f>
        <v>14619.8</v>
      </c>
      <c r="X73" s="382">
        <f>IS!X92</f>
        <v>15768.26</v>
      </c>
      <c r="Y73" s="382">
        <f>IS!Y92</f>
        <v>15724</v>
      </c>
      <c r="Z73" s="382">
        <f ca="1">IS!Z92</f>
        <v>19245.505399655231</v>
      </c>
      <c r="AA73" s="382">
        <f ca="1">IS!AA92</f>
        <v>20033.296174750736</v>
      </c>
      <c r="AB73" s="382">
        <f ca="1">IS!AB92</f>
        <v>20930.060741173267</v>
      </c>
      <c r="AC73" s="382"/>
      <c r="AD73" s="382"/>
      <c r="AE73" s="382"/>
      <c r="AF73" s="382"/>
      <c r="AG73" s="382"/>
      <c r="AH73" s="1236"/>
      <c r="AI73" s="169"/>
      <c r="AJ73" s="169"/>
      <c r="AK73" s="169"/>
      <c r="AL73" s="169"/>
      <c r="AM73" s="169"/>
      <c r="AN73" s="169"/>
      <c r="AO73" s="169"/>
      <c r="AP73" s="169"/>
      <c r="AQ73" s="169"/>
      <c r="AR73" s="169"/>
      <c r="AS73" s="169"/>
      <c r="AT73" s="169"/>
      <c r="AU73" s="169"/>
      <c r="AV73" s="169"/>
      <c r="AW73" s="169"/>
      <c r="AX73" s="169"/>
      <c r="AY73" s="169"/>
      <c r="AZ73" s="169"/>
      <c r="BA73" s="169"/>
      <c r="BB73" s="169"/>
      <c r="BC73" s="169"/>
      <c r="BD73" s="169"/>
      <c r="BE73" s="169"/>
      <c r="BF73" s="169"/>
      <c r="BG73" s="169"/>
      <c r="BH73" s="169"/>
      <c r="BI73" s="169"/>
      <c r="BJ73" s="382">
        <v>-501</v>
      </c>
      <c r="BK73" s="382">
        <v>-2115</v>
      </c>
      <c r="BL73" s="382">
        <v>4405</v>
      </c>
      <c r="BM73" s="382">
        <v>2290</v>
      </c>
      <c r="BN73" s="383">
        <v>1894</v>
      </c>
      <c r="BO73" s="382">
        <v>1251</v>
      </c>
      <c r="BP73" s="382">
        <v>1786</v>
      </c>
      <c r="BQ73" s="382">
        <v>-1471</v>
      </c>
      <c r="BR73" s="383">
        <v>1183</v>
      </c>
      <c r="BS73" s="382">
        <v>1782</v>
      </c>
      <c r="BT73" s="382">
        <v>1779</v>
      </c>
      <c r="BU73" s="382">
        <v>2517</v>
      </c>
      <c r="BV73" s="383">
        <v>1757</v>
      </c>
      <c r="BW73" s="382">
        <v>2113</v>
      </c>
      <c r="BX73" s="382">
        <v>1869</v>
      </c>
      <c r="BY73" s="382">
        <v>1658</v>
      </c>
      <c r="BZ73" s="383">
        <f t="shared" ref="BZ73:DM73" si="133">BZ12</f>
        <v>1632</v>
      </c>
      <c r="CA73" s="382">
        <f t="shared" si="133"/>
        <v>1611</v>
      </c>
      <c r="CB73" s="382">
        <f t="shared" si="133"/>
        <v>1922</v>
      </c>
      <c r="CC73" s="382">
        <f t="shared" si="133"/>
        <v>1032</v>
      </c>
      <c r="CD73" s="383">
        <f t="shared" si="133"/>
        <v>1495</v>
      </c>
      <c r="CE73" s="382">
        <f t="shared" si="133"/>
        <v>1683</v>
      </c>
      <c r="CF73" s="382">
        <f t="shared" si="133"/>
        <v>1271</v>
      </c>
      <c r="CG73" s="382">
        <f t="shared" si="133"/>
        <v>1072</v>
      </c>
      <c r="CH73" s="383">
        <f t="shared" si="133"/>
        <v>1642</v>
      </c>
      <c r="CI73" s="382">
        <f t="shared" si="133"/>
        <v>1882</v>
      </c>
      <c r="CJ73" s="382">
        <f t="shared" si="133"/>
        <v>1669</v>
      </c>
      <c r="CK73" s="382">
        <f t="shared" si="133"/>
        <v>1235</v>
      </c>
      <c r="CL73" s="383">
        <f t="shared" si="133"/>
        <v>3210</v>
      </c>
      <c r="CM73" s="382">
        <f t="shared" si="133"/>
        <v>3160</v>
      </c>
      <c r="CN73" s="382">
        <f t="shared" si="133"/>
        <v>2887</v>
      </c>
      <c r="CO73" s="382">
        <f t="shared" si="133"/>
        <v>1101</v>
      </c>
      <c r="CP73" s="383">
        <f t="shared" si="133"/>
        <v>2318</v>
      </c>
      <c r="CQ73" s="382">
        <f t="shared" si="133"/>
        <v>553</v>
      </c>
      <c r="CR73" s="382">
        <f t="shared" si="133"/>
        <v>2698</v>
      </c>
      <c r="CS73" s="382">
        <f t="shared" si="133"/>
        <v>4648</v>
      </c>
      <c r="CT73" s="383">
        <f t="shared" si="133"/>
        <v>3264</v>
      </c>
      <c r="CU73" s="382">
        <f t="shared" si="133"/>
        <v>3604</v>
      </c>
      <c r="CV73" s="382">
        <f t="shared" si="133"/>
        <v>3542</v>
      </c>
      <c r="CW73" s="384">
        <f t="shared" si="133"/>
        <v>-212</v>
      </c>
      <c r="CX73" s="382">
        <f t="shared" si="133"/>
        <v>3906</v>
      </c>
      <c r="CY73" s="382">
        <f t="shared" si="133"/>
        <v>4285</v>
      </c>
      <c r="CZ73" s="382">
        <f t="shared" si="133"/>
        <v>4292</v>
      </c>
      <c r="DA73" s="382">
        <f t="shared" si="133"/>
        <v>-1926</v>
      </c>
      <c r="DB73" s="383">
        <f t="shared" si="133"/>
        <v>4855</v>
      </c>
      <c r="DC73" s="382">
        <f t="shared" si="133"/>
        <v>5198</v>
      </c>
      <c r="DD73" s="382">
        <f t="shared" si="133"/>
        <v>5578</v>
      </c>
      <c r="DE73" s="382">
        <f t="shared" si="133"/>
        <v>7916</v>
      </c>
      <c r="DF73" s="383">
        <f t="shared" si="133"/>
        <v>5986</v>
      </c>
      <c r="DG73" s="1093">
        <f t="shared" si="133"/>
        <v>4324</v>
      </c>
      <c r="DH73" s="1093">
        <f t="shared" si="133"/>
        <v>3794</v>
      </c>
      <c r="DI73" s="1093">
        <f>DI12</f>
        <v>-2148</v>
      </c>
      <c r="DJ73" s="383">
        <f>DJ12</f>
        <v>4338</v>
      </c>
      <c r="DK73" s="1093">
        <f>DK12</f>
        <v>4353</v>
      </c>
      <c r="DL73" s="1093">
        <f>DL12</f>
        <v>4171</v>
      </c>
      <c r="DM73" s="384">
        <f t="shared" si="133"/>
        <v>5513</v>
      </c>
      <c r="DN73" s="383">
        <f>DN12</f>
        <v>4430</v>
      </c>
      <c r="DO73" s="1093">
        <f>DO12</f>
        <v>831</v>
      </c>
      <c r="DP73" s="1093">
        <f>DP12</f>
        <v>3747</v>
      </c>
      <c r="DQ73" s="384">
        <f>DQ12</f>
        <v>4600</v>
      </c>
      <c r="DR73" s="383">
        <f t="shared" ref="DR73:DU73" si="134">DR12</f>
        <v>3553</v>
      </c>
      <c r="DS73" s="1093">
        <f t="shared" si="134"/>
        <v>4478</v>
      </c>
      <c r="DT73" s="1093">
        <f t="shared" si="134"/>
        <v>3736</v>
      </c>
      <c r="DU73" s="384">
        <f t="shared" si="134"/>
        <v>18783</v>
      </c>
      <c r="DV73" s="383">
        <f t="shared" ref="DV73:DY73" si="135">DV12</f>
        <v>4666</v>
      </c>
      <c r="DW73" s="1093">
        <f t="shared" ca="1" si="135"/>
        <v>4919.2889958442465</v>
      </c>
      <c r="DX73" s="1093">
        <f t="shared" ca="1" si="135"/>
        <v>5129.5100402660883</v>
      </c>
      <c r="DY73" s="384">
        <f t="shared" ca="1" si="135"/>
        <v>4264.7063635449067</v>
      </c>
      <c r="DZ73" s="169"/>
    </row>
    <row r="74" spans="1:130" hidden="1">
      <c r="A74" s="1470" t="s">
        <v>1552</v>
      </c>
      <c r="B74" s="109"/>
      <c r="C74" s="109"/>
      <c r="D74" s="109"/>
      <c r="E74" s="109"/>
      <c r="F74" s="385"/>
      <c r="G74" s="385"/>
      <c r="H74" s="385"/>
      <c r="I74" s="385">
        <v>674</v>
      </c>
      <c r="J74" s="385">
        <v>-733</v>
      </c>
      <c r="K74" s="385">
        <v>-1085</v>
      </c>
      <c r="L74" s="385">
        <v>-936</v>
      </c>
      <c r="M74" s="385">
        <v>-778</v>
      </c>
      <c r="N74" s="385">
        <f>-IS!N67</f>
        <v>-773</v>
      </c>
      <c r="O74" s="385">
        <f>-IS!O67</f>
        <v>-585</v>
      </c>
      <c r="P74" s="385">
        <f>-IS!P67</f>
        <v>-567</v>
      </c>
      <c r="Q74" s="385">
        <f>-IS!Q67</f>
        <v>-553</v>
      </c>
      <c r="R74" s="385">
        <f>-IS!R67</f>
        <v>-508</v>
      </c>
      <c r="S74" s="385">
        <f>-IS!S67</f>
        <v>-444</v>
      </c>
      <c r="T74" s="385">
        <f>-IS!T67</f>
        <v>-324</v>
      </c>
      <c r="U74" s="1094">
        <f>-IS!U67</f>
        <v>-142</v>
      </c>
      <c r="V74" s="385">
        <f>-IS!V67</f>
        <v>-1780</v>
      </c>
      <c r="W74" s="385">
        <f>-IS!W67</f>
        <v>86</v>
      </c>
      <c r="X74" s="385">
        <f>-IS!X67</f>
        <v>98</v>
      </c>
      <c r="Y74" s="385">
        <f>-IS!Y67</f>
        <v>77</v>
      </c>
      <c r="Z74" s="385">
        <f>-IS!Z67</f>
        <v>76</v>
      </c>
      <c r="AA74" s="385">
        <f>-IS!AA67</f>
        <v>68.400000000000006</v>
      </c>
      <c r="AB74" s="385">
        <f>-IS!AB67</f>
        <v>61.560000000000009</v>
      </c>
      <c r="AC74" s="385"/>
      <c r="AD74" s="385"/>
      <c r="AE74" s="385"/>
      <c r="AF74" s="385"/>
      <c r="AG74" s="385"/>
      <c r="AH74" s="1236"/>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c r="BE74" s="109"/>
      <c r="BF74" s="109"/>
      <c r="BG74" s="109"/>
      <c r="BH74" s="109"/>
      <c r="BI74" s="109"/>
      <c r="BJ74" s="385">
        <v>145</v>
      </c>
      <c r="BK74" s="385">
        <v>241</v>
      </c>
      <c r="BL74" s="385">
        <v>195</v>
      </c>
      <c r="BM74" s="385">
        <v>152</v>
      </c>
      <c r="BN74" s="386">
        <v>-167</v>
      </c>
      <c r="BO74" s="385">
        <v>-227</v>
      </c>
      <c r="BP74" s="385">
        <v>-438</v>
      </c>
      <c r="BQ74" s="385">
        <v>-253</v>
      </c>
      <c r="BR74" s="386">
        <v>-228</v>
      </c>
      <c r="BS74" s="385">
        <v>-212</v>
      </c>
      <c r="BT74" s="385">
        <v>-226</v>
      </c>
      <c r="BU74" s="385">
        <v>-270</v>
      </c>
      <c r="BV74" s="386">
        <v>-249</v>
      </c>
      <c r="BW74" s="385">
        <v>-178</v>
      </c>
      <c r="BX74" s="385">
        <v>-183</v>
      </c>
      <c r="BY74" s="385">
        <v>-168</v>
      </c>
      <c r="BZ74" s="386">
        <f>-IS!BW67</f>
        <v>-157</v>
      </c>
      <c r="CA74" s="385">
        <f>-IS!BX67</f>
        <v>-171</v>
      </c>
      <c r="CB74" s="385">
        <f>-IS!BY67</f>
        <v>-288</v>
      </c>
      <c r="CC74" s="385">
        <f>-IS!BZ67</f>
        <v>-157</v>
      </c>
      <c r="CD74" s="386">
        <f>-IS!CA67</f>
        <v>-160</v>
      </c>
      <c r="CE74" s="385">
        <f>-IS!CB67</f>
        <v>-185</v>
      </c>
      <c r="CF74" s="385">
        <f>-IS!CC67</f>
        <v>-147</v>
      </c>
      <c r="CG74" s="385">
        <f>-IS!CD67</f>
        <v>-93</v>
      </c>
      <c r="CH74" s="386">
        <f>-IS!CE67</f>
        <v>-97</v>
      </c>
      <c r="CI74" s="385">
        <f>-IS!CF67</f>
        <v>-150</v>
      </c>
      <c r="CJ74" s="385">
        <f>-IS!CG67</f>
        <v>-211</v>
      </c>
      <c r="CK74" s="385">
        <f>-IS!CH67</f>
        <v>-109</v>
      </c>
      <c r="CL74" s="386">
        <f>-IS!CI67</f>
        <v>-128</v>
      </c>
      <c r="CM74" s="385">
        <f>-IS!CJ67</f>
        <v>-128</v>
      </c>
      <c r="CN74" s="385">
        <f>-IS!CK67</f>
        <v>-166</v>
      </c>
      <c r="CO74" s="385">
        <f>-IS!CL67</f>
        <v>-131</v>
      </c>
      <c r="CP74" s="386">
        <f>-IS!CM67</f>
        <v>-133</v>
      </c>
      <c r="CQ74" s="385">
        <f>-IS!CN67</f>
        <v>-121</v>
      </c>
      <c r="CR74" s="385">
        <f>-IS!CO67</f>
        <v>-141</v>
      </c>
      <c r="CS74" s="385">
        <f>-IS!CP67</f>
        <v>-113</v>
      </c>
      <c r="CT74" s="386">
        <f>-IS!CQ67</f>
        <v>-101</v>
      </c>
      <c r="CU74" s="385">
        <f>-IS!CR67</f>
        <v>-121</v>
      </c>
      <c r="CV74" s="385">
        <f>-IS!CS67</f>
        <v>-125</v>
      </c>
      <c r="CW74" s="387">
        <f>-IS!CT67</f>
        <v>-97</v>
      </c>
      <c r="CX74" s="385">
        <f>-IS!CU67</f>
        <v>-103</v>
      </c>
      <c r="CY74" s="385">
        <f>-IS!CV67</f>
        <v>-72</v>
      </c>
      <c r="CZ74" s="385">
        <f>-IS!CW67</f>
        <v>-62</v>
      </c>
      <c r="DA74" s="385">
        <f>-IS!CX67</f>
        <v>-87</v>
      </c>
      <c r="DB74" s="386">
        <f>-IS!CY67</f>
        <v>5</v>
      </c>
      <c r="DC74" s="385">
        <f>-IS!CZ67</f>
        <v>-120</v>
      </c>
      <c r="DD74" s="385">
        <f>-IS!DA67</f>
        <v>-19</v>
      </c>
      <c r="DE74" s="385">
        <f>-IS!DB67</f>
        <v>-8</v>
      </c>
      <c r="DF74" s="386">
        <f>-IS!DC67</f>
        <v>-1902</v>
      </c>
      <c r="DG74" s="1094">
        <f>-IS!DD67</f>
        <v>43</v>
      </c>
      <c r="DH74" s="1094">
        <f>-IS!DE67</f>
        <v>48</v>
      </c>
      <c r="DI74" s="1094">
        <f>-IS!DF67</f>
        <v>31</v>
      </c>
      <c r="DJ74" s="386">
        <f>-IS!DG67</f>
        <v>34</v>
      </c>
      <c r="DK74" s="1094">
        <f>-IS!DH67</f>
        <v>18</v>
      </c>
      <c r="DL74" s="1094">
        <f>-IS!DI67</f>
        <v>18</v>
      </c>
      <c r="DM74" s="387">
        <f>-IS!DJ67</f>
        <v>16</v>
      </c>
      <c r="DN74" s="386">
        <f>-IS!DK67</f>
        <v>20</v>
      </c>
      <c r="DO74" s="1094">
        <f>-IS!DL67</f>
        <v>20</v>
      </c>
      <c r="DP74" s="1094">
        <f>-IS!DM67</f>
        <v>23</v>
      </c>
      <c r="DQ74" s="387">
        <f>-IS!DN67</f>
        <v>35</v>
      </c>
      <c r="DR74" s="386">
        <f>-IS!DO67</f>
        <v>21</v>
      </c>
      <c r="DS74" s="1094">
        <f>-IS!DP67</f>
        <v>28</v>
      </c>
      <c r="DT74" s="1094">
        <f>-IS!DQ67</f>
        <v>22</v>
      </c>
      <c r="DU74" s="387">
        <f>-IS!DR67</f>
        <v>6</v>
      </c>
      <c r="DV74" s="386">
        <f>-IS!DS67</f>
        <v>19</v>
      </c>
      <c r="DW74" s="1094">
        <f>-IS!DT67</f>
        <v>19</v>
      </c>
      <c r="DX74" s="1094">
        <f>-IS!DU67</f>
        <v>19</v>
      </c>
      <c r="DY74" s="387">
        <f>-IS!DV67</f>
        <v>19</v>
      </c>
      <c r="DZ74" s="109"/>
    </row>
    <row r="75" spans="1:130" hidden="1">
      <c r="A75" s="1470" t="s">
        <v>1553</v>
      </c>
      <c r="B75" s="109"/>
      <c r="C75" s="109"/>
      <c r="D75" s="109"/>
      <c r="E75" s="109"/>
      <c r="F75" s="385"/>
      <c r="G75" s="385"/>
      <c r="H75" s="385"/>
      <c r="I75" s="385">
        <v>-891</v>
      </c>
      <c r="J75" s="385">
        <v>-1467</v>
      </c>
      <c r="K75" s="385">
        <v>-1583</v>
      </c>
      <c r="L75" s="385">
        <v>-2409</v>
      </c>
      <c r="M75" s="385">
        <v>-3008</v>
      </c>
      <c r="N75" s="385">
        <f>IS!N84</f>
        <v>-4040</v>
      </c>
      <c r="O75" s="385">
        <f>IS!O84</f>
        <v>-5053</v>
      </c>
      <c r="P75" s="385">
        <f>IS!P84</f>
        <v>-6157</v>
      </c>
      <c r="Q75" s="385">
        <f>IS!Q84</f>
        <v>-6889.2280000000001</v>
      </c>
      <c r="R75" s="385">
        <f>IS!R84</f>
        <v>-8068.2560000000003</v>
      </c>
      <c r="S75" s="385">
        <f>IS!S84</f>
        <v>-7794</v>
      </c>
      <c r="T75" s="385">
        <f>IS!T84</f>
        <v>-9681.9999999999982</v>
      </c>
      <c r="U75" s="1094">
        <f>IS!U84</f>
        <v>-11924.9</v>
      </c>
      <c r="V75" s="385">
        <f>IS!V84</f>
        <v>-2331</v>
      </c>
      <c r="W75" s="385">
        <f>IS!W84</f>
        <v>-496</v>
      </c>
      <c r="X75" s="385">
        <f>IS!X84</f>
        <v>-481</v>
      </c>
      <c r="Y75" s="385">
        <f>IS!Y84</f>
        <v>-449</v>
      </c>
      <c r="Z75" s="385">
        <f>IS!Z84</f>
        <v>-484</v>
      </c>
      <c r="AA75" s="385">
        <f>IS!AA84</f>
        <v>-484</v>
      </c>
      <c r="AB75" s="385">
        <f>IS!AB84</f>
        <v>-484</v>
      </c>
      <c r="AC75" s="385"/>
      <c r="AD75" s="385"/>
      <c r="AE75" s="385"/>
      <c r="AF75" s="385"/>
      <c r="AG75" s="385"/>
      <c r="AH75" s="1236"/>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c r="BE75" s="109"/>
      <c r="BF75" s="109"/>
      <c r="BG75" s="109"/>
      <c r="BH75" s="109"/>
      <c r="BI75" s="109"/>
      <c r="BJ75" s="385">
        <v>-273</v>
      </c>
      <c r="BK75" s="385">
        <v>-396</v>
      </c>
      <c r="BL75" s="385">
        <v>-400</v>
      </c>
      <c r="BM75" s="385">
        <v>-398</v>
      </c>
      <c r="BN75" s="386">
        <v>-342</v>
      </c>
      <c r="BO75" s="385">
        <v>-380</v>
      </c>
      <c r="BP75" s="385">
        <v>-410</v>
      </c>
      <c r="BQ75" s="385">
        <v>-451</v>
      </c>
      <c r="BR75" s="386">
        <v>-477</v>
      </c>
      <c r="BS75" s="385">
        <v>-676</v>
      </c>
      <c r="BT75" s="385">
        <v>-682</v>
      </c>
      <c r="BU75" s="385">
        <v>-574</v>
      </c>
      <c r="BV75" s="386">
        <v>-610</v>
      </c>
      <c r="BW75" s="385">
        <v>-711</v>
      </c>
      <c r="BX75" s="385">
        <v>-748</v>
      </c>
      <c r="BY75" s="385">
        <v>-939</v>
      </c>
      <c r="BZ75" s="386">
        <f>IS!BW84</f>
        <v>-868</v>
      </c>
      <c r="CA75" s="385">
        <f>IS!BX84</f>
        <v>-986</v>
      </c>
      <c r="CB75" s="385">
        <f>IS!BY84</f>
        <v>-1088</v>
      </c>
      <c r="CC75" s="385">
        <f>IS!BZ84</f>
        <v>-1098</v>
      </c>
      <c r="CD75" s="386">
        <f>IS!CA84</f>
        <v>-1154</v>
      </c>
      <c r="CE75" s="385">
        <f>IS!CB84</f>
        <v>-1268</v>
      </c>
      <c r="CF75" s="385">
        <f>IS!CC84</f>
        <v>-1298</v>
      </c>
      <c r="CG75" s="385">
        <f>IS!CD84</f>
        <v>-1333</v>
      </c>
      <c r="CH75" s="386">
        <f>IS!CE84</f>
        <v>-1407</v>
      </c>
      <c r="CI75" s="385">
        <f>IS!CF84</f>
        <v>-1522</v>
      </c>
      <c r="CJ75" s="385">
        <f>IS!CG84</f>
        <v>-1530</v>
      </c>
      <c r="CK75" s="385">
        <f>IS!CH84</f>
        <v>-1698</v>
      </c>
      <c r="CL75" s="386">
        <f>IS!CI84</f>
        <v>-1645.1110000000001</v>
      </c>
      <c r="CM75" s="385">
        <f>IS!CJ84</f>
        <v>-1658.018</v>
      </c>
      <c r="CN75" s="385">
        <f>IS!CK84</f>
        <v>-1828.2829999999999</v>
      </c>
      <c r="CO75" s="385">
        <f>IS!CL84</f>
        <v>-1757.816</v>
      </c>
      <c r="CP75" s="386">
        <f>IS!CM84</f>
        <v>-1855.8620000000001</v>
      </c>
      <c r="CQ75" s="385">
        <f>IS!CN84</f>
        <v>-1970.5540000000001</v>
      </c>
      <c r="CR75" s="385">
        <f>IS!CO84</f>
        <v>-2088.8180000000002</v>
      </c>
      <c r="CS75" s="385">
        <f>IS!CP84</f>
        <v>-2153.0219999999999</v>
      </c>
      <c r="CT75" s="386">
        <f>IS!CQ84</f>
        <v>-1825</v>
      </c>
      <c r="CU75" s="385">
        <f>IS!CR84</f>
        <v>-1995</v>
      </c>
      <c r="CV75" s="385">
        <f>IS!CS84</f>
        <v>-2163</v>
      </c>
      <c r="CW75" s="387">
        <f>IS!CT84</f>
        <v>-1811</v>
      </c>
      <c r="CX75" s="385">
        <f>IS!CU84</f>
        <v>-2220</v>
      </c>
      <c r="CY75" s="385">
        <f>IS!CV84</f>
        <v>-2460</v>
      </c>
      <c r="CZ75" s="385">
        <f>IS!CW84</f>
        <v>-2699</v>
      </c>
      <c r="DA75" s="385">
        <f>IS!CX84</f>
        <v>-2303</v>
      </c>
      <c r="DB75" s="386">
        <f>IS!CY84</f>
        <v>-2903</v>
      </c>
      <c r="DC75" s="385">
        <f>IS!CZ84</f>
        <v>-2952</v>
      </c>
      <c r="DD75" s="385">
        <f>IS!DA84</f>
        <v>-3220.9</v>
      </c>
      <c r="DE75" s="385">
        <f>IS!DB84</f>
        <v>-2849</v>
      </c>
      <c r="DF75" s="386">
        <f>IS!DC84</f>
        <v>-2039</v>
      </c>
      <c r="DG75" s="1094">
        <f>IS!DD84</f>
        <v>-110</v>
      </c>
      <c r="DH75" s="1094">
        <f>IS!DE84</f>
        <v>-99</v>
      </c>
      <c r="DI75" s="1094">
        <f>IS!DF84</f>
        <v>-83</v>
      </c>
      <c r="DJ75" s="386">
        <f>IS!DG84</f>
        <v>-119</v>
      </c>
      <c r="DK75" s="1094">
        <f>IS!DH84</f>
        <v>-122</v>
      </c>
      <c r="DL75" s="1094">
        <f>IS!DI84</f>
        <v>-133</v>
      </c>
      <c r="DM75" s="387">
        <f>IS!DJ84</f>
        <v>-122</v>
      </c>
      <c r="DN75" s="386">
        <f>IS!DK84</f>
        <v>-120</v>
      </c>
      <c r="DO75" s="1094">
        <f>IS!DL84</f>
        <v>-129</v>
      </c>
      <c r="DP75" s="1094">
        <f>IS!DM84</f>
        <v>-127</v>
      </c>
      <c r="DQ75" s="387">
        <f>IS!DN84</f>
        <v>-105</v>
      </c>
      <c r="DR75" s="386">
        <f>IS!DO84</f>
        <v>-103</v>
      </c>
      <c r="DS75" s="1094">
        <f>IS!DP84</f>
        <v>-116</v>
      </c>
      <c r="DT75" s="1094">
        <f>IS!DQ84</f>
        <v>-116</v>
      </c>
      <c r="DU75" s="387">
        <f>IS!DR84</f>
        <v>-114</v>
      </c>
      <c r="DV75" s="386">
        <f>IS!DS84</f>
        <v>-121</v>
      </c>
      <c r="DW75" s="1094">
        <f>IS!DT84</f>
        <v>-121</v>
      </c>
      <c r="DX75" s="1094">
        <f>IS!DU84</f>
        <v>-121</v>
      </c>
      <c r="DY75" s="387">
        <f>IS!DV84</f>
        <v>-121</v>
      </c>
      <c r="DZ75" s="109"/>
    </row>
    <row r="76" spans="1:130" hidden="1">
      <c r="A76" s="1470" t="s">
        <v>1554</v>
      </c>
      <c r="B76" s="109"/>
      <c r="C76" s="109"/>
      <c r="D76" s="109"/>
      <c r="E76" s="109"/>
      <c r="F76" s="385"/>
      <c r="G76" s="385"/>
      <c r="H76" s="385"/>
      <c r="I76" s="385">
        <v>12941</v>
      </c>
      <c r="J76" s="385">
        <v>12126</v>
      </c>
      <c r="K76" s="385">
        <v>12210</v>
      </c>
      <c r="L76" s="385">
        <v>12576</v>
      </c>
      <c r="M76" s="385">
        <v>12603</v>
      </c>
      <c r="N76" s="385">
        <f t="shared" ref="N76:AA76" si="136">N17</f>
        <v>13122</v>
      </c>
      <c r="O76" s="385">
        <f t="shared" si="136"/>
        <v>13036</v>
      </c>
      <c r="P76" s="385">
        <f t="shared" si="136"/>
        <v>13182</v>
      </c>
      <c r="Q76" s="385">
        <f t="shared" si="136"/>
        <v>14562</v>
      </c>
      <c r="R76" s="385">
        <f t="shared" si="136"/>
        <v>14593</v>
      </c>
      <c r="S76" s="385">
        <f t="shared" si="136"/>
        <v>14991</v>
      </c>
      <c r="T76" s="385">
        <f t="shared" si="136"/>
        <v>14920</v>
      </c>
      <c r="U76" s="1094">
        <f t="shared" si="136"/>
        <v>15006</v>
      </c>
      <c r="V76" s="385">
        <f t="shared" si="136"/>
        <v>14933</v>
      </c>
      <c r="W76" s="385">
        <f t="shared" si="136"/>
        <v>14417</v>
      </c>
      <c r="X76" s="385">
        <f t="shared" si="136"/>
        <v>14328</v>
      </c>
      <c r="Y76" s="385">
        <f t="shared" si="136"/>
        <v>15354</v>
      </c>
      <c r="Z76" s="385">
        <f t="shared" ca="1" si="136"/>
        <v>15838.122395504059</v>
      </c>
      <c r="AA76" s="385">
        <f t="shared" ca="1" si="136"/>
        <v>15848.447250665944</v>
      </c>
      <c r="AB76" s="385">
        <f t="shared" ref="AB76" ca="1" si="137">AB17</f>
        <v>15788.464921089417</v>
      </c>
      <c r="AC76" s="385"/>
      <c r="AD76" s="385"/>
      <c r="AE76" s="385"/>
      <c r="AF76" s="385"/>
      <c r="AG76" s="385"/>
      <c r="AH76" s="1236"/>
      <c r="AI76" s="109"/>
      <c r="AJ76" s="109"/>
      <c r="AK76" s="109"/>
      <c r="AL76" s="109"/>
      <c r="AM76" s="109"/>
      <c r="AN76" s="109"/>
      <c r="AO76" s="109"/>
      <c r="AP76" s="109"/>
      <c r="AQ76" s="109"/>
      <c r="AR76" s="109"/>
      <c r="AS76" s="109"/>
      <c r="AT76" s="109"/>
      <c r="AU76" s="109"/>
      <c r="AV76" s="109"/>
      <c r="AW76" s="109"/>
      <c r="AX76" s="109"/>
      <c r="AY76" s="109"/>
      <c r="AZ76" s="109"/>
      <c r="BA76" s="109"/>
      <c r="BB76" s="109"/>
      <c r="BC76" s="109"/>
      <c r="BD76" s="109"/>
      <c r="BE76" s="109"/>
      <c r="BF76" s="109"/>
      <c r="BG76" s="109"/>
      <c r="BH76" s="109"/>
      <c r="BI76" s="109"/>
      <c r="BJ76" s="385">
        <v>2995</v>
      </c>
      <c r="BK76" s="385">
        <v>3031</v>
      </c>
      <c r="BL76" s="385">
        <v>2996</v>
      </c>
      <c r="BM76" s="385">
        <v>3104</v>
      </c>
      <c r="BN76" s="386">
        <v>3014.75</v>
      </c>
      <c r="BO76" s="385">
        <v>3032.75</v>
      </c>
      <c r="BP76" s="385">
        <v>3066.75</v>
      </c>
      <c r="BQ76" s="385">
        <v>3095.75</v>
      </c>
      <c r="BR76" s="386">
        <v>3091.5</v>
      </c>
      <c r="BS76" s="385">
        <v>3103.5</v>
      </c>
      <c r="BT76" s="385">
        <v>3149.5</v>
      </c>
      <c r="BU76" s="385">
        <v>3231.5</v>
      </c>
      <c r="BV76" s="386">
        <v>3099</v>
      </c>
      <c r="BW76" s="385">
        <v>3135</v>
      </c>
      <c r="BX76" s="385">
        <v>3157</v>
      </c>
      <c r="BY76" s="385">
        <v>3212</v>
      </c>
      <c r="BZ76" s="386">
        <f t="shared" ref="BZ76:DM76" si="138">BZ17</f>
        <v>3420.25</v>
      </c>
      <c r="CA76" s="385">
        <f t="shared" si="138"/>
        <v>3187.25</v>
      </c>
      <c r="CB76" s="385">
        <f t="shared" si="138"/>
        <v>3272.25</v>
      </c>
      <c r="CC76" s="385">
        <f t="shared" si="138"/>
        <v>3242.25</v>
      </c>
      <c r="CD76" s="386">
        <f t="shared" si="138"/>
        <v>3197.75</v>
      </c>
      <c r="CE76" s="385">
        <f t="shared" si="138"/>
        <v>3237.75</v>
      </c>
      <c r="CF76" s="385">
        <f t="shared" si="138"/>
        <v>3269.75</v>
      </c>
      <c r="CG76" s="385">
        <f t="shared" si="138"/>
        <v>3330.75</v>
      </c>
      <c r="CH76" s="386">
        <f t="shared" si="138"/>
        <v>3236.25</v>
      </c>
      <c r="CI76" s="385">
        <f t="shared" si="138"/>
        <v>3238.25</v>
      </c>
      <c r="CJ76" s="385">
        <f t="shared" si="138"/>
        <v>3306.25</v>
      </c>
      <c r="CK76" s="385">
        <f t="shared" si="138"/>
        <v>3401.25</v>
      </c>
      <c r="CL76" s="386">
        <f t="shared" si="138"/>
        <v>3535.5</v>
      </c>
      <c r="CM76" s="385">
        <f t="shared" si="138"/>
        <v>3598.5</v>
      </c>
      <c r="CN76" s="385">
        <f t="shared" si="138"/>
        <v>3679.5</v>
      </c>
      <c r="CO76" s="385">
        <f t="shared" si="138"/>
        <v>3748.5</v>
      </c>
      <c r="CP76" s="386">
        <f t="shared" si="138"/>
        <v>3669</v>
      </c>
      <c r="CQ76" s="385">
        <f t="shared" si="138"/>
        <v>3724</v>
      </c>
      <c r="CR76" s="385">
        <f t="shared" si="138"/>
        <v>3570</v>
      </c>
      <c r="CS76" s="385">
        <f t="shared" si="138"/>
        <v>3630</v>
      </c>
      <c r="CT76" s="386">
        <f t="shared" si="138"/>
        <v>3647.75</v>
      </c>
      <c r="CU76" s="385">
        <f t="shared" si="138"/>
        <v>3736.75</v>
      </c>
      <c r="CV76" s="385">
        <f t="shared" si="138"/>
        <v>3802.75</v>
      </c>
      <c r="CW76" s="387">
        <f t="shared" si="138"/>
        <v>3803.75</v>
      </c>
      <c r="CX76" s="385">
        <f t="shared" si="138"/>
        <v>3661</v>
      </c>
      <c r="CY76" s="385">
        <f t="shared" si="138"/>
        <v>3761</v>
      </c>
      <c r="CZ76" s="385">
        <f t="shared" si="138"/>
        <v>3764</v>
      </c>
      <c r="DA76" s="385">
        <f t="shared" si="138"/>
        <v>3734</v>
      </c>
      <c r="DB76" s="386">
        <f t="shared" si="138"/>
        <v>3718</v>
      </c>
      <c r="DC76" s="385">
        <f t="shared" si="138"/>
        <v>3751</v>
      </c>
      <c r="DD76" s="385">
        <f t="shared" si="138"/>
        <v>3754</v>
      </c>
      <c r="DE76" s="385">
        <f t="shared" si="138"/>
        <v>3783</v>
      </c>
      <c r="DF76" s="386">
        <f t="shared" si="138"/>
        <v>3737</v>
      </c>
      <c r="DG76" s="1094">
        <f t="shared" si="138"/>
        <v>3761</v>
      </c>
      <c r="DH76" s="1094">
        <f t="shared" si="138"/>
        <v>3767</v>
      </c>
      <c r="DI76" s="1094">
        <f>DI17</f>
        <v>3668</v>
      </c>
      <c r="DJ76" s="386">
        <f>DJ17</f>
        <v>3589</v>
      </c>
      <c r="DK76" s="1094">
        <f>DK17</f>
        <v>3580</v>
      </c>
      <c r="DL76" s="1094">
        <f>DL17</f>
        <v>3609</v>
      </c>
      <c r="DM76" s="387">
        <f t="shared" si="138"/>
        <v>3639</v>
      </c>
      <c r="DN76" s="386">
        <f>DN17</f>
        <v>3617</v>
      </c>
      <c r="DO76" s="1094">
        <f>DO17</f>
        <v>3582</v>
      </c>
      <c r="DP76" s="1094">
        <f>DP17</f>
        <v>3542</v>
      </c>
      <c r="DQ76" s="387">
        <f>DQ17</f>
        <v>3587</v>
      </c>
      <c r="DR76" s="386">
        <f t="shared" ref="DR76:DU76" si="139">DR17</f>
        <v>3659</v>
      </c>
      <c r="DS76" s="1094">
        <f t="shared" si="139"/>
        <v>3767</v>
      </c>
      <c r="DT76" s="1094">
        <f t="shared" si="139"/>
        <v>3872</v>
      </c>
      <c r="DU76" s="387">
        <f t="shared" si="139"/>
        <v>4056</v>
      </c>
      <c r="DV76" s="386">
        <f t="shared" ref="DV76:DY76" si="140">DV17</f>
        <v>3924</v>
      </c>
      <c r="DW76" s="1094">
        <f t="shared" ca="1" si="140"/>
        <v>3941.6356697294414</v>
      </c>
      <c r="DX76" s="1094">
        <f t="shared" ca="1" si="140"/>
        <v>3970.7157387147827</v>
      </c>
      <c r="DY76" s="387">
        <f t="shared" ca="1" si="140"/>
        <v>4001.7709870598346</v>
      </c>
      <c r="DZ76" s="109"/>
    </row>
    <row r="77" spans="1:130" hidden="1">
      <c r="A77" s="1470" t="s">
        <v>1085</v>
      </c>
      <c r="B77" s="109"/>
      <c r="C77" s="109"/>
      <c r="D77" s="109"/>
      <c r="E77" s="109"/>
      <c r="F77" s="385"/>
      <c r="G77" s="385"/>
      <c r="H77" s="385"/>
      <c r="I77" s="385">
        <v>-17371</v>
      </c>
      <c r="J77" s="385">
        <v>-13061</v>
      </c>
      <c r="K77" s="385">
        <v>-11874</v>
      </c>
      <c r="L77" s="385">
        <v>-13259</v>
      </c>
      <c r="M77" s="385">
        <v>-15324</v>
      </c>
      <c r="N77" s="385">
        <f t="shared" ref="N77:AA77" si="141">N38</f>
        <v>-17101</v>
      </c>
      <c r="O77" s="385">
        <f t="shared" si="141"/>
        <v>-17538</v>
      </c>
      <c r="P77" s="385">
        <f t="shared" si="141"/>
        <v>-17238</v>
      </c>
      <c r="Q77" s="385">
        <f t="shared" si="141"/>
        <v>-16872</v>
      </c>
      <c r="R77" s="385">
        <f t="shared" si="141"/>
        <v>-16458</v>
      </c>
      <c r="S77" s="385">
        <f t="shared" si="141"/>
        <v>-16244</v>
      </c>
      <c r="T77" s="385">
        <f t="shared" si="141"/>
        <v>-16175</v>
      </c>
      <c r="U77" s="1094">
        <f t="shared" si="141"/>
        <v>-16604</v>
      </c>
      <c r="V77" s="385">
        <f t="shared" si="141"/>
        <v>-17191</v>
      </c>
      <c r="W77" s="385">
        <f t="shared" si="141"/>
        <v>-17775</v>
      </c>
      <c r="X77" s="385">
        <f t="shared" si="141"/>
        <v>-17059</v>
      </c>
      <c r="Y77" s="385">
        <f t="shared" si="141"/>
        <v>-17247</v>
      </c>
      <c r="Z77" s="385">
        <f t="shared" ca="1" si="141"/>
        <v>-17184.531443313364</v>
      </c>
      <c r="AA77" s="385">
        <f t="shared" ca="1" si="141"/>
        <v>-17326.654612606839</v>
      </c>
      <c r="AB77" s="385">
        <f t="shared" ref="AB77" ca="1" si="142">AB38</f>
        <v>-17539.117790711662</v>
      </c>
      <c r="AC77" s="385"/>
      <c r="AD77" s="385"/>
      <c r="AE77" s="385"/>
      <c r="AF77" s="385"/>
      <c r="AG77" s="385"/>
      <c r="AH77" s="1236"/>
      <c r="AI77" s="109"/>
      <c r="AJ77" s="109"/>
      <c r="AK77" s="109"/>
      <c r="AL77" s="109"/>
      <c r="AM77" s="109"/>
      <c r="AN77" s="109"/>
      <c r="AO77" s="109"/>
      <c r="AP77" s="109"/>
      <c r="AQ77" s="109"/>
      <c r="AR77" s="109"/>
      <c r="AS77" s="109"/>
      <c r="AT77" s="109"/>
      <c r="AU77" s="109"/>
      <c r="AV77" s="109"/>
      <c r="AW77" s="109"/>
      <c r="AX77" s="109"/>
      <c r="AY77" s="109"/>
      <c r="AZ77" s="109"/>
      <c r="BA77" s="109"/>
      <c r="BB77" s="109"/>
      <c r="BC77" s="109"/>
      <c r="BD77" s="109"/>
      <c r="BE77" s="109"/>
      <c r="BF77" s="109"/>
      <c r="BG77" s="109"/>
      <c r="BH77" s="109"/>
      <c r="BI77" s="109"/>
      <c r="BJ77" s="385">
        <v>-2580</v>
      </c>
      <c r="BK77" s="385">
        <v>-3400</v>
      </c>
      <c r="BL77" s="385">
        <v>-2814</v>
      </c>
      <c r="BM77" s="385">
        <v>-4267</v>
      </c>
      <c r="BN77" s="386">
        <v>-2463</v>
      </c>
      <c r="BO77" s="385">
        <v>-2824</v>
      </c>
      <c r="BP77" s="385">
        <v>-2847</v>
      </c>
      <c r="BQ77" s="385">
        <v>-3740</v>
      </c>
      <c r="BR77" s="386">
        <v>-2641</v>
      </c>
      <c r="BS77" s="385">
        <v>-3183</v>
      </c>
      <c r="BT77" s="385">
        <v>-3253</v>
      </c>
      <c r="BU77" s="385">
        <v>-4182</v>
      </c>
      <c r="BV77" s="386">
        <v>-3594</v>
      </c>
      <c r="BW77" s="385">
        <v>-4061</v>
      </c>
      <c r="BX77" s="385">
        <v>-3897</v>
      </c>
      <c r="BY77" s="385">
        <v>-3772</v>
      </c>
      <c r="BZ77" s="386">
        <f t="shared" ref="BZ77:DM77" si="143">BZ38</f>
        <v>-4066</v>
      </c>
      <c r="CA77" s="385">
        <f t="shared" si="143"/>
        <v>-4245</v>
      </c>
      <c r="CB77" s="385">
        <f t="shared" si="143"/>
        <v>-4007</v>
      </c>
      <c r="CC77" s="385">
        <f t="shared" si="143"/>
        <v>-4783</v>
      </c>
      <c r="CD77" s="386">
        <f t="shared" si="143"/>
        <v>-4163</v>
      </c>
      <c r="CE77" s="385">
        <f t="shared" si="143"/>
        <v>-4352</v>
      </c>
      <c r="CF77" s="385">
        <f t="shared" si="143"/>
        <v>-4277</v>
      </c>
      <c r="CG77" s="385">
        <f t="shared" si="143"/>
        <v>-4746</v>
      </c>
      <c r="CH77" s="386">
        <f t="shared" si="143"/>
        <v>-4220</v>
      </c>
      <c r="CI77" s="385">
        <f t="shared" si="143"/>
        <v>-4177</v>
      </c>
      <c r="CJ77" s="385">
        <f t="shared" si="143"/>
        <v>-4178</v>
      </c>
      <c r="CK77" s="385">
        <f t="shared" si="143"/>
        <v>-4663</v>
      </c>
      <c r="CL77" s="386">
        <f t="shared" si="143"/>
        <v>-3663</v>
      </c>
      <c r="CM77" s="385">
        <f t="shared" si="143"/>
        <v>-4343</v>
      </c>
      <c r="CN77" s="385">
        <f t="shared" si="143"/>
        <v>-4313</v>
      </c>
      <c r="CO77" s="385">
        <f t="shared" si="143"/>
        <v>-4553</v>
      </c>
      <c r="CP77" s="386">
        <f t="shared" si="143"/>
        <v>-3423</v>
      </c>
      <c r="CQ77" s="385">
        <f t="shared" si="143"/>
        <v>-4196</v>
      </c>
      <c r="CR77" s="385">
        <f t="shared" si="143"/>
        <v>-4125</v>
      </c>
      <c r="CS77" s="385">
        <f t="shared" si="143"/>
        <v>-4714</v>
      </c>
      <c r="CT77" s="386">
        <f t="shared" si="143"/>
        <v>-4363</v>
      </c>
      <c r="CU77" s="385">
        <f t="shared" si="143"/>
        <v>-4555</v>
      </c>
      <c r="CV77" s="385">
        <f t="shared" si="143"/>
        <v>-3628</v>
      </c>
      <c r="CW77" s="387">
        <f t="shared" si="143"/>
        <v>-3698</v>
      </c>
      <c r="CX77" s="385">
        <f t="shared" si="143"/>
        <v>-3565</v>
      </c>
      <c r="CY77" s="385">
        <f t="shared" si="143"/>
        <v>-3865</v>
      </c>
      <c r="CZ77" s="385">
        <f t="shared" si="143"/>
        <v>-3885</v>
      </c>
      <c r="DA77" s="385">
        <f t="shared" si="143"/>
        <v>-4860</v>
      </c>
      <c r="DB77" s="386">
        <f t="shared" si="143"/>
        <v>-3602</v>
      </c>
      <c r="DC77" s="385">
        <f t="shared" si="143"/>
        <v>-4014</v>
      </c>
      <c r="DD77" s="385">
        <f t="shared" si="143"/>
        <v>-4191</v>
      </c>
      <c r="DE77" s="385">
        <f t="shared" si="143"/>
        <v>-4797</v>
      </c>
      <c r="DF77" s="386">
        <f t="shared" si="143"/>
        <v>-4150</v>
      </c>
      <c r="DG77" s="1094">
        <f t="shared" si="143"/>
        <v>-4344</v>
      </c>
      <c r="DH77" s="1094">
        <f t="shared" si="143"/>
        <v>-4130</v>
      </c>
      <c r="DI77" s="1094">
        <f>DI38</f>
        <v>-4567</v>
      </c>
      <c r="DJ77" s="386">
        <f>DJ38</f>
        <v>-3665</v>
      </c>
      <c r="DK77" s="1094">
        <f>DK38</f>
        <v>-4488</v>
      </c>
      <c r="DL77" s="1094">
        <f>DL38</f>
        <v>-4387</v>
      </c>
      <c r="DM77" s="387">
        <f t="shared" si="143"/>
        <v>-5235</v>
      </c>
      <c r="DN77" s="386">
        <f>DN38</f>
        <v>-3387</v>
      </c>
      <c r="DO77" s="1094">
        <f>DO38</f>
        <v>-3886</v>
      </c>
      <c r="DP77" s="1094">
        <f>DP38</f>
        <v>-4125</v>
      </c>
      <c r="DQ77" s="387">
        <f>DQ38</f>
        <v>-5661</v>
      </c>
      <c r="DR77" s="386">
        <f t="shared" ref="DR77:DU77" si="144">DR38</f>
        <v>-3067</v>
      </c>
      <c r="DS77" s="1094">
        <f t="shared" si="144"/>
        <v>-3944</v>
      </c>
      <c r="DT77" s="1094">
        <f t="shared" si="144"/>
        <v>-4271</v>
      </c>
      <c r="DU77" s="387">
        <f t="shared" si="144"/>
        <v>-5965</v>
      </c>
      <c r="DV77" s="386">
        <f t="shared" ref="DV77:DY77" si="145">DV38</f>
        <v>-4552</v>
      </c>
      <c r="DW77" s="1094">
        <f t="shared" ca="1" si="145"/>
        <v>-4102.0268345890599</v>
      </c>
      <c r="DX77" s="1094">
        <f t="shared" ca="1" si="145"/>
        <v>-4169.9259917685913</v>
      </c>
      <c r="DY77" s="387">
        <f t="shared" ca="1" si="145"/>
        <v>-4360.5786169557132</v>
      </c>
      <c r="DZ77" s="109"/>
    </row>
    <row r="78" spans="1:130" hidden="1">
      <c r="A78" s="1470" t="s">
        <v>1555</v>
      </c>
      <c r="B78" s="109"/>
      <c r="C78" s="109"/>
      <c r="D78" s="109"/>
      <c r="E78" s="109"/>
      <c r="F78" s="385"/>
      <c r="G78" s="385"/>
      <c r="H78" s="385"/>
      <c r="I78" s="385">
        <v>-4168</v>
      </c>
      <c r="J78" s="385">
        <v>-4200</v>
      </c>
      <c r="K78" s="385">
        <v>-4239</v>
      </c>
      <c r="L78" s="385">
        <v>-4262</v>
      </c>
      <c r="M78" s="385">
        <v>-4427</v>
      </c>
      <c r="N78" s="385">
        <f t="shared" ref="N78:AA78" si="146">N52</f>
        <v>-4719</v>
      </c>
      <c r="O78" s="385">
        <f t="shared" si="146"/>
        <v>-4773</v>
      </c>
      <c r="P78" s="385">
        <f t="shared" si="146"/>
        <v>-4994</v>
      </c>
      <c r="Q78" s="385">
        <f t="shared" si="146"/>
        <v>-5271</v>
      </c>
      <c r="R78" s="385">
        <f t="shared" si="146"/>
        <v>-5412</v>
      </c>
      <c r="S78" s="385">
        <f t="shared" si="146"/>
        <v>-5555</v>
      </c>
      <c r="T78" s="385">
        <f t="shared" si="146"/>
        <v>-5230</v>
      </c>
      <c r="U78" s="1094">
        <f t="shared" si="146"/>
        <v>-5936</v>
      </c>
      <c r="V78" s="385">
        <f t="shared" si="146"/>
        <v>-7803</v>
      </c>
      <c r="W78" s="385">
        <f t="shared" si="146"/>
        <v>-8538</v>
      </c>
      <c r="X78" s="385">
        <f t="shared" si="146"/>
        <v>-9262</v>
      </c>
      <c r="Y78" s="385">
        <f t="shared" si="146"/>
        <v>-9472</v>
      </c>
      <c r="Z78" s="385">
        <f t="shared" si="146"/>
        <v>-9827.5424999999996</v>
      </c>
      <c r="AA78" s="385">
        <f t="shared" si="146"/>
        <v>-10068.724999999999</v>
      </c>
      <c r="AB78" s="385">
        <f t="shared" ref="AB78" si="147">AB52</f>
        <v>-10324.31</v>
      </c>
      <c r="AC78" s="385"/>
      <c r="AD78" s="385"/>
      <c r="AE78" s="385"/>
      <c r="AF78" s="385"/>
      <c r="AG78" s="385"/>
      <c r="AH78" s="1236"/>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c r="BE78" s="109"/>
      <c r="BF78" s="109"/>
      <c r="BG78" s="109"/>
      <c r="BH78" s="109"/>
      <c r="BI78" s="109"/>
      <c r="BJ78" s="385">
        <v>-1051</v>
      </c>
      <c r="BK78" s="385">
        <v>-1045</v>
      </c>
      <c r="BL78" s="385">
        <v>-1051</v>
      </c>
      <c r="BM78" s="385">
        <v>-1053</v>
      </c>
      <c r="BN78" s="386">
        <v>-1056</v>
      </c>
      <c r="BO78" s="385">
        <v>-1059</v>
      </c>
      <c r="BP78" s="385">
        <v>-1060</v>
      </c>
      <c r="BQ78" s="385">
        <v>-1064</v>
      </c>
      <c r="BR78" s="386">
        <v>-1065</v>
      </c>
      <c r="BS78" s="385">
        <v>-1066</v>
      </c>
      <c r="BT78" s="385">
        <v>-1067</v>
      </c>
      <c r="BU78" s="385">
        <v>-1064</v>
      </c>
      <c r="BV78" s="386">
        <v>-1066</v>
      </c>
      <c r="BW78" s="385">
        <v>-1122</v>
      </c>
      <c r="BX78" s="385">
        <v>-1120</v>
      </c>
      <c r="BY78" s="385">
        <v>-1119</v>
      </c>
      <c r="BZ78" s="386">
        <f t="shared" ref="BZ78:DM78" si="148">BZ52</f>
        <v>-1185</v>
      </c>
      <c r="CA78" s="385">
        <f t="shared" si="148"/>
        <v>-1180</v>
      </c>
      <c r="CB78" s="385">
        <f t="shared" si="148"/>
        <v>-1172</v>
      </c>
      <c r="CC78" s="385">
        <f t="shared" si="148"/>
        <v>-1182</v>
      </c>
      <c r="CD78" s="386">
        <f t="shared" si="148"/>
        <v>-1179</v>
      </c>
      <c r="CE78" s="385">
        <f t="shared" si="148"/>
        <v>-1164</v>
      </c>
      <c r="CF78" s="385">
        <f t="shared" si="148"/>
        <v>-1186</v>
      </c>
      <c r="CG78" s="385">
        <f t="shared" si="148"/>
        <v>-1244</v>
      </c>
      <c r="CH78" s="386">
        <f t="shared" si="148"/>
        <v>-1237</v>
      </c>
      <c r="CI78" s="385">
        <f t="shared" si="148"/>
        <v>-1227</v>
      </c>
      <c r="CJ78" s="385">
        <f t="shared" si="148"/>
        <v>-1223</v>
      </c>
      <c r="CK78" s="385">
        <f t="shared" si="148"/>
        <v>-1307</v>
      </c>
      <c r="CL78" s="386">
        <f t="shared" si="148"/>
        <v>-1307</v>
      </c>
      <c r="CM78" s="385">
        <f t="shared" si="148"/>
        <v>-1307</v>
      </c>
      <c r="CN78" s="385">
        <f t="shared" si="148"/>
        <v>-1306</v>
      </c>
      <c r="CO78" s="385">
        <f t="shared" si="148"/>
        <v>-1351</v>
      </c>
      <c r="CP78" s="386">
        <f t="shared" si="148"/>
        <v>-1347</v>
      </c>
      <c r="CQ78" s="385">
        <f t="shared" si="148"/>
        <v>-1343</v>
      </c>
      <c r="CR78" s="385">
        <f t="shared" si="148"/>
        <v>-1344</v>
      </c>
      <c r="CS78" s="385">
        <f t="shared" si="148"/>
        <v>-1378</v>
      </c>
      <c r="CT78" s="386">
        <f t="shared" si="148"/>
        <v>-1379</v>
      </c>
      <c r="CU78" s="385">
        <f t="shared" si="148"/>
        <v>-1380</v>
      </c>
      <c r="CV78" s="385">
        <f t="shared" si="148"/>
        <v>-1380</v>
      </c>
      <c r="CW78" s="387">
        <f t="shared" si="148"/>
        <v>-1416</v>
      </c>
      <c r="CX78" s="385">
        <f t="shared" si="148"/>
        <v>-1291</v>
      </c>
      <c r="CY78" s="385">
        <f t="shared" si="148"/>
        <v>-1296</v>
      </c>
      <c r="CZ78" s="385">
        <f t="shared" si="148"/>
        <v>-1300</v>
      </c>
      <c r="DA78" s="385">
        <f t="shared" si="148"/>
        <v>-1343</v>
      </c>
      <c r="DB78" s="386">
        <f t="shared" si="148"/>
        <v>-1472</v>
      </c>
      <c r="DC78" s="385">
        <f t="shared" si="148"/>
        <v>-1474</v>
      </c>
      <c r="DD78" s="385">
        <f t="shared" si="148"/>
        <v>-1474</v>
      </c>
      <c r="DE78" s="385">
        <f t="shared" si="148"/>
        <v>-1516</v>
      </c>
      <c r="DF78" s="386">
        <f t="shared" si="148"/>
        <v>-1517</v>
      </c>
      <c r="DG78" s="1094">
        <f t="shared" si="148"/>
        <v>-2066</v>
      </c>
      <c r="DH78" s="1094">
        <f t="shared" si="148"/>
        <v>-2070</v>
      </c>
      <c r="DI78" s="1094">
        <f>DI52</f>
        <v>-2150</v>
      </c>
      <c r="DJ78" s="386">
        <f>DJ52</f>
        <v>-2153</v>
      </c>
      <c r="DK78" s="1094">
        <f>DK52</f>
        <v>-2113</v>
      </c>
      <c r="DL78" s="1094">
        <f>DL52</f>
        <v>-2107</v>
      </c>
      <c r="DM78" s="387">
        <f t="shared" si="148"/>
        <v>-2165</v>
      </c>
      <c r="DN78" s="386">
        <f>DN52</f>
        <v>-2302</v>
      </c>
      <c r="DO78" s="1094">
        <f>DO52</f>
        <v>-2303</v>
      </c>
      <c r="DP78" s="1094">
        <f>DP52</f>
        <v>-2303</v>
      </c>
      <c r="DQ78" s="387">
        <f>DQ52</f>
        <v>-2354</v>
      </c>
      <c r="DR78" s="386">
        <f t="shared" ref="DR78:DU78" si="149">DR52</f>
        <v>-2354</v>
      </c>
      <c r="DS78" s="1094">
        <f t="shared" si="149"/>
        <v>-2356</v>
      </c>
      <c r="DT78" s="1094">
        <f t="shared" si="149"/>
        <v>-2357</v>
      </c>
      <c r="DU78" s="387">
        <f t="shared" si="149"/>
        <v>-2405</v>
      </c>
      <c r="DV78" s="386">
        <f t="shared" ref="DV78:DY78" si="150">DV52</f>
        <v>-2407</v>
      </c>
      <c r="DW78" s="1094">
        <f t="shared" si="150"/>
        <v>-2438.4699999999998</v>
      </c>
      <c r="DX78" s="1094">
        <f t="shared" si="150"/>
        <v>-2490.7349999999997</v>
      </c>
      <c r="DY78" s="387">
        <f t="shared" si="150"/>
        <v>-2491.3374999999996</v>
      </c>
      <c r="DZ78" s="109"/>
    </row>
    <row r="79" spans="1:130" hidden="1">
      <c r="A79" s="169" t="s">
        <v>1087</v>
      </c>
      <c r="B79" s="169"/>
      <c r="C79" s="169"/>
      <c r="D79" s="169"/>
      <c r="E79" s="169"/>
      <c r="F79" s="169"/>
      <c r="G79" s="169"/>
      <c r="H79" s="169"/>
      <c r="I79" s="169">
        <v>-8225</v>
      </c>
      <c r="J79" s="169">
        <v>-3256</v>
      </c>
      <c r="K79" s="169">
        <v>-3111</v>
      </c>
      <c r="L79" s="169">
        <v>-1029</v>
      </c>
      <c r="M79" s="169">
        <v>-3537</v>
      </c>
      <c r="N79" s="169">
        <f t="shared" ref="N79:Z79" si="151">N73+N74+N75+N76+N77+N78</f>
        <v>-7314</v>
      </c>
      <c r="O79" s="169">
        <f t="shared" si="151"/>
        <v>-9392</v>
      </c>
      <c r="P79" s="169">
        <f t="shared" si="151"/>
        <v>-9346</v>
      </c>
      <c r="Q79" s="169">
        <f t="shared" si="151"/>
        <v>-4665.2279999999992</v>
      </c>
      <c r="R79" s="169">
        <f t="shared" si="151"/>
        <v>-1906.8680000000022</v>
      </c>
      <c r="S79" s="169">
        <f t="shared" si="151"/>
        <v>-1162.9674999999988</v>
      </c>
      <c r="T79" s="169">
        <f t="shared" si="151"/>
        <v>-444.48599999999715</v>
      </c>
      <c r="U79" s="1051">
        <f t="shared" si="151"/>
        <v>422.48999999999796</v>
      </c>
      <c r="V79" s="169">
        <f t="shared" si="151"/>
        <v>2367.6399999999994</v>
      </c>
      <c r="W79" s="169">
        <f>W73+W74+W75+W76+W77+W78</f>
        <v>2313.7999999999993</v>
      </c>
      <c r="X79" s="169">
        <f t="shared" si="151"/>
        <v>3392.260000000002</v>
      </c>
      <c r="Y79" s="169">
        <f t="shared" si="151"/>
        <v>3987</v>
      </c>
      <c r="Z79" s="169">
        <f t="shared" ca="1" si="151"/>
        <v>7663.5538518459289</v>
      </c>
      <c r="AA79" s="169">
        <f ca="1">AA73+AA74+AA75+AA76+AA77+AA78</f>
        <v>8070.7638128098442</v>
      </c>
      <c r="AB79" s="169">
        <f ca="1">AB73+AB74+AB75+AB76+AB77+AB78</f>
        <v>8432.6578715510277</v>
      </c>
      <c r="AC79" s="169"/>
      <c r="AD79" s="169"/>
      <c r="AE79" s="169"/>
      <c r="AF79" s="169"/>
      <c r="AG79" s="169"/>
      <c r="AH79" s="1236"/>
      <c r="AI79" s="169"/>
      <c r="AJ79" s="169"/>
      <c r="AK79" s="169"/>
      <c r="AL79" s="169"/>
      <c r="AM79" s="169"/>
      <c r="AN79" s="169"/>
      <c r="AO79" s="169"/>
      <c r="AP79" s="169"/>
      <c r="AQ79" s="169"/>
      <c r="AR79" s="169"/>
      <c r="AS79" s="169"/>
      <c r="AT79" s="169"/>
      <c r="AU79" s="169"/>
      <c r="AV79" s="169"/>
      <c r="AW79" s="169"/>
      <c r="AX79" s="169"/>
      <c r="AY79" s="169"/>
      <c r="AZ79" s="169"/>
      <c r="BA79" s="169"/>
      <c r="BB79" s="169"/>
      <c r="BC79" s="169"/>
      <c r="BD79" s="169"/>
      <c r="BE79" s="169"/>
      <c r="BF79" s="169"/>
      <c r="BG79" s="169"/>
      <c r="BH79" s="169"/>
      <c r="BI79" s="169"/>
      <c r="BJ79" s="169">
        <v>-1265</v>
      </c>
      <c r="BK79" s="169">
        <v>-3684</v>
      </c>
      <c r="BL79" s="169">
        <v>3331</v>
      </c>
      <c r="BM79" s="169">
        <v>-172</v>
      </c>
      <c r="BN79" s="178">
        <v>880.75</v>
      </c>
      <c r="BO79" s="169">
        <v>-206.25</v>
      </c>
      <c r="BP79" s="169">
        <v>97.75</v>
      </c>
      <c r="BQ79" s="169">
        <v>-3883.25</v>
      </c>
      <c r="BR79" s="178">
        <v>-136.5</v>
      </c>
      <c r="BS79" s="169">
        <v>-251.5</v>
      </c>
      <c r="BT79" s="169">
        <v>-299.5</v>
      </c>
      <c r="BU79" s="169">
        <v>-341.5</v>
      </c>
      <c r="BV79" s="178">
        <v>-663</v>
      </c>
      <c r="BW79" s="169">
        <v>-824</v>
      </c>
      <c r="BX79" s="169">
        <v>-922</v>
      </c>
      <c r="BY79" s="169">
        <v>-1128</v>
      </c>
      <c r="BZ79" s="178">
        <f t="shared" ref="BZ79:DF79" si="152">BZ73+BZ74+BZ75+BZ76+BZ77+BZ78</f>
        <v>-1223.75</v>
      </c>
      <c r="CA79" s="169">
        <f t="shared" si="152"/>
        <v>-1783.75</v>
      </c>
      <c r="CB79" s="169">
        <f t="shared" si="152"/>
        <v>-1360.75</v>
      </c>
      <c r="CC79" s="169">
        <f t="shared" si="152"/>
        <v>-2945.75</v>
      </c>
      <c r="CD79" s="178">
        <f t="shared" si="152"/>
        <v>-1963.25</v>
      </c>
      <c r="CE79" s="169">
        <f t="shared" si="152"/>
        <v>-2048.25</v>
      </c>
      <c r="CF79" s="169">
        <f t="shared" si="152"/>
        <v>-2367.25</v>
      </c>
      <c r="CG79" s="169">
        <f t="shared" si="152"/>
        <v>-3013.25</v>
      </c>
      <c r="CH79" s="178">
        <f t="shared" si="152"/>
        <v>-2082.75</v>
      </c>
      <c r="CI79" s="169">
        <f t="shared" si="152"/>
        <v>-1955.75</v>
      </c>
      <c r="CJ79" s="169">
        <f t="shared" si="152"/>
        <v>-2166.75</v>
      </c>
      <c r="CK79" s="169">
        <f t="shared" si="152"/>
        <v>-3140.75</v>
      </c>
      <c r="CL79" s="178">
        <f t="shared" si="152"/>
        <v>2.3890000000001237</v>
      </c>
      <c r="CM79" s="169">
        <f t="shared" si="152"/>
        <v>-677.51800000000003</v>
      </c>
      <c r="CN79" s="169">
        <f t="shared" si="152"/>
        <v>-1046.7829999999994</v>
      </c>
      <c r="CO79" s="169">
        <f t="shared" si="152"/>
        <v>-2943.3159999999998</v>
      </c>
      <c r="CP79" s="178">
        <f t="shared" si="152"/>
        <v>-771.86200000000008</v>
      </c>
      <c r="CQ79" s="169">
        <f t="shared" si="152"/>
        <v>-3353.5540000000001</v>
      </c>
      <c r="CR79" s="169">
        <f t="shared" si="152"/>
        <v>-1430.8180000000002</v>
      </c>
      <c r="CS79" s="169">
        <f t="shared" si="152"/>
        <v>-80.021999999999935</v>
      </c>
      <c r="CT79" s="178">
        <f t="shared" si="152"/>
        <v>-756.25</v>
      </c>
      <c r="CU79" s="169">
        <f t="shared" si="152"/>
        <v>-710.25</v>
      </c>
      <c r="CV79" s="169">
        <f t="shared" si="152"/>
        <v>48.75</v>
      </c>
      <c r="CW79" s="179">
        <f t="shared" si="152"/>
        <v>-3430.25</v>
      </c>
      <c r="CX79" s="169">
        <f t="shared" si="152"/>
        <v>388</v>
      </c>
      <c r="CY79" s="169">
        <f t="shared" si="152"/>
        <v>353</v>
      </c>
      <c r="CZ79" s="169">
        <f t="shared" si="152"/>
        <v>110</v>
      </c>
      <c r="DA79" s="169">
        <f t="shared" si="152"/>
        <v>-6785</v>
      </c>
      <c r="DB79" s="178">
        <f t="shared" si="152"/>
        <v>601</v>
      </c>
      <c r="DC79" s="169">
        <f t="shared" si="152"/>
        <v>389</v>
      </c>
      <c r="DD79" s="169">
        <f t="shared" si="152"/>
        <v>427.10000000000036</v>
      </c>
      <c r="DE79" s="169">
        <f t="shared" si="152"/>
        <v>2529</v>
      </c>
      <c r="DF79" s="178">
        <f t="shared" si="152"/>
        <v>115</v>
      </c>
      <c r="DG79" s="1051">
        <f t="shared" ref="DG79:DM79" si="153">DG73+DG74+DG75+DG76+DG77+DG78</f>
        <v>1608</v>
      </c>
      <c r="DH79" s="1051">
        <f t="shared" si="153"/>
        <v>1310</v>
      </c>
      <c r="DI79" s="1051">
        <f t="shared" si="153"/>
        <v>-5249</v>
      </c>
      <c r="DJ79" s="178">
        <f>DJ73+DJ74+DJ75+DJ76+DJ77+DJ78</f>
        <v>2024</v>
      </c>
      <c r="DK79" s="1051">
        <f>DK73+DK74+DK75+DK76+DK77+DK78</f>
        <v>1228</v>
      </c>
      <c r="DL79" s="1051">
        <f>DL73+DL74+DL75+DL76+DL77+DL78</f>
        <v>1171</v>
      </c>
      <c r="DM79" s="179">
        <f t="shared" si="153"/>
        <v>1646</v>
      </c>
      <c r="DN79" s="178">
        <f>DN73+DN74+DN75+DN76+DN77+DN78</f>
        <v>2258</v>
      </c>
      <c r="DO79" s="1051">
        <f>DO73+DO74+DO75+DO76+DO77+DO78</f>
        <v>-1885</v>
      </c>
      <c r="DP79" s="1051">
        <f>DP73+DP74+DP75+DP76+DP77+DP78</f>
        <v>757</v>
      </c>
      <c r="DQ79" s="179">
        <f>DQ73+DQ74+DQ75+DQ76+DQ77+DQ78</f>
        <v>102</v>
      </c>
      <c r="DR79" s="178">
        <f t="shared" ref="DR79:DU79" si="154">DR73+DR74+DR75+DR76+DR77+DR78</f>
        <v>1709</v>
      </c>
      <c r="DS79" s="1051">
        <f t="shared" si="154"/>
        <v>1857</v>
      </c>
      <c r="DT79" s="1051">
        <f t="shared" si="154"/>
        <v>886</v>
      </c>
      <c r="DU79" s="179">
        <f t="shared" si="154"/>
        <v>14361</v>
      </c>
      <c r="DV79" s="178">
        <f t="shared" ref="DV79:DY79" si="155">DV73+DV74+DV75+DV76+DV77+DV78</f>
        <v>1529</v>
      </c>
      <c r="DW79" s="1051">
        <f t="shared" ca="1" si="155"/>
        <v>2218.4278309846281</v>
      </c>
      <c r="DX79" s="1051">
        <f t="shared" ca="1" si="155"/>
        <v>2337.5647872122809</v>
      </c>
      <c r="DY79" s="179">
        <f t="shared" ca="1" si="155"/>
        <v>1312.5612336490285</v>
      </c>
      <c r="DZ79" s="169"/>
    </row>
    <row r="80" spans="1:130" hidden="1">
      <c r="A80" s="109"/>
      <c r="B80" s="109"/>
      <c r="C80" s="109"/>
      <c r="D80" s="109"/>
      <c r="E80" s="109"/>
      <c r="F80" s="109"/>
      <c r="G80" s="109"/>
      <c r="H80" s="109"/>
      <c r="I80" s="109"/>
      <c r="J80" s="109"/>
      <c r="K80" s="109"/>
      <c r="L80" s="109"/>
      <c r="M80" s="109"/>
      <c r="N80" s="109"/>
      <c r="O80" s="109"/>
      <c r="P80" s="109"/>
      <c r="Q80" s="109"/>
      <c r="R80" s="109"/>
      <c r="S80" s="109"/>
      <c r="T80" s="109"/>
      <c r="U80" s="1044"/>
      <c r="V80" s="109"/>
      <c r="W80" s="109"/>
      <c r="X80" s="109"/>
      <c r="Y80" s="109"/>
      <c r="Z80" s="109"/>
      <c r="AA80" s="109"/>
      <c r="AB80" s="109"/>
      <c r="AC80" s="109"/>
      <c r="AD80" s="109"/>
      <c r="AE80" s="109"/>
      <c r="AF80" s="109"/>
      <c r="AG80" s="109"/>
      <c r="AH80" s="1236"/>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c r="BE80" s="109"/>
      <c r="BF80" s="109"/>
      <c r="BG80" s="109"/>
      <c r="BH80" s="109"/>
      <c r="BI80" s="109"/>
      <c r="BJ80" s="109"/>
      <c r="BK80" s="109"/>
      <c r="BL80" s="109"/>
      <c r="BM80" s="109"/>
      <c r="BN80" s="171"/>
      <c r="BO80" s="109"/>
      <c r="BP80" s="109"/>
      <c r="BQ80" s="109"/>
      <c r="BR80" s="171"/>
      <c r="BS80" s="109"/>
      <c r="BT80" s="109"/>
      <c r="BU80" s="109"/>
      <c r="BV80" s="171"/>
      <c r="BW80" s="109"/>
      <c r="BX80" s="109"/>
      <c r="BY80" s="109"/>
      <c r="BZ80" s="171"/>
      <c r="CA80" s="109"/>
      <c r="CB80" s="109"/>
      <c r="CC80" s="109"/>
      <c r="CD80" s="171"/>
      <c r="CE80" s="109"/>
      <c r="CF80" s="109"/>
      <c r="CG80" s="109"/>
      <c r="CH80" s="171"/>
      <c r="CI80" s="109"/>
      <c r="CJ80" s="109"/>
      <c r="CK80" s="109"/>
      <c r="CL80" s="171"/>
      <c r="CM80" s="109"/>
      <c r="CN80" s="109"/>
      <c r="CO80" s="109"/>
      <c r="CP80" s="171"/>
      <c r="CQ80" s="109"/>
      <c r="CR80" s="109"/>
      <c r="CS80" s="109"/>
      <c r="CT80" s="171"/>
      <c r="CU80" s="109"/>
      <c r="CV80" s="109"/>
      <c r="CW80" s="172"/>
      <c r="CX80" s="109"/>
      <c r="CY80" s="109"/>
      <c r="CZ80" s="109"/>
      <c r="DA80" s="109"/>
      <c r="DB80" s="171"/>
      <c r="DC80" s="109"/>
      <c r="DD80" s="109"/>
      <c r="DE80" s="109"/>
      <c r="DF80" s="171"/>
      <c r="DG80" s="1044"/>
      <c r="DH80" s="1044"/>
      <c r="DI80" s="1044"/>
      <c r="DJ80" s="171"/>
      <c r="DK80" s="1044"/>
      <c r="DL80" s="1044"/>
      <c r="DM80" s="172"/>
      <c r="DN80" s="171"/>
      <c r="DO80" s="1044"/>
      <c r="DP80" s="1044"/>
      <c r="DQ80" s="172"/>
      <c r="DR80" s="171"/>
      <c r="DS80" s="1044"/>
      <c r="DT80" s="1044"/>
      <c r="DU80" s="172"/>
      <c r="DV80" s="171"/>
      <c r="DW80" s="1044"/>
      <c r="DX80" s="1044"/>
      <c r="DY80" s="172"/>
      <c r="DZ80" s="109"/>
    </row>
    <row r="81" spans="1:130" ht="15.75" hidden="1" thickBot="1">
      <c r="A81" s="338"/>
      <c r="B81" s="338"/>
      <c r="C81" s="338"/>
      <c r="D81" s="338"/>
      <c r="E81" s="338"/>
      <c r="F81" s="338"/>
      <c r="G81" s="338"/>
      <c r="H81" s="338"/>
      <c r="I81" s="338"/>
      <c r="J81" s="338"/>
      <c r="K81" s="338"/>
      <c r="L81" s="338"/>
      <c r="M81" s="338"/>
      <c r="N81" s="338"/>
      <c r="O81" s="338"/>
      <c r="P81" s="338"/>
      <c r="Q81" s="338"/>
      <c r="R81" s="338"/>
      <c r="S81" s="338"/>
      <c r="T81" s="338"/>
      <c r="U81" s="338"/>
      <c r="V81" s="338"/>
      <c r="W81" s="338"/>
      <c r="X81" s="338"/>
      <c r="Y81" s="338"/>
      <c r="Z81" s="338"/>
      <c r="AA81" s="338"/>
      <c r="AB81" s="338"/>
      <c r="AC81" s="1044"/>
      <c r="AD81" s="1044"/>
      <c r="AE81" s="1044"/>
      <c r="AF81" s="1044"/>
      <c r="AG81" s="1044"/>
      <c r="AH81" s="1236"/>
      <c r="AI81" s="338"/>
      <c r="AJ81" s="338"/>
      <c r="AK81" s="338"/>
      <c r="AL81" s="338"/>
      <c r="AM81" s="338"/>
      <c r="AN81" s="338"/>
      <c r="AO81" s="338"/>
      <c r="AP81" s="338"/>
      <c r="AQ81" s="338"/>
      <c r="AR81" s="338"/>
      <c r="AS81" s="338"/>
      <c r="AT81" s="338"/>
      <c r="AU81" s="338"/>
      <c r="AV81" s="338"/>
      <c r="AW81" s="338"/>
      <c r="AX81" s="338"/>
      <c r="AY81" s="338"/>
      <c r="AZ81" s="338"/>
      <c r="BA81" s="338"/>
      <c r="BB81" s="338"/>
      <c r="BC81" s="338"/>
      <c r="BD81" s="338"/>
      <c r="BE81" s="338"/>
      <c r="BF81" s="338"/>
      <c r="BG81" s="338"/>
      <c r="BH81" s="338"/>
      <c r="BI81" s="338"/>
      <c r="BJ81" s="338"/>
      <c r="BK81" s="338"/>
      <c r="BL81" s="338"/>
      <c r="BM81" s="338"/>
      <c r="BN81" s="340"/>
      <c r="BO81" s="338"/>
      <c r="BP81" s="338"/>
      <c r="BQ81" s="338"/>
      <c r="BR81" s="340"/>
      <c r="BS81" s="338"/>
      <c r="BT81" s="338"/>
      <c r="BU81" s="338"/>
      <c r="BV81" s="340"/>
      <c r="BW81" s="338"/>
      <c r="BX81" s="338"/>
      <c r="BY81" s="338"/>
      <c r="BZ81" s="340"/>
      <c r="CA81" s="338"/>
      <c r="CB81" s="338"/>
      <c r="CC81" s="338"/>
      <c r="CD81" s="340"/>
      <c r="CE81" s="338"/>
      <c r="CF81" s="338"/>
      <c r="CG81" s="338"/>
      <c r="CH81" s="340"/>
      <c r="CI81" s="338"/>
      <c r="CJ81" s="338"/>
      <c r="CK81" s="338"/>
      <c r="CL81" s="340"/>
      <c r="CM81" s="338"/>
      <c r="CN81" s="338"/>
      <c r="CO81" s="338"/>
      <c r="CP81" s="340"/>
      <c r="CQ81" s="338"/>
      <c r="CR81" s="338"/>
      <c r="CS81" s="338"/>
      <c r="CT81" s="340"/>
      <c r="CU81" s="338"/>
      <c r="CV81" s="338"/>
      <c r="CW81" s="339"/>
      <c r="CX81" s="338"/>
      <c r="CY81" s="338"/>
      <c r="CZ81" s="338"/>
      <c r="DA81" s="338"/>
      <c r="DB81" s="340"/>
      <c r="DC81" s="338"/>
      <c r="DD81" s="338"/>
      <c r="DE81" s="338"/>
      <c r="DF81" s="340"/>
      <c r="DG81" s="338"/>
      <c r="DH81" s="338"/>
      <c r="DI81" s="338"/>
      <c r="DJ81" s="340"/>
      <c r="DK81" s="338"/>
      <c r="DL81" s="338"/>
      <c r="DM81" s="339"/>
      <c r="DN81" s="340"/>
      <c r="DO81" s="338"/>
      <c r="DP81" s="338"/>
      <c r="DQ81" s="339"/>
      <c r="DR81" s="340"/>
      <c r="DS81" s="338"/>
      <c r="DT81" s="338"/>
      <c r="DU81" s="339"/>
      <c r="DV81" s="340"/>
      <c r="DW81" s="338"/>
      <c r="DX81" s="338"/>
      <c r="DY81" s="339"/>
      <c r="DZ81" s="109"/>
    </row>
    <row r="82" spans="1:130" hidden="1">
      <c r="A82" s="109"/>
      <c r="B82" s="109"/>
      <c r="C82" s="109"/>
      <c r="D82" s="109"/>
      <c r="E82" s="109"/>
      <c r="F82" s="109"/>
      <c r="G82" s="109"/>
      <c r="H82" s="109"/>
      <c r="I82" s="109"/>
      <c r="J82" s="109"/>
      <c r="K82" s="109"/>
      <c r="L82" s="109"/>
      <c r="M82" s="109"/>
      <c r="N82" s="109"/>
      <c r="O82" s="109"/>
      <c r="P82" s="109"/>
      <c r="Q82" s="109"/>
      <c r="R82" s="109"/>
      <c r="S82" s="109"/>
      <c r="T82" s="109"/>
      <c r="U82" s="1044"/>
      <c r="V82" s="109"/>
      <c r="W82" s="109"/>
      <c r="X82" s="109"/>
      <c r="Y82" s="109"/>
      <c r="Z82" s="109"/>
      <c r="AA82" s="109"/>
      <c r="AB82" s="109"/>
      <c r="AC82" s="109"/>
      <c r="AD82" s="109"/>
      <c r="AE82" s="109"/>
      <c r="AF82" s="109"/>
      <c r="AG82" s="109"/>
      <c r="AH82" s="1236"/>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c r="BE82" s="109"/>
      <c r="BF82" s="109"/>
      <c r="BG82" s="109"/>
      <c r="BH82" s="109"/>
      <c r="BI82" s="109"/>
      <c r="BJ82" s="109"/>
      <c r="BK82" s="109"/>
      <c r="BL82" s="109"/>
      <c r="BM82" s="109"/>
      <c r="BN82" s="109"/>
      <c r="BO82" s="109"/>
      <c r="BP82" s="109"/>
      <c r="BQ82" s="109"/>
      <c r="BR82" s="109"/>
      <c r="BS82" s="109"/>
      <c r="BT82" s="109"/>
      <c r="BU82" s="109"/>
      <c r="BV82" s="109"/>
      <c r="BW82" s="109"/>
      <c r="BX82" s="109"/>
      <c r="BY82" s="109"/>
      <c r="BZ82" s="109"/>
      <c r="CA82" s="109"/>
      <c r="CB82" s="109"/>
      <c r="CC82" s="109"/>
      <c r="CD82" s="109"/>
      <c r="CE82" s="109"/>
      <c r="CF82" s="109"/>
      <c r="CG82" s="109"/>
      <c r="CH82" s="109"/>
      <c r="CI82" s="109"/>
      <c r="CJ82" s="109"/>
      <c r="CK82" s="109"/>
      <c r="CL82" s="109"/>
      <c r="CM82" s="109"/>
      <c r="CN82" s="109"/>
      <c r="CO82" s="109"/>
      <c r="CP82" s="171"/>
      <c r="CQ82" s="109"/>
      <c r="CR82" s="109"/>
      <c r="CS82" s="109"/>
      <c r="CT82" s="171"/>
      <c r="CU82" s="109"/>
      <c r="CV82" s="109"/>
      <c r="CW82" s="172"/>
      <c r="CX82" s="109"/>
      <c r="CY82" s="109"/>
      <c r="CZ82" s="109"/>
      <c r="DA82" s="109"/>
      <c r="DB82" s="171"/>
      <c r="DC82" s="109"/>
      <c r="DD82" s="109"/>
      <c r="DE82" s="109"/>
      <c r="DF82" s="171"/>
      <c r="DG82" s="1044"/>
      <c r="DH82" s="1044"/>
      <c r="DI82" s="1044"/>
      <c r="DJ82" s="171"/>
      <c r="DK82" s="1044"/>
      <c r="DL82" s="1044"/>
      <c r="DM82" s="172"/>
      <c r="DN82" s="171"/>
      <c r="DO82" s="1044"/>
      <c r="DP82" s="1044"/>
      <c r="DQ82" s="172"/>
      <c r="DR82" s="171"/>
      <c r="DS82" s="1044"/>
      <c r="DT82" s="1044"/>
      <c r="DU82" s="172"/>
      <c r="DV82" s="171"/>
      <c r="DW82" s="1044"/>
      <c r="DX82" s="1044"/>
      <c r="DY82" s="172"/>
      <c r="DZ82" s="109"/>
    </row>
    <row r="83" spans="1:130" hidden="1">
      <c r="A83" s="109"/>
      <c r="B83" s="109"/>
      <c r="C83" s="109"/>
      <c r="D83" s="109"/>
      <c r="E83" s="109"/>
      <c r="F83" s="109"/>
      <c r="G83" s="109"/>
      <c r="H83" s="109"/>
      <c r="I83" s="109"/>
      <c r="J83" s="109"/>
      <c r="K83" s="109"/>
      <c r="L83" s="109"/>
      <c r="M83" s="109"/>
      <c r="N83" s="109"/>
      <c r="O83" s="109"/>
      <c r="P83" s="109"/>
      <c r="Q83" s="109"/>
      <c r="R83" s="109"/>
      <c r="S83" s="109"/>
      <c r="T83" s="109"/>
      <c r="U83" s="1044"/>
      <c r="V83" s="109"/>
      <c r="W83" s="109"/>
      <c r="X83" s="109"/>
      <c r="Y83" s="109"/>
      <c r="Z83" s="109"/>
      <c r="AA83" s="109"/>
      <c r="AB83" s="109"/>
      <c r="AC83" s="109"/>
      <c r="AD83" s="109"/>
      <c r="AE83" s="109"/>
      <c r="AF83" s="109"/>
      <c r="AG83" s="109"/>
      <c r="AH83" s="1236"/>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09"/>
      <c r="CB83" s="109"/>
      <c r="CC83" s="109"/>
      <c r="CD83" s="109"/>
      <c r="CE83" s="109"/>
      <c r="CF83" s="109"/>
      <c r="CG83" s="109"/>
      <c r="CH83" s="109"/>
      <c r="CI83" s="109"/>
      <c r="CJ83" s="109"/>
      <c r="CK83" s="109"/>
      <c r="CL83" s="109"/>
      <c r="CM83" s="109"/>
      <c r="CN83" s="109"/>
      <c r="CO83" s="109"/>
      <c r="CP83" s="171"/>
      <c r="CQ83" s="109"/>
      <c r="CR83" s="109"/>
      <c r="CS83" s="109"/>
      <c r="CT83" s="171"/>
      <c r="CU83" s="109"/>
      <c r="CV83" s="109"/>
      <c r="CW83" s="172"/>
      <c r="CX83" s="109"/>
      <c r="CY83" s="109"/>
      <c r="CZ83" s="109"/>
      <c r="DA83" s="109"/>
      <c r="DB83" s="171"/>
      <c r="DC83" s="109"/>
      <c r="DD83" s="109"/>
      <c r="DE83" s="109"/>
      <c r="DF83" s="171"/>
      <c r="DG83" s="1044"/>
      <c r="DH83" s="1044"/>
      <c r="DI83" s="1044"/>
      <c r="DJ83" s="171"/>
      <c r="DK83" s="1044"/>
      <c r="DL83" s="1044"/>
      <c r="DM83" s="172"/>
      <c r="DN83" s="171"/>
      <c r="DO83" s="1044"/>
      <c r="DP83" s="1044"/>
      <c r="DQ83" s="172"/>
      <c r="DR83" s="171"/>
      <c r="DS83" s="1044"/>
      <c r="DT83" s="1044"/>
      <c r="DU83" s="172"/>
      <c r="DV83" s="171"/>
      <c r="DW83" s="1044"/>
      <c r="DX83" s="1044"/>
      <c r="DY83" s="172"/>
      <c r="DZ83" s="109"/>
    </row>
    <row r="84" spans="1:130" hidden="1">
      <c r="A84" s="109"/>
      <c r="B84" s="109"/>
      <c r="C84" s="109"/>
      <c r="D84" s="109"/>
      <c r="E84" s="109"/>
      <c r="F84" s="109"/>
      <c r="G84" s="109"/>
      <c r="H84" s="109"/>
      <c r="I84" s="109"/>
      <c r="J84" s="109"/>
      <c r="K84" s="109"/>
      <c r="L84" s="109"/>
      <c r="M84" s="109"/>
      <c r="N84" s="109"/>
      <c r="O84" s="109"/>
      <c r="P84" s="109"/>
      <c r="Q84" s="109"/>
      <c r="R84" s="109"/>
      <c r="S84" s="212"/>
      <c r="T84" s="212"/>
      <c r="U84" s="212"/>
      <c r="V84" s="212"/>
      <c r="W84" s="212"/>
      <c r="X84" s="212"/>
      <c r="Y84" s="212"/>
      <c r="Z84" s="212"/>
      <c r="AA84" s="212"/>
      <c r="AB84" s="212"/>
      <c r="AC84" s="1044"/>
      <c r="AD84" s="1044"/>
      <c r="AE84" s="1044"/>
      <c r="AF84" s="1044"/>
      <c r="AG84" s="1044"/>
      <c r="AH84" s="1236"/>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109"/>
      <c r="BE84" s="109"/>
      <c r="BF84" s="109"/>
      <c r="BG84" s="109"/>
      <c r="BH84" s="109"/>
      <c r="BI84" s="109"/>
      <c r="BJ84" s="109"/>
      <c r="BK84" s="109"/>
      <c r="BL84" s="109"/>
      <c r="BM84" s="109"/>
      <c r="BN84" s="109"/>
      <c r="BO84" s="109"/>
      <c r="BP84" s="109"/>
      <c r="BQ84" s="109"/>
      <c r="BR84" s="109"/>
      <c r="BS84" s="109"/>
      <c r="BT84" s="109"/>
      <c r="BU84" s="109"/>
      <c r="BV84" s="109"/>
      <c r="BW84" s="109"/>
      <c r="BX84" s="109"/>
      <c r="BY84" s="109"/>
      <c r="BZ84" s="109"/>
      <c r="CA84" s="109"/>
      <c r="CB84" s="109"/>
      <c r="CC84" s="109"/>
      <c r="CD84" s="109"/>
      <c r="CE84" s="109"/>
      <c r="CF84" s="109"/>
      <c r="CG84" s="109"/>
      <c r="CH84" s="109"/>
      <c r="CI84" s="109"/>
      <c r="CJ84" s="109"/>
      <c r="CK84" s="109"/>
      <c r="CL84" s="109"/>
      <c r="CM84" s="109"/>
      <c r="CN84" s="109"/>
      <c r="CO84" s="109"/>
      <c r="CP84" s="171"/>
      <c r="CQ84" s="109"/>
      <c r="CR84" s="109"/>
      <c r="CS84" s="109"/>
      <c r="CT84" s="171"/>
      <c r="CU84" s="109"/>
      <c r="CV84" s="109"/>
      <c r="CW84" s="172"/>
      <c r="CX84" s="109"/>
      <c r="CY84" s="109"/>
      <c r="CZ84" s="109"/>
      <c r="DA84" s="109"/>
      <c r="DB84" s="171"/>
      <c r="DC84" s="109"/>
      <c r="DD84" s="109"/>
      <c r="DE84" s="109"/>
      <c r="DF84" s="171"/>
      <c r="DG84" s="1044"/>
      <c r="DH84" s="1044"/>
      <c r="DI84" s="1044"/>
      <c r="DJ84" s="171"/>
      <c r="DK84" s="1044"/>
      <c r="DL84" s="1044"/>
      <c r="DM84" s="172"/>
      <c r="DN84" s="171"/>
      <c r="DO84" s="1044"/>
      <c r="DP84" s="1044"/>
      <c r="DQ84" s="172"/>
      <c r="DR84" s="171"/>
      <c r="DS84" s="1044"/>
      <c r="DT84" s="1044"/>
      <c r="DU84" s="172"/>
      <c r="DV84" s="171"/>
      <c r="DW84" s="1044"/>
      <c r="DX84" s="1044"/>
      <c r="DY84" s="172"/>
      <c r="DZ84" s="109"/>
    </row>
    <row r="85" spans="1:130" hidden="1">
      <c r="A85" s="388" t="s">
        <v>1405</v>
      </c>
      <c r="B85" s="389"/>
      <c r="C85" s="389"/>
      <c r="D85" s="389"/>
      <c r="E85" s="389"/>
      <c r="F85" s="389"/>
      <c r="G85" s="389"/>
      <c r="H85" s="389"/>
      <c r="I85" s="389"/>
      <c r="J85" s="389"/>
      <c r="K85" s="389"/>
      <c r="L85" s="389"/>
      <c r="M85" s="389"/>
      <c r="N85" s="389"/>
      <c r="O85" s="389"/>
      <c r="P85" s="389"/>
      <c r="Q85" s="389"/>
      <c r="R85" s="389"/>
      <c r="S85" s="390"/>
      <c r="T85" s="390"/>
      <c r="U85" s="391"/>
      <c r="V85" s="391"/>
      <c r="W85" s="391"/>
      <c r="X85" s="391"/>
      <c r="Y85" s="391"/>
      <c r="Z85" s="391"/>
      <c r="AA85" s="391"/>
      <c r="AB85" s="391"/>
      <c r="AC85" s="391"/>
      <c r="AD85" s="391"/>
      <c r="AE85" s="391"/>
      <c r="AF85" s="391"/>
      <c r="AG85" s="391"/>
      <c r="AH85" s="1404"/>
      <c r="AI85" s="389"/>
      <c r="AJ85" s="389"/>
      <c r="AK85" s="389"/>
      <c r="AL85" s="389"/>
      <c r="AM85" s="389"/>
      <c r="AN85" s="389"/>
      <c r="AO85" s="389"/>
      <c r="AP85" s="392"/>
      <c r="AQ85" s="392"/>
      <c r="AR85" s="392"/>
      <c r="AS85" s="392"/>
      <c r="AT85" s="392"/>
      <c r="AU85" s="392"/>
      <c r="AV85" s="392"/>
      <c r="AW85" s="392"/>
      <c r="AX85" s="392"/>
      <c r="AY85" s="392"/>
      <c r="AZ85" s="392"/>
      <c r="BA85" s="392"/>
      <c r="BB85" s="392"/>
      <c r="BC85" s="392"/>
      <c r="BD85" s="392"/>
      <c r="BE85" s="392"/>
      <c r="BF85" s="392"/>
      <c r="BG85" s="392"/>
      <c r="BH85" s="392"/>
      <c r="BI85" s="392"/>
      <c r="BJ85" s="392"/>
      <c r="BK85" s="392"/>
      <c r="BL85" s="392"/>
      <c r="BM85" s="392"/>
      <c r="BN85" s="392"/>
      <c r="BO85" s="392"/>
      <c r="BP85" s="392"/>
      <c r="BQ85" s="392"/>
      <c r="BR85" s="392"/>
      <c r="BS85" s="392"/>
      <c r="BT85" s="392"/>
      <c r="BU85" s="392"/>
      <c r="BV85" s="392"/>
      <c r="BW85" s="392"/>
      <c r="BX85" s="392"/>
      <c r="BY85" s="392"/>
      <c r="BZ85" s="392"/>
      <c r="CA85" s="392"/>
      <c r="CB85" s="392"/>
      <c r="CC85" s="392"/>
      <c r="CD85" s="392"/>
      <c r="CE85" s="392"/>
      <c r="CF85" s="392"/>
      <c r="CG85" s="392"/>
      <c r="CH85" s="392"/>
      <c r="CI85" s="392"/>
      <c r="CJ85" s="392"/>
      <c r="CK85" s="392"/>
      <c r="CL85" s="392"/>
      <c r="CM85" s="392"/>
      <c r="CN85" s="392"/>
      <c r="CO85" s="392"/>
      <c r="CP85" s="393"/>
      <c r="CQ85" s="392"/>
      <c r="CR85" s="392"/>
      <c r="CS85" s="392"/>
      <c r="CT85" s="393"/>
      <c r="CU85" s="392"/>
      <c r="CV85" s="392"/>
      <c r="CW85" s="394"/>
      <c r="CX85" s="392"/>
      <c r="CY85" s="392"/>
      <c r="CZ85" s="392"/>
      <c r="DA85" s="392"/>
      <c r="DB85" s="393"/>
      <c r="DC85" s="392"/>
      <c r="DD85" s="392"/>
      <c r="DE85" s="392"/>
      <c r="DF85" s="393"/>
      <c r="DG85" s="392"/>
      <c r="DH85" s="392"/>
      <c r="DI85" s="392"/>
      <c r="DJ85" s="393"/>
      <c r="DK85" s="392"/>
      <c r="DL85" s="392"/>
      <c r="DM85" s="394"/>
      <c r="DN85" s="393"/>
      <c r="DO85" s="392"/>
      <c r="DP85" s="392"/>
      <c r="DQ85" s="394"/>
      <c r="DR85" s="393"/>
      <c r="DS85" s="392"/>
      <c r="DT85" s="392"/>
      <c r="DU85" s="394"/>
      <c r="DV85" s="393"/>
      <c r="DW85" s="392"/>
      <c r="DX85" s="392"/>
      <c r="DY85" s="394"/>
      <c r="DZ85" s="392"/>
    </row>
    <row r="86" spans="1:130" hidden="1">
      <c r="A86" s="395" t="s">
        <v>1153</v>
      </c>
      <c r="B86" s="391"/>
      <c r="C86" s="391"/>
      <c r="D86" s="391"/>
      <c r="E86" s="391"/>
      <c r="F86" s="391"/>
      <c r="G86" s="391"/>
      <c r="H86" s="391"/>
      <c r="I86" s="391"/>
      <c r="J86" s="391"/>
      <c r="K86" s="391"/>
      <c r="L86" s="391"/>
      <c r="M86" s="391"/>
      <c r="N86" s="391"/>
      <c r="O86" s="391"/>
      <c r="P86" s="390">
        <f>+IS!P63</f>
        <v>39198.028139993796</v>
      </c>
      <c r="Q86" s="390">
        <f>+IS!Q63</f>
        <v>32291</v>
      </c>
      <c r="R86" s="390">
        <f>+IS!R63</f>
        <v>34376</v>
      </c>
      <c r="S86" s="390">
        <f>+IS!S63</f>
        <v>35450</v>
      </c>
      <c r="T86" s="390">
        <f>+IS!T63</f>
        <v>37417</v>
      </c>
      <c r="U86" s="391">
        <f>+IS!U63</f>
        <v>42021</v>
      </c>
      <c r="V86" s="390">
        <f>+IS!V63</f>
        <v>43254</v>
      </c>
      <c r="W86" s="390">
        <f>+IS!W63</f>
        <v>44368</v>
      </c>
      <c r="X86" s="390">
        <f>+IS!X63</f>
        <v>44236</v>
      </c>
      <c r="Y86" s="390">
        <f>+IS!Y63</f>
        <v>46657</v>
      </c>
      <c r="Z86" s="390">
        <f ca="1">+IS!Z63</f>
        <v>47786.253296851944</v>
      </c>
      <c r="AA86" s="390">
        <f ca="1">+IS!AA63</f>
        <v>48836.664019516073</v>
      </c>
      <c r="AB86" s="390">
        <f ca="1">+IS!AB63</f>
        <v>49687.521335243342</v>
      </c>
      <c r="AC86" s="390"/>
      <c r="AD86" s="390"/>
      <c r="AE86" s="390"/>
      <c r="AF86" s="390"/>
      <c r="AG86" s="390"/>
      <c r="AH86" s="1404"/>
      <c r="AI86" s="391"/>
      <c r="AJ86" s="391"/>
      <c r="AK86" s="391"/>
      <c r="AL86" s="391"/>
      <c r="AM86" s="391"/>
      <c r="AN86" s="391"/>
      <c r="AO86" s="391"/>
      <c r="AP86" s="392"/>
      <c r="AQ86" s="392"/>
      <c r="AR86" s="392"/>
      <c r="AS86" s="392"/>
      <c r="AT86" s="392"/>
      <c r="AU86" s="392"/>
      <c r="AV86" s="392"/>
      <c r="AW86" s="392"/>
      <c r="AX86" s="392"/>
      <c r="AY86" s="392"/>
      <c r="AZ86" s="392"/>
      <c r="BA86" s="392"/>
      <c r="BB86" s="392"/>
      <c r="BC86" s="392"/>
      <c r="BD86" s="392"/>
      <c r="BE86" s="392"/>
      <c r="BF86" s="392"/>
      <c r="BG86" s="392"/>
      <c r="BH86" s="392"/>
      <c r="BI86" s="392"/>
      <c r="BJ86" s="392"/>
      <c r="BK86" s="392"/>
      <c r="BL86" s="392"/>
      <c r="BM86" s="392"/>
      <c r="BN86" s="392"/>
      <c r="BO86" s="392"/>
      <c r="BP86" s="392"/>
      <c r="BQ86" s="392"/>
      <c r="BR86" s="392"/>
      <c r="BS86" s="392"/>
      <c r="BT86" s="392"/>
      <c r="BU86" s="392"/>
      <c r="BV86" s="392"/>
      <c r="BW86" s="392"/>
      <c r="BX86" s="392"/>
      <c r="BY86" s="392"/>
      <c r="BZ86" s="392"/>
      <c r="CA86" s="392"/>
      <c r="CB86" s="392"/>
      <c r="CC86" s="392"/>
      <c r="CD86" s="392"/>
      <c r="CE86" s="392"/>
      <c r="CF86" s="392"/>
      <c r="CG86" s="392"/>
      <c r="CH86" s="392"/>
      <c r="CI86" s="392"/>
      <c r="CJ86" s="396">
        <f>+IS!CG63</f>
        <v>8699.3603411513868</v>
      </c>
      <c r="CK86" s="396">
        <f>+IS!CH63</f>
        <v>13111.475409836066</v>
      </c>
      <c r="CL86" s="393">
        <f>+IS!CI63</f>
        <v>7966</v>
      </c>
      <c r="CM86" s="396">
        <f>+IS!CJ63</f>
        <v>8167</v>
      </c>
      <c r="CN86" s="396">
        <f>+IS!CK63</f>
        <v>8160</v>
      </c>
      <c r="CO86" s="396">
        <f>+IS!CL63</f>
        <v>7998</v>
      </c>
      <c r="CP86" s="393">
        <f>+IS!CM63</f>
        <v>8165</v>
      </c>
      <c r="CQ86" s="396">
        <f>+IS!CN63</f>
        <v>8560</v>
      </c>
      <c r="CR86" s="396">
        <f>+IS!CO63</f>
        <v>8795</v>
      </c>
      <c r="CS86" s="396">
        <f>+IS!CP63</f>
        <v>8856</v>
      </c>
      <c r="CT86" s="393">
        <f>+IS!CQ63</f>
        <v>8477</v>
      </c>
      <c r="CU86" s="396">
        <f>+IS!CR63</f>
        <v>9005</v>
      </c>
      <c r="CV86" s="396">
        <f>+IS!CS63</f>
        <v>9155</v>
      </c>
      <c r="CW86" s="394">
        <f>+IS!CT63</f>
        <v>8813</v>
      </c>
      <c r="CX86" s="396">
        <f>+IS!CU63</f>
        <v>9223</v>
      </c>
      <c r="CY86" s="396">
        <f>+IS!CV63</f>
        <v>9752</v>
      </c>
      <c r="CZ86" s="396">
        <f>+IS!CW63</f>
        <v>10034</v>
      </c>
      <c r="DA86" s="396">
        <f>+IS!CX63</f>
        <v>8408</v>
      </c>
      <c r="DB86" s="393">
        <f>+IS!CY63</f>
        <v>10330</v>
      </c>
      <c r="DC86" s="396">
        <f>+IS!CZ63</f>
        <v>10461</v>
      </c>
      <c r="DD86" s="396">
        <f>+IS!DA63</f>
        <v>10996</v>
      </c>
      <c r="DE86" s="396">
        <f>+IS!DB63</f>
        <v>10234</v>
      </c>
      <c r="DF86" s="393">
        <f>+IS!DC63</f>
        <v>11291</v>
      </c>
      <c r="DG86" s="392">
        <f>+IS!DD63</f>
        <v>11133</v>
      </c>
      <c r="DH86" s="392">
        <f>+IS!DE63</f>
        <v>11057</v>
      </c>
      <c r="DI86" s="392">
        <f>+IS!DF63</f>
        <v>9773</v>
      </c>
      <c r="DJ86" s="393">
        <f>+IS!DG63</f>
        <v>11394</v>
      </c>
      <c r="DK86" s="392">
        <f>+IS!DH63</f>
        <v>11254</v>
      </c>
      <c r="DL86" s="392">
        <f>+IS!DI63</f>
        <v>11342</v>
      </c>
      <c r="DM86" s="394">
        <f>+IS!DJ63</f>
        <v>10378</v>
      </c>
      <c r="DN86" s="393">
        <f>+IS!DK63</f>
        <v>11457</v>
      </c>
      <c r="DO86" s="392">
        <f>+IS!DL63</f>
        <v>11079</v>
      </c>
      <c r="DP86" s="392">
        <f>+IS!DM63</f>
        <v>11279</v>
      </c>
      <c r="DQ86" s="394">
        <f>+IS!DN63</f>
        <v>10421</v>
      </c>
      <c r="DR86" s="393">
        <f>+IS!DO63</f>
        <v>11366</v>
      </c>
      <c r="DS86" s="392">
        <f>+IS!DP63</f>
        <v>11384</v>
      </c>
      <c r="DT86" s="392">
        <f>+IS!DQ63</f>
        <v>12100</v>
      </c>
      <c r="DU86" s="394">
        <f>+IS!DR63</f>
        <v>11807</v>
      </c>
      <c r="DV86" s="393">
        <f>+IS!DS63</f>
        <v>12029</v>
      </c>
      <c r="DW86" s="392">
        <f ca="1">+IS!DT63</f>
        <v>12114.334415885085</v>
      </c>
      <c r="DX86" s="392">
        <f ca="1">+IS!DU63</f>
        <v>12392.425022604479</v>
      </c>
      <c r="DY86" s="394">
        <f ca="1">+IS!DV63</f>
        <v>11250.493858362386</v>
      </c>
      <c r="DZ86" s="396"/>
    </row>
    <row r="87" spans="1:130" hidden="1">
      <c r="A87" s="397" t="s">
        <v>1406</v>
      </c>
      <c r="B87" s="391"/>
      <c r="C87" s="391"/>
      <c r="D87" s="391"/>
      <c r="E87" s="391"/>
      <c r="F87" s="391"/>
      <c r="G87" s="391"/>
      <c r="H87" s="391"/>
      <c r="I87" s="391"/>
      <c r="J87" s="391"/>
      <c r="K87" s="391"/>
      <c r="L87" s="391"/>
      <c r="M87" s="391"/>
      <c r="N87" s="391"/>
      <c r="O87" s="391"/>
      <c r="P87" s="390">
        <f>('Pension - NEW'!H15+'Pension - NEW'!H16)+('OPEB - NEW'!H15+'OPEB - NEW'!H16)</f>
        <v>121</v>
      </c>
      <c r="Q87" s="390">
        <f>('Pension - NEW'!I15+'Pension - NEW'!I16)+('OPEB - NEW'!I15+'OPEB - NEW'!I16)</f>
        <v>451</v>
      </c>
      <c r="R87" s="390">
        <f>('Pension - NEW'!J15+'Pension - NEW'!J16)+('OPEB - NEW'!J15+'OPEB - NEW'!J16)</f>
        <v>1008</v>
      </c>
      <c r="S87" s="390">
        <f>('Pension - NEW'!K15+'Pension - NEW'!K16)+('OPEB - NEW'!K15+'OPEB - NEW'!K16)</f>
        <v>872</v>
      </c>
      <c r="T87" s="390">
        <f>('Pension - NEW'!L15+'Pension - NEW'!L16)+('OPEB - NEW'!L15+'OPEB - NEW'!L16)</f>
        <v>767</v>
      </c>
      <c r="U87" s="391">
        <f>('Pension - NEW'!M15+'Pension - NEW'!M16)+('OPEB - NEW'!M15+'OPEB - NEW'!M16)</f>
        <v>709</v>
      </c>
      <c r="V87" s="390">
        <f>('Pension - NEW'!N15+'Pension - NEW'!N16)+('OPEB - NEW'!N15+'OPEB - NEW'!N16)</f>
        <v>800</v>
      </c>
      <c r="W87" s="390">
        <f>('Pension - NEW'!O15+'Pension - NEW'!O16)+('OPEB - NEW'!O15+'OPEB - NEW'!O16)</f>
        <v>715</v>
      </c>
      <c r="X87" s="390">
        <f>('Pension - NEW'!P15+'Pension - NEW'!P16)+('OPEB - NEW'!P15+'OPEB - NEW'!P16)</f>
        <v>324</v>
      </c>
      <c r="Y87" s="390">
        <f>('Pension - NEW'!Q15+'Pension - NEW'!Q16)+('OPEB - NEW'!Q15+'OPEB - NEW'!Q16)</f>
        <v>685.52799999999991</v>
      </c>
      <c r="Z87" s="390">
        <f>('Pension - NEW'!R15+'Pension - NEW'!R16)+('OPEB - NEW'!R15+'OPEB - NEW'!R16)</f>
        <v>664.15730399999995</v>
      </c>
      <c r="AA87" s="390">
        <f>('Pension - NEW'!S15+'Pension - NEW'!S16)+('OPEB - NEW'!S15+'OPEB - NEW'!S16)</f>
        <v>633.14183543199988</v>
      </c>
      <c r="AB87" s="390">
        <f>('Pension - NEW'!T15+'Pension - NEW'!T16)+('OPEB - NEW'!T15+'OPEB - NEW'!T16)</f>
        <v>598.73610396405581</v>
      </c>
      <c r="AC87" s="390"/>
      <c r="AD87" s="390"/>
      <c r="AE87" s="390"/>
      <c r="AF87" s="390"/>
      <c r="AG87" s="390"/>
      <c r="AH87" s="1404"/>
      <c r="AI87" s="391"/>
      <c r="AJ87" s="391"/>
      <c r="AK87" s="391"/>
      <c r="AL87" s="391"/>
      <c r="AM87" s="391"/>
      <c r="AN87" s="391"/>
      <c r="AO87" s="391"/>
      <c r="AP87" s="392"/>
      <c r="AQ87" s="392"/>
      <c r="AR87" s="392"/>
      <c r="AS87" s="392"/>
      <c r="AT87" s="392"/>
      <c r="AU87" s="392"/>
      <c r="AV87" s="392"/>
      <c r="AW87" s="392"/>
      <c r="AX87" s="392"/>
      <c r="AY87" s="392"/>
      <c r="AZ87" s="392"/>
      <c r="BA87" s="392"/>
      <c r="BB87" s="392"/>
      <c r="BC87" s="392"/>
      <c r="BD87" s="392"/>
      <c r="BE87" s="392"/>
      <c r="BF87" s="392"/>
      <c r="BG87" s="392"/>
      <c r="BH87" s="392"/>
      <c r="BI87" s="392"/>
      <c r="BJ87" s="392"/>
      <c r="BK87" s="392"/>
      <c r="BL87" s="392"/>
      <c r="BM87" s="392"/>
      <c r="BN87" s="392"/>
      <c r="BO87" s="392"/>
      <c r="BP87" s="392"/>
      <c r="BQ87" s="392"/>
      <c r="BR87" s="392"/>
      <c r="BS87" s="392"/>
      <c r="BT87" s="392"/>
      <c r="BU87" s="392"/>
      <c r="BV87" s="392"/>
      <c r="BW87" s="392"/>
      <c r="BX87" s="392"/>
      <c r="BY87" s="392"/>
      <c r="BZ87" s="392"/>
      <c r="CA87" s="392"/>
      <c r="CB87" s="392"/>
      <c r="CC87" s="392"/>
      <c r="CD87" s="392"/>
      <c r="CE87" s="392"/>
      <c r="CF87" s="392"/>
      <c r="CG87" s="392"/>
      <c r="CH87" s="392"/>
      <c r="CI87" s="392"/>
      <c r="CJ87" s="392"/>
      <c r="CK87" s="392"/>
      <c r="CL87" s="393"/>
      <c r="CM87" s="392"/>
      <c r="CN87" s="392"/>
      <c r="CO87" s="392"/>
      <c r="CP87" s="393"/>
      <c r="CQ87" s="392"/>
      <c r="CR87" s="392"/>
      <c r="CS87" s="392"/>
      <c r="CT87" s="393"/>
      <c r="CU87" s="392"/>
      <c r="CV87" s="392"/>
      <c r="CW87" s="394"/>
      <c r="CX87" s="396">
        <f>$T$87/4</f>
        <v>191.75</v>
      </c>
      <c r="CY87" s="396">
        <f>$T$87/4</f>
        <v>191.75</v>
      </c>
      <c r="CZ87" s="396">
        <f>$T$87/4</f>
        <v>191.75</v>
      </c>
      <c r="DA87" s="396">
        <f>$T$87/4</f>
        <v>191.75</v>
      </c>
      <c r="DB87" s="393">
        <f t="shared" ref="DB87:DY87" si="156">$U$87/4</f>
        <v>177.25</v>
      </c>
      <c r="DC87" s="396">
        <f t="shared" si="156"/>
        <v>177.25</v>
      </c>
      <c r="DD87" s="396">
        <f t="shared" si="156"/>
        <v>177.25</v>
      </c>
      <c r="DE87" s="396">
        <f t="shared" si="156"/>
        <v>177.25</v>
      </c>
      <c r="DF87" s="393">
        <f t="shared" si="156"/>
        <v>177.25</v>
      </c>
      <c r="DG87" s="392">
        <f t="shared" si="156"/>
        <v>177.25</v>
      </c>
      <c r="DH87" s="392">
        <f t="shared" si="156"/>
        <v>177.25</v>
      </c>
      <c r="DI87" s="392">
        <f t="shared" si="156"/>
        <v>177.25</v>
      </c>
      <c r="DJ87" s="393">
        <f t="shared" si="156"/>
        <v>177.25</v>
      </c>
      <c r="DK87" s="392">
        <f t="shared" si="156"/>
        <v>177.25</v>
      </c>
      <c r="DL87" s="392">
        <f t="shared" si="156"/>
        <v>177.25</v>
      </c>
      <c r="DM87" s="394">
        <f t="shared" si="156"/>
        <v>177.25</v>
      </c>
      <c r="DN87" s="393">
        <f t="shared" si="156"/>
        <v>177.25</v>
      </c>
      <c r="DO87" s="392">
        <f t="shared" si="156"/>
        <v>177.25</v>
      </c>
      <c r="DP87" s="392">
        <f t="shared" si="156"/>
        <v>177.25</v>
      </c>
      <c r="DQ87" s="394">
        <f t="shared" si="156"/>
        <v>177.25</v>
      </c>
      <c r="DR87" s="393">
        <f t="shared" si="156"/>
        <v>177.25</v>
      </c>
      <c r="DS87" s="392">
        <f t="shared" si="156"/>
        <v>177.25</v>
      </c>
      <c r="DT87" s="392">
        <f t="shared" si="156"/>
        <v>177.25</v>
      </c>
      <c r="DU87" s="394">
        <f t="shared" si="156"/>
        <v>177.25</v>
      </c>
      <c r="DV87" s="393">
        <f t="shared" si="156"/>
        <v>177.25</v>
      </c>
      <c r="DW87" s="392">
        <f t="shared" si="156"/>
        <v>177.25</v>
      </c>
      <c r="DX87" s="392">
        <f t="shared" si="156"/>
        <v>177.25</v>
      </c>
      <c r="DY87" s="394">
        <f t="shared" si="156"/>
        <v>177.25</v>
      </c>
      <c r="DZ87" s="396"/>
    </row>
    <row r="88" spans="1:130" hidden="1">
      <c r="A88" s="397" t="s">
        <v>1407</v>
      </c>
      <c r="B88" s="391"/>
      <c r="C88" s="391"/>
      <c r="D88" s="391"/>
      <c r="E88" s="391"/>
      <c r="F88" s="391"/>
      <c r="G88" s="391"/>
      <c r="H88" s="391"/>
      <c r="I88" s="391"/>
      <c r="J88" s="391"/>
      <c r="K88" s="391"/>
      <c r="L88" s="391"/>
      <c r="M88" s="391"/>
      <c r="N88" s="391"/>
      <c r="O88" s="391"/>
      <c r="P88" s="398">
        <f>-3.5%*BS!O44</f>
        <v>-1048.6000000000001</v>
      </c>
      <c r="Q88" s="398">
        <f>-3.5%*BS!P44</f>
        <v>-1137.92</v>
      </c>
      <c r="R88" s="398">
        <f>-3.5%*BS!Q44</f>
        <v>-1141.7700000000002</v>
      </c>
      <c r="S88" s="398">
        <f>-3.5%*BS!R44</f>
        <v>-985.74000000000012</v>
      </c>
      <c r="T88" s="398">
        <f>-3.5%*BS!S44</f>
        <v>-1153.4950000000001</v>
      </c>
      <c r="U88" s="399">
        <f>-3.5%*BS!T44</f>
        <v>-1202.1100000000001</v>
      </c>
      <c r="V88" s="398">
        <f>-3.5%*BS!U44</f>
        <v>-968.87000000000012</v>
      </c>
      <c r="W88" s="398">
        <f>-3.5%*BS!V44</f>
        <v>-1164.8000000000002</v>
      </c>
      <c r="X88" s="398">
        <f>-3.5%*BS!W44</f>
        <v>-1048.4950000000001</v>
      </c>
      <c r="Y88" s="398">
        <f>-3.5%*BS!X44</f>
        <v>-915.81000000000006</v>
      </c>
      <c r="Z88" s="398">
        <f>-3.5%*BS!Y44</f>
        <v>-773.92000000000007</v>
      </c>
      <c r="AA88" s="398">
        <f>-3.5%*BS!Z44</f>
        <v>-724.11500000000012</v>
      </c>
      <c r="AB88" s="398">
        <f>-3.5%*BS!AA44</f>
        <v>-708.29996424011983</v>
      </c>
      <c r="AC88" s="398"/>
      <c r="AD88" s="398"/>
      <c r="AE88" s="398"/>
      <c r="AF88" s="398"/>
      <c r="AG88" s="398"/>
      <c r="AH88" s="1404"/>
      <c r="AI88" s="391"/>
      <c r="AJ88" s="391"/>
      <c r="AK88" s="391"/>
      <c r="AL88" s="391"/>
      <c r="AM88" s="391"/>
      <c r="AN88" s="391"/>
      <c r="AO88" s="391"/>
      <c r="AP88" s="392"/>
      <c r="AQ88" s="392"/>
      <c r="AR88" s="392"/>
      <c r="AS88" s="392"/>
      <c r="AT88" s="392"/>
      <c r="AU88" s="392"/>
      <c r="AV88" s="392"/>
      <c r="AW88" s="392"/>
      <c r="AX88" s="392"/>
      <c r="AY88" s="392"/>
      <c r="AZ88" s="392"/>
      <c r="BA88" s="392"/>
      <c r="BB88" s="392"/>
      <c r="BC88" s="392"/>
      <c r="BD88" s="392"/>
      <c r="BE88" s="392"/>
      <c r="BF88" s="392"/>
      <c r="BG88" s="392"/>
      <c r="BH88" s="392"/>
      <c r="BI88" s="392"/>
      <c r="BJ88" s="392"/>
      <c r="BK88" s="392"/>
      <c r="BL88" s="392"/>
      <c r="BM88" s="392"/>
      <c r="BN88" s="392"/>
      <c r="BO88" s="392"/>
      <c r="BP88" s="392"/>
      <c r="BQ88" s="392"/>
      <c r="BR88" s="392"/>
      <c r="BS88" s="392"/>
      <c r="BT88" s="392"/>
      <c r="BU88" s="392"/>
      <c r="BV88" s="392"/>
      <c r="BW88" s="392"/>
      <c r="BX88" s="392"/>
      <c r="BY88" s="392"/>
      <c r="BZ88" s="392"/>
      <c r="CA88" s="392"/>
      <c r="CB88" s="392"/>
      <c r="CC88" s="392"/>
      <c r="CD88" s="392"/>
      <c r="CE88" s="392"/>
      <c r="CF88" s="392"/>
      <c r="CG88" s="392"/>
      <c r="CH88" s="392"/>
      <c r="CI88" s="392"/>
      <c r="CJ88" s="392"/>
      <c r="CK88" s="392"/>
      <c r="CL88" s="393"/>
      <c r="CM88" s="392"/>
      <c r="CN88" s="392"/>
      <c r="CO88" s="392"/>
      <c r="CP88" s="393"/>
      <c r="CQ88" s="392"/>
      <c r="CR88" s="392"/>
      <c r="CS88" s="392"/>
      <c r="CT88" s="393"/>
      <c r="CU88" s="392"/>
      <c r="CV88" s="392"/>
      <c r="CW88" s="394"/>
      <c r="CX88" s="396">
        <f>$T$88/4</f>
        <v>-288.37375000000003</v>
      </c>
      <c r="CY88" s="396">
        <f>$T$88/4</f>
        <v>-288.37375000000003</v>
      </c>
      <c r="CZ88" s="396">
        <f>$T$88/4</f>
        <v>-288.37375000000003</v>
      </c>
      <c r="DA88" s="396">
        <f>$T$88/4</f>
        <v>-288.37375000000003</v>
      </c>
      <c r="DB88" s="393">
        <f t="shared" ref="DB88:DY88" si="157">$U$88/4</f>
        <v>-300.52750000000003</v>
      </c>
      <c r="DC88" s="396">
        <f t="shared" si="157"/>
        <v>-300.52750000000003</v>
      </c>
      <c r="DD88" s="396">
        <f t="shared" si="157"/>
        <v>-300.52750000000003</v>
      </c>
      <c r="DE88" s="396">
        <f t="shared" si="157"/>
        <v>-300.52750000000003</v>
      </c>
      <c r="DF88" s="393">
        <f t="shared" si="157"/>
        <v>-300.52750000000003</v>
      </c>
      <c r="DG88" s="392">
        <f t="shared" si="157"/>
        <v>-300.52750000000003</v>
      </c>
      <c r="DH88" s="392">
        <f t="shared" si="157"/>
        <v>-300.52750000000003</v>
      </c>
      <c r="DI88" s="392">
        <f t="shared" si="157"/>
        <v>-300.52750000000003</v>
      </c>
      <c r="DJ88" s="393">
        <f t="shared" si="157"/>
        <v>-300.52750000000003</v>
      </c>
      <c r="DK88" s="392">
        <f t="shared" si="157"/>
        <v>-300.52750000000003</v>
      </c>
      <c r="DL88" s="392">
        <f t="shared" si="157"/>
        <v>-300.52750000000003</v>
      </c>
      <c r="DM88" s="394">
        <f t="shared" si="157"/>
        <v>-300.52750000000003</v>
      </c>
      <c r="DN88" s="393">
        <f t="shared" si="157"/>
        <v>-300.52750000000003</v>
      </c>
      <c r="DO88" s="392">
        <f t="shared" si="157"/>
        <v>-300.52750000000003</v>
      </c>
      <c r="DP88" s="392">
        <f t="shared" si="157"/>
        <v>-300.52750000000003</v>
      </c>
      <c r="DQ88" s="394">
        <f t="shared" si="157"/>
        <v>-300.52750000000003</v>
      </c>
      <c r="DR88" s="393">
        <f t="shared" si="157"/>
        <v>-300.52750000000003</v>
      </c>
      <c r="DS88" s="392">
        <f t="shared" si="157"/>
        <v>-300.52750000000003</v>
      </c>
      <c r="DT88" s="392">
        <f t="shared" si="157"/>
        <v>-300.52750000000003</v>
      </c>
      <c r="DU88" s="394">
        <f t="shared" si="157"/>
        <v>-300.52750000000003</v>
      </c>
      <c r="DV88" s="393">
        <f t="shared" si="157"/>
        <v>-300.52750000000003</v>
      </c>
      <c r="DW88" s="392">
        <f t="shared" si="157"/>
        <v>-300.52750000000003</v>
      </c>
      <c r="DX88" s="392">
        <f t="shared" si="157"/>
        <v>-300.52750000000003</v>
      </c>
      <c r="DY88" s="394">
        <f t="shared" si="157"/>
        <v>-300.52750000000003</v>
      </c>
      <c r="DZ88" s="396"/>
    </row>
    <row r="89" spans="1:130" hidden="1">
      <c r="A89" s="395" t="s">
        <v>1408</v>
      </c>
      <c r="B89" s="399"/>
      <c r="C89" s="399"/>
      <c r="D89" s="399"/>
      <c r="E89" s="399"/>
      <c r="F89" s="399"/>
      <c r="G89" s="399"/>
      <c r="H89" s="399"/>
      <c r="I89" s="391"/>
      <c r="J89" s="391"/>
      <c r="K89" s="391"/>
      <c r="L89" s="391"/>
      <c r="M89" s="399"/>
      <c r="N89" s="399"/>
      <c r="O89" s="399"/>
      <c r="P89" s="390">
        <f>IS!P67</f>
        <v>567</v>
      </c>
      <c r="Q89" s="390">
        <f>IS!Q67</f>
        <v>553</v>
      </c>
      <c r="R89" s="390">
        <f>IS!R67</f>
        <v>508</v>
      </c>
      <c r="S89" s="390">
        <f>IS!S67</f>
        <v>444</v>
      </c>
      <c r="T89" s="390">
        <f>IS!T67</f>
        <v>324</v>
      </c>
      <c r="U89" s="391">
        <f>-IS!U67</f>
        <v>-142</v>
      </c>
      <c r="V89" s="390">
        <f>-IS!V67</f>
        <v>-1780</v>
      </c>
      <c r="W89" s="390">
        <f>-IS!W67</f>
        <v>86</v>
      </c>
      <c r="X89" s="390">
        <f>-IS!X67</f>
        <v>98</v>
      </c>
      <c r="Y89" s="390">
        <f>-IS!Y67</f>
        <v>77</v>
      </c>
      <c r="Z89" s="390">
        <f>-IS!Z67</f>
        <v>76</v>
      </c>
      <c r="AA89" s="390">
        <f>-IS!AA67</f>
        <v>68.400000000000006</v>
      </c>
      <c r="AB89" s="390">
        <f>-IS!AB67</f>
        <v>61.560000000000009</v>
      </c>
      <c r="AC89" s="390"/>
      <c r="AD89" s="390"/>
      <c r="AE89" s="390"/>
      <c r="AF89" s="390"/>
      <c r="AG89" s="390"/>
      <c r="AH89" s="1404"/>
      <c r="AI89" s="399"/>
      <c r="AJ89" s="399"/>
      <c r="AK89" s="399"/>
      <c r="AL89" s="399"/>
      <c r="AM89" s="399"/>
      <c r="AN89" s="399"/>
      <c r="AO89" s="399"/>
      <c r="AP89" s="396">
        <v>0</v>
      </c>
      <c r="AQ89" s="396">
        <v>0</v>
      </c>
      <c r="AR89" s="396">
        <v>0</v>
      </c>
      <c r="AS89" s="396">
        <v>0</v>
      </c>
      <c r="AT89" s="396">
        <v>0</v>
      </c>
      <c r="AU89" s="396">
        <v>0</v>
      </c>
      <c r="AV89" s="396">
        <v>0</v>
      </c>
      <c r="AW89" s="396">
        <v>0</v>
      </c>
      <c r="AX89" s="396">
        <v>0</v>
      </c>
      <c r="AY89" s="396">
        <v>0</v>
      </c>
      <c r="AZ89" s="396">
        <v>0</v>
      </c>
      <c r="BA89" s="396">
        <v>0</v>
      </c>
      <c r="BB89" s="396">
        <v>0</v>
      </c>
      <c r="BC89" s="396">
        <v>0</v>
      </c>
      <c r="BD89" s="396">
        <v>0</v>
      </c>
      <c r="BE89" s="396">
        <v>0</v>
      </c>
      <c r="BF89" s="396">
        <v>0</v>
      </c>
      <c r="BG89" s="396">
        <v>0</v>
      </c>
      <c r="BH89" s="396">
        <v>0</v>
      </c>
      <c r="BI89" s="396">
        <v>0</v>
      </c>
      <c r="BJ89" s="396">
        <v>-145</v>
      </c>
      <c r="BK89" s="396">
        <v>-241</v>
      </c>
      <c r="BL89" s="396">
        <v>-195</v>
      </c>
      <c r="BM89" s="396">
        <v>-152</v>
      </c>
      <c r="BN89" s="396">
        <v>-167</v>
      </c>
      <c r="BO89" s="396">
        <v>-227</v>
      </c>
      <c r="BP89" s="396">
        <v>-438</v>
      </c>
      <c r="BQ89" s="396">
        <v>-253</v>
      </c>
      <c r="BR89" s="396">
        <v>-228</v>
      </c>
      <c r="BS89" s="396">
        <v>-212</v>
      </c>
      <c r="BT89" s="396">
        <v>-226</v>
      </c>
      <c r="BU89" s="396">
        <v>-270</v>
      </c>
      <c r="BV89" s="396">
        <v>-249</v>
      </c>
      <c r="BW89" s="396">
        <v>-178</v>
      </c>
      <c r="BX89" s="396">
        <v>-183</v>
      </c>
      <c r="BY89" s="396">
        <v>-168</v>
      </c>
      <c r="BZ89" s="396">
        <f>-IS!BW67</f>
        <v>-157</v>
      </c>
      <c r="CA89" s="396">
        <f>-IS!BX67</f>
        <v>-171</v>
      </c>
      <c r="CB89" s="396">
        <f>-IS!BY67</f>
        <v>-288</v>
      </c>
      <c r="CC89" s="396">
        <f>-IS!BZ67</f>
        <v>-157</v>
      </c>
      <c r="CD89" s="396">
        <f>-IS!CA67</f>
        <v>-160</v>
      </c>
      <c r="CE89" s="396">
        <f>-IS!CB67</f>
        <v>-185</v>
      </c>
      <c r="CF89" s="396">
        <f>-IS!CC67</f>
        <v>-147</v>
      </c>
      <c r="CG89" s="396">
        <f>-IS!CD67</f>
        <v>-93</v>
      </c>
      <c r="CH89" s="396">
        <f>-IS!CE67</f>
        <v>-97</v>
      </c>
      <c r="CI89" s="396">
        <f>-IS!CF67</f>
        <v>-150</v>
      </c>
      <c r="CJ89" s="396">
        <f>-IS!CG67</f>
        <v>-211</v>
      </c>
      <c r="CK89" s="396">
        <f>-IS!CH67</f>
        <v>-109</v>
      </c>
      <c r="CL89" s="393">
        <f>-IS!CI67</f>
        <v>-128</v>
      </c>
      <c r="CM89" s="396">
        <f>-IS!CJ67</f>
        <v>-128</v>
      </c>
      <c r="CN89" s="396">
        <f>-IS!CK67</f>
        <v>-166</v>
      </c>
      <c r="CO89" s="396">
        <f>-IS!CL67</f>
        <v>-131</v>
      </c>
      <c r="CP89" s="393">
        <f>-IS!CM67</f>
        <v>-133</v>
      </c>
      <c r="CQ89" s="396">
        <f>-IS!CN67</f>
        <v>-121</v>
      </c>
      <c r="CR89" s="396">
        <f>-IS!CO67</f>
        <v>-141</v>
      </c>
      <c r="CS89" s="396">
        <f>-IS!CP67</f>
        <v>-113</v>
      </c>
      <c r="CT89" s="393">
        <f>-IS!CQ67</f>
        <v>-101</v>
      </c>
      <c r="CU89" s="396">
        <f>-IS!CR67</f>
        <v>-121</v>
      </c>
      <c r="CV89" s="396">
        <f>-IS!CS67</f>
        <v>-125</v>
      </c>
      <c r="CW89" s="394">
        <f>-IS!CT67</f>
        <v>-97</v>
      </c>
      <c r="CX89" s="396">
        <f>IS!CU67</f>
        <v>103</v>
      </c>
      <c r="CY89" s="396">
        <f>IS!CV67</f>
        <v>72</v>
      </c>
      <c r="CZ89" s="396">
        <f>IS!CW67</f>
        <v>62</v>
      </c>
      <c r="DA89" s="396">
        <f>IS!CX67</f>
        <v>87</v>
      </c>
      <c r="DB89" s="393">
        <f>-IS!CY67</f>
        <v>5</v>
      </c>
      <c r="DC89" s="396">
        <f>-IS!CZ67</f>
        <v>-120</v>
      </c>
      <c r="DD89" s="396">
        <f>-IS!DA67</f>
        <v>-19</v>
      </c>
      <c r="DE89" s="396">
        <f>-IS!DB67</f>
        <v>-8</v>
      </c>
      <c r="DF89" s="393">
        <f>-IS!DC67</f>
        <v>-1902</v>
      </c>
      <c r="DG89" s="392">
        <f>-IS!DD67</f>
        <v>43</v>
      </c>
      <c r="DH89" s="392">
        <f>-IS!DE67</f>
        <v>48</v>
      </c>
      <c r="DI89" s="392">
        <f>-IS!DF67</f>
        <v>31</v>
      </c>
      <c r="DJ89" s="393">
        <f>-IS!DG67</f>
        <v>34</v>
      </c>
      <c r="DK89" s="392">
        <f>-IS!DH67</f>
        <v>18</v>
      </c>
      <c r="DL89" s="392">
        <f>-IS!DI67</f>
        <v>18</v>
      </c>
      <c r="DM89" s="394">
        <f>-IS!DJ67</f>
        <v>16</v>
      </c>
      <c r="DN89" s="393">
        <f>-IS!DK67</f>
        <v>20</v>
      </c>
      <c r="DO89" s="392">
        <f>-IS!DL67</f>
        <v>20</v>
      </c>
      <c r="DP89" s="392">
        <f>-IS!DM67</f>
        <v>23</v>
      </c>
      <c r="DQ89" s="394">
        <f>-IS!DN67</f>
        <v>35</v>
      </c>
      <c r="DR89" s="393">
        <f>-IS!DO67</f>
        <v>21</v>
      </c>
      <c r="DS89" s="392">
        <f>-IS!DP67</f>
        <v>28</v>
      </c>
      <c r="DT89" s="392">
        <f>-IS!DQ67</f>
        <v>22</v>
      </c>
      <c r="DU89" s="394">
        <f>-IS!DR67</f>
        <v>6</v>
      </c>
      <c r="DV89" s="393">
        <f>-IS!DS67</f>
        <v>19</v>
      </c>
      <c r="DW89" s="392">
        <f>-IS!DT67</f>
        <v>19</v>
      </c>
      <c r="DX89" s="392">
        <f>-IS!DU67</f>
        <v>19</v>
      </c>
      <c r="DY89" s="394">
        <f>-IS!DV67</f>
        <v>19</v>
      </c>
      <c r="DZ89" s="400"/>
    </row>
    <row r="90" spans="1:130" hidden="1">
      <c r="A90" s="395" t="s">
        <v>1409</v>
      </c>
      <c r="B90" s="399"/>
      <c r="C90" s="399"/>
      <c r="D90" s="399"/>
      <c r="E90" s="399"/>
      <c r="F90" s="399"/>
      <c r="G90" s="399"/>
      <c r="H90" s="399"/>
      <c r="I90" s="391"/>
      <c r="J90" s="391"/>
      <c r="K90" s="391"/>
      <c r="L90" s="391"/>
      <c r="M90" s="399"/>
      <c r="N90" s="399"/>
      <c r="O90" s="399"/>
      <c r="P90" s="390">
        <f>IS!P70</f>
        <v>330</v>
      </c>
      <c r="Q90" s="390">
        <f>IS!Q70</f>
        <v>93.000000000000014</v>
      </c>
      <c r="R90" s="390">
        <f>IS!R70</f>
        <v>109</v>
      </c>
      <c r="S90" s="390">
        <f>IS!S70</f>
        <v>-14</v>
      </c>
      <c r="T90" s="390">
        <f>IS!T70</f>
        <v>81</v>
      </c>
      <c r="U90" s="391">
        <f>IS!U70</f>
        <v>83</v>
      </c>
      <c r="V90" s="390">
        <f>IS!V70</f>
        <v>-817</v>
      </c>
      <c r="W90" s="390">
        <f>IS!W70</f>
        <v>186</v>
      </c>
      <c r="X90" s="390">
        <f>IS!X70</f>
        <v>223</v>
      </c>
      <c r="Y90" s="390">
        <f>IS!Y70</f>
        <v>-2010</v>
      </c>
      <c r="Z90" s="390">
        <f ca="1">IS!Z70</f>
        <v>7.3690006326668751</v>
      </c>
      <c r="AA90" s="390">
        <f ca="1">IS!AA70</f>
        <v>159.98830608213149</v>
      </c>
      <c r="AB90" s="390">
        <f ca="1">IS!AB70</f>
        <v>486.49636165710768</v>
      </c>
      <c r="AC90" s="390"/>
      <c r="AD90" s="390"/>
      <c r="AE90" s="390"/>
      <c r="AF90" s="390"/>
      <c r="AG90" s="390"/>
      <c r="AH90" s="1404"/>
      <c r="AI90" s="399"/>
      <c r="AJ90" s="399"/>
      <c r="AK90" s="399"/>
      <c r="AL90" s="399"/>
      <c r="AM90" s="399"/>
      <c r="AN90" s="399"/>
      <c r="AO90" s="399"/>
      <c r="AP90" s="392"/>
      <c r="AQ90" s="392"/>
      <c r="AR90" s="392"/>
      <c r="AS90" s="392"/>
      <c r="AT90" s="392"/>
      <c r="AU90" s="392"/>
      <c r="AV90" s="392"/>
      <c r="AW90" s="392"/>
      <c r="AX90" s="392"/>
      <c r="AY90" s="392"/>
      <c r="AZ90" s="392"/>
      <c r="BA90" s="392"/>
      <c r="BB90" s="392"/>
      <c r="BC90" s="392"/>
      <c r="BD90" s="392"/>
      <c r="BE90" s="392"/>
      <c r="BF90" s="392"/>
      <c r="BG90" s="392"/>
      <c r="BH90" s="392"/>
      <c r="BI90" s="392"/>
      <c r="BJ90" s="392"/>
      <c r="BK90" s="392"/>
      <c r="BL90" s="392"/>
      <c r="BM90" s="392"/>
      <c r="BN90" s="392"/>
      <c r="BO90" s="392"/>
      <c r="BP90" s="392"/>
      <c r="BQ90" s="392"/>
      <c r="BR90" s="392"/>
      <c r="BS90" s="392"/>
      <c r="BT90" s="392"/>
      <c r="BU90" s="392"/>
      <c r="BV90" s="392"/>
      <c r="BW90" s="392"/>
      <c r="BX90" s="392"/>
      <c r="BY90" s="392"/>
      <c r="BZ90" s="392"/>
      <c r="CA90" s="392"/>
      <c r="CB90" s="392"/>
      <c r="CC90" s="392"/>
      <c r="CD90" s="392"/>
      <c r="CE90" s="392"/>
      <c r="CF90" s="392"/>
      <c r="CG90" s="392"/>
      <c r="CH90" s="392"/>
      <c r="CI90" s="392"/>
      <c r="CJ90" s="392"/>
      <c r="CK90" s="392"/>
      <c r="CL90" s="393"/>
      <c r="CM90" s="392"/>
      <c r="CN90" s="392"/>
      <c r="CO90" s="392"/>
      <c r="CP90" s="393"/>
      <c r="CQ90" s="392"/>
      <c r="CR90" s="392"/>
      <c r="CS90" s="392"/>
      <c r="CT90" s="393"/>
      <c r="CU90" s="392"/>
      <c r="CV90" s="392"/>
      <c r="CW90" s="394"/>
      <c r="CX90" s="396">
        <f>$T$90/4</f>
        <v>20.25</v>
      </c>
      <c r="CY90" s="396">
        <f>$T$90/4</f>
        <v>20.25</v>
      </c>
      <c r="CZ90" s="396">
        <f>$T$90/4</f>
        <v>20.25</v>
      </c>
      <c r="DA90" s="396">
        <f>$T$90/4</f>
        <v>20.25</v>
      </c>
      <c r="DB90" s="393">
        <f t="shared" ref="DB90:DY90" si="158">$U$90/4</f>
        <v>20.75</v>
      </c>
      <c r="DC90" s="396">
        <f t="shared" si="158"/>
        <v>20.75</v>
      </c>
      <c r="DD90" s="396">
        <f t="shared" si="158"/>
        <v>20.75</v>
      </c>
      <c r="DE90" s="396">
        <f t="shared" si="158"/>
        <v>20.75</v>
      </c>
      <c r="DF90" s="393">
        <f t="shared" si="158"/>
        <v>20.75</v>
      </c>
      <c r="DG90" s="392">
        <f t="shared" si="158"/>
        <v>20.75</v>
      </c>
      <c r="DH90" s="392">
        <f t="shared" si="158"/>
        <v>20.75</v>
      </c>
      <c r="DI90" s="392">
        <f t="shared" si="158"/>
        <v>20.75</v>
      </c>
      <c r="DJ90" s="393">
        <f t="shared" si="158"/>
        <v>20.75</v>
      </c>
      <c r="DK90" s="392">
        <f t="shared" si="158"/>
        <v>20.75</v>
      </c>
      <c r="DL90" s="392">
        <f t="shared" si="158"/>
        <v>20.75</v>
      </c>
      <c r="DM90" s="394">
        <f t="shared" si="158"/>
        <v>20.75</v>
      </c>
      <c r="DN90" s="393">
        <f t="shared" si="158"/>
        <v>20.75</v>
      </c>
      <c r="DO90" s="392">
        <f t="shared" si="158"/>
        <v>20.75</v>
      </c>
      <c r="DP90" s="392">
        <f t="shared" si="158"/>
        <v>20.75</v>
      </c>
      <c r="DQ90" s="394">
        <f t="shared" si="158"/>
        <v>20.75</v>
      </c>
      <c r="DR90" s="393">
        <f t="shared" si="158"/>
        <v>20.75</v>
      </c>
      <c r="DS90" s="392">
        <f t="shared" si="158"/>
        <v>20.75</v>
      </c>
      <c r="DT90" s="392">
        <f t="shared" si="158"/>
        <v>20.75</v>
      </c>
      <c r="DU90" s="394">
        <f t="shared" si="158"/>
        <v>20.75</v>
      </c>
      <c r="DV90" s="393">
        <f t="shared" si="158"/>
        <v>20.75</v>
      </c>
      <c r="DW90" s="392">
        <f t="shared" si="158"/>
        <v>20.75</v>
      </c>
      <c r="DX90" s="392">
        <f t="shared" si="158"/>
        <v>20.75</v>
      </c>
      <c r="DY90" s="394">
        <f t="shared" si="158"/>
        <v>20.75</v>
      </c>
      <c r="DZ90" s="400"/>
    </row>
    <row r="91" spans="1:130" hidden="1">
      <c r="A91" s="401" t="s">
        <v>1410</v>
      </c>
      <c r="B91" s="391"/>
      <c r="C91" s="391"/>
      <c r="D91" s="391"/>
      <c r="E91" s="391"/>
      <c r="F91" s="391"/>
      <c r="G91" s="391"/>
      <c r="H91" s="391"/>
      <c r="I91" s="391"/>
      <c r="J91" s="391"/>
      <c r="K91" s="391"/>
      <c r="L91" s="391"/>
      <c r="M91" s="391"/>
      <c r="N91" s="391"/>
      <c r="O91" s="391"/>
      <c r="P91" s="390">
        <f t="shared" ref="P91:AA91" si="159">+P32</f>
        <v>-3033</v>
      </c>
      <c r="Q91" s="390">
        <f t="shared" si="159"/>
        <v>-2511</v>
      </c>
      <c r="R91" s="390">
        <f t="shared" si="159"/>
        <v>202</v>
      </c>
      <c r="S91" s="390">
        <f t="shared" si="159"/>
        <v>-2279</v>
      </c>
      <c r="T91" s="390">
        <f t="shared" si="159"/>
        <v>-403</v>
      </c>
      <c r="U91" s="391">
        <f t="shared" si="159"/>
        <v>-5</v>
      </c>
      <c r="V91" s="390">
        <f t="shared" si="159"/>
        <v>-2160</v>
      </c>
      <c r="W91" s="390">
        <f t="shared" si="159"/>
        <v>2443</v>
      </c>
      <c r="X91" s="390">
        <f t="shared" si="159"/>
        <v>-5636</v>
      </c>
      <c r="Y91" s="390">
        <f t="shared" si="159"/>
        <v>-4947</v>
      </c>
      <c r="Z91" s="390">
        <f t="shared" ca="1" si="159"/>
        <v>-3520.0655429314033</v>
      </c>
      <c r="AA91" s="390">
        <f t="shared" ca="1" si="159"/>
        <v>-1369.3428870918167</v>
      </c>
      <c r="AB91" s="390">
        <f t="shared" ref="AB91" ca="1" si="160">+AB32</f>
        <v>-1327.2607033856984</v>
      </c>
      <c r="AC91" s="390"/>
      <c r="AD91" s="390"/>
      <c r="AE91" s="390"/>
      <c r="AF91" s="390"/>
      <c r="AG91" s="390"/>
      <c r="AH91" s="1404"/>
      <c r="AI91" s="391"/>
      <c r="AJ91" s="391"/>
      <c r="AK91" s="391"/>
      <c r="AL91" s="391"/>
      <c r="AM91" s="391"/>
      <c r="AN91" s="391"/>
      <c r="AO91" s="391"/>
      <c r="AP91" s="392"/>
      <c r="AQ91" s="392"/>
      <c r="AR91" s="392"/>
      <c r="AS91" s="392"/>
      <c r="AT91" s="392"/>
      <c r="AU91" s="392"/>
      <c r="AV91" s="392"/>
      <c r="AW91" s="392"/>
      <c r="AX91" s="392"/>
      <c r="AY91" s="392"/>
      <c r="AZ91" s="392"/>
      <c r="BA91" s="392"/>
      <c r="BB91" s="392"/>
      <c r="BC91" s="392"/>
      <c r="BD91" s="392"/>
      <c r="BE91" s="392"/>
      <c r="BF91" s="392"/>
      <c r="BG91" s="392"/>
      <c r="BH91" s="392"/>
      <c r="BI91" s="392"/>
      <c r="BJ91" s="392"/>
      <c r="BK91" s="392"/>
      <c r="BL91" s="392"/>
      <c r="BM91" s="392"/>
      <c r="BN91" s="392"/>
      <c r="BO91" s="392"/>
      <c r="BP91" s="392"/>
      <c r="BQ91" s="392"/>
      <c r="BR91" s="392"/>
      <c r="BS91" s="392"/>
      <c r="BT91" s="392"/>
      <c r="BU91" s="392"/>
      <c r="BV91" s="392"/>
      <c r="BW91" s="392"/>
      <c r="BX91" s="392"/>
      <c r="BY91" s="392"/>
      <c r="BZ91" s="392"/>
      <c r="CA91" s="392"/>
      <c r="CB91" s="392"/>
      <c r="CC91" s="392"/>
      <c r="CD91" s="392"/>
      <c r="CE91" s="392"/>
      <c r="CF91" s="392"/>
      <c r="CG91" s="392"/>
      <c r="CH91" s="392"/>
      <c r="CI91" s="392"/>
      <c r="CJ91" s="396">
        <f t="shared" ref="CJ91:DM91" si="161">+CJ32</f>
        <v>-149</v>
      </c>
      <c r="CK91" s="396">
        <f t="shared" si="161"/>
        <v>-575</v>
      </c>
      <c r="CL91" s="393">
        <f t="shared" si="161"/>
        <v>-393</v>
      </c>
      <c r="CM91" s="396">
        <f t="shared" si="161"/>
        <v>-1677</v>
      </c>
      <c r="CN91" s="396">
        <f t="shared" si="161"/>
        <v>-267</v>
      </c>
      <c r="CO91" s="396">
        <f t="shared" si="161"/>
        <v>-174</v>
      </c>
      <c r="CP91" s="393">
        <f t="shared" si="161"/>
        <v>-1043</v>
      </c>
      <c r="CQ91" s="396">
        <f t="shared" si="161"/>
        <v>2545</v>
      </c>
      <c r="CR91" s="396">
        <f t="shared" si="161"/>
        <v>-862</v>
      </c>
      <c r="CS91" s="396">
        <f t="shared" si="161"/>
        <v>-438</v>
      </c>
      <c r="CT91" s="393">
        <f t="shared" si="161"/>
        <v>-2070</v>
      </c>
      <c r="CU91" s="396">
        <f t="shared" si="161"/>
        <v>-291</v>
      </c>
      <c r="CV91" s="396">
        <f t="shared" si="161"/>
        <v>-192</v>
      </c>
      <c r="CW91" s="394">
        <f t="shared" si="161"/>
        <v>274</v>
      </c>
      <c r="CX91" s="396">
        <f t="shared" si="161"/>
        <v>-1580</v>
      </c>
      <c r="CY91" s="396">
        <f t="shared" si="161"/>
        <v>444</v>
      </c>
      <c r="CZ91" s="396">
        <f t="shared" si="161"/>
        <v>939</v>
      </c>
      <c r="DA91" s="396">
        <f t="shared" si="161"/>
        <v>-206</v>
      </c>
      <c r="DB91" s="393">
        <f t="shared" si="161"/>
        <v>-1491</v>
      </c>
      <c r="DC91" s="396">
        <f t="shared" si="161"/>
        <v>-169</v>
      </c>
      <c r="DD91" s="396">
        <f t="shared" si="161"/>
        <v>582</v>
      </c>
      <c r="DE91" s="396">
        <f t="shared" si="161"/>
        <v>1073</v>
      </c>
      <c r="DF91" s="393">
        <f t="shared" si="161"/>
        <v>-1626</v>
      </c>
      <c r="DG91" s="392">
        <f t="shared" si="161"/>
        <v>779</v>
      </c>
      <c r="DH91" s="392">
        <f t="shared" si="161"/>
        <v>31</v>
      </c>
      <c r="DI91" s="392">
        <f>+DI32</f>
        <v>-1344</v>
      </c>
      <c r="DJ91" s="393">
        <f>+DJ32</f>
        <v>-888</v>
      </c>
      <c r="DK91" s="392">
        <f>+DK32</f>
        <v>1304</v>
      </c>
      <c r="DL91" s="392">
        <f>+DL32</f>
        <v>1027</v>
      </c>
      <c r="DM91" s="394">
        <f t="shared" si="161"/>
        <v>1000</v>
      </c>
      <c r="DN91" s="393">
        <f>+DN32</f>
        <v>-1162</v>
      </c>
      <c r="DO91" s="392">
        <f>+DO32</f>
        <v>95</v>
      </c>
      <c r="DP91" s="392">
        <f>+DP32</f>
        <v>-2943</v>
      </c>
      <c r="DQ91" s="394">
        <f>+DQ32</f>
        <v>-1626</v>
      </c>
      <c r="DR91" s="393">
        <f t="shared" ref="DR91:DU91" si="162">+DR32</f>
        <v>-4694</v>
      </c>
      <c r="DS91" s="392">
        <f t="shared" si="162"/>
        <v>1600</v>
      </c>
      <c r="DT91" s="392">
        <f t="shared" si="162"/>
        <v>-2419</v>
      </c>
      <c r="DU91" s="394">
        <f t="shared" si="162"/>
        <v>566</v>
      </c>
      <c r="DV91" s="393">
        <f t="shared" ref="DV91:DY91" si="163">+DV32</f>
        <v>-3033</v>
      </c>
      <c r="DW91" s="392">
        <f t="shared" ca="1" si="163"/>
        <v>-259.3046325067844</v>
      </c>
      <c r="DX91" s="392">
        <f t="shared" ca="1" si="163"/>
        <v>-663.15791913126714</v>
      </c>
      <c r="DY91" s="394">
        <f t="shared" ca="1" si="163"/>
        <v>435.39700870664819</v>
      </c>
      <c r="DZ91" s="396"/>
    </row>
    <row r="92" spans="1:130" hidden="1">
      <c r="A92" s="401" t="s">
        <v>1411</v>
      </c>
      <c r="B92" s="391"/>
      <c r="C92" s="391"/>
      <c r="D92" s="391"/>
      <c r="E92" s="391"/>
      <c r="F92" s="391"/>
      <c r="G92" s="391"/>
      <c r="H92" s="391"/>
      <c r="I92" s="391"/>
      <c r="J92" s="391"/>
      <c r="K92" s="391"/>
      <c r="L92" s="391"/>
      <c r="M92" s="391"/>
      <c r="N92" s="391"/>
      <c r="O92" s="391"/>
      <c r="P92" s="390">
        <f t="shared" ref="P92:AA92" si="164">+P38</f>
        <v>-17238</v>
      </c>
      <c r="Q92" s="390">
        <f t="shared" si="164"/>
        <v>-16872</v>
      </c>
      <c r="R92" s="390">
        <f t="shared" si="164"/>
        <v>-16458</v>
      </c>
      <c r="S92" s="390">
        <f t="shared" si="164"/>
        <v>-16244</v>
      </c>
      <c r="T92" s="390">
        <f t="shared" si="164"/>
        <v>-16175</v>
      </c>
      <c r="U92" s="391">
        <f t="shared" si="164"/>
        <v>-16604</v>
      </c>
      <c r="V92" s="390">
        <f t="shared" si="164"/>
        <v>-17191</v>
      </c>
      <c r="W92" s="390">
        <f t="shared" si="164"/>
        <v>-17775</v>
      </c>
      <c r="X92" s="390">
        <f t="shared" si="164"/>
        <v>-17059</v>
      </c>
      <c r="Y92" s="390">
        <f t="shared" si="164"/>
        <v>-17247</v>
      </c>
      <c r="Z92" s="390">
        <f t="shared" ca="1" si="164"/>
        <v>-17184.531443313364</v>
      </c>
      <c r="AA92" s="390">
        <f t="shared" ca="1" si="164"/>
        <v>-17326.654612606839</v>
      </c>
      <c r="AB92" s="390">
        <f t="shared" ref="AB92" ca="1" si="165">+AB38</f>
        <v>-17539.117790711662</v>
      </c>
      <c r="AC92" s="390"/>
      <c r="AD92" s="390"/>
      <c r="AE92" s="390"/>
      <c r="AF92" s="390"/>
      <c r="AG92" s="390"/>
      <c r="AH92" s="1404"/>
      <c r="AI92" s="391"/>
      <c r="AJ92" s="391"/>
      <c r="AK92" s="391"/>
      <c r="AL92" s="391"/>
      <c r="AM92" s="391"/>
      <c r="AN92" s="391"/>
      <c r="AO92" s="391"/>
      <c r="AP92" s="392"/>
      <c r="AQ92" s="392"/>
      <c r="AR92" s="392"/>
      <c r="AS92" s="392"/>
      <c r="AT92" s="392"/>
      <c r="AU92" s="392"/>
      <c r="AV92" s="392"/>
      <c r="AW92" s="392"/>
      <c r="AX92" s="392"/>
      <c r="AY92" s="392"/>
      <c r="AZ92" s="392"/>
      <c r="BA92" s="392"/>
      <c r="BB92" s="392"/>
      <c r="BC92" s="392"/>
      <c r="BD92" s="392"/>
      <c r="BE92" s="392"/>
      <c r="BF92" s="392"/>
      <c r="BG92" s="392"/>
      <c r="BH92" s="392"/>
      <c r="BI92" s="392"/>
      <c r="BJ92" s="392"/>
      <c r="BK92" s="392"/>
      <c r="BL92" s="392"/>
      <c r="BM92" s="392"/>
      <c r="BN92" s="392"/>
      <c r="BO92" s="392"/>
      <c r="BP92" s="392"/>
      <c r="BQ92" s="392"/>
      <c r="BR92" s="392"/>
      <c r="BS92" s="392"/>
      <c r="BT92" s="392"/>
      <c r="BU92" s="392"/>
      <c r="BV92" s="392"/>
      <c r="BW92" s="392"/>
      <c r="BX92" s="392"/>
      <c r="BY92" s="392"/>
      <c r="BZ92" s="392"/>
      <c r="CA92" s="392"/>
      <c r="CB92" s="392"/>
      <c r="CC92" s="392"/>
      <c r="CD92" s="392"/>
      <c r="CE92" s="392"/>
      <c r="CF92" s="392"/>
      <c r="CG92" s="392"/>
      <c r="CH92" s="392"/>
      <c r="CI92" s="392"/>
      <c r="CJ92" s="396">
        <f t="shared" ref="CJ92:DM92" si="166">+CJ38</f>
        <v>-4178</v>
      </c>
      <c r="CK92" s="396">
        <f t="shared" si="166"/>
        <v>-4663</v>
      </c>
      <c r="CL92" s="393">
        <f t="shared" si="166"/>
        <v>-3663</v>
      </c>
      <c r="CM92" s="396">
        <f t="shared" si="166"/>
        <v>-4343</v>
      </c>
      <c r="CN92" s="396">
        <f t="shared" si="166"/>
        <v>-4313</v>
      </c>
      <c r="CO92" s="396">
        <f t="shared" si="166"/>
        <v>-4553</v>
      </c>
      <c r="CP92" s="393">
        <f t="shared" si="166"/>
        <v>-3423</v>
      </c>
      <c r="CQ92" s="396">
        <f t="shared" si="166"/>
        <v>-4196</v>
      </c>
      <c r="CR92" s="396">
        <f t="shared" si="166"/>
        <v>-4125</v>
      </c>
      <c r="CS92" s="396">
        <f t="shared" si="166"/>
        <v>-4714</v>
      </c>
      <c r="CT92" s="393">
        <f t="shared" si="166"/>
        <v>-4363</v>
      </c>
      <c r="CU92" s="396">
        <f t="shared" si="166"/>
        <v>-4555</v>
      </c>
      <c r="CV92" s="396">
        <f t="shared" si="166"/>
        <v>-3628</v>
      </c>
      <c r="CW92" s="394">
        <f t="shared" si="166"/>
        <v>-3698</v>
      </c>
      <c r="CX92" s="396">
        <f t="shared" si="166"/>
        <v>-3565</v>
      </c>
      <c r="CY92" s="396">
        <f t="shared" si="166"/>
        <v>-3865</v>
      </c>
      <c r="CZ92" s="396">
        <f t="shared" si="166"/>
        <v>-3885</v>
      </c>
      <c r="DA92" s="396">
        <f t="shared" si="166"/>
        <v>-4860</v>
      </c>
      <c r="DB92" s="393">
        <f t="shared" si="166"/>
        <v>-3602</v>
      </c>
      <c r="DC92" s="396">
        <f t="shared" si="166"/>
        <v>-4014</v>
      </c>
      <c r="DD92" s="396">
        <f t="shared" si="166"/>
        <v>-4191</v>
      </c>
      <c r="DE92" s="396">
        <f t="shared" si="166"/>
        <v>-4797</v>
      </c>
      <c r="DF92" s="393">
        <f t="shared" si="166"/>
        <v>-4150</v>
      </c>
      <c r="DG92" s="392">
        <f t="shared" si="166"/>
        <v>-4344</v>
      </c>
      <c r="DH92" s="392">
        <f t="shared" si="166"/>
        <v>-4130</v>
      </c>
      <c r="DI92" s="392">
        <f>+DI38</f>
        <v>-4567</v>
      </c>
      <c r="DJ92" s="393">
        <f>+DJ38</f>
        <v>-3665</v>
      </c>
      <c r="DK92" s="392">
        <f>+DK38</f>
        <v>-4488</v>
      </c>
      <c r="DL92" s="392">
        <f>+DL38</f>
        <v>-4387</v>
      </c>
      <c r="DM92" s="394">
        <f t="shared" si="166"/>
        <v>-5235</v>
      </c>
      <c r="DN92" s="393">
        <f>+DN38</f>
        <v>-3387</v>
      </c>
      <c r="DO92" s="392">
        <f>+DO38</f>
        <v>-3886</v>
      </c>
      <c r="DP92" s="392">
        <f>+DP38</f>
        <v>-4125</v>
      </c>
      <c r="DQ92" s="394">
        <f>+DQ38</f>
        <v>-5661</v>
      </c>
      <c r="DR92" s="393">
        <f t="shared" ref="DR92:DU92" si="167">+DR38</f>
        <v>-3067</v>
      </c>
      <c r="DS92" s="392">
        <f t="shared" si="167"/>
        <v>-3944</v>
      </c>
      <c r="DT92" s="392">
        <f t="shared" si="167"/>
        <v>-4271</v>
      </c>
      <c r="DU92" s="394">
        <f t="shared" si="167"/>
        <v>-5965</v>
      </c>
      <c r="DV92" s="393">
        <f t="shared" ref="DV92:DY92" si="168">+DV38</f>
        <v>-4552</v>
      </c>
      <c r="DW92" s="392">
        <f t="shared" ca="1" si="168"/>
        <v>-4102.0268345890599</v>
      </c>
      <c r="DX92" s="392">
        <f t="shared" ca="1" si="168"/>
        <v>-4169.9259917685913</v>
      </c>
      <c r="DY92" s="394">
        <f t="shared" ca="1" si="168"/>
        <v>-4360.5786169557132</v>
      </c>
      <c r="DZ92" s="396"/>
    </row>
    <row r="93" spans="1:130" hidden="1">
      <c r="A93" s="401" t="s">
        <v>1412</v>
      </c>
      <c r="B93" s="391"/>
      <c r="C93" s="391"/>
      <c r="D93" s="391"/>
      <c r="E93" s="391"/>
      <c r="F93" s="391"/>
      <c r="G93" s="391"/>
      <c r="H93" s="391"/>
      <c r="I93" s="391"/>
      <c r="J93" s="391"/>
      <c r="K93" s="391"/>
      <c r="L93" s="391"/>
      <c r="M93" s="391"/>
      <c r="N93" s="391"/>
      <c r="O93" s="391"/>
      <c r="P93" s="390">
        <f>-IS!P78</f>
        <v>-3797</v>
      </c>
      <c r="Q93" s="390">
        <f>-IS!Q78</f>
        <v>-2431.1349999999998</v>
      </c>
      <c r="R93" s="390">
        <f>-IS!R78</f>
        <v>-2655.6120000000001</v>
      </c>
      <c r="S93" s="390">
        <f>-IS!S78</f>
        <v>-2673.9675000000002</v>
      </c>
      <c r="T93" s="390">
        <f>-IS!T78</f>
        <v>-2744.4859999999999</v>
      </c>
      <c r="U93" s="391">
        <f>-IS!U78</f>
        <v>-3605.61</v>
      </c>
      <c r="V93" s="390">
        <f>-IS!V78</f>
        <v>-6229.3600000000006</v>
      </c>
      <c r="W93" s="390">
        <f>-IS!W78</f>
        <v>-8911.2000000000007</v>
      </c>
      <c r="X93" s="390">
        <f>-IS!X78</f>
        <v>-8288.74</v>
      </c>
      <c r="Y93" s="390">
        <f>-IS!Y78</f>
        <v>-7159</v>
      </c>
      <c r="Z93" s="390">
        <f ca="1">-IS!Z78</f>
        <v>-6128.1684665517478</v>
      </c>
      <c r="AA93" s="390">
        <f ca="1">-IS!AA78</f>
        <v>-6516.432058250246</v>
      </c>
      <c r="AB93" s="390">
        <f ca="1">-IS!AB78</f>
        <v>-6815.3535803910891</v>
      </c>
      <c r="AC93" s="390"/>
      <c r="AD93" s="390"/>
      <c r="AE93" s="390"/>
      <c r="AF93" s="390"/>
      <c r="AG93" s="390"/>
      <c r="AH93" s="1404"/>
      <c r="AI93" s="391"/>
      <c r="AJ93" s="391"/>
      <c r="AK93" s="391"/>
      <c r="AL93" s="391"/>
      <c r="AM93" s="391"/>
      <c r="AN93" s="391"/>
      <c r="AO93" s="391"/>
      <c r="AP93" s="392"/>
      <c r="AQ93" s="392"/>
      <c r="AR93" s="392"/>
      <c r="AS93" s="392"/>
      <c r="AT93" s="392"/>
      <c r="AU93" s="392"/>
      <c r="AV93" s="392"/>
      <c r="AW93" s="392"/>
      <c r="AX93" s="392"/>
      <c r="AY93" s="392"/>
      <c r="AZ93" s="392"/>
      <c r="BA93" s="392"/>
      <c r="BB93" s="392"/>
      <c r="BC93" s="392"/>
      <c r="BD93" s="392"/>
      <c r="BE93" s="392"/>
      <c r="BF93" s="392"/>
      <c r="BG93" s="392"/>
      <c r="BH93" s="392"/>
      <c r="BI93" s="392"/>
      <c r="BJ93" s="392"/>
      <c r="BK93" s="392"/>
      <c r="BL93" s="392"/>
      <c r="BM93" s="392"/>
      <c r="BN93" s="392"/>
      <c r="BO93" s="392"/>
      <c r="BP93" s="392"/>
      <c r="BQ93" s="392"/>
      <c r="BR93" s="392"/>
      <c r="BS93" s="392"/>
      <c r="BT93" s="392"/>
      <c r="BU93" s="392"/>
      <c r="BV93" s="392"/>
      <c r="BW93" s="392"/>
      <c r="BX93" s="392"/>
      <c r="BY93" s="392"/>
      <c r="BZ93" s="392"/>
      <c r="CA93" s="392"/>
      <c r="CB93" s="392"/>
      <c r="CC93" s="392"/>
      <c r="CD93" s="392"/>
      <c r="CE93" s="392"/>
      <c r="CF93" s="392"/>
      <c r="CG93" s="392"/>
      <c r="CH93" s="392"/>
      <c r="CI93" s="392"/>
      <c r="CJ93" s="396">
        <f>-IS!CG78</f>
        <v>-969</v>
      </c>
      <c r="CK93" s="396">
        <f>-IS!CH78</f>
        <v>-855</v>
      </c>
      <c r="CL93" s="393">
        <f>-IS!CI78</f>
        <v>-672.19</v>
      </c>
      <c r="CM93" s="396">
        <f>-IS!CJ78</f>
        <v>-665.85500000000002</v>
      </c>
      <c r="CN93" s="396">
        <f>-IS!CK78</f>
        <v>-592.05499999999995</v>
      </c>
      <c r="CO93" s="396">
        <f>-IS!CL78</f>
        <v>-501.03500000000003</v>
      </c>
      <c r="CP93" s="393">
        <f>-IS!CM78</f>
        <v>-576.45399999999995</v>
      </c>
      <c r="CQ93" s="396">
        <f>-IS!CN78</f>
        <v>-662.36300000000028</v>
      </c>
      <c r="CR93" s="396">
        <f>-IS!CO78</f>
        <v>-709.43499999999995</v>
      </c>
      <c r="CS93" s="396">
        <f>-IS!CP78</f>
        <v>-707.36</v>
      </c>
      <c r="CT93" s="393">
        <f>-IS!CQ78</f>
        <v>-617</v>
      </c>
      <c r="CU93" s="396">
        <f>-IS!CR78</f>
        <v>-702</v>
      </c>
      <c r="CV93" s="396">
        <f>-IS!CS78</f>
        <v>-684.31</v>
      </c>
      <c r="CW93" s="394">
        <f>-IS!CT78</f>
        <v>-670.65750000000025</v>
      </c>
      <c r="CX93" s="396">
        <f>-IS!CU78</f>
        <v>-726.49</v>
      </c>
      <c r="CY93" s="396">
        <f>-IS!CV78</f>
        <v>-793.49</v>
      </c>
      <c r="CZ93" s="396">
        <f>-IS!CW78</f>
        <v>-787.98800000000006</v>
      </c>
      <c r="DA93" s="396">
        <f>-IS!CX78</f>
        <v>-436.51800000000003</v>
      </c>
      <c r="DB93" s="393">
        <f>-IS!CY78</f>
        <v>-864</v>
      </c>
      <c r="DC93" s="396">
        <f>-IS!CZ78</f>
        <v>-900.31</v>
      </c>
      <c r="DD93" s="396">
        <f>-IS!DA78</f>
        <v>-945.93999999999994</v>
      </c>
      <c r="DE93" s="396">
        <f>-IS!DB78</f>
        <v>-895.36000000000013</v>
      </c>
      <c r="DF93" s="393">
        <f>-IS!DC78</f>
        <v>-968</v>
      </c>
      <c r="DG93" s="392">
        <f>-IS!DD78</f>
        <v>-1951.34</v>
      </c>
      <c r="DH93" s="392">
        <f>-IS!DE78</f>
        <v>-1864</v>
      </c>
      <c r="DI93" s="392">
        <f>-IS!DF78</f>
        <v>-1446.02</v>
      </c>
      <c r="DJ93" s="393">
        <f>-IS!DG78</f>
        <v>-2331</v>
      </c>
      <c r="DK93" s="392">
        <f>-IS!DH78</f>
        <v>-2274</v>
      </c>
      <c r="DL93" s="392">
        <f>-IS!DI78</f>
        <v>-2324.96</v>
      </c>
      <c r="DM93" s="394">
        <f>-IS!DJ78</f>
        <v>-1981.24</v>
      </c>
      <c r="DN93" s="393">
        <f>-IS!DK78</f>
        <v>-2344.7399999999998</v>
      </c>
      <c r="DO93" s="392">
        <f>-IS!DL78</f>
        <v>-2075</v>
      </c>
      <c r="DP93" s="392">
        <f>-IS!DM78</f>
        <v>-2124</v>
      </c>
      <c r="DQ93" s="394">
        <f>-IS!DN78</f>
        <v>-1745</v>
      </c>
      <c r="DR93" s="393">
        <f>-IS!DO78</f>
        <v>-1342</v>
      </c>
      <c r="DS93" s="392">
        <f>-IS!DP78</f>
        <v>-1932</v>
      </c>
      <c r="DT93" s="392">
        <f>-IS!DQ78</f>
        <v>-2021</v>
      </c>
      <c r="DU93" s="394">
        <f>-IS!DR78</f>
        <v>-1864</v>
      </c>
      <c r="DV93" s="393">
        <f>-IS!DS78</f>
        <v>-1478</v>
      </c>
      <c r="DW93" s="392">
        <f ca="1">-IS!DT78</f>
        <v>-1599.4296652814155</v>
      </c>
      <c r="DX93" s="392">
        <f ca="1">-IS!DU78</f>
        <v>-1669.5033467553628</v>
      </c>
      <c r="DY93" s="394">
        <f ca="1">-IS!DV78</f>
        <v>-1381.2354545149688</v>
      </c>
      <c r="DZ93" s="396"/>
    </row>
    <row r="94" spans="1:130" hidden="1">
      <c r="A94" s="401" t="s">
        <v>1413</v>
      </c>
      <c r="B94" s="391"/>
      <c r="C94" s="391"/>
      <c r="D94" s="391"/>
      <c r="E94" s="391"/>
      <c r="F94" s="391"/>
      <c r="G94" s="391"/>
      <c r="H94" s="391"/>
      <c r="I94" s="391"/>
      <c r="J94" s="391"/>
      <c r="K94" s="391"/>
      <c r="L94" s="391"/>
      <c r="M94" s="391"/>
      <c r="N94" s="391"/>
      <c r="O94" s="391"/>
      <c r="P94" s="390">
        <f>-IS!P74</f>
        <v>-1819</v>
      </c>
      <c r="Q94" s="390">
        <f>-IS!Q74</f>
        <v>-2847</v>
      </c>
      <c r="R94" s="390">
        <f>-IS!R74</f>
        <v>-2501</v>
      </c>
      <c r="S94" s="390">
        <f>-IS!S74</f>
        <v>-2827</v>
      </c>
      <c r="T94" s="390">
        <f>-IS!T74</f>
        <v>-2571</v>
      </c>
      <c r="U94" s="391">
        <f>-IS!U74</f>
        <v>-2011</v>
      </c>
      <c r="V94" s="390">
        <f>-IS!V74</f>
        <v>-4915</v>
      </c>
      <c r="W94" s="390">
        <f>-IS!W74</f>
        <v>-4920</v>
      </c>
      <c r="X94" s="390">
        <f>-IS!X74</f>
        <v>-4376</v>
      </c>
      <c r="Y94" s="390">
        <f>-IS!Y74</f>
        <v>-4733</v>
      </c>
      <c r="Z94" s="390">
        <f>-IS!Z74</f>
        <v>-4905.8260357735699</v>
      </c>
      <c r="AA94" s="390">
        <f>-IS!AA74</f>
        <v>-4930.0768419312717</v>
      </c>
      <c r="AB94" s="390">
        <f>-IS!AB74</f>
        <v>-4978.5784542466745</v>
      </c>
      <c r="AC94" s="390"/>
      <c r="AD94" s="390"/>
      <c r="AE94" s="390"/>
      <c r="AF94" s="390"/>
      <c r="AG94" s="390"/>
      <c r="AH94" s="1404"/>
      <c r="AI94" s="391"/>
      <c r="AJ94" s="391"/>
      <c r="AK94" s="391"/>
      <c r="AL94" s="391"/>
      <c r="AM94" s="391"/>
      <c r="AN94" s="391"/>
      <c r="AO94" s="391"/>
      <c r="AP94" s="392"/>
      <c r="AQ94" s="392"/>
      <c r="AR94" s="392"/>
      <c r="AS94" s="392"/>
      <c r="AT94" s="392"/>
      <c r="AU94" s="392"/>
      <c r="AV94" s="392"/>
      <c r="AW94" s="392"/>
      <c r="AX94" s="392"/>
      <c r="AY94" s="392"/>
      <c r="AZ94" s="392"/>
      <c r="BA94" s="392"/>
      <c r="BB94" s="392"/>
      <c r="BC94" s="392"/>
      <c r="BD94" s="392"/>
      <c r="BE94" s="392"/>
      <c r="BF94" s="392"/>
      <c r="BG94" s="392"/>
      <c r="BH94" s="392"/>
      <c r="BI94" s="392"/>
      <c r="BJ94" s="392"/>
      <c r="BK94" s="392"/>
      <c r="BL94" s="392"/>
      <c r="BM94" s="392"/>
      <c r="BN94" s="392"/>
      <c r="BO94" s="392"/>
      <c r="BP94" s="392"/>
      <c r="BQ94" s="392"/>
      <c r="BR94" s="392"/>
      <c r="BS94" s="392"/>
      <c r="BT94" s="392"/>
      <c r="BU94" s="392"/>
      <c r="BV94" s="392"/>
      <c r="BW94" s="392"/>
      <c r="BX94" s="392"/>
      <c r="BY94" s="392"/>
      <c r="BZ94" s="392"/>
      <c r="CA94" s="392"/>
      <c r="CB94" s="392"/>
      <c r="CC94" s="392"/>
      <c r="CD94" s="392"/>
      <c r="CE94" s="392"/>
      <c r="CF94" s="392"/>
      <c r="CG94" s="392"/>
      <c r="CH94" s="392"/>
      <c r="CI94" s="392"/>
      <c r="CJ94" s="396">
        <f>-IS!CG74</f>
        <v>-440</v>
      </c>
      <c r="CK94" s="396">
        <f>-IS!CH74</f>
        <v>-517</v>
      </c>
      <c r="CL94" s="393">
        <f>-IS!CI74</f>
        <v>-717</v>
      </c>
      <c r="CM94" s="396">
        <f>-IS!CJ74</f>
        <v>-740</v>
      </c>
      <c r="CN94" s="396">
        <f>-IS!CK74</f>
        <v>-704</v>
      </c>
      <c r="CO94" s="396">
        <f>-IS!CL74</f>
        <v>-686</v>
      </c>
      <c r="CP94" s="393">
        <f>-IS!CM74</f>
        <v>-669</v>
      </c>
      <c r="CQ94" s="396">
        <f>-IS!CN74</f>
        <v>-668</v>
      </c>
      <c r="CR94" s="396">
        <f>-IS!CO74</f>
        <v>-597</v>
      </c>
      <c r="CS94" s="396">
        <f>-IS!CP74</f>
        <v>-567</v>
      </c>
      <c r="CT94" s="393">
        <f>-IS!CQ74</f>
        <v>-709</v>
      </c>
      <c r="CU94" s="396">
        <f>-IS!CR74</f>
        <v>-717</v>
      </c>
      <c r="CV94" s="396">
        <f>-IS!CS74</f>
        <v>-698</v>
      </c>
      <c r="CW94" s="394">
        <f>-IS!CT74</f>
        <v>-703</v>
      </c>
      <c r="CX94" s="396">
        <f>-IS!CU74</f>
        <v>-685</v>
      </c>
      <c r="CY94" s="396">
        <f>-IS!CV74</f>
        <v>-679</v>
      </c>
      <c r="CZ94" s="396">
        <f>-IS!CW74</f>
        <v>-632</v>
      </c>
      <c r="DA94" s="396">
        <f>-IS!CX74</f>
        <v>-575</v>
      </c>
      <c r="DB94" s="393">
        <f>-IS!CY74</f>
        <v>-537</v>
      </c>
      <c r="DC94" s="396">
        <f>-IS!CZ74</f>
        <v>-514</v>
      </c>
      <c r="DD94" s="396">
        <f>-IS!DA74</f>
        <v>-515</v>
      </c>
      <c r="DE94" s="396">
        <f>-IS!DB74</f>
        <v>-445</v>
      </c>
      <c r="DF94" s="393">
        <f>-IS!DC74</f>
        <v>-1214</v>
      </c>
      <c r="DG94" s="392">
        <f>-IS!DD74</f>
        <v>-1164</v>
      </c>
      <c r="DH94" s="392">
        <f>-IS!DE74</f>
        <v>-1255</v>
      </c>
      <c r="DI94" s="392">
        <f>-IS!DF74</f>
        <v>-1282</v>
      </c>
      <c r="DJ94" s="393">
        <f>-IS!DG74</f>
        <v>-1332</v>
      </c>
      <c r="DK94" s="392">
        <f>-IS!DH74</f>
        <v>-1208</v>
      </c>
      <c r="DL94" s="392">
        <f>-IS!DI74</f>
        <v>-1202</v>
      </c>
      <c r="DM94" s="394">
        <f>-IS!DJ74</f>
        <v>-1178</v>
      </c>
      <c r="DN94" s="393">
        <f>-IS!DK74</f>
        <v>-1188</v>
      </c>
      <c r="DO94" s="392">
        <f>-IS!DL74</f>
        <v>-1013</v>
      </c>
      <c r="DP94" s="392">
        <f>-IS!DM74</f>
        <v>-1038</v>
      </c>
      <c r="DQ94" s="394">
        <f>-IS!DN74</f>
        <v>-1137</v>
      </c>
      <c r="DR94" s="393">
        <f>-IS!DO74</f>
        <v>-1132</v>
      </c>
      <c r="DS94" s="392">
        <f>-IS!DP74</f>
        <v>-1218</v>
      </c>
      <c r="DT94" s="392">
        <f>-IS!DQ74</f>
        <v>-1164</v>
      </c>
      <c r="DU94" s="394">
        <f>-IS!DR74</f>
        <v>-1219</v>
      </c>
      <c r="DV94" s="393">
        <f>-IS!DS74</f>
        <v>-1201</v>
      </c>
      <c r="DW94" s="392">
        <f>-IS!DT74</f>
        <v>-1222.9600850299807</v>
      </c>
      <c r="DX94" s="392">
        <f>-IS!DU74</f>
        <v>-1234.9420119245233</v>
      </c>
      <c r="DY94" s="394">
        <f>-IS!DV74</f>
        <v>-1246.9239388190656</v>
      </c>
      <c r="DZ94" s="396"/>
    </row>
    <row r="95" spans="1:130" hidden="1">
      <c r="A95" s="401" t="s">
        <v>1414</v>
      </c>
      <c r="B95" s="391"/>
      <c r="C95" s="391"/>
      <c r="D95" s="391"/>
      <c r="E95" s="391"/>
      <c r="F95" s="391"/>
      <c r="G95" s="391"/>
      <c r="H95" s="391"/>
      <c r="I95" s="391"/>
      <c r="J95" s="391"/>
      <c r="K95" s="391"/>
      <c r="L95" s="391"/>
      <c r="M95" s="391"/>
      <c r="N95" s="391"/>
      <c r="O95" s="391"/>
      <c r="P95" s="390">
        <f t="shared" ref="P95:Z95" si="169">-P115*(1-P104)</f>
        <v>-6213.15</v>
      </c>
      <c r="Q95" s="390">
        <f t="shared" si="169"/>
        <v>-6305.4</v>
      </c>
      <c r="R95" s="390">
        <f t="shared" si="169"/>
        <v>-7675.2742499999995</v>
      </c>
      <c r="S95" s="390">
        <f t="shared" si="169"/>
        <v>-6918.4934999999996</v>
      </c>
      <c r="T95" s="390">
        <f t="shared" si="169"/>
        <v>-7977.1589999999997</v>
      </c>
      <c r="U95" s="391" t="e">
        <f t="shared" si="169"/>
        <v>#REF!</v>
      </c>
      <c r="V95" s="390" t="e">
        <f t="shared" si="169"/>
        <v>#REF!</v>
      </c>
      <c r="W95" s="390" t="e">
        <f>-W115*(1-W104)</f>
        <v>#REF!</v>
      </c>
      <c r="X95" s="390" t="e">
        <f t="shared" si="169"/>
        <v>#REF!</v>
      </c>
      <c r="Y95" s="390" t="e">
        <f t="shared" si="169"/>
        <v>#REF!</v>
      </c>
      <c r="Z95" s="390" t="e">
        <f t="shared" ca="1" si="169"/>
        <v>#REF!</v>
      </c>
      <c r="AA95" s="390" t="e">
        <f ca="1">-AA115*(1-AA104)</f>
        <v>#REF!</v>
      </c>
      <c r="AB95" s="390" t="e">
        <f ca="1">-AB115*(1-AB104)</f>
        <v>#REF!</v>
      </c>
      <c r="AC95" s="390"/>
      <c r="AD95" s="390"/>
      <c r="AE95" s="390"/>
      <c r="AF95" s="390"/>
      <c r="AG95" s="390"/>
      <c r="AH95" s="1404"/>
      <c r="AI95" s="391"/>
      <c r="AJ95" s="391"/>
      <c r="AK95" s="391"/>
      <c r="AL95" s="391"/>
      <c r="AM95" s="391"/>
      <c r="AN95" s="391"/>
      <c r="AO95" s="391"/>
      <c r="AP95" s="392"/>
      <c r="AQ95" s="392"/>
      <c r="AR95" s="392"/>
      <c r="AS95" s="392"/>
      <c r="AT95" s="392"/>
      <c r="AU95" s="392"/>
      <c r="AV95" s="392"/>
      <c r="AW95" s="392"/>
      <c r="AX95" s="392"/>
      <c r="AY95" s="392"/>
      <c r="AZ95" s="392"/>
      <c r="BA95" s="392"/>
      <c r="BB95" s="392"/>
      <c r="BC95" s="392"/>
      <c r="BD95" s="392"/>
      <c r="BE95" s="392"/>
      <c r="BF95" s="392"/>
      <c r="BG95" s="392"/>
      <c r="BH95" s="392"/>
      <c r="BI95" s="392"/>
      <c r="BJ95" s="392"/>
      <c r="BK95" s="392"/>
      <c r="BL95" s="392"/>
      <c r="BM95" s="392"/>
      <c r="BN95" s="392"/>
      <c r="BO95" s="392"/>
      <c r="BP95" s="392"/>
      <c r="BQ95" s="392"/>
      <c r="BR95" s="392"/>
      <c r="BS95" s="392"/>
      <c r="BT95" s="392"/>
      <c r="BU95" s="392"/>
      <c r="BV95" s="392"/>
      <c r="BW95" s="392"/>
      <c r="BX95" s="392"/>
      <c r="BY95" s="392"/>
      <c r="BZ95" s="392"/>
      <c r="CA95" s="392"/>
      <c r="CB95" s="392"/>
      <c r="CC95" s="392"/>
      <c r="CD95" s="392"/>
      <c r="CE95" s="392"/>
      <c r="CF95" s="392"/>
      <c r="CG95" s="392"/>
      <c r="CH95" s="392"/>
      <c r="CI95" s="392"/>
      <c r="CJ95" s="396">
        <f t="shared" ref="CJ95:DE95" si="170">-CJ115*(1-CJ104)</f>
        <v>-1677.6000000000001</v>
      </c>
      <c r="CK95" s="396">
        <f t="shared" si="170"/>
        <v>-1722.15</v>
      </c>
      <c r="CL95" s="393">
        <f t="shared" si="170"/>
        <v>-1751.85</v>
      </c>
      <c r="CM95" s="396">
        <f t="shared" si="170"/>
        <v>-1367.55</v>
      </c>
      <c r="CN95" s="396">
        <f t="shared" si="170"/>
        <v>-1909.7999999999997</v>
      </c>
      <c r="CO95" s="396">
        <f t="shared" si="170"/>
        <v>-1276.1999999999998</v>
      </c>
      <c r="CP95" s="393">
        <f t="shared" si="170"/>
        <v>-2065.6012500000002</v>
      </c>
      <c r="CQ95" s="396">
        <f t="shared" si="170"/>
        <v>-2086.9604999999997</v>
      </c>
      <c r="CR95" s="396">
        <f t="shared" si="170"/>
        <v>-1843.6724999999999</v>
      </c>
      <c r="CS95" s="396">
        <f t="shared" si="170"/>
        <v>-1679.0399999999997</v>
      </c>
      <c r="CT95" s="393">
        <f t="shared" ca="1" si="170"/>
        <v>-1962.3521600418408</v>
      </c>
      <c r="CU95" s="396">
        <f t="shared" ca="1" si="170"/>
        <v>-358.12077615062753</v>
      </c>
      <c r="CV95" s="396">
        <f t="shared" si="170"/>
        <v>-2024.9572499999997</v>
      </c>
      <c r="CW95" s="394">
        <f t="shared" si="170"/>
        <v>-2215.9467500000001</v>
      </c>
      <c r="CX95" s="396">
        <f t="shared" si="170"/>
        <v>-2017.9147499999999</v>
      </c>
      <c r="CY95" s="396">
        <f t="shared" si="170"/>
        <v>-2189.5267499999995</v>
      </c>
      <c r="CZ95" s="396">
        <f t="shared" si="170"/>
        <v>-2299.7497499999999</v>
      </c>
      <c r="DA95" s="396">
        <f t="shared" si="170"/>
        <v>-1469.96775</v>
      </c>
      <c r="DB95" s="393" t="e">
        <f t="shared" si="170"/>
        <v>#REF!</v>
      </c>
      <c r="DC95" s="396" t="e">
        <f t="shared" si="170"/>
        <v>#REF!</v>
      </c>
      <c r="DD95" s="396" t="e">
        <f t="shared" si="170"/>
        <v>#REF!</v>
      </c>
      <c r="DE95" s="396" t="e">
        <f t="shared" si="170"/>
        <v>#REF!</v>
      </c>
      <c r="DF95" s="393" t="e">
        <f t="shared" ref="DF95:DM95" si="171">-DF115*(1-DF104)</f>
        <v>#REF!</v>
      </c>
      <c r="DG95" s="392" t="e">
        <f t="shared" si="171"/>
        <v>#REF!</v>
      </c>
      <c r="DH95" s="392" t="e">
        <f t="shared" si="171"/>
        <v>#REF!</v>
      </c>
      <c r="DI95" s="392" t="e">
        <f t="shared" si="171"/>
        <v>#REF!</v>
      </c>
      <c r="DJ95" s="393" t="e">
        <f>-DJ115*(1-DJ104)</f>
        <v>#REF!</v>
      </c>
      <c r="DK95" s="392" t="e">
        <f>-DK115*(1-DK104)</f>
        <v>#REF!</v>
      </c>
      <c r="DL95" s="392" t="e">
        <f>-DL115*(1-DL104)</f>
        <v>#REF!</v>
      </c>
      <c r="DM95" s="394" t="e">
        <f t="shared" si="171"/>
        <v>#REF!</v>
      </c>
      <c r="DN95" s="393" t="e">
        <f>-DN115*(1-DN104)</f>
        <v>#REF!</v>
      </c>
      <c r="DO95" s="392" t="e">
        <f>-DO115*(1-DO104)</f>
        <v>#REF!</v>
      </c>
      <c r="DP95" s="392" t="e">
        <f>-DP115*(1-DP104)</f>
        <v>#REF!</v>
      </c>
      <c r="DQ95" s="394" t="e">
        <f>-DQ115*(1-DQ104)</f>
        <v>#REF!</v>
      </c>
      <c r="DR95" s="393" t="e">
        <f t="shared" ref="DR95:DU95" si="172">-DR115*(1-DR104)</f>
        <v>#REF!</v>
      </c>
      <c r="DS95" s="392" t="e">
        <f t="shared" si="172"/>
        <v>#REF!</v>
      </c>
      <c r="DT95" s="392" t="e">
        <f t="shared" si="172"/>
        <v>#REF!</v>
      </c>
      <c r="DU95" s="394" t="e">
        <f t="shared" si="172"/>
        <v>#REF!</v>
      </c>
      <c r="DV95" s="393" t="e">
        <f t="shared" ref="DV95:DY95" si="173">-DV115*(1-DV104)</f>
        <v>#REF!</v>
      </c>
      <c r="DW95" s="392" t="e">
        <f t="shared" ca="1" si="173"/>
        <v>#REF!</v>
      </c>
      <c r="DX95" s="392" t="e">
        <f t="shared" ca="1" si="173"/>
        <v>#REF!</v>
      </c>
      <c r="DY95" s="394" t="e">
        <f t="shared" ca="1" si="173"/>
        <v>#REF!</v>
      </c>
      <c r="DZ95" s="396"/>
    </row>
    <row r="96" spans="1:130" hidden="1">
      <c r="A96" s="395" t="s">
        <v>1415</v>
      </c>
      <c r="B96" s="391"/>
      <c r="C96" s="391"/>
      <c r="D96" s="391"/>
      <c r="E96" s="391"/>
      <c r="F96" s="391"/>
      <c r="G96" s="391"/>
      <c r="H96" s="391"/>
      <c r="I96" s="391"/>
      <c r="J96" s="391"/>
      <c r="K96" s="391"/>
      <c r="L96" s="391"/>
      <c r="M96" s="391"/>
      <c r="N96" s="391"/>
      <c r="O96" s="391"/>
      <c r="P96" s="390">
        <v>461.9856470334089</v>
      </c>
      <c r="Q96" s="390">
        <v>-321.92799999999988</v>
      </c>
      <c r="R96" s="390">
        <v>-368.68175000000042</v>
      </c>
      <c r="S96" s="390">
        <v>-434.05649999999969</v>
      </c>
      <c r="T96" s="390">
        <v>-909.69099999999958</v>
      </c>
      <c r="U96" s="391">
        <v>-1420.8155000000002</v>
      </c>
      <c r="V96" s="390">
        <v>0</v>
      </c>
      <c r="W96" s="390">
        <v>0</v>
      </c>
      <c r="X96" s="390">
        <v>-780.45300750000013</v>
      </c>
      <c r="Y96" s="390">
        <v>-780.45300750000013</v>
      </c>
      <c r="Z96" s="390">
        <v>-780.45300750000013</v>
      </c>
      <c r="AA96" s="390">
        <v>-780.45300750000013</v>
      </c>
      <c r="AB96" s="390">
        <v>-780.45300750000013</v>
      </c>
      <c r="AC96" s="390"/>
      <c r="AD96" s="390"/>
      <c r="AE96" s="390"/>
      <c r="AF96" s="390"/>
      <c r="AG96" s="390"/>
      <c r="AH96" s="1405"/>
      <c r="AI96" s="391"/>
      <c r="AJ96" s="391"/>
      <c r="AK96" s="391"/>
      <c r="AL96" s="391"/>
      <c r="AM96" s="391"/>
      <c r="AN96" s="391"/>
      <c r="AO96" s="391"/>
      <c r="AP96" s="392"/>
      <c r="AQ96" s="392"/>
      <c r="AR96" s="392"/>
      <c r="AS96" s="392"/>
      <c r="AT96" s="392"/>
      <c r="AU96" s="392"/>
      <c r="AV96" s="392"/>
      <c r="AW96" s="392"/>
      <c r="AX96" s="392"/>
      <c r="AY96" s="392"/>
      <c r="AZ96" s="392"/>
      <c r="BA96" s="392"/>
      <c r="BB96" s="392"/>
      <c r="BC96" s="392"/>
      <c r="BD96" s="392"/>
      <c r="BE96" s="392"/>
      <c r="BF96" s="392"/>
      <c r="BG96" s="392"/>
      <c r="BH96" s="392"/>
      <c r="BI96" s="392"/>
      <c r="BJ96" s="392"/>
      <c r="BK96" s="392"/>
      <c r="BL96" s="392"/>
      <c r="BM96" s="392"/>
      <c r="BN96" s="392"/>
      <c r="BO96" s="392"/>
      <c r="BP96" s="392"/>
      <c r="BQ96" s="392"/>
      <c r="BR96" s="392"/>
      <c r="BS96" s="392"/>
      <c r="BT96" s="392"/>
      <c r="BU96" s="392"/>
      <c r="BV96" s="392"/>
      <c r="BW96" s="392"/>
      <c r="BX96" s="392"/>
      <c r="BY96" s="392"/>
      <c r="BZ96" s="392"/>
      <c r="CA96" s="392"/>
      <c r="CB96" s="392"/>
      <c r="CC96" s="392"/>
      <c r="CD96" s="392"/>
      <c r="CE96" s="392"/>
      <c r="CF96" s="392"/>
      <c r="CG96" s="392"/>
      <c r="CH96" s="392"/>
      <c r="CI96" s="392"/>
      <c r="CJ96" s="392"/>
      <c r="CK96" s="392"/>
      <c r="CL96" s="393"/>
      <c r="CM96" s="392"/>
      <c r="CN96" s="392"/>
      <c r="CO96" s="392"/>
      <c r="CP96" s="393"/>
      <c r="CQ96" s="392"/>
      <c r="CR96" s="392"/>
      <c r="CS96" s="392"/>
      <c r="CT96" s="393"/>
      <c r="CU96" s="392"/>
      <c r="CV96" s="392"/>
      <c r="CW96" s="394"/>
      <c r="CX96" s="396">
        <f>$T$96/4</f>
        <v>-227.42274999999989</v>
      </c>
      <c r="CY96" s="396">
        <f>$T$96/4</f>
        <v>-227.42274999999989</v>
      </c>
      <c r="CZ96" s="396">
        <f>$T$96/4</f>
        <v>-227.42274999999989</v>
      </c>
      <c r="DA96" s="396">
        <f>$T$96/4</f>
        <v>-227.42274999999989</v>
      </c>
      <c r="DB96" s="393">
        <f t="shared" ref="DB96:DY96" si="174">$U$96/4</f>
        <v>-355.20387500000004</v>
      </c>
      <c r="DC96" s="396">
        <f t="shared" si="174"/>
        <v>-355.20387500000004</v>
      </c>
      <c r="DD96" s="396">
        <f t="shared" si="174"/>
        <v>-355.20387500000004</v>
      </c>
      <c r="DE96" s="396">
        <f t="shared" si="174"/>
        <v>-355.20387500000004</v>
      </c>
      <c r="DF96" s="393">
        <f t="shared" si="174"/>
        <v>-355.20387500000004</v>
      </c>
      <c r="DG96" s="392">
        <f t="shared" si="174"/>
        <v>-355.20387500000004</v>
      </c>
      <c r="DH96" s="392">
        <f t="shared" si="174"/>
        <v>-355.20387500000004</v>
      </c>
      <c r="DI96" s="392">
        <f t="shared" si="174"/>
        <v>-355.20387500000004</v>
      </c>
      <c r="DJ96" s="393">
        <f t="shared" si="174"/>
        <v>-355.20387500000004</v>
      </c>
      <c r="DK96" s="392">
        <f t="shared" si="174"/>
        <v>-355.20387500000004</v>
      </c>
      <c r="DL96" s="392">
        <f t="shared" si="174"/>
        <v>-355.20387500000004</v>
      </c>
      <c r="DM96" s="394">
        <f t="shared" si="174"/>
        <v>-355.20387500000004</v>
      </c>
      <c r="DN96" s="393">
        <f t="shared" si="174"/>
        <v>-355.20387500000004</v>
      </c>
      <c r="DO96" s="392">
        <f t="shared" si="174"/>
        <v>-355.20387500000004</v>
      </c>
      <c r="DP96" s="392">
        <f t="shared" si="174"/>
        <v>-355.20387500000004</v>
      </c>
      <c r="DQ96" s="394">
        <f t="shared" si="174"/>
        <v>-355.20387500000004</v>
      </c>
      <c r="DR96" s="393">
        <f t="shared" si="174"/>
        <v>-355.20387500000004</v>
      </c>
      <c r="DS96" s="392">
        <f t="shared" si="174"/>
        <v>-355.20387500000004</v>
      </c>
      <c r="DT96" s="392">
        <f t="shared" si="174"/>
        <v>-355.20387500000004</v>
      </c>
      <c r="DU96" s="394">
        <f t="shared" si="174"/>
        <v>-355.20387500000004</v>
      </c>
      <c r="DV96" s="393">
        <f t="shared" si="174"/>
        <v>-355.20387500000004</v>
      </c>
      <c r="DW96" s="392">
        <f t="shared" si="174"/>
        <v>-355.20387500000004</v>
      </c>
      <c r="DX96" s="392">
        <f t="shared" si="174"/>
        <v>-355.20387500000004</v>
      </c>
      <c r="DY96" s="394">
        <f t="shared" si="174"/>
        <v>-355.20387500000004</v>
      </c>
      <c r="DZ96" s="396"/>
    </row>
    <row r="97" spans="1:136" s="1590" customFormat="1" hidden="1">
      <c r="A97" s="1583" t="s">
        <v>1551</v>
      </c>
      <c r="B97" s="1584"/>
      <c r="C97" s="1584"/>
      <c r="D97" s="1584"/>
      <c r="E97" s="1584"/>
      <c r="F97" s="1584"/>
      <c r="G97" s="1584"/>
      <c r="H97" s="1584"/>
      <c r="I97" s="1584"/>
      <c r="J97" s="1584"/>
      <c r="K97" s="1584"/>
      <c r="L97" s="1584"/>
      <c r="M97" s="1584"/>
      <c r="N97" s="1584"/>
      <c r="O97" s="1584"/>
      <c r="P97" s="1584">
        <f t="shared" ref="P97:Z97" si="175">+SUM(P86:P96)</f>
        <v>7529.2637870272065</v>
      </c>
      <c r="Q97" s="1584">
        <f t="shared" si="175"/>
        <v>961.61700000000201</v>
      </c>
      <c r="R97" s="1584">
        <f t="shared" si="175"/>
        <v>5402.6620000000021</v>
      </c>
      <c r="S97" s="1584">
        <f t="shared" si="175"/>
        <v>4389.7425000000021</v>
      </c>
      <c r="T97" s="1584">
        <f t="shared" si="175"/>
        <v>6655.1689999999971</v>
      </c>
      <c r="U97" s="1584" t="e">
        <f t="shared" si="175"/>
        <v>#REF!</v>
      </c>
      <c r="V97" s="1584" t="e">
        <f t="shared" si="175"/>
        <v>#REF!</v>
      </c>
      <c r="W97" s="1584" t="e">
        <f>+SUM(W86:W96)</f>
        <v>#REF!</v>
      </c>
      <c r="X97" s="1584" t="e">
        <f t="shared" si="175"/>
        <v>#REF!</v>
      </c>
      <c r="Y97" s="1584" t="e">
        <f t="shared" si="175"/>
        <v>#REF!</v>
      </c>
      <c r="Z97" s="1584" t="e">
        <f t="shared" ca="1" si="175"/>
        <v>#REF!</v>
      </c>
      <c r="AA97" s="1584" t="e">
        <f ca="1">+SUM(AA86:AA96)</f>
        <v>#REF!</v>
      </c>
      <c r="AB97" s="1584" t="e">
        <f ca="1">+SUM(AB86:AB96)</f>
        <v>#REF!</v>
      </c>
      <c r="AC97" s="1586"/>
      <c r="AD97" s="1586"/>
      <c r="AE97" s="1586"/>
      <c r="AF97" s="1586"/>
      <c r="AG97" s="1586"/>
      <c r="AH97" s="1585"/>
      <c r="AI97" s="1584"/>
      <c r="AJ97" s="1584"/>
      <c r="AK97" s="1584"/>
      <c r="AL97" s="1584"/>
      <c r="AM97" s="1584"/>
      <c r="AN97" s="1584"/>
      <c r="AO97" s="1584"/>
      <c r="AP97" s="1586"/>
      <c r="AQ97" s="1586"/>
      <c r="AR97" s="1586"/>
      <c r="AS97" s="1586"/>
      <c r="AT97" s="1586"/>
      <c r="AU97" s="1586"/>
      <c r="AV97" s="1586"/>
      <c r="AW97" s="1586"/>
      <c r="AX97" s="1586"/>
      <c r="AY97" s="1586"/>
      <c r="AZ97" s="1586"/>
      <c r="BA97" s="1586"/>
      <c r="BB97" s="1586"/>
      <c r="BC97" s="1586"/>
      <c r="BD97" s="1586"/>
      <c r="BE97" s="1586"/>
      <c r="BF97" s="1586"/>
      <c r="BG97" s="1586"/>
      <c r="BH97" s="1586"/>
      <c r="BI97" s="1586"/>
      <c r="BJ97" s="1586"/>
      <c r="BK97" s="1586"/>
      <c r="BL97" s="1586"/>
      <c r="BM97" s="1586"/>
      <c r="BN97" s="1586"/>
      <c r="BO97" s="1586"/>
      <c r="BP97" s="1586"/>
      <c r="BQ97" s="1586"/>
      <c r="BR97" s="1586"/>
      <c r="BS97" s="1586"/>
      <c r="BT97" s="1586"/>
      <c r="BU97" s="1586"/>
      <c r="BV97" s="1586"/>
      <c r="BW97" s="1586"/>
      <c r="BX97" s="1586"/>
      <c r="BY97" s="1586"/>
      <c r="BZ97" s="1586"/>
      <c r="CA97" s="1586"/>
      <c r="CB97" s="1586"/>
      <c r="CC97" s="1586"/>
      <c r="CD97" s="1586"/>
      <c r="CE97" s="1586"/>
      <c r="CF97" s="1586"/>
      <c r="CG97" s="1586"/>
      <c r="CH97" s="1586"/>
      <c r="CI97" s="1586"/>
      <c r="CJ97" s="1587">
        <f t="shared" ref="CJ97:CW97" si="176">+SUM(CJ86:CJ95)</f>
        <v>1074.7603411513867</v>
      </c>
      <c r="CK97" s="1587">
        <f t="shared" si="176"/>
        <v>4670.3254098360667</v>
      </c>
      <c r="CL97" s="1588">
        <f t="shared" si="176"/>
        <v>640.96</v>
      </c>
      <c r="CM97" s="1587">
        <f t="shared" si="176"/>
        <v>-754.40499999999997</v>
      </c>
      <c r="CN97" s="1587">
        <f t="shared" si="176"/>
        <v>208.14500000000044</v>
      </c>
      <c r="CO97" s="1587">
        <f t="shared" si="176"/>
        <v>676.76500000000033</v>
      </c>
      <c r="CP97" s="1588">
        <f t="shared" si="176"/>
        <v>254.94475000000011</v>
      </c>
      <c r="CQ97" s="1587">
        <f t="shared" si="176"/>
        <v>3370.6765</v>
      </c>
      <c r="CR97" s="1587">
        <f t="shared" si="176"/>
        <v>516.89250000000015</v>
      </c>
      <c r="CS97" s="1587">
        <f t="shared" si="176"/>
        <v>637.60000000000014</v>
      </c>
      <c r="CT97" s="1588">
        <f t="shared" ca="1" si="176"/>
        <v>-1345.3521600418408</v>
      </c>
      <c r="CU97" s="1587">
        <f t="shared" ca="1" si="176"/>
        <v>2260.8792238493725</v>
      </c>
      <c r="CV97" s="1587">
        <f t="shared" si="176"/>
        <v>1802.7327500000008</v>
      </c>
      <c r="CW97" s="1589">
        <f t="shared" si="176"/>
        <v>1702.3957499999997</v>
      </c>
      <c r="CX97" s="1587">
        <f t="shared" ref="CX97:DF97" si="177">+SUM(CX86:CX96)</f>
        <v>447.79874999999976</v>
      </c>
      <c r="CY97" s="1587">
        <f t="shared" si="177"/>
        <v>2437.1867500000003</v>
      </c>
      <c r="CZ97" s="1587">
        <f t="shared" si="177"/>
        <v>3126.4657499999994</v>
      </c>
      <c r="DA97" s="1589">
        <f t="shared" si="177"/>
        <v>643.71774999999934</v>
      </c>
      <c r="DB97" s="1587" t="e">
        <f t="shared" si="177"/>
        <v>#REF!</v>
      </c>
      <c r="DC97" s="1587" t="e">
        <f t="shared" si="177"/>
        <v>#REF!</v>
      </c>
      <c r="DD97" s="1587" t="e">
        <f t="shared" si="177"/>
        <v>#REF!</v>
      </c>
      <c r="DE97" s="1587" t="e">
        <f t="shared" si="177"/>
        <v>#REF!</v>
      </c>
      <c r="DF97" s="1588" t="e">
        <f t="shared" si="177"/>
        <v>#REF!</v>
      </c>
      <c r="DG97" s="1586" t="e">
        <f t="shared" ref="DG97:DM97" si="178">+SUM(DG86:DG96)</f>
        <v>#REF!</v>
      </c>
      <c r="DH97" s="1586" t="e">
        <f t="shared" si="178"/>
        <v>#REF!</v>
      </c>
      <c r="DI97" s="1586" t="e">
        <f t="shared" si="178"/>
        <v>#REF!</v>
      </c>
      <c r="DJ97" s="1588" t="e">
        <f>+SUM(DJ86:DJ96)</f>
        <v>#REF!</v>
      </c>
      <c r="DK97" s="1586" t="e">
        <f>+SUM(DK86:DK96)</f>
        <v>#REF!</v>
      </c>
      <c r="DL97" s="1586" t="e">
        <f>+SUM(DL86:DL96)</f>
        <v>#REF!</v>
      </c>
      <c r="DM97" s="1589" t="e">
        <f t="shared" si="178"/>
        <v>#REF!</v>
      </c>
      <c r="DN97" s="1588" t="e">
        <f>+SUM(DN86:DN96)</f>
        <v>#REF!</v>
      </c>
      <c r="DO97" s="1586" t="e">
        <f>+SUM(DO86:DO96)</f>
        <v>#REF!</v>
      </c>
      <c r="DP97" s="1586" t="e">
        <f>+SUM(DP86:DP96)</f>
        <v>#REF!</v>
      </c>
      <c r="DQ97" s="1589" t="e">
        <f>+SUM(DQ86:DQ96)</f>
        <v>#REF!</v>
      </c>
      <c r="DR97" s="1588" t="e">
        <f t="shared" ref="DR97:DU97" si="179">+SUM(DR86:DR96)</f>
        <v>#REF!</v>
      </c>
      <c r="DS97" s="1586" t="e">
        <f t="shared" si="179"/>
        <v>#REF!</v>
      </c>
      <c r="DT97" s="1586" t="e">
        <f t="shared" si="179"/>
        <v>#REF!</v>
      </c>
      <c r="DU97" s="1589" t="e">
        <f t="shared" si="179"/>
        <v>#REF!</v>
      </c>
      <c r="DV97" s="1588" t="e">
        <f t="shared" ref="DV97:DY97" si="180">+SUM(DV86:DV96)</f>
        <v>#REF!</v>
      </c>
      <c r="DW97" s="1586" t="e">
        <f t="shared" ca="1" si="180"/>
        <v>#REF!</v>
      </c>
      <c r="DX97" s="1586" t="e">
        <f t="shared" ca="1" si="180"/>
        <v>#REF!</v>
      </c>
      <c r="DY97" s="1589" t="e">
        <f t="shared" ca="1" si="180"/>
        <v>#REF!</v>
      </c>
      <c r="DZ97" s="1587"/>
      <c r="EA97"/>
      <c r="EB97"/>
      <c r="EC97"/>
      <c r="ED97"/>
      <c r="EE97"/>
      <c r="EF97"/>
    </row>
    <row r="98" spans="1:136" hidden="1">
      <c r="A98" s="392"/>
      <c r="B98" s="392"/>
      <c r="C98" s="392"/>
      <c r="D98" s="392"/>
      <c r="E98" s="392"/>
      <c r="F98" s="392"/>
      <c r="G98" s="392"/>
      <c r="H98" s="392"/>
      <c r="I98" s="392"/>
      <c r="J98" s="392"/>
      <c r="K98" s="392"/>
      <c r="L98" s="392"/>
      <c r="M98" s="392"/>
      <c r="N98" s="392"/>
      <c r="O98" s="392"/>
      <c r="P98" s="392"/>
      <c r="Q98" s="392"/>
      <c r="R98" s="392"/>
      <c r="S98" s="392"/>
      <c r="T98" s="392"/>
      <c r="U98" s="392"/>
      <c r="V98" s="392"/>
      <c r="W98" s="392"/>
      <c r="X98" s="392"/>
      <c r="Y98" s="392"/>
      <c r="Z98" s="392"/>
      <c r="AA98" s="392"/>
      <c r="AB98" s="392"/>
      <c r="AC98" s="392"/>
      <c r="AD98" s="392"/>
      <c r="AE98" s="392"/>
      <c r="AF98" s="392"/>
      <c r="AG98" s="392"/>
      <c r="AH98" s="1404"/>
      <c r="AI98" s="392"/>
      <c r="AJ98" s="392"/>
      <c r="AK98" s="392"/>
      <c r="AL98" s="392"/>
      <c r="AM98" s="392"/>
      <c r="AN98" s="392"/>
      <c r="AO98" s="392"/>
      <c r="AP98" s="392"/>
      <c r="AQ98" s="392"/>
      <c r="AR98" s="392"/>
      <c r="AS98" s="392"/>
      <c r="AT98" s="392"/>
      <c r="AU98" s="392"/>
      <c r="AV98" s="392"/>
      <c r="AW98" s="392"/>
      <c r="AX98" s="392"/>
      <c r="AY98" s="392"/>
      <c r="AZ98" s="392"/>
      <c r="BA98" s="392"/>
      <c r="BB98" s="392"/>
      <c r="BC98" s="392"/>
      <c r="BD98" s="392"/>
      <c r="BE98" s="392"/>
      <c r="BF98" s="392"/>
      <c r="BG98" s="392"/>
      <c r="BH98" s="392"/>
      <c r="BI98" s="392"/>
      <c r="BJ98" s="392"/>
      <c r="BK98" s="392"/>
      <c r="BL98" s="392"/>
      <c r="BM98" s="392"/>
      <c r="BN98" s="392"/>
      <c r="BO98" s="392"/>
      <c r="BP98" s="392"/>
      <c r="BQ98" s="392"/>
      <c r="BR98" s="392"/>
      <c r="BS98" s="392"/>
      <c r="BT98" s="392"/>
      <c r="BU98" s="392"/>
      <c r="BV98" s="392"/>
      <c r="BW98" s="392"/>
      <c r="BX98" s="392"/>
      <c r="BY98" s="392"/>
      <c r="BZ98" s="392"/>
      <c r="CA98" s="392"/>
      <c r="CB98" s="392"/>
      <c r="CC98" s="392"/>
      <c r="CD98" s="392"/>
      <c r="CE98" s="392"/>
      <c r="CF98" s="392"/>
      <c r="CG98" s="392"/>
      <c r="CH98" s="392"/>
      <c r="CI98" s="392"/>
      <c r="CJ98" s="392"/>
      <c r="CK98" s="392"/>
      <c r="CL98" s="393"/>
      <c r="CM98" s="392"/>
      <c r="CN98" s="392"/>
      <c r="CO98" s="392"/>
      <c r="CP98" s="393"/>
      <c r="CQ98" s="392"/>
      <c r="CR98" s="392"/>
      <c r="CS98" s="392"/>
      <c r="CT98" s="393"/>
      <c r="CU98" s="392"/>
      <c r="CV98" s="392"/>
      <c r="CW98" s="394"/>
      <c r="CX98" s="392"/>
      <c r="CY98" s="392"/>
      <c r="CZ98" s="392"/>
      <c r="DA98" s="392"/>
      <c r="DB98" s="393"/>
      <c r="DC98" s="392"/>
      <c r="DD98" s="392"/>
      <c r="DE98" s="392"/>
      <c r="DF98" s="393"/>
      <c r="DG98" s="392"/>
      <c r="DH98" s="392"/>
      <c r="DI98" s="392"/>
      <c r="DJ98" s="393"/>
      <c r="DK98" s="392"/>
      <c r="DL98" s="392"/>
      <c r="DM98" s="394"/>
      <c r="DN98" s="393"/>
      <c r="DO98" s="392"/>
      <c r="DP98" s="392"/>
      <c r="DQ98" s="394"/>
      <c r="DR98" s="393"/>
      <c r="DS98" s="392"/>
      <c r="DT98" s="392"/>
      <c r="DU98" s="394"/>
      <c r="DV98" s="393"/>
      <c r="DW98" s="392"/>
      <c r="DX98" s="392"/>
      <c r="DY98" s="394"/>
      <c r="DZ98" s="392"/>
    </row>
    <row r="99" spans="1:136" hidden="1">
      <c r="A99" s="406" t="s">
        <v>1417</v>
      </c>
      <c r="B99" s="392"/>
      <c r="C99" s="392"/>
      <c r="D99" s="392"/>
      <c r="E99" s="392"/>
      <c r="F99" s="392"/>
      <c r="G99" s="392"/>
      <c r="H99" s="392"/>
      <c r="I99" s="392"/>
      <c r="J99" s="392"/>
      <c r="K99" s="392"/>
      <c r="L99" s="392"/>
      <c r="M99" s="392"/>
      <c r="N99" s="392"/>
      <c r="O99" s="392"/>
      <c r="P99" s="396">
        <f>+IS!P103</f>
        <v>2850.4100153555246</v>
      </c>
      <c r="Q99" s="396">
        <f>+IS!Q103</f>
        <v>2841</v>
      </c>
      <c r="R99" s="396">
        <f>+IS!R103</f>
        <v>2833</v>
      </c>
      <c r="S99" s="396">
        <f>+IS!S103</f>
        <v>2839</v>
      </c>
      <c r="T99" s="392">
        <f>+IS!T103</f>
        <v>2862</v>
      </c>
      <c r="U99" s="392">
        <f>+IS!U103</f>
        <v>2874</v>
      </c>
      <c r="V99" s="396">
        <f>+IS!V103</f>
        <v>4162.75</v>
      </c>
      <c r="W99" s="396">
        <f>+IS!W103</f>
        <v>4093.5</v>
      </c>
      <c r="X99" s="396">
        <f>+IS!X103</f>
        <v>4085.75</v>
      </c>
      <c r="Y99" s="396">
        <f>+IS!Y103</f>
        <v>4087</v>
      </c>
      <c r="Z99" s="396">
        <f>+IS!Z103</f>
        <v>4128.1875</v>
      </c>
      <c r="AA99" s="396">
        <f>+IS!AA103</f>
        <v>4129.4811229428851</v>
      </c>
      <c r="AB99" s="396">
        <f>+IS!AB103</f>
        <v>4130.9617085981245</v>
      </c>
      <c r="AC99" s="396"/>
      <c r="AD99" s="396"/>
      <c r="AE99" s="396"/>
      <c r="AF99" s="396"/>
      <c r="AG99" s="396"/>
      <c r="AH99" s="1404"/>
      <c r="AI99" s="392"/>
      <c r="AJ99" s="392"/>
      <c r="AK99" s="392"/>
      <c r="AL99" s="392"/>
      <c r="AM99" s="392"/>
      <c r="AN99" s="392"/>
      <c r="AO99" s="392"/>
      <c r="AP99" s="392"/>
      <c r="AQ99" s="392"/>
      <c r="AR99" s="392"/>
      <c r="AS99" s="392"/>
      <c r="AT99" s="392"/>
      <c r="AU99" s="392"/>
      <c r="AV99" s="392"/>
      <c r="AW99" s="392"/>
      <c r="AX99" s="392"/>
      <c r="AY99" s="392"/>
      <c r="AZ99" s="392"/>
      <c r="BA99" s="392"/>
      <c r="BB99" s="392"/>
      <c r="BC99" s="392"/>
      <c r="BD99" s="392"/>
      <c r="BE99" s="392"/>
      <c r="BF99" s="392"/>
      <c r="BG99" s="392"/>
      <c r="BH99" s="392"/>
      <c r="BI99" s="392"/>
      <c r="BJ99" s="392"/>
      <c r="BK99" s="392"/>
      <c r="BL99" s="392"/>
      <c r="BM99" s="392"/>
      <c r="BN99" s="392"/>
      <c r="BO99" s="392"/>
      <c r="BP99" s="392"/>
      <c r="BQ99" s="392"/>
      <c r="BR99" s="392"/>
      <c r="BS99" s="392"/>
      <c r="BT99" s="392"/>
      <c r="BU99" s="392"/>
      <c r="BV99" s="392"/>
      <c r="BW99" s="392"/>
      <c r="BX99" s="392"/>
      <c r="BY99" s="392"/>
      <c r="BZ99" s="392"/>
      <c r="CA99" s="392"/>
      <c r="CB99" s="392"/>
      <c r="CC99" s="392"/>
      <c r="CD99" s="392"/>
      <c r="CE99" s="392"/>
      <c r="CF99" s="392"/>
      <c r="CG99" s="392"/>
      <c r="CH99" s="392"/>
      <c r="CI99" s="392"/>
      <c r="CJ99" s="396">
        <f>+IS!CG103</f>
        <v>2845</v>
      </c>
      <c r="CK99" s="396">
        <f>+IS!CH103</f>
        <v>2841</v>
      </c>
      <c r="CL99" s="393">
        <f>+IS!CI103</f>
        <v>2841</v>
      </c>
      <c r="CM99" s="396">
        <f>+IS!CJ103</f>
        <v>2841</v>
      </c>
      <c r="CN99" s="396">
        <f>+IS!CK103</f>
        <v>2841</v>
      </c>
      <c r="CO99" s="396">
        <f>+IS!CL103</f>
        <v>2841</v>
      </c>
      <c r="CP99" s="393">
        <f>+IS!CM103</f>
        <v>2836</v>
      </c>
      <c r="CQ99" s="396">
        <f>+IS!CN103</f>
        <v>2827</v>
      </c>
      <c r="CR99" s="396">
        <f>+IS!CO103</f>
        <v>2829</v>
      </c>
      <c r="CS99" s="396">
        <f>+IS!CP103</f>
        <v>2829</v>
      </c>
      <c r="CT99" s="393">
        <f>+IS!CQ103</f>
        <v>2830</v>
      </c>
      <c r="CU99" s="396">
        <f>+IS!CR103</f>
        <v>2832</v>
      </c>
      <c r="CV99" s="396">
        <f>+IS!CS103</f>
        <v>2834</v>
      </c>
      <c r="CW99" s="394">
        <f>+IS!CT103</f>
        <v>2835</v>
      </c>
      <c r="CX99" s="396">
        <f>+IS!CU103</f>
        <v>2849</v>
      </c>
      <c r="CY99" s="396">
        <f>+IS!CV103</f>
        <v>2858</v>
      </c>
      <c r="CZ99" s="396">
        <f>+IS!CW103</f>
        <v>2866</v>
      </c>
      <c r="DA99" s="396">
        <f>+IS!CX103</f>
        <v>2862</v>
      </c>
      <c r="DB99" s="393">
        <f>+IS!CY103</f>
        <v>2872</v>
      </c>
      <c r="DC99" s="396">
        <f>+IS!CZ103</f>
        <v>2872</v>
      </c>
      <c r="DD99" s="396">
        <f>+IS!DA103</f>
        <v>2874</v>
      </c>
      <c r="DE99" s="396">
        <f>+IS!DB103</f>
        <v>2875</v>
      </c>
      <c r="DF99" s="393">
        <f>+IS!DC103</f>
        <v>4150</v>
      </c>
      <c r="DG99" s="392">
        <f>+IS!DD103</f>
        <v>4153</v>
      </c>
      <c r="DH99" s="392">
        <f>+IS!DE103</f>
        <v>4159</v>
      </c>
      <c r="DI99" s="392">
        <f>+IS!DF103</f>
        <v>4157</v>
      </c>
      <c r="DJ99" s="393">
        <f>+IS!DG103</f>
        <v>4121</v>
      </c>
      <c r="DK99" s="392">
        <f>+IS!DH103</f>
        <v>4085</v>
      </c>
      <c r="DL99" s="392">
        <f>+IS!DI103</f>
        <v>4072</v>
      </c>
      <c r="DM99" s="394">
        <f>+IS!DJ103</f>
        <v>4076</v>
      </c>
      <c r="DN99" s="393">
        <f>+IS!DK103</f>
        <v>4085</v>
      </c>
      <c r="DO99" s="392">
        <f>+IS!DL103</f>
        <v>4085</v>
      </c>
      <c r="DP99" s="392">
        <f>+IS!DM103</f>
        <v>4086</v>
      </c>
      <c r="DQ99" s="394">
        <f>+IS!DN103</f>
        <v>4087</v>
      </c>
      <c r="DR99" s="393">
        <f>+IS!DO103</f>
        <v>4087</v>
      </c>
      <c r="DS99" s="392">
        <f>+IS!DP103</f>
        <v>4082</v>
      </c>
      <c r="DT99" s="392">
        <f>+IS!DQ103</f>
        <v>4089</v>
      </c>
      <c r="DU99" s="394">
        <f>+IS!DR103</f>
        <v>4090</v>
      </c>
      <c r="DV99" s="393">
        <f>+IS!DS103</f>
        <v>4107</v>
      </c>
      <c r="DW99" s="392">
        <f>+IS!DT103</f>
        <v>4134.25</v>
      </c>
      <c r="DX99" s="392">
        <f>+IS!DU103</f>
        <v>4135.25</v>
      </c>
      <c r="DY99" s="394">
        <f>+IS!DV103</f>
        <v>4136.25</v>
      </c>
      <c r="DZ99" s="396"/>
    </row>
    <row r="100" spans="1:136" hidden="1">
      <c r="A100" s="406" t="s">
        <v>1418</v>
      </c>
      <c r="B100" s="392"/>
      <c r="C100" s="392"/>
      <c r="D100" s="392"/>
      <c r="E100" s="392"/>
      <c r="F100" s="392"/>
      <c r="G100" s="392"/>
      <c r="H100" s="392"/>
      <c r="I100" s="392"/>
      <c r="J100" s="392"/>
      <c r="K100" s="392"/>
      <c r="L100" s="392"/>
      <c r="M100" s="392"/>
      <c r="N100" s="392"/>
      <c r="O100" s="392"/>
      <c r="P100" s="396">
        <f>+P99*Valuation!$E$8</f>
        <v>138672.44724704628</v>
      </c>
      <c r="Q100" s="396">
        <f>+Q99*Valuation!$E$8</f>
        <v>138214.65</v>
      </c>
      <c r="R100" s="396">
        <f>+R99*Valuation!$E$8</f>
        <v>137825.44999999998</v>
      </c>
      <c r="S100" s="396">
        <f>+S99*Valuation!$E$8</f>
        <v>138117.35</v>
      </c>
      <c r="T100" s="392">
        <f>+T99*Valuation!$E$8</f>
        <v>139236.29999999999</v>
      </c>
      <c r="U100" s="392">
        <f>+U99*Valuation!$E$8</f>
        <v>139820.1</v>
      </c>
      <c r="V100" s="396">
        <f>+V99*Valuation!$E$8</f>
        <v>202517.78750000001</v>
      </c>
      <c r="W100" s="396">
        <f>+W99*Valuation!$E$8</f>
        <v>199148.77499999999</v>
      </c>
      <c r="X100" s="396">
        <f>+X99*Valuation!$E$8</f>
        <v>198771.73749999999</v>
      </c>
      <c r="Y100" s="396">
        <f>+Y99*Valuation!$E$8</f>
        <v>198832.55</v>
      </c>
      <c r="Z100" s="396">
        <f>+Z99*Valuation!$E$8</f>
        <v>200836.32187499999</v>
      </c>
      <c r="AA100" s="396">
        <f>+AA99*Valuation!$E$8</f>
        <v>200899.25663117136</v>
      </c>
      <c r="AB100" s="396">
        <f>+AB99*Valuation!$E$8</f>
        <v>200971.28712329874</v>
      </c>
      <c r="AC100" s="396"/>
      <c r="AD100" s="396"/>
      <c r="AE100" s="396"/>
      <c r="AF100" s="396"/>
      <c r="AG100" s="396"/>
      <c r="AH100" s="1405"/>
      <c r="AI100" s="392"/>
      <c r="AJ100" s="392"/>
      <c r="AK100" s="392"/>
      <c r="AL100" s="392"/>
      <c r="AM100" s="392"/>
      <c r="AN100" s="392"/>
      <c r="AO100" s="392"/>
      <c r="AP100" s="392"/>
      <c r="AQ100" s="392"/>
      <c r="AR100" s="392"/>
      <c r="AS100" s="392"/>
      <c r="AT100" s="392"/>
      <c r="AU100" s="392"/>
      <c r="AV100" s="392"/>
      <c r="AW100" s="392"/>
      <c r="AX100" s="392"/>
      <c r="AY100" s="392"/>
      <c r="AZ100" s="392"/>
      <c r="BA100" s="392"/>
      <c r="BB100" s="392"/>
      <c r="BC100" s="392"/>
      <c r="BD100" s="392"/>
      <c r="BE100" s="392"/>
      <c r="BF100" s="392"/>
      <c r="BG100" s="392"/>
      <c r="BH100" s="392"/>
      <c r="BI100" s="392"/>
      <c r="BJ100" s="392"/>
      <c r="BK100" s="392"/>
      <c r="BL100" s="392"/>
      <c r="BM100" s="392"/>
      <c r="BN100" s="392"/>
      <c r="BO100" s="392"/>
      <c r="BP100" s="392"/>
      <c r="BQ100" s="392"/>
      <c r="BR100" s="392"/>
      <c r="BS100" s="392"/>
      <c r="BT100" s="392"/>
      <c r="BU100" s="392"/>
      <c r="BV100" s="392"/>
      <c r="BW100" s="392"/>
      <c r="BX100" s="392"/>
      <c r="BY100" s="392"/>
      <c r="BZ100" s="392"/>
      <c r="CA100" s="392"/>
      <c r="CB100" s="392"/>
      <c r="CC100" s="392"/>
      <c r="CD100" s="392"/>
      <c r="CE100" s="392"/>
      <c r="CF100" s="392"/>
      <c r="CG100" s="392"/>
      <c r="CH100" s="392"/>
      <c r="CI100" s="392"/>
      <c r="CJ100" s="396">
        <f>+CJ99*Valuation!$E$8</f>
        <v>138409.25</v>
      </c>
      <c r="CK100" s="396">
        <f>+CK99*Valuation!$E$8</f>
        <v>138214.65</v>
      </c>
      <c r="CL100" s="393">
        <f>+CL99*Valuation!$E$8</f>
        <v>138214.65</v>
      </c>
      <c r="CM100" s="396">
        <f>+CM99*Valuation!$E$8</f>
        <v>138214.65</v>
      </c>
      <c r="CN100" s="396">
        <f>+CN99*Valuation!$E$8</f>
        <v>138214.65</v>
      </c>
      <c r="CO100" s="396">
        <f>+CO99*Valuation!$E$8</f>
        <v>138214.65</v>
      </c>
      <c r="CP100" s="393">
        <f>+CP99*Valuation!$E$8</f>
        <v>137971.4</v>
      </c>
      <c r="CQ100" s="396">
        <f>+CQ99*Valuation!$E$8</f>
        <v>137533.54999999999</v>
      </c>
      <c r="CR100" s="396">
        <f>+CR99*Valuation!$E$8</f>
        <v>137630.85</v>
      </c>
      <c r="CS100" s="396">
        <f>+CS99*Valuation!$E$8</f>
        <v>137630.85</v>
      </c>
      <c r="CT100" s="393">
        <f>+CT99*Valuation!$E$8</f>
        <v>137679.5</v>
      </c>
      <c r="CU100" s="396">
        <f>+CU99*Valuation!$E$8</f>
        <v>137776.79999999999</v>
      </c>
      <c r="CV100" s="396">
        <f>+CV99*Valuation!$E$8</f>
        <v>137874.1</v>
      </c>
      <c r="CW100" s="394">
        <f>+CW99*Valuation!$E$8</f>
        <v>137922.75</v>
      </c>
      <c r="CX100" s="396">
        <f>+CX99*Valuation!$E$8</f>
        <v>138603.85</v>
      </c>
      <c r="CY100" s="396">
        <f>+CY99*Valuation!$E$8</f>
        <v>139041.69999999998</v>
      </c>
      <c r="CZ100" s="396">
        <f>+CZ99*Valuation!$E$8</f>
        <v>139430.9</v>
      </c>
      <c r="DA100" s="396">
        <f>+DA99*Valuation!$E$8</f>
        <v>139236.29999999999</v>
      </c>
      <c r="DB100" s="393">
        <f>+DB99*Valuation!$E$8</f>
        <v>139722.79999999999</v>
      </c>
      <c r="DC100" s="396">
        <f>+DC99*Valuation!$E$8</f>
        <v>139722.79999999999</v>
      </c>
      <c r="DD100" s="396">
        <f>+DD99*Valuation!$E$8</f>
        <v>139820.1</v>
      </c>
      <c r="DE100" s="396">
        <f>+DE99*Valuation!$E$8</f>
        <v>139868.75</v>
      </c>
      <c r="DF100" s="393">
        <f>+DF99*Valuation!$E$8</f>
        <v>201897.5</v>
      </c>
      <c r="DG100" s="392">
        <f>+DG99*Valuation!$E$8</f>
        <v>202043.44999999998</v>
      </c>
      <c r="DH100" s="392">
        <f>+DH99*Valuation!$E$8</f>
        <v>202335.35</v>
      </c>
      <c r="DI100" s="392">
        <f>+DI99*Valuation!$E$8</f>
        <v>202238.05</v>
      </c>
      <c r="DJ100" s="393">
        <f>+DJ99*Valuation!$E$8</f>
        <v>200486.65</v>
      </c>
      <c r="DK100" s="392">
        <f>+DK99*Valuation!$E$8</f>
        <v>198735.25</v>
      </c>
      <c r="DL100" s="392">
        <f>+DL99*Valuation!$E$8</f>
        <v>198102.8</v>
      </c>
      <c r="DM100" s="394">
        <f>+DM99*Valuation!$E$8</f>
        <v>198297.4</v>
      </c>
      <c r="DN100" s="393">
        <f>+DN99*Valuation!$E$8</f>
        <v>198735.25</v>
      </c>
      <c r="DO100" s="392">
        <f>+DO99*Valuation!$E$8</f>
        <v>198735.25</v>
      </c>
      <c r="DP100" s="392">
        <f>+DP99*Valuation!$E$8</f>
        <v>198783.9</v>
      </c>
      <c r="DQ100" s="394">
        <f>+DQ99*Valuation!$E$8</f>
        <v>198832.55</v>
      </c>
      <c r="DR100" s="393">
        <f>+DR99*Valuation!$E$8</f>
        <v>198832.55</v>
      </c>
      <c r="DS100" s="392">
        <f>+DS99*Valuation!$E$8</f>
        <v>198589.3</v>
      </c>
      <c r="DT100" s="392">
        <f>+DT99*Valuation!$E$8</f>
        <v>198929.85</v>
      </c>
      <c r="DU100" s="394">
        <f>+DU99*Valuation!$E$8</f>
        <v>198978.5</v>
      </c>
      <c r="DV100" s="393">
        <f>+DV99*Valuation!$E$8</f>
        <v>199805.55</v>
      </c>
      <c r="DW100" s="392">
        <f>+DW99*Valuation!$E$8</f>
        <v>201131.26249999998</v>
      </c>
      <c r="DX100" s="392">
        <f>+DX99*Valuation!$E$8</f>
        <v>201179.91250000001</v>
      </c>
      <c r="DY100" s="394">
        <f>+DY99*Valuation!$E$8</f>
        <v>201228.5625</v>
      </c>
      <c r="DZ100" s="396"/>
    </row>
    <row r="101" spans="1:136" hidden="1">
      <c r="A101" s="392"/>
      <c r="B101" s="392"/>
      <c r="C101" s="392"/>
      <c r="D101" s="392"/>
      <c r="E101" s="392"/>
      <c r="F101" s="392"/>
      <c r="G101" s="392"/>
      <c r="H101" s="392"/>
      <c r="I101" s="392"/>
      <c r="J101" s="392"/>
      <c r="K101" s="392"/>
      <c r="L101" s="392"/>
      <c r="M101" s="392"/>
      <c r="N101" s="392"/>
      <c r="O101" s="392"/>
      <c r="P101" s="392"/>
      <c r="Q101" s="392"/>
      <c r="R101" s="392"/>
      <c r="S101" s="392"/>
      <c r="T101" s="392"/>
      <c r="U101" s="392"/>
      <c r="V101" s="392"/>
      <c r="W101" s="392"/>
      <c r="X101" s="392"/>
      <c r="Y101" s="392"/>
      <c r="Z101" s="392"/>
      <c r="AA101" s="392"/>
      <c r="AB101" s="392"/>
      <c r="AC101" s="392"/>
      <c r="AD101" s="392"/>
      <c r="AE101" s="392"/>
      <c r="AF101" s="392"/>
      <c r="AG101" s="392"/>
      <c r="AH101" s="1404"/>
      <c r="AI101" s="392"/>
      <c r="AJ101" s="392"/>
      <c r="AK101" s="392"/>
      <c r="AL101" s="392"/>
      <c r="AM101" s="392"/>
      <c r="AN101" s="392"/>
      <c r="AO101" s="392"/>
      <c r="AP101" s="392"/>
      <c r="AQ101" s="392"/>
      <c r="AR101" s="392"/>
      <c r="AS101" s="392"/>
      <c r="AT101" s="392"/>
      <c r="AU101" s="392"/>
      <c r="AV101" s="392"/>
      <c r="AW101" s="392"/>
      <c r="AX101" s="392"/>
      <c r="AY101" s="392"/>
      <c r="AZ101" s="392"/>
      <c r="BA101" s="392"/>
      <c r="BB101" s="392"/>
      <c r="BC101" s="392"/>
      <c r="BD101" s="392"/>
      <c r="BE101" s="392"/>
      <c r="BF101" s="392"/>
      <c r="BG101" s="392"/>
      <c r="BH101" s="392"/>
      <c r="BI101" s="392"/>
      <c r="BJ101" s="392"/>
      <c r="BK101" s="392"/>
      <c r="BL101" s="392"/>
      <c r="BM101" s="392"/>
      <c r="BN101" s="392"/>
      <c r="BO101" s="392"/>
      <c r="BP101" s="392"/>
      <c r="BQ101" s="392"/>
      <c r="BR101" s="392"/>
      <c r="BS101" s="392"/>
      <c r="BT101" s="392"/>
      <c r="BU101" s="392"/>
      <c r="BV101" s="392"/>
      <c r="BW101" s="392"/>
      <c r="BX101" s="392"/>
      <c r="BY101" s="392"/>
      <c r="BZ101" s="392"/>
      <c r="CA101" s="392"/>
      <c r="CB101" s="392"/>
      <c r="CC101" s="392"/>
      <c r="CD101" s="392"/>
      <c r="CE101" s="392"/>
      <c r="CF101" s="392"/>
      <c r="CG101" s="392"/>
      <c r="CH101" s="392"/>
      <c r="CI101" s="392"/>
      <c r="CJ101" s="392"/>
      <c r="CK101" s="392"/>
      <c r="CL101" s="392"/>
      <c r="CM101" s="392"/>
      <c r="CN101" s="392"/>
      <c r="CO101" s="392"/>
      <c r="CP101" s="393"/>
      <c r="CQ101" s="392"/>
      <c r="CR101" s="392"/>
      <c r="CS101" s="392"/>
      <c r="CT101" s="393"/>
      <c r="CU101" s="392"/>
      <c r="CV101" s="392"/>
      <c r="CW101" s="394"/>
      <c r="CX101" s="392"/>
      <c r="CY101" s="392"/>
      <c r="CZ101" s="392"/>
      <c r="DA101" s="392"/>
      <c r="DB101" s="393"/>
      <c r="DC101" s="392"/>
      <c r="DD101" s="392"/>
      <c r="DE101" s="392"/>
      <c r="DF101" s="393"/>
      <c r="DG101" s="392"/>
      <c r="DH101" s="392"/>
      <c r="DI101" s="392"/>
      <c r="DJ101" s="393"/>
      <c r="DK101" s="392"/>
      <c r="DL101" s="392"/>
      <c r="DM101" s="394"/>
      <c r="DN101" s="393"/>
      <c r="DO101" s="392"/>
      <c r="DP101" s="392"/>
      <c r="DQ101" s="394"/>
      <c r="DR101" s="393"/>
      <c r="DS101" s="392"/>
      <c r="DT101" s="392"/>
      <c r="DU101" s="394"/>
      <c r="DV101" s="393"/>
      <c r="DW101" s="392"/>
      <c r="DX101" s="392"/>
      <c r="DY101" s="394"/>
      <c r="DZ101" s="392"/>
    </row>
    <row r="102" spans="1:136" hidden="1">
      <c r="A102" s="407" t="s">
        <v>1093</v>
      </c>
      <c r="B102" s="408"/>
      <c r="C102" s="408"/>
      <c r="D102" s="408"/>
      <c r="E102" s="408"/>
      <c r="F102" s="408"/>
      <c r="G102" s="408"/>
      <c r="H102" s="408"/>
      <c r="I102" s="408"/>
      <c r="J102" s="408"/>
      <c r="K102" s="408"/>
      <c r="L102" s="408"/>
      <c r="M102" s="408"/>
      <c r="N102" s="408"/>
      <c r="O102" s="408"/>
      <c r="P102" s="408"/>
      <c r="Q102" s="409">
        <f t="shared" ref="Q102:Z102" si="181">+Q97/Q100</f>
        <v>6.9574173215357568E-3</v>
      </c>
      <c r="R102" s="409">
        <f t="shared" si="181"/>
        <v>3.9199306078812023E-2</v>
      </c>
      <c r="S102" s="409">
        <f t="shared" si="181"/>
        <v>3.1782701449166249E-2</v>
      </c>
      <c r="T102" s="408">
        <f t="shared" si="181"/>
        <v>4.779765765105793E-2</v>
      </c>
      <c r="U102" s="408" t="e">
        <f t="shared" si="181"/>
        <v>#REF!</v>
      </c>
      <c r="V102" s="409" t="e">
        <f t="shared" si="181"/>
        <v>#REF!</v>
      </c>
      <c r="W102" s="409" t="e">
        <f>+W97/W100</f>
        <v>#REF!</v>
      </c>
      <c r="X102" s="409" t="e">
        <f t="shared" si="181"/>
        <v>#REF!</v>
      </c>
      <c r="Y102" s="409" t="e">
        <f t="shared" si="181"/>
        <v>#REF!</v>
      </c>
      <c r="Z102" s="409" t="e">
        <f t="shared" ca="1" si="181"/>
        <v>#REF!</v>
      </c>
      <c r="AA102" s="409" t="e">
        <f ca="1">+AA97/AA100</f>
        <v>#REF!</v>
      </c>
      <c r="AB102" s="409" t="e">
        <f ca="1">+AB97/AB100</f>
        <v>#REF!</v>
      </c>
      <c r="AC102" s="409"/>
      <c r="AD102" s="409"/>
      <c r="AE102" s="409"/>
      <c r="AF102" s="409"/>
      <c r="AG102" s="409"/>
      <c r="AH102" s="1406"/>
      <c r="AI102" s="408"/>
      <c r="AJ102" s="408"/>
      <c r="AK102" s="408"/>
      <c r="AL102" s="408"/>
      <c r="AM102" s="408"/>
      <c r="AN102" s="408"/>
      <c r="AO102" s="408"/>
      <c r="AP102" s="408"/>
      <c r="AQ102" s="408"/>
      <c r="AR102" s="408"/>
      <c r="AS102" s="408"/>
      <c r="AT102" s="408"/>
      <c r="AU102" s="408"/>
      <c r="AV102" s="408"/>
      <c r="AW102" s="408"/>
      <c r="AX102" s="408"/>
      <c r="AY102" s="408"/>
      <c r="AZ102" s="408"/>
      <c r="BA102" s="408"/>
      <c r="BB102" s="408"/>
      <c r="BC102" s="408"/>
      <c r="BD102" s="408"/>
      <c r="BE102" s="408"/>
      <c r="BF102" s="408"/>
      <c r="BG102" s="408"/>
      <c r="BH102" s="408"/>
      <c r="BI102" s="408"/>
      <c r="BJ102" s="408"/>
      <c r="BK102" s="408"/>
      <c r="BL102" s="408"/>
      <c r="BM102" s="408"/>
      <c r="BN102" s="408"/>
      <c r="BO102" s="408"/>
      <c r="BP102" s="408"/>
      <c r="BQ102" s="408"/>
      <c r="BR102" s="408"/>
      <c r="BS102" s="408"/>
      <c r="BT102" s="408"/>
      <c r="BU102" s="408"/>
      <c r="BV102" s="408"/>
      <c r="BW102" s="408"/>
      <c r="BX102" s="408"/>
      <c r="BY102" s="408"/>
      <c r="BZ102" s="408"/>
      <c r="CA102" s="408"/>
      <c r="CB102" s="408"/>
      <c r="CC102" s="408"/>
      <c r="CD102" s="408"/>
      <c r="CE102" s="408"/>
      <c r="CF102" s="408"/>
      <c r="CG102" s="408"/>
      <c r="CH102" s="408"/>
      <c r="CI102" s="408"/>
      <c r="CJ102" s="408"/>
      <c r="CK102" s="408"/>
      <c r="CL102" s="408"/>
      <c r="CM102" s="408"/>
      <c r="CN102" s="408"/>
      <c r="CO102" s="408"/>
      <c r="CP102" s="411"/>
      <c r="CQ102" s="408"/>
      <c r="CR102" s="408"/>
      <c r="CS102" s="408"/>
      <c r="CT102" s="411"/>
      <c r="CU102" s="408"/>
      <c r="CV102" s="408"/>
      <c r="CW102" s="410"/>
      <c r="CX102" s="408"/>
      <c r="CY102" s="408"/>
      <c r="CZ102" s="408"/>
      <c r="DA102" s="408"/>
      <c r="DB102" s="411"/>
      <c r="DC102" s="408"/>
      <c r="DD102" s="408"/>
      <c r="DE102" s="408"/>
      <c r="DF102" s="411"/>
      <c r="DG102" s="408"/>
      <c r="DH102" s="408"/>
      <c r="DI102" s="408"/>
      <c r="DJ102" s="411"/>
      <c r="DK102" s="408"/>
      <c r="DL102" s="408"/>
      <c r="DM102" s="410"/>
      <c r="DN102" s="411"/>
      <c r="DO102" s="408"/>
      <c r="DP102" s="408"/>
      <c r="DQ102" s="410"/>
      <c r="DR102" s="411"/>
      <c r="DS102" s="408"/>
      <c r="DT102" s="408"/>
      <c r="DU102" s="410"/>
      <c r="DV102" s="411"/>
      <c r="DW102" s="408"/>
      <c r="DX102" s="408"/>
      <c r="DY102" s="410"/>
      <c r="DZ102" s="408"/>
    </row>
    <row r="103" spans="1:136" hidden="1">
      <c r="A103" s="392"/>
      <c r="B103" s="392"/>
      <c r="C103" s="392"/>
      <c r="D103" s="392"/>
      <c r="E103" s="392"/>
      <c r="F103" s="392"/>
      <c r="G103" s="392"/>
      <c r="H103" s="392"/>
      <c r="I103" s="392"/>
      <c r="J103" s="392"/>
      <c r="K103" s="392"/>
      <c r="L103" s="392"/>
      <c r="M103" s="392"/>
      <c r="N103" s="392"/>
      <c r="O103" s="392"/>
      <c r="P103" s="392"/>
      <c r="Q103" s="392"/>
      <c r="R103" s="392"/>
      <c r="S103" s="392"/>
      <c r="T103" s="392"/>
      <c r="U103" s="392"/>
      <c r="V103" s="392"/>
      <c r="W103" s="392"/>
      <c r="X103" s="392"/>
      <c r="Y103" s="392"/>
      <c r="Z103" s="392"/>
      <c r="AA103" s="392"/>
      <c r="AB103" s="392"/>
      <c r="AC103" s="392"/>
      <c r="AD103" s="392"/>
      <c r="AE103" s="392"/>
      <c r="AF103" s="392"/>
      <c r="AG103" s="392"/>
      <c r="AH103" s="1404"/>
      <c r="AI103" s="392"/>
      <c r="AJ103" s="392"/>
      <c r="AK103" s="392"/>
      <c r="AL103" s="392"/>
      <c r="AM103" s="392"/>
      <c r="AN103" s="392"/>
      <c r="AO103" s="392"/>
      <c r="AP103" s="392"/>
      <c r="AQ103" s="392"/>
      <c r="AR103" s="392"/>
      <c r="AS103" s="392"/>
      <c r="AT103" s="392"/>
      <c r="AU103" s="392"/>
      <c r="AV103" s="392"/>
      <c r="AW103" s="392"/>
      <c r="AX103" s="392"/>
      <c r="AY103" s="392"/>
      <c r="AZ103" s="392"/>
      <c r="BA103" s="392"/>
      <c r="BB103" s="392"/>
      <c r="BC103" s="392"/>
      <c r="BD103" s="392"/>
      <c r="BE103" s="392"/>
      <c r="BF103" s="392"/>
      <c r="BG103" s="392"/>
      <c r="BH103" s="392"/>
      <c r="BI103" s="392"/>
      <c r="BJ103" s="392"/>
      <c r="BK103" s="392"/>
      <c r="BL103" s="392"/>
      <c r="BM103" s="392"/>
      <c r="BN103" s="392"/>
      <c r="BO103" s="392"/>
      <c r="BP103" s="392"/>
      <c r="BQ103" s="392"/>
      <c r="BR103" s="392"/>
      <c r="BS103" s="392"/>
      <c r="BT103" s="392"/>
      <c r="BU103" s="392"/>
      <c r="BV103" s="392"/>
      <c r="BW103" s="392"/>
      <c r="BX103" s="392"/>
      <c r="BY103" s="392"/>
      <c r="BZ103" s="392"/>
      <c r="CA103" s="392"/>
      <c r="CB103" s="392"/>
      <c r="CC103" s="392"/>
      <c r="CD103" s="392"/>
      <c r="CE103" s="392"/>
      <c r="CF103" s="392"/>
      <c r="CG103" s="392"/>
      <c r="CH103" s="392"/>
      <c r="CI103" s="392"/>
      <c r="CJ103" s="392"/>
      <c r="CK103" s="392"/>
      <c r="CL103" s="392"/>
      <c r="CM103" s="392"/>
      <c r="CN103" s="392"/>
      <c r="CO103" s="392"/>
      <c r="CP103" s="393"/>
      <c r="CQ103" s="392"/>
      <c r="CR103" s="392"/>
      <c r="CS103" s="392"/>
      <c r="CT103" s="393"/>
      <c r="CU103" s="392"/>
      <c r="CV103" s="392"/>
      <c r="CW103" s="394"/>
      <c r="CX103" s="392"/>
      <c r="CY103" s="392"/>
      <c r="CZ103" s="392"/>
      <c r="DA103" s="392"/>
      <c r="DB103" s="393"/>
      <c r="DC103" s="392"/>
      <c r="DD103" s="392"/>
      <c r="DE103" s="392"/>
      <c r="DF103" s="393"/>
      <c r="DG103" s="392"/>
      <c r="DH103" s="392"/>
      <c r="DI103" s="392"/>
      <c r="DJ103" s="393"/>
      <c r="DK103" s="392"/>
      <c r="DL103" s="392"/>
      <c r="DM103" s="394"/>
      <c r="DN103" s="393"/>
      <c r="DO103" s="392"/>
      <c r="DP103" s="392"/>
      <c r="DQ103" s="394"/>
      <c r="DR103" s="393"/>
      <c r="DS103" s="392"/>
      <c r="DT103" s="392"/>
      <c r="DU103" s="394"/>
      <c r="DV103" s="393"/>
      <c r="DW103" s="392"/>
      <c r="DX103" s="392"/>
      <c r="DY103" s="394"/>
      <c r="DZ103" s="392"/>
    </row>
    <row r="104" spans="1:136" hidden="1">
      <c r="A104" s="412" t="s">
        <v>1419</v>
      </c>
      <c r="B104" s="413"/>
      <c r="C104" s="413"/>
      <c r="D104" s="413"/>
      <c r="E104" s="413"/>
      <c r="F104" s="413"/>
      <c r="G104" s="413"/>
      <c r="H104" s="413"/>
      <c r="I104" s="413"/>
      <c r="J104" s="413"/>
      <c r="K104" s="413"/>
      <c r="L104" s="413"/>
      <c r="M104" s="413"/>
      <c r="N104" s="413"/>
      <c r="O104" s="413"/>
      <c r="P104" s="414">
        <v>0.55000000000000004</v>
      </c>
      <c r="Q104" s="414">
        <v>0.55000000000000004</v>
      </c>
      <c r="R104" s="414">
        <v>0.55000000000000004</v>
      </c>
      <c r="S104" s="414">
        <v>0.55000000000000004</v>
      </c>
      <c r="T104" s="1426">
        <v>0.55000000000000004</v>
      </c>
      <c r="U104" s="1426">
        <v>0.55000000000000004</v>
      </c>
      <c r="V104" s="414">
        <v>1</v>
      </c>
      <c r="W104" s="414">
        <v>1</v>
      </c>
      <c r="X104" s="414">
        <v>1</v>
      </c>
      <c r="Y104" s="414">
        <v>1</v>
      </c>
      <c r="Z104" s="414">
        <v>1</v>
      </c>
      <c r="AA104" s="414">
        <v>1</v>
      </c>
      <c r="AB104" s="414">
        <v>1</v>
      </c>
      <c r="AC104" s="414"/>
      <c r="AD104" s="414"/>
      <c r="AE104" s="414"/>
      <c r="AF104" s="414"/>
      <c r="AG104" s="414"/>
      <c r="AH104" s="1407"/>
      <c r="AI104" s="413"/>
      <c r="AJ104" s="413"/>
      <c r="AK104" s="413"/>
      <c r="AL104" s="413"/>
      <c r="AM104" s="413"/>
      <c r="AN104" s="413"/>
      <c r="AO104" s="413"/>
      <c r="AP104" s="413"/>
      <c r="AQ104" s="413"/>
      <c r="AR104" s="413"/>
      <c r="AS104" s="413"/>
      <c r="AT104" s="413"/>
      <c r="AU104" s="413"/>
      <c r="AV104" s="413"/>
      <c r="AW104" s="413"/>
      <c r="AX104" s="413"/>
      <c r="AY104" s="413"/>
      <c r="AZ104" s="413"/>
      <c r="BA104" s="413"/>
      <c r="BB104" s="413"/>
      <c r="BC104" s="413"/>
      <c r="BD104" s="413"/>
      <c r="BE104" s="413"/>
      <c r="BF104" s="413"/>
      <c r="BG104" s="413"/>
      <c r="BH104" s="413"/>
      <c r="BI104" s="413"/>
      <c r="BJ104" s="413"/>
      <c r="BK104" s="413"/>
      <c r="BL104" s="413"/>
      <c r="BM104" s="413"/>
      <c r="BN104" s="413"/>
      <c r="BO104" s="413"/>
      <c r="BP104" s="413"/>
      <c r="BQ104" s="413"/>
      <c r="BR104" s="413"/>
      <c r="BS104" s="413"/>
      <c r="BT104" s="413"/>
      <c r="BU104" s="413"/>
      <c r="BV104" s="413"/>
      <c r="BW104" s="413"/>
      <c r="BX104" s="413"/>
      <c r="BY104" s="413"/>
      <c r="BZ104" s="413"/>
      <c r="CA104" s="413"/>
      <c r="CB104" s="413"/>
      <c r="CC104" s="413"/>
      <c r="CD104" s="413"/>
      <c r="CE104" s="413"/>
      <c r="CF104" s="413"/>
      <c r="CG104" s="413"/>
      <c r="CH104" s="413"/>
      <c r="CI104" s="413"/>
      <c r="CJ104" s="414">
        <v>0.55000000000000004</v>
      </c>
      <c r="CK104" s="414">
        <v>0.55000000000000004</v>
      </c>
      <c r="CL104" s="414">
        <v>0.55000000000000004</v>
      </c>
      <c r="CM104" s="414">
        <v>0.55000000000000004</v>
      </c>
      <c r="CN104" s="414">
        <v>0.55000000000000004</v>
      </c>
      <c r="CO104" s="414">
        <v>0.55000000000000004</v>
      </c>
      <c r="CP104" s="416">
        <v>0.55000000000000004</v>
      </c>
      <c r="CQ104" s="414">
        <v>0.55000000000000004</v>
      </c>
      <c r="CR104" s="414">
        <v>0.55000000000000004</v>
      </c>
      <c r="CS104" s="414">
        <v>0.55000000000000004</v>
      </c>
      <c r="CT104" s="416">
        <v>0.55000000000000004</v>
      </c>
      <c r="CU104" s="414">
        <v>0.55000000000000004</v>
      </c>
      <c r="CV104" s="414">
        <v>0.55000000000000004</v>
      </c>
      <c r="CW104" s="415">
        <v>0.55000000000000004</v>
      </c>
      <c r="CX104" s="414">
        <v>0.55000000000000004</v>
      </c>
      <c r="CY104" s="414">
        <v>0.55000000000000004</v>
      </c>
      <c r="CZ104" s="414">
        <v>0.55000000000000004</v>
      </c>
      <c r="DA104" s="414">
        <v>0.55000000000000004</v>
      </c>
      <c r="DB104" s="416">
        <v>0.55000000000000004</v>
      </c>
      <c r="DC104" s="414">
        <v>0.55000000000000004</v>
      </c>
      <c r="DD104" s="414">
        <v>0.55000000000000004</v>
      </c>
      <c r="DE104" s="414">
        <v>0.55000000000000004</v>
      </c>
      <c r="DF104" s="416">
        <v>1</v>
      </c>
      <c r="DG104" s="1426">
        <v>1</v>
      </c>
      <c r="DH104" s="1426">
        <v>1</v>
      </c>
      <c r="DI104" s="1426">
        <v>1</v>
      </c>
      <c r="DJ104" s="416">
        <v>1</v>
      </c>
      <c r="DK104" s="1426">
        <v>1</v>
      </c>
      <c r="DL104" s="1426">
        <v>1</v>
      </c>
      <c r="DM104" s="415">
        <v>1</v>
      </c>
      <c r="DN104" s="416">
        <v>1</v>
      </c>
      <c r="DO104" s="1426">
        <v>1</v>
      </c>
      <c r="DP104" s="1426">
        <v>1</v>
      </c>
      <c r="DQ104" s="415">
        <v>1</v>
      </c>
      <c r="DR104" s="416">
        <v>1</v>
      </c>
      <c r="DS104" s="1426">
        <v>1</v>
      </c>
      <c r="DT104" s="1426">
        <v>1</v>
      </c>
      <c r="DU104" s="415">
        <v>1</v>
      </c>
      <c r="DV104" s="416">
        <v>1</v>
      </c>
      <c r="DW104" s="1426">
        <v>1</v>
      </c>
      <c r="DX104" s="1426">
        <v>1</v>
      </c>
      <c r="DY104" s="415">
        <v>1</v>
      </c>
      <c r="DZ104" s="412"/>
    </row>
    <row r="105" spans="1:136" hidden="1">
      <c r="A105" s="392"/>
      <c r="B105" s="392"/>
      <c r="C105" s="392"/>
      <c r="D105" s="392"/>
      <c r="E105" s="392"/>
      <c r="F105" s="392"/>
      <c r="G105" s="392"/>
      <c r="H105" s="392"/>
      <c r="I105" s="392"/>
      <c r="J105" s="392"/>
      <c r="K105" s="392"/>
      <c r="L105" s="392"/>
      <c r="M105" s="392"/>
      <c r="N105" s="392"/>
      <c r="O105" s="392"/>
      <c r="P105" s="418"/>
      <c r="Q105" s="418"/>
      <c r="R105" s="418"/>
      <c r="S105" s="418"/>
      <c r="T105" s="418"/>
      <c r="U105" s="418"/>
      <c r="V105" s="418"/>
      <c r="W105" s="418"/>
      <c r="X105" s="418"/>
      <c r="Y105" s="418"/>
      <c r="Z105" s="418"/>
      <c r="AA105" s="418"/>
      <c r="AB105" s="418"/>
      <c r="AC105" s="418"/>
      <c r="AD105" s="418"/>
      <c r="AE105" s="418"/>
      <c r="AF105" s="418"/>
      <c r="AG105" s="418"/>
      <c r="AH105" s="1405"/>
      <c r="AI105" s="392"/>
      <c r="AJ105" s="392"/>
      <c r="AK105" s="392"/>
      <c r="AL105" s="392"/>
      <c r="AM105" s="392"/>
      <c r="AN105" s="392"/>
      <c r="AO105" s="392"/>
      <c r="AP105" s="392"/>
      <c r="AQ105" s="392"/>
      <c r="AR105" s="392"/>
      <c r="AS105" s="392"/>
      <c r="AT105" s="392"/>
      <c r="AU105" s="392"/>
      <c r="AV105" s="392"/>
      <c r="AW105" s="392"/>
      <c r="AX105" s="392"/>
      <c r="AY105" s="392"/>
      <c r="AZ105" s="392"/>
      <c r="BA105" s="392"/>
      <c r="BB105" s="392"/>
      <c r="BC105" s="392"/>
      <c r="BD105" s="392"/>
      <c r="BE105" s="392"/>
      <c r="BF105" s="392"/>
      <c r="BG105" s="392"/>
      <c r="BH105" s="392"/>
      <c r="BI105" s="392"/>
      <c r="BJ105" s="392"/>
      <c r="BK105" s="392"/>
      <c r="BL105" s="392"/>
      <c r="BM105" s="392"/>
      <c r="BN105" s="392"/>
      <c r="BO105" s="392"/>
      <c r="BP105" s="392"/>
      <c r="BQ105" s="392"/>
      <c r="BR105" s="392"/>
      <c r="BS105" s="392"/>
      <c r="BT105" s="392"/>
      <c r="BU105" s="392"/>
      <c r="BV105" s="392"/>
      <c r="BW105" s="392"/>
      <c r="BX105" s="392"/>
      <c r="BY105" s="392"/>
      <c r="BZ105" s="392"/>
      <c r="CA105" s="392"/>
      <c r="CB105" s="392"/>
      <c r="CC105" s="392"/>
      <c r="CD105" s="392"/>
      <c r="CE105" s="392"/>
      <c r="CF105" s="392"/>
      <c r="CG105" s="392"/>
      <c r="CH105" s="392"/>
      <c r="CI105" s="392"/>
      <c r="CJ105" s="418"/>
      <c r="CK105" s="418"/>
      <c r="CL105" s="418"/>
      <c r="CM105" s="418"/>
      <c r="CN105" s="418"/>
      <c r="CO105" s="418"/>
      <c r="CP105" s="420"/>
      <c r="CQ105" s="418"/>
      <c r="CR105" s="418"/>
      <c r="CS105" s="418"/>
      <c r="CT105" s="420"/>
      <c r="CU105" s="418"/>
      <c r="CV105" s="418"/>
      <c r="CW105" s="419"/>
      <c r="CX105" s="418"/>
      <c r="CY105" s="418"/>
      <c r="CZ105" s="418"/>
      <c r="DA105" s="418"/>
      <c r="DB105" s="420"/>
      <c r="DC105" s="418"/>
      <c r="DD105" s="418"/>
      <c r="DE105" s="418"/>
      <c r="DF105" s="420"/>
      <c r="DG105" s="418"/>
      <c r="DH105" s="418"/>
      <c r="DI105" s="418"/>
      <c r="DJ105" s="420"/>
      <c r="DK105" s="418"/>
      <c r="DL105" s="418"/>
      <c r="DM105" s="419"/>
      <c r="DN105" s="420"/>
      <c r="DO105" s="418"/>
      <c r="DP105" s="418"/>
      <c r="DQ105" s="419"/>
      <c r="DR105" s="420"/>
      <c r="DS105" s="418"/>
      <c r="DT105" s="418"/>
      <c r="DU105" s="419"/>
      <c r="DV105" s="420"/>
      <c r="DW105" s="418"/>
      <c r="DX105" s="418"/>
      <c r="DY105" s="419"/>
      <c r="DZ105" s="396"/>
    </row>
    <row r="106" spans="1:136" hidden="1">
      <c r="A106" s="403" t="s">
        <v>1420</v>
      </c>
      <c r="B106" s="392"/>
      <c r="C106" s="392"/>
      <c r="D106" s="392"/>
      <c r="E106" s="392"/>
      <c r="F106" s="392"/>
      <c r="G106" s="392"/>
      <c r="H106" s="392"/>
      <c r="I106" s="392"/>
      <c r="J106" s="392"/>
      <c r="K106" s="392"/>
      <c r="L106" s="392"/>
      <c r="M106" s="392"/>
      <c r="N106" s="392"/>
      <c r="O106" s="392"/>
      <c r="P106" s="392"/>
      <c r="Q106" s="392"/>
      <c r="R106" s="392"/>
      <c r="S106" s="392"/>
      <c r="T106" s="392"/>
      <c r="U106" s="392"/>
      <c r="V106" s="392"/>
      <c r="W106" s="392"/>
      <c r="X106" s="392"/>
      <c r="Y106" s="392"/>
      <c r="Z106" s="392"/>
      <c r="AA106" s="392"/>
      <c r="AB106" s="392"/>
      <c r="AC106" s="392"/>
      <c r="AD106" s="392"/>
      <c r="AE106" s="392"/>
      <c r="AF106" s="392"/>
      <c r="AG106" s="392"/>
      <c r="AH106" s="1405"/>
      <c r="AI106" s="392"/>
      <c r="AJ106" s="392"/>
      <c r="AK106" s="392"/>
      <c r="AL106" s="392"/>
      <c r="AM106" s="392"/>
      <c r="AN106" s="392"/>
      <c r="AO106" s="392"/>
      <c r="AP106" s="392"/>
      <c r="AQ106" s="392"/>
      <c r="AR106" s="392"/>
      <c r="AS106" s="392"/>
      <c r="AT106" s="392"/>
      <c r="AU106" s="392"/>
      <c r="AV106" s="392"/>
      <c r="AW106" s="392"/>
      <c r="AX106" s="392"/>
      <c r="AY106" s="392"/>
      <c r="AZ106" s="392"/>
      <c r="BA106" s="392"/>
      <c r="BB106" s="392"/>
      <c r="BC106" s="392"/>
      <c r="BD106" s="392"/>
      <c r="BE106" s="392"/>
      <c r="BF106" s="392"/>
      <c r="BG106" s="392"/>
      <c r="BH106" s="392"/>
      <c r="BI106" s="392"/>
      <c r="BJ106" s="392"/>
      <c r="BK106" s="392"/>
      <c r="BL106" s="392"/>
      <c r="BM106" s="392"/>
      <c r="BN106" s="392"/>
      <c r="BO106" s="392"/>
      <c r="BP106" s="392"/>
      <c r="BQ106" s="392"/>
      <c r="BR106" s="392"/>
      <c r="BS106" s="392"/>
      <c r="BT106" s="392"/>
      <c r="BU106" s="392"/>
      <c r="BV106" s="392"/>
      <c r="BW106" s="392"/>
      <c r="BX106" s="392"/>
      <c r="BY106" s="392"/>
      <c r="BZ106" s="392"/>
      <c r="CA106" s="392"/>
      <c r="CB106" s="392"/>
      <c r="CC106" s="392"/>
      <c r="CD106" s="392"/>
      <c r="CE106" s="392"/>
      <c r="CF106" s="392"/>
      <c r="CG106" s="392"/>
      <c r="CH106" s="392"/>
      <c r="CI106" s="392"/>
      <c r="CJ106" s="392"/>
      <c r="CK106" s="392"/>
      <c r="CL106" s="392"/>
      <c r="CM106" s="392"/>
      <c r="CN106" s="392"/>
      <c r="CO106" s="392"/>
      <c r="CP106" s="393"/>
      <c r="CQ106" s="392"/>
      <c r="CR106" s="392"/>
      <c r="CS106" s="392"/>
      <c r="CT106" s="393"/>
      <c r="CU106" s="392"/>
      <c r="CV106" s="392"/>
      <c r="CW106" s="394"/>
      <c r="CX106" s="392"/>
      <c r="CY106" s="392"/>
      <c r="CZ106" s="392"/>
      <c r="DA106" s="392"/>
      <c r="DB106" s="393"/>
      <c r="DC106" s="392"/>
      <c r="DD106" s="392"/>
      <c r="DE106" s="392"/>
      <c r="DF106" s="393"/>
      <c r="DG106" s="392"/>
      <c r="DH106" s="392"/>
      <c r="DI106" s="392"/>
      <c r="DJ106" s="393"/>
      <c r="DK106" s="392"/>
      <c r="DL106" s="392"/>
      <c r="DM106" s="394"/>
      <c r="DN106" s="393"/>
      <c r="DO106" s="392"/>
      <c r="DP106" s="392"/>
      <c r="DQ106" s="394"/>
      <c r="DR106" s="393"/>
      <c r="DS106" s="392"/>
      <c r="DT106" s="392"/>
      <c r="DU106" s="394"/>
      <c r="DV106" s="393"/>
      <c r="DW106" s="392"/>
      <c r="DX106" s="392"/>
      <c r="DY106" s="394"/>
      <c r="DZ106" s="392"/>
    </row>
    <row r="107" spans="1:136" hidden="1">
      <c r="A107" s="396" t="s">
        <v>1153</v>
      </c>
      <c r="B107" s="392"/>
      <c r="C107" s="392"/>
      <c r="D107" s="392"/>
      <c r="E107" s="392"/>
      <c r="F107" s="392"/>
      <c r="G107" s="392"/>
      <c r="H107" s="392"/>
      <c r="I107" s="392"/>
      <c r="J107" s="392"/>
      <c r="K107" s="392"/>
      <c r="L107" s="392"/>
      <c r="M107" s="392"/>
      <c r="N107" s="392"/>
      <c r="O107" s="392"/>
      <c r="P107" s="396">
        <f>+Wless!P78</f>
        <v>22090</v>
      </c>
      <c r="Q107" s="396">
        <f>+Wless!Q78</f>
        <v>23668</v>
      </c>
      <c r="R107" s="396">
        <f>+Wless!R78</f>
        <v>26080</v>
      </c>
      <c r="S107" s="396">
        <f>+Wless!S78</f>
        <v>26489</v>
      </c>
      <c r="T107" s="392">
        <f>+Wless!T78</f>
        <v>29728</v>
      </c>
      <c r="U107" s="392">
        <f>+Wless!U78</f>
        <v>34199</v>
      </c>
      <c r="V107" s="396">
        <f>+Wless!V78</f>
        <v>35219</v>
      </c>
      <c r="W107" s="396">
        <f>+Wless!W78</f>
        <v>38953</v>
      </c>
      <c r="X107" s="396">
        <f>+Wless!X78</f>
        <v>39036</v>
      </c>
      <c r="Y107" s="396">
        <f>+Wless!Y78</f>
        <v>38602</v>
      </c>
      <c r="Z107" s="396">
        <f ca="1">+Wless!Z78</f>
        <v>40845.277874283238</v>
      </c>
      <c r="AA107" s="396">
        <f ca="1">+Wless!AA78</f>
        <v>40813.780017020108</v>
      </c>
      <c r="AB107" s="396">
        <f ca="1">+Wless!AB78</f>
        <v>41747.238370594692</v>
      </c>
      <c r="AC107" s="396"/>
      <c r="AD107" s="396"/>
      <c r="AE107" s="396"/>
      <c r="AF107" s="396"/>
      <c r="AG107" s="396"/>
      <c r="AH107" s="1405"/>
      <c r="AI107" s="392"/>
      <c r="AJ107" s="392"/>
      <c r="AK107" s="392"/>
      <c r="AL107" s="392"/>
      <c r="AM107" s="392"/>
      <c r="AN107" s="392"/>
      <c r="AO107" s="392"/>
      <c r="AP107" s="392"/>
      <c r="AQ107" s="392"/>
      <c r="AR107" s="392"/>
      <c r="AS107" s="392"/>
      <c r="AT107" s="392"/>
      <c r="AU107" s="392"/>
      <c r="AV107" s="392"/>
      <c r="AW107" s="392"/>
      <c r="AX107" s="392"/>
      <c r="AY107" s="392"/>
      <c r="AZ107" s="392"/>
      <c r="BA107" s="392"/>
      <c r="BB107" s="392"/>
      <c r="BC107" s="392"/>
      <c r="BD107" s="392"/>
      <c r="BE107" s="392"/>
      <c r="BF107" s="392"/>
      <c r="BG107" s="392"/>
      <c r="BH107" s="392"/>
      <c r="BI107" s="392"/>
      <c r="BJ107" s="392"/>
      <c r="BK107" s="392"/>
      <c r="BL107" s="392"/>
      <c r="BM107" s="392"/>
      <c r="BN107" s="392"/>
      <c r="BO107" s="392"/>
      <c r="BP107" s="392"/>
      <c r="BQ107" s="392"/>
      <c r="BR107" s="392"/>
      <c r="BS107" s="392"/>
      <c r="BT107" s="392"/>
      <c r="BU107" s="392"/>
      <c r="BV107" s="392"/>
      <c r="BW107" s="392"/>
      <c r="BX107" s="392"/>
      <c r="BY107" s="392"/>
      <c r="BZ107" s="392"/>
      <c r="CA107" s="392"/>
      <c r="CB107" s="392"/>
      <c r="CC107" s="392"/>
      <c r="CD107" s="392"/>
      <c r="CE107" s="392"/>
      <c r="CF107" s="392"/>
      <c r="CG107" s="392"/>
      <c r="CH107" s="392"/>
      <c r="CI107" s="392"/>
      <c r="CJ107" s="396">
        <f>+Wless!CJ78</f>
        <v>5513</v>
      </c>
      <c r="CK107" s="396">
        <f>+Wless!CK78</f>
        <v>5926</v>
      </c>
      <c r="CL107" s="393">
        <f>+Wless!CL78</f>
        <v>5812</v>
      </c>
      <c r="CM107" s="396">
        <f>+Wless!CM78</f>
        <v>5975</v>
      </c>
      <c r="CN107" s="396">
        <f>+Wless!CN78</f>
        <v>6003</v>
      </c>
      <c r="CO107" s="396">
        <f>+Wless!CO78</f>
        <v>5878</v>
      </c>
      <c r="CP107" s="393">
        <f>+Wless!CP78</f>
        <v>6145</v>
      </c>
      <c r="CQ107" s="396">
        <f>+Wless!CQ78</f>
        <v>6510</v>
      </c>
      <c r="CR107" s="396">
        <f>+Wless!CR78</f>
        <v>6690</v>
      </c>
      <c r="CS107" s="396">
        <f>+Wless!CS78</f>
        <v>6735</v>
      </c>
      <c r="CT107" s="393">
        <f>+Wless!CT78</f>
        <v>6250</v>
      </c>
      <c r="CU107" s="396">
        <f>+Wless!CU78</f>
        <v>6670</v>
      </c>
      <c r="CV107" s="396">
        <f>+Wless!CV78</f>
        <v>7189</v>
      </c>
      <c r="CW107" s="394">
        <f>+Wless!CW78</f>
        <v>6380</v>
      </c>
      <c r="CX107" s="396">
        <f>+Wless!CX78</f>
        <v>7135</v>
      </c>
      <c r="CY107" s="396">
        <f>+Wless!CY78</f>
        <v>7724</v>
      </c>
      <c r="CZ107" s="396">
        <f>+Wless!CZ78</f>
        <v>8084</v>
      </c>
      <c r="DA107" s="396">
        <f>+Wless!DA78</f>
        <v>6785</v>
      </c>
      <c r="DB107" s="393">
        <f>+Wless!DB78</f>
        <v>8424</v>
      </c>
      <c r="DC107" s="396">
        <f>+Wless!DC78</f>
        <v>8511</v>
      </c>
      <c r="DD107" s="396">
        <f>+Wless!DD78</f>
        <v>8946</v>
      </c>
      <c r="DE107" s="396">
        <f>+Wless!DE78</f>
        <v>8318</v>
      </c>
      <c r="DF107" s="393">
        <f>+Wless!DF78</f>
        <v>9379</v>
      </c>
      <c r="DG107" s="392">
        <f>+Wless!DG78</f>
        <v>9092</v>
      </c>
      <c r="DH107" s="392">
        <f>+Wless!DH78</f>
        <v>9094</v>
      </c>
      <c r="DI107" s="392">
        <f>+Wless!DI78</f>
        <v>7654</v>
      </c>
      <c r="DJ107" s="393">
        <f>+Wless!DJ78</f>
        <v>10000</v>
      </c>
      <c r="DK107" s="392">
        <f>+Wless!DK78</f>
        <v>9921</v>
      </c>
      <c r="DL107" s="392">
        <f>+Wless!DL78</f>
        <v>9928</v>
      </c>
      <c r="DM107" s="394">
        <f>+Wless!DM78</f>
        <v>9104</v>
      </c>
      <c r="DN107" s="393">
        <f>+Wless!DN78</f>
        <v>10173</v>
      </c>
      <c r="DO107" s="392">
        <f>+Wless!DO78</f>
        <v>10299</v>
      </c>
      <c r="DP107" s="392">
        <f>+Wless!DP78</f>
        <v>9934</v>
      </c>
      <c r="DQ107" s="394">
        <f>+Wless!DQ78</f>
        <v>8630</v>
      </c>
      <c r="DR107" s="393">
        <f>+Wless!DR78</f>
        <v>9414</v>
      </c>
      <c r="DS107" s="392">
        <f>+Wless!DS78</f>
        <v>9757</v>
      </c>
      <c r="DT107" s="392">
        <f>+Wless!DT78</f>
        <v>9969</v>
      </c>
      <c r="DU107" s="394">
        <f>+Wless!DU78</f>
        <v>9462</v>
      </c>
      <c r="DV107" s="393">
        <f>+Wless!DV78</f>
        <v>10477</v>
      </c>
      <c r="DW107" s="392">
        <f ca="1">+Wless!DW78</f>
        <v>10352.807185108177</v>
      </c>
      <c r="DX107" s="392">
        <f ca="1">+Wless!DX78</f>
        <v>10561.405547120419</v>
      </c>
      <c r="DY107" s="394">
        <f ca="1">+Wless!DY78</f>
        <v>9454.0651420546419</v>
      </c>
      <c r="DZ107" s="396"/>
    </row>
    <row r="108" spans="1:136" hidden="1">
      <c r="A108" s="421" t="s">
        <v>1421</v>
      </c>
      <c r="B108" s="422"/>
      <c r="C108" s="422"/>
      <c r="D108" s="422"/>
      <c r="E108" s="422"/>
      <c r="F108" s="422"/>
      <c r="G108" s="422"/>
      <c r="H108" s="422"/>
      <c r="I108" s="422"/>
      <c r="J108" s="422"/>
      <c r="K108" s="422"/>
      <c r="L108" s="422"/>
      <c r="M108" s="422"/>
      <c r="N108" s="422"/>
      <c r="O108" s="422"/>
      <c r="P108" s="423">
        <v>0</v>
      </c>
      <c r="Q108" s="423">
        <v>0</v>
      </c>
      <c r="R108" s="423">
        <v>0</v>
      </c>
      <c r="S108" s="423">
        <v>0</v>
      </c>
      <c r="T108" s="1427">
        <v>0</v>
      </c>
      <c r="U108" s="1427">
        <v>0</v>
      </c>
      <c r="V108" s="423">
        <v>0</v>
      </c>
      <c r="W108" s="423">
        <v>0</v>
      </c>
      <c r="X108" s="423">
        <v>0</v>
      </c>
      <c r="Y108" s="423">
        <v>0</v>
      </c>
      <c r="Z108" s="423">
        <v>0</v>
      </c>
      <c r="AA108" s="423">
        <v>0</v>
      </c>
      <c r="AB108" s="423">
        <v>0</v>
      </c>
      <c r="AC108" s="423"/>
      <c r="AD108" s="423"/>
      <c r="AE108" s="423"/>
      <c r="AF108" s="423"/>
      <c r="AG108" s="423"/>
      <c r="AH108" s="1408"/>
      <c r="AI108" s="422"/>
      <c r="AJ108" s="422"/>
      <c r="AK108" s="422"/>
      <c r="AL108" s="422"/>
      <c r="AM108" s="422"/>
      <c r="AN108" s="422"/>
      <c r="AO108" s="422"/>
      <c r="AP108" s="422"/>
      <c r="AQ108" s="422"/>
      <c r="AR108" s="422"/>
      <c r="AS108" s="422"/>
      <c r="AT108" s="422"/>
      <c r="AU108" s="422"/>
      <c r="AV108" s="422"/>
      <c r="AW108" s="422"/>
      <c r="AX108" s="422"/>
      <c r="AY108" s="422"/>
      <c r="AZ108" s="422"/>
      <c r="BA108" s="422"/>
      <c r="BB108" s="422"/>
      <c r="BC108" s="422"/>
      <c r="BD108" s="422"/>
      <c r="BE108" s="422"/>
      <c r="BF108" s="422"/>
      <c r="BG108" s="422"/>
      <c r="BH108" s="422"/>
      <c r="BI108" s="422"/>
      <c r="BJ108" s="422"/>
      <c r="BK108" s="422"/>
      <c r="BL108" s="422"/>
      <c r="BM108" s="422"/>
      <c r="BN108" s="422"/>
      <c r="BO108" s="422"/>
      <c r="BP108" s="422"/>
      <c r="BQ108" s="422"/>
      <c r="BR108" s="422"/>
      <c r="BS108" s="422"/>
      <c r="BT108" s="422"/>
      <c r="BU108" s="422"/>
      <c r="BV108" s="422"/>
      <c r="BW108" s="422"/>
      <c r="BX108" s="422"/>
      <c r="BY108" s="422"/>
      <c r="BZ108" s="422"/>
      <c r="CA108" s="422"/>
      <c r="CB108" s="422"/>
      <c r="CC108" s="422"/>
      <c r="CD108" s="422"/>
      <c r="CE108" s="422"/>
      <c r="CF108" s="422"/>
      <c r="CG108" s="422"/>
      <c r="CH108" s="422"/>
      <c r="CI108" s="422"/>
      <c r="CJ108" s="423">
        <v>0</v>
      </c>
      <c r="CK108" s="423">
        <v>0</v>
      </c>
      <c r="CL108" s="425">
        <v>0</v>
      </c>
      <c r="CM108" s="423">
        <v>0</v>
      </c>
      <c r="CN108" s="423">
        <v>0</v>
      </c>
      <c r="CO108" s="423">
        <v>0</v>
      </c>
      <c r="CP108" s="425">
        <v>0</v>
      </c>
      <c r="CQ108" s="423">
        <v>0</v>
      </c>
      <c r="CR108" s="423">
        <v>0</v>
      </c>
      <c r="CS108" s="423">
        <v>0</v>
      </c>
      <c r="CT108" s="425">
        <v>0</v>
      </c>
      <c r="CU108" s="423">
        <v>0</v>
      </c>
      <c r="CV108" s="423">
        <v>0</v>
      </c>
      <c r="CW108" s="424">
        <v>0</v>
      </c>
      <c r="CX108" s="423">
        <v>0</v>
      </c>
      <c r="CY108" s="423">
        <v>0</v>
      </c>
      <c r="CZ108" s="423">
        <v>0</v>
      </c>
      <c r="DA108" s="423">
        <v>0</v>
      </c>
      <c r="DB108" s="425">
        <v>0</v>
      </c>
      <c r="DC108" s="423">
        <v>0</v>
      </c>
      <c r="DD108" s="423">
        <v>0</v>
      </c>
      <c r="DE108" s="423">
        <v>0</v>
      </c>
      <c r="DF108" s="425">
        <v>0</v>
      </c>
      <c r="DG108" s="1427">
        <v>0</v>
      </c>
      <c r="DH108" s="1427">
        <v>0</v>
      </c>
      <c r="DI108" s="1427">
        <v>0</v>
      </c>
      <c r="DJ108" s="425">
        <v>0</v>
      </c>
      <c r="DK108" s="1427">
        <v>0</v>
      </c>
      <c r="DL108" s="1427">
        <v>0</v>
      </c>
      <c r="DM108" s="424">
        <v>0</v>
      </c>
      <c r="DN108" s="425">
        <v>0</v>
      </c>
      <c r="DO108" s="1427">
        <v>0</v>
      </c>
      <c r="DP108" s="1427">
        <v>0</v>
      </c>
      <c r="DQ108" s="424">
        <v>0</v>
      </c>
      <c r="DR108" s="425">
        <v>0</v>
      </c>
      <c r="DS108" s="1427">
        <v>0</v>
      </c>
      <c r="DT108" s="1427">
        <v>0</v>
      </c>
      <c r="DU108" s="424">
        <v>0</v>
      </c>
      <c r="DV108" s="425">
        <v>0</v>
      </c>
      <c r="DW108" s="1427">
        <v>0</v>
      </c>
      <c r="DX108" s="1427">
        <v>0</v>
      </c>
      <c r="DY108" s="424">
        <v>0</v>
      </c>
      <c r="DZ108" s="421"/>
    </row>
    <row r="109" spans="1:136" hidden="1">
      <c r="A109" s="426" t="s">
        <v>1410</v>
      </c>
      <c r="B109" s="392"/>
      <c r="C109" s="392"/>
      <c r="D109" s="392"/>
      <c r="E109" s="392"/>
      <c r="F109" s="392"/>
      <c r="G109" s="392"/>
      <c r="H109" s="392"/>
      <c r="I109" s="392"/>
      <c r="J109" s="392"/>
      <c r="K109" s="392"/>
      <c r="L109" s="392"/>
      <c r="M109" s="392"/>
      <c r="N109" s="392"/>
      <c r="O109" s="392"/>
      <c r="P109" s="396">
        <f>+Wless!P545</f>
        <v>-547</v>
      </c>
      <c r="Q109" s="396">
        <f>+Wless!Q545</f>
        <v>-103</v>
      </c>
      <c r="R109" s="396">
        <f>+Wless!R545</f>
        <v>1413</v>
      </c>
      <c r="S109" s="396">
        <f>+Wless!S545</f>
        <v>366</v>
      </c>
      <c r="T109" s="392">
        <f>+Wless!T545</f>
        <v>-470</v>
      </c>
      <c r="U109" s="392" t="e">
        <f>+Wless!U545</f>
        <v>#REF!</v>
      </c>
      <c r="V109" s="396" t="e">
        <f>+Wless!V545</f>
        <v>#REF!</v>
      </c>
      <c r="W109" s="396" t="e">
        <f>+Wless!W545</f>
        <v>#REF!</v>
      </c>
      <c r="X109" s="396" t="e">
        <f>+Wless!X545</f>
        <v>#REF!</v>
      </c>
      <c r="Y109" s="396" t="e">
        <f>+Wless!Y545</f>
        <v>#REF!</v>
      </c>
      <c r="Z109" s="396" t="e">
        <f ca="1">+Wless!Z545</f>
        <v>#REF!</v>
      </c>
      <c r="AA109" s="396" t="e">
        <f ca="1">+Wless!AA545</f>
        <v>#REF!</v>
      </c>
      <c r="AB109" s="396" t="e">
        <f ca="1">+Wless!AB545</f>
        <v>#REF!</v>
      </c>
      <c r="AC109" s="396"/>
      <c r="AD109" s="396"/>
      <c r="AE109" s="396"/>
      <c r="AF109" s="396"/>
      <c r="AG109" s="396"/>
      <c r="AH109" s="1405"/>
      <c r="AI109" s="392"/>
      <c r="AJ109" s="392"/>
      <c r="AK109" s="392"/>
      <c r="AL109" s="392"/>
      <c r="AM109" s="392"/>
      <c r="AN109" s="392"/>
      <c r="AO109" s="392"/>
      <c r="AP109" s="392"/>
      <c r="AQ109" s="392"/>
      <c r="AR109" s="392"/>
      <c r="AS109" s="392"/>
      <c r="AT109" s="392"/>
      <c r="AU109" s="392"/>
      <c r="AV109" s="392"/>
      <c r="AW109" s="392"/>
      <c r="AX109" s="392"/>
      <c r="AY109" s="392"/>
      <c r="AZ109" s="392"/>
      <c r="BA109" s="392"/>
      <c r="BB109" s="392"/>
      <c r="BC109" s="392"/>
      <c r="BD109" s="392"/>
      <c r="BE109" s="392"/>
      <c r="BF109" s="392"/>
      <c r="BG109" s="392"/>
      <c r="BH109" s="392"/>
      <c r="BI109" s="392"/>
      <c r="BJ109" s="392"/>
      <c r="BK109" s="392"/>
      <c r="BL109" s="392"/>
      <c r="BM109" s="392"/>
      <c r="BN109" s="392"/>
      <c r="BO109" s="392"/>
      <c r="BP109" s="392"/>
      <c r="BQ109" s="392"/>
      <c r="BR109" s="392"/>
      <c r="BS109" s="392"/>
      <c r="BT109" s="392"/>
      <c r="BU109" s="392"/>
      <c r="BV109" s="392"/>
      <c r="BW109" s="392"/>
      <c r="BX109" s="392"/>
      <c r="BY109" s="392"/>
      <c r="BZ109" s="392"/>
      <c r="CA109" s="392"/>
      <c r="CB109" s="392"/>
      <c r="CC109" s="392"/>
      <c r="CD109" s="392"/>
      <c r="CE109" s="392"/>
      <c r="CF109" s="392"/>
      <c r="CG109" s="392"/>
      <c r="CH109" s="392"/>
      <c r="CI109" s="392"/>
      <c r="CJ109" s="396">
        <f>+Wless!CJ545</f>
        <v>0</v>
      </c>
      <c r="CK109" s="396">
        <f>+Wless!CK545</f>
        <v>0</v>
      </c>
      <c r="CL109" s="393">
        <f>+Wless!CL545</f>
        <v>192</v>
      </c>
      <c r="CM109" s="396">
        <f>+Wless!CM545</f>
        <v>-349</v>
      </c>
      <c r="CN109" s="396">
        <f>+Wless!CN545</f>
        <v>634</v>
      </c>
      <c r="CO109" s="396">
        <f>+Wless!CO545</f>
        <v>-580</v>
      </c>
      <c r="CP109" s="393">
        <f>+Wless!CP545</f>
        <v>612</v>
      </c>
      <c r="CQ109" s="396">
        <f>+Wless!CQ545</f>
        <v>1047</v>
      </c>
      <c r="CR109" s="396">
        <f>+Wless!CR545</f>
        <v>-16</v>
      </c>
      <c r="CS109" s="396">
        <f>+Wless!CS545</f>
        <v>-230</v>
      </c>
      <c r="CT109" s="393">
        <f ca="1">+Wless!CT545</f>
        <v>1447.4075778707575</v>
      </c>
      <c r="CU109" s="396">
        <f ca="1">+Wless!CU545</f>
        <v>-2574.8610529986054</v>
      </c>
      <c r="CV109" s="396">
        <f>+Wless!CV545</f>
        <v>-231.65000000000077</v>
      </c>
      <c r="CW109" s="394">
        <f>+Wless!CW545</f>
        <v>931.51111111111186</v>
      </c>
      <c r="CX109" s="396">
        <f>$T$109/4</f>
        <v>-117.5</v>
      </c>
      <c r="CY109" s="396">
        <f>$T$109/4</f>
        <v>-117.5</v>
      </c>
      <c r="CZ109" s="396">
        <f>$T$109/4</f>
        <v>-117.5</v>
      </c>
      <c r="DA109" s="396">
        <f>$T$109/4</f>
        <v>-117.5</v>
      </c>
      <c r="DB109" s="393" t="e">
        <f t="shared" ref="DB109:DY109" si="182">$U$109/4</f>
        <v>#REF!</v>
      </c>
      <c r="DC109" s="396" t="e">
        <f t="shared" si="182"/>
        <v>#REF!</v>
      </c>
      <c r="DD109" s="396" t="e">
        <f t="shared" si="182"/>
        <v>#REF!</v>
      </c>
      <c r="DE109" s="396" t="e">
        <f t="shared" si="182"/>
        <v>#REF!</v>
      </c>
      <c r="DF109" s="393" t="e">
        <f t="shared" si="182"/>
        <v>#REF!</v>
      </c>
      <c r="DG109" s="392" t="e">
        <f t="shared" si="182"/>
        <v>#REF!</v>
      </c>
      <c r="DH109" s="392" t="e">
        <f t="shared" si="182"/>
        <v>#REF!</v>
      </c>
      <c r="DI109" s="392" t="e">
        <f t="shared" si="182"/>
        <v>#REF!</v>
      </c>
      <c r="DJ109" s="393" t="e">
        <f t="shared" si="182"/>
        <v>#REF!</v>
      </c>
      <c r="DK109" s="392" t="e">
        <f t="shared" si="182"/>
        <v>#REF!</v>
      </c>
      <c r="DL109" s="392" t="e">
        <f t="shared" si="182"/>
        <v>#REF!</v>
      </c>
      <c r="DM109" s="394" t="e">
        <f t="shared" si="182"/>
        <v>#REF!</v>
      </c>
      <c r="DN109" s="393" t="e">
        <f t="shared" si="182"/>
        <v>#REF!</v>
      </c>
      <c r="DO109" s="392" t="e">
        <f t="shared" si="182"/>
        <v>#REF!</v>
      </c>
      <c r="DP109" s="392" t="e">
        <f t="shared" si="182"/>
        <v>#REF!</v>
      </c>
      <c r="DQ109" s="394" t="e">
        <f t="shared" si="182"/>
        <v>#REF!</v>
      </c>
      <c r="DR109" s="393" t="e">
        <f t="shared" si="182"/>
        <v>#REF!</v>
      </c>
      <c r="DS109" s="392" t="e">
        <f t="shared" si="182"/>
        <v>#REF!</v>
      </c>
      <c r="DT109" s="392" t="e">
        <f t="shared" si="182"/>
        <v>#REF!</v>
      </c>
      <c r="DU109" s="394" t="e">
        <f t="shared" si="182"/>
        <v>#REF!</v>
      </c>
      <c r="DV109" s="393" t="e">
        <f t="shared" si="182"/>
        <v>#REF!</v>
      </c>
      <c r="DW109" s="392" t="e">
        <f t="shared" si="182"/>
        <v>#REF!</v>
      </c>
      <c r="DX109" s="392" t="e">
        <f t="shared" si="182"/>
        <v>#REF!</v>
      </c>
      <c r="DY109" s="394" t="e">
        <f t="shared" si="182"/>
        <v>#REF!</v>
      </c>
      <c r="DZ109" s="396"/>
    </row>
    <row r="110" spans="1:136" hidden="1">
      <c r="A110" s="426" t="s">
        <v>1411</v>
      </c>
      <c r="B110" s="392"/>
      <c r="C110" s="392"/>
      <c r="D110" s="392"/>
      <c r="E110" s="392"/>
      <c r="F110" s="392"/>
      <c r="G110" s="392"/>
      <c r="H110" s="392"/>
      <c r="I110" s="392"/>
      <c r="J110" s="392"/>
      <c r="K110" s="392"/>
      <c r="L110" s="392"/>
      <c r="M110" s="392"/>
      <c r="N110" s="392"/>
      <c r="O110" s="392"/>
      <c r="P110" s="396">
        <f>-Capex!P114</f>
        <v>-6510</v>
      </c>
      <c r="Q110" s="396">
        <f>-Capex!Q114</f>
        <v>-7152</v>
      </c>
      <c r="R110" s="396">
        <f>-Capex!R114</f>
        <v>-8438</v>
      </c>
      <c r="S110" s="396">
        <f>-Capex!S114</f>
        <v>-8973</v>
      </c>
      <c r="T110" s="392">
        <f>-Capex!T114</f>
        <v>-8857</v>
      </c>
      <c r="U110" s="392">
        <f>-Capex!U114</f>
        <v>-9425</v>
      </c>
      <c r="V110" s="396">
        <f>-Capex!V114</f>
        <v>-10515</v>
      </c>
      <c r="W110" s="396">
        <f>-Capex!W114</f>
        <v>-11725</v>
      </c>
      <c r="X110" s="396">
        <f>-Capex!X114</f>
        <v>-11240</v>
      </c>
      <c r="Y110" s="396">
        <f>-Capex!Y114</f>
        <v>-10628</v>
      </c>
      <c r="Z110" s="396">
        <f ca="1">-Capex!Z114</f>
        <v>-8906.4523480695134</v>
      </c>
      <c r="AA110" s="396">
        <f ca="1">-Capex!AA114</f>
        <v>-11971.816370188671</v>
      </c>
      <c r="AB110" s="396">
        <f ca="1">-Capex!AB114</f>
        <v>-12165.382932009355</v>
      </c>
      <c r="AC110" s="396"/>
      <c r="AD110" s="396"/>
      <c r="AE110" s="396"/>
      <c r="AF110" s="396"/>
      <c r="AG110" s="396"/>
      <c r="AH110" s="1405"/>
      <c r="AI110" s="392"/>
      <c r="AJ110" s="392"/>
      <c r="AK110" s="392"/>
      <c r="AL110" s="392"/>
      <c r="AM110" s="392"/>
      <c r="AN110" s="392"/>
      <c r="AO110" s="392"/>
      <c r="AP110" s="392"/>
      <c r="AQ110" s="392"/>
      <c r="AR110" s="392"/>
      <c r="AS110" s="392"/>
      <c r="AT110" s="392"/>
      <c r="AU110" s="392"/>
      <c r="AV110" s="392"/>
      <c r="AW110" s="392"/>
      <c r="AX110" s="392"/>
      <c r="AY110" s="392"/>
      <c r="AZ110" s="392"/>
      <c r="BA110" s="392"/>
      <c r="BB110" s="392"/>
      <c r="BC110" s="392"/>
      <c r="BD110" s="392"/>
      <c r="BE110" s="392"/>
      <c r="BF110" s="392"/>
      <c r="BG110" s="392"/>
      <c r="BH110" s="392"/>
      <c r="BI110" s="392"/>
      <c r="BJ110" s="392"/>
      <c r="BK110" s="392"/>
      <c r="BL110" s="392"/>
      <c r="BM110" s="392"/>
      <c r="BN110" s="392"/>
      <c r="BO110" s="392"/>
      <c r="BP110" s="392"/>
      <c r="BQ110" s="392"/>
      <c r="BR110" s="392"/>
      <c r="BS110" s="392"/>
      <c r="BT110" s="392"/>
      <c r="BU110" s="392"/>
      <c r="BV110" s="392"/>
      <c r="BW110" s="392"/>
      <c r="BX110" s="392"/>
      <c r="BY110" s="392"/>
      <c r="BZ110" s="392"/>
      <c r="CA110" s="392"/>
      <c r="CB110" s="392"/>
      <c r="CC110" s="392"/>
      <c r="CD110" s="392"/>
      <c r="CE110" s="392"/>
      <c r="CF110" s="392"/>
      <c r="CG110" s="392"/>
      <c r="CH110" s="392"/>
      <c r="CI110" s="392"/>
      <c r="CJ110" s="396">
        <f>-Capex!CJ114</f>
        <v>-1473</v>
      </c>
      <c r="CK110" s="396">
        <f>-Capex!CK114</f>
        <v>-1787</v>
      </c>
      <c r="CL110" s="393">
        <f>-Capex!CL114</f>
        <v>-1551</v>
      </c>
      <c r="CM110" s="396">
        <f>-Capex!CM114</f>
        <v>-1783</v>
      </c>
      <c r="CN110" s="396">
        <f>-Capex!CN114</f>
        <v>-1800</v>
      </c>
      <c r="CO110" s="396">
        <f>-Capex!CO114</f>
        <v>-2018</v>
      </c>
      <c r="CP110" s="393">
        <f>-Capex!CP114</f>
        <v>-1770</v>
      </c>
      <c r="CQ110" s="396">
        <f>-Capex!CQ114</f>
        <v>-2262</v>
      </c>
      <c r="CR110" s="396">
        <f>-Capex!CR114</f>
        <v>-2173</v>
      </c>
      <c r="CS110" s="396">
        <f>-Capex!CS114</f>
        <v>-2233</v>
      </c>
      <c r="CT110" s="393">
        <f>-Capex!CT114</f>
        <v>-2735</v>
      </c>
      <c r="CU110" s="396">
        <f>-Capex!CU114</f>
        <v>-2667</v>
      </c>
      <c r="CV110" s="396">
        <f>-Capex!CV114</f>
        <v>-1784</v>
      </c>
      <c r="CW110" s="394">
        <f>-Capex!CW114</f>
        <v>-1787</v>
      </c>
      <c r="CX110" s="396">
        <f>-Capex!CX114</f>
        <v>-1885</v>
      </c>
      <c r="CY110" s="396">
        <f>-Capex!CY114</f>
        <v>-2048</v>
      </c>
      <c r="CZ110" s="396">
        <f>-Capex!CZ114</f>
        <v>-2133</v>
      </c>
      <c r="DA110" s="396">
        <f>-Capex!DA114</f>
        <v>-2791</v>
      </c>
      <c r="DB110" s="393">
        <f>-Capex!DB114</f>
        <v>-1992</v>
      </c>
      <c r="DC110" s="396">
        <f>-Capex!DC114</f>
        <v>-2278</v>
      </c>
      <c r="DD110" s="396">
        <f>-Capex!DD114</f>
        <v>-2450</v>
      </c>
      <c r="DE110" s="396">
        <f>-Capex!DE114</f>
        <v>-2705</v>
      </c>
      <c r="DF110" s="393">
        <f>-Capex!DF114</f>
        <v>-2554</v>
      </c>
      <c r="DG110" s="392">
        <f>-Capex!DG114</f>
        <v>-2771</v>
      </c>
      <c r="DH110" s="392">
        <f>-Capex!DH114</f>
        <v>-2483</v>
      </c>
      <c r="DI110" s="392">
        <f>-Capex!DI114</f>
        <v>-2707</v>
      </c>
      <c r="DJ110" s="393">
        <f>-Capex!DJ114</f>
        <v>-2419</v>
      </c>
      <c r="DK110" s="392">
        <f>-Capex!DK114</f>
        <v>-3126</v>
      </c>
      <c r="DL110" s="392">
        <f>-Capex!DL114</f>
        <v>-2921</v>
      </c>
      <c r="DM110" s="394">
        <f>-Capex!DM114</f>
        <v>-3259</v>
      </c>
      <c r="DN110" s="393">
        <f>-Capex!DN114</f>
        <v>-2190</v>
      </c>
      <c r="DO110" s="392">
        <f>-Capex!DO114</f>
        <v>-2815</v>
      </c>
      <c r="DP110" s="392">
        <f>-Capex!DP114</f>
        <v>-2771</v>
      </c>
      <c r="DQ110" s="394">
        <f>-Capex!DQ114</f>
        <v>-3464</v>
      </c>
      <c r="DR110" s="393">
        <f>-Capex!DR114</f>
        <v>-1831</v>
      </c>
      <c r="DS110" s="392">
        <f>-Capex!DS114</f>
        <v>-2444</v>
      </c>
      <c r="DT110" s="392">
        <f>-Capex!DT114</f>
        <v>-2970</v>
      </c>
      <c r="DU110" s="394">
        <f>-Capex!DU114</f>
        <v>-3383</v>
      </c>
      <c r="DV110" s="393">
        <f>-Capex!DV114</f>
        <v>-2367</v>
      </c>
      <c r="DW110" s="392">
        <f ca="1">-Capex!DW114</f>
        <v>-2160.2546911785289</v>
      </c>
      <c r="DX110" s="392">
        <f ca="1">-Capex!DX114</f>
        <v>-2189.5444932167957</v>
      </c>
      <c r="DY110" s="394">
        <f ca="1">-Capex!DY114</f>
        <v>-2189.6531636741884</v>
      </c>
      <c r="DZ110" s="396"/>
    </row>
    <row r="111" spans="1:136" hidden="1">
      <c r="A111" s="426" t="s">
        <v>1412</v>
      </c>
      <c r="B111" s="392"/>
      <c r="C111" s="392"/>
      <c r="D111" s="392"/>
      <c r="E111" s="392"/>
      <c r="F111" s="392"/>
      <c r="G111" s="392"/>
      <c r="H111" s="392"/>
      <c r="I111" s="392"/>
      <c r="J111" s="392"/>
      <c r="K111" s="392"/>
      <c r="L111" s="392"/>
      <c r="M111" s="392"/>
      <c r="N111" s="392"/>
      <c r="O111" s="392"/>
      <c r="P111" s="396">
        <f>-Wless!P89</f>
        <v>-801.99999999999989</v>
      </c>
      <c r="Q111" s="396">
        <f>-Wless!Q89</f>
        <v>-1229</v>
      </c>
      <c r="R111" s="396">
        <f>-Wless!R89</f>
        <v>-1387.835</v>
      </c>
      <c r="S111" s="396">
        <f>-Wless!S89</f>
        <v>-1617.57</v>
      </c>
      <c r="T111" s="392">
        <f>-Wless!T89</f>
        <v>-1927.9799999999998</v>
      </c>
      <c r="U111" s="392">
        <f>-Wless!U89</f>
        <v>-2308.5899999999997</v>
      </c>
      <c r="V111" s="396">
        <f>-Wless!V89</f>
        <v>-2377.2599999999998</v>
      </c>
      <c r="W111" s="396">
        <f>-Wless!W89</f>
        <v>-2421.54</v>
      </c>
      <c r="X111" s="396">
        <f>-Wless!X89</f>
        <v>-2485.5299999999997</v>
      </c>
      <c r="Y111" s="396">
        <f>-Wless!Y89</f>
        <v>-2549.6999999999998</v>
      </c>
      <c r="Z111" s="396">
        <f>-Wless!Z89</f>
        <v>-2666.43</v>
      </c>
      <c r="AA111" s="396">
        <f ca="1">-Wless!AA89</f>
        <v>-2682.8861862323206</v>
      </c>
      <c r="AB111" s="396">
        <f ca="1">-Wless!AB89</f>
        <v>-2761.4447049029054</v>
      </c>
      <c r="AC111" s="396"/>
      <c r="AD111" s="396"/>
      <c r="AE111" s="396"/>
      <c r="AF111" s="396"/>
      <c r="AG111" s="396"/>
      <c r="AH111" s="1405"/>
      <c r="AI111" s="392"/>
      <c r="AJ111" s="392"/>
      <c r="AK111" s="392"/>
      <c r="AL111" s="392"/>
      <c r="AM111" s="392"/>
      <c r="AN111" s="392"/>
      <c r="AO111" s="392"/>
      <c r="AP111" s="392"/>
      <c r="AQ111" s="392"/>
      <c r="AR111" s="392"/>
      <c r="AS111" s="392"/>
      <c r="AT111" s="392"/>
      <c r="AU111" s="392"/>
      <c r="AV111" s="392"/>
      <c r="AW111" s="392"/>
      <c r="AX111" s="392"/>
      <c r="AY111" s="392"/>
      <c r="AZ111" s="392"/>
      <c r="BA111" s="392"/>
      <c r="BB111" s="392"/>
      <c r="BC111" s="392"/>
      <c r="BD111" s="392"/>
      <c r="BE111" s="392"/>
      <c r="BF111" s="392"/>
      <c r="BG111" s="392"/>
      <c r="BH111" s="392"/>
      <c r="BI111" s="392"/>
      <c r="BJ111" s="392"/>
      <c r="BK111" s="392"/>
      <c r="BL111" s="392"/>
      <c r="BM111" s="392"/>
      <c r="BN111" s="392"/>
      <c r="BO111" s="392"/>
      <c r="BP111" s="392"/>
      <c r="BQ111" s="392"/>
      <c r="BR111" s="392"/>
      <c r="BS111" s="392"/>
      <c r="BT111" s="392"/>
      <c r="BU111" s="392"/>
      <c r="BV111" s="392"/>
      <c r="BW111" s="392"/>
      <c r="BX111" s="392"/>
      <c r="BY111" s="392"/>
      <c r="BZ111" s="392"/>
      <c r="CA111" s="392"/>
      <c r="CB111" s="392"/>
      <c r="CC111" s="392"/>
      <c r="CD111" s="392"/>
      <c r="CE111" s="392"/>
      <c r="CF111" s="392"/>
      <c r="CG111" s="392"/>
      <c r="CH111" s="392"/>
      <c r="CI111" s="392"/>
      <c r="CJ111" s="396">
        <f>-Wless!CJ89</f>
        <v>-195.66666666666666</v>
      </c>
      <c r="CK111" s="396">
        <f>-Wless!CK89</f>
        <v>-195.66666666666666</v>
      </c>
      <c r="CL111" s="393">
        <f>-Wless!CL89</f>
        <v>-256</v>
      </c>
      <c r="CM111" s="396">
        <f>-Wless!CM89</f>
        <v>-494</v>
      </c>
      <c r="CN111" s="396">
        <f>-Wless!CN89</f>
        <v>-291</v>
      </c>
      <c r="CO111" s="396">
        <f>-Wless!CO89</f>
        <v>-188</v>
      </c>
      <c r="CP111" s="393">
        <f>-Wless!CP89</f>
        <v>-248.77500000000001</v>
      </c>
      <c r="CQ111" s="396">
        <f>-Wless!CQ89</f>
        <v>-507.31</v>
      </c>
      <c r="CR111" s="396">
        <f>-Wless!CR89</f>
        <v>-247.95</v>
      </c>
      <c r="CS111" s="396">
        <f>-Wless!CS89</f>
        <v>-383.8</v>
      </c>
      <c r="CT111" s="393">
        <f>-Wless!CT89</f>
        <v>-379.125</v>
      </c>
      <c r="CU111" s="396">
        <f>-Wless!CU89</f>
        <v>-409.815</v>
      </c>
      <c r="CV111" s="396">
        <f>-Wless!CV89</f>
        <v>-450.94499999999999</v>
      </c>
      <c r="CW111" s="394">
        <f>-Wless!CW89</f>
        <v>-377.685</v>
      </c>
      <c r="CX111" s="396">
        <f>-Wless!CX89</f>
        <v>-461.745</v>
      </c>
      <c r="CY111" s="396">
        <f>-Wless!CY89</f>
        <v>-506.38499999999999</v>
      </c>
      <c r="CZ111" s="396">
        <f>-Wless!CZ89</f>
        <v>-536.44499999999994</v>
      </c>
      <c r="DA111" s="396">
        <f>-Wless!DA89</f>
        <v>-423.40499999999997</v>
      </c>
      <c r="DB111" s="393">
        <f>-Wless!DB89</f>
        <v>-569.83499999999992</v>
      </c>
      <c r="DC111" s="396">
        <f>-Wless!DC89</f>
        <v>-573.97500000000002</v>
      </c>
      <c r="DD111" s="396">
        <f>-Wless!DD89</f>
        <v>-611.95499999999993</v>
      </c>
      <c r="DE111" s="396">
        <f>-Wless!DE89</f>
        <v>-552.82499999999993</v>
      </c>
      <c r="DF111" s="393">
        <f>-Wless!DF89</f>
        <v>-650.83499999999992</v>
      </c>
      <c r="DG111" s="392">
        <f>-Wless!DG89</f>
        <v>-620.86500000000001</v>
      </c>
      <c r="DH111" s="392">
        <f>-Wless!DH89</f>
        <v>-618.16499999999996</v>
      </c>
      <c r="DI111" s="392">
        <f>-Wless!DI89</f>
        <v>-487.39499999999998</v>
      </c>
      <c r="DJ111" s="393">
        <f>-Wless!DJ89</f>
        <v>-695.11500000000001</v>
      </c>
      <c r="DK111" s="392">
        <f>-Wless!DK89</f>
        <v>-684.85500000000002</v>
      </c>
      <c r="DL111" s="392">
        <f>-Wless!DL89</f>
        <v>-682.33499999999992</v>
      </c>
      <c r="DM111" s="394">
        <f>-Wless!DM89</f>
        <v>-604.125</v>
      </c>
      <c r="DN111" s="393">
        <f>-Wless!DN89</f>
        <v>-701.41499999999996</v>
      </c>
      <c r="DO111" s="392">
        <f>-Wless!DO89</f>
        <v>-713.745</v>
      </c>
      <c r="DP111" s="392">
        <f>-Wless!DP89</f>
        <v>-680.44499999999994</v>
      </c>
      <c r="DQ111" s="394">
        <f>-Wless!DQ89</f>
        <v>-560.02499999999998</v>
      </c>
      <c r="DR111" s="393">
        <f>-Wless!DR89</f>
        <v>-629.05499999999995</v>
      </c>
      <c r="DS111" s="392">
        <f>-Wless!DS89</f>
        <v>-659.11500000000001</v>
      </c>
      <c r="DT111" s="392">
        <f>-Wless!DT89</f>
        <v>-676.48500000000001</v>
      </c>
      <c r="DU111" s="394">
        <f>-Wless!DU89</f>
        <v>-632.83499999999992</v>
      </c>
      <c r="DV111" s="393">
        <f>-Wless!DV89</f>
        <v>-716.625</v>
      </c>
      <c r="DW111" s="392">
        <f ca="1">-Wless!DW89</f>
        <v>-702.70152184621134</v>
      </c>
      <c r="DX111" s="392">
        <f ca="1">-Wless!DX89</f>
        <v>-718.07206067529853</v>
      </c>
      <c r="DY111" s="394">
        <f ca="1">-Wless!DY89</f>
        <v>-614.87036523468407</v>
      </c>
      <c r="DZ111" s="396"/>
    </row>
    <row r="112" spans="1:136" hidden="1">
      <c r="A112" s="426" t="s">
        <v>1422</v>
      </c>
      <c r="B112" s="392"/>
      <c r="C112" s="392"/>
      <c r="D112" s="392"/>
      <c r="E112" s="392"/>
      <c r="F112" s="392"/>
      <c r="G112" s="392"/>
      <c r="H112" s="392"/>
      <c r="I112" s="392"/>
      <c r="J112" s="392"/>
      <c r="K112" s="392"/>
      <c r="L112" s="392"/>
      <c r="M112" s="392"/>
      <c r="N112" s="392"/>
      <c r="O112" s="392"/>
      <c r="P112" s="392"/>
      <c r="Q112" s="392"/>
      <c r="R112" s="392"/>
      <c r="S112" s="392"/>
      <c r="T112" s="392"/>
      <c r="U112" s="392"/>
      <c r="V112" s="392"/>
      <c r="W112" s="392"/>
      <c r="X112" s="392"/>
      <c r="Y112" s="392"/>
      <c r="Z112" s="392"/>
      <c r="AA112" s="392"/>
      <c r="AB112" s="392"/>
      <c r="AC112" s="392"/>
      <c r="AD112" s="392"/>
      <c r="AE112" s="392"/>
      <c r="AF112" s="392"/>
      <c r="AG112" s="392"/>
      <c r="AH112" s="1405"/>
      <c r="AI112" s="392"/>
      <c r="AJ112" s="392"/>
      <c r="AK112" s="392"/>
      <c r="AL112" s="392"/>
      <c r="AM112" s="392"/>
      <c r="AN112" s="392"/>
      <c r="AO112" s="392"/>
      <c r="AP112" s="392"/>
      <c r="AQ112" s="392"/>
      <c r="AR112" s="392"/>
      <c r="AS112" s="392"/>
      <c r="AT112" s="392"/>
      <c r="AU112" s="392"/>
      <c r="AV112" s="392"/>
      <c r="AW112" s="392"/>
      <c r="AX112" s="392"/>
      <c r="AY112" s="392"/>
      <c r="AZ112" s="392"/>
      <c r="BA112" s="392"/>
      <c r="BB112" s="392"/>
      <c r="BC112" s="392"/>
      <c r="BD112" s="392"/>
      <c r="BE112" s="392"/>
      <c r="BF112" s="392"/>
      <c r="BG112" s="392"/>
      <c r="BH112" s="392"/>
      <c r="BI112" s="392"/>
      <c r="BJ112" s="392"/>
      <c r="BK112" s="392"/>
      <c r="BL112" s="392"/>
      <c r="BM112" s="392"/>
      <c r="BN112" s="392"/>
      <c r="BO112" s="392"/>
      <c r="BP112" s="392"/>
      <c r="BQ112" s="392"/>
      <c r="BR112" s="392"/>
      <c r="BS112" s="392"/>
      <c r="BT112" s="392"/>
      <c r="BU112" s="392"/>
      <c r="BV112" s="392"/>
      <c r="BW112" s="392"/>
      <c r="BX112" s="392"/>
      <c r="BY112" s="392"/>
      <c r="BZ112" s="392"/>
      <c r="CA112" s="392"/>
      <c r="CB112" s="392"/>
      <c r="CC112" s="392"/>
      <c r="CD112" s="392"/>
      <c r="CE112" s="392"/>
      <c r="CF112" s="392"/>
      <c r="CG112" s="392"/>
      <c r="CH112" s="392"/>
      <c r="CI112" s="392"/>
      <c r="CJ112" s="392"/>
      <c r="CK112" s="392"/>
      <c r="CL112" s="393"/>
      <c r="CM112" s="392"/>
      <c r="CN112" s="392"/>
      <c r="CO112" s="392"/>
      <c r="CP112" s="393"/>
      <c r="CQ112" s="392"/>
      <c r="CR112" s="392"/>
      <c r="CS112" s="392"/>
      <c r="CT112" s="393"/>
      <c r="CU112" s="392"/>
      <c r="CV112" s="392"/>
      <c r="CW112" s="394"/>
      <c r="CX112" s="392"/>
      <c r="CY112" s="392"/>
      <c r="CZ112" s="392"/>
      <c r="DA112" s="392"/>
      <c r="DB112" s="393"/>
      <c r="DC112" s="392"/>
      <c r="DD112" s="392"/>
      <c r="DE112" s="392"/>
      <c r="DF112" s="393"/>
      <c r="DG112" s="392"/>
      <c r="DH112" s="392"/>
      <c r="DI112" s="392"/>
      <c r="DJ112" s="393"/>
      <c r="DK112" s="392"/>
      <c r="DL112" s="392"/>
      <c r="DM112" s="394"/>
      <c r="DN112" s="393"/>
      <c r="DO112" s="392"/>
      <c r="DP112" s="392"/>
      <c r="DQ112" s="394"/>
      <c r="DR112" s="393"/>
      <c r="DS112" s="392"/>
      <c r="DT112" s="392"/>
      <c r="DU112" s="394"/>
      <c r="DV112" s="393"/>
      <c r="DW112" s="392"/>
      <c r="DX112" s="392"/>
      <c r="DY112" s="394"/>
      <c r="DZ112" s="392"/>
    </row>
    <row r="113" spans="1:130" hidden="1">
      <c r="A113" s="426" t="s">
        <v>1413</v>
      </c>
      <c r="B113" s="392"/>
      <c r="C113" s="392"/>
      <c r="D113" s="392"/>
      <c r="E113" s="392"/>
      <c r="F113" s="392"/>
      <c r="G113" s="392"/>
      <c r="H113" s="392"/>
      <c r="I113" s="392"/>
      <c r="J113" s="392"/>
      <c r="K113" s="392"/>
      <c r="L113" s="392"/>
      <c r="M113" s="392"/>
      <c r="N113" s="392"/>
      <c r="O113" s="392"/>
      <c r="P113" s="396">
        <f>+Wless!P83</f>
        <v>-161</v>
      </c>
      <c r="Q113" s="396">
        <f>+Wless!Q83</f>
        <v>-886</v>
      </c>
      <c r="R113" s="396">
        <f>+Wless!R83</f>
        <v>-316</v>
      </c>
      <c r="S113" s="396">
        <f>+Wless!S83</f>
        <v>-610</v>
      </c>
      <c r="T113" s="392">
        <f>+Wless!T83</f>
        <v>-442</v>
      </c>
      <c r="U113" s="392">
        <f>+Wless!U83</f>
        <v>-442</v>
      </c>
      <c r="V113" s="396">
        <f>+Wless!V83</f>
        <v>-442</v>
      </c>
      <c r="W113" s="396">
        <f>+Wless!W83</f>
        <v>-442</v>
      </c>
      <c r="X113" s="396">
        <f>+Wless!X83</f>
        <v>-442</v>
      </c>
      <c r="Y113" s="396">
        <f>+Wless!Y83</f>
        <v>-442</v>
      </c>
      <c r="Z113" s="396">
        <f>+Wless!Z83</f>
        <v>-442</v>
      </c>
      <c r="AA113" s="396">
        <f>+Wless!AA83</f>
        <v>-442</v>
      </c>
      <c r="AB113" s="396">
        <f>+Wless!AB83</f>
        <v>-442</v>
      </c>
      <c r="AC113" s="396"/>
      <c r="AD113" s="396"/>
      <c r="AE113" s="396"/>
      <c r="AF113" s="396"/>
      <c r="AG113" s="396"/>
      <c r="AH113" s="1405"/>
      <c r="AI113" s="392"/>
      <c r="AJ113" s="392"/>
      <c r="AK113" s="392"/>
      <c r="AL113" s="392"/>
      <c r="AM113" s="392"/>
      <c r="AN113" s="392"/>
      <c r="AO113" s="392"/>
      <c r="AP113" s="392"/>
      <c r="AQ113" s="392"/>
      <c r="AR113" s="392"/>
      <c r="AS113" s="392"/>
      <c r="AT113" s="392"/>
      <c r="AU113" s="392"/>
      <c r="AV113" s="392"/>
      <c r="AW113" s="392"/>
      <c r="AX113" s="392"/>
      <c r="AY113" s="392"/>
      <c r="AZ113" s="392"/>
      <c r="BA113" s="392"/>
      <c r="BB113" s="392"/>
      <c r="BC113" s="392"/>
      <c r="BD113" s="392"/>
      <c r="BE113" s="392"/>
      <c r="BF113" s="392"/>
      <c r="BG113" s="392"/>
      <c r="BH113" s="392"/>
      <c r="BI113" s="392"/>
      <c r="BJ113" s="392"/>
      <c r="BK113" s="392"/>
      <c r="BL113" s="392"/>
      <c r="BM113" s="392"/>
      <c r="BN113" s="392"/>
      <c r="BO113" s="392"/>
      <c r="BP113" s="392"/>
      <c r="BQ113" s="392"/>
      <c r="BR113" s="392"/>
      <c r="BS113" s="392"/>
      <c r="BT113" s="392"/>
      <c r="BU113" s="392"/>
      <c r="BV113" s="392"/>
      <c r="BW113" s="392"/>
      <c r="BX113" s="392"/>
      <c r="BY113" s="392"/>
      <c r="BZ113" s="392"/>
      <c r="CA113" s="392"/>
      <c r="CB113" s="392"/>
      <c r="CC113" s="392"/>
      <c r="CD113" s="392"/>
      <c r="CE113" s="392"/>
      <c r="CF113" s="392"/>
      <c r="CG113" s="392"/>
      <c r="CH113" s="392"/>
      <c r="CI113" s="392"/>
      <c r="CJ113" s="396">
        <f>+Wless!CJ83</f>
        <v>-48.666666666666664</v>
      </c>
      <c r="CK113" s="396">
        <f>+Wless!CK83</f>
        <v>-48.666666666666664</v>
      </c>
      <c r="CL113" s="393">
        <f>+Wless!CL83</f>
        <v>-234</v>
      </c>
      <c r="CM113" s="396">
        <f>+Wless!CM83</f>
        <v>-243</v>
      </c>
      <c r="CN113" s="396">
        <f>+Wless!CN83</f>
        <v>-226</v>
      </c>
      <c r="CO113" s="396">
        <f>+Wless!CO83</f>
        <v>-183</v>
      </c>
      <c r="CP113" s="393">
        <f>+Wless!CP83</f>
        <v>-79</v>
      </c>
      <c r="CQ113" s="396">
        <f>+Wless!CQ83</f>
        <v>-79</v>
      </c>
      <c r="CR113" s="396">
        <f>+Wless!CR83</f>
        <v>-79</v>
      </c>
      <c r="CS113" s="396">
        <f>+Wless!CS83</f>
        <v>-79</v>
      </c>
      <c r="CT113" s="393">
        <f>+Wless!CT83</f>
        <v>-152.5</v>
      </c>
      <c r="CU113" s="396">
        <f>+Wless!CU83</f>
        <v>-152.5</v>
      </c>
      <c r="CV113" s="396">
        <f>+Wless!CV83</f>
        <v>-152.5</v>
      </c>
      <c r="CW113" s="394">
        <f>+Wless!CW83</f>
        <v>-152.5</v>
      </c>
      <c r="CX113" s="396">
        <f>+Wless!CX83</f>
        <v>-110.5</v>
      </c>
      <c r="CY113" s="396">
        <f>+Wless!CY83</f>
        <v>-110.5</v>
      </c>
      <c r="CZ113" s="396">
        <f>+Wless!CZ83</f>
        <v>-110.5</v>
      </c>
      <c r="DA113" s="396">
        <f>+Wless!DA83</f>
        <v>-110.5</v>
      </c>
      <c r="DB113" s="393">
        <f>+Wless!DB83</f>
        <v>-110.5</v>
      </c>
      <c r="DC113" s="396">
        <f>+Wless!DC83</f>
        <v>-110.5</v>
      </c>
      <c r="DD113" s="396">
        <f>+Wless!DD83</f>
        <v>-110.5</v>
      </c>
      <c r="DE113" s="396">
        <f>+Wless!DE83</f>
        <v>-110.5</v>
      </c>
      <c r="DF113" s="393">
        <f>+Wless!DF83</f>
        <v>-110.5</v>
      </c>
      <c r="DG113" s="392">
        <f>+Wless!DG83</f>
        <v>-110.5</v>
      </c>
      <c r="DH113" s="392">
        <f>+Wless!DH83</f>
        <v>-110.5</v>
      </c>
      <c r="DI113" s="392">
        <f>+Wless!DI83</f>
        <v>-110.5</v>
      </c>
      <c r="DJ113" s="393">
        <f>+Wless!DJ83</f>
        <v>-110.5</v>
      </c>
      <c r="DK113" s="392">
        <f>+Wless!DK83</f>
        <v>-110.5</v>
      </c>
      <c r="DL113" s="392">
        <f>+Wless!DL83</f>
        <v>-110.5</v>
      </c>
      <c r="DM113" s="394">
        <f>+Wless!DM83</f>
        <v>-110.5</v>
      </c>
      <c r="DN113" s="393">
        <f>+Wless!DN83</f>
        <v>-110.5</v>
      </c>
      <c r="DO113" s="392">
        <f>+Wless!DO83</f>
        <v>-110.5</v>
      </c>
      <c r="DP113" s="392">
        <f>+Wless!DP83</f>
        <v>-110.5</v>
      </c>
      <c r="DQ113" s="394">
        <f>+Wless!DQ83</f>
        <v>-110.5</v>
      </c>
      <c r="DR113" s="393">
        <f>+Wless!DR83</f>
        <v>-110.5</v>
      </c>
      <c r="DS113" s="392">
        <f>+Wless!DS83</f>
        <v>-110.5</v>
      </c>
      <c r="DT113" s="392">
        <f>+Wless!DT83</f>
        <v>-110.5</v>
      </c>
      <c r="DU113" s="394">
        <f>+Wless!DU83</f>
        <v>-110.5</v>
      </c>
      <c r="DV113" s="393">
        <f>+Wless!DV83</f>
        <v>-110.5</v>
      </c>
      <c r="DW113" s="392">
        <f>+Wless!DW83</f>
        <v>-110.5</v>
      </c>
      <c r="DX113" s="392">
        <f>+Wless!DX83</f>
        <v>-110.5</v>
      </c>
      <c r="DY113" s="394">
        <f>+Wless!DY83</f>
        <v>-110.5</v>
      </c>
      <c r="DZ113" s="396"/>
    </row>
    <row r="114" spans="1:130" hidden="1">
      <c r="A114" s="426" t="s">
        <v>1414</v>
      </c>
      <c r="B114" s="392"/>
      <c r="C114" s="392"/>
      <c r="D114" s="392"/>
      <c r="E114" s="392"/>
      <c r="F114" s="392"/>
      <c r="G114" s="392"/>
      <c r="H114" s="392"/>
      <c r="I114" s="392"/>
      <c r="J114" s="392"/>
      <c r="K114" s="392"/>
      <c r="L114" s="392"/>
      <c r="M114" s="392"/>
      <c r="N114" s="392"/>
      <c r="O114" s="392"/>
      <c r="P114" s="396">
        <f>Wless!P84</f>
        <v>-263</v>
      </c>
      <c r="Q114" s="396">
        <f>Wless!Q84</f>
        <v>-286</v>
      </c>
      <c r="R114" s="396">
        <f>Wless!R84</f>
        <v>-295</v>
      </c>
      <c r="S114" s="396">
        <f>Wless!S84</f>
        <v>-280</v>
      </c>
      <c r="T114" s="392">
        <f>Wless!T84</f>
        <v>-304</v>
      </c>
      <c r="U114" s="392">
        <f>Wless!U84</f>
        <v>-304</v>
      </c>
      <c r="V114" s="396">
        <f>Wless!V84</f>
        <v>-304</v>
      </c>
      <c r="W114" s="396">
        <f>Wless!W84</f>
        <v>-304</v>
      </c>
      <c r="X114" s="396">
        <f>Wless!X84</f>
        <v>-304</v>
      </c>
      <c r="Y114" s="396">
        <f>Wless!Y84</f>
        <v>-304</v>
      </c>
      <c r="Z114" s="396">
        <f>Wless!Z84</f>
        <v>-304</v>
      </c>
      <c r="AA114" s="396">
        <f>Wless!AA84</f>
        <v>-304</v>
      </c>
      <c r="AB114" s="396">
        <f>Wless!AB84</f>
        <v>-304</v>
      </c>
      <c r="AC114" s="396"/>
      <c r="AD114" s="396"/>
      <c r="AE114" s="396"/>
      <c r="AF114" s="396"/>
      <c r="AG114" s="396"/>
      <c r="AH114" s="1405"/>
      <c r="AI114" s="392"/>
      <c r="AJ114" s="392"/>
      <c r="AK114" s="392"/>
      <c r="AL114" s="392"/>
      <c r="AM114" s="392"/>
      <c r="AN114" s="392"/>
      <c r="AO114" s="392"/>
      <c r="AP114" s="392"/>
      <c r="AQ114" s="392"/>
      <c r="AR114" s="392"/>
      <c r="AS114" s="392"/>
      <c r="AT114" s="392"/>
      <c r="AU114" s="392"/>
      <c r="AV114" s="392"/>
      <c r="AW114" s="392"/>
      <c r="AX114" s="392"/>
      <c r="AY114" s="392"/>
      <c r="AZ114" s="392"/>
      <c r="BA114" s="392"/>
      <c r="BB114" s="392"/>
      <c r="BC114" s="392"/>
      <c r="BD114" s="392"/>
      <c r="BE114" s="392"/>
      <c r="BF114" s="392"/>
      <c r="BG114" s="392"/>
      <c r="BH114" s="392"/>
      <c r="BI114" s="392"/>
      <c r="BJ114" s="392"/>
      <c r="BK114" s="392"/>
      <c r="BL114" s="392"/>
      <c r="BM114" s="392"/>
      <c r="BN114" s="392"/>
      <c r="BO114" s="392"/>
      <c r="BP114" s="392"/>
      <c r="BQ114" s="392"/>
      <c r="BR114" s="392"/>
      <c r="BS114" s="392"/>
      <c r="BT114" s="392"/>
      <c r="BU114" s="392"/>
      <c r="BV114" s="392"/>
      <c r="BW114" s="392"/>
      <c r="BX114" s="392"/>
      <c r="BY114" s="392"/>
      <c r="BZ114" s="392"/>
      <c r="CA114" s="392"/>
      <c r="CB114" s="392"/>
      <c r="CC114" s="392"/>
      <c r="CD114" s="392"/>
      <c r="CE114" s="392"/>
      <c r="CF114" s="392"/>
      <c r="CG114" s="392"/>
      <c r="CH114" s="392"/>
      <c r="CI114" s="392"/>
      <c r="CJ114" s="396">
        <f>Wless!CJ84</f>
        <v>-67.666666666666671</v>
      </c>
      <c r="CK114" s="396">
        <f>Wless!CK84</f>
        <v>-67.666666666666671</v>
      </c>
      <c r="CL114" s="393">
        <f>Wless!CL84</f>
        <v>-70</v>
      </c>
      <c r="CM114" s="396">
        <f>Wless!CM84</f>
        <v>-67</v>
      </c>
      <c r="CN114" s="396">
        <f>Wless!CN84</f>
        <v>-76</v>
      </c>
      <c r="CO114" s="396">
        <f>Wless!CO84</f>
        <v>-73</v>
      </c>
      <c r="CP114" s="393">
        <f>Wless!CP84</f>
        <v>-69</v>
      </c>
      <c r="CQ114" s="396">
        <f>Wless!CQ84</f>
        <v>-71</v>
      </c>
      <c r="CR114" s="396">
        <f>Wless!CR84</f>
        <v>-77</v>
      </c>
      <c r="CS114" s="396">
        <f>Wless!CS84</f>
        <v>-78</v>
      </c>
      <c r="CT114" s="393">
        <f>Wless!CT84</f>
        <v>-70</v>
      </c>
      <c r="CU114" s="396">
        <f>Wless!CU84</f>
        <v>-70</v>
      </c>
      <c r="CV114" s="396">
        <f>Wless!CV84</f>
        <v>-70</v>
      </c>
      <c r="CW114" s="394">
        <f>Wless!CW84</f>
        <v>-70</v>
      </c>
      <c r="CX114" s="396">
        <f>Wless!CX84</f>
        <v>-76</v>
      </c>
      <c r="CY114" s="396">
        <f>Wless!CY84</f>
        <v>-76</v>
      </c>
      <c r="CZ114" s="396">
        <f>Wless!CZ84</f>
        <v>-76</v>
      </c>
      <c r="DA114" s="396">
        <f>Wless!DA84</f>
        <v>-76</v>
      </c>
      <c r="DB114" s="393">
        <f>Wless!DB84</f>
        <v>-76</v>
      </c>
      <c r="DC114" s="396">
        <f>Wless!DC84</f>
        <v>-76</v>
      </c>
      <c r="DD114" s="396">
        <f>Wless!DD84</f>
        <v>-76</v>
      </c>
      <c r="DE114" s="396">
        <f>Wless!DE84</f>
        <v>-76</v>
      </c>
      <c r="DF114" s="393">
        <f>Wless!DF84</f>
        <v>-76</v>
      </c>
      <c r="DG114" s="392">
        <f>Wless!DG84</f>
        <v>-76</v>
      </c>
      <c r="DH114" s="392">
        <f>Wless!DH84</f>
        <v>-76</v>
      </c>
      <c r="DI114" s="392">
        <f>Wless!DI84</f>
        <v>-76</v>
      </c>
      <c r="DJ114" s="393">
        <f>Wless!DJ84</f>
        <v>-76</v>
      </c>
      <c r="DK114" s="392">
        <f>Wless!DK84</f>
        <v>-76</v>
      </c>
      <c r="DL114" s="392">
        <f>Wless!DL84</f>
        <v>-76</v>
      </c>
      <c r="DM114" s="394">
        <f>Wless!DM84</f>
        <v>-76</v>
      </c>
      <c r="DN114" s="393">
        <f>Wless!DN84</f>
        <v>-76</v>
      </c>
      <c r="DO114" s="392">
        <f>Wless!DO84</f>
        <v>-76</v>
      </c>
      <c r="DP114" s="392">
        <f>Wless!DP84</f>
        <v>-76</v>
      </c>
      <c r="DQ114" s="394">
        <f>Wless!DQ84</f>
        <v>-76</v>
      </c>
      <c r="DR114" s="393">
        <f>Wless!DR84</f>
        <v>-76</v>
      </c>
      <c r="DS114" s="392">
        <f>Wless!DS84</f>
        <v>-76</v>
      </c>
      <c r="DT114" s="392">
        <f>Wless!DT84</f>
        <v>-76</v>
      </c>
      <c r="DU114" s="394">
        <f>Wless!DU84</f>
        <v>-76</v>
      </c>
      <c r="DV114" s="393">
        <f>Wless!DV84</f>
        <v>-76</v>
      </c>
      <c r="DW114" s="392">
        <f>Wless!DW84</f>
        <v>-76</v>
      </c>
      <c r="DX114" s="392">
        <f>Wless!DX84</f>
        <v>-76</v>
      </c>
      <c r="DY114" s="394">
        <f>Wless!DY84</f>
        <v>-76</v>
      </c>
      <c r="DZ114" s="396"/>
    </row>
    <row r="115" spans="1:130" hidden="1">
      <c r="A115" s="427" t="s">
        <v>1416</v>
      </c>
      <c r="B115" s="392"/>
      <c r="C115" s="392"/>
      <c r="D115" s="392"/>
      <c r="E115" s="392"/>
      <c r="F115" s="392"/>
      <c r="G115" s="392"/>
      <c r="H115" s="392"/>
      <c r="I115" s="392"/>
      <c r="J115" s="392"/>
      <c r="K115" s="392"/>
      <c r="L115" s="392"/>
      <c r="M115" s="392"/>
      <c r="N115" s="392"/>
      <c r="O115" s="392"/>
      <c r="P115" s="403">
        <f t="shared" ref="P115:Z115" si="183">+SUM(P107:P114)</f>
        <v>13807</v>
      </c>
      <c r="Q115" s="403">
        <f t="shared" si="183"/>
        <v>14012</v>
      </c>
      <c r="R115" s="403">
        <f t="shared" si="183"/>
        <v>17056.165000000001</v>
      </c>
      <c r="S115" s="403">
        <f t="shared" si="183"/>
        <v>15374.43</v>
      </c>
      <c r="T115" s="402">
        <f t="shared" si="183"/>
        <v>17727.02</v>
      </c>
      <c r="U115" s="402" t="e">
        <f t="shared" si="183"/>
        <v>#REF!</v>
      </c>
      <c r="V115" s="403" t="e">
        <f t="shared" si="183"/>
        <v>#REF!</v>
      </c>
      <c r="W115" s="403" t="e">
        <f>+SUM(W107:W114)</f>
        <v>#REF!</v>
      </c>
      <c r="X115" s="403" t="e">
        <f t="shared" si="183"/>
        <v>#REF!</v>
      </c>
      <c r="Y115" s="403" t="e">
        <f t="shared" si="183"/>
        <v>#REF!</v>
      </c>
      <c r="Z115" s="403" t="e">
        <f t="shared" ca="1" si="183"/>
        <v>#REF!</v>
      </c>
      <c r="AA115" s="403" t="e">
        <f ca="1">+SUM(AA107:AA114)</f>
        <v>#REF!</v>
      </c>
      <c r="AB115" s="403" t="e">
        <f ca="1">+SUM(AB107:AB114)</f>
        <v>#REF!</v>
      </c>
      <c r="AC115" s="403"/>
      <c r="AD115" s="403"/>
      <c r="AE115" s="403"/>
      <c r="AF115" s="403"/>
      <c r="AG115" s="403"/>
      <c r="AH115" s="1405"/>
      <c r="AI115" s="392"/>
      <c r="AJ115" s="392"/>
      <c r="AK115" s="392"/>
      <c r="AL115" s="392"/>
      <c r="AM115" s="392"/>
      <c r="AN115" s="392"/>
      <c r="AO115" s="392"/>
      <c r="AP115" s="392"/>
      <c r="AQ115" s="392"/>
      <c r="AR115" s="392"/>
      <c r="AS115" s="392"/>
      <c r="AT115" s="392"/>
      <c r="AU115" s="392"/>
      <c r="AV115" s="392"/>
      <c r="AW115" s="392"/>
      <c r="AX115" s="392"/>
      <c r="AY115" s="392"/>
      <c r="AZ115" s="392"/>
      <c r="BA115" s="392"/>
      <c r="BB115" s="392"/>
      <c r="BC115" s="392"/>
      <c r="BD115" s="392"/>
      <c r="BE115" s="392"/>
      <c r="BF115" s="392"/>
      <c r="BG115" s="392"/>
      <c r="BH115" s="392"/>
      <c r="BI115" s="392"/>
      <c r="BJ115" s="392"/>
      <c r="BK115" s="392"/>
      <c r="BL115" s="392"/>
      <c r="BM115" s="392"/>
      <c r="BN115" s="392"/>
      <c r="BO115" s="392"/>
      <c r="BP115" s="392"/>
      <c r="BQ115" s="392"/>
      <c r="BR115" s="392"/>
      <c r="BS115" s="392"/>
      <c r="BT115" s="392"/>
      <c r="BU115" s="392"/>
      <c r="BV115" s="392"/>
      <c r="BW115" s="392"/>
      <c r="BX115" s="392"/>
      <c r="BY115" s="392"/>
      <c r="BZ115" s="392"/>
      <c r="CA115" s="392"/>
      <c r="CB115" s="392"/>
      <c r="CC115" s="392"/>
      <c r="CD115" s="392"/>
      <c r="CE115" s="392"/>
      <c r="CF115" s="392"/>
      <c r="CG115" s="392"/>
      <c r="CH115" s="392"/>
      <c r="CI115" s="392"/>
      <c r="CJ115" s="403">
        <f t="shared" ref="CJ115:DF115" si="184">+SUM(CJ107:CJ114)</f>
        <v>3728.0000000000005</v>
      </c>
      <c r="CK115" s="403">
        <f t="shared" si="184"/>
        <v>3827.0000000000005</v>
      </c>
      <c r="CL115" s="404">
        <f t="shared" si="184"/>
        <v>3893</v>
      </c>
      <c r="CM115" s="403">
        <f t="shared" si="184"/>
        <v>3039</v>
      </c>
      <c r="CN115" s="403">
        <f t="shared" si="184"/>
        <v>4244</v>
      </c>
      <c r="CO115" s="403">
        <f t="shared" si="184"/>
        <v>2836</v>
      </c>
      <c r="CP115" s="404">
        <f t="shared" si="184"/>
        <v>4590.2250000000004</v>
      </c>
      <c r="CQ115" s="403">
        <f t="shared" si="184"/>
        <v>4637.6899999999996</v>
      </c>
      <c r="CR115" s="403">
        <f t="shared" si="184"/>
        <v>4097.05</v>
      </c>
      <c r="CS115" s="403">
        <f t="shared" si="184"/>
        <v>3731.2</v>
      </c>
      <c r="CT115" s="404">
        <f t="shared" ca="1" si="184"/>
        <v>4360.7825778707575</v>
      </c>
      <c r="CU115" s="403">
        <f t="shared" ca="1" si="184"/>
        <v>795.82394700139457</v>
      </c>
      <c r="CV115" s="403">
        <f t="shared" si="184"/>
        <v>4499.9049999999997</v>
      </c>
      <c r="CW115" s="405">
        <f t="shared" si="184"/>
        <v>4924.3261111111115</v>
      </c>
      <c r="CX115" s="403">
        <f t="shared" si="184"/>
        <v>4484.2550000000001</v>
      </c>
      <c r="CY115" s="403">
        <f t="shared" si="184"/>
        <v>4865.6149999999998</v>
      </c>
      <c r="CZ115" s="403">
        <f t="shared" si="184"/>
        <v>5110.5550000000003</v>
      </c>
      <c r="DA115" s="403">
        <f t="shared" si="184"/>
        <v>3266.5950000000003</v>
      </c>
      <c r="DB115" s="404" t="e">
        <f t="shared" si="184"/>
        <v>#REF!</v>
      </c>
      <c r="DC115" s="403" t="e">
        <f t="shared" si="184"/>
        <v>#REF!</v>
      </c>
      <c r="DD115" s="403" t="e">
        <f t="shared" si="184"/>
        <v>#REF!</v>
      </c>
      <c r="DE115" s="403" t="e">
        <f t="shared" si="184"/>
        <v>#REF!</v>
      </c>
      <c r="DF115" s="404" t="e">
        <f t="shared" si="184"/>
        <v>#REF!</v>
      </c>
      <c r="DG115" s="402" t="e">
        <f t="shared" ref="DG115:DM115" si="185">+SUM(DG107:DG114)</f>
        <v>#REF!</v>
      </c>
      <c r="DH115" s="402" t="e">
        <f t="shared" si="185"/>
        <v>#REF!</v>
      </c>
      <c r="DI115" s="402" t="e">
        <f t="shared" si="185"/>
        <v>#REF!</v>
      </c>
      <c r="DJ115" s="404" t="e">
        <f>+SUM(DJ107:DJ114)</f>
        <v>#REF!</v>
      </c>
      <c r="DK115" s="402" t="e">
        <f>+SUM(DK107:DK114)</f>
        <v>#REF!</v>
      </c>
      <c r="DL115" s="402" t="e">
        <f>+SUM(DL107:DL114)</f>
        <v>#REF!</v>
      </c>
      <c r="DM115" s="405" t="e">
        <f t="shared" si="185"/>
        <v>#REF!</v>
      </c>
      <c r="DN115" s="404" t="e">
        <f>+SUM(DN107:DN114)</f>
        <v>#REF!</v>
      </c>
      <c r="DO115" s="402" t="e">
        <f>+SUM(DO107:DO114)</f>
        <v>#REF!</v>
      </c>
      <c r="DP115" s="402" t="e">
        <f>+SUM(DP107:DP114)</f>
        <v>#REF!</v>
      </c>
      <c r="DQ115" s="405" t="e">
        <f>+SUM(DQ107:DQ114)</f>
        <v>#REF!</v>
      </c>
      <c r="DR115" s="404" t="e">
        <f t="shared" ref="DR115:DU115" si="186">+SUM(DR107:DR114)</f>
        <v>#REF!</v>
      </c>
      <c r="DS115" s="402" t="e">
        <f t="shared" si="186"/>
        <v>#REF!</v>
      </c>
      <c r="DT115" s="402" t="e">
        <f t="shared" si="186"/>
        <v>#REF!</v>
      </c>
      <c r="DU115" s="405" t="e">
        <f t="shared" si="186"/>
        <v>#REF!</v>
      </c>
      <c r="DV115" s="404" t="e">
        <f t="shared" ref="DV115:DY115" si="187">+SUM(DV107:DV114)</f>
        <v>#REF!</v>
      </c>
      <c r="DW115" s="402" t="e">
        <f t="shared" ca="1" si="187"/>
        <v>#REF!</v>
      </c>
      <c r="DX115" s="402" t="e">
        <f t="shared" ca="1" si="187"/>
        <v>#REF!</v>
      </c>
      <c r="DY115" s="405" t="e">
        <f t="shared" ca="1" si="187"/>
        <v>#REF!</v>
      </c>
      <c r="DZ115" s="396"/>
    </row>
    <row r="116" spans="1:130" hidden="1">
      <c r="A116" s="87"/>
      <c r="B116" s="87"/>
      <c r="C116" s="87"/>
      <c r="D116" s="87"/>
      <c r="E116" s="87"/>
      <c r="F116" s="87"/>
      <c r="G116" s="87"/>
      <c r="H116" s="87"/>
      <c r="I116" s="87"/>
      <c r="J116" s="87"/>
      <c r="K116" s="87"/>
      <c r="L116" s="87"/>
      <c r="M116" s="87"/>
      <c r="N116" s="87"/>
      <c r="O116" s="87"/>
      <c r="P116" s="87"/>
      <c r="Q116" s="87"/>
      <c r="R116" s="87"/>
      <c r="S116" s="87"/>
      <c r="T116" s="1041"/>
      <c r="U116" s="1041"/>
      <c r="V116" s="87"/>
      <c r="W116" s="87"/>
      <c r="X116" s="87"/>
      <c r="Y116" s="87"/>
      <c r="Z116" s="87"/>
      <c r="AA116" s="87"/>
      <c r="AB116" s="87"/>
      <c r="AC116" s="87"/>
      <c r="AD116" s="87"/>
      <c r="AE116" s="87"/>
      <c r="AF116" s="87"/>
      <c r="AG116" s="87"/>
      <c r="AH116" s="678"/>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8"/>
      <c r="CQ116" s="87"/>
      <c r="CR116" s="87"/>
      <c r="CS116" s="87"/>
      <c r="CT116" s="87"/>
      <c r="CU116" s="87"/>
      <c r="CV116" s="87"/>
      <c r="CW116" s="144"/>
      <c r="CX116" s="87"/>
      <c r="CY116" s="87"/>
      <c r="CZ116" s="87"/>
      <c r="DA116" s="87"/>
      <c r="DB116" s="88"/>
      <c r="DC116" s="1041"/>
      <c r="DD116" s="1041"/>
      <c r="DE116" s="1041"/>
      <c r="DF116" s="88"/>
      <c r="DG116" s="1041"/>
      <c r="DH116" s="1041"/>
      <c r="DI116" s="1041"/>
      <c r="DJ116" s="88"/>
      <c r="DK116" s="1041"/>
      <c r="DL116" s="1041"/>
      <c r="DM116" s="144"/>
      <c r="DN116" s="88"/>
      <c r="DO116" s="1041"/>
      <c r="DP116" s="1041"/>
      <c r="DQ116" s="144"/>
      <c r="DR116" s="88"/>
      <c r="DS116" s="1041"/>
      <c r="DT116" s="1041"/>
      <c r="DU116" s="144"/>
      <c r="DV116" s="88"/>
      <c r="DW116" s="1041"/>
      <c r="DX116" s="1041"/>
      <c r="DY116" s="144"/>
      <c r="DZ116" s="87"/>
    </row>
    <row r="117" spans="1:130">
      <c r="U117"/>
      <c r="AB117"/>
      <c r="AC117"/>
      <c r="AD117"/>
      <c r="AE117"/>
      <c r="AF117"/>
      <c r="AG117"/>
      <c r="DG117"/>
      <c r="DH117"/>
      <c r="DI117"/>
      <c r="DJ117"/>
      <c r="DK117"/>
      <c r="DL117"/>
      <c r="DR117"/>
      <c r="DS117"/>
      <c r="DT117"/>
      <c r="DU117"/>
      <c r="DV117"/>
      <c r="DW117"/>
      <c r="DX117"/>
      <c r="DY117"/>
    </row>
    <row r="118" spans="1:130" hidden="1"/>
    <row r="119" spans="1:130" ht="15.75" hidden="1">
      <c r="A119" s="122" t="s">
        <v>1423</v>
      </c>
    </row>
    <row r="120" spans="1:130" hidden="1">
      <c r="A120" t="s">
        <v>1424</v>
      </c>
      <c r="R120" s="429">
        <f>R34-0.45*R126</f>
        <v>21890.625749999999</v>
      </c>
      <c r="S120" s="429">
        <f>S34-0.45*S126</f>
        <v>18823.656499999997</v>
      </c>
      <c r="T120" s="429">
        <f>T34-0.45*T126</f>
        <v>19523.190999999999</v>
      </c>
      <c r="U120" s="1430" t="e">
        <f>U34-0.45*U126</f>
        <v>#REF!</v>
      </c>
      <c r="V120" s="429">
        <f t="shared" ref="V120:AA120" si="188">V34</f>
        <v>30631</v>
      </c>
      <c r="W120" s="429">
        <f t="shared" si="188"/>
        <v>38930</v>
      </c>
      <c r="X120" s="429">
        <f t="shared" si="188"/>
        <v>22715</v>
      </c>
      <c r="Y120" s="429">
        <f t="shared" si="188"/>
        <v>25305</v>
      </c>
      <c r="Z120" s="429">
        <f t="shared" ca="1" si="188"/>
        <v>34024.027173677896</v>
      </c>
      <c r="AA120" s="429">
        <f t="shared" ca="1" si="188"/>
        <v>37058.782391355649</v>
      </c>
      <c r="AB120" s="429">
        <f t="shared" ref="AB120" ca="1" si="189">AB34</f>
        <v>37951.569158953622</v>
      </c>
      <c r="AC120" s="429"/>
      <c r="AD120" s="429"/>
      <c r="AE120" s="429"/>
      <c r="AF120" s="429"/>
      <c r="AG120" s="429"/>
    </row>
    <row r="121" spans="1:130" hidden="1">
      <c r="A121" t="s">
        <v>1425</v>
      </c>
      <c r="R121" s="429">
        <f>R38-0.45*R110</f>
        <v>-12660.9</v>
      </c>
      <c r="S121" s="429">
        <f>S38-0.45*S110</f>
        <v>-12206.15</v>
      </c>
      <c r="T121" s="429">
        <f>T38-0.45*T110</f>
        <v>-12189.35</v>
      </c>
      <c r="U121" s="1430">
        <f>U38-0.45*U110</f>
        <v>-12362.75</v>
      </c>
      <c r="V121" s="429">
        <f t="shared" ref="V121:AA121" si="190">V38</f>
        <v>-17191</v>
      </c>
      <c r="W121" s="429">
        <f t="shared" si="190"/>
        <v>-17775</v>
      </c>
      <c r="X121" s="429">
        <f t="shared" si="190"/>
        <v>-17059</v>
      </c>
      <c r="Y121" s="429">
        <f t="shared" si="190"/>
        <v>-17247</v>
      </c>
      <c r="Z121" s="429">
        <f t="shared" ca="1" si="190"/>
        <v>-17184.531443313364</v>
      </c>
      <c r="AA121" s="429">
        <f t="shared" ca="1" si="190"/>
        <v>-17326.654612606839</v>
      </c>
      <c r="AB121" s="429">
        <f t="shared" ref="AB121" ca="1" si="191">AB38</f>
        <v>-17539.117790711662</v>
      </c>
      <c r="AC121" s="429"/>
      <c r="AD121" s="429"/>
      <c r="AE121" s="429"/>
      <c r="AF121" s="429"/>
      <c r="AG121" s="429"/>
    </row>
    <row r="122" spans="1:130" hidden="1">
      <c r="A122" t="s">
        <v>1426</v>
      </c>
      <c r="R122" s="429">
        <f t="shared" ref="R122:Z122" si="192">R120+R121</f>
        <v>9229.7257499999996</v>
      </c>
      <c r="S122" s="429">
        <f t="shared" si="192"/>
        <v>6617.5064999999977</v>
      </c>
      <c r="T122" s="429">
        <f t="shared" si="192"/>
        <v>7333.8409999999985</v>
      </c>
      <c r="U122" s="1430" t="e">
        <f t="shared" si="192"/>
        <v>#REF!</v>
      </c>
      <c r="V122" s="429">
        <f t="shared" si="192"/>
        <v>13440</v>
      </c>
      <c r="W122" s="429">
        <f>W120+W121</f>
        <v>21155</v>
      </c>
      <c r="X122" s="429">
        <f t="shared" si="192"/>
        <v>5656</v>
      </c>
      <c r="Y122" s="429">
        <f t="shared" si="192"/>
        <v>8058</v>
      </c>
      <c r="Z122" s="429">
        <f t="shared" ca="1" si="192"/>
        <v>16839.495730364531</v>
      </c>
      <c r="AA122" s="429">
        <f ca="1">AA120+AA121</f>
        <v>19732.127778748811</v>
      </c>
      <c r="AB122" s="429">
        <f ca="1">AB120+AB121</f>
        <v>20412.45136824196</v>
      </c>
      <c r="AC122" s="429"/>
      <c r="AD122" s="429"/>
      <c r="AE122" s="429"/>
      <c r="AF122" s="429"/>
      <c r="AG122" s="429"/>
    </row>
    <row r="123" spans="1:130" hidden="1">
      <c r="A123" t="s">
        <v>1088</v>
      </c>
      <c r="R123" s="429">
        <f>-IS!R117</f>
        <v>-5441.9750000000004</v>
      </c>
      <c r="S123" s="429">
        <f>-IS!S117</f>
        <v>-5597.1500000000005</v>
      </c>
      <c r="T123" s="429">
        <f>-IS!T117</f>
        <v>-5766.1638848920866</v>
      </c>
      <c r="U123" s="1430">
        <f>-IS!U117</f>
        <v>-5933.6710996916745</v>
      </c>
      <c r="V123" s="429">
        <f t="shared" ref="V123:AA123" si="193">+V52</f>
        <v>-7803</v>
      </c>
      <c r="W123" s="429">
        <f t="shared" si="193"/>
        <v>-8538</v>
      </c>
      <c r="X123" s="429">
        <f t="shared" si="193"/>
        <v>-9262</v>
      </c>
      <c r="Y123" s="429">
        <f t="shared" si="193"/>
        <v>-9472</v>
      </c>
      <c r="Z123" s="429">
        <f t="shared" si="193"/>
        <v>-9827.5424999999996</v>
      </c>
      <c r="AA123" s="429">
        <f t="shared" si="193"/>
        <v>-10068.724999999999</v>
      </c>
      <c r="AB123" s="429">
        <f t="shared" ref="AB123" si="194">+AB52</f>
        <v>-10324.31</v>
      </c>
      <c r="AC123" s="429"/>
      <c r="AD123" s="429"/>
      <c r="AE123" s="429"/>
      <c r="AF123" s="429"/>
      <c r="AG123" s="429"/>
    </row>
    <row r="124" spans="1:130" hidden="1">
      <c r="A124" t="s">
        <v>1423</v>
      </c>
      <c r="R124" s="85">
        <f t="shared" ref="R124:Z124" si="195">-R123/R122</f>
        <v>0.58961394383793042</v>
      </c>
      <c r="S124" s="85">
        <f t="shared" si="195"/>
        <v>0.84580952054977243</v>
      </c>
      <c r="T124" s="85">
        <f t="shared" si="195"/>
        <v>0.78624064591693321</v>
      </c>
      <c r="U124" s="1431" t="e">
        <f t="shared" si="195"/>
        <v>#REF!</v>
      </c>
      <c r="V124" s="85">
        <f t="shared" si="195"/>
        <v>0.58058035714285716</v>
      </c>
      <c r="W124" s="85">
        <f>-W123/W122</f>
        <v>0.40359253131647366</v>
      </c>
      <c r="X124" s="85">
        <f t="shared" si="195"/>
        <v>1.6375530410183876</v>
      </c>
      <c r="Y124" s="85">
        <f t="shared" si="195"/>
        <v>1.1754777860511294</v>
      </c>
      <c r="Z124" s="85">
        <f t="shared" ca="1" si="195"/>
        <v>0.58360075962840363</v>
      </c>
      <c r="AA124" s="85">
        <f ca="1">-AA123/AA122</f>
        <v>0.51027061616962854</v>
      </c>
      <c r="AB124" s="85">
        <f ca="1">-AB123/AB122</f>
        <v>0.50578491596862962</v>
      </c>
      <c r="AC124" s="85"/>
      <c r="AD124" s="85"/>
      <c r="AE124" s="85"/>
      <c r="AF124" s="85"/>
      <c r="AG124" s="85"/>
    </row>
    <row r="125" spans="1:130" hidden="1"/>
    <row r="126" spans="1:130" hidden="1">
      <c r="A126" t="s">
        <v>1427</v>
      </c>
      <c r="R126" s="170">
        <f>R115-R110</f>
        <v>25494.165000000001</v>
      </c>
      <c r="S126" s="170">
        <f>S115-S110</f>
        <v>24347.43</v>
      </c>
      <c r="T126" s="170">
        <f>T115-T110</f>
        <v>26584.02</v>
      </c>
      <c r="U126" s="1425" t="e">
        <f>U115-U110</f>
        <v>#REF!</v>
      </c>
    </row>
    <row r="130" spans="20:112">
      <c r="T130" s="1802"/>
      <c r="U130" s="1804"/>
      <c r="V130" s="1802"/>
      <c r="W130" s="1802"/>
      <c r="X130" s="1805"/>
      <c r="Y130" s="1802"/>
      <c r="Z130" s="1802"/>
      <c r="AA130" s="1802"/>
      <c r="AB130" s="1802"/>
      <c r="AC130" s="1802"/>
      <c r="AD130" s="1802"/>
      <c r="AE130" s="1802"/>
      <c r="AF130" s="1802"/>
      <c r="AG130" s="1802"/>
      <c r="AH130" s="1802"/>
      <c r="AI130" s="1802"/>
      <c r="AJ130" s="1802"/>
      <c r="AK130" s="1802"/>
      <c r="AL130" s="1802"/>
      <c r="AM130" s="1802"/>
      <c r="AN130" s="1802"/>
      <c r="AO130" s="1802"/>
      <c r="AP130" s="1802"/>
      <c r="AQ130" s="1802"/>
      <c r="AR130" s="1802"/>
      <c r="AS130" s="1802"/>
      <c r="AT130" s="1802"/>
      <c r="AU130" s="1802"/>
      <c r="AV130" s="1802"/>
      <c r="AW130" s="1802"/>
      <c r="AX130" s="1802"/>
      <c r="AY130" s="1802"/>
      <c r="AZ130" s="1802"/>
      <c r="BA130" s="1802"/>
      <c r="BB130" s="1802"/>
      <c r="BC130" s="1802"/>
      <c r="BD130" s="1802"/>
      <c r="BE130" s="1802"/>
      <c r="BF130" s="1802"/>
      <c r="BG130" s="1802"/>
      <c r="BH130" s="1802"/>
      <c r="BI130" s="1802"/>
      <c r="BJ130" s="1802"/>
      <c r="BK130" s="1802"/>
      <c r="BL130" s="1802"/>
      <c r="BM130" s="1802"/>
      <c r="BN130" s="1802"/>
      <c r="BO130" s="1802"/>
      <c r="BP130" s="1802"/>
      <c r="BQ130" s="1802"/>
      <c r="BR130" s="1802"/>
      <c r="BS130" s="1802"/>
      <c r="BT130" s="1802"/>
      <c r="BU130" s="1802"/>
      <c r="BV130" s="1802"/>
      <c r="BW130" s="1802"/>
      <c r="BX130" s="1802"/>
      <c r="BY130" s="1802"/>
      <c r="BZ130" s="1802"/>
      <c r="CA130" s="1802"/>
      <c r="CB130" s="1802"/>
      <c r="CC130" s="1802"/>
      <c r="CD130" s="1802"/>
      <c r="CE130" s="1802"/>
      <c r="CF130" s="1802"/>
      <c r="CG130" s="1802"/>
      <c r="CH130" s="1802"/>
      <c r="CI130" s="1802"/>
      <c r="CJ130" s="1802"/>
      <c r="CK130" s="1802"/>
      <c r="CL130" s="1802"/>
      <c r="CM130" s="1802"/>
      <c r="CN130" s="1802"/>
      <c r="CO130" s="1802"/>
      <c r="CP130" s="1802"/>
      <c r="CQ130" s="1802"/>
      <c r="CR130" s="1802"/>
      <c r="CS130" s="1802"/>
      <c r="CT130" s="1802"/>
      <c r="CU130" s="1802"/>
      <c r="CV130" s="1802"/>
      <c r="CW130" s="1802"/>
      <c r="CX130" s="1802"/>
      <c r="CY130" s="1802"/>
      <c r="CZ130" s="1802"/>
      <c r="DA130" s="1802"/>
      <c r="DB130" s="1802"/>
      <c r="DC130" s="1802"/>
      <c r="DD130" s="1802"/>
      <c r="DE130" s="1802"/>
      <c r="DF130" s="1802"/>
      <c r="DG130" s="1803"/>
    </row>
    <row r="131" spans="20:112">
      <c r="T131" s="1802"/>
      <c r="U131" s="1804"/>
      <c r="V131" s="1802"/>
      <c r="W131" s="1802"/>
      <c r="X131" s="1805"/>
      <c r="Y131" s="1802"/>
      <c r="Z131" s="1802"/>
      <c r="AA131" s="1802"/>
      <c r="AB131" s="1802"/>
      <c r="AC131" s="1802"/>
      <c r="AD131" s="1802"/>
      <c r="AE131" s="1802"/>
      <c r="AF131" s="1802"/>
      <c r="AG131" s="1802"/>
      <c r="AH131" s="1802"/>
      <c r="AI131" s="1802"/>
      <c r="AJ131" s="1802"/>
      <c r="AK131" s="1802"/>
      <c r="AL131" s="1802"/>
      <c r="AM131" s="1802"/>
      <c r="AN131" s="1802"/>
      <c r="AO131" s="1802"/>
      <c r="AP131" s="1802"/>
      <c r="AQ131" s="1802"/>
      <c r="AR131" s="1802"/>
      <c r="AS131" s="1802"/>
      <c r="AT131" s="1802"/>
      <c r="AU131" s="1802"/>
      <c r="AV131" s="1802"/>
      <c r="AW131" s="1802"/>
      <c r="AX131" s="1802"/>
      <c r="AY131" s="1802"/>
      <c r="AZ131" s="1802"/>
      <c r="BA131" s="1802"/>
      <c r="BB131" s="1802"/>
      <c r="BC131" s="1802"/>
      <c r="BD131" s="1802"/>
      <c r="BE131" s="1802"/>
      <c r="BF131" s="1802"/>
      <c r="BG131" s="1802"/>
      <c r="BH131" s="1802"/>
      <c r="BI131" s="1802"/>
      <c r="BJ131" s="1802"/>
      <c r="BK131" s="1802"/>
      <c r="BL131" s="1802"/>
      <c r="BM131" s="1802"/>
      <c r="BN131" s="1802"/>
      <c r="BO131" s="1802"/>
      <c r="BP131" s="1802"/>
      <c r="BQ131" s="1802"/>
      <c r="BR131" s="1802"/>
      <c r="BS131" s="1802"/>
      <c r="BT131" s="1802"/>
      <c r="BU131" s="1802"/>
      <c r="BV131" s="1802"/>
      <c r="BW131" s="1802"/>
      <c r="BX131" s="1802"/>
      <c r="BY131" s="1802"/>
      <c r="BZ131" s="1802"/>
      <c r="CA131" s="1802"/>
      <c r="CB131" s="1802"/>
      <c r="CC131" s="1802"/>
      <c r="CD131" s="1802"/>
      <c r="CE131" s="1802"/>
      <c r="CF131" s="1802"/>
      <c r="CG131" s="1802"/>
      <c r="CH131" s="1802"/>
      <c r="CI131" s="1802"/>
      <c r="CJ131" s="1802"/>
      <c r="CK131" s="1802"/>
      <c r="CL131" s="1802"/>
      <c r="CM131" s="1802"/>
      <c r="CN131" s="1802"/>
      <c r="CO131" s="1802"/>
      <c r="CP131" s="1802"/>
      <c r="CQ131" s="1802"/>
      <c r="CR131" s="1802"/>
      <c r="CS131" s="1802"/>
      <c r="CT131" s="1802"/>
      <c r="CU131" s="1802"/>
      <c r="CV131" s="1802"/>
      <c r="CW131" s="1802"/>
      <c r="CX131" s="1802"/>
      <c r="CY131" s="1802"/>
      <c r="CZ131" s="1802"/>
      <c r="DA131" s="1802"/>
      <c r="DB131" s="1802"/>
      <c r="DC131" s="1802"/>
      <c r="DD131" s="1802"/>
      <c r="DE131" s="1802"/>
      <c r="DF131" s="1802"/>
      <c r="DG131" s="1803"/>
    </row>
    <row r="132" spans="20:112">
      <c r="T132" s="1802"/>
      <c r="U132" s="1804"/>
      <c r="V132" s="1802"/>
      <c r="W132" s="1802"/>
      <c r="X132" s="1805"/>
      <c r="Y132" s="1802"/>
      <c r="Z132" s="1802"/>
      <c r="AA132" s="1802"/>
      <c r="AB132" s="1802"/>
      <c r="AC132" s="1802"/>
      <c r="AD132" s="1802"/>
      <c r="AE132" s="1802"/>
      <c r="AF132" s="1802"/>
      <c r="AG132" s="1802"/>
      <c r="AH132" s="1802"/>
      <c r="AI132" s="1802"/>
      <c r="AJ132" s="1802"/>
      <c r="AK132" s="1802"/>
      <c r="AL132" s="1802"/>
      <c r="AM132" s="1802"/>
      <c r="AN132" s="1802"/>
      <c r="AO132" s="1802"/>
      <c r="AP132" s="1802"/>
      <c r="AQ132" s="1802"/>
      <c r="AR132" s="1802"/>
      <c r="AS132" s="1802"/>
      <c r="AT132" s="1802"/>
      <c r="AU132" s="1802"/>
      <c r="AV132" s="1802"/>
      <c r="AW132" s="1802"/>
      <c r="AX132" s="1802"/>
      <c r="AY132" s="1802"/>
      <c r="AZ132" s="1802"/>
      <c r="BA132" s="1802"/>
      <c r="BB132" s="1802"/>
      <c r="BC132" s="1802"/>
      <c r="BD132" s="1802"/>
      <c r="BE132" s="1802"/>
      <c r="BF132" s="1802"/>
      <c r="BG132" s="1802"/>
      <c r="BH132" s="1802"/>
      <c r="BI132" s="1802"/>
      <c r="BJ132" s="1802"/>
      <c r="BK132" s="1802"/>
      <c r="BL132" s="1802"/>
      <c r="BM132" s="1802"/>
      <c r="BN132" s="1802"/>
      <c r="BO132" s="1802"/>
      <c r="BP132" s="1802"/>
      <c r="BQ132" s="1802"/>
      <c r="BR132" s="1802"/>
      <c r="BS132" s="1802"/>
      <c r="BT132" s="1802"/>
      <c r="BU132" s="1802"/>
      <c r="BV132" s="1802"/>
      <c r="BW132" s="1802"/>
      <c r="BX132" s="1802"/>
      <c r="BY132" s="1802"/>
      <c r="BZ132" s="1802"/>
      <c r="CA132" s="1802"/>
      <c r="CB132" s="1802"/>
      <c r="CC132" s="1802"/>
      <c r="CD132" s="1802"/>
      <c r="CE132" s="1802"/>
      <c r="CF132" s="1802"/>
      <c r="CG132" s="1802"/>
      <c r="CH132" s="1802"/>
      <c r="CI132" s="1802"/>
      <c r="CJ132" s="1802"/>
      <c r="CK132" s="1802"/>
      <c r="CL132" s="1802"/>
      <c r="CM132" s="1802"/>
      <c r="CN132" s="1802"/>
      <c r="CO132" s="1802"/>
      <c r="CP132" s="1802"/>
      <c r="CQ132" s="1802"/>
      <c r="CR132" s="1802"/>
      <c r="CS132" s="1802"/>
      <c r="CT132" s="1802"/>
      <c r="CU132" s="1802"/>
      <c r="CV132" s="1802"/>
      <c r="CW132" s="1802"/>
      <c r="CX132" s="1802"/>
      <c r="CY132" s="1802"/>
      <c r="CZ132" s="1802"/>
      <c r="DA132" s="1802"/>
      <c r="DB132" s="1802"/>
      <c r="DC132" s="1802"/>
      <c r="DD132" s="1802"/>
      <c r="DE132" s="1802"/>
      <c r="DF132" s="1802"/>
      <c r="DG132" s="1803"/>
    </row>
    <row r="133" spans="20:112">
      <c r="T133" s="1802"/>
      <c r="U133" s="1803"/>
      <c r="V133" s="1802"/>
      <c r="W133" s="1802"/>
      <c r="X133" s="1805"/>
      <c r="Y133" s="1802"/>
      <c r="Z133" s="1802"/>
      <c r="AA133" s="1802"/>
      <c r="AB133" s="1802"/>
      <c r="AC133" s="1802"/>
      <c r="AD133" s="1802"/>
      <c r="AE133" s="1802"/>
      <c r="AF133" s="1802"/>
      <c r="AG133" s="1802"/>
      <c r="AH133" s="1802"/>
      <c r="AI133" s="1802"/>
      <c r="AJ133" s="1802"/>
      <c r="AK133" s="1802"/>
      <c r="AL133" s="1802"/>
      <c r="AM133" s="1802"/>
      <c r="AN133" s="1802"/>
      <c r="AO133" s="1802"/>
      <c r="AP133" s="1802"/>
      <c r="AQ133" s="1802"/>
      <c r="AR133" s="1802"/>
      <c r="AS133" s="1802"/>
      <c r="AT133" s="1802"/>
      <c r="AU133" s="1802"/>
      <c r="AV133" s="1802"/>
      <c r="AW133" s="1802"/>
      <c r="AX133" s="1802"/>
      <c r="AY133" s="1802"/>
      <c r="AZ133" s="1802"/>
      <c r="BA133" s="1802"/>
      <c r="BB133" s="1802"/>
      <c r="BC133" s="1802"/>
      <c r="BD133" s="1802"/>
      <c r="BE133" s="1802"/>
      <c r="BF133" s="1802"/>
      <c r="BG133" s="1802"/>
      <c r="BH133" s="1802"/>
      <c r="BI133" s="1802"/>
      <c r="BJ133" s="1802"/>
      <c r="BK133" s="1802"/>
      <c r="BL133" s="1802"/>
      <c r="BM133" s="1802"/>
      <c r="BN133" s="1802"/>
      <c r="BO133" s="1802"/>
      <c r="BP133" s="1802"/>
      <c r="BQ133" s="1802"/>
      <c r="BR133" s="1802"/>
      <c r="BS133" s="1802"/>
      <c r="BT133" s="1802"/>
      <c r="BU133" s="1802"/>
      <c r="BV133" s="1802"/>
      <c r="BW133" s="1802"/>
      <c r="BX133" s="1802"/>
      <c r="BY133" s="1802"/>
      <c r="BZ133" s="1802"/>
      <c r="CA133" s="1802"/>
      <c r="CB133" s="1802"/>
      <c r="CC133" s="1802"/>
      <c r="CD133" s="1802"/>
      <c r="CE133" s="1802"/>
      <c r="CF133" s="1802"/>
      <c r="CG133" s="1802"/>
      <c r="CH133" s="1802"/>
      <c r="CI133" s="1802"/>
      <c r="CJ133" s="1802"/>
      <c r="CK133" s="1802"/>
      <c r="CL133" s="1802"/>
      <c r="CM133" s="1802"/>
      <c r="CN133" s="1802"/>
      <c r="CO133" s="1802"/>
      <c r="CP133" s="1802"/>
      <c r="CQ133" s="1802"/>
      <c r="CR133" s="1802"/>
      <c r="CS133" s="1802"/>
      <c r="CT133" s="1802"/>
      <c r="CU133" s="1802"/>
      <c r="CV133" s="1802"/>
      <c r="CW133" s="1802"/>
      <c r="CX133" s="1802"/>
      <c r="CY133" s="1802"/>
      <c r="CZ133" s="1802"/>
      <c r="DA133" s="1802"/>
      <c r="DB133" s="1802"/>
      <c r="DC133" s="1802"/>
      <c r="DD133" s="1802"/>
      <c r="DE133" s="1802"/>
      <c r="DF133" s="1802"/>
      <c r="DG133" s="1803"/>
    </row>
    <row r="134" spans="20:112">
      <c r="T134" s="1802"/>
      <c r="U134" s="1803"/>
      <c r="V134" s="1802"/>
      <c r="W134" s="1802"/>
      <c r="X134" s="1805"/>
      <c r="Y134" s="1802"/>
      <c r="Z134" s="1802"/>
      <c r="AA134" s="1802"/>
      <c r="AB134" s="1802"/>
      <c r="AC134" s="1802"/>
      <c r="AD134" s="1802"/>
      <c r="AE134" s="1802"/>
      <c r="AF134" s="1802"/>
      <c r="AG134" s="1802"/>
      <c r="AH134" s="1802"/>
      <c r="AI134" s="1802"/>
      <c r="AJ134" s="1802"/>
      <c r="AK134" s="1802"/>
      <c r="AL134" s="1802"/>
      <c r="AM134" s="1802"/>
      <c r="AN134" s="1802"/>
      <c r="AO134" s="1802"/>
      <c r="AP134" s="1802"/>
      <c r="AQ134" s="1802"/>
      <c r="AR134" s="1802"/>
      <c r="AS134" s="1802"/>
      <c r="AT134" s="1802"/>
      <c r="AU134" s="1802"/>
      <c r="AV134" s="1802"/>
      <c r="AW134" s="1802"/>
      <c r="AX134" s="1802"/>
      <c r="AY134" s="1802"/>
      <c r="AZ134" s="1802"/>
      <c r="BA134" s="1802"/>
      <c r="BB134" s="1802"/>
      <c r="BC134" s="1802"/>
      <c r="BD134" s="1802"/>
      <c r="BE134" s="1802"/>
      <c r="BF134" s="1802"/>
      <c r="BG134" s="1802"/>
      <c r="BH134" s="1802"/>
      <c r="BI134" s="1802"/>
      <c r="BJ134" s="1802"/>
      <c r="BK134" s="1802"/>
      <c r="BL134" s="1802"/>
      <c r="BM134" s="1802"/>
      <c r="BN134" s="1802"/>
      <c r="BO134" s="1802"/>
      <c r="BP134" s="1802"/>
      <c r="BQ134" s="1802"/>
      <c r="BR134" s="1802"/>
      <c r="BS134" s="1802"/>
      <c r="BT134" s="1802"/>
      <c r="BU134" s="1802"/>
      <c r="BV134" s="1802"/>
      <c r="BW134" s="1802"/>
      <c r="BX134" s="1802"/>
      <c r="BY134" s="1802"/>
      <c r="BZ134" s="1802"/>
      <c r="CA134" s="1802"/>
      <c r="CB134" s="1802"/>
      <c r="CC134" s="1802"/>
      <c r="CD134" s="1802"/>
      <c r="CE134" s="1802"/>
      <c r="CF134" s="1802"/>
      <c r="CG134" s="1802"/>
      <c r="CH134" s="1802"/>
      <c r="CI134" s="1802"/>
      <c r="CJ134" s="1802"/>
      <c r="CK134" s="1802"/>
      <c r="CL134" s="1802"/>
      <c r="CM134" s="1802"/>
      <c r="CN134" s="1802"/>
      <c r="CO134" s="1802"/>
      <c r="CP134" s="1802"/>
      <c r="CQ134" s="1802"/>
      <c r="CR134" s="1802"/>
      <c r="CS134" s="1802"/>
      <c r="CT134" s="1802"/>
      <c r="CU134" s="1802"/>
      <c r="CV134" s="1802"/>
      <c r="CW134" s="1802"/>
      <c r="CX134" s="1802"/>
      <c r="CY134" s="1802"/>
      <c r="CZ134" s="1802"/>
      <c r="DA134" s="1802"/>
      <c r="DB134" s="1802"/>
      <c r="DC134" s="1802"/>
      <c r="DD134" s="1802"/>
      <c r="DE134" s="1802"/>
      <c r="DF134" s="1802"/>
      <c r="DG134" s="1803"/>
    </row>
    <row r="135" spans="20:112">
      <c r="T135" s="1802"/>
      <c r="U135" s="1803"/>
      <c r="V135" s="1802"/>
      <c r="W135" s="1802"/>
      <c r="X135" s="1802"/>
      <c r="Y135" s="1802"/>
      <c r="Z135" s="1802"/>
      <c r="AA135" s="1802"/>
      <c r="AB135" s="1802"/>
      <c r="AC135" s="1802"/>
      <c r="AD135" s="1802"/>
      <c r="AE135" s="1802"/>
      <c r="AF135" s="1802"/>
      <c r="AG135" s="1802"/>
      <c r="AH135" s="1802"/>
      <c r="AI135" s="1802"/>
      <c r="AJ135" s="1802"/>
      <c r="AK135" s="1802"/>
      <c r="AL135" s="1802"/>
      <c r="AM135" s="1802"/>
      <c r="AN135" s="1802"/>
      <c r="AO135" s="1802"/>
      <c r="AP135" s="1802"/>
      <c r="AQ135" s="1802"/>
      <c r="AR135" s="1802"/>
      <c r="AS135" s="1802"/>
      <c r="AT135" s="1802"/>
      <c r="AU135" s="1802"/>
      <c r="AV135" s="1802"/>
      <c r="AW135" s="1802"/>
      <c r="AX135" s="1802"/>
      <c r="AY135" s="1802"/>
      <c r="AZ135" s="1802"/>
      <c r="BA135" s="1802"/>
      <c r="BB135" s="1802"/>
      <c r="BC135" s="1802"/>
      <c r="BD135" s="1802"/>
      <c r="BE135" s="1802"/>
      <c r="BF135" s="1802"/>
      <c r="BG135" s="1802"/>
      <c r="BH135" s="1802"/>
      <c r="BI135" s="1802"/>
      <c r="BJ135" s="1802"/>
      <c r="BK135" s="1802"/>
      <c r="BL135" s="1802"/>
      <c r="BM135" s="1802"/>
      <c r="BN135" s="1802"/>
      <c r="BO135" s="1802"/>
      <c r="BP135" s="1802"/>
      <c r="BQ135" s="1802"/>
      <c r="BR135" s="1802"/>
      <c r="BS135" s="1802"/>
      <c r="BT135" s="1802"/>
      <c r="BU135" s="1802"/>
      <c r="BV135" s="1802"/>
      <c r="BW135" s="1802"/>
      <c r="BX135" s="1802"/>
      <c r="BY135" s="1802"/>
      <c r="BZ135" s="1802"/>
      <c r="CA135" s="1802"/>
      <c r="CB135" s="1802"/>
      <c r="CC135" s="1802"/>
      <c r="CD135" s="1802"/>
      <c r="CE135" s="1802"/>
      <c r="CF135" s="1802"/>
      <c r="CG135" s="1802"/>
      <c r="CH135" s="1802"/>
      <c r="CI135" s="1802"/>
      <c r="CJ135" s="1802"/>
      <c r="CK135" s="1802"/>
      <c r="CL135" s="1802"/>
      <c r="CM135" s="1802"/>
      <c r="CN135" s="1802"/>
      <c r="CO135" s="1802"/>
      <c r="CP135" s="1802"/>
      <c r="CQ135" s="1802"/>
      <c r="CR135" s="1802"/>
      <c r="CS135" s="1802"/>
      <c r="CT135" s="1802"/>
      <c r="CU135" s="1802"/>
      <c r="CV135" s="1802"/>
      <c r="CW135" s="1802"/>
      <c r="CX135" s="1802"/>
      <c r="CY135" s="1802"/>
      <c r="CZ135" s="1802"/>
      <c r="DA135" s="1802"/>
      <c r="DB135" s="1802"/>
      <c r="DC135" s="1802"/>
      <c r="DD135" s="1802"/>
      <c r="DE135" s="1802"/>
      <c r="DF135" s="1802"/>
      <c r="DG135" s="1802"/>
      <c r="DH135" s="1802"/>
    </row>
  </sheetData>
  <phoneticPr fontId="76" type="noConversion"/>
  <pageMargins left="0" right="0" top="0" bottom="0" header="0" footer="0"/>
  <pageSetup scale="82"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tabColor indexed="56"/>
    <pageSetUpPr fitToPage="1"/>
  </sheetPr>
  <dimension ref="A1:EF785"/>
  <sheetViews>
    <sheetView showGridLines="0" zoomScale="85" zoomScaleNormal="85" zoomScaleSheetLayoutView="85" workbookViewId="0">
      <pane xSplit="1" ySplit="7" topLeftCell="X8" activePane="bottomRight" state="frozen"/>
      <selection activeCell="W8" sqref="W8"/>
      <selection pane="topRight" activeCell="W8" sqref="W8"/>
      <selection pane="bottomLeft" activeCell="W8" sqref="W8"/>
      <selection pane="bottomRight" activeCell="X8" sqref="X8"/>
    </sheetView>
  </sheetViews>
  <sheetFormatPr defaultColWidth="8.6640625" defaultRowHeight="15" customHeight="1" outlineLevelRow="2" outlineLevelCol="1"/>
  <cols>
    <col min="1" max="1" width="24.109375" style="1903" customWidth="1"/>
    <col min="2" max="4" width="2.5546875" style="1903" hidden="1" customWidth="1" outlineLevel="1"/>
    <col min="5" max="17" width="7.44140625" style="1903" hidden="1" customWidth="1" outlineLevel="1"/>
    <col min="18" max="18" width="7.44140625" style="1903" hidden="1" customWidth="1" outlineLevel="1" collapsed="1"/>
    <col min="19" max="19" width="7.44140625" style="1903" hidden="1" customWidth="1" outlineLevel="1"/>
    <col min="20" max="23" width="7.44140625" style="1903" hidden="1" customWidth="1" outlineLevel="1" collapsed="1"/>
    <col min="24" max="24" width="7.44140625" style="1903" customWidth="1" collapsed="1"/>
    <col min="25" max="27" width="7.44140625" style="1903" customWidth="1"/>
    <col min="28" max="33" width="7.44140625" style="1903" hidden="1" customWidth="1" outlineLevel="1"/>
    <col min="34" max="34" width="2.5546875" style="1561" customWidth="1" collapsed="1"/>
    <col min="35" max="35" width="8.6640625" style="1903" customWidth="1"/>
    <col min="36" max="36" width="2.5546875" style="1561" customWidth="1"/>
    <col min="37" max="41" width="2.5546875" style="1903" hidden="1" customWidth="1" outlineLevel="1"/>
    <col min="42" max="49" width="7.44140625" style="1903" hidden="1" customWidth="1" outlineLevel="1"/>
    <col min="50" max="50" width="7.44140625" style="1903" hidden="1" customWidth="1" outlineLevel="1" collapsed="1"/>
    <col min="51" max="61" width="7.44140625" style="1903" hidden="1" customWidth="1" outlineLevel="1"/>
    <col min="62" max="62" width="7.44140625" style="1903" hidden="1" customWidth="1" outlineLevel="1" collapsed="1"/>
    <col min="63" max="65" width="7.44140625" style="1903" hidden="1" customWidth="1" outlineLevel="1"/>
    <col min="66" max="66" width="7.44140625" style="1903" hidden="1" customWidth="1" outlineLevel="1" collapsed="1"/>
    <col min="67" max="73" width="7.44140625" style="1903" hidden="1" customWidth="1" outlineLevel="1"/>
    <col min="74" max="74" width="7.44140625" style="1903" hidden="1" customWidth="1" outlineLevel="1" collapsed="1"/>
    <col min="75" max="97" width="7.44140625" style="1903" hidden="1" customWidth="1" outlineLevel="1"/>
    <col min="98" max="98" width="7.44140625" style="1903" hidden="1" customWidth="1" outlineLevel="1" collapsed="1"/>
    <col min="99" max="101" width="7.44140625" style="1903" hidden="1" customWidth="1" outlineLevel="1"/>
    <col min="102" max="102" width="7.44140625" style="1903" hidden="1" customWidth="1" outlineLevel="1" collapsed="1"/>
    <col min="103" max="105" width="7.44140625" style="1903" hidden="1" customWidth="1" outlineLevel="1"/>
    <col min="106" max="106" width="7.44140625" style="1903" hidden="1" customWidth="1" outlineLevel="1" collapsed="1"/>
    <col min="107" max="109" width="7.44140625" style="1903" hidden="1" customWidth="1" outlineLevel="1"/>
    <col min="110" max="110" width="7.44140625" style="1903" hidden="1" customWidth="1" outlineLevel="1" collapsed="1"/>
    <col min="111" max="113" width="7.44140625" style="1903" hidden="1" customWidth="1" outlineLevel="1"/>
    <col min="114" max="114" width="7.44140625" style="1903" hidden="1" customWidth="1" outlineLevel="1" collapsed="1"/>
    <col min="115" max="117" width="7.44140625" style="1903" hidden="1" customWidth="1" outlineLevel="1"/>
    <col min="118" max="118" width="7.44140625" style="1903" hidden="1" customWidth="1" outlineLevel="1" collapsed="1"/>
    <col min="119" max="121" width="7.44140625" style="1903" hidden="1" customWidth="1" outlineLevel="1"/>
    <col min="122" max="122" width="7.44140625" style="1903" customWidth="1" collapsed="1"/>
    <col min="123" max="129" width="7.44140625" style="1903" customWidth="1"/>
    <col min="130" max="130" width="11" style="1903" bestFit="1" customWidth="1"/>
    <col min="131" max="16384" width="8.6640625" style="1903"/>
  </cols>
  <sheetData>
    <row r="1" spans="1:129" s="1491" customFormat="1" ht="15" customHeight="1">
      <c r="A1" s="1068" t="s">
        <v>1111</v>
      </c>
      <c r="B1" s="1064"/>
      <c r="C1" s="1064"/>
      <c r="D1" s="1064"/>
      <c r="E1" s="1064"/>
      <c r="F1" s="1064"/>
      <c r="G1" s="1064"/>
      <c r="H1" s="1064"/>
      <c r="I1" s="1064"/>
      <c r="J1" s="1064"/>
      <c r="K1" s="1064"/>
      <c r="L1" s="1064"/>
      <c r="M1" s="1819"/>
      <c r="N1" s="1819"/>
      <c r="O1" s="1820"/>
      <c r="P1" s="1821"/>
      <c r="Q1" s="1064"/>
      <c r="R1" s="1113"/>
      <c r="S1" s="1113"/>
      <c r="T1" s="1113"/>
      <c r="U1" s="1113"/>
      <c r="V1" s="1113"/>
      <c r="W1" s="1113"/>
      <c r="X1" s="1113"/>
      <c r="Y1" s="1113"/>
      <c r="Z1" s="1113"/>
      <c r="AA1" s="1113"/>
      <c r="AB1" s="1113"/>
      <c r="AC1" s="1113"/>
      <c r="AD1" s="1113"/>
      <c r="AE1" s="1113"/>
      <c r="AF1" s="1113"/>
      <c r="AG1" s="1113"/>
      <c r="AH1" s="1074"/>
      <c r="AI1" s="1241"/>
      <c r="AJ1" s="1074"/>
      <c r="AK1" s="1113"/>
      <c r="AL1" s="1113"/>
      <c r="AM1" s="1113"/>
      <c r="AN1" s="1113"/>
      <c r="AO1" s="1113"/>
      <c r="AP1" s="1113"/>
      <c r="AQ1" s="1113"/>
      <c r="AR1" s="1113"/>
      <c r="AS1" s="1113"/>
      <c r="AT1" s="1113"/>
      <c r="AU1" s="1113"/>
      <c r="AV1" s="1113"/>
      <c r="AW1" s="1113"/>
      <c r="AX1" s="1113"/>
      <c r="AY1" s="1113"/>
      <c r="AZ1" s="1113"/>
      <c r="BA1" s="1113"/>
      <c r="BB1" s="1113"/>
      <c r="BC1" s="1113"/>
      <c r="BD1" s="1113"/>
      <c r="BE1" s="1113"/>
      <c r="BF1" s="1113"/>
      <c r="BG1" s="1113"/>
      <c r="BH1" s="1113"/>
      <c r="BI1" s="1113"/>
      <c r="BJ1" s="1113"/>
      <c r="BK1" s="1113"/>
      <c r="BL1" s="1113"/>
      <c r="BM1" s="1113"/>
      <c r="BN1" s="1113"/>
      <c r="BO1" s="1113"/>
      <c r="BP1" s="1113"/>
      <c r="BQ1" s="1113"/>
      <c r="BR1" s="1113"/>
      <c r="BS1" s="1113"/>
      <c r="BT1" s="1113"/>
      <c r="BU1" s="1113"/>
      <c r="BV1" s="1113"/>
      <c r="BW1" s="1113"/>
      <c r="BX1" s="1113"/>
      <c r="BY1" s="1113"/>
      <c r="BZ1" s="1113"/>
      <c r="CA1" s="1113"/>
      <c r="CB1" s="1113"/>
      <c r="CC1" s="1113"/>
      <c r="CD1" s="1113"/>
      <c r="CE1" s="1113"/>
      <c r="CF1" s="1113"/>
      <c r="CG1" s="1113"/>
      <c r="CH1" s="1113"/>
      <c r="CI1" s="1113"/>
      <c r="CJ1" s="1113"/>
      <c r="CK1" s="1113"/>
      <c r="CL1" s="1113"/>
      <c r="CM1" s="1113"/>
      <c r="CN1" s="1113"/>
      <c r="CO1" s="1113"/>
      <c r="CP1" s="1113"/>
      <c r="CQ1" s="1113"/>
      <c r="CR1" s="1113"/>
      <c r="CS1" s="1113"/>
      <c r="CT1" s="1113"/>
      <c r="CU1" s="1113"/>
      <c r="CV1" s="1113"/>
      <c r="CW1" s="1113"/>
      <c r="CX1" s="1113"/>
      <c r="CY1" s="1113"/>
      <c r="CZ1" s="1113"/>
      <c r="DA1" s="1113"/>
      <c r="DB1" s="1113"/>
      <c r="DC1" s="1113"/>
      <c r="DD1" s="1113"/>
      <c r="DE1" s="1113"/>
      <c r="DF1" s="126"/>
      <c r="DG1" s="126"/>
      <c r="DH1" s="126"/>
      <c r="DI1" s="126"/>
      <c r="DJ1" s="126"/>
      <c r="DK1" s="126"/>
      <c r="DL1" s="126"/>
      <c r="DM1" s="126"/>
      <c r="DN1" s="126"/>
      <c r="DO1" s="126"/>
      <c r="DP1" s="126"/>
      <c r="DQ1" s="126"/>
      <c r="DR1" s="126"/>
      <c r="DS1" s="126"/>
      <c r="DT1" s="126"/>
      <c r="DU1" s="126"/>
      <c r="DV1" s="126"/>
      <c r="DW1" s="126"/>
      <c r="DX1" s="126"/>
      <c r="DY1" s="126"/>
    </row>
    <row r="2" spans="1:129" s="1491" customFormat="1" ht="15" customHeight="1">
      <c r="A2" s="1068" t="s">
        <v>1112</v>
      </c>
      <c r="B2" s="1064"/>
      <c r="C2" s="1064"/>
      <c r="D2" s="1064"/>
      <c r="E2" s="1064"/>
      <c r="F2" s="1064"/>
      <c r="G2" s="1064"/>
      <c r="H2" s="1064"/>
      <c r="I2" s="1064"/>
      <c r="J2" s="1064"/>
      <c r="K2" s="1064"/>
      <c r="L2" s="1064"/>
      <c r="M2" s="1819"/>
      <c r="N2" s="1819"/>
      <c r="O2" s="1820"/>
      <c r="P2" s="1110"/>
      <c r="Q2" s="1113"/>
      <c r="R2" s="1068"/>
      <c r="S2" s="1068"/>
      <c r="T2" s="1113"/>
      <c r="U2" s="1113"/>
      <c r="V2" s="1822"/>
      <c r="W2" s="1113"/>
      <c r="X2" s="1113"/>
      <c r="Y2" s="1113"/>
      <c r="Z2" s="1113"/>
      <c r="AA2" s="1113"/>
      <c r="AB2" s="1113"/>
      <c r="AC2" s="1113"/>
      <c r="AD2" s="1113"/>
      <c r="AE2" s="1113"/>
      <c r="AF2" s="1113"/>
      <c r="AG2" s="1113"/>
      <c r="AH2" s="1074"/>
      <c r="AI2" s="1241"/>
      <c r="AJ2" s="1074"/>
      <c r="AK2" s="1113"/>
      <c r="AL2" s="1113"/>
      <c r="AM2" s="1113"/>
      <c r="AN2" s="1113"/>
      <c r="AO2" s="1113"/>
      <c r="AP2" s="1113"/>
      <c r="AQ2" s="1113"/>
      <c r="AR2" s="1113"/>
      <c r="AS2" s="1113"/>
      <c r="AT2" s="1113"/>
      <c r="AU2" s="1113"/>
      <c r="AV2" s="1113"/>
      <c r="AW2" s="1113"/>
      <c r="AX2" s="1113"/>
      <c r="AY2" s="1113"/>
      <c r="AZ2" s="1113"/>
      <c r="BA2" s="1113"/>
      <c r="BB2" s="1113"/>
      <c r="BC2" s="1113"/>
      <c r="BD2" s="1113"/>
      <c r="BE2" s="1113"/>
      <c r="BF2" s="1113"/>
      <c r="BG2" s="1113"/>
      <c r="BH2" s="1113"/>
      <c r="BI2" s="1113"/>
      <c r="BJ2" s="1113"/>
      <c r="BK2" s="1113"/>
      <c r="BL2" s="1113"/>
      <c r="BM2" s="1113"/>
      <c r="BN2" s="1113"/>
      <c r="BO2" s="1113"/>
      <c r="BP2" s="1113"/>
      <c r="BQ2" s="1113"/>
      <c r="BR2" s="1113"/>
      <c r="BS2" s="1113"/>
      <c r="BT2" s="1113"/>
      <c r="BU2" s="1113"/>
      <c r="BV2" s="1113"/>
      <c r="BW2" s="1113"/>
      <c r="BX2" s="1113"/>
      <c r="BY2" s="1113"/>
      <c r="BZ2" s="1113"/>
      <c r="CA2" s="1113"/>
      <c r="CB2" s="1113"/>
      <c r="CC2" s="1113"/>
      <c r="CD2" s="1113"/>
      <c r="CE2" s="1113"/>
      <c r="CF2" s="1113"/>
      <c r="CG2" s="1113"/>
      <c r="CH2" s="1823"/>
      <c r="CI2" s="1823"/>
      <c r="CJ2" s="1823"/>
      <c r="CK2" s="1823"/>
      <c r="CL2" s="1823"/>
      <c r="CM2" s="1823"/>
      <c r="CN2" s="1823"/>
      <c r="CO2" s="1823"/>
      <c r="CP2" s="1823"/>
      <c r="CQ2" s="1823"/>
      <c r="CR2" s="1823"/>
      <c r="CS2" s="1823"/>
      <c r="CT2" s="1823"/>
      <c r="CU2" s="1823"/>
      <c r="CV2" s="1823"/>
      <c r="CW2" s="1823"/>
      <c r="CX2" s="1823"/>
      <c r="CY2" s="1823"/>
      <c r="CZ2" s="1823"/>
      <c r="DA2" s="1823"/>
      <c r="DB2" s="1823"/>
      <c r="DC2" s="1823"/>
      <c r="DD2" s="1823"/>
      <c r="DE2" s="1823"/>
      <c r="DF2" s="1906"/>
      <c r="DG2" s="1906"/>
      <c r="DH2" s="1906"/>
      <c r="DI2" s="1906"/>
      <c r="DJ2" s="1113"/>
      <c r="DK2" s="1113"/>
      <c r="DL2" s="1113"/>
      <c r="DM2" s="1113"/>
      <c r="DN2" s="1113"/>
      <c r="DO2" s="1113"/>
      <c r="DP2" s="1113"/>
      <c r="DQ2" s="1113"/>
      <c r="DR2" s="1113"/>
      <c r="DS2" s="1113"/>
      <c r="DT2" s="1113"/>
      <c r="DU2" s="1113"/>
      <c r="DV2" s="1113"/>
      <c r="DW2" s="1113"/>
      <c r="DX2" s="1113"/>
      <c r="DY2" s="1113"/>
    </row>
    <row r="3" spans="1:129" s="1491" customFormat="1" ht="15" customHeight="1">
      <c r="A3" s="1064" t="s">
        <v>1113</v>
      </c>
      <c r="B3" s="1064"/>
      <c r="C3" s="1064"/>
      <c r="D3" s="1064"/>
      <c r="E3" s="1064"/>
      <c r="F3" s="1064"/>
      <c r="G3" s="1064"/>
      <c r="H3" s="1064"/>
      <c r="I3" s="1064"/>
      <c r="J3" s="1064"/>
      <c r="K3" s="1064"/>
      <c r="L3" s="1064"/>
      <c r="M3" s="1819"/>
      <c r="N3" s="1819"/>
      <c r="O3" s="1820"/>
      <c r="P3" s="1824"/>
      <c r="Q3" s="1113"/>
      <c r="R3" s="1113"/>
      <c r="S3" s="1113"/>
      <c r="T3" s="1068"/>
      <c r="U3" s="1241"/>
      <c r="V3" s="1241"/>
      <c r="W3" s="1113"/>
      <c r="X3" s="1113"/>
      <c r="Y3" s="1113"/>
      <c r="Z3" s="1113"/>
      <c r="AA3" s="1113"/>
      <c r="AB3" s="1113"/>
      <c r="AC3" s="1113"/>
      <c r="AD3" s="1113"/>
      <c r="AE3" s="1113"/>
      <c r="AF3" s="1113"/>
      <c r="AG3" s="1113"/>
      <c r="AH3" s="1074"/>
      <c r="AI3" s="1241"/>
      <c r="AJ3" s="1074"/>
      <c r="AK3" s="1113"/>
      <c r="AL3" s="1113"/>
      <c r="AM3" s="1113"/>
      <c r="AN3" s="1113"/>
      <c r="AO3" s="1113"/>
      <c r="AP3" s="1113"/>
      <c r="AQ3" s="1113"/>
      <c r="AR3" s="1113"/>
      <c r="AS3" s="1113"/>
      <c r="AT3" s="1113"/>
      <c r="AU3" s="1113"/>
      <c r="AV3" s="1113"/>
      <c r="AW3" s="1113"/>
      <c r="AX3" s="1113"/>
      <c r="AY3" s="1113"/>
      <c r="AZ3" s="1113"/>
      <c r="BA3" s="1113"/>
      <c r="BB3" s="1113"/>
      <c r="BC3" s="1113"/>
      <c r="BD3" s="1113"/>
      <c r="BE3" s="1113"/>
      <c r="BF3" s="1113"/>
      <c r="BG3" s="1113"/>
      <c r="BH3" s="1113"/>
      <c r="BI3" s="1113"/>
      <c r="BJ3" s="1113"/>
      <c r="BK3" s="1113"/>
      <c r="BL3" s="1113"/>
      <c r="BM3" s="1113"/>
      <c r="BN3" s="1113"/>
      <c r="BO3" s="1113"/>
      <c r="BP3" s="1113"/>
      <c r="BQ3" s="1113"/>
      <c r="BR3" s="1113"/>
      <c r="BS3" s="1113"/>
      <c r="BT3" s="1113"/>
      <c r="BU3" s="1113"/>
      <c r="BV3" s="1113"/>
      <c r="BW3" s="1113"/>
      <c r="BX3" s="1113"/>
      <c r="BY3" s="1113"/>
      <c r="BZ3" s="1113"/>
      <c r="CA3" s="1113"/>
      <c r="CB3" s="1113"/>
      <c r="CC3" s="1113"/>
      <c r="CD3" s="1823"/>
      <c r="CE3" s="1823"/>
      <c r="CF3" s="1823"/>
      <c r="CG3" s="1823"/>
      <c r="CH3" s="1113"/>
      <c r="CI3" s="1113"/>
      <c r="CJ3" s="1113"/>
      <c r="CK3" s="1113"/>
      <c r="CL3" s="1113"/>
      <c r="CM3" s="1113"/>
      <c r="CN3" s="1113"/>
      <c r="CO3" s="1113"/>
      <c r="CP3" s="1113"/>
      <c r="CQ3" s="1113"/>
      <c r="CR3" s="1113"/>
      <c r="CS3" s="1113"/>
      <c r="CT3" s="1113"/>
      <c r="CU3" s="1113"/>
      <c r="CV3" s="1113"/>
      <c r="CW3" s="1113"/>
      <c r="CX3" s="1113"/>
      <c r="CY3" s="1113"/>
      <c r="CZ3" s="1113"/>
      <c r="DA3" s="1113"/>
      <c r="DB3" s="1113"/>
      <c r="DC3" s="1113"/>
      <c r="DD3" s="1113"/>
      <c r="DE3" s="1113"/>
      <c r="DF3" s="1906"/>
      <c r="DG3" s="1906"/>
      <c r="DH3" s="1906"/>
      <c r="DI3" s="1906"/>
      <c r="DJ3" s="1905"/>
      <c r="DK3" s="1905"/>
      <c r="DL3" s="1905"/>
      <c r="DM3" s="1905"/>
      <c r="DN3" s="1113"/>
      <c r="DO3" s="1113"/>
      <c r="DP3" s="1113"/>
      <c r="DQ3" s="1113"/>
      <c r="DR3" s="1113"/>
      <c r="DS3" s="1113"/>
      <c r="DT3" s="1113"/>
      <c r="DU3" s="1113"/>
      <c r="DV3" s="1113"/>
      <c r="DW3" s="1113"/>
      <c r="DX3" s="1113"/>
      <c r="DY3" s="1113"/>
    </row>
    <row r="4" spans="1:129" s="1491" customFormat="1" ht="15" customHeight="1">
      <c r="A4" s="1064"/>
      <c r="B4" s="1064"/>
      <c r="C4" s="1064"/>
      <c r="D4" s="1064"/>
      <c r="E4" s="1064"/>
      <c r="F4" s="1064"/>
      <c r="G4" s="1064"/>
      <c r="H4" s="1064"/>
      <c r="I4" s="1064"/>
      <c r="J4" s="1064"/>
      <c r="K4" s="1064"/>
      <c r="L4" s="1064"/>
      <c r="M4" s="1819"/>
      <c r="N4" s="1819"/>
      <c r="O4" s="1820"/>
      <c r="P4" s="1110"/>
      <c r="Q4" s="186" t="s">
        <v>1446</v>
      </c>
      <c r="R4" s="1825"/>
      <c r="S4" s="345"/>
      <c r="T4" s="124"/>
      <c r="U4" s="1576"/>
      <c r="V4" s="1576"/>
      <c r="W4" s="1892"/>
      <c r="X4" s="1113"/>
      <c r="Y4" s="1892"/>
      <c r="Z4" s="1892"/>
      <c r="AA4" s="1892"/>
      <c r="AB4" s="1892"/>
      <c r="AC4" s="1892"/>
      <c r="AD4" s="1892"/>
      <c r="AE4" s="1892"/>
      <c r="AF4" s="1892"/>
      <c r="AG4" s="1892"/>
      <c r="AH4" s="1074"/>
      <c r="AI4" s="124"/>
      <c r="AJ4" s="107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c r="BX4" s="124"/>
      <c r="BY4" s="124"/>
      <c r="BZ4" s="124"/>
      <c r="CA4" s="124"/>
      <c r="CB4" s="124"/>
      <c r="CC4" s="124"/>
      <c r="CD4" s="124"/>
      <c r="CE4" s="124"/>
      <c r="CF4" s="124"/>
      <c r="CG4" s="124"/>
      <c r="CH4" s="124"/>
      <c r="CI4" s="124"/>
      <c r="CJ4" s="124"/>
      <c r="CK4" s="124"/>
      <c r="CL4" s="124"/>
      <c r="CM4" s="124"/>
      <c r="CN4" s="124"/>
      <c r="CO4" s="124"/>
      <c r="CP4" s="124"/>
      <c r="CQ4" s="124"/>
      <c r="CR4" s="124"/>
      <c r="CS4" s="124"/>
      <c r="CT4" s="126"/>
      <c r="CU4" s="126"/>
      <c r="CV4" s="126"/>
      <c r="CW4" s="126"/>
      <c r="CX4" s="1113"/>
      <c r="CY4" s="1113"/>
      <c r="CZ4" s="1113"/>
      <c r="DA4" s="1113"/>
      <c r="DB4" s="1113"/>
      <c r="DC4" s="1113"/>
      <c r="DD4" s="1113"/>
      <c r="DE4" s="1113"/>
      <c r="DF4" s="1241"/>
      <c r="DG4" s="1241"/>
      <c r="DH4" s="1241"/>
      <c r="DI4" s="1241"/>
      <c r="DJ4" s="1113"/>
      <c r="DK4" s="1113"/>
      <c r="DL4" s="1113"/>
      <c r="DM4" s="1113"/>
      <c r="DN4" s="1113"/>
      <c r="DO4" s="1113"/>
      <c r="DP4" s="1113"/>
      <c r="DQ4" s="1113"/>
      <c r="DR4" s="1113"/>
      <c r="DS4" s="1113"/>
      <c r="DT4" s="1113"/>
      <c r="DU4" s="1113"/>
      <c r="DV4" s="1113"/>
      <c r="DW4" s="1113"/>
      <c r="DX4" s="1113"/>
      <c r="DY4" s="1113"/>
    </row>
    <row r="5" spans="1:129" s="1491" customFormat="1" ht="24" customHeight="1">
      <c r="A5" s="570"/>
      <c r="B5" s="1494"/>
      <c r="C5" s="1494"/>
      <c r="D5" s="1073"/>
      <c r="E5" s="1073">
        <v>1997</v>
      </c>
      <c r="F5" s="1073">
        <v>1998</v>
      </c>
      <c r="G5" s="1073">
        <v>1999</v>
      </c>
      <c r="H5" s="1073">
        <v>2000</v>
      </c>
      <c r="I5" s="1073">
        <v>2001</v>
      </c>
      <c r="J5" s="1073">
        <v>2002</v>
      </c>
      <c r="K5" s="1073">
        <f>IS!K5</f>
        <v>2003</v>
      </c>
      <c r="L5" s="1073">
        <f>IS!L5</f>
        <v>2004</v>
      </c>
      <c r="M5" s="1073">
        <f>IS!M5</f>
        <v>2005</v>
      </c>
      <c r="N5" s="1073">
        <f>IS!N5</f>
        <v>2006</v>
      </c>
      <c r="O5" s="1073">
        <f>IS!O5</f>
        <v>2007</v>
      </c>
      <c r="P5" s="1073">
        <f>IS!P5</f>
        <v>2008</v>
      </c>
      <c r="Q5" s="1073">
        <f>IS!Q5</f>
        <v>2009</v>
      </c>
      <c r="R5" s="1073">
        <f>IS!R5</f>
        <v>2010</v>
      </c>
      <c r="S5" s="447">
        <f>IS!S5</f>
        <v>2011</v>
      </c>
      <c r="T5" s="1073">
        <f>IS!T5</f>
        <v>2012</v>
      </c>
      <c r="U5" s="1073">
        <f>IS!U5</f>
        <v>2013</v>
      </c>
      <c r="V5" s="1073" t="str">
        <f>IS!V5</f>
        <v>2014</v>
      </c>
      <c r="W5" s="1073" t="str">
        <f>IS!W5</f>
        <v>2015</v>
      </c>
      <c r="X5" s="1073" t="str">
        <f>IS!X5</f>
        <v>2016</v>
      </c>
      <c r="Y5" s="1073" t="str">
        <f>IS!Y5</f>
        <v>2017</v>
      </c>
      <c r="Z5" s="1073" t="str">
        <f>IS!Z5</f>
        <v>2018E</v>
      </c>
      <c r="AA5" s="1073" t="str">
        <f>IS!AA5</f>
        <v>2019E</v>
      </c>
      <c r="AB5" s="1073" t="str">
        <f>IS!AB5</f>
        <v>2020E</v>
      </c>
      <c r="AC5" s="1073" t="str">
        <f>IS!AC5</f>
        <v>2021E</v>
      </c>
      <c r="AD5" s="1073" t="str">
        <f>IS!AD5</f>
        <v>2022E</v>
      </c>
      <c r="AE5" s="1073" t="str">
        <f>IS!AE5</f>
        <v>2023E</v>
      </c>
      <c r="AF5" s="1073" t="str">
        <f>IS!AF5</f>
        <v>2024E</v>
      </c>
      <c r="AG5" s="1073" t="str">
        <f>IS!AG5</f>
        <v>2025E</v>
      </c>
      <c r="AH5" s="554"/>
      <c r="AI5" s="583" t="s">
        <v>1576</v>
      </c>
      <c r="AJ5" s="1074"/>
      <c r="AK5" s="1494"/>
      <c r="AL5" s="1494"/>
      <c r="AM5" s="1494"/>
      <c r="AN5" s="1073"/>
      <c r="AO5" s="1494"/>
      <c r="AP5" s="448" t="s">
        <v>902</v>
      </c>
      <c r="AQ5" s="1073" t="s">
        <v>903</v>
      </c>
      <c r="AR5" s="1073" t="s">
        <v>904</v>
      </c>
      <c r="AS5" s="1073" t="s">
        <v>905</v>
      </c>
      <c r="AT5" s="448" t="s">
        <v>906</v>
      </c>
      <c r="AU5" s="1073" t="s">
        <v>907</v>
      </c>
      <c r="AV5" s="1073" t="s">
        <v>908</v>
      </c>
      <c r="AW5" s="1073" t="s">
        <v>909</v>
      </c>
      <c r="AX5" s="448" t="s">
        <v>910</v>
      </c>
      <c r="AY5" s="1073" t="s">
        <v>911</v>
      </c>
      <c r="AZ5" s="1073" t="s">
        <v>912</v>
      </c>
      <c r="BA5" s="1073" t="s">
        <v>913</v>
      </c>
      <c r="BB5" s="448" t="s">
        <v>914</v>
      </c>
      <c r="BC5" s="1073" t="s">
        <v>915</v>
      </c>
      <c r="BD5" s="1073" t="s">
        <v>916</v>
      </c>
      <c r="BE5" s="1073" t="s">
        <v>917</v>
      </c>
      <c r="BF5" s="448" t="s">
        <v>918</v>
      </c>
      <c r="BG5" s="1073" t="s">
        <v>919</v>
      </c>
      <c r="BH5" s="1073" t="s">
        <v>920</v>
      </c>
      <c r="BI5" s="1073" t="s">
        <v>921</v>
      </c>
      <c r="BJ5" s="448" t="str">
        <f>IS!BG5</f>
        <v>1Q02</v>
      </c>
      <c r="BK5" s="1073" t="str">
        <f>IS!BH5</f>
        <v>2Q02</v>
      </c>
      <c r="BL5" s="1073" t="str">
        <f>IS!BI5</f>
        <v>3Q02</v>
      </c>
      <c r="BM5" s="1073" t="str">
        <f>IS!BJ5</f>
        <v>4Q02</v>
      </c>
      <c r="BN5" s="448" t="str">
        <f>IS!BK5</f>
        <v>1Q03</v>
      </c>
      <c r="BO5" s="1073" t="str">
        <f>IS!BL5</f>
        <v>2Q03</v>
      </c>
      <c r="BP5" s="1073" t="str">
        <f>IS!BM5</f>
        <v>3Q03</v>
      </c>
      <c r="BQ5" s="1073" t="str">
        <f>IS!BN5</f>
        <v>4Q03</v>
      </c>
      <c r="BR5" s="448" t="str">
        <f>IS!BO5</f>
        <v>1Q04</v>
      </c>
      <c r="BS5" s="1073" t="str">
        <f>IS!BP5</f>
        <v>2Q04</v>
      </c>
      <c r="BT5" s="1073" t="str">
        <f>IS!BQ5</f>
        <v>3Q04</v>
      </c>
      <c r="BU5" s="1073" t="str">
        <f>IS!BR5</f>
        <v>4Q04</v>
      </c>
      <c r="BV5" s="448" t="str">
        <f>IS!BS5</f>
        <v>1Q05</v>
      </c>
      <c r="BW5" s="1073" t="str">
        <f>IS!BT5</f>
        <v>2Q05</v>
      </c>
      <c r="BX5" s="1073" t="str">
        <f>IS!BU5</f>
        <v>3Q05</v>
      </c>
      <c r="BY5" s="1073" t="str">
        <f>IS!BV5</f>
        <v>4Q05</v>
      </c>
      <c r="BZ5" s="448" t="str">
        <f>IS!BW5</f>
        <v>1Q06</v>
      </c>
      <c r="CA5" s="1073" t="str">
        <f>IS!BX5</f>
        <v>2Q06</v>
      </c>
      <c r="CB5" s="1073" t="str">
        <f>IS!BY5</f>
        <v>3Q06</v>
      </c>
      <c r="CC5" s="1073" t="str">
        <f>IS!BZ5</f>
        <v>4Q06</v>
      </c>
      <c r="CD5" s="448" t="str">
        <f>IS!CA5</f>
        <v>1Q07</v>
      </c>
      <c r="CE5" s="1073" t="str">
        <f>IS!CB5</f>
        <v>2Q07</v>
      </c>
      <c r="CF5" s="1073" t="str">
        <f>IS!CC5</f>
        <v>3Q07</v>
      </c>
      <c r="CG5" s="1073" t="str">
        <f>IS!CD5</f>
        <v>4Q07</v>
      </c>
      <c r="CH5" s="448" t="str">
        <f>IS!CE5</f>
        <v>1Q08</v>
      </c>
      <c r="CI5" s="1073" t="str">
        <f>IS!CF5</f>
        <v>2Q08</v>
      </c>
      <c r="CJ5" s="1073" t="str">
        <f>IS!CG5</f>
        <v>3Q08</v>
      </c>
      <c r="CK5" s="1073" t="str">
        <f>IS!CH5</f>
        <v>4Q08</v>
      </c>
      <c r="CL5" s="448" t="str">
        <f>IS!CI5</f>
        <v>1Q09</v>
      </c>
      <c r="CM5" s="1073" t="str">
        <f>IS!CJ5</f>
        <v>2Q09</v>
      </c>
      <c r="CN5" s="1073" t="str">
        <f>IS!CK5</f>
        <v>3Q09</v>
      </c>
      <c r="CO5" s="1073" t="str">
        <f>IS!CL5</f>
        <v>4Q09</v>
      </c>
      <c r="CP5" s="448" t="str">
        <f>IS!CM5</f>
        <v>1Q10</v>
      </c>
      <c r="CQ5" s="1073" t="str">
        <f>IS!CN5</f>
        <v>2Q10</v>
      </c>
      <c r="CR5" s="1073" t="str">
        <f>IS!CO5</f>
        <v>3Q10</v>
      </c>
      <c r="CS5" s="1073" t="str">
        <f>IS!CP5</f>
        <v>4Q10</v>
      </c>
      <c r="CT5" s="448" t="str">
        <f>IS!CQ5</f>
        <v>1Q11</v>
      </c>
      <c r="CU5" s="1073" t="str">
        <f>IS!CR5</f>
        <v>2Q11</v>
      </c>
      <c r="CV5" s="1073" t="str">
        <f>IS!CS5</f>
        <v>3Q11</v>
      </c>
      <c r="CW5" s="1073" t="str">
        <f>IS!CT5</f>
        <v>4Q11</v>
      </c>
      <c r="CX5" s="448" t="str">
        <f>IS!CU5</f>
        <v>1Q12</v>
      </c>
      <c r="CY5" s="1826" t="str">
        <f>IS!CV5</f>
        <v>2Q12</v>
      </c>
      <c r="CZ5" s="1826" t="str">
        <f>IS!CW5</f>
        <v>3Q12</v>
      </c>
      <c r="DA5" s="1826" t="str">
        <f>IS!CX5</f>
        <v>4Q12</v>
      </c>
      <c r="DB5" s="1827" t="str">
        <f>IS!CY5</f>
        <v>1Q13</v>
      </c>
      <c r="DC5" s="1827" t="str">
        <f>IS!CZ5</f>
        <v>2Q13</v>
      </c>
      <c r="DD5" s="1827" t="str">
        <f>IS!DA5</f>
        <v>3Q13</v>
      </c>
      <c r="DE5" s="1827" t="str">
        <f>IS!DB5</f>
        <v>4Q13</v>
      </c>
      <c r="DF5" s="1827" t="str">
        <f>IS!DC5</f>
        <v>1Q14</v>
      </c>
      <c r="DG5" s="1826" t="str">
        <f>IS!DD5</f>
        <v>2Q14</v>
      </c>
      <c r="DH5" s="1826" t="str">
        <f>IS!DE5</f>
        <v>3Q14</v>
      </c>
      <c r="DI5" s="1828" t="str">
        <f>IS!DF5</f>
        <v>4Q14</v>
      </c>
      <c r="DJ5" s="1827" t="str">
        <f>IS!DG5</f>
        <v>1Q15</v>
      </c>
      <c r="DK5" s="1826" t="str">
        <f>IS!DH5</f>
        <v>2Q15</v>
      </c>
      <c r="DL5" s="1826" t="str">
        <f>IS!DI5</f>
        <v>3Q15</v>
      </c>
      <c r="DM5" s="1826" t="str">
        <f>IS!DJ5</f>
        <v>4Q15</v>
      </c>
      <c r="DN5" s="1826" t="str">
        <f>IS!DK5</f>
        <v>1Q16</v>
      </c>
      <c r="DO5" s="1826" t="str">
        <f>IS!DL5</f>
        <v>2Q16</v>
      </c>
      <c r="DP5" s="1826" t="str">
        <f>IS!DM5</f>
        <v>3Q16</v>
      </c>
      <c r="DQ5" s="1826" t="str">
        <f>IS!DN5</f>
        <v>4Q16</v>
      </c>
      <c r="DR5" s="1826" t="str">
        <f>IS!DO5</f>
        <v>1Q17</v>
      </c>
      <c r="DS5" s="1826" t="str">
        <f>IS!DP5</f>
        <v>2Q17</v>
      </c>
      <c r="DT5" s="1826" t="str">
        <f>IS!DQ5</f>
        <v>3Q17</v>
      </c>
      <c r="DU5" s="1826" t="str">
        <f>IS!DR5</f>
        <v>4Q17</v>
      </c>
      <c r="DV5" s="1826" t="str">
        <f>IS!DS5</f>
        <v>1Q18</v>
      </c>
      <c r="DW5" s="1826" t="str">
        <f>IS!DT5</f>
        <v>2Q18E</v>
      </c>
      <c r="DX5" s="1826" t="str">
        <f>IS!DU5</f>
        <v>3Q18E</v>
      </c>
      <c r="DY5" s="1826" t="str">
        <f>IS!DV5</f>
        <v>4Q18E</v>
      </c>
    </row>
    <row r="6" spans="1:129" s="1491" customFormat="1" ht="15" hidden="1" customHeight="1" outlineLevel="1">
      <c r="A6" s="584" t="s">
        <v>1535</v>
      </c>
      <c r="B6" s="1088"/>
      <c r="C6" s="1088"/>
      <c r="D6" s="1088"/>
      <c r="E6" s="1088"/>
      <c r="F6" s="1036"/>
      <c r="G6" s="1036"/>
      <c r="H6" s="1036"/>
      <c r="I6" s="1036"/>
      <c r="J6" s="1036">
        <f>IS!J6</f>
        <v>3.06</v>
      </c>
      <c r="K6" s="1036">
        <f>IS!K6</f>
        <v>2.59</v>
      </c>
      <c r="L6" s="1036">
        <f>IS!L6</f>
        <v>2.4900000000000002</v>
      </c>
      <c r="M6" s="1036">
        <f>IS!M6</f>
        <v>1</v>
      </c>
      <c r="N6" s="1036">
        <f>IS!N6</f>
        <v>2.61</v>
      </c>
      <c r="O6" s="1036">
        <f>IS!O6</f>
        <v>2.3866533099135196</v>
      </c>
      <c r="P6" s="1036">
        <f>IS!P6</f>
        <v>2.538231328484017</v>
      </c>
      <c r="Q6" s="1036">
        <f>IS!Q6</f>
        <v>1.9136349876803944</v>
      </c>
      <c r="R6" s="1036">
        <f>IS!R6</f>
        <v>2.0773481954809991</v>
      </c>
      <c r="S6" s="1036">
        <f>IS!S6</f>
        <v>2.1540899052696991</v>
      </c>
      <c r="T6" s="1036">
        <f>IS!T6</f>
        <v>2.2251970649895183</v>
      </c>
      <c r="U6" s="1036">
        <f>IS!U6</f>
        <v>2.8220215727209466</v>
      </c>
      <c r="V6" s="1036">
        <f>IS!V6</f>
        <v>3.4132820851600503</v>
      </c>
      <c r="W6" s="1036">
        <f>IS!W6</f>
        <v>3.4502992549163305</v>
      </c>
      <c r="X6" s="1036">
        <f>IS!X6</f>
        <v>3.7416043566052744</v>
      </c>
      <c r="Y6" s="1036">
        <f>IS!Y6</f>
        <v>3.7374602397846832</v>
      </c>
      <c r="Z6" s="1036">
        <f ca="1">IS!Z6</f>
        <v>4.5447318949672786</v>
      </c>
      <c r="AA6" s="1036">
        <f ca="1">IS!AA6</f>
        <v>4.7340805279717273</v>
      </c>
      <c r="AB6" s="1036">
        <f ca="1">IS!AB6</f>
        <v>4.949467505016357</v>
      </c>
      <c r="AC6" s="1036">
        <f ca="1">IS!AC6</f>
        <v>5.1589882052989253</v>
      </c>
      <c r="AD6" s="1036">
        <f ca="1">IS!AD6</f>
        <v>5.3885502047206435</v>
      </c>
      <c r="AE6" s="1036">
        <f ca="1">IS!AE6</f>
        <v>5.6328247202620876</v>
      </c>
      <c r="AF6" s="1036">
        <f ca="1">IS!AF6</f>
        <v>5.8930980122776537</v>
      </c>
      <c r="AG6" s="1036">
        <f ca="1">IS!AG6</f>
        <v>6.1637765370324633</v>
      </c>
      <c r="AH6" s="554"/>
      <c r="AI6" s="1471"/>
      <c r="AJ6" s="1074"/>
      <c r="AK6" s="1472"/>
      <c r="AL6" s="1472"/>
      <c r="AM6" s="1472"/>
      <c r="AN6" s="1472"/>
      <c r="AO6" s="1472"/>
      <c r="AP6" s="131"/>
      <c r="AQ6" s="1036"/>
      <c r="AR6" s="1036"/>
      <c r="AS6" s="1036"/>
      <c r="AT6" s="131"/>
      <c r="AU6" s="1036"/>
      <c r="AV6" s="1036"/>
      <c r="AW6" s="1036"/>
      <c r="AX6" s="131"/>
      <c r="AY6" s="1036"/>
      <c r="AZ6" s="1036"/>
      <c r="BA6" s="1036"/>
      <c r="BB6" s="131"/>
      <c r="BC6" s="1036"/>
      <c r="BD6" s="1036"/>
      <c r="BE6" s="1036"/>
      <c r="BF6" s="131"/>
      <c r="BG6" s="1036"/>
      <c r="BH6" s="1036"/>
      <c r="BI6" s="1036"/>
      <c r="BJ6" s="131"/>
      <c r="BK6" s="1036"/>
      <c r="BL6" s="1036"/>
      <c r="BM6" s="1036"/>
      <c r="BN6" s="131"/>
      <c r="BO6" s="1036"/>
      <c r="BP6" s="1036"/>
      <c r="BQ6" s="1036"/>
      <c r="BR6" s="131">
        <f>IS!BO6</f>
        <v>0.57428872497365646</v>
      </c>
      <c r="BS6" s="1036">
        <f>IS!BP6</f>
        <v>0.63161609033168664</v>
      </c>
      <c r="BT6" s="1036">
        <f>IS!BQ6</f>
        <v>0.64290780141843973</v>
      </c>
      <c r="BU6" s="1036">
        <f>IS!BR6</f>
        <v>0.6415161176053843</v>
      </c>
      <c r="BV6" s="131">
        <f>IS!BS6</f>
        <v>0.60262318326834452</v>
      </c>
      <c r="BW6" s="1036">
        <f>IS!BT6</f>
        <v>0.61653068463994321</v>
      </c>
      <c r="BX6" s="1036">
        <f>IS!BU6</f>
        <v>0.6340078097266596</v>
      </c>
      <c r="BY6" s="1036">
        <f>IS!BV6</f>
        <v>0.61079545454545459</v>
      </c>
      <c r="BZ6" s="131">
        <f>IS!BW6</f>
        <v>0.67530600364649018</v>
      </c>
      <c r="CA6" s="1036">
        <f>IS!BX6</f>
        <v>0.63953882672092233</v>
      </c>
      <c r="CB6" s="1036">
        <f>IS!BY6</f>
        <v>0.68114950393431406</v>
      </c>
      <c r="CC6" s="1036">
        <f>IS!BZ6</f>
        <v>0.61870503597122306</v>
      </c>
      <c r="CD6" s="131">
        <f>IS!CA6</f>
        <v>0.55994503607007906</v>
      </c>
      <c r="CE6" s="1036">
        <f>IS!CB6</f>
        <v>0.58479532163742687</v>
      </c>
      <c r="CF6" s="1036">
        <f>IS!CC6</f>
        <v>0.62551724137931031</v>
      </c>
      <c r="CG6" s="1036">
        <f>IS!CD6</f>
        <v>0.61639571082670352</v>
      </c>
      <c r="CH6" s="131">
        <f>IS!CE6</f>
        <v>0.60767888307155327</v>
      </c>
      <c r="CI6" s="1036">
        <f>IS!CF6</f>
        <v>0.66783584707120314</v>
      </c>
      <c r="CJ6" s="1036">
        <f>IS!CG6</f>
        <v>0.65553602811950795</v>
      </c>
      <c r="CK6" s="1036">
        <f>IS!CH6</f>
        <v>0.60718057022175287</v>
      </c>
      <c r="CL6" s="131">
        <f>IS!CI6</f>
        <v>0.47437486800422379</v>
      </c>
      <c r="CM6" s="1036">
        <f>IS!CJ6</f>
        <v>0.51500422386483635</v>
      </c>
      <c r="CN6" s="1036">
        <f>IS!CK6</f>
        <v>0.48104963041182691</v>
      </c>
      <c r="CO6" s="1036">
        <f>IS!CL6</f>
        <v>0.44320626539950719</v>
      </c>
      <c r="CP6" s="131">
        <f>IS!CM6</f>
        <v>0.47732157968970379</v>
      </c>
      <c r="CQ6" s="1036">
        <f>IS!CN6</f>
        <v>0.51364803678811444</v>
      </c>
      <c r="CR6" s="1036">
        <f>IS!CO6</f>
        <v>0.54674690703428763</v>
      </c>
      <c r="CS6" s="1036">
        <f>IS!CP6</f>
        <v>0.53963167196889361</v>
      </c>
      <c r="CT6" s="131">
        <f>IS!CQ6</f>
        <v>0.50918727915194351</v>
      </c>
      <c r="CU6" s="1036">
        <f>IS!CR6</f>
        <v>0.5692090395480226</v>
      </c>
      <c r="CV6" s="1036">
        <f>IS!CS6</f>
        <v>0.55881792519407203</v>
      </c>
      <c r="CW6" s="1036">
        <f>IS!CT6</f>
        <v>0.51687566137566132</v>
      </c>
      <c r="CX6" s="131">
        <f>IS!CU6</f>
        <v>0.59301860301860299</v>
      </c>
      <c r="CY6" s="1036">
        <f>IS!CV6</f>
        <v>0.63033939818054585</v>
      </c>
      <c r="CZ6" s="1036">
        <f>IS!CW6</f>
        <v>0.6364312630844382</v>
      </c>
      <c r="DA6" s="1036">
        <f>IS!CX6</f>
        <v>0.37228581411600281</v>
      </c>
      <c r="DB6" s="131">
        <f>IS!CY6</f>
        <v>0.67757660167130918</v>
      </c>
      <c r="DC6" s="1036">
        <f>IS!CZ6</f>
        <v>0.72865250696378836</v>
      </c>
      <c r="DD6" s="1036">
        <f>IS!DA6</f>
        <v>0.76658315935977728</v>
      </c>
      <c r="DE6" s="1036">
        <f>IS!DB6</f>
        <v>0.64996173913043476</v>
      </c>
      <c r="DF6" s="131">
        <f>IS!DC6</f>
        <v>0.91084337349397593</v>
      </c>
      <c r="DG6" s="1036">
        <f>IS!DD6</f>
        <v>0.90769564170479167</v>
      </c>
      <c r="DH6" s="1036">
        <f>IS!DE6</f>
        <v>0.88843471988458766</v>
      </c>
      <c r="DI6" s="132">
        <f>IS!DF6</f>
        <v>0.71300938176569639</v>
      </c>
      <c r="DJ6" s="131">
        <f>IS!DG6</f>
        <v>0.88910458626546951</v>
      </c>
      <c r="DK6" s="1036">
        <f>IS!DH6</f>
        <v>0.90183598531211751</v>
      </c>
      <c r="DL6" s="1036">
        <f>IS!DI6</f>
        <v>0.91012770137524557</v>
      </c>
      <c r="DM6" s="1036">
        <f>IS!DJ6</f>
        <v>0.7531305201177626</v>
      </c>
      <c r="DN6" s="132">
        <f>IS!DK6</f>
        <v>0.93005140758873939</v>
      </c>
      <c r="DO6" s="132">
        <f>IS!DL6</f>
        <v>0.94394124847001226</v>
      </c>
      <c r="DP6" s="132">
        <f>IS!DM6</f>
        <v>1.0088105726872247</v>
      </c>
      <c r="DQ6" s="132">
        <f>IS!DN6</f>
        <v>0.85882065084413994</v>
      </c>
      <c r="DR6" s="132">
        <f>IS!DO6</f>
        <v>0.94519207242476144</v>
      </c>
      <c r="DS6" s="132">
        <f>IS!DP6</f>
        <v>0.95639392454679084</v>
      </c>
      <c r="DT6" s="132">
        <f>IS!DQ6</f>
        <v>0.97676693568109563</v>
      </c>
      <c r="DU6" s="132">
        <f>IS!DR6</f>
        <v>0.85916870415647917</v>
      </c>
      <c r="DV6" s="132">
        <f>IS!DS6</f>
        <v>1.1714146579011444</v>
      </c>
      <c r="DW6" s="132">
        <f ca="1">IS!DT6</f>
        <v>1.1606189746252034</v>
      </c>
      <c r="DX6" s="132">
        <f ca="1">IS!DU6</f>
        <v>1.2111746666504053</v>
      </c>
      <c r="DY6" s="132">
        <f ca="1">IS!DV6</f>
        <v>1.0018026868648913</v>
      </c>
    </row>
    <row r="7" spans="1:129" s="1491" customFormat="1" ht="15" hidden="1" customHeight="1" outlineLevel="1">
      <c r="A7" s="1481" t="s">
        <v>1213</v>
      </c>
      <c r="B7" s="1473"/>
      <c r="C7" s="1473"/>
      <c r="D7" s="1271"/>
      <c r="E7" s="1271"/>
      <c r="F7" s="1474"/>
      <c r="G7" s="1474"/>
      <c r="H7" s="1474"/>
      <c r="I7" s="1474"/>
      <c r="J7" s="1474">
        <f>IS!J7</f>
        <v>1.9999999999999796E-2</v>
      </c>
      <c r="K7" s="1474">
        <f>IS!K7</f>
        <v>-0.15359477124182996</v>
      </c>
      <c r="L7" s="1474">
        <f>IS!L7</f>
        <v>-3.8610038610038422E-2</v>
      </c>
      <c r="M7" s="1474">
        <f>IS!M7</f>
        <v>-0.59839357429718887</v>
      </c>
      <c r="N7" s="1474">
        <f>IS!N7</f>
        <v>1.6099999999999999</v>
      </c>
      <c r="O7" s="1474">
        <f>IS!O7</f>
        <v>-8.5573444477578642E-2</v>
      </c>
      <c r="P7" s="1474">
        <f>IS!P7</f>
        <v>6.3510698408052235E-2</v>
      </c>
      <c r="Q7" s="1474" t="str">
        <f>IS!Q7</f>
        <v>na</v>
      </c>
      <c r="R7" s="1474">
        <f>IS!R7</f>
        <v>8.5550906444832986E-2</v>
      </c>
      <c r="S7" s="1474">
        <f>IS!S7</f>
        <v>3.6942150553114672E-2</v>
      </c>
      <c r="T7" s="1474">
        <f>IS!T7</f>
        <v>3.3010302655364976E-2</v>
      </c>
      <c r="U7" s="1474">
        <f>IS!U7</f>
        <v>0.26821197866996083</v>
      </c>
      <c r="V7" s="1474">
        <f>IS!V7</f>
        <v>0.20951665223062776</v>
      </c>
      <c r="W7" s="1474">
        <f>IS!W7</f>
        <v>1.0845036780645856E-2</v>
      </c>
      <c r="X7" s="1474">
        <f>IS!X7</f>
        <v>8.4428937946140037E-2</v>
      </c>
      <c r="Y7" s="1474">
        <f>IS!Y7</f>
        <v>-1.1075775056962334E-3</v>
      </c>
      <c r="Z7" s="1474">
        <f ca="1">IS!Z7</f>
        <v>0.21599471389402725</v>
      </c>
      <c r="AA7" s="1474">
        <f ca="1">IS!AA7</f>
        <v>4.1663323025529442E-2</v>
      </c>
      <c r="AB7" s="1474">
        <f ca="1">IS!AB7</f>
        <v>4.5497108841304534E-2</v>
      </c>
      <c r="AC7" s="1474">
        <f ca="1">IS!AC7</f>
        <v>4.2331968049131863E-2</v>
      </c>
      <c r="AD7" s="1474">
        <f ca="1">IS!AD7</f>
        <v>4.4497484833543322E-2</v>
      </c>
      <c r="AE7" s="1474">
        <f ca="1">IS!AE7</f>
        <v>4.5332140605732318E-2</v>
      </c>
      <c r="AF7" s="1474">
        <f ca="1">IS!AF7</f>
        <v>4.6206531348175206E-2</v>
      </c>
      <c r="AG7" s="1474">
        <f ca="1">IS!AG7</f>
        <v>4.5931447973693862E-2</v>
      </c>
      <c r="AH7" s="554"/>
      <c r="AI7" s="1471"/>
      <c r="AJ7" s="1074"/>
      <c r="AK7" s="1473"/>
      <c r="AL7" s="1473"/>
      <c r="AM7" s="1473"/>
      <c r="AN7" s="1473"/>
      <c r="AO7" s="1473"/>
      <c r="AP7" s="648"/>
      <c r="AQ7" s="1271"/>
      <c r="AR7" s="1271"/>
      <c r="AS7" s="1271"/>
      <c r="AT7" s="648"/>
      <c r="AU7" s="1271"/>
      <c r="AV7" s="1271"/>
      <c r="AW7" s="1271"/>
      <c r="AX7" s="648"/>
      <c r="AY7" s="1271"/>
      <c r="AZ7" s="1271"/>
      <c r="BA7" s="1271"/>
      <c r="BB7" s="648"/>
      <c r="BC7" s="1271"/>
      <c r="BD7" s="1271"/>
      <c r="BE7" s="1271"/>
      <c r="BF7" s="648"/>
      <c r="BG7" s="1271"/>
      <c r="BH7" s="1271"/>
      <c r="BI7" s="1271"/>
      <c r="BJ7" s="1829"/>
      <c r="BK7" s="1474"/>
      <c r="BL7" s="1474"/>
      <c r="BM7" s="1474"/>
      <c r="BN7" s="1829"/>
      <c r="BO7" s="1474"/>
      <c r="BP7" s="1474"/>
      <c r="BQ7" s="1474"/>
      <c r="BR7" s="1829">
        <f>IS!BO7</f>
        <v>-0.15545775739168177</v>
      </c>
      <c r="BS7" s="1474">
        <f>IS!BP7</f>
        <v>-5.7289417415393173E-2</v>
      </c>
      <c r="BT7" s="1474">
        <f>IS!BQ7</f>
        <v>3.6948066803935031E-2</v>
      </c>
      <c r="BU7" s="1474">
        <f>IS!BR7</f>
        <v>0.1254668729919024</v>
      </c>
      <c r="BV7" s="1829">
        <f>IS!BS7</f>
        <v>4.9338350314970691E-2</v>
      </c>
      <c r="BW7" s="1474">
        <f>IS!BT7</f>
        <v>-2.3883821078436229E-2</v>
      </c>
      <c r="BX7" s="1474">
        <f>IS!BU7</f>
        <v>-1.3843340634760004E-2</v>
      </c>
      <c r="BY7" s="1474">
        <f>IS!BV7</f>
        <v>-4.7887593494302383E-2</v>
      </c>
      <c r="BZ7" s="1829">
        <f>IS!BW7</f>
        <v>0.12061072722749944</v>
      </c>
      <c r="CA7" s="1474">
        <f>IS!BX7</f>
        <v>3.731872987703122E-2</v>
      </c>
      <c r="CB7" s="1474">
        <f>IS!BY7</f>
        <v>7.4355068635477473E-2</v>
      </c>
      <c r="CC7" s="1474">
        <f>IS!BZ7</f>
        <v>1.2949640287769792E-2</v>
      </c>
      <c r="CD7" s="1829">
        <f>IS!CA7</f>
        <v>-0.17082769433929157</v>
      </c>
      <c r="CE7" s="1474">
        <f>IS!CB7</f>
        <v>-8.5598407471488946E-2</v>
      </c>
      <c r="CF7" s="1474">
        <f>IS!CC7</f>
        <v>-8.1674085107120042E-2</v>
      </c>
      <c r="CG7" s="1474">
        <f>IS!CD7</f>
        <v>-3.732513896374634E-3</v>
      </c>
      <c r="CH7" s="1829">
        <f>IS!CE7</f>
        <v>8.5247379522264577E-2</v>
      </c>
      <c r="CI7" s="1474">
        <f>IS!CF7</f>
        <v>0.14199929849175752</v>
      </c>
      <c r="CJ7" s="1474">
        <f>IS!CG7</f>
        <v>4.7990342638684291E-2</v>
      </c>
      <c r="CK7" s="1474">
        <f>IS!CH7</f>
        <v>-1.4950040117234775E-2</v>
      </c>
      <c r="CL7" s="1829" t="str">
        <f>IS!CI7</f>
        <v>na</v>
      </c>
      <c r="CM7" s="1474" t="str">
        <f>IS!CJ7</f>
        <v>na</v>
      </c>
      <c r="CN7" s="1474" t="str">
        <f>IS!CK7</f>
        <v>na</v>
      </c>
      <c r="CO7" s="1474" t="str">
        <f>IS!CL7</f>
        <v>na</v>
      </c>
      <c r="CP7" s="1829">
        <f>IS!CM7</f>
        <v>6.2117786675279785E-3</v>
      </c>
      <c r="CQ7" s="1474">
        <f>IS!CN7</f>
        <v>-2.6333513666051411E-3</v>
      </c>
      <c r="CR7" s="1474">
        <f>IS!CO7</f>
        <v>0.13657068308360865</v>
      </c>
      <c r="CS7" s="1474">
        <f>IS!CP7</f>
        <v>0.21756327492904082</v>
      </c>
      <c r="CT7" s="1829">
        <f>IS!CQ7</f>
        <v>6.6759394123674154E-2</v>
      </c>
      <c r="CU7" s="1474">
        <f>IS!CR7</f>
        <v>0.10816940546942599</v>
      </c>
      <c r="CV7" s="1474">
        <f>IS!CS7</f>
        <v>2.2077890161758873E-2</v>
      </c>
      <c r="CW7" s="1474">
        <f>IS!CT7</f>
        <v>-4.2169523723848523E-2</v>
      </c>
      <c r="CX7" s="1829">
        <f>IS!CU7</f>
        <v>0.16463750627525764</v>
      </c>
      <c r="CY7" s="1474">
        <f>IS!CV7</f>
        <v>0.10739527025267104</v>
      </c>
      <c r="CZ7" s="1474">
        <f>IS!CW7</f>
        <v>0.13888841855495571</v>
      </c>
      <c r="DA7" s="1474">
        <f>IS!CX7</f>
        <v>-0.27973816154321052</v>
      </c>
      <c r="DB7" s="1829">
        <f>IS!CY7</f>
        <v>0.14258911646664418</v>
      </c>
      <c r="DC7" s="1474">
        <f>IS!CZ7</f>
        <v>0.15596852912418302</v>
      </c>
      <c r="DD7" s="1474">
        <f>IS!DA7</f>
        <v>0.20450267581853732</v>
      </c>
      <c r="DE7" s="1474">
        <f>IS!DB7</f>
        <v>0.74586759550260284</v>
      </c>
      <c r="DF7" s="1829">
        <f>IS!DC7</f>
        <v>0.34426627372800556</v>
      </c>
      <c r="DG7" s="1474">
        <f>IS!DD7</f>
        <v>0.24571813454269931</v>
      </c>
      <c r="DH7" s="1474">
        <f>IS!DE7</f>
        <v>0.15895413176905215</v>
      </c>
      <c r="DI7" s="1475">
        <f>IS!DF7</f>
        <v>9.7002083106632275E-2</v>
      </c>
      <c r="DJ7" s="1829">
        <f>IS!DG7</f>
        <v>-2.3866657936058577E-2</v>
      </c>
      <c r="DK7" s="1474">
        <f>IS!DH7</f>
        <v>-6.4555299413675549E-3</v>
      </c>
      <c r="DL7" s="1474">
        <f>IS!DI7</f>
        <v>2.4417079842935285E-2</v>
      </c>
      <c r="DM7" s="1474">
        <f>IS!DJ7</f>
        <v>5.6270140867866525E-2</v>
      </c>
      <c r="DN7" s="1475">
        <f>IS!DK7</f>
        <v>4.6053998546177644E-2</v>
      </c>
      <c r="DO7" s="1475">
        <f>IS!DL7</f>
        <v>4.6688382193268207E-2</v>
      </c>
      <c r="DP7" s="1475">
        <f>IS!DM7</f>
        <v>0.1084274999682624</v>
      </c>
      <c r="DQ7" s="1475">
        <f>IS!DN7</f>
        <v>0.14033441469063179</v>
      </c>
      <c r="DR7" s="1475">
        <f>IS!DO7</f>
        <v>1.6279384894729576E-2</v>
      </c>
      <c r="DS7" s="1475">
        <f>IS!DP7</f>
        <v>1.3192215190259482E-2</v>
      </c>
      <c r="DT7" s="1475">
        <f>IS!DQ7</f>
        <v>-3.1763779914372514E-2</v>
      </c>
      <c r="DU7" s="1475">
        <f>IS!DR7</f>
        <v>4.0526891382630659E-4</v>
      </c>
      <c r="DV7" s="1475">
        <f>IS!DS7</f>
        <v>0.23934033311984915</v>
      </c>
      <c r="DW7" s="1475">
        <f ca="1">IS!DT7</f>
        <v>0.2135365405789138</v>
      </c>
      <c r="DX7" s="1475">
        <f ca="1">IS!DU7</f>
        <v>0.23998327790022711</v>
      </c>
      <c r="DY7" s="1475">
        <f ca="1">IS!DV7</f>
        <v>0.16601394117171475</v>
      </c>
    </row>
    <row r="8" spans="1:129" s="1491" customFormat="1" ht="15" customHeight="1" collapsed="1">
      <c r="A8" s="198" t="s">
        <v>946</v>
      </c>
      <c r="B8" s="1048"/>
      <c r="C8" s="1048"/>
      <c r="D8" s="1048"/>
      <c r="E8" s="1048"/>
      <c r="F8" s="1048"/>
      <c r="G8" s="1476"/>
      <c r="H8" s="1476"/>
      <c r="I8" s="1476"/>
      <c r="J8" s="1476"/>
      <c r="K8" s="1476"/>
      <c r="L8" s="1476"/>
      <c r="M8" s="1476"/>
      <c r="N8" s="1476"/>
      <c r="O8" s="1476"/>
      <c r="P8" s="1476"/>
      <c r="Q8" s="1476"/>
      <c r="R8" s="1476"/>
      <c r="S8" s="1476"/>
      <c r="T8" s="1476"/>
      <c r="U8" s="1476"/>
      <c r="V8" s="1476"/>
      <c r="W8" s="1476"/>
      <c r="X8" s="1476"/>
      <c r="Y8" s="1476"/>
      <c r="Z8" s="1476"/>
      <c r="AA8" s="1476"/>
      <c r="AB8" s="1476"/>
      <c r="AC8" s="1476"/>
      <c r="AD8" s="1476"/>
      <c r="AE8" s="1476"/>
      <c r="AF8" s="1476"/>
      <c r="AG8" s="1476"/>
      <c r="AH8" s="554"/>
      <c r="AI8" s="1478"/>
      <c r="AJ8" s="1074"/>
      <c r="AK8" s="1476"/>
      <c r="AL8" s="1476"/>
      <c r="AM8" s="1476"/>
      <c r="AN8" s="1476"/>
      <c r="AO8" s="1476"/>
      <c r="AP8" s="798"/>
      <c r="AQ8" s="1476"/>
      <c r="AR8" s="1476"/>
      <c r="AS8" s="1476"/>
      <c r="AT8" s="798"/>
      <c r="AU8" s="1476"/>
      <c r="AV8" s="1476"/>
      <c r="AW8" s="1476"/>
      <c r="AX8" s="798"/>
      <c r="AY8" s="1476"/>
      <c r="AZ8" s="1476"/>
      <c r="BA8" s="1476"/>
      <c r="BB8" s="798"/>
      <c r="BC8" s="1476"/>
      <c r="BD8" s="1476"/>
      <c r="BE8" s="1476"/>
      <c r="BF8" s="798"/>
      <c r="BG8" s="1476"/>
      <c r="BH8" s="1476"/>
      <c r="BI8" s="1476"/>
      <c r="BJ8" s="798"/>
      <c r="BK8" s="1476"/>
      <c r="BL8" s="1476"/>
      <c r="BM8" s="1476"/>
      <c r="BN8" s="798"/>
      <c r="BO8" s="1476"/>
      <c r="BP8" s="1476"/>
      <c r="BQ8" s="1476"/>
      <c r="BR8" s="798"/>
      <c r="BS8" s="1476"/>
      <c r="BT8" s="1476"/>
      <c r="BU8" s="1476"/>
      <c r="BV8" s="798"/>
      <c r="BW8" s="1476"/>
      <c r="BX8" s="1476"/>
      <c r="BY8" s="1476"/>
      <c r="BZ8" s="798"/>
      <c r="CA8" s="1476"/>
      <c r="CB8" s="1476"/>
      <c r="CC8" s="1476"/>
      <c r="CD8" s="798"/>
      <c r="CE8" s="1476"/>
      <c r="CF8" s="1476"/>
      <c r="CG8" s="1476"/>
      <c r="CH8" s="798"/>
      <c r="CI8" s="1476"/>
      <c r="CJ8" s="1476"/>
      <c r="CK8" s="1476"/>
      <c r="CL8" s="798"/>
      <c r="CM8" s="1476"/>
      <c r="CN8" s="1476"/>
      <c r="CO8" s="1476"/>
      <c r="CP8" s="798"/>
      <c r="CQ8" s="1476"/>
      <c r="CR8" s="1476"/>
      <c r="CS8" s="1476"/>
      <c r="CT8" s="798"/>
      <c r="CU8" s="1476"/>
      <c r="CV8" s="1476"/>
      <c r="CW8" s="1476"/>
      <c r="CX8" s="798"/>
      <c r="CY8" s="1476"/>
      <c r="CZ8" s="1476"/>
      <c r="DA8" s="1476"/>
      <c r="DB8" s="798"/>
      <c r="DC8" s="1476"/>
      <c r="DD8" s="1476"/>
      <c r="DE8" s="1476"/>
      <c r="DF8" s="798"/>
      <c r="DG8" s="1476"/>
      <c r="DH8" s="1476"/>
      <c r="DI8" s="1477"/>
      <c r="DJ8" s="798"/>
      <c r="DK8" s="1476"/>
      <c r="DL8" s="1476"/>
      <c r="DM8" s="1476"/>
      <c r="DN8" s="1476"/>
      <c r="DO8" s="1476"/>
      <c r="DP8" s="1476"/>
      <c r="DQ8" s="1477"/>
      <c r="DR8" s="1476"/>
      <c r="DS8" s="1476"/>
      <c r="DT8" s="1476"/>
      <c r="DU8" s="1477"/>
      <c r="DV8" s="1476"/>
      <c r="DW8" s="1476"/>
      <c r="DX8" s="1476"/>
      <c r="DY8" s="1477"/>
    </row>
    <row r="9" spans="1:129" s="1491" customFormat="1">
      <c r="A9" s="1933"/>
      <c r="B9" s="1903"/>
      <c r="C9" s="1903"/>
      <c r="D9" s="2200"/>
      <c r="E9" s="2200"/>
      <c r="F9" s="2200"/>
      <c r="G9" s="2200"/>
      <c r="H9" s="2200"/>
      <c r="I9" s="2200"/>
      <c r="J9" s="2200"/>
      <c r="K9" s="2200"/>
      <c r="L9" s="2200"/>
      <c r="M9" s="2200"/>
      <c r="N9" s="2200"/>
      <c r="O9" s="1903"/>
      <c r="P9" s="1903"/>
      <c r="Q9" s="1903"/>
      <c r="R9" s="1903"/>
      <c r="S9" s="1903"/>
      <c r="T9" s="1903"/>
      <c r="U9" s="1903"/>
      <c r="V9" s="1903"/>
      <c r="W9" s="1903"/>
      <c r="X9" s="1903"/>
      <c r="Y9" s="1903"/>
      <c r="Z9" s="1903"/>
      <c r="AA9" s="1903"/>
      <c r="AB9" s="1903"/>
      <c r="AC9" s="1903"/>
      <c r="AD9" s="1903"/>
      <c r="AE9" s="1903"/>
      <c r="AF9" s="1903"/>
      <c r="AG9" s="1903"/>
      <c r="AH9" s="2201"/>
      <c r="AI9" s="1927"/>
      <c r="AJ9" s="1561"/>
      <c r="AK9" s="2200"/>
      <c r="AL9" s="2200"/>
      <c r="AM9" s="2200"/>
      <c r="AN9" s="2200"/>
      <c r="AO9" s="2200"/>
      <c r="AP9" s="2202"/>
      <c r="AQ9" s="2200"/>
      <c r="AR9" s="2200"/>
      <c r="AS9" s="2200"/>
      <c r="AT9" s="2202"/>
      <c r="AU9" s="2200"/>
      <c r="AV9" s="2200"/>
      <c r="AW9" s="2200"/>
      <c r="AX9" s="2202"/>
      <c r="AY9" s="2200"/>
      <c r="AZ9" s="2200"/>
      <c r="BA9" s="2200"/>
      <c r="BB9" s="2202"/>
      <c r="BC9" s="2200"/>
      <c r="BD9" s="2200"/>
      <c r="BE9" s="2200"/>
      <c r="BF9" s="2202"/>
      <c r="BG9" s="2200"/>
      <c r="BH9" s="2200"/>
      <c r="BI9" s="2200"/>
      <c r="BJ9" s="2202"/>
      <c r="BK9" s="2200"/>
      <c r="BL9" s="2200"/>
      <c r="BM9" s="2200"/>
      <c r="BN9" s="2202"/>
      <c r="BO9" s="2200"/>
      <c r="BP9" s="2200"/>
      <c r="BQ9" s="2200"/>
      <c r="BR9" s="2202"/>
      <c r="BS9" s="2200"/>
      <c r="BT9" s="2200"/>
      <c r="BU9" s="2200"/>
      <c r="BV9" s="2202"/>
      <c r="BW9" s="2200"/>
      <c r="BX9" s="2200"/>
      <c r="BY9" s="2200"/>
      <c r="BZ9" s="1942"/>
      <c r="CA9" s="1903"/>
      <c r="CB9" s="1903"/>
      <c r="CC9" s="1903"/>
      <c r="CD9" s="1942"/>
      <c r="CE9" s="1903"/>
      <c r="CF9" s="1903"/>
      <c r="CG9" s="1903"/>
      <c r="CH9" s="2202"/>
      <c r="CI9" s="2200"/>
      <c r="CJ9" s="2200"/>
      <c r="CK9" s="2200"/>
      <c r="CL9" s="2202"/>
      <c r="CM9" s="2200"/>
      <c r="CN9" s="2200"/>
      <c r="CO9" s="2200"/>
      <c r="CP9" s="2202"/>
      <c r="CQ9" s="2200"/>
      <c r="CR9" s="2200"/>
      <c r="CS9" s="2200"/>
      <c r="CT9" s="2202"/>
      <c r="CU9" s="2200"/>
      <c r="CV9" s="2200"/>
      <c r="CW9" s="2200"/>
      <c r="CX9" s="2202"/>
      <c r="CY9" s="2200"/>
      <c r="CZ9" s="2200"/>
      <c r="DA9" s="2200"/>
      <c r="DB9" s="2202"/>
      <c r="DC9" s="2200"/>
      <c r="DD9" s="2200"/>
      <c r="DE9" s="2200"/>
      <c r="DF9" s="2202"/>
      <c r="DG9" s="2200"/>
      <c r="DH9" s="2200"/>
      <c r="DI9" s="2203"/>
      <c r="DJ9" s="2202"/>
      <c r="DK9" s="2200"/>
      <c r="DL9" s="2200"/>
      <c r="DM9" s="2203"/>
      <c r="DN9" s="2200"/>
      <c r="DO9" s="2200"/>
      <c r="DP9" s="2200"/>
      <c r="DQ9" s="2203"/>
      <c r="DR9" s="2200"/>
      <c r="DS9" s="2200"/>
      <c r="DT9" s="2200"/>
      <c r="DU9" s="2203"/>
      <c r="DV9" s="2200"/>
      <c r="DW9" s="2200"/>
      <c r="DX9" s="2200"/>
      <c r="DY9" s="2203"/>
    </row>
    <row r="10" spans="1:129" s="1491" customFormat="1" hidden="1" outlineLevel="1">
      <c r="A10" s="2204" t="s">
        <v>1447</v>
      </c>
      <c r="B10" s="2205"/>
      <c r="C10" s="2205"/>
      <c r="D10" s="1992"/>
      <c r="E10" s="1992">
        <f>NormInputs!E248</f>
        <v>5238</v>
      </c>
      <c r="F10" s="1992">
        <f>NormInputs!F248</f>
        <v>5675</v>
      </c>
      <c r="G10" s="1992">
        <f>SUM(AX10:BA10)</f>
        <v>12171</v>
      </c>
      <c r="H10" s="1992">
        <f>SUM(BB10:BE10)</f>
        <v>14181</v>
      </c>
      <c r="I10" s="1992">
        <f>SUM(BF10:BI10)</f>
        <v>16011</v>
      </c>
      <c r="J10" s="1992">
        <f>SUM(BJ10:BM10)</f>
        <v>17747</v>
      </c>
      <c r="K10" s="1992">
        <f>K301</f>
        <v>20336</v>
      </c>
      <c r="L10" s="1992">
        <f>L301</f>
        <v>24400</v>
      </c>
      <c r="M10" s="1992">
        <f>M301</f>
        <v>28131</v>
      </c>
      <c r="N10" s="1992">
        <f>N301</f>
        <v>38625.822</v>
      </c>
      <c r="O10" s="1992">
        <f>O301</f>
        <v>44800.31</v>
      </c>
      <c r="P10" s="1992">
        <f>+SUM(CH10:CK10)</f>
        <v>42635</v>
      </c>
      <c r="Q10" s="1992">
        <f>+SUM(CL10:CO10)</f>
        <v>52046</v>
      </c>
      <c r="R10" s="1992"/>
      <c r="S10" s="1992"/>
      <c r="T10" s="1992"/>
      <c r="U10" s="1992"/>
      <c r="V10" s="1992"/>
      <c r="W10" s="1992"/>
      <c r="X10" s="1992"/>
      <c r="Y10" s="1992"/>
      <c r="Z10" s="1992"/>
      <c r="AA10" s="1992"/>
      <c r="AB10" s="1992"/>
      <c r="AC10" s="1992"/>
      <c r="AD10" s="1992"/>
      <c r="AE10" s="1992"/>
      <c r="AF10" s="1992"/>
      <c r="AG10" s="1992"/>
      <c r="AH10" s="2201"/>
      <c r="AI10" s="1977"/>
      <c r="AJ10" s="1561"/>
      <c r="AK10" s="1992"/>
      <c r="AL10" s="1992"/>
      <c r="AM10" s="1903"/>
      <c r="AN10" s="2205"/>
      <c r="AO10" s="1992"/>
      <c r="AP10" s="1993">
        <f>NormInputs!AF248</f>
        <v>1232</v>
      </c>
      <c r="AQ10" s="1992">
        <f>NormInputs!AG248</f>
        <v>1328</v>
      </c>
      <c r="AR10" s="1992">
        <f>NormInputs!AH248</f>
        <v>1333</v>
      </c>
      <c r="AS10" s="1992">
        <f>NormInputs!AI248</f>
        <v>1345</v>
      </c>
      <c r="AT10" s="1993">
        <f>NormInputs!AJ248</f>
        <v>1333</v>
      </c>
      <c r="AU10" s="1992">
        <f>NormInputs!AK248</f>
        <v>1417</v>
      </c>
      <c r="AV10" s="1992">
        <f>NormInputs!AL248</f>
        <v>1459</v>
      </c>
      <c r="AW10" s="1992">
        <f>NormInputs!AM248</f>
        <v>1466</v>
      </c>
      <c r="AX10" s="1993">
        <f>NormInputs!AN248</f>
        <v>2839</v>
      </c>
      <c r="AY10" s="1992">
        <f>NormInputs!AO248</f>
        <v>3062</v>
      </c>
      <c r="AZ10" s="1992">
        <f>NormInputs!AP248</f>
        <v>3142</v>
      </c>
      <c r="BA10" s="1992">
        <f>NormInputs!AQ248</f>
        <v>3128</v>
      </c>
      <c r="BB10" s="1993">
        <f>NormInputs!AR248</f>
        <v>3130</v>
      </c>
      <c r="BC10" s="1992">
        <f>NormInputs!AS248</f>
        <v>3626</v>
      </c>
      <c r="BD10" s="1992">
        <f>NormInputs!AT248</f>
        <v>3695</v>
      </c>
      <c r="BE10" s="1992">
        <f>NormInputs!AU248</f>
        <v>3730</v>
      </c>
      <c r="BF10" s="1993">
        <f>NormInputs!AV248</f>
        <v>3731</v>
      </c>
      <c r="BG10" s="1992">
        <f>NormInputs!AW248</f>
        <v>4066</v>
      </c>
      <c r="BH10" s="1992">
        <f>NormInputs!AX248</f>
        <v>4183</v>
      </c>
      <c r="BI10" s="1992">
        <f>NormInputs!AY248</f>
        <v>4031</v>
      </c>
      <c r="BJ10" s="1993">
        <f>NormInputs!AZ248</f>
        <v>4052</v>
      </c>
      <c r="BK10" s="1992">
        <f>NormInputs!BA248</f>
        <v>4369</v>
      </c>
      <c r="BL10" s="1992">
        <f>NormInputs!BB248</f>
        <v>4613</v>
      </c>
      <c r="BM10" s="1992">
        <f>NormInputs!BC248</f>
        <v>4713</v>
      </c>
      <c r="BN10" s="1993">
        <f>NormInputs!BD248</f>
        <v>4660</v>
      </c>
      <c r="BO10" s="1992">
        <f>NormInputs!BE248</f>
        <v>5011</v>
      </c>
      <c r="BP10" s="1992">
        <f>NormInputs!BF248</f>
        <v>5299</v>
      </c>
      <c r="BQ10" s="1992">
        <f>NormInputs!BG248</f>
        <v>5366</v>
      </c>
      <c r="BR10" s="1993">
        <f>NormInputs!BH248</f>
        <v>5501</v>
      </c>
      <c r="BS10" s="1992">
        <f>NormInputs!BI248</f>
        <v>6043</v>
      </c>
      <c r="BT10" s="1992">
        <f>NormInputs!BJ248</f>
        <v>6389</v>
      </c>
      <c r="BU10" s="1992">
        <f>NormInputs!BK248</f>
        <v>6467</v>
      </c>
      <c r="BV10" s="1993">
        <f>NormInputs!BL248</f>
        <v>6557</v>
      </c>
      <c r="BW10" s="1992">
        <f>NormInputs!BM248</f>
        <v>6874</v>
      </c>
      <c r="BX10" s="1992">
        <f>NormInputs!BN248</f>
        <v>7270</v>
      </c>
      <c r="BY10" s="1992">
        <f>NormInputs!BO248</f>
        <v>7430</v>
      </c>
      <c r="BZ10" s="1993">
        <f>NormInputs!BP248</f>
        <v>7609</v>
      </c>
      <c r="CA10" s="1992">
        <f>NormInputs!BQ248</f>
        <v>8036</v>
      </c>
      <c r="CB10" s="1992">
        <f>NormInputs!BR248</f>
        <v>8469</v>
      </c>
      <c r="CC10" s="1992">
        <f>NormInputs!BS248</f>
        <v>8682</v>
      </c>
      <c r="CD10" s="1993">
        <f>NormInputs!BT248</f>
        <v>8991</v>
      </c>
      <c r="CE10" s="1992">
        <f>NormInputs!BU248</f>
        <v>9402</v>
      </c>
      <c r="CF10" s="1992">
        <f>NormInputs!BV248</f>
        <v>9749</v>
      </c>
      <c r="CG10" s="1992">
        <f>NormInputs!BW248</f>
        <v>9874</v>
      </c>
      <c r="CH10" s="1993">
        <f>NormInputs!BX248</f>
        <v>10145</v>
      </c>
      <c r="CI10" s="1992">
        <f>NormInputs!BY248</f>
        <v>10492</v>
      </c>
      <c r="CJ10" s="1992">
        <f>NormInputs!BZ248</f>
        <v>10935</v>
      </c>
      <c r="CK10" s="1992">
        <f>NormInputs!CA248</f>
        <v>11063</v>
      </c>
      <c r="CL10" s="1993">
        <f>+NormInputs!CB257</f>
        <v>12725</v>
      </c>
      <c r="CM10" s="1992">
        <f>+NormInputs!CC257</f>
        <v>12989</v>
      </c>
      <c r="CN10" s="1992">
        <f>+NormInputs!CD257</f>
        <v>13149</v>
      </c>
      <c r="CO10" s="1992">
        <f>+NormInputs!CE257</f>
        <v>13183</v>
      </c>
      <c r="CP10" s="1993">
        <f>+NormInputs!CF257</f>
        <v>13466</v>
      </c>
      <c r="CQ10" s="1992">
        <f>+NormInputs!CG257</f>
        <v>13802</v>
      </c>
      <c r="CR10" s="1992"/>
      <c r="CS10" s="1992"/>
      <c r="CT10" s="1993"/>
      <c r="CU10" s="1992"/>
      <c r="CV10" s="1992"/>
      <c r="CW10" s="1992"/>
      <c r="CX10" s="1993"/>
      <c r="CY10" s="1992"/>
      <c r="CZ10" s="1992"/>
      <c r="DA10" s="1992"/>
      <c r="DB10" s="1993"/>
      <c r="DC10" s="1992"/>
      <c r="DD10" s="1992"/>
      <c r="DE10" s="1992"/>
      <c r="DF10" s="1993"/>
      <c r="DG10" s="1992"/>
      <c r="DH10" s="1992"/>
      <c r="DI10" s="1998"/>
      <c r="DJ10" s="1993"/>
      <c r="DK10" s="1992"/>
      <c r="DL10" s="1992"/>
      <c r="DM10" s="1998"/>
      <c r="DN10" s="1992"/>
      <c r="DO10" s="1992"/>
      <c r="DP10" s="1992"/>
      <c r="DQ10" s="1998"/>
      <c r="DR10" s="1992"/>
      <c r="DS10" s="1992"/>
      <c r="DT10" s="1992"/>
      <c r="DU10" s="1998"/>
      <c r="DV10" s="1992"/>
      <c r="DW10" s="1992"/>
      <c r="DX10" s="1992"/>
      <c r="DY10" s="1998"/>
    </row>
    <row r="11" spans="1:129" s="1483" customFormat="1" ht="12.75" hidden="1" outlineLevel="1">
      <c r="A11" s="2206" t="s">
        <v>991</v>
      </c>
      <c r="B11" s="2207"/>
      <c r="C11" s="2207"/>
      <c r="D11" s="2207"/>
      <c r="E11" s="2207"/>
      <c r="F11" s="2207">
        <f t="shared" ref="F11:Q11" si="0">F10/E10-1</f>
        <v>8.3428789614356624E-2</v>
      </c>
      <c r="G11" s="2207">
        <f t="shared" si="0"/>
        <v>1.1446696035242292</v>
      </c>
      <c r="H11" s="2207">
        <f t="shared" si="0"/>
        <v>0.1651466600936653</v>
      </c>
      <c r="I11" s="2207">
        <f t="shared" si="0"/>
        <v>0.12904590649460546</v>
      </c>
      <c r="J11" s="2207">
        <f t="shared" si="0"/>
        <v>0.10842545749797017</v>
      </c>
      <c r="K11" s="2207">
        <f t="shared" si="0"/>
        <v>0.1458838113483969</v>
      </c>
      <c r="L11" s="2207">
        <f t="shared" si="0"/>
        <v>0.1998426435877263</v>
      </c>
      <c r="M11" s="2207">
        <f t="shared" si="0"/>
        <v>0.15290983606557385</v>
      </c>
      <c r="N11" s="2207">
        <f t="shared" si="0"/>
        <v>0.37306963847712482</v>
      </c>
      <c r="O11" s="2207">
        <f t="shared" si="0"/>
        <v>0.15985389255923144</v>
      </c>
      <c r="P11" s="2207">
        <f t="shared" si="0"/>
        <v>-4.8332478056513417E-2</v>
      </c>
      <c r="Q11" s="2207">
        <f t="shared" si="0"/>
        <v>0.22073413861850599</v>
      </c>
      <c r="R11" s="2207"/>
      <c r="S11" s="2207"/>
      <c r="T11" s="2207"/>
      <c r="U11" s="2207"/>
      <c r="V11" s="2207"/>
      <c r="W11" s="2207"/>
      <c r="X11" s="2207"/>
      <c r="Y11" s="2207"/>
      <c r="Z11" s="2207"/>
      <c r="AA11" s="2207"/>
      <c r="AB11" s="2207"/>
      <c r="AC11" s="2207"/>
      <c r="AD11" s="2207"/>
      <c r="AE11" s="2207"/>
      <c r="AF11" s="2207"/>
      <c r="AG11" s="2207"/>
      <c r="AH11" s="2208"/>
      <c r="AI11" s="1927"/>
      <c r="AJ11" s="2207"/>
      <c r="AK11" s="2207"/>
      <c r="AL11" s="2207"/>
      <c r="AM11" s="2207"/>
      <c r="AN11" s="2207"/>
      <c r="AO11" s="2207"/>
      <c r="AP11" s="2208"/>
      <c r="AQ11" s="2207"/>
      <c r="AR11" s="2207"/>
      <c r="AS11" s="2207"/>
      <c r="AT11" s="2208"/>
      <c r="AU11" s="2207"/>
      <c r="AV11" s="2207"/>
      <c r="AW11" s="2207"/>
      <c r="AX11" s="2208"/>
      <c r="AY11" s="2207"/>
      <c r="AZ11" s="2207"/>
      <c r="BA11" s="2207"/>
      <c r="BB11" s="2208">
        <f t="shared" ref="BB11:CQ11" si="1">BB10/AX10-1</f>
        <v>0.10250088059175777</v>
      </c>
      <c r="BC11" s="2207">
        <f t="shared" si="1"/>
        <v>0.18419333768778579</v>
      </c>
      <c r="BD11" s="2207">
        <f t="shared" si="1"/>
        <v>0.17600254614894961</v>
      </c>
      <c r="BE11" s="2207">
        <f t="shared" si="1"/>
        <v>0.19245524296675187</v>
      </c>
      <c r="BF11" s="2208">
        <f t="shared" si="1"/>
        <v>0.19201277955271556</v>
      </c>
      <c r="BG11" s="2207">
        <f t="shared" si="1"/>
        <v>0.12134583563154999</v>
      </c>
      <c r="BH11" s="2207">
        <f t="shared" si="1"/>
        <v>0.13207036535859262</v>
      </c>
      <c r="BI11" s="2207">
        <f t="shared" si="1"/>
        <v>8.0697050938337789E-2</v>
      </c>
      <c r="BJ11" s="2208">
        <f t="shared" si="1"/>
        <v>8.6035915304208066E-2</v>
      </c>
      <c r="BK11" s="2207">
        <f t="shared" si="1"/>
        <v>7.4520413182489031E-2</v>
      </c>
      <c r="BL11" s="2207">
        <f t="shared" si="1"/>
        <v>0.10279703562036824</v>
      </c>
      <c r="BM11" s="2207">
        <f t="shared" si="1"/>
        <v>0.16918878690151318</v>
      </c>
      <c r="BN11" s="2208">
        <f t="shared" si="1"/>
        <v>0.15004935834155964</v>
      </c>
      <c r="BO11" s="2207">
        <f t="shared" si="1"/>
        <v>0.14694438086518646</v>
      </c>
      <c r="BP11" s="2207">
        <f t="shared" si="1"/>
        <v>0.14871016691957517</v>
      </c>
      <c r="BQ11" s="2207">
        <f t="shared" si="1"/>
        <v>0.13855293868024621</v>
      </c>
      <c r="BR11" s="2208">
        <f t="shared" si="1"/>
        <v>0.18047210300429195</v>
      </c>
      <c r="BS11" s="2207">
        <f t="shared" si="1"/>
        <v>0.20594691678307719</v>
      </c>
      <c r="BT11" s="2207">
        <f t="shared" si="1"/>
        <v>0.205699188526137</v>
      </c>
      <c r="BU11" s="2207">
        <f t="shared" si="1"/>
        <v>0.20518076779724193</v>
      </c>
      <c r="BV11" s="2208">
        <f t="shared" si="1"/>
        <v>0.19196509725504463</v>
      </c>
      <c r="BW11" s="2207">
        <f t="shared" si="1"/>
        <v>0.1375144795631309</v>
      </c>
      <c r="BX11" s="2207">
        <f t="shared" si="1"/>
        <v>0.13789325403036479</v>
      </c>
      <c r="BY11" s="2207">
        <f t="shared" si="1"/>
        <v>0.14890985000773149</v>
      </c>
      <c r="BZ11" s="2208">
        <f t="shared" si="1"/>
        <v>0.16043922525545229</v>
      </c>
      <c r="CA11" s="2207">
        <f t="shared" si="1"/>
        <v>0.16904276985743372</v>
      </c>
      <c r="CB11" s="2207">
        <f t="shared" si="1"/>
        <v>0.16492434662998634</v>
      </c>
      <c r="CC11" s="2207">
        <f t="shared" si="1"/>
        <v>0.16850605652759088</v>
      </c>
      <c r="CD11" s="2208">
        <f t="shared" si="1"/>
        <v>0.18162702063346048</v>
      </c>
      <c r="CE11" s="2207">
        <f t="shared" si="1"/>
        <v>0.16998506719761086</v>
      </c>
      <c r="CF11" s="2207">
        <f t="shared" si="1"/>
        <v>0.1511394497579408</v>
      </c>
      <c r="CG11" s="2207">
        <f t="shared" si="1"/>
        <v>0.13729555401981108</v>
      </c>
      <c r="CH11" s="2208">
        <f t="shared" si="1"/>
        <v>0.12835057279501716</v>
      </c>
      <c r="CI11" s="2207">
        <f t="shared" si="1"/>
        <v>0.11593278025951914</v>
      </c>
      <c r="CJ11" s="2207">
        <f t="shared" si="1"/>
        <v>0.12165350292337673</v>
      </c>
      <c r="CK11" s="2207">
        <f t="shared" si="1"/>
        <v>0.12041725744379184</v>
      </c>
      <c r="CL11" s="2208">
        <f t="shared" si="1"/>
        <v>0.25431246919664852</v>
      </c>
      <c r="CM11" s="2207">
        <f t="shared" si="1"/>
        <v>0.2379908501715593</v>
      </c>
      <c r="CN11" s="2207">
        <f t="shared" si="1"/>
        <v>0.20246913580246906</v>
      </c>
      <c r="CO11" s="2207">
        <f t="shared" si="1"/>
        <v>0.19162975684714811</v>
      </c>
      <c r="CP11" s="2208">
        <f t="shared" si="1"/>
        <v>5.823182711198438E-2</v>
      </c>
      <c r="CQ11" s="2207">
        <f t="shared" si="1"/>
        <v>6.2591423512202704E-2</v>
      </c>
      <c r="CR11" s="2207"/>
      <c r="CS11" s="2207"/>
      <c r="CT11" s="2208"/>
      <c r="CU11" s="2207"/>
      <c r="CV11" s="2207"/>
      <c r="CW11" s="2207"/>
      <c r="CX11" s="2208"/>
      <c r="CY11" s="2207"/>
      <c r="CZ11" s="2207"/>
      <c r="DA11" s="2207"/>
      <c r="DB11" s="2208"/>
      <c r="DC11" s="2207"/>
      <c r="DD11" s="2207"/>
      <c r="DE11" s="2207"/>
      <c r="DF11" s="2208"/>
      <c r="DG11" s="2207"/>
      <c r="DH11" s="2207"/>
      <c r="DI11" s="2209"/>
      <c r="DJ11" s="2208"/>
      <c r="DK11" s="2207"/>
      <c r="DL11" s="2207"/>
      <c r="DM11" s="2209"/>
      <c r="DN11" s="2207"/>
      <c r="DO11" s="2207"/>
      <c r="DP11" s="2207"/>
      <c r="DQ11" s="2209"/>
      <c r="DR11" s="2207"/>
      <c r="DS11" s="2207"/>
      <c r="DT11" s="2207"/>
      <c r="DU11" s="2209"/>
      <c r="DV11" s="2207"/>
      <c r="DW11" s="2207"/>
      <c r="DX11" s="2207"/>
      <c r="DY11" s="2209"/>
    </row>
    <row r="12" spans="1:129" s="1491" customFormat="1" hidden="1" outlineLevel="1">
      <c r="A12" s="2204" t="s">
        <v>1448</v>
      </c>
      <c r="B12" s="2210"/>
      <c r="C12" s="2205"/>
      <c r="D12" s="1992"/>
      <c r="E12" s="1992">
        <f>NormInputs!E250</f>
        <v>333</v>
      </c>
      <c r="F12" s="1992">
        <f>NormInputs!F250</f>
        <v>420</v>
      </c>
      <c r="G12" s="1992">
        <f>SUM(AX12:BA12)</f>
        <v>1175</v>
      </c>
      <c r="H12" s="1992">
        <f>SUM(BB12:BE12)</f>
        <v>1341</v>
      </c>
      <c r="I12" s="1992">
        <f>SUM(BF12:BI12)</f>
        <v>1382</v>
      </c>
      <c r="J12" s="1992">
        <f>SUM(BJ12:BM12)</f>
        <v>1726</v>
      </c>
      <c r="K12" s="1992">
        <f>K436</f>
        <v>2153</v>
      </c>
      <c r="L12" s="1992">
        <f>L436</f>
        <v>3262</v>
      </c>
      <c r="M12" s="1992">
        <f>M436</f>
        <v>4170</v>
      </c>
      <c r="N12" s="1992">
        <f>N436</f>
        <v>5247</v>
      </c>
      <c r="O12" s="1992">
        <f>O436</f>
        <v>5866</v>
      </c>
      <c r="P12" s="1992">
        <f>+SUM(CH12:CK12)</f>
        <v>6697</v>
      </c>
      <c r="Q12" s="1992">
        <f>+SUM(CL12:CO12)</f>
        <v>4847</v>
      </c>
      <c r="R12" s="1992"/>
      <c r="S12" s="1992"/>
      <c r="T12" s="1992"/>
      <c r="U12" s="1992"/>
      <c r="V12" s="1992"/>
      <c r="W12" s="1992"/>
      <c r="X12" s="1992"/>
      <c r="Y12" s="1992"/>
      <c r="Z12" s="1992"/>
      <c r="AA12" s="1992"/>
      <c r="AB12" s="1992"/>
      <c r="AC12" s="1992"/>
      <c r="AD12" s="1992"/>
      <c r="AE12" s="1992"/>
      <c r="AF12" s="1992"/>
      <c r="AG12" s="1992"/>
      <c r="AH12" s="2201"/>
      <c r="AI12" s="1977"/>
      <c r="AJ12" s="1561"/>
      <c r="AK12" s="1992"/>
      <c r="AL12" s="1992"/>
      <c r="AM12" s="1903"/>
      <c r="AN12" s="2205"/>
      <c r="AO12" s="1992"/>
      <c r="AP12" s="1993">
        <f>NormInputs!AF250</f>
        <v>78</v>
      </c>
      <c r="AQ12" s="1992">
        <f>NormInputs!AG250</f>
        <v>72</v>
      </c>
      <c r="AR12" s="1992">
        <f>NormInputs!AH250</f>
        <v>86</v>
      </c>
      <c r="AS12" s="1992">
        <f>NormInputs!AI250</f>
        <v>97</v>
      </c>
      <c r="AT12" s="1993">
        <f>NormInputs!AJ250</f>
        <v>89</v>
      </c>
      <c r="AU12" s="1992">
        <f>NormInputs!AK250</f>
        <v>106</v>
      </c>
      <c r="AV12" s="1992">
        <f>NormInputs!AL250</f>
        <v>98</v>
      </c>
      <c r="AW12" s="1992">
        <f>NormInputs!AM250</f>
        <v>127</v>
      </c>
      <c r="AX12" s="1993">
        <f>NormInputs!AN250</f>
        <v>242</v>
      </c>
      <c r="AY12" s="1992">
        <f>NormInputs!AO250</f>
        <v>262</v>
      </c>
      <c r="AZ12" s="1992">
        <f>NormInputs!AP250</f>
        <v>298</v>
      </c>
      <c r="BA12" s="1992">
        <f>NormInputs!AQ250</f>
        <v>373</v>
      </c>
      <c r="BB12" s="1993">
        <f>NormInputs!AR250</f>
        <v>320</v>
      </c>
      <c r="BC12" s="1992">
        <f>NormInputs!AS250</f>
        <v>326</v>
      </c>
      <c r="BD12" s="1992">
        <f>NormInputs!AT250</f>
        <v>341</v>
      </c>
      <c r="BE12" s="1992">
        <f>NormInputs!AU250</f>
        <v>354</v>
      </c>
      <c r="BF12" s="1993">
        <f>NormInputs!AV250</f>
        <v>315</v>
      </c>
      <c r="BG12" s="1992">
        <f>NormInputs!AW250</f>
        <v>317</v>
      </c>
      <c r="BH12" s="1992">
        <f>NormInputs!AX250</f>
        <v>338</v>
      </c>
      <c r="BI12" s="1992">
        <f>NormInputs!AY250</f>
        <v>412</v>
      </c>
      <c r="BJ12" s="1993">
        <f>NormInputs!AZ250</f>
        <v>378</v>
      </c>
      <c r="BK12" s="1992">
        <f>NormInputs!BA250</f>
        <v>422</v>
      </c>
      <c r="BL12" s="1992">
        <f>NormInputs!BB250</f>
        <v>416</v>
      </c>
      <c r="BM12" s="1992">
        <f>NormInputs!BC250</f>
        <v>510</v>
      </c>
      <c r="BN12" s="1993">
        <f>NormInputs!BD250</f>
        <v>426</v>
      </c>
      <c r="BO12" s="1992">
        <f>NormInputs!BE250</f>
        <v>466</v>
      </c>
      <c r="BP12" s="1992">
        <f>NormInputs!BF250</f>
        <v>643</v>
      </c>
      <c r="BQ12" s="1992">
        <f>NormInputs!BG250</f>
        <v>618</v>
      </c>
      <c r="BR12" s="1993">
        <f>NormInputs!BH250</f>
        <v>661</v>
      </c>
      <c r="BS12" s="1992">
        <f>NormInputs!BI250</f>
        <v>804</v>
      </c>
      <c r="BT12" s="1992">
        <f>NormInputs!BJ250</f>
        <v>922</v>
      </c>
      <c r="BU12" s="1992">
        <f>NormInputs!BK250</f>
        <v>875</v>
      </c>
      <c r="BV12" s="1993">
        <f>NormInputs!BL250</f>
        <v>861</v>
      </c>
      <c r="BW12" s="1992">
        <f>NormInputs!BM250</f>
        <v>972</v>
      </c>
      <c r="BX12" s="1992">
        <f>NormInputs!BN250</f>
        <v>1081</v>
      </c>
      <c r="BY12" s="1992">
        <f>NormInputs!BO250</f>
        <v>1256</v>
      </c>
      <c r="BZ12" s="1993">
        <f>NormInputs!BP250</f>
        <v>1204</v>
      </c>
      <c r="CA12" s="1992">
        <f>NormInputs!BQ250</f>
        <v>1226</v>
      </c>
      <c r="CB12" s="1992">
        <f>NormInputs!BR250</f>
        <v>1400</v>
      </c>
      <c r="CC12" s="1992">
        <f>NormInputs!BS250</f>
        <v>1417</v>
      </c>
      <c r="CD12" s="1993">
        <f>NormInputs!BT250</f>
        <v>1316</v>
      </c>
      <c r="CE12" s="1992">
        <f>NormInputs!BU250</f>
        <v>1441</v>
      </c>
      <c r="CF12" s="1992">
        <f>NormInputs!BV250</f>
        <v>1540</v>
      </c>
      <c r="CG12" s="1992">
        <f>NormInputs!BW250</f>
        <v>1569</v>
      </c>
      <c r="CH12" s="1993">
        <f>NormInputs!BX250</f>
        <v>1524</v>
      </c>
      <c r="CI12" s="1992">
        <f>NormInputs!BY250</f>
        <v>1626</v>
      </c>
      <c r="CJ12" s="1992">
        <f>NormInputs!BZ250</f>
        <v>1764</v>
      </c>
      <c r="CK12" s="1992">
        <f>NormInputs!CA250</f>
        <v>1783</v>
      </c>
      <c r="CL12" s="1993">
        <f>NormInputs!CB259</f>
        <v>1132</v>
      </c>
      <c r="CM12" s="1992">
        <f>NormInputs!CC259</f>
        <v>1156</v>
      </c>
      <c r="CN12" s="1992">
        <f>NormInputs!CD259</f>
        <v>1300</v>
      </c>
      <c r="CO12" s="1992">
        <f>NormInputs!CE259</f>
        <v>1259</v>
      </c>
      <c r="CP12" s="1993">
        <f>NormInputs!CF259</f>
        <v>992</v>
      </c>
      <c r="CQ12" s="1992">
        <f>NormInputs!CG259</f>
        <v>1024</v>
      </c>
      <c r="CR12" s="1992"/>
      <c r="CS12" s="1992"/>
      <c r="CT12" s="1993"/>
      <c r="CU12" s="1992"/>
      <c r="CV12" s="1992"/>
      <c r="CW12" s="1992"/>
      <c r="CX12" s="1993"/>
      <c r="CY12" s="1992"/>
      <c r="CZ12" s="1992"/>
      <c r="DA12" s="1992"/>
      <c r="DB12" s="1993"/>
      <c r="DC12" s="1992"/>
      <c r="DD12" s="1992"/>
      <c r="DE12" s="1992"/>
      <c r="DF12" s="1993"/>
      <c r="DG12" s="1992"/>
      <c r="DH12" s="1992"/>
      <c r="DI12" s="1998"/>
      <c r="DJ12" s="1993"/>
      <c r="DK12" s="1992"/>
      <c r="DL12" s="1992"/>
      <c r="DM12" s="1998"/>
      <c r="DN12" s="1992"/>
      <c r="DO12" s="1992"/>
      <c r="DP12" s="1992"/>
      <c r="DQ12" s="1998"/>
      <c r="DR12" s="1992"/>
      <c r="DS12" s="1992"/>
      <c r="DT12" s="1992"/>
      <c r="DU12" s="1998"/>
      <c r="DV12" s="1992"/>
      <c r="DW12" s="1992"/>
      <c r="DX12" s="1992"/>
      <c r="DY12" s="1998"/>
    </row>
    <row r="13" spans="1:129" s="1483" customFormat="1" ht="12.75" hidden="1" outlineLevel="1">
      <c r="A13" s="2206" t="s">
        <v>991</v>
      </c>
      <c r="B13" s="2207"/>
      <c r="C13" s="2207"/>
      <c r="D13" s="2207"/>
      <c r="E13" s="2207"/>
      <c r="F13" s="2207">
        <f t="shared" ref="F13:Q13" si="2">F12/E12-1</f>
        <v>0.26126126126126126</v>
      </c>
      <c r="G13" s="2207">
        <f t="shared" si="2"/>
        <v>1.7976190476190474</v>
      </c>
      <c r="H13" s="2207">
        <f t="shared" si="2"/>
        <v>0.14127659574468088</v>
      </c>
      <c r="I13" s="2207">
        <f t="shared" si="2"/>
        <v>3.0574198359433202E-2</v>
      </c>
      <c r="J13" s="2207">
        <f t="shared" si="2"/>
        <v>0.24891461649782931</v>
      </c>
      <c r="K13" s="2207">
        <f t="shared" si="2"/>
        <v>0.2473928157589802</v>
      </c>
      <c r="L13" s="2207">
        <f t="shared" si="2"/>
        <v>0.51509521597770558</v>
      </c>
      <c r="M13" s="2207">
        <f t="shared" si="2"/>
        <v>0.27835683629675056</v>
      </c>
      <c r="N13" s="2207">
        <f t="shared" si="2"/>
        <v>0.25827338129496402</v>
      </c>
      <c r="O13" s="2207">
        <f t="shared" si="2"/>
        <v>0.11797217457594811</v>
      </c>
      <c r="P13" s="2207">
        <f t="shared" si="2"/>
        <v>0.14166382543470846</v>
      </c>
      <c r="Q13" s="2207">
        <f t="shared" si="2"/>
        <v>-0.27624309392265189</v>
      </c>
      <c r="R13" s="2207"/>
      <c r="S13" s="2207"/>
      <c r="T13" s="2207"/>
      <c r="U13" s="2207"/>
      <c r="V13" s="2207"/>
      <c r="W13" s="2207"/>
      <c r="X13" s="2207"/>
      <c r="Y13" s="2207"/>
      <c r="Z13" s="2207"/>
      <c r="AA13" s="2207"/>
      <c r="AB13" s="2207"/>
      <c r="AC13" s="2207"/>
      <c r="AD13" s="2207"/>
      <c r="AE13" s="2207"/>
      <c r="AF13" s="2207"/>
      <c r="AG13" s="2207"/>
      <c r="AH13" s="2208"/>
      <c r="AI13" s="1927"/>
      <c r="AJ13" s="2207"/>
      <c r="AK13" s="2207"/>
      <c r="AL13" s="2207"/>
      <c r="AM13" s="2207"/>
      <c r="AN13" s="2207"/>
      <c r="AO13" s="2207"/>
      <c r="AP13" s="2208"/>
      <c r="AQ13" s="2207"/>
      <c r="AR13" s="2207"/>
      <c r="AS13" s="2207"/>
      <c r="AT13" s="2208"/>
      <c r="AU13" s="2207"/>
      <c r="AV13" s="2207"/>
      <c r="AW13" s="2207"/>
      <c r="AX13" s="2208"/>
      <c r="AY13" s="2207"/>
      <c r="AZ13" s="2207"/>
      <c r="BA13" s="2207"/>
      <c r="BB13" s="2208">
        <f t="shared" ref="BB13:CQ13" si="3">BB12/AX12-1</f>
        <v>0.3223140495867769</v>
      </c>
      <c r="BC13" s="2207">
        <f t="shared" si="3"/>
        <v>0.24427480916030531</v>
      </c>
      <c r="BD13" s="2207">
        <f t="shared" si="3"/>
        <v>0.14429530201342278</v>
      </c>
      <c r="BE13" s="2207">
        <f t="shared" si="3"/>
        <v>-5.0938337801608613E-2</v>
      </c>
      <c r="BF13" s="2208">
        <f t="shared" si="3"/>
        <v>-1.5625E-2</v>
      </c>
      <c r="BG13" s="2207">
        <f t="shared" si="3"/>
        <v>-2.7607361963190136E-2</v>
      </c>
      <c r="BH13" s="2207">
        <f t="shared" si="3"/>
        <v>-8.7976539589442737E-3</v>
      </c>
      <c r="BI13" s="2207">
        <f t="shared" si="3"/>
        <v>0.16384180790960445</v>
      </c>
      <c r="BJ13" s="2208">
        <f t="shared" si="3"/>
        <v>0.19999999999999996</v>
      </c>
      <c r="BK13" s="2207">
        <f t="shared" si="3"/>
        <v>0.33123028391167186</v>
      </c>
      <c r="BL13" s="2207">
        <f t="shared" si="3"/>
        <v>0.23076923076923084</v>
      </c>
      <c r="BM13" s="2207">
        <f t="shared" si="3"/>
        <v>0.23786407766990281</v>
      </c>
      <c r="BN13" s="2208">
        <f t="shared" si="3"/>
        <v>0.12698412698412698</v>
      </c>
      <c r="BO13" s="2207">
        <f t="shared" si="3"/>
        <v>0.10426540284360186</v>
      </c>
      <c r="BP13" s="2207">
        <f t="shared" si="3"/>
        <v>0.54567307692307687</v>
      </c>
      <c r="BQ13" s="2207">
        <f t="shared" si="3"/>
        <v>0.21176470588235285</v>
      </c>
      <c r="BR13" s="2208">
        <f t="shared" si="3"/>
        <v>0.55164319248826299</v>
      </c>
      <c r="BS13" s="2207">
        <f t="shared" si="3"/>
        <v>0.72532188841201717</v>
      </c>
      <c r="BT13" s="2207">
        <f t="shared" si="3"/>
        <v>0.43390357698289272</v>
      </c>
      <c r="BU13" s="2207">
        <f t="shared" si="3"/>
        <v>0.41585760517799342</v>
      </c>
      <c r="BV13" s="2208">
        <f t="shared" si="3"/>
        <v>0.30257186081694409</v>
      </c>
      <c r="BW13" s="2207">
        <f t="shared" si="3"/>
        <v>0.20895522388059695</v>
      </c>
      <c r="BX13" s="2207">
        <f t="shared" si="3"/>
        <v>0.17245119305856837</v>
      </c>
      <c r="BY13" s="2207">
        <f t="shared" si="3"/>
        <v>0.4354285714285715</v>
      </c>
      <c r="BZ13" s="2208">
        <f t="shared" si="3"/>
        <v>0.39837398373983746</v>
      </c>
      <c r="CA13" s="2207">
        <f t="shared" si="3"/>
        <v>0.26131687242798352</v>
      </c>
      <c r="CB13" s="2207">
        <f t="shared" si="3"/>
        <v>0.2950971322849214</v>
      </c>
      <c r="CC13" s="2207">
        <f t="shared" si="3"/>
        <v>0.12818471337579629</v>
      </c>
      <c r="CD13" s="2208">
        <f t="shared" si="3"/>
        <v>9.3023255813953432E-2</v>
      </c>
      <c r="CE13" s="2207">
        <f t="shared" si="3"/>
        <v>0.17536704730831976</v>
      </c>
      <c r="CF13" s="2207">
        <f t="shared" si="3"/>
        <v>0.10000000000000009</v>
      </c>
      <c r="CG13" s="2207">
        <f t="shared" si="3"/>
        <v>0.10726887791107975</v>
      </c>
      <c r="CH13" s="2208">
        <f t="shared" si="3"/>
        <v>0.15805471124620052</v>
      </c>
      <c r="CI13" s="2207">
        <f t="shared" si="3"/>
        <v>0.12838306731436511</v>
      </c>
      <c r="CJ13" s="2207">
        <f t="shared" si="3"/>
        <v>0.1454545454545455</v>
      </c>
      <c r="CK13" s="2207">
        <f t="shared" si="3"/>
        <v>0.13639260675589537</v>
      </c>
      <c r="CL13" s="2208">
        <f t="shared" si="3"/>
        <v>-0.2572178477690289</v>
      </c>
      <c r="CM13" s="2207">
        <f t="shared" si="3"/>
        <v>-0.28905289052890526</v>
      </c>
      <c r="CN13" s="2207">
        <f t="shared" si="3"/>
        <v>-0.2630385487528345</v>
      </c>
      <c r="CO13" s="2207">
        <f t="shared" si="3"/>
        <v>-0.29388670779584969</v>
      </c>
      <c r="CP13" s="2208">
        <f t="shared" si="3"/>
        <v>-0.12367491166077738</v>
      </c>
      <c r="CQ13" s="2207">
        <f t="shared" si="3"/>
        <v>-0.11418685121107264</v>
      </c>
      <c r="CR13" s="2207"/>
      <c r="CS13" s="2207"/>
      <c r="CT13" s="2208"/>
      <c r="CU13" s="2207"/>
      <c r="CV13" s="2207"/>
      <c r="CW13" s="2207"/>
      <c r="CX13" s="2208"/>
      <c r="CY13" s="2207"/>
      <c r="CZ13" s="2207"/>
      <c r="DA13" s="2207"/>
      <c r="DB13" s="2208"/>
      <c r="DC13" s="2207"/>
      <c r="DD13" s="2207"/>
      <c r="DE13" s="2207"/>
      <c r="DF13" s="2208"/>
      <c r="DG13" s="2207"/>
      <c r="DH13" s="2207"/>
      <c r="DI13" s="2209"/>
      <c r="DJ13" s="2208"/>
      <c r="DK13" s="2207"/>
      <c r="DL13" s="2207"/>
      <c r="DM13" s="2209"/>
      <c r="DN13" s="2207"/>
      <c r="DO13" s="2207"/>
      <c r="DP13" s="2207"/>
      <c r="DQ13" s="2209"/>
      <c r="DR13" s="2207"/>
      <c r="DS13" s="2207"/>
      <c r="DT13" s="2207"/>
      <c r="DU13" s="2209"/>
      <c r="DV13" s="2207"/>
      <c r="DW13" s="2207"/>
      <c r="DX13" s="2207"/>
      <c r="DY13" s="2209"/>
    </row>
    <row r="14" spans="1:129" s="1491" customFormat="1" hidden="1" outlineLevel="1">
      <c r="A14" s="1933" t="s">
        <v>1449</v>
      </c>
      <c r="B14" s="2205"/>
      <c r="C14" s="2205"/>
      <c r="D14" s="1992"/>
      <c r="E14" s="1992">
        <f>E12+E10+606</f>
        <v>6177</v>
      </c>
      <c r="F14" s="1992">
        <f>F12+F10+557</f>
        <v>6652</v>
      </c>
      <c r="G14" s="1992">
        <f t="shared" ref="G14:Q14" si="4">G12+G10</f>
        <v>13346</v>
      </c>
      <c r="H14" s="1992">
        <f t="shared" si="4"/>
        <v>15522</v>
      </c>
      <c r="I14" s="1992">
        <f t="shared" si="4"/>
        <v>17393</v>
      </c>
      <c r="J14" s="1992">
        <f t="shared" si="4"/>
        <v>19473</v>
      </c>
      <c r="K14" s="1992">
        <f t="shared" si="4"/>
        <v>22489</v>
      </c>
      <c r="L14" s="1992">
        <f t="shared" si="4"/>
        <v>27662</v>
      </c>
      <c r="M14" s="1992">
        <f t="shared" si="4"/>
        <v>32301</v>
      </c>
      <c r="N14" s="1992">
        <f t="shared" si="4"/>
        <v>43872.822</v>
      </c>
      <c r="O14" s="1992">
        <f t="shared" si="4"/>
        <v>50666.31</v>
      </c>
      <c r="P14" s="1992">
        <f t="shared" si="4"/>
        <v>49332</v>
      </c>
      <c r="Q14" s="1992">
        <f t="shared" si="4"/>
        <v>56893</v>
      </c>
      <c r="R14" s="1992"/>
      <c r="S14" s="1992"/>
      <c r="T14" s="1992"/>
      <c r="U14" s="1992"/>
      <c r="V14" s="1992"/>
      <c r="W14" s="1992"/>
      <c r="X14" s="1992"/>
      <c r="Y14" s="1992"/>
      <c r="Z14" s="1992"/>
      <c r="AA14" s="1992"/>
      <c r="AB14" s="1992"/>
      <c r="AC14" s="1992"/>
      <c r="AD14" s="1992"/>
      <c r="AE14" s="1992"/>
      <c r="AF14" s="1992"/>
      <c r="AG14" s="1992"/>
      <c r="AH14" s="2201"/>
      <c r="AI14" s="1977"/>
      <c r="AJ14" s="1561"/>
      <c r="AK14" s="1992"/>
      <c r="AL14" s="1992"/>
      <c r="AM14" s="1903"/>
      <c r="AN14" s="2205"/>
      <c r="AO14" s="1992"/>
      <c r="AP14" s="1993">
        <f>NormInputs!AF251</f>
        <v>1440</v>
      </c>
      <c r="AQ14" s="1992">
        <f>NormInputs!AG251</f>
        <v>1548</v>
      </c>
      <c r="AR14" s="1992">
        <f>NormInputs!AH251</f>
        <v>1591</v>
      </c>
      <c r="AS14" s="1992">
        <f>NormInputs!AI251</f>
        <v>1598</v>
      </c>
      <c r="AT14" s="1993">
        <f>NormInputs!AJ251</f>
        <v>1567</v>
      </c>
      <c r="AU14" s="1992">
        <f>NormInputs!AK251</f>
        <v>1656</v>
      </c>
      <c r="AV14" s="1992">
        <f>NormInputs!AL251</f>
        <v>1712</v>
      </c>
      <c r="AW14" s="1992">
        <f>NormInputs!AM251</f>
        <v>1717</v>
      </c>
      <c r="AX14" s="1993">
        <f t="shared" ref="AX14:CQ14" si="5">AX12+AX10</f>
        <v>3081</v>
      </c>
      <c r="AY14" s="1992">
        <f t="shared" si="5"/>
        <v>3324</v>
      </c>
      <c r="AZ14" s="1992">
        <f t="shared" si="5"/>
        <v>3440</v>
      </c>
      <c r="BA14" s="1992">
        <f t="shared" si="5"/>
        <v>3501</v>
      </c>
      <c r="BB14" s="1993">
        <f t="shared" si="5"/>
        <v>3450</v>
      </c>
      <c r="BC14" s="1992">
        <f t="shared" si="5"/>
        <v>3952</v>
      </c>
      <c r="BD14" s="1992">
        <f t="shared" si="5"/>
        <v>4036</v>
      </c>
      <c r="BE14" s="1992">
        <f t="shared" si="5"/>
        <v>4084</v>
      </c>
      <c r="BF14" s="1993">
        <f t="shared" si="5"/>
        <v>4046</v>
      </c>
      <c r="BG14" s="1992">
        <f t="shared" si="5"/>
        <v>4383</v>
      </c>
      <c r="BH14" s="1992">
        <f t="shared" si="5"/>
        <v>4521</v>
      </c>
      <c r="BI14" s="1992">
        <f t="shared" si="5"/>
        <v>4443</v>
      </c>
      <c r="BJ14" s="1993">
        <f t="shared" si="5"/>
        <v>4430</v>
      </c>
      <c r="BK14" s="1992">
        <f t="shared" si="5"/>
        <v>4791</v>
      </c>
      <c r="BL14" s="1992">
        <f t="shared" si="5"/>
        <v>5029</v>
      </c>
      <c r="BM14" s="1992">
        <f t="shared" si="5"/>
        <v>5223</v>
      </c>
      <c r="BN14" s="1993">
        <f t="shared" si="5"/>
        <v>5086</v>
      </c>
      <c r="BO14" s="1992">
        <f t="shared" si="5"/>
        <v>5477</v>
      </c>
      <c r="BP14" s="1992">
        <f t="shared" si="5"/>
        <v>5942</v>
      </c>
      <c r="BQ14" s="1992">
        <f t="shared" si="5"/>
        <v>5984</v>
      </c>
      <c r="BR14" s="1993">
        <f t="shared" si="5"/>
        <v>6162</v>
      </c>
      <c r="BS14" s="1992">
        <f t="shared" si="5"/>
        <v>6847</v>
      </c>
      <c r="BT14" s="1992">
        <f t="shared" si="5"/>
        <v>7311</v>
      </c>
      <c r="BU14" s="1992">
        <f t="shared" si="5"/>
        <v>7342</v>
      </c>
      <c r="BV14" s="1993">
        <f t="shared" si="5"/>
        <v>7418</v>
      </c>
      <c r="BW14" s="1992">
        <f t="shared" si="5"/>
        <v>7846</v>
      </c>
      <c r="BX14" s="1992">
        <f t="shared" si="5"/>
        <v>8351</v>
      </c>
      <c r="BY14" s="1992">
        <f t="shared" si="5"/>
        <v>8686</v>
      </c>
      <c r="BZ14" s="1993">
        <f t="shared" si="5"/>
        <v>8813</v>
      </c>
      <c r="CA14" s="1992">
        <f t="shared" si="5"/>
        <v>9262</v>
      </c>
      <c r="CB14" s="1992">
        <f t="shared" si="5"/>
        <v>9869</v>
      </c>
      <c r="CC14" s="1992">
        <f t="shared" si="5"/>
        <v>10099</v>
      </c>
      <c r="CD14" s="1993">
        <f t="shared" si="5"/>
        <v>10307</v>
      </c>
      <c r="CE14" s="1992">
        <f t="shared" si="5"/>
        <v>10843</v>
      </c>
      <c r="CF14" s="1992">
        <f t="shared" si="5"/>
        <v>11289</v>
      </c>
      <c r="CG14" s="1992">
        <f t="shared" si="5"/>
        <v>11443</v>
      </c>
      <c r="CH14" s="1993">
        <f t="shared" si="5"/>
        <v>11669</v>
      </c>
      <c r="CI14" s="1992">
        <f t="shared" si="5"/>
        <v>12118</v>
      </c>
      <c r="CJ14" s="1992">
        <f t="shared" si="5"/>
        <v>12699</v>
      </c>
      <c r="CK14" s="1992">
        <f t="shared" si="5"/>
        <v>12846</v>
      </c>
      <c r="CL14" s="1993">
        <f t="shared" si="5"/>
        <v>13857</v>
      </c>
      <c r="CM14" s="1992">
        <f t="shared" si="5"/>
        <v>14145</v>
      </c>
      <c r="CN14" s="1992">
        <f t="shared" si="5"/>
        <v>14449</v>
      </c>
      <c r="CO14" s="1992">
        <f t="shared" si="5"/>
        <v>14442</v>
      </c>
      <c r="CP14" s="1993">
        <f t="shared" si="5"/>
        <v>14458</v>
      </c>
      <c r="CQ14" s="1992">
        <f t="shared" si="5"/>
        <v>14826</v>
      </c>
      <c r="CR14" s="1992"/>
      <c r="CS14" s="1992"/>
      <c r="CT14" s="1993"/>
      <c r="CU14" s="1992"/>
      <c r="CV14" s="1992"/>
      <c r="CW14" s="1992"/>
      <c r="CX14" s="1993"/>
      <c r="CY14" s="1992"/>
      <c r="CZ14" s="1992"/>
      <c r="DA14" s="1992"/>
      <c r="DB14" s="1993"/>
      <c r="DC14" s="1992"/>
      <c r="DD14" s="1992"/>
      <c r="DE14" s="1992"/>
      <c r="DF14" s="1993"/>
      <c r="DG14" s="1992"/>
      <c r="DH14" s="1992"/>
      <c r="DI14" s="1998"/>
      <c r="DJ14" s="1993"/>
      <c r="DK14" s="1992"/>
      <c r="DL14" s="1992"/>
      <c r="DM14" s="1998"/>
      <c r="DN14" s="1992"/>
      <c r="DO14" s="1992"/>
      <c r="DP14" s="1992"/>
      <c r="DQ14" s="1998"/>
      <c r="DR14" s="1992"/>
      <c r="DS14" s="1992"/>
      <c r="DT14" s="1992"/>
      <c r="DU14" s="1998"/>
      <c r="DV14" s="1992"/>
      <c r="DW14" s="1992"/>
      <c r="DX14" s="1992"/>
      <c r="DY14" s="1998"/>
    </row>
    <row r="15" spans="1:129" s="1483" customFormat="1" ht="12.75" hidden="1" outlineLevel="1">
      <c r="A15" s="2206" t="s">
        <v>991</v>
      </c>
      <c r="B15" s="2207"/>
      <c r="C15" s="2207"/>
      <c r="D15" s="2207"/>
      <c r="E15" s="2207"/>
      <c r="F15" s="2207">
        <f t="shared" ref="F15:Q15" si="6">F14/E14-1</f>
        <v>7.6898170632993423E-2</v>
      </c>
      <c r="G15" s="2207">
        <f t="shared" si="6"/>
        <v>1.0063138905592304</v>
      </c>
      <c r="H15" s="2207">
        <f t="shared" si="6"/>
        <v>0.1630451071482093</v>
      </c>
      <c r="I15" s="2207">
        <f t="shared" si="6"/>
        <v>0.12053859038783665</v>
      </c>
      <c r="J15" s="2207">
        <f t="shared" si="6"/>
        <v>0.11958834013683672</v>
      </c>
      <c r="K15" s="2207">
        <f t="shared" si="6"/>
        <v>0.15488111744466693</v>
      </c>
      <c r="L15" s="2207">
        <f t="shared" si="6"/>
        <v>0.2300235670772377</v>
      </c>
      <c r="M15" s="2207">
        <f t="shared" si="6"/>
        <v>0.167702986045839</v>
      </c>
      <c r="N15" s="2207">
        <f t="shared" si="6"/>
        <v>0.35824965171356915</v>
      </c>
      <c r="O15" s="2207">
        <f t="shared" si="6"/>
        <v>0.15484501999894151</v>
      </c>
      <c r="P15" s="2207">
        <f t="shared" si="6"/>
        <v>-2.6335251175781282E-2</v>
      </c>
      <c r="Q15" s="2207">
        <f t="shared" si="6"/>
        <v>0.15326765588259139</v>
      </c>
      <c r="R15" s="2207"/>
      <c r="S15" s="2207"/>
      <c r="T15" s="2207"/>
      <c r="U15" s="2207"/>
      <c r="V15" s="2207"/>
      <c r="W15" s="2207"/>
      <c r="X15" s="2207"/>
      <c r="Y15" s="2207"/>
      <c r="Z15" s="2207"/>
      <c r="AA15" s="2207"/>
      <c r="AB15" s="2207"/>
      <c r="AC15" s="2207"/>
      <c r="AD15" s="2207"/>
      <c r="AE15" s="2207"/>
      <c r="AF15" s="2207"/>
      <c r="AG15" s="2207"/>
      <c r="AH15" s="2208"/>
      <c r="AI15" s="1927"/>
      <c r="AJ15" s="2207"/>
      <c r="AK15" s="2207"/>
      <c r="AL15" s="2207"/>
      <c r="AM15" s="2207"/>
      <c r="AN15" s="2207"/>
      <c r="AO15" s="2207"/>
      <c r="AP15" s="2208"/>
      <c r="AQ15" s="2207"/>
      <c r="AR15" s="2207"/>
      <c r="AS15" s="2207"/>
      <c r="AT15" s="2208"/>
      <c r="AU15" s="2207"/>
      <c r="AV15" s="2207"/>
      <c r="AW15" s="2207"/>
      <c r="AX15" s="2208"/>
      <c r="AY15" s="2207"/>
      <c r="AZ15" s="2207"/>
      <c r="BA15" s="2207"/>
      <c r="BB15" s="2208">
        <f t="shared" ref="BB15:CQ15" si="7">BB14/AX14-1</f>
        <v>0.11976630963972745</v>
      </c>
      <c r="BC15" s="2207">
        <f t="shared" si="7"/>
        <v>0.18892900120336953</v>
      </c>
      <c r="BD15" s="2207">
        <f t="shared" si="7"/>
        <v>0.17325581395348832</v>
      </c>
      <c r="BE15" s="2207">
        <f t="shared" si="7"/>
        <v>0.16652385032847761</v>
      </c>
      <c r="BF15" s="2208">
        <f t="shared" si="7"/>
        <v>0.1727536231884057</v>
      </c>
      <c r="BG15" s="2207">
        <f t="shared" si="7"/>
        <v>0.10905870445344124</v>
      </c>
      <c r="BH15" s="2207">
        <f t="shared" si="7"/>
        <v>0.12016848364717547</v>
      </c>
      <c r="BI15" s="2207">
        <f t="shared" si="7"/>
        <v>8.7904015670910773E-2</v>
      </c>
      <c r="BJ15" s="2208">
        <f t="shared" si="7"/>
        <v>9.4908551655956463E-2</v>
      </c>
      <c r="BK15" s="2207">
        <f t="shared" si="7"/>
        <v>9.3086926762491418E-2</v>
      </c>
      <c r="BL15" s="2207">
        <f t="shared" si="7"/>
        <v>0.11236452112364526</v>
      </c>
      <c r="BM15" s="2207">
        <f t="shared" si="7"/>
        <v>0.17555705604321403</v>
      </c>
      <c r="BN15" s="2208">
        <f t="shared" si="7"/>
        <v>0.14808126410835221</v>
      </c>
      <c r="BO15" s="2207">
        <f t="shared" si="7"/>
        <v>0.1431851388019203</v>
      </c>
      <c r="BP15" s="2207">
        <f t="shared" si="7"/>
        <v>0.18154702724199634</v>
      </c>
      <c r="BQ15" s="2207">
        <f t="shared" si="7"/>
        <v>0.1457017040015316</v>
      </c>
      <c r="BR15" s="2208">
        <f t="shared" si="7"/>
        <v>0.21156114825009831</v>
      </c>
      <c r="BS15" s="2207">
        <f t="shared" si="7"/>
        <v>0.25013693627898492</v>
      </c>
      <c r="BT15" s="2207">
        <f t="shared" si="7"/>
        <v>0.23039380679905763</v>
      </c>
      <c r="BU15" s="2207">
        <f t="shared" si="7"/>
        <v>0.22693850267379689</v>
      </c>
      <c r="BV15" s="2208">
        <f t="shared" si="7"/>
        <v>0.20382992534891264</v>
      </c>
      <c r="BW15" s="2207">
        <f t="shared" si="7"/>
        <v>0.14590331532057843</v>
      </c>
      <c r="BX15" s="2207">
        <f t="shared" si="7"/>
        <v>0.14225140199699093</v>
      </c>
      <c r="BY15" s="2207">
        <f t="shared" si="7"/>
        <v>0.18305638790520296</v>
      </c>
      <c r="BZ15" s="2208">
        <f t="shared" si="7"/>
        <v>0.18805607980587769</v>
      </c>
      <c r="CA15" s="2207">
        <f t="shared" si="7"/>
        <v>0.1804741269436656</v>
      </c>
      <c r="CB15" s="2207">
        <f t="shared" si="7"/>
        <v>0.1817746377679319</v>
      </c>
      <c r="CC15" s="2207">
        <f t="shared" si="7"/>
        <v>0.1626755698825697</v>
      </c>
      <c r="CD15" s="2208">
        <f t="shared" si="7"/>
        <v>0.16952229660728468</v>
      </c>
      <c r="CE15" s="2207">
        <f t="shared" si="7"/>
        <v>0.17069747354782994</v>
      </c>
      <c r="CF15" s="2207">
        <f t="shared" si="7"/>
        <v>0.14388489208633093</v>
      </c>
      <c r="CG15" s="2207">
        <f t="shared" si="7"/>
        <v>0.13308248341419948</v>
      </c>
      <c r="CH15" s="2208">
        <f t="shared" si="7"/>
        <v>0.13214320364800614</v>
      </c>
      <c r="CI15" s="2207">
        <f t="shared" si="7"/>
        <v>0.11758738356543397</v>
      </c>
      <c r="CJ15" s="2207">
        <f t="shared" si="7"/>
        <v>0.12490034546904072</v>
      </c>
      <c r="CK15" s="2207">
        <f t="shared" si="7"/>
        <v>0.12260770776894181</v>
      </c>
      <c r="CL15" s="2208">
        <f t="shared" si="7"/>
        <v>0.18750535607164287</v>
      </c>
      <c r="CM15" s="2207">
        <f t="shared" si="7"/>
        <v>0.16727182703416399</v>
      </c>
      <c r="CN15" s="2207">
        <f t="shared" si="7"/>
        <v>0.13780612646665102</v>
      </c>
      <c r="CO15" s="2207">
        <f t="shared" si="7"/>
        <v>0.12424100887435774</v>
      </c>
      <c r="CP15" s="2208">
        <f t="shared" si="7"/>
        <v>4.3371581150321248E-2</v>
      </c>
      <c r="CQ15" s="2207">
        <f t="shared" si="7"/>
        <v>4.8144220572640561E-2</v>
      </c>
      <c r="CR15" s="2207"/>
      <c r="CS15" s="2207"/>
      <c r="CT15" s="2208"/>
      <c r="CU15" s="2207"/>
      <c r="CV15" s="2207"/>
      <c r="CW15" s="2207"/>
      <c r="CX15" s="2208"/>
      <c r="CY15" s="2207"/>
      <c r="CZ15" s="2207"/>
      <c r="DA15" s="2207"/>
      <c r="DB15" s="2208"/>
      <c r="DC15" s="2207"/>
      <c r="DD15" s="2207"/>
      <c r="DE15" s="2207"/>
      <c r="DF15" s="2208"/>
      <c r="DG15" s="2207"/>
      <c r="DH15" s="2207"/>
      <c r="DI15" s="2209"/>
      <c r="DJ15" s="2208"/>
      <c r="DK15" s="2207"/>
      <c r="DL15" s="2207"/>
      <c r="DM15" s="2209"/>
      <c r="DN15" s="2207"/>
      <c r="DO15" s="2207"/>
      <c r="DP15" s="2207"/>
      <c r="DQ15" s="2209"/>
      <c r="DR15" s="2207"/>
      <c r="DS15" s="2207"/>
      <c r="DT15" s="2207"/>
      <c r="DU15" s="2209"/>
      <c r="DV15" s="2207"/>
      <c r="DW15" s="2207"/>
      <c r="DX15" s="2207"/>
      <c r="DY15" s="2209"/>
    </row>
    <row r="16" spans="1:129" s="1491" customFormat="1" hidden="1" outlineLevel="1">
      <c r="A16" s="2211"/>
      <c r="B16" s="1903"/>
      <c r="C16" s="1903"/>
      <c r="D16" s="2200"/>
      <c r="E16" s="2200"/>
      <c r="F16" s="2200"/>
      <c r="G16" s="2200"/>
      <c r="H16" s="2200"/>
      <c r="I16" s="2200"/>
      <c r="J16" s="2200"/>
      <c r="K16" s="2200"/>
      <c r="L16" s="2200"/>
      <c r="M16" s="2200"/>
      <c r="N16" s="2200"/>
      <c r="O16" s="2200"/>
      <c r="P16" s="2200"/>
      <c r="Q16" s="2200"/>
      <c r="R16" s="2200"/>
      <c r="S16" s="2200"/>
      <c r="T16" s="2200"/>
      <c r="U16" s="2200"/>
      <c r="V16" s="2200"/>
      <c r="W16" s="2200"/>
      <c r="X16" s="2200"/>
      <c r="Y16" s="2200"/>
      <c r="Z16" s="2200"/>
      <c r="AA16" s="2200"/>
      <c r="AB16" s="2200"/>
      <c r="AC16" s="2200"/>
      <c r="AD16" s="2200"/>
      <c r="AE16" s="2200"/>
      <c r="AF16" s="2200"/>
      <c r="AG16" s="2200"/>
      <c r="AH16" s="2201"/>
      <c r="AI16" s="1927"/>
      <c r="AJ16" s="1561"/>
      <c r="AK16" s="2200"/>
      <c r="AL16" s="2200"/>
      <c r="AM16" s="1903"/>
      <c r="AN16" s="2200"/>
      <c r="AO16" s="2200"/>
      <c r="AP16" s="2202"/>
      <c r="AQ16" s="2200"/>
      <c r="AR16" s="2200"/>
      <c r="AS16" s="2200"/>
      <c r="AT16" s="2202"/>
      <c r="AU16" s="2200"/>
      <c r="AV16" s="2200"/>
      <c r="AW16" s="2200"/>
      <c r="AX16" s="2202"/>
      <c r="AY16" s="2200"/>
      <c r="AZ16" s="2200"/>
      <c r="BA16" s="2200"/>
      <c r="BB16" s="2202"/>
      <c r="BC16" s="2200"/>
      <c r="BD16" s="2200"/>
      <c r="BE16" s="2200"/>
      <c r="BF16" s="2202"/>
      <c r="BG16" s="2200"/>
      <c r="BH16" s="2200"/>
      <c r="BI16" s="2200"/>
      <c r="BJ16" s="2202"/>
      <c r="BK16" s="2200"/>
      <c r="BL16" s="2200"/>
      <c r="BM16" s="2200"/>
      <c r="BN16" s="2202"/>
      <c r="BO16" s="2200"/>
      <c r="BP16" s="2200"/>
      <c r="BQ16" s="2200"/>
      <c r="BR16" s="2202"/>
      <c r="BS16" s="2200"/>
      <c r="BT16" s="2200"/>
      <c r="BU16" s="2200"/>
      <c r="BV16" s="2202"/>
      <c r="BW16" s="2200"/>
      <c r="BX16" s="2200"/>
      <c r="BY16" s="2200"/>
      <c r="BZ16" s="2202"/>
      <c r="CA16" s="2200"/>
      <c r="CB16" s="2200"/>
      <c r="CC16" s="2200"/>
      <c r="CD16" s="2212"/>
      <c r="CE16" s="2213"/>
      <c r="CF16" s="2213"/>
      <c r="CG16" s="2213"/>
      <c r="CH16" s="2212"/>
      <c r="CI16" s="2213"/>
      <c r="CJ16" s="2213"/>
      <c r="CK16" s="2200"/>
      <c r="CL16" s="2202"/>
      <c r="CM16" s="2200"/>
      <c r="CN16" s="2200"/>
      <c r="CO16" s="2200"/>
      <c r="CP16" s="2202"/>
      <c r="CQ16" s="2200"/>
      <c r="CR16" s="2200"/>
      <c r="CS16" s="2200"/>
      <c r="CT16" s="2202"/>
      <c r="CU16" s="2200"/>
      <c r="CV16" s="2200"/>
      <c r="CW16" s="2200"/>
      <c r="CX16" s="2202"/>
      <c r="CY16" s="2200"/>
      <c r="CZ16" s="2200"/>
      <c r="DA16" s="2200"/>
      <c r="DB16" s="2202"/>
      <c r="DC16" s="2200"/>
      <c r="DD16" s="2200"/>
      <c r="DE16" s="2200"/>
      <c r="DF16" s="2202"/>
      <c r="DG16" s="2200"/>
      <c r="DH16" s="2200"/>
      <c r="DI16" s="2203"/>
      <c r="DJ16" s="2202"/>
      <c r="DK16" s="2200"/>
      <c r="DL16" s="2200"/>
      <c r="DM16" s="2203"/>
      <c r="DN16" s="2200"/>
      <c r="DO16" s="2200"/>
      <c r="DP16" s="2200"/>
      <c r="DQ16" s="2203"/>
      <c r="DR16" s="2200"/>
      <c r="DS16" s="2200"/>
      <c r="DT16" s="2200"/>
      <c r="DU16" s="2203"/>
      <c r="DV16" s="2200"/>
      <c r="DW16" s="2200"/>
      <c r="DX16" s="2200"/>
      <c r="DY16" s="2203"/>
    </row>
    <row r="17" spans="1:129" s="1491" customFormat="1" hidden="1" outlineLevel="1">
      <c r="A17" s="2211" t="s">
        <v>1450</v>
      </c>
      <c r="B17" s="1903"/>
      <c r="C17" s="1903"/>
      <c r="D17" s="2200"/>
      <c r="E17" s="2200"/>
      <c r="F17" s="2200"/>
      <c r="G17" s="2200"/>
      <c r="H17" s="2200"/>
      <c r="I17" s="2200"/>
      <c r="J17" s="2200"/>
      <c r="K17" s="2200"/>
      <c r="L17" s="2200"/>
      <c r="M17" s="2200"/>
      <c r="N17" s="2200">
        <f>+SUM(BZ17:CC17)</f>
        <v>7029.8220000000001</v>
      </c>
      <c r="O17" s="2200">
        <f>+SUM(CD17:CG17)</f>
        <v>7984.3099999999995</v>
      </c>
      <c r="P17" s="2200">
        <f>+SUM(CH17:CK17)</f>
        <v>9219.2783199999976</v>
      </c>
      <c r="Q17" s="2200"/>
      <c r="R17" s="2200"/>
      <c r="S17" s="2200"/>
      <c r="T17" s="2200"/>
      <c r="U17" s="2200"/>
      <c r="V17" s="2200"/>
      <c r="W17" s="2200"/>
      <c r="X17" s="2200"/>
      <c r="Y17" s="2200"/>
      <c r="Z17" s="2200"/>
      <c r="AA17" s="2200"/>
      <c r="AB17" s="2200"/>
      <c r="AC17" s="2200"/>
      <c r="AD17" s="2200"/>
      <c r="AE17" s="2200"/>
      <c r="AF17" s="2200"/>
      <c r="AG17" s="2200"/>
      <c r="AH17" s="2201"/>
      <c r="AI17" s="1927"/>
      <c r="AJ17" s="1561"/>
      <c r="AK17" s="2200"/>
      <c r="AL17" s="2200"/>
      <c r="AM17" s="1903"/>
      <c r="AN17" s="2200"/>
      <c r="AO17" s="2200"/>
      <c r="AP17" s="2202"/>
      <c r="AQ17" s="2200"/>
      <c r="AR17" s="2200"/>
      <c r="AS17" s="2200"/>
      <c r="AT17" s="2202"/>
      <c r="AU17" s="2200"/>
      <c r="AV17" s="2200"/>
      <c r="AW17" s="2200"/>
      <c r="AX17" s="2202"/>
      <c r="AY17" s="2200"/>
      <c r="AZ17" s="2200"/>
      <c r="BA17" s="2200"/>
      <c r="BB17" s="2202"/>
      <c r="BC17" s="2200"/>
      <c r="BD17" s="2200"/>
      <c r="BE17" s="2200"/>
      <c r="BF17" s="2202"/>
      <c r="BG17" s="2200"/>
      <c r="BH17" s="2200"/>
      <c r="BI17" s="2200"/>
      <c r="BJ17" s="2202"/>
      <c r="BK17" s="2200"/>
      <c r="BL17" s="2200"/>
      <c r="BM17" s="2200"/>
      <c r="BN17" s="2202"/>
      <c r="BO17" s="2200"/>
      <c r="BP17" s="2200"/>
      <c r="BQ17" s="2200"/>
      <c r="BR17" s="2202"/>
      <c r="BS17" s="2200"/>
      <c r="BT17" s="2200"/>
      <c r="BU17" s="2200"/>
      <c r="BV17" s="2202"/>
      <c r="BW17" s="2200"/>
      <c r="BX17" s="2200"/>
      <c r="BY17" s="2200"/>
      <c r="BZ17" s="2214">
        <v>1649.1479999999999</v>
      </c>
      <c r="CA17" s="2215">
        <v>1734.1279999999999</v>
      </c>
      <c r="CB17" s="2215">
        <v>1795.443</v>
      </c>
      <c r="CC17" s="2215">
        <v>1851.1030000000001</v>
      </c>
      <c r="CD17" s="2214">
        <v>1880.12</v>
      </c>
      <c r="CE17" s="2215">
        <v>1971.616</v>
      </c>
      <c r="CF17" s="2215">
        <v>2071.4740000000002</v>
      </c>
      <c r="CG17" s="2215">
        <v>2061.1</v>
      </c>
      <c r="CH17" s="2214">
        <v>2089.6</v>
      </c>
      <c r="CI17" s="2215">
        <v>2174.1999999999998</v>
      </c>
      <c r="CJ17" s="2215">
        <v>2279.9</v>
      </c>
      <c r="CK17" s="2200">
        <f>3*(CK309+2)*CK111/1000</f>
        <v>2675.5783199999996</v>
      </c>
      <c r="CL17" s="2212"/>
      <c r="CM17" s="2213"/>
      <c r="CN17" s="2213"/>
      <c r="CO17" s="2200"/>
      <c r="CP17" s="2202"/>
      <c r="CQ17" s="2200"/>
      <c r="CR17" s="2200"/>
      <c r="CS17" s="2200"/>
      <c r="CT17" s="2202"/>
      <c r="CU17" s="2200"/>
      <c r="CV17" s="2200"/>
      <c r="CW17" s="2200"/>
      <c r="CX17" s="2202"/>
      <c r="CY17" s="2200"/>
      <c r="CZ17" s="2200"/>
      <c r="DA17" s="2200"/>
      <c r="DB17" s="2202"/>
      <c r="DC17" s="2200"/>
      <c r="DD17" s="2200"/>
      <c r="DE17" s="2200"/>
      <c r="DF17" s="2202"/>
      <c r="DG17" s="2200"/>
      <c r="DH17" s="2200"/>
      <c r="DI17" s="2203"/>
      <c r="DJ17" s="2202"/>
      <c r="DK17" s="2200"/>
      <c r="DL17" s="2200"/>
      <c r="DM17" s="2203"/>
      <c r="DN17" s="2200"/>
      <c r="DO17" s="2200"/>
      <c r="DP17" s="2200"/>
      <c r="DQ17" s="2203"/>
      <c r="DR17" s="2200"/>
      <c r="DS17" s="2200"/>
      <c r="DT17" s="2200"/>
      <c r="DU17" s="2203"/>
      <c r="DV17" s="2200"/>
      <c r="DW17" s="2200"/>
      <c r="DX17" s="2200"/>
      <c r="DY17" s="2203"/>
    </row>
    <row r="18" spans="1:129" s="1491" customFormat="1" hidden="1" outlineLevel="1">
      <c r="A18" s="2211" t="s">
        <v>1451</v>
      </c>
      <c r="B18" s="1903"/>
      <c r="C18" s="1903"/>
      <c r="D18" s="2200"/>
      <c r="E18" s="2200"/>
      <c r="F18" s="2200"/>
      <c r="G18" s="2200"/>
      <c r="H18" s="2200"/>
      <c r="I18" s="2200"/>
      <c r="J18" s="2200"/>
      <c r="K18" s="2200"/>
      <c r="L18" s="2200"/>
      <c r="M18" s="2200"/>
      <c r="N18" s="2200">
        <f>+SUM(BZ18:CC18)</f>
        <v>854.19500000000005</v>
      </c>
      <c r="O18" s="2200">
        <f>+SUM(CD18:CG18)</f>
        <v>818.8359999999999</v>
      </c>
      <c r="P18" s="2200">
        <f>+SUM(CH18:CK18)</f>
        <v>894.18299999999999</v>
      </c>
      <c r="Q18" s="2200"/>
      <c r="R18" s="2200"/>
      <c r="S18" s="2200"/>
      <c r="T18" s="2200"/>
      <c r="U18" s="2200"/>
      <c r="V18" s="2200"/>
      <c r="W18" s="2200"/>
      <c r="X18" s="2200"/>
      <c r="Y18" s="2200"/>
      <c r="Z18" s="2200"/>
      <c r="AA18" s="2200"/>
      <c r="AB18" s="2200"/>
      <c r="AC18" s="2200"/>
      <c r="AD18" s="2200"/>
      <c r="AE18" s="2200"/>
      <c r="AF18" s="2200"/>
      <c r="AG18" s="2200"/>
      <c r="AH18" s="2201"/>
      <c r="AI18" s="1927"/>
      <c r="AJ18" s="1561"/>
      <c r="AK18" s="2200"/>
      <c r="AL18" s="2200"/>
      <c r="AM18" s="1903"/>
      <c r="AN18" s="2200"/>
      <c r="AO18" s="2200"/>
      <c r="AP18" s="2202"/>
      <c r="AQ18" s="2200"/>
      <c r="AR18" s="2200"/>
      <c r="AS18" s="2200"/>
      <c r="AT18" s="2202"/>
      <c r="AU18" s="2200"/>
      <c r="AV18" s="2200"/>
      <c r="AW18" s="2200"/>
      <c r="AX18" s="2202"/>
      <c r="AY18" s="2200"/>
      <c r="AZ18" s="2200"/>
      <c r="BA18" s="2200"/>
      <c r="BB18" s="2202"/>
      <c r="BC18" s="2200"/>
      <c r="BD18" s="2200"/>
      <c r="BE18" s="2200"/>
      <c r="BF18" s="2202"/>
      <c r="BG18" s="2200"/>
      <c r="BH18" s="2200"/>
      <c r="BI18" s="2200"/>
      <c r="BJ18" s="2202"/>
      <c r="BK18" s="2200"/>
      <c r="BL18" s="2200"/>
      <c r="BM18" s="2200"/>
      <c r="BN18" s="2202"/>
      <c r="BO18" s="2200"/>
      <c r="BP18" s="2200"/>
      <c r="BQ18" s="2200"/>
      <c r="BR18" s="2202"/>
      <c r="BS18" s="2200"/>
      <c r="BT18" s="2200"/>
      <c r="BU18" s="2200"/>
      <c r="BV18" s="2202"/>
      <c r="BW18" s="2200"/>
      <c r="BX18" s="2200"/>
      <c r="BY18" s="2200"/>
      <c r="BZ18" s="2214">
        <v>194.08500000000001</v>
      </c>
      <c r="CA18" s="2215">
        <v>211.10400000000001</v>
      </c>
      <c r="CB18" s="2215">
        <v>211.876</v>
      </c>
      <c r="CC18" s="2215">
        <v>237.13</v>
      </c>
      <c r="CD18" s="2214">
        <v>198.428</v>
      </c>
      <c r="CE18" s="2215">
        <v>203.47200000000001</v>
      </c>
      <c r="CF18" s="2215">
        <v>210.036</v>
      </c>
      <c r="CG18" s="2215">
        <v>206.9</v>
      </c>
      <c r="CH18" s="2214">
        <v>226</v>
      </c>
      <c r="CI18" s="2215">
        <v>219.2</v>
      </c>
      <c r="CJ18" s="2215">
        <v>227.6</v>
      </c>
      <c r="CK18" s="2215">
        <f>+CG18*(1+7%)</f>
        <v>221.38300000000001</v>
      </c>
      <c r="CL18" s="2202"/>
      <c r="CM18" s="2200"/>
      <c r="CN18" s="2200"/>
      <c r="CO18" s="2200"/>
      <c r="CP18" s="2202"/>
      <c r="CQ18" s="2200"/>
      <c r="CR18" s="2200"/>
      <c r="CS18" s="2200"/>
      <c r="CT18" s="2202"/>
      <c r="CU18" s="2200"/>
      <c r="CV18" s="2200"/>
      <c r="CW18" s="2200"/>
      <c r="CX18" s="2202"/>
      <c r="CY18" s="2200"/>
      <c r="CZ18" s="2200"/>
      <c r="DA18" s="2200"/>
      <c r="DB18" s="2202"/>
      <c r="DC18" s="2200"/>
      <c r="DD18" s="2200"/>
      <c r="DE18" s="2200"/>
      <c r="DF18" s="2202"/>
      <c r="DG18" s="2200"/>
      <c r="DH18" s="2200"/>
      <c r="DI18" s="2203"/>
      <c r="DJ18" s="2202"/>
      <c r="DK18" s="2200"/>
      <c r="DL18" s="2200"/>
      <c r="DM18" s="2203"/>
      <c r="DN18" s="2200"/>
      <c r="DO18" s="2200"/>
      <c r="DP18" s="2200"/>
      <c r="DQ18" s="2203"/>
      <c r="DR18" s="2200"/>
      <c r="DS18" s="2200"/>
      <c r="DT18" s="2200"/>
      <c r="DU18" s="2203"/>
      <c r="DV18" s="2200"/>
      <c r="DW18" s="2200"/>
      <c r="DX18" s="2200"/>
      <c r="DY18" s="2203"/>
    </row>
    <row r="19" spans="1:129" s="1491" customFormat="1" hidden="1" outlineLevel="1">
      <c r="A19" s="2211" t="s">
        <v>1452</v>
      </c>
      <c r="B19" s="1903"/>
      <c r="C19" s="1903"/>
      <c r="D19" s="2200"/>
      <c r="E19" s="2200"/>
      <c r="F19" s="2200"/>
      <c r="G19" s="2200"/>
      <c r="H19" s="2200"/>
      <c r="I19" s="2200"/>
      <c r="J19" s="2200"/>
      <c r="K19" s="2200"/>
      <c r="L19" s="2200"/>
      <c r="M19" s="2200"/>
      <c r="N19" s="2200">
        <f>+SUM(BZ19:CC19)</f>
        <v>7884.0169999999998</v>
      </c>
      <c r="O19" s="2200">
        <f>+SUM(CD19:CG19)</f>
        <v>8803.1460000000006</v>
      </c>
      <c r="P19" s="2200">
        <f>+SUM(CH19:CK19)</f>
        <v>10113.461319999999</v>
      </c>
      <c r="Q19" s="2200"/>
      <c r="R19" s="2200"/>
      <c r="S19" s="2200"/>
      <c r="T19" s="2200"/>
      <c r="U19" s="2200"/>
      <c r="V19" s="2200"/>
      <c r="W19" s="2200"/>
      <c r="X19" s="2200"/>
      <c r="Y19" s="2200"/>
      <c r="Z19" s="2200"/>
      <c r="AA19" s="2200"/>
      <c r="AB19" s="2200"/>
      <c r="AC19" s="2200"/>
      <c r="AD19" s="2200"/>
      <c r="AE19" s="2200"/>
      <c r="AF19" s="2200"/>
      <c r="AG19" s="2200"/>
      <c r="AH19" s="2201"/>
      <c r="AI19" s="1927"/>
      <c r="AJ19" s="1561"/>
      <c r="AK19" s="2200"/>
      <c r="AL19" s="2200"/>
      <c r="AM19" s="1903"/>
      <c r="AN19" s="2200"/>
      <c r="AO19" s="2200"/>
      <c r="AP19" s="2202"/>
      <c r="AQ19" s="2200"/>
      <c r="AR19" s="2200"/>
      <c r="AS19" s="2200"/>
      <c r="AT19" s="2202"/>
      <c r="AU19" s="2200"/>
      <c r="AV19" s="2200"/>
      <c r="AW19" s="2200"/>
      <c r="AX19" s="2202"/>
      <c r="AY19" s="2200"/>
      <c r="AZ19" s="2200"/>
      <c r="BA19" s="2200"/>
      <c r="BB19" s="2202"/>
      <c r="BC19" s="2200"/>
      <c r="BD19" s="2200"/>
      <c r="BE19" s="2200"/>
      <c r="BF19" s="2202"/>
      <c r="BG19" s="2200"/>
      <c r="BH19" s="2200"/>
      <c r="BI19" s="2200"/>
      <c r="BJ19" s="2202"/>
      <c r="BK19" s="2200"/>
      <c r="BL19" s="2200"/>
      <c r="BM19" s="2200"/>
      <c r="BN19" s="2202"/>
      <c r="BO19" s="2200"/>
      <c r="BP19" s="2200"/>
      <c r="BQ19" s="2200"/>
      <c r="BR19" s="2202"/>
      <c r="BS19" s="2200"/>
      <c r="BT19" s="2200"/>
      <c r="BU19" s="2200"/>
      <c r="BV19" s="2202"/>
      <c r="BW19" s="2200"/>
      <c r="BX19" s="2200"/>
      <c r="BY19" s="2200"/>
      <c r="BZ19" s="2202">
        <f t="shared" ref="BZ19:CK19" si="8">SUM(BZ17:BZ18)</f>
        <v>1843.2329999999999</v>
      </c>
      <c r="CA19" s="2200">
        <f t="shared" si="8"/>
        <v>1945.232</v>
      </c>
      <c r="CB19" s="2200">
        <f t="shared" si="8"/>
        <v>2007.319</v>
      </c>
      <c r="CC19" s="2200">
        <f t="shared" si="8"/>
        <v>2088.2330000000002</v>
      </c>
      <c r="CD19" s="2202">
        <f t="shared" si="8"/>
        <v>2078.5479999999998</v>
      </c>
      <c r="CE19" s="2200">
        <f t="shared" si="8"/>
        <v>2175.0880000000002</v>
      </c>
      <c r="CF19" s="2200">
        <f t="shared" si="8"/>
        <v>2281.5100000000002</v>
      </c>
      <c r="CG19" s="2200">
        <f t="shared" si="8"/>
        <v>2268</v>
      </c>
      <c r="CH19" s="2202">
        <f t="shared" si="8"/>
        <v>2315.6</v>
      </c>
      <c r="CI19" s="2200">
        <f t="shared" si="8"/>
        <v>2393.3999999999996</v>
      </c>
      <c r="CJ19" s="2200">
        <f t="shared" si="8"/>
        <v>2507.5</v>
      </c>
      <c r="CK19" s="2200">
        <f t="shared" si="8"/>
        <v>2896.9613199999994</v>
      </c>
      <c r="CL19" s="2202"/>
      <c r="CM19" s="2200"/>
      <c r="CN19" s="2200"/>
      <c r="CO19" s="2200"/>
      <c r="CP19" s="2202"/>
      <c r="CQ19" s="2200"/>
      <c r="CR19" s="2200"/>
      <c r="CS19" s="2200"/>
      <c r="CT19" s="2202"/>
      <c r="CU19" s="2200"/>
      <c r="CV19" s="2200"/>
      <c r="CW19" s="2200"/>
      <c r="CX19" s="2202"/>
      <c r="CY19" s="2200"/>
      <c r="CZ19" s="2200"/>
      <c r="DA19" s="2200"/>
      <c r="DB19" s="2202"/>
      <c r="DC19" s="2200"/>
      <c r="DD19" s="2200"/>
      <c r="DE19" s="2200"/>
      <c r="DF19" s="2202"/>
      <c r="DG19" s="2200"/>
      <c r="DH19" s="2200"/>
      <c r="DI19" s="2203"/>
      <c r="DJ19" s="2202"/>
      <c r="DK19" s="2200"/>
      <c r="DL19" s="2200"/>
      <c r="DM19" s="2203"/>
      <c r="DN19" s="2200"/>
      <c r="DO19" s="2213">
        <v>0.14499999999999999</v>
      </c>
      <c r="DP19" s="2200">
        <v>0.14499999999999999</v>
      </c>
      <c r="DQ19" s="2203">
        <v>0.14499999999999999</v>
      </c>
      <c r="DR19" s="2200">
        <v>0.14499999999999999</v>
      </c>
      <c r="DS19" s="2200">
        <v>0.14499999999999999</v>
      </c>
      <c r="DT19" s="2200">
        <v>0.14499999999999999</v>
      </c>
      <c r="DU19" s="2203">
        <v>0.14499999999999999</v>
      </c>
      <c r="DV19" s="2200">
        <v>0.14499999999999999</v>
      </c>
      <c r="DW19" s="2200">
        <v>0.14499999999999999</v>
      </c>
      <c r="DX19" s="2200">
        <v>0.14499999999999999</v>
      </c>
      <c r="DY19" s="2203">
        <v>0.14499999999999999</v>
      </c>
    </row>
    <row r="20" spans="1:129" s="1483" customFormat="1" ht="12.75" hidden="1" outlineLevel="1">
      <c r="A20" s="2206" t="s">
        <v>991</v>
      </c>
      <c r="B20" s="2207"/>
      <c r="C20" s="2207"/>
      <c r="D20" s="2207"/>
      <c r="E20" s="2207"/>
      <c r="F20" s="2207"/>
      <c r="G20" s="2207"/>
      <c r="H20" s="2207"/>
      <c r="I20" s="2207"/>
      <c r="J20" s="2207"/>
      <c r="K20" s="2207"/>
      <c r="L20" s="2207"/>
      <c r="M20" s="2207"/>
      <c r="N20" s="2207"/>
      <c r="O20" s="2207"/>
      <c r="P20" s="2207">
        <f>P19/O19-1</f>
        <v>0.14884625564542464</v>
      </c>
      <c r="Q20" s="2207"/>
      <c r="R20" s="2207"/>
      <c r="S20" s="2207"/>
      <c r="T20" s="2207"/>
      <c r="U20" s="2207"/>
      <c r="V20" s="2207"/>
      <c r="W20" s="2207"/>
      <c r="X20" s="2207"/>
      <c r="Y20" s="2207"/>
      <c r="Z20" s="2207"/>
      <c r="AA20" s="2207"/>
      <c r="AB20" s="2207"/>
      <c r="AC20" s="2207"/>
      <c r="AD20" s="2207"/>
      <c r="AE20" s="2207"/>
      <c r="AF20" s="2207"/>
      <c r="AG20" s="2207"/>
      <c r="AH20" s="2208"/>
      <c r="AI20" s="1927"/>
      <c r="AJ20" s="2207"/>
      <c r="AK20" s="2207"/>
      <c r="AL20" s="2207"/>
      <c r="AM20" s="2207"/>
      <c r="AN20" s="2207"/>
      <c r="AO20" s="2207"/>
      <c r="AP20" s="2208"/>
      <c r="AQ20" s="2207"/>
      <c r="AR20" s="2207"/>
      <c r="AS20" s="2207"/>
      <c r="AT20" s="2208"/>
      <c r="AU20" s="2207"/>
      <c r="AV20" s="2207"/>
      <c r="AW20" s="2207"/>
      <c r="AX20" s="2208"/>
      <c r="AY20" s="2207"/>
      <c r="AZ20" s="2207"/>
      <c r="BA20" s="2207"/>
      <c r="BB20" s="2208"/>
      <c r="BC20" s="2207"/>
      <c r="BD20" s="2207"/>
      <c r="BE20" s="2207"/>
      <c r="BF20" s="2208"/>
      <c r="BG20" s="2207"/>
      <c r="BH20" s="2207"/>
      <c r="BI20" s="2207"/>
      <c r="BJ20" s="2208"/>
      <c r="BK20" s="2207"/>
      <c r="BL20" s="2207"/>
      <c r="BM20" s="2207"/>
      <c r="BN20" s="2208"/>
      <c r="BO20" s="2207"/>
      <c r="BP20" s="2207"/>
      <c r="BQ20" s="2207"/>
      <c r="BR20" s="2208"/>
      <c r="BS20" s="2207"/>
      <c r="BT20" s="2207"/>
      <c r="BU20" s="2207"/>
      <c r="BV20" s="2208"/>
      <c r="BW20" s="2207"/>
      <c r="BX20" s="2207"/>
      <c r="BY20" s="2207"/>
      <c r="BZ20" s="2208"/>
      <c r="CA20" s="2207"/>
      <c r="CB20" s="2207"/>
      <c r="CC20" s="2207"/>
      <c r="CD20" s="2208">
        <f t="shared" ref="CD20:CK20" si="9">CD19/BZ19-1</f>
        <v>0.12766427250380175</v>
      </c>
      <c r="CE20" s="2207">
        <f t="shared" si="9"/>
        <v>0.11816379742879013</v>
      </c>
      <c r="CF20" s="2207">
        <f t="shared" si="9"/>
        <v>0.13659562829824279</v>
      </c>
      <c r="CG20" s="2207">
        <f t="shared" si="9"/>
        <v>8.6085700206825599E-2</v>
      </c>
      <c r="CH20" s="2208">
        <f t="shared" si="9"/>
        <v>0.11404692121615678</v>
      </c>
      <c r="CI20" s="2207">
        <f t="shared" si="9"/>
        <v>0.10036927241564442</v>
      </c>
      <c r="CJ20" s="2207">
        <f t="shared" si="9"/>
        <v>9.9052820281304799E-2</v>
      </c>
      <c r="CK20" s="2207">
        <f t="shared" si="9"/>
        <v>0.27731980599647232</v>
      </c>
      <c r="CL20" s="2208"/>
      <c r="CM20" s="2207"/>
      <c r="CN20" s="2207"/>
      <c r="CO20" s="2207"/>
      <c r="CP20" s="2208"/>
      <c r="CQ20" s="2207"/>
      <c r="CR20" s="2207"/>
      <c r="CS20" s="2207"/>
      <c r="CT20" s="2208"/>
      <c r="CU20" s="2207"/>
      <c r="CV20" s="2207"/>
      <c r="CW20" s="2207"/>
      <c r="CX20" s="2208"/>
      <c r="CY20" s="2207"/>
      <c r="CZ20" s="2207"/>
      <c r="DA20" s="2207"/>
      <c r="DB20" s="2208"/>
      <c r="DC20" s="2207"/>
      <c r="DD20" s="2207"/>
      <c r="DE20" s="2207"/>
      <c r="DF20" s="2208"/>
      <c r="DG20" s="2207"/>
      <c r="DH20" s="2207"/>
      <c r="DI20" s="2209"/>
      <c r="DJ20" s="2208"/>
      <c r="DK20" s="2207"/>
      <c r="DL20" s="2207"/>
      <c r="DM20" s="2209"/>
      <c r="DN20" s="2207"/>
      <c r="DO20" s="2207"/>
      <c r="DP20" s="2207"/>
      <c r="DQ20" s="2209"/>
      <c r="DR20" s="2207"/>
      <c r="DS20" s="2207"/>
      <c r="DT20" s="2207"/>
      <c r="DU20" s="2209"/>
      <c r="DV20" s="2207"/>
      <c r="DW20" s="2207"/>
      <c r="DX20" s="2207"/>
      <c r="DY20" s="2209"/>
    </row>
    <row r="21" spans="1:129" s="1042" customFormat="1" ht="15" customHeight="1" collapsed="1">
      <c r="A21" s="1937" t="s">
        <v>370</v>
      </c>
      <c r="B21" s="2216"/>
      <c r="C21" s="2216"/>
      <c r="D21" s="2216"/>
      <c r="E21" s="2216"/>
      <c r="F21" s="2216"/>
      <c r="G21" s="2216"/>
      <c r="H21" s="2216"/>
      <c r="I21" s="2216"/>
      <c r="J21" s="2216"/>
      <c r="K21" s="2216"/>
      <c r="L21" s="2216"/>
      <c r="M21" s="2216"/>
      <c r="N21" s="2216"/>
      <c r="O21" s="2216"/>
      <c r="P21" s="2216"/>
      <c r="Q21" s="2216">
        <f>+SUM(CL21:CO21)</f>
        <v>50759</v>
      </c>
      <c r="R21" s="2216">
        <f>+SUM(CP21:CS21)</f>
        <v>53308</v>
      </c>
      <c r="S21" s="2216">
        <f>+SUM(CT21:CW21)</f>
        <v>56660</v>
      </c>
      <c r="T21" s="2216">
        <f>+SUM(CX21:DA21)</f>
        <v>61440</v>
      </c>
      <c r="U21" s="2216">
        <f>+SUM(DB21:DE21)</f>
        <v>66334</v>
      </c>
      <c r="V21" s="2216">
        <f>+SUM(DF21:DI21)</f>
        <v>69501</v>
      </c>
      <c r="W21" s="2216">
        <f>+SUM(DJ21:DM21)</f>
        <v>67312</v>
      </c>
      <c r="X21" s="2216">
        <f>+SUM(DN21:DQ21)</f>
        <v>63496</v>
      </c>
      <c r="Y21" s="2216">
        <f>+SUM(DR21:DU21)</f>
        <v>60037</v>
      </c>
      <c r="Z21" s="3311">
        <f ca="1">+SUM(DV21:DY21)</f>
        <v>59028.373914782234</v>
      </c>
      <c r="AA21" s="2216">
        <f ca="1">+AA246+AA281</f>
        <v>59925.559843098272</v>
      </c>
      <c r="AB21" s="2216">
        <f t="shared" ref="AB21:AG21" ca="1" si="10">+AB246+AB281</f>
        <v>60944.331221101871</v>
      </c>
      <c r="AC21" s="2216">
        <f t="shared" ca="1" si="10"/>
        <v>62041.905027799636</v>
      </c>
      <c r="AD21" s="2216">
        <f t="shared" ca="1" si="10"/>
        <v>63208.996336391392</v>
      </c>
      <c r="AE21" s="2216">
        <f t="shared" ca="1" si="10"/>
        <v>64451.273018813896</v>
      </c>
      <c r="AF21" s="2216">
        <f t="shared" ca="1" si="10"/>
        <v>65780.869769470737</v>
      </c>
      <c r="AG21" s="2216">
        <f t="shared" ca="1" si="10"/>
        <v>67212.624937177126</v>
      </c>
      <c r="AH21" s="2217"/>
      <c r="AI21" s="1928">
        <f ca="1">(AA21/V21)^(1/5)-1</f>
        <v>-2.9212424730479025E-2</v>
      </c>
      <c r="AJ21" s="2218"/>
      <c r="AK21" s="2216"/>
      <c r="AL21" s="2216"/>
      <c r="AM21" s="2216"/>
      <c r="AN21" s="2216"/>
      <c r="AO21" s="2216"/>
      <c r="AP21" s="1937"/>
      <c r="AQ21" s="2216"/>
      <c r="AR21" s="2216"/>
      <c r="AS21" s="2216"/>
      <c r="AT21" s="1937"/>
      <c r="AU21" s="2216"/>
      <c r="AV21" s="2216"/>
      <c r="AW21" s="2216"/>
      <c r="AX21" s="1937"/>
      <c r="AY21" s="2216"/>
      <c r="AZ21" s="2216"/>
      <c r="BA21" s="2216"/>
      <c r="BB21" s="1937"/>
      <c r="BC21" s="2216"/>
      <c r="BD21" s="2216"/>
      <c r="BE21" s="2216"/>
      <c r="BF21" s="1937"/>
      <c r="BG21" s="2216"/>
      <c r="BH21" s="2216"/>
      <c r="BI21" s="2216"/>
      <c r="BJ21" s="1937"/>
      <c r="BK21" s="2216"/>
      <c r="BL21" s="2216"/>
      <c r="BM21" s="2216"/>
      <c r="BN21" s="1937"/>
      <c r="BO21" s="2216"/>
      <c r="BP21" s="2216"/>
      <c r="BQ21" s="2216"/>
      <c r="BR21" s="1937"/>
      <c r="BS21" s="2216"/>
      <c r="BT21" s="2216"/>
      <c r="BU21" s="2216"/>
      <c r="BV21" s="1937"/>
      <c r="BW21" s="2216"/>
      <c r="BX21" s="2216"/>
      <c r="BY21" s="2216"/>
      <c r="BZ21" s="1937"/>
      <c r="CA21" s="2216"/>
      <c r="CB21" s="2216"/>
      <c r="CC21" s="2216"/>
      <c r="CD21" s="1937"/>
      <c r="CE21" s="2216"/>
      <c r="CF21" s="2216"/>
      <c r="CG21" s="2216"/>
      <c r="CH21" s="1937"/>
      <c r="CI21" s="2216"/>
      <c r="CJ21" s="2216"/>
      <c r="CK21" s="2216"/>
      <c r="CL21" s="1937">
        <f>+NormInputs!CB255</f>
        <v>12428</v>
      </c>
      <c r="CM21" s="2216">
        <f>+NormInputs!CC255</f>
        <v>12644</v>
      </c>
      <c r="CN21" s="2216">
        <f>+NormInputs!CD255</f>
        <v>12833</v>
      </c>
      <c r="CO21" s="2216">
        <f>+NormInputs!CE255</f>
        <v>12854</v>
      </c>
      <c r="CP21" s="1937">
        <f>+NormInputs!CF255</f>
        <v>13034</v>
      </c>
      <c r="CQ21" s="2216">
        <f>+NormInputs!CG255</f>
        <v>13282</v>
      </c>
      <c r="CR21" s="2216">
        <f>+NormInputs!CH255</f>
        <v>13479</v>
      </c>
      <c r="CS21" s="2216">
        <f>+NormInputs!CI255</f>
        <v>13513</v>
      </c>
      <c r="CT21" s="1937">
        <f>+NormInputs!CJ255</f>
        <v>13674</v>
      </c>
      <c r="CU21" s="2216">
        <f>+NormInputs!CK255</f>
        <v>14019</v>
      </c>
      <c r="CV21" s="2216">
        <f>+NormInputs!CL255</f>
        <v>14405</v>
      </c>
      <c r="CW21" s="2216">
        <f>+NormInputs!CM255</f>
        <v>14562</v>
      </c>
      <c r="CX21" s="1937">
        <f>+NormInputs!CN255</f>
        <v>14886</v>
      </c>
      <c r="CY21" s="2216">
        <f>+NormInputs!CO255</f>
        <v>15230</v>
      </c>
      <c r="CZ21" s="2216">
        <f>+NormInputs!CP255</f>
        <v>15538</v>
      </c>
      <c r="DA21" s="2216">
        <f>+NormInputs!CQ255</f>
        <v>15786</v>
      </c>
      <c r="DB21" s="1937">
        <f>+NormInputs!CR255</f>
        <v>16169</v>
      </c>
      <c r="DC21" s="2216">
        <f>+NormInputs!CS255</f>
        <v>16422</v>
      </c>
      <c r="DD21" s="2216">
        <f>+NormInputs!CT255</f>
        <v>16776</v>
      </c>
      <c r="DE21" s="2216">
        <f>+NormInputs!CU255</f>
        <v>16967</v>
      </c>
      <c r="DF21" s="1937">
        <f>+NormInputs!CV255</f>
        <v>17246</v>
      </c>
      <c r="DG21" s="2216">
        <f>+NormInputs!CW255</f>
        <v>17288</v>
      </c>
      <c r="DH21" s="2216">
        <f>+NormInputs!CX255</f>
        <v>17556</v>
      </c>
      <c r="DI21" s="2219">
        <f>+NormInputs!CY255</f>
        <v>17411</v>
      </c>
      <c r="DJ21" s="2504">
        <f>+NormInputs!CZ255</f>
        <v>17143</v>
      </c>
      <c r="DK21" s="2505">
        <f>+NormInputs!DA255</f>
        <v>16918</v>
      </c>
      <c r="DL21" s="2505">
        <f>+NormInputs!DB255</f>
        <v>16827</v>
      </c>
      <c r="DM21" s="2506">
        <f>+NormInputs!DC255</f>
        <v>16424</v>
      </c>
      <c r="DN21" s="2505">
        <f>+NormInputs!DD255</f>
        <v>16038</v>
      </c>
      <c r="DO21" s="2505">
        <f>+NormInputs!DE255</f>
        <v>15970</v>
      </c>
      <c r="DP21" s="2505">
        <f>+NormInputs!DF255</f>
        <v>15913</v>
      </c>
      <c r="DQ21" s="2506">
        <f>+NormInputs!DG255</f>
        <v>15575</v>
      </c>
      <c r="DR21" s="2504">
        <f>+NormInputs!DH255</f>
        <v>15007</v>
      </c>
      <c r="DS21" s="2505">
        <f>+NormInputs!DI255</f>
        <v>14851</v>
      </c>
      <c r="DT21" s="2505">
        <f>+NormInputs!DJ255</f>
        <v>15070</v>
      </c>
      <c r="DU21" s="2506">
        <f>+NormInputs!DK255</f>
        <v>15109</v>
      </c>
      <c r="DV21" s="2505">
        <f>+NormInputs!DL255</f>
        <v>14631</v>
      </c>
      <c r="DW21" s="2216">
        <f ca="1">+DW246+DW281</f>
        <v>14659.390651275204</v>
      </c>
      <c r="DX21" s="2216">
        <f t="shared" ref="DX21" ca="1" si="11">+DX246+DX281</f>
        <v>14868.60352297711</v>
      </c>
      <c r="DY21" s="2219">
        <f ca="1">+DY246+DY281</f>
        <v>14869.379740529916</v>
      </c>
    </row>
    <row r="22" spans="1:129" s="1491" customFormat="1" ht="15" customHeight="1">
      <c r="A22" s="2206" t="s">
        <v>1453</v>
      </c>
      <c r="B22" s="2207"/>
      <c r="C22" s="2207"/>
      <c r="D22" s="2207"/>
      <c r="E22" s="2207"/>
      <c r="F22" s="2207"/>
      <c r="G22" s="2207"/>
      <c r="H22" s="2207"/>
      <c r="I22" s="2207"/>
      <c r="J22" s="2207"/>
      <c r="K22" s="2207"/>
      <c r="L22" s="2207"/>
      <c r="M22" s="2207"/>
      <c r="N22" s="2207"/>
      <c r="O22" s="2207"/>
      <c r="P22" s="2207"/>
      <c r="Q22" s="2207"/>
      <c r="R22" s="2207">
        <f t="shared" ref="R22:AB22" si="12">R21/Q21-1</f>
        <v>5.0217695384069838E-2</v>
      </c>
      <c r="S22" s="2207">
        <f t="shared" si="12"/>
        <v>6.2879867937270184E-2</v>
      </c>
      <c r="T22" s="2207">
        <f t="shared" si="12"/>
        <v>8.4362866219555244E-2</v>
      </c>
      <c r="U22" s="2207">
        <f t="shared" si="12"/>
        <v>7.9654947916666607E-2</v>
      </c>
      <c r="V22" s="2207">
        <f t="shared" si="12"/>
        <v>4.7743238761419393E-2</v>
      </c>
      <c r="W22" s="2207">
        <f>W21/V21-1</f>
        <v>-3.1495949698565506E-2</v>
      </c>
      <c r="X22" s="2207">
        <f>X21/W21-1</f>
        <v>-5.6691228904207303E-2</v>
      </c>
      <c r="Y22" s="2207">
        <f>Y21/X21-1</f>
        <v>-5.4475872495905242E-2</v>
      </c>
      <c r="Z22" s="2207">
        <f ca="1">Z21/Y21-1</f>
        <v>-1.6800074707559731E-2</v>
      </c>
      <c r="AA22" s="2207">
        <f t="shared" ca="1" si="12"/>
        <v>1.519923163750514E-2</v>
      </c>
      <c r="AB22" s="2207">
        <f t="shared" ca="1" si="12"/>
        <v>1.700061510766071E-2</v>
      </c>
      <c r="AC22" s="2207">
        <f t="shared" ref="AC22" ca="1" si="13">AC21/AB21-1</f>
        <v>1.8009448700254671E-2</v>
      </c>
      <c r="AD22" s="2207">
        <f t="shared" ref="AD22" ca="1" si="14">AD21/AC21-1</f>
        <v>1.8811339014635386E-2</v>
      </c>
      <c r="AE22" s="2207">
        <f t="shared" ref="AE22" ca="1" si="15">AE21/AD21-1</f>
        <v>1.9653479004970054E-2</v>
      </c>
      <c r="AF22" s="2207">
        <f t="shared" ref="AF22" ca="1" si="16">AF21/AE21-1</f>
        <v>2.0629487803424995E-2</v>
      </c>
      <c r="AG22" s="2207">
        <f t="shared" ref="AG22" ca="1" si="17">AG21/AF21-1</f>
        <v>2.1765525033706323E-2</v>
      </c>
      <c r="AH22" s="2201"/>
      <c r="AI22" s="1927"/>
      <c r="AJ22" s="1561"/>
      <c r="AK22" s="2207"/>
      <c r="AL22" s="2207"/>
      <c r="AM22" s="2207"/>
      <c r="AN22" s="2207"/>
      <c r="AO22" s="2207"/>
      <c r="AP22" s="2208"/>
      <c r="AQ22" s="2207"/>
      <c r="AR22" s="2207"/>
      <c r="AS22" s="2207"/>
      <c r="AT22" s="2208"/>
      <c r="AU22" s="2207"/>
      <c r="AV22" s="2207"/>
      <c r="AW22" s="2207"/>
      <c r="AX22" s="2208"/>
      <c r="AY22" s="2207"/>
      <c r="AZ22" s="2207"/>
      <c r="BA22" s="2207"/>
      <c r="BB22" s="2208"/>
      <c r="BC22" s="2207"/>
      <c r="BD22" s="2207"/>
      <c r="BE22" s="2207"/>
      <c r="BF22" s="2208"/>
      <c r="BG22" s="2207"/>
      <c r="BH22" s="2207"/>
      <c r="BI22" s="2207"/>
      <c r="BJ22" s="2208"/>
      <c r="BK22" s="2207"/>
      <c r="BL22" s="2207"/>
      <c r="BM22" s="2207"/>
      <c r="BN22" s="2208"/>
      <c r="BO22" s="2207"/>
      <c r="BP22" s="2207"/>
      <c r="BQ22" s="2207"/>
      <c r="BR22" s="2208"/>
      <c r="BS22" s="2207"/>
      <c r="BT22" s="2207"/>
      <c r="BU22" s="2207"/>
      <c r="BV22" s="2208"/>
      <c r="BW22" s="2207"/>
      <c r="BX22" s="2207"/>
      <c r="BY22" s="2207"/>
      <c r="BZ22" s="2208"/>
      <c r="CA22" s="2207"/>
      <c r="CB22" s="2207"/>
      <c r="CC22" s="2207"/>
      <c r="CD22" s="2208"/>
      <c r="CE22" s="2207"/>
      <c r="CF22" s="2207"/>
      <c r="CG22" s="2207"/>
      <c r="CH22" s="2208"/>
      <c r="CI22" s="2207"/>
      <c r="CJ22" s="2207"/>
      <c r="CK22" s="2207"/>
      <c r="CL22" s="2208"/>
      <c r="CM22" s="2207"/>
      <c r="CN22" s="2207"/>
      <c r="CO22" s="2207"/>
      <c r="CP22" s="2208">
        <f t="shared" ref="CP22:DV22" si="18">CP21/CL21-1</f>
        <v>4.8760862568393959E-2</v>
      </c>
      <c r="CQ22" s="2207">
        <f t="shared" si="18"/>
        <v>5.0458715596330306E-2</v>
      </c>
      <c r="CR22" s="2207">
        <f t="shared" si="18"/>
        <v>5.0338969843372494E-2</v>
      </c>
      <c r="CS22" s="2207">
        <f t="shared" si="18"/>
        <v>5.1268087754784419E-2</v>
      </c>
      <c r="CT22" s="2208">
        <f t="shared" si="18"/>
        <v>4.9102347705999749E-2</v>
      </c>
      <c r="CU22" s="2207">
        <f t="shared" si="18"/>
        <v>5.5488631230236507E-2</v>
      </c>
      <c r="CV22" s="2207">
        <f t="shared" si="18"/>
        <v>6.8699458416796588E-2</v>
      </c>
      <c r="CW22" s="2207">
        <f t="shared" si="18"/>
        <v>7.7628949900096167E-2</v>
      </c>
      <c r="CX22" s="2208">
        <f t="shared" si="18"/>
        <v>8.8635366388766901E-2</v>
      </c>
      <c r="CY22" s="2207">
        <f t="shared" si="18"/>
        <v>8.6382766245809206E-2</v>
      </c>
      <c r="CZ22" s="2207">
        <f t="shared" si="18"/>
        <v>7.8653245400902572E-2</v>
      </c>
      <c r="DA22" s="2207">
        <f t="shared" si="18"/>
        <v>8.4054388133498081E-2</v>
      </c>
      <c r="DB22" s="2208">
        <f t="shared" si="18"/>
        <v>8.6188364906623738E-2</v>
      </c>
      <c r="DC22" s="2207">
        <f t="shared" si="18"/>
        <v>7.8266579120157553E-2</v>
      </c>
      <c r="DD22" s="2207">
        <f t="shared" si="18"/>
        <v>7.9675633929720657E-2</v>
      </c>
      <c r="DE22" s="2207">
        <f t="shared" si="18"/>
        <v>7.481312555428854E-2</v>
      </c>
      <c r="DF22" s="2208">
        <f t="shared" si="18"/>
        <v>6.6608943039148993E-2</v>
      </c>
      <c r="DG22" s="2207">
        <f t="shared" si="18"/>
        <v>5.2734137133114034E-2</v>
      </c>
      <c r="DH22" s="2207">
        <f t="shared" si="18"/>
        <v>4.6494992846924266E-2</v>
      </c>
      <c r="DI22" s="2209">
        <f t="shared" si="18"/>
        <v>2.6168444627806986E-2</v>
      </c>
      <c r="DJ22" s="2208">
        <f t="shared" si="18"/>
        <v>-5.9723993969615918E-3</v>
      </c>
      <c r="DK22" s="2207">
        <f t="shared" si="18"/>
        <v>-2.1402128644146257E-2</v>
      </c>
      <c r="DL22" s="2207">
        <f t="shared" si="18"/>
        <v>-4.1524265208475741E-2</v>
      </c>
      <c r="DM22" s="2209">
        <f t="shared" si="18"/>
        <v>-5.6688300499684097E-2</v>
      </c>
      <c r="DN22" s="2207">
        <f t="shared" si="18"/>
        <v>-6.4457796185031779E-2</v>
      </c>
      <c r="DO22" s="2207">
        <f t="shared" si="18"/>
        <v>-5.6034992315876608E-2</v>
      </c>
      <c r="DP22" s="2207">
        <f t="shared" si="18"/>
        <v>-5.4317465977298363E-2</v>
      </c>
      <c r="DQ22" s="2209">
        <f t="shared" si="18"/>
        <v>-5.1692644909888008E-2</v>
      </c>
      <c r="DR22" s="2208">
        <f t="shared" si="18"/>
        <v>-6.4284823544082825E-2</v>
      </c>
      <c r="DS22" s="2207">
        <f t="shared" si="18"/>
        <v>-7.0068879148403207E-2</v>
      </c>
      <c r="DT22" s="2207">
        <f t="shared" si="18"/>
        <v>-5.2975554578017947E-2</v>
      </c>
      <c r="DU22" s="2209">
        <f t="shared" si="18"/>
        <v>-2.9919743178170144E-2</v>
      </c>
      <c r="DV22" s="2207">
        <f t="shared" si="18"/>
        <v>-2.505497434530557E-2</v>
      </c>
      <c r="DW22" s="2207">
        <f t="shared" ref="DW22" ca="1" si="19">DW21/DS21-1</f>
        <v>-1.2902117616645059E-2</v>
      </c>
      <c r="DX22" s="2207">
        <f t="shared" ref="DX22" ca="1" si="20">DX21/DT21-1</f>
        <v>-1.3364066159448629E-2</v>
      </c>
      <c r="DY22" s="2209">
        <f t="shared" ref="DY22" ca="1" si="21">DY21/DU21-1</f>
        <v>-1.5859438710045914E-2</v>
      </c>
    </row>
    <row r="23" spans="1:129" s="1840" customFormat="1" ht="15" customHeight="1">
      <c r="A23" s="1937" t="s">
        <v>371</v>
      </c>
      <c r="B23" s="2216"/>
      <c r="C23" s="2216"/>
      <c r="D23" s="2216"/>
      <c r="E23" s="2216"/>
      <c r="F23" s="2216"/>
      <c r="G23" s="2216"/>
      <c r="H23" s="2216"/>
      <c r="I23" s="2216"/>
      <c r="J23" s="2216"/>
      <c r="K23" s="2216"/>
      <c r="L23" s="2216"/>
      <c r="M23" s="2216"/>
      <c r="N23" s="2216"/>
      <c r="O23" s="2216"/>
      <c r="P23" s="2216"/>
      <c r="Q23" s="2216">
        <f>+SUM(CL23:CO23)</f>
        <v>1287</v>
      </c>
      <c r="R23" s="2216">
        <f>+SUM(CP23:CS23)</f>
        <v>2321</v>
      </c>
      <c r="S23" s="2216">
        <f>+SUM(CT23:CW23)</f>
        <v>2497</v>
      </c>
      <c r="T23" s="2216">
        <f>+SUM(CX23:DA23)</f>
        <v>2293</v>
      </c>
      <c r="U23" s="2216">
        <f>+SUM(DB23:DE23)</f>
        <v>2699</v>
      </c>
      <c r="V23" s="2216">
        <f>+SUM(DF23:DI23)</f>
        <v>3129</v>
      </c>
      <c r="W23" s="2216">
        <f>+SUM(DJ23:DM23)</f>
        <v>3084</v>
      </c>
      <c r="X23" s="2216">
        <f>+SUM(DN23:DQ23)</f>
        <v>3084</v>
      </c>
      <c r="Y23" s="2216">
        <f>+SUM(DR23:DU23)</f>
        <v>3084</v>
      </c>
      <c r="Z23" s="2216">
        <f>+SUM(DV23:DY23)</f>
        <v>3084</v>
      </c>
      <c r="AA23" s="2216">
        <f>+Z23*(1+AA24)</f>
        <v>3084</v>
      </c>
      <c r="AB23" s="2216">
        <f>+AA23*(1+AB24)</f>
        <v>3084</v>
      </c>
      <c r="AC23" s="2216">
        <f t="shared" ref="AC23:AG23" si="22">+AB23*(1+AC24)</f>
        <v>3084</v>
      </c>
      <c r="AD23" s="2216">
        <f t="shared" si="22"/>
        <v>3084</v>
      </c>
      <c r="AE23" s="2216">
        <f t="shared" si="22"/>
        <v>3084</v>
      </c>
      <c r="AF23" s="2216">
        <f t="shared" si="22"/>
        <v>3084</v>
      </c>
      <c r="AG23" s="2216">
        <f t="shared" si="22"/>
        <v>3084</v>
      </c>
      <c r="AH23" s="2220"/>
      <c r="AI23" s="1928">
        <f>(AA23/V23)^(1/5)-1</f>
        <v>-2.893008958150034E-3</v>
      </c>
      <c r="AJ23" s="2221"/>
      <c r="AK23" s="2216"/>
      <c r="AL23" s="2216"/>
      <c r="AM23" s="2216"/>
      <c r="AN23" s="2216"/>
      <c r="AO23" s="2216"/>
      <c r="AP23" s="1937"/>
      <c r="AQ23" s="2216"/>
      <c r="AR23" s="2216"/>
      <c r="AS23" s="2216"/>
      <c r="AT23" s="1937"/>
      <c r="AU23" s="2216"/>
      <c r="AV23" s="2216"/>
      <c r="AW23" s="2216"/>
      <c r="AX23" s="1937"/>
      <c r="AY23" s="2216"/>
      <c r="AZ23" s="2216"/>
      <c r="BA23" s="2216"/>
      <c r="BB23" s="1937"/>
      <c r="BC23" s="2216"/>
      <c r="BD23" s="2216"/>
      <c r="BE23" s="2216"/>
      <c r="BF23" s="1937"/>
      <c r="BG23" s="2216"/>
      <c r="BH23" s="2216"/>
      <c r="BI23" s="2216"/>
      <c r="BJ23" s="1937"/>
      <c r="BK23" s="2216"/>
      <c r="BL23" s="2216"/>
      <c r="BM23" s="2216"/>
      <c r="BN23" s="1937"/>
      <c r="BO23" s="2216"/>
      <c r="BP23" s="2216"/>
      <c r="BQ23" s="2216"/>
      <c r="BR23" s="1937"/>
      <c r="BS23" s="2216"/>
      <c r="BT23" s="2216"/>
      <c r="BU23" s="2216"/>
      <c r="BV23" s="1937"/>
      <c r="BW23" s="2216"/>
      <c r="BX23" s="2216"/>
      <c r="BY23" s="2216"/>
      <c r="BZ23" s="1937"/>
      <c r="CA23" s="2216"/>
      <c r="CB23" s="2216"/>
      <c r="CC23" s="2216"/>
      <c r="CD23" s="1937"/>
      <c r="CE23" s="2216"/>
      <c r="CF23" s="2216"/>
      <c r="CG23" s="2216"/>
      <c r="CH23" s="1937"/>
      <c r="CI23" s="2216"/>
      <c r="CJ23" s="2216"/>
      <c r="CK23" s="2216"/>
      <c r="CL23" s="1937">
        <f>+NormInputs!CB256</f>
        <v>297</v>
      </c>
      <c r="CM23" s="2216">
        <f>+NormInputs!CC256</f>
        <v>345</v>
      </c>
      <c r="CN23" s="2216">
        <f>+NormInputs!CD256</f>
        <v>316</v>
      </c>
      <c r="CO23" s="2216">
        <f>+NormInputs!CE256</f>
        <v>329</v>
      </c>
      <c r="CP23" s="1937">
        <f>+NormInputs!CF256</f>
        <v>432</v>
      </c>
      <c r="CQ23" s="2216">
        <f>+NormInputs!CG256</f>
        <v>520</v>
      </c>
      <c r="CR23" s="2216">
        <f>+NormInputs!CH256</f>
        <v>689</v>
      </c>
      <c r="CS23" s="2216">
        <f>+NormInputs!CI256</f>
        <v>680</v>
      </c>
      <c r="CT23" s="1937">
        <f>+NormInputs!CJ256</f>
        <v>637</v>
      </c>
      <c r="CU23" s="2216">
        <f>+NormInputs!CK256</f>
        <v>688</v>
      </c>
      <c r="CV23" s="2216">
        <f>+NormInputs!CL256</f>
        <v>628</v>
      </c>
      <c r="CW23" s="2216">
        <f>+NormInputs!CM256</f>
        <v>544</v>
      </c>
      <c r="CX23" s="1937">
        <f>+NormInputs!CN256</f>
        <v>524</v>
      </c>
      <c r="CY23" s="2216">
        <f>+NormInputs!CO256</f>
        <v>546</v>
      </c>
      <c r="CZ23" s="2216">
        <f>+NormInputs!CP256</f>
        <v>616</v>
      </c>
      <c r="DA23" s="2216">
        <f>+NormInputs!CQ256</f>
        <v>607</v>
      </c>
      <c r="DB23" s="1937">
        <f>+NormInputs!CR256</f>
        <v>559</v>
      </c>
      <c r="DC23" s="2216">
        <f>+NormInputs!CS256</f>
        <v>656</v>
      </c>
      <c r="DD23" s="2216">
        <f>+NormInputs!CT256</f>
        <v>740</v>
      </c>
      <c r="DE23" s="2216">
        <f>+NormInputs!CU256</f>
        <v>744</v>
      </c>
      <c r="DF23" s="1937">
        <f>+NormInputs!CV256</f>
        <v>741</v>
      </c>
      <c r="DG23" s="2216">
        <f>+NormInputs!CW256</f>
        <v>790</v>
      </c>
      <c r="DH23" s="2216">
        <f>+NormInputs!CX256</f>
        <v>800</v>
      </c>
      <c r="DI23" s="2219">
        <f>+NormInputs!CY256</f>
        <v>798</v>
      </c>
      <c r="DJ23" s="2504">
        <f>+NormInputs!CZ256</f>
        <v>771</v>
      </c>
      <c r="DK23" s="2505">
        <f>+NormInputs!DA256</f>
        <v>771</v>
      </c>
      <c r="DL23" s="2505">
        <f>+NormInputs!DB256</f>
        <v>771</v>
      </c>
      <c r="DM23" s="2506">
        <f>+NormInputs!DC256</f>
        <v>771</v>
      </c>
      <c r="DN23" s="2505">
        <f>+NormInputs!DD256</f>
        <v>771</v>
      </c>
      <c r="DO23" s="2505">
        <f>+NormInputs!DE256</f>
        <v>771</v>
      </c>
      <c r="DP23" s="2505">
        <f>+NormInputs!DF256</f>
        <v>771</v>
      </c>
      <c r="DQ23" s="2506">
        <f>+NormInputs!DG256</f>
        <v>771</v>
      </c>
      <c r="DR23" s="2504">
        <f>+NormInputs!DH256</f>
        <v>771</v>
      </c>
      <c r="DS23" s="2505">
        <f>+NormInputs!DI256</f>
        <v>771</v>
      </c>
      <c r="DT23" s="2505">
        <f>+NormInputs!DJ256</f>
        <v>771</v>
      </c>
      <c r="DU23" s="2506">
        <f>+NormInputs!DK256</f>
        <v>771</v>
      </c>
      <c r="DV23" s="2505">
        <f>+NormInputs!DL256</f>
        <v>771</v>
      </c>
      <c r="DW23" s="2216">
        <f t="shared" ref="DW23" si="23">+DS23*(1+DW24)</f>
        <v>771</v>
      </c>
      <c r="DX23" s="2216">
        <f t="shared" ref="DX23" si="24">+DT23*(1+DX24)</f>
        <v>771</v>
      </c>
      <c r="DY23" s="2219">
        <f t="shared" ref="DY23" si="25">+DU23*(1+DY24)</f>
        <v>771</v>
      </c>
    </row>
    <row r="24" spans="1:129" s="1491" customFormat="1" ht="15" customHeight="1">
      <c r="A24" s="2206" t="s">
        <v>1453</v>
      </c>
      <c r="B24" s="2207"/>
      <c r="C24" s="2207"/>
      <c r="D24" s="2207"/>
      <c r="E24" s="2207"/>
      <c r="F24" s="2207"/>
      <c r="G24" s="2207"/>
      <c r="H24" s="2207"/>
      <c r="I24" s="2207"/>
      <c r="J24" s="2207"/>
      <c r="K24" s="2207"/>
      <c r="L24" s="2207"/>
      <c r="M24" s="2207"/>
      <c r="N24" s="2207"/>
      <c r="O24" s="2207"/>
      <c r="P24" s="2207"/>
      <c r="Q24" s="2207"/>
      <c r="R24" s="2207">
        <f t="shared" ref="R24:Z24" si="26">R23/Q23-1</f>
        <v>0.80341880341880345</v>
      </c>
      <c r="S24" s="2207">
        <f t="shared" si="26"/>
        <v>7.5829383886255819E-2</v>
      </c>
      <c r="T24" s="2207">
        <f t="shared" si="26"/>
        <v>-8.1698037645174248E-2</v>
      </c>
      <c r="U24" s="2207">
        <f t="shared" si="26"/>
        <v>0.17706061927605754</v>
      </c>
      <c r="V24" s="2207">
        <f t="shared" si="26"/>
        <v>0.15931826602445343</v>
      </c>
      <c r="W24" s="2207">
        <f t="shared" si="26"/>
        <v>-1.4381591562799612E-2</v>
      </c>
      <c r="X24" s="2207">
        <f t="shared" si="26"/>
        <v>0</v>
      </c>
      <c r="Y24" s="2207">
        <f t="shared" si="26"/>
        <v>0</v>
      </c>
      <c r="Z24" s="2207">
        <f t="shared" si="26"/>
        <v>0</v>
      </c>
      <c r="AA24" s="2222">
        <v>0</v>
      </c>
      <c r="AB24" s="2222">
        <v>0</v>
      </c>
      <c r="AC24" s="2222">
        <v>0</v>
      </c>
      <c r="AD24" s="2222">
        <v>0</v>
      </c>
      <c r="AE24" s="2222">
        <v>0</v>
      </c>
      <c r="AF24" s="2222">
        <v>0</v>
      </c>
      <c r="AG24" s="2222">
        <v>0</v>
      </c>
      <c r="AH24" s="2201"/>
      <c r="AI24" s="1927"/>
      <c r="AJ24" s="1561"/>
      <c r="AK24" s="2207"/>
      <c r="AL24" s="2207"/>
      <c r="AM24" s="2207"/>
      <c r="AN24" s="2207"/>
      <c r="AO24" s="2207"/>
      <c r="AP24" s="2208"/>
      <c r="AQ24" s="2207"/>
      <c r="AR24" s="2207"/>
      <c r="AS24" s="2207"/>
      <c r="AT24" s="2208"/>
      <c r="AU24" s="2207"/>
      <c r="AV24" s="2207"/>
      <c r="AW24" s="2207"/>
      <c r="AX24" s="2208"/>
      <c r="AY24" s="2207"/>
      <c r="AZ24" s="2207"/>
      <c r="BA24" s="2207"/>
      <c r="BB24" s="2208"/>
      <c r="BC24" s="2207"/>
      <c r="BD24" s="2207"/>
      <c r="BE24" s="2207"/>
      <c r="BF24" s="2208"/>
      <c r="BG24" s="2207"/>
      <c r="BH24" s="2207"/>
      <c r="BI24" s="2207"/>
      <c r="BJ24" s="2208"/>
      <c r="BK24" s="2207"/>
      <c r="BL24" s="2207"/>
      <c r="BM24" s="2207"/>
      <c r="BN24" s="2208"/>
      <c r="BO24" s="2207"/>
      <c r="BP24" s="2207"/>
      <c r="BQ24" s="2207"/>
      <c r="BR24" s="2208"/>
      <c r="BS24" s="2207"/>
      <c r="BT24" s="2207"/>
      <c r="BU24" s="2207"/>
      <c r="BV24" s="2208"/>
      <c r="BW24" s="2207"/>
      <c r="BX24" s="2207"/>
      <c r="BY24" s="2207"/>
      <c r="BZ24" s="2208"/>
      <c r="CA24" s="2207"/>
      <c r="CB24" s="2207"/>
      <c r="CC24" s="2207"/>
      <c r="CD24" s="2208"/>
      <c r="CE24" s="2207"/>
      <c r="CF24" s="2207"/>
      <c r="CG24" s="2207"/>
      <c r="CH24" s="2208"/>
      <c r="CI24" s="2207"/>
      <c r="CJ24" s="2207"/>
      <c r="CK24" s="2207"/>
      <c r="CL24" s="2208"/>
      <c r="CM24" s="2207"/>
      <c r="CN24" s="2207"/>
      <c r="CO24" s="2207"/>
      <c r="CP24" s="2208">
        <f t="shared" ref="CP24:DF24" si="27">CP23/CL23-1</f>
        <v>0.45454545454545459</v>
      </c>
      <c r="CQ24" s="2207">
        <f t="shared" si="27"/>
        <v>0.50724637681159424</v>
      </c>
      <c r="CR24" s="2207">
        <f t="shared" si="27"/>
        <v>1.1803797468354431</v>
      </c>
      <c r="CS24" s="2207">
        <f t="shared" si="27"/>
        <v>1.0668693009118542</v>
      </c>
      <c r="CT24" s="2208">
        <f t="shared" si="27"/>
        <v>0.47453703703703698</v>
      </c>
      <c r="CU24" s="2207">
        <f t="shared" si="27"/>
        <v>0.32307692307692304</v>
      </c>
      <c r="CV24" s="2207">
        <f t="shared" si="27"/>
        <v>-8.8534107402031936E-2</v>
      </c>
      <c r="CW24" s="2207">
        <f t="shared" si="27"/>
        <v>-0.19999999999999996</v>
      </c>
      <c r="CX24" s="2208">
        <f t="shared" si="27"/>
        <v>-0.17739403453689173</v>
      </c>
      <c r="CY24" s="2207">
        <f t="shared" si="27"/>
        <v>-0.20639534883720934</v>
      </c>
      <c r="CZ24" s="2207">
        <f t="shared" si="27"/>
        <v>-1.9108280254777066E-2</v>
      </c>
      <c r="DA24" s="2207">
        <f t="shared" si="27"/>
        <v>0.11580882352941169</v>
      </c>
      <c r="DB24" s="2208">
        <f t="shared" si="27"/>
        <v>6.6793893129770909E-2</v>
      </c>
      <c r="DC24" s="2207">
        <f t="shared" si="27"/>
        <v>0.20146520146520142</v>
      </c>
      <c r="DD24" s="2207">
        <f t="shared" si="27"/>
        <v>0.20129870129870131</v>
      </c>
      <c r="DE24" s="2207">
        <f t="shared" si="27"/>
        <v>0.22570016474464571</v>
      </c>
      <c r="DF24" s="2208">
        <f t="shared" si="27"/>
        <v>0.32558139534883712</v>
      </c>
      <c r="DG24" s="2207">
        <f t="shared" ref="DG24:DV24" si="28">DG23/DC23-1</f>
        <v>0.2042682926829269</v>
      </c>
      <c r="DH24" s="2207">
        <f t="shared" si="28"/>
        <v>8.1081081081081141E-2</v>
      </c>
      <c r="DI24" s="2209">
        <f t="shared" si="28"/>
        <v>7.2580645161290258E-2</v>
      </c>
      <c r="DJ24" s="2208">
        <f t="shared" si="28"/>
        <v>4.0485829959514108E-2</v>
      </c>
      <c r="DK24" s="2207">
        <f t="shared" si="28"/>
        <v>-2.4050632911392422E-2</v>
      </c>
      <c r="DL24" s="2207">
        <f t="shared" si="28"/>
        <v>-3.6250000000000004E-2</v>
      </c>
      <c r="DM24" s="2209">
        <f t="shared" si="28"/>
        <v>-3.3834586466165439E-2</v>
      </c>
      <c r="DN24" s="2207">
        <f t="shared" si="28"/>
        <v>0</v>
      </c>
      <c r="DO24" s="2207">
        <f t="shared" si="28"/>
        <v>0</v>
      </c>
      <c r="DP24" s="2207">
        <f t="shared" si="28"/>
        <v>0</v>
      </c>
      <c r="DQ24" s="2209">
        <f t="shared" si="28"/>
        <v>0</v>
      </c>
      <c r="DR24" s="2208">
        <f t="shared" si="28"/>
        <v>0</v>
      </c>
      <c r="DS24" s="2207">
        <f t="shared" si="28"/>
        <v>0</v>
      </c>
      <c r="DT24" s="2207">
        <f t="shared" si="28"/>
        <v>0</v>
      </c>
      <c r="DU24" s="2209">
        <f t="shared" si="28"/>
        <v>0</v>
      </c>
      <c r="DV24" s="2207">
        <f t="shared" si="28"/>
        <v>0</v>
      </c>
      <c r="DW24" s="2222">
        <v>0</v>
      </c>
      <c r="DX24" s="2222">
        <v>0</v>
      </c>
      <c r="DY24" s="2223">
        <v>0</v>
      </c>
    </row>
    <row r="25" spans="1:129" s="1491" customFormat="1" ht="15" customHeight="1">
      <c r="A25" s="2224" t="s">
        <v>372</v>
      </c>
      <c r="B25" s="2216"/>
      <c r="C25" s="2216"/>
      <c r="D25" s="2216"/>
      <c r="E25" s="2216"/>
      <c r="F25" s="2216"/>
      <c r="G25" s="2216"/>
      <c r="H25" s="2216"/>
      <c r="I25" s="2216"/>
      <c r="J25" s="2216"/>
      <c r="K25" s="2216"/>
      <c r="L25" s="2216"/>
      <c r="M25" s="2216"/>
      <c r="N25" s="2216">
        <f>+SUM(BZ25:CC25)</f>
        <v>38625.822</v>
      </c>
      <c r="O25" s="2216">
        <f>+SUM(CD25:CG25)</f>
        <v>44800.31</v>
      </c>
      <c r="P25" s="2216">
        <f>+SUM(CH25:CK25)</f>
        <v>48436</v>
      </c>
      <c r="Q25" s="2216">
        <f>+SUM(CL25:CO25)</f>
        <v>52046</v>
      </c>
      <c r="R25" s="2216">
        <f>+SUM(CP25:CS25)</f>
        <v>55629</v>
      </c>
      <c r="S25" s="2216">
        <f>+SUM(CT25:CW25)</f>
        <v>59157</v>
      </c>
      <c r="T25" s="2216">
        <f>+SUM(CX25:DA25)</f>
        <v>63733</v>
      </c>
      <c r="U25" s="2216">
        <f>+SUM(DB25:DE25)</f>
        <v>69033</v>
      </c>
      <c r="V25" s="2216">
        <f>+SUM(DF25:DI25)</f>
        <v>72630</v>
      </c>
      <c r="W25" s="2216">
        <f>+SUM(DJ25:DM25)</f>
        <v>70396</v>
      </c>
      <c r="X25" s="2216">
        <f>+SUM(DN25:DQ25)</f>
        <v>66580</v>
      </c>
      <c r="Y25" s="2216">
        <f>+SUM(DR25:DU25)</f>
        <v>63121</v>
      </c>
      <c r="Z25" s="2216">
        <f ca="1">+SUM(DV25:DY25)</f>
        <v>62112.373914782234</v>
      </c>
      <c r="AA25" s="2216">
        <f ca="1">+AA23+AA21</f>
        <v>63009.559843098272</v>
      </c>
      <c r="AB25" s="2216">
        <f ca="1">+AB23+AB21</f>
        <v>64028.331221101871</v>
      </c>
      <c r="AC25" s="2216">
        <f t="shared" ref="AC25:AG25" ca="1" si="29">+AC23+AC21</f>
        <v>65125.905027799636</v>
      </c>
      <c r="AD25" s="2216">
        <f t="shared" ca="1" si="29"/>
        <v>66292.996336391399</v>
      </c>
      <c r="AE25" s="2216">
        <f t="shared" ca="1" si="29"/>
        <v>67535.273018813896</v>
      </c>
      <c r="AF25" s="2216">
        <f t="shared" ca="1" si="29"/>
        <v>68864.869769470737</v>
      </c>
      <c r="AG25" s="2216">
        <f t="shared" ca="1" si="29"/>
        <v>70296.624937177126</v>
      </c>
      <c r="AH25" s="2201"/>
      <c r="AI25" s="1928">
        <f ca="1">(AA25/V25)^(1/5)-1</f>
        <v>-2.8018317865035836E-2</v>
      </c>
      <c r="AJ25" s="1561"/>
      <c r="AK25" s="2216"/>
      <c r="AL25" s="2216"/>
      <c r="AM25" s="2216"/>
      <c r="AN25" s="2216"/>
      <c r="AO25" s="2216"/>
      <c r="AP25" s="1937"/>
      <c r="AQ25" s="2216"/>
      <c r="AR25" s="2216"/>
      <c r="AS25" s="2216"/>
      <c r="AT25" s="1937"/>
      <c r="AU25" s="2216"/>
      <c r="AV25" s="2216"/>
      <c r="AW25" s="2216"/>
      <c r="AX25" s="1937"/>
      <c r="AY25" s="2216"/>
      <c r="AZ25" s="2216"/>
      <c r="BA25" s="2216"/>
      <c r="BB25" s="1937"/>
      <c r="BC25" s="2216"/>
      <c r="BD25" s="2216"/>
      <c r="BE25" s="2216"/>
      <c r="BF25" s="1937"/>
      <c r="BG25" s="2216"/>
      <c r="BH25" s="2216"/>
      <c r="BI25" s="2216"/>
      <c r="BJ25" s="1937"/>
      <c r="BK25" s="2216"/>
      <c r="BL25" s="2216"/>
      <c r="BM25" s="2216"/>
      <c r="BN25" s="1937"/>
      <c r="BO25" s="2216"/>
      <c r="BP25" s="2216"/>
      <c r="BQ25" s="2216"/>
      <c r="BR25" s="1937"/>
      <c r="BS25" s="2216"/>
      <c r="BT25" s="2216"/>
      <c r="BU25" s="2216"/>
      <c r="BV25" s="1937"/>
      <c r="BW25" s="2216"/>
      <c r="BX25" s="2216"/>
      <c r="BY25" s="2216"/>
      <c r="BZ25" s="2225">
        <f t="shared" ref="BZ25:CG25" si="30">+BZ17+BZ10-300</f>
        <v>8958.1479999999992</v>
      </c>
      <c r="CA25" s="2226">
        <f t="shared" si="30"/>
        <v>9470.1280000000006</v>
      </c>
      <c r="CB25" s="2226">
        <f t="shared" si="30"/>
        <v>9964.4429999999993</v>
      </c>
      <c r="CC25" s="2226">
        <f t="shared" si="30"/>
        <v>10233.102999999999</v>
      </c>
      <c r="CD25" s="2225">
        <f t="shared" si="30"/>
        <v>10571.119999999999</v>
      </c>
      <c r="CE25" s="2226">
        <f t="shared" si="30"/>
        <v>11073.616</v>
      </c>
      <c r="CF25" s="2226">
        <f t="shared" si="30"/>
        <v>11520.474</v>
      </c>
      <c r="CG25" s="2226">
        <f t="shared" si="30"/>
        <v>11635.1</v>
      </c>
      <c r="CH25" s="1937">
        <f>+NormInputs!BX257</f>
        <v>11535</v>
      </c>
      <c r="CI25" s="2216">
        <f>+NormInputs!BY257</f>
        <v>11923</v>
      </c>
      <c r="CJ25" s="2216">
        <f>+NormInputs!BZ257</f>
        <v>12420</v>
      </c>
      <c r="CK25" s="2216">
        <f>+NormInputs!CA257</f>
        <v>12558</v>
      </c>
      <c r="CL25" s="1937">
        <f t="shared" ref="CL25:DJ25" si="31">+CL23+CL21</f>
        <v>12725</v>
      </c>
      <c r="CM25" s="2216">
        <f t="shared" si="31"/>
        <v>12989</v>
      </c>
      <c r="CN25" s="2216">
        <f t="shared" si="31"/>
        <v>13149</v>
      </c>
      <c r="CO25" s="2216">
        <f t="shared" si="31"/>
        <v>13183</v>
      </c>
      <c r="CP25" s="1937">
        <f t="shared" si="31"/>
        <v>13466</v>
      </c>
      <c r="CQ25" s="2216">
        <f t="shared" si="31"/>
        <v>13802</v>
      </c>
      <c r="CR25" s="2216">
        <f t="shared" si="31"/>
        <v>14168</v>
      </c>
      <c r="CS25" s="2216">
        <f t="shared" si="31"/>
        <v>14193</v>
      </c>
      <c r="CT25" s="1937">
        <f t="shared" si="31"/>
        <v>14311</v>
      </c>
      <c r="CU25" s="2216">
        <f t="shared" si="31"/>
        <v>14707</v>
      </c>
      <c r="CV25" s="2216">
        <f t="shared" si="31"/>
        <v>15033</v>
      </c>
      <c r="CW25" s="2216">
        <f t="shared" si="31"/>
        <v>15106</v>
      </c>
      <c r="CX25" s="1937">
        <f t="shared" si="31"/>
        <v>15410</v>
      </c>
      <c r="CY25" s="2216">
        <f t="shared" si="31"/>
        <v>15776</v>
      </c>
      <c r="CZ25" s="2216">
        <f t="shared" si="31"/>
        <v>16154</v>
      </c>
      <c r="DA25" s="2216">
        <f t="shared" si="31"/>
        <v>16393</v>
      </c>
      <c r="DB25" s="1937">
        <f t="shared" si="31"/>
        <v>16728</v>
      </c>
      <c r="DC25" s="2216">
        <f t="shared" si="31"/>
        <v>17078</v>
      </c>
      <c r="DD25" s="2216">
        <f t="shared" si="31"/>
        <v>17516</v>
      </c>
      <c r="DE25" s="2216">
        <f t="shared" si="31"/>
        <v>17711</v>
      </c>
      <c r="DF25" s="1937">
        <f t="shared" si="31"/>
        <v>17987</v>
      </c>
      <c r="DG25" s="2216">
        <f t="shared" si="31"/>
        <v>18078</v>
      </c>
      <c r="DH25" s="2216">
        <f t="shared" si="31"/>
        <v>18356</v>
      </c>
      <c r="DI25" s="2219">
        <f t="shared" si="31"/>
        <v>18209</v>
      </c>
      <c r="DJ25" s="1937">
        <f t="shared" si="31"/>
        <v>17914</v>
      </c>
      <c r="DK25" s="2216">
        <f t="shared" ref="DK25:DM25" si="32">+DK23+DK21</f>
        <v>17689</v>
      </c>
      <c r="DL25" s="2216">
        <f t="shared" si="32"/>
        <v>17598</v>
      </c>
      <c r="DM25" s="2219">
        <f t="shared" si="32"/>
        <v>17195</v>
      </c>
      <c r="DN25" s="2216">
        <f t="shared" ref="DN25:DO25" si="33">+DN23+DN21</f>
        <v>16809</v>
      </c>
      <c r="DO25" s="2216">
        <f t="shared" si="33"/>
        <v>16741</v>
      </c>
      <c r="DP25" s="2216">
        <f t="shared" ref="DP25:DQ25" si="34">+DP23+DP21</f>
        <v>16684</v>
      </c>
      <c r="DQ25" s="2219">
        <f t="shared" si="34"/>
        <v>16346</v>
      </c>
      <c r="DR25" s="1937">
        <f t="shared" ref="DR25" si="35">+DR23+DR21</f>
        <v>15778</v>
      </c>
      <c r="DS25" s="2216">
        <f t="shared" ref="DS25:DT25" si="36">+DS23+DS21</f>
        <v>15622</v>
      </c>
      <c r="DT25" s="2216">
        <f t="shared" si="36"/>
        <v>15841</v>
      </c>
      <c r="DU25" s="2219">
        <f t="shared" ref="DU25" si="37">+DU23+DU21</f>
        <v>15880</v>
      </c>
      <c r="DV25" s="2216">
        <f t="shared" ref="DV25" si="38">+DV23+DV21</f>
        <v>15402</v>
      </c>
      <c r="DW25" s="2216">
        <f t="shared" ref="DW25:DY25" ca="1" si="39">+DW23+DW21</f>
        <v>15430.390651275204</v>
      </c>
      <c r="DX25" s="2216">
        <f t="shared" ca="1" si="39"/>
        <v>15639.60352297711</v>
      </c>
      <c r="DY25" s="2219">
        <f t="shared" ca="1" si="39"/>
        <v>15640.379740529916</v>
      </c>
    </row>
    <row r="26" spans="1:129" s="1491" customFormat="1" ht="15" customHeight="1">
      <c r="A26" s="2227" t="s">
        <v>1453</v>
      </c>
      <c r="B26" s="2207"/>
      <c r="C26" s="2207"/>
      <c r="D26" s="2207"/>
      <c r="E26" s="2207"/>
      <c r="F26" s="2207"/>
      <c r="G26" s="2207"/>
      <c r="H26" s="2207"/>
      <c r="I26" s="2207"/>
      <c r="J26" s="2207"/>
      <c r="K26" s="2207"/>
      <c r="L26" s="2207"/>
      <c r="M26" s="2207"/>
      <c r="N26" s="2207"/>
      <c r="O26" s="2228" t="s">
        <v>1149</v>
      </c>
      <c r="P26" s="2228">
        <f>+P25/O25-1</f>
        <v>8.1153233091467492E-2</v>
      </c>
      <c r="Q26" s="2207">
        <f t="shared" ref="Q26:AB26" si="40">Q25/P25-1</f>
        <v>7.4531340325377782E-2</v>
      </c>
      <c r="R26" s="2207">
        <f t="shared" si="40"/>
        <v>6.8842946624140255E-2</v>
      </c>
      <c r="S26" s="2207">
        <f t="shared" si="40"/>
        <v>6.3420158550396399E-2</v>
      </c>
      <c r="T26" s="2207">
        <f t="shared" si="40"/>
        <v>7.7353483104281917E-2</v>
      </c>
      <c r="U26" s="2207">
        <f t="shared" si="40"/>
        <v>8.3159430750160857E-2</v>
      </c>
      <c r="V26" s="2207">
        <f t="shared" si="40"/>
        <v>5.210551475381342E-2</v>
      </c>
      <c r="W26" s="2207">
        <f>W25/V25-1</f>
        <v>-3.0758639680572797E-2</v>
      </c>
      <c r="X26" s="2207">
        <f>X25/W25-1</f>
        <v>-5.4207625433263296E-2</v>
      </c>
      <c r="Y26" s="2207">
        <f>Y25/X25-1</f>
        <v>-5.1952538299789741E-2</v>
      </c>
      <c r="Z26" s="2207">
        <f ca="1">Z25/Y25-1</f>
        <v>-1.5979247559730791E-2</v>
      </c>
      <c r="AA26" s="2207">
        <f t="shared" ca="1" si="40"/>
        <v>1.4444560266638096E-2</v>
      </c>
      <c r="AB26" s="2207">
        <f t="shared" ca="1" si="40"/>
        <v>1.6168520785424745E-2</v>
      </c>
      <c r="AC26" s="2207">
        <f t="shared" ref="AC26" ca="1" si="41">AC25/AB25-1</f>
        <v>1.7142002388093491E-2</v>
      </c>
      <c r="AD26" s="2207">
        <f t="shared" ref="AD26" ca="1" si="42">AD25/AC25-1</f>
        <v>1.7920538810072273E-2</v>
      </c>
      <c r="AE26" s="2207">
        <f t="shared" ref="AE26" ca="1" si="43">AE25/AD25-1</f>
        <v>1.8739184394665154E-2</v>
      </c>
      <c r="AF26" s="2207">
        <f t="shared" ref="AF26" ca="1" si="44">AF25/AE25-1</f>
        <v>1.9687441706002229E-2</v>
      </c>
      <c r="AG26" s="2207">
        <f t="shared" ref="AG26" ca="1" si="45">AG25/AF25-1</f>
        <v>2.0790791770888051E-2</v>
      </c>
      <c r="AH26" s="2201"/>
      <c r="AI26" s="1927"/>
      <c r="AJ26" s="1561"/>
      <c r="AK26" s="2207"/>
      <c r="AL26" s="2207"/>
      <c r="AM26" s="2207"/>
      <c r="AN26" s="2207"/>
      <c r="AO26" s="2207"/>
      <c r="AP26" s="2208"/>
      <c r="AQ26" s="2207"/>
      <c r="AR26" s="2207"/>
      <c r="AS26" s="2207"/>
      <c r="AT26" s="2208"/>
      <c r="AU26" s="2207"/>
      <c r="AV26" s="2207"/>
      <c r="AW26" s="2207"/>
      <c r="AX26" s="2208"/>
      <c r="AY26" s="2207"/>
      <c r="AZ26" s="2207"/>
      <c r="BA26" s="2207"/>
      <c r="BB26" s="2208"/>
      <c r="BC26" s="2207"/>
      <c r="BD26" s="2207"/>
      <c r="BE26" s="2207"/>
      <c r="BF26" s="2208"/>
      <c r="BG26" s="2207"/>
      <c r="BH26" s="2207"/>
      <c r="BI26" s="2207"/>
      <c r="BJ26" s="2208"/>
      <c r="BK26" s="2207"/>
      <c r="BL26" s="2207"/>
      <c r="BM26" s="2207"/>
      <c r="BN26" s="2208"/>
      <c r="BO26" s="2207"/>
      <c r="BP26" s="2207"/>
      <c r="BQ26" s="2207"/>
      <c r="BR26" s="2208"/>
      <c r="BS26" s="2207"/>
      <c r="BT26" s="2207"/>
      <c r="BU26" s="2207"/>
      <c r="BV26" s="2208"/>
      <c r="BW26" s="2207"/>
      <c r="BX26" s="2207"/>
      <c r="BY26" s="2207"/>
      <c r="BZ26" s="2208"/>
      <c r="CA26" s="2207"/>
      <c r="CB26" s="2207"/>
      <c r="CC26" s="2207"/>
      <c r="CD26" s="2208"/>
      <c r="CE26" s="2207"/>
      <c r="CF26" s="2207"/>
      <c r="CG26" s="2207"/>
      <c r="CH26" s="2229" t="s">
        <v>1149</v>
      </c>
      <c r="CI26" s="1986" t="s">
        <v>1149</v>
      </c>
      <c r="CJ26" s="1986" t="s">
        <v>1149</v>
      </c>
      <c r="CK26" s="1986" t="s">
        <v>1149</v>
      </c>
      <c r="CL26" s="2208">
        <f t="shared" ref="CL26:DV26" si="46">CL25/CH25-1</f>
        <v>0.10316428261811872</v>
      </c>
      <c r="CM26" s="2207">
        <f t="shared" si="46"/>
        <v>8.9407028432441527E-2</v>
      </c>
      <c r="CN26" s="2207">
        <f t="shared" si="46"/>
        <v>5.8695652173913038E-2</v>
      </c>
      <c r="CO26" s="2207">
        <f t="shared" si="46"/>
        <v>4.9769071508201979E-2</v>
      </c>
      <c r="CP26" s="2208">
        <f t="shared" si="46"/>
        <v>5.823182711198438E-2</v>
      </c>
      <c r="CQ26" s="2207">
        <f t="shared" si="46"/>
        <v>6.2591423512202704E-2</v>
      </c>
      <c r="CR26" s="2207">
        <f t="shared" si="46"/>
        <v>7.7496387557989266E-2</v>
      </c>
      <c r="CS26" s="2207">
        <f t="shared" si="46"/>
        <v>7.6613820829856571E-2</v>
      </c>
      <c r="CT26" s="2208">
        <f t="shared" si="46"/>
        <v>6.2750631219367303E-2</v>
      </c>
      <c r="CU26" s="2207">
        <f t="shared" si="46"/>
        <v>6.5570207216345544E-2</v>
      </c>
      <c r="CV26" s="2207">
        <f t="shared" si="46"/>
        <v>6.1053077357425156E-2</v>
      </c>
      <c r="CW26" s="2207">
        <f t="shared" si="46"/>
        <v>6.4327485380117011E-2</v>
      </c>
      <c r="CX26" s="2208">
        <f t="shared" si="46"/>
        <v>7.6794074488155895E-2</v>
      </c>
      <c r="CY26" s="2207">
        <f t="shared" si="46"/>
        <v>7.268647582783716E-2</v>
      </c>
      <c r="CZ26" s="2207">
        <f t="shared" si="46"/>
        <v>7.4569280915319558E-2</v>
      </c>
      <c r="DA26" s="2207">
        <f t="shared" si="46"/>
        <v>8.5197934595524938E-2</v>
      </c>
      <c r="DB26" s="2208">
        <f t="shared" si="46"/>
        <v>8.5528877352368582E-2</v>
      </c>
      <c r="DC26" s="2207">
        <f t="shared" si="46"/>
        <v>8.2530425963488918E-2</v>
      </c>
      <c r="DD26" s="2207">
        <f t="shared" si="46"/>
        <v>8.4313482728735956E-2</v>
      </c>
      <c r="DE26" s="2207">
        <f t="shared" si="46"/>
        <v>8.0400170804611815E-2</v>
      </c>
      <c r="DF26" s="2208">
        <f t="shared" si="46"/>
        <v>7.5263032042085065E-2</v>
      </c>
      <c r="DG26" s="2207">
        <f t="shared" si="46"/>
        <v>5.8554865909357101E-2</v>
      </c>
      <c r="DH26" s="2207">
        <f t="shared" si="46"/>
        <v>4.7956154373144599E-2</v>
      </c>
      <c r="DI26" s="2209">
        <f t="shared" si="46"/>
        <v>2.8118118683304161E-2</v>
      </c>
      <c r="DJ26" s="2208">
        <f t="shared" si="46"/>
        <v>-4.0584866848278889E-3</v>
      </c>
      <c r="DK26" s="2207">
        <f t="shared" si="46"/>
        <v>-2.1517867020688142E-2</v>
      </c>
      <c r="DL26" s="2207">
        <f t="shared" si="46"/>
        <v>-4.1294399651340186E-2</v>
      </c>
      <c r="DM26" s="2209">
        <f t="shared" si="46"/>
        <v>-5.5686748311274625E-2</v>
      </c>
      <c r="DN26" s="2207">
        <f t="shared" si="46"/>
        <v>-6.1683599419448454E-2</v>
      </c>
      <c r="DO26" s="2207">
        <f t="shared" si="46"/>
        <v>-5.3592628187008828E-2</v>
      </c>
      <c r="DP26" s="2207">
        <f t="shared" si="46"/>
        <v>-5.1937720195476711E-2</v>
      </c>
      <c r="DQ26" s="2209">
        <f t="shared" si="46"/>
        <v>-4.9374818261122444E-2</v>
      </c>
      <c r="DR26" s="2208">
        <f t="shared" si="46"/>
        <v>-6.1336188946397807E-2</v>
      </c>
      <c r="DS26" s="2207">
        <f t="shared" si="46"/>
        <v>-6.6841885192043482E-2</v>
      </c>
      <c r="DT26" s="2207">
        <f t="shared" si="46"/>
        <v>-5.0527451450491534E-2</v>
      </c>
      <c r="DU26" s="2209">
        <f t="shared" si="46"/>
        <v>-2.850850360944579E-2</v>
      </c>
      <c r="DV26" s="2207">
        <f t="shared" si="46"/>
        <v>-2.3830650272531395E-2</v>
      </c>
      <c r="DW26" s="2207">
        <f t="shared" ref="DW26" ca="1" si="47">DW25/DS25-1</f>
        <v>-1.226535326621403E-2</v>
      </c>
      <c r="DX26" s="2207">
        <f t="shared" ref="DX26" ca="1" si="48">DX25/DT25-1</f>
        <v>-1.2713621426860056E-2</v>
      </c>
      <c r="DY26" s="2209">
        <f t="shared" ref="DY26" ca="1" si="49">DY25/DU25-1</f>
        <v>-1.5089436994337846E-2</v>
      </c>
    </row>
    <row r="27" spans="1:129" s="1840" customFormat="1" ht="15" customHeight="1">
      <c r="A27" s="1934" t="s">
        <v>798</v>
      </c>
      <c r="B27" s="2216"/>
      <c r="C27" s="2216"/>
      <c r="D27" s="2216"/>
      <c r="E27" s="2216"/>
      <c r="F27" s="2216"/>
      <c r="G27" s="2216"/>
      <c r="H27" s="2216"/>
      <c r="I27" s="2216"/>
      <c r="J27" s="2216"/>
      <c r="K27" s="2216"/>
      <c r="L27" s="2216"/>
      <c r="M27" s="2216"/>
      <c r="N27" s="2216">
        <f>+SUM(BZ27:CC27)</f>
        <v>0</v>
      </c>
      <c r="O27" s="2216">
        <f>+SUM(CD27:CG27)</f>
        <v>0</v>
      </c>
      <c r="P27" s="2216">
        <f>+SUM(CH27:CK27)</f>
        <v>8520</v>
      </c>
      <c r="Q27" s="2216">
        <f>+SUM(CL27:CO27)</f>
        <v>4847</v>
      </c>
      <c r="R27" s="2216">
        <f>+SUM(CP27:CS27)</f>
        <v>4418</v>
      </c>
      <c r="S27" s="2216">
        <f>+SUM(CT27:CW27)</f>
        <v>7457</v>
      </c>
      <c r="T27" s="2216">
        <f>+SUM(CX27:DA27)</f>
        <v>8023</v>
      </c>
      <c r="U27" s="2216">
        <f>+SUM(DB27:DE27)</f>
        <v>8111</v>
      </c>
      <c r="V27" s="2216">
        <f>+SUM(DF27:DI27)</f>
        <v>10959</v>
      </c>
      <c r="W27" s="2216">
        <f>+SUM(DJ27:DM27)</f>
        <v>16924</v>
      </c>
      <c r="X27" s="2216">
        <f>+SUM(DN27:DQ27)</f>
        <v>17515</v>
      </c>
      <c r="Y27" s="2216">
        <f>+SUM(DR27:DU27)</f>
        <v>18889</v>
      </c>
      <c r="Z27" s="3311">
        <f ca="1">+SUM(DV27:DY27)</f>
        <v>21265.156640867848</v>
      </c>
      <c r="AA27" s="2216">
        <f ca="1">AA433</f>
        <v>20689.43678256034</v>
      </c>
      <c r="AB27" s="2216">
        <f t="shared" ref="AB27:AG27" ca="1" si="50">AB433</f>
        <v>20508.581086799473</v>
      </c>
      <c r="AC27" s="2216">
        <f t="shared" ca="1" si="50"/>
        <v>20293.199245634241</v>
      </c>
      <c r="AD27" s="2216">
        <f t="shared" ca="1" si="50"/>
        <v>20049.079123320953</v>
      </c>
      <c r="AE27" s="2216">
        <f t="shared" ca="1" si="50"/>
        <v>19781.061589141056</v>
      </c>
      <c r="AF27" s="2216">
        <f t="shared" ca="1" si="50"/>
        <v>19493.195692455978</v>
      </c>
      <c r="AG27" s="2216">
        <f t="shared" ca="1" si="50"/>
        <v>19188.867020532267</v>
      </c>
      <c r="AH27" s="2220"/>
      <c r="AI27" s="1928">
        <f ca="1">(AA27/V27)^(1/5)-1</f>
        <v>0.13552198811794947</v>
      </c>
      <c r="AJ27" s="2221"/>
      <c r="AK27" s="2216"/>
      <c r="AL27" s="2216"/>
      <c r="AM27" s="2216"/>
      <c r="AN27" s="2216"/>
      <c r="AO27" s="2216"/>
      <c r="AP27" s="1937"/>
      <c r="AQ27" s="2216"/>
      <c r="AR27" s="2216"/>
      <c r="AS27" s="2216"/>
      <c r="AT27" s="1937"/>
      <c r="AU27" s="2216"/>
      <c r="AV27" s="2216"/>
      <c r="AW27" s="2216"/>
      <c r="AX27" s="1937"/>
      <c r="AY27" s="2216"/>
      <c r="AZ27" s="2216"/>
      <c r="BA27" s="2216"/>
      <c r="BB27" s="1937"/>
      <c r="BC27" s="2216"/>
      <c r="BD27" s="2216"/>
      <c r="BE27" s="2216"/>
      <c r="BF27" s="1937"/>
      <c r="BG27" s="2216"/>
      <c r="BH27" s="2216"/>
      <c r="BI27" s="2216"/>
      <c r="BJ27" s="1937"/>
      <c r="BK27" s="2216"/>
      <c r="BL27" s="2216"/>
      <c r="BM27" s="2216"/>
      <c r="BN27" s="1937"/>
      <c r="BO27" s="2216"/>
      <c r="BP27" s="2216"/>
      <c r="BQ27" s="2216"/>
      <c r="BR27" s="1937"/>
      <c r="BS27" s="2216"/>
      <c r="BT27" s="2216"/>
      <c r="BU27" s="2216"/>
      <c r="BV27" s="1937"/>
      <c r="BW27" s="2216"/>
      <c r="BX27" s="2216"/>
      <c r="BY27" s="2216"/>
      <c r="BZ27" s="1937"/>
      <c r="CA27" s="2216"/>
      <c r="CB27" s="2216"/>
      <c r="CC27" s="2216"/>
      <c r="CD27" s="1937"/>
      <c r="CE27" s="2216"/>
      <c r="CF27" s="2216"/>
      <c r="CG27" s="2216"/>
      <c r="CH27" s="1937">
        <f>NormInputs!BX259</f>
        <v>1963</v>
      </c>
      <c r="CI27" s="2216">
        <f>NormInputs!BY259</f>
        <v>2061</v>
      </c>
      <c r="CJ27" s="2216">
        <f>NormInputs!BZ259</f>
        <v>2228</v>
      </c>
      <c r="CK27" s="2216">
        <f>NormInputs!CA259</f>
        <v>2268</v>
      </c>
      <c r="CL27" s="1937">
        <f>NormInputs!CB259</f>
        <v>1132</v>
      </c>
      <c r="CM27" s="2216">
        <f>NormInputs!CC259</f>
        <v>1156</v>
      </c>
      <c r="CN27" s="2216">
        <f>NormInputs!CD259</f>
        <v>1300</v>
      </c>
      <c r="CO27" s="2216">
        <f>NormInputs!CE259</f>
        <v>1259</v>
      </c>
      <c r="CP27" s="1937">
        <f>NormInputs!CF259</f>
        <v>992</v>
      </c>
      <c r="CQ27" s="2216">
        <f>NormInputs!CG259</f>
        <v>1024</v>
      </c>
      <c r="CR27" s="2216">
        <f>NormInputs!CH259</f>
        <v>1276</v>
      </c>
      <c r="CS27" s="2216">
        <f>NormInputs!CI259</f>
        <v>1126</v>
      </c>
      <c r="CT27" s="1937">
        <f>NormInputs!CJ259</f>
        <v>1689</v>
      </c>
      <c r="CU27" s="2216">
        <f>NormInputs!CK259</f>
        <v>1753</v>
      </c>
      <c r="CV27" s="2216">
        <f>NormInputs!CL259</f>
        <v>1800</v>
      </c>
      <c r="CW27" s="2216">
        <f>NormInputs!CM259</f>
        <v>2215</v>
      </c>
      <c r="CX27" s="1937">
        <f>NormInputs!CN259</f>
        <v>1838</v>
      </c>
      <c r="CY27" s="2216">
        <f>NormInputs!CO259</f>
        <v>1768</v>
      </c>
      <c r="CZ27" s="2216">
        <f>NormInputs!CP259</f>
        <v>1858</v>
      </c>
      <c r="DA27" s="2216">
        <f>NormInputs!CQ259</f>
        <v>2559</v>
      </c>
      <c r="DB27" s="1937">
        <f>NormInputs!CR259</f>
        <v>1813</v>
      </c>
      <c r="DC27" s="2216">
        <f>NormInputs!CS259</f>
        <v>1953</v>
      </c>
      <c r="DD27" s="2216">
        <f>NormInputs!CT259</f>
        <v>1924</v>
      </c>
      <c r="DE27" s="2216">
        <f>NormInputs!CU259</f>
        <v>2421</v>
      </c>
      <c r="DF27" s="1937">
        <f>NormInputs!CV259</f>
        <v>1870</v>
      </c>
      <c r="DG27" s="2216">
        <f>NormInputs!CW259</f>
        <v>2387</v>
      </c>
      <c r="DH27" s="2216">
        <f>NormInputs!CX259</f>
        <v>2480</v>
      </c>
      <c r="DI27" s="2219">
        <f>NormInputs!CY259</f>
        <v>4222</v>
      </c>
      <c r="DJ27" s="2504">
        <f>NormInputs!CZ259</f>
        <v>3373</v>
      </c>
      <c r="DK27" s="2505">
        <f>NormInputs!DA259</f>
        <v>3861</v>
      </c>
      <c r="DL27" s="2505">
        <f>NormInputs!DB259</f>
        <v>4292</v>
      </c>
      <c r="DM27" s="2506">
        <f>NormInputs!DC259</f>
        <v>5398</v>
      </c>
      <c r="DN27" s="2505">
        <f>NormInputs!DD259</f>
        <v>3954</v>
      </c>
      <c r="DO27" s="2505">
        <f>NormInputs!DE259</f>
        <v>3704</v>
      </c>
      <c r="DP27" s="2505">
        <f>NormInputs!DF259</f>
        <v>4124</v>
      </c>
      <c r="DQ27" s="2506">
        <f>NormInputs!DG259</f>
        <v>5733</v>
      </c>
      <c r="DR27" s="2504">
        <f>NormInputs!DH259</f>
        <v>3764</v>
      </c>
      <c r="DS27" s="2505">
        <f>NormInputs!DI259</f>
        <v>4298</v>
      </c>
      <c r="DT27" s="2505">
        <f>NormInputs!DJ259</f>
        <v>4352</v>
      </c>
      <c r="DU27" s="2506">
        <f>NormInputs!DK259</f>
        <v>6475</v>
      </c>
      <c r="DV27" s="2505">
        <f>NormInputs!DL259</f>
        <v>5040</v>
      </c>
      <c r="DW27" s="2216">
        <f>DW433</f>
        <v>4904.6265666061236</v>
      </c>
      <c r="DX27" s="2216">
        <f t="shared" ref="DX27:DY27" ca="1" si="51">DX433</f>
        <v>4970.3774831801165</v>
      </c>
      <c r="DY27" s="2219">
        <f t="shared" ca="1" si="51"/>
        <v>6350.152591081609</v>
      </c>
    </row>
    <row r="28" spans="1:129" s="1491" customFormat="1" ht="15" customHeight="1">
      <c r="A28" s="2206" t="s">
        <v>1453</v>
      </c>
      <c r="B28" s="2207"/>
      <c r="C28" s="2207"/>
      <c r="D28" s="2207"/>
      <c r="E28" s="2207"/>
      <c r="F28" s="2207"/>
      <c r="G28" s="2207"/>
      <c r="H28" s="2207"/>
      <c r="I28" s="2207"/>
      <c r="J28" s="2207"/>
      <c r="K28" s="2207"/>
      <c r="L28" s="2207"/>
      <c r="M28" s="2207"/>
      <c r="N28" s="2207"/>
      <c r="O28" s="2228" t="s">
        <v>1149</v>
      </c>
      <c r="P28" s="2228" t="s">
        <v>1149</v>
      </c>
      <c r="Q28" s="2207">
        <f t="shared" ref="Q28:AB28" si="52">Q27/P27-1</f>
        <v>-0.43110328638497653</v>
      </c>
      <c r="R28" s="2207">
        <f t="shared" si="52"/>
        <v>-8.850835568392823E-2</v>
      </c>
      <c r="S28" s="2207">
        <f t="shared" si="52"/>
        <v>0.68786781349026715</v>
      </c>
      <c r="T28" s="2207">
        <f t="shared" si="52"/>
        <v>7.5901837199946254E-2</v>
      </c>
      <c r="U28" s="2207">
        <f t="shared" si="52"/>
        <v>1.0968465661223892E-2</v>
      </c>
      <c r="V28" s="2207">
        <f t="shared" si="52"/>
        <v>0.35112809764517317</v>
      </c>
      <c r="W28" s="2207">
        <f>W27/V27-1</f>
        <v>0.54430148736198558</v>
      </c>
      <c r="X28" s="2207">
        <f>X27/W27-1</f>
        <v>3.4920822500590809E-2</v>
      </c>
      <c r="Y28" s="2207">
        <f>Y27/X27-1</f>
        <v>7.8447045389665959E-2</v>
      </c>
      <c r="Z28" s="2207">
        <f ca="1">Z27/Y27-1</f>
        <v>0.125795788070721</v>
      </c>
      <c r="AA28" s="2207">
        <f t="shared" ca="1" si="52"/>
        <v>-2.7073389019908634E-2</v>
      </c>
      <c r="AB28" s="2207">
        <f t="shared" ca="1" si="52"/>
        <v>-8.7414508989106521E-3</v>
      </c>
      <c r="AC28" s="2207">
        <f t="shared" ref="AC28" ca="1" si="53">AC27/AB27-1</f>
        <v>-1.0502035233625362E-2</v>
      </c>
      <c r="AD28" s="2207">
        <f t="shared" ref="AD28" ca="1" si="54">AD27/AC27-1</f>
        <v>-1.2029651872944913E-2</v>
      </c>
      <c r="AE28" s="2207">
        <f t="shared" ref="AE28" ca="1" si="55">AE27/AD27-1</f>
        <v>-1.3368072046168966E-2</v>
      </c>
      <c r="AF28" s="2207">
        <f t="shared" ref="AF28" ca="1" si="56">AF27/AE27-1</f>
        <v>-1.4552601001106225E-2</v>
      </c>
      <c r="AG28" s="2207">
        <f t="shared" ref="AG28" ca="1" si="57">AG27/AF27-1</f>
        <v>-1.5612046209616093E-2</v>
      </c>
      <c r="AH28" s="2201"/>
      <c r="AI28" s="1927"/>
      <c r="AJ28" s="1561"/>
      <c r="AK28" s="2207"/>
      <c r="AL28" s="2207"/>
      <c r="AM28" s="2207"/>
      <c r="AN28" s="2207"/>
      <c r="AO28" s="2207"/>
      <c r="AP28" s="2208"/>
      <c r="AQ28" s="2207"/>
      <c r="AR28" s="2207"/>
      <c r="AS28" s="2207"/>
      <c r="AT28" s="2208"/>
      <c r="AU28" s="2207"/>
      <c r="AV28" s="2207"/>
      <c r="AW28" s="2207"/>
      <c r="AX28" s="2208"/>
      <c r="AY28" s="2207"/>
      <c r="AZ28" s="2207"/>
      <c r="BA28" s="2207"/>
      <c r="BB28" s="2208"/>
      <c r="BC28" s="2207"/>
      <c r="BD28" s="2207"/>
      <c r="BE28" s="2207"/>
      <c r="BF28" s="2208"/>
      <c r="BG28" s="2207"/>
      <c r="BH28" s="2207"/>
      <c r="BI28" s="2207"/>
      <c r="BJ28" s="2208"/>
      <c r="BK28" s="2207"/>
      <c r="BL28" s="2207"/>
      <c r="BM28" s="2207"/>
      <c r="BN28" s="2208"/>
      <c r="BO28" s="2207"/>
      <c r="BP28" s="2207"/>
      <c r="BQ28" s="2207"/>
      <c r="BR28" s="2208"/>
      <c r="BS28" s="2207"/>
      <c r="BT28" s="2207"/>
      <c r="BU28" s="2207"/>
      <c r="BV28" s="2208"/>
      <c r="BW28" s="2207"/>
      <c r="BX28" s="2207"/>
      <c r="BY28" s="2207"/>
      <c r="BZ28" s="2208"/>
      <c r="CA28" s="2207"/>
      <c r="CB28" s="2207"/>
      <c r="CC28" s="2207"/>
      <c r="CD28" s="2208"/>
      <c r="CE28" s="2207"/>
      <c r="CF28" s="2207"/>
      <c r="CG28" s="2207"/>
      <c r="CH28" s="2230" t="s">
        <v>1149</v>
      </c>
      <c r="CI28" s="2228" t="s">
        <v>1149</v>
      </c>
      <c r="CJ28" s="2228" t="s">
        <v>1149</v>
      </c>
      <c r="CK28" s="2228" t="s">
        <v>1149</v>
      </c>
      <c r="CL28" s="2208">
        <f t="shared" ref="CL28:DV28" si="58">CL27/CH27-1</f>
        <v>-0.42333163525216511</v>
      </c>
      <c r="CM28" s="2207">
        <f t="shared" si="58"/>
        <v>-0.43910722950024261</v>
      </c>
      <c r="CN28" s="2207">
        <f t="shared" si="58"/>
        <v>-0.41651705565529618</v>
      </c>
      <c r="CO28" s="2207">
        <f t="shared" si="58"/>
        <v>-0.44488536155202818</v>
      </c>
      <c r="CP28" s="2208">
        <f t="shared" si="58"/>
        <v>-0.12367491166077738</v>
      </c>
      <c r="CQ28" s="2207">
        <f t="shared" si="58"/>
        <v>-0.11418685121107264</v>
      </c>
      <c r="CR28" s="2207">
        <f t="shared" si="58"/>
        <v>-1.8461538461538418E-2</v>
      </c>
      <c r="CS28" s="2207">
        <f t="shared" si="58"/>
        <v>-0.10563939634630659</v>
      </c>
      <c r="CT28" s="2208">
        <f t="shared" si="58"/>
        <v>0.7026209677419355</v>
      </c>
      <c r="CU28" s="2207">
        <f t="shared" si="58"/>
        <v>0.7119140625</v>
      </c>
      <c r="CV28" s="2207">
        <f t="shared" si="58"/>
        <v>0.41065830721003138</v>
      </c>
      <c r="CW28" s="2207">
        <f t="shared" si="58"/>
        <v>0.96714031971580816</v>
      </c>
      <c r="CX28" s="2208">
        <f t="shared" si="58"/>
        <v>8.8217880402605031E-2</v>
      </c>
      <c r="CY28" s="2207">
        <f t="shared" si="58"/>
        <v>8.5567598402738199E-3</v>
      </c>
      <c r="CZ28" s="2207">
        <f t="shared" si="58"/>
        <v>3.2222222222222152E-2</v>
      </c>
      <c r="DA28" s="2207">
        <f t="shared" si="58"/>
        <v>0.15530474040632058</v>
      </c>
      <c r="DB28" s="2208">
        <f t="shared" si="58"/>
        <v>-1.3601741022850944E-2</v>
      </c>
      <c r="DC28" s="2207">
        <f t="shared" si="58"/>
        <v>0.10463800904977383</v>
      </c>
      <c r="DD28" s="2207">
        <f t="shared" si="58"/>
        <v>3.5522066738428393E-2</v>
      </c>
      <c r="DE28" s="2207">
        <f t="shared" si="58"/>
        <v>-5.3927315357561567E-2</v>
      </c>
      <c r="DF28" s="2208">
        <f t="shared" si="58"/>
        <v>3.1439602868174266E-2</v>
      </c>
      <c r="DG28" s="2207">
        <f t="shared" si="58"/>
        <v>0.22222222222222232</v>
      </c>
      <c r="DH28" s="2207">
        <f t="shared" si="58"/>
        <v>0.28898128898128905</v>
      </c>
      <c r="DI28" s="2209">
        <f t="shared" si="58"/>
        <v>0.74390747624948372</v>
      </c>
      <c r="DJ28" s="2208">
        <f t="shared" si="58"/>
        <v>0.80374331550802136</v>
      </c>
      <c r="DK28" s="2207">
        <f t="shared" si="58"/>
        <v>0.61751152073732718</v>
      </c>
      <c r="DL28" s="2207">
        <f t="shared" si="58"/>
        <v>0.73064516129032264</v>
      </c>
      <c r="DM28" s="2209">
        <f t="shared" si="58"/>
        <v>0.2785409758408337</v>
      </c>
      <c r="DN28" s="2207">
        <f t="shared" si="58"/>
        <v>0.17225022235398746</v>
      </c>
      <c r="DO28" s="2207">
        <f t="shared" si="58"/>
        <v>-4.0663040663040717E-2</v>
      </c>
      <c r="DP28" s="2207">
        <f t="shared" si="58"/>
        <v>-3.9142590866728777E-2</v>
      </c>
      <c r="DQ28" s="2209">
        <f t="shared" si="58"/>
        <v>6.2060022230455703E-2</v>
      </c>
      <c r="DR28" s="2208">
        <f t="shared" si="58"/>
        <v>-4.8052604957005585E-2</v>
      </c>
      <c r="DS28" s="2207">
        <f t="shared" si="58"/>
        <v>0.16036717062634986</v>
      </c>
      <c r="DT28" s="2207">
        <f t="shared" si="58"/>
        <v>5.5286129970901987E-2</v>
      </c>
      <c r="DU28" s="2209">
        <f t="shared" si="58"/>
        <v>0.12942612942612941</v>
      </c>
      <c r="DV28" s="2207">
        <f t="shared" si="58"/>
        <v>0.33900106269925612</v>
      </c>
      <c r="DW28" s="2207">
        <f t="shared" ref="DW28" si="59">DW27/DS27-1</f>
        <v>0.1411415929749007</v>
      </c>
      <c r="DX28" s="2207">
        <f t="shared" ref="DX28" ca="1" si="60">DX27/DT27-1</f>
        <v>0.14209041433366654</v>
      </c>
      <c r="DY28" s="2209">
        <f t="shared" ref="DY28" ca="1" si="61">DY27/DU27-1</f>
        <v>-1.9281453114809444E-2</v>
      </c>
    </row>
    <row r="29" spans="1:129" s="1840" customFormat="1" ht="15" customHeight="1">
      <c r="A29" s="1934" t="s">
        <v>373</v>
      </c>
      <c r="B29" s="2216"/>
      <c r="C29" s="2216"/>
      <c r="D29" s="2216"/>
      <c r="E29" s="2216"/>
      <c r="F29" s="2216"/>
      <c r="G29" s="2216"/>
      <c r="H29" s="2216"/>
      <c r="I29" s="2216"/>
      <c r="J29" s="2216"/>
      <c r="K29" s="2216"/>
      <c r="L29" s="2216"/>
      <c r="M29" s="2216"/>
      <c r="N29" s="2216"/>
      <c r="O29" s="2231"/>
      <c r="P29" s="2231"/>
      <c r="Q29" s="2216">
        <f>+SUM(CL29:CO29)</f>
        <v>3432</v>
      </c>
      <c r="R29" s="2216">
        <f>+SUM(CP29:CS29)</f>
        <v>3360</v>
      </c>
      <c r="S29" s="2216">
        <f>+SUM(CT29:CW29)</f>
        <v>3540</v>
      </c>
      <c r="T29" s="2216">
        <f>+SUM(CX29:DA29)</f>
        <v>4112</v>
      </c>
      <c r="U29" s="2216">
        <f>+SUM(DB29:DE29)</f>
        <v>3879</v>
      </c>
      <c r="V29" s="2216">
        <f>+SUM(DF29:DI29)</f>
        <v>4057</v>
      </c>
      <c r="W29" s="2216">
        <f>+SUM(DJ29:DM29)</f>
        <v>4360</v>
      </c>
      <c r="X29" s="2216">
        <f>+SUM(DN29:DQ29)</f>
        <v>5091</v>
      </c>
      <c r="Y29" s="2216">
        <f>+SUM(DR29:DU29)</f>
        <v>5501</v>
      </c>
      <c r="Z29" s="2216">
        <f>+SUM(DV29:DY29)</f>
        <v>5623</v>
      </c>
      <c r="AA29" s="2216">
        <f>+Z29*(1+AA30)</f>
        <v>5623</v>
      </c>
      <c r="AB29" s="2216">
        <f>+AA29*(1+AB30)</f>
        <v>5623</v>
      </c>
      <c r="AC29" s="2216">
        <f t="shared" ref="AC29:AG29" si="62">+AB29*(1+AC30)</f>
        <v>5623</v>
      </c>
      <c r="AD29" s="2216">
        <f t="shared" si="62"/>
        <v>5623</v>
      </c>
      <c r="AE29" s="2216">
        <f t="shared" si="62"/>
        <v>5623</v>
      </c>
      <c r="AF29" s="2216">
        <f t="shared" si="62"/>
        <v>5623</v>
      </c>
      <c r="AG29" s="2216">
        <f t="shared" si="62"/>
        <v>5623</v>
      </c>
      <c r="AH29" s="2220"/>
      <c r="AI29" s="1928">
        <f>(AA29/V29)^(1/5)-1</f>
        <v>6.7462470451741696E-2</v>
      </c>
      <c r="AJ29" s="2221"/>
      <c r="AK29" s="2216"/>
      <c r="AL29" s="2216"/>
      <c r="AM29" s="2216"/>
      <c r="AN29" s="2216"/>
      <c r="AO29" s="2216"/>
      <c r="AP29" s="1937"/>
      <c r="AQ29" s="2216"/>
      <c r="AR29" s="2216"/>
      <c r="AS29" s="2216"/>
      <c r="AT29" s="1937"/>
      <c r="AU29" s="2216"/>
      <c r="AV29" s="2216"/>
      <c r="AW29" s="2216"/>
      <c r="AX29" s="1937"/>
      <c r="AY29" s="2216"/>
      <c r="AZ29" s="2216"/>
      <c r="BA29" s="2216"/>
      <c r="BB29" s="1937"/>
      <c r="BC29" s="2216"/>
      <c r="BD29" s="2216"/>
      <c r="BE29" s="2216"/>
      <c r="BF29" s="1937"/>
      <c r="BG29" s="2216"/>
      <c r="BH29" s="2216"/>
      <c r="BI29" s="2216"/>
      <c r="BJ29" s="1937"/>
      <c r="BK29" s="2216"/>
      <c r="BL29" s="2216"/>
      <c r="BM29" s="2216"/>
      <c r="BN29" s="1937"/>
      <c r="BO29" s="2216"/>
      <c r="BP29" s="2216"/>
      <c r="BQ29" s="2216"/>
      <c r="BR29" s="1937"/>
      <c r="BS29" s="2216"/>
      <c r="BT29" s="2216"/>
      <c r="BU29" s="2216"/>
      <c r="BV29" s="1937"/>
      <c r="BW29" s="2216"/>
      <c r="BX29" s="2216"/>
      <c r="BY29" s="2216"/>
      <c r="BZ29" s="1937"/>
      <c r="CA29" s="2216"/>
      <c r="CB29" s="2216"/>
      <c r="CC29" s="2216"/>
      <c r="CD29" s="1937"/>
      <c r="CE29" s="2216"/>
      <c r="CF29" s="2216"/>
      <c r="CG29" s="2216"/>
      <c r="CH29" s="2232"/>
      <c r="CI29" s="2231"/>
      <c r="CJ29" s="2231"/>
      <c r="CK29" s="2231"/>
      <c r="CL29" s="1937">
        <f>+NormInputs!CB260</f>
        <v>833</v>
      </c>
      <c r="CM29" s="2216">
        <f>+NormInputs!CC260</f>
        <v>884</v>
      </c>
      <c r="CN29" s="2216">
        <f>+NormInputs!CD260</f>
        <v>882</v>
      </c>
      <c r="CO29" s="2216">
        <f>+NormInputs!CE260</f>
        <v>833</v>
      </c>
      <c r="CP29" s="1937">
        <f>+NormInputs!CF260</f>
        <v>854</v>
      </c>
      <c r="CQ29" s="2216">
        <f>+NormInputs!CG260</f>
        <v>871</v>
      </c>
      <c r="CR29" s="2216">
        <f>+NormInputs!CH260</f>
        <v>806</v>
      </c>
      <c r="CS29" s="2216">
        <f>+NormInputs!CI260</f>
        <v>829</v>
      </c>
      <c r="CT29" s="1937">
        <f>+NormInputs!CJ260</f>
        <v>881</v>
      </c>
      <c r="CU29" s="2216">
        <f>+NormInputs!CK260</f>
        <v>833</v>
      </c>
      <c r="CV29" s="2216">
        <f>+NormInputs!CL260</f>
        <v>893</v>
      </c>
      <c r="CW29" s="2216">
        <f>+NormInputs!CM260</f>
        <v>933</v>
      </c>
      <c r="CX29" s="1937">
        <f>+NormInputs!CN260</f>
        <v>1025</v>
      </c>
      <c r="CY29" s="2216">
        <f>+NormInputs!CO260</f>
        <v>1033</v>
      </c>
      <c r="CZ29" s="2216">
        <f>+NormInputs!CP260</f>
        <v>1012</v>
      </c>
      <c r="DA29" s="2216">
        <f>+NormInputs!CQ260</f>
        <v>1042</v>
      </c>
      <c r="DB29" s="1937">
        <f>+NormInputs!CR260</f>
        <v>982</v>
      </c>
      <c r="DC29" s="2216">
        <f>+NormInputs!CS260</f>
        <v>945</v>
      </c>
      <c r="DD29" s="2216">
        <f>+NormInputs!CT260</f>
        <v>959</v>
      </c>
      <c r="DE29" s="2216">
        <f>+NormInputs!CU260</f>
        <v>993</v>
      </c>
      <c r="DF29" s="1937">
        <f>+NormInputs!CV260</f>
        <v>1022</v>
      </c>
      <c r="DG29" s="2216">
        <f>+NormInputs!CW260</f>
        <v>1018</v>
      </c>
      <c r="DH29" s="2216">
        <f>+NormInputs!CX260</f>
        <v>999</v>
      </c>
      <c r="DI29" s="2219">
        <f>+NormInputs!CY260</f>
        <v>1018</v>
      </c>
      <c r="DJ29" s="2504">
        <f>+NormInputs!CZ260</f>
        <v>1041</v>
      </c>
      <c r="DK29" s="2505">
        <f>+NormInputs!DA260</f>
        <v>1063</v>
      </c>
      <c r="DL29" s="2505">
        <f>+NormInputs!DB260</f>
        <v>1115</v>
      </c>
      <c r="DM29" s="2506">
        <f>+NormInputs!DC260</f>
        <v>1141</v>
      </c>
      <c r="DN29" s="2505">
        <f>+NormInputs!DD260</f>
        <v>1241</v>
      </c>
      <c r="DO29" s="2505">
        <f>+NormInputs!DE260</f>
        <v>1259</v>
      </c>
      <c r="DP29" s="2505">
        <f>+NormInputs!DF260</f>
        <v>1293</v>
      </c>
      <c r="DQ29" s="2506">
        <f>+NormInputs!DG260</f>
        <v>1298</v>
      </c>
      <c r="DR29" s="2504">
        <f>+NormInputs!DH260</f>
        <v>1336</v>
      </c>
      <c r="DS29" s="2505">
        <f>+NormInputs!DI260</f>
        <v>1362</v>
      </c>
      <c r="DT29" s="2505">
        <f>+NormInputs!DJ260</f>
        <v>1387</v>
      </c>
      <c r="DU29" s="2506">
        <f>+NormInputs!DK260</f>
        <v>1416</v>
      </c>
      <c r="DV29" s="2505">
        <f>+NormInputs!DL260</f>
        <v>1458</v>
      </c>
      <c r="DW29" s="2216">
        <f t="shared" ref="DW29" si="63">+DS29*(1+DW30)</f>
        <v>1362</v>
      </c>
      <c r="DX29" s="2216">
        <f t="shared" ref="DX29" si="64">+DT29*(1+DX30)</f>
        <v>1387</v>
      </c>
      <c r="DY29" s="2219">
        <f t="shared" ref="DY29" si="65">+DU29*(1+DY30)</f>
        <v>1416</v>
      </c>
    </row>
    <row r="30" spans="1:129" s="1491" customFormat="1" ht="15" customHeight="1">
      <c r="A30" s="2206" t="s">
        <v>1453</v>
      </c>
      <c r="B30" s="2207"/>
      <c r="C30" s="2207"/>
      <c r="D30" s="2207"/>
      <c r="E30" s="2207"/>
      <c r="F30" s="2207"/>
      <c r="G30" s="2207"/>
      <c r="H30" s="2207"/>
      <c r="I30" s="2207"/>
      <c r="J30" s="2207"/>
      <c r="K30" s="2207"/>
      <c r="L30" s="2207"/>
      <c r="M30" s="2207"/>
      <c r="N30" s="2207"/>
      <c r="O30" s="2228"/>
      <c r="P30" s="2228"/>
      <c r="Q30" s="2207"/>
      <c r="R30" s="2207">
        <f t="shared" ref="R30:Z30" si="66">R29/Q29-1</f>
        <v>-2.0979020979020935E-2</v>
      </c>
      <c r="S30" s="2207">
        <f t="shared" si="66"/>
        <v>5.3571428571428603E-2</v>
      </c>
      <c r="T30" s="2207">
        <f t="shared" si="66"/>
        <v>0.16158192090395485</v>
      </c>
      <c r="U30" s="2207">
        <f t="shared" si="66"/>
        <v>-5.6663424124513639E-2</v>
      </c>
      <c r="V30" s="2207">
        <f t="shared" si="66"/>
        <v>4.5888115493683879E-2</v>
      </c>
      <c r="W30" s="2207">
        <f t="shared" si="66"/>
        <v>7.4685728370717186E-2</v>
      </c>
      <c r="X30" s="2207">
        <f t="shared" si="66"/>
        <v>0.16766055045871564</v>
      </c>
      <c r="Y30" s="2207">
        <f t="shared" si="66"/>
        <v>8.053427617363984E-2</v>
      </c>
      <c r="Z30" s="2207">
        <f t="shared" si="66"/>
        <v>2.2177785857116827E-2</v>
      </c>
      <c r="AA30" s="2222">
        <v>0</v>
      </c>
      <c r="AB30" s="2222">
        <v>0</v>
      </c>
      <c r="AC30" s="2222">
        <v>0</v>
      </c>
      <c r="AD30" s="2222">
        <v>0</v>
      </c>
      <c r="AE30" s="2222">
        <v>0</v>
      </c>
      <c r="AF30" s="2222">
        <v>0</v>
      </c>
      <c r="AG30" s="2222">
        <v>0</v>
      </c>
      <c r="AH30" s="2201"/>
      <c r="AI30" s="1927"/>
      <c r="AJ30" s="1561"/>
      <c r="AK30" s="2207"/>
      <c r="AL30" s="2207"/>
      <c r="AM30" s="2207"/>
      <c r="AN30" s="2207"/>
      <c r="AO30" s="2207"/>
      <c r="AP30" s="2208"/>
      <c r="AQ30" s="2207"/>
      <c r="AR30" s="2207"/>
      <c r="AS30" s="2207"/>
      <c r="AT30" s="2208"/>
      <c r="AU30" s="2207"/>
      <c r="AV30" s="2207"/>
      <c r="AW30" s="2207"/>
      <c r="AX30" s="2208"/>
      <c r="AY30" s="2207"/>
      <c r="AZ30" s="2207"/>
      <c r="BA30" s="2207"/>
      <c r="BB30" s="2208"/>
      <c r="BC30" s="2207"/>
      <c r="BD30" s="2207"/>
      <c r="BE30" s="2207"/>
      <c r="BF30" s="2208"/>
      <c r="BG30" s="2207"/>
      <c r="BH30" s="2207"/>
      <c r="BI30" s="2207"/>
      <c r="BJ30" s="2208"/>
      <c r="BK30" s="2207"/>
      <c r="BL30" s="2207"/>
      <c r="BM30" s="2207"/>
      <c r="BN30" s="2208"/>
      <c r="BO30" s="2207"/>
      <c r="BP30" s="2207"/>
      <c r="BQ30" s="2207"/>
      <c r="BR30" s="2208"/>
      <c r="BS30" s="2207"/>
      <c r="BT30" s="2207"/>
      <c r="BU30" s="2207"/>
      <c r="BV30" s="2208"/>
      <c r="BW30" s="2207"/>
      <c r="BX30" s="2207"/>
      <c r="BY30" s="2207"/>
      <c r="BZ30" s="2208"/>
      <c r="CA30" s="2207"/>
      <c r="CB30" s="2207"/>
      <c r="CC30" s="2207"/>
      <c r="CD30" s="2208"/>
      <c r="CE30" s="2207"/>
      <c r="CF30" s="2207"/>
      <c r="CG30" s="2207"/>
      <c r="CH30" s="2230"/>
      <c r="CI30" s="2228"/>
      <c r="CJ30" s="2228"/>
      <c r="CK30" s="2228"/>
      <c r="CL30" s="2208"/>
      <c r="CM30" s="2207"/>
      <c r="CN30" s="2207"/>
      <c r="CO30" s="2207"/>
      <c r="CP30" s="2208">
        <f t="shared" ref="CP30:DV30" si="67">CP29/CL29-1</f>
        <v>2.5210084033613356E-2</v>
      </c>
      <c r="CQ30" s="2207">
        <f t="shared" si="67"/>
        <v>-1.4705882352941124E-2</v>
      </c>
      <c r="CR30" s="2207">
        <f t="shared" si="67"/>
        <v>-8.6167800453514687E-2</v>
      </c>
      <c r="CS30" s="2207">
        <f t="shared" si="67"/>
        <v>-4.8019207683073217E-3</v>
      </c>
      <c r="CT30" s="2208">
        <f t="shared" si="67"/>
        <v>3.1615925058547933E-2</v>
      </c>
      <c r="CU30" s="2207">
        <f t="shared" si="67"/>
        <v>-4.3628013777267549E-2</v>
      </c>
      <c r="CV30" s="2207">
        <f t="shared" si="67"/>
        <v>0.10794044665012414</v>
      </c>
      <c r="CW30" s="2207">
        <f t="shared" si="67"/>
        <v>0.12545235223160445</v>
      </c>
      <c r="CX30" s="2208">
        <f t="shared" si="67"/>
        <v>0.16345062429057888</v>
      </c>
      <c r="CY30" s="2207">
        <f t="shared" si="67"/>
        <v>0.24009603841536609</v>
      </c>
      <c r="CZ30" s="2207">
        <f t="shared" si="67"/>
        <v>0.13325867861142227</v>
      </c>
      <c r="DA30" s="2207">
        <f t="shared" si="67"/>
        <v>0.11682743837084675</v>
      </c>
      <c r="DB30" s="2208">
        <f t="shared" si="67"/>
        <v>-4.1951219512195159E-2</v>
      </c>
      <c r="DC30" s="2207">
        <f t="shared" si="67"/>
        <v>-8.5188770571152039E-2</v>
      </c>
      <c r="DD30" s="2207">
        <f t="shared" si="67"/>
        <v>-5.2371541501976315E-2</v>
      </c>
      <c r="DE30" s="2207">
        <f t="shared" si="67"/>
        <v>-4.7024952015355059E-2</v>
      </c>
      <c r="DF30" s="2208">
        <f t="shared" si="67"/>
        <v>4.0733197556008127E-2</v>
      </c>
      <c r="DG30" s="2207">
        <f t="shared" si="67"/>
        <v>7.7248677248677344E-2</v>
      </c>
      <c r="DH30" s="2207">
        <f t="shared" si="67"/>
        <v>4.1710114702815382E-2</v>
      </c>
      <c r="DI30" s="2209">
        <f t="shared" si="67"/>
        <v>2.5176233635448186E-2</v>
      </c>
      <c r="DJ30" s="2208">
        <f t="shared" si="67"/>
        <v>1.8590998043052753E-2</v>
      </c>
      <c r="DK30" s="2207">
        <f t="shared" si="67"/>
        <v>4.4204322200392943E-2</v>
      </c>
      <c r="DL30" s="2207">
        <f t="shared" si="67"/>
        <v>0.11611611611611616</v>
      </c>
      <c r="DM30" s="2209">
        <f t="shared" si="67"/>
        <v>0.12082514734774064</v>
      </c>
      <c r="DN30" s="2207">
        <f t="shared" si="67"/>
        <v>0.19212295869356377</v>
      </c>
      <c r="DO30" s="2207">
        <f t="shared" si="67"/>
        <v>0.18438381937911563</v>
      </c>
      <c r="DP30" s="2207">
        <f t="shared" si="67"/>
        <v>0.15964125560538123</v>
      </c>
      <c r="DQ30" s="2209">
        <f t="shared" si="67"/>
        <v>0.13759859772129701</v>
      </c>
      <c r="DR30" s="2208">
        <f t="shared" si="67"/>
        <v>7.6551168412570592E-2</v>
      </c>
      <c r="DS30" s="2207">
        <f t="shared" si="67"/>
        <v>8.1810961080222455E-2</v>
      </c>
      <c r="DT30" s="2207">
        <f t="shared" si="67"/>
        <v>7.2699149265274654E-2</v>
      </c>
      <c r="DU30" s="2209">
        <f t="shared" si="67"/>
        <v>9.0909090909090828E-2</v>
      </c>
      <c r="DV30" s="2207">
        <f t="shared" si="67"/>
        <v>9.1317365269460993E-2</v>
      </c>
      <c r="DW30" s="2222">
        <v>0</v>
      </c>
      <c r="DX30" s="2222">
        <v>0</v>
      </c>
      <c r="DY30" s="2223">
        <v>0</v>
      </c>
    </row>
    <row r="31" spans="1:129" s="1491" customFormat="1" ht="15" customHeight="1">
      <c r="A31" s="2224" t="s">
        <v>801</v>
      </c>
      <c r="B31" s="2216"/>
      <c r="C31" s="2216"/>
      <c r="D31" s="2216"/>
      <c r="E31" s="2216"/>
      <c r="F31" s="2216"/>
      <c r="G31" s="2216"/>
      <c r="H31" s="2216"/>
      <c r="I31" s="2216"/>
      <c r="J31" s="2216"/>
      <c r="K31" s="2216"/>
      <c r="L31" s="2216"/>
      <c r="M31" s="2216"/>
      <c r="N31" s="2216">
        <f>+N27+N25</f>
        <v>38625.822</v>
      </c>
      <c r="O31" s="2216">
        <f>+O27+O25</f>
        <v>44800.31</v>
      </c>
      <c r="P31" s="2216">
        <f>+P27+P25</f>
        <v>56956</v>
      </c>
      <c r="Q31" s="2216">
        <f t="shared" ref="Q31:V31" si="68">+Q27+Q25+Q29</f>
        <v>60325</v>
      </c>
      <c r="R31" s="2216">
        <f t="shared" si="68"/>
        <v>63407</v>
      </c>
      <c r="S31" s="2216">
        <f t="shared" si="68"/>
        <v>70154</v>
      </c>
      <c r="T31" s="2216">
        <f t="shared" si="68"/>
        <v>75868</v>
      </c>
      <c r="U31" s="2216">
        <f t="shared" si="68"/>
        <v>81023</v>
      </c>
      <c r="V31" s="2216">
        <f t="shared" si="68"/>
        <v>87646</v>
      </c>
      <c r="W31" s="2216">
        <f t="shared" ref="W31:AB31" si="69">+W27+W25+W29</f>
        <v>91680</v>
      </c>
      <c r="X31" s="2216">
        <f t="shared" si="69"/>
        <v>89186</v>
      </c>
      <c r="Y31" s="2216">
        <f t="shared" si="69"/>
        <v>87511</v>
      </c>
      <c r="Z31" s="2216">
        <f t="shared" ca="1" si="69"/>
        <v>89000.530555650083</v>
      </c>
      <c r="AA31" s="2216">
        <f t="shared" ca="1" si="69"/>
        <v>89321.996625658619</v>
      </c>
      <c r="AB31" s="2216">
        <f t="shared" ca="1" si="69"/>
        <v>90159.912307901337</v>
      </c>
      <c r="AC31" s="2216">
        <f t="shared" ref="AC31:AG31" ca="1" si="70">+AC27+AC25+AC29</f>
        <v>91042.104273433884</v>
      </c>
      <c r="AD31" s="2216">
        <f t="shared" ca="1" si="70"/>
        <v>91965.07545971236</v>
      </c>
      <c r="AE31" s="2216">
        <f t="shared" ca="1" si="70"/>
        <v>92939.334607954952</v>
      </c>
      <c r="AF31" s="2216">
        <f t="shared" ca="1" si="70"/>
        <v>93981.065461926715</v>
      </c>
      <c r="AG31" s="2216">
        <f t="shared" ca="1" si="70"/>
        <v>95108.491957709397</v>
      </c>
      <c r="AH31" s="2201"/>
      <c r="AI31" s="1928">
        <f ca="1">(AA31/V31)^(1/5)-1</f>
        <v>3.7955461249521427E-3</v>
      </c>
      <c r="AJ31" s="1561"/>
      <c r="AK31" s="2216"/>
      <c r="AL31" s="2216"/>
      <c r="AM31" s="2141"/>
      <c r="AN31" s="2216"/>
      <c r="AO31" s="2216"/>
      <c r="AP31" s="1937"/>
      <c r="AQ31" s="2216"/>
      <c r="AR31" s="2216"/>
      <c r="AS31" s="2216"/>
      <c r="AT31" s="1937"/>
      <c r="AU31" s="2216"/>
      <c r="AV31" s="2216"/>
      <c r="AW31" s="2216"/>
      <c r="AX31" s="1937"/>
      <c r="AY31" s="2216"/>
      <c r="AZ31" s="2216"/>
      <c r="BA31" s="2216"/>
      <c r="BB31" s="1937"/>
      <c r="BC31" s="2216"/>
      <c r="BD31" s="2216"/>
      <c r="BE31" s="2216"/>
      <c r="BF31" s="1937"/>
      <c r="BG31" s="2216"/>
      <c r="BH31" s="2216"/>
      <c r="BI31" s="2216"/>
      <c r="BJ31" s="1937"/>
      <c r="BK31" s="2216"/>
      <c r="BL31" s="2216"/>
      <c r="BM31" s="2216"/>
      <c r="BN31" s="1937"/>
      <c r="BO31" s="2216"/>
      <c r="BP31" s="2216"/>
      <c r="BQ31" s="2216"/>
      <c r="BR31" s="1937"/>
      <c r="BS31" s="2216"/>
      <c r="BT31" s="2216"/>
      <c r="BU31" s="2216"/>
      <c r="BV31" s="1937"/>
      <c r="BW31" s="2216"/>
      <c r="BX31" s="2216"/>
      <c r="BY31" s="2216"/>
      <c r="BZ31" s="1937"/>
      <c r="CA31" s="2216"/>
      <c r="CB31" s="2216"/>
      <c r="CC31" s="2216"/>
      <c r="CD31" s="2225">
        <v>11959.11269733757</v>
      </c>
      <c r="CE31" s="2226">
        <v>12627.878260324807</v>
      </c>
      <c r="CF31" s="2226">
        <v>13142.221761731356</v>
      </c>
      <c r="CG31" s="2226">
        <v>13278.039265572659</v>
      </c>
      <c r="CH31" s="1937">
        <f>+CH27+CH25</f>
        <v>13498</v>
      </c>
      <c r="CI31" s="2216">
        <f>+CI27+CI25</f>
        <v>13984</v>
      </c>
      <c r="CJ31" s="2216">
        <f>+CJ27+CJ25</f>
        <v>14648</v>
      </c>
      <c r="CK31" s="2216">
        <f>+CK27+CK25</f>
        <v>14826</v>
      </c>
      <c r="CL31" s="1937">
        <f t="shared" ref="CL31:DE31" si="71">+CL27+CL25+CL29</f>
        <v>14690</v>
      </c>
      <c r="CM31" s="2216">
        <f t="shared" si="71"/>
        <v>15029</v>
      </c>
      <c r="CN31" s="2216">
        <f t="shared" si="71"/>
        <v>15331</v>
      </c>
      <c r="CO31" s="2216">
        <f t="shared" si="71"/>
        <v>15275</v>
      </c>
      <c r="CP31" s="1937">
        <f t="shared" si="71"/>
        <v>15312</v>
      </c>
      <c r="CQ31" s="2216">
        <f t="shared" si="71"/>
        <v>15697</v>
      </c>
      <c r="CR31" s="2216">
        <f t="shared" si="71"/>
        <v>16250</v>
      </c>
      <c r="CS31" s="2216">
        <f t="shared" si="71"/>
        <v>16148</v>
      </c>
      <c r="CT31" s="1937">
        <f t="shared" si="71"/>
        <v>16881</v>
      </c>
      <c r="CU31" s="2216">
        <f t="shared" si="71"/>
        <v>17293</v>
      </c>
      <c r="CV31" s="2216">
        <f t="shared" si="71"/>
        <v>17726</v>
      </c>
      <c r="CW31" s="2216">
        <f t="shared" si="71"/>
        <v>18254</v>
      </c>
      <c r="CX31" s="1937">
        <f t="shared" si="71"/>
        <v>18273</v>
      </c>
      <c r="CY31" s="2216">
        <f t="shared" si="71"/>
        <v>18577</v>
      </c>
      <c r="CZ31" s="2216">
        <f t="shared" si="71"/>
        <v>19024</v>
      </c>
      <c r="DA31" s="2216">
        <f t="shared" si="71"/>
        <v>19994</v>
      </c>
      <c r="DB31" s="1937">
        <f t="shared" si="71"/>
        <v>19523</v>
      </c>
      <c r="DC31" s="2216">
        <f t="shared" si="71"/>
        <v>19976</v>
      </c>
      <c r="DD31" s="2216">
        <f t="shared" si="71"/>
        <v>20399</v>
      </c>
      <c r="DE31" s="2216">
        <f t="shared" si="71"/>
        <v>21125</v>
      </c>
      <c r="DF31" s="1937">
        <f>+DF27+DF25+DF29</f>
        <v>20879</v>
      </c>
      <c r="DG31" s="2216">
        <f>+DG27+DG25+DG29</f>
        <v>21483</v>
      </c>
      <c r="DH31" s="2216">
        <f>+DH27+DH25+DH29</f>
        <v>21835</v>
      </c>
      <c r="DI31" s="2219">
        <f>+DI27+DI25+DI29</f>
        <v>23449</v>
      </c>
      <c r="DJ31" s="1937">
        <f t="shared" ref="DJ31:DM31" si="72">+DJ27+DJ25+DJ29</f>
        <v>22328</v>
      </c>
      <c r="DK31" s="2216">
        <f t="shared" si="72"/>
        <v>22613</v>
      </c>
      <c r="DL31" s="2216">
        <f t="shared" si="72"/>
        <v>23005</v>
      </c>
      <c r="DM31" s="2219">
        <f t="shared" si="72"/>
        <v>23734</v>
      </c>
      <c r="DN31" s="2216">
        <f t="shared" ref="DN31:DO31" si="73">+DN27+DN25+DN29</f>
        <v>22004</v>
      </c>
      <c r="DO31" s="2216">
        <f t="shared" si="73"/>
        <v>21704</v>
      </c>
      <c r="DP31" s="2216">
        <f t="shared" ref="DP31:DQ31" si="74">+DP27+DP25+DP29</f>
        <v>22101</v>
      </c>
      <c r="DQ31" s="2219">
        <f t="shared" si="74"/>
        <v>23377</v>
      </c>
      <c r="DR31" s="1937">
        <f t="shared" ref="DR31" si="75">+DR27+DR25+DR29</f>
        <v>20878</v>
      </c>
      <c r="DS31" s="2216">
        <f t="shared" ref="DS31:DT31" si="76">+DS27+DS25+DS29</f>
        <v>21282</v>
      </c>
      <c r="DT31" s="2216">
        <f t="shared" si="76"/>
        <v>21580</v>
      </c>
      <c r="DU31" s="2219">
        <f t="shared" ref="DU31" si="77">+DU27+DU25+DU29</f>
        <v>23771</v>
      </c>
      <c r="DV31" s="2216">
        <f t="shared" ref="DV31" si="78">+DV27+DV25+DV29</f>
        <v>21900</v>
      </c>
      <c r="DW31" s="2216">
        <f t="shared" ref="DW31:DY31" ca="1" si="79">+DW27+DW25+DW29</f>
        <v>21697.017217881326</v>
      </c>
      <c r="DX31" s="2216">
        <f t="shared" ca="1" si="79"/>
        <v>21996.981006157228</v>
      </c>
      <c r="DY31" s="2219">
        <f t="shared" ca="1" si="79"/>
        <v>23406.532331611525</v>
      </c>
    </row>
    <row r="32" spans="1:129" s="1491" customFormat="1" ht="15" customHeight="1">
      <c r="A32" s="2227" t="s">
        <v>1453</v>
      </c>
      <c r="B32" s="2207"/>
      <c r="C32" s="2207"/>
      <c r="D32" s="2207"/>
      <c r="E32" s="2207"/>
      <c r="F32" s="2207"/>
      <c r="G32" s="2207"/>
      <c r="H32" s="2207"/>
      <c r="I32" s="2207"/>
      <c r="J32" s="2207"/>
      <c r="K32" s="2207"/>
      <c r="L32" s="2207"/>
      <c r="M32" s="2207"/>
      <c r="N32" s="2207"/>
      <c r="O32" s="2228" t="s">
        <v>1149</v>
      </c>
      <c r="P32" s="2228" t="s">
        <v>1149</v>
      </c>
      <c r="Q32" s="2207">
        <f t="shared" ref="Q32:AB32" si="80">Q31/P31-1</f>
        <v>5.9150923519910137E-2</v>
      </c>
      <c r="R32" s="2207">
        <f t="shared" si="80"/>
        <v>5.1089929548280066E-2</v>
      </c>
      <c r="S32" s="2207">
        <f t="shared" si="80"/>
        <v>0.10640780986326437</v>
      </c>
      <c r="T32" s="2207">
        <f t="shared" si="80"/>
        <v>8.1449382786441316E-2</v>
      </c>
      <c r="U32" s="2207">
        <f t="shared" si="80"/>
        <v>6.7946960510360199E-2</v>
      </c>
      <c r="V32" s="2207">
        <f t="shared" si="80"/>
        <v>8.1742221344556443E-2</v>
      </c>
      <c r="W32" s="2207">
        <f>W31/V31-1</f>
        <v>4.6026059375213979E-2</v>
      </c>
      <c r="X32" s="2207">
        <f>X31/W31-1</f>
        <v>-2.7203315881326406E-2</v>
      </c>
      <c r="Y32" s="2207">
        <f>Y31/X31-1</f>
        <v>-1.8780974592424782E-2</v>
      </c>
      <c r="Z32" s="2207">
        <f ca="1">Z31/Y31-1</f>
        <v>1.7021066559061993E-2</v>
      </c>
      <c r="AA32" s="2207">
        <f t="shared" ca="1" si="80"/>
        <v>3.611956782746617E-3</v>
      </c>
      <c r="AB32" s="2207">
        <f t="shared" ca="1" si="80"/>
        <v>9.3808436207976076E-3</v>
      </c>
      <c r="AC32" s="2207">
        <f t="shared" ref="AC32" ca="1" si="81">AC31/AB31-1</f>
        <v>9.7847473777459282E-3</v>
      </c>
      <c r="AD32" s="2207">
        <f t="shared" ref="AD32" ca="1" si="82">AD31/AC31-1</f>
        <v>1.0137849884339634E-2</v>
      </c>
      <c r="AE32" s="2207">
        <f t="shared" ref="AE32" ca="1" si="83">AE31/AD31-1</f>
        <v>1.0593794909344645E-2</v>
      </c>
      <c r="AF32" s="2207">
        <f t="shared" ref="AF32" ca="1" si="84">AF31/AE31-1</f>
        <v>1.1208718658962669E-2</v>
      </c>
      <c r="AG32" s="2207">
        <f t="shared" ref="AG32" ca="1" si="85">AG31/AF31-1</f>
        <v>1.1996315324169338E-2</v>
      </c>
      <c r="AH32" s="2201"/>
      <c r="AI32" s="1927"/>
      <c r="AJ32" s="1561"/>
      <c r="AK32" s="2207"/>
      <c r="AL32" s="2207"/>
      <c r="AM32" s="2207"/>
      <c r="AN32" s="2207"/>
      <c r="AO32" s="2207"/>
      <c r="AP32" s="2208"/>
      <c r="AQ32" s="2207"/>
      <c r="AR32" s="2207"/>
      <c r="AS32" s="2207"/>
      <c r="AT32" s="2208"/>
      <c r="AU32" s="2207"/>
      <c r="AV32" s="2207"/>
      <c r="AW32" s="2207"/>
      <c r="AX32" s="2208"/>
      <c r="AY32" s="2207"/>
      <c r="AZ32" s="2207"/>
      <c r="BA32" s="2207"/>
      <c r="BB32" s="2208"/>
      <c r="BC32" s="2207"/>
      <c r="BD32" s="2207"/>
      <c r="BE32" s="2207"/>
      <c r="BF32" s="2208"/>
      <c r="BG32" s="2207"/>
      <c r="BH32" s="2207"/>
      <c r="BI32" s="2207"/>
      <c r="BJ32" s="2208"/>
      <c r="BK32" s="2207"/>
      <c r="BL32" s="2207"/>
      <c r="BM32" s="2207"/>
      <c r="BN32" s="2208"/>
      <c r="BO32" s="2207"/>
      <c r="BP32" s="2207"/>
      <c r="BQ32" s="2207"/>
      <c r="BR32" s="2208"/>
      <c r="BS32" s="2207"/>
      <c r="BT32" s="2207"/>
      <c r="BU32" s="2207"/>
      <c r="BV32" s="2208"/>
      <c r="BW32" s="2207"/>
      <c r="BX32" s="2207"/>
      <c r="BY32" s="2207"/>
      <c r="BZ32" s="2208"/>
      <c r="CA32" s="2207"/>
      <c r="CB32" s="2207"/>
      <c r="CC32" s="2207"/>
      <c r="CD32" s="2208"/>
      <c r="CE32" s="2207"/>
      <c r="CF32" s="2207"/>
      <c r="CG32" s="2207"/>
      <c r="CH32" s="2229" t="s">
        <v>1149</v>
      </c>
      <c r="CI32" s="1986" t="s">
        <v>1149</v>
      </c>
      <c r="CJ32" s="1986" t="s">
        <v>1149</v>
      </c>
      <c r="CK32" s="1986" t="s">
        <v>1149</v>
      </c>
      <c r="CL32" s="2208">
        <f t="shared" ref="CL32:DV32" si="86">CL31/CH31-1</f>
        <v>8.8309379167283986E-2</v>
      </c>
      <c r="CM32" s="2207">
        <f t="shared" si="86"/>
        <v>7.4728260869565188E-2</v>
      </c>
      <c r="CN32" s="2207">
        <f t="shared" si="86"/>
        <v>4.6627525942108061E-2</v>
      </c>
      <c r="CO32" s="2207">
        <f t="shared" si="86"/>
        <v>3.0284635100499058E-2</v>
      </c>
      <c r="CP32" s="2208">
        <f t="shared" si="86"/>
        <v>4.2341729067392864E-2</v>
      </c>
      <c r="CQ32" s="2207">
        <f t="shared" si="86"/>
        <v>4.444740169006578E-2</v>
      </c>
      <c r="CR32" s="2207">
        <f t="shared" si="86"/>
        <v>5.9943904507207657E-2</v>
      </c>
      <c r="CS32" s="2207">
        <f t="shared" si="86"/>
        <v>5.7152209492635109E-2</v>
      </c>
      <c r="CT32" s="2208">
        <f t="shared" si="86"/>
        <v>0.10246865203761746</v>
      </c>
      <c r="CU32" s="2207">
        <f t="shared" si="86"/>
        <v>0.10167547939096644</v>
      </c>
      <c r="CV32" s="2207">
        <f t="shared" si="86"/>
        <v>9.083076923076927E-2</v>
      </c>
      <c r="CW32" s="2207">
        <f t="shared" si="86"/>
        <v>0.13041862769383195</v>
      </c>
      <c r="CX32" s="2208">
        <f t="shared" si="86"/>
        <v>8.2459569930691368E-2</v>
      </c>
      <c r="CY32" s="2207">
        <f t="shared" si="86"/>
        <v>7.4249696408951626E-2</v>
      </c>
      <c r="CZ32" s="2207">
        <f t="shared" si="86"/>
        <v>7.3225770055286077E-2</v>
      </c>
      <c r="DA32" s="2207">
        <f t="shared" si="86"/>
        <v>9.5321573353785549E-2</v>
      </c>
      <c r="DB32" s="2208">
        <f t="shared" si="86"/>
        <v>6.8406939199912475E-2</v>
      </c>
      <c r="DC32" s="2207">
        <f t="shared" si="86"/>
        <v>7.5308176777735936E-2</v>
      </c>
      <c r="DD32" s="2207">
        <f t="shared" si="86"/>
        <v>7.2277123633305296E-2</v>
      </c>
      <c r="DE32" s="2207">
        <f t="shared" si="86"/>
        <v>5.6566970091027402E-2</v>
      </c>
      <c r="DF32" s="2208">
        <f t="shared" si="86"/>
        <v>6.9456538441837745E-2</v>
      </c>
      <c r="DG32" s="2207">
        <f t="shared" si="86"/>
        <v>7.5440528634361126E-2</v>
      </c>
      <c r="DH32" s="2207">
        <f t="shared" si="86"/>
        <v>7.039560762782493E-2</v>
      </c>
      <c r="DI32" s="2209">
        <f t="shared" si="86"/>
        <v>0.11001183431952666</v>
      </c>
      <c r="DJ32" s="2208">
        <f t="shared" si="86"/>
        <v>6.9399875472963224E-2</v>
      </c>
      <c r="DK32" s="2207">
        <f t="shared" si="86"/>
        <v>5.2599730019084801E-2</v>
      </c>
      <c r="DL32" s="2207">
        <f t="shared" si="86"/>
        <v>5.3583695901076256E-2</v>
      </c>
      <c r="DM32" s="2209">
        <f t="shared" si="86"/>
        <v>1.2154036419463443E-2</v>
      </c>
      <c r="DN32" s="2207">
        <f t="shared" si="86"/>
        <v>-1.4510927982801847E-2</v>
      </c>
      <c r="DO32" s="2207">
        <f t="shared" si="86"/>
        <v>-4.0198116127891037E-2</v>
      </c>
      <c r="DP32" s="2207">
        <f t="shared" si="86"/>
        <v>-3.9295805259726091E-2</v>
      </c>
      <c r="DQ32" s="2209">
        <f t="shared" si="86"/>
        <v>-1.5041712311451905E-2</v>
      </c>
      <c r="DR32" s="2208">
        <f t="shared" si="86"/>
        <v>-5.1172514088347554E-2</v>
      </c>
      <c r="DS32" s="2207">
        <f t="shared" si="86"/>
        <v>-1.944342056763726E-2</v>
      </c>
      <c r="DT32" s="2207">
        <f t="shared" si="86"/>
        <v>-2.3573593955024674E-2</v>
      </c>
      <c r="DU32" s="2209">
        <f t="shared" si="86"/>
        <v>1.6854172904992026E-2</v>
      </c>
      <c r="DV32" s="2207">
        <f t="shared" si="86"/>
        <v>4.8951048951048959E-2</v>
      </c>
      <c r="DW32" s="2207">
        <f t="shared" ref="DW32" ca="1" si="87">DW31/DS31-1</f>
        <v>1.9500856022992563E-2</v>
      </c>
      <c r="DX32" s="2207">
        <f t="shared" ref="DX32" ca="1" si="88">DX31/DT31-1</f>
        <v>1.932256747716532E-2</v>
      </c>
      <c r="DY32" s="2209">
        <f t="shared" ref="DY32" ca="1" si="89">DY31/DU31-1</f>
        <v>-1.5332449976377727E-2</v>
      </c>
    </row>
    <row r="33" spans="1:129" s="1491" customFormat="1" ht="15" customHeight="1">
      <c r="A33" s="2211"/>
      <c r="B33" s="1903"/>
      <c r="C33" s="1903"/>
      <c r="D33" s="2200"/>
      <c r="E33" s="2200"/>
      <c r="F33" s="2200"/>
      <c r="G33" s="2200"/>
      <c r="H33" s="2200"/>
      <c r="I33" s="2200"/>
      <c r="J33" s="2200"/>
      <c r="K33" s="2200"/>
      <c r="L33" s="2200"/>
      <c r="M33" s="2200"/>
      <c r="N33" s="2200"/>
      <c r="O33" s="2200"/>
      <c r="P33" s="2200"/>
      <c r="Q33" s="2200"/>
      <c r="R33" s="2200"/>
      <c r="S33" s="2200"/>
      <c r="T33" s="2200"/>
      <c r="U33" s="2200"/>
      <c r="V33" s="2200"/>
      <c r="W33" s="2200"/>
      <c r="X33" s="2200"/>
      <c r="Y33" s="2200"/>
      <c r="Z33" s="2200"/>
      <c r="AA33" s="2200"/>
      <c r="AB33" s="2200"/>
      <c r="AC33" s="2200"/>
      <c r="AD33" s="2200"/>
      <c r="AE33" s="2200"/>
      <c r="AF33" s="2200"/>
      <c r="AG33" s="2200"/>
      <c r="AH33" s="2201"/>
      <c r="AI33" s="1927"/>
      <c r="AJ33" s="1561"/>
      <c r="AK33" s="2200"/>
      <c r="AL33" s="2200"/>
      <c r="AM33" s="1903"/>
      <c r="AN33" s="2200"/>
      <c r="AO33" s="2200"/>
      <c r="AP33" s="2202"/>
      <c r="AQ33" s="2200"/>
      <c r="AR33" s="2200"/>
      <c r="AS33" s="2200"/>
      <c r="AT33" s="2202"/>
      <c r="AU33" s="2200"/>
      <c r="AV33" s="2200"/>
      <c r="AW33" s="2200"/>
      <c r="AX33" s="2202"/>
      <c r="AY33" s="2200"/>
      <c r="AZ33" s="2200"/>
      <c r="BA33" s="2200"/>
      <c r="BB33" s="2202"/>
      <c r="BC33" s="2200"/>
      <c r="BD33" s="2200"/>
      <c r="BE33" s="2200"/>
      <c r="BF33" s="2202"/>
      <c r="BG33" s="2200"/>
      <c r="BH33" s="2200"/>
      <c r="BI33" s="2200"/>
      <c r="BJ33" s="2202"/>
      <c r="BK33" s="2200"/>
      <c r="BL33" s="2200"/>
      <c r="BM33" s="2200"/>
      <c r="BN33" s="2202"/>
      <c r="BO33" s="2200"/>
      <c r="BP33" s="2200"/>
      <c r="BQ33" s="2200"/>
      <c r="BR33" s="2202"/>
      <c r="BS33" s="2200"/>
      <c r="BT33" s="2200"/>
      <c r="BU33" s="2200"/>
      <c r="BV33" s="2202"/>
      <c r="BW33" s="2200"/>
      <c r="BX33" s="2200"/>
      <c r="BY33" s="2200"/>
      <c r="BZ33" s="2202"/>
      <c r="CA33" s="2200"/>
      <c r="CB33" s="2200"/>
      <c r="CC33" s="2200"/>
      <c r="CD33" s="2202"/>
      <c r="CE33" s="2200"/>
      <c r="CF33" s="2200"/>
      <c r="CG33" s="2200"/>
      <c r="CH33" s="2202"/>
      <c r="CI33" s="2200"/>
      <c r="CJ33" s="2200"/>
      <c r="CK33" s="2200"/>
      <c r="CL33" s="2202"/>
      <c r="CM33" s="2200"/>
      <c r="CN33" s="2200"/>
      <c r="CO33" s="2200"/>
      <c r="CP33" s="2202"/>
      <c r="CQ33" s="2200"/>
      <c r="CR33" s="2200"/>
      <c r="CS33" s="2200"/>
      <c r="CT33" s="2202"/>
      <c r="CU33" s="2200"/>
      <c r="CV33" s="2200"/>
      <c r="CW33" s="2200"/>
      <c r="CX33" s="2202"/>
      <c r="CY33" s="2200"/>
      <c r="CZ33" s="2200"/>
      <c r="DA33" s="2200"/>
      <c r="DB33" s="2202"/>
      <c r="DC33" s="2200"/>
      <c r="DD33" s="2200"/>
      <c r="DE33" s="2200"/>
      <c r="DF33" s="2202"/>
      <c r="DG33" s="2200"/>
      <c r="DH33" s="2200"/>
      <c r="DI33" s="2203"/>
      <c r="DJ33" s="2202"/>
      <c r="DK33" s="2200"/>
      <c r="DL33" s="2200"/>
      <c r="DM33" s="2203"/>
      <c r="DN33" s="2200"/>
      <c r="DO33" s="2200"/>
      <c r="DP33" s="2200"/>
      <c r="DQ33" s="2203"/>
      <c r="DR33" s="2202"/>
      <c r="DS33" s="2200"/>
      <c r="DT33" s="2200"/>
      <c r="DU33" s="2203"/>
      <c r="DV33" s="2200"/>
      <c r="DW33" s="2200"/>
      <c r="DX33" s="2200"/>
      <c r="DY33" s="2203"/>
    </row>
    <row r="34" spans="1:129" s="2521" customFormat="1" ht="12.75" hidden="1" outlineLevel="2">
      <c r="A34" s="2513" t="s">
        <v>1455</v>
      </c>
      <c r="B34" s="2514"/>
      <c r="C34" s="2514"/>
      <c r="D34" s="2515"/>
      <c r="E34" s="2514"/>
      <c r="F34" s="2514"/>
      <c r="G34" s="2514"/>
      <c r="H34" s="2514"/>
      <c r="I34" s="2514"/>
      <c r="J34" s="2514"/>
      <c r="K34" s="2514"/>
      <c r="L34" s="2514"/>
      <c r="M34" s="2514"/>
      <c r="N34" s="2516">
        <f>+SUM(BZ34:CC34)</f>
        <v>5271.3459999999995</v>
      </c>
      <c r="O34" s="2516">
        <f>+SUM(CD34:CG34)</f>
        <v>5772.6149999999998</v>
      </c>
      <c r="P34" s="2516">
        <f>+SUM(CH34:CK34)</f>
        <v>4627.8</v>
      </c>
      <c r="Q34" s="2516"/>
      <c r="R34" s="2514"/>
      <c r="S34" s="2514"/>
      <c r="T34" s="2514"/>
      <c r="U34" s="2514"/>
      <c r="V34" s="2514"/>
      <c r="W34" s="2514"/>
      <c r="X34" s="2514"/>
      <c r="Y34" s="2514"/>
      <c r="Z34" s="2514"/>
      <c r="AA34" s="2514"/>
      <c r="AB34" s="2514"/>
      <c r="AC34" s="2514"/>
      <c r="AD34" s="2514"/>
      <c r="AE34" s="2514"/>
      <c r="AF34" s="2514"/>
      <c r="AG34" s="2514"/>
      <c r="AH34" s="2517"/>
      <c r="AI34" s="2518"/>
      <c r="AJ34" s="2514"/>
      <c r="AK34" s="2515"/>
      <c r="AL34" s="2515"/>
      <c r="AM34" s="2514"/>
      <c r="AN34" s="2515"/>
      <c r="AO34" s="2514"/>
      <c r="AP34" s="2519"/>
      <c r="AQ34" s="2515"/>
      <c r="AR34" s="2515"/>
      <c r="AS34" s="2515"/>
      <c r="AT34" s="2519"/>
      <c r="AU34" s="2515"/>
      <c r="AV34" s="2515"/>
      <c r="AW34" s="2515"/>
      <c r="AX34" s="2517"/>
      <c r="AY34" s="2514"/>
      <c r="AZ34" s="2514"/>
      <c r="BA34" s="2514"/>
      <c r="BB34" s="2517"/>
      <c r="BC34" s="2514"/>
      <c r="BD34" s="2514"/>
      <c r="BE34" s="2514"/>
      <c r="BF34" s="2517"/>
      <c r="BG34" s="2514"/>
      <c r="BH34" s="2514"/>
      <c r="BI34" s="2514"/>
      <c r="BJ34" s="2517"/>
      <c r="BK34" s="2514"/>
      <c r="BL34" s="2514"/>
      <c r="BM34" s="2514"/>
      <c r="BN34" s="2517"/>
      <c r="BO34" s="2514"/>
      <c r="BP34" s="2514"/>
      <c r="BQ34" s="2514"/>
      <c r="BR34" s="2517"/>
      <c r="BS34" s="2514"/>
      <c r="BT34" s="2514"/>
      <c r="BU34" s="2514"/>
      <c r="BV34" s="2517"/>
      <c r="BW34" s="2514"/>
      <c r="BX34" s="2514"/>
      <c r="BY34" s="2514"/>
      <c r="BZ34" s="2519">
        <v>1241.1770000000001</v>
      </c>
      <c r="CA34" s="2515">
        <v>1294.0720000000001</v>
      </c>
      <c r="CB34" s="2515">
        <v>1338.5550000000001</v>
      </c>
      <c r="CC34" s="2515">
        <v>1397.5419999999999</v>
      </c>
      <c r="CD34" s="2519">
        <v>1368.402</v>
      </c>
      <c r="CE34" s="2515">
        <v>1408.2919999999999</v>
      </c>
      <c r="CF34" s="2515">
        <v>1478.3209999999999</v>
      </c>
      <c r="CG34" s="2515">
        <v>1517.6</v>
      </c>
      <c r="CH34" s="2519">
        <v>1493.1</v>
      </c>
      <c r="CI34" s="2515">
        <v>1519.9</v>
      </c>
      <c r="CJ34" s="2515">
        <v>1614.8</v>
      </c>
      <c r="CK34" s="2515"/>
      <c r="CL34" s="2517"/>
      <c r="CM34" s="2514"/>
      <c r="CN34" s="2514"/>
      <c r="CO34" s="2514"/>
      <c r="CP34" s="2517"/>
      <c r="CQ34" s="2514"/>
      <c r="CR34" s="2514"/>
      <c r="CS34" s="2514"/>
      <c r="CT34" s="2517"/>
      <c r="CU34" s="2514"/>
      <c r="CV34" s="2514"/>
      <c r="CW34" s="2514"/>
      <c r="CX34" s="2517"/>
      <c r="CY34" s="2514"/>
      <c r="CZ34" s="2514"/>
      <c r="DA34" s="2514"/>
      <c r="DB34" s="2517"/>
      <c r="DC34" s="2514"/>
      <c r="DD34" s="2514"/>
      <c r="DE34" s="2514"/>
      <c r="DF34" s="2517"/>
      <c r="DG34" s="2514"/>
      <c r="DH34" s="2514"/>
      <c r="DI34" s="2520"/>
      <c r="DJ34" s="2517"/>
      <c r="DK34" s="2514"/>
      <c r="DL34" s="2514"/>
      <c r="DM34" s="2520"/>
      <c r="DN34" s="2514"/>
      <c r="DO34" s="2514"/>
      <c r="DP34" s="2514"/>
      <c r="DQ34" s="2520"/>
      <c r="DR34" s="2517"/>
      <c r="DS34" s="2514"/>
      <c r="DT34" s="2514"/>
      <c r="DU34" s="2520"/>
      <c r="DV34" s="2514"/>
      <c r="DW34" s="2514"/>
      <c r="DX34" s="2514"/>
      <c r="DY34" s="2520"/>
    </row>
    <row r="35" spans="1:129" s="2521" customFormat="1" ht="12.75" hidden="1" outlineLevel="2">
      <c r="A35" s="2522" t="s">
        <v>991</v>
      </c>
      <c r="B35" s="2523"/>
      <c r="C35" s="2523"/>
      <c r="D35" s="2523"/>
      <c r="E35" s="2523"/>
      <c r="F35" s="2523"/>
      <c r="G35" s="2523"/>
      <c r="H35" s="2523"/>
      <c r="I35" s="2523"/>
      <c r="J35" s="2523"/>
      <c r="K35" s="2523"/>
      <c r="L35" s="2523"/>
      <c r="M35" s="2523"/>
      <c r="N35" s="2523"/>
      <c r="O35" s="2523">
        <f>O34/N34-1</f>
        <v>9.5093169752090034E-2</v>
      </c>
      <c r="P35" s="2523">
        <f>P34/O34-1</f>
        <v>-0.19831826650486817</v>
      </c>
      <c r="Q35" s="2523"/>
      <c r="R35" s="2523"/>
      <c r="S35" s="2523"/>
      <c r="T35" s="2523"/>
      <c r="U35" s="2523"/>
      <c r="V35" s="2523"/>
      <c r="W35" s="2523"/>
      <c r="X35" s="2523"/>
      <c r="Y35" s="2523"/>
      <c r="Z35" s="2523"/>
      <c r="AA35" s="2523"/>
      <c r="AB35" s="2523"/>
      <c r="AC35" s="2523"/>
      <c r="AD35" s="2523"/>
      <c r="AE35" s="2523"/>
      <c r="AF35" s="2523"/>
      <c r="AG35" s="2523"/>
      <c r="AH35" s="2517"/>
      <c r="AI35" s="2518"/>
      <c r="AJ35" s="2514"/>
      <c r="AK35" s="2523"/>
      <c r="AL35" s="2523"/>
      <c r="AM35" s="2523"/>
      <c r="AN35" s="2523"/>
      <c r="AO35" s="2523"/>
      <c r="AP35" s="2524"/>
      <c r="AQ35" s="2523"/>
      <c r="AR35" s="2523"/>
      <c r="AS35" s="2523"/>
      <c r="AT35" s="2524"/>
      <c r="AU35" s="2523"/>
      <c r="AV35" s="2523"/>
      <c r="AW35" s="2523"/>
      <c r="AX35" s="2524"/>
      <c r="AY35" s="2523"/>
      <c r="AZ35" s="2523"/>
      <c r="BA35" s="2523"/>
      <c r="BB35" s="2524"/>
      <c r="BC35" s="2523"/>
      <c r="BD35" s="2523"/>
      <c r="BE35" s="2523"/>
      <c r="BF35" s="2524"/>
      <c r="BG35" s="2523"/>
      <c r="BH35" s="2523"/>
      <c r="BI35" s="2523"/>
      <c r="BJ35" s="2524"/>
      <c r="BK35" s="2523"/>
      <c r="BL35" s="2523"/>
      <c r="BM35" s="2523"/>
      <c r="BN35" s="2524"/>
      <c r="BO35" s="2523"/>
      <c r="BP35" s="2523"/>
      <c r="BQ35" s="2523"/>
      <c r="BR35" s="2524"/>
      <c r="BS35" s="2523"/>
      <c r="BT35" s="2523"/>
      <c r="BU35" s="2523"/>
      <c r="BV35" s="2524"/>
      <c r="BW35" s="2523"/>
      <c r="BX35" s="2523"/>
      <c r="BY35" s="2523"/>
      <c r="BZ35" s="2524"/>
      <c r="CA35" s="2523"/>
      <c r="CB35" s="2523"/>
      <c r="CC35" s="2523"/>
      <c r="CD35" s="2524">
        <f t="shared" ref="CD35:CJ35" si="90">CD34/BZ34-1</f>
        <v>0.10250351078049302</v>
      </c>
      <c r="CE35" s="2523">
        <f t="shared" si="90"/>
        <v>8.8264022403699238E-2</v>
      </c>
      <c r="CF35" s="2523">
        <f t="shared" si="90"/>
        <v>0.10441558247513161</v>
      </c>
      <c r="CG35" s="2523">
        <f t="shared" si="90"/>
        <v>8.5906541628087085E-2</v>
      </c>
      <c r="CH35" s="2524">
        <f t="shared" si="90"/>
        <v>9.1126730302937275E-2</v>
      </c>
      <c r="CI35" s="2523">
        <f t="shared" si="90"/>
        <v>7.9250609958730234E-2</v>
      </c>
      <c r="CJ35" s="2523">
        <f t="shared" si="90"/>
        <v>9.2320274148848691E-2</v>
      </c>
      <c r="CK35" s="2523"/>
      <c r="CL35" s="2524"/>
      <c r="CM35" s="2523"/>
      <c r="CN35" s="2523"/>
      <c r="CO35" s="2523"/>
      <c r="CP35" s="2524"/>
      <c r="CQ35" s="2523"/>
      <c r="CR35" s="2523"/>
      <c r="CS35" s="2523"/>
      <c r="CT35" s="2524"/>
      <c r="CU35" s="2523"/>
      <c r="CV35" s="2523"/>
      <c r="CW35" s="2523"/>
      <c r="CX35" s="2524"/>
      <c r="CY35" s="2523"/>
      <c r="CZ35" s="2523"/>
      <c r="DA35" s="2523"/>
      <c r="DB35" s="2524"/>
      <c r="DC35" s="2523"/>
      <c r="DD35" s="2523"/>
      <c r="DE35" s="2523"/>
      <c r="DF35" s="2524"/>
      <c r="DG35" s="2523"/>
      <c r="DH35" s="2523"/>
      <c r="DI35" s="2525"/>
      <c r="DJ35" s="2524"/>
      <c r="DK35" s="2523"/>
      <c r="DL35" s="2523"/>
      <c r="DM35" s="2525"/>
      <c r="DN35" s="2523"/>
      <c r="DO35" s="2523"/>
      <c r="DP35" s="2523"/>
      <c r="DQ35" s="2525"/>
      <c r="DR35" s="2524"/>
      <c r="DS35" s="2523"/>
      <c r="DT35" s="2523"/>
      <c r="DU35" s="2525"/>
      <c r="DV35" s="2523"/>
      <c r="DW35" s="2523"/>
      <c r="DX35" s="2523"/>
      <c r="DY35" s="2525"/>
    </row>
    <row r="36" spans="1:129" s="1491" customFormat="1" ht="15" hidden="1" customHeight="1" outlineLevel="2">
      <c r="A36" s="2211"/>
      <c r="B36" s="1903"/>
      <c r="C36" s="1903"/>
      <c r="D36" s="2200"/>
      <c r="E36" s="2200"/>
      <c r="F36" s="2200"/>
      <c r="G36" s="2200"/>
      <c r="H36" s="2200"/>
      <c r="I36" s="2200"/>
      <c r="J36" s="2200"/>
      <c r="K36" s="2200"/>
      <c r="L36" s="2200"/>
      <c r="M36" s="2200"/>
      <c r="N36" s="2200"/>
      <c r="O36" s="2200"/>
      <c r="P36" s="2200"/>
      <c r="Q36" s="2200"/>
      <c r="R36" s="2200"/>
      <c r="S36" s="2200"/>
      <c r="T36" s="2200"/>
      <c r="U36" s="2200"/>
      <c r="V36" s="2200"/>
      <c r="W36" s="2200"/>
      <c r="X36" s="2200"/>
      <c r="Y36" s="2200"/>
      <c r="Z36" s="2200"/>
      <c r="AA36" s="2200"/>
      <c r="AB36" s="2200"/>
      <c r="AC36" s="2200"/>
      <c r="AD36" s="2200"/>
      <c r="AE36" s="2200"/>
      <c r="AF36" s="2200"/>
      <c r="AG36" s="2200"/>
      <c r="AH36" s="2201"/>
      <c r="AI36" s="1927"/>
      <c r="AJ36" s="1561"/>
      <c r="AK36" s="2200"/>
      <c r="AL36" s="2200"/>
      <c r="AM36" s="1903"/>
      <c r="AN36" s="2200"/>
      <c r="AO36" s="2200"/>
      <c r="AP36" s="2202"/>
      <c r="AQ36" s="2200"/>
      <c r="AR36" s="2200"/>
      <c r="AS36" s="2200"/>
      <c r="AT36" s="2202"/>
      <c r="AU36" s="2200"/>
      <c r="AV36" s="2200"/>
      <c r="AW36" s="2200"/>
      <c r="AX36" s="2202"/>
      <c r="AY36" s="2200"/>
      <c r="AZ36" s="2200"/>
      <c r="BA36" s="2200"/>
      <c r="BB36" s="2202"/>
      <c r="BC36" s="2200"/>
      <c r="BD36" s="2200"/>
      <c r="BE36" s="2200"/>
      <c r="BF36" s="2202"/>
      <c r="BG36" s="2200"/>
      <c r="BH36" s="2200"/>
      <c r="BI36" s="2200"/>
      <c r="BJ36" s="2202"/>
      <c r="BK36" s="2200"/>
      <c r="BL36" s="2200"/>
      <c r="BM36" s="2200"/>
      <c r="BN36" s="2202"/>
      <c r="BO36" s="2200"/>
      <c r="BP36" s="2200"/>
      <c r="BQ36" s="2200"/>
      <c r="BR36" s="2202"/>
      <c r="BS36" s="2200"/>
      <c r="BT36" s="2200"/>
      <c r="BU36" s="2200"/>
      <c r="BV36" s="2202"/>
      <c r="BW36" s="2200"/>
      <c r="BX36" s="2200"/>
      <c r="BY36" s="2200"/>
      <c r="BZ36" s="2202"/>
      <c r="CA36" s="2200"/>
      <c r="CB36" s="2200"/>
      <c r="CC36" s="2200"/>
      <c r="CD36" s="2202"/>
      <c r="CE36" s="2200"/>
      <c r="CF36" s="2200"/>
      <c r="CG36" s="2200"/>
      <c r="CH36" s="2202"/>
      <c r="CI36" s="2200"/>
      <c r="CJ36" s="2200"/>
      <c r="CK36" s="2200"/>
      <c r="CL36" s="2202"/>
      <c r="CM36" s="2200"/>
      <c r="CN36" s="2200"/>
      <c r="CO36" s="2200"/>
      <c r="CP36" s="2202"/>
      <c r="CQ36" s="2200"/>
      <c r="CR36" s="2200"/>
      <c r="CS36" s="2200"/>
      <c r="CT36" s="2202"/>
      <c r="CU36" s="2200"/>
      <c r="CV36" s="2200"/>
      <c r="CW36" s="2200"/>
      <c r="CX36" s="2202"/>
      <c r="CY36" s="2200"/>
      <c r="CZ36" s="2200"/>
      <c r="DA36" s="2200"/>
      <c r="DB36" s="2202"/>
      <c r="DC36" s="2200"/>
      <c r="DD36" s="2200"/>
      <c r="DE36" s="2200"/>
      <c r="DF36" s="2202"/>
      <c r="DG36" s="2200"/>
      <c r="DH36" s="2200"/>
      <c r="DI36" s="2203"/>
      <c r="DJ36" s="2202"/>
      <c r="DK36" s="2200"/>
      <c r="DL36" s="2200"/>
      <c r="DM36" s="2203"/>
      <c r="DN36" s="2200"/>
      <c r="DO36" s="2200"/>
      <c r="DP36" s="2200"/>
      <c r="DQ36" s="2203"/>
      <c r="DR36" s="2202"/>
      <c r="DS36" s="2200"/>
      <c r="DT36" s="2200"/>
      <c r="DU36" s="2203"/>
      <c r="DV36" s="2200"/>
      <c r="DW36" s="2200"/>
      <c r="DX36" s="2200"/>
      <c r="DY36" s="2203"/>
    </row>
    <row r="37" spans="1:129" s="1491" customFormat="1" ht="15" customHeight="1" outlineLevel="1" collapsed="1">
      <c r="A37" s="1933" t="s">
        <v>960</v>
      </c>
      <c r="B37" s="1903"/>
      <c r="C37" s="1903"/>
      <c r="D37" s="2200"/>
      <c r="E37" s="2200"/>
      <c r="F37" s="2200"/>
      <c r="G37" s="2200"/>
      <c r="H37" s="2200"/>
      <c r="I37" s="2200"/>
      <c r="J37" s="2200"/>
      <c r="K37" s="2200"/>
      <c r="L37" s="2200"/>
      <c r="M37" s="2200"/>
      <c r="N37" s="2200"/>
      <c r="O37" s="2200"/>
      <c r="P37" s="2200"/>
      <c r="Q37" s="2200"/>
      <c r="R37" s="2200"/>
      <c r="S37" s="2200"/>
      <c r="T37" s="2200"/>
      <c r="U37" s="2200"/>
      <c r="V37" s="2200"/>
      <c r="W37" s="2200"/>
      <c r="X37" s="2200"/>
      <c r="Y37" s="2200"/>
      <c r="Z37" s="2200"/>
      <c r="AA37" s="2200"/>
      <c r="AB37" s="2200"/>
      <c r="AC37" s="2200"/>
      <c r="AD37" s="2200"/>
      <c r="AE37" s="2200"/>
      <c r="AF37" s="2200"/>
      <c r="AG37" s="2200"/>
      <c r="AH37" s="2201"/>
      <c r="AI37" s="1927"/>
      <c r="AJ37" s="1561"/>
      <c r="AK37" s="2200"/>
      <c r="AL37" s="2200"/>
      <c r="AM37" s="1903"/>
      <c r="AN37" s="2200"/>
      <c r="AO37" s="2200"/>
      <c r="AP37" s="2202"/>
      <c r="AQ37" s="2200"/>
      <c r="AR37" s="2200"/>
      <c r="AS37" s="2200"/>
      <c r="AT37" s="2202"/>
      <c r="AU37" s="2200"/>
      <c r="AV37" s="2200"/>
      <c r="AW37" s="2200"/>
      <c r="AX37" s="2202"/>
      <c r="AY37" s="2200"/>
      <c r="AZ37" s="2200"/>
      <c r="BA37" s="2200"/>
      <c r="BB37" s="2202"/>
      <c r="BC37" s="2200"/>
      <c r="BD37" s="2200"/>
      <c r="BE37" s="2200"/>
      <c r="BF37" s="2202"/>
      <c r="BG37" s="2200"/>
      <c r="BH37" s="2200"/>
      <c r="BI37" s="2200"/>
      <c r="BJ37" s="2202"/>
      <c r="BK37" s="2200"/>
      <c r="BL37" s="2200"/>
      <c r="BM37" s="2200"/>
      <c r="BN37" s="2202"/>
      <c r="BO37" s="2200"/>
      <c r="BP37" s="2200"/>
      <c r="BQ37" s="2200"/>
      <c r="BR37" s="2202"/>
      <c r="BS37" s="2200"/>
      <c r="BT37" s="2200"/>
      <c r="BU37" s="2200"/>
      <c r="BV37" s="2202"/>
      <c r="BW37" s="2200"/>
      <c r="BX37" s="2200"/>
      <c r="BY37" s="2200"/>
      <c r="BZ37" s="2202"/>
      <c r="CA37" s="2200"/>
      <c r="CB37" s="2200"/>
      <c r="CC37" s="2200"/>
      <c r="CD37" s="2202"/>
      <c r="CE37" s="2200"/>
      <c r="CF37" s="1903"/>
      <c r="CG37" s="1903"/>
      <c r="CH37" s="1942"/>
      <c r="CI37" s="1903"/>
      <c r="CJ37" s="1903"/>
      <c r="CK37" s="2200"/>
      <c r="CL37" s="2202"/>
      <c r="CM37" s="2200"/>
      <c r="CN37" s="2200"/>
      <c r="CO37" s="2200"/>
      <c r="CP37" s="2202"/>
      <c r="CQ37" s="2200"/>
      <c r="CR37" s="2200"/>
      <c r="CS37" s="2200"/>
      <c r="CT37" s="2202"/>
      <c r="CU37" s="2200"/>
      <c r="CV37" s="2200"/>
      <c r="CW37" s="2200"/>
      <c r="CX37" s="2202"/>
      <c r="CY37" s="2200"/>
      <c r="CZ37" s="2200"/>
      <c r="DA37" s="2200"/>
      <c r="DB37" s="2202"/>
      <c r="DC37" s="2200"/>
      <c r="DD37" s="2200"/>
      <c r="DE37" s="2200"/>
      <c r="DF37" s="2202"/>
      <c r="DG37" s="2200"/>
      <c r="DH37" s="2200"/>
      <c r="DI37" s="2203"/>
      <c r="DJ37" s="2202"/>
      <c r="DK37" s="2200"/>
      <c r="DL37" s="2200"/>
      <c r="DM37" s="2203"/>
      <c r="DN37" s="2200"/>
      <c r="DO37" s="2200"/>
      <c r="DP37" s="2200"/>
      <c r="DQ37" s="2203"/>
      <c r="DR37" s="2202"/>
      <c r="DS37" s="2200"/>
      <c r="DT37" s="2200"/>
      <c r="DU37" s="2203"/>
      <c r="DV37" s="2200"/>
      <c r="DW37" s="2200"/>
      <c r="DX37" s="2200"/>
      <c r="DY37" s="2203"/>
    </row>
    <row r="38" spans="1:129" s="1491" customFormat="1" ht="15" customHeight="1" outlineLevel="1">
      <c r="A38" s="2224" t="s">
        <v>1614</v>
      </c>
      <c r="B38" s="2216"/>
      <c r="C38" s="2216"/>
      <c r="D38" s="2216"/>
      <c r="E38" s="2216"/>
      <c r="F38" s="2216"/>
      <c r="G38" s="2216"/>
      <c r="H38" s="2216"/>
      <c r="I38" s="2216"/>
      <c r="J38" s="2216">
        <f>SUM(BJ38:BM38)</f>
        <v>5456</v>
      </c>
      <c r="K38" s="2216">
        <f>SUM(BN38:BQ38)</f>
        <v>6460</v>
      </c>
      <c r="L38" s="2216">
        <f>SUM(BR38:BU38)</f>
        <v>7747</v>
      </c>
      <c r="M38" s="2216">
        <f>SUM(BV38:BY38)</f>
        <v>9393</v>
      </c>
      <c r="N38" s="2216">
        <f>N47-N41</f>
        <v>11491</v>
      </c>
      <c r="O38" s="2216">
        <f>O47-O41</f>
        <v>13456</v>
      </c>
      <c r="P38" s="2216">
        <f>+SUM(CH38:CK38)</f>
        <v>17815</v>
      </c>
      <c r="Q38" s="2216">
        <f>+SUM(CL38:CO38)</f>
        <v>19348</v>
      </c>
      <c r="R38" s="2216">
        <f>+SUM(CP38:CS38)</f>
        <v>19245</v>
      </c>
      <c r="S38" s="2216">
        <f>+SUM(CT38:CW38)</f>
        <v>24086</v>
      </c>
      <c r="T38" s="2216">
        <f>+SUM(CX38:DA38)</f>
        <v>24490</v>
      </c>
      <c r="U38" s="2216">
        <f>+SUM(DB38:DE38)</f>
        <v>23648</v>
      </c>
      <c r="V38" s="2216">
        <f>+SUM(DF38:DI38)</f>
        <v>28825</v>
      </c>
      <c r="W38" s="2216">
        <f>+SUM(DJ38:DM38)</f>
        <v>30922</v>
      </c>
      <c r="X38" s="2216">
        <f>+SUM(DN38:DQ38)</f>
        <v>30226</v>
      </c>
      <c r="Y38" s="2216">
        <f>+SUM(DR38:DU38)</f>
        <v>30137</v>
      </c>
      <c r="Z38" s="3311">
        <f ca="1">+SUM(DV38:DY38)</f>
        <v>30082.330388297632</v>
      </c>
      <c r="AA38" s="2216">
        <f ca="1">+AA460+AA471-AA491</f>
        <v>30459.337697934458</v>
      </c>
      <c r="AB38" s="2216">
        <f t="shared" ref="AB38" ca="1" si="91">+AB460+AB471-AB491</f>
        <v>30284.641228318469</v>
      </c>
      <c r="AC38" s="2216">
        <f t="shared" ref="AC38:AG38" ca="1" si="92">+AC460+AC471</f>
        <v>30069.34679957906</v>
      </c>
      <c r="AD38" s="2216">
        <f t="shared" ca="1" si="92"/>
        <v>29819.109133539496</v>
      </c>
      <c r="AE38" s="2216">
        <f t="shared" ca="1" si="92"/>
        <v>29539.587916468034</v>
      </c>
      <c r="AF38" s="2216">
        <f t="shared" ca="1" si="92"/>
        <v>29235.968421302256</v>
      </c>
      <c r="AG38" s="2216">
        <f t="shared" ca="1" si="92"/>
        <v>28912.811738695113</v>
      </c>
      <c r="AH38" s="2201"/>
      <c r="AI38" s="1928">
        <f ca="1">(AA38/V38)^(1/5)-1</f>
        <v>1.1090961243549913E-2</v>
      </c>
      <c r="AJ38" s="1561"/>
      <c r="AK38" s="2216"/>
      <c r="AL38" s="2216"/>
      <c r="AM38" s="2141"/>
      <c r="AN38" s="2216"/>
      <c r="AO38" s="2216"/>
      <c r="AP38" s="1937"/>
      <c r="AQ38" s="2216"/>
      <c r="AR38" s="2216"/>
      <c r="AS38" s="2216"/>
      <c r="AT38" s="1937"/>
      <c r="AU38" s="2216"/>
      <c r="AV38" s="2216"/>
      <c r="AW38" s="2216"/>
      <c r="AX38" s="1937"/>
      <c r="AY38" s="2216"/>
      <c r="AZ38" s="2216"/>
      <c r="BA38" s="2216"/>
      <c r="BB38" s="1937"/>
      <c r="BC38" s="2216"/>
      <c r="BD38" s="2216"/>
      <c r="BE38" s="2216"/>
      <c r="BF38" s="1937"/>
      <c r="BG38" s="2216"/>
      <c r="BH38" s="2216"/>
      <c r="BI38" s="2216"/>
      <c r="BJ38" s="2504">
        <f>NormInputs!AZ265</f>
        <v>1246</v>
      </c>
      <c r="BK38" s="2505">
        <f>NormInputs!BA265</f>
        <v>1328</v>
      </c>
      <c r="BL38" s="2505">
        <f>NormInputs!BB265</f>
        <v>1392</v>
      </c>
      <c r="BM38" s="2505">
        <f>NormInputs!BC265</f>
        <v>1490</v>
      </c>
      <c r="BN38" s="2504">
        <f>NormInputs!BD265</f>
        <v>1439</v>
      </c>
      <c r="BO38" s="2505">
        <f>NormInputs!BE265</f>
        <v>1567</v>
      </c>
      <c r="BP38" s="2505">
        <f>NormInputs!BF265</f>
        <v>1715</v>
      </c>
      <c r="BQ38" s="2505">
        <f>NormInputs!BG265</f>
        <v>1739</v>
      </c>
      <c r="BR38" s="2504">
        <f>NormInputs!BH265</f>
        <v>1658</v>
      </c>
      <c r="BS38" s="2505">
        <f>NormInputs!BI265</f>
        <v>1854</v>
      </c>
      <c r="BT38" s="2505">
        <f>NormInputs!BJ265</f>
        <v>2107</v>
      </c>
      <c r="BU38" s="2505">
        <f>NormInputs!BK265</f>
        <v>2128</v>
      </c>
      <c r="BV38" s="2504">
        <f>NormInputs!BL265</f>
        <v>2098</v>
      </c>
      <c r="BW38" s="2505">
        <f>NormInputs!BM265</f>
        <v>2282</v>
      </c>
      <c r="BX38" s="2505">
        <f>NormInputs!BN265</f>
        <v>2519</v>
      </c>
      <c r="BY38" s="2505">
        <f>NormInputs!BO265</f>
        <v>2494</v>
      </c>
      <c r="BZ38" s="2504">
        <f>NormInputs!BP265</f>
        <v>2665</v>
      </c>
      <c r="CA38" s="2505">
        <f>NormInputs!BQ265</f>
        <v>2752</v>
      </c>
      <c r="CB38" s="2505">
        <f>NormInputs!BR265</f>
        <v>2930</v>
      </c>
      <c r="CC38" s="2505">
        <f>NormInputs!BS265</f>
        <v>3144</v>
      </c>
      <c r="CD38" s="2504">
        <f>NormInputs!BT265</f>
        <v>3022</v>
      </c>
      <c r="CE38" s="2505">
        <f>NormInputs!BU265</f>
        <v>3270</v>
      </c>
      <c r="CF38" s="2505">
        <f>NormInputs!BV265</f>
        <v>3551</v>
      </c>
      <c r="CG38" s="2505">
        <f>NormInputs!BW265</f>
        <v>3613</v>
      </c>
      <c r="CH38" s="2504">
        <f>NormInputs!BX265</f>
        <v>4120</v>
      </c>
      <c r="CI38" s="2505">
        <f>NormInputs!BY265</f>
        <v>4272</v>
      </c>
      <c r="CJ38" s="2505">
        <f>NormInputs!BZ265</f>
        <v>4721</v>
      </c>
      <c r="CK38" s="2505">
        <f>NormInputs!CA265</f>
        <v>4702</v>
      </c>
      <c r="CL38" s="2504">
        <f>NormInputs!CB274</f>
        <v>4552</v>
      </c>
      <c r="CM38" s="2505">
        <f>NormInputs!CC274</f>
        <v>4723</v>
      </c>
      <c r="CN38" s="2505">
        <f>NormInputs!CD274</f>
        <v>4929</v>
      </c>
      <c r="CO38" s="2505">
        <f>NormInputs!CE274</f>
        <v>5144</v>
      </c>
      <c r="CP38" s="2504">
        <f>NormInputs!CF274</f>
        <v>4675</v>
      </c>
      <c r="CQ38" s="2505">
        <f>NormInputs!CG274</f>
        <v>4736</v>
      </c>
      <c r="CR38" s="2505">
        <f>NormInputs!CH274</f>
        <v>5017</v>
      </c>
      <c r="CS38" s="2505">
        <f>NormInputs!CI274</f>
        <v>4817</v>
      </c>
      <c r="CT38" s="2504">
        <f>NormInputs!CJ274</f>
        <v>5880</v>
      </c>
      <c r="CU38" s="2505">
        <f>NormInputs!CK274</f>
        <v>5829</v>
      </c>
      <c r="CV38" s="2505">
        <f>NormInputs!CL274</f>
        <v>5670</v>
      </c>
      <c r="CW38" s="2505">
        <f>NormInputs!CM274</f>
        <v>6707</v>
      </c>
      <c r="CX38" s="2504">
        <f>NormInputs!CN274</f>
        <v>5910</v>
      </c>
      <c r="CY38" s="2505">
        <f>NormInputs!CO274</f>
        <v>5558</v>
      </c>
      <c r="CZ38" s="2505">
        <f>NormInputs!CP274</f>
        <v>5690</v>
      </c>
      <c r="DA38" s="2505">
        <f>NormInputs!CQ274</f>
        <v>7332</v>
      </c>
      <c r="DB38" s="2504">
        <f>NormInputs!CR274</f>
        <v>5651</v>
      </c>
      <c r="DC38" s="2505">
        <f>NormInputs!CS274</f>
        <v>5799</v>
      </c>
      <c r="DD38" s="2505">
        <f>NormInputs!CT274</f>
        <v>5652</v>
      </c>
      <c r="DE38" s="2505">
        <f>NormInputs!CU274</f>
        <v>6546</v>
      </c>
      <c r="DF38" s="2504">
        <f>NormInputs!CV274</f>
        <v>5856</v>
      </c>
      <c r="DG38" s="2505">
        <f>NormInputs!CW274</f>
        <v>6742</v>
      </c>
      <c r="DH38" s="2505">
        <f>NormInputs!CX274</f>
        <v>7043</v>
      </c>
      <c r="DI38" s="2506">
        <f>NormInputs!CY274</f>
        <v>9184</v>
      </c>
      <c r="DJ38" s="2504">
        <f>NormInputs!CZ274</f>
        <v>6959</v>
      </c>
      <c r="DK38" s="2505">
        <f>NormInputs!DA274</f>
        <v>7403</v>
      </c>
      <c r="DL38" s="2505">
        <f>NormInputs!DB274</f>
        <v>7726</v>
      </c>
      <c r="DM38" s="2506">
        <f>NormInputs!DC274</f>
        <v>8834</v>
      </c>
      <c r="DN38" s="2505">
        <f>NormInputs!DD274</f>
        <v>6940</v>
      </c>
      <c r="DO38" s="2505">
        <f>NormInputs!DE274</f>
        <v>6628</v>
      </c>
      <c r="DP38" s="2505">
        <f>NormInputs!DF274</f>
        <v>7246</v>
      </c>
      <c r="DQ38" s="2506">
        <f>NormInputs!DG274</f>
        <v>9412</v>
      </c>
      <c r="DR38" s="2504">
        <f>NormInputs!DH274</f>
        <v>6766</v>
      </c>
      <c r="DS38" s="2505">
        <f>NormInputs!DI274</f>
        <v>7032</v>
      </c>
      <c r="DT38" s="2505">
        <f>NormInputs!DJ274</f>
        <v>7017</v>
      </c>
      <c r="DU38" s="2506">
        <f>NormInputs!DK274</f>
        <v>9322</v>
      </c>
      <c r="DV38" s="2505">
        <f>NormInputs!DL274</f>
        <v>7524</v>
      </c>
      <c r="DW38" s="3311">
        <f t="shared" ref="DW38:DY38" ca="1" si="93">+DW460+DW471-DW491</f>
        <v>6763.5926866618447</v>
      </c>
      <c r="DX38" s="3311">
        <f t="shared" ca="1" si="93"/>
        <v>6752.80758404671</v>
      </c>
      <c r="DY38" s="3312">
        <f t="shared" ca="1" si="93"/>
        <v>9041.9301175890796</v>
      </c>
    </row>
    <row r="39" spans="1:129" s="1491" customFormat="1" ht="15" customHeight="1" outlineLevel="1">
      <c r="A39" s="2206" t="s">
        <v>1453</v>
      </c>
      <c r="B39" s="2207"/>
      <c r="C39" s="2207"/>
      <c r="D39" s="2207"/>
      <c r="E39" s="2207"/>
      <c r="F39" s="2207"/>
      <c r="G39" s="2207"/>
      <c r="H39" s="2207"/>
      <c r="I39" s="2207"/>
      <c r="J39" s="2207"/>
      <c r="K39" s="2207">
        <f t="shared" ref="K39:AB39" si="94">K38/J38-1</f>
        <v>0.18401759530791795</v>
      </c>
      <c r="L39" s="2207">
        <f t="shared" si="94"/>
        <v>0.19922600619195041</v>
      </c>
      <c r="M39" s="2207">
        <f t="shared" si="94"/>
        <v>0.2124693429714728</v>
      </c>
      <c r="N39" s="2207">
        <f t="shared" si="94"/>
        <v>0.22335781965293311</v>
      </c>
      <c r="O39" s="2207">
        <f t="shared" si="94"/>
        <v>0.17100339396049091</v>
      </c>
      <c r="P39" s="2207">
        <f t="shared" si="94"/>
        <v>0.32394470868014258</v>
      </c>
      <c r="Q39" s="2207">
        <f t="shared" si="94"/>
        <v>8.6051080550098247E-2</v>
      </c>
      <c r="R39" s="2207">
        <f t="shared" si="94"/>
        <v>-5.3235476535042903E-3</v>
      </c>
      <c r="S39" s="2207">
        <f t="shared" si="94"/>
        <v>0.2515458560665107</v>
      </c>
      <c r="T39" s="2207">
        <f t="shared" si="94"/>
        <v>1.6773229261811906E-2</v>
      </c>
      <c r="U39" s="2207">
        <f t="shared" si="94"/>
        <v>-3.4381380155165342E-2</v>
      </c>
      <c r="V39" s="2207">
        <f t="shared" si="94"/>
        <v>0.21891914749661701</v>
      </c>
      <c r="W39" s="2207">
        <f>W38/V38-1</f>
        <v>7.274934952298362E-2</v>
      </c>
      <c r="X39" s="2207">
        <f>X38/W38-1</f>
        <v>-2.2508246555850153E-2</v>
      </c>
      <c r="Y39" s="2207">
        <f>Y38/X38-1</f>
        <v>-2.9444848805664225E-3</v>
      </c>
      <c r="Z39" s="2207">
        <f ca="1">Z38/Y38-1</f>
        <v>-1.8140362910166186E-3</v>
      </c>
      <c r="AA39" s="2207">
        <f t="shared" ca="1" si="94"/>
        <v>1.2532516755533241E-2</v>
      </c>
      <c r="AB39" s="2207">
        <f t="shared" ca="1" si="94"/>
        <v>-5.7353994807258779E-3</v>
      </c>
      <c r="AC39" s="2207">
        <f t="shared" ref="AC39" ca="1" si="95">AC38/AB38-1</f>
        <v>-7.1090301884801921E-3</v>
      </c>
      <c r="AD39" s="2207">
        <f t="shared" ref="AD39" ca="1" si="96">AD38/AC38-1</f>
        <v>-8.3220186892475345E-3</v>
      </c>
      <c r="AE39" s="2207">
        <f t="shared" ref="AE39" ca="1" si="97">AE38/AD38-1</f>
        <v>-9.373895639191554E-3</v>
      </c>
      <c r="AF39" s="2207">
        <f t="shared" ref="AF39" ca="1" si="98">AF38/AE38-1</f>
        <v>-1.0278393050856094E-2</v>
      </c>
      <c r="AG39" s="2207">
        <f t="shared" ref="AG39" ca="1" si="99">AG38/AF38-1</f>
        <v>-1.1053394159903362E-2</v>
      </c>
      <c r="AH39" s="2201"/>
      <c r="AI39" s="1927"/>
      <c r="AJ39" s="1561"/>
      <c r="AK39" s="2207"/>
      <c r="AL39" s="2207"/>
      <c r="AM39" s="2207"/>
      <c r="AN39" s="2207"/>
      <c r="AO39" s="2207"/>
      <c r="AP39" s="2208"/>
      <c r="AQ39" s="2207"/>
      <c r="AR39" s="2207"/>
      <c r="AS39" s="2207"/>
      <c r="AT39" s="2208"/>
      <c r="AU39" s="2207"/>
      <c r="AV39" s="2207"/>
      <c r="AW39" s="2207"/>
      <c r="AX39" s="2208"/>
      <c r="AY39" s="2207"/>
      <c r="AZ39" s="2207"/>
      <c r="BA39" s="2207"/>
      <c r="BB39" s="2208"/>
      <c r="BC39" s="2207"/>
      <c r="BD39" s="2207"/>
      <c r="BE39" s="2207"/>
      <c r="BF39" s="2208"/>
      <c r="BG39" s="2207"/>
      <c r="BH39" s="2207"/>
      <c r="BI39" s="2207"/>
      <c r="BJ39" s="2208"/>
      <c r="BK39" s="2207"/>
      <c r="BL39" s="2207"/>
      <c r="BM39" s="2207"/>
      <c r="BN39" s="2208">
        <f t="shared" ref="BN39:DV39" si="100">BN38/BJ38-1</f>
        <v>0.1548956661316212</v>
      </c>
      <c r="BO39" s="2207">
        <f t="shared" si="100"/>
        <v>0.1799698795180722</v>
      </c>
      <c r="BP39" s="2207">
        <f t="shared" si="100"/>
        <v>0.23204022988505746</v>
      </c>
      <c r="BQ39" s="2207">
        <f t="shared" si="100"/>
        <v>0.16711409395973154</v>
      </c>
      <c r="BR39" s="2208">
        <f t="shared" si="100"/>
        <v>0.15218902015288394</v>
      </c>
      <c r="BS39" s="2207">
        <f t="shared" si="100"/>
        <v>0.183152520740268</v>
      </c>
      <c r="BT39" s="2207">
        <f t="shared" si="100"/>
        <v>0.22857142857142865</v>
      </c>
      <c r="BU39" s="2207">
        <f t="shared" si="100"/>
        <v>0.22369177688326625</v>
      </c>
      <c r="BV39" s="2208">
        <f t="shared" si="100"/>
        <v>0.26537997587454765</v>
      </c>
      <c r="BW39" s="2207">
        <f t="shared" si="100"/>
        <v>0.23085221143473578</v>
      </c>
      <c r="BX39" s="2207">
        <f t="shared" si="100"/>
        <v>0.19553868058851442</v>
      </c>
      <c r="BY39" s="2207">
        <f t="shared" si="100"/>
        <v>0.17199248120300759</v>
      </c>
      <c r="BZ39" s="2208">
        <f t="shared" si="100"/>
        <v>0.27025738798856058</v>
      </c>
      <c r="CA39" s="2207">
        <f t="shared" si="100"/>
        <v>0.20595968448729174</v>
      </c>
      <c r="CB39" s="2207">
        <f t="shared" si="100"/>
        <v>0.16315998412068278</v>
      </c>
      <c r="CC39" s="2207">
        <f t="shared" si="100"/>
        <v>0.26062550120288686</v>
      </c>
      <c r="CD39" s="2208">
        <f t="shared" si="100"/>
        <v>0.13395872420262656</v>
      </c>
      <c r="CE39" s="2207">
        <f t="shared" si="100"/>
        <v>0.18822674418604657</v>
      </c>
      <c r="CF39" s="2207">
        <f t="shared" si="100"/>
        <v>0.2119453924914676</v>
      </c>
      <c r="CG39" s="2207">
        <f t="shared" si="100"/>
        <v>0.14917302798982179</v>
      </c>
      <c r="CH39" s="2208">
        <f t="shared" si="100"/>
        <v>0.36333553937789542</v>
      </c>
      <c r="CI39" s="2207">
        <f t="shared" si="100"/>
        <v>0.30642201834862393</v>
      </c>
      <c r="CJ39" s="2207">
        <f t="shared" si="100"/>
        <v>0.32948465221064493</v>
      </c>
      <c r="CK39" s="2207">
        <f t="shared" si="100"/>
        <v>0.3014115693329642</v>
      </c>
      <c r="CL39" s="2208">
        <f t="shared" si="100"/>
        <v>0.10485436893203892</v>
      </c>
      <c r="CM39" s="2207">
        <f t="shared" si="100"/>
        <v>0.10557116104868913</v>
      </c>
      <c r="CN39" s="2207">
        <f t="shared" si="100"/>
        <v>4.4058462190214032E-2</v>
      </c>
      <c r="CO39" s="2207">
        <f t="shared" si="100"/>
        <v>9.4002552105487025E-2</v>
      </c>
      <c r="CP39" s="2208">
        <f t="shared" si="100"/>
        <v>2.7021089630931527E-2</v>
      </c>
      <c r="CQ39" s="2207">
        <f t="shared" si="100"/>
        <v>2.7524878255347218E-3</v>
      </c>
      <c r="CR39" s="2207">
        <f t="shared" si="100"/>
        <v>1.7853519983769495E-2</v>
      </c>
      <c r="CS39" s="2207">
        <f t="shared" si="100"/>
        <v>-6.3569206842923776E-2</v>
      </c>
      <c r="CT39" s="2208">
        <f t="shared" si="100"/>
        <v>0.25775401069518722</v>
      </c>
      <c r="CU39" s="2207">
        <f t="shared" si="100"/>
        <v>0.23078547297297303</v>
      </c>
      <c r="CV39" s="2207">
        <f t="shared" si="100"/>
        <v>0.13015746462029099</v>
      </c>
      <c r="CW39" s="2207">
        <f t="shared" si="100"/>
        <v>0.39236039028440928</v>
      </c>
      <c r="CX39" s="2208">
        <f t="shared" si="100"/>
        <v>5.1020408163264808E-3</v>
      </c>
      <c r="CY39" s="2207">
        <f t="shared" si="100"/>
        <v>-4.6491679533367636E-2</v>
      </c>
      <c r="CZ39" s="2207">
        <f t="shared" si="100"/>
        <v>3.5273368606703048E-3</v>
      </c>
      <c r="DA39" s="2207">
        <f t="shared" si="100"/>
        <v>9.318622334874016E-2</v>
      </c>
      <c r="DB39" s="2208">
        <f t="shared" si="100"/>
        <v>-4.3824027072758009E-2</v>
      </c>
      <c r="DC39" s="2207">
        <f t="shared" si="100"/>
        <v>4.3360921194674384E-2</v>
      </c>
      <c r="DD39" s="2207">
        <f t="shared" si="100"/>
        <v>-6.6783831282952733E-3</v>
      </c>
      <c r="DE39" s="2207">
        <f t="shared" si="100"/>
        <v>-0.10720130932896887</v>
      </c>
      <c r="DF39" s="2208">
        <f t="shared" si="100"/>
        <v>3.6276765174305448E-2</v>
      </c>
      <c r="DG39" s="2207">
        <f t="shared" si="100"/>
        <v>0.16261424383514389</v>
      </c>
      <c r="DH39" s="2207">
        <f t="shared" si="100"/>
        <v>0.2461075725406936</v>
      </c>
      <c r="DI39" s="2209">
        <f t="shared" si="100"/>
        <v>0.40299419492820032</v>
      </c>
      <c r="DJ39" s="2208">
        <f t="shared" si="100"/>
        <v>0.18835382513661192</v>
      </c>
      <c r="DK39" s="2207">
        <f t="shared" si="100"/>
        <v>9.8042123998813402E-2</v>
      </c>
      <c r="DL39" s="2207">
        <f t="shared" si="100"/>
        <v>9.6975720573619251E-2</v>
      </c>
      <c r="DM39" s="2209">
        <f t="shared" si="100"/>
        <v>-3.8109756097560954E-2</v>
      </c>
      <c r="DN39" s="2207">
        <f t="shared" si="100"/>
        <v>-2.7302773386981283E-3</v>
      </c>
      <c r="DO39" s="2207">
        <f t="shared" si="100"/>
        <v>-0.10468728893691748</v>
      </c>
      <c r="DP39" s="2207">
        <f t="shared" si="100"/>
        <v>-6.2127879886098913E-2</v>
      </c>
      <c r="DQ39" s="2209">
        <f t="shared" si="100"/>
        <v>6.542902422458674E-2</v>
      </c>
      <c r="DR39" s="2208">
        <f t="shared" si="100"/>
        <v>-2.5072046109510082E-2</v>
      </c>
      <c r="DS39" s="2207">
        <f t="shared" si="100"/>
        <v>6.0953530476765216E-2</v>
      </c>
      <c r="DT39" s="2207">
        <f t="shared" si="100"/>
        <v>-3.1603643389456204E-2</v>
      </c>
      <c r="DU39" s="2209">
        <f t="shared" si="100"/>
        <v>-9.5622609434764527E-3</v>
      </c>
      <c r="DV39" s="2207">
        <f t="shared" si="100"/>
        <v>0.11203074194501927</v>
      </c>
      <c r="DW39" s="2207">
        <f t="shared" ref="DW39" ca="1" si="101">DW38/DS38-1</f>
        <v>-3.8169413159578447E-2</v>
      </c>
      <c r="DX39" s="2207">
        <f t="shared" ref="DX39" ca="1" si="102">DX38/DT38-1</f>
        <v>-3.7650337174474857E-2</v>
      </c>
      <c r="DY39" s="2209">
        <f t="shared" ref="DY39" ca="1" si="103">DY38/DU38-1</f>
        <v>-3.0043969363969136E-2</v>
      </c>
    </row>
    <row r="40" spans="1:129" s="1491" customFormat="1" ht="15" customHeight="1" outlineLevel="1">
      <c r="A40" s="2206" t="s">
        <v>1615</v>
      </c>
      <c r="B40" s="2207"/>
      <c r="C40" s="2207"/>
      <c r="D40" s="2207"/>
      <c r="E40" s="2207"/>
      <c r="F40" s="2207"/>
      <c r="G40" s="2207"/>
      <c r="H40" s="2207"/>
      <c r="I40" s="2207"/>
      <c r="J40" s="2207">
        <f t="shared" ref="J40:P40" si="104">J38/J14</f>
        <v>0.28018281723411903</v>
      </c>
      <c r="K40" s="2207">
        <f t="shared" si="104"/>
        <v>0.2872515451998755</v>
      </c>
      <c r="L40" s="2207">
        <f t="shared" si="104"/>
        <v>0.28005928710866895</v>
      </c>
      <c r="M40" s="2207">
        <f t="shared" si="104"/>
        <v>0.29079595058976504</v>
      </c>
      <c r="N40" s="2207">
        <f t="shared" si="104"/>
        <v>0.26191613568874145</v>
      </c>
      <c r="O40" s="2207">
        <f t="shared" si="104"/>
        <v>0.26558081691759278</v>
      </c>
      <c r="P40" s="2207">
        <f t="shared" si="104"/>
        <v>0.36112462498986458</v>
      </c>
      <c r="Q40" s="2207">
        <f t="shared" ref="Q40:AA40" si="105">Q38/Q31</f>
        <v>0.3207293825113966</v>
      </c>
      <c r="R40" s="2207">
        <f t="shared" si="105"/>
        <v>0.30351538473670098</v>
      </c>
      <c r="S40" s="2207">
        <f t="shared" si="105"/>
        <v>0.34333038743336092</v>
      </c>
      <c r="T40" s="2207">
        <f t="shared" si="105"/>
        <v>0.32279749037802496</v>
      </c>
      <c r="U40" s="2207">
        <f t="shared" si="105"/>
        <v>0.29186774125865494</v>
      </c>
      <c r="V40" s="2207">
        <f t="shared" si="105"/>
        <v>0.3288798119708829</v>
      </c>
      <c r="W40" s="2207">
        <f t="shared" si="105"/>
        <v>0.33728184991273996</v>
      </c>
      <c r="X40" s="2207">
        <f t="shared" si="105"/>
        <v>0.33890969434664636</v>
      </c>
      <c r="Y40" s="2207">
        <f t="shared" ref="Y40:Z40" si="106">Y38/Y31</f>
        <v>0.34437956371199047</v>
      </c>
      <c r="Z40" s="2207">
        <f t="shared" ca="1" si="106"/>
        <v>0.33800169729873475</v>
      </c>
      <c r="AA40" s="2207">
        <f t="shared" ca="1" si="105"/>
        <v>0.34100601026180727</v>
      </c>
      <c r="AB40" s="2207">
        <f t="shared" ref="AB40:AG40" ca="1" si="107">AB38/AB31</f>
        <v>0.33589918682368125</v>
      </c>
      <c r="AC40" s="2207">
        <f t="shared" ca="1" si="107"/>
        <v>0.33027956723484153</v>
      </c>
      <c r="AD40" s="2207">
        <f t="shared" ca="1" si="107"/>
        <v>0.32424383913654825</v>
      </c>
      <c r="AE40" s="2207">
        <f t="shared" ca="1" si="107"/>
        <v>0.31783730797164167</v>
      </c>
      <c r="AF40" s="2207">
        <f t="shared" ca="1" si="107"/>
        <v>0.31108360261297774</v>
      </c>
      <c r="AG40" s="2207">
        <f t="shared" ca="1" si="107"/>
        <v>0.30399821449751702</v>
      </c>
      <c r="AH40" s="2201"/>
      <c r="AI40" s="1927"/>
      <c r="AJ40" s="1561"/>
      <c r="AK40" s="2207"/>
      <c r="AL40" s="2207"/>
      <c r="AM40" s="2207"/>
      <c r="AN40" s="2207"/>
      <c r="AO40" s="2207"/>
      <c r="AP40" s="2208"/>
      <c r="AQ40" s="2207"/>
      <c r="AR40" s="2207"/>
      <c r="AS40" s="2207"/>
      <c r="AT40" s="2208"/>
      <c r="AU40" s="2207"/>
      <c r="AV40" s="2207"/>
      <c r="AW40" s="2207"/>
      <c r="AX40" s="2208"/>
      <c r="AY40" s="2207"/>
      <c r="AZ40" s="2207"/>
      <c r="BA40" s="2207"/>
      <c r="BB40" s="2208"/>
      <c r="BC40" s="2207"/>
      <c r="BD40" s="2207"/>
      <c r="BE40" s="2207"/>
      <c r="BF40" s="2208"/>
      <c r="BG40" s="2207"/>
      <c r="BH40" s="2207"/>
      <c r="BI40" s="2207"/>
      <c r="BJ40" s="2208">
        <f t="shared" ref="BJ40:CK40" si="108">BJ38/BJ14</f>
        <v>0.28126410835214449</v>
      </c>
      <c r="BK40" s="2207">
        <f t="shared" si="108"/>
        <v>0.27718639115007304</v>
      </c>
      <c r="BL40" s="2207">
        <f t="shared" si="108"/>
        <v>0.27679459137005369</v>
      </c>
      <c r="BM40" s="2207">
        <f t="shared" si="108"/>
        <v>0.28527666092284126</v>
      </c>
      <c r="BN40" s="2208">
        <f t="shared" si="108"/>
        <v>0.28293354305937868</v>
      </c>
      <c r="BO40" s="2207">
        <f t="shared" si="108"/>
        <v>0.28610553222567098</v>
      </c>
      <c r="BP40" s="2207">
        <f t="shared" si="108"/>
        <v>0.28862335913833725</v>
      </c>
      <c r="BQ40" s="2207">
        <f t="shared" si="108"/>
        <v>0.29060828877005346</v>
      </c>
      <c r="BR40" s="2208">
        <f t="shared" si="108"/>
        <v>0.26906848425835767</v>
      </c>
      <c r="BS40" s="2207">
        <f t="shared" si="108"/>
        <v>0.27077552212647876</v>
      </c>
      <c r="BT40" s="2207">
        <f t="shared" si="108"/>
        <v>0.28819586923813434</v>
      </c>
      <c r="BU40" s="2207">
        <f t="shared" si="108"/>
        <v>0.28983928084990468</v>
      </c>
      <c r="BV40" s="2208">
        <f t="shared" si="108"/>
        <v>0.2828255594499865</v>
      </c>
      <c r="BW40" s="2207">
        <f t="shared" si="108"/>
        <v>0.29084884017333673</v>
      </c>
      <c r="BX40" s="2207">
        <f t="shared" si="108"/>
        <v>0.3016405220931625</v>
      </c>
      <c r="BY40" s="2207">
        <f t="shared" si="108"/>
        <v>0.28712871287128711</v>
      </c>
      <c r="BZ40" s="2208">
        <f t="shared" si="108"/>
        <v>0.30239419040054466</v>
      </c>
      <c r="CA40" s="2207">
        <f t="shared" si="108"/>
        <v>0.29712805009717125</v>
      </c>
      <c r="CB40" s="2207">
        <f t="shared" si="108"/>
        <v>0.29688924916404902</v>
      </c>
      <c r="CC40" s="2207">
        <f t="shared" si="108"/>
        <v>0.31131795227250225</v>
      </c>
      <c r="CD40" s="2208">
        <f t="shared" si="108"/>
        <v>0.29319879693412243</v>
      </c>
      <c r="CE40" s="2207">
        <f t="shared" si="108"/>
        <v>0.30157705432075993</v>
      </c>
      <c r="CF40" s="2207">
        <f t="shared" si="108"/>
        <v>0.31455399061032863</v>
      </c>
      <c r="CG40" s="2207">
        <f t="shared" si="108"/>
        <v>0.31573887966442366</v>
      </c>
      <c r="CH40" s="2208">
        <f t="shared" si="108"/>
        <v>0.35307224269431831</v>
      </c>
      <c r="CI40" s="2207">
        <f t="shared" si="108"/>
        <v>0.35253342135665949</v>
      </c>
      <c r="CJ40" s="2207">
        <f t="shared" si="108"/>
        <v>0.37176155602803368</v>
      </c>
      <c r="CK40" s="2207">
        <f t="shared" si="108"/>
        <v>0.36602833566869064</v>
      </c>
      <c r="CL40" s="2208">
        <f t="shared" ref="CL40:DN40" si="109">CL38/CL31</f>
        <v>0.3098706603131382</v>
      </c>
      <c r="CM40" s="2207">
        <f t="shared" si="109"/>
        <v>0.31425909907512145</v>
      </c>
      <c r="CN40" s="2207">
        <f t="shared" si="109"/>
        <v>0.32150544648098622</v>
      </c>
      <c r="CO40" s="2207">
        <f t="shared" si="109"/>
        <v>0.33675941080196398</v>
      </c>
      <c r="CP40" s="2208">
        <f t="shared" si="109"/>
        <v>0.30531609195402298</v>
      </c>
      <c r="CQ40" s="2207">
        <f t="shared" si="109"/>
        <v>0.30171370325539915</v>
      </c>
      <c r="CR40" s="2207">
        <f t="shared" si="109"/>
        <v>0.30873846153846152</v>
      </c>
      <c r="CS40" s="2207">
        <f t="shared" si="109"/>
        <v>0.29830319544216</v>
      </c>
      <c r="CT40" s="2208">
        <f t="shared" si="109"/>
        <v>0.34832059712102365</v>
      </c>
      <c r="CU40" s="2207">
        <f t="shared" si="109"/>
        <v>0.33707280402474987</v>
      </c>
      <c r="CV40" s="2207">
        <f t="shared" si="109"/>
        <v>0.31986911880852986</v>
      </c>
      <c r="CW40" s="2207">
        <f t="shared" si="109"/>
        <v>0.36742631751944776</v>
      </c>
      <c r="CX40" s="2208">
        <f t="shared" si="109"/>
        <v>0.32342800853718601</v>
      </c>
      <c r="CY40" s="2207">
        <f t="shared" si="109"/>
        <v>0.29918716692684505</v>
      </c>
      <c r="CZ40" s="2207">
        <f t="shared" si="109"/>
        <v>0.29909587888982336</v>
      </c>
      <c r="DA40" s="2207">
        <f t="shared" si="109"/>
        <v>0.36671001300390116</v>
      </c>
      <c r="DB40" s="2208">
        <f t="shared" si="109"/>
        <v>0.2894534651436767</v>
      </c>
      <c r="DC40" s="2207">
        <f t="shared" si="109"/>
        <v>0.29029835802963555</v>
      </c>
      <c r="DD40" s="2207">
        <f t="shared" si="109"/>
        <v>0.277072405510074</v>
      </c>
      <c r="DE40" s="2207">
        <f t="shared" si="109"/>
        <v>0.30986982248520711</v>
      </c>
      <c r="DF40" s="2208">
        <f t="shared" si="109"/>
        <v>0.28047320273959481</v>
      </c>
      <c r="DG40" s="2207">
        <f t="shared" si="109"/>
        <v>0.31382953963599125</v>
      </c>
      <c r="DH40" s="2207">
        <f t="shared" si="109"/>
        <v>0.32255553011220517</v>
      </c>
      <c r="DI40" s="2209">
        <f t="shared" si="109"/>
        <v>0.39165849289948401</v>
      </c>
      <c r="DJ40" s="2208">
        <f t="shared" si="109"/>
        <v>0.31167144392690793</v>
      </c>
      <c r="DK40" s="2207">
        <f t="shared" si="109"/>
        <v>0.32737805686994209</v>
      </c>
      <c r="DL40" s="2207">
        <f t="shared" si="109"/>
        <v>0.33584003477504892</v>
      </c>
      <c r="DM40" s="2209">
        <f t="shared" si="109"/>
        <v>0.37220864582455548</v>
      </c>
      <c r="DN40" s="2207">
        <f t="shared" si="109"/>
        <v>0.31539720050899839</v>
      </c>
      <c r="DO40" s="2207">
        <f t="shared" ref="DO40:DP40" si="110">DO38/DO31</f>
        <v>0.30538149649834134</v>
      </c>
      <c r="DP40" s="2207">
        <f t="shared" si="110"/>
        <v>0.32785846794262702</v>
      </c>
      <c r="DQ40" s="2209">
        <f t="shared" ref="DQ40" si="111">DQ38/DQ31</f>
        <v>0.40261795782179066</v>
      </c>
      <c r="DR40" s="2208">
        <f t="shared" ref="DR40" si="112">DR38/DR31</f>
        <v>0.32407318708688571</v>
      </c>
      <c r="DS40" s="2207">
        <f t="shared" ref="DS40:DT40" si="113">DS38/DS31</f>
        <v>0.33042007330138146</v>
      </c>
      <c r="DT40" s="2207">
        <f t="shared" si="113"/>
        <v>0.32516218721037998</v>
      </c>
      <c r="DU40" s="2209">
        <f t="shared" ref="DU40" si="114">DU38/DU31</f>
        <v>0.39215851247318162</v>
      </c>
      <c r="DV40" s="2207">
        <f t="shared" ref="DV40" si="115">DV38/DV31</f>
        <v>0.34356164383561644</v>
      </c>
      <c r="DW40" s="2207">
        <f t="shared" ref="DW40:DY40" ca="1" si="116">DW38/DW31</f>
        <v>0.3117291477783275</v>
      </c>
      <c r="DX40" s="2207">
        <f t="shared" ca="1" si="116"/>
        <v>0.30698792630481953</v>
      </c>
      <c r="DY40" s="2209">
        <f t="shared" ca="1" si="116"/>
        <v>0.38629943083784202</v>
      </c>
    </row>
    <row r="41" spans="1:129" s="1491" customFormat="1" ht="15" customHeight="1" outlineLevel="1">
      <c r="A41" s="2224" t="s">
        <v>963</v>
      </c>
      <c r="B41" s="2216"/>
      <c r="C41" s="2216"/>
      <c r="D41" s="2216"/>
      <c r="E41" s="2216"/>
      <c r="F41" s="2216"/>
      <c r="G41" s="2216"/>
      <c r="H41" s="2216"/>
      <c r="I41" s="2216"/>
      <c r="J41" s="2216">
        <f>SUM(BJ41:BM41)</f>
        <v>7084</v>
      </c>
      <c r="K41" s="2216">
        <f>SUM(BN41:BQ41)</f>
        <v>8057</v>
      </c>
      <c r="L41" s="2216">
        <f>SUM(BR41:BU41)</f>
        <v>9591</v>
      </c>
      <c r="M41" s="2216">
        <f>SUM(BV41:BY41)</f>
        <v>10768</v>
      </c>
      <c r="N41" s="2216">
        <f>SUM(BZ41:CC41)</f>
        <v>12039</v>
      </c>
      <c r="O41" s="2216">
        <f>SUM(CD41:CG41)</f>
        <v>13477</v>
      </c>
      <c r="P41" s="2216">
        <f>+SUM(CH41:CK41)</f>
        <v>17051</v>
      </c>
      <c r="Q41" s="2216">
        <f>+SUM(CL41:CO41)</f>
        <v>17309</v>
      </c>
      <c r="R41" s="2216">
        <f>+SUM(CP41:CS41)</f>
        <v>18082</v>
      </c>
      <c r="S41" s="2216">
        <f>+SUM(CT41:CW41)</f>
        <v>19579</v>
      </c>
      <c r="T41" s="2216">
        <f>+SUM(CX41:DA41)</f>
        <v>21650</v>
      </c>
      <c r="U41" s="2216">
        <f>+SUM(DB41:DE41)</f>
        <v>23176</v>
      </c>
      <c r="V41" s="2216">
        <f>+SUM(DF41:DI41)</f>
        <v>23602</v>
      </c>
      <c r="W41" s="2216">
        <f>+SUM(DJ41:DM41)</f>
        <v>21805</v>
      </c>
      <c r="X41" s="2216">
        <f>+SUM(DN41:DQ41)</f>
        <v>19924</v>
      </c>
      <c r="Y41" s="2216">
        <f>+SUM(DR41:DU41)</f>
        <v>18772</v>
      </c>
      <c r="Z41" s="2216">
        <f ca="1">+SUM(DV41:DY41)</f>
        <v>18072.922293069205</v>
      </c>
      <c r="AA41" s="2216">
        <f ca="1">AA31*AA43</f>
        <v>18048.87891070405</v>
      </c>
      <c r="AB41" s="2216">
        <f ca="1">AB31*AB43</f>
        <v>18128.032708988176</v>
      </c>
      <c r="AC41" s="2216">
        <f t="shared" ref="AC41:AG41" ca="1" si="117">AC31*AC43</f>
        <v>18214.36882522771</v>
      </c>
      <c r="AD41" s="2216">
        <f t="shared" ca="1" si="117"/>
        <v>18307.058286656153</v>
      </c>
      <c r="AE41" s="2216">
        <f t="shared" ca="1" si="117"/>
        <v>18408.060172930451</v>
      </c>
      <c r="AF41" s="2216">
        <f t="shared" ca="1" si="117"/>
        <v>18520.409875004156</v>
      </c>
      <c r="AG41" s="2216">
        <f t="shared" ca="1" si="117"/>
        <v>18647.478059839857</v>
      </c>
      <c r="AH41" s="2201"/>
      <c r="AI41" s="1928">
        <f ca="1">(AA41/V41)^(1/5)-1</f>
        <v>-5.2235832668456217E-2</v>
      </c>
      <c r="AJ41" s="1561"/>
      <c r="AK41" s="2216"/>
      <c r="AL41" s="2216"/>
      <c r="AM41" s="2141"/>
      <c r="AN41" s="2216"/>
      <c r="AO41" s="2216"/>
      <c r="AP41" s="1937"/>
      <c r="AQ41" s="2216"/>
      <c r="AR41" s="2216"/>
      <c r="AS41" s="2216"/>
      <c r="AT41" s="1937"/>
      <c r="AU41" s="2216"/>
      <c r="AV41" s="2216"/>
      <c r="AW41" s="2216"/>
      <c r="AX41" s="1937"/>
      <c r="AY41" s="2216"/>
      <c r="AZ41" s="2216"/>
      <c r="BA41" s="2216"/>
      <c r="BB41" s="1937"/>
      <c r="BC41" s="2216"/>
      <c r="BD41" s="2216"/>
      <c r="BE41" s="2216"/>
      <c r="BF41" s="1937"/>
      <c r="BG41" s="2216"/>
      <c r="BH41" s="2216"/>
      <c r="BI41" s="2216"/>
      <c r="BJ41" s="2504">
        <f>NormInputs!AZ266</f>
        <v>1629</v>
      </c>
      <c r="BK41" s="2505">
        <f>NormInputs!BA266</f>
        <v>1771</v>
      </c>
      <c r="BL41" s="2505">
        <f>NormInputs!BB266</f>
        <v>1839</v>
      </c>
      <c r="BM41" s="2505">
        <f>NormInputs!BC266</f>
        <v>1845</v>
      </c>
      <c r="BN41" s="2504">
        <f>NormInputs!BD266</f>
        <v>1866</v>
      </c>
      <c r="BO41" s="2505">
        <f>NormInputs!BE266</f>
        <v>1973</v>
      </c>
      <c r="BP41" s="2505">
        <f>NormInputs!BF266</f>
        <v>2103</v>
      </c>
      <c r="BQ41" s="2505">
        <f>NormInputs!BG266</f>
        <v>2115</v>
      </c>
      <c r="BR41" s="2504">
        <f>NormInputs!BH266</f>
        <v>2247</v>
      </c>
      <c r="BS41" s="2505">
        <f>NormInputs!BI266</f>
        <v>2275</v>
      </c>
      <c r="BT41" s="2505">
        <f>NormInputs!BJ266</f>
        <v>2411</v>
      </c>
      <c r="BU41" s="2505">
        <f>NormInputs!BK266</f>
        <v>2658</v>
      </c>
      <c r="BV41" s="2504">
        <f>NormInputs!BL266</f>
        <v>2630</v>
      </c>
      <c r="BW41" s="2505">
        <f>NormInputs!BM266</f>
        <v>2607</v>
      </c>
      <c r="BX41" s="2505">
        <f>NormInputs!BN266</f>
        <v>2814</v>
      </c>
      <c r="BY41" s="2505">
        <f>NormInputs!BO266</f>
        <v>2717</v>
      </c>
      <c r="BZ41" s="2504">
        <f>NormInputs!BP266</f>
        <v>2759</v>
      </c>
      <c r="CA41" s="2505">
        <f>NormInputs!BQ266</f>
        <v>2946</v>
      </c>
      <c r="CB41" s="2505">
        <f>NormInputs!BR266</f>
        <v>3132</v>
      </c>
      <c r="CC41" s="2505">
        <f>NormInputs!BS266</f>
        <v>3202</v>
      </c>
      <c r="CD41" s="2504">
        <f>NormInputs!BT266</f>
        <v>3300</v>
      </c>
      <c r="CE41" s="2505">
        <f>NormInputs!BU266</f>
        <v>3271</v>
      </c>
      <c r="CF41" s="2505">
        <f>NormInputs!BV266</f>
        <v>3385</v>
      </c>
      <c r="CG41" s="2505">
        <f>NormInputs!BW266</f>
        <v>3521</v>
      </c>
      <c r="CH41" s="2504">
        <f>NormInputs!BX266</f>
        <v>4185</v>
      </c>
      <c r="CI41" s="2505">
        <f>NormInputs!BY266</f>
        <v>4254</v>
      </c>
      <c r="CJ41" s="2505">
        <f>NormInputs!BZ266</f>
        <v>4414</v>
      </c>
      <c r="CK41" s="2505">
        <f>NormInputs!CA266</f>
        <v>4198</v>
      </c>
      <c r="CL41" s="2504">
        <f>NormInputs!CB275</f>
        <v>4326</v>
      </c>
      <c r="CM41" s="2505">
        <f>NormInputs!CC275</f>
        <v>4331</v>
      </c>
      <c r="CN41" s="2505">
        <f>NormInputs!CD275</f>
        <v>4399</v>
      </c>
      <c r="CO41" s="2505">
        <f>NormInputs!CE275</f>
        <v>4253</v>
      </c>
      <c r="CP41" s="2504">
        <f>NormInputs!CF275</f>
        <v>4492</v>
      </c>
      <c r="CQ41" s="2505">
        <f>NormInputs!CG275</f>
        <v>4451</v>
      </c>
      <c r="CR41" s="2505">
        <f>NormInputs!CH275</f>
        <v>4543</v>
      </c>
      <c r="CS41" s="2505">
        <f>NormInputs!CI275</f>
        <v>4596</v>
      </c>
      <c r="CT41" s="2504">
        <f>NormInputs!CJ275</f>
        <v>4751</v>
      </c>
      <c r="CU41" s="2505">
        <f>NormInputs!CK275</f>
        <v>4794</v>
      </c>
      <c r="CV41" s="2505">
        <f>NormInputs!CL275</f>
        <v>4867</v>
      </c>
      <c r="CW41" s="2505">
        <f>NormInputs!CM275</f>
        <v>5167</v>
      </c>
      <c r="CX41" s="2504">
        <f>NormInputs!CN275</f>
        <v>5228</v>
      </c>
      <c r="CY41" s="2505">
        <f>NormInputs!CO275</f>
        <v>5295</v>
      </c>
      <c r="CZ41" s="2505">
        <f>NormInputs!CP275</f>
        <v>5250</v>
      </c>
      <c r="DA41" s="2505">
        <f>NormInputs!CQ275</f>
        <v>5877</v>
      </c>
      <c r="DB41" s="2504">
        <f>NormInputs!CR275</f>
        <v>5448</v>
      </c>
      <c r="DC41" s="2505">
        <f>NormInputs!CS275</f>
        <v>5666</v>
      </c>
      <c r="DD41" s="2505">
        <f>NormInputs!CT275</f>
        <v>5801</v>
      </c>
      <c r="DE41" s="2505">
        <f>NormInputs!CU275</f>
        <v>6261</v>
      </c>
      <c r="DF41" s="2504">
        <f>NormInputs!CV275</f>
        <v>5644</v>
      </c>
      <c r="DG41" s="2505">
        <f>NormInputs!CW275</f>
        <v>5649</v>
      </c>
      <c r="DH41" s="2505">
        <f>NormInputs!CX275</f>
        <v>5698</v>
      </c>
      <c r="DI41" s="2506">
        <f>NormInputs!CY275</f>
        <v>6611</v>
      </c>
      <c r="DJ41" s="2504">
        <f>NormInputs!CZ275</f>
        <v>5369</v>
      </c>
      <c r="DK41" s="2505">
        <f>NormInputs!DA275</f>
        <v>5289</v>
      </c>
      <c r="DL41" s="2505">
        <f>NormInputs!DB275</f>
        <v>5351</v>
      </c>
      <c r="DM41" s="2506">
        <f>NormInputs!DC275</f>
        <v>5796</v>
      </c>
      <c r="DN41" s="2505">
        <f>NormInputs!DD275</f>
        <v>4891</v>
      </c>
      <c r="DO41" s="2505">
        <f>NormInputs!DE275</f>
        <v>4777</v>
      </c>
      <c r="DP41" s="2505">
        <f>NormInputs!DF275</f>
        <v>4921</v>
      </c>
      <c r="DQ41" s="2506">
        <f>NormInputs!DG275</f>
        <v>5335</v>
      </c>
      <c r="DR41" s="2504">
        <f>NormInputs!DH275</f>
        <v>4698</v>
      </c>
      <c r="DS41" s="2505">
        <f>NormInputs!DI275</f>
        <v>4493</v>
      </c>
      <c r="DT41" s="2505">
        <f>NormInputs!DJ275</f>
        <v>4594</v>
      </c>
      <c r="DU41" s="2506">
        <f>NormInputs!DK275</f>
        <v>4987</v>
      </c>
      <c r="DV41" s="2505">
        <f>NormInputs!DL275</f>
        <v>3899</v>
      </c>
      <c r="DW41" s="2216">
        <f t="shared" ref="DW41:DY41" ca="1" si="118">DW31*DW43</f>
        <v>4580.6173461113049</v>
      </c>
      <c r="DX41" s="2216">
        <f t="shared" ca="1" si="118"/>
        <v>4682.7678749900979</v>
      </c>
      <c r="DY41" s="2219">
        <f t="shared" ca="1" si="118"/>
        <v>4910.537071967804</v>
      </c>
    </row>
    <row r="42" spans="1:129" s="1491" customFormat="1" ht="15" customHeight="1" outlineLevel="1">
      <c r="A42" s="2206" t="s">
        <v>1453</v>
      </c>
      <c r="B42" s="2207"/>
      <c r="C42" s="2207"/>
      <c r="D42" s="2207"/>
      <c r="E42" s="2207"/>
      <c r="F42" s="2207"/>
      <c r="G42" s="2207"/>
      <c r="H42" s="2207"/>
      <c r="I42" s="2207"/>
      <c r="J42" s="2207"/>
      <c r="K42" s="2207">
        <f t="shared" ref="K42:AB42" si="119">K41/J41-1</f>
        <v>0.13735177865612647</v>
      </c>
      <c r="L42" s="2207">
        <f t="shared" si="119"/>
        <v>0.19039344669231717</v>
      </c>
      <c r="M42" s="2207">
        <f t="shared" si="119"/>
        <v>0.12271921593160262</v>
      </c>
      <c r="N42" s="2207">
        <f t="shared" si="119"/>
        <v>0.11803491827637447</v>
      </c>
      <c r="O42" s="2207">
        <f t="shared" si="119"/>
        <v>0.11944513663925571</v>
      </c>
      <c r="P42" s="2207">
        <f t="shared" si="119"/>
        <v>0.26519255027083188</v>
      </c>
      <c r="Q42" s="2207">
        <f t="shared" si="119"/>
        <v>1.5131077356166811E-2</v>
      </c>
      <c r="R42" s="2207">
        <f t="shared" si="119"/>
        <v>4.4658847998151341E-2</v>
      </c>
      <c r="S42" s="2207">
        <f t="shared" si="119"/>
        <v>8.2789514434244094E-2</v>
      </c>
      <c r="T42" s="2207">
        <f t="shared" si="119"/>
        <v>0.10577659737473821</v>
      </c>
      <c r="U42" s="2207">
        <f t="shared" si="119"/>
        <v>7.0484988452655939E-2</v>
      </c>
      <c r="V42" s="2207">
        <f t="shared" si="119"/>
        <v>1.8381083879875693E-2</v>
      </c>
      <c r="W42" s="2207">
        <f>W41/V41-1</f>
        <v>-7.6137615456317254E-2</v>
      </c>
      <c r="X42" s="2207">
        <f>X41/W41-1</f>
        <v>-8.6264618206833288E-2</v>
      </c>
      <c r="Y42" s="2207">
        <f>Y41/X41-1</f>
        <v>-5.7819714916683362E-2</v>
      </c>
      <c r="Z42" s="2207">
        <f ca="1">Z41/Y41-1</f>
        <v>-3.7240448909588442E-2</v>
      </c>
      <c r="AA42" s="2207">
        <f t="shared" ca="1" si="119"/>
        <v>-1.3303538838528306E-3</v>
      </c>
      <c r="AB42" s="2207">
        <f t="shared" ca="1" si="119"/>
        <v>4.3855243683408318E-3</v>
      </c>
      <c r="AC42" s="2207">
        <f t="shared" ref="AC42" ca="1" si="120">AC41/AB41-1</f>
        <v>4.7625750474693529E-3</v>
      </c>
      <c r="AD42" s="2207">
        <f t="shared" ref="AD42" ca="1" si="121">AD41/AC41-1</f>
        <v>5.0888099564594391E-3</v>
      </c>
      <c r="AE42" s="2207">
        <f t="shared" ref="AE42" ca="1" si="122">AE41/AD41-1</f>
        <v>5.5171008194101478E-3</v>
      </c>
      <c r="AF42" s="2207">
        <f t="shared" ref="AF42" ca="1" si="123">AF41/AE41-1</f>
        <v>6.10328850613584E-3</v>
      </c>
      <c r="AG42" s="2207">
        <f t="shared" ref="AG42" ca="1" si="124">AG41/AF41-1</f>
        <v>6.8609812468134468E-3</v>
      </c>
      <c r="AH42" s="2201"/>
      <c r="AI42" s="1927"/>
      <c r="AJ42" s="1561"/>
      <c r="AK42" s="2207"/>
      <c r="AL42" s="2207"/>
      <c r="AM42" s="2207"/>
      <c r="AN42" s="2207"/>
      <c r="AO42" s="2207"/>
      <c r="AP42" s="2208"/>
      <c r="AQ42" s="2207"/>
      <c r="AR42" s="2207"/>
      <c r="AS42" s="2207"/>
      <c r="AT42" s="2208"/>
      <c r="AU42" s="2207"/>
      <c r="AV42" s="2207"/>
      <c r="AW42" s="2207"/>
      <c r="AX42" s="2208"/>
      <c r="AY42" s="2207"/>
      <c r="AZ42" s="2207"/>
      <c r="BA42" s="2207"/>
      <c r="BB42" s="2208"/>
      <c r="BC42" s="2207"/>
      <c r="BD42" s="2207"/>
      <c r="BE42" s="2207"/>
      <c r="BF42" s="2208"/>
      <c r="BG42" s="2207"/>
      <c r="BH42" s="2207"/>
      <c r="BI42" s="2207"/>
      <c r="BJ42" s="2208"/>
      <c r="BK42" s="2207"/>
      <c r="BL42" s="2207"/>
      <c r="BM42" s="2207"/>
      <c r="BN42" s="2208">
        <f t="shared" ref="BN42:DV42" si="125">BN41/BJ41-1</f>
        <v>0.14548802946592998</v>
      </c>
      <c r="BO42" s="2207">
        <f t="shared" si="125"/>
        <v>0.11405985319028789</v>
      </c>
      <c r="BP42" s="2207">
        <f t="shared" si="125"/>
        <v>0.14355628058727565</v>
      </c>
      <c r="BQ42" s="2207">
        <f t="shared" si="125"/>
        <v>0.14634146341463405</v>
      </c>
      <c r="BR42" s="2208">
        <f t="shared" si="125"/>
        <v>0.20418006430868174</v>
      </c>
      <c r="BS42" s="2207">
        <f t="shared" si="125"/>
        <v>0.15306639635073482</v>
      </c>
      <c r="BT42" s="2207">
        <f t="shared" si="125"/>
        <v>0.14645744174988118</v>
      </c>
      <c r="BU42" s="2207">
        <f t="shared" si="125"/>
        <v>0.25673758865248231</v>
      </c>
      <c r="BV42" s="2208">
        <f t="shared" si="125"/>
        <v>0.17044948820649752</v>
      </c>
      <c r="BW42" s="2207">
        <f t="shared" si="125"/>
        <v>0.14593406593406599</v>
      </c>
      <c r="BX42" s="2207">
        <f t="shared" si="125"/>
        <v>0.16715055993363759</v>
      </c>
      <c r="BY42" s="2207">
        <f t="shared" si="125"/>
        <v>2.2197140707298724E-2</v>
      </c>
      <c r="BZ42" s="2208">
        <f t="shared" si="125"/>
        <v>4.9049429657794574E-2</v>
      </c>
      <c r="CA42" s="2207">
        <f t="shared" si="125"/>
        <v>0.1300345224395858</v>
      </c>
      <c r="CB42" s="2207">
        <f t="shared" si="125"/>
        <v>0.11300639658848621</v>
      </c>
      <c r="CC42" s="2207">
        <f t="shared" si="125"/>
        <v>0.17850570482149419</v>
      </c>
      <c r="CD42" s="2208">
        <f t="shared" si="125"/>
        <v>0.19608553823849229</v>
      </c>
      <c r="CE42" s="2207">
        <f t="shared" si="125"/>
        <v>0.11031907671418884</v>
      </c>
      <c r="CF42" s="2207">
        <f t="shared" si="125"/>
        <v>8.0779054916986004E-2</v>
      </c>
      <c r="CG42" s="2207">
        <f t="shared" si="125"/>
        <v>9.9625234228607029E-2</v>
      </c>
      <c r="CH42" s="2208">
        <f t="shared" si="125"/>
        <v>0.26818181818181808</v>
      </c>
      <c r="CI42" s="2207">
        <f t="shared" si="125"/>
        <v>0.30051971874044625</v>
      </c>
      <c r="CJ42" s="2207">
        <f t="shared" si="125"/>
        <v>0.30398818316100451</v>
      </c>
      <c r="CK42" s="2207">
        <f t="shared" si="125"/>
        <v>0.1922749218971882</v>
      </c>
      <c r="CL42" s="2208">
        <f t="shared" si="125"/>
        <v>3.3691756272401507E-2</v>
      </c>
      <c r="CM42" s="2207">
        <f t="shared" si="125"/>
        <v>1.8100611189468818E-2</v>
      </c>
      <c r="CN42" s="2207">
        <f t="shared" si="125"/>
        <v>-3.3982782057091487E-3</v>
      </c>
      <c r="CO42" s="2207">
        <f t="shared" si="125"/>
        <v>1.3101476893758957E-2</v>
      </c>
      <c r="CP42" s="2208">
        <f t="shared" si="125"/>
        <v>3.8372630605640223E-2</v>
      </c>
      <c r="CQ42" s="2207">
        <f t="shared" si="125"/>
        <v>2.7707226968367582E-2</v>
      </c>
      <c r="CR42" s="2207">
        <f t="shared" si="125"/>
        <v>3.2734712434644209E-2</v>
      </c>
      <c r="CS42" s="2207">
        <f t="shared" si="125"/>
        <v>8.0648953679755442E-2</v>
      </c>
      <c r="CT42" s="2208">
        <f t="shared" si="125"/>
        <v>5.7658058771148601E-2</v>
      </c>
      <c r="CU42" s="2207">
        <f t="shared" si="125"/>
        <v>7.706133453156605E-2</v>
      </c>
      <c r="CV42" s="2207">
        <f t="shared" si="125"/>
        <v>7.1318511996478096E-2</v>
      </c>
      <c r="CW42" s="2207">
        <f t="shared" si="125"/>
        <v>0.12423846823324625</v>
      </c>
      <c r="CX42" s="2208">
        <f t="shared" si="125"/>
        <v>0.10039991580719843</v>
      </c>
      <c r="CY42" s="2207">
        <f t="shared" si="125"/>
        <v>0.10450563204005014</v>
      </c>
      <c r="CZ42" s="2207">
        <f t="shared" si="125"/>
        <v>7.8693240189028124E-2</v>
      </c>
      <c r="DA42" s="2207">
        <f t="shared" si="125"/>
        <v>0.13741048964582925</v>
      </c>
      <c r="DB42" s="2208">
        <f t="shared" si="125"/>
        <v>4.2081101759755102E-2</v>
      </c>
      <c r="DC42" s="2207">
        <f t="shared" si="125"/>
        <v>7.0066100094428707E-2</v>
      </c>
      <c r="DD42" s="2207">
        <f t="shared" si="125"/>
        <v>0.10495238095238091</v>
      </c>
      <c r="DE42" s="2207">
        <f t="shared" si="125"/>
        <v>6.5339458907605952E-2</v>
      </c>
      <c r="DF42" s="2208">
        <f t="shared" si="125"/>
        <v>3.5976505139500681E-2</v>
      </c>
      <c r="DG42" s="2207">
        <f t="shared" si="125"/>
        <v>-3.0003529827038466E-3</v>
      </c>
      <c r="DH42" s="2207">
        <f t="shared" si="125"/>
        <v>-1.775555938631268E-2</v>
      </c>
      <c r="DI42" s="2209">
        <f t="shared" si="125"/>
        <v>5.5901613160836972E-2</v>
      </c>
      <c r="DJ42" s="2208">
        <f t="shared" si="125"/>
        <v>-4.8724309000708677E-2</v>
      </c>
      <c r="DK42" s="2207">
        <f t="shared" si="125"/>
        <v>-6.372809346787045E-2</v>
      </c>
      <c r="DL42" s="2207">
        <f t="shared" si="125"/>
        <v>-6.0898560898560938E-2</v>
      </c>
      <c r="DM42" s="2209">
        <f t="shared" si="125"/>
        <v>-0.12327938284677054</v>
      </c>
      <c r="DN42" s="2207">
        <f t="shared" si="125"/>
        <v>-8.9029614453343231E-2</v>
      </c>
      <c r="DO42" s="2207">
        <f t="shared" si="125"/>
        <v>-9.6804688977122355E-2</v>
      </c>
      <c r="DP42" s="2207">
        <f t="shared" si="125"/>
        <v>-8.0358811437114541E-2</v>
      </c>
      <c r="DQ42" s="2209">
        <f t="shared" si="125"/>
        <v>-7.9537612146307834E-2</v>
      </c>
      <c r="DR42" s="2208">
        <f t="shared" si="125"/>
        <v>-3.9460233081169527E-2</v>
      </c>
      <c r="DS42" s="2207">
        <f t="shared" si="125"/>
        <v>-5.9451538622566469E-2</v>
      </c>
      <c r="DT42" s="2207">
        <f t="shared" si="125"/>
        <v>-6.6449908555171744E-2</v>
      </c>
      <c r="DU42" s="2209">
        <f t="shared" si="125"/>
        <v>-6.5229615745079683E-2</v>
      </c>
      <c r="DV42" s="2207">
        <f t="shared" si="125"/>
        <v>-0.17007237122179653</v>
      </c>
      <c r="DW42" s="2207">
        <f t="shared" ref="DW42" ca="1" si="126">DW41/DS41-1</f>
        <v>1.9500856022992341E-2</v>
      </c>
      <c r="DX42" s="2207">
        <f t="shared" ref="DX42" ca="1" si="127">DX41/DT41-1</f>
        <v>1.932256747716532E-2</v>
      </c>
      <c r="DY42" s="2209">
        <f t="shared" ref="DY42" ca="1" si="128">DY41/DU41-1</f>
        <v>-1.5332449976377838E-2</v>
      </c>
    </row>
    <row r="43" spans="1:129" s="1491" customFormat="1" ht="15" customHeight="1" outlineLevel="1">
      <c r="A43" s="2206" t="s">
        <v>1615</v>
      </c>
      <c r="B43" s="2207"/>
      <c r="C43" s="2207"/>
      <c r="D43" s="2207"/>
      <c r="E43" s="2207"/>
      <c r="F43" s="2207"/>
      <c r="G43" s="2207"/>
      <c r="H43" s="2207"/>
      <c r="I43" s="2207"/>
      <c r="J43" s="2207">
        <f t="shared" ref="J43:O43" si="129">J41/J14</f>
        <v>0.36378575463462232</v>
      </c>
      <c r="K43" s="2207">
        <f t="shared" si="129"/>
        <v>0.35826404019742986</v>
      </c>
      <c r="L43" s="2207">
        <f t="shared" si="129"/>
        <v>0.34672113368519991</v>
      </c>
      <c r="M43" s="2207">
        <f t="shared" si="129"/>
        <v>0.33336429212717872</v>
      </c>
      <c r="N43" s="2207">
        <f t="shared" si="129"/>
        <v>0.2744067842273743</v>
      </c>
      <c r="O43" s="2207">
        <f t="shared" si="129"/>
        <v>0.26599529351950046</v>
      </c>
      <c r="P43" s="2207">
        <f t="shared" ref="P43:X43" si="130">P41/P31</f>
        <v>0.29937144462392024</v>
      </c>
      <c r="Q43" s="2207">
        <f t="shared" si="130"/>
        <v>0.28692913385826774</v>
      </c>
      <c r="R43" s="2233">
        <f t="shared" si="130"/>
        <v>0.28517356127872318</v>
      </c>
      <c r="S43" s="2233">
        <f t="shared" si="130"/>
        <v>0.27908601077629214</v>
      </c>
      <c r="T43" s="2233">
        <f t="shared" si="130"/>
        <v>0.28536405335582854</v>
      </c>
      <c r="U43" s="2233">
        <f t="shared" si="130"/>
        <v>0.28604223492094838</v>
      </c>
      <c r="V43" s="2233">
        <f t="shared" si="130"/>
        <v>0.26928781689980147</v>
      </c>
      <c r="W43" s="2233">
        <f t="shared" si="130"/>
        <v>0.23783813263525305</v>
      </c>
      <c r="X43" s="2233">
        <f t="shared" si="130"/>
        <v>0.22339829121162513</v>
      </c>
      <c r="Y43" s="2233">
        <f t="shared" ref="Y43:Z43" si="131">Y41/Y31</f>
        <v>0.21451017586360571</v>
      </c>
      <c r="Z43" s="2233">
        <f t="shared" ca="1" si="131"/>
        <v>0.20306533208550484</v>
      </c>
      <c r="AA43" s="2511">
        <f t="shared" ref="AA43:AG43" ca="1" si="132">CHOOSE(_switch,AA44,AA45,AA46)</f>
        <v>0.20206533208550484</v>
      </c>
      <c r="AB43" s="2511">
        <f t="shared" ca="1" si="132"/>
        <v>0.20106533208550484</v>
      </c>
      <c r="AC43" s="2511">
        <f t="shared" ca="1" si="132"/>
        <v>0.20006533208550484</v>
      </c>
      <c r="AD43" s="2511">
        <f t="shared" ca="1" si="132"/>
        <v>0.19906533208550484</v>
      </c>
      <c r="AE43" s="2511">
        <f t="shared" ca="1" si="132"/>
        <v>0.19806533208550484</v>
      </c>
      <c r="AF43" s="2511">
        <f t="shared" ca="1" si="132"/>
        <v>0.19706533208550484</v>
      </c>
      <c r="AG43" s="2511">
        <f t="shared" ca="1" si="132"/>
        <v>0.19606533208550483</v>
      </c>
      <c r="AH43" s="2201"/>
      <c r="AI43" s="1927"/>
      <c r="AJ43" s="1561"/>
      <c r="AK43" s="2207"/>
      <c r="AL43" s="2207"/>
      <c r="AM43" s="2207"/>
      <c r="AN43" s="2207"/>
      <c r="AO43" s="2207"/>
      <c r="AP43" s="2208"/>
      <c r="AQ43" s="2207"/>
      <c r="AR43" s="2207"/>
      <c r="AS43" s="2207"/>
      <c r="AT43" s="2208"/>
      <c r="AU43" s="2207"/>
      <c r="AV43" s="2207"/>
      <c r="AW43" s="2207"/>
      <c r="AX43" s="2208"/>
      <c r="AY43" s="2207"/>
      <c r="AZ43" s="2207"/>
      <c r="BA43" s="2207"/>
      <c r="BB43" s="2208"/>
      <c r="BC43" s="2207"/>
      <c r="BD43" s="2207"/>
      <c r="BE43" s="2207"/>
      <c r="BF43" s="2208"/>
      <c r="BG43" s="2207"/>
      <c r="BH43" s="2207"/>
      <c r="BI43" s="2207"/>
      <c r="BJ43" s="2208">
        <f t="shared" ref="BJ43:CK43" si="133">BJ41/BJ14</f>
        <v>0.36772009029345371</v>
      </c>
      <c r="BK43" s="2207">
        <f t="shared" si="133"/>
        <v>0.36965142976414112</v>
      </c>
      <c r="BL43" s="2207">
        <f t="shared" si="133"/>
        <v>0.36567906144362694</v>
      </c>
      <c r="BM43" s="2207">
        <f t="shared" si="133"/>
        <v>0.35324526134405515</v>
      </c>
      <c r="BN43" s="2208">
        <f t="shared" si="133"/>
        <v>0.36688950058985448</v>
      </c>
      <c r="BO43" s="2207">
        <f t="shared" si="133"/>
        <v>0.3602337045828008</v>
      </c>
      <c r="BP43" s="2207">
        <f t="shared" si="133"/>
        <v>0.35392123864018848</v>
      </c>
      <c r="BQ43" s="2207">
        <f t="shared" si="133"/>
        <v>0.35344251336898397</v>
      </c>
      <c r="BR43" s="2208">
        <f t="shared" si="133"/>
        <v>0.36465433300876338</v>
      </c>
      <c r="BS43" s="2207">
        <f t="shared" si="133"/>
        <v>0.33226230465897472</v>
      </c>
      <c r="BT43" s="2207">
        <f t="shared" si="133"/>
        <v>0.32977704828340854</v>
      </c>
      <c r="BU43" s="2207">
        <f t="shared" si="133"/>
        <v>0.3620266957232362</v>
      </c>
      <c r="BV43" s="2208">
        <f t="shared" si="133"/>
        <v>0.35454300350498785</v>
      </c>
      <c r="BW43" s="2207">
        <f t="shared" si="133"/>
        <v>0.33227122100433343</v>
      </c>
      <c r="BX43" s="2207">
        <f t="shared" si="133"/>
        <v>0.3369656328583403</v>
      </c>
      <c r="BY43" s="2207">
        <f t="shared" si="133"/>
        <v>0.31280221045360351</v>
      </c>
      <c r="BZ43" s="2208">
        <f t="shared" si="133"/>
        <v>0.31306025190060138</v>
      </c>
      <c r="CA43" s="2207">
        <f t="shared" si="133"/>
        <v>0.31807385014035844</v>
      </c>
      <c r="CB43" s="2207">
        <f t="shared" si="133"/>
        <v>0.31735738170027361</v>
      </c>
      <c r="CC43" s="2207">
        <f t="shared" si="133"/>
        <v>0.31706109515793646</v>
      </c>
      <c r="CD43" s="2208">
        <f t="shared" si="133"/>
        <v>0.32017075773745995</v>
      </c>
      <c r="CE43" s="2207">
        <f t="shared" si="133"/>
        <v>0.30166927971963481</v>
      </c>
      <c r="CF43" s="2207">
        <f t="shared" si="133"/>
        <v>0.29984941093099476</v>
      </c>
      <c r="CG43" s="2207">
        <f t="shared" si="133"/>
        <v>0.30769902997465698</v>
      </c>
      <c r="CH43" s="2208">
        <f t="shared" si="133"/>
        <v>0.35864255720284516</v>
      </c>
      <c r="CI43" s="2207">
        <f t="shared" si="133"/>
        <v>0.35104802772734772</v>
      </c>
      <c r="CJ43" s="2207">
        <f t="shared" si="133"/>
        <v>0.3475864241278841</v>
      </c>
      <c r="CK43" s="2207">
        <f t="shared" si="133"/>
        <v>0.32679433286626186</v>
      </c>
      <c r="CL43" s="2208">
        <f t="shared" ref="CL43:DN43" si="134">CL41/CL31</f>
        <v>0.29448604492852282</v>
      </c>
      <c r="CM43" s="2207">
        <f t="shared" si="134"/>
        <v>0.2881761926941247</v>
      </c>
      <c r="CN43" s="2207">
        <f t="shared" si="134"/>
        <v>0.28693496836475113</v>
      </c>
      <c r="CO43" s="2207">
        <f t="shared" si="134"/>
        <v>0.27842880523731589</v>
      </c>
      <c r="CP43" s="2208">
        <f t="shared" si="134"/>
        <v>0.2933646812957158</v>
      </c>
      <c r="CQ43" s="2207">
        <f t="shared" si="134"/>
        <v>0.28355736764986939</v>
      </c>
      <c r="CR43" s="2207">
        <f t="shared" si="134"/>
        <v>0.27956923076923079</v>
      </c>
      <c r="CS43" s="2207">
        <f t="shared" si="134"/>
        <v>0.28461729006688136</v>
      </c>
      <c r="CT43" s="2208">
        <f t="shared" si="134"/>
        <v>0.28144067294591552</v>
      </c>
      <c r="CU43" s="2207">
        <f t="shared" si="134"/>
        <v>0.27722199733996417</v>
      </c>
      <c r="CV43" s="2207">
        <f t="shared" si="134"/>
        <v>0.2745684305539885</v>
      </c>
      <c r="CW43" s="2207">
        <f t="shared" si="134"/>
        <v>0.2830612468500055</v>
      </c>
      <c r="CX43" s="2208">
        <f t="shared" si="134"/>
        <v>0.28610518250971378</v>
      </c>
      <c r="CY43" s="2207">
        <f t="shared" si="134"/>
        <v>0.28502987565268884</v>
      </c>
      <c r="CZ43" s="2207">
        <f t="shared" si="134"/>
        <v>0.27596719932716568</v>
      </c>
      <c r="DA43" s="2207">
        <f t="shared" si="134"/>
        <v>0.29393818145443634</v>
      </c>
      <c r="DB43" s="2208">
        <f t="shared" si="134"/>
        <v>0.27905547303180861</v>
      </c>
      <c r="DC43" s="2207">
        <f t="shared" si="134"/>
        <v>0.28364036844213053</v>
      </c>
      <c r="DD43" s="2207">
        <f t="shared" si="134"/>
        <v>0.28437668513162412</v>
      </c>
      <c r="DE43" s="2207">
        <f t="shared" si="134"/>
        <v>0.29637869822485208</v>
      </c>
      <c r="DF43" s="2208">
        <f t="shared" si="134"/>
        <v>0.2703194597442406</v>
      </c>
      <c r="DG43" s="2207">
        <f t="shared" si="134"/>
        <v>0.26295210166177907</v>
      </c>
      <c r="DH43" s="2207">
        <f t="shared" si="134"/>
        <v>0.26095717884130981</v>
      </c>
      <c r="DI43" s="2209">
        <f t="shared" si="134"/>
        <v>0.28193099918973091</v>
      </c>
      <c r="DJ43" s="2208">
        <f t="shared" si="134"/>
        <v>0.24046040845575062</v>
      </c>
      <c r="DK43" s="2207">
        <f t="shared" si="134"/>
        <v>0.2338920090213594</v>
      </c>
      <c r="DL43" s="2207">
        <f t="shared" si="134"/>
        <v>0.23260160834601173</v>
      </c>
      <c r="DM43" s="2209">
        <f t="shared" si="134"/>
        <v>0.24420662340945479</v>
      </c>
      <c r="DN43" s="2207">
        <f t="shared" si="134"/>
        <v>0.22227776767860388</v>
      </c>
      <c r="DO43" s="2207">
        <f t="shared" ref="DO43:DP43" si="135">DO41/DO31</f>
        <v>0.22009767784740139</v>
      </c>
      <c r="DP43" s="2207">
        <f t="shared" si="135"/>
        <v>0.22265960816252658</v>
      </c>
      <c r="DQ43" s="2209">
        <f t="shared" ref="DQ43" si="136">DQ41/DQ31</f>
        <v>0.22821576763485477</v>
      </c>
      <c r="DR43" s="2208">
        <f t="shared" ref="DR43" si="137">DR41/DR31</f>
        <v>0.22502155378867708</v>
      </c>
      <c r="DS43" s="2207">
        <f t="shared" ref="DS43:DT43" si="138">DS41/DS31</f>
        <v>0.21111737618644863</v>
      </c>
      <c r="DT43" s="2207">
        <f t="shared" si="138"/>
        <v>0.2128822984244671</v>
      </c>
      <c r="DU43" s="2209">
        <f t="shared" ref="DU43" si="139">DU41/DU31</f>
        <v>0.2097934457952968</v>
      </c>
      <c r="DV43" s="2207">
        <f t="shared" ref="DV43" si="140">DV41/DV31</f>
        <v>0.17803652968036529</v>
      </c>
      <c r="DW43" s="2207">
        <f>CHOOSE(_switch,DW44,DW45,DW46)</f>
        <v>0.21111737618644863</v>
      </c>
      <c r="DX43" s="2207">
        <f>CHOOSE(_switch,DX44,DX45,DX46)</f>
        <v>0.2128822984244671</v>
      </c>
      <c r="DY43" s="2209">
        <f>CHOOSE(_switch,DY44,DY45,DY46)</f>
        <v>0.2097934457952968</v>
      </c>
    </row>
    <row r="44" spans="1:129" s="1491" customFormat="1" ht="15" customHeight="1" outlineLevel="1">
      <c r="A44" s="2208" t="s">
        <v>1106</v>
      </c>
      <c r="B44" s="2207"/>
      <c r="C44" s="2207"/>
      <c r="D44" s="2207"/>
      <c r="E44" s="2207"/>
      <c r="F44" s="2207"/>
      <c r="G44" s="2207"/>
      <c r="H44" s="2207"/>
      <c r="I44" s="2207"/>
      <c r="J44" s="2207"/>
      <c r="K44" s="2207"/>
      <c r="L44" s="2207"/>
      <c r="M44" s="2207"/>
      <c r="N44" s="2207"/>
      <c r="O44" s="2207"/>
      <c r="P44" s="2207"/>
      <c r="Q44" s="2207"/>
      <c r="R44" s="2233"/>
      <c r="S44" s="2222"/>
      <c r="T44" s="2222"/>
      <c r="U44" s="2222"/>
      <c r="V44" s="2222"/>
      <c r="W44" s="2222"/>
      <c r="X44" s="2222"/>
      <c r="Y44" s="2222"/>
      <c r="Z44" s="2222"/>
      <c r="AA44" s="2222">
        <f ca="1">+Z43-0.001</f>
        <v>0.20206533208550484</v>
      </c>
      <c r="AB44" s="2222">
        <f ca="1">+AA44-0.001</f>
        <v>0.20106533208550484</v>
      </c>
      <c r="AC44" s="2222">
        <f t="shared" ref="AC44:AG44" ca="1" si="141">+AB44-0.001</f>
        <v>0.20006533208550484</v>
      </c>
      <c r="AD44" s="2222">
        <f t="shared" ca="1" si="141"/>
        <v>0.19906533208550484</v>
      </c>
      <c r="AE44" s="2222">
        <f t="shared" ca="1" si="141"/>
        <v>0.19806533208550484</v>
      </c>
      <c r="AF44" s="2222">
        <f t="shared" ca="1" si="141"/>
        <v>0.19706533208550484</v>
      </c>
      <c r="AG44" s="2222">
        <f t="shared" ca="1" si="141"/>
        <v>0.19606533208550483</v>
      </c>
      <c r="AH44" s="2201"/>
      <c r="AI44" s="1927"/>
      <c r="AJ44" s="1561"/>
      <c r="AK44" s="2207"/>
      <c r="AL44" s="2207"/>
      <c r="AM44" s="2207"/>
      <c r="AN44" s="2207"/>
      <c r="AO44" s="2207"/>
      <c r="AP44" s="2208"/>
      <c r="AQ44" s="2207"/>
      <c r="AR44" s="2207"/>
      <c r="AS44" s="2207"/>
      <c r="AT44" s="2208"/>
      <c r="AU44" s="2207"/>
      <c r="AV44" s="2207"/>
      <c r="AW44" s="2207"/>
      <c r="AX44" s="2208"/>
      <c r="AY44" s="2207"/>
      <c r="AZ44" s="2207"/>
      <c r="BA44" s="2207"/>
      <c r="BB44" s="2208"/>
      <c r="BC44" s="2207"/>
      <c r="BD44" s="2207"/>
      <c r="BE44" s="2207"/>
      <c r="BF44" s="2208"/>
      <c r="BG44" s="2207"/>
      <c r="BH44" s="2207"/>
      <c r="BI44" s="2207"/>
      <c r="BJ44" s="2208"/>
      <c r="BK44" s="2207"/>
      <c r="BL44" s="2207"/>
      <c r="BM44" s="2207"/>
      <c r="BN44" s="2208"/>
      <c r="BO44" s="2207"/>
      <c r="BP44" s="2207"/>
      <c r="BQ44" s="2207"/>
      <c r="BR44" s="2208"/>
      <c r="BS44" s="2207"/>
      <c r="BT44" s="2207"/>
      <c r="BU44" s="2207"/>
      <c r="BV44" s="2208"/>
      <c r="BW44" s="2207"/>
      <c r="BX44" s="2207"/>
      <c r="BY44" s="2207"/>
      <c r="BZ44" s="2208"/>
      <c r="CA44" s="2207"/>
      <c r="CB44" s="2207"/>
      <c r="CC44" s="2207"/>
      <c r="CD44" s="2208"/>
      <c r="CE44" s="2207"/>
      <c r="CF44" s="2207"/>
      <c r="CG44" s="2207"/>
      <c r="CH44" s="2208"/>
      <c r="CI44" s="2207"/>
      <c r="CJ44" s="2207"/>
      <c r="CK44" s="2207"/>
      <c r="CL44" s="2208"/>
      <c r="CM44" s="2207"/>
      <c r="CN44" s="2207"/>
      <c r="CO44" s="2207"/>
      <c r="CP44" s="2208"/>
      <c r="CQ44" s="2233"/>
      <c r="CR44" s="2233"/>
      <c r="CS44" s="2233"/>
      <c r="CT44" s="2234"/>
      <c r="CU44" s="2233"/>
      <c r="CV44" s="2233"/>
      <c r="CW44" s="2233"/>
      <c r="CX44" s="2234"/>
      <c r="CY44" s="2233"/>
      <c r="CZ44" s="2233"/>
      <c r="DA44" s="2233"/>
      <c r="DB44" s="2234"/>
      <c r="DC44" s="2233"/>
      <c r="DD44" s="2233"/>
      <c r="DE44" s="2233"/>
      <c r="DF44" s="2234"/>
      <c r="DG44" s="2233"/>
      <c r="DH44" s="2233"/>
      <c r="DI44" s="2235"/>
      <c r="DJ44" s="2234"/>
      <c r="DK44" s="2233"/>
      <c r="DL44" s="2233"/>
      <c r="DM44" s="2235"/>
      <c r="DN44" s="2233"/>
      <c r="DO44" s="2233"/>
      <c r="DP44" s="2233"/>
      <c r="DQ44" s="2235"/>
      <c r="DR44" s="2234"/>
      <c r="DS44" s="2233"/>
      <c r="DT44" s="2233"/>
      <c r="DU44" s="2235"/>
      <c r="DV44" s="2233"/>
      <c r="DW44" s="2222">
        <f>+DS43</f>
        <v>0.21111737618644863</v>
      </c>
      <c r="DX44" s="2222">
        <f t="shared" ref="DX44:DY44" si="142">+DT43</f>
        <v>0.2128822984244671</v>
      </c>
      <c r="DY44" s="2223">
        <f t="shared" si="142"/>
        <v>0.2097934457952968</v>
      </c>
    </row>
    <row r="45" spans="1:129" s="1491" customFormat="1" ht="15" customHeight="1" outlineLevel="1">
      <c r="A45" s="2208" t="s">
        <v>1107</v>
      </c>
      <c r="B45" s="2207"/>
      <c r="C45" s="2207"/>
      <c r="D45" s="2207"/>
      <c r="E45" s="2207"/>
      <c r="F45" s="2207"/>
      <c r="G45" s="2207"/>
      <c r="H45" s="2207"/>
      <c r="I45" s="2207"/>
      <c r="J45" s="2207"/>
      <c r="K45" s="2207"/>
      <c r="L45" s="2207"/>
      <c r="M45" s="2207"/>
      <c r="N45" s="2207"/>
      <c r="O45" s="2207"/>
      <c r="P45" s="2207"/>
      <c r="Q45" s="2207"/>
      <c r="R45" s="2233"/>
      <c r="S45" s="2222"/>
      <c r="T45" s="2222"/>
      <c r="U45" s="2222"/>
      <c r="V45" s="2222"/>
      <c r="W45" s="2222"/>
      <c r="X45" s="2222"/>
      <c r="Y45" s="2222"/>
      <c r="Z45" s="2222"/>
      <c r="AA45" s="2222">
        <f t="shared" ref="AA45:AG45" ca="1" si="143">AA44-0.0175</f>
        <v>0.18456533208550485</v>
      </c>
      <c r="AB45" s="2222">
        <f t="shared" ca="1" si="143"/>
        <v>0.18356533208550485</v>
      </c>
      <c r="AC45" s="2222">
        <f t="shared" ca="1" si="143"/>
        <v>0.18256533208550485</v>
      </c>
      <c r="AD45" s="2222">
        <f t="shared" ca="1" si="143"/>
        <v>0.18156533208550485</v>
      </c>
      <c r="AE45" s="2222">
        <f t="shared" ca="1" si="143"/>
        <v>0.18056533208550485</v>
      </c>
      <c r="AF45" s="2222">
        <f t="shared" ca="1" si="143"/>
        <v>0.17956533208550485</v>
      </c>
      <c r="AG45" s="2222">
        <f t="shared" ca="1" si="143"/>
        <v>0.17856533208550485</v>
      </c>
      <c r="AH45" s="2201"/>
      <c r="AI45" s="1927"/>
      <c r="AJ45" s="1561"/>
      <c r="AK45" s="2207"/>
      <c r="AL45" s="2207"/>
      <c r="AM45" s="2207"/>
      <c r="AN45" s="2207"/>
      <c r="AO45" s="2207"/>
      <c r="AP45" s="2208"/>
      <c r="AQ45" s="2207"/>
      <c r="AR45" s="2207"/>
      <c r="AS45" s="2207"/>
      <c r="AT45" s="2208"/>
      <c r="AU45" s="2207"/>
      <c r="AV45" s="2207"/>
      <c r="AW45" s="2207"/>
      <c r="AX45" s="2208"/>
      <c r="AY45" s="2207"/>
      <c r="AZ45" s="2207"/>
      <c r="BA45" s="2207"/>
      <c r="BB45" s="2208"/>
      <c r="BC45" s="2207"/>
      <c r="BD45" s="2207"/>
      <c r="BE45" s="2207"/>
      <c r="BF45" s="2208"/>
      <c r="BG45" s="2207"/>
      <c r="BH45" s="2207"/>
      <c r="BI45" s="2207"/>
      <c r="BJ45" s="2208"/>
      <c r="BK45" s="2207"/>
      <c r="BL45" s="2207"/>
      <c r="BM45" s="2207"/>
      <c r="BN45" s="2208"/>
      <c r="BO45" s="2207"/>
      <c r="BP45" s="2207"/>
      <c r="BQ45" s="2207"/>
      <c r="BR45" s="2208"/>
      <c r="BS45" s="2207"/>
      <c r="BT45" s="2207"/>
      <c r="BU45" s="2207"/>
      <c r="BV45" s="2208"/>
      <c r="BW45" s="2207"/>
      <c r="BX45" s="2207"/>
      <c r="BY45" s="2207"/>
      <c r="BZ45" s="2208"/>
      <c r="CA45" s="2207"/>
      <c r="CB45" s="2207"/>
      <c r="CC45" s="2207"/>
      <c r="CD45" s="2208"/>
      <c r="CE45" s="2207"/>
      <c r="CF45" s="2207"/>
      <c r="CG45" s="2207"/>
      <c r="CH45" s="2208"/>
      <c r="CI45" s="2207"/>
      <c r="CJ45" s="2207"/>
      <c r="CK45" s="2207"/>
      <c r="CL45" s="2208"/>
      <c r="CM45" s="2207"/>
      <c r="CN45" s="2207"/>
      <c r="CO45" s="2207"/>
      <c r="CP45" s="2208"/>
      <c r="CQ45" s="2233"/>
      <c r="CR45" s="2233"/>
      <c r="CS45" s="2233"/>
      <c r="CT45" s="2234"/>
      <c r="CU45" s="2233"/>
      <c r="CV45" s="2233"/>
      <c r="CW45" s="2233"/>
      <c r="CX45" s="2234"/>
      <c r="CY45" s="2233"/>
      <c r="CZ45" s="2233"/>
      <c r="DA45" s="2233"/>
      <c r="DB45" s="2234"/>
      <c r="DC45" s="2233"/>
      <c r="DD45" s="2233"/>
      <c r="DE45" s="2233"/>
      <c r="DF45" s="2234"/>
      <c r="DG45" s="2233"/>
      <c r="DH45" s="2233"/>
      <c r="DI45" s="2235"/>
      <c r="DJ45" s="2234"/>
      <c r="DK45" s="2233"/>
      <c r="DL45" s="2233"/>
      <c r="DM45" s="2235"/>
      <c r="DN45" s="2233"/>
      <c r="DO45" s="2233"/>
      <c r="DP45" s="2233"/>
      <c r="DQ45" s="2235"/>
      <c r="DR45" s="2234"/>
      <c r="DS45" s="2233"/>
      <c r="DT45" s="2233"/>
      <c r="DU45" s="2235"/>
      <c r="DV45" s="2233"/>
      <c r="DW45" s="2222">
        <f t="shared" ref="DW45:DY45" si="144">DW44-0.01</f>
        <v>0.20111737618644862</v>
      </c>
      <c r="DX45" s="2222">
        <f t="shared" si="144"/>
        <v>0.20288229842446709</v>
      </c>
      <c r="DY45" s="2223">
        <f t="shared" si="144"/>
        <v>0.19979344579529679</v>
      </c>
    </row>
    <row r="46" spans="1:129" s="1491" customFormat="1" ht="15" customHeight="1" outlineLevel="1">
      <c r="A46" s="2208" t="s">
        <v>1109</v>
      </c>
      <c r="B46" s="2207"/>
      <c r="C46" s="2207"/>
      <c r="D46" s="2207"/>
      <c r="E46" s="2207"/>
      <c r="F46" s="2207"/>
      <c r="G46" s="2207"/>
      <c r="H46" s="2207"/>
      <c r="I46" s="2207"/>
      <c r="J46" s="2207"/>
      <c r="K46" s="2207"/>
      <c r="L46" s="2207"/>
      <c r="M46" s="2207"/>
      <c r="N46" s="2207"/>
      <c r="O46" s="2207"/>
      <c r="P46" s="2207"/>
      <c r="Q46" s="2207"/>
      <c r="R46" s="2233"/>
      <c r="S46" s="2222"/>
      <c r="T46" s="2222"/>
      <c r="U46" s="2222"/>
      <c r="V46" s="2222"/>
      <c r="W46" s="2222"/>
      <c r="X46" s="2222"/>
      <c r="Y46" s="2222"/>
      <c r="Z46" s="2222"/>
      <c r="AA46" s="2222">
        <f t="shared" ref="AA46:AG46" ca="1" si="145">AA44+0.015</f>
        <v>0.21706533208550483</v>
      </c>
      <c r="AB46" s="2222">
        <f t="shared" ca="1" si="145"/>
        <v>0.21606533208550482</v>
      </c>
      <c r="AC46" s="2222">
        <f t="shared" ca="1" si="145"/>
        <v>0.21506533208550482</v>
      </c>
      <c r="AD46" s="2222">
        <f t="shared" ca="1" si="145"/>
        <v>0.21406533208550482</v>
      </c>
      <c r="AE46" s="2222">
        <f t="shared" ca="1" si="145"/>
        <v>0.21306533208550482</v>
      </c>
      <c r="AF46" s="2222">
        <f t="shared" ca="1" si="145"/>
        <v>0.21206533208550482</v>
      </c>
      <c r="AG46" s="2222">
        <f t="shared" ca="1" si="145"/>
        <v>0.21106533208550482</v>
      </c>
      <c r="AH46" s="2201"/>
      <c r="AI46" s="1927"/>
      <c r="AJ46" s="1561"/>
      <c r="AK46" s="2207"/>
      <c r="AL46" s="2207"/>
      <c r="AM46" s="2207"/>
      <c r="AN46" s="2207"/>
      <c r="AO46" s="2207"/>
      <c r="AP46" s="2208"/>
      <c r="AQ46" s="2207"/>
      <c r="AR46" s="2207"/>
      <c r="AS46" s="2207"/>
      <c r="AT46" s="2208"/>
      <c r="AU46" s="2207"/>
      <c r="AV46" s="2207"/>
      <c r="AW46" s="2207"/>
      <c r="AX46" s="2208"/>
      <c r="AY46" s="2207"/>
      <c r="AZ46" s="2207"/>
      <c r="BA46" s="2207"/>
      <c r="BB46" s="2208"/>
      <c r="BC46" s="2207"/>
      <c r="BD46" s="2207"/>
      <c r="BE46" s="2207"/>
      <c r="BF46" s="2208"/>
      <c r="BG46" s="2207"/>
      <c r="BH46" s="2207"/>
      <c r="BI46" s="2207"/>
      <c r="BJ46" s="2208"/>
      <c r="BK46" s="2207"/>
      <c r="BL46" s="2207"/>
      <c r="BM46" s="2207"/>
      <c r="BN46" s="2208"/>
      <c r="BO46" s="2207"/>
      <c r="BP46" s="2207"/>
      <c r="BQ46" s="2207"/>
      <c r="BR46" s="2208"/>
      <c r="BS46" s="2207"/>
      <c r="BT46" s="2207"/>
      <c r="BU46" s="2207"/>
      <c r="BV46" s="2208"/>
      <c r="BW46" s="2207"/>
      <c r="BX46" s="2207"/>
      <c r="BY46" s="2207"/>
      <c r="BZ46" s="2208"/>
      <c r="CA46" s="2207"/>
      <c r="CB46" s="2207"/>
      <c r="CC46" s="2207"/>
      <c r="CD46" s="2208"/>
      <c r="CE46" s="2207"/>
      <c r="CF46" s="2207"/>
      <c r="CG46" s="2207"/>
      <c r="CH46" s="2208"/>
      <c r="CI46" s="2207"/>
      <c r="CJ46" s="2207"/>
      <c r="CK46" s="2207"/>
      <c r="CL46" s="2208"/>
      <c r="CM46" s="2207"/>
      <c r="CN46" s="2207"/>
      <c r="CO46" s="2207"/>
      <c r="CP46" s="2208"/>
      <c r="CQ46" s="2233"/>
      <c r="CR46" s="2233"/>
      <c r="CS46" s="2233"/>
      <c r="CT46" s="2234"/>
      <c r="CU46" s="2233"/>
      <c r="CV46" s="2233"/>
      <c r="CW46" s="2233"/>
      <c r="CX46" s="2234"/>
      <c r="CY46" s="2233"/>
      <c r="CZ46" s="2233"/>
      <c r="DA46" s="2233"/>
      <c r="DB46" s="2234"/>
      <c r="DC46" s="2233"/>
      <c r="DD46" s="2233"/>
      <c r="DE46" s="2233"/>
      <c r="DF46" s="2234"/>
      <c r="DG46" s="2233"/>
      <c r="DH46" s="2233"/>
      <c r="DI46" s="2235"/>
      <c r="DJ46" s="2234"/>
      <c r="DK46" s="2233"/>
      <c r="DL46" s="2233"/>
      <c r="DM46" s="2235"/>
      <c r="DN46" s="2233"/>
      <c r="DO46" s="2233"/>
      <c r="DP46" s="2233"/>
      <c r="DQ46" s="2235"/>
      <c r="DR46" s="2234"/>
      <c r="DS46" s="2233"/>
      <c r="DT46" s="2233"/>
      <c r="DU46" s="2235"/>
      <c r="DV46" s="2233"/>
      <c r="DW46" s="2222">
        <f t="shared" ref="DW46:DY46" si="146">DW44+0.0075</f>
        <v>0.21861737618644864</v>
      </c>
      <c r="DX46" s="2222">
        <f t="shared" si="146"/>
        <v>0.2203822984244671</v>
      </c>
      <c r="DY46" s="2223">
        <f t="shared" si="146"/>
        <v>0.2172934457952968</v>
      </c>
    </row>
    <row r="47" spans="1:129" s="1491" customFormat="1" ht="15" customHeight="1" outlineLevel="1">
      <c r="A47" s="2204" t="s">
        <v>1655</v>
      </c>
      <c r="B47" s="2205"/>
      <c r="C47" s="2205"/>
      <c r="D47" s="1992"/>
      <c r="E47" s="1992">
        <f>NormInputs!E267</f>
        <v>4170</v>
      </c>
      <c r="F47" s="1992">
        <f>NormInputs!F267</f>
        <v>4174</v>
      </c>
      <c r="G47" s="1992">
        <f>SUM(AX47:BA47)</f>
        <v>8764</v>
      </c>
      <c r="H47" s="1992">
        <f>SUM(BB47:BE47)</f>
        <v>10358</v>
      </c>
      <c r="I47" s="1992">
        <f>SUM(BF47:BI47)</f>
        <v>11379</v>
      </c>
      <c r="J47" s="1992">
        <f>SUM(BJ47:BM47)</f>
        <v>12540</v>
      </c>
      <c r="K47" s="1992">
        <f>SUM(BN47:BQ47)</f>
        <v>14517</v>
      </c>
      <c r="L47" s="1992">
        <f>SUM(BR47:BU47)</f>
        <v>17338</v>
      </c>
      <c r="M47" s="1992">
        <f>SUM(BV47:BY47)</f>
        <v>20161</v>
      </c>
      <c r="N47" s="1992">
        <f>+SUM(BZ47:CC47)</f>
        <v>23530</v>
      </c>
      <c r="O47" s="1992">
        <f>+SUM(CD47:CG47)</f>
        <v>26933</v>
      </c>
      <c r="P47" s="1992">
        <f>+SUM(CH47:CK47)</f>
        <v>34866</v>
      </c>
      <c r="Q47" s="1992">
        <f>+SUM(CL47:CO47)</f>
        <v>36657</v>
      </c>
      <c r="R47" s="1992">
        <f>+SUM(CP47:CS47)</f>
        <v>37327</v>
      </c>
      <c r="S47" s="1992">
        <f>+SUM(CT47:CW47)</f>
        <v>43665</v>
      </c>
      <c r="T47" s="1992">
        <f>+SUM(CX47:DA47)</f>
        <v>46140</v>
      </c>
      <c r="U47" s="1992">
        <f>+SUM(DB47:DE47)</f>
        <v>46824</v>
      </c>
      <c r="V47" s="1992">
        <f>+SUM(DF47:DI47)</f>
        <v>52427</v>
      </c>
      <c r="W47" s="1992">
        <f>+SUM(DJ47:DM47)</f>
        <v>52727</v>
      </c>
      <c r="X47" s="1992">
        <f>+SUM(DN47:DQ47)</f>
        <v>50150</v>
      </c>
      <c r="Y47" s="1992">
        <f>+SUM(DR47:DU47)</f>
        <v>48909</v>
      </c>
      <c r="Z47" s="1992">
        <f ca="1">+SUM(DV47:DY47)</f>
        <v>48155.252681366845</v>
      </c>
      <c r="AA47" s="1992">
        <f ca="1">+AA38+AA41</f>
        <v>48508.216608638511</v>
      </c>
      <c r="AB47" s="1992">
        <f t="shared" ref="AB47:AG47" ca="1" si="147">+AB38+AB41</f>
        <v>48412.673937306645</v>
      </c>
      <c r="AC47" s="1992">
        <f t="shared" ca="1" si="147"/>
        <v>48283.715624806769</v>
      </c>
      <c r="AD47" s="1992">
        <f t="shared" ca="1" si="147"/>
        <v>48126.167420195648</v>
      </c>
      <c r="AE47" s="1992">
        <f t="shared" ca="1" si="147"/>
        <v>47947.648089398484</v>
      </c>
      <c r="AF47" s="1992">
        <f t="shared" ca="1" si="147"/>
        <v>47756.378296306415</v>
      </c>
      <c r="AG47" s="1992">
        <f t="shared" ca="1" si="147"/>
        <v>47560.28979853497</v>
      </c>
      <c r="AH47" s="2201"/>
      <c r="AI47" s="1928">
        <f ca="1">(AA47/V47)^(1/5)-1</f>
        <v>-1.5417618137386291E-2</v>
      </c>
      <c r="AJ47" s="1561"/>
      <c r="AK47" s="1992"/>
      <c r="AL47" s="1992"/>
      <c r="AM47" s="1903"/>
      <c r="AN47" s="1992"/>
      <c r="AO47" s="1992"/>
      <c r="AP47" s="2507">
        <f>NormInputs!AF267</f>
        <v>990</v>
      </c>
      <c r="AQ47" s="2508">
        <f>NormInputs!AG267</f>
        <v>1028</v>
      </c>
      <c r="AR47" s="2508">
        <f>NormInputs!AH267</f>
        <v>1038</v>
      </c>
      <c r="AS47" s="2508">
        <f>NormInputs!AI267</f>
        <v>1114</v>
      </c>
      <c r="AT47" s="2507">
        <f>NormInputs!AJ267</f>
        <v>996</v>
      </c>
      <c r="AU47" s="2508">
        <f>NormInputs!AK267</f>
        <v>988</v>
      </c>
      <c r="AV47" s="2508">
        <f>NormInputs!AL267</f>
        <v>1069</v>
      </c>
      <c r="AW47" s="2508">
        <f>NormInputs!AM267</f>
        <v>1121</v>
      </c>
      <c r="AX47" s="2507">
        <f>NormInputs!AN267</f>
        <v>1988</v>
      </c>
      <c r="AY47" s="2508">
        <f>NormInputs!AO267</f>
        <v>2134</v>
      </c>
      <c r="AZ47" s="2508">
        <f>NormInputs!AP267</f>
        <v>2219</v>
      </c>
      <c r="BA47" s="2508">
        <f>NormInputs!AQ267</f>
        <v>2423</v>
      </c>
      <c r="BB47" s="2507">
        <f>NormInputs!AR267</f>
        <v>2279</v>
      </c>
      <c r="BC47" s="2508">
        <f>NormInputs!AS267</f>
        <v>2633</v>
      </c>
      <c r="BD47" s="2508">
        <f>NormInputs!AT267</f>
        <v>2583</v>
      </c>
      <c r="BE47" s="2508">
        <f>NormInputs!AU267</f>
        <v>2863</v>
      </c>
      <c r="BF47" s="2507">
        <f>NormInputs!AV267</f>
        <v>2637</v>
      </c>
      <c r="BG47" s="2508">
        <f>NormInputs!AW267</f>
        <v>2817</v>
      </c>
      <c r="BH47" s="2508">
        <f>NormInputs!AX267</f>
        <v>2890</v>
      </c>
      <c r="BI47" s="2508">
        <f>NormInputs!AY267</f>
        <v>3035</v>
      </c>
      <c r="BJ47" s="2507">
        <f>NormInputs!AZ267</f>
        <v>2875</v>
      </c>
      <c r="BK47" s="2508">
        <f>NormInputs!BA267</f>
        <v>3099</v>
      </c>
      <c r="BL47" s="2508">
        <f>NormInputs!BB267</f>
        <v>3231</v>
      </c>
      <c r="BM47" s="2508">
        <f>NormInputs!BC267</f>
        <v>3335</v>
      </c>
      <c r="BN47" s="2507">
        <f>NormInputs!BD267</f>
        <v>3305</v>
      </c>
      <c r="BO47" s="2508">
        <f>NormInputs!BE267</f>
        <v>3540</v>
      </c>
      <c r="BP47" s="2508">
        <f>NormInputs!BF267</f>
        <v>3818</v>
      </c>
      <c r="BQ47" s="2508">
        <f>NormInputs!BG267</f>
        <v>3854</v>
      </c>
      <c r="BR47" s="2507">
        <f>NormInputs!BH267</f>
        <v>3905</v>
      </c>
      <c r="BS47" s="2508">
        <f>NormInputs!BI267</f>
        <v>4129</v>
      </c>
      <c r="BT47" s="2508">
        <f>NormInputs!BJ267</f>
        <v>4518</v>
      </c>
      <c r="BU47" s="2508">
        <f>NormInputs!BK267</f>
        <v>4786</v>
      </c>
      <c r="BV47" s="2507">
        <f>NormInputs!BL267</f>
        <v>4728</v>
      </c>
      <c r="BW47" s="2508">
        <f>NormInputs!BM267</f>
        <v>4889</v>
      </c>
      <c r="BX47" s="2508">
        <f>NormInputs!BN267</f>
        <v>5333</v>
      </c>
      <c r="BY47" s="2508">
        <f>NormInputs!BO267</f>
        <v>5211</v>
      </c>
      <c r="BZ47" s="2507">
        <f>NormInputs!BP267</f>
        <v>5424</v>
      </c>
      <c r="CA47" s="2508">
        <f>NormInputs!BQ267</f>
        <v>5698</v>
      </c>
      <c r="CB47" s="2508">
        <f>NormInputs!BR267</f>
        <v>6062</v>
      </c>
      <c r="CC47" s="2508">
        <f>NormInputs!BS267</f>
        <v>6346</v>
      </c>
      <c r="CD47" s="2507">
        <f>NormInputs!BT267</f>
        <v>6322</v>
      </c>
      <c r="CE47" s="2508">
        <f>NormInputs!BU267</f>
        <v>6541</v>
      </c>
      <c r="CF47" s="2508">
        <f>NormInputs!BV267</f>
        <v>6936</v>
      </c>
      <c r="CG47" s="2508">
        <f>NormInputs!BW267</f>
        <v>7134</v>
      </c>
      <c r="CH47" s="2507">
        <f>NormInputs!BX267</f>
        <v>8305</v>
      </c>
      <c r="CI47" s="2508">
        <f>NormInputs!BY267</f>
        <v>8526</v>
      </c>
      <c r="CJ47" s="2508">
        <f>NormInputs!BZ267</f>
        <v>9135</v>
      </c>
      <c r="CK47" s="2508">
        <f>NormInputs!CA267</f>
        <v>8900</v>
      </c>
      <c r="CL47" s="2507">
        <f>+NormInputs!CB276</f>
        <v>8878</v>
      </c>
      <c r="CM47" s="2508">
        <f>+NormInputs!CC276</f>
        <v>9054</v>
      </c>
      <c r="CN47" s="2508">
        <f>+NormInputs!CD276</f>
        <v>9328</v>
      </c>
      <c r="CO47" s="2508">
        <f>+NormInputs!CE276</f>
        <v>9397</v>
      </c>
      <c r="CP47" s="2507">
        <f>+NormInputs!CF276</f>
        <v>9167</v>
      </c>
      <c r="CQ47" s="2508">
        <f>+NormInputs!CG276</f>
        <v>9187</v>
      </c>
      <c r="CR47" s="2508">
        <f>+NormInputs!CH276</f>
        <v>9560</v>
      </c>
      <c r="CS47" s="2508">
        <f>+NormInputs!CI276</f>
        <v>9413</v>
      </c>
      <c r="CT47" s="2507">
        <f>+NormInputs!CJ276</f>
        <v>10631</v>
      </c>
      <c r="CU47" s="2508">
        <f>+NormInputs!CK276</f>
        <v>10623</v>
      </c>
      <c r="CV47" s="2508">
        <f>+NormInputs!CL276</f>
        <v>10537</v>
      </c>
      <c r="CW47" s="2508">
        <f>+NormInputs!CM276</f>
        <v>11874</v>
      </c>
      <c r="CX47" s="2507">
        <f>+NormInputs!CN276</f>
        <v>11138</v>
      </c>
      <c r="CY47" s="2508">
        <f>+NormInputs!CO276</f>
        <v>10853</v>
      </c>
      <c r="CZ47" s="2508">
        <f>+NormInputs!CP276</f>
        <v>10940</v>
      </c>
      <c r="DA47" s="2508">
        <f>+NormInputs!CQ276</f>
        <v>13209</v>
      </c>
      <c r="DB47" s="2507">
        <f>+NormInputs!CR276</f>
        <v>11099</v>
      </c>
      <c r="DC47" s="2508">
        <f>+NormInputs!CS276</f>
        <v>11465</v>
      </c>
      <c r="DD47" s="2508">
        <f>+NormInputs!CT276</f>
        <v>11453</v>
      </c>
      <c r="DE47" s="2508">
        <f>+NormInputs!CU276</f>
        <v>12807</v>
      </c>
      <c r="DF47" s="2507">
        <f>+NormInputs!CV276</f>
        <v>11500</v>
      </c>
      <c r="DG47" s="2508">
        <f>+NormInputs!CW276</f>
        <v>12391</v>
      </c>
      <c r="DH47" s="2508">
        <f>+NormInputs!CX276</f>
        <v>12741</v>
      </c>
      <c r="DI47" s="2509">
        <f>+NormInputs!CY276</f>
        <v>15795</v>
      </c>
      <c r="DJ47" s="2507">
        <f>+NormInputs!CZ276</f>
        <v>12328</v>
      </c>
      <c r="DK47" s="2508">
        <f>+NormInputs!DA276</f>
        <v>12692</v>
      </c>
      <c r="DL47" s="2508">
        <f>+NormInputs!DB276</f>
        <v>13077</v>
      </c>
      <c r="DM47" s="2509">
        <f>+NormInputs!DC276</f>
        <v>14630</v>
      </c>
      <c r="DN47" s="2508">
        <f>+NormInputs!DD276</f>
        <v>11831</v>
      </c>
      <c r="DO47" s="2508">
        <f>+NormInputs!DE276</f>
        <v>11405</v>
      </c>
      <c r="DP47" s="2508">
        <f>+NormInputs!DF276</f>
        <v>12167</v>
      </c>
      <c r="DQ47" s="2509">
        <f>+NormInputs!DG276</f>
        <v>14747</v>
      </c>
      <c r="DR47" s="2507">
        <f>+NormInputs!DH276</f>
        <v>11464</v>
      </c>
      <c r="DS47" s="2508">
        <f>+NormInputs!DI276</f>
        <v>11525</v>
      </c>
      <c r="DT47" s="2508">
        <f>+NormInputs!DJ276</f>
        <v>11611</v>
      </c>
      <c r="DU47" s="2509">
        <f>+NormInputs!DK276</f>
        <v>14309</v>
      </c>
      <c r="DV47" s="2508">
        <f>+NormInputs!DL276</f>
        <v>11423</v>
      </c>
      <c r="DW47" s="1992">
        <f t="shared" ref="DW47:DY47" ca="1" si="148">+DW41+DW38</f>
        <v>11344.21003277315</v>
      </c>
      <c r="DX47" s="1992">
        <f t="shared" ca="1" si="148"/>
        <v>11435.575459036809</v>
      </c>
      <c r="DY47" s="1998">
        <f t="shared" ca="1" si="148"/>
        <v>13952.467189556883</v>
      </c>
    </row>
    <row r="48" spans="1:129" s="1491" customFormat="1" ht="15" customHeight="1" outlineLevel="1">
      <c r="A48" s="2206" t="s">
        <v>1453</v>
      </c>
      <c r="B48" s="2207"/>
      <c r="C48" s="2207"/>
      <c r="D48" s="2207"/>
      <c r="E48" s="2207"/>
      <c r="F48" s="2207">
        <f t="shared" ref="F48:AB48" si="149">F47/E47-1</f>
        <v>9.5923261390895576E-4</v>
      </c>
      <c r="G48" s="2207">
        <f t="shared" si="149"/>
        <v>1.0996645903210349</v>
      </c>
      <c r="H48" s="2207">
        <f t="shared" si="149"/>
        <v>0.18188041989958914</v>
      </c>
      <c r="I48" s="2207">
        <f t="shared" si="149"/>
        <v>9.857115273218775E-2</v>
      </c>
      <c r="J48" s="2207">
        <f t="shared" si="149"/>
        <v>0.10203005536514631</v>
      </c>
      <c r="K48" s="2207">
        <f t="shared" si="149"/>
        <v>0.15765550239234449</v>
      </c>
      <c r="L48" s="2207">
        <f t="shared" si="149"/>
        <v>0.19432389612178835</v>
      </c>
      <c r="M48" s="2207">
        <f t="shared" si="149"/>
        <v>0.16282154804475724</v>
      </c>
      <c r="N48" s="2207">
        <f t="shared" si="149"/>
        <v>0.16710480630921087</v>
      </c>
      <c r="O48" s="2207">
        <f t="shared" si="149"/>
        <v>0.14462388440288998</v>
      </c>
      <c r="P48" s="2207">
        <f t="shared" si="149"/>
        <v>0.29454572457579919</v>
      </c>
      <c r="Q48" s="2207">
        <f t="shared" si="149"/>
        <v>5.1368094992256141E-2</v>
      </c>
      <c r="R48" s="2207">
        <f t="shared" si="149"/>
        <v>1.8277545898464087E-2</v>
      </c>
      <c r="S48" s="2207">
        <f t="shared" si="149"/>
        <v>0.169796661933721</v>
      </c>
      <c r="T48" s="2207">
        <f t="shared" si="149"/>
        <v>5.6681552731020268E-2</v>
      </c>
      <c r="U48" s="2207">
        <f t="shared" si="149"/>
        <v>1.4824447334200297E-2</v>
      </c>
      <c r="V48" s="2207">
        <f t="shared" si="149"/>
        <v>0.11966085767982237</v>
      </c>
      <c r="W48" s="2207">
        <f>W47/V47-1</f>
        <v>5.7222423560379099E-3</v>
      </c>
      <c r="X48" s="2207">
        <f>X47/W47-1</f>
        <v>-4.8874390729607198E-2</v>
      </c>
      <c r="Y48" s="2207">
        <f>Y47/X47-1</f>
        <v>-2.4745762711864461E-2</v>
      </c>
      <c r="Z48" s="2207">
        <f ca="1">Z47/Y47-1</f>
        <v>-1.541121917506294E-2</v>
      </c>
      <c r="AA48" s="2207">
        <f t="shared" ca="1" si="149"/>
        <v>7.3297077186398329E-3</v>
      </c>
      <c r="AB48" s="2207">
        <f t="shared" ca="1" si="149"/>
        <v>-1.9696183041050253E-3</v>
      </c>
      <c r="AC48" s="2207">
        <f t="shared" ref="AC48" ca="1" si="150">AC47/AB47-1</f>
        <v>-2.663730424534605E-3</v>
      </c>
      <c r="AD48" s="2207">
        <f t="shared" ref="AD48" ca="1" si="151">AD47/AC47-1</f>
        <v>-3.2629677018928271E-3</v>
      </c>
      <c r="AE48" s="2207">
        <f t="shared" ref="AE48" ca="1" si="152">AE47/AD47-1</f>
        <v>-3.7094026050005224E-3</v>
      </c>
      <c r="AF48" s="2207">
        <f t="shared" ref="AF48" ca="1" si="153">AF47/AE47-1</f>
        <v>-3.989138168684403E-3</v>
      </c>
      <c r="AG48" s="2207">
        <f t="shared" ref="AG48" ca="1" si="154">AG47/AF47-1</f>
        <v>-4.1060169293996029E-3</v>
      </c>
      <c r="AH48" s="2201"/>
      <c r="AI48" s="1927"/>
      <c r="AJ48" s="1561"/>
      <c r="AK48" s="2207"/>
      <c r="AL48" s="2207"/>
      <c r="AM48" s="2207"/>
      <c r="AN48" s="2207"/>
      <c r="AO48" s="2207"/>
      <c r="AP48" s="2208"/>
      <c r="AQ48" s="2207"/>
      <c r="AR48" s="2207"/>
      <c r="AS48" s="2207"/>
      <c r="AT48" s="2208"/>
      <c r="AU48" s="2207"/>
      <c r="AV48" s="2207"/>
      <c r="AW48" s="2207"/>
      <c r="AX48" s="2208"/>
      <c r="AY48" s="2207"/>
      <c r="AZ48" s="2207"/>
      <c r="BA48" s="2207"/>
      <c r="BB48" s="2208">
        <f t="shared" ref="BB48:CG48" si="155">BB47/AX47-1</f>
        <v>0.14637826961770628</v>
      </c>
      <c r="BC48" s="2207">
        <f t="shared" si="155"/>
        <v>0.23383317713214624</v>
      </c>
      <c r="BD48" s="2207">
        <f t="shared" si="155"/>
        <v>0.16403785488959</v>
      </c>
      <c r="BE48" s="2207">
        <f t="shared" si="155"/>
        <v>0.18159306644655393</v>
      </c>
      <c r="BF48" s="2208">
        <f t="shared" si="155"/>
        <v>0.15708644142167616</v>
      </c>
      <c r="BG48" s="2207">
        <f t="shared" si="155"/>
        <v>6.9882263577668136E-2</v>
      </c>
      <c r="BH48" s="2207">
        <f t="shared" si="155"/>
        <v>0.11885404568331404</v>
      </c>
      <c r="BI48" s="2207">
        <f t="shared" si="155"/>
        <v>6.0076842472930547E-2</v>
      </c>
      <c r="BJ48" s="2208">
        <f t="shared" si="155"/>
        <v>9.0254076602199529E-2</v>
      </c>
      <c r="BK48" s="2207">
        <f t="shared" si="155"/>
        <v>0.10010649627263035</v>
      </c>
      <c r="BL48" s="2207">
        <f t="shared" si="155"/>
        <v>0.11799307958477501</v>
      </c>
      <c r="BM48" s="2207">
        <f t="shared" si="155"/>
        <v>9.8846787479407006E-2</v>
      </c>
      <c r="BN48" s="2208">
        <f t="shared" si="155"/>
        <v>0.14956521739130424</v>
      </c>
      <c r="BO48" s="2207">
        <f t="shared" si="155"/>
        <v>0.14230396902226516</v>
      </c>
      <c r="BP48" s="2207">
        <f t="shared" si="155"/>
        <v>0.18167749922624576</v>
      </c>
      <c r="BQ48" s="2207">
        <f t="shared" si="155"/>
        <v>0.15562218890554713</v>
      </c>
      <c r="BR48" s="2208">
        <f t="shared" si="155"/>
        <v>0.18154311649016641</v>
      </c>
      <c r="BS48" s="2207">
        <f t="shared" si="155"/>
        <v>0.16638418079096051</v>
      </c>
      <c r="BT48" s="2207">
        <f t="shared" si="155"/>
        <v>0.18334206390780516</v>
      </c>
      <c r="BU48" s="2207">
        <f t="shared" si="155"/>
        <v>0.24182667358588472</v>
      </c>
      <c r="BV48" s="2208">
        <f t="shared" si="155"/>
        <v>0.2107554417413573</v>
      </c>
      <c r="BW48" s="2207">
        <f t="shared" si="155"/>
        <v>0.1840639379995157</v>
      </c>
      <c r="BX48" s="2207">
        <f t="shared" si="155"/>
        <v>0.18038955289951297</v>
      </c>
      <c r="BY48" s="2207">
        <f t="shared" si="155"/>
        <v>8.8800668616799028E-2</v>
      </c>
      <c r="BZ48" s="2208">
        <f t="shared" si="155"/>
        <v>0.14720812182741128</v>
      </c>
      <c r="CA48" s="2207">
        <f t="shared" si="155"/>
        <v>0.1654735119656372</v>
      </c>
      <c r="CB48" s="2207">
        <f t="shared" si="155"/>
        <v>0.13669604350271891</v>
      </c>
      <c r="CC48" s="2207">
        <f t="shared" si="155"/>
        <v>0.21780848205718661</v>
      </c>
      <c r="CD48" s="2208">
        <f t="shared" si="155"/>
        <v>0.16556047197640122</v>
      </c>
      <c r="CE48" s="2207">
        <f t="shared" si="155"/>
        <v>0.14794664794664802</v>
      </c>
      <c r="CF48" s="2207">
        <f t="shared" si="155"/>
        <v>0.14417683932695491</v>
      </c>
      <c r="CG48" s="2207">
        <f t="shared" si="155"/>
        <v>0.12417270721714457</v>
      </c>
      <c r="CH48" s="2208">
        <f t="shared" ref="CH48:DV48" si="156">CH47/CD47-1</f>
        <v>0.31366656121480552</v>
      </c>
      <c r="CI48" s="2207">
        <f t="shared" si="156"/>
        <v>0.30347041736737501</v>
      </c>
      <c r="CJ48" s="2207">
        <f t="shared" si="156"/>
        <v>0.31704152249134943</v>
      </c>
      <c r="CK48" s="2207">
        <f t="shared" si="156"/>
        <v>0.24754695822820305</v>
      </c>
      <c r="CL48" s="2208">
        <f t="shared" si="156"/>
        <v>6.8994581577362935E-2</v>
      </c>
      <c r="CM48" s="2207">
        <f t="shared" si="156"/>
        <v>6.1928219563687437E-2</v>
      </c>
      <c r="CN48" s="2207">
        <f t="shared" si="156"/>
        <v>2.1127531472359129E-2</v>
      </c>
      <c r="CO48" s="2207">
        <f t="shared" si="156"/>
        <v>5.5842696629213373E-2</v>
      </c>
      <c r="CP48" s="2208">
        <f t="shared" si="156"/>
        <v>3.2552376661410198E-2</v>
      </c>
      <c r="CQ48" s="2207">
        <f t="shared" si="156"/>
        <v>1.4689639938148868E-2</v>
      </c>
      <c r="CR48" s="2207">
        <f t="shared" si="156"/>
        <v>2.487135506003435E-2</v>
      </c>
      <c r="CS48" s="2207">
        <f t="shared" si="156"/>
        <v>1.7026710652334742E-3</v>
      </c>
      <c r="CT48" s="2208">
        <f t="shared" si="156"/>
        <v>0.15970328351696295</v>
      </c>
      <c r="CU48" s="2207">
        <f t="shared" si="156"/>
        <v>0.15630782627625983</v>
      </c>
      <c r="CV48" s="2207">
        <f t="shared" si="156"/>
        <v>0.10219665271966538</v>
      </c>
      <c r="CW48" s="2207">
        <f t="shared" si="156"/>
        <v>0.26144693508976946</v>
      </c>
      <c r="CX48" s="2208">
        <f t="shared" si="156"/>
        <v>4.7690715831060215E-2</v>
      </c>
      <c r="CY48" s="2207">
        <f t="shared" si="156"/>
        <v>2.1651134331168276E-2</v>
      </c>
      <c r="CZ48" s="2207">
        <f t="shared" si="156"/>
        <v>3.8246180127170959E-2</v>
      </c>
      <c r="DA48" s="2207">
        <f t="shared" si="156"/>
        <v>0.11243052046488122</v>
      </c>
      <c r="DB48" s="2208">
        <f t="shared" si="156"/>
        <v>-3.5015263063387092E-3</v>
      </c>
      <c r="DC48" s="2207">
        <f t="shared" si="156"/>
        <v>5.6389938265917205E-2</v>
      </c>
      <c r="DD48" s="2207">
        <f t="shared" si="156"/>
        <v>4.6892138939671035E-2</v>
      </c>
      <c r="DE48" s="2207">
        <f t="shared" si="156"/>
        <v>-3.0433795139677478E-2</v>
      </c>
      <c r="DF48" s="2208">
        <f t="shared" si="156"/>
        <v>3.6129381025317597E-2</v>
      </c>
      <c r="DG48" s="2207">
        <f t="shared" si="156"/>
        <v>8.0767553423462646E-2</v>
      </c>
      <c r="DH48" s="2207">
        <f t="shared" si="156"/>
        <v>0.11245961756744949</v>
      </c>
      <c r="DI48" s="2209">
        <f t="shared" si="156"/>
        <v>0.23330990864371048</v>
      </c>
      <c r="DJ48" s="2208">
        <f t="shared" si="156"/>
        <v>7.2000000000000064E-2</v>
      </c>
      <c r="DK48" s="2207">
        <f t="shared" si="156"/>
        <v>2.4291824711484056E-2</v>
      </c>
      <c r="DL48" s="2207">
        <f t="shared" si="156"/>
        <v>2.6371556392747797E-2</v>
      </c>
      <c r="DM48" s="2209">
        <f t="shared" si="156"/>
        <v>-7.3757518201962635E-2</v>
      </c>
      <c r="DN48" s="2207">
        <f t="shared" si="156"/>
        <v>-4.0314730694354317E-2</v>
      </c>
      <c r="DO48" s="2207">
        <f t="shared" si="156"/>
        <v>-0.10140245824141192</v>
      </c>
      <c r="DP48" s="2207">
        <f t="shared" si="156"/>
        <v>-6.9587825953964955E-2</v>
      </c>
      <c r="DQ48" s="2209">
        <f t="shared" si="156"/>
        <v>7.9972658920026696E-3</v>
      </c>
      <c r="DR48" s="2208">
        <f t="shared" si="156"/>
        <v>-3.102020116642723E-2</v>
      </c>
      <c r="DS48" s="2207">
        <f t="shared" si="156"/>
        <v>1.0521701008329609E-2</v>
      </c>
      <c r="DT48" s="2207">
        <f t="shared" si="156"/>
        <v>-4.5697378154023194E-2</v>
      </c>
      <c r="DU48" s="2209">
        <f t="shared" si="156"/>
        <v>-2.9700956126669786E-2</v>
      </c>
      <c r="DV48" s="2207">
        <f t="shared" si="156"/>
        <v>-3.5764131193301019E-3</v>
      </c>
      <c r="DW48" s="2207">
        <f t="shared" ref="DW48" ca="1" si="157">DW47/DS47-1</f>
        <v>-1.568676505222133E-2</v>
      </c>
      <c r="DX48" s="2207">
        <f t="shared" ref="DX48" ca="1" si="158">DX47/DT47-1</f>
        <v>-1.5108478250210222E-2</v>
      </c>
      <c r="DY48" s="2209">
        <f t="shared" ref="DY48" ca="1" si="159">DY47/DU47-1</f>
        <v>-2.491668253848045E-2</v>
      </c>
    </row>
    <row r="49" spans="1:129" s="1491" customFormat="1" ht="15" customHeight="1" outlineLevel="1">
      <c r="A49" s="2206" t="s">
        <v>1615</v>
      </c>
      <c r="B49" s="2207"/>
      <c r="C49" s="2207"/>
      <c r="D49" s="2207"/>
      <c r="E49" s="2207">
        <f t="shared" ref="E49:P49" si="160">E47/E$14</f>
        <v>0.67508499271491018</v>
      </c>
      <c r="F49" s="2207">
        <f t="shared" si="160"/>
        <v>0.62748045700541188</v>
      </c>
      <c r="G49" s="2207">
        <f t="shared" si="160"/>
        <v>0.65667615765023224</v>
      </c>
      <c r="H49" s="2207">
        <f t="shared" si="160"/>
        <v>0.66731091354206928</v>
      </c>
      <c r="I49" s="2207">
        <f t="shared" si="160"/>
        <v>0.65422871270051175</v>
      </c>
      <c r="J49" s="2207">
        <f t="shared" si="160"/>
        <v>0.64396857186874135</v>
      </c>
      <c r="K49" s="2207">
        <f t="shared" si="160"/>
        <v>0.64551558539730536</v>
      </c>
      <c r="L49" s="2207">
        <f t="shared" si="160"/>
        <v>0.62678042079386886</v>
      </c>
      <c r="M49" s="2207">
        <f t="shared" si="160"/>
        <v>0.6241602427169437</v>
      </c>
      <c r="N49" s="2207">
        <f t="shared" si="160"/>
        <v>0.53632291991611569</v>
      </c>
      <c r="O49" s="2207">
        <f t="shared" si="160"/>
        <v>0.53157611043709319</v>
      </c>
      <c r="P49" s="2207">
        <f t="shared" si="160"/>
        <v>0.7067623449282413</v>
      </c>
      <c r="Q49" s="2207">
        <f t="shared" ref="Q49:V49" si="161">Q47/Q$31</f>
        <v>0.60765851636966428</v>
      </c>
      <c r="R49" s="2207">
        <f t="shared" si="161"/>
        <v>0.58868894601542421</v>
      </c>
      <c r="S49" s="2207">
        <f t="shared" si="161"/>
        <v>0.622416398209653</v>
      </c>
      <c r="T49" s="2207">
        <f>T47/T$31</f>
        <v>0.60816154373385356</v>
      </c>
      <c r="U49" s="2207">
        <f t="shared" si="161"/>
        <v>0.57790997617960327</v>
      </c>
      <c r="V49" s="2207">
        <f t="shared" si="161"/>
        <v>0.59816762887068431</v>
      </c>
      <c r="W49" s="2207">
        <f t="shared" ref="W49:AB49" si="162">W47/W$31</f>
        <v>0.57511998254799301</v>
      </c>
      <c r="X49" s="2207">
        <f t="shared" si="162"/>
        <v>0.56230798555827144</v>
      </c>
      <c r="Y49" s="2207">
        <f t="shared" si="162"/>
        <v>0.55888973957559618</v>
      </c>
      <c r="Z49" s="2207">
        <f t="shared" ca="1" si="162"/>
        <v>0.54106702938423967</v>
      </c>
      <c r="AA49" s="2207">
        <f t="shared" ca="1" si="162"/>
        <v>0.54307134234731214</v>
      </c>
      <c r="AB49" s="2207">
        <f t="shared" ca="1" si="162"/>
        <v>0.53696451890918606</v>
      </c>
      <c r="AC49" s="2207">
        <f t="shared" ref="AC49:AG49" ca="1" si="163">AC47/AC$31</f>
        <v>0.53034489932034634</v>
      </c>
      <c r="AD49" s="2207">
        <f t="shared" ca="1" si="163"/>
        <v>0.52330917122205312</v>
      </c>
      <c r="AE49" s="2207">
        <f t="shared" ca="1" si="163"/>
        <v>0.51590264005714648</v>
      </c>
      <c r="AF49" s="2207">
        <f t="shared" ca="1" si="163"/>
        <v>0.50814893469848255</v>
      </c>
      <c r="AG49" s="2207">
        <f t="shared" ca="1" si="163"/>
        <v>0.50006354658302188</v>
      </c>
      <c r="AH49" s="2201"/>
      <c r="AI49" s="1927"/>
      <c r="AJ49" s="1561"/>
      <c r="AK49" s="2207"/>
      <c r="AL49" s="2207"/>
      <c r="AM49" s="2207"/>
      <c r="AN49" s="2207"/>
      <c r="AO49" s="2207"/>
      <c r="AP49" s="2208"/>
      <c r="AQ49" s="2207"/>
      <c r="AR49" s="2207"/>
      <c r="AS49" s="2207"/>
      <c r="AT49" s="2208"/>
      <c r="AU49" s="2207"/>
      <c r="AV49" s="2207"/>
      <c r="AW49" s="2207"/>
      <c r="AX49" s="2208">
        <f t="shared" ref="AX49:CK49" si="164">AX47/AX$14</f>
        <v>0.64524505030834145</v>
      </c>
      <c r="AY49" s="2207">
        <f t="shared" si="164"/>
        <v>0.64199759326113115</v>
      </c>
      <c r="AZ49" s="2207">
        <f t="shared" si="164"/>
        <v>0.64505813953488367</v>
      </c>
      <c r="BA49" s="2207">
        <f t="shared" si="164"/>
        <v>0.6920879748643245</v>
      </c>
      <c r="BB49" s="2208">
        <f t="shared" si="164"/>
        <v>0.66057971014492756</v>
      </c>
      <c r="BC49" s="2207">
        <f t="shared" si="164"/>
        <v>0.66624493927125505</v>
      </c>
      <c r="BD49" s="2207">
        <f t="shared" si="164"/>
        <v>0.639990089197225</v>
      </c>
      <c r="BE49" s="2207">
        <f t="shared" si="164"/>
        <v>0.70102840352595497</v>
      </c>
      <c r="BF49" s="2208">
        <f t="shared" si="164"/>
        <v>0.65175481957488879</v>
      </c>
      <c r="BG49" s="2207">
        <f t="shared" si="164"/>
        <v>0.64271047227926081</v>
      </c>
      <c r="BH49" s="2207">
        <f t="shared" si="164"/>
        <v>0.63923910639239101</v>
      </c>
      <c r="BI49" s="2207">
        <f t="shared" si="164"/>
        <v>0.68309700652712135</v>
      </c>
      <c r="BJ49" s="2208">
        <f t="shared" si="164"/>
        <v>0.6489841986455982</v>
      </c>
      <c r="BK49" s="2207">
        <f t="shared" si="164"/>
        <v>0.64683782091421416</v>
      </c>
      <c r="BL49" s="2207">
        <f t="shared" si="164"/>
        <v>0.64247365281368063</v>
      </c>
      <c r="BM49" s="2207">
        <f t="shared" si="164"/>
        <v>0.63852192226689641</v>
      </c>
      <c r="BN49" s="2208">
        <f t="shared" si="164"/>
        <v>0.64982304364923316</v>
      </c>
      <c r="BO49" s="2207">
        <f t="shared" si="164"/>
        <v>0.64633923680847183</v>
      </c>
      <c r="BP49" s="2207">
        <f t="shared" si="164"/>
        <v>0.64254459777852579</v>
      </c>
      <c r="BQ49" s="2207">
        <f t="shared" si="164"/>
        <v>0.64405080213903743</v>
      </c>
      <c r="BR49" s="2208">
        <f t="shared" si="164"/>
        <v>0.6337228172671211</v>
      </c>
      <c r="BS49" s="2207">
        <f t="shared" si="164"/>
        <v>0.60303782678545348</v>
      </c>
      <c r="BT49" s="2207">
        <f t="shared" si="164"/>
        <v>0.61797291752154293</v>
      </c>
      <c r="BU49" s="2207">
        <f t="shared" si="164"/>
        <v>0.65186597657314083</v>
      </c>
      <c r="BV49" s="2208">
        <f t="shared" si="164"/>
        <v>0.63736856295497435</v>
      </c>
      <c r="BW49" s="2207">
        <f t="shared" si="164"/>
        <v>0.62312006117767016</v>
      </c>
      <c r="BX49" s="2207">
        <f t="shared" si="164"/>
        <v>0.63860615495150286</v>
      </c>
      <c r="BY49" s="2207">
        <f t="shared" si="164"/>
        <v>0.59993092332489062</v>
      </c>
      <c r="BZ49" s="2208">
        <f t="shared" si="164"/>
        <v>0.61545444230114599</v>
      </c>
      <c r="CA49" s="2207">
        <f t="shared" si="164"/>
        <v>0.61520190023752974</v>
      </c>
      <c r="CB49" s="2207">
        <f t="shared" si="164"/>
        <v>0.61424663086432263</v>
      </c>
      <c r="CC49" s="2207">
        <f t="shared" si="164"/>
        <v>0.62837904743043871</v>
      </c>
      <c r="CD49" s="2208">
        <f t="shared" si="164"/>
        <v>0.61336955467158238</v>
      </c>
      <c r="CE49" s="2207">
        <f t="shared" si="164"/>
        <v>0.60324633404039474</v>
      </c>
      <c r="CF49" s="2207">
        <f t="shared" si="164"/>
        <v>0.61440340154132345</v>
      </c>
      <c r="CG49" s="2207">
        <f t="shared" si="164"/>
        <v>0.62343790963908063</v>
      </c>
      <c r="CH49" s="2208">
        <f t="shared" si="164"/>
        <v>0.71171479989716346</v>
      </c>
      <c r="CI49" s="2207">
        <f t="shared" si="164"/>
        <v>0.70358144908400722</v>
      </c>
      <c r="CJ49" s="2207">
        <f t="shared" si="164"/>
        <v>0.71934798015591783</v>
      </c>
      <c r="CK49" s="2207">
        <f t="shared" si="164"/>
        <v>0.69282266853495256</v>
      </c>
      <c r="CL49" s="2208">
        <f t="shared" ref="CL49:DE49" si="165">CL47/CL$31</f>
        <v>0.60435670524166096</v>
      </c>
      <c r="CM49" s="2207">
        <f t="shared" si="165"/>
        <v>0.60243529176924615</v>
      </c>
      <c r="CN49" s="2207">
        <f t="shared" si="165"/>
        <v>0.60844041484573741</v>
      </c>
      <c r="CO49" s="2207">
        <f t="shared" si="165"/>
        <v>0.61518821603927987</v>
      </c>
      <c r="CP49" s="2208">
        <f t="shared" si="165"/>
        <v>0.59868077324973878</v>
      </c>
      <c r="CQ49" s="2207">
        <f t="shared" si="165"/>
        <v>0.58527107090526853</v>
      </c>
      <c r="CR49" s="2207">
        <f t="shared" si="165"/>
        <v>0.58830769230769231</v>
      </c>
      <c r="CS49" s="2207">
        <f t="shared" si="165"/>
        <v>0.58292048550904141</v>
      </c>
      <c r="CT49" s="2208">
        <f t="shared" si="165"/>
        <v>0.62976127006693916</v>
      </c>
      <c r="CU49" s="2207">
        <f t="shared" si="165"/>
        <v>0.61429480136471404</v>
      </c>
      <c r="CV49" s="2207">
        <f t="shared" si="165"/>
        <v>0.59443754936251836</v>
      </c>
      <c r="CW49" s="2207">
        <f t="shared" si="165"/>
        <v>0.65048756436945332</v>
      </c>
      <c r="CX49" s="2208">
        <f t="shared" si="165"/>
        <v>0.60953319104689985</v>
      </c>
      <c r="CY49" s="2207">
        <f t="shared" si="165"/>
        <v>0.58421704257953389</v>
      </c>
      <c r="CZ49" s="2207">
        <f t="shared" si="165"/>
        <v>0.5750630782169891</v>
      </c>
      <c r="DA49" s="2207">
        <f t="shared" si="165"/>
        <v>0.66064819445833756</v>
      </c>
      <c r="DB49" s="2208">
        <f t="shared" si="165"/>
        <v>0.56850893817548531</v>
      </c>
      <c r="DC49" s="2207">
        <f t="shared" si="165"/>
        <v>0.57393872647176614</v>
      </c>
      <c r="DD49" s="2207">
        <f t="shared" si="165"/>
        <v>0.56144909064169812</v>
      </c>
      <c r="DE49" s="2207">
        <f t="shared" si="165"/>
        <v>0.60624852071005919</v>
      </c>
      <c r="DF49" s="2208">
        <f>DF47/DF$31</f>
        <v>0.5507926624838354</v>
      </c>
      <c r="DG49" s="2207">
        <f>DG47/DG$31</f>
        <v>0.57678164129777032</v>
      </c>
      <c r="DH49" s="2207">
        <f>DH47/DH$31</f>
        <v>0.58351270895351504</v>
      </c>
      <c r="DI49" s="2209">
        <f>DI47/DI$31</f>
        <v>0.67358949208921493</v>
      </c>
      <c r="DJ49" s="2208">
        <f t="shared" ref="DJ49:DM49" si="166">DJ47/DJ$31</f>
        <v>0.55213185238265849</v>
      </c>
      <c r="DK49" s="2207">
        <f t="shared" si="166"/>
        <v>0.56127006589130146</v>
      </c>
      <c r="DL49" s="2207">
        <f t="shared" si="166"/>
        <v>0.5684416431210606</v>
      </c>
      <c r="DM49" s="2209">
        <f t="shared" si="166"/>
        <v>0.61641526923401024</v>
      </c>
      <c r="DN49" s="2207">
        <f t="shared" ref="DN49:DO49" si="167">DN47/DN$31</f>
        <v>0.5376749681876023</v>
      </c>
      <c r="DO49" s="2207">
        <f t="shared" si="167"/>
        <v>0.52547917434574276</v>
      </c>
      <c r="DP49" s="2207">
        <f t="shared" ref="DP49:DQ49" si="168">DP47/DP$31</f>
        <v>0.55051807610515358</v>
      </c>
      <c r="DQ49" s="2209">
        <f t="shared" si="168"/>
        <v>0.6308337254566454</v>
      </c>
      <c r="DR49" s="2208">
        <f t="shared" ref="DR49" si="169">DR47/DR$31</f>
        <v>0.54909474087556276</v>
      </c>
      <c r="DS49" s="2207">
        <f t="shared" ref="DS49:DT49" si="170">DS47/DS$31</f>
        <v>0.54153744948783011</v>
      </c>
      <c r="DT49" s="2207">
        <f t="shared" si="170"/>
        <v>0.53804448563484708</v>
      </c>
      <c r="DU49" s="2209">
        <f t="shared" ref="DU49" si="171">DU47/DU$31</f>
        <v>0.60195195826847836</v>
      </c>
      <c r="DV49" s="2207">
        <f t="shared" ref="DV49" si="172">DV47/DV$31</f>
        <v>0.5215981735159817</v>
      </c>
      <c r="DW49" s="2207">
        <f t="shared" ref="DW49:DY49" ca="1" si="173">DW47/DW$31</f>
        <v>0.52284652396477616</v>
      </c>
      <c r="DX49" s="2207">
        <f t="shared" ca="1" si="173"/>
        <v>0.51987022472928668</v>
      </c>
      <c r="DY49" s="2209">
        <f t="shared" ca="1" si="173"/>
        <v>0.59609287663313881</v>
      </c>
    </row>
    <row r="50" spans="1:129" s="1491" customFormat="1" outlineLevel="1">
      <c r="A50" s="2206" t="s">
        <v>1456</v>
      </c>
      <c r="B50" s="2207"/>
      <c r="C50" s="2207"/>
      <c r="D50" s="2207"/>
      <c r="E50" s="2207"/>
      <c r="F50" s="2207"/>
      <c r="G50" s="2207"/>
      <c r="H50" s="2207"/>
      <c r="I50" s="2207"/>
      <c r="J50" s="2207"/>
      <c r="K50" s="2207"/>
      <c r="L50" s="2207"/>
      <c r="M50" s="2207"/>
      <c r="N50" s="2207">
        <f t="shared" ref="N50:AA50" si="174">+N47/N25</f>
        <v>0.60917797425773879</v>
      </c>
      <c r="O50" s="2207">
        <f t="shared" si="174"/>
        <v>0.60117887577117213</v>
      </c>
      <c r="P50" s="2207">
        <f t="shared" si="174"/>
        <v>0.71983648525889832</v>
      </c>
      <c r="Q50" s="2207">
        <f t="shared" si="174"/>
        <v>0.70431925604273138</v>
      </c>
      <c r="R50" s="2207">
        <f t="shared" si="174"/>
        <v>0.67099893940211042</v>
      </c>
      <c r="S50" s="2207">
        <f t="shared" si="174"/>
        <v>0.73812059435062627</v>
      </c>
      <c r="T50" s="2207">
        <f t="shared" si="174"/>
        <v>0.72395776128536238</v>
      </c>
      <c r="U50" s="2207">
        <f t="shared" si="174"/>
        <v>0.67828429881361085</v>
      </c>
      <c r="V50" s="2207">
        <f t="shared" si="174"/>
        <v>0.72183670659507093</v>
      </c>
      <c r="W50" s="2207">
        <f t="shared" si="174"/>
        <v>0.74900562531962045</v>
      </c>
      <c r="X50" s="2207">
        <f t="shared" si="174"/>
        <v>0.75322919795734455</v>
      </c>
      <c r="Y50" s="2207">
        <f t="shared" ref="Y50:Z50" si="175">+Y47/Y25</f>
        <v>0.77484513870185834</v>
      </c>
      <c r="Z50" s="2207">
        <f t="shared" ca="1" si="175"/>
        <v>0.77529241995219067</v>
      </c>
      <c r="AA50" s="2207">
        <f t="shared" ca="1" si="174"/>
        <v>0.76985487169613742</v>
      </c>
      <c r="AB50" s="2207">
        <f t="shared" ref="AB50:AG50" ca="1" si="176">+AB47/AB25</f>
        <v>0.75611331755826305</v>
      </c>
      <c r="AC50" s="2207">
        <f t="shared" ca="1" si="176"/>
        <v>0.74139032085920942</v>
      </c>
      <c r="AD50" s="2207">
        <f t="shared" ca="1" si="176"/>
        <v>0.72596156577368176</v>
      </c>
      <c r="AE50" s="2207">
        <f t="shared" ca="1" si="176"/>
        <v>0.70996452588621783</v>
      </c>
      <c r="AF50" s="2207">
        <f t="shared" ca="1" si="176"/>
        <v>0.69347954125483346</v>
      </c>
      <c r="AG50" s="2207">
        <f t="shared" ca="1" si="176"/>
        <v>0.67656576458740059</v>
      </c>
      <c r="AH50" s="2201"/>
      <c r="AI50" s="1927"/>
      <c r="AJ50" s="1561"/>
      <c r="AK50" s="2207"/>
      <c r="AL50" s="2207"/>
      <c r="AM50" s="2207"/>
      <c r="AN50" s="2207"/>
      <c r="AO50" s="2207"/>
      <c r="AP50" s="2208"/>
      <c r="AQ50" s="2207"/>
      <c r="AR50" s="2207"/>
      <c r="AS50" s="2207"/>
      <c r="AT50" s="2208"/>
      <c r="AU50" s="2207"/>
      <c r="AV50" s="2207"/>
      <c r="AW50" s="2207"/>
      <c r="AX50" s="2208"/>
      <c r="AY50" s="2207"/>
      <c r="AZ50" s="2207"/>
      <c r="BA50" s="2207"/>
      <c r="BB50" s="2208"/>
      <c r="BC50" s="2207"/>
      <c r="BD50" s="2207"/>
      <c r="BE50" s="2207"/>
      <c r="BF50" s="2208"/>
      <c r="BG50" s="2207"/>
      <c r="BH50" s="2207"/>
      <c r="BI50" s="2207"/>
      <c r="BJ50" s="2208"/>
      <c r="BK50" s="2207"/>
      <c r="BL50" s="2207"/>
      <c r="BM50" s="2207"/>
      <c r="BN50" s="2208"/>
      <c r="BO50" s="2207"/>
      <c r="BP50" s="2207"/>
      <c r="BQ50" s="2207"/>
      <c r="BR50" s="2208"/>
      <c r="BS50" s="2207"/>
      <c r="BT50" s="2207"/>
      <c r="BU50" s="2207"/>
      <c r="BV50" s="2208"/>
      <c r="BW50" s="2207"/>
      <c r="BX50" s="2207"/>
      <c r="BY50" s="2207"/>
      <c r="BZ50" s="2208"/>
      <c r="CA50" s="2207"/>
      <c r="CB50" s="2207"/>
      <c r="CC50" s="2207"/>
      <c r="CD50" s="2208"/>
      <c r="CE50" s="2207"/>
      <c r="CF50" s="2207"/>
      <c r="CG50" s="2207"/>
      <c r="CH50" s="2208"/>
      <c r="CI50" s="2207"/>
      <c r="CJ50" s="2207"/>
      <c r="CK50" s="2207"/>
      <c r="CL50" s="2208">
        <f t="shared" ref="CL50:DN50" si="177">+CL47/CL25</f>
        <v>0.69768172888015723</v>
      </c>
      <c r="CM50" s="2207">
        <f t="shared" si="177"/>
        <v>0.6970513511432751</v>
      </c>
      <c r="CN50" s="2207">
        <f t="shared" si="177"/>
        <v>0.70940755951022894</v>
      </c>
      <c r="CO50" s="2207">
        <f t="shared" si="177"/>
        <v>0.71281195479026016</v>
      </c>
      <c r="CP50" s="2208">
        <f t="shared" si="177"/>
        <v>0.68075152235259173</v>
      </c>
      <c r="CQ50" s="2207">
        <f t="shared" si="177"/>
        <v>0.66562816983045936</v>
      </c>
      <c r="CR50" s="2207">
        <f t="shared" si="177"/>
        <v>0.67476002258610956</v>
      </c>
      <c r="CS50" s="2207">
        <f t="shared" si="177"/>
        <v>0.66321426055097588</v>
      </c>
      <c r="CT50" s="2208">
        <f t="shared" si="177"/>
        <v>0.74285514639088812</v>
      </c>
      <c r="CU50" s="2207">
        <f t="shared" si="177"/>
        <v>0.72230910450805741</v>
      </c>
      <c r="CV50" s="2207">
        <f t="shared" si="177"/>
        <v>0.70092463247522119</v>
      </c>
      <c r="CW50" s="2207">
        <f t="shared" si="177"/>
        <v>0.78604528002118368</v>
      </c>
      <c r="CX50" s="2208">
        <f t="shared" si="177"/>
        <v>0.72277741726151845</v>
      </c>
      <c r="CY50" s="2207">
        <f t="shared" si="177"/>
        <v>0.68794371196754567</v>
      </c>
      <c r="CZ50" s="2207">
        <f t="shared" si="177"/>
        <v>0.67723164541290082</v>
      </c>
      <c r="DA50" s="2207">
        <f t="shared" si="177"/>
        <v>0.80577075581040691</v>
      </c>
      <c r="DB50" s="2208">
        <f t="shared" si="177"/>
        <v>0.66349832615973214</v>
      </c>
      <c r="DC50" s="2207">
        <f t="shared" si="177"/>
        <v>0.6713315376507788</v>
      </c>
      <c r="DD50" s="2207">
        <f t="shared" si="177"/>
        <v>0.65385932861383878</v>
      </c>
      <c r="DE50" s="2207">
        <f t="shared" si="177"/>
        <v>0.72310993168087634</v>
      </c>
      <c r="DF50" s="2208">
        <f t="shared" si="177"/>
        <v>0.63935064213042758</v>
      </c>
      <c r="DG50" s="2207">
        <f t="shared" si="177"/>
        <v>0.68541874101117384</v>
      </c>
      <c r="DH50" s="2207">
        <f t="shared" si="177"/>
        <v>0.69410546960122033</v>
      </c>
      <c r="DI50" s="2209">
        <f t="shared" si="177"/>
        <v>0.86742819484870115</v>
      </c>
      <c r="DJ50" s="2208">
        <f t="shared" si="177"/>
        <v>0.68817684492575637</v>
      </c>
      <c r="DK50" s="2207">
        <f t="shared" si="177"/>
        <v>0.71750805585392052</v>
      </c>
      <c r="DL50" s="2207">
        <f t="shared" si="177"/>
        <v>0.74309580634162975</v>
      </c>
      <c r="DM50" s="2209">
        <f t="shared" si="177"/>
        <v>0.850828729281768</v>
      </c>
      <c r="DN50" s="2207">
        <f t="shared" si="177"/>
        <v>0.70384912844309599</v>
      </c>
      <c r="DO50" s="2207">
        <f t="shared" ref="DO50:DP50" si="178">+DO47/DO25</f>
        <v>0.68126157338271309</v>
      </c>
      <c r="DP50" s="2207">
        <f t="shared" si="178"/>
        <v>0.72926156796931196</v>
      </c>
      <c r="DQ50" s="2209">
        <f t="shared" ref="DQ50" si="179">+DQ47/DQ25</f>
        <v>0.90217790285085031</v>
      </c>
      <c r="DR50" s="2208">
        <f t="shared" ref="DR50" si="180">+DR47/DR25</f>
        <v>0.72658131575611606</v>
      </c>
      <c r="DS50" s="2207">
        <f t="shared" ref="DS50:DT50" si="181">+DS47/DS25</f>
        <v>0.73774164639610806</v>
      </c>
      <c r="DT50" s="2207">
        <f t="shared" si="181"/>
        <v>0.73297140332049748</v>
      </c>
      <c r="DU50" s="2209">
        <f t="shared" ref="DU50" si="182">+DU47/DU25</f>
        <v>0.90107052896725437</v>
      </c>
      <c r="DV50" s="2207">
        <f t="shared" ref="DV50" si="183">+DV47/DV25</f>
        <v>0.74165692767173097</v>
      </c>
      <c r="DW50" s="2207">
        <f t="shared" ref="DW50:DY50" ca="1" si="184">+DW47/DW25</f>
        <v>0.73518618479277698</v>
      </c>
      <c r="DX50" s="2207">
        <f t="shared" ca="1" si="184"/>
        <v>0.73119343736790365</v>
      </c>
      <c r="DY50" s="2209">
        <f t="shared" ca="1" si="184"/>
        <v>0.89207982293428356</v>
      </c>
    </row>
    <row r="51" spans="1:129" s="1491" customFormat="1" outlineLevel="1">
      <c r="A51" s="2211"/>
      <c r="B51" s="1903"/>
      <c r="C51" s="1903"/>
      <c r="D51" s="2200"/>
      <c r="E51" s="1903"/>
      <c r="F51" s="1903"/>
      <c r="G51" s="1903"/>
      <c r="H51" s="1903"/>
      <c r="I51" s="1903"/>
      <c r="J51" s="1903"/>
      <c r="K51" s="1903"/>
      <c r="L51" s="1903"/>
      <c r="M51" s="1903"/>
      <c r="N51" s="1903"/>
      <c r="O51" s="1903"/>
      <c r="P51" s="1903"/>
      <c r="Q51" s="1903"/>
      <c r="R51" s="1903"/>
      <c r="S51" s="1903"/>
      <c r="T51" s="1903"/>
      <c r="U51" s="1903"/>
      <c r="V51" s="1903"/>
      <c r="W51" s="1903"/>
      <c r="X51" s="1903"/>
      <c r="Y51" s="1903"/>
      <c r="Z51" s="1903"/>
      <c r="AA51" s="1903"/>
      <c r="AB51" s="1903"/>
      <c r="AC51" s="1903"/>
      <c r="AD51" s="1903"/>
      <c r="AE51" s="1903"/>
      <c r="AF51" s="1903"/>
      <c r="AG51" s="1903"/>
      <c r="AH51" s="2201"/>
      <c r="AI51" s="1927"/>
      <c r="AJ51" s="1561"/>
      <c r="AK51" s="2200"/>
      <c r="AL51" s="2200"/>
      <c r="AM51" s="1903"/>
      <c r="AN51" s="2200"/>
      <c r="AO51" s="1903"/>
      <c r="AP51" s="2202"/>
      <c r="AQ51" s="2200"/>
      <c r="AR51" s="2200"/>
      <c r="AS51" s="2200"/>
      <c r="AT51" s="2202"/>
      <c r="AU51" s="2200"/>
      <c r="AV51" s="2200"/>
      <c r="AW51" s="2200"/>
      <c r="AX51" s="1942"/>
      <c r="AY51" s="1903"/>
      <c r="AZ51" s="1903"/>
      <c r="BA51" s="1903"/>
      <c r="BB51" s="1942"/>
      <c r="BC51" s="1903"/>
      <c r="BD51" s="1903"/>
      <c r="BE51" s="1903"/>
      <c r="BF51" s="1942"/>
      <c r="BG51" s="1903"/>
      <c r="BH51" s="1903"/>
      <c r="BI51" s="1903"/>
      <c r="BJ51" s="1942"/>
      <c r="BK51" s="1903"/>
      <c r="BL51" s="1903"/>
      <c r="BM51" s="1903"/>
      <c r="BN51" s="1942"/>
      <c r="BO51" s="1903"/>
      <c r="BP51" s="1903"/>
      <c r="BQ51" s="1903"/>
      <c r="BR51" s="1942"/>
      <c r="BS51" s="1903"/>
      <c r="BT51" s="1903"/>
      <c r="BU51" s="1903"/>
      <c r="BV51" s="1942"/>
      <c r="BW51" s="1903"/>
      <c r="BX51" s="1903"/>
      <c r="BY51" s="1903"/>
      <c r="BZ51" s="1942"/>
      <c r="CA51" s="1903"/>
      <c r="CB51" s="1903"/>
      <c r="CC51" s="1903"/>
      <c r="CD51" s="1942"/>
      <c r="CE51" s="1903"/>
      <c r="CF51" s="1903"/>
      <c r="CG51" s="1903"/>
      <c r="CH51" s="1942"/>
      <c r="CI51" s="1903"/>
      <c r="CJ51" s="1903"/>
      <c r="CK51" s="1903"/>
      <c r="CL51" s="1942"/>
      <c r="CM51" s="1903"/>
      <c r="CN51" s="1903"/>
      <c r="CO51" s="1903"/>
      <c r="CP51" s="1942"/>
      <c r="CQ51" s="1903"/>
      <c r="CR51" s="1903"/>
      <c r="CS51" s="1903"/>
      <c r="CT51" s="1942"/>
      <c r="CU51" s="1903"/>
      <c r="CV51" s="1903"/>
      <c r="CW51" s="1903"/>
      <c r="CX51" s="1942"/>
      <c r="CY51" s="1903"/>
      <c r="CZ51" s="1903"/>
      <c r="DA51" s="1903"/>
      <c r="DB51" s="1942"/>
      <c r="DC51" s="1903"/>
      <c r="DD51" s="1903"/>
      <c r="DE51" s="1903"/>
      <c r="DF51" s="1942"/>
      <c r="DG51" s="1903"/>
      <c r="DH51" s="1903"/>
      <c r="DI51" s="2236"/>
      <c r="DJ51" s="1942"/>
      <c r="DK51" s="1903"/>
      <c r="DL51" s="1903"/>
      <c r="DM51" s="2236"/>
      <c r="DN51" s="1903"/>
      <c r="DO51" s="1903"/>
      <c r="DP51" s="1903"/>
      <c r="DQ51" s="2236"/>
      <c r="DR51" s="1942"/>
      <c r="DS51" s="1903"/>
      <c r="DT51" s="1903"/>
      <c r="DU51" s="2236"/>
      <c r="DV51" s="1903"/>
      <c r="DW51" s="1903"/>
      <c r="DX51" s="1903"/>
      <c r="DY51" s="2236"/>
    </row>
    <row r="52" spans="1:129" s="1491" customFormat="1" outlineLevel="1">
      <c r="A52" s="2245" t="s">
        <v>965</v>
      </c>
      <c r="B52" s="2246"/>
      <c r="C52" s="2205"/>
      <c r="D52" s="1992"/>
      <c r="E52" s="1992">
        <f>NormInputs!E268</f>
        <v>839</v>
      </c>
      <c r="F52" s="1992">
        <f>NormInputs!F268</f>
        <v>959</v>
      </c>
      <c r="G52" s="1992">
        <f>SUM(AX52:BA52)</f>
        <v>3212</v>
      </c>
      <c r="H52" s="1992">
        <f>SUM(BB52:BE52)</f>
        <v>3394</v>
      </c>
      <c r="I52" s="1992">
        <f>SUM(BF52:BI52)</f>
        <v>3709</v>
      </c>
      <c r="J52" s="1992">
        <f>SUM(BJ52:BM52)</f>
        <v>3293</v>
      </c>
      <c r="K52" s="1992">
        <f>SUM(BN52:BQ52)</f>
        <v>3888</v>
      </c>
      <c r="L52" s="1992">
        <f>SUM(BR52:BU52)</f>
        <v>4486</v>
      </c>
      <c r="M52" s="1992">
        <f>SUM(BV52:BY52)</f>
        <v>4760</v>
      </c>
      <c r="N52" s="1992">
        <f>N58+N55</f>
        <v>4913</v>
      </c>
      <c r="O52" s="1992">
        <f>O58+O55</f>
        <v>5154</v>
      </c>
      <c r="P52" s="1992">
        <f>+SUM(CH52:CK52)</f>
        <v>6555.476339925759</v>
      </c>
      <c r="Q52" s="1992">
        <f>+SUM(CL52:CO52)</f>
        <v>7030</v>
      </c>
      <c r="R52" s="1992">
        <f>+SUM(CP52:CS52)</f>
        <v>7356</v>
      </c>
      <c r="S52" s="1992">
        <f>+SUM(CT52:CW52)</f>
        <v>7962</v>
      </c>
      <c r="T52" s="1992">
        <f>+SUM(CX52:DA52)</f>
        <v>7960</v>
      </c>
      <c r="U52" s="1992">
        <f>+SUM(DB52:DE52)</f>
        <v>8202</v>
      </c>
      <c r="V52" s="1992">
        <f>+SUM(DF52:DI52)</f>
        <v>8459</v>
      </c>
      <c r="W52" s="1992">
        <f>+SUM(DJ52:DM52)</f>
        <v>8980</v>
      </c>
      <c r="X52" s="1992">
        <f>+SUM(DN52:DQ52)</f>
        <v>9183</v>
      </c>
      <c r="Y52" s="1992">
        <f>+SUM(DR52:DU52)</f>
        <v>9395</v>
      </c>
      <c r="Z52" s="1992">
        <f ca="1">+SUM(DV52:DY52)</f>
        <v>9918.511788103302</v>
      </c>
      <c r="AA52" s="1992">
        <f ca="1">AA58+AA55</f>
        <v>10004.15730935504</v>
      </c>
      <c r="AB52" s="1992">
        <f ca="1">AB58+AB55</f>
        <v>10045.599786320787</v>
      </c>
      <c r="AC52" s="1992">
        <f t="shared" ref="AC52:AG52" ca="1" si="185">AC58+AC55</f>
        <v>10088.841021724978</v>
      </c>
      <c r="AD52" s="1992">
        <f t="shared" ca="1" si="185"/>
        <v>10134.19812958184</v>
      </c>
      <c r="AE52" s="1992">
        <f t="shared" ca="1" si="185"/>
        <v>10181.967444224525</v>
      </c>
      <c r="AF52" s="1992">
        <f t="shared" ca="1" si="185"/>
        <v>10232.486725971457</v>
      </c>
      <c r="AG52" s="1992">
        <f t="shared" ca="1" si="185"/>
        <v>10312.724165068708</v>
      </c>
      <c r="AH52" s="2201"/>
      <c r="AI52" s="2125"/>
      <c r="AJ52" s="1561"/>
      <c r="AK52" s="1992"/>
      <c r="AL52" s="1992"/>
      <c r="AM52" s="1903"/>
      <c r="AN52" s="1992"/>
      <c r="AO52" s="1992"/>
      <c r="AP52" s="1993">
        <f>NormInputs!AF268</f>
        <v>193</v>
      </c>
      <c r="AQ52" s="1992">
        <f>NormInputs!AG268</f>
        <v>207</v>
      </c>
      <c r="AR52" s="1992">
        <f>NormInputs!AH268</f>
        <v>219</v>
      </c>
      <c r="AS52" s="1992">
        <f>NormInputs!AI268</f>
        <v>220</v>
      </c>
      <c r="AT52" s="1993">
        <f>NormInputs!AJ268</f>
        <v>228</v>
      </c>
      <c r="AU52" s="1992">
        <f>NormInputs!AK268</f>
        <v>237</v>
      </c>
      <c r="AV52" s="1992">
        <f>NormInputs!AL268</f>
        <v>246</v>
      </c>
      <c r="AW52" s="1992">
        <f>NormInputs!AM268</f>
        <v>248</v>
      </c>
      <c r="AX52" s="1993">
        <f>NormInputs!AN268</f>
        <v>818</v>
      </c>
      <c r="AY52" s="1992">
        <f>NormInputs!AO268</f>
        <v>827</v>
      </c>
      <c r="AZ52" s="1992">
        <f>NormInputs!AP268</f>
        <v>789</v>
      </c>
      <c r="BA52" s="1992">
        <f>NormInputs!AQ268</f>
        <v>778</v>
      </c>
      <c r="BB52" s="1993">
        <f>NormInputs!AR268</f>
        <v>822</v>
      </c>
      <c r="BC52" s="1992">
        <f>NormInputs!AS268</f>
        <v>877</v>
      </c>
      <c r="BD52" s="1992">
        <f>NormInputs!AT268</f>
        <v>879</v>
      </c>
      <c r="BE52" s="1992">
        <f>NormInputs!AU268</f>
        <v>816</v>
      </c>
      <c r="BF52" s="1993">
        <f>NormInputs!AV268</f>
        <v>919</v>
      </c>
      <c r="BG52" s="1992">
        <f>NormInputs!AW268</f>
        <v>887</v>
      </c>
      <c r="BH52" s="1992">
        <f>NormInputs!AX268</f>
        <v>943</v>
      </c>
      <c r="BI52" s="1992">
        <f>NormInputs!AY268</f>
        <v>960</v>
      </c>
      <c r="BJ52" s="1993">
        <f>NormInputs!AZ268</f>
        <v>781</v>
      </c>
      <c r="BK52" s="1992">
        <f>NormInputs!BA268</f>
        <v>785</v>
      </c>
      <c r="BL52" s="1992">
        <f>NormInputs!BB268</f>
        <v>828</v>
      </c>
      <c r="BM52" s="1992">
        <f>NormInputs!BC268</f>
        <v>899</v>
      </c>
      <c r="BN52" s="1993">
        <f>NormInputs!BD268</f>
        <v>907</v>
      </c>
      <c r="BO52" s="1992">
        <f>NormInputs!BE268</f>
        <v>956</v>
      </c>
      <c r="BP52" s="1992">
        <f>NormInputs!BF268</f>
        <v>1000</v>
      </c>
      <c r="BQ52" s="1992">
        <f>NormInputs!BG268</f>
        <v>1025</v>
      </c>
      <c r="BR52" s="1993">
        <f>NormInputs!BH268</f>
        <v>1055</v>
      </c>
      <c r="BS52" s="1992">
        <f>NormInputs!BI268</f>
        <v>1103</v>
      </c>
      <c r="BT52" s="1992">
        <f>NormInputs!BJ268</f>
        <v>1147</v>
      </c>
      <c r="BU52" s="1992">
        <f>NormInputs!BK268</f>
        <v>1181</v>
      </c>
      <c r="BV52" s="1993">
        <f>NormInputs!BL268</f>
        <v>1150</v>
      </c>
      <c r="BW52" s="1992">
        <f>NormInputs!BM268</f>
        <v>1175</v>
      </c>
      <c r="BX52" s="1992">
        <f>NormInputs!BN268</f>
        <v>1199</v>
      </c>
      <c r="BY52" s="1992">
        <f>NormInputs!BO268</f>
        <v>1236</v>
      </c>
      <c r="BZ52" s="1993">
        <f>NormInputs!BP268</f>
        <v>1274</v>
      </c>
      <c r="CA52" s="1992">
        <f>NormInputs!BQ268</f>
        <v>1190</v>
      </c>
      <c r="CB52" s="1992">
        <f>NormInputs!BR268</f>
        <v>1220</v>
      </c>
      <c r="CC52" s="1992">
        <f>NormInputs!BS268</f>
        <v>1229</v>
      </c>
      <c r="CD52" s="1993">
        <f>NormInputs!BT268</f>
        <v>1256</v>
      </c>
      <c r="CE52" s="1992">
        <f>NormInputs!BU268</f>
        <v>1293</v>
      </c>
      <c r="CF52" s="1992">
        <f>NormInputs!BV268</f>
        <v>1299</v>
      </c>
      <c r="CG52" s="1992">
        <f>NormInputs!BW268</f>
        <v>1306</v>
      </c>
      <c r="CH52" s="2247">
        <f>+CH78-CH65</f>
        <v>1591.0496453900714</v>
      </c>
      <c r="CI52" s="2248">
        <f>+CI78-CI65</f>
        <v>1606.6854034451494</v>
      </c>
      <c r="CJ52" s="2248">
        <f>+CJ78-CJ65</f>
        <v>1657.4141689373296</v>
      </c>
      <c r="CK52" s="2248">
        <f>+CK78-CK65</f>
        <v>1700.3271221532086</v>
      </c>
      <c r="CL52" s="1993">
        <f>NormInputs!CB268</f>
        <v>1749</v>
      </c>
      <c r="CM52" s="1992">
        <f>NormInputs!CC268</f>
        <v>1727</v>
      </c>
      <c r="CN52" s="1992">
        <f>NormInputs!CD268</f>
        <v>1758</v>
      </c>
      <c r="CO52" s="1992">
        <f>NormInputs!CE268</f>
        <v>1796</v>
      </c>
      <c r="CP52" s="1993">
        <f>NormInputs!CF268</f>
        <v>1812</v>
      </c>
      <c r="CQ52" s="1992">
        <f>NormInputs!CG268</f>
        <v>1827</v>
      </c>
      <c r="CR52" s="1992">
        <f>NormInputs!CH268</f>
        <v>1836</v>
      </c>
      <c r="CS52" s="1992">
        <f>NormInputs!CI268</f>
        <v>1881</v>
      </c>
      <c r="CT52" s="1993">
        <f>NormInputs!CJ268</f>
        <v>1899</v>
      </c>
      <c r="CU52" s="1992">
        <f>NormInputs!CK268</f>
        <v>1978</v>
      </c>
      <c r="CV52" s="1992">
        <f>NormInputs!CL268</f>
        <v>2040</v>
      </c>
      <c r="CW52" s="1992">
        <f>NormInputs!CM268</f>
        <v>2045</v>
      </c>
      <c r="CX52" s="1993">
        <f>NormInputs!CN268</f>
        <v>1918</v>
      </c>
      <c r="CY52" s="1992">
        <f>NormInputs!CO268</f>
        <v>2011</v>
      </c>
      <c r="CZ52" s="1992">
        <f>NormInputs!CP268</f>
        <v>2037</v>
      </c>
      <c r="DA52" s="1992">
        <f>NormInputs!CQ268</f>
        <v>1994</v>
      </c>
      <c r="DB52" s="1993">
        <f>NormInputs!CR268</f>
        <v>2006</v>
      </c>
      <c r="DC52" s="1992">
        <f>NormInputs!CS268</f>
        <v>2047</v>
      </c>
      <c r="DD52" s="1992">
        <f>NormInputs!CT268</f>
        <v>2060</v>
      </c>
      <c r="DE52" s="1992">
        <f>NormInputs!CU268</f>
        <v>2089</v>
      </c>
      <c r="DF52" s="1993">
        <f>NormInputs!CV268</f>
        <v>2061</v>
      </c>
      <c r="DG52" s="1992">
        <f>NormInputs!CW268</f>
        <v>2107</v>
      </c>
      <c r="DH52" s="1992">
        <f>NormInputs!CX268</f>
        <v>2139</v>
      </c>
      <c r="DI52" s="1998">
        <f>NormInputs!CY268</f>
        <v>2152</v>
      </c>
      <c r="DJ52" s="2507">
        <f>NormInputs!CZ268</f>
        <v>2190</v>
      </c>
      <c r="DK52" s="2508">
        <f>NormInputs!DA268</f>
        <v>2225</v>
      </c>
      <c r="DL52" s="2508">
        <f>NormInputs!DB268</f>
        <v>2260</v>
      </c>
      <c r="DM52" s="2509">
        <f>NormInputs!DC268</f>
        <v>2305</v>
      </c>
      <c r="DN52" s="2508">
        <f>NormInputs!DD268</f>
        <v>2293</v>
      </c>
      <c r="DO52" s="2508">
        <f>NormInputs!DE268</f>
        <v>2282</v>
      </c>
      <c r="DP52" s="2508">
        <f>NormInputs!DF268</f>
        <v>2287</v>
      </c>
      <c r="DQ52" s="2509">
        <f>NormInputs!DG268</f>
        <v>2321</v>
      </c>
      <c r="DR52" s="2507">
        <f>NormInputs!DH268</f>
        <v>2338</v>
      </c>
      <c r="DS52" s="2508">
        <f>NormInputs!DI268</f>
        <v>2347</v>
      </c>
      <c r="DT52" s="2508">
        <f>NormInputs!DJ268</f>
        <v>2366</v>
      </c>
      <c r="DU52" s="2509">
        <f>NormInputs!DK268</f>
        <v>2344</v>
      </c>
      <c r="DV52" s="2508">
        <f>NormInputs!DL268</f>
        <v>2428</v>
      </c>
      <c r="DW52" s="1992">
        <f t="shared" ref="DW52:DY52" ca="1" si="186">DW58+DW55</f>
        <v>2458.5124979280499</v>
      </c>
      <c r="DX52" s="1992">
        <f t="shared" ca="1" si="186"/>
        <v>2496.3270951726568</v>
      </c>
      <c r="DY52" s="1998">
        <f t="shared" ca="1" si="186"/>
        <v>2535.6721950025953</v>
      </c>
    </row>
    <row r="53" spans="1:129" s="1491" customFormat="1" outlineLevel="1">
      <c r="A53" s="2206" t="s">
        <v>991</v>
      </c>
      <c r="B53" s="2207"/>
      <c r="C53" s="2207"/>
      <c r="D53" s="2207"/>
      <c r="E53" s="2207"/>
      <c r="F53" s="2207">
        <f t="shared" ref="F53:AB53" si="187">F52/E52-1</f>
        <v>0.1430274135876044</v>
      </c>
      <c r="G53" s="2207">
        <f t="shared" si="187"/>
        <v>2.3493222106360792</v>
      </c>
      <c r="H53" s="2207">
        <f t="shared" si="187"/>
        <v>5.666251556662516E-2</v>
      </c>
      <c r="I53" s="2207">
        <f t="shared" si="187"/>
        <v>9.2810842663523907E-2</v>
      </c>
      <c r="J53" s="2207">
        <f t="shared" si="187"/>
        <v>-0.11215961175519007</v>
      </c>
      <c r="K53" s="2207">
        <f t="shared" si="187"/>
        <v>0.18068630428180987</v>
      </c>
      <c r="L53" s="2207">
        <f t="shared" si="187"/>
        <v>0.1538065843621399</v>
      </c>
      <c r="M53" s="2207">
        <f t="shared" si="187"/>
        <v>6.1078912171199207E-2</v>
      </c>
      <c r="N53" s="2207">
        <f t="shared" si="187"/>
        <v>3.2142857142857251E-2</v>
      </c>
      <c r="O53" s="2207">
        <f t="shared" si="187"/>
        <v>4.9053531447180942E-2</v>
      </c>
      <c r="P53" s="2207">
        <f t="shared" si="187"/>
        <v>0.27192012804147447</v>
      </c>
      <c r="Q53" s="2207">
        <f t="shared" si="187"/>
        <v>7.2385839787748374E-2</v>
      </c>
      <c r="R53" s="2207">
        <f t="shared" si="187"/>
        <v>4.6372688477951618E-2</v>
      </c>
      <c r="S53" s="2207">
        <f t="shared" si="187"/>
        <v>8.2381729200652565E-2</v>
      </c>
      <c r="T53" s="2207">
        <f t="shared" si="187"/>
        <v>-2.5119316754584897E-4</v>
      </c>
      <c r="U53" s="2207">
        <f t="shared" si="187"/>
        <v>3.0402010050251338E-2</v>
      </c>
      <c r="V53" s="2207">
        <f t="shared" si="187"/>
        <v>3.1333821019263519E-2</v>
      </c>
      <c r="W53" s="2207">
        <f>W52/V52-1</f>
        <v>6.1591204634117602E-2</v>
      </c>
      <c r="X53" s="2207">
        <f>X52/W52-1</f>
        <v>2.2605790645879642E-2</v>
      </c>
      <c r="Y53" s="2207">
        <f>Y52/X52-1</f>
        <v>2.3086137427855924E-2</v>
      </c>
      <c r="Z53" s="2207">
        <f ca="1">Z52/Y52-1</f>
        <v>5.5722382980660123E-2</v>
      </c>
      <c r="AA53" s="2207">
        <f t="shared" ca="1" si="187"/>
        <v>8.6349165158492447E-3</v>
      </c>
      <c r="AB53" s="2207">
        <f t="shared" ca="1" si="187"/>
        <v>4.1425255205647105E-3</v>
      </c>
      <c r="AC53" s="2207">
        <f t="shared" ref="AC53" ca="1" si="188">AC52/AB52-1</f>
        <v>4.3044951345836413E-3</v>
      </c>
      <c r="AD53" s="2207">
        <f t="shared" ref="AD53" ca="1" si="189">AD52/AC52-1</f>
        <v>4.4957699064929191E-3</v>
      </c>
      <c r="AE53" s="2207">
        <f t="shared" ref="AE53" ca="1" si="190">AE52/AD52-1</f>
        <v>4.713674829708081E-3</v>
      </c>
      <c r="AF53" s="2207">
        <f t="shared" ref="AF53" ca="1" si="191">AF52/AE52-1</f>
        <v>4.9616424353811084E-3</v>
      </c>
      <c r="AG53" s="2207">
        <f t="shared" ref="AG53" ca="1" si="192">AG52/AF52-1</f>
        <v>7.8414408194245055E-3</v>
      </c>
      <c r="AH53" s="2201"/>
      <c r="AI53" s="1927"/>
      <c r="AJ53" s="1561"/>
      <c r="AK53" s="2207"/>
      <c r="AL53" s="2207"/>
      <c r="AM53" s="2207"/>
      <c r="AN53" s="2207"/>
      <c r="AO53" s="2207"/>
      <c r="AP53" s="2208"/>
      <c r="AQ53" s="2207"/>
      <c r="AR53" s="2207"/>
      <c r="AS53" s="2207"/>
      <c r="AT53" s="2208"/>
      <c r="AU53" s="2207"/>
      <c r="AV53" s="2207"/>
      <c r="AW53" s="2207"/>
      <c r="AX53" s="2208"/>
      <c r="AY53" s="2207"/>
      <c r="AZ53" s="2207"/>
      <c r="BA53" s="2207"/>
      <c r="BB53" s="2208">
        <f t="shared" ref="BB53:CG53" si="193">BB52/AX52-1</f>
        <v>4.8899755501221609E-3</v>
      </c>
      <c r="BC53" s="2207">
        <f t="shared" si="193"/>
        <v>6.0459492140265914E-2</v>
      </c>
      <c r="BD53" s="2207">
        <f t="shared" si="193"/>
        <v>0.11406844106463887</v>
      </c>
      <c r="BE53" s="2207">
        <f t="shared" si="193"/>
        <v>4.8843187660668308E-2</v>
      </c>
      <c r="BF53" s="2208">
        <f t="shared" si="193"/>
        <v>0.11800486618004857</v>
      </c>
      <c r="BG53" s="2207">
        <f t="shared" si="193"/>
        <v>1.1402508551881407E-2</v>
      </c>
      <c r="BH53" s="2207">
        <f t="shared" si="193"/>
        <v>7.2810011376564177E-2</v>
      </c>
      <c r="BI53" s="2207">
        <f t="shared" si="193"/>
        <v>0.17647058823529416</v>
      </c>
      <c r="BJ53" s="2208">
        <f t="shared" si="193"/>
        <v>-0.15016322089227419</v>
      </c>
      <c r="BK53" s="2207">
        <f t="shared" si="193"/>
        <v>-0.11499436302142052</v>
      </c>
      <c r="BL53" s="2207">
        <f t="shared" si="193"/>
        <v>-0.12195121951219512</v>
      </c>
      <c r="BM53" s="2207">
        <f t="shared" si="193"/>
        <v>-6.3541666666666718E-2</v>
      </c>
      <c r="BN53" s="2208">
        <f t="shared" si="193"/>
        <v>0.16133162612035856</v>
      </c>
      <c r="BO53" s="2207">
        <f t="shared" si="193"/>
        <v>0.21783439490445855</v>
      </c>
      <c r="BP53" s="2207">
        <f t="shared" si="193"/>
        <v>0.20772946859903385</v>
      </c>
      <c r="BQ53" s="2207">
        <f t="shared" si="193"/>
        <v>0.14015572858731917</v>
      </c>
      <c r="BR53" s="2208">
        <f t="shared" si="193"/>
        <v>0.16317530319735396</v>
      </c>
      <c r="BS53" s="2207">
        <f t="shared" si="193"/>
        <v>0.15376569037656895</v>
      </c>
      <c r="BT53" s="2207">
        <f t="shared" si="193"/>
        <v>0.14700000000000002</v>
      </c>
      <c r="BU53" s="2207">
        <f t="shared" si="193"/>
        <v>0.15219512195121943</v>
      </c>
      <c r="BV53" s="2208">
        <f t="shared" si="193"/>
        <v>9.004739336492884E-2</v>
      </c>
      <c r="BW53" s="2207">
        <f t="shared" si="193"/>
        <v>6.5276518585675403E-2</v>
      </c>
      <c r="BX53" s="2207">
        <f t="shared" si="193"/>
        <v>4.5335658238883969E-2</v>
      </c>
      <c r="BY53" s="2207">
        <f t="shared" si="193"/>
        <v>4.6570702794242136E-2</v>
      </c>
      <c r="BZ53" s="2208">
        <f t="shared" si="193"/>
        <v>0.10782608695652174</v>
      </c>
      <c r="CA53" s="2207">
        <f t="shared" si="193"/>
        <v>1.2765957446808418E-2</v>
      </c>
      <c r="CB53" s="2207">
        <f t="shared" si="193"/>
        <v>1.7514595496246788E-2</v>
      </c>
      <c r="CC53" s="2207">
        <f t="shared" si="193"/>
        <v>-5.6634304207119346E-3</v>
      </c>
      <c r="CD53" s="2208">
        <f t="shared" si="193"/>
        <v>-1.4128728414442682E-2</v>
      </c>
      <c r="CE53" s="2207">
        <f t="shared" si="193"/>
        <v>8.655462184873941E-2</v>
      </c>
      <c r="CF53" s="2207">
        <f t="shared" si="193"/>
        <v>6.4754098360655821E-2</v>
      </c>
      <c r="CG53" s="2207">
        <f t="shared" si="193"/>
        <v>6.2652563059397925E-2</v>
      </c>
      <c r="CH53" s="2229" t="s">
        <v>1149</v>
      </c>
      <c r="CI53" s="1986" t="s">
        <v>1149</v>
      </c>
      <c r="CJ53" s="1986" t="s">
        <v>1149</v>
      </c>
      <c r="CK53" s="1986" t="s">
        <v>1149</v>
      </c>
      <c r="CL53" s="2208">
        <f t="shared" ref="CL53:DV53" si="194">CL52/CH52-1</f>
        <v>9.9274309301143449E-2</v>
      </c>
      <c r="CM53" s="2207">
        <f t="shared" si="194"/>
        <v>7.4883730378619839E-2</v>
      </c>
      <c r="CN53" s="2207">
        <f t="shared" si="194"/>
        <v>6.0688410264504E-2</v>
      </c>
      <c r="CO53" s="2207">
        <f t="shared" si="194"/>
        <v>5.6267336208597252E-2</v>
      </c>
      <c r="CP53" s="2208">
        <f t="shared" si="194"/>
        <v>3.6020583190394584E-2</v>
      </c>
      <c r="CQ53" s="2207">
        <f t="shared" si="194"/>
        <v>5.7903879559930482E-2</v>
      </c>
      <c r="CR53" s="2207">
        <f t="shared" si="194"/>
        <v>4.4368600682593851E-2</v>
      </c>
      <c r="CS53" s="2207">
        <f t="shared" si="194"/>
        <v>4.7327394209354168E-2</v>
      </c>
      <c r="CT53" s="2208">
        <f t="shared" si="194"/>
        <v>4.801324503311255E-2</v>
      </c>
      <c r="CU53" s="2207">
        <f t="shared" si="194"/>
        <v>8.2649151614668792E-2</v>
      </c>
      <c r="CV53" s="2207">
        <f t="shared" si="194"/>
        <v>0.11111111111111116</v>
      </c>
      <c r="CW53" s="2207">
        <f t="shared" si="194"/>
        <v>8.7187666135034592E-2</v>
      </c>
      <c r="CX53" s="2208">
        <f t="shared" si="194"/>
        <v>1.0005265929436513E-2</v>
      </c>
      <c r="CY53" s="2207">
        <f t="shared" si="194"/>
        <v>1.6683518705763456E-2</v>
      </c>
      <c r="CZ53" s="2207">
        <f t="shared" si="194"/>
        <v>-1.4705882352941124E-3</v>
      </c>
      <c r="DA53" s="2207">
        <f t="shared" si="194"/>
        <v>-2.4938875305623442E-2</v>
      </c>
      <c r="DB53" s="2208">
        <f t="shared" si="194"/>
        <v>4.588112617309692E-2</v>
      </c>
      <c r="DC53" s="2207">
        <f t="shared" si="194"/>
        <v>1.7901541521631037E-2</v>
      </c>
      <c r="DD53" s="2207">
        <f t="shared" si="194"/>
        <v>1.1291114383897849E-2</v>
      </c>
      <c r="DE53" s="2207">
        <f t="shared" si="194"/>
        <v>4.7642928786359118E-2</v>
      </c>
      <c r="DF53" s="2208">
        <f t="shared" si="194"/>
        <v>2.7417746759720751E-2</v>
      </c>
      <c r="DG53" s="2207">
        <f t="shared" si="194"/>
        <v>2.9311187103077785E-2</v>
      </c>
      <c r="DH53" s="2207">
        <f t="shared" si="194"/>
        <v>3.8349514563106757E-2</v>
      </c>
      <c r="DI53" s="2209">
        <f t="shared" si="194"/>
        <v>3.0157970320727534E-2</v>
      </c>
      <c r="DJ53" s="2208">
        <f t="shared" si="194"/>
        <v>6.2590975254730674E-2</v>
      </c>
      <c r="DK53" s="2207">
        <f t="shared" si="194"/>
        <v>5.6003796867584166E-2</v>
      </c>
      <c r="DL53" s="2207">
        <f t="shared" si="194"/>
        <v>5.6568489948574108E-2</v>
      </c>
      <c r="DM53" s="2209">
        <f t="shared" si="194"/>
        <v>7.1096654275093041E-2</v>
      </c>
      <c r="DN53" s="2207">
        <f t="shared" si="194"/>
        <v>4.7031963470319571E-2</v>
      </c>
      <c r="DO53" s="2207">
        <f t="shared" si="194"/>
        <v>2.5617977528089808E-2</v>
      </c>
      <c r="DP53" s="2207">
        <f t="shared" si="194"/>
        <v>1.1946902654867309E-2</v>
      </c>
      <c r="DQ53" s="2209">
        <f t="shared" si="194"/>
        <v>6.94143167028205E-3</v>
      </c>
      <c r="DR53" s="2208">
        <f t="shared" si="194"/>
        <v>1.9624945486262479E-2</v>
      </c>
      <c r="DS53" s="2207">
        <f t="shared" si="194"/>
        <v>2.8483786152497803E-2</v>
      </c>
      <c r="DT53" s="2207">
        <f t="shared" si="194"/>
        <v>3.4543069523393033E-2</v>
      </c>
      <c r="DU53" s="2209">
        <f t="shared" si="194"/>
        <v>9.9095217578630823E-3</v>
      </c>
      <c r="DV53" s="2207">
        <f t="shared" si="194"/>
        <v>3.849443969204458E-2</v>
      </c>
      <c r="DW53" s="2207">
        <f t="shared" ref="DW53" ca="1" si="195">DW52/DS52-1</f>
        <v>4.7512781392437198E-2</v>
      </c>
      <c r="DX53" s="2207">
        <f t="shared" ref="DX53" ca="1" si="196">DX52/DT52-1</f>
        <v>5.5083303116084892E-2</v>
      </c>
      <c r="DY53" s="2209">
        <f t="shared" ref="DY53" ca="1" si="197">DY52/DU52-1</f>
        <v>8.1771414250253915E-2</v>
      </c>
    </row>
    <row r="54" spans="1:129" s="1491" customFormat="1" outlineLevel="1">
      <c r="A54" s="2206" t="s">
        <v>1454</v>
      </c>
      <c r="B54" s="2207"/>
      <c r="C54" s="2207"/>
      <c r="D54" s="2207"/>
      <c r="E54" s="2207">
        <f t="shared" ref="E54:P54" si="198">E52/E$14</f>
        <v>0.13582645297069776</v>
      </c>
      <c r="F54" s="2207">
        <f t="shared" si="198"/>
        <v>0.144167167769092</v>
      </c>
      <c r="G54" s="2207">
        <f t="shared" si="198"/>
        <v>0.2406713622059044</v>
      </c>
      <c r="H54" s="2207">
        <f t="shared" si="198"/>
        <v>0.21865738951166086</v>
      </c>
      <c r="I54" s="2207">
        <f t="shared" si="198"/>
        <v>0.21324670844592652</v>
      </c>
      <c r="J54" s="2207">
        <f t="shared" si="198"/>
        <v>0.16910594156010886</v>
      </c>
      <c r="K54" s="2207">
        <f t="shared" si="198"/>
        <v>0.17288452132153498</v>
      </c>
      <c r="L54" s="2207">
        <f t="shared" si="198"/>
        <v>0.1621719326151399</v>
      </c>
      <c r="M54" s="2207">
        <f t="shared" si="198"/>
        <v>0.14736385870406488</v>
      </c>
      <c r="N54" s="2207">
        <f t="shared" si="198"/>
        <v>0.11198276691661184</v>
      </c>
      <c r="O54" s="2207">
        <f t="shared" si="198"/>
        <v>0.10172440029676526</v>
      </c>
      <c r="P54" s="2207">
        <f t="shared" si="198"/>
        <v>0.13288486864359358</v>
      </c>
      <c r="Q54" s="2207">
        <f t="shared" ref="Q54:V54" si="199">Q52/Q$31</f>
        <v>0.11653543307086614</v>
      </c>
      <c r="R54" s="2207">
        <f t="shared" si="199"/>
        <v>0.11601242764994402</v>
      </c>
      <c r="S54" s="2207">
        <f t="shared" si="199"/>
        <v>0.11349317216409613</v>
      </c>
      <c r="T54" s="2207">
        <f t="shared" si="199"/>
        <v>0.10491906996362102</v>
      </c>
      <c r="U54" s="2207">
        <f t="shared" si="199"/>
        <v>0.10123051479209608</v>
      </c>
      <c r="V54" s="2207">
        <f t="shared" si="199"/>
        <v>9.6513246468749286E-2</v>
      </c>
      <c r="W54" s="2207">
        <f t="shared" ref="W54:AB54" si="200">W52/W$31</f>
        <v>9.7949389179755667E-2</v>
      </c>
      <c r="X54" s="2207">
        <f t="shared" si="200"/>
        <v>0.10296459085506694</v>
      </c>
      <c r="Y54" s="2207">
        <f t="shared" si="200"/>
        <v>0.10735793214567312</v>
      </c>
      <c r="Z54" s="2207">
        <f t="shared" ca="1" si="200"/>
        <v>0.11144328832850579</v>
      </c>
      <c r="AA54" s="2207">
        <f t="shared" ca="1" si="200"/>
        <v>0.1120010488713286</v>
      </c>
      <c r="AB54" s="2207">
        <f t="shared" ca="1" si="200"/>
        <v>0.11141980431407786</v>
      </c>
      <c r="AC54" s="2207">
        <f t="shared" ref="AC54:AG54" ca="1" si="201">AC52/AC$31</f>
        <v>0.11081511243879394</v>
      </c>
      <c r="AD54" s="2207">
        <f t="shared" ca="1" si="201"/>
        <v>0.11019615956300045</v>
      </c>
      <c r="AE54" s="2207">
        <f t="shared" ca="1" si="201"/>
        <v>0.10955498538024847</v>
      </c>
      <c r="AF54" s="2207">
        <f t="shared" ca="1" si="201"/>
        <v>0.10887817323284983</v>
      </c>
      <c r="AG54" s="2207">
        <f t="shared" ca="1" si="201"/>
        <v>0.10843116059136262</v>
      </c>
      <c r="AH54" s="2201"/>
      <c r="AI54" s="1927"/>
      <c r="AJ54" s="1561"/>
      <c r="AK54" s="2207"/>
      <c r="AL54" s="2207"/>
      <c r="AM54" s="2207"/>
      <c r="AN54" s="2207"/>
      <c r="AO54" s="2207"/>
      <c r="AP54" s="2208"/>
      <c r="AQ54" s="2207"/>
      <c r="AR54" s="2207"/>
      <c r="AS54" s="2207"/>
      <c r="AT54" s="2208"/>
      <c r="AU54" s="2207"/>
      <c r="AV54" s="2207"/>
      <c r="AW54" s="2207"/>
      <c r="AX54" s="2208">
        <f t="shared" ref="AX54:CO54" si="202">AX52/AX$14</f>
        <v>0.26549821486530345</v>
      </c>
      <c r="AY54" s="2207">
        <f t="shared" si="202"/>
        <v>0.24879663056558363</v>
      </c>
      <c r="AZ54" s="2207">
        <f t="shared" si="202"/>
        <v>0.22936046511627908</v>
      </c>
      <c r="BA54" s="2207">
        <f t="shared" si="202"/>
        <v>0.22222222222222221</v>
      </c>
      <c r="BB54" s="2208">
        <f t="shared" si="202"/>
        <v>0.23826086956521739</v>
      </c>
      <c r="BC54" s="2207">
        <f t="shared" si="202"/>
        <v>0.22191295546558704</v>
      </c>
      <c r="BD54" s="2207">
        <f t="shared" si="202"/>
        <v>0.21778989098116946</v>
      </c>
      <c r="BE54" s="2207">
        <f t="shared" si="202"/>
        <v>0.19980411361410383</v>
      </c>
      <c r="BF54" s="2208">
        <f t="shared" si="202"/>
        <v>0.22713791398912506</v>
      </c>
      <c r="BG54" s="2207">
        <f t="shared" si="202"/>
        <v>0.2023728040155145</v>
      </c>
      <c r="BH54" s="2207">
        <f t="shared" si="202"/>
        <v>0.20858217208582172</v>
      </c>
      <c r="BI54" s="2207">
        <f t="shared" si="202"/>
        <v>0.21607022282241728</v>
      </c>
      <c r="BJ54" s="2208">
        <f t="shared" si="202"/>
        <v>0.1762979683972912</v>
      </c>
      <c r="BK54" s="2207">
        <f t="shared" si="202"/>
        <v>0.1638488833228971</v>
      </c>
      <c r="BL54" s="2207">
        <f t="shared" si="202"/>
        <v>0.1646450586597733</v>
      </c>
      <c r="BM54" s="2207">
        <f t="shared" si="202"/>
        <v>0.17212330078498947</v>
      </c>
      <c r="BN54" s="2208">
        <f t="shared" si="202"/>
        <v>0.1783326779394416</v>
      </c>
      <c r="BO54" s="2207">
        <f t="shared" si="202"/>
        <v>0.17454811027935002</v>
      </c>
      <c r="BP54" s="2207">
        <f t="shared" si="202"/>
        <v>0.16829350387075059</v>
      </c>
      <c r="BQ54" s="2207">
        <f t="shared" si="202"/>
        <v>0.17129010695187166</v>
      </c>
      <c r="BR54" s="2208">
        <f t="shared" si="202"/>
        <v>0.17121064589419019</v>
      </c>
      <c r="BS54" s="2207">
        <f t="shared" si="202"/>
        <v>0.16109244924784577</v>
      </c>
      <c r="BT54" s="2207">
        <f t="shared" si="202"/>
        <v>0.15688688277937354</v>
      </c>
      <c r="BU54" s="2207">
        <f t="shared" si="202"/>
        <v>0.16085535276491419</v>
      </c>
      <c r="BV54" s="2208">
        <f t="shared" si="202"/>
        <v>0.15502830951739013</v>
      </c>
      <c r="BW54" s="2207">
        <f t="shared" si="202"/>
        <v>0.14975783838898801</v>
      </c>
      <c r="BX54" s="2207">
        <f t="shared" si="202"/>
        <v>0.14357561968626512</v>
      </c>
      <c r="BY54" s="2207">
        <f t="shared" si="202"/>
        <v>0.1422979507253051</v>
      </c>
      <c r="BZ54" s="2208">
        <f t="shared" si="202"/>
        <v>0.14455917394757745</v>
      </c>
      <c r="CA54" s="2207">
        <f t="shared" si="202"/>
        <v>0.12848196933707623</v>
      </c>
      <c r="CB54" s="2207">
        <f t="shared" si="202"/>
        <v>0.12361941432769277</v>
      </c>
      <c r="CC54" s="2207">
        <f t="shared" si="202"/>
        <v>0.1216952173482523</v>
      </c>
      <c r="CD54" s="2208">
        <f t="shared" si="202"/>
        <v>0.12185893082371205</v>
      </c>
      <c r="CE54" s="2207">
        <f t="shared" si="202"/>
        <v>0.11924744074518122</v>
      </c>
      <c r="CF54" s="2207">
        <f t="shared" si="202"/>
        <v>0.11506776508105235</v>
      </c>
      <c r="CG54" s="2207">
        <f t="shared" si="202"/>
        <v>0.11413090972647033</v>
      </c>
      <c r="CH54" s="2208">
        <f t="shared" si="202"/>
        <v>0.136348414207736</v>
      </c>
      <c r="CI54" s="2207">
        <f t="shared" si="202"/>
        <v>0.13258668125475734</v>
      </c>
      <c r="CJ54" s="2207">
        <f t="shared" si="202"/>
        <v>0.13051532946982672</v>
      </c>
      <c r="CK54" s="2207">
        <f t="shared" si="202"/>
        <v>0.13236237911826315</v>
      </c>
      <c r="CL54" s="2208">
        <f t="shared" si="202"/>
        <v>0.1262177960597532</v>
      </c>
      <c r="CM54" s="2207">
        <f t="shared" si="202"/>
        <v>0.12209261223047013</v>
      </c>
      <c r="CN54" s="2207">
        <f t="shared" si="202"/>
        <v>0.12166931967610216</v>
      </c>
      <c r="CO54" s="2207">
        <f t="shared" si="202"/>
        <v>0.1243595069934912</v>
      </c>
      <c r="CP54" s="2208">
        <f t="shared" ref="CP54:DE54" si="203">CP52/CP$31</f>
        <v>0.11833855799373041</v>
      </c>
      <c r="CQ54" s="2207">
        <f t="shared" si="203"/>
        <v>0.11639166719755367</v>
      </c>
      <c r="CR54" s="2207">
        <f t="shared" si="203"/>
        <v>0.11298461538461538</v>
      </c>
      <c r="CS54" s="2207">
        <f t="shared" si="203"/>
        <v>0.1164850136239782</v>
      </c>
      <c r="CT54" s="2208">
        <f t="shared" si="203"/>
        <v>0.1124933357028612</v>
      </c>
      <c r="CU54" s="2207">
        <f t="shared" si="203"/>
        <v>0.11438154166425721</v>
      </c>
      <c r="CV54" s="2207">
        <f t="shared" si="203"/>
        <v>0.11508518560306893</v>
      </c>
      <c r="CW54" s="2207">
        <f t="shared" si="203"/>
        <v>0.11203023994740879</v>
      </c>
      <c r="CX54" s="2208">
        <f t="shared" si="203"/>
        <v>0.10496360750834564</v>
      </c>
      <c r="CY54" s="2207">
        <f t="shared" si="203"/>
        <v>0.10825213974269257</v>
      </c>
      <c r="CZ54" s="2207">
        <f t="shared" si="203"/>
        <v>0.10707527333894029</v>
      </c>
      <c r="DA54" s="2207">
        <f t="shared" si="203"/>
        <v>9.9729918975692708E-2</v>
      </c>
      <c r="DB54" s="2208">
        <f t="shared" si="203"/>
        <v>0.10275060185422323</v>
      </c>
      <c r="DC54" s="2207">
        <f t="shared" si="203"/>
        <v>0.10247296756107328</v>
      </c>
      <c r="DD54" s="2207">
        <f t="shared" si="203"/>
        <v>0.10098534241874602</v>
      </c>
      <c r="DE54" s="2207">
        <f t="shared" si="203"/>
        <v>9.8887573964497044E-2</v>
      </c>
      <c r="DF54" s="2208">
        <f>DF52/DF$31</f>
        <v>9.871162411992912E-2</v>
      </c>
      <c r="DG54" s="2207">
        <f>DG52/DG$31</f>
        <v>9.8077549690452917E-2</v>
      </c>
      <c r="DH54" s="2207">
        <f>DH52/DH$31</f>
        <v>9.7961987634531719E-2</v>
      </c>
      <c r="DI54" s="2209">
        <f>DI52/DI$31</f>
        <v>9.1773636402405226E-2</v>
      </c>
      <c r="DJ54" s="2208">
        <f t="shared" ref="DJ54:DM54" si="204">DJ52/DJ$31</f>
        <v>9.8083124328197782E-2</v>
      </c>
      <c r="DK54" s="2207">
        <f t="shared" si="204"/>
        <v>9.8394728695882894E-2</v>
      </c>
      <c r="DL54" s="2207">
        <f t="shared" si="204"/>
        <v>9.8239513149315366E-2</v>
      </c>
      <c r="DM54" s="2209">
        <f t="shared" si="204"/>
        <v>9.711805848150333E-2</v>
      </c>
      <c r="DN54" s="2207">
        <f t="shared" ref="DN54:DO54" si="205">DN52/DN$31</f>
        <v>0.10420832575895292</v>
      </c>
      <c r="DO54" s="2207">
        <f t="shared" si="205"/>
        <v>0.10514190932546996</v>
      </c>
      <c r="DP54" s="2207">
        <f t="shared" ref="DP54:DQ54" si="206">DP52/DP$31</f>
        <v>0.1034794805664902</v>
      </c>
      <c r="DQ54" s="2209">
        <f t="shared" si="206"/>
        <v>9.9285622620524441E-2</v>
      </c>
      <c r="DR54" s="2208">
        <f t="shared" ref="DR54" si="207">DR52/DR$31</f>
        <v>0.11198390650445444</v>
      </c>
      <c r="DS54" s="2207">
        <f t="shared" ref="DS54:DT54" si="208">DS52/DS$31</f>
        <v>0.11028098862888826</v>
      </c>
      <c r="DT54" s="2207">
        <f t="shared" si="208"/>
        <v>0.10963855421686747</v>
      </c>
      <c r="DU54" s="2209">
        <f t="shared" ref="DU54" si="209">DU52/DU$31</f>
        <v>9.8607547011063904E-2</v>
      </c>
      <c r="DV54" s="2207">
        <f t="shared" ref="DV54" si="210">DV52/DV$31</f>
        <v>0.1108675799086758</v>
      </c>
      <c r="DW54" s="2207">
        <f t="shared" ref="DW54:DY54" ca="1" si="211">DW52/DW$31</f>
        <v>0.11331108203674639</v>
      </c>
      <c r="DX54" s="2207">
        <f t="shared" ca="1" si="211"/>
        <v>0.11348498662038685</v>
      </c>
      <c r="DY54" s="2209">
        <f t="shared" ca="1" si="211"/>
        <v>0.10833181776260217</v>
      </c>
    </row>
    <row r="55" spans="1:129" s="1491" customFormat="1" outlineLevel="1">
      <c r="A55" s="2211" t="s">
        <v>1457</v>
      </c>
      <c r="B55" s="1903"/>
      <c r="C55" s="1903"/>
      <c r="D55" s="2200"/>
      <c r="E55" s="1903"/>
      <c r="F55" s="1903"/>
      <c r="G55" s="1903"/>
      <c r="H55" s="2200">
        <f>SUM(BB55:BE55)</f>
        <v>2860.2849999999999</v>
      </c>
      <c r="I55" s="2200">
        <f>SUM(BF55:BI55)</f>
        <v>3172</v>
      </c>
      <c r="J55" s="2200">
        <f>SUM(BJ55:BM55)</f>
        <v>2742</v>
      </c>
      <c r="K55" s="2200">
        <f>SUM(BN55:BQ55)</f>
        <v>3281</v>
      </c>
      <c r="L55" s="2200">
        <f>SUM(BR55:BU55)</f>
        <v>3954</v>
      </c>
      <c r="M55" s="2200">
        <f>SUM(BV55:BY55)</f>
        <v>4207</v>
      </c>
      <c r="N55" s="2200">
        <f>Capex!N46</f>
        <v>4707</v>
      </c>
      <c r="O55" s="2200">
        <f>Capex!O46</f>
        <v>5068</v>
      </c>
      <c r="P55" s="2200">
        <f>Capex!P46</f>
        <v>6475.476339925759</v>
      </c>
      <c r="Q55" s="2200">
        <f>Capex!Q46</f>
        <v>6954</v>
      </c>
      <c r="R55" s="2200">
        <f>Capex!R46</f>
        <v>7276.5</v>
      </c>
      <c r="S55" s="2200">
        <f>Capex!S46</f>
        <v>7869</v>
      </c>
      <c r="T55" s="2200">
        <f>Capex!T46</f>
        <v>7864</v>
      </c>
      <c r="U55" s="2200">
        <f>Capex!U46</f>
        <v>8106</v>
      </c>
      <c r="V55" s="2200">
        <f>Capex!V46</f>
        <v>8363</v>
      </c>
      <c r="W55" s="2200">
        <f>Capex!W46</f>
        <v>8884</v>
      </c>
      <c r="X55" s="2200">
        <f>Capex!X46</f>
        <v>9087</v>
      </c>
      <c r="Y55" s="2200">
        <f>Capex!Y46</f>
        <v>9299</v>
      </c>
      <c r="Z55" s="2200">
        <f ca="1">Capex!Z46</f>
        <v>9822.511788103302</v>
      </c>
      <c r="AA55" s="2200">
        <f ca="1">Capex!AA46</f>
        <v>9908.1573093550396</v>
      </c>
      <c r="AB55" s="2200">
        <f ca="1">Capex!AB46</f>
        <v>9949.5997863207867</v>
      </c>
      <c r="AC55" s="2200">
        <f ca="1">Capex!AC46</f>
        <v>9992.8410217249784</v>
      </c>
      <c r="AD55" s="2200">
        <f ca="1">Capex!AD46</f>
        <v>10038.19812958184</v>
      </c>
      <c r="AE55" s="2200">
        <f ca="1">Capex!AE46</f>
        <v>10085.967444224525</v>
      </c>
      <c r="AF55" s="2200">
        <f ca="1">Capex!AF46</f>
        <v>10136.486725971457</v>
      </c>
      <c r="AG55" s="2200">
        <f ca="1">Capex!AG46</f>
        <v>10216.724165068708</v>
      </c>
      <c r="AH55" s="2201"/>
      <c r="AI55" s="1927"/>
      <c r="AJ55" s="1561"/>
      <c r="AK55" s="2200"/>
      <c r="AL55" s="2200"/>
      <c r="AM55" s="2200"/>
      <c r="AN55" s="2200"/>
      <c r="AO55" s="2200"/>
      <c r="AP55" s="2202"/>
      <c r="AQ55" s="2200"/>
      <c r="AR55" s="2200"/>
      <c r="AS55" s="2200"/>
      <c r="AT55" s="2202"/>
      <c r="AU55" s="2200"/>
      <c r="AV55" s="2200"/>
      <c r="AW55" s="2200"/>
      <c r="AX55" s="1942"/>
      <c r="AY55" s="1903"/>
      <c r="AZ55" s="1903"/>
      <c r="BA55" s="1903"/>
      <c r="BB55" s="2202">
        <f t="shared" ref="BB55:CG55" si="212">BB52-BB58</f>
        <v>688.57124999999996</v>
      </c>
      <c r="BC55" s="2200">
        <f t="shared" si="212"/>
        <v>743.57124999999996</v>
      </c>
      <c r="BD55" s="2200">
        <f t="shared" si="212"/>
        <v>745.57124999999996</v>
      </c>
      <c r="BE55" s="2200">
        <f t="shared" si="212"/>
        <v>682.57124999999996</v>
      </c>
      <c r="BF55" s="2202">
        <f t="shared" si="212"/>
        <v>784.75</v>
      </c>
      <c r="BG55" s="2200">
        <f t="shared" si="212"/>
        <v>752.75</v>
      </c>
      <c r="BH55" s="2200">
        <f t="shared" si="212"/>
        <v>808.75</v>
      </c>
      <c r="BI55" s="2200">
        <f t="shared" si="212"/>
        <v>825.75</v>
      </c>
      <c r="BJ55" s="2202">
        <f t="shared" si="212"/>
        <v>643.25</v>
      </c>
      <c r="BK55" s="2200">
        <f t="shared" si="212"/>
        <v>647.25</v>
      </c>
      <c r="BL55" s="2200">
        <f t="shared" si="212"/>
        <v>690.25</v>
      </c>
      <c r="BM55" s="2200">
        <f t="shared" si="212"/>
        <v>761.25</v>
      </c>
      <c r="BN55" s="2202">
        <f t="shared" si="212"/>
        <v>755.25</v>
      </c>
      <c r="BO55" s="2200">
        <f t="shared" si="212"/>
        <v>804.25</v>
      </c>
      <c r="BP55" s="2200">
        <f t="shared" si="212"/>
        <v>848.25</v>
      </c>
      <c r="BQ55" s="2200">
        <f t="shared" si="212"/>
        <v>873.25</v>
      </c>
      <c r="BR55" s="2202">
        <f t="shared" si="212"/>
        <v>922</v>
      </c>
      <c r="BS55" s="2200">
        <f t="shared" si="212"/>
        <v>970</v>
      </c>
      <c r="BT55" s="2200">
        <f t="shared" si="212"/>
        <v>1014</v>
      </c>
      <c r="BU55" s="2200">
        <f t="shared" si="212"/>
        <v>1048</v>
      </c>
      <c r="BV55" s="2202">
        <f t="shared" si="212"/>
        <v>1011.75</v>
      </c>
      <c r="BW55" s="2200">
        <f t="shared" si="212"/>
        <v>1036.75</v>
      </c>
      <c r="BX55" s="2200">
        <f t="shared" si="212"/>
        <v>1060.75</v>
      </c>
      <c r="BY55" s="2200">
        <f t="shared" si="212"/>
        <v>1097.75</v>
      </c>
      <c r="BZ55" s="2202">
        <f t="shared" si="212"/>
        <v>1222.5</v>
      </c>
      <c r="CA55" s="2200">
        <f t="shared" si="212"/>
        <v>1138.5</v>
      </c>
      <c r="CB55" s="2200">
        <f t="shared" si="212"/>
        <v>1168.5</v>
      </c>
      <c r="CC55" s="2200">
        <f t="shared" si="212"/>
        <v>1177.5</v>
      </c>
      <c r="CD55" s="2202">
        <f t="shared" si="212"/>
        <v>1234.5</v>
      </c>
      <c r="CE55" s="2200">
        <f t="shared" si="212"/>
        <v>1271.5</v>
      </c>
      <c r="CF55" s="2200">
        <f t="shared" si="212"/>
        <v>1277.5</v>
      </c>
      <c r="CG55" s="2200">
        <f t="shared" si="212"/>
        <v>1284.5</v>
      </c>
      <c r="CH55" s="2202">
        <f t="shared" ref="CH55:DE55" si="213">CH52-CH58</f>
        <v>1571.0496453900714</v>
      </c>
      <c r="CI55" s="2200">
        <f t="shared" si="213"/>
        <v>1586.6854034451494</v>
      </c>
      <c r="CJ55" s="2200">
        <f t="shared" si="213"/>
        <v>1637.4141689373296</v>
      </c>
      <c r="CK55" s="2200">
        <f t="shared" si="213"/>
        <v>1680.3271221532086</v>
      </c>
      <c r="CL55" s="2202">
        <f t="shared" si="213"/>
        <v>1730.25</v>
      </c>
      <c r="CM55" s="2200">
        <f t="shared" si="213"/>
        <v>1708.25</v>
      </c>
      <c r="CN55" s="2200">
        <f t="shared" si="213"/>
        <v>1738.25</v>
      </c>
      <c r="CO55" s="2200">
        <f t="shared" si="213"/>
        <v>1777.25</v>
      </c>
      <c r="CP55" s="2202">
        <f t="shared" si="213"/>
        <v>1793.25</v>
      </c>
      <c r="CQ55" s="2200">
        <f t="shared" si="213"/>
        <v>1807.25</v>
      </c>
      <c r="CR55" s="2200">
        <f t="shared" si="213"/>
        <v>1816</v>
      </c>
      <c r="CS55" s="2200">
        <f t="shared" si="213"/>
        <v>1860</v>
      </c>
      <c r="CT55" s="2202">
        <f t="shared" si="213"/>
        <v>1877</v>
      </c>
      <c r="CU55" s="2200">
        <f t="shared" si="213"/>
        <v>1955</v>
      </c>
      <c r="CV55" s="2200">
        <f t="shared" si="213"/>
        <v>2016</v>
      </c>
      <c r="CW55" s="2200">
        <f t="shared" si="213"/>
        <v>2021</v>
      </c>
      <c r="CX55" s="2202">
        <f t="shared" si="213"/>
        <v>1894</v>
      </c>
      <c r="CY55" s="2200">
        <f t="shared" si="213"/>
        <v>1987</v>
      </c>
      <c r="CZ55" s="2200">
        <f t="shared" si="213"/>
        <v>2013</v>
      </c>
      <c r="DA55" s="2200">
        <f t="shared" si="213"/>
        <v>1970</v>
      </c>
      <c r="DB55" s="2202">
        <f t="shared" si="213"/>
        <v>1982</v>
      </c>
      <c r="DC55" s="2200">
        <f t="shared" si="213"/>
        <v>2023</v>
      </c>
      <c r="DD55" s="2200">
        <f t="shared" si="213"/>
        <v>2036</v>
      </c>
      <c r="DE55" s="2200">
        <f t="shared" si="213"/>
        <v>2065</v>
      </c>
      <c r="DF55" s="2202">
        <f t="shared" ref="DF55:DK55" si="214">DF52-DF58</f>
        <v>2037</v>
      </c>
      <c r="DG55" s="2200">
        <f t="shared" si="214"/>
        <v>2083</v>
      </c>
      <c r="DH55" s="2200">
        <f t="shared" si="214"/>
        <v>2115</v>
      </c>
      <c r="DI55" s="2203">
        <f t="shared" si="214"/>
        <v>2128</v>
      </c>
      <c r="DJ55" s="2202">
        <f t="shared" si="214"/>
        <v>2166</v>
      </c>
      <c r="DK55" s="2200">
        <f t="shared" si="214"/>
        <v>2201</v>
      </c>
      <c r="DL55" s="2200">
        <f t="shared" ref="DL55:DQ55" si="215">DL52-DL58</f>
        <v>2236</v>
      </c>
      <c r="DM55" s="2203">
        <f t="shared" si="215"/>
        <v>2281</v>
      </c>
      <c r="DN55" s="2200">
        <f t="shared" si="215"/>
        <v>2269</v>
      </c>
      <c r="DO55" s="2200">
        <f t="shared" si="215"/>
        <v>2258</v>
      </c>
      <c r="DP55" s="2200">
        <f t="shared" si="215"/>
        <v>2263</v>
      </c>
      <c r="DQ55" s="2203">
        <f t="shared" si="215"/>
        <v>2297</v>
      </c>
      <c r="DR55" s="2202">
        <f t="shared" ref="DR55" si="216">DR52-DR58</f>
        <v>2314</v>
      </c>
      <c r="DS55" s="2200">
        <f t="shared" ref="DS55:DT55" si="217">DS52-DS58</f>
        <v>2323</v>
      </c>
      <c r="DT55" s="2200">
        <f t="shared" si="217"/>
        <v>2342</v>
      </c>
      <c r="DU55" s="2203">
        <f t="shared" ref="DU55" si="218">DU52-DU58</f>
        <v>2320</v>
      </c>
      <c r="DV55" s="2200">
        <f t="shared" ref="DV55" si="219">DV52-DV58</f>
        <v>2404</v>
      </c>
      <c r="DW55" s="2974">
        <f ca="1">Capex!DW46</f>
        <v>2434.5124979280499</v>
      </c>
      <c r="DX55" s="2974">
        <f ca="1">Capex!DX46</f>
        <v>2472.3270951726568</v>
      </c>
      <c r="DY55" s="2975">
        <f ca="1">Capex!DY46</f>
        <v>2511.6721950025953</v>
      </c>
    </row>
    <row r="56" spans="1:129" s="1491" customFormat="1" outlineLevel="1">
      <c r="A56" s="2227" t="s">
        <v>991</v>
      </c>
      <c r="B56" s="2207"/>
      <c r="C56" s="2207"/>
      <c r="D56" s="2207"/>
      <c r="E56" s="2207"/>
      <c r="F56" s="2207"/>
      <c r="G56" s="2207"/>
      <c r="H56" s="2207"/>
      <c r="I56" s="2207">
        <f t="shared" ref="I56:AB56" si="220">I55/H55-1</f>
        <v>0.10898039880641264</v>
      </c>
      <c r="J56" s="2207">
        <f t="shared" si="220"/>
        <v>-0.13556116015132413</v>
      </c>
      <c r="K56" s="2207">
        <f t="shared" si="220"/>
        <v>0.19657184536834427</v>
      </c>
      <c r="L56" s="2207">
        <f t="shared" si="220"/>
        <v>0.20512039012496186</v>
      </c>
      <c r="M56" s="2207">
        <f t="shared" si="220"/>
        <v>6.3985837126959932E-2</v>
      </c>
      <c r="N56" s="2207">
        <f t="shared" si="220"/>
        <v>0.11884953648680763</v>
      </c>
      <c r="O56" s="2207">
        <f t="shared" si="220"/>
        <v>7.669428510728693E-2</v>
      </c>
      <c r="P56" s="2207">
        <f t="shared" si="220"/>
        <v>0.27771829911715851</v>
      </c>
      <c r="Q56" s="2207">
        <f t="shared" si="220"/>
        <v>7.3897831596389851E-2</v>
      </c>
      <c r="R56" s="2207">
        <f t="shared" si="220"/>
        <v>4.6376186367558248E-2</v>
      </c>
      <c r="S56" s="2207">
        <f t="shared" si="220"/>
        <v>8.1426509997938545E-2</v>
      </c>
      <c r="T56" s="2207">
        <f t="shared" si="220"/>
        <v>-6.3540475282752862E-4</v>
      </c>
      <c r="U56" s="2207">
        <f t="shared" si="220"/>
        <v>3.0773143438453721E-2</v>
      </c>
      <c r="V56" s="2207">
        <f t="shared" si="220"/>
        <v>3.1704909943251813E-2</v>
      </c>
      <c r="W56" s="2207">
        <f>W55/V55-1</f>
        <v>6.2298218342699885E-2</v>
      </c>
      <c r="X56" s="2207">
        <f>X55/W55-1</f>
        <v>2.2850067537145469E-2</v>
      </c>
      <c r="Y56" s="2207">
        <f>Y55/X55-1</f>
        <v>2.3330031913722848E-2</v>
      </c>
      <c r="Z56" s="2207">
        <f ca="1">Z55/Y55-1</f>
        <v>5.6297643628702154E-2</v>
      </c>
      <c r="AA56" s="2207">
        <f t="shared" ca="1" si="220"/>
        <v>8.7193095920199415E-3</v>
      </c>
      <c r="AB56" s="2207">
        <f t="shared" ca="1" si="220"/>
        <v>4.1826623934015927E-3</v>
      </c>
      <c r="AC56" s="2207">
        <f t="shared" ref="AC56" ca="1" si="221">AC55/AB55-1</f>
        <v>4.3460276124513975E-3</v>
      </c>
      <c r="AD56" s="2207">
        <f t="shared" ref="AD56" ca="1" si="222">AD55/AC55-1</f>
        <v>4.5389602174450427E-3</v>
      </c>
      <c r="AE56" s="2207">
        <f t="shared" ref="AE56" ca="1" si="223">AE55/AD55-1</f>
        <v>4.7587539144013924E-3</v>
      </c>
      <c r="AF56" s="2207">
        <f t="shared" ref="AF56" ca="1" si="224">AF55/AE55-1</f>
        <v>5.0088682148048402E-3</v>
      </c>
      <c r="AG56" s="2207">
        <f t="shared" ref="AG56" ca="1" si="225">AG55/AF55-1</f>
        <v>7.9157050432145937E-3</v>
      </c>
      <c r="AH56" s="2201"/>
      <c r="AI56" s="1927"/>
      <c r="AJ56" s="1561"/>
      <c r="AK56" s="2207"/>
      <c r="AL56" s="2207"/>
      <c r="AM56" s="2207"/>
      <c r="AN56" s="2207"/>
      <c r="AO56" s="2207"/>
      <c r="AP56" s="2208"/>
      <c r="AQ56" s="2207"/>
      <c r="AR56" s="2207"/>
      <c r="AS56" s="2207"/>
      <c r="AT56" s="2208"/>
      <c r="AU56" s="2207"/>
      <c r="AV56" s="2207"/>
      <c r="AW56" s="2207"/>
      <c r="AX56" s="2208"/>
      <c r="AY56" s="2207"/>
      <c r="AZ56" s="2207"/>
      <c r="BA56" s="2207"/>
      <c r="BB56" s="2208"/>
      <c r="BC56" s="2207"/>
      <c r="BD56" s="2207"/>
      <c r="BE56" s="2207"/>
      <c r="BF56" s="2208">
        <f t="shared" ref="BF56:CK56" si="226">BF55/BB55-1</f>
        <v>0.13967871879634819</v>
      </c>
      <c r="BG56" s="2207">
        <f t="shared" si="226"/>
        <v>1.234414321425148E-2</v>
      </c>
      <c r="BH56" s="2207">
        <f t="shared" si="226"/>
        <v>8.4738715448054114E-2</v>
      </c>
      <c r="BI56" s="2207">
        <f t="shared" si="226"/>
        <v>0.20976381586537673</v>
      </c>
      <c r="BJ56" s="2208">
        <f t="shared" si="226"/>
        <v>-0.18031220133800574</v>
      </c>
      <c r="BK56" s="2207">
        <f t="shared" si="226"/>
        <v>-0.14015277316506147</v>
      </c>
      <c r="BL56" s="2207">
        <f t="shared" si="226"/>
        <v>-0.14652241112828435</v>
      </c>
      <c r="BM56" s="2207">
        <f t="shared" si="226"/>
        <v>-7.8110808356040007E-2</v>
      </c>
      <c r="BN56" s="2208">
        <f t="shared" si="226"/>
        <v>0.1741158181111544</v>
      </c>
      <c r="BO56" s="2207">
        <f t="shared" si="226"/>
        <v>0.24256469679412906</v>
      </c>
      <c r="BP56" s="2207">
        <f t="shared" si="226"/>
        <v>0.22890257153205362</v>
      </c>
      <c r="BQ56" s="2207">
        <f t="shared" si="226"/>
        <v>0.14712643678160919</v>
      </c>
      <c r="BR56" s="2208">
        <f t="shared" si="226"/>
        <v>0.22078781860311159</v>
      </c>
      <c r="BS56" s="2207">
        <f t="shared" si="226"/>
        <v>0.20609263288778368</v>
      </c>
      <c r="BT56" s="2207">
        <f t="shared" si="226"/>
        <v>0.19540229885057481</v>
      </c>
      <c r="BU56" s="2207">
        <f t="shared" si="226"/>
        <v>0.20011451474377329</v>
      </c>
      <c r="BV56" s="2208">
        <f t="shared" si="226"/>
        <v>9.7342733188720221E-2</v>
      </c>
      <c r="BW56" s="2207">
        <f t="shared" si="226"/>
        <v>6.8814432989690699E-2</v>
      </c>
      <c r="BX56" s="2207">
        <f t="shared" si="226"/>
        <v>4.6104536489151915E-2</v>
      </c>
      <c r="BY56" s="2207">
        <f t="shared" si="226"/>
        <v>4.7471374045801484E-2</v>
      </c>
      <c r="BZ56" s="2208">
        <f t="shared" si="226"/>
        <v>0.2083024462564862</v>
      </c>
      <c r="CA56" s="2207">
        <f t="shared" si="226"/>
        <v>9.8143236074270668E-2</v>
      </c>
      <c r="CB56" s="2207">
        <f t="shared" si="226"/>
        <v>0.10157907141173705</v>
      </c>
      <c r="CC56" s="2207">
        <f t="shared" si="226"/>
        <v>7.2648599407879821E-2</v>
      </c>
      <c r="CD56" s="2208">
        <f t="shared" si="226"/>
        <v>9.8159509202453421E-3</v>
      </c>
      <c r="CE56" s="2207">
        <f t="shared" si="226"/>
        <v>0.1168203776899428</v>
      </c>
      <c r="CF56" s="2207">
        <f t="shared" si="226"/>
        <v>9.3281985451433513E-2</v>
      </c>
      <c r="CG56" s="2207">
        <f t="shared" si="226"/>
        <v>9.0870488322717602E-2</v>
      </c>
      <c r="CH56" s="2208">
        <f t="shared" si="226"/>
        <v>0.27262020687733601</v>
      </c>
      <c r="CI56" s="2207">
        <f t="shared" si="226"/>
        <v>0.24788470581608291</v>
      </c>
      <c r="CJ56" s="2207">
        <f t="shared" si="226"/>
        <v>0.2817332046476162</v>
      </c>
      <c r="CK56" s="2207">
        <f t="shared" si="226"/>
        <v>0.30815657621892467</v>
      </c>
      <c r="CL56" s="2208">
        <f t="shared" ref="CL56:DV56" si="227">CL55/CH55-1</f>
        <v>0.10133375165900715</v>
      </c>
      <c r="CM56" s="2207">
        <f t="shared" si="227"/>
        <v>7.6615437622920668E-2</v>
      </c>
      <c r="CN56" s="2207">
        <f t="shared" si="227"/>
        <v>6.1582361369275418E-2</v>
      </c>
      <c r="CO56" s="2207">
        <f t="shared" si="227"/>
        <v>5.7680957814090439E-2</v>
      </c>
      <c r="CP56" s="2208">
        <f t="shared" si="227"/>
        <v>3.6410923276983143E-2</v>
      </c>
      <c r="CQ56" s="2207">
        <f t="shared" si="227"/>
        <v>5.7954046538855497E-2</v>
      </c>
      <c r="CR56" s="2207">
        <f t="shared" si="227"/>
        <v>4.4728894002588726E-2</v>
      </c>
      <c r="CS56" s="2207">
        <f t="shared" si="227"/>
        <v>4.6560697707131782E-2</v>
      </c>
      <c r="CT56" s="2208">
        <f t="shared" si="227"/>
        <v>4.6702913704168347E-2</v>
      </c>
      <c r="CU56" s="2207">
        <f t="shared" si="227"/>
        <v>8.1754046202794362E-2</v>
      </c>
      <c r="CV56" s="2207">
        <f t="shared" si="227"/>
        <v>0.11013215859030834</v>
      </c>
      <c r="CW56" s="2207">
        <f t="shared" si="227"/>
        <v>8.6559139784946337E-2</v>
      </c>
      <c r="CX56" s="2208">
        <f t="shared" si="227"/>
        <v>9.057005860415579E-3</v>
      </c>
      <c r="CY56" s="2207">
        <f t="shared" si="227"/>
        <v>1.6368286445012759E-2</v>
      </c>
      <c r="CZ56" s="2207">
        <f t="shared" si="227"/>
        <v>-1.4880952380952328E-3</v>
      </c>
      <c r="DA56" s="2207">
        <f t="shared" si="227"/>
        <v>-2.5235032162295945E-2</v>
      </c>
      <c r="DB56" s="2208">
        <f t="shared" si="227"/>
        <v>4.6462513199577504E-2</v>
      </c>
      <c r="DC56" s="2207">
        <f t="shared" si="227"/>
        <v>1.8117765475591296E-2</v>
      </c>
      <c r="DD56" s="2207">
        <f t="shared" si="227"/>
        <v>1.1425732737208039E-2</v>
      </c>
      <c r="DE56" s="2207">
        <f t="shared" si="227"/>
        <v>4.8223350253807196E-2</v>
      </c>
      <c r="DF56" s="2208">
        <f t="shared" si="227"/>
        <v>2.7749747729566066E-2</v>
      </c>
      <c r="DG56" s="2207">
        <f t="shared" si="227"/>
        <v>2.9658922392486353E-2</v>
      </c>
      <c r="DH56" s="2207">
        <f t="shared" si="227"/>
        <v>3.8801571709233817E-2</v>
      </c>
      <c r="DI56" s="2209">
        <f t="shared" si="227"/>
        <v>3.050847457627115E-2</v>
      </c>
      <c r="DJ56" s="2208">
        <f t="shared" si="227"/>
        <v>6.3328424153166418E-2</v>
      </c>
      <c r="DK56" s="2207">
        <f t="shared" si="227"/>
        <v>5.6649063850215953E-2</v>
      </c>
      <c r="DL56" s="2207">
        <f t="shared" si="227"/>
        <v>5.7210401891252927E-2</v>
      </c>
      <c r="DM56" s="2209">
        <f t="shared" si="227"/>
        <v>7.1898496240601517E-2</v>
      </c>
      <c r="DN56" s="2207">
        <f t="shared" si="227"/>
        <v>4.7553093259464552E-2</v>
      </c>
      <c r="DO56" s="2207">
        <f t="shared" si="227"/>
        <v>2.5897319400272512E-2</v>
      </c>
      <c r="DP56" s="2207">
        <f t="shared" si="227"/>
        <v>1.2075134168157531E-2</v>
      </c>
      <c r="DQ56" s="2209">
        <f t="shared" si="227"/>
        <v>7.0144673388865542E-3</v>
      </c>
      <c r="DR56" s="2208">
        <f t="shared" si="227"/>
        <v>1.9832525341560103E-2</v>
      </c>
      <c r="DS56" s="2207">
        <f t="shared" si="227"/>
        <v>2.8786536758192982E-2</v>
      </c>
      <c r="DT56" s="2207">
        <f t="shared" si="227"/>
        <v>3.490941228457789E-2</v>
      </c>
      <c r="DU56" s="2209">
        <f t="shared" si="227"/>
        <v>1.0013060513713645E-2</v>
      </c>
      <c r="DV56" s="2207">
        <f t="shared" si="227"/>
        <v>3.8893690579083762E-2</v>
      </c>
      <c r="DW56" s="2207">
        <f t="shared" ref="DW56" ca="1" si="228">DW55/DS55-1</f>
        <v>4.8003658169629704E-2</v>
      </c>
      <c r="DX56" s="2207">
        <f t="shared" ref="DX56" ca="1" si="229">DX55/DT55-1</f>
        <v>5.5647777614285632E-2</v>
      </c>
      <c r="DY56" s="2209">
        <f t="shared" ref="DY56" ca="1" si="230">DY55/DU55-1</f>
        <v>8.2617325432153166E-2</v>
      </c>
    </row>
    <row r="57" spans="1:129" s="1491" customFormat="1" outlineLevel="1">
      <c r="A57" s="2227" t="s">
        <v>1458</v>
      </c>
      <c r="B57" s="2249"/>
      <c r="C57" s="2207"/>
      <c r="D57" s="2207"/>
      <c r="E57" s="2207"/>
      <c r="F57" s="2207"/>
      <c r="G57" s="2207"/>
      <c r="H57" s="2207">
        <f>H55/Capex!H26</f>
        <v>-4.0193993985554082</v>
      </c>
      <c r="I57" s="2207">
        <f>I55/Capex!I26</f>
        <v>-4.4301675977653634</v>
      </c>
      <c r="J57" s="2207">
        <f>J55/Capex!J26</f>
        <v>-2.3843478260869566</v>
      </c>
      <c r="K57" s="2207"/>
      <c r="L57" s="2207"/>
      <c r="M57" s="2207"/>
      <c r="N57" s="2207">
        <f>N55/Capex!N26</f>
        <v>0.36656023674168681</v>
      </c>
      <c r="O57" s="2207">
        <f>O55/Capex!O26</f>
        <v>0.39658815243759293</v>
      </c>
      <c r="P57" s="2207">
        <f>P55/Capex!P26</f>
        <v>0.49348242188124974</v>
      </c>
      <c r="Q57" s="2207">
        <f>Q55/Capex!Q26</f>
        <v>0.52039212751627628</v>
      </c>
      <c r="R57" s="2207">
        <f>R55/Capex!R26</f>
        <v>0.51687029407586305</v>
      </c>
      <c r="S57" s="2207">
        <f>S55/Capex!S26</f>
        <v>0.52491494896938162</v>
      </c>
      <c r="T57" s="2207">
        <f>T55/Capex!T26</f>
        <v>0.52707774798927609</v>
      </c>
      <c r="U57" s="2207">
        <f>U55/Capex!U26</f>
        <v>0.54018392642942825</v>
      </c>
      <c r="V57" s="2207">
        <f>V55/Capex!V26</f>
        <v>0.56003482220585277</v>
      </c>
      <c r="W57" s="2207">
        <f>W55/Capex!W26</f>
        <v>0.61621696608170906</v>
      </c>
      <c r="X57" s="2207">
        <f>X55/Capex!X26</f>
        <v>0.63421273031825798</v>
      </c>
      <c r="Y57" s="2207">
        <f>Y55/Capex!Y26</f>
        <v>0.60564022404585127</v>
      </c>
      <c r="Z57" s="2207">
        <f ca="1">Z55/Capex!Z26</f>
        <v>0.62018158104975896</v>
      </c>
      <c r="AA57" s="2207">
        <f ca="1">AA55/Capex!AA26</f>
        <v>0.62518158104975896</v>
      </c>
      <c r="AB57" s="2207">
        <f ca="1">AB55/Capex!AB26</f>
        <v>0.63018158104975897</v>
      </c>
      <c r="AC57" s="2207">
        <f ca="1">AC55/Capex!AC26</f>
        <v>0.63518158104975897</v>
      </c>
      <c r="AD57" s="2207">
        <f ca="1">AD55/Capex!AD26</f>
        <v>0.64018158104975897</v>
      </c>
      <c r="AE57" s="2207">
        <f ca="1">AE55/Capex!AE26</f>
        <v>0.64518158104975898</v>
      </c>
      <c r="AF57" s="2207">
        <f ca="1">AF55/Capex!AF26</f>
        <v>0.65018158104975898</v>
      </c>
      <c r="AG57" s="2207">
        <f ca="1">AG55/Capex!AG26</f>
        <v>0.65518158104975899</v>
      </c>
      <c r="AH57" s="2201"/>
      <c r="AI57" s="1927"/>
      <c r="AJ57" s="1561"/>
      <c r="AK57" s="2207"/>
      <c r="AL57" s="2207"/>
      <c r="AM57" s="2207"/>
      <c r="AN57" s="2207"/>
      <c r="AO57" s="2207"/>
      <c r="AP57" s="2208"/>
      <c r="AQ57" s="2207"/>
      <c r="AR57" s="2207"/>
      <c r="AS57" s="2207"/>
      <c r="AT57" s="2208"/>
      <c r="AU57" s="2207"/>
      <c r="AV57" s="2207"/>
      <c r="AW57" s="2207"/>
      <c r="AX57" s="2208"/>
      <c r="AY57" s="2207"/>
      <c r="AZ57" s="2207"/>
      <c r="BA57" s="2207"/>
      <c r="BB57" s="2208"/>
      <c r="BC57" s="2207"/>
      <c r="BD57" s="2207"/>
      <c r="BE57" s="2207"/>
      <c r="BF57" s="2208"/>
      <c r="BG57" s="2207"/>
      <c r="BH57" s="2207"/>
      <c r="BI57" s="2207"/>
      <c r="BJ57" s="2208"/>
      <c r="BK57" s="2207"/>
      <c r="BL57" s="2207"/>
      <c r="BM57" s="2207"/>
      <c r="BN57" s="2208"/>
      <c r="BO57" s="2207"/>
      <c r="BP57" s="2207"/>
      <c r="BQ57" s="2207"/>
      <c r="BR57" s="2208"/>
      <c r="BS57" s="2207"/>
      <c r="BT57" s="2207"/>
      <c r="BU57" s="2207"/>
      <c r="BV57" s="2208"/>
      <c r="BW57" s="2207"/>
      <c r="BX57" s="2207"/>
      <c r="BY57" s="2207"/>
      <c r="BZ57" s="2208">
        <f>BZ55/Capex!BZ26</f>
        <v>0.3769367147151777</v>
      </c>
      <c r="CA57" s="2207">
        <f>CA55/Capex!CA26</f>
        <v>0.35765334171051599</v>
      </c>
      <c r="CB57" s="2207">
        <f>CB55/Capex!CB26</f>
        <v>0.36730844793713163</v>
      </c>
      <c r="CC57" s="2207">
        <f>CC55/Capex!CC26</f>
        <v>0.36418464393412203</v>
      </c>
      <c r="CD57" s="2208">
        <f>CD55/Capex!CD26</f>
        <v>0.39393697646589548</v>
      </c>
      <c r="CE57" s="2207">
        <f>CE55/Capex!CE26</f>
        <v>0.40063016935801499</v>
      </c>
      <c r="CF57" s="2207">
        <f>CF55/Capex!CF26</f>
        <v>0.39862703799048288</v>
      </c>
      <c r="CG57" s="2207">
        <f>CG55/Capex!CG26</f>
        <v>0.39320425499349504</v>
      </c>
      <c r="CH57" s="2208">
        <f>CH55/Capex!CH26</f>
        <v>0.49462405207086074</v>
      </c>
      <c r="CI57" s="2207">
        <f>CI55/Capex!CI26</f>
        <v>0.48998236808311568</v>
      </c>
      <c r="CJ57" s="2207">
        <f>CJ55/Capex!CJ26</f>
        <v>0.49524814183359683</v>
      </c>
      <c r="CK57" s="2207">
        <f>CK55/Capex!CK26</f>
        <v>0.49403222996051704</v>
      </c>
      <c r="CL57" s="2208">
        <f>CL55/Capex!CL26</f>
        <v>0.52856270047349929</v>
      </c>
      <c r="CM57" s="2207">
        <f>CM55/Capex!CM26</f>
        <v>0.51961977186311792</v>
      </c>
      <c r="CN57" s="2207">
        <f>CN55/Capex!CN26</f>
        <v>0.51787576344406372</v>
      </c>
      <c r="CO57" s="2207">
        <f>CO55/Capex!CO26</f>
        <v>0.51581773327528657</v>
      </c>
      <c r="CP57" s="2208">
        <f>CP55/Capex!CP26</f>
        <v>0.52190046565774151</v>
      </c>
      <c r="CQ57" s="2207">
        <f>CQ55/Capex!CQ26</f>
        <v>0.51768834144944142</v>
      </c>
      <c r="CR57" s="2207">
        <f>CR55/Capex!CR26</f>
        <v>0.51227080394922431</v>
      </c>
      <c r="CS57" s="2207">
        <f>CS55/Capex!CS26</f>
        <v>0.51580698835274541</v>
      </c>
      <c r="CT57" s="2208">
        <f>CT55/Capex!CT26</f>
        <v>0.51456377218833527</v>
      </c>
      <c r="CU57" s="2207">
        <f>CU55/Capex!CU26</f>
        <v>0.52318190941326015</v>
      </c>
      <c r="CV57" s="2207">
        <f>CV55/Capex!CV26</f>
        <v>0.53014265991716525</v>
      </c>
      <c r="CW57" s="2207">
        <f>CW55/Capex!CW26</f>
        <v>0.53131777850805129</v>
      </c>
      <c r="CX57" s="2208">
        <f>CX55/Capex!CX26</f>
        <v>0.51734498770827642</v>
      </c>
      <c r="CY57" s="2207">
        <f>CY55/Capex!CY26</f>
        <v>0.5283169369848445</v>
      </c>
      <c r="CZ57" s="2207">
        <f>CZ55/Capex!CZ26</f>
        <v>0.53480340063761955</v>
      </c>
      <c r="DA57" s="2207">
        <f>DA55/Capex!DA26</f>
        <v>0.52758435993572572</v>
      </c>
      <c r="DB57" s="2208">
        <f>DB55/Capex!DB26</f>
        <v>0.53308230231307152</v>
      </c>
      <c r="DC57" s="2207">
        <f>DC55/Capex!DC26</f>
        <v>0.53932284724073576</v>
      </c>
      <c r="DD57" s="2207">
        <f>DD55/Capex!DD26</f>
        <v>0.54235482152370806</v>
      </c>
      <c r="DE57" s="2207">
        <f>DE55/Capex!DE26</f>
        <v>0.54586307163626746</v>
      </c>
      <c r="DF57" s="2208">
        <f>DF55/Capex!DF26</f>
        <v>0.54508964409954508</v>
      </c>
      <c r="DG57" s="2207">
        <f>DG55/Capex!DG26</f>
        <v>0.55384206328104224</v>
      </c>
      <c r="DH57" s="2207">
        <f>DH55/Capex!DH26</f>
        <v>0.56145473851871519</v>
      </c>
      <c r="DI57" s="2209">
        <f>DI55/Capex!DI26</f>
        <v>0.58015267175572516</v>
      </c>
      <c r="DJ57" s="2546">
        <f>DJ55/Capex!DJ26</f>
        <v>0.60351072722206744</v>
      </c>
      <c r="DK57" s="2547">
        <f>DK55/Capex!DK26</f>
        <v>0.61480446927374299</v>
      </c>
      <c r="DL57" s="2547">
        <f>DL55/Capex!DL26</f>
        <v>0.61956220559711828</v>
      </c>
      <c r="DM57" s="2548">
        <f>DM55/Capex!DM26</f>
        <v>0.6268205550975543</v>
      </c>
      <c r="DN57" s="2547">
        <f>DN55/Capex!DN26</f>
        <v>0.62731545479679296</v>
      </c>
      <c r="DO57" s="2547">
        <f>DO55/Capex!DO26</f>
        <v>0.63037409268565048</v>
      </c>
      <c r="DP57" s="2547">
        <f>DP55/Capex!DP26</f>
        <v>0.63890457368718234</v>
      </c>
      <c r="DQ57" s="2548">
        <f>DQ55/Capex!DQ26</f>
        <v>0.64036799553944801</v>
      </c>
      <c r="DR57" s="2546">
        <f>DR55/Capex!DR26</f>
        <v>0.63241322765783003</v>
      </c>
      <c r="DS57" s="2547">
        <f>DS55/Capex!DS26</f>
        <v>0.61667109105388906</v>
      </c>
      <c r="DT57" s="2547">
        <f>DT55/Capex!DT26</f>
        <v>0.6048553719008265</v>
      </c>
      <c r="DU57" s="2548">
        <f>DU55/Capex!DU26</f>
        <v>0.57199211045364895</v>
      </c>
      <c r="DV57" s="2547">
        <f>DV55/Capex!DV26</f>
        <v>0.6126401630988787</v>
      </c>
      <c r="DW57" s="2207">
        <f ca="1">DW55/Capex!DW26</f>
        <v>0.61764016309887859</v>
      </c>
      <c r="DX57" s="2207">
        <f ca="1">DX55/Capex!DX26</f>
        <v>0.62264016309887871</v>
      </c>
      <c r="DY57" s="2209">
        <f ca="1">DY55/Capex!DY26</f>
        <v>0.62764016309887871</v>
      </c>
    </row>
    <row r="58" spans="1:129" s="1491" customFormat="1" outlineLevel="1">
      <c r="A58" s="2211" t="s">
        <v>1459</v>
      </c>
      <c r="B58" s="1903"/>
      <c r="C58" s="1903"/>
      <c r="D58" s="2200"/>
      <c r="E58" s="1903"/>
      <c r="F58" s="2215">
        <f>0.75*Capex!F31</f>
        <v>0</v>
      </c>
      <c r="G58" s="2215">
        <v>541.51499999999999</v>
      </c>
      <c r="H58" s="2215">
        <v>533.71500000000003</v>
      </c>
      <c r="I58" s="2215">
        <v>537</v>
      </c>
      <c r="J58" s="2215">
        <v>551</v>
      </c>
      <c r="K58" s="2215">
        <f>517+90</f>
        <v>607</v>
      </c>
      <c r="L58" s="2215">
        <f>469+63</f>
        <v>532</v>
      </c>
      <c r="M58" s="2215">
        <f>464+89</f>
        <v>553</v>
      </c>
      <c r="N58" s="2215">
        <f>136+70</f>
        <v>206</v>
      </c>
      <c r="O58" s="2215">
        <f>16+70</f>
        <v>86</v>
      </c>
      <c r="P58" s="2215">
        <f>10+70</f>
        <v>80</v>
      </c>
      <c r="Q58" s="2215">
        <f>5+70</f>
        <v>75</v>
      </c>
      <c r="R58" s="2215">
        <f>5+70</f>
        <v>75</v>
      </c>
      <c r="S58" s="2215">
        <f>5+70</f>
        <v>75</v>
      </c>
      <c r="T58" s="2215">
        <f>5+70</f>
        <v>75</v>
      </c>
      <c r="U58" s="2215">
        <f>+SUM(DB58:DE58)</f>
        <v>96</v>
      </c>
      <c r="V58" s="2215">
        <f>+SUM(DF58:DI58)</f>
        <v>96</v>
      </c>
      <c r="W58" s="3023">
        <f>+SUM(DJ58:DM58)</f>
        <v>96</v>
      </c>
      <c r="X58" s="3023">
        <f>+SUM(DN58:DQ58)</f>
        <v>96</v>
      </c>
      <c r="Y58" s="3023">
        <f>+SUM(DR58:DU58)</f>
        <v>96</v>
      </c>
      <c r="Z58" s="3023">
        <f>+SUM(DV58:DY58)</f>
        <v>96</v>
      </c>
      <c r="AA58" s="2215">
        <f>Z58</f>
        <v>96</v>
      </c>
      <c r="AB58" s="2215">
        <f>AA58</f>
        <v>96</v>
      </c>
      <c r="AC58" s="2215">
        <f t="shared" ref="AC58:AG58" si="231">AB58</f>
        <v>96</v>
      </c>
      <c r="AD58" s="2215">
        <f t="shared" si="231"/>
        <v>96</v>
      </c>
      <c r="AE58" s="2215">
        <f t="shared" si="231"/>
        <v>96</v>
      </c>
      <c r="AF58" s="2215">
        <f t="shared" si="231"/>
        <v>96</v>
      </c>
      <c r="AG58" s="2215">
        <f t="shared" si="231"/>
        <v>96</v>
      </c>
      <c r="AH58" s="2201"/>
      <c r="AI58" s="2126"/>
      <c r="AJ58" s="1561"/>
      <c r="AK58" s="2207"/>
      <c r="AL58" s="2207"/>
      <c r="AM58" s="2200"/>
      <c r="AN58" s="2200"/>
      <c r="AO58" s="2200"/>
      <c r="AP58" s="2202"/>
      <c r="AQ58" s="2200"/>
      <c r="AR58" s="2200"/>
      <c r="AS58" s="2200"/>
      <c r="AT58" s="2202"/>
      <c r="AU58" s="2200"/>
      <c r="AV58" s="2200"/>
      <c r="AW58" s="2200"/>
      <c r="AX58" s="1942"/>
      <c r="AY58" s="1903"/>
      <c r="AZ58" s="1903"/>
      <c r="BA58" s="1903"/>
      <c r="BB58" s="2214">
        <f>H58/4</f>
        <v>133.42875000000001</v>
      </c>
      <c r="BC58" s="2215">
        <f>BB58</f>
        <v>133.42875000000001</v>
      </c>
      <c r="BD58" s="2215">
        <f>BC58</f>
        <v>133.42875000000001</v>
      </c>
      <c r="BE58" s="2215">
        <f>BD58</f>
        <v>133.42875000000001</v>
      </c>
      <c r="BF58" s="2214">
        <f>I58/4</f>
        <v>134.25</v>
      </c>
      <c r="BG58" s="2215">
        <f>BF58</f>
        <v>134.25</v>
      </c>
      <c r="BH58" s="2215">
        <f>BG58</f>
        <v>134.25</v>
      </c>
      <c r="BI58" s="2215">
        <f>BH58</f>
        <v>134.25</v>
      </c>
      <c r="BJ58" s="2214">
        <f>J58/4</f>
        <v>137.75</v>
      </c>
      <c r="BK58" s="2215">
        <f>BJ58</f>
        <v>137.75</v>
      </c>
      <c r="BL58" s="2215">
        <f>BK58</f>
        <v>137.75</v>
      </c>
      <c r="BM58" s="2215">
        <f>BL58</f>
        <v>137.75</v>
      </c>
      <c r="BN58" s="2214">
        <f>K58/4</f>
        <v>151.75</v>
      </c>
      <c r="BO58" s="2215">
        <f>BN58</f>
        <v>151.75</v>
      </c>
      <c r="BP58" s="2215">
        <f>BO58</f>
        <v>151.75</v>
      </c>
      <c r="BQ58" s="2215">
        <f>BP58</f>
        <v>151.75</v>
      </c>
      <c r="BR58" s="2214">
        <f>L58/4</f>
        <v>133</v>
      </c>
      <c r="BS58" s="2215">
        <f>BR58</f>
        <v>133</v>
      </c>
      <c r="BT58" s="2215">
        <f>BS58</f>
        <v>133</v>
      </c>
      <c r="BU58" s="2215">
        <f>BT58</f>
        <v>133</v>
      </c>
      <c r="BV58" s="2214">
        <f>$M$58/4</f>
        <v>138.25</v>
      </c>
      <c r="BW58" s="2215">
        <f>$M$58/4</f>
        <v>138.25</v>
      </c>
      <c r="BX58" s="2215">
        <f>$M$58/4</f>
        <v>138.25</v>
      </c>
      <c r="BY58" s="2215">
        <f>$M$58/4</f>
        <v>138.25</v>
      </c>
      <c r="BZ58" s="2214">
        <f>$N$58/4</f>
        <v>51.5</v>
      </c>
      <c r="CA58" s="2215">
        <f>$N$58/4</f>
        <v>51.5</v>
      </c>
      <c r="CB58" s="2215">
        <f>$N$58/4</f>
        <v>51.5</v>
      </c>
      <c r="CC58" s="2215">
        <f>$N$58/4</f>
        <v>51.5</v>
      </c>
      <c r="CD58" s="2214">
        <f>86/4</f>
        <v>21.5</v>
      </c>
      <c r="CE58" s="2215">
        <f>86/4</f>
        <v>21.5</v>
      </c>
      <c r="CF58" s="2215">
        <f>86/4</f>
        <v>21.5</v>
      </c>
      <c r="CG58" s="2215">
        <f>86/4</f>
        <v>21.5</v>
      </c>
      <c r="CH58" s="2214">
        <v>20</v>
      </c>
      <c r="CI58" s="2215">
        <v>20</v>
      </c>
      <c r="CJ58" s="2215">
        <v>20</v>
      </c>
      <c r="CK58" s="2215">
        <v>20</v>
      </c>
      <c r="CL58" s="2250">
        <v>18.75</v>
      </c>
      <c r="CM58" s="2251">
        <v>18.75</v>
      </c>
      <c r="CN58" s="2251">
        <v>19.75</v>
      </c>
      <c r="CO58" s="2251">
        <v>18.75</v>
      </c>
      <c r="CP58" s="2250">
        <v>18.75</v>
      </c>
      <c r="CQ58" s="2251">
        <v>19.75</v>
      </c>
      <c r="CR58" s="2251">
        <v>20</v>
      </c>
      <c r="CS58" s="2251">
        <v>21</v>
      </c>
      <c r="CT58" s="2250">
        <v>22</v>
      </c>
      <c r="CU58" s="2251">
        <v>23</v>
      </c>
      <c r="CV58" s="2251">
        <v>24</v>
      </c>
      <c r="CW58" s="2251">
        <v>24</v>
      </c>
      <c r="CX58" s="2250">
        <v>24</v>
      </c>
      <c r="CY58" s="2251">
        <v>24</v>
      </c>
      <c r="CZ58" s="2251">
        <v>24</v>
      </c>
      <c r="DA58" s="2251">
        <v>24</v>
      </c>
      <c r="DB58" s="2250">
        <v>24</v>
      </c>
      <c r="DC58" s="2251">
        <v>24</v>
      </c>
      <c r="DD58" s="2251">
        <v>24</v>
      </c>
      <c r="DE58" s="2251">
        <v>24</v>
      </c>
      <c r="DF58" s="2250">
        <v>24</v>
      </c>
      <c r="DG58" s="2251">
        <v>24</v>
      </c>
      <c r="DH58" s="2251">
        <v>24</v>
      </c>
      <c r="DI58" s="2252">
        <v>24</v>
      </c>
      <c r="DJ58" s="2250">
        <v>24</v>
      </c>
      <c r="DK58" s="2251">
        <v>24</v>
      </c>
      <c r="DL58" s="2251">
        <v>24</v>
      </c>
      <c r="DM58" s="2252">
        <v>24</v>
      </c>
      <c r="DN58" s="2251">
        <v>24</v>
      </c>
      <c r="DO58" s="2251">
        <v>24</v>
      </c>
      <c r="DP58" s="2251">
        <v>24</v>
      </c>
      <c r="DQ58" s="2252">
        <v>24</v>
      </c>
      <c r="DR58" s="2250">
        <v>24</v>
      </c>
      <c r="DS58" s="2251">
        <v>24</v>
      </c>
      <c r="DT58" s="2251">
        <v>24</v>
      </c>
      <c r="DU58" s="2252">
        <v>24</v>
      </c>
      <c r="DV58" s="2251">
        <v>24</v>
      </c>
      <c r="DW58" s="2251">
        <f t="shared" ref="DW58" si="232">+DV58</f>
        <v>24</v>
      </c>
      <c r="DX58" s="2251">
        <f t="shared" ref="DX58" si="233">+DW58</f>
        <v>24</v>
      </c>
      <c r="DY58" s="2252">
        <f t="shared" ref="DY58" si="234">+DX58</f>
        <v>24</v>
      </c>
    </row>
    <row r="59" spans="1:129" s="1491" customFormat="1" outlineLevel="1">
      <c r="A59" s="2211"/>
      <c r="B59" s="1903"/>
      <c r="C59" s="1903"/>
      <c r="D59" s="2200"/>
      <c r="E59" s="1903"/>
      <c r="F59" s="1903"/>
      <c r="G59" s="1903"/>
      <c r="H59" s="1903"/>
      <c r="I59" s="1903"/>
      <c r="J59" s="2200"/>
      <c r="K59" s="2200"/>
      <c r="L59" s="2200"/>
      <c r="M59" s="2200"/>
      <c r="N59" s="2200"/>
      <c r="O59" s="2200"/>
      <c r="P59" s="2200"/>
      <c r="Q59" s="2200"/>
      <c r="R59" s="2200"/>
      <c r="S59" s="2200"/>
      <c r="T59" s="2200"/>
      <c r="U59" s="2200"/>
      <c r="V59" s="2200"/>
      <c r="W59" s="2200"/>
      <c r="X59" s="2200"/>
      <c r="Y59" s="2200"/>
      <c r="Z59" s="2200"/>
      <c r="AA59" s="2200"/>
      <c r="AB59" s="2200"/>
      <c r="AC59" s="2200"/>
      <c r="AD59" s="2200"/>
      <c r="AE59" s="2200"/>
      <c r="AF59" s="2200"/>
      <c r="AG59" s="2200"/>
      <c r="AH59" s="2201"/>
      <c r="AI59" s="1927"/>
      <c r="AJ59" s="1561"/>
      <c r="AK59" s="2200"/>
      <c r="AL59" s="2200"/>
      <c r="AM59" s="2200"/>
      <c r="AN59" s="2200"/>
      <c r="AO59" s="2200"/>
      <c r="AP59" s="2202"/>
      <c r="AQ59" s="2200"/>
      <c r="AR59" s="2200"/>
      <c r="AS59" s="2200"/>
      <c r="AT59" s="2202"/>
      <c r="AU59" s="2200"/>
      <c r="AV59" s="2200"/>
      <c r="AW59" s="2200"/>
      <c r="AX59" s="1942"/>
      <c r="AY59" s="1903"/>
      <c r="AZ59" s="1903"/>
      <c r="BA59" s="1903"/>
      <c r="BB59" s="1942"/>
      <c r="BC59" s="1903"/>
      <c r="BD59" s="1903"/>
      <c r="BE59" s="1903"/>
      <c r="BF59" s="1942"/>
      <c r="BG59" s="1903"/>
      <c r="BH59" s="1903"/>
      <c r="BI59" s="1903"/>
      <c r="BJ59" s="2202"/>
      <c r="BK59" s="2200"/>
      <c r="BL59" s="2200"/>
      <c r="BM59" s="2200"/>
      <c r="BN59" s="2202"/>
      <c r="BO59" s="2200"/>
      <c r="BP59" s="2200"/>
      <c r="BQ59" s="2200"/>
      <c r="BR59" s="2202"/>
      <c r="BS59" s="2200"/>
      <c r="BT59" s="2200"/>
      <c r="BU59" s="2200"/>
      <c r="BV59" s="2202"/>
      <c r="BW59" s="2200"/>
      <c r="BX59" s="2200"/>
      <c r="BY59" s="2200"/>
      <c r="BZ59" s="2202"/>
      <c r="CA59" s="2200"/>
      <c r="CB59" s="2200"/>
      <c r="CC59" s="2200"/>
      <c r="CD59" s="2202"/>
      <c r="CE59" s="2200"/>
      <c r="CF59" s="2200"/>
      <c r="CG59" s="2200"/>
      <c r="CH59" s="2202"/>
      <c r="CI59" s="2200"/>
      <c r="CJ59" s="2200"/>
      <c r="CK59" s="2200"/>
      <c r="CL59" s="2202"/>
      <c r="CM59" s="2200"/>
      <c r="CN59" s="2200"/>
      <c r="CO59" s="2200"/>
      <c r="CP59" s="2202"/>
      <c r="CQ59" s="2200"/>
      <c r="CR59" s="2200"/>
      <c r="CS59" s="2200"/>
      <c r="CT59" s="2202"/>
      <c r="CU59" s="2200"/>
      <c r="CV59" s="2200"/>
      <c r="CW59" s="2200"/>
      <c r="CX59" s="2202"/>
      <c r="CY59" s="2200"/>
      <c r="CZ59" s="2200"/>
      <c r="DA59" s="2200"/>
      <c r="DB59" s="2202"/>
      <c r="DC59" s="2200"/>
      <c r="DD59" s="2200"/>
      <c r="DE59" s="2200"/>
      <c r="DF59" s="2202"/>
      <c r="DG59" s="2200"/>
      <c r="DH59" s="2200"/>
      <c r="DI59" s="2203"/>
      <c r="DJ59" s="2202"/>
      <c r="DK59" s="2200"/>
      <c r="DL59" s="2200"/>
      <c r="DM59" s="2203"/>
      <c r="DN59" s="2200"/>
      <c r="DO59" s="2200"/>
      <c r="DP59" s="2200"/>
      <c r="DQ59" s="2203"/>
      <c r="DR59" s="2202"/>
      <c r="DS59" s="2200"/>
      <c r="DT59" s="2200"/>
      <c r="DU59" s="2203"/>
      <c r="DV59" s="2200"/>
      <c r="DW59" s="2200"/>
      <c r="DX59" s="2200"/>
      <c r="DY59" s="2203"/>
    </row>
    <row r="60" spans="1:129" s="1491" customFormat="1" outlineLevel="1">
      <c r="A60" s="1933" t="s">
        <v>968</v>
      </c>
      <c r="B60" s="2205"/>
      <c r="C60" s="2205"/>
      <c r="D60" s="1992"/>
      <c r="E60" s="1992">
        <f t="shared" ref="E60:AA60" si="235">E52+E47</f>
        <v>5009</v>
      </c>
      <c r="F60" s="1992">
        <f t="shared" si="235"/>
        <v>5133</v>
      </c>
      <c r="G60" s="1992">
        <f t="shared" si="235"/>
        <v>11976</v>
      </c>
      <c r="H60" s="1992">
        <f t="shared" si="235"/>
        <v>13752</v>
      </c>
      <c r="I60" s="1992">
        <f t="shared" si="235"/>
        <v>15088</v>
      </c>
      <c r="J60" s="1992">
        <f t="shared" si="235"/>
        <v>15833</v>
      </c>
      <c r="K60" s="1992">
        <f t="shared" si="235"/>
        <v>18405</v>
      </c>
      <c r="L60" s="1992">
        <f t="shared" si="235"/>
        <v>21824</v>
      </c>
      <c r="M60" s="1992">
        <f t="shared" si="235"/>
        <v>24921</v>
      </c>
      <c r="N60" s="1992">
        <f t="shared" si="235"/>
        <v>28443</v>
      </c>
      <c r="O60" s="1992">
        <f t="shared" si="235"/>
        <v>32087</v>
      </c>
      <c r="P60" s="1992">
        <f t="shared" si="235"/>
        <v>41421.476339925757</v>
      </c>
      <c r="Q60" s="1992">
        <f t="shared" si="235"/>
        <v>43687</v>
      </c>
      <c r="R60" s="1992">
        <f t="shared" si="235"/>
        <v>44683</v>
      </c>
      <c r="S60" s="1992">
        <f t="shared" si="235"/>
        <v>51627</v>
      </c>
      <c r="T60" s="1992">
        <f t="shared" si="235"/>
        <v>54100</v>
      </c>
      <c r="U60" s="1992">
        <f t="shared" si="235"/>
        <v>55026</v>
      </c>
      <c r="V60" s="1992">
        <f t="shared" si="235"/>
        <v>60886</v>
      </c>
      <c r="W60" s="1992">
        <f t="shared" si="235"/>
        <v>61707</v>
      </c>
      <c r="X60" s="1992">
        <f t="shared" si="235"/>
        <v>59333</v>
      </c>
      <c r="Y60" s="1992">
        <f t="shared" ref="Y60:Z60" si="236">Y52+Y47</f>
        <v>58304</v>
      </c>
      <c r="Z60" s="1992">
        <f t="shared" ca="1" si="236"/>
        <v>58073.764469470145</v>
      </c>
      <c r="AA60" s="1992">
        <f t="shared" ca="1" si="235"/>
        <v>58512.373917993551</v>
      </c>
      <c r="AB60" s="1992">
        <f t="shared" ref="AB60:AG60" ca="1" si="237">AB52+AB47</f>
        <v>58458.273723627433</v>
      </c>
      <c r="AC60" s="1992">
        <f t="shared" ca="1" si="237"/>
        <v>58372.556646531746</v>
      </c>
      <c r="AD60" s="1992">
        <f t="shared" ca="1" si="237"/>
        <v>58260.365549777489</v>
      </c>
      <c r="AE60" s="1992">
        <f t="shared" ca="1" si="237"/>
        <v>58129.615533623008</v>
      </c>
      <c r="AF60" s="1992">
        <f t="shared" ca="1" si="237"/>
        <v>57988.865022277874</v>
      </c>
      <c r="AG60" s="1992">
        <f t="shared" ca="1" si="237"/>
        <v>57873.013963603677</v>
      </c>
      <c r="AH60" s="2201"/>
      <c r="AI60" s="2125"/>
      <c r="AJ60" s="1561"/>
      <c r="AK60" s="1992"/>
      <c r="AL60" s="1992"/>
      <c r="AM60" s="1992"/>
      <c r="AN60" s="1992"/>
      <c r="AO60" s="1992"/>
      <c r="AP60" s="1993">
        <f>NormInputs!AF269</f>
        <v>1183</v>
      </c>
      <c r="AQ60" s="1992">
        <f>NormInputs!AG269</f>
        <v>1235</v>
      </c>
      <c r="AR60" s="1992">
        <f>NormInputs!AH269</f>
        <v>1257</v>
      </c>
      <c r="AS60" s="1992">
        <f>NormInputs!AI269</f>
        <v>1334</v>
      </c>
      <c r="AT60" s="1993">
        <f>NormInputs!AJ269</f>
        <v>1224</v>
      </c>
      <c r="AU60" s="1992">
        <f>NormInputs!AK269</f>
        <v>1225</v>
      </c>
      <c r="AV60" s="1992">
        <f>NormInputs!AL269</f>
        <v>1315</v>
      </c>
      <c r="AW60" s="1992">
        <f>NormInputs!AM269</f>
        <v>1369</v>
      </c>
      <c r="AX60" s="1993">
        <f>NormInputs!AN269</f>
        <v>2806</v>
      </c>
      <c r="AY60" s="1992">
        <f>NormInputs!AO269</f>
        <v>2961</v>
      </c>
      <c r="AZ60" s="1992">
        <f>NormInputs!AP269</f>
        <v>3008</v>
      </c>
      <c r="BA60" s="1992">
        <f>NormInputs!AQ269</f>
        <v>3201</v>
      </c>
      <c r="BB60" s="1993">
        <f>NormInputs!AR269</f>
        <v>3101</v>
      </c>
      <c r="BC60" s="1992">
        <f>NormInputs!AS269</f>
        <v>3510</v>
      </c>
      <c r="BD60" s="1992">
        <f>NormInputs!AT269</f>
        <v>3462</v>
      </c>
      <c r="BE60" s="1992">
        <f>NormInputs!AU269</f>
        <v>3679</v>
      </c>
      <c r="BF60" s="1993">
        <f>NormInputs!AV269</f>
        <v>3556</v>
      </c>
      <c r="BG60" s="1992">
        <f>NormInputs!AW269</f>
        <v>3704</v>
      </c>
      <c r="BH60" s="1992">
        <f>NormInputs!AX269</f>
        <v>3833</v>
      </c>
      <c r="BI60" s="1992">
        <f>NormInputs!AY269</f>
        <v>3995</v>
      </c>
      <c r="BJ60" s="1993">
        <f>NormInputs!AZ269</f>
        <v>3656</v>
      </c>
      <c r="BK60" s="1992">
        <f>NormInputs!BA269</f>
        <v>3884</v>
      </c>
      <c r="BL60" s="1992">
        <f>NormInputs!BB269</f>
        <v>4059</v>
      </c>
      <c r="BM60" s="1992">
        <f>NormInputs!BC269</f>
        <v>4234</v>
      </c>
      <c r="BN60" s="1993">
        <f>NormInputs!BD269</f>
        <v>4212</v>
      </c>
      <c r="BO60" s="1992">
        <f>NormInputs!BE269</f>
        <v>4496</v>
      </c>
      <c r="BP60" s="1992">
        <f>NormInputs!BF269</f>
        <v>4818</v>
      </c>
      <c r="BQ60" s="1992">
        <f>NormInputs!BG269</f>
        <v>4879</v>
      </c>
      <c r="BR60" s="1993">
        <f>NormInputs!BH269</f>
        <v>4960</v>
      </c>
      <c r="BS60" s="1992">
        <f>NormInputs!BI269</f>
        <v>5232</v>
      </c>
      <c r="BT60" s="1992">
        <f>NormInputs!BJ269</f>
        <v>5665</v>
      </c>
      <c r="BU60" s="1992">
        <f t="shared" ref="BU60:CZ60" si="238">BU52+BU47</f>
        <v>5967</v>
      </c>
      <c r="BV60" s="1993">
        <f t="shared" si="238"/>
        <v>5878</v>
      </c>
      <c r="BW60" s="1992">
        <f t="shared" si="238"/>
        <v>6064</v>
      </c>
      <c r="BX60" s="1992">
        <f t="shared" si="238"/>
        <v>6532</v>
      </c>
      <c r="BY60" s="1992">
        <f t="shared" si="238"/>
        <v>6447</v>
      </c>
      <c r="BZ60" s="1993">
        <f t="shared" si="238"/>
        <v>6698</v>
      </c>
      <c r="CA60" s="1992">
        <f t="shared" si="238"/>
        <v>6888</v>
      </c>
      <c r="CB60" s="1992">
        <f t="shared" si="238"/>
        <v>7282</v>
      </c>
      <c r="CC60" s="1992">
        <f t="shared" si="238"/>
        <v>7575</v>
      </c>
      <c r="CD60" s="1993">
        <f t="shared" si="238"/>
        <v>7578</v>
      </c>
      <c r="CE60" s="1992">
        <f t="shared" si="238"/>
        <v>7834</v>
      </c>
      <c r="CF60" s="1992">
        <f t="shared" si="238"/>
        <v>8235</v>
      </c>
      <c r="CG60" s="1992">
        <f t="shared" si="238"/>
        <v>8440</v>
      </c>
      <c r="CH60" s="1993">
        <f t="shared" si="238"/>
        <v>9896.0496453900705</v>
      </c>
      <c r="CI60" s="1992">
        <f t="shared" si="238"/>
        <v>10132.68540344515</v>
      </c>
      <c r="CJ60" s="1992">
        <f t="shared" si="238"/>
        <v>10792.41416893733</v>
      </c>
      <c r="CK60" s="1992">
        <f t="shared" si="238"/>
        <v>10600.327122153209</v>
      </c>
      <c r="CL60" s="1993">
        <f t="shared" si="238"/>
        <v>10627</v>
      </c>
      <c r="CM60" s="1992">
        <f t="shared" si="238"/>
        <v>10781</v>
      </c>
      <c r="CN60" s="1992">
        <f t="shared" si="238"/>
        <v>11086</v>
      </c>
      <c r="CO60" s="1992">
        <f t="shared" si="238"/>
        <v>11193</v>
      </c>
      <c r="CP60" s="1993">
        <f t="shared" si="238"/>
        <v>10979</v>
      </c>
      <c r="CQ60" s="1992">
        <f t="shared" si="238"/>
        <v>11014</v>
      </c>
      <c r="CR60" s="1992">
        <f t="shared" si="238"/>
        <v>11396</v>
      </c>
      <c r="CS60" s="1992">
        <f t="shared" si="238"/>
        <v>11294</v>
      </c>
      <c r="CT60" s="1993">
        <f t="shared" si="238"/>
        <v>12530</v>
      </c>
      <c r="CU60" s="1992">
        <f t="shared" si="238"/>
        <v>12601</v>
      </c>
      <c r="CV60" s="1992">
        <f t="shared" si="238"/>
        <v>12577</v>
      </c>
      <c r="CW60" s="1992">
        <f t="shared" si="238"/>
        <v>13919</v>
      </c>
      <c r="CX60" s="1993">
        <f t="shared" si="238"/>
        <v>13056</v>
      </c>
      <c r="CY60" s="1992">
        <f t="shared" si="238"/>
        <v>12864</v>
      </c>
      <c r="CZ60" s="1992">
        <f t="shared" si="238"/>
        <v>12977</v>
      </c>
      <c r="DA60" s="1992">
        <f t="shared" ref="DA60:DN60" si="239">DA52+DA47</f>
        <v>15203</v>
      </c>
      <c r="DB60" s="1993">
        <f t="shared" si="239"/>
        <v>13105</v>
      </c>
      <c r="DC60" s="1992">
        <f t="shared" si="239"/>
        <v>13512</v>
      </c>
      <c r="DD60" s="1992">
        <f t="shared" si="239"/>
        <v>13513</v>
      </c>
      <c r="DE60" s="1992">
        <f t="shared" si="239"/>
        <v>14896</v>
      </c>
      <c r="DF60" s="1993">
        <f t="shared" si="239"/>
        <v>13561</v>
      </c>
      <c r="DG60" s="1992">
        <f t="shared" si="239"/>
        <v>14498</v>
      </c>
      <c r="DH60" s="1992">
        <f t="shared" si="239"/>
        <v>14880</v>
      </c>
      <c r="DI60" s="1998">
        <f t="shared" si="239"/>
        <v>17947</v>
      </c>
      <c r="DJ60" s="1993">
        <f t="shared" si="239"/>
        <v>14518</v>
      </c>
      <c r="DK60" s="1992">
        <f t="shared" si="239"/>
        <v>14917</v>
      </c>
      <c r="DL60" s="1992">
        <f t="shared" si="239"/>
        <v>15337</v>
      </c>
      <c r="DM60" s="1998">
        <f t="shared" si="239"/>
        <v>16935</v>
      </c>
      <c r="DN60" s="1992">
        <f t="shared" si="239"/>
        <v>14124</v>
      </c>
      <c r="DO60" s="1992">
        <f t="shared" ref="DO60:DP60" si="240">DO52+DO47</f>
        <v>13687</v>
      </c>
      <c r="DP60" s="1992">
        <f t="shared" si="240"/>
        <v>14454</v>
      </c>
      <c r="DQ60" s="1998">
        <f t="shared" ref="DQ60" si="241">DQ52+DQ47</f>
        <v>17068</v>
      </c>
      <c r="DR60" s="1993">
        <f t="shared" ref="DR60" si="242">DR52+DR47</f>
        <v>13802</v>
      </c>
      <c r="DS60" s="1992">
        <f t="shared" ref="DS60:DT60" si="243">DS52+DS47</f>
        <v>13872</v>
      </c>
      <c r="DT60" s="1992">
        <f t="shared" si="243"/>
        <v>13977</v>
      </c>
      <c r="DU60" s="1998">
        <f t="shared" ref="DU60" si="244">DU52+DU47</f>
        <v>16653</v>
      </c>
      <c r="DV60" s="1992">
        <f t="shared" ref="DV60" si="245">DV52+DV47</f>
        <v>13851</v>
      </c>
      <c r="DW60" s="1992">
        <f t="shared" ref="DW60:DY60" ca="1" si="246">DW52+DW47</f>
        <v>13802.7225307012</v>
      </c>
      <c r="DX60" s="1992">
        <f t="shared" ca="1" si="246"/>
        <v>13931.902554209466</v>
      </c>
      <c r="DY60" s="1998">
        <f t="shared" ca="1" si="246"/>
        <v>16488.139384559479</v>
      </c>
    </row>
    <row r="61" spans="1:129" s="1491" customFormat="1" outlineLevel="1">
      <c r="A61" s="2206" t="s">
        <v>991</v>
      </c>
      <c r="B61" s="2207"/>
      <c r="C61" s="2207"/>
      <c r="D61" s="2207"/>
      <c r="E61" s="2207"/>
      <c r="F61" s="2207">
        <f t="shared" ref="F61:AB61" si="247">F60/E60-1</f>
        <v>2.4755440207626211E-2</v>
      </c>
      <c r="G61" s="2207">
        <f t="shared" si="247"/>
        <v>1.3331385154880189</v>
      </c>
      <c r="H61" s="2207">
        <f t="shared" si="247"/>
        <v>0.14829659318637267</v>
      </c>
      <c r="I61" s="2207">
        <f t="shared" si="247"/>
        <v>9.7149505526468838E-2</v>
      </c>
      <c r="J61" s="2207">
        <f t="shared" si="247"/>
        <v>4.9376988335100735E-2</v>
      </c>
      <c r="K61" s="2207">
        <f t="shared" si="247"/>
        <v>0.16244552516895094</v>
      </c>
      <c r="L61" s="2207">
        <f t="shared" si="247"/>
        <v>0.18576473784297742</v>
      </c>
      <c r="M61" s="2207">
        <f t="shared" si="247"/>
        <v>0.14190799120234598</v>
      </c>
      <c r="N61" s="2207">
        <f t="shared" si="247"/>
        <v>0.14132659203081732</v>
      </c>
      <c r="O61" s="2207">
        <f t="shared" si="247"/>
        <v>0.12811588088457615</v>
      </c>
      <c r="P61" s="2207">
        <f t="shared" si="247"/>
        <v>0.29091147006344498</v>
      </c>
      <c r="Q61" s="2207">
        <f t="shared" si="247"/>
        <v>5.4694420871969962E-2</v>
      </c>
      <c r="R61" s="2207">
        <f t="shared" si="247"/>
        <v>2.2798544189347014E-2</v>
      </c>
      <c r="S61" s="2207">
        <f t="shared" si="247"/>
        <v>0.15540585905154081</v>
      </c>
      <c r="T61" s="2207">
        <f t="shared" si="247"/>
        <v>4.7901291959633552E-2</v>
      </c>
      <c r="U61" s="2207">
        <f t="shared" si="247"/>
        <v>1.7116451016635947E-2</v>
      </c>
      <c r="V61" s="2207">
        <f t="shared" si="247"/>
        <v>0.10649511140188284</v>
      </c>
      <c r="W61" s="2207">
        <f>W60/V60-1</f>
        <v>1.3484216404427984E-2</v>
      </c>
      <c r="X61" s="2207">
        <f>X60/W60-1</f>
        <v>-3.8472134441797534E-2</v>
      </c>
      <c r="Y61" s="2207">
        <f>Y60/X60-1</f>
        <v>-1.7342794060640765E-2</v>
      </c>
      <c r="Z61" s="2207">
        <f ca="1">Z60/Y60-1</f>
        <v>-3.9488805318649289E-3</v>
      </c>
      <c r="AA61" s="2207">
        <f t="shared" ca="1" si="247"/>
        <v>7.5526264317511416E-3</v>
      </c>
      <c r="AB61" s="2207">
        <f t="shared" ca="1" si="247"/>
        <v>-9.2459407717659925E-4</v>
      </c>
      <c r="AC61" s="2207">
        <f t="shared" ref="AC61" ca="1" si="248">AC60/AB60-1</f>
        <v>-1.466295044922683E-3</v>
      </c>
      <c r="AD61" s="2207">
        <f t="shared" ref="AD61" ca="1" si="249">AD60/AC60-1</f>
        <v>-1.9219836032472459E-3</v>
      </c>
      <c r="AE61" s="2207">
        <f t="shared" ref="AE61" ca="1" si="250">AE60/AD60-1</f>
        <v>-2.2442361101007169E-3</v>
      </c>
      <c r="AF61" s="2207">
        <f t="shared" ref="AF61" ca="1" si="251">AF60/AE60-1</f>
        <v>-2.4213219036984812E-3</v>
      </c>
      <c r="AG61" s="2207">
        <f t="shared" ref="AG61" ca="1" si="252">AG60/AF60-1</f>
        <v>-1.9978155914879281E-3</v>
      </c>
      <c r="AH61" s="2201"/>
      <c r="AI61" s="1927"/>
      <c r="AJ61" s="1561"/>
      <c r="AK61" s="2207"/>
      <c r="AL61" s="2207"/>
      <c r="AM61" s="2207"/>
      <c r="AN61" s="2207"/>
      <c r="AO61" s="2207"/>
      <c r="AP61" s="2208"/>
      <c r="AQ61" s="2207"/>
      <c r="AR61" s="2207"/>
      <c r="AS61" s="2207"/>
      <c r="AT61" s="2208"/>
      <c r="AU61" s="2207"/>
      <c r="AV61" s="2207"/>
      <c r="AW61" s="2207"/>
      <c r="AX61" s="2208"/>
      <c r="AY61" s="2207"/>
      <c r="AZ61" s="2207"/>
      <c r="BA61" s="2207"/>
      <c r="BB61" s="2208">
        <f t="shared" ref="BB61:CG61" si="253">BB60/AX60-1</f>
        <v>0.1051318602993585</v>
      </c>
      <c r="BC61" s="2207">
        <f t="shared" si="253"/>
        <v>0.18541033434650456</v>
      </c>
      <c r="BD61" s="2207">
        <f t="shared" si="253"/>
        <v>0.15093085106382986</v>
      </c>
      <c r="BE61" s="2207">
        <f t="shared" si="253"/>
        <v>0.14932833489534514</v>
      </c>
      <c r="BF61" s="2208">
        <f t="shared" si="253"/>
        <v>0.14672686230248311</v>
      </c>
      <c r="BG61" s="2207">
        <f t="shared" si="253"/>
        <v>5.5270655270655222E-2</v>
      </c>
      <c r="BH61" s="2207">
        <f t="shared" si="253"/>
        <v>0.10716348931253616</v>
      </c>
      <c r="BI61" s="2207">
        <f t="shared" si="253"/>
        <v>8.5892905680891474E-2</v>
      </c>
      <c r="BJ61" s="2208">
        <f t="shared" si="253"/>
        <v>2.8121484814398245E-2</v>
      </c>
      <c r="BK61" s="2207">
        <f t="shared" si="253"/>
        <v>4.8596112311015016E-2</v>
      </c>
      <c r="BL61" s="2207">
        <f t="shared" si="253"/>
        <v>5.8961648839029435E-2</v>
      </c>
      <c r="BM61" s="2207">
        <f t="shared" si="253"/>
        <v>5.9824780976220238E-2</v>
      </c>
      <c r="BN61" s="2208">
        <f t="shared" si="253"/>
        <v>0.15207877461706776</v>
      </c>
      <c r="BO61" s="2207">
        <f t="shared" si="253"/>
        <v>0.1575695159629249</v>
      </c>
      <c r="BP61" s="2207">
        <f t="shared" si="253"/>
        <v>0.18699186991869921</v>
      </c>
      <c r="BQ61" s="2207">
        <f t="shared" si="253"/>
        <v>0.15233821445441653</v>
      </c>
      <c r="BR61" s="2208">
        <f t="shared" si="253"/>
        <v>0.17758784425451091</v>
      </c>
      <c r="BS61" s="2207">
        <f t="shared" si="253"/>
        <v>0.16370106761565828</v>
      </c>
      <c r="BT61" s="2207">
        <f t="shared" si="253"/>
        <v>0.17579908675799083</v>
      </c>
      <c r="BU61" s="2207">
        <f t="shared" si="253"/>
        <v>0.22299651567944245</v>
      </c>
      <c r="BV61" s="2208">
        <f t="shared" si="253"/>
        <v>0.1850806451612903</v>
      </c>
      <c r="BW61" s="2207">
        <f t="shared" si="253"/>
        <v>0.15902140672782883</v>
      </c>
      <c r="BX61" s="2207">
        <f t="shared" si="253"/>
        <v>0.15304501323918807</v>
      </c>
      <c r="BY61" s="2207">
        <f t="shared" si="253"/>
        <v>8.044243338360979E-2</v>
      </c>
      <c r="BZ61" s="2208">
        <f t="shared" si="253"/>
        <v>0.13950323239197004</v>
      </c>
      <c r="CA61" s="2207">
        <f t="shared" si="253"/>
        <v>0.13588390501319259</v>
      </c>
      <c r="CB61" s="2207">
        <f t="shared" si="253"/>
        <v>0.11481935088793627</v>
      </c>
      <c r="CC61" s="2207">
        <f t="shared" si="253"/>
        <v>0.17496510004653332</v>
      </c>
      <c r="CD61" s="2208">
        <f t="shared" si="253"/>
        <v>0.13138250223947456</v>
      </c>
      <c r="CE61" s="2207">
        <f t="shared" si="253"/>
        <v>0.13734030197444835</v>
      </c>
      <c r="CF61" s="2207">
        <f t="shared" si="253"/>
        <v>0.13087063993408399</v>
      </c>
      <c r="CG61" s="2207">
        <f t="shared" si="253"/>
        <v>0.11419141914191422</v>
      </c>
      <c r="CH61" s="2229" t="s">
        <v>1149</v>
      </c>
      <c r="CI61" s="1986" t="s">
        <v>1149</v>
      </c>
      <c r="CJ61" s="1986" t="s">
        <v>1149</v>
      </c>
      <c r="CK61" s="1986" t="s">
        <v>1149</v>
      </c>
      <c r="CL61" s="2208">
        <f t="shared" ref="CL61:DV61" si="254">CL60/CH60-1</f>
        <v>7.3862842326223754E-2</v>
      </c>
      <c r="CM61" s="2207">
        <f t="shared" si="254"/>
        <v>6.3982505203844742E-2</v>
      </c>
      <c r="CN61" s="2207">
        <f t="shared" si="254"/>
        <v>2.7202980395958809E-2</v>
      </c>
      <c r="CO61" s="2207">
        <f t="shared" si="254"/>
        <v>5.5910810205864969E-2</v>
      </c>
      <c r="CP61" s="2208">
        <f t="shared" si="254"/>
        <v>3.3123176813776301E-2</v>
      </c>
      <c r="CQ61" s="2207">
        <f t="shared" si="254"/>
        <v>2.1612095352935734E-2</v>
      </c>
      <c r="CR61" s="2207">
        <f t="shared" si="254"/>
        <v>2.7963196824824177E-2</v>
      </c>
      <c r="CS61" s="2207">
        <f t="shared" si="254"/>
        <v>9.0234968283748884E-3</v>
      </c>
      <c r="CT61" s="2208">
        <f t="shared" si="254"/>
        <v>0.14126969669368794</v>
      </c>
      <c r="CU61" s="2207">
        <f t="shared" si="254"/>
        <v>0.14408934083893232</v>
      </c>
      <c r="CV61" s="2207">
        <f t="shared" si="254"/>
        <v>0.10363285363285368</v>
      </c>
      <c r="CW61" s="2207">
        <f t="shared" si="254"/>
        <v>0.23242429608641757</v>
      </c>
      <c r="CX61" s="2208">
        <f t="shared" si="254"/>
        <v>4.1979249800478957E-2</v>
      </c>
      <c r="CY61" s="2207">
        <f t="shared" si="254"/>
        <v>2.0871359415919333E-2</v>
      </c>
      <c r="CZ61" s="2207">
        <f t="shared" si="254"/>
        <v>3.1804086825157007E-2</v>
      </c>
      <c r="DA61" s="2207">
        <f t="shared" si="254"/>
        <v>9.2248006322293241E-2</v>
      </c>
      <c r="DB61" s="2208">
        <f t="shared" si="254"/>
        <v>3.7530637254901134E-3</v>
      </c>
      <c r="DC61" s="2207">
        <f t="shared" si="254"/>
        <v>5.0373134328358216E-2</v>
      </c>
      <c r="DD61" s="2207">
        <f t="shared" si="254"/>
        <v>4.1303845264698991E-2</v>
      </c>
      <c r="DE61" s="2207">
        <f t="shared" si="254"/>
        <v>-2.0193382884956868E-2</v>
      </c>
      <c r="DF61" s="2208">
        <f t="shared" si="254"/>
        <v>3.4795879435330024E-2</v>
      </c>
      <c r="DG61" s="2207">
        <f t="shared" si="254"/>
        <v>7.2972172883362996E-2</v>
      </c>
      <c r="DH61" s="2207">
        <f t="shared" si="254"/>
        <v>0.10116184415007767</v>
      </c>
      <c r="DI61" s="2209">
        <f t="shared" si="254"/>
        <v>0.2048200859291085</v>
      </c>
      <c r="DJ61" s="2208">
        <f t="shared" si="254"/>
        <v>7.0570016960401105E-2</v>
      </c>
      <c r="DK61" s="2207">
        <f t="shared" si="254"/>
        <v>2.890053800524206E-2</v>
      </c>
      <c r="DL61" s="2207">
        <f t="shared" si="254"/>
        <v>3.0712365591397894E-2</v>
      </c>
      <c r="DM61" s="2209">
        <f t="shared" si="254"/>
        <v>-5.6388254304340579E-2</v>
      </c>
      <c r="DN61" s="2207">
        <f t="shared" si="254"/>
        <v>-2.7138724342195886E-2</v>
      </c>
      <c r="DO61" s="2207">
        <f t="shared" si="254"/>
        <v>-8.2456257960715984E-2</v>
      </c>
      <c r="DP61" s="2207">
        <f t="shared" si="254"/>
        <v>-5.7573189020016957E-2</v>
      </c>
      <c r="DQ61" s="2209">
        <f t="shared" si="254"/>
        <v>7.8535577206968465E-3</v>
      </c>
      <c r="DR61" s="2208">
        <f t="shared" si="254"/>
        <v>-2.2798074199943397E-2</v>
      </c>
      <c r="DS61" s="2207">
        <f t="shared" si="254"/>
        <v>1.3516475487689084E-2</v>
      </c>
      <c r="DT61" s="2207">
        <f t="shared" si="254"/>
        <v>-3.3001245330012474E-2</v>
      </c>
      <c r="DU61" s="2209">
        <f t="shared" si="254"/>
        <v>-2.4314506679165682E-2</v>
      </c>
      <c r="DV61" s="2207">
        <f t="shared" si="254"/>
        <v>3.5502101144762044E-3</v>
      </c>
      <c r="DW61" s="2207">
        <f t="shared" ref="DW61" ca="1" si="255">DW60/DS60-1</f>
        <v>-4.9940505549884717E-3</v>
      </c>
      <c r="DX61" s="2207">
        <f t="shared" ref="DX61" ca="1" si="256">DX60/DT60-1</f>
        <v>-3.2265468834895561E-3</v>
      </c>
      <c r="DY61" s="2209">
        <f t="shared" ref="DY61" ca="1" si="257">DY60/DU60-1</f>
        <v>-9.8997547253060203E-3</v>
      </c>
    </row>
    <row r="62" spans="1:129" s="1491" customFormat="1" outlineLevel="1">
      <c r="A62" s="2206" t="s">
        <v>1454</v>
      </c>
      <c r="B62" s="2207"/>
      <c r="C62" s="2207"/>
      <c r="D62" s="2207"/>
      <c r="E62" s="2207">
        <f t="shared" ref="E62:P62" si="258">E60/E$14</f>
        <v>0.81091144568560791</v>
      </c>
      <c r="F62" s="2207">
        <f t="shared" si="258"/>
        <v>0.77164762477450388</v>
      </c>
      <c r="G62" s="2207">
        <f t="shared" si="258"/>
        <v>0.8973475198561367</v>
      </c>
      <c r="H62" s="2207">
        <f t="shared" si="258"/>
        <v>0.8859683030537302</v>
      </c>
      <c r="I62" s="2207">
        <f t="shared" si="258"/>
        <v>0.86747542114643827</v>
      </c>
      <c r="J62" s="2207">
        <f t="shared" si="258"/>
        <v>0.81307451342885018</v>
      </c>
      <c r="K62" s="2207">
        <f t="shared" si="258"/>
        <v>0.81840010671884034</v>
      </c>
      <c r="L62" s="2207">
        <f t="shared" si="258"/>
        <v>0.78895235340900871</v>
      </c>
      <c r="M62" s="2207">
        <f t="shared" si="258"/>
        <v>0.77152410142100869</v>
      </c>
      <c r="N62" s="2207">
        <f t="shared" si="258"/>
        <v>0.6483056868327276</v>
      </c>
      <c r="O62" s="2207">
        <f t="shared" si="258"/>
        <v>0.63330051073385851</v>
      </c>
      <c r="P62" s="2207">
        <f t="shared" si="258"/>
        <v>0.83964721357183481</v>
      </c>
      <c r="Q62" s="2207">
        <f t="shared" ref="Q62:V62" si="259">Q60/Q$31</f>
        <v>0.7241939494405305</v>
      </c>
      <c r="R62" s="2207">
        <f t="shared" si="259"/>
        <v>0.70470137366536822</v>
      </c>
      <c r="S62" s="2207">
        <f t="shared" si="259"/>
        <v>0.73590957037374916</v>
      </c>
      <c r="T62" s="2207">
        <f t="shared" si="259"/>
        <v>0.71308061369747455</v>
      </c>
      <c r="U62" s="2207">
        <f t="shared" si="259"/>
        <v>0.67914049097169937</v>
      </c>
      <c r="V62" s="2207">
        <f t="shared" si="259"/>
        <v>0.69468087533943368</v>
      </c>
      <c r="W62" s="2207">
        <f t="shared" ref="W62:AB62" si="260">W60/W$31</f>
        <v>0.67306937172774872</v>
      </c>
      <c r="X62" s="2207">
        <f t="shared" si="260"/>
        <v>0.66527257641333837</v>
      </c>
      <c r="Y62" s="2207">
        <f t="shared" si="260"/>
        <v>0.66624767172126931</v>
      </c>
      <c r="Z62" s="2207">
        <f t="shared" ca="1" si="260"/>
        <v>0.65251031771274548</v>
      </c>
      <c r="AA62" s="2207">
        <f t="shared" ca="1" si="260"/>
        <v>0.65507239121864069</v>
      </c>
      <c r="AB62" s="2207">
        <f t="shared" ca="1" si="260"/>
        <v>0.64838432322326389</v>
      </c>
      <c r="AC62" s="2207">
        <f t="shared" ref="AC62:AG62" ca="1" si="261">AC60/AC$31</f>
        <v>0.64116001175914028</v>
      </c>
      <c r="AD62" s="2207">
        <f t="shared" ca="1" si="261"/>
        <v>0.63350533078505356</v>
      </c>
      <c r="AE62" s="2207">
        <f t="shared" ca="1" si="261"/>
        <v>0.62545762543739492</v>
      </c>
      <c r="AF62" s="2207">
        <f t="shared" ca="1" si="261"/>
        <v>0.61702710793133242</v>
      </c>
      <c r="AG62" s="2207">
        <f t="shared" ca="1" si="261"/>
        <v>0.60849470717438447</v>
      </c>
      <c r="AH62" s="2201"/>
      <c r="AI62" s="1927"/>
      <c r="AJ62" s="1561"/>
      <c r="AK62" s="2207"/>
      <c r="AL62" s="2207"/>
      <c r="AM62" s="2207"/>
      <c r="AN62" s="2207"/>
      <c r="AO62" s="2207"/>
      <c r="AP62" s="2208"/>
      <c r="AQ62" s="2207"/>
      <c r="AR62" s="2207"/>
      <c r="AS62" s="2207"/>
      <c r="AT62" s="2208"/>
      <c r="AU62" s="2207"/>
      <c r="AV62" s="2207"/>
      <c r="AW62" s="2207"/>
      <c r="AX62" s="2208">
        <f t="shared" ref="AX62:CL62" si="262">AX60/AX$14</f>
        <v>0.9107432651736449</v>
      </c>
      <c r="AY62" s="2207">
        <f t="shared" si="262"/>
        <v>0.8907942238267148</v>
      </c>
      <c r="AZ62" s="2207">
        <f t="shared" si="262"/>
        <v>0.87441860465116283</v>
      </c>
      <c r="BA62" s="2207">
        <f t="shared" si="262"/>
        <v>0.91431019708654671</v>
      </c>
      <c r="BB62" s="2208">
        <f t="shared" si="262"/>
        <v>0.89884057971014497</v>
      </c>
      <c r="BC62" s="2207">
        <f t="shared" si="262"/>
        <v>0.88815789473684215</v>
      </c>
      <c r="BD62" s="2207">
        <f t="shared" si="262"/>
        <v>0.85777998017839441</v>
      </c>
      <c r="BE62" s="2207">
        <f t="shared" si="262"/>
        <v>0.90083251714005874</v>
      </c>
      <c r="BF62" s="2208">
        <f t="shared" si="262"/>
        <v>0.87889273356401387</v>
      </c>
      <c r="BG62" s="2207">
        <f t="shared" si="262"/>
        <v>0.84508327629477531</v>
      </c>
      <c r="BH62" s="2207">
        <f t="shared" si="262"/>
        <v>0.84782127847821276</v>
      </c>
      <c r="BI62" s="2207">
        <f t="shared" si="262"/>
        <v>0.89916722934953863</v>
      </c>
      <c r="BJ62" s="2208">
        <f t="shared" si="262"/>
        <v>0.82528216704288937</v>
      </c>
      <c r="BK62" s="2207">
        <f t="shared" si="262"/>
        <v>0.8106867042371112</v>
      </c>
      <c r="BL62" s="2207">
        <f t="shared" si="262"/>
        <v>0.80711871147345393</v>
      </c>
      <c r="BM62" s="2207">
        <f t="shared" si="262"/>
        <v>0.81064522305188591</v>
      </c>
      <c r="BN62" s="2208">
        <f t="shared" si="262"/>
        <v>0.82815572158867479</v>
      </c>
      <c r="BO62" s="2207">
        <f t="shared" si="262"/>
        <v>0.82088734708782185</v>
      </c>
      <c r="BP62" s="2207">
        <f t="shared" si="262"/>
        <v>0.81083810164927639</v>
      </c>
      <c r="BQ62" s="2207">
        <f t="shared" si="262"/>
        <v>0.81534090909090906</v>
      </c>
      <c r="BR62" s="2208">
        <f t="shared" si="262"/>
        <v>0.80493346316131131</v>
      </c>
      <c r="BS62" s="2207">
        <f t="shared" si="262"/>
        <v>0.7641302760332993</v>
      </c>
      <c r="BT62" s="2207">
        <f t="shared" si="262"/>
        <v>0.77485980030091639</v>
      </c>
      <c r="BU62" s="2207">
        <f t="shared" si="262"/>
        <v>0.81272132933805508</v>
      </c>
      <c r="BV62" s="2208">
        <f t="shared" si="262"/>
        <v>0.79239687247236457</v>
      </c>
      <c r="BW62" s="2207">
        <f t="shared" si="262"/>
        <v>0.7728778995666582</v>
      </c>
      <c r="BX62" s="2207">
        <f t="shared" si="262"/>
        <v>0.78218177463776795</v>
      </c>
      <c r="BY62" s="2207">
        <f t="shared" si="262"/>
        <v>0.74222887405019566</v>
      </c>
      <c r="BZ62" s="2208">
        <f t="shared" si="262"/>
        <v>0.76001361624872343</v>
      </c>
      <c r="CA62" s="2207">
        <f t="shared" si="262"/>
        <v>0.74368386957460597</v>
      </c>
      <c r="CB62" s="2207">
        <f t="shared" si="262"/>
        <v>0.73786604519201537</v>
      </c>
      <c r="CC62" s="2207">
        <f t="shared" si="262"/>
        <v>0.75007426477869099</v>
      </c>
      <c r="CD62" s="2208">
        <f t="shared" si="262"/>
        <v>0.73522848549529451</v>
      </c>
      <c r="CE62" s="2207">
        <f t="shared" si="262"/>
        <v>0.72249377478557597</v>
      </c>
      <c r="CF62" s="2207">
        <f t="shared" si="262"/>
        <v>0.72947116662237577</v>
      </c>
      <c r="CG62" s="2207">
        <f t="shared" si="262"/>
        <v>0.73756881936555097</v>
      </c>
      <c r="CH62" s="2208">
        <f t="shared" si="262"/>
        <v>0.84806321410489938</v>
      </c>
      <c r="CI62" s="2207">
        <f t="shared" si="262"/>
        <v>0.83616813033876458</v>
      </c>
      <c r="CJ62" s="2207">
        <f t="shared" si="262"/>
        <v>0.84986330962574452</v>
      </c>
      <c r="CK62" s="2207">
        <f t="shared" si="262"/>
        <v>0.82518504765321565</v>
      </c>
      <c r="CL62" s="2208">
        <f t="shared" si="262"/>
        <v>0.76690481345168504</v>
      </c>
      <c r="CM62" s="2207">
        <f t="shared" ref="CM62:DE62" si="263">CM60/CM$31</f>
        <v>0.71734646350389253</v>
      </c>
      <c r="CN62" s="2207">
        <f t="shared" si="263"/>
        <v>0.72311003848411715</v>
      </c>
      <c r="CO62" s="2207">
        <f t="shared" si="263"/>
        <v>0.7327659574468085</v>
      </c>
      <c r="CP62" s="2208">
        <f t="shared" si="263"/>
        <v>0.71701933124346917</v>
      </c>
      <c r="CQ62" s="2207">
        <f t="shared" si="263"/>
        <v>0.7016627381028222</v>
      </c>
      <c r="CR62" s="2207">
        <f t="shared" si="263"/>
        <v>0.70129230769230766</v>
      </c>
      <c r="CS62" s="2207">
        <f t="shared" si="263"/>
        <v>0.69940549913301953</v>
      </c>
      <c r="CT62" s="2208">
        <f t="shared" si="263"/>
        <v>0.7422546057698004</v>
      </c>
      <c r="CU62" s="2207">
        <f t="shared" si="263"/>
        <v>0.72867634302897122</v>
      </c>
      <c r="CV62" s="2207">
        <f t="shared" si="263"/>
        <v>0.70952273496558727</v>
      </c>
      <c r="CW62" s="2207">
        <f t="shared" si="263"/>
        <v>0.762517804316862</v>
      </c>
      <c r="CX62" s="2208">
        <f t="shared" si="263"/>
        <v>0.71449679855524539</v>
      </c>
      <c r="CY62" s="2207">
        <f t="shared" si="263"/>
        <v>0.69246918232222643</v>
      </c>
      <c r="CZ62" s="2207">
        <f t="shared" si="263"/>
        <v>0.68213835155592939</v>
      </c>
      <c r="DA62" s="2207">
        <f t="shared" si="263"/>
        <v>0.76037811343403017</v>
      </c>
      <c r="DB62" s="2208">
        <f t="shared" si="263"/>
        <v>0.67125954002970856</v>
      </c>
      <c r="DC62" s="2207">
        <f t="shared" si="263"/>
        <v>0.67641169403283941</v>
      </c>
      <c r="DD62" s="2207">
        <f t="shared" si="263"/>
        <v>0.66243443306044414</v>
      </c>
      <c r="DE62" s="2207">
        <f t="shared" si="263"/>
        <v>0.70513609467455618</v>
      </c>
      <c r="DF62" s="2208">
        <f>DF60/DF$31</f>
        <v>0.64950428660376458</v>
      </c>
      <c r="DG62" s="2207">
        <f>DG60/DG$31</f>
        <v>0.67485919098822322</v>
      </c>
      <c r="DH62" s="2207">
        <f>DH60/DH$31</f>
        <v>0.68147469658804671</v>
      </c>
      <c r="DI62" s="2209">
        <f>DI60/DI$31</f>
        <v>0.76536312849162014</v>
      </c>
      <c r="DJ62" s="2208">
        <f t="shared" ref="DJ62:DM62" si="264">DJ60/DJ$31</f>
        <v>0.65021497671085637</v>
      </c>
      <c r="DK62" s="2207">
        <f t="shared" si="264"/>
        <v>0.65966479458718441</v>
      </c>
      <c r="DL62" s="2207">
        <f t="shared" si="264"/>
        <v>0.66668115627037605</v>
      </c>
      <c r="DM62" s="2209">
        <f t="shared" si="264"/>
        <v>0.71353332771551359</v>
      </c>
      <c r="DN62" s="2207">
        <f t="shared" ref="DN62:DO62" si="265">DN60/DN$31</f>
        <v>0.64188329394655519</v>
      </c>
      <c r="DO62" s="2207">
        <f t="shared" si="265"/>
        <v>0.63062108367121272</v>
      </c>
      <c r="DP62" s="2207">
        <f t="shared" ref="DP62:DQ62" si="266">DP60/DP$31</f>
        <v>0.65399755667164383</v>
      </c>
      <c r="DQ62" s="2209">
        <f t="shared" si="266"/>
        <v>0.73011934807716983</v>
      </c>
      <c r="DR62" s="2208">
        <f t="shared" ref="DR62" si="267">DR60/DR$31</f>
        <v>0.6610786473800172</v>
      </c>
      <c r="DS62" s="2207">
        <f t="shared" ref="DS62:DT62" si="268">DS60/DS$31</f>
        <v>0.65181843811671836</v>
      </c>
      <c r="DT62" s="2207">
        <f t="shared" si="268"/>
        <v>0.6476830398517146</v>
      </c>
      <c r="DU62" s="2209">
        <f t="shared" ref="DU62" si="269">DU60/DU$31</f>
        <v>0.70055950527954225</v>
      </c>
      <c r="DV62" s="2207">
        <f t="shared" ref="DV62" si="270">DV60/DV$31</f>
        <v>0.6324657534246575</v>
      </c>
      <c r="DW62" s="2207">
        <f t="shared" ref="DW62:DY62" ca="1" si="271">DW60/DW$31</f>
        <v>0.63615760600152249</v>
      </c>
      <c r="DX62" s="2207">
        <f t="shared" ca="1" si="271"/>
        <v>0.63335521134967354</v>
      </c>
      <c r="DY62" s="2209">
        <f t="shared" ca="1" si="271"/>
        <v>0.70442469439574096</v>
      </c>
    </row>
    <row r="63" spans="1:129" s="1491" customFormat="1" outlineLevel="1">
      <c r="A63" s="2211" t="s">
        <v>1237</v>
      </c>
      <c r="B63" s="1903"/>
      <c r="C63" s="1903"/>
      <c r="D63" s="2200"/>
      <c r="E63" s="2200">
        <f t="shared" ref="E63:AA63" si="272">E60-E52-E47</f>
        <v>0</v>
      </c>
      <c r="F63" s="2200">
        <f t="shared" si="272"/>
        <v>0</v>
      </c>
      <c r="G63" s="2200">
        <f t="shared" si="272"/>
        <v>0</v>
      </c>
      <c r="H63" s="2200">
        <f t="shared" si="272"/>
        <v>0</v>
      </c>
      <c r="I63" s="2200">
        <f t="shared" si="272"/>
        <v>0</v>
      </c>
      <c r="J63" s="2200">
        <f t="shared" si="272"/>
        <v>0</v>
      </c>
      <c r="K63" s="2200">
        <f t="shared" si="272"/>
        <v>0</v>
      </c>
      <c r="L63" s="2200">
        <f t="shared" si="272"/>
        <v>0</v>
      </c>
      <c r="M63" s="2200">
        <f t="shared" si="272"/>
        <v>0</v>
      </c>
      <c r="N63" s="2200">
        <f t="shared" si="272"/>
        <v>0</v>
      </c>
      <c r="O63" s="2200">
        <f t="shared" si="272"/>
        <v>0</v>
      </c>
      <c r="P63" s="2200">
        <f t="shared" si="272"/>
        <v>0</v>
      </c>
      <c r="Q63" s="2200">
        <f t="shared" si="272"/>
        <v>0</v>
      </c>
      <c r="R63" s="2200">
        <f t="shared" si="272"/>
        <v>0</v>
      </c>
      <c r="S63" s="2200">
        <f t="shared" si="272"/>
        <v>0</v>
      </c>
      <c r="T63" s="2200">
        <f t="shared" si="272"/>
        <v>0</v>
      </c>
      <c r="U63" s="2200">
        <f t="shared" si="272"/>
        <v>0</v>
      </c>
      <c r="V63" s="2200">
        <f t="shared" si="272"/>
        <v>0</v>
      </c>
      <c r="W63" s="2200">
        <f t="shared" si="272"/>
        <v>0</v>
      </c>
      <c r="X63" s="2200">
        <f t="shared" si="272"/>
        <v>0</v>
      </c>
      <c r="Y63" s="2200">
        <f t="shared" ref="Y63:Z63" si="273">Y60-Y52-Y47</f>
        <v>0</v>
      </c>
      <c r="Z63" s="2200">
        <f t="shared" ca="1" si="273"/>
        <v>0</v>
      </c>
      <c r="AA63" s="2200">
        <f t="shared" ca="1" si="272"/>
        <v>0</v>
      </c>
      <c r="AB63" s="2200">
        <f t="shared" ref="AB63:AG63" ca="1" si="274">AB60-AB52-AB47</f>
        <v>0</v>
      </c>
      <c r="AC63" s="2200">
        <f t="shared" ca="1" si="274"/>
        <v>0</v>
      </c>
      <c r="AD63" s="2200">
        <f t="shared" ca="1" si="274"/>
        <v>0</v>
      </c>
      <c r="AE63" s="2200">
        <f t="shared" ca="1" si="274"/>
        <v>0</v>
      </c>
      <c r="AF63" s="2200">
        <f t="shared" ca="1" si="274"/>
        <v>0</v>
      </c>
      <c r="AG63" s="2200">
        <f t="shared" ca="1" si="274"/>
        <v>0</v>
      </c>
      <c r="AH63" s="2201"/>
      <c r="AI63" s="1927"/>
      <c r="AJ63" s="1561"/>
      <c r="AK63" s="2200"/>
      <c r="AL63" s="2200"/>
      <c r="AM63" s="2200"/>
      <c r="AN63" s="2200"/>
      <c r="AO63" s="2200"/>
      <c r="AP63" s="2202">
        <f t="shared" ref="AP63:AW63" si="275">AP60-SUM(AP47:AP52)</f>
        <v>0</v>
      </c>
      <c r="AQ63" s="2200">
        <f t="shared" si="275"/>
        <v>0</v>
      </c>
      <c r="AR63" s="2200">
        <f t="shared" si="275"/>
        <v>0</v>
      </c>
      <c r="AS63" s="2200">
        <f t="shared" si="275"/>
        <v>0</v>
      </c>
      <c r="AT63" s="2202">
        <f t="shared" si="275"/>
        <v>0</v>
      </c>
      <c r="AU63" s="2200">
        <f t="shared" si="275"/>
        <v>0</v>
      </c>
      <c r="AV63" s="2200">
        <f t="shared" si="275"/>
        <v>0</v>
      </c>
      <c r="AW63" s="2200">
        <f t="shared" si="275"/>
        <v>0</v>
      </c>
      <c r="AX63" s="2202">
        <f t="shared" ref="AX63:BI63" si="276">AX60-AX52-AX47</f>
        <v>0</v>
      </c>
      <c r="AY63" s="2200">
        <f t="shared" si="276"/>
        <v>0</v>
      </c>
      <c r="AZ63" s="2200">
        <f t="shared" si="276"/>
        <v>0</v>
      </c>
      <c r="BA63" s="2200">
        <f t="shared" si="276"/>
        <v>0</v>
      </c>
      <c r="BB63" s="2202">
        <f t="shared" si="276"/>
        <v>0</v>
      </c>
      <c r="BC63" s="2200">
        <f t="shared" si="276"/>
        <v>0</v>
      </c>
      <c r="BD63" s="2200">
        <f t="shared" si="276"/>
        <v>0</v>
      </c>
      <c r="BE63" s="2200">
        <f t="shared" si="276"/>
        <v>0</v>
      </c>
      <c r="BF63" s="2202">
        <f t="shared" si="276"/>
        <v>0</v>
      </c>
      <c r="BG63" s="2200">
        <f t="shared" si="276"/>
        <v>0</v>
      </c>
      <c r="BH63" s="2200">
        <f t="shared" si="276"/>
        <v>0</v>
      </c>
      <c r="BI63" s="2200">
        <f t="shared" si="276"/>
        <v>0</v>
      </c>
      <c r="BJ63" s="2202"/>
      <c r="BK63" s="2200"/>
      <c r="BL63" s="2200"/>
      <c r="BM63" s="2200"/>
      <c r="BN63" s="2202"/>
      <c r="BO63" s="2200"/>
      <c r="BP63" s="2200"/>
      <c r="BQ63" s="2200"/>
      <c r="BR63" s="2202"/>
      <c r="BS63" s="2200"/>
      <c r="BT63" s="2200"/>
      <c r="BU63" s="2200"/>
      <c r="BV63" s="2202"/>
      <c r="BW63" s="2200"/>
      <c r="BX63" s="2200"/>
      <c r="BY63" s="2200"/>
      <c r="BZ63" s="2202"/>
      <c r="CA63" s="2200"/>
      <c r="CB63" s="2200"/>
      <c r="CC63" s="2200"/>
      <c r="CD63" s="2202"/>
      <c r="CE63" s="2200"/>
      <c r="CF63" s="2200"/>
      <c r="CG63" s="2200"/>
      <c r="CH63" s="2202"/>
      <c r="CI63" s="2200"/>
      <c r="CJ63" s="2200"/>
      <c r="CK63" s="2200"/>
      <c r="CL63" s="2202"/>
      <c r="CM63" s="2200"/>
      <c r="CN63" s="2200"/>
      <c r="CO63" s="2200"/>
      <c r="CP63" s="2202"/>
      <c r="CQ63" s="2200"/>
      <c r="CR63" s="2200"/>
      <c r="CS63" s="2200"/>
      <c r="CT63" s="2202"/>
      <c r="CU63" s="2200"/>
      <c r="CV63" s="2200"/>
      <c r="CW63" s="2200"/>
      <c r="CX63" s="2202"/>
      <c r="CY63" s="2200"/>
      <c r="CZ63" s="2200"/>
      <c r="DA63" s="2200"/>
      <c r="DB63" s="2202"/>
      <c r="DC63" s="2200"/>
      <c r="DD63" s="2200"/>
      <c r="DE63" s="2200"/>
      <c r="DF63" s="2202"/>
      <c r="DG63" s="2200"/>
      <c r="DH63" s="2200"/>
      <c r="DI63" s="2203"/>
      <c r="DJ63" s="2202"/>
      <c r="DK63" s="2200"/>
      <c r="DL63" s="2200"/>
      <c r="DM63" s="2203"/>
      <c r="DN63" s="2200"/>
      <c r="DO63" s="2200"/>
      <c r="DP63" s="2200"/>
      <c r="DQ63" s="2203"/>
      <c r="DR63" s="2202"/>
      <c r="DS63" s="2200"/>
      <c r="DT63" s="2200"/>
      <c r="DU63" s="2203"/>
      <c r="DV63" s="2200"/>
      <c r="DW63" s="2200"/>
      <c r="DX63" s="2200"/>
      <c r="DY63" s="2203"/>
    </row>
    <row r="64" spans="1:129" s="1491" customFormat="1" outlineLevel="1">
      <c r="A64" s="1942"/>
      <c r="B64" s="1903"/>
      <c r="C64" s="1903"/>
      <c r="D64" s="2200"/>
      <c r="E64" s="2200"/>
      <c r="F64" s="2200"/>
      <c r="G64" s="2200"/>
      <c r="H64" s="2200"/>
      <c r="I64" s="2200"/>
      <c r="J64" s="2200"/>
      <c r="K64" s="2200"/>
      <c r="L64" s="2200"/>
      <c r="M64" s="2200"/>
      <c r="N64" s="2200"/>
      <c r="O64" s="2200"/>
      <c r="P64" s="2200"/>
      <c r="Q64" s="2200"/>
      <c r="R64" s="2200"/>
      <c r="S64" s="2200"/>
      <c r="T64" s="2200"/>
      <c r="U64" s="2200"/>
      <c r="V64" s="2200"/>
      <c r="W64" s="2200"/>
      <c r="X64" s="2200"/>
      <c r="Y64" s="2200"/>
      <c r="Z64" s="2200"/>
      <c r="AA64" s="2200"/>
      <c r="AB64" s="2200"/>
      <c r="AC64" s="2200"/>
      <c r="AD64" s="2200"/>
      <c r="AE64" s="2200"/>
      <c r="AF64" s="2200"/>
      <c r="AG64" s="2200"/>
      <c r="AH64" s="2201"/>
      <c r="AI64" s="1927"/>
      <c r="AJ64" s="1561"/>
      <c r="AK64" s="2200"/>
      <c r="AL64" s="2200"/>
      <c r="AM64" s="2200"/>
      <c r="AN64" s="2200"/>
      <c r="AO64" s="2200"/>
      <c r="AP64" s="2202"/>
      <c r="AQ64" s="2200"/>
      <c r="AR64" s="2200"/>
      <c r="AS64" s="2200"/>
      <c r="AT64" s="2202"/>
      <c r="AU64" s="2200"/>
      <c r="AV64" s="2200"/>
      <c r="AW64" s="2200"/>
      <c r="AX64" s="2202"/>
      <c r="AY64" s="2200"/>
      <c r="AZ64" s="2200"/>
      <c r="BA64" s="2200"/>
      <c r="BB64" s="2202"/>
      <c r="BC64" s="2200"/>
      <c r="BD64" s="2200"/>
      <c r="BE64" s="2200"/>
      <c r="BF64" s="2202"/>
      <c r="BG64" s="2200"/>
      <c r="BH64" s="2200"/>
      <c r="BI64" s="2200"/>
      <c r="BJ64" s="2202"/>
      <c r="BK64" s="2200"/>
      <c r="BL64" s="2200"/>
      <c r="BM64" s="2200"/>
      <c r="BN64" s="2202"/>
      <c r="BO64" s="2200"/>
      <c r="BP64" s="2200"/>
      <c r="BQ64" s="2200"/>
      <c r="BR64" s="2202"/>
      <c r="BS64" s="2200"/>
      <c r="BT64" s="2200"/>
      <c r="BU64" s="2200"/>
      <c r="BV64" s="2202"/>
      <c r="BW64" s="2200"/>
      <c r="BX64" s="2200"/>
      <c r="BY64" s="2200"/>
      <c r="BZ64" s="2202"/>
      <c r="CA64" s="2200"/>
      <c r="CB64" s="2200"/>
      <c r="CC64" s="2200"/>
      <c r="CD64" s="2202"/>
      <c r="CE64" s="2200"/>
      <c r="CF64" s="2200"/>
      <c r="CG64" s="2200"/>
      <c r="CH64" s="2202"/>
      <c r="CI64" s="2200"/>
      <c r="CJ64" s="2200"/>
      <c r="CK64" s="2200"/>
      <c r="CL64" s="2202"/>
      <c r="CM64" s="2200"/>
      <c r="CN64" s="2200"/>
      <c r="CO64" s="2200"/>
      <c r="CP64" s="2202"/>
      <c r="CQ64" s="2200"/>
      <c r="CR64" s="2200"/>
      <c r="CS64" s="2200"/>
      <c r="CT64" s="2202"/>
      <c r="CU64" s="2200"/>
      <c r="CV64" s="2200"/>
      <c r="CW64" s="2200"/>
      <c r="CX64" s="2202"/>
      <c r="CY64" s="2200"/>
      <c r="CZ64" s="2200"/>
      <c r="DA64" s="2200"/>
      <c r="DB64" s="2202"/>
      <c r="DC64" s="2200"/>
      <c r="DD64" s="2200"/>
      <c r="DE64" s="2200"/>
      <c r="DF64" s="2202"/>
      <c r="DG64" s="2200"/>
      <c r="DH64" s="2200"/>
      <c r="DI64" s="2203"/>
      <c r="DJ64" s="2202"/>
      <c r="DK64" s="2200"/>
      <c r="DL64" s="2200"/>
      <c r="DM64" s="2203"/>
      <c r="DN64" s="2200"/>
      <c r="DO64" s="2200"/>
      <c r="DP64" s="2200"/>
      <c r="DQ64" s="2203"/>
      <c r="DR64" s="2202"/>
      <c r="DS64" s="2200"/>
      <c r="DT64" s="2200"/>
      <c r="DU64" s="2203"/>
      <c r="DV64" s="2200"/>
      <c r="DW64" s="2200"/>
      <c r="DX64" s="2200"/>
      <c r="DY64" s="2203"/>
    </row>
    <row r="65" spans="1:136" s="1491" customFormat="1" outlineLevel="1">
      <c r="A65" s="1933" t="s">
        <v>1460</v>
      </c>
      <c r="B65" s="2205"/>
      <c r="C65" s="2205"/>
      <c r="D65" s="1992"/>
      <c r="E65" s="1992">
        <f t="shared" ref="E65:P65" si="277">E14-E60</f>
        <v>1168</v>
      </c>
      <c r="F65" s="1992">
        <f t="shared" si="277"/>
        <v>1519</v>
      </c>
      <c r="G65" s="1992">
        <f t="shared" si="277"/>
        <v>1370</v>
      </c>
      <c r="H65" s="1992">
        <f t="shared" si="277"/>
        <v>1770</v>
      </c>
      <c r="I65" s="1992">
        <f t="shared" si="277"/>
        <v>2305</v>
      </c>
      <c r="J65" s="1992">
        <f t="shared" si="277"/>
        <v>3640</v>
      </c>
      <c r="K65" s="1992">
        <f t="shared" si="277"/>
        <v>4084</v>
      </c>
      <c r="L65" s="1992">
        <f t="shared" si="277"/>
        <v>5838</v>
      </c>
      <c r="M65" s="1992">
        <f t="shared" si="277"/>
        <v>7380</v>
      </c>
      <c r="N65" s="1992">
        <f t="shared" si="277"/>
        <v>15429.822</v>
      </c>
      <c r="O65" s="1992">
        <f t="shared" si="277"/>
        <v>18579.309999999998</v>
      </c>
      <c r="P65" s="1992">
        <f t="shared" si="277"/>
        <v>7910.5236600742428</v>
      </c>
      <c r="Q65" s="1992">
        <f t="shared" ref="Q65:AA65" si="278">Q31-Q60</f>
        <v>16638</v>
      </c>
      <c r="R65" s="1992">
        <f t="shared" si="278"/>
        <v>18724</v>
      </c>
      <c r="S65" s="1992">
        <f t="shared" si="278"/>
        <v>18527</v>
      </c>
      <c r="T65" s="1992">
        <f t="shared" si="278"/>
        <v>21768</v>
      </c>
      <c r="U65" s="1992">
        <f t="shared" si="278"/>
        <v>25997</v>
      </c>
      <c r="V65" s="1992">
        <f t="shared" si="278"/>
        <v>26760</v>
      </c>
      <c r="W65" s="1992">
        <f t="shared" si="278"/>
        <v>29973</v>
      </c>
      <c r="X65" s="1992">
        <f t="shared" si="278"/>
        <v>29853</v>
      </c>
      <c r="Y65" s="1992">
        <f t="shared" ref="Y65:Z65" si="279">Y31-Y60</f>
        <v>29207</v>
      </c>
      <c r="Z65" s="1992">
        <f t="shared" ca="1" si="279"/>
        <v>30926.766086179938</v>
      </c>
      <c r="AA65" s="1992">
        <f t="shared" ca="1" si="278"/>
        <v>30809.622707665068</v>
      </c>
      <c r="AB65" s="1992">
        <f t="shared" ref="AB65:AG65" ca="1" si="280">AB31-AB60</f>
        <v>31701.638584273904</v>
      </c>
      <c r="AC65" s="1992">
        <f t="shared" ca="1" si="280"/>
        <v>32669.547626902138</v>
      </c>
      <c r="AD65" s="1992">
        <f t="shared" ca="1" si="280"/>
        <v>33704.709909934871</v>
      </c>
      <c r="AE65" s="1992">
        <f t="shared" ca="1" si="280"/>
        <v>34809.719074331944</v>
      </c>
      <c r="AF65" s="1992">
        <f t="shared" ca="1" si="280"/>
        <v>35992.200439648841</v>
      </c>
      <c r="AG65" s="1992">
        <f t="shared" ca="1" si="280"/>
        <v>37235.47799410572</v>
      </c>
      <c r="AH65" s="2201"/>
      <c r="AI65" s="2125"/>
      <c r="AJ65" s="1561"/>
      <c r="AK65" s="1992"/>
      <c r="AL65" s="1992"/>
      <c r="AM65" s="1992"/>
      <c r="AN65" s="2205">
        <f>(N65/I65)^0.2-1</f>
        <v>0.46264185571118666</v>
      </c>
      <c r="AO65" s="1992"/>
      <c r="AP65" s="1993">
        <f t="shared" ref="AP65:CG65" si="281">AP14-AP60</f>
        <v>257</v>
      </c>
      <c r="AQ65" s="1992">
        <f t="shared" si="281"/>
        <v>313</v>
      </c>
      <c r="AR65" s="1992">
        <f t="shared" si="281"/>
        <v>334</v>
      </c>
      <c r="AS65" s="1992">
        <f t="shared" si="281"/>
        <v>264</v>
      </c>
      <c r="AT65" s="1993">
        <f t="shared" si="281"/>
        <v>343</v>
      </c>
      <c r="AU65" s="1992">
        <f t="shared" si="281"/>
        <v>431</v>
      </c>
      <c r="AV65" s="1992">
        <f t="shared" si="281"/>
        <v>397</v>
      </c>
      <c r="AW65" s="1992">
        <f t="shared" si="281"/>
        <v>348</v>
      </c>
      <c r="AX65" s="1993">
        <f t="shared" si="281"/>
        <v>275</v>
      </c>
      <c r="AY65" s="1992">
        <f t="shared" si="281"/>
        <v>363</v>
      </c>
      <c r="AZ65" s="1992">
        <f t="shared" si="281"/>
        <v>432</v>
      </c>
      <c r="BA65" s="1992">
        <f t="shared" si="281"/>
        <v>300</v>
      </c>
      <c r="BB65" s="1993">
        <f t="shared" si="281"/>
        <v>349</v>
      </c>
      <c r="BC65" s="1992">
        <f t="shared" si="281"/>
        <v>442</v>
      </c>
      <c r="BD65" s="1992">
        <f t="shared" si="281"/>
        <v>574</v>
      </c>
      <c r="BE65" s="1992">
        <f t="shared" si="281"/>
        <v>405</v>
      </c>
      <c r="BF65" s="1993">
        <f t="shared" si="281"/>
        <v>490</v>
      </c>
      <c r="BG65" s="1992">
        <f t="shared" si="281"/>
        <v>679</v>
      </c>
      <c r="BH65" s="1992">
        <f t="shared" si="281"/>
        <v>688</v>
      </c>
      <c r="BI65" s="1992">
        <f t="shared" si="281"/>
        <v>448</v>
      </c>
      <c r="BJ65" s="1993">
        <f t="shared" si="281"/>
        <v>774</v>
      </c>
      <c r="BK65" s="1992">
        <f t="shared" si="281"/>
        <v>907</v>
      </c>
      <c r="BL65" s="1992">
        <f t="shared" si="281"/>
        <v>970</v>
      </c>
      <c r="BM65" s="1992">
        <f t="shared" si="281"/>
        <v>989</v>
      </c>
      <c r="BN65" s="1993">
        <f t="shared" si="281"/>
        <v>874</v>
      </c>
      <c r="BO65" s="1992">
        <f t="shared" si="281"/>
        <v>981</v>
      </c>
      <c r="BP65" s="1992">
        <f t="shared" si="281"/>
        <v>1124</v>
      </c>
      <c r="BQ65" s="1992">
        <f t="shared" si="281"/>
        <v>1105</v>
      </c>
      <c r="BR65" s="1993">
        <f t="shared" si="281"/>
        <v>1202</v>
      </c>
      <c r="BS65" s="1992">
        <f t="shared" si="281"/>
        <v>1615</v>
      </c>
      <c r="BT65" s="1992">
        <f t="shared" si="281"/>
        <v>1646</v>
      </c>
      <c r="BU65" s="1992">
        <f t="shared" si="281"/>
        <v>1375</v>
      </c>
      <c r="BV65" s="1993">
        <f t="shared" si="281"/>
        <v>1540</v>
      </c>
      <c r="BW65" s="1992">
        <f t="shared" si="281"/>
        <v>1782</v>
      </c>
      <c r="BX65" s="1992">
        <f t="shared" si="281"/>
        <v>1819</v>
      </c>
      <c r="BY65" s="1992">
        <f t="shared" si="281"/>
        <v>2239</v>
      </c>
      <c r="BZ65" s="1993">
        <f t="shared" si="281"/>
        <v>2115</v>
      </c>
      <c r="CA65" s="1992">
        <f t="shared" si="281"/>
        <v>2374</v>
      </c>
      <c r="CB65" s="1992">
        <f t="shared" si="281"/>
        <v>2587</v>
      </c>
      <c r="CC65" s="1992">
        <f t="shared" si="281"/>
        <v>2524</v>
      </c>
      <c r="CD65" s="1993">
        <f t="shared" si="281"/>
        <v>2729</v>
      </c>
      <c r="CE65" s="1992">
        <f t="shared" si="281"/>
        <v>3009</v>
      </c>
      <c r="CF65" s="1992">
        <f t="shared" si="281"/>
        <v>3054</v>
      </c>
      <c r="CG65" s="1992">
        <f t="shared" si="281"/>
        <v>3003</v>
      </c>
      <c r="CH65" s="1993">
        <f>+CL65/(1+CL66)</f>
        <v>3601.9503546099286</v>
      </c>
      <c r="CI65" s="1992">
        <f>+CM65/(1+CM66)</f>
        <v>3851.3145965548506</v>
      </c>
      <c r="CJ65" s="1992">
        <f>+CN65/(1+CN66)</f>
        <v>3855.5858310626704</v>
      </c>
      <c r="CK65" s="1992">
        <f>+CO65/(1+CO66)</f>
        <v>4225.6728778467914</v>
      </c>
      <c r="CL65" s="1993">
        <f t="shared" ref="CL65:DN65" si="282">CL31-CL60</f>
        <v>4063</v>
      </c>
      <c r="CM65" s="1992">
        <f t="shared" si="282"/>
        <v>4248</v>
      </c>
      <c r="CN65" s="1992">
        <f t="shared" si="282"/>
        <v>4245</v>
      </c>
      <c r="CO65" s="1992">
        <f t="shared" si="282"/>
        <v>4082</v>
      </c>
      <c r="CP65" s="1993">
        <f t="shared" si="282"/>
        <v>4333</v>
      </c>
      <c r="CQ65" s="1992">
        <f t="shared" si="282"/>
        <v>4683</v>
      </c>
      <c r="CR65" s="1992">
        <f t="shared" si="282"/>
        <v>4854</v>
      </c>
      <c r="CS65" s="1992">
        <f t="shared" si="282"/>
        <v>4854</v>
      </c>
      <c r="CT65" s="1993">
        <f t="shared" si="282"/>
        <v>4351</v>
      </c>
      <c r="CU65" s="1992">
        <f t="shared" si="282"/>
        <v>4692</v>
      </c>
      <c r="CV65" s="1992">
        <f t="shared" si="282"/>
        <v>5149</v>
      </c>
      <c r="CW65" s="1992">
        <f t="shared" si="282"/>
        <v>4335</v>
      </c>
      <c r="CX65" s="1993">
        <f t="shared" si="282"/>
        <v>5217</v>
      </c>
      <c r="CY65" s="1992">
        <f t="shared" si="282"/>
        <v>5713</v>
      </c>
      <c r="CZ65" s="1992">
        <f t="shared" si="282"/>
        <v>6047</v>
      </c>
      <c r="DA65" s="1992">
        <f t="shared" si="282"/>
        <v>4791</v>
      </c>
      <c r="DB65" s="1993">
        <f t="shared" si="282"/>
        <v>6418</v>
      </c>
      <c r="DC65" s="1992">
        <f t="shared" si="282"/>
        <v>6464</v>
      </c>
      <c r="DD65" s="1992">
        <f t="shared" si="282"/>
        <v>6886</v>
      </c>
      <c r="DE65" s="1992">
        <f t="shared" si="282"/>
        <v>6229</v>
      </c>
      <c r="DF65" s="1993">
        <f t="shared" si="282"/>
        <v>7318</v>
      </c>
      <c r="DG65" s="1992">
        <f t="shared" si="282"/>
        <v>6985</v>
      </c>
      <c r="DH65" s="1992">
        <f t="shared" si="282"/>
        <v>6955</v>
      </c>
      <c r="DI65" s="1998">
        <f t="shared" si="282"/>
        <v>5502</v>
      </c>
      <c r="DJ65" s="1993">
        <f t="shared" si="282"/>
        <v>7810</v>
      </c>
      <c r="DK65" s="1992">
        <f t="shared" si="282"/>
        <v>7696</v>
      </c>
      <c r="DL65" s="1992">
        <f t="shared" si="282"/>
        <v>7668</v>
      </c>
      <c r="DM65" s="1998">
        <f t="shared" si="282"/>
        <v>6799</v>
      </c>
      <c r="DN65" s="1992">
        <f t="shared" si="282"/>
        <v>7880</v>
      </c>
      <c r="DO65" s="1992">
        <f t="shared" ref="DO65:DP65" si="283">DO31-DO60</f>
        <v>8017</v>
      </c>
      <c r="DP65" s="1992">
        <f t="shared" si="283"/>
        <v>7647</v>
      </c>
      <c r="DQ65" s="1998">
        <f t="shared" ref="DQ65" si="284">DQ31-DQ60</f>
        <v>6309</v>
      </c>
      <c r="DR65" s="1993">
        <f t="shared" ref="DR65" si="285">DR31-DR60</f>
        <v>7076</v>
      </c>
      <c r="DS65" s="1992">
        <f t="shared" ref="DS65:DT65" si="286">DS31-DS60</f>
        <v>7410</v>
      </c>
      <c r="DT65" s="1992">
        <f t="shared" si="286"/>
        <v>7603</v>
      </c>
      <c r="DU65" s="1998">
        <f t="shared" ref="DU65" si="287">DU31-DU60</f>
        <v>7118</v>
      </c>
      <c r="DV65" s="1992">
        <f t="shared" ref="DV65" si="288">DV31-DV60</f>
        <v>8049</v>
      </c>
      <c r="DW65" s="1992">
        <f t="shared" ref="DW65:DY65" ca="1" si="289">DW31-DW60</f>
        <v>7894.2946871801269</v>
      </c>
      <c r="DX65" s="1992">
        <f t="shared" ca="1" si="289"/>
        <v>8065.078451947762</v>
      </c>
      <c r="DY65" s="1998">
        <f t="shared" ca="1" si="289"/>
        <v>6918.3929470520452</v>
      </c>
    </row>
    <row r="66" spans="1:136" s="1491" customFormat="1" outlineLevel="1">
      <c r="A66" s="2206" t="s">
        <v>991</v>
      </c>
      <c r="B66" s="2207"/>
      <c r="C66" s="2207"/>
      <c r="D66" s="2207"/>
      <c r="E66" s="2207"/>
      <c r="F66" s="2207">
        <f t="shared" ref="F66:AB66" si="290">F65/E65-1</f>
        <v>0.30051369863013688</v>
      </c>
      <c r="G66" s="2207">
        <f t="shared" si="290"/>
        <v>-9.8090849242922995E-2</v>
      </c>
      <c r="H66" s="2207">
        <f t="shared" si="290"/>
        <v>0.29197080291970812</v>
      </c>
      <c r="I66" s="2207">
        <f t="shared" si="290"/>
        <v>0.30225988700564965</v>
      </c>
      <c r="J66" s="2207">
        <f t="shared" si="290"/>
        <v>0.57917570498915394</v>
      </c>
      <c r="K66" s="2207">
        <f t="shared" si="290"/>
        <v>0.12197802197802199</v>
      </c>
      <c r="L66" s="2207">
        <f t="shared" si="290"/>
        <v>0.42948090107737502</v>
      </c>
      <c r="M66" s="2207">
        <f t="shared" si="290"/>
        <v>0.26413155190133608</v>
      </c>
      <c r="N66" s="2207">
        <f t="shared" si="290"/>
        <v>1.0907617886178862</v>
      </c>
      <c r="O66" s="2207">
        <f t="shared" si="290"/>
        <v>0.20411693666978126</v>
      </c>
      <c r="P66" s="2207">
        <f t="shared" si="290"/>
        <v>-0.57422941648133086</v>
      </c>
      <c r="Q66" s="2207">
        <f t="shared" si="290"/>
        <v>1.1032741592032411</v>
      </c>
      <c r="R66" s="2207">
        <f t="shared" si="290"/>
        <v>0.12537564611131136</v>
      </c>
      <c r="S66" s="2207">
        <f t="shared" si="290"/>
        <v>-1.0521256141850066E-2</v>
      </c>
      <c r="T66" s="2207">
        <f t="shared" si="290"/>
        <v>0.17493388028283041</v>
      </c>
      <c r="U66" s="2207">
        <f t="shared" si="290"/>
        <v>0.19427600147004775</v>
      </c>
      <c r="V66" s="2207">
        <f t="shared" si="290"/>
        <v>2.9349540331576662E-2</v>
      </c>
      <c r="W66" s="2207">
        <f>W65/V65-1</f>
        <v>0.12006726457399108</v>
      </c>
      <c r="X66" s="2207">
        <f>X65/W65-1</f>
        <v>-4.0036032429185964E-3</v>
      </c>
      <c r="Y66" s="2207">
        <f>Y65/X65-1</f>
        <v>-2.1639366227849788E-2</v>
      </c>
      <c r="Z66" s="2207">
        <f ca="1">Z65/Y65-1</f>
        <v>5.8881983297837337E-2</v>
      </c>
      <c r="AA66" s="2207">
        <f t="shared" ca="1" si="290"/>
        <v>-3.7877668227075389E-3</v>
      </c>
      <c r="AB66" s="2207">
        <f t="shared" ca="1" si="290"/>
        <v>2.8952508931143539E-2</v>
      </c>
      <c r="AC66" s="2207">
        <f t="shared" ref="AC66" ca="1" si="291">AC65/AB65-1</f>
        <v>3.0531830083646794E-2</v>
      </c>
      <c r="AD66" s="2207">
        <f t="shared" ref="AD66" ca="1" si="292">AD65/AC65-1</f>
        <v>3.1685846858201305E-2</v>
      </c>
      <c r="AE66" s="2207">
        <f t="shared" ref="AE66" ca="1" si="293">AE65/AD65-1</f>
        <v>3.2785007417356793E-2</v>
      </c>
      <c r="AF66" s="2207">
        <f t="shared" ref="AF66" ca="1" si="294">AF65/AE65-1</f>
        <v>3.3969862347692281E-2</v>
      </c>
      <c r="AG66" s="2207">
        <f t="shared" ref="AG66" ca="1" si="295">AG65/AF65-1</f>
        <v>3.4542971512441678E-2</v>
      </c>
      <c r="AH66" s="2201"/>
      <c r="AI66" s="1927"/>
      <c r="AJ66" s="1561"/>
      <c r="AK66" s="2207"/>
      <c r="AL66" s="2207"/>
      <c r="AM66" s="2207"/>
      <c r="AN66" s="2207"/>
      <c r="AO66" s="2207"/>
      <c r="AP66" s="2208"/>
      <c r="AQ66" s="2207"/>
      <c r="AR66" s="2207"/>
      <c r="AS66" s="2207"/>
      <c r="AT66" s="2208">
        <f t="shared" ref="AT66:CG66" si="296">AT65/AP65-1</f>
        <v>0.33463035019455245</v>
      </c>
      <c r="AU66" s="2207">
        <f t="shared" si="296"/>
        <v>0.3769968051118211</v>
      </c>
      <c r="AV66" s="2207">
        <f t="shared" si="296"/>
        <v>0.18862275449101795</v>
      </c>
      <c r="AW66" s="2207">
        <f t="shared" si="296"/>
        <v>0.31818181818181812</v>
      </c>
      <c r="AX66" s="2208">
        <f t="shared" si="296"/>
        <v>-0.19825072886297379</v>
      </c>
      <c r="AY66" s="2207">
        <f t="shared" si="296"/>
        <v>-0.15777262180974483</v>
      </c>
      <c r="AZ66" s="2207">
        <f t="shared" si="296"/>
        <v>8.8161209068010171E-2</v>
      </c>
      <c r="BA66" s="2207">
        <f t="shared" si="296"/>
        <v>-0.13793103448275867</v>
      </c>
      <c r="BB66" s="2208">
        <f t="shared" si="296"/>
        <v>0.26909090909090905</v>
      </c>
      <c r="BC66" s="2207">
        <f t="shared" si="296"/>
        <v>0.21763085399449045</v>
      </c>
      <c r="BD66" s="2207">
        <f t="shared" si="296"/>
        <v>0.32870370370370372</v>
      </c>
      <c r="BE66" s="2207">
        <f t="shared" si="296"/>
        <v>0.35000000000000009</v>
      </c>
      <c r="BF66" s="2208">
        <f t="shared" si="296"/>
        <v>0.40401146131805166</v>
      </c>
      <c r="BG66" s="2207">
        <f t="shared" si="296"/>
        <v>0.53619909502262453</v>
      </c>
      <c r="BH66" s="2207">
        <f t="shared" si="296"/>
        <v>0.19860627177700341</v>
      </c>
      <c r="BI66" s="2207">
        <f t="shared" si="296"/>
        <v>0.10617283950617273</v>
      </c>
      <c r="BJ66" s="2208">
        <f t="shared" si="296"/>
        <v>0.57959183673469394</v>
      </c>
      <c r="BK66" s="2207">
        <f t="shared" si="296"/>
        <v>0.33578792341678931</v>
      </c>
      <c r="BL66" s="2207">
        <f t="shared" si="296"/>
        <v>0.40988372093023262</v>
      </c>
      <c r="BM66" s="2207">
        <f t="shared" si="296"/>
        <v>1.2075892857142856</v>
      </c>
      <c r="BN66" s="2208">
        <f t="shared" si="296"/>
        <v>0.12919896640826867</v>
      </c>
      <c r="BO66" s="2207">
        <f t="shared" si="296"/>
        <v>8.1587651598676869E-2</v>
      </c>
      <c r="BP66" s="2207">
        <f t="shared" si="296"/>
        <v>0.15876288659793825</v>
      </c>
      <c r="BQ66" s="2207">
        <f t="shared" si="296"/>
        <v>0.11729019211324565</v>
      </c>
      <c r="BR66" s="2208">
        <f t="shared" si="296"/>
        <v>0.37528604118993125</v>
      </c>
      <c r="BS66" s="2207">
        <f t="shared" si="296"/>
        <v>0.64627930682976564</v>
      </c>
      <c r="BT66" s="2207">
        <f t="shared" si="296"/>
        <v>0.46441281138790025</v>
      </c>
      <c r="BU66" s="2207">
        <f t="shared" si="296"/>
        <v>0.24434389140271495</v>
      </c>
      <c r="BV66" s="2208">
        <f t="shared" si="296"/>
        <v>0.28119800332778699</v>
      </c>
      <c r="BW66" s="2207">
        <f t="shared" si="296"/>
        <v>0.10340557275541795</v>
      </c>
      <c r="BX66" s="2207">
        <f t="shared" si="296"/>
        <v>0.10510328068043751</v>
      </c>
      <c r="BY66" s="2207">
        <f t="shared" si="296"/>
        <v>0.62836363636363646</v>
      </c>
      <c r="BZ66" s="2208">
        <f t="shared" si="296"/>
        <v>0.37337662337662336</v>
      </c>
      <c r="CA66" s="2207">
        <f t="shared" si="296"/>
        <v>0.33221099887766559</v>
      </c>
      <c r="CB66" s="2207">
        <f t="shared" si="296"/>
        <v>0.42221000549752619</v>
      </c>
      <c r="CC66" s="2207">
        <f t="shared" si="296"/>
        <v>0.12728896828941494</v>
      </c>
      <c r="CD66" s="2208">
        <f t="shared" si="296"/>
        <v>0.29030732860520092</v>
      </c>
      <c r="CE66" s="2207">
        <f t="shared" si="296"/>
        <v>0.26748104465037903</v>
      </c>
      <c r="CF66" s="2207">
        <f t="shared" si="296"/>
        <v>0.18051797448782381</v>
      </c>
      <c r="CG66" s="2207">
        <f t="shared" si="296"/>
        <v>0.18977812995245635</v>
      </c>
      <c r="CH66" s="2229" t="s">
        <v>1149</v>
      </c>
      <c r="CI66" s="1986" t="s">
        <v>1149</v>
      </c>
      <c r="CJ66" s="1986" t="s">
        <v>1149</v>
      </c>
      <c r="CK66" s="1986" t="s">
        <v>1149</v>
      </c>
      <c r="CL66" s="2253">
        <v>0.128</v>
      </c>
      <c r="CM66" s="2222">
        <v>0.10300000000000001</v>
      </c>
      <c r="CN66" s="2222">
        <v>0.10099999999999999</v>
      </c>
      <c r="CO66" s="2222">
        <v>-3.4000000000000002E-2</v>
      </c>
      <c r="CP66" s="2208">
        <f t="shared" ref="CP66:DV66" si="297">CP65/CL65-1</f>
        <v>6.6453359586512439E-2</v>
      </c>
      <c r="CQ66" s="2207">
        <f t="shared" si="297"/>
        <v>0.10240112994350281</v>
      </c>
      <c r="CR66" s="2207">
        <f t="shared" si="297"/>
        <v>0.14346289752650176</v>
      </c>
      <c r="CS66" s="2207">
        <f t="shared" si="297"/>
        <v>0.18912297893189622</v>
      </c>
      <c r="CT66" s="2208">
        <f t="shared" si="297"/>
        <v>4.1541657050543357E-3</v>
      </c>
      <c r="CU66" s="2207">
        <f t="shared" si="297"/>
        <v>1.9218449711724261E-3</v>
      </c>
      <c r="CV66" s="2207">
        <f t="shared" si="297"/>
        <v>6.0774618871034303E-2</v>
      </c>
      <c r="CW66" s="2207">
        <f t="shared" si="297"/>
        <v>-0.10692212608158225</v>
      </c>
      <c r="CX66" s="2208">
        <f t="shared" si="297"/>
        <v>0.19903470466559403</v>
      </c>
      <c r="CY66" s="2207">
        <f t="shared" si="297"/>
        <v>0.21760443307757882</v>
      </c>
      <c r="CZ66" s="2207">
        <f t="shared" si="297"/>
        <v>0.17440279665954561</v>
      </c>
      <c r="DA66" s="2207">
        <f t="shared" si="297"/>
        <v>0.10519031141868518</v>
      </c>
      <c r="DB66" s="2208">
        <f t="shared" si="297"/>
        <v>0.2302089323365919</v>
      </c>
      <c r="DC66" s="2207">
        <f t="shared" si="297"/>
        <v>0.13145457727988807</v>
      </c>
      <c r="DD66" s="2207">
        <f t="shared" si="297"/>
        <v>0.13874648586075744</v>
      </c>
      <c r="DE66" s="2207">
        <f t="shared" si="297"/>
        <v>0.30014610728449176</v>
      </c>
      <c r="DF66" s="2208">
        <f t="shared" si="297"/>
        <v>0.14023060143346844</v>
      </c>
      <c r="DG66" s="2207">
        <f t="shared" si="297"/>
        <v>8.0600247524752477E-2</v>
      </c>
      <c r="DH66" s="2207">
        <f t="shared" si="297"/>
        <v>1.0020331106593172E-2</v>
      </c>
      <c r="DI66" s="2209">
        <f t="shared" si="297"/>
        <v>-0.11671215283352065</v>
      </c>
      <c r="DJ66" s="2208">
        <f t="shared" si="297"/>
        <v>6.7231484012025167E-2</v>
      </c>
      <c r="DK66" s="2207">
        <f t="shared" si="297"/>
        <v>0.10178954903364357</v>
      </c>
      <c r="DL66" s="2207">
        <f t="shared" si="297"/>
        <v>0.10251617541337166</v>
      </c>
      <c r="DM66" s="2209">
        <f t="shared" si="297"/>
        <v>0.23573246092330069</v>
      </c>
      <c r="DN66" s="2207">
        <f t="shared" si="297"/>
        <v>8.9628681177977843E-3</v>
      </c>
      <c r="DO66" s="2207">
        <f t="shared" si="297"/>
        <v>4.170997920997932E-2</v>
      </c>
      <c r="DP66" s="2207">
        <f t="shared" si="297"/>
        <v>-2.7386541471048353E-3</v>
      </c>
      <c r="DQ66" s="2209">
        <f t="shared" si="297"/>
        <v>-7.2069421973819714E-2</v>
      </c>
      <c r="DR66" s="2208">
        <f t="shared" si="297"/>
        <v>-0.10203045685279188</v>
      </c>
      <c r="DS66" s="2207">
        <f t="shared" si="297"/>
        <v>-7.5714107521516749E-2</v>
      </c>
      <c r="DT66" s="2207">
        <f t="shared" si="297"/>
        <v>-5.7538904145416625E-3</v>
      </c>
      <c r="DU66" s="2209">
        <f t="shared" si="297"/>
        <v>0.1282295133935647</v>
      </c>
      <c r="DV66" s="2207">
        <f t="shared" si="297"/>
        <v>0.13750706613906161</v>
      </c>
      <c r="DW66" s="2207">
        <f t="shared" ref="DW66" ca="1" si="298">DW65/DS65-1</f>
        <v>6.5356907851569002E-2</v>
      </c>
      <c r="DX66" s="2207">
        <f t="shared" ref="DX66" ca="1" si="299">DX65/DT65-1</f>
        <v>6.0775805859234699E-2</v>
      </c>
      <c r="DY66" s="2209">
        <f t="shared" ref="DY66" ca="1" si="300">DY65/DU65-1</f>
        <v>-2.804257557571721E-2</v>
      </c>
    </row>
    <row r="67" spans="1:136" s="1491" customFormat="1" outlineLevel="1">
      <c r="A67" s="2206" t="s">
        <v>1454</v>
      </c>
      <c r="B67" s="2207"/>
      <c r="C67" s="2207"/>
      <c r="D67" s="2207"/>
      <c r="E67" s="2207">
        <f t="shared" ref="E67:P67" si="301">E65/E$14</f>
        <v>0.18908855431439209</v>
      </c>
      <c r="F67" s="2207">
        <f t="shared" si="301"/>
        <v>0.22835237522549609</v>
      </c>
      <c r="G67" s="2207">
        <f t="shared" si="301"/>
        <v>0.10265248014386333</v>
      </c>
      <c r="H67" s="2207">
        <f t="shared" si="301"/>
        <v>0.11403169694626981</v>
      </c>
      <c r="I67" s="2207">
        <f t="shared" si="301"/>
        <v>0.13252457885356178</v>
      </c>
      <c r="J67" s="2207">
        <f t="shared" si="301"/>
        <v>0.1869254865711498</v>
      </c>
      <c r="K67" s="2207">
        <f t="shared" si="301"/>
        <v>0.18159989328115969</v>
      </c>
      <c r="L67" s="2207">
        <f t="shared" si="301"/>
        <v>0.21104764659099126</v>
      </c>
      <c r="M67" s="2207">
        <f t="shared" si="301"/>
        <v>0.22847589857899137</v>
      </c>
      <c r="N67" s="2207">
        <f t="shared" si="301"/>
        <v>0.35169431316727245</v>
      </c>
      <c r="O67" s="2207">
        <f t="shared" si="301"/>
        <v>0.36669948926614154</v>
      </c>
      <c r="P67" s="2207">
        <f t="shared" si="301"/>
        <v>0.16035278642816514</v>
      </c>
      <c r="Q67" s="2207">
        <f t="shared" ref="Q67:V67" si="302">Q65/Q$31</f>
        <v>0.27580605055946955</v>
      </c>
      <c r="R67" s="2207">
        <f t="shared" si="302"/>
        <v>0.29529862633463183</v>
      </c>
      <c r="S67" s="2207">
        <f t="shared" si="302"/>
        <v>0.26409042962625084</v>
      </c>
      <c r="T67" s="2207">
        <f t="shared" si="302"/>
        <v>0.28691938630252545</v>
      </c>
      <c r="U67" s="2207">
        <f t="shared" si="302"/>
        <v>0.32085950902830063</v>
      </c>
      <c r="V67" s="2207">
        <f t="shared" si="302"/>
        <v>0.30531912466056638</v>
      </c>
      <c r="W67" s="2207">
        <f t="shared" ref="W67:AB67" si="303">W65/W$31</f>
        <v>0.32693062827225133</v>
      </c>
      <c r="X67" s="2207">
        <f t="shared" si="303"/>
        <v>0.33472742358666158</v>
      </c>
      <c r="Y67" s="2207">
        <f t="shared" si="303"/>
        <v>0.33375232827873069</v>
      </c>
      <c r="Z67" s="2207">
        <f t="shared" ca="1" si="303"/>
        <v>0.34748968228725458</v>
      </c>
      <c r="AA67" s="2207">
        <f t="shared" ca="1" si="303"/>
        <v>0.34492760878135925</v>
      </c>
      <c r="AB67" s="2207">
        <f t="shared" ca="1" si="303"/>
        <v>0.35161567677673605</v>
      </c>
      <c r="AC67" s="2207">
        <f t="shared" ref="AC67:AG67" ca="1" si="304">AC65/AC$31</f>
        <v>0.35883998824085972</v>
      </c>
      <c r="AD67" s="2207">
        <f t="shared" ca="1" si="304"/>
        <v>0.36649466921494644</v>
      </c>
      <c r="AE67" s="2207">
        <f t="shared" ca="1" si="304"/>
        <v>0.37454237456260503</v>
      </c>
      <c r="AF67" s="2207">
        <f t="shared" ca="1" si="304"/>
        <v>0.38297289206866758</v>
      </c>
      <c r="AG67" s="2207">
        <f t="shared" ca="1" si="304"/>
        <v>0.39150529282561558</v>
      </c>
      <c r="AH67" s="2201"/>
      <c r="AI67" s="1927"/>
      <c r="AJ67" s="1561"/>
      <c r="AK67" s="2207"/>
      <c r="AL67" s="2207"/>
      <c r="AM67" s="2207"/>
      <c r="AN67" s="2207"/>
      <c r="AO67" s="2207"/>
      <c r="AP67" s="2208"/>
      <c r="AQ67" s="2207"/>
      <c r="AR67" s="2207"/>
      <c r="AS67" s="2207"/>
      <c r="AT67" s="2208"/>
      <c r="AU67" s="2207"/>
      <c r="AV67" s="2207"/>
      <c r="AW67" s="2207"/>
      <c r="AX67" s="2208">
        <f t="shared" ref="AX67:CL67" si="305">AX65/AX$14</f>
        <v>8.9256734826355086E-2</v>
      </c>
      <c r="AY67" s="2207">
        <f t="shared" si="305"/>
        <v>0.1092057761732852</v>
      </c>
      <c r="AZ67" s="2207">
        <f t="shared" si="305"/>
        <v>0.12558139534883722</v>
      </c>
      <c r="BA67" s="2207">
        <f t="shared" si="305"/>
        <v>8.5689802913453295E-2</v>
      </c>
      <c r="BB67" s="2208">
        <f t="shared" si="305"/>
        <v>0.10115942028985507</v>
      </c>
      <c r="BC67" s="2207">
        <f t="shared" si="305"/>
        <v>0.1118421052631579</v>
      </c>
      <c r="BD67" s="2207">
        <f t="shared" si="305"/>
        <v>0.14222001982160554</v>
      </c>
      <c r="BE67" s="2207">
        <f t="shared" si="305"/>
        <v>9.9167482859941231E-2</v>
      </c>
      <c r="BF67" s="2208">
        <f t="shared" si="305"/>
        <v>0.12110726643598616</v>
      </c>
      <c r="BG67" s="2207">
        <f t="shared" si="305"/>
        <v>0.15491672370522472</v>
      </c>
      <c r="BH67" s="2207">
        <f t="shared" si="305"/>
        <v>0.15217872152178721</v>
      </c>
      <c r="BI67" s="2207">
        <f t="shared" si="305"/>
        <v>0.1008327706504614</v>
      </c>
      <c r="BJ67" s="2208">
        <f t="shared" si="305"/>
        <v>0.1747178329571106</v>
      </c>
      <c r="BK67" s="2207">
        <f t="shared" si="305"/>
        <v>0.18931329576288874</v>
      </c>
      <c r="BL67" s="2207">
        <f t="shared" si="305"/>
        <v>0.19288128852654604</v>
      </c>
      <c r="BM67" s="2207">
        <f t="shared" si="305"/>
        <v>0.18935477694811412</v>
      </c>
      <c r="BN67" s="2208">
        <f t="shared" si="305"/>
        <v>0.17184427841132521</v>
      </c>
      <c r="BO67" s="2207">
        <f t="shared" si="305"/>
        <v>0.17911265291217821</v>
      </c>
      <c r="BP67" s="2207">
        <f t="shared" si="305"/>
        <v>0.18916189835072367</v>
      </c>
      <c r="BQ67" s="2207">
        <f t="shared" si="305"/>
        <v>0.18465909090909091</v>
      </c>
      <c r="BR67" s="2208">
        <f t="shared" si="305"/>
        <v>0.19506653683868874</v>
      </c>
      <c r="BS67" s="2207">
        <f t="shared" si="305"/>
        <v>0.23586972396670075</v>
      </c>
      <c r="BT67" s="2207">
        <f t="shared" si="305"/>
        <v>0.22514019969908358</v>
      </c>
      <c r="BU67" s="2207">
        <f t="shared" si="305"/>
        <v>0.18727867066194498</v>
      </c>
      <c r="BV67" s="2208">
        <f t="shared" si="305"/>
        <v>0.20760312752763549</v>
      </c>
      <c r="BW67" s="2207">
        <f t="shared" si="305"/>
        <v>0.22712210043334183</v>
      </c>
      <c r="BX67" s="2207">
        <f t="shared" si="305"/>
        <v>0.21781822536223208</v>
      </c>
      <c r="BY67" s="2207">
        <f t="shared" si="305"/>
        <v>0.25777112594980428</v>
      </c>
      <c r="BZ67" s="2208">
        <f t="shared" si="305"/>
        <v>0.23998638375127651</v>
      </c>
      <c r="CA67" s="2207">
        <f t="shared" si="305"/>
        <v>0.25631613042539408</v>
      </c>
      <c r="CB67" s="2207">
        <f t="shared" si="305"/>
        <v>0.26213395480798463</v>
      </c>
      <c r="CC67" s="2207">
        <f t="shared" si="305"/>
        <v>0.24992573522130904</v>
      </c>
      <c r="CD67" s="2208">
        <f t="shared" si="305"/>
        <v>0.26477151450470554</v>
      </c>
      <c r="CE67" s="2207">
        <f t="shared" si="305"/>
        <v>0.27750622521442403</v>
      </c>
      <c r="CF67" s="2207">
        <f t="shared" si="305"/>
        <v>0.27052883337762423</v>
      </c>
      <c r="CG67" s="2207">
        <f t="shared" si="305"/>
        <v>0.26243118063444903</v>
      </c>
      <c r="CH67" s="2208">
        <f t="shared" si="305"/>
        <v>0.30867686645041809</v>
      </c>
      <c r="CI67" s="2207">
        <f t="shared" si="305"/>
        <v>0.31781767589988863</v>
      </c>
      <c r="CJ67" s="2207">
        <f t="shared" si="305"/>
        <v>0.30361334207911411</v>
      </c>
      <c r="CK67" s="2207">
        <f t="shared" si="305"/>
        <v>0.32894853478489733</v>
      </c>
      <c r="CL67" s="2208">
        <f t="shared" si="305"/>
        <v>0.29320920834235403</v>
      </c>
      <c r="CM67" s="2207">
        <f t="shared" ref="CM67:DE67" si="306">CM65/CM$31</f>
        <v>0.28265353649610753</v>
      </c>
      <c r="CN67" s="2207">
        <f t="shared" si="306"/>
        <v>0.27688996151588285</v>
      </c>
      <c r="CO67" s="2207">
        <f t="shared" si="306"/>
        <v>0.2672340425531915</v>
      </c>
      <c r="CP67" s="2208">
        <f t="shared" si="306"/>
        <v>0.28298066875653083</v>
      </c>
      <c r="CQ67" s="2207">
        <f t="shared" si="306"/>
        <v>0.2983372618971778</v>
      </c>
      <c r="CR67" s="2207">
        <f t="shared" si="306"/>
        <v>0.29870769230769229</v>
      </c>
      <c r="CS67" s="2207">
        <f t="shared" si="306"/>
        <v>0.30059450086698042</v>
      </c>
      <c r="CT67" s="2208">
        <f t="shared" si="306"/>
        <v>0.25774539423019965</v>
      </c>
      <c r="CU67" s="2207">
        <f t="shared" si="306"/>
        <v>0.27132365697102873</v>
      </c>
      <c r="CV67" s="2207">
        <f t="shared" si="306"/>
        <v>0.29047726503441273</v>
      </c>
      <c r="CW67" s="2207">
        <f t="shared" si="306"/>
        <v>0.23748219568313794</v>
      </c>
      <c r="CX67" s="2208">
        <f t="shared" si="306"/>
        <v>0.28550320144475455</v>
      </c>
      <c r="CY67" s="2207">
        <f t="shared" si="306"/>
        <v>0.30753081767777357</v>
      </c>
      <c r="CZ67" s="2207">
        <f t="shared" si="306"/>
        <v>0.31786164844407067</v>
      </c>
      <c r="DA67" s="2207">
        <f t="shared" si="306"/>
        <v>0.23962188656596978</v>
      </c>
      <c r="DB67" s="2208">
        <f t="shared" si="306"/>
        <v>0.32874045997029144</v>
      </c>
      <c r="DC67" s="2207">
        <f t="shared" si="306"/>
        <v>0.32358830596716059</v>
      </c>
      <c r="DD67" s="2207">
        <f t="shared" si="306"/>
        <v>0.33756556693955586</v>
      </c>
      <c r="DE67" s="2207">
        <f t="shared" si="306"/>
        <v>0.29486390532544376</v>
      </c>
      <c r="DF67" s="2208">
        <f>DF65/DF$31</f>
        <v>0.35049571339623548</v>
      </c>
      <c r="DG67" s="2207">
        <f>DG65/DG$31</f>
        <v>0.32514080901177678</v>
      </c>
      <c r="DH67" s="2207">
        <f>DH65/DH$31</f>
        <v>0.31852530341195329</v>
      </c>
      <c r="DI67" s="2209">
        <f>DI65/DI$31</f>
        <v>0.23463687150837989</v>
      </c>
      <c r="DJ67" s="2208">
        <f t="shared" ref="DJ67:DM67" si="307">DJ65/DJ$31</f>
        <v>0.34978502328914368</v>
      </c>
      <c r="DK67" s="2207">
        <f t="shared" si="307"/>
        <v>0.34033520541281564</v>
      </c>
      <c r="DL67" s="2207">
        <f t="shared" si="307"/>
        <v>0.333318843729624</v>
      </c>
      <c r="DM67" s="2209">
        <f t="shared" si="307"/>
        <v>0.28646667228448641</v>
      </c>
      <c r="DN67" s="2207">
        <f t="shared" ref="DN67:DO67" si="308">DN65/DN$31</f>
        <v>0.35811670605344481</v>
      </c>
      <c r="DO67" s="2207">
        <f t="shared" si="308"/>
        <v>0.36937891632878733</v>
      </c>
      <c r="DP67" s="2207">
        <f t="shared" ref="DP67:DQ67" si="309">DP65/DP$31</f>
        <v>0.34600244332835617</v>
      </c>
      <c r="DQ67" s="2209">
        <f t="shared" si="309"/>
        <v>0.26988065192283012</v>
      </c>
      <c r="DR67" s="2208">
        <f t="shared" ref="DR67" si="310">DR65/DR$31</f>
        <v>0.33892135261998274</v>
      </c>
      <c r="DS67" s="2207">
        <f t="shared" ref="DS67:DT67" si="311">DS65/DS$31</f>
        <v>0.34818156188328164</v>
      </c>
      <c r="DT67" s="2207">
        <f t="shared" si="311"/>
        <v>0.35231696014828545</v>
      </c>
      <c r="DU67" s="2209">
        <f t="shared" ref="DU67" si="312">DU65/DU$31</f>
        <v>0.29944049472045769</v>
      </c>
      <c r="DV67" s="2207">
        <f t="shared" ref="DV67" si="313">DV65/DV$31</f>
        <v>0.36753424657534245</v>
      </c>
      <c r="DW67" s="2207">
        <f t="shared" ref="DW67:DY67" ca="1" si="314">DW65/DW$31</f>
        <v>0.36384239399847745</v>
      </c>
      <c r="DX67" s="2207">
        <f t="shared" ca="1" si="314"/>
        <v>0.36664478865032646</v>
      </c>
      <c r="DY67" s="2209">
        <f t="shared" ca="1" si="314"/>
        <v>0.29557530560425899</v>
      </c>
    </row>
    <row r="68" spans="1:136" s="1491" customFormat="1">
      <c r="A68" s="1942"/>
      <c r="B68" s="1903"/>
      <c r="C68" s="1903"/>
      <c r="D68" s="2200"/>
      <c r="E68" s="2200"/>
      <c r="F68" s="2200"/>
      <c r="G68" s="2200"/>
      <c r="H68" s="2200"/>
      <c r="I68" s="2200"/>
      <c r="J68" s="2200"/>
      <c r="K68" s="2200"/>
      <c r="L68" s="2200"/>
      <c r="M68" s="2200"/>
      <c r="N68" s="2200"/>
      <c r="O68" s="2200"/>
      <c r="P68" s="2200"/>
      <c r="Q68" s="2200"/>
      <c r="R68" s="2200"/>
      <c r="S68" s="2200"/>
      <c r="T68" s="2200"/>
      <c r="U68" s="2200"/>
      <c r="V68" s="2200"/>
      <c r="W68" s="2200"/>
      <c r="X68" s="2200"/>
      <c r="Y68" s="2200"/>
      <c r="Z68" s="2200"/>
      <c r="AA68" s="2200"/>
      <c r="AB68" s="2200"/>
      <c r="AC68" s="2200"/>
      <c r="AD68" s="2200"/>
      <c r="AE68" s="2200"/>
      <c r="AF68" s="2200"/>
      <c r="AG68" s="2200"/>
      <c r="AH68" s="2201"/>
      <c r="AI68" s="1927"/>
      <c r="AJ68" s="1561"/>
      <c r="AK68" s="2200"/>
      <c r="AL68" s="2200"/>
      <c r="AM68" s="2200"/>
      <c r="AN68" s="2200"/>
      <c r="AO68" s="2200"/>
      <c r="AP68" s="2202"/>
      <c r="AQ68" s="2200"/>
      <c r="AR68" s="2200"/>
      <c r="AS68" s="2200"/>
      <c r="AT68" s="2202"/>
      <c r="AU68" s="2200"/>
      <c r="AV68" s="2200"/>
      <c r="AW68" s="2200"/>
      <c r="AX68" s="2202"/>
      <c r="AY68" s="2200"/>
      <c r="AZ68" s="2200"/>
      <c r="BA68" s="2200"/>
      <c r="BB68" s="2202"/>
      <c r="BC68" s="2200"/>
      <c r="BD68" s="2200"/>
      <c r="BE68" s="2200"/>
      <c r="BF68" s="2202"/>
      <c r="BG68" s="2200"/>
      <c r="BH68" s="2200"/>
      <c r="BI68" s="2200"/>
      <c r="BJ68" s="2202"/>
      <c r="BK68" s="2200"/>
      <c r="BL68" s="2200"/>
      <c r="BM68" s="2200"/>
      <c r="BN68" s="2202"/>
      <c r="BO68" s="2200"/>
      <c r="BP68" s="2200"/>
      <c r="BQ68" s="2200"/>
      <c r="BR68" s="2202"/>
      <c r="BS68" s="2200"/>
      <c r="BT68" s="2200"/>
      <c r="BU68" s="2200"/>
      <c r="BV68" s="2202"/>
      <c r="BW68" s="2200"/>
      <c r="BX68" s="2200"/>
      <c r="BY68" s="2200"/>
      <c r="BZ68" s="2202"/>
      <c r="CA68" s="2200"/>
      <c r="CB68" s="2200"/>
      <c r="CC68" s="2200"/>
      <c r="CD68" s="2202"/>
      <c r="CE68" s="2200"/>
      <c r="CF68" s="2200"/>
      <c r="CG68" s="2200"/>
      <c r="CH68" s="2202"/>
      <c r="CI68" s="2200"/>
      <c r="CJ68" s="2200"/>
      <c r="CK68" s="2200"/>
      <c r="CL68" s="2202"/>
      <c r="CM68" s="2200"/>
      <c r="CN68" s="2200"/>
      <c r="CO68" s="2200"/>
      <c r="CP68" s="2202"/>
      <c r="CQ68" s="2200"/>
      <c r="CR68" s="2200"/>
      <c r="CS68" s="2200"/>
      <c r="CT68" s="2202"/>
      <c r="CU68" s="2200"/>
      <c r="CV68" s="2200"/>
      <c r="CW68" s="2200"/>
      <c r="CX68" s="2202"/>
      <c r="CY68" s="2200"/>
      <c r="CZ68" s="2200"/>
      <c r="DA68" s="2200"/>
      <c r="DB68" s="2202"/>
      <c r="DC68" s="2200"/>
      <c r="DD68" s="2200"/>
      <c r="DE68" s="2200"/>
      <c r="DF68" s="2202"/>
      <c r="DG68" s="2200"/>
      <c r="DH68" s="2200"/>
      <c r="DI68" s="2203"/>
      <c r="DJ68" s="2202"/>
      <c r="DK68" s="2200"/>
      <c r="DL68" s="2200"/>
      <c r="DM68" s="2203"/>
      <c r="DN68" s="2200"/>
      <c r="DO68" s="2200"/>
      <c r="DP68" s="2200"/>
      <c r="DQ68" s="2203"/>
      <c r="DR68" s="2202"/>
      <c r="DS68" s="2200"/>
      <c r="DT68" s="2200"/>
      <c r="DU68" s="2203"/>
      <c r="DV68" s="2200"/>
      <c r="DW68" s="2200"/>
      <c r="DX68" s="2200"/>
      <c r="DY68" s="2203"/>
    </row>
    <row r="69" spans="1:136" s="1486" customFormat="1" hidden="1" outlineLevel="1">
      <c r="A69" s="1937" t="s">
        <v>971</v>
      </c>
      <c r="B69" s="2216"/>
      <c r="C69" s="2216"/>
      <c r="D69" s="2216"/>
      <c r="E69" s="2216">
        <f t="shared" ref="E69:J69" si="315">E65+E52</f>
        <v>2007</v>
      </c>
      <c r="F69" s="2216">
        <f t="shared" si="315"/>
        <v>2478</v>
      </c>
      <c r="G69" s="2216">
        <f t="shared" si="315"/>
        <v>4582</v>
      </c>
      <c r="H69" s="2216">
        <f t="shared" si="315"/>
        <v>5164</v>
      </c>
      <c r="I69" s="2216">
        <f t="shared" si="315"/>
        <v>6014</v>
      </c>
      <c r="J69" s="2216">
        <f t="shared" si="315"/>
        <v>6933</v>
      </c>
      <c r="K69" s="2216">
        <f t="shared" ref="K69:P69" si="316">K14-K47</f>
        <v>7972</v>
      </c>
      <c r="L69" s="2216">
        <f t="shared" si="316"/>
        <v>10324</v>
      </c>
      <c r="M69" s="2216">
        <f t="shared" si="316"/>
        <v>12140</v>
      </c>
      <c r="N69" s="2216">
        <f t="shared" si="316"/>
        <v>20342.822</v>
      </c>
      <c r="O69" s="2216">
        <f t="shared" si="316"/>
        <v>23733.309999999998</v>
      </c>
      <c r="P69" s="2216">
        <f t="shared" si="316"/>
        <v>14466</v>
      </c>
      <c r="Q69" s="2216">
        <f t="shared" ref="Q69:X69" si="317">Q31-Q47</f>
        <v>23668</v>
      </c>
      <c r="R69" s="2216">
        <f t="shared" si="317"/>
        <v>26080</v>
      </c>
      <c r="S69" s="2216">
        <f t="shared" si="317"/>
        <v>26489</v>
      </c>
      <c r="T69" s="2216">
        <f t="shared" si="317"/>
        <v>29728</v>
      </c>
      <c r="U69" s="2216">
        <f t="shared" si="317"/>
        <v>34199</v>
      </c>
      <c r="V69" s="2216">
        <f t="shared" si="317"/>
        <v>35219</v>
      </c>
      <c r="W69" s="2216">
        <f t="shared" si="317"/>
        <v>38953</v>
      </c>
      <c r="X69" s="2216">
        <f t="shared" si="317"/>
        <v>39036</v>
      </c>
      <c r="Y69" s="2216">
        <f t="shared" ref="Y69:Z69" si="318">Y31-Y47</f>
        <v>38602</v>
      </c>
      <c r="Z69" s="2216">
        <f t="shared" ca="1" si="318"/>
        <v>40845.277874283238</v>
      </c>
      <c r="AA69" s="2216">
        <f ca="1">AA31-AA47</f>
        <v>40813.780017020108</v>
      </c>
      <c r="AB69" s="2216">
        <f t="shared" ref="AB69:AG69" ca="1" si="319">AB31-AB47</f>
        <v>41747.238370594692</v>
      </c>
      <c r="AC69" s="2216">
        <f t="shared" ca="1" si="319"/>
        <v>42758.388648627115</v>
      </c>
      <c r="AD69" s="2216">
        <f t="shared" ca="1" si="319"/>
        <v>43838.908039516711</v>
      </c>
      <c r="AE69" s="2216">
        <f t="shared" ca="1" si="319"/>
        <v>44991.686518556467</v>
      </c>
      <c r="AF69" s="2216">
        <f t="shared" ca="1" si="319"/>
        <v>46224.6871656203</v>
      </c>
      <c r="AG69" s="2216">
        <f t="shared" ca="1" si="319"/>
        <v>47548.202159174427</v>
      </c>
      <c r="AH69" s="2254"/>
      <c r="AI69" s="1955"/>
      <c r="AJ69" s="2255"/>
      <c r="AK69" s="2216"/>
      <c r="AL69" s="2216"/>
      <c r="AM69" s="2216"/>
      <c r="AN69" s="2216">
        <f>(N69/I69)^0.2-1</f>
        <v>0.27599671129636194</v>
      </c>
      <c r="AO69" s="2216"/>
      <c r="AP69" s="1937">
        <f t="shared" ref="AP69:BH69" si="320">AP65+AP52</f>
        <v>450</v>
      </c>
      <c r="AQ69" s="2216">
        <f t="shared" si="320"/>
        <v>520</v>
      </c>
      <c r="AR69" s="2216">
        <f t="shared" si="320"/>
        <v>553</v>
      </c>
      <c r="AS69" s="2216">
        <f t="shared" si="320"/>
        <v>484</v>
      </c>
      <c r="AT69" s="1937">
        <f t="shared" si="320"/>
        <v>571</v>
      </c>
      <c r="AU69" s="2216">
        <f t="shared" si="320"/>
        <v>668</v>
      </c>
      <c r="AV69" s="2216">
        <f t="shared" si="320"/>
        <v>643</v>
      </c>
      <c r="AW69" s="2216">
        <f t="shared" si="320"/>
        <v>596</v>
      </c>
      <c r="AX69" s="1937">
        <f t="shared" si="320"/>
        <v>1093</v>
      </c>
      <c r="AY69" s="2216">
        <f t="shared" si="320"/>
        <v>1190</v>
      </c>
      <c r="AZ69" s="2216">
        <f t="shared" si="320"/>
        <v>1221</v>
      </c>
      <c r="BA69" s="2216">
        <f t="shared" si="320"/>
        <v>1078</v>
      </c>
      <c r="BB69" s="1937">
        <f t="shared" si="320"/>
        <v>1171</v>
      </c>
      <c r="BC69" s="2216">
        <f t="shared" si="320"/>
        <v>1319</v>
      </c>
      <c r="BD69" s="2216">
        <f t="shared" si="320"/>
        <v>1453</v>
      </c>
      <c r="BE69" s="2216">
        <f t="shared" si="320"/>
        <v>1221</v>
      </c>
      <c r="BF69" s="1937">
        <f t="shared" si="320"/>
        <v>1409</v>
      </c>
      <c r="BG69" s="2216">
        <f t="shared" si="320"/>
        <v>1566</v>
      </c>
      <c r="BH69" s="2216">
        <f t="shared" si="320"/>
        <v>1631</v>
      </c>
      <c r="BI69" s="2216">
        <f t="shared" ref="BI69:CL69" si="321">BI14-BI47</f>
        <v>1408</v>
      </c>
      <c r="BJ69" s="1937">
        <f t="shared" si="321"/>
        <v>1555</v>
      </c>
      <c r="BK69" s="2216">
        <f t="shared" si="321"/>
        <v>1692</v>
      </c>
      <c r="BL69" s="2216">
        <f t="shared" si="321"/>
        <v>1798</v>
      </c>
      <c r="BM69" s="2216">
        <f t="shared" si="321"/>
        <v>1888</v>
      </c>
      <c r="BN69" s="1937">
        <f t="shared" si="321"/>
        <v>1781</v>
      </c>
      <c r="BO69" s="2216">
        <f t="shared" si="321"/>
        <v>1937</v>
      </c>
      <c r="BP69" s="2216">
        <f t="shared" si="321"/>
        <v>2124</v>
      </c>
      <c r="BQ69" s="2216">
        <f t="shared" si="321"/>
        <v>2130</v>
      </c>
      <c r="BR69" s="1937">
        <f t="shared" si="321"/>
        <v>2257</v>
      </c>
      <c r="BS69" s="2216">
        <f t="shared" si="321"/>
        <v>2718</v>
      </c>
      <c r="BT69" s="2216">
        <f t="shared" si="321"/>
        <v>2793</v>
      </c>
      <c r="BU69" s="2216">
        <f t="shared" si="321"/>
        <v>2556</v>
      </c>
      <c r="BV69" s="1937">
        <f t="shared" si="321"/>
        <v>2690</v>
      </c>
      <c r="BW69" s="2216">
        <f t="shared" si="321"/>
        <v>2957</v>
      </c>
      <c r="BX69" s="2216">
        <f t="shared" si="321"/>
        <v>3018</v>
      </c>
      <c r="BY69" s="2216">
        <f t="shared" si="321"/>
        <v>3475</v>
      </c>
      <c r="BZ69" s="1937">
        <f t="shared" si="321"/>
        <v>3389</v>
      </c>
      <c r="CA69" s="2216">
        <f t="shared" si="321"/>
        <v>3564</v>
      </c>
      <c r="CB69" s="2216">
        <f t="shared" si="321"/>
        <v>3807</v>
      </c>
      <c r="CC69" s="2216">
        <f t="shared" si="321"/>
        <v>3753</v>
      </c>
      <c r="CD69" s="1937">
        <f t="shared" si="321"/>
        <v>3985</v>
      </c>
      <c r="CE69" s="2216">
        <f t="shared" si="321"/>
        <v>4302</v>
      </c>
      <c r="CF69" s="2216">
        <f t="shared" si="321"/>
        <v>4353</v>
      </c>
      <c r="CG69" s="2216">
        <f t="shared" si="321"/>
        <v>4309</v>
      </c>
      <c r="CH69" s="1937">
        <f t="shared" si="321"/>
        <v>3364</v>
      </c>
      <c r="CI69" s="2216">
        <f t="shared" si="321"/>
        <v>3592</v>
      </c>
      <c r="CJ69" s="2216">
        <f t="shared" si="321"/>
        <v>3564</v>
      </c>
      <c r="CK69" s="2216">
        <f t="shared" si="321"/>
        <v>3946</v>
      </c>
      <c r="CL69" s="1937">
        <f t="shared" si="321"/>
        <v>4979</v>
      </c>
      <c r="CM69" s="2216">
        <f t="shared" ref="CM69:DN69" si="322">CM31-CM47</f>
        <v>5975</v>
      </c>
      <c r="CN69" s="2216">
        <f t="shared" si="322"/>
        <v>6003</v>
      </c>
      <c r="CO69" s="2216">
        <f t="shared" si="322"/>
        <v>5878</v>
      </c>
      <c r="CP69" s="1937">
        <f t="shared" si="322"/>
        <v>6145</v>
      </c>
      <c r="CQ69" s="2216">
        <f t="shared" si="322"/>
        <v>6510</v>
      </c>
      <c r="CR69" s="2216">
        <f t="shared" si="322"/>
        <v>6690</v>
      </c>
      <c r="CS69" s="2216">
        <f t="shared" si="322"/>
        <v>6735</v>
      </c>
      <c r="CT69" s="1937">
        <f t="shared" si="322"/>
        <v>6250</v>
      </c>
      <c r="CU69" s="2216">
        <f t="shared" si="322"/>
        <v>6670</v>
      </c>
      <c r="CV69" s="2216">
        <f t="shared" si="322"/>
        <v>7189</v>
      </c>
      <c r="CW69" s="2216">
        <f t="shared" si="322"/>
        <v>6380</v>
      </c>
      <c r="CX69" s="1937">
        <f t="shared" si="322"/>
        <v>7135</v>
      </c>
      <c r="CY69" s="2216">
        <f t="shared" si="322"/>
        <v>7724</v>
      </c>
      <c r="CZ69" s="2216">
        <f t="shared" si="322"/>
        <v>8084</v>
      </c>
      <c r="DA69" s="2216">
        <f t="shared" si="322"/>
        <v>6785</v>
      </c>
      <c r="DB69" s="1937">
        <f t="shared" si="322"/>
        <v>8424</v>
      </c>
      <c r="DC69" s="2216">
        <f t="shared" si="322"/>
        <v>8511</v>
      </c>
      <c r="DD69" s="2216">
        <f t="shared" si="322"/>
        <v>8946</v>
      </c>
      <c r="DE69" s="2216">
        <f t="shared" si="322"/>
        <v>8318</v>
      </c>
      <c r="DF69" s="1937">
        <f t="shared" si="322"/>
        <v>9379</v>
      </c>
      <c r="DG69" s="2216">
        <f t="shared" si="322"/>
        <v>9092</v>
      </c>
      <c r="DH69" s="2216">
        <f t="shared" si="322"/>
        <v>9094</v>
      </c>
      <c r="DI69" s="2219">
        <f t="shared" si="322"/>
        <v>7654</v>
      </c>
      <c r="DJ69" s="1937">
        <f t="shared" si="322"/>
        <v>10000</v>
      </c>
      <c r="DK69" s="2216">
        <f t="shared" si="322"/>
        <v>9921</v>
      </c>
      <c r="DL69" s="2216">
        <f t="shared" si="322"/>
        <v>9928</v>
      </c>
      <c r="DM69" s="2219">
        <f t="shared" si="322"/>
        <v>9104</v>
      </c>
      <c r="DN69" s="2216">
        <f t="shared" si="322"/>
        <v>10173</v>
      </c>
      <c r="DO69" s="2216">
        <f t="shared" ref="DO69:DP69" si="323">DO31-DO47</f>
        <v>10299</v>
      </c>
      <c r="DP69" s="2216">
        <f t="shared" si="323"/>
        <v>9934</v>
      </c>
      <c r="DQ69" s="2219">
        <f t="shared" ref="DQ69" si="324">DQ31-DQ47</f>
        <v>8630</v>
      </c>
      <c r="DR69" s="1937">
        <f t="shared" ref="DR69" si="325">DR31-DR47</f>
        <v>9414</v>
      </c>
      <c r="DS69" s="2216">
        <f t="shared" ref="DS69:DT69" si="326">DS31-DS47</f>
        <v>9757</v>
      </c>
      <c r="DT69" s="2216">
        <f t="shared" si="326"/>
        <v>9969</v>
      </c>
      <c r="DU69" s="2219">
        <f t="shared" ref="DU69" si="327">DU31-DU47</f>
        <v>9462</v>
      </c>
      <c r="DV69" s="2216">
        <f t="shared" ref="DV69" si="328">DV31-DV47</f>
        <v>10477</v>
      </c>
      <c r="DW69" s="2216">
        <f t="shared" ref="DW69:DX69" ca="1" si="329">DW31-DW47</f>
        <v>10352.807185108177</v>
      </c>
      <c r="DX69" s="2216">
        <f t="shared" ca="1" si="329"/>
        <v>10561.405547120419</v>
      </c>
      <c r="DY69" s="2219">
        <f ca="1">DY31-DY47</f>
        <v>9454.0651420546419</v>
      </c>
    </row>
    <row r="70" spans="1:136" s="1491" customFormat="1" hidden="1" outlineLevel="1">
      <c r="A70" s="2206" t="s">
        <v>991</v>
      </c>
      <c r="B70" s="2207"/>
      <c r="C70" s="2207"/>
      <c r="D70" s="2207"/>
      <c r="E70" s="2207"/>
      <c r="F70" s="2207">
        <f t="shared" ref="F70:AB70" si="330">F69/E69-1</f>
        <v>0.23467862481315405</v>
      </c>
      <c r="G70" s="2207">
        <f t="shared" si="330"/>
        <v>0.84907183212267956</v>
      </c>
      <c r="H70" s="2207">
        <f t="shared" si="330"/>
        <v>0.12701876909646437</v>
      </c>
      <c r="I70" s="2207">
        <f t="shared" si="330"/>
        <v>0.16460108443067401</v>
      </c>
      <c r="J70" s="2207">
        <f t="shared" si="330"/>
        <v>0.15281010974393072</v>
      </c>
      <c r="K70" s="2207">
        <f t="shared" si="330"/>
        <v>0.149862974181451</v>
      </c>
      <c r="L70" s="2207">
        <f t="shared" si="330"/>
        <v>0.29503261414952342</v>
      </c>
      <c r="M70" s="2207">
        <f t="shared" si="330"/>
        <v>0.17590081363812482</v>
      </c>
      <c r="N70" s="2207">
        <f t="shared" si="330"/>
        <v>0.67568550247116965</v>
      </c>
      <c r="O70" s="2207">
        <f t="shared" si="330"/>
        <v>0.16666753511385979</v>
      </c>
      <c r="P70" s="2207">
        <f t="shared" si="330"/>
        <v>-0.39047692883967722</v>
      </c>
      <c r="Q70" s="2207">
        <f t="shared" si="330"/>
        <v>0.63611226323793724</v>
      </c>
      <c r="R70" s="2207">
        <f t="shared" si="330"/>
        <v>0.10190975156329229</v>
      </c>
      <c r="S70" s="2207">
        <f t="shared" si="330"/>
        <v>1.5682515337423375E-2</v>
      </c>
      <c r="T70" s="2207">
        <f t="shared" si="330"/>
        <v>0.12227717165615926</v>
      </c>
      <c r="U70" s="2207">
        <f t="shared" si="330"/>
        <v>0.15039693218514527</v>
      </c>
      <c r="V70" s="2207">
        <f t="shared" si="330"/>
        <v>2.9825433492207454E-2</v>
      </c>
      <c r="W70" s="2207">
        <f>W69/V69-1</f>
        <v>0.10602231749907731</v>
      </c>
      <c r="X70" s="2207">
        <f>X69/W69-1</f>
        <v>2.1307729828254907E-3</v>
      </c>
      <c r="Y70" s="2207">
        <f>Y69/X69-1</f>
        <v>-1.1117942412132376E-2</v>
      </c>
      <c r="Z70" s="2207">
        <f ca="1">Z69/Y69-1</f>
        <v>5.8112996069717537E-2</v>
      </c>
      <c r="AA70" s="2207">
        <f t="shared" ca="1" si="330"/>
        <v>-7.7115051977549864E-4</v>
      </c>
      <c r="AB70" s="2207">
        <f t="shared" ca="1" si="330"/>
        <v>2.2871156584499452E-2</v>
      </c>
      <c r="AC70" s="2207">
        <f t="shared" ref="AC70" ca="1" si="331">AC69/AB69-1</f>
        <v>2.4220770462858754E-2</v>
      </c>
      <c r="AD70" s="2207">
        <f t="shared" ref="AD70" ca="1" si="332">AD69/AC69-1</f>
        <v>2.5270348697396194E-2</v>
      </c>
      <c r="AE70" s="2207">
        <f t="shared" ref="AE70" ca="1" si="333">AE69/AD69-1</f>
        <v>2.6295784511800147E-2</v>
      </c>
      <c r="AF70" s="2207">
        <f t="shared" ref="AF70" ca="1" si="334">AF69/AE69-1</f>
        <v>2.7405077303676695E-2</v>
      </c>
      <c r="AG70" s="2207">
        <f t="shared" ref="AG70" ca="1" si="335">AG69/AF69-1</f>
        <v>2.8632210939839364E-2</v>
      </c>
      <c r="AH70" s="2201"/>
      <c r="AI70" s="1927"/>
      <c r="AJ70" s="1561"/>
      <c r="AK70" s="2207"/>
      <c r="AL70" s="2207"/>
      <c r="AM70" s="2207"/>
      <c r="AN70" s="2207"/>
      <c r="AO70" s="2207"/>
      <c r="AP70" s="2208"/>
      <c r="AQ70" s="2207"/>
      <c r="AR70" s="2207"/>
      <c r="AS70" s="2207"/>
      <c r="AT70" s="2208">
        <f t="shared" ref="AT70:BY70" si="336">AT69/AP69-1</f>
        <v>0.26888888888888896</v>
      </c>
      <c r="AU70" s="2207">
        <f t="shared" si="336"/>
        <v>0.28461538461538471</v>
      </c>
      <c r="AV70" s="2207">
        <f t="shared" si="336"/>
        <v>0.16274864376130194</v>
      </c>
      <c r="AW70" s="2207">
        <f t="shared" si="336"/>
        <v>0.23140495867768585</v>
      </c>
      <c r="AX70" s="2208">
        <f t="shared" si="336"/>
        <v>0.91418563922942209</v>
      </c>
      <c r="AY70" s="2207">
        <f t="shared" si="336"/>
        <v>0.7814371257485031</v>
      </c>
      <c r="AZ70" s="2207">
        <f t="shared" si="336"/>
        <v>0.89891135303265934</v>
      </c>
      <c r="BA70" s="2207">
        <f t="shared" si="336"/>
        <v>0.8087248322147651</v>
      </c>
      <c r="BB70" s="2208">
        <f t="shared" si="336"/>
        <v>7.1363220494053081E-2</v>
      </c>
      <c r="BC70" s="2207">
        <f t="shared" si="336"/>
        <v>0.10840336134453787</v>
      </c>
      <c r="BD70" s="2207">
        <f t="shared" si="336"/>
        <v>0.19000819000819003</v>
      </c>
      <c r="BE70" s="2207">
        <f t="shared" si="336"/>
        <v>0.13265306122448983</v>
      </c>
      <c r="BF70" s="2208">
        <f t="shared" si="336"/>
        <v>0.20324508966695132</v>
      </c>
      <c r="BG70" s="2207">
        <f t="shared" si="336"/>
        <v>0.18726307808946174</v>
      </c>
      <c r="BH70" s="2207">
        <f t="shared" si="336"/>
        <v>0.12250516173434267</v>
      </c>
      <c r="BI70" s="2207">
        <f t="shared" si="336"/>
        <v>0.15315315315315314</v>
      </c>
      <c r="BJ70" s="2208">
        <f t="shared" si="336"/>
        <v>0.10361958836053931</v>
      </c>
      <c r="BK70" s="2207">
        <f t="shared" si="336"/>
        <v>8.0459770114942541E-2</v>
      </c>
      <c r="BL70" s="2207">
        <f t="shared" si="336"/>
        <v>0.10239117106069906</v>
      </c>
      <c r="BM70" s="2207">
        <f t="shared" si="336"/>
        <v>0.34090909090909083</v>
      </c>
      <c r="BN70" s="2208">
        <f t="shared" si="336"/>
        <v>0.14533762057877819</v>
      </c>
      <c r="BO70" s="2207">
        <f t="shared" si="336"/>
        <v>0.14479905437352247</v>
      </c>
      <c r="BP70" s="2207">
        <f t="shared" si="336"/>
        <v>0.18131256952169084</v>
      </c>
      <c r="BQ70" s="2207">
        <f t="shared" si="336"/>
        <v>0.12817796610169485</v>
      </c>
      <c r="BR70" s="2208">
        <f t="shared" si="336"/>
        <v>0.26726558113419419</v>
      </c>
      <c r="BS70" s="2207">
        <f t="shared" si="336"/>
        <v>0.40320082601961804</v>
      </c>
      <c r="BT70" s="2207">
        <f t="shared" si="336"/>
        <v>0.31497175141242928</v>
      </c>
      <c r="BU70" s="2207">
        <f t="shared" si="336"/>
        <v>0.19999999999999996</v>
      </c>
      <c r="BV70" s="2208">
        <f t="shared" si="336"/>
        <v>0.19184758529020818</v>
      </c>
      <c r="BW70" s="2207">
        <f t="shared" si="336"/>
        <v>8.7932303164091286E-2</v>
      </c>
      <c r="BX70" s="2207">
        <f t="shared" si="336"/>
        <v>8.0558539205155766E-2</v>
      </c>
      <c r="BY70" s="2207">
        <f t="shared" si="336"/>
        <v>0.35954616588419408</v>
      </c>
      <c r="BZ70" s="2208">
        <f t="shared" ref="BZ70:DV70" si="337">BZ69/BV69-1</f>
        <v>0.25985130111524168</v>
      </c>
      <c r="CA70" s="2207">
        <f t="shared" si="337"/>
        <v>0.20527561717957399</v>
      </c>
      <c r="CB70" s="2207">
        <f t="shared" si="337"/>
        <v>0.26143141153081517</v>
      </c>
      <c r="CC70" s="2207">
        <f t="shared" si="337"/>
        <v>8.0000000000000071E-2</v>
      </c>
      <c r="CD70" s="2208">
        <f t="shared" si="337"/>
        <v>0.17586308645618187</v>
      </c>
      <c r="CE70" s="2207">
        <f t="shared" si="337"/>
        <v>0.20707070707070696</v>
      </c>
      <c r="CF70" s="2207">
        <f t="shared" si="337"/>
        <v>0.14342001576044128</v>
      </c>
      <c r="CG70" s="2207">
        <f t="shared" si="337"/>
        <v>0.14814814814814814</v>
      </c>
      <c r="CH70" s="2512">
        <f t="shared" si="337"/>
        <v>-0.15583437892095353</v>
      </c>
      <c r="CI70" s="2511">
        <f t="shared" si="337"/>
        <v>-0.16503951650395166</v>
      </c>
      <c r="CJ70" s="2511">
        <f t="shared" si="337"/>
        <v>-0.18125430737422465</v>
      </c>
      <c r="CK70" s="2511">
        <f t="shared" si="337"/>
        <v>-8.4242283592480871E-2</v>
      </c>
      <c r="CL70" s="2512">
        <f t="shared" si="337"/>
        <v>0.48008323424494659</v>
      </c>
      <c r="CM70" s="2511">
        <f t="shared" si="337"/>
        <v>0.6634187082405345</v>
      </c>
      <c r="CN70" s="2511">
        <f t="shared" si="337"/>
        <v>0.68434343434343425</v>
      </c>
      <c r="CO70" s="2511">
        <f t="shared" si="337"/>
        <v>0.4896097313735428</v>
      </c>
      <c r="CP70" s="2512">
        <f t="shared" si="337"/>
        <v>0.23418357099819231</v>
      </c>
      <c r="CQ70" s="2511">
        <f t="shared" si="337"/>
        <v>8.9539748953974874E-2</v>
      </c>
      <c r="CR70" s="2511">
        <f t="shared" si="337"/>
        <v>0.11444277861069474</v>
      </c>
      <c r="CS70" s="2511">
        <f t="shared" si="337"/>
        <v>0.14579789043892477</v>
      </c>
      <c r="CT70" s="2512">
        <f t="shared" si="337"/>
        <v>1.708706265256299E-2</v>
      </c>
      <c r="CU70" s="2511">
        <f t="shared" si="337"/>
        <v>2.457757296466978E-2</v>
      </c>
      <c r="CV70" s="2511">
        <f t="shared" si="337"/>
        <v>7.4588938714499342E-2</v>
      </c>
      <c r="CW70" s="2511">
        <f t="shared" si="337"/>
        <v>-5.2709725315515987E-2</v>
      </c>
      <c r="CX70" s="2208">
        <f t="shared" si="337"/>
        <v>0.14159999999999995</v>
      </c>
      <c r="CY70" s="2207">
        <f t="shared" si="337"/>
        <v>0.15802098950524734</v>
      </c>
      <c r="CZ70" s="2207">
        <f t="shared" si="337"/>
        <v>0.12449575740714991</v>
      </c>
      <c r="DA70" s="2207">
        <f t="shared" si="337"/>
        <v>6.3479623824451492E-2</v>
      </c>
      <c r="DB70" s="2208">
        <f t="shared" si="337"/>
        <v>0.18065872459705679</v>
      </c>
      <c r="DC70" s="2207">
        <f t="shared" si="337"/>
        <v>0.10189021232522011</v>
      </c>
      <c r="DD70" s="2207">
        <f t="shared" si="337"/>
        <v>0.10663038099950528</v>
      </c>
      <c r="DE70" s="2207">
        <f t="shared" si="337"/>
        <v>0.22593957258658803</v>
      </c>
      <c r="DF70" s="2208">
        <f t="shared" si="337"/>
        <v>0.11336657169990505</v>
      </c>
      <c r="DG70" s="2207">
        <f t="shared" si="337"/>
        <v>6.826459875455293E-2</v>
      </c>
      <c r="DH70" s="2207">
        <f t="shared" si="337"/>
        <v>1.654370668455174E-2</v>
      </c>
      <c r="DI70" s="2209">
        <f t="shared" si="337"/>
        <v>-7.9826881461889876E-2</v>
      </c>
      <c r="DJ70" s="2208">
        <f t="shared" si="337"/>
        <v>6.6211749653481089E-2</v>
      </c>
      <c r="DK70" s="2207">
        <f t="shared" si="337"/>
        <v>9.1179058512978362E-2</v>
      </c>
      <c r="DL70" s="2207">
        <f t="shared" si="337"/>
        <v>9.1708819001539377E-2</v>
      </c>
      <c r="DM70" s="2209">
        <f t="shared" si="337"/>
        <v>0.18944342827279859</v>
      </c>
      <c r="DN70" s="2207">
        <f t="shared" si="337"/>
        <v>1.7300000000000093E-2</v>
      </c>
      <c r="DO70" s="2207">
        <f t="shared" si="337"/>
        <v>3.810099788327781E-2</v>
      </c>
      <c r="DP70" s="2207">
        <f t="shared" si="337"/>
        <v>6.0435132957281645E-4</v>
      </c>
      <c r="DQ70" s="2209">
        <f t="shared" si="337"/>
        <v>-5.2065026362038691E-2</v>
      </c>
      <c r="DR70" s="2208">
        <f t="shared" si="337"/>
        <v>-7.4609259805367145E-2</v>
      </c>
      <c r="DS70" s="2207">
        <f t="shared" si="337"/>
        <v>-5.2626468589183406E-2</v>
      </c>
      <c r="DT70" s="2207">
        <f t="shared" si="337"/>
        <v>3.5232534729212617E-3</v>
      </c>
      <c r="DU70" s="2209">
        <f t="shared" si="337"/>
        <v>9.6407879490150616E-2</v>
      </c>
      <c r="DV70" s="2207">
        <f t="shared" si="337"/>
        <v>0.11291693222859567</v>
      </c>
      <c r="DW70" s="2207">
        <f t="shared" ref="DW70" ca="1" si="338">DW69/DS69-1</f>
        <v>6.1064587999198228E-2</v>
      </c>
      <c r="DX70" s="2207">
        <f t="shared" ref="DX70" ca="1" si="339">DX69/DT69-1</f>
        <v>5.9424771503703511E-2</v>
      </c>
      <c r="DY70" s="2209">
        <f t="shared" ref="DY70" ca="1" si="340">DY69/DU69-1</f>
        <v>-8.3860261523549529E-4</v>
      </c>
    </row>
    <row r="71" spans="1:136" s="1491" customFormat="1" hidden="1" outlineLevel="1">
      <c r="A71" s="2206" t="s">
        <v>1454</v>
      </c>
      <c r="B71" s="2207"/>
      <c r="C71" s="2207"/>
      <c r="D71" s="2207"/>
      <c r="E71" s="2207">
        <f t="shared" ref="E71:P71" si="341">E69/E$14</f>
        <v>0.32491500728508987</v>
      </c>
      <c r="F71" s="2207">
        <f t="shared" si="341"/>
        <v>0.37251954299458812</v>
      </c>
      <c r="G71" s="2207">
        <f t="shared" si="341"/>
        <v>0.3433238423497677</v>
      </c>
      <c r="H71" s="2207">
        <f t="shared" si="341"/>
        <v>0.33268908645793066</v>
      </c>
      <c r="I71" s="2207">
        <f t="shared" si="341"/>
        <v>0.34577128729948831</v>
      </c>
      <c r="J71" s="2207">
        <f t="shared" si="341"/>
        <v>0.35603142813125865</v>
      </c>
      <c r="K71" s="2207">
        <f t="shared" si="341"/>
        <v>0.35448441460269464</v>
      </c>
      <c r="L71" s="2207">
        <f t="shared" si="341"/>
        <v>0.37321957920613114</v>
      </c>
      <c r="M71" s="2207">
        <f t="shared" si="341"/>
        <v>0.37583975728305624</v>
      </c>
      <c r="N71" s="2207">
        <f t="shared" si="341"/>
        <v>0.46367708008388425</v>
      </c>
      <c r="O71" s="2207">
        <f t="shared" si="341"/>
        <v>0.46842388956290676</v>
      </c>
      <c r="P71" s="2207">
        <f t="shared" si="341"/>
        <v>0.2932376550717587</v>
      </c>
      <c r="Q71" s="2207">
        <f t="shared" ref="Q71:V71" si="342">Q69/Q$31</f>
        <v>0.39234148363033566</v>
      </c>
      <c r="R71" s="2207">
        <f t="shared" si="342"/>
        <v>0.41131105398457585</v>
      </c>
      <c r="S71" s="2207">
        <f t="shared" si="342"/>
        <v>0.37758360179034695</v>
      </c>
      <c r="T71" s="2207">
        <f t="shared" si="342"/>
        <v>0.39183845626614644</v>
      </c>
      <c r="U71" s="2207">
        <f t="shared" si="342"/>
        <v>0.42209002382039668</v>
      </c>
      <c r="V71" s="2207">
        <f t="shared" si="342"/>
        <v>0.40183237112931564</v>
      </c>
      <c r="W71" s="2207">
        <f t="shared" ref="W71:AB71" si="343">W69/W$31</f>
        <v>0.42488001745200699</v>
      </c>
      <c r="X71" s="2207">
        <f t="shared" si="343"/>
        <v>0.43769201444172851</v>
      </c>
      <c r="Y71" s="2207">
        <f t="shared" si="343"/>
        <v>0.44111026042440377</v>
      </c>
      <c r="Z71" s="2207">
        <f t="shared" ca="1" si="343"/>
        <v>0.45893297061576033</v>
      </c>
      <c r="AA71" s="2207">
        <f t="shared" ca="1" si="343"/>
        <v>0.45692865765268786</v>
      </c>
      <c r="AB71" s="2207">
        <f t="shared" ca="1" si="343"/>
        <v>0.46303548109081394</v>
      </c>
      <c r="AC71" s="2207">
        <f t="shared" ref="AC71:AG71" ca="1" si="344">AC69/AC$31</f>
        <v>0.4696551006796536</v>
      </c>
      <c r="AD71" s="2207">
        <f t="shared" ca="1" si="344"/>
        <v>0.47669082877794688</v>
      </c>
      <c r="AE71" s="2207">
        <f t="shared" ca="1" si="344"/>
        <v>0.48409735994285347</v>
      </c>
      <c r="AF71" s="2207">
        <f t="shared" ca="1" si="344"/>
        <v>0.4918510653015174</v>
      </c>
      <c r="AG71" s="2207">
        <f t="shared" ca="1" si="344"/>
        <v>0.49993645341697818</v>
      </c>
      <c r="AH71" s="2201"/>
      <c r="AI71" s="1927"/>
      <c r="AJ71" s="1561"/>
      <c r="AK71" s="2207"/>
      <c r="AL71" s="2207"/>
      <c r="AM71" s="2207"/>
      <c r="AN71" s="2207"/>
      <c r="AO71" s="2207"/>
      <c r="AP71" s="2208"/>
      <c r="AQ71" s="2207"/>
      <c r="AR71" s="2207"/>
      <c r="AS71" s="2207"/>
      <c r="AT71" s="2208"/>
      <c r="AU71" s="2207"/>
      <c r="AV71" s="2207"/>
      <c r="AW71" s="2207"/>
      <c r="AX71" s="2208">
        <f t="shared" ref="AX71:BE71" si="345">AX69/AX14</f>
        <v>0.35475494969165855</v>
      </c>
      <c r="AY71" s="2207">
        <f t="shared" si="345"/>
        <v>0.35800240673886885</v>
      </c>
      <c r="AZ71" s="2207">
        <f t="shared" si="345"/>
        <v>0.35494186046511628</v>
      </c>
      <c r="BA71" s="2207">
        <f t="shared" si="345"/>
        <v>0.3079120251356755</v>
      </c>
      <c r="BB71" s="2208">
        <f t="shared" si="345"/>
        <v>0.33942028985507244</v>
      </c>
      <c r="BC71" s="2207">
        <f t="shared" si="345"/>
        <v>0.33375506072874495</v>
      </c>
      <c r="BD71" s="2207">
        <f t="shared" si="345"/>
        <v>0.360009910802775</v>
      </c>
      <c r="BE71" s="2207">
        <f t="shared" si="345"/>
        <v>0.29897159647404503</v>
      </c>
      <c r="BF71" s="2208">
        <f t="shared" ref="BF71:CL71" si="346">BF69/BF$14</f>
        <v>0.34824518042511121</v>
      </c>
      <c r="BG71" s="2207">
        <f t="shared" si="346"/>
        <v>0.35728952772073924</v>
      </c>
      <c r="BH71" s="2207">
        <f t="shared" si="346"/>
        <v>0.36076089360760893</v>
      </c>
      <c r="BI71" s="2207">
        <f t="shared" si="346"/>
        <v>0.3169029934728787</v>
      </c>
      <c r="BJ71" s="2208">
        <f t="shared" si="346"/>
        <v>0.3510158013544018</v>
      </c>
      <c r="BK71" s="2207">
        <f t="shared" si="346"/>
        <v>0.35316217908578584</v>
      </c>
      <c r="BL71" s="2207">
        <f t="shared" si="346"/>
        <v>0.35752634718631937</v>
      </c>
      <c r="BM71" s="2207">
        <f t="shared" si="346"/>
        <v>0.36147807773310359</v>
      </c>
      <c r="BN71" s="2208">
        <f t="shared" si="346"/>
        <v>0.35017695635076679</v>
      </c>
      <c r="BO71" s="2207">
        <f t="shared" si="346"/>
        <v>0.35366076319152823</v>
      </c>
      <c r="BP71" s="2207">
        <f t="shared" si="346"/>
        <v>0.35745540222147426</v>
      </c>
      <c r="BQ71" s="2207">
        <f t="shared" si="346"/>
        <v>0.35594919786096257</v>
      </c>
      <c r="BR71" s="2208">
        <f t="shared" si="346"/>
        <v>0.36627718273287896</v>
      </c>
      <c r="BS71" s="2207">
        <f t="shared" si="346"/>
        <v>0.39696217321454652</v>
      </c>
      <c r="BT71" s="2207">
        <f t="shared" si="346"/>
        <v>0.38202708247845713</v>
      </c>
      <c r="BU71" s="2207">
        <f t="shared" si="346"/>
        <v>0.34813402342685917</v>
      </c>
      <c r="BV71" s="2208">
        <f t="shared" si="346"/>
        <v>0.3626314370450256</v>
      </c>
      <c r="BW71" s="2207">
        <f t="shared" si="346"/>
        <v>0.37687993882232984</v>
      </c>
      <c r="BX71" s="2207">
        <f t="shared" si="346"/>
        <v>0.3613938450484972</v>
      </c>
      <c r="BY71" s="2207">
        <f t="shared" si="346"/>
        <v>0.40006907667510938</v>
      </c>
      <c r="BZ71" s="2208">
        <f t="shared" si="346"/>
        <v>0.38454555769885396</v>
      </c>
      <c r="CA71" s="2207">
        <f t="shared" si="346"/>
        <v>0.38479809976247031</v>
      </c>
      <c r="CB71" s="2207">
        <f t="shared" si="346"/>
        <v>0.38575336913567737</v>
      </c>
      <c r="CC71" s="2207">
        <f t="shared" si="346"/>
        <v>0.37162095256956135</v>
      </c>
      <c r="CD71" s="2208">
        <f t="shared" si="346"/>
        <v>0.38663044532841756</v>
      </c>
      <c r="CE71" s="2207">
        <f t="shared" si="346"/>
        <v>0.39675366595960526</v>
      </c>
      <c r="CF71" s="2207">
        <f t="shared" si="346"/>
        <v>0.38559659845867661</v>
      </c>
      <c r="CG71" s="2207">
        <f t="shared" si="346"/>
        <v>0.37656209036091937</v>
      </c>
      <c r="CH71" s="2512">
        <f t="shared" si="346"/>
        <v>0.28828520010283659</v>
      </c>
      <c r="CI71" s="2511">
        <f t="shared" si="346"/>
        <v>0.29641855091599273</v>
      </c>
      <c r="CJ71" s="2511">
        <f t="shared" si="346"/>
        <v>0.28065201984408222</v>
      </c>
      <c r="CK71" s="2511">
        <f t="shared" si="346"/>
        <v>0.3071773314650475</v>
      </c>
      <c r="CL71" s="2512">
        <f t="shared" si="346"/>
        <v>0.3593129826080681</v>
      </c>
      <c r="CM71" s="2511">
        <f t="shared" ref="CM71:DE71" si="347">CM69/CM$31</f>
        <v>0.39756470823075385</v>
      </c>
      <c r="CN71" s="2511">
        <f t="shared" si="347"/>
        <v>0.39155958515426259</v>
      </c>
      <c r="CO71" s="2511">
        <f t="shared" si="347"/>
        <v>0.38481178396072013</v>
      </c>
      <c r="CP71" s="2512">
        <f t="shared" si="347"/>
        <v>0.40131922675026122</v>
      </c>
      <c r="CQ71" s="2511">
        <f t="shared" si="347"/>
        <v>0.41472892909473147</v>
      </c>
      <c r="CR71" s="2511">
        <f t="shared" si="347"/>
        <v>0.41169230769230769</v>
      </c>
      <c r="CS71" s="2511">
        <f t="shared" si="347"/>
        <v>0.41707951449095865</v>
      </c>
      <c r="CT71" s="2512">
        <f t="shared" si="347"/>
        <v>0.37023872993306084</v>
      </c>
      <c r="CU71" s="2511">
        <f t="shared" si="347"/>
        <v>0.38570519863528596</v>
      </c>
      <c r="CV71" s="2511">
        <f t="shared" si="347"/>
        <v>0.40556245063748164</v>
      </c>
      <c r="CW71" s="2511">
        <f t="shared" si="347"/>
        <v>0.34951243563054674</v>
      </c>
      <c r="CX71" s="2208">
        <f t="shared" si="347"/>
        <v>0.39046680895310021</v>
      </c>
      <c r="CY71" s="2207">
        <f t="shared" si="347"/>
        <v>0.41578295742046617</v>
      </c>
      <c r="CZ71" s="2207">
        <f t="shared" si="347"/>
        <v>0.42493692178301096</v>
      </c>
      <c r="DA71" s="2207">
        <f t="shared" si="347"/>
        <v>0.3393518055416625</v>
      </c>
      <c r="DB71" s="2208">
        <f t="shared" si="347"/>
        <v>0.43149106182451469</v>
      </c>
      <c r="DC71" s="2207">
        <f t="shared" si="347"/>
        <v>0.42606127352823386</v>
      </c>
      <c r="DD71" s="2207">
        <f t="shared" si="347"/>
        <v>0.43855090935830188</v>
      </c>
      <c r="DE71" s="2207">
        <f t="shared" si="347"/>
        <v>0.39375147928994081</v>
      </c>
      <c r="DF71" s="2208">
        <f>DF69/DF$31</f>
        <v>0.44920733751616454</v>
      </c>
      <c r="DG71" s="2207">
        <f>DG69/DG$31</f>
        <v>0.42321835870222968</v>
      </c>
      <c r="DH71" s="2207">
        <f>DH69/DH$31</f>
        <v>0.41648729104648502</v>
      </c>
      <c r="DI71" s="2209">
        <f>DI69/DI$31</f>
        <v>0.32641050791078513</v>
      </c>
      <c r="DJ71" s="2208">
        <f t="shared" ref="DJ71:DM71" si="348">DJ69/DJ$31</f>
        <v>0.44786814761734145</v>
      </c>
      <c r="DK71" s="2207">
        <f t="shared" si="348"/>
        <v>0.43872993410869854</v>
      </c>
      <c r="DL71" s="2207">
        <f t="shared" si="348"/>
        <v>0.43155835687893934</v>
      </c>
      <c r="DM71" s="2209">
        <f t="shared" si="348"/>
        <v>0.3835847307659897</v>
      </c>
      <c r="DN71" s="2207">
        <f t="shared" ref="DN71:DO71" si="349">DN69/DN$31</f>
        <v>0.46232503181239776</v>
      </c>
      <c r="DO71" s="2207">
        <f t="shared" si="349"/>
        <v>0.47452082565425729</v>
      </c>
      <c r="DP71" s="2207">
        <f t="shared" ref="DP71:DQ71" si="350">DP69/DP$31</f>
        <v>0.44948192389484637</v>
      </c>
      <c r="DQ71" s="2209">
        <f t="shared" si="350"/>
        <v>0.3691662745433546</v>
      </c>
      <c r="DR71" s="2208">
        <f t="shared" ref="DR71" si="351">DR69/DR$31</f>
        <v>0.45090525912443719</v>
      </c>
      <c r="DS71" s="2207">
        <f t="shared" ref="DS71:DT71" si="352">DS69/DS$31</f>
        <v>0.45846255051216989</v>
      </c>
      <c r="DT71" s="2207">
        <f t="shared" si="352"/>
        <v>0.46195551436515292</v>
      </c>
      <c r="DU71" s="2209">
        <f t="shared" ref="DU71" si="353">DU69/DU$31</f>
        <v>0.39804804173152158</v>
      </c>
      <c r="DV71" s="2207">
        <f t="shared" ref="DV71" si="354">DV69/DV$31</f>
        <v>0.47840182648401824</v>
      </c>
      <c r="DW71" s="2207">
        <f t="shared" ref="DW71:DY71" ca="1" si="355">DW69/DW$31</f>
        <v>0.47715347603522384</v>
      </c>
      <c r="DX71" s="2207">
        <f t="shared" ca="1" si="355"/>
        <v>0.48012977527071332</v>
      </c>
      <c r="DY71" s="2209">
        <f t="shared" ca="1" si="355"/>
        <v>0.40390712336686124</v>
      </c>
    </row>
    <row r="72" spans="1:136" s="1491" customFormat="1" hidden="1" outlineLevel="1">
      <c r="A72" s="2206" t="s">
        <v>1461</v>
      </c>
      <c r="B72" s="2207"/>
      <c r="C72" s="2207"/>
      <c r="D72" s="2207"/>
      <c r="E72" s="2207"/>
      <c r="F72" s="2207"/>
      <c r="G72" s="2207">
        <f t="shared" ref="G72:P72" si="356">G69/G10</f>
        <v>0.3764686549995892</v>
      </c>
      <c r="H72" s="2207">
        <f t="shared" si="356"/>
        <v>0.36414921373668996</v>
      </c>
      <c r="I72" s="2207">
        <f t="shared" si="356"/>
        <v>0.37561676347511086</v>
      </c>
      <c r="J72" s="2207">
        <f t="shared" si="356"/>
        <v>0.3906575759283259</v>
      </c>
      <c r="K72" s="2207">
        <f t="shared" si="356"/>
        <v>0.39201416207710466</v>
      </c>
      <c r="L72" s="2207">
        <f t="shared" si="356"/>
        <v>0.42311475409836063</v>
      </c>
      <c r="M72" s="2207">
        <f t="shared" si="356"/>
        <v>0.43155237993672463</v>
      </c>
      <c r="N72" s="2207">
        <f t="shared" si="356"/>
        <v>0.52666379501256955</v>
      </c>
      <c r="O72" s="2207">
        <f t="shared" si="356"/>
        <v>0.52975771819436068</v>
      </c>
      <c r="P72" s="2207">
        <f t="shared" si="356"/>
        <v>0.33929869825260933</v>
      </c>
      <c r="Q72" s="2207">
        <f t="shared" ref="Q72:AA72" si="357">Q69/Q25</f>
        <v>0.45475156592245319</v>
      </c>
      <c r="R72" s="2207">
        <f t="shared" si="357"/>
        <v>0.4688202196695968</v>
      </c>
      <c r="S72" s="2207">
        <f t="shared" si="357"/>
        <v>0.44777456598542859</v>
      </c>
      <c r="T72" s="2207">
        <f t="shared" si="357"/>
        <v>0.46644595421524171</v>
      </c>
      <c r="U72" s="2207">
        <f t="shared" si="357"/>
        <v>0.49540075036576708</v>
      </c>
      <c r="V72" s="2207">
        <f t="shared" si="357"/>
        <v>0.48490981688007712</v>
      </c>
      <c r="W72" s="2207">
        <f t="shared" si="357"/>
        <v>0.5533410989260753</v>
      </c>
      <c r="X72" s="2207">
        <f t="shared" si="357"/>
        <v>0.58630219285070595</v>
      </c>
      <c r="Y72" s="2207">
        <f t="shared" ref="Y72:Z72" si="358">Y69/Y25</f>
        <v>0.6115555837201565</v>
      </c>
      <c r="Z72" s="2207">
        <f t="shared" ca="1" si="358"/>
        <v>0.6576029106587149</v>
      </c>
      <c r="AA72" s="2207">
        <f t="shared" ca="1" si="357"/>
        <v>0.64773948776426238</v>
      </c>
      <c r="AB72" s="2207">
        <f t="shared" ref="AB72:AG72" ca="1" si="359">AB69/AB25</f>
        <v>0.65201196992677546</v>
      </c>
      <c r="AC72" s="2207">
        <f t="shared" ca="1" si="359"/>
        <v>0.656549626916897</v>
      </c>
      <c r="AD72" s="2207">
        <f t="shared" ca="1" si="359"/>
        <v>0.66129018843958087</v>
      </c>
      <c r="AE72" s="2207">
        <f t="shared" ca="1" si="359"/>
        <v>0.6661953747639805</v>
      </c>
      <c r="AF72" s="2207">
        <f t="shared" ca="1" si="359"/>
        <v>0.67123756017197445</v>
      </c>
      <c r="AG72" s="2207">
        <f t="shared" ca="1" si="359"/>
        <v>0.67639381267119769</v>
      </c>
      <c r="AH72" s="2201"/>
      <c r="AI72" s="1927"/>
      <c r="AJ72" s="1561"/>
      <c r="AK72" s="2207"/>
      <c r="AL72" s="2207"/>
      <c r="AM72" s="2207"/>
      <c r="AN72" s="2207"/>
      <c r="AO72" s="2207"/>
      <c r="AP72" s="2208">
        <f t="shared" ref="AP72:BU72" si="360">AP69/AP10</f>
        <v>0.36525974025974028</v>
      </c>
      <c r="AQ72" s="2207">
        <f t="shared" si="360"/>
        <v>0.39156626506024095</v>
      </c>
      <c r="AR72" s="2207">
        <f t="shared" si="360"/>
        <v>0.41485371342835708</v>
      </c>
      <c r="AS72" s="2207">
        <f t="shared" si="360"/>
        <v>0.35985130111524166</v>
      </c>
      <c r="AT72" s="2208">
        <f t="shared" si="360"/>
        <v>0.42835708927231808</v>
      </c>
      <c r="AU72" s="2207">
        <f t="shared" si="360"/>
        <v>0.47141848976711365</v>
      </c>
      <c r="AV72" s="2207">
        <f t="shared" si="360"/>
        <v>0.44071281699794379</v>
      </c>
      <c r="AW72" s="2207">
        <f t="shared" si="360"/>
        <v>0.40654843110504774</v>
      </c>
      <c r="AX72" s="2208">
        <f t="shared" si="360"/>
        <v>0.38499471644945404</v>
      </c>
      <c r="AY72" s="2207">
        <f t="shared" si="360"/>
        <v>0.38863487916394512</v>
      </c>
      <c r="AZ72" s="2207">
        <f t="shared" si="360"/>
        <v>0.38860598345003183</v>
      </c>
      <c r="BA72" s="2207">
        <f t="shared" si="360"/>
        <v>0.3446291560102302</v>
      </c>
      <c r="BB72" s="2208">
        <f t="shared" si="360"/>
        <v>0.37412140575079872</v>
      </c>
      <c r="BC72" s="2207">
        <f t="shared" si="360"/>
        <v>0.36376172090457803</v>
      </c>
      <c r="BD72" s="2207">
        <f t="shared" si="360"/>
        <v>0.39323410013531801</v>
      </c>
      <c r="BE72" s="2207">
        <f t="shared" si="360"/>
        <v>0.32734584450402143</v>
      </c>
      <c r="BF72" s="2208">
        <f t="shared" si="360"/>
        <v>0.37764674350040206</v>
      </c>
      <c r="BG72" s="2207">
        <f t="shared" si="360"/>
        <v>0.38514510575504179</v>
      </c>
      <c r="BH72" s="2207">
        <f t="shared" si="360"/>
        <v>0.38991154673679179</v>
      </c>
      <c r="BI72" s="2207">
        <f t="shared" si="360"/>
        <v>0.34929297940957577</v>
      </c>
      <c r="BJ72" s="2208">
        <f t="shared" si="360"/>
        <v>0.38376110562685095</v>
      </c>
      <c r="BK72" s="2207">
        <f t="shared" si="360"/>
        <v>0.3872739757381552</v>
      </c>
      <c r="BL72" s="2207">
        <f t="shared" si="360"/>
        <v>0.38976804682419253</v>
      </c>
      <c r="BM72" s="2207">
        <f t="shared" si="360"/>
        <v>0.40059410142159985</v>
      </c>
      <c r="BN72" s="2208">
        <f t="shared" si="360"/>
        <v>0.38218884120171676</v>
      </c>
      <c r="BO72" s="2207">
        <f t="shared" si="360"/>
        <v>0.38654959090001995</v>
      </c>
      <c r="BP72" s="2207">
        <f t="shared" si="360"/>
        <v>0.40083034534817891</v>
      </c>
      <c r="BQ72" s="2207">
        <f t="shared" si="360"/>
        <v>0.39694371971673498</v>
      </c>
      <c r="BR72" s="2208">
        <f t="shared" si="360"/>
        <v>0.41028903835666242</v>
      </c>
      <c r="BS72" s="2207">
        <f t="shared" si="360"/>
        <v>0.44977660102598049</v>
      </c>
      <c r="BT72" s="2207">
        <f t="shared" si="360"/>
        <v>0.43715761465017999</v>
      </c>
      <c r="BU72" s="2207">
        <f t="shared" si="360"/>
        <v>0.39523735889902584</v>
      </c>
      <c r="BV72" s="2208">
        <f t="shared" ref="BV72:CL72" si="361">BV69/BV10</f>
        <v>0.41024858929388441</v>
      </c>
      <c r="BW72" s="2207">
        <f t="shared" si="361"/>
        <v>0.43017166133255746</v>
      </c>
      <c r="BX72" s="2207">
        <f t="shared" si="361"/>
        <v>0.41513067400275105</v>
      </c>
      <c r="BY72" s="2207">
        <f t="shared" si="361"/>
        <v>0.46769851951547781</v>
      </c>
      <c r="BZ72" s="2208">
        <f t="shared" si="361"/>
        <v>0.44539361282691547</v>
      </c>
      <c r="CA72" s="2207">
        <f t="shared" si="361"/>
        <v>0.44350423096067693</v>
      </c>
      <c r="CB72" s="2207">
        <f t="shared" si="361"/>
        <v>0.44952178533475029</v>
      </c>
      <c r="CC72" s="2207">
        <f t="shared" si="361"/>
        <v>0.43227366966136838</v>
      </c>
      <c r="CD72" s="2208">
        <f t="shared" si="361"/>
        <v>0.44322099877655435</v>
      </c>
      <c r="CE72" s="2207">
        <f t="shared" si="361"/>
        <v>0.45756222080408426</v>
      </c>
      <c r="CF72" s="2207">
        <f t="shared" si="361"/>
        <v>0.44650733408554721</v>
      </c>
      <c r="CG72" s="2207">
        <f t="shared" si="361"/>
        <v>0.43639862264533119</v>
      </c>
      <c r="CH72" s="2512">
        <f t="shared" si="361"/>
        <v>0.33159191720059145</v>
      </c>
      <c r="CI72" s="2511">
        <f t="shared" si="361"/>
        <v>0.34235608082348457</v>
      </c>
      <c r="CJ72" s="2511">
        <f t="shared" si="361"/>
        <v>0.32592592592592595</v>
      </c>
      <c r="CK72" s="2511">
        <f t="shared" si="361"/>
        <v>0.35668444364096535</v>
      </c>
      <c r="CL72" s="2512">
        <f t="shared" si="361"/>
        <v>0.39127701375245577</v>
      </c>
      <c r="CM72" s="2511">
        <f t="shared" ref="CM72:DN72" si="362">CM69/CM25</f>
        <v>0.46000461929324815</v>
      </c>
      <c r="CN72" s="2511">
        <f t="shared" si="362"/>
        <v>0.45653661875427787</v>
      </c>
      <c r="CO72" s="2511">
        <f t="shared" si="362"/>
        <v>0.44587726617613593</v>
      </c>
      <c r="CP72" s="2512">
        <f t="shared" si="362"/>
        <v>0.45633447200356453</v>
      </c>
      <c r="CQ72" s="2511">
        <f t="shared" si="362"/>
        <v>0.47167077235183308</v>
      </c>
      <c r="CR72" s="2511">
        <f t="shared" si="362"/>
        <v>0.47219085262563526</v>
      </c>
      <c r="CS72" s="2511">
        <f t="shared" si="362"/>
        <v>0.47452969773832171</v>
      </c>
      <c r="CT72" s="2512">
        <f t="shared" si="362"/>
        <v>0.43672699322199704</v>
      </c>
      <c r="CU72" s="2511">
        <f t="shared" si="362"/>
        <v>0.45352553205956347</v>
      </c>
      <c r="CV72" s="2511">
        <f t="shared" si="362"/>
        <v>0.47821459455863768</v>
      </c>
      <c r="CW72" s="2511">
        <f t="shared" si="362"/>
        <v>0.42234873560174763</v>
      </c>
      <c r="CX72" s="2208">
        <f t="shared" si="362"/>
        <v>0.46301103179753406</v>
      </c>
      <c r="CY72" s="2207">
        <f t="shared" si="362"/>
        <v>0.48960446247464501</v>
      </c>
      <c r="CZ72" s="2207">
        <f t="shared" si="362"/>
        <v>0.5004333292063885</v>
      </c>
      <c r="DA72" s="2207">
        <f t="shared" si="362"/>
        <v>0.41389617519673033</v>
      </c>
      <c r="DB72" s="2208">
        <f t="shared" si="362"/>
        <v>0.50358680057388805</v>
      </c>
      <c r="DC72" s="2207">
        <f t="shared" si="362"/>
        <v>0.49836046375453802</v>
      </c>
      <c r="DD72" s="2207">
        <f t="shared" si="362"/>
        <v>0.51073304407398945</v>
      </c>
      <c r="DE72" s="2207">
        <f t="shared" si="362"/>
        <v>0.46965162893117274</v>
      </c>
      <c r="DF72" s="2208">
        <f t="shared" si="362"/>
        <v>0.52143214543837213</v>
      </c>
      <c r="DG72" s="2207">
        <f t="shared" si="362"/>
        <v>0.5029317402367518</v>
      </c>
      <c r="DH72" s="2207">
        <f t="shared" si="362"/>
        <v>0.49542383961647418</v>
      </c>
      <c r="DI72" s="2209">
        <f t="shared" si="362"/>
        <v>0.42034158932396065</v>
      </c>
      <c r="DJ72" s="2208">
        <f t="shared" si="362"/>
        <v>0.55822261918052918</v>
      </c>
      <c r="DK72" s="2207">
        <f t="shared" si="362"/>
        <v>0.56085702979252638</v>
      </c>
      <c r="DL72" s="2207">
        <f t="shared" si="362"/>
        <v>0.56415501761563813</v>
      </c>
      <c r="DM72" s="2209">
        <f t="shared" si="362"/>
        <v>0.52945623727827862</v>
      </c>
      <c r="DN72" s="2207">
        <f t="shared" si="362"/>
        <v>0.60521149384258432</v>
      </c>
      <c r="DO72" s="2207">
        <f t="shared" ref="DO72:DP72" si="363">DO69/DO25</f>
        <v>0.61519622483722602</v>
      </c>
      <c r="DP72" s="2207">
        <f t="shared" si="363"/>
        <v>0.59542076240709663</v>
      </c>
      <c r="DQ72" s="2209">
        <f t="shared" ref="DQ72" si="364">DQ69/DQ25</f>
        <v>0.52795791019209592</v>
      </c>
      <c r="DR72" s="2208">
        <f t="shared" ref="DR72" si="365">DR69/DR25</f>
        <v>0.59665356825960203</v>
      </c>
      <c r="DS72" s="2207">
        <f t="shared" ref="DS72:DT72" si="366">DS69/DS25</f>
        <v>0.62456791704007164</v>
      </c>
      <c r="DT72" s="2207">
        <f t="shared" si="366"/>
        <v>0.62931633103970708</v>
      </c>
      <c r="DU72" s="2209">
        <f t="shared" ref="DU72" si="367">DU69/DU25</f>
        <v>0.59584382871536523</v>
      </c>
      <c r="DV72" s="2207">
        <f t="shared" ref="DV72" si="368">DV69/DV25</f>
        <v>0.6802363329437735</v>
      </c>
      <c r="DW72" s="2207">
        <f t="shared" ref="DW72:DY72" ca="1" si="369">DW69/DW25</f>
        <v>0.67093616869982464</v>
      </c>
      <c r="DX72" s="2207">
        <f t="shared" ca="1" si="369"/>
        <v>0.67529880355368377</v>
      </c>
      <c r="DY72" s="2209">
        <f t="shared" ca="1" si="369"/>
        <v>0.6044651919515559</v>
      </c>
    </row>
    <row r="73" spans="1:136" s="1491" customFormat="1" hidden="1" outlineLevel="1">
      <c r="A73" s="2206"/>
      <c r="B73" s="2207"/>
      <c r="C73" s="2207"/>
      <c r="D73" s="2207"/>
      <c r="E73" s="2207"/>
      <c r="F73" s="2207"/>
      <c r="G73" s="2207"/>
      <c r="H73" s="2207"/>
      <c r="I73" s="2207"/>
      <c r="J73" s="2207"/>
      <c r="K73" s="2207"/>
      <c r="L73" s="2207"/>
      <c r="M73" s="2207"/>
      <c r="N73" s="2207"/>
      <c r="O73" s="2207"/>
      <c r="P73" s="2207"/>
      <c r="Q73" s="2207"/>
      <c r="R73" s="2207"/>
      <c r="S73" s="2207"/>
      <c r="T73" s="2207"/>
      <c r="U73" s="2207"/>
      <c r="V73" s="2207"/>
      <c r="W73" s="2207"/>
      <c r="X73" s="2207"/>
      <c r="Y73" s="2207"/>
      <c r="Z73" s="2207"/>
      <c r="AA73" s="2207"/>
      <c r="AB73" s="2207"/>
      <c r="AC73" s="2207"/>
      <c r="AD73" s="2207"/>
      <c r="AE73" s="2207"/>
      <c r="AF73" s="2207"/>
      <c r="AG73" s="2207"/>
      <c r="AH73" s="2201"/>
      <c r="AI73" s="1927"/>
      <c r="AJ73" s="1561"/>
      <c r="AK73" s="2207"/>
      <c r="AL73" s="2207"/>
      <c r="AM73" s="2207"/>
      <c r="AN73" s="2207"/>
      <c r="AO73" s="2207"/>
      <c r="AP73" s="2208"/>
      <c r="AQ73" s="2207"/>
      <c r="AR73" s="2207"/>
      <c r="AS73" s="2207"/>
      <c r="AT73" s="2208"/>
      <c r="AU73" s="2207"/>
      <c r="AV73" s="2207"/>
      <c r="AW73" s="2207"/>
      <c r="AX73" s="2208"/>
      <c r="AY73" s="2207"/>
      <c r="AZ73" s="2207"/>
      <c r="BA73" s="2207"/>
      <c r="BB73" s="2208"/>
      <c r="BC73" s="2207"/>
      <c r="BD73" s="2207"/>
      <c r="BE73" s="2207"/>
      <c r="BF73" s="2208"/>
      <c r="BG73" s="2207"/>
      <c r="BH73" s="2207"/>
      <c r="BI73" s="2207"/>
      <c r="BJ73" s="2208"/>
      <c r="BK73" s="2207"/>
      <c r="BL73" s="2207"/>
      <c r="BM73" s="2207"/>
      <c r="BN73" s="2208"/>
      <c r="BO73" s="2207"/>
      <c r="BP73" s="2207"/>
      <c r="BQ73" s="2207"/>
      <c r="BR73" s="2208"/>
      <c r="BS73" s="2207"/>
      <c r="BT73" s="2207"/>
      <c r="BU73" s="2207"/>
      <c r="BV73" s="2208"/>
      <c r="BW73" s="2207"/>
      <c r="BX73" s="2207"/>
      <c r="BY73" s="2207"/>
      <c r="BZ73" s="2208"/>
      <c r="CA73" s="2207"/>
      <c r="CB73" s="2207"/>
      <c r="CC73" s="2207"/>
      <c r="CD73" s="2208"/>
      <c r="CE73" s="2207"/>
      <c r="CF73" s="2207"/>
      <c r="CG73" s="2207"/>
      <c r="CH73" s="2256"/>
      <c r="CI73" s="2257"/>
      <c r="CJ73" s="2257"/>
      <c r="CK73" s="2257"/>
      <c r="CL73" s="2256"/>
      <c r="CM73" s="2257"/>
      <c r="CN73" s="2257"/>
      <c r="CO73" s="2257"/>
      <c r="CP73" s="2256"/>
      <c r="CQ73" s="2257"/>
      <c r="CR73" s="2257"/>
      <c r="CS73" s="2257"/>
      <c r="CT73" s="2256"/>
      <c r="CU73" s="2257"/>
      <c r="CV73" s="2257"/>
      <c r="CW73" s="2257"/>
      <c r="CX73" s="2256"/>
      <c r="CY73" s="2257"/>
      <c r="CZ73" s="2257"/>
      <c r="DA73" s="2257"/>
      <c r="DB73" s="2256"/>
      <c r="DC73" s="2257"/>
      <c r="DD73" s="2257"/>
      <c r="DE73" s="2257"/>
      <c r="DF73" s="2256"/>
      <c r="DG73" s="2257"/>
      <c r="DH73" s="2257"/>
      <c r="DI73" s="2258"/>
      <c r="DJ73" s="2256"/>
      <c r="DK73" s="2257"/>
      <c r="DL73" s="2257"/>
      <c r="DM73" s="2258"/>
      <c r="DN73" s="2257"/>
      <c r="DO73" s="2257"/>
      <c r="DP73" s="2257"/>
      <c r="DQ73" s="2258"/>
      <c r="DR73" s="2256"/>
      <c r="DS73" s="2257"/>
      <c r="DT73" s="2257"/>
      <c r="DU73" s="2258"/>
      <c r="DV73" s="2257"/>
      <c r="DW73" s="2257"/>
      <c r="DX73" s="2257"/>
      <c r="DY73" s="2258"/>
    </row>
    <row r="74" spans="1:136" s="1491" customFormat="1" hidden="1" outlineLevel="1">
      <c r="A74" s="2211" t="s">
        <v>1462</v>
      </c>
      <c r="B74" s="1903"/>
      <c r="C74" s="1903"/>
      <c r="D74" s="2200"/>
      <c r="E74" s="1903"/>
      <c r="F74" s="1903"/>
      <c r="G74" s="1903"/>
      <c r="H74" s="1903"/>
      <c r="I74" s="1903"/>
      <c r="J74" s="1903"/>
      <c r="K74" s="1903"/>
      <c r="L74" s="1903"/>
      <c r="M74" s="1903"/>
      <c r="N74" s="1992"/>
      <c r="O74" s="1992"/>
      <c r="P74" s="1992"/>
      <c r="Q74" s="1903"/>
      <c r="R74" s="1903"/>
      <c r="S74" s="1903"/>
      <c r="T74" s="1903"/>
      <c r="U74" s="1903"/>
      <c r="V74" s="1903"/>
      <c r="W74" s="1903"/>
      <c r="X74" s="1903"/>
      <c r="Y74" s="1903"/>
      <c r="Z74" s="1903"/>
      <c r="AA74" s="1903"/>
      <c r="AB74" s="1903"/>
      <c r="AC74" s="1903"/>
      <c r="AD74" s="1903"/>
      <c r="AE74" s="1903"/>
      <c r="AF74" s="1903"/>
      <c r="AG74" s="1903"/>
      <c r="AH74" s="2201"/>
      <c r="AI74" s="1927"/>
      <c r="AJ74" s="1561"/>
      <c r="AK74" s="2200"/>
      <c r="AL74" s="2200"/>
      <c r="AM74" s="1903"/>
      <c r="AN74" s="2200"/>
      <c r="AO74" s="1903"/>
      <c r="AP74" s="1942"/>
      <c r="AQ74" s="1903"/>
      <c r="AR74" s="1903"/>
      <c r="AS74" s="1903"/>
      <c r="AT74" s="1942"/>
      <c r="AU74" s="1903"/>
      <c r="AV74" s="1903"/>
      <c r="AW74" s="1903"/>
      <c r="AX74" s="1942"/>
      <c r="AY74" s="1903"/>
      <c r="AZ74" s="1903"/>
      <c r="BA74" s="1903"/>
      <c r="BB74" s="1942"/>
      <c r="BC74" s="1903"/>
      <c r="BD74" s="1903"/>
      <c r="BE74" s="1903"/>
      <c r="BF74" s="1942"/>
      <c r="BG74" s="1903"/>
      <c r="BH74" s="1903"/>
      <c r="BI74" s="1903"/>
      <c r="BJ74" s="1942"/>
      <c r="BK74" s="1903"/>
      <c r="BL74" s="1903"/>
      <c r="BM74" s="1903"/>
      <c r="BN74" s="1942"/>
      <c r="BO74" s="1903"/>
      <c r="BP74" s="1903"/>
      <c r="BQ74" s="1903"/>
      <c r="BR74" s="1942"/>
      <c r="BS74" s="1903"/>
      <c r="BT74" s="1903"/>
      <c r="BU74" s="1903"/>
      <c r="BV74" s="2259">
        <v>563</v>
      </c>
      <c r="BW74" s="2260">
        <v>622</v>
      </c>
      <c r="BX74" s="2260">
        <v>669</v>
      </c>
      <c r="BY74" s="2260">
        <v>581</v>
      </c>
      <c r="BZ74" s="1993">
        <f>+BZ19-BZ34</f>
        <v>602.05599999999981</v>
      </c>
      <c r="CA74" s="1992">
        <f t="shared" ref="CA74:CJ74" si="370">+CA19-CA34</f>
        <v>651.15999999999985</v>
      </c>
      <c r="CB74" s="1992">
        <f t="shared" si="370"/>
        <v>668.7639999999999</v>
      </c>
      <c r="CC74" s="1992">
        <f t="shared" si="370"/>
        <v>690.69100000000026</v>
      </c>
      <c r="CD74" s="1993">
        <f t="shared" si="370"/>
        <v>710.14599999999973</v>
      </c>
      <c r="CE74" s="1992">
        <f t="shared" si="370"/>
        <v>766.79600000000028</v>
      </c>
      <c r="CF74" s="1992">
        <f t="shared" si="370"/>
        <v>803.18900000000031</v>
      </c>
      <c r="CG74" s="1992">
        <f t="shared" si="370"/>
        <v>750.40000000000009</v>
      </c>
      <c r="CH74" s="1993">
        <f t="shared" si="370"/>
        <v>822.5</v>
      </c>
      <c r="CI74" s="1992">
        <f t="shared" si="370"/>
        <v>873.49999999999955</v>
      </c>
      <c r="CJ74" s="1992">
        <f t="shared" si="370"/>
        <v>892.7</v>
      </c>
      <c r="CK74" s="1992"/>
      <c r="CL74" s="2261"/>
      <c r="CM74" s="2262"/>
      <c r="CN74" s="2262"/>
      <c r="CO74" s="2262"/>
      <c r="CP74" s="2261"/>
      <c r="CQ74" s="2262"/>
      <c r="CR74" s="2262"/>
      <c r="CS74" s="2262"/>
      <c r="CT74" s="2261"/>
      <c r="CU74" s="2262"/>
      <c r="CV74" s="2262"/>
      <c r="CW74" s="2262"/>
      <c r="CX74" s="2261"/>
      <c r="CY74" s="2262"/>
      <c r="CZ74" s="2262"/>
      <c r="DA74" s="2262"/>
      <c r="DB74" s="2261"/>
      <c r="DC74" s="2262"/>
      <c r="DD74" s="2262"/>
      <c r="DE74" s="2262"/>
      <c r="DF74" s="2261"/>
      <c r="DG74" s="2262"/>
      <c r="DH74" s="2262"/>
      <c r="DI74" s="2263"/>
      <c r="DJ74" s="2261"/>
      <c r="DK74" s="2262"/>
      <c r="DL74" s="2262"/>
      <c r="DM74" s="2263"/>
      <c r="DN74" s="2262"/>
      <c r="DO74" s="2262"/>
      <c r="DP74" s="2262"/>
      <c r="DQ74" s="2263"/>
      <c r="DR74" s="2261"/>
      <c r="DS74" s="2262"/>
      <c r="DT74" s="2262"/>
      <c r="DU74" s="2263"/>
      <c r="DV74" s="2262"/>
      <c r="DW74" s="2262"/>
      <c r="DX74" s="2262"/>
      <c r="DY74" s="2263"/>
    </row>
    <row r="75" spans="1:136" s="1491" customFormat="1" hidden="1" outlineLevel="1">
      <c r="A75" s="2206" t="s">
        <v>991</v>
      </c>
      <c r="B75" s="2207"/>
      <c r="C75" s="2207"/>
      <c r="D75" s="2207"/>
      <c r="E75" s="2207"/>
      <c r="F75" s="2207"/>
      <c r="G75" s="2207"/>
      <c r="H75" s="2207"/>
      <c r="I75" s="2207"/>
      <c r="J75" s="2207"/>
      <c r="K75" s="2207"/>
      <c r="L75" s="2207"/>
      <c r="M75" s="2207"/>
      <c r="N75" s="2207"/>
      <c r="O75" s="2207"/>
      <c r="P75" s="2207"/>
      <c r="Q75" s="2207"/>
      <c r="R75" s="2207"/>
      <c r="S75" s="2207"/>
      <c r="T75" s="2207"/>
      <c r="U75" s="2207"/>
      <c r="V75" s="2207"/>
      <c r="W75" s="2207"/>
      <c r="X75" s="2207"/>
      <c r="Y75" s="2207"/>
      <c r="Z75" s="2207"/>
      <c r="AA75" s="2207"/>
      <c r="AB75" s="2207"/>
      <c r="AC75" s="2207"/>
      <c r="AD75" s="2207"/>
      <c r="AE75" s="2207"/>
      <c r="AF75" s="2207"/>
      <c r="AG75" s="2207"/>
      <c r="AH75" s="2201"/>
      <c r="AI75" s="1927"/>
      <c r="AJ75" s="1561"/>
      <c r="AK75" s="2207"/>
      <c r="AL75" s="2207"/>
      <c r="AM75" s="2207"/>
      <c r="AN75" s="2207"/>
      <c r="AO75" s="2207"/>
      <c r="AP75" s="2208"/>
      <c r="AQ75" s="2207"/>
      <c r="AR75" s="2207"/>
      <c r="AS75" s="2207"/>
      <c r="AT75" s="2208"/>
      <c r="AU75" s="2207"/>
      <c r="AV75" s="2207"/>
      <c r="AW75" s="2207"/>
      <c r="AX75" s="2208"/>
      <c r="AY75" s="2207"/>
      <c r="AZ75" s="2207"/>
      <c r="BA75" s="2207"/>
      <c r="BB75" s="2208"/>
      <c r="BC75" s="2207"/>
      <c r="BD75" s="2207"/>
      <c r="BE75" s="2207"/>
      <c r="BF75" s="2208"/>
      <c r="BG75" s="2207"/>
      <c r="BH75" s="2207"/>
      <c r="BI75" s="2207"/>
      <c r="BJ75" s="2208"/>
      <c r="BK75" s="2207"/>
      <c r="BL75" s="2207"/>
      <c r="BM75" s="2207"/>
      <c r="BN75" s="2208"/>
      <c r="BO75" s="2207"/>
      <c r="BP75" s="2207"/>
      <c r="BQ75" s="2207"/>
      <c r="BR75" s="2208"/>
      <c r="BS75" s="2207"/>
      <c r="BT75" s="2207"/>
      <c r="BU75" s="2207"/>
      <c r="BV75" s="2208"/>
      <c r="BW75" s="2207"/>
      <c r="BX75" s="2207"/>
      <c r="BY75" s="2207"/>
      <c r="BZ75" s="2208"/>
      <c r="CA75" s="2207"/>
      <c r="CB75" s="2207"/>
      <c r="CC75" s="2207"/>
      <c r="CD75" s="2208">
        <f t="shared" ref="CD75:CJ75" si="371">CD74/BZ74-1</f>
        <v>0.17953479410553164</v>
      </c>
      <c r="CE75" s="2207">
        <f t="shared" si="371"/>
        <v>0.1775846182197931</v>
      </c>
      <c r="CF75" s="2207">
        <f t="shared" si="371"/>
        <v>0.20100513783636753</v>
      </c>
      <c r="CG75" s="2207">
        <f t="shared" si="371"/>
        <v>8.6448209112323537E-2</v>
      </c>
      <c r="CH75" s="2512">
        <f t="shared" si="371"/>
        <v>0.15821253657698597</v>
      </c>
      <c r="CI75" s="2511">
        <f t="shared" si="371"/>
        <v>0.1391556554807265</v>
      </c>
      <c r="CJ75" s="2511">
        <f t="shared" si="371"/>
        <v>0.11144450434455622</v>
      </c>
      <c r="CK75" s="2511"/>
      <c r="CL75" s="2256"/>
      <c r="CM75" s="2257"/>
      <c r="CN75" s="2257"/>
      <c r="CO75" s="2257"/>
      <c r="CP75" s="2256"/>
      <c r="CQ75" s="2257"/>
      <c r="CR75" s="2257"/>
      <c r="CS75" s="2257"/>
      <c r="CT75" s="2256"/>
      <c r="CU75" s="2257"/>
      <c r="CV75" s="2257"/>
      <c r="CW75" s="2257"/>
      <c r="CX75" s="2256"/>
      <c r="CY75" s="2257"/>
      <c r="CZ75" s="2257"/>
      <c r="DA75" s="2257"/>
      <c r="DB75" s="2256"/>
      <c r="DC75" s="2257"/>
      <c r="DD75" s="2257"/>
      <c r="DE75" s="2257"/>
      <c r="DF75" s="2256"/>
      <c r="DG75" s="2257"/>
      <c r="DH75" s="2257"/>
      <c r="DI75" s="2258"/>
      <c r="DJ75" s="2256"/>
      <c r="DK75" s="2257"/>
      <c r="DL75" s="2257"/>
      <c r="DM75" s="2258"/>
      <c r="DN75" s="2257"/>
      <c r="DO75" s="2257"/>
      <c r="DP75" s="2257"/>
      <c r="DQ75" s="2258"/>
      <c r="DR75" s="2256"/>
      <c r="DS75" s="2257"/>
      <c r="DT75" s="2257"/>
      <c r="DU75" s="2258"/>
      <c r="DV75" s="2257"/>
      <c r="DW75" s="2257"/>
      <c r="DX75" s="2257"/>
      <c r="DY75" s="2258"/>
    </row>
    <row r="76" spans="1:136" s="1491" customFormat="1" hidden="1" outlineLevel="1">
      <c r="A76" s="2206" t="s">
        <v>1463</v>
      </c>
      <c r="B76" s="2207"/>
      <c r="C76" s="2207"/>
      <c r="D76" s="2207"/>
      <c r="E76" s="2207"/>
      <c r="F76" s="2207"/>
      <c r="G76" s="2207"/>
      <c r="H76" s="2207"/>
      <c r="I76" s="2207"/>
      <c r="J76" s="2207"/>
      <c r="K76" s="2207"/>
      <c r="L76" s="2207"/>
      <c r="M76" s="2207"/>
      <c r="N76" s="2207"/>
      <c r="O76" s="2207"/>
      <c r="P76" s="2207"/>
      <c r="Q76" s="2207"/>
      <c r="R76" s="2207"/>
      <c r="S76" s="2207"/>
      <c r="T76" s="2207"/>
      <c r="U76" s="2207"/>
      <c r="V76" s="2207"/>
      <c r="W76" s="2207"/>
      <c r="X76" s="2207"/>
      <c r="Y76" s="2207"/>
      <c r="Z76" s="2207"/>
      <c r="AA76" s="2207"/>
      <c r="AB76" s="2207"/>
      <c r="AC76" s="2207"/>
      <c r="AD76" s="2207"/>
      <c r="AE76" s="2207"/>
      <c r="AF76" s="2207"/>
      <c r="AG76" s="2207"/>
      <c r="AH76" s="2201"/>
      <c r="AI76" s="1927"/>
      <c r="AJ76" s="1561"/>
      <c r="AK76" s="2207"/>
      <c r="AL76" s="2207"/>
      <c r="AM76" s="2207"/>
      <c r="AN76" s="2207"/>
      <c r="AO76" s="2207"/>
      <c r="AP76" s="2208"/>
      <c r="AQ76" s="2207"/>
      <c r="AR76" s="2207"/>
      <c r="AS76" s="2207"/>
      <c r="AT76" s="2208"/>
      <c r="AU76" s="2207"/>
      <c r="AV76" s="2207"/>
      <c r="AW76" s="2207"/>
      <c r="AX76" s="2208"/>
      <c r="AY76" s="2207"/>
      <c r="AZ76" s="2207"/>
      <c r="BA76" s="2207"/>
      <c r="BB76" s="2208"/>
      <c r="BC76" s="2207"/>
      <c r="BD76" s="2207"/>
      <c r="BE76" s="2207"/>
      <c r="BF76" s="2208"/>
      <c r="BG76" s="2207"/>
      <c r="BH76" s="2207"/>
      <c r="BI76" s="2207"/>
      <c r="BJ76" s="2208"/>
      <c r="BK76" s="2207"/>
      <c r="BL76" s="2207"/>
      <c r="BM76" s="2207"/>
      <c r="BN76" s="2208"/>
      <c r="BO76" s="2207"/>
      <c r="BP76" s="2207"/>
      <c r="BQ76" s="2207"/>
      <c r="BR76" s="2208"/>
      <c r="BS76" s="2207"/>
      <c r="BT76" s="2207"/>
      <c r="BU76" s="2207"/>
      <c r="BV76" s="2208"/>
      <c r="BW76" s="2207"/>
      <c r="BX76" s="2207"/>
      <c r="BY76" s="2207"/>
      <c r="BZ76" s="2208">
        <f t="shared" ref="BZ76:CJ76" si="372">+BZ74/BZ17</f>
        <v>0.36507093359722709</v>
      </c>
      <c r="CA76" s="2207">
        <f t="shared" si="372"/>
        <v>0.37549707980033764</v>
      </c>
      <c r="CB76" s="2207">
        <f t="shared" si="372"/>
        <v>0.37247854707723937</v>
      </c>
      <c r="CC76" s="2207">
        <f t="shared" si="372"/>
        <v>0.37312402389278188</v>
      </c>
      <c r="CD76" s="2208">
        <f t="shared" si="372"/>
        <v>0.37771312469416835</v>
      </c>
      <c r="CE76" s="2207">
        <f t="shared" si="372"/>
        <v>0.38891751740704089</v>
      </c>
      <c r="CF76" s="2207">
        <f t="shared" si="372"/>
        <v>0.38773791029962251</v>
      </c>
      <c r="CG76" s="2207">
        <f t="shared" si="372"/>
        <v>0.36407743437970019</v>
      </c>
      <c r="CH76" s="2512">
        <f t="shared" si="372"/>
        <v>0.39361600306278716</v>
      </c>
      <c r="CI76" s="2511">
        <f t="shared" si="372"/>
        <v>0.40175696808021322</v>
      </c>
      <c r="CJ76" s="2511">
        <f t="shared" si="372"/>
        <v>0.39155226106408175</v>
      </c>
      <c r="CK76" s="2511"/>
      <c r="CL76" s="2256"/>
      <c r="CM76" s="2257"/>
      <c r="CN76" s="2257"/>
      <c r="CO76" s="2257"/>
      <c r="CP76" s="2256"/>
      <c r="CQ76" s="2257"/>
      <c r="CR76" s="2257"/>
      <c r="CS76" s="2257"/>
      <c r="CT76" s="2256"/>
      <c r="CU76" s="2257"/>
      <c r="CV76" s="2257"/>
      <c r="CW76" s="2257"/>
      <c r="CX76" s="2256"/>
      <c r="CY76" s="2257"/>
      <c r="CZ76" s="2257"/>
      <c r="DA76" s="2257"/>
      <c r="DB76" s="2256"/>
      <c r="DC76" s="2257"/>
      <c r="DD76" s="2257"/>
      <c r="DE76" s="2257"/>
      <c r="DF76" s="2256"/>
      <c r="DG76" s="2257"/>
      <c r="DH76" s="2257"/>
      <c r="DI76" s="2258"/>
      <c r="DJ76" s="2256"/>
      <c r="DK76" s="2257"/>
      <c r="DL76" s="2257"/>
      <c r="DM76" s="2258"/>
      <c r="DN76" s="2257"/>
      <c r="DO76" s="2257"/>
      <c r="DP76" s="2257"/>
      <c r="DQ76" s="2258"/>
      <c r="DR76" s="2256"/>
      <c r="DS76" s="2257"/>
      <c r="DT76" s="2257"/>
      <c r="DU76" s="2258"/>
      <c r="DV76" s="2257"/>
      <c r="DW76" s="2257"/>
      <c r="DX76" s="2257"/>
      <c r="DY76" s="2258"/>
    </row>
    <row r="77" spans="1:136" s="1491" customFormat="1" hidden="1" outlineLevel="1">
      <c r="A77" s="2211"/>
      <c r="B77" s="1903"/>
      <c r="C77" s="1903"/>
      <c r="D77" s="2200"/>
      <c r="E77" s="1903"/>
      <c r="F77" s="1903"/>
      <c r="G77" s="1903"/>
      <c r="H77" s="1903"/>
      <c r="I77" s="1903"/>
      <c r="J77" s="1903"/>
      <c r="K77" s="1903"/>
      <c r="L77" s="1903"/>
      <c r="M77" s="1903"/>
      <c r="N77" s="1903"/>
      <c r="O77" s="1903"/>
      <c r="P77" s="1903"/>
      <c r="Q77" s="1903"/>
      <c r="R77" s="1903"/>
      <c r="S77" s="1903"/>
      <c r="T77" s="1903"/>
      <c r="U77" s="1903"/>
      <c r="V77" s="1903"/>
      <c r="W77" s="1903"/>
      <c r="X77" s="1903"/>
      <c r="Y77" s="1903"/>
      <c r="Z77" s="1903"/>
      <c r="AA77" s="1903"/>
      <c r="AB77" s="1903"/>
      <c r="AC77" s="1903"/>
      <c r="AD77" s="1903"/>
      <c r="AE77" s="1903"/>
      <c r="AF77" s="1903"/>
      <c r="AG77" s="1903"/>
      <c r="AH77" s="2201"/>
      <c r="AI77" s="1927"/>
      <c r="AJ77" s="1561"/>
      <c r="AK77" s="2200"/>
      <c r="AL77" s="2200"/>
      <c r="AM77" s="1903"/>
      <c r="AN77" s="2200"/>
      <c r="AO77" s="1903"/>
      <c r="AP77" s="1942"/>
      <c r="AQ77" s="1903"/>
      <c r="AR77" s="1903"/>
      <c r="AS77" s="1903"/>
      <c r="AT77" s="1942"/>
      <c r="AU77" s="1903"/>
      <c r="AV77" s="1903"/>
      <c r="AW77" s="1903"/>
      <c r="AX77" s="1942"/>
      <c r="AY77" s="1903"/>
      <c r="AZ77" s="1903"/>
      <c r="BA77" s="1903"/>
      <c r="BB77" s="1942"/>
      <c r="BC77" s="1903"/>
      <c r="BD77" s="1903"/>
      <c r="BE77" s="1903"/>
      <c r="BF77" s="1942"/>
      <c r="BG77" s="1903"/>
      <c r="BH77" s="1903"/>
      <c r="BI77" s="1903"/>
      <c r="BJ77" s="1942"/>
      <c r="BK77" s="1903"/>
      <c r="BL77" s="1903"/>
      <c r="BM77" s="1903"/>
      <c r="BN77" s="1942"/>
      <c r="BO77" s="1903"/>
      <c r="BP77" s="1903"/>
      <c r="BQ77" s="1903"/>
      <c r="BR77" s="1942"/>
      <c r="BS77" s="1903"/>
      <c r="BT77" s="1903"/>
      <c r="BU77" s="1903"/>
      <c r="BV77" s="1942"/>
      <c r="BW77" s="1903"/>
      <c r="BX77" s="1903"/>
      <c r="BY77" s="1903"/>
      <c r="BZ77" s="1942"/>
      <c r="CA77" s="1903"/>
      <c r="CB77" s="1903"/>
      <c r="CC77" s="1903"/>
      <c r="CD77" s="1942"/>
      <c r="CE77" s="1903"/>
      <c r="CF77" s="1903"/>
      <c r="CG77" s="2264"/>
      <c r="CH77" s="2265"/>
      <c r="CI77" s="1903"/>
      <c r="CJ77" s="1903"/>
      <c r="CK77" s="2264"/>
      <c r="CL77" s="2265"/>
      <c r="CM77" s="1903"/>
      <c r="CN77" s="1903"/>
      <c r="CO77" s="2264"/>
      <c r="CP77" s="2265"/>
      <c r="CQ77" s="2264"/>
      <c r="CR77" s="2264"/>
      <c r="CS77" s="2264"/>
      <c r="CT77" s="2265"/>
      <c r="CU77" s="2264"/>
      <c r="CV77" s="2264"/>
      <c r="CW77" s="2264"/>
      <c r="CX77" s="2265"/>
      <c r="CY77" s="2264"/>
      <c r="CZ77" s="2264"/>
      <c r="DA77" s="2264"/>
      <c r="DB77" s="2265"/>
      <c r="DC77" s="2264"/>
      <c r="DD77" s="2264"/>
      <c r="DE77" s="2264"/>
      <c r="DF77" s="2265"/>
      <c r="DG77" s="2264"/>
      <c r="DH77" s="2264"/>
      <c r="DI77" s="2266"/>
      <c r="DJ77" s="2265"/>
      <c r="DK77" s="2264"/>
      <c r="DL77" s="2264"/>
      <c r="DM77" s="2266"/>
      <c r="DN77" s="2264"/>
      <c r="DO77" s="2264"/>
      <c r="DP77" s="2264"/>
      <c r="DQ77" s="2266"/>
      <c r="DR77" s="2265"/>
      <c r="DS77" s="2264"/>
      <c r="DT77" s="2264"/>
      <c r="DU77" s="2266"/>
      <c r="DV77" s="2264"/>
      <c r="DW77" s="2264"/>
      <c r="DX77" s="2264"/>
      <c r="DY77" s="2266"/>
    </row>
    <row r="78" spans="1:136" s="1491" customFormat="1" ht="15" customHeight="1" collapsed="1">
      <c r="A78" s="2204" t="s">
        <v>1153</v>
      </c>
      <c r="B78" s="1903"/>
      <c r="C78" s="1903"/>
      <c r="D78" s="2200"/>
      <c r="E78" s="1903"/>
      <c r="F78" s="1903"/>
      <c r="G78" s="1903"/>
      <c r="H78" s="1903"/>
      <c r="I78" s="1903"/>
      <c r="J78" s="1903"/>
      <c r="K78" s="1903"/>
      <c r="L78" s="1903"/>
      <c r="M78" s="1903"/>
      <c r="N78" s="2510">
        <f t="shared" ref="N78:AA78" si="373">+N31-N47</f>
        <v>15095.822</v>
      </c>
      <c r="O78" s="2510">
        <f t="shared" si="373"/>
        <v>17867.309999999998</v>
      </c>
      <c r="P78" s="2510">
        <f t="shared" si="373"/>
        <v>22090</v>
      </c>
      <c r="Q78" s="1992">
        <f t="shared" si="373"/>
        <v>23668</v>
      </c>
      <c r="R78" s="1992">
        <f t="shared" si="373"/>
        <v>26080</v>
      </c>
      <c r="S78" s="1992">
        <f t="shared" si="373"/>
        <v>26489</v>
      </c>
      <c r="T78" s="1992">
        <f t="shared" si="373"/>
        <v>29728</v>
      </c>
      <c r="U78" s="1992">
        <f t="shared" si="373"/>
        <v>34199</v>
      </c>
      <c r="V78" s="1992">
        <f t="shared" si="373"/>
        <v>35219</v>
      </c>
      <c r="W78" s="1992">
        <f t="shared" si="373"/>
        <v>38953</v>
      </c>
      <c r="X78" s="1992">
        <f t="shared" si="373"/>
        <v>39036</v>
      </c>
      <c r="Y78" s="1992">
        <f t="shared" ref="Y78:Z78" si="374">+Y31-Y47</f>
        <v>38602</v>
      </c>
      <c r="Z78" s="1992">
        <f t="shared" ca="1" si="374"/>
        <v>40845.277874283238</v>
      </c>
      <c r="AA78" s="1992">
        <f t="shared" ca="1" si="373"/>
        <v>40813.780017020108</v>
      </c>
      <c r="AB78" s="1992">
        <f t="shared" ref="AB78:AG78" ca="1" si="375">+AB31-AB47</f>
        <v>41747.238370594692</v>
      </c>
      <c r="AC78" s="1992">
        <f t="shared" ca="1" si="375"/>
        <v>42758.388648627115</v>
      </c>
      <c r="AD78" s="1992">
        <f t="shared" ca="1" si="375"/>
        <v>43838.908039516711</v>
      </c>
      <c r="AE78" s="1992">
        <f t="shared" ca="1" si="375"/>
        <v>44991.686518556467</v>
      </c>
      <c r="AF78" s="1992">
        <f t="shared" ca="1" si="375"/>
        <v>46224.6871656203</v>
      </c>
      <c r="AG78" s="1992">
        <f t="shared" ca="1" si="375"/>
        <v>47548.202159174427</v>
      </c>
      <c r="AH78" s="2201"/>
      <c r="AI78" s="1928">
        <f ca="1">(AA78/V78)^(1/5)-1</f>
        <v>2.9925852760495086E-2</v>
      </c>
      <c r="AJ78" s="1561"/>
      <c r="AK78" s="2200"/>
      <c r="AL78" s="2200"/>
      <c r="AM78" s="1903"/>
      <c r="AN78" s="2200"/>
      <c r="AO78" s="1903"/>
      <c r="AP78" s="1942"/>
      <c r="AQ78" s="1903"/>
      <c r="AR78" s="1903"/>
      <c r="AS78" s="1903"/>
      <c r="AT78" s="1942"/>
      <c r="AU78" s="1903"/>
      <c r="AV78" s="1903"/>
      <c r="AW78" s="1903"/>
      <c r="AX78" s="1942"/>
      <c r="AY78" s="1903"/>
      <c r="AZ78" s="1903"/>
      <c r="BA78" s="1903"/>
      <c r="BB78" s="1942"/>
      <c r="BC78" s="1903"/>
      <c r="BD78" s="1903"/>
      <c r="BE78" s="1903"/>
      <c r="BF78" s="1942"/>
      <c r="BG78" s="1903"/>
      <c r="BH78" s="1903"/>
      <c r="BI78" s="1903"/>
      <c r="BJ78" s="1942"/>
      <c r="BK78" s="1903"/>
      <c r="BL78" s="1903"/>
      <c r="BM78" s="1903"/>
      <c r="BN78" s="1942"/>
      <c r="BO78" s="1903"/>
      <c r="BP78" s="1903"/>
      <c r="BQ78" s="1903"/>
      <c r="BR78" s="1942"/>
      <c r="BS78" s="1903"/>
      <c r="BT78" s="1903"/>
      <c r="BU78" s="1903"/>
      <c r="BV78" s="1993">
        <f t="shared" ref="BV78:CG78" si="376">BV74+BV69</f>
        <v>3253</v>
      </c>
      <c r="BW78" s="1992">
        <f t="shared" si="376"/>
        <v>3579</v>
      </c>
      <c r="BX78" s="1992">
        <f t="shared" si="376"/>
        <v>3687</v>
      </c>
      <c r="BY78" s="1992">
        <f t="shared" si="376"/>
        <v>4056</v>
      </c>
      <c r="BZ78" s="1993">
        <f t="shared" si="376"/>
        <v>3991.0559999999996</v>
      </c>
      <c r="CA78" s="1992">
        <f t="shared" si="376"/>
        <v>4215.16</v>
      </c>
      <c r="CB78" s="1992">
        <f t="shared" si="376"/>
        <v>4475.7640000000001</v>
      </c>
      <c r="CC78" s="1992">
        <f t="shared" si="376"/>
        <v>4443.6910000000007</v>
      </c>
      <c r="CD78" s="1993">
        <f t="shared" si="376"/>
        <v>4695.1459999999997</v>
      </c>
      <c r="CE78" s="1992">
        <f t="shared" si="376"/>
        <v>5068.7960000000003</v>
      </c>
      <c r="CF78" s="1992">
        <f t="shared" si="376"/>
        <v>5156.1890000000003</v>
      </c>
      <c r="CG78" s="1992">
        <f t="shared" si="376"/>
        <v>5059.3999999999996</v>
      </c>
      <c r="CH78" s="1993">
        <f t="shared" ref="CH78:DN78" si="377">+CH31-CH47</f>
        <v>5193</v>
      </c>
      <c r="CI78" s="1992">
        <f t="shared" si="377"/>
        <v>5458</v>
      </c>
      <c r="CJ78" s="1992">
        <f t="shared" si="377"/>
        <v>5513</v>
      </c>
      <c r="CK78" s="1992">
        <f t="shared" si="377"/>
        <v>5926</v>
      </c>
      <c r="CL78" s="1993">
        <f t="shared" si="377"/>
        <v>5812</v>
      </c>
      <c r="CM78" s="1992">
        <f t="shared" si="377"/>
        <v>5975</v>
      </c>
      <c r="CN78" s="1992">
        <f t="shared" si="377"/>
        <v>6003</v>
      </c>
      <c r="CO78" s="1992">
        <f t="shared" si="377"/>
        <v>5878</v>
      </c>
      <c r="CP78" s="1993">
        <f t="shared" si="377"/>
        <v>6145</v>
      </c>
      <c r="CQ78" s="1992">
        <f t="shared" si="377"/>
        <v>6510</v>
      </c>
      <c r="CR78" s="1992">
        <f t="shared" si="377"/>
        <v>6690</v>
      </c>
      <c r="CS78" s="1992">
        <f t="shared" si="377"/>
        <v>6735</v>
      </c>
      <c r="CT78" s="1993">
        <f t="shared" si="377"/>
        <v>6250</v>
      </c>
      <c r="CU78" s="1992">
        <f t="shared" si="377"/>
        <v>6670</v>
      </c>
      <c r="CV78" s="1992">
        <f t="shared" si="377"/>
        <v>7189</v>
      </c>
      <c r="CW78" s="1992">
        <f t="shared" si="377"/>
        <v>6380</v>
      </c>
      <c r="CX78" s="1993">
        <f t="shared" si="377"/>
        <v>7135</v>
      </c>
      <c r="CY78" s="1992">
        <f t="shared" si="377"/>
        <v>7724</v>
      </c>
      <c r="CZ78" s="1992">
        <f t="shared" si="377"/>
        <v>8084</v>
      </c>
      <c r="DA78" s="1992">
        <f t="shared" si="377"/>
        <v>6785</v>
      </c>
      <c r="DB78" s="1993">
        <f t="shared" si="377"/>
        <v>8424</v>
      </c>
      <c r="DC78" s="1992">
        <f t="shared" si="377"/>
        <v>8511</v>
      </c>
      <c r="DD78" s="1992">
        <f t="shared" si="377"/>
        <v>8946</v>
      </c>
      <c r="DE78" s="1992">
        <f t="shared" si="377"/>
        <v>8318</v>
      </c>
      <c r="DF78" s="1993">
        <f t="shared" si="377"/>
        <v>9379</v>
      </c>
      <c r="DG78" s="1992">
        <f t="shared" si="377"/>
        <v>9092</v>
      </c>
      <c r="DH78" s="1992">
        <f t="shared" si="377"/>
        <v>9094</v>
      </c>
      <c r="DI78" s="1998">
        <f t="shared" si="377"/>
        <v>7654</v>
      </c>
      <c r="DJ78" s="1993">
        <f t="shared" si="377"/>
        <v>10000</v>
      </c>
      <c r="DK78" s="1992">
        <f t="shared" si="377"/>
        <v>9921</v>
      </c>
      <c r="DL78" s="1992">
        <f t="shared" si="377"/>
        <v>9928</v>
      </c>
      <c r="DM78" s="1998">
        <f t="shared" si="377"/>
        <v>9104</v>
      </c>
      <c r="DN78" s="1992">
        <f t="shared" si="377"/>
        <v>10173</v>
      </c>
      <c r="DO78" s="1992">
        <f t="shared" ref="DO78:DP78" si="378">+DO31-DO47</f>
        <v>10299</v>
      </c>
      <c r="DP78" s="1992">
        <f t="shared" si="378"/>
        <v>9934</v>
      </c>
      <c r="DQ78" s="1998">
        <f t="shared" ref="DQ78" si="379">+DQ31-DQ47</f>
        <v>8630</v>
      </c>
      <c r="DR78" s="1993">
        <f t="shared" ref="DR78" si="380">+DR31-DR47</f>
        <v>9414</v>
      </c>
      <c r="DS78" s="1992">
        <f t="shared" ref="DS78:DT78" si="381">+DS31-DS47</f>
        <v>9757</v>
      </c>
      <c r="DT78" s="1992">
        <f t="shared" si="381"/>
        <v>9969</v>
      </c>
      <c r="DU78" s="1998">
        <f t="shared" ref="DU78" si="382">+DU31-DU47</f>
        <v>9462</v>
      </c>
      <c r="DV78" s="1992">
        <f t="shared" ref="DV78" si="383">+DV31-DV47</f>
        <v>10477</v>
      </c>
      <c r="DW78" s="1992">
        <f ca="1">+DW31-DW47</f>
        <v>10352.807185108177</v>
      </c>
      <c r="DX78" s="1992">
        <f t="shared" ref="DX78" ca="1" si="384">+DX31-DX47</f>
        <v>10561.405547120419</v>
      </c>
      <c r="DY78" s="1998">
        <f ca="1">+DY31-DY47</f>
        <v>9454.0651420546419</v>
      </c>
      <c r="DZ78" s="1483"/>
      <c r="EA78" s="1483"/>
      <c r="EB78" s="1483"/>
      <c r="EC78" s="1483"/>
      <c r="ED78" s="1483"/>
      <c r="EE78" s="1483"/>
      <c r="EF78" s="1483"/>
    </row>
    <row r="79" spans="1:136" s="1491" customFormat="1" ht="15" customHeight="1">
      <c r="A79" s="2206" t="s">
        <v>1453</v>
      </c>
      <c r="B79" s="2207"/>
      <c r="C79" s="2207"/>
      <c r="D79" s="2207"/>
      <c r="E79" s="2207"/>
      <c r="F79" s="2207"/>
      <c r="G79" s="2207"/>
      <c r="H79" s="2207"/>
      <c r="I79" s="2207"/>
      <c r="J79" s="2207"/>
      <c r="K79" s="2207"/>
      <c r="L79" s="2207"/>
      <c r="M79" s="2207"/>
      <c r="N79" s="2207"/>
      <c r="O79" s="2228"/>
      <c r="P79" s="2228"/>
      <c r="Q79" s="2207">
        <f t="shared" ref="Q79:AB79" si="385">Q78/P78-1</f>
        <v>7.1435038478949719E-2</v>
      </c>
      <c r="R79" s="2207">
        <f t="shared" si="385"/>
        <v>0.10190975156329229</v>
      </c>
      <c r="S79" s="2207">
        <f t="shared" si="385"/>
        <v>1.5682515337423375E-2</v>
      </c>
      <c r="T79" s="2207">
        <f t="shared" si="385"/>
        <v>0.12227717165615926</v>
      </c>
      <c r="U79" s="2207">
        <f t="shared" si="385"/>
        <v>0.15039693218514527</v>
      </c>
      <c r="V79" s="2207">
        <f t="shared" si="385"/>
        <v>2.9825433492207454E-2</v>
      </c>
      <c r="W79" s="2207">
        <f t="shared" si="385"/>
        <v>0.10602231749907731</v>
      </c>
      <c r="X79" s="2207">
        <f t="shared" si="385"/>
        <v>2.1307729828254907E-3</v>
      </c>
      <c r="Y79" s="2207">
        <f t="shared" si="385"/>
        <v>-1.1117942412132376E-2</v>
      </c>
      <c r="Z79" s="2207">
        <f t="shared" ca="1" si="385"/>
        <v>5.8112996069717537E-2</v>
      </c>
      <c r="AA79" s="2207">
        <f t="shared" ca="1" si="385"/>
        <v>-7.7115051977549864E-4</v>
      </c>
      <c r="AB79" s="2207">
        <f t="shared" ca="1" si="385"/>
        <v>2.2871156584499452E-2</v>
      </c>
      <c r="AC79" s="2207">
        <f t="shared" ref="AC79" ca="1" si="386">AC78/AB78-1</f>
        <v>2.4220770462858754E-2</v>
      </c>
      <c r="AD79" s="2207">
        <f t="shared" ref="AD79" ca="1" si="387">AD78/AC78-1</f>
        <v>2.5270348697396194E-2</v>
      </c>
      <c r="AE79" s="2207">
        <f t="shared" ref="AE79" ca="1" si="388">AE78/AD78-1</f>
        <v>2.6295784511800147E-2</v>
      </c>
      <c r="AF79" s="2207">
        <f t="shared" ref="AF79" ca="1" si="389">AF78/AE78-1</f>
        <v>2.7405077303676695E-2</v>
      </c>
      <c r="AG79" s="2207">
        <f t="shared" ref="AG79" ca="1" si="390">AG78/AF78-1</f>
        <v>2.8632210939839364E-2</v>
      </c>
      <c r="AH79" s="2201"/>
      <c r="AI79" s="1927"/>
      <c r="AJ79" s="1561"/>
      <c r="AK79" s="2207"/>
      <c r="AL79" s="2207"/>
      <c r="AM79" s="2207"/>
      <c r="AN79" s="2207"/>
      <c r="AO79" s="2207"/>
      <c r="AP79" s="2208"/>
      <c r="AQ79" s="2207"/>
      <c r="AR79" s="2207"/>
      <c r="AS79" s="2207"/>
      <c r="AT79" s="2208"/>
      <c r="AU79" s="2207"/>
      <c r="AV79" s="2207"/>
      <c r="AW79" s="2207"/>
      <c r="AX79" s="2208"/>
      <c r="AY79" s="2207"/>
      <c r="AZ79" s="2207"/>
      <c r="BA79" s="2207"/>
      <c r="BB79" s="2208"/>
      <c r="BC79" s="2207"/>
      <c r="BD79" s="2207"/>
      <c r="BE79" s="2207"/>
      <c r="BF79" s="2208"/>
      <c r="BG79" s="2207"/>
      <c r="BH79" s="2207"/>
      <c r="BI79" s="2207"/>
      <c r="BJ79" s="2208"/>
      <c r="BK79" s="2207"/>
      <c r="BL79" s="2207"/>
      <c r="BM79" s="2207"/>
      <c r="BN79" s="2208"/>
      <c r="BO79" s="2207"/>
      <c r="BP79" s="2207"/>
      <c r="BQ79" s="2207"/>
      <c r="BR79" s="2208"/>
      <c r="BS79" s="2207"/>
      <c r="BT79" s="2207"/>
      <c r="BU79" s="2207"/>
      <c r="BV79" s="2208"/>
      <c r="BW79" s="2207"/>
      <c r="BX79" s="2207"/>
      <c r="BY79" s="2207"/>
      <c r="BZ79" s="2208"/>
      <c r="CA79" s="2207"/>
      <c r="CB79" s="2207"/>
      <c r="CC79" s="2207"/>
      <c r="CD79" s="2208"/>
      <c r="CE79" s="2207"/>
      <c r="CF79" s="2207"/>
      <c r="CG79" s="2207"/>
      <c r="CH79" s="2229" t="s">
        <v>1149</v>
      </c>
      <c r="CI79" s="1986" t="s">
        <v>1149</v>
      </c>
      <c r="CJ79" s="1986" t="s">
        <v>1149</v>
      </c>
      <c r="CK79" s="1986" t="s">
        <v>1149</v>
      </c>
      <c r="CL79" s="2208">
        <f t="shared" ref="CL79:DV79" si="391">CL78/CH78-1</f>
        <v>0.11919892162526469</v>
      </c>
      <c r="CM79" s="2207">
        <f t="shared" si="391"/>
        <v>9.4723341883473866E-2</v>
      </c>
      <c r="CN79" s="2207">
        <f t="shared" si="391"/>
        <v>8.8880827135860763E-2</v>
      </c>
      <c r="CO79" s="2207">
        <f t="shared" si="391"/>
        <v>-8.0998987512655996E-3</v>
      </c>
      <c r="CP79" s="2208">
        <f t="shared" si="391"/>
        <v>5.7295251204404707E-2</v>
      </c>
      <c r="CQ79" s="2207">
        <f t="shared" si="391"/>
        <v>8.9539748953974874E-2</v>
      </c>
      <c r="CR79" s="2207">
        <f t="shared" si="391"/>
        <v>0.11444277861069474</v>
      </c>
      <c r="CS79" s="2207">
        <f t="shared" si="391"/>
        <v>0.14579789043892477</v>
      </c>
      <c r="CT79" s="2208">
        <f t="shared" si="391"/>
        <v>1.708706265256299E-2</v>
      </c>
      <c r="CU79" s="2207">
        <f t="shared" si="391"/>
        <v>2.457757296466978E-2</v>
      </c>
      <c r="CV79" s="2207">
        <f t="shared" si="391"/>
        <v>7.4588938714499342E-2</v>
      </c>
      <c r="CW79" s="2207">
        <f t="shared" si="391"/>
        <v>-5.2709725315515987E-2</v>
      </c>
      <c r="CX79" s="2208">
        <f t="shared" si="391"/>
        <v>0.14159999999999995</v>
      </c>
      <c r="CY79" s="2207">
        <f t="shared" si="391"/>
        <v>0.15802098950524734</v>
      </c>
      <c r="CZ79" s="2207">
        <f t="shared" si="391"/>
        <v>0.12449575740714991</v>
      </c>
      <c r="DA79" s="2207">
        <f t="shared" si="391"/>
        <v>6.3479623824451492E-2</v>
      </c>
      <c r="DB79" s="2208">
        <f t="shared" si="391"/>
        <v>0.18065872459705679</v>
      </c>
      <c r="DC79" s="2207">
        <f t="shared" si="391"/>
        <v>0.10189021232522011</v>
      </c>
      <c r="DD79" s="2207">
        <f t="shared" si="391"/>
        <v>0.10663038099950528</v>
      </c>
      <c r="DE79" s="2207">
        <f t="shared" si="391"/>
        <v>0.22593957258658803</v>
      </c>
      <c r="DF79" s="2208">
        <f t="shared" si="391"/>
        <v>0.11336657169990505</v>
      </c>
      <c r="DG79" s="2207">
        <f t="shared" si="391"/>
        <v>6.826459875455293E-2</v>
      </c>
      <c r="DH79" s="2207">
        <f t="shared" si="391"/>
        <v>1.654370668455174E-2</v>
      </c>
      <c r="DI79" s="2209">
        <f t="shared" si="391"/>
        <v>-7.9826881461889876E-2</v>
      </c>
      <c r="DJ79" s="2208">
        <f t="shared" si="391"/>
        <v>6.6211749653481089E-2</v>
      </c>
      <c r="DK79" s="2207">
        <f t="shared" si="391"/>
        <v>9.1179058512978362E-2</v>
      </c>
      <c r="DL79" s="2207">
        <f t="shared" si="391"/>
        <v>9.1708819001539377E-2</v>
      </c>
      <c r="DM79" s="2209">
        <f t="shared" si="391"/>
        <v>0.18944342827279859</v>
      </c>
      <c r="DN79" s="2207">
        <f t="shared" si="391"/>
        <v>1.7300000000000093E-2</v>
      </c>
      <c r="DO79" s="2207">
        <f t="shared" si="391"/>
        <v>3.810099788327781E-2</v>
      </c>
      <c r="DP79" s="2207">
        <f t="shared" si="391"/>
        <v>6.0435132957281645E-4</v>
      </c>
      <c r="DQ79" s="2209">
        <f t="shared" si="391"/>
        <v>-5.2065026362038691E-2</v>
      </c>
      <c r="DR79" s="2208">
        <f t="shared" si="391"/>
        <v>-7.4609259805367145E-2</v>
      </c>
      <c r="DS79" s="2207">
        <f t="shared" si="391"/>
        <v>-5.2626468589183406E-2</v>
      </c>
      <c r="DT79" s="2207">
        <f t="shared" si="391"/>
        <v>3.5232534729212617E-3</v>
      </c>
      <c r="DU79" s="2209">
        <f t="shared" si="391"/>
        <v>9.6407879490150616E-2</v>
      </c>
      <c r="DV79" s="2207">
        <f t="shared" si="391"/>
        <v>0.11291693222859567</v>
      </c>
      <c r="DW79" s="2207">
        <f t="shared" ref="DW79" ca="1" si="392">DW78/DS78-1</f>
        <v>6.1064587999198228E-2</v>
      </c>
      <c r="DX79" s="2207">
        <f t="shared" ref="DX79" ca="1" si="393">DX78/DT78-1</f>
        <v>5.9424771503703511E-2</v>
      </c>
      <c r="DY79" s="2209">
        <f t="shared" ref="DY79" ca="1" si="394">DY78/DU78-1</f>
        <v>-8.3860261523549529E-4</v>
      </c>
    </row>
    <row r="80" spans="1:136" s="1491" customFormat="1" ht="15" customHeight="1">
      <c r="A80" s="2206" t="s">
        <v>804</v>
      </c>
      <c r="B80" s="2207"/>
      <c r="C80" s="2207"/>
      <c r="D80" s="2207"/>
      <c r="E80" s="2207"/>
      <c r="F80" s="2207"/>
      <c r="G80" s="2207"/>
      <c r="H80" s="2207"/>
      <c r="I80" s="2207"/>
      <c r="J80" s="2207"/>
      <c r="K80" s="2207"/>
      <c r="L80" s="2207"/>
      <c r="M80" s="2207"/>
      <c r="N80" s="2228"/>
      <c r="O80" s="2228"/>
      <c r="P80" s="2207">
        <f t="shared" ref="P80:AA80" si="395">+P78/P25</f>
        <v>0.45606573622925095</v>
      </c>
      <c r="Q80" s="2207">
        <f t="shared" si="395"/>
        <v>0.45475156592245319</v>
      </c>
      <c r="R80" s="2207">
        <f t="shared" si="395"/>
        <v>0.4688202196695968</v>
      </c>
      <c r="S80" s="2207">
        <f t="shared" si="395"/>
        <v>0.44777456598542859</v>
      </c>
      <c r="T80" s="2207">
        <f t="shared" si="395"/>
        <v>0.46644595421524171</v>
      </c>
      <c r="U80" s="2207">
        <f t="shared" si="395"/>
        <v>0.49540075036576708</v>
      </c>
      <c r="V80" s="2207">
        <f t="shared" si="395"/>
        <v>0.48490981688007712</v>
      </c>
      <c r="W80" s="2207">
        <f t="shared" si="395"/>
        <v>0.5533410989260753</v>
      </c>
      <c r="X80" s="2207">
        <f t="shared" si="395"/>
        <v>0.58630219285070595</v>
      </c>
      <c r="Y80" s="2207">
        <f t="shared" ref="Y80:Z80" si="396">+Y78/Y25</f>
        <v>0.6115555837201565</v>
      </c>
      <c r="Z80" s="2207">
        <f t="shared" ca="1" si="396"/>
        <v>0.6576029106587149</v>
      </c>
      <c r="AA80" s="2207">
        <f t="shared" ca="1" si="395"/>
        <v>0.64773948776426238</v>
      </c>
      <c r="AB80" s="2207">
        <f t="shared" ref="AB80:AG80" ca="1" si="397">+AB78/AB25</f>
        <v>0.65201196992677546</v>
      </c>
      <c r="AC80" s="2207">
        <f t="shared" ca="1" si="397"/>
        <v>0.656549626916897</v>
      </c>
      <c r="AD80" s="2207">
        <f t="shared" ca="1" si="397"/>
        <v>0.66129018843958087</v>
      </c>
      <c r="AE80" s="2207">
        <f t="shared" ca="1" si="397"/>
        <v>0.6661953747639805</v>
      </c>
      <c r="AF80" s="2207">
        <f t="shared" ca="1" si="397"/>
        <v>0.67123756017197445</v>
      </c>
      <c r="AG80" s="2207">
        <f t="shared" ca="1" si="397"/>
        <v>0.67639381267119769</v>
      </c>
      <c r="AH80" s="2201"/>
      <c r="AI80" s="1927"/>
      <c r="AJ80" s="1561"/>
      <c r="AK80" s="2207"/>
      <c r="AL80" s="2207"/>
      <c r="AM80" s="2207"/>
      <c r="AN80" s="2207"/>
      <c r="AO80" s="2207"/>
      <c r="AP80" s="2208"/>
      <c r="AQ80" s="2207"/>
      <c r="AR80" s="2207"/>
      <c r="AS80" s="2207"/>
      <c r="AT80" s="2208"/>
      <c r="AU80" s="2207"/>
      <c r="AV80" s="2207"/>
      <c r="AW80" s="2207"/>
      <c r="AX80" s="2208"/>
      <c r="AY80" s="2207"/>
      <c r="AZ80" s="2207"/>
      <c r="BA80" s="2207"/>
      <c r="BB80" s="2208"/>
      <c r="BC80" s="2207"/>
      <c r="BD80" s="2207"/>
      <c r="BE80" s="2207"/>
      <c r="BF80" s="2208"/>
      <c r="BG80" s="2207"/>
      <c r="BH80" s="2207"/>
      <c r="BI80" s="2207"/>
      <c r="BJ80" s="2208"/>
      <c r="BK80" s="2207"/>
      <c r="BL80" s="2207"/>
      <c r="BM80" s="2207"/>
      <c r="BN80" s="2208"/>
      <c r="BO80" s="2207"/>
      <c r="BP80" s="2207"/>
      <c r="BQ80" s="2207"/>
      <c r="BR80" s="2208"/>
      <c r="BS80" s="2207"/>
      <c r="BT80" s="2207"/>
      <c r="BU80" s="2207"/>
      <c r="BV80" s="2208"/>
      <c r="BW80" s="2207"/>
      <c r="BX80" s="2207"/>
      <c r="BY80" s="2207"/>
      <c r="BZ80" s="2208"/>
      <c r="CA80" s="2207"/>
      <c r="CB80" s="2207"/>
      <c r="CC80" s="2207"/>
      <c r="CD80" s="2208"/>
      <c r="CE80" s="2207"/>
      <c r="CF80" s="2207"/>
      <c r="CG80" s="2207"/>
      <c r="CH80" s="2208">
        <f t="shared" ref="CH80:DN80" si="398">+CH78/CH25</f>
        <v>0.45019505851755526</v>
      </c>
      <c r="CI80" s="2207">
        <f t="shared" si="398"/>
        <v>0.45777069529480835</v>
      </c>
      <c r="CJ80" s="2207">
        <f t="shared" si="398"/>
        <v>0.44388083735909822</v>
      </c>
      <c r="CK80" s="2207">
        <f t="shared" si="398"/>
        <v>0.47189042841216755</v>
      </c>
      <c r="CL80" s="2208">
        <f t="shared" si="398"/>
        <v>0.45673870333988215</v>
      </c>
      <c r="CM80" s="2207">
        <f t="shared" si="398"/>
        <v>0.46000461929324815</v>
      </c>
      <c r="CN80" s="2207">
        <f t="shared" si="398"/>
        <v>0.45653661875427787</v>
      </c>
      <c r="CO80" s="2207">
        <f t="shared" si="398"/>
        <v>0.44587726617613593</v>
      </c>
      <c r="CP80" s="2208">
        <f t="shared" si="398"/>
        <v>0.45633447200356453</v>
      </c>
      <c r="CQ80" s="2207">
        <f t="shared" si="398"/>
        <v>0.47167077235183308</v>
      </c>
      <c r="CR80" s="2207">
        <f t="shared" si="398"/>
        <v>0.47219085262563526</v>
      </c>
      <c r="CS80" s="2207">
        <f t="shared" si="398"/>
        <v>0.47452969773832171</v>
      </c>
      <c r="CT80" s="2208">
        <f t="shared" si="398"/>
        <v>0.43672699322199704</v>
      </c>
      <c r="CU80" s="2207">
        <f t="shared" si="398"/>
        <v>0.45352553205956347</v>
      </c>
      <c r="CV80" s="2207">
        <f t="shared" si="398"/>
        <v>0.47821459455863768</v>
      </c>
      <c r="CW80" s="2207">
        <f t="shared" si="398"/>
        <v>0.42234873560174763</v>
      </c>
      <c r="CX80" s="2208">
        <f t="shared" si="398"/>
        <v>0.46301103179753406</v>
      </c>
      <c r="CY80" s="2207">
        <f t="shared" si="398"/>
        <v>0.48960446247464501</v>
      </c>
      <c r="CZ80" s="2207">
        <f t="shared" si="398"/>
        <v>0.5004333292063885</v>
      </c>
      <c r="DA80" s="2207">
        <f t="shared" si="398"/>
        <v>0.41389617519673033</v>
      </c>
      <c r="DB80" s="2208">
        <f t="shared" si="398"/>
        <v>0.50358680057388805</v>
      </c>
      <c r="DC80" s="2207">
        <f t="shared" si="398"/>
        <v>0.49836046375453802</v>
      </c>
      <c r="DD80" s="2207">
        <f t="shared" si="398"/>
        <v>0.51073304407398945</v>
      </c>
      <c r="DE80" s="2207">
        <f t="shared" si="398"/>
        <v>0.46965162893117274</v>
      </c>
      <c r="DF80" s="2208">
        <f t="shared" si="398"/>
        <v>0.52143214543837213</v>
      </c>
      <c r="DG80" s="2207">
        <f t="shared" si="398"/>
        <v>0.5029317402367518</v>
      </c>
      <c r="DH80" s="2207">
        <f t="shared" si="398"/>
        <v>0.49542383961647418</v>
      </c>
      <c r="DI80" s="2209">
        <f t="shared" si="398"/>
        <v>0.42034158932396065</v>
      </c>
      <c r="DJ80" s="2208">
        <f t="shared" si="398"/>
        <v>0.55822261918052918</v>
      </c>
      <c r="DK80" s="2207">
        <f t="shared" si="398"/>
        <v>0.56085702979252638</v>
      </c>
      <c r="DL80" s="2207">
        <f t="shared" si="398"/>
        <v>0.56415501761563813</v>
      </c>
      <c r="DM80" s="2209">
        <f t="shared" si="398"/>
        <v>0.52945623727827862</v>
      </c>
      <c r="DN80" s="2207">
        <f t="shared" si="398"/>
        <v>0.60521149384258432</v>
      </c>
      <c r="DO80" s="2207">
        <f t="shared" ref="DO80:DP80" si="399">+DO78/DO25</f>
        <v>0.61519622483722602</v>
      </c>
      <c r="DP80" s="2207">
        <f t="shared" si="399"/>
        <v>0.59542076240709663</v>
      </c>
      <c r="DQ80" s="2209">
        <f t="shared" ref="DQ80" si="400">+DQ78/DQ25</f>
        <v>0.52795791019209592</v>
      </c>
      <c r="DR80" s="2208">
        <f t="shared" ref="DR80" si="401">+DR78/DR25</f>
        <v>0.59665356825960203</v>
      </c>
      <c r="DS80" s="2207">
        <f t="shared" ref="DS80:DT80" si="402">+DS78/DS25</f>
        <v>0.62456791704007164</v>
      </c>
      <c r="DT80" s="2207">
        <f t="shared" si="402"/>
        <v>0.62931633103970708</v>
      </c>
      <c r="DU80" s="2209">
        <f t="shared" ref="DU80" si="403">+DU78/DU25</f>
        <v>0.59584382871536523</v>
      </c>
      <c r="DV80" s="2207">
        <f t="shared" ref="DV80" si="404">+DV78/DV25</f>
        <v>0.6802363329437735</v>
      </c>
      <c r="DW80" s="2207">
        <f t="shared" ref="DW80:DY80" ca="1" si="405">+DW78/DW25</f>
        <v>0.67093616869982464</v>
      </c>
      <c r="DX80" s="2207">
        <f t="shared" ca="1" si="405"/>
        <v>0.67529880355368377</v>
      </c>
      <c r="DY80" s="2209">
        <f t="shared" ca="1" si="405"/>
        <v>0.6044651919515559</v>
      </c>
    </row>
    <row r="81" spans="1:129" s="1491" customFormat="1" ht="15" customHeight="1">
      <c r="A81" s="2206" t="s">
        <v>1615</v>
      </c>
      <c r="B81" s="2207"/>
      <c r="C81" s="2207"/>
      <c r="D81" s="2207"/>
      <c r="E81" s="2207"/>
      <c r="F81" s="2207"/>
      <c r="G81" s="2207"/>
      <c r="H81" s="2207"/>
      <c r="I81" s="2207"/>
      <c r="J81" s="2207"/>
      <c r="K81" s="2207"/>
      <c r="L81" s="2207"/>
      <c r="M81" s="2207"/>
      <c r="N81" s="2228"/>
      <c r="O81" s="2228"/>
      <c r="P81" s="2207">
        <f t="shared" ref="P81:AA81" si="406">+P78/P31</f>
        <v>0.38784324741906034</v>
      </c>
      <c r="Q81" s="2207">
        <f t="shared" si="406"/>
        <v>0.39234148363033566</v>
      </c>
      <c r="R81" s="2207">
        <f t="shared" si="406"/>
        <v>0.41131105398457585</v>
      </c>
      <c r="S81" s="2207">
        <f t="shared" si="406"/>
        <v>0.37758360179034695</v>
      </c>
      <c r="T81" s="2207">
        <f t="shared" si="406"/>
        <v>0.39183845626614644</v>
      </c>
      <c r="U81" s="2207">
        <f t="shared" si="406"/>
        <v>0.42209002382039668</v>
      </c>
      <c r="V81" s="2207">
        <f t="shared" si="406"/>
        <v>0.40183237112931564</v>
      </c>
      <c r="W81" s="2207">
        <f t="shared" si="406"/>
        <v>0.42488001745200699</v>
      </c>
      <c r="X81" s="2207">
        <f t="shared" si="406"/>
        <v>0.43769201444172851</v>
      </c>
      <c r="Y81" s="2207">
        <f t="shared" ref="Y81:Z81" si="407">+Y78/Y31</f>
        <v>0.44111026042440377</v>
      </c>
      <c r="Z81" s="2207">
        <f t="shared" ca="1" si="407"/>
        <v>0.45893297061576033</v>
      </c>
      <c r="AA81" s="2207">
        <f t="shared" ca="1" si="406"/>
        <v>0.45692865765268786</v>
      </c>
      <c r="AB81" s="2207">
        <f t="shared" ref="AB81:AG81" ca="1" si="408">+AB78/AB31</f>
        <v>0.46303548109081394</v>
      </c>
      <c r="AC81" s="2207">
        <f t="shared" ca="1" si="408"/>
        <v>0.4696551006796536</v>
      </c>
      <c r="AD81" s="2207">
        <f t="shared" ca="1" si="408"/>
        <v>0.47669082877794688</v>
      </c>
      <c r="AE81" s="2207">
        <f t="shared" ca="1" si="408"/>
        <v>0.48409735994285347</v>
      </c>
      <c r="AF81" s="2207">
        <f t="shared" ca="1" si="408"/>
        <v>0.4918510653015174</v>
      </c>
      <c r="AG81" s="2207">
        <f t="shared" ca="1" si="408"/>
        <v>0.49993645341697818</v>
      </c>
      <c r="AH81" s="2201"/>
      <c r="AI81" s="1927"/>
      <c r="AJ81" s="1561"/>
      <c r="AK81" s="2207"/>
      <c r="AL81" s="2207"/>
      <c r="AM81" s="2207"/>
      <c r="AN81" s="2207"/>
      <c r="AO81" s="2207"/>
      <c r="AP81" s="2208"/>
      <c r="AQ81" s="2207"/>
      <c r="AR81" s="2207"/>
      <c r="AS81" s="2207"/>
      <c r="AT81" s="2208"/>
      <c r="AU81" s="2207"/>
      <c r="AV81" s="2207"/>
      <c r="AW81" s="2207"/>
      <c r="AX81" s="2208"/>
      <c r="AY81" s="2207"/>
      <c r="AZ81" s="2207"/>
      <c r="BA81" s="2207"/>
      <c r="BB81" s="2208"/>
      <c r="BC81" s="2207"/>
      <c r="BD81" s="2207"/>
      <c r="BE81" s="2207"/>
      <c r="BF81" s="2208"/>
      <c r="BG81" s="2207"/>
      <c r="BH81" s="2207"/>
      <c r="BI81" s="2207"/>
      <c r="BJ81" s="2208"/>
      <c r="BK81" s="2207"/>
      <c r="BL81" s="2207"/>
      <c r="BM81" s="2207"/>
      <c r="BN81" s="2208"/>
      <c r="BO81" s="2207"/>
      <c r="BP81" s="2207"/>
      <c r="BQ81" s="2207"/>
      <c r="BR81" s="2208"/>
      <c r="BS81" s="2207"/>
      <c r="BT81" s="2207"/>
      <c r="BU81" s="2207"/>
      <c r="BV81" s="2208"/>
      <c r="BW81" s="2207"/>
      <c r="BX81" s="2207"/>
      <c r="BY81" s="2207"/>
      <c r="BZ81" s="2208"/>
      <c r="CA81" s="2207"/>
      <c r="CB81" s="2207"/>
      <c r="CC81" s="2207"/>
      <c r="CD81" s="2208"/>
      <c r="CE81" s="2207"/>
      <c r="CF81" s="2207"/>
      <c r="CG81" s="2207"/>
      <c r="CH81" s="2208">
        <f t="shared" ref="CH81:DN81" si="409">+CH78/CH31</f>
        <v>0.38472366276485404</v>
      </c>
      <c r="CI81" s="2207">
        <f t="shared" si="409"/>
        <v>0.39030320366132726</v>
      </c>
      <c r="CJ81" s="2207">
        <f t="shared" si="409"/>
        <v>0.37636537411250681</v>
      </c>
      <c r="CK81" s="2207">
        <f t="shared" si="409"/>
        <v>0.39970322406583031</v>
      </c>
      <c r="CL81" s="2208">
        <f t="shared" si="409"/>
        <v>0.39564329475833898</v>
      </c>
      <c r="CM81" s="2207">
        <f t="shared" si="409"/>
        <v>0.39756470823075385</v>
      </c>
      <c r="CN81" s="2207">
        <f t="shared" si="409"/>
        <v>0.39155958515426259</v>
      </c>
      <c r="CO81" s="2207">
        <f t="shared" si="409"/>
        <v>0.38481178396072013</v>
      </c>
      <c r="CP81" s="2208">
        <f t="shared" si="409"/>
        <v>0.40131922675026122</v>
      </c>
      <c r="CQ81" s="2207">
        <f t="shared" si="409"/>
        <v>0.41472892909473147</v>
      </c>
      <c r="CR81" s="2207">
        <f t="shared" si="409"/>
        <v>0.41169230769230769</v>
      </c>
      <c r="CS81" s="2207">
        <f t="shared" si="409"/>
        <v>0.41707951449095865</v>
      </c>
      <c r="CT81" s="2208">
        <f t="shared" si="409"/>
        <v>0.37023872993306084</v>
      </c>
      <c r="CU81" s="2207">
        <f t="shared" si="409"/>
        <v>0.38570519863528596</v>
      </c>
      <c r="CV81" s="2207">
        <f t="shared" si="409"/>
        <v>0.40556245063748164</v>
      </c>
      <c r="CW81" s="2207">
        <f t="shared" si="409"/>
        <v>0.34951243563054674</v>
      </c>
      <c r="CX81" s="2208">
        <f t="shared" si="409"/>
        <v>0.39046680895310021</v>
      </c>
      <c r="CY81" s="2207">
        <f t="shared" si="409"/>
        <v>0.41578295742046617</v>
      </c>
      <c r="CZ81" s="2207">
        <f t="shared" si="409"/>
        <v>0.42493692178301096</v>
      </c>
      <c r="DA81" s="2207">
        <f t="shared" si="409"/>
        <v>0.3393518055416625</v>
      </c>
      <c r="DB81" s="2208">
        <f t="shared" si="409"/>
        <v>0.43149106182451469</v>
      </c>
      <c r="DC81" s="2207">
        <f t="shared" si="409"/>
        <v>0.42606127352823386</v>
      </c>
      <c r="DD81" s="2207">
        <f t="shared" si="409"/>
        <v>0.43855090935830188</v>
      </c>
      <c r="DE81" s="2207">
        <f t="shared" si="409"/>
        <v>0.39375147928994081</v>
      </c>
      <c r="DF81" s="2208">
        <f t="shared" si="409"/>
        <v>0.44920733751616454</v>
      </c>
      <c r="DG81" s="2207">
        <f t="shared" si="409"/>
        <v>0.42321835870222968</v>
      </c>
      <c r="DH81" s="2207">
        <f t="shared" si="409"/>
        <v>0.41648729104648502</v>
      </c>
      <c r="DI81" s="2209">
        <f t="shared" si="409"/>
        <v>0.32641050791078513</v>
      </c>
      <c r="DJ81" s="2208">
        <f t="shared" si="409"/>
        <v>0.44786814761734145</v>
      </c>
      <c r="DK81" s="2207">
        <f t="shared" si="409"/>
        <v>0.43872993410869854</v>
      </c>
      <c r="DL81" s="2207">
        <f t="shared" si="409"/>
        <v>0.43155835687893934</v>
      </c>
      <c r="DM81" s="2209">
        <f t="shared" si="409"/>
        <v>0.3835847307659897</v>
      </c>
      <c r="DN81" s="2207">
        <f t="shared" si="409"/>
        <v>0.46232503181239776</v>
      </c>
      <c r="DO81" s="2207">
        <f t="shared" ref="DO81:DP81" si="410">+DO78/DO31</f>
        <v>0.47452082565425729</v>
      </c>
      <c r="DP81" s="2207">
        <f t="shared" si="410"/>
        <v>0.44948192389484637</v>
      </c>
      <c r="DQ81" s="2209">
        <f t="shared" ref="DQ81" si="411">+DQ78/DQ31</f>
        <v>0.3691662745433546</v>
      </c>
      <c r="DR81" s="2208">
        <f t="shared" ref="DR81" si="412">+DR78/DR31</f>
        <v>0.45090525912443719</v>
      </c>
      <c r="DS81" s="2207">
        <f t="shared" ref="DS81:DT81" si="413">+DS78/DS31</f>
        <v>0.45846255051216989</v>
      </c>
      <c r="DT81" s="2207">
        <f t="shared" si="413"/>
        <v>0.46195551436515292</v>
      </c>
      <c r="DU81" s="2209">
        <f t="shared" ref="DU81" si="414">+DU78/DU31</f>
        <v>0.39804804173152158</v>
      </c>
      <c r="DV81" s="2207">
        <f t="shared" ref="DV81" si="415">+DV78/DV31</f>
        <v>0.47840182648401824</v>
      </c>
      <c r="DW81" s="2207">
        <f t="shared" ref="DW81:DY81" ca="1" si="416">+DW78/DW31</f>
        <v>0.47715347603522384</v>
      </c>
      <c r="DX81" s="2207">
        <f t="shared" ca="1" si="416"/>
        <v>0.48012977527071332</v>
      </c>
      <c r="DY81" s="2209">
        <f t="shared" ca="1" si="416"/>
        <v>0.40390712336686124</v>
      </c>
    </row>
    <row r="82" spans="1:129" s="1491" customFormat="1" ht="15" hidden="1" customHeight="1" collapsed="1">
      <c r="A82" s="2211"/>
      <c r="B82" s="1903"/>
      <c r="C82" s="1903"/>
      <c r="D82" s="2200"/>
      <c r="E82" s="1903"/>
      <c r="F82" s="1903"/>
      <c r="G82" s="1903"/>
      <c r="H82" s="1903"/>
      <c r="I82" s="1903"/>
      <c r="J82" s="1903"/>
      <c r="K82" s="1903"/>
      <c r="L82" s="1903"/>
      <c r="M82" s="1903"/>
      <c r="N82" s="1903"/>
      <c r="O82" s="1903"/>
      <c r="P82" s="1903"/>
      <c r="Q82" s="1903"/>
      <c r="R82" s="1903"/>
      <c r="S82" s="1903"/>
      <c r="T82" s="1903"/>
      <c r="U82" s="2264"/>
      <c r="V82" s="1903"/>
      <c r="W82" s="1903"/>
      <c r="X82" s="1903"/>
      <c r="Y82" s="1903"/>
      <c r="Z82" s="1903"/>
      <c r="AA82" s="1903"/>
      <c r="AB82" s="1903"/>
      <c r="AC82" s="1903"/>
      <c r="AD82" s="1903"/>
      <c r="AE82" s="1903"/>
      <c r="AF82" s="1903"/>
      <c r="AG82" s="1903"/>
      <c r="AH82" s="2201"/>
      <c r="AI82" s="1927"/>
      <c r="AJ82" s="1561"/>
      <c r="AK82" s="2200"/>
      <c r="AL82" s="2200"/>
      <c r="AM82" s="1903"/>
      <c r="AN82" s="2200"/>
      <c r="AO82" s="1903"/>
      <c r="AP82" s="1942"/>
      <c r="AQ82" s="1903"/>
      <c r="AR82" s="1903"/>
      <c r="AS82" s="1903"/>
      <c r="AT82" s="1942"/>
      <c r="AU82" s="1903"/>
      <c r="AV82" s="1903"/>
      <c r="AW82" s="1903"/>
      <c r="AX82" s="1942"/>
      <c r="AY82" s="1903"/>
      <c r="AZ82" s="1903"/>
      <c r="BA82" s="1903"/>
      <c r="BB82" s="1942"/>
      <c r="BC82" s="1903"/>
      <c r="BD82" s="1903"/>
      <c r="BE82" s="1903"/>
      <c r="BF82" s="1942"/>
      <c r="BG82" s="1903"/>
      <c r="BH82" s="1903"/>
      <c r="BI82" s="1903"/>
      <c r="BJ82" s="1942"/>
      <c r="BK82" s="1903"/>
      <c r="BL82" s="1903"/>
      <c r="BM82" s="1903"/>
      <c r="BN82" s="1942"/>
      <c r="BO82" s="1903"/>
      <c r="BP82" s="1903"/>
      <c r="BQ82" s="1903"/>
      <c r="BR82" s="1942"/>
      <c r="BS82" s="1903"/>
      <c r="BT82" s="1903"/>
      <c r="BU82" s="1903"/>
      <c r="BV82" s="1942"/>
      <c r="BW82" s="1903"/>
      <c r="BX82" s="1903"/>
      <c r="BY82" s="1903"/>
      <c r="BZ82" s="1942"/>
      <c r="CA82" s="1903"/>
      <c r="CB82" s="1903"/>
      <c r="CC82" s="1903"/>
      <c r="CD82" s="1942"/>
      <c r="CE82" s="1903"/>
      <c r="CF82" s="1903"/>
      <c r="CG82" s="2264"/>
      <c r="CH82" s="2265"/>
      <c r="CI82" s="1903"/>
      <c r="CJ82" s="1903"/>
      <c r="CK82" s="2264"/>
      <c r="CL82" s="2265"/>
      <c r="CM82" s="1903"/>
      <c r="CN82" s="1903"/>
      <c r="CO82" s="2264"/>
      <c r="CP82" s="2265"/>
      <c r="CQ82" s="2264"/>
      <c r="CR82" s="2264"/>
      <c r="CS82" s="2264"/>
      <c r="CT82" s="2265"/>
      <c r="CU82" s="2264"/>
      <c r="CV82" s="2264"/>
      <c r="CW82" s="2264"/>
      <c r="CX82" s="2265"/>
      <c r="CY82" s="2264"/>
      <c r="CZ82" s="2264"/>
      <c r="DA82" s="2264"/>
      <c r="DB82" s="2265"/>
      <c r="DC82" s="2264"/>
      <c r="DD82" s="2264"/>
      <c r="DE82" s="2264"/>
      <c r="DF82" s="2265"/>
      <c r="DG82" s="2264"/>
      <c r="DH82" s="2264"/>
      <c r="DI82" s="2266"/>
      <c r="DJ82" s="2265"/>
      <c r="DK82" s="2264"/>
      <c r="DL82" s="2264"/>
      <c r="DM82" s="2266"/>
      <c r="DN82" s="2264"/>
      <c r="DO82" s="2264"/>
      <c r="DP82" s="2264"/>
      <c r="DQ82" s="2266"/>
      <c r="DR82" s="2265"/>
      <c r="DS82" s="2264"/>
      <c r="DT82" s="2264"/>
      <c r="DU82" s="2266"/>
      <c r="DV82" s="2264"/>
      <c r="DW82" s="2264"/>
      <c r="DX82" s="2264"/>
      <c r="DY82" s="2266"/>
    </row>
    <row r="83" spans="1:129" s="1491" customFormat="1" ht="15" hidden="1" customHeight="1">
      <c r="A83" s="2267" t="s">
        <v>977</v>
      </c>
      <c r="B83" s="2268"/>
      <c r="C83" s="2268"/>
      <c r="D83" s="2268"/>
      <c r="E83" s="2268"/>
      <c r="F83" s="2268"/>
      <c r="G83" s="2268"/>
      <c r="H83" s="2268"/>
      <c r="I83" s="2268"/>
      <c r="J83" s="2268"/>
      <c r="K83" s="2268">
        <f>SUM(BN83:BQ83)</f>
        <v>-614</v>
      </c>
      <c r="L83" s="2268">
        <f>SUM(BR83:BU83)</f>
        <v>-648</v>
      </c>
      <c r="M83" s="2268">
        <f>SUM(BV83:BY83)</f>
        <v>-597</v>
      </c>
      <c r="N83" s="2268">
        <f>SUM(BZ83:CC83)</f>
        <v>-452</v>
      </c>
      <c r="O83" s="2268">
        <f>SUM(CD83:CG83)</f>
        <v>-251</v>
      </c>
      <c r="P83" s="2268">
        <f>SUM(CH83:CK83)</f>
        <v>-161</v>
      </c>
      <c r="Q83" s="2268">
        <f>SUM(CL83:CO83)</f>
        <v>-886</v>
      </c>
      <c r="R83" s="2268">
        <f>SUM(CP83:CS83)</f>
        <v>-316</v>
      </c>
      <c r="S83" s="2268">
        <v>-610</v>
      </c>
      <c r="T83" s="2268">
        <v>-442</v>
      </c>
      <c r="U83" s="2268">
        <f>+SUM(DB83:DE83)</f>
        <v>-442</v>
      </c>
      <c r="V83" s="2268">
        <f t="shared" ref="V83:Z84" si="417">+SUM(DF83:DI83)</f>
        <v>-442</v>
      </c>
      <c r="W83" s="2268">
        <f t="shared" si="417"/>
        <v>-442</v>
      </c>
      <c r="X83" s="2268">
        <f t="shared" si="417"/>
        <v>-442</v>
      </c>
      <c r="Y83" s="2268">
        <f t="shared" si="417"/>
        <v>-442</v>
      </c>
      <c r="Z83" s="2268">
        <f t="shared" si="417"/>
        <v>-442</v>
      </c>
      <c r="AA83" s="2268">
        <f>Z83</f>
        <v>-442</v>
      </c>
      <c r="AB83" s="2268">
        <f>AA83</f>
        <v>-442</v>
      </c>
      <c r="AC83" s="2268">
        <f t="shared" ref="AC83:AG83" si="418">AB83</f>
        <v>-442</v>
      </c>
      <c r="AD83" s="2268">
        <f t="shared" si="418"/>
        <v>-442</v>
      </c>
      <c r="AE83" s="2268">
        <f t="shared" si="418"/>
        <v>-442</v>
      </c>
      <c r="AF83" s="2268">
        <f t="shared" si="418"/>
        <v>-442</v>
      </c>
      <c r="AG83" s="2268">
        <f t="shared" si="418"/>
        <v>-442</v>
      </c>
      <c r="AH83" s="2201"/>
      <c r="AI83" s="1956"/>
      <c r="AJ83" s="1561"/>
      <c r="AK83" s="2268"/>
      <c r="AL83" s="2268"/>
      <c r="AM83" s="2268"/>
      <c r="AN83" s="2268"/>
      <c r="AO83" s="2268"/>
      <c r="AP83" s="1939"/>
      <c r="AQ83" s="2268"/>
      <c r="AR83" s="2268"/>
      <c r="AS83" s="2268"/>
      <c r="AT83" s="1939"/>
      <c r="AU83" s="2268"/>
      <c r="AV83" s="2268"/>
      <c r="AW83" s="2268"/>
      <c r="AX83" s="1939"/>
      <c r="AY83" s="2268"/>
      <c r="AZ83" s="2268"/>
      <c r="BA83" s="2268"/>
      <c r="BB83" s="1939"/>
      <c r="BC83" s="2268"/>
      <c r="BD83" s="2268"/>
      <c r="BE83" s="2268"/>
      <c r="BF83" s="1939"/>
      <c r="BG83" s="2268"/>
      <c r="BH83" s="2268"/>
      <c r="BI83" s="2268"/>
      <c r="BJ83" s="1939"/>
      <c r="BK83" s="2268"/>
      <c r="BL83" s="2268"/>
      <c r="BM83" s="2268"/>
      <c r="BN83" s="1939">
        <v>-168</v>
      </c>
      <c r="BO83" s="2268">
        <v>-150</v>
      </c>
      <c r="BP83" s="2268">
        <v>-163</v>
      </c>
      <c r="BQ83" s="2268">
        <f>-614-BN83-BO83-BP83</f>
        <v>-133</v>
      </c>
      <c r="BR83" s="1939">
        <v>-172</v>
      </c>
      <c r="BS83" s="2268">
        <v>-167</v>
      </c>
      <c r="BT83" s="2268">
        <v>-157</v>
      </c>
      <c r="BU83" s="2268">
        <f>-648-BR83-BS83-BT83</f>
        <v>-152</v>
      </c>
      <c r="BV83" s="2269">
        <v>-168</v>
      </c>
      <c r="BW83" s="2270">
        <v>-159</v>
      </c>
      <c r="BX83" s="2270">
        <v>-137</v>
      </c>
      <c r="BY83" s="2270">
        <f>-597-SUM(BV83:BX83)</f>
        <v>-133</v>
      </c>
      <c r="BZ83" s="2269">
        <v>-137</v>
      </c>
      <c r="CA83" s="2270">
        <v>-114</v>
      </c>
      <c r="CB83" s="2270">
        <v>-95</v>
      </c>
      <c r="CC83" s="2270">
        <f>-452-SUM(BZ83:CB83)</f>
        <v>-106</v>
      </c>
      <c r="CD83" s="2271">
        <v>-62.75</v>
      </c>
      <c r="CE83" s="2272">
        <v>-62.75</v>
      </c>
      <c r="CF83" s="2272">
        <v>-62.75</v>
      </c>
      <c r="CG83" s="2272">
        <v>-62.75</v>
      </c>
      <c r="CH83" s="2269">
        <v>-15</v>
      </c>
      <c r="CI83" s="2272">
        <f>+-(161+$CH$83)/3</f>
        <v>-48.666666666666664</v>
      </c>
      <c r="CJ83" s="2272">
        <f>+-(161+$CH$83)/3</f>
        <v>-48.666666666666664</v>
      </c>
      <c r="CK83" s="2272">
        <f>+-(161+$CH$83)/3</f>
        <v>-48.666666666666664</v>
      </c>
      <c r="CL83" s="2269">
        <f>-442+208</f>
        <v>-234</v>
      </c>
      <c r="CM83" s="2272">
        <f>-CM679</f>
        <v>-243</v>
      </c>
      <c r="CN83" s="2268">
        <f>-CN679</f>
        <v>-226</v>
      </c>
      <c r="CO83" s="2268">
        <f>-CO679</f>
        <v>-183</v>
      </c>
      <c r="CP83" s="1939">
        <v>-79</v>
      </c>
      <c r="CQ83" s="2268">
        <f>+CP83</f>
        <v>-79</v>
      </c>
      <c r="CR83" s="2268">
        <f>+CQ83</f>
        <v>-79</v>
      </c>
      <c r="CS83" s="2268">
        <f>+CR83</f>
        <v>-79</v>
      </c>
      <c r="CT83" s="1939">
        <v>-152.5</v>
      </c>
      <c r="CU83" s="2268">
        <v>-152.5</v>
      </c>
      <c r="CV83" s="2268">
        <v>-152.5</v>
      </c>
      <c r="CW83" s="2268">
        <v>-152.5</v>
      </c>
      <c r="CX83" s="1939">
        <v>-110.5</v>
      </c>
      <c r="CY83" s="2268">
        <f t="shared" ref="CY83:DA85" si="419">+CX83</f>
        <v>-110.5</v>
      </c>
      <c r="CZ83" s="2268">
        <f t="shared" si="419"/>
        <v>-110.5</v>
      </c>
      <c r="DA83" s="2268">
        <f t="shared" si="419"/>
        <v>-110.5</v>
      </c>
      <c r="DB83" s="1939">
        <v>-110.5</v>
      </c>
      <c r="DC83" s="2268">
        <v>-110.5</v>
      </c>
      <c r="DD83" s="2268">
        <v>-110.5</v>
      </c>
      <c r="DE83" s="2268">
        <v>-110.5</v>
      </c>
      <c r="DF83" s="1939">
        <v>-110.5</v>
      </c>
      <c r="DG83" s="2268">
        <v>-110.5</v>
      </c>
      <c r="DH83" s="2268">
        <v>-110.5</v>
      </c>
      <c r="DI83" s="2273">
        <v>-110.5</v>
      </c>
      <c r="DJ83" s="1939">
        <v>-110.5</v>
      </c>
      <c r="DK83" s="2268">
        <v>-110.5</v>
      </c>
      <c r="DL83" s="2268">
        <v>-110.5</v>
      </c>
      <c r="DM83" s="2273">
        <v>-110.5</v>
      </c>
      <c r="DN83" s="2268">
        <v>-110.5</v>
      </c>
      <c r="DO83" s="2268">
        <v>-110.5</v>
      </c>
      <c r="DP83" s="2268">
        <v>-110.5</v>
      </c>
      <c r="DQ83" s="2273">
        <v>-110.5</v>
      </c>
      <c r="DR83" s="1939">
        <v>-110.5</v>
      </c>
      <c r="DS83" s="2268">
        <v>-110.5</v>
      </c>
      <c r="DT83" s="2268">
        <v>-110.5</v>
      </c>
      <c r="DU83" s="2273">
        <v>-110.5</v>
      </c>
      <c r="DV83" s="2268">
        <v>-110.5</v>
      </c>
      <c r="DW83" s="2268">
        <f t="shared" ref="DW83" si="420">DV83</f>
        <v>-110.5</v>
      </c>
      <c r="DX83" s="2268">
        <f t="shared" ref="DX83" si="421">DW83</f>
        <v>-110.5</v>
      </c>
      <c r="DY83" s="2273">
        <f t="shared" ref="DY83" si="422">DX83</f>
        <v>-110.5</v>
      </c>
    </row>
    <row r="84" spans="1:129" s="1491" customFormat="1" ht="15" hidden="1" customHeight="1">
      <c r="A84" s="2267" t="s">
        <v>1464</v>
      </c>
      <c r="B84" s="2268"/>
      <c r="C84" s="2268"/>
      <c r="D84" s="2268"/>
      <c r="E84" s="2268"/>
      <c r="F84" s="2268"/>
      <c r="G84" s="2268"/>
      <c r="H84" s="2268"/>
      <c r="I84" s="2268"/>
      <c r="J84" s="2268"/>
      <c r="K84" s="2268">
        <f>SUM(BN84:BQ84)</f>
        <v>-166</v>
      </c>
      <c r="L84" s="2268">
        <f>SUM(BR84:BU84)</f>
        <v>-209</v>
      </c>
      <c r="M84" s="2268">
        <f>SUM(BV84:BY84)</f>
        <v>-226</v>
      </c>
      <c r="N84" s="2268">
        <f>SUM(BZ84:CC84)</f>
        <v>-259</v>
      </c>
      <c r="O84" s="2268">
        <f>SUM(CD84:CG84)</f>
        <v>-255</v>
      </c>
      <c r="P84" s="2268">
        <f>SUM(CH84:CK84)</f>
        <v>-263</v>
      </c>
      <c r="Q84" s="2268">
        <f>SUM(CL84:CO84)</f>
        <v>-286</v>
      </c>
      <c r="R84" s="2268">
        <f>SUM(CP84:CS84)</f>
        <v>-295</v>
      </c>
      <c r="S84" s="2268">
        <f>SUM(CT84:CW84)</f>
        <v>-280</v>
      </c>
      <c r="T84" s="2268">
        <f>+SUM(CX84:DA84)</f>
        <v>-304</v>
      </c>
      <c r="U84" s="2268">
        <f>+SUM(DB84:DE84)</f>
        <v>-304</v>
      </c>
      <c r="V84" s="2268">
        <f t="shared" si="417"/>
        <v>-304</v>
      </c>
      <c r="W84" s="2268">
        <f t="shared" si="417"/>
        <v>-304</v>
      </c>
      <c r="X84" s="2268">
        <f t="shared" si="417"/>
        <v>-304</v>
      </c>
      <c r="Y84" s="2268">
        <f t="shared" si="417"/>
        <v>-304</v>
      </c>
      <c r="Z84" s="2268">
        <f t="shared" si="417"/>
        <v>-304</v>
      </c>
      <c r="AA84" s="2268">
        <f t="shared" ref="AA84:AB85" si="423">+Z84</f>
        <v>-304</v>
      </c>
      <c r="AB84" s="2268">
        <f t="shared" si="423"/>
        <v>-304</v>
      </c>
      <c r="AC84" s="2268">
        <f t="shared" ref="AC84:AC85" si="424">+AB84</f>
        <v>-304</v>
      </c>
      <c r="AD84" s="2268">
        <f t="shared" ref="AD84:AD85" si="425">+AC84</f>
        <v>-304</v>
      </c>
      <c r="AE84" s="2268">
        <f t="shared" ref="AE84:AE85" si="426">+AD84</f>
        <v>-304</v>
      </c>
      <c r="AF84" s="2268">
        <f t="shared" ref="AF84:AF85" si="427">+AE84</f>
        <v>-304</v>
      </c>
      <c r="AG84" s="2268">
        <f t="shared" ref="AG84:AG85" si="428">+AF84</f>
        <v>-304</v>
      </c>
      <c r="AH84" s="2201"/>
      <c r="AI84" s="1956"/>
      <c r="AJ84" s="1561"/>
      <c r="AK84" s="2268"/>
      <c r="AL84" s="2268"/>
      <c r="AM84" s="2268"/>
      <c r="AN84" s="2268"/>
      <c r="AO84" s="2268"/>
      <c r="AP84" s="1939"/>
      <c r="AQ84" s="2268"/>
      <c r="AR84" s="2268"/>
      <c r="AS84" s="2268"/>
      <c r="AT84" s="1939"/>
      <c r="AU84" s="2268"/>
      <c r="AV84" s="2268"/>
      <c r="AW84" s="2268"/>
      <c r="AX84" s="1939"/>
      <c r="AY84" s="2268"/>
      <c r="AZ84" s="2268"/>
      <c r="BA84" s="2268"/>
      <c r="BB84" s="1939"/>
      <c r="BC84" s="2268"/>
      <c r="BD84" s="2268"/>
      <c r="BE84" s="2268"/>
      <c r="BF84" s="1939"/>
      <c r="BG84" s="2268"/>
      <c r="BH84" s="2268"/>
      <c r="BI84" s="2268"/>
      <c r="BJ84" s="1939"/>
      <c r="BK84" s="2268"/>
      <c r="BL84" s="2268"/>
      <c r="BM84" s="2268"/>
      <c r="BN84" s="1939">
        <v>-36</v>
      </c>
      <c r="BO84" s="2268">
        <v>-42</v>
      </c>
      <c r="BP84" s="2268">
        <v>-38</v>
      </c>
      <c r="BQ84" s="2268">
        <f>-166-BN84-BO84-BP84</f>
        <v>-50</v>
      </c>
      <c r="BR84" s="1939">
        <v>-52</v>
      </c>
      <c r="BS84" s="2268">
        <v>-54</v>
      </c>
      <c r="BT84" s="2268">
        <v>-50</v>
      </c>
      <c r="BU84" s="2268">
        <f>-209-BR84-BS84-BT84</f>
        <v>-53</v>
      </c>
      <c r="BV84" s="2269">
        <v>-50</v>
      </c>
      <c r="BW84" s="2270">
        <v>-48</v>
      </c>
      <c r="BX84" s="2270">
        <v>-56</v>
      </c>
      <c r="BY84" s="2270">
        <f>-226-SUM(BV84:BX84)</f>
        <v>-72</v>
      </c>
      <c r="BZ84" s="2269">
        <v>-62</v>
      </c>
      <c r="CA84" s="2270">
        <v>-68</v>
      </c>
      <c r="CB84" s="2270">
        <v>-64</v>
      </c>
      <c r="CC84" s="2274">
        <v>-65</v>
      </c>
      <c r="CD84" s="2271">
        <f>+-63.75</f>
        <v>-63.75</v>
      </c>
      <c r="CE84" s="2272">
        <v>-63.75</v>
      </c>
      <c r="CF84" s="2272">
        <v>-63.75</v>
      </c>
      <c r="CG84" s="2272">
        <v>-63.75</v>
      </c>
      <c r="CH84" s="2269">
        <v>-60</v>
      </c>
      <c r="CI84" s="2272">
        <f>+-(263+$CH$84)/3</f>
        <v>-67.666666666666671</v>
      </c>
      <c r="CJ84" s="2272">
        <f>+-(263+$CH$84)/3</f>
        <v>-67.666666666666671</v>
      </c>
      <c r="CK84" s="2272">
        <f>+-(263+$CH$84)/3</f>
        <v>-67.666666666666671</v>
      </c>
      <c r="CL84" s="2269">
        <v>-70</v>
      </c>
      <c r="CM84" s="2270">
        <v>-67</v>
      </c>
      <c r="CN84" s="2270">
        <v>-76</v>
      </c>
      <c r="CO84" s="2272">
        <f>+-286-CN84-CM84-CL84</f>
        <v>-73</v>
      </c>
      <c r="CP84" s="2269">
        <v>-69</v>
      </c>
      <c r="CQ84" s="2270">
        <v>-71</v>
      </c>
      <c r="CR84" s="2270">
        <v>-77</v>
      </c>
      <c r="CS84" s="2268">
        <v>-78</v>
      </c>
      <c r="CT84" s="1939">
        <v>-70</v>
      </c>
      <c r="CU84" s="2268">
        <f t="shared" ref="CU84:CW85" si="429">+CT84</f>
        <v>-70</v>
      </c>
      <c r="CV84" s="2268">
        <f t="shared" si="429"/>
        <v>-70</v>
      </c>
      <c r="CW84" s="2268">
        <f t="shared" si="429"/>
        <v>-70</v>
      </c>
      <c r="CX84" s="1939">
        <v>-76</v>
      </c>
      <c r="CY84" s="2268">
        <f t="shared" si="419"/>
        <v>-76</v>
      </c>
      <c r="CZ84" s="2268">
        <f t="shared" si="419"/>
        <v>-76</v>
      </c>
      <c r="DA84" s="2268">
        <f t="shared" si="419"/>
        <v>-76</v>
      </c>
      <c r="DB84" s="1939">
        <f t="shared" ref="DB84:DE85" si="430">+DA84</f>
        <v>-76</v>
      </c>
      <c r="DC84" s="2268">
        <f t="shared" si="430"/>
        <v>-76</v>
      </c>
      <c r="DD84" s="2268">
        <f t="shared" si="430"/>
        <v>-76</v>
      </c>
      <c r="DE84" s="2268">
        <f t="shared" si="430"/>
        <v>-76</v>
      </c>
      <c r="DF84" s="1939">
        <f t="shared" ref="DF84:DV85" si="431">+DE84</f>
        <v>-76</v>
      </c>
      <c r="DG84" s="2268">
        <f t="shared" si="431"/>
        <v>-76</v>
      </c>
      <c r="DH84" s="2268">
        <f t="shared" si="431"/>
        <v>-76</v>
      </c>
      <c r="DI84" s="2273">
        <f t="shared" si="431"/>
        <v>-76</v>
      </c>
      <c r="DJ84" s="1939">
        <f t="shared" si="431"/>
        <v>-76</v>
      </c>
      <c r="DK84" s="2268">
        <f t="shared" si="431"/>
        <v>-76</v>
      </c>
      <c r="DL84" s="2268">
        <f t="shared" si="431"/>
        <v>-76</v>
      </c>
      <c r="DM84" s="2273">
        <f t="shared" si="431"/>
        <v>-76</v>
      </c>
      <c r="DN84" s="2268">
        <f t="shared" si="431"/>
        <v>-76</v>
      </c>
      <c r="DO84" s="2268">
        <f t="shared" si="431"/>
        <v>-76</v>
      </c>
      <c r="DP84" s="2268">
        <f t="shared" si="431"/>
        <v>-76</v>
      </c>
      <c r="DQ84" s="2273">
        <f t="shared" si="431"/>
        <v>-76</v>
      </c>
      <c r="DR84" s="1939">
        <f t="shared" si="431"/>
        <v>-76</v>
      </c>
      <c r="DS84" s="2268">
        <f t="shared" si="431"/>
        <v>-76</v>
      </c>
      <c r="DT84" s="2268">
        <f t="shared" si="431"/>
        <v>-76</v>
      </c>
      <c r="DU84" s="2273">
        <f t="shared" si="431"/>
        <v>-76</v>
      </c>
      <c r="DV84" s="2268">
        <f t="shared" si="431"/>
        <v>-76</v>
      </c>
      <c r="DW84" s="2268">
        <f t="shared" ref="DW84:DW85" si="432">+DV84</f>
        <v>-76</v>
      </c>
      <c r="DX84" s="2268">
        <f t="shared" ref="DX84:DX85" si="433">+DW84</f>
        <v>-76</v>
      </c>
      <c r="DY84" s="2273">
        <f t="shared" ref="DY84:DY85" si="434">+DX84</f>
        <v>-76</v>
      </c>
    </row>
    <row r="85" spans="1:129" s="1491" customFormat="1" ht="15" hidden="1" customHeight="1">
      <c r="A85" s="2267" t="s">
        <v>1393</v>
      </c>
      <c r="B85" s="2268"/>
      <c r="C85" s="2268"/>
      <c r="D85" s="2268"/>
      <c r="E85" s="2268"/>
      <c r="F85" s="2268"/>
      <c r="G85" s="2268"/>
      <c r="H85" s="2268"/>
      <c r="I85" s="2268"/>
      <c r="J85" s="2268"/>
      <c r="K85" s="2268">
        <f>SUM(BN85:BQ85)</f>
        <v>15</v>
      </c>
      <c r="L85" s="2268">
        <f>SUM(BR85:BU85)</f>
        <v>42</v>
      </c>
      <c r="M85" s="2268">
        <f>SUM(BV85:BY85)</f>
        <v>29</v>
      </c>
      <c r="N85" s="2268">
        <f>SUM(BZ85:CC85)</f>
        <v>23</v>
      </c>
      <c r="O85" s="2268">
        <f>SUM(CD85:CG85)</f>
        <v>30</v>
      </c>
      <c r="P85" s="2268">
        <f>SUM(CH85:CK85)</f>
        <v>265</v>
      </c>
      <c r="Q85" s="2268">
        <f>SUM(CL85:CO85)</f>
        <v>71</v>
      </c>
      <c r="R85" s="2268">
        <f>SUM(CP85:CS85)</f>
        <v>90</v>
      </c>
      <c r="S85" s="2268">
        <f>SUM(CT85:CW85)</f>
        <v>56</v>
      </c>
      <c r="T85" s="2268">
        <f>+SUM(CX85:DA85)</f>
        <v>96</v>
      </c>
      <c r="U85" s="2268">
        <f>SUM(DB85:DE85)</f>
        <v>96</v>
      </c>
      <c r="V85" s="2268">
        <f>SUM(DF85:DI85)</f>
        <v>96</v>
      </c>
      <c r="W85" s="2268">
        <f>SUM(DG85:DJ85)</f>
        <v>96</v>
      </c>
      <c r="X85" s="2268">
        <f>SUM(DH85:DK85)</f>
        <v>96</v>
      </c>
      <c r="Y85" s="2268">
        <f>SUM(DI85:DL85)</f>
        <v>96</v>
      </c>
      <c r="Z85" s="2268">
        <f>SUM(DJ85:DM85)</f>
        <v>96</v>
      </c>
      <c r="AA85" s="2268">
        <f t="shared" si="423"/>
        <v>96</v>
      </c>
      <c r="AB85" s="2268">
        <f t="shared" si="423"/>
        <v>96</v>
      </c>
      <c r="AC85" s="2268">
        <f t="shared" si="424"/>
        <v>96</v>
      </c>
      <c r="AD85" s="2268">
        <f t="shared" si="425"/>
        <v>96</v>
      </c>
      <c r="AE85" s="2268">
        <f t="shared" si="426"/>
        <v>96</v>
      </c>
      <c r="AF85" s="2268">
        <f t="shared" si="427"/>
        <v>96</v>
      </c>
      <c r="AG85" s="2268">
        <f t="shared" si="428"/>
        <v>96</v>
      </c>
      <c r="AH85" s="2201"/>
      <c r="AI85" s="1956"/>
      <c r="AJ85" s="1561"/>
      <c r="AK85" s="2268"/>
      <c r="AL85" s="2268"/>
      <c r="AM85" s="2268"/>
      <c r="AN85" s="2268"/>
      <c r="AO85" s="2268"/>
      <c r="AP85" s="1939"/>
      <c r="AQ85" s="2268"/>
      <c r="AR85" s="2268"/>
      <c r="AS85" s="2268"/>
      <c r="AT85" s="1939"/>
      <c r="AU85" s="2268"/>
      <c r="AV85" s="2268"/>
      <c r="AW85" s="2268"/>
      <c r="AX85" s="1939"/>
      <c r="AY85" s="2268"/>
      <c r="AZ85" s="2268"/>
      <c r="BA85" s="2268"/>
      <c r="BB85" s="1939"/>
      <c r="BC85" s="2268"/>
      <c r="BD85" s="2268"/>
      <c r="BE85" s="2268"/>
      <c r="BF85" s="1939"/>
      <c r="BG85" s="2268"/>
      <c r="BH85" s="2268"/>
      <c r="BI85" s="2268"/>
      <c r="BJ85" s="1939"/>
      <c r="BK85" s="2268"/>
      <c r="BL85" s="2268"/>
      <c r="BM85" s="2268"/>
      <c r="BN85" s="1939">
        <f>3+1</f>
        <v>4</v>
      </c>
      <c r="BO85" s="2268">
        <f>4-1</f>
        <v>3</v>
      </c>
      <c r="BP85" s="2268">
        <f>5</f>
        <v>5</v>
      </c>
      <c r="BQ85" s="2268">
        <f>15-BN85-BO85-BP85</f>
        <v>3</v>
      </c>
      <c r="BR85" s="1939">
        <v>3</v>
      </c>
      <c r="BS85" s="2268">
        <v>2</v>
      </c>
      <c r="BT85" s="2268">
        <v>31</v>
      </c>
      <c r="BU85" s="2268">
        <f>45-3-BR85-BS85-BT85</f>
        <v>6</v>
      </c>
      <c r="BV85" s="2269">
        <v>2</v>
      </c>
      <c r="BW85" s="2270">
        <v>5</v>
      </c>
      <c r="BX85" s="2270">
        <v>3</v>
      </c>
      <c r="BY85" s="2270">
        <f>29-SUM(BV85:BX85)</f>
        <v>19</v>
      </c>
      <c r="BZ85" s="2269">
        <v>-2</v>
      </c>
      <c r="CA85" s="2270">
        <v>7</v>
      </c>
      <c r="CB85" s="2270">
        <v>8</v>
      </c>
      <c r="CC85" s="2270">
        <f>19+4-SUM(BZ85:CB85)</f>
        <v>10</v>
      </c>
      <c r="CD85" s="2271">
        <v>7.5</v>
      </c>
      <c r="CE85" s="2272">
        <v>7.5</v>
      </c>
      <c r="CF85" s="2272">
        <v>7.5</v>
      </c>
      <c r="CG85" s="2272">
        <v>7.5</v>
      </c>
      <c r="CH85" s="2269">
        <v>10</v>
      </c>
      <c r="CI85" s="2272">
        <f>(265-$CH$85)/3</f>
        <v>85</v>
      </c>
      <c r="CJ85" s="2272">
        <f>(265-$CH$85)/3</f>
        <v>85</v>
      </c>
      <c r="CK85" s="2272">
        <f>(265-$CH$85)/3</f>
        <v>85</v>
      </c>
      <c r="CL85" s="2269">
        <v>20</v>
      </c>
      <c r="CM85" s="2272">
        <f>+CM684</f>
        <v>19</v>
      </c>
      <c r="CN85" s="2268">
        <f>+CN684</f>
        <v>19</v>
      </c>
      <c r="CO85" s="2268">
        <f>+CO684</f>
        <v>13</v>
      </c>
      <c r="CP85" s="1939">
        <v>22.5</v>
      </c>
      <c r="CQ85" s="2268">
        <f>+CP85</f>
        <v>22.5</v>
      </c>
      <c r="CR85" s="2268">
        <f>+CQ85</f>
        <v>22.5</v>
      </c>
      <c r="CS85" s="2268">
        <f>+CR85</f>
        <v>22.5</v>
      </c>
      <c r="CT85" s="1939">
        <v>14</v>
      </c>
      <c r="CU85" s="2268">
        <f t="shared" si="429"/>
        <v>14</v>
      </c>
      <c r="CV85" s="2268">
        <f t="shared" si="429"/>
        <v>14</v>
      </c>
      <c r="CW85" s="2268">
        <f t="shared" si="429"/>
        <v>14</v>
      </c>
      <c r="CX85" s="1939">
        <v>24</v>
      </c>
      <c r="CY85" s="2268">
        <f t="shared" si="419"/>
        <v>24</v>
      </c>
      <c r="CZ85" s="2268">
        <f t="shared" si="419"/>
        <v>24</v>
      </c>
      <c r="DA85" s="2268">
        <f t="shared" si="419"/>
        <v>24</v>
      </c>
      <c r="DB85" s="1939">
        <f t="shared" si="430"/>
        <v>24</v>
      </c>
      <c r="DC85" s="2268">
        <f t="shared" si="430"/>
        <v>24</v>
      </c>
      <c r="DD85" s="2268">
        <f t="shared" si="430"/>
        <v>24</v>
      </c>
      <c r="DE85" s="2268">
        <f t="shared" si="430"/>
        <v>24</v>
      </c>
      <c r="DF85" s="1939">
        <f t="shared" si="431"/>
        <v>24</v>
      </c>
      <c r="DG85" s="2268">
        <f t="shared" si="431"/>
        <v>24</v>
      </c>
      <c r="DH85" s="2268">
        <f t="shared" si="431"/>
        <v>24</v>
      </c>
      <c r="DI85" s="2273">
        <f t="shared" si="431"/>
        <v>24</v>
      </c>
      <c r="DJ85" s="1939">
        <f t="shared" si="431"/>
        <v>24</v>
      </c>
      <c r="DK85" s="2268">
        <f t="shared" si="431"/>
        <v>24</v>
      </c>
      <c r="DL85" s="2268">
        <f t="shared" si="431"/>
        <v>24</v>
      </c>
      <c r="DM85" s="2273">
        <f t="shared" si="431"/>
        <v>24</v>
      </c>
      <c r="DN85" s="2268">
        <f t="shared" si="431"/>
        <v>24</v>
      </c>
      <c r="DO85" s="2268">
        <f t="shared" si="431"/>
        <v>24</v>
      </c>
      <c r="DP85" s="2268">
        <f t="shared" si="431"/>
        <v>24</v>
      </c>
      <c r="DQ85" s="2273">
        <f t="shared" si="431"/>
        <v>24</v>
      </c>
      <c r="DR85" s="1939">
        <f t="shared" si="431"/>
        <v>24</v>
      </c>
      <c r="DS85" s="2268">
        <f t="shared" si="431"/>
        <v>24</v>
      </c>
      <c r="DT85" s="2268">
        <f t="shared" si="431"/>
        <v>24</v>
      </c>
      <c r="DU85" s="2273">
        <f t="shared" si="431"/>
        <v>24</v>
      </c>
      <c r="DV85" s="2268">
        <f t="shared" si="431"/>
        <v>24</v>
      </c>
      <c r="DW85" s="2268">
        <f t="shared" si="432"/>
        <v>24</v>
      </c>
      <c r="DX85" s="2268">
        <f t="shared" si="433"/>
        <v>24</v>
      </c>
      <c r="DY85" s="2273">
        <f t="shared" si="434"/>
        <v>24</v>
      </c>
    </row>
    <row r="86" spans="1:129" s="1491" customFormat="1" ht="15" hidden="1" customHeight="1">
      <c r="A86" s="2267"/>
      <c r="B86" s="2268"/>
      <c r="C86" s="2268"/>
      <c r="D86" s="2268"/>
      <c r="E86" s="2268"/>
      <c r="F86" s="2268"/>
      <c r="G86" s="2268"/>
      <c r="H86" s="2268"/>
      <c r="I86" s="2268"/>
      <c r="J86" s="2268"/>
      <c r="K86" s="2268"/>
      <c r="L86" s="2268"/>
      <c r="M86" s="2268"/>
      <c r="N86" s="2268"/>
      <c r="O86" s="2268"/>
      <c r="P86" s="2268"/>
      <c r="Q86" s="2268"/>
      <c r="R86" s="2268"/>
      <c r="S86" s="2268"/>
      <c r="T86" s="2268"/>
      <c r="U86" s="2268"/>
      <c r="V86" s="2268"/>
      <c r="W86" s="2268"/>
      <c r="X86" s="2268"/>
      <c r="Y86" s="2268"/>
      <c r="Z86" s="2268"/>
      <c r="AA86" s="2268"/>
      <c r="AB86" s="2268"/>
      <c r="AC86" s="2268"/>
      <c r="AD86" s="2268"/>
      <c r="AE86" s="2268"/>
      <c r="AF86" s="2268"/>
      <c r="AG86" s="2268"/>
      <c r="AH86" s="2201"/>
      <c r="AI86" s="1956"/>
      <c r="AJ86" s="1561"/>
      <c r="AK86" s="2268"/>
      <c r="AL86" s="2268"/>
      <c r="AM86" s="2268"/>
      <c r="AN86" s="2268"/>
      <c r="AO86" s="2268"/>
      <c r="AP86" s="1939"/>
      <c r="AQ86" s="2268"/>
      <c r="AR86" s="2268"/>
      <c r="AS86" s="2268"/>
      <c r="AT86" s="1939"/>
      <c r="AU86" s="2268"/>
      <c r="AV86" s="2268"/>
      <c r="AW86" s="2268"/>
      <c r="AX86" s="1939"/>
      <c r="AY86" s="2268"/>
      <c r="AZ86" s="2268"/>
      <c r="BA86" s="2268"/>
      <c r="BB86" s="1939"/>
      <c r="BC86" s="2268"/>
      <c r="BD86" s="2268"/>
      <c r="BE86" s="2268"/>
      <c r="BF86" s="1939"/>
      <c r="BG86" s="2268"/>
      <c r="BH86" s="2268"/>
      <c r="BI86" s="2268"/>
      <c r="BJ86" s="1939"/>
      <c r="BK86" s="2268"/>
      <c r="BL86" s="2268"/>
      <c r="BM86" s="2268"/>
      <c r="BN86" s="1939"/>
      <c r="BO86" s="2268"/>
      <c r="BP86" s="2268"/>
      <c r="BQ86" s="2268"/>
      <c r="BR86" s="1939"/>
      <c r="BS86" s="2268"/>
      <c r="BT86" s="2268"/>
      <c r="BU86" s="2268"/>
      <c r="BV86" s="1939"/>
      <c r="BW86" s="2268"/>
      <c r="BX86" s="2268"/>
      <c r="BY86" s="2268"/>
      <c r="BZ86" s="1939"/>
      <c r="CA86" s="2268"/>
      <c r="CB86" s="2268"/>
      <c r="CC86" s="2268"/>
      <c r="CD86" s="1939"/>
      <c r="CE86" s="2268"/>
      <c r="CF86" s="2268"/>
      <c r="CG86" s="2268"/>
      <c r="CH86" s="1939"/>
      <c r="CI86" s="2268" t="s">
        <v>1465</v>
      </c>
      <c r="CJ86" s="2268"/>
      <c r="CK86" s="2268"/>
      <c r="CL86" s="1939"/>
      <c r="CM86" s="2268"/>
      <c r="CN86" s="2268"/>
      <c r="CO86" s="2268"/>
      <c r="CP86" s="1939"/>
      <c r="CQ86" s="2268"/>
      <c r="CR86" s="2268"/>
      <c r="CS86" s="2268"/>
      <c r="CT86" s="1939"/>
      <c r="CU86" s="2268"/>
      <c r="CV86" s="2268"/>
      <c r="CW86" s="2268"/>
      <c r="CX86" s="1939"/>
      <c r="CY86" s="2268"/>
      <c r="CZ86" s="2268"/>
      <c r="DA86" s="2268"/>
      <c r="DB86" s="1939"/>
      <c r="DC86" s="2268"/>
      <c r="DD86" s="2268"/>
      <c r="DE86" s="2268"/>
      <c r="DF86" s="1939"/>
      <c r="DG86" s="2268"/>
      <c r="DH86" s="2268"/>
      <c r="DI86" s="2273"/>
      <c r="DJ86" s="1939"/>
      <c r="DK86" s="2268"/>
      <c r="DL86" s="2268"/>
      <c r="DM86" s="2273"/>
      <c r="DN86" s="2268"/>
      <c r="DO86" s="2268"/>
      <c r="DP86" s="2268"/>
      <c r="DQ86" s="2273"/>
      <c r="DR86" s="1939"/>
      <c r="DS86" s="2268"/>
      <c r="DT86" s="2268"/>
      <c r="DU86" s="2273"/>
      <c r="DV86" s="2268"/>
      <c r="DW86" s="2268"/>
      <c r="DX86" s="2268"/>
      <c r="DY86" s="2273"/>
    </row>
    <row r="87" spans="1:129" s="1491" customFormat="1" ht="15" hidden="1" customHeight="1">
      <c r="A87" s="2267" t="s">
        <v>1466</v>
      </c>
      <c r="B87" s="2268"/>
      <c r="C87" s="2268"/>
      <c r="D87" s="2268"/>
      <c r="E87" s="2268"/>
      <c r="F87" s="2268"/>
      <c r="G87" s="2268"/>
      <c r="H87" s="2268"/>
      <c r="I87" s="2268"/>
      <c r="J87" s="2268"/>
      <c r="K87" s="2268">
        <f t="shared" ref="K87:V87" si="435">K65+K83+K84+K85</f>
        <v>3319</v>
      </c>
      <c r="L87" s="2268">
        <f t="shared" si="435"/>
        <v>5023</v>
      </c>
      <c r="M87" s="2268">
        <f t="shared" si="435"/>
        <v>6586</v>
      </c>
      <c r="N87" s="2268">
        <f t="shared" si="435"/>
        <v>14741.822</v>
      </c>
      <c r="O87" s="2268">
        <f t="shared" si="435"/>
        <v>18103.309999999998</v>
      </c>
      <c r="P87" s="2268">
        <f t="shared" si="435"/>
        <v>7751.5236600742428</v>
      </c>
      <c r="Q87" s="2268">
        <f t="shared" si="435"/>
        <v>15537</v>
      </c>
      <c r="R87" s="2268">
        <f t="shared" si="435"/>
        <v>18203</v>
      </c>
      <c r="S87" s="2268">
        <f t="shared" si="435"/>
        <v>17693</v>
      </c>
      <c r="T87" s="2268">
        <f t="shared" si="435"/>
        <v>21118</v>
      </c>
      <c r="U87" s="2268">
        <f t="shared" si="435"/>
        <v>25347</v>
      </c>
      <c r="V87" s="2268">
        <f t="shared" si="435"/>
        <v>26110</v>
      </c>
      <c r="W87" s="2268">
        <f>W65+W83+W84+W85</f>
        <v>29323</v>
      </c>
      <c r="X87" s="2268">
        <f>X65+X83+X84+X85</f>
        <v>29203</v>
      </c>
      <c r="Y87" s="2268">
        <f>Y65+Y83+Y84+Y85</f>
        <v>28557</v>
      </c>
      <c r="Z87" s="2268">
        <f ca="1">Z65+Z83+Z84+Z85</f>
        <v>30276.766086179938</v>
      </c>
      <c r="AA87" s="2268">
        <f ca="1">AA65+AA83+AA85</f>
        <v>30463.622707665068</v>
      </c>
      <c r="AB87" s="2268">
        <f ca="1">AB65+AB83+AB85</f>
        <v>31355.638584273904</v>
      </c>
      <c r="AC87" s="2268">
        <f t="shared" ref="AC87:AG87" ca="1" si="436">AC65+AC83+AC85</f>
        <v>32323.547626902138</v>
      </c>
      <c r="AD87" s="2268">
        <f t="shared" ca="1" si="436"/>
        <v>33358.709909934871</v>
      </c>
      <c r="AE87" s="2268">
        <f t="shared" ca="1" si="436"/>
        <v>34463.719074331944</v>
      </c>
      <c r="AF87" s="2268">
        <f t="shared" ca="1" si="436"/>
        <v>35646.200439648841</v>
      </c>
      <c r="AG87" s="2268">
        <f t="shared" ca="1" si="436"/>
        <v>36889.47799410572</v>
      </c>
      <c r="AH87" s="2201"/>
      <c r="AI87" s="1956"/>
      <c r="AJ87" s="1561"/>
      <c r="AK87" s="2268"/>
      <c r="AL87" s="2268"/>
      <c r="AM87" s="2268"/>
      <c r="AN87" s="2268"/>
      <c r="AO87" s="2268"/>
      <c r="AP87" s="1939"/>
      <c r="AQ87" s="2268"/>
      <c r="AR87" s="2268"/>
      <c r="AS87" s="2268"/>
      <c r="AT87" s="1939"/>
      <c r="AU87" s="2268"/>
      <c r="AV87" s="2268"/>
      <c r="AW87" s="2268"/>
      <c r="AX87" s="1939"/>
      <c r="AY87" s="2268"/>
      <c r="AZ87" s="2268"/>
      <c r="BA87" s="2268"/>
      <c r="BB87" s="1939"/>
      <c r="BC87" s="2268"/>
      <c r="BD87" s="2268"/>
      <c r="BE87" s="2268"/>
      <c r="BF87" s="1939"/>
      <c r="BG87" s="2268"/>
      <c r="BH87" s="2268"/>
      <c r="BI87" s="2268"/>
      <c r="BJ87" s="1939"/>
      <c r="BK87" s="2268"/>
      <c r="BL87" s="2268"/>
      <c r="BM87" s="2268"/>
      <c r="BN87" s="1939">
        <f t="shared" ref="BN87:CC87" si="437">BN65+BN83+BN84+BN85</f>
        <v>674</v>
      </c>
      <c r="BO87" s="2268">
        <f t="shared" si="437"/>
        <v>792</v>
      </c>
      <c r="BP87" s="2268">
        <f t="shared" si="437"/>
        <v>928</v>
      </c>
      <c r="BQ87" s="2268">
        <f t="shared" si="437"/>
        <v>925</v>
      </c>
      <c r="BR87" s="1939">
        <f t="shared" si="437"/>
        <v>981</v>
      </c>
      <c r="BS87" s="2268">
        <f t="shared" si="437"/>
        <v>1396</v>
      </c>
      <c r="BT87" s="2268">
        <f t="shared" si="437"/>
        <v>1470</v>
      </c>
      <c r="BU87" s="2268">
        <f t="shared" si="437"/>
        <v>1176</v>
      </c>
      <c r="BV87" s="1939">
        <f t="shared" si="437"/>
        <v>1324</v>
      </c>
      <c r="BW87" s="2268">
        <f t="shared" si="437"/>
        <v>1580</v>
      </c>
      <c r="BX87" s="2268">
        <f t="shared" si="437"/>
        <v>1629</v>
      </c>
      <c r="BY87" s="2268">
        <f t="shared" si="437"/>
        <v>2053</v>
      </c>
      <c r="BZ87" s="1939">
        <f t="shared" si="437"/>
        <v>1914</v>
      </c>
      <c r="CA87" s="2268">
        <f t="shared" si="437"/>
        <v>2199</v>
      </c>
      <c r="CB87" s="2268">
        <f t="shared" si="437"/>
        <v>2436</v>
      </c>
      <c r="CC87" s="2268">
        <f t="shared" si="437"/>
        <v>2363</v>
      </c>
      <c r="CD87" s="1939">
        <f t="shared" ref="CD87:DE87" si="438">CD65+CD83+CD85</f>
        <v>2673.75</v>
      </c>
      <c r="CE87" s="2268">
        <f t="shared" si="438"/>
        <v>2953.75</v>
      </c>
      <c r="CF87" s="2268">
        <f t="shared" si="438"/>
        <v>2998.75</v>
      </c>
      <c r="CG87" s="2268">
        <f t="shared" si="438"/>
        <v>2947.75</v>
      </c>
      <c r="CH87" s="1939">
        <f t="shared" si="438"/>
        <v>3596.9503546099286</v>
      </c>
      <c r="CI87" s="2268">
        <f t="shared" si="438"/>
        <v>3887.6479298881841</v>
      </c>
      <c r="CJ87" s="2268">
        <f t="shared" si="438"/>
        <v>3891.9191643960039</v>
      </c>
      <c r="CK87" s="2268">
        <f t="shared" si="438"/>
        <v>4262.0062111801244</v>
      </c>
      <c r="CL87" s="1939">
        <f t="shared" si="438"/>
        <v>3849</v>
      </c>
      <c r="CM87" s="2268">
        <f t="shared" si="438"/>
        <v>4024</v>
      </c>
      <c r="CN87" s="2268">
        <f t="shared" si="438"/>
        <v>4038</v>
      </c>
      <c r="CO87" s="2268">
        <f t="shared" si="438"/>
        <v>3912</v>
      </c>
      <c r="CP87" s="1939">
        <f t="shared" si="438"/>
        <v>4276.5</v>
      </c>
      <c r="CQ87" s="2268">
        <f t="shared" si="438"/>
        <v>4626.5</v>
      </c>
      <c r="CR87" s="2268">
        <f t="shared" si="438"/>
        <v>4797.5</v>
      </c>
      <c r="CS87" s="2268">
        <f t="shared" si="438"/>
        <v>4797.5</v>
      </c>
      <c r="CT87" s="1939">
        <f t="shared" si="438"/>
        <v>4212.5</v>
      </c>
      <c r="CU87" s="2268">
        <f t="shared" si="438"/>
        <v>4553.5</v>
      </c>
      <c r="CV87" s="2268">
        <f t="shared" si="438"/>
        <v>5010.5</v>
      </c>
      <c r="CW87" s="2268">
        <f t="shared" si="438"/>
        <v>4196.5</v>
      </c>
      <c r="CX87" s="1939">
        <f t="shared" si="438"/>
        <v>5130.5</v>
      </c>
      <c r="CY87" s="2268">
        <f t="shared" si="438"/>
        <v>5626.5</v>
      </c>
      <c r="CZ87" s="2268">
        <f t="shared" si="438"/>
        <v>5960.5</v>
      </c>
      <c r="DA87" s="2268">
        <f t="shared" si="438"/>
        <v>4704.5</v>
      </c>
      <c r="DB87" s="1939">
        <f t="shared" si="438"/>
        <v>6331.5</v>
      </c>
      <c r="DC87" s="2268">
        <f t="shared" si="438"/>
        <v>6377.5</v>
      </c>
      <c r="DD87" s="2268">
        <f t="shared" si="438"/>
        <v>6799.5</v>
      </c>
      <c r="DE87" s="2268">
        <f t="shared" si="438"/>
        <v>6142.5</v>
      </c>
      <c r="DF87" s="1939">
        <f>DF65+DF83+DF85</f>
        <v>7231.5</v>
      </c>
      <c r="DG87" s="2268">
        <f>DG65+DG83+DG85</f>
        <v>6898.5</v>
      </c>
      <c r="DH87" s="2268">
        <f>DH65+DH83+DH85</f>
        <v>6868.5</v>
      </c>
      <c r="DI87" s="2273">
        <f>DI65+DI83+DI85</f>
        <v>5415.5</v>
      </c>
      <c r="DJ87" s="1939">
        <f t="shared" ref="DJ87:DM87" si="439">DJ65+DJ83+DJ85</f>
        <v>7723.5</v>
      </c>
      <c r="DK87" s="2268">
        <f t="shared" si="439"/>
        <v>7609.5</v>
      </c>
      <c r="DL87" s="2268">
        <f t="shared" si="439"/>
        <v>7581.5</v>
      </c>
      <c r="DM87" s="2273">
        <f t="shared" si="439"/>
        <v>6712.5</v>
      </c>
      <c r="DN87" s="2268">
        <f t="shared" ref="DN87:DO87" si="440">DN65+DN83+DN85</f>
        <v>7793.5</v>
      </c>
      <c r="DO87" s="2268">
        <f t="shared" si="440"/>
        <v>7930.5</v>
      </c>
      <c r="DP87" s="2268">
        <f t="shared" ref="DP87:DQ87" si="441">DP65+DP83+DP85</f>
        <v>7560.5</v>
      </c>
      <c r="DQ87" s="2273">
        <f t="shared" si="441"/>
        <v>6222.5</v>
      </c>
      <c r="DR87" s="1939">
        <f t="shared" ref="DR87" si="442">DR65+DR83+DR85</f>
        <v>6989.5</v>
      </c>
      <c r="DS87" s="2268">
        <f t="shared" ref="DS87:DT87" si="443">DS65+DS83+DS85</f>
        <v>7323.5</v>
      </c>
      <c r="DT87" s="2268">
        <f t="shared" si="443"/>
        <v>7516.5</v>
      </c>
      <c r="DU87" s="2273">
        <f t="shared" ref="DU87" si="444">DU65+DU83+DU85</f>
        <v>7031.5</v>
      </c>
      <c r="DV87" s="2268">
        <f t="shared" ref="DV87" si="445">DV65+DV83+DV85</f>
        <v>7962.5</v>
      </c>
      <c r="DW87" s="2268">
        <f t="shared" ref="DW87:DY87" ca="1" si="446">DW65+DW83+DW85</f>
        <v>7807.7946871801269</v>
      </c>
      <c r="DX87" s="2268">
        <f t="shared" ca="1" si="446"/>
        <v>7978.578451947762</v>
      </c>
      <c r="DY87" s="2273">
        <f t="shared" ca="1" si="446"/>
        <v>6831.8929470520452</v>
      </c>
    </row>
    <row r="88" spans="1:129" s="1491" customFormat="1" ht="15" hidden="1" customHeight="1">
      <c r="A88" s="2267"/>
      <c r="B88" s="2268"/>
      <c r="C88" s="2268"/>
      <c r="D88" s="2268"/>
      <c r="E88" s="2268"/>
      <c r="F88" s="2268"/>
      <c r="G88" s="2268"/>
      <c r="H88" s="2268"/>
      <c r="I88" s="2268"/>
      <c r="J88" s="2268"/>
      <c r="K88" s="2268"/>
      <c r="L88" s="2268"/>
      <c r="M88" s="2268"/>
      <c r="N88" s="2268"/>
      <c r="O88" s="2268"/>
      <c r="P88" s="2268"/>
      <c r="Q88" s="2268"/>
      <c r="R88" s="2268"/>
      <c r="S88" s="2268"/>
      <c r="T88" s="2268"/>
      <c r="U88" s="2268"/>
      <c r="V88" s="2268"/>
      <c r="W88" s="2268"/>
      <c r="X88" s="2268"/>
      <c r="Y88" s="2268"/>
      <c r="Z88" s="2268"/>
      <c r="AA88" s="2268"/>
      <c r="AB88" s="2268"/>
      <c r="AC88" s="2268"/>
      <c r="AD88" s="2268"/>
      <c r="AE88" s="2268"/>
      <c r="AF88" s="2268"/>
      <c r="AG88" s="2268"/>
      <c r="AH88" s="2201"/>
      <c r="AI88" s="1956"/>
      <c r="AJ88" s="1561"/>
      <c r="AK88" s="2268"/>
      <c r="AL88" s="2268"/>
      <c r="AM88" s="2268"/>
      <c r="AN88" s="2268"/>
      <c r="AO88" s="2268"/>
      <c r="AP88" s="1939"/>
      <c r="AQ88" s="2268"/>
      <c r="AR88" s="2268"/>
      <c r="AS88" s="2268"/>
      <c r="AT88" s="1939"/>
      <c r="AU88" s="2268"/>
      <c r="AV88" s="2268"/>
      <c r="AW88" s="2268"/>
      <c r="AX88" s="1939"/>
      <c r="AY88" s="2268"/>
      <c r="AZ88" s="2268"/>
      <c r="BA88" s="2268"/>
      <c r="BB88" s="1939"/>
      <c r="BC88" s="2268"/>
      <c r="BD88" s="2268"/>
      <c r="BE88" s="2268"/>
      <c r="BF88" s="1939"/>
      <c r="BG88" s="2268"/>
      <c r="BH88" s="2268"/>
      <c r="BI88" s="2268"/>
      <c r="BJ88" s="1939"/>
      <c r="BK88" s="2268"/>
      <c r="BL88" s="2268"/>
      <c r="BM88" s="2268"/>
      <c r="BN88" s="1939"/>
      <c r="BO88" s="2268"/>
      <c r="BP88" s="2268"/>
      <c r="BQ88" s="2268"/>
      <c r="BR88" s="1939"/>
      <c r="BS88" s="2268"/>
      <c r="BT88" s="2268"/>
      <c r="BU88" s="2268"/>
      <c r="BV88" s="1939"/>
      <c r="BW88" s="2268"/>
      <c r="BX88" s="2268"/>
      <c r="BY88" s="2268"/>
      <c r="BZ88" s="1939"/>
      <c r="CA88" s="2268"/>
      <c r="CB88" s="2268"/>
      <c r="CC88" s="2268"/>
      <c r="CD88" s="1939"/>
      <c r="CE88" s="2268"/>
      <c r="CF88" s="2268"/>
      <c r="CG88" s="2268"/>
      <c r="CH88" s="1939"/>
      <c r="CI88" s="2268"/>
      <c r="CJ88" s="2268"/>
      <c r="CK88" s="2268"/>
      <c r="CL88" s="1939"/>
      <c r="CM88" s="2268"/>
      <c r="CN88" s="2268"/>
      <c r="CO88" s="2268"/>
      <c r="CP88" s="1939"/>
      <c r="CQ88" s="2268"/>
      <c r="CR88" s="2268"/>
      <c r="CS88" s="2268"/>
      <c r="CT88" s="1939"/>
      <c r="CU88" s="2268"/>
      <c r="CV88" s="2268"/>
      <c r="CW88" s="2268"/>
      <c r="CX88" s="1939"/>
      <c r="CY88" s="2268"/>
      <c r="CZ88" s="2268"/>
      <c r="DA88" s="2268"/>
      <c r="DB88" s="1939"/>
      <c r="DC88" s="2268"/>
      <c r="DD88" s="2268"/>
      <c r="DE88" s="2268"/>
      <c r="DF88" s="1939"/>
      <c r="DG88" s="2268"/>
      <c r="DH88" s="2268"/>
      <c r="DI88" s="2273"/>
      <c r="DJ88" s="1939"/>
      <c r="DK88" s="2268"/>
      <c r="DL88" s="2268"/>
      <c r="DM88" s="2273"/>
      <c r="DN88" s="2268"/>
      <c r="DO88" s="2268"/>
      <c r="DP88" s="2268"/>
      <c r="DQ88" s="2273"/>
      <c r="DR88" s="1939"/>
      <c r="DS88" s="2268"/>
      <c r="DT88" s="2268"/>
      <c r="DU88" s="2273"/>
      <c r="DV88" s="2268"/>
      <c r="DW88" s="2268"/>
      <c r="DX88" s="2268"/>
      <c r="DY88" s="2273"/>
    </row>
    <row r="89" spans="1:129" s="1491" customFormat="1" ht="15" hidden="1" customHeight="1">
      <c r="A89" s="2267" t="s">
        <v>1467</v>
      </c>
      <c r="B89" s="2268"/>
      <c r="C89" s="2268"/>
      <c r="D89" s="2268"/>
      <c r="E89" s="2268"/>
      <c r="F89" s="2268"/>
      <c r="G89" s="2268"/>
      <c r="H89" s="2268"/>
      <c r="I89" s="2268"/>
      <c r="J89" s="2268"/>
      <c r="K89" s="2268">
        <f>SUM(BN89:BQ89)</f>
        <v>236</v>
      </c>
      <c r="L89" s="2268">
        <f>SUM(BR89:BU89)</f>
        <v>325</v>
      </c>
      <c r="M89" s="2268">
        <f>SUM(BV89:BY89)</f>
        <v>434</v>
      </c>
      <c r="N89" s="2268">
        <f>SUM(BZ89:CC89)</f>
        <v>606</v>
      </c>
      <c r="O89" s="2268">
        <f>SUM(CD89:CG89)</f>
        <v>714</v>
      </c>
      <c r="P89" s="2268">
        <f>SUM(CH89:CK89)</f>
        <v>801.99999999999989</v>
      </c>
      <c r="Q89" s="2268">
        <f>SUM(CL89:CO89)</f>
        <v>1229</v>
      </c>
      <c r="R89" s="2268">
        <f>SUM(CP89:CS89)</f>
        <v>1387.835</v>
      </c>
      <c r="S89" s="2268">
        <f>SUM(CT89:CW89)</f>
        <v>1617.57</v>
      </c>
      <c r="T89" s="2268">
        <f>+SUM(CX89:DA89)</f>
        <v>1927.9799999999998</v>
      </c>
      <c r="U89" s="2268">
        <f>+SUM(DB89:DE89)</f>
        <v>2308.5899999999997</v>
      </c>
      <c r="V89" s="2268">
        <f>+SUM(DF89:DI89)</f>
        <v>2377.2599999999998</v>
      </c>
      <c r="W89" s="2268">
        <f>+SUM(DG89:DJ89)</f>
        <v>2421.54</v>
      </c>
      <c r="X89" s="2268">
        <f>+SUM(DH89:DK89)</f>
        <v>2485.5299999999997</v>
      </c>
      <c r="Y89" s="2268">
        <f>+SUM(DI89:DL89)</f>
        <v>2549.6999999999998</v>
      </c>
      <c r="Z89" s="2268">
        <f>+SUM(DJ89:DM89)</f>
        <v>2666.43</v>
      </c>
      <c r="AA89" s="2268">
        <f ca="1">AA90*AA87</f>
        <v>2682.8861862323206</v>
      </c>
      <c r="AB89" s="2268">
        <f ca="1">AB90*AB87</f>
        <v>2761.4447049029054</v>
      </c>
      <c r="AC89" s="2268">
        <f t="shared" ref="AC89:AG89" ca="1" si="447">AC90*AC87</f>
        <v>2846.6870224340787</v>
      </c>
      <c r="AD89" s="2268">
        <f t="shared" ca="1" si="447"/>
        <v>2937.8522333582027</v>
      </c>
      <c r="AE89" s="2268">
        <f t="shared" ca="1" si="447"/>
        <v>3035.1687557977712</v>
      </c>
      <c r="AF89" s="2268">
        <f t="shared" ca="1" si="447"/>
        <v>3139.3081403657006</v>
      </c>
      <c r="AG89" s="2268">
        <f t="shared" ca="1" si="447"/>
        <v>3248.8017553737996</v>
      </c>
      <c r="AH89" s="2201"/>
      <c r="AI89" s="1956"/>
      <c r="AJ89" s="1561"/>
      <c r="AK89" s="2268"/>
      <c r="AL89" s="2268"/>
      <c r="AM89" s="2268"/>
      <c r="AN89" s="2268"/>
      <c r="AO89" s="2268"/>
      <c r="AP89" s="1939"/>
      <c r="AQ89" s="2268"/>
      <c r="AR89" s="2268"/>
      <c r="AS89" s="2268"/>
      <c r="AT89" s="1939"/>
      <c r="AU89" s="2268"/>
      <c r="AV89" s="2268"/>
      <c r="AW89" s="2268"/>
      <c r="AX89" s="1939"/>
      <c r="AY89" s="2268"/>
      <c r="AZ89" s="2268"/>
      <c r="BA89" s="2268"/>
      <c r="BB89" s="1939"/>
      <c r="BC89" s="2268"/>
      <c r="BD89" s="2268"/>
      <c r="BE89" s="2268"/>
      <c r="BF89" s="1939"/>
      <c r="BG89" s="2268"/>
      <c r="BH89" s="2268"/>
      <c r="BI89" s="2268"/>
      <c r="BJ89" s="1939"/>
      <c r="BK89" s="2268"/>
      <c r="BL89" s="2268"/>
      <c r="BM89" s="2268"/>
      <c r="BN89" s="1939">
        <v>45</v>
      </c>
      <c r="BO89" s="2268">
        <v>65</v>
      </c>
      <c r="BP89" s="2268">
        <v>63</v>
      </c>
      <c r="BQ89" s="2268">
        <f>236-BN89-BO89-BP89</f>
        <v>63</v>
      </c>
      <c r="BR89" s="1939">
        <v>72</v>
      </c>
      <c r="BS89" s="2268">
        <v>98</v>
      </c>
      <c r="BT89" s="2268">
        <v>99</v>
      </c>
      <c r="BU89" s="2268">
        <f>325-BR89-BS89-BT89</f>
        <v>56</v>
      </c>
      <c r="BV89" s="2269">
        <v>88</v>
      </c>
      <c r="BW89" s="2270">
        <v>114</v>
      </c>
      <c r="BX89" s="2270">
        <v>96</v>
      </c>
      <c r="BY89" s="2270">
        <f>434-SUM(BV89:BX89)</f>
        <v>136</v>
      </c>
      <c r="BZ89" s="2269">
        <v>130</v>
      </c>
      <c r="CA89" s="2270">
        <v>158</v>
      </c>
      <c r="CB89" s="2270">
        <v>160</v>
      </c>
      <c r="CC89" s="2274">
        <v>158</v>
      </c>
      <c r="CD89" s="1939">
        <f>CD90*CD87</f>
        <v>164.94362363919129</v>
      </c>
      <c r="CE89" s="2268">
        <f>CE90*CE87</f>
        <v>182.21682218766199</v>
      </c>
      <c r="CF89" s="2268">
        <f>CF90*CF87</f>
        <v>184.99287195438049</v>
      </c>
      <c r="CG89" s="2268">
        <f>CG90*CG87</f>
        <v>181.8466822187662</v>
      </c>
      <c r="CH89" s="2269">
        <v>215</v>
      </c>
      <c r="CI89" s="2272">
        <f>(802-$CH$89)/3</f>
        <v>195.66666666666666</v>
      </c>
      <c r="CJ89" s="2272">
        <f>(802-$CH$89)/3</f>
        <v>195.66666666666666</v>
      </c>
      <c r="CK89" s="2272">
        <f>(802-$CH$89)/3</f>
        <v>195.66666666666666</v>
      </c>
      <c r="CL89" s="2269">
        <f>79+64+113</f>
        <v>256</v>
      </c>
      <c r="CM89" s="2272">
        <f>442-CL89+90+41+113+64</f>
        <v>494</v>
      </c>
      <c r="CN89" s="2270">
        <f>291</f>
        <v>291</v>
      </c>
      <c r="CO89" s="2268">
        <f>797-CN89-CM89-CL89+64+113+91+41+123</f>
        <v>188</v>
      </c>
      <c r="CP89" s="2269">
        <f>243+(105*5.5%)</f>
        <v>248.77500000000001</v>
      </c>
      <c r="CQ89" s="2270">
        <f>505+(289-268)*11%</f>
        <v>507.31</v>
      </c>
      <c r="CR89" s="2270">
        <f>240+(92+42+25)*5%</f>
        <v>247.95</v>
      </c>
      <c r="CS89" s="2268">
        <f t="shared" ref="CS89:DE89" si="448">CS90*CS87</f>
        <v>383.8</v>
      </c>
      <c r="CT89" s="1939">
        <f t="shared" si="448"/>
        <v>379.125</v>
      </c>
      <c r="CU89" s="2268">
        <f t="shared" si="448"/>
        <v>409.815</v>
      </c>
      <c r="CV89" s="2268">
        <f t="shared" si="448"/>
        <v>450.94499999999999</v>
      </c>
      <c r="CW89" s="2268">
        <f t="shared" si="448"/>
        <v>377.685</v>
      </c>
      <c r="CX89" s="1939">
        <f t="shared" si="448"/>
        <v>461.745</v>
      </c>
      <c r="CY89" s="2268">
        <f t="shared" si="448"/>
        <v>506.38499999999999</v>
      </c>
      <c r="CZ89" s="2268">
        <f t="shared" si="448"/>
        <v>536.44499999999994</v>
      </c>
      <c r="DA89" s="2268">
        <f t="shared" si="448"/>
        <v>423.40499999999997</v>
      </c>
      <c r="DB89" s="1939">
        <f t="shared" si="448"/>
        <v>569.83499999999992</v>
      </c>
      <c r="DC89" s="2268">
        <f t="shared" si="448"/>
        <v>573.97500000000002</v>
      </c>
      <c r="DD89" s="2268">
        <f t="shared" si="448"/>
        <v>611.95499999999993</v>
      </c>
      <c r="DE89" s="2268">
        <f t="shared" si="448"/>
        <v>552.82499999999993</v>
      </c>
      <c r="DF89" s="1939">
        <f>DF90*DF87</f>
        <v>650.83499999999992</v>
      </c>
      <c r="DG89" s="2268">
        <f>DG90*DG87</f>
        <v>620.86500000000001</v>
      </c>
      <c r="DH89" s="2268">
        <f>DH90*DH87</f>
        <v>618.16499999999996</v>
      </c>
      <c r="DI89" s="2273">
        <f>DI90*DI87</f>
        <v>487.39499999999998</v>
      </c>
      <c r="DJ89" s="1939">
        <f t="shared" ref="DJ89:DM89" si="449">DJ90*DJ87</f>
        <v>695.11500000000001</v>
      </c>
      <c r="DK89" s="2268">
        <f t="shared" si="449"/>
        <v>684.85500000000002</v>
      </c>
      <c r="DL89" s="2268">
        <f t="shared" si="449"/>
        <v>682.33499999999992</v>
      </c>
      <c r="DM89" s="2273">
        <f t="shared" si="449"/>
        <v>604.125</v>
      </c>
      <c r="DN89" s="2268">
        <f t="shared" ref="DN89:DO89" si="450">DN90*DN87</f>
        <v>701.41499999999996</v>
      </c>
      <c r="DO89" s="2268">
        <f t="shared" si="450"/>
        <v>713.745</v>
      </c>
      <c r="DP89" s="2268">
        <f t="shared" ref="DP89:DQ89" si="451">DP90*DP87</f>
        <v>680.44499999999994</v>
      </c>
      <c r="DQ89" s="2273">
        <f t="shared" si="451"/>
        <v>560.02499999999998</v>
      </c>
      <c r="DR89" s="1939">
        <f t="shared" ref="DR89" si="452">DR90*DR87</f>
        <v>629.05499999999995</v>
      </c>
      <c r="DS89" s="2268">
        <f t="shared" ref="DS89:DT89" si="453">DS90*DS87</f>
        <v>659.11500000000001</v>
      </c>
      <c r="DT89" s="2268">
        <f t="shared" si="453"/>
        <v>676.48500000000001</v>
      </c>
      <c r="DU89" s="2273">
        <f t="shared" ref="DU89" si="454">DU90*DU87</f>
        <v>632.83499999999992</v>
      </c>
      <c r="DV89" s="2268">
        <f t="shared" ref="DV89" si="455">DV90*DV87</f>
        <v>716.625</v>
      </c>
      <c r="DW89" s="2268">
        <f t="shared" ref="DW89:DY89" ca="1" si="456">DW90*DW87</f>
        <v>702.70152184621134</v>
      </c>
      <c r="DX89" s="2268">
        <f t="shared" ca="1" si="456"/>
        <v>718.07206067529853</v>
      </c>
      <c r="DY89" s="2273">
        <f t="shared" ca="1" si="456"/>
        <v>614.87036523468407</v>
      </c>
    </row>
    <row r="90" spans="1:129" s="1491" customFormat="1" ht="15" hidden="1" customHeight="1">
      <c r="A90" s="2206" t="s">
        <v>1468</v>
      </c>
      <c r="B90" s="2207"/>
      <c r="C90" s="2207"/>
      <c r="D90" s="2207"/>
      <c r="E90" s="2207"/>
      <c r="F90" s="2207"/>
      <c r="G90" s="2207"/>
      <c r="H90" s="2207"/>
      <c r="I90" s="2207"/>
      <c r="J90" s="2207"/>
      <c r="K90" s="2207">
        <f t="shared" ref="K90:V90" si="457">K89/K87</f>
        <v>7.1105754745405245E-2</v>
      </c>
      <c r="L90" s="2207">
        <f t="shared" si="457"/>
        <v>6.4702369102130203E-2</v>
      </c>
      <c r="M90" s="2207">
        <f t="shared" si="457"/>
        <v>6.589735803218949E-2</v>
      </c>
      <c r="N90" s="2207">
        <f t="shared" si="457"/>
        <v>4.1107537453647182E-2</v>
      </c>
      <c r="O90" s="2207">
        <f t="shared" si="457"/>
        <v>3.9440301248777163E-2</v>
      </c>
      <c r="P90" s="2207">
        <f t="shared" si="457"/>
        <v>0.10346352990327046</v>
      </c>
      <c r="Q90" s="2207">
        <f t="shared" si="457"/>
        <v>7.910149964600631E-2</v>
      </c>
      <c r="R90" s="2207">
        <f t="shared" si="457"/>
        <v>7.6242102950063173E-2</v>
      </c>
      <c r="S90" s="2207">
        <f t="shared" si="457"/>
        <v>9.1424292092918094E-2</v>
      </c>
      <c r="T90" s="2207">
        <f t="shared" si="457"/>
        <v>9.1295577232692479E-2</v>
      </c>
      <c r="U90" s="2207">
        <f t="shared" si="457"/>
        <v>9.1079417682565972E-2</v>
      </c>
      <c r="V90" s="2207">
        <f t="shared" si="457"/>
        <v>9.1047874377633078E-2</v>
      </c>
      <c r="W90" s="2207">
        <f>W89/W87</f>
        <v>8.2581591242369468E-2</v>
      </c>
      <c r="X90" s="2207">
        <f>X89/X87</f>
        <v>8.5112146012395973E-2</v>
      </c>
      <c r="Y90" s="2207">
        <f>Y89/Y87</f>
        <v>8.928458871730223E-2</v>
      </c>
      <c r="Z90" s="2207">
        <f ca="1">Z89/Z87</f>
        <v>8.8068520673914116E-2</v>
      </c>
      <c r="AA90" s="2222">
        <f ca="1">+Z90</f>
        <v>8.8068520673914116E-2</v>
      </c>
      <c r="AB90" s="2222">
        <f ca="1">+AA90</f>
        <v>8.8068520673914116E-2</v>
      </c>
      <c r="AC90" s="2222">
        <f t="shared" ref="AC90:AG90" ca="1" si="458">+AB90</f>
        <v>8.8068520673914116E-2</v>
      </c>
      <c r="AD90" s="2222">
        <f t="shared" ca="1" si="458"/>
        <v>8.8068520673914116E-2</v>
      </c>
      <c r="AE90" s="2222">
        <f t="shared" ca="1" si="458"/>
        <v>8.8068520673914116E-2</v>
      </c>
      <c r="AF90" s="2222">
        <f t="shared" ca="1" si="458"/>
        <v>8.8068520673914116E-2</v>
      </c>
      <c r="AG90" s="2222">
        <f t="shared" ca="1" si="458"/>
        <v>8.8068520673914116E-2</v>
      </c>
      <c r="AH90" s="2201"/>
      <c r="AI90" s="1927"/>
      <c r="AJ90" s="1561"/>
      <c r="AK90" s="2222">
        <v>0.06</v>
      </c>
      <c r="AL90" s="2222">
        <v>0.06</v>
      </c>
      <c r="AM90" s="2207"/>
      <c r="AN90" s="2207"/>
      <c r="AO90" s="2207"/>
      <c r="AP90" s="2208"/>
      <c r="AQ90" s="2207"/>
      <c r="AR90" s="2207"/>
      <c r="AS90" s="2207"/>
      <c r="AT90" s="2208"/>
      <c r="AU90" s="2207"/>
      <c r="AV90" s="2207"/>
      <c r="AW90" s="2207"/>
      <c r="AX90" s="2208"/>
      <c r="AY90" s="2207"/>
      <c r="AZ90" s="2207"/>
      <c r="BA90" s="2207"/>
      <c r="BB90" s="2208"/>
      <c r="BC90" s="2207"/>
      <c r="BD90" s="2207"/>
      <c r="BE90" s="2207"/>
      <c r="BF90" s="2208"/>
      <c r="BG90" s="2207"/>
      <c r="BH90" s="2207"/>
      <c r="BI90" s="2207"/>
      <c r="BJ90" s="2208"/>
      <c r="BK90" s="2207"/>
      <c r="BL90" s="2207"/>
      <c r="BM90" s="2207"/>
      <c r="BN90" s="2208">
        <f t="shared" ref="BN90:CC90" si="459">BN89/BN87</f>
        <v>6.6765578635014838E-2</v>
      </c>
      <c r="BO90" s="2207">
        <f t="shared" si="459"/>
        <v>8.2070707070707072E-2</v>
      </c>
      <c r="BP90" s="2207">
        <f t="shared" si="459"/>
        <v>6.7887931034482762E-2</v>
      </c>
      <c r="BQ90" s="2207">
        <f t="shared" si="459"/>
        <v>6.8108108108108106E-2</v>
      </c>
      <c r="BR90" s="2208">
        <f t="shared" si="459"/>
        <v>7.3394495412844041E-2</v>
      </c>
      <c r="BS90" s="2207">
        <f t="shared" si="459"/>
        <v>7.0200573065902577E-2</v>
      </c>
      <c r="BT90" s="2207">
        <f t="shared" si="459"/>
        <v>6.7346938775510207E-2</v>
      </c>
      <c r="BU90" s="2207">
        <f t="shared" si="459"/>
        <v>4.7619047619047616E-2</v>
      </c>
      <c r="BV90" s="2208">
        <f t="shared" si="459"/>
        <v>6.6465256797583083E-2</v>
      </c>
      <c r="BW90" s="2207">
        <f t="shared" si="459"/>
        <v>7.2151898734177211E-2</v>
      </c>
      <c r="BX90" s="2207">
        <f t="shared" si="459"/>
        <v>5.8931860036832415E-2</v>
      </c>
      <c r="BY90" s="2207">
        <f t="shared" si="459"/>
        <v>6.6244520214320507E-2</v>
      </c>
      <c r="BZ90" s="2208">
        <f t="shared" si="459"/>
        <v>6.7920585161964475E-2</v>
      </c>
      <c r="CA90" s="2207">
        <f t="shared" si="459"/>
        <v>7.1850841291496131E-2</v>
      </c>
      <c r="CB90" s="2207">
        <f t="shared" si="459"/>
        <v>6.5681444991789822E-2</v>
      </c>
      <c r="CC90" s="2207">
        <f t="shared" si="459"/>
        <v>6.6864155734236139E-2</v>
      </c>
      <c r="CD90" s="2275">
        <v>6.168999481596682E-2</v>
      </c>
      <c r="CE90" s="2207">
        <f>+CD90</f>
        <v>6.168999481596682E-2</v>
      </c>
      <c r="CF90" s="2207">
        <f>+CE90</f>
        <v>6.168999481596682E-2</v>
      </c>
      <c r="CG90" s="2207">
        <f>+CF90</f>
        <v>6.168999481596682E-2</v>
      </c>
      <c r="CH90" s="2208">
        <f t="shared" ref="CH90:CR90" si="460">+CH89/CH87</f>
        <v>5.9772857227359671E-2</v>
      </c>
      <c r="CI90" s="2207">
        <f t="shared" si="460"/>
        <v>5.0330346316183626E-2</v>
      </c>
      <c r="CJ90" s="2207">
        <f t="shared" si="460"/>
        <v>5.0275110659199068E-2</v>
      </c>
      <c r="CK90" s="2207">
        <f t="shared" si="460"/>
        <v>4.5909521706794444E-2</v>
      </c>
      <c r="CL90" s="2208">
        <f t="shared" si="460"/>
        <v>6.6510782021304241E-2</v>
      </c>
      <c r="CM90" s="2207">
        <f t="shared" si="460"/>
        <v>0.12276341948310139</v>
      </c>
      <c r="CN90" s="2207">
        <f t="shared" si="460"/>
        <v>7.2065378900445759E-2</v>
      </c>
      <c r="CO90" s="2207">
        <f t="shared" si="460"/>
        <v>4.8057259713701429E-2</v>
      </c>
      <c r="CP90" s="2208">
        <f t="shared" si="460"/>
        <v>5.8172571027709577E-2</v>
      </c>
      <c r="CQ90" s="2207">
        <f t="shared" si="460"/>
        <v>0.10965308548578839</v>
      </c>
      <c r="CR90" s="2207">
        <f t="shared" si="460"/>
        <v>5.168316831683168E-2</v>
      </c>
      <c r="CS90" s="2222">
        <v>0.08</v>
      </c>
      <c r="CT90" s="2253">
        <v>0.09</v>
      </c>
      <c r="CU90" s="2222">
        <f>+CT90</f>
        <v>0.09</v>
      </c>
      <c r="CV90" s="2222">
        <v>0.09</v>
      </c>
      <c r="CW90" s="2222">
        <v>0.09</v>
      </c>
      <c r="CX90" s="2253">
        <v>0.09</v>
      </c>
      <c r="CY90" s="2222">
        <v>0.09</v>
      </c>
      <c r="CZ90" s="2222">
        <v>0.09</v>
      </c>
      <c r="DA90" s="2222">
        <v>0.09</v>
      </c>
      <c r="DB90" s="2253">
        <v>0.09</v>
      </c>
      <c r="DC90" s="2222">
        <v>0.09</v>
      </c>
      <c r="DD90" s="2222">
        <v>0.09</v>
      </c>
      <c r="DE90" s="2222">
        <v>0.09</v>
      </c>
      <c r="DF90" s="2253">
        <v>0.09</v>
      </c>
      <c r="DG90" s="2222">
        <v>0.09</v>
      </c>
      <c r="DH90" s="2222">
        <v>0.09</v>
      </c>
      <c r="DI90" s="2223">
        <v>0.09</v>
      </c>
      <c r="DJ90" s="2253">
        <v>0.09</v>
      </c>
      <c r="DK90" s="2222">
        <v>0.09</v>
      </c>
      <c r="DL90" s="2222">
        <v>0.09</v>
      </c>
      <c r="DM90" s="2223">
        <v>0.09</v>
      </c>
      <c r="DN90" s="2222">
        <v>0.09</v>
      </c>
      <c r="DO90" s="2222">
        <v>0.09</v>
      </c>
      <c r="DP90" s="2222">
        <v>0.09</v>
      </c>
      <c r="DQ90" s="2223">
        <v>0.09</v>
      </c>
      <c r="DR90" s="2253">
        <v>0.09</v>
      </c>
      <c r="DS90" s="2222">
        <v>0.09</v>
      </c>
      <c r="DT90" s="2222">
        <v>0.09</v>
      </c>
      <c r="DU90" s="2223">
        <v>0.09</v>
      </c>
      <c r="DV90" s="2222">
        <v>0.09</v>
      </c>
      <c r="DW90" s="2222">
        <f t="shared" ref="DW90" si="461">+DV90</f>
        <v>0.09</v>
      </c>
      <c r="DX90" s="2222">
        <f t="shared" ref="DX90" si="462">+DW90</f>
        <v>0.09</v>
      </c>
      <c r="DY90" s="2223">
        <f t="shared" ref="DY90" si="463">+DX90</f>
        <v>0.09</v>
      </c>
    </row>
    <row r="91" spans="1:129" s="1491" customFormat="1" ht="15" hidden="1" customHeight="1">
      <c r="A91" s="1942"/>
      <c r="B91" s="1903"/>
      <c r="C91" s="1903"/>
      <c r="D91" s="1903"/>
      <c r="E91" s="1903"/>
      <c r="F91" s="1903"/>
      <c r="G91" s="1903"/>
      <c r="H91" s="1903"/>
      <c r="I91" s="2200"/>
      <c r="J91" s="1903"/>
      <c r="K91" s="1903"/>
      <c r="L91" s="1903"/>
      <c r="M91" s="1903"/>
      <c r="N91" s="1903"/>
      <c r="O91" s="2200"/>
      <c r="P91" s="2200"/>
      <c r="Q91" s="2200"/>
      <c r="R91" s="2200"/>
      <c r="S91" s="2200"/>
      <c r="T91" s="2200"/>
      <c r="U91" s="2200"/>
      <c r="V91" s="2200"/>
      <c r="W91" s="2200"/>
      <c r="X91" s="2200"/>
      <c r="Y91" s="2200"/>
      <c r="Z91" s="2200"/>
      <c r="AA91" s="2200"/>
      <c r="AB91" s="2200"/>
      <c r="AC91" s="2200"/>
      <c r="AD91" s="2200"/>
      <c r="AE91" s="2200"/>
      <c r="AF91" s="2200"/>
      <c r="AG91" s="2200"/>
      <c r="AH91" s="2201"/>
      <c r="AI91" s="1927"/>
      <c r="AJ91" s="1561"/>
      <c r="AK91" s="1903"/>
      <c r="AL91" s="1903"/>
      <c r="AM91" s="1903"/>
      <c r="AN91" s="1903"/>
      <c r="AO91" s="1903"/>
      <c r="AP91" s="1942"/>
      <c r="AQ91" s="1903"/>
      <c r="AR91" s="1903"/>
      <c r="AS91" s="1903"/>
      <c r="AT91" s="1942"/>
      <c r="AU91" s="1903"/>
      <c r="AV91" s="1903"/>
      <c r="AW91" s="1903"/>
      <c r="AX91" s="1942"/>
      <c r="AY91" s="1903"/>
      <c r="AZ91" s="1903"/>
      <c r="BA91" s="1903"/>
      <c r="BB91" s="1942"/>
      <c r="BC91" s="1903"/>
      <c r="BD91" s="1903"/>
      <c r="BE91" s="1903"/>
      <c r="BF91" s="1942"/>
      <c r="BG91" s="1903"/>
      <c r="BH91" s="1903"/>
      <c r="BI91" s="1903"/>
      <c r="BJ91" s="1942"/>
      <c r="BK91" s="1903"/>
      <c r="BL91" s="1903"/>
      <c r="BM91" s="1903"/>
      <c r="BN91" s="1942"/>
      <c r="BO91" s="1903"/>
      <c r="BP91" s="1903"/>
      <c r="BQ91" s="1903"/>
      <c r="BR91" s="1942"/>
      <c r="BS91" s="1903"/>
      <c r="BT91" s="1903"/>
      <c r="BU91" s="1903"/>
      <c r="BV91" s="1942"/>
      <c r="BW91" s="1903"/>
      <c r="BX91" s="1903"/>
      <c r="BY91" s="1903"/>
      <c r="BZ91" s="1942"/>
      <c r="CA91" s="1903"/>
      <c r="CB91" s="1903"/>
      <c r="CC91" s="1903"/>
      <c r="CD91" s="1942"/>
      <c r="CE91" s="1903"/>
      <c r="CF91" s="1903"/>
      <c r="CG91" s="1903"/>
      <c r="CH91" s="1942"/>
      <c r="CI91" s="1903"/>
      <c r="CJ91" s="1903"/>
      <c r="CK91" s="1903"/>
      <c r="CL91" s="1942"/>
      <c r="CM91" s="1903"/>
      <c r="CN91" s="1903"/>
      <c r="CO91" s="1903"/>
      <c r="CP91" s="1942"/>
      <c r="CQ91" s="1903"/>
      <c r="CR91" s="1903"/>
      <c r="CS91" s="1903"/>
      <c r="CT91" s="1942"/>
      <c r="CU91" s="1903"/>
      <c r="CV91" s="1903"/>
      <c r="CW91" s="1903"/>
      <c r="CX91" s="1942"/>
      <c r="CY91" s="1903"/>
      <c r="CZ91" s="1903"/>
      <c r="DA91" s="1903"/>
      <c r="DB91" s="1942"/>
      <c r="DC91" s="1903"/>
      <c r="DD91" s="1903"/>
      <c r="DE91" s="1903"/>
      <c r="DF91" s="1942"/>
      <c r="DG91" s="1903"/>
      <c r="DH91" s="1903"/>
      <c r="DI91" s="2236"/>
      <c r="DJ91" s="1942"/>
      <c r="DK91" s="1903"/>
      <c r="DL91" s="1903"/>
      <c r="DM91" s="2236"/>
      <c r="DN91" s="1903"/>
      <c r="DO91" s="1903"/>
      <c r="DP91" s="1903"/>
      <c r="DQ91" s="2236"/>
      <c r="DR91" s="1942"/>
      <c r="DS91" s="1903"/>
      <c r="DT91" s="1903"/>
      <c r="DU91" s="2236"/>
      <c r="DV91" s="1903"/>
      <c r="DW91" s="1903"/>
      <c r="DX91" s="1903"/>
      <c r="DY91" s="2236"/>
    </row>
    <row r="92" spans="1:129" s="1491" customFormat="1" ht="15" hidden="1" customHeight="1">
      <c r="A92" s="1933" t="s">
        <v>1469</v>
      </c>
      <c r="B92" s="1903"/>
      <c r="C92" s="1903"/>
      <c r="D92" s="1903"/>
      <c r="E92" s="1903"/>
      <c r="F92" s="1903"/>
      <c r="G92" s="2200">
        <f>G94*G14</f>
        <v>734.03000000000009</v>
      </c>
      <c r="H92" s="2200">
        <f>H94*H14</f>
        <v>1032.213</v>
      </c>
      <c r="I92" s="2200">
        <f>I94*I14</f>
        <v>1391.44</v>
      </c>
      <c r="J92" s="2200">
        <f ca="1">J95*J65</f>
        <v>2197.3282429501087</v>
      </c>
      <c r="K92" s="2200">
        <f>K87-K89</f>
        <v>3083</v>
      </c>
      <c r="L92" s="2200">
        <f>L87-L89</f>
        <v>4698</v>
      </c>
      <c r="M92" s="2200">
        <f>SUM(BV92:BY92)</f>
        <v>6152</v>
      </c>
      <c r="N92" s="2200">
        <f t="shared" ref="N92:V92" si="464">N87-N89</f>
        <v>14135.822</v>
      </c>
      <c r="O92" s="2200">
        <f t="shared" si="464"/>
        <v>17389.309999999998</v>
      </c>
      <c r="P92" s="2200">
        <f t="shared" si="464"/>
        <v>6949.5236600742428</v>
      </c>
      <c r="Q92" s="2200">
        <f t="shared" si="464"/>
        <v>14308</v>
      </c>
      <c r="R92" s="2200">
        <f t="shared" si="464"/>
        <v>16815.165000000001</v>
      </c>
      <c r="S92" s="2200">
        <f t="shared" si="464"/>
        <v>16075.43</v>
      </c>
      <c r="T92" s="2200">
        <f t="shared" si="464"/>
        <v>19190.02</v>
      </c>
      <c r="U92" s="2200">
        <f t="shared" si="464"/>
        <v>23038.41</v>
      </c>
      <c r="V92" s="2200">
        <f t="shared" si="464"/>
        <v>23732.74</v>
      </c>
      <c r="W92" s="2200">
        <f t="shared" ref="W92:AB92" si="465">W87-W89</f>
        <v>26901.46</v>
      </c>
      <c r="X92" s="2200">
        <f t="shared" si="465"/>
        <v>26717.47</v>
      </c>
      <c r="Y92" s="2200">
        <f t="shared" si="465"/>
        <v>26007.3</v>
      </c>
      <c r="Z92" s="2200">
        <f t="shared" ca="1" si="465"/>
        <v>27610.336086179937</v>
      </c>
      <c r="AA92" s="2200">
        <f t="shared" ca="1" si="465"/>
        <v>27780.736521432747</v>
      </c>
      <c r="AB92" s="2200">
        <f t="shared" ca="1" si="465"/>
        <v>28594.193879371</v>
      </c>
      <c r="AC92" s="2200">
        <f t="shared" ref="AC92:AG92" ca="1" si="466">AC87-AC89</f>
        <v>29476.86060446806</v>
      </c>
      <c r="AD92" s="2200">
        <f t="shared" ca="1" si="466"/>
        <v>30420.857676576667</v>
      </c>
      <c r="AE92" s="2200">
        <f t="shared" ca="1" si="466"/>
        <v>31428.550318534173</v>
      </c>
      <c r="AF92" s="2200">
        <f t="shared" ca="1" si="466"/>
        <v>32506.892299283139</v>
      </c>
      <c r="AG92" s="2200">
        <f t="shared" ca="1" si="466"/>
        <v>33640.676238731918</v>
      </c>
      <c r="AH92" s="2201"/>
      <c r="AI92" s="1927"/>
      <c r="AJ92" s="1561"/>
      <c r="AK92" s="1903"/>
      <c r="AL92" s="1903"/>
      <c r="AM92" s="2200"/>
      <c r="AN92" s="1903"/>
      <c r="AO92" s="2200"/>
      <c r="AP92" s="1942"/>
      <c r="AQ92" s="1903"/>
      <c r="AR92" s="1903"/>
      <c r="AS92" s="1903"/>
      <c r="AT92" s="1942"/>
      <c r="AU92" s="1903"/>
      <c r="AV92" s="1903"/>
      <c r="AW92" s="1903"/>
      <c r="AX92" s="2202">
        <f>AX95*AX65</f>
        <v>147.34178832116791</v>
      </c>
      <c r="AY92" s="2200">
        <f>AY95*AY65</f>
        <v>194.49116058394165</v>
      </c>
      <c r="AZ92" s="2200">
        <f>AZ95*AZ65</f>
        <v>231.46055474452561</v>
      </c>
      <c r="BA92" s="2200">
        <f>G92-SUM(AX92:AZ92)</f>
        <v>160.73649635036497</v>
      </c>
      <c r="BB92" s="2202">
        <f>BB95*BB65</f>
        <v>209.4</v>
      </c>
      <c r="BC92" s="2200">
        <f>BC95*BC65</f>
        <v>198.9</v>
      </c>
      <c r="BD92" s="2200">
        <f>BD95*BD65</f>
        <v>401.79999999999995</v>
      </c>
      <c r="BE92" s="2200">
        <f>H92-SUM(BB92:BD92)</f>
        <v>222.11300000000006</v>
      </c>
      <c r="BF92" s="2202">
        <f ca="1">BF95*BF65</f>
        <v>259.7</v>
      </c>
      <c r="BG92" s="2200">
        <f ca="1">BG95*BG65</f>
        <v>359.87</v>
      </c>
      <c r="BH92" s="2200">
        <f ca="1">BH95*BH65</f>
        <v>364.64000000000004</v>
      </c>
      <c r="BI92" s="2200">
        <f ca="1">I92-SUM(BF92:BH92)</f>
        <v>407.23</v>
      </c>
      <c r="BJ92" s="2202">
        <f ca="1">BJ95*BJ65</f>
        <v>410.22</v>
      </c>
      <c r="BK92" s="2200">
        <f ca="1">BK95*BK65</f>
        <v>480.71000000000004</v>
      </c>
      <c r="BL92" s="2200">
        <f ca="1">BL95*BL65</f>
        <v>514.1</v>
      </c>
      <c r="BM92" s="2200">
        <f ca="1">J92-SUM(BJ92:BL92)</f>
        <v>792.29824295010849</v>
      </c>
      <c r="BN92" s="2202">
        <f>BN87-BN89</f>
        <v>629</v>
      </c>
      <c r="BO92" s="2200">
        <f>BO87-BO89</f>
        <v>727</v>
      </c>
      <c r="BP92" s="2200">
        <f>BP87-BP89</f>
        <v>865</v>
      </c>
      <c r="BQ92" s="2200">
        <f>BQ87-BQ89</f>
        <v>862</v>
      </c>
      <c r="BR92" s="2202">
        <v>909</v>
      </c>
      <c r="BS92" s="2200">
        <f>2207-BR92</f>
        <v>1298</v>
      </c>
      <c r="BT92" s="2200">
        <f>3578-BS92-BR92</f>
        <v>1371</v>
      </c>
      <c r="BU92" s="2200">
        <f>4698-BT92-BS92-BR92</f>
        <v>1120</v>
      </c>
      <c r="BV92" s="2202">
        <v>1236</v>
      </c>
      <c r="BW92" s="2200">
        <f>2702-BV92</f>
        <v>1466</v>
      </c>
      <c r="BX92" s="2200">
        <f t="shared" ref="BX92:CC92" si="467">BX87-BX89</f>
        <v>1533</v>
      </c>
      <c r="BY92" s="2200">
        <f t="shared" si="467"/>
        <v>1917</v>
      </c>
      <c r="BZ92" s="2202">
        <f t="shared" si="467"/>
        <v>1784</v>
      </c>
      <c r="CA92" s="2200">
        <f t="shared" si="467"/>
        <v>2041</v>
      </c>
      <c r="CB92" s="2200">
        <f t="shared" si="467"/>
        <v>2276</v>
      </c>
      <c r="CC92" s="2200">
        <f t="shared" si="467"/>
        <v>2205</v>
      </c>
      <c r="CD92" s="2202">
        <f t="shared" ref="CD92:CI92" si="468">CD87-CD89+CD84</f>
        <v>2445.0563763608088</v>
      </c>
      <c r="CE92" s="2200">
        <f t="shared" si="468"/>
        <v>2707.7831778123382</v>
      </c>
      <c r="CF92" s="2200">
        <f t="shared" si="468"/>
        <v>2750.0071280456195</v>
      </c>
      <c r="CG92" s="2200">
        <f t="shared" si="468"/>
        <v>2702.1533177812339</v>
      </c>
      <c r="CH92" s="2202">
        <f t="shared" si="468"/>
        <v>3321.9503546099286</v>
      </c>
      <c r="CI92" s="2200">
        <f t="shared" si="468"/>
        <v>3624.3145965548511</v>
      </c>
      <c r="CJ92" s="2200">
        <f t="shared" ref="CJ92:DE92" si="469">CJ87-CJ89</f>
        <v>3696.2524977293374</v>
      </c>
      <c r="CK92" s="2200">
        <f t="shared" si="469"/>
        <v>4066.3395445134579</v>
      </c>
      <c r="CL92" s="2202">
        <f t="shared" si="469"/>
        <v>3593</v>
      </c>
      <c r="CM92" s="2200">
        <f t="shared" si="469"/>
        <v>3530</v>
      </c>
      <c r="CN92" s="2200">
        <f t="shared" si="469"/>
        <v>3747</v>
      </c>
      <c r="CO92" s="2200">
        <f t="shared" si="469"/>
        <v>3724</v>
      </c>
      <c r="CP92" s="2202">
        <f t="shared" si="469"/>
        <v>4027.7249999999999</v>
      </c>
      <c r="CQ92" s="2200">
        <f t="shared" si="469"/>
        <v>4119.1899999999996</v>
      </c>
      <c r="CR92" s="2200">
        <f t="shared" si="469"/>
        <v>4549.55</v>
      </c>
      <c r="CS92" s="2200">
        <f t="shared" si="469"/>
        <v>4413.7</v>
      </c>
      <c r="CT92" s="2202">
        <f t="shared" si="469"/>
        <v>3833.375</v>
      </c>
      <c r="CU92" s="2200">
        <f t="shared" si="469"/>
        <v>4143.6850000000004</v>
      </c>
      <c r="CV92" s="2200">
        <f t="shared" si="469"/>
        <v>4559.5550000000003</v>
      </c>
      <c r="CW92" s="2200">
        <f t="shared" si="469"/>
        <v>3818.8150000000001</v>
      </c>
      <c r="CX92" s="2202">
        <f t="shared" si="469"/>
        <v>4668.7550000000001</v>
      </c>
      <c r="CY92" s="2200">
        <f t="shared" si="469"/>
        <v>5120.1149999999998</v>
      </c>
      <c r="CZ92" s="2200">
        <f t="shared" si="469"/>
        <v>5424.0550000000003</v>
      </c>
      <c r="DA92" s="2200">
        <f t="shared" si="469"/>
        <v>4281.0950000000003</v>
      </c>
      <c r="DB92" s="2202">
        <f t="shared" si="469"/>
        <v>5761.665</v>
      </c>
      <c r="DC92" s="2200">
        <f t="shared" si="469"/>
        <v>5803.5249999999996</v>
      </c>
      <c r="DD92" s="2200">
        <f t="shared" si="469"/>
        <v>6187.5450000000001</v>
      </c>
      <c r="DE92" s="2200">
        <f t="shared" si="469"/>
        <v>5589.6750000000002</v>
      </c>
      <c r="DF92" s="2202">
        <f>DF87-DF89</f>
        <v>6580.665</v>
      </c>
      <c r="DG92" s="2200">
        <f>DG87-DG89</f>
        <v>6277.6350000000002</v>
      </c>
      <c r="DH92" s="2200">
        <f>DH87-DH89</f>
        <v>6250.335</v>
      </c>
      <c r="DI92" s="2203">
        <f>DI87-DI89</f>
        <v>4928.1049999999996</v>
      </c>
      <c r="DJ92" s="2202">
        <f t="shared" ref="DJ92:DM92" si="470">DJ87-DJ89</f>
        <v>7028.3850000000002</v>
      </c>
      <c r="DK92" s="2200">
        <f t="shared" si="470"/>
        <v>6924.6450000000004</v>
      </c>
      <c r="DL92" s="2200">
        <f t="shared" si="470"/>
        <v>6899.165</v>
      </c>
      <c r="DM92" s="2203">
        <f t="shared" si="470"/>
        <v>6108.375</v>
      </c>
      <c r="DN92" s="2200">
        <f t="shared" ref="DN92:DO92" si="471">DN87-DN89</f>
        <v>7092.085</v>
      </c>
      <c r="DO92" s="2200">
        <f t="shared" si="471"/>
        <v>7216.7550000000001</v>
      </c>
      <c r="DP92" s="2200">
        <f t="shared" ref="DP92:DQ92" si="472">DP87-DP89</f>
        <v>6880.0550000000003</v>
      </c>
      <c r="DQ92" s="2203">
        <f t="shared" si="472"/>
        <v>5662.4750000000004</v>
      </c>
      <c r="DR92" s="2202">
        <f t="shared" ref="DR92" si="473">DR87-DR89</f>
        <v>6360.4449999999997</v>
      </c>
      <c r="DS92" s="2200">
        <f t="shared" ref="DS92:DT92" si="474">DS87-DS89</f>
        <v>6664.3850000000002</v>
      </c>
      <c r="DT92" s="2200">
        <f t="shared" si="474"/>
        <v>6840.0150000000003</v>
      </c>
      <c r="DU92" s="2203">
        <f t="shared" ref="DU92" si="475">DU87-DU89</f>
        <v>6398.665</v>
      </c>
      <c r="DV92" s="2200">
        <f t="shared" ref="DV92" si="476">DV87-DV89</f>
        <v>7245.875</v>
      </c>
      <c r="DW92" s="2200">
        <f t="shared" ref="DW92:DY92" ca="1" si="477">DW87-DW89</f>
        <v>7105.0931653339157</v>
      </c>
      <c r="DX92" s="2200">
        <f t="shared" ca="1" si="477"/>
        <v>7260.5063912724636</v>
      </c>
      <c r="DY92" s="2203">
        <f t="shared" ca="1" si="477"/>
        <v>6217.0225818173612</v>
      </c>
    </row>
    <row r="93" spans="1:129" s="1491" customFormat="1" ht="15" hidden="1" customHeight="1">
      <c r="A93" s="2206" t="s">
        <v>991</v>
      </c>
      <c r="B93" s="2207"/>
      <c r="C93" s="2207"/>
      <c r="D93" s="2207"/>
      <c r="E93" s="2207"/>
      <c r="F93" s="2207"/>
      <c r="G93" s="2207"/>
      <c r="H93" s="2207"/>
      <c r="I93" s="2207">
        <f t="shared" ref="I93:AB93" si="478">I92/H92-1</f>
        <v>0.34801634933875092</v>
      </c>
      <c r="J93" s="2207">
        <f t="shared" ca="1" si="478"/>
        <v>0.57917570498915416</v>
      </c>
      <c r="K93" s="2207">
        <f t="shared" ca="1" si="478"/>
        <v>0.40306757076075184</v>
      </c>
      <c r="L93" s="2207">
        <f t="shared" si="478"/>
        <v>0.52384041518001956</v>
      </c>
      <c r="M93" s="2207">
        <f t="shared" si="478"/>
        <v>0.30949340144742443</v>
      </c>
      <c r="N93" s="2207">
        <f t="shared" si="478"/>
        <v>1.2977604031209364</v>
      </c>
      <c r="O93" s="2207">
        <f t="shared" si="478"/>
        <v>0.23015909509896182</v>
      </c>
      <c r="P93" s="2207">
        <f t="shared" si="478"/>
        <v>-0.60035656043429886</v>
      </c>
      <c r="Q93" s="2207">
        <f t="shared" si="478"/>
        <v>1.0588461454129572</v>
      </c>
      <c r="R93" s="2207">
        <f t="shared" si="478"/>
        <v>0.17522819401733303</v>
      </c>
      <c r="S93" s="2207">
        <f t="shared" si="478"/>
        <v>-4.3992134480987932E-2</v>
      </c>
      <c r="T93" s="2207">
        <f t="shared" si="478"/>
        <v>0.193748472047093</v>
      </c>
      <c r="U93" s="2207">
        <f t="shared" si="478"/>
        <v>0.20054121882103293</v>
      </c>
      <c r="V93" s="2207">
        <f t="shared" si="478"/>
        <v>3.0137930525587553E-2</v>
      </c>
      <c r="W93" s="2207">
        <f t="shared" si="478"/>
        <v>0.13351682106659402</v>
      </c>
      <c r="X93" s="2207">
        <f t="shared" si="478"/>
        <v>-6.8394057422904719E-3</v>
      </c>
      <c r="Y93" s="2207">
        <f t="shared" si="478"/>
        <v>-2.6580735376515841E-2</v>
      </c>
      <c r="Z93" s="2207">
        <f t="shared" ca="1" si="478"/>
        <v>6.1637928050198854E-2</v>
      </c>
      <c r="AA93" s="2207">
        <f t="shared" ca="1" si="478"/>
        <v>6.1716175681796326E-3</v>
      </c>
      <c r="AB93" s="2207">
        <f t="shared" ca="1" si="478"/>
        <v>2.9281345989897511E-2</v>
      </c>
      <c r="AC93" s="2207">
        <f t="shared" ref="AC93" ca="1" si="479">AC92/AB92-1</f>
        <v>3.0868739605695028E-2</v>
      </c>
      <c r="AD93" s="2207">
        <f t="shared" ref="AD93" ca="1" si="480">AD92/AC92-1</f>
        <v>3.2025020736621945E-2</v>
      </c>
      <c r="AE93" s="2207">
        <f t="shared" ref="AE93" ca="1" si="481">AE92/AD92-1</f>
        <v>3.3125056915584761E-2</v>
      </c>
      <c r="AF93" s="2207">
        <f t="shared" ref="AF93" ca="1" si="482">AF92/AE92-1</f>
        <v>3.4310904251700247E-2</v>
      </c>
      <c r="AG93" s="2207">
        <f t="shared" ref="AG93" ca="1" si="483">AG92/AF92-1</f>
        <v>3.4878263016049127E-2</v>
      </c>
      <c r="AH93" s="2201"/>
      <c r="AI93" s="1927"/>
      <c r="AJ93" s="1561"/>
      <c r="AK93" s="2207"/>
      <c r="AL93" s="2207"/>
      <c r="AM93" s="2207"/>
      <c r="AN93" s="2207"/>
      <c r="AO93" s="2207"/>
      <c r="AP93" s="2208"/>
      <c r="AQ93" s="2207"/>
      <c r="AR93" s="2207"/>
      <c r="AS93" s="2207"/>
      <c r="AT93" s="2208"/>
      <c r="AU93" s="2207"/>
      <c r="AV93" s="2207"/>
      <c r="AW93" s="2207"/>
      <c r="AX93" s="2208"/>
      <c r="AY93" s="2207"/>
      <c r="AZ93" s="2207"/>
      <c r="BA93" s="2207"/>
      <c r="BB93" s="2208"/>
      <c r="BC93" s="2207"/>
      <c r="BD93" s="2207"/>
      <c r="BE93" s="2207"/>
      <c r="BF93" s="2208"/>
      <c r="BG93" s="2207"/>
      <c r="BH93" s="2207"/>
      <c r="BI93" s="2207"/>
      <c r="BJ93" s="2208"/>
      <c r="BK93" s="2207"/>
      <c r="BL93" s="2207"/>
      <c r="BM93" s="2207"/>
      <c r="BN93" s="2208"/>
      <c r="BO93" s="2207"/>
      <c r="BP93" s="2207"/>
      <c r="BQ93" s="2207"/>
      <c r="BR93" s="2208"/>
      <c r="BS93" s="2207"/>
      <c r="BT93" s="2207"/>
      <c r="BU93" s="2207"/>
      <c r="BV93" s="2208"/>
      <c r="BW93" s="2207"/>
      <c r="BX93" s="2207"/>
      <c r="BY93" s="2207"/>
      <c r="BZ93" s="2208"/>
      <c r="CA93" s="2207"/>
      <c r="CB93" s="2207"/>
      <c r="CC93" s="2207"/>
      <c r="CD93" s="2208"/>
      <c r="CE93" s="2207"/>
      <c r="CF93" s="2207"/>
      <c r="CG93" s="2207"/>
      <c r="CH93" s="2208"/>
      <c r="CI93" s="2207"/>
      <c r="CJ93" s="2207"/>
      <c r="CK93" s="2207"/>
      <c r="CL93" s="2208"/>
      <c r="CM93" s="2207"/>
      <c r="CN93" s="2207"/>
      <c r="CO93" s="2207"/>
      <c r="CP93" s="2208"/>
      <c r="CQ93" s="2207"/>
      <c r="CR93" s="2207"/>
      <c r="CS93" s="2207"/>
      <c r="CT93" s="2208"/>
      <c r="CU93" s="2207"/>
      <c r="CV93" s="2207"/>
      <c r="CW93" s="2207"/>
      <c r="CX93" s="2208"/>
      <c r="CY93" s="2207"/>
      <c r="CZ93" s="2207"/>
      <c r="DA93" s="2207"/>
      <c r="DB93" s="2208"/>
      <c r="DC93" s="2207"/>
      <c r="DD93" s="2207"/>
      <c r="DE93" s="2207"/>
      <c r="DF93" s="2208"/>
      <c r="DG93" s="2207"/>
      <c r="DH93" s="2207"/>
      <c r="DI93" s="2209"/>
      <c r="DJ93" s="2208"/>
      <c r="DK93" s="2207"/>
      <c r="DL93" s="2207"/>
      <c r="DM93" s="2209"/>
      <c r="DN93" s="2207"/>
      <c r="DO93" s="2207"/>
      <c r="DP93" s="2207"/>
      <c r="DQ93" s="2209"/>
      <c r="DR93" s="2208"/>
      <c r="DS93" s="2207"/>
      <c r="DT93" s="2207"/>
      <c r="DU93" s="2209"/>
      <c r="DV93" s="2207"/>
      <c r="DW93" s="2207"/>
      <c r="DX93" s="2207"/>
      <c r="DY93" s="2209"/>
    </row>
    <row r="94" spans="1:129" s="1491" customFormat="1" ht="15" hidden="1" customHeight="1">
      <c r="A94" s="2206" t="s">
        <v>1470</v>
      </c>
      <c r="B94" s="2207"/>
      <c r="C94" s="2207"/>
      <c r="D94" s="2207"/>
      <c r="E94" s="2207"/>
      <c r="F94" s="2207"/>
      <c r="G94" s="2222">
        <f>H94-0.0115</f>
        <v>5.5000000000000007E-2</v>
      </c>
      <c r="H94" s="2222">
        <f>I94-0.0135</f>
        <v>6.6500000000000004E-2</v>
      </c>
      <c r="I94" s="2222">
        <v>0.08</v>
      </c>
      <c r="J94" s="2207">
        <f t="shared" ref="J94:P94" ca="1" si="484">J92/J14</f>
        <v>0.11283973927746668</v>
      </c>
      <c r="K94" s="2207">
        <f t="shared" si="484"/>
        <v>0.13708924363021921</v>
      </c>
      <c r="L94" s="2207">
        <f t="shared" si="484"/>
        <v>0.1698358759308799</v>
      </c>
      <c r="M94" s="2207">
        <f t="shared" si="484"/>
        <v>0.19045849973685025</v>
      </c>
      <c r="N94" s="2207">
        <f t="shared" si="484"/>
        <v>0.32219997154502622</v>
      </c>
      <c r="O94" s="2207">
        <f t="shared" si="484"/>
        <v>0.34321248182470754</v>
      </c>
      <c r="P94" s="2207">
        <f t="shared" si="484"/>
        <v>0.14087253020502397</v>
      </c>
      <c r="Q94" s="2207">
        <f t="shared" ref="Q94:AA94" si="485">Q92/Q31</f>
        <v>0.23718193120596767</v>
      </c>
      <c r="R94" s="2207">
        <f t="shared" si="485"/>
        <v>0.26519414260255181</v>
      </c>
      <c r="S94" s="2207">
        <f t="shared" si="485"/>
        <v>0.22914488126122531</v>
      </c>
      <c r="T94" s="2207">
        <f t="shared" si="485"/>
        <v>0.25293957926925714</v>
      </c>
      <c r="U94" s="2207">
        <f t="shared" si="485"/>
        <v>0.28434407513915799</v>
      </c>
      <c r="V94" s="2207">
        <f t="shared" si="485"/>
        <v>0.27077949934965662</v>
      </c>
      <c r="W94" s="2207">
        <f t="shared" si="485"/>
        <v>0.29342779232111693</v>
      </c>
      <c r="X94" s="2207">
        <f t="shared" si="485"/>
        <v>0.29957022402619249</v>
      </c>
      <c r="Y94" s="2207">
        <f t="shared" ref="Y94:Z94" si="486">Y92/Y31</f>
        <v>0.29718892482087966</v>
      </c>
      <c r="Z94" s="2207">
        <f t="shared" ca="1" si="486"/>
        <v>0.31022664599640559</v>
      </c>
      <c r="AA94" s="2207">
        <f t="shared" ca="1" si="485"/>
        <v>0.31101786313464985</v>
      </c>
      <c r="AB94" s="2207">
        <f t="shared" ref="AB94:AG94" ca="1" si="487">AB92/AB31</f>
        <v>0.31714975256098482</v>
      </c>
      <c r="AC94" s="2207">
        <f t="shared" ca="1" si="487"/>
        <v>0.3237717409951103</v>
      </c>
      <c r="AD94" s="2207">
        <f t="shared" ca="1" si="487"/>
        <v>0.33078706807458985</v>
      </c>
      <c r="AE94" s="2207">
        <f t="shared" ca="1" si="487"/>
        <v>0.33816198976578549</v>
      </c>
      <c r="AF94" s="2207">
        <f t="shared" ca="1" si="487"/>
        <v>0.34588767577286322</v>
      </c>
      <c r="AG94" s="2207">
        <f t="shared" ca="1" si="487"/>
        <v>0.35370843913381006</v>
      </c>
      <c r="AH94" s="2201"/>
      <c r="AI94" s="1927"/>
      <c r="AJ94" s="1561"/>
      <c r="AK94" s="2207"/>
      <c r="AL94" s="2207"/>
      <c r="AM94" s="2207"/>
      <c r="AN94" s="2207"/>
      <c r="AO94" s="2207"/>
      <c r="AP94" s="2208"/>
      <c r="AQ94" s="2207"/>
      <c r="AR94" s="2207"/>
      <c r="AS94" s="2207"/>
      <c r="AT94" s="2208"/>
      <c r="AU94" s="2207"/>
      <c r="AV94" s="2207"/>
      <c r="AW94" s="2207"/>
      <c r="AX94" s="2208">
        <f t="shared" ref="AX94:CK94" si="488">AX92/AX14</f>
        <v>4.7822716105539731E-2</v>
      </c>
      <c r="AY94" s="2207">
        <f t="shared" si="488"/>
        <v>5.851117947772011E-2</v>
      </c>
      <c r="AZ94" s="2207">
        <f t="shared" si="488"/>
        <v>6.7285044983873721E-2</v>
      </c>
      <c r="BA94" s="2207">
        <f t="shared" si="488"/>
        <v>4.5911595644205931E-2</v>
      </c>
      <c r="BB94" s="2208">
        <f t="shared" si="488"/>
        <v>6.0695652173913046E-2</v>
      </c>
      <c r="BC94" s="2207">
        <f t="shared" si="488"/>
        <v>5.0328947368421056E-2</v>
      </c>
      <c r="BD94" s="2207">
        <f t="shared" si="488"/>
        <v>9.9554013875123873E-2</v>
      </c>
      <c r="BE94" s="2207">
        <f t="shared" si="488"/>
        <v>5.438614103819786E-2</v>
      </c>
      <c r="BF94" s="2208">
        <f t="shared" ca="1" si="488"/>
        <v>6.4186851211072662E-2</v>
      </c>
      <c r="BG94" s="2207">
        <f t="shared" ca="1" si="488"/>
        <v>8.2105863563769116E-2</v>
      </c>
      <c r="BH94" s="2207">
        <f t="shared" ca="1" si="488"/>
        <v>8.0654722406547238E-2</v>
      </c>
      <c r="BI94" s="2207">
        <f t="shared" ca="1" si="488"/>
        <v>9.1656538374971869E-2</v>
      </c>
      <c r="BJ94" s="2208">
        <f t="shared" ca="1" si="488"/>
        <v>9.2600451467268627E-2</v>
      </c>
      <c r="BK94" s="2207">
        <f t="shared" ca="1" si="488"/>
        <v>0.10033604675433104</v>
      </c>
      <c r="BL94" s="2207">
        <f t="shared" ca="1" si="488"/>
        <v>0.1022270829190694</v>
      </c>
      <c r="BM94" s="2207">
        <f t="shared" ca="1" si="488"/>
        <v>0.15169409208311477</v>
      </c>
      <c r="BN94" s="2208">
        <f t="shared" si="488"/>
        <v>0.12367282736924892</v>
      </c>
      <c r="BO94" s="2207">
        <f t="shared" si="488"/>
        <v>0.13273689976264377</v>
      </c>
      <c r="BP94" s="2207">
        <f t="shared" si="488"/>
        <v>0.14557388084819925</v>
      </c>
      <c r="BQ94" s="2207">
        <f t="shared" si="488"/>
        <v>0.14405080213903743</v>
      </c>
      <c r="BR94" s="2208">
        <f t="shared" si="488"/>
        <v>0.14751703992210322</v>
      </c>
      <c r="BS94" s="2207">
        <f t="shared" si="488"/>
        <v>0.18957207536147216</v>
      </c>
      <c r="BT94" s="2207">
        <f t="shared" si="488"/>
        <v>0.18752564628641771</v>
      </c>
      <c r="BU94" s="2207">
        <f t="shared" si="488"/>
        <v>0.15254698992100246</v>
      </c>
      <c r="BV94" s="2208">
        <f t="shared" si="488"/>
        <v>0.16662173092477756</v>
      </c>
      <c r="BW94" s="2207">
        <f t="shared" si="488"/>
        <v>0.18684680091766506</v>
      </c>
      <c r="BX94" s="2207">
        <f t="shared" si="488"/>
        <v>0.18357082984073764</v>
      </c>
      <c r="BY94" s="2207">
        <f t="shared" si="488"/>
        <v>0.22069997697444163</v>
      </c>
      <c r="BZ94" s="2208">
        <f t="shared" si="488"/>
        <v>0.20242823102235336</v>
      </c>
      <c r="CA94" s="2207">
        <f t="shared" si="488"/>
        <v>0.22036277261930468</v>
      </c>
      <c r="CB94" s="2207">
        <f t="shared" si="488"/>
        <v>0.23062113689330227</v>
      </c>
      <c r="CC94" s="2207">
        <f t="shared" si="488"/>
        <v>0.21833844935142094</v>
      </c>
      <c r="CD94" s="2208">
        <f t="shared" si="488"/>
        <v>0.23722289476674191</v>
      </c>
      <c r="CE94" s="2207">
        <f t="shared" si="488"/>
        <v>0.24972638364035213</v>
      </c>
      <c r="CF94" s="2207">
        <f t="shared" si="488"/>
        <v>0.24360059598242709</v>
      </c>
      <c r="CG94" s="2207">
        <f t="shared" si="488"/>
        <v>0.23614028819201555</v>
      </c>
      <c r="CH94" s="2208">
        <f t="shared" si="488"/>
        <v>0.28468166549061003</v>
      </c>
      <c r="CI94" s="2207">
        <f t="shared" si="488"/>
        <v>0.2990852117969014</v>
      </c>
      <c r="CJ94" s="2207">
        <f t="shared" si="488"/>
        <v>0.29106642237415054</v>
      </c>
      <c r="CK94" s="2207">
        <f t="shared" si="488"/>
        <v>0.31654519262910308</v>
      </c>
      <c r="CL94" s="2208">
        <f t="shared" ref="CL94:DN94" si="489">CL92/CL31</f>
        <v>0.24458815520762422</v>
      </c>
      <c r="CM94" s="2207">
        <f t="shared" si="489"/>
        <v>0.23487923348193493</v>
      </c>
      <c r="CN94" s="2207">
        <f t="shared" si="489"/>
        <v>0.24440675755006197</v>
      </c>
      <c r="CO94" s="2207">
        <f t="shared" si="489"/>
        <v>0.24379705400981996</v>
      </c>
      <c r="CP94" s="2208">
        <f t="shared" si="489"/>
        <v>0.26304369122257054</v>
      </c>
      <c r="CQ94" s="2207">
        <f t="shared" si="489"/>
        <v>0.26241893355418228</v>
      </c>
      <c r="CR94" s="2207">
        <f t="shared" si="489"/>
        <v>0.27997230769230769</v>
      </c>
      <c r="CS94" s="2207">
        <f t="shared" si="489"/>
        <v>0.27332796631161754</v>
      </c>
      <c r="CT94" s="2208">
        <f t="shared" si="489"/>
        <v>0.22708222261714353</v>
      </c>
      <c r="CU94" s="2207">
        <f t="shared" si="489"/>
        <v>0.2396163187416874</v>
      </c>
      <c r="CV94" s="2207">
        <f t="shared" si="489"/>
        <v>0.25722413404039268</v>
      </c>
      <c r="CW94" s="2207">
        <f t="shared" si="489"/>
        <v>0.20920428399254959</v>
      </c>
      <c r="CX94" s="2208">
        <f t="shared" si="489"/>
        <v>0.25550019153942977</v>
      </c>
      <c r="CY94" s="2207">
        <f t="shared" si="489"/>
        <v>0.27561581525542334</v>
      </c>
      <c r="CZ94" s="2207">
        <f t="shared" si="489"/>
        <v>0.28511643187552566</v>
      </c>
      <c r="DA94" s="2207">
        <f t="shared" si="489"/>
        <v>0.21411898569570872</v>
      </c>
      <c r="DB94" s="2208">
        <f t="shared" si="489"/>
        <v>0.29512190749372536</v>
      </c>
      <c r="DC94" s="2207">
        <f t="shared" si="489"/>
        <v>0.29052487985582698</v>
      </c>
      <c r="DD94" s="2207">
        <f t="shared" si="489"/>
        <v>0.30332589832834944</v>
      </c>
      <c r="DE94" s="2207">
        <f t="shared" si="489"/>
        <v>0.2646</v>
      </c>
      <c r="DF94" s="2208">
        <f t="shared" si="489"/>
        <v>0.31518104315340773</v>
      </c>
      <c r="DG94" s="2207">
        <f t="shared" si="489"/>
        <v>0.29221407624633433</v>
      </c>
      <c r="DH94" s="2207">
        <f t="shared" si="489"/>
        <v>0.28625303411953285</v>
      </c>
      <c r="DI94" s="2209">
        <f t="shared" si="489"/>
        <v>0.21016269350505351</v>
      </c>
      <c r="DJ94" s="2208">
        <f t="shared" si="489"/>
        <v>0.31477897706915087</v>
      </c>
      <c r="DK94" s="2207">
        <f t="shared" si="489"/>
        <v>0.30622407464732676</v>
      </c>
      <c r="DL94" s="2207">
        <f t="shared" si="489"/>
        <v>0.29989850032601606</v>
      </c>
      <c r="DM94" s="2209">
        <f t="shared" si="489"/>
        <v>0.2573681216819752</v>
      </c>
      <c r="DN94" s="2207">
        <f t="shared" si="489"/>
        <v>0.32230889838211235</v>
      </c>
      <c r="DO94" s="2207">
        <f t="shared" ref="DO94:DP94" si="490">DO92/DO31</f>
        <v>0.33250806302985625</v>
      </c>
      <c r="DP94" s="2207">
        <f t="shared" si="490"/>
        <v>0.31130061988145336</v>
      </c>
      <c r="DQ94" s="2209">
        <f t="shared" ref="DQ94" si="491">DQ92/DQ31</f>
        <v>0.2422241947213073</v>
      </c>
      <c r="DR94" s="2208">
        <f t="shared" ref="DR94" si="492">DR92/DR31</f>
        <v>0.30464819427148193</v>
      </c>
      <c r="DS94" s="2207">
        <f t="shared" ref="DS94:DT94" si="493">DS92/DS31</f>
        <v>0.31314655577483319</v>
      </c>
      <c r="DT94" s="2207">
        <f t="shared" si="493"/>
        <v>0.31696084337349401</v>
      </c>
      <c r="DU94" s="2209">
        <f t="shared" ref="DU94" si="494">DU92/DU31</f>
        <v>0.26917946237011486</v>
      </c>
      <c r="DV94" s="2207">
        <f t="shared" ref="DV94" si="495">DV92/DV31</f>
        <v>0.33086187214611873</v>
      </c>
      <c r="DW94" s="2207">
        <f t="shared" ref="DW94:DY94" ca="1" si="496">DW92/DW31</f>
        <v>0.32746866050686185</v>
      </c>
      <c r="DX94" s="2207">
        <f t="shared" ca="1" si="496"/>
        <v>0.33006831206701309</v>
      </c>
      <c r="DY94" s="2209">
        <f t="shared" ca="1" si="496"/>
        <v>0.26561057801035337</v>
      </c>
    </row>
    <row r="95" spans="1:129" s="1491" customFormat="1" ht="15" hidden="1" customHeight="1">
      <c r="A95" s="2206" t="s">
        <v>1471</v>
      </c>
      <c r="B95" s="2207"/>
      <c r="C95" s="2207"/>
      <c r="D95" s="2207"/>
      <c r="E95" s="2207"/>
      <c r="F95" s="2207"/>
      <c r="G95" s="2207">
        <f>G92/G65</f>
        <v>0.53578832116788333</v>
      </c>
      <c r="H95" s="2207">
        <f>H92/H65</f>
        <v>0.58317118644067789</v>
      </c>
      <c r="I95" s="2207">
        <f>I92/I65</f>
        <v>0.60366160520607381</v>
      </c>
      <c r="J95" s="2207">
        <f ca="1">J92/J65</f>
        <v>0.60366160520607381</v>
      </c>
      <c r="K95" s="2207">
        <f t="shared" ref="K95:V95" si="497">K92/K69</f>
        <v>0.3867285499247366</v>
      </c>
      <c r="L95" s="2207">
        <f t="shared" si="497"/>
        <v>0.4550561797752809</v>
      </c>
      <c r="M95" s="2207">
        <f t="shared" si="497"/>
        <v>0.50675453047775942</v>
      </c>
      <c r="N95" s="2207">
        <f t="shared" si="497"/>
        <v>0.69488009087431424</v>
      </c>
      <c r="O95" s="2207">
        <f t="shared" si="497"/>
        <v>0.73269636641496694</v>
      </c>
      <c r="P95" s="2207">
        <f t="shared" si="497"/>
        <v>0.48040395825205606</v>
      </c>
      <c r="Q95" s="2207">
        <f t="shared" si="497"/>
        <v>0.60452932229170186</v>
      </c>
      <c r="R95" s="2207">
        <f t="shared" si="497"/>
        <v>0.64475325920245408</v>
      </c>
      <c r="S95" s="2207">
        <f t="shared" si="497"/>
        <v>0.60687190909434108</v>
      </c>
      <c r="T95" s="2207">
        <f t="shared" si="497"/>
        <v>0.64552004843918198</v>
      </c>
      <c r="U95" s="2207">
        <f t="shared" si="497"/>
        <v>0.67365741688353464</v>
      </c>
      <c r="V95" s="2207">
        <f t="shared" si="497"/>
        <v>0.67386183594082749</v>
      </c>
      <c r="W95" s="2207">
        <f t="shared" ref="W95:AB95" si="498">W92/W69</f>
        <v>0.69061330321156267</v>
      </c>
      <c r="X95" s="2207">
        <f t="shared" si="498"/>
        <v>0.68443155036376679</v>
      </c>
      <c r="Y95" s="2207">
        <f t="shared" si="498"/>
        <v>0.67372934044868138</v>
      </c>
      <c r="Z95" s="2207">
        <f t="shared" ca="1" si="498"/>
        <v>0.67597376056936542</v>
      </c>
      <c r="AA95" s="2207">
        <f t="shared" ca="1" si="498"/>
        <v>0.68067051152448177</v>
      </c>
      <c r="AB95" s="2207">
        <f t="shared" ca="1" si="498"/>
        <v>0.68493617770682913</v>
      </c>
      <c r="AC95" s="2207">
        <f t="shared" ref="AC95:AG95" ca="1" si="499">AC92/AC69</f>
        <v>0.6893819326705265</v>
      </c>
      <c r="AD95" s="2207">
        <f t="shared" ca="1" si="499"/>
        <v>0.69392370925742686</v>
      </c>
      <c r="AE95" s="2207">
        <f t="shared" ca="1" si="499"/>
        <v>0.69854128063351695</v>
      </c>
      <c r="AF95" s="2207">
        <f t="shared" ca="1" si="499"/>
        <v>0.703236609970185</v>
      </c>
      <c r="AG95" s="2207">
        <f t="shared" ca="1" si="499"/>
        <v>0.70750679754651769</v>
      </c>
      <c r="AH95" s="2201"/>
      <c r="AI95" s="1927"/>
      <c r="AJ95" s="1561"/>
      <c r="AK95" s="2207"/>
      <c r="AL95" s="2207"/>
      <c r="AM95" s="2207"/>
      <c r="AN95" s="2207"/>
      <c r="AO95" s="2207"/>
      <c r="AP95" s="2208"/>
      <c r="AQ95" s="2207"/>
      <c r="AR95" s="2207"/>
      <c r="AS95" s="2207"/>
      <c r="AT95" s="2208"/>
      <c r="AU95" s="2207"/>
      <c r="AV95" s="2207"/>
      <c r="AW95" s="2207"/>
      <c r="AX95" s="2253">
        <f>G95</f>
        <v>0.53578832116788333</v>
      </c>
      <c r="AY95" s="2222">
        <f>AX95</f>
        <v>0.53578832116788333</v>
      </c>
      <c r="AZ95" s="2222">
        <f>AY95</f>
        <v>0.53578832116788333</v>
      </c>
      <c r="BA95" s="2207">
        <f>BA92/BA65</f>
        <v>0.53578832116788322</v>
      </c>
      <c r="BB95" s="2253">
        <v>0.6</v>
      </c>
      <c r="BC95" s="2222">
        <v>0.45</v>
      </c>
      <c r="BD95" s="2222">
        <v>0.7</v>
      </c>
      <c r="BE95" s="2207">
        <f t="shared" ref="BE95:BM95" si="500">BE92/BE65</f>
        <v>0.54842716049382734</v>
      </c>
      <c r="BF95" s="2208">
        <f t="shared" ca="1" si="500"/>
        <v>0.53</v>
      </c>
      <c r="BG95" s="2207">
        <f t="shared" ca="1" si="500"/>
        <v>0.53</v>
      </c>
      <c r="BH95" s="2207">
        <f t="shared" ca="1" si="500"/>
        <v>0.53</v>
      </c>
      <c r="BI95" s="2207">
        <f t="shared" ca="1" si="500"/>
        <v>0.90899553571428571</v>
      </c>
      <c r="BJ95" s="2208">
        <f t="shared" ca="1" si="500"/>
        <v>0.53</v>
      </c>
      <c r="BK95" s="2207">
        <f t="shared" ca="1" si="500"/>
        <v>0.53</v>
      </c>
      <c r="BL95" s="2207">
        <f t="shared" ca="1" si="500"/>
        <v>0.53</v>
      </c>
      <c r="BM95" s="2207">
        <f t="shared" ca="1" si="500"/>
        <v>0.8011104579879762</v>
      </c>
      <c r="BN95" s="2208">
        <f t="shared" ref="BN95:DE95" si="501">BN92/BN69</f>
        <v>0.35317237507018528</v>
      </c>
      <c r="BO95" s="2207">
        <f t="shared" si="501"/>
        <v>0.37532266391326796</v>
      </c>
      <c r="BP95" s="2207">
        <f t="shared" si="501"/>
        <v>0.40725047080979282</v>
      </c>
      <c r="BQ95" s="2207">
        <f t="shared" si="501"/>
        <v>0.40469483568075115</v>
      </c>
      <c r="BR95" s="2208">
        <f t="shared" si="501"/>
        <v>0.40274700930438634</v>
      </c>
      <c r="BS95" s="2207">
        <f t="shared" si="501"/>
        <v>0.47755702722590138</v>
      </c>
      <c r="BT95" s="2207">
        <f t="shared" si="501"/>
        <v>0.49087003222341569</v>
      </c>
      <c r="BU95" s="2207">
        <f t="shared" si="501"/>
        <v>0.43818466353677621</v>
      </c>
      <c r="BV95" s="2208">
        <f t="shared" si="501"/>
        <v>0.45947955390334572</v>
      </c>
      <c r="BW95" s="2207">
        <f t="shared" si="501"/>
        <v>0.49577274264457222</v>
      </c>
      <c r="BX95" s="2207">
        <f t="shared" si="501"/>
        <v>0.50795228628230615</v>
      </c>
      <c r="BY95" s="2207">
        <f t="shared" si="501"/>
        <v>0.55165467625899278</v>
      </c>
      <c r="BZ95" s="2208">
        <f t="shared" si="501"/>
        <v>0.52640897019769839</v>
      </c>
      <c r="CA95" s="2207">
        <f t="shared" si="501"/>
        <v>0.57267115600448937</v>
      </c>
      <c r="CB95" s="2207">
        <f t="shared" si="501"/>
        <v>0.597846073023378</v>
      </c>
      <c r="CC95" s="2207">
        <f t="shared" si="501"/>
        <v>0.58752997601918466</v>
      </c>
      <c r="CD95" s="2208">
        <f t="shared" si="501"/>
        <v>0.61356496270032845</v>
      </c>
      <c r="CE95" s="2207">
        <f t="shared" si="501"/>
        <v>0.62942426262490425</v>
      </c>
      <c r="CF95" s="2207">
        <f t="shared" si="501"/>
        <v>0.63174985712051912</v>
      </c>
      <c r="CG95" s="2207">
        <f t="shared" si="501"/>
        <v>0.62709522343495794</v>
      </c>
      <c r="CH95" s="2208">
        <f t="shared" si="501"/>
        <v>0.98750010541317734</v>
      </c>
      <c r="CI95" s="2207">
        <f t="shared" si="501"/>
        <v>1.0089962685286333</v>
      </c>
      <c r="CJ95" s="2207">
        <f t="shared" si="501"/>
        <v>1.0371078837624403</v>
      </c>
      <c r="CK95" s="2207">
        <f t="shared" si="501"/>
        <v>1.0304965900946421</v>
      </c>
      <c r="CL95" s="2208">
        <f t="shared" si="501"/>
        <v>0.72163084956818635</v>
      </c>
      <c r="CM95" s="2207">
        <f t="shared" si="501"/>
        <v>0.59079497907949796</v>
      </c>
      <c r="CN95" s="2207">
        <f t="shared" si="501"/>
        <v>0.62418790604697649</v>
      </c>
      <c r="CO95" s="2207">
        <f t="shared" si="501"/>
        <v>0.63354882613133723</v>
      </c>
      <c r="CP95" s="2208">
        <f t="shared" si="501"/>
        <v>0.65544751830756709</v>
      </c>
      <c r="CQ95" s="2207">
        <f t="shared" si="501"/>
        <v>0.63274807987711212</v>
      </c>
      <c r="CR95" s="2207">
        <f t="shared" si="501"/>
        <v>0.68005231689088197</v>
      </c>
      <c r="CS95" s="2207">
        <f t="shared" si="501"/>
        <v>0.65533778767631767</v>
      </c>
      <c r="CT95" s="2208">
        <f t="shared" si="501"/>
        <v>0.61334</v>
      </c>
      <c r="CU95" s="2207">
        <f t="shared" si="501"/>
        <v>0.62124212893553232</v>
      </c>
      <c r="CV95" s="2207">
        <f t="shared" si="501"/>
        <v>0.634240506329114</v>
      </c>
      <c r="CW95" s="2207">
        <f t="shared" si="501"/>
        <v>0.59856034482758624</v>
      </c>
      <c r="CX95" s="2208">
        <f t="shared" si="501"/>
        <v>0.65434548002803083</v>
      </c>
      <c r="CY95" s="2207">
        <f t="shared" si="501"/>
        <v>0.66288386846193681</v>
      </c>
      <c r="CZ95" s="2207">
        <f t="shared" si="501"/>
        <v>0.67096177634834242</v>
      </c>
      <c r="DA95" s="2207">
        <f t="shared" si="501"/>
        <v>0.63096462785556373</v>
      </c>
      <c r="DB95" s="2208">
        <f t="shared" si="501"/>
        <v>0.68395833333333333</v>
      </c>
      <c r="DC95" s="2207">
        <f t="shared" si="501"/>
        <v>0.68188520737868641</v>
      </c>
      <c r="DD95" s="2207">
        <f t="shared" si="501"/>
        <v>0.69165492957746477</v>
      </c>
      <c r="DE95" s="2207">
        <f t="shared" si="501"/>
        <v>0.6719974753546526</v>
      </c>
      <c r="DF95" s="2208">
        <f>DF92/DF69</f>
        <v>0.7016382343533426</v>
      </c>
      <c r="DG95" s="2207">
        <f>DG92/DG69</f>
        <v>0.69045699516058079</v>
      </c>
      <c r="DH95" s="2207">
        <f>DH92/DH69</f>
        <v>0.68730316692324611</v>
      </c>
      <c r="DI95" s="2209">
        <f>DI92/DI69</f>
        <v>0.64386007316435845</v>
      </c>
      <c r="DJ95" s="2208">
        <f t="shared" ref="DJ95:DM95" si="502">DJ92/DJ69</f>
        <v>0.70283850000000003</v>
      </c>
      <c r="DK95" s="2207">
        <f t="shared" si="502"/>
        <v>0.69797853039008173</v>
      </c>
      <c r="DL95" s="2207">
        <f t="shared" si="502"/>
        <v>0.69491992344883158</v>
      </c>
      <c r="DM95" s="2209">
        <f t="shared" si="502"/>
        <v>0.67095507469244287</v>
      </c>
      <c r="DN95" s="2207">
        <f t="shared" ref="DN95:DO95" si="503">DN92/DN69</f>
        <v>0.6971478423277303</v>
      </c>
      <c r="DO95" s="2207">
        <f t="shared" si="503"/>
        <v>0.70072385668511505</v>
      </c>
      <c r="DP95" s="2207">
        <f t="shared" ref="DP95:DQ95" si="504">DP92/DP69</f>
        <v>0.69257650493255485</v>
      </c>
      <c r="DQ95" s="2209">
        <f t="shared" si="504"/>
        <v>0.65613847045191198</v>
      </c>
      <c r="DR95" s="2208">
        <f t="shared" ref="DR95" si="505">DR92/DR69</f>
        <v>0.67563681750584237</v>
      </c>
      <c r="DS95" s="2207">
        <f t="shared" ref="DS95:DT95" si="506">DS92/DS69</f>
        <v>0.68303628164394792</v>
      </c>
      <c r="DT95" s="2207">
        <f t="shared" si="506"/>
        <v>0.68612849834486911</v>
      </c>
      <c r="DU95" s="2209">
        <f t="shared" ref="DU95" si="507">DU92/DU69</f>
        <v>0.67624867892623119</v>
      </c>
      <c r="DV95" s="2207">
        <f t="shared" ref="DV95" si="508">DV92/DV69</f>
        <v>0.69159826286150616</v>
      </c>
      <c r="DW95" s="2207">
        <f t="shared" ref="DW95:DY95" ca="1" si="509">DW92/DW69</f>
        <v>0.68629629030028871</v>
      </c>
      <c r="DX95" s="2207">
        <f t="shared" ca="1" si="509"/>
        <v>0.68745645254121024</v>
      </c>
      <c r="DY95" s="2209">
        <f t="shared" ca="1" si="509"/>
        <v>0.65760310389253596</v>
      </c>
    </row>
    <row r="96" spans="1:129" s="1491" customFormat="1" ht="15" hidden="1" customHeight="1">
      <c r="A96" s="2211" t="s">
        <v>1472</v>
      </c>
      <c r="B96" s="1903"/>
      <c r="C96" s="1903"/>
      <c r="D96" s="1903"/>
      <c r="E96" s="1903"/>
      <c r="F96" s="1903"/>
      <c r="G96" s="2200">
        <f t="shared" ref="G96:V96" si="510">0.45*G92</f>
        <v>330.31350000000003</v>
      </c>
      <c r="H96" s="2200">
        <f t="shared" si="510"/>
        <v>464.49585000000002</v>
      </c>
      <c r="I96" s="2200">
        <f t="shared" si="510"/>
        <v>626.14800000000002</v>
      </c>
      <c r="J96" s="2200">
        <f t="shared" ca="1" si="510"/>
        <v>988.79770932754889</v>
      </c>
      <c r="K96" s="2200">
        <f t="shared" si="510"/>
        <v>1387.3500000000001</v>
      </c>
      <c r="L96" s="2200">
        <f t="shared" si="510"/>
        <v>2114.1</v>
      </c>
      <c r="M96" s="2200">
        <f t="shared" si="510"/>
        <v>2768.4</v>
      </c>
      <c r="N96" s="2200">
        <f t="shared" si="510"/>
        <v>6361.1199000000006</v>
      </c>
      <c r="O96" s="2200">
        <f t="shared" si="510"/>
        <v>7825.1894999999995</v>
      </c>
      <c r="P96" s="2200">
        <f t="shared" si="510"/>
        <v>3127.2856470334095</v>
      </c>
      <c r="Q96" s="2200">
        <f t="shared" si="510"/>
        <v>6438.6</v>
      </c>
      <c r="R96" s="2200">
        <f t="shared" si="510"/>
        <v>7566.8242500000006</v>
      </c>
      <c r="S96" s="2200">
        <f t="shared" si="510"/>
        <v>7233.9435000000003</v>
      </c>
      <c r="T96" s="2200">
        <f t="shared" si="510"/>
        <v>8635.509</v>
      </c>
      <c r="U96" s="2200">
        <f t="shared" si="510"/>
        <v>10367.2845</v>
      </c>
      <c r="V96" s="2200">
        <f t="shared" si="510"/>
        <v>10679.733</v>
      </c>
      <c r="W96" s="2200">
        <f t="shared" ref="W96:AB96" si="511">0.45*W92</f>
        <v>12105.656999999999</v>
      </c>
      <c r="X96" s="2200">
        <f t="shared" si="511"/>
        <v>12022.861500000001</v>
      </c>
      <c r="Y96" s="2200">
        <f t="shared" si="511"/>
        <v>11703.285</v>
      </c>
      <c r="Z96" s="2200">
        <f t="shared" ca="1" si="511"/>
        <v>12424.651238780973</v>
      </c>
      <c r="AA96" s="2200">
        <f t="shared" ca="1" si="511"/>
        <v>12501.331434644737</v>
      </c>
      <c r="AB96" s="2200">
        <f t="shared" ca="1" si="511"/>
        <v>12867.387245716951</v>
      </c>
      <c r="AC96" s="2200">
        <f t="shared" ref="AC96:AG96" ca="1" si="512">0.45*AC92</f>
        <v>13264.587272010627</v>
      </c>
      <c r="AD96" s="2200">
        <f t="shared" ca="1" si="512"/>
        <v>13689.3859544595</v>
      </c>
      <c r="AE96" s="2200">
        <f t="shared" ca="1" si="512"/>
        <v>14142.847643340378</v>
      </c>
      <c r="AF96" s="2200">
        <f t="shared" ca="1" si="512"/>
        <v>14628.101534677413</v>
      </c>
      <c r="AG96" s="2200">
        <f t="shared" ca="1" si="512"/>
        <v>15138.304307429364</v>
      </c>
      <c r="AH96" s="2201"/>
      <c r="AI96" s="1927"/>
      <c r="AJ96" s="1561"/>
      <c r="AK96" s="1903"/>
      <c r="AL96" s="1903"/>
      <c r="AM96" s="2200"/>
      <c r="AN96" s="1903"/>
      <c r="AO96" s="2200"/>
      <c r="AP96" s="1942"/>
      <c r="AQ96" s="1903"/>
      <c r="AR96" s="1903"/>
      <c r="AS96" s="1903"/>
      <c r="AT96" s="1942"/>
      <c r="AU96" s="1903"/>
      <c r="AV96" s="1903"/>
      <c r="AW96" s="1903"/>
      <c r="AX96" s="2202">
        <f t="shared" ref="AX96:CC96" si="513">0.45*AX92</f>
        <v>66.303804744525564</v>
      </c>
      <c r="AY96" s="2200">
        <f t="shared" si="513"/>
        <v>87.521022262773741</v>
      </c>
      <c r="AZ96" s="2200">
        <f t="shared" si="513"/>
        <v>104.15724963503652</v>
      </c>
      <c r="BA96" s="2200">
        <f t="shared" si="513"/>
        <v>72.331423357664235</v>
      </c>
      <c r="BB96" s="2202">
        <f t="shared" si="513"/>
        <v>94.23</v>
      </c>
      <c r="BC96" s="2200">
        <f t="shared" si="513"/>
        <v>89.50500000000001</v>
      </c>
      <c r="BD96" s="2200">
        <f t="shared" si="513"/>
        <v>180.80999999999997</v>
      </c>
      <c r="BE96" s="2200">
        <f t="shared" si="513"/>
        <v>99.950850000000031</v>
      </c>
      <c r="BF96" s="2202">
        <f t="shared" ca="1" si="513"/>
        <v>116.86499999999999</v>
      </c>
      <c r="BG96" s="2200">
        <f t="shared" ca="1" si="513"/>
        <v>161.94150000000002</v>
      </c>
      <c r="BH96" s="2200">
        <f t="shared" ca="1" si="513"/>
        <v>164.08800000000002</v>
      </c>
      <c r="BI96" s="2200">
        <f t="shared" ca="1" si="513"/>
        <v>183.2535</v>
      </c>
      <c r="BJ96" s="2202">
        <f t="shared" ca="1" si="513"/>
        <v>184.59900000000002</v>
      </c>
      <c r="BK96" s="2200">
        <f t="shared" ca="1" si="513"/>
        <v>216.31950000000003</v>
      </c>
      <c r="BL96" s="2200">
        <f t="shared" ca="1" si="513"/>
        <v>231.34500000000003</v>
      </c>
      <c r="BM96" s="2200">
        <f t="shared" ca="1" si="513"/>
        <v>356.53420932754881</v>
      </c>
      <c r="BN96" s="2202">
        <f t="shared" si="513"/>
        <v>283.05</v>
      </c>
      <c r="BO96" s="2200">
        <f t="shared" si="513"/>
        <v>327.15000000000003</v>
      </c>
      <c r="BP96" s="2200">
        <f t="shared" si="513"/>
        <v>389.25</v>
      </c>
      <c r="BQ96" s="2200">
        <f t="shared" si="513"/>
        <v>387.90000000000003</v>
      </c>
      <c r="BR96" s="2202">
        <f t="shared" si="513"/>
        <v>409.05</v>
      </c>
      <c r="BS96" s="2200">
        <f t="shared" si="513"/>
        <v>584.1</v>
      </c>
      <c r="BT96" s="2200">
        <f t="shared" si="513"/>
        <v>616.95000000000005</v>
      </c>
      <c r="BU96" s="2200">
        <f t="shared" si="513"/>
        <v>504</v>
      </c>
      <c r="BV96" s="2202">
        <f t="shared" si="513"/>
        <v>556.20000000000005</v>
      </c>
      <c r="BW96" s="2200">
        <f t="shared" si="513"/>
        <v>659.7</v>
      </c>
      <c r="BX96" s="2200">
        <f t="shared" si="513"/>
        <v>689.85</v>
      </c>
      <c r="BY96" s="2200">
        <f t="shared" si="513"/>
        <v>862.65</v>
      </c>
      <c r="BZ96" s="2202">
        <f t="shared" si="513"/>
        <v>802.80000000000007</v>
      </c>
      <c r="CA96" s="2200">
        <f t="shared" si="513"/>
        <v>918.45</v>
      </c>
      <c r="CB96" s="2200">
        <f t="shared" si="513"/>
        <v>1024.2</v>
      </c>
      <c r="CC96" s="2200">
        <f t="shared" si="513"/>
        <v>992.25</v>
      </c>
      <c r="CD96" s="2202">
        <f t="shared" ref="CD96:DE96" si="514">0.45*CD92</f>
        <v>1100.275369362364</v>
      </c>
      <c r="CE96" s="2200">
        <f t="shared" si="514"/>
        <v>1218.5024300155521</v>
      </c>
      <c r="CF96" s="2200">
        <f t="shared" si="514"/>
        <v>1237.5032076205289</v>
      </c>
      <c r="CG96" s="2200">
        <f t="shared" si="514"/>
        <v>1215.9689930015552</v>
      </c>
      <c r="CH96" s="2202">
        <f t="shared" si="514"/>
        <v>1494.877659574468</v>
      </c>
      <c r="CI96" s="2200">
        <f t="shared" si="514"/>
        <v>1630.941568449683</v>
      </c>
      <c r="CJ96" s="2200">
        <f t="shared" si="514"/>
        <v>1663.3136239782018</v>
      </c>
      <c r="CK96" s="2200">
        <f t="shared" si="514"/>
        <v>1829.8527950310561</v>
      </c>
      <c r="CL96" s="2202">
        <f t="shared" si="514"/>
        <v>1616.8500000000001</v>
      </c>
      <c r="CM96" s="2200">
        <f t="shared" si="514"/>
        <v>1588.5</v>
      </c>
      <c r="CN96" s="2200">
        <f t="shared" si="514"/>
        <v>1686.15</v>
      </c>
      <c r="CO96" s="2200">
        <f t="shared" si="514"/>
        <v>1675.8</v>
      </c>
      <c r="CP96" s="2202">
        <f t="shared" si="514"/>
        <v>1812.4762499999999</v>
      </c>
      <c r="CQ96" s="2200">
        <f t="shared" si="514"/>
        <v>1853.6354999999999</v>
      </c>
      <c r="CR96" s="2200">
        <f t="shared" si="514"/>
        <v>2047.2975000000001</v>
      </c>
      <c r="CS96" s="2200">
        <f t="shared" si="514"/>
        <v>1986.165</v>
      </c>
      <c r="CT96" s="2202">
        <f t="shared" si="514"/>
        <v>1725.01875</v>
      </c>
      <c r="CU96" s="2200">
        <f t="shared" si="514"/>
        <v>1864.6582500000002</v>
      </c>
      <c r="CV96" s="2200">
        <f t="shared" si="514"/>
        <v>2051.7997500000001</v>
      </c>
      <c r="CW96" s="2200">
        <f t="shared" si="514"/>
        <v>1718.46675</v>
      </c>
      <c r="CX96" s="2202">
        <f t="shared" si="514"/>
        <v>2100.93975</v>
      </c>
      <c r="CY96" s="2200">
        <f t="shared" si="514"/>
        <v>2304.0517500000001</v>
      </c>
      <c r="CZ96" s="2200">
        <f t="shared" si="514"/>
        <v>2440.8247500000002</v>
      </c>
      <c r="DA96" s="2200">
        <f t="shared" si="514"/>
        <v>1926.4927500000001</v>
      </c>
      <c r="DB96" s="2202">
        <f t="shared" si="514"/>
        <v>2592.7492499999998</v>
      </c>
      <c r="DC96" s="2200">
        <f t="shared" si="514"/>
        <v>2611.5862499999998</v>
      </c>
      <c r="DD96" s="2200">
        <f t="shared" si="514"/>
        <v>2784.39525</v>
      </c>
      <c r="DE96" s="2200">
        <f t="shared" si="514"/>
        <v>2515.3537500000002</v>
      </c>
      <c r="DF96" s="2202">
        <f>0.45*DF92</f>
        <v>2961.29925</v>
      </c>
      <c r="DG96" s="2200">
        <f>0.45*DG92</f>
        <v>2824.9357500000001</v>
      </c>
      <c r="DH96" s="2200">
        <f>0.45*DH92</f>
        <v>2812.6507500000002</v>
      </c>
      <c r="DI96" s="2203">
        <f>0.45*DI92</f>
        <v>2217.64725</v>
      </c>
      <c r="DJ96" s="2202">
        <f t="shared" ref="DJ96:DM96" si="515">0.45*DJ92</f>
        <v>3162.7732500000002</v>
      </c>
      <c r="DK96" s="2200">
        <f t="shared" si="515"/>
        <v>3116.0902500000002</v>
      </c>
      <c r="DL96" s="2200">
        <f t="shared" si="515"/>
        <v>3104.6242499999998</v>
      </c>
      <c r="DM96" s="2203">
        <f t="shared" si="515"/>
        <v>2748.7687500000002</v>
      </c>
      <c r="DN96" s="2200">
        <f t="shared" ref="DN96:DO96" si="516">0.45*DN92</f>
        <v>3191.4382500000002</v>
      </c>
      <c r="DO96" s="2200">
        <f t="shared" si="516"/>
        <v>3247.5397499999999</v>
      </c>
      <c r="DP96" s="2200">
        <f t="shared" ref="DP96:DQ96" si="517">0.45*DP92</f>
        <v>3096.02475</v>
      </c>
      <c r="DQ96" s="2203">
        <f t="shared" si="517"/>
        <v>2548.1137500000004</v>
      </c>
      <c r="DR96" s="2202">
        <f t="shared" ref="DR96" si="518">0.45*DR92</f>
        <v>2862.2002499999999</v>
      </c>
      <c r="DS96" s="2200">
        <f t="shared" ref="DS96:DT96" si="519">0.45*DS92</f>
        <v>2998.97325</v>
      </c>
      <c r="DT96" s="2200">
        <f t="shared" si="519"/>
        <v>3078.00675</v>
      </c>
      <c r="DU96" s="2203">
        <f t="shared" ref="DU96" si="520">0.45*DU92</f>
        <v>2879.3992499999999</v>
      </c>
      <c r="DV96" s="2200">
        <f t="shared" ref="DV96" si="521">0.45*DV92</f>
        <v>3260.6437500000002</v>
      </c>
      <c r="DW96" s="2200">
        <f t="shared" ref="DW96:DY96" ca="1" si="522">0.45*DW92</f>
        <v>3197.2919244002624</v>
      </c>
      <c r="DX96" s="2200">
        <f t="shared" ca="1" si="522"/>
        <v>3267.2278760726085</v>
      </c>
      <c r="DY96" s="2203">
        <f t="shared" ca="1" si="522"/>
        <v>2797.6601618178124</v>
      </c>
    </row>
    <row r="97" spans="1:129" s="1491" customFormat="1" ht="15" customHeight="1">
      <c r="A97" s="1942"/>
      <c r="B97" s="1903"/>
      <c r="C97" s="1903"/>
      <c r="D97" s="1903"/>
      <c r="E97" s="1903"/>
      <c r="F97" s="1903"/>
      <c r="G97" s="1903"/>
      <c r="H97" s="2200"/>
      <c r="I97" s="2200"/>
      <c r="J97" s="2200"/>
      <c r="K97" s="2200"/>
      <c r="L97" s="1903"/>
      <c r="M97" s="1903"/>
      <c r="N97" s="1903"/>
      <c r="O97" s="1903"/>
      <c r="P97" s="1903"/>
      <c r="Q97" s="1903"/>
      <c r="R97" s="1903"/>
      <c r="S97" s="1903"/>
      <c r="T97" s="1903"/>
      <c r="U97" s="1903"/>
      <c r="V97" s="1903"/>
      <c r="W97" s="1903"/>
      <c r="X97" s="1903"/>
      <c r="Y97" s="1903"/>
      <c r="Z97" s="1903"/>
      <c r="AA97" s="1903"/>
      <c r="AB97" s="1903"/>
      <c r="AC97" s="1903"/>
      <c r="AD97" s="1903"/>
      <c r="AE97" s="1903"/>
      <c r="AF97" s="1903"/>
      <c r="AG97" s="1903"/>
      <c r="AH97" s="2201"/>
      <c r="AI97" s="1927"/>
      <c r="AJ97" s="1561"/>
      <c r="AK97" s="1903"/>
      <c r="AL97" s="1903"/>
      <c r="AM97" s="1903"/>
      <c r="AN97" s="1903"/>
      <c r="AO97" s="1903"/>
      <c r="AP97" s="1942"/>
      <c r="AQ97" s="1903"/>
      <c r="AR97" s="1903"/>
      <c r="AS97" s="1903"/>
      <c r="AT97" s="1942"/>
      <c r="AU97" s="1903"/>
      <c r="AV97" s="1903"/>
      <c r="AW97" s="1903"/>
      <c r="AX97" s="1942"/>
      <c r="AY97" s="1903"/>
      <c r="AZ97" s="1903"/>
      <c r="BA97" s="1903"/>
      <c r="BB97" s="1942"/>
      <c r="BC97" s="1903"/>
      <c r="BD97" s="1903"/>
      <c r="BE97" s="1903"/>
      <c r="BF97" s="1942"/>
      <c r="BG97" s="1903"/>
      <c r="BH97" s="1903"/>
      <c r="BI97" s="1903"/>
      <c r="BJ97" s="1942"/>
      <c r="BK97" s="1903"/>
      <c r="BL97" s="1903"/>
      <c r="BM97" s="1903"/>
      <c r="BN97" s="1942"/>
      <c r="BO97" s="1903"/>
      <c r="BP97" s="1903"/>
      <c r="BQ97" s="1903"/>
      <c r="BR97" s="1942"/>
      <c r="BS97" s="1903"/>
      <c r="BT97" s="1903"/>
      <c r="BU97" s="1903"/>
      <c r="BV97" s="1942"/>
      <c r="BW97" s="1903"/>
      <c r="BX97" s="1903"/>
      <c r="BY97" s="1903"/>
      <c r="BZ97" s="1942"/>
      <c r="CA97" s="1903"/>
      <c r="CB97" s="1903"/>
      <c r="CC97" s="1903"/>
      <c r="CD97" s="1942"/>
      <c r="CE97" s="1903"/>
      <c r="CF97" s="1903"/>
      <c r="CG97" s="1903"/>
      <c r="CH97" s="1942"/>
      <c r="CI97" s="1903"/>
      <c r="CJ97" s="1903"/>
      <c r="CK97" s="1903"/>
      <c r="CL97" s="1942"/>
      <c r="CM97" s="1903"/>
      <c r="CN97" s="1903"/>
      <c r="CO97" s="1903"/>
      <c r="CP97" s="1942"/>
      <c r="CQ97" s="1903"/>
      <c r="CR97" s="1903"/>
      <c r="CS97" s="1903"/>
      <c r="CT97" s="1942"/>
      <c r="CU97" s="1903"/>
      <c r="CV97" s="1903"/>
      <c r="CW97" s="1903"/>
      <c r="CX97" s="1942"/>
      <c r="CY97" s="1903"/>
      <c r="CZ97" s="1903"/>
      <c r="DA97" s="1903"/>
      <c r="DB97" s="1942"/>
      <c r="DC97" s="1903"/>
      <c r="DD97" s="1903"/>
      <c r="DE97" s="1903"/>
      <c r="DF97" s="1942"/>
      <c r="DG97" s="1903"/>
      <c r="DH97" s="1903"/>
      <c r="DI97" s="2236"/>
      <c r="DJ97" s="1942"/>
      <c r="DK97" s="1903"/>
      <c r="DL97" s="1903"/>
      <c r="DM97" s="2236"/>
      <c r="DN97" s="1903"/>
      <c r="DO97" s="1903"/>
      <c r="DP97" s="1903"/>
      <c r="DQ97" s="2236"/>
      <c r="DR97" s="1942"/>
      <c r="DS97" s="1903"/>
      <c r="DT97" s="1903"/>
      <c r="DU97" s="2236"/>
      <c r="DV97" s="1903"/>
      <c r="DW97" s="1903"/>
      <c r="DX97" s="1903"/>
      <c r="DY97" s="2236"/>
    </row>
    <row r="98" spans="1:129" s="1491" customFormat="1">
      <c r="A98" s="198" t="s">
        <v>1473</v>
      </c>
      <c r="B98" s="1476"/>
      <c r="C98" s="1476"/>
      <c r="D98" s="1476"/>
      <c r="E98" s="1476"/>
      <c r="F98" s="1476"/>
      <c r="G98" s="1476"/>
      <c r="H98" s="1476"/>
      <c r="I98" s="1476"/>
      <c r="J98" s="1476"/>
      <c r="K98" s="1476"/>
      <c r="L98" s="1476"/>
      <c r="M98" s="1476"/>
      <c r="N98" s="1476"/>
      <c r="O98" s="1476"/>
      <c r="P98" s="1476"/>
      <c r="Q98" s="1476"/>
      <c r="R98" s="1476"/>
      <c r="S98" s="1476"/>
      <c r="T98" s="1476"/>
      <c r="U98" s="1476"/>
      <c r="V98" s="1476"/>
      <c r="W98" s="1476"/>
      <c r="X98" s="1476"/>
      <c r="Y98" s="1476"/>
      <c r="Z98" s="1476"/>
      <c r="AA98" s="1476"/>
      <c r="AB98" s="1476"/>
      <c r="AC98" s="1476"/>
      <c r="AD98" s="1476"/>
      <c r="AE98" s="1476"/>
      <c r="AF98" s="1476"/>
      <c r="AG98" s="1476"/>
      <c r="AH98" s="2201"/>
      <c r="AI98" s="1927"/>
      <c r="AJ98" s="1561"/>
      <c r="AK98" s="1476"/>
      <c r="AL98" s="1476"/>
      <c r="AM98" s="1476"/>
      <c r="AN98" s="1476"/>
      <c r="AO98" s="1476"/>
      <c r="AP98" s="798"/>
      <c r="AQ98" s="1476"/>
      <c r="AR98" s="1476"/>
      <c r="AS98" s="1476"/>
      <c r="AT98" s="798"/>
      <c r="AU98" s="1476"/>
      <c r="AV98" s="1476"/>
      <c r="AW98" s="1476"/>
      <c r="AX98" s="798"/>
      <c r="AY98" s="1476"/>
      <c r="AZ98" s="1476"/>
      <c r="BA98" s="1476"/>
      <c r="BB98" s="798"/>
      <c r="BC98" s="1476"/>
      <c r="BD98" s="1476"/>
      <c r="BE98" s="1476"/>
      <c r="BF98" s="798"/>
      <c r="BG98" s="1476"/>
      <c r="BH98" s="1476"/>
      <c r="BI98" s="1476"/>
      <c r="BJ98" s="798"/>
      <c r="BK98" s="1476"/>
      <c r="BL98" s="1476"/>
      <c r="BM98" s="1476"/>
      <c r="BN98" s="798"/>
      <c r="BO98" s="1476"/>
      <c r="BP98" s="1476"/>
      <c r="BQ98" s="1476"/>
      <c r="BR98" s="798"/>
      <c r="BS98" s="1476"/>
      <c r="BT98" s="1476"/>
      <c r="BU98" s="1476"/>
      <c r="BV98" s="798"/>
      <c r="BW98" s="1476"/>
      <c r="BX98" s="1476"/>
      <c r="BY98" s="1476"/>
      <c r="BZ98" s="798"/>
      <c r="CA98" s="1476"/>
      <c r="CB98" s="1476"/>
      <c r="CC98" s="1476"/>
      <c r="CD98" s="798"/>
      <c r="CE98" s="1476"/>
      <c r="CF98" s="1476"/>
      <c r="CG98" s="1476"/>
      <c r="CH98" s="798"/>
      <c r="CI98" s="1476"/>
      <c r="CJ98" s="1476"/>
      <c r="CK98" s="1476"/>
      <c r="CL98" s="798"/>
      <c r="CM98" s="1476"/>
      <c r="CN98" s="1476"/>
      <c r="CO98" s="1476"/>
      <c r="CP98" s="798"/>
      <c r="CQ98" s="1476"/>
      <c r="CR98" s="1476"/>
      <c r="CS98" s="1476"/>
      <c r="CT98" s="798"/>
      <c r="CU98" s="1476"/>
      <c r="CV98" s="1476"/>
      <c r="CW98" s="1476"/>
      <c r="CX98" s="798"/>
      <c r="CY98" s="1476"/>
      <c r="CZ98" s="1476"/>
      <c r="DA98" s="1476"/>
      <c r="DB98" s="798"/>
      <c r="DC98" s="1476"/>
      <c r="DD98" s="1476"/>
      <c r="DE98" s="1476"/>
      <c r="DF98" s="798"/>
      <c r="DG98" s="1476"/>
      <c r="DH98" s="1476"/>
      <c r="DI98" s="1477"/>
      <c r="DJ98" s="798"/>
      <c r="DK98" s="1476"/>
      <c r="DL98" s="1476"/>
      <c r="DM98" s="1477"/>
      <c r="DN98" s="1476"/>
      <c r="DO98" s="1476"/>
      <c r="DP98" s="1476"/>
      <c r="DQ98" s="1477"/>
      <c r="DR98" s="798"/>
      <c r="DS98" s="1476"/>
      <c r="DT98" s="1476"/>
      <c r="DU98" s="1477"/>
      <c r="DV98" s="1476"/>
      <c r="DW98" s="1476"/>
      <c r="DX98" s="1476"/>
      <c r="DY98" s="1477"/>
    </row>
    <row r="99" spans="1:129" s="1491" customFormat="1" hidden="1" outlineLevel="1">
      <c r="A99" s="1392" t="s">
        <v>1474</v>
      </c>
      <c r="B99" s="1393"/>
      <c r="C99" s="1393"/>
      <c r="D99" s="1394" t="s">
        <v>1431</v>
      </c>
      <c r="E99" s="1355"/>
      <c r="F99" s="1355">
        <f>NormInputs!F295</f>
        <v>20995</v>
      </c>
      <c r="G99" s="1355">
        <f>NormInputs!G295</f>
        <v>23791</v>
      </c>
      <c r="H99" s="1355">
        <f>BE99</f>
        <v>26774</v>
      </c>
      <c r="I99" s="1355">
        <f>BI99</f>
        <v>29398</v>
      </c>
      <c r="J99" s="1355">
        <f>BM99</f>
        <v>32491</v>
      </c>
      <c r="K99" s="1355">
        <f>BQ99</f>
        <v>37522</v>
      </c>
      <c r="L99" s="1355">
        <f>K99+L182</f>
        <v>43816</v>
      </c>
      <c r="M99" s="1355">
        <f>L99+M182</f>
        <v>51337</v>
      </c>
      <c r="N99" s="1355">
        <f>M99+N182</f>
        <v>59052</v>
      </c>
      <c r="O99" s="1355">
        <f>N99+O182</f>
        <v>65707</v>
      </c>
      <c r="P99" s="1355">
        <f>CK99</f>
        <v>72056</v>
      </c>
      <c r="Q99" s="1355">
        <f>CO99</f>
        <v>96495</v>
      </c>
      <c r="R99" s="1355"/>
      <c r="S99" s="1355"/>
      <c r="T99" s="1355"/>
      <c r="U99" s="1355"/>
      <c r="V99" s="1355"/>
      <c r="W99" s="1355"/>
      <c r="X99" s="1355"/>
      <c r="Y99" s="1355"/>
      <c r="Z99" s="1355"/>
      <c r="AA99" s="1355"/>
      <c r="AB99" s="1355"/>
      <c r="AC99" s="1355"/>
      <c r="AD99" s="1355"/>
      <c r="AE99" s="1355"/>
      <c r="AF99" s="1355"/>
      <c r="AG99" s="1355"/>
      <c r="AH99" s="2201"/>
      <c r="AI99" s="1950"/>
      <c r="AJ99" s="1561"/>
      <c r="AK99" s="1355"/>
      <c r="AL99" s="1355"/>
      <c r="AM99" s="1355"/>
      <c r="AN99" s="1355"/>
      <c r="AO99" s="1355"/>
      <c r="AP99" s="476"/>
      <c r="AQ99" s="1355"/>
      <c r="AR99" s="1355"/>
      <c r="AS99" s="1355"/>
      <c r="AT99" s="476"/>
      <c r="AU99" s="1355"/>
      <c r="AV99" s="1355"/>
      <c r="AW99" s="1355">
        <f>AX99-AX182</f>
        <v>20995</v>
      </c>
      <c r="AX99" s="476">
        <v>21692</v>
      </c>
      <c r="AY99" s="1355">
        <v>22348</v>
      </c>
      <c r="AZ99" s="1355">
        <v>22929</v>
      </c>
      <c r="BA99" s="1355">
        <v>23999</v>
      </c>
      <c r="BB99" s="476">
        <v>24842</v>
      </c>
      <c r="BC99" s="1355">
        <v>25642</v>
      </c>
      <c r="BD99" s="1355">
        <f>NormInputs!AT295</f>
        <v>25552</v>
      </c>
      <c r="BE99" s="1355">
        <f>NormInputs!AU295</f>
        <v>26774</v>
      </c>
      <c r="BF99" s="476">
        <f>NormInputs!AV295</f>
        <v>27122</v>
      </c>
      <c r="BG99" s="1355">
        <f>NormInputs!AW295</f>
        <v>27930</v>
      </c>
      <c r="BH99" s="1355">
        <f>NormInputs!AX295</f>
        <v>28682</v>
      </c>
      <c r="BI99" s="1355">
        <f>NormInputs!AY295</f>
        <v>29398</v>
      </c>
      <c r="BJ99" s="476">
        <f>NormInputs!AZ295</f>
        <v>29584</v>
      </c>
      <c r="BK99" s="1355">
        <f>NormInputs!BA295</f>
        <v>30307</v>
      </c>
      <c r="BL99" s="1355">
        <f>NormInputs!BB295</f>
        <v>31521</v>
      </c>
      <c r="BM99" s="1355">
        <f>NormInputs!BC295</f>
        <v>32491</v>
      </c>
      <c r="BN99" s="476">
        <f>NormInputs!BD295</f>
        <v>33324</v>
      </c>
      <c r="BO99" s="1355">
        <f>NormInputs!BE295</f>
        <v>34619</v>
      </c>
      <c r="BP99" s="1355">
        <f>NormInputs!BF295</f>
        <v>36026</v>
      </c>
      <c r="BQ99" s="1355">
        <f>NormInputs!BG295</f>
        <v>37522</v>
      </c>
      <c r="BR99" s="476">
        <f>NormInputs!BH295</f>
        <v>38909</v>
      </c>
      <c r="BS99" s="1355">
        <f>NormInputs!BI295</f>
        <v>40444</v>
      </c>
      <c r="BT99" s="1355">
        <f>NormInputs!BJ295</f>
        <v>42118</v>
      </c>
      <c r="BU99" s="1355">
        <f>NormInputs!BK295</f>
        <v>43816</v>
      </c>
      <c r="BV99" s="476">
        <f>NormInputs!BL295</f>
        <v>45452</v>
      </c>
      <c r="BW99" s="1355">
        <f>NormInputs!BM295</f>
        <v>47373</v>
      </c>
      <c r="BX99" s="1355">
        <f>NormInputs!BN295</f>
        <v>49291</v>
      </c>
      <c r="BY99" s="1355">
        <f>NormInputs!BO295</f>
        <v>51337</v>
      </c>
      <c r="BZ99" s="476">
        <f>NormInputs!BP295</f>
        <v>53020</v>
      </c>
      <c r="CA99" s="1355">
        <f>NormInputs!BQ295</f>
        <v>54835</v>
      </c>
      <c r="CB99" s="1355">
        <f>NormInputs!BR295</f>
        <v>56747</v>
      </c>
      <c r="CC99" s="1355">
        <f>NormInputs!BS295</f>
        <v>59052</v>
      </c>
      <c r="CD99" s="476">
        <f>NormInputs!BT295</f>
        <v>60716</v>
      </c>
      <c r="CE99" s="1355">
        <f>NormInputs!BU295</f>
        <v>62054</v>
      </c>
      <c r="CF99" s="1355">
        <f>NormInputs!BV295</f>
        <v>63699</v>
      </c>
      <c r="CG99" s="1355">
        <f>NormInputs!BW295</f>
        <v>65707</v>
      </c>
      <c r="CH99" s="476">
        <f>NormInputs!BX295</f>
        <v>67178</v>
      </c>
      <c r="CI99" s="1355">
        <f>NormInputs!BY295</f>
        <v>68681</v>
      </c>
      <c r="CJ99" s="1355">
        <f>NormInputs!BZ295</f>
        <v>70808</v>
      </c>
      <c r="CK99" s="1355">
        <f>NormInputs!CA295</f>
        <v>72056</v>
      </c>
      <c r="CL99" s="476">
        <f>+CL103</f>
        <v>92390</v>
      </c>
      <c r="CM99" s="1355">
        <f>+CM103</f>
        <v>93220</v>
      </c>
      <c r="CN99" s="1355">
        <f>+CN103</f>
        <v>94361</v>
      </c>
      <c r="CO99" s="1355">
        <f>+CO103</f>
        <v>96495</v>
      </c>
      <c r="CP99" s="476">
        <f>+CP103</f>
        <v>98019</v>
      </c>
      <c r="CQ99" s="1355"/>
      <c r="CR99" s="1355"/>
      <c r="CS99" s="1355"/>
      <c r="CT99" s="476"/>
      <c r="CU99" s="1355"/>
      <c r="CV99" s="1355"/>
      <c r="CW99" s="1355"/>
      <c r="CX99" s="476"/>
      <c r="CY99" s="1355"/>
      <c r="CZ99" s="1355"/>
      <c r="DA99" s="1355"/>
      <c r="DB99" s="476"/>
      <c r="DC99" s="1355"/>
      <c r="DD99" s="1355"/>
      <c r="DE99" s="1355"/>
      <c r="DF99" s="476"/>
      <c r="DG99" s="1355"/>
      <c r="DH99" s="1355"/>
      <c r="DI99" s="477"/>
      <c r="DJ99" s="476"/>
      <c r="DK99" s="1355"/>
      <c r="DL99" s="1355"/>
      <c r="DM99" s="477"/>
      <c r="DN99" s="1355"/>
      <c r="DO99" s="1355"/>
      <c r="DP99" s="1355"/>
      <c r="DQ99" s="477"/>
      <c r="DR99" s="476"/>
      <c r="DS99" s="1355"/>
      <c r="DT99" s="1355"/>
      <c r="DU99" s="477"/>
      <c r="DV99" s="1355"/>
      <c r="DW99" s="1355"/>
      <c r="DX99" s="1355"/>
      <c r="DY99" s="477"/>
    </row>
    <row r="100" spans="1:129" s="1491" customFormat="1" hidden="1" outlineLevel="1">
      <c r="A100" s="703" t="s">
        <v>1453</v>
      </c>
      <c r="B100" s="1040"/>
      <c r="C100" s="1040"/>
      <c r="D100" s="1053"/>
      <c r="E100" s="1053"/>
      <c r="F100" s="1053"/>
      <c r="G100" s="1040">
        <f t="shared" ref="G100:Q100" si="523">G99/F99-1</f>
        <v>0.13317456537270789</v>
      </c>
      <c r="H100" s="1040">
        <f t="shared" si="523"/>
        <v>0.1253835484006558</v>
      </c>
      <c r="I100" s="1040">
        <f t="shared" si="523"/>
        <v>9.8005527750802957E-2</v>
      </c>
      <c r="J100" s="1040">
        <f t="shared" si="523"/>
        <v>0.10521123885978634</v>
      </c>
      <c r="K100" s="1040">
        <f t="shared" si="523"/>
        <v>0.15484287956664922</v>
      </c>
      <c r="L100" s="1040">
        <f t="shared" si="523"/>
        <v>0.16774159159959501</v>
      </c>
      <c r="M100" s="1040">
        <f t="shared" si="523"/>
        <v>0.17164962570750419</v>
      </c>
      <c r="N100" s="1040">
        <f t="shared" si="523"/>
        <v>0.15028147340125053</v>
      </c>
      <c r="O100" s="1040">
        <f t="shared" si="523"/>
        <v>0.11269728374991539</v>
      </c>
      <c r="P100" s="1040">
        <f t="shared" si="523"/>
        <v>9.6625930266181603E-2</v>
      </c>
      <c r="Q100" s="1040">
        <f t="shared" si="523"/>
        <v>0.33916675918729866</v>
      </c>
      <c r="R100" s="1040"/>
      <c r="S100" s="1040"/>
      <c r="T100" s="1040"/>
      <c r="U100" s="1040"/>
      <c r="V100" s="1040"/>
      <c r="W100" s="1040"/>
      <c r="X100" s="1040"/>
      <c r="Y100" s="1040"/>
      <c r="Z100" s="1040"/>
      <c r="AA100" s="1040"/>
      <c r="AB100" s="1040"/>
      <c r="AC100" s="1040"/>
      <c r="AD100" s="1040"/>
      <c r="AE100" s="1040"/>
      <c r="AF100" s="1040"/>
      <c r="AG100" s="1040"/>
      <c r="AH100" s="2201"/>
      <c r="AI100" s="1950"/>
      <c r="AJ100" s="1561"/>
      <c r="AK100" s="1053"/>
      <c r="AL100" s="1053"/>
      <c r="AM100" s="1040"/>
      <c r="AN100" s="1053"/>
      <c r="AO100" s="1040"/>
      <c r="AP100" s="481"/>
      <c r="AQ100" s="1053"/>
      <c r="AR100" s="1053"/>
      <c r="AS100" s="1053"/>
      <c r="AT100" s="481"/>
      <c r="AU100" s="1053"/>
      <c r="AV100" s="1053"/>
      <c r="AW100" s="1053"/>
      <c r="AX100" s="481"/>
      <c r="AY100" s="1053"/>
      <c r="AZ100" s="1053"/>
      <c r="BA100" s="1053"/>
      <c r="BB100" s="479">
        <f t="shared" ref="BB100:CP100" si="524">BB99/AX99-1</f>
        <v>0.14521482574220901</v>
      </c>
      <c r="BC100" s="1040">
        <f t="shared" si="524"/>
        <v>0.14739574011097201</v>
      </c>
      <c r="BD100" s="1040">
        <f t="shared" si="524"/>
        <v>0.11439661563958303</v>
      </c>
      <c r="BE100" s="1040">
        <f t="shared" si="524"/>
        <v>0.11562981790907956</v>
      </c>
      <c r="BF100" s="479">
        <f t="shared" si="524"/>
        <v>9.1780049915465733E-2</v>
      </c>
      <c r="BG100" s="1040">
        <f t="shared" si="524"/>
        <v>8.9228609312846041E-2</v>
      </c>
      <c r="BH100" s="1040">
        <f t="shared" si="524"/>
        <v>0.12249530369442696</v>
      </c>
      <c r="BI100" s="1040">
        <f t="shared" si="524"/>
        <v>9.8005527750802957E-2</v>
      </c>
      <c r="BJ100" s="479">
        <f t="shared" si="524"/>
        <v>9.0775016591696733E-2</v>
      </c>
      <c r="BK100" s="1040">
        <f t="shared" si="524"/>
        <v>8.5105621195846748E-2</v>
      </c>
      <c r="BL100" s="1040">
        <f t="shared" si="524"/>
        <v>9.89819398926155E-2</v>
      </c>
      <c r="BM100" s="1040">
        <f t="shared" si="524"/>
        <v>0.10521123885978634</v>
      </c>
      <c r="BN100" s="479">
        <f t="shared" si="524"/>
        <v>0.12641968631692801</v>
      </c>
      <c r="BO100" s="1040">
        <f t="shared" si="524"/>
        <v>0.14227736166562188</v>
      </c>
      <c r="BP100" s="1040">
        <f t="shared" si="524"/>
        <v>0.1429205926207926</v>
      </c>
      <c r="BQ100" s="1040">
        <f t="shared" si="524"/>
        <v>0.15484287956664922</v>
      </c>
      <c r="BR100" s="479">
        <f t="shared" si="524"/>
        <v>0.16759692713959917</v>
      </c>
      <c r="BS100" s="1040">
        <f t="shared" si="524"/>
        <v>0.16826020393425578</v>
      </c>
      <c r="BT100" s="1040">
        <f t="shared" si="524"/>
        <v>0.1691000943762837</v>
      </c>
      <c r="BU100" s="1040">
        <f t="shared" si="524"/>
        <v>0.16774159159959501</v>
      </c>
      <c r="BV100" s="479">
        <f t="shared" si="524"/>
        <v>0.16816160785422385</v>
      </c>
      <c r="BW100" s="1040">
        <f t="shared" si="524"/>
        <v>0.17132331124517841</v>
      </c>
      <c r="BX100" s="1040">
        <f t="shared" si="524"/>
        <v>0.17030723206230114</v>
      </c>
      <c r="BY100" s="1040">
        <f t="shared" si="524"/>
        <v>0.17164962570750419</v>
      </c>
      <c r="BZ100" s="479">
        <f t="shared" si="524"/>
        <v>0.16650532429816067</v>
      </c>
      <c r="CA100" s="1040">
        <f t="shared" si="524"/>
        <v>0.15751588457560217</v>
      </c>
      <c r="CB100" s="1040">
        <f t="shared" si="524"/>
        <v>0.15126493680387898</v>
      </c>
      <c r="CC100" s="1040">
        <f t="shared" si="524"/>
        <v>0.15028147340125053</v>
      </c>
      <c r="CD100" s="479">
        <f t="shared" si="524"/>
        <v>0.14515277253866476</v>
      </c>
      <c r="CE100" s="1040">
        <f t="shared" si="524"/>
        <v>0.13164949393635461</v>
      </c>
      <c r="CF100" s="1040">
        <f t="shared" si="524"/>
        <v>0.12250867887289196</v>
      </c>
      <c r="CG100" s="1040">
        <f t="shared" si="524"/>
        <v>0.11269728374991539</v>
      </c>
      <c r="CH100" s="479">
        <f t="shared" si="524"/>
        <v>0.106429936095922</v>
      </c>
      <c r="CI100" s="1040">
        <f t="shared" si="524"/>
        <v>0.10679408257324274</v>
      </c>
      <c r="CJ100" s="1040">
        <f t="shared" si="524"/>
        <v>0.11160300789651334</v>
      </c>
      <c r="CK100" s="1040">
        <f t="shared" si="524"/>
        <v>9.6625930266181603E-2</v>
      </c>
      <c r="CL100" s="479">
        <f t="shared" si="524"/>
        <v>0.37530143797076421</v>
      </c>
      <c r="CM100" s="1040">
        <f t="shared" si="524"/>
        <v>0.35728949782326991</v>
      </c>
      <c r="CN100" s="1040">
        <f t="shared" si="524"/>
        <v>0.33263190599932213</v>
      </c>
      <c r="CO100" s="1040">
        <f t="shared" si="524"/>
        <v>0.33916675918729866</v>
      </c>
      <c r="CP100" s="479">
        <f t="shared" si="524"/>
        <v>6.0926507197748725E-2</v>
      </c>
      <c r="CQ100" s="1040"/>
      <c r="CR100" s="1040"/>
      <c r="CS100" s="1040"/>
      <c r="CT100" s="479"/>
      <c r="CU100" s="1040"/>
      <c r="CV100" s="1040"/>
      <c r="CW100" s="1040"/>
      <c r="CX100" s="479"/>
      <c r="CY100" s="1040"/>
      <c r="CZ100" s="1040"/>
      <c r="DA100" s="1040"/>
      <c r="DB100" s="479"/>
      <c r="DC100" s="1040"/>
      <c r="DD100" s="1040"/>
      <c r="DE100" s="1040"/>
      <c r="DF100" s="479"/>
      <c r="DG100" s="1040"/>
      <c r="DH100" s="1040"/>
      <c r="DI100" s="480"/>
      <c r="DJ100" s="479"/>
      <c r="DK100" s="1040"/>
      <c r="DL100" s="1040"/>
      <c r="DM100" s="480"/>
      <c r="DN100" s="1040"/>
      <c r="DO100" s="1040"/>
      <c r="DP100" s="1040"/>
      <c r="DQ100" s="480"/>
      <c r="DR100" s="479"/>
      <c r="DS100" s="1040"/>
      <c r="DT100" s="1040"/>
      <c r="DU100" s="480"/>
      <c r="DV100" s="1040"/>
      <c r="DW100" s="1040"/>
      <c r="DX100" s="1040"/>
      <c r="DY100" s="480"/>
    </row>
    <row r="101" spans="1:129" s="1491" customFormat="1" hidden="1" outlineLevel="1">
      <c r="A101" s="479" t="s">
        <v>1475</v>
      </c>
      <c r="B101" s="1040"/>
      <c r="C101" s="1040"/>
      <c r="D101" s="1053"/>
      <c r="E101" s="1053"/>
      <c r="F101" s="1053"/>
      <c r="G101" s="1053">
        <f>AVERAGE(AX99:BA99)</f>
        <v>22742</v>
      </c>
      <c r="H101" s="1053">
        <f>AVERAGE(BB99:BE99)</f>
        <v>25702.5</v>
      </c>
      <c r="I101" s="1053">
        <f>AVERAGE(BF99:BI99)</f>
        <v>28283</v>
      </c>
      <c r="J101" s="1053">
        <f>AVERAGE(BJ99:BM99)</f>
        <v>30975.75</v>
      </c>
      <c r="K101" s="1053">
        <f>AVERAGE(BN99:BQ99)</f>
        <v>35372.75</v>
      </c>
      <c r="L101" s="1053">
        <f t="shared" ref="L101:Q101" si="525">AVERAGE(K99:L99)</f>
        <v>40669</v>
      </c>
      <c r="M101" s="1053">
        <f t="shared" si="525"/>
        <v>47576.5</v>
      </c>
      <c r="N101" s="1053">
        <f t="shared" si="525"/>
        <v>55194.5</v>
      </c>
      <c r="O101" s="1053">
        <f t="shared" si="525"/>
        <v>62379.5</v>
      </c>
      <c r="P101" s="1053">
        <f t="shared" si="525"/>
        <v>68881.5</v>
      </c>
      <c r="Q101" s="1053">
        <f t="shared" si="525"/>
        <v>84275.5</v>
      </c>
      <c r="R101" s="1053"/>
      <c r="S101" s="1053"/>
      <c r="T101" s="1053"/>
      <c r="U101" s="1053"/>
      <c r="V101" s="1053"/>
      <c r="W101" s="1053"/>
      <c r="X101" s="1053"/>
      <c r="Y101" s="1053"/>
      <c r="Z101" s="1053"/>
      <c r="AA101" s="1053"/>
      <c r="AB101" s="1053"/>
      <c r="AC101" s="1053"/>
      <c r="AD101" s="1053"/>
      <c r="AE101" s="1053"/>
      <c r="AF101" s="1053"/>
      <c r="AG101" s="1053"/>
      <c r="AH101" s="2201"/>
      <c r="AI101" s="1950"/>
      <c r="AJ101" s="1561"/>
      <c r="AK101" s="1053"/>
      <c r="AL101" s="1053"/>
      <c r="AM101" s="1040"/>
      <c r="AN101" s="1053"/>
      <c r="AO101" s="1053"/>
      <c r="AP101" s="481"/>
      <c r="AQ101" s="1053"/>
      <c r="AR101" s="1053"/>
      <c r="AS101" s="1053"/>
      <c r="AT101" s="481"/>
      <c r="AU101" s="1053"/>
      <c r="AV101" s="1053"/>
      <c r="AW101" s="1053"/>
      <c r="AX101" s="481">
        <f t="shared" ref="AX101:CP101" si="526">AVERAGE(AW99:AX99)</f>
        <v>21343.5</v>
      </c>
      <c r="AY101" s="1053">
        <f t="shared" si="526"/>
        <v>22020</v>
      </c>
      <c r="AZ101" s="1053">
        <f t="shared" si="526"/>
        <v>22638.5</v>
      </c>
      <c r="BA101" s="1053">
        <f t="shared" si="526"/>
        <v>23464</v>
      </c>
      <c r="BB101" s="481">
        <f t="shared" si="526"/>
        <v>24420.5</v>
      </c>
      <c r="BC101" s="1053">
        <f t="shared" si="526"/>
        <v>25242</v>
      </c>
      <c r="BD101" s="1053">
        <f t="shared" si="526"/>
        <v>25597</v>
      </c>
      <c r="BE101" s="1053">
        <f t="shared" si="526"/>
        <v>26163</v>
      </c>
      <c r="BF101" s="481">
        <f t="shared" si="526"/>
        <v>26948</v>
      </c>
      <c r="BG101" s="1053">
        <f t="shared" si="526"/>
        <v>27526</v>
      </c>
      <c r="BH101" s="1053">
        <f t="shared" si="526"/>
        <v>28306</v>
      </c>
      <c r="BI101" s="1053">
        <f t="shared" si="526"/>
        <v>29040</v>
      </c>
      <c r="BJ101" s="481">
        <f t="shared" si="526"/>
        <v>29491</v>
      </c>
      <c r="BK101" s="1053">
        <f t="shared" si="526"/>
        <v>29945.5</v>
      </c>
      <c r="BL101" s="1053">
        <f t="shared" si="526"/>
        <v>30914</v>
      </c>
      <c r="BM101" s="1053">
        <f t="shared" si="526"/>
        <v>32006</v>
      </c>
      <c r="BN101" s="481">
        <f t="shared" si="526"/>
        <v>32907.5</v>
      </c>
      <c r="BO101" s="1053">
        <f t="shared" si="526"/>
        <v>33971.5</v>
      </c>
      <c r="BP101" s="1053">
        <f t="shared" si="526"/>
        <v>35322.5</v>
      </c>
      <c r="BQ101" s="1053">
        <f t="shared" si="526"/>
        <v>36774</v>
      </c>
      <c r="BR101" s="481">
        <f t="shared" si="526"/>
        <v>38215.5</v>
      </c>
      <c r="BS101" s="1053">
        <f t="shared" si="526"/>
        <v>39676.5</v>
      </c>
      <c r="BT101" s="1053">
        <f t="shared" si="526"/>
        <v>41281</v>
      </c>
      <c r="BU101" s="1053">
        <f t="shared" si="526"/>
        <v>42967</v>
      </c>
      <c r="BV101" s="481">
        <f t="shared" si="526"/>
        <v>44634</v>
      </c>
      <c r="BW101" s="1053">
        <f t="shared" si="526"/>
        <v>46412.5</v>
      </c>
      <c r="BX101" s="1053">
        <f t="shared" si="526"/>
        <v>48332</v>
      </c>
      <c r="BY101" s="1053">
        <f t="shared" si="526"/>
        <v>50314</v>
      </c>
      <c r="BZ101" s="481">
        <f t="shared" si="526"/>
        <v>52178.5</v>
      </c>
      <c r="CA101" s="1053">
        <f t="shared" si="526"/>
        <v>53927.5</v>
      </c>
      <c r="CB101" s="1053">
        <f t="shared" si="526"/>
        <v>55791</v>
      </c>
      <c r="CC101" s="1053">
        <f t="shared" si="526"/>
        <v>57899.5</v>
      </c>
      <c r="CD101" s="481">
        <f t="shared" si="526"/>
        <v>59884</v>
      </c>
      <c r="CE101" s="1053">
        <f t="shared" si="526"/>
        <v>61385</v>
      </c>
      <c r="CF101" s="1053">
        <f t="shared" si="526"/>
        <v>62876.5</v>
      </c>
      <c r="CG101" s="1053">
        <f t="shared" si="526"/>
        <v>64703</v>
      </c>
      <c r="CH101" s="481">
        <f t="shared" si="526"/>
        <v>66442.5</v>
      </c>
      <c r="CI101" s="1053">
        <f t="shared" si="526"/>
        <v>67929.5</v>
      </c>
      <c r="CJ101" s="1053">
        <f t="shared" si="526"/>
        <v>69744.5</v>
      </c>
      <c r="CK101" s="1053">
        <f t="shared" si="526"/>
        <v>71432</v>
      </c>
      <c r="CL101" s="481">
        <f t="shared" si="526"/>
        <v>82223</v>
      </c>
      <c r="CM101" s="1053">
        <f t="shared" si="526"/>
        <v>92805</v>
      </c>
      <c r="CN101" s="1053">
        <f t="shared" si="526"/>
        <v>93790.5</v>
      </c>
      <c r="CO101" s="1053">
        <f t="shared" si="526"/>
        <v>95428</v>
      </c>
      <c r="CP101" s="481">
        <f t="shared" si="526"/>
        <v>97257</v>
      </c>
      <c r="CQ101" s="1053"/>
      <c r="CR101" s="1053"/>
      <c r="CS101" s="1053"/>
      <c r="CT101" s="481"/>
      <c r="CU101" s="1053"/>
      <c r="CV101" s="1053"/>
      <c r="CW101" s="1053"/>
      <c r="CX101" s="481"/>
      <c r="CY101" s="1053"/>
      <c r="CZ101" s="1053"/>
      <c r="DA101" s="1053"/>
      <c r="DB101" s="481"/>
      <c r="DC101" s="1053"/>
      <c r="DD101" s="1053"/>
      <c r="DE101" s="1053"/>
      <c r="DF101" s="481"/>
      <c r="DG101" s="1053"/>
      <c r="DH101" s="1053"/>
      <c r="DI101" s="482"/>
      <c r="DJ101" s="481"/>
      <c r="DK101" s="1053"/>
      <c r="DL101" s="1053"/>
      <c r="DM101" s="482"/>
      <c r="DN101" s="1053"/>
      <c r="DO101" s="1053"/>
      <c r="DP101" s="1053"/>
      <c r="DQ101" s="482"/>
      <c r="DR101" s="481"/>
      <c r="DS101" s="1053"/>
      <c r="DT101" s="1053"/>
      <c r="DU101" s="482"/>
      <c r="DV101" s="1053"/>
      <c r="DW101" s="1053"/>
      <c r="DX101" s="1053"/>
      <c r="DY101" s="482"/>
    </row>
    <row r="102" spans="1:129" s="1491" customFormat="1" hidden="1" outlineLevel="1">
      <c r="A102" s="703" t="s">
        <v>1453</v>
      </c>
      <c r="B102" s="1040"/>
      <c r="C102" s="1040"/>
      <c r="D102" s="1053"/>
      <c r="E102" s="1053"/>
      <c r="F102" s="1053"/>
      <c r="G102" s="1040"/>
      <c r="H102" s="1040">
        <f t="shared" ref="H102:Q102" si="527">H101/G101-1</f>
        <v>0.13017764488611383</v>
      </c>
      <c r="I102" s="1040">
        <f t="shared" si="527"/>
        <v>0.10039879389164486</v>
      </c>
      <c r="J102" s="1040">
        <f t="shared" si="527"/>
        <v>9.5207368383834812E-2</v>
      </c>
      <c r="K102" s="1040">
        <f t="shared" si="527"/>
        <v>0.14194975101490681</v>
      </c>
      <c r="L102" s="1040">
        <f t="shared" si="527"/>
        <v>0.14972683774939743</v>
      </c>
      <c r="M102" s="1040">
        <f t="shared" si="527"/>
        <v>0.16984681206815999</v>
      </c>
      <c r="N102" s="1040">
        <f t="shared" si="527"/>
        <v>0.16012106817441385</v>
      </c>
      <c r="O102" s="1040">
        <f t="shared" si="527"/>
        <v>0.1301760139144299</v>
      </c>
      <c r="P102" s="1040">
        <f t="shared" si="527"/>
        <v>0.10423296114909553</v>
      </c>
      <c r="Q102" s="1040">
        <f t="shared" si="527"/>
        <v>0.22348526091911469</v>
      </c>
      <c r="R102" s="1040"/>
      <c r="S102" s="1040"/>
      <c r="T102" s="1040"/>
      <c r="U102" s="1040"/>
      <c r="V102" s="1040"/>
      <c r="W102" s="1040"/>
      <c r="X102" s="1040"/>
      <c r="Y102" s="1040"/>
      <c r="Z102" s="1040"/>
      <c r="AA102" s="1040"/>
      <c r="AB102" s="1040"/>
      <c r="AC102" s="1040"/>
      <c r="AD102" s="1040"/>
      <c r="AE102" s="1040"/>
      <c r="AF102" s="1040"/>
      <c r="AG102" s="1040"/>
      <c r="AH102" s="2201"/>
      <c r="AI102" s="1950"/>
      <c r="AJ102" s="1561"/>
      <c r="AK102" s="1053"/>
      <c r="AL102" s="1053"/>
      <c r="AM102" s="1040"/>
      <c r="AN102" s="1053"/>
      <c r="AO102" s="1040"/>
      <c r="AP102" s="481"/>
      <c r="AQ102" s="1053"/>
      <c r="AR102" s="1053"/>
      <c r="AS102" s="1053"/>
      <c r="AT102" s="481"/>
      <c r="AU102" s="1053"/>
      <c r="AV102" s="1053"/>
      <c r="AW102" s="1053"/>
      <c r="AX102" s="481"/>
      <c r="AY102" s="1053"/>
      <c r="AZ102" s="1053"/>
      <c r="BA102" s="1053"/>
      <c r="BB102" s="479">
        <f t="shared" ref="BB102:CP102" si="528">BB101/AX101-1</f>
        <v>0.14416567104739153</v>
      </c>
      <c r="BC102" s="1040">
        <f t="shared" si="528"/>
        <v>0.14632152588555858</v>
      </c>
      <c r="BD102" s="1040">
        <f t="shared" si="528"/>
        <v>0.13068445347527446</v>
      </c>
      <c r="BE102" s="1040">
        <f t="shared" si="528"/>
        <v>0.1150272758267985</v>
      </c>
      <c r="BF102" s="479">
        <f t="shared" si="528"/>
        <v>0.10349910935484541</v>
      </c>
      <c r="BG102" s="1040">
        <f t="shared" si="528"/>
        <v>9.0484113778622977E-2</v>
      </c>
      <c r="BH102" s="1040">
        <f t="shared" si="528"/>
        <v>0.10583271477126233</v>
      </c>
      <c r="BI102" s="1040">
        <f t="shared" si="528"/>
        <v>0.10996445361770446</v>
      </c>
      <c r="BJ102" s="479">
        <f t="shared" si="528"/>
        <v>9.4366928900103897E-2</v>
      </c>
      <c r="BK102" s="1040">
        <f t="shared" si="528"/>
        <v>8.789871394318105E-2</v>
      </c>
      <c r="BL102" s="1040">
        <f t="shared" si="528"/>
        <v>9.2135942909630453E-2</v>
      </c>
      <c r="BM102" s="1040">
        <f t="shared" si="528"/>
        <v>0.10213498622589534</v>
      </c>
      <c r="BN102" s="479">
        <f t="shared" si="528"/>
        <v>0.11584890305516948</v>
      </c>
      <c r="BO102" s="1040">
        <f t="shared" si="528"/>
        <v>0.13444424037000546</v>
      </c>
      <c r="BP102" s="1040">
        <f t="shared" si="528"/>
        <v>0.14260529210066641</v>
      </c>
      <c r="BQ102" s="1040">
        <f t="shared" si="528"/>
        <v>0.14897206773729921</v>
      </c>
      <c r="BR102" s="479">
        <f t="shared" si="528"/>
        <v>0.16130061536123974</v>
      </c>
      <c r="BS102" s="1040">
        <f t="shared" si="528"/>
        <v>0.16793488659611744</v>
      </c>
      <c r="BT102" s="1040">
        <f t="shared" si="528"/>
        <v>0.16868851298747267</v>
      </c>
      <c r="BU102" s="1040">
        <f t="shared" si="528"/>
        <v>0.16840702670364927</v>
      </c>
      <c r="BV102" s="479">
        <f t="shared" si="528"/>
        <v>0.16795541076264864</v>
      </c>
      <c r="BW102" s="1040">
        <f t="shared" si="528"/>
        <v>0.16977303945660527</v>
      </c>
      <c r="BX102" s="1040">
        <f t="shared" si="528"/>
        <v>0.1708049708098156</v>
      </c>
      <c r="BY102" s="1040">
        <f t="shared" si="528"/>
        <v>0.17099169129797276</v>
      </c>
      <c r="BZ102" s="479">
        <f t="shared" si="528"/>
        <v>0.16903033561858671</v>
      </c>
      <c r="CA102" s="1040">
        <f t="shared" si="528"/>
        <v>0.16191758685698887</v>
      </c>
      <c r="CB102" s="1040">
        <f t="shared" si="528"/>
        <v>0.15432839526607633</v>
      </c>
      <c r="CC102" s="1040">
        <f t="shared" si="528"/>
        <v>0.15076320705966539</v>
      </c>
      <c r="CD102" s="479">
        <f t="shared" si="528"/>
        <v>0.14767576683883199</v>
      </c>
      <c r="CE102" s="1040">
        <f t="shared" si="528"/>
        <v>0.13828751564600616</v>
      </c>
      <c r="CF102" s="1040">
        <f t="shared" si="528"/>
        <v>0.12700077073363092</v>
      </c>
      <c r="CG102" s="1040">
        <f t="shared" si="528"/>
        <v>0.11750533251582485</v>
      </c>
      <c r="CH102" s="479">
        <f t="shared" si="528"/>
        <v>0.10952007213946957</v>
      </c>
      <c r="CI102" s="1040">
        <f t="shared" si="528"/>
        <v>0.10661399364665636</v>
      </c>
      <c r="CJ102" s="1040">
        <f t="shared" si="528"/>
        <v>0.10922999848910164</v>
      </c>
      <c r="CK102" s="1040">
        <f t="shared" si="528"/>
        <v>0.10399826901380149</v>
      </c>
      <c r="CL102" s="479">
        <f t="shared" si="528"/>
        <v>0.2375061143093653</v>
      </c>
      <c r="CM102" s="1040">
        <f t="shared" si="528"/>
        <v>0.36619583538815981</v>
      </c>
      <c r="CN102" s="1040">
        <f t="shared" si="528"/>
        <v>0.34477270609151978</v>
      </c>
      <c r="CO102" s="1040">
        <f t="shared" si="528"/>
        <v>0.33592787546197789</v>
      </c>
      <c r="CP102" s="479">
        <f t="shared" si="528"/>
        <v>0.18284421633849401</v>
      </c>
      <c r="CQ102" s="1040"/>
      <c r="CR102" s="1040"/>
      <c r="CS102" s="1040"/>
      <c r="CT102" s="479"/>
      <c r="CU102" s="1040"/>
      <c r="CV102" s="1040"/>
      <c r="CW102" s="1040"/>
      <c r="CX102" s="479"/>
      <c r="CY102" s="1040"/>
      <c r="CZ102" s="1040"/>
      <c r="DA102" s="1040"/>
      <c r="DB102" s="479"/>
      <c r="DC102" s="1040"/>
      <c r="DD102" s="1040"/>
      <c r="DE102" s="1040"/>
      <c r="DF102" s="479"/>
      <c r="DG102" s="1040"/>
      <c r="DH102" s="1040"/>
      <c r="DI102" s="480"/>
      <c r="DJ102" s="479"/>
      <c r="DK102" s="1040"/>
      <c r="DL102" s="1040"/>
      <c r="DM102" s="480"/>
      <c r="DN102" s="1040"/>
      <c r="DO102" s="1040"/>
      <c r="DP102" s="1040"/>
      <c r="DQ102" s="480"/>
      <c r="DR102" s="479"/>
      <c r="DS102" s="1040"/>
      <c r="DT102" s="1040"/>
      <c r="DU102" s="480"/>
      <c r="DV102" s="1040"/>
      <c r="DW102" s="1040"/>
      <c r="DX102" s="1040"/>
      <c r="DY102" s="480"/>
    </row>
    <row r="103" spans="1:129" s="1491" customFormat="1" hidden="1" outlineLevel="1">
      <c r="A103" s="151" t="s">
        <v>375</v>
      </c>
      <c r="B103" s="1068"/>
      <c r="C103" s="1068"/>
      <c r="D103" s="1113"/>
      <c r="E103" s="1113"/>
      <c r="F103" s="1113"/>
      <c r="G103" s="1068"/>
      <c r="H103" s="1068"/>
      <c r="I103" s="1068"/>
      <c r="J103" s="1068"/>
      <c r="K103" s="1068"/>
      <c r="L103" s="1068"/>
      <c r="M103" s="1068"/>
      <c r="N103" s="1113">
        <f>+CC103</f>
        <v>0</v>
      </c>
      <c r="O103" s="1113">
        <f>CG103</f>
        <v>77700</v>
      </c>
      <c r="P103" s="1113">
        <f>CK103</f>
        <v>91435</v>
      </c>
      <c r="Q103" s="1113">
        <f>CO103</f>
        <v>96495</v>
      </c>
      <c r="R103" s="1113">
        <f>+CS103</f>
        <v>102246</v>
      </c>
      <c r="S103" s="1113">
        <f>+CW103</f>
        <v>107665</v>
      </c>
      <c r="T103" s="1113">
        <f>+DA103</f>
        <v>114546</v>
      </c>
      <c r="U103" s="1113">
        <f>+DE103</f>
        <v>121518</v>
      </c>
      <c r="V103" s="1113">
        <f>+DI103</f>
        <v>129086</v>
      </c>
      <c r="W103" s="1113">
        <f>+DM103</f>
        <v>132594</v>
      </c>
      <c r="X103" s="1113">
        <f>+DN103</f>
        <v>133471</v>
      </c>
      <c r="Y103" s="1113">
        <f>+DU103</f>
        <v>139610</v>
      </c>
      <c r="Z103" s="1113">
        <f ca="1">+DY103</f>
        <v>141978.18708157277</v>
      </c>
      <c r="AA103" s="1113">
        <f ca="1">Z103+AA112+AA123</f>
        <v>143253.30830240817</v>
      </c>
      <c r="AB103" s="1113">
        <f ca="1">AA103+AB112+AB123</f>
        <v>144495.65267296333</v>
      </c>
      <c r="AC103" s="1113">
        <f t="shared" ref="AC103:AG103" ca="1" si="529">AB103+AC112+AC123</f>
        <v>145649.93107295243</v>
      </c>
      <c r="AD103" s="1113">
        <f t="shared" ca="1" si="529"/>
        <v>146703.48185695495</v>
      </c>
      <c r="AE103" s="1113">
        <f t="shared" ca="1" si="529"/>
        <v>147661.92718219821</v>
      </c>
      <c r="AF103" s="1113">
        <f t="shared" ca="1" si="529"/>
        <v>148537.9504788726</v>
      </c>
      <c r="AG103" s="1113">
        <f t="shared" ca="1" si="529"/>
        <v>149346.23922745956</v>
      </c>
      <c r="AH103" s="2201"/>
      <c r="AI103" s="1927"/>
      <c r="AJ103" s="1561"/>
      <c r="AK103" s="1113"/>
      <c r="AL103" s="1113"/>
      <c r="AM103" s="1064"/>
      <c r="AN103" s="1381"/>
      <c r="AO103" s="1330"/>
      <c r="AP103" s="1080"/>
      <c r="AQ103" s="1381"/>
      <c r="AR103" s="1381"/>
      <c r="AS103" s="1381"/>
      <c r="AT103" s="1080"/>
      <c r="AU103" s="1381"/>
      <c r="AV103" s="1381"/>
      <c r="AW103" s="1381"/>
      <c r="AX103" s="1080"/>
      <c r="AY103" s="1381"/>
      <c r="AZ103" s="1381"/>
      <c r="BA103" s="1381"/>
      <c r="BB103" s="1079"/>
      <c r="BC103" s="1330"/>
      <c r="BD103" s="1330"/>
      <c r="BE103" s="1330"/>
      <c r="BF103" s="1079"/>
      <c r="BG103" s="1330"/>
      <c r="BH103" s="1330"/>
      <c r="BI103" s="1330"/>
      <c r="BJ103" s="1079"/>
      <c r="BK103" s="1330"/>
      <c r="BL103" s="1330"/>
      <c r="BM103" s="1330"/>
      <c r="BN103" s="1079"/>
      <c r="BO103" s="1330"/>
      <c r="BP103" s="1330"/>
      <c r="BQ103" s="1330"/>
      <c r="BR103" s="1079"/>
      <c r="BS103" s="1330"/>
      <c r="BT103" s="1330"/>
      <c r="BU103" s="1330"/>
      <c r="BV103" s="1079"/>
      <c r="BW103" s="1330"/>
      <c r="BX103" s="1330"/>
      <c r="BY103" s="1330"/>
      <c r="BZ103" s="1080"/>
      <c r="CA103" s="1381"/>
      <c r="CB103" s="1381"/>
      <c r="CC103" s="1381"/>
      <c r="CD103" s="1080"/>
      <c r="CE103" s="1381"/>
      <c r="CF103" s="1381"/>
      <c r="CG103" s="1379">
        <f>+NormInputs!BW301</f>
        <v>77700</v>
      </c>
      <c r="CH103" s="150">
        <f>+NormInputs!BX301</f>
        <v>79472</v>
      </c>
      <c r="CI103" s="1113">
        <f>+NormInputs!BY301</f>
        <v>81278</v>
      </c>
      <c r="CJ103" s="1113">
        <f>+NormInputs!BZ301</f>
        <v>83704</v>
      </c>
      <c r="CK103" s="1371">
        <f>+CL103-CL112</f>
        <v>91435</v>
      </c>
      <c r="CL103" s="150">
        <f>+NormInputs!CB301</f>
        <v>92390</v>
      </c>
      <c r="CM103" s="1113">
        <f>+NormInputs!CC301</f>
        <v>93220</v>
      </c>
      <c r="CN103" s="1113">
        <f>+NormInputs!CD301</f>
        <v>94361</v>
      </c>
      <c r="CO103" s="1113">
        <f>+NormInputs!CE301</f>
        <v>96495</v>
      </c>
      <c r="CP103" s="150">
        <f>+NormInputs!CF301</f>
        <v>98019</v>
      </c>
      <c r="CQ103" s="1113">
        <f>+NormInputs!CG301</f>
        <v>99736</v>
      </c>
      <c r="CR103" s="1113">
        <f>+NormInputs!CH301</f>
        <v>101095</v>
      </c>
      <c r="CS103" s="1113">
        <f>+NormInputs!CI301</f>
        <v>102246</v>
      </c>
      <c r="CT103" s="150">
        <f t="shared" ref="CT103:DV103" si="530">CS103+CT112+CT123</f>
        <v>104022</v>
      </c>
      <c r="CU103" s="1113">
        <f t="shared" si="530"/>
        <v>106230</v>
      </c>
      <c r="CV103" s="1113">
        <f t="shared" si="530"/>
        <v>107565</v>
      </c>
      <c r="CW103" s="1113">
        <f t="shared" si="530"/>
        <v>107665</v>
      </c>
      <c r="CX103" s="150">
        <f t="shared" si="530"/>
        <v>108867</v>
      </c>
      <c r="CY103" s="1113">
        <f t="shared" si="530"/>
        <v>110295</v>
      </c>
      <c r="CZ103" s="1113">
        <f t="shared" si="530"/>
        <v>112181</v>
      </c>
      <c r="DA103" s="1113">
        <f t="shared" si="530"/>
        <v>114546</v>
      </c>
      <c r="DB103" s="150">
        <f t="shared" si="530"/>
        <v>116266</v>
      </c>
      <c r="DC103" s="1113">
        <f t="shared" si="530"/>
        <v>117804</v>
      </c>
      <c r="DD103" s="1113">
        <f t="shared" si="530"/>
        <v>119365</v>
      </c>
      <c r="DE103" s="1113">
        <f t="shared" si="530"/>
        <v>121518</v>
      </c>
      <c r="DF103" s="150">
        <f t="shared" si="530"/>
        <v>122567</v>
      </c>
      <c r="DG103" s="1113">
        <f t="shared" si="530"/>
        <v>124494</v>
      </c>
      <c r="DH103" s="1113">
        <f t="shared" si="530"/>
        <v>126519</v>
      </c>
      <c r="DI103" s="155">
        <f t="shared" si="530"/>
        <v>129086</v>
      </c>
      <c r="DJ103" s="150">
        <f t="shared" si="530"/>
        <v>129963</v>
      </c>
      <c r="DK103" s="1113">
        <f t="shared" si="530"/>
        <v>130840</v>
      </c>
      <c r="DL103" s="1113">
        <f t="shared" si="530"/>
        <v>131717</v>
      </c>
      <c r="DM103" s="155">
        <f t="shared" si="530"/>
        <v>132594</v>
      </c>
      <c r="DN103" s="1113">
        <f t="shared" si="530"/>
        <v>133471</v>
      </c>
      <c r="DO103" s="1113">
        <f t="shared" si="530"/>
        <v>134348</v>
      </c>
      <c r="DP103" s="1113">
        <f t="shared" si="530"/>
        <v>135225</v>
      </c>
      <c r="DQ103" s="155">
        <f t="shared" si="530"/>
        <v>136102</v>
      </c>
      <c r="DR103" s="150">
        <f t="shared" si="530"/>
        <v>136979</v>
      </c>
      <c r="DS103" s="1113">
        <f t="shared" si="530"/>
        <v>137856</v>
      </c>
      <c r="DT103" s="1113">
        <f t="shared" si="530"/>
        <v>138733</v>
      </c>
      <c r="DU103" s="155">
        <f t="shared" si="530"/>
        <v>139610</v>
      </c>
      <c r="DV103" s="1113">
        <f t="shared" si="530"/>
        <v>140487</v>
      </c>
      <c r="DW103" s="1113">
        <f t="shared" ref="DW103" ca="1" si="531">DV103+DW112+DW123</f>
        <v>140881.72261953386</v>
      </c>
      <c r="DX103" s="1113">
        <f t="shared" ref="DX103" ca="1" si="532">DW103+DX112+DX123</f>
        <v>141362.10896605611</v>
      </c>
      <c r="DY103" s="155">
        <f t="shared" ref="DY103" ca="1" si="533">DX103+DY112+DY123</f>
        <v>141978.18708157277</v>
      </c>
    </row>
    <row r="104" spans="1:129" s="1491" customFormat="1" hidden="1" outlineLevel="1">
      <c r="A104" s="1448" t="s">
        <v>1453</v>
      </c>
      <c r="B104" s="1065"/>
      <c r="C104" s="1065"/>
      <c r="D104" s="1065"/>
      <c r="E104" s="1065"/>
      <c r="F104" s="1065"/>
      <c r="G104" s="1065"/>
      <c r="H104" s="1065"/>
      <c r="I104" s="1065"/>
      <c r="J104" s="1065"/>
      <c r="K104" s="1065"/>
      <c r="L104" s="1065"/>
      <c r="M104" s="1065"/>
      <c r="N104" s="1065"/>
      <c r="O104" s="1300" t="s">
        <v>1149</v>
      </c>
      <c r="P104" s="1065">
        <f t="shared" ref="P104:AB104" si="534">P103/O103-1</f>
        <v>0.17676962676962682</v>
      </c>
      <c r="Q104" s="1065">
        <f t="shared" si="534"/>
        <v>5.5339858916169993E-2</v>
      </c>
      <c r="R104" s="1065">
        <f t="shared" si="534"/>
        <v>5.9598942950412015E-2</v>
      </c>
      <c r="S104" s="1065">
        <f t="shared" si="534"/>
        <v>5.2999628347319305E-2</v>
      </c>
      <c r="T104" s="1065">
        <f t="shared" si="534"/>
        <v>6.3911206055821346E-2</v>
      </c>
      <c r="U104" s="1065">
        <f t="shared" si="534"/>
        <v>6.086637682677698E-2</v>
      </c>
      <c r="V104" s="1065">
        <f t="shared" si="534"/>
        <v>6.2278839348903103E-2</v>
      </c>
      <c r="W104" s="1065">
        <f>W103/V103-1</f>
        <v>2.7175681328726498E-2</v>
      </c>
      <c r="X104" s="1065">
        <f>X103/W103-1</f>
        <v>6.6141756037225719E-3</v>
      </c>
      <c r="Y104" s="1065">
        <f>Y103/X103-1</f>
        <v>4.5995010152018123E-2</v>
      </c>
      <c r="Z104" s="1065">
        <f ca="1">Z103/Y103-1</f>
        <v>1.6962875736500127E-2</v>
      </c>
      <c r="AA104" s="1065">
        <f t="shared" ca="1" si="534"/>
        <v>8.9811065139377977E-3</v>
      </c>
      <c r="AB104" s="1065">
        <f t="shared" ca="1" si="534"/>
        <v>8.6723607662348989E-3</v>
      </c>
      <c r="AC104" s="1065">
        <f t="shared" ref="AC104" ca="1" si="535">AC103/AB103-1</f>
        <v>7.9883261443274289E-3</v>
      </c>
      <c r="AD104" s="1065">
        <f t="shared" ref="AD104" ca="1" si="536">AD103/AC103-1</f>
        <v>7.2334451258670995E-3</v>
      </c>
      <c r="AE104" s="1065">
        <f t="shared" ref="AE104" ca="1" si="537">AE103/AD103-1</f>
        <v>6.5332145707202027E-3</v>
      </c>
      <c r="AF104" s="1065">
        <f t="shared" ref="AF104" ca="1" si="538">AF103/AE103-1</f>
        <v>5.9326280876279558E-3</v>
      </c>
      <c r="AG104" s="1065">
        <f t="shared" ref="AG104" ca="1" si="539">AG103/AF103-1</f>
        <v>5.4416312193692473E-3</v>
      </c>
      <c r="AH104" s="2201"/>
      <c r="AI104" s="1927"/>
      <c r="AJ104" s="1561"/>
      <c r="AK104" s="1065"/>
      <c r="AL104" s="1065"/>
      <c r="AM104" s="1065"/>
      <c r="AN104" s="1324"/>
      <c r="AO104" s="1324"/>
      <c r="AP104" s="1325"/>
      <c r="AQ104" s="1324"/>
      <c r="AR104" s="1324"/>
      <c r="AS104" s="1324"/>
      <c r="AT104" s="1325"/>
      <c r="AU104" s="1324"/>
      <c r="AV104" s="1324"/>
      <c r="AW104" s="1324"/>
      <c r="AX104" s="1325"/>
      <c r="AY104" s="1324"/>
      <c r="AZ104" s="1324"/>
      <c r="BA104" s="1324"/>
      <c r="BB104" s="1325"/>
      <c r="BC104" s="1324"/>
      <c r="BD104" s="1324"/>
      <c r="BE104" s="1324"/>
      <c r="BF104" s="1325"/>
      <c r="BG104" s="1324"/>
      <c r="BH104" s="1324"/>
      <c r="BI104" s="1324"/>
      <c r="BJ104" s="1325"/>
      <c r="BK104" s="1324"/>
      <c r="BL104" s="1324"/>
      <c r="BM104" s="1324"/>
      <c r="BN104" s="1325"/>
      <c r="BO104" s="1324"/>
      <c r="BP104" s="1324"/>
      <c r="BQ104" s="1324"/>
      <c r="BR104" s="1325"/>
      <c r="BS104" s="1324"/>
      <c r="BT104" s="1324"/>
      <c r="BU104" s="1324"/>
      <c r="BV104" s="1325"/>
      <c r="BW104" s="1324"/>
      <c r="BX104" s="1324"/>
      <c r="BY104" s="1324"/>
      <c r="BZ104" s="1325"/>
      <c r="CA104" s="1324"/>
      <c r="CB104" s="1324"/>
      <c r="CC104" s="1324"/>
      <c r="CD104" s="1325"/>
      <c r="CE104" s="1324"/>
      <c r="CF104" s="1324"/>
      <c r="CG104" s="1495"/>
      <c r="CH104" s="623" t="s">
        <v>1149</v>
      </c>
      <c r="CI104" s="1300" t="s">
        <v>1149</v>
      </c>
      <c r="CJ104" s="1300" t="s">
        <v>1149</v>
      </c>
      <c r="CK104" s="1300" t="s">
        <v>1149</v>
      </c>
      <c r="CL104" s="563">
        <f t="shared" ref="CL104:DV104" si="540">CL103/CH103-1</f>
        <v>0.16254781558284681</v>
      </c>
      <c r="CM104" s="1065">
        <f t="shared" si="540"/>
        <v>0.14692782794852244</v>
      </c>
      <c r="CN104" s="1065">
        <f t="shared" si="540"/>
        <v>0.12731769091082867</v>
      </c>
      <c r="CO104" s="1065">
        <f t="shared" si="540"/>
        <v>5.5339858916169993E-2</v>
      </c>
      <c r="CP104" s="563">
        <f t="shared" si="540"/>
        <v>6.0926507197748725E-2</v>
      </c>
      <c r="CQ104" s="1065">
        <f t="shared" si="540"/>
        <v>6.9899163269684594E-2</v>
      </c>
      <c r="CR104" s="1065">
        <f t="shared" si="540"/>
        <v>7.136422886573901E-2</v>
      </c>
      <c r="CS104" s="1065">
        <f t="shared" si="540"/>
        <v>5.9598942950412015E-2</v>
      </c>
      <c r="CT104" s="563">
        <f t="shared" si="540"/>
        <v>6.1243228353686563E-2</v>
      </c>
      <c r="CU104" s="1065">
        <f t="shared" si="540"/>
        <v>6.5111895403866304E-2</v>
      </c>
      <c r="CV104" s="1065">
        <f t="shared" si="540"/>
        <v>6.399920866511688E-2</v>
      </c>
      <c r="CW104" s="1065">
        <f t="shared" si="540"/>
        <v>5.2999628347319305E-2</v>
      </c>
      <c r="CX104" s="563">
        <f t="shared" si="540"/>
        <v>4.6576685701101628E-2</v>
      </c>
      <c r="CY104" s="1065">
        <f t="shared" si="540"/>
        <v>3.8266026546173393E-2</v>
      </c>
      <c r="CZ104" s="1065">
        <f t="shared" si="540"/>
        <v>4.2913587133361242E-2</v>
      </c>
      <c r="DA104" s="1065">
        <f t="shared" si="540"/>
        <v>6.3911206055821346E-2</v>
      </c>
      <c r="DB104" s="563">
        <f t="shared" si="540"/>
        <v>6.7963662083092125E-2</v>
      </c>
      <c r="DC104" s="1065">
        <f t="shared" si="540"/>
        <v>6.8081055351557174E-2</v>
      </c>
      <c r="DD104" s="1065">
        <f t="shared" si="540"/>
        <v>6.4039364954849853E-2</v>
      </c>
      <c r="DE104" s="1065">
        <f t="shared" si="540"/>
        <v>6.086637682677698E-2</v>
      </c>
      <c r="DF104" s="563">
        <f t="shared" si="540"/>
        <v>5.4194691483322677E-2</v>
      </c>
      <c r="DG104" s="1065">
        <f t="shared" si="540"/>
        <v>5.6789243149638402E-2</v>
      </c>
      <c r="DH104" s="1065">
        <f t="shared" si="540"/>
        <v>5.9933816445356669E-2</v>
      </c>
      <c r="DI104" s="564">
        <f t="shared" si="540"/>
        <v>6.2278839348903103E-2</v>
      </c>
      <c r="DJ104" s="563">
        <f t="shared" si="540"/>
        <v>6.0342506547439445E-2</v>
      </c>
      <c r="DK104" s="1065">
        <f t="shared" si="540"/>
        <v>5.0974344145099382E-2</v>
      </c>
      <c r="DL104" s="1065">
        <f t="shared" si="540"/>
        <v>4.1084738260656506E-2</v>
      </c>
      <c r="DM104" s="564">
        <f t="shared" si="540"/>
        <v>2.7175681328726498E-2</v>
      </c>
      <c r="DN104" s="1065">
        <f t="shared" si="540"/>
        <v>2.6992297807837629E-2</v>
      </c>
      <c r="DO104" s="1065">
        <f t="shared" si="540"/>
        <v>2.681137266890854E-2</v>
      </c>
      <c r="DP104" s="1065">
        <f t="shared" si="540"/>
        <v>2.6632856806638516E-2</v>
      </c>
      <c r="DQ104" s="564">
        <f t="shared" si="540"/>
        <v>2.6456702414890509E-2</v>
      </c>
      <c r="DR104" s="563">
        <f t="shared" si="540"/>
        <v>2.6282862944010388E-2</v>
      </c>
      <c r="DS104" s="1065">
        <f t="shared" si="540"/>
        <v>2.6111293059814855E-2</v>
      </c>
      <c r="DT104" s="1065">
        <f t="shared" si="540"/>
        <v>2.5941948604178311E-2</v>
      </c>
      <c r="DU104" s="564">
        <f t="shared" si="540"/>
        <v>2.5774786557140938E-2</v>
      </c>
      <c r="DV104" s="1065">
        <f t="shared" si="540"/>
        <v>2.5609765000474516E-2</v>
      </c>
      <c r="DW104" s="1065">
        <f t="shared" ref="DW104" ca="1" si="541">DW103/DS103-1</f>
        <v>2.194842893696225E-2</v>
      </c>
      <c r="DX104" s="1065">
        <f t="shared" ref="DX104" ca="1" si="542">DX103/DT103-1</f>
        <v>1.8950854995250621E-2</v>
      </c>
      <c r="DY104" s="564">
        <f t="shared" ref="DY104" ca="1" si="543">DY103/DU103-1</f>
        <v>1.6962875736500127E-2</v>
      </c>
    </row>
    <row r="105" spans="1:129" s="1491" customFormat="1" hidden="1" outlineLevel="1">
      <c r="A105" s="569" t="s">
        <v>1475</v>
      </c>
      <c r="B105" s="1064"/>
      <c r="C105" s="1064"/>
      <c r="D105" s="1070"/>
      <c r="E105" s="1070"/>
      <c r="F105" s="1070"/>
      <c r="G105" s="1064"/>
      <c r="H105" s="1064"/>
      <c r="I105" s="1064"/>
      <c r="J105" s="1064"/>
      <c r="K105" s="1064"/>
      <c r="L105" s="1064"/>
      <c r="M105" s="1064"/>
      <c r="N105" s="1064"/>
      <c r="O105" s="1070">
        <f t="shared" ref="O105:AB105" si="544">AVERAGE(N103:O103)</f>
        <v>38850</v>
      </c>
      <c r="P105" s="1070">
        <f t="shared" si="544"/>
        <v>84567.5</v>
      </c>
      <c r="Q105" s="1070">
        <f t="shared" si="544"/>
        <v>93965</v>
      </c>
      <c r="R105" s="1070">
        <f t="shared" si="544"/>
        <v>99370.5</v>
      </c>
      <c r="S105" s="1070">
        <f t="shared" si="544"/>
        <v>104955.5</v>
      </c>
      <c r="T105" s="1070">
        <f t="shared" si="544"/>
        <v>111105.5</v>
      </c>
      <c r="U105" s="1070">
        <f t="shared" si="544"/>
        <v>118032</v>
      </c>
      <c r="V105" s="1070">
        <f t="shared" si="544"/>
        <v>125302</v>
      </c>
      <c r="W105" s="1070">
        <f>AVERAGE(V103:W103)</f>
        <v>130840</v>
      </c>
      <c r="X105" s="1070">
        <f>AVERAGE(W103:X103)</f>
        <v>133032.5</v>
      </c>
      <c r="Y105" s="1070">
        <f>AVERAGE(X103:Y103)</f>
        <v>136540.5</v>
      </c>
      <c r="Z105" s="1070">
        <f ca="1">AVERAGE(Y103:Z103)</f>
        <v>140794.09354078639</v>
      </c>
      <c r="AA105" s="1070">
        <f t="shared" ca="1" si="544"/>
        <v>142615.74769199046</v>
      </c>
      <c r="AB105" s="1070">
        <f t="shared" ca="1" si="544"/>
        <v>143874.48048768577</v>
      </c>
      <c r="AC105" s="1070">
        <f t="shared" ref="AC105" ca="1" si="545">AVERAGE(AB103:AC103)</f>
        <v>145072.7918729579</v>
      </c>
      <c r="AD105" s="1070">
        <f t="shared" ref="AD105" ca="1" si="546">AVERAGE(AC103:AD103)</f>
        <v>146176.70646495369</v>
      </c>
      <c r="AE105" s="1070">
        <f t="shared" ref="AE105" ca="1" si="547">AVERAGE(AD103:AE103)</f>
        <v>147182.70451957657</v>
      </c>
      <c r="AF105" s="1070">
        <f t="shared" ref="AF105" ca="1" si="548">AVERAGE(AE103:AF103)</f>
        <v>148099.93883053539</v>
      </c>
      <c r="AG105" s="1070">
        <f t="shared" ref="AG105" ca="1" si="549">AVERAGE(AF103:AG103)</f>
        <v>148942.09485316608</v>
      </c>
      <c r="AH105" s="2201"/>
      <c r="AI105" s="1927"/>
      <c r="AJ105" s="1561"/>
      <c r="AK105" s="1070"/>
      <c r="AL105" s="1070"/>
      <c r="AM105" s="1064"/>
      <c r="AN105" s="1334"/>
      <c r="AO105" s="1319"/>
      <c r="AP105" s="1496"/>
      <c r="AQ105" s="1334"/>
      <c r="AR105" s="1334"/>
      <c r="AS105" s="1334"/>
      <c r="AT105" s="1496"/>
      <c r="AU105" s="1334"/>
      <c r="AV105" s="1334"/>
      <c r="AW105" s="1334"/>
      <c r="AX105" s="1496"/>
      <c r="AY105" s="1334"/>
      <c r="AZ105" s="1334"/>
      <c r="BA105" s="1334"/>
      <c r="BB105" s="794"/>
      <c r="BC105" s="1319"/>
      <c r="BD105" s="1319"/>
      <c r="BE105" s="1319"/>
      <c r="BF105" s="794"/>
      <c r="BG105" s="1319"/>
      <c r="BH105" s="1319"/>
      <c r="BI105" s="1319"/>
      <c r="BJ105" s="794"/>
      <c r="BK105" s="1319"/>
      <c r="BL105" s="1319"/>
      <c r="BM105" s="1319"/>
      <c r="BN105" s="794"/>
      <c r="BO105" s="1319"/>
      <c r="BP105" s="1319"/>
      <c r="BQ105" s="1319"/>
      <c r="BR105" s="794"/>
      <c r="BS105" s="1319"/>
      <c r="BT105" s="1319"/>
      <c r="BU105" s="1319"/>
      <c r="BV105" s="794"/>
      <c r="BW105" s="1319"/>
      <c r="BX105" s="1319"/>
      <c r="BY105" s="1319"/>
      <c r="BZ105" s="1496"/>
      <c r="CA105" s="1334"/>
      <c r="CB105" s="1334"/>
      <c r="CC105" s="1334"/>
      <c r="CD105" s="1496"/>
      <c r="CE105" s="1334"/>
      <c r="CF105" s="1334"/>
      <c r="CG105" s="1497">
        <f t="shared" ref="CG105:DV105" si="550">AVERAGE(CF103:CG103)</f>
        <v>77700</v>
      </c>
      <c r="CH105" s="607">
        <f t="shared" si="550"/>
        <v>78586</v>
      </c>
      <c r="CI105" s="1070">
        <f t="shared" si="550"/>
        <v>80375</v>
      </c>
      <c r="CJ105" s="1070">
        <f t="shared" si="550"/>
        <v>82491</v>
      </c>
      <c r="CK105" s="1070">
        <f t="shared" si="550"/>
        <v>87569.5</v>
      </c>
      <c r="CL105" s="607">
        <f t="shared" si="550"/>
        <v>91912.5</v>
      </c>
      <c r="CM105" s="1070">
        <f t="shared" si="550"/>
        <v>92805</v>
      </c>
      <c r="CN105" s="1070">
        <f t="shared" si="550"/>
        <v>93790.5</v>
      </c>
      <c r="CO105" s="1070">
        <f t="shared" si="550"/>
        <v>95428</v>
      </c>
      <c r="CP105" s="607">
        <f t="shared" si="550"/>
        <v>97257</v>
      </c>
      <c r="CQ105" s="1070">
        <f t="shared" si="550"/>
        <v>98877.5</v>
      </c>
      <c r="CR105" s="1070">
        <f t="shared" si="550"/>
        <v>100415.5</v>
      </c>
      <c r="CS105" s="1070">
        <f t="shared" si="550"/>
        <v>101670.5</v>
      </c>
      <c r="CT105" s="607">
        <f t="shared" si="550"/>
        <v>103134</v>
      </c>
      <c r="CU105" s="1070">
        <f t="shared" si="550"/>
        <v>105126</v>
      </c>
      <c r="CV105" s="1070">
        <f t="shared" si="550"/>
        <v>106897.5</v>
      </c>
      <c r="CW105" s="1070">
        <f t="shared" si="550"/>
        <v>107615</v>
      </c>
      <c r="CX105" s="607">
        <f t="shared" si="550"/>
        <v>108266</v>
      </c>
      <c r="CY105" s="1070">
        <f t="shared" si="550"/>
        <v>109581</v>
      </c>
      <c r="CZ105" s="1070">
        <f t="shared" si="550"/>
        <v>111238</v>
      </c>
      <c r="DA105" s="1070">
        <f t="shared" si="550"/>
        <v>113363.5</v>
      </c>
      <c r="DB105" s="607">
        <f t="shared" si="550"/>
        <v>115406</v>
      </c>
      <c r="DC105" s="1070">
        <f t="shared" si="550"/>
        <v>117035</v>
      </c>
      <c r="DD105" s="1070">
        <f t="shared" si="550"/>
        <v>118584.5</v>
      </c>
      <c r="DE105" s="1070">
        <f t="shared" si="550"/>
        <v>120441.5</v>
      </c>
      <c r="DF105" s="607">
        <f t="shared" si="550"/>
        <v>122042.5</v>
      </c>
      <c r="DG105" s="1070">
        <f t="shared" si="550"/>
        <v>123530.5</v>
      </c>
      <c r="DH105" s="1070">
        <f t="shared" si="550"/>
        <v>125506.5</v>
      </c>
      <c r="DI105" s="608">
        <f t="shared" si="550"/>
        <v>127802.5</v>
      </c>
      <c r="DJ105" s="607">
        <f t="shared" si="550"/>
        <v>129524.5</v>
      </c>
      <c r="DK105" s="1070">
        <f t="shared" si="550"/>
        <v>130401.5</v>
      </c>
      <c r="DL105" s="1070">
        <f t="shared" si="550"/>
        <v>131278.5</v>
      </c>
      <c r="DM105" s="608">
        <f t="shared" si="550"/>
        <v>132155.5</v>
      </c>
      <c r="DN105" s="1070">
        <f t="shared" si="550"/>
        <v>133032.5</v>
      </c>
      <c r="DO105" s="1070">
        <f t="shared" si="550"/>
        <v>133909.5</v>
      </c>
      <c r="DP105" s="1070">
        <f t="shared" si="550"/>
        <v>134786.5</v>
      </c>
      <c r="DQ105" s="608">
        <f t="shared" si="550"/>
        <v>135663.5</v>
      </c>
      <c r="DR105" s="607">
        <f t="shared" si="550"/>
        <v>136540.5</v>
      </c>
      <c r="DS105" s="1070">
        <f t="shared" si="550"/>
        <v>137417.5</v>
      </c>
      <c r="DT105" s="1070">
        <f t="shared" si="550"/>
        <v>138294.5</v>
      </c>
      <c r="DU105" s="608">
        <f t="shared" si="550"/>
        <v>139171.5</v>
      </c>
      <c r="DV105" s="1070">
        <f t="shared" si="550"/>
        <v>140048.5</v>
      </c>
      <c r="DW105" s="1070">
        <f t="shared" ref="DW105" ca="1" si="551">AVERAGE(DV103:DW103)</f>
        <v>140684.36130976694</v>
      </c>
      <c r="DX105" s="1070">
        <f t="shared" ref="DX105" ca="1" si="552">AVERAGE(DW103:DX103)</f>
        <v>141121.91579279499</v>
      </c>
      <c r="DY105" s="608">
        <f t="shared" ref="DY105" ca="1" si="553">AVERAGE(DX103:DY103)</f>
        <v>141670.14802381443</v>
      </c>
    </row>
    <row r="106" spans="1:129" s="1491" customFormat="1" hidden="1" outlineLevel="1">
      <c r="A106" s="1448" t="s">
        <v>1453</v>
      </c>
      <c r="B106" s="1065"/>
      <c r="C106" s="1065"/>
      <c r="D106" s="1065"/>
      <c r="E106" s="1065"/>
      <c r="F106" s="1065"/>
      <c r="G106" s="1065"/>
      <c r="H106" s="1065"/>
      <c r="I106" s="1065"/>
      <c r="J106" s="1065"/>
      <c r="K106" s="1065"/>
      <c r="L106" s="1065"/>
      <c r="M106" s="1065"/>
      <c r="N106" s="1065"/>
      <c r="O106" s="1300" t="s">
        <v>1149</v>
      </c>
      <c r="P106" s="1065">
        <f t="shared" ref="P106:AB106" si="554">P105/O105-1</f>
        <v>1.1767696267696266</v>
      </c>
      <c r="Q106" s="1065">
        <f t="shared" si="554"/>
        <v>0.11112424985957969</v>
      </c>
      <c r="R106" s="1065">
        <f t="shared" si="554"/>
        <v>5.7526738679295475E-2</v>
      </c>
      <c r="S106" s="1065">
        <f t="shared" si="554"/>
        <v>5.6203802939504222E-2</v>
      </c>
      <c r="T106" s="1065">
        <f t="shared" si="554"/>
        <v>5.8596262225419249E-2</v>
      </c>
      <c r="U106" s="1065">
        <f t="shared" si="554"/>
        <v>6.2341648253236848E-2</v>
      </c>
      <c r="V106" s="1065">
        <f t="shared" si="554"/>
        <v>6.1593466178663459E-2</v>
      </c>
      <c r="W106" s="1065">
        <f>W105/V105-1</f>
        <v>4.4197219517645436E-2</v>
      </c>
      <c r="X106" s="1065">
        <f>X105/W105-1</f>
        <v>1.6757107918067948E-2</v>
      </c>
      <c r="Y106" s="1065">
        <f>Y105/X105-1</f>
        <v>2.6369496175746576E-2</v>
      </c>
      <c r="Z106" s="1065">
        <f ca="1">Z105/Y105-1</f>
        <v>3.1152614358277431E-2</v>
      </c>
      <c r="AA106" s="1065">
        <f t="shared" ca="1" si="554"/>
        <v>1.2938427354385773E-2</v>
      </c>
      <c r="AB106" s="1065">
        <f t="shared" ca="1" si="554"/>
        <v>8.8260435194984499E-3</v>
      </c>
      <c r="AC106" s="1065">
        <f t="shared" ref="AC106" ca="1" si="555">AC105/AB105-1</f>
        <v>8.3288668095291563E-3</v>
      </c>
      <c r="AD106" s="1065">
        <f t="shared" ref="AD106" ca="1" si="556">AD105/AC105-1</f>
        <v>7.6093840736346507E-3</v>
      </c>
      <c r="AE106" s="1065">
        <f t="shared" ref="AE106" ca="1" si="557">AE105/AD105-1</f>
        <v>6.8820681417123275E-3</v>
      </c>
      <c r="AF106" s="1065">
        <f t="shared" ref="AF106" ca="1" si="558">AF105/AE105-1</f>
        <v>6.2319435829962799E-3</v>
      </c>
      <c r="AG106" s="1065">
        <f t="shared" ref="AG106" ca="1" si="559">AG105/AF105-1</f>
        <v>5.6864035818025016E-3</v>
      </c>
      <c r="AH106" s="2201"/>
      <c r="AI106" s="1927"/>
      <c r="AJ106" s="1561"/>
      <c r="AK106" s="1065"/>
      <c r="AL106" s="1065"/>
      <c r="AM106" s="1065"/>
      <c r="AN106" s="1324"/>
      <c r="AO106" s="1324"/>
      <c r="AP106" s="1325"/>
      <c r="AQ106" s="1324"/>
      <c r="AR106" s="1324"/>
      <c r="AS106" s="1324"/>
      <c r="AT106" s="1325"/>
      <c r="AU106" s="1324"/>
      <c r="AV106" s="1324"/>
      <c r="AW106" s="1324"/>
      <c r="AX106" s="1325"/>
      <c r="AY106" s="1324"/>
      <c r="AZ106" s="1324"/>
      <c r="BA106" s="1324"/>
      <c r="BB106" s="1325"/>
      <c r="BC106" s="1324"/>
      <c r="BD106" s="1324"/>
      <c r="BE106" s="1324"/>
      <c r="BF106" s="1325"/>
      <c r="BG106" s="1324"/>
      <c r="BH106" s="1324"/>
      <c r="BI106" s="1324"/>
      <c r="BJ106" s="1325"/>
      <c r="BK106" s="1324"/>
      <c r="BL106" s="1324"/>
      <c r="BM106" s="1324"/>
      <c r="BN106" s="1325"/>
      <c r="BO106" s="1324"/>
      <c r="BP106" s="1324"/>
      <c r="BQ106" s="1324"/>
      <c r="BR106" s="1325"/>
      <c r="BS106" s="1324"/>
      <c r="BT106" s="1324"/>
      <c r="BU106" s="1324"/>
      <c r="BV106" s="1325"/>
      <c r="BW106" s="1324"/>
      <c r="BX106" s="1324"/>
      <c r="BY106" s="1324"/>
      <c r="BZ106" s="1325"/>
      <c r="CA106" s="1324"/>
      <c r="CB106" s="1324"/>
      <c r="CC106" s="1324"/>
      <c r="CD106" s="1325"/>
      <c r="CE106" s="1324"/>
      <c r="CF106" s="1324"/>
      <c r="CG106" s="1495"/>
      <c r="CH106" s="623" t="s">
        <v>1149</v>
      </c>
      <c r="CI106" s="1300" t="s">
        <v>1149</v>
      </c>
      <c r="CJ106" s="1300" t="s">
        <v>1149</v>
      </c>
      <c r="CK106" s="1300" t="s">
        <v>1149</v>
      </c>
      <c r="CL106" s="563">
        <f t="shared" ref="CL106:DV106" si="560">CL105/CH105-1</f>
        <v>0.16957855088692653</v>
      </c>
      <c r="CM106" s="1065">
        <f t="shared" si="560"/>
        <v>0.15465007776049777</v>
      </c>
      <c r="CN106" s="1065">
        <f t="shared" si="560"/>
        <v>0.13697857948139802</v>
      </c>
      <c r="CO106" s="1065">
        <f t="shared" si="560"/>
        <v>8.9740149252879098E-2</v>
      </c>
      <c r="CP106" s="563">
        <f t="shared" si="560"/>
        <v>5.8147694818441398E-2</v>
      </c>
      <c r="CQ106" s="1065">
        <f t="shared" si="560"/>
        <v>6.5432896934432438E-2</v>
      </c>
      <c r="CR106" s="1065">
        <f t="shared" si="560"/>
        <v>7.0636151849067907E-2</v>
      </c>
      <c r="CS106" s="1065">
        <f t="shared" si="560"/>
        <v>6.5415810873119096E-2</v>
      </c>
      <c r="CT106" s="563">
        <f t="shared" si="560"/>
        <v>6.0427527067460352E-2</v>
      </c>
      <c r="CU106" s="1065">
        <f t="shared" si="560"/>
        <v>6.3194356653434758E-2</v>
      </c>
      <c r="CV106" s="1065">
        <f t="shared" si="560"/>
        <v>6.4551787323670062E-2</v>
      </c>
      <c r="CW106" s="1065">
        <f t="shared" si="560"/>
        <v>5.8468287261300045E-2</v>
      </c>
      <c r="CX106" s="563">
        <f t="shared" si="560"/>
        <v>4.9760505749801176E-2</v>
      </c>
      <c r="CY106" s="1065">
        <f t="shared" si="560"/>
        <v>4.2377718166771272E-2</v>
      </c>
      <c r="CZ106" s="1065">
        <f t="shared" si="560"/>
        <v>4.0604317219766539E-2</v>
      </c>
      <c r="DA106" s="1065">
        <f t="shared" si="560"/>
        <v>5.3417274543511528E-2</v>
      </c>
      <c r="DB106" s="563">
        <f t="shared" si="560"/>
        <v>6.5948681950011911E-2</v>
      </c>
      <c r="DC106" s="1065">
        <f t="shared" si="560"/>
        <v>6.8022741168633161E-2</v>
      </c>
      <c r="DD106" s="1065">
        <f t="shared" si="560"/>
        <v>6.6043078804005839E-2</v>
      </c>
      <c r="DE106" s="1065">
        <f t="shared" si="560"/>
        <v>6.2436322096618424E-2</v>
      </c>
      <c r="DF106" s="563">
        <f t="shared" si="560"/>
        <v>5.7505675614786034E-2</v>
      </c>
      <c r="DG106" s="1065">
        <f t="shared" si="560"/>
        <v>5.5500491306019528E-2</v>
      </c>
      <c r="DH106" s="1065">
        <f t="shared" si="560"/>
        <v>5.8371878280888412E-2</v>
      </c>
      <c r="DI106" s="564">
        <f t="shared" si="560"/>
        <v>6.1116807744838741E-2</v>
      </c>
      <c r="DJ106" s="563">
        <f t="shared" si="560"/>
        <v>6.130651207571125E-2</v>
      </c>
      <c r="DK106" s="1065">
        <f t="shared" si="560"/>
        <v>5.5621890950008357E-2</v>
      </c>
      <c r="DL106" s="1065">
        <f t="shared" si="560"/>
        <v>4.598964993844934E-2</v>
      </c>
      <c r="DM106" s="564">
        <f t="shared" si="560"/>
        <v>3.4060366581248447E-2</v>
      </c>
      <c r="DN106" s="1065">
        <f t="shared" si="560"/>
        <v>2.7083679149504603E-2</v>
      </c>
      <c r="DO106" s="1065">
        <f t="shared" si="560"/>
        <v>2.6901531040670612E-2</v>
      </c>
      <c r="DP106" s="1065">
        <f t="shared" si="560"/>
        <v>2.6721816596015247E-2</v>
      </c>
      <c r="DQ106" s="564">
        <f t="shared" si="560"/>
        <v>2.6544487365262937E-2</v>
      </c>
      <c r="DR106" s="563">
        <f t="shared" si="560"/>
        <v>2.6369496175746576E-2</v>
      </c>
      <c r="DS106" s="1065">
        <f t="shared" si="560"/>
        <v>2.6196797090572321E-2</v>
      </c>
      <c r="DT106" s="1065">
        <f t="shared" si="560"/>
        <v>2.6026345368415971E-2</v>
      </c>
      <c r="DU106" s="564">
        <f t="shared" si="560"/>
        <v>2.5858097424878546E-2</v>
      </c>
      <c r="DV106" s="1065">
        <f t="shared" si="560"/>
        <v>2.5692010795331788E-2</v>
      </c>
      <c r="DW106" s="1065">
        <f t="shared" ref="DW106" ca="1" si="561">DW105/DS105-1</f>
        <v>2.3773255296937856E-2</v>
      </c>
      <c r="DX106" s="1065">
        <f t="shared" ref="DX106" ca="1" si="562">DX105/DT105-1</f>
        <v>2.044488965790392E-2</v>
      </c>
      <c r="DY106" s="564">
        <f t="shared" ref="DY106" ca="1" si="563">DY105/DU105-1</f>
        <v>1.7953733514508574E-2</v>
      </c>
    </row>
    <row r="107" spans="1:129" s="1491" customFormat="1" hidden="1" outlineLevel="1">
      <c r="A107" s="1454" t="s">
        <v>1476</v>
      </c>
      <c r="B107" s="1472"/>
      <c r="C107" s="1472"/>
      <c r="D107" s="1479"/>
      <c r="E107" s="1479"/>
      <c r="F107" s="1479"/>
      <c r="G107" s="1472"/>
      <c r="H107" s="1472"/>
      <c r="I107" s="1472"/>
      <c r="J107" s="1472"/>
      <c r="K107" s="1472"/>
      <c r="L107" s="1472"/>
      <c r="M107" s="1472"/>
      <c r="N107" s="1123">
        <f>+CC107</f>
        <v>11823.938000000002</v>
      </c>
      <c r="O107" s="1123">
        <f>CG107</f>
        <v>12785.192999999999</v>
      </c>
      <c r="P107" s="1123">
        <f>CK107</f>
        <v>19379</v>
      </c>
      <c r="Q107" s="1064"/>
      <c r="R107" s="1064"/>
      <c r="S107" s="1064"/>
      <c r="T107" s="1064"/>
      <c r="U107" s="1064"/>
      <c r="V107" s="1064"/>
      <c r="W107" s="1064"/>
      <c r="X107" s="1064"/>
      <c r="Y107" s="1064"/>
      <c r="Z107" s="1064"/>
      <c r="AA107" s="1064"/>
      <c r="AB107" s="1064"/>
      <c r="AC107" s="1064"/>
      <c r="AD107" s="1064"/>
      <c r="AE107" s="1064"/>
      <c r="AF107" s="1064"/>
      <c r="AG107" s="1064"/>
      <c r="AH107" s="2201"/>
      <c r="AI107" s="1927"/>
      <c r="AJ107" s="1561"/>
      <c r="AK107" s="1070"/>
      <c r="AL107" s="1070"/>
      <c r="AM107" s="1064"/>
      <c r="AN107" s="1479"/>
      <c r="AO107" s="1472"/>
      <c r="AP107" s="1480"/>
      <c r="AQ107" s="1479"/>
      <c r="AR107" s="1479"/>
      <c r="AS107" s="1479"/>
      <c r="AT107" s="1480"/>
      <c r="AU107" s="1479"/>
      <c r="AV107" s="1479"/>
      <c r="AW107" s="1479"/>
      <c r="AX107" s="1480"/>
      <c r="AY107" s="1479"/>
      <c r="AZ107" s="1479"/>
      <c r="BA107" s="1479"/>
      <c r="BB107" s="1454"/>
      <c r="BC107" s="1472"/>
      <c r="BD107" s="1472"/>
      <c r="BE107" s="1472"/>
      <c r="BF107" s="1454"/>
      <c r="BG107" s="1472"/>
      <c r="BH107" s="1472"/>
      <c r="BI107" s="1472"/>
      <c r="BJ107" s="1454"/>
      <c r="BK107" s="1472"/>
      <c r="BL107" s="1472"/>
      <c r="BM107" s="1472"/>
      <c r="BN107" s="1454"/>
      <c r="BO107" s="1472"/>
      <c r="BP107" s="1472"/>
      <c r="BQ107" s="1472"/>
      <c r="BR107" s="1454"/>
      <c r="BS107" s="1472"/>
      <c r="BT107" s="1472"/>
      <c r="BU107" s="1472"/>
      <c r="BV107" s="1454"/>
      <c r="BW107" s="1472"/>
      <c r="BX107" s="1472"/>
      <c r="BY107" s="1498">
        <v>10662.324000000001</v>
      </c>
      <c r="BZ107" s="1480">
        <f t="shared" ref="BZ107:CF107" si="564">BY107+BZ188</f>
        <v>10827.065000000001</v>
      </c>
      <c r="CA107" s="1479">
        <f t="shared" si="564"/>
        <v>11085.145</v>
      </c>
      <c r="CB107" s="1479">
        <f t="shared" si="564"/>
        <v>11162.300000000001</v>
      </c>
      <c r="CC107" s="1479">
        <f t="shared" si="564"/>
        <v>11823.938000000002</v>
      </c>
      <c r="CD107" s="1480">
        <f t="shared" si="564"/>
        <v>12060.572000000002</v>
      </c>
      <c r="CE107" s="1479">
        <f t="shared" si="564"/>
        <v>12242.066000000003</v>
      </c>
      <c r="CF107" s="1479">
        <f t="shared" si="564"/>
        <v>12447.085000000003</v>
      </c>
      <c r="CG107" s="1363">
        <v>12785.192999999999</v>
      </c>
      <c r="CH107" s="450">
        <v>13170.1</v>
      </c>
      <c r="CI107" s="1363">
        <v>13489.8</v>
      </c>
      <c r="CJ107" s="1363">
        <v>13825</v>
      </c>
      <c r="CK107" s="1372">
        <f>+CK103-CK99</f>
        <v>19379</v>
      </c>
      <c r="CL107" s="607"/>
      <c r="CM107" s="1070"/>
      <c r="CN107" s="1070"/>
      <c r="CO107" s="1070"/>
      <c r="CP107" s="607"/>
      <c r="CQ107" s="1070"/>
      <c r="CR107" s="1070"/>
      <c r="CS107" s="1070"/>
      <c r="CT107" s="607"/>
      <c r="CU107" s="1070"/>
      <c r="CV107" s="1070"/>
      <c r="CW107" s="1070"/>
      <c r="CX107" s="607"/>
      <c r="CY107" s="1070"/>
      <c r="CZ107" s="1070"/>
      <c r="DA107" s="1070"/>
      <c r="DB107" s="607"/>
      <c r="DC107" s="1070"/>
      <c r="DD107" s="1070"/>
      <c r="DE107" s="1070"/>
      <c r="DF107" s="607"/>
      <c r="DG107" s="1070"/>
      <c r="DH107" s="1070"/>
      <c r="DI107" s="608"/>
      <c r="DJ107" s="607"/>
      <c r="DK107" s="1070"/>
      <c r="DL107" s="1070"/>
      <c r="DM107" s="608"/>
      <c r="DN107" s="1070"/>
      <c r="DO107" s="1070"/>
      <c r="DP107" s="1070"/>
      <c r="DQ107" s="608"/>
      <c r="DR107" s="607"/>
      <c r="DS107" s="1070"/>
      <c r="DT107" s="1070"/>
      <c r="DU107" s="608"/>
      <c r="DV107" s="1070"/>
      <c r="DW107" s="1070"/>
      <c r="DX107" s="1070"/>
      <c r="DY107" s="608"/>
    </row>
    <row r="108" spans="1:129" s="1491" customFormat="1" hidden="1" outlineLevel="1">
      <c r="A108" s="1450" t="s">
        <v>1453</v>
      </c>
      <c r="B108" s="1472"/>
      <c r="C108" s="1472"/>
      <c r="D108" s="1479"/>
      <c r="E108" s="1479"/>
      <c r="F108" s="1479"/>
      <c r="G108" s="1472"/>
      <c r="H108" s="1472"/>
      <c r="I108" s="1472"/>
      <c r="J108" s="1472"/>
      <c r="K108" s="1472"/>
      <c r="L108" s="1472"/>
      <c r="M108" s="1472"/>
      <c r="N108" s="1472"/>
      <c r="O108" s="1472">
        <f>O107/N107-1</f>
        <v>8.1297364718928344E-2</v>
      </c>
      <c r="P108" s="1472">
        <f>P107/O107-1</f>
        <v>0.51573777572227497</v>
      </c>
      <c r="Q108" s="1064"/>
      <c r="R108" s="1064"/>
      <c r="S108" s="1064"/>
      <c r="T108" s="1064"/>
      <c r="U108" s="1064"/>
      <c r="V108" s="1064"/>
      <c r="W108" s="1064"/>
      <c r="X108" s="1064"/>
      <c r="Y108" s="1064"/>
      <c r="Z108" s="1064"/>
      <c r="AA108" s="1064"/>
      <c r="AB108" s="1064"/>
      <c r="AC108" s="1064"/>
      <c r="AD108" s="1064"/>
      <c r="AE108" s="1064"/>
      <c r="AF108" s="1064"/>
      <c r="AG108" s="1064"/>
      <c r="AH108" s="2201"/>
      <c r="AI108" s="1927"/>
      <c r="AJ108" s="1561"/>
      <c r="AK108" s="1070"/>
      <c r="AL108" s="1070"/>
      <c r="AM108" s="1064"/>
      <c r="AN108" s="1479"/>
      <c r="AO108" s="1472"/>
      <c r="AP108" s="1480"/>
      <c r="AQ108" s="1479"/>
      <c r="AR108" s="1479"/>
      <c r="AS108" s="1479"/>
      <c r="AT108" s="1480"/>
      <c r="AU108" s="1479"/>
      <c r="AV108" s="1479"/>
      <c r="AW108" s="1479"/>
      <c r="AX108" s="1480"/>
      <c r="AY108" s="1479"/>
      <c r="AZ108" s="1479"/>
      <c r="BA108" s="1479"/>
      <c r="BB108" s="1454"/>
      <c r="BC108" s="1472"/>
      <c r="BD108" s="1472"/>
      <c r="BE108" s="1472"/>
      <c r="BF108" s="1454"/>
      <c r="BG108" s="1472"/>
      <c r="BH108" s="1472"/>
      <c r="BI108" s="1472"/>
      <c r="BJ108" s="1454"/>
      <c r="BK108" s="1472"/>
      <c r="BL108" s="1472"/>
      <c r="BM108" s="1472"/>
      <c r="BN108" s="1454"/>
      <c r="BO108" s="1472"/>
      <c r="BP108" s="1472"/>
      <c r="BQ108" s="1472"/>
      <c r="BR108" s="1454"/>
      <c r="BS108" s="1472"/>
      <c r="BT108" s="1472"/>
      <c r="BU108" s="1472"/>
      <c r="BV108" s="1454"/>
      <c r="BW108" s="1472"/>
      <c r="BX108" s="1472"/>
      <c r="BY108" s="1472"/>
      <c r="BZ108" s="1480"/>
      <c r="CA108" s="1479"/>
      <c r="CB108" s="1479"/>
      <c r="CC108" s="1479"/>
      <c r="CD108" s="1454"/>
      <c r="CE108" s="1472">
        <f t="shared" ref="CE108:CK108" si="565">CE107/CA107-1</f>
        <v>0.10436678996982018</v>
      </c>
      <c r="CF108" s="1472">
        <f t="shared" si="565"/>
        <v>0.11510038253764909</v>
      </c>
      <c r="CG108" s="1472">
        <f t="shared" si="565"/>
        <v>8.1297364718928344E-2</v>
      </c>
      <c r="CH108" s="1454">
        <f t="shared" si="565"/>
        <v>9.1996300009651089E-2</v>
      </c>
      <c r="CI108" s="1472">
        <f t="shared" si="565"/>
        <v>0.10192184881212007</v>
      </c>
      <c r="CJ108" s="1472">
        <f t="shared" si="565"/>
        <v>0.11070182295694098</v>
      </c>
      <c r="CK108" s="1472">
        <f t="shared" si="565"/>
        <v>0.51573777572227497</v>
      </c>
      <c r="CL108" s="569"/>
      <c r="CM108" s="1064"/>
      <c r="CN108" s="1064"/>
      <c r="CO108" s="1064"/>
      <c r="CP108" s="569"/>
      <c r="CQ108" s="1064"/>
      <c r="CR108" s="1064"/>
      <c r="CS108" s="1064"/>
      <c r="CT108" s="569"/>
      <c r="CU108" s="1064"/>
      <c r="CV108" s="1064"/>
      <c r="CW108" s="1064"/>
      <c r="CX108" s="569"/>
      <c r="CY108" s="1064"/>
      <c r="CZ108" s="1064"/>
      <c r="DA108" s="1064"/>
      <c r="DB108" s="569"/>
      <c r="DC108" s="1064"/>
      <c r="DD108" s="1064"/>
      <c r="DE108" s="1064"/>
      <c r="DF108" s="569"/>
      <c r="DG108" s="1064"/>
      <c r="DH108" s="1064"/>
      <c r="DI108" s="568"/>
      <c r="DJ108" s="569"/>
      <c r="DK108" s="1064"/>
      <c r="DL108" s="1064"/>
      <c r="DM108" s="568"/>
      <c r="DN108" s="1064"/>
      <c r="DO108" s="1064"/>
      <c r="DP108" s="1064"/>
      <c r="DQ108" s="568"/>
      <c r="DR108" s="569"/>
      <c r="DS108" s="1064"/>
      <c r="DT108" s="1064"/>
      <c r="DU108" s="568"/>
      <c r="DV108" s="1064"/>
      <c r="DW108" s="1064"/>
      <c r="DX108" s="1064"/>
      <c r="DY108" s="568"/>
    </row>
    <row r="109" spans="1:129" s="1491" customFormat="1" hidden="1" outlineLevel="1">
      <c r="A109" s="1450" t="s">
        <v>1477</v>
      </c>
      <c r="B109" s="1472"/>
      <c r="C109" s="1472"/>
      <c r="D109" s="1479"/>
      <c r="E109" s="1479"/>
      <c r="F109" s="1479"/>
      <c r="G109" s="1472"/>
      <c r="H109" s="1472"/>
      <c r="I109" s="1472"/>
      <c r="J109" s="1472"/>
      <c r="K109" s="1472"/>
      <c r="L109" s="1472"/>
      <c r="M109" s="1472"/>
      <c r="N109" s="1472"/>
      <c r="O109" s="1472"/>
      <c r="P109" s="1472"/>
      <c r="Q109" s="1064"/>
      <c r="R109" s="1064"/>
      <c r="S109" s="1064"/>
      <c r="T109" s="1064"/>
      <c r="U109" s="1064"/>
      <c r="V109" s="1064"/>
      <c r="W109" s="1064"/>
      <c r="X109" s="1064"/>
      <c r="Y109" s="1064"/>
      <c r="Z109" s="1064"/>
      <c r="AA109" s="1064"/>
      <c r="AB109" s="1064"/>
      <c r="AC109" s="1064"/>
      <c r="AD109" s="1064"/>
      <c r="AE109" s="1064"/>
      <c r="AF109" s="1064"/>
      <c r="AG109" s="1064"/>
      <c r="AH109" s="2201"/>
      <c r="AI109" s="1927"/>
      <c r="AJ109" s="1561"/>
      <c r="AK109" s="1070"/>
      <c r="AL109" s="1070"/>
      <c r="AM109" s="1064"/>
      <c r="AN109" s="1479"/>
      <c r="AO109" s="1472"/>
      <c r="AP109" s="1480"/>
      <c r="AQ109" s="1479"/>
      <c r="AR109" s="1479"/>
      <c r="AS109" s="1479"/>
      <c r="AT109" s="1480"/>
      <c r="AU109" s="1479"/>
      <c r="AV109" s="1479"/>
      <c r="AW109" s="1479"/>
      <c r="AX109" s="1480"/>
      <c r="AY109" s="1479"/>
      <c r="AZ109" s="1479"/>
      <c r="BA109" s="1479"/>
      <c r="BB109" s="1454"/>
      <c r="BC109" s="1472"/>
      <c r="BD109" s="1472"/>
      <c r="BE109" s="1472"/>
      <c r="BF109" s="1454"/>
      <c r="BG109" s="1472"/>
      <c r="BH109" s="1472"/>
      <c r="BI109" s="1472"/>
      <c r="BJ109" s="1454"/>
      <c r="BK109" s="1472"/>
      <c r="BL109" s="1472"/>
      <c r="BM109" s="1472"/>
      <c r="BN109" s="1454"/>
      <c r="BO109" s="1472"/>
      <c r="BP109" s="1472"/>
      <c r="BQ109" s="1472"/>
      <c r="BR109" s="1454"/>
      <c r="BS109" s="1472"/>
      <c r="BT109" s="1472"/>
      <c r="BU109" s="1472"/>
      <c r="BV109" s="1454"/>
      <c r="BW109" s="1472"/>
      <c r="BX109" s="1472"/>
      <c r="BY109" s="1472"/>
      <c r="BZ109" s="1480"/>
      <c r="CA109" s="1479"/>
      <c r="CB109" s="1479"/>
      <c r="CC109" s="1479"/>
      <c r="CD109" s="1454"/>
      <c r="CE109" s="1472"/>
      <c r="CF109" s="1472"/>
      <c r="CG109" s="1472"/>
      <c r="CH109" s="1454"/>
      <c r="CI109" s="1472"/>
      <c r="CJ109" s="1472"/>
      <c r="CK109" s="1472"/>
      <c r="CL109" s="569"/>
      <c r="CM109" s="1064"/>
      <c r="CN109" s="1064"/>
      <c r="CO109" s="1064"/>
      <c r="CP109" s="569"/>
      <c r="CQ109" s="1064"/>
      <c r="CR109" s="1064"/>
      <c r="CS109" s="1064"/>
      <c r="CT109" s="569"/>
      <c r="CU109" s="1064"/>
      <c r="CV109" s="1064"/>
      <c r="CW109" s="1064"/>
      <c r="CX109" s="569"/>
      <c r="CY109" s="1064"/>
      <c r="CZ109" s="1064"/>
      <c r="DA109" s="1064"/>
      <c r="DB109" s="569"/>
      <c r="DC109" s="1064"/>
      <c r="DD109" s="1064"/>
      <c r="DE109" s="1064"/>
      <c r="DF109" s="569"/>
      <c r="DG109" s="1064"/>
      <c r="DH109" s="1064"/>
      <c r="DI109" s="568"/>
      <c r="DJ109" s="569"/>
      <c r="DK109" s="1064"/>
      <c r="DL109" s="1064"/>
      <c r="DM109" s="568"/>
      <c r="DN109" s="1064"/>
      <c r="DO109" s="1064"/>
      <c r="DP109" s="1064"/>
      <c r="DQ109" s="568"/>
      <c r="DR109" s="569"/>
      <c r="DS109" s="1064"/>
      <c r="DT109" s="1064"/>
      <c r="DU109" s="568"/>
      <c r="DV109" s="1064"/>
      <c r="DW109" s="1064"/>
      <c r="DX109" s="1064"/>
      <c r="DY109" s="568"/>
    </row>
    <row r="110" spans="1:129" s="1491" customFormat="1" hidden="1" outlineLevel="1">
      <c r="A110" s="1450"/>
      <c r="B110" s="1472"/>
      <c r="C110" s="1472"/>
      <c r="D110" s="1479"/>
      <c r="E110" s="1479"/>
      <c r="F110" s="1479"/>
      <c r="G110" s="1472"/>
      <c r="H110" s="1472"/>
      <c r="I110" s="1472"/>
      <c r="J110" s="1472"/>
      <c r="K110" s="1472"/>
      <c r="L110" s="1472"/>
      <c r="M110" s="1472"/>
      <c r="N110" s="1472"/>
      <c r="O110" s="1472"/>
      <c r="P110" s="1472"/>
      <c r="Q110" s="1064"/>
      <c r="R110" s="1064"/>
      <c r="S110" s="1064"/>
      <c r="T110" s="1064"/>
      <c r="U110" s="1064"/>
      <c r="V110" s="1064"/>
      <c r="W110" s="1064"/>
      <c r="X110" s="1064"/>
      <c r="Y110" s="1064"/>
      <c r="Z110" s="1064"/>
      <c r="AA110" s="1064"/>
      <c r="AB110" s="1064"/>
      <c r="AC110" s="1064"/>
      <c r="AD110" s="1064"/>
      <c r="AE110" s="1064"/>
      <c r="AF110" s="1064"/>
      <c r="AG110" s="1064"/>
      <c r="AH110" s="2201"/>
      <c r="AI110" s="1927"/>
      <c r="AJ110" s="1561"/>
      <c r="AK110" s="1070"/>
      <c r="AL110" s="1070"/>
      <c r="AM110" s="1064"/>
      <c r="AN110" s="1479"/>
      <c r="AO110" s="1472"/>
      <c r="AP110" s="1480"/>
      <c r="AQ110" s="1479"/>
      <c r="AR110" s="1479"/>
      <c r="AS110" s="1479"/>
      <c r="AT110" s="1480"/>
      <c r="AU110" s="1479"/>
      <c r="AV110" s="1479"/>
      <c r="AW110" s="1479"/>
      <c r="AX110" s="1480"/>
      <c r="AY110" s="1479"/>
      <c r="AZ110" s="1479"/>
      <c r="BA110" s="1479"/>
      <c r="BB110" s="1454"/>
      <c r="BC110" s="1472"/>
      <c r="BD110" s="1472"/>
      <c r="BE110" s="1472"/>
      <c r="BF110" s="1454"/>
      <c r="BG110" s="1472"/>
      <c r="BH110" s="1472"/>
      <c r="BI110" s="1472"/>
      <c r="BJ110" s="1454"/>
      <c r="BK110" s="1472"/>
      <c r="BL110" s="1472"/>
      <c r="BM110" s="1472"/>
      <c r="BN110" s="1454"/>
      <c r="BO110" s="1472"/>
      <c r="BP110" s="1472"/>
      <c r="BQ110" s="1472"/>
      <c r="BR110" s="1454"/>
      <c r="BS110" s="1472"/>
      <c r="BT110" s="1472"/>
      <c r="BU110" s="1472"/>
      <c r="BV110" s="1454"/>
      <c r="BW110" s="1472"/>
      <c r="BX110" s="1472"/>
      <c r="BY110" s="1472"/>
      <c r="BZ110" s="1480"/>
      <c r="CA110" s="1479"/>
      <c r="CB110" s="1479"/>
      <c r="CC110" s="1479"/>
      <c r="CD110" s="1454"/>
      <c r="CE110" s="1472"/>
      <c r="CF110" s="1472"/>
      <c r="CG110" s="1472"/>
      <c r="CH110" s="1454"/>
      <c r="CI110" s="1472"/>
      <c r="CJ110" s="1472"/>
      <c r="CK110" s="1472"/>
      <c r="CL110" s="569"/>
      <c r="CM110" s="1064"/>
      <c r="CN110" s="1064"/>
      <c r="CO110" s="1064"/>
      <c r="CP110" s="569"/>
      <c r="CQ110" s="1064"/>
      <c r="CR110" s="1064"/>
      <c r="CS110" s="1064"/>
      <c r="CT110" s="569"/>
      <c r="CU110" s="1064"/>
      <c r="CV110" s="1064"/>
      <c r="CW110" s="1064"/>
      <c r="CX110" s="569"/>
      <c r="CY110" s="1064"/>
      <c r="CZ110" s="1064"/>
      <c r="DA110" s="1064"/>
      <c r="DB110" s="569"/>
      <c r="DC110" s="1064"/>
      <c r="DD110" s="1064"/>
      <c r="DE110" s="1064"/>
      <c r="DF110" s="569"/>
      <c r="DG110" s="1064"/>
      <c r="DH110" s="1064"/>
      <c r="DI110" s="568"/>
      <c r="DJ110" s="569"/>
      <c r="DK110" s="1064"/>
      <c r="DL110" s="1064"/>
      <c r="DM110" s="568"/>
      <c r="DN110" s="1064"/>
      <c r="DO110" s="1064"/>
      <c r="DP110" s="1064"/>
      <c r="DQ110" s="568"/>
      <c r="DR110" s="569"/>
      <c r="DS110" s="1064"/>
      <c r="DT110" s="1064"/>
      <c r="DU110" s="568"/>
      <c r="DV110" s="1064"/>
      <c r="DW110" s="1064"/>
      <c r="DX110" s="1064"/>
      <c r="DY110" s="568"/>
    </row>
    <row r="111" spans="1:129" s="1491" customFormat="1" hidden="1" outlineLevel="1">
      <c r="A111" s="1454" t="s">
        <v>1475</v>
      </c>
      <c r="B111" s="1472"/>
      <c r="C111" s="1472"/>
      <c r="D111" s="1479"/>
      <c r="E111" s="1479"/>
      <c r="F111" s="1479"/>
      <c r="G111" s="1472"/>
      <c r="H111" s="1472"/>
      <c r="I111" s="1472"/>
      <c r="J111" s="1472"/>
      <c r="K111" s="1472"/>
      <c r="L111" s="1472"/>
      <c r="M111" s="1472"/>
      <c r="N111" s="1472"/>
      <c r="O111" s="1479">
        <f>AVERAGE(N107:O107)</f>
        <v>12304.565500000001</v>
      </c>
      <c r="P111" s="1479">
        <f>AVERAGE(O107:P107)</f>
        <v>16082.0965</v>
      </c>
      <c r="Q111" s="1064"/>
      <c r="R111" s="1064"/>
      <c r="S111" s="1064"/>
      <c r="T111" s="1064"/>
      <c r="U111" s="1064"/>
      <c r="V111" s="1064"/>
      <c r="W111" s="1064"/>
      <c r="X111" s="1064"/>
      <c r="Y111" s="1064"/>
      <c r="Z111" s="1064"/>
      <c r="AA111" s="1064"/>
      <c r="AB111" s="1064"/>
      <c r="AC111" s="1064"/>
      <c r="AD111" s="1064"/>
      <c r="AE111" s="1064"/>
      <c r="AF111" s="1064"/>
      <c r="AG111" s="1064"/>
      <c r="AH111" s="2201"/>
      <c r="AI111" s="1927"/>
      <c r="AJ111" s="1561"/>
      <c r="AK111" s="1070"/>
      <c r="AL111" s="1070"/>
      <c r="AM111" s="1064"/>
      <c r="AN111" s="1479"/>
      <c r="AO111" s="1472"/>
      <c r="AP111" s="1480"/>
      <c r="AQ111" s="1479"/>
      <c r="AR111" s="1479"/>
      <c r="AS111" s="1479"/>
      <c r="AT111" s="1480"/>
      <c r="AU111" s="1479"/>
      <c r="AV111" s="1479"/>
      <c r="AW111" s="1479"/>
      <c r="AX111" s="1480"/>
      <c r="AY111" s="1479"/>
      <c r="AZ111" s="1479"/>
      <c r="BA111" s="1479"/>
      <c r="BB111" s="1454"/>
      <c r="BC111" s="1472"/>
      <c r="BD111" s="1472"/>
      <c r="BE111" s="1472"/>
      <c r="BF111" s="1454"/>
      <c r="BG111" s="1472"/>
      <c r="BH111" s="1472"/>
      <c r="BI111" s="1472"/>
      <c r="BJ111" s="1454"/>
      <c r="BK111" s="1472"/>
      <c r="BL111" s="1472"/>
      <c r="BM111" s="1472"/>
      <c r="BN111" s="1454"/>
      <c r="BO111" s="1472"/>
      <c r="BP111" s="1472"/>
      <c r="BQ111" s="1472"/>
      <c r="BR111" s="1454"/>
      <c r="BS111" s="1472"/>
      <c r="BT111" s="1472"/>
      <c r="BU111" s="1472"/>
      <c r="BV111" s="1454"/>
      <c r="BW111" s="1472"/>
      <c r="BX111" s="1472"/>
      <c r="BY111" s="1472"/>
      <c r="BZ111" s="1480">
        <f t="shared" ref="BZ111:CK111" si="566">AVERAGE(BY107:BZ107)</f>
        <v>10744.694500000001</v>
      </c>
      <c r="CA111" s="1479">
        <f t="shared" si="566"/>
        <v>10956.105</v>
      </c>
      <c r="CB111" s="1479">
        <f t="shared" si="566"/>
        <v>11123.7225</v>
      </c>
      <c r="CC111" s="1479">
        <f t="shared" si="566"/>
        <v>11493.119000000002</v>
      </c>
      <c r="CD111" s="1480">
        <f t="shared" si="566"/>
        <v>11942.255000000001</v>
      </c>
      <c r="CE111" s="1479">
        <f t="shared" si="566"/>
        <v>12151.319000000003</v>
      </c>
      <c r="CF111" s="1479">
        <f t="shared" si="566"/>
        <v>12344.575500000003</v>
      </c>
      <c r="CG111" s="1479">
        <f t="shared" si="566"/>
        <v>12616.139000000001</v>
      </c>
      <c r="CH111" s="1480">
        <f t="shared" si="566"/>
        <v>12977.646499999999</v>
      </c>
      <c r="CI111" s="1479">
        <f t="shared" si="566"/>
        <v>13329.95</v>
      </c>
      <c r="CJ111" s="1479">
        <f t="shared" si="566"/>
        <v>13657.4</v>
      </c>
      <c r="CK111" s="1479">
        <f t="shared" si="566"/>
        <v>16602</v>
      </c>
      <c r="CL111" s="607"/>
      <c r="CM111" s="1070"/>
      <c r="CN111" s="1070"/>
      <c r="CO111" s="1070"/>
      <c r="CP111" s="607"/>
      <c r="CQ111" s="1070"/>
      <c r="CR111" s="1070"/>
      <c r="CS111" s="1070"/>
      <c r="CT111" s="607"/>
      <c r="CU111" s="1070"/>
      <c r="CV111" s="1070"/>
      <c r="CW111" s="1070"/>
      <c r="CX111" s="607"/>
      <c r="CY111" s="1070"/>
      <c r="CZ111" s="1070"/>
      <c r="DA111" s="1070"/>
      <c r="DB111" s="607"/>
      <c r="DC111" s="1070"/>
      <c r="DD111" s="1070"/>
      <c r="DE111" s="1070"/>
      <c r="DF111" s="607"/>
      <c r="DG111" s="1070"/>
      <c r="DH111" s="1070"/>
      <c r="DI111" s="608"/>
      <c r="DJ111" s="607"/>
      <c r="DK111" s="1070"/>
      <c r="DL111" s="1070"/>
      <c r="DM111" s="608"/>
      <c r="DN111" s="1070"/>
      <c r="DO111" s="1070"/>
      <c r="DP111" s="1070"/>
      <c r="DQ111" s="608"/>
      <c r="DR111" s="607"/>
      <c r="DS111" s="1070"/>
      <c r="DT111" s="1070"/>
      <c r="DU111" s="608"/>
      <c r="DV111" s="1070"/>
      <c r="DW111" s="1070"/>
      <c r="DX111" s="1070"/>
      <c r="DY111" s="608"/>
    </row>
    <row r="112" spans="1:129" s="1491" customFormat="1" hidden="1" outlineLevel="1">
      <c r="A112" s="1395" t="s">
        <v>376</v>
      </c>
      <c r="B112" s="1068"/>
      <c r="C112" s="1068"/>
      <c r="D112" s="1113"/>
      <c r="E112" s="1113"/>
      <c r="F112" s="1113"/>
      <c r="G112" s="1113"/>
      <c r="H112" s="1113"/>
      <c r="I112" s="1113"/>
      <c r="J112" s="1113"/>
      <c r="K112" s="1113"/>
      <c r="L112" s="1113"/>
      <c r="M112" s="1113"/>
      <c r="N112" s="1113">
        <f>N182+N188</f>
        <v>8876.6140000000014</v>
      </c>
      <c r="O112" s="1113">
        <f>O182+O188</f>
        <v>7616.2549999999956</v>
      </c>
      <c r="P112" s="1113">
        <f>P182+P188</f>
        <v>7126.9290000000001</v>
      </c>
      <c r="Q112" s="1113">
        <f>+SUM(CL112:CO112)</f>
        <v>4935</v>
      </c>
      <c r="R112" s="1113">
        <f>+SUM(CP112:CS112)</f>
        <v>5517</v>
      </c>
      <c r="S112" s="1113">
        <f>+SUM(CT112:CW112)</f>
        <v>5419</v>
      </c>
      <c r="T112" s="1113">
        <f>+SUM(CX112:DA112)</f>
        <v>6881</v>
      </c>
      <c r="U112" s="1113">
        <f>+SUM(DB112:DE112)</f>
        <v>6972</v>
      </c>
      <c r="V112" s="1113">
        <f>+SUM(DF112:DI112)</f>
        <v>7568</v>
      </c>
      <c r="W112" s="1113">
        <f>+SUM(DG112:DJ112)</f>
        <v>7396</v>
      </c>
      <c r="X112" s="1113">
        <f>+SUM(DH112:DK112)</f>
        <v>6346</v>
      </c>
      <c r="Y112" s="1113">
        <f>+SUM(DR112:DU112)</f>
        <v>3508</v>
      </c>
      <c r="Z112" s="1113">
        <f ca="1">+SUM(DV112:DY112)</f>
        <v>2368.1870815727916</v>
      </c>
      <c r="AA112" s="1113">
        <f ca="1">AA135-AA153</f>
        <v>1275.1212208354082</v>
      </c>
      <c r="AB112" s="1113">
        <f ca="1">AB135-AB153</f>
        <v>1242.3443705551581</v>
      </c>
      <c r="AC112" s="1113">
        <f t="shared" ref="AC112:AG112" ca="1" si="567">AC135-AC153</f>
        <v>1154.2783999891035</v>
      </c>
      <c r="AD112" s="1113">
        <f t="shared" ca="1" si="567"/>
        <v>1053.5507840025348</v>
      </c>
      <c r="AE112" s="1113">
        <f t="shared" ca="1" si="567"/>
        <v>958.44532524324313</v>
      </c>
      <c r="AF112" s="1113">
        <f t="shared" ca="1" si="567"/>
        <v>876.0232966743788</v>
      </c>
      <c r="AG112" s="1113">
        <f t="shared" ca="1" si="567"/>
        <v>808.28874858694689</v>
      </c>
      <c r="AH112" s="2201"/>
      <c r="AI112" s="1927"/>
      <c r="AJ112" s="1561"/>
      <c r="AK112" s="1113"/>
      <c r="AL112" s="1113"/>
      <c r="AM112" s="1064"/>
      <c r="AN112" s="1113"/>
      <c r="AO112" s="1113"/>
      <c r="AP112" s="150"/>
      <c r="AQ112" s="1113"/>
      <c r="AR112" s="1113"/>
      <c r="AS112" s="1113"/>
      <c r="AT112" s="150"/>
      <c r="AU112" s="1113"/>
      <c r="AV112" s="1113"/>
      <c r="AW112" s="1113"/>
      <c r="AX112" s="150"/>
      <c r="AY112" s="1113"/>
      <c r="AZ112" s="1113"/>
      <c r="BA112" s="1113"/>
      <c r="BB112" s="150"/>
      <c r="BC112" s="1113"/>
      <c r="BD112" s="1113"/>
      <c r="BE112" s="1113"/>
      <c r="BF112" s="493"/>
      <c r="BG112" s="1113"/>
      <c r="BH112" s="1113"/>
      <c r="BI112" s="1387"/>
      <c r="BJ112" s="150"/>
      <c r="BK112" s="1387"/>
      <c r="BL112" s="1387"/>
      <c r="BM112" s="1387"/>
      <c r="BN112" s="493"/>
      <c r="BO112" s="1387"/>
      <c r="BP112" s="1387"/>
      <c r="BQ112" s="1387"/>
      <c r="BR112" s="493"/>
      <c r="BS112" s="1387"/>
      <c r="BT112" s="1387"/>
      <c r="BU112" s="1387"/>
      <c r="BV112" s="150"/>
      <c r="BW112" s="1113"/>
      <c r="BX112" s="1113"/>
      <c r="BY112" s="1113"/>
      <c r="BZ112" s="150">
        <f t="shared" ref="BZ112:CG112" si="568">BZ182+BZ188</f>
        <v>1847.741</v>
      </c>
      <c r="CA112" s="1113">
        <f t="shared" si="568"/>
        <v>2073.08</v>
      </c>
      <c r="CB112" s="1113">
        <f t="shared" si="568"/>
        <v>1989.155</v>
      </c>
      <c r="CC112" s="1113">
        <f t="shared" si="568"/>
        <v>2966.6379999999999</v>
      </c>
      <c r="CD112" s="150">
        <f t="shared" si="568"/>
        <v>1900.634</v>
      </c>
      <c r="CE112" s="1113">
        <f t="shared" si="568"/>
        <v>1519.4939999999999</v>
      </c>
      <c r="CF112" s="1113">
        <f t="shared" si="568"/>
        <v>1850.019</v>
      </c>
      <c r="CG112" s="1113">
        <f t="shared" si="568"/>
        <v>2346.1079999999965</v>
      </c>
      <c r="CH112" s="150">
        <f>+NormInputs!BX303</f>
        <v>1772</v>
      </c>
      <c r="CI112" s="1113">
        <f>+NormInputs!BY303-CI123</f>
        <v>1760</v>
      </c>
      <c r="CJ112" s="1113">
        <f>+NormInputs!BZ303-CJ123</f>
        <v>1780</v>
      </c>
      <c r="CK112" s="1113">
        <f>+NormInputs!CA303-CK123</f>
        <v>1693</v>
      </c>
      <c r="CL112" s="150">
        <f>+NormInputs!CB303-CL123</f>
        <v>955</v>
      </c>
      <c r="CM112" s="1113">
        <f>+NormInputs!CC303-CM123</f>
        <v>837</v>
      </c>
      <c r="CN112" s="1113">
        <f>+NormInputs!CD303-CN123</f>
        <v>1028</v>
      </c>
      <c r="CO112" s="1113">
        <f>+NormInputs!CE303-CO123</f>
        <v>2115</v>
      </c>
      <c r="CP112" s="150">
        <f>+NormInputs!CF303-CP123</f>
        <v>1506</v>
      </c>
      <c r="CQ112" s="1113">
        <f>+NormInputs!CG303-CQ123</f>
        <v>1622</v>
      </c>
      <c r="CR112" s="1113">
        <f>+NormInputs!CH303-CR123</f>
        <v>1248</v>
      </c>
      <c r="CS112" s="1113">
        <f>+NormInputs!CI303-CS123</f>
        <v>1141</v>
      </c>
      <c r="CT112" s="150">
        <f>+NormInputs!CJ303-CT123</f>
        <v>1776</v>
      </c>
      <c r="CU112" s="1113">
        <f>+NormInputs!CK303-CU123</f>
        <v>2208</v>
      </c>
      <c r="CV112" s="1113">
        <f>+NormInputs!CL303-CV123</f>
        <v>1335</v>
      </c>
      <c r="CW112" s="1113">
        <f>+NormInputs!CM303-CW123</f>
        <v>100</v>
      </c>
      <c r="CX112" s="150">
        <f>+NormInputs!CN303-CX123</f>
        <v>1202</v>
      </c>
      <c r="CY112" s="1113">
        <f>+NormInputs!CO303-CY123</f>
        <v>1428</v>
      </c>
      <c r="CZ112" s="1113">
        <f>+NormInputs!CP303-CZ123</f>
        <v>1886</v>
      </c>
      <c r="DA112" s="1113">
        <f>+NormInputs!CQ303-DA123</f>
        <v>2365</v>
      </c>
      <c r="DB112" s="150">
        <f>+NormInputs!CR303-DB123</f>
        <v>1720</v>
      </c>
      <c r="DC112" s="1113">
        <f>+NormInputs!CS303-DC123</f>
        <v>1538</v>
      </c>
      <c r="DD112" s="1113">
        <f>+NormInputs!CT303-DD123</f>
        <v>1561</v>
      </c>
      <c r="DE112" s="1113">
        <f>+NormInputs!CU303-DE123</f>
        <v>2153</v>
      </c>
      <c r="DF112" s="150">
        <f>+NormInputs!CV303-DF123</f>
        <v>1049</v>
      </c>
      <c r="DG112" s="1113">
        <f>+NormInputs!CW303-DG123</f>
        <v>1927</v>
      </c>
      <c r="DH112" s="1113">
        <f>+NormInputs!CX303-DH123</f>
        <v>2025</v>
      </c>
      <c r="DI112" s="155">
        <f>+NormInputs!CY303-DI123</f>
        <v>2567</v>
      </c>
      <c r="DJ112" s="150">
        <f>+NormInputs!CZ303-DJ123</f>
        <v>877</v>
      </c>
      <c r="DK112" s="1113">
        <f>+NormInputs!DA303-DK123</f>
        <v>877</v>
      </c>
      <c r="DL112" s="1113">
        <f>+NormInputs!DB303-DL123</f>
        <v>877</v>
      </c>
      <c r="DM112" s="155">
        <f>+NormInputs!DC303-DM123</f>
        <v>877</v>
      </c>
      <c r="DN112" s="1113">
        <f>+NormInputs!DD303-DN123</f>
        <v>877</v>
      </c>
      <c r="DO112" s="1113">
        <f>+NormInputs!DE303-DO123</f>
        <v>877</v>
      </c>
      <c r="DP112" s="1113">
        <f>+NormInputs!DF303-DP123</f>
        <v>877</v>
      </c>
      <c r="DQ112" s="155">
        <f>+NormInputs!DG303-DQ123</f>
        <v>877</v>
      </c>
      <c r="DR112" s="150">
        <f>+NormInputs!DH303-DR123</f>
        <v>877</v>
      </c>
      <c r="DS112" s="1113">
        <f>+NormInputs!DI303-DS123</f>
        <v>877</v>
      </c>
      <c r="DT112" s="1113">
        <f>+NormInputs!DJ303-DT123</f>
        <v>877</v>
      </c>
      <c r="DU112" s="155">
        <f>+NormInputs!DK303-DU123</f>
        <v>877</v>
      </c>
      <c r="DV112" s="1113">
        <f>+NormInputs!DL303-DV123</f>
        <v>877</v>
      </c>
      <c r="DW112" s="1113">
        <f t="shared" ref="DW112:DY112" ca="1" si="569">DW135-DW153</f>
        <v>394.72261953385714</v>
      </c>
      <c r="DX112" s="1113">
        <f t="shared" ca="1" si="569"/>
        <v>480.38634652225755</v>
      </c>
      <c r="DY112" s="155">
        <f t="shared" ca="1" si="569"/>
        <v>616.07811551667692</v>
      </c>
    </row>
    <row r="113" spans="1:129" s="1491" customFormat="1" hidden="1" outlineLevel="1">
      <c r="A113" s="1455" t="s">
        <v>1453</v>
      </c>
      <c r="B113" s="1064"/>
      <c r="C113" s="1064"/>
      <c r="D113" s="1070"/>
      <c r="E113" s="1070"/>
      <c r="F113" s="1070"/>
      <c r="G113" s="1064"/>
      <c r="H113" s="1064"/>
      <c r="I113" s="1064"/>
      <c r="J113" s="1064"/>
      <c r="K113" s="1064"/>
      <c r="L113" s="1070"/>
      <c r="M113" s="1070"/>
      <c r="N113" s="1070"/>
      <c r="O113" s="1070"/>
      <c r="P113" s="1070"/>
      <c r="Q113" s="1227">
        <f t="shared" ref="Q113:AB113" si="570">+Q112/P112-1</f>
        <v>-0.30755589118398685</v>
      </c>
      <c r="R113" s="1227">
        <f t="shared" si="570"/>
        <v>0.11793313069908806</v>
      </c>
      <c r="S113" s="1227">
        <f t="shared" si="570"/>
        <v>-1.7763277143375E-2</v>
      </c>
      <c r="T113" s="1227">
        <f t="shared" si="570"/>
        <v>0.26979147444177887</v>
      </c>
      <c r="U113" s="1227">
        <f t="shared" si="570"/>
        <v>1.322482197355046E-2</v>
      </c>
      <c r="V113" s="1227">
        <f t="shared" si="570"/>
        <v>8.5484796328169743E-2</v>
      </c>
      <c r="W113" s="1227">
        <f t="shared" si="570"/>
        <v>-2.2727272727272707E-2</v>
      </c>
      <c r="X113" s="1227">
        <f t="shared" si="570"/>
        <v>-0.14196863169280693</v>
      </c>
      <c r="Y113" s="1227">
        <f t="shared" si="570"/>
        <v>-0.44721084147494483</v>
      </c>
      <c r="Z113" s="1227">
        <f t="shared" ca="1" si="570"/>
        <v>-0.32491816374777893</v>
      </c>
      <c r="AA113" s="1227">
        <f t="shared" ca="1" si="570"/>
        <v>-0.46156229347026168</v>
      </c>
      <c r="AB113" s="1227">
        <f t="shared" ca="1" si="570"/>
        <v>-2.5704889656511298E-2</v>
      </c>
      <c r="AC113" s="1227">
        <f t="shared" ref="AC113" ca="1" si="571">+AC112/AB112-1</f>
        <v>-7.0886923668918911E-2</v>
      </c>
      <c r="AD113" s="1227">
        <f t="shared" ref="AD113" ca="1" si="572">+AD112/AC112-1</f>
        <v>-8.7264576715218478E-2</v>
      </c>
      <c r="AE113" s="1227">
        <f t="shared" ref="AE113" ca="1" si="573">+AE112/AD112-1</f>
        <v>-9.0271356828170557E-2</v>
      </c>
      <c r="AF113" s="1227">
        <f t="shared" ref="AF113" ca="1" si="574">+AF112/AE112-1</f>
        <v>-8.5995545492327907E-2</v>
      </c>
      <c r="AG113" s="1227">
        <f t="shared" ref="AG113" ca="1" si="575">+AG112/AF112-1</f>
        <v>-7.732048718860618E-2</v>
      </c>
      <c r="AH113" s="2201"/>
      <c r="AI113" s="1927"/>
      <c r="AJ113" s="1561"/>
      <c r="AK113" s="1070"/>
      <c r="AL113" s="1070"/>
      <c r="AM113" s="1064"/>
      <c r="AN113" s="1070"/>
      <c r="AO113" s="1070"/>
      <c r="AP113" s="607"/>
      <c r="AQ113" s="1070"/>
      <c r="AR113" s="1070"/>
      <c r="AS113" s="1070"/>
      <c r="AT113" s="607"/>
      <c r="AU113" s="1070"/>
      <c r="AV113" s="1070"/>
      <c r="AW113" s="1070"/>
      <c r="AX113" s="569"/>
      <c r="AY113" s="1064"/>
      <c r="AZ113" s="1064"/>
      <c r="BA113" s="1064"/>
      <c r="BB113" s="569"/>
      <c r="BC113" s="1064"/>
      <c r="BD113" s="1064"/>
      <c r="BE113" s="1064"/>
      <c r="BF113" s="569"/>
      <c r="BG113" s="1064"/>
      <c r="BH113" s="1064"/>
      <c r="BI113" s="1064"/>
      <c r="BJ113" s="569"/>
      <c r="BK113" s="1064"/>
      <c r="BL113" s="1064"/>
      <c r="BM113" s="1064"/>
      <c r="BN113" s="569"/>
      <c r="BO113" s="1064"/>
      <c r="BP113" s="1064"/>
      <c r="BQ113" s="1064"/>
      <c r="BR113" s="569"/>
      <c r="BS113" s="1064"/>
      <c r="BT113" s="1064"/>
      <c r="BU113" s="1064"/>
      <c r="BV113" s="569"/>
      <c r="BW113" s="1064"/>
      <c r="BX113" s="1064"/>
      <c r="BY113" s="1064"/>
      <c r="BZ113" s="569"/>
      <c r="CA113" s="1064"/>
      <c r="CB113" s="1064"/>
      <c r="CC113" s="1064"/>
      <c r="CD113" s="569"/>
      <c r="CE113" s="1070"/>
      <c r="CF113" s="1070"/>
      <c r="CG113" s="1070"/>
      <c r="CH113" s="569"/>
      <c r="CI113" s="1064"/>
      <c r="CJ113" s="1064"/>
      <c r="CK113" s="1070"/>
      <c r="CL113" s="574">
        <f t="shared" ref="CL113:DV113" si="576">+CL112/CH112-1</f>
        <v>-0.46106094808126408</v>
      </c>
      <c r="CM113" s="1227">
        <f t="shared" si="576"/>
        <v>-0.52443181818181817</v>
      </c>
      <c r="CN113" s="1227">
        <f t="shared" si="576"/>
        <v>-0.42247191011235952</v>
      </c>
      <c r="CO113" s="1227">
        <f t="shared" si="576"/>
        <v>0.24926166568222086</v>
      </c>
      <c r="CP113" s="574">
        <f t="shared" si="576"/>
        <v>0.57696335078534022</v>
      </c>
      <c r="CQ113" s="1227">
        <f t="shared" si="576"/>
        <v>0.93787335722819587</v>
      </c>
      <c r="CR113" s="1227">
        <f t="shared" si="576"/>
        <v>0.21400778210116722</v>
      </c>
      <c r="CS113" s="1227">
        <f t="shared" si="576"/>
        <v>-0.46052009456264775</v>
      </c>
      <c r="CT113" s="574">
        <f t="shared" si="576"/>
        <v>0.17928286852589648</v>
      </c>
      <c r="CU113" s="1227">
        <f t="shared" si="576"/>
        <v>0.36128236744759556</v>
      </c>
      <c r="CV113" s="1227">
        <f t="shared" si="576"/>
        <v>6.9711538461538547E-2</v>
      </c>
      <c r="CW113" s="1227">
        <f t="shared" si="576"/>
        <v>-0.91235758106923748</v>
      </c>
      <c r="CX113" s="574">
        <f t="shared" si="576"/>
        <v>-0.32319819819819817</v>
      </c>
      <c r="CY113" s="1227">
        <f t="shared" si="576"/>
        <v>-0.35326086956521741</v>
      </c>
      <c r="CZ113" s="1227">
        <f t="shared" si="576"/>
        <v>0.41273408239700382</v>
      </c>
      <c r="DA113" s="1227">
        <f t="shared" si="576"/>
        <v>22.65</v>
      </c>
      <c r="DB113" s="574">
        <f t="shared" si="576"/>
        <v>0.43094841930116479</v>
      </c>
      <c r="DC113" s="1227">
        <f t="shared" si="576"/>
        <v>7.703081232492992E-2</v>
      </c>
      <c r="DD113" s="1227">
        <f t="shared" si="576"/>
        <v>-0.17232237539766704</v>
      </c>
      <c r="DE113" s="1227">
        <f t="shared" si="576"/>
        <v>-8.9640591966173355E-2</v>
      </c>
      <c r="DF113" s="574">
        <f t="shared" si="576"/>
        <v>-0.39011627906976742</v>
      </c>
      <c r="DG113" s="1227">
        <f t="shared" si="576"/>
        <v>0.25292587776332898</v>
      </c>
      <c r="DH113" s="1227">
        <f t="shared" si="576"/>
        <v>0.2972453555413197</v>
      </c>
      <c r="DI113" s="575">
        <f t="shared" si="576"/>
        <v>0.19228982814677198</v>
      </c>
      <c r="DJ113" s="574">
        <f t="shared" si="576"/>
        <v>-0.16396568160152525</v>
      </c>
      <c r="DK113" s="1227">
        <f t="shared" si="576"/>
        <v>-0.54488842760768041</v>
      </c>
      <c r="DL113" s="1227">
        <f t="shared" si="576"/>
        <v>-0.56691358024691363</v>
      </c>
      <c r="DM113" s="575">
        <f t="shared" si="576"/>
        <v>-0.65835605765484995</v>
      </c>
      <c r="DN113" s="1227">
        <f t="shared" si="576"/>
        <v>0</v>
      </c>
      <c r="DO113" s="1227">
        <f t="shared" si="576"/>
        <v>0</v>
      </c>
      <c r="DP113" s="1227">
        <f t="shared" si="576"/>
        <v>0</v>
      </c>
      <c r="DQ113" s="575">
        <f t="shared" si="576"/>
        <v>0</v>
      </c>
      <c r="DR113" s="574">
        <f t="shared" si="576"/>
        <v>0</v>
      </c>
      <c r="DS113" s="1227">
        <f t="shared" si="576"/>
        <v>0</v>
      </c>
      <c r="DT113" s="1227">
        <f t="shared" si="576"/>
        <v>0</v>
      </c>
      <c r="DU113" s="575">
        <f t="shared" si="576"/>
        <v>0</v>
      </c>
      <c r="DV113" s="1227">
        <f t="shared" si="576"/>
        <v>0</v>
      </c>
      <c r="DW113" s="1227">
        <f t="shared" ref="DW113" ca="1" si="577">+DW112/DS112-1</f>
        <v>-0.54991719551441598</v>
      </c>
      <c r="DX113" s="1227">
        <f t="shared" ref="DX113" ca="1" si="578">+DX112/DT112-1</f>
        <v>-0.45223905755728899</v>
      </c>
      <c r="DY113" s="575">
        <f t="shared" ref="DY113" ca="1" si="579">+DY112/DU112-1</f>
        <v>-0.29751640191941053</v>
      </c>
    </row>
    <row r="114" spans="1:129" s="1491" customFormat="1" hidden="1" outlineLevel="1">
      <c r="A114" s="1455" t="s">
        <v>949</v>
      </c>
      <c r="B114" s="1064"/>
      <c r="C114" s="1064"/>
      <c r="D114" s="1070"/>
      <c r="E114" s="1070"/>
      <c r="F114" s="1070"/>
      <c r="G114" s="1064"/>
      <c r="H114" s="1064"/>
      <c r="I114" s="1064"/>
      <c r="J114" s="1064"/>
      <c r="K114" s="1064"/>
      <c r="L114" s="1070"/>
      <c r="M114" s="1070"/>
      <c r="N114" s="1070"/>
      <c r="O114" s="1070"/>
      <c r="P114" s="1070"/>
      <c r="Q114" s="1070"/>
      <c r="R114" s="1070"/>
      <c r="S114" s="1070"/>
      <c r="T114" s="1070"/>
      <c r="U114" s="1070"/>
      <c r="V114" s="1070"/>
      <c r="W114" s="1070"/>
      <c r="X114" s="1070"/>
      <c r="Y114" s="1070"/>
      <c r="Z114" s="1070"/>
      <c r="AA114" s="565"/>
      <c r="AB114" s="565"/>
      <c r="AC114" s="565"/>
      <c r="AD114" s="565"/>
      <c r="AE114" s="565"/>
      <c r="AF114" s="565"/>
      <c r="AG114" s="565"/>
      <c r="AH114" s="2201"/>
      <c r="AI114" s="1927"/>
      <c r="AJ114" s="1561"/>
      <c r="AK114" s="1070"/>
      <c r="AL114" s="1070"/>
      <c r="AM114" s="1064"/>
      <c r="AN114" s="1070"/>
      <c r="AO114" s="1070"/>
      <c r="AP114" s="607"/>
      <c r="AQ114" s="1070"/>
      <c r="AR114" s="1070"/>
      <c r="AS114" s="1070"/>
      <c r="AT114" s="607"/>
      <c r="AU114" s="1070"/>
      <c r="AV114" s="1070"/>
      <c r="AW114" s="1070"/>
      <c r="AX114" s="569"/>
      <c r="AY114" s="1064"/>
      <c r="AZ114" s="1064"/>
      <c r="BA114" s="1064"/>
      <c r="BB114" s="569"/>
      <c r="BC114" s="1064"/>
      <c r="BD114" s="1064"/>
      <c r="BE114" s="1064"/>
      <c r="BF114" s="569"/>
      <c r="BG114" s="1064"/>
      <c r="BH114" s="1064"/>
      <c r="BI114" s="1064"/>
      <c r="BJ114" s="569"/>
      <c r="BK114" s="1064"/>
      <c r="BL114" s="1064"/>
      <c r="BM114" s="1064"/>
      <c r="BN114" s="569"/>
      <c r="BO114" s="1064"/>
      <c r="BP114" s="1064"/>
      <c r="BQ114" s="1064"/>
      <c r="BR114" s="569"/>
      <c r="BS114" s="1064"/>
      <c r="BT114" s="1064"/>
      <c r="BU114" s="1064"/>
      <c r="BV114" s="569"/>
      <c r="BW114" s="1064"/>
      <c r="BX114" s="1064"/>
      <c r="BY114" s="1064"/>
      <c r="BZ114" s="569"/>
      <c r="CA114" s="1064"/>
      <c r="CB114" s="1064"/>
      <c r="CC114" s="1064"/>
      <c r="CD114" s="569"/>
      <c r="CE114" s="1070"/>
      <c r="CF114" s="1070"/>
      <c r="CG114" s="1070"/>
      <c r="CH114" s="569"/>
      <c r="CI114" s="1064"/>
      <c r="CJ114" s="1064"/>
      <c r="CK114" s="1070"/>
      <c r="CL114" s="574">
        <f t="shared" ref="CL114:DV114" si="580">+CL112/CK112-1</f>
        <v>-0.43591258121677501</v>
      </c>
      <c r="CM114" s="1227">
        <f t="shared" si="580"/>
        <v>-0.12356020942408374</v>
      </c>
      <c r="CN114" s="1227">
        <f t="shared" si="580"/>
        <v>0.22819593787335712</v>
      </c>
      <c r="CO114" s="1227">
        <f t="shared" si="580"/>
        <v>1.0573929961089492</v>
      </c>
      <c r="CP114" s="574">
        <f t="shared" si="580"/>
        <v>-0.28794326241134749</v>
      </c>
      <c r="CQ114" s="1227">
        <f t="shared" si="580"/>
        <v>7.7025232403718391E-2</v>
      </c>
      <c r="CR114" s="1227">
        <f t="shared" si="580"/>
        <v>-0.23057953144266341</v>
      </c>
      <c r="CS114" s="1227">
        <f t="shared" si="580"/>
        <v>-8.5737179487179516E-2</v>
      </c>
      <c r="CT114" s="574">
        <f t="shared" si="580"/>
        <v>0.55652936021034183</v>
      </c>
      <c r="CU114" s="1227">
        <f t="shared" si="580"/>
        <v>0.2432432432432432</v>
      </c>
      <c r="CV114" s="1227">
        <f t="shared" si="580"/>
        <v>-0.39538043478260865</v>
      </c>
      <c r="CW114" s="1227">
        <f t="shared" si="580"/>
        <v>-0.92509363295880154</v>
      </c>
      <c r="CX114" s="574">
        <f t="shared" si="580"/>
        <v>11.02</v>
      </c>
      <c r="CY114" s="1227">
        <f t="shared" si="580"/>
        <v>0.18801996672212984</v>
      </c>
      <c r="CZ114" s="1227">
        <f t="shared" si="580"/>
        <v>0.32072829131652658</v>
      </c>
      <c r="DA114" s="1227">
        <f t="shared" si="580"/>
        <v>0.25397667020148473</v>
      </c>
      <c r="DB114" s="574">
        <f t="shared" si="580"/>
        <v>-0.27272727272727271</v>
      </c>
      <c r="DC114" s="1227">
        <f t="shared" si="580"/>
        <v>-0.10581395348837208</v>
      </c>
      <c r="DD114" s="1227">
        <f t="shared" si="580"/>
        <v>1.4954486345903684E-2</v>
      </c>
      <c r="DE114" s="1227">
        <f t="shared" si="580"/>
        <v>0.37924407431133877</v>
      </c>
      <c r="DF114" s="574">
        <f t="shared" si="580"/>
        <v>-0.51277287505805846</v>
      </c>
      <c r="DG114" s="1227">
        <f t="shared" si="580"/>
        <v>0.83698760724499532</v>
      </c>
      <c r="DH114" s="1227">
        <f t="shared" si="580"/>
        <v>5.0856253243383387E-2</v>
      </c>
      <c r="DI114" s="575">
        <f t="shared" si="580"/>
        <v>0.26765432098765429</v>
      </c>
      <c r="DJ114" s="574">
        <f t="shared" si="580"/>
        <v>-0.65835605765484995</v>
      </c>
      <c r="DK114" s="1227">
        <f t="shared" si="580"/>
        <v>0</v>
      </c>
      <c r="DL114" s="1227">
        <f t="shared" si="580"/>
        <v>0</v>
      </c>
      <c r="DM114" s="575">
        <f t="shared" si="580"/>
        <v>0</v>
      </c>
      <c r="DN114" s="1227">
        <f t="shared" si="580"/>
        <v>0</v>
      </c>
      <c r="DO114" s="1227">
        <f t="shared" si="580"/>
        <v>0</v>
      </c>
      <c r="DP114" s="1227">
        <f t="shared" si="580"/>
        <v>0</v>
      </c>
      <c r="DQ114" s="575">
        <f t="shared" si="580"/>
        <v>0</v>
      </c>
      <c r="DR114" s="574">
        <f t="shared" si="580"/>
        <v>0</v>
      </c>
      <c r="DS114" s="1227">
        <f t="shared" si="580"/>
        <v>0</v>
      </c>
      <c r="DT114" s="1227">
        <f t="shared" si="580"/>
        <v>0</v>
      </c>
      <c r="DU114" s="575">
        <f t="shared" si="580"/>
        <v>0</v>
      </c>
      <c r="DV114" s="1227">
        <f t="shared" si="580"/>
        <v>0</v>
      </c>
      <c r="DW114" s="1227">
        <f t="shared" ref="DW114" ca="1" si="581">+DW112/DV112-1</f>
        <v>-0.54991719551441598</v>
      </c>
      <c r="DX114" s="1227">
        <f t="shared" ref="DX114" ca="1" si="582">+DX112/DW112-1</f>
        <v>0.21702259447295913</v>
      </c>
      <c r="DY114" s="575">
        <f t="shared" ref="DY114" ca="1" si="583">+DY112/DX112-1</f>
        <v>0.282463833488932</v>
      </c>
    </row>
    <row r="115" spans="1:129" s="1491" customFormat="1" hidden="1" outlineLevel="1">
      <c r="A115" s="1395" t="s">
        <v>13</v>
      </c>
      <c r="B115" s="1319"/>
      <c r="C115" s="1319"/>
      <c r="D115" s="1334"/>
      <c r="E115" s="1334"/>
      <c r="F115" s="1334"/>
      <c r="G115" s="1509"/>
      <c r="H115" s="1334"/>
      <c r="I115" s="1334"/>
      <c r="J115" s="1334"/>
      <c r="K115" s="1334"/>
      <c r="L115" s="1334"/>
      <c r="M115" s="1334"/>
      <c r="N115" s="1319"/>
      <c r="O115" s="1319"/>
      <c r="P115" s="1064"/>
      <c r="Q115" s="1064"/>
      <c r="R115" s="1064"/>
      <c r="S115" s="1039"/>
      <c r="T115" s="1039"/>
      <c r="U115" s="1039"/>
      <c r="V115" s="1039"/>
      <c r="W115" s="1039"/>
      <c r="X115" s="1039"/>
      <c r="Y115" s="1039"/>
      <c r="Z115" s="1039"/>
      <c r="AA115" s="1039"/>
      <c r="AB115" s="1039"/>
      <c r="AC115" s="1039"/>
      <c r="AD115" s="1039"/>
      <c r="AE115" s="1039"/>
      <c r="AF115" s="1039"/>
      <c r="AG115" s="1039"/>
      <c r="AH115" s="2201"/>
      <c r="AI115" s="1927"/>
      <c r="AJ115" s="1561"/>
      <c r="AK115" s="1334"/>
      <c r="AL115" s="1334"/>
      <c r="AM115" s="1319"/>
      <c r="AN115" s="1334"/>
      <c r="AO115" s="1334"/>
      <c r="AP115" s="1496"/>
      <c r="AQ115" s="1334"/>
      <c r="AR115" s="1334"/>
      <c r="AS115" s="1334"/>
      <c r="AT115" s="1496"/>
      <c r="AU115" s="1334"/>
      <c r="AV115" s="1334"/>
      <c r="AW115" s="1334"/>
      <c r="AX115" s="1496"/>
      <c r="AY115" s="1334"/>
      <c r="AZ115" s="1334"/>
      <c r="BA115" s="1334"/>
      <c r="BB115" s="1496"/>
      <c r="BC115" s="1334"/>
      <c r="BD115" s="1334"/>
      <c r="BE115" s="1334"/>
      <c r="BF115" s="1496"/>
      <c r="BG115" s="1334"/>
      <c r="BH115" s="1334"/>
      <c r="BI115" s="1334"/>
      <c r="BJ115" s="1496"/>
      <c r="BK115" s="1334"/>
      <c r="BL115" s="1334"/>
      <c r="BM115" s="1334"/>
      <c r="BN115" s="1081"/>
      <c r="BO115" s="1319"/>
      <c r="BP115" s="1319"/>
      <c r="BQ115" s="1269"/>
      <c r="BR115" s="1081"/>
      <c r="BS115" s="1269"/>
      <c r="BT115" s="1319"/>
      <c r="BU115" s="1269"/>
      <c r="BV115" s="1081"/>
      <c r="BW115" s="1319"/>
      <c r="BX115" s="1319"/>
      <c r="BY115" s="1319"/>
      <c r="BZ115" s="794"/>
      <c r="CA115" s="1319"/>
      <c r="CB115" s="1319"/>
      <c r="CC115" s="1319"/>
      <c r="CD115" s="794"/>
      <c r="CE115" s="1319"/>
      <c r="CF115" s="1319"/>
      <c r="CG115" s="1319"/>
      <c r="CH115" s="794"/>
      <c r="CI115" s="1319"/>
      <c r="CJ115" s="1319"/>
      <c r="CK115" s="1319"/>
      <c r="CL115" s="569"/>
      <c r="CM115" s="1064"/>
      <c r="CN115" s="1064"/>
      <c r="CO115" s="1064"/>
      <c r="CP115" s="153"/>
      <c r="CQ115" s="1064"/>
      <c r="CR115" s="1039"/>
      <c r="CS115" s="1039"/>
      <c r="CT115" s="153"/>
      <c r="CU115" s="1039"/>
      <c r="CV115" s="1039"/>
      <c r="CW115" s="1039"/>
      <c r="CX115" s="153"/>
      <c r="CY115" s="1039"/>
      <c r="CZ115" s="1039"/>
      <c r="DA115" s="1039"/>
      <c r="DB115" s="153"/>
      <c r="DC115" s="1039"/>
      <c r="DD115" s="1039"/>
      <c r="DE115" s="1039"/>
      <c r="DF115" s="153"/>
      <c r="DG115" s="1039"/>
      <c r="DH115" s="1039"/>
      <c r="DI115" s="187"/>
      <c r="DJ115" s="153"/>
      <c r="DK115" s="1039"/>
      <c r="DL115" s="1039"/>
      <c r="DM115" s="187"/>
      <c r="DN115" s="1039"/>
      <c r="DO115" s="1039"/>
      <c r="DP115" s="1039"/>
      <c r="DQ115" s="187"/>
      <c r="DR115" s="153"/>
      <c r="DS115" s="1039"/>
      <c r="DT115" s="1039"/>
      <c r="DU115" s="187"/>
      <c r="DV115" s="1039"/>
      <c r="DW115" s="1039"/>
      <c r="DX115" s="1039"/>
      <c r="DY115" s="187"/>
    </row>
    <row r="116" spans="1:129" ht="15" hidden="1" customHeight="1" outlineLevel="1">
      <c r="A116" s="2276"/>
      <c r="D116" s="2200"/>
      <c r="E116" s="2200"/>
      <c r="F116" s="2200"/>
      <c r="G116" s="2277"/>
      <c r="H116" s="2200"/>
      <c r="I116" s="2200"/>
      <c r="J116" s="2200"/>
      <c r="K116" s="2200"/>
      <c r="L116" s="2200"/>
      <c r="M116" s="2200"/>
      <c r="S116" s="2278"/>
      <c r="T116" s="2278"/>
      <c r="U116" s="2278"/>
      <c r="V116" s="2278"/>
      <c r="W116" s="2278"/>
      <c r="X116" s="2278"/>
      <c r="Y116" s="2278"/>
      <c r="Z116" s="2278"/>
      <c r="AA116" s="2278"/>
      <c r="AB116" s="2278"/>
      <c r="AC116" s="2278"/>
      <c r="AD116" s="2278"/>
      <c r="AE116" s="2278"/>
      <c r="AF116" s="2278"/>
      <c r="AG116" s="2278"/>
      <c r="AH116" s="2201"/>
      <c r="AI116" s="1927"/>
      <c r="AK116" s="2200"/>
      <c r="AL116" s="2200"/>
      <c r="AN116" s="2200"/>
      <c r="AO116" s="2200"/>
      <c r="AP116" s="2202"/>
      <c r="AQ116" s="2200"/>
      <c r="AR116" s="2200"/>
      <c r="AS116" s="2200"/>
      <c r="AT116" s="2202"/>
      <c r="AU116" s="2200"/>
      <c r="AV116" s="2200"/>
      <c r="AW116" s="2200"/>
      <c r="AX116" s="2202"/>
      <c r="AY116" s="2200"/>
      <c r="AZ116" s="2200"/>
      <c r="BA116" s="2200"/>
      <c r="BB116" s="2202"/>
      <c r="BC116" s="2200"/>
      <c r="BD116" s="2200"/>
      <c r="BE116" s="2200"/>
      <c r="BF116" s="2202"/>
      <c r="BG116" s="2200"/>
      <c r="BH116" s="2200"/>
      <c r="BI116" s="2200"/>
      <c r="BJ116" s="2202"/>
      <c r="BK116" s="2200"/>
      <c r="BL116" s="2200"/>
      <c r="BM116" s="2200"/>
      <c r="BN116" s="2279"/>
      <c r="BQ116" s="2280"/>
      <c r="BR116" s="2279"/>
      <c r="BS116" s="2280"/>
      <c r="BU116" s="2280"/>
      <c r="BV116" s="2279"/>
      <c r="BZ116" s="1942"/>
      <c r="CD116" s="1942"/>
      <c r="CH116" s="1942"/>
      <c r="CL116" s="1942"/>
      <c r="CP116" s="2281"/>
      <c r="CR116" s="2278"/>
      <c r="CS116" s="2278"/>
      <c r="CT116" s="2281"/>
      <c r="CU116" s="2278"/>
      <c r="CV116" s="2278"/>
      <c r="CW116" s="2278"/>
      <c r="CX116" s="2281"/>
      <c r="CY116" s="2278"/>
      <c r="CZ116" s="2278"/>
      <c r="DA116" s="2278"/>
      <c r="DB116" s="2281"/>
      <c r="DC116" s="2278"/>
      <c r="DD116" s="2278"/>
      <c r="DE116" s="2278"/>
      <c r="DF116" s="2281"/>
      <c r="DG116" s="2278"/>
      <c r="DH116" s="2278"/>
      <c r="DI116" s="2282"/>
      <c r="DJ116" s="2281"/>
      <c r="DK116" s="2278"/>
      <c r="DL116" s="2278"/>
      <c r="DM116" s="2282"/>
      <c r="DN116" s="2278"/>
      <c r="DO116" s="2278"/>
      <c r="DP116" s="2278"/>
      <c r="DQ116" s="2282"/>
      <c r="DR116" s="2281"/>
      <c r="DS116" s="2278"/>
      <c r="DT116" s="2278"/>
      <c r="DU116" s="2282"/>
      <c r="DV116" s="2278"/>
      <c r="DW116" s="2278"/>
      <c r="DX116" s="2278"/>
      <c r="DY116" s="2282"/>
    </row>
    <row r="117" spans="1:129" ht="15" customHeight="1" collapsed="1">
      <c r="A117" s="2245" t="s">
        <v>1610</v>
      </c>
      <c r="D117" s="2200"/>
      <c r="E117" s="2200"/>
      <c r="F117" s="2200"/>
      <c r="G117" s="2277"/>
      <c r="H117" s="2200"/>
      <c r="I117" s="2200"/>
      <c r="J117" s="2200"/>
      <c r="K117" s="2200"/>
      <c r="L117" s="2200"/>
      <c r="M117" s="2200"/>
      <c r="N117" s="2200">
        <f>+N195+N228</f>
        <v>68635.952000000005</v>
      </c>
      <c r="O117" s="2200">
        <f>+O195+O228</f>
        <v>76524.78300000001</v>
      </c>
      <c r="P117" s="2200">
        <f>+CK117</f>
        <v>82834</v>
      </c>
      <c r="Q117" s="2200">
        <f>+CO117</f>
        <v>85445</v>
      </c>
      <c r="R117" s="2200">
        <f>+CS117</f>
        <v>87535</v>
      </c>
      <c r="S117" s="2200">
        <f>+CW117</f>
        <v>92167</v>
      </c>
      <c r="T117" s="2200">
        <f>+DA117</f>
        <v>98230</v>
      </c>
      <c r="U117" s="2200">
        <f>+DE117</f>
        <v>102799</v>
      </c>
      <c r="V117" s="2200">
        <f>+DI117</f>
        <v>108211</v>
      </c>
      <c r="W117" s="2200">
        <f>+DM117</f>
        <v>112108</v>
      </c>
      <c r="X117" s="2200">
        <f>+DQ117</f>
        <v>114243</v>
      </c>
      <c r="Y117" s="2200">
        <f>+DU117</f>
        <v>116257</v>
      </c>
      <c r="Z117" s="2200">
        <f ca="1">+DY117</f>
        <v>117753.81889350626</v>
      </c>
      <c r="AA117" s="2200">
        <f ca="1">+AA254+AA286</f>
        <v>119329.56949886601</v>
      </c>
      <c r="AB117" s="2200">
        <f ca="1">+AB254+AB286</f>
        <v>120838.50973871634</v>
      </c>
      <c r="AC117" s="2200">
        <f t="shared" ref="AC117:AG117" ca="1" si="584">+AC254+AC286</f>
        <v>122229.2033435521</v>
      </c>
      <c r="AD117" s="2200">
        <f t="shared" ca="1" si="584"/>
        <v>123492.40534694695</v>
      </c>
      <c r="AE117" s="2200">
        <f t="shared" ca="1" si="584"/>
        <v>124636.76779127396</v>
      </c>
      <c r="AF117" s="2200">
        <f t="shared" ca="1" si="584"/>
        <v>125677.66098600374</v>
      </c>
      <c r="AG117" s="2200">
        <f t="shared" ca="1" si="584"/>
        <v>126632.15511588511</v>
      </c>
      <c r="AH117" s="2201"/>
      <c r="AI117" s="1928">
        <f ca="1">(AA117/V117)^(1/5)-1</f>
        <v>1.9753800781406872E-2</v>
      </c>
      <c r="AK117" s="2200"/>
      <c r="AL117" s="2200"/>
      <c r="AN117" s="2200"/>
      <c r="AO117" s="2200"/>
      <c r="AP117" s="2202"/>
      <c r="AQ117" s="2200"/>
      <c r="AR117" s="2200"/>
      <c r="AS117" s="2200"/>
      <c r="AT117" s="2202"/>
      <c r="AU117" s="2200"/>
      <c r="AV117" s="2200"/>
      <c r="AW117" s="2200"/>
      <c r="AX117" s="2202"/>
      <c r="AY117" s="2200"/>
      <c r="AZ117" s="2200"/>
      <c r="BA117" s="2200"/>
      <c r="BB117" s="2202"/>
      <c r="BC117" s="2200"/>
      <c r="BD117" s="2200"/>
      <c r="BE117" s="2200"/>
      <c r="BF117" s="2202"/>
      <c r="BG117" s="2200"/>
      <c r="BH117" s="2200"/>
      <c r="BI117" s="2200"/>
      <c r="BJ117" s="2202"/>
      <c r="BK117" s="2200"/>
      <c r="BL117" s="2200"/>
      <c r="BM117" s="2200"/>
      <c r="BN117" s="2279"/>
      <c r="BQ117" s="2280"/>
      <c r="BR117" s="2279"/>
      <c r="BS117" s="2280"/>
      <c r="BU117" s="2280"/>
      <c r="BV117" s="2279"/>
      <c r="BZ117" s="2202">
        <f t="shared" ref="BZ117:CG117" si="585">+BZ195+BZ228</f>
        <v>61487.079000000005</v>
      </c>
      <c r="CA117" s="2200">
        <f t="shared" si="585"/>
        <v>63666.159</v>
      </c>
      <c r="CB117" s="2200">
        <f t="shared" si="585"/>
        <v>65724.313999999998</v>
      </c>
      <c r="CC117" s="2200">
        <f t="shared" si="585"/>
        <v>68635.952000000005</v>
      </c>
      <c r="CD117" s="2202">
        <f t="shared" si="585"/>
        <v>70518.58600000001</v>
      </c>
      <c r="CE117" s="2200">
        <f t="shared" si="585"/>
        <v>72322.080000000002</v>
      </c>
      <c r="CF117" s="2200">
        <f t="shared" si="585"/>
        <v>74287.099000000002</v>
      </c>
      <c r="CG117" s="2200">
        <f t="shared" si="585"/>
        <v>76524.78300000001</v>
      </c>
      <c r="CH117" s="2214">
        <v>77084</v>
      </c>
      <c r="CI117" s="2215">
        <v>78894</v>
      </c>
      <c r="CJ117" s="2215">
        <v>81329</v>
      </c>
      <c r="CK117" s="2215">
        <v>82834</v>
      </c>
      <c r="CL117" s="2214">
        <v>82180</v>
      </c>
      <c r="CM117" s="2215">
        <v>83272</v>
      </c>
      <c r="CN117" s="2215">
        <v>84268</v>
      </c>
      <c r="CO117" s="2215">
        <v>85445</v>
      </c>
      <c r="CP117" s="2214">
        <v>85715</v>
      </c>
      <c r="CQ117" s="2215">
        <v>86176</v>
      </c>
      <c r="CR117" s="2215">
        <v>86734</v>
      </c>
      <c r="CS117" s="2215">
        <v>87535</v>
      </c>
      <c r="CT117" s="2214">
        <v>88414</v>
      </c>
      <c r="CU117" s="2215">
        <v>89735</v>
      </c>
      <c r="CV117" s="2215">
        <v>90708</v>
      </c>
      <c r="CW117" s="2215">
        <v>92167</v>
      </c>
      <c r="CX117" s="2214">
        <v>92988</v>
      </c>
      <c r="CY117" s="2215">
        <v>94154</v>
      </c>
      <c r="CZ117" s="2215">
        <v>95899</v>
      </c>
      <c r="DA117" s="2215">
        <v>98230</v>
      </c>
      <c r="DB117" s="2214">
        <v>98930</v>
      </c>
      <c r="DC117" s="2215">
        <v>100124</v>
      </c>
      <c r="DD117" s="2215">
        <v>101150</v>
      </c>
      <c r="DE117" s="2215">
        <v>102799</v>
      </c>
      <c r="DF117" s="2214">
        <v>103330</v>
      </c>
      <c r="DG117" s="2215">
        <v>104637</v>
      </c>
      <c r="DH117" s="2215">
        <v>106156</v>
      </c>
      <c r="DI117" s="2283">
        <v>108211</v>
      </c>
      <c r="DJ117" s="2214">
        <v>108582</v>
      </c>
      <c r="DK117" s="2215">
        <v>109548</v>
      </c>
      <c r="DL117" s="2215">
        <v>110760</v>
      </c>
      <c r="DM117" s="2283">
        <v>112108</v>
      </c>
      <c r="DN117" s="2215">
        <v>112573</v>
      </c>
      <c r="DO117" s="2215">
        <v>113154</v>
      </c>
      <c r="DP117" s="2974">
        <f>+SUM(NormInputs!DF307:DF308)</f>
        <v>113676</v>
      </c>
      <c r="DQ117" s="2975">
        <f>+SUM(NormInputs!DG307:DG308)</f>
        <v>114243</v>
      </c>
      <c r="DR117" s="2976">
        <f>+SUM(NormInputs!DH307:DH308)</f>
        <v>113913</v>
      </c>
      <c r="DS117" s="2974">
        <f>+SUM(NormInputs!DI307:DI308)</f>
        <v>114536</v>
      </c>
      <c r="DT117" s="2974">
        <f>+SUM(NormInputs!DJ307:DJ308)</f>
        <v>115274</v>
      </c>
      <c r="DU117" s="2975">
        <f>+SUM(NormInputs!DK307:DK308)</f>
        <v>116257</v>
      </c>
      <c r="DV117" s="2974">
        <f>+SUM(NormInputs!DL307:DL308)</f>
        <v>116182</v>
      </c>
      <c r="DW117" s="2200">
        <f t="shared" ref="DW117:DY117" ca="1" si="586">+DW254+DW286</f>
        <v>116447.90927655577</v>
      </c>
      <c r="DX117" s="2200">
        <f t="shared" ca="1" si="586"/>
        <v>116910.35341339637</v>
      </c>
      <c r="DY117" s="2203">
        <f t="shared" ca="1" si="586"/>
        <v>117753.81889350626</v>
      </c>
    </row>
    <row r="118" spans="1:129" ht="15" customHeight="1">
      <c r="A118" s="2284" t="s">
        <v>844</v>
      </c>
      <c r="D118" s="2200"/>
      <c r="E118" s="2200"/>
      <c r="F118" s="2200"/>
      <c r="G118" s="2200"/>
      <c r="H118" s="2200"/>
      <c r="I118" s="2200"/>
      <c r="J118" s="2200"/>
      <c r="K118" s="2200"/>
      <c r="L118" s="2200"/>
      <c r="M118" s="2200"/>
      <c r="N118" s="2200">
        <f>+N190+N196</f>
        <v>57973.614000000001</v>
      </c>
      <c r="O118" s="2200">
        <f>+O190+O196</f>
        <v>7884.2549999999965</v>
      </c>
      <c r="P118" s="2200">
        <f>SUM(CH118:CK118)</f>
        <v>7030.4290000000001</v>
      </c>
      <c r="Q118" s="2200">
        <f>+SUM(CL118:CO118)</f>
        <v>4369</v>
      </c>
      <c r="R118" s="2200">
        <f>+SUM(CP118:CS118)</f>
        <v>1977</v>
      </c>
      <c r="S118" s="2200">
        <f>+SUM(CT118:CW118)</f>
        <v>4624</v>
      </c>
      <c r="T118" s="2200">
        <f>+SUM(CX118:DA118)</f>
        <v>5917</v>
      </c>
      <c r="U118" s="2200">
        <f>+SUM(DB118:DE118)</f>
        <v>4472</v>
      </c>
      <c r="V118" s="2200">
        <f>+SUM(DF118:DI118)</f>
        <v>5568</v>
      </c>
      <c r="W118" s="2200">
        <f>+SUM(DJ118:DM118)</f>
        <v>3956</v>
      </c>
      <c r="X118" s="2200">
        <f>+SUM(DN118:DQ118)</f>
        <v>2155</v>
      </c>
      <c r="Y118" s="2200">
        <f>+SUM(DR118:DU118)</f>
        <v>2041</v>
      </c>
      <c r="Z118" s="2200">
        <f ca="1">+SUM(DV118:DY118)</f>
        <v>1496.8188935062594</v>
      </c>
      <c r="AA118" s="2200">
        <f ca="1">+AA119+AA120</f>
        <v>1575.7506053597531</v>
      </c>
      <c r="AB118" s="2200">
        <f ca="1">+AB119+AB120</f>
        <v>1508.9402398503312</v>
      </c>
      <c r="AC118" s="2200">
        <f t="shared" ref="AC118:AG118" ca="1" si="587">+AC119+AC120</f>
        <v>1390.6936048357643</v>
      </c>
      <c r="AD118" s="2200">
        <f t="shared" ca="1" si="587"/>
        <v>1263.2020033948565</v>
      </c>
      <c r="AE118" s="2200">
        <f t="shared" ca="1" si="587"/>
        <v>1144.362444327001</v>
      </c>
      <c r="AF118" s="2200">
        <f t="shared" ca="1" si="587"/>
        <v>1040.8931947297856</v>
      </c>
      <c r="AG118" s="2200">
        <f t="shared" ca="1" si="587"/>
        <v>954.49412988136419</v>
      </c>
      <c r="AH118" s="2201"/>
      <c r="AI118" s="2125"/>
      <c r="AK118" s="2200"/>
      <c r="AL118" s="2200"/>
      <c r="AN118" s="2200"/>
      <c r="AO118" s="2200"/>
      <c r="AP118" s="2202"/>
      <c r="AQ118" s="2200"/>
      <c r="AR118" s="2200"/>
      <c r="AS118" s="2200"/>
      <c r="AT118" s="2202"/>
      <c r="AU118" s="2200"/>
      <c r="AV118" s="2200"/>
      <c r="AW118" s="2200"/>
      <c r="AX118" s="2202"/>
      <c r="AY118" s="2200"/>
      <c r="AZ118" s="2200"/>
      <c r="BA118" s="2200"/>
      <c r="BB118" s="2202"/>
      <c r="BC118" s="2200"/>
      <c r="BD118" s="2200"/>
      <c r="BE118" s="2200"/>
      <c r="BF118" s="2214"/>
      <c r="BG118" s="2200"/>
      <c r="BH118" s="2200"/>
      <c r="BI118" s="2215"/>
      <c r="BJ118" s="2202"/>
      <c r="BK118" s="2215"/>
      <c r="BL118" s="2215"/>
      <c r="BM118" s="2215"/>
      <c r="BN118" s="2214"/>
      <c r="BO118" s="2215"/>
      <c r="BP118" s="2215"/>
      <c r="BQ118" s="2215"/>
      <c r="BR118" s="2214"/>
      <c r="BS118" s="2215"/>
      <c r="BT118" s="2215"/>
      <c r="BU118" s="2215"/>
      <c r="BV118" s="2202"/>
      <c r="BW118" s="2200"/>
      <c r="BX118" s="2200"/>
      <c r="BY118" s="2200"/>
      <c r="BZ118" s="1942"/>
      <c r="CD118" s="2202">
        <f t="shared" ref="CD118:CK118" si="588">+CD190+CD196</f>
        <v>1882.634</v>
      </c>
      <c r="CE118" s="2200">
        <f t="shared" si="588"/>
        <v>1803.4939999999999</v>
      </c>
      <c r="CF118" s="2200">
        <f t="shared" si="588"/>
        <v>1965.019</v>
      </c>
      <c r="CG118" s="2200">
        <f t="shared" si="588"/>
        <v>2233.1079999999965</v>
      </c>
      <c r="CH118" s="2202">
        <f t="shared" si="588"/>
        <v>1797.0929999999998</v>
      </c>
      <c r="CI118" s="2200">
        <f t="shared" si="588"/>
        <v>1764.136</v>
      </c>
      <c r="CJ118" s="2200">
        <f t="shared" si="588"/>
        <v>1808.1</v>
      </c>
      <c r="CK118" s="2200">
        <f t="shared" si="588"/>
        <v>1661.1</v>
      </c>
      <c r="CL118" s="2214">
        <v>1204</v>
      </c>
      <c r="CM118" s="2215">
        <v>1092</v>
      </c>
      <c r="CN118" s="2215">
        <v>916</v>
      </c>
      <c r="CO118" s="2215">
        <v>1157</v>
      </c>
      <c r="CP118" s="2214">
        <v>266</v>
      </c>
      <c r="CQ118" s="2215">
        <v>461</v>
      </c>
      <c r="CR118" s="2215">
        <v>447</v>
      </c>
      <c r="CS118" s="2215">
        <v>803</v>
      </c>
      <c r="CT118" s="2214">
        <v>879</v>
      </c>
      <c r="CU118" s="2215">
        <v>1318</v>
      </c>
      <c r="CV118" s="2215">
        <v>968</v>
      </c>
      <c r="CW118" s="2215">
        <v>1459</v>
      </c>
      <c r="CX118" s="2214">
        <v>734</v>
      </c>
      <c r="CY118" s="2215">
        <v>1178</v>
      </c>
      <c r="CZ118" s="2215">
        <v>1763</v>
      </c>
      <c r="DA118" s="2215">
        <v>2242</v>
      </c>
      <c r="DB118" s="2214">
        <v>720</v>
      </c>
      <c r="DC118" s="2215">
        <v>1038</v>
      </c>
      <c r="DD118" s="2215">
        <v>1061</v>
      </c>
      <c r="DE118" s="2215">
        <v>1653</v>
      </c>
      <c r="DF118" s="2214">
        <v>549</v>
      </c>
      <c r="DG118" s="2215">
        <v>1427</v>
      </c>
      <c r="DH118" s="2215">
        <v>1525</v>
      </c>
      <c r="DI118" s="2283">
        <v>2067</v>
      </c>
      <c r="DJ118" s="2214">
        <v>377</v>
      </c>
      <c r="DK118" s="2215">
        <v>1008</v>
      </c>
      <c r="DL118" s="2215">
        <v>1209</v>
      </c>
      <c r="DM118" s="2283">
        <v>1362</v>
      </c>
      <c r="DN118" s="2215">
        <v>463</v>
      </c>
      <c r="DO118" s="2215">
        <v>585</v>
      </c>
      <c r="DP118" s="2215">
        <v>525</v>
      </c>
      <c r="DQ118" s="2283">
        <v>582</v>
      </c>
      <c r="DR118" s="2214">
        <v>-324</v>
      </c>
      <c r="DS118" s="2215">
        <v>633</v>
      </c>
      <c r="DT118" s="2215">
        <v>742</v>
      </c>
      <c r="DU118" s="2283">
        <v>990</v>
      </c>
      <c r="DV118" s="2215">
        <v>-75</v>
      </c>
      <c r="DW118" s="2200">
        <f t="shared" ref="DW118:DY118" ca="1" si="589">+DW119+DW120</f>
        <v>265.90927655578002</v>
      </c>
      <c r="DX118" s="2200">
        <f t="shared" ca="1" si="589"/>
        <v>462.444136840591</v>
      </c>
      <c r="DY118" s="2203">
        <f t="shared" ca="1" si="589"/>
        <v>843.46548010988829</v>
      </c>
    </row>
    <row r="119" spans="1:129" s="1840" customFormat="1" ht="15" customHeight="1">
      <c r="A119" s="1870" t="s">
        <v>1478</v>
      </c>
      <c r="B119" s="1088"/>
      <c r="C119" s="1088"/>
      <c r="D119" s="1123"/>
      <c r="E119" s="1123"/>
      <c r="F119" s="1123"/>
      <c r="G119" s="1088"/>
      <c r="H119" s="1088"/>
      <c r="I119" s="1088"/>
      <c r="J119" s="1088"/>
      <c r="K119" s="1088"/>
      <c r="L119" s="1123"/>
      <c r="M119" s="1123"/>
      <c r="N119" s="1123"/>
      <c r="O119" s="1123"/>
      <c r="P119" s="1123"/>
      <c r="Q119" s="1123">
        <f>+SUM(CL119:CO119)</f>
        <v>3987</v>
      </c>
      <c r="R119" s="1123">
        <f>+SUM(CP119:CS119)</f>
        <v>2529</v>
      </c>
      <c r="S119" s="1123">
        <f>+SUM(CT119:CW119)</f>
        <v>4252</v>
      </c>
      <c r="T119" s="1123">
        <f>+SUM(CX119:DA119)</f>
        <v>5024</v>
      </c>
      <c r="U119" s="1123">
        <f>+SUM(DB119:DE119)</f>
        <v>4118</v>
      </c>
      <c r="V119" s="1123">
        <f>+SUM(DF119:DI119)</f>
        <v>5482</v>
      </c>
      <c r="W119" s="1123">
        <f>+SUM(DJ119:DM119)</f>
        <v>4507</v>
      </c>
      <c r="X119" s="1123">
        <f>+SUM(DN119:DQ119)</f>
        <v>2288</v>
      </c>
      <c r="Y119" s="1123">
        <f>+SUM(DR119:DU119)</f>
        <v>2084</v>
      </c>
      <c r="Z119" s="1123">
        <f ca="1">+SUM(DV119:DY119)</f>
        <v>2272.2265355370764</v>
      </c>
      <c r="AA119" s="1123">
        <f ca="1">+AA255</f>
        <v>1984.4506207496906</v>
      </c>
      <c r="AB119" s="1123">
        <f ca="1">+AB255</f>
        <v>1743.0895970520178</v>
      </c>
      <c r="AC119" s="1123">
        <f t="shared" ref="AC119:AG119" ca="1" si="590">+AC255</f>
        <v>1541.3409721542157</v>
      </c>
      <c r="AD119" s="1123">
        <f t="shared" ca="1" si="590"/>
        <v>1373.4968393655217</v>
      </c>
      <c r="AE119" s="1123">
        <f t="shared" ca="1" si="590"/>
        <v>1234.7621908081765</v>
      </c>
      <c r="AF119" s="1123">
        <f t="shared" ca="1" si="590"/>
        <v>1121.1048973540364</v>
      </c>
      <c r="AG119" s="1123">
        <f t="shared" ca="1" si="590"/>
        <v>1029.1316479338075</v>
      </c>
      <c r="AH119" s="2220"/>
      <c r="AI119" s="1928"/>
      <c r="AJ119" s="2221"/>
      <c r="AK119" s="1123"/>
      <c r="AL119" s="1123"/>
      <c r="AM119" s="1088"/>
      <c r="AN119" s="1123"/>
      <c r="AO119" s="1123"/>
      <c r="AP119" s="466"/>
      <c r="AQ119" s="1123"/>
      <c r="AR119" s="1123"/>
      <c r="AS119" s="1123"/>
      <c r="AT119" s="466"/>
      <c r="AU119" s="1123"/>
      <c r="AV119" s="1123"/>
      <c r="AW119" s="1123"/>
      <c r="AX119" s="584"/>
      <c r="AY119" s="1088"/>
      <c r="AZ119" s="1088"/>
      <c r="BA119" s="1088"/>
      <c r="BB119" s="584"/>
      <c r="BC119" s="1088"/>
      <c r="BD119" s="1088"/>
      <c r="BE119" s="1088"/>
      <c r="BF119" s="584"/>
      <c r="BG119" s="1088"/>
      <c r="BH119" s="1088"/>
      <c r="BI119" s="1088"/>
      <c r="BJ119" s="584"/>
      <c r="BK119" s="1088"/>
      <c r="BL119" s="1088"/>
      <c r="BM119" s="1088"/>
      <c r="BN119" s="584"/>
      <c r="BO119" s="1088"/>
      <c r="BP119" s="1088"/>
      <c r="BQ119" s="1088"/>
      <c r="BR119" s="584"/>
      <c r="BS119" s="1088"/>
      <c r="BT119" s="1088"/>
      <c r="BU119" s="1088"/>
      <c r="BV119" s="584"/>
      <c r="BW119" s="1088"/>
      <c r="BX119" s="1088"/>
      <c r="BY119" s="1088"/>
      <c r="BZ119" s="584"/>
      <c r="CA119" s="1088"/>
      <c r="CB119" s="1088"/>
      <c r="CC119" s="1088"/>
      <c r="CD119" s="584"/>
      <c r="CE119" s="1123"/>
      <c r="CF119" s="1123"/>
      <c r="CG119" s="1123"/>
      <c r="CH119" s="466">
        <f>+CH255</f>
        <v>1445.9259999999999</v>
      </c>
      <c r="CI119" s="1123">
        <f>+CI255</f>
        <v>1637</v>
      </c>
      <c r="CJ119" s="1123">
        <f>+CJ255</f>
        <v>1723</v>
      </c>
      <c r="CK119" s="1123">
        <f>+CK255</f>
        <v>1473</v>
      </c>
      <c r="CL119" s="729">
        <v>936</v>
      </c>
      <c r="CM119" s="1557">
        <v>1044</v>
      </c>
      <c r="CN119" s="1557">
        <v>901</v>
      </c>
      <c r="CO119" s="1557">
        <v>1106</v>
      </c>
      <c r="CP119" s="729">
        <v>412</v>
      </c>
      <c r="CQ119" s="1557">
        <v>661</v>
      </c>
      <c r="CR119" s="1557">
        <v>584</v>
      </c>
      <c r="CS119" s="1557">
        <v>872</v>
      </c>
      <c r="CT119" s="729">
        <v>906</v>
      </c>
      <c r="CU119" s="1557">
        <v>1257</v>
      </c>
      <c r="CV119" s="1557">
        <v>882</v>
      </c>
      <c r="CW119" s="1557">
        <v>1207</v>
      </c>
      <c r="CX119" s="729">
        <v>501</v>
      </c>
      <c r="CY119" s="1557">
        <v>888</v>
      </c>
      <c r="CZ119" s="1557">
        <v>1535</v>
      </c>
      <c r="DA119" s="1557">
        <v>2100</v>
      </c>
      <c r="DB119" s="729">
        <v>677</v>
      </c>
      <c r="DC119" s="1557">
        <v>941</v>
      </c>
      <c r="DD119" s="1557">
        <v>927</v>
      </c>
      <c r="DE119" s="1557">
        <v>1573</v>
      </c>
      <c r="DF119" s="729">
        <v>539</v>
      </c>
      <c r="DG119" s="1557">
        <v>1441</v>
      </c>
      <c r="DH119" s="1557">
        <v>1516</v>
      </c>
      <c r="DI119" s="730">
        <v>1986</v>
      </c>
      <c r="DJ119" s="729">
        <v>565</v>
      </c>
      <c r="DK119" s="1557">
        <v>1134</v>
      </c>
      <c r="DL119" s="1557">
        <v>1289</v>
      </c>
      <c r="DM119" s="730">
        <v>1519</v>
      </c>
      <c r="DN119" s="1557">
        <v>640</v>
      </c>
      <c r="DO119" s="1557">
        <v>615</v>
      </c>
      <c r="DP119" s="1557">
        <v>442</v>
      </c>
      <c r="DQ119" s="730">
        <v>591</v>
      </c>
      <c r="DR119" s="729">
        <v>-307</v>
      </c>
      <c r="DS119" s="1557">
        <v>614</v>
      </c>
      <c r="DT119" s="1557">
        <v>603</v>
      </c>
      <c r="DU119" s="730">
        <v>1174</v>
      </c>
      <c r="DV119" s="1557">
        <v>260</v>
      </c>
      <c r="DW119" s="1123">
        <f t="shared" ref="DW119:DY119" ca="1" si="591">+DW255</f>
        <v>468.10105315057672</v>
      </c>
      <c r="DX119" s="1123">
        <f t="shared" ca="1" si="591"/>
        <v>484.74253423026812</v>
      </c>
      <c r="DY119" s="722">
        <f t="shared" ca="1" si="591"/>
        <v>1059.3829481562316</v>
      </c>
    </row>
    <row r="120" spans="1:129" s="1840" customFormat="1" ht="15" customHeight="1">
      <c r="A120" s="1870" t="s">
        <v>1479</v>
      </c>
      <c r="B120" s="1088"/>
      <c r="C120" s="1088"/>
      <c r="D120" s="1123"/>
      <c r="E120" s="1123"/>
      <c r="F120" s="1123"/>
      <c r="G120" s="1088"/>
      <c r="H120" s="1088"/>
      <c r="I120" s="1088"/>
      <c r="J120" s="1088"/>
      <c r="K120" s="1088"/>
      <c r="L120" s="1123"/>
      <c r="M120" s="1123"/>
      <c r="N120" s="1123"/>
      <c r="O120" s="1123"/>
      <c r="P120" s="1123"/>
      <c r="Q120" s="1123">
        <f>+SUM(CL120:CO120)</f>
        <v>382</v>
      </c>
      <c r="R120" s="1123">
        <f>+SUM(CP120:CS120)</f>
        <v>-552</v>
      </c>
      <c r="S120" s="1123">
        <f>+SUM(CT120:CW120)</f>
        <v>372</v>
      </c>
      <c r="T120" s="1123">
        <f>+SUM(CX120:DA120)</f>
        <v>893</v>
      </c>
      <c r="U120" s="1123">
        <f>+SUM(DB120:DE120)</f>
        <v>354</v>
      </c>
      <c r="V120" s="1123">
        <f>+SUM(DF120:DI120)</f>
        <v>86</v>
      </c>
      <c r="W120" s="1123">
        <f>+SUM(DJ120:DM120)</f>
        <v>-551</v>
      </c>
      <c r="X120" s="1123">
        <f>+SUM(DN120:DQ120)</f>
        <v>-133</v>
      </c>
      <c r="Y120" s="1123">
        <f>+SUM(DR120:DU120)</f>
        <v>-43</v>
      </c>
      <c r="Z120" s="1123">
        <f ca="1">+SUM(DV120:DY120)</f>
        <v>-775.4076420308171</v>
      </c>
      <c r="AA120" s="1123">
        <f ca="1">+AA287</f>
        <v>-408.70001538993756</v>
      </c>
      <c r="AB120" s="1123">
        <f ca="1">+AB287</f>
        <v>-234.1493572016866</v>
      </c>
      <c r="AC120" s="1123">
        <f t="shared" ref="AC120:AG120" ca="1" si="592">+AC287</f>
        <v>-150.64736731845187</v>
      </c>
      <c r="AD120" s="1123">
        <f t="shared" ca="1" si="592"/>
        <v>-110.29483597066564</v>
      </c>
      <c r="AE120" s="1123">
        <f t="shared" ca="1" si="592"/>
        <v>-90.399746481175953</v>
      </c>
      <c r="AF120" s="1123">
        <f t="shared" ca="1" si="592"/>
        <v>-80.211702624253121</v>
      </c>
      <c r="AG120" s="1123">
        <f t="shared" ca="1" si="592"/>
        <v>-74.637518052446922</v>
      </c>
      <c r="AH120" s="2220"/>
      <c r="AI120" s="1928"/>
      <c r="AJ120" s="2221"/>
      <c r="AK120" s="1123"/>
      <c r="AL120" s="1123"/>
      <c r="AM120" s="1088"/>
      <c r="AN120" s="1123"/>
      <c r="AO120" s="1123"/>
      <c r="AP120" s="466"/>
      <c r="AQ120" s="1123"/>
      <c r="AR120" s="1123"/>
      <c r="AS120" s="1123"/>
      <c r="AT120" s="466"/>
      <c r="AU120" s="1123"/>
      <c r="AV120" s="1123"/>
      <c r="AW120" s="1123"/>
      <c r="AX120" s="584"/>
      <c r="AY120" s="1088"/>
      <c r="AZ120" s="1088"/>
      <c r="BA120" s="1088"/>
      <c r="BB120" s="584"/>
      <c r="BC120" s="1088"/>
      <c r="BD120" s="1088"/>
      <c r="BE120" s="1088"/>
      <c r="BF120" s="584"/>
      <c r="BG120" s="1088"/>
      <c r="BH120" s="1088"/>
      <c r="BI120" s="1088"/>
      <c r="BJ120" s="584"/>
      <c r="BK120" s="1088"/>
      <c r="BL120" s="1088"/>
      <c r="BM120" s="1088"/>
      <c r="BN120" s="584"/>
      <c r="BO120" s="1088"/>
      <c r="BP120" s="1088"/>
      <c r="BQ120" s="1088"/>
      <c r="BR120" s="584"/>
      <c r="BS120" s="1088"/>
      <c r="BT120" s="1088"/>
      <c r="BU120" s="1088"/>
      <c r="BV120" s="584"/>
      <c r="BW120" s="1088"/>
      <c r="BX120" s="1088"/>
      <c r="BY120" s="1088"/>
      <c r="BZ120" s="584"/>
      <c r="CA120" s="1088"/>
      <c r="CB120" s="1088"/>
      <c r="CC120" s="1088"/>
      <c r="CD120" s="584"/>
      <c r="CE120" s="1123"/>
      <c r="CF120" s="1123"/>
      <c r="CG120" s="1123"/>
      <c r="CH120" s="584"/>
      <c r="CI120" s="1088"/>
      <c r="CJ120" s="1088"/>
      <c r="CK120" s="1123"/>
      <c r="CL120" s="466">
        <f t="shared" ref="CL120:DF120" si="593">+CL118-CL119</f>
        <v>268</v>
      </c>
      <c r="CM120" s="1123">
        <f t="shared" si="593"/>
        <v>48</v>
      </c>
      <c r="CN120" s="1123">
        <f t="shared" si="593"/>
        <v>15</v>
      </c>
      <c r="CO120" s="1123">
        <f t="shared" si="593"/>
        <v>51</v>
      </c>
      <c r="CP120" s="466">
        <f t="shared" si="593"/>
        <v>-146</v>
      </c>
      <c r="CQ120" s="1123">
        <f t="shared" si="593"/>
        <v>-200</v>
      </c>
      <c r="CR120" s="1123">
        <f t="shared" si="593"/>
        <v>-137</v>
      </c>
      <c r="CS120" s="1123">
        <f t="shared" si="593"/>
        <v>-69</v>
      </c>
      <c r="CT120" s="466">
        <f t="shared" si="593"/>
        <v>-27</v>
      </c>
      <c r="CU120" s="1123">
        <f t="shared" si="593"/>
        <v>61</v>
      </c>
      <c r="CV120" s="1123">
        <f t="shared" si="593"/>
        <v>86</v>
      </c>
      <c r="CW120" s="1123">
        <f t="shared" si="593"/>
        <v>252</v>
      </c>
      <c r="CX120" s="466">
        <f t="shared" si="593"/>
        <v>233</v>
      </c>
      <c r="CY120" s="1123">
        <f t="shared" si="593"/>
        <v>290</v>
      </c>
      <c r="CZ120" s="1123">
        <f t="shared" si="593"/>
        <v>228</v>
      </c>
      <c r="DA120" s="1123">
        <f t="shared" si="593"/>
        <v>142</v>
      </c>
      <c r="DB120" s="466">
        <f t="shared" si="593"/>
        <v>43</v>
      </c>
      <c r="DC120" s="1123">
        <f t="shared" si="593"/>
        <v>97</v>
      </c>
      <c r="DD120" s="1123">
        <f t="shared" si="593"/>
        <v>134</v>
      </c>
      <c r="DE120" s="1123">
        <f t="shared" si="593"/>
        <v>80</v>
      </c>
      <c r="DF120" s="466">
        <f t="shared" si="593"/>
        <v>10</v>
      </c>
      <c r="DG120" s="1123">
        <f t="shared" ref="DG120:DL120" si="594">+DG118-DG119</f>
        <v>-14</v>
      </c>
      <c r="DH120" s="1123">
        <f t="shared" si="594"/>
        <v>9</v>
      </c>
      <c r="DI120" s="722">
        <f t="shared" si="594"/>
        <v>81</v>
      </c>
      <c r="DJ120" s="466">
        <f t="shared" si="594"/>
        <v>-188</v>
      </c>
      <c r="DK120" s="1123">
        <f t="shared" si="594"/>
        <v>-126</v>
      </c>
      <c r="DL120" s="1123">
        <f t="shared" si="594"/>
        <v>-80</v>
      </c>
      <c r="DM120" s="722">
        <f t="shared" ref="DM120:DR120" si="595">+DM118-DM119</f>
        <v>-157</v>
      </c>
      <c r="DN120" s="1123">
        <f t="shared" si="595"/>
        <v>-177</v>
      </c>
      <c r="DO120" s="1123">
        <f t="shared" si="595"/>
        <v>-30</v>
      </c>
      <c r="DP120" s="1123">
        <f t="shared" si="595"/>
        <v>83</v>
      </c>
      <c r="DQ120" s="722">
        <f t="shared" si="595"/>
        <v>-9</v>
      </c>
      <c r="DR120" s="466">
        <f t="shared" si="595"/>
        <v>-17</v>
      </c>
      <c r="DS120" s="1123">
        <f t="shared" ref="DS120:DT120" si="596">+DS118-DS119</f>
        <v>19</v>
      </c>
      <c r="DT120" s="1123">
        <f t="shared" si="596"/>
        <v>139</v>
      </c>
      <c r="DU120" s="722">
        <f t="shared" ref="DU120" si="597">+DU118-DU119</f>
        <v>-184</v>
      </c>
      <c r="DV120" s="1123">
        <f t="shared" ref="DV120" si="598">+DV118-DV119</f>
        <v>-335</v>
      </c>
      <c r="DW120" s="1123">
        <f t="shared" ref="DW120:DY120" ca="1" si="599">+DW287</f>
        <v>-202.19177659479669</v>
      </c>
      <c r="DX120" s="1123">
        <f t="shared" ca="1" si="599"/>
        <v>-22.29839738967712</v>
      </c>
      <c r="DY120" s="722">
        <f t="shared" ca="1" si="599"/>
        <v>-215.91746804634329</v>
      </c>
    </row>
    <row r="121" spans="1:129" s="1491" customFormat="1" ht="15" hidden="1" customHeight="1" outlineLevel="1">
      <c r="A121" s="1815"/>
      <c r="D121" s="1492"/>
      <c r="E121" s="1492"/>
      <c r="F121" s="1492"/>
      <c r="L121" s="1492"/>
      <c r="M121" s="1492"/>
      <c r="N121" s="1492"/>
      <c r="O121" s="1492"/>
      <c r="P121" s="1492"/>
      <c r="Q121" s="1492"/>
      <c r="R121" s="1492"/>
      <c r="S121" s="1492"/>
      <c r="T121" s="1492"/>
      <c r="U121" s="1492"/>
      <c r="V121" s="1492"/>
      <c r="W121" s="1492"/>
      <c r="X121" s="1492"/>
      <c r="Y121" s="1492"/>
      <c r="Z121" s="1492"/>
      <c r="AA121" s="1492"/>
      <c r="AB121" s="1492"/>
      <c r="AC121" s="1492"/>
      <c r="AD121" s="1492"/>
      <c r="AE121" s="1492"/>
      <c r="AF121" s="1492"/>
      <c r="AG121" s="1492"/>
      <c r="AH121" s="2201"/>
      <c r="AI121" s="2125"/>
      <c r="AJ121" s="1561"/>
      <c r="AK121" s="1492"/>
      <c r="AL121" s="1492"/>
      <c r="AN121" s="1492"/>
      <c r="AO121" s="1492"/>
      <c r="AP121" s="1493"/>
      <c r="AQ121" s="1492"/>
      <c r="AR121" s="1492"/>
      <c r="AS121" s="1492"/>
      <c r="AT121" s="1493"/>
      <c r="AU121" s="1492"/>
      <c r="AV121" s="1492"/>
      <c r="AW121" s="1492"/>
      <c r="AX121" s="1398"/>
      <c r="BB121" s="1398"/>
      <c r="BF121" s="1398"/>
      <c r="BJ121" s="1398"/>
      <c r="BN121" s="1398"/>
      <c r="BR121" s="1398"/>
      <c r="BV121" s="1398"/>
      <c r="BZ121" s="1398"/>
      <c r="CD121" s="1398"/>
      <c r="CE121" s="1492"/>
      <c r="CF121" s="1492"/>
      <c r="CG121" s="1492"/>
      <c r="CH121" s="1398"/>
      <c r="CK121" s="1492"/>
      <c r="CL121" s="1493"/>
      <c r="CM121" s="1492"/>
      <c r="CN121" s="1492"/>
      <c r="CO121" s="1492"/>
      <c r="CP121" s="1493"/>
      <c r="CQ121" s="1492"/>
      <c r="CR121" s="1492"/>
      <c r="CS121" s="1492"/>
      <c r="CT121" s="1493"/>
      <c r="CU121" s="1492"/>
      <c r="CV121" s="1492"/>
      <c r="CW121" s="1492"/>
      <c r="CX121" s="1493"/>
      <c r="CY121" s="1492"/>
      <c r="CZ121" s="1492"/>
      <c r="DA121" s="1492"/>
      <c r="DB121" s="1493"/>
      <c r="DC121" s="1492"/>
      <c r="DD121" s="1492"/>
      <c r="DE121" s="1492"/>
      <c r="DF121" s="1493"/>
      <c r="DG121" s="1492"/>
      <c r="DH121" s="1492"/>
      <c r="DI121" s="1812"/>
      <c r="DJ121" s="1493"/>
      <c r="DK121" s="1492"/>
      <c r="DL121" s="1492"/>
      <c r="DM121" s="1812"/>
      <c r="DN121" s="1492"/>
      <c r="DO121" s="1492"/>
      <c r="DP121" s="1492"/>
      <c r="DQ121" s="1812"/>
      <c r="DR121" s="1493"/>
      <c r="DS121" s="1492"/>
      <c r="DT121" s="1492"/>
      <c r="DU121" s="1812"/>
      <c r="DV121" s="1492"/>
      <c r="DW121" s="1492"/>
      <c r="DX121" s="1492"/>
      <c r="DY121" s="1812"/>
    </row>
    <row r="122" spans="1:129" s="1491" customFormat="1" ht="15" hidden="1" customHeight="1" outlineLevel="1">
      <c r="A122" s="1456" t="s">
        <v>377</v>
      </c>
      <c r="B122" s="1472"/>
      <c r="C122" s="1472"/>
      <c r="D122" s="1479"/>
      <c r="E122" s="1479"/>
      <c r="F122" s="1479"/>
      <c r="G122" s="1479"/>
      <c r="H122" s="1479"/>
      <c r="I122" s="1479"/>
      <c r="J122" s="1479"/>
      <c r="K122" s="1479"/>
      <c r="L122" s="1479"/>
      <c r="M122" s="1479"/>
      <c r="N122" s="1479">
        <f>+N191+N199</f>
        <v>55</v>
      </c>
      <c r="O122" s="1479">
        <f>+O191+O199</f>
        <v>-268</v>
      </c>
      <c r="P122" s="1479">
        <f>+P191+P199</f>
        <v>208.5</v>
      </c>
      <c r="Q122" s="1479">
        <f>+SUM(CL122:CO122)</f>
        <v>566</v>
      </c>
      <c r="R122" s="1479">
        <f>+SUM(CP122:CS122)</f>
        <v>3540</v>
      </c>
      <c r="S122" s="1479">
        <f>+SUM(CT122:CW122)</f>
        <v>795</v>
      </c>
      <c r="T122" s="1479">
        <f>+SUM(CX122:DA122)</f>
        <v>964</v>
      </c>
      <c r="U122" s="1479">
        <f>+SUM(DB122:DE122)</f>
        <v>2500</v>
      </c>
      <c r="V122" s="1479">
        <f>+SUM(DF122:DI122)</f>
        <v>2000</v>
      </c>
      <c r="W122" s="1479">
        <f>+SUM(DJ122:DM122)</f>
        <v>-448</v>
      </c>
      <c r="X122" s="1479">
        <f>+SUM(DN122:DQ122)</f>
        <v>1353</v>
      </c>
      <c r="Y122" s="1479">
        <f>+SUM(DR122:DU122)</f>
        <v>1467</v>
      </c>
      <c r="Z122" s="1479">
        <f ca="1">+SUM(DV122:DY122)</f>
        <v>871.36818806653309</v>
      </c>
      <c r="AA122" s="1479">
        <f ca="1">+AA177</f>
        <v>-300.629384524344</v>
      </c>
      <c r="AB122" s="1479">
        <f ca="1">+AB177</f>
        <v>-266.59586929517263</v>
      </c>
      <c r="AC122" s="1479">
        <f t="shared" ref="AC122:AG122" ca="1" si="600">+AC177</f>
        <v>-236.41520484666307</v>
      </c>
      <c r="AD122" s="1479">
        <f t="shared" ca="1" si="600"/>
        <v>-209.65121939232358</v>
      </c>
      <c r="AE122" s="1479">
        <f t="shared" ca="1" si="600"/>
        <v>-185.91711908375873</v>
      </c>
      <c r="AF122" s="1479">
        <f t="shared" ca="1" si="600"/>
        <v>-164.86989805540861</v>
      </c>
      <c r="AG122" s="1479">
        <f t="shared" ca="1" si="600"/>
        <v>-146.20538129441911</v>
      </c>
      <c r="AH122" s="2201"/>
      <c r="AI122" s="1927"/>
      <c r="AJ122" s="1561"/>
      <c r="AK122" s="1479"/>
      <c r="AL122" s="1479"/>
      <c r="AM122" s="1472"/>
      <c r="AN122" s="1479"/>
      <c r="AO122" s="1479"/>
      <c r="AP122" s="1480"/>
      <c r="AQ122" s="1479"/>
      <c r="AR122" s="1479"/>
      <c r="AS122" s="1479"/>
      <c r="AT122" s="1480"/>
      <c r="AU122" s="1479"/>
      <c r="AV122" s="1479"/>
      <c r="AW122" s="1479"/>
      <c r="AX122" s="1480"/>
      <c r="AY122" s="1479"/>
      <c r="AZ122" s="1479"/>
      <c r="BA122" s="1479"/>
      <c r="BB122" s="1480"/>
      <c r="BC122" s="1479"/>
      <c r="BD122" s="1479"/>
      <c r="BE122" s="1479"/>
      <c r="BF122" s="450"/>
      <c r="BG122" s="1479"/>
      <c r="BH122" s="1479"/>
      <c r="BI122" s="1363"/>
      <c r="BJ122" s="1480"/>
      <c r="BK122" s="1363"/>
      <c r="BL122" s="1363"/>
      <c r="BM122" s="1363"/>
      <c r="BN122" s="450"/>
      <c r="BO122" s="1363"/>
      <c r="BP122" s="1363"/>
      <c r="BQ122" s="1363"/>
      <c r="BR122" s="450"/>
      <c r="BS122" s="1363"/>
      <c r="BT122" s="1363"/>
      <c r="BU122" s="1363"/>
      <c r="BV122" s="1480"/>
      <c r="BW122" s="1479"/>
      <c r="BX122" s="1479"/>
      <c r="BY122" s="1479"/>
      <c r="BZ122" s="1454"/>
      <c r="CA122" s="1472"/>
      <c r="CB122" s="1472"/>
      <c r="CC122" s="1472"/>
      <c r="CD122" s="1480">
        <f>+CD191+CD199</f>
        <v>18</v>
      </c>
      <c r="CE122" s="1479">
        <f>+CE191+CE199</f>
        <v>-284</v>
      </c>
      <c r="CF122" s="1479">
        <f>+CF191+CF199</f>
        <v>-115</v>
      </c>
      <c r="CG122" s="1479">
        <f>+CG191+CG199</f>
        <v>113</v>
      </c>
      <c r="CH122" s="1480"/>
      <c r="CI122" s="1479">
        <f>CI177</f>
        <v>-4</v>
      </c>
      <c r="CJ122" s="1479">
        <f>CJ177</f>
        <v>-9</v>
      </c>
      <c r="CK122" s="1479">
        <f>CK177</f>
        <v>8315</v>
      </c>
      <c r="CL122" s="1480">
        <f t="shared" ref="CL122:DJ122" si="601">+CL112-CL118</f>
        <v>-249</v>
      </c>
      <c r="CM122" s="1479">
        <f t="shared" si="601"/>
        <v>-255</v>
      </c>
      <c r="CN122" s="1479">
        <f t="shared" si="601"/>
        <v>112</v>
      </c>
      <c r="CO122" s="1479">
        <f t="shared" si="601"/>
        <v>958</v>
      </c>
      <c r="CP122" s="1480">
        <f t="shared" si="601"/>
        <v>1240</v>
      </c>
      <c r="CQ122" s="1479">
        <f t="shared" si="601"/>
        <v>1161</v>
      </c>
      <c r="CR122" s="1479">
        <f t="shared" si="601"/>
        <v>801</v>
      </c>
      <c r="CS122" s="1479">
        <f t="shared" si="601"/>
        <v>338</v>
      </c>
      <c r="CT122" s="1480">
        <f t="shared" si="601"/>
        <v>897</v>
      </c>
      <c r="CU122" s="1479">
        <f t="shared" si="601"/>
        <v>890</v>
      </c>
      <c r="CV122" s="1479">
        <f t="shared" si="601"/>
        <v>367</v>
      </c>
      <c r="CW122" s="1479">
        <f t="shared" si="601"/>
        <v>-1359</v>
      </c>
      <c r="CX122" s="1480">
        <f t="shared" si="601"/>
        <v>468</v>
      </c>
      <c r="CY122" s="1479">
        <f t="shared" si="601"/>
        <v>250</v>
      </c>
      <c r="CZ122" s="1479">
        <f t="shared" si="601"/>
        <v>123</v>
      </c>
      <c r="DA122" s="1479">
        <f t="shared" si="601"/>
        <v>123</v>
      </c>
      <c r="DB122" s="1480">
        <f t="shared" si="601"/>
        <v>1000</v>
      </c>
      <c r="DC122" s="1479">
        <f t="shared" si="601"/>
        <v>500</v>
      </c>
      <c r="DD122" s="1479">
        <f t="shared" si="601"/>
        <v>500</v>
      </c>
      <c r="DE122" s="1479">
        <f t="shared" si="601"/>
        <v>500</v>
      </c>
      <c r="DF122" s="1480">
        <f t="shared" si="601"/>
        <v>500</v>
      </c>
      <c r="DG122" s="1479">
        <f t="shared" si="601"/>
        <v>500</v>
      </c>
      <c r="DH122" s="1479">
        <f t="shared" si="601"/>
        <v>500</v>
      </c>
      <c r="DI122" s="1499">
        <f t="shared" si="601"/>
        <v>500</v>
      </c>
      <c r="DJ122" s="1480">
        <f t="shared" si="601"/>
        <v>500</v>
      </c>
      <c r="DK122" s="1479">
        <f t="shared" ref="DK122:DP122" si="602">+DK112-DK118</f>
        <v>-131</v>
      </c>
      <c r="DL122" s="1479">
        <f t="shared" si="602"/>
        <v>-332</v>
      </c>
      <c r="DM122" s="1499">
        <f t="shared" si="602"/>
        <v>-485</v>
      </c>
      <c r="DN122" s="1479">
        <f t="shared" si="602"/>
        <v>414</v>
      </c>
      <c r="DO122" s="1479">
        <f t="shared" si="602"/>
        <v>292</v>
      </c>
      <c r="DP122" s="1479">
        <f t="shared" si="602"/>
        <v>352</v>
      </c>
      <c r="DQ122" s="1499">
        <f t="shared" ref="DQ122" si="603">+DQ112-DQ118</f>
        <v>295</v>
      </c>
      <c r="DR122" s="1480">
        <f t="shared" ref="DR122" si="604">+DR112-DR118</f>
        <v>1201</v>
      </c>
      <c r="DS122" s="1479">
        <f t="shared" ref="DS122:DT122" si="605">+DS112-DS118</f>
        <v>244</v>
      </c>
      <c r="DT122" s="1479">
        <f t="shared" si="605"/>
        <v>135</v>
      </c>
      <c r="DU122" s="1499">
        <f t="shared" ref="DU122" si="606">+DU112-DU118</f>
        <v>-113</v>
      </c>
      <c r="DV122" s="1479">
        <f t="shared" ref="DV122" si="607">+DV112-DV118</f>
        <v>952</v>
      </c>
      <c r="DW122" s="1479">
        <f t="shared" ref="DW122:DY122" ca="1" si="608">+DW177</f>
        <v>128.81334297807791</v>
      </c>
      <c r="DX122" s="1479">
        <f t="shared" ca="1" si="608"/>
        <v>17.942209681666554</v>
      </c>
      <c r="DY122" s="1499">
        <f t="shared" ca="1" si="608"/>
        <v>-227.38736459321126</v>
      </c>
    </row>
    <row r="123" spans="1:129" s="1491" customFormat="1" ht="15" hidden="1" customHeight="1" outlineLevel="1">
      <c r="A123" s="1460" t="s">
        <v>1481</v>
      </c>
      <c r="D123" s="1492"/>
      <c r="E123" s="1492"/>
      <c r="F123" s="1492"/>
      <c r="G123" s="1811"/>
      <c r="H123" s="1492"/>
      <c r="I123" s="1492"/>
      <c r="J123" s="1492"/>
      <c r="K123" s="1492"/>
      <c r="L123" s="1492"/>
      <c r="M123" s="1492"/>
      <c r="N123" s="1492"/>
      <c r="O123" s="1492"/>
      <c r="P123" s="1492"/>
      <c r="Q123" s="1492">
        <f>+SUM(CL123:CO123)</f>
        <v>0</v>
      </c>
      <c r="R123" s="1492">
        <f>+SUM(CP123:CS123)</f>
        <v>0</v>
      </c>
      <c r="S123" s="1492">
        <v>0</v>
      </c>
      <c r="T123" s="1492">
        <v>0</v>
      </c>
      <c r="U123" s="1492">
        <v>0</v>
      </c>
      <c r="V123" s="1492">
        <v>0</v>
      </c>
      <c r="W123" s="1492">
        <v>0</v>
      </c>
      <c r="X123" s="1492">
        <v>0</v>
      </c>
      <c r="Y123" s="1492">
        <v>0</v>
      </c>
      <c r="Z123" s="1492">
        <v>0</v>
      </c>
      <c r="AA123" s="1492">
        <v>0</v>
      </c>
      <c r="AB123" s="1492">
        <v>0</v>
      </c>
      <c r="AC123" s="1492">
        <v>0</v>
      </c>
      <c r="AD123" s="1492">
        <v>0</v>
      </c>
      <c r="AE123" s="1492">
        <v>0</v>
      </c>
      <c r="AF123" s="1492">
        <v>0</v>
      </c>
      <c r="AG123" s="1492">
        <v>0</v>
      </c>
      <c r="AH123" s="2201"/>
      <c r="AI123" s="1927"/>
      <c r="AJ123" s="1561"/>
      <c r="AK123" s="1492"/>
      <c r="AL123" s="1492"/>
      <c r="AN123" s="1492"/>
      <c r="AO123" s="1492"/>
      <c r="AP123" s="1493"/>
      <c r="AQ123" s="1492"/>
      <c r="AR123" s="1492"/>
      <c r="AS123" s="1492"/>
      <c r="AT123" s="1493"/>
      <c r="AU123" s="1492"/>
      <c r="AV123" s="1492"/>
      <c r="AW123" s="1492"/>
      <c r="AX123" s="1493"/>
      <c r="BB123" s="1398"/>
      <c r="BF123" s="1398"/>
      <c r="BJ123" s="1398"/>
      <c r="BN123" s="1398"/>
      <c r="BR123" s="1398"/>
      <c r="BV123" s="1398"/>
      <c r="BZ123" s="1398"/>
      <c r="CD123" s="1398"/>
      <c r="CH123" s="1398"/>
      <c r="CI123" s="1536">
        <v>46</v>
      </c>
      <c r="CJ123" s="1536">
        <v>646</v>
      </c>
      <c r="CK123" s="1536">
        <v>-122</v>
      </c>
      <c r="CL123" s="1830"/>
      <c r="CM123" s="1536"/>
      <c r="CN123" s="1536"/>
      <c r="CO123" s="1536"/>
      <c r="CP123" s="1535"/>
      <c r="CQ123" s="1574"/>
      <c r="CR123" s="1574"/>
      <c r="CS123" s="1574"/>
      <c r="CT123" s="1830"/>
      <c r="CU123" s="1574"/>
      <c r="CV123" s="1574"/>
      <c r="CW123" s="1574"/>
      <c r="CX123" s="1830"/>
      <c r="CY123" s="1574"/>
      <c r="CZ123" s="1574"/>
      <c r="DA123" s="1574"/>
      <c r="DB123" s="1830"/>
      <c r="DC123" s="1574"/>
      <c r="DD123" s="1574"/>
      <c r="DE123" s="1574"/>
      <c r="DF123" s="1830"/>
      <c r="DG123" s="1574"/>
      <c r="DH123" s="1574"/>
      <c r="DI123" s="1553"/>
      <c r="DJ123" s="1830"/>
      <c r="DK123" s="1574"/>
      <c r="DL123" s="1574"/>
      <c r="DM123" s="1553"/>
      <c r="DN123" s="1574"/>
      <c r="DO123" s="1574"/>
      <c r="DP123" s="1574"/>
      <c r="DQ123" s="1553"/>
      <c r="DR123" s="1830"/>
      <c r="DS123" s="1574"/>
      <c r="DT123" s="1574"/>
      <c r="DU123" s="1553"/>
      <c r="DV123" s="1574"/>
      <c r="DW123" s="1574">
        <v>0</v>
      </c>
      <c r="DX123" s="1574">
        <v>0</v>
      </c>
      <c r="DY123" s="1553">
        <v>0</v>
      </c>
    </row>
    <row r="124" spans="1:129" s="1491" customFormat="1" ht="15" hidden="1" customHeight="1" outlineLevel="1">
      <c r="A124" s="1395" t="s">
        <v>1482</v>
      </c>
      <c r="B124" s="1064"/>
      <c r="C124" s="1064"/>
      <c r="D124" s="1070"/>
      <c r="E124" s="1070"/>
      <c r="F124" s="1070"/>
      <c r="G124" s="1064"/>
      <c r="H124" s="1064"/>
      <c r="I124" s="1064"/>
      <c r="J124" s="1064"/>
      <c r="K124" s="1064"/>
      <c r="L124" s="1070"/>
      <c r="M124" s="1070"/>
      <c r="N124" s="1070"/>
      <c r="O124" s="1070"/>
      <c r="P124" s="1070"/>
      <c r="Q124" s="1070"/>
      <c r="R124" s="1070"/>
      <c r="S124" s="1070"/>
      <c r="T124" s="1070"/>
      <c r="U124" s="1070"/>
      <c r="V124" s="1070"/>
      <c r="W124" s="1070"/>
      <c r="X124" s="1070"/>
      <c r="Y124" s="1070"/>
      <c r="Z124" s="1070"/>
      <c r="AA124" s="1070"/>
      <c r="AB124" s="1070"/>
      <c r="AC124" s="1070"/>
      <c r="AD124" s="1070"/>
      <c r="AE124" s="1070"/>
      <c r="AF124" s="1070"/>
      <c r="AG124" s="1070"/>
      <c r="AH124" s="2201"/>
      <c r="AI124" s="1927"/>
      <c r="AJ124" s="1561"/>
      <c r="AK124" s="1070"/>
      <c r="AL124" s="1070"/>
      <c r="AM124" s="1064"/>
      <c r="AN124" s="1070"/>
      <c r="AO124" s="1070"/>
      <c r="AP124" s="607"/>
      <c r="AQ124" s="1070"/>
      <c r="AR124" s="1070"/>
      <c r="AS124" s="1070"/>
      <c r="AT124" s="607"/>
      <c r="AU124" s="1070"/>
      <c r="AV124" s="1070"/>
      <c r="AW124" s="1070"/>
      <c r="AX124" s="569"/>
      <c r="AY124" s="1064"/>
      <c r="AZ124" s="1064"/>
      <c r="BA124" s="1064"/>
      <c r="BB124" s="569"/>
      <c r="BC124" s="1064"/>
      <c r="BD124" s="1064"/>
      <c r="BE124" s="1064"/>
      <c r="BF124" s="569"/>
      <c r="BG124" s="1064"/>
      <c r="BH124" s="1064"/>
      <c r="BI124" s="1064"/>
      <c r="BJ124" s="569"/>
      <c r="BK124" s="1064"/>
      <c r="BL124" s="1064"/>
      <c r="BM124" s="1064"/>
      <c r="BN124" s="569"/>
      <c r="BO124" s="1064"/>
      <c r="BP124" s="1064"/>
      <c r="BQ124" s="1064"/>
      <c r="BR124" s="569"/>
      <c r="BS124" s="1064"/>
      <c r="BT124" s="1064"/>
      <c r="BU124" s="1064"/>
      <c r="BV124" s="569"/>
      <c r="BW124" s="1064"/>
      <c r="BX124" s="1064"/>
      <c r="BY124" s="1064"/>
      <c r="BZ124" s="569"/>
      <c r="CA124" s="1064"/>
      <c r="CB124" s="1064"/>
      <c r="CC124" s="1064"/>
      <c r="CD124" s="569"/>
      <c r="CE124" s="1070"/>
      <c r="CF124" s="1070"/>
      <c r="CG124" s="1070"/>
      <c r="CH124" s="569"/>
      <c r="CI124" s="1064"/>
      <c r="CJ124" s="1064"/>
      <c r="CK124" s="1070"/>
      <c r="CL124" s="607"/>
      <c r="CM124" s="1070"/>
      <c r="CN124" s="1070"/>
      <c r="CO124" s="565"/>
      <c r="CP124" s="607"/>
      <c r="CQ124" s="1070"/>
      <c r="CR124" s="1070"/>
      <c r="CS124" s="565"/>
      <c r="CT124" s="607"/>
      <c r="CU124" s="1070"/>
      <c r="CV124" s="1070"/>
      <c r="CW124" s="565"/>
      <c r="CX124" s="607"/>
      <c r="CY124" s="1070"/>
      <c r="CZ124" s="1070"/>
      <c r="DA124" s="565"/>
      <c r="DB124" s="607"/>
      <c r="DC124" s="1070"/>
      <c r="DD124" s="1070"/>
      <c r="DE124" s="1070"/>
      <c r="DF124" s="607"/>
      <c r="DG124" s="1070"/>
      <c r="DH124" s="1070"/>
      <c r="DI124" s="608"/>
      <c r="DJ124" s="607"/>
      <c r="DK124" s="1070"/>
      <c r="DL124" s="1070"/>
      <c r="DM124" s="608"/>
      <c r="DN124" s="1070"/>
      <c r="DO124" s="1070"/>
      <c r="DP124" s="1070"/>
      <c r="DQ124" s="608"/>
      <c r="DR124" s="607"/>
      <c r="DS124" s="1070"/>
      <c r="DT124" s="1070"/>
      <c r="DU124" s="608"/>
      <c r="DV124" s="1070"/>
      <c r="DW124" s="1070"/>
      <c r="DX124" s="1070"/>
      <c r="DY124" s="608"/>
    </row>
    <row r="125" spans="1:129" s="1491" customFormat="1" ht="15" hidden="1" customHeight="1" outlineLevel="1">
      <c r="A125" s="1455" t="s">
        <v>1478</v>
      </c>
      <c r="B125" s="1064"/>
      <c r="C125" s="1064"/>
      <c r="D125" s="1070"/>
      <c r="E125" s="1070"/>
      <c r="F125" s="1070"/>
      <c r="G125" s="1064"/>
      <c r="H125" s="1064"/>
      <c r="I125" s="1064"/>
      <c r="J125" s="1064"/>
      <c r="K125" s="1064"/>
      <c r="L125" s="1070"/>
      <c r="M125" s="1070"/>
      <c r="N125" s="1070"/>
      <c r="O125" s="1070"/>
      <c r="P125" s="1070"/>
      <c r="Q125" s="1227">
        <f t="shared" ref="Q125:AA125" si="609">+Q255/Q$112</f>
        <v>0.80790273556231007</v>
      </c>
      <c r="R125" s="1227">
        <f t="shared" si="609"/>
        <v>0.45840130505709625</v>
      </c>
      <c r="S125" s="1227">
        <f t="shared" si="609"/>
        <v>0.78464661376637757</v>
      </c>
      <c r="T125" s="1227">
        <f t="shared" si="609"/>
        <v>0.7301264351111757</v>
      </c>
      <c r="U125" s="1227">
        <f t="shared" si="609"/>
        <v>0.59064830751577735</v>
      </c>
      <c r="V125" s="1227">
        <f t="shared" si="609"/>
        <v>0.72436575052854124</v>
      </c>
      <c r="W125" s="1227">
        <f t="shared" si="609"/>
        <v>0.60938345051379128</v>
      </c>
      <c r="X125" s="1227">
        <f>+X255/X$112</f>
        <v>0.36054207374724234</v>
      </c>
      <c r="Y125" s="1227">
        <f>+Y255/Y$112</f>
        <v>0.59407069555302161</v>
      </c>
      <c r="Z125" s="1227">
        <f ca="1">+Z255/Z$112</f>
        <v>0.9594793220593093</v>
      </c>
      <c r="AA125" s="1227">
        <f t="shared" ca="1" si="609"/>
        <v>1.5562838954633336</v>
      </c>
      <c r="AB125" s="1227">
        <f t="shared" ref="AB125:AG125" ca="1" si="610">+AB255/AB$112</f>
        <v>1.4030647527086995</v>
      </c>
      <c r="AC125" s="1227">
        <f t="shared" ca="1" si="610"/>
        <v>1.3353286106443352</v>
      </c>
      <c r="AD125" s="1227">
        <f t="shared" ca="1" si="610"/>
        <v>1.3036835625023058</v>
      </c>
      <c r="AE125" s="1227">
        <f t="shared" ca="1" si="610"/>
        <v>1.2882969516229912</v>
      </c>
      <c r="AF125" s="1227">
        <f t="shared" ca="1" si="610"/>
        <v>1.2797660765530479</v>
      </c>
      <c r="AG125" s="1227">
        <f t="shared" ca="1" si="610"/>
        <v>1.2732227805136951</v>
      </c>
      <c r="AH125" s="2201"/>
      <c r="AI125" s="1927"/>
      <c r="AJ125" s="1561"/>
      <c r="AK125" s="1070"/>
      <c r="AL125" s="1070"/>
      <c r="AM125" s="1064"/>
      <c r="AN125" s="1070"/>
      <c r="AO125" s="1070"/>
      <c r="AP125" s="607"/>
      <c r="AQ125" s="1070"/>
      <c r="AR125" s="1070"/>
      <c r="AS125" s="1070"/>
      <c r="AT125" s="607"/>
      <c r="AU125" s="1070"/>
      <c r="AV125" s="1070"/>
      <c r="AW125" s="1070"/>
      <c r="AX125" s="569"/>
      <c r="AY125" s="1064"/>
      <c r="AZ125" s="1064"/>
      <c r="BA125" s="1064"/>
      <c r="BB125" s="569"/>
      <c r="BC125" s="1064"/>
      <c r="BD125" s="1064"/>
      <c r="BE125" s="1064"/>
      <c r="BF125" s="569"/>
      <c r="BG125" s="1064"/>
      <c r="BH125" s="1064"/>
      <c r="BI125" s="1064"/>
      <c r="BJ125" s="569"/>
      <c r="BK125" s="1064"/>
      <c r="BL125" s="1064"/>
      <c r="BM125" s="1064"/>
      <c r="BN125" s="569"/>
      <c r="BO125" s="1064"/>
      <c r="BP125" s="1064"/>
      <c r="BQ125" s="1064"/>
      <c r="BR125" s="569"/>
      <c r="BS125" s="1064"/>
      <c r="BT125" s="1064"/>
      <c r="BU125" s="1064"/>
      <c r="BV125" s="569"/>
      <c r="BW125" s="1064"/>
      <c r="BX125" s="1064"/>
      <c r="BY125" s="1064"/>
      <c r="BZ125" s="569"/>
      <c r="CA125" s="1064"/>
      <c r="CB125" s="1064"/>
      <c r="CC125" s="1064"/>
      <c r="CD125" s="569"/>
      <c r="CE125" s="1070"/>
      <c r="CF125" s="1070"/>
      <c r="CG125" s="1070"/>
      <c r="CH125" s="574">
        <f>+CH255/CH$112</f>
        <v>0.81598532731376971</v>
      </c>
      <c r="CI125" s="1227">
        <f>+CI255/CI$112</f>
        <v>0.93011363636363631</v>
      </c>
      <c r="CJ125" s="1227">
        <f>+CJ255/CJ$112</f>
        <v>0.96797752808988768</v>
      </c>
      <c r="CK125" s="1227">
        <f>+CK255/CK$112</f>
        <v>0.87005316007088007</v>
      </c>
      <c r="CL125" s="574">
        <f t="shared" ref="CL125:DE125" si="611">+CL119/CL$112</f>
        <v>0.98010471204188476</v>
      </c>
      <c r="CM125" s="1227">
        <f t="shared" si="611"/>
        <v>1.2473118279569892</v>
      </c>
      <c r="CN125" s="1227">
        <f t="shared" si="611"/>
        <v>0.87645914396887159</v>
      </c>
      <c r="CO125" s="1227">
        <f t="shared" si="611"/>
        <v>0.52293144208037823</v>
      </c>
      <c r="CP125" s="574">
        <f t="shared" si="611"/>
        <v>0.27357237715803451</v>
      </c>
      <c r="CQ125" s="1227">
        <f t="shared" si="611"/>
        <v>0.40752157829839702</v>
      </c>
      <c r="CR125" s="1227">
        <f t="shared" si="611"/>
        <v>0.46794871794871795</v>
      </c>
      <c r="CS125" s="1227">
        <f t="shared" si="611"/>
        <v>0.7642418930762489</v>
      </c>
      <c r="CT125" s="574">
        <f t="shared" si="611"/>
        <v>0.51013513513513509</v>
      </c>
      <c r="CU125" s="1227">
        <f t="shared" si="611"/>
        <v>0.56929347826086951</v>
      </c>
      <c r="CV125" s="1227">
        <f t="shared" si="611"/>
        <v>0.66067415730337076</v>
      </c>
      <c r="CW125" s="1227">
        <f t="shared" si="611"/>
        <v>12.07</v>
      </c>
      <c r="CX125" s="574">
        <f t="shared" si="611"/>
        <v>0.41680532445923463</v>
      </c>
      <c r="CY125" s="1227">
        <f t="shared" si="611"/>
        <v>0.62184873949579833</v>
      </c>
      <c r="CZ125" s="1227">
        <f t="shared" si="611"/>
        <v>0.81389183457051961</v>
      </c>
      <c r="DA125" s="1227">
        <f t="shared" si="611"/>
        <v>0.88794926004228325</v>
      </c>
      <c r="DB125" s="574">
        <f t="shared" si="611"/>
        <v>0.3936046511627907</v>
      </c>
      <c r="DC125" s="1227">
        <f t="shared" si="611"/>
        <v>0.61183355006501949</v>
      </c>
      <c r="DD125" s="1227">
        <f t="shared" si="611"/>
        <v>0.59385009609224859</v>
      </c>
      <c r="DE125" s="1227">
        <f t="shared" si="611"/>
        <v>0.73060845332094748</v>
      </c>
      <c r="DF125" s="574">
        <f t="shared" ref="DF125:DJ126" si="612">+DF119/DF$112</f>
        <v>0.51382268827454713</v>
      </c>
      <c r="DG125" s="1227">
        <f t="shared" si="612"/>
        <v>0.74779449922158792</v>
      </c>
      <c r="DH125" s="1227">
        <f t="shared" si="612"/>
        <v>0.74864197530864196</v>
      </c>
      <c r="DI125" s="575">
        <f t="shared" si="612"/>
        <v>0.77366575769380597</v>
      </c>
      <c r="DJ125" s="574">
        <f t="shared" si="612"/>
        <v>0.64424173318129985</v>
      </c>
      <c r="DK125" s="1227">
        <f t="shared" ref="DK125:DM126" si="613">+DK119/DK$112</f>
        <v>1.2930444697833523</v>
      </c>
      <c r="DL125" s="1227">
        <f t="shared" si="613"/>
        <v>1.4697833523375143</v>
      </c>
      <c r="DM125" s="575">
        <f t="shared" si="613"/>
        <v>1.7320410490307867</v>
      </c>
      <c r="DN125" s="1227">
        <f t="shared" ref="DN125:DO125" si="614">+DN119/DN$112</f>
        <v>0.72976054732041051</v>
      </c>
      <c r="DO125" s="1227">
        <f t="shared" si="614"/>
        <v>0.70125427594070699</v>
      </c>
      <c r="DP125" s="1227">
        <f t="shared" ref="DP125:DQ125" si="615">+DP119/DP$112</f>
        <v>0.50399087799315845</v>
      </c>
      <c r="DQ125" s="575">
        <f t="shared" si="615"/>
        <v>0.67388825541619157</v>
      </c>
      <c r="DR125" s="574">
        <f t="shared" ref="DR125" si="616">+DR119/DR$112</f>
        <v>-0.35005701254275939</v>
      </c>
      <c r="DS125" s="1227">
        <f t="shared" ref="DS125:DT125" si="617">+DS119/DS$112</f>
        <v>0.70011402508551879</v>
      </c>
      <c r="DT125" s="1227">
        <f t="shared" si="617"/>
        <v>0.68757126567844928</v>
      </c>
      <c r="DU125" s="575">
        <f t="shared" ref="DU125" si="618">+DU119/DU$112</f>
        <v>1.3386545039908779</v>
      </c>
      <c r="DV125" s="1227">
        <f t="shared" ref="DV125" si="619">+DV119/DV$112</f>
        <v>0.29646522234891676</v>
      </c>
      <c r="DW125" s="1227">
        <f t="shared" ref="DW125:DY126" ca="1" si="620">+DW119/DW$112</f>
        <v>1.1858987298558541</v>
      </c>
      <c r="DX125" s="1227">
        <f t="shared" ca="1" si="620"/>
        <v>1.0090680922543844</v>
      </c>
      <c r="DY125" s="575">
        <f t="shared" ca="1" si="620"/>
        <v>1.7195594543522699</v>
      </c>
    </row>
    <row r="126" spans="1:129" s="1491" customFormat="1" ht="15" hidden="1" customHeight="1" outlineLevel="1">
      <c r="A126" s="1455" t="s">
        <v>1479</v>
      </c>
      <c r="B126" s="1064"/>
      <c r="C126" s="1064"/>
      <c r="D126" s="1070"/>
      <c r="E126" s="1070"/>
      <c r="F126" s="1070"/>
      <c r="G126" s="1064"/>
      <c r="H126" s="1064"/>
      <c r="I126" s="1064"/>
      <c r="J126" s="1064"/>
      <c r="K126" s="1064"/>
      <c r="L126" s="1070"/>
      <c r="M126" s="1070"/>
      <c r="N126" s="1070"/>
      <c r="O126" s="1070"/>
      <c r="P126" s="1070"/>
      <c r="Q126" s="1227">
        <f t="shared" ref="Q126:AA126" si="621">+Q287/Q$112</f>
        <v>7.7406281661600809E-2</v>
      </c>
      <c r="R126" s="1227">
        <f t="shared" si="621"/>
        <v>-0.10005437737901034</v>
      </c>
      <c r="S126" s="1227">
        <f t="shared" si="621"/>
        <v>6.8647351909946489E-2</v>
      </c>
      <c r="T126" s="1227">
        <f t="shared" si="621"/>
        <v>0.12977764859758756</v>
      </c>
      <c r="U126" s="1227">
        <f t="shared" si="621"/>
        <v>5.0774526678141134E-2</v>
      </c>
      <c r="V126" s="1227">
        <f t="shared" si="621"/>
        <v>1.1363636363636364E-2</v>
      </c>
      <c r="W126" s="1227">
        <f t="shared" si="621"/>
        <v>-7.4499729583558674E-2</v>
      </c>
      <c r="X126" s="1227">
        <f>+X287/X$112</f>
        <v>-2.0958083832335328E-2</v>
      </c>
      <c r="Y126" s="1227">
        <f>+Y287/Y$112</f>
        <v>-1.2257696693272519E-2</v>
      </c>
      <c r="Z126" s="1227">
        <f ca="1">+Z287/Z$112</f>
        <v>-0.32742668350164428</v>
      </c>
      <c r="AA126" s="1227">
        <f t="shared" ca="1" si="621"/>
        <v>-0.32051855832355591</v>
      </c>
      <c r="AB126" s="1227">
        <f t="shared" ref="AB126:AG126" ca="1" si="622">+AB287/AB$112</f>
        <v>-0.18847379418401827</v>
      </c>
      <c r="AC126" s="1227">
        <f t="shared" ca="1" si="622"/>
        <v>-0.13051216008189531</v>
      </c>
      <c r="AD126" s="1227">
        <f t="shared" ca="1" si="622"/>
        <v>-0.10468867533052899</v>
      </c>
      <c r="AE126" s="1227">
        <f t="shared" ca="1" si="622"/>
        <v>-9.4319147999635214E-2</v>
      </c>
      <c r="AF126" s="1227">
        <f t="shared" ca="1" si="622"/>
        <v>-9.1563435503094981E-2</v>
      </c>
      <c r="AG126" s="1227">
        <f t="shared" ca="1" si="622"/>
        <v>-9.234016702933015E-2</v>
      </c>
      <c r="AH126" s="2201"/>
      <c r="AI126" s="1927"/>
      <c r="AJ126" s="1561"/>
      <c r="AK126" s="1070"/>
      <c r="AL126" s="1070"/>
      <c r="AM126" s="1064"/>
      <c r="AN126" s="1070"/>
      <c r="AO126" s="1070"/>
      <c r="AP126" s="607"/>
      <c r="AQ126" s="1070"/>
      <c r="AR126" s="1070"/>
      <c r="AS126" s="1070"/>
      <c r="AT126" s="607"/>
      <c r="AU126" s="1070"/>
      <c r="AV126" s="1070"/>
      <c r="AW126" s="1070"/>
      <c r="AX126" s="569"/>
      <c r="AY126" s="1064"/>
      <c r="AZ126" s="1064"/>
      <c r="BA126" s="1064"/>
      <c r="BB126" s="569"/>
      <c r="BC126" s="1064"/>
      <c r="BD126" s="1064"/>
      <c r="BE126" s="1064"/>
      <c r="BF126" s="569"/>
      <c r="BG126" s="1064"/>
      <c r="BH126" s="1064"/>
      <c r="BI126" s="1064"/>
      <c r="BJ126" s="569"/>
      <c r="BK126" s="1064"/>
      <c r="BL126" s="1064"/>
      <c r="BM126" s="1064"/>
      <c r="BN126" s="569"/>
      <c r="BO126" s="1064"/>
      <c r="BP126" s="1064"/>
      <c r="BQ126" s="1064"/>
      <c r="BR126" s="569"/>
      <c r="BS126" s="1064"/>
      <c r="BT126" s="1064"/>
      <c r="BU126" s="1064"/>
      <c r="BV126" s="569"/>
      <c r="BW126" s="1064"/>
      <c r="BX126" s="1064"/>
      <c r="BY126" s="1064"/>
      <c r="BZ126" s="569"/>
      <c r="CA126" s="1064"/>
      <c r="CB126" s="1064"/>
      <c r="CC126" s="1064"/>
      <c r="CD126" s="569"/>
      <c r="CE126" s="1070"/>
      <c r="CF126" s="1070"/>
      <c r="CG126" s="1070"/>
      <c r="CH126" s="574">
        <f>+CH287/CH$112</f>
        <v>-0.30921726862302429</v>
      </c>
      <c r="CI126" s="1227">
        <f>+CI287/CI$112</f>
        <v>7.2159090909090909E-2</v>
      </c>
      <c r="CJ126" s="1227">
        <f>+CJ287/CJ$112</f>
        <v>3.707865168539326E-2</v>
      </c>
      <c r="CK126" s="1227">
        <f>+CK287/CK$112</f>
        <v>9.0962787950383928E-2</v>
      </c>
      <c r="CL126" s="574">
        <f t="shared" ref="CL126:DE126" si="623">+CL120/CL$112</f>
        <v>0.28062827225130887</v>
      </c>
      <c r="CM126" s="1227">
        <f t="shared" si="623"/>
        <v>5.7347670250896057E-2</v>
      </c>
      <c r="CN126" s="1227">
        <f t="shared" si="623"/>
        <v>1.4591439688715954E-2</v>
      </c>
      <c r="CO126" s="1227">
        <f t="shared" si="623"/>
        <v>2.4113475177304965E-2</v>
      </c>
      <c r="CP126" s="574">
        <f t="shared" si="623"/>
        <v>-9.6945551128818058E-2</v>
      </c>
      <c r="CQ126" s="1227">
        <f t="shared" si="623"/>
        <v>-0.12330456226880394</v>
      </c>
      <c r="CR126" s="1227">
        <f t="shared" si="623"/>
        <v>-0.10977564102564102</v>
      </c>
      <c r="CS126" s="1227">
        <f t="shared" si="623"/>
        <v>-6.0473269062226116E-2</v>
      </c>
      <c r="CT126" s="574">
        <f t="shared" si="623"/>
        <v>-1.5202702702702704E-2</v>
      </c>
      <c r="CU126" s="1227">
        <f t="shared" si="623"/>
        <v>2.76268115942029E-2</v>
      </c>
      <c r="CV126" s="1227">
        <f t="shared" si="623"/>
        <v>6.4419475655430714E-2</v>
      </c>
      <c r="CW126" s="1227">
        <f t="shared" si="623"/>
        <v>2.52</v>
      </c>
      <c r="CX126" s="574">
        <f t="shared" si="623"/>
        <v>0.19384359400998336</v>
      </c>
      <c r="CY126" s="1227">
        <f t="shared" si="623"/>
        <v>0.2030812324929972</v>
      </c>
      <c r="CZ126" s="1227">
        <f t="shared" si="623"/>
        <v>0.12089077412513255</v>
      </c>
      <c r="DA126" s="1227">
        <f t="shared" si="623"/>
        <v>6.004228329809725E-2</v>
      </c>
      <c r="DB126" s="574">
        <f t="shared" si="623"/>
        <v>2.5000000000000001E-2</v>
      </c>
      <c r="DC126" s="1227">
        <f t="shared" si="623"/>
        <v>6.3068920676202858E-2</v>
      </c>
      <c r="DD126" s="1227">
        <f t="shared" si="623"/>
        <v>8.5842408712363871E-2</v>
      </c>
      <c r="DE126" s="1227">
        <f t="shared" si="623"/>
        <v>3.715745471435207E-2</v>
      </c>
      <c r="DF126" s="574">
        <f t="shared" si="612"/>
        <v>9.5328884652049577E-3</v>
      </c>
      <c r="DG126" s="1227">
        <f t="shared" si="612"/>
        <v>-7.2651790347690714E-3</v>
      </c>
      <c r="DH126" s="1227">
        <f t="shared" si="612"/>
        <v>4.4444444444444444E-3</v>
      </c>
      <c r="DI126" s="575">
        <f t="shared" si="612"/>
        <v>3.1554343591741335E-2</v>
      </c>
      <c r="DJ126" s="574">
        <f t="shared" si="612"/>
        <v>-0.21436716077537057</v>
      </c>
      <c r="DK126" s="1227">
        <f t="shared" si="613"/>
        <v>-0.14367160775370583</v>
      </c>
      <c r="DL126" s="1227">
        <f t="shared" si="613"/>
        <v>-9.1220068415051314E-2</v>
      </c>
      <c r="DM126" s="575">
        <f t="shared" si="613"/>
        <v>-0.1790193842645382</v>
      </c>
      <c r="DN126" s="1227">
        <f t="shared" ref="DN126:DO126" si="624">+DN120/DN$112</f>
        <v>-0.20182440136830102</v>
      </c>
      <c r="DO126" s="1227">
        <f t="shared" si="624"/>
        <v>-3.4207525655644243E-2</v>
      </c>
      <c r="DP126" s="1227">
        <f t="shared" ref="DP126:DQ126" si="625">+DP120/DP$112</f>
        <v>9.4640820980615742E-2</v>
      </c>
      <c r="DQ126" s="575">
        <f t="shared" si="625"/>
        <v>-1.0262257696693273E-2</v>
      </c>
      <c r="DR126" s="574">
        <f t="shared" ref="DR126" si="626">+DR120/DR$112</f>
        <v>-1.9384264538198404E-2</v>
      </c>
      <c r="DS126" s="1227">
        <f t="shared" ref="DS126:DT126" si="627">+DS120/DS$112</f>
        <v>2.1664766248574687E-2</v>
      </c>
      <c r="DT126" s="1227">
        <f t="shared" si="627"/>
        <v>0.15849486887115166</v>
      </c>
      <c r="DU126" s="575">
        <f t="shared" ref="DU126" si="628">+DU120/DU$112</f>
        <v>-0.20980615735461802</v>
      </c>
      <c r="DV126" s="1227">
        <f t="shared" ref="DV126" si="629">+DV120/DV$112</f>
        <v>-0.38198403648802737</v>
      </c>
      <c r="DW126" s="1227">
        <f t="shared" ca="1" si="620"/>
        <v>-0.51223762355846902</v>
      </c>
      <c r="DX126" s="1227">
        <f t="shared" ca="1" si="620"/>
        <v>-4.6417633538308689E-2</v>
      </c>
      <c r="DY126" s="575">
        <f t="shared" ca="1" si="620"/>
        <v>-0.35047092667017243</v>
      </c>
    </row>
    <row r="127" spans="1:129" s="1491" customFormat="1" ht="15" hidden="1" customHeight="1" outlineLevel="1">
      <c r="A127" s="1455" t="s">
        <v>1483</v>
      </c>
      <c r="B127" s="1064"/>
      <c r="C127" s="1064"/>
      <c r="D127" s="1070"/>
      <c r="E127" s="1070"/>
      <c r="F127" s="1070"/>
      <c r="G127" s="1064"/>
      <c r="H127" s="1064"/>
      <c r="I127" s="1064"/>
      <c r="J127" s="1064"/>
      <c r="K127" s="1064"/>
      <c r="L127" s="1070"/>
      <c r="M127" s="1070"/>
      <c r="N127" s="1070"/>
      <c r="O127" s="1070"/>
      <c r="P127" s="1070"/>
      <c r="Q127" s="1227">
        <f t="shared" ref="Q127:AA127" si="630">+Q177/Q$112</f>
        <v>0.11469098277608916</v>
      </c>
      <c r="R127" s="1227">
        <f t="shared" si="630"/>
        <v>0.64165307232191404</v>
      </c>
      <c r="S127" s="1227">
        <f t="shared" si="630"/>
        <v>0.14670603432367596</v>
      </c>
      <c r="T127" s="1227">
        <f t="shared" si="630"/>
        <v>0.14009591629123674</v>
      </c>
      <c r="U127" s="1227">
        <f t="shared" si="630"/>
        <v>0.35857716580608145</v>
      </c>
      <c r="V127" s="1227">
        <f t="shared" si="630"/>
        <v>0.26427061310782241</v>
      </c>
      <c r="W127" s="1227">
        <f t="shared" si="630"/>
        <v>-6.057328285559762E-2</v>
      </c>
      <c r="X127" s="1227">
        <f>+X177/X$112</f>
        <v>0.21320516861014813</v>
      </c>
      <c r="Y127" s="1227">
        <f>+Y177/Y$112</f>
        <v>0.41818700114025087</v>
      </c>
      <c r="Z127" s="1227">
        <f ca="1">+Z177/Z$112</f>
        <v>0.51431747494842583</v>
      </c>
      <c r="AA127" s="1227">
        <f t="shared" ca="1" si="630"/>
        <v>-0.23576533713977696</v>
      </c>
      <c r="AB127" s="1227">
        <f t="shared" ref="AB127:AG127" ca="1" si="631">+AB177/AB$112</f>
        <v>-0.21459095852468082</v>
      </c>
      <c r="AC127" s="1227">
        <f t="shared" ca="1" si="631"/>
        <v>-0.20481645056244219</v>
      </c>
      <c r="AD127" s="1227">
        <f t="shared" ca="1" si="631"/>
        <v>-0.19899488717177888</v>
      </c>
      <c r="AE127" s="1227">
        <f t="shared" ca="1" si="631"/>
        <v>-0.1939778036233574</v>
      </c>
      <c r="AF127" s="1227">
        <f t="shared" ca="1" si="631"/>
        <v>-0.18820264104995757</v>
      </c>
      <c r="AG127" s="1227">
        <f t="shared" ca="1" si="631"/>
        <v>-0.1808826134843716</v>
      </c>
      <c r="AH127" s="2201"/>
      <c r="AI127" s="1927"/>
      <c r="AJ127" s="1561"/>
      <c r="AK127" s="1070"/>
      <c r="AL127" s="1070"/>
      <c r="AM127" s="1064"/>
      <c r="AN127" s="1070"/>
      <c r="AO127" s="1070"/>
      <c r="AP127" s="607"/>
      <c r="AQ127" s="1070"/>
      <c r="AR127" s="1070"/>
      <c r="AS127" s="1070"/>
      <c r="AT127" s="607"/>
      <c r="AU127" s="1070"/>
      <c r="AV127" s="1070"/>
      <c r="AW127" s="1070"/>
      <c r="AX127" s="569"/>
      <c r="AY127" s="1064"/>
      <c r="AZ127" s="1064"/>
      <c r="BA127" s="1064"/>
      <c r="BB127" s="569"/>
      <c r="BC127" s="1064"/>
      <c r="BD127" s="1064"/>
      <c r="BE127" s="1064"/>
      <c r="BF127" s="569"/>
      <c r="BG127" s="1064"/>
      <c r="BH127" s="1064"/>
      <c r="BI127" s="1064"/>
      <c r="BJ127" s="569"/>
      <c r="BK127" s="1064"/>
      <c r="BL127" s="1064"/>
      <c r="BM127" s="1064"/>
      <c r="BN127" s="569"/>
      <c r="BO127" s="1064"/>
      <c r="BP127" s="1064"/>
      <c r="BQ127" s="1064"/>
      <c r="BR127" s="569"/>
      <c r="BS127" s="1064"/>
      <c r="BT127" s="1064"/>
      <c r="BU127" s="1064"/>
      <c r="BV127" s="569"/>
      <c r="BW127" s="1064"/>
      <c r="BX127" s="1064"/>
      <c r="BY127" s="1064"/>
      <c r="BZ127" s="569"/>
      <c r="CA127" s="1064"/>
      <c r="CB127" s="1064"/>
      <c r="CC127" s="1064"/>
      <c r="CD127" s="569"/>
      <c r="CE127" s="1070"/>
      <c r="CF127" s="1070"/>
      <c r="CG127" s="1070"/>
      <c r="CH127" s="574">
        <f>+CH177/CH$112</f>
        <v>0</v>
      </c>
      <c r="CI127" s="1227">
        <f>+CI177/CI$112</f>
        <v>-2.2727272727272726E-3</v>
      </c>
      <c r="CJ127" s="1227">
        <f>+CJ177/CJ$112</f>
        <v>-5.0561797752808986E-3</v>
      </c>
      <c r="CK127" s="1227">
        <f>+CK177/CK$112</f>
        <v>4.911399881866509</v>
      </c>
      <c r="CL127" s="574">
        <f t="shared" ref="CL127:DE127" si="632">+CL122/CL$112</f>
        <v>-0.26073298429319369</v>
      </c>
      <c r="CM127" s="1227">
        <f t="shared" si="632"/>
        <v>-0.30465949820788529</v>
      </c>
      <c r="CN127" s="1227">
        <f t="shared" si="632"/>
        <v>0.10894941634241245</v>
      </c>
      <c r="CO127" s="1227">
        <f t="shared" si="632"/>
        <v>0.45295508274231677</v>
      </c>
      <c r="CP127" s="574">
        <f t="shared" si="632"/>
        <v>0.82337317397078358</v>
      </c>
      <c r="CQ127" s="1227">
        <f t="shared" si="632"/>
        <v>0.71578298397040685</v>
      </c>
      <c r="CR127" s="1227">
        <f t="shared" si="632"/>
        <v>0.64182692307692313</v>
      </c>
      <c r="CS127" s="1227">
        <f t="shared" si="632"/>
        <v>0.29623137598597721</v>
      </c>
      <c r="CT127" s="574">
        <f t="shared" si="632"/>
        <v>0.50506756756756754</v>
      </c>
      <c r="CU127" s="1227">
        <f t="shared" si="632"/>
        <v>0.40307971014492755</v>
      </c>
      <c r="CV127" s="1227">
        <f t="shared" si="632"/>
        <v>0.27490636704119853</v>
      </c>
      <c r="CW127" s="1227">
        <f t="shared" si="632"/>
        <v>-13.59</v>
      </c>
      <c r="CX127" s="574">
        <f t="shared" si="632"/>
        <v>0.38935108153078202</v>
      </c>
      <c r="CY127" s="1227">
        <f t="shared" si="632"/>
        <v>0.17507002801120447</v>
      </c>
      <c r="CZ127" s="1227">
        <f t="shared" si="632"/>
        <v>6.5217391304347824E-2</v>
      </c>
      <c r="DA127" s="1227">
        <f t="shared" si="632"/>
        <v>5.2008456659619451E-2</v>
      </c>
      <c r="DB127" s="574">
        <f t="shared" si="632"/>
        <v>0.58139534883720934</v>
      </c>
      <c r="DC127" s="1227">
        <f t="shared" si="632"/>
        <v>0.32509752925877761</v>
      </c>
      <c r="DD127" s="1227">
        <f t="shared" si="632"/>
        <v>0.32030749519538759</v>
      </c>
      <c r="DE127" s="1227">
        <f t="shared" si="632"/>
        <v>0.23223409196470041</v>
      </c>
      <c r="DF127" s="574">
        <f>+DF122/DF$112</f>
        <v>0.47664442326024786</v>
      </c>
      <c r="DG127" s="1227">
        <f>+DG122/DG$112</f>
        <v>0.25947067981318112</v>
      </c>
      <c r="DH127" s="1227">
        <f>+DH122/DH$112</f>
        <v>0.24691358024691357</v>
      </c>
      <c r="DI127" s="575">
        <f>+DI122/DI$112</f>
        <v>0.19477989871445267</v>
      </c>
      <c r="DJ127" s="574">
        <f>+DJ122/DJ$112</f>
        <v>0.5701254275940707</v>
      </c>
      <c r="DK127" s="1227">
        <f t="shared" ref="DK127:DM127" si="633">+DK122/DK$112</f>
        <v>-0.14937286202964653</v>
      </c>
      <c r="DL127" s="1227">
        <f t="shared" si="633"/>
        <v>-0.37856328392246297</v>
      </c>
      <c r="DM127" s="575">
        <f t="shared" si="633"/>
        <v>-0.55302166476624859</v>
      </c>
      <c r="DN127" s="1227">
        <f t="shared" ref="DN127:DO127" si="634">+DN122/DN$112</f>
        <v>0.47206385404789053</v>
      </c>
      <c r="DO127" s="1227">
        <f t="shared" si="634"/>
        <v>0.33295324971493728</v>
      </c>
      <c r="DP127" s="1227">
        <f t="shared" ref="DP127:DQ127" si="635">+DP122/DP$112</f>
        <v>0.40136830102622578</v>
      </c>
      <c r="DQ127" s="575">
        <f t="shared" si="635"/>
        <v>0.33637400228050168</v>
      </c>
      <c r="DR127" s="574">
        <f t="shared" ref="DR127" si="636">+DR122/DR$112</f>
        <v>1.3694412770809579</v>
      </c>
      <c r="DS127" s="1227">
        <f t="shared" ref="DS127:DT127" si="637">+DS122/DS$112</f>
        <v>0.27822120866590649</v>
      </c>
      <c r="DT127" s="1227">
        <f t="shared" si="637"/>
        <v>0.15393386545039908</v>
      </c>
      <c r="DU127" s="575">
        <f t="shared" ref="DU127" si="638">+DU122/DU$112</f>
        <v>-0.12884834663625996</v>
      </c>
      <c r="DV127" s="1227">
        <f t="shared" ref="DV127" si="639">+DV122/DV$112</f>
        <v>1.0855188141391106</v>
      </c>
      <c r="DW127" s="1227">
        <f t="shared" ref="DW127:DY127" ca="1" si="640">+DW122/DW$112</f>
        <v>0.32633889370261693</v>
      </c>
      <c r="DX127" s="1227">
        <f t="shared" ca="1" si="640"/>
        <v>3.7349541283924155E-2</v>
      </c>
      <c r="DY127" s="575">
        <f t="shared" ca="1" si="640"/>
        <v>-0.36908852768209716</v>
      </c>
    </row>
    <row r="128" spans="1:129" s="1491" customFormat="1" ht="15" hidden="1" customHeight="1" outlineLevel="1">
      <c r="A128" s="1455" t="s">
        <v>1040</v>
      </c>
      <c r="B128" s="1064"/>
      <c r="C128" s="1064"/>
      <c r="D128" s="1070"/>
      <c r="E128" s="1070"/>
      <c r="F128" s="1070"/>
      <c r="G128" s="1064"/>
      <c r="H128" s="1064"/>
      <c r="I128" s="1064"/>
      <c r="J128" s="1064"/>
      <c r="K128" s="1064"/>
      <c r="L128" s="1070"/>
      <c r="M128" s="1070"/>
      <c r="N128" s="1070"/>
      <c r="O128" s="1070"/>
      <c r="P128" s="1070"/>
      <c r="Q128" s="1227">
        <f t="shared" ref="Q128:V128" si="641">SUM(Q125:Q127)</f>
        <v>1</v>
      </c>
      <c r="R128" s="1227">
        <f t="shared" si="641"/>
        <v>1</v>
      </c>
      <c r="S128" s="1227">
        <f t="shared" si="641"/>
        <v>1</v>
      </c>
      <c r="T128" s="1227">
        <f t="shared" si="641"/>
        <v>1</v>
      </c>
      <c r="U128" s="1227">
        <f t="shared" si="641"/>
        <v>0.99999999999999989</v>
      </c>
      <c r="V128" s="1227">
        <f t="shared" si="641"/>
        <v>1</v>
      </c>
      <c r="W128" s="1227">
        <f t="shared" ref="W128:AB128" si="642">SUM(W125:W127)</f>
        <v>0.47431043807463502</v>
      </c>
      <c r="X128" s="1227">
        <f t="shared" si="642"/>
        <v>0.55278915852505517</v>
      </c>
      <c r="Y128" s="1227">
        <f t="shared" si="642"/>
        <v>1</v>
      </c>
      <c r="Z128" s="1227">
        <f t="shared" ca="1" si="642"/>
        <v>1.1463701135060909</v>
      </c>
      <c r="AA128" s="1227">
        <f t="shared" ca="1" si="642"/>
        <v>1.0000000000000007</v>
      </c>
      <c r="AB128" s="1227">
        <f t="shared" ca="1" si="642"/>
        <v>1.0000000000000004</v>
      </c>
      <c r="AC128" s="1227">
        <f t="shared" ref="AC128:AG128" ca="1" si="643">SUM(AC125:AC127)</f>
        <v>0.99999999999999778</v>
      </c>
      <c r="AD128" s="1227">
        <f t="shared" ca="1" si="643"/>
        <v>0.999999999999998</v>
      </c>
      <c r="AE128" s="1227">
        <f t="shared" ca="1" si="643"/>
        <v>0.99999999999999856</v>
      </c>
      <c r="AF128" s="1227">
        <f t="shared" ca="1" si="643"/>
        <v>0.99999999999999534</v>
      </c>
      <c r="AG128" s="1227">
        <f t="shared" ca="1" si="643"/>
        <v>0.99999999999999323</v>
      </c>
      <c r="AH128" s="2201"/>
      <c r="AI128" s="1927"/>
      <c r="AJ128" s="1561"/>
      <c r="AK128" s="1070"/>
      <c r="AL128" s="1070"/>
      <c r="AM128" s="1064"/>
      <c r="AN128" s="1070"/>
      <c r="AO128" s="1070"/>
      <c r="AP128" s="607"/>
      <c r="AQ128" s="1070"/>
      <c r="AR128" s="1070"/>
      <c r="AS128" s="1070"/>
      <c r="AT128" s="607"/>
      <c r="AU128" s="1070"/>
      <c r="AV128" s="1070"/>
      <c r="AW128" s="1070"/>
      <c r="AX128" s="569"/>
      <c r="AY128" s="1064"/>
      <c r="AZ128" s="1064"/>
      <c r="BA128" s="1064"/>
      <c r="BB128" s="569"/>
      <c r="BC128" s="1064"/>
      <c r="BD128" s="1064"/>
      <c r="BE128" s="1064"/>
      <c r="BF128" s="569"/>
      <c r="BG128" s="1064"/>
      <c r="BH128" s="1064"/>
      <c r="BI128" s="1064"/>
      <c r="BJ128" s="569"/>
      <c r="BK128" s="1064"/>
      <c r="BL128" s="1064"/>
      <c r="BM128" s="1064"/>
      <c r="BN128" s="569"/>
      <c r="BO128" s="1064"/>
      <c r="BP128" s="1064"/>
      <c r="BQ128" s="1064"/>
      <c r="BR128" s="569"/>
      <c r="BS128" s="1064"/>
      <c r="BT128" s="1064"/>
      <c r="BU128" s="1064"/>
      <c r="BV128" s="569"/>
      <c r="BW128" s="1064"/>
      <c r="BX128" s="1064"/>
      <c r="BY128" s="1064"/>
      <c r="BZ128" s="569"/>
      <c r="CA128" s="1064"/>
      <c r="CB128" s="1064"/>
      <c r="CC128" s="1064"/>
      <c r="CD128" s="569"/>
      <c r="CE128" s="1070"/>
      <c r="CF128" s="1070"/>
      <c r="CG128" s="1070"/>
      <c r="CH128" s="574">
        <f t="shared" ref="CH128:DF128" si="644">SUM(CH125:CH127)</f>
        <v>0.50676805869074548</v>
      </c>
      <c r="CI128" s="1227">
        <f t="shared" si="644"/>
        <v>0.99999999999999989</v>
      </c>
      <c r="CJ128" s="1227">
        <f t="shared" si="644"/>
        <v>1.0000000000000002</v>
      </c>
      <c r="CK128" s="1227">
        <f t="shared" si="644"/>
        <v>5.8724158298877729</v>
      </c>
      <c r="CL128" s="574">
        <f t="shared" si="644"/>
        <v>0.99999999999999989</v>
      </c>
      <c r="CM128" s="1227">
        <f t="shared" si="644"/>
        <v>1</v>
      </c>
      <c r="CN128" s="1227">
        <f t="shared" si="644"/>
        <v>1</v>
      </c>
      <c r="CO128" s="1227">
        <f t="shared" si="644"/>
        <v>1</v>
      </c>
      <c r="CP128" s="574">
        <f t="shared" si="644"/>
        <v>1</v>
      </c>
      <c r="CQ128" s="1227">
        <f t="shared" si="644"/>
        <v>1</v>
      </c>
      <c r="CR128" s="1227">
        <f t="shared" si="644"/>
        <v>1</v>
      </c>
      <c r="CS128" s="1227">
        <f t="shared" si="644"/>
        <v>1</v>
      </c>
      <c r="CT128" s="574">
        <f t="shared" si="644"/>
        <v>1</v>
      </c>
      <c r="CU128" s="1227">
        <f t="shared" si="644"/>
        <v>1</v>
      </c>
      <c r="CV128" s="1227">
        <f t="shared" si="644"/>
        <v>1</v>
      </c>
      <c r="CW128" s="1227">
        <f t="shared" si="644"/>
        <v>1</v>
      </c>
      <c r="CX128" s="574">
        <f t="shared" si="644"/>
        <v>1</v>
      </c>
      <c r="CY128" s="1227">
        <f t="shared" si="644"/>
        <v>1</v>
      </c>
      <c r="CZ128" s="1227">
        <f t="shared" si="644"/>
        <v>0.99999999999999989</v>
      </c>
      <c r="DA128" s="1227">
        <f t="shared" si="644"/>
        <v>1</v>
      </c>
      <c r="DB128" s="574">
        <f t="shared" si="644"/>
        <v>1</v>
      </c>
      <c r="DC128" s="1227">
        <f t="shared" si="644"/>
        <v>1</v>
      </c>
      <c r="DD128" s="1227">
        <f t="shared" si="644"/>
        <v>1</v>
      </c>
      <c r="DE128" s="1227">
        <f t="shared" si="644"/>
        <v>1</v>
      </c>
      <c r="DF128" s="574">
        <f t="shared" si="644"/>
        <v>1</v>
      </c>
      <c r="DG128" s="1227">
        <f>SUM(DG125:DG127)</f>
        <v>1</v>
      </c>
      <c r="DH128" s="1227">
        <f>SUM(DH125:DH127)</f>
        <v>1</v>
      </c>
      <c r="DI128" s="575">
        <f>SUM(DI125:DI127)</f>
        <v>1</v>
      </c>
      <c r="DJ128" s="574">
        <f t="shared" ref="DJ128:DM128" si="645">SUM(DJ125:DJ127)</f>
        <v>1</v>
      </c>
      <c r="DK128" s="1227">
        <f t="shared" si="645"/>
        <v>0.99999999999999989</v>
      </c>
      <c r="DL128" s="1227">
        <f t="shared" si="645"/>
        <v>1</v>
      </c>
      <c r="DM128" s="575">
        <f t="shared" si="645"/>
        <v>0.99999999999999989</v>
      </c>
      <c r="DN128" s="1227">
        <f t="shared" ref="DN128:DO128" si="646">SUM(DN125:DN127)</f>
        <v>1</v>
      </c>
      <c r="DO128" s="1227">
        <f t="shared" si="646"/>
        <v>1</v>
      </c>
      <c r="DP128" s="1227">
        <f t="shared" ref="DP128:DQ128" si="647">SUM(DP125:DP127)</f>
        <v>1</v>
      </c>
      <c r="DQ128" s="575">
        <f t="shared" si="647"/>
        <v>1</v>
      </c>
      <c r="DR128" s="574">
        <f t="shared" ref="DR128" si="648">SUM(DR125:DR127)</f>
        <v>1</v>
      </c>
      <c r="DS128" s="1227">
        <f t="shared" ref="DS128:DT128" si="649">SUM(DS125:DS127)</f>
        <v>1</v>
      </c>
      <c r="DT128" s="1227">
        <f t="shared" si="649"/>
        <v>1</v>
      </c>
      <c r="DU128" s="575">
        <f t="shared" ref="DU128" si="650">SUM(DU125:DU127)</f>
        <v>1</v>
      </c>
      <c r="DV128" s="1227">
        <f t="shared" ref="DV128" si="651">SUM(DV125:DV127)</f>
        <v>1</v>
      </c>
      <c r="DW128" s="1227">
        <f t="shared" ref="DW128:DY128" ca="1" si="652">SUM(DW125:DW127)</f>
        <v>1.000000000000002</v>
      </c>
      <c r="DX128" s="1227">
        <f t="shared" ca="1" si="652"/>
        <v>1</v>
      </c>
      <c r="DY128" s="575">
        <f t="shared" ca="1" si="652"/>
        <v>1.0000000000000002</v>
      </c>
    </row>
    <row r="129" spans="1:129" s="1491" customFormat="1" ht="15" hidden="1" customHeight="1" outlineLevel="1">
      <c r="A129" s="1395" t="s">
        <v>1484</v>
      </c>
      <c r="B129" s="1064"/>
      <c r="C129" s="1064"/>
      <c r="D129" s="1070"/>
      <c r="E129" s="1070"/>
      <c r="F129" s="1070"/>
      <c r="G129" s="1064"/>
      <c r="H129" s="1064"/>
      <c r="I129" s="1064"/>
      <c r="J129" s="1064"/>
      <c r="K129" s="1064"/>
      <c r="L129" s="1070"/>
      <c r="M129" s="1070"/>
      <c r="N129" s="1070"/>
      <c r="O129" s="1070"/>
      <c r="P129" s="1070"/>
      <c r="Q129" s="1070"/>
      <c r="R129" s="1070"/>
      <c r="S129" s="1070"/>
      <c r="T129" s="1070"/>
      <c r="U129" s="1070"/>
      <c r="V129" s="1070"/>
      <c r="W129" s="1070"/>
      <c r="X129" s="1070"/>
      <c r="Y129" s="1070"/>
      <c r="Z129" s="1070"/>
      <c r="AA129" s="1070"/>
      <c r="AB129" s="1070"/>
      <c r="AC129" s="1070"/>
      <c r="AD129" s="1070"/>
      <c r="AE129" s="1070"/>
      <c r="AF129" s="1070"/>
      <c r="AG129" s="1070"/>
      <c r="AH129" s="2201"/>
      <c r="AI129" s="1927"/>
      <c r="AJ129" s="1561"/>
      <c r="AK129" s="1070"/>
      <c r="AL129" s="1070"/>
      <c r="AM129" s="1064"/>
      <c r="AN129" s="1070"/>
      <c r="AO129" s="1070"/>
      <c r="AP129" s="607"/>
      <c r="AQ129" s="1070"/>
      <c r="AR129" s="1070"/>
      <c r="AS129" s="1070"/>
      <c r="AT129" s="607"/>
      <c r="AU129" s="1070"/>
      <c r="AV129" s="1070"/>
      <c r="AW129" s="1070"/>
      <c r="AX129" s="569"/>
      <c r="AY129" s="1064"/>
      <c r="AZ129" s="1064"/>
      <c r="BA129" s="1064"/>
      <c r="BB129" s="569"/>
      <c r="BC129" s="1064"/>
      <c r="BD129" s="1064"/>
      <c r="BE129" s="1064"/>
      <c r="BF129" s="569"/>
      <c r="BG129" s="1064"/>
      <c r="BH129" s="1064"/>
      <c r="BI129" s="1064"/>
      <c r="BJ129" s="569"/>
      <c r="BK129" s="1064"/>
      <c r="BL129" s="1064"/>
      <c r="BM129" s="1064"/>
      <c r="BN129" s="569"/>
      <c r="BO129" s="1064"/>
      <c r="BP129" s="1064"/>
      <c r="BQ129" s="1064"/>
      <c r="BR129" s="569"/>
      <c r="BS129" s="1064"/>
      <c r="BT129" s="1064"/>
      <c r="BU129" s="1064"/>
      <c r="BV129" s="569"/>
      <c r="BW129" s="1064"/>
      <c r="BX129" s="1064"/>
      <c r="BY129" s="1064"/>
      <c r="BZ129" s="569"/>
      <c r="CA129" s="1064"/>
      <c r="CB129" s="1064"/>
      <c r="CC129" s="1064"/>
      <c r="CD129" s="569"/>
      <c r="CE129" s="1070"/>
      <c r="CF129" s="1070"/>
      <c r="CG129" s="1070"/>
      <c r="CH129" s="569"/>
      <c r="CI129" s="1064"/>
      <c r="CJ129" s="1064"/>
      <c r="CK129" s="1070"/>
      <c r="CL129" s="607"/>
      <c r="CM129" s="1070"/>
      <c r="CN129" s="1070"/>
      <c r="CO129" s="1070"/>
      <c r="CP129" s="607"/>
      <c r="CQ129" s="1070"/>
      <c r="CR129" s="1070"/>
      <c r="CS129" s="1070"/>
      <c r="CT129" s="607"/>
      <c r="CU129" s="1070"/>
      <c r="CV129" s="1070"/>
      <c r="CW129" s="1070"/>
      <c r="CX129" s="607"/>
      <c r="CY129" s="1070"/>
      <c r="CZ129" s="1070"/>
      <c r="DA129" s="1070"/>
      <c r="DB129" s="607"/>
      <c r="DC129" s="1070"/>
      <c r="DD129" s="1070"/>
      <c r="DE129" s="1070"/>
      <c r="DF129" s="607"/>
      <c r="DG129" s="1070"/>
      <c r="DH129" s="1070"/>
      <c r="DI129" s="608"/>
      <c r="DJ129" s="607"/>
      <c r="DK129" s="1070"/>
      <c r="DL129" s="1070"/>
      <c r="DM129" s="608"/>
      <c r="DN129" s="1070"/>
      <c r="DO129" s="1070"/>
      <c r="DP129" s="1070"/>
      <c r="DQ129" s="608"/>
      <c r="DR129" s="607"/>
      <c r="DS129" s="1070"/>
      <c r="DT129" s="1070"/>
      <c r="DU129" s="608"/>
      <c r="DV129" s="1070"/>
      <c r="DW129" s="1070"/>
      <c r="DX129" s="1070"/>
      <c r="DY129" s="608"/>
    </row>
    <row r="130" spans="1:129" s="1491" customFormat="1" ht="15" hidden="1" customHeight="1" outlineLevel="1">
      <c r="A130" s="1457" t="s">
        <v>1485</v>
      </c>
      <c r="B130" s="1065"/>
      <c r="C130" s="1065"/>
      <c r="D130" s="1065"/>
      <c r="E130" s="1065"/>
      <c r="F130" s="1065"/>
      <c r="G130" s="1065"/>
      <c r="H130" s="1065"/>
      <c r="I130" s="1065"/>
      <c r="J130" s="1065"/>
      <c r="K130" s="1065"/>
      <c r="L130" s="1065"/>
      <c r="M130" s="1065"/>
      <c r="N130" s="1065"/>
      <c r="O130" s="1065"/>
      <c r="P130" s="1065"/>
      <c r="Q130" s="1500">
        <f t="shared" ref="Q130:AA130" si="653">Q254/Q$103</f>
        <v>0.83418829991191257</v>
      </c>
      <c r="R130" s="1500">
        <f t="shared" si="653"/>
        <v>0.81299023922696245</v>
      </c>
      <c r="S130" s="1500">
        <f t="shared" si="653"/>
        <v>0.8116100868434496</v>
      </c>
      <c r="T130" s="1500">
        <f t="shared" si="653"/>
        <v>0.80779774064567944</v>
      </c>
      <c r="U130" s="1500">
        <f t="shared" si="653"/>
        <v>0.79619480241610296</v>
      </c>
      <c r="V130" s="1500">
        <f t="shared" si="653"/>
        <v>0.79078288892676196</v>
      </c>
      <c r="W130" s="1500">
        <f t="shared" si="653"/>
        <v>0.80341493581911705</v>
      </c>
      <c r="X130" s="1500">
        <f>X254/X$103</f>
        <v>0.81512837994770404</v>
      </c>
      <c r="Y130" s="1500">
        <f>Y254/Y$103</f>
        <v>0.79402621588711408</v>
      </c>
      <c r="Z130" s="1500">
        <f ca="1">Z254/Z$103</f>
        <v>0.79678596311798966</v>
      </c>
      <c r="AA130" s="1500">
        <f t="shared" ca="1" si="653"/>
        <v>0.80354637893100367</v>
      </c>
      <c r="AB130" s="1500">
        <f t="shared" ref="AB130:AG130" ca="1" si="654">AB254/AB$103</f>
        <v>0.80870091654462184</v>
      </c>
      <c r="AC130" s="1500">
        <f t="shared" ca="1" si="654"/>
        <v>0.81287445076916531</v>
      </c>
      <c r="AD130" s="1500">
        <f t="shared" ca="1" si="654"/>
        <v>0.81639919549857976</v>
      </c>
      <c r="AE130" s="1500">
        <f t="shared" ca="1" si="654"/>
        <v>0.81946219357114403</v>
      </c>
      <c r="AF130" s="1500">
        <f t="shared" ca="1" si="654"/>
        <v>0.82217689997271892</v>
      </c>
      <c r="AG130" s="1500">
        <f t="shared" ca="1" si="654"/>
        <v>0.82461804152555374</v>
      </c>
      <c r="AH130" s="2201"/>
      <c r="AI130" s="1927"/>
      <c r="AJ130" s="1561"/>
      <c r="AK130" s="1065"/>
      <c r="AL130" s="1065"/>
      <c r="AM130" s="1065"/>
      <c r="AN130" s="1065"/>
      <c r="AO130" s="1065"/>
      <c r="AP130" s="563"/>
      <c r="AQ130" s="1065"/>
      <c r="AR130" s="1065"/>
      <c r="AS130" s="1065"/>
      <c r="AT130" s="563"/>
      <c r="AU130" s="1065"/>
      <c r="AV130" s="1065"/>
      <c r="AW130" s="1065"/>
      <c r="AX130" s="563"/>
      <c r="AY130" s="1065"/>
      <c r="AZ130" s="1065"/>
      <c r="BA130" s="1065"/>
      <c r="BB130" s="563"/>
      <c r="BC130" s="1065"/>
      <c r="BD130" s="1065"/>
      <c r="BE130" s="1065"/>
      <c r="BF130" s="563"/>
      <c r="BG130" s="1065"/>
      <c r="BH130" s="1065"/>
      <c r="BI130" s="1065"/>
      <c r="BJ130" s="563"/>
      <c r="BK130" s="1065"/>
      <c r="BL130" s="1065"/>
      <c r="BM130" s="1065"/>
      <c r="BN130" s="563"/>
      <c r="BO130" s="1065"/>
      <c r="BP130" s="1065"/>
      <c r="BQ130" s="1065"/>
      <c r="BR130" s="563"/>
      <c r="BS130" s="1065"/>
      <c r="BT130" s="1065"/>
      <c r="BU130" s="1065"/>
      <c r="BV130" s="563"/>
      <c r="BW130" s="1065"/>
      <c r="BX130" s="1065"/>
      <c r="BY130" s="1065"/>
      <c r="BZ130" s="563"/>
      <c r="CA130" s="1065"/>
      <c r="CB130" s="1065"/>
      <c r="CC130" s="1065"/>
      <c r="CD130" s="563"/>
      <c r="CE130" s="1065"/>
      <c r="CF130" s="1065"/>
      <c r="CG130" s="1065"/>
      <c r="CH130" s="576">
        <f>CH254/CH$103</f>
        <v>0.89377390779142341</v>
      </c>
      <c r="CI130" s="1500">
        <f>CI254/CI$103</f>
        <v>0.89462093063313564</v>
      </c>
      <c r="CJ130" s="1500">
        <f>CJ254/CJ$103</f>
        <v>0.89651629551753798</v>
      </c>
      <c r="CK130" s="1500">
        <f>CK254/CK$103</f>
        <v>0.83540219828293327</v>
      </c>
      <c r="CL130" s="576">
        <f t="shared" ref="CL130:DJ130" si="655">CL254/(CL$103)</f>
        <v>0.83725511418984744</v>
      </c>
      <c r="CM130" s="1500">
        <f t="shared" si="655"/>
        <v>0.84096760351855826</v>
      </c>
      <c r="CN130" s="1500">
        <f t="shared" si="655"/>
        <v>0.84114199722342919</v>
      </c>
      <c r="CO130" s="1500">
        <f t="shared" si="655"/>
        <v>0.83418829991191257</v>
      </c>
      <c r="CP130" s="576">
        <f t="shared" si="655"/>
        <v>0.82547261245268777</v>
      </c>
      <c r="CQ130" s="1500">
        <f t="shared" si="655"/>
        <v>0.81788922756076043</v>
      </c>
      <c r="CR130" s="1500">
        <f t="shared" si="655"/>
        <v>0.81366041841831938</v>
      </c>
      <c r="CS130" s="1500">
        <f t="shared" si="655"/>
        <v>0.81299023922696245</v>
      </c>
      <c r="CT130" s="576">
        <f t="shared" si="655"/>
        <v>0.80781949972121281</v>
      </c>
      <c r="CU130" s="1500">
        <f t="shared" si="655"/>
        <v>0.80288054221971195</v>
      </c>
      <c r="CV130" s="1500">
        <f t="shared" si="655"/>
        <v>0.80114349463115331</v>
      </c>
      <c r="CW130" s="1500">
        <f t="shared" si="655"/>
        <v>0.8116100868434496</v>
      </c>
      <c r="CX130" s="576">
        <f t="shared" si="655"/>
        <v>0.80798589104136243</v>
      </c>
      <c r="CY130" s="1500">
        <f t="shared" si="655"/>
        <v>0.80545808966861598</v>
      </c>
      <c r="CZ130" s="1500">
        <f t="shared" si="655"/>
        <v>0.80543050962284168</v>
      </c>
      <c r="DA130" s="1500">
        <f t="shared" si="655"/>
        <v>0.80779774064567944</v>
      </c>
      <c r="DB130" s="576">
        <f t="shared" si="655"/>
        <v>0.80148968744086835</v>
      </c>
      <c r="DC130" s="1500">
        <f t="shared" si="655"/>
        <v>0.8002359851957489</v>
      </c>
      <c r="DD130" s="1500">
        <f t="shared" si="655"/>
        <v>0.79742805680056972</v>
      </c>
      <c r="DE130" s="1500">
        <f t="shared" si="655"/>
        <v>0.79619480241610296</v>
      </c>
      <c r="DF130" s="576">
        <f t="shared" si="655"/>
        <v>0.79363123842469829</v>
      </c>
      <c r="DG130" s="1500">
        <f t="shared" si="655"/>
        <v>0.79194981284238597</v>
      </c>
      <c r="DH130" s="1500">
        <f t="shared" si="655"/>
        <v>0.79120922549182338</v>
      </c>
      <c r="DI130" s="577">
        <f t="shared" si="655"/>
        <v>0.79078288892676196</v>
      </c>
      <c r="DJ130" s="576">
        <f t="shared" si="655"/>
        <v>0.78974015681386245</v>
      </c>
      <c r="DK130" s="1500">
        <f t="shared" ref="DK130:DM130" si="656">DK254/(DK$103)</f>
        <v>0.79280800978294097</v>
      </c>
      <c r="DL130" s="1500">
        <f t="shared" si="656"/>
        <v>0.79733823272622362</v>
      </c>
      <c r="DM130" s="577">
        <f t="shared" si="656"/>
        <v>0.80341493581911705</v>
      </c>
      <c r="DN130" s="1500">
        <f t="shared" ref="DN130:DO130" si="657">DN254/(DN$103)</f>
        <v>0.80295345056229439</v>
      </c>
      <c r="DO130" s="1500">
        <f t="shared" si="657"/>
        <v>0.8022449161878108</v>
      </c>
      <c r="DP130" s="1500">
        <f t="shared" ref="DP130:DQ130" si="658">DP254/(DP$103)</f>
        <v>0.80029580329081162</v>
      </c>
      <c r="DQ130" s="577">
        <f t="shared" si="658"/>
        <v>0.79937105994033886</v>
      </c>
      <c r="DR130" s="576">
        <f t="shared" ref="DR130" si="659">DR254/(DR$103)</f>
        <v>0.79196811190036431</v>
      </c>
      <c r="DS130" s="1500">
        <f t="shared" ref="DS130:DT130" si="660">DS254/(DS$103)</f>
        <v>0.79131847725162485</v>
      </c>
      <c r="DT130" s="1500">
        <f t="shared" si="660"/>
        <v>0.79062659929504875</v>
      </c>
      <c r="DU130" s="577">
        <f t="shared" ref="DU130" si="661">DU254/(DU$103)</f>
        <v>0.79402621588711408</v>
      </c>
      <c r="DV130" s="1500">
        <f t="shared" ref="DV130" si="662">DV254/(DV$103)</f>
        <v>0.79092015631339552</v>
      </c>
      <c r="DW130" s="1500">
        <f t="shared" ref="DW130:DY130" ca="1" si="663">DW254/(DW$103)</f>
        <v>0.79202680786697899</v>
      </c>
      <c r="DX130" s="1500">
        <f t="shared" ca="1" si="663"/>
        <v>0.79276437234174513</v>
      </c>
      <c r="DY130" s="577">
        <f t="shared" ca="1" si="663"/>
        <v>0.79678596311798966</v>
      </c>
    </row>
    <row r="131" spans="1:129" s="1491" customFormat="1" ht="15" hidden="1" customHeight="1" outlineLevel="1">
      <c r="A131" s="1457" t="s">
        <v>1486</v>
      </c>
      <c r="B131" s="1065"/>
      <c r="C131" s="1065"/>
      <c r="D131" s="1065"/>
      <c r="E131" s="1065"/>
      <c r="F131" s="1065"/>
      <c r="G131" s="1065"/>
      <c r="H131" s="1065"/>
      <c r="I131" s="1065"/>
      <c r="J131" s="1065"/>
      <c r="K131" s="1065"/>
      <c r="L131" s="1065"/>
      <c r="M131" s="1065"/>
      <c r="N131" s="1065"/>
      <c r="O131" s="1065"/>
      <c r="P131" s="1065"/>
      <c r="Q131" s="1500">
        <f t="shared" ref="Q131:AA131" si="664">Q286/Q$103</f>
        <v>5.1297994714752063E-2</v>
      </c>
      <c r="R131" s="1500">
        <f t="shared" si="664"/>
        <v>4.3131271638988319E-2</v>
      </c>
      <c r="S131" s="1500">
        <f t="shared" si="664"/>
        <v>4.4443412436725026E-2</v>
      </c>
      <c r="T131" s="1500">
        <f t="shared" si="664"/>
        <v>4.9761667801581901E-2</v>
      </c>
      <c r="U131" s="1500">
        <f t="shared" si="664"/>
        <v>4.9762175151006435E-2</v>
      </c>
      <c r="V131" s="1500">
        <f t="shared" si="664"/>
        <v>4.750321491098957E-2</v>
      </c>
      <c r="W131" s="1500">
        <f t="shared" si="664"/>
        <v>4.2083352187881805E-2</v>
      </c>
      <c r="X131" s="1500">
        <f>X286/X$103</f>
        <v>4.0810363299892863E-2</v>
      </c>
      <c r="Y131" s="1500">
        <f>Y286/Y$103</f>
        <v>3.8700666141393884E-2</v>
      </c>
      <c r="Z131" s="1500">
        <f ca="1">Z286/Z$103</f>
        <v>3.2593685361755088E-2</v>
      </c>
      <c r="AA131" s="1500">
        <f t="shared" ca="1" si="664"/>
        <v>2.9450575296126151E-2</v>
      </c>
      <c r="AB131" s="1500">
        <f t="shared" ref="AB131:AG131" ca="1" si="665">AB286/AB$103</f>
        <v>2.7576905683081125E-2</v>
      </c>
      <c r="AC131" s="1500">
        <f t="shared" ca="1" si="665"/>
        <v>2.6324046910387512E-2</v>
      </c>
      <c r="AD131" s="1500">
        <f t="shared" ca="1" si="665"/>
        <v>2.5383179287587602E-2</v>
      </c>
      <c r="AE131" s="1500">
        <f t="shared" ca="1" si="665"/>
        <v>2.4606214377278567E-2</v>
      </c>
      <c r="AF131" s="1500">
        <f t="shared" ca="1" si="665"/>
        <v>2.3921087651525164E-2</v>
      </c>
      <c r="AG131" s="1500">
        <f t="shared" ca="1" si="665"/>
        <v>2.3291860798935929E-2</v>
      </c>
      <c r="AH131" s="2201"/>
      <c r="AI131" s="1927"/>
      <c r="AJ131" s="1561"/>
      <c r="AK131" s="1065"/>
      <c r="AL131" s="1065"/>
      <c r="AM131" s="1065"/>
      <c r="AN131" s="1065"/>
      <c r="AO131" s="1065"/>
      <c r="AP131" s="563"/>
      <c r="AQ131" s="1065"/>
      <c r="AR131" s="1065"/>
      <c r="AS131" s="1065"/>
      <c r="AT131" s="563"/>
      <c r="AU131" s="1065"/>
      <c r="AV131" s="1065"/>
      <c r="AW131" s="1065"/>
      <c r="AX131" s="563"/>
      <c r="AY131" s="1065"/>
      <c r="AZ131" s="1065"/>
      <c r="BA131" s="1065"/>
      <c r="BB131" s="563"/>
      <c r="BC131" s="1065"/>
      <c r="BD131" s="1065"/>
      <c r="BE131" s="1065"/>
      <c r="BF131" s="563"/>
      <c r="BG131" s="1065"/>
      <c r="BH131" s="1065"/>
      <c r="BI131" s="1065"/>
      <c r="BJ131" s="563"/>
      <c r="BK131" s="1065"/>
      <c r="BL131" s="1065"/>
      <c r="BM131" s="1065"/>
      <c r="BN131" s="563"/>
      <c r="BO131" s="1065"/>
      <c r="BP131" s="1065"/>
      <c r="BQ131" s="1065"/>
      <c r="BR131" s="563"/>
      <c r="BS131" s="1065"/>
      <c r="BT131" s="1065"/>
      <c r="BU131" s="1065"/>
      <c r="BV131" s="563"/>
      <c r="BW131" s="1065"/>
      <c r="BX131" s="1065"/>
      <c r="BY131" s="1065"/>
      <c r="BZ131" s="563"/>
      <c r="CA131" s="1065"/>
      <c r="CB131" s="1065"/>
      <c r="CC131" s="1065"/>
      <c r="CD131" s="563"/>
      <c r="CE131" s="1065"/>
      <c r="CF131" s="1065"/>
      <c r="CG131" s="1065"/>
      <c r="CH131" s="576">
        <f t="shared" ref="CH131:DJ131" si="666">CH286/CH$103</f>
        <v>5.2383229313468893E-2</v>
      </c>
      <c r="CI131" s="1500">
        <f t="shared" si="666"/>
        <v>5.2781810576047639E-2</v>
      </c>
      <c r="CJ131" s="1500">
        <f t="shared" si="666"/>
        <v>5.2518398164962246E-2</v>
      </c>
      <c r="CK131" s="1500">
        <f t="shared" si="666"/>
        <v>4.9849619948597365E-2</v>
      </c>
      <c r="CL131" s="576">
        <f t="shared" si="666"/>
        <v>5.2235090377746513E-2</v>
      </c>
      <c r="CM131" s="1500">
        <f t="shared" si="666"/>
        <v>5.2317099334906671E-2</v>
      </c>
      <c r="CN131" s="1500">
        <f t="shared" si="666"/>
        <v>5.1896440266635584E-2</v>
      </c>
      <c r="CO131" s="1500">
        <f t="shared" si="666"/>
        <v>5.1297994714752063E-2</v>
      </c>
      <c r="CP131" s="576">
        <f t="shared" si="666"/>
        <v>4.900070394515349E-2</v>
      </c>
      <c r="CQ131" s="1500">
        <f t="shared" si="666"/>
        <v>4.6151840859870057E-2</v>
      </c>
      <c r="CR131" s="1500">
        <f t="shared" si="666"/>
        <v>4.4285078391611853E-2</v>
      </c>
      <c r="CS131" s="1500">
        <f t="shared" si="666"/>
        <v>4.3131271638988319E-2</v>
      </c>
      <c r="CT131" s="576">
        <f t="shared" si="666"/>
        <v>4.2135317528984251E-2</v>
      </c>
      <c r="CU131" s="1500">
        <f t="shared" si="666"/>
        <v>4.1843170479149018E-2</v>
      </c>
      <c r="CV131" s="1500">
        <f t="shared" si="666"/>
        <v>4.2141960674940734E-2</v>
      </c>
      <c r="CW131" s="1500">
        <f t="shared" si="666"/>
        <v>4.4443412436725026E-2</v>
      </c>
      <c r="CX131" s="576">
        <f t="shared" si="666"/>
        <v>4.6157237730441732E-2</v>
      </c>
      <c r="CY131" s="1500">
        <f t="shared" si="666"/>
        <v>4.8198014415884671E-2</v>
      </c>
      <c r="CZ131" s="1500">
        <f t="shared" si="666"/>
        <v>4.9429047699699594E-2</v>
      </c>
      <c r="DA131" s="1500">
        <f t="shared" si="666"/>
        <v>4.9761667801581901E-2</v>
      </c>
      <c r="DB131" s="576">
        <f t="shared" si="666"/>
        <v>4.9403953004317686E-2</v>
      </c>
      <c r="DC131" s="1500">
        <f t="shared" si="666"/>
        <v>4.9684221248854028E-2</v>
      </c>
      <c r="DD131" s="1500">
        <f t="shared" si="666"/>
        <v>4.9972772588279646E-2</v>
      </c>
      <c r="DE131" s="1500">
        <f t="shared" si="666"/>
        <v>4.9762175151006435E-2</v>
      </c>
      <c r="DF131" s="576">
        <f t="shared" si="666"/>
        <v>4.9417869410200134E-2</v>
      </c>
      <c r="DG131" s="1500">
        <f t="shared" si="666"/>
        <v>4.8548524426880013E-2</v>
      </c>
      <c r="DH131" s="1500">
        <f t="shared" si="666"/>
        <v>4.7842616524000348E-2</v>
      </c>
      <c r="DI131" s="577">
        <f t="shared" si="666"/>
        <v>4.750321491098957E-2</v>
      </c>
      <c r="DJ131" s="576">
        <f t="shared" si="666"/>
        <v>4.5743788616760157E-2</v>
      </c>
      <c r="DK131" s="1500">
        <f t="shared" ref="DK131:DM131" si="667">DK286/DK$103</f>
        <v>4.4458881076123509E-2</v>
      </c>
      <c r="DL131" s="1500">
        <f t="shared" si="667"/>
        <v>4.355550156775511E-2</v>
      </c>
      <c r="DM131" s="577">
        <f t="shared" si="667"/>
        <v>4.2083352187881805E-2</v>
      </c>
      <c r="DN131" s="1500">
        <f t="shared" ref="DN131:DO131" si="668">DN286/DN$103</f>
        <v>4.0473211409219979E-2</v>
      </c>
      <c r="DO131" s="1500">
        <f t="shared" si="668"/>
        <v>4.0000595468484827E-2</v>
      </c>
      <c r="DP131" s="1500">
        <f t="shared" ref="DP131:DQ131" si="669">DP286/DP$103</f>
        <v>4.034756886670364E-2</v>
      </c>
      <c r="DQ131" s="577">
        <f t="shared" si="669"/>
        <v>4.0021454497362274E-2</v>
      </c>
      <c r="DR131" s="576">
        <f t="shared" ref="DR131" si="670">DR286/DR$103</f>
        <v>3.9641112871316039E-2</v>
      </c>
      <c r="DS131" s="1500">
        <f t="shared" ref="DS131:DT131" si="671">DS286/DS$103</f>
        <v>3.951949860724234E-2</v>
      </c>
      <c r="DT131" s="1500">
        <f t="shared" si="671"/>
        <v>4.0278808935148812E-2</v>
      </c>
      <c r="DU131" s="577">
        <f t="shared" ref="DU131" si="672">DU286/DU$103</f>
        <v>3.8700666141393884E-2</v>
      </c>
      <c r="DV131" s="1500">
        <f t="shared" ref="DV131" si="673">DV286/DV$103</f>
        <v>3.6074512232448556E-2</v>
      </c>
      <c r="DW131" s="1500">
        <f t="shared" ref="DW131:DY131" ca="1" si="674">DW286/DW$103</f>
        <v>3.4538250476577707E-2</v>
      </c>
      <c r="DX131" s="1500">
        <f t="shared" ca="1" si="674"/>
        <v>3.4263140677807447E-2</v>
      </c>
      <c r="DY131" s="577">
        <f t="shared" ca="1" si="674"/>
        <v>3.2593685361755088E-2</v>
      </c>
    </row>
    <row r="132" spans="1:129" s="1491" customFormat="1" ht="15" hidden="1" customHeight="1" outlineLevel="1">
      <c r="A132" s="1457" t="s">
        <v>1487</v>
      </c>
      <c r="B132" s="1065"/>
      <c r="C132" s="1065"/>
      <c r="D132" s="1065"/>
      <c r="E132" s="1065"/>
      <c r="F132" s="1065"/>
      <c r="G132" s="1065"/>
      <c r="H132" s="1065"/>
      <c r="I132" s="1065"/>
      <c r="J132" s="1065"/>
      <c r="K132" s="1065"/>
      <c r="L132" s="1065"/>
      <c r="M132" s="1065"/>
      <c r="N132" s="1065"/>
      <c r="O132" s="1065"/>
      <c r="P132" s="1065"/>
      <c r="Q132" s="1500">
        <f t="shared" ref="Q132:AA132" si="675">Q176/Q$103</f>
        <v>0.11451370537333541</v>
      </c>
      <c r="R132" s="1500">
        <f t="shared" si="675"/>
        <v>0.14387848913404924</v>
      </c>
      <c r="S132" s="1500">
        <f t="shared" si="675"/>
        <v>0.14394650071982537</v>
      </c>
      <c r="T132" s="1500">
        <f t="shared" si="675"/>
        <v>0.14244059155273864</v>
      </c>
      <c r="U132" s="1500">
        <f t="shared" si="675"/>
        <v>0.15404302243289061</v>
      </c>
      <c r="V132" s="1500">
        <f t="shared" si="675"/>
        <v>0.16171389616224843</v>
      </c>
      <c r="W132" s="1500">
        <f t="shared" si="675"/>
        <v>0.1545017119930012</v>
      </c>
      <c r="X132" s="1500">
        <f>X176/X$103</f>
        <v>0.16377340396041087</v>
      </c>
      <c r="Y132" s="1500">
        <f>Y176/Y$103</f>
        <v>0.16727311797149202</v>
      </c>
      <c r="Z132" s="1500">
        <f ca="1">Z176/Z$103</f>
        <v>0.17118826842066731</v>
      </c>
      <c r="AA132" s="1500">
        <f t="shared" ca="1" si="675"/>
        <v>0.16756590755169407</v>
      </c>
      <c r="AB132" s="1500">
        <f t="shared" ref="AB132:AG132" ca="1" si="676">AB176/AB$103</f>
        <v>0.16428020017949005</v>
      </c>
      <c r="AC132" s="1500">
        <f t="shared" ca="1" si="676"/>
        <v>0.16135510238973316</v>
      </c>
      <c r="AD132" s="1500">
        <f t="shared" ca="1" si="676"/>
        <v>0.15876724960524363</v>
      </c>
      <c r="AE132" s="1500">
        <f t="shared" ca="1" si="676"/>
        <v>0.1564776489361932</v>
      </c>
      <c r="AF132" s="1500">
        <f t="shared" ca="1" si="676"/>
        <v>0.15444484881367301</v>
      </c>
      <c r="AG132" s="1500">
        <f t="shared" ca="1" si="676"/>
        <v>0.15262999618484374</v>
      </c>
      <c r="AH132" s="2201"/>
      <c r="AI132" s="1927"/>
      <c r="AJ132" s="1561"/>
      <c r="AK132" s="1065"/>
      <c r="AL132" s="1065"/>
      <c r="AM132" s="1065"/>
      <c r="AN132" s="1065"/>
      <c r="AO132" s="1065"/>
      <c r="AP132" s="563"/>
      <c r="AQ132" s="1065"/>
      <c r="AR132" s="1065"/>
      <c r="AS132" s="1065"/>
      <c r="AT132" s="563"/>
      <c r="AU132" s="1065"/>
      <c r="AV132" s="1065"/>
      <c r="AW132" s="1065"/>
      <c r="AX132" s="563"/>
      <c r="AY132" s="1065"/>
      <c r="AZ132" s="1065"/>
      <c r="BA132" s="1065"/>
      <c r="BB132" s="563"/>
      <c r="BC132" s="1065"/>
      <c r="BD132" s="1065"/>
      <c r="BE132" s="1065"/>
      <c r="BF132" s="563"/>
      <c r="BG132" s="1065"/>
      <c r="BH132" s="1065"/>
      <c r="BI132" s="1065"/>
      <c r="BJ132" s="563"/>
      <c r="BK132" s="1065"/>
      <c r="BL132" s="1065"/>
      <c r="BM132" s="1065"/>
      <c r="BN132" s="563"/>
      <c r="BO132" s="1065"/>
      <c r="BP132" s="1065"/>
      <c r="BQ132" s="1065"/>
      <c r="BR132" s="563"/>
      <c r="BS132" s="1065"/>
      <c r="BT132" s="1065"/>
      <c r="BU132" s="1065"/>
      <c r="BV132" s="563"/>
      <c r="BW132" s="1065"/>
      <c r="BX132" s="1065"/>
      <c r="BY132" s="1065"/>
      <c r="BZ132" s="563"/>
      <c r="CA132" s="1065"/>
      <c r="CB132" s="1065"/>
      <c r="CC132" s="1065"/>
      <c r="CD132" s="563"/>
      <c r="CE132" s="1065"/>
      <c r="CF132" s="1065"/>
      <c r="CG132" s="1065"/>
      <c r="CH132" s="576">
        <f t="shared" ref="CH132:DJ132" si="677">CH176/CH$103</f>
        <v>3.0048318904771491E-2</v>
      </c>
      <c r="CI132" s="1500">
        <f t="shared" si="677"/>
        <v>2.9331430399370063E-2</v>
      </c>
      <c r="CJ132" s="1500">
        <f t="shared" si="677"/>
        <v>2.8373793367103127E-2</v>
      </c>
      <c r="CK132" s="1500">
        <f t="shared" si="677"/>
        <v>0.11691365450866736</v>
      </c>
      <c r="CL132" s="576">
        <f t="shared" si="677"/>
        <v>0.1105097954324061</v>
      </c>
      <c r="CM132" s="1500">
        <f t="shared" si="677"/>
        <v>0.10671529714653508</v>
      </c>
      <c r="CN132" s="1500">
        <f t="shared" si="677"/>
        <v>0.10696156250993524</v>
      </c>
      <c r="CO132" s="1500">
        <f t="shared" si="677"/>
        <v>0.11451370537333541</v>
      </c>
      <c r="CP132" s="576">
        <f t="shared" si="677"/>
        <v>0.12552668360215877</v>
      </c>
      <c r="CQ132" s="1500">
        <f t="shared" si="677"/>
        <v>0.13595893157936953</v>
      </c>
      <c r="CR132" s="1500">
        <f t="shared" si="677"/>
        <v>0.14205450319006874</v>
      </c>
      <c r="CS132" s="1500">
        <f t="shared" si="677"/>
        <v>0.14387848913404924</v>
      </c>
      <c r="CT132" s="576">
        <f t="shared" si="677"/>
        <v>0.15004518274980291</v>
      </c>
      <c r="CU132" s="1500">
        <f t="shared" si="677"/>
        <v>0.15527628730113904</v>
      </c>
      <c r="CV132" s="1500">
        <f t="shared" si="677"/>
        <v>0.156714544693906</v>
      </c>
      <c r="CW132" s="1500">
        <f t="shared" si="677"/>
        <v>0.14394650071982537</v>
      </c>
      <c r="CX132" s="576">
        <f t="shared" si="677"/>
        <v>0.14585687122819588</v>
      </c>
      <c r="CY132" s="1500">
        <f t="shared" si="677"/>
        <v>0.14634389591549934</v>
      </c>
      <c r="CZ132" s="1500">
        <f t="shared" si="677"/>
        <v>0.14514044267745874</v>
      </c>
      <c r="DA132" s="1500">
        <f t="shared" si="677"/>
        <v>0.14244059155273864</v>
      </c>
      <c r="DB132" s="576">
        <f t="shared" si="677"/>
        <v>0.14910635955481397</v>
      </c>
      <c r="DC132" s="1500">
        <f t="shared" si="677"/>
        <v>0.15007979355539711</v>
      </c>
      <c r="DD132" s="1500">
        <f t="shared" si="677"/>
        <v>0.15259917061115066</v>
      </c>
      <c r="DE132" s="1500">
        <f t="shared" si="677"/>
        <v>0.15404302243289061</v>
      </c>
      <c r="DF132" s="576">
        <f t="shared" si="677"/>
        <v>0.15695089216510152</v>
      </c>
      <c r="DG132" s="1500">
        <f t="shared" si="677"/>
        <v>0.15950166273073402</v>
      </c>
      <c r="DH132" s="1500">
        <f t="shared" si="677"/>
        <v>0.16094815798417628</v>
      </c>
      <c r="DI132" s="577">
        <f t="shared" si="677"/>
        <v>0.16171389616224843</v>
      </c>
      <c r="DJ132" s="576">
        <f t="shared" si="677"/>
        <v>0.16451605456937743</v>
      </c>
      <c r="DK132" s="1500">
        <f t="shared" ref="DK132:DM132" si="678">DK176/DK$103</f>
        <v>0.1627331091409355</v>
      </c>
      <c r="DL132" s="1500">
        <f t="shared" si="678"/>
        <v>0.15910626570602124</v>
      </c>
      <c r="DM132" s="577">
        <f t="shared" si="678"/>
        <v>0.1545017119930012</v>
      </c>
      <c r="DN132" s="1500">
        <f t="shared" ref="DN132:DO132" si="679">DN176/DN$103</f>
        <v>0.15657333802848558</v>
      </c>
      <c r="DO132" s="1500">
        <f t="shared" si="679"/>
        <v>0.1577544883437044</v>
      </c>
      <c r="DP132" s="1500">
        <f t="shared" ref="DP132:DQ132" si="680">DP176/DP$103</f>
        <v>0.15935662784248475</v>
      </c>
      <c r="DQ132" s="577">
        <f t="shared" si="680"/>
        <v>0.16060748556229887</v>
      </c>
      <c r="DR132" s="576">
        <f t="shared" ref="DR132" si="681">DR176/DR$103</f>
        <v>0.16839077522831966</v>
      </c>
      <c r="DS132" s="1500">
        <f t="shared" ref="DS132:DT132" si="682">DS176/DS$103</f>
        <v>0.16916202414113277</v>
      </c>
      <c r="DT132" s="1500">
        <f t="shared" si="682"/>
        <v>0.16909459176980243</v>
      </c>
      <c r="DU132" s="577">
        <f t="shared" ref="DU132" si="683">DU176/DU$103</f>
        <v>0.16727311797149202</v>
      </c>
      <c r="DV132" s="1500">
        <f t="shared" ref="DV132" si="684">DV176/DV$103</f>
        <v>0.17300533145415589</v>
      </c>
      <c r="DW132" s="1500">
        <f t="shared" ref="DW132:DY132" ca="1" si="685">DW176/DW$103</f>
        <v>0.17343494165644327</v>
      </c>
      <c r="DX132" s="1500">
        <f t="shared" ca="1" si="685"/>
        <v>0.17297248698044754</v>
      </c>
      <c r="DY132" s="577">
        <f t="shared" ca="1" si="685"/>
        <v>0.17062035152025543</v>
      </c>
    </row>
    <row r="133" spans="1:129" s="1491" customFormat="1" ht="15" hidden="1" customHeight="1" outlineLevel="1">
      <c r="A133" s="1457" t="s">
        <v>1040</v>
      </c>
      <c r="B133" s="1065"/>
      <c r="C133" s="1065"/>
      <c r="D133" s="1065"/>
      <c r="E133" s="1065"/>
      <c r="F133" s="1065"/>
      <c r="G133" s="1065"/>
      <c r="H133" s="1065"/>
      <c r="I133" s="1065"/>
      <c r="J133" s="1065"/>
      <c r="K133" s="1065"/>
      <c r="L133" s="1065"/>
      <c r="M133" s="1065"/>
      <c r="N133" s="1065"/>
      <c r="O133" s="1065"/>
      <c r="P133" s="1065"/>
      <c r="Q133" s="1065">
        <f t="shared" ref="Q133:V133" si="686">SUM(Q130:Q132)</f>
        <v>1</v>
      </c>
      <c r="R133" s="1065">
        <f t="shared" si="686"/>
        <v>1</v>
      </c>
      <c r="S133" s="1065">
        <f t="shared" si="686"/>
        <v>1</v>
      </c>
      <c r="T133" s="1065">
        <f t="shared" si="686"/>
        <v>1</v>
      </c>
      <c r="U133" s="1065">
        <f t="shared" si="686"/>
        <v>1</v>
      </c>
      <c r="V133" s="1065">
        <f t="shared" si="686"/>
        <v>0.99999999999999989</v>
      </c>
      <c r="W133" s="1065">
        <f t="shared" ref="W133:AB133" si="687">SUM(W130:W132)</f>
        <v>1</v>
      </c>
      <c r="X133" s="1065">
        <f t="shared" si="687"/>
        <v>1.0197121472080077</v>
      </c>
      <c r="Y133" s="1065">
        <f t="shared" si="687"/>
        <v>1</v>
      </c>
      <c r="Z133" s="1065">
        <f t="shared" ca="1" si="687"/>
        <v>1.000567916900412</v>
      </c>
      <c r="AA133" s="1065">
        <f t="shared" ca="1" si="687"/>
        <v>1.0005628617788238</v>
      </c>
      <c r="AB133" s="1065">
        <f t="shared" ca="1" si="687"/>
        <v>1.000558022407193</v>
      </c>
      <c r="AC133" s="1065">
        <f t="shared" ref="AC133:AG133" ca="1" si="688">SUM(AC130:AC132)</f>
        <v>1.0005536000692858</v>
      </c>
      <c r="AD133" s="1065">
        <f t="shared" ca="1" si="688"/>
        <v>1.0005496243914109</v>
      </c>
      <c r="AE133" s="1065">
        <f t="shared" ca="1" si="688"/>
        <v>1.0005460568846158</v>
      </c>
      <c r="AF133" s="1065">
        <f t="shared" ca="1" si="688"/>
        <v>1.000542836437917</v>
      </c>
      <c r="AG133" s="1065">
        <f t="shared" ca="1" si="688"/>
        <v>1.0005398985093334</v>
      </c>
      <c r="AH133" s="2201"/>
      <c r="AI133" s="1927"/>
      <c r="AJ133" s="1561"/>
      <c r="AK133" s="1324"/>
      <c r="AL133" s="1324"/>
      <c r="AM133" s="1324"/>
      <c r="AN133" s="1324"/>
      <c r="AO133" s="1324"/>
      <c r="AP133" s="1325"/>
      <c r="AQ133" s="1324"/>
      <c r="AR133" s="1324"/>
      <c r="AS133" s="1324"/>
      <c r="AT133" s="1325"/>
      <c r="AU133" s="1324"/>
      <c r="AV133" s="1324"/>
      <c r="AW133" s="1324"/>
      <c r="AX133" s="1325"/>
      <c r="AY133" s="1324"/>
      <c r="AZ133" s="1324"/>
      <c r="BA133" s="1324"/>
      <c r="BB133" s="1325"/>
      <c r="BC133" s="1324"/>
      <c r="BD133" s="1324"/>
      <c r="BE133" s="1324"/>
      <c r="BF133" s="1325"/>
      <c r="BG133" s="1324"/>
      <c r="BH133" s="1324"/>
      <c r="BI133" s="1324"/>
      <c r="BJ133" s="1325"/>
      <c r="BK133" s="1324"/>
      <c r="BL133" s="1324"/>
      <c r="BM133" s="1324"/>
      <c r="BN133" s="1325"/>
      <c r="BO133" s="1324"/>
      <c r="BP133" s="1324"/>
      <c r="BQ133" s="1324"/>
      <c r="BR133" s="1325"/>
      <c r="BS133" s="1324"/>
      <c r="BT133" s="1324"/>
      <c r="BU133" s="1324"/>
      <c r="BV133" s="1325"/>
      <c r="BW133" s="1324"/>
      <c r="BX133" s="1324"/>
      <c r="BY133" s="1324"/>
      <c r="BZ133" s="563"/>
      <c r="CA133" s="1065"/>
      <c r="CB133" s="1065"/>
      <c r="CC133" s="1065"/>
      <c r="CD133" s="563"/>
      <c r="CE133" s="1065"/>
      <c r="CF133" s="1065"/>
      <c r="CG133" s="1065"/>
      <c r="CH133" s="563">
        <f t="shared" ref="CH133:CO133" si="689">+CH130+CH131+CH132</f>
        <v>0.97620545600966369</v>
      </c>
      <c r="CI133" s="1065">
        <f t="shared" si="689"/>
        <v>0.97673417160855325</v>
      </c>
      <c r="CJ133" s="1065">
        <f t="shared" si="689"/>
        <v>0.97740848704960337</v>
      </c>
      <c r="CK133" s="1065">
        <f t="shared" si="689"/>
        <v>1.0021654727401981</v>
      </c>
      <c r="CL133" s="563">
        <f t="shared" si="689"/>
        <v>1</v>
      </c>
      <c r="CM133" s="1065">
        <f t="shared" si="689"/>
        <v>1</v>
      </c>
      <c r="CN133" s="1065">
        <f t="shared" si="689"/>
        <v>1</v>
      </c>
      <c r="CO133" s="1065">
        <f t="shared" si="689"/>
        <v>1</v>
      </c>
      <c r="CP133" s="563">
        <f>SUM(CP130:CP132)</f>
        <v>1</v>
      </c>
      <c r="CQ133" s="1065">
        <f>SUM(CQ130:CQ132)</f>
        <v>1</v>
      </c>
      <c r="CR133" s="1065">
        <f>SUM(CR130:CR132)</f>
        <v>1</v>
      </c>
      <c r="CS133" s="1065">
        <f>SUM(CS130:CS132)</f>
        <v>1</v>
      </c>
      <c r="CT133" s="563">
        <f t="shared" ref="CT133:DF133" si="690">+CT130+CT131+CT132</f>
        <v>1</v>
      </c>
      <c r="CU133" s="1065">
        <f t="shared" si="690"/>
        <v>1</v>
      </c>
      <c r="CV133" s="1065">
        <f t="shared" si="690"/>
        <v>1</v>
      </c>
      <c r="CW133" s="1065">
        <f t="shared" si="690"/>
        <v>1</v>
      </c>
      <c r="CX133" s="563">
        <f t="shared" si="690"/>
        <v>1</v>
      </c>
      <c r="CY133" s="1065">
        <f t="shared" si="690"/>
        <v>1</v>
      </c>
      <c r="CZ133" s="1065">
        <f t="shared" si="690"/>
        <v>1</v>
      </c>
      <c r="DA133" s="1065">
        <f t="shared" si="690"/>
        <v>1</v>
      </c>
      <c r="DB133" s="563">
        <f t="shared" si="690"/>
        <v>1</v>
      </c>
      <c r="DC133" s="1065">
        <f t="shared" si="690"/>
        <v>1</v>
      </c>
      <c r="DD133" s="1065">
        <f t="shared" si="690"/>
        <v>1</v>
      </c>
      <c r="DE133" s="1065">
        <f t="shared" si="690"/>
        <v>1</v>
      </c>
      <c r="DF133" s="563">
        <f t="shared" si="690"/>
        <v>0.99999999999999989</v>
      </c>
      <c r="DG133" s="1065">
        <f>+DG130+DG131+DG132</f>
        <v>1</v>
      </c>
      <c r="DH133" s="1065">
        <f>+DH130+DH131+DH132</f>
        <v>1</v>
      </c>
      <c r="DI133" s="564">
        <f>+DI130+DI131+DI132</f>
        <v>0.99999999999999989</v>
      </c>
      <c r="DJ133" s="563">
        <f t="shared" ref="DJ133:DM133" si="691">+DJ130+DJ131+DJ132</f>
        <v>1</v>
      </c>
      <c r="DK133" s="1065">
        <f t="shared" si="691"/>
        <v>1</v>
      </c>
      <c r="DL133" s="1065">
        <f t="shared" si="691"/>
        <v>1</v>
      </c>
      <c r="DM133" s="564">
        <f t="shared" si="691"/>
        <v>1</v>
      </c>
      <c r="DN133" s="1065">
        <f t="shared" ref="DN133:DO133" si="692">+DN130+DN131+DN132</f>
        <v>1</v>
      </c>
      <c r="DO133" s="1065">
        <f t="shared" si="692"/>
        <v>1</v>
      </c>
      <c r="DP133" s="1065">
        <f t="shared" ref="DP133:DQ133" si="693">+DP130+DP131+DP132</f>
        <v>1</v>
      </c>
      <c r="DQ133" s="564">
        <f t="shared" si="693"/>
        <v>1</v>
      </c>
      <c r="DR133" s="563">
        <f t="shared" ref="DR133" si="694">+DR130+DR131+DR132</f>
        <v>1</v>
      </c>
      <c r="DS133" s="1065">
        <f t="shared" ref="DS133:DT133" si="695">+DS130+DS131+DS132</f>
        <v>1</v>
      </c>
      <c r="DT133" s="1065">
        <f t="shared" si="695"/>
        <v>1</v>
      </c>
      <c r="DU133" s="564">
        <f t="shared" ref="DU133" si="696">+DU130+DU131+DU132</f>
        <v>1</v>
      </c>
      <c r="DV133" s="1065">
        <f t="shared" ref="DV133" si="697">+DV130+DV131+DV132</f>
        <v>0.99999999999999989</v>
      </c>
      <c r="DW133" s="1065">
        <f t="shared" ref="DW133:DY133" ca="1" si="698">+DW130+DW131+DW132</f>
        <v>0.99999999999999989</v>
      </c>
      <c r="DX133" s="1065">
        <f t="shared" ca="1" si="698"/>
        <v>1</v>
      </c>
      <c r="DY133" s="564">
        <f t="shared" ca="1" si="698"/>
        <v>1.0000000000000002</v>
      </c>
    </row>
    <row r="134" spans="1:129" s="1491" customFormat="1" ht="15" hidden="1" customHeight="1" outlineLevel="1">
      <c r="A134" s="1457"/>
      <c r="B134" s="1065"/>
      <c r="C134" s="1065"/>
      <c r="D134" s="1065"/>
      <c r="E134" s="1065"/>
      <c r="F134" s="1065"/>
      <c r="G134" s="1065"/>
      <c r="H134" s="1065"/>
      <c r="I134" s="1065"/>
      <c r="J134" s="1065"/>
      <c r="K134" s="1065"/>
      <c r="L134" s="1065"/>
      <c r="M134" s="1065"/>
      <c r="N134" s="1065"/>
      <c r="O134" s="1065"/>
      <c r="P134" s="1065"/>
      <c r="Q134" s="1065"/>
      <c r="R134" s="1065"/>
      <c r="S134" s="1065"/>
      <c r="T134" s="1065"/>
      <c r="U134" s="1065"/>
      <c r="V134" s="1065"/>
      <c r="W134" s="1065"/>
      <c r="X134" s="1065"/>
      <c r="Y134" s="1065"/>
      <c r="Z134" s="1065"/>
      <c r="AA134" s="1065"/>
      <c r="AB134" s="1065"/>
      <c r="AC134" s="1065"/>
      <c r="AD134" s="1065"/>
      <c r="AE134" s="1065"/>
      <c r="AF134" s="1065"/>
      <c r="AG134" s="1065"/>
      <c r="AH134" s="2201"/>
      <c r="AI134" s="1927"/>
      <c r="AJ134" s="1561"/>
      <c r="AK134" s="1324"/>
      <c r="AL134" s="1324"/>
      <c r="AM134" s="1324"/>
      <c r="AN134" s="1324"/>
      <c r="AO134" s="1324"/>
      <c r="AP134" s="1325"/>
      <c r="AQ134" s="1324"/>
      <c r="AR134" s="1324"/>
      <c r="AS134" s="1324"/>
      <c r="AT134" s="1325"/>
      <c r="AU134" s="1324"/>
      <c r="AV134" s="1324"/>
      <c r="AW134" s="1324"/>
      <c r="AX134" s="1325"/>
      <c r="AY134" s="1324"/>
      <c r="AZ134" s="1324"/>
      <c r="BA134" s="1324"/>
      <c r="BB134" s="1325"/>
      <c r="BC134" s="1324"/>
      <c r="BD134" s="1324"/>
      <c r="BE134" s="1324"/>
      <c r="BF134" s="1325"/>
      <c r="BG134" s="1324"/>
      <c r="BH134" s="1324"/>
      <c r="BI134" s="1324"/>
      <c r="BJ134" s="1325"/>
      <c r="BK134" s="1324"/>
      <c r="BL134" s="1324"/>
      <c r="BM134" s="1324"/>
      <c r="BN134" s="1325"/>
      <c r="BO134" s="1324"/>
      <c r="BP134" s="1324"/>
      <c r="BQ134" s="1324"/>
      <c r="BR134" s="1325"/>
      <c r="BS134" s="1324"/>
      <c r="BT134" s="1324"/>
      <c r="BU134" s="1324"/>
      <c r="BV134" s="1325"/>
      <c r="BW134" s="1324"/>
      <c r="BX134" s="1324"/>
      <c r="BY134" s="1324"/>
      <c r="BZ134" s="563"/>
      <c r="CA134" s="1065"/>
      <c r="CB134" s="1065"/>
      <c r="CC134" s="1065"/>
      <c r="CD134" s="563"/>
      <c r="CE134" s="1065"/>
      <c r="CF134" s="1065"/>
      <c r="CG134" s="1065"/>
      <c r="CH134" s="563"/>
      <c r="CI134" s="1065"/>
      <c r="CJ134" s="1065"/>
      <c r="CK134" s="1065"/>
      <c r="CL134" s="563"/>
      <c r="CM134" s="1065"/>
      <c r="CN134" s="1065"/>
      <c r="CO134" s="1065"/>
      <c r="CP134" s="563"/>
      <c r="CQ134" s="1065"/>
      <c r="CR134" s="1065"/>
      <c r="CS134" s="1065"/>
      <c r="CT134" s="563"/>
      <c r="CU134" s="1065"/>
      <c r="CV134" s="1065"/>
      <c r="CW134" s="1065"/>
      <c r="CX134" s="563"/>
      <c r="CY134" s="1065"/>
      <c r="CZ134" s="1065"/>
      <c r="DA134" s="1065"/>
      <c r="DB134" s="563"/>
      <c r="DC134" s="1065"/>
      <c r="DD134" s="1065"/>
      <c r="DE134" s="1065"/>
      <c r="DF134" s="563"/>
      <c r="DG134" s="1065"/>
      <c r="DH134" s="1065"/>
      <c r="DI134" s="564"/>
      <c r="DJ134" s="563"/>
      <c r="DK134" s="1065"/>
      <c r="DL134" s="1065"/>
      <c r="DM134" s="564"/>
      <c r="DN134" s="1065"/>
      <c r="DO134" s="1065"/>
      <c r="DP134" s="1065"/>
      <c r="DQ134" s="564"/>
      <c r="DR134" s="563"/>
      <c r="DS134" s="1065"/>
      <c r="DT134" s="1065"/>
      <c r="DU134" s="564"/>
      <c r="DV134" s="1065"/>
      <c r="DW134" s="1065"/>
      <c r="DX134" s="1065"/>
      <c r="DY134" s="564"/>
    </row>
    <row r="135" spans="1:129" s="1491" customFormat="1" ht="15" hidden="1" customHeight="1" outlineLevel="1">
      <c r="A135" s="1395" t="s">
        <v>1611</v>
      </c>
      <c r="B135" s="1383"/>
      <c r="C135" s="1383"/>
      <c r="D135" s="1379"/>
      <c r="E135" s="1379"/>
      <c r="F135" s="1379"/>
      <c r="G135" s="1396"/>
      <c r="H135" s="1379"/>
      <c r="I135" s="1379"/>
      <c r="J135" s="1379"/>
      <c r="K135" s="1379"/>
      <c r="L135" s="1379"/>
      <c r="M135" s="1379"/>
      <c r="N135" s="1379">
        <f>SUM(BZ135:CC135)</f>
        <v>19250.16735</v>
      </c>
      <c r="O135" s="1379">
        <f>SUM(CD135:CG135)</f>
        <v>19300.542650000003</v>
      </c>
      <c r="P135" s="1113">
        <f>SUM(CH135:CK135)</f>
        <v>20359.040285570471</v>
      </c>
      <c r="Q135" s="1113">
        <f>SUM(CL135:CO135)</f>
        <v>20723.752500000002</v>
      </c>
      <c r="R135" s="1113">
        <f>SUM(CP135:CS135)</f>
        <v>21377.098349999997</v>
      </c>
      <c r="S135" s="1113">
        <f ca="1">SUM(CT135:CW135)</f>
        <v>20998.351489303077</v>
      </c>
      <c r="T135" s="1113">
        <f ca="1">SUM(CX135:DA135)</f>
        <v>22440.467652404106</v>
      </c>
      <c r="U135" s="1113">
        <f ca="1">SUM(DB135:DE135)</f>
        <v>24263.788402404167</v>
      </c>
      <c r="V135" s="1113">
        <f ca="1">SUM(DF135:DI135)</f>
        <v>26276.661552404188</v>
      </c>
      <c r="W135" s="1113">
        <f ca="1">SUM(DJ135:DM135)</f>
        <v>21762.49860240419</v>
      </c>
      <c r="X135" s="1113">
        <f ca="1">SUM(DN135:DQ135)</f>
        <v>22643.832152404197</v>
      </c>
      <c r="Y135" s="1113">
        <f ca="1">SUM(DR135:DU135)</f>
        <v>22742.117852404197</v>
      </c>
      <c r="Z135" s="1113">
        <f ca="1">SUM(DS135:DV135)</f>
        <v>22447.894052404197</v>
      </c>
      <c r="AA135" s="1113">
        <f ca="1">+AA137+AA140</f>
        <v>20545.042583619197</v>
      </c>
      <c r="AB135" s="1113">
        <f ca="1">+AB137+AB140</f>
        <v>20186.100388994895</v>
      </c>
      <c r="AC135" s="1113">
        <f t="shared" ref="AC135:AG135" ca="1" si="699">+AC137+AC140</f>
        <v>19834.337038263082</v>
      </c>
      <c r="AD135" s="1113">
        <f t="shared" ca="1" si="699"/>
        <v>19489.608954545904</v>
      </c>
      <c r="AE135" s="1113">
        <f t="shared" ca="1" si="699"/>
        <v>19151.775432503069</v>
      </c>
      <c r="AF135" s="1113">
        <f t="shared" ca="1" si="699"/>
        <v>18820.698580901091</v>
      </c>
      <c r="AG135" s="1113">
        <f t="shared" ca="1" si="699"/>
        <v>18496.243266331152</v>
      </c>
      <c r="AH135" s="2201"/>
      <c r="AI135" s="2125">
        <f ca="1">(AA135/V135)^(1/5)-1</f>
        <v>-4.8020992470083401E-2</v>
      </c>
      <c r="AJ135" s="1561"/>
      <c r="AK135" s="1381"/>
      <c r="AL135" s="1381"/>
      <c r="AM135" s="1319"/>
      <c r="AN135" s="1381"/>
      <c r="AO135" s="1381"/>
      <c r="AP135" s="1080"/>
      <c r="AQ135" s="1381"/>
      <c r="AR135" s="1381"/>
      <c r="AS135" s="1381"/>
      <c r="AT135" s="1080"/>
      <c r="AU135" s="1381"/>
      <c r="AV135" s="1381"/>
      <c r="AW135" s="1381"/>
      <c r="AX135" s="1080"/>
      <c r="AY135" s="1381"/>
      <c r="AZ135" s="1381"/>
      <c r="BA135" s="1381"/>
      <c r="BB135" s="1080"/>
      <c r="BC135" s="1381"/>
      <c r="BD135" s="1381"/>
      <c r="BE135" s="1381"/>
      <c r="BF135" s="1080"/>
      <c r="BG135" s="1381"/>
      <c r="BH135" s="1381"/>
      <c r="BI135" s="1381"/>
      <c r="BJ135" s="1080"/>
      <c r="BK135" s="1381"/>
      <c r="BL135" s="1381"/>
      <c r="BM135" s="1381"/>
      <c r="BN135" s="1080"/>
      <c r="BO135" s="1381"/>
      <c r="BP135" s="1381"/>
      <c r="BQ135" s="1381"/>
      <c r="BR135" s="1080"/>
      <c r="BS135" s="1381"/>
      <c r="BT135" s="1381"/>
      <c r="BU135" s="1381"/>
      <c r="BV135" s="1080"/>
      <c r="BW135" s="1381"/>
      <c r="BX135" s="1381"/>
      <c r="BY135" s="1381"/>
      <c r="BZ135" s="484">
        <f t="shared" ref="BZ135:CG135" si="700">+BZ143+BZ147</f>
        <v>4314.4539999999997</v>
      </c>
      <c r="CA135" s="1379">
        <f t="shared" si="700"/>
        <v>4525.8262500000001</v>
      </c>
      <c r="CB135" s="1379">
        <f t="shared" si="700"/>
        <v>4792.8252000000002</v>
      </c>
      <c r="CC135" s="1379">
        <f t="shared" si="700"/>
        <v>5617.0619000000006</v>
      </c>
      <c r="CD135" s="484">
        <f t="shared" si="700"/>
        <v>4545.473</v>
      </c>
      <c r="CE135" s="1379">
        <f t="shared" si="700"/>
        <v>4448.3140000000003</v>
      </c>
      <c r="CF135" s="1379">
        <f t="shared" si="700"/>
        <v>4945.3956500000004</v>
      </c>
      <c r="CG135" s="1379">
        <f t="shared" si="700"/>
        <v>5361.3600000000006</v>
      </c>
      <c r="CH135" s="457">
        <f>+CL135/(1+CL136)</f>
        <v>4722.5503355704705</v>
      </c>
      <c r="CI135" s="1113">
        <f>+CI143+CI147</f>
        <v>4821.7312000000002</v>
      </c>
      <c r="CJ135" s="1113">
        <f>+CJ143+CJ147</f>
        <v>5425.30555</v>
      </c>
      <c r="CK135" s="1113">
        <f>+CK143+CK147</f>
        <v>5389.4531999999999</v>
      </c>
      <c r="CL135" s="150">
        <f t="shared" ref="CL135:DJ135" si="701">+CL112+CL153</f>
        <v>4925.6200000000008</v>
      </c>
      <c r="CM135" s="1113">
        <f t="shared" si="701"/>
        <v>4567.7610000000004</v>
      </c>
      <c r="CN135" s="1113">
        <f t="shared" si="701"/>
        <v>5136.0239000000001</v>
      </c>
      <c r="CO135" s="1113">
        <f t="shared" si="701"/>
        <v>6094.3476000000001</v>
      </c>
      <c r="CP135" s="150">
        <f t="shared" si="701"/>
        <v>5474.0855999999994</v>
      </c>
      <c r="CQ135" s="1113">
        <f t="shared" si="701"/>
        <v>5329.90625</v>
      </c>
      <c r="CR135" s="1113">
        <f t="shared" si="701"/>
        <v>5344.9523999999992</v>
      </c>
      <c r="CS135" s="1113">
        <f t="shared" si="701"/>
        <v>5228.1540999999997</v>
      </c>
      <c r="CT135" s="150">
        <f t="shared" ca="1" si="701"/>
        <v>5792.1086999999989</v>
      </c>
      <c r="CU135" s="1113">
        <f t="shared" ca="1" si="701"/>
        <v>5974.3599131010269</v>
      </c>
      <c r="CV135" s="1113">
        <f t="shared" ca="1" si="701"/>
        <v>5251.6059131010261</v>
      </c>
      <c r="CW135" s="1113">
        <f t="shared" ca="1" si="701"/>
        <v>3980.2769631010265</v>
      </c>
      <c r="CX135" s="150">
        <f t="shared" ca="1" si="701"/>
        <v>5152.116213101026</v>
      </c>
      <c r="CY135" s="1113">
        <f t="shared" ca="1" si="701"/>
        <v>5050.1475131010266</v>
      </c>
      <c r="CZ135" s="1113">
        <f t="shared" ca="1" si="701"/>
        <v>5756.1713131010256</v>
      </c>
      <c r="DA135" s="1113">
        <f t="shared" ca="1" si="701"/>
        <v>6482.0326131010261</v>
      </c>
      <c r="DB135" s="150">
        <f t="shared" ca="1" si="701"/>
        <v>6070.8532131010252</v>
      </c>
      <c r="DC135" s="1113">
        <f t="shared" ca="1" si="701"/>
        <v>5716.779513101048</v>
      </c>
      <c r="DD135" s="1113">
        <f t="shared" ca="1" si="701"/>
        <v>5931.6940131010479</v>
      </c>
      <c r="DE135" s="1113">
        <f t="shared" ca="1" si="701"/>
        <v>6544.4616631010476</v>
      </c>
      <c r="DF135" s="150">
        <f t="shared" ca="1" si="701"/>
        <v>5791.1841631010475</v>
      </c>
      <c r="DG135" s="1113">
        <f t="shared" ca="1" si="701"/>
        <v>6332.6144631010475</v>
      </c>
      <c r="DH135" s="1113">
        <f t="shared" ca="1" si="701"/>
        <v>6610.077763101046</v>
      </c>
      <c r="DI135" s="155">
        <f t="shared" ca="1" si="701"/>
        <v>7542.7851631010462</v>
      </c>
      <c r="DJ135" s="150">
        <f t="shared" ca="1" si="701"/>
        <v>5708.253563101046</v>
      </c>
      <c r="DK135" s="1113">
        <f t="shared" ref="DK135:DP135" ca="1" si="702">+DK112+DK153</f>
        <v>5244.1342131010479</v>
      </c>
      <c r="DL135" s="1113">
        <f t="shared" ca="1" si="702"/>
        <v>5381.8234131010486</v>
      </c>
      <c r="DM135" s="155">
        <f t="shared" ca="1" si="702"/>
        <v>5428.2874131010485</v>
      </c>
      <c r="DN135" s="1113">
        <f t="shared" ca="1" si="702"/>
        <v>5528.597663101049</v>
      </c>
      <c r="DO135" s="1113">
        <f t="shared" ca="1" si="702"/>
        <v>5412.4601631010491</v>
      </c>
      <c r="DP135" s="1113">
        <f t="shared" ca="1" si="702"/>
        <v>5738.3692131010494</v>
      </c>
      <c r="DQ135" s="155">
        <f t="shared" ref="DQ135" ca="1" si="703">+DQ112+DQ153</f>
        <v>5964.4051131010492</v>
      </c>
      <c r="DR135" s="150">
        <f t="shared" ref="DR135" ca="1" si="704">+DR112+DR153</f>
        <v>6140.2858131010489</v>
      </c>
      <c r="DS135" s="1113">
        <f t="shared" ref="DS135:DT135" ca="1" si="705">+DS112+DS153</f>
        <v>5426.7805131010482</v>
      </c>
      <c r="DT135" s="1113">
        <f t="shared" ca="1" si="705"/>
        <v>5485.3417131010492</v>
      </c>
      <c r="DU135" s="155">
        <f t="shared" ref="DU135" ca="1" si="706">+DU112+DU153</f>
        <v>5689.7098131010489</v>
      </c>
      <c r="DV135" s="1113">
        <f t="shared" ref="DV135" ca="1" si="707">+DV112+DV153</f>
        <v>5846.0620131010492</v>
      </c>
      <c r="DW135" s="1113">
        <f t="shared" ref="DW135:DY135" ca="1" si="708">+DW137+DW140</f>
        <v>5054.7066311010476</v>
      </c>
      <c r="DX135" s="1113">
        <f t="shared" ca="1" si="708"/>
        <v>5173.5279918510496</v>
      </c>
      <c r="DY135" s="155">
        <f t="shared" ca="1" si="708"/>
        <v>5482.0134931010489</v>
      </c>
    </row>
    <row r="136" spans="1:129" s="1491" customFormat="1" ht="15" hidden="1" customHeight="1" outlineLevel="1">
      <c r="A136" s="1457" t="s">
        <v>1453</v>
      </c>
      <c r="B136" s="1495"/>
      <c r="C136" s="1495"/>
      <c r="D136" s="1495"/>
      <c r="E136" s="1495"/>
      <c r="F136" s="1495"/>
      <c r="G136" s="1495"/>
      <c r="H136" s="1495"/>
      <c r="I136" s="1495"/>
      <c r="J136" s="1495"/>
      <c r="K136" s="1495"/>
      <c r="L136" s="1495"/>
      <c r="M136" s="1495"/>
      <c r="N136" s="1495"/>
      <c r="O136" s="1495">
        <f t="shared" ref="O136:AB136" si="709">O135/N135-1</f>
        <v>2.616875951470865E-3</v>
      </c>
      <c r="P136" s="1065">
        <f t="shared" si="709"/>
        <v>5.4842895081526066E-2</v>
      </c>
      <c r="Q136" s="1065">
        <f t="shared" si="709"/>
        <v>1.7914018014298261E-2</v>
      </c>
      <c r="R136" s="1065">
        <f t="shared" si="709"/>
        <v>3.1526426017681519E-2</v>
      </c>
      <c r="S136" s="1065">
        <f t="shared" ca="1" si="709"/>
        <v>-1.7717412087263962E-2</v>
      </c>
      <c r="T136" s="1065">
        <f t="shared" ca="1" si="709"/>
        <v>6.8677589468662203E-2</v>
      </c>
      <c r="U136" s="1065">
        <f t="shared" ca="1" si="709"/>
        <v>8.1251459561482164E-2</v>
      </c>
      <c r="V136" s="1065">
        <f t="shared" ca="1" si="709"/>
        <v>8.2957908988382734E-2</v>
      </c>
      <c r="W136" s="1065">
        <f ca="1">W135/V135-1</f>
        <v>-0.17179362534305553</v>
      </c>
      <c r="X136" s="1065">
        <f ca="1">X135/W135-1</f>
        <v>4.0497810757016861E-2</v>
      </c>
      <c r="Y136" s="1065">
        <f ca="1">Y135/X135-1</f>
        <v>4.3405064716293129E-3</v>
      </c>
      <c r="Z136" s="1065">
        <f ca="1">Z135/Y135-1</f>
        <v>-1.2937396680006041E-2</v>
      </c>
      <c r="AA136" s="1065">
        <f t="shared" ca="1" si="709"/>
        <v>-8.4767482612971512E-2</v>
      </c>
      <c r="AB136" s="1065">
        <f t="shared" ca="1" si="709"/>
        <v>-1.7470988106419894E-2</v>
      </c>
      <c r="AC136" s="1065">
        <f t="shared" ref="AC136" ca="1" si="710">AC135/AB135-1</f>
        <v>-1.7426018099245599E-2</v>
      </c>
      <c r="AD136" s="1065">
        <f t="shared" ref="AD136" ca="1" si="711">AD135/AC135-1</f>
        <v>-1.7380368350711772E-2</v>
      </c>
      <c r="AE136" s="1065">
        <f t="shared" ref="AE136" ca="1" si="712">AE135/AD135-1</f>
        <v>-1.7334032859804283E-2</v>
      </c>
      <c r="AF136" s="1065">
        <f t="shared" ref="AF136" ca="1" si="713">AF135/AE135-1</f>
        <v>-1.728700572794406E-2</v>
      </c>
      <c r="AG136" s="1065">
        <f t="shared" ref="AG136" ca="1" si="714">AG135/AF135-1</f>
        <v>-1.7239281165641218E-2</v>
      </c>
      <c r="AH136" s="2201"/>
      <c r="AI136" s="1927"/>
      <c r="AJ136" s="1561"/>
      <c r="AK136" s="1324"/>
      <c r="AL136" s="1324"/>
      <c r="AM136" s="1324"/>
      <c r="AN136" s="1324"/>
      <c r="AO136" s="1324"/>
      <c r="AP136" s="1325"/>
      <c r="AQ136" s="1324"/>
      <c r="AR136" s="1324"/>
      <c r="AS136" s="1324"/>
      <c r="AT136" s="1325"/>
      <c r="AU136" s="1324"/>
      <c r="AV136" s="1324"/>
      <c r="AW136" s="1324"/>
      <c r="AX136" s="1325"/>
      <c r="AY136" s="1324"/>
      <c r="AZ136" s="1324"/>
      <c r="BA136" s="1324"/>
      <c r="BB136" s="1325"/>
      <c r="BC136" s="1324"/>
      <c r="BD136" s="1324"/>
      <c r="BE136" s="1324"/>
      <c r="BF136" s="1325"/>
      <c r="BG136" s="1324"/>
      <c r="BH136" s="1324"/>
      <c r="BI136" s="1324"/>
      <c r="BJ136" s="1325"/>
      <c r="BK136" s="1324"/>
      <c r="BL136" s="1324"/>
      <c r="BM136" s="1324"/>
      <c r="BN136" s="1325"/>
      <c r="BO136" s="1324"/>
      <c r="BP136" s="1324"/>
      <c r="BQ136" s="1324"/>
      <c r="BR136" s="1325"/>
      <c r="BS136" s="1324"/>
      <c r="BT136" s="1324"/>
      <c r="BU136" s="1324"/>
      <c r="BV136" s="1325"/>
      <c r="BW136" s="1324"/>
      <c r="BX136" s="1324"/>
      <c r="BY136" s="1324"/>
      <c r="BZ136" s="494"/>
      <c r="CA136" s="1384"/>
      <c r="CB136" s="1384"/>
      <c r="CC136" s="1384"/>
      <c r="CD136" s="1501">
        <f t="shared" ref="CD136:CK136" si="715">CD135/BZ135-1</f>
        <v>5.3545361707414196E-2</v>
      </c>
      <c r="CE136" s="1495">
        <f t="shared" si="715"/>
        <v>-1.7126651735691278E-2</v>
      </c>
      <c r="CF136" s="1495">
        <f t="shared" si="715"/>
        <v>3.1833092932327389E-2</v>
      </c>
      <c r="CG136" s="1495">
        <f t="shared" si="715"/>
        <v>-4.5522357515768164E-2</v>
      </c>
      <c r="CH136" s="563">
        <f t="shared" si="715"/>
        <v>3.8956855660669421E-2</v>
      </c>
      <c r="CI136" s="1065">
        <f t="shared" si="715"/>
        <v>8.3945782604375463E-2</v>
      </c>
      <c r="CJ136" s="1065">
        <f t="shared" si="715"/>
        <v>9.7041760450450543E-2</v>
      </c>
      <c r="CK136" s="1065">
        <f t="shared" si="715"/>
        <v>5.2399391199247081E-3</v>
      </c>
      <c r="CL136" s="165">
        <v>4.2999999999999997E-2</v>
      </c>
      <c r="CM136" s="1065">
        <f t="shared" ref="CM136:DV136" si="716">CM135/CI135-1</f>
        <v>-5.26719946561931E-2</v>
      </c>
      <c r="CN136" s="1065">
        <f t="shared" si="716"/>
        <v>-5.3320803286369678E-2</v>
      </c>
      <c r="CO136" s="1065">
        <f t="shared" si="716"/>
        <v>0.13079145023469163</v>
      </c>
      <c r="CP136" s="563">
        <f t="shared" si="716"/>
        <v>0.11134955599498109</v>
      </c>
      <c r="CQ136" s="1065">
        <f t="shared" si="716"/>
        <v>0.16685313658048218</v>
      </c>
      <c r="CR136" s="1065">
        <f t="shared" si="716"/>
        <v>4.0679035780966544E-2</v>
      </c>
      <c r="CS136" s="1065">
        <f t="shared" si="716"/>
        <v>-0.14213063593550201</v>
      </c>
      <c r="CT136" s="563">
        <f t="shared" ca="1" si="716"/>
        <v>5.8096113805746752E-2</v>
      </c>
      <c r="CU136" s="1065">
        <f t="shared" ca="1" si="716"/>
        <v>0.12091275772458987</v>
      </c>
      <c r="CV136" s="1065">
        <f t="shared" ca="1" si="716"/>
        <v>-1.7464418747484611E-2</v>
      </c>
      <c r="CW136" s="1065">
        <f t="shared" ca="1" si="716"/>
        <v>-0.23868407721550777</v>
      </c>
      <c r="CX136" s="563">
        <f t="shared" ca="1" si="716"/>
        <v>-0.11049386674994077</v>
      </c>
      <c r="CY136" s="1065">
        <f t="shared" ca="1" si="716"/>
        <v>-0.15469647183011481</v>
      </c>
      <c r="CZ136" s="1065">
        <f t="shared" ca="1" si="716"/>
        <v>9.6078306017074677E-2</v>
      </c>
      <c r="DA136" s="1065">
        <f t="shared" ca="1" si="716"/>
        <v>0.62853808244813347</v>
      </c>
      <c r="DB136" s="563">
        <f t="shared" ca="1" si="716"/>
        <v>0.17832225866019757</v>
      </c>
      <c r="DC136" s="1065">
        <f t="shared" ca="1" si="716"/>
        <v>0.13200248077321564</v>
      </c>
      <c r="DD136" s="1065">
        <f t="shared" ca="1" si="716"/>
        <v>3.049295972142696E-2</v>
      </c>
      <c r="DE136" s="1065">
        <f t="shared" ca="1" si="716"/>
        <v>9.6310916229955801E-3</v>
      </c>
      <c r="DF136" s="563">
        <f t="shared" ca="1" si="716"/>
        <v>-4.6067503229438311E-2</v>
      </c>
      <c r="DG136" s="1065">
        <f t="shared" ca="1" si="716"/>
        <v>0.10772410385754783</v>
      </c>
      <c r="DH136" s="1065">
        <f t="shared" ca="1" si="716"/>
        <v>0.11436593804428963</v>
      </c>
      <c r="DI136" s="564">
        <f t="shared" ca="1" si="716"/>
        <v>0.15254478540668082</v>
      </c>
      <c r="DJ136" s="563">
        <f t="shared" ca="1" si="716"/>
        <v>-1.4320145528853967E-2</v>
      </c>
      <c r="DK136" s="1065">
        <f t="shared" ca="1" si="716"/>
        <v>-0.17188481255923116</v>
      </c>
      <c r="DL136" s="1065">
        <f t="shared" ca="1" si="716"/>
        <v>-0.18581541609939778</v>
      </c>
      <c r="DM136" s="564">
        <f t="shared" ca="1" si="716"/>
        <v>-0.28033381625981102</v>
      </c>
      <c r="DN136" s="1065">
        <f t="shared" ca="1" si="716"/>
        <v>-3.1473006238075696E-2</v>
      </c>
      <c r="DO136" s="1065">
        <f t="shared" ca="1" si="716"/>
        <v>3.2097948519220765E-2</v>
      </c>
      <c r="DP136" s="1065">
        <f t="shared" ca="1" si="716"/>
        <v>6.6249999792274084E-2</v>
      </c>
      <c r="DQ136" s="564">
        <f t="shared" ca="1" si="716"/>
        <v>9.876369086612713E-2</v>
      </c>
      <c r="DR136" s="563">
        <f t="shared" ca="1" si="716"/>
        <v>0.11064074242235544</v>
      </c>
      <c r="DS136" s="1065">
        <f t="shared" ca="1" si="716"/>
        <v>2.6458116214187477E-3</v>
      </c>
      <c r="DT136" s="1065">
        <f t="shared" ca="1" si="716"/>
        <v>-4.4093973497265182E-2</v>
      </c>
      <c r="DU136" s="564">
        <f t="shared" ca="1" si="716"/>
        <v>-4.6055775017129763E-2</v>
      </c>
      <c r="DV136" s="1065">
        <f t="shared" ca="1" si="716"/>
        <v>-4.7916955163917141E-2</v>
      </c>
      <c r="DW136" s="1065">
        <f t="shared" ref="DW136" ca="1" si="717">DW135/DS135-1</f>
        <v>-6.8562544790923385E-2</v>
      </c>
      <c r="DX136" s="1065">
        <f t="shared" ref="DX136" ca="1" si="718">DX135/DT135-1</f>
        <v>-5.6844903664847624E-2</v>
      </c>
      <c r="DY136" s="564">
        <f t="shared" ref="DY136" ca="1" si="719">DY135/DU135-1</f>
        <v>-3.6503851131697629E-2</v>
      </c>
    </row>
    <row r="137" spans="1:129" s="1840" customFormat="1" ht="15" hidden="1" customHeight="1" outlineLevel="1">
      <c r="A137" s="1397" t="s">
        <v>1612</v>
      </c>
      <c r="B137" s="1383"/>
      <c r="C137" s="1383"/>
      <c r="D137" s="1379"/>
      <c r="E137" s="1379"/>
      <c r="F137" s="1379"/>
      <c r="G137" s="1396"/>
      <c r="H137" s="1379"/>
      <c r="I137" s="1379"/>
      <c r="J137" s="1379"/>
      <c r="K137" s="1379"/>
      <c r="L137" s="1379"/>
      <c r="M137" s="1379"/>
      <c r="N137" s="1379"/>
      <c r="O137" s="1383"/>
      <c r="P137" s="1068"/>
      <c r="Q137" s="1113">
        <f ca="1">SUM(CL137:CO137)</f>
        <v>18451.141</v>
      </c>
      <c r="R137" s="1113">
        <f ca="1">SUM(CP137:CS137)</f>
        <v>16290.5136</v>
      </c>
      <c r="S137" s="1113">
        <f>SUM(CT137:CW137)</f>
        <v>18178.725700000003</v>
      </c>
      <c r="T137" s="1113">
        <f>SUM(CX137:DA137)</f>
        <v>19451.534800000001</v>
      </c>
      <c r="U137" s="1113">
        <f>SUM(DB137:DE137)</f>
        <v>19738.85555</v>
      </c>
      <c r="V137" s="1113">
        <f>SUM(DF137:DI137)</f>
        <v>22251.7287</v>
      </c>
      <c r="W137" s="1113">
        <f>SUM(DJ137:DM137)</f>
        <v>20185.565750000002</v>
      </c>
      <c r="X137" s="1113">
        <f>SUM(DN137:DQ137)</f>
        <v>19265.899300000001</v>
      </c>
      <c r="Y137" s="1113">
        <f>SUM(DR137:DU137)</f>
        <v>19250.185000000001</v>
      </c>
      <c r="Z137" s="1113">
        <f>SUM(DS137:DV137)</f>
        <v>19204.961200000002</v>
      </c>
      <c r="AA137" s="1834">
        <f>+AA257+AA289</f>
        <v>17947.109731215001</v>
      </c>
      <c r="AB137" s="1834">
        <f>+AB257+AB289</f>
        <v>17588.167536590699</v>
      </c>
      <c r="AC137" s="1834">
        <f t="shared" ref="AC137:AG137" si="720">+AC257+AC289</f>
        <v>17236.404185858886</v>
      </c>
      <c r="AD137" s="1834">
        <f t="shared" si="720"/>
        <v>16891.676102141708</v>
      </c>
      <c r="AE137" s="1834">
        <f t="shared" si="720"/>
        <v>16553.842580098873</v>
      </c>
      <c r="AF137" s="1834">
        <f t="shared" si="720"/>
        <v>16222.765728496895</v>
      </c>
      <c r="AG137" s="1834">
        <f t="shared" si="720"/>
        <v>15898.310413926956</v>
      </c>
      <c r="AH137" s="2220"/>
      <c r="AI137" s="1928">
        <f>(AA137/V137)^(1/5)-1</f>
        <v>-4.208681207841114E-2</v>
      </c>
      <c r="AJ137" s="2221"/>
      <c r="AK137" s="1381"/>
      <c r="AL137" s="1381"/>
      <c r="AM137" s="1330"/>
      <c r="AN137" s="1381"/>
      <c r="AO137" s="1381"/>
      <c r="AP137" s="1080"/>
      <c r="AQ137" s="1381"/>
      <c r="AR137" s="1381"/>
      <c r="AS137" s="1381"/>
      <c r="AT137" s="1080"/>
      <c r="AU137" s="1381"/>
      <c r="AV137" s="1381"/>
      <c r="AW137" s="1381"/>
      <c r="AX137" s="1080"/>
      <c r="AY137" s="1381"/>
      <c r="AZ137" s="1381"/>
      <c r="BA137" s="1381"/>
      <c r="BB137" s="1080"/>
      <c r="BC137" s="1381"/>
      <c r="BD137" s="1381"/>
      <c r="BE137" s="1381"/>
      <c r="BF137" s="1080"/>
      <c r="BG137" s="1381"/>
      <c r="BH137" s="1381"/>
      <c r="BI137" s="1381"/>
      <c r="BJ137" s="1080"/>
      <c r="BK137" s="1381"/>
      <c r="BL137" s="1381"/>
      <c r="BM137" s="1381"/>
      <c r="BN137" s="1080"/>
      <c r="BO137" s="1381"/>
      <c r="BP137" s="1381"/>
      <c r="BQ137" s="1381"/>
      <c r="BR137" s="1080"/>
      <c r="BS137" s="1381"/>
      <c r="BT137" s="1381"/>
      <c r="BU137" s="1381"/>
      <c r="BV137" s="1080"/>
      <c r="BW137" s="1381"/>
      <c r="BX137" s="1381"/>
      <c r="BY137" s="1381"/>
      <c r="BZ137" s="1836"/>
      <c r="CA137" s="1837"/>
      <c r="CB137" s="1837"/>
      <c r="CC137" s="1837"/>
      <c r="CD137" s="483"/>
      <c r="CE137" s="1383"/>
      <c r="CF137" s="1383"/>
      <c r="CG137" s="1383"/>
      <c r="CH137" s="1838">
        <f t="shared" ref="CH137:DJ137" si="721">+CH257+CH289</f>
        <v>4351.0035554499991</v>
      </c>
      <c r="CI137" s="1834">
        <f t="shared" si="721"/>
        <v>4422.1868000000004</v>
      </c>
      <c r="CJ137" s="1834">
        <f t="shared" si="721"/>
        <v>5078.6594500000001</v>
      </c>
      <c r="CK137" s="1834">
        <f t="shared" si="721"/>
        <v>5009.4010500000004</v>
      </c>
      <c r="CL137" s="1838">
        <f t="shared" si="721"/>
        <v>4727.4567999999999</v>
      </c>
      <c r="CM137" s="1834">
        <f t="shared" si="721"/>
        <v>4417.5851999999995</v>
      </c>
      <c r="CN137" s="1834">
        <f t="shared" ca="1" si="721"/>
        <v>4585.1260000000002</v>
      </c>
      <c r="CO137" s="1834">
        <f t="shared" ca="1" si="721"/>
        <v>4720.973</v>
      </c>
      <c r="CP137" s="1838">
        <f t="shared" si="721"/>
        <v>3911.7080000000001</v>
      </c>
      <c r="CQ137" s="1834">
        <f t="shared" si="721"/>
        <v>3838.6581500000002</v>
      </c>
      <c r="CR137" s="1834">
        <f t="shared" ca="1" si="721"/>
        <v>4155.9195</v>
      </c>
      <c r="CS137" s="1834">
        <f t="shared" ca="1" si="721"/>
        <v>4384.2279500000004</v>
      </c>
      <c r="CT137" s="1838">
        <f t="shared" si="721"/>
        <v>4389.1825499999995</v>
      </c>
      <c r="CU137" s="1834">
        <f t="shared" si="721"/>
        <v>4578.1267000000007</v>
      </c>
      <c r="CV137" s="1834">
        <f t="shared" si="721"/>
        <v>4378.3726999999999</v>
      </c>
      <c r="CW137" s="1834">
        <f t="shared" si="721"/>
        <v>4833.0437500000007</v>
      </c>
      <c r="CX137" s="1838">
        <f t="shared" si="721"/>
        <v>4177.8829999999998</v>
      </c>
      <c r="CY137" s="1834">
        <f t="shared" si="721"/>
        <v>4293.9143000000004</v>
      </c>
      <c r="CZ137" s="1834">
        <f t="shared" si="721"/>
        <v>5126.9380999999994</v>
      </c>
      <c r="DA137" s="1834">
        <f t="shared" si="721"/>
        <v>5852.7993999999999</v>
      </c>
      <c r="DB137" s="1838">
        <f t="shared" si="721"/>
        <v>4564.62</v>
      </c>
      <c r="DC137" s="1834">
        <f t="shared" si="721"/>
        <v>4710.5463</v>
      </c>
      <c r="DD137" s="1834">
        <f t="shared" si="721"/>
        <v>4925.4608000000007</v>
      </c>
      <c r="DE137" s="1834">
        <f t="shared" si="721"/>
        <v>5538.2284500000005</v>
      </c>
      <c r="DF137" s="1838">
        <f t="shared" si="721"/>
        <v>4784.9509500000004</v>
      </c>
      <c r="DG137" s="1834">
        <f t="shared" si="721"/>
        <v>5326.3812500000004</v>
      </c>
      <c r="DH137" s="1834">
        <f t="shared" si="721"/>
        <v>5603.8445499999998</v>
      </c>
      <c r="DI137" s="1835">
        <f t="shared" si="721"/>
        <v>6536.55195</v>
      </c>
      <c r="DJ137" s="1838">
        <f t="shared" si="721"/>
        <v>4702.0203499999998</v>
      </c>
      <c r="DK137" s="1834">
        <f t="shared" ref="DK137:DM137" si="722">+DK257+DK289</f>
        <v>4868.9009999999998</v>
      </c>
      <c r="DL137" s="1834">
        <f t="shared" si="722"/>
        <v>5207.5902000000006</v>
      </c>
      <c r="DM137" s="1835">
        <f t="shared" si="722"/>
        <v>5407.0542000000005</v>
      </c>
      <c r="DN137" s="1834">
        <f t="shared" ref="DN137:DO137" si="723">+DN257+DN289</f>
        <v>4608.36445</v>
      </c>
      <c r="DO137" s="1834">
        <f t="shared" si="723"/>
        <v>4614.2269500000002</v>
      </c>
      <c r="DP137" s="1834">
        <f t="shared" ref="DP137:DQ137" si="724">+DP257+DP289</f>
        <v>4880.1360000000004</v>
      </c>
      <c r="DQ137" s="1835">
        <f t="shared" si="724"/>
        <v>5163.1719000000003</v>
      </c>
      <c r="DR137" s="1838">
        <f t="shared" ref="DR137" si="725">+DR257+DR289</f>
        <v>4433.0526</v>
      </c>
      <c r="DS137" s="1834">
        <f t="shared" ref="DS137:DT137" si="726">+DS257+DS289</f>
        <v>4676.5473000000002</v>
      </c>
      <c r="DT137" s="1834">
        <f t="shared" si="726"/>
        <v>4844.1085000000003</v>
      </c>
      <c r="DU137" s="1835">
        <f t="shared" ref="DU137" si="727">+DU257+DU289</f>
        <v>5296.4766</v>
      </c>
      <c r="DV137" s="1834">
        <f t="shared" ref="DV137" si="728">+DV257+DV289</f>
        <v>4387.8288000000002</v>
      </c>
      <c r="DW137" s="1834">
        <f t="shared" ref="DW137:DY137" si="729">+DW257+DW289</f>
        <v>4304.4734179999996</v>
      </c>
      <c r="DX137" s="1834">
        <f t="shared" si="729"/>
        <v>4532.2947787500007</v>
      </c>
      <c r="DY137" s="1835">
        <f t="shared" si="729"/>
        <v>5088.7802799999999</v>
      </c>
    </row>
    <row r="138" spans="1:129" s="1491" customFormat="1" ht="15" hidden="1" customHeight="1" outlineLevel="1">
      <c r="A138" s="1457" t="s">
        <v>1453</v>
      </c>
      <c r="B138" s="1495"/>
      <c r="C138" s="1495"/>
      <c r="D138" s="1495"/>
      <c r="E138" s="1495"/>
      <c r="F138" s="1495"/>
      <c r="G138" s="1495"/>
      <c r="H138" s="1495"/>
      <c r="I138" s="1495"/>
      <c r="J138" s="1495"/>
      <c r="K138" s="1495"/>
      <c r="L138" s="1495"/>
      <c r="M138" s="1495"/>
      <c r="N138" s="1495"/>
      <c r="O138" s="1495"/>
      <c r="P138" s="1065"/>
      <c r="Q138" s="1065"/>
      <c r="R138" s="1065">
        <f t="shared" ref="R138:AB138" ca="1" si="730">R137/Q137-1</f>
        <v>-0.11709993436178279</v>
      </c>
      <c r="S138" s="1065">
        <f t="shared" ca="1" si="730"/>
        <v>0.11590869056455055</v>
      </c>
      <c r="T138" s="1065">
        <f t="shared" si="730"/>
        <v>7.0016409346008057E-2</v>
      </c>
      <c r="U138" s="1065">
        <f t="shared" si="730"/>
        <v>1.4771109475638866E-2</v>
      </c>
      <c r="V138" s="1065">
        <f t="shared" si="730"/>
        <v>0.12730591921272749</v>
      </c>
      <c r="W138" s="1065">
        <f>W137/V137-1</f>
        <v>-9.2854041942368237E-2</v>
      </c>
      <c r="X138" s="1065">
        <f>X137/W137-1</f>
        <v>-4.5560598171492939E-2</v>
      </c>
      <c r="Y138" s="1065">
        <f>Y137/X137-1</f>
        <v>-8.1565359370483481E-4</v>
      </c>
      <c r="Z138" s="1065">
        <f>Z137/Y137-1</f>
        <v>-2.3492657343292533E-3</v>
      </c>
      <c r="AA138" s="1065">
        <f t="shared" si="730"/>
        <v>-6.5496173394247736E-2</v>
      </c>
      <c r="AB138" s="1065">
        <f t="shared" si="730"/>
        <v>-2.0000000000000129E-2</v>
      </c>
      <c r="AC138" s="1065">
        <f t="shared" ref="AC138" si="731">AC137/AB137-1</f>
        <v>-1.9999999999999907E-2</v>
      </c>
      <c r="AD138" s="1065">
        <f t="shared" ref="AD138" si="732">AD137/AC137-1</f>
        <v>-2.0000000000000018E-2</v>
      </c>
      <c r="AE138" s="1065">
        <f t="shared" ref="AE138" si="733">AE137/AD137-1</f>
        <v>-2.0000000000000018E-2</v>
      </c>
      <c r="AF138" s="1065">
        <f t="shared" ref="AF138" si="734">AF137/AE137-1</f>
        <v>-2.0000000000000018E-2</v>
      </c>
      <c r="AG138" s="1065">
        <f t="shared" ref="AG138" si="735">AG137/AF137-1</f>
        <v>-2.0000000000000129E-2</v>
      </c>
      <c r="AH138" s="2201"/>
      <c r="AI138" s="1927"/>
      <c r="AJ138" s="1561"/>
      <c r="AK138" s="1324"/>
      <c r="AL138" s="1324"/>
      <c r="AM138" s="1324"/>
      <c r="AN138" s="1324"/>
      <c r="AO138" s="1324"/>
      <c r="AP138" s="1325"/>
      <c r="AQ138" s="1324"/>
      <c r="AR138" s="1324"/>
      <c r="AS138" s="1324"/>
      <c r="AT138" s="1325"/>
      <c r="AU138" s="1324"/>
      <c r="AV138" s="1324"/>
      <c r="AW138" s="1324"/>
      <c r="AX138" s="1325"/>
      <c r="AY138" s="1324"/>
      <c r="AZ138" s="1324"/>
      <c r="BA138" s="1324"/>
      <c r="BB138" s="1325"/>
      <c r="BC138" s="1324"/>
      <c r="BD138" s="1324"/>
      <c r="BE138" s="1324"/>
      <c r="BF138" s="1325"/>
      <c r="BG138" s="1324"/>
      <c r="BH138" s="1324"/>
      <c r="BI138" s="1324"/>
      <c r="BJ138" s="1325"/>
      <c r="BK138" s="1324"/>
      <c r="BL138" s="1324"/>
      <c r="BM138" s="1324"/>
      <c r="BN138" s="1325"/>
      <c r="BO138" s="1324"/>
      <c r="BP138" s="1324"/>
      <c r="BQ138" s="1324"/>
      <c r="BR138" s="1325"/>
      <c r="BS138" s="1324"/>
      <c r="BT138" s="1324"/>
      <c r="BU138" s="1324"/>
      <c r="BV138" s="1325"/>
      <c r="BW138" s="1324"/>
      <c r="BX138" s="1324"/>
      <c r="BY138" s="1324"/>
      <c r="BZ138" s="494"/>
      <c r="CA138" s="1384"/>
      <c r="CB138" s="1384"/>
      <c r="CC138" s="1384"/>
      <c r="CD138" s="1501"/>
      <c r="CE138" s="1495"/>
      <c r="CF138" s="1495"/>
      <c r="CG138" s="1495"/>
      <c r="CH138" s="563"/>
      <c r="CI138" s="1065"/>
      <c r="CJ138" s="1065"/>
      <c r="CK138" s="1065"/>
      <c r="CL138" s="563">
        <f t="shared" ref="CL138:DV138" si="736">CL137/CH137-1</f>
        <v>8.6521015152575931E-2</v>
      </c>
      <c r="CM138" s="1065">
        <f t="shared" si="736"/>
        <v>-1.0405711490977243E-3</v>
      </c>
      <c r="CN138" s="1065">
        <f t="shared" ca="1" si="736"/>
        <v>-9.7177897998260154E-2</v>
      </c>
      <c r="CO138" s="1065">
        <f t="shared" ca="1" si="736"/>
        <v>-5.7577352486082201E-2</v>
      </c>
      <c r="CP138" s="563">
        <f t="shared" si="736"/>
        <v>-0.17255552710709066</v>
      </c>
      <c r="CQ138" s="1065">
        <f t="shared" si="736"/>
        <v>-0.13105056807959226</v>
      </c>
      <c r="CR138" s="1065">
        <f t="shared" ca="1" si="736"/>
        <v>-9.3608441730936076E-2</v>
      </c>
      <c r="CS138" s="1065">
        <f t="shared" ca="1" si="736"/>
        <v>-7.1329586083207719E-2</v>
      </c>
      <c r="CT138" s="563">
        <f t="shared" si="736"/>
        <v>0.12206293261153434</v>
      </c>
      <c r="CU138" s="1065">
        <f t="shared" si="736"/>
        <v>0.19263725007656651</v>
      </c>
      <c r="CV138" s="1065">
        <f t="shared" ca="1" si="736"/>
        <v>5.3526830825284311E-2</v>
      </c>
      <c r="CW138" s="1065">
        <f t="shared" ca="1" si="736"/>
        <v>0.10237054394035328</v>
      </c>
      <c r="CX138" s="563">
        <f t="shared" si="736"/>
        <v>-4.8140980146747281E-2</v>
      </c>
      <c r="CY138" s="1065">
        <f t="shared" si="736"/>
        <v>-6.2080501179663794E-2</v>
      </c>
      <c r="CZ138" s="1065">
        <f t="shared" si="736"/>
        <v>0.17096886247258025</v>
      </c>
      <c r="DA138" s="1065">
        <f t="shared" si="736"/>
        <v>0.21099656919099874</v>
      </c>
      <c r="DB138" s="563">
        <f t="shared" si="736"/>
        <v>9.2567695170017839E-2</v>
      </c>
      <c r="DC138" s="1065">
        <f t="shared" si="736"/>
        <v>9.7028485174937007E-2</v>
      </c>
      <c r="DD138" s="1065">
        <f t="shared" si="736"/>
        <v>-3.929778282285068E-2</v>
      </c>
      <c r="DE138" s="1065">
        <f t="shared" si="736"/>
        <v>-5.3747092374291761E-2</v>
      </c>
      <c r="DF138" s="563">
        <f t="shared" si="736"/>
        <v>4.8269286380903775E-2</v>
      </c>
      <c r="DG138" s="1065">
        <f t="shared" si="736"/>
        <v>0.13073535653391199</v>
      </c>
      <c r="DH138" s="1065">
        <f t="shared" si="736"/>
        <v>0.13773000690615556</v>
      </c>
      <c r="DI138" s="564">
        <f t="shared" si="736"/>
        <v>0.18026044050241352</v>
      </c>
      <c r="DJ138" s="563">
        <f t="shared" si="736"/>
        <v>-1.7331546522958763E-2</v>
      </c>
      <c r="DK138" s="1065">
        <f t="shared" si="736"/>
        <v>-8.5889505187034865E-2</v>
      </c>
      <c r="DL138" s="1065">
        <f t="shared" si="736"/>
        <v>-7.0711160251581084E-2</v>
      </c>
      <c r="DM138" s="564">
        <f t="shared" si="736"/>
        <v>-0.17279718093573782</v>
      </c>
      <c r="DN138" s="1065">
        <f t="shared" si="736"/>
        <v>-1.9918225151875357E-2</v>
      </c>
      <c r="DO138" s="1065">
        <f t="shared" si="736"/>
        <v>-5.2306269936480465E-2</v>
      </c>
      <c r="DP138" s="1065">
        <f t="shared" si="736"/>
        <v>-6.2880178244440255E-2</v>
      </c>
      <c r="DQ138" s="564">
        <f t="shared" si="736"/>
        <v>-4.5104467419616379E-2</v>
      </c>
      <c r="DR138" s="563">
        <f t="shared" si="736"/>
        <v>-3.8042097560230914E-2</v>
      </c>
      <c r="DS138" s="1065">
        <f t="shared" si="736"/>
        <v>1.3506130208875033E-2</v>
      </c>
      <c r="DT138" s="1065">
        <f t="shared" si="736"/>
        <v>-7.3824786850202884E-3</v>
      </c>
      <c r="DU138" s="564">
        <f t="shared" si="736"/>
        <v>2.5818373391751637E-2</v>
      </c>
      <c r="DV138" s="1065">
        <f t="shared" si="736"/>
        <v>-1.020150313578494E-2</v>
      </c>
      <c r="DW138" s="1065">
        <f t="shared" ref="DW138" si="737">DW137/DS137-1</f>
        <v>-7.9561663366475632E-2</v>
      </c>
      <c r="DX138" s="1065">
        <f t="shared" ref="DX138" si="738">DX137/DT137-1</f>
        <v>-6.4369681490412445E-2</v>
      </c>
      <c r="DY138" s="564">
        <f t="shared" ref="DY138" si="739">DY137/DU137-1</f>
        <v>-3.9214054112879482E-2</v>
      </c>
    </row>
    <row r="139" spans="1:129" s="1491" customFormat="1" ht="15" hidden="1" customHeight="1" outlineLevel="1">
      <c r="A139" s="1457" t="s">
        <v>1488</v>
      </c>
      <c r="B139" s="1495"/>
      <c r="C139" s="1495"/>
      <c r="D139" s="1495"/>
      <c r="E139" s="1495"/>
      <c r="F139" s="1495"/>
      <c r="G139" s="1495"/>
      <c r="H139" s="1495"/>
      <c r="I139" s="1495"/>
      <c r="J139" s="1495"/>
      <c r="K139" s="1495"/>
      <c r="L139" s="1495"/>
      <c r="M139" s="1495"/>
      <c r="N139" s="1495"/>
      <c r="O139" s="1495"/>
      <c r="P139" s="1065"/>
      <c r="Q139" s="1065">
        <f t="shared" ref="Q139:V139" ca="1" si="740">+Q137/Q$135</f>
        <v>0.8903378381883299</v>
      </c>
      <c r="R139" s="1065">
        <f t="shared" ca="1" si="740"/>
        <v>0.76205448154286115</v>
      </c>
      <c r="S139" s="1065">
        <f t="shared" ca="1" si="740"/>
        <v>0.86572156434568492</v>
      </c>
      <c r="T139" s="1065">
        <f t="shared" ca="1" si="740"/>
        <v>0.86680612460035378</v>
      </c>
      <c r="U139" s="1065">
        <f t="shared" ca="1" si="740"/>
        <v>0.81351086741443002</v>
      </c>
      <c r="V139" s="1065">
        <f t="shared" ca="1" si="740"/>
        <v>0.84682480137831939</v>
      </c>
      <c r="W139" s="1065">
        <f t="shared" ref="W139:AB139" ca="1" si="741">+W137/W$135</f>
        <v>0.92753897972772403</v>
      </c>
      <c r="X139" s="1065">
        <f t="shared" ca="1" si="741"/>
        <v>0.85082326923865903</v>
      </c>
      <c r="Y139" s="1065">
        <f t="shared" ca="1" si="741"/>
        <v>0.84645524770090641</v>
      </c>
      <c r="Z139" s="1065">
        <f t="shared" ca="1" si="741"/>
        <v>0.85553509630642288</v>
      </c>
      <c r="AA139" s="1065">
        <f t="shared" ca="1" si="741"/>
        <v>0.87354940532099179</v>
      </c>
      <c r="AB139" s="1065">
        <f t="shared" ca="1" si="741"/>
        <v>0.87130090496228074</v>
      </c>
      <c r="AC139" s="1065">
        <f t="shared" ref="AC139:AG139" ca="1" si="742">+AC137/AC$135</f>
        <v>0.86901841753558806</v>
      </c>
      <c r="AD139" s="1065">
        <f t="shared" ca="1" si="742"/>
        <v>0.86670164299021324</v>
      </c>
      <c r="AE139" s="1065">
        <f t="shared" ca="1" si="742"/>
        <v>0.86435028639719935</v>
      </c>
      <c r="AF139" s="1065">
        <f t="shared" ca="1" si="742"/>
        <v>0.86196405828205913</v>
      </c>
      <c r="AG139" s="1065">
        <f t="shared" ca="1" si="742"/>
        <v>0.85954267496398951</v>
      </c>
      <c r="AH139" s="2201"/>
      <c r="AI139" s="1927"/>
      <c r="AJ139" s="1561"/>
      <c r="AK139" s="1324"/>
      <c r="AL139" s="1324"/>
      <c r="AM139" s="1324"/>
      <c r="AN139" s="1324"/>
      <c r="AO139" s="1324"/>
      <c r="AP139" s="1325"/>
      <c r="AQ139" s="1324"/>
      <c r="AR139" s="1324"/>
      <c r="AS139" s="1324"/>
      <c r="AT139" s="1325"/>
      <c r="AU139" s="1324"/>
      <c r="AV139" s="1324"/>
      <c r="AW139" s="1324"/>
      <c r="AX139" s="1325"/>
      <c r="AY139" s="1324"/>
      <c r="AZ139" s="1324"/>
      <c r="BA139" s="1324"/>
      <c r="BB139" s="1325"/>
      <c r="BC139" s="1324"/>
      <c r="BD139" s="1324"/>
      <c r="BE139" s="1324"/>
      <c r="BF139" s="1325"/>
      <c r="BG139" s="1324"/>
      <c r="BH139" s="1324"/>
      <c r="BI139" s="1324"/>
      <c r="BJ139" s="1325"/>
      <c r="BK139" s="1324"/>
      <c r="BL139" s="1324"/>
      <c r="BM139" s="1324"/>
      <c r="BN139" s="1325"/>
      <c r="BO139" s="1324"/>
      <c r="BP139" s="1324"/>
      <c r="BQ139" s="1324"/>
      <c r="BR139" s="1325"/>
      <c r="BS139" s="1324"/>
      <c r="BT139" s="1324"/>
      <c r="BU139" s="1324"/>
      <c r="BV139" s="1325"/>
      <c r="BW139" s="1324"/>
      <c r="BX139" s="1324"/>
      <c r="BY139" s="1324"/>
      <c r="BZ139" s="494"/>
      <c r="CA139" s="1384"/>
      <c r="CB139" s="1384"/>
      <c r="CC139" s="1384"/>
      <c r="CD139" s="1501"/>
      <c r="CE139" s="1495"/>
      <c r="CF139" s="1495"/>
      <c r="CG139" s="1495"/>
      <c r="CH139" s="563">
        <f t="shared" ref="CH139:DE139" si="743">+CH137/CH135</f>
        <v>0.92132497194959184</v>
      </c>
      <c r="CI139" s="1065">
        <f t="shared" si="743"/>
        <v>0.91713673296429299</v>
      </c>
      <c r="CJ139" s="1065">
        <f t="shared" si="743"/>
        <v>0.93610570007434879</v>
      </c>
      <c r="CK139" s="1065">
        <f t="shared" si="743"/>
        <v>0.92948224320790107</v>
      </c>
      <c r="CL139" s="563">
        <f t="shared" si="743"/>
        <v>0.95976888188695009</v>
      </c>
      <c r="CM139" s="1065">
        <f t="shared" si="743"/>
        <v>0.96712266688208925</v>
      </c>
      <c r="CN139" s="1065">
        <f t="shared" ca="1" si="743"/>
        <v>0.89273844695309923</v>
      </c>
      <c r="CO139" s="1065">
        <f t="shared" ca="1" si="743"/>
        <v>0.77464780643624598</v>
      </c>
      <c r="CP139" s="563">
        <f t="shared" si="743"/>
        <v>0.71458656035630874</v>
      </c>
      <c r="CQ139" s="1065">
        <f t="shared" si="743"/>
        <v>0.72021119508434139</v>
      </c>
      <c r="CR139" s="1065">
        <f t="shared" ca="1" si="743"/>
        <v>0.77754097492056251</v>
      </c>
      <c r="CS139" s="1065">
        <f t="shared" ca="1" si="743"/>
        <v>0.83858047527711566</v>
      </c>
      <c r="CT139" s="563">
        <f t="shared" ca="1" si="743"/>
        <v>0.75778663304436955</v>
      </c>
      <c r="CU139" s="1065">
        <f t="shared" ca="1" si="743"/>
        <v>0.76629576500082286</v>
      </c>
      <c r="CV139" s="1065">
        <f t="shared" ca="1" si="743"/>
        <v>0.83372072704035216</v>
      </c>
      <c r="CW139" s="1065">
        <f t="shared" ca="1" si="743"/>
        <v>1.2142481025326903</v>
      </c>
      <c r="CX139" s="563">
        <f t="shared" ca="1" si="743"/>
        <v>0.81090620381898537</v>
      </c>
      <c r="CY139" s="1065">
        <f t="shared" ca="1" si="743"/>
        <v>0.85025522301294842</v>
      </c>
      <c r="CZ139" s="1065">
        <f t="shared" ca="1" si="743"/>
        <v>0.8906854610687327</v>
      </c>
      <c r="DA139" s="1065">
        <f t="shared" ca="1" si="743"/>
        <v>0.90292655858761584</v>
      </c>
      <c r="DB139" s="563">
        <f t="shared" ca="1" si="743"/>
        <v>0.75189101758373222</v>
      </c>
      <c r="DC139" s="1065">
        <f t="shared" ca="1" si="743"/>
        <v>0.82398600281940559</v>
      </c>
      <c r="DD139" s="1065">
        <f t="shared" ca="1" si="743"/>
        <v>0.83036326370196645</v>
      </c>
      <c r="DE139" s="1065">
        <f t="shared" ca="1" si="743"/>
        <v>0.84624660286813402</v>
      </c>
      <c r="DF139" s="563">
        <f ca="1">+DF137/DF135</f>
        <v>0.82624741594088214</v>
      </c>
      <c r="DG139" s="1065">
        <f ca="1">+DG137/DG135</f>
        <v>0.84110303588443946</v>
      </c>
      <c r="DH139" s="1065">
        <f ca="1">+DH137/DH135</f>
        <v>0.84777286301863675</v>
      </c>
      <c r="DI139" s="564">
        <f ca="1">+DI137/DI135</f>
        <v>0.86659659643715004</v>
      </c>
      <c r="DJ139" s="563">
        <f t="shared" ref="DJ139:DM139" ca="1" si="744">+DJ137/DJ135</f>
        <v>0.82372310515330305</v>
      </c>
      <c r="DK139" s="1065">
        <f t="shared" ca="1" si="744"/>
        <v>0.92844706144941336</v>
      </c>
      <c r="DL139" s="1065">
        <f t="shared" ca="1" si="744"/>
        <v>0.96762561687235782</v>
      </c>
      <c r="DM139" s="564">
        <f t="shared" ca="1" si="744"/>
        <v>0.99608841399042314</v>
      </c>
      <c r="DN139" s="1065">
        <f t="shared" ref="DN139:DO139" ca="1" si="745">+DN137/DN135</f>
        <v>0.83355033786544697</v>
      </c>
      <c r="DO139" s="1065">
        <f t="shared" ca="1" si="745"/>
        <v>0.85251933703957206</v>
      </c>
      <c r="DP139" s="1065">
        <f t="shared" ref="DP139:DQ139" ca="1" si="746">+DP137/DP135</f>
        <v>0.85043952711483783</v>
      </c>
      <c r="DQ139" s="564">
        <f t="shared" ca="1" si="746"/>
        <v>0.86566418646830201</v>
      </c>
      <c r="DR139" s="563">
        <f t="shared" ref="DR139" ca="1" si="747">+DR137/DR135</f>
        <v>0.72196193058986624</v>
      </c>
      <c r="DS139" s="1065">
        <f t="shared" ref="DS139:DT139" ca="1" si="748">+DS137/DS135</f>
        <v>0.86175353668904164</v>
      </c>
      <c r="DT139" s="1065">
        <f t="shared" ca="1" si="748"/>
        <v>0.88310058941824099</v>
      </c>
      <c r="DU139" s="564">
        <f t="shared" ref="DU139" ca="1" si="749">+DU137/DU135</f>
        <v>0.93088694748621525</v>
      </c>
      <c r="DV139" s="1065">
        <f t="shared" ref="DV139" ca="1" si="750">+DV137/DV135</f>
        <v>0.75056145319137191</v>
      </c>
      <c r="DW139" s="1065">
        <f t="shared" ref="DW139:DY139" ca="1" si="751">+DW137/DW135</f>
        <v>0.85157729857457076</v>
      </c>
      <c r="DX139" s="1065">
        <f t="shared" ca="1" si="751"/>
        <v>0.87605494468937428</v>
      </c>
      <c r="DY139" s="564">
        <f t="shared" ca="1" si="751"/>
        <v>0.92826847040856042</v>
      </c>
    </row>
    <row r="140" spans="1:129" s="1491" customFormat="1" ht="15" hidden="1" customHeight="1" outlineLevel="1">
      <c r="A140" s="1395" t="s">
        <v>1491</v>
      </c>
      <c r="B140" s="1064"/>
      <c r="C140" s="1064"/>
      <c r="D140" s="1070"/>
      <c r="E140" s="1070"/>
      <c r="F140" s="1070"/>
      <c r="G140" s="1064"/>
      <c r="H140" s="1064"/>
      <c r="I140" s="1064"/>
      <c r="J140" s="1064"/>
      <c r="K140" s="1064"/>
      <c r="L140" s="1070"/>
      <c r="M140" s="1070"/>
      <c r="N140" s="1070"/>
      <c r="O140" s="1070"/>
      <c r="P140" s="1070"/>
      <c r="Q140" s="1070">
        <f ca="1">SUM(CL140:CO140)</f>
        <v>2272.6115000000018</v>
      </c>
      <c r="R140" s="1070">
        <f ca="1">SUM(CP140:CS140)</f>
        <v>5086.5847499999982</v>
      </c>
      <c r="S140" s="1070">
        <f ca="1">SUM(CT140:CW140)</f>
        <v>2819.6257893030779</v>
      </c>
      <c r="T140" s="1070">
        <f ca="1">SUM(CX140:DA140)</f>
        <v>2988.9328524041048</v>
      </c>
      <c r="U140" s="1070">
        <f ca="1">SUM(DB140:DE140)</f>
        <v>4524.9328524041684</v>
      </c>
      <c r="V140" s="1070">
        <f ca="1">SUM(DF140:DI140)</f>
        <v>4024.9328524041857</v>
      </c>
      <c r="W140" s="1070">
        <f ca="1">SUM(DJ140:DM140)</f>
        <v>1576.9328524041907</v>
      </c>
      <c r="X140" s="1070">
        <f ca="1">SUM(DK140:DN140)</f>
        <v>1490.9328524041935</v>
      </c>
      <c r="Y140" s="1070">
        <f ca="1">SUM(DL140:DO140)</f>
        <v>1913.9328524041944</v>
      </c>
      <c r="Z140" s="1070">
        <f ca="1">SUM(DM140:DP140)</f>
        <v>2597.9328524041953</v>
      </c>
      <c r="AA140" s="1504">
        <f ca="1">+Z140*(1+AA141)</f>
        <v>2597.9328524041953</v>
      </c>
      <c r="AB140" s="1504">
        <f ca="1">+AA140*(1+AB141)</f>
        <v>2597.9328524041953</v>
      </c>
      <c r="AC140" s="1504">
        <f t="shared" ref="AC140:AG140" ca="1" si="752">+AB140*(1+AC141)</f>
        <v>2597.9328524041953</v>
      </c>
      <c r="AD140" s="1504">
        <f t="shared" ca="1" si="752"/>
        <v>2597.9328524041953</v>
      </c>
      <c r="AE140" s="1504">
        <f t="shared" ca="1" si="752"/>
        <v>2597.9328524041953</v>
      </c>
      <c r="AF140" s="1504">
        <f t="shared" ca="1" si="752"/>
        <v>2597.9328524041953</v>
      </c>
      <c r="AG140" s="1504">
        <f t="shared" ca="1" si="752"/>
        <v>2597.9328524041953</v>
      </c>
      <c r="AH140" s="2201"/>
      <c r="AI140" s="2125">
        <f ca="1">(AA140/V140)^(1/5)-1</f>
        <v>-8.3834662564989171E-2</v>
      </c>
      <c r="AJ140" s="1561"/>
      <c r="AK140" s="1334"/>
      <c r="AL140" s="1334"/>
      <c r="AM140" s="1319"/>
      <c r="AN140" s="1334"/>
      <c r="AO140" s="1334"/>
      <c r="AP140" s="1496"/>
      <c r="AQ140" s="1334"/>
      <c r="AR140" s="1334"/>
      <c r="AS140" s="1334"/>
      <c r="AT140" s="1496"/>
      <c r="AU140" s="1334"/>
      <c r="AV140" s="1334"/>
      <c r="AW140" s="1334"/>
      <c r="AX140" s="794"/>
      <c r="AY140" s="1319"/>
      <c r="AZ140" s="1319"/>
      <c r="BA140" s="1319"/>
      <c r="BB140" s="794"/>
      <c r="BC140" s="1319"/>
      <c r="BD140" s="1319"/>
      <c r="BE140" s="1319"/>
      <c r="BF140" s="794"/>
      <c r="BG140" s="1319"/>
      <c r="BH140" s="1319"/>
      <c r="BI140" s="1319"/>
      <c r="BJ140" s="794"/>
      <c r="BK140" s="1319"/>
      <c r="BL140" s="1319"/>
      <c r="BM140" s="1319"/>
      <c r="BN140" s="794"/>
      <c r="BO140" s="1319"/>
      <c r="BP140" s="1319"/>
      <c r="BQ140" s="1319"/>
      <c r="BR140" s="794"/>
      <c r="BS140" s="1319"/>
      <c r="BT140" s="1319"/>
      <c r="BU140" s="1319"/>
      <c r="BV140" s="794"/>
      <c r="BW140" s="1319"/>
      <c r="BX140" s="1319"/>
      <c r="BY140" s="1319"/>
      <c r="BZ140" s="569"/>
      <c r="CA140" s="1064"/>
      <c r="CB140" s="1064"/>
      <c r="CC140" s="1064"/>
      <c r="CD140" s="569"/>
      <c r="CE140" s="1070"/>
      <c r="CF140" s="1070"/>
      <c r="CG140" s="1070"/>
      <c r="CH140" s="578">
        <f>+CH135-CH257</f>
        <v>1178.9241166704701</v>
      </c>
      <c r="CI140" s="1504">
        <f>+CI135-CI257</f>
        <v>1265.7621500000005</v>
      </c>
      <c r="CJ140" s="1504">
        <f>+CJ135-CJ257</f>
        <v>1308.6745499999997</v>
      </c>
      <c r="CK140" s="1504">
        <f>+CK135-CK257</f>
        <v>1417.9077000000002</v>
      </c>
      <c r="CL140" s="578">
        <f t="shared" ref="CL140:DJ140" si="753">+CL135-CL257-CL289</f>
        <v>198.16320000000087</v>
      </c>
      <c r="CM140" s="1504">
        <f t="shared" si="753"/>
        <v>150.17580000000044</v>
      </c>
      <c r="CN140" s="1504">
        <f t="shared" ca="1" si="753"/>
        <v>550.89790000000039</v>
      </c>
      <c r="CO140" s="1504">
        <f t="shared" ca="1" si="753"/>
        <v>1373.3746000000001</v>
      </c>
      <c r="CP140" s="578">
        <f t="shared" si="753"/>
        <v>1562.3775999999993</v>
      </c>
      <c r="CQ140" s="1504">
        <f t="shared" si="753"/>
        <v>1491.2480999999998</v>
      </c>
      <c r="CR140" s="1504">
        <f t="shared" ca="1" si="753"/>
        <v>1189.0328999999992</v>
      </c>
      <c r="CS140" s="1504">
        <f t="shared" ca="1" si="753"/>
        <v>843.92614999999978</v>
      </c>
      <c r="CT140" s="578">
        <f t="shared" ca="1" si="753"/>
        <v>1402.9261499999989</v>
      </c>
      <c r="CU140" s="1504">
        <f t="shared" ca="1" si="753"/>
        <v>1396.2332131010266</v>
      </c>
      <c r="CV140" s="1504">
        <f t="shared" ca="1" si="753"/>
        <v>873.23321310102619</v>
      </c>
      <c r="CW140" s="1504">
        <f t="shared" ca="1" si="753"/>
        <v>-852.76678689897381</v>
      </c>
      <c r="CX140" s="578">
        <f t="shared" ca="1" si="753"/>
        <v>974.23321310102619</v>
      </c>
      <c r="CY140" s="1504">
        <f t="shared" ca="1" si="753"/>
        <v>756.23321310102665</v>
      </c>
      <c r="CZ140" s="1504">
        <f t="shared" ca="1" si="753"/>
        <v>629.23321310102574</v>
      </c>
      <c r="DA140" s="1504">
        <f t="shared" ca="1" si="753"/>
        <v>629.23321310102619</v>
      </c>
      <c r="DB140" s="578">
        <f t="shared" ca="1" si="753"/>
        <v>1506.2332131010253</v>
      </c>
      <c r="DC140" s="1504">
        <f t="shared" ca="1" si="753"/>
        <v>1006.233213101048</v>
      </c>
      <c r="DD140" s="1504">
        <f t="shared" ca="1" si="753"/>
        <v>1006.2332131010476</v>
      </c>
      <c r="DE140" s="1504">
        <f t="shared" ca="1" si="753"/>
        <v>1006.2332131010476</v>
      </c>
      <c r="DF140" s="578">
        <f t="shared" ca="1" si="753"/>
        <v>1006.2332131010471</v>
      </c>
      <c r="DG140" s="1504">
        <f t="shared" ca="1" si="753"/>
        <v>1006.2332131010467</v>
      </c>
      <c r="DH140" s="1504">
        <f t="shared" ca="1" si="753"/>
        <v>1006.2332131010457</v>
      </c>
      <c r="DI140" s="579">
        <f t="shared" ca="1" si="753"/>
        <v>1006.2332131010462</v>
      </c>
      <c r="DJ140" s="578">
        <f t="shared" ca="1" si="753"/>
        <v>1006.2332131010462</v>
      </c>
      <c r="DK140" s="1504">
        <f t="shared" ref="DK140:DP140" ca="1" si="754">+DK135-DK257-DK289</f>
        <v>375.23321310104802</v>
      </c>
      <c r="DL140" s="1504">
        <f t="shared" ca="1" si="754"/>
        <v>174.23321310104802</v>
      </c>
      <c r="DM140" s="579">
        <f t="shared" ca="1" si="754"/>
        <v>21.233213101048477</v>
      </c>
      <c r="DN140" s="1504">
        <f t="shared" ca="1" si="754"/>
        <v>920.23321310104893</v>
      </c>
      <c r="DO140" s="1504">
        <f t="shared" ca="1" si="754"/>
        <v>798.23321310104893</v>
      </c>
      <c r="DP140" s="1504">
        <f t="shared" ca="1" si="754"/>
        <v>858.23321310104893</v>
      </c>
      <c r="DQ140" s="579">
        <f t="shared" ref="DQ140" ca="1" si="755">+DQ135-DQ257-DQ289</f>
        <v>801.23321310104893</v>
      </c>
      <c r="DR140" s="578">
        <f t="shared" ref="DR140" ca="1" si="756">+DR135-DR257-DR289</f>
        <v>1707.2332131010489</v>
      </c>
      <c r="DS140" s="1504">
        <f t="shared" ref="DS140:DT140" ca="1" si="757">+DS135-DS257-DS289</f>
        <v>750.23321310104848</v>
      </c>
      <c r="DT140" s="1504">
        <f t="shared" ca="1" si="757"/>
        <v>641.23321310104893</v>
      </c>
      <c r="DU140" s="579">
        <f t="shared" ref="DU140" ca="1" si="758">+DU135-DU257-DU289</f>
        <v>393.23321310104893</v>
      </c>
      <c r="DV140" s="1504">
        <f t="shared" ref="DV140" ca="1" si="759">+DV135-DV257-DV289</f>
        <v>1458.2332131010489</v>
      </c>
      <c r="DW140" s="1504">
        <f t="shared" ref="DW140" ca="1" si="760">+DS140*(1+DW141)</f>
        <v>750.23321310104848</v>
      </c>
      <c r="DX140" s="1504">
        <f t="shared" ref="DX140" ca="1" si="761">+DT140*(1+DX141)</f>
        <v>641.23321310104893</v>
      </c>
      <c r="DY140" s="579">
        <f t="shared" ref="DY140" ca="1" si="762">+DU140*(1+DY141)</f>
        <v>393.23321310104893</v>
      </c>
    </row>
    <row r="141" spans="1:129" s="1491" customFormat="1" ht="15" hidden="1" customHeight="1" outlineLevel="1">
      <c r="A141" s="1457" t="s">
        <v>1453</v>
      </c>
      <c r="B141" s="1065"/>
      <c r="C141" s="1065"/>
      <c r="D141" s="1065"/>
      <c r="E141" s="1065"/>
      <c r="F141" s="1065"/>
      <c r="G141" s="1065"/>
      <c r="H141" s="1065"/>
      <c r="I141" s="1065"/>
      <c r="J141" s="1065"/>
      <c r="K141" s="1065"/>
      <c r="L141" s="1065"/>
      <c r="M141" s="1065"/>
      <c r="N141" s="1065"/>
      <c r="O141" s="1065"/>
      <c r="P141" s="1065"/>
      <c r="Q141" s="1065"/>
      <c r="R141" s="1065">
        <f t="shared" ref="R141:Z141" ca="1" si="763">R140/Q140-1</f>
        <v>1.2382113044838476</v>
      </c>
      <c r="S141" s="1065">
        <f t="shared" ca="1" si="763"/>
        <v>-0.44567407644135315</v>
      </c>
      <c r="T141" s="1065">
        <f t="shared" ca="1" si="763"/>
        <v>6.0045933663727125E-2</v>
      </c>
      <c r="U141" s="1065">
        <f t="shared" ca="1" si="763"/>
        <v>0.51389578684064596</v>
      </c>
      <c r="V141" s="1065">
        <f t="shared" ca="1" si="763"/>
        <v>-0.11049887728926733</v>
      </c>
      <c r="W141" s="1065">
        <f t="shared" ca="1" si="763"/>
        <v>-0.60820890428960772</v>
      </c>
      <c r="X141" s="1065">
        <f t="shared" ca="1" si="763"/>
        <v>-5.4536247290987494E-2</v>
      </c>
      <c r="Y141" s="1065">
        <f t="shared" ca="1" si="763"/>
        <v>0.28371499046244453</v>
      </c>
      <c r="Z141" s="1065">
        <f t="shared" ca="1" si="763"/>
        <v>0.35737930886174585</v>
      </c>
      <c r="AA141" s="1140">
        <v>0</v>
      </c>
      <c r="AB141" s="1140">
        <v>0</v>
      </c>
      <c r="AC141" s="1140">
        <v>0</v>
      </c>
      <c r="AD141" s="1140">
        <v>0</v>
      </c>
      <c r="AE141" s="1140">
        <v>0</v>
      </c>
      <c r="AF141" s="1140">
        <v>0</v>
      </c>
      <c r="AG141" s="1140">
        <v>0</v>
      </c>
      <c r="AH141" s="2201"/>
      <c r="AI141" s="1927"/>
      <c r="AJ141" s="1561"/>
      <c r="AK141" s="1324"/>
      <c r="AL141" s="1324"/>
      <c r="AM141" s="1324"/>
      <c r="AN141" s="1324"/>
      <c r="AO141" s="1324"/>
      <c r="AP141" s="1325"/>
      <c r="AQ141" s="1324"/>
      <c r="AR141" s="1324"/>
      <c r="AS141" s="1324"/>
      <c r="AT141" s="1325"/>
      <c r="AU141" s="1324"/>
      <c r="AV141" s="1324"/>
      <c r="AW141" s="1324"/>
      <c r="AX141" s="1325"/>
      <c r="AY141" s="1324"/>
      <c r="AZ141" s="1324"/>
      <c r="BA141" s="1324"/>
      <c r="BB141" s="1325"/>
      <c r="BC141" s="1324"/>
      <c r="BD141" s="1324"/>
      <c r="BE141" s="1324"/>
      <c r="BF141" s="1325"/>
      <c r="BG141" s="1324"/>
      <c r="BH141" s="1324"/>
      <c r="BI141" s="1324"/>
      <c r="BJ141" s="1325"/>
      <c r="BK141" s="1324"/>
      <c r="BL141" s="1324"/>
      <c r="BM141" s="1324"/>
      <c r="BN141" s="1325"/>
      <c r="BO141" s="1324"/>
      <c r="BP141" s="1324"/>
      <c r="BQ141" s="1324"/>
      <c r="BR141" s="1325"/>
      <c r="BS141" s="1324"/>
      <c r="BT141" s="1324"/>
      <c r="BU141" s="1324"/>
      <c r="BV141" s="1325"/>
      <c r="BW141" s="1324"/>
      <c r="BX141" s="1324"/>
      <c r="BY141" s="1324"/>
      <c r="BZ141" s="563"/>
      <c r="CA141" s="1065"/>
      <c r="CB141" s="1065"/>
      <c r="CC141" s="1065"/>
      <c r="CD141" s="563"/>
      <c r="CE141" s="1065"/>
      <c r="CF141" s="1065"/>
      <c r="CG141" s="1065"/>
      <c r="CH141" s="563"/>
      <c r="CI141" s="1065"/>
      <c r="CJ141" s="1065"/>
      <c r="CK141" s="1065"/>
      <c r="CL141" s="563">
        <f t="shared" ref="CL141:DV141" si="764">+CL140/CH140-1</f>
        <v>-0.83191182774370964</v>
      </c>
      <c r="CM141" s="1065">
        <f t="shared" si="764"/>
        <v>-0.88135543474735722</v>
      </c>
      <c r="CN141" s="1065">
        <f t="shared" ca="1" si="764"/>
        <v>-0.57904132849530809</v>
      </c>
      <c r="CO141" s="1065">
        <f t="shared" ca="1" si="764"/>
        <v>-3.1407615601495187E-2</v>
      </c>
      <c r="CP141" s="563">
        <f t="shared" si="764"/>
        <v>6.884297387204044</v>
      </c>
      <c r="CQ141" s="1065">
        <f t="shared" si="764"/>
        <v>8.9300160212230963</v>
      </c>
      <c r="CR141" s="1065">
        <f t="shared" ca="1" si="764"/>
        <v>1.1583543883539917</v>
      </c>
      <c r="CS141" s="1065">
        <f t="shared" ca="1" si="764"/>
        <v>-0.38550913203142123</v>
      </c>
      <c r="CT141" s="563">
        <f t="shared" ca="1" si="764"/>
        <v>-0.10205692273109945</v>
      </c>
      <c r="CU141" s="1065">
        <f t="shared" ca="1" si="764"/>
        <v>-6.371500952723641E-2</v>
      </c>
      <c r="CV141" s="1065">
        <f t="shared" ca="1" si="764"/>
        <v>-0.2655937332759869</v>
      </c>
      <c r="CW141" s="1065">
        <f t="shared" ca="1" si="764"/>
        <v>-2.0104756048843537</v>
      </c>
      <c r="CX141" s="563">
        <f t="shared" ca="1" si="764"/>
        <v>-0.30557056542069094</v>
      </c>
      <c r="CY141" s="1065">
        <f t="shared" ca="1" si="764"/>
        <v>-0.45837614661705639</v>
      </c>
      <c r="CZ141" s="1065">
        <f t="shared" ca="1" si="764"/>
        <v>-0.2794213462558387</v>
      </c>
      <c r="DA141" s="1065">
        <f t="shared" ca="1" si="764"/>
        <v>-1.7378725611361909</v>
      </c>
      <c r="DB141" s="563">
        <f t="shared" ca="1" si="764"/>
        <v>0.54607048173467643</v>
      </c>
      <c r="DC141" s="1065">
        <f t="shared" ca="1" si="764"/>
        <v>0.33058585059345091</v>
      </c>
      <c r="DD141" s="1065">
        <f t="shared" ca="1" si="764"/>
        <v>0.59914192727060178</v>
      </c>
      <c r="DE141" s="1065">
        <f t="shared" ca="1" si="764"/>
        <v>0.59914192727060067</v>
      </c>
      <c r="DF141" s="563">
        <f t="shared" ca="1" si="764"/>
        <v>-0.33195390703845973</v>
      </c>
      <c r="DG141" s="1065">
        <f t="shared" ca="1" si="764"/>
        <v>-1.3322676295501878E-15</v>
      </c>
      <c r="DH141" s="1065">
        <f t="shared" ca="1" si="764"/>
        <v>-1.7763568394002505E-15</v>
      </c>
      <c r="DI141" s="564">
        <f t="shared" ca="1" si="764"/>
        <v>-1.3322676295501878E-15</v>
      </c>
      <c r="DJ141" s="563">
        <f t="shared" ca="1" si="764"/>
        <v>-8.8817841970012523E-16</v>
      </c>
      <c r="DK141" s="1065">
        <f t="shared" ca="1" si="764"/>
        <v>-0.62709120687376196</v>
      </c>
      <c r="DL141" s="1065">
        <f t="shared" ca="1" si="764"/>
        <v>-0.82684609210613336</v>
      </c>
      <c r="DM141" s="564">
        <f t="shared" ca="1" si="764"/>
        <v>-0.97889831817853523</v>
      </c>
      <c r="DN141" s="1065">
        <f t="shared" ca="1" si="764"/>
        <v>-8.5467264328275672E-2</v>
      </c>
      <c r="DO141" s="1065">
        <f t="shared" ca="1" si="764"/>
        <v>1.1272989309879922</v>
      </c>
      <c r="DP141" s="1065">
        <f t="shared" ca="1" si="764"/>
        <v>3.9257727492134888</v>
      </c>
      <c r="DQ141" s="564">
        <f t="shared" ca="1" si="764"/>
        <v>36.734901886398191</v>
      </c>
      <c r="DR141" s="563">
        <f t="shared" ca="1" si="764"/>
        <v>0.8552179912610709</v>
      </c>
      <c r="DS141" s="1065">
        <f t="shared" ca="1" si="764"/>
        <v>-6.013280230914686E-2</v>
      </c>
      <c r="DT141" s="1065">
        <f t="shared" ca="1" si="764"/>
        <v>-0.25284502707127265</v>
      </c>
      <c r="DU141" s="564">
        <f t="shared" ca="1" si="764"/>
        <v>-0.50921503668189105</v>
      </c>
      <c r="DV141" s="1065">
        <f t="shared" ca="1" si="764"/>
        <v>-0.14585002101014188</v>
      </c>
      <c r="DW141" s="1140">
        <v>0</v>
      </c>
      <c r="DX141" s="1140">
        <v>0</v>
      </c>
      <c r="DY141" s="972">
        <v>0</v>
      </c>
    </row>
    <row r="142" spans="1:129" s="1491" customFormat="1" ht="15" hidden="1" customHeight="1" outlineLevel="1">
      <c r="A142" s="1457" t="s">
        <v>1488</v>
      </c>
      <c r="B142" s="1065"/>
      <c r="C142" s="1065"/>
      <c r="D142" s="1065"/>
      <c r="E142" s="1065"/>
      <c r="F142" s="1065"/>
      <c r="G142" s="1065"/>
      <c r="H142" s="1065"/>
      <c r="I142" s="1065"/>
      <c r="J142" s="1065"/>
      <c r="K142" s="1065"/>
      <c r="L142" s="1065"/>
      <c r="M142" s="1065"/>
      <c r="N142" s="1065"/>
      <c r="O142" s="1065"/>
      <c r="P142" s="1065"/>
      <c r="Q142" s="1065">
        <f t="shared" ref="Q142:V142" ca="1" si="765">+Q140/Q$135</f>
        <v>0.10966216181167004</v>
      </c>
      <c r="R142" s="1065">
        <f t="shared" ca="1" si="765"/>
        <v>0.23794551845713893</v>
      </c>
      <c r="S142" s="1065">
        <f t="shared" ca="1" si="765"/>
        <v>0.13427843565431524</v>
      </c>
      <c r="T142" s="1065">
        <f t="shared" ca="1" si="765"/>
        <v>0.13319387539964625</v>
      </c>
      <c r="U142" s="1065">
        <f t="shared" ca="1" si="765"/>
        <v>0.18648913258557009</v>
      </c>
      <c r="V142" s="1065">
        <f t="shared" ca="1" si="765"/>
        <v>0.15317519862168044</v>
      </c>
      <c r="W142" s="1065">
        <f t="shared" ref="W142:AB142" ca="1" si="766">+W140/W$135</f>
        <v>7.2461020272276119E-2</v>
      </c>
      <c r="X142" s="1065">
        <f t="shared" ca="1" si="766"/>
        <v>6.5842779718975022E-2</v>
      </c>
      <c r="Y142" s="1065">
        <f t="shared" ca="1" si="766"/>
        <v>8.4158074671214569E-2</v>
      </c>
      <c r="Z142" s="1065">
        <f t="shared" ca="1" si="766"/>
        <v>0.11573169609315549</v>
      </c>
      <c r="AA142" s="1065">
        <f t="shared" ca="1" si="766"/>
        <v>0.12645059467900824</v>
      </c>
      <c r="AB142" s="1065">
        <f t="shared" ca="1" si="766"/>
        <v>0.12869909503771923</v>
      </c>
      <c r="AC142" s="1065">
        <f t="shared" ref="AC142:AG142" ca="1" si="767">+AC140/AC$135</f>
        <v>0.13098158246441191</v>
      </c>
      <c r="AD142" s="1065">
        <f t="shared" ca="1" si="767"/>
        <v>0.13329835700978668</v>
      </c>
      <c r="AE142" s="1065">
        <f t="shared" ca="1" si="767"/>
        <v>0.13564971360280068</v>
      </c>
      <c r="AF142" s="1065">
        <f t="shared" ca="1" si="767"/>
        <v>0.13803594171794087</v>
      </c>
      <c r="AG142" s="1065">
        <f t="shared" ca="1" si="767"/>
        <v>0.14045732503601049</v>
      </c>
      <c r="AH142" s="2201"/>
      <c r="AI142" s="1927"/>
      <c r="AJ142" s="1561"/>
      <c r="AK142" s="1324"/>
      <c r="AL142" s="1324"/>
      <c r="AM142" s="1324"/>
      <c r="AN142" s="1324"/>
      <c r="AO142" s="1324"/>
      <c r="AP142" s="1325"/>
      <c r="AQ142" s="1324"/>
      <c r="AR142" s="1324"/>
      <c r="AS142" s="1324"/>
      <c r="AT142" s="1325"/>
      <c r="AU142" s="1324"/>
      <c r="AV142" s="1324"/>
      <c r="AW142" s="1324"/>
      <c r="AX142" s="1325"/>
      <c r="AY142" s="1324"/>
      <c r="AZ142" s="1324"/>
      <c r="BA142" s="1324"/>
      <c r="BB142" s="1325"/>
      <c r="BC142" s="1324"/>
      <c r="BD142" s="1324"/>
      <c r="BE142" s="1324"/>
      <c r="BF142" s="1325"/>
      <c r="BG142" s="1324"/>
      <c r="BH142" s="1324"/>
      <c r="BI142" s="1324"/>
      <c r="BJ142" s="1325"/>
      <c r="BK142" s="1324"/>
      <c r="BL142" s="1324"/>
      <c r="BM142" s="1324"/>
      <c r="BN142" s="1325"/>
      <c r="BO142" s="1324"/>
      <c r="BP142" s="1324"/>
      <c r="BQ142" s="1324"/>
      <c r="BR142" s="1325"/>
      <c r="BS142" s="1324"/>
      <c r="BT142" s="1324"/>
      <c r="BU142" s="1324"/>
      <c r="BV142" s="1325"/>
      <c r="BW142" s="1324"/>
      <c r="BX142" s="1324"/>
      <c r="BY142" s="1324"/>
      <c r="BZ142" s="563"/>
      <c r="CA142" s="1065"/>
      <c r="CB142" s="1065"/>
      <c r="CC142" s="1065"/>
      <c r="CD142" s="563"/>
      <c r="CE142" s="1065"/>
      <c r="CF142" s="1065"/>
      <c r="CG142" s="1065"/>
      <c r="CH142" s="563">
        <f t="shared" ref="CH142:DJ142" si="768">+CH140/CH135</f>
        <v>0.24963717332788565</v>
      </c>
      <c r="CI142" s="1065">
        <f t="shared" si="768"/>
        <v>0.26251196873023541</v>
      </c>
      <c r="CJ142" s="1065">
        <f t="shared" si="768"/>
        <v>0.24121674584761402</v>
      </c>
      <c r="CK142" s="1065">
        <f t="shared" si="768"/>
        <v>0.26308934271847845</v>
      </c>
      <c r="CL142" s="563">
        <f t="shared" si="768"/>
        <v>4.0231118113049899E-2</v>
      </c>
      <c r="CM142" s="1065">
        <f t="shared" si="768"/>
        <v>3.2877333117910593E-2</v>
      </c>
      <c r="CN142" s="1065">
        <f t="shared" ca="1" si="768"/>
        <v>0.10726155304690081</v>
      </c>
      <c r="CO142" s="1065">
        <f t="shared" ca="1" si="768"/>
        <v>0.22535219356375408</v>
      </c>
      <c r="CP142" s="563">
        <f t="shared" si="768"/>
        <v>0.28541343964369126</v>
      </c>
      <c r="CQ142" s="1065">
        <f t="shared" si="768"/>
        <v>0.27978880491565866</v>
      </c>
      <c r="CR142" s="1065">
        <f t="shared" ca="1" si="768"/>
        <v>0.22245902507943746</v>
      </c>
      <c r="CS142" s="1065">
        <f t="shared" ca="1" si="768"/>
        <v>0.16141952472288448</v>
      </c>
      <c r="CT142" s="563">
        <f t="shared" ca="1" si="768"/>
        <v>0.24221336695563037</v>
      </c>
      <c r="CU142" s="1065">
        <f t="shared" ca="1" si="768"/>
        <v>0.23370423499917725</v>
      </c>
      <c r="CV142" s="1065">
        <f t="shared" ca="1" si="768"/>
        <v>0.16627927295964784</v>
      </c>
      <c r="CW142" s="1065">
        <f t="shared" ca="1" si="768"/>
        <v>-0.21424810253269028</v>
      </c>
      <c r="CX142" s="563">
        <f t="shared" ca="1" si="768"/>
        <v>0.1890937961810146</v>
      </c>
      <c r="CY142" s="1065">
        <f t="shared" ca="1" si="768"/>
        <v>0.14974477698705163</v>
      </c>
      <c r="CZ142" s="1065">
        <f t="shared" ca="1" si="768"/>
        <v>0.10931453893126725</v>
      </c>
      <c r="DA142" s="1065">
        <f t="shared" ca="1" si="768"/>
        <v>9.7073441412384207E-2</v>
      </c>
      <c r="DB142" s="563">
        <f t="shared" ca="1" si="768"/>
        <v>0.24810898241626783</v>
      </c>
      <c r="DC142" s="1065">
        <f t="shared" ca="1" si="768"/>
        <v>0.17601399718059446</v>
      </c>
      <c r="DD142" s="1065">
        <f t="shared" ca="1" si="768"/>
        <v>0.16963673629803366</v>
      </c>
      <c r="DE142" s="1065">
        <f t="shared" ca="1" si="768"/>
        <v>0.153753397131866</v>
      </c>
      <c r="DF142" s="563">
        <f t="shared" ca="1" si="768"/>
        <v>0.17375258405911789</v>
      </c>
      <c r="DG142" s="1065">
        <f t="shared" ca="1" si="768"/>
        <v>0.15889696411556051</v>
      </c>
      <c r="DH142" s="1065">
        <f t="shared" ca="1" si="768"/>
        <v>0.1522271369813632</v>
      </c>
      <c r="DI142" s="564">
        <f t="shared" ca="1" si="768"/>
        <v>0.13340340356284999</v>
      </c>
      <c r="DJ142" s="563">
        <f t="shared" ca="1" si="768"/>
        <v>0.17627689484669692</v>
      </c>
      <c r="DK142" s="1065">
        <f t="shared" ref="DK142:DM142" ca="1" si="769">+DK140/DK135</f>
        <v>7.1552938550586587E-2</v>
      </c>
      <c r="DL142" s="1065">
        <f t="shared" ca="1" si="769"/>
        <v>3.237438312764214E-2</v>
      </c>
      <c r="DM142" s="564">
        <f t="shared" ca="1" si="769"/>
        <v>3.911586009576906E-3</v>
      </c>
      <c r="DN142" s="1065">
        <f t="shared" ref="DN142:DO142" ca="1" si="770">+DN140/DN135</f>
        <v>0.16644966213455301</v>
      </c>
      <c r="DO142" s="1065">
        <f t="shared" ca="1" si="770"/>
        <v>0.147480662960428</v>
      </c>
      <c r="DP142" s="1065">
        <f t="shared" ref="DP142:DQ142" ca="1" si="771">+DP140/DP135</f>
        <v>0.14956047288516219</v>
      </c>
      <c r="DQ142" s="564">
        <f t="shared" ca="1" si="771"/>
        <v>0.13433581353169805</v>
      </c>
      <c r="DR142" s="563">
        <f t="shared" ref="DR142" ca="1" si="772">+DR140/DR135</f>
        <v>0.27803806941013376</v>
      </c>
      <c r="DS142" s="1065">
        <f t="shared" ref="DS142:DT142" ca="1" si="773">+DS140/DS135</f>
        <v>0.13824646331095847</v>
      </c>
      <c r="DT142" s="1065">
        <f t="shared" ca="1" si="773"/>
        <v>0.11689941058175901</v>
      </c>
      <c r="DU142" s="564">
        <f t="shared" ref="DU142" ca="1" si="774">+DU140/DU135</f>
        <v>6.9113052513784703E-2</v>
      </c>
      <c r="DV142" s="1065">
        <f t="shared" ref="DV142" ca="1" si="775">+DV140/DV135</f>
        <v>0.24943854680862815</v>
      </c>
      <c r="DW142" s="1065">
        <f t="shared" ref="DW142:DY142" ca="1" si="776">+DW140/DW135</f>
        <v>0.14842270142542932</v>
      </c>
      <c r="DX142" s="1065">
        <f t="shared" ca="1" si="776"/>
        <v>0.12394505531062576</v>
      </c>
      <c r="DY142" s="564">
        <f t="shared" ca="1" si="776"/>
        <v>7.173152959143958E-2</v>
      </c>
    </row>
    <row r="143" spans="1:129" s="1491" customFormat="1" ht="15" hidden="1" customHeight="1" outlineLevel="1">
      <c r="A143" s="151" t="s">
        <v>1492</v>
      </c>
      <c r="B143" s="1068"/>
      <c r="C143" s="1068"/>
      <c r="D143" s="1113"/>
      <c r="E143" s="1113"/>
      <c r="F143" s="1113"/>
      <c r="G143" s="1113">
        <f>G182+G163</f>
        <v>8441.0220000000008</v>
      </c>
      <c r="H143" s="1113">
        <f>SUM(BB143:BE143)</f>
        <v>10988.768</v>
      </c>
      <c r="I143" s="1113">
        <f>SUM(BF143:BI143)</f>
        <v>11176.361999999999</v>
      </c>
      <c r="J143" s="1113">
        <f>SUM(BJ143:BM143)</f>
        <v>11197.9815</v>
      </c>
      <c r="K143" s="1113">
        <f>SUM(BN143:BQ143)</f>
        <v>12725.575500000001</v>
      </c>
      <c r="L143" s="1113">
        <f>SUM(BR143:BU143)</f>
        <v>13457.016</v>
      </c>
      <c r="M143" s="1113">
        <f>M163+M182</f>
        <v>14628.828</v>
      </c>
      <c r="N143" s="1113">
        <f>SUM(BZ143:CC143)</f>
        <v>15424.730350000002</v>
      </c>
      <c r="O143" s="1113">
        <f>SUM(CD143:CG143)</f>
        <v>15714.255650000001</v>
      </c>
      <c r="P143" s="1113">
        <f>SUM(CH143:CK143)</f>
        <v>16109.23</v>
      </c>
      <c r="Q143" s="1113">
        <f>SUM(CL143:CO143)</f>
        <v>20723.752500000002</v>
      </c>
      <c r="R143" s="1113"/>
      <c r="S143" s="1113"/>
      <c r="T143" s="1113"/>
      <c r="U143" s="1113"/>
      <c r="V143" s="1113"/>
      <c r="W143" s="1113"/>
      <c r="X143" s="1113"/>
      <c r="Y143" s="1113"/>
      <c r="Z143" s="1113"/>
      <c r="AA143" s="1113"/>
      <c r="AB143" s="1113"/>
      <c r="AC143" s="1113"/>
      <c r="AD143" s="1113"/>
      <c r="AE143" s="1113"/>
      <c r="AF143" s="1113"/>
      <c r="AG143" s="1113"/>
      <c r="AH143" s="2201"/>
      <c r="AI143" s="1927"/>
      <c r="AJ143" s="1561"/>
      <c r="AK143" s="1324"/>
      <c r="AL143" s="1324"/>
      <c r="AM143" s="1319"/>
      <c r="AN143" s="1381"/>
      <c r="AO143" s="1381"/>
      <c r="AP143" s="1080"/>
      <c r="AQ143" s="1381"/>
      <c r="AR143" s="1381"/>
      <c r="AS143" s="1381"/>
      <c r="AT143" s="1080"/>
      <c r="AU143" s="1381"/>
      <c r="AV143" s="1381"/>
      <c r="AW143" s="1381"/>
      <c r="AX143" s="1080">
        <f t="shared" ref="AX143:BY143" si="777">AX163+AX182</f>
        <v>2041.6405</v>
      </c>
      <c r="AY143" s="1381">
        <f t="shared" si="777"/>
        <v>1911.1399999999999</v>
      </c>
      <c r="AZ143" s="1381">
        <f t="shared" si="777"/>
        <v>2007.2255</v>
      </c>
      <c r="BA143" s="1381">
        <f t="shared" si="777"/>
        <v>2689.0160000000001</v>
      </c>
      <c r="BB143" s="1080">
        <f t="shared" si="777"/>
        <v>2454.7529999999997</v>
      </c>
      <c r="BC143" s="1381">
        <f t="shared" si="777"/>
        <v>2390.2460000000001</v>
      </c>
      <c r="BD143" s="1381">
        <f t="shared" si="777"/>
        <v>2802.5659999999998</v>
      </c>
      <c r="BE143" s="1381">
        <f t="shared" si="777"/>
        <v>3341.203</v>
      </c>
      <c r="BF143" s="1080">
        <f t="shared" si="777"/>
        <v>2781.6320000000001</v>
      </c>
      <c r="BG143" s="1381">
        <f t="shared" si="777"/>
        <v>2707.2939999999999</v>
      </c>
      <c r="BH143" s="1381">
        <f t="shared" si="777"/>
        <v>2620.1959999999999</v>
      </c>
      <c r="BI143" s="1381">
        <f t="shared" si="777"/>
        <v>3067.2400000000002</v>
      </c>
      <c r="BJ143" s="1080">
        <f t="shared" si="777"/>
        <v>2486.2979999999998</v>
      </c>
      <c r="BK143" s="1381">
        <f t="shared" si="777"/>
        <v>2789.2394999999997</v>
      </c>
      <c r="BL143" s="1381">
        <f t="shared" si="777"/>
        <v>2936.0659999999998</v>
      </c>
      <c r="BM143" s="1381">
        <f t="shared" si="777"/>
        <v>2986.3780000000002</v>
      </c>
      <c r="BN143" s="1080">
        <f t="shared" si="777"/>
        <v>2906.1725000000001</v>
      </c>
      <c r="BO143" s="1381">
        <f t="shared" si="777"/>
        <v>3027.5465000000004</v>
      </c>
      <c r="BP143" s="1381">
        <f t="shared" si="777"/>
        <v>3420.3824999999997</v>
      </c>
      <c r="BQ143" s="1381">
        <f t="shared" si="777"/>
        <v>3371.4740000000002</v>
      </c>
      <c r="BR143" s="1080">
        <f t="shared" si="777"/>
        <v>3221.3440000000001</v>
      </c>
      <c r="BS143" s="1381">
        <f t="shared" si="777"/>
        <v>3201.413</v>
      </c>
      <c r="BT143" s="1381">
        <f t="shared" si="777"/>
        <v>3531.645</v>
      </c>
      <c r="BU143" s="1381">
        <f t="shared" si="777"/>
        <v>3502.614</v>
      </c>
      <c r="BV143" s="1080">
        <f t="shared" si="777"/>
        <v>3376.7259999999997</v>
      </c>
      <c r="BW143" s="1381">
        <f t="shared" si="777"/>
        <v>3591.8500000000004</v>
      </c>
      <c r="BX143" s="1381">
        <f t="shared" si="777"/>
        <v>3802.9479999999999</v>
      </c>
      <c r="BY143" s="1381">
        <f t="shared" si="777"/>
        <v>3857.3040000000001</v>
      </c>
      <c r="BZ143" s="154">
        <v>3509</v>
      </c>
      <c r="CA143" s="1113">
        <f>CA163+CA182</f>
        <v>3643.1422499999999</v>
      </c>
      <c r="CB143" s="1113">
        <f>CB163+CB182</f>
        <v>3987.4252000000001</v>
      </c>
      <c r="CC143" s="1113">
        <f>CC163+CC182</f>
        <v>4285.1629000000003</v>
      </c>
      <c r="CD143" s="154">
        <v>3678</v>
      </c>
      <c r="CE143" s="1113">
        <f t="shared" ref="CE143:CK143" si="778">CE163+CE182</f>
        <v>3658.3530000000001</v>
      </c>
      <c r="CF143" s="1113">
        <f t="shared" si="778"/>
        <v>4040.59465</v>
      </c>
      <c r="CG143" s="1113">
        <f t="shared" si="778"/>
        <v>4337.3080000000009</v>
      </c>
      <c r="CH143" s="150">
        <f t="shared" si="778"/>
        <v>3842.9972500000003</v>
      </c>
      <c r="CI143" s="1113">
        <f t="shared" si="778"/>
        <v>3739.4312</v>
      </c>
      <c r="CJ143" s="1113">
        <f t="shared" si="778"/>
        <v>4263.80555</v>
      </c>
      <c r="CK143" s="1113">
        <f t="shared" si="778"/>
        <v>4262.9960000000001</v>
      </c>
      <c r="CL143" s="150">
        <f t="shared" ref="CL143:CQ143" si="779">+CL135</f>
        <v>4925.6200000000008</v>
      </c>
      <c r="CM143" s="1113">
        <f t="shared" si="779"/>
        <v>4567.7610000000004</v>
      </c>
      <c r="CN143" s="1113">
        <f t="shared" si="779"/>
        <v>5136.0239000000001</v>
      </c>
      <c r="CO143" s="1113">
        <f t="shared" si="779"/>
        <v>6094.3476000000001</v>
      </c>
      <c r="CP143" s="150">
        <f t="shared" si="779"/>
        <v>5474.0855999999994</v>
      </c>
      <c r="CQ143" s="1113">
        <f t="shared" si="779"/>
        <v>5329.90625</v>
      </c>
      <c r="CR143" s="1113"/>
      <c r="CS143" s="1113"/>
      <c r="CT143" s="150"/>
      <c r="CU143" s="1113"/>
      <c r="CV143" s="1113"/>
      <c r="CW143" s="1113"/>
      <c r="CX143" s="150"/>
      <c r="CY143" s="1113"/>
      <c r="CZ143" s="1113"/>
      <c r="DA143" s="1113"/>
      <c r="DB143" s="150"/>
      <c r="DC143" s="1113"/>
      <c r="DD143" s="1113"/>
      <c r="DE143" s="1113"/>
      <c r="DF143" s="150"/>
      <c r="DG143" s="1113"/>
      <c r="DH143" s="1113"/>
      <c r="DI143" s="155"/>
      <c r="DJ143" s="150"/>
      <c r="DK143" s="1113"/>
      <c r="DL143" s="1113"/>
      <c r="DM143" s="155"/>
      <c r="DN143" s="1113"/>
      <c r="DO143" s="1113"/>
      <c r="DP143" s="1113"/>
      <c r="DQ143" s="155"/>
      <c r="DR143" s="150"/>
      <c r="DS143" s="1113"/>
      <c r="DT143" s="1113"/>
      <c r="DU143" s="155"/>
      <c r="DV143" s="1113"/>
      <c r="DW143" s="1113"/>
      <c r="DX143" s="1113"/>
      <c r="DY143" s="155"/>
    </row>
    <row r="144" spans="1:129" s="1483" customFormat="1" ht="15" hidden="1" customHeight="1" outlineLevel="1">
      <c r="A144" s="1448" t="s">
        <v>1453</v>
      </c>
      <c r="B144" s="1065"/>
      <c r="C144" s="1065"/>
      <c r="D144" s="1065"/>
      <c r="E144" s="1065"/>
      <c r="F144" s="1065"/>
      <c r="G144" s="1065"/>
      <c r="H144" s="1065">
        <f t="shared" ref="H144:Q144" si="780">H143/G143-1</f>
        <v>0.30182909131145474</v>
      </c>
      <c r="I144" s="1065">
        <f t="shared" si="780"/>
        <v>1.7071431483492994E-2</v>
      </c>
      <c r="J144" s="1065">
        <f t="shared" si="780"/>
        <v>1.9343951099652923E-3</v>
      </c>
      <c r="K144" s="1065">
        <f t="shared" si="780"/>
        <v>0.13641690692202002</v>
      </c>
      <c r="L144" s="1065">
        <f t="shared" si="780"/>
        <v>5.7477989895230897E-2</v>
      </c>
      <c r="M144" s="1065">
        <f t="shared" si="780"/>
        <v>8.7078145704813092E-2</v>
      </c>
      <c r="N144" s="1065">
        <f t="shared" si="780"/>
        <v>5.4406432969203111E-2</v>
      </c>
      <c r="O144" s="1065">
        <f t="shared" si="780"/>
        <v>1.877020171052779E-2</v>
      </c>
      <c r="P144" s="1065">
        <f t="shared" si="780"/>
        <v>2.5134779451039257E-2</v>
      </c>
      <c r="Q144" s="1065">
        <f t="shared" si="780"/>
        <v>0.28645208368121899</v>
      </c>
      <c r="R144" s="1065"/>
      <c r="S144" s="1065"/>
      <c r="T144" s="1065"/>
      <c r="U144" s="1065"/>
      <c r="V144" s="1065"/>
      <c r="W144" s="1065"/>
      <c r="X144" s="1065"/>
      <c r="Y144" s="1065"/>
      <c r="Z144" s="1065"/>
      <c r="AA144" s="1065"/>
      <c r="AB144" s="1065"/>
      <c r="AC144" s="1065"/>
      <c r="AD144" s="1065"/>
      <c r="AE144" s="1065"/>
      <c r="AF144" s="1065"/>
      <c r="AG144" s="1065"/>
      <c r="AH144" s="2208"/>
      <c r="AI144" s="1927"/>
      <c r="AJ144" s="2207"/>
      <c r="AK144" s="1324"/>
      <c r="AL144" s="1324"/>
      <c r="AM144" s="1324"/>
      <c r="AN144" s="1324"/>
      <c r="AO144" s="1324"/>
      <c r="AP144" s="1325"/>
      <c r="AQ144" s="1324"/>
      <c r="AR144" s="1324"/>
      <c r="AS144" s="1324"/>
      <c r="AT144" s="1325"/>
      <c r="AU144" s="1324"/>
      <c r="AV144" s="1324"/>
      <c r="AW144" s="1324"/>
      <c r="AX144" s="1325"/>
      <c r="AY144" s="1324"/>
      <c r="AZ144" s="1324"/>
      <c r="BA144" s="1324"/>
      <c r="BB144" s="1325">
        <f t="shared" ref="BB144:CQ144" si="781">BB143/AX143-1</f>
        <v>0.20234340962573949</v>
      </c>
      <c r="BC144" s="1324">
        <f t="shared" si="781"/>
        <v>0.25069121048170206</v>
      </c>
      <c r="BD144" s="1324">
        <f t="shared" si="781"/>
        <v>0.39623873849749303</v>
      </c>
      <c r="BE144" s="1324">
        <f t="shared" si="781"/>
        <v>0.24253741889226399</v>
      </c>
      <c r="BF144" s="1325">
        <f t="shared" si="781"/>
        <v>0.13316166636724769</v>
      </c>
      <c r="BG144" s="1324">
        <f t="shared" si="781"/>
        <v>0.13264241421175882</v>
      </c>
      <c r="BH144" s="1324">
        <f t="shared" si="781"/>
        <v>-6.5072508551092034E-2</v>
      </c>
      <c r="BI144" s="1324">
        <f t="shared" si="781"/>
        <v>-8.1995317255491473E-2</v>
      </c>
      <c r="BJ144" s="1325">
        <f t="shared" si="781"/>
        <v>-0.10617292294595415</v>
      </c>
      <c r="BK144" s="1324">
        <f t="shared" si="781"/>
        <v>3.0268415620911426E-2</v>
      </c>
      <c r="BL144" s="1324">
        <f t="shared" si="781"/>
        <v>0.12055205030463356</v>
      </c>
      <c r="BM144" s="1324">
        <f t="shared" si="781"/>
        <v>-2.6363114722030234E-2</v>
      </c>
      <c r="BN144" s="1325">
        <f t="shared" si="781"/>
        <v>0.168875372139623</v>
      </c>
      <c r="BO144" s="1324">
        <f t="shared" si="781"/>
        <v>8.5437984081324192E-2</v>
      </c>
      <c r="BP144" s="1324">
        <f t="shared" si="781"/>
        <v>0.1649542278681746</v>
      </c>
      <c r="BQ144" s="1324">
        <f t="shared" si="781"/>
        <v>0.12895085618766267</v>
      </c>
      <c r="BR144" s="1325">
        <f t="shared" si="781"/>
        <v>0.10844899950020159</v>
      </c>
      <c r="BS144" s="1324">
        <f t="shared" si="781"/>
        <v>5.7428184835476292E-2</v>
      </c>
      <c r="BT144" s="1324">
        <f t="shared" si="781"/>
        <v>3.2529256596301792E-2</v>
      </c>
      <c r="BU144" s="1324">
        <f t="shared" si="781"/>
        <v>3.8896933507421405E-2</v>
      </c>
      <c r="BV144" s="1325">
        <f t="shared" si="781"/>
        <v>4.8235146572362275E-2</v>
      </c>
      <c r="BW144" s="1324">
        <f t="shared" si="781"/>
        <v>0.12195771054843596</v>
      </c>
      <c r="BX144" s="1324">
        <f t="shared" si="781"/>
        <v>7.6820575114429746E-2</v>
      </c>
      <c r="BY144" s="1324">
        <f t="shared" si="781"/>
        <v>0.10126436998196198</v>
      </c>
      <c r="BZ144" s="563">
        <f t="shared" si="781"/>
        <v>3.917226331067436E-2</v>
      </c>
      <c r="CA144" s="1065">
        <f t="shared" si="781"/>
        <v>1.4280175953895524E-2</v>
      </c>
      <c r="CB144" s="1065">
        <f t="shared" si="781"/>
        <v>4.8508998808292958E-2</v>
      </c>
      <c r="CC144" s="1065">
        <f t="shared" si="781"/>
        <v>0.11092174741736716</v>
      </c>
      <c r="CD144" s="563">
        <f t="shared" si="781"/>
        <v>4.8161869478483998E-2</v>
      </c>
      <c r="CE144" s="1065">
        <f t="shared" si="781"/>
        <v>4.1751732312951262E-3</v>
      </c>
      <c r="CF144" s="1065">
        <f t="shared" si="781"/>
        <v>1.3334281480690713E-2</v>
      </c>
      <c r="CG144" s="1065">
        <f t="shared" si="781"/>
        <v>1.2168755591531966E-2</v>
      </c>
      <c r="CH144" s="563">
        <f t="shared" si="781"/>
        <v>4.4860589994562439E-2</v>
      </c>
      <c r="CI144" s="1065">
        <f t="shared" si="781"/>
        <v>2.2162486780253232E-2</v>
      </c>
      <c r="CJ144" s="1065">
        <f t="shared" si="781"/>
        <v>5.5242091655989256E-2</v>
      </c>
      <c r="CK144" s="1065">
        <f t="shared" si="781"/>
        <v>-1.713320797139628E-2</v>
      </c>
      <c r="CL144" s="563">
        <f t="shared" si="781"/>
        <v>0.28171312118425273</v>
      </c>
      <c r="CM144" s="1065">
        <f t="shared" si="781"/>
        <v>0.22151224496388666</v>
      </c>
      <c r="CN144" s="1065">
        <f t="shared" si="781"/>
        <v>0.20456335069032416</v>
      </c>
      <c r="CO144" s="1065">
        <f t="shared" si="781"/>
        <v>0.42959261514671843</v>
      </c>
      <c r="CP144" s="563">
        <f t="shared" si="781"/>
        <v>0.11134955599498109</v>
      </c>
      <c r="CQ144" s="1065">
        <f t="shared" si="781"/>
        <v>0.16685313658048218</v>
      </c>
      <c r="CR144" s="1065"/>
      <c r="CS144" s="1065"/>
      <c r="CT144" s="563"/>
      <c r="CU144" s="1065"/>
      <c r="CV144" s="1065"/>
      <c r="CW144" s="1065"/>
      <c r="CX144" s="563"/>
      <c r="CY144" s="1065"/>
      <c r="CZ144" s="1065"/>
      <c r="DA144" s="1065"/>
      <c r="DB144" s="563"/>
      <c r="DC144" s="1065"/>
      <c r="DD144" s="1065"/>
      <c r="DE144" s="1065"/>
      <c r="DF144" s="563"/>
      <c r="DG144" s="1065"/>
      <c r="DH144" s="1065"/>
      <c r="DI144" s="564"/>
      <c r="DJ144" s="563"/>
      <c r="DK144" s="1065"/>
      <c r="DL144" s="1065"/>
      <c r="DM144" s="564"/>
      <c r="DN144" s="1065"/>
      <c r="DO144" s="1065"/>
      <c r="DP144" s="1065"/>
      <c r="DQ144" s="564"/>
      <c r="DR144" s="563"/>
      <c r="DS144" s="1065"/>
      <c r="DT144" s="1065"/>
      <c r="DU144" s="564"/>
      <c r="DV144" s="1065"/>
      <c r="DW144" s="1065"/>
      <c r="DX144" s="1065"/>
      <c r="DY144" s="564"/>
    </row>
    <row r="145" spans="1:129" s="1483" customFormat="1" ht="15" hidden="1" customHeight="1" outlineLevel="1">
      <c r="A145" s="1448" t="s">
        <v>949</v>
      </c>
      <c r="B145" s="1065"/>
      <c r="C145" s="1065"/>
      <c r="D145" s="1065"/>
      <c r="E145" s="1065"/>
      <c r="F145" s="1065"/>
      <c r="G145" s="1065"/>
      <c r="H145" s="1065"/>
      <c r="I145" s="1065"/>
      <c r="J145" s="1065"/>
      <c r="K145" s="1065"/>
      <c r="L145" s="1065"/>
      <c r="M145" s="1065"/>
      <c r="N145" s="1065"/>
      <c r="O145" s="1065"/>
      <c r="P145" s="1065"/>
      <c r="Q145" s="1065"/>
      <c r="R145" s="1065"/>
      <c r="S145" s="1065"/>
      <c r="T145" s="1065"/>
      <c r="U145" s="1065"/>
      <c r="V145" s="1065"/>
      <c r="W145" s="1065"/>
      <c r="X145" s="1065"/>
      <c r="Y145" s="1065"/>
      <c r="Z145" s="1065"/>
      <c r="AA145" s="1065"/>
      <c r="AB145" s="1065"/>
      <c r="AC145" s="1065"/>
      <c r="AD145" s="1065"/>
      <c r="AE145" s="1065"/>
      <c r="AF145" s="1065"/>
      <c r="AG145" s="1065"/>
      <c r="AH145" s="2208"/>
      <c r="AI145" s="1927"/>
      <c r="AJ145" s="2207"/>
      <c r="AK145" s="1324"/>
      <c r="AL145" s="1324"/>
      <c r="AM145" s="1324"/>
      <c r="AN145" s="1324"/>
      <c r="AO145" s="1324"/>
      <c r="AP145" s="1325"/>
      <c r="AQ145" s="1324"/>
      <c r="AR145" s="1324"/>
      <c r="AS145" s="1324"/>
      <c r="AT145" s="1325"/>
      <c r="AU145" s="1324"/>
      <c r="AV145" s="1324"/>
      <c r="AW145" s="1324"/>
      <c r="AX145" s="1325"/>
      <c r="AY145" s="1324">
        <f t="shared" ref="AY145:CQ145" si="782">AY143/AX143-1</f>
        <v>-6.3919431457203246E-2</v>
      </c>
      <c r="AZ145" s="1324">
        <f t="shared" si="782"/>
        <v>5.0276536517471326E-2</v>
      </c>
      <c r="BA145" s="1324">
        <f t="shared" si="782"/>
        <v>0.33966811402107044</v>
      </c>
      <c r="BB145" s="1325">
        <f t="shared" si="782"/>
        <v>-8.7118484977404487E-2</v>
      </c>
      <c r="BC145" s="1324">
        <f t="shared" si="782"/>
        <v>-2.6278407644272028E-2</v>
      </c>
      <c r="BD145" s="1324">
        <f t="shared" si="782"/>
        <v>0.17250107311130303</v>
      </c>
      <c r="BE145" s="1324">
        <f t="shared" si="782"/>
        <v>0.19219422486392834</v>
      </c>
      <c r="BF145" s="1325">
        <f t="shared" si="782"/>
        <v>-0.16747590613321006</v>
      </c>
      <c r="BG145" s="1324">
        <f t="shared" si="782"/>
        <v>-2.67245990842786E-2</v>
      </c>
      <c r="BH145" s="1324">
        <f t="shared" si="782"/>
        <v>-3.217160751658299E-2</v>
      </c>
      <c r="BI145" s="1324">
        <f t="shared" si="782"/>
        <v>0.17061471737228828</v>
      </c>
      <c r="BJ145" s="1325">
        <f t="shared" si="782"/>
        <v>-0.18940219871937003</v>
      </c>
      <c r="BK145" s="1324">
        <f t="shared" si="782"/>
        <v>0.12184440481390402</v>
      </c>
      <c r="BL145" s="1324">
        <f t="shared" si="782"/>
        <v>5.2640334399394639E-2</v>
      </c>
      <c r="BM145" s="1324">
        <f t="shared" si="782"/>
        <v>1.7135854575476284E-2</v>
      </c>
      <c r="BN145" s="1325">
        <f t="shared" si="782"/>
        <v>-2.6857115877494397E-2</v>
      </c>
      <c r="BO145" s="1324">
        <f t="shared" si="782"/>
        <v>4.1764210486473274E-2</v>
      </c>
      <c r="BP145" s="1324">
        <f t="shared" si="782"/>
        <v>0.12975391129417813</v>
      </c>
      <c r="BQ145" s="1324">
        <f t="shared" si="782"/>
        <v>-1.4299131749153648E-2</v>
      </c>
      <c r="BR145" s="1325">
        <f t="shared" si="782"/>
        <v>-4.4529484729824431E-2</v>
      </c>
      <c r="BS145" s="1324">
        <f t="shared" si="782"/>
        <v>-6.1871690822216108E-3</v>
      </c>
      <c r="BT145" s="1324">
        <f t="shared" si="782"/>
        <v>0.10315195196620985</v>
      </c>
      <c r="BU145" s="1324">
        <f t="shared" si="782"/>
        <v>-8.2202486376744544E-3</v>
      </c>
      <c r="BV145" s="1325">
        <f t="shared" si="782"/>
        <v>-3.5941157090104814E-2</v>
      </c>
      <c r="BW145" s="1324">
        <f t="shared" si="782"/>
        <v>6.3707863771002016E-2</v>
      </c>
      <c r="BX145" s="1324">
        <f t="shared" si="782"/>
        <v>5.8771385219315908E-2</v>
      </c>
      <c r="BY145" s="1324">
        <f t="shared" si="782"/>
        <v>1.4293122072665865E-2</v>
      </c>
      <c r="BZ145" s="563">
        <f t="shared" si="782"/>
        <v>-9.0297264617981932E-2</v>
      </c>
      <c r="CA145" s="1065">
        <f t="shared" si="782"/>
        <v>3.8228056426332202E-2</v>
      </c>
      <c r="CB145" s="1065">
        <f t="shared" si="782"/>
        <v>9.4501648954278483E-2</v>
      </c>
      <c r="CC145" s="1065">
        <f t="shared" si="782"/>
        <v>7.466916244598143E-2</v>
      </c>
      <c r="CD145" s="563">
        <f t="shared" si="782"/>
        <v>-0.14168957264145088</v>
      </c>
      <c r="CE145" s="1065">
        <f t="shared" si="782"/>
        <v>-5.341761827079905E-3</v>
      </c>
      <c r="CF145" s="1065">
        <f t="shared" si="782"/>
        <v>0.10448462737193487</v>
      </c>
      <c r="CG145" s="1065">
        <f t="shared" si="782"/>
        <v>7.3433089854732403E-2</v>
      </c>
      <c r="CH145" s="563">
        <f t="shared" si="782"/>
        <v>-0.11396717733672601</v>
      </c>
      <c r="CI145" s="1065">
        <f t="shared" si="782"/>
        <v>-2.6949290687106386E-2</v>
      </c>
      <c r="CJ145" s="1065">
        <f t="shared" si="782"/>
        <v>0.14022837216526418</v>
      </c>
      <c r="CK145" s="1065">
        <f t="shared" si="782"/>
        <v>-1.898656002264909E-4</v>
      </c>
      <c r="CL145" s="563">
        <f t="shared" si="782"/>
        <v>0.15543622372622456</v>
      </c>
      <c r="CM145" s="1065">
        <f t="shared" si="782"/>
        <v>-7.2652579776759096E-2</v>
      </c>
      <c r="CN145" s="1065">
        <f t="shared" si="782"/>
        <v>0.12440731903442392</v>
      </c>
      <c r="CO145" s="1065">
        <f t="shared" si="782"/>
        <v>0.18658863717515017</v>
      </c>
      <c r="CP145" s="563">
        <f t="shared" si="782"/>
        <v>-0.10177660361873686</v>
      </c>
      <c r="CQ145" s="1065">
        <f t="shared" si="782"/>
        <v>-2.6338526748649893E-2</v>
      </c>
      <c r="CR145" s="1065"/>
      <c r="CS145" s="1065"/>
      <c r="CT145" s="563"/>
      <c r="CU145" s="1065"/>
      <c r="CV145" s="1065"/>
      <c r="CW145" s="1065"/>
      <c r="CX145" s="563"/>
      <c r="CY145" s="1065"/>
      <c r="CZ145" s="1065"/>
      <c r="DA145" s="1065"/>
      <c r="DB145" s="563"/>
      <c r="DC145" s="1065"/>
      <c r="DD145" s="1065"/>
      <c r="DE145" s="1065"/>
      <c r="DF145" s="563"/>
      <c r="DG145" s="1065"/>
      <c r="DH145" s="1065"/>
      <c r="DI145" s="564"/>
      <c r="DJ145" s="563"/>
      <c r="DK145" s="1065"/>
      <c r="DL145" s="1065"/>
      <c r="DM145" s="564"/>
      <c r="DN145" s="1065"/>
      <c r="DO145" s="1065"/>
      <c r="DP145" s="1065"/>
      <c r="DQ145" s="564"/>
      <c r="DR145" s="563"/>
      <c r="DS145" s="1065"/>
      <c r="DT145" s="1065"/>
      <c r="DU145" s="564"/>
      <c r="DV145" s="1065"/>
      <c r="DW145" s="1065"/>
      <c r="DX145" s="1065"/>
      <c r="DY145" s="564"/>
    </row>
    <row r="146" spans="1:129" s="1491" customFormat="1" ht="15" hidden="1" customHeight="1" outlineLevel="1">
      <c r="A146" s="1449" t="s">
        <v>1493</v>
      </c>
      <c r="B146" s="1505"/>
      <c r="C146" s="1064"/>
      <c r="D146" s="1070"/>
      <c r="E146" s="1070"/>
      <c r="F146" s="1070"/>
      <c r="G146" s="1229"/>
      <c r="H146" s="1070">
        <f t="shared" ref="H146:Q146" si="783">H143-G143</f>
        <v>2547.7459999999992</v>
      </c>
      <c r="I146" s="1070">
        <f t="shared" si="783"/>
        <v>187.59399999999914</v>
      </c>
      <c r="J146" s="1070">
        <f t="shared" si="783"/>
        <v>21.619500000000698</v>
      </c>
      <c r="K146" s="1070">
        <f t="shared" si="783"/>
        <v>1527.594000000001</v>
      </c>
      <c r="L146" s="1070">
        <f t="shared" si="783"/>
        <v>731.44049999999879</v>
      </c>
      <c r="M146" s="1070">
        <f t="shared" si="783"/>
        <v>1171.8119999999999</v>
      </c>
      <c r="N146" s="1070">
        <f t="shared" si="783"/>
        <v>795.90235000000212</v>
      </c>
      <c r="O146" s="1070">
        <f t="shared" si="783"/>
        <v>289.52529999999933</v>
      </c>
      <c r="P146" s="1070">
        <f t="shared" si="783"/>
        <v>394.97434999999859</v>
      </c>
      <c r="Q146" s="1070">
        <f t="shared" si="783"/>
        <v>4614.5225000000028</v>
      </c>
      <c r="R146" s="1070"/>
      <c r="S146" s="1070"/>
      <c r="T146" s="1070"/>
      <c r="U146" s="1070"/>
      <c r="V146" s="1070"/>
      <c r="W146" s="1070"/>
      <c r="X146" s="1070"/>
      <c r="Y146" s="1070"/>
      <c r="Z146" s="1070"/>
      <c r="AA146" s="1070"/>
      <c r="AB146" s="1070"/>
      <c r="AC146" s="1070"/>
      <c r="AD146" s="1070"/>
      <c r="AE146" s="1070"/>
      <c r="AF146" s="1070"/>
      <c r="AG146" s="1070"/>
      <c r="AH146" s="2201"/>
      <c r="AI146" s="1927"/>
      <c r="AJ146" s="1561"/>
      <c r="AK146" s="1334"/>
      <c r="AL146" s="1334"/>
      <c r="AM146" s="1319"/>
      <c r="AN146" s="1334"/>
      <c r="AO146" s="1334"/>
      <c r="AP146" s="1496"/>
      <c r="AQ146" s="1334"/>
      <c r="AR146" s="1334"/>
      <c r="AS146" s="1334"/>
      <c r="AT146" s="1496"/>
      <c r="AU146" s="1334"/>
      <c r="AV146" s="1334"/>
      <c r="AW146" s="1334"/>
      <c r="AX146" s="1496"/>
      <c r="AY146" s="1334">
        <f t="shared" ref="AY146:CK146" si="784">AY143-AX143</f>
        <v>-130.5005000000001</v>
      </c>
      <c r="AZ146" s="1334">
        <f t="shared" si="784"/>
        <v>96.085500000000138</v>
      </c>
      <c r="BA146" s="1334">
        <f t="shared" si="784"/>
        <v>681.79050000000007</v>
      </c>
      <c r="BB146" s="1496">
        <f t="shared" si="784"/>
        <v>-234.26300000000037</v>
      </c>
      <c r="BC146" s="1334">
        <f t="shared" si="784"/>
        <v>-64.506999999999607</v>
      </c>
      <c r="BD146" s="1334">
        <f t="shared" si="784"/>
        <v>412.31999999999971</v>
      </c>
      <c r="BE146" s="1334">
        <f t="shared" si="784"/>
        <v>538.63700000000017</v>
      </c>
      <c r="BF146" s="1496">
        <f t="shared" si="784"/>
        <v>-559.57099999999991</v>
      </c>
      <c r="BG146" s="1334">
        <f t="shared" si="784"/>
        <v>-74.338000000000193</v>
      </c>
      <c r="BH146" s="1334">
        <f t="shared" si="784"/>
        <v>-87.097999999999956</v>
      </c>
      <c r="BI146" s="1334">
        <f t="shared" si="784"/>
        <v>447.04400000000032</v>
      </c>
      <c r="BJ146" s="1496">
        <f t="shared" si="784"/>
        <v>-580.94200000000046</v>
      </c>
      <c r="BK146" s="1334">
        <f t="shared" si="784"/>
        <v>302.94149999999991</v>
      </c>
      <c r="BL146" s="1334">
        <f t="shared" si="784"/>
        <v>146.82650000000012</v>
      </c>
      <c r="BM146" s="1334">
        <f t="shared" si="784"/>
        <v>50.312000000000353</v>
      </c>
      <c r="BN146" s="1496">
        <f t="shared" si="784"/>
        <v>-80.205500000000029</v>
      </c>
      <c r="BO146" s="1334">
        <f t="shared" si="784"/>
        <v>121.37400000000025</v>
      </c>
      <c r="BP146" s="1334">
        <f t="shared" si="784"/>
        <v>392.83599999999933</v>
      </c>
      <c r="BQ146" s="1334">
        <f t="shared" si="784"/>
        <v>-48.908499999999549</v>
      </c>
      <c r="BR146" s="1496">
        <f t="shared" si="784"/>
        <v>-150.13000000000011</v>
      </c>
      <c r="BS146" s="1334">
        <f t="shared" si="784"/>
        <v>-19.93100000000004</v>
      </c>
      <c r="BT146" s="1334">
        <f t="shared" si="784"/>
        <v>330.23199999999997</v>
      </c>
      <c r="BU146" s="1334">
        <f t="shared" si="784"/>
        <v>-29.030999999999949</v>
      </c>
      <c r="BV146" s="1496">
        <f t="shared" si="784"/>
        <v>-125.88800000000037</v>
      </c>
      <c r="BW146" s="1334">
        <f t="shared" si="784"/>
        <v>215.12400000000071</v>
      </c>
      <c r="BX146" s="1334">
        <f t="shared" si="784"/>
        <v>211.0979999999995</v>
      </c>
      <c r="BY146" s="1334">
        <f t="shared" si="784"/>
        <v>54.356000000000222</v>
      </c>
      <c r="BZ146" s="607">
        <f t="shared" si="784"/>
        <v>-348.30400000000009</v>
      </c>
      <c r="CA146" s="1070">
        <f t="shared" si="784"/>
        <v>134.14224999999988</v>
      </c>
      <c r="CB146" s="1070">
        <f t="shared" si="784"/>
        <v>344.28295000000026</v>
      </c>
      <c r="CC146" s="1070">
        <f t="shared" si="784"/>
        <v>297.73770000000013</v>
      </c>
      <c r="CD146" s="607">
        <f t="shared" si="784"/>
        <v>-607.16290000000026</v>
      </c>
      <c r="CE146" s="1070">
        <f t="shared" si="784"/>
        <v>-19.646999999999935</v>
      </c>
      <c r="CF146" s="1070">
        <f t="shared" si="784"/>
        <v>382.24164999999994</v>
      </c>
      <c r="CG146" s="1070">
        <f t="shared" si="784"/>
        <v>296.7133500000009</v>
      </c>
      <c r="CH146" s="607">
        <f t="shared" si="784"/>
        <v>-494.31075000000055</v>
      </c>
      <c r="CI146" s="1070">
        <f t="shared" si="784"/>
        <v>-103.56605000000036</v>
      </c>
      <c r="CJ146" s="1070">
        <f t="shared" si="784"/>
        <v>524.37435000000005</v>
      </c>
      <c r="CK146" s="1070">
        <f t="shared" si="784"/>
        <v>-0.8095499999999447</v>
      </c>
      <c r="CL146" s="607">
        <f t="shared" ref="CL146:CQ146" si="785">CL143-CK135</f>
        <v>-463.83319999999912</v>
      </c>
      <c r="CM146" s="1070">
        <f t="shared" si="785"/>
        <v>-357.85900000000038</v>
      </c>
      <c r="CN146" s="1070">
        <f t="shared" si="785"/>
        <v>568.26289999999972</v>
      </c>
      <c r="CO146" s="1070">
        <f t="shared" si="785"/>
        <v>958.32369999999992</v>
      </c>
      <c r="CP146" s="607">
        <f t="shared" si="785"/>
        <v>-620.26200000000063</v>
      </c>
      <c r="CQ146" s="1070">
        <f t="shared" si="785"/>
        <v>-144.17934999999943</v>
      </c>
      <c r="CR146" s="1070"/>
      <c r="CS146" s="1070"/>
      <c r="CT146" s="607"/>
      <c r="CU146" s="1070"/>
      <c r="CV146" s="1070"/>
      <c r="CW146" s="1070"/>
      <c r="CX146" s="607"/>
      <c r="CY146" s="1070"/>
      <c r="CZ146" s="1070"/>
      <c r="DA146" s="1070"/>
      <c r="DB146" s="607"/>
      <c r="DC146" s="1070"/>
      <c r="DD146" s="1070"/>
      <c r="DE146" s="1070"/>
      <c r="DF146" s="607"/>
      <c r="DG146" s="1070"/>
      <c r="DH146" s="1070"/>
      <c r="DI146" s="608"/>
      <c r="DJ146" s="607"/>
      <c r="DK146" s="1070"/>
      <c r="DL146" s="1070"/>
      <c r="DM146" s="608"/>
      <c r="DN146" s="1070"/>
      <c r="DO146" s="1070"/>
      <c r="DP146" s="1070"/>
      <c r="DQ146" s="608"/>
      <c r="DR146" s="607"/>
      <c r="DS146" s="1070"/>
      <c r="DT146" s="1070"/>
      <c r="DU146" s="608"/>
      <c r="DV146" s="1070"/>
      <c r="DW146" s="1070"/>
      <c r="DX146" s="1070"/>
      <c r="DY146" s="608"/>
    </row>
    <row r="147" spans="1:129" s="1491" customFormat="1" ht="15" hidden="1" customHeight="1" outlineLevel="1">
      <c r="A147" s="1454" t="s">
        <v>1494</v>
      </c>
      <c r="B147" s="1472"/>
      <c r="C147" s="1472"/>
      <c r="D147" s="1479"/>
      <c r="E147" s="1479"/>
      <c r="F147" s="1479"/>
      <c r="G147" s="1506"/>
      <c r="H147" s="1479"/>
      <c r="I147" s="1479"/>
      <c r="J147" s="1479"/>
      <c r="K147" s="1479"/>
      <c r="L147" s="1479"/>
      <c r="M147" s="1479"/>
      <c r="N147" s="1479">
        <f>SUM(BZ147:CC147)</f>
        <v>3825.4369999999999</v>
      </c>
      <c r="O147" s="1479">
        <f>SUM(CD147:CG147)</f>
        <v>3586.2869999999994</v>
      </c>
      <c r="P147" s="1479">
        <f>SUM(CH147:CK147)</f>
        <v>4463.5411999999997</v>
      </c>
      <c r="Q147" s="1113"/>
      <c r="R147" s="1488"/>
      <c r="S147" s="1488"/>
      <c r="T147" s="1488"/>
      <c r="U147" s="1488"/>
      <c r="V147" s="1488"/>
      <c r="W147" s="1488"/>
      <c r="X147" s="1488"/>
      <c r="Y147" s="1488"/>
      <c r="Z147" s="1488"/>
      <c r="AA147" s="1488"/>
      <c r="AB147" s="1488"/>
      <c r="AC147" s="1488"/>
      <c r="AD147" s="1488"/>
      <c r="AE147" s="1488"/>
      <c r="AF147" s="1488"/>
      <c r="AG147" s="1488"/>
      <c r="AH147" s="2201"/>
      <c r="AI147" s="1927"/>
      <c r="AJ147" s="1561"/>
      <c r="AK147" s="1334"/>
      <c r="AL147" s="1334"/>
      <c r="AM147" s="1319"/>
      <c r="AN147" s="1334"/>
      <c r="AO147" s="1334"/>
      <c r="AP147" s="1496"/>
      <c r="AQ147" s="1334"/>
      <c r="AR147" s="1334"/>
      <c r="AS147" s="1334"/>
      <c r="AT147" s="1496"/>
      <c r="AU147" s="1334"/>
      <c r="AV147" s="1334"/>
      <c r="AW147" s="1334"/>
      <c r="AX147" s="1496"/>
      <c r="AY147" s="1334"/>
      <c r="AZ147" s="1334"/>
      <c r="BA147" s="1334"/>
      <c r="BB147" s="1496"/>
      <c r="BC147" s="1334"/>
      <c r="BD147" s="1334"/>
      <c r="BE147" s="1334"/>
      <c r="BF147" s="1496"/>
      <c r="BG147" s="1334"/>
      <c r="BH147" s="1334"/>
      <c r="BI147" s="1334"/>
      <c r="BJ147" s="1496"/>
      <c r="BK147" s="1334"/>
      <c r="BL147" s="1334"/>
      <c r="BM147" s="1334"/>
      <c r="BN147" s="1496"/>
      <c r="BO147" s="1334"/>
      <c r="BP147" s="1334"/>
      <c r="BQ147" s="1334"/>
      <c r="BR147" s="1496"/>
      <c r="BS147" s="1334"/>
      <c r="BT147" s="1334"/>
      <c r="BU147" s="1334"/>
      <c r="BV147" s="1496"/>
      <c r="BW147" s="1334"/>
      <c r="BX147" s="1334"/>
      <c r="BY147" s="1334"/>
      <c r="BZ147" s="1480">
        <f t="shared" ref="BZ147:CJ147" si="786">SUM(BZ149:BZ151)</f>
        <v>805.45399999999995</v>
      </c>
      <c r="CA147" s="1479">
        <f t="shared" si="786"/>
        <v>882.68400000000008</v>
      </c>
      <c r="CB147" s="1479">
        <f t="shared" si="786"/>
        <v>805.4</v>
      </c>
      <c r="CC147" s="1479">
        <f t="shared" si="786"/>
        <v>1331.8989999999999</v>
      </c>
      <c r="CD147" s="1480">
        <f t="shared" si="786"/>
        <v>867.47299999999996</v>
      </c>
      <c r="CE147" s="1479">
        <f t="shared" si="786"/>
        <v>789.96100000000001</v>
      </c>
      <c r="CF147" s="1479">
        <f t="shared" si="786"/>
        <v>904.80099999999993</v>
      </c>
      <c r="CG147" s="1479">
        <f t="shared" si="786"/>
        <v>1024.0519999999999</v>
      </c>
      <c r="CH147" s="607">
        <f t="shared" si="786"/>
        <v>1093.2840000000001</v>
      </c>
      <c r="CI147" s="1070">
        <f t="shared" si="786"/>
        <v>1082.3</v>
      </c>
      <c r="CJ147" s="1070">
        <f t="shared" si="786"/>
        <v>1161.5</v>
      </c>
      <c r="CK147" s="1070">
        <f>+CG147*(1+CK148)</f>
        <v>1126.4572000000001</v>
      </c>
      <c r="CL147" s="607"/>
      <c r="CM147" s="1070"/>
      <c r="CN147" s="1070"/>
      <c r="CO147" s="1070"/>
      <c r="CP147" s="607"/>
      <c r="CQ147" s="1070"/>
      <c r="CR147" s="1070"/>
      <c r="CS147" s="1070"/>
      <c r="CT147" s="607"/>
      <c r="CU147" s="1070"/>
      <c r="CV147" s="1070"/>
      <c r="CW147" s="1070"/>
      <c r="CX147" s="607"/>
      <c r="CY147" s="1070"/>
      <c r="CZ147" s="1070"/>
      <c r="DA147" s="1070"/>
      <c r="DB147" s="607"/>
      <c r="DC147" s="1070"/>
      <c r="DD147" s="1070"/>
      <c r="DE147" s="1070"/>
      <c r="DF147" s="607"/>
      <c r="DG147" s="1070"/>
      <c r="DH147" s="1070"/>
      <c r="DI147" s="608"/>
      <c r="DJ147" s="607"/>
      <c r="DK147" s="1070"/>
      <c r="DL147" s="1070"/>
      <c r="DM147" s="608"/>
      <c r="DN147" s="1070"/>
      <c r="DO147" s="1070"/>
      <c r="DP147" s="1070"/>
      <c r="DQ147" s="608"/>
      <c r="DR147" s="607"/>
      <c r="DS147" s="1070"/>
      <c r="DT147" s="1070"/>
      <c r="DU147" s="608"/>
      <c r="DV147" s="1070"/>
      <c r="DW147" s="1070"/>
      <c r="DX147" s="1070"/>
      <c r="DY147" s="608"/>
    </row>
    <row r="148" spans="1:129" s="1483" customFormat="1" ht="15" hidden="1" customHeight="1" outlineLevel="1">
      <c r="A148" s="1451" t="s">
        <v>1453</v>
      </c>
      <c r="B148" s="1473"/>
      <c r="C148" s="1473"/>
      <c r="D148" s="1473"/>
      <c r="E148" s="1473"/>
      <c r="F148" s="1473"/>
      <c r="G148" s="1473"/>
      <c r="H148" s="1473"/>
      <c r="I148" s="1473"/>
      <c r="J148" s="1473"/>
      <c r="K148" s="1473"/>
      <c r="L148" s="1473"/>
      <c r="M148" s="1473"/>
      <c r="N148" s="1473"/>
      <c r="O148" s="1473">
        <f>O147/N147-1</f>
        <v>-6.2515733496591563E-2</v>
      </c>
      <c r="P148" s="1473">
        <f>P147/O147-1</f>
        <v>0.24461349579662772</v>
      </c>
      <c r="Q148" s="1065"/>
      <c r="R148" s="1065"/>
      <c r="S148" s="1065"/>
      <c r="T148" s="1065"/>
      <c r="U148" s="1065"/>
      <c r="V148" s="1065"/>
      <c r="W148" s="1065"/>
      <c r="X148" s="1065"/>
      <c r="Y148" s="1065"/>
      <c r="Z148" s="1065"/>
      <c r="AA148" s="1065"/>
      <c r="AB148" s="1065"/>
      <c r="AC148" s="1065"/>
      <c r="AD148" s="1065"/>
      <c r="AE148" s="1065"/>
      <c r="AF148" s="1065"/>
      <c r="AG148" s="1065"/>
      <c r="AH148" s="2208"/>
      <c r="AI148" s="1927"/>
      <c r="AJ148" s="2207"/>
      <c r="AK148" s="1324"/>
      <c r="AL148" s="1324"/>
      <c r="AM148" s="1324"/>
      <c r="AN148" s="1324"/>
      <c r="AO148" s="1324"/>
      <c r="AP148" s="1325"/>
      <c r="AQ148" s="1324"/>
      <c r="AR148" s="1324"/>
      <c r="AS148" s="1324"/>
      <c r="AT148" s="1325"/>
      <c r="AU148" s="1324"/>
      <c r="AV148" s="1324"/>
      <c r="AW148" s="1324"/>
      <c r="AX148" s="1325"/>
      <c r="AY148" s="1324"/>
      <c r="AZ148" s="1324"/>
      <c r="BA148" s="1324"/>
      <c r="BB148" s="1325"/>
      <c r="BC148" s="1324"/>
      <c r="BD148" s="1324"/>
      <c r="BE148" s="1324"/>
      <c r="BF148" s="1325"/>
      <c r="BG148" s="1324"/>
      <c r="BH148" s="1324"/>
      <c r="BI148" s="1324"/>
      <c r="BJ148" s="1325"/>
      <c r="BK148" s="1324"/>
      <c r="BL148" s="1324"/>
      <c r="BM148" s="1324"/>
      <c r="BN148" s="1325"/>
      <c r="BO148" s="1324"/>
      <c r="BP148" s="1324"/>
      <c r="BQ148" s="1324"/>
      <c r="BR148" s="1325"/>
      <c r="BS148" s="1324"/>
      <c r="BT148" s="1324"/>
      <c r="BU148" s="1324"/>
      <c r="BV148" s="1325"/>
      <c r="BW148" s="1324"/>
      <c r="BX148" s="1324"/>
      <c r="BY148" s="1324"/>
      <c r="BZ148" s="1481"/>
      <c r="CA148" s="1473"/>
      <c r="CB148" s="1473"/>
      <c r="CC148" s="1473"/>
      <c r="CD148" s="1481">
        <f t="shared" ref="CD148:CJ148" si="787">CD147/BZ147-1</f>
        <v>7.6998810608675416E-2</v>
      </c>
      <c r="CE148" s="1473">
        <f t="shared" si="787"/>
        <v>-0.10504665316240025</v>
      </c>
      <c r="CF148" s="1473">
        <f t="shared" si="787"/>
        <v>0.12341817730320326</v>
      </c>
      <c r="CG148" s="1473">
        <f t="shared" si="787"/>
        <v>-0.23113389228462522</v>
      </c>
      <c r="CH148" s="563">
        <f t="shared" si="787"/>
        <v>0.26030896638857937</v>
      </c>
      <c r="CI148" s="1065">
        <f t="shared" si="787"/>
        <v>0.37006763625039718</v>
      </c>
      <c r="CJ148" s="1065">
        <f t="shared" si="787"/>
        <v>0.28370768820989367</v>
      </c>
      <c r="CK148" s="1059">
        <v>0.1</v>
      </c>
      <c r="CL148" s="165"/>
      <c r="CM148" s="1059"/>
      <c r="CN148" s="1059"/>
      <c r="CO148" s="1059"/>
      <c r="CP148" s="165"/>
      <c r="CQ148" s="1059"/>
      <c r="CR148" s="1059"/>
      <c r="CS148" s="1059"/>
      <c r="CT148" s="165"/>
      <c r="CU148" s="1059"/>
      <c r="CV148" s="1059"/>
      <c r="CW148" s="1059"/>
      <c r="CX148" s="165"/>
      <c r="CY148" s="1059"/>
      <c r="CZ148" s="1059"/>
      <c r="DA148" s="1059"/>
      <c r="DB148" s="165"/>
      <c r="DC148" s="1059"/>
      <c r="DD148" s="1059"/>
      <c r="DE148" s="1059"/>
      <c r="DF148" s="165"/>
      <c r="DG148" s="1059"/>
      <c r="DH148" s="1059"/>
      <c r="DI148" s="166"/>
      <c r="DJ148" s="165"/>
      <c r="DK148" s="1059"/>
      <c r="DL148" s="1059"/>
      <c r="DM148" s="166"/>
      <c r="DN148" s="1059"/>
      <c r="DO148" s="1059"/>
      <c r="DP148" s="1059"/>
      <c r="DQ148" s="166"/>
      <c r="DR148" s="165"/>
      <c r="DS148" s="1059"/>
      <c r="DT148" s="1059"/>
      <c r="DU148" s="166"/>
      <c r="DV148" s="1059"/>
      <c r="DW148" s="1059"/>
      <c r="DX148" s="1059"/>
      <c r="DY148" s="166"/>
    </row>
    <row r="149" spans="1:129" s="1491" customFormat="1" ht="15" hidden="1" customHeight="1" outlineLevel="1">
      <c r="A149" s="1458" t="s">
        <v>1478</v>
      </c>
      <c r="B149" s="1472"/>
      <c r="C149" s="1472"/>
      <c r="D149" s="1479"/>
      <c r="E149" s="1479"/>
      <c r="F149" s="1479"/>
      <c r="G149" s="1506"/>
      <c r="H149" s="1479"/>
      <c r="I149" s="1479"/>
      <c r="J149" s="1479"/>
      <c r="K149" s="1479"/>
      <c r="L149" s="1479"/>
      <c r="M149" s="1479"/>
      <c r="N149" s="1479"/>
      <c r="O149" s="1479">
        <f>SUM(CD149:CG149)</f>
        <v>2399.2379999999994</v>
      </c>
      <c r="P149" s="1479">
        <f>SUM(CH149:CK149)</f>
        <v>1892.9489999999998</v>
      </c>
      <c r="Q149" s="1488"/>
      <c r="R149" s="1488"/>
      <c r="S149" s="1488"/>
      <c r="T149" s="1488"/>
      <c r="U149" s="1488"/>
      <c r="V149" s="1488"/>
      <c r="W149" s="1488"/>
      <c r="X149" s="1488"/>
      <c r="Y149" s="1488"/>
      <c r="Z149" s="1488"/>
      <c r="AA149" s="1488"/>
      <c r="AB149" s="1488"/>
      <c r="AC149" s="1488"/>
      <c r="AD149" s="1488"/>
      <c r="AE149" s="1488"/>
      <c r="AF149" s="1488"/>
      <c r="AG149" s="1488"/>
      <c r="AH149" s="2201"/>
      <c r="AI149" s="1927"/>
      <c r="AJ149" s="1561"/>
      <c r="AK149" s="1334"/>
      <c r="AL149" s="1334"/>
      <c r="AM149" s="1319"/>
      <c r="AN149" s="1334"/>
      <c r="AO149" s="1334"/>
      <c r="AP149" s="1496"/>
      <c r="AQ149" s="1334"/>
      <c r="AR149" s="1334"/>
      <c r="AS149" s="1334"/>
      <c r="AT149" s="1496"/>
      <c r="AU149" s="1334"/>
      <c r="AV149" s="1334"/>
      <c r="AW149" s="1334"/>
      <c r="AX149" s="1496"/>
      <c r="AY149" s="1334"/>
      <c r="AZ149" s="1334"/>
      <c r="BA149" s="1334"/>
      <c r="BB149" s="1496"/>
      <c r="BC149" s="1334"/>
      <c r="BD149" s="1334"/>
      <c r="BE149" s="1334"/>
      <c r="BF149" s="1496"/>
      <c r="BG149" s="1334"/>
      <c r="BH149" s="1334"/>
      <c r="BI149" s="1334"/>
      <c r="BJ149" s="1496"/>
      <c r="BK149" s="1334"/>
      <c r="BL149" s="1334"/>
      <c r="BM149" s="1334"/>
      <c r="BN149" s="1496"/>
      <c r="BO149" s="1334"/>
      <c r="BP149" s="1334"/>
      <c r="BQ149" s="1334"/>
      <c r="BR149" s="1496"/>
      <c r="BS149" s="1334"/>
      <c r="BT149" s="1334"/>
      <c r="BU149" s="1334"/>
      <c r="BV149" s="1496"/>
      <c r="BW149" s="1334"/>
      <c r="BX149" s="1334"/>
      <c r="BY149" s="1334"/>
      <c r="BZ149" s="450">
        <v>805.45399999999995</v>
      </c>
      <c r="CA149" s="1363">
        <v>770.58900000000006</v>
      </c>
      <c r="CB149" s="1363">
        <v>829.30399999999997</v>
      </c>
      <c r="CC149" s="1363">
        <v>898.56</v>
      </c>
      <c r="CD149" s="450">
        <v>532.15099999999995</v>
      </c>
      <c r="CE149" s="1363">
        <v>555.89499999999998</v>
      </c>
      <c r="CF149" s="1363">
        <v>644.05499999999995</v>
      </c>
      <c r="CG149" s="1363">
        <v>667.13699999999994</v>
      </c>
      <c r="CH149" s="251">
        <v>588.84900000000005</v>
      </c>
      <c r="CI149" s="1131">
        <v>609.79999999999995</v>
      </c>
      <c r="CJ149" s="1131">
        <v>694.3</v>
      </c>
      <c r="CK149" s="1043"/>
      <c r="CL149" s="496"/>
      <c r="CM149" s="1043"/>
      <c r="CN149" s="1043"/>
      <c r="CO149" s="1043"/>
      <c r="CP149" s="496"/>
      <c r="CQ149" s="1043"/>
      <c r="CR149" s="1043"/>
      <c r="CS149" s="1043"/>
      <c r="CT149" s="496"/>
      <c r="CU149" s="1043"/>
      <c r="CV149" s="1043"/>
      <c r="CW149" s="1043"/>
      <c r="CX149" s="496"/>
      <c r="CY149" s="1043"/>
      <c r="CZ149" s="1043"/>
      <c r="DA149" s="1043"/>
      <c r="DB149" s="496"/>
      <c r="DC149" s="1043"/>
      <c r="DD149" s="1043"/>
      <c r="DE149" s="1043"/>
      <c r="DF149" s="496"/>
      <c r="DG149" s="1043"/>
      <c r="DH149" s="1043"/>
      <c r="DI149" s="497"/>
      <c r="DJ149" s="496"/>
      <c r="DK149" s="1043"/>
      <c r="DL149" s="1043"/>
      <c r="DM149" s="497"/>
      <c r="DN149" s="1043"/>
      <c r="DO149" s="1043"/>
      <c r="DP149" s="1043"/>
      <c r="DQ149" s="497"/>
      <c r="DR149" s="496"/>
      <c r="DS149" s="1043"/>
      <c r="DT149" s="1043"/>
      <c r="DU149" s="497"/>
      <c r="DV149" s="1043"/>
      <c r="DW149" s="1043"/>
      <c r="DX149" s="1043"/>
      <c r="DY149" s="497"/>
    </row>
    <row r="150" spans="1:129" s="1491" customFormat="1" ht="15" hidden="1" customHeight="1" outlineLevel="1">
      <c r="A150" s="1458" t="s">
        <v>1479</v>
      </c>
      <c r="B150" s="1472"/>
      <c r="C150" s="1472"/>
      <c r="D150" s="1479"/>
      <c r="E150" s="1479"/>
      <c r="F150" s="1479"/>
      <c r="G150" s="1506"/>
      <c r="H150" s="1479"/>
      <c r="I150" s="1479"/>
      <c r="J150" s="1479"/>
      <c r="K150" s="1479"/>
      <c r="L150" s="1479"/>
      <c r="M150" s="1479"/>
      <c r="N150" s="1479"/>
      <c r="O150" s="1479">
        <f>SUM(CD150:CG150)</f>
        <v>1187.049</v>
      </c>
      <c r="P150" s="1479">
        <f>SUM(CH150:CK150)</f>
        <v>1156.5349999999999</v>
      </c>
      <c r="Q150" s="1488"/>
      <c r="R150" s="1488"/>
      <c r="S150" s="1488"/>
      <c r="T150" s="1488"/>
      <c r="U150" s="1488"/>
      <c r="V150" s="1488"/>
      <c r="W150" s="1488"/>
      <c r="X150" s="1488"/>
      <c r="Y150" s="1488"/>
      <c r="Z150" s="1488"/>
      <c r="AA150" s="1488"/>
      <c r="AB150" s="1488"/>
      <c r="AC150" s="1488"/>
      <c r="AD150" s="1488"/>
      <c r="AE150" s="1488"/>
      <c r="AF150" s="1488"/>
      <c r="AG150" s="1488"/>
      <c r="AH150" s="2201"/>
      <c r="AI150" s="1927"/>
      <c r="AJ150" s="1561"/>
      <c r="AK150" s="1334"/>
      <c r="AL150" s="1334"/>
      <c r="AM150" s="1319"/>
      <c r="AN150" s="1334"/>
      <c r="AO150" s="1334"/>
      <c r="AP150" s="1496"/>
      <c r="AQ150" s="1334"/>
      <c r="AR150" s="1334"/>
      <c r="AS150" s="1334"/>
      <c r="AT150" s="1496"/>
      <c r="AU150" s="1334"/>
      <c r="AV150" s="1334"/>
      <c r="AW150" s="1334"/>
      <c r="AX150" s="1496"/>
      <c r="AY150" s="1334"/>
      <c r="AZ150" s="1334"/>
      <c r="BA150" s="1334"/>
      <c r="BB150" s="1496"/>
      <c r="BC150" s="1334"/>
      <c r="BD150" s="1334"/>
      <c r="BE150" s="1334"/>
      <c r="BF150" s="1496"/>
      <c r="BG150" s="1334"/>
      <c r="BH150" s="1334"/>
      <c r="BI150" s="1334"/>
      <c r="BJ150" s="1496"/>
      <c r="BK150" s="1334"/>
      <c r="BL150" s="1334"/>
      <c r="BM150" s="1334"/>
      <c r="BN150" s="1496"/>
      <c r="BO150" s="1334"/>
      <c r="BP150" s="1334"/>
      <c r="BQ150" s="1334"/>
      <c r="BR150" s="1496"/>
      <c r="BS150" s="1334"/>
      <c r="BT150" s="1334"/>
      <c r="BU150" s="1334"/>
      <c r="BV150" s="1496"/>
      <c r="BW150" s="1334"/>
      <c r="BX150" s="1334"/>
      <c r="BY150" s="1334"/>
      <c r="BZ150" s="450">
        <v>0</v>
      </c>
      <c r="CA150" s="1363">
        <v>112.095</v>
      </c>
      <c r="CB150" s="1363">
        <v>-23.904</v>
      </c>
      <c r="CC150" s="1363">
        <v>433.339</v>
      </c>
      <c r="CD150" s="450">
        <v>335.322</v>
      </c>
      <c r="CE150" s="1363">
        <v>234.066</v>
      </c>
      <c r="CF150" s="1363">
        <v>260.74599999999998</v>
      </c>
      <c r="CG150" s="1363">
        <v>356.91500000000002</v>
      </c>
      <c r="CH150" s="251">
        <v>422.13499999999999</v>
      </c>
      <c r="CI150" s="1131">
        <v>366.9</v>
      </c>
      <c r="CJ150" s="1131">
        <v>367.5</v>
      </c>
      <c r="CK150" s="1043"/>
      <c r="CL150" s="496"/>
      <c r="CM150" s="1043"/>
      <c r="CN150" s="1043"/>
      <c r="CO150" s="1043"/>
      <c r="CP150" s="496"/>
      <c r="CQ150" s="1043"/>
      <c r="CR150" s="1043"/>
      <c r="CS150" s="1043"/>
      <c r="CT150" s="496"/>
      <c r="CU150" s="1043"/>
      <c r="CV150" s="1043"/>
      <c r="CW150" s="1043"/>
      <c r="CX150" s="496"/>
      <c r="CY150" s="1043"/>
      <c r="CZ150" s="1043"/>
      <c r="DA150" s="1043"/>
      <c r="DB150" s="496"/>
      <c r="DC150" s="1043"/>
      <c r="DD150" s="1043"/>
      <c r="DE150" s="1043"/>
      <c r="DF150" s="496"/>
      <c r="DG150" s="1043"/>
      <c r="DH150" s="1043"/>
      <c r="DI150" s="497"/>
      <c r="DJ150" s="496"/>
      <c r="DK150" s="1043"/>
      <c r="DL150" s="1043"/>
      <c r="DM150" s="497"/>
      <c r="DN150" s="1043"/>
      <c r="DO150" s="1043"/>
      <c r="DP150" s="1043"/>
      <c r="DQ150" s="497"/>
      <c r="DR150" s="496"/>
      <c r="DS150" s="1043"/>
      <c r="DT150" s="1043"/>
      <c r="DU150" s="497"/>
      <c r="DV150" s="1043"/>
      <c r="DW150" s="1043"/>
      <c r="DX150" s="1043"/>
      <c r="DY150" s="497"/>
    </row>
    <row r="151" spans="1:129" s="1491" customFormat="1" ht="15" hidden="1" customHeight="1" outlineLevel="1">
      <c r="A151" s="1458" t="s">
        <v>1495</v>
      </c>
      <c r="B151" s="1472"/>
      <c r="C151" s="1472"/>
      <c r="D151" s="1479"/>
      <c r="E151" s="1479"/>
      <c r="F151" s="1479"/>
      <c r="G151" s="1506"/>
      <c r="H151" s="1479"/>
      <c r="I151" s="1479"/>
      <c r="J151" s="1479"/>
      <c r="K151" s="1479"/>
      <c r="L151" s="1479"/>
      <c r="M151" s="1479"/>
      <c r="N151" s="1479"/>
      <c r="O151" s="1123">
        <f>SUM(CD151:CG151)</f>
        <v>0</v>
      </c>
      <c r="P151" s="1479">
        <f>SUM(CH151:CK151)</f>
        <v>287.59999999999997</v>
      </c>
      <c r="Q151" s="1488"/>
      <c r="R151" s="1488"/>
      <c r="S151" s="1488"/>
      <c r="T151" s="1488"/>
      <c r="U151" s="1488"/>
      <c r="V151" s="1488"/>
      <c r="W151" s="1488"/>
      <c r="X151" s="1488"/>
      <c r="Y151" s="1488"/>
      <c r="Z151" s="1488"/>
      <c r="AA151" s="1488"/>
      <c r="AB151" s="1488"/>
      <c r="AC151" s="1488"/>
      <c r="AD151" s="1488"/>
      <c r="AE151" s="1488"/>
      <c r="AF151" s="1488"/>
      <c r="AG151" s="1488"/>
      <c r="AH151" s="2201"/>
      <c r="AI151" s="1927"/>
      <c r="AJ151" s="1561"/>
      <c r="AK151" s="1334"/>
      <c r="AL151" s="1334"/>
      <c r="AM151" s="1319"/>
      <c r="AN151" s="1334"/>
      <c r="AO151" s="1334"/>
      <c r="AP151" s="1496"/>
      <c r="AQ151" s="1334"/>
      <c r="AR151" s="1334"/>
      <c r="AS151" s="1334"/>
      <c r="AT151" s="1496"/>
      <c r="AU151" s="1334"/>
      <c r="AV151" s="1334"/>
      <c r="AW151" s="1334"/>
      <c r="AX151" s="1496"/>
      <c r="AY151" s="1334"/>
      <c r="AZ151" s="1334"/>
      <c r="BA151" s="1334"/>
      <c r="BB151" s="1496"/>
      <c r="BC151" s="1334"/>
      <c r="BD151" s="1334"/>
      <c r="BE151" s="1334"/>
      <c r="BF151" s="1496"/>
      <c r="BG151" s="1334"/>
      <c r="BH151" s="1334"/>
      <c r="BI151" s="1334"/>
      <c r="BJ151" s="1496"/>
      <c r="BK151" s="1334"/>
      <c r="BL151" s="1334"/>
      <c r="BM151" s="1334"/>
      <c r="BN151" s="1496"/>
      <c r="BO151" s="1334"/>
      <c r="BP151" s="1334"/>
      <c r="BQ151" s="1334"/>
      <c r="BR151" s="1496"/>
      <c r="BS151" s="1334"/>
      <c r="BT151" s="1334"/>
      <c r="BU151" s="1334"/>
      <c r="BV151" s="1496"/>
      <c r="BW151" s="1334"/>
      <c r="BX151" s="1334"/>
      <c r="BY151" s="1334"/>
      <c r="BZ151" s="450"/>
      <c r="CA151" s="1363"/>
      <c r="CB151" s="1363"/>
      <c r="CC151" s="1363"/>
      <c r="CD151" s="450"/>
      <c r="CE151" s="1363"/>
      <c r="CF151" s="1363"/>
      <c r="CG151" s="1363"/>
      <c r="CH151" s="251">
        <v>82.3</v>
      </c>
      <c r="CI151" s="1131">
        <v>105.6</v>
      </c>
      <c r="CJ151" s="1131">
        <v>99.7</v>
      </c>
      <c r="CK151" s="1043"/>
      <c r="CL151" s="496"/>
      <c r="CM151" s="1043"/>
      <c r="CN151" s="1043"/>
      <c r="CO151" s="1043"/>
      <c r="CP151" s="496"/>
      <c r="CQ151" s="1043"/>
      <c r="CR151" s="1043"/>
      <c r="CS151" s="1043"/>
      <c r="CT151" s="496"/>
      <c r="CU151" s="1043"/>
      <c r="CV151" s="1043"/>
      <c r="CW151" s="1043"/>
      <c r="CX151" s="496"/>
      <c r="CY151" s="1043"/>
      <c r="CZ151" s="1043"/>
      <c r="DA151" s="1043"/>
      <c r="DB151" s="496"/>
      <c r="DC151" s="1043"/>
      <c r="DD151" s="1043"/>
      <c r="DE151" s="1043"/>
      <c r="DF151" s="496"/>
      <c r="DG151" s="1043"/>
      <c r="DH151" s="1043"/>
      <c r="DI151" s="497"/>
      <c r="DJ151" s="496"/>
      <c r="DK151" s="1043"/>
      <c r="DL151" s="1043"/>
      <c r="DM151" s="497"/>
      <c r="DN151" s="1043"/>
      <c r="DO151" s="1043"/>
      <c r="DP151" s="1043"/>
      <c r="DQ151" s="497"/>
      <c r="DR151" s="496"/>
      <c r="DS151" s="1043"/>
      <c r="DT151" s="1043"/>
      <c r="DU151" s="497"/>
      <c r="DV151" s="1043"/>
      <c r="DW151" s="1043"/>
      <c r="DX151" s="1043"/>
      <c r="DY151" s="497"/>
    </row>
    <row r="152" spans="1:129" s="1491" customFormat="1" ht="15" hidden="1" customHeight="1" outlineLevel="1">
      <c r="A152" s="1817"/>
      <c r="D152" s="1492"/>
      <c r="E152" s="1492"/>
      <c r="F152" s="1492"/>
      <c r="G152" s="1811"/>
      <c r="H152" s="1492"/>
      <c r="I152" s="1492"/>
      <c r="J152" s="1492"/>
      <c r="K152" s="1492"/>
      <c r="L152" s="1492"/>
      <c r="M152" s="1492"/>
      <c r="N152" s="1492"/>
      <c r="O152" s="1354"/>
      <c r="P152" s="1492"/>
      <c r="Q152" s="1816"/>
      <c r="R152" s="1816"/>
      <c r="S152" s="1816"/>
      <c r="T152" s="1816"/>
      <c r="U152" s="1816"/>
      <c r="V152" s="1816"/>
      <c r="W152" s="1816"/>
      <c r="X152" s="1816"/>
      <c r="Y152" s="1816"/>
      <c r="Z152" s="1816"/>
      <c r="AA152" s="1816"/>
      <c r="AB152" s="1816"/>
      <c r="AC152" s="1816"/>
      <c r="AD152" s="1816"/>
      <c r="AE152" s="1816"/>
      <c r="AF152" s="1816"/>
      <c r="AG152" s="1816"/>
      <c r="AH152" s="2201"/>
      <c r="AI152" s="1927"/>
      <c r="AJ152" s="1561"/>
      <c r="AK152" s="1492"/>
      <c r="AL152" s="1492"/>
      <c r="AN152" s="1492"/>
      <c r="AO152" s="1492"/>
      <c r="AP152" s="1493"/>
      <c r="AQ152" s="1492"/>
      <c r="AR152" s="1492"/>
      <c r="AS152" s="1492"/>
      <c r="AT152" s="1493"/>
      <c r="AU152" s="1492"/>
      <c r="AV152" s="1492"/>
      <c r="AW152" s="1492"/>
      <c r="AX152" s="1493"/>
      <c r="AY152" s="1492"/>
      <c r="AZ152" s="1492"/>
      <c r="BA152" s="1492"/>
      <c r="BB152" s="1493"/>
      <c r="BC152" s="1492"/>
      <c r="BD152" s="1492"/>
      <c r="BE152" s="1492"/>
      <c r="BF152" s="1493"/>
      <c r="BG152" s="1492"/>
      <c r="BH152" s="1492"/>
      <c r="BI152" s="1492"/>
      <c r="BJ152" s="1493"/>
      <c r="BK152" s="1492"/>
      <c r="BL152" s="1492"/>
      <c r="BM152" s="1492"/>
      <c r="BN152" s="1493"/>
      <c r="BO152" s="1492"/>
      <c r="BP152" s="1492"/>
      <c r="BQ152" s="1492"/>
      <c r="BR152" s="1493"/>
      <c r="BS152" s="1492"/>
      <c r="BT152" s="1492"/>
      <c r="BU152" s="1492"/>
      <c r="BV152" s="1493"/>
      <c r="BW152" s="1492"/>
      <c r="BX152" s="1492"/>
      <c r="BY152" s="1492"/>
      <c r="BZ152" s="1535"/>
      <c r="CA152" s="1536"/>
      <c r="CB152" s="1536"/>
      <c r="CC152" s="1536"/>
      <c r="CD152" s="1535"/>
      <c r="CE152" s="1536"/>
      <c r="CF152" s="1536"/>
      <c r="CG152" s="1536"/>
      <c r="CH152" s="1535"/>
      <c r="CI152" s="1536"/>
      <c r="CJ152" s="1536"/>
      <c r="CK152" s="1814"/>
      <c r="CL152" s="1813"/>
      <c r="CM152" s="1814"/>
      <c r="CN152" s="1814"/>
      <c r="CO152" s="1814"/>
      <c r="CP152" s="1813"/>
      <c r="CQ152" s="1814"/>
      <c r="CR152" s="1814"/>
      <c r="CS152" s="1814"/>
      <c r="CT152" s="1813"/>
      <c r="CU152" s="1814"/>
      <c r="CV152" s="1814"/>
      <c r="CW152" s="1814"/>
      <c r="CX152" s="1813"/>
      <c r="CY152" s="1814"/>
      <c r="CZ152" s="1814"/>
      <c r="DA152" s="1814"/>
      <c r="DB152" s="1813"/>
      <c r="DC152" s="1814"/>
      <c r="DD152" s="1814"/>
      <c r="DE152" s="1814"/>
      <c r="DF152" s="1813"/>
      <c r="DG152" s="1814"/>
      <c r="DH152" s="1814"/>
      <c r="DI152" s="1818"/>
      <c r="DJ152" s="1813"/>
      <c r="DK152" s="1814"/>
      <c r="DL152" s="1814"/>
      <c r="DM152" s="1818"/>
      <c r="DN152" s="1814"/>
      <c r="DO152" s="1814"/>
      <c r="DP152" s="1814"/>
      <c r="DQ152" s="1818"/>
      <c r="DR152" s="1813"/>
      <c r="DS152" s="1814"/>
      <c r="DT152" s="1814"/>
      <c r="DU152" s="1818"/>
      <c r="DV152" s="1814"/>
      <c r="DW152" s="1814"/>
      <c r="DX152" s="1814"/>
      <c r="DY152" s="1818"/>
    </row>
    <row r="153" spans="1:129" s="1491" customFormat="1" ht="15" hidden="1" customHeight="1" outlineLevel="1">
      <c r="A153" s="1395" t="s">
        <v>7</v>
      </c>
      <c r="B153" s="1330"/>
      <c r="C153" s="1330"/>
      <c r="D153" s="1381"/>
      <c r="E153" s="1381"/>
      <c r="F153" s="1381"/>
      <c r="G153" s="1831"/>
      <c r="H153" s="1381"/>
      <c r="I153" s="1381"/>
      <c r="J153" s="1381"/>
      <c r="K153" s="1381"/>
      <c r="L153" s="1381"/>
      <c r="M153" s="1381"/>
      <c r="N153" s="1381">
        <f>SUM(BZ153:CC153)</f>
        <v>0</v>
      </c>
      <c r="O153" s="1381">
        <f>SUM(CD153:CG153)</f>
        <v>0</v>
      </c>
      <c r="P153" s="1113">
        <f>SUM(CH153:CK153)</f>
        <v>13428.675299999999</v>
      </c>
      <c r="Q153" s="1113">
        <f>SUM(CL153:CO153)</f>
        <v>15788.752500000002</v>
      </c>
      <c r="R153" s="1113">
        <f>SUM(CP153:CS153)</f>
        <v>15860.09835</v>
      </c>
      <c r="S153" s="1113">
        <f ca="1">SUM(CT153:CW153)</f>
        <v>15579.351489303079</v>
      </c>
      <c r="T153" s="1113">
        <f ca="1">SUM(CX153:DA153)</f>
        <v>15559.467652404104</v>
      </c>
      <c r="U153" s="1113">
        <f ca="1">SUM(DB153:DE153)</f>
        <v>17291.788402404167</v>
      </c>
      <c r="V153" s="1113">
        <f ca="1">SUM(DF153:DI153)</f>
        <v>18708.661552404188</v>
      </c>
      <c r="W153" s="1113">
        <f ca="1">SUM(DJ153:DM153)</f>
        <v>18254.49860240419</v>
      </c>
      <c r="X153" s="1113">
        <f ca="1">SUM(DN153:DQ153)</f>
        <v>19135.832152404197</v>
      </c>
      <c r="Y153" s="1113">
        <f ca="1">SUM(DR153:DU153)</f>
        <v>19234.117852404197</v>
      </c>
      <c r="Z153" s="1113">
        <f ca="1">SUM(DS153:DV153)</f>
        <v>18939.894052404197</v>
      </c>
      <c r="AA153" s="1113">
        <f ca="1">+AA156+AA160</f>
        <v>19269.921362783789</v>
      </c>
      <c r="AB153" s="1113">
        <f ca="1">+AB156+AB160</f>
        <v>18943.756018439737</v>
      </c>
      <c r="AC153" s="1113">
        <f t="shared" ref="AC153:AG153" ca="1" si="788">+AC156+AC160</f>
        <v>18680.058638273982</v>
      </c>
      <c r="AD153" s="1113">
        <f t="shared" ca="1" si="788"/>
        <v>18436.058170543369</v>
      </c>
      <c r="AE153" s="1113">
        <f t="shared" ca="1" si="788"/>
        <v>18193.330107259826</v>
      </c>
      <c r="AF153" s="1113">
        <f t="shared" ca="1" si="788"/>
        <v>17944.675284226716</v>
      </c>
      <c r="AG153" s="1113">
        <f t="shared" ca="1" si="788"/>
        <v>17687.954517744209</v>
      </c>
      <c r="AH153" s="2201"/>
      <c r="AI153" s="2125">
        <f ca="1">(AA153/V153)^(1/5)-1</f>
        <v>5.9292690121284242E-3</v>
      </c>
      <c r="AJ153" s="1561"/>
      <c r="AK153" s="1381"/>
      <c r="AL153" s="1381"/>
      <c r="AM153" s="1319"/>
      <c r="AN153" s="1381"/>
      <c r="AO153" s="1381"/>
      <c r="AP153" s="1080"/>
      <c r="AQ153" s="1381"/>
      <c r="AR153" s="1381"/>
      <c r="AS153" s="1381"/>
      <c r="AT153" s="1080"/>
      <c r="AU153" s="1381"/>
      <c r="AV153" s="1381"/>
      <c r="AW153" s="1381"/>
      <c r="AX153" s="1080"/>
      <c r="AY153" s="1381"/>
      <c r="AZ153" s="1381"/>
      <c r="BA153" s="1381"/>
      <c r="BB153" s="1080"/>
      <c r="BC153" s="1381"/>
      <c r="BD153" s="1381"/>
      <c r="BE153" s="1381"/>
      <c r="BF153" s="1080"/>
      <c r="BG153" s="1381"/>
      <c r="BH153" s="1381"/>
      <c r="BI153" s="1381"/>
      <c r="BJ153" s="1832"/>
      <c r="BK153" s="1831"/>
      <c r="BL153" s="1831"/>
      <c r="BM153" s="1831"/>
      <c r="BN153" s="1832"/>
      <c r="BO153" s="1831"/>
      <c r="BP153" s="1831"/>
      <c r="BQ153" s="1831"/>
      <c r="BR153" s="1832"/>
      <c r="BS153" s="1831"/>
      <c r="BT153" s="1831"/>
      <c r="BU153" s="1831"/>
      <c r="BV153" s="1080"/>
      <c r="BW153" s="1381"/>
      <c r="BX153" s="1381"/>
      <c r="BY153" s="1381"/>
      <c r="BZ153" s="1080"/>
      <c r="CA153" s="1381"/>
      <c r="CB153" s="1381"/>
      <c r="CC153" s="1381"/>
      <c r="CD153" s="1080"/>
      <c r="CE153" s="1381"/>
      <c r="CF153" s="1381"/>
      <c r="CG153" s="1381"/>
      <c r="CH153" s="1080">
        <f t="shared" ref="CH153:CS153" si="789">CH155*3*CH105</f>
        <v>3088.4298000000003</v>
      </c>
      <c r="CI153" s="1381">
        <f t="shared" si="789"/>
        <v>2965.8375000000001</v>
      </c>
      <c r="CJ153" s="1381">
        <f t="shared" si="789"/>
        <v>3538.8638999999998</v>
      </c>
      <c r="CK153" s="1381">
        <f t="shared" si="789"/>
        <v>3835.5441000000001</v>
      </c>
      <c r="CL153" s="150">
        <f t="shared" si="789"/>
        <v>3970.6200000000003</v>
      </c>
      <c r="CM153" s="1113">
        <f t="shared" si="789"/>
        <v>3730.761</v>
      </c>
      <c r="CN153" s="1113">
        <f t="shared" si="789"/>
        <v>4108.0239000000001</v>
      </c>
      <c r="CO153" s="1113">
        <f t="shared" si="789"/>
        <v>3979.3476000000001</v>
      </c>
      <c r="CP153" s="150">
        <f t="shared" si="789"/>
        <v>3968.0855999999994</v>
      </c>
      <c r="CQ153" s="1113">
        <f t="shared" si="789"/>
        <v>3707.9062500000005</v>
      </c>
      <c r="CR153" s="1113">
        <f t="shared" si="789"/>
        <v>4096.9523999999992</v>
      </c>
      <c r="CS153" s="1113">
        <f t="shared" si="789"/>
        <v>4087.1540999999997</v>
      </c>
      <c r="CT153" s="150">
        <f t="shared" ref="CT153:DJ153" ca="1" si="790">+CT156+CT160</f>
        <v>4016.1086999999993</v>
      </c>
      <c r="CU153" s="1113">
        <f t="shared" ca="1" si="790"/>
        <v>3766.3599131010265</v>
      </c>
      <c r="CV153" s="1113">
        <f t="shared" ca="1" si="790"/>
        <v>3916.6059131010261</v>
      </c>
      <c r="CW153" s="1113">
        <f t="shared" ca="1" si="790"/>
        <v>3880.2769631010265</v>
      </c>
      <c r="CX153" s="150">
        <f t="shared" ca="1" si="790"/>
        <v>3950.116213101026</v>
      </c>
      <c r="CY153" s="1113">
        <f t="shared" ca="1" si="790"/>
        <v>3622.1475131010261</v>
      </c>
      <c r="CZ153" s="1113">
        <f t="shared" ca="1" si="790"/>
        <v>3870.171313101026</v>
      </c>
      <c r="DA153" s="1113">
        <f t="shared" ca="1" si="790"/>
        <v>4117.0326131010261</v>
      </c>
      <c r="DB153" s="150">
        <f t="shared" ca="1" si="790"/>
        <v>4350.8532131010252</v>
      </c>
      <c r="DC153" s="1113">
        <f t="shared" ca="1" si="790"/>
        <v>4178.779513101048</v>
      </c>
      <c r="DD153" s="1113">
        <f t="shared" ca="1" si="790"/>
        <v>4370.6940131010479</v>
      </c>
      <c r="DE153" s="1113">
        <f t="shared" ca="1" si="790"/>
        <v>4391.4616631010476</v>
      </c>
      <c r="DF153" s="150">
        <f t="shared" ca="1" si="790"/>
        <v>4742.1841631010475</v>
      </c>
      <c r="DG153" s="1113">
        <f t="shared" ca="1" si="790"/>
        <v>4405.6144631010475</v>
      </c>
      <c r="DH153" s="1113">
        <f t="shared" ca="1" si="790"/>
        <v>4585.077763101046</v>
      </c>
      <c r="DI153" s="155">
        <f t="shared" ca="1" si="790"/>
        <v>4975.7851631010462</v>
      </c>
      <c r="DJ153" s="150">
        <f t="shared" ca="1" si="790"/>
        <v>4831.253563101046</v>
      </c>
      <c r="DK153" s="1113">
        <f t="shared" ref="DK153:DM153" ca="1" si="791">+DK156+DK160</f>
        <v>4367.1342131010479</v>
      </c>
      <c r="DL153" s="1113">
        <f t="shared" ca="1" si="791"/>
        <v>4504.8234131010486</v>
      </c>
      <c r="DM153" s="155">
        <f t="shared" ca="1" si="791"/>
        <v>4551.2874131010485</v>
      </c>
      <c r="DN153" s="1113">
        <f t="shared" ref="DN153:DO153" ca="1" si="792">+DN156+DN160</f>
        <v>4651.597663101049</v>
      </c>
      <c r="DO153" s="1113">
        <f t="shared" ca="1" si="792"/>
        <v>4535.4601631010491</v>
      </c>
      <c r="DP153" s="1113">
        <f t="shared" ref="DP153:DQ153" ca="1" si="793">+DP156+DP160</f>
        <v>4861.3692131010494</v>
      </c>
      <c r="DQ153" s="155">
        <f t="shared" ca="1" si="793"/>
        <v>5087.4051131010492</v>
      </c>
      <c r="DR153" s="150">
        <f t="shared" ref="DR153" ca="1" si="794">+DR156+DR160</f>
        <v>5263.2858131010489</v>
      </c>
      <c r="DS153" s="1113">
        <f t="shared" ref="DS153:DT153" ca="1" si="795">+DS156+DS160</f>
        <v>4549.7805131010482</v>
      </c>
      <c r="DT153" s="1113">
        <f t="shared" ca="1" si="795"/>
        <v>4608.3417131010492</v>
      </c>
      <c r="DU153" s="155">
        <f t="shared" ref="DU153" ca="1" si="796">+DU156+DU160</f>
        <v>4812.7098131010489</v>
      </c>
      <c r="DV153" s="1113">
        <f t="shared" ref="DV153" ca="1" si="797">+DV156+DV160</f>
        <v>4969.0620131010492</v>
      </c>
      <c r="DW153" s="1113">
        <f t="shared" ref="DW153:DY153" ca="1" si="798">+DW156+DW160</f>
        <v>4659.9840115671905</v>
      </c>
      <c r="DX153" s="1113">
        <f t="shared" ca="1" si="798"/>
        <v>4693.141645328792</v>
      </c>
      <c r="DY153" s="155">
        <f t="shared" ca="1" si="798"/>
        <v>4865.935377584372</v>
      </c>
    </row>
    <row r="154" spans="1:129" s="1491" customFormat="1" ht="15" hidden="1" customHeight="1" outlineLevel="1">
      <c r="A154" s="1457" t="s">
        <v>1453</v>
      </c>
      <c r="B154" s="1324"/>
      <c r="C154" s="1324"/>
      <c r="D154" s="1324"/>
      <c r="E154" s="1324"/>
      <c r="F154" s="1324"/>
      <c r="G154" s="1324"/>
      <c r="H154" s="1324"/>
      <c r="I154" s="1324"/>
      <c r="J154" s="1324"/>
      <c r="K154" s="1324"/>
      <c r="L154" s="1324"/>
      <c r="M154" s="1324"/>
      <c r="N154" s="1324"/>
      <c r="O154" s="1324"/>
      <c r="P154" s="1065"/>
      <c r="Q154" s="1065">
        <f>Q153/P153-1</f>
        <v>0.1757490703494784</v>
      </c>
      <c r="R154" s="1065">
        <f>R153/Q153-1</f>
        <v>4.5187768951344687E-3</v>
      </c>
      <c r="S154" s="1065">
        <f t="shared" ref="S154:AB154" ca="1" si="799">+S153/R153-1</f>
        <v>-1.7701457740135762E-2</v>
      </c>
      <c r="T154" s="1065">
        <f t="shared" ca="1" si="799"/>
        <v>-1.2762942611973527E-3</v>
      </c>
      <c r="U154" s="1065">
        <f t="shared" ca="1" si="799"/>
        <v>0.11133547681063494</v>
      </c>
      <c r="V154" s="1065">
        <f t="shared" ca="1" si="799"/>
        <v>8.1939075185712307E-2</v>
      </c>
      <c r="W154" s="1065">
        <f ca="1">+W153/V153-1</f>
        <v>-2.4275544711087838E-2</v>
      </c>
      <c r="X154" s="1065">
        <f ca="1">+X153/W153-1</f>
        <v>4.8280348268997741E-2</v>
      </c>
      <c r="Y154" s="1065">
        <f ca="1">+Y153/X153-1</f>
        <v>5.1362124843705725E-3</v>
      </c>
      <c r="Z154" s="1065">
        <f ca="1">+Z153/Y153-1</f>
        <v>-1.5296973963545901E-2</v>
      </c>
      <c r="AA154" s="1065">
        <f t="shared" ca="1" si="799"/>
        <v>1.7424981864547329E-2</v>
      </c>
      <c r="AB154" s="1065">
        <f t="shared" ca="1" si="799"/>
        <v>-1.6926137798049301E-2</v>
      </c>
      <c r="AC154" s="1065">
        <f t="shared" ref="AC154" ca="1" si="800">+AC153/AB153-1</f>
        <v>-1.3920015645739636E-2</v>
      </c>
      <c r="AD154" s="1065">
        <f t="shared" ref="AD154" ca="1" si="801">+AD153/AC153-1</f>
        <v>-1.3062082537079189E-2</v>
      </c>
      <c r="AE154" s="1065">
        <f t="shared" ref="AE154" ca="1" si="802">+AE153/AD153-1</f>
        <v>-1.3165941495637434E-2</v>
      </c>
      <c r="AF154" s="1065">
        <f t="shared" ref="AF154" ca="1" si="803">+AF153/AE153-1</f>
        <v>-1.3667361696135361E-2</v>
      </c>
      <c r="AG154" s="1065">
        <f t="shared" ref="AG154" ca="1" si="804">+AG153/AF153-1</f>
        <v>-1.4306236385796534E-2</v>
      </c>
      <c r="AH154" s="2201"/>
      <c r="AI154" s="1927"/>
      <c r="AJ154" s="1561"/>
      <c r="AK154" s="1324"/>
      <c r="AL154" s="1324"/>
      <c r="AM154" s="1324"/>
      <c r="AN154" s="1324"/>
      <c r="AO154" s="1324"/>
      <c r="AP154" s="1325"/>
      <c r="AQ154" s="1324"/>
      <c r="AR154" s="1324"/>
      <c r="AS154" s="1324"/>
      <c r="AT154" s="1325"/>
      <c r="AU154" s="1324"/>
      <c r="AV154" s="1324"/>
      <c r="AW154" s="1324"/>
      <c r="AX154" s="1325"/>
      <c r="AY154" s="1324"/>
      <c r="AZ154" s="1324"/>
      <c r="BA154" s="1324"/>
      <c r="BB154" s="1325"/>
      <c r="BC154" s="1324"/>
      <c r="BD154" s="1324"/>
      <c r="BE154" s="1324"/>
      <c r="BF154" s="1325"/>
      <c r="BG154" s="1324"/>
      <c r="BH154" s="1324"/>
      <c r="BI154" s="1324"/>
      <c r="BJ154" s="1325"/>
      <c r="BK154" s="1324"/>
      <c r="BL154" s="1324"/>
      <c r="BM154" s="1324"/>
      <c r="BN154" s="1325"/>
      <c r="BO154" s="1324"/>
      <c r="BP154" s="1324"/>
      <c r="BQ154" s="1324"/>
      <c r="BR154" s="1325"/>
      <c r="BS154" s="1324"/>
      <c r="BT154" s="1324"/>
      <c r="BU154" s="1324"/>
      <c r="BV154" s="1325"/>
      <c r="BW154" s="1324"/>
      <c r="BX154" s="1324"/>
      <c r="BY154" s="1324"/>
      <c r="BZ154" s="1325"/>
      <c r="CA154" s="1324"/>
      <c r="CB154" s="1324"/>
      <c r="CC154" s="1324"/>
      <c r="CD154" s="1325"/>
      <c r="CE154" s="1324"/>
      <c r="CF154" s="1324"/>
      <c r="CG154" s="1324"/>
      <c r="CH154" s="1507" t="s">
        <v>1149</v>
      </c>
      <c r="CI154" s="1508" t="s">
        <v>1149</v>
      </c>
      <c r="CJ154" s="1508" t="s">
        <v>1149</v>
      </c>
      <c r="CK154" s="1508" t="s">
        <v>1149</v>
      </c>
      <c r="CL154" s="563">
        <f t="shared" ref="CL154:DV154" si="805">CL153/CH153-1</f>
        <v>0.28564359792150684</v>
      </c>
      <c r="CM154" s="1065">
        <f t="shared" si="805"/>
        <v>0.25791146682850963</v>
      </c>
      <c r="CN154" s="1065">
        <f t="shared" si="805"/>
        <v>0.16083127695303578</v>
      </c>
      <c r="CO154" s="1065">
        <f t="shared" si="805"/>
        <v>3.7492333877741091E-2</v>
      </c>
      <c r="CP154" s="563">
        <f t="shared" si="805"/>
        <v>-6.3828822702771681E-4</v>
      </c>
      <c r="CQ154" s="1065">
        <f t="shared" si="805"/>
        <v>-6.1260289790741052E-3</v>
      </c>
      <c r="CR154" s="1065">
        <f t="shared" si="805"/>
        <v>-2.695091428265739E-3</v>
      </c>
      <c r="CS154" s="1065">
        <f t="shared" si="805"/>
        <v>2.7091501129481443E-2</v>
      </c>
      <c r="CT154" s="563">
        <f t="shared" ca="1" si="805"/>
        <v>1.2102334687537963E-2</v>
      </c>
      <c r="CU154" s="1065">
        <f t="shared" ca="1" si="805"/>
        <v>1.5764601141419421E-2</v>
      </c>
      <c r="CV154" s="1065">
        <f t="shared" ca="1" si="805"/>
        <v>-4.4019668595361994E-2</v>
      </c>
      <c r="CW154" s="1065">
        <f t="shared" ca="1" si="805"/>
        <v>-5.0616426940930159E-2</v>
      </c>
      <c r="CX154" s="563">
        <f t="shared" ca="1" si="805"/>
        <v>-1.6431947396984836E-2</v>
      </c>
      <c r="CY154" s="1065">
        <f t="shared" ca="1" si="805"/>
        <v>-3.8289596142516147E-2</v>
      </c>
      <c r="CZ154" s="1065">
        <f t="shared" ca="1" si="805"/>
        <v>-1.1855826455420604E-2</v>
      </c>
      <c r="DA154" s="1065">
        <f t="shared" ca="1" si="805"/>
        <v>6.1015142025014013E-2</v>
      </c>
      <c r="DB154" s="563">
        <f t="shared" ca="1" si="805"/>
        <v>0.101449420316017</v>
      </c>
      <c r="DC154" s="1065">
        <f t="shared" ca="1" si="805"/>
        <v>0.15367458061460137</v>
      </c>
      <c r="DD154" s="1065">
        <f t="shared" ca="1" si="805"/>
        <v>0.12932830603794931</v>
      </c>
      <c r="DE154" s="1065">
        <f t="shared" ca="1" si="805"/>
        <v>6.6657001726619036E-2</v>
      </c>
      <c r="DF154" s="563">
        <f t="shared" ca="1" si="805"/>
        <v>8.9943496328874106E-2</v>
      </c>
      <c r="DG154" s="1065">
        <f t="shared" ca="1" si="805"/>
        <v>5.4282584014983426E-2</v>
      </c>
      <c r="DH154" s="1065">
        <f t="shared" ca="1" si="805"/>
        <v>4.9050276536721116E-2</v>
      </c>
      <c r="DI154" s="564">
        <f t="shared" ca="1" si="805"/>
        <v>0.13305900058509823</v>
      </c>
      <c r="DJ154" s="563">
        <f t="shared" ca="1" si="805"/>
        <v>1.8782357862237475E-2</v>
      </c>
      <c r="DK154" s="1065">
        <f t="shared" ca="1" si="805"/>
        <v>-8.7343661871206457E-3</v>
      </c>
      <c r="DL154" s="1065">
        <f t="shared" ca="1" si="805"/>
        <v>-1.7503378164238304E-2</v>
      </c>
      <c r="DM154" s="564">
        <f t="shared" ca="1" si="805"/>
        <v>-8.5312716704078695E-2</v>
      </c>
      <c r="DN154" s="1065">
        <f t="shared" ca="1" si="805"/>
        <v>-3.7186187322505337E-2</v>
      </c>
      <c r="DO154" s="1065">
        <f t="shared" ca="1" si="805"/>
        <v>3.8543800530571604E-2</v>
      </c>
      <c r="DP154" s="1065">
        <f t="shared" ca="1" si="805"/>
        <v>7.9147564133831505E-2</v>
      </c>
      <c r="DQ154" s="564">
        <f t="shared" ca="1" si="805"/>
        <v>0.11779473615679947</v>
      </c>
      <c r="DR154" s="563">
        <f t="shared" ca="1" si="805"/>
        <v>0.13150065725852356</v>
      </c>
      <c r="DS154" s="1065">
        <f t="shared" ca="1" si="805"/>
        <v>3.1574194205263861E-3</v>
      </c>
      <c r="DT154" s="1065">
        <f t="shared" ca="1" si="805"/>
        <v>-5.204860789386434E-2</v>
      </c>
      <c r="DU154" s="564">
        <f t="shared" ca="1" si="805"/>
        <v>-5.3995169225388939E-2</v>
      </c>
      <c r="DV154" s="1065">
        <f t="shared" ca="1" si="805"/>
        <v>-5.5901163350779104E-2</v>
      </c>
      <c r="DW154" s="1065">
        <f t="shared" ref="DW154" ca="1" si="806">DW153/DS153-1</f>
        <v>2.4221717541936805E-2</v>
      </c>
      <c r="DX154" s="1065">
        <f t="shared" ref="DX154" ca="1" si="807">DX153/DT153-1</f>
        <v>1.8401398487153164E-2</v>
      </c>
      <c r="DY154" s="564">
        <f t="shared" ref="DY154" ca="1" si="808">DY153/DU153-1</f>
        <v>1.1059375393553506E-2</v>
      </c>
    </row>
    <row r="155" spans="1:129" s="1491" customFormat="1" ht="15" hidden="1" customHeight="1" outlineLevel="1">
      <c r="A155" s="1455" t="s">
        <v>0</v>
      </c>
      <c r="B155" s="1319"/>
      <c r="C155" s="1319"/>
      <c r="D155" s="1334"/>
      <c r="E155" s="1334"/>
      <c r="F155" s="1334"/>
      <c r="G155" s="1509"/>
      <c r="H155" s="1334"/>
      <c r="I155" s="1334"/>
      <c r="J155" s="1334"/>
      <c r="K155" s="1334"/>
      <c r="L155" s="1334"/>
      <c r="M155" s="1334"/>
      <c r="N155" s="1319"/>
      <c r="O155" s="1510">
        <f>O153/O105/12</f>
        <v>0</v>
      </c>
      <c r="P155" s="1488">
        <f>P153/P105/12</f>
        <v>1.3232699027404144E-2</v>
      </c>
      <c r="Q155" s="1488">
        <f>Q153/Q105/12</f>
        <v>1.4002334645878786E-2</v>
      </c>
      <c r="R155" s="1488">
        <f>R153/R105/12</f>
        <v>1.3300475115854303E-2</v>
      </c>
      <c r="S155" s="1488">
        <f t="shared" ref="S155:AA155" ca="1" si="809">S153/(S105*12)</f>
        <v>1.2369807116113558E-2</v>
      </c>
      <c r="T155" s="1488">
        <f t="shared" ca="1" si="809"/>
        <v>1.1670190083902316E-2</v>
      </c>
      <c r="U155" s="1488">
        <f t="shared" ca="1" si="809"/>
        <v>1.2208404219762554E-2</v>
      </c>
      <c r="V155" s="1488">
        <f t="shared" ca="1" si="809"/>
        <v>1.2442380244265978E-2</v>
      </c>
      <c r="W155" s="1488">
        <f t="shared" ca="1" si="809"/>
        <v>1.1626476741569977E-2</v>
      </c>
      <c r="X155" s="1488">
        <f ca="1">X153/(X105*12)</f>
        <v>1.1986940630049171E-2</v>
      </c>
      <c r="Y155" s="1488">
        <f ca="1">Y153/(Y105*12)</f>
        <v>1.1738957703882851E-2</v>
      </c>
      <c r="Z155" s="1488">
        <f ca="1">Z153/(Z105*12)</f>
        <v>1.1210161340395963E-2</v>
      </c>
      <c r="AA155" s="1488">
        <f t="shared" ca="1" si="809"/>
        <v>1.1259813914099533E-2</v>
      </c>
      <c r="AB155" s="1488">
        <f t="shared" ref="AB155:AG155" ca="1" si="810">AB153/(AB105*12)</f>
        <v>1.0972385995896573E-2</v>
      </c>
      <c r="AC155" s="1488">
        <f t="shared" ca="1" si="810"/>
        <v>1.0730279145332059E-2</v>
      </c>
      <c r="AD155" s="1488">
        <f t="shared" ca="1" si="810"/>
        <v>1.0510143633910344E-2</v>
      </c>
      <c r="AE155" s="1488">
        <f t="shared" ca="1" si="810"/>
        <v>1.0300876364654628E-2</v>
      </c>
      <c r="AF155" s="1488">
        <f t="shared" ca="1" si="810"/>
        <v>1.0097165595253926E-2</v>
      </c>
      <c r="AG155" s="1488">
        <f t="shared" ca="1" si="810"/>
        <v>9.8964380168356705E-3</v>
      </c>
      <c r="AH155" s="2201"/>
      <c r="AI155" s="1927"/>
      <c r="AJ155" s="1561"/>
      <c r="AK155" s="1334"/>
      <c r="AL155" s="1334"/>
      <c r="AM155" s="1319"/>
      <c r="AN155" s="1334"/>
      <c r="AO155" s="1334"/>
      <c r="AP155" s="1496"/>
      <c r="AQ155" s="1334"/>
      <c r="AR155" s="1334"/>
      <c r="AS155" s="1334"/>
      <c r="AT155" s="1496"/>
      <c r="AU155" s="1334"/>
      <c r="AV155" s="1334"/>
      <c r="AW155" s="1334"/>
      <c r="AX155" s="1496"/>
      <c r="AY155" s="1334"/>
      <c r="AZ155" s="1334"/>
      <c r="BA155" s="1334"/>
      <c r="BB155" s="1496"/>
      <c r="BC155" s="1334"/>
      <c r="BD155" s="1334"/>
      <c r="BE155" s="1334"/>
      <c r="BF155" s="1496"/>
      <c r="BG155" s="1334"/>
      <c r="BH155" s="1334"/>
      <c r="BI155" s="1334"/>
      <c r="BJ155" s="1511"/>
      <c r="BK155" s="1509"/>
      <c r="BL155" s="1509"/>
      <c r="BM155" s="1509"/>
      <c r="BN155" s="1511"/>
      <c r="BO155" s="1509"/>
      <c r="BP155" s="1509"/>
      <c r="BQ155" s="1509"/>
      <c r="BR155" s="1511"/>
      <c r="BS155" s="1509"/>
      <c r="BT155" s="1509"/>
      <c r="BU155" s="1509"/>
      <c r="BV155" s="1496"/>
      <c r="BW155" s="1334"/>
      <c r="BX155" s="1334"/>
      <c r="BY155" s="1334"/>
      <c r="BZ155" s="1512"/>
      <c r="CA155" s="1510"/>
      <c r="CB155" s="1510"/>
      <c r="CC155" s="1510"/>
      <c r="CD155" s="1512"/>
      <c r="CE155" s="1510"/>
      <c r="CF155" s="1510"/>
      <c r="CG155" s="1510"/>
      <c r="CH155" s="1512">
        <f>+NormInputs!BX304</f>
        <v>1.3100000000000001E-2</v>
      </c>
      <c r="CI155" s="1510">
        <f>+NormInputs!BY304</f>
        <v>1.23E-2</v>
      </c>
      <c r="CJ155" s="1510">
        <f>+NormInputs!BZ304</f>
        <v>1.43E-2</v>
      </c>
      <c r="CK155" s="1510">
        <f>+NormInputs!CA304</f>
        <v>1.46E-2</v>
      </c>
      <c r="CL155" s="1489">
        <f>+NormInputs!CB304</f>
        <v>1.44E-2</v>
      </c>
      <c r="CM155" s="1488">
        <f>+NormInputs!CC304</f>
        <v>1.34E-2</v>
      </c>
      <c r="CN155" s="1488">
        <f>+NormInputs!CD304</f>
        <v>1.46E-2</v>
      </c>
      <c r="CO155" s="1488">
        <f>+NormInputs!CE304</f>
        <v>1.3899999999999999E-2</v>
      </c>
      <c r="CP155" s="1489">
        <f>+NormInputs!CF304</f>
        <v>1.3599999999999999E-2</v>
      </c>
      <c r="CQ155" s="1488">
        <f>+NormInputs!CG304</f>
        <v>1.2500000000000001E-2</v>
      </c>
      <c r="CR155" s="1488">
        <f>+NormInputs!CH304</f>
        <v>1.3599999999999999E-2</v>
      </c>
      <c r="CS155" s="1488">
        <f>+NormInputs!CI304</f>
        <v>1.34E-2</v>
      </c>
      <c r="CT155" s="1489">
        <f t="shared" ref="CT155:DJ155" ca="1" si="811">CT153/(CT105*3)</f>
        <v>1.2980228634591888E-2</v>
      </c>
      <c r="CU155" s="1488">
        <f t="shared" ca="1" si="811"/>
        <v>1.1942367296073368E-2</v>
      </c>
      <c r="CV155" s="1488">
        <f t="shared" ca="1" si="811"/>
        <v>1.2212963861334537E-2</v>
      </c>
      <c r="CW155" s="1488">
        <f t="shared" ca="1" si="811"/>
        <v>1.2019009007731346E-2</v>
      </c>
      <c r="CX155" s="1489">
        <f t="shared" ca="1" si="811"/>
        <v>1.216176273591902E-2</v>
      </c>
      <c r="CY155" s="1488">
        <f t="shared" ca="1" si="811"/>
        <v>1.1018173810852325E-2</v>
      </c>
      <c r="CZ155" s="1488">
        <f t="shared" ca="1" si="811"/>
        <v>1.159726985712624E-2</v>
      </c>
      <c r="DA155" s="1488">
        <f t="shared" ca="1" si="811"/>
        <v>1.2105697198542818E-2</v>
      </c>
      <c r="DB155" s="1489">
        <f t="shared" ca="1" si="811"/>
        <v>1.2566802457125352E-2</v>
      </c>
      <c r="DC155" s="1488">
        <f t="shared" ca="1" si="811"/>
        <v>1.1901794372341745E-2</v>
      </c>
      <c r="DD155" s="1488">
        <f t="shared" ca="1" si="811"/>
        <v>1.2285737211583436E-2</v>
      </c>
      <c r="DE155" s="1488">
        <f t="shared" ca="1" si="811"/>
        <v>1.2153788805079776E-2</v>
      </c>
      <c r="DF155" s="1489">
        <f t="shared" ca="1" si="811"/>
        <v>1.2952275267771603E-2</v>
      </c>
      <c r="DG155" s="1488">
        <f t="shared" ca="1" si="811"/>
        <v>1.1888061283383584E-2</v>
      </c>
      <c r="DH155" s="1488">
        <f t="shared" ca="1" si="811"/>
        <v>1.2177530680618257E-2</v>
      </c>
      <c r="DI155" s="1490">
        <f t="shared" ca="1" si="811"/>
        <v>1.2977798199307645E-2</v>
      </c>
      <c r="DJ155" s="1489">
        <f t="shared" ca="1" si="811"/>
        <v>1.2433306859837446E-2</v>
      </c>
      <c r="DK155" s="1488">
        <f t="shared" ref="DK155:DM155" ca="1" si="812">DK153/(DK105*3)</f>
        <v>1.1163302602861285E-2</v>
      </c>
      <c r="DL155" s="1488">
        <f t="shared" ca="1" si="812"/>
        <v>1.1438337613295522E-2</v>
      </c>
      <c r="DM155" s="1490">
        <f t="shared" ca="1" si="812"/>
        <v>1.1479626684981073E-2</v>
      </c>
      <c r="DN155" s="1488">
        <f t="shared" ref="DN155:DO155" ca="1" si="813">DN153/(DN105*3)</f>
        <v>1.1655291408994165E-2</v>
      </c>
      <c r="DO155" s="1488">
        <f t="shared" ca="1" si="813"/>
        <v>1.1289864082585749E-2</v>
      </c>
      <c r="DP155" s="1488">
        <f t="shared" ref="DP155:DQ155" ca="1" si="814">DP153/(DP105*3)</f>
        <v>1.2022393966510121E-2</v>
      </c>
      <c r="DQ155" s="1490">
        <f t="shared" ca="1" si="814"/>
        <v>1.2500058633066495E-2</v>
      </c>
      <c r="DR155" s="1489">
        <f t="shared" ref="DR155" ca="1" si="815">DR153/(DR105*3)</f>
        <v>1.2849144425038844E-2</v>
      </c>
      <c r="DS155" s="1488">
        <f t="shared" ref="DS155:DT155" ca="1" si="816">DS153/(DS105*3)</f>
        <v>1.1036392776516937E-2</v>
      </c>
      <c r="DT155" s="1488">
        <f t="shared" ca="1" si="816"/>
        <v>1.1107556008134933E-2</v>
      </c>
      <c r="DU155" s="1490">
        <f t="shared" ref="DU155" ca="1" si="817">DU153/(DU105*3)</f>
        <v>1.1527048313534138E-2</v>
      </c>
      <c r="DV155" s="1488">
        <f t="shared" ref="DV155" ca="1" si="818">DV153/(DV105*3)</f>
        <v>1.1827002819501933E-2</v>
      </c>
      <c r="DW155" s="1488">
        <f t="shared" ref="DW155:DY155" ca="1" si="819">DW153/(DW105*3)</f>
        <v>1.104122725080667E-2</v>
      </c>
      <c r="DX155" s="1488">
        <f t="shared" ca="1" si="819"/>
        <v>1.1085312579938776E-2</v>
      </c>
      <c r="DY155" s="1490">
        <f t="shared" ca="1" si="819"/>
        <v>1.144897836149744E-2</v>
      </c>
    </row>
    <row r="156" spans="1:129" s="1491" customFormat="1" ht="15" hidden="1" customHeight="1" outlineLevel="1">
      <c r="A156" s="1397" t="s">
        <v>1613</v>
      </c>
      <c r="B156" s="1319"/>
      <c r="C156" s="1319"/>
      <c r="D156" s="1334"/>
      <c r="E156" s="1334"/>
      <c r="F156" s="1334"/>
      <c r="G156" s="1509"/>
      <c r="H156" s="1334"/>
      <c r="I156" s="1334"/>
      <c r="J156" s="1334"/>
      <c r="K156" s="1334"/>
      <c r="L156" s="1334"/>
      <c r="M156" s="1334"/>
      <c r="N156" s="1319"/>
      <c r="O156" s="1510"/>
      <c r="P156" s="1488"/>
      <c r="Q156" s="1070">
        <f ca="1">SUM(CL156:CO156)</f>
        <v>14082.141</v>
      </c>
      <c r="R156" s="1070">
        <f ca="1">SUM(CP156:CS156)</f>
        <v>14313.5136</v>
      </c>
      <c r="S156" s="1070">
        <f>SUM(CT156:CW156)</f>
        <v>13554.725700000001</v>
      </c>
      <c r="T156" s="1070">
        <f>SUM(CX156:DA156)</f>
        <v>13534.534799999999</v>
      </c>
      <c r="U156" s="1070">
        <f>SUM(DB156:DE156)</f>
        <v>15266.85555</v>
      </c>
      <c r="V156" s="1070">
        <f>SUM(DF156:DI156)</f>
        <v>16683.7287</v>
      </c>
      <c r="W156" s="1070">
        <f>SUM(DJ156:DM156)</f>
        <v>16229.56575</v>
      </c>
      <c r="X156" s="1070">
        <f>SUM(DN156:DQ156)</f>
        <v>17110.899300000001</v>
      </c>
      <c r="Y156" s="1070">
        <f>SUM(DR156:DU156)</f>
        <v>17209.184999999998</v>
      </c>
      <c r="Z156" s="1070">
        <f>SUM(DS156:DV156)</f>
        <v>16914.961200000002</v>
      </c>
      <c r="AA156" s="1504">
        <f ca="1">+AA263+AA292</f>
        <v>16371.359125855248</v>
      </c>
      <c r="AB156" s="1504">
        <f ca="1">+AB263+AB292</f>
        <v>16079.227296740368</v>
      </c>
      <c r="AC156" s="1504">
        <f t="shared" ref="AC156:AG156" ca="1" si="820">+AC263+AC292</f>
        <v>15845.710581023122</v>
      </c>
      <c r="AD156" s="1504">
        <f t="shared" ca="1" si="820"/>
        <v>15628.47409874685</v>
      </c>
      <c r="AE156" s="1504">
        <f t="shared" ca="1" si="820"/>
        <v>15409.480135771872</v>
      </c>
      <c r="AF156" s="1504">
        <f t="shared" ca="1" si="820"/>
        <v>15181.872533767108</v>
      </c>
      <c r="AG156" s="1504">
        <f t="shared" ca="1" si="820"/>
        <v>14943.816284045595</v>
      </c>
      <c r="AH156" s="2201"/>
      <c r="AI156" s="2125">
        <f ca="1">(AA156/V156)^(1/5)-1</f>
        <v>-3.7729647693408586E-3</v>
      </c>
      <c r="AJ156" s="1561"/>
      <c r="AK156" s="1334"/>
      <c r="AL156" s="1334"/>
      <c r="AM156" s="1319"/>
      <c r="AN156" s="1334"/>
      <c r="AO156" s="1334"/>
      <c r="AP156" s="1496"/>
      <c r="AQ156" s="1334"/>
      <c r="AR156" s="1334"/>
      <c r="AS156" s="1334"/>
      <c r="AT156" s="1496"/>
      <c r="AU156" s="1334"/>
      <c r="AV156" s="1334"/>
      <c r="AW156" s="1334"/>
      <c r="AX156" s="1496"/>
      <c r="AY156" s="1334"/>
      <c r="AZ156" s="1334"/>
      <c r="BA156" s="1334"/>
      <c r="BB156" s="1496"/>
      <c r="BC156" s="1334"/>
      <c r="BD156" s="1334"/>
      <c r="BE156" s="1334"/>
      <c r="BF156" s="1496"/>
      <c r="BG156" s="1334"/>
      <c r="BH156" s="1334"/>
      <c r="BI156" s="1334"/>
      <c r="BJ156" s="1511"/>
      <c r="BK156" s="1509"/>
      <c r="BL156" s="1509"/>
      <c r="BM156" s="1509"/>
      <c r="BN156" s="1511"/>
      <c r="BO156" s="1509"/>
      <c r="BP156" s="1509"/>
      <c r="BQ156" s="1509"/>
      <c r="BR156" s="1511"/>
      <c r="BS156" s="1509"/>
      <c r="BT156" s="1509"/>
      <c r="BU156" s="1509"/>
      <c r="BV156" s="1496"/>
      <c r="BW156" s="1334"/>
      <c r="BX156" s="1334"/>
      <c r="BY156" s="1334"/>
      <c r="BZ156" s="1512"/>
      <c r="CA156" s="1510"/>
      <c r="CB156" s="1510"/>
      <c r="CC156" s="1510"/>
      <c r="CD156" s="1512"/>
      <c r="CE156" s="1510"/>
      <c r="CF156" s="1510"/>
      <c r="CG156" s="1510"/>
      <c r="CH156" s="1513">
        <f>CH158*(+AVERAGE((CH254+CH286),(CG254+CG286)))*3</f>
        <v>2905.0775554499996</v>
      </c>
      <c r="CI156" s="1514">
        <f>CI158*(+AVERAGE((CI254+CI286),(CH254+CH286)))*3</f>
        <v>2785.1868000000004</v>
      </c>
      <c r="CJ156" s="1514">
        <f>CJ158*(+AVERAGE((CJ254+CJ286),(CI254+CI286)))*3</f>
        <v>3355.6594500000001</v>
      </c>
      <c r="CK156" s="1514">
        <f>CK158*(+AVERAGE((CK254+CK286),(CJ254+CJ286)))*3</f>
        <v>3536.4010499999999</v>
      </c>
      <c r="CL156" s="578">
        <f>CL158*(+AVERAGE((CL254+CL286),(CK254+CK286)))*3</f>
        <v>3523.4567999999999</v>
      </c>
      <c r="CM156" s="1504">
        <f>CM158*(+AVERAGE((CM117,CL117))*3)</f>
        <v>3325.5852</v>
      </c>
      <c r="CN156" s="1504">
        <f ca="1">+CN263+CN292</f>
        <v>3669.1259999999997</v>
      </c>
      <c r="CO156" s="1504">
        <f ca="1">+CO263+CO292</f>
        <v>3563.973</v>
      </c>
      <c r="CP156" s="578">
        <f>CP158*(+AVERAGE((CP117,CO117))*3)</f>
        <v>3645.7080000000001</v>
      </c>
      <c r="CQ156" s="1504">
        <f>CQ158*(+AVERAGE((CQ117,CP117))*3)</f>
        <v>3377.6581500000002</v>
      </c>
      <c r="CR156" s="1504">
        <f ca="1">+CR263+CR292</f>
        <v>3708.9195</v>
      </c>
      <c r="CS156" s="1504">
        <f ca="1">+CS263+CS292</f>
        <v>3581.22795</v>
      </c>
      <c r="CT156" s="578">
        <f>CT158*(+AVERAGE((CT117,CS117))*3)</f>
        <v>3510.18255</v>
      </c>
      <c r="CU156" s="1504">
        <f>CU158*(+AVERAGE((CU117,CT117))*3)</f>
        <v>3260.1267000000003</v>
      </c>
      <c r="CV156" s="1504">
        <f>CV158*(+AVERAGE((CV117,CU117))*3)</f>
        <v>3410.3726999999999</v>
      </c>
      <c r="CW156" s="1504">
        <f>CW158*(+AVERAGE((CW117,CV117))*3)</f>
        <v>3374.0437500000003</v>
      </c>
      <c r="CX156" s="578">
        <f>CX158*(+AVERAGE((CX117,CW117))*3)</f>
        <v>3443.8829999999998</v>
      </c>
      <c r="CY156" s="1504">
        <f>CY158*(+AVERAGE((CY117,CX117))*3)</f>
        <v>3115.9142999999999</v>
      </c>
      <c r="CZ156" s="1504">
        <f>CZ158*(+AVERAGE((CZ117,CY117))*3)</f>
        <v>3363.9380999999998</v>
      </c>
      <c r="DA156" s="1504">
        <f>DA158*(+AVERAGE((DA117,CZ117))*3)</f>
        <v>3610.7993999999999</v>
      </c>
      <c r="DB156" s="578">
        <f>DB158*(+AVERAGE((DB117,DA117))*3)</f>
        <v>3844.62</v>
      </c>
      <c r="DC156" s="1504">
        <f>DC158*(+AVERAGE((DC117,DB117))*3)</f>
        <v>3672.5463</v>
      </c>
      <c r="DD156" s="1504">
        <f>DD158*(+AVERAGE((DD117,DC117))*3)</f>
        <v>3864.4608000000003</v>
      </c>
      <c r="DE156" s="1504">
        <f>DE158*(+AVERAGE((DE117,DD117))*3)</f>
        <v>3885.2284500000001</v>
      </c>
      <c r="DF156" s="578">
        <f>DF158*(+AVERAGE((DF117,DE117))*3)</f>
        <v>4235.9509500000004</v>
      </c>
      <c r="DG156" s="1504">
        <f>DG158*(+AVERAGE((DG117,DF117))*3)</f>
        <v>3899.3812500000004</v>
      </c>
      <c r="DH156" s="1504">
        <f>DH158*(+AVERAGE((DH117,DG117))*3)</f>
        <v>4078.8445499999998</v>
      </c>
      <c r="DI156" s="579">
        <f>DI158*(+AVERAGE((DI117,DH117))*3)</f>
        <v>4469.55195</v>
      </c>
      <c r="DJ156" s="578">
        <f>DJ158*(+AVERAGE((DJ117,DI117))*3)</f>
        <v>4325.0203499999998</v>
      </c>
      <c r="DK156" s="1504">
        <f>DK158*(+AVERAGE((DK117,DJ117))*3)</f>
        <v>3860.9009999999998</v>
      </c>
      <c r="DL156" s="1504">
        <f>DL158*(+AVERAGE((DL117,DK117))*3)</f>
        <v>3998.5902000000001</v>
      </c>
      <c r="DM156" s="579">
        <f>DM158*(+AVERAGE((DM117,DL117))*3)</f>
        <v>4045.0542</v>
      </c>
      <c r="DN156" s="1504">
        <f>DN158*(+AVERAGE((DN117,DM117))*3)</f>
        <v>4145.36445</v>
      </c>
      <c r="DO156" s="1504">
        <f>DO158*(+AVERAGE((DO117,DN117))*3)</f>
        <v>4029.2269500000002</v>
      </c>
      <c r="DP156" s="1504">
        <f>DP158*(+AVERAGE((DP117,DO117))*3)</f>
        <v>4355.1360000000004</v>
      </c>
      <c r="DQ156" s="579">
        <f>DQ158*(+AVERAGE((DQ117,DP117))*3)</f>
        <v>4581.1719000000003</v>
      </c>
      <c r="DR156" s="578">
        <f>DR158*(+AVERAGE((DR117,DQ117))*3)</f>
        <v>4757.0526</v>
      </c>
      <c r="DS156" s="1504">
        <f>DS158*(+AVERAGE((DS117,DR117))*3)</f>
        <v>4043.5472999999997</v>
      </c>
      <c r="DT156" s="1504">
        <f>DT158*(+AVERAGE((DT117,DS117))*3)</f>
        <v>4102.1085000000003</v>
      </c>
      <c r="DU156" s="579">
        <f>DU158*(+AVERAGE((DU117,DT117))*3)</f>
        <v>4306.4766</v>
      </c>
      <c r="DV156" s="1504">
        <f>DV158*(+AVERAGE((DV117,DU117))*3)</f>
        <v>4462.8288000000002</v>
      </c>
      <c r="DW156" s="1504">
        <f t="shared" ref="DW156:DY156" ca="1" si="821">+DW263+DW292</f>
        <v>4038.5641414442198</v>
      </c>
      <c r="DX156" s="1504">
        <f t="shared" ca="1" si="821"/>
        <v>4069.8506419094097</v>
      </c>
      <c r="DY156" s="579">
        <f t="shared" ca="1" si="821"/>
        <v>4245.3147998901122</v>
      </c>
    </row>
    <row r="157" spans="1:129" s="1491" customFormat="1" ht="15" hidden="1" customHeight="1" outlineLevel="1">
      <c r="A157" s="1457" t="s">
        <v>1453</v>
      </c>
      <c r="B157" s="1324"/>
      <c r="C157" s="1324"/>
      <c r="D157" s="1324"/>
      <c r="E157" s="1324"/>
      <c r="F157" s="1324"/>
      <c r="G157" s="1324"/>
      <c r="H157" s="1324"/>
      <c r="I157" s="1324"/>
      <c r="J157" s="1324"/>
      <c r="K157" s="1324"/>
      <c r="L157" s="1324"/>
      <c r="M157" s="1324"/>
      <c r="N157" s="1324"/>
      <c r="O157" s="1324"/>
      <c r="P157" s="1065"/>
      <c r="Q157" s="1065"/>
      <c r="R157" s="1065">
        <f ca="1">R156/Q156-1</f>
        <v>1.6430214695336565E-2</v>
      </c>
      <c r="S157" s="1065">
        <f t="shared" ref="S157:AB157" ca="1" si="822">+S156/R156-1</f>
        <v>-5.301199420385494E-2</v>
      </c>
      <c r="T157" s="1065">
        <f t="shared" si="822"/>
        <v>-1.4895838135626782E-3</v>
      </c>
      <c r="U157" s="1065">
        <f t="shared" si="822"/>
        <v>0.12799263333380329</v>
      </c>
      <c r="V157" s="1065">
        <f t="shared" si="822"/>
        <v>9.2807136699475601E-2</v>
      </c>
      <c r="W157" s="1065">
        <f>+W156/V156-1</f>
        <v>-2.7221909332534322E-2</v>
      </c>
      <c r="X157" s="1065">
        <f>+X156/W156-1</f>
        <v>5.4304197880340688E-2</v>
      </c>
      <c r="Y157" s="1065">
        <f>+Y156/X156-1</f>
        <v>5.7440405835358366E-3</v>
      </c>
      <c r="Z157" s="1065">
        <f>+Z156/Y156-1</f>
        <v>-1.7096904937682789E-2</v>
      </c>
      <c r="AA157" s="1065">
        <f t="shared" ca="1" si="822"/>
        <v>-3.2137352709077027E-2</v>
      </c>
      <c r="AB157" s="1065">
        <f t="shared" ca="1" si="822"/>
        <v>-1.7844079215971531E-2</v>
      </c>
      <c r="AC157" s="1065">
        <f t="shared" ref="AC157" ca="1" si="823">+AC156/AB156-1</f>
        <v>-1.4522881691247935E-2</v>
      </c>
      <c r="AD157" s="1065">
        <f t="shared" ref="AD157" ca="1" si="824">+AD156/AC156-1</f>
        <v>-1.3709481891991282E-2</v>
      </c>
      <c r="AE157" s="1065">
        <f t="shared" ref="AE157" ca="1" si="825">+AE156/AD156-1</f>
        <v>-1.4012498059074008E-2</v>
      </c>
      <c r="AF157" s="1065">
        <f t="shared" ref="AF157" ca="1" si="826">+AF156/AE156-1</f>
        <v>-1.477062172113075E-2</v>
      </c>
      <c r="AG157" s="1065">
        <f t="shared" ref="AG157" ca="1" si="827">+AG156/AF156-1</f>
        <v>-1.5680295641531283E-2</v>
      </c>
      <c r="AH157" s="2201"/>
      <c r="AI157" s="1927"/>
      <c r="AJ157" s="1561"/>
      <c r="AK157" s="1324"/>
      <c r="AL157" s="1324"/>
      <c r="AM157" s="1324"/>
      <c r="AN157" s="1324"/>
      <c r="AO157" s="1324"/>
      <c r="AP157" s="1325"/>
      <c r="AQ157" s="1324"/>
      <c r="AR157" s="1324"/>
      <c r="AS157" s="1324"/>
      <c r="AT157" s="1325"/>
      <c r="AU157" s="1324"/>
      <c r="AV157" s="1324"/>
      <c r="AW157" s="1324"/>
      <c r="AX157" s="1325"/>
      <c r="AY157" s="1324"/>
      <c r="AZ157" s="1324"/>
      <c r="BA157" s="1324"/>
      <c r="BB157" s="1325"/>
      <c r="BC157" s="1324"/>
      <c r="BD157" s="1324"/>
      <c r="BE157" s="1324"/>
      <c r="BF157" s="1325"/>
      <c r="BG157" s="1324"/>
      <c r="BH157" s="1324"/>
      <c r="BI157" s="1324"/>
      <c r="BJ157" s="1325"/>
      <c r="BK157" s="1324"/>
      <c r="BL157" s="1324"/>
      <c r="BM157" s="1324"/>
      <c r="BN157" s="1325"/>
      <c r="BO157" s="1324"/>
      <c r="BP157" s="1324"/>
      <c r="BQ157" s="1324"/>
      <c r="BR157" s="1325"/>
      <c r="BS157" s="1324"/>
      <c r="BT157" s="1324"/>
      <c r="BU157" s="1324"/>
      <c r="BV157" s="1325"/>
      <c r="BW157" s="1324"/>
      <c r="BX157" s="1324"/>
      <c r="BY157" s="1324"/>
      <c r="BZ157" s="1325"/>
      <c r="CA157" s="1324"/>
      <c r="CB157" s="1324"/>
      <c r="CC157" s="1324"/>
      <c r="CD157" s="1325"/>
      <c r="CE157" s="1324"/>
      <c r="CF157" s="1324"/>
      <c r="CG157" s="1324"/>
      <c r="CH157" s="1325"/>
      <c r="CI157" s="1324"/>
      <c r="CJ157" s="1324"/>
      <c r="CK157" s="1324"/>
      <c r="CL157" s="563">
        <f t="shared" ref="CL157:DV157" si="828">CL156/CH156-1</f>
        <v>0.21286152701496897</v>
      </c>
      <c r="CM157" s="1065">
        <f t="shared" si="828"/>
        <v>0.19402590878285064</v>
      </c>
      <c r="CN157" s="1065">
        <f t="shared" ca="1" si="828"/>
        <v>9.3414291488964851E-2</v>
      </c>
      <c r="CO157" s="1065">
        <f t="shared" ca="1" si="828"/>
        <v>7.7966128869915163E-3</v>
      </c>
      <c r="CP157" s="563">
        <f t="shared" si="828"/>
        <v>3.4696381122084397E-2</v>
      </c>
      <c r="CQ157" s="1065">
        <f t="shared" si="828"/>
        <v>1.5658281736399493E-2</v>
      </c>
      <c r="CR157" s="1065">
        <f t="shared" ca="1" si="828"/>
        <v>1.0845498355739336E-2</v>
      </c>
      <c r="CS157" s="1065">
        <f t="shared" ca="1" si="828"/>
        <v>4.8414929069326984E-3</v>
      </c>
      <c r="CT157" s="563">
        <f t="shared" si="828"/>
        <v>-3.7173972792116095E-2</v>
      </c>
      <c r="CU157" s="1065">
        <f t="shared" si="828"/>
        <v>-3.479672743080886E-2</v>
      </c>
      <c r="CV157" s="1065">
        <f t="shared" ca="1" si="828"/>
        <v>-8.0494278724571933E-2</v>
      </c>
      <c r="CW157" s="1065">
        <f t="shared" ca="1" si="828"/>
        <v>-5.7852837879252994E-2</v>
      </c>
      <c r="CX157" s="563">
        <f t="shared" si="828"/>
        <v>-1.8887778357852159E-2</v>
      </c>
      <c r="CY157" s="1065">
        <f t="shared" si="828"/>
        <v>-4.42352133124152E-2</v>
      </c>
      <c r="CZ157" s="1065">
        <f t="shared" si="828"/>
        <v>-1.3615696607001349E-2</v>
      </c>
      <c r="DA157" s="1065">
        <f t="shared" si="828"/>
        <v>7.0169703638252923E-2</v>
      </c>
      <c r="DB157" s="563">
        <f t="shared" si="828"/>
        <v>0.11636196700062107</v>
      </c>
      <c r="DC157" s="1065">
        <f t="shared" si="828"/>
        <v>0.17864162695360397</v>
      </c>
      <c r="DD157" s="1065">
        <f t="shared" si="828"/>
        <v>0.14879069861600613</v>
      </c>
      <c r="DE157" s="1065">
        <f t="shared" si="828"/>
        <v>7.6002297441392086E-2</v>
      </c>
      <c r="DF157" s="563">
        <f t="shared" si="828"/>
        <v>0.10178663951183742</v>
      </c>
      <c r="DG157" s="1065">
        <f t="shared" si="828"/>
        <v>6.176503479343487E-2</v>
      </c>
      <c r="DH157" s="1065">
        <f t="shared" si="828"/>
        <v>5.5475721218338991E-2</v>
      </c>
      <c r="DI157" s="564">
        <f t="shared" si="828"/>
        <v>0.15039617554535312</v>
      </c>
      <c r="DJ157" s="563">
        <f t="shared" si="828"/>
        <v>2.1027014016769874E-2</v>
      </c>
      <c r="DK157" s="1065">
        <f t="shared" si="828"/>
        <v>-9.8682964124117145E-3</v>
      </c>
      <c r="DL157" s="1065">
        <f t="shared" si="828"/>
        <v>-1.9675755968684761E-2</v>
      </c>
      <c r="DM157" s="564">
        <f t="shared" si="828"/>
        <v>-9.4975459452932398E-2</v>
      </c>
      <c r="DN157" s="1065">
        <f t="shared" si="828"/>
        <v>-4.1538740968004917E-2</v>
      </c>
      <c r="DO157" s="1065">
        <f t="shared" si="828"/>
        <v>4.3597582533196455E-2</v>
      </c>
      <c r="DP157" s="1065">
        <f t="shared" si="828"/>
        <v>8.9167877218325753E-2</v>
      </c>
      <c r="DQ157" s="564">
        <f t="shared" si="828"/>
        <v>0.13253659246395277</v>
      </c>
      <c r="DR157" s="563">
        <f t="shared" si="828"/>
        <v>0.14755955896712525</v>
      </c>
      <c r="DS157" s="1065">
        <f t="shared" si="828"/>
        <v>3.5541184891556554E-3</v>
      </c>
      <c r="DT157" s="1065">
        <f t="shared" si="828"/>
        <v>-5.8098644910285269E-2</v>
      </c>
      <c r="DU157" s="564">
        <f t="shared" si="828"/>
        <v>-5.9961797111346193E-2</v>
      </c>
      <c r="DV157" s="1065">
        <f t="shared" si="828"/>
        <v>-6.1850020325610822E-2</v>
      </c>
      <c r="DW157" s="1065">
        <f t="shared" ref="DW157" ca="1" si="829">DW156/DS156-1</f>
        <v>-1.2323730096541752E-3</v>
      </c>
      <c r="DX157" s="1065">
        <f t="shared" ref="DX157" ca="1" si="830">DX156/DT156-1</f>
        <v>-7.8637262009502162E-3</v>
      </c>
      <c r="DY157" s="564">
        <f t="shared" ref="DY157" ca="1" si="831">DY156/DU156-1</f>
        <v>-1.4202283163430529E-2</v>
      </c>
    </row>
    <row r="158" spans="1:129" s="1491" customFormat="1" ht="15" hidden="1" customHeight="1" outlineLevel="1">
      <c r="A158" s="569" t="s">
        <v>1</v>
      </c>
      <c r="B158" s="1319"/>
      <c r="C158" s="1319"/>
      <c r="D158" s="1334"/>
      <c r="E158" s="1334"/>
      <c r="F158" s="1334"/>
      <c r="G158" s="1509"/>
      <c r="H158" s="1334"/>
      <c r="I158" s="1334"/>
      <c r="J158" s="1334"/>
      <c r="K158" s="1334"/>
      <c r="L158" s="1334"/>
      <c r="M158" s="1334"/>
      <c r="N158" s="1319"/>
      <c r="O158" s="1319"/>
      <c r="P158" s="1064"/>
      <c r="Q158" s="1064"/>
      <c r="R158" s="1488">
        <f t="shared" ref="R158:AB158" ca="1" si="832">R156/(AVERAGE((R254+R286),(Q254+Q286)))/12</f>
        <v>1.3791106486298993E-2</v>
      </c>
      <c r="S158" s="1488">
        <f t="shared" si="832"/>
        <v>1.2571484735840447E-2</v>
      </c>
      <c r="T158" s="1488">
        <f t="shared" si="832"/>
        <v>1.1847643607829956E-2</v>
      </c>
      <c r="U158" s="1488">
        <f t="shared" si="832"/>
        <v>1.2657258032423182E-2</v>
      </c>
      <c r="V158" s="1488">
        <f t="shared" si="832"/>
        <v>1.3177676176484528E-2</v>
      </c>
      <c r="W158" s="1488">
        <f t="shared" si="832"/>
        <v>1.2277323449180507E-2</v>
      </c>
      <c r="X158" s="1488">
        <f t="shared" si="832"/>
        <v>1.2599089688139218E-2</v>
      </c>
      <c r="Y158" s="1488">
        <f t="shared" si="832"/>
        <v>1.2443373101952275E-2</v>
      </c>
      <c r="Z158" s="1488">
        <f t="shared" ca="1" si="832"/>
        <v>1.204713616802027E-2</v>
      </c>
      <c r="AA158" s="1488">
        <f t="shared" ca="1" si="832"/>
        <v>1.1508861387595194E-2</v>
      </c>
      <c r="AB158" s="1488">
        <f t="shared" ca="1" si="832"/>
        <v>1.1158315562295754E-2</v>
      </c>
      <c r="AC158" s="1488">
        <f t="shared" ref="AC158" ca="1" si="833">AC156/(AVERAGE((AC254+AC286),(AB254+AB286)))/12</f>
        <v>1.0865086646082033E-2</v>
      </c>
      <c r="AD158" s="1488">
        <f t="shared" ref="AD158" ca="1" si="834">AD156/(AVERAGE((AD254+AD286),(AC254+AC286)))/12</f>
        <v>1.0600393253998704E-2</v>
      </c>
      <c r="AE158" s="1488">
        <f t="shared" ref="AE158" ca="1" si="835">AE156/(AVERAGE((AE254+AE286),(AD254+AD286)))/12</f>
        <v>1.0350442299119194E-2</v>
      </c>
      <c r="AF158" s="1488">
        <f t="shared" ref="AF158" ca="1" si="836">AF156/(AVERAGE((AF254+AF286),(AE254+AE286)))/12</f>
        <v>1.0108534699022806E-2</v>
      </c>
      <c r="AG158" s="1488">
        <f t="shared" ref="AG158" ca="1" si="837">AG156/(AVERAGE((AG254+AG286),(AF254+AF286)))/12</f>
        <v>9.8713402665838151E-3</v>
      </c>
      <c r="AH158" s="2201"/>
      <c r="AI158" s="1927"/>
      <c r="AJ158" s="1561"/>
      <c r="AK158" s="1334"/>
      <c r="AL158" s="1334"/>
      <c r="AM158" s="1319"/>
      <c r="AN158" s="1334"/>
      <c r="AO158" s="1334"/>
      <c r="AP158" s="1496"/>
      <c r="AQ158" s="1334"/>
      <c r="AR158" s="1334"/>
      <c r="AS158" s="1334"/>
      <c r="AT158" s="1496"/>
      <c r="AU158" s="1334"/>
      <c r="AV158" s="1334"/>
      <c r="AW158" s="1334"/>
      <c r="AX158" s="1496"/>
      <c r="AY158" s="1334"/>
      <c r="AZ158" s="1334"/>
      <c r="BA158" s="1334"/>
      <c r="BB158" s="1496"/>
      <c r="BC158" s="1334"/>
      <c r="BD158" s="1334"/>
      <c r="BE158" s="1334"/>
      <c r="BF158" s="1496"/>
      <c r="BG158" s="1334"/>
      <c r="BH158" s="1334"/>
      <c r="BI158" s="1334"/>
      <c r="BJ158" s="1496"/>
      <c r="BK158" s="1334"/>
      <c r="BL158" s="1334"/>
      <c r="BM158" s="1334"/>
      <c r="BN158" s="1081"/>
      <c r="BO158" s="1319"/>
      <c r="BP158" s="1319"/>
      <c r="BQ158" s="1269"/>
      <c r="BR158" s="1081"/>
      <c r="BS158" s="1269"/>
      <c r="BT158" s="1319"/>
      <c r="BU158" s="1269"/>
      <c r="BV158" s="1081"/>
      <c r="BW158" s="1319"/>
      <c r="BX158" s="1319"/>
      <c r="BY158" s="1373"/>
      <c r="BZ158" s="1232"/>
      <c r="CA158" s="1373"/>
      <c r="CB158" s="1373"/>
      <c r="CC158" s="1373"/>
      <c r="CD158" s="1232"/>
      <c r="CE158" s="1373"/>
      <c r="CF158" s="1373"/>
      <c r="CG158" s="1373"/>
      <c r="CH158" s="1232">
        <v>1.29E-2</v>
      </c>
      <c r="CI158" s="1373">
        <v>1.2200000000000001E-2</v>
      </c>
      <c r="CJ158" s="1373">
        <v>1.43E-2</v>
      </c>
      <c r="CK158" s="1373">
        <v>1.47E-2</v>
      </c>
      <c r="CL158" s="499">
        <v>1.44E-2</v>
      </c>
      <c r="CM158" s="1357">
        <v>1.34E-2</v>
      </c>
      <c r="CN158" s="1357">
        <v>1.46E-2</v>
      </c>
      <c r="CO158" s="1357">
        <v>1.4E-2</v>
      </c>
      <c r="CP158" s="499">
        <v>1.4200000000000001E-2</v>
      </c>
      <c r="CQ158" s="1357">
        <v>1.3100000000000001E-2</v>
      </c>
      <c r="CR158" s="1357">
        <v>1.43E-2</v>
      </c>
      <c r="CS158" s="1357">
        <v>1.37E-2</v>
      </c>
      <c r="CT158" s="499">
        <v>1.3299999999999999E-2</v>
      </c>
      <c r="CU158" s="1357">
        <v>1.2200000000000001E-2</v>
      </c>
      <c r="CV158" s="1357">
        <v>1.26E-2</v>
      </c>
      <c r="CW158" s="1357">
        <v>1.23E-2</v>
      </c>
      <c r="CX158" s="499">
        <v>1.24E-2</v>
      </c>
      <c r="CY158" s="1357">
        <v>1.11E-2</v>
      </c>
      <c r="CZ158" s="1357">
        <v>1.18E-2</v>
      </c>
      <c r="DA158" s="1357">
        <v>1.24E-2</v>
      </c>
      <c r="DB158" s="499">
        <v>1.2999999999999999E-2</v>
      </c>
      <c r="DC158" s="1357">
        <v>1.23E-2</v>
      </c>
      <c r="DD158" s="1357">
        <v>1.2800000000000001E-2</v>
      </c>
      <c r="DE158" s="1357">
        <v>1.2699999999999999E-2</v>
      </c>
      <c r="DF158" s="499">
        <v>1.37E-2</v>
      </c>
      <c r="DG158" s="1357">
        <v>1.2500000000000001E-2</v>
      </c>
      <c r="DH158" s="1357">
        <v>1.29E-2</v>
      </c>
      <c r="DI158" s="500">
        <v>1.3899999999999999E-2</v>
      </c>
      <c r="DJ158" s="499">
        <v>1.3299999999999999E-2</v>
      </c>
      <c r="DK158" s="1357">
        <v>1.18E-2</v>
      </c>
      <c r="DL158" s="1357">
        <v>1.21E-2</v>
      </c>
      <c r="DM158" s="500">
        <v>1.21E-2</v>
      </c>
      <c r="DN158" s="1357">
        <v>1.23E-2</v>
      </c>
      <c r="DO158" s="1357">
        <v>1.1900000000000001E-2</v>
      </c>
      <c r="DP158" s="1357">
        <v>1.2800000000000001E-2</v>
      </c>
      <c r="DQ158" s="500">
        <v>1.34E-2</v>
      </c>
      <c r="DR158" s="499">
        <v>1.3899999999999999E-2</v>
      </c>
      <c r="DS158" s="1357">
        <v>1.18E-2</v>
      </c>
      <c r="DT158" s="1357">
        <v>1.1900000000000001E-2</v>
      </c>
      <c r="DU158" s="500">
        <v>1.24E-2</v>
      </c>
      <c r="DV158" s="1357">
        <v>1.2800000000000001E-2</v>
      </c>
      <c r="DW158" s="1488">
        <f ca="1">DW156/(AVERAGE((DW117,DV117)))/3</f>
        <v>1.1573645464029255E-2</v>
      </c>
      <c r="DX158" s="1488">
        <f ca="1">DX156/(AVERAGE((DX117,DW117)))/3</f>
        <v>1.1626902471749355E-2</v>
      </c>
      <c r="DY158" s="1490">
        <f ca="1">DY156/(AVERAGE((DY117,DX117)))/3</f>
        <v>1.2060681606274147E-2</v>
      </c>
    </row>
    <row r="159" spans="1:129" s="1491" customFormat="1" ht="15" hidden="1" customHeight="1" outlineLevel="2">
      <c r="A159" s="569"/>
      <c r="B159" s="1319"/>
      <c r="C159" s="1319"/>
      <c r="D159" s="1334"/>
      <c r="E159" s="1334"/>
      <c r="F159" s="1334"/>
      <c r="G159" s="1509"/>
      <c r="H159" s="1334"/>
      <c r="I159" s="1334"/>
      <c r="J159" s="1334"/>
      <c r="K159" s="1334"/>
      <c r="L159" s="1334"/>
      <c r="M159" s="1334"/>
      <c r="N159" s="1319"/>
      <c r="O159" s="1319"/>
      <c r="P159" s="1064"/>
      <c r="Q159" s="1064"/>
      <c r="R159" s="1488"/>
      <c r="S159" s="1488"/>
      <c r="T159" s="1488"/>
      <c r="U159" s="1488"/>
      <c r="V159" s="1488"/>
      <c r="W159" s="1488"/>
      <c r="X159" s="1488"/>
      <c r="Y159" s="1488"/>
      <c r="Z159" s="1488"/>
      <c r="AA159" s="1488"/>
      <c r="AB159" s="1488"/>
      <c r="AC159" s="1488"/>
      <c r="AD159" s="1488"/>
      <c r="AE159" s="1488"/>
      <c r="AF159" s="1488"/>
      <c r="AG159" s="1488"/>
      <c r="AH159" s="2201"/>
      <c r="AI159" s="1927"/>
      <c r="AJ159" s="1561"/>
      <c r="AK159" s="1334"/>
      <c r="AL159" s="1334"/>
      <c r="AM159" s="1319"/>
      <c r="AN159" s="1334"/>
      <c r="AO159" s="1334"/>
      <c r="AP159" s="1496"/>
      <c r="AQ159" s="1334"/>
      <c r="AR159" s="1334"/>
      <c r="AS159" s="1334"/>
      <c r="AT159" s="1496"/>
      <c r="AU159" s="1334"/>
      <c r="AV159" s="1334"/>
      <c r="AW159" s="1334"/>
      <c r="AX159" s="1496"/>
      <c r="AY159" s="1334"/>
      <c r="AZ159" s="1334"/>
      <c r="BA159" s="1334"/>
      <c r="BB159" s="1496"/>
      <c r="BC159" s="1334"/>
      <c r="BD159" s="1334"/>
      <c r="BE159" s="1334"/>
      <c r="BF159" s="1496"/>
      <c r="BG159" s="1334"/>
      <c r="BH159" s="1334"/>
      <c r="BI159" s="1334"/>
      <c r="BJ159" s="1496"/>
      <c r="BK159" s="1334"/>
      <c r="BL159" s="1334"/>
      <c r="BM159" s="1334"/>
      <c r="BN159" s="1081"/>
      <c r="BO159" s="1319"/>
      <c r="BP159" s="1319"/>
      <c r="BQ159" s="1269"/>
      <c r="BR159" s="1081"/>
      <c r="BS159" s="1269"/>
      <c r="BT159" s="1319"/>
      <c r="BU159" s="1269"/>
      <c r="BV159" s="1081"/>
      <c r="BW159" s="1319"/>
      <c r="BX159" s="1319"/>
      <c r="BY159" s="1373"/>
      <c r="BZ159" s="1232"/>
      <c r="CA159" s="1373"/>
      <c r="CB159" s="1373"/>
      <c r="CC159" s="1373"/>
      <c r="CD159" s="1232"/>
      <c r="CE159" s="1373"/>
      <c r="CF159" s="1373"/>
      <c r="CG159" s="1373"/>
      <c r="CH159" s="1232"/>
      <c r="CI159" s="1373"/>
      <c r="CJ159" s="1373"/>
      <c r="CK159" s="1373"/>
      <c r="CL159" s="499"/>
      <c r="CM159" s="1357"/>
      <c r="CN159" s="1357"/>
      <c r="CO159" s="1357"/>
      <c r="CP159" s="499"/>
      <c r="CQ159" s="1357"/>
      <c r="CR159" s="1357"/>
      <c r="CS159" s="1357"/>
      <c r="CT159" s="499"/>
      <c r="CU159" s="1357"/>
      <c r="CV159" s="1357"/>
      <c r="CW159" s="1357"/>
      <c r="CX159" s="499"/>
      <c r="CY159" s="1357"/>
      <c r="CZ159" s="1357"/>
      <c r="DA159" s="1357"/>
      <c r="DB159" s="499"/>
      <c r="DC159" s="1357"/>
      <c r="DD159" s="1357"/>
      <c r="DE159" s="1357"/>
      <c r="DF159" s="499"/>
      <c r="DG159" s="1357"/>
      <c r="DH159" s="1357"/>
      <c r="DI159" s="500"/>
      <c r="DJ159" s="499"/>
      <c r="DK159" s="1357"/>
      <c r="DL159" s="1357"/>
      <c r="DM159" s="500"/>
      <c r="DN159" s="1357"/>
      <c r="DO159" s="1357"/>
      <c r="DP159" s="1357"/>
      <c r="DQ159" s="500"/>
      <c r="DR159" s="499"/>
      <c r="DS159" s="1357"/>
      <c r="DT159" s="1357"/>
      <c r="DU159" s="500"/>
      <c r="DV159" s="1357"/>
      <c r="DW159" s="1488"/>
      <c r="DX159" s="1488"/>
      <c r="DY159" s="1490"/>
    </row>
    <row r="160" spans="1:129" s="1491" customFormat="1" ht="15" hidden="1" customHeight="1" outlineLevel="2">
      <c r="A160" s="1397" t="s">
        <v>24</v>
      </c>
      <c r="B160" s="502"/>
      <c r="C160" s="502"/>
      <c r="D160" s="1070"/>
      <c r="E160" s="1070"/>
      <c r="F160" s="1070"/>
      <c r="G160" s="1064"/>
      <c r="H160" s="1064"/>
      <c r="I160" s="1064"/>
      <c r="J160" s="1064"/>
      <c r="K160" s="1064"/>
      <c r="L160" s="1070"/>
      <c r="M160" s="1070"/>
      <c r="N160" s="1070"/>
      <c r="O160" s="1070"/>
      <c r="P160" s="1070"/>
      <c r="Q160" s="1070">
        <f ca="1">SUM(CL160:CO160)</f>
        <v>1706.6115000000009</v>
      </c>
      <c r="R160" s="1070">
        <f ca="1">SUM(CP160:CS160)</f>
        <v>1546.5847499999986</v>
      </c>
      <c r="S160" s="1070">
        <f ca="1">SUM(CT160:CW160)</f>
        <v>2024.6257893030779</v>
      </c>
      <c r="T160" s="1070">
        <f ca="1">SUM(CX160:DA160)</f>
        <v>2024.9328524041048</v>
      </c>
      <c r="U160" s="1070">
        <f ca="1">SUM(DB160:DE160)</f>
        <v>2024.9328524041684</v>
      </c>
      <c r="V160" s="1070">
        <f ca="1">SUM(DF160:DI160)</f>
        <v>2024.9328524041866</v>
      </c>
      <c r="W160" s="1070">
        <f ca="1">SUM(DJ160:DM160)</f>
        <v>2024.9328524041912</v>
      </c>
      <c r="X160" s="1070">
        <f ca="1">SUM(DN160:DQ160)</f>
        <v>2024.9328524041957</v>
      </c>
      <c r="Y160" s="1070">
        <f ca="1">SUM(DR160:DU160)</f>
        <v>2024.9328524041953</v>
      </c>
      <c r="Z160" s="1070">
        <f ca="1">SUM(DS160:DV160)</f>
        <v>2024.9328524041953</v>
      </c>
      <c r="AA160" s="1504">
        <f ca="1">AA162*(AVERAGE(Z176:AA176))*12</f>
        <v>2898.5622369285393</v>
      </c>
      <c r="AB160" s="1504">
        <f ca="1">AB162*(AVERAGE(AA176:AB176))*12</f>
        <v>2864.5287216993679</v>
      </c>
      <c r="AC160" s="1504">
        <f t="shared" ref="AC160:AG160" ca="1" si="838">AC162*(AVERAGE(AB176:AC176))*12</f>
        <v>2834.3480572508583</v>
      </c>
      <c r="AD160" s="1504">
        <f t="shared" ca="1" si="838"/>
        <v>2807.5840717965189</v>
      </c>
      <c r="AE160" s="1504">
        <f t="shared" ca="1" si="838"/>
        <v>2783.849971487954</v>
      </c>
      <c r="AF160" s="1504">
        <f t="shared" ca="1" si="838"/>
        <v>2762.8027504596039</v>
      </c>
      <c r="AG160" s="1504">
        <f t="shared" ca="1" si="838"/>
        <v>2744.1382336986144</v>
      </c>
      <c r="AH160" s="2201"/>
      <c r="AI160" s="2125">
        <f ca="1">(AA160/V160)^(1/5)-1</f>
        <v>7.4371305704785229E-2</v>
      </c>
      <c r="AJ160" s="1561"/>
      <c r="AK160" s="1334"/>
      <c r="AL160" s="1334"/>
      <c r="AM160" s="1319"/>
      <c r="AN160" s="1334"/>
      <c r="AO160" s="1334"/>
      <c r="AP160" s="1496"/>
      <c r="AQ160" s="1334"/>
      <c r="AR160" s="1334"/>
      <c r="AS160" s="1334"/>
      <c r="AT160" s="1496"/>
      <c r="AU160" s="1334"/>
      <c r="AV160" s="1334"/>
      <c r="AW160" s="1334"/>
      <c r="AX160" s="794"/>
      <c r="AY160" s="1319"/>
      <c r="AZ160" s="1319"/>
      <c r="BA160" s="1319"/>
      <c r="BB160" s="794"/>
      <c r="BC160" s="1319"/>
      <c r="BD160" s="1319"/>
      <c r="BE160" s="1319"/>
      <c r="BF160" s="794"/>
      <c r="BG160" s="1319"/>
      <c r="BH160" s="1319"/>
      <c r="BI160" s="1319"/>
      <c r="BJ160" s="794"/>
      <c r="BK160" s="1319"/>
      <c r="BL160" s="1319"/>
      <c r="BM160" s="1319"/>
      <c r="BN160" s="794"/>
      <c r="BO160" s="1319"/>
      <c r="BP160" s="1319"/>
      <c r="BQ160" s="1319"/>
      <c r="BR160" s="794"/>
      <c r="BS160" s="1319"/>
      <c r="BT160" s="1319"/>
      <c r="BU160" s="1319"/>
      <c r="BV160" s="794"/>
      <c r="BW160" s="1319"/>
      <c r="BX160" s="1319"/>
      <c r="BY160" s="1319"/>
      <c r="BZ160" s="794"/>
      <c r="CA160" s="1319"/>
      <c r="CB160" s="1319"/>
      <c r="CC160" s="1319"/>
      <c r="CD160" s="794"/>
      <c r="CE160" s="1334"/>
      <c r="CF160" s="1334"/>
      <c r="CG160" s="1334"/>
      <c r="CH160" s="1513">
        <f t="shared" ref="CH160:DJ160" si="839">+CH153-CH263-CH292</f>
        <v>183.35224455000071</v>
      </c>
      <c r="CI160" s="1514">
        <f t="shared" si="839"/>
        <v>180.65069999999969</v>
      </c>
      <c r="CJ160" s="1514">
        <f t="shared" si="839"/>
        <v>183.20444999999972</v>
      </c>
      <c r="CK160" s="1514">
        <f t="shared" si="839"/>
        <v>299.14305000000013</v>
      </c>
      <c r="CL160" s="578">
        <f t="shared" si="839"/>
        <v>447.16320000000042</v>
      </c>
      <c r="CM160" s="1504">
        <f t="shared" si="839"/>
        <v>405.17579999999998</v>
      </c>
      <c r="CN160" s="1504">
        <f t="shared" ca="1" si="839"/>
        <v>438.89790000000039</v>
      </c>
      <c r="CO160" s="1504">
        <f t="shared" ca="1" si="839"/>
        <v>415.3746000000001</v>
      </c>
      <c r="CP160" s="578">
        <f t="shared" si="839"/>
        <v>322.37759999999935</v>
      </c>
      <c r="CQ160" s="1504">
        <f t="shared" si="839"/>
        <v>330.24810000000025</v>
      </c>
      <c r="CR160" s="1504">
        <f t="shared" ca="1" si="839"/>
        <v>388.03289999999924</v>
      </c>
      <c r="CS160" s="1504">
        <f t="shared" ca="1" si="839"/>
        <v>505.92614999999978</v>
      </c>
      <c r="CT160" s="578">
        <f t="shared" ca="1" si="839"/>
        <v>505.92614999999932</v>
      </c>
      <c r="CU160" s="1504">
        <f t="shared" ca="1" si="839"/>
        <v>506.23321310102619</v>
      </c>
      <c r="CV160" s="1504">
        <f t="shared" ca="1" si="839"/>
        <v>506.23321310102619</v>
      </c>
      <c r="CW160" s="1504">
        <f t="shared" ca="1" si="839"/>
        <v>506.23321310102619</v>
      </c>
      <c r="CX160" s="578">
        <f t="shared" ca="1" si="839"/>
        <v>506.23321310102619</v>
      </c>
      <c r="CY160" s="1504">
        <f t="shared" ca="1" si="839"/>
        <v>506.23321310102619</v>
      </c>
      <c r="CZ160" s="1504">
        <f t="shared" ca="1" si="839"/>
        <v>506.23321310102619</v>
      </c>
      <c r="DA160" s="1504">
        <f t="shared" ca="1" si="839"/>
        <v>506.23321310102619</v>
      </c>
      <c r="DB160" s="578">
        <f t="shared" ca="1" si="839"/>
        <v>506.23321310102529</v>
      </c>
      <c r="DC160" s="1504">
        <f t="shared" ca="1" si="839"/>
        <v>506.23321310104802</v>
      </c>
      <c r="DD160" s="1504">
        <f t="shared" ca="1" si="839"/>
        <v>506.23321310104757</v>
      </c>
      <c r="DE160" s="1504">
        <f t="shared" ca="1" si="839"/>
        <v>506.23321310104757</v>
      </c>
      <c r="DF160" s="578">
        <f t="shared" ca="1" si="839"/>
        <v>506.23321310104711</v>
      </c>
      <c r="DG160" s="1504">
        <f t="shared" ca="1" si="839"/>
        <v>506.23321310104711</v>
      </c>
      <c r="DH160" s="1504">
        <f t="shared" ca="1" si="839"/>
        <v>506.2332131010462</v>
      </c>
      <c r="DI160" s="579">
        <f t="shared" ca="1" si="839"/>
        <v>506.2332131010462</v>
      </c>
      <c r="DJ160" s="578">
        <f t="shared" ca="1" si="839"/>
        <v>506.2332131010462</v>
      </c>
      <c r="DK160" s="1504">
        <f t="shared" ref="DK160:DP160" ca="1" si="840">+DK153-DK263-DK292</f>
        <v>506.23321310104802</v>
      </c>
      <c r="DL160" s="1504">
        <f t="shared" ca="1" si="840"/>
        <v>506.23321310104848</v>
      </c>
      <c r="DM160" s="579">
        <f t="shared" ca="1" si="840"/>
        <v>506.23321310104848</v>
      </c>
      <c r="DN160" s="1504">
        <f t="shared" ca="1" si="840"/>
        <v>506.23321310104893</v>
      </c>
      <c r="DO160" s="1504">
        <f t="shared" ca="1" si="840"/>
        <v>506.23321310104893</v>
      </c>
      <c r="DP160" s="1504">
        <f t="shared" ca="1" si="840"/>
        <v>506.23321310104893</v>
      </c>
      <c r="DQ160" s="579">
        <f t="shared" ref="DQ160" ca="1" si="841">+DQ153-DQ263-DQ292</f>
        <v>506.23321310104893</v>
      </c>
      <c r="DR160" s="578">
        <f t="shared" ref="DR160" ca="1" si="842">+DR153-DR263-DR292</f>
        <v>506.23321310104893</v>
      </c>
      <c r="DS160" s="1504">
        <f t="shared" ref="DS160:DT160" ca="1" si="843">+DS153-DS263-DS292</f>
        <v>506.23321310104848</v>
      </c>
      <c r="DT160" s="1504">
        <f t="shared" ca="1" si="843"/>
        <v>506.23321310104893</v>
      </c>
      <c r="DU160" s="579">
        <f t="shared" ref="DU160" ca="1" si="844">+DU153-DU263-DU292</f>
        <v>506.23321310104893</v>
      </c>
      <c r="DV160" s="1504">
        <f t="shared" ref="DV160" ca="1" si="845">+DV153-DV263-DV292</f>
        <v>506.23321310104893</v>
      </c>
      <c r="DW160" s="1504">
        <f t="shared" ref="DW160" ca="1" si="846">DW162*(AVERAGE(DV176:DW176))*3</f>
        <v>621.41987012297056</v>
      </c>
      <c r="DX160" s="1504">
        <f t="shared" ref="DX160" ca="1" si="847">DX162*(AVERAGE(DW176:DX176))*3</f>
        <v>623.29100341938238</v>
      </c>
      <c r="DY160" s="579">
        <f t="shared" ref="DY160" ca="1" si="848">DY162*(AVERAGE(DX176:DY176))*3</f>
        <v>620.62057769426019</v>
      </c>
    </row>
    <row r="161" spans="1:129" s="1491" customFormat="1" ht="15" hidden="1" customHeight="1" outlineLevel="2">
      <c r="A161" s="1457" t="s">
        <v>1453</v>
      </c>
      <c r="B161" s="1065"/>
      <c r="C161" s="1065"/>
      <c r="D161" s="1065"/>
      <c r="E161" s="1065"/>
      <c r="F161" s="1065"/>
      <c r="G161" s="1065"/>
      <c r="H161" s="1065"/>
      <c r="I161" s="1065"/>
      <c r="J161" s="1065"/>
      <c r="K161" s="1065"/>
      <c r="L161" s="1065"/>
      <c r="M161" s="1065"/>
      <c r="N161" s="1065"/>
      <c r="O161" s="1065"/>
      <c r="P161" s="1065"/>
      <c r="Q161" s="1065"/>
      <c r="R161" s="1065">
        <f t="shared" ref="R161:AB161" ca="1" si="849">R160/Q160-1</f>
        <v>-9.3768704828253058E-2</v>
      </c>
      <c r="S161" s="1065">
        <f t="shared" ca="1" si="849"/>
        <v>0.3090946288608365</v>
      </c>
      <c r="T161" s="1065">
        <f t="shared" ca="1" si="849"/>
        <v>1.5166412610634339E-4</v>
      </c>
      <c r="U161" s="1065">
        <f t="shared" ca="1" si="849"/>
        <v>3.1530333899354446E-14</v>
      </c>
      <c r="V161" s="1065">
        <f t="shared" ca="1" si="849"/>
        <v>8.8817841970012523E-15</v>
      </c>
      <c r="W161" s="1065">
        <f ca="1">W160/V160-1</f>
        <v>2.2204460492503131E-15</v>
      </c>
      <c r="X161" s="1065">
        <f ca="1">X160/W160-1</f>
        <v>2.2204460492503131E-15</v>
      </c>
      <c r="Y161" s="1065">
        <f ca="1">Y160/X160-1</f>
        <v>0</v>
      </c>
      <c r="Z161" s="1065">
        <f ca="1">Z160/Y160-1</f>
        <v>0</v>
      </c>
      <c r="AA161" s="1065">
        <f t="shared" ca="1" si="849"/>
        <v>0.43143622440965745</v>
      </c>
      <c r="AB161" s="1065">
        <f t="shared" ca="1" si="849"/>
        <v>-1.174151611981078E-2</v>
      </c>
      <c r="AC161" s="1065">
        <f t="shared" ref="AC161" ca="1" si="850">AC160/AB160-1</f>
        <v>-1.0535996452011531E-2</v>
      </c>
      <c r="AD161" s="1065">
        <f t="shared" ref="AD161" ca="1" si="851">AD160/AC160-1</f>
        <v>-9.4427307139896E-3</v>
      </c>
      <c r="AE161" s="1065">
        <f t="shared" ref="AE161" ca="1" si="852">AE160/AD160-1</f>
        <v>-8.4535670888664649E-3</v>
      </c>
      <c r="AF161" s="1065">
        <f t="shared" ref="AF161" ca="1" si="853">AF160/AE160-1</f>
        <v>-7.5604724550225599E-3</v>
      </c>
      <c r="AG161" s="1065">
        <f t="shared" ref="AG161" ca="1" si="854">AG160/AF160-1</f>
        <v>-6.7556457868317432E-3</v>
      </c>
      <c r="AH161" s="2201"/>
      <c r="AI161" s="1927"/>
      <c r="AJ161" s="1561"/>
      <c r="AK161" s="1324"/>
      <c r="AL161" s="1324"/>
      <c r="AM161" s="1324"/>
      <c r="AN161" s="1324"/>
      <c r="AO161" s="1324"/>
      <c r="AP161" s="1325"/>
      <c r="AQ161" s="1324"/>
      <c r="AR161" s="1324"/>
      <c r="AS161" s="1324"/>
      <c r="AT161" s="1325"/>
      <c r="AU161" s="1324"/>
      <c r="AV161" s="1324"/>
      <c r="AW161" s="1324"/>
      <c r="AX161" s="1325"/>
      <c r="AY161" s="1324"/>
      <c r="AZ161" s="1324"/>
      <c r="BA161" s="1324"/>
      <c r="BB161" s="1325"/>
      <c r="BC161" s="1324"/>
      <c r="BD161" s="1324"/>
      <c r="BE161" s="1324"/>
      <c r="BF161" s="1325"/>
      <c r="BG161" s="1324"/>
      <c r="BH161" s="1324"/>
      <c r="BI161" s="1324"/>
      <c r="BJ161" s="1325"/>
      <c r="BK161" s="1324"/>
      <c r="BL161" s="1324"/>
      <c r="BM161" s="1324"/>
      <c r="BN161" s="1325"/>
      <c r="BO161" s="1324"/>
      <c r="BP161" s="1324"/>
      <c r="BQ161" s="1324"/>
      <c r="BR161" s="1325"/>
      <c r="BS161" s="1324"/>
      <c r="BT161" s="1324"/>
      <c r="BU161" s="1324"/>
      <c r="BV161" s="1325"/>
      <c r="BW161" s="1324"/>
      <c r="BX161" s="1324"/>
      <c r="BY161" s="1324"/>
      <c r="BZ161" s="1325"/>
      <c r="CA161" s="1324"/>
      <c r="CB161" s="1324"/>
      <c r="CC161" s="1324"/>
      <c r="CD161" s="1325"/>
      <c r="CE161" s="1324"/>
      <c r="CF161" s="1324"/>
      <c r="CG161" s="1324"/>
      <c r="CH161" s="1325"/>
      <c r="CI161" s="1324"/>
      <c r="CJ161" s="1324"/>
      <c r="CK161" s="1324"/>
      <c r="CL161" s="563">
        <f t="shared" ref="CL161:DV161" si="855">CL160/CH160-1</f>
        <v>1.4388204305732275</v>
      </c>
      <c r="CM161" s="1065">
        <f t="shared" si="855"/>
        <v>1.2428686963294395</v>
      </c>
      <c r="CN161" s="1065">
        <f t="shared" ca="1" si="855"/>
        <v>1.3956727033650167</v>
      </c>
      <c r="CO161" s="1065">
        <f t="shared" ca="1" si="855"/>
        <v>0.38854838847166895</v>
      </c>
      <c r="CP161" s="563">
        <f t="shared" si="855"/>
        <v>-0.27906053092025673</v>
      </c>
      <c r="CQ161" s="1065">
        <f t="shared" si="855"/>
        <v>-0.18492639491302232</v>
      </c>
      <c r="CR161" s="1065">
        <f t="shared" ca="1" si="855"/>
        <v>-0.11589255724395375</v>
      </c>
      <c r="CS161" s="1065">
        <f t="shared" ca="1" si="855"/>
        <v>0.21799972843789606</v>
      </c>
      <c r="CT161" s="563">
        <f t="shared" ca="1" si="855"/>
        <v>0.56935888225484765</v>
      </c>
      <c r="CU161" s="1065">
        <f t="shared" ca="1" si="855"/>
        <v>0.53288758694153215</v>
      </c>
      <c r="CV161" s="1065">
        <f t="shared" ca="1" si="855"/>
        <v>0.30461415282319404</v>
      </c>
      <c r="CW161" s="1065">
        <f t="shared" ca="1" si="855"/>
        <v>6.0693265415601161E-4</v>
      </c>
      <c r="CX161" s="563">
        <f t="shared" ca="1" si="855"/>
        <v>6.0693265415689979E-4</v>
      </c>
      <c r="CY161" s="1065">
        <f t="shared" ca="1" si="855"/>
        <v>0</v>
      </c>
      <c r="CZ161" s="1065">
        <f t="shared" ca="1" si="855"/>
        <v>0</v>
      </c>
      <c r="DA161" s="1065">
        <f t="shared" ca="1" si="855"/>
        <v>0</v>
      </c>
      <c r="DB161" s="563">
        <f t="shared" ca="1" si="855"/>
        <v>-1.7763568394002505E-15</v>
      </c>
      <c r="DC161" s="1065">
        <f t="shared" ca="1" si="855"/>
        <v>4.3076653355456074E-14</v>
      </c>
      <c r="DD161" s="1065">
        <f t="shared" ca="1" si="855"/>
        <v>4.2188474935755949E-14</v>
      </c>
      <c r="DE161" s="1065">
        <f t="shared" ca="1" si="855"/>
        <v>4.2188474935755949E-14</v>
      </c>
      <c r="DF161" s="563">
        <f t="shared" ca="1" si="855"/>
        <v>4.3076653355456074E-14</v>
      </c>
      <c r="DG161" s="1065">
        <f t="shared" ca="1" si="855"/>
        <v>-1.7763568394002505E-15</v>
      </c>
      <c r="DH161" s="1065">
        <f t="shared" ca="1" si="855"/>
        <v>-2.6645352591003757E-15</v>
      </c>
      <c r="DI161" s="564">
        <f t="shared" ca="1" si="855"/>
        <v>-2.6645352591003757E-15</v>
      </c>
      <c r="DJ161" s="563">
        <f t="shared" ca="1" si="855"/>
        <v>-1.7763568394002505E-15</v>
      </c>
      <c r="DK161" s="1065">
        <f t="shared" ca="1" si="855"/>
        <v>1.7763568394002505E-15</v>
      </c>
      <c r="DL161" s="1065">
        <f t="shared" ca="1" si="855"/>
        <v>4.4408920985006262E-15</v>
      </c>
      <c r="DM161" s="564">
        <f t="shared" ca="1" si="855"/>
        <v>4.4408920985006262E-15</v>
      </c>
      <c r="DN161" s="1065">
        <f t="shared" ca="1" si="855"/>
        <v>5.3290705182007514E-15</v>
      </c>
      <c r="DO161" s="1065">
        <f t="shared" ca="1" si="855"/>
        <v>1.7763568394002505E-15</v>
      </c>
      <c r="DP161" s="1065">
        <f t="shared" ca="1" si="855"/>
        <v>0</v>
      </c>
      <c r="DQ161" s="564">
        <f t="shared" ca="1" si="855"/>
        <v>0</v>
      </c>
      <c r="DR161" s="563">
        <f t="shared" ca="1" si="855"/>
        <v>0</v>
      </c>
      <c r="DS161" s="1065">
        <f t="shared" ca="1" si="855"/>
        <v>-8.8817841970012523E-16</v>
      </c>
      <c r="DT161" s="1065">
        <f t="shared" ca="1" si="855"/>
        <v>0</v>
      </c>
      <c r="DU161" s="564">
        <f t="shared" ca="1" si="855"/>
        <v>0</v>
      </c>
      <c r="DV161" s="1065">
        <f t="shared" ca="1" si="855"/>
        <v>0</v>
      </c>
      <c r="DW161" s="1065">
        <f t="shared" ref="DW161" ca="1" si="856">DW160/DS160-1</f>
        <v>0.22753674401629964</v>
      </c>
      <c r="DX161" s="1065">
        <f t="shared" ref="DX161" ca="1" si="857">DX160/DT160-1</f>
        <v>0.23123293235003062</v>
      </c>
      <c r="DY161" s="564">
        <f t="shared" ref="DY161" ca="1" si="858">DY160/DU160-1</f>
        <v>0.22595784241911931</v>
      </c>
    </row>
    <row r="162" spans="1:129" s="1491" customFormat="1" ht="15" hidden="1" customHeight="1" outlineLevel="2">
      <c r="A162" s="1833" t="s">
        <v>6</v>
      </c>
      <c r="B162" s="1488"/>
      <c r="C162" s="1488"/>
      <c r="D162" s="1488"/>
      <c r="E162" s="1488"/>
      <c r="F162" s="1488"/>
      <c r="G162" s="1488"/>
      <c r="H162" s="1488"/>
      <c r="I162" s="1488"/>
      <c r="J162" s="1488"/>
      <c r="K162" s="1488"/>
      <c r="L162" s="1488"/>
      <c r="M162" s="1488"/>
      <c r="N162" s="1488"/>
      <c r="O162" s="1488"/>
      <c r="P162" s="1488"/>
      <c r="Q162" s="1488"/>
      <c r="R162" s="1488">
        <f t="shared" ref="R162:Z162" ca="1" si="859">+R160/AVERAGE(Q176:R176)/12</f>
        <v>1.0005982881099327E-2</v>
      </c>
      <c r="S162" s="1488">
        <f t="shared" ca="1" si="859"/>
        <v>1.1170102669751165E-2</v>
      </c>
      <c r="T162" s="1488">
        <f t="shared" ca="1" si="859"/>
        <v>1.0608185350286585E-2</v>
      </c>
      <c r="U162" s="1488">
        <f t="shared" ca="1" si="859"/>
        <v>9.6329044879128901E-3</v>
      </c>
      <c r="V162" s="1488">
        <f t="shared" ca="1" si="859"/>
        <v>8.5237361401735382E-3</v>
      </c>
      <c r="W162" s="1488">
        <f t="shared" ca="1" si="859"/>
        <v>8.1595901630529214E-3</v>
      </c>
      <c r="X162" s="1488">
        <f t="shared" ca="1" si="859"/>
        <v>7.9699801330507178E-3</v>
      </c>
      <c r="Y162" s="1488">
        <f t="shared" ca="1" si="859"/>
        <v>7.4645848167307913E-3</v>
      </c>
      <c r="Z162" s="1488">
        <f t="shared" ca="1" si="859"/>
        <v>7.0814723390413481E-3</v>
      </c>
      <c r="AA162" s="1356">
        <v>0.01</v>
      </c>
      <c r="AB162" s="1356">
        <v>0.01</v>
      </c>
      <c r="AC162" s="1356">
        <v>0.01</v>
      </c>
      <c r="AD162" s="1356">
        <v>0.01</v>
      </c>
      <c r="AE162" s="1356">
        <v>0.01</v>
      </c>
      <c r="AF162" s="1356">
        <v>0.01</v>
      </c>
      <c r="AG162" s="1356">
        <v>0.01</v>
      </c>
      <c r="AH162" s="2201"/>
      <c r="AI162" s="2285"/>
      <c r="AJ162" s="1561"/>
      <c r="AK162" s="1510"/>
      <c r="AL162" s="1510"/>
      <c r="AM162" s="1510"/>
      <c r="AN162" s="1510"/>
      <c r="AO162" s="1510"/>
      <c r="AP162" s="1512"/>
      <c r="AQ162" s="1510"/>
      <c r="AR162" s="1510"/>
      <c r="AS162" s="1510"/>
      <c r="AT162" s="1512"/>
      <c r="AU162" s="1510"/>
      <c r="AV162" s="1510"/>
      <c r="AW162" s="1510"/>
      <c r="AX162" s="1512"/>
      <c r="AY162" s="1510"/>
      <c r="AZ162" s="1510"/>
      <c r="BA162" s="1510"/>
      <c r="BB162" s="1512"/>
      <c r="BC162" s="1510"/>
      <c r="BD162" s="1510"/>
      <c r="BE162" s="1510"/>
      <c r="BF162" s="1512"/>
      <c r="BG162" s="1510"/>
      <c r="BH162" s="1510"/>
      <c r="BI162" s="1510"/>
      <c r="BJ162" s="1512"/>
      <c r="BK162" s="1510"/>
      <c r="BL162" s="1510"/>
      <c r="BM162" s="1510"/>
      <c r="BN162" s="1512"/>
      <c r="BO162" s="1510"/>
      <c r="BP162" s="1510"/>
      <c r="BQ162" s="1510"/>
      <c r="BR162" s="1512"/>
      <c r="BS162" s="1510"/>
      <c r="BT162" s="1510"/>
      <c r="BU162" s="1510"/>
      <c r="BV162" s="1512"/>
      <c r="BW162" s="1510"/>
      <c r="BX162" s="1510"/>
      <c r="BY162" s="1510"/>
      <c r="BZ162" s="1512"/>
      <c r="CA162" s="1510"/>
      <c r="CB162" s="1510"/>
      <c r="CC162" s="1510"/>
      <c r="CD162" s="1512"/>
      <c r="CE162" s="1510"/>
      <c r="CF162" s="1510"/>
      <c r="CG162" s="1510"/>
      <c r="CH162" s="1512">
        <f t="shared" ref="CH162:DV162" si="860">CH160/(AVERAGE(CG176:CH176)*3)</f>
        <v>2.8035511399082676E-2</v>
      </c>
      <c r="CI162" s="1510">
        <f t="shared" si="860"/>
        <v>2.5237594300083779E-2</v>
      </c>
      <c r="CJ162" s="1510">
        <f t="shared" si="860"/>
        <v>2.5664278209707882E-2</v>
      </c>
      <c r="CK162" s="1510">
        <f t="shared" si="860"/>
        <v>1.5264347493302724E-2</v>
      </c>
      <c r="CL162" s="1489">
        <f t="shared" si="860"/>
        <v>1.4263578947368434E-2</v>
      </c>
      <c r="CM162" s="1488">
        <f t="shared" si="860"/>
        <v>1.3399999999999999E-2</v>
      </c>
      <c r="CN162" s="1488">
        <f t="shared" ca="1" si="860"/>
        <v>1.4600000000000012E-2</v>
      </c>
      <c r="CO162" s="1488">
        <f t="shared" ca="1" si="860"/>
        <v>1.3097308801967557E-2</v>
      </c>
      <c r="CP162" s="1489">
        <f t="shared" si="860"/>
        <v>9.2026376637834879E-3</v>
      </c>
      <c r="CQ162" s="1488">
        <f t="shared" si="860"/>
        <v>8.5124265388184413E-3</v>
      </c>
      <c r="CR162" s="1488">
        <f t="shared" ca="1" si="860"/>
        <v>9.2650191612048093E-3</v>
      </c>
      <c r="CS162" s="1488">
        <f t="shared" ca="1" si="860"/>
        <v>1.1601682030820027E-2</v>
      </c>
      <c r="CT162" s="1489">
        <f t="shared" ca="1" si="860"/>
        <v>1.1124512681816667E-2</v>
      </c>
      <c r="CU162" s="1488">
        <f t="shared" ca="1" si="860"/>
        <v>1.0512687559854763E-2</v>
      </c>
      <c r="CV162" s="1488">
        <f t="shared" ca="1" si="860"/>
        <v>1.0118997623351446E-2</v>
      </c>
      <c r="CW162" s="1488">
        <f t="shared" ca="1" si="860"/>
        <v>1.0430808491238371E-2</v>
      </c>
      <c r="CX162" s="1489">
        <f t="shared" ca="1" si="860"/>
        <v>1.0755929780859147E-2</v>
      </c>
      <c r="CY162" s="1488">
        <f t="shared" ca="1" si="860"/>
        <v>1.0539937811805667E-2</v>
      </c>
      <c r="CZ162" s="1488">
        <f t="shared" ca="1" si="860"/>
        <v>1.0408932200413825E-2</v>
      </c>
      <c r="DA162" s="1488">
        <f t="shared" ca="1" si="860"/>
        <v>1.0353052602430133E-2</v>
      </c>
      <c r="DB162" s="1489">
        <f t="shared" ca="1" si="860"/>
        <v>1.0028789038809487E-2</v>
      </c>
      <c r="DC162" s="1488">
        <f t="shared" ca="1" si="860"/>
        <v>9.6381313894800102E-3</v>
      </c>
      <c r="DD162" s="1488">
        <f t="shared" ca="1" si="860"/>
        <v>9.4021119580451791E-3</v>
      </c>
      <c r="DE162" s="1488">
        <f t="shared" ca="1" si="860"/>
        <v>9.1376186910172661E-3</v>
      </c>
      <c r="DF162" s="1489">
        <f t="shared" ca="1" si="860"/>
        <v>8.891579954000195E-3</v>
      </c>
      <c r="DG162" s="1488">
        <f t="shared" ca="1" si="860"/>
        <v>8.6327520523362001E-3</v>
      </c>
      <c r="DH162" s="1488">
        <f t="shared" ca="1" si="860"/>
        <v>8.3910693369972852E-3</v>
      </c>
      <c r="DI162" s="1490">
        <f t="shared" ca="1" si="860"/>
        <v>8.1839276573556132E-3</v>
      </c>
      <c r="DJ162" s="1489">
        <f t="shared" ca="1" si="860"/>
        <v>7.9867665830658553E-3</v>
      </c>
      <c r="DK162" s="1488">
        <f t="shared" ca="1" si="860"/>
        <v>7.90872000407827E-3</v>
      </c>
      <c r="DL162" s="1488">
        <f t="shared" ca="1" si="860"/>
        <v>7.9880898656543905E-3</v>
      </c>
      <c r="DM162" s="1490">
        <f t="shared" ca="1" si="860"/>
        <v>8.1434454246563301E-3</v>
      </c>
      <c r="DN162" s="1488">
        <f t="shared" ca="1" si="860"/>
        <v>8.155055304804577E-3</v>
      </c>
      <c r="DO162" s="1488">
        <f t="shared" ca="1" si="860"/>
        <v>8.0178848411582397E-3</v>
      </c>
      <c r="DP162" s="1488">
        <f t="shared" ca="1" si="860"/>
        <v>7.8957679323873528E-3</v>
      </c>
      <c r="DQ162" s="1490">
        <f t="shared" ca="1" si="860"/>
        <v>7.774806688491352E-3</v>
      </c>
      <c r="DR162" s="1489">
        <f t="shared" ca="1" si="860"/>
        <v>7.5122717581309435E-3</v>
      </c>
      <c r="DS162" s="1488">
        <f t="shared" ca="1" si="860"/>
        <v>7.2756609480022485E-3</v>
      </c>
      <c r="DT162" s="1488">
        <f t="shared" ca="1" si="860"/>
        <v>7.214536623998645E-3</v>
      </c>
      <c r="DU162" s="1490">
        <f t="shared" ca="1" si="860"/>
        <v>7.2094507548071569E-3</v>
      </c>
      <c r="DV162" s="1488">
        <f t="shared" ca="1" si="860"/>
        <v>7.0814723390413489E-3</v>
      </c>
      <c r="DW162" s="1356">
        <v>8.5000000000000006E-3</v>
      </c>
      <c r="DX162" s="1356">
        <v>8.5000000000000006E-3</v>
      </c>
      <c r="DY162" s="975">
        <v>8.5000000000000006E-3</v>
      </c>
    </row>
    <row r="163" spans="1:129" s="1491" customFormat="1" ht="15" hidden="1" customHeight="1" outlineLevel="2">
      <c r="A163" s="151" t="s">
        <v>7</v>
      </c>
      <c r="B163" s="1064"/>
      <c r="C163" s="1064"/>
      <c r="D163" s="1070"/>
      <c r="E163" s="1070"/>
      <c r="F163" s="1070"/>
      <c r="G163" s="1070">
        <f>SUM(AX163:BA163)</f>
        <v>5645.0219999999999</v>
      </c>
      <c r="H163" s="1070">
        <f>SUM(BB163:BE163)</f>
        <v>7317.768</v>
      </c>
      <c r="I163" s="1070">
        <f>SUM(BF163:BI163)</f>
        <v>8383.3619999999992</v>
      </c>
      <c r="J163" s="1070">
        <f>SUM(BJ163:BM163)</f>
        <v>8515.9814999999999</v>
      </c>
      <c r="K163" s="1070">
        <f>SUM(BN163:BQ163)</f>
        <v>7694.5755000000008</v>
      </c>
      <c r="L163" s="1070">
        <f>SUM(BR163:BU163)</f>
        <v>7163.0159999999996</v>
      </c>
      <c r="M163" s="1070">
        <f>SUM(BV163:BY163)</f>
        <v>7107.8279999999995</v>
      </c>
      <c r="N163" s="1070">
        <f>SUM(BZ163:CC163)</f>
        <v>7709.7303500000007</v>
      </c>
      <c r="O163" s="1070">
        <f>SUM(CD163:CG163)</f>
        <v>9059.255650000001</v>
      </c>
      <c r="P163" s="1070">
        <f>SUM(CH163:CK163)</f>
        <v>10330.23</v>
      </c>
      <c r="Q163" s="1070">
        <f>SUM(CL163:CO163)</f>
        <v>15788.752500000002</v>
      </c>
      <c r="R163" s="1070"/>
      <c r="S163" s="1070"/>
      <c r="T163" s="1070"/>
      <c r="U163" s="1070"/>
      <c r="V163" s="1070"/>
      <c r="W163" s="1070"/>
      <c r="X163" s="1070"/>
      <c r="Y163" s="1070"/>
      <c r="Z163" s="1070"/>
      <c r="AA163" s="1070"/>
      <c r="AB163" s="1070"/>
      <c r="AC163" s="1070"/>
      <c r="AD163" s="1070"/>
      <c r="AE163" s="1070"/>
      <c r="AF163" s="1070"/>
      <c r="AG163" s="1070"/>
      <c r="AH163" s="2201"/>
      <c r="AI163" s="1927"/>
      <c r="AJ163" s="1561"/>
      <c r="AK163" s="1334"/>
      <c r="AL163" s="1334"/>
      <c r="AM163" s="1319"/>
      <c r="AN163" s="1334"/>
      <c r="AO163" s="1334"/>
      <c r="AP163" s="1496"/>
      <c r="AQ163" s="1334"/>
      <c r="AR163" s="1334"/>
      <c r="AS163" s="1334"/>
      <c r="AT163" s="1496"/>
      <c r="AU163" s="1334"/>
      <c r="AV163" s="1334"/>
      <c r="AW163" s="1334"/>
      <c r="AX163" s="1496">
        <f t="shared" ref="AX163:BY163" si="861">AX166*AX101*3</f>
        <v>1344.6405</v>
      </c>
      <c r="AY163" s="1334">
        <f t="shared" si="861"/>
        <v>1255.1399999999999</v>
      </c>
      <c r="AZ163" s="1334">
        <f t="shared" si="861"/>
        <v>1426.2255</v>
      </c>
      <c r="BA163" s="1334">
        <f t="shared" si="861"/>
        <v>1619.0160000000001</v>
      </c>
      <c r="BB163" s="1496">
        <f t="shared" si="861"/>
        <v>1611.7529999999999</v>
      </c>
      <c r="BC163" s="1334">
        <f t="shared" si="861"/>
        <v>1590.2460000000001</v>
      </c>
      <c r="BD163" s="1334">
        <f t="shared" si="861"/>
        <v>1996.5659999999998</v>
      </c>
      <c r="BE163" s="1334">
        <f t="shared" si="861"/>
        <v>2119.203</v>
      </c>
      <c r="BF163" s="1496">
        <f t="shared" si="861"/>
        <v>2263.6320000000001</v>
      </c>
      <c r="BG163" s="1334">
        <f t="shared" si="861"/>
        <v>1899.2939999999999</v>
      </c>
      <c r="BH163" s="1334">
        <f t="shared" si="861"/>
        <v>1868.1959999999999</v>
      </c>
      <c r="BI163" s="1334">
        <f t="shared" si="861"/>
        <v>2352.2400000000002</v>
      </c>
      <c r="BJ163" s="1496">
        <f t="shared" si="861"/>
        <v>2300.2979999999998</v>
      </c>
      <c r="BK163" s="1334">
        <f t="shared" si="861"/>
        <v>2066.2394999999997</v>
      </c>
      <c r="BL163" s="1334">
        <f t="shared" si="861"/>
        <v>2133.0659999999998</v>
      </c>
      <c r="BM163" s="1334">
        <f t="shared" si="861"/>
        <v>2016.3780000000002</v>
      </c>
      <c r="BN163" s="1496">
        <f t="shared" si="861"/>
        <v>2073.1725000000001</v>
      </c>
      <c r="BO163" s="1334">
        <f t="shared" si="861"/>
        <v>1732.5465000000004</v>
      </c>
      <c r="BP163" s="1334">
        <f t="shared" si="861"/>
        <v>2013.3824999999997</v>
      </c>
      <c r="BQ163" s="1334">
        <f t="shared" si="861"/>
        <v>1875.4740000000002</v>
      </c>
      <c r="BR163" s="1496">
        <f t="shared" si="861"/>
        <v>1834.3440000000001</v>
      </c>
      <c r="BS163" s="1334">
        <f t="shared" si="861"/>
        <v>1666.413</v>
      </c>
      <c r="BT163" s="1334">
        <f t="shared" si="861"/>
        <v>1857.645</v>
      </c>
      <c r="BU163" s="1334">
        <f t="shared" si="861"/>
        <v>1804.614</v>
      </c>
      <c r="BV163" s="1496">
        <f t="shared" si="861"/>
        <v>1740.7259999999999</v>
      </c>
      <c r="BW163" s="1334">
        <f t="shared" si="861"/>
        <v>1670.8500000000001</v>
      </c>
      <c r="BX163" s="1334">
        <f t="shared" si="861"/>
        <v>1884.9479999999999</v>
      </c>
      <c r="BY163" s="1334">
        <f t="shared" si="861"/>
        <v>1811.3040000000001</v>
      </c>
      <c r="BZ163" s="1496">
        <f>BZ143-BZ182</f>
        <v>1826</v>
      </c>
      <c r="CA163" s="1334">
        <f>CA166*CA101*3</f>
        <v>1828.1422499999999</v>
      </c>
      <c r="CB163" s="1334">
        <f>CB166*CB101*3</f>
        <v>2075.4252000000001</v>
      </c>
      <c r="CC163" s="1334">
        <f>CC166*CC101*3</f>
        <v>1980.1629</v>
      </c>
      <c r="CD163" s="1496">
        <f>CD143-CD182</f>
        <v>2014</v>
      </c>
      <c r="CE163" s="1334">
        <f>CE166*CE101*3</f>
        <v>2320.3530000000001</v>
      </c>
      <c r="CF163" s="1334">
        <f>CF166*CF101*3</f>
        <v>2395.59465</v>
      </c>
      <c r="CG163" s="1334">
        <f>CG166*3*CG101</f>
        <v>2329.3080000000004</v>
      </c>
      <c r="CH163" s="1496">
        <f>CH166*3*CH101</f>
        <v>2371.9972500000003</v>
      </c>
      <c r="CI163" s="1334">
        <f>CI166*3*CI101</f>
        <v>2282.4312</v>
      </c>
      <c r="CJ163" s="1334">
        <f>CJ166*3*CJ101</f>
        <v>2782.80555</v>
      </c>
      <c r="CK163" s="1334">
        <f>CK166*3*CK101</f>
        <v>2892.9960000000001</v>
      </c>
      <c r="CL163" s="607">
        <f>+CL153</f>
        <v>3970.6200000000003</v>
      </c>
      <c r="CM163" s="1070">
        <f>+CM153</f>
        <v>3730.761</v>
      </c>
      <c r="CN163" s="1070">
        <f>+CN153</f>
        <v>4108.0239000000001</v>
      </c>
      <c r="CO163" s="1070">
        <f>+CO153</f>
        <v>3979.3476000000001</v>
      </c>
      <c r="CP163" s="607">
        <f>+CP153</f>
        <v>3968.0855999999994</v>
      </c>
      <c r="CQ163" s="1070"/>
      <c r="CR163" s="1070"/>
      <c r="CS163" s="1070"/>
      <c r="CT163" s="607"/>
      <c r="CU163" s="1070"/>
      <c r="CV163" s="1070"/>
      <c r="CW163" s="1070"/>
      <c r="CX163" s="607"/>
      <c r="CY163" s="1070"/>
      <c r="CZ163" s="1070"/>
      <c r="DA163" s="1070"/>
      <c r="DB163" s="607"/>
      <c r="DC163" s="1070"/>
      <c r="DD163" s="1070"/>
      <c r="DE163" s="1070"/>
      <c r="DF163" s="607"/>
      <c r="DG163" s="1070"/>
      <c r="DH163" s="1070"/>
      <c r="DI163" s="608"/>
      <c r="DJ163" s="607"/>
      <c r="DK163" s="1070"/>
      <c r="DL163" s="1070"/>
      <c r="DM163" s="608"/>
      <c r="DN163" s="1070"/>
      <c r="DO163" s="1070"/>
      <c r="DP163" s="1070"/>
      <c r="DQ163" s="608"/>
      <c r="DR163" s="607"/>
      <c r="DS163" s="1070"/>
      <c r="DT163" s="1070"/>
      <c r="DU163" s="608"/>
      <c r="DV163" s="1070"/>
      <c r="DW163" s="1070"/>
      <c r="DX163" s="1070"/>
      <c r="DY163" s="608"/>
    </row>
    <row r="164" spans="1:129" s="1491" customFormat="1" ht="15" hidden="1" customHeight="1" outlineLevel="2">
      <c r="A164" s="1449" t="s">
        <v>1453</v>
      </c>
      <c r="B164" s="1064"/>
      <c r="C164" s="1064"/>
      <c r="D164" s="1070"/>
      <c r="E164" s="1070"/>
      <c r="F164" s="1070"/>
      <c r="G164" s="1064"/>
      <c r="H164" s="1064">
        <f t="shared" ref="H164:Q164" si="862">H163/G163-1</f>
        <v>0.29632231725580516</v>
      </c>
      <c r="I164" s="1064">
        <f t="shared" si="862"/>
        <v>0.14561735217623717</v>
      </c>
      <c r="J164" s="1064">
        <f t="shared" si="862"/>
        <v>1.5819369365178471E-2</v>
      </c>
      <c r="K164" s="1064">
        <f t="shared" si="862"/>
        <v>-9.6454648239900354E-2</v>
      </c>
      <c r="L164" s="1064">
        <f t="shared" si="862"/>
        <v>-6.908236848153626E-2</v>
      </c>
      <c r="M164" s="1064">
        <f t="shared" si="862"/>
        <v>-7.7045758378873064E-3</v>
      </c>
      <c r="N164" s="1064">
        <f t="shared" si="862"/>
        <v>8.4681614411603823E-2</v>
      </c>
      <c r="O164" s="1064">
        <f t="shared" si="862"/>
        <v>0.17504182879755326</v>
      </c>
      <c r="P164" s="1064">
        <f t="shared" si="862"/>
        <v>0.14029567098042972</v>
      </c>
      <c r="Q164" s="1064">
        <f t="shared" si="862"/>
        <v>0.52840280419700258</v>
      </c>
      <c r="R164" s="1064"/>
      <c r="S164" s="1064"/>
      <c r="T164" s="1064"/>
      <c r="U164" s="1064"/>
      <c r="V164" s="1064"/>
      <c r="W164" s="1064"/>
      <c r="X164" s="1064"/>
      <c r="Y164" s="1064"/>
      <c r="Z164" s="1064"/>
      <c r="AA164" s="1064"/>
      <c r="AB164" s="1064"/>
      <c r="AC164" s="1064"/>
      <c r="AD164" s="1064"/>
      <c r="AE164" s="1064"/>
      <c r="AF164" s="1064"/>
      <c r="AG164" s="1064"/>
      <c r="AH164" s="2201"/>
      <c r="AI164" s="1927"/>
      <c r="AJ164" s="1561"/>
      <c r="AK164" s="1334"/>
      <c r="AL164" s="1334"/>
      <c r="AM164" s="1319"/>
      <c r="AN164" s="1334"/>
      <c r="AO164" s="1319"/>
      <c r="AP164" s="1496"/>
      <c r="AQ164" s="1334"/>
      <c r="AR164" s="1334"/>
      <c r="AS164" s="1334"/>
      <c r="AT164" s="1496"/>
      <c r="AU164" s="1334"/>
      <c r="AV164" s="1334"/>
      <c r="AW164" s="1334"/>
      <c r="AX164" s="1496"/>
      <c r="AY164" s="1334"/>
      <c r="AZ164" s="1334"/>
      <c r="BA164" s="1334"/>
      <c r="BB164" s="794">
        <f t="shared" ref="BB164:CP164" si="863">BB163/AX163-1</f>
        <v>0.1986497506210767</v>
      </c>
      <c r="BC164" s="1319">
        <f t="shared" si="863"/>
        <v>0.26698694966298597</v>
      </c>
      <c r="BD164" s="1319">
        <f t="shared" si="863"/>
        <v>0.39989503763605394</v>
      </c>
      <c r="BE164" s="1319">
        <f t="shared" si="863"/>
        <v>0.3089450629271111</v>
      </c>
      <c r="BF164" s="794">
        <f t="shared" si="863"/>
        <v>0.4044534119061669</v>
      </c>
      <c r="BG164" s="1319">
        <f t="shared" si="863"/>
        <v>0.19433974366230111</v>
      </c>
      <c r="BH164" s="1319">
        <f t="shared" si="863"/>
        <v>-6.4295395193547322E-2</v>
      </c>
      <c r="BI164" s="1319">
        <f t="shared" si="863"/>
        <v>0.10996445361770446</v>
      </c>
      <c r="BJ164" s="794">
        <f t="shared" si="863"/>
        <v>1.6197862550096254E-2</v>
      </c>
      <c r="BK164" s="1319">
        <f t="shared" si="863"/>
        <v>8.7898713943180828E-2</v>
      </c>
      <c r="BL164" s="1319">
        <f t="shared" si="863"/>
        <v>0.14177848576915908</v>
      </c>
      <c r="BM164" s="1319">
        <f t="shared" si="863"/>
        <v>-0.14278389960208149</v>
      </c>
      <c r="BN164" s="794">
        <f t="shared" si="863"/>
        <v>-9.8737424455439982E-2</v>
      </c>
      <c r="BO164" s="1319">
        <f t="shared" si="863"/>
        <v>-0.16149773537869128</v>
      </c>
      <c r="BP164" s="1319">
        <f t="shared" si="863"/>
        <v>-5.6108671742927885E-2</v>
      </c>
      <c r="BQ164" s="1319">
        <f t="shared" si="863"/>
        <v>-6.9879754688852991E-2</v>
      </c>
      <c r="BR164" s="794">
        <f t="shared" si="863"/>
        <v>-0.11519953115334114</v>
      </c>
      <c r="BS164" s="1319">
        <f t="shared" si="863"/>
        <v>-3.817126986202124E-2</v>
      </c>
      <c r="BT164" s="1319">
        <f t="shared" si="863"/>
        <v>-7.7351173957258323E-2</v>
      </c>
      <c r="BU164" s="1319">
        <f t="shared" si="863"/>
        <v>-3.7782448596994755E-2</v>
      </c>
      <c r="BV164" s="794">
        <f t="shared" si="863"/>
        <v>-5.1036228755348079E-2</v>
      </c>
      <c r="BW164" s="1319">
        <f t="shared" si="863"/>
        <v>2.6626052485188012E-3</v>
      </c>
      <c r="BX164" s="1319">
        <f t="shared" si="863"/>
        <v>1.4697641368506931E-2</v>
      </c>
      <c r="BY164" s="1319">
        <f t="shared" si="863"/>
        <v>3.707163969691063E-3</v>
      </c>
      <c r="BZ164" s="794">
        <f t="shared" si="863"/>
        <v>4.898760632058119E-2</v>
      </c>
      <c r="CA164" s="1319">
        <f t="shared" si="863"/>
        <v>9.4139060956997866E-2</v>
      </c>
      <c r="CB164" s="1319">
        <f t="shared" si="863"/>
        <v>0.10105170009994979</v>
      </c>
      <c r="CC164" s="1319">
        <f t="shared" si="863"/>
        <v>9.3225046706681969E-2</v>
      </c>
      <c r="CD164" s="794">
        <f t="shared" si="863"/>
        <v>0.10295728368017532</v>
      </c>
      <c r="CE164" s="1319">
        <f t="shared" si="863"/>
        <v>0.26924094664952913</v>
      </c>
      <c r="CF164" s="1319">
        <f t="shared" si="863"/>
        <v>0.15426691841267015</v>
      </c>
      <c r="CG164" s="1319">
        <f t="shared" si="863"/>
        <v>0.17632140264823692</v>
      </c>
      <c r="CH164" s="794">
        <f t="shared" si="863"/>
        <v>0.17775434458788508</v>
      </c>
      <c r="CI164" s="1319">
        <f t="shared" si="863"/>
        <v>-1.6343116758527731E-2</v>
      </c>
      <c r="CJ164" s="1319">
        <f t="shared" si="863"/>
        <v>0.1616345653468545</v>
      </c>
      <c r="CK164" s="1319">
        <f t="shared" si="863"/>
        <v>0.24199805264052654</v>
      </c>
      <c r="CL164" s="569">
        <f t="shared" si="863"/>
        <v>0.67395640951944591</v>
      </c>
      <c r="CM164" s="1064">
        <f t="shared" si="863"/>
        <v>0.6345557316251198</v>
      </c>
      <c r="CN164" s="1064">
        <f t="shared" si="863"/>
        <v>0.47621665480723219</v>
      </c>
      <c r="CO164" s="1064">
        <f t="shared" si="863"/>
        <v>0.37551092362381411</v>
      </c>
      <c r="CP164" s="569">
        <f t="shared" si="863"/>
        <v>-6.3828822702771681E-4</v>
      </c>
      <c r="CQ164" s="1064"/>
      <c r="CR164" s="1064"/>
      <c r="CS164" s="1064"/>
      <c r="CT164" s="569"/>
      <c r="CU164" s="1064"/>
      <c r="CV164" s="1064"/>
      <c r="CW164" s="1064"/>
      <c r="CX164" s="569"/>
      <c r="CY164" s="1064"/>
      <c r="CZ164" s="1064"/>
      <c r="DA164" s="1064"/>
      <c r="DB164" s="569"/>
      <c r="DC164" s="1064"/>
      <c r="DD164" s="1064"/>
      <c r="DE164" s="1064"/>
      <c r="DF164" s="569"/>
      <c r="DG164" s="1064"/>
      <c r="DH164" s="1064"/>
      <c r="DI164" s="568"/>
      <c r="DJ164" s="569"/>
      <c r="DK164" s="1064"/>
      <c r="DL164" s="1064"/>
      <c r="DM164" s="568"/>
      <c r="DN164" s="1064"/>
      <c r="DO164" s="1064"/>
      <c r="DP164" s="1064"/>
      <c r="DQ164" s="568"/>
      <c r="DR164" s="569"/>
      <c r="DS164" s="1064"/>
      <c r="DT164" s="1064"/>
      <c r="DU164" s="568"/>
      <c r="DV164" s="1064"/>
      <c r="DW164" s="1064"/>
      <c r="DX164" s="1064"/>
      <c r="DY164" s="568"/>
    </row>
    <row r="165" spans="1:129" s="1491" customFormat="1" ht="15" hidden="1" customHeight="1" outlineLevel="2">
      <c r="A165" s="1449" t="s">
        <v>8</v>
      </c>
      <c r="B165" s="1064"/>
      <c r="C165" s="1064"/>
      <c r="D165" s="1070"/>
      <c r="E165" s="1070"/>
      <c r="F165" s="1070"/>
      <c r="G165" s="1064">
        <f t="shared" ref="G165:Q165" si="864">G163/G143</f>
        <v>0.66876048895501039</v>
      </c>
      <c r="H165" s="1064">
        <f t="shared" si="864"/>
        <v>0.6659316130798284</v>
      </c>
      <c r="I165" s="1064">
        <f t="shared" si="864"/>
        <v>0.75009757200062055</v>
      </c>
      <c r="J165" s="1064">
        <f t="shared" si="864"/>
        <v>0.76049254948313671</v>
      </c>
      <c r="K165" s="1064">
        <f t="shared" si="864"/>
        <v>0.60465442211238307</v>
      </c>
      <c r="L165" s="1064">
        <f t="shared" si="864"/>
        <v>0.53228858463124362</v>
      </c>
      <c r="M165" s="1064">
        <f t="shared" si="864"/>
        <v>0.48587815784012223</v>
      </c>
      <c r="N165" s="1064">
        <f t="shared" si="864"/>
        <v>0.49982918177885682</v>
      </c>
      <c r="O165" s="1064">
        <f t="shared" si="864"/>
        <v>0.57649918976594994</v>
      </c>
      <c r="P165" s="1064">
        <f t="shared" si="864"/>
        <v>0.64126156247070776</v>
      </c>
      <c r="Q165" s="1064">
        <f t="shared" si="864"/>
        <v>0.76186745137011269</v>
      </c>
      <c r="R165" s="1064"/>
      <c r="S165" s="1064"/>
      <c r="T165" s="1064"/>
      <c r="U165" s="1064"/>
      <c r="V165" s="1064"/>
      <c r="W165" s="1064"/>
      <c r="X165" s="1064"/>
      <c r="Y165" s="1064"/>
      <c r="Z165" s="1064"/>
      <c r="AA165" s="1064"/>
      <c r="AB165" s="1064"/>
      <c r="AC165" s="1064"/>
      <c r="AD165" s="1064"/>
      <c r="AE165" s="1064"/>
      <c r="AF165" s="1064"/>
      <c r="AG165" s="1064"/>
      <c r="AH165" s="2201"/>
      <c r="AI165" s="1927"/>
      <c r="AJ165" s="1561"/>
      <c r="AK165" s="1334"/>
      <c r="AL165" s="1334"/>
      <c r="AM165" s="1319"/>
      <c r="AN165" s="1334"/>
      <c r="AO165" s="1319"/>
      <c r="AP165" s="1496"/>
      <c r="AQ165" s="1334"/>
      <c r="AR165" s="1334"/>
      <c r="AS165" s="1334"/>
      <c r="AT165" s="1496"/>
      <c r="AU165" s="1334"/>
      <c r="AV165" s="1334"/>
      <c r="AW165" s="1334"/>
      <c r="AX165" s="1496"/>
      <c r="AY165" s="1334"/>
      <c r="AZ165" s="1334"/>
      <c r="BA165" s="1334"/>
      <c r="BB165" s="794"/>
      <c r="BC165" s="1319"/>
      <c r="BD165" s="1319"/>
      <c r="BE165" s="1319"/>
      <c r="BF165" s="794">
        <f t="shared" ref="BF165:CP165" si="865">BF163/BF143</f>
        <v>0.81377838621356091</v>
      </c>
      <c r="BG165" s="1319">
        <f t="shared" si="865"/>
        <v>0.70154700597718611</v>
      </c>
      <c r="BH165" s="1319">
        <f t="shared" si="865"/>
        <v>0.71299856957265795</v>
      </c>
      <c r="BI165" s="1319">
        <f t="shared" si="865"/>
        <v>0.76689140725864302</v>
      </c>
      <c r="BJ165" s="794">
        <f t="shared" si="865"/>
        <v>0.9251899812492308</v>
      </c>
      <c r="BK165" s="1319">
        <f t="shared" si="865"/>
        <v>0.7407895593046061</v>
      </c>
      <c r="BL165" s="1319">
        <f t="shared" si="865"/>
        <v>0.72650478565536336</v>
      </c>
      <c r="BM165" s="1319">
        <f t="shared" si="865"/>
        <v>0.67519182099519892</v>
      </c>
      <c r="BN165" s="794">
        <f t="shared" si="865"/>
        <v>0.71336870058470381</v>
      </c>
      <c r="BO165" s="1319">
        <f t="shared" si="865"/>
        <v>0.57226090499353199</v>
      </c>
      <c r="BP165" s="1319">
        <f t="shared" si="865"/>
        <v>0.58864249831707416</v>
      </c>
      <c r="BQ165" s="1319">
        <f t="shared" si="865"/>
        <v>0.55627716541785588</v>
      </c>
      <c r="BR165" s="794">
        <f t="shared" si="865"/>
        <v>0.5694343727338651</v>
      </c>
      <c r="BS165" s="1319">
        <f t="shared" si="865"/>
        <v>0.52052421852475761</v>
      </c>
      <c r="BT165" s="1319">
        <f t="shared" si="865"/>
        <v>0.52599992354837477</v>
      </c>
      <c r="BU165" s="1319">
        <f t="shared" si="865"/>
        <v>0.51521920485671557</v>
      </c>
      <c r="BV165" s="794">
        <f t="shared" si="865"/>
        <v>0.5155070325516492</v>
      </c>
      <c r="BW165" s="1319">
        <f t="shared" si="865"/>
        <v>0.46517811155811073</v>
      </c>
      <c r="BX165" s="1319">
        <f t="shared" si="865"/>
        <v>0.495654423883787</v>
      </c>
      <c r="BY165" s="1319">
        <f t="shared" si="865"/>
        <v>0.46957771541988913</v>
      </c>
      <c r="BZ165" s="794">
        <f t="shared" si="865"/>
        <v>0.52037617554858939</v>
      </c>
      <c r="CA165" s="1319">
        <f t="shared" si="865"/>
        <v>0.50180369706947348</v>
      </c>
      <c r="CB165" s="1319">
        <f t="shared" si="865"/>
        <v>0.52049257250016878</v>
      </c>
      <c r="CC165" s="1319">
        <f t="shared" si="865"/>
        <v>0.4620974619191256</v>
      </c>
      <c r="CD165" s="794">
        <f t="shared" si="865"/>
        <v>0.54758020663404028</v>
      </c>
      <c r="CE165" s="1319">
        <f t="shared" si="865"/>
        <v>0.63426164724945899</v>
      </c>
      <c r="CF165" s="1319">
        <f t="shared" si="865"/>
        <v>0.5928817061617403</v>
      </c>
      <c r="CG165" s="1319">
        <f t="shared" si="865"/>
        <v>0.53704002574869014</v>
      </c>
      <c r="CH165" s="794">
        <f t="shared" si="865"/>
        <v>0.61722585151472598</v>
      </c>
      <c r="CI165" s="1319">
        <f t="shared" si="865"/>
        <v>0.61036855016880642</v>
      </c>
      <c r="CJ165" s="1319">
        <f t="shared" si="865"/>
        <v>0.6526577062127048</v>
      </c>
      <c r="CK165" s="1319">
        <f t="shared" si="865"/>
        <v>0.678629771175014</v>
      </c>
      <c r="CL165" s="569">
        <f t="shared" si="865"/>
        <v>0.80611577831826242</v>
      </c>
      <c r="CM165" s="1064">
        <f t="shared" si="865"/>
        <v>0.81675923937351358</v>
      </c>
      <c r="CN165" s="1064">
        <f t="shared" si="865"/>
        <v>0.7998451681659815</v>
      </c>
      <c r="CO165" s="1064">
        <f t="shared" si="865"/>
        <v>0.65295711061837036</v>
      </c>
      <c r="CP165" s="569">
        <f t="shared" si="865"/>
        <v>0.72488555896897189</v>
      </c>
      <c r="CQ165" s="1064"/>
      <c r="CR165" s="1064"/>
      <c r="CS165" s="1064"/>
      <c r="CT165" s="569"/>
      <c r="CU165" s="1064"/>
      <c r="CV165" s="1064"/>
      <c r="CW165" s="1064"/>
      <c r="CX165" s="569"/>
      <c r="CY165" s="1064"/>
      <c r="CZ165" s="1064"/>
      <c r="DA165" s="1064"/>
      <c r="DB165" s="569"/>
      <c r="DC165" s="1064"/>
      <c r="DD165" s="1064"/>
      <c r="DE165" s="1064"/>
      <c r="DF165" s="569"/>
      <c r="DG165" s="1064"/>
      <c r="DH165" s="1064"/>
      <c r="DI165" s="568"/>
      <c r="DJ165" s="569"/>
      <c r="DK165" s="1064"/>
      <c r="DL165" s="1064"/>
      <c r="DM165" s="568"/>
      <c r="DN165" s="1064"/>
      <c r="DO165" s="1064"/>
      <c r="DP165" s="1064"/>
      <c r="DQ165" s="568"/>
      <c r="DR165" s="569"/>
      <c r="DS165" s="1064"/>
      <c r="DT165" s="1064"/>
      <c r="DU165" s="568"/>
      <c r="DV165" s="1064"/>
      <c r="DW165" s="1064"/>
      <c r="DX165" s="1064"/>
      <c r="DY165" s="568"/>
    </row>
    <row r="166" spans="1:129" s="1491" customFormat="1" ht="15" hidden="1" customHeight="1" outlineLevel="2">
      <c r="A166" s="1449" t="s">
        <v>9</v>
      </c>
      <c r="B166" s="1064"/>
      <c r="C166" s="1064"/>
      <c r="D166" s="1070"/>
      <c r="E166" s="1070"/>
      <c r="F166" s="1070"/>
      <c r="G166" s="1515">
        <f>AVERAGE(AX166:BA166)</f>
        <v>2.0999999999999998E-2</v>
      </c>
      <c r="H166" s="1064">
        <f t="shared" ref="H166:P166" si="866">H163/H101/12</f>
        <v>2.3725863242875206E-2</v>
      </c>
      <c r="I166" s="1064">
        <f t="shared" si="866"/>
        <v>2.4700827352119648E-2</v>
      </c>
      <c r="J166" s="1064">
        <f t="shared" si="866"/>
        <v>2.2910345189382019E-2</v>
      </c>
      <c r="K166" s="1064">
        <f t="shared" si="866"/>
        <v>1.8127361457619215E-2</v>
      </c>
      <c r="L166" s="1064">
        <f t="shared" si="866"/>
        <v>1.4677469325530502E-2</v>
      </c>
      <c r="M166" s="1064">
        <f t="shared" si="866"/>
        <v>1.2449822916776139E-2</v>
      </c>
      <c r="N166" s="1064">
        <f t="shared" si="866"/>
        <v>1.164024548037697E-2</v>
      </c>
      <c r="O166" s="1488">
        <f t="shared" si="866"/>
        <v>1.2102340846485359E-2</v>
      </c>
      <c r="P166" s="1488">
        <f t="shared" si="866"/>
        <v>1.249758643467404E-2</v>
      </c>
      <c r="Q166" s="1488">
        <f>Q163/Q105/12</f>
        <v>1.4002334645878786E-2</v>
      </c>
      <c r="R166" s="1488"/>
      <c r="S166" s="1488"/>
      <c r="T166" s="1488"/>
      <c r="U166" s="1488"/>
      <c r="V166" s="1488"/>
      <c r="W166" s="1488"/>
      <c r="X166" s="1488"/>
      <c r="Y166" s="1488"/>
      <c r="Z166" s="1488"/>
      <c r="AA166" s="1488"/>
      <c r="AB166" s="1488"/>
      <c r="AC166" s="1488"/>
      <c r="AD166" s="1488"/>
      <c r="AE166" s="1488"/>
      <c r="AF166" s="1488"/>
      <c r="AG166" s="1488"/>
      <c r="AH166" s="2201"/>
      <c r="AI166" s="1927"/>
      <c r="AJ166" s="1561"/>
      <c r="AK166" s="1319" t="e">
        <f>IF(Case=1,#REF!,IF(Case=2,#REF!,#REF!))</f>
        <v>#REF!</v>
      </c>
      <c r="AL166" s="1319" t="e">
        <f>IF(Case=1,#REF!,IF(Case=2,#REF!,#REF!))</f>
        <v>#REF!</v>
      </c>
      <c r="AM166" s="1319"/>
      <c r="AN166" s="1334"/>
      <c r="AO166" s="1510"/>
      <c r="AP166" s="1496"/>
      <c r="AQ166" s="1334"/>
      <c r="AR166" s="1334"/>
      <c r="AS166" s="1334"/>
      <c r="AT166" s="1496"/>
      <c r="AU166" s="1334"/>
      <c r="AV166" s="1334"/>
      <c r="AW166" s="1334"/>
      <c r="AX166" s="794">
        <v>2.1000000000000001E-2</v>
      </c>
      <c r="AY166" s="1319">
        <v>1.9E-2</v>
      </c>
      <c r="AZ166" s="1319">
        <v>2.1000000000000001E-2</v>
      </c>
      <c r="BA166" s="1319">
        <v>2.3E-2</v>
      </c>
      <c r="BB166" s="794">
        <v>2.1999999999999999E-2</v>
      </c>
      <c r="BC166" s="1319">
        <v>2.1000000000000001E-2</v>
      </c>
      <c r="BD166" s="1319">
        <f>NormInputs!AT298</f>
        <v>2.5999999999999999E-2</v>
      </c>
      <c r="BE166" s="1319">
        <f>NormInputs!AU298</f>
        <v>2.7E-2</v>
      </c>
      <c r="BF166" s="794">
        <f>NormInputs!AV298</f>
        <v>2.8000000000000001E-2</v>
      </c>
      <c r="BG166" s="1319">
        <f>NormInputs!AW298</f>
        <v>2.3E-2</v>
      </c>
      <c r="BH166" s="1319">
        <f>NormInputs!AX298</f>
        <v>2.1999999999999999E-2</v>
      </c>
      <c r="BI166" s="1319">
        <f>NormInputs!AY298</f>
        <v>2.7E-2</v>
      </c>
      <c r="BJ166" s="794">
        <f>NormInputs!AZ298</f>
        <v>2.5999999999999999E-2</v>
      </c>
      <c r="BK166" s="1319">
        <f>NormInputs!BA298</f>
        <v>2.3E-2</v>
      </c>
      <c r="BL166" s="1319">
        <f>NormInputs!BB298</f>
        <v>2.3E-2</v>
      </c>
      <c r="BM166" s="1319">
        <f>NormInputs!BC298</f>
        <v>2.1000000000000001E-2</v>
      </c>
      <c r="BN166" s="794">
        <f>NormInputs!BD298</f>
        <v>2.1000000000000001E-2</v>
      </c>
      <c r="BO166" s="1319">
        <f>NormInputs!BE298</f>
        <v>1.7000000000000001E-2</v>
      </c>
      <c r="BP166" s="1319">
        <f>NormInputs!BF298</f>
        <v>1.9E-2</v>
      </c>
      <c r="BQ166" s="1319">
        <f>NormInputs!BG298</f>
        <v>1.7000000000000001E-2</v>
      </c>
      <c r="BR166" s="794">
        <f>NormInputs!BH298</f>
        <v>1.6E-2</v>
      </c>
      <c r="BS166" s="1510">
        <f>NormInputs!BI298</f>
        <v>1.4E-2</v>
      </c>
      <c r="BT166" s="1510">
        <f>NormInputs!BJ298</f>
        <v>1.4999999999999999E-2</v>
      </c>
      <c r="BU166" s="1510">
        <f>NormInputs!BK298</f>
        <v>1.4E-2</v>
      </c>
      <c r="BV166" s="1512">
        <f>NormInputs!BL298</f>
        <v>1.2999999999999999E-2</v>
      </c>
      <c r="BW166" s="1510">
        <f>NormInputs!BM298</f>
        <v>1.2E-2</v>
      </c>
      <c r="BX166" s="1510">
        <f>NormInputs!BN298</f>
        <v>1.2999999999999999E-2</v>
      </c>
      <c r="BY166" s="1510">
        <f>NormInputs!BO298</f>
        <v>1.2E-2</v>
      </c>
      <c r="BZ166" s="1512">
        <f>NormInputs!BP298</f>
        <v>1.18E-2</v>
      </c>
      <c r="CA166" s="1510">
        <f>NormInputs!BQ298</f>
        <v>1.1299999999999999E-2</v>
      </c>
      <c r="CB166" s="1510">
        <f>NormInputs!BR298</f>
        <v>1.24E-2</v>
      </c>
      <c r="CC166" s="1510">
        <f>NormInputs!BS298</f>
        <v>1.14E-2</v>
      </c>
      <c r="CD166" s="1512">
        <f>CD163/CD101/3</f>
        <v>1.1210562643332665E-2</v>
      </c>
      <c r="CE166" s="1510">
        <f>NormInputs!BU298</f>
        <v>1.26E-2</v>
      </c>
      <c r="CF166" s="1510">
        <f>NormInputs!BV298</f>
        <v>1.2699999999999999E-2</v>
      </c>
      <c r="CG166" s="1510">
        <f>NormInputs!BW298</f>
        <v>1.2E-2</v>
      </c>
      <c r="CH166" s="1512">
        <f>NormInputs!BX298</f>
        <v>1.1900000000000001E-2</v>
      </c>
      <c r="CI166" s="1510">
        <f>NormInputs!BY298</f>
        <v>1.12E-2</v>
      </c>
      <c r="CJ166" s="1510">
        <f>NormInputs!BZ298</f>
        <v>1.3299999999999999E-2</v>
      </c>
      <c r="CK166" s="1510">
        <f>NormInputs!CA298</f>
        <v>1.35E-2</v>
      </c>
      <c r="CL166" s="1489">
        <f>+CL155</f>
        <v>1.44E-2</v>
      </c>
      <c r="CM166" s="1488">
        <f>+CM155</f>
        <v>1.34E-2</v>
      </c>
      <c r="CN166" s="1488">
        <f>+CN155</f>
        <v>1.46E-2</v>
      </c>
      <c r="CO166" s="1488">
        <f>+CO155</f>
        <v>1.3899999999999999E-2</v>
      </c>
      <c r="CP166" s="1489">
        <f>+CP155</f>
        <v>1.3599999999999999E-2</v>
      </c>
      <c r="CQ166" s="1488"/>
      <c r="CR166" s="1488"/>
      <c r="CS166" s="1488"/>
      <c r="CT166" s="1489"/>
      <c r="CU166" s="1488"/>
      <c r="CV166" s="1488"/>
      <c r="CW166" s="1488"/>
      <c r="CX166" s="1489"/>
      <c r="CY166" s="1488"/>
      <c r="CZ166" s="1488"/>
      <c r="DA166" s="1488"/>
      <c r="DB166" s="1489"/>
      <c r="DC166" s="1488"/>
      <c r="DD166" s="1488"/>
      <c r="DE166" s="1488"/>
      <c r="DF166" s="1489"/>
      <c r="DG166" s="1488"/>
      <c r="DH166" s="1488"/>
      <c r="DI166" s="1490"/>
      <c r="DJ166" s="1489"/>
      <c r="DK166" s="1488"/>
      <c r="DL166" s="1488"/>
      <c r="DM166" s="1490"/>
      <c r="DN166" s="1488"/>
      <c r="DO166" s="1488"/>
      <c r="DP166" s="1488"/>
      <c r="DQ166" s="1490"/>
      <c r="DR166" s="1489"/>
      <c r="DS166" s="1488"/>
      <c r="DT166" s="1488"/>
      <c r="DU166" s="1490"/>
      <c r="DV166" s="1488"/>
      <c r="DW166" s="1488"/>
      <c r="DX166" s="1488"/>
      <c r="DY166" s="1490"/>
    </row>
    <row r="167" spans="1:129" s="1491" customFormat="1" ht="15" hidden="1" customHeight="1" outlineLevel="2">
      <c r="A167" s="1449"/>
      <c r="B167" s="1064"/>
      <c r="C167" s="1064"/>
      <c r="D167" s="1070"/>
      <c r="E167" s="1070"/>
      <c r="F167" s="1070"/>
      <c r="G167" s="1515"/>
      <c r="H167" s="1064"/>
      <c r="I167" s="1064"/>
      <c r="J167" s="1064"/>
      <c r="K167" s="1064"/>
      <c r="L167" s="1064"/>
      <c r="M167" s="1064"/>
      <c r="N167" s="1064"/>
      <c r="O167" s="1488"/>
      <c r="P167" s="1488"/>
      <c r="Q167" s="1488"/>
      <c r="R167" s="1488"/>
      <c r="S167" s="1488"/>
      <c r="T167" s="1488"/>
      <c r="U167" s="1488"/>
      <c r="V167" s="1488"/>
      <c r="W167" s="1488"/>
      <c r="X167" s="1488"/>
      <c r="Y167" s="1488"/>
      <c r="Z167" s="1488"/>
      <c r="AA167" s="1488"/>
      <c r="AB167" s="1488"/>
      <c r="AC167" s="1488"/>
      <c r="AD167" s="1488"/>
      <c r="AE167" s="1488"/>
      <c r="AF167" s="1488"/>
      <c r="AG167" s="1488"/>
      <c r="AH167" s="2201"/>
      <c r="AI167" s="1927"/>
      <c r="AJ167" s="1561"/>
      <c r="AK167" s="1319"/>
      <c r="AL167" s="1319"/>
      <c r="AM167" s="1319"/>
      <c r="AN167" s="1334"/>
      <c r="AO167" s="1510"/>
      <c r="AP167" s="1496"/>
      <c r="AQ167" s="1334"/>
      <c r="AR167" s="1334"/>
      <c r="AS167" s="1334"/>
      <c r="AT167" s="1496"/>
      <c r="AU167" s="1334"/>
      <c r="AV167" s="1334"/>
      <c r="AW167" s="1334"/>
      <c r="AX167" s="794"/>
      <c r="AY167" s="1319"/>
      <c r="AZ167" s="1319"/>
      <c r="BA167" s="1319"/>
      <c r="BB167" s="794"/>
      <c r="BC167" s="1319"/>
      <c r="BD167" s="1319"/>
      <c r="BE167" s="1319"/>
      <c r="BF167" s="794"/>
      <c r="BG167" s="1319"/>
      <c r="BH167" s="1319"/>
      <c r="BI167" s="1319"/>
      <c r="BJ167" s="794"/>
      <c r="BK167" s="1319"/>
      <c r="BL167" s="1319"/>
      <c r="BM167" s="1319"/>
      <c r="BN167" s="794"/>
      <c r="BO167" s="1319"/>
      <c r="BP167" s="1319"/>
      <c r="BQ167" s="1319"/>
      <c r="BR167" s="794"/>
      <c r="BS167" s="1510"/>
      <c r="BT167" s="1510"/>
      <c r="BU167" s="1510"/>
      <c r="BV167" s="1512"/>
      <c r="BW167" s="1510"/>
      <c r="BX167" s="1510"/>
      <c r="BY167" s="1510"/>
      <c r="BZ167" s="1512"/>
      <c r="CA167" s="1510"/>
      <c r="CB167" s="1510"/>
      <c r="CC167" s="1510"/>
      <c r="CD167" s="1512"/>
      <c r="CE167" s="1510"/>
      <c r="CF167" s="1510"/>
      <c r="CG167" s="1510"/>
      <c r="CH167" s="1512"/>
      <c r="CI167" s="1510"/>
      <c r="CJ167" s="1510"/>
      <c r="CK167" s="1510"/>
      <c r="CL167" s="1489"/>
      <c r="CM167" s="1488"/>
      <c r="CN167" s="1488"/>
      <c r="CO167" s="1488"/>
      <c r="CP167" s="1489"/>
      <c r="CQ167" s="1488"/>
      <c r="CR167" s="1488"/>
      <c r="CS167" s="1488"/>
      <c r="CT167" s="1489"/>
      <c r="CU167" s="1488"/>
      <c r="CV167" s="1488"/>
      <c r="CW167" s="1488"/>
      <c r="CX167" s="1489"/>
      <c r="CY167" s="1488"/>
      <c r="CZ167" s="1488"/>
      <c r="DA167" s="1488"/>
      <c r="DB167" s="1489"/>
      <c r="DC167" s="1488"/>
      <c r="DD167" s="1488"/>
      <c r="DE167" s="1488"/>
      <c r="DF167" s="1489"/>
      <c r="DG167" s="1488"/>
      <c r="DH167" s="1488"/>
      <c r="DI167" s="1490"/>
      <c r="DJ167" s="1489"/>
      <c r="DK167" s="1488"/>
      <c r="DL167" s="1488"/>
      <c r="DM167" s="1490"/>
      <c r="DN167" s="1488"/>
      <c r="DO167" s="1488"/>
      <c r="DP167" s="1488"/>
      <c r="DQ167" s="1490"/>
      <c r="DR167" s="1489"/>
      <c r="DS167" s="1488"/>
      <c r="DT167" s="1488"/>
      <c r="DU167" s="1490"/>
      <c r="DV167" s="1488"/>
      <c r="DW167" s="1488"/>
      <c r="DX167" s="1488"/>
      <c r="DY167" s="1490"/>
    </row>
    <row r="168" spans="1:129" s="1491" customFormat="1" ht="15" hidden="1" customHeight="1" outlineLevel="2">
      <c r="A168" s="1454" t="s">
        <v>10</v>
      </c>
      <c r="B168" s="1472"/>
      <c r="C168" s="1472"/>
      <c r="D168" s="1479"/>
      <c r="E168" s="1479"/>
      <c r="F168" s="1479"/>
      <c r="G168" s="1506"/>
      <c r="H168" s="1479"/>
      <c r="I168" s="1479"/>
      <c r="J168" s="1479"/>
      <c r="K168" s="1479"/>
      <c r="L168" s="1479"/>
      <c r="M168" s="1479"/>
      <c r="N168" s="1479">
        <f>SUM(BZ168:CC168)</f>
        <v>2663.8229999999999</v>
      </c>
      <c r="O168" s="1479">
        <f>SUM(CD168:CG168)</f>
        <v>2625.0320000000033</v>
      </c>
      <c r="P168" s="1479">
        <f>SUM(CH168:CK168)</f>
        <v>3115.6122</v>
      </c>
      <c r="Q168" s="1357"/>
      <c r="R168" s="1357"/>
      <c r="S168" s="1357"/>
      <c r="T168" s="1357"/>
      <c r="U168" s="1357"/>
      <c r="V168" s="1357"/>
      <c r="W168" s="1357"/>
      <c r="X168" s="1357"/>
      <c r="Y168" s="1357"/>
      <c r="Z168" s="1357"/>
      <c r="AA168" s="1357"/>
      <c r="AB168" s="1357"/>
      <c r="AC168" s="1357"/>
      <c r="AD168" s="1357"/>
      <c r="AE168" s="1357"/>
      <c r="AF168" s="1357"/>
      <c r="AG168" s="1357"/>
      <c r="AH168" s="2201"/>
      <c r="AI168" s="1927"/>
      <c r="AJ168" s="1561"/>
      <c r="AK168" s="1334"/>
      <c r="AL168" s="1334"/>
      <c r="AM168" s="1319"/>
      <c r="AN168" s="1334"/>
      <c r="AO168" s="1334"/>
      <c r="AP168" s="1496"/>
      <c r="AQ168" s="1334"/>
      <c r="AR168" s="1334"/>
      <c r="AS168" s="1334"/>
      <c r="AT168" s="1496"/>
      <c r="AU168" s="1334"/>
      <c r="AV168" s="1334"/>
      <c r="AW168" s="1334"/>
      <c r="AX168" s="1496"/>
      <c r="AY168" s="1334"/>
      <c r="AZ168" s="1334"/>
      <c r="BA168" s="1334"/>
      <c r="BB168" s="1496"/>
      <c r="BC168" s="1334"/>
      <c r="BD168" s="1334"/>
      <c r="BE168" s="1334"/>
      <c r="BF168" s="1496"/>
      <c r="BG168" s="1334"/>
      <c r="BH168" s="1334"/>
      <c r="BI168" s="1334"/>
      <c r="BJ168" s="1511"/>
      <c r="BK168" s="1509"/>
      <c r="BL168" s="1509"/>
      <c r="BM168" s="1509"/>
      <c r="BN168" s="1511"/>
      <c r="BO168" s="1509"/>
      <c r="BP168" s="1509"/>
      <c r="BQ168" s="1509"/>
      <c r="BR168" s="1511"/>
      <c r="BS168" s="1509"/>
      <c r="BT168" s="1509"/>
      <c r="BU168" s="1509"/>
      <c r="BV168" s="1496"/>
      <c r="BW168" s="1334"/>
      <c r="BX168" s="1334"/>
      <c r="BY168" s="1334"/>
      <c r="BZ168" s="1496">
        <f t="shared" ref="BZ168:CK168" si="867">+BZ147-BZ188</f>
        <v>640.71299999999997</v>
      </c>
      <c r="CA168" s="1334">
        <f t="shared" si="867"/>
        <v>624.60400000000004</v>
      </c>
      <c r="CB168" s="1334">
        <f t="shared" si="867"/>
        <v>728.245</v>
      </c>
      <c r="CC168" s="1334">
        <f t="shared" si="867"/>
        <v>670.26099999999985</v>
      </c>
      <c r="CD168" s="1496">
        <f t="shared" si="867"/>
        <v>630.83899999999994</v>
      </c>
      <c r="CE168" s="1334">
        <f t="shared" si="867"/>
        <v>608.46699999999998</v>
      </c>
      <c r="CF168" s="1334">
        <f t="shared" si="867"/>
        <v>699.78199999999993</v>
      </c>
      <c r="CG168" s="1334">
        <f t="shared" si="867"/>
        <v>685.94400000000337</v>
      </c>
      <c r="CH168" s="1496">
        <f t="shared" si="867"/>
        <v>708.39100000000008</v>
      </c>
      <c r="CI168" s="1334">
        <f t="shared" si="867"/>
        <v>762.56399999999996</v>
      </c>
      <c r="CJ168" s="1334">
        <f t="shared" si="867"/>
        <v>826.3</v>
      </c>
      <c r="CK168" s="1334">
        <f t="shared" si="867"/>
        <v>818.35720000000003</v>
      </c>
      <c r="CL168" s="607"/>
      <c r="CM168" s="1070"/>
      <c r="CN168" s="1070"/>
      <c r="CO168" s="1070"/>
      <c r="CP168" s="607"/>
      <c r="CQ168" s="1070"/>
      <c r="CR168" s="1070"/>
      <c r="CS168" s="1070"/>
      <c r="CT168" s="607"/>
      <c r="CU168" s="1070"/>
      <c r="CV168" s="1070"/>
      <c r="CW168" s="1070"/>
      <c r="CX168" s="607"/>
      <c r="CY168" s="1070"/>
      <c r="CZ168" s="1070"/>
      <c r="DA168" s="1070"/>
      <c r="DB168" s="607"/>
      <c r="DC168" s="1070"/>
      <c r="DD168" s="1070"/>
      <c r="DE168" s="1070"/>
      <c r="DF168" s="607"/>
      <c r="DG168" s="1070"/>
      <c r="DH168" s="1070"/>
      <c r="DI168" s="608"/>
      <c r="DJ168" s="607"/>
      <c r="DK168" s="1070"/>
      <c r="DL168" s="1070"/>
      <c r="DM168" s="608"/>
      <c r="DN168" s="1070"/>
      <c r="DO168" s="1070"/>
      <c r="DP168" s="1070"/>
      <c r="DQ168" s="608"/>
      <c r="DR168" s="607"/>
      <c r="DS168" s="1070"/>
      <c r="DT168" s="1070"/>
      <c r="DU168" s="608"/>
      <c r="DV168" s="1070"/>
      <c r="DW168" s="1070"/>
      <c r="DX168" s="1070"/>
      <c r="DY168" s="608"/>
    </row>
    <row r="169" spans="1:129" s="1491" customFormat="1" ht="15" hidden="1" customHeight="1" outlineLevel="2">
      <c r="A169" s="1450" t="s">
        <v>1453</v>
      </c>
      <c r="B169" s="1472"/>
      <c r="C169" s="1472"/>
      <c r="D169" s="1479"/>
      <c r="E169" s="1479"/>
      <c r="F169" s="1479"/>
      <c r="G169" s="1506"/>
      <c r="H169" s="1479"/>
      <c r="I169" s="1479"/>
      <c r="J169" s="1479"/>
      <c r="K169" s="1479"/>
      <c r="L169" s="1479"/>
      <c r="M169" s="1479"/>
      <c r="N169" s="1479"/>
      <c r="O169" s="1472">
        <f>+O168/N168-1</f>
        <v>-1.4562153716668358E-2</v>
      </c>
      <c r="P169" s="1472">
        <f>+P168/O168-1</f>
        <v>0.18688541701586736</v>
      </c>
      <c r="Q169" s="1357"/>
      <c r="R169" s="1357"/>
      <c r="S169" s="1357"/>
      <c r="T169" s="1357"/>
      <c r="U169" s="1357"/>
      <c r="V169" s="1357"/>
      <c r="W169" s="1357"/>
      <c r="X169" s="1357"/>
      <c r="Y169" s="1357"/>
      <c r="Z169" s="1357"/>
      <c r="AA169" s="1357"/>
      <c r="AB169" s="1357"/>
      <c r="AC169" s="1357"/>
      <c r="AD169" s="1357"/>
      <c r="AE169" s="1357"/>
      <c r="AF169" s="1357"/>
      <c r="AG169" s="1357"/>
      <c r="AH169" s="2201"/>
      <c r="AI169" s="1927"/>
      <c r="AJ169" s="1561"/>
      <c r="AK169" s="1334"/>
      <c r="AL169" s="1334"/>
      <c r="AM169" s="1319"/>
      <c r="AN169" s="1334"/>
      <c r="AO169" s="1334"/>
      <c r="AP169" s="1496"/>
      <c r="AQ169" s="1334"/>
      <c r="AR169" s="1334"/>
      <c r="AS169" s="1334"/>
      <c r="AT169" s="1496"/>
      <c r="AU169" s="1334"/>
      <c r="AV169" s="1334"/>
      <c r="AW169" s="1334"/>
      <c r="AX169" s="1496"/>
      <c r="AY169" s="1334"/>
      <c r="AZ169" s="1334"/>
      <c r="BA169" s="1334"/>
      <c r="BB169" s="1496"/>
      <c r="BC169" s="1334"/>
      <c r="BD169" s="1334"/>
      <c r="BE169" s="1334"/>
      <c r="BF169" s="1496"/>
      <c r="BG169" s="1334"/>
      <c r="BH169" s="1334"/>
      <c r="BI169" s="1334"/>
      <c r="BJ169" s="1511"/>
      <c r="BK169" s="1509"/>
      <c r="BL169" s="1509"/>
      <c r="BM169" s="1509"/>
      <c r="BN169" s="1511"/>
      <c r="BO169" s="1509"/>
      <c r="BP169" s="1509"/>
      <c r="BQ169" s="1509"/>
      <c r="BR169" s="1511"/>
      <c r="BS169" s="1509"/>
      <c r="BT169" s="1509"/>
      <c r="BU169" s="1509"/>
      <c r="BV169" s="1496"/>
      <c r="BW169" s="1334"/>
      <c r="BX169" s="1334"/>
      <c r="BY169" s="1334"/>
      <c r="BZ169" s="1496"/>
      <c r="CA169" s="1334"/>
      <c r="CB169" s="1334"/>
      <c r="CC169" s="1334"/>
      <c r="CD169" s="794">
        <f t="shared" ref="CD169:CK169" si="868">CD168/BZ168-1</f>
        <v>-1.5410956231573292E-2</v>
      </c>
      <c r="CE169" s="1319">
        <f t="shared" si="868"/>
        <v>-2.5835569416782556E-2</v>
      </c>
      <c r="CF169" s="1319">
        <f t="shared" si="868"/>
        <v>-3.9084374077405393E-2</v>
      </c>
      <c r="CG169" s="1319">
        <f t="shared" si="868"/>
        <v>2.339834780779948E-2</v>
      </c>
      <c r="CH169" s="794">
        <f t="shared" si="868"/>
        <v>0.12293469490630748</v>
      </c>
      <c r="CI169" s="1319">
        <f t="shared" si="868"/>
        <v>0.25325449038320902</v>
      </c>
      <c r="CJ169" s="1319">
        <f t="shared" si="868"/>
        <v>0.18079630513502787</v>
      </c>
      <c r="CK169" s="1319">
        <f t="shared" si="868"/>
        <v>0.1930379156315909</v>
      </c>
      <c r="CL169" s="499"/>
      <c r="CM169" s="1357"/>
      <c r="CN169" s="1357"/>
      <c r="CO169" s="1357"/>
      <c r="CP169" s="499"/>
      <c r="CQ169" s="1357"/>
      <c r="CR169" s="1357"/>
      <c r="CS169" s="1357"/>
      <c r="CT169" s="499"/>
      <c r="CU169" s="1357"/>
      <c r="CV169" s="1357"/>
      <c r="CW169" s="1357"/>
      <c r="CX169" s="499"/>
      <c r="CY169" s="1357"/>
      <c r="CZ169" s="1357"/>
      <c r="DA169" s="1357"/>
      <c r="DB169" s="499"/>
      <c r="DC169" s="1357"/>
      <c r="DD169" s="1357"/>
      <c r="DE169" s="1357"/>
      <c r="DF169" s="499"/>
      <c r="DG169" s="1357"/>
      <c r="DH169" s="1357"/>
      <c r="DI169" s="500"/>
      <c r="DJ169" s="499"/>
      <c r="DK169" s="1357"/>
      <c r="DL169" s="1357"/>
      <c r="DM169" s="500"/>
      <c r="DN169" s="1357"/>
      <c r="DO169" s="1357"/>
      <c r="DP169" s="1357"/>
      <c r="DQ169" s="500"/>
      <c r="DR169" s="499"/>
      <c r="DS169" s="1357"/>
      <c r="DT169" s="1357"/>
      <c r="DU169" s="500"/>
      <c r="DV169" s="1357"/>
      <c r="DW169" s="1357"/>
      <c r="DX169" s="1357"/>
      <c r="DY169" s="500"/>
    </row>
    <row r="170" spans="1:129" s="1491" customFormat="1" ht="15" hidden="1" customHeight="1" outlineLevel="2">
      <c r="A170" s="1450" t="s">
        <v>8</v>
      </c>
      <c r="B170" s="1472"/>
      <c r="C170" s="1472"/>
      <c r="D170" s="1479"/>
      <c r="E170" s="1479"/>
      <c r="F170" s="1479"/>
      <c r="G170" s="1506"/>
      <c r="H170" s="1479"/>
      <c r="I170" s="1479"/>
      <c r="J170" s="1479"/>
      <c r="K170" s="1479"/>
      <c r="L170" s="1479"/>
      <c r="M170" s="1479"/>
      <c r="N170" s="1472">
        <f>+N168/N147</f>
        <v>0.69634475747476687</v>
      </c>
      <c r="O170" s="1472">
        <f>+O168/O147</f>
        <v>0.73196372738712878</v>
      </c>
      <c r="P170" s="1472">
        <f>+P168/P147</f>
        <v>0.69801354135590821</v>
      </c>
      <c r="Q170" s="1357"/>
      <c r="R170" s="1357"/>
      <c r="S170" s="1357"/>
      <c r="T170" s="1357"/>
      <c r="U170" s="1357"/>
      <c r="V170" s="1357"/>
      <c r="W170" s="1357"/>
      <c r="X170" s="1357"/>
      <c r="Y170" s="1357"/>
      <c r="Z170" s="1357"/>
      <c r="AA170" s="1357"/>
      <c r="AB170" s="1357"/>
      <c r="AC170" s="1357"/>
      <c r="AD170" s="1357"/>
      <c r="AE170" s="1357"/>
      <c r="AF170" s="1357"/>
      <c r="AG170" s="1357"/>
      <c r="AH170" s="2201"/>
      <c r="AI170" s="1927"/>
      <c r="AJ170" s="1561"/>
      <c r="AK170" s="1334"/>
      <c r="AL170" s="1334"/>
      <c r="AM170" s="1319"/>
      <c r="AN170" s="1334"/>
      <c r="AO170" s="1334"/>
      <c r="AP170" s="1496"/>
      <c r="AQ170" s="1334"/>
      <c r="AR170" s="1334"/>
      <c r="AS170" s="1334"/>
      <c r="AT170" s="1496"/>
      <c r="AU170" s="1334"/>
      <c r="AV170" s="1334"/>
      <c r="AW170" s="1334"/>
      <c r="AX170" s="1496"/>
      <c r="AY170" s="1334"/>
      <c r="AZ170" s="1334"/>
      <c r="BA170" s="1334"/>
      <c r="BB170" s="1496"/>
      <c r="BC170" s="1334"/>
      <c r="BD170" s="1334"/>
      <c r="BE170" s="1334"/>
      <c r="BF170" s="1496"/>
      <c r="BG170" s="1334"/>
      <c r="BH170" s="1334"/>
      <c r="BI170" s="1334"/>
      <c r="BJ170" s="1511"/>
      <c r="BK170" s="1509"/>
      <c r="BL170" s="1509"/>
      <c r="BM170" s="1509"/>
      <c r="BN170" s="1511"/>
      <c r="BO170" s="1509"/>
      <c r="BP170" s="1509"/>
      <c r="BQ170" s="1509"/>
      <c r="BR170" s="1511"/>
      <c r="BS170" s="1509"/>
      <c r="BT170" s="1509"/>
      <c r="BU170" s="1509"/>
      <c r="BV170" s="1496"/>
      <c r="BW170" s="1334"/>
      <c r="BX170" s="1334"/>
      <c r="BY170" s="1334"/>
      <c r="BZ170" s="794">
        <f t="shared" ref="BZ170:CK170" si="869">BZ168/BZ147</f>
        <v>0.79546814591522297</v>
      </c>
      <c r="CA170" s="1319">
        <f t="shared" si="869"/>
        <v>0.70761903467152454</v>
      </c>
      <c r="CB170" s="1319">
        <f t="shared" si="869"/>
        <v>0.90420288055624543</v>
      </c>
      <c r="CC170" s="1319">
        <f t="shared" si="869"/>
        <v>0.50323710731819749</v>
      </c>
      <c r="CD170" s="794">
        <f t="shared" si="869"/>
        <v>0.72721456460316336</v>
      </c>
      <c r="CE170" s="1319">
        <f t="shared" si="869"/>
        <v>0.77024941737630082</v>
      </c>
      <c r="CF170" s="1319">
        <f t="shared" si="869"/>
        <v>0.77340984371149013</v>
      </c>
      <c r="CG170" s="1319">
        <f t="shared" si="869"/>
        <v>0.6698331725342106</v>
      </c>
      <c r="CH170" s="794">
        <f t="shared" si="869"/>
        <v>0.64794783423154456</v>
      </c>
      <c r="CI170" s="1319">
        <f t="shared" si="869"/>
        <v>0.70457728910653239</v>
      </c>
      <c r="CJ170" s="1319">
        <f t="shared" si="869"/>
        <v>0.7114076625053809</v>
      </c>
      <c r="CK170" s="1319">
        <f t="shared" si="869"/>
        <v>0.72648761089191849</v>
      </c>
      <c r="CL170" s="499"/>
      <c r="CM170" s="1357"/>
      <c r="CN170" s="1357"/>
      <c r="CO170" s="1357"/>
      <c r="CP170" s="499"/>
      <c r="CQ170" s="1357"/>
      <c r="CR170" s="1357"/>
      <c r="CS170" s="1357"/>
      <c r="CT170" s="499"/>
      <c r="CU170" s="1357"/>
      <c r="CV170" s="1357"/>
      <c r="CW170" s="1357"/>
      <c r="CX170" s="499"/>
      <c r="CY170" s="1357"/>
      <c r="CZ170" s="1357"/>
      <c r="DA170" s="1357"/>
      <c r="DB170" s="499"/>
      <c r="DC170" s="1357"/>
      <c r="DD170" s="1357"/>
      <c r="DE170" s="1357"/>
      <c r="DF170" s="499"/>
      <c r="DG170" s="1357"/>
      <c r="DH170" s="1357"/>
      <c r="DI170" s="500"/>
      <c r="DJ170" s="499"/>
      <c r="DK170" s="1357"/>
      <c r="DL170" s="1357"/>
      <c r="DM170" s="500"/>
      <c r="DN170" s="1357"/>
      <c r="DO170" s="1357"/>
      <c r="DP170" s="1357"/>
      <c r="DQ170" s="500"/>
      <c r="DR170" s="499"/>
      <c r="DS170" s="1357"/>
      <c r="DT170" s="1357"/>
      <c r="DU170" s="500"/>
      <c r="DV170" s="1357"/>
      <c r="DW170" s="1357"/>
      <c r="DX170" s="1357"/>
      <c r="DY170" s="500"/>
    </row>
    <row r="171" spans="1:129" s="1491" customFormat="1" ht="15" hidden="1" customHeight="1" outlineLevel="2">
      <c r="A171" s="1454" t="s">
        <v>11</v>
      </c>
      <c r="B171" s="1472"/>
      <c r="C171" s="1472"/>
      <c r="D171" s="1479"/>
      <c r="E171" s="1479"/>
      <c r="F171" s="1479"/>
      <c r="G171" s="1506"/>
      <c r="H171" s="1479"/>
      <c r="I171" s="1479"/>
      <c r="J171" s="1479"/>
      <c r="K171" s="1479"/>
      <c r="L171" s="1479"/>
      <c r="M171" s="1479"/>
      <c r="N171" s="1472"/>
      <c r="O171" s="1472">
        <f>O168/O111/12</f>
        <v>1.7778170766506705E-2</v>
      </c>
      <c r="P171" s="1472">
        <f>P168/P111/12</f>
        <v>1.6144309916309729E-2</v>
      </c>
      <c r="Q171" s="1357"/>
      <c r="R171" s="1357"/>
      <c r="S171" s="1357"/>
      <c r="T171" s="1357"/>
      <c r="U171" s="1357"/>
      <c r="V171" s="1357"/>
      <c r="W171" s="1357"/>
      <c r="X171" s="1357"/>
      <c r="Y171" s="1357"/>
      <c r="Z171" s="1357"/>
      <c r="AA171" s="1357"/>
      <c r="AB171" s="1357"/>
      <c r="AC171" s="1357"/>
      <c r="AD171" s="1357"/>
      <c r="AE171" s="1357"/>
      <c r="AF171" s="1357"/>
      <c r="AG171" s="1357"/>
      <c r="AH171" s="2201"/>
      <c r="AI171" s="1927"/>
      <c r="AJ171" s="1561"/>
      <c r="AK171" s="1334"/>
      <c r="AL171" s="1334"/>
      <c r="AM171" s="1319"/>
      <c r="AN171" s="1334"/>
      <c r="AO171" s="1334"/>
      <c r="AP171" s="1496"/>
      <c r="AQ171" s="1334"/>
      <c r="AR171" s="1334"/>
      <c r="AS171" s="1334"/>
      <c r="AT171" s="1496"/>
      <c r="AU171" s="1334"/>
      <c r="AV171" s="1334"/>
      <c r="AW171" s="1334"/>
      <c r="AX171" s="1496"/>
      <c r="AY171" s="1334"/>
      <c r="AZ171" s="1334"/>
      <c r="BA171" s="1334"/>
      <c r="BB171" s="1496"/>
      <c r="BC171" s="1334"/>
      <c r="BD171" s="1334"/>
      <c r="BE171" s="1334"/>
      <c r="BF171" s="1496"/>
      <c r="BG171" s="1334"/>
      <c r="BH171" s="1334"/>
      <c r="BI171" s="1334"/>
      <c r="BJ171" s="1511"/>
      <c r="BK171" s="1509"/>
      <c r="BL171" s="1509"/>
      <c r="BM171" s="1509"/>
      <c r="BN171" s="1511"/>
      <c r="BO171" s="1509"/>
      <c r="BP171" s="1509"/>
      <c r="BQ171" s="1509"/>
      <c r="BR171" s="1511"/>
      <c r="BS171" s="1509"/>
      <c r="BT171" s="1509"/>
      <c r="BU171" s="1509"/>
      <c r="BV171" s="1496"/>
      <c r="BW171" s="1334"/>
      <c r="BX171" s="1334"/>
      <c r="BY171" s="1334"/>
      <c r="BZ171" s="1232">
        <v>0.02</v>
      </c>
      <c r="CA171" s="1373">
        <v>1.9099999999999999E-2</v>
      </c>
      <c r="CB171" s="1373">
        <v>2.18E-2</v>
      </c>
      <c r="CC171" s="1373">
        <v>1.9199999999999998E-2</v>
      </c>
      <c r="CD171" s="1232">
        <v>1.77E-2</v>
      </c>
      <c r="CE171" s="1373">
        <v>1.67E-2</v>
      </c>
      <c r="CF171" s="1373">
        <v>1.9E-2</v>
      </c>
      <c r="CG171" s="1373">
        <v>1.8100000000000002E-2</v>
      </c>
      <c r="CH171" s="1232">
        <v>1.83E-2</v>
      </c>
      <c r="CI171" s="1373">
        <v>1.9199999999999998E-2</v>
      </c>
      <c r="CJ171" s="1373">
        <v>2.0199999999999999E-2</v>
      </c>
      <c r="CK171" s="1373">
        <v>1.9E-2</v>
      </c>
      <c r="CL171" s="499"/>
      <c r="CM171" s="1357"/>
      <c r="CN171" s="1357"/>
      <c r="CO171" s="1357"/>
      <c r="CP171" s="499"/>
      <c r="CQ171" s="1357"/>
      <c r="CR171" s="1357"/>
      <c r="CS171" s="1357"/>
      <c r="CT171" s="499"/>
      <c r="CU171" s="1357"/>
      <c r="CV171" s="1357"/>
      <c r="CW171" s="1357"/>
      <c r="CX171" s="499"/>
      <c r="CY171" s="1357"/>
      <c r="CZ171" s="1357"/>
      <c r="DA171" s="1357"/>
      <c r="DB171" s="499"/>
      <c r="DC171" s="1357"/>
      <c r="DD171" s="1357"/>
      <c r="DE171" s="1357"/>
      <c r="DF171" s="499"/>
      <c r="DG171" s="1357"/>
      <c r="DH171" s="1357"/>
      <c r="DI171" s="500"/>
      <c r="DJ171" s="499"/>
      <c r="DK171" s="1357"/>
      <c r="DL171" s="1357"/>
      <c r="DM171" s="500"/>
      <c r="DN171" s="1357"/>
      <c r="DO171" s="1357"/>
      <c r="DP171" s="1357"/>
      <c r="DQ171" s="500"/>
      <c r="DR171" s="499"/>
      <c r="DS171" s="1357"/>
      <c r="DT171" s="1357"/>
      <c r="DU171" s="500"/>
      <c r="DV171" s="1357"/>
      <c r="DW171" s="1357"/>
      <c r="DX171" s="1357"/>
      <c r="DY171" s="500"/>
    </row>
    <row r="172" spans="1:129" s="1491" customFormat="1" ht="15" hidden="1" customHeight="1" outlineLevel="2">
      <c r="A172" s="569"/>
      <c r="B172" s="1064"/>
      <c r="C172" s="1064"/>
      <c r="D172" s="1070"/>
      <c r="E172" s="1070"/>
      <c r="F172" s="1070"/>
      <c r="G172" s="1229"/>
      <c r="H172" s="1070"/>
      <c r="I172" s="1070"/>
      <c r="J172" s="1070"/>
      <c r="K172" s="1070"/>
      <c r="L172" s="1070"/>
      <c r="M172" s="1070"/>
      <c r="N172" s="1070"/>
      <c r="O172" s="1070"/>
      <c r="P172" s="1064"/>
      <c r="Q172" s="1357"/>
      <c r="R172" s="1357"/>
      <c r="S172" s="1357"/>
      <c r="T172" s="1357"/>
      <c r="U172" s="1357"/>
      <c r="V172" s="1357"/>
      <c r="W172" s="1357"/>
      <c r="X172" s="1357"/>
      <c r="Y172" s="1357"/>
      <c r="Z172" s="1357"/>
      <c r="AA172" s="1357"/>
      <c r="AB172" s="1357"/>
      <c r="AC172" s="1357"/>
      <c r="AD172" s="1357"/>
      <c r="AE172" s="1357"/>
      <c r="AF172" s="1357"/>
      <c r="AG172" s="1357"/>
      <c r="AH172" s="2201"/>
      <c r="AI172" s="1927"/>
      <c r="AJ172" s="1561"/>
      <c r="AK172" s="1334"/>
      <c r="AL172" s="1334"/>
      <c r="AM172" s="1319"/>
      <c r="AN172" s="1334"/>
      <c r="AO172" s="1334"/>
      <c r="AP172" s="1496"/>
      <c r="AQ172" s="1334"/>
      <c r="AR172" s="1334"/>
      <c r="AS172" s="1334"/>
      <c r="AT172" s="1496"/>
      <c r="AU172" s="1334"/>
      <c r="AV172" s="1334"/>
      <c r="AW172" s="1334"/>
      <c r="AX172" s="1496"/>
      <c r="AY172" s="1334"/>
      <c r="AZ172" s="1334"/>
      <c r="BA172" s="1334"/>
      <c r="BB172" s="1496"/>
      <c r="BC172" s="1334"/>
      <c r="BD172" s="1334"/>
      <c r="BE172" s="1334"/>
      <c r="BF172" s="1496"/>
      <c r="BG172" s="1334"/>
      <c r="BH172" s="1334"/>
      <c r="BI172" s="1334"/>
      <c r="BJ172" s="1511"/>
      <c r="BK172" s="1509"/>
      <c r="BL172" s="1509"/>
      <c r="BM172" s="1509"/>
      <c r="BN172" s="1511"/>
      <c r="BO172" s="1509"/>
      <c r="BP172" s="1509"/>
      <c r="BQ172" s="1509"/>
      <c r="BR172" s="1511"/>
      <c r="BS172" s="1509"/>
      <c r="BT172" s="1509"/>
      <c r="BU172" s="1509"/>
      <c r="BV172" s="1496"/>
      <c r="BW172" s="1334"/>
      <c r="BX172" s="1334"/>
      <c r="BY172" s="1334"/>
      <c r="BZ172" s="1496"/>
      <c r="CA172" s="1334"/>
      <c r="CB172" s="1334"/>
      <c r="CC172" s="1334"/>
      <c r="CD172" s="1232"/>
      <c r="CE172" s="1373"/>
      <c r="CF172" s="1373"/>
      <c r="CG172" s="1373"/>
      <c r="CH172" s="1232"/>
      <c r="CI172" s="1373"/>
      <c r="CJ172" s="1373"/>
      <c r="CK172" s="1373"/>
      <c r="CL172" s="499"/>
      <c r="CM172" s="1357"/>
      <c r="CN172" s="1357"/>
      <c r="CO172" s="1357"/>
      <c r="CP172" s="499"/>
      <c r="CQ172" s="1357"/>
      <c r="CR172" s="1357"/>
      <c r="CS172" s="1357"/>
      <c r="CT172" s="499"/>
      <c r="CU172" s="1357"/>
      <c r="CV172" s="1357"/>
      <c r="CW172" s="1357"/>
      <c r="CX172" s="499"/>
      <c r="CY172" s="1357"/>
      <c r="CZ172" s="1357"/>
      <c r="DA172" s="1357"/>
      <c r="DB172" s="499"/>
      <c r="DC172" s="1357"/>
      <c r="DD172" s="1357"/>
      <c r="DE172" s="1357"/>
      <c r="DF172" s="499"/>
      <c r="DG172" s="1357"/>
      <c r="DH172" s="1357"/>
      <c r="DI172" s="500"/>
      <c r="DJ172" s="499"/>
      <c r="DK172" s="1357"/>
      <c r="DL172" s="1357"/>
      <c r="DM172" s="500"/>
      <c r="DN172" s="1357"/>
      <c r="DO172" s="1357"/>
      <c r="DP172" s="1357"/>
      <c r="DQ172" s="500"/>
      <c r="DR172" s="499"/>
      <c r="DS172" s="1357"/>
      <c r="DT172" s="1357"/>
      <c r="DU172" s="500"/>
      <c r="DV172" s="1357"/>
      <c r="DW172" s="1357"/>
      <c r="DX172" s="1357"/>
      <c r="DY172" s="500"/>
    </row>
    <row r="173" spans="1:129" s="1491" customFormat="1" ht="15" hidden="1" customHeight="1" outlineLevel="2">
      <c r="A173" s="151" t="s">
        <v>12</v>
      </c>
      <c r="B173" s="1064"/>
      <c r="C173" s="1064"/>
      <c r="D173" s="1070"/>
      <c r="E173" s="1070"/>
      <c r="F173" s="1070"/>
      <c r="G173" s="1070"/>
      <c r="H173" s="1070"/>
      <c r="I173" s="1070"/>
      <c r="J173" s="1070"/>
      <c r="K173" s="1070"/>
      <c r="L173" s="1070"/>
      <c r="M173" s="1070"/>
      <c r="N173" s="1070">
        <f>CC173</f>
        <v>34347</v>
      </c>
      <c r="O173" s="1070">
        <f>CG173</f>
        <v>0</v>
      </c>
      <c r="P173" s="1070"/>
      <c r="Q173" s="1070"/>
      <c r="R173" s="1070"/>
      <c r="S173" s="1070"/>
      <c r="T173" s="1070"/>
      <c r="U173" s="1070"/>
      <c r="V173" s="1070"/>
      <c r="W173" s="1070"/>
      <c r="X173" s="1070"/>
      <c r="Y173" s="1070"/>
      <c r="Z173" s="1070"/>
      <c r="AA173" s="1070"/>
      <c r="AB173" s="1070"/>
      <c r="AC173" s="1070"/>
      <c r="AD173" s="1070"/>
      <c r="AE173" s="1070"/>
      <c r="AF173" s="1070"/>
      <c r="AG173" s="1070"/>
      <c r="AH173" s="2201"/>
      <c r="AI173" s="1927"/>
      <c r="AJ173" s="1561"/>
      <c r="AK173" s="1334"/>
      <c r="AL173" s="1334"/>
      <c r="AM173" s="1319"/>
      <c r="AN173" s="1334"/>
      <c r="AO173" s="1334"/>
      <c r="AP173" s="1496"/>
      <c r="AQ173" s="1334"/>
      <c r="AR173" s="1334"/>
      <c r="AS173" s="1334"/>
      <c r="AT173" s="1496"/>
      <c r="AU173" s="1334"/>
      <c r="AV173" s="1334"/>
      <c r="AW173" s="1334"/>
      <c r="AX173" s="1496"/>
      <c r="AY173" s="1334"/>
      <c r="AZ173" s="1334"/>
      <c r="BA173" s="1334"/>
      <c r="BB173" s="1496"/>
      <c r="BC173" s="1334"/>
      <c r="BD173" s="1334"/>
      <c r="BE173" s="1334"/>
      <c r="BF173" s="1496"/>
      <c r="BG173" s="1334"/>
      <c r="BH173" s="1334"/>
      <c r="BI173" s="1334"/>
      <c r="BJ173" s="1496"/>
      <c r="BK173" s="1334"/>
      <c r="BL173" s="1334"/>
      <c r="BM173" s="1334"/>
      <c r="BN173" s="1496"/>
      <c r="BO173" s="1334"/>
      <c r="BP173" s="1334"/>
      <c r="BQ173" s="1334"/>
      <c r="BR173" s="1496"/>
      <c r="BS173" s="1334"/>
      <c r="BT173" s="1334"/>
      <c r="BU173" s="1334"/>
      <c r="BV173" s="1496"/>
      <c r="BW173" s="1334"/>
      <c r="BX173" s="1334"/>
      <c r="BY173" s="1334"/>
      <c r="BZ173" s="1233">
        <v>26148</v>
      </c>
      <c r="CA173" s="1374">
        <v>28921</v>
      </c>
      <c r="CB173" s="1374">
        <v>30946</v>
      </c>
      <c r="CC173" s="1374">
        <v>34347</v>
      </c>
      <c r="CD173" s="1233">
        <v>35963</v>
      </c>
      <c r="CE173" s="1374">
        <v>39512</v>
      </c>
      <c r="CF173" s="1374"/>
      <c r="CG173" s="1374"/>
      <c r="CH173" s="1233"/>
      <c r="CI173" s="1374"/>
      <c r="CJ173" s="1374"/>
      <c r="CK173" s="1319"/>
      <c r="CL173" s="569"/>
      <c r="CM173" s="1064"/>
      <c r="CN173" s="1064"/>
      <c r="CO173" s="1064"/>
      <c r="CP173" s="569"/>
      <c r="CQ173" s="1064"/>
      <c r="CR173" s="1064"/>
      <c r="CS173" s="1064"/>
      <c r="CT173" s="569"/>
      <c r="CU173" s="1064"/>
      <c r="CV173" s="1064"/>
      <c r="CW173" s="1064"/>
      <c r="CX173" s="569"/>
      <c r="CY173" s="1064"/>
      <c r="CZ173" s="1064"/>
      <c r="DA173" s="1064"/>
      <c r="DB173" s="569"/>
      <c r="DC173" s="1064"/>
      <c r="DD173" s="1064"/>
      <c r="DE173" s="1064"/>
      <c r="DF173" s="569"/>
      <c r="DG173" s="1064"/>
      <c r="DH173" s="1064"/>
      <c r="DI173" s="568"/>
      <c r="DJ173" s="569"/>
      <c r="DK173" s="1064"/>
      <c r="DL173" s="1064"/>
      <c r="DM173" s="568"/>
      <c r="DN173" s="1064"/>
      <c r="DO173" s="1064"/>
      <c r="DP173" s="1064"/>
      <c r="DQ173" s="568"/>
      <c r="DR173" s="569"/>
      <c r="DS173" s="1064"/>
      <c r="DT173" s="1064"/>
      <c r="DU173" s="568"/>
      <c r="DV173" s="1064"/>
      <c r="DW173" s="1064"/>
      <c r="DX173" s="1064"/>
      <c r="DY173" s="568"/>
    </row>
    <row r="174" spans="1:129" s="1491" customFormat="1" ht="15" hidden="1" customHeight="1" outlineLevel="2">
      <c r="A174" s="1449" t="s">
        <v>1453</v>
      </c>
      <c r="B174" s="1064"/>
      <c r="C174" s="1064"/>
      <c r="D174" s="1070"/>
      <c r="E174" s="1070"/>
      <c r="F174" s="1070"/>
      <c r="G174" s="1064"/>
      <c r="H174" s="1064"/>
      <c r="I174" s="1064"/>
      <c r="J174" s="1064"/>
      <c r="K174" s="1064"/>
      <c r="L174" s="1064"/>
      <c r="M174" s="1064"/>
      <c r="N174" s="1064"/>
      <c r="O174" s="1064">
        <f>O173/N173-1</f>
        <v>-1</v>
      </c>
      <c r="P174" s="1064"/>
      <c r="Q174" s="1043"/>
      <c r="R174" s="1043"/>
      <c r="S174" s="1043"/>
      <c r="T174" s="1043"/>
      <c r="U174" s="1043"/>
      <c r="V174" s="1043"/>
      <c r="W174" s="1043"/>
      <c r="X174" s="1043"/>
      <c r="Y174" s="1043"/>
      <c r="Z174" s="1043"/>
      <c r="AA174" s="1043"/>
      <c r="AB174" s="1043"/>
      <c r="AC174" s="1043"/>
      <c r="AD174" s="1043"/>
      <c r="AE174" s="1043"/>
      <c r="AF174" s="1043"/>
      <c r="AG174" s="1043"/>
      <c r="AH174" s="2201"/>
      <c r="AI174" s="1927"/>
      <c r="AJ174" s="1561"/>
      <c r="AK174" s="1334"/>
      <c r="AL174" s="1334"/>
      <c r="AM174" s="1319"/>
      <c r="AN174" s="1334"/>
      <c r="AO174" s="1319"/>
      <c r="AP174" s="1496"/>
      <c r="AQ174" s="1334"/>
      <c r="AR174" s="1334"/>
      <c r="AS174" s="1334"/>
      <c r="AT174" s="1496"/>
      <c r="AU174" s="1334"/>
      <c r="AV174" s="1334"/>
      <c r="AW174" s="1334"/>
      <c r="AX174" s="1496"/>
      <c r="AY174" s="1334"/>
      <c r="AZ174" s="1334"/>
      <c r="BA174" s="1334"/>
      <c r="BB174" s="794"/>
      <c r="BC174" s="1319"/>
      <c r="BD174" s="1319"/>
      <c r="BE174" s="1319"/>
      <c r="BF174" s="794"/>
      <c r="BG174" s="1319"/>
      <c r="BH174" s="1319"/>
      <c r="BI174" s="1319"/>
      <c r="BJ174" s="794"/>
      <c r="BK174" s="1319"/>
      <c r="BL174" s="1319"/>
      <c r="BM174" s="1319"/>
      <c r="BN174" s="794"/>
      <c r="BO174" s="1319"/>
      <c r="BP174" s="1319"/>
      <c r="BQ174" s="1319"/>
      <c r="BR174" s="794"/>
      <c r="BS174" s="1319"/>
      <c r="BT174" s="1319"/>
      <c r="BU174" s="1319"/>
      <c r="BV174" s="794"/>
      <c r="BW174" s="1319"/>
      <c r="BX174" s="1319"/>
      <c r="BY174" s="1319"/>
      <c r="BZ174" s="794"/>
      <c r="CA174" s="1319"/>
      <c r="CB174" s="1319"/>
      <c r="CC174" s="1319"/>
      <c r="CD174" s="794">
        <f>CD173/BZ173-1</f>
        <v>0.3753633165060426</v>
      </c>
      <c r="CE174" s="1319">
        <f>CE173/CA173-1</f>
        <v>0.36620448808824047</v>
      </c>
      <c r="CF174" s="1319"/>
      <c r="CG174" s="1319"/>
      <c r="CH174" s="794"/>
      <c r="CI174" s="1319"/>
      <c r="CJ174" s="1319"/>
      <c r="CK174" s="1269"/>
      <c r="CL174" s="496"/>
      <c r="CM174" s="1043"/>
      <c r="CN174" s="1043"/>
      <c r="CO174" s="1043"/>
      <c r="CP174" s="496"/>
      <c r="CQ174" s="1043"/>
      <c r="CR174" s="1043"/>
      <c r="CS174" s="1043"/>
      <c r="CT174" s="496"/>
      <c r="CU174" s="1043"/>
      <c r="CV174" s="1043"/>
      <c r="CW174" s="1043"/>
      <c r="CX174" s="496"/>
      <c r="CY174" s="1043"/>
      <c r="CZ174" s="1043"/>
      <c r="DA174" s="1043"/>
      <c r="DB174" s="496"/>
      <c r="DC174" s="1043"/>
      <c r="DD174" s="1043"/>
      <c r="DE174" s="1043"/>
      <c r="DF174" s="496"/>
      <c r="DG174" s="1043"/>
      <c r="DH174" s="1043"/>
      <c r="DI174" s="497"/>
      <c r="DJ174" s="496"/>
      <c r="DK174" s="1043"/>
      <c r="DL174" s="1043"/>
      <c r="DM174" s="497"/>
      <c r="DN174" s="1043"/>
      <c r="DO174" s="1043"/>
      <c r="DP174" s="1043"/>
      <c r="DQ174" s="497"/>
      <c r="DR174" s="496"/>
      <c r="DS174" s="1043"/>
      <c r="DT174" s="1043"/>
      <c r="DU174" s="497"/>
      <c r="DV174" s="1043"/>
      <c r="DW174" s="1043"/>
      <c r="DX174" s="1043"/>
      <c r="DY174" s="497"/>
    </row>
    <row r="175" spans="1:129" s="1491" customFormat="1" ht="15" hidden="1" customHeight="1" outlineLevel="2">
      <c r="A175" s="1064"/>
      <c r="B175" s="1064"/>
      <c r="C175" s="1064"/>
      <c r="D175" s="1064"/>
      <c r="E175" s="1064"/>
      <c r="F175" s="1064"/>
      <c r="G175" s="1064"/>
      <c r="H175" s="1064"/>
      <c r="I175" s="1064"/>
      <c r="J175" s="1064"/>
      <c r="K175" s="1064"/>
      <c r="L175" s="1064"/>
      <c r="M175" s="1064"/>
      <c r="N175" s="1064"/>
      <c r="O175" s="1064"/>
      <c r="P175" s="1064"/>
      <c r="Q175" s="1064"/>
      <c r="R175" s="1064"/>
      <c r="S175" s="1064"/>
      <c r="T175" s="1064"/>
      <c r="U175" s="1064"/>
      <c r="V175" s="1064"/>
      <c r="W175" s="1064"/>
      <c r="X175" s="1064"/>
      <c r="Y175" s="1064"/>
      <c r="Z175" s="1064"/>
      <c r="AA175" s="1064"/>
      <c r="AB175" s="1064"/>
      <c r="AC175" s="1064"/>
      <c r="AD175" s="1064"/>
      <c r="AE175" s="1064"/>
      <c r="AF175" s="1064"/>
      <c r="AG175" s="1064"/>
      <c r="AH175" s="2201"/>
      <c r="AI175" s="1903"/>
      <c r="AJ175" s="1561"/>
      <c r="AK175" s="1064"/>
      <c r="AL175" s="1064"/>
      <c r="AM175" s="1064"/>
      <c r="AN175" s="1064"/>
      <c r="AO175" s="1064"/>
      <c r="AP175" s="1064"/>
      <c r="AQ175" s="1064"/>
      <c r="AR175" s="1064"/>
      <c r="AS175" s="1064"/>
      <c r="AT175" s="1064"/>
      <c r="AU175" s="1064"/>
      <c r="AV175" s="1064"/>
      <c r="AW175" s="1064"/>
      <c r="AX175" s="1064"/>
      <c r="AY175" s="1064"/>
      <c r="AZ175" s="1064"/>
      <c r="BA175" s="1064"/>
      <c r="BB175" s="1064"/>
      <c r="BC175" s="1064"/>
      <c r="BD175" s="1064"/>
      <c r="BE175" s="1064"/>
      <c r="BF175" s="1064"/>
      <c r="BG175" s="1064"/>
      <c r="BH175" s="1064"/>
      <c r="BI175" s="1064"/>
      <c r="BJ175" s="1064"/>
      <c r="BK175" s="1064"/>
      <c r="BL175" s="1064"/>
      <c r="BM175" s="1064"/>
      <c r="BN175" s="1064"/>
      <c r="BO175" s="1064"/>
      <c r="BP175" s="1064"/>
      <c r="BQ175" s="1064"/>
      <c r="BR175" s="1064"/>
      <c r="BS175" s="1064"/>
      <c r="BT175" s="1064"/>
      <c r="BU175" s="1064"/>
      <c r="BV175" s="1064"/>
      <c r="BW175" s="1064"/>
      <c r="BX175" s="1064"/>
      <c r="BY175" s="1064"/>
      <c r="BZ175" s="1064"/>
      <c r="CA175" s="1064"/>
      <c r="CB175" s="1064"/>
      <c r="CC175" s="1064"/>
      <c r="CD175" s="1064"/>
      <c r="CE175" s="1064"/>
      <c r="CF175" s="1064"/>
      <c r="CG175" s="1064"/>
      <c r="CH175" s="1064"/>
      <c r="CI175" s="1064"/>
      <c r="CJ175" s="1064"/>
      <c r="CK175" s="1064"/>
      <c r="CL175" s="1064"/>
      <c r="CM175" s="1064"/>
      <c r="CN175" s="1064"/>
      <c r="CO175" s="1064"/>
      <c r="CP175" s="1064"/>
      <c r="CQ175" s="1064"/>
      <c r="CR175" s="1064"/>
      <c r="CS175" s="1064"/>
      <c r="CT175" s="1064"/>
      <c r="CU175" s="1064"/>
      <c r="CV175" s="1064"/>
      <c r="CW175" s="1064"/>
      <c r="CX175" s="1064"/>
      <c r="CY175" s="1064"/>
      <c r="CZ175" s="1064"/>
      <c r="DA175" s="1064"/>
      <c r="DB175" s="1064"/>
      <c r="DC175" s="1064"/>
      <c r="DD175" s="1064"/>
      <c r="DE175" s="1064"/>
      <c r="DF175" s="1064"/>
      <c r="DG175" s="1064"/>
      <c r="DH175" s="1064"/>
      <c r="DI175" s="1064"/>
      <c r="DJ175" s="1064"/>
      <c r="DK175" s="1064"/>
      <c r="DL175" s="1064"/>
      <c r="DM175" s="568"/>
      <c r="DN175" s="1064"/>
      <c r="DO175" s="1064"/>
      <c r="DP175" s="1064"/>
      <c r="DQ175" s="568"/>
      <c r="DR175" s="569"/>
      <c r="DS175" s="1064"/>
      <c r="DT175" s="1064"/>
      <c r="DU175" s="568"/>
      <c r="DV175" s="1064"/>
      <c r="DW175" s="1064"/>
      <c r="DX175" s="1064"/>
      <c r="DY175" s="1064"/>
    </row>
    <row r="176" spans="1:129" s="1491" customFormat="1" ht="15" hidden="1" customHeight="1" outlineLevel="2">
      <c r="A176" s="1461" t="s">
        <v>19</v>
      </c>
      <c r="B176" s="1319"/>
      <c r="C176" s="1319"/>
      <c r="D176" s="1334"/>
      <c r="E176" s="1334"/>
      <c r="F176" s="1334"/>
      <c r="G176" s="1509"/>
      <c r="H176" s="1334"/>
      <c r="I176" s="1334"/>
      <c r="J176" s="1334"/>
      <c r="K176" s="1334"/>
      <c r="L176" s="1334"/>
      <c r="M176" s="1334"/>
      <c r="N176" s="1334">
        <f>+N198+N229</f>
        <v>2240</v>
      </c>
      <c r="O176" s="1334">
        <f>+O198+O229</f>
        <v>1972</v>
      </c>
      <c r="P176" s="1070">
        <f>+CK176</f>
        <v>10690</v>
      </c>
      <c r="Q176" s="1070">
        <f>+CO176</f>
        <v>11050</v>
      </c>
      <c r="R176" s="1492">
        <f>+CS176</f>
        <v>14711</v>
      </c>
      <c r="S176" s="1492">
        <f>+CW176</f>
        <v>15498</v>
      </c>
      <c r="T176" s="1492">
        <f>+DA176</f>
        <v>16316</v>
      </c>
      <c r="U176" s="1492">
        <f>+DE176</f>
        <v>18719</v>
      </c>
      <c r="V176" s="1492">
        <f>+DI176</f>
        <v>20875</v>
      </c>
      <c r="W176" s="1492">
        <f>+DM176</f>
        <v>20486</v>
      </c>
      <c r="X176" s="1492">
        <f>+DQ176</f>
        <v>21859</v>
      </c>
      <c r="Y176" s="1492">
        <f>+DU176</f>
        <v>23353</v>
      </c>
      <c r="Z176" s="1492">
        <f>+DV176</f>
        <v>24305</v>
      </c>
      <c r="AA176" s="1492">
        <f ca="1">+Z176+AA177+AA178</f>
        <v>24004.370615475655</v>
      </c>
      <c r="AB176" s="1492">
        <f ca="1">+AA176+AB177+AB178</f>
        <v>23737.774746180483</v>
      </c>
      <c r="AC176" s="1492">
        <f t="shared" ref="AC176:AG176" ca="1" si="870">+AB176+AC177+AC178</f>
        <v>23501.359541333819</v>
      </c>
      <c r="AD176" s="1492">
        <f t="shared" ca="1" si="870"/>
        <v>23291.708321941496</v>
      </c>
      <c r="AE176" s="1492">
        <f t="shared" ca="1" si="870"/>
        <v>23105.791202857738</v>
      </c>
      <c r="AF176" s="1492">
        <f t="shared" ca="1" si="870"/>
        <v>22940.92130480233</v>
      </c>
      <c r="AG176" s="1492">
        <f t="shared" ca="1" si="870"/>
        <v>22794.715923507913</v>
      </c>
      <c r="AH176" s="2201"/>
      <c r="AI176" s="1927"/>
      <c r="AJ176" s="1561"/>
      <c r="AK176" s="1070"/>
      <c r="AL176" s="1070"/>
      <c r="AM176" s="1064"/>
      <c r="AN176" s="1070"/>
      <c r="AO176" s="1070"/>
      <c r="AP176" s="607"/>
      <c r="AQ176" s="1070"/>
      <c r="AR176" s="1070"/>
      <c r="AS176" s="1070"/>
      <c r="AT176" s="607"/>
      <c r="AU176" s="1070"/>
      <c r="AV176" s="1070"/>
      <c r="AW176" s="1070"/>
      <c r="AX176" s="607"/>
      <c r="AY176" s="1070"/>
      <c r="AZ176" s="1070"/>
      <c r="BA176" s="1070"/>
      <c r="BB176" s="607"/>
      <c r="BC176" s="1070"/>
      <c r="BD176" s="1070"/>
      <c r="BE176" s="1070"/>
      <c r="BF176" s="607"/>
      <c r="BG176" s="1070"/>
      <c r="BH176" s="1070"/>
      <c r="BI176" s="1070"/>
      <c r="BJ176" s="607"/>
      <c r="BK176" s="1070"/>
      <c r="BL176" s="1070"/>
      <c r="BM176" s="1070"/>
      <c r="BN176" s="496"/>
      <c r="BO176" s="1064"/>
      <c r="BP176" s="1064"/>
      <c r="BQ176" s="1043"/>
      <c r="BR176" s="496"/>
      <c r="BS176" s="1043"/>
      <c r="BT176" s="1064"/>
      <c r="BU176" s="1043"/>
      <c r="BV176" s="496"/>
      <c r="BW176" s="1064"/>
      <c r="BX176" s="1064"/>
      <c r="BY176" s="1064"/>
      <c r="BZ176" s="607">
        <f t="shared" ref="BZ176:CG176" si="871">+BZ198+BZ229</f>
        <v>2360</v>
      </c>
      <c r="CA176" s="1070">
        <f t="shared" si="871"/>
        <v>2254</v>
      </c>
      <c r="CB176" s="1070">
        <f t="shared" si="871"/>
        <v>2185</v>
      </c>
      <c r="CC176" s="1070">
        <f t="shared" si="871"/>
        <v>2240</v>
      </c>
      <c r="CD176" s="607">
        <f t="shared" si="871"/>
        <v>2258</v>
      </c>
      <c r="CE176" s="1070">
        <f t="shared" si="871"/>
        <v>1974</v>
      </c>
      <c r="CF176" s="1070">
        <f t="shared" si="871"/>
        <v>1859</v>
      </c>
      <c r="CG176" s="1070">
        <f t="shared" si="871"/>
        <v>1972</v>
      </c>
      <c r="CH176" s="607">
        <f>+CH103-CH117</f>
        <v>2388</v>
      </c>
      <c r="CI176" s="1070">
        <f>+CI103-CI117</f>
        <v>2384</v>
      </c>
      <c r="CJ176" s="1070">
        <f>+CJ103-CJ117</f>
        <v>2375</v>
      </c>
      <c r="CK176" s="1516">
        <f>+CK103-CK117+2089</f>
        <v>10690</v>
      </c>
      <c r="CL176" s="607">
        <f t="shared" ref="CL176:DJ176" si="872">+CL103-CL117+CL123</f>
        <v>10210</v>
      </c>
      <c r="CM176" s="1070">
        <f t="shared" si="872"/>
        <v>9948</v>
      </c>
      <c r="CN176" s="1070">
        <f t="shared" si="872"/>
        <v>10093</v>
      </c>
      <c r="CO176" s="1070">
        <f t="shared" si="872"/>
        <v>11050</v>
      </c>
      <c r="CP176" s="607">
        <f t="shared" si="872"/>
        <v>12304</v>
      </c>
      <c r="CQ176" s="1070">
        <f t="shared" si="872"/>
        <v>13560</v>
      </c>
      <c r="CR176" s="1070">
        <f t="shared" si="872"/>
        <v>14361</v>
      </c>
      <c r="CS176" s="1070">
        <f t="shared" si="872"/>
        <v>14711</v>
      </c>
      <c r="CT176" s="607">
        <f t="shared" si="872"/>
        <v>15608</v>
      </c>
      <c r="CU176" s="1070">
        <f t="shared" si="872"/>
        <v>16495</v>
      </c>
      <c r="CV176" s="1070">
        <f t="shared" si="872"/>
        <v>16857</v>
      </c>
      <c r="CW176" s="1070">
        <f t="shared" si="872"/>
        <v>15498</v>
      </c>
      <c r="CX176" s="607">
        <f t="shared" si="872"/>
        <v>15879</v>
      </c>
      <c r="CY176" s="1070">
        <f t="shared" si="872"/>
        <v>16141</v>
      </c>
      <c r="CZ176" s="1070">
        <f t="shared" si="872"/>
        <v>16282</v>
      </c>
      <c r="DA176" s="1070">
        <f t="shared" si="872"/>
        <v>16316</v>
      </c>
      <c r="DB176" s="607">
        <f t="shared" si="872"/>
        <v>17336</v>
      </c>
      <c r="DC176" s="1070">
        <f t="shared" si="872"/>
        <v>17680</v>
      </c>
      <c r="DD176" s="1070">
        <f t="shared" si="872"/>
        <v>18215</v>
      </c>
      <c r="DE176" s="1070">
        <f t="shared" si="872"/>
        <v>18719</v>
      </c>
      <c r="DF176" s="607">
        <f t="shared" si="872"/>
        <v>19237</v>
      </c>
      <c r="DG176" s="1070">
        <f t="shared" si="872"/>
        <v>19857</v>
      </c>
      <c r="DH176" s="1070">
        <f t="shared" si="872"/>
        <v>20363</v>
      </c>
      <c r="DI176" s="608">
        <f t="shared" si="872"/>
        <v>20875</v>
      </c>
      <c r="DJ176" s="607">
        <f t="shared" si="872"/>
        <v>21381</v>
      </c>
      <c r="DK176" s="1070">
        <f t="shared" ref="DK176:DP176" si="873">+DK103-DK117+DK123</f>
        <v>21292</v>
      </c>
      <c r="DL176" s="1070">
        <f t="shared" si="873"/>
        <v>20957</v>
      </c>
      <c r="DM176" s="608">
        <f t="shared" si="873"/>
        <v>20486</v>
      </c>
      <c r="DN176" s="1070">
        <f t="shared" si="873"/>
        <v>20898</v>
      </c>
      <c r="DO176" s="1070">
        <f t="shared" si="873"/>
        <v>21194</v>
      </c>
      <c r="DP176" s="1070">
        <f t="shared" si="873"/>
        <v>21549</v>
      </c>
      <c r="DQ176" s="608">
        <f t="shared" ref="DQ176" si="874">+DQ103-DQ117+DQ123</f>
        <v>21859</v>
      </c>
      <c r="DR176" s="607">
        <f t="shared" ref="DR176" si="875">+DR103-DR117+DR123</f>
        <v>23066</v>
      </c>
      <c r="DS176" s="1070">
        <f t="shared" ref="DS176:DT176" si="876">+DS103-DS117+DS123</f>
        <v>23320</v>
      </c>
      <c r="DT176" s="1070">
        <f t="shared" si="876"/>
        <v>23459</v>
      </c>
      <c r="DU176" s="608">
        <f t="shared" ref="DU176" si="877">+DU103-DU117+DU123</f>
        <v>23353</v>
      </c>
      <c r="DV176" s="1070">
        <f t="shared" ref="DV176" si="878">+DV103-DV117+DV123</f>
        <v>24305</v>
      </c>
      <c r="DW176" s="1070">
        <f t="shared" ref="DW176" ca="1" si="879">+DV176+DW177</f>
        <v>24433.813342978079</v>
      </c>
      <c r="DX176" s="1070">
        <f t="shared" ref="DX176" ca="1" si="880">+DW176+DX177</f>
        <v>24451.755552659746</v>
      </c>
      <c r="DY176" s="608">
        <f t="shared" ref="DY176" ca="1" si="881">+DX176+DY177</f>
        <v>24224.368188066535</v>
      </c>
    </row>
    <row r="177" spans="1:129" s="1491" customFormat="1" ht="15" hidden="1" customHeight="1" outlineLevel="2">
      <c r="A177" s="1460" t="s">
        <v>20</v>
      </c>
      <c r="B177" s="1319"/>
      <c r="C177" s="1319"/>
      <c r="D177" s="1334"/>
      <c r="E177" s="1334"/>
      <c r="F177" s="1334"/>
      <c r="G177" s="1509"/>
      <c r="H177" s="1334"/>
      <c r="I177" s="1334"/>
      <c r="J177" s="1334"/>
      <c r="K177" s="1334"/>
      <c r="L177" s="1334"/>
      <c r="M177" s="1334"/>
      <c r="N177" s="1399"/>
      <c r="O177" s="1399">
        <f>+O176-N176</f>
        <v>-268</v>
      </c>
      <c r="P177" s="1382">
        <f>+P176-O176</f>
        <v>8718</v>
      </c>
      <c r="Q177" s="1070">
        <f>+SUM(CL177:CO177)</f>
        <v>566</v>
      </c>
      <c r="R177" s="1070">
        <f>+SUM(CP177:CS177)</f>
        <v>3540</v>
      </c>
      <c r="S177" s="1070">
        <f>+SUM(CT177:CW177)</f>
        <v>795</v>
      </c>
      <c r="T177" s="1070">
        <f>+SUM(CX177:DA177)</f>
        <v>964</v>
      </c>
      <c r="U177" s="1070">
        <f>+SUM(DB177:DE177)</f>
        <v>2500</v>
      </c>
      <c r="V177" s="1070">
        <f>+SUM(DF177:DI177)</f>
        <v>2000</v>
      </c>
      <c r="W177" s="1070">
        <f>+SUM(DJ177:DM177)</f>
        <v>-448</v>
      </c>
      <c r="X177" s="1070">
        <f>+SUM(DN177:DQ177)</f>
        <v>1353</v>
      </c>
      <c r="Y177" s="1070">
        <f>+SUM(DR177:DU177)</f>
        <v>1467</v>
      </c>
      <c r="Z177" s="1070">
        <f>+SUM(DS177:DV177)</f>
        <v>1218</v>
      </c>
      <c r="AA177" s="1070">
        <f ca="1">+AA140-AA160</f>
        <v>-300.629384524344</v>
      </c>
      <c r="AB177" s="1070">
        <f ca="1">+AB140-AB160</f>
        <v>-266.59586929517263</v>
      </c>
      <c r="AC177" s="1070">
        <f t="shared" ref="AC177:AG177" ca="1" si="882">+AC140-AC160</f>
        <v>-236.41520484666307</v>
      </c>
      <c r="AD177" s="1070">
        <f t="shared" ca="1" si="882"/>
        <v>-209.65121939232358</v>
      </c>
      <c r="AE177" s="1070">
        <f t="shared" ca="1" si="882"/>
        <v>-185.91711908375873</v>
      </c>
      <c r="AF177" s="1070">
        <f t="shared" ca="1" si="882"/>
        <v>-164.86989805540861</v>
      </c>
      <c r="AG177" s="1070">
        <f t="shared" ca="1" si="882"/>
        <v>-146.20538129441911</v>
      </c>
      <c r="AH177" s="2201"/>
      <c r="AI177" s="1927"/>
      <c r="AJ177" s="1561"/>
      <c r="AK177" s="1070"/>
      <c r="AL177" s="1070"/>
      <c r="AM177" s="1064"/>
      <c r="AN177" s="1070"/>
      <c r="AO177" s="1070"/>
      <c r="AP177" s="607"/>
      <c r="AQ177" s="1070"/>
      <c r="AR177" s="1070"/>
      <c r="AS177" s="1070"/>
      <c r="AT177" s="607"/>
      <c r="AU177" s="1070"/>
      <c r="AV177" s="1070"/>
      <c r="AW177" s="1070"/>
      <c r="AX177" s="607"/>
      <c r="AY177" s="1070"/>
      <c r="AZ177" s="1070"/>
      <c r="BA177" s="1070"/>
      <c r="BB177" s="607"/>
      <c r="BC177" s="1070"/>
      <c r="BD177" s="1070"/>
      <c r="BE177" s="1070"/>
      <c r="BF177" s="607"/>
      <c r="BG177" s="1070"/>
      <c r="BH177" s="1070"/>
      <c r="BI177" s="1070"/>
      <c r="BJ177" s="607"/>
      <c r="BK177" s="1070"/>
      <c r="BL177" s="1070"/>
      <c r="BM177" s="1070"/>
      <c r="BN177" s="496"/>
      <c r="BO177" s="1064"/>
      <c r="BP177" s="1064"/>
      <c r="BQ177" s="1043"/>
      <c r="BR177" s="496"/>
      <c r="BS177" s="1043"/>
      <c r="BT177" s="1064"/>
      <c r="BU177" s="1043"/>
      <c r="BV177" s="496"/>
      <c r="BW177" s="1064"/>
      <c r="BX177" s="1064"/>
      <c r="BY177" s="1064"/>
      <c r="BZ177" s="505"/>
      <c r="CA177" s="1382"/>
      <c r="CB177" s="1382"/>
      <c r="CC177" s="1382"/>
      <c r="CD177" s="505"/>
      <c r="CE177" s="1382"/>
      <c r="CF177" s="1382"/>
      <c r="CG177" s="1382"/>
      <c r="CH177" s="607"/>
      <c r="CI177" s="1070">
        <f>+CI176-CH176</f>
        <v>-4</v>
      </c>
      <c r="CJ177" s="1070">
        <f>+CJ176-CI176</f>
        <v>-9</v>
      </c>
      <c r="CK177" s="1070">
        <f>+CK176-CJ176</f>
        <v>8315</v>
      </c>
      <c r="CL177" s="607">
        <f t="shared" ref="CL177:DJ177" si="883">+CL122</f>
        <v>-249</v>
      </c>
      <c r="CM177" s="1070">
        <f t="shared" si="883"/>
        <v>-255</v>
      </c>
      <c r="CN177" s="1070">
        <f t="shared" si="883"/>
        <v>112</v>
      </c>
      <c r="CO177" s="1070">
        <f t="shared" si="883"/>
        <v>958</v>
      </c>
      <c r="CP177" s="607">
        <f t="shared" si="883"/>
        <v>1240</v>
      </c>
      <c r="CQ177" s="1070">
        <f t="shared" si="883"/>
        <v>1161</v>
      </c>
      <c r="CR177" s="1070">
        <f t="shared" si="883"/>
        <v>801</v>
      </c>
      <c r="CS177" s="1070">
        <f t="shared" si="883"/>
        <v>338</v>
      </c>
      <c r="CT177" s="607">
        <f t="shared" si="883"/>
        <v>897</v>
      </c>
      <c r="CU177" s="1070">
        <f t="shared" si="883"/>
        <v>890</v>
      </c>
      <c r="CV177" s="1070">
        <f t="shared" si="883"/>
        <v>367</v>
      </c>
      <c r="CW177" s="1070">
        <f t="shared" si="883"/>
        <v>-1359</v>
      </c>
      <c r="CX177" s="607">
        <f t="shared" si="883"/>
        <v>468</v>
      </c>
      <c r="CY177" s="1070">
        <f t="shared" si="883"/>
        <v>250</v>
      </c>
      <c r="CZ177" s="1070">
        <f t="shared" si="883"/>
        <v>123</v>
      </c>
      <c r="DA177" s="1070">
        <f t="shared" si="883"/>
        <v>123</v>
      </c>
      <c r="DB177" s="607">
        <f t="shared" si="883"/>
        <v>1000</v>
      </c>
      <c r="DC177" s="1070">
        <f t="shared" si="883"/>
        <v>500</v>
      </c>
      <c r="DD177" s="1070">
        <f t="shared" si="883"/>
        <v>500</v>
      </c>
      <c r="DE177" s="1070">
        <f t="shared" si="883"/>
        <v>500</v>
      </c>
      <c r="DF177" s="607">
        <f t="shared" si="883"/>
        <v>500</v>
      </c>
      <c r="DG177" s="1070">
        <f t="shared" si="883"/>
        <v>500</v>
      </c>
      <c r="DH177" s="1070">
        <f t="shared" si="883"/>
        <v>500</v>
      </c>
      <c r="DI177" s="608">
        <f t="shared" si="883"/>
        <v>500</v>
      </c>
      <c r="DJ177" s="607">
        <f t="shared" si="883"/>
        <v>500</v>
      </c>
      <c r="DK177" s="1070">
        <f t="shared" ref="DK177:DP177" si="884">+DK122</f>
        <v>-131</v>
      </c>
      <c r="DL177" s="1070">
        <f t="shared" si="884"/>
        <v>-332</v>
      </c>
      <c r="DM177" s="608">
        <f t="shared" si="884"/>
        <v>-485</v>
      </c>
      <c r="DN177" s="1070">
        <f t="shared" si="884"/>
        <v>414</v>
      </c>
      <c r="DO177" s="1070">
        <f t="shared" si="884"/>
        <v>292</v>
      </c>
      <c r="DP177" s="1070">
        <f t="shared" si="884"/>
        <v>352</v>
      </c>
      <c r="DQ177" s="608">
        <f t="shared" ref="DQ177" si="885">+DQ122</f>
        <v>295</v>
      </c>
      <c r="DR177" s="607">
        <f t="shared" ref="DR177" si="886">+DR122</f>
        <v>1201</v>
      </c>
      <c r="DS177" s="1070">
        <f t="shared" ref="DS177:DT177" si="887">+DS122</f>
        <v>244</v>
      </c>
      <c r="DT177" s="1070">
        <f t="shared" si="887"/>
        <v>135</v>
      </c>
      <c r="DU177" s="608">
        <f t="shared" ref="DU177" si="888">+DU122</f>
        <v>-113</v>
      </c>
      <c r="DV177" s="1070">
        <f t="shared" ref="DV177" si="889">+DV122</f>
        <v>952</v>
      </c>
      <c r="DW177" s="1070">
        <f t="shared" ref="DW177:DY177" ca="1" si="890">+DW140-DW160</f>
        <v>128.81334297807791</v>
      </c>
      <c r="DX177" s="1070">
        <f t="shared" ca="1" si="890"/>
        <v>17.942209681666554</v>
      </c>
      <c r="DY177" s="608">
        <f t="shared" ca="1" si="890"/>
        <v>-227.38736459321126</v>
      </c>
    </row>
    <row r="178" spans="1:129" s="1491" customFormat="1" ht="15" hidden="1" customHeight="1" outlineLevel="2">
      <c r="A178" s="1455" t="s">
        <v>21</v>
      </c>
      <c r="B178" s="1319"/>
      <c r="C178" s="1319"/>
      <c r="D178" s="1334"/>
      <c r="E178" s="1334"/>
      <c r="F178" s="1334"/>
      <c r="G178" s="1509"/>
      <c r="H178" s="1334"/>
      <c r="I178" s="1334"/>
      <c r="J178" s="1334"/>
      <c r="K178" s="1334"/>
      <c r="L178" s="1334"/>
      <c r="M178" s="1334"/>
      <c r="N178" s="1319"/>
      <c r="O178" s="1319"/>
      <c r="P178" s="1064"/>
      <c r="Q178" s="1064"/>
      <c r="R178" s="1064"/>
      <c r="S178" s="1358">
        <v>0</v>
      </c>
      <c r="T178" s="1358">
        <v>0</v>
      </c>
      <c r="U178" s="1358">
        <v>0</v>
      </c>
      <c r="V178" s="1358">
        <v>0</v>
      </c>
      <c r="W178" s="1358">
        <v>0</v>
      </c>
      <c r="X178" s="1358">
        <v>0</v>
      </c>
      <c r="Y178" s="1358">
        <v>0</v>
      </c>
      <c r="Z178" s="1358">
        <v>0</v>
      </c>
      <c r="AA178" s="1358">
        <v>0</v>
      </c>
      <c r="AB178" s="1358">
        <v>0</v>
      </c>
      <c r="AC178" s="1358">
        <v>0</v>
      </c>
      <c r="AD178" s="1358">
        <v>0</v>
      </c>
      <c r="AE178" s="1358">
        <v>0</v>
      </c>
      <c r="AF178" s="1358">
        <v>0</v>
      </c>
      <c r="AG178" s="1358">
        <v>0</v>
      </c>
      <c r="AH178" s="2201"/>
      <c r="AI178" s="1927"/>
      <c r="AJ178" s="1561"/>
      <c r="AK178" s="1070"/>
      <c r="AL178" s="1070"/>
      <c r="AM178" s="1064"/>
      <c r="AN178" s="1070"/>
      <c r="AO178" s="1070"/>
      <c r="AP178" s="607"/>
      <c r="AQ178" s="1070"/>
      <c r="AR178" s="1070"/>
      <c r="AS178" s="1070"/>
      <c r="AT178" s="607"/>
      <c r="AU178" s="1070"/>
      <c r="AV178" s="1070"/>
      <c r="AW178" s="1070"/>
      <c r="AX178" s="607"/>
      <c r="AY178" s="1070"/>
      <c r="AZ178" s="1070"/>
      <c r="BA178" s="1070"/>
      <c r="BB178" s="607"/>
      <c r="BC178" s="1070"/>
      <c r="BD178" s="1070"/>
      <c r="BE178" s="1070"/>
      <c r="BF178" s="607"/>
      <c r="BG178" s="1070"/>
      <c r="BH178" s="1070"/>
      <c r="BI178" s="1070"/>
      <c r="BJ178" s="607"/>
      <c r="BK178" s="1070"/>
      <c r="BL178" s="1070"/>
      <c r="BM178" s="1070"/>
      <c r="BN178" s="496"/>
      <c r="BO178" s="1064"/>
      <c r="BP178" s="1064"/>
      <c r="BQ178" s="1043"/>
      <c r="BR178" s="496"/>
      <c r="BS178" s="1043"/>
      <c r="BT178" s="1064"/>
      <c r="BU178" s="1043"/>
      <c r="BV178" s="496"/>
      <c r="BW178" s="1064"/>
      <c r="BX178" s="1064"/>
      <c r="BY178" s="1064"/>
      <c r="BZ178" s="569"/>
      <c r="CA178" s="1064"/>
      <c r="CB178" s="1064"/>
      <c r="CC178" s="1064"/>
      <c r="CD178" s="569"/>
      <c r="CE178" s="1064"/>
      <c r="CF178" s="1064"/>
      <c r="CG178" s="1064"/>
      <c r="CH178" s="569"/>
      <c r="CI178" s="1064"/>
      <c r="CJ178" s="1064"/>
      <c r="CK178" s="1064"/>
      <c r="CL178" s="1452">
        <f t="shared" ref="CL178:DV178" si="891">+CL176-CK176-CL177</f>
        <v>-231</v>
      </c>
      <c r="CM178" s="1302">
        <f t="shared" si="891"/>
        <v>-7</v>
      </c>
      <c r="CN178" s="1302">
        <f t="shared" si="891"/>
        <v>33</v>
      </c>
      <c r="CO178" s="1302">
        <f t="shared" si="891"/>
        <v>-1</v>
      </c>
      <c r="CP178" s="1452">
        <f t="shared" si="891"/>
        <v>14</v>
      </c>
      <c r="CQ178" s="1302">
        <f t="shared" si="891"/>
        <v>95</v>
      </c>
      <c r="CR178" s="1302">
        <f t="shared" si="891"/>
        <v>0</v>
      </c>
      <c r="CS178" s="1302">
        <f t="shared" si="891"/>
        <v>12</v>
      </c>
      <c r="CT178" s="1452">
        <f t="shared" si="891"/>
        <v>0</v>
      </c>
      <c r="CU178" s="1302">
        <f t="shared" si="891"/>
        <v>-3</v>
      </c>
      <c r="CV178" s="1302">
        <f t="shared" si="891"/>
        <v>-5</v>
      </c>
      <c r="CW178" s="1302">
        <f t="shared" si="891"/>
        <v>0</v>
      </c>
      <c r="CX178" s="1452">
        <f t="shared" si="891"/>
        <v>-87</v>
      </c>
      <c r="CY178" s="1302">
        <f t="shared" si="891"/>
        <v>12</v>
      </c>
      <c r="CZ178" s="1302">
        <f t="shared" si="891"/>
        <v>18</v>
      </c>
      <c r="DA178" s="1302">
        <f t="shared" si="891"/>
        <v>-89</v>
      </c>
      <c r="DB178" s="1452">
        <f t="shared" si="891"/>
        <v>20</v>
      </c>
      <c r="DC178" s="1302">
        <f t="shared" si="891"/>
        <v>-156</v>
      </c>
      <c r="DD178" s="1302">
        <f t="shared" si="891"/>
        <v>35</v>
      </c>
      <c r="DE178" s="1302">
        <f t="shared" si="891"/>
        <v>4</v>
      </c>
      <c r="DF178" s="1452">
        <f t="shared" si="891"/>
        <v>18</v>
      </c>
      <c r="DG178" s="1302">
        <f t="shared" si="891"/>
        <v>120</v>
      </c>
      <c r="DH178" s="1302">
        <f t="shared" si="891"/>
        <v>6</v>
      </c>
      <c r="DI178" s="1482">
        <f t="shared" si="891"/>
        <v>12</v>
      </c>
      <c r="DJ178" s="1452">
        <f t="shared" si="891"/>
        <v>6</v>
      </c>
      <c r="DK178" s="1302">
        <f t="shared" si="891"/>
        <v>42</v>
      </c>
      <c r="DL178" s="1302">
        <f t="shared" si="891"/>
        <v>-3</v>
      </c>
      <c r="DM178" s="1482">
        <f t="shared" si="891"/>
        <v>14</v>
      </c>
      <c r="DN178" s="1302">
        <f t="shared" si="891"/>
        <v>-2</v>
      </c>
      <c r="DO178" s="1302">
        <f t="shared" si="891"/>
        <v>4</v>
      </c>
      <c r="DP178" s="1302">
        <f t="shared" si="891"/>
        <v>3</v>
      </c>
      <c r="DQ178" s="1482">
        <f t="shared" si="891"/>
        <v>15</v>
      </c>
      <c r="DR178" s="1452">
        <f t="shared" si="891"/>
        <v>6</v>
      </c>
      <c r="DS178" s="1302">
        <f t="shared" si="891"/>
        <v>10</v>
      </c>
      <c r="DT178" s="1302">
        <f t="shared" si="891"/>
        <v>4</v>
      </c>
      <c r="DU178" s="1482">
        <f t="shared" si="891"/>
        <v>7</v>
      </c>
      <c r="DV178" s="1302">
        <f t="shared" si="891"/>
        <v>0</v>
      </c>
      <c r="DW178" s="1302">
        <v>0</v>
      </c>
      <c r="DX178" s="1302">
        <v>0</v>
      </c>
      <c r="DY178" s="1482">
        <v>0</v>
      </c>
    </row>
    <row r="179" spans="1:129" s="1491" customFormat="1" ht="15" hidden="1" customHeight="1" outlineLevel="2">
      <c r="A179" s="1400" t="s">
        <v>22</v>
      </c>
      <c r="B179" s="1064"/>
      <c r="C179" s="1064"/>
      <c r="D179" s="1064"/>
      <c r="E179" s="1064"/>
      <c r="F179" s="1064"/>
      <c r="G179" s="1064"/>
      <c r="H179" s="1064"/>
      <c r="I179" s="1064"/>
      <c r="J179" s="1064"/>
      <c r="K179" s="1064"/>
      <c r="L179" s="1064"/>
      <c r="M179" s="1064"/>
      <c r="N179" s="1064"/>
      <c r="O179" s="1064"/>
      <c r="P179" s="1064"/>
      <c r="Q179" s="508">
        <f>+Q176</f>
        <v>11050</v>
      </c>
      <c r="R179" s="508">
        <f t="shared" ref="R179:V179" si="892">R176</f>
        <v>14711</v>
      </c>
      <c r="S179" s="508">
        <f t="shared" si="892"/>
        <v>15498</v>
      </c>
      <c r="T179" s="508">
        <f t="shared" si="892"/>
        <v>16316</v>
      </c>
      <c r="U179" s="508">
        <f t="shared" si="892"/>
        <v>18719</v>
      </c>
      <c r="V179" s="508">
        <f t="shared" si="892"/>
        <v>20875</v>
      </c>
      <c r="W179" s="508">
        <f t="shared" ref="W179:AB179" si="893">W176</f>
        <v>20486</v>
      </c>
      <c r="X179" s="508">
        <f t="shared" si="893"/>
        <v>21859</v>
      </c>
      <c r="Y179" s="508">
        <f t="shared" si="893"/>
        <v>23353</v>
      </c>
      <c r="Z179" s="508">
        <f t="shared" si="893"/>
        <v>24305</v>
      </c>
      <c r="AA179" s="508">
        <f t="shared" ca="1" si="893"/>
        <v>24004.370615475655</v>
      </c>
      <c r="AB179" s="508">
        <f t="shared" ca="1" si="893"/>
        <v>23737.774746180483</v>
      </c>
      <c r="AC179" s="508">
        <f t="shared" ref="AC179:AG179" ca="1" si="894">AC176</f>
        <v>23501.359541333819</v>
      </c>
      <c r="AD179" s="508">
        <f t="shared" ca="1" si="894"/>
        <v>23291.708321941496</v>
      </c>
      <c r="AE179" s="508">
        <f t="shared" ca="1" si="894"/>
        <v>23105.791202857738</v>
      </c>
      <c r="AF179" s="508">
        <f t="shared" ca="1" si="894"/>
        <v>22940.92130480233</v>
      </c>
      <c r="AG179" s="508">
        <f t="shared" ca="1" si="894"/>
        <v>22794.715923507913</v>
      </c>
      <c r="AH179" s="2201"/>
      <c r="AI179" s="1927"/>
      <c r="AJ179" s="1561"/>
      <c r="AK179" s="1064"/>
      <c r="AL179" s="1064"/>
      <c r="AM179" s="1064"/>
      <c r="AN179" s="1064"/>
      <c r="AO179" s="1064"/>
      <c r="AP179" s="569"/>
      <c r="AQ179" s="1064"/>
      <c r="AR179" s="1064"/>
      <c r="AS179" s="1064"/>
      <c r="AT179" s="569"/>
      <c r="AU179" s="1064"/>
      <c r="AV179" s="1064"/>
      <c r="AW179" s="1064"/>
      <c r="AX179" s="569"/>
      <c r="AY179" s="1064"/>
      <c r="AZ179" s="1064"/>
      <c r="BA179" s="1064"/>
      <c r="BB179" s="569"/>
      <c r="BC179" s="1064"/>
      <c r="BD179" s="1064"/>
      <c r="BE179" s="1064"/>
      <c r="BF179" s="569"/>
      <c r="BG179" s="1064"/>
      <c r="BH179" s="1064"/>
      <c r="BI179" s="1064"/>
      <c r="BJ179" s="569"/>
      <c r="BK179" s="1064"/>
      <c r="BL179" s="1064"/>
      <c r="BM179" s="1064"/>
      <c r="BN179" s="569"/>
      <c r="BO179" s="1064"/>
      <c r="BP179" s="1064"/>
      <c r="BQ179" s="1064"/>
      <c r="BR179" s="569"/>
      <c r="BS179" s="1064"/>
      <c r="BT179" s="1064"/>
      <c r="BU179" s="1064"/>
      <c r="BV179" s="569"/>
      <c r="BW179" s="1064"/>
      <c r="BX179" s="1064"/>
      <c r="BY179" s="1064"/>
      <c r="BZ179" s="569"/>
      <c r="CA179" s="1064"/>
      <c r="CB179" s="1064"/>
      <c r="CC179" s="1064"/>
      <c r="CD179" s="569"/>
      <c r="CE179" s="1064"/>
      <c r="CF179" s="1064"/>
      <c r="CG179" s="1064"/>
      <c r="CH179" s="506">
        <f t="shared" ref="CH179:DE179" si="895">CH176</f>
        <v>2388</v>
      </c>
      <c r="CI179" s="508">
        <f t="shared" si="895"/>
        <v>2384</v>
      </c>
      <c r="CJ179" s="508">
        <f t="shared" si="895"/>
        <v>2375</v>
      </c>
      <c r="CK179" s="508">
        <f t="shared" si="895"/>
        <v>10690</v>
      </c>
      <c r="CL179" s="506">
        <f t="shared" si="895"/>
        <v>10210</v>
      </c>
      <c r="CM179" s="508">
        <f t="shared" si="895"/>
        <v>9948</v>
      </c>
      <c r="CN179" s="508">
        <f t="shared" si="895"/>
        <v>10093</v>
      </c>
      <c r="CO179" s="508">
        <f t="shared" si="895"/>
        <v>11050</v>
      </c>
      <c r="CP179" s="506">
        <f t="shared" si="895"/>
        <v>12304</v>
      </c>
      <c r="CQ179" s="508">
        <f t="shared" si="895"/>
        <v>13560</v>
      </c>
      <c r="CR179" s="508">
        <f t="shared" si="895"/>
        <v>14361</v>
      </c>
      <c r="CS179" s="508">
        <f t="shared" si="895"/>
        <v>14711</v>
      </c>
      <c r="CT179" s="506">
        <f t="shared" si="895"/>
        <v>15608</v>
      </c>
      <c r="CU179" s="508">
        <f t="shared" si="895"/>
        <v>16495</v>
      </c>
      <c r="CV179" s="508">
        <f t="shared" si="895"/>
        <v>16857</v>
      </c>
      <c r="CW179" s="508">
        <f t="shared" si="895"/>
        <v>15498</v>
      </c>
      <c r="CX179" s="506">
        <f t="shared" si="895"/>
        <v>15879</v>
      </c>
      <c r="CY179" s="508">
        <f t="shared" si="895"/>
        <v>16141</v>
      </c>
      <c r="CZ179" s="508">
        <f t="shared" si="895"/>
        <v>16282</v>
      </c>
      <c r="DA179" s="508">
        <f t="shared" si="895"/>
        <v>16316</v>
      </c>
      <c r="DB179" s="506">
        <f t="shared" si="895"/>
        <v>17336</v>
      </c>
      <c r="DC179" s="508">
        <f t="shared" si="895"/>
        <v>17680</v>
      </c>
      <c r="DD179" s="508">
        <f t="shared" si="895"/>
        <v>18215</v>
      </c>
      <c r="DE179" s="508">
        <f t="shared" si="895"/>
        <v>18719</v>
      </c>
      <c r="DF179" s="506">
        <f>DF176</f>
        <v>19237</v>
      </c>
      <c r="DG179" s="508">
        <f>DG176</f>
        <v>19857</v>
      </c>
      <c r="DH179" s="508">
        <f>DH176</f>
        <v>20363</v>
      </c>
      <c r="DI179" s="507">
        <f>DI176</f>
        <v>20875</v>
      </c>
      <c r="DJ179" s="506">
        <f t="shared" ref="DJ179:DM179" si="896">DJ176</f>
        <v>21381</v>
      </c>
      <c r="DK179" s="508">
        <f t="shared" si="896"/>
        <v>21292</v>
      </c>
      <c r="DL179" s="508">
        <f t="shared" si="896"/>
        <v>20957</v>
      </c>
      <c r="DM179" s="507">
        <f t="shared" si="896"/>
        <v>20486</v>
      </c>
      <c r="DN179" s="508">
        <f t="shared" ref="DN179:DO179" si="897">DN176</f>
        <v>20898</v>
      </c>
      <c r="DO179" s="508">
        <f t="shared" si="897"/>
        <v>21194</v>
      </c>
      <c r="DP179" s="508">
        <f t="shared" ref="DP179:DQ179" si="898">DP176</f>
        <v>21549</v>
      </c>
      <c r="DQ179" s="507">
        <f t="shared" si="898"/>
        <v>21859</v>
      </c>
      <c r="DR179" s="506">
        <f t="shared" ref="DR179" si="899">DR176</f>
        <v>23066</v>
      </c>
      <c r="DS179" s="508">
        <f t="shared" ref="DS179:DT179" si="900">DS176</f>
        <v>23320</v>
      </c>
      <c r="DT179" s="508">
        <f t="shared" si="900"/>
        <v>23459</v>
      </c>
      <c r="DU179" s="507">
        <f t="shared" ref="DU179" si="901">DU176</f>
        <v>23353</v>
      </c>
      <c r="DV179" s="508">
        <f t="shared" ref="DV179" si="902">DV176</f>
        <v>24305</v>
      </c>
      <c r="DW179" s="508">
        <f t="shared" ref="DW179:DY179" ca="1" si="903">DW176</f>
        <v>24433.813342978079</v>
      </c>
      <c r="DX179" s="508">
        <f t="shared" ca="1" si="903"/>
        <v>24451.755552659746</v>
      </c>
      <c r="DY179" s="507">
        <f t="shared" ca="1" si="903"/>
        <v>24224.368188066535</v>
      </c>
    </row>
    <row r="180" spans="1:129" s="1491" customFormat="1" ht="15" hidden="1" customHeight="1" outlineLevel="2">
      <c r="A180" s="1400" t="s">
        <v>23</v>
      </c>
      <c r="B180" s="1064"/>
      <c r="C180" s="1064"/>
      <c r="D180" s="1064"/>
      <c r="E180" s="1064"/>
      <c r="F180" s="1064"/>
      <c r="G180" s="1064"/>
      <c r="H180" s="1064"/>
      <c r="I180" s="1064"/>
      <c r="J180" s="1064"/>
      <c r="K180" s="1064"/>
      <c r="L180" s="1064"/>
      <c r="M180" s="1064"/>
      <c r="N180" s="1064"/>
      <c r="O180" s="1064"/>
      <c r="P180" s="1064"/>
      <c r="Q180" s="508">
        <f t="shared" ref="Q180:AA180" si="904">Q286</f>
        <v>4950</v>
      </c>
      <c r="R180" s="508">
        <f t="shared" si="904"/>
        <v>4410</v>
      </c>
      <c r="S180" s="508">
        <f t="shared" si="904"/>
        <v>4785</v>
      </c>
      <c r="T180" s="508">
        <f t="shared" si="904"/>
        <v>5700</v>
      </c>
      <c r="U180" s="508">
        <f t="shared" si="904"/>
        <v>6047</v>
      </c>
      <c r="V180" s="508">
        <f t="shared" si="904"/>
        <v>6132</v>
      </c>
      <c r="W180" s="508">
        <f t="shared" si="904"/>
        <v>5580</v>
      </c>
      <c r="X180" s="508">
        <f>X286</f>
        <v>5447</v>
      </c>
      <c r="Y180" s="508">
        <f>Y286</f>
        <v>5403</v>
      </c>
      <c r="Z180" s="508">
        <f ca="1">Z286</f>
        <v>4627.5923579691835</v>
      </c>
      <c r="AA180" s="508">
        <f t="shared" ca="1" si="904"/>
        <v>4218.8923425792455</v>
      </c>
      <c r="AB180" s="508">
        <f t="shared" ref="AB180:AG180" ca="1" si="905">AB286</f>
        <v>3984.7429853775589</v>
      </c>
      <c r="AC180" s="508">
        <f t="shared" ca="1" si="905"/>
        <v>3834.0956180591074</v>
      </c>
      <c r="AD180" s="508">
        <f t="shared" ca="1" si="905"/>
        <v>3723.8007820884422</v>
      </c>
      <c r="AE180" s="508">
        <f t="shared" ca="1" si="905"/>
        <v>3633.4010356072667</v>
      </c>
      <c r="AF180" s="508">
        <f t="shared" ca="1" si="905"/>
        <v>3553.1893329830159</v>
      </c>
      <c r="AG180" s="508">
        <f t="shared" ca="1" si="905"/>
        <v>3478.5518149305726</v>
      </c>
      <c r="AH180" s="2201"/>
      <c r="AI180" s="1927"/>
      <c r="AJ180" s="1561"/>
      <c r="AK180" s="1064"/>
      <c r="AL180" s="1064"/>
      <c r="AM180" s="1064"/>
      <c r="AN180" s="1064"/>
      <c r="AO180" s="1064"/>
      <c r="AP180" s="569"/>
      <c r="AQ180" s="1064"/>
      <c r="AR180" s="1064"/>
      <c r="AS180" s="1064"/>
      <c r="AT180" s="569"/>
      <c r="AU180" s="1064"/>
      <c r="AV180" s="1064"/>
      <c r="AW180" s="1064"/>
      <c r="AX180" s="569"/>
      <c r="AY180" s="1064"/>
      <c r="AZ180" s="1064"/>
      <c r="BA180" s="1064"/>
      <c r="BB180" s="569"/>
      <c r="BC180" s="1064"/>
      <c r="BD180" s="1064"/>
      <c r="BE180" s="1064"/>
      <c r="BF180" s="569"/>
      <c r="BG180" s="1064"/>
      <c r="BH180" s="1064"/>
      <c r="BI180" s="1064"/>
      <c r="BJ180" s="569"/>
      <c r="BK180" s="1064"/>
      <c r="BL180" s="1064"/>
      <c r="BM180" s="1064"/>
      <c r="BN180" s="569"/>
      <c r="BO180" s="1064"/>
      <c r="BP180" s="1064"/>
      <c r="BQ180" s="1064"/>
      <c r="BR180" s="569"/>
      <c r="BS180" s="1064"/>
      <c r="BT180" s="1064"/>
      <c r="BU180" s="1064"/>
      <c r="BV180" s="569"/>
      <c r="BW180" s="1064"/>
      <c r="BX180" s="1064"/>
      <c r="BY180" s="1064"/>
      <c r="BZ180" s="569"/>
      <c r="CA180" s="1064"/>
      <c r="CB180" s="1064"/>
      <c r="CC180" s="1064"/>
      <c r="CD180" s="569"/>
      <c r="CE180" s="1064"/>
      <c r="CF180" s="1064"/>
      <c r="CG180" s="1064"/>
      <c r="CH180" s="506"/>
      <c r="CI180" s="508"/>
      <c r="CJ180" s="508"/>
      <c r="CK180" s="508"/>
      <c r="CL180" s="506">
        <f t="shared" ref="CL180:DJ180" si="906">CL286</f>
        <v>4826</v>
      </c>
      <c r="CM180" s="508">
        <f t="shared" si="906"/>
        <v>4877</v>
      </c>
      <c r="CN180" s="508">
        <f t="shared" si="906"/>
        <v>4897</v>
      </c>
      <c r="CO180" s="508">
        <f t="shared" si="906"/>
        <v>4950</v>
      </c>
      <c r="CP180" s="506">
        <f t="shared" si="906"/>
        <v>4803</v>
      </c>
      <c r="CQ180" s="508">
        <f t="shared" si="906"/>
        <v>4603</v>
      </c>
      <c r="CR180" s="508">
        <f t="shared" si="906"/>
        <v>4477</v>
      </c>
      <c r="CS180" s="508">
        <f t="shared" si="906"/>
        <v>4410</v>
      </c>
      <c r="CT180" s="506">
        <f t="shared" si="906"/>
        <v>4383</v>
      </c>
      <c r="CU180" s="508">
        <f t="shared" si="906"/>
        <v>4445</v>
      </c>
      <c r="CV180" s="508">
        <f t="shared" si="906"/>
        <v>4533</v>
      </c>
      <c r="CW180" s="508">
        <f t="shared" si="906"/>
        <v>4785</v>
      </c>
      <c r="CX180" s="506">
        <f t="shared" si="906"/>
        <v>5025</v>
      </c>
      <c r="CY180" s="508">
        <f t="shared" si="906"/>
        <v>5316</v>
      </c>
      <c r="CZ180" s="508">
        <f t="shared" si="906"/>
        <v>5545</v>
      </c>
      <c r="DA180" s="508">
        <f t="shared" si="906"/>
        <v>5700</v>
      </c>
      <c r="DB180" s="506">
        <f t="shared" si="906"/>
        <v>5744</v>
      </c>
      <c r="DC180" s="508">
        <f t="shared" si="906"/>
        <v>5853</v>
      </c>
      <c r="DD180" s="508">
        <f t="shared" si="906"/>
        <v>5965</v>
      </c>
      <c r="DE180" s="508">
        <f t="shared" si="906"/>
        <v>6047</v>
      </c>
      <c r="DF180" s="506">
        <f t="shared" si="906"/>
        <v>6057</v>
      </c>
      <c r="DG180" s="508">
        <f t="shared" si="906"/>
        <v>6044</v>
      </c>
      <c r="DH180" s="508">
        <f t="shared" si="906"/>
        <v>6053</v>
      </c>
      <c r="DI180" s="507">
        <f t="shared" si="906"/>
        <v>6132</v>
      </c>
      <c r="DJ180" s="506">
        <f t="shared" si="906"/>
        <v>5945</v>
      </c>
      <c r="DK180" s="508">
        <f t="shared" ref="DK180:DM180" si="907">DK286</f>
        <v>5817</v>
      </c>
      <c r="DL180" s="508">
        <f t="shared" si="907"/>
        <v>5737</v>
      </c>
      <c r="DM180" s="507">
        <f t="shared" si="907"/>
        <v>5580</v>
      </c>
      <c r="DN180" s="508">
        <f t="shared" ref="DN180:DO180" si="908">DN286</f>
        <v>5402</v>
      </c>
      <c r="DO180" s="508">
        <f t="shared" si="908"/>
        <v>5374</v>
      </c>
      <c r="DP180" s="508">
        <f t="shared" ref="DP180:DQ180" si="909">DP286</f>
        <v>5456</v>
      </c>
      <c r="DQ180" s="507">
        <f t="shared" si="909"/>
        <v>5447</v>
      </c>
      <c r="DR180" s="506">
        <f t="shared" ref="DR180" si="910">DR286</f>
        <v>5430</v>
      </c>
      <c r="DS180" s="508">
        <f t="shared" ref="DS180:DT180" si="911">DS286</f>
        <v>5448</v>
      </c>
      <c r="DT180" s="508">
        <f t="shared" si="911"/>
        <v>5588</v>
      </c>
      <c r="DU180" s="507">
        <f t="shared" ref="DU180" si="912">DU286</f>
        <v>5403</v>
      </c>
      <c r="DV180" s="508">
        <f t="shared" ref="DV180" si="913">DV286</f>
        <v>5068</v>
      </c>
      <c r="DW180" s="508">
        <f t="shared" ref="DW180:DY180" ca="1" si="914">DW286</f>
        <v>4865.8082234052035</v>
      </c>
      <c r="DX180" s="508">
        <f t="shared" ca="1" si="914"/>
        <v>4843.5098260155264</v>
      </c>
      <c r="DY180" s="507">
        <f t="shared" ca="1" si="914"/>
        <v>4627.5923579691835</v>
      </c>
    </row>
    <row r="181" spans="1:129" s="1491" customFormat="1" ht="15" hidden="1" customHeight="1" outlineLevel="2">
      <c r="A181" s="1400" t="s">
        <v>68</v>
      </c>
      <c r="B181" s="1064"/>
      <c r="C181" s="1064"/>
      <c r="D181" s="1064"/>
      <c r="E181" s="1064"/>
      <c r="F181" s="1064"/>
      <c r="G181" s="1064"/>
      <c r="H181" s="1064"/>
      <c r="I181" s="1064"/>
      <c r="J181" s="1064"/>
      <c r="K181" s="1064"/>
      <c r="L181" s="1064"/>
      <c r="M181" s="1064"/>
      <c r="N181" s="1064"/>
      <c r="O181" s="1064"/>
      <c r="P181" s="1064"/>
      <c r="Q181" s="508">
        <f t="shared" ref="Q181:AA181" si="915">+Q254</f>
        <v>80495</v>
      </c>
      <c r="R181" s="508">
        <f t="shared" si="915"/>
        <v>83125</v>
      </c>
      <c r="S181" s="508">
        <f t="shared" si="915"/>
        <v>87382</v>
      </c>
      <c r="T181" s="508">
        <f t="shared" si="915"/>
        <v>92530</v>
      </c>
      <c r="U181" s="508">
        <f t="shared" si="915"/>
        <v>96752</v>
      </c>
      <c r="V181" s="508">
        <f t="shared" si="915"/>
        <v>102079</v>
      </c>
      <c r="W181" s="508">
        <f t="shared" si="915"/>
        <v>106528</v>
      </c>
      <c r="X181" s="508">
        <f>+X254</f>
        <v>108796</v>
      </c>
      <c r="Y181" s="508">
        <f>+Y254</f>
        <v>110854</v>
      </c>
      <c r="Z181" s="508">
        <f ca="1">+Z254</f>
        <v>113126.22653553708</v>
      </c>
      <c r="AA181" s="508">
        <f t="shared" ca="1" si="915"/>
        <v>115110.67715628677</v>
      </c>
      <c r="AB181" s="508">
        <f t="shared" ref="AB181:AG181" ca="1" si="916">+AB254</f>
        <v>116853.76675333879</v>
      </c>
      <c r="AC181" s="508">
        <f t="shared" ca="1" si="916"/>
        <v>118395.107725493</v>
      </c>
      <c r="AD181" s="508">
        <f t="shared" ca="1" si="916"/>
        <v>119768.60456485851</v>
      </c>
      <c r="AE181" s="508">
        <f t="shared" ca="1" si="916"/>
        <v>121003.36675566669</v>
      </c>
      <c r="AF181" s="508">
        <f t="shared" ca="1" si="916"/>
        <v>122124.47165302072</v>
      </c>
      <c r="AG181" s="508">
        <f t="shared" ca="1" si="916"/>
        <v>123153.60330095454</v>
      </c>
      <c r="AH181" s="2201"/>
      <c r="AI181" s="1927"/>
      <c r="AJ181" s="1561"/>
      <c r="AK181" s="1064"/>
      <c r="AL181" s="1064"/>
      <c r="AM181" s="1064"/>
      <c r="AN181" s="1064"/>
      <c r="AO181" s="1064"/>
      <c r="AP181" s="569"/>
      <c r="AQ181" s="1064"/>
      <c r="AR181" s="1064"/>
      <c r="AS181" s="1064"/>
      <c r="AT181" s="569"/>
      <c r="AU181" s="1064"/>
      <c r="AV181" s="1064"/>
      <c r="AW181" s="1064"/>
      <c r="AX181" s="569"/>
      <c r="AY181" s="1064"/>
      <c r="AZ181" s="1064"/>
      <c r="BA181" s="1064"/>
      <c r="BB181" s="569"/>
      <c r="BC181" s="1064"/>
      <c r="BD181" s="1064"/>
      <c r="BE181" s="1064"/>
      <c r="BF181" s="569"/>
      <c r="BG181" s="1064"/>
      <c r="BH181" s="1064"/>
      <c r="BI181" s="1064"/>
      <c r="BJ181" s="569"/>
      <c r="BK181" s="1064"/>
      <c r="BL181" s="1064"/>
      <c r="BM181" s="1064"/>
      <c r="BN181" s="569"/>
      <c r="BO181" s="1064"/>
      <c r="BP181" s="1064"/>
      <c r="BQ181" s="1064"/>
      <c r="BR181" s="569"/>
      <c r="BS181" s="1064"/>
      <c r="BT181" s="1064"/>
      <c r="BU181" s="1064"/>
      <c r="BV181" s="569"/>
      <c r="BW181" s="1064"/>
      <c r="BX181" s="1064"/>
      <c r="BY181" s="1064"/>
      <c r="BZ181" s="569"/>
      <c r="CA181" s="1064"/>
      <c r="CB181" s="1064"/>
      <c r="CC181" s="1064"/>
      <c r="CD181" s="569"/>
      <c r="CE181" s="1064"/>
      <c r="CF181" s="1064"/>
      <c r="CG181" s="1064"/>
      <c r="CH181" s="506">
        <f>+CH254+CH286</f>
        <v>75193</v>
      </c>
      <c r="CI181" s="508">
        <f>+CI254+CI286</f>
        <v>77003</v>
      </c>
      <c r="CJ181" s="508">
        <f>+CJ254+CJ286</f>
        <v>79438</v>
      </c>
      <c r="CK181" s="508">
        <f>+CK254+CK286</f>
        <v>80943</v>
      </c>
      <c r="CL181" s="506">
        <f t="shared" ref="CL181:DJ181" si="917">+CL254</f>
        <v>77354</v>
      </c>
      <c r="CM181" s="508">
        <f t="shared" si="917"/>
        <v>78395</v>
      </c>
      <c r="CN181" s="508">
        <f t="shared" si="917"/>
        <v>79371</v>
      </c>
      <c r="CO181" s="508">
        <f t="shared" si="917"/>
        <v>80495</v>
      </c>
      <c r="CP181" s="506">
        <f t="shared" si="917"/>
        <v>80912</v>
      </c>
      <c r="CQ181" s="508">
        <f t="shared" si="917"/>
        <v>81573</v>
      </c>
      <c r="CR181" s="508">
        <f t="shared" si="917"/>
        <v>82257</v>
      </c>
      <c r="CS181" s="508">
        <f t="shared" si="917"/>
        <v>83125</v>
      </c>
      <c r="CT181" s="506">
        <f t="shared" si="917"/>
        <v>84031</v>
      </c>
      <c r="CU181" s="508">
        <f t="shared" si="917"/>
        <v>85290</v>
      </c>
      <c r="CV181" s="508">
        <f t="shared" si="917"/>
        <v>86175</v>
      </c>
      <c r="CW181" s="508">
        <f t="shared" si="917"/>
        <v>87382</v>
      </c>
      <c r="CX181" s="506">
        <f t="shared" si="917"/>
        <v>87963</v>
      </c>
      <c r="CY181" s="508">
        <f t="shared" si="917"/>
        <v>88838</v>
      </c>
      <c r="CZ181" s="508">
        <f t="shared" si="917"/>
        <v>90354</v>
      </c>
      <c r="DA181" s="508">
        <f t="shared" si="917"/>
        <v>92530</v>
      </c>
      <c r="DB181" s="506">
        <f t="shared" si="917"/>
        <v>93186</v>
      </c>
      <c r="DC181" s="508">
        <f t="shared" si="917"/>
        <v>94271</v>
      </c>
      <c r="DD181" s="508">
        <f t="shared" si="917"/>
        <v>95185</v>
      </c>
      <c r="DE181" s="508">
        <f t="shared" si="917"/>
        <v>96752</v>
      </c>
      <c r="DF181" s="506">
        <f t="shared" si="917"/>
        <v>97273</v>
      </c>
      <c r="DG181" s="508">
        <f t="shared" si="917"/>
        <v>98593</v>
      </c>
      <c r="DH181" s="508">
        <f t="shared" si="917"/>
        <v>100103</v>
      </c>
      <c r="DI181" s="507">
        <f t="shared" si="917"/>
        <v>102079</v>
      </c>
      <c r="DJ181" s="506">
        <f t="shared" si="917"/>
        <v>102637</v>
      </c>
      <c r="DK181" s="508">
        <f t="shared" ref="DK181:DM181" si="918">+DK254</f>
        <v>103731</v>
      </c>
      <c r="DL181" s="508">
        <f t="shared" si="918"/>
        <v>105023</v>
      </c>
      <c r="DM181" s="507">
        <f t="shared" si="918"/>
        <v>106528</v>
      </c>
      <c r="DN181" s="508">
        <f t="shared" ref="DN181:DO181" si="919">+DN254</f>
        <v>107171</v>
      </c>
      <c r="DO181" s="508">
        <f t="shared" si="919"/>
        <v>107780</v>
      </c>
      <c r="DP181" s="508">
        <f t="shared" ref="DP181:DQ181" si="920">+DP254</f>
        <v>108220</v>
      </c>
      <c r="DQ181" s="507">
        <f t="shared" si="920"/>
        <v>108796</v>
      </c>
      <c r="DR181" s="506">
        <f t="shared" ref="DR181" si="921">+DR254</f>
        <v>108483</v>
      </c>
      <c r="DS181" s="508">
        <f t="shared" ref="DS181:DT181" si="922">+DS254</f>
        <v>109088</v>
      </c>
      <c r="DT181" s="508">
        <f t="shared" si="922"/>
        <v>109686</v>
      </c>
      <c r="DU181" s="507">
        <f t="shared" ref="DU181" si="923">+DU254</f>
        <v>110854</v>
      </c>
      <c r="DV181" s="508">
        <f t="shared" ref="DV181" si="924">+DV254</f>
        <v>111114</v>
      </c>
      <c r="DW181" s="508">
        <f t="shared" ref="DW181:DY181" ca="1" si="925">+DW254</f>
        <v>111582.10105315057</v>
      </c>
      <c r="DX181" s="508">
        <f t="shared" ca="1" si="925"/>
        <v>112066.84358738085</v>
      </c>
      <c r="DY181" s="507">
        <f t="shared" ca="1" si="925"/>
        <v>113126.22653553708</v>
      </c>
    </row>
    <row r="182" spans="1:129" s="1491" customFormat="1" ht="15" hidden="1" customHeight="1" outlineLevel="2">
      <c r="A182" s="151" t="s">
        <v>69</v>
      </c>
      <c r="B182" s="1068"/>
      <c r="C182" s="1068"/>
      <c r="D182" s="1113"/>
      <c r="E182" s="1113"/>
      <c r="F182" s="1113"/>
      <c r="G182" s="1113">
        <f>NormInputs!G297</f>
        <v>2796</v>
      </c>
      <c r="H182" s="1113">
        <f>H99-G99</f>
        <v>2983</v>
      </c>
      <c r="I182" s="1113">
        <f>SUM(BF182:BI182)</f>
        <v>2793</v>
      </c>
      <c r="J182" s="1113">
        <f>SUM(BJ182:BM182)</f>
        <v>2682</v>
      </c>
      <c r="K182" s="1113">
        <f>SUM(BN182:BQ182)</f>
        <v>5031</v>
      </c>
      <c r="L182" s="1113">
        <f>SUM(BR182:BU182)</f>
        <v>6294</v>
      </c>
      <c r="M182" s="1113">
        <f>SUM(BV182:BY182)</f>
        <v>7521</v>
      </c>
      <c r="N182" s="1113">
        <f>N143-N163</f>
        <v>7715.0000000000009</v>
      </c>
      <c r="O182" s="1113">
        <f>O143-O163</f>
        <v>6655</v>
      </c>
      <c r="P182" s="1113">
        <f>P143-P163</f>
        <v>5779</v>
      </c>
      <c r="Q182" s="1113">
        <f>Q143-Q163</f>
        <v>4935</v>
      </c>
      <c r="R182" s="1113"/>
      <c r="S182" s="1113"/>
      <c r="T182" s="1113"/>
      <c r="U182" s="1113"/>
      <c r="V182" s="1113"/>
      <c r="W182" s="1113"/>
      <c r="X182" s="1113"/>
      <c r="Y182" s="1113"/>
      <c r="Z182" s="1113"/>
      <c r="AA182" s="1113"/>
      <c r="AB182" s="1113"/>
      <c r="AC182" s="1113"/>
      <c r="AD182" s="1113"/>
      <c r="AE182" s="1113"/>
      <c r="AF182" s="1113"/>
      <c r="AG182" s="1113"/>
      <c r="AH182" s="2201"/>
      <c r="AI182" s="1927"/>
      <c r="AJ182" s="1561"/>
      <c r="AK182" s="1113"/>
      <c r="AL182" s="1113"/>
      <c r="AM182" s="1064"/>
      <c r="AN182" s="1113"/>
      <c r="AO182" s="1113"/>
      <c r="AP182" s="150"/>
      <c r="AQ182" s="1113"/>
      <c r="AR182" s="1113"/>
      <c r="AS182" s="1113"/>
      <c r="AT182" s="150"/>
      <c r="AU182" s="1113"/>
      <c r="AV182" s="1113"/>
      <c r="AW182" s="1113"/>
      <c r="AX182" s="150">
        <v>697</v>
      </c>
      <c r="AY182" s="1113">
        <v>656</v>
      </c>
      <c r="AZ182" s="1113">
        <v>581</v>
      </c>
      <c r="BA182" s="1113">
        <v>1070</v>
      </c>
      <c r="BB182" s="150">
        <v>843</v>
      </c>
      <c r="BC182" s="1113">
        <v>800</v>
      </c>
      <c r="BD182" s="1113">
        <f>NormInputs!AT297</f>
        <v>806</v>
      </c>
      <c r="BE182" s="1113">
        <f>NormInputs!AU297</f>
        <v>1222</v>
      </c>
      <c r="BF182" s="150">
        <f>NormInputs!AV297</f>
        <v>518</v>
      </c>
      <c r="BG182" s="1113">
        <f>NormInputs!AW297</f>
        <v>808</v>
      </c>
      <c r="BH182" s="1113">
        <f>NormInputs!AX297</f>
        <v>752</v>
      </c>
      <c r="BI182" s="1113">
        <f>NormInputs!AY297</f>
        <v>715</v>
      </c>
      <c r="BJ182" s="150">
        <f>NormInputs!AZ297</f>
        <v>186</v>
      </c>
      <c r="BK182" s="1113">
        <f>NormInputs!BA297</f>
        <v>723</v>
      </c>
      <c r="BL182" s="1113">
        <f>NormInputs!BB297-411</f>
        <v>803</v>
      </c>
      <c r="BM182" s="1113">
        <f>NormInputs!BC297</f>
        <v>970</v>
      </c>
      <c r="BN182" s="150">
        <f>NormInputs!BD297</f>
        <v>833</v>
      </c>
      <c r="BO182" s="1113">
        <f>NormInputs!BE297</f>
        <v>1295</v>
      </c>
      <c r="BP182" s="1113">
        <f>NormInputs!BF297</f>
        <v>1407</v>
      </c>
      <c r="BQ182" s="1113">
        <f>NormInputs!BG297</f>
        <v>1496</v>
      </c>
      <c r="BR182" s="150">
        <f>NormInputs!BH297</f>
        <v>1387</v>
      </c>
      <c r="BS182" s="1113">
        <f>NormInputs!BI297</f>
        <v>1535</v>
      </c>
      <c r="BT182" s="1113">
        <f>NormInputs!BJ297</f>
        <v>1674</v>
      </c>
      <c r="BU182" s="1113">
        <f>NormInputs!BK297</f>
        <v>1698</v>
      </c>
      <c r="BV182" s="150">
        <f>NormInputs!BL297</f>
        <v>1636</v>
      </c>
      <c r="BW182" s="1113">
        <f>NormInputs!BM297</f>
        <v>1921</v>
      </c>
      <c r="BX182" s="1113">
        <f>NormInputs!BN297</f>
        <v>1918</v>
      </c>
      <c r="BY182" s="1113">
        <f>NormInputs!BO297</f>
        <v>2046</v>
      </c>
      <c r="BZ182" s="150">
        <f>NormInputs!BP297</f>
        <v>1683</v>
      </c>
      <c r="CA182" s="1113">
        <f>NormInputs!BQ297</f>
        <v>1815</v>
      </c>
      <c r="CB182" s="1113">
        <f>NormInputs!BR297</f>
        <v>1912</v>
      </c>
      <c r="CC182" s="1113">
        <f>NormInputs!BS297</f>
        <v>2305</v>
      </c>
      <c r="CD182" s="150">
        <f>NormInputs!BT297</f>
        <v>1664</v>
      </c>
      <c r="CE182" s="1113">
        <f>NormInputs!BU297</f>
        <v>1338</v>
      </c>
      <c r="CF182" s="1113">
        <f>NormInputs!BV297</f>
        <v>1645</v>
      </c>
      <c r="CG182" s="1113">
        <f>NormInputs!BW297</f>
        <v>2008</v>
      </c>
      <c r="CH182" s="150">
        <f>NormInputs!BX297</f>
        <v>1471</v>
      </c>
      <c r="CI182" s="1113">
        <f>NormInputs!BY297-CI185</f>
        <v>1457</v>
      </c>
      <c r="CJ182" s="1113">
        <f>NormInputs!BZ297-CJ185</f>
        <v>1481</v>
      </c>
      <c r="CK182" s="1113">
        <f>NormInputs!CA297-CK185</f>
        <v>1370</v>
      </c>
      <c r="CL182" s="150">
        <f t="shared" ref="CL182:CQ182" si="926">+CL112</f>
        <v>955</v>
      </c>
      <c r="CM182" s="1113">
        <f t="shared" si="926"/>
        <v>837</v>
      </c>
      <c r="CN182" s="1113">
        <f t="shared" si="926"/>
        <v>1028</v>
      </c>
      <c r="CO182" s="1113">
        <f t="shared" si="926"/>
        <v>2115</v>
      </c>
      <c r="CP182" s="150">
        <f t="shared" si="926"/>
        <v>1506</v>
      </c>
      <c r="CQ182" s="1113">
        <f t="shared" si="926"/>
        <v>1622</v>
      </c>
      <c r="CR182" s="1113"/>
      <c r="CS182" s="1113"/>
      <c r="CT182" s="150"/>
      <c r="CU182" s="1113"/>
      <c r="CV182" s="1113"/>
      <c r="CW182" s="1113"/>
      <c r="CX182" s="150"/>
      <c r="CY182" s="1113"/>
      <c r="CZ182" s="1113"/>
      <c r="DA182" s="1113"/>
      <c r="DB182" s="150"/>
      <c r="DC182" s="1113"/>
      <c r="DD182" s="1113"/>
      <c r="DE182" s="1113"/>
      <c r="DF182" s="150"/>
      <c r="DG182" s="1113"/>
      <c r="DH182" s="1113"/>
      <c r="DI182" s="155"/>
      <c r="DJ182" s="150"/>
      <c r="DK182" s="1113"/>
      <c r="DL182" s="1113"/>
      <c r="DM182" s="155"/>
      <c r="DN182" s="1113"/>
      <c r="DO182" s="1113"/>
      <c r="DP182" s="1113"/>
      <c r="DQ182" s="155"/>
      <c r="DR182" s="150"/>
      <c r="DS182" s="1113"/>
      <c r="DT182" s="1113"/>
      <c r="DU182" s="155"/>
      <c r="DV182" s="1113"/>
      <c r="DW182" s="1113"/>
      <c r="DX182" s="1113"/>
      <c r="DY182" s="155"/>
    </row>
    <row r="183" spans="1:129" s="1491" customFormat="1" ht="15" hidden="1" customHeight="1" outlineLevel="2">
      <c r="A183" s="1449" t="s">
        <v>1453</v>
      </c>
      <c r="B183" s="1064"/>
      <c r="C183" s="1064"/>
      <c r="D183" s="1070"/>
      <c r="E183" s="1070"/>
      <c r="F183" s="1070"/>
      <c r="G183" s="1064"/>
      <c r="H183" s="1064">
        <f t="shared" ref="H183:Q183" si="927">H182/G182-1</f>
        <v>6.6881258941344779E-2</v>
      </c>
      <c r="I183" s="1064">
        <f t="shared" si="927"/>
        <v>-6.3694267515923553E-2</v>
      </c>
      <c r="J183" s="1064">
        <f t="shared" si="927"/>
        <v>-3.9742212674543476E-2</v>
      </c>
      <c r="K183" s="1064">
        <f t="shared" si="927"/>
        <v>0.87583892617449655</v>
      </c>
      <c r="L183" s="1064">
        <f t="shared" si="927"/>
        <v>0.25104353011329761</v>
      </c>
      <c r="M183" s="1064">
        <f t="shared" si="927"/>
        <v>0.19494756911344147</v>
      </c>
      <c r="N183" s="1064">
        <f t="shared" si="927"/>
        <v>2.5794442228427084E-2</v>
      </c>
      <c r="O183" s="1064">
        <f t="shared" si="927"/>
        <v>-0.13739468567725222</v>
      </c>
      <c r="P183" s="1064">
        <f t="shared" si="927"/>
        <v>-0.13163035311795646</v>
      </c>
      <c r="Q183" s="1064">
        <f t="shared" si="927"/>
        <v>-0.14604602872469286</v>
      </c>
      <c r="R183" s="1064"/>
      <c r="S183" s="1064"/>
      <c r="T183" s="1064"/>
      <c r="U183" s="1064"/>
      <c r="V183" s="1064"/>
      <c r="W183" s="1064"/>
      <c r="X183" s="1064"/>
      <c r="Y183" s="1064"/>
      <c r="Z183" s="1064"/>
      <c r="AA183" s="1064"/>
      <c r="AB183" s="1064"/>
      <c r="AC183" s="1064"/>
      <c r="AD183" s="1064"/>
      <c r="AE183" s="1064"/>
      <c r="AF183" s="1064"/>
      <c r="AG183" s="1064"/>
      <c r="AH183" s="2201"/>
      <c r="AI183" s="1927"/>
      <c r="AJ183" s="1561"/>
      <c r="AK183" s="1043" t="e">
        <f>#REF!</f>
        <v>#REF!</v>
      </c>
      <c r="AL183" s="1043" t="e">
        <f>AK183</f>
        <v>#REF!</v>
      </c>
      <c r="AM183" s="1064"/>
      <c r="AN183" s="1070"/>
      <c r="AO183" s="1064"/>
      <c r="AP183" s="607"/>
      <c r="AQ183" s="1070"/>
      <c r="AR183" s="1070"/>
      <c r="AS183" s="1070"/>
      <c r="AT183" s="607"/>
      <c r="AU183" s="1070"/>
      <c r="AV183" s="1070"/>
      <c r="AW183" s="1070"/>
      <c r="AX183" s="607"/>
      <c r="AY183" s="1070"/>
      <c r="AZ183" s="1070"/>
      <c r="BA183" s="1070"/>
      <c r="BB183" s="569">
        <f t="shared" ref="BB183:CQ183" si="928">BB182/AX182-1</f>
        <v>0.20946915351506457</v>
      </c>
      <c r="BC183" s="1064">
        <f t="shared" si="928"/>
        <v>0.21951219512195119</v>
      </c>
      <c r="BD183" s="1064">
        <f t="shared" si="928"/>
        <v>0.38726333907056798</v>
      </c>
      <c r="BE183" s="1064">
        <f t="shared" si="928"/>
        <v>0.14205607476635507</v>
      </c>
      <c r="BF183" s="569">
        <f t="shared" si="928"/>
        <v>-0.38552787663107946</v>
      </c>
      <c r="BG183" s="1064">
        <f t="shared" si="928"/>
        <v>1.0000000000000009E-2</v>
      </c>
      <c r="BH183" s="1064">
        <f t="shared" si="928"/>
        <v>-6.6997518610421802E-2</v>
      </c>
      <c r="BI183" s="1064">
        <f t="shared" si="928"/>
        <v>-0.41489361702127658</v>
      </c>
      <c r="BJ183" s="569">
        <f t="shared" si="928"/>
        <v>-0.64092664092664098</v>
      </c>
      <c r="BK183" s="1064">
        <f t="shared" si="928"/>
        <v>-0.10519801980198018</v>
      </c>
      <c r="BL183" s="1064">
        <f t="shared" si="928"/>
        <v>6.7819148936170137E-2</v>
      </c>
      <c r="BM183" s="1064">
        <f t="shared" si="928"/>
        <v>0.35664335664335667</v>
      </c>
      <c r="BN183" s="569">
        <f t="shared" si="928"/>
        <v>3.478494623655914</v>
      </c>
      <c r="BO183" s="1064">
        <f t="shared" si="928"/>
        <v>0.79114799446749662</v>
      </c>
      <c r="BP183" s="1064">
        <f t="shared" si="928"/>
        <v>0.75217932752179317</v>
      </c>
      <c r="BQ183" s="1064">
        <f t="shared" si="928"/>
        <v>0.54226804123711347</v>
      </c>
      <c r="BR183" s="569">
        <f t="shared" si="928"/>
        <v>0.66506602641056412</v>
      </c>
      <c r="BS183" s="1064">
        <f t="shared" si="928"/>
        <v>0.1853281853281854</v>
      </c>
      <c r="BT183" s="1064">
        <f t="shared" si="928"/>
        <v>0.18976545842217485</v>
      </c>
      <c r="BU183" s="1064">
        <f t="shared" si="928"/>
        <v>0.13502673796791442</v>
      </c>
      <c r="BV183" s="569">
        <f t="shared" si="928"/>
        <v>0.17952415284787304</v>
      </c>
      <c r="BW183" s="1064">
        <f t="shared" si="928"/>
        <v>0.25146579804560254</v>
      </c>
      <c r="BX183" s="1064">
        <f t="shared" si="928"/>
        <v>0.14575866188769404</v>
      </c>
      <c r="BY183" s="1064">
        <f t="shared" si="928"/>
        <v>0.204946996466431</v>
      </c>
      <c r="BZ183" s="569">
        <f t="shared" si="928"/>
        <v>2.8728606356968278E-2</v>
      </c>
      <c r="CA183" s="1064">
        <f t="shared" si="928"/>
        <v>-5.5179593961478424E-2</v>
      </c>
      <c r="CB183" s="1064">
        <f t="shared" si="928"/>
        <v>-3.1282586027111536E-3</v>
      </c>
      <c r="CC183" s="1064">
        <f t="shared" si="928"/>
        <v>0.12658846529814283</v>
      </c>
      <c r="CD183" s="569">
        <f t="shared" si="928"/>
        <v>-1.1289364230540722E-2</v>
      </c>
      <c r="CE183" s="1064">
        <f t="shared" si="928"/>
        <v>-0.26280991735537185</v>
      </c>
      <c r="CF183" s="1064">
        <f t="shared" si="928"/>
        <v>-0.1396443514644351</v>
      </c>
      <c r="CG183" s="1064">
        <f t="shared" si="928"/>
        <v>-0.1288503253796095</v>
      </c>
      <c r="CH183" s="569">
        <f t="shared" si="928"/>
        <v>-0.11598557692307687</v>
      </c>
      <c r="CI183" s="1064">
        <f t="shared" si="928"/>
        <v>8.8938714499252614E-2</v>
      </c>
      <c r="CJ183" s="1064">
        <f t="shared" si="928"/>
        <v>-9.9696048632218814E-2</v>
      </c>
      <c r="CK183" s="1064">
        <f t="shared" si="928"/>
        <v>-0.3177290836653387</v>
      </c>
      <c r="CL183" s="569">
        <f t="shared" si="928"/>
        <v>-0.35078178110129166</v>
      </c>
      <c r="CM183" s="1064">
        <f t="shared" si="928"/>
        <v>-0.42553191489361697</v>
      </c>
      <c r="CN183" s="1064">
        <f t="shared" si="928"/>
        <v>-0.30587440918298447</v>
      </c>
      <c r="CO183" s="1064">
        <f t="shared" si="928"/>
        <v>0.54379562043795615</v>
      </c>
      <c r="CP183" s="569">
        <f t="shared" si="928"/>
        <v>0.57696335078534022</v>
      </c>
      <c r="CQ183" s="1064">
        <f t="shared" si="928"/>
        <v>0.93787335722819587</v>
      </c>
      <c r="CR183" s="1064"/>
      <c r="CS183" s="1064"/>
      <c r="CT183" s="569"/>
      <c r="CU183" s="1064"/>
      <c r="CV183" s="1064"/>
      <c r="CW183" s="1064"/>
      <c r="CX183" s="569"/>
      <c r="CY183" s="1064"/>
      <c r="CZ183" s="1064"/>
      <c r="DA183" s="1064"/>
      <c r="DB183" s="569"/>
      <c r="DC183" s="1064"/>
      <c r="DD183" s="1064"/>
      <c r="DE183" s="1064"/>
      <c r="DF183" s="569"/>
      <c r="DG183" s="1064"/>
      <c r="DH183" s="1064"/>
      <c r="DI183" s="568"/>
      <c r="DJ183" s="569"/>
      <c r="DK183" s="1064"/>
      <c r="DL183" s="1064"/>
      <c r="DM183" s="568"/>
      <c r="DN183" s="1064"/>
      <c r="DO183" s="1064"/>
      <c r="DP183" s="1064"/>
      <c r="DQ183" s="568"/>
      <c r="DR183" s="569"/>
      <c r="DS183" s="1064"/>
      <c r="DT183" s="1064"/>
      <c r="DU183" s="568"/>
      <c r="DV183" s="1064"/>
      <c r="DW183" s="1064"/>
      <c r="DX183" s="1064"/>
      <c r="DY183" s="568"/>
    </row>
    <row r="184" spans="1:129" s="1491" customFormat="1" ht="15" hidden="1" customHeight="1" outlineLevel="2">
      <c r="A184" s="1449" t="s">
        <v>949</v>
      </c>
      <c r="B184" s="1064"/>
      <c r="C184" s="1064"/>
      <c r="D184" s="1070"/>
      <c r="E184" s="1070"/>
      <c r="F184" s="1070"/>
      <c r="G184" s="1229"/>
      <c r="H184" s="1070"/>
      <c r="I184" s="1070"/>
      <c r="J184" s="1070"/>
      <c r="K184" s="1070"/>
      <c r="L184" s="1070"/>
      <c r="M184" s="1070"/>
      <c r="N184" s="1070"/>
      <c r="O184" s="1070"/>
      <c r="P184" s="1070"/>
      <c r="Q184" s="1070"/>
      <c r="R184" s="1070"/>
      <c r="S184" s="1064"/>
      <c r="T184" s="1070"/>
      <c r="U184" s="1070"/>
      <c r="V184" s="1070"/>
      <c r="W184" s="1070"/>
      <c r="X184" s="1070"/>
      <c r="Y184" s="1070"/>
      <c r="Z184" s="1070"/>
      <c r="AA184" s="1070"/>
      <c r="AB184" s="1070"/>
      <c r="AC184" s="1070"/>
      <c r="AD184" s="1070"/>
      <c r="AE184" s="1070"/>
      <c r="AF184" s="1070"/>
      <c r="AG184" s="1070"/>
      <c r="AH184" s="2201"/>
      <c r="AI184" s="1927"/>
      <c r="AJ184" s="1561"/>
      <c r="AK184" s="1070"/>
      <c r="AL184" s="1070"/>
      <c r="AM184" s="1064"/>
      <c r="AN184" s="1070"/>
      <c r="AO184" s="1070"/>
      <c r="AP184" s="607"/>
      <c r="AQ184" s="1070"/>
      <c r="AR184" s="1070"/>
      <c r="AS184" s="1070"/>
      <c r="AT184" s="607"/>
      <c r="AU184" s="1070"/>
      <c r="AV184" s="1070"/>
      <c r="AW184" s="1070"/>
      <c r="AX184" s="607"/>
      <c r="AY184" s="1064">
        <f t="shared" ref="AY184:CQ184" si="929">AY182/AX182-1</f>
        <v>-5.8823529411764719E-2</v>
      </c>
      <c r="AZ184" s="1064">
        <f t="shared" si="929"/>
        <v>-0.11432926829268297</v>
      </c>
      <c r="BA184" s="1064">
        <f t="shared" si="929"/>
        <v>0.84165232358003439</v>
      </c>
      <c r="BB184" s="569">
        <f t="shared" si="929"/>
        <v>-0.21214953271028036</v>
      </c>
      <c r="BC184" s="1064">
        <f t="shared" si="929"/>
        <v>-5.100830367734277E-2</v>
      </c>
      <c r="BD184" s="1064">
        <f t="shared" si="929"/>
        <v>7.5000000000000622E-3</v>
      </c>
      <c r="BE184" s="1064">
        <f t="shared" si="929"/>
        <v>0.5161290322580645</v>
      </c>
      <c r="BF184" s="569">
        <f t="shared" si="929"/>
        <v>-0.5761047463175123</v>
      </c>
      <c r="BG184" s="1064">
        <f t="shared" si="929"/>
        <v>0.55984555984555984</v>
      </c>
      <c r="BH184" s="1064">
        <f t="shared" si="929"/>
        <v>-6.9306930693069257E-2</v>
      </c>
      <c r="BI184" s="1064">
        <f t="shared" si="929"/>
        <v>-4.9202127659574435E-2</v>
      </c>
      <c r="BJ184" s="569">
        <f t="shared" si="929"/>
        <v>-0.73986013986013988</v>
      </c>
      <c r="BK184" s="1064">
        <f t="shared" si="929"/>
        <v>2.8870967741935485</v>
      </c>
      <c r="BL184" s="1064">
        <f t="shared" si="929"/>
        <v>0.11065006915629327</v>
      </c>
      <c r="BM184" s="1064">
        <f t="shared" si="929"/>
        <v>0.20797011207970106</v>
      </c>
      <c r="BN184" s="569">
        <f t="shared" si="929"/>
        <v>-0.14123711340206191</v>
      </c>
      <c r="BO184" s="1064">
        <f t="shared" si="929"/>
        <v>0.55462184873949583</v>
      </c>
      <c r="BP184" s="1064">
        <f t="shared" si="929"/>
        <v>8.6486486486486491E-2</v>
      </c>
      <c r="BQ184" s="1064">
        <f t="shared" si="929"/>
        <v>6.325515280739169E-2</v>
      </c>
      <c r="BR184" s="569">
        <f t="shared" si="929"/>
        <v>-7.2860962566844933E-2</v>
      </c>
      <c r="BS184" s="1064">
        <f t="shared" si="929"/>
        <v>0.10670511896178803</v>
      </c>
      <c r="BT184" s="1064">
        <f t="shared" si="929"/>
        <v>9.0553745928338758E-2</v>
      </c>
      <c r="BU184" s="1064">
        <f t="shared" si="929"/>
        <v>1.4336917562723928E-2</v>
      </c>
      <c r="BV184" s="569">
        <f t="shared" si="929"/>
        <v>-3.6513545347467646E-2</v>
      </c>
      <c r="BW184" s="1064">
        <f t="shared" si="929"/>
        <v>0.17420537897310506</v>
      </c>
      <c r="BX184" s="1064">
        <f t="shared" si="929"/>
        <v>-1.561686621551317E-3</v>
      </c>
      <c r="BY184" s="1064">
        <f t="shared" si="929"/>
        <v>6.6736183524504611E-2</v>
      </c>
      <c r="BZ184" s="569">
        <f t="shared" si="929"/>
        <v>-0.17741935483870963</v>
      </c>
      <c r="CA184" s="1064">
        <f t="shared" si="929"/>
        <v>7.8431372549019551E-2</v>
      </c>
      <c r="CB184" s="1064">
        <f t="shared" si="929"/>
        <v>5.3443526170798838E-2</v>
      </c>
      <c r="CC184" s="1064">
        <f t="shared" si="929"/>
        <v>0.20554393305439334</v>
      </c>
      <c r="CD184" s="569">
        <f t="shared" si="929"/>
        <v>-0.27809110629067246</v>
      </c>
      <c r="CE184" s="1064">
        <f t="shared" si="929"/>
        <v>-0.19591346153846156</v>
      </c>
      <c r="CF184" s="1064">
        <f t="shared" si="929"/>
        <v>0.22944693572496266</v>
      </c>
      <c r="CG184" s="1064">
        <f t="shared" si="929"/>
        <v>0.22066869300911862</v>
      </c>
      <c r="CH184" s="569">
        <f t="shared" si="929"/>
        <v>-0.26743027888446214</v>
      </c>
      <c r="CI184" s="1064">
        <f t="shared" si="929"/>
        <v>-9.517335146159045E-3</v>
      </c>
      <c r="CJ184" s="1064">
        <f t="shared" si="929"/>
        <v>1.6472203157172238E-2</v>
      </c>
      <c r="CK184" s="1064">
        <f t="shared" si="929"/>
        <v>-7.4949358541525957E-2</v>
      </c>
      <c r="CL184" s="569">
        <f t="shared" si="929"/>
        <v>-0.3029197080291971</v>
      </c>
      <c r="CM184" s="1064">
        <f t="shared" si="929"/>
        <v>-0.12356020942408374</v>
      </c>
      <c r="CN184" s="1064">
        <f t="shared" si="929"/>
        <v>0.22819593787335712</v>
      </c>
      <c r="CO184" s="1064">
        <f t="shared" si="929"/>
        <v>1.0573929961089492</v>
      </c>
      <c r="CP184" s="569">
        <f t="shared" si="929"/>
        <v>-0.28794326241134749</v>
      </c>
      <c r="CQ184" s="1064">
        <f t="shared" si="929"/>
        <v>7.7025232403718391E-2</v>
      </c>
      <c r="CR184" s="1064"/>
      <c r="CS184" s="1064"/>
      <c r="CT184" s="569"/>
      <c r="CU184" s="1064"/>
      <c r="CV184" s="1064"/>
      <c r="CW184" s="1064"/>
      <c r="CX184" s="569"/>
      <c r="CY184" s="1064"/>
      <c r="CZ184" s="1064"/>
      <c r="DA184" s="1064"/>
      <c r="DB184" s="569"/>
      <c r="DC184" s="1064"/>
      <c r="DD184" s="1064"/>
      <c r="DE184" s="1064"/>
      <c r="DF184" s="569"/>
      <c r="DG184" s="1064"/>
      <c r="DH184" s="1064"/>
      <c r="DI184" s="568"/>
      <c r="DJ184" s="569"/>
      <c r="DK184" s="1064"/>
      <c r="DL184" s="1064"/>
      <c r="DM184" s="568"/>
      <c r="DN184" s="1064"/>
      <c r="DO184" s="1064"/>
      <c r="DP184" s="1064"/>
      <c r="DQ184" s="568"/>
      <c r="DR184" s="569"/>
      <c r="DS184" s="1064"/>
      <c r="DT184" s="1064"/>
      <c r="DU184" s="568"/>
      <c r="DV184" s="1064"/>
      <c r="DW184" s="1064"/>
      <c r="DX184" s="1064"/>
      <c r="DY184" s="568"/>
    </row>
    <row r="185" spans="1:129" s="1491" customFormat="1" ht="15" hidden="1" customHeight="1" outlineLevel="2">
      <c r="A185" s="569" t="s">
        <v>1481</v>
      </c>
      <c r="B185" s="1064"/>
      <c r="C185" s="1064"/>
      <c r="D185" s="1070"/>
      <c r="E185" s="1070"/>
      <c r="F185" s="1070"/>
      <c r="G185" s="1070"/>
      <c r="H185" s="1070"/>
      <c r="I185" s="1070"/>
      <c r="J185" s="1070"/>
      <c r="K185" s="1070"/>
      <c r="L185" s="1070"/>
      <c r="M185" s="1070"/>
      <c r="N185" s="1070"/>
      <c r="O185" s="1227"/>
      <c r="P185" s="1070">
        <f>CJ185</f>
        <v>646</v>
      </c>
      <c r="Q185" s="1070"/>
      <c r="R185" s="1227"/>
      <c r="S185" s="1070"/>
      <c r="T185" s="1227"/>
      <c r="U185" s="1227"/>
      <c r="V185" s="1227"/>
      <c r="W185" s="1227"/>
      <c r="X185" s="1227"/>
      <c r="Y185" s="1227"/>
      <c r="Z185" s="1227"/>
      <c r="AA185" s="1227"/>
      <c r="AB185" s="1227"/>
      <c r="AC185" s="1227"/>
      <c r="AD185" s="1227"/>
      <c r="AE185" s="1227"/>
      <c r="AF185" s="1227"/>
      <c r="AG185" s="1227"/>
      <c r="AH185" s="2201"/>
      <c r="AI185" s="1927"/>
      <c r="AJ185" s="1561"/>
      <c r="AK185" s="1070"/>
      <c r="AL185" s="1070"/>
      <c r="AM185" s="1064"/>
      <c r="AN185" s="1070"/>
      <c r="AO185" s="1070"/>
      <c r="AP185" s="607"/>
      <c r="AQ185" s="1070"/>
      <c r="AR185" s="1070"/>
      <c r="AS185" s="1070"/>
      <c r="AT185" s="607"/>
      <c r="AU185" s="1070"/>
      <c r="AV185" s="1070"/>
      <c r="AW185" s="1070"/>
      <c r="AX185" s="607"/>
      <c r="AY185" s="1070"/>
      <c r="AZ185" s="1070"/>
      <c r="BA185" s="1070"/>
      <c r="BB185" s="607"/>
      <c r="BC185" s="1070"/>
      <c r="BD185" s="1070"/>
      <c r="BE185" s="1070"/>
      <c r="BF185" s="251"/>
      <c r="BG185" s="1070"/>
      <c r="BH185" s="1070"/>
      <c r="BI185" s="1131"/>
      <c r="BJ185" s="607">
        <v>68</v>
      </c>
      <c r="BK185" s="1131"/>
      <c r="BL185" s="1131">
        <v>411</v>
      </c>
      <c r="BM185" s="1131">
        <v>6</v>
      </c>
      <c r="BN185" s="251">
        <v>6</v>
      </c>
      <c r="BO185" s="1131"/>
      <c r="BP185" s="1131"/>
      <c r="BQ185" s="1131"/>
      <c r="BR185" s="251"/>
      <c r="BS185" s="1131"/>
      <c r="BT185" s="1131"/>
      <c r="BU185" s="1131"/>
      <c r="BV185" s="607">
        <v>32</v>
      </c>
      <c r="BW185" s="1070">
        <v>4</v>
      </c>
      <c r="BX185" s="1070">
        <v>11</v>
      </c>
      <c r="BY185" s="1070">
        <v>15</v>
      </c>
      <c r="BZ185" s="607">
        <v>17</v>
      </c>
      <c r="CA185" s="1070">
        <v>7</v>
      </c>
      <c r="CB185" s="1070">
        <v>0</v>
      </c>
      <c r="CC185" s="1070">
        <v>0</v>
      </c>
      <c r="CD185" s="607">
        <v>7</v>
      </c>
      <c r="CE185" s="1070"/>
      <c r="CF185" s="1070">
        <v>2</v>
      </c>
      <c r="CG185" s="1070"/>
      <c r="CH185" s="607"/>
      <c r="CI185" s="1131">
        <v>46</v>
      </c>
      <c r="CJ185" s="1131">
        <v>646</v>
      </c>
      <c r="CK185" s="1131">
        <v>-122</v>
      </c>
      <c r="CL185" s="607"/>
      <c r="CM185" s="1131"/>
      <c r="CN185" s="1131"/>
      <c r="CO185" s="1131"/>
      <c r="CP185" s="607"/>
      <c r="CQ185" s="1070"/>
      <c r="CR185" s="1070"/>
      <c r="CS185" s="1070"/>
      <c r="CT185" s="607"/>
      <c r="CU185" s="1070"/>
      <c r="CV185" s="1070"/>
      <c r="CW185" s="1070"/>
      <c r="CX185" s="607"/>
      <c r="CY185" s="1070"/>
      <c r="CZ185" s="1070"/>
      <c r="DA185" s="1070"/>
      <c r="DB185" s="607"/>
      <c r="DC185" s="1070"/>
      <c r="DD185" s="1070"/>
      <c r="DE185" s="1070"/>
      <c r="DF185" s="607"/>
      <c r="DG185" s="1070"/>
      <c r="DH185" s="1070"/>
      <c r="DI185" s="608"/>
      <c r="DJ185" s="607"/>
      <c r="DK185" s="1070"/>
      <c r="DL185" s="1070"/>
      <c r="DM185" s="608"/>
      <c r="DN185" s="1070"/>
      <c r="DO185" s="1070"/>
      <c r="DP185" s="1070"/>
      <c r="DQ185" s="608"/>
      <c r="DR185" s="607"/>
      <c r="DS185" s="1070"/>
      <c r="DT185" s="1070"/>
      <c r="DU185" s="608"/>
      <c r="DV185" s="1070"/>
      <c r="DW185" s="1070"/>
      <c r="DX185" s="1070"/>
      <c r="DY185" s="608"/>
    </row>
    <row r="186" spans="1:129" s="1491" customFormat="1" ht="15" hidden="1" customHeight="1" outlineLevel="2">
      <c r="A186" s="1462" t="s">
        <v>1453</v>
      </c>
      <c r="B186" s="1502"/>
      <c r="C186" s="1502"/>
      <c r="D186" s="1497"/>
      <c r="E186" s="1497"/>
      <c r="F186" s="1497"/>
      <c r="G186" s="1497"/>
      <c r="H186" s="1497"/>
      <c r="I186" s="1497"/>
      <c r="J186" s="1497"/>
      <c r="K186" s="1497"/>
      <c r="L186" s="1497"/>
      <c r="M186" s="1497"/>
      <c r="N186" s="1497"/>
      <c r="O186" s="1502">
        <f>O112/N112-1</f>
        <v>-0.14198646015248673</v>
      </c>
      <c r="P186" s="1502">
        <f>P112/O112-1</f>
        <v>-6.4247586248096455E-2</v>
      </c>
      <c r="Q186" s="1502">
        <f>Q112/P112-1</f>
        <v>-0.30755589118398685</v>
      </c>
      <c r="R186" s="1502">
        <f>R112/Q112-1</f>
        <v>0.11793313069908806</v>
      </c>
      <c r="S186" s="1064">
        <f t="shared" ref="S186:Z186" si="930">S112/O112-1</f>
        <v>-0.28849546135206827</v>
      </c>
      <c r="T186" s="1502">
        <f t="shared" si="930"/>
        <v>-3.4507008558665286E-2</v>
      </c>
      <c r="U186" s="1502">
        <f t="shared" si="930"/>
        <v>0.41276595744680855</v>
      </c>
      <c r="V186" s="1502">
        <f t="shared" si="930"/>
        <v>0.37176001450063434</v>
      </c>
      <c r="W186" s="1502">
        <f t="shared" si="930"/>
        <v>0.36482745894076407</v>
      </c>
      <c r="X186" s="1502">
        <f t="shared" si="930"/>
        <v>-7.7750326987356511E-2</v>
      </c>
      <c r="Y186" s="1502">
        <f t="shared" si="930"/>
        <v>-0.49684452094090648</v>
      </c>
      <c r="Z186" s="1502">
        <f t="shared" ca="1" si="930"/>
        <v>-0.68707887399936685</v>
      </c>
      <c r="AA186" s="1502"/>
      <c r="AB186" s="1502"/>
      <c r="AC186" s="1502"/>
      <c r="AD186" s="1502"/>
      <c r="AE186" s="1502"/>
      <c r="AF186" s="1502"/>
      <c r="AG186" s="1502"/>
      <c r="AH186" s="2201"/>
      <c r="AI186" s="1927"/>
      <c r="AJ186" s="1561"/>
      <c r="AK186" s="1497"/>
      <c r="AL186" s="1497"/>
      <c r="AM186" s="1502"/>
      <c r="AN186" s="1497"/>
      <c r="AO186" s="1497"/>
      <c r="AP186" s="1517"/>
      <c r="AQ186" s="1497"/>
      <c r="AR186" s="1497"/>
      <c r="AS186" s="1497"/>
      <c r="AT186" s="1517"/>
      <c r="AU186" s="1497"/>
      <c r="AV186" s="1497"/>
      <c r="AW186" s="1497"/>
      <c r="AX186" s="1517"/>
      <c r="AY186" s="1497"/>
      <c r="AZ186" s="1497"/>
      <c r="BA186" s="1497"/>
      <c r="BB186" s="1517"/>
      <c r="BC186" s="1497"/>
      <c r="BD186" s="1497"/>
      <c r="BE186" s="1497"/>
      <c r="BF186" s="495"/>
      <c r="BG186" s="1497"/>
      <c r="BH186" s="1497"/>
      <c r="BI186" s="1375"/>
      <c r="BJ186" s="1517"/>
      <c r="BK186" s="1375"/>
      <c r="BL186" s="1375"/>
      <c r="BM186" s="1375"/>
      <c r="BN186" s="495"/>
      <c r="BO186" s="1375"/>
      <c r="BP186" s="1375"/>
      <c r="BQ186" s="1375"/>
      <c r="BR186" s="495"/>
      <c r="BS186" s="1375"/>
      <c r="BT186" s="1375"/>
      <c r="BU186" s="1375"/>
      <c r="BV186" s="1517"/>
      <c r="BW186" s="1497"/>
      <c r="BX186" s="1497"/>
      <c r="BY186" s="1497"/>
      <c r="BZ186" s="1467"/>
      <c r="CA186" s="1502"/>
      <c r="CB186" s="1502"/>
      <c r="CC186" s="1502"/>
      <c r="CD186" s="1467">
        <f t="shared" ref="CD186:DV186" si="931">CD112/BZ112-1</f>
        <v>2.8625765191117258E-2</v>
      </c>
      <c r="CE186" s="1502">
        <f t="shared" si="931"/>
        <v>-0.2670355220251992</v>
      </c>
      <c r="CF186" s="1502">
        <f t="shared" si="931"/>
        <v>-6.9947289175554483E-2</v>
      </c>
      <c r="CG186" s="1502">
        <f t="shared" si="931"/>
        <v>-0.20916943691815559</v>
      </c>
      <c r="CH186" s="1467">
        <f t="shared" si="931"/>
        <v>-6.7679521675398813E-2</v>
      </c>
      <c r="CI186" s="1502">
        <f t="shared" si="931"/>
        <v>0.15828032226517519</v>
      </c>
      <c r="CJ186" s="1502">
        <f t="shared" si="931"/>
        <v>-3.7847719401800761E-2</v>
      </c>
      <c r="CK186" s="1502">
        <f t="shared" si="931"/>
        <v>-0.27837934144549081</v>
      </c>
      <c r="CL186" s="569">
        <f t="shared" si="931"/>
        <v>-0.46106094808126408</v>
      </c>
      <c r="CM186" s="1064">
        <f t="shared" si="931"/>
        <v>-0.52443181818181817</v>
      </c>
      <c r="CN186" s="1064">
        <f t="shared" si="931"/>
        <v>-0.42247191011235952</v>
      </c>
      <c r="CO186" s="1064">
        <f t="shared" si="931"/>
        <v>0.24926166568222086</v>
      </c>
      <c r="CP186" s="569">
        <f t="shared" si="931"/>
        <v>0.57696335078534022</v>
      </c>
      <c r="CQ186" s="1064">
        <f t="shared" si="931"/>
        <v>0.93787335722819587</v>
      </c>
      <c r="CR186" s="1064">
        <f t="shared" si="931"/>
        <v>0.21400778210116722</v>
      </c>
      <c r="CS186" s="1064">
        <f t="shared" si="931"/>
        <v>-0.46052009456264775</v>
      </c>
      <c r="CT186" s="569">
        <f t="shared" si="931"/>
        <v>0.17928286852589648</v>
      </c>
      <c r="CU186" s="1064">
        <f t="shared" si="931"/>
        <v>0.36128236744759556</v>
      </c>
      <c r="CV186" s="1064">
        <f t="shared" si="931"/>
        <v>6.9711538461538547E-2</v>
      </c>
      <c r="CW186" s="1064">
        <f t="shared" si="931"/>
        <v>-0.91235758106923748</v>
      </c>
      <c r="CX186" s="569">
        <f t="shared" si="931"/>
        <v>-0.32319819819819817</v>
      </c>
      <c r="CY186" s="1064">
        <f t="shared" si="931"/>
        <v>-0.35326086956521741</v>
      </c>
      <c r="CZ186" s="1064">
        <f t="shared" si="931"/>
        <v>0.41273408239700382</v>
      </c>
      <c r="DA186" s="1064">
        <f t="shared" si="931"/>
        <v>22.65</v>
      </c>
      <c r="DB186" s="569">
        <f t="shared" si="931"/>
        <v>0.43094841930116479</v>
      </c>
      <c r="DC186" s="1064">
        <f t="shared" si="931"/>
        <v>7.703081232492992E-2</v>
      </c>
      <c r="DD186" s="1064">
        <f t="shared" si="931"/>
        <v>-0.17232237539766704</v>
      </c>
      <c r="DE186" s="1064">
        <f t="shared" si="931"/>
        <v>-8.9640591966173355E-2</v>
      </c>
      <c r="DF186" s="569">
        <f t="shared" si="931"/>
        <v>-0.39011627906976742</v>
      </c>
      <c r="DG186" s="1064">
        <f t="shared" si="931"/>
        <v>0.25292587776332898</v>
      </c>
      <c r="DH186" s="1064">
        <f t="shared" si="931"/>
        <v>0.2972453555413197</v>
      </c>
      <c r="DI186" s="568">
        <f t="shared" si="931"/>
        <v>0.19228982814677198</v>
      </c>
      <c r="DJ186" s="569">
        <f t="shared" si="931"/>
        <v>-0.16396568160152525</v>
      </c>
      <c r="DK186" s="1064">
        <f t="shared" si="931"/>
        <v>-0.54488842760768041</v>
      </c>
      <c r="DL186" s="1064">
        <f t="shared" si="931"/>
        <v>-0.56691358024691363</v>
      </c>
      <c r="DM186" s="568">
        <f t="shared" si="931"/>
        <v>-0.65835605765484995</v>
      </c>
      <c r="DN186" s="1064">
        <f t="shared" si="931"/>
        <v>0</v>
      </c>
      <c r="DO186" s="1064">
        <f t="shared" si="931"/>
        <v>0</v>
      </c>
      <c r="DP186" s="1064">
        <f t="shared" si="931"/>
        <v>0</v>
      </c>
      <c r="DQ186" s="568">
        <f t="shared" si="931"/>
        <v>0</v>
      </c>
      <c r="DR186" s="569">
        <f t="shared" si="931"/>
        <v>0</v>
      </c>
      <c r="DS186" s="1064">
        <f t="shared" si="931"/>
        <v>0</v>
      </c>
      <c r="DT186" s="1064">
        <f t="shared" si="931"/>
        <v>0</v>
      </c>
      <c r="DU186" s="568">
        <f t="shared" si="931"/>
        <v>0</v>
      </c>
      <c r="DV186" s="1064">
        <f t="shared" si="931"/>
        <v>0</v>
      </c>
      <c r="DW186" s="1064">
        <f t="shared" ref="DW186" ca="1" si="932">DW112/DS112-1</f>
        <v>-0.54991719551441598</v>
      </c>
      <c r="DX186" s="1064">
        <f t="shared" ref="DX186" ca="1" si="933">DX112/DT112-1</f>
        <v>-0.45223905755728899</v>
      </c>
      <c r="DY186" s="568">
        <f t="shared" ref="DY186" ca="1" si="934">DY112/DU112-1</f>
        <v>-0.29751640191941053</v>
      </c>
    </row>
    <row r="187" spans="1:129" s="1491" customFormat="1" ht="15" hidden="1" customHeight="1" outlineLevel="2">
      <c r="A187" s="1463" t="s">
        <v>71</v>
      </c>
      <c r="B187" s="1502"/>
      <c r="C187" s="1502"/>
      <c r="D187" s="1497"/>
      <c r="E187" s="1497"/>
      <c r="F187" s="1497"/>
      <c r="G187" s="1503"/>
      <c r="H187" s="1497"/>
      <c r="I187" s="1497"/>
      <c r="J187" s="1497"/>
      <c r="K187" s="1497"/>
      <c r="L187" s="1497"/>
      <c r="M187" s="1497"/>
      <c r="N187" s="1497"/>
      <c r="O187" s="1497"/>
      <c r="P187" s="1497"/>
      <c r="Q187" s="1518">
        <f>+Q122/Q112</f>
        <v>0.11469098277608916</v>
      </c>
      <c r="R187" s="1518">
        <f>+R122/R112</f>
        <v>0.64165307232191404</v>
      </c>
      <c r="S187" s="1057">
        <v>0.55000000000000004</v>
      </c>
      <c r="T187" s="510">
        <v>0.55000000000000004</v>
      </c>
      <c r="U187" s="1401">
        <v>0.5</v>
      </c>
      <c r="V187" s="1401">
        <v>0.5</v>
      </c>
      <c r="W187" s="1401">
        <v>0.5</v>
      </c>
      <c r="X187" s="1401">
        <v>0.5</v>
      </c>
      <c r="Y187" s="1401">
        <v>0.5</v>
      </c>
      <c r="Z187" s="1401">
        <v>0.5</v>
      </c>
      <c r="AA187" s="1401"/>
      <c r="AB187" s="1401"/>
      <c r="AC187" s="1401"/>
      <c r="AD187" s="1401"/>
      <c r="AE187" s="1401"/>
      <c r="AF187" s="1401"/>
      <c r="AG187" s="1401"/>
      <c r="AH187" s="2201"/>
      <c r="AI187" s="1927"/>
      <c r="AJ187" s="1561"/>
      <c r="AK187" s="1497"/>
      <c r="AL187" s="1497"/>
      <c r="AM187" s="1502"/>
      <c r="AN187" s="1497"/>
      <c r="AO187" s="1497"/>
      <c r="AP187" s="1517"/>
      <c r="AQ187" s="1497"/>
      <c r="AR187" s="1497"/>
      <c r="AS187" s="1497"/>
      <c r="AT187" s="1517"/>
      <c r="AU187" s="1497"/>
      <c r="AV187" s="1497"/>
      <c r="AW187" s="1497"/>
      <c r="AX187" s="1517"/>
      <c r="AY187" s="1502"/>
      <c r="AZ187" s="1502"/>
      <c r="BA187" s="1502"/>
      <c r="BB187" s="1467"/>
      <c r="BC187" s="1502"/>
      <c r="BD187" s="1502"/>
      <c r="BE187" s="1502"/>
      <c r="BF187" s="1467"/>
      <c r="BG187" s="1502"/>
      <c r="BH187" s="1502"/>
      <c r="BI187" s="1502"/>
      <c r="BJ187" s="1467"/>
      <c r="BK187" s="1502"/>
      <c r="BL187" s="1502"/>
      <c r="BM187" s="1502"/>
      <c r="BN187" s="1467"/>
      <c r="BO187" s="1502"/>
      <c r="BP187" s="1502"/>
      <c r="BQ187" s="1502"/>
      <c r="BR187" s="1467"/>
      <c r="BS187" s="1502"/>
      <c r="BT187" s="1502"/>
      <c r="BU187" s="1502"/>
      <c r="BV187" s="1467"/>
      <c r="BW187" s="1502"/>
      <c r="BX187" s="1502"/>
      <c r="BY187" s="1502"/>
      <c r="BZ187" s="1467"/>
      <c r="CA187" s="1502"/>
      <c r="CB187" s="1502"/>
      <c r="CC187" s="1502"/>
      <c r="CD187" s="1517"/>
      <c r="CE187" s="1497"/>
      <c r="CF187" s="1497"/>
      <c r="CG187" s="1497"/>
      <c r="CH187" s="1517"/>
      <c r="CI187" s="1497"/>
      <c r="CJ187" s="1497"/>
      <c r="CK187" s="1497"/>
      <c r="CL187" s="574">
        <f t="shared" ref="CL187:CQ187" si="935">+CL122/CL112</f>
        <v>-0.26073298429319369</v>
      </c>
      <c r="CM187" s="1227">
        <f t="shared" si="935"/>
        <v>-0.30465949820788529</v>
      </c>
      <c r="CN187" s="1227">
        <f t="shared" si="935"/>
        <v>0.10894941634241245</v>
      </c>
      <c r="CO187" s="1227">
        <f t="shared" si="935"/>
        <v>0.45295508274231677</v>
      </c>
      <c r="CP187" s="574">
        <f t="shared" si="935"/>
        <v>0.82337317397078358</v>
      </c>
      <c r="CQ187" s="1227">
        <f t="shared" si="935"/>
        <v>0.71578298397040685</v>
      </c>
      <c r="CR187" s="1057">
        <v>0.6</v>
      </c>
      <c r="CS187" s="1057">
        <v>0.6</v>
      </c>
      <c r="CT187" s="511">
        <v>1.6</v>
      </c>
      <c r="CU187" s="1057">
        <v>2.6</v>
      </c>
      <c r="CV187" s="1057">
        <v>3.6</v>
      </c>
      <c r="CW187" s="1057">
        <v>3.6</v>
      </c>
      <c r="CX187" s="511">
        <v>3.6</v>
      </c>
      <c r="CY187" s="1057">
        <v>3.6</v>
      </c>
      <c r="CZ187" s="1057">
        <v>3.6</v>
      </c>
      <c r="DA187" s="1057">
        <v>3.6</v>
      </c>
      <c r="DB187" s="511">
        <v>3.6</v>
      </c>
      <c r="DC187" s="1057">
        <v>3.6</v>
      </c>
      <c r="DD187" s="1057">
        <v>3.6</v>
      </c>
      <c r="DE187" s="1057">
        <v>3.6</v>
      </c>
      <c r="DF187" s="511">
        <v>3.6</v>
      </c>
      <c r="DG187" s="1057">
        <v>3.6</v>
      </c>
      <c r="DH187" s="1057">
        <v>3.6</v>
      </c>
      <c r="DI187" s="116">
        <v>3.6</v>
      </c>
      <c r="DJ187" s="511">
        <v>3.6</v>
      </c>
      <c r="DK187" s="1057">
        <v>3.6</v>
      </c>
      <c r="DL187" s="1057">
        <v>3.6</v>
      </c>
      <c r="DM187" s="116">
        <v>3.6</v>
      </c>
      <c r="DN187" s="1057">
        <v>3.6</v>
      </c>
      <c r="DO187" s="1057">
        <v>3.6</v>
      </c>
      <c r="DP187" s="1057">
        <v>3.6</v>
      </c>
      <c r="DQ187" s="116">
        <v>3.6</v>
      </c>
      <c r="DR187" s="511">
        <v>3.6</v>
      </c>
      <c r="DS187" s="1057">
        <v>3.6</v>
      </c>
      <c r="DT187" s="1057">
        <v>3.6</v>
      </c>
      <c r="DU187" s="116">
        <v>3.6</v>
      </c>
      <c r="DV187" s="1057">
        <v>3.6</v>
      </c>
      <c r="DW187" s="1057">
        <v>8.6</v>
      </c>
      <c r="DX187" s="1057">
        <v>8.6</v>
      </c>
      <c r="DY187" s="116">
        <v>8.6</v>
      </c>
    </row>
    <row r="188" spans="1:129" s="1491" customFormat="1" ht="15" hidden="1" customHeight="1" outlineLevel="2">
      <c r="A188" s="1454" t="s">
        <v>72</v>
      </c>
      <c r="B188" s="1472"/>
      <c r="C188" s="1472"/>
      <c r="D188" s="1479"/>
      <c r="E188" s="1479"/>
      <c r="F188" s="1479"/>
      <c r="G188" s="1479"/>
      <c r="H188" s="1479"/>
      <c r="I188" s="1479"/>
      <c r="J188" s="1479"/>
      <c r="K188" s="1479"/>
      <c r="L188" s="1479"/>
      <c r="M188" s="1479"/>
      <c r="N188" s="1479">
        <f>+N147-N168</f>
        <v>1161.614</v>
      </c>
      <c r="O188" s="1479">
        <f>+O147-O168</f>
        <v>961.25499999999602</v>
      </c>
      <c r="P188" s="1479">
        <f>+P147-P168</f>
        <v>1347.9289999999996</v>
      </c>
      <c r="Q188" s="1227"/>
      <c r="R188" s="1227"/>
      <c r="S188" s="1064"/>
      <c r="T188" s="575"/>
      <c r="U188" s="1227"/>
      <c r="V188" s="1227"/>
      <c r="W188" s="1227"/>
      <c r="X188" s="1227"/>
      <c r="Y188" s="1227"/>
      <c r="Z188" s="1227"/>
      <c r="AA188" s="1227"/>
      <c r="AB188" s="1227"/>
      <c r="AC188" s="1227"/>
      <c r="AD188" s="1227"/>
      <c r="AE188" s="1227"/>
      <c r="AF188" s="1227"/>
      <c r="AG188" s="1227"/>
      <c r="AH188" s="2201"/>
      <c r="AI188" s="1927"/>
      <c r="AJ188" s="1561"/>
      <c r="AK188" s="1070"/>
      <c r="AL188" s="1070"/>
      <c r="AM188" s="1064"/>
      <c r="AN188" s="1070"/>
      <c r="AO188" s="1070"/>
      <c r="AP188" s="607"/>
      <c r="AQ188" s="1070"/>
      <c r="AR188" s="1070"/>
      <c r="AS188" s="1070"/>
      <c r="AT188" s="607"/>
      <c r="AU188" s="1070"/>
      <c r="AV188" s="1070"/>
      <c r="AW188" s="1070"/>
      <c r="AX188" s="607"/>
      <c r="AY188" s="1070"/>
      <c r="AZ188" s="1070"/>
      <c r="BA188" s="1070"/>
      <c r="BB188" s="607"/>
      <c r="BC188" s="1070"/>
      <c r="BD188" s="1070"/>
      <c r="BE188" s="1070"/>
      <c r="BF188" s="251"/>
      <c r="BG188" s="1070"/>
      <c r="BH188" s="1070"/>
      <c r="BI188" s="1131"/>
      <c r="BJ188" s="607"/>
      <c r="BK188" s="1131"/>
      <c r="BL188" s="1131"/>
      <c r="BM188" s="1131"/>
      <c r="BN188" s="251"/>
      <c r="BO188" s="1131"/>
      <c r="BP188" s="1131"/>
      <c r="BQ188" s="1131"/>
      <c r="BR188" s="251"/>
      <c r="BS188" s="1131"/>
      <c r="BT188" s="1131"/>
      <c r="BU188" s="1131"/>
      <c r="BV188" s="607"/>
      <c r="BW188" s="1070"/>
      <c r="BX188" s="1070"/>
      <c r="BY188" s="1070"/>
      <c r="BZ188" s="1480">
        <f t="shared" ref="BZ188:CK188" si="936">+BZ190+BZ191</f>
        <v>164.74100000000001</v>
      </c>
      <c r="CA188" s="1479">
        <f t="shared" si="936"/>
        <v>258.08000000000004</v>
      </c>
      <c r="CB188" s="1479">
        <f t="shared" si="936"/>
        <v>77.155000000000001</v>
      </c>
      <c r="CC188" s="1479">
        <f t="shared" si="936"/>
        <v>661.63800000000003</v>
      </c>
      <c r="CD188" s="1454">
        <f t="shared" si="936"/>
        <v>236.63400000000001</v>
      </c>
      <c r="CE188" s="1472">
        <f t="shared" si="936"/>
        <v>181.494</v>
      </c>
      <c r="CF188" s="1472">
        <f t="shared" si="936"/>
        <v>205.01900000000001</v>
      </c>
      <c r="CG188" s="1472">
        <f t="shared" si="936"/>
        <v>338.10799999999654</v>
      </c>
      <c r="CH188" s="1454">
        <f t="shared" si="936"/>
        <v>384.89299999999997</v>
      </c>
      <c r="CI188" s="1472">
        <f t="shared" si="936"/>
        <v>319.73599999999999</v>
      </c>
      <c r="CJ188" s="1472">
        <f t="shared" si="936"/>
        <v>335.20000000000005</v>
      </c>
      <c r="CK188" s="1472">
        <f t="shared" si="936"/>
        <v>308.10000000000002</v>
      </c>
      <c r="CL188" s="569"/>
      <c r="CM188" s="1064"/>
      <c r="CN188" s="1064"/>
      <c r="CO188" s="1064"/>
      <c r="CP188" s="569"/>
      <c r="CQ188" s="1064"/>
      <c r="CR188" s="1064"/>
      <c r="CS188" s="1064"/>
      <c r="CT188" s="569"/>
      <c r="CU188" s="1064"/>
      <c r="CV188" s="1064"/>
      <c r="CW188" s="1064"/>
      <c r="CX188" s="569"/>
      <c r="CY188" s="1064"/>
      <c r="CZ188" s="1064"/>
      <c r="DA188" s="1064"/>
      <c r="DB188" s="569"/>
      <c r="DC188" s="1064"/>
      <c r="DD188" s="1064"/>
      <c r="DE188" s="1064"/>
      <c r="DF188" s="569"/>
      <c r="DG188" s="1064"/>
      <c r="DH188" s="1064"/>
      <c r="DI188" s="568"/>
      <c r="DJ188" s="569"/>
      <c r="DK188" s="1064"/>
      <c r="DL188" s="1064"/>
      <c r="DM188" s="568"/>
      <c r="DN188" s="1064"/>
      <c r="DO188" s="1064"/>
      <c r="DP188" s="1064"/>
      <c r="DQ188" s="568"/>
      <c r="DR188" s="569"/>
      <c r="DS188" s="1064"/>
      <c r="DT188" s="1064"/>
      <c r="DU188" s="568"/>
      <c r="DV188" s="1064"/>
      <c r="DW188" s="1064"/>
      <c r="DX188" s="1064"/>
      <c r="DY188" s="568"/>
    </row>
    <row r="189" spans="1:129" s="1491" customFormat="1" ht="15" hidden="1" customHeight="1" outlineLevel="2">
      <c r="A189" s="1450" t="s">
        <v>1453</v>
      </c>
      <c r="B189" s="1472"/>
      <c r="C189" s="1472"/>
      <c r="D189" s="1479"/>
      <c r="E189" s="1479"/>
      <c r="F189" s="1479"/>
      <c r="G189" s="1479"/>
      <c r="H189" s="1479"/>
      <c r="I189" s="1479"/>
      <c r="J189" s="1479"/>
      <c r="K189" s="1479"/>
      <c r="L189" s="1479"/>
      <c r="M189" s="1479"/>
      <c r="N189" s="1479"/>
      <c r="O189" s="1472">
        <f>O188/N188-1</f>
        <v>-0.17248328618629249</v>
      </c>
      <c r="P189" s="1472">
        <f>P188/O188-1</f>
        <v>0.40225954611419978</v>
      </c>
      <c r="Q189" s="1227"/>
      <c r="R189" s="1227"/>
      <c r="S189" s="1064"/>
      <c r="T189" s="575"/>
      <c r="U189" s="1227"/>
      <c r="V189" s="1227"/>
      <c r="W189" s="1227"/>
      <c r="X189" s="1227"/>
      <c r="Y189" s="1227"/>
      <c r="Z189" s="1227"/>
      <c r="AA189" s="1227"/>
      <c r="AB189" s="1227"/>
      <c r="AC189" s="1227"/>
      <c r="AD189" s="1227"/>
      <c r="AE189" s="1227"/>
      <c r="AF189" s="1227"/>
      <c r="AG189" s="1227"/>
      <c r="AH189" s="2201"/>
      <c r="AI189" s="1927"/>
      <c r="AJ189" s="1561"/>
      <c r="AK189" s="1070"/>
      <c r="AL189" s="1070"/>
      <c r="AM189" s="1064"/>
      <c r="AN189" s="1070"/>
      <c r="AO189" s="1070"/>
      <c r="AP189" s="607"/>
      <c r="AQ189" s="1070"/>
      <c r="AR189" s="1070"/>
      <c r="AS189" s="1070"/>
      <c r="AT189" s="607"/>
      <c r="AU189" s="1070"/>
      <c r="AV189" s="1070"/>
      <c r="AW189" s="1070"/>
      <c r="AX189" s="607"/>
      <c r="AY189" s="1070"/>
      <c r="AZ189" s="1070"/>
      <c r="BA189" s="1070"/>
      <c r="BB189" s="607"/>
      <c r="BC189" s="1070"/>
      <c r="BD189" s="1070"/>
      <c r="BE189" s="1070"/>
      <c r="BF189" s="251"/>
      <c r="BG189" s="1070"/>
      <c r="BH189" s="1070"/>
      <c r="BI189" s="1131"/>
      <c r="BJ189" s="607"/>
      <c r="BK189" s="1131"/>
      <c r="BL189" s="1131"/>
      <c r="BM189" s="1131"/>
      <c r="BN189" s="251"/>
      <c r="BO189" s="1131"/>
      <c r="BP189" s="1131"/>
      <c r="BQ189" s="1131"/>
      <c r="BR189" s="251"/>
      <c r="BS189" s="1131"/>
      <c r="BT189" s="1131"/>
      <c r="BU189" s="1131"/>
      <c r="BV189" s="607"/>
      <c r="BW189" s="1070"/>
      <c r="BX189" s="1070"/>
      <c r="BY189" s="1070"/>
      <c r="BZ189" s="1480"/>
      <c r="CA189" s="1479"/>
      <c r="CB189" s="1479"/>
      <c r="CC189" s="1479"/>
      <c r="CD189" s="1454">
        <f t="shared" ref="CD189:CK189" si="937">CD188/BZ188-1</f>
        <v>0.43640016753570743</v>
      </c>
      <c r="CE189" s="1472">
        <f t="shared" si="937"/>
        <v>-0.29675294482331072</v>
      </c>
      <c r="CF189" s="1472">
        <f t="shared" si="937"/>
        <v>1.6572354351629834</v>
      </c>
      <c r="CG189" s="1472">
        <f t="shared" si="937"/>
        <v>-0.48898340179978095</v>
      </c>
      <c r="CH189" s="1454">
        <f t="shared" si="937"/>
        <v>0.62653295807026854</v>
      </c>
      <c r="CI189" s="1472">
        <f t="shared" si="937"/>
        <v>0.76168909165041265</v>
      </c>
      <c r="CJ189" s="1472">
        <f t="shared" si="937"/>
        <v>0.63497041737595072</v>
      </c>
      <c r="CK189" s="1472">
        <f t="shared" si="937"/>
        <v>-8.875270623586784E-2</v>
      </c>
      <c r="CL189" s="569"/>
      <c r="CM189" s="1064"/>
      <c r="CN189" s="1064"/>
      <c r="CO189" s="1064"/>
      <c r="CP189" s="569"/>
      <c r="CQ189" s="1064"/>
      <c r="CR189" s="1064"/>
      <c r="CS189" s="1064"/>
      <c r="CT189" s="569"/>
      <c r="CU189" s="1064"/>
      <c r="CV189" s="1064"/>
      <c r="CW189" s="1064"/>
      <c r="CX189" s="569"/>
      <c r="CY189" s="1064"/>
      <c r="CZ189" s="1064"/>
      <c r="DA189" s="1064"/>
      <c r="DB189" s="569"/>
      <c r="DC189" s="1064"/>
      <c r="DD189" s="1064"/>
      <c r="DE189" s="1064"/>
      <c r="DF189" s="569"/>
      <c r="DG189" s="1064"/>
      <c r="DH189" s="1064"/>
      <c r="DI189" s="568"/>
      <c r="DJ189" s="569"/>
      <c r="DK189" s="1064"/>
      <c r="DL189" s="1064"/>
      <c r="DM189" s="568"/>
      <c r="DN189" s="1064"/>
      <c r="DO189" s="1064"/>
      <c r="DP189" s="1064"/>
      <c r="DQ189" s="568"/>
      <c r="DR189" s="569"/>
      <c r="DS189" s="1064"/>
      <c r="DT189" s="1064"/>
      <c r="DU189" s="568"/>
      <c r="DV189" s="1064"/>
      <c r="DW189" s="1064"/>
      <c r="DX189" s="1064"/>
      <c r="DY189" s="568"/>
    </row>
    <row r="190" spans="1:129" s="1491" customFormat="1" ht="15" hidden="1" customHeight="1" outlineLevel="2">
      <c r="A190" s="1450" t="s">
        <v>73</v>
      </c>
      <c r="B190" s="1472"/>
      <c r="C190" s="1472"/>
      <c r="D190" s="1479"/>
      <c r="E190" s="1479"/>
      <c r="F190" s="1479"/>
      <c r="G190" s="1479"/>
      <c r="H190" s="1479"/>
      <c r="I190" s="1479"/>
      <c r="J190" s="1479"/>
      <c r="K190" s="1479"/>
      <c r="L190" s="1479"/>
      <c r="M190" s="1479"/>
      <c r="N190" s="1479">
        <f>+SUM(BZ190:CC190)</f>
        <v>1161.614</v>
      </c>
      <c r="O190" s="1479">
        <f>+SUM(CD190:CG190)</f>
        <v>961.25499999999658</v>
      </c>
      <c r="P190" s="1479">
        <f>+SUM(CH190:CK190)</f>
        <v>1278.4290000000001</v>
      </c>
      <c r="Q190" s="1227"/>
      <c r="R190" s="1227"/>
      <c r="S190" s="1064"/>
      <c r="T190" s="575"/>
      <c r="U190" s="1227"/>
      <c r="V190" s="1227"/>
      <c r="W190" s="1227"/>
      <c r="X190" s="1227"/>
      <c r="Y190" s="1227"/>
      <c r="Z190" s="1227"/>
      <c r="AA190" s="1227"/>
      <c r="AB190" s="1227"/>
      <c r="AC190" s="1227"/>
      <c r="AD190" s="1227"/>
      <c r="AE190" s="1227"/>
      <c r="AF190" s="1227"/>
      <c r="AG190" s="1227"/>
      <c r="AH190" s="2201"/>
      <c r="AI190" s="1927"/>
      <c r="AJ190" s="1561"/>
      <c r="AK190" s="1070"/>
      <c r="AL190" s="1070"/>
      <c r="AM190" s="1064"/>
      <c r="AN190" s="1070"/>
      <c r="AO190" s="1070"/>
      <c r="AP190" s="607"/>
      <c r="AQ190" s="1070"/>
      <c r="AR190" s="1070"/>
      <c r="AS190" s="1070"/>
      <c r="AT190" s="607"/>
      <c r="AU190" s="1070"/>
      <c r="AV190" s="1070"/>
      <c r="AW190" s="1070"/>
      <c r="AX190" s="607"/>
      <c r="AY190" s="1070"/>
      <c r="AZ190" s="1070"/>
      <c r="BA190" s="1070"/>
      <c r="BB190" s="607"/>
      <c r="BC190" s="1070"/>
      <c r="BD190" s="1070"/>
      <c r="BE190" s="1070"/>
      <c r="BF190" s="251"/>
      <c r="BG190" s="1070"/>
      <c r="BH190" s="1070"/>
      <c r="BI190" s="1131"/>
      <c r="BJ190" s="607"/>
      <c r="BK190" s="1131"/>
      <c r="BL190" s="1131"/>
      <c r="BM190" s="1131"/>
      <c r="BN190" s="251"/>
      <c r="BO190" s="1131"/>
      <c r="BP190" s="1131"/>
      <c r="BQ190" s="1131"/>
      <c r="BR190" s="251"/>
      <c r="BS190" s="1131"/>
      <c r="BT190" s="1131"/>
      <c r="BU190" s="1131"/>
      <c r="BV190" s="607"/>
      <c r="BW190" s="1070"/>
      <c r="BX190" s="1070"/>
      <c r="BY190" s="1070"/>
      <c r="BZ190" s="1480">
        <f>BZ234+BZ235</f>
        <v>164.74100000000001</v>
      </c>
      <c r="CA190" s="1479">
        <f>CA234+CA235</f>
        <v>258.08000000000004</v>
      </c>
      <c r="CB190" s="1479">
        <f>CB234+CB235</f>
        <v>77.155000000000001</v>
      </c>
      <c r="CC190" s="1479">
        <f>CC234+CC235+CC236</f>
        <v>661.63800000000003</v>
      </c>
      <c r="CD190" s="1480">
        <f>CD234+CD235</f>
        <v>236.63400000000001</v>
      </c>
      <c r="CE190" s="1479">
        <f>CE234+CE235</f>
        <v>181.494</v>
      </c>
      <c r="CF190" s="1479">
        <f>CF234+CF235</f>
        <v>205.01900000000001</v>
      </c>
      <c r="CG190" s="1479">
        <f>CG234+CG235+CG236</f>
        <v>338.10799999999654</v>
      </c>
      <c r="CH190" s="1480">
        <f>CH234+CH235</f>
        <v>346.09299999999996</v>
      </c>
      <c r="CI190" s="1479">
        <f>CI234+CI235</f>
        <v>316.13599999999997</v>
      </c>
      <c r="CJ190" s="1479">
        <f>CJ234+CJ235</f>
        <v>308.10000000000002</v>
      </c>
      <c r="CK190" s="1472">
        <f>CK234+CK235</f>
        <v>308.10000000000002</v>
      </c>
      <c r="CL190" s="569"/>
      <c r="CM190" s="1064"/>
      <c r="CN190" s="1064"/>
      <c r="CO190" s="1064"/>
      <c r="CP190" s="569"/>
      <c r="CQ190" s="1064"/>
      <c r="CR190" s="1064"/>
      <c r="CS190" s="1064"/>
      <c r="CT190" s="569"/>
      <c r="CU190" s="1064"/>
      <c r="CV190" s="1064"/>
      <c r="CW190" s="1064"/>
      <c r="CX190" s="569"/>
      <c r="CY190" s="1064"/>
      <c r="CZ190" s="1064"/>
      <c r="DA190" s="1064"/>
      <c r="DB190" s="569"/>
      <c r="DC190" s="1064"/>
      <c r="DD190" s="1064"/>
      <c r="DE190" s="1064"/>
      <c r="DF190" s="569"/>
      <c r="DG190" s="1064"/>
      <c r="DH190" s="1064"/>
      <c r="DI190" s="568"/>
      <c r="DJ190" s="569"/>
      <c r="DK190" s="1064"/>
      <c r="DL190" s="1064"/>
      <c r="DM190" s="568"/>
      <c r="DN190" s="1064"/>
      <c r="DO190" s="1064"/>
      <c r="DP190" s="1064"/>
      <c r="DQ190" s="568"/>
      <c r="DR190" s="569"/>
      <c r="DS190" s="1064"/>
      <c r="DT190" s="1064"/>
      <c r="DU190" s="568"/>
      <c r="DV190" s="1064"/>
      <c r="DW190" s="1064"/>
      <c r="DX190" s="1064"/>
      <c r="DY190" s="568"/>
    </row>
    <row r="191" spans="1:129" s="1491" customFormat="1" ht="15" hidden="1" customHeight="1" outlineLevel="2">
      <c r="A191" s="1450" t="s">
        <v>1480</v>
      </c>
      <c r="B191" s="1472"/>
      <c r="C191" s="1472"/>
      <c r="D191" s="1479"/>
      <c r="E191" s="1479"/>
      <c r="F191" s="1479"/>
      <c r="G191" s="1479"/>
      <c r="H191" s="1479"/>
      <c r="I191" s="1479"/>
      <c r="J191" s="1479"/>
      <c r="K191" s="1479"/>
      <c r="L191" s="1479"/>
      <c r="M191" s="1479"/>
      <c r="N191" s="1479">
        <f>+SUM(BZ191:CC191)</f>
        <v>0</v>
      </c>
      <c r="O191" s="1479">
        <f>+SUM(CD191:CG191)</f>
        <v>0</v>
      </c>
      <c r="P191" s="1479">
        <f>+SUM(CH191:CK191)</f>
        <v>69.5</v>
      </c>
      <c r="Q191" s="1227"/>
      <c r="R191" s="1227"/>
      <c r="S191" s="1064"/>
      <c r="T191" s="575"/>
      <c r="U191" s="1227"/>
      <c r="V191" s="1227"/>
      <c r="W191" s="1227"/>
      <c r="X191" s="1227"/>
      <c r="Y191" s="1227"/>
      <c r="Z191" s="1227"/>
      <c r="AA191" s="1227"/>
      <c r="AB191" s="1227"/>
      <c r="AC191" s="1227"/>
      <c r="AD191" s="1227"/>
      <c r="AE191" s="1227"/>
      <c r="AF191" s="1227"/>
      <c r="AG191" s="1227"/>
      <c r="AH191" s="2201"/>
      <c r="AI191" s="1927"/>
      <c r="AJ191" s="1561"/>
      <c r="AK191" s="1070"/>
      <c r="AL191" s="1070"/>
      <c r="AM191" s="1064"/>
      <c r="AN191" s="1070"/>
      <c r="AO191" s="1070"/>
      <c r="AP191" s="607"/>
      <c r="AQ191" s="1070"/>
      <c r="AR191" s="1070"/>
      <c r="AS191" s="1070"/>
      <c r="AT191" s="607"/>
      <c r="AU191" s="1070"/>
      <c r="AV191" s="1070"/>
      <c r="AW191" s="1070"/>
      <c r="AX191" s="607"/>
      <c r="AY191" s="1070"/>
      <c r="AZ191" s="1070"/>
      <c r="BA191" s="1070"/>
      <c r="BB191" s="607"/>
      <c r="BC191" s="1070"/>
      <c r="BD191" s="1070"/>
      <c r="BE191" s="1070"/>
      <c r="BF191" s="251"/>
      <c r="BG191" s="1070"/>
      <c r="BH191" s="1070"/>
      <c r="BI191" s="1131"/>
      <c r="BJ191" s="607"/>
      <c r="BK191" s="1131"/>
      <c r="BL191" s="1131"/>
      <c r="BM191" s="1131"/>
      <c r="BN191" s="251"/>
      <c r="BO191" s="1131"/>
      <c r="BP191" s="1131"/>
      <c r="BQ191" s="1131"/>
      <c r="BR191" s="251"/>
      <c r="BS191" s="1131"/>
      <c r="BT191" s="1131"/>
      <c r="BU191" s="1131"/>
      <c r="BV191" s="607"/>
      <c r="BW191" s="1070"/>
      <c r="BX191" s="1070"/>
      <c r="BY191" s="1070"/>
      <c r="BZ191" s="1480"/>
      <c r="CA191" s="1479"/>
      <c r="CB191" s="1479"/>
      <c r="CC191" s="1479"/>
      <c r="CD191" s="512">
        <v>0</v>
      </c>
      <c r="CE191" s="1361">
        <v>0</v>
      </c>
      <c r="CF191" s="1361">
        <v>0</v>
      </c>
      <c r="CG191" s="1361">
        <v>0</v>
      </c>
      <c r="CH191" s="512">
        <v>38.799999999999997</v>
      </c>
      <c r="CI191" s="1361">
        <v>3.6</v>
      </c>
      <c r="CJ191" s="1361">
        <v>27.1</v>
      </c>
      <c r="CK191" s="1472">
        <v>0</v>
      </c>
      <c r="CL191" s="569"/>
      <c r="CM191" s="1064"/>
      <c r="CN191" s="1064"/>
      <c r="CO191" s="1064"/>
      <c r="CP191" s="569"/>
      <c r="CQ191" s="1064"/>
      <c r="CR191" s="1064"/>
      <c r="CS191" s="1064"/>
      <c r="CT191" s="569"/>
      <c r="CU191" s="1064"/>
      <c r="CV191" s="1064"/>
      <c r="CW191" s="1064"/>
      <c r="CX191" s="569"/>
      <c r="CY191" s="1064"/>
      <c r="CZ191" s="1064"/>
      <c r="DA191" s="1064"/>
      <c r="DB191" s="569"/>
      <c r="DC191" s="1064"/>
      <c r="DD191" s="1064"/>
      <c r="DE191" s="1064"/>
      <c r="DF191" s="569"/>
      <c r="DG191" s="1064"/>
      <c r="DH191" s="1064"/>
      <c r="DI191" s="568"/>
      <c r="DJ191" s="569"/>
      <c r="DK191" s="1064"/>
      <c r="DL191" s="1064"/>
      <c r="DM191" s="568"/>
      <c r="DN191" s="1064"/>
      <c r="DO191" s="1064"/>
      <c r="DP191" s="1064"/>
      <c r="DQ191" s="568"/>
      <c r="DR191" s="569"/>
      <c r="DS191" s="1064"/>
      <c r="DT191" s="1064"/>
      <c r="DU191" s="568"/>
      <c r="DV191" s="1064"/>
      <c r="DW191" s="1064"/>
      <c r="DX191" s="1064"/>
      <c r="DY191" s="568"/>
    </row>
    <row r="192" spans="1:129" s="1491" customFormat="1" ht="15" hidden="1" customHeight="1" outlineLevel="2">
      <c r="A192" s="1450" t="s">
        <v>74</v>
      </c>
      <c r="B192" s="1472"/>
      <c r="C192" s="1472"/>
      <c r="D192" s="1479"/>
      <c r="E192" s="1479"/>
      <c r="F192" s="1479"/>
      <c r="G192" s="1506"/>
      <c r="H192" s="1479"/>
      <c r="I192" s="1479"/>
      <c r="J192" s="1479"/>
      <c r="K192" s="1479"/>
      <c r="L192" s="1479"/>
      <c r="M192" s="1479"/>
      <c r="N192" s="1472">
        <f>+N191/N188</f>
        <v>0</v>
      </c>
      <c r="O192" s="1472">
        <f>+O191/O188</f>
        <v>0</v>
      </c>
      <c r="P192" s="1472">
        <f>+P191/P188</f>
        <v>5.1560579229321439E-2</v>
      </c>
      <c r="Q192" s="1064"/>
      <c r="R192" s="1043"/>
      <c r="S192" s="1043"/>
      <c r="T192" s="497"/>
      <c r="U192" s="1043"/>
      <c r="V192" s="1043"/>
      <c r="W192" s="1043"/>
      <c r="X192" s="1043"/>
      <c r="Y192" s="1043"/>
      <c r="Z192" s="1043"/>
      <c r="AA192" s="1043"/>
      <c r="AB192" s="1043"/>
      <c r="AC192" s="1043"/>
      <c r="AD192" s="1043"/>
      <c r="AE192" s="1043"/>
      <c r="AF192" s="1043"/>
      <c r="AG192" s="1043"/>
      <c r="AH192" s="2201"/>
      <c r="AI192" s="1927"/>
      <c r="AJ192" s="1561"/>
      <c r="AK192" s="1070"/>
      <c r="AL192" s="1070"/>
      <c r="AM192" s="1064"/>
      <c r="AN192" s="1070"/>
      <c r="AO192" s="1070"/>
      <c r="AP192" s="607"/>
      <c r="AQ192" s="1070"/>
      <c r="AR192" s="1070"/>
      <c r="AS192" s="1070"/>
      <c r="AT192" s="607"/>
      <c r="AU192" s="1070"/>
      <c r="AV192" s="1070"/>
      <c r="AW192" s="1070"/>
      <c r="AX192" s="607"/>
      <c r="AY192" s="1070"/>
      <c r="AZ192" s="1070"/>
      <c r="BA192" s="1070"/>
      <c r="BB192" s="607"/>
      <c r="BC192" s="1070"/>
      <c r="BD192" s="1070"/>
      <c r="BE192" s="1070"/>
      <c r="BF192" s="607"/>
      <c r="BG192" s="1070"/>
      <c r="BH192" s="1070"/>
      <c r="BI192" s="1070"/>
      <c r="BJ192" s="607"/>
      <c r="BK192" s="1070"/>
      <c r="BL192" s="1070"/>
      <c r="BM192" s="1070"/>
      <c r="BN192" s="607"/>
      <c r="BO192" s="1070"/>
      <c r="BP192" s="1070"/>
      <c r="BQ192" s="1070"/>
      <c r="BR192" s="607"/>
      <c r="BS192" s="1070"/>
      <c r="BT192" s="1070"/>
      <c r="BU192" s="1070"/>
      <c r="BV192" s="607"/>
      <c r="BW192" s="1070"/>
      <c r="BX192" s="1070"/>
      <c r="BY192" s="1070"/>
      <c r="BZ192" s="607"/>
      <c r="CA192" s="1070"/>
      <c r="CB192" s="1070"/>
      <c r="CC192" s="1070"/>
      <c r="CD192" s="569"/>
      <c r="CE192" s="1064"/>
      <c r="CF192" s="1064"/>
      <c r="CG192" s="1064"/>
      <c r="CH192" s="569">
        <f>+CH191/CH188</f>
        <v>0.10080723733609082</v>
      </c>
      <c r="CI192" s="1064">
        <f>+CI191/CI188</f>
        <v>1.1259288913353517E-2</v>
      </c>
      <c r="CJ192" s="1064">
        <f>+CJ191/CJ188</f>
        <v>8.08472553699284E-2</v>
      </c>
      <c r="CK192" s="1043">
        <v>0</v>
      </c>
      <c r="CL192" s="496"/>
      <c r="CM192" s="1043"/>
      <c r="CN192" s="1043"/>
      <c r="CO192" s="1043"/>
      <c r="CP192" s="496"/>
      <c r="CQ192" s="1043"/>
      <c r="CR192" s="1043"/>
      <c r="CS192" s="1043"/>
      <c r="CT192" s="496"/>
      <c r="CU192" s="1043"/>
      <c r="CV192" s="1043"/>
      <c r="CW192" s="1043"/>
      <c r="CX192" s="496"/>
      <c r="CY192" s="1043"/>
      <c r="CZ192" s="1043"/>
      <c r="DA192" s="1043"/>
      <c r="DB192" s="496"/>
      <c r="DC192" s="1043"/>
      <c r="DD192" s="1043"/>
      <c r="DE192" s="1043"/>
      <c r="DF192" s="496"/>
      <c r="DG192" s="1043"/>
      <c r="DH192" s="1043"/>
      <c r="DI192" s="497"/>
      <c r="DJ192" s="496"/>
      <c r="DK192" s="1043"/>
      <c r="DL192" s="1043"/>
      <c r="DM192" s="497"/>
      <c r="DN192" s="1043"/>
      <c r="DO192" s="1043"/>
      <c r="DP192" s="1043"/>
      <c r="DQ192" s="497"/>
      <c r="DR192" s="496"/>
      <c r="DS192" s="1043"/>
      <c r="DT192" s="1043"/>
      <c r="DU192" s="497"/>
      <c r="DV192" s="1043"/>
      <c r="DW192" s="1043"/>
      <c r="DX192" s="1043"/>
      <c r="DY192" s="497"/>
    </row>
    <row r="193" spans="1:129" s="1491" customFormat="1" ht="15" hidden="1" customHeight="1" outlineLevel="2">
      <c r="A193" s="151" t="s">
        <v>75</v>
      </c>
      <c r="B193" s="1064"/>
      <c r="C193" s="1064"/>
      <c r="D193" s="1070"/>
      <c r="E193" s="1070"/>
      <c r="F193" s="1070"/>
      <c r="G193" s="1229"/>
      <c r="H193" s="1070"/>
      <c r="I193" s="1070"/>
      <c r="J193" s="1070"/>
      <c r="K193" s="1070"/>
      <c r="L193" s="1070"/>
      <c r="M193" s="1070"/>
      <c r="N193" s="1070"/>
      <c r="O193" s="1070"/>
      <c r="P193" s="1070"/>
      <c r="Q193" s="1070"/>
      <c r="R193" s="1070"/>
      <c r="S193" s="1070"/>
      <c r="T193" s="608"/>
      <c r="U193" s="1070"/>
      <c r="V193" s="1070"/>
      <c r="W193" s="1070"/>
      <c r="X193" s="1070"/>
      <c r="Y193" s="1070"/>
      <c r="Z193" s="1070"/>
      <c r="AA193" s="1070"/>
      <c r="AB193" s="1070"/>
      <c r="AC193" s="1070"/>
      <c r="AD193" s="1070"/>
      <c r="AE193" s="1070"/>
      <c r="AF193" s="1070"/>
      <c r="AG193" s="1070"/>
      <c r="AH193" s="2201"/>
      <c r="AI193" s="1927"/>
      <c r="AJ193" s="1561"/>
      <c r="AK193" s="1070"/>
      <c r="AL193" s="1070"/>
      <c r="AM193" s="1064"/>
      <c r="AN193" s="1070"/>
      <c r="AO193" s="1070"/>
      <c r="AP193" s="607"/>
      <c r="AQ193" s="1070"/>
      <c r="AR193" s="1070"/>
      <c r="AS193" s="1070"/>
      <c r="AT193" s="607"/>
      <c r="AU193" s="1070"/>
      <c r="AV193" s="1070"/>
      <c r="AW193" s="1070"/>
      <c r="AX193" s="607"/>
      <c r="AY193" s="1070"/>
      <c r="AZ193" s="1070"/>
      <c r="BA193" s="1070"/>
      <c r="BB193" s="607"/>
      <c r="BC193" s="1070"/>
      <c r="BD193" s="1070"/>
      <c r="BE193" s="1070"/>
      <c r="BF193" s="607"/>
      <c r="BG193" s="1070"/>
      <c r="BH193" s="1070"/>
      <c r="BI193" s="1070"/>
      <c r="BJ193" s="607"/>
      <c r="BK193" s="1070"/>
      <c r="BL193" s="1070"/>
      <c r="BM193" s="1070"/>
      <c r="BN193" s="607"/>
      <c r="BO193" s="1070"/>
      <c r="BP193" s="1070"/>
      <c r="BQ193" s="1070"/>
      <c r="BR193" s="607"/>
      <c r="BS193" s="1070"/>
      <c r="BT193" s="1070"/>
      <c r="BU193" s="1070"/>
      <c r="BV193" s="607"/>
      <c r="BW193" s="1070"/>
      <c r="BX193" s="1070"/>
      <c r="BY193" s="1070"/>
      <c r="BZ193" s="607"/>
      <c r="CA193" s="1070"/>
      <c r="CB193" s="1070"/>
      <c r="CC193" s="1070"/>
      <c r="CD193" s="607"/>
      <c r="CE193" s="1070"/>
      <c r="CF193" s="1070"/>
      <c r="CG193" s="1070"/>
      <c r="CH193" s="607"/>
      <c r="CI193" s="1070"/>
      <c r="CJ193" s="1070"/>
      <c r="CK193" s="1070"/>
      <c r="CL193" s="607"/>
      <c r="CM193" s="1070"/>
      <c r="CN193" s="1070"/>
      <c r="CO193" s="1070"/>
      <c r="CP193" s="607"/>
      <c r="CQ193" s="1070"/>
      <c r="CR193" s="1070"/>
      <c r="CS193" s="1070"/>
      <c r="CT193" s="607"/>
      <c r="CU193" s="1070"/>
      <c r="CV193" s="1070"/>
      <c r="CW193" s="1070"/>
      <c r="CX193" s="607"/>
      <c r="CY193" s="1070"/>
      <c r="CZ193" s="1070"/>
      <c r="DA193" s="1070"/>
      <c r="DB193" s="607"/>
      <c r="DC193" s="1070"/>
      <c r="DD193" s="1070"/>
      <c r="DE193" s="1070"/>
      <c r="DF193" s="607"/>
      <c r="DG193" s="1070"/>
      <c r="DH193" s="1070"/>
      <c r="DI193" s="608"/>
      <c r="DJ193" s="607"/>
      <c r="DK193" s="1070"/>
      <c r="DL193" s="1070"/>
      <c r="DM193" s="608"/>
      <c r="DN193" s="1070"/>
      <c r="DO193" s="1070"/>
      <c r="DP193" s="1070"/>
      <c r="DQ193" s="608"/>
      <c r="DR193" s="607"/>
      <c r="DS193" s="1070"/>
      <c r="DT193" s="1070"/>
      <c r="DU193" s="608"/>
      <c r="DV193" s="1070"/>
      <c r="DW193" s="1070"/>
      <c r="DX193" s="1070"/>
      <c r="DY193" s="608"/>
    </row>
    <row r="194" spans="1:129" s="1491" customFormat="1" ht="15" hidden="1" customHeight="1" outlineLevel="2">
      <c r="A194" s="569" t="s">
        <v>76</v>
      </c>
      <c r="B194" s="1064"/>
      <c r="C194" s="1064"/>
      <c r="D194" s="1070"/>
      <c r="E194" s="1070"/>
      <c r="F194" s="1070"/>
      <c r="G194" s="1229"/>
      <c r="H194" s="1070"/>
      <c r="I194" s="1070"/>
      <c r="J194" s="1070"/>
      <c r="K194" s="1070"/>
      <c r="L194" s="1070"/>
      <c r="M194" s="1070"/>
      <c r="N194" s="1070">
        <f>CC194</f>
        <v>59052</v>
      </c>
      <c r="O194" s="1070">
        <f>CG194</f>
        <v>65707</v>
      </c>
      <c r="P194" s="1070">
        <f>CK194</f>
        <v>72056</v>
      </c>
      <c r="Q194" s="1070">
        <f>CO194</f>
        <v>96495</v>
      </c>
      <c r="R194" s="1070"/>
      <c r="S194" s="1070"/>
      <c r="T194" s="608"/>
      <c r="U194" s="1070"/>
      <c r="V194" s="1070"/>
      <c r="W194" s="1070"/>
      <c r="X194" s="1070"/>
      <c r="Y194" s="1070"/>
      <c r="Z194" s="1070"/>
      <c r="AA194" s="1070"/>
      <c r="AB194" s="1070"/>
      <c r="AC194" s="1070"/>
      <c r="AD194" s="1070"/>
      <c r="AE194" s="1070"/>
      <c r="AF194" s="1070"/>
      <c r="AG194" s="1070"/>
      <c r="AH194" s="2201"/>
      <c r="AI194" s="1927"/>
      <c r="AJ194" s="1561"/>
      <c r="AK194" s="1070"/>
      <c r="AL194" s="1070"/>
      <c r="AM194" s="1064"/>
      <c r="AN194" s="1070"/>
      <c r="AO194" s="1070"/>
      <c r="AP194" s="607"/>
      <c r="AQ194" s="1070"/>
      <c r="AR194" s="1070"/>
      <c r="AS194" s="1070"/>
      <c r="AT194" s="607"/>
      <c r="AU194" s="1070"/>
      <c r="AV194" s="1070"/>
      <c r="AW194" s="1070"/>
      <c r="AX194" s="607"/>
      <c r="AY194" s="1070"/>
      <c r="AZ194" s="1070"/>
      <c r="BA194" s="1070"/>
      <c r="BB194" s="607"/>
      <c r="BC194" s="1070"/>
      <c r="BD194" s="1070"/>
      <c r="BE194" s="1070">
        <f t="shared" ref="BE194:BX194" si="938">ROUND(BE99/1000,1)*1000</f>
        <v>26800</v>
      </c>
      <c r="BF194" s="607">
        <f t="shared" si="938"/>
        <v>27100</v>
      </c>
      <c r="BG194" s="1070">
        <f t="shared" si="938"/>
        <v>27900</v>
      </c>
      <c r="BH194" s="1070">
        <f t="shared" si="938"/>
        <v>28700</v>
      </c>
      <c r="BI194" s="1070">
        <f t="shared" si="938"/>
        <v>29400</v>
      </c>
      <c r="BJ194" s="607">
        <f t="shared" si="938"/>
        <v>29600</v>
      </c>
      <c r="BK194" s="1070">
        <f t="shared" si="938"/>
        <v>30300</v>
      </c>
      <c r="BL194" s="1070">
        <f t="shared" si="938"/>
        <v>31500</v>
      </c>
      <c r="BM194" s="1070">
        <f t="shared" si="938"/>
        <v>32500</v>
      </c>
      <c r="BN194" s="607">
        <f t="shared" si="938"/>
        <v>33300</v>
      </c>
      <c r="BO194" s="1070">
        <f t="shared" si="938"/>
        <v>34600</v>
      </c>
      <c r="BP194" s="1070">
        <f t="shared" si="938"/>
        <v>36000</v>
      </c>
      <c r="BQ194" s="1070">
        <f t="shared" si="938"/>
        <v>37500</v>
      </c>
      <c r="BR194" s="607">
        <f t="shared" si="938"/>
        <v>38900</v>
      </c>
      <c r="BS194" s="1070">
        <f t="shared" si="938"/>
        <v>40400</v>
      </c>
      <c r="BT194" s="1070">
        <f t="shared" si="938"/>
        <v>42100</v>
      </c>
      <c r="BU194" s="1070">
        <f t="shared" si="938"/>
        <v>43800</v>
      </c>
      <c r="BV194" s="607">
        <f t="shared" si="938"/>
        <v>45500</v>
      </c>
      <c r="BW194" s="1070">
        <f t="shared" si="938"/>
        <v>47400</v>
      </c>
      <c r="BX194" s="1070">
        <f t="shared" si="938"/>
        <v>49300</v>
      </c>
      <c r="BY194" s="1070">
        <f t="shared" ref="BY194:CK194" si="939">BY99</f>
        <v>51337</v>
      </c>
      <c r="BZ194" s="607">
        <f t="shared" si="939"/>
        <v>53020</v>
      </c>
      <c r="CA194" s="1070">
        <f t="shared" si="939"/>
        <v>54835</v>
      </c>
      <c r="CB194" s="1070">
        <f t="shared" si="939"/>
        <v>56747</v>
      </c>
      <c r="CC194" s="1070">
        <f t="shared" si="939"/>
        <v>59052</v>
      </c>
      <c r="CD194" s="607">
        <f t="shared" si="939"/>
        <v>60716</v>
      </c>
      <c r="CE194" s="1070">
        <f t="shared" si="939"/>
        <v>62054</v>
      </c>
      <c r="CF194" s="1070">
        <f t="shared" si="939"/>
        <v>63699</v>
      </c>
      <c r="CG194" s="1070">
        <f t="shared" si="939"/>
        <v>65707</v>
      </c>
      <c r="CH194" s="607">
        <f t="shared" si="939"/>
        <v>67178</v>
      </c>
      <c r="CI194" s="1070">
        <f t="shared" si="939"/>
        <v>68681</v>
      </c>
      <c r="CJ194" s="1070">
        <f t="shared" si="939"/>
        <v>70808</v>
      </c>
      <c r="CK194" s="1070">
        <f t="shared" si="939"/>
        <v>72056</v>
      </c>
      <c r="CL194" s="607">
        <f>+CL218</f>
        <v>92390</v>
      </c>
      <c r="CM194" s="1070">
        <f>+CM218</f>
        <v>93220</v>
      </c>
      <c r="CN194" s="1070">
        <f>+CN218</f>
        <v>94361</v>
      </c>
      <c r="CO194" s="1070">
        <f>+CO218</f>
        <v>96495</v>
      </c>
      <c r="CP194" s="607"/>
      <c r="CQ194" s="1070"/>
      <c r="CR194" s="1070"/>
      <c r="CS194" s="1070"/>
      <c r="CT194" s="607"/>
      <c r="CU194" s="1070"/>
      <c r="CV194" s="1070"/>
      <c r="CW194" s="1070"/>
      <c r="CX194" s="607"/>
      <c r="CY194" s="1070"/>
      <c r="CZ194" s="1070"/>
      <c r="DA194" s="1070"/>
      <c r="DB194" s="607"/>
      <c r="DC194" s="1070"/>
      <c r="DD194" s="1070"/>
      <c r="DE194" s="1070"/>
      <c r="DF194" s="607"/>
      <c r="DG194" s="1070"/>
      <c r="DH194" s="1070"/>
      <c r="DI194" s="608"/>
      <c r="DJ194" s="607"/>
      <c r="DK194" s="1070"/>
      <c r="DL194" s="1070"/>
      <c r="DM194" s="608"/>
      <c r="DN194" s="1070"/>
      <c r="DO194" s="1070"/>
      <c r="DP194" s="1070"/>
      <c r="DQ194" s="608"/>
      <c r="DR194" s="607"/>
      <c r="DS194" s="1070"/>
      <c r="DT194" s="1070"/>
      <c r="DU194" s="608"/>
      <c r="DV194" s="1070"/>
      <c r="DW194" s="1070"/>
      <c r="DX194" s="1070"/>
      <c r="DY194" s="608"/>
    </row>
    <row r="195" spans="1:129" s="1491" customFormat="1" ht="15" hidden="1" customHeight="1" outlineLevel="2">
      <c r="A195" s="1449" t="s">
        <v>14</v>
      </c>
      <c r="B195" s="1064"/>
      <c r="C195" s="1064"/>
      <c r="D195" s="1070"/>
      <c r="E195" s="1070"/>
      <c r="F195" s="1070"/>
      <c r="G195" s="1229"/>
      <c r="H195" s="1070"/>
      <c r="I195" s="1070"/>
      <c r="J195" s="1070"/>
      <c r="K195" s="1070"/>
      <c r="L195" s="1070"/>
      <c r="M195" s="1070"/>
      <c r="N195" s="1070">
        <f>CC195</f>
        <v>56812</v>
      </c>
      <c r="O195" s="1070">
        <f>CG195</f>
        <v>63735</v>
      </c>
      <c r="P195" s="1070">
        <f>CK195</f>
        <v>70021</v>
      </c>
      <c r="Q195" s="1070">
        <f>CO195</f>
        <v>85445</v>
      </c>
      <c r="R195" s="1070"/>
      <c r="S195" s="1070"/>
      <c r="T195" s="608"/>
      <c r="U195" s="1070"/>
      <c r="V195" s="1070"/>
      <c r="W195" s="1070"/>
      <c r="X195" s="1070"/>
      <c r="Y195" s="1070"/>
      <c r="Z195" s="1070"/>
      <c r="AA195" s="1070"/>
      <c r="AB195" s="1070"/>
      <c r="AC195" s="1070"/>
      <c r="AD195" s="1070"/>
      <c r="AE195" s="1070"/>
      <c r="AF195" s="1070"/>
      <c r="AG195" s="1070"/>
      <c r="AH195" s="2201"/>
      <c r="AI195" s="1927"/>
      <c r="AJ195" s="1561"/>
      <c r="AK195" s="1070"/>
      <c r="AL195" s="1070"/>
      <c r="AM195" s="1064"/>
      <c r="AN195" s="1070"/>
      <c r="AO195" s="1070"/>
      <c r="AP195" s="607"/>
      <c r="AQ195" s="1070"/>
      <c r="AR195" s="1070"/>
      <c r="AS195" s="1070"/>
      <c r="AT195" s="607"/>
      <c r="AU195" s="1070"/>
      <c r="AV195" s="1070"/>
      <c r="AW195" s="1070"/>
      <c r="AX195" s="607"/>
      <c r="AY195" s="1070"/>
      <c r="AZ195" s="1070"/>
      <c r="BA195" s="1070"/>
      <c r="BB195" s="607"/>
      <c r="BC195" s="1070"/>
      <c r="BD195" s="1070"/>
      <c r="BE195" s="1225">
        <f t="shared" ref="BE195:BU195" si="940">BE194-BE198</f>
        <v>25728</v>
      </c>
      <c r="BF195" s="553">
        <f t="shared" si="940"/>
        <v>26016</v>
      </c>
      <c r="BG195" s="1225">
        <f t="shared" si="940"/>
        <v>26784</v>
      </c>
      <c r="BH195" s="1225">
        <f t="shared" si="940"/>
        <v>27552</v>
      </c>
      <c r="BI195" s="1225">
        <f t="shared" si="940"/>
        <v>28224</v>
      </c>
      <c r="BJ195" s="553">
        <f t="shared" si="940"/>
        <v>28416</v>
      </c>
      <c r="BK195" s="1225">
        <f t="shared" si="940"/>
        <v>29088</v>
      </c>
      <c r="BL195" s="1225">
        <f t="shared" si="940"/>
        <v>30240</v>
      </c>
      <c r="BM195" s="1225">
        <f t="shared" si="940"/>
        <v>31200</v>
      </c>
      <c r="BN195" s="607">
        <f t="shared" si="940"/>
        <v>31968</v>
      </c>
      <c r="BO195" s="1225">
        <f t="shared" si="940"/>
        <v>33216</v>
      </c>
      <c r="BP195" s="1225">
        <f t="shared" si="940"/>
        <v>34560</v>
      </c>
      <c r="BQ195" s="1070">
        <f t="shared" si="940"/>
        <v>36000</v>
      </c>
      <c r="BR195" s="607">
        <f t="shared" si="940"/>
        <v>37188.400000000001</v>
      </c>
      <c r="BS195" s="1070">
        <f t="shared" si="940"/>
        <v>38784</v>
      </c>
      <c r="BT195" s="1225">
        <f t="shared" si="940"/>
        <v>40416</v>
      </c>
      <c r="BU195" s="1070">
        <f t="shared" si="940"/>
        <v>41829</v>
      </c>
      <c r="BV195" s="251">
        <v>43405</v>
      </c>
      <c r="BW195" s="1131">
        <v>45316</v>
      </c>
      <c r="BX195" s="1131">
        <v>47205</v>
      </c>
      <c r="BY195" s="1131">
        <v>49036</v>
      </c>
      <c r="BZ195" s="251">
        <v>50660</v>
      </c>
      <c r="CA195" s="1131">
        <v>52581</v>
      </c>
      <c r="CB195" s="1131">
        <v>54562</v>
      </c>
      <c r="CC195" s="1131">
        <v>56812</v>
      </c>
      <c r="CD195" s="251">
        <v>58458</v>
      </c>
      <c r="CE195" s="1131">
        <v>60080</v>
      </c>
      <c r="CF195" s="1131">
        <v>61840</v>
      </c>
      <c r="CG195" s="1131">
        <v>63735</v>
      </c>
      <c r="CH195" s="251">
        <v>65186</v>
      </c>
      <c r="CI195" s="1131">
        <v>66680</v>
      </c>
      <c r="CJ195" s="1131">
        <v>68807</v>
      </c>
      <c r="CK195" s="1131">
        <v>70021</v>
      </c>
      <c r="CL195" s="252">
        <f>+CL117</f>
        <v>82180</v>
      </c>
      <c r="CM195" s="1369">
        <f>+CM117</f>
        <v>83272</v>
      </c>
      <c r="CN195" s="1070">
        <f>+CN117</f>
        <v>84268</v>
      </c>
      <c r="CO195" s="1070">
        <f>+CO117</f>
        <v>85445</v>
      </c>
      <c r="CP195" s="607"/>
      <c r="CQ195" s="1070"/>
      <c r="CR195" s="1070"/>
      <c r="CS195" s="1070"/>
      <c r="CT195" s="607"/>
      <c r="CU195" s="1070"/>
      <c r="CV195" s="1070"/>
      <c r="CW195" s="1070"/>
      <c r="CX195" s="607"/>
      <c r="CY195" s="1070"/>
      <c r="CZ195" s="1070"/>
      <c r="DA195" s="1070"/>
      <c r="DB195" s="607"/>
      <c r="DC195" s="1070"/>
      <c r="DD195" s="1070"/>
      <c r="DE195" s="1070"/>
      <c r="DF195" s="607"/>
      <c r="DG195" s="1070"/>
      <c r="DH195" s="1070"/>
      <c r="DI195" s="608"/>
      <c r="DJ195" s="607"/>
      <c r="DK195" s="1070"/>
      <c r="DL195" s="1070"/>
      <c r="DM195" s="608"/>
      <c r="DN195" s="1070"/>
      <c r="DO195" s="1070"/>
      <c r="DP195" s="1070"/>
      <c r="DQ195" s="608"/>
      <c r="DR195" s="607"/>
      <c r="DS195" s="1070"/>
      <c r="DT195" s="1070"/>
      <c r="DU195" s="608"/>
      <c r="DV195" s="1070"/>
      <c r="DW195" s="1070"/>
      <c r="DX195" s="1070"/>
      <c r="DY195" s="608"/>
    </row>
    <row r="196" spans="1:129" s="1491" customFormat="1" ht="15" hidden="1" customHeight="1" outlineLevel="2">
      <c r="A196" s="1464" t="s">
        <v>73</v>
      </c>
      <c r="B196" s="1064"/>
      <c r="C196" s="1064"/>
      <c r="D196" s="1070"/>
      <c r="E196" s="1070"/>
      <c r="F196" s="1070"/>
      <c r="G196" s="1229"/>
      <c r="H196" s="1070"/>
      <c r="I196" s="1070"/>
      <c r="J196" s="1070"/>
      <c r="K196" s="1070"/>
      <c r="L196" s="1070"/>
      <c r="M196" s="1070"/>
      <c r="N196" s="1070">
        <f>N195-M195</f>
        <v>56812</v>
      </c>
      <c r="O196" s="1070">
        <f>O195-N195</f>
        <v>6923</v>
      </c>
      <c r="P196" s="1479">
        <f>P195-O195-P185</f>
        <v>5640</v>
      </c>
      <c r="Q196" s="1070">
        <f>Q195-P195-Q197</f>
        <v>2509</v>
      </c>
      <c r="R196" s="1070"/>
      <c r="S196" s="1064"/>
      <c r="T196" s="568"/>
      <c r="U196" s="1064"/>
      <c r="V196" s="1064"/>
      <c r="W196" s="1064"/>
      <c r="X196" s="1064"/>
      <c r="Y196" s="1064"/>
      <c r="Z196" s="1064"/>
      <c r="AA196" s="1064"/>
      <c r="AB196" s="1064"/>
      <c r="AC196" s="1064"/>
      <c r="AD196" s="1064"/>
      <c r="AE196" s="1064"/>
      <c r="AF196" s="1064"/>
      <c r="AG196" s="1064"/>
      <c r="AH196" s="2201"/>
      <c r="AI196" s="1927"/>
      <c r="AJ196" s="1561"/>
      <c r="AK196" s="1070"/>
      <c r="AL196" s="1070"/>
      <c r="AM196" s="1064"/>
      <c r="AN196" s="1070"/>
      <c r="AO196" s="1070"/>
      <c r="AP196" s="607" t="s">
        <v>1090</v>
      </c>
      <c r="AQ196" s="1070" t="s">
        <v>1090</v>
      </c>
      <c r="AR196" s="1070" t="s">
        <v>1090</v>
      </c>
      <c r="AS196" s="1070" t="s">
        <v>1090</v>
      </c>
      <c r="AT196" s="607" t="s">
        <v>1090</v>
      </c>
      <c r="AU196" s="1070" t="s">
        <v>1090</v>
      </c>
      <c r="AV196" s="1070" t="s">
        <v>1090</v>
      </c>
      <c r="AW196" s="1070" t="s">
        <v>1090</v>
      </c>
      <c r="AX196" s="607" t="s">
        <v>1090</v>
      </c>
      <c r="AY196" s="1070" t="s">
        <v>1090</v>
      </c>
      <c r="AZ196" s="1070" t="s">
        <v>1090</v>
      </c>
      <c r="BA196" s="1070" t="s">
        <v>1090</v>
      </c>
      <c r="BB196" s="607" t="s">
        <v>1090</v>
      </c>
      <c r="BC196" s="1070" t="s">
        <v>1090</v>
      </c>
      <c r="BD196" s="1070" t="s">
        <v>1090</v>
      </c>
      <c r="BE196" s="1070" t="s">
        <v>1090</v>
      </c>
      <c r="BF196" s="607">
        <f t="shared" ref="BF196:CH196" si="941">BF195-BE195</f>
        <v>288</v>
      </c>
      <c r="BG196" s="1070">
        <f t="shared" si="941"/>
        <v>768</v>
      </c>
      <c r="BH196" s="1070">
        <f t="shared" si="941"/>
        <v>768</v>
      </c>
      <c r="BI196" s="1070">
        <f t="shared" si="941"/>
        <v>672</v>
      </c>
      <c r="BJ196" s="607">
        <f t="shared" si="941"/>
        <v>192</v>
      </c>
      <c r="BK196" s="1070">
        <f t="shared" si="941"/>
        <v>672</v>
      </c>
      <c r="BL196" s="1070">
        <f t="shared" si="941"/>
        <v>1152</v>
      </c>
      <c r="BM196" s="1070">
        <f t="shared" si="941"/>
        <v>960</v>
      </c>
      <c r="BN196" s="607">
        <f t="shared" si="941"/>
        <v>768</v>
      </c>
      <c r="BO196" s="1070">
        <f t="shared" si="941"/>
        <v>1248</v>
      </c>
      <c r="BP196" s="1070">
        <f t="shared" si="941"/>
        <v>1344</v>
      </c>
      <c r="BQ196" s="1070">
        <f t="shared" si="941"/>
        <v>1440</v>
      </c>
      <c r="BR196" s="607">
        <f t="shared" si="941"/>
        <v>1188.4000000000015</v>
      </c>
      <c r="BS196" s="1070">
        <f t="shared" si="941"/>
        <v>1595.5999999999985</v>
      </c>
      <c r="BT196" s="1070">
        <f t="shared" si="941"/>
        <v>1632</v>
      </c>
      <c r="BU196" s="1070">
        <f t="shared" si="941"/>
        <v>1413</v>
      </c>
      <c r="BV196" s="607">
        <f t="shared" si="941"/>
        <v>1576</v>
      </c>
      <c r="BW196" s="1070">
        <f t="shared" si="941"/>
        <v>1911</v>
      </c>
      <c r="BX196" s="1070">
        <f t="shared" si="941"/>
        <v>1889</v>
      </c>
      <c r="BY196" s="1070">
        <f t="shared" si="941"/>
        <v>1831</v>
      </c>
      <c r="BZ196" s="607">
        <f t="shared" si="941"/>
        <v>1624</v>
      </c>
      <c r="CA196" s="1070">
        <f t="shared" si="941"/>
        <v>1921</v>
      </c>
      <c r="CB196" s="1070">
        <f t="shared" si="941"/>
        <v>1981</v>
      </c>
      <c r="CC196" s="1070">
        <f t="shared" si="941"/>
        <v>2250</v>
      </c>
      <c r="CD196" s="607">
        <f t="shared" si="941"/>
        <v>1646</v>
      </c>
      <c r="CE196" s="1070">
        <f t="shared" si="941"/>
        <v>1622</v>
      </c>
      <c r="CF196" s="1070">
        <f t="shared" si="941"/>
        <v>1760</v>
      </c>
      <c r="CG196" s="1070">
        <f t="shared" si="941"/>
        <v>1895</v>
      </c>
      <c r="CH196" s="607">
        <f t="shared" si="941"/>
        <v>1451</v>
      </c>
      <c r="CI196" s="1070">
        <f>CI195-CH195-CI197</f>
        <v>1448</v>
      </c>
      <c r="CJ196" s="1070">
        <f>CJ195-CI195-CJ197</f>
        <v>1500</v>
      </c>
      <c r="CK196" s="1070">
        <f>CK195-CJ195-CK197</f>
        <v>1353</v>
      </c>
      <c r="CL196" s="607">
        <f>+CL219</f>
        <v>-654</v>
      </c>
      <c r="CM196" s="1070">
        <f>+CM219</f>
        <v>1091</v>
      </c>
      <c r="CN196" s="1064">
        <f>+CN219</f>
        <v>915</v>
      </c>
      <c r="CO196" s="1064">
        <f>+CO219</f>
        <v>1157</v>
      </c>
      <c r="CP196" s="569"/>
      <c r="CQ196" s="1064"/>
      <c r="CR196" s="1064"/>
      <c r="CS196" s="1064"/>
      <c r="CT196" s="569"/>
      <c r="CU196" s="1064"/>
      <c r="CV196" s="1064"/>
      <c r="CW196" s="1064"/>
      <c r="CX196" s="569"/>
      <c r="CY196" s="1064"/>
      <c r="CZ196" s="1064"/>
      <c r="DA196" s="1064"/>
      <c r="DB196" s="569"/>
      <c r="DC196" s="1064"/>
      <c r="DD196" s="1064"/>
      <c r="DE196" s="1064"/>
      <c r="DF196" s="569"/>
      <c r="DG196" s="1064"/>
      <c r="DH196" s="1064"/>
      <c r="DI196" s="568"/>
      <c r="DJ196" s="569"/>
      <c r="DK196" s="1064"/>
      <c r="DL196" s="1064"/>
      <c r="DM196" s="568"/>
      <c r="DN196" s="1064"/>
      <c r="DO196" s="1064"/>
      <c r="DP196" s="1064"/>
      <c r="DQ196" s="568"/>
      <c r="DR196" s="569"/>
      <c r="DS196" s="1064"/>
      <c r="DT196" s="1064"/>
      <c r="DU196" s="568"/>
      <c r="DV196" s="1064"/>
      <c r="DW196" s="1064"/>
      <c r="DX196" s="1064"/>
      <c r="DY196" s="568"/>
    </row>
    <row r="197" spans="1:129" s="1491" customFormat="1" ht="15" hidden="1" customHeight="1" outlineLevel="2">
      <c r="A197" s="1465" t="s">
        <v>17</v>
      </c>
      <c r="B197" s="1064"/>
      <c r="C197" s="1064"/>
      <c r="D197" s="1070"/>
      <c r="E197" s="1070"/>
      <c r="F197" s="1070"/>
      <c r="G197" s="1229"/>
      <c r="H197" s="1070"/>
      <c r="I197" s="1070"/>
      <c r="J197" s="1070"/>
      <c r="K197" s="1070"/>
      <c r="L197" s="1070"/>
      <c r="M197" s="1070"/>
      <c r="N197" s="1070"/>
      <c r="O197" s="1070"/>
      <c r="P197" s="1070"/>
      <c r="Q197" s="1070">
        <f>+SUM(CL197:CO197)</f>
        <v>12915</v>
      </c>
      <c r="R197" s="1064"/>
      <c r="S197" s="1358"/>
      <c r="T197" s="568"/>
      <c r="U197" s="1064"/>
      <c r="V197" s="1064"/>
      <c r="W197" s="1064"/>
      <c r="X197" s="1064"/>
      <c r="Y197" s="1064"/>
      <c r="Z197" s="1064"/>
      <c r="AA197" s="1064"/>
      <c r="AB197" s="1064"/>
      <c r="AC197" s="1064"/>
      <c r="AD197" s="1064"/>
      <c r="AE197" s="1064"/>
      <c r="AF197" s="1064"/>
      <c r="AG197" s="1064"/>
      <c r="AH197" s="2201"/>
      <c r="AI197" s="1927"/>
      <c r="AJ197" s="1561"/>
      <c r="AK197" s="1070"/>
      <c r="AL197" s="1070"/>
      <c r="AM197" s="1064"/>
      <c r="AN197" s="1070"/>
      <c r="AO197" s="1070"/>
      <c r="AP197" s="607"/>
      <c r="AQ197" s="1070"/>
      <c r="AR197" s="1070"/>
      <c r="AS197" s="1070"/>
      <c r="AT197" s="607"/>
      <c r="AU197" s="1070"/>
      <c r="AV197" s="1070"/>
      <c r="AW197" s="1070"/>
      <c r="AX197" s="607"/>
      <c r="AY197" s="1070"/>
      <c r="AZ197" s="1070"/>
      <c r="BA197" s="1070"/>
      <c r="BB197" s="607"/>
      <c r="BC197" s="1070"/>
      <c r="BD197" s="1070"/>
      <c r="BE197" s="1070"/>
      <c r="BF197" s="607"/>
      <c r="BG197" s="1070"/>
      <c r="BH197" s="1070"/>
      <c r="BI197" s="1070"/>
      <c r="BJ197" s="607"/>
      <c r="BK197" s="1070"/>
      <c r="BL197" s="1070"/>
      <c r="BM197" s="1070"/>
      <c r="BN197" s="607"/>
      <c r="BO197" s="1070"/>
      <c r="BP197" s="1070"/>
      <c r="BQ197" s="1070"/>
      <c r="BR197" s="607"/>
      <c r="BS197" s="1070"/>
      <c r="BT197" s="1070"/>
      <c r="BU197" s="1070"/>
      <c r="BV197" s="607"/>
      <c r="BW197" s="1070"/>
      <c r="BX197" s="1070"/>
      <c r="BY197" s="1070"/>
      <c r="BZ197" s="607"/>
      <c r="CA197" s="1070"/>
      <c r="CB197" s="1070"/>
      <c r="CC197" s="1070"/>
      <c r="CD197" s="607"/>
      <c r="CE197" s="1070"/>
      <c r="CF197" s="1070"/>
      <c r="CG197" s="1070"/>
      <c r="CH197" s="173">
        <v>0</v>
      </c>
      <c r="CI197" s="1050">
        <v>46</v>
      </c>
      <c r="CJ197" s="1050">
        <v>627</v>
      </c>
      <c r="CK197" s="1050">
        <v>-139</v>
      </c>
      <c r="CL197" s="173">
        <v>12813</v>
      </c>
      <c r="CM197" s="1370">
        <f>+CM220</f>
        <v>1</v>
      </c>
      <c r="CN197" s="1370">
        <f>+CN220</f>
        <v>81</v>
      </c>
      <c r="CO197" s="1370">
        <f>+CO220</f>
        <v>20</v>
      </c>
      <c r="CP197" s="208"/>
      <c r="CQ197" s="1358"/>
      <c r="CR197" s="1358"/>
      <c r="CS197" s="1358"/>
      <c r="CT197" s="208"/>
      <c r="CU197" s="1358"/>
      <c r="CV197" s="1358"/>
      <c r="CW197" s="1358"/>
      <c r="CX197" s="208"/>
      <c r="CY197" s="1358"/>
      <c r="CZ197" s="1358"/>
      <c r="DA197" s="1358"/>
      <c r="DB197" s="208"/>
      <c r="DC197" s="1358"/>
      <c r="DD197" s="1358"/>
      <c r="DE197" s="1358"/>
      <c r="DF197" s="208"/>
      <c r="DG197" s="1358"/>
      <c r="DH197" s="1358"/>
      <c r="DI197" s="513"/>
      <c r="DJ197" s="208"/>
      <c r="DK197" s="1358"/>
      <c r="DL197" s="1358"/>
      <c r="DM197" s="513"/>
      <c r="DN197" s="1358"/>
      <c r="DO197" s="1358"/>
      <c r="DP197" s="1358"/>
      <c r="DQ197" s="513"/>
      <c r="DR197" s="208"/>
      <c r="DS197" s="1358"/>
      <c r="DT197" s="1358"/>
      <c r="DU197" s="513"/>
      <c r="DV197" s="1358"/>
      <c r="DW197" s="1358"/>
      <c r="DX197" s="1358"/>
      <c r="DY197" s="513"/>
    </row>
    <row r="198" spans="1:129" s="1491" customFormat="1" ht="15" hidden="1" customHeight="1" outlineLevel="2">
      <c r="A198" s="1449" t="s">
        <v>77</v>
      </c>
      <c r="B198" s="1064"/>
      <c r="C198" s="1064"/>
      <c r="D198" s="1070"/>
      <c r="E198" s="1070"/>
      <c r="F198" s="1070"/>
      <c r="G198" s="1229"/>
      <c r="H198" s="1070"/>
      <c r="I198" s="1070"/>
      <c r="J198" s="1070"/>
      <c r="K198" s="1070"/>
      <c r="L198" s="1070"/>
      <c r="M198" s="1070"/>
      <c r="N198" s="1070">
        <f>CC198</f>
        <v>2240</v>
      </c>
      <c r="O198" s="1070">
        <f>CG198</f>
        <v>1972</v>
      </c>
      <c r="P198" s="1070">
        <f>CK198</f>
        <v>2035</v>
      </c>
      <c r="Q198" s="1070">
        <f>CO198</f>
        <v>11050</v>
      </c>
      <c r="R198" s="1070"/>
      <c r="S198" s="1070"/>
      <c r="T198" s="608"/>
      <c r="U198" s="1070"/>
      <c r="V198" s="1070"/>
      <c r="W198" s="1070"/>
      <c r="X198" s="1070"/>
      <c r="Y198" s="1070"/>
      <c r="Z198" s="1070"/>
      <c r="AA198" s="1070"/>
      <c r="AB198" s="1070"/>
      <c r="AC198" s="1070"/>
      <c r="AD198" s="1070"/>
      <c r="AE198" s="1070"/>
      <c r="AF198" s="1070"/>
      <c r="AG198" s="1070"/>
      <c r="AH198" s="2201"/>
      <c r="AI198" s="1927"/>
      <c r="AJ198" s="1561"/>
      <c r="AK198" s="1070"/>
      <c r="AL198" s="1070"/>
      <c r="AM198" s="1064"/>
      <c r="AN198" s="1070"/>
      <c r="AO198" s="1070"/>
      <c r="AP198" s="607"/>
      <c r="AQ198" s="1070"/>
      <c r="AR198" s="1070"/>
      <c r="AS198" s="1070"/>
      <c r="AT198" s="607"/>
      <c r="AU198" s="1070"/>
      <c r="AV198" s="1070"/>
      <c r="AW198" s="1070"/>
      <c r="AX198" s="607"/>
      <c r="AY198" s="1070"/>
      <c r="AZ198" s="1070"/>
      <c r="BA198" s="1070"/>
      <c r="BB198" s="607"/>
      <c r="BC198" s="1070"/>
      <c r="BD198" s="1070"/>
      <c r="BE198" s="1225">
        <f t="shared" ref="BE198:BM198" si="942">BE205*BE194</f>
        <v>1072</v>
      </c>
      <c r="BF198" s="553">
        <f t="shared" si="942"/>
        <v>1084</v>
      </c>
      <c r="BG198" s="1225">
        <f t="shared" si="942"/>
        <v>1116</v>
      </c>
      <c r="BH198" s="1225">
        <f t="shared" si="942"/>
        <v>1148</v>
      </c>
      <c r="BI198" s="1225">
        <f t="shared" si="942"/>
        <v>1176</v>
      </c>
      <c r="BJ198" s="553">
        <f t="shared" si="942"/>
        <v>1184</v>
      </c>
      <c r="BK198" s="1225">
        <f t="shared" si="942"/>
        <v>1212</v>
      </c>
      <c r="BL198" s="1225">
        <f t="shared" si="942"/>
        <v>1260</v>
      </c>
      <c r="BM198" s="1225">
        <f t="shared" si="942"/>
        <v>1300</v>
      </c>
      <c r="BN198" s="607">
        <f t="shared" ref="BN198:BU198" si="943">BN194*BN205</f>
        <v>1332</v>
      </c>
      <c r="BO198" s="1225">
        <f t="shared" si="943"/>
        <v>1384</v>
      </c>
      <c r="BP198" s="1225">
        <f t="shared" si="943"/>
        <v>1440</v>
      </c>
      <c r="BQ198" s="1070">
        <f t="shared" si="943"/>
        <v>1500</v>
      </c>
      <c r="BR198" s="607">
        <f t="shared" si="943"/>
        <v>1711.6</v>
      </c>
      <c r="BS198" s="1070">
        <f t="shared" si="943"/>
        <v>1616</v>
      </c>
      <c r="BT198" s="1225">
        <f t="shared" si="943"/>
        <v>1684</v>
      </c>
      <c r="BU198" s="1070">
        <f t="shared" si="943"/>
        <v>1971</v>
      </c>
      <c r="BV198" s="607">
        <f t="shared" ref="BV198:CK198" si="944">BV194-BV195</f>
        <v>2095</v>
      </c>
      <c r="BW198" s="1070">
        <f t="shared" si="944"/>
        <v>2084</v>
      </c>
      <c r="BX198" s="1070">
        <f t="shared" si="944"/>
        <v>2095</v>
      </c>
      <c r="BY198" s="1070">
        <f t="shared" si="944"/>
        <v>2301</v>
      </c>
      <c r="BZ198" s="607">
        <f t="shared" si="944"/>
        <v>2360</v>
      </c>
      <c r="CA198" s="1070">
        <f t="shared" si="944"/>
        <v>2254</v>
      </c>
      <c r="CB198" s="1070">
        <f t="shared" si="944"/>
        <v>2185</v>
      </c>
      <c r="CC198" s="1070">
        <f t="shared" si="944"/>
        <v>2240</v>
      </c>
      <c r="CD198" s="607">
        <f t="shared" si="944"/>
        <v>2258</v>
      </c>
      <c r="CE198" s="1070">
        <f t="shared" si="944"/>
        <v>1974</v>
      </c>
      <c r="CF198" s="1070">
        <f t="shared" si="944"/>
        <v>1859</v>
      </c>
      <c r="CG198" s="1070">
        <f t="shared" si="944"/>
        <v>1972</v>
      </c>
      <c r="CH198" s="607">
        <f t="shared" si="944"/>
        <v>1992</v>
      </c>
      <c r="CI198" s="1070">
        <f t="shared" si="944"/>
        <v>2001</v>
      </c>
      <c r="CJ198" s="1070">
        <f t="shared" si="944"/>
        <v>2001</v>
      </c>
      <c r="CK198" s="1070">
        <f t="shared" si="944"/>
        <v>2035</v>
      </c>
      <c r="CL198" s="607">
        <f t="shared" ref="CL198:CO199" si="945">+CL176</f>
        <v>10210</v>
      </c>
      <c r="CM198" s="1070">
        <f t="shared" si="945"/>
        <v>9948</v>
      </c>
      <c r="CN198" s="1070">
        <f t="shared" si="945"/>
        <v>10093</v>
      </c>
      <c r="CO198" s="1070">
        <f t="shared" si="945"/>
        <v>11050</v>
      </c>
      <c r="CP198" s="607"/>
      <c r="CQ198" s="1070"/>
      <c r="CR198" s="1070"/>
      <c r="CS198" s="1070"/>
      <c r="CT198" s="607"/>
      <c r="CU198" s="1070"/>
      <c r="CV198" s="1070"/>
      <c r="CW198" s="1070"/>
      <c r="CX198" s="607"/>
      <c r="CY198" s="1070"/>
      <c r="CZ198" s="1070"/>
      <c r="DA198" s="1070"/>
      <c r="DB198" s="607"/>
      <c r="DC198" s="1070"/>
      <c r="DD198" s="1070"/>
      <c r="DE198" s="1070"/>
      <c r="DF198" s="607"/>
      <c r="DG198" s="1070"/>
      <c r="DH198" s="1070"/>
      <c r="DI198" s="608"/>
      <c r="DJ198" s="607"/>
      <c r="DK198" s="1070"/>
      <c r="DL198" s="1070"/>
      <c r="DM198" s="608"/>
      <c r="DN198" s="1070"/>
      <c r="DO198" s="1070"/>
      <c r="DP198" s="1070"/>
      <c r="DQ198" s="608"/>
      <c r="DR198" s="607"/>
      <c r="DS198" s="1070"/>
      <c r="DT198" s="1070"/>
      <c r="DU198" s="608"/>
      <c r="DV198" s="1070"/>
      <c r="DW198" s="1070"/>
      <c r="DX198" s="1070"/>
      <c r="DY198" s="608"/>
    </row>
    <row r="199" spans="1:129" s="1491" customFormat="1" ht="15" hidden="1" customHeight="1" outlineLevel="2">
      <c r="A199" s="1464" t="s">
        <v>1480</v>
      </c>
      <c r="B199" s="1064"/>
      <c r="C199" s="1064"/>
      <c r="D199" s="1070"/>
      <c r="E199" s="1070"/>
      <c r="F199" s="1070"/>
      <c r="G199" s="1229"/>
      <c r="H199" s="1070"/>
      <c r="I199" s="1070"/>
      <c r="J199" s="1070"/>
      <c r="K199" s="1070"/>
      <c r="L199" s="1070"/>
      <c r="M199" s="1070"/>
      <c r="N199" s="1070">
        <f>CC199</f>
        <v>55</v>
      </c>
      <c r="O199" s="1064">
        <f>O182-O196</f>
        <v>-268</v>
      </c>
      <c r="P199" s="1064">
        <f>P182-P196</f>
        <v>139</v>
      </c>
      <c r="Q199" s="1064">
        <f>Q182-Q196</f>
        <v>2426</v>
      </c>
      <c r="R199" s="1064"/>
      <c r="S199" s="1064"/>
      <c r="T199" s="568"/>
      <c r="U199" s="1064"/>
      <c r="V199" s="1064"/>
      <c r="W199" s="1064"/>
      <c r="X199" s="1064"/>
      <c r="Y199" s="1064"/>
      <c r="Z199" s="1064"/>
      <c r="AA199" s="1064"/>
      <c r="AB199" s="1064"/>
      <c r="AC199" s="1064"/>
      <c r="AD199" s="1064"/>
      <c r="AE199" s="1064"/>
      <c r="AF199" s="1064"/>
      <c r="AG199" s="1064"/>
      <c r="AH199" s="2201"/>
      <c r="AI199" s="1927"/>
      <c r="AJ199" s="1561"/>
      <c r="AK199" s="1070"/>
      <c r="AL199" s="1070"/>
      <c r="AM199" s="1064"/>
      <c r="AN199" s="1070"/>
      <c r="AO199" s="1070"/>
      <c r="AP199" s="607"/>
      <c r="AQ199" s="1070"/>
      <c r="AR199" s="1070"/>
      <c r="AS199" s="1070"/>
      <c r="AT199" s="607"/>
      <c r="AU199" s="1070"/>
      <c r="AV199" s="1070"/>
      <c r="AW199" s="1070"/>
      <c r="AX199" s="607"/>
      <c r="AY199" s="1070"/>
      <c r="AZ199" s="1070"/>
      <c r="BA199" s="1070"/>
      <c r="BB199" s="607"/>
      <c r="BC199" s="1070"/>
      <c r="BD199" s="1070"/>
      <c r="BE199" s="1070"/>
      <c r="BF199" s="607">
        <f t="shared" ref="BF199:CH199" si="946">BF198-BE198</f>
        <v>12</v>
      </c>
      <c r="BG199" s="1070">
        <f t="shared" si="946"/>
        <v>32</v>
      </c>
      <c r="BH199" s="1070">
        <f t="shared" si="946"/>
        <v>32</v>
      </c>
      <c r="BI199" s="1070">
        <f t="shared" si="946"/>
        <v>28</v>
      </c>
      <c r="BJ199" s="607">
        <f t="shared" si="946"/>
        <v>8</v>
      </c>
      <c r="BK199" s="1070">
        <f t="shared" si="946"/>
        <v>28</v>
      </c>
      <c r="BL199" s="1070">
        <f t="shared" si="946"/>
        <v>48</v>
      </c>
      <c r="BM199" s="1070">
        <f t="shared" si="946"/>
        <v>40</v>
      </c>
      <c r="BN199" s="607">
        <f t="shared" si="946"/>
        <v>32</v>
      </c>
      <c r="BO199" s="1070">
        <f t="shared" si="946"/>
        <v>52</v>
      </c>
      <c r="BP199" s="1070">
        <f t="shared" si="946"/>
        <v>56</v>
      </c>
      <c r="BQ199" s="1070">
        <f t="shared" si="946"/>
        <v>60</v>
      </c>
      <c r="BR199" s="607">
        <f t="shared" si="946"/>
        <v>211.59999999999991</v>
      </c>
      <c r="BS199" s="1070">
        <f t="shared" si="946"/>
        <v>-95.599999999999909</v>
      </c>
      <c r="BT199" s="1070">
        <f t="shared" si="946"/>
        <v>68</v>
      </c>
      <c r="BU199" s="1070">
        <f t="shared" si="946"/>
        <v>287</v>
      </c>
      <c r="BV199" s="607">
        <f t="shared" si="946"/>
        <v>124</v>
      </c>
      <c r="BW199" s="1070">
        <f t="shared" si="946"/>
        <v>-11</v>
      </c>
      <c r="BX199" s="1070">
        <f t="shared" si="946"/>
        <v>11</v>
      </c>
      <c r="BY199" s="1070">
        <f t="shared" si="946"/>
        <v>206</v>
      </c>
      <c r="BZ199" s="607">
        <f t="shared" si="946"/>
        <v>59</v>
      </c>
      <c r="CA199" s="1070">
        <f t="shared" si="946"/>
        <v>-106</v>
      </c>
      <c r="CB199" s="1070">
        <f t="shared" si="946"/>
        <v>-69</v>
      </c>
      <c r="CC199" s="1070">
        <f t="shared" si="946"/>
        <v>55</v>
      </c>
      <c r="CD199" s="607">
        <f t="shared" si="946"/>
        <v>18</v>
      </c>
      <c r="CE199" s="1070">
        <f t="shared" si="946"/>
        <v>-284</v>
      </c>
      <c r="CF199" s="1070">
        <f t="shared" si="946"/>
        <v>-115</v>
      </c>
      <c r="CG199" s="1070">
        <f t="shared" si="946"/>
        <v>113</v>
      </c>
      <c r="CH199" s="607">
        <f t="shared" si="946"/>
        <v>20</v>
      </c>
      <c r="CI199" s="1064">
        <f>CI198-CH198+(CI197-CI185)</f>
        <v>9</v>
      </c>
      <c r="CJ199" s="1064">
        <f>CJ198-CI198+(CJ197-CJ185)</f>
        <v>-19</v>
      </c>
      <c r="CK199" s="1064">
        <f>CK198-CJ198+(CK197-CK185)</f>
        <v>17</v>
      </c>
      <c r="CL199" s="607">
        <f t="shared" si="945"/>
        <v>-249</v>
      </c>
      <c r="CM199" s="1064">
        <f t="shared" si="945"/>
        <v>-255</v>
      </c>
      <c r="CN199" s="1064">
        <f t="shared" si="945"/>
        <v>112</v>
      </c>
      <c r="CO199" s="1064">
        <f t="shared" si="945"/>
        <v>958</v>
      </c>
      <c r="CP199" s="569"/>
      <c r="CQ199" s="1064"/>
      <c r="CR199" s="1064"/>
      <c r="CS199" s="1064"/>
      <c r="CT199" s="569"/>
      <c r="CU199" s="1064"/>
      <c r="CV199" s="1064"/>
      <c r="CW199" s="1064"/>
      <c r="CX199" s="569"/>
      <c r="CY199" s="1064"/>
      <c r="CZ199" s="1064"/>
      <c r="DA199" s="1064"/>
      <c r="DB199" s="569"/>
      <c r="DC199" s="1064"/>
      <c r="DD199" s="1064"/>
      <c r="DE199" s="1064"/>
      <c r="DF199" s="569"/>
      <c r="DG199" s="1064"/>
      <c r="DH199" s="1064"/>
      <c r="DI199" s="568"/>
      <c r="DJ199" s="569"/>
      <c r="DK199" s="1064"/>
      <c r="DL199" s="1064"/>
      <c r="DM199" s="568"/>
      <c r="DN199" s="1064"/>
      <c r="DO199" s="1064"/>
      <c r="DP199" s="1064"/>
      <c r="DQ199" s="568"/>
      <c r="DR199" s="569"/>
      <c r="DS199" s="1064"/>
      <c r="DT199" s="1064"/>
      <c r="DU199" s="568"/>
      <c r="DV199" s="1064"/>
      <c r="DW199" s="1064"/>
      <c r="DX199" s="1064"/>
      <c r="DY199" s="568"/>
    </row>
    <row r="200" spans="1:129" s="1491" customFormat="1" ht="15" hidden="1" customHeight="1" outlineLevel="2">
      <c r="A200" s="1464" t="s">
        <v>71</v>
      </c>
      <c r="B200" s="1064"/>
      <c r="C200" s="1064"/>
      <c r="D200" s="1070"/>
      <c r="E200" s="1070"/>
      <c r="F200" s="1070"/>
      <c r="G200" s="1229"/>
      <c r="H200" s="1070"/>
      <c r="I200" s="1070"/>
      <c r="J200" s="1070"/>
      <c r="K200" s="1070"/>
      <c r="L200" s="1070"/>
      <c r="M200" s="1070"/>
      <c r="N200" s="1064">
        <f>N199/N182</f>
        <v>7.1289695398574198E-3</v>
      </c>
      <c r="O200" s="1064">
        <f>O199/O182</f>
        <v>-4.027047332832457E-2</v>
      </c>
      <c r="P200" s="1064">
        <f>P199/P182</f>
        <v>2.4052604256791833E-2</v>
      </c>
      <c r="Q200" s="1064">
        <f>Q199/Q182</f>
        <v>0.49159067882472141</v>
      </c>
      <c r="R200" s="1064"/>
      <c r="S200" s="1043"/>
      <c r="T200" s="497"/>
      <c r="U200" s="1043"/>
      <c r="V200" s="1043"/>
      <c r="W200" s="1043"/>
      <c r="X200" s="1043"/>
      <c r="Y200" s="1043"/>
      <c r="Z200" s="1043"/>
      <c r="AA200" s="1043"/>
      <c r="AB200" s="1043"/>
      <c r="AC200" s="1043"/>
      <c r="AD200" s="1043"/>
      <c r="AE200" s="1043"/>
      <c r="AF200" s="1043"/>
      <c r="AG200" s="1043"/>
      <c r="AH200" s="2201"/>
      <c r="AI200" s="1927"/>
      <c r="AJ200" s="1561"/>
      <c r="AK200" s="1070"/>
      <c r="AL200" s="1070"/>
      <c r="AM200" s="1064"/>
      <c r="AN200" s="1070"/>
      <c r="AO200" s="1070"/>
      <c r="AP200" s="607"/>
      <c r="AQ200" s="1070"/>
      <c r="AR200" s="1070"/>
      <c r="AS200" s="1070"/>
      <c r="AT200" s="607"/>
      <c r="AU200" s="1070"/>
      <c r="AV200" s="1070"/>
      <c r="AW200" s="1070"/>
      <c r="AX200" s="607"/>
      <c r="AY200" s="1070"/>
      <c r="AZ200" s="1070"/>
      <c r="BA200" s="1070"/>
      <c r="BB200" s="607"/>
      <c r="BC200" s="1070"/>
      <c r="BD200" s="1070"/>
      <c r="BE200" s="1070"/>
      <c r="BF200" s="607"/>
      <c r="BG200" s="1070"/>
      <c r="BH200" s="1070"/>
      <c r="BI200" s="1070"/>
      <c r="BJ200" s="607"/>
      <c r="BK200" s="1070"/>
      <c r="BL200" s="1070"/>
      <c r="BM200" s="1070"/>
      <c r="BN200" s="607"/>
      <c r="BO200" s="1070"/>
      <c r="BP200" s="1070"/>
      <c r="BQ200" s="1070"/>
      <c r="BR200" s="607"/>
      <c r="BS200" s="1070"/>
      <c r="BT200" s="1070"/>
      <c r="BU200" s="1070"/>
      <c r="BV200" s="607"/>
      <c r="BW200" s="1070"/>
      <c r="BX200" s="1070"/>
      <c r="BY200" s="1070"/>
      <c r="BZ200" s="607"/>
      <c r="CA200" s="1070"/>
      <c r="CB200" s="1070"/>
      <c r="CC200" s="1070"/>
      <c r="CD200" s="569">
        <f t="shared" ref="CD200:CO200" si="947">CD199/CD182</f>
        <v>1.0817307692307692E-2</v>
      </c>
      <c r="CE200" s="1064">
        <f t="shared" si="947"/>
        <v>-0.21225710014947682</v>
      </c>
      <c r="CF200" s="1064">
        <f t="shared" si="947"/>
        <v>-6.9908814589665649E-2</v>
      </c>
      <c r="CG200" s="1064">
        <f t="shared" si="947"/>
        <v>5.6274900398406373E-2</v>
      </c>
      <c r="CH200" s="569">
        <f t="shared" si="947"/>
        <v>1.3596193065941536E-2</v>
      </c>
      <c r="CI200" s="1064">
        <f t="shared" si="947"/>
        <v>6.1770761839396015E-3</v>
      </c>
      <c r="CJ200" s="1064">
        <f t="shared" si="947"/>
        <v>-1.2829169480081027E-2</v>
      </c>
      <c r="CK200" s="1064">
        <f t="shared" si="947"/>
        <v>1.2408759124087591E-2</v>
      </c>
      <c r="CL200" s="569">
        <f t="shared" si="947"/>
        <v>-0.26073298429319369</v>
      </c>
      <c r="CM200" s="1039">
        <f t="shared" si="947"/>
        <v>-0.30465949820788529</v>
      </c>
      <c r="CN200" s="1039">
        <f t="shared" si="947"/>
        <v>0.10894941634241245</v>
      </c>
      <c r="CO200" s="1039">
        <f t="shared" si="947"/>
        <v>0.45295508274231677</v>
      </c>
      <c r="CP200" s="496"/>
      <c r="CQ200" s="1043"/>
      <c r="CR200" s="1043"/>
      <c r="CS200" s="1043"/>
      <c r="CT200" s="496"/>
      <c r="CU200" s="1043"/>
      <c r="CV200" s="1043"/>
      <c r="CW200" s="1043"/>
      <c r="CX200" s="496"/>
      <c r="CY200" s="1043"/>
      <c r="CZ200" s="1043"/>
      <c r="DA200" s="1043"/>
      <c r="DB200" s="496"/>
      <c r="DC200" s="1043"/>
      <c r="DD200" s="1043"/>
      <c r="DE200" s="1043"/>
      <c r="DF200" s="496"/>
      <c r="DG200" s="1043"/>
      <c r="DH200" s="1043"/>
      <c r="DI200" s="497"/>
      <c r="DJ200" s="496"/>
      <c r="DK200" s="1043"/>
      <c r="DL200" s="1043"/>
      <c r="DM200" s="497"/>
      <c r="DN200" s="1043"/>
      <c r="DO200" s="1043"/>
      <c r="DP200" s="1043"/>
      <c r="DQ200" s="497"/>
      <c r="DR200" s="496"/>
      <c r="DS200" s="1043"/>
      <c r="DT200" s="1043"/>
      <c r="DU200" s="497"/>
      <c r="DV200" s="1043"/>
      <c r="DW200" s="1043"/>
      <c r="DX200" s="1043"/>
      <c r="DY200" s="497"/>
    </row>
    <row r="201" spans="1:129" s="1491" customFormat="1" ht="15" hidden="1" customHeight="1" outlineLevel="2">
      <c r="A201" s="151"/>
      <c r="B201" s="1064"/>
      <c r="C201" s="1064"/>
      <c r="D201" s="1070"/>
      <c r="E201" s="1070"/>
      <c r="F201" s="1070"/>
      <c r="G201" s="1229"/>
      <c r="H201" s="1070"/>
      <c r="I201" s="1070"/>
      <c r="J201" s="1070"/>
      <c r="K201" s="1070"/>
      <c r="L201" s="1070"/>
      <c r="M201" s="1070"/>
      <c r="N201" s="1064"/>
      <c r="O201" s="1070"/>
      <c r="P201" s="1070"/>
      <c r="Q201" s="1070"/>
      <c r="R201" s="1070"/>
      <c r="S201" s="1064"/>
      <c r="T201" s="608"/>
      <c r="U201" s="1070"/>
      <c r="V201" s="1070"/>
      <c r="W201" s="1070"/>
      <c r="X201" s="1070"/>
      <c r="Y201" s="1070"/>
      <c r="Z201" s="1070"/>
      <c r="AA201" s="1070"/>
      <c r="AB201" s="1070"/>
      <c r="AC201" s="1070"/>
      <c r="AD201" s="1070"/>
      <c r="AE201" s="1070"/>
      <c r="AF201" s="1070"/>
      <c r="AG201" s="1070"/>
      <c r="AH201" s="2201"/>
      <c r="AI201" s="1927"/>
      <c r="AJ201" s="1561"/>
      <c r="AK201" s="1070"/>
      <c r="AL201" s="1070"/>
      <c r="AM201" s="1064"/>
      <c r="AN201" s="1070"/>
      <c r="AO201" s="1070"/>
      <c r="AP201" s="607"/>
      <c r="AQ201" s="1070"/>
      <c r="AR201" s="1070"/>
      <c r="AS201" s="1070"/>
      <c r="AT201" s="607"/>
      <c r="AU201" s="1070"/>
      <c r="AV201" s="1070"/>
      <c r="AW201" s="1070"/>
      <c r="AX201" s="607"/>
      <c r="AY201" s="1070"/>
      <c r="AZ201" s="1070"/>
      <c r="BA201" s="1070"/>
      <c r="BB201" s="607"/>
      <c r="BC201" s="1070"/>
      <c r="BD201" s="1070"/>
      <c r="BE201" s="1070"/>
      <c r="BF201" s="607"/>
      <c r="BG201" s="1070"/>
      <c r="BH201" s="1070"/>
      <c r="BI201" s="1070"/>
      <c r="BJ201" s="607"/>
      <c r="BK201" s="1070"/>
      <c r="BL201" s="1070"/>
      <c r="BM201" s="1070"/>
      <c r="BN201" s="496"/>
      <c r="BO201" s="1064"/>
      <c r="BP201" s="1064"/>
      <c r="BQ201" s="1043"/>
      <c r="BR201" s="496"/>
      <c r="BS201" s="1043"/>
      <c r="BT201" s="1064"/>
      <c r="BU201" s="1043"/>
      <c r="BV201" s="496"/>
      <c r="BW201" s="1064"/>
      <c r="BX201" s="1064"/>
      <c r="BY201" s="1064"/>
      <c r="BZ201" s="569"/>
      <c r="CA201" s="1064"/>
      <c r="CB201" s="1064"/>
      <c r="CC201" s="1064"/>
      <c r="CD201" s="569"/>
      <c r="CE201" s="1064"/>
      <c r="CF201" s="1064"/>
      <c r="CG201" s="1064"/>
      <c r="CH201" s="569"/>
      <c r="CI201" s="1064"/>
      <c r="CJ201" s="1064"/>
      <c r="CK201" s="1064"/>
      <c r="CL201" s="569"/>
      <c r="CM201" s="1064"/>
      <c r="CN201" s="1064"/>
      <c r="CO201" s="1064"/>
      <c r="CP201" s="569"/>
      <c r="CQ201" s="1064"/>
      <c r="CR201" s="1064"/>
      <c r="CS201" s="1064"/>
      <c r="CT201" s="569"/>
      <c r="CU201" s="1064"/>
      <c r="CV201" s="1064"/>
      <c r="CW201" s="1064"/>
      <c r="CX201" s="569"/>
      <c r="CY201" s="1064"/>
      <c r="CZ201" s="1064"/>
      <c r="DA201" s="1064"/>
      <c r="DB201" s="569"/>
      <c r="DC201" s="1064"/>
      <c r="DD201" s="1064"/>
      <c r="DE201" s="1064"/>
      <c r="DF201" s="569"/>
      <c r="DG201" s="1064"/>
      <c r="DH201" s="1064"/>
      <c r="DI201" s="568"/>
      <c r="DJ201" s="569"/>
      <c r="DK201" s="1064"/>
      <c r="DL201" s="1064"/>
      <c r="DM201" s="568"/>
      <c r="DN201" s="1064"/>
      <c r="DO201" s="1064"/>
      <c r="DP201" s="1064"/>
      <c r="DQ201" s="568"/>
      <c r="DR201" s="569"/>
      <c r="DS201" s="1064"/>
      <c r="DT201" s="1064"/>
      <c r="DU201" s="568"/>
      <c r="DV201" s="1064"/>
      <c r="DW201" s="1064"/>
      <c r="DX201" s="1064"/>
      <c r="DY201" s="568"/>
    </row>
    <row r="202" spans="1:129" s="1491" customFormat="1" ht="15" hidden="1" customHeight="1" outlineLevel="2">
      <c r="A202" s="1449" t="s">
        <v>78</v>
      </c>
      <c r="B202" s="1064"/>
      <c r="C202" s="1064"/>
      <c r="D202" s="1070"/>
      <c r="E202" s="1070"/>
      <c r="F202" s="1070"/>
      <c r="G202" s="1229"/>
      <c r="H202" s="1070"/>
      <c r="I202" s="1070"/>
      <c r="J202" s="1070"/>
      <c r="K202" s="1070"/>
      <c r="L202" s="1070"/>
      <c r="M202" s="1070"/>
      <c r="N202" s="1064"/>
      <c r="O202" s="1070"/>
      <c r="P202" s="1070"/>
      <c r="Q202" s="1070"/>
      <c r="R202" s="1070"/>
      <c r="S202" s="1064"/>
      <c r="T202" s="608"/>
      <c r="U202" s="1070"/>
      <c r="V202" s="1070"/>
      <c r="W202" s="1070"/>
      <c r="X202" s="1070"/>
      <c r="Y202" s="1070"/>
      <c r="Z202" s="1070"/>
      <c r="AA202" s="1070"/>
      <c r="AB202" s="1070"/>
      <c r="AC202" s="1070"/>
      <c r="AD202" s="1070"/>
      <c r="AE202" s="1070"/>
      <c r="AF202" s="1070"/>
      <c r="AG202" s="1070"/>
      <c r="AH202" s="2201"/>
      <c r="AI202" s="1927"/>
      <c r="AJ202" s="1561"/>
      <c r="AK202" s="1070"/>
      <c r="AL202" s="1070"/>
      <c r="AM202" s="1064"/>
      <c r="AN202" s="1070"/>
      <c r="AO202" s="1070"/>
      <c r="AP202" s="607"/>
      <c r="AQ202" s="1070"/>
      <c r="AR202" s="1070"/>
      <c r="AS202" s="1070"/>
      <c r="AT202" s="607"/>
      <c r="AU202" s="1070"/>
      <c r="AV202" s="1070"/>
      <c r="AW202" s="1070"/>
      <c r="AX202" s="607"/>
      <c r="AY202" s="1070"/>
      <c r="AZ202" s="1070"/>
      <c r="BA202" s="1070"/>
      <c r="BB202" s="607"/>
      <c r="BC202" s="1070"/>
      <c r="BD202" s="1070"/>
      <c r="BE202" s="1070"/>
      <c r="BF202" s="607"/>
      <c r="BG202" s="1070"/>
      <c r="BH202" s="1070"/>
      <c r="BI202" s="1070"/>
      <c r="BJ202" s="607"/>
      <c r="BK202" s="1070"/>
      <c r="BL202" s="1070"/>
      <c r="BM202" s="1070"/>
      <c r="BN202" s="496"/>
      <c r="BO202" s="1064"/>
      <c r="BP202" s="1064"/>
      <c r="BQ202" s="1043"/>
      <c r="BR202" s="496"/>
      <c r="BS202" s="1043"/>
      <c r="BT202" s="1064"/>
      <c r="BU202" s="1043"/>
      <c r="BV202" s="496"/>
      <c r="BW202" s="1064"/>
      <c r="BX202" s="1064"/>
      <c r="BY202" s="1064"/>
      <c r="BZ202" s="569"/>
      <c r="CA202" s="1064"/>
      <c r="CB202" s="1064"/>
      <c r="CC202" s="1064"/>
      <c r="CD202" s="569"/>
      <c r="CE202" s="1064"/>
      <c r="CF202" s="1064"/>
      <c r="CG202" s="1064"/>
      <c r="CH202" s="569"/>
      <c r="CI202" s="1064"/>
      <c r="CJ202" s="1064"/>
      <c r="CK202" s="1064"/>
      <c r="CL202" s="569"/>
      <c r="CM202" s="1064"/>
      <c r="CN202" s="1064"/>
      <c r="CO202" s="1064"/>
      <c r="CP202" s="569"/>
      <c r="CQ202" s="1064"/>
      <c r="CR202" s="1064"/>
      <c r="CS202" s="1064"/>
      <c r="CT202" s="569"/>
      <c r="CU202" s="1064"/>
      <c r="CV202" s="1064"/>
      <c r="CW202" s="1064"/>
      <c r="CX202" s="569"/>
      <c r="CY202" s="1064"/>
      <c r="CZ202" s="1064"/>
      <c r="DA202" s="1064"/>
      <c r="DB202" s="569"/>
      <c r="DC202" s="1064"/>
      <c r="DD202" s="1064"/>
      <c r="DE202" s="1064"/>
      <c r="DF202" s="569"/>
      <c r="DG202" s="1064"/>
      <c r="DH202" s="1064"/>
      <c r="DI202" s="568"/>
      <c r="DJ202" s="569"/>
      <c r="DK202" s="1064"/>
      <c r="DL202" s="1064"/>
      <c r="DM202" s="568"/>
      <c r="DN202" s="1064"/>
      <c r="DO202" s="1064"/>
      <c r="DP202" s="1064"/>
      <c r="DQ202" s="568"/>
      <c r="DR202" s="569"/>
      <c r="DS202" s="1064"/>
      <c r="DT202" s="1064"/>
      <c r="DU202" s="568"/>
      <c r="DV202" s="1064"/>
      <c r="DW202" s="1064"/>
      <c r="DX202" s="1064"/>
      <c r="DY202" s="568"/>
    </row>
    <row r="203" spans="1:129" s="1491" customFormat="1" ht="15" hidden="1" customHeight="1" outlineLevel="2">
      <c r="A203" s="1449" t="s">
        <v>79</v>
      </c>
      <c r="B203" s="1064"/>
      <c r="C203" s="1064"/>
      <c r="D203" s="1070"/>
      <c r="E203" s="1070"/>
      <c r="F203" s="1070"/>
      <c r="G203" s="1229"/>
      <c r="H203" s="1070"/>
      <c r="I203" s="1070"/>
      <c r="J203" s="1070"/>
      <c r="K203" s="1070"/>
      <c r="L203" s="1070"/>
      <c r="M203" s="1070"/>
      <c r="N203" s="1064">
        <f>CC203</f>
        <v>0.92589582063266274</v>
      </c>
      <c r="O203" s="1064">
        <f>CG203</f>
        <v>0.92853120672074507</v>
      </c>
      <c r="P203" s="1064">
        <f>CK203</f>
        <v>0.92945764405462417</v>
      </c>
      <c r="Q203" s="1064">
        <f>CO203</f>
        <v>0.83418829991191257</v>
      </c>
      <c r="R203" s="1064"/>
      <c r="S203" s="1064"/>
      <c r="T203" s="568"/>
      <c r="U203" s="1064"/>
      <c r="V203" s="1064"/>
      <c r="W203" s="1064"/>
      <c r="X203" s="1064"/>
      <c r="Y203" s="1064"/>
      <c r="Z203" s="1064"/>
      <c r="AA203" s="1064"/>
      <c r="AB203" s="1064"/>
      <c r="AC203" s="1064"/>
      <c r="AD203" s="1064"/>
      <c r="AE203" s="1064"/>
      <c r="AF203" s="1064"/>
      <c r="AG203" s="1064"/>
      <c r="AH203" s="2201"/>
      <c r="AI203" s="1927"/>
      <c r="AJ203" s="1561"/>
      <c r="AK203" s="1070"/>
      <c r="AL203" s="1070"/>
      <c r="AM203" s="1064"/>
      <c r="AN203" s="1070"/>
      <c r="AO203" s="1070"/>
      <c r="AP203" s="607"/>
      <c r="AQ203" s="1070"/>
      <c r="AR203" s="1070"/>
      <c r="AS203" s="1070"/>
      <c r="AT203" s="607"/>
      <c r="AU203" s="1070"/>
      <c r="AV203" s="1070"/>
      <c r="AW203" s="1070"/>
      <c r="AX203" s="607"/>
      <c r="AY203" s="1070"/>
      <c r="AZ203" s="1070"/>
      <c r="BA203" s="1070"/>
      <c r="BB203" s="607"/>
      <c r="BC203" s="1070"/>
      <c r="BD203" s="1070"/>
      <c r="BE203" s="1070"/>
      <c r="BF203" s="607"/>
      <c r="BG203" s="1070"/>
      <c r="BH203" s="1070"/>
      <c r="BI203" s="1070"/>
      <c r="BJ203" s="607"/>
      <c r="BK203" s="1070"/>
      <c r="BL203" s="1070"/>
      <c r="BM203" s="1070"/>
      <c r="BN203" s="607"/>
      <c r="BO203" s="1070"/>
      <c r="BP203" s="1070"/>
      <c r="BQ203" s="1070"/>
      <c r="BR203" s="607"/>
      <c r="BS203" s="1070"/>
      <c r="BT203" s="1070"/>
      <c r="BU203" s="1070"/>
      <c r="BV203" s="607"/>
      <c r="BW203" s="1070"/>
      <c r="BX203" s="1070"/>
      <c r="BY203" s="1070"/>
      <c r="BZ203" s="569">
        <f t="shared" ref="BZ203:CO203" si="948">BZ208/BZ194</f>
        <v>0.92417955488494907</v>
      </c>
      <c r="CA203" s="1064">
        <f t="shared" si="948"/>
        <v>0.92510258046867877</v>
      </c>
      <c r="CB203" s="1064">
        <f t="shared" si="948"/>
        <v>0.92702697939979206</v>
      </c>
      <c r="CC203" s="1064">
        <f t="shared" si="948"/>
        <v>0.92589582063266274</v>
      </c>
      <c r="CD203" s="569">
        <f t="shared" si="948"/>
        <v>0.92456683575993148</v>
      </c>
      <c r="CE203" s="1064">
        <f t="shared" si="948"/>
        <v>0.92941631482257392</v>
      </c>
      <c r="CF203" s="1064">
        <f t="shared" si="948"/>
        <v>0.93192985761157943</v>
      </c>
      <c r="CG203" s="1064">
        <f t="shared" si="948"/>
        <v>0.92853120672074507</v>
      </c>
      <c r="CH203" s="569">
        <f t="shared" si="948"/>
        <v>0.9272976271993808</v>
      </c>
      <c r="CI203" s="1064">
        <f t="shared" si="948"/>
        <v>0.92834990754357105</v>
      </c>
      <c r="CJ203" s="1064">
        <f t="shared" si="948"/>
        <v>0.92973957744887581</v>
      </c>
      <c r="CK203" s="1064">
        <f t="shared" si="948"/>
        <v>0.92945764405462417</v>
      </c>
      <c r="CL203" s="569">
        <f t="shared" si="948"/>
        <v>0.83725511418984744</v>
      </c>
      <c r="CM203" s="1064">
        <f t="shared" si="948"/>
        <v>0.84096760351855826</v>
      </c>
      <c r="CN203" s="1064">
        <f t="shared" si="948"/>
        <v>0.84114199722342919</v>
      </c>
      <c r="CO203" s="1064">
        <f t="shared" si="948"/>
        <v>0.83418829991191257</v>
      </c>
      <c r="CP203" s="569"/>
      <c r="CQ203" s="1064"/>
      <c r="CR203" s="1064"/>
      <c r="CS203" s="1064"/>
      <c r="CT203" s="569"/>
      <c r="CU203" s="1064"/>
      <c r="CV203" s="1064"/>
      <c r="CW203" s="1064"/>
      <c r="CX203" s="569"/>
      <c r="CY203" s="1064"/>
      <c r="CZ203" s="1064"/>
      <c r="DA203" s="1064"/>
      <c r="DB203" s="569"/>
      <c r="DC203" s="1064"/>
      <c r="DD203" s="1064"/>
      <c r="DE203" s="1064"/>
      <c r="DF203" s="569"/>
      <c r="DG203" s="1064"/>
      <c r="DH203" s="1064"/>
      <c r="DI203" s="568"/>
      <c r="DJ203" s="569"/>
      <c r="DK203" s="1064"/>
      <c r="DL203" s="1064"/>
      <c r="DM203" s="568"/>
      <c r="DN203" s="1064"/>
      <c r="DO203" s="1064"/>
      <c r="DP203" s="1064"/>
      <c r="DQ203" s="568"/>
      <c r="DR203" s="569"/>
      <c r="DS203" s="1064"/>
      <c r="DT203" s="1064"/>
      <c r="DU203" s="568"/>
      <c r="DV203" s="1064"/>
      <c r="DW203" s="1064"/>
      <c r="DX203" s="1064"/>
      <c r="DY203" s="568"/>
    </row>
    <row r="204" spans="1:129" s="1491" customFormat="1" ht="15" hidden="1" customHeight="1" outlineLevel="2">
      <c r="A204" s="1449" t="s">
        <v>80</v>
      </c>
      <c r="B204" s="1064"/>
      <c r="C204" s="1064"/>
      <c r="D204" s="1070"/>
      <c r="E204" s="1070"/>
      <c r="F204" s="1070"/>
      <c r="G204" s="1229"/>
      <c r="H204" s="1070"/>
      <c r="I204" s="1070"/>
      <c r="J204" s="1070"/>
      <c r="K204" s="1070"/>
      <c r="L204" s="1070"/>
      <c r="M204" s="1070"/>
      <c r="N204" s="1064">
        <f>CC204</f>
        <v>3.6171509855720381E-2</v>
      </c>
      <c r="O204" s="1064">
        <f>CG204</f>
        <v>4.1456770207131663E-2</v>
      </c>
      <c r="P204" s="1064">
        <f>CK204</f>
        <v>4.2300432996558231E-2</v>
      </c>
      <c r="Q204" s="1064">
        <f>CO204</f>
        <v>5.1297994714752063E-2</v>
      </c>
      <c r="R204" s="1064"/>
      <c r="S204" s="1064"/>
      <c r="T204" s="568"/>
      <c r="U204" s="1064"/>
      <c r="V204" s="1064"/>
      <c r="W204" s="1064"/>
      <c r="X204" s="1064"/>
      <c r="Y204" s="1064"/>
      <c r="Z204" s="1064"/>
      <c r="AA204" s="1064"/>
      <c r="AB204" s="1064"/>
      <c r="AC204" s="1064"/>
      <c r="AD204" s="1064"/>
      <c r="AE204" s="1064"/>
      <c r="AF204" s="1064"/>
      <c r="AG204" s="1064"/>
      <c r="AH204" s="2201"/>
      <c r="AI204" s="1927"/>
      <c r="AJ204" s="1561"/>
      <c r="AK204" s="1070"/>
      <c r="AL204" s="1070"/>
      <c r="AM204" s="1064"/>
      <c r="AN204" s="1070"/>
      <c r="AO204" s="1070"/>
      <c r="AP204" s="607"/>
      <c r="AQ204" s="1070"/>
      <c r="AR204" s="1070"/>
      <c r="AS204" s="1070"/>
      <c r="AT204" s="607"/>
      <c r="AU204" s="1070"/>
      <c r="AV204" s="1070"/>
      <c r="AW204" s="1070"/>
      <c r="AX204" s="607"/>
      <c r="AY204" s="1070"/>
      <c r="AZ204" s="1070"/>
      <c r="BA204" s="1070"/>
      <c r="BB204" s="607"/>
      <c r="BC204" s="1070"/>
      <c r="BD204" s="1070"/>
      <c r="BE204" s="1070"/>
      <c r="BF204" s="607"/>
      <c r="BG204" s="1070"/>
      <c r="BH204" s="1070"/>
      <c r="BI204" s="1070"/>
      <c r="BJ204" s="607"/>
      <c r="BK204" s="1070"/>
      <c r="BL204" s="1070"/>
      <c r="BM204" s="1070"/>
      <c r="BN204" s="496"/>
      <c r="BO204" s="1064"/>
      <c r="BP204" s="1064"/>
      <c r="BQ204" s="1043"/>
      <c r="BR204" s="496"/>
      <c r="BS204" s="1043"/>
      <c r="BT204" s="1064"/>
      <c r="BU204" s="1043"/>
      <c r="BV204" s="496"/>
      <c r="BW204" s="1064"/>
      <c r="BX204" s="1064"/>
      <c r="BY204" s="1064"/>
      <c r="BZ204" s="569">
        <f t="shared" ref="BZ204:CO204" si="949">BZ211/BZ194</f>
        <v>3.1308940022632965E-2</v>
      </c>
      <c r="CA204" s="1064">
        <f t="shared" si="949"/>
        <v>3.3792285948755357E-2</v>
      </c>
      <c r="CB204" s="1064">
        <f t="shared" si="949"/>
        <v>3.4468782490704356E-2</v>
      </c>
      <c r="CC204" s="1064">
        <f t="shared" si="949"/>
        <v>3.6171509855720381E-2</v>
      </c>
      <c r="CD204" s="569">
        <f t="shared" si="949"/>
        <v>3.8243626062322948E-2</v>
      </c>
      <c r="CE204" s="1064">
        <f t="shared" si="949"/>
        <v>3.8772681857736808E-2</v>
      </c>
      <c r="CF204" s="1064">
        <f t="shared" si="949"/>
        <v>3.8886010769399834E-2</v>
      </c>
      <c r="CG204" s="1064">
        <f t="shared" si="949"/>
        <v>4.1456770207131663E-2</v>
      </c>
      <c r="CH204" s="569">
        <f t="shared" si="949"/>
        <v>4.3049807972848256E-2</v>
      </c>
      <c r="CI204" s="1064">
        <f t="shared" si="949"/>
        <v>4.2515397271443336E-2</v>
      </c>
      <c r="CJ204" s="1064">
        <f t="shared" si="949"/>
        <v>4.2000903852672015E-2</v>
      </c>
      <c r="CK204" s="1064">
        <f t="shared" si="949"/>
        <v>4.2300432996558231E-2</v>
      </c>
      <c r="CL204" s="569">
        <f t="shared" si="949"/>
        <v>5.2235090377746513E-2</v>
      </c>
      <c r="CM204" s="1064">
        <f t="shared" si="949"/>
        <v>5.2317099334906671E-2</v>
      </c>
      <c r="CN204" s="1064">
        <f t="shared" si="949"/>
        <v>5.1896440266635584E-2</v>
      </c>
      <c r="CO204" s="1064">
        <f t="shared" si="949"/>
        <v>5.1297994714752063E-2</v>
      </c>
      <c r="CP204" s="569"/>
      <c r="CQ204" s="1064"/>
      <c r="CR204" s="1064"/>
      <c r="CS204" s="1064"/>
      <c r="CT204" s="569"/>
      <c r="CU204" s="1064"/>
      <c r="CV204" s="1064"/>
      <c r="CW204" s="1064"/>
      <c r="CX204" s="569"/>
      <c r="CY204" s="1064"/>
      <c r="CZ204" s="1064"/>
      <c r="DA204" s="1064"/>
      <c r="DB204" s="569"/>
      <c r="DC204" s="1064"/>
      <c r="DD204" s="1064"/>
      <c r="DE204" s="1064"/>
      <c r="DF204" s="569"/>
      <c r="DG204" s="1064"/>
      <c r="DH204" s="1064"/>
      <c r="DI204" s="568"/>
      <c r="DJ204" s="569"/>
      <c r="DK204" s="1064"/>
      <c r="DL204" s="1064"/>
      <c r="DM204" s="568"/>
      <c r="DN204" s="1064"/>
      <c r="DO204" s="1064"/>
      <c r="DP204" s="1064"/>
      <c r="DQ204" s="568"/>
      <c r="DR204" s="569"/>
      <c r="DS204" s="1064"/>
      <c r="DT204" s="1064"/>
      <c r="DU204" s="568"/>
      <c r="DV204" s="1064"/>
      <c r="DW204" s="1064"/>
      <c r="DX204" s="1064"/>
      <c r="DY204" s="568"/>
    </row>
    <row r="205" spans="1:129" s="1491" customFormat="1" ht="15" hidden="1" customHeight="1" outlineLevel="2">
      <c r="A205" s="1449" t="s">
        <v>81</v>
      </c>
      <c r="B205" s="1064"/>
      <c r="C205" s="1064"/>
      <c r="D205" s="1070"/>
      <c r="E205" s="1070"/>
      <c r="F205" s="1070"/>
      <c r="G205" s="1229"/>
      <c r="H205" s="1070"/>
      <c r="I205" s="1070"/>
      <c r="J205" s="1070"/>
      <c r="K205" s="1070"/>
      <c r="L205" s="1070"/>
      <c r="M205" s="1070"/>
      <c r="N205" s="1064">
        <f>CC205</f>
        <v>3.7932669511616883E-2</v>
      </c>
      <c r="O205" s="1064">
        <f>CG205</f>
        <v>3.0012023072123212E-2</v>
      </c>
      <c r="P205" s="1064">
        <f>CK205</f>
        <v>2.8241922948817586E-2</v>
      </c>
      <c r="Q205" s="1064">
        <f>CO205</f>
        <v>0.11451370537333541</v>
      </c>
      <c r="R205" s="1064"/>
      <c r="S205" s="1064"/>
      <c r="T205" s="568"/>
      <c r="U205" s="1064"/>
      <c r="V205" s="1064"/>
      <c r="W205" s="1064"/>
      <c r="X205" s="1064"/>
      <c r="Y205" s="1064"/>
      <c r="Z205" s="1064"/>
      <c r="AA205" s="1064"/>
      <c r="AB205" s="1064"/>
      <c r="AC205" s="1064"/>
      <c r="AD205" s="1064"/>
      <c r="AE205" s="1064"/>
      <c r="AF205" s="1064"/>
      <c r="AG205" s="1064"/>
      <c r="AH205" s="2201"/>
      <c r="AI205" s="1927"/>
      <c r="AJ205" s="1561"/>
      <c r="AK205" s="1070"/>
      <c r="AL205" s="1070"/>
      <c r="AM205" s="1064"/>
      <c r="AN205" s="1070"/>
      <c r="AO205" s="1070"/>
      <c r="AP205" s="607"/>
      <c r="AQ205" s="1070"/>
      <c r="AR205" s="1070"/>
      <c r="AS205" s="1070"/>
      <c r="AT205" s="607"/>
      <c r="AU205" s="1070"/>
      <c r="AV205" s="1070"/>
      <c r="AW205" s="1070"/>
      <c r="AX205" s="607"/>
      <c r="AY205" s="1070"/>
      <c r="AZ205" s="1070"/>
      <c r="BA205" s="1070"/>
      <c r="BB205" s="607"/>
      <c r="BC205" s="1070"/>
      <c r="BD205" s="1070"/>
      <c r="BE205" s="1306">
        <f t="shared" ref="BE205:BM205" si="950">BF205</f>
        <v>0.04</v>
      </c>
      <c r="BF205" s="186">
        <f t="shared" si="950"/>
        <v>0.04</v>
      </c>
      <c r="BG205" s="1306">
        <f t="shared" si="950"/>
        <v>0.04</v>
      </c>
      <c r="BH205" s="1306">
        <f t="shared" si="950"/>
        <v>0.04</v>
      </c>
      <c r="BI205" s="1306">
        <f t="shared" si="950"/>
        <v>0.04</v>
      </c>
      <c r="BJ205" s="186">
        <f t="shared" si="950"/>
        <v>0.04</v>
      </c>
      <c r="BK205" s="1306">
        <f t="shared" si="950"/>
        <v>0.04</v>
      </c>
      <c r="BL205" s="1306">
        <f t="shared" si="950"/>
        <v>0.04</v>
      </c>
      <c r="BM205" s="1306">
        <f t="shared" si="950"/>
        <v>0.04</v>
      </c>
      <c r="BN205" s="496">
        <v>0.04</v>
      </c>
      <c r="BO205" s="1306">
        <f>BN205</f>
        <v>0.04</v>
      </c>
      <c r="BP205" s="1306">
        <f>BO205</f>
        <v>0.04</v>
      </c>
      <c r="BQ205" s="1043">
        <v>0.04</v>
      </c>
      <c r="BR205" s="496">
        <v>4.3999999999999997E-2</v>
      </c>
      <c r="BS205" s="1043">
        <v>0.04</v>
      </c>
      <c r="BT205" s="1306">
        <f>BS205</f>
        <v>0.04</v>
      </c>
      <c r="BU205" s="1043">
        <v>4.4999999999999998E-2</v>
      </c>
      <c r="BV205" s="496">
        <v>4.4999999999999998E-2</v>
      </c>
      <c r="BW205" s="1064">
        <f t="shared" ref="BW205:CO205" si="951">BW198/BW194</f>
        <v>4.3966244725738395E-2</v>
      </c>
      <c r="BX205" s="1064">
        <f t="shared" si="951"/>
        <v>4.2494929006085196E-2</v>
      </c>
      <c r="BY205" s="1064">
        <f t="shared" si="951"/>
        <v>4.4821473790833122E-2</v>
      </c>
      <c r="BZ205" s="569">
        <f t="shared" si="951"/>
        <v>4.4511505092417955E-2</v>
      </c>
      <c r="CA205" s="1064">
        <f t="shared" si="951"/>
        <v>4.110513358256588E-2</v>
      </c>
      <c r="CB205" s="1064">
        <f t="shared" si="951"/>
        <v>3.8504238109503583E-2</v>
      </c>
      <c r="CC205" s="1064">
        <f t="shared" si="951"/>
        <v>3.7932669511616883E-2</v>
      </c>
      <c r="CD205" s="569">
        <f t="shared" si="951"/>
        <v>3.7189538177745569E-2</v>
      </c>
      <c r="CE205" s="1064">
        <f t="shared" si="951"/>
        <v>3.18110033196893E-2</v>
      </c>
      <c r="CF205" s="1064">
        <f t="shared" si="951"/>
        <v>2.9184131619020708E-2</v>
      </c>
      <c r="CG205" s="1064">
        <f t="shared" si="951"/>
        <v>3.0012023072123212E-2</v>
      </c>
      <c r="CH205" s="569">
        <f t="shared" si="951"/>
        <v>2.9652564827770997E-2</v>
      </c>
      <c r="CI205" s="1064">
        <f t="shared" si="951"/>
        <v>2.9134695184985657E-2</v>
      </c>
      <c r="CJ205" s="1064">
        <f t="shared" si="951"/>
        <v>2.8259518698452151E-2</v>
      </c>
      <c r="CK205" s="1064">
        <f t="shared" si="951"/>
        <v>2.8241922948817586E-2</v>
      </c>
      <c r="CL205" s="569">
        <f t="shared" si="951"/>
        <v>0.1105097954324061</v>
      </c>
      <c r="CM205" s="1064">
        <f t="shared" si="951"/>
        <v>0.10671529714653508</v>
      </c>
      <c r="CN205" s="1064">
        <f t="shared" si="951"/>
        <v>0.10696156250993524</v>
      </c>
      <c r="CO205" s="1064">
        <f t="shared" si="951"/>
        <v>0.11451370537333541</v>
      </c>
      <c r="CP205" s="569"/>
      <c r="CQ205" s="1064"/>
      <c r="CR205" s="1064"/>
      <c r="CS205" s="1064"/>
      <c r="CT205" s="569"/>
      <c r="CU205" s="1064"/>
      <c r="CV205" s="1064"/>
      <c r="CW205" s="1064"/>
      <c r="CX205" s="569"/>
      <c r="CY205" s="1064"/>
      <c r="CZ205" s="1064"/>
      <c r="DA205" s="1064"/>
      <c r="DB205" s="569"/>
      <c r="DC205" s="1064"/>
      <c r="DD205" s="1064"/>
      <c r="DE205" s="1064"/>
      <c r="DF205" s="569"/>
      <c r="DG205" s="1064"/>
      <c r="DH205" s="1064"/>
      <c r="DI205" s="568"/>
      <c r="DJ205" s="569"/>
      <c r="DK205" s="1064"/>
      <c r="DL205" s="1064"/>
      <c r="DM205" s="568"/>
      <c r="DN205" s="1064"/>
      <c r="DO205" s="1064"/>
      <c r="DP205" s="1064"/>
      <c r="DQ205" s="568"/>
      <c r="DR205" s="569"/>
      <c r="DS205" s="1064"/>
      <c r="DT205" s="1064"/>
      <c r="DU205" s="568"/>
      <c r="DV205" s="1064"/>
      <c r="DW205" s="1064"/>
      <c r="DX205" s="1064"/>
      <c r="DY205" s="568"/>
    </row>
    <row r="206" spans="1:129" s="1491" customFormat="1" ht="15" hidden="1" customHeight="1" outlineLevel="2">
      <c r="A206" s="569"/>
      <c r="B206" s="1064"/>
      <c r="C206" s="1064"/>
      <c r="D206" s="1064"/>
      <c r="E206" s="1064"/>
      <c r="F206" s="1064"/>
      <c r="G206" s="1064"/>
      <c r="H206" s="1064"/>
      <c r="I206" s="1064"/>
      <c r="J206" s="1064"/>
      <c r="K206" s="1064"/>
      <c r="L206" s="1064"/>
      <c r="M206" s="1064"/>
      <c r="N206" s="1064"/>
      <c r="O206" s="1064"/>
      <c r="P206" s="1064"/>
      <c r="Q206" s="1064"/>
      <c r="R206" s="1064"/>
      <c r="S206" s="1064"/>
      <c r="T206" s="568"/>
      <c r="U206" s="1064"/>
      <c r="V206" s="1064"/>
      <c r="W206" s="1064"/>
      <c r="X206" s="1064"/>
      <c r="Y206" s="1064"/>
      <c r="Z206" s="1064"/>
      <c r="AA206" s="1064"/>
      <c r="AB206" s="1064"/>
      <c r="AC206" s="1064"/>
      <c r="AD206" s="1064"/>
      <c r="AE206" s="1064"/>
      <c r="AF206" s="1064"/>
      <c r="AG206" s="1064"/>
      <c r="AH206" s="2201"/>
      <c r="AI206" s="1927"/>
      <c r="AJ206" s="1561"/>
      <c r="AK206" s="1064"/>
      <c r="AL206" s="1064"/>
      <c r="AM206" s="1064"/>
      <c r="AN206" s="1064"/>
      <c r="AO206" s="1064"/>
      <c r="AP206" s="569"/>
      <c r="AQ206" s="1064"/>
      <c r="AR206" s="1064"/>
      <c r="AS206" s="1064"/>
      <c r="AT206" s="569"/>
      <c r="AU206" s="1064"/>
      <c r="AV206" s="1064"/>
      <c r="AW206" s="1064"/>
      <c r="AX206" s="569"/>
      <c r="AY206" s="1064"/>
      <c r="AZ206" s="1064"/>
      <c r="BA206" s="1064"/>
      <c r="BB206" s="569"/>
      <c r="BC206" s="1064"/>
      <c r="BD206" s="1064"/>
      <c r="BE206" s="1064"/>
      <c r="BF206" s="569"/>
      <c r="BG206" s="1064"/>
      <c r="BH206" s="1064"/>
      <c r="BI206" s="1064"/>
      <c r="BJ206" s="569"/>
      <c r="BK206" s="1064"/>
      <c r="BL206" s="1064"/>
      <c r="BM206" s="1064"/>
      <c r="BN206" s="569"/>
      <c r="BO206" s="1064"/>
      <c r="BP206" s="1064"/>
      <c r="BQ206" s="1064"/>
      <c r="BR206" s="569"/>
      <c r="BS206" s="1064"/>
      <c r="BT206" s="1064"/>
      <c r="BU206" s="1064"/>
      <c r="BV206" s="569"/>
      <c r="BW206" s="1064"/>
      <c r="BX206" s="1064"/>
      <c r="BY206" s="1064"/>
      <c r="BZ206" s="569"/>
      <c r="CA206" s="1064"/>
      <c r="CB206" s="1064"/>
      <c r="CC206" s="1064"/>
      <c r="CD206" s="569"/>
      <c r="CE206" s="1064"/>
      <c r="CF206" s="1064"/>
      <c r="CG206" s="1064"/>
      <c r="CH206" s="569"/>
      <c r="CI206" s="1064"/>
      <c r="CJ206" s="1064"/>
      <c r="CK206" s="1064"/>
      <c r="CL206" s="569"/>
      <c r="CM206" s="1064"/>
      <c r="CN206" s="1064"/>
      <c r="CO206" s="1064"/>
      <c r="CP206" s="569"/>
      <c r="CQ206" s="1064"/>
      <c r="CR206" s="1064"/>
      <c r="CS206" s="1064"/>
      <c r="CT206" s="569"/>
      <c r="CU206" s="1064"/>
      <c r="CV206" s="1064"/>
      <c r="CW206" s="1064"/>
      <c r="CX206" s="569"/>
      <c r="CY206" s="1064"/>
      <c r="CZ206" s="1064"/>
      <c r="DA206" s="1064"/>
      <c r="DB206" s="569"/>
      <c r="DC206" s="1064"/>
      <c r="DD206" s="1064"/>
      <c r="DE206" s="1064"/>
      <c r="DF206" s="569"/>
      <c r="DG206" s="1064"/>
      <c r="DH206" s="1064"/>
      <c r="DI206" s="568"/>
      <c r="DJ206" s="569"/>
      <c r="DK206" s="1064"/>
      <c r="DL206" s="1064"/>
      <c r="DM206" s="568"/>
      <c r="DN206" s="1064"/>
      <c r="DO206" s="1064"/>
      <c r="DP206" s="1064"/>
      <c r="DQ206" s="568"/>
      <c r="DR206" s="569"/>
      <c r="DS206" s="1064"/>
      <c r="DT206" s="1064"/>
      <c r="DU206" s="568"/>
      <c r="DV206" s="1064"/>
      <c r="DW206" s="1064"/>
      <c r="DX206" s="1064"/>
      <c r="DY206" s="568"/>
    </row>
    <row r="207" spans="1:129" s="1491" customFormat="1" ht="15" hidden="1" customHeight="1" outlineLevel="2">
      <c r="A207" s="151" t="s">
        <v>82</v>
      </c>
      <c r="B207" s="1064"/>
      <c r="C207" s="1064"/>
      <c r="D207" s="1070"/>
      <c r="E207" s="1070"/>
      <c r="F207" s="1070"/>
      <c r="G207" s="1229"/>
      <c r="H207" s="1070"/>
      <c r="I207" s="1070"/>
      <c r="J207" s="1070"/>
      <c r="K207" s="1070"/>
      <c r="L207" s="1070"/>
      <c r="M207" s="1070"/>
      <c r="N207" s="1070"/>
      <c r="O207" s="1070"/>
      <c r="P207" s="1070"/>
      <c r="Q207" s="1070"/>
      <c r="R207" s="1070"/>
      <c r="S207" s="1227"/>
      <c r="T207" s="608"/>
      <c r="U207" s="1070"/>
      <c r="V207" s="1070"/>
      <c r="W207" s="1070"/>
      <c r="X207" s="1070"/>
      <c r="Y207" s="1070"/>
      <c r="Z207" s="1070"/>
      <c r="AA207" s="1070"/>
      <c r="AB207" s="1070"/>
      <c r="AC207" s="1070"/>
      <c r="AD207" s="1070"/>
      <c r="AE207" s="1070"/>
      <c r="AF207" s="1070"/>
      <c r="AG207" s="1070"/>
      <c r="AH207" s="2201"/>
      <c r="AI207" s="1927"/>
      <c r="AJ207" s="1561"/>
      <c r="AK207" s="1070"/>
      <c r="AL207" s="1070"/>
      <c r="AM207" s="1064"/>
      <c r="AN207" s="1070"/>
      <c r="AO207" s="1070"/>
      <c r="AP207" s="607"/>
      <c r="AQ207" s="1070"/>
      <c r="AR207" s="1070"/>
      <c r="AS207" s="1070"/>
      <c r="AT207" s="607"/>
      <c r="AU207" s="1070"/>
      <c r="AV207" s="1070"/>
      <c r="AW207" s="1070"/>
      <c r="AX207" s="607"/>
      <c r="AY207" s="1070"/>
      <c r="AZ207" s="1070"/>
      <c r="BA207" s="1070"/>
      <c r="BB207" s="607"/>
      <c r="BC207" s="1070"/>
      <c r="BD207" s="1070"/>
      <c r="BE207" s="1070"/>
      <c r="BF207" s="607"/>
      <c r="BG207" s="1070"/>
      <c r="BH207" s="1070"/>
      <c r="BI207" s="1070"/>
      <c r="BJ207" s="607"/>
      <c r="BK207" s="1070"/>
      <c r="BL207" s="1070"/>
      <c r="BM207" s="1070"/>
      <c r="BN207" s="607"/>
      <c r="BO207" s="1070"/>
      <c r="BP207" s="1070"/>
      <c r="BQ207" s="1070"/>
      <c r="BR207" s="607"/>
      <c r="BS207" s="1070"/>
      <c r="BT207" s="1070"/>
      <c r="BU207" s="1070"/>
      <c r="BV207" s="607"/>
      <c r="BW207" s="1070"/>
      <c r="BX207" s="1070"/>
      <c r="BY207" s="1070"/>
      <c r="BZ207" s="607"/>
      <c r="CA207" s="1227"/>
      <c r="CB207" s="1227"/>
      <c r="CC207" s="1227"/>
      <c r="CD207" s="574"/>
      <c r="CE207" s="1227"/>
      <c r="CF207" s="1227"/>
      <c r="CG207" s="1227"/>
      <c r="CH207" s="574"/>
      <c r="CI207" s="1227"/>
      <c r="CJ207" s="1070"/>
      <c r="CK207" s="1227"/>
      <c r="CL207" s="574"/>
      <c r="CM207" s="1227"/>
      <c r="CN207" s="1227"/>
      <c r="CO207" s="1227"/>
      <c r="CP207" s="574"/>
      <c r="CQ207" s="1227"/>
      <c r="CR207" s="1227"/>
      <c r="CS207" s="1227"/>
      <c r="CT207" s="574"/>
      <c r="CU207" s="1227"/>
      <c r="CV207" s="1227"/>
      <c r="CW207" s="1227"/>
      <c r="CX207" s="574"/>
      <c r="CY207" s="1227"/>
      <c r="CZ207" s="1227"/>
      <c r="DA207" s="1227"/>
      <c r="DB207" s="574"/>
      <c r="DC207" s="1227"/>
      <c r="DD207" s="1227"/>
      <c r="DE207" s="1227"/>
      <c r="DF207" s="574"/>
      <c r="DG207" s="1227"/>
      <c r="DH207" s="1227"/>
      <c r="DI207" s="575"/>
      <c r="DJ207" s="574"/>
      <c r="DK207" s="1227"/>
      <c r="DL207" s="1227"/>
      <c r="DM207" s="575"/>
      <c r="DN207" s="1227"/>
      <c r="DO207" s="1227"/>
      <c r="DP207" s="1227"/>
      <c r="DQ207" s="575"/>
      <c r="DR207" s="574"/>
      <c r="DS207" s="1227"/>
      <c r="DT207" s="1227"/>
      <c r="DU207" s="575"/>
      <c r="DV207" s="1227"/>
      <c r="DW207" s="1227"/>
      <c r="DX207" s="1227"/>
      <c r="DY207" s="575"/>
    </row>
    <row r="208" spans="1:129" s="1491" customFormat="1" ht="15" hidden="1" customHeight="1" outlineLevel="2">
      <c r="A208" s="569" t="s">
        <v>83</v>
      </c>
      <c r="B208" s="1064"/>
      <c r="C208" s="1064"/>
      <c r="D208" s="1070"/>
      <c r="E208" s="1070"/>
      <c r="F208" s="1070"/>
      <c r="G208" s="1229"/>
      <c r="H208" s="1070"/>
      <c r="I208" s="1070"/>
      <c r="J208" s="1070"/>
      <c r="K208" s="1070"/>
      <c r="L208" s="1070"/>
      <c r="M208" s="1070"/>
      <c r="N208" s="1070">
        <f>CC208</f>
        <v>54676</v>
      </c>
      <c r="O208" s="1070">
        <f>CG208</f>
        <v>61011</v>
      </c>
      <c r="P208" s="1070">
        <f>CK208</f>
        <v>66973</v>
      </c>
      <c r="Q208" s="1070">
        <f>CO208</f>
        <v>80495</v>
      </c>
      <c r="R208" s="1070"/>
      <c r="S208" s="1070"/>
      <c r="T208" s="608"/>
      <c r="U208" s="1070"/>
      <c r="V208" s="1070"/>
      <c r="W208" s="1070"/>
      <c r="X208" s="1070"/>
      <c r="Y208" s="1070"/>
      <c r="Z208" s="1070"/>
      <c r="AA208" s="1070"/>
      <c r="AB208" s="1070"/>
      <c r="AC208" s="1070"/>
      <c r="AD208" s="1070"/>
      <c r="AE208" s="1070"/>
      <c r="AF208" s="1070"/>
      <c r="AG208" s="1070"/>
      <c r="AH208" s="2201"/>
      <c r="AI208" s="1927"/>
      <c r="AJ208" s="1561"/>
      <c r="AK208" s="1070"/>
      <c r="AL208" s="1070"/>
      <c r="AM208" s="1064"/>
      <c r="AN208" s="1070"/>
      <c r="AO208" s="1070"/>
      <c r="AP208" s="607"/>
      <c r="AQ208" s="1070"/>
      <c r="AR208" s="1070"/>
      <c r="AS208" s="1070"/>
      <c r="AT208" s="607"/>
      <c r="AU208" s="1070"/>
      <c r="AV208" s="1070"/>
      <c r="AW208" s="1070"/>
      <c r="AX208" s="607"/>
      <c r="AY208" s="1070"/>
      <c r="AZ208" s="1070"/>
      <c r="BA208" s="1070"/>
      <c r="BB208" s="607"/>
      <c r="BC208" s="1070"/>
      <c r="BD208" s="1070"/>
      <c r="BE208" s="1070"/>
      <c r="BF208" s="607"/>
      <c r="BG208" s="1070"/>
      <c r="BH208" s="1070"/>
      <c r="BI208" s="1070"/>
      <c r="BJ208" s="607"/>
      <c r="BK208" s="1070"/>
      <c r="BL208" s="1070"/>
      <c r="BM208" s="1070"/>
      <c r="BN208" s="607">
        <f>BN214*BN195</f>
        <v>29090.880000000001</v>
      </c>
      <c r="BO208" s="1070"/>
      <c r="BP208" s="1070"/>
      <c r="BQ208" s="1070">
        <f>BQ214*BQ195</f>
        <v>32832</v>
      </c>
      <c r="BR208" s="607">
        <f>BR214*BR195</f>
        <v>33915.820800000001</v>
      </c>
      <c r="BS208" s="1070">
        <f>BS214*BS195</f>
        <v>35681.279999999999</v>
      </c>
      <c r="BT208" s="1070"/>
      <c r="BU208" s="1070">
        <f>BU214*BU195</f>
        <v>38482.68</v>
      </c>
      <c r="BV208" s="607">
        <f>BV214*BV195</f>
        <v>39976.005000000005</v>
      </c>
      <c r="BW208" s="1070">
        <f>BW195-BW211</f>
        <v>43799.199999999997</v>
      </c>
      <c r="BX208" s="1070">
        <f>BX195-BX211</f>
        <v>45676.7</v>
      </c>
      <c r="BY208" s="1070">
        <f>-BZ209+BZ208</f>
        <v>47437</v>
      </c>
      <c r="BZ208" s="251">
        <v>49000</v>
      </c>
      <c r="CA208" s="1131">
        <v>50728</v>
      </c>
      <c r="CB208" s="1131">
        <v>52606</v>
      </c>
      <c r="CC208" s="1131">
        <v>54676</v>
      </c>
      <c r="CD208" s="251">
        <v>56136</v>
      </c>
      <c r="CE208" s="1131">
        <v>57674</v>
      </c>
      <c r="CF208" s="1131">
        <v>59363</v>
      </c>
      <c r="CG208" s="1131">
        <v>61011</v>
      </c>
      <c r="CH208" s="251">
        <v>62294</v>
      </c>
      <c r="CI208" s="1131">
        <v>63760</v>
      </c>
      <c r="CJ208" s="1131">
        <v>65833</v>
      </c>
      <c r="CK208" s="1131">
        <v>66973</v>
      </c>
      <c r="CL208" s="252">
        <f t="shared" ref="CL208:CO209" si="952">+CL254</f>
        <v>77354</v>
      </c>
      <c r="CM208" s="1369">
        <f t="shared" si="952"/>
        <v>78395</v>
      </c>
      <c r="CN208" s="1369">
        <f t="shared" si="952"/>
        <v>79371</v>
      </c>
      <c r="CO208" s="1369">
        <f t="shared" si="952"/>
        <v>80495</v>
      </c>
      <c r="CP208" s="607"/>
      <c r="CQ208" s="1070"/>
      <c r="CR208" s="1070"/>
      <c r="CS208" s="1070"/>
      <c r="CT208" s="607"/>
      <c r="CU208" s="1070"/>
      <c r="CV208" s="1070"/>
      <c r="CW208" s="1070"/>
      <c r="CX208" s="607"/>
      <c r="CY208" s="1070"/>
      <c r="CZ208" s="1070"/>
      <c r="DA208" s="1070"/>
      <c r="DB208" s="607"/>
      <c r="DC208" s="1070"/>
      <c r="DD208" s="1070"/>
      <c r="DE208" s="1070"/>
      <c r="DF208" s="607"/>
      <c r="DG208" s="1070"/>
      <c r="DH208" s="1070"/>
      <c r="DI208" s="608"/>
      <c r="DJ208" s="607"/>
      <c r="DK208" s="1070"/>
      <c r="DL208" s="1070"/>
      <c r="DM208" s="608"/>
      <c r="DN208" s="1070"/>
      <c r="DO208" s="1070"/>
      <c r="DP208" s="1070"/>
      <c r="DQ208" s="608"/>
      <c r="DR208" s="607"/>
      <c r="DS208" s="1070"/>
      <c r="DT208" s="1070"/>
      <c r="DU208" s="608"/>
      <c r="DV208" s="1070"/>
      <c r="DW208" s="1070"/>
      <c r="DX208" s="1070"/>
      <c r="DY208" s="608"/>
    </row>
    <row r="209" spans="1:129" s="1491" customFormat="1" ht="15" hidden="1" customHeight="1" outlineLevel="2">
      <c r="A209" s="1449" t="s">
        <v>84</v>
      </c>
      <c r="B209" s="1064"/>
      <c r="C209" s="1064"/>
      <c r="D209" s="1070"/>
      <c r="E209" s="1070"/>
      <c r="F209" s="1070"/>
      <c r="G209" s="1229"/>
      <c r="H209" s="1070"/>
      <c r="I209" s="1070"/>
      <c r="J209" s="1070"/>
      <c r="K209" s="1070"/>
      <c r="L209" s="1070"/>
      <c r="M209" s="1070"/>
      <c r="N209" s="1070">
        <f>SUM(BZ209:CC209)</f>
        <v>7239</v>
      </c>
      <c r="O209" s="1070">
        <f>SUM(CD209:CG209)</f>
        <v>6335</v>
      </c>
      <c r="P209" s="1070">
        <f>SUM(CH209:CK209)</f>
        <v>5439</v>
      </c>
      <c r="Q209" s="1070">
        <f>SUM(CL209:CO209)</f>
        <v>3987</v>
      </c>
      <c r="R209" s="1070"/>
      <c r="S209" s="1070"/>
      <c r="T209" s="608"/>
      <c r="U209" s="1070"/>
      <c r="V209" s="1070"/>
      <c r="W209" s="1070"/>
      <c r="X209" s="1070"/>
      <c r="Y209" s="1070"/>
      <c r="Z209" s="1070"/>
      <c r="AA209" s="1070"/>
      <c r="AB209" s="1070"/>
      <c r="AC209" s="1070"/>
      <c r="AD209" s="1070"/>
      <c r="AE209" s="1070"/>
      <c r="AF209" s="1070"/>
      <c r="AG209" s="1070"/>
      <c r="AH209" s="2201"/>
      <c r="AI209" s="1927"/>
      <c r="AJ209" s="1561"/>
      <c r="AK209" s="1070"/>
      <c r="AL209" s="1070"/>
      <c r="AM209" s="1064"/>
      <c r="AN209" s="1070"/>
      <c r="AO209" s="1070"/>
      <c r="AP209" s="607"/>
      <c r="AQ209" s="1070"/>
      <c r="AR209" s="1070"/>
      <c r="AS209" s="1070"/>
      <c r="AT209" s="607"/>
      <c r="AU209" s="1070"/>
      <c r="AV209" s="1070"/>
      <c r="AW209" s="1070"/>
      <c r="AX209" s="607"/>
      <c r="AY209" s="1070"/>
      <c r="AZ209" s="1070"/>
      <c r="BA209" s="1070"/>
      <c r="BB209" s="607"/>
      <c r="BC209" s="1070"/>
      <c r="BD209" s="1070"/>
      <c r="BE209" s="1070"/>
      <c r="BF209" s="607"/>
      <c r="BG209" s="1070"/>
      <c r="BH209" s="1070"/>
      <c r="BI209" s="1070"/>
      <c r="BJ209" s="607"/>
      <c r="BK209" s="1070"/>
      <c r="BL209" s="1070"/>
      <c r="BM209" s="1070"/>
      <c r="BN209" s="607"/>
      <c r="BO209" s="1070"/>
      <c r="BP209" s="1070"/>
      <c r="BQ209" s="1070"/>
      <c r="BR209" s="607">
        <f>BR208-BQ208</f>
        <v>1083.8208000000013</v>
      </c>
      <c r="BS209" s="1070">
        <f>BS208-BR208</f>
        <v>1765.4591999999975</v>
      </c>
      <c r="BT209" s="1070"/>
      <c r="BU209" s="1070"/>
      <c r="BV209" s="607">
        <f>BV208-BU208</f>
        <v>1493.3250000000044</v>
      </c>
      <c r="BW209" s="1070">
        <f>BW208-BV208</f>
        <v>3823.1949999999924</v>
      </c>
      <c r="BX209" s="1070">
        <f>BX208-BW208</f>
        <v>1877.5</v>
      </c>
      <c r="BY209" s="1070">
        <f>BY208-BX208</f>
        <v>1760.3000000000029</v>
      </c>
      <c r="BZ209" s="251">
        <v>1563</v>
      </c>
      <c r="CA209" s="1070">
        <f t="shared" ref="CA209:CH209" si="953">CA208-BZ208</f>
        <v>1728</v>
      </c>
      <c r="CB209" s="1070">
        <f t="shared" si="953"/>
        <v>1878</v>
      </c>
      <c r="CC209" s="1070">
        <f t="shared" si="953"/>
        <v>2070</v>
      </c>
      <c r="CD209" s="607">
        <f t="shared" si="953"/>
        <v>1460</v>
      </c>
      <c r="CE209" s="1070">
        <f t="shared" si="953"/>
        <v>1538</v>
      </c>
      <c r="CF209" s="1070">
        <f t="shared" si="953"/>
        <v>1689</v>
      </c>
      <c r="CG209" s="1070">
        <f t="shared" si="953"/>
        <v>1648</v>
      </c>
      <c r="CH209" s="607">
        <f t="shared" si="953"/>
        <v>1283</v>
      </c>
      <c r="CI209" s="1070">
        <f>CI208-CH208-CI210</f>
        <v>1420</v>
      </c>
      <c r="CJ209" s="1070">
        <f>CJ208-CI208-CJ210</f>
        <v>1467</v>
      </c>
      <c r="CK209" s="1070">
        <f>CK208-CJ208-CK210</f>
        <v>1269</v>
      </c>
      <c r="CL209" s="607">
        <f t="shared" si="952"/>
        <v>936</v>
      </c>
      <c r="CM209" s="1070">
        <f t="shared" si="952"/>
        <v>1044</v>
      </c>
      <c r="CN209" s="1070">
        <f t="shared" si="952"/>
        <v>901</v>
      </c>
      <c r="CO209" s="1070">
        <f t="shared" si="952"/>
        <v>1106</v>
      </c>
      <c r="CP209" s="607"/>
      <c r="CQ209" s="1070"/>
      <c r="CR209" s="1070"/>
      <c r="CS209" s="1070"/>
      <c r="CT209" s="607"/>
      <c r="CU209" s="1070"/>
      <c r="CV209" s="1070"/>
      <c r="CW209" s="1070"/>
      <c r="CX209" s="607"/>
      <c r="CY209" s="1070"/>
      <c r="CZ209" s="1070"/>
      <c r="DA209" s="1070"/>
      <c r="DB209" s="607"/>
      <c r="DC209" s="1070"/>
      <c r="DD209" s="1070"/>
      <c r="DE209" s="1070"/>
      <c r="DF209" s="607"/>
      <c r="DG209" s="1070"/>
      <c r="DH209" s="1070"/>
      <c r="DI209" s="608"/>
      <c r="DJ209" s="607"/>
      <c r="DK209" s="1070"/>
      <c r="DL209" s="1070"/>
      <c r="DM209" s="608"/>
      <c r="DN209" s="1070"/>
      <c r="DO209" s="1070"/>
      <c r="DP209" s="1070"/>
      <c r="DQ209" s="608"/>
      <c r="DR209" s="607"/>
      <c r="DS209" s="1070"/>
      <c r="DT209" s="1070"/>
      <c r="DU209" s="608"/>
      <c r="DV209" s="1070"/>
      <c r="DW209" s="1070"/>
      <c r="DX209" s="1070"/>
      <c r="DY209" s="608"/>
    </row>
    <row r="210" spans="1:129" s="1491" customFormat="1" ht="15" hidden="1" customHeight="1" outlineLevel="2">
      <c r="A210" s="1464" t="s">
        <v>17</v>
      </c>
      <c r="B210" s="1064"/>
      <c r="C210" s="1064"/>
      <c r="D210" s="1070"/>
      <c r="E210" s="1070"/>
      <c r="F210" s="1070"/>
      <c r="G210" s="1229"/>
      <c r="H210" s="1070"/>
      <c r="I210" s="1070"/>
      <c r="J210" s="1070"/>
      <c r="K210" s="1070"/>
      <c r="L210" s="1070"/>
      <c r="M210" s="1070"/>
      <c r="N210" s="1070"/>
      <c r="O210" s="1070"/>
      <c r="P210" s="1070"/>
      <c r="Q210" s="1070">
        <f>+SUM(CL210:CO210)</f>
        <v>11094</v>
      </c>
      <c r="R210" s="1070"/>
      <c r="S210" s="1358"/>
      <c r="T210" s="608"/>
      <c r="U210" s="1070"/>
      <c r="V210" s="1070"/>
      <c r="W210" s="1070"/>
      <c r="X210" s="1070"/>
      <c r="Y210" s="1070"/>
      <c r="Z210" s="1070"/>
      <c r="AA210" s="1070"/>
      <c r="AB210" s="1070"/>
      <c r="AC210" s="1070"/>
      <c r="AD210" s="1070"/>
      <c r="AE210" s="1070"/>
      <c r="AF210" s="1070"/>
      <c r="AG210" s="1070"/>
      <c r="AH210" s="2201"/>
      <c r="AI210" s="1927"/>
      <c r="AJ210" s="1561"/>
      <c r="AK210" s="1070"/>
      <c r="AL210" s="1070"/>
      <c r="AM210" s="1064"/>
      <c r="AN210" s="1070"/>
      <c r="AO210" s="1070"/>
      <c r="AP210" s="607"/>
      <c r="AQ210" s="1070"/>
      <c r="AR210" s="1070"/>
      <c r="AS210" s="1070"/>
      <c r="AT210" s="607"/>
      <c r="AU210" s="1070"/>
      <c r="AV210" s="1070"/>
      <c r="AW210" s="1070"/>
      <c r="AX210" s="607"/>
      <c r="AY210" s="1070"/>
      <c r="AZ210" s="1070"/>
      <c r="BA210" s="1070"/>
      <c r="BB210" s="607"/>
      <c r="BC210" s="1070"/>
      <c r="BD210" s="1070"/>
      <c r="BE210" s="1070"/>
      <c r="BF210" s="607"/>
      <c r="BG210" s="1070"/>
      <c r="BH210" s="1070"/>
      <c r="BI210" s="1070"/>
      <c r="BJ210" s="607"/>
      <c r="BK210" s="1070"/>
      <c r="BL210" s="1070"/>
      <c r="BM210" s="1070"/>
      <c r="BN210" s="607"/>
      <c r="BO210" s="1070"/>
      <c r="BP210" s="1070"/>
      <c r="BQ210" s="1070"/>
      <c r="BR210" s="607"/>
      <c r="BS210" s="1070"/>
      <c r="BT210" s="1070"/>
      <c r="BU210" s="1070"/>
      <c r="BV210" s="607"/>
      <c r="BW210" s="1070"/>
      <c r="BX210" s="1070"/>
      <c r="BY210" s="1070"/>
      <c r="BZ210" s="251"/>
      <c r="CA210" s="1070"/>
      <c r="CB210" s="1070"/>
      <c r="CC210" s="1070"/>
      <c r="CD210" s="607"/>
      <c r="CE210" s="1070"/>
      <c r="CF210" s="1070"/>
      <c r="CG210" s="1070"/>
      <c r="CH210" s="173">
        <v>0</v>
      </c>
      <c r="CI210" s="1050">
        <v>46</v>
      </c>
      <c r="CJ210" s="1050">
        <v>606</v>
      </c>
      <c r="CK210" s="1050">
        <v>-129</v>
      </c>
      <c r="CL210" s="514">
        <v>10992</v>
      </c>
      <c r="CM210" s="1370">
        <f>+CM220</f>
        <v>1</v>
      </c>
      <c r="CN210" s="1370">
        <f>+CN220</f>
        <v>81</v>
      </c>
      <c r="CO210" s="1370">
        <f>+CO220</f>
        <v>20</v>
      </c>
      <c r="CP210" s="208"/>
      <c r="CQ210" s="1358"/>
      <c r="CR210" s="1358"/>
      <c r="CS210" s="1358"/>
      <c r="CT210" s="208"/>
      <c r="CU210" s="1358"/>
      <c r="CV210" s="1358"/>
      <c r="CW210" s="1358"/>
      <c r="CX210" s="208"/>
      <c r="CY210" s="1358"/>
      <c r="CZ210" s="1358"/>
      <c r="DA210" s="1358"/>
      <c r="DB210" s="208"/>
      <c r="DC210" s="1358"/>
      <c r="DD210" s="1358"/>
      <c r="DE210" s="1358"/>
      <c r="DF210" s="208"/>
      <c r="DG210" s="1358"/>
      <c r="DH210" s="1358"/>
      <c r="DI210" s="513"/>
      <c r="DJ210" s="208"/>
      <c r="DK210" s="1358"/>
      <c r="DL210" s="1358"/>
      <c r="DM210" s="513"/>
      <c r="DN210" s="1358"/>
      <c r="DO210" s="1358"/>
      <c r="DP210" s="1358"/>
      <c r="DQ210" s="513"/>
      <c r="DR210" s="208"/>
      <c r="DS210" s="1358"/>
      <c r="DT210" s="1358"/>
      <c r="DU210" s="513"/>
      <c r="DV210" s="1358"/>
      <c r="DW210" s="1358"/>
      <c r="DX210" s="1358"/>
      <c r="DY210" s="513"/>
    </row>
    <row r="211" spans="1:129" s="1491" customFormat="1" ht="15" hidden="1" customHeight="1" outlineLevel="2">
      <c r="A211" s="1466" t="s">
        <v>85</v>
      </c>
      <c r="B211" s="1064"/>
      <c r="C211" s="1064"/>
      <c r="D211" s="1070"/>
      <c r="E211" s="1070"/>
      <c r="F211" s="1070"/>
      <c r="G211" s="1229"/>
      <c r="H211" s="1070"/>
      <c r="I211" s="1070"/>
      <c r="J211" s="1070"/>
      <c r="K211" s="1070"/>
      <c r="L211" s="1070"/>
      <c r="M211" s="1070"/>
      <c r="N211" s="1070">
        <f>CC211</f>
        <v>2136</v>
      </c>
      <c r="O211" s="1070">
        <f>CG211</f>
        <v>2724</v>
      </c>
      <c r="P211" s="1070">
        <f>CK211</f>
        <v>3048</v>
      </c>
      <c r="Q211" s="1070">
        <f>CO211</f>
        <v>4950</v>
      </c>
      <c r="R211" s="1070"/>
      <c r="S211" s="1070"/>
      <c r="T211" s="608"/>
      <c r="U211" s="1070"/>
      <c r="V211" s="1070"/>
      <c r="W211" s="1070"/>
      <c r="X211" s="1070"/>
      <c r="Y211" s="1070"/>
      <c r="Z211" s="1070"/>
      <c r="AA211" s="1070"/>
      <c r="AB211" s="1070"/>
      <c r="AC211" s="1070"/>
      <c r="AD211" s="1070"/>
      <c r="AE211" s="1070"/>
      <c r="AF211" s="1070"/>
      <c r="AG211" s="1070"/>
      <c r="AH211" s="2201"/>
      <c r="AI211" s="1927"/>
      <c r="AJ211" s="1561"/>
      <c r="AK211" s="1070"/>
      <c r="AL211" s="1070"/>
      <c r="AM211" s="1064"/>
      <c r="AN211" s="1070"/>
      <c r="AO211" s="1070"/>
      <c r="AP211" s="607"/>
      <c r="AQ211" s="1070"/>
      <c r="AR211" s="1070"/>
      <c r="AS211" s="1070"/>
      <c r="AT211" s="607"/>
      <c r="AU211" s="1070"/>
      <c r="AV211" s="1070"/>
      <c r="AW211" s="1070"/>
      <c r="AX211" s="607"/>
      <c r="AY211" s="1070"/>
      <c r="AZ211" s="1070"/>
      <c r="BA211" s="1070"/>
      <c r="BB211" s="607"/>
      <c r="BC211" s="1070"/>
      <c r="BD211" s="1070"/>
      <c r="BE211" s="1070"/>
      <c r="BF211" s="607"/>
      <c r="BG211" s="1070"/>
      <c r="BH211" s="1070"/>
      <c r="BI211" s="1070"/>
      <c r="BJ211" s="607"/>
      <c r="BK211" s="1070"/>
      <c r="BL211" s="1070"/>
      <c r="BM211" s="1070"/>
      <c r="BN211" s="607">
        <f>BN215*BN195</f>
        <v>1598.4</v>
      </c>
      <c r="BO211" s="1070"/>
      <c r="BP211" s="1070"/>
      <c r="BQ211" s="1070">
        <f>BQ215*BQ195</f>
        <v>1728</v>
      </c>
      <c r="BR211" s="607">
        <f>BR215*BR195</f>
        <v>1636.2896000000001</v>
      </c>
      <c r="BS211" s="1070">
        <f>BS215*BS195</f>
        <v>1551.3600000000001</v>
      </c>
      <c r="BT211" s="1070"/>
      <c r="BU211" s="1070">
        <f>BU215*BU195</f>
        <v>1464.0150000000001</v>
      </c>
      <c r="BV211" s="607">
        <f>BV215*BV195</f>
        <v>1475.7700000000002</v>
      </c>
      <c r="BW211" s="1070">
        <f>BW215*BW194</f>
        <v>1516.8</v>
      </c>
      <c r="BX211" s="1070">
        <f>BX215*BX194</f>
        <v>1528.3</v>
      </c>
      <c r="BY211" s="1070">
        <f t="shared" ref="BY211:CK211" si="954">BY195-BY208</f>
        <v>1599</v>
      </c>
      <c r="BZ211" s="607">
        <f t="shared" si="954"/>
        <v>1660</v>
      </c>
      <c r="CA211" s="1070">
        <f t="shared" si="954"/>
        <v>1853</v>
      </c>
      <c r="CB211" s="1070">
        <f t="shared" si="954"/>
        <v>1956</v>
      </c>
      <c r="CC211" s="1070">
        <f t="shared" si="954"/>
        <v>2136</v>
      </c>
      <c r="CD211" s="607">
        <f t="shared" si="954"/>
        <v>2322</v>
      </c>
      <c r="CE211" s="1070">
        <f t="shared" si="954"/>
        <v>2406</v>
      </c>
      <c r="CF211" s="1070">
        <f t="shared" si="954"/>
        <v>2477</v>
      </c>
      <c r="CG211" s="1070">
        <f t="shared" si="954"/>
        <v>2724</v>
      </c>
      <c r="CH211" s="607">
        <f t="shared" si="954"/>
        <v>2892</v>
      </c>
      <c r="CI211" s="1070">
        <f t="shared" si="954"/>
        <v>2920</v>
      </c>
      <c r="CJ211" s="1070">
        <f t="shared" si="954"/>
        <v>2974</v>
      </c>
      <c r="CK211" s="1070">
        <f t="shared" si="954"/>
        <v>3048</v>
      </c>
      <c r="CL211" s="607">
        <f t="shared" ref="CL211:CO212" si="955">+CL286</f>
        <v>4826</v>
      </c>
      <c r="CM211" s="1070">
        <f t="shared" si="955"/>
        <v>4877</v>
      </c>
      <c r="CN211" s="1070">
        <f t="shared" si="955"/>
        <v>4897</v>
      </c>
      <c r="CO211" s="1070">
        <f t="shared" si="955"/>
        <v>4950</v>
      </c>
      <c r="CP211" s="607"/>
      <c r="CQ211" s="1070"/>
      <c r="CR211" s="1070"/>
      <c r="CS211" s="1070"/>
      <c r="CT211" s="607"/>
      <c r="CU211" s="1070"/>
      <c r="CV211" s="1070"/>
      <c r="CW211" s="1070"/>
      <c r="CX211" s="607"/>
      <c r="CY211" s="1070"/>
      <c r="CZ211" s="1070"/>
      <c r="DA211" s="1070"/>
      <c r="DB211" s="607"/>
      <c r="DC211" s="1070"/>
      <c r="DD211" s="1070"/>
      <c r="DE211" s="1070"/>
      <c r="DF211" s="607"/>
      <c r="DG211" s="1070"/>
      <c r="DH211" s="1070"/>
      <c r="DI211" s="608"/>
      <c r="DJ211" s="607"/>
      <c r="DK211" s="1070"/>
      <c r="DL211" s="1070"/>
      <c r="DM211" s="608"/>
      <c r="DN211" s="1070"/>
      <c r="DO211" s="1070"/>
      <c r="DP211" s="1070"/>
      <c r="DQ211" s="608"/>
      <c r="DR211" s="607"/>
      <c r="DS211" s="1070"/>
      <c r="DT211" s="1070"/>
      <c r="DU211" s="608"/>
      <c r="DV211" s="1070"/>
      <c r="DW211" s="1070"/>
      <c r="DX211" s="1070"/>
      <c r="DY211" s="608"/>
    </row>
    <row r="212" spans="1:129" s="1491" customFormat="1" ht="15" hidden="1" customHeight="1" outlineLevel="2">
      <c r="A212" s="1449" t="s">
        <v>86</v>
      </c>
      <c r="B212" s="1064"/>
      <c r="C212" s="1064"/>
      <c r="D212" s="1070"/>
      <c r="E212" s="1070"/>
      <c r="F212" s="1070"/>
      <c r="G212" s="1229"/>
      <c r="H212" s="1070"/>
      <c r="I212" s="1070"/>
      <c r="J212" s="1070"/>
      <c r="K212" s="1070"/>
      <c r="L212" s="1070"/>
      <c r="M212" s="1070"/>
      <c r="N212" s="1070">
        <f>SUM(BZ212:CC212)</f>
        <v>537</v>
      </c>
      <c r="O212" s="1070">
        <f>SUM(CD212:CG212)</f>
        <v>588</v>
      </c>
      <c r="P212" s="1070">
        <f>SUM(CH212:CK212)</f>
        <v>313</v>
      </c>
      <c r="Q212" s="1070">
        <f>SUM(CL212:CO212)</f>
        <v>382</v>
      </c>
      <c r="R212" s="1070"/>
      <c r="S212" s="1070"/>
      <c r="T212" s="608"/>
      <c r="U212" s="1070"/>
      <c r="V212" s="1070"/>
      <c r="W212" s="1070"/>
      <c r="X212" s="1070"/>
      <c r="Y212" s="1070"/>
      <c r="Z212" s="1070"/>
      <c r="AA212" s="1070"/>
      <c r="AB212" s="1070"/>
      <c r="AC212" s="1070"/>
      <c r="AD212" s="1070"/>
      <c r="AE212" s="1070"/>
      <c r="AF212" s="1070"/>
      <c r="AG212" s="1070"/>
      <c r="AH212" s="2201"/>
      <c r="AI212" s="1927"/>
      <c r="AJ212" s="1561"/>
      <c r="AK212" s="1070"/>
      <c r="AL212" s="1070"/>
      <c r="AM212" s="1064"/>
      <c r="AN212" s="1070"/>
      <c r="AO212" s="1070"/>
      <c r="AP212" s="607"/>
      <c r="AQ212" s="1070"/>
      <c r="AR212" s="1070"/>
      <c r="AS212" s="1070"/>
      <c r="AT212" s="607"/>
      <c r="AU212" s="1070"/>
      <c r="AV212" s="1070"/>
      <c r="AW212" s="1070"/>
      <c r="AX212" s="607"/>
      <c r="AY212" s="1070"/>
      <c r="AZ212" s="1070"/>
      <c r="BA212" s="1070"/>
      <c r="BB212" s="607"/>
      <c r="BC212" s="1070"/>
      <c r="BD212" s="1070"/>
      <c r="BE212" s="1070"/>
      <c r="BF212" s="607"/>
      <c r="BG212" s="1070"/>
      <c r="BH212" s="1070"/>
      <c r="BI212" s="1070"/>
      <c r="BJ212" s="607"/>
      <c r="BK212" s="1070"/>
      <c r="BL212" s="1070"/>
      <c r="BM212" s="1070"/>
      <c r="BN212" s="607"/>
      <c r="BO212" s="1070"/>
      <c r="BP212" s="1070"/>
      <c r="BQ212" s="1070"/>
      <c r="BR212" s="607"/>
      <c r="BS212" s="1070"/>
      <c r="BT212" s="1070"/>
      <c r="BU212" s="1070"/>
      <c r="BV212" s="607"/>
      <c r="BW212" s="1070"/>
      <c r="BX212" s="1070"/>
      <c r="BY212" s="1070"/>
      <c r="BZ212" s="607">
        <f t="shared" ref="BZ212:CH212" si="956">BZ211-BY211</f>
        <v>61</v>
      </c>
      <c r="CA212" s="1070">
        <f t="shared" si="956"/>
        <v>193</v>
      </c>
      <c r="CB212" s="1070">
        <f t="shared" si="956"/>
        <v>103</v>
      </c>
      <c r="CC212" s="1070">
        <f t="shared" si="956"/>
        <v>180</v>
      </c>
      <c r="CD212" s="607">
        <f t="shared" si="956"/>
        <v>186</v>
      </c>
      <c r="CE212" s="1070">
        <f t="shared" si="956"/>
        <v>84</v>
      </c>
      <c r="CF212" s="1070">
        <f t="shared" si="956"/>
        <v>71</v>
      </c>
      <c r="CG212" s="1070">
        <f t="shared" si="956"/>
        <v>247</v>
      </c>
      <c r="CH212" s="607">
        <f t="shared" si="956"/>
        <v>168</v>
      </c>
      <c r="CI212" s="1070">
        <f>CI211-CH211+(CI210-CI197)</f>
        <v>28</v>
      </c>
      <c r="CJ212" s="1070">
        <f>CJ211-CI211+(CJ210-CJ197)</f>
        <v>33</v>
      </c>
      <c r="CK212" s="1070">
        <f>CK211-CJ211+(CK210-CK197)</f>
        <v>84</v>
      </c>
      <c r="CL212" s="607">
        <f t="shared" si="955"/>
        <v>268</v>
      </c>
      <c r="CM212" s="1070">
        <f t="shared" si="955"/>
        <v>48</v>
      </c>
      <c r="CN212" s="1070">
        <f t="shared" si="955"/>
        <v>15</v>
      </c>
      <c r="CO212" s="1070">
        <f t="shared" si="955"/>
        <v>51</v>
      </c>
      <c r="CP212" s="607"/>
      <c r="CQ212" s="1070"/>
      <c r="CR212" s="1070"/>
      <c r="CS212" s="1070"/>
      <c r="CT212" s="607"/>
      <c r="CU212" s="1070"/>
      <c r="CV212" s="1070"/>
      <c r="CW212" s="1070"/>
      <c r="CX212" s="607"/>
      <c r="CY212" s="1070"/>
      <c r="CZ212" s="1070"/>
      <c r="DA212" s="1070"/>
      <c r="DB212" s="607"/>
      <c r="DC212" s="1070"/>
      <c r="DD212" s="1070"/>
      <c r="DE212" s="1070"/>
      <c r="DF212" s="607"/>
      <c r="DG212" s="1070"/>
      <c r="DH212" s="1070"/>
      <c r="DI212" s="608"/>
      <c r="DJ212" s="607"/>
      <c r="DK212" s="1070"/>
      <c r="DL212" s="1070"/>
      <c r="DM212" s="608"/>
      <c r="DN212" s="1070"/>
      <c r="DO212" s="1070"/>
      <c r="DP212" s="1070"/>
      <c r="DQ212" s="608"/>
      <c r="DR212" s="607"/>
      <c r="DS212" s="1070"/>
      <c r="DT212" s="1070"/>
      <c r="DU212" s="608"/>
      <c r="DV212" s="1070"/>
      <c r="DW212" s="1070"/>
      <c r="DX212" s="1070"/>
      <c r="DY212" s="608"/>
    </row>
    <row r="213" spans="1:129" s="1491" customFormat="1" ht="15" hidden="1" customHeight="1" outlineLevel="2">
      <c r="A213" s="151"/>
      <c r="B213" s="1064"/>
      <c r="C213" s="1064"/>
      <c r="D213" s="1070"/>
      <c r="E213" s="1070"/>
      <c r="F213" s="1070"/>
      <c r="G213" s="1229"/>
      <c r="H213" s="1070"/>
      <c r="I213" s="1070"/>
      <c r="J213" s="1070"/>
      <c r="K213" s="1070"/>
      <c r="L213" s="1070"/>
      <c r="M213" s="1070"/>
      <c r="N213" s="1070"/>
      <c r="O213" s="1070"/>
      <c r="P213" s="1070"/>
      <c r="Q213" s="1070"/>
      <c r="R213" s="1070"/>
      <c r="S213" s="1070"/>
      <c r="T213" s="608"/>
      <c r="U213" s="1070"/>
      <c r="V213" s="1070"/>
      <c r="W213" s="1070"/>
      <c r="X213" s="1070"/>
      <c r="Y213" s="1070"/>
      <c r="Z213" s="1070"/>
      <c r="AA213" s="1070"/>
      <c r="AB213" s="1070"/>
      <c r="AC213" s="1070"/>
      <c r="AD213" s="1070"/>
      <c r="AE213" s="1070"/>
      <c r="AF213" s="1070"/>
      <c r="AG213" s="1070"/>
      <c r="AH213" s="2201"/>
      <c r="AI213" s="1927"/>
      <c r="AJ213" s="1561"/>
      <c r="AK213" s="1070"/>
      <c r="AL213" s="1070"/>
      <c r="AM213" s="1064"/>
      <c r="AN213" s="1070"/>
      <c r="AO213" s="1070"/>
      <c r="AP213" s="607"/>
      <c r="AQ213" s="1070"/>
      <c r="AR213" s="1070"/>
      <c r="AS213" s="1070"/>
      <c r="AT213" s="607"/>
      <c r="AU213" s="1070"/>
      <c r="AV213" s="1070"/>
      <c r="AW213" s="1070"/>
      <c r="AX213" s="607"/>
      <c r="AY213" s="1070"/>
      <c r="AZ213" s="1070"/>
      <c r="BA213" s="1070"/>
      <c r="BB213" s="607"/>
      <c r="BC213" s="1070"/>
      <c r="BD213" s="1070"/>
      <c r="BE213" s="1070"/>
      <c r="BF213" s="607"/>
      <c r="BG213" s="1070"/>
      <c r="BH213" s="1070"/>
      <c r="BI213" s="1070"/>
      <c r="BJ213" s="607"/>
      <c r="BK213" s="1070"/>
      <c r="BL213" s="1070"/>
      <c r="BM213" s="1070"/>
      <c r="BN213" s="607"/>
      <c r="BO213" s="1070"/>
      <c r="BP213" s="1070"/>
      <c r="BQ213" s="1070"/>
      <c r="BR213" s="607"/>
      <c r="BS213" s="1070"/>
      <c r="BT213" s="1070"/>
      <c r="BU213" s="1070"/>
      <c r="BV213" s="607"/>
      <c r="BW213" s="1070"/>
      <c r="BX213" s="1070"/>
      <c r="BY213" s="1070"/>
      <c r="BZ213" s="607"/>
      <c r="CA213" s="1070"/>
      <c r="CB213" s="1070"/>
      <c r="CC213" s="1070"/>
      <c r="CD213" s="607"/>
      <c r="CE213" s="1070"/>
      <c r="CF213" s="1070"/>
      <c r="CG213" s="1070"/>
      <c r="CH213" s="607"/>
      <c r="CI213" s="1070"/>
      <c r="CJ213" s="1070"/>
      <c r="CK213" s="1070"/>
      <c r="CL213" s="607"/>
      <c r="CM213" s="1070"/>
      <c r="CN213" s="1070"/>
      <c r="CO213" s="1070"/>
      <c r="CP213" s="607"/>
      <c r="CQ213" s="1070"/>
      <c r="CR213" s="1070"/>
      <c r="CS213" s="1070"/>
      <c r="CT213" s="607"/>
      <c r="CU213" s="1070"/>
      <c r="CV213" s="1070"/>
      <c r="CW213" s="1070"/>
      <c r="CX213" s="607"/>
      <c r="CY213" s="1070"/>
      <c r="CZ213" s="1070"/>
      <c r="DA213" s="1070"/>
      <c r="DB213" s="607"/>
      <c r="DC213" s="1070"/>
      <c r="DD213" s="1070"/>
      <c r="DE213" s="1070"/>
      <c r="DF213" s="607"/>
      <c r="DG213" s="1070"/>
      <c r="DH213" s="1070"/>
      <c r="DI213" s="608"/>
      <c r="DJ213" s="607"/>
      <c r="DK213" s="1070"/>
      <c r="DL213" s="1070"/>
      <c r="DM213" s="608"/>
      <c r="DN213" s="1070"/>
      <c r="DO213" s="1070"/>
      <c r="DP213" s="1070"/>
      <c r="DQ213" s="608"/>
      <c r="DR213" s="607"/>
      <c r="DS213" s="1070"/>
      <c r="DT213" s="1070"/>
      <c r="DU213" s="608"/>
      <c r="DV213" s="1070"/>
      <c r="DW213" s="1070"/>
      <c r="DX213" s="1070"/>
      <c r="DY213" s="608"/>
    </row>
    <row r="214" spans="1:129" s="1491" customFormat="1" ht="15" hidden="1" customHeight="1" outlineLevel="2">
      <c r="A214" s="569" t="s">
        <v>87</v>
      </c>
      <c r="B214" s="1064"/>
      <c r="C214" s="1064"/>
      <c r="D214" s="1070"/>
      <c r="E214" s="1070"/>
      <c r="F214" s="1070"/>
      <c r="G214" s="1229"/>
      <c r="H214" s="1070"/>
      <c r="I214" s="1070"/>
      <c r="J214" s="1070"/>
      <c r="K214" s="1070"/>
      <c r="L214" s="1070"/>
      <c r="M214" s="1070"/>
      <c r="N214" s="1064">
        <f>N208/N195</f>
        <v>0.96240230937125959</v>
      </c>
      <c r="O214" s="1064">
        <f>O208/O195</f>
        <v>0.95726053188985649</v>
      </c>
      <c r="P214" s="1064">
        <f>P208/P195</f>
        <v>0.95647020179660391</v>
      </c>
      <c r="Q214" s="1064">
        <f>Q208/Q195</f>
        <v>0.94206799695710686</v>
      </c>
      <c r="R214" s="1064"/>
      <c r="S214" s="1064"/>
      <c r="T214" s="568"/>
      <c r="U214" s="1064"/>
      <c r="V214" s="1064"/>
      <c r="W214" s="1064"/>
      <c r="X214" s="1064"/>
      <c r="Y214" s="1064"/>
      <c r="Z214" s="1064"/>
      <c r="AA214" s="1064"/>
      <c r="AB214" s="1064"/>
      <c r="AC214" s="1064"/>
      <c r="AD214" s="1064"/>
      <c r="AE214" s="1064"/>
      <c r="AF214" s="1064"/>
      <c r="AG214" s="1064"/>
      <c r="AH214" s="2201"/>
      <c r="AI214" s="1927"/>
      <c r="AJ214" s="1561"/>
      <c r="AK214" s="1070"/>
      <c r="AL214" s="1070"/>
      <c r="AM214" s="1064"/>
      <c r="AN214" s="1070"/>
      <c r="AO214" s="1070"/>
      <c r="AP214" s="607"/>
      <c r="AQ214" s="1070"/>
      <c r="AR214" s="1070"/>
      <c r="AS214" s="1070"/>
      <c r="AT214" s="607"/>
      <c r="AU214" s="1070"/>
      <c r="AV214" s="1070"/>
      <c r="AW214" s="1070"/>
      <c r="AX214" s="607"/>
      <c r="AY214" s="1070"/>
      <c r="AZ214" s="1070"/>
      <c r="BA214" s="1070"/>
      <c r="BB214" s="607"/>
      <c r="BC214" s="1070"/>
      <c r="BD214" s="1070"/>
      <c r="BE214" s="1070"/>
      <c r="BF214" s="607"/>
      <c r="BG214" s="1070"/>
      <c r="BH214" s="1070"/>
      <c r="BI214" s="1070"/>
      <c r="BJ214" s="607"/>
      <c r="BK214" s="1070"/>
      <c r="BL214" s="1070"/>
      <c r="BM214" s="1070"/>
      <c r="BN214" s="496">
        <v>0.91</v>
      </c>
      <c r="BO214" s="1064"/>
      <c r="BP214" s="1064"/>
      <c r="BQ214" s="1043">
        <v>0.91200000000000003</v>
      </c>
      <c r="BR214" s="496">
        <v>0.91200000000000003</v>
      </c>
      <c r="BS214" s="1043">
        <v>0.92</v>
      </c>
      <c r="BT214" s="1064"/>
      <c r="BU214" s="1043">
        <v>0.92</v>
      </c>
      <c r="BV214" s="496">
        <v>0.92100000000000004</v>
      </c>
      <c r="BW214" s="1385"/>
      <c r="BX214" s="1064">
        <f>BX208/BX195</f>
        <v>0.96762419235250496</v>
      </c>
      <c r="BY214" s="1064">
        <f>BY208/BY195</f>
        <v>0.96739130434782605</v>
      </c>
      <c r="BZ214" s="569"/>
      <c r="CA214" s="1064">
        <f t="shared" ref="CA214:CO214" si="957">CA208/CA195</f>
        <v>0.96475913352731979</v>
      </c>
      <c r="CB214" s="1064">
        <f t="shared" si="957"/>
        <v>0.96415087423481549</v>
      </c>
      <c r="CC214" s="1064">
        <f t="shared" si="957"/>
        <v>0.96240230937125959</v>
      </c>
      <c r="CD214" s="569">
        <f t="shared" si="957"/>
        <v>0.96027917479215852</v>
      </c>
      <c r="CE214" s="1064">
        <f t="shared" si="957"/>
        <v>0.95995339547270309</v>
      </c>
      <c r="CF214" s="1064">
        <f t="shared" si="957"/>
        <v>0.95994501940491594</v>
      </c>
      <c r="CG214" s="1064">
        <f t="shared" si="957"/>
        <v>0.95726053188985649</v>
      </c>
      <c r="CH214" s="569">
        <f t="shared" si="957"/>
        <v>0.9556346454760225</v>
      </c>
      <c r="CI214" s="1064">
        <f t="shared" si="957"/>
        <v>0.95620875824835028</v>
      </c>
      <c r="CJ214" s="1064">
        <f t="shared" si="957"/>
        <v>0.95677765343642363</v>
      </c>
      <c r="CK214" s="1064">
        <f t="shared" si="957"/>
        <v>0.95647020179660391</v>
      </c>
      <c r="CL214" s="569">
        <f t="shared" si="957"/>
        <v>0.94127524945242147</v>
      </c>
      <c r="CM214" s="1064">
        <f t="shared" si="957"/>
        <v>0.94143289461043322</v>
      </c>
      <c r="CN214" s="1064">
        <f t="shared" si="957"/>
        <v>0.94188778658565531</v>
      </c>
      <c r="CO214" s="1064">
        <f t="shared" si="957"/>
        <v>0.94206799695710686</v>
      </c>
      <c r="CP214" s="569"/>
      <c r="CQ214" s="1064"/>
      <c r="CR214" s="1064"/>
      <c r="CS214" s="1064"/>
      <c r="CT214" s="569"/>
      <c r="CU214" s="1064"/>
      <c r="CV214" s="1064"/>
      <c r="CW214" s="1064"/>
      <c r="CX214" s="569"/>
      <c r="CY214" s="1064"/>
      <c r="CZ214" s="1064"/>
      <c r="DA214" s="1064"/>
      <c r="DB214" s="569"/>
      <c r="DC214" s="1064"/>
      <c r="DD214" s="1064"/>
      <c r="DE214" s="1064"/>
      <c r="DF214" s="569"/>
      <c r="DG214" s="1064"/>
      <c r="DH214" s="1064"/>
      <c r="DI214" s="568"/>
      <c r="DJ214" s="569"/>
      <c r="DK214" s="1064"/>
      <c r="DL214" s="1064"/>
      <c r="DM214" s="568"/>
      <c r="DN214" s="1064"/>
      <c r="DO214" s="1064"/>
      <c r="DP214" s="1064"/>
      <c r="DQ214" s="568"/>
      <c r="DR214" s="569"/>
      <c r="DS214" s="1064"/>
      <c r="DT214" s="1064"/>
      <c r="DU214" s="568"/>
      <c r="DV214" s="1064"/>
      <c r="DW214" s="1064"/>
      <c r="DX214" s="1064"/>
      <c r="DY214" s="568"/>
    </row>
    <row r="215" spans="1:129" s="1491" customFormat="1" ht="15" hidden="1" customHeight="1" outlineLevel="2">
      <c r="A215" s="569" t="s">
        <v>88</v>
      </c>
      <c r="B215" s="1064"/>
      <c r="C215" s="1064"/>
      <c r="D215" s="1070"/>
      <c r="E215" s="1070"/>
      <c r="F215" s="1070"/>
      <c r="G215" s="1229"/>
      <c r="H215" s="1070"/>
      <c r="I215" s="1070"/>
      <c r="J215" s="1070"/>
      <c r="K215" s="1070"/>
      <c r="L215" s="1070"/>
      <c r="M215" s="1070"/>
      <c r="N215" s="1064">
        <f>N211/N195</f>
        <v>3.759769062874041E-2</v>
      </c>
      <c r="O215" s="1064">
        <f>O211/O195</f>
        <v>4.2739468110143564E-2</v>
      </c>
      <c r="P215" s="1064">
        <f>P211/P195</f>
        <v>4.3529798203396121E-2</v>
      </c>
      <c r="Q215" s="1064">
        <f>Q211/Q195</f>
        <v>5.7932003042893088E-2</v>
      </c>
      <c r="R215" s="1064"/>
      <c r="S215" s="1064"/>
      <c r="T215" s="568"/>
      <c r="U215" s="1064"/>
      <c r="V215" s="1064"/>
      <c r="W215" s="1064"/>
      <c r="X215" s="1064"/>
      <c r="Y215" s="1064"/>
      <c r="Z215" s="1064"/>
      <c r="AA215" s="1064"/>
      <c r="AB215" s="1064"/>
      <c r="AC215" s="1064"/>
      <c r="AD215" s="1064"/>
      <c r="AE215" s="1064"/>
      <c r="AF215" s="1064"/>
      <c r="AG215" s="1064"/>
      <c r="AH215" s="2201"/>
      <c r="AI215" s="1927"/>
      <c r="AJ215" s="1561"/>
      <c r="AK215" s="1070"/>
      <c r="AL215" s="1070"/>
      <c r="AM215" s="1064"/>
      <c r="AN215" s="1070"/>
      <c r="AO215" s="1070"/>
      <c r="AP215" s="607"/>
      <c r="AQ215" s="1070"/>
      <c r="AR215" s="1070"/>
      <c r="AS215" s="1070"/>
      <c r="AT215" s="607"/>
      <c r="AU215" s="1070"/>
      <c r="AV215" s="1070"/>
      <c r="AW215" s="1070"/>
      <c r="AX215" s="607"/>
      <c r="AY215" s="1070"/>
      <c r="AZ215" s="1070"/>
      <c r="BA215" s="1070"/>
      <c r="BB215" s="607"/>
      <c r="BC215" s="1070"/>
      <c r="BD215" s="1070"/>
      <c r="BE215" s="1070"/>
      <c r="BF215" s="607"/>
      <c r="BG215" s="1070"/>
      <c r="BH215" s="1070"/>
      <c r="BI215" s="1070"/>
      <c r="BJ215" s="607"/>
      <c r="BK215" s="1070"/>
      <c r="BL215" s="1070"/>
      <c r="BM215" s="1070"/>
      <c r="BN215" s="496">
        <v>0.05</v>
      </c>
      <c r="BO215" s="1064"/>
      <c r="BP215" s="1064"/>
      <c r="BQ215" s="1043">
        <v>4.8000000000000001E-2</v>
      </c>
      <c r="BR215" s="496">
        <v>4.3999999999999997E-2</v>
      </c>
      <c r="BS215" s="1043">
        <v>0.04</v>
      </c>
      <c r="BT215" s="1064"/>
      <c r="BU215" s="1043">
        <v>3.5000000000000003E-2</v>
      </c>
      <c r="BV215" s="515">
        <v>3.4000000000000002E-2</v>
      </c>
      <c r="BW215" s="1386">
        <v>3.2000000000000001E-2</v>
      </c>
      <c r="BX215" s="1386">
        <v>3.1E-2</v>
      </c>
      <c r="BY215" s="1064">
        <f>BY211/BY195</f>
        <v>3.2608695652173912E-2</v>
      </c>
      <c r="BZ215" s="569"/>
      <c r="CA215" s="1064">
        <f t="shared" ref="CA215:CO215" si="958">CA211/CA195</f>
        <v>3.5240866472680245E-2</v>
      </c>
      <c r="CB215" s="1064">
        <f t="shared" si="958"/>
        <v>3.5849125765184564E-2</v>
      </c>
      <c r="CC215" s="1064">
        <f t="shared" si="958"/>
        <v>3.759769062874041E-2</v>
      </c>
      <c r="CD215" s="569">
        <f t="shared" si="958"/>
        <v>3.972082520784153E-2</v>
      </c>
      <c r="CE215" s="1064">
        <f t="shared" si="958"/>
        <v>4.0046604527296935E-2</v>
      </c>
      <c r="CF215" s="1064">
        <f t="shared" si="958"/>
        <v>4.005498059508409E-2</v>
      </c>
      <c r="CG215" s="1064">
        <f t="shared" si="958"/>
        <v>4.2739468110143564E-2</v>
      </c>
      <c r="CH215" s="569">
        <f t="shared" si="958"/>
        <v>4.4365354523977545E-2</v>
      </c>
      <c r="CI215" s="1064">
        <f t="shared" si="958"/>
        <v>4.3791241751649668E-2</v>
      </c>
      <c r="CJ215" s="1064">
        <f t="shared" si="958"/>
        <v>4.3222346563576382E-2</v>
      </c>
      <c r="CK215" s="1064">
        <f t="shared" si="958"/>
        <v>4.3529798203396121E-2</v>
      </c>
      <c r="CL215" s="569">
        <f t="shared" si="958"/>
        <v>5.8724750547578489E-2</v>
      </c>
      <c r="CM215" s="1064">
        <f t="shared" si="958"/>
        <v>5.856710538956672E-2</v>
      </c>
      <c r="CN215" s="1064">
        <f t="shared" si="958"/>
        <v>5.8112213414344707E-2</v>
      </c>
      <c r="CO215" s="1064">
        <f t="shared" si="958"/>
        <v>5.7932003042893088E-2</v>
      </c>
      <c r="CP215" s="569"/>
      <c r="CQ215" s="1064"/>
      <c r="CR215" s="1064"/>
      <c r="CS215" s="1064"/>
      <c r="CT215" s="569"/>
      <c r="CU215" s="1064"/>
      <c r="CV215" s="1064"/>
      <c r="CW215" s="1064"/>
      <c r="CX215" s="569"/>
      <c r="CY215" s="1064"/>
      <c r="CZ215" s="1064"/>
      <c r="DA215" s="1064"/>
      <c r="DB215" s="569"/>
      <c r="DC215" s="1064"/>
      <c r="DD215" s="1064"/>
      <c r="DE215" s="1064"/>
      <c r="DF215" s="569"/>
      <c r="DG215" s="1064"/>
      <c r="DH215" s="1064"/>
      <c r="DI215" s="568"/>
      <c r="DJ215" s="569"/>
      <c r="DK215" s="1064"/>
      <c r="DL215" s="1064"/>
      <c r="DM215" s="568"/>
      <c r="DN215" s="1064"/>
      <c r="DO215" s="1064"/>
      <c r="DP215" s="1064"/>
      <c r="DQ215" s="568"/>
      <c r="DR215" s="569"/>
      <c r="DS215" s="1064"/>
      <c r="DT215" s="1064"/>
      <c r="DU215" s="568"/>
      <c r="DV215" s="1064"/>
      <c r="DW215" s="1064"/>
      <c r="DX215" s="1064"/>
      <c r="DY215" s="568"/>
    </row>
    <row r="216" spans="1:129" s="1491" customFormat="1" ht="15" hidden="1" customHeight="1" outlineLevel="2">
      <c r="A216" s="569"/>
      <c r="B216" s="1064"/>
      <c r="C216" s="1064"/>
      <c r="D216" s="1070"/>
      <c r="E216" s="1070"/>
      <c r="F216" s="1070"/>
      <c r="G216" s="1229"/>
      <c r="H216" s="1070"/>
      <c r="I216" s="1070"/>
      <c r="J216" s="1070"/>
      <c r="K216" s="1070"/>
      <c r="L216" s="1070"/>
      <c r="M216" s="1070"/>
      <c r="N216" s="1064"/>
      <c r="O216" s="1064"/>
      <c r="P216" s="1064"/>
      <c r="Q216" s="1064"/>
      <c r="R216" s="1064"/>
      <c r="S216" s="1064"/>
      <c r="T216" s="568"/>
      <c r="U216" s="1064"/>
      <c r="V216" s="1064"/>
      <c r="W216" s="1064"/>
      <c r="X216" s="1064"/>
      <c r="Y216" s="1064"/>
      <c r="Z216" s="1064"/>
      <c r="AA216" s="1064"/>
      <c r="AB216" s="1064"/>
      <c r="AC216" s="1064"/>
      <c r="AD216" s="1064"/>
      <c r="AE216" s="1064"/>
      <c r="AF216" s="1064"/>
      <c r="AG216" s="1064"/>
      <c r="AH216" s="2201"/>
      <c r="AI216" s="1927"/>
      <c r="AJ216" s="1561"/>
      <c r="AK216" s="1070"/>
      <c r="AL216" s="1070"/>
      <c r="AM216" s="1064"/>
      <c r="AN216" s="1070"/>
      <c r="AO216" s="1070"/>
      <c r="AP216" s="607"/>
      <c r="AQ216" s="1070"/>
      <c r="AR216" s="1070"/>
      <c r="AS216" s="1070"/>
      <c r="AT216" s="607"/>
      <c r="AU216" s="1070"/>
      <c r="AV216" s="1070"/>
      <c r="AW216" s="1070"/>
      <c r="AX216" s="607"/>
      <c r="AY216" s="1070"/>
      <c r="AZ216" s="1070"/>
      <c r="BA216" s="1070"/>
      <c r="BB216" s="607"/>
      <c r="BC216" s="1070"/>
      <c r="BD216" s="1070"/>
      <c r="BE216" s="1070"/>
      <c r="BF216" s="607"/>
      <c r="BG216" s="1070"/>
      <c r="BH216" s="1070"/>
      <c r="BI216" s="1070"/>
      <c r="BJ216" s="607"/>
      <c r="BK216" s="1070"/>
      <c r="BL216" s="1070"/>
      <c r="BM216" s="1070"/>
      <c r="BN216" s="496"/>
      <c r="BO216" s="1064"/>
      <c r="BP216" s="1064"/>
      <c r="BQ216" s="1043"/>
      <c r="BR216" s="496"/>
      <c r="BS216" s="1043"/>
      <c r="BT216" s="1064"/>
      <c r="BU216" s="1043"/>
      <c r="BV216" s="496"/>
      <c r="BW216" s="1064"/>
      <c r="BX216" s="1064"/>
      <c r="BY216" s="1064"/>
      <c r="BZ216" s="569"/>
      <c r="CA216" s="1064"/>
      <c r="CB216" s="1064"/>
      <c r="CC216" s="1064"/>
      <c r="CD216" s="569"/>
      <c r="CE216" s="1064"/>
      <c r="CF216" s="1064"/>
      <c r="CG216" s="1064"/>
      <c r="CH216" s="569"/>
      <c r="CI216" s="1064"/>
      <c r="CJ216" s="1064"/>
      <c r="CK216" s="1064"/>
      <c r="CL216" s="569"/>
      <c r="CM216" s="1064"/>
      <c r="CN216" s="1064"/>
      <c r="CO216" s="1064"/>
      <c r="CP216" s="569"/>
      <c r="CQ216" s="1064"/>
      <c r="CR216" s="1064"/>
      <c r="CS216" s="1064"/>
      <c r="CT216" s="569"/>
      <c r="CU216" s="1064"/>
      <c r="CV216" s="1064"/>
      <c r="CW216" s="1064"/>
      <c r="CX216" s="569"/>
      <c r="CY216" s="1064"/>
      <c r="CZ216" s="1064"/>
      <c r="DA216" s="1064"/>
      <c r="DB216" s="569"/>
      <c r="DC216" s="1064"/>
      <c r="DD216" s="1064"/>
      <c r="DE216" s="1064"/>
      <c r="DF216" s="569"/>
      <c r="DG216" s="1064"/>
      <c r="DH216" s="1064"/>
      <c r="DI216" s="568"/>
      <c r="DJ216" s="569"/>
      <c r="DK216" s="1064"/>
      <c r="DL216" s="1064"/>
      <c r="DM216" s="568"/>
      <c r="DN216" s="1064"/>
      <c r="DO216" s="1064"/>
      <c r="DP216" s="1064"/>
      <c r="DQ216" s="568"/>
      <c r="DR216" s="569"/>
      <c r="DS216" s="1064"/>
      <c r="DT216" s="1064"/>
      <c r="DU216" s="568"/>
      <c r="DV216" s="1064"/>
      <c r="DW216" s="1064"/>
      <c r="DX216" s="1064"/>
      <c r="DY216" s="568"/>
    </row>
    <row r="217" spans="1:129" s="1491" customFormat="1" ht="15" hidden="1" customHeight="1" outlineLevel="2">
      <c r="A217" s="483" t="s">
        <v>89</v>
      </c>
      <c r="B217" s="1502"/>
      <c r="C217" s="1502"/>
      <c r="D217" s="1497"/>
      <c r="E217" s="1497"/>
      <c r="F217" s="1497"/>
      <c r="G217" s="1503"/>
      <c r="H217" s="1497"/>
      <c r="I217" s="1497"/>
      <c r="J217" s="1497"/>
      <c r="K217" s="1497"/>
      <c r="L217" s="1497"/>
      <c r="M217" s="1497"/>
      <c r="N217" s="1502"/>
      <c r="O217" s="1502"/>
      <c r="P217" s="1502"/>
      <c r="Q217" s="1519"/>
      <c r="R217" s="1064"/>
      <c r="S217" s="1064"/>
      <c r="T217" s="568"/>
      <c r="U217" s="1064"/>
      <c r="V217" s="1064"/>
      <c r="W217" s="1064"/>
      <c r="X217" s="1064"/>
      <c r="Y217" s="1064"/>
      <c r="Z217" s="1064"/>
      <c r="AA217" s="1064"/>
      <c r="AB217" s="1064"/>
      <c r="AC217" s="1064"/>
      <c r="AD217" s="1064"/>
      <c r="AE217" s="1064"/>
      <c r="AF217" s="1064"/>
      <c r="AG217" s="1064"/>
      <c r="AH217" s="2201"/>
      <c r="AI217" s="1927"/>
      <c r="AJ217" s="1561"/>
      <c r="AK217" s="1497"/>
      <c r="AL217" s="1497"/>
      <c r="AM217" s="1064"/>
      <c r="AN217" s="1497"/>
      <c r="AO217" s="1497"/>
      <c r="AP217" s="1517"/>
      <c r="AQ217" s="1497"/>
      <c r="AR217" s="1497"/>
      <c r="AS217" s="1497"/>
      <c r="AT217" s="1517"/>
      <c r="AU217" s="1497"/>
      <c r="AV217" s="1497"/>
      <c r="AW217" s="1497"/>
      <c r="AX217" s="1517"/>
      <c r="AY217" s="1497"/>
      <c r="AZ217" s="1497"/>
      <c r="BA217" s="1497"/>
      <c r="BB217" s="1517"/>
      <c r="BC217" s="1497"/>
      <c r="BD217" s="1497"/>
      <c r="BE217" s="1497"/>
      <c r="BF217" s="1517"/>
      <c r="BG217" s="1497"/>
      <c r="BH217" s="1497"/>
      <c r="BI217" s="1497"/>
      <c r="BJ217" s="1517"/>
      <c r="BK217" s="1497"/>
      <c r="BL217" s="1497"/>
      <c r="BM217" s="1497"/>
      <c r="BN217" s="501"/>
      <c r="BO217" s="1502"/>
      <c r="BP217" s="1502"/>
      <c r="BQ217" s="1388"/>
      <c r="BR217" s="501"/>
      <c r="BS217" s="1388"/>
      <c r="BT217" s="1502"/>
      <c r="BU217" s="1388"/>
      <c r="BV217" s="501"/>
      <c r="BW217" s="1502"/>
      <c r="BX217" s="1502"/>
      <c r="BY217" s="1502"/>
      <c r="BZ217" s="1467"/>
      <c r="CA217" s="1502"/>
      <c r="CB217" s="1502"/>
      <c r="CC217" s="1502"/>
      <c r="CD217" s="1467"/>
      <c r="CE217" s="1502"/>
      <c r="CF217" s="1502"/>
      <c r="CG217" s="1502"/>
      <c r="CH217" s="1467"/>
      <c r="CI217" s="1502"/>
      <c r="CJ217" s="1502"/>
      <c r="CK217" s="1502"/>
      <c r="CL217" s="569"/>
      <c r="CM217" s="1064"/>
      <c r="CN217" s="1064"/>
      <c r="CO217" s="1064"/>
      <c r="CP217" s="569"/>
      <c r="CQ217" s="1064"/>
      <c r="CR217" s="1064"/>
      <c r="CS217" s="1064"/>
      <c r="CT217" s="569"/>
      <c r="CU217" s="1064"/>
      <c r="CV217" s="1064"/>
      <c r="CW217" s="1064"/>
      <c r="CX217" s="569"/>
      <c r="CY217" s="1064"/>
      <c r="CZ217" s="1064"/>
      <c r="DA217" s="1064"/>
      <c r="DB217" s="569"/>
      <c r="DC217" s="1064"/>
      <c r="DD217" s="1064"/>
      <c r="DE217" s="1064"/>
      <c r="DF217" s="569"/>
      <c r="DG217" s="1064"/>
      <c r="DH217" s="1064"/>
      <c r="DI217" s="568"/>
      <c r="DJ217" s="569"/>
      <c r="DK217" s="1064"/>
      <c r="DL217" s="1064"/>
      <c r="DM217" s="568"/>
      <c r="DN217" s="1064"/>
      <c r="DO217" s="1064"/>
      <c r="DP217" s="1064"/>
      <c r="DQ217" s="568"/>
      <c r="DR217" s="569"/>
      <c r="DS217" s="1064"/>
      <c r="DT217" s="1064"/>
      <c r="DU217" s="568"/>
      <c r="DV217" s="1064"/>
      <c r="DW217" s="1064"/>
      <c r="DX217" s="1064"/>
      <c r="DY217" s="568"/>
    </row>
    <row r="218" spans="1:129" s="1491" customFormat="1" ht="15" hidden="1" customHeight="1" outlineLevel="2">
      <c r="A218" s="1467" t="s">
        <v>76</v>
      </c>
      <c r="B218" s="1502"/>
      <c r="C218" s="1502"/>
      <c r="D218" s="1497"/>
      <c r="E218" s="1497"/>
      <c r="F218" s="1497"/>
      <c r="G218" s="1503"/>
      <c r="H218" s="1497"/>
      <c r="I218" s="1497"/>
      <c r="J218" s="1497"/>
      <c r="K218" s="1497"/>
      <c r="L218" s="1497"/>
      <c r="M218" s="1497"/>
      <c r="N218" s="1497">
        <f>N103</f>
        <v>0</v>
      </c>
      <c r="O218" s="1497">
        <f>O103</f>
        <v>77700</v>
      </c>
      <c r="P218" s="1497">
        <f>P103</f>
        <v>91435</v>
      </c>
      <c r="Q218" s="1070">
        <f>+CO218</f>
        <v>96495</v>
      </c>
      <c r="R218" s="1070">
        <f>+CS218</f>
        <v>102246</v>
      </c>
      <c r="S218" s="1070">
        <f t="shared" ref="S218:X218" si="959">S103</f>
        <v>107665</v>
      </c>
      <c r="T218" s="608">
        <f t="shared" si="959"/>
        <v>114546</v>
      </c>
      <c r="U218" s="1070">
        <f t="shared" si="959"/>
        <v>121518</v>
      </c>
      <c r="V218" s="1070">
        <f t="shared" si="959"/>
        <v>129086</v>
      </c>
      <c r="W218" s="1070">
        <f t="shared" si="959"/>
        <v>132594</v>
      </c>
      <c r="X218" s="1070">
        <f t="shared" si="959"/>
        <v>133471</v>
      </c>
      <c r="Y218" s="1070">
        <f t="shared" ref="Y218:Z218" si="960">Y103</f>
        <v>139610</v>
      </c>
      <c r="Z218" s="1070">
        <f t="shared" ca="1" si="960"/>
        <v>141978.18708157277</v>
      </c>
      <c r="AA218" s="1070"/>
      <c r="AB218" s="1070"/>
      <c r="AC218" s="1070"/>
      <c r="AD218" s="1070"/>
      <c r="AE218" s="1070"/>
      <c r="AF218" s="1070"/>
      <c r="AG218" s="1070"/>
      <c r="AH218" s="2201"/>
      <c r="AI218" s="1927"/>
      <c r="AJ218" s="1561"/>
      <c r="AK218" s="1497"/>
      <c r="AL218" s="1497"/>
      <c r="AM218" s="1064"/>
      <c r="AN218" s="1497"/>
      <c r="AO218" s="1497"/>
      <c r="AP218" s="1517"/>
      <c r="AQ218" s="1497"/>
      <c r="AR218" s="1497"/>
      <c r="AS218" s="1497"/>
      <c r="AT218" s="1517"/>
      <c r="AU218" s="1497"/>
      <c r="AV218" s="1497"/>
      <c r="AW218" s="1497"/>
      <c r="AX218" s="1517"/>
      <c r="AY218" s="1497"/>
      <c r="AZ218" s="1497"/>
      <c r="BA218" s="1497"/>
      <c r="BB218" s="1517"/>
      <c r="BC218" s="1497"/>
      <c r="BD218" s="1497"/>
      <c r="BE218" s="1497"/>
      <c r="BF218" s="1517"/>
      <c r="BG218" s="1497"/>
      <c r="BH218" s="1497"/>
      <c r="BI218" s="1497"/>
      <c r="BJ218" s="1517"/>
      <c r="BK218" s="1497"/>
      <c r="BL218" s="1497"/>
      <c r="BM218" s="1497"/>
      <c r="BN218" s="501"/>
      <c r="BO218" s="1502"/>
      <c r="BP218" s="1502"/>
      <c r="BQ218" s="1388"/>
      <c r="BR218" s="501"/>
      <c r="BS218" s="1388"/>
      <c r="BT218" s="1502"/>
      <c r="BU218" s="1388"/>
      <c r="BV218" s="501"/>
      <c r="BW218" s="1502"/>
      <c r="BX218" s="1502"/>
      <c r="BY218" s="1502"/>
      <c r="BZ218" s="1517">
        <f t="shared" ref="BZ218:DJ218" si="961">BZ103</f>
        <v>0</v>
      </c>
      <c r="CA218" s="1497">
        <f t="shared" si="961"/>
        <v>0</v>
      </c>
      <c r="CB218" s="1497">
        <f t="shared" si="961"/>
        <v>0</v>
      </c>
      <c r="CC218" s="1497">
        <f t="shared" si="961"/>
        <v>0</v>
      </c>
      <c r="CD218" s="1517">
        <f t="shared" si="961"/>
        <v>0</v>
      </c>
      <c r="CE218" s="1497">
        <f t="shared" si="961"/>
        <v>0</v>
      </c>
      <c r="CF218" s="1497">
        <f t="shared" si="961"/>
        <v>0</v>
      </c>
      <c r="CG218" s="1497">
        <f t="shared" si="961"/>
        <v>77700</v>
      </c>
      <c r="CH218" s="1517">
        <f t="shared" si="961"/>
        <v>79472</v>
      </c>
      <c r="CI218" s="1497">
        <f t="shared" si="961"/>
        <v>81278</v>
      </c>
      <c r="CJ218" s="1497">
        <f t="shared" si="961"/>
        <v>83704</v>
      </c>
      <c r="CK218" s="1497">
        <f t="shared" si="961"/>
        <v>91435</v>
      </c>
      <c r="CL218" s="607">
        <f t="shared" si="961"/>
        <v>92390</v>
      </c>
      <c r="CM218" s="1070">
        <f t="shared" si="961"/>
        <v>93220</v>
      </c>
      <c r="CN218" s="1070">
        <f t="shared" si="961"/>
        <v>94361</v>
      </c>
      <c r="CO218" s="1070">
        <f t="shared" si="961"/>
        <v>96495</v>
      </c>
      <c r="CP218" s="607">
        <f t="shared" si="961"/>
        <v>98019</v>
      </c>
      <c r="CQ218" s="1070">
        <f t="shared" si="961"/>
        <v>99736</v>
      </c>
      <c r="CR218" s="1070">
        <f t="shared" si="961"/>
        <v>101095</v>
      </c>
      <c r="CS218" s="1070">
        <f t="shared" si="961"/>
        <v>102246</v>
      </c>
      <c r="CT218" s="607">
        <f t="shared" si="961"/>
        <v>104022</v>
      </c>
      <c r="CU218" s="1070">
        <f t="shared" si="961"/>
        <v>106230</v>
      </c>
      <c r="CV218" s="1070">
        <f t="shared" si="961"/>
        <v>107565</v>
      </c>
      <c r="CW218" s="1070">
        <f t="shared" si="961"/>
        <v>107665</v>
      </c>
      <c r="CX218" s="607">
        <f t="shared" si="961"/>
        <v>108867</v>
      </c>
      <c r="CY218" s="1070">
        <f t="shared" si="961"/>
        <v>110295</v>
      </c>
      <c r="CZ218" s="1070">
        <f t="shared" si="961"/>
        <v>112181</v>
      </c>
      <c r="DA218" s="1070">
        <f t="shared" si="961"/>
        <v>114546</v>
      </c>
      <c r="DB218" s="607">
        <f t="shared" si="961"/>
        <v>116266</v>
      </c>
      <c r="DC218" s="1070">
        <f t="shared" si="961"/>
        <v>117804</v>
      </c>
      <c r="DD218" s="1070">
        <f t="shared" si="961"/>
        <v>119365</v>
      </c>
      <c r="DE218" s="1070">
        <f t="shared" si="961"/>
        <v>121518</v>
      </c>
      <c r="DF218" s="607">
        <f t="shared" si="961"/>
        <v>122567</v>
      </c>
      <c r="DG218" s="1070">
        <f t="shared" si="961"/>
        <v>124494</v>
      </c>
      <c r="DH218" s="1070">
        <f t="shared" si="961"/>
        <v>126519</v>
      </c>
      <c r="DI218" s="608">
        <f t="shared" si="961"/>
        <v>129086</v>
      </c>
      <c r="DJ218" s="607">
        <f t="shared" si="961"/>
        <v>129963</v>
      </c>
      <c r="DK218" s="1070">
        <f t="shared" ref="DK218:DM218" si="962">DK103</f>
        <v>130840</v>
      </c>
      <c r="DL218" s="1070">
        <f t="shared" si="962"/>
        <v>131717</v>
      </c>
      <c r="DM218" s="608">
        <f t="shared" si="962"/>
        <v>132594</v>
      </c>
      <c r="DN218" s="1070">
        <f t="shared" ref="DN218:DO218" si="963">DN103</f>
        <v>133471</v>
      </c>
      <c r="DO218" s="1070">
        <f t="shared" si="963"/>
        <v>134348</v>
      </c>
      <c r="DP218" s="1070">
        <f t="shared" ref="DP218:DQ218" si="964">DP103</f>
        <v>135225</v>
      </c>
      <c r="DQ218" s="608">
        <f t="shared" si="964"/>
        <v>136102</v>
      </c>
      <c r="DR218" s="607">
        <f t="shared" ref="DR218" si="965">DR103</f>
        <v>136979</v>
      </c>
      <c r="DS218" s="1070">
        <f t="shared" ref="DS218:DT218" si="966">DS103</f>
        <v>137856</v>
      </c>
      <c r="DT218" s="1070">
        <f t="shared" si="966"/>
        <v>138733</v>
      </c>
      <c r="DU218" s="608">
        <f t="shared" ref="DU218" si="967">DU103</f>
        <v>139610</v>
      </c>
      <c r="DV218" s="1070">
        <f t="shared" ref="DV218" si="968">DV103</f>
        <v>140487</v>
      </c>
      <c r="DW218" s="1070">
        <f t="shared" ref="DW218:DY218" ca="1" si="969">DW103</f>
        <v>140881.72261953386</v>
      </c>
      <c r="DX218" s="1070">
        <f t="shared" ca="1" si="969"/>
        <v>141362.10896605611</v>
      </c>
      <c r="DY218" s="608">
        <f t="shared" ca="1" si="969"/>
        <v>141978.18708157277</v>
      </c>
    </row>
    <row r="219" spans="1:129" s="1491" customFormat="1" ht="15" hidden="1" customHeight="1" outlineLevel="2">
      <c r="A219" s="1463" t="s">
        <v>16</v>
      </c>
      <c r="B219" s="1502"/>
      <c r="C219" s="1502"/>
      <c r="D219" s="1497"/>
      <c r="E219" s="1497"/>
      <c r="F219" s="1497"/>
      <c r="G219" s="1503"/>
      <c r="H219" s="1497"/>
      <c r="I219" s="1497"/>
      <c r="J219" s="1497"/>
      <c r="K219" s="1497"/>
      <c r="L219" s="1497"/>
      <c r="M219" s="1497"/>
      <c r="N219" s="1497"/>
      <c r="O219" s="1497"/>
      <c r="P219" s="1497"/>
      <c r="Q219" s="1070">
        <f>+SUM(CL219:CO219)</f>
        <v>2509</v>
      </c>
      <c r="R219" s="1070">
        <f>+SUM(CP219:CS219)</f>
        <v>1977</v>
      </c>
      <c r="S219" s="1070">
        <f t="shared" ref="S219:X219" si="970">+S255+S287</f>
        <v>4624</v>
      </c>
      <c r="T219" s="608">
        <f t="shared" si="970"/>
        <v>5917</v>
      </c>
      <c r="U219" s="1070">
        <f t="shared" si="970"/>
        <v>4472</v>
      </c>
      <c r="V219" s="1070">
        <f t="shared" si="970"/>
        <v>5568</v>
      </c>
      <c r="W219" s="1070">
        <f t="shared" si="970"/>
        <v>3956</v>
      </c>
      <c r="X219" s="1070">
        <f t="shared" si="970"/>
        <v>2155</v>
      </c>
      <c r="Y219" s="1070">
        <f t="shared" ref="Y219:Z219" si="971">+Y255+Y287</f>
        <v>2041</v>
      </c>
      <c r="Z219" s="1070">
        <f t="shared" ca="1" si="971"/>
        <v>1496.8188935062594</v>
      </c>
      <c r="AA219" s="1070"/>
      <c r="AB219" s="1070"/>
      <c r="AC219" s="1070"/>
      <c r="AD219" s="1070"/>
      <c r="AE219" s="1070"/>
      <c r="AF219" s="1070"/>
      <c r="AG219" s="1070"/>
      <c r="AH219" s="2201"/>
      <c r="AI219" s="1927"/>
      <c r="AJ219" s="1561"/>
      <c r="AK219" s="1497"/>
      <c r="AL219" s="1497"/>
      <c r="AM219" s="1064"/>
      <c r="AN219" s="1497"/>
      <c r="AO219" s="1497"/>
      <c r="AP219" s="1517"/>
      <c r="AQ219" s="1497"/>
      <c r="AR219" s="1497"/>
      <c r="AS219" s="1497"/>
      <c r="AT219" s="1517"/>
      <c r="AU219" s="1497"/>
      <c r="AV219" s="1497"/>
      <c r="AW219" s="1497"/>
      <c r="AX219" s="1517"/>
      <c r="AY219" s="1497"/>
      <c r="AZ219" s="1497"/>
      <c r="BA219" s="1497"/>
      <c r="BB219" s="1517"/>
      <c r="BC219" s="1497"/>
      <c r="BD219" s="1497"/>
      <c r="BE219" s="1497"/>
      <c r="BF219" s="1517"/>
      <c r="BG219" s="1497"/>
      <c r="BH219" s="1497"/>
      <c r="BI219" s="1497"/>
      <c r="BJ219" s="1517"/>
      <c r="BK219" s="1497"/>
      <c r="BL219" s="1497"/>
      <c r="BM219" s="1497"/>
      <c r="BN219" s="501"/>
      <c r="BO219" s="1502"/>
      <c r="BP219" s="1502"/>
      <c r="BQ219" s="1388"/>
      <c r="BR219" s="501"/>
      <c r="BS219" s="1388"/>
      <c r="BT219" s="1502"/>
      <c r="BU219" s="1388"/>
      <c r="BV219" s="501"/>
      <c r="BW219" s="1502"/>
      <c r="BX219" s="1502"/>
      <c r="BY219" s="1502"/>
      <c r="BZ219" s="1517"/>
      <c r="CA219" s="1497"/>
      <c r="CB219" s="1497"/>
      <c r="CC219" s="1497"/>
      <c r="CD219" s="1517"/>
      <c r="CE219" s="1497"/>
      <c r="CF219" s="1497"/>
      <c r="CG219" s="1497"/>
      <c r="CH219" s="495"/>
      <c r="CI219" s="1375">
        <f t="shared" ref="CI219:CN219" si="972">+CI117-CH117-CI220</f>
        <v>1764</v>
      </c>
      <c r="CJ219" s="1375">
        <f t="shared" si="972"/>
        <v>1808</v>
      </c>
      <c r="CK219" s="1375">
        <f t="shared" si="972"/>
        <v>1644</v>
      </c>
      <c r="CL219" s="607">
        <f t="shared" si="972"/>
        <v>-654</v>
      </c>
      <c r="CM219" s="1070">
        <f t="shared" si="972"/>
        <v>1091</v>
      </c>
      <c r="CN219" s="1070">
        <f t="shared" si="972"/>
        <v>915</v>
      </c>
      <c r="CO219" s="1070">
        <f t="shared" ref="CO219:DJ219" si="973">+CO255+CO287</f>
        <v>1157</v>
      </c>
      <c r="CP219" s="607">
        <f t="shared" si="973"/>
        <v>266</v>
      </c>
      <c r="CQ219" s="1070">
        <f t="shared" si="973"/>
        <v>461</v>
      </c>
      <c r="CR219" s="1070">
        <f t="shared" si="973"/>
        <v>447</v>
      </c>
      <c r="CS219" s="1070">
        <f t="shared" si="973"/>
        <v>803</v>
      </c>
      <c r="CT219" s="607">
        <f t="shared" si="973"/>
        <v>879</v>
      </c>
      <c r="CU219" s="1070">
        <f t="shared" si="973"/>
        <v>1318</v>
      </c>
      <c r="CV219" s="1070">
        <f t="shared" si="973"/>
        <v>968</v>
      </c>
      <c r="CW219" s="1070">
        <f t="shared" si="973"/>
        <v>1459</v>
      </c>
      <c r="CX219" s="607">
        <f t="shared" si="973"/>
        <v>734</v>
      </c>
      <c r="CY219" s="1070">
        <f t="shared" si="973"/>
        <v>1178</v>
      </c>
      <c r="CZ219" s="1070">
        <f t="shared" si="973"/>
        <v>1763</v>
      </c>
      <c r="DA219" s="1070">
        <f t="shared" si="973"/>
        <v>2242</v>
      </c>
      <c r="DB219" s="607">
        <f t="shared" si="973"/>
        <v>720</v>
      </c>
      <c r="DC219" s="1070">
        <f t="shared" si="973"/>
        <v>1038</v>
      </c>
      <c r="DD219" s="1070">
        <f t="shared" si="973"/>
        <v>1061</v>
      </c>
      <c r="DE219" s="1070">
        <f t="shared" si="973"/>
        <v>1653</v>
      </c>
      <c r="DF219" s="607">
        <f t="shared" si="973"/>
        <v>549</v>
      </c>
      <c r="DG219" s="1070">
        <f t="shared" si="973"/>
        <v>1427</v>
      </c>
      <c r="DH219" s="1070">
        <f t="shared" si="973"/>
        <v>1525</v>
      </c>
      <c r="DI219" s="608">
        <f t="shared" si="973"/>
        <v>2067</v>
      </c>
      <c r="DJ219" s="607">
        <f t="shared" si="973"/>
        <v>377</v>
      </c>
      <c r="DK219" s="1070">
        <f t="shared" ref="DK219:DM219" si="974">+DK255+DK287</f>
        <v>1008</v>
      </c>
      <c r="DL219" s="1070">
        <f t="shared" si="974"/>
        <v>1209</v>
      </c>
      <c r="DM219" s="608">
        <f t="shared" si="974"/>
        <v>1362</v>
      </c>
      <c r="DN219" s="1070">
        <f t="shared" ref="DN219:DO219" si="975">+DN255+DN287</f>
        <v>463</v>
      </c>
      <c r="DO219" s="1070">
        <f t="shared" si="975"/>
        <v>585</v>
      </c>
      <c r="DP219" s="1070">
        <f t="shared" ref="DP219:DQ219" si="976">+DP255+DP287</f>
        <v>525</v>
      </c>
      <c r="DQ219" s="608">
        <f t="shared" si="976"/>
        <v>582</v>
      </c>
      <c r="DR219" s="607">
        <f t="shared" ref="DR219" si="977">+DR255+DR287</f>
        <v>-324</v>
      </c>
      <c r="DS219" s="1070">
        <f t="shared" ref="DS219:DT219" si="978">+DS255+DS287</f>
        <v>633</v>
      </c>
      <c r="DT219" s="1070">
        <f t="shared" si="978"/>
        <v>742</v>
      </c>
      <c r="DU219" s="608">
        <f t="shared" ref="DU219" si="979">+DU255+DU287</f>
        <v>990</v>
      </c>
      <c r="DV219" s="1070">
        <f t="shared" ref="DV219" si="980">+DV255+DV287</f>
        <v>-75</v>
      </c>
      <c r="DW219" s="1070">
        <f t="shared" ref="DW219:DY219" ca="1" si="981">+DW255+DW287</f>
        <v>265.90927655578002</v>
      </c>
      <c r="DX219" s="1070">
        <f t="shared" ca="1" si="981"/>
        <v>462.444136840591</v>
      </c>
      <c r="DY219" s="608">
        <f t="shared" ca="1" si="981"/>
        <v>843.46548010988829</v>
      </c>
    </row>
    <row r="220" spans="1:129" s="1491" customFormat="1" ht="15" hidden="1" customHeight="1" outlineLevel="2">
      <c r="A220" s="1468" t="s">
        <v>17</v>
      </c>
      <c r="B220" s="1502"/>
      <c r="C220" s="1502"/>
      <c r="D220" s="1497"/>
      <c r="E220" s="1497"/>
      <c r="F220" s="1497"/>
      <c r="G220" s="1503"/>
      <c r="H220" s="1497"/>
      <c r="I220" s="1497"/>
      <c r="J220" s="1497"/>
      <c r="K220" s="1497"/>
      <c r="L220" s="1497"/>
      <c r="M220" s="1497"/>
      <c r="N220" s="1497"/>
      <c r="O220" s="1497"/>
      <c r="P220" s="1497"/>
      <c r="Q220" s="1070">
        <f>+SUM(CL220:CO220)</f>
        <v>102</v>
      </c>
      <c r="R220" s="1070">
        <f>+SUM(CP220:CS220)</f>
        <v>4</v>
      </c>
      <c r="S220" s="1358">
        <v>0</v>
      </c>
      <c r="T220" s="513">
        <v>0</v>
      </c>
      <c r="U220" s="1358">
        <v>0</v>
      </c>
      <c r="V220" s="1358">
        <v>0</v>
      </c>
      <c r="W220" s="1358">
        <v>0</v>
      </c>
      <c r="X220" s="1358">
        <v>0</v>
      </c>
      <c r="Y220" s="1358">
        <v>0</v>
      </c>
      <c r="Z220" s="1358">
        <v>0</v>
      </c>
      <c r="AA220" s="1358"/>
      <c r="AB220" s="1358"/>
      <c r="AC220" s="1358"/>
      <c r="AD220" s="1358"/>
      <c r="AE220" s="1358"/>
      <c r="AF220" s="1358"/>
      <c r="AG220" s="1358"/>
      <c r="AH220" s="2201"/>
      <c r="AI220" s="1927"/>
      <c r="AJ220" s="1561"/>
      <c r="AK220" s="1497"/>
      <c r="AL220" s="1497"/>
      <c r="AM220" s="1064"/>
      <c r="AN220" s="1497"/>
      <c r="AO220" s="1497"/>
      <c r="AP220" s="1517"/>
      <c r="AQ220" s="1497"/>
      <c r="AR220" s="1497"/>
      <c r="AS220" s="1497"/>
      <c r="AT220" s="1517"/>
      <c r="AU220" s="1497"/>
      <c r="AV220" s="1497"/>
      <c r="AW220" s="1497"/>
      <c r="AX220" s="1517"/>
      <c r="AY220" s="1497"/>
      <c r="AZ220" s="1497"/>
      <c r="BA220" s="1497"/>
      <c r="BB220" s="1517"/>
      <c r="BC220" s="1497"/>
      <c r="BD220" s="1497"/>
      <c r="BE220" s="1497"/>
      <c r="BF220" s="1517"/>
      <c r="BG220" s="1497"/>
      <c r="BH220" s="1497"/>
      <c r="BI220" s="1497"/>
      <c r="BJ220" s="1517"/>
      <c r="BK220" s="1497"/>
      <c r="BL220" s="1497"/>
      <c r="BM220" s="1497"/>
      <c r="BN220" s="501"/>
      <c r="BO220" s="1502"/>
      <c r="BP220" s="1502"/>
      <c r="BQ220" s="1388"/>
      <c r="BR220" s="501"/>
      <c r="BS220" s="1388"/>
      <c r="BT220" s="1502"/>
      <c r="BU220" s="1388"/>
      <c r="BV220" s="501"/>
      <c r="BW220" s="1502"/>
      <c r="BX220" s="1502"/>
      <c r="BY220" s="1502"/>
      <c r="BZ220" s="1517"/>
      <c r="CA220" s="1497"/>
      <c r="CB220" s="1497"/>
      <c r="CC220" s="1497"/>
      <c r="CD220" s="1517"/>
      <c r="CE220" s="1497"/>
      <c r="CF220" s="1497"/>
      <c r="CG220" s="1497"/>
      <c r="CH220" s="495"/>
      <c r="CI220" s="1376">
        <v>46</v>
      </c>
      <c r="CJ220" s="1376">
        <v>627</v>
      </c>
      <c r="CK220" s="1376">
        <v>-139</v>
      </c>
      <c r="CL220" s="173">
        <v>0</v>
      </c>
      <c r="CM220" s="1131">
        <v>1</v>
      </c>
      <c r="CN220" s="1131">
        <v>81</v>
      </c>
      <c r="CO220" s="1131">
        <v>20</v>
      </c>
      <c r="CP220" s="251">
        <v>4</v>
      </c>
      <c r="CQ220" s="1358">
        <v>0</v>
      </c>
      <c r="CR220" s="1358">
        <v>0</v>
      </c>
      <c r="CS220" s="1358">
        <v>0</v>
      </c>
      <c r="CT220" s="208">
        <v>1</v>
      </c>
      <c r="CU220" s="1358">
        <v>2</v>
      </c>
      <c r="CV220" s="1358">
        <v>3</v>
      </c>
      <c r="CW220" s="1358">
        <v>3</v>
      </c>
      <c r="CX220" s="208">
        <v>3</v>
      </c>
      <c r="CY220" s="1358">
        <v>3</v>
      </c>
      <c r="CZ220" s="1358">
        <v>3</v>
      </c>
      <c r="DA220" s="1358">
        <v>3</v>
      </c>
      <c r="DB220" s="208">
        <v>3</v>
      </c>
      <c r="DC220" s="1358">
        <v>3</v>
      </c>
      <c r="DD220" s="1358">
        <v>3</v>
      </c>
      <c r="DE220" s="1358">
        <v>3</v>
      </c>
      <c r="DF220" s="208">
        <v>3</v>
      </c>
      <c r="DG220" s="1358">
        <v>3</v>
      </c>
      <c r="DH220" s="1358">
        <v>3</v>
      </c>
      <c r="DI220" s="513">
        <v>3</v>
      </c>
      <c r="DJ220" s="208">
        <v>3</v>
      </c>
      <c r="DK220" s="1358">
        <v>3</v>
      </c>
      <c r="DL220" s="1358">
        <v>3</v>
      </c>
      <c r="DM220" s="513">
        <v>3</v>
      </c>
      <c r="DN220" s="1358">
        <v>3</v>
      </c>
      <c r="DO220" s="1358">
        <v>3</v>
      </c>
      <c r="DP220" s="1358">
        <v>3</v>
      </c>
      <c r="DQ220" s="513">
        <v>3</v>
      </c>
      <c r="DR220" s="208">
        <v>3</v>
      </c>
      <c r="DS220" s="1358">
        <v>3</v>
      </c>
      <c r="DT220" s="1358">
        <v>3</v>
      </c>
      <c r="DU220" s="513">
        <v>3</v>
      </c>
      <c r="DV220" s="1358">
        <v>3</v>
      </c>
      <c r="DW220" s="1358">
        <v>8</v>
      </c>
      <c r="DX220" s="1358">
        <v>8</v>
      </c>
      <c r="DY220" s="513">
        <v>8</v>
      </c>
    </row>
    <row r="221" spans="1:129" s="1491" customFormat="1" ht="15" hidden="1" customHeight="1" outlineLevel="2">
      <c r="A221" s="1462" t="s">
        <v>1485</v>
      </c>
      <c r="B221" s="1520"/>
      <c r="C221" s="1502"/>
      <c r="D221" s="1497"/>
      <c r="E221" s="1497"/>
      <c r="F221" s="1497"/>
      <c r="G221" s="1503"/>
      <c r="H221" s="1497"/>
      <c r="I221" s="1497"/>
      <c r="J221" s="1497"/>
      <c r="K221" s="1497"/>
      <c r="L221" s="1497"/>
      <c r="M221" s="1497"/>
      <c r="N221" s="1502"/>
      <c r="O221" s="1502">
        <f t="shared" ref="O221:W221" si="982">O254/O218</f>
        <v>0.9241862805662806</v>
      </c>
      <c r="P221" s="1502">
        <f t="shared" si="982"/>
        <v>0.83540219828293327</v>
      </c>
      <c r="Q221" s="1064">
        <f t="shared" si="982"/>
        <v>0.83418829991191257</v>
      </c>
      <c r="R221" s="1064">
        <f t="shared" si="982"/>
        <v>0.81299023922696245</v>
      </c>
      <c r="S221" s="1064">
        <f t="shared" si="982"/>
        <v>0.8116100868434496</v>
      </c>
      <c r="T221" s="568">
        <f t="shared" si="982"/>
        <v>0.80779774064567944</v>
      </c>
      <c r="U221" s="1064">
        <f t="shared" si="982"/>
        <v>0.79619480241610296</v>
      </c>
      <c r="V221" s="1064">
        <f t="shared" si="982"/>
        <v>0.79078288892676196</v>
      </c>
      <c r="W221" s="1064">
        <f t="shared" si="982"/>
        <v>0.80341493581911705</v>
      </c>
      <c r="X221" s="1064">
        <f>X254/X218</f>
        <v>0.81512837994770404</v>
      </c>
      <c r="Y221" s="1064">
        <f>Y254/Y218</f>
        <v>0.79402621588711408</v>
      </c>
      <c r="Z221" s="1064">
        <f ca="1">Z254/Z218</f>
        <v>0.79678596311798966</v>
      </c>
      <c r="AA221" s="1064"/>
      <c r="AB221" s="1064"/>
      <c r="AC221" s="1064"/>
      <c r="AD221" s="1064"/>
      <c r="AE221" s="1064"/>
      <c r="AF221" s="1064"/>
      <c r="AG221" s="1064"/>
      <c r="AH221" s="2201"/>
      <c r="AI221" s="1927"/>
      <c r="AJ221" s="1561"/>
      <c r="AK221" s="1070"/>
      <c r="AL221" s="1070"/>
      <c r="AM221" s="1064"/>
      <c r="AN221" s="1070"/>
      <c r="AO221" s="1070"/>
      <c r="AP221" s="607"/>
      <c r="AQ221" s="1070"/>
      <c r="AR221" s="1070"/>
      <c r="AS221" s="1070"/>
      <c r="AT221" s="607"/>
      <c r="AU221" s="1070"/>
      <c r="AV221" s="1070"/>
      <c r="AW221" s="1070"/>
      <c r="AX221" s="607"/>
      <c r="AY221" s="1070"/>
      <c r="AZ221" s="1070"/>
      <c r="BA221" s="1070"/>
      <c r="BB221" s="607"/>
      <c r="BC221" s="1070"/>
      <c r="BD221" s="1070"/>
      <c r="BE221" s="1070"/>
      <c r="BF221" s="607"/>
      <c r="BG221" s="1070"/>
      <c r="BH221" s="1070"/>
      <c r="BI221" s="1070"/>
      <c r="BJ221" s="607"/>
      <c r="BK221" s="1070"/>
      <c r="BL221" s="1070"/>
      <c r="BM221" s="1070"/>
      <c r="BN221" s="496"/>
      <c r="BO221" s="1064"/>
      <c r="BP221" s="1064"/>
      <c r="BQ221" s="1043"/>
      <c r="BR221" s="496"/>
      <c r="BS221" s="1043"/>
      <c r="BT221" s="1064"/>
      <c r="BU221" s="1043"/>
      <c r="BV221" s="496"/>
      <c r="BW221" s="1064"/>
      <c r="BX221" s="1064"/>
      <c r="BY221" s="1064"/>
      <c r="BZ221" s="569"/>
      <c r="CA221" s="1502"/>
      <c r="CB221" s="1502"/>
      <c r="CC221" s="1502"/>
      <c r="CD221" s="1467"/>
      <c r="CE221" s="1502"/>
      <c r="CF221" s="1502"/>
      <c r="CG221" s="1502">
        <f t="shared" ref="CG221:DJ221" si="983">CG254/CG218</f>
        <v>0.9038516602316603</v>
      </c>
      <c r="CH221" s="1467">
        <f t="shared" si="983"/>
        <v>0.89377390779142341</v>
      </c>
      <c r="CI221" s="1502">
        <f t="shared" si="983"/>
        <v>0.89462093063313564</v>
      </c>
      <c r="CJ221" s="1502">
        <f t="shared" si="983"/>
        <v>0.89651629551753798</v>
      </c>
      <c r="CK221" s="1502">
        <f t="shared" si="983"/>
        <v>0.83540219828293327</v>
      </c>
      <c r="CL221" s="569">
        <f t="shared" si="983"/>
        <v>0.83725511418984744</v>
      </c>
      <c r="CM221" s="1064">
        <f t="shared" si="983"/>
        <v>0.84096760351855826</v>
      </c>
      <c r="CN221" s="1064">
        <f t="shared" si="983"/>
        <v>0.84114199722342919</v>
      </c>
      <c r="CO221" s="1064">
        <f t="shared" si="983"/>
        <v>0.83418829991191257</v>
      </c>
      <c r="CP221" s="569">
        <f t="shared" si="983"/>
        <v>0.82547261245268777</v>
      </c>
      <c r="CQ221" s="1064">
        <f t="shared" si="983"/>
        <v>0.81788922756076043</v>
      </c>
      <c r="CR221" s="1064">
        <f t="shared" si="983"/>
        <v>0.81366041841831938</v>
      </c>
      <c r="CS221" s="1064">
        <f t="shared" si="983"/>
        <v>0.81299023922696245</v>
      </c>
      <c r="CT221" s="569">
        <f t="shared" si="983"/>
        <v>0.80781949972121281</v>
      </c>
      <c r="CU221" s="1064">
        <f t="shared" si="983"/>
        <v>0.80288054221971195</v>
      </c>
      <c r="CV221" s="1064">
        <f t="shared" si="983"/>
        <v>0.80114349463115331</v>
      </c>
      <c r="CW221" s="1064">
        <f t="shared" si="983"/>
        <v>0.8116100868434496</v>
      </c>
      <c r="CX221" s="569">
        <f t="shared" si="983"/>
        <v>0.80798589104136243</v>
      </c>
      <c r="CY221" s="1064">
        <f t="shared" si="983"/>
        <v>0.80545808966861598</v>
      </c>
      <c r="CZ221" s="1064">
        <f t="shared" si="983"/>
        <v>0.80543050962284168</v>
      </c>
      <c r="DA221" s="1064">
        <f t="shared" si="983"/>
        <v>0.80779774064567944</v>
      </c>
      <c r="DB221" s="569">
        <f t="shared" si="983"/>
        <v>0.80148968744086835</v>
      </c>
      <c r="DC221" s="1064">
        <f t="shared" si="983"/>
        <v>0.8002359851957489</v>
      </c>
      <c r="DD221" s="1064">
        <f t="shared" si="983"/>
        <v>0.79742805680056972</v>
      </c>
      <c r="DE221" s="1064">
        <f t="shared" si="983"/>
        <v>0.79619480241610296</v>
      </c>
      <c r="DF221" s="569">
        <f t="shared" si="983"/>
        <v>0.79363123842469829</v>
      </c>
      <c r="DG221" s="1064">
        <f t="shared" si="983"/>
        <v>0.79194981284238597</v>
      </c>
      <c r="DH221" s="1064">
        <f t="shared" si="983"/>
        <v>0.79120922549182338</v>
      </c>
      <c r="DI221" s="568">
        <f t="shared" si="983"/>
        <v>0.79078288892676196</v>
      </c>
      <c r="DJ221" s="569">
        <f t="shared" si="983"/>
        <v>0.78974015681386245</v>
      </c>
      <c r="DK221" s="1064">
        <f t="shared" ref="DK221:DM221" si="984">DK254/DK218</f>
        <v>0.79280800978294097</v>
      </c>
      <c r="DL221" s="1064">
        <f t="shared" si="984"/>
        <v>0.79733823272622362</v>
      </c>
      <c r="DM221" s="568">
        <f t="shared" si="984"/>
        <v>0.80341493581911705</v>
      </c>
      <c r="DN221" s="1064">
        <f t="shared" ref="DN221:DO221" si="985">DN254/DN218</f>
        <v>0.80295345056229439</v>
      </c>
      <c r="DO221" s="1064">
        <f t="shared" si="985"/>
        <v>0.8022449161878108</v>
      </c>
      <c r="DP221" s="1064">
        <f t="shared" ref="DP221:DQ221" si="986">DP254/DP218</f>
        <v>0.80029580329081162</v>
      </c>
      <c r="DQ221" s="568">
        <f t="shared" si="986"/>
        <v>0.79937105994033886</v>
      </c>
      <c r="DR221" s="569">
        <f t="shared" ref="DR221" si="987">DR254/DR218</f>
        <v>0.79196811190036431</v>
      </c>
      <c r="DS221" s="1064">
        <f t="shared" ref="DS221:DT221" si="988">DS254/DS218</f>
        <v>0.79131847725162485</v>
      </c>
      <c r="DT221" s="1064">
        <f t="shared" si="988"/>
        <v>0.79062659929504875</v>
      </c>
      <c r="DU221" s="568">
        <f t="shared" ref="DU221" si="989">DU254/DU218</f>
        <v>0.79402621588711408</v>
      </c>
      <c r="DV221" s="1064">
        <f t="shared" ref="DV221" si="990">DV254/DV218</f>
        <v>0.79092015631339552</v>
      </c>
      <c r="DW221" s="1064">
        <f t="shared" ref="DW221:DY221" ca="1" si="991">DW254/DW218</f>
        <v>0.79202680786697899</v>
      </c>
      <c r="DX221" s="1064">
        <f t="shared" ca="1" si="991"/>
        <v>0.79276437234174513</v>
      </c>
      <c r="DY221" s="568">
        <f t="shared" ca="1" si="991"/>
        <v>0.79678596311798966</v>
      </c>
    </row>
    <row r="222" spans="1:129" s="1491" customFormat="1" ht="15" hidden="1" customHeight="1" outlineLevel="2">
      <c r="A222" s="1462" t="s">
        <v>90</v>
      </c>
      <c r="B222" s="1502"/>
      <c r="C222" s="1502"/>
      <c r="D222" s="1497"/>
      <c r="E222" s="1497"/>
      <c r="F222" s="1497"/>
      <c r="G222" s="1503"/>
      <c r="H222" s="1497"/>
      <c r="I222" s="1497"/>
      <c r="J222" s="1497"/>
      <c r="K222" s="1497"/>
      <c r="L222" s="1497"/>
      <c r="M222" s="1497"/>
      <c r="N222" s="1502"/>
      <c r="O222" s="1502">
        <f t="shared" ref="O222:W222" si="992">O286/O218</f>
        <v>6.0629768339768325E-2</v>
      </c>
      <c r="P222" s="1502">
        <f t="shared" si="992"/>
        <v>4.9849619948597365E-2</v>
      </c>
      <c r="Q222" s="1064">
        <f t="shared" si="992"/>
        <v>5.1297994714752063E-2</v>
      </c>
      <c r="R222" s="1064">
        <f t="shared" si="992"/>
        <v>4.3131271638988319E-2</v>
      </c>
      <c r="S222" s="1064">
        <f t="shared" si="992"/>
        <v>4.4443412436725026E-2</v>
      </c>
      <c r="T222" s="568">
        <f t="shared" si="992"/>
        <v>4.9761667801581901E-2</v>
      </c>
      <c r="U222" s="1064">
        <f t="shared" si="992"/>
        <v>4.9762175151006435E-2</v>
      </c>
      <c r="V222" s="1064">
        <f t="shared" si="992"/>
        <v>4.750321491098957E-2</v>
      </c>
      <c r="W222" s="1064">
        <f t="shared" si="992"/>
        <v>4.2083352187881805E-2</v>
      </c>
      <c r="X222" s="1064">
        <f>X286/X218</f>
        <v>4.0810363299892863E-2</v>
      </c>
      <c r="Y222" s="1064">
        <f>Y286/Y218</f>
        <v>3.8700666141393884E-2</v>
      </c>
      <c r="Z222" s="1064">
        <f ca="1">Z286/Z218</f>
        <v>3.2593685361755088E-2</v>
      </c>
      <c r="AA222" s="1064"/>
      <c r="AB222" s="1064"/>
      <c r="AC222" s="1064"/>
      <c r="AD222" s="1064"/>
      <c r="AE222" s="1064"/>
      <c r="AF222" s="1064"/>
      <c r="AG222" s="1064"/>
      <c r="AH222" s="2201"/>
      <c r="AI222" s="1927"/>
      <c r="AJ222" s="1561"/>
      <c r="AK222" s="1070"/>
      <c r="AL222" s="1070"/>
      <c r="AM222" s="1064"/>
      <c r="AN222" s="1070"/>
      <c r="AO222" s="1070"/>
      <c r="AP222" s="607"/>
      <c r="AQ222" s="1070"/>
      <c r="AR222" s="1070"/>
      <c r="AS222" s="1070"/>
      <c r="AT222" s="607"/>
      <c r="AU222" s="1070"/>
      <c r="AV222" s="1070"/>
      <c r="AW222" s="1070"/>
      <c r="AX222" s="607"/>
      <c r="AY222" s="1070"/>
      <c r="AZ222" s="1070"/>
      <c r="BA222" s="1070"/>
      <c r="BB222" s="607"/>
      <c r="BC222" s="1070"/>
      <c r="BD222" s="1070"/>
      <c r="BE222" s="1070"/>
      <c r="BF222" s="607"/>
      <c r="BG222" s="1070"/>
      <c r="BH222" s="1070"/>
      <c r="BI222" s="1070"/>
      <c r="BJ222" s="607"/>
      <c r="BK222" s="1070"/>
      <c r="BL222" s="1070"/>
      <c r="BM222" s="1070"/>
      <c r="BN222" s="496"/>
      <c r="BO222" s="1064"/>
      <c r="BP222" s="1064"/>
      <c r="BQ222" s="1043"/>
      <c r="BR222" s="496"/>
      <c r="BS222" s="1043"/>
      <c r="BT222" s="1064"/>
      <c r="BU222" s="1043"/>
      <c r="BV222" s="496"/>
      <c r="BW222" s="1064"/>
      <c r="BX222" s="1064"/>
      <c r="BY222" s="1064"/>
      <c r="BZ222" s="569"/>
      <c r="CA222" s="1502"/>
      <c r="CB222" s="1502"/>
      <c r="CC222" s="1502"/>
      <c r="CD222" s="1467"/>
      <c r="CE222" s="1502"/>
      <c r="CF222" s="1502"/>
      <c r="CG222" s="1502">
        <f t="shared" ref="CG222:DJ222" si="993">CG286/CG218</f>
        <v>6.0629768339768325E-2</v>
      </c>
      <c r="CH222" s="1467">
        <f t="shared" si="993"/>
        <v>5.2383229313468893E-2</v>
      </c>
      <c r="CI222" s="1502">
        <f t="shared" si="993"/>
        <v>5.2781810576047639E-2</v>
      </c>
      <c r="CJ222" s="1502">
        <f t="shared" si="993"/>
        <v>5.2518398164962246E-2</v>
      </c>
      <c r="CK222" s="1502">
        <f t="shared" si="993"/>
        <v>4.9849619948597365E-2</v>
      </c>
      <c r="CL222" s="569">
        <f t="shared" si="993"/>
        <v>5.2235090377746513E-2</v>
      </c>
      <c r="CM222" s="1064">
        <f t="shared" si="993"/>
        <v>5.2317099334906671E-2</v>
      </c>
      <c r="CN222" s="1064">
        <f t="shared" si="993"/>
        <v>5.1896440266635584E-2</v>
      </c>
      <c r="CO222" s="1064">
        <f t="shared" si="993"/>
        <v>5.1297994714752063E-2</v>
      </c>
      <c r="CP222" s="569">
        <f t="shared" si="993"/>
        <v>4.900070394515349E-2</v>
      </c>
      <c r="CQ222" s="1064">
        <f t="shared" si="993"/>
        <v>4.6151840859870057E-2</v>
      </c>
      <c r="CR222" s="1064">
        <f t="shared" si="993"/>
        <v>4.4285078391611853E-2</v>
      </c>
      <c r="CS222" s="1064">
        <f t="shared" si="993"/>
        <v>4.3131271638988319E-2</v>
      </c>
      <c r="CT222" s="569">
        <f t="shared" si="993"/>
        <v>4.2135317528984251E-2</v>
      </c>
      <c r="CU222" s="1064">
        <f t="shared" si="993"/>
        <v>4.1843170479149018E-2</v>
      </c>
      <c r="CV222" s="1064">
        <f t="shared" si="993"/>
        <v>4.2141960674940734E-2</v>
      </c>
      <c r="CW222" s="1064">
        <f t="shared" si="993"/>
        <v>4.4443412436725026E-2</v>
      </c>
      <c r="CX222" s="569">
        <f t="shared" si="993"/>
        <v>4.6157237730441732E-2</v>
      </c>
      <c r="CY222" s="1064">
        <f t="shared" si="993"/>
        <v>4.8198014415884671E-2</v>
      </c>
      <c r="CZ222" s="1064">
        <f t="shared" si="993"/>
        <v>4.9429047699699594E-2</v>
      </c>
      <c r="DA222" s="1064">
        <f t="shared" si="993"/>
        <v>4.9761667801581901E-2</v>
      </c>
      <c r="DB222" s="569">
        <f t="shared" si="993"/>
        <v>4.9403953004317686E-2</v>
      </c>
      <c r="DC222" s="1064">
        <f t="shared" si="993"/>
        <v>4.9684221248854028E-2</v>
      </c>
      <c r="DD222" s="1064">
        <f t="shared" si="993"/>
        <v>4.9972772588279646E-2</v>
      </c>
      <c r="DE222" s="1064">
        <f t="shared" si="993"/>
        <v>4.9762175151006435E-2</v>
      </c>
      <c r="DF222" s="569">
        <f t="shared" si="993"/>
        <v>4.9417869410200134E-2</v>
      </c>
      <c r="DG222" s="1064">
        <f t="shared" si="993"/>
        <v>4.8548524426880013E-2</v>
      </c>
      <c r="DH222" s="1064">
        <f t="shared" si="993"/>
        <v>4.7842616524000348E-2</v>
      </c>
      <c r="DI222" s="568">
        <f t="shared" si="993"/>
        <v>4.750321491098957E-2</v>
      </c>
      <c r="DJ222" s="569">
        <f t="shared" si="993"/>
        <v>4.5743788616760157E-2</v>
      </c>
      <c r="DK222" s="1064">
        <f t="shared" ref="DK222:DM222" si="994">DK286/DK218</f>
        <v>4.4458881076123509E-2</v>
      </c>
      <c r="DL222" s="1064">
        <f t="shared" si="994"/>
        <v>4.355550156775511E-2</v>
      </c>
      <c r="DM222" s="568">
        <f t="shared" si="994"/>
        <v>4.2083352187881805E-2</v>
      </c>
      <c r="DN222" s="1064">
        <f t="shared" ref="DN222:DO222" si="995">DN286/DN218</f>
        <v>4.0473211409219979E-2</v>
      </c>
      <c r="DO222" s="1064">
        <f t="shared" si="995"/>
        <v>4.0000595468484827E-2</v>
      </c>
      <c r="DP222" s="1064">
        <f t="shared" ref="DP222:DQ222" si="996">DP286/DP218</f>
        <v>4.034756886670364E-2</v>
      </c>
      <c r="DQ222" s="568">
        <f t="shared" si="996"/>
        <v>4.0021454497362274E-2</v>
      </c>
      <c r="DR222" s="569">
        <f t="shared" ref="DR222" si="997">DR286/DR218</f>
        <v>3.9641112871316039E-2</v>
      </c>
      <c r="DS222" s="1064">
        <f t="shared" ref="DS222:DT222" si="998">DS286/DS218</f>
        <v>3.951949860724234E-2</v>
      </c>
      <c r="DT222" s="1064">
        <f t="shared" si="998"/>
        <v>4.0278808935148812E-2</v>
      </c>
      <c r="DU222" s="568">
        <f t="shared" ref="DU222" si="999">DU286/DU218</f>
        <v>3.8700666141393884E-2</v>
      </c>
      <c r="DV222" s="1064">
        <f t="shared" ref="DV222" si="1000">DV286/DV218</f>
        <v>3.6074512232448556E-2</v>
      </c>
      <c r="DW222" s="1064">
        <f t="shared" ref="DW222:DY222" ca="1" si="1001">DW286/DW218</f>
        <v>3.4538250476577707E-2</v>
      </c>
      <c r="DX222" s="1064">
        <f t="shared" ca="1" si="1001"/>
        <v>3.4263140677807447E-2</v>
      </c>
      <c r="DY222" s="568">
        <f t="shared" ca="1" si="1001"/>
        <v>3.2593685361755088E-2</v>
      </c>
    </row>
    <row r="223" spans="1:129" s="1491" customFormat="1" ht="15" hidden="1" customHeight="1" outlineLevel="2">
      <c r="A223" s="1462" t="s">
        <v>91</v>
      </c>
      <c r="B223" s="1502"/>
      <c r="C223" s="1502"/>
      <c r="D223" s="1497"/>
      <c r="E223" s="1497"/>
      <c r="F223" s="1497"/>
      <c r="G223" s="1503"/>
      <c r="H223" s="1497"/>
      <c r="I223" s="1497"/>
      <c r="J223" s="1497"/>
      <c r="K223" s="1497"/>
      <c r="L223" s="1497"/>
      <c r="M223" s="1497"/>
      <c r="N223" s="1502"/>
      <c r="O223" s="1502">
        <f t="shared" ref="O223:V223" si="1002">+O176/O218</f>
        <v>2.5379665379665378E-2</v>
      </c>
      <c r="P223" s="1502">
        <f t="shared" si="1002"/>
        <v>0.11691365450866736</v>
      </c>
      <c r="Q223" s="1064">
        <f t="shared" si="1002"/>
        <v>0.11451370537333541</v>
      </c>
      <c r="R223" s="1064">
        <f t="shared" si="1002"/>
        <v>0.14387848913404924</v>
      </c>
      <c r="S223" s="1039">
        <f t="shared" si="1002"/>
        <v>0.14394650071982537</v>
      </c>
      <c r="T223" s="187">
        <f t="shared" si="1002"/>
        <v>0.14244059155273864</v>
      </c>
      <c r="U223" s="1039">
        <f t="shared" si="1002"/>
        <v>0.15404302243289061</v>
      </c>
      <c r="V223" s="1039">
        <f t="shared" si="1002"/>
        <v>0.16171389616224843</v>
      </c>
      <c r="W223" s="1039">
        <f>+W176/W218</f>
        <v>0.1545017119930012</v>
      </c>
      <c r="X223" s="1039">
        <f>+X176/X218</f>
        <v>0.16377340396041087</v>
      </c>
      <c r="Y223" s="1039">
        <f>+Y176/Y218</f>
        <v>0.16727311797149202</v>
      </c>
      <c r="Z223" s="1039">
        <f ca="1">+Z176/Z218</f>
        <v>0.17118826842066731</v>
      </c>
      <c r="AA223" s="1039"/>
      <c r="AB223" s="1039"/>
      <c r="AC223" s="1039"/>
      <c r="AD223" s="1039"/>
      <c r="AE223" s="1039"/>
      <c r="AF223" s="1039"/>
      <c r="AG223" s="1039"/>
      <c r="AH223" s="2201"/>
      <c r="AI223" s="1927"/>
      <c r="AJ223" s="1561"/>
      <c r="AK223" s="1070"/>
      <c r="AL223" s="1070"/>
      <c r="AM223" s="1064"/>
      <c r="AN223" s="1070"/>
      <c r="AO223" s="1070"/>
      <c r="AP223" s="607"/>
      <c r="AQ223" s="1070"/>
      <c r="AR223" s="1070"/>
      <c r="AS223" s="1070"/>
      <c r="AT223" s="607"/>
      <c r="AU223" s="1070"/>
      <c r="AV223" s="1070"/>
      <c r="AW223" s="1070"/>
      <c r="AX223" s="607"/>
      <c r="AY223" s="1070"/>
      <c r="AZ223" s="1070"/>
      <c r="BA223" s="1070"/>
      <c r="BB223" s="607"/>
      <c r="BC223" s="1070"/>
      <c r="BD223" s="1070"/>
      <c r="BE223" s="1070"/>
      <c r="BF223" s="607"/>
      <c r="BG223" s="1070"/>
      <c r="BH223" s="1070"/>
      <c r="BI223" s="1070"/>
      <c r="BJ223" s="607"/>
      <c r="BK223" s="1070"/>
      <c r="BL223" s="1070"/>
      <c r="BM223" s="1070"/>
      <c r="BN223" s="496"/>
      <c r="BO223" s="1064"/>
      <c r="BP223" s="1064"/>
      <c r="BQ223" s="1043"/>
      <c r="BR223" s="496"/>
      <c r="BS223" s="1043"/>
      <c r="BT223" s="1064"/>
      <c r="BU223" s="1043"/>
      <c r="BV223" s="496"/>
      <c r="BW223" s="1064"/>
      <c r="BX223" s="1064"/>
      <c r="BY223" s="1064"/>
      <c r="BZ223" s="569"/>
      <c r="CA223" s="1502"/>
      <c r="CB223" s="1502"/>
      <c r="CC223" s="1502"/>
      <c r="CD223" s="1467"/>
      <c r="CE223" s="1502"/>
      <c r="CF223" s="1502"/>
      <c r="CG223" s="1502">
        <f t="shared" ref="CG223:DE223" si="1003">+CG176/CG218</f>
        <v>2.5379665379665378E-2</v>
      </c>
      <c r="CH223" s="1467">
        <f t="shared" si="1003"/>
        <v>3.0048318904771491E-2</v>
      </c>
      <c r="CI223" s="1502">
        <f t="shared" si="1003"/>
        <v>2.9331430399370063E-2</v>
      </c>
      <c r="CJ223" s="1502">
        <f t="shared" si="1003"/>
        <v>2.8373793367103127E-2</v>
      </c>
      <c r="CK223" s="1502">
        <f t="shared" si="1003"/>
        <v>0.11691365450866736</v>
      </c>
      <c r="CL223" s="569">
        <f t="shared" si="1003"/>
        <v>0.1105097954324061</v>
      </c>
      <c r="CM223" s="1064">
        <f t="shared" si="1003"/>
        <v>0.10671529714653508</v>
      </c>
      <c r="CN223" s="1064">
        <f t="shared" si="1003"/>
        <v>0.10696156250993524</v>
      </c>
      <c r="CO223" s="1064">
        <f t="shared" si="1003"/>
        <v>0.11451370537333541</v>
      </c>
      <c r="CP223" s="153">
        <f t="shared" si="1003"/>
        <v>0.12552668360215877</v>
      </c>
      <c r="CQ223" s="1039">
        <f t="shared" si="1003"/>
        <v>0.13595893157936953</v>
      </c>
      <c r="CR223" s="1039">
        <f t="shared" si="1003"/>
        <v>0.14205450319006874</v>
      </c>
      <c r="CS223" s="1039">
        <f t="shared" si="1003"/>
        <v>0.14387848913404924</v>
      </c>
      <c r="CT223" s="153">
        <f t="shared" si="1003"/>
        <v>0.15004518274980291</v>
      </c>
      <c r="CU223" s="1039">
        <f t="shared" si="1003"/>
        <v>0.15527628730113904</v>
      </c>
      <c r="CV223" s="1039">
        <f t="shared" si="1003"/>
        <v>0.156714544693906</v>
      </c>
      <c r="CW223" s="1039">
        <f t="shared" si="1003"/>
        <v>0.14394650071982537</v>
      </c>
      <c r="CX223" s="153">
        <f t="shared" si="1003"/>
        <v>0.14585687122819588</v>
      </c>
      <c r="CY223" s="1039">
        <f t="shared" si="1003"/>
        <v>0.14634389591549934</v>
      </c>
      <c r="CZ223" s="1039">
        <f t="shared" si="1003"/>
        <v>0.14514044267745874</v>
      </c>
      <c r="DA223" s="1039">
        <f t="shared" si="1003"/>
        <v>0.14244059155273864</v>
      </c>
      <c r="DB223" s="153">
        <f t="shared" si="1003"/>
        <v>0.14910635955481397</v>
      </c>
      <c r="DC223" s="1039">
        <f t="shared" si="1003"/>
        <v>0.15007979355539711</v>
      </c>
      <c r="DD223" s="1039">
        <f t="shared" si="1003"/>
        <v>0.15259917061115066</v>
      </c>
      <c r="DE223" s="1039">
        <f t="shared" si="1003"/>
        <v>0.15404302243289061</v>
      </c>
      <c r="DF223" s="153">
        <f>+DF176/DF218</f>
        <v>0.15695089216510152</v>
      </c>
      <c r="DG223" s="1039">
        <f>+DG176/DG218</f>
        <v>0.15950166273073402</v>
      </c>
      <c r="DH223" s="1039">
        <f>+DH176/DH218</f>
        <v>0.16094815798417628</v>
      </c>
      <c r="DI223" s="187">
        <f>+DI176/DI218</f>
        <v>0.16171389616224843</v>
      </c>
      <c r="DJ223" s="153">
        <f t="shared" ref="DJ223:DM223" si="1004">+DJ176/DJ218</f>
        <v>0.16451605456937743</v>
      </c>
      <c r="DK223" s="1039">
        <f t="shared" si="1004"/>
        <v>0.1627331091409355</v>
      </c>
      <c r="DL223" s="1039">
        <f t="shared" si="1004"/>
        <v>0.15910626570602124</v>
      </c>
      <c r="DM223" s="187">
        <f t="shared" si="1004"/>
        <v>0.1545017119930012</v>
      </c>
      <c r="DN223" s="1039">
        <f t="shared" ref="DN223:DO223" si="1005">+DN176/DN218</f>
        <v>0.15657333802848558</v>
      </c>
      <c r="DO223" s="1039">
        <f t="shared" si="1005"/>
        <v>0.1577544883437044</v>
      </c>
      <c r="DP223" s="1039">
        <f t="shared" ref="DP223:DQ223" si="1006">+DP176/DP218</f>
        <v>0.15935662784248475</v>
      </c>
      <c r="DQ223" s="187">
        <f t="shared" si="1006"/>
        <v>0.16060748556229887</v>
      </c>
      <c r="DR223" s="153">
        <f t="shared" ref="DR223" si="1007">+DR176/DR218</f>
        <v>0.16839077522831966</v>
      </c>
      <c r="DS223" s="1039">
        <f t="shared" ref="DS223:DT223" si="1008">+DS176/DS218</f>
        <v>0.16916202414113277</v>
      </c>
      <c r="DT223" s="1039">
        <f t="shared" si="1008"/>
        <v>0.16909459176980243</v>
      </c>
      <c r="DU223" s="187">
        <f t="shared" ref="DU223" si="1009">+DU176/DU218</f>
        <v>0.16727311797149202</v>
      </c>
      <c r="DV223" s="1039">
        <f t="shared" ref="DV223" si="1010">+DV176/DV218</f>
        <v>0.17300533145415589</v>
      </c>
      <c r="DW223" s="1039">
        <f t="shared" ref="DW223:DY223" ca="1" si="1011">+DW176/DW218</f>
        <v>0.17343494165644327</v>
      </c>
      <c r="DX223" s="1039">
        <f t="shared" ca="1" si="1011"/>
        <v>0.17297248698044754</v>
      </c>
      <c r="DY223" s="187">
        <f t="shared" ca="1" si="1011"/>
        <v>0.17062035152025543</v>
      </c>
    </row>
    <row r="224" spans="1:129" s="1491" customFormat="1" ht="15" hidden="1" customHeight="1" outlineLevel="2">
      <c r="A224" s="1462"/>
      <c r="B224" s="1502"/>
      <c r="C224" s="1502"/>
      <c r="D224" s="1497"/>
      <c r="E224" s="1497"/>
      <c r="F224" s="1497"/>
      <c r="G224" s="1503"/>
      <c r="H224" s="1497"/>
      <c r="I224" s="1497"/>
      <c r="J224" s="1497"/>
      <c r="K224" s="1497"/>
      <c r="L224" s="1497"/>
      <c r="M224" s="1497"/>
      <c r="N224" s="1502"/>
      <c r="O224" s="1502"/>
      <c r="P224" s="1502"/>
      <c r="Q224" s="1064"/>
      <c r="R224" s="1064"/>
      <c r="S224" s="1064"/>
      <c r="T224" s="568"/>
      <c r="U224" s="1064"/>
      <c r="V224" s="1064"/>
      <c r="W224" s="1064"/>
      <c r="X224" s="1064"/>
      <c r="Y224" s="1064"/>
      <c r="Z224" s="1064"/>
      <c r="AA224" s="1064"/>
      <c r="AB224" s="1064"/>
      <c r="AC224" s="1064"/>
      <c r="AD224" s="1064"/>
      <c r="AE224" s="1064"/>
      <c r="AF224" s="1064"/>
      <c r="AG224" s="1064"/>
      <c r="AH224" s="2201"/>
      <c r="AI224" s="1927"/>
      <c r="AJ224" s="1561"/>
      <c r="AK224" s="1070"/>
      <c r="AL224" s="1070"/>
      <c r="AM224" s="1064"/>
      <c r="AN224" s="1070"/>
      <c r="AO224" s="1070"/>
      <c r="AP224" s="607"/>
      <c r="AQ224" s="1070"/>
      <c r="AR224" s="1070"/>
      <c r="AS224" s="1070"/>
      <c r="AT224" s="607"/>
      <c r="AU224" s="1070"/>
      <c r="AV224" s="1070"/>
      <c r="AW224" s="1070"/>
      <c r="AX224" s="607"/>
      <c r="AY224" s="1070"/>
      <c r="AZ224" s="1070"/>
      <c r="BA224" s="1070"/>
      <c r="BB224" s="607"/>
      <c r="BC224" s="1070"/>
      <c r="BD224" s="1070"/>
      <c r="BE224" s="1070"/>
      <c r="BF224" s="607"/>
      <c r="BG224" s="1070"/>
      <c r="BH224" s="1070"/>
      <c r="BI224" s="1070"/>
      <c r="BJ224" s="607"/>
      <c r="BK224" s="1070"/>
      <c r="BL224" s="1070"/>
      <c r="BM224" s="1070"/>
      <c r="BN224" s="496"/>
      <c r="BO224" s="1064"/>
      <c r="BP224" s="1064"/>
      <c r="BQ224" s="1043"/>
      <c r="BR224" s="496"/>
      <c r="BS224" s="1043"/>
      <c r="BT224" s="1064"/>
      <c r="BU224" s="1043"/>
      <c r="BV224" s="496"/>
      <c r="BW224" s="1064"/>
      <c r="BX224" s="1064"/>
      <c r="BY224" s="1064"/>
      <c r="BZ224" s="569"/>
      <c r="CA224" s="1502"/>
      <c r="CB224" s="1502"/>
      <c r="CC224" s="1502"/>
      <c r="CD224" s="1467"/>
      <c r="CE224" s="1502"/>
      <c r="CF224" s="1502"/>
      <c r="CG224" s="1502"/>
      <c r="CH224" s="1467"/>
      <c r="CI224" s="1502"/>
      <c r="CJ224" s="1502"/>
      <c r="CK224" s="1502"/>
      <c r="CL224" s="569"/>
      <c r="CM224" s="1064"/>
      <c r="CN224" s="1064"/>
      <c r="CO224" s="1064"/>
      <c r="CP224" s="569"/>
      <c r="CQ224" s="1064"/>
      <c r="CR224" s="1064"/>
      <c r="CS224" s="1064"/>
      <c r="CT224" s="569"/>
      <c r="CU224" s="1064"/>
      <c r="CV224" s="1064"/>
      <c r="CW224" s="1064"/>
      <c r="CX224" s="569"/>
      <c r="CY224" s="1064"/>
      <c r="CZ224" s="1064"/>
      <c r="DA224" s="1064"/>
      <c r="DB224" s="569"/>
      <c r="DC224" s="1064"/>
      <c r="DD224" s="1064"/>
      <c r="DE224" s="1064"/>
      <c r="DF224" s="569"/>
      <c r="DG224" s="1064"/>
      <c r="DH224" s="1064"/>
      <c r="DI224" s="568"/>
      <c r="DJ224" s="569"/>
      <c r="DK224" s="1064"/>
      <c r="DL224" s="1064"/>
      <c r="DM224" s="568"/>
      <c r="DN224" s="1064"/>
      <c r="DO224" s="1064"/>
      <c r="DP224" s="1064"/>
      <c r="DQ224" s="568"/>
      <c r="DR224" s="569"/>
      <c r="DS224" s="1064"/>
      <c r="DT224" s="1064"/>
      <c r="DU224" s="568"/>
      <c r="DV224" s="1064"/>
      <c r="DW224" s="1064"/>
      <c r="DX224" s="1064"/>
      <c r="DY224" s="568"/>
    </row>
    <row r="225" spans="1:129" s="1491" customFormat="1" ht="15" hidden="1" customHeight="1" outlineLevel="2">
      <c r="A225" s="483" t="s">
        <v>82</v>
      </c>
      <c r="B225" s="1502"/>
      <c r="C225" s="1502"/>
      <c r="D225" s="1497"/>
      <c r="E225" s="1497"/>
      <c r="F225" s="1497"/>
      <c r="G225" s="1503"/>
      <c r="H225" s="1497"/>
      <c r="I225" s="1497"/>
      <c r="J225" s="1497"/>
      <c r="K225" s="1497"/>
      <c r="L225" s="1497"/>
      <c r="M225" s="1497"/>
      <c r="N225" s="1502"/>
      <c r="O225" s="1502"/>
      <c r="P225" s="1502"/>
      <c r="Q225" s="1064"/>
      <c r="R225" s="1064"/>
      <c r="S225" s="1064"/>
      <c r="T225" s="568"/>
      <c r="U225" s="1064"/>
      <c r="V225" s="1064"/>
      <c r="W225" s="1064"/>
      <c r="X225" s="1064"/>
      <c r="Y225" s="1064"/>
      <c r="Z225" s="1064"/>
      <c r="AA225" s="1064"/>
      <c r="AB225" s="1064"/>
      <c r="AC225" s="1064"/>
      <c r="AD225" s="1064"/>
      <c r="AE225" s="1064"/>
      <c r="AF225" s="1064"/>
      <c r="AG225" s="1064"/>
      <c r="AH225" s="2201"/>
      <c r="AI225" s="1927"/>
      <c r="AJ225" s="1561"/>
      <c r="AK225" s="1070"/>
      <c r="AL225" s="1070"/>
      <c r="AM225" s="1064"/>
      <c r="AN225" s="1070"/>
      <c r="AO225" s="1070"/>
      <c r="AP225" s="607"/>
      <c r="AQ225" s="1070"/>
      <c r="AR225" s="1070"/>
      <c r="AS225" s="1070"/>
      <c r="AT225" s="607"/>
      <c r="AU225" s="1070"/>
      <c r="AV225" s="1070"/>
      <c r="AW225" s="1070"/>
      <c r="AX225" s="607"/>
      <c r="AY225" s="1070"/>
      <c r="AZ225" s="1070"/>
      <c r="BA225" s="1070"/>
      <c r="BB225" s="607"/>
      <c r="BC225" s="1070"/>
      <c r="BD225" s="1070"/>
      <c r="BE225" s="1070"/>
      <c r="BF225" s="607"/>
      <c r="BG225" s="1070"/>
      <c r="BH225" s="1070"/>
      <c r="BI225" s="1070"/>
      <c r="BJ225" s="607"/>
      <c r="BK225" s="1070"/>
      <c r="BL225" s="1070"/>
      <c r="BM225" s="1070"/>
      <c r="BN225" s="496"/>
      <c r="BO225" s="1064"/>
      <c r="BP225" s="1064"/>
      <c r="BQ225" s="1043"/>
      <c r="BR225" s="496"/>
      <c r="BS225" s="1043"/>
      <c r="BT225" s="1064"/>
      <c r="BU225" s="1043"/>
      <c r="BV225" s="496"/>
      <c r="BW225" s="1064"/>
      <c r="BX225" s="1064"/>
      <c r="BY225" s="1064"/>
      <c r="BZ225" s="569"/>
      <c r="CA225" s="1502"/>
      <c r="CB225" s="1502"/>
      <c r="CC225" s="1502"/>
      <c r="CD225" s="1467"/>
      <c r="CE225" s="1502"/>
      <c r="CF225" s="1502"/>
      <c r="CG225" s="1502"/>
      <c r="CH225" s="1467"/>
      <c r="CI225" s="1502"/>
      <c r="CJ225" s="1502"/>
      <c r="CK225" s="1502"/>
      <c r="CL225" s="569"/>
      <c r="CM225" s="1064"/>
      <c r="CN225" s="1064"/>
      <c r="CO225" s="1064"/>
      <c r="CP225" s="569"/>
      <c r="CQ225" s="1064"/>
      <c r="CR225" s="1064"/>
      <c r="CS225" s="1064"/>
      <c r="CT225" s="569"/>
      <c r="CU225" s="1064"/>
      <c r="CV225" s="1064"/>
      <c r="CW225" s="1064"/>
      <c r="CX225" s="569"/>
      <c r="CY225" s="1064"/>
      <c r="CZ225" s="1064"/>
      <c r="DA225" s="1064"/>
      <c r="DB225" s="569"/>
      <c r="DC225" s="1064"/>
      <c r="DD225" s="1064"/>
      <c r="DE225" s="1064"/>
      <c r="DF225" s="569"/>
      <c r="DG225" s="1064"/>
      <c r="DH225" s="1064"/>
      <c r="DI225" s="568"/>
      <c r="DJ225" s="569"/>
      <c r="DK225" s="1064"/>
      <c r="DL225" s="1064"/>
      <c r="DM225" s="568"/>
      <c r="DN225" s="1064"/>
      <c r="DO225" s="1064"/>
      <c r="DP225" s="1064"/>
      <c r="DQ225" s="568"/>
      <c r="DR225" s="569"/>
      <c r="DS225" s="1064"/>
      <c r="DT225" s="1064"/>
      <c r="DU225" s="568"/>
      <c r="DV225" s="1064"/>
      <c r="DW225" s="1064"/>
      <c r="DX225" s="1064"/>
      <c r="DY225" s="568"/>
    </row>
    <row r="226" spans="1:129" s="1491" customFormat="1" ht="15" hidden="1" customHeight="1" outlineLevel="2">
      <c r="A226" s="584" t="s">
        <v>92</v>
      </c>
      <c r="B226" s="1472"/>
      <c r="C226" s="1472"/>
      <c r="D226" s="1479"/>
      <c r="E226" s="1479"/>
      <c r="F226" s="1479"/>
      <c r="G226" s="1506"/>
      <c r="H226" s="1479"/>
      <c r="I226" s="1479"/>
      <c r="J226" s="1479"/>
      <c r="K226" s="1479"/>
      <c r="L226" s="1479"/>
      <c r="M226" s="1479"/>
      <c r="N226" s="1472"/>
      <c r="O226" s="1472"/>
      <c r="P226" s="1479"/>
      <c r="Q226" s="1064"/>
      <c r="R226" s="1064"/>
      <c r="S226" s="1064"/>
      <c r="T226" s="568"/>
      <c r="U226" s="1064"/>
      <c r="V226" s="1064"/>
      <c r="W226" s="1064"/>
      <c r="X226" s="1064"/>
      <c r="Y226" s="1064"/>
      <c r="Z226" s="1064"/>
      <c r="AA226" s="1064"/>
      <c r="AB226" s="1064"/>
      <c r="AC226" s="1064"/>
      <c r="AD226" s="1064"/>
      <c r="AE226" s="1064"/>
      <c r="AF226" s="1064"/>
      <c r="AG226" s="1064"/>
      <c r="AH226" s="2201"/>
      <c r="AI226" s="1927"/>
      <c r="AJ226" s="1561"/>
      <c r="AK226" s="1070"/>
      <c r="AL226" s="1070"/>
      <c r="AM226" s="1064"/>
      <c r="AN226" s="1479"/>
      <c r="AO226" s="1479"/>
      <c r="AP226" s="1480"/>
      <c r="AQ226" s="1479"/>
      <c r="AR226" s="1479"/>
      <c r="AS226" s="1479"/>
      <c r="AT226" s="1480"/>
      <c r="AU226" s="1479"/>
      <c r="AV226" s="1479"/>
      <c r="AW226" s="1479"/>
      <c r="AX226" s="1480"/>
      <c r="AY226" s="1479"/>
      <c r="AZ226" s="1479"/>
      <c r="BA226" s="1479"/>
      <c r="BB226" s="1480"/>
      <c r="BC226" s="1479"/>
      <c r="BD226" s="1479"/>
      <c r="BE226" s="1479"/>
      <c r="BF226" s="1480"/>
      <c r="BG226" s="1479"/>
      <c r="BH226" s="1479"/>
      <c r="BI226" s="1479"/>
      <c r="BJ226" s="1480"/>
      <c r="BK226" s="1479"/>
      <c r="BL226" s="1479"/>
      <c r="BM226" s="1479"/>
      <c r="BN226" s="512"/>
      <c r="BO226" s="1472"/>
      <c r="BP226" s="1472"/>
      <c r="BQ226" s="1361"/>
      <c r="BR226" s="512"/>
      <c r="BS226" s="1361"/>
      <c r="BT226" s="1472"/>
      <c r="BU226" s="1361"/>
      <c r="BV226" s="512"/>
      <c r="BW226" s="1472"/>
      <c r="BX226" s="1472"/>
      <c r="BY226" s="1472"/>
      <c r="BZ226" s="1454"/>
      <c r="CA226" s="1472"/>
      <c r="CB226" s="1472"/>
      <c r="CC226" s="1472"/>
      <c r="CD226" s="1454"/>
      <c r="CE226" s="1472"/>
      <c r="CF226" s="1472"/>
      <c r="CG226" s="1472"/>
      <c r="CH226" s="1454"/>
      <c r="CI226" s="1472"/>
      <c r="CJ226" s="1472"/>
      <c r="CK226" s="1479"/>
      <c r="CL226" s="569"/>
      <c r="CM226" s="1064"/>
      <c r="CN226" s="1064"/>
      <c r="CO226" s="1064"/>
      <c r="CP226" s="569"/>
      <c r="CQ226" s="1064"/>
      <c r="CR226" s="1064"/>
      <c r="CS226" s="1064"/>
      <c r="CT226" s="569"/>
      <c r="CU226" s="1064"/>
      <c r="CV226" s="1064"/>
      <c r="CW226" s="1064"/>
      <c r="CX226" s="569"/>
      <c r="CY226" s="1064"/>
      <c r="CZ226" s="1064"/>
      <c r="DA226" s="1064"/>
      <c r="DB226" s="569"/>
      <c r="DC226" s="1064"/>
      <c r="DD226" s="1064"/>
      <c r="DE226" s="1064"/>
      <c r="DF226" s="569"/>
      <c r="DG226" s="1064"/>
      <c r="DH226" s="1064"/>
      <c r="DI226" s="568"/>
      <c r="DJ226" s="569"/>
      <c r="DK226" s="1064"/>
      <c r="DL226" s="1064"/>
      <c r="DM226" s="568"/>
      <c r="DN226" s="1064"/>
      <c r="DO226" s="1064"/>
      <c r="DP226" s="1064"/>
      <c r="DQ226" s="568"/>
      <c r="DR226" s="569"/>
      <c r="DS226" s="1064"/>
      <c r="DT226" s="1064"/>
      <c r="DU226" s="568"/>
      <c r="DV226" s="1064"/>
      <c r="DW226" s="1064"/>
      <c r="DX226" s="1064"/>
      <c r="DY226" s="568"/>
    </row>
    <row r="227" spans="1:129" s="1491" customFormat="1" ht="15" hidden="1" customHeight="1" outlineLevel="2">
      <c r="A227" s="1454" t="s">
        <v>76</v>
      </c>
      <c r="B227" s="1472"/>
      <c r="C227" s="1472"/>
      <c r="D227" s="1479"/>
      <c r="E227" s="1479"/>
      <c r="F227" s="1479"/>
      <c r="G227" s="1506"/>
      <c r="H227" s="1479"/>
      <c r="I227" s="1479"/>
      <c r="J227" s="1479"/>
      <c r="K227" s="1479"/>
      <c r="L227" s="1479"/>
      <c r="M227" s="1479"/>
      <c r="N227" s="1479">
        <f>CC227</f>
        <v>11823.938000000002</v>
      </c>
      <c r="O227" s="1479">
        <f>CG227</f>
        <v>12785.192999999999</v>
      </c>
      <c r="P227" s="1479">
        <f>CK227</f>
        <v>19379</v>
      </c>
      <c r="Q227" s="1064"/>
      <c r="R227" s="1064"/>
      <c r="S227" s="1064"/>
      <c r="T227" s="568"/>
      <c r="U227" s="1064"/>
      <c r="V227" s="1064"/>
      <c r="W227" s="1064"/>
      <c r="X227" s="1064"/>
      <c r="Y227" s="1064"/>
      <c r="Z227" s="1064"/>
      <c r="AA227" s="1064"/>
      <c r="AB227" s="1064"/>
      <c r="AC227" s="1064"/>
      <c r="AD227" s="1064"/>
      <c r="AE227" s="1064"/>
      <c r="AF227" s="1064"/>
      <c r="AG227" s="1064"/>
      <c r="AH227" s="2201"/>
      <c r="AI227" s="1927"/>
      <c r="AJ227" s="1561"/>
      <c r="AK227" s="1070"/>
      <c r="AL227" s="1070"/>
      <c r="AM227" s="1064"/>
      <c r="AN227" s="1479"/>
      <c r="AO227" s="1479"/>
      <c r="AP227" s="1480"/>
      <c r="AQ227" s="1479"/>
      <c r="AR227" s="1479"/>
      <c r="AS227" s="1479"/>
      <c r="AT227" s="1480"/>
      <c r="AU227" s="1479"/>
      <c r="AV227" s="1479"/>
      <c r="AW227" s="1479"/>
      <c r="AX227" s="1480"/>
      <c r="AY227" s="1479"/>
      <c r="AZ227" s="1479"/>
      <c r="BA227" s="1479"/>
      <c r="BB227" s="1480"/>
      <c r="BC227" s="1479"/>
      <c r="BD227" s="1479"/>
      <c r="BE227" s="1479"/>
      <c r="BF227" s="1480"/>
      <c r="BG227" s="1479"/>
      <c r="BH227" s="1479"/>
      <c r="BI227" s="1479"/>
      <c r="BJ227" s="1480"/>
      <c r="BK227" s="1479"/>
      <c r="BL227" s="1479"/>
      <c r="BM227" s="1479"/>
      <c r="BN227" s="512"/>
      <c r="BO227" s="1472"/>
      <c r="BP227" s="1472"/>
      <c r="BQ227" s="1361"/>
      <c r="BR227" s="512"/>
      <c r="BS227" s="1361"/>
      <c r="BT227" s="1472"/>
      <c r="BU227" s="1361"/>
      <c r="BV227" s="512"/>
      <c r="BW227" s="1472"/>
      <c r="BX227" s="1472"/>
      <c r="BY227" s="1472"/>
      <c r="BZ227" s="1480">
        <f t="shared" ref="BZ227:CK227" si="1012">BZ107</f>
        <v>10827.065000000001</v>
      </c>
      <c r="CA227" s="1479">
        <f t="shared" si="1012"/>
        <v>11085.145</v>
      </c>
      <c r="CB227" s="1479">
        <f t="shared" si="1012"/>
        <v>11162.300000000001</v>
      </c>
      <c r="CC227" s="1479">
        <f t="shared" si="1012"/>
        <v>11823.938000000002</v>
      </c>
      <c r="CD227" s="1480">
        <f t="shared" si="1012"/>
        <v>12060.572000000002</v>
      </c>
      <c r="CE227" s="1479">
        <f t="shared" si="1012"/>
        <v>12242.066000000003</v>
      </c>
      <c r="CF227" s="1479">
        <f t="shared" si="1012"/>
        <v>12447.085000000003</v>
      </c>
      <c r="CG227" s="1479">
        <f t="shared" si="1012"/>
        <v>12785.192999999999</v>
      </c>
      <c r="CH227" s="1480">
        <f t="shared" si="1012"/>
        <v>13170.1</v>
      </c>
      <c r="CI227" s="1479">
        <f t="shared" si="1012"/>
        <v>13489.8</v>
      </c>
      <c r="CJ227" s="1479">
        <f t="shared" si="1012"/>
        <v>13825</v>
      </c>
      <c r="CK227" s="1479">
        <f t="shared" si="1012"/>
        <v>19379</v>
      </c>
      <c r="CL227" s="569"/>
      <c r="CM227" s="1064"/>
      <c r="CN227" s="1064"/>
      <c r="CO227" s="1064"/>
      <c r="CP227" s="569"/>
      <c r="CQ227" s="1064"/>
      <c r="CR227" s="1064"/>
      <c r="CS227" s="1064"/>
      <c r="CT227" s="569"/>
      <c r="CU227" s="1064"/>
      <c r="CV227" s="1064"/>
      <c r="CW227" s="1064"/>
      <c r="CX227" s="569"/>
      <c r="CY227" s="1064"/>
      <c r="CZ227" s="1064"/>
      <c r="DA227" s="1064"/>
      <c r="DB227" s="569"/>
      <c r="DC227" s="1064"/>
      <c r="DD227" s="1064"/>
      <c r="DE227" s="1064"/>
      <c r="DF227" s="569"/>
      <c r="DG227" s="1064"/>
      <c r="DH227" s="1064"/>
      <c r="DI227" s="568"/>
      <c r="DJ227" s="569"/>
      <c r="DK227" s="1064"/>
      <c r="DL227" s="1064"/>
      <c r="DM227" s="568"/>
      <c r="DN227" s="1064"/>
      <c r="DO227" s="1064"/>
      <c r="DP227" s="1064"/>
      <c r="DQ227" s="568"/>
      <c r="DR227" s="569"/>
      <c r="DS227" s="1064"/>
      <c r="DT227" s="1064"/>
      <c r="DU227" s="568"/>
      <c r="DV227" s="1064"/>
      <c r="DW227" s="1064"/>
      <c r="DX227" s="1064"/>
      <c r="DY227" s="568"/>
    </row>
    <row r="228" spans="1:129" s="1491" customFormat="1" ht="15" hidden="1" customHeight="1" outlineLevel="2">
      <c r="A228" s="1450" t="s">
        <v>14</v>
      </c>
      <c r="B228" s="1472"/>
      <c r="C228" s="1472"/>
      <c r="D228" s="1479"/>
      <c r="E228" s="1479"/>
      <c r="F228" s="1479"/>
      <c r="G228" s="1506"/>
      <c r="H228" s="1479"/>
      <c r="I228" s="1479"/>
      <c r="J228" s="1479"/>
      <c r="K228" s="1479"/>
      <c r="L228" s="1479"/>
      <c r="M228" s="1479"/>
      <c r="N228" s="1479">
        <f>CC228</f>
        <v>11823.952000000005</v>
      </c>
      <c r="O228" s="1479">
        <f>CG228</f>
        <v>12789.783000000005</v>
      </c>
      <c r="P228" s="1479">
        <f>CK228</f>
        <v>14063.635999999999</v>
      </c>
      <c r="Q228" s="1064"/>
      <c r="R228" s="1064"/>
      <c r="S228" s="1064"/>
      <c r="T228" s="568"/>
      <c r="U228" s="1064"/>
      <c r="V228" s="1064"/>
      <c r="W228" s="1064"/>
      <c r="X228" s="1064"/>
      <c r="Y228" s="1064"/>
      <c r="Z228" s="1064"/>
      <c r="AA228" s="1064"/>
      <c r="AB228" s="1064"/>
      <c r="AC228" s="1064"/>
      <c r="AD228" s="1064"/>
      <c r="AE228" s="1064"/>
      <c r="AF228" s="1064"/>
      <c r="AG228" s="1064"/>
      <c r="AH228" s="2201"/>
      <c r="AI228" s="1927"/>
      <c r="AJ228" s="1561"/>
      <c r="AK228" s="1070"/>
      <c r="AL228" s="1070"/>
      <c r="AM228" s="1064"/>
      <c r="AN228" s="1479"/>
      <c r="AO228" s="1479"/>
      <c r="AP228" s="1480"/>
      <c r="AQ228" s="1479"/>
      <c r="AR228" s="1479"/>
      <c r="AS228" s="1479"/>
      <c r="AT228" s="1480"/>
      <c r="AU228" s="1479"/>
      <c r="AV228" s="1479"/>
      <c r="AW228" s="1479"/>
      <c r="AX228" s="1480"/>
      <c r="AY228" s="1479"/>
      <c r="AZ228" s="1479"/>
      <c r="BA228" s="1479"/>
      <c r="BB228" s="1480"/>
      <c r="BC228" s="1479"/>
      <c r="BD228" s="1479"/>
      <c r="BE228" s="1479"/>
      <c r="BF228" s="1480"/>
      <c r="BG228" s="1479"/>
      <c r="BH228" s="1479"/>
      <c r="BI228" s="1479"/>
      <c r="BJ228" s="1480"/>
      <c r="BK228" s="1479"/>
      <c r="BL228" s="1479"/>
      <c r="BM228" s="1479"/>
      <c r="BN228" s="512"/>
      <c r="BO228" s="1472"/>
      <c r="BP228" s="1472"/>
      <c r="BQ228" s="1361"/>
      <c r="BR228" s="512"/>
      <c r="BS228" s="1361"/>
      <c r="BT228" s="1472"/>
      <c r="BU228" s="1361"/>
      <c r="BV228" s="512"/>
      <c r="BW228" s="1472"/>
      <c r="BX228" s="1472"/>
      <c r="BY228" s="1472"/>
      <c r="BZ228" s="1480">
        <f>+BZ232+BZ233</f>
        <v>10827.079000000003</v>
      </c>
      <c r="CA228" s="1479">
        <f>+CA232+CA233</f>
        <v>11085.159000000003</v>
      </c>
      <c r="CB228" s="1479">
        <f>+CB232+CB233</f>
        <v>11162.314000000004</v>
      </c>
      <c r="CC228" s="1479">
        <f>CB228+CC234+CC235</f>
        <v>11823.952000000005</v>
      </c>
      <c r="CD228" s="1480">
        <f>+CD232+CD233</f>
        <v>12060.586000000005</v>
      </c>
      <c r="CE228" s="1479">
        <f>+CE232+CE233</f>
        <v>12242.080000000004</v>
      </c>
      <c r="CF228" s="1479">
        <f>+CF232+CF233</f>
        <v>12447.099000000004</v>
      </c>
      <c r="CG228" s="1479">
        <f>CF228+CG234+CG235</f>
        <v>12789.783000000005</v>
      </c>
      <c r="CH228" s="1480">
        <f>+CH232+CH233</f>
        <v>13131.3</v>
      </c>
      <c r="CI228" s="1479">
        <f>+CI232+CI233</f>
        <v>13447.436000000002</v>
      </c>
      <c r="CJ228" s="1479">
        <f>+CJ232+CJ233</f>
        <v>13755.536</v>
      </c>
      <c r="CK228" s="1479">
        <f>+CK232+CK233</f>
        <v>14063.635999999999</v>
      </c>
      <c r="CL228" s="569"/>
      <c r="CM228" s="1064"/>
      <c r="CN228" s="1064"/>
      <c r="CO228" s="1064"/>
      <c r="CP228" s="569"/>
      <c r="CQ228" s="1064"/>
      <c r="CR228" s="1064"/>
      <c r="CS228" s="1064"/>
      <c r="CT228" s="569"/>
      <c r="CU228" s="1064"/>
      <c r="CV228" s="1064"/>
      <c r="CW228" s="1064"/>
      <c r="CX228" s="569"/>
      <c r="CY228" s="1064"/>
      <c r="CZ228" s="1064"/>
      <c r="DA228" s="1064"/>
      <c r="DB228" s="569"/>
      <c r="DC228" s="1064"/>
      <c r="DD228" s="1064"/>
      <c r="DE228" s="1064"/>
      <c r="DF228" s="569"/>
      <c r="DG228" s="1064"/>
      <c r="DH228" s="1064"/>
      <c r="DI228" s="568"/>
      <c r="DJ228" s="569"/>
      <c r="DK228" s="1064"/>
      <c r="DL228" s="1064"/>
      <c r="DM228" s="568"/>
      <c r="DN228" s="1064"/>
      <c r="DO228" s="1064"/>
      <c r="DP228" s="1064"/>
      <c r="DQ228" s="568"/>
      <c r="DR228" s="569"/>
      <c r="DS228" s="1064"/>
      <c r="DT228" s="1064"/>
      <c r="DU228" s="568"/>
      <c r="DV228" s="1064"/>
      <c r="DW228" s="1064"/>
      <c r="DX228" s="1064"/>
      <c r="DY228" s="568"/>
    </row>
    <row r="229" spans="1:129" s="1491" customFormat="1" ht="15" hidden="1" customHeight="1" outlineLevel="2">
      <c r="A229" s="1450" t="s">
        <v>77</v>
      </c>
      <c r="B229" s="1472"/>
      <c r="C229" s="1472"/>
      <c r="D229" s="1479"/>
      <c r="E229" s="1479"/>
      <c r="F229" s="1479"/>
      <c r="G229" s="1506"/>
      <c r="H229" s="1479"/>
      <c r="I229" s="1479"/>
      <c r="J229" s="1479"/>
      <c r="K229" s="1479"/>
      <c r="L229" s="1479"/>
      <c r="M229" s="1479"/>
      <c r="N229" s="1479">
        <f>SUM(BZ229:CC229)</f>
        <v>0</v>
      </c>
      <c r="O229" s="1479">
        <f>CG229</f>
        <v>0</v>
      </c>
      <c r="P229" s="1479">
        <f>CK229</f>
        <v>69.5</v>
      </c>
      <c r="Q229" s="1064"/>
      <c r="R229" s="1064"/>
      <c r="S229" s="1064"/>
      <c r="T229" s="568"/>
      <c r="U229" s="1064"/>
      <c r="V229" s="1064"/>
      <c r="W229" s="1064"/>
      <c r="X229" s="1064"/>
      <c r="Y229" s="1064"/>
      <c r="Z229" s="1064"/>
      <c r="AA229" s="1064"/>
      <c r="AB229" s="1064"/>
      <c r="AC229" s="1064"/>
      <c r="AD229" s="1064"/>
      <c r="AE229" s="1064"/>
      <c r="AF229" s="1064"/>
      <c r="AG229" s="1064"/>
      <c r="AH229" s="2201"/>
      <c r="AI229" s="1927"/>
      <c r="AJ229" s="1561"/>
      <c r="AK229" s="1070"/>
      <c r="AL229" s="1070"/>
      <c r="AM229" s="1064"/>
      <c r="AN229" s="1479"/>
      <c r="AO229" s="1479"/>
      <c r="AP229" s="1480"/>
      <c r="AQ229" s="1479"/>
      <c r="AR229" s="1479"/>
      <c r="AS229" s="1479"/>
      <c r="AT229" s="1480"/>
      <c r="AU229" s="1479"/>
      <c r="AV229" s="1479"/>
      <c r="AW229" s="1479"/>
      <c r="AX229" s="1480"/>
      <c r="AY229" s="1479"/>
      <c r="AZ229" s="1479"/>
      <c r="BA229" s="1479"/>
      <c r="BB229" s="1480"/>
      <c r="BC229" s="1479"/>
      <c r="BD229" s="1479"/>
      <c r="BE229" s="1479"/>
      <c r="BF229" s="1480"/>
      <c r="BG229" s="1479"/>
      <c r="BH229" s="1479"/>
      <c r="BI229" s="1479"/>
      <c r="BJ229" s="1480"/>
      <c r="BK229" s="1479"/>
      <c r="BL229" s="1479"/>
      <c r="BM229" s="1479"/>
      <c r="BN229" s="512"/>
      <c r="BO229" s="1472"/>
      <c r="BP229" s="1472"/>
      <c r="BQ229" s="1361"/>
      <c r="BR229" s="512"/>
      <c r="BS229" s="1361"/>
      <c r="BT229" s="1472"/>
      <c r="BU229" s="1361"/>
      <c r="BV229" s="512"/>
      <c r="BW229" s="1472"/>
      <c r="BX229" s="1472"/>
      <c r="BY229" s="1472"/>
      <c r="BZ229" s="1454"/>
      <c r="CA229" s="1472"/>
      <c r="CB229" s="1472"/>
      <c r="CC229" s="1472"/>
      <c r="CD229" s="1480">
        <f t="shared" ref="CD229:CK229" si="1013">+CC229+CD191</f>
        <v>0</v>
      </c>
      <c r="CE229" s="1479">
        <f t="shared" si="1013"/>
        <v>0</v>
      </c>
      <c r="CF229" s="1479">
        <f t="shared" si="1013"/>
        <v>0</v>
      </c>
      <c r="CG229" s="1479">
        <f t="shared" si="1013"/>
        <v>0</v>
      </c>
      <c r="CH229" s="1480">
        <f t="shared" si="1013"/>
        <v>38.799999999999997</v>
      </c>
      <c r="CI229" s="1479">
        <f t="shared" si="1013"/>
        <v>42.4</v>
      </c>
      <c r="CJ229" s="1479">
        <f t="shared" si="1013"/>
        <v>69.5</v>
      </c>
      <c r="CK229" s="1479">
        <f t="shared" si="1013"/>
        <v>69.5</v>
      </c>
      <c r="CL229" s="569"/>
      <c r="CM229" s="1064"/>
      <c r="CN229" s="1519"/>
      <c r="CO229" s="1064"/>
      <c r="CP229" s="569"/>
      <c r="CQ229" s="1064"/>
      <c r="CR229" s="1064"/>
      <c r="CS229" s="1064"/>
      <c r="CT229" s="569"/>
      <c r="CU229" s="1064"/>
      <c r="CV229" s="1064"/>
      <c r="CW229" s="1064"/>
      <c r="CX229" s="569"/>
      <c r="CY229" s="1064"/>
      <c r="CZ229" s="1064"/>
      <c r="DA229" s="1064"/>
      <c r="DB229" s="569"/>
      <c r="DC229" s="1064"/>
      <c r="DD229" s="1064"/>
      <c r="DE229" s="1064"/>
      <c r="DF229" s="569"/>
      <c r="DG229" s="1064"/>
      <c r="DH229" s="1064"/>
      <c r="DI229" s="568"/>
      <c r="DJ229" s="569"/>
      <c r="DK229" s="1064"/>
      <c r="DL229" s="1064"/>
      <c r="DM229" s="568"/>
      <c r="DN229" s="1064"/>
      <c r="DO229" s="1064"/>
      <c r="DP229" s="1064"/>
      <c r="DQ229" s="568"/>
      <c r="DR229" s="569"/>
      <c r="DS229" s="1064"/>
      <c r="DT229" s="1064"/>
      <c r="DU229" s="568"/>
      <c r="DV229" s="1064"/>
      <c r="DW229" s="1064"/>
      <c r="DX229" s="1064"/>
      <c r="DY229" s="568"/>
    </row>
    <row r="230" spans="1:129" s="1491" customFormat="1" ht="15" hidden="1" customHeight="1" outlineLevel="2">
      <c r="A230" s="1450"/>
      <c r="B230" s="1472"/>
      <c r="C230" s="1472"/>
      <c r="D230" s="1479"/>
      <c r="E230" s="1479"/>
      <c r="F230" s="1479"/>
      <c r="G230" s="1506"/>
      <c r="H230" s="1479"/>
      <c r="I230" s="1479"/>
      <c r="J230" s="1479"/>
      <c r="K230" s="1479"/>
      <c r="L230" s="1479"/>
      <c r="M230" s="1479"/>
      <c r="N230" s="1479"/>
      <c r="O230" s="1472"/>
      <c r="P230" s="1472"/>
      <c r="Q230" s="1064"/>
      <c r="R230" s="1064"/>
      <c r="S230" s="1064"/>
      <c r="T230" s="568"/>
      <c r="U230" s="1064"/>
      <c r="V230" s="1064"/>
      <c r="W230" s="1064"/>
      <c r="X230" s="1064"/>
      <c r="Y230" s="1064"/>
      <c r="Z230" s="1064"/>
      <c r="AA230" s="1064"/>
      <c r="AB230" s="1064"/>
      <c r="AC230" s="1064"/>
      <c r="AD230" s="1064"/>
      <c r="AE230" s="1064"/>
      <c r="AF230" s="1064"/>
      <c r="AG230" s="1064"/>
      <c r="AH230" s="2201"/>
      <c r="AI230" s="1927"/>
      <c r="AJ230" s="1561"/>
      <c r="AK230" s="1070"/>
      <c r="AL230" s="1070"/>
      <c r="AM230" s="1064"/>
      <c r="AN230" s="1479"/>
      <c r="AO230" s="1479"/>
      <c r="AP230" s="1480"/>
      <c r="AQ230" s="1479"/>
      <c r="AR230" s="1479"/>
      <c r="AS230" s="1479"/>
      <c r="AT230" s="1480"/>
      <c r="AU230" s="1479"/>
      <c r="AV230" s="1479"/>
      <c r="AW230" s="1479"/>
      <c r="AX230" s="1480"/>
      <c r="AY230" s="1479"/>
      <c r="AZ230" s="1479"/>
      <c r="BA230" s="1479"/>
      <c r="BB230" s="1480"/>
      <c r="BC230" s="1479"/>
      <c r="BD230" s="1479"/>
      <c r="BE230" s="1479"/>
      <c r="BF230" s="1480"/>
      <c r="BG230" s="1479"/>
      <c r="BH230" s="1479"/>
      <c r="BI230" s="1479"/>
      <c r="BJ230" s="1480"/>
      <c r="BK230" s="1479"/>
      <c r="BL230" s="1479"/>
      <c r="BM230" s="1479"/>
      <c r="BN230" s="512"/>
      <c r="BO230" s="1472"/>
      <c r="BP230" s="1472"/>
      <c r="BQ230" s="1361"/>
      <c r="BR230" s="512"/>
      <c r="BS230" s="1361"/>
      <c r="BT230" s="1472"/>
      <c r="BU230" s="1361"/>
      <c r="BV230" s="512"/>
      <c r="BW230" s="1472"/>
      <c r="BX230" s="1472"/>
      <c r="BY230" s="1472"/>
      <c r="BZ230" s="1454"/>
      <c r="CA230" s="1472"/>
      <c r="CB230" s="1472"/>
      <c r="CC230" s="1472"/>
      <c r="CD230" s="1454"/>
      <c r="CE230" s="1472"/>
      <c r="CF230" s="1472"/>
      <c r="CG230" s="1472"/>
      <c r="CH230" s="1454"/>
      <c r="CI230" s="1472"/>
      <c r="CJ230" s="1472"/>
      <c r="CK230" s="1472"/>
      <c r="CL230" s="569"/>
      <c r="CM230" s="1064"/>
      <c r="CN230" s="1064"/>
      <c r="CO230" s="1064"/>
      <c r="CP230" s="569"/>
      <c r="CQ230" s="1064"/>
      <c r="CR230" s="1064"/>
      <c r="CS230" s="1064"/>
      <c r="CT230" s="569"/>
      <c r="CU230" s="1064"/>
      <c r="CV230" s="1064"/>
      <c r="CW230" s="1064"/>
      <c r="CX230" s="569"/>
      <c r="CY230" s="1064"/>
      <c r="CZ230" s="1064"/>
      <c r="DA230" s="1064"/>
      <c r="DB230" s="569"/>
      <c r="DC230" s="1064"/>
      <c r="DD230" s="1064"/>
      <c r="DE230" s="1064"/>
      <c r="DF230" s="569"/>
      <c r="DG230" s="1064"/>
      <c r="DH230" s="1064"/>
      <c r="DI230" s="568"/>
      <c r="DJ230" s="569"/>
      <c r="DK230" s="1064"/>
      <c r="DL230" s="1064"/>
      <c r="DM230" s="568"/>
      <c r="DN230" s="1064"/>
      <c r="DO230" s="1064"/>
      <c r="DP230" s="1064"/>
      <c r="DQ230" s="568"/>
      <c r="DR230" s="569"/>
      <c r="DS230" s="1064"/>
      <c r="DT230" s="1064"/>
      <c r="DU230" s="568"/>
      <c r="DV230" s="1064"/>
      <c r="DW230" s="1064"/>
      <c r="DX230" s="1064"/>
      <c r="DY230" s="568"/>
    </row>
    <row r="231" spans="1:129" s="1491" customFormat="1" ht="15" hidden="1" customHeight="1" outlineLevel="2">
      <c r="A231" s="1454" t="s">
        <v>93</v>
      </c>
      <c r="B231" s="1472"/>
      <c r="C231" s="1472"/>
      <c r="D231" s="1479"/>
      <c r="E231" s="1479"/>
      <c r="F231" s="1479"/>
      <c r="G231" s="1506"/>
      <c r="H231" s="1479"/>
      <c r="I231" s="1479"/>
      <c r="J231" s="1479"/>
      <c r="K231" s="1479"/>
      <c r="L231" s="1479"/>
      <c r="M231" s="1479"/>
      <c r="N231" s="1479"/>
      <c r="O231" s="1479"/>
      <c r="P231" s="1479"/>
      <c r="Q231" s="1064"/>
      <c r="R231" s="1064"/>
      <c r="S231" s="1064"/>
      <c r="T231" s="568"/>
      <c r="U231" s="1064"/>
      <c r="V231" s="1064"/>
      <c r="W231" s="1064"/>
      <c r="X231" s="1064"/>
      <c r="Y231" s="1064"/>
      <c r="Z231" s="1064"/>
      <c r="AA231" s="1064"/>
      <c r="AB231" s="1064"/>
      <c r="AC231" s="1064"/>
      <c r="AD231" s="1064"/>
      <c r="AE231" s="1064"/>
      <c r="AF231" s="1064"/>
      <c r="AG231" s="1064"/>
      <c r="AH231" s="2201"/>
      <c r="AI231" s="1927"/>
      <c r="AJ231" s="1561"/>
      <c r="AK231" s="1070"/>
      <c r="AL231" s="1070"/>
      <c r="AM231" s="1064"/>
      <c r="AN231" s="1479"/>
      <c r="AO231" s="1479"/>
      <c r="AP231" s="1480"/>
      <c r="AQ231" s="1479"/>
      <c r="AR231" s="1479"/>
      <c r="AS231" s="1479"/>
      <c r="AT231" s="1480"/>
      <c r="AU231" s="1479"/>
      <c r="AV231" s="1479"/>
      <c r="AW231" s="1479"/>
      <c r="AX231" s="1480"/>
      <c r="AY231" s="1479"/>
      <c r="AZ231" s="1479"/>
      <c r="BA231" s="1479"/>
      <c r="BB231" s="1480"/>
      <c r="BC231" s="1479"/>
      <c r="BD231" s="1479"/>
      <c r="BE231" s="1479"/>
      <c r="BF231" s="1480"/>
      <c r="BG231" s="1479"/>
      <c r="BH231" s="1479"/>
      <c r="BI231" s="1479"/>
      <c r="BJ231" s="1480"/>
      <c r="BK231" s="1479"/>
      <c r="BL231" s="1479"/>
      <c r="BM231" s="1479"/>
      <c r="BN231" s="512"/>
      <c r="BO231" s="1472"/>
      <c r="BP231" s="1472"/>
      <c r="BQ231" s="1361"/>
      <c r="BR231" s="512"/>
      <c r="BS231" s="1361"/>
      <c r="BT231" s="1472"/>
      <c r="BU231" s="1361"/>
      <c r="BV231" s="512"/>
      <c r="BW231" s="1472"/>
      <c r="BX231" s="1472"/>
      <c r="BY231" s="1472"/>
      <c r="BZ231" s="1480"/>
      <c r="CA231" s="1479"/>
      <c r="CB231" s="1479"/>
      <c r="CC231" s="1479"/>
      <c r="CD231" s="1480"/>
      <c r="CE231" s="1479"/>
      <c r="CF231" s="1479"/>
      <c r="CG231" s="1479"/>
      <c r="CH231" s="1480"/>
      <c r="CI231" s="1479"/>
      <c r="CJ231" s="1479"/>
      <c r="CK231" s="1479"/>
      <c r="CL231" s="569"/>
      <c r="CM231" s="1064"/>
      <c r="CN231" s="1519"/>
      <c r="CO231" s="1064"/>
      <c r="CP231" s="569"/>
      <c r="CQ231" s="1064"/>
      <c r="CR231" s="1064"/>
      <c r="CS231" s="1064"/>
      <c r="CT231" s="569"/>
      <c r="CU231" s="1064"/>
      <c r="CV231" s="1064"/>
      <c r="CW231" s="1064"/>
      <c r="CX231" s="569"/>
      <c r="CY231" s="1064"/>
      <c r="CZ231" s="1064"/>
      <c r="DA231" s="1064"/>
      <c r="DB231" s="569"/>
      <c r="DC231" s="1064"/>
      <c r="DD231" s="1064"/>
      <c r="DE231" s="1064"/>
      <c r="DF231" s="569"/>
      <c r="DG231" s="1064"/>
      <c r="DH231" s="1064"/>
      <c r="DI231" s="568"/>
      <c r="DJ231" s="569"/>
      <c r="DK231" s="1064"/>
      <c r="DL231" s="1064"/>
      <c r="DM231" s="568"/>
      <c r="DN231" s="1064"/>
      <c r="DO231" s="1064"/>
      <c r="DP231" s="1064"/>
      <c r="DQ231" s="568"/>
      <c r="DR231" s="569"/>
      <c r="DS231" s="1064"/>
      <c r="DT231" s="1064"/>
      <c r="DU231" s="568"/>
      <c r="DV231" s="1064"/>
      <c r="DW231" s="1064"/>
      <c r="DX231" s="1064"/>
      <c r="DY231" s="568"/>
    </row>
    <row r="232" spans="1:129" s="1491" customFormat="1" ht="15" hidden="1" customHeight="1" outlineLevel="2">
      <c r="A232" s="1454" t="s">
        <v>15</v>
      </c>
      <c r="B232" s="1472"/>
      <c r="C232" s="1472"/>
      <c r="D232" s="1479"/>
      <c r="E232" s="1479"/>
      <c r="F232" s="1479"/>
      <c r="G232" s="1506"/>
      <c r="H232" s="1479"/>
      <c r="I232" s="1479"/>
      <c r="J232" s="1479"/>
      <c r="K232" s="1479"/>
      <c r="L232" s="1479"/>
      <c r="M232" s="1479"/>
      <c r="N232" s="1479">
        <f>CC232</f>
        <v>10081.478000000005</v>
      </c>
      <c r="O232" s="1479">
        <f>CG232</f>
        <v>10798.274000000001</v>
      </c>
      <c r="P232" s="1479">
        <f>CK232</f>
        <v>11689.047</v>
      </c>
      <c r="Q232" s="1064"/>
      <c r="R232" s="1064"/>
      <c r="S232" s="1064"/>
      <c r="T232" s="568"/>
      <c r="U232" s="1064"/>
      <c r="V232" s="1064"/>
      <c r="W232" s="1064"/>
      <c r="X232" s="1064"/>
      <c r="Y232" s="1064"/>
      <c r="Z232" s="1064"/>
      <c r="AA232" s="1064"/>
      <c r="AB232" s="1064"/>
      <c r="AC232" s="1064"/>
      <c r="AD232" s="1064"/>
      <c r="AE232" s="1064"/>
      <c r="AF232" s="1064"/>
      <c r="AG232" s="1064"/>
      <c r="AH232" s="2201"/>
      <c r="AI232" s="1927"/>
      <c r="AJ232" s="1561"/>
      <c r="AK232" s="1070"/>
      <c r="AL232" s="1070"/>
      <c r="AM232" s="1064"/>
      <c r="AN232" s="1479"/>
      <c r="AO232" s="1479"/>
      <c r="AP232" s="1480"/>
      <c r="AQ232" s="1479"/>
      <c r="AR232" s="1479"/>
      <c r="AS232" s="1479"/>
      <c r="AT232" s="1480"/>
      <c r="AU232" s="1479"/>
      <c r="AV232" s="1479"/>
      <c r="AW232" s="1479"/>
      <c r="AX232" s="1480"/>
      <c r="AY232" s="1479"/>
      <c r="AZ232" s="1479"/>
      <c r="BA232" s="1479"/>
      <c r="BB232" s="1480"/>
      <c r="BC232" s="1479"/>
      <c r="BD232" s="1479"/>
      <c r="BE232" s="1479"/>
      <c r="BF232" s="1480"/>
      <c r="BG232" s="1479"/>
      <c r="BH232" s="1479"/>
      <c r="BI232" s="1479"/>
      <c r="BJ232" s="1480"/>
      <c r="BK232" s="1479"/>
      <c r="BL232" s="1479"/>
      <c r="BM232" s="1479"/>
      <c r="BN232" s="512"/>
      <c r="BO232" s="1472"/>
      <c r="BP232" s="1472"/>
      <c r="BQ232" s="1361"/>
      <c r="BR232" s="512"/>
      <c r="BS232" s="1361"/>
      <c r="BT232" s="1472"/>
      <c r="BU232" s="1361"/>
      <c r="BV232" s="512"/>
      <c r="BW232" s="1472"/>
      <c r="BX232" s="1472"/>
      <c r="BY232" s="1472"/>
      <c r="BZ232" s="1480">
        <f t="shared" ref="BZ232:CG232" si="1014">CA232-CA234-CA236</f>
        <v>9606.1350000000039</v>
      </c>
      <c r="CA232" s="1479">
        <f t="shared" si="1014"/>
        <v>9752.1200000000044</v>
      </c>
      <c r="CB232" s="1479">
        <f t="shared" si="1014"/>
        <v>9853.1790000000037</v>
      </c>
      <c r="CC232" s="1479">
        <f t="shared" si="1014"/>
        <v>10081.478000000005</v>
      </c>
      <c r="CD232" s="1480">
        <f t="shared" si="1014"/>
        <v>10190.362000000005</v>
      </c>
      <c r="CE232" s="1479">
        <f t="shared" si="1014"/>
        <v>10371.272000000004</v>
      </c>
      <c r="CF232" s="1479">
        <f t="shared" si="1014"/>
        <v>10584.063000000004</v>
      </c>
      <c r="CG232" s="1479">
        <f t="shared" si="1014"/>
        <v>10798.274000000001</v>
      </c>
      <c r="CH232" s="450">
        <f>11000-CH229</f>
        <v>10961.2</v>
      </c>
      <c r="CI232" s="1479">
        <f t="shared" ref="CI232:CK233" si="1015">+CH232+CI234</f>
        <v>11178.247000000001</v>
      </c>
      <c r="CJ232" s="1479">
        <f t="shared" si="1015"/>
        <v>11433.647000000001</v>
      </c>
      <c r="CK232" s="1479">
        <f t="shared" si="1015"/>
        <v>11689.047</v>
      </c>
      <c r="CL232" s="569"/>
      <c r="CM232" s="1064"/>
      <c r="CN232" s="1064"/>
      <c r="CO232" s="1064"/>
      <c r="CP232" s="569"/>
      <c r="CQ232" s="1064"/>
      <c r="CR232" s="1064"/>
      <c r="CS232" s="1064"/>
      <c r="CT232" s="569"/>
      <c r="CU232" s="1064"/>
      <c r="CV232" s="1064"/>
      <c r="CW232" s="1064"/>
      <c r="CX232" s="569"/>
      <c r="CY232" s="1064"/>
      <c r="CZ232" s="1064"/>
      <c r="DA232" s="1064"/>
      <c r="DB232" s="569"/>
      <c r="DC232" s="1064"/>
      <c r="DD232" s="1064"/>
      <c r="DE232" s="1064"/>
      <c r="DF232" s="569"/>
      <c r="DG232" s="1064"/>
      <c r="DH232" s="1064"/>
      <c r="DI232" s="568"/>
      <c r="DJ232" s="569"/>
      <c r="DK232" s="1064"/>
      <c r="DL232" s="1064"/>
      <c r="DM232" s="568"/>
      <c r="DN232" s="1064"/>
      <c r="DO232" s="1064"/>
      <c r="DP232" s="1064"/>
      <c r="DQ232" s="568"/>
      <c r="DR232" s="569"/>
      <c r="DS232" s="1064"/>
      <c r="DT232" s="1064"/>
      <c r="DU232" s="568"/>
      <c r="DV232" s="1064"/>
      <c r="DW232" s="1064"/>
      <c r="DX232" s="1064"/>
      <c r="DY232" s="568"/>
    </row>
    <row r="233" spans="1:129" s="1491" customFormat="1" ht="15" hidden="1" customHeight="1" outlineLevel="2">
      <c r="A233" s="1450" t="s">
        <v>18</v>
      </c>
      <c r="B233" s="1472"/>
      <c r="C233" s="1472"/>
      <c r="D233" s="1479"/>
      <c r="E233" s="1479"/>
      <c r="F233" s="1479"/>
      <c r="G233" s="1506"/>
      <c r="H233" s="1479"/>
      <c r="I233" s="1479"/>
      <c r="J233" s="1479"/>
      <c r="K233" s="1479"/>
      <c r="L233" s="1479"/>
      <c r="M233" s="1479"/>
      <c r="N233" s="1479">
        <f>CC233</f>
        <v>1742.4739999999995</v>
      </c>
      <c r="O233" s="1479">
        <f>CG233</f>
        <v>1986.9329999999995</v>
      </c>
      <c r="P233" s="1479">
        <f>CK233</f>
        <v>2374.588999999999</v>
      </c>
      <c r="Q233" s="1064"/>
      <c r="R233" s="1064"/>
      <c r="S233" s="1064"/>
      <c r="T233" s="568"/>
      <c r="U233" s="1064"/>
      <c r="V233" s="1064"/>
      <c r="W233" s="1064"/>
      <c r="X233" s="1064"/>
      <c r="Y233" s="1064"/>
      <c r="Z233" s="1064"/>
      <c r="AA233" s="1064"/>
      <c r="AB233" s="1064"/>
      <c r="AC233" s="1064"/>
      <c r="AD233" s="1064"/>
      <c r="AE233" s="1064"/>
      <c r="AF233" s="1064"/>
      <c r="AG233" s="1064"/>
      <c r="AH233" s="2201"/>
      <c r="AI233" s="1927"/>
      <c r="AJ233" s="1561"/>
      <c r="AK233" s="1070"/>
      <c r="AL233" s="1070"/>
      <c r="AM233" s="1064"/>
      <c r="AN233" s="1479"/>
      <c r="AO233" s="1479"/>
      <c r="AP233" s="1480"/>
      <c r="AQ233" s="1479"/>
      <c r="AR233" s="1479"/>
      <c r="AS233" s="1479"/>
      <c r="AT233" s="1480"/>
      <c r="AU233" s="1479"/>
      <c r="AV233" s="1479"/>
      <c r="AW233" s="1479"/>
      <c r="AX233" s="1480"/>
      <c r="AY233" s="1479"/>
      <c r="AZ233" s="1479"/>
      <c r="BA233" s="1479"/>
      <c r="BB233" s="1480"/>
      <c r="BC233" s="1479"/>
      <c r="BD233" s="1479"/>
      <c r="BE233" s="1479"/>
      <c r="BF233" s="1480"/>
      <c r="BG233" s="1479"/>
      <c r="BH233" s="1479"/>
      <c r="BI233" s="1479"/>
      <c r="BJ233" s="1480"/>
      <c r="BK233" s="1479"/>
      <c r="BL233" s="1479"/>
      <c r="BM233" s="1479"/>
      <c r="BN233" s="512"/>
      <c r="BO233" s="1472"/>
      <c r="BP233" s="1472"/>
      <c r="BQ233" s="1361"/>
      <c r="BR233" s="512"/>
      <c r="BS233" s="1361"/>
      <c r="BT233" s="1472"/>
      <c r="BU233" s="1361"/>
      <c r="BV233" s="512"/>
      <c r="BW233" s="1472"/>
      <c r="BX233" s="1472"/>
      <c r="BY233" s="1472"/>
      <c r="BZ233" s="1480">
        <f t="shared" ref="BZ233:CG233" si="1016">CA233-CA235</f>
        <v>1220.9439999999995</v>
      </c>
      <c r="CA233" s="1479">
        <f t="shared" si="1016"/>
        <v>1333.0389999999995</v>
      </c>
      <c r="CB233" s="1479">
        <f t="shared" si="1016"/>
        <v>1309.1349999999995</v>
      </c>
      <c r="CC233" s="1479">
        <f t="shared" si="1016"/>
        <v>1742.4739999999995</v>
      </c>
      <c r="CD233" s="1480">
        <f t="shared" si="1016"/>
        <v>1870.2239999999995</v>
      </c>
      <c r="CE233" s="1479">
        <f t="shared" si="1016"/>
        <v>1870.8079999999995</v>
      </c>
      <c r="CF233" s="1479">
        <f t="shared" si="1016"/>
        <v>1863.0359999999996</v>
      </c>
      <c r="CG233" s="1479">
        <f t="shared" si="1016"/>
        <v>1986.9329999999995</v>
      </c>
      <c r="CH233" s="1480">
        <f>CH107-CH232-CH229</f>
        <v>2170.0999999999995</v>
      </c>
      <c r="CI233" s="1479">
        <f t="shared" si="1015"/>
        <v>2269.1889999999994</v>
      </c>
      <c r="CJ233" s="1479">
        <f t="shared" si="1015"/>
        <v>2321.8889999999992</v>
      </c>
      <c r="CK233" s="1479">
        <f t="shared" si="1015"/>
        <v>2374.588999999999</v>
      </c>
      <c r="CL233" s="569"/>
      <c r="CM233" s="1064"/>
      <c r="CN233" s="1519"/>
      <c r="CO233" s="1064"/>
      <c r="CP233" s="569"/>
      <c r="CQ233" s="1064"/>
      <c r="CR233" s="1064"/>
      <c r="CS233" s="1064"/>
      <c r="CT233" s="569"/>
      <c r="CU233" s="1064"/>
      <c r="CV233" s="1064"/>
      <c r="CW233" s="1064"/>
      <c r="CX233" s="569"/>
      <c r="CY233" s="1064"/>
      <c r="CZ233" s="1064"/>
      <c r="DA233" s="1064"/>
      <c r="DB233" s="569"/>
      <c r="DC233" s="1064"/>
      <c r="DD233" s="1064"/>
      <c r="DE233" s="1064"/>
      <c r="DF233" s="569"/>
      <c r="DG233" s="1064"/>
      <c r="DH233" s="1064"/>
      <c r="DI233" s="568"/>
      <c r="DJ233" s="569"/>
      <c r="DK233" s="1064"/>
      <c r="DL233" s="1064"/>
      <c r="DM233" s="568"/>
      <c r="DN233" s="1064"/>
      <c r="DO233" s="1064"/>
      <c r="DP233" s="1064"/>
      <c r="DQ233" s="568"/>
      <c r="DR233" s="569"/>
      <c r="DS233" s="1064"/>
      <c r="DT233" s="1064"/>
      <c r="DU233" s="568"/>
      <c r="DV233" s="1064"/>
      <c r="DW233" s="1064"/>
      <c r="DX233" s="1064"/>
      <c r="DY233" s="568"/>
    </row>
    <row r="234" spans="1:129" s="1491" customFormat="1" ht="15" hidden="1" customHeight="1" outlineLevel="2">
      <c r="A234" s="1454" t="s">
        <v>94</v>
      </c>
      <c r="B234" s="1472"/>
      <c r="C234" s="1472"/>
      <c r="D234" s="1479"/>
      <c r="E234" s="1479"/>
      <c r="F234" s="1479"/>
      <c r="G234" s="1506"/>
      <c r="H234" s="1479"/>
      <c r="I234" s="1479"/>
      <c r="J234" s="1479"/>
      <c r="K234" s="1479"/>
      <c r="L234" s="1479"/>
      <c r="M234" s="1479"/>
      <c r="N234" s="1479">
        <f>SUM(BZ234:CC234)</f>
        <v>640.08399999999995</v>
      </c>
      <c r="O234" s="1479">
        <f>SUM(CD234:CG234)</f>
        <v>721.37199999999996</v>
      </c>
      <c r="P234" s="1479">
        <f>SUM(CH234:CK234)</f>
        <v>890.77299999999991</v>
      </c>
      <c r="Q234" s="1064"/>
      <c r="R234" s="1064"/>
      <c r="S234" s="1064"/>
      <c r="T234" s="568"/>
      <c r="U234" s="1064"/>
      <c r="V234" s="1064"/>
      <c r="W234" s="1064"/>
      <c r="X234" s="1064"/>
      <c r="Y234" s="1064"/>
      <c r="Z234" s="1064"/>
      <c r="AA234" s="1064"/>
      <c r="AB234" s="1064"/>
      <c r="AC234" s="1064"/>
      <c r="AD234" s="1064"/>
      <c r="AE234" s="1064"/>
      <c r="AF234" s="1064"/>
      <c r="AG234" s="1064"/>
      <c r="AH234" s="2201"/>
      <c r="AI234" s="1927"/>
      <c r="AJ234" s="1561"/>
      <c r="AK234" s="1070"/>
      <c r="AL234" s="1070"/>
      <c r="AM234" s="1064"/>
      <c r="AN234" s="1479"/>
      <c r="AO234" s="1479"/>
      <c r="AP234" s="1480"/>
      <c r="AQ234" s="1479"/>
      <c r="AR234" s="1479"/>
      <c r="AS234" s="1479"/>
      <c r="AT234" s="1480"/>
      <c r="AU234" s="1479"/>
      <c r="AV234" s="1479"/>
      <c r="AW234" s="1479"/>
      <c r="AX234" s="1480"/>
      <c r="AY234" s="1479"/>
      <c r="AZ234" s="1479"/>
      <c r="BA234" s="1479"/>
      <c r="BB234" s="1480"/>
      <c r="BC234" s="1479"/>
      <c r="BD234" s="1479"/>
      <c r="BE234" s="1479"/>
      <c r="BF234" s="1480"/>
      <c r="BG234" s="1479"/>
      <c r="BH234" s="1479"/>
      <c r="BI234" s="1479"/>
      <c r="BJ234" s="1480"/>
      <c r="BK234" s="1479"/>
      <c r="BL234" s="1479"/>
      <c r="BM234" s="1479"/>
      <c r="BN234" s="512"/>
      <c r="BO234" s="1472"/>
      <c r="BP234" s="1472"/>
      <c r="BQ234" s="1361"/>
      <c r="BR234" s="512"/>
      <c r="BS234" s="1361"/>
      <c r="BT234" s="1472"/>
      <c r="BU234" s="1361"/>
      <c r="BV234" s="512"/>
      <c r="BW234" s="1472"/>
      <c r="BX234" s="1472"/>
      <c r="BY234" s="1472"/>
      <c r="BZ234" s="450">
        <v>164.74100000000001</v>
      </c>
      <c r="CA234" s="1363">
        <v>145.98500000000001</v>
      </c>
      <c r="CB234" s="1363">
        <v>101.059</v>
      </c>
      <c r="CC234" s="1363">
        <v>228.29900000000001</v>
      </c>
      <c r="CD234" s="450">
        <v>108.884</v>
      </c>
      <c r="CE234" s="1363">
        <v>180.91</v>
      </c>
      <c r="CF234" s="1363">
        <v>212.791</v>
      </c>
      <c r="CG234" s="1363">
        <v>218.78700000000001</v>
      </c>
      <c r="CH234" s="450">
        <v>162.92599999999999</v>
      </c>
      <c r="CI234" s="1363">
        <v>217.047</v>
      </c>
      <c r="CJ234" s="1363">
        <v>255.4</v>
      </c>
      <c r="CK234" s="1377">
        <v>255.4</v>
      </c>
      <c r="CL234" s="569"/>
      <c r="CM234" s="1064"/>
      <c r="CN234" s="1064"/>
      <c r="CO234" s="1064"/>
      <c r="CP234" s="569"/>
      <c r="CQ234" s="1064"/>
      <c r="CR234" s="1064"/>
      <c r="CS234" s="1064"/>
      <c r="CT234" s="569"/>
      <c r="CU234" s="1064"/>
      <c r="CV234" s="1064"/>
      <c r="CW234" s="1064"/>
      <c r="CX234" s="569"/>
      <c r="CY234" s="1064"/>
      <c r="CZ234" s="1064"/>
      <c r="DA234" s="1064"/>
      <c r="DB234" s="569"/>
      <c r="DC234" s="1064"/>
      <c r="DD234" s="1064"/>
      <c r="DE234" s="1064"/>
      <c r="DF234" s="569"/>
      <c r="DG234" s="1064"/>
      <c r="DH234" s="1064"/>
      <c r="DI234" s="568"/>
      <c r="DJ234" s="569"/>
      <c r="DK234" s="1064"/>
      <c r="DL234" s="1064"/>
      <c r="DM234" s="568"/>
      <c r="DN234" s="1064"/>
      <c r="DO234" s="1064"/>
      <c r="DP234" s="1064"/>
      <c r="DQ234" s="568"/>
      <c r="DR234" s="569"/>
      <c r="DS234" s="1064"/>
      <c r="DT234" s="1064"/>
      <c r="DU234" s="568"/>
      <c r="DV234" s="1064"/>
      <c r="DW234" s="1064"/>
      <c r="DX234" s="1064"/>
      <c r="DY234" s="568"/>
    </row>
    <row r="235" spans="1:129" s="1491" customFormat="1" ht="15" hidden="1" customHeight="1" outlineLevel="2">
      <c r="A235" s="1450" t="s">
        <v>95</v>
      </c>
      <c r="B235" s="1472"/>
      <c r="C235" s="1472"/>
      <c r="D235" s="1479"/>
      <c r="E235" s="1479"/>
      <c r="F235" s="1479"/>
      <c r="G235" s="1506"/>
      <c r="H235" s="1479"/>
      <c r="I235" s="1479"/>
      <c r="J235" s="1479"/>
      <c r="K235" s="1479"/>
      <c r="L235" s="1479"/>
      <c r="M235" s="1479"/>
      <c r="N235" s="1479">
        <f>SUM(BZ235:CC235)</f>
        <v>521.53</v>
      </c>
      <c r="O235" s="1479">
        <f>SUM(CD235:CG235)</f>
        <v>244.459</v>
      </c>
      <c r="P235" s="1479">
        <f>SUM(CH235:CK235)</f>
        <v>387.65599999999995</v>
      </c>
      <c r="Q235" s="1064"/>
      <c r="R235" s="1064"/>
      <c r="S235" s="1064"/>
      <c r="T235" s="568"/>
      <c r="U235" s="1064"/>
      <c r="V235" s="1064"/>
      <c r="W235" s="1064"/>
      <c r="X235" s="1064"/>
      <c r="Y235" s="1064"/>
      <c r="Z235" s="1064"/>
      <c r="AA235" s="1064"/>
      <c r="AB235" s="1064"/>
      <c r="AC235" s="1064"/>
      <c r="AD235" s="1064"/>
      <c r="AE235" s="1064"/>
      <c r="AF235" s="1064"/>
      <c r="AG235" s="1064"/>
      <c r="AH235" s="2201"/>
      <c r="AI235" s="1927"/>
      <c r="AJ235" s="1561"/>
      <c r="AK235" s="1070"/>
      <c r="AL235" s="1070"/>
      <c r="AM235" s="1064"/>
      <c r="AN235" s="1479"/>
      <c r="AO235" s="1479"/>
      <c r="AP235" s="1480"/>
      <c r="AQ235" s="1479"/>
      <c r="AR235" s="1479"/>
      <c r="AS235" s="1479"/>
      <c r="AT235" s="1480"/>
      <c r="AU235" s="1479"/>
      <c r="AV235" s="1479"/>
      <c r="AW235" s="1479"/>
      <c r="AX235" s="1480"/>
      <c r="AY235" s="1479"/>
      <c r="AZ235" s="1479"/>
      <c r="BA235" s="1479"/>
      <c r="BB235" s="1480"/>
      <c r="BC235" s="1479"/>
      <c r="BD235" s="1479"/>
      <c r="BE235" s="1479"/>
      <c r="BF235" s="1480"/>
      <c r="BG235" s="1479"/>
      <c r="BH235" s="1479"/>
      <c r="BI235" s="1479"/>
      <c r="BJ235" s="1480"/>
      <c r="BK235" s="1479"/>
      <c r="BL235" s="1479"/>
      <c r="BM235" s="1479"/>
      <c r="BN235" s="512"/>
      <c r="BO235" s="1472"/>
      <c r="BP235" s="1472"/>
      <c r="BQ235" s="1361"/>
      <c r="BR235" s="512"/>
      <c r="BS235" s="1361"/>
      <c r="BT235" s="1472"/>
      <c r="BU235" s="1361"/>
      <c r="BV235" s="512"/>
      <c r="BW235" s="1472"/>
      <c r="BX235" s="1472"/>
      <c r="BY235" s="1472"/>
      <c r="BZ235" s="450">
        <v>0</v>
      </c>
      <c r="CA235" s="1363">
        <v>112.095</v>
      </c>
      <c r="CB235" s="1363">
        <v>-23.904</v>
      </c>
      <c r="CC235" s="1363">
        <v>433.339</v>
      </c>
      <c r="CD235" s="450">
        <v>127.75</v>
      </c>
      <c r="CE235" s="1363">
        <v>0.58399999999999996</v>
      </c>
      <c r="CF235" s="1363">
        <v>-7.7720000000000002</v>
      </c>
      <c r="CG235" s="1363">
        <v>123.89700000000001</v>
      </c>
      <c r="CH235" s="450">
        <v>183.167</v>
      </c>
      <c r="CI235" s="1363">
        <v>99.088999999999999</v>
      </c>
      <c r="CJ235" s="1363">
        <v>52.7</v>
      </c>
      <c r="CK235" s="1377">
        <v>52.7</v>
      </c>
      <c r="CL235" s="569"/>
      <c r="CM235" s="1064"/>
      <c r="CN235" s="1519"/>
      <c r="CO235" s="1064"/>
      <c r="CP235" s="569"/>
      <c r="CQ235" s="1064"/>
      <c r="CR235" s="1064"/>
      <c r="CS235" s="1064"/>
      <c r="CT235" s="569"/>
      <c r="CU235" s="1064"/>
      <c r="CV235" s="1064"/>
      <c r="CW235" s="1064"/>
      <c r="CX235" s="569"/>
      <c r="CY235" s="1064"/>
      <c r="CZ235" s="1064"/>
      <c r="DA235" s="1064"/>
      <c r="DB235" s="569"/>
      <c r="DC235" s="1064"/>
      <c r="DD235" s="1064"/>
      <c r="DE235" s="1064"/>
      <c r="DF235" s="569"/>
      <c r="DG235" s="1064"/>
      <c r="DH235" s="1064"/>
      <c r="DI235" s="568"/>
      <c r="DJ235" s="569"/>
      <c r="DK235" s="1064"/>
      <c r="DL235" s="1064"/>
      <c r="DM235" s="568"/>
      <c r="DN235" s="1064"/>
      <c r="DO235" s="1064"/>
      <c r="DP235" s="1064"/>
      <c r="DQ235" s="568"/>
      <c r="DR235" s="569"/>
      <c r="DS235" s="1064"/>
      <c r="DT235" s="1064"/>
      <c r="DU235" s="568"/>
      <c r="DV235" s="1064"/>
      <c r="DW235" s="1064"/>
      <c r="DX235" s="1064"/>
      <c r="DY235" s="568"/>
    </row>
    <row r="236" spans="1:129" s="1491" customFormat="1" ht="15" hidden="1" customHeight="1" outlineLevel="2">
      <c r="A236" s="1450" t="s">
        <v>17</v>
      </c>
      <c r="B236" s="1472"/>
      <c r="C236" s="1472"/>
      <c r="D236" s="1479"/>
      <c r="E236" s="1479"/>
      <c r="F236" s="1479"/>
      <c r="G236" s="1506"/>
      <c r="H236" s="1479"/>
      <c r="I236" s="1479"/>
      <c r="J236" s="1479"/>
      <c r="K236" s="1479"/>
      <c r="L236" s="1479"/>
      <c r="M236" s="1479"/>
      <c r="N236" s="1472"/>
      <c r="O236" s="1472"/>
      <c r="P236" s="1472"/>
      <c r="Q236" s="1064"/>
      <c r="R236" s="1064"/>
      <c r="S236" s="1064"/>
      <c r="T236" s="568"/>
      <c r="U236" s="1064"/>
      <c r="V236" s="1064"/>
      <c r="W236" s="1064"/>
      <c r="X236" s="1064"/>
      <c r="Y236" s="1064"/>
      <c r="Z236" s="1064"/>
      <c r="AA236" s="1064"/>
      <c r="AB236" s="1064"/>
      <c r="AC236" s="1064"/>
      <c r="AD236" s="1064"/>
      <c r="AE236" s="1064"/>
      <c r="AF236" s="1064"/>
      <c r="AG236" s="1064"/>
      <c r="AH236" s="2201"/>
      <c r="AI236" s="1927"/>
      <c r="AJ236" s="1561"/>
      <c r="AK236" s="1070"/>
      <c r="AL236" s="1070"/>
      <c r="AM236" s="1064"/>
      <c r="AN236" s="1479"/>
      <c r="AO236" s="1479"/>
      <c r="AP236" s="1480"/>
      <c r="AQ236" s="1479"/>
      <c r="AR236" s="1479"/>
      <c r="AS236" s="1479"/>
      <c r="AT236" s="1480"/>
      <c r="AU236" s="1479"/>
      <c r="AV236" s="1479"/>
      <c r="AW236" s="1479"/>
      <c r="AX236" s="1480"/>
      <c r="AY236" s="1479"/>
      <c r="AZ236" s="1479"/>
      <c r="BA236" s="1479"/>
      <c r="BB236" s="1480"/>
      <c r="BC236" s="1479"/>
      <c r="BD236" s="1479"/>
      <c r="BE236" s="1479"/>
      <c r="BF236" s="1480"/>
      <c r="BG236" s="1479"/>
      <c r="BH236" s="1479"/>
      <c r="BI236" s="1479"/>
      <c r="BJ236" s="1480"/>
      <c r="BK236" s="1479"/>
      <c r="BL236" s="1479"/>
      <c r="BM236" s="1479"/>
      <c r="BN236" s="512"/>
      <c r="BO236" s="1472"/>
      <c r="BP236" s="1472"/>
      <c r="BQ236" s="1361"/>
      <c r="BR236" s="512"/>
      <c r="BS236" s="1361"/>
      <c r="BT236" s="1472"/>
      <c r="BU236" s="1361"/>
      <c r="BV236" s="512"/>
      <c r="BW236" s="1472"/>
      <c r="BX236" s="1472"/>
      <c r="BY236" s="1472"/>
      <c r="BZ236" s="450"/>
      <c r="CA236" s="1363"/>
      <c r="CB236" s="1363"/>
      <c r="CC236" s="1363"/>
      <c r="CD236" s="450"/>
      <c r="CE236" s="1363"/>
      <c r="CF236" s="1363"/>
      <c r="CG236" s="1363">
        <v>-4.5760000000034893</v>
      </c>
      <c r="CH236" s="450"/>
      <c r="CI236" s="1363"/>
      <c r="CJ236" s="1363"/>
      <c r="CK236" s="1472"/>
      <c r="CL236" s="569"/>
      <c r="CM236" s="1064"/>
      <c r="CN236" s="1064"/>
      <c r="CO236" s="1064"/>
      <c r="CP236" s="569"/>
      <c r="CQ236" s="1064"/>
      <c r="CR236" s="1064"/>
      <c r="CS236" s="1064"/>
      <c r="CT236" s="569"/>
      <c r="CU236" s="1064"/>
      <c r="CV236" s="1064"/>
      <c r="CW236" s="1064"/>
      <c r="CX236" s="569"/>
      <c r="CY236" s="1064"/>
      <c r="CZ236" s="1064"/>
      <c r="DA236" s="1064"/>
      <c r="DB236" s="569"/>
      <c r="DC236" s="1064"/>
      <c r="DD236" s="1064"/>
      <c r="DE236" s="1064"/>
      <c r="DF236" s="569"/>
      <c r="DG236" s="1064"/>
      <c r="DH236" s="1064"/>
      <c r="DI236" s="568"/>
      <c r="DJ236" s="569"/>
      <c r="DK236" s="1064"/>
      <c r="DL236" s="1064"/>
      <c r="DM236" s="568"/>
      <c r="DN236" s="1064"/>
      <c r="DO236" s="1064"/>
      <c r="DP236" s="1064"/>
      <c r="DQ236" s="568"/>
      <c r="DR236" s="569"/>
      <c r="DS236" s="1064"/>
      <c r="DT236" s="1064"/>
      <c r="DU236" s="568"/>
      <c r="DV236" s="1064"/>
      <c r="DW236" s="1064"/>
      <c r="DX236" s="1064"/>
      <c r="DY236" s="568"/>
    </row>
    <row r="237" spans="1:129" s="1491" customFormat="1" ht="15" hidden="1" customHeight="1" outlineLevel="2">
      <c r="A237" s="1454"/>
      <c r="B237" s="1472"/>
      <c r="C237" s="1472"/>
      <c r="D237" s="1479"/>
      <c r="E237" s="1479"/>
      <c r="F237" s="1479"/>
      <c r="G237" s="1506"/>
      <c r="H237" s="1479"/>
      <c r="I237" s="1479"/>
      <c r="J237" s="1479"/>
      <c r="K237" s="1479"/>
      <c r="L237" s="1479"/>
      <c r="M237" s="1479"/>
      <c r="N237" s="1472"/>
      <c r="O237" s="1472"/>
      <c r="P237" s="1472"/>
      <c r="Q237" s="1064"/>
      <c r="R237" s="1064"/>
      <c r="S237" s="1064"/>
      <c r="T237" s="568"/>
      <c r="U237" s="1064"/>
      <c r="V237" s="1064"/>
      <c r="W237" s="1064"/>
      <c r="X237" s="1064"/>
      <c r="Y237" s="1064"/>
      <c r="Z237" s="1064"/>
      <c r="AA237" s="1064"/>
      <c r="AB237" s="1064"/>
      <c r="AC237" s="1064"/>
      <c r="AD237" s="1064"/>
      <c r="AE237" s="1064"/>
      <c r="AF237" s="1064"/>
      <c r="AG237" s="1064"/>
      <c r="AH237" s="2201"/>
      <c r="AI237" s="1927"/>
      <c r="AJ237" s="1561"/>
      <c r="AK237" s="1070"/>
      <c r="AL237" s="1070"/>
      <c r="AM237" s="1064"/>
      <c r="AN237" s="1479"/>
      <c r="AO237" s="1479"/>
      <c r="AP237" s="1480"/>
      <c r="AQ237" s="1479"/>
      <c r="AR237" s="1479"/>
      <c r="AS237" s="1479"/>
      <c r="AT237" s="1480"/>
      <c r="AU237" s="1479"/>
      <c r="AV237" s="1479"/>
      <c r="AW237" s="1479"/>
      <c r="AX237" s="1480"/>
      <c r="AY237" s="1479"/>
      <c r="AZ237" s="1479"/>
      <c r="BA237" s="1479"/>
      <c r="BB237" s="1480"/>
      <c r="BC237" s="1479"/>
      <c r="BD237" s="1479"/>
      <c r="BE237" s="1479"/>
      <c r="BF237" s="1480"/>
      <c r="BG237" s="1479"/>
      <c r="BH237" s="1479"/>
      <c r="BI237" s="1479"/>
      <c r="BJ237" s="1480"/>
      <c r="BK237" s="1479"/>
      <c r="BL237" s="1479"/>
      <c r="BM237" s="1479"/>
      <c r="BN237" s="512"/>
      <c r="BO237" s="1472"/>
      <c r="BP237" s="1472"/>
      <c r="BQ237" s="1361"/>
      <c r="BR237" s="512"/>
      <c r="BS237" s="1361"/>
      <c r="BT237" s="1472"/>
      <c r="BU237" s="1361"/>
      <c r="BV237" s="512"/>
      <c r="BW237" s="1472"/>
      <c r="BX237" s="1472"/>
      <c r="BY237" s="1472"/>
      <c r="BZ237" s="1454"/>
      <c r="CA237" s="1472"/>
      <c r="CB237" s="1472"/>
      <c r="CC237" s="1472"/>
      <c r="CD237" s="1454"/>
      <c r="CE237" s="1472"/>
      <c r="CF237" s="1472"/>
      <c r="CG237" s="1472"/>
      <c r="CH237" s="1454"/>
      <c r="CI237" s="1472"/>
      <c r="CJ237" s="1472"/>
      <c r="CK237" s="1472"/>
      <c r="CL237" s="569"/>
      <c r="CM237" s="1064"/>
      <c r="CN237" s="1064"/>
      <c r="CO237" s="1064"/>
      <c r="CP237" s="569"/>
      <c r="CQ237" s="1064"/>
      <c r="CR237" s="1064"/>
      <c r="CS237" s="1064"/>
      <c r="CT237" s="569"/>
      <c r="CU237" s="1064"/>
      <c r="CV237" s="1064"/>
      <c r="CW237" s="1064"/>
      <c r="CX237" s="569"/>
      <c r="CY237" s="1064"/>
      <c r="CZ237" s="1064"/>
      <c r="DA237" s="1064"/>
      <c r="DB237" s="569"/>
      <c r="DC237" s="1064"/>
      <c r="DD237" s="1064"/>
      <c r="DE237" s="1064"/>
      <c r="DF237" s="569"/>
      <c r="DG237" s="1064"/>
      <c r="DH237" s="1064"/>
      <c r="DI237" s="568"/>
      <c r="DJ237" s="569"/>
      <c r="DK237" s="1064"/>
      <c r="DL237" s="1064"/>
      <c r="DM237" s="568"/>
      <c r="DN237" s="1064"/>
      <c r="DO237" s="1064"/>
      <c r="DP237" s="1064"/>
      <c r="DQ237" s="568"/>
      <c r="DR237" s="569"/>
      <c r="DS237" s="1064"/>
      <c r="DT237" s="1064"/>
      <c r="DU237" s="568"/>
      <c r="DV237" s="1064"/>
      <c r="DW237" s="1064"/>
      <c r="DX237" s="1064"/>
      <c r="DY237" s="568"/>
    </row>
    <row r="238" spans="1:129" s="1491" customFormat="1" ht="15" hidden="1" customHeight="1" outlineLevel="2">
      <c r="A238" s="1454" t="s">
        <v>96</v>
      </c>
      <c r="B238" s="1472"/>
      <c r="C238" s="1472"/>
      <c r="D238" s="1479"/>
      <c r="E238" s="1479"/>
      <c r="F238" s="1479"/>
      <c r="G238" s="1506"/>
      <c r="H238" s="1479"/>
      <c r="I238" s="1479"/>
      <c r="J238" s="1479"/>
      <c r="K238" s="1479"/>
      <c r="L238" s="1479"/>
      <c r="M238" s="1479"/>
      <c r="N238" s="1472">
        <f t="shared" ref="N238:P239" si="1017">N232/(N$232+N$233)</f>
        <v>0.85263184424294014</v>
      </c>
      <c r="O238" s="1472">
        <f t="shared" si="1017"/>
        <v>0.84459125300044036</v>
      </c>
      <c r="P238" s="1472">
        <f t="shared" si="1017"/>
        <v>0.83115397753468601</v>
      </c>
      <c r="Q238" s="1064"/>
      <c r="R238" s="1064"/>
      <c r="S238" s="1064"/>
      <c r="T238" s="568"/>
      <c r="U238" s="1064"/>
      <c r="V238" s="1064"/>
      <c r="W238" s="1064"/>
      <c r="X238" s="1064"/>
      <c r="Y238" s="1064"/>
      <c r="Z238" s="1064"/>
      <c r="AA238" s="1064"/>
      <c r="AB238" s="1064"/>
      <c r="AC238" s="1064"/>
      <c r="AD238" s="1064"/>
      <c r="AE238" s="1064"/>
      <c r="AF238" s="1064"/>
      <c r="AG238" s="1064"/>
      <c r="AH238" s="2201"/>
      <c r="AI238" s="1927"/>
      <c r="AJ238" s="1561"/>
      <c r="AK238" s="1070"/>
      <c r="AL238" s="1070"/>
      <c r="AM238" s="1064"/>
      <c r="AN238" s="1479"/>
      <c r="AO238" s="1479"/>
      <c r="AP238" s="1480"/>
      <c r="AQ238" s="1479"/>
      <c r="AR238" s="1479"/>
      <c r="AS238" s="1479"/>
      <c r="AT238" s="1480"/>
      <c r="AU238" s="1479"/>
      <c r="AV238" s="1479"/>
      <c r="AW238" s="1479"/>
      <c r="AX238" s="1480"/>
      <c r="AY238" s="1479"/>
      <c r="AZ238" s="1479"/>
      <c r="BA238" s="1479"/>
      <c r="BB238" s="1480"/>
      <c r="BC238" s="1479"/>
      <c r="BD238" s="1479"/>
      <c r="BE238" s="1479"/>
      <c r="BF238" s="1480"/>
      <c r="BG238" s="1479"/>
      <c r="BH238" s="1479"/>
      <c r="BI238" s="1479"/>
      <c r="BJ238" s="1480"/>
      <c r="BK238" s="1479"/>
      <c r="BL238" s="1479"/>
      <c r="BM238" s="1479"/>
      <c r="BN238" s="512"/>
      <c r="BO238" s="1472"/>
      <c r="BP238" s="1472"/>
      <c r="BQ238" s="1361"/>
      <c r="BR238" s="512"/>
      <c r="BS238" s="1361"/>
      <c r="BT238" s="1472"/>
      <c r="BU238" s="1361"/>
      <c r="BV238" s="512"/>
      <c r="BW238" s="1472"/>
      <c r="BX238" s="1472"/>
      <c r="BY238" s="1472"/>
      <c r="BZ238" s="1454">
        <f t="shared" ref="BZ238:CK238" si="1018">BZ232/(BZ$232+BZ$233)</f>
        <v>0.88723237357000917</v>
      </c>
      <c r="CA238" s="1472">
        <f t="shared" si="1018"/>
        <v>0.87974561303090026</v>
      </c>
      <c r="CB238" s="1472">
        <f t="shared" si="1018"/>
        <v>0.88271831450002214</v>
      </c>
      <c r="CC238" s="1472">
        <f t="shared" si="1018"/>
        <v>0.85263184424294014</v>
      </c>
      <c r="CD238" s="1454">
        <f t="shared" si="1018"/>
        <v>0.84493091795042141</v>
      </c>
      <c r="CE238" s="1472">
        <f t="shared" si="1018"/>
        <v>0.8471821781919413</v>
      </c>
      <c r="CF238" s="1472">
        <f t="shared" si="1018"/>
        <v>0.8503236778304728</v>
      </c>
      <c r="CG238" s="1472">
        <f t="shared" si="1018"/>
        <v>0.84459125300044036</v>
      </c>
      <c r="CH238" s="1454">
        <f t="shared" si="1018"/>
        <v>0.83473837319991173</v>
      </c>
      <c r="CI238" s="1472">
        <f t="shared" si="1018"/>
        <v>0.83125489498518523</v>
      </c>
      <c r="CJ238" s="1472">
        <f t="shared" si="1018"/>
        <v>0.83120330607255155</v>
      </c>
      <c r="CK238" s="1472">
        <f t="shared" si="1018"/>
        <v>0.83115397753468601</v>
      </c>
      <c r="CL238" s="569"/>
      <c r="CM238" s="1064"/>
      <c r="CN238" s="1064"/>
      <c r="CO238" s="1064"/>
      <c r="CP238" s="569"/>
      <c r="CQ238" s="1064"/>
      <c r="CR238" s="1064"/>
      <c r="CS238" s="1064"/>
      <c r="CT238" s="569"/>
      <c r="CU238" s="1064"/>
      <c r="CV238" s="1064"/>
      <c r="CW238" s="1064"/>
      <c r="CX238" s="569"/>
      <c r="CY238" s="1064"/>
      <c r="CZ238" s="1064"/>
      <c r="DA238" s="1064"/>
      <c r="DB238" s="569"/>
      <c r="DC238" s="1064"/>
      <c r="DD238" s="1064"/>
      <c r="DE238" s="1064"/>
      <c r="DF238" s="569"/>
      <c r="DG238" s="1064"/>
      <c r="DH238" s="1064"/>
      <c r="DI238" s="568"/>
      <c r="DJ238" s="569"/>
      <c r="DK238" s="1064"/>
      <c r="DL238" s="1064"/>
      <c r="DM238" s="568"/>
      <c r="DN238" s="1064"/>
      <c r="DO238" s="1064"/>
      <c r="DP238" s="1064"/>
      <c r="DQ238" s="568"/>
      <c r="DR238" s="569"/>
      <c r="DS238" s="1064"/>
      <c r="DT238" s="1064"/>
      <c r="DU238" s="568"/>
      <c r="DV238" s="1064"/>
      <c r="DW238" s="1064"/>
      <c r="DX238" s="1064"/>
      <c r="DY238" s="568"/>
    </row>
    <row r="239" spans="1:129" s="1491" customFormat="1" ht="15" hidden="1" customHeight="1" outlineLevel="2">
      <c r="A239" s="1454" t="s">
        <v>97</v>
      </c>
      <c r="B239" s="1472"/>
      <c r="C239" s="1472"/>
      <c r="D239" s="1479"/>
      <c r="E239" s="1479"/>
      <c r="F239" s="1479"/>
      <c r="G239" s="1506"/>
      <c r="H239" s="1479"/>
      <c r="I239" s="1479"/>
      <c r="J239" s="1479"/>
      <c r="K239" s="1479"/>
      <c r="L239" s="1479"/>
      <c r="M239" s="1479"/>
      <c r="N239" s="1472">
        <f t="shared" si="1017"/>
        <v>0.1473681557570598</v>
      </c>
      <c r="O239" s="1472">
        <f t="shared" si="1017"/>
        <v>0.15540874699955967</v>
      </c>
      <c r="P239" s="1472">
        <f t="shared" si="1017"/>
        <v>0.16884602246531405</v>
      </c>
      <c r="Q239" s="1064"/>
      <c r="R239" s="1064"/>
      <c r="S239" s="1064"/>
      <c r="T239" s="568"/>
      <c r="U239" s="1064"/>
      <c r="V239" s="1064"/>
      <c r="W239" s="1064"/>
      <c r="X239" s="1064"/>
      <c r="Y239" s="1064"/>
      <c r="Z239" s="1064"/>
      <c r="AA239" s="1064"/>
      <c r="AB239" s="1064"/>
      <c r="AC239" s="1064"/>
      <c r="AD239" s="1064"/>
      <c r="AE239" s="1064"/>
      <c r="AF239" s="1064"/>
      <c r="AG239" s="1064"/>
      <c r="AH239" s="2201"/>
      <c r="AI239" s="1927"/>
      <c r="AJ239" s="1561"/>
      <c r="AK239" s="1070"/>
      <c r="AL239" s="1070"/>
      <c r="AM239" s="1064"/>
      <c r="AN239" s="1479"/>
      <c r="AO239" s="1479"/>
      <c r="AP239" s="1480"/>
      <c r="AQ239" s="1479"/>
      <c r="AR239" s="1479"/>
      <c r="AS239" s="1479"/>
      <c r="AT239" s="1480"/>
      <c r="AU239" s="1479"/>
      <c r="AV239" s="1479"/>
      <c r="AW239" s="1479"/>
      <c r="AX239" s="1480"/>
      <c r="AY239" s="1479"/>
      <c r="AZ239" s="1479"/>
      <c r="BA239" s="1479"/>
      <c r="BB239" s="1480"/>
      <c r="BC239" s="1479"/>
      <c r="BD239" s="1479"/>
      <c r="BE239" s="1479"/>
      <c r="BF239" s="1480"/>
      <c r="BG239" s="1479"/>
      <c r="BH239" s="1479"/>
      <c r="BI239" s="1479"/>
      <c r="BJ239" s="1480"/>
      <c r="BK239" s="1479"/>
      <c r="BL239" s="1479"/>
      <c r="BM239" s="1479"/>
      <c r="BN239" s="512"/>
      <c r="BO239" s="1472"/>
      <c r="BP239" s="1472"/>
      <c r="BQ239" s="1361"/>
      <c r="BR239" s="512"/>
      <c r="BS239" s="1361"/>
      <c r="BT239" s="1472"/>
      <c r="BU239" s="1361"/>
      <c r="BV239" s="512"/>
      <c r="BW239" s="1472"/>
      <c r="BX239" s="1472"/>
      <c r="BY239" s="1472"/>
      <c r="BZ239" s="1454">
        <f t="shared" ref="BZ239:CK239" si="1019">BZ233/(BZ$232+BZ$233)</f>
        <v>0.11276762642999087</v>
      </c>
      <c r="CA239" s="1472">
        <f t="shared" si="1019"/>
        <v>0.12025438696909978</v>
      </c>
      <c r="CB239" s="1472">
        <f t="shared" si="1019"/>
        <v>0.11728168549997779</v>
      </c>
      <c r="CC239" s="1472">
        <f t="shared" si="1019"/>
        <v>0.1473681557570598</v>
      </c>
      <c r="CD239" s="1454">
        <f t="shared" si="1019"/>
        <v>0.15506908204957859</v>
      </c>
      <c r="CE239" s="1472">
        <f t="shared" si="1019"/>
        <v>0.15281782180805867</v>
      </c>
      <c r="CF239" s="1472">
        <f t="shared" si="1019"/>
        <v>0.14967632216952714</v>
      </c>
      <c r="CG239" s="1472">
        <f t="shared" si="1019"/>
        <v>0.15540874699955967</v>
      </c>
      <c r="CH239" s="1454">
        <f t="shared" si="1019"/>
        <v>0.1652616268000883</v>
      </c>
      <c r="CI239" s="1472">
        <f t="shared" si="1019"/>
        <v>0.16874510501481466</v>
      </c>
      <c r="CJ239" s="1472">
        <f t="shared" si="1019"/>
        <v>0.1687966939274485</v>
      </c>
      <c r="CK239" s="1472">
        <f t="shared" si="1019"/>
        <v>0.16884602246531405</v>
      </c>
      <c r="CL239" s="569"/>
      <c r="CM239" s="1064"/>
      <c r="CN239" s="1064"/>
      <c r="CO239" s="1064"/>
      <c r="CP239" s="569"/>
      <c r="CQ239" s="1064"/>
      <c r="CR239" s="1064"/>
      <c r="CS239" s="1064"/>
      <c r="CT239" s="569"/>
      <c r="CU239" s="1064"/>
      <c r="CV239" s="1064"/>
      <c r="CW239" s="1064"/>
      <c r="CX239" s="569"/>
      <c r="CY239" s="1064"/>
      <c r="CZ239" s="1064"/>
      <c r="DA239" s="1064"/>
      <c r="DB239" s="569"/>
      <c r="DC239" s="1064"/>
      <c r="DD239" s="1064"/>
      <c r="DE239" s="1064"/>
      <c r="DF239" s="569"/>
      <c r="DG239" s="1064"/>
      <c r="DH239" s="1064"/>
      <c r="DI239" s="568"/>
      <c r="DJ239" s="569"/>
      <c r="DK239" s="1064"/>
      <c r="DL239" s="1064"/>
      <c r="DM239" s="568"/>
      <c r="DN239" s="1064"/>
      <c r="DO239" s="1064"/>
      <c r="DP239" s="1064"/>
      <c r="DQ239" s="568"/>
      <c r="DR239" s="569"/>
      <c r="DS239" s="1064"/>
      <c r="DT239" s="1064"/>
      <c r="DU239" s="568"/>
      <c r="DV239" s="1064"/>
      <c r="DW239" s="1064"/>
      <c r="DX239" s="1064"/>
      <c r="DY239" s="568"/>
    </row>
    <row r="240" spans="1:129" s="1491" customFormat="1" ht="15" hidden="1" customHeight="1" outlineLevel="2">
      <c r="A240" s="1454" t="s">
        <v>98</v>
      </c>
      <c r="B240" s="1472"/>
      <c r="C240" s="1472"/>
      <c r="D240" s="1479"/>
      <c r="E240" s="1479"/>
      <c r="F240" s="1479"/>
      <c r="G240" s="1506"/>
      <c r="H240" s="1479"/>
      <c r="I240" s="1479"/>
      <c r="J240" s="1479"/>
      <c r="K240" s="1479"/>
      <c r="L240" s="1479"/>
      <c r="M240" s="1479"/>
      <c r="N240" s="1472">
        <f>N234/(N$234+N$235)</f>
        <v>0.55102986017730493</v>
      </c>
      <c r="O240" s="1472">
        <f>O234/(O$234+O$235)</f>
        <v>0.74689257230302197</v>
      </c>
      <c r="P240" s="1472">
        <f>P234/(P$234+P$235)</f>
        <v>0.69677158449941301</v>
      </c>
      <c r="Q240" s="1064"/>
      <c r="R240" s="1064"/>
      <c r="S240" s="1064"/>
      <c r="T240" s="568"/>
      <c r="U240" s="1064"/>
      <c r="V240" s="1064"/>
      <c r="W240" s="1064"/>
      <c r="X240" s="1064"/>
      <c r="Y240" s="1064"/>
      <c r="Z240" s="1064"/>
      <c r="AA240" s="1064"/>
      <c r="AB240" s="1064"/>
      <c r="AC240" s="1064"/>
      <c r="AD240" s="1064"/>
      <c r="AE240" s="1064"/>
      <c r="AF240" s="1064"/>
      <c r="AG240" s="1064"/>
      <c r="AH240" s="2201"/>
      <c r="AI240" s="1927"/>
      <c r="AJ240" s="1561"/>
      <c r="AK240" s="1070"/>
      <c r="AL240" s="1070"/>
      <c r="AM240" s="1064"/>
      <c r="AN240" s="1479"/>
      <c r="AO240" s="1479"/>
      <c r="AP240" s="1480"/>
      <c r="AQ240" s="1479"/>
      <c r="AR240" s="1479"/>
      <c r="AS240" s="1479"/>
      <c r="AT240" s="1480"/>
      <c r="AU240" s="1479"/>
      <c r="AV240" s="1479"/>
      <c r="AW240" s="1479"/>
      <c r="AX240" s="1480"/>
      <c r="AY240" s="1479"/>
      <c r="AZ240" s="1479"/>
      <c r="BA240" s="1479"/>
      <c r="BB240" s="1480"/>
      <c r="BC240" s="1479"/>
      <c r="BD240" s="1479"/>
      <c r="BE240" s="1479"/>
      <c r="BF240" s="1480"/>
      <c r="BG240" s="1479"/>
      <c r="BH240" s="1479"/>
      <c r="BI240" s="1479"/>
      <c r="BJ240" s="1480"/>
      <c r="BK240" s="1479"/>
      <c r="BL240" s="1479"/>
      <c r="BM240" s="1479"/>
      <c r="BN240" s="512"/>
      <c r="BO240" s="1472"/>
      <c r="BP240" s="1472"/>
      <c r="BQ240" s="1361"/>
      <c r="BR240" s="512"/>
      <c r="BS240" s="1361"/>
      <c r="BT240" s="1472"/>
      <c r="BU240" s="1361"/>
      <c r="BV240" s="512"/>
      <c r="BW240" s="1472"/>
      <c r="BX240" s="1472"/>
      <c r="BY240" s="1472"/>
      <c r="BZ240" s="1454">
        <f t="shared" ref="BZ240:CK240" si="1020">BZ234/(BZ$234+BZ$235)</f>
        <v>1</v>
      </c>
      <c r="CA240" s="1472">
        <f t="shared" si="1020"/>
        <v>0.56565793552386856</v>
      </c>
      <c r="CB240" s="1472">
        <f t="shared" si="1020"/>
        <v>1.3098178990344111</v>
      </c>
      <c r="CC240" s="1472">
        <f t="shared" si="1020"/>
        <v>0.34505122136273914</v>
      </c>
      <c r="CD240" s="1454">
        <f t="shared" si="1020"/>
        <v>0.46013675126989356</v>
      </c>
      <c r="CE240" s="1472">
        <f t="shared" si="1020"/>
        <v>0.99678226277452697</v>
      </c>
      <c r="CF240" s="1472">
        <f t="shared" si="1020"/>
        <v>1.037908681634385</v>
      </c>
      <c r="CG240" s="1472">
        <f t="shared" si="1020"/>
        <v>0.63845116783975908</v>
      </c>
      <c r="CH240" s="1454">
        <f t="shared" si="1020"/>
        <v>0.47075785988159252</v>
      </c>
      <c r="CI240" s="1472">
        <f t="shared" si="1020"/>
        <v>0.68656211250854071</v>
      </c>
      <c r="CJ240" s="1472">
        <f t="shared" si="1020"/>
        <v>0.82895163907822134</v>
      </c>
      <c r="CK240" s="1472">
        <f t="shared" si="1020"/>
        <v>0.82895163907822134</v>
      </c>
      <c r="CL240" s="569"/>
      <c r="CM240" s="1064"/>
      <c r="CN240" s="1064"/>
      <c r="CO240" s="1064"/>
      <c r="CP240" s="569"/>
      <c r="CQ240" s="1064"/>
      <c r="CR240" s="1064"/>
      <c r="CS240" s="1064"/>
      <c r="CT240" s="569"/>
      <c r="CU240" s="1064"/>
      <c r="CV240" s="1064"/>
      <c r="CW240" s="1064"/>
      <c r="CX240" s="569"/>
      <c r="CY240" s="1064"/>
      <c r="CZ240" s="1064"/>
      <c r="DA240" s="1064"/>
      <c r="DB240" s="569"/>
      <c r="DC240" s="1064"/>
      <c r="DD240" s="1064"/>
      <c r="DE240" s="1064"/>
      <c r="DF240" s="569"/>
      <c r="DG240" s="1064"/>
      <c r="DH240" s="1064"/>
      <c r="DI240" s="568"/>
      <c r="DJ240" s="569"/>
      <c r="DK240" s="1064"/>
      <c r="DL240" s="1064"/>
      <c r="DM240" s="568"/>
      <c r="DN240" s="1064"/>
      <c r="DO240" s="1064"/>
      <c r="DP240" s="1064"/>
      <c r="DQ240" s="568"/>
      <c r="DR240" s="569"/>
      <c r="DS240" s="1064"/>
      <c r="DT240" s="1064"/>
      <c r="DU240" s="568"/>
      <c r="DV240" s="1064"/>
      <c r="DW240" s="1064"/>
      <c r="DX240" s="1064"/>
      <c r="DY240" s="568"/>
    </row>
    <row r="241" spans="1:133" s="1491" customFormat="1" ht="15" hidden="1" customHeight="1" outlineLevel="2">
      <c r="A241" s="1454" t="s">
        <v>99</v>
      </c>
      <c r="B241" s="1472"/>
      <c r="C241" s="1472"/>
      <c r="D241" s="1479"/>
      <c r="E241" s="1479"/>
      <c r="F241" s="1479"/>
      <c r="G241" s="1506"/>
      <c r="H241" s="1479"/>
      <c r="I241" s="1479"/>
      <c r="J241" s="1479"/>
      <c r="K241" s="1479"/>
      <c r="L241" s="1479"/>
      <c r="M241" s="1479"/>
      <c r="N241" s="1472">
        <f>N235/(N$235+N$234)</f>
        <v>0.44897013982269496</v>
      </c>
      <c r="O241" s="1472">
        <f>O235/(O$235+O$234)</f>
        <v>0.25310742769697808</v>
      </c>
      <c r="P241" s="1472">
        <f>P235/(P$235+P$234)</f>
        <v>0.30322841550058705</v>
      </c>
      <c r="Q241" s="1064"/>
      <c r="R241" s="1064"/>
      <c r="S241" s="1064"/>
      <c r="T241" s="568"/>
      <c r="U241" s="1064"/>
      <c r="V241" s="1064"/>
      <c r="W241" s="1064"/>
      <c r="X241" s="1064"/>
      <c r="Y241" s="1064"/>
      <c r="Z241" s="1064"/>
      <c r="AA241" s="1064"/>
      <c r="AB241" s="1064"/>
      <c r="AC241" s="1064"/>
      <c r="AD241" s="1064"/>
      <c r="AE241" s="1064"/>
      <c r="AF241" s="1064"/>
      <c r="AG241" s="1064"/>
      <c r="AH241" s="2201"/>
      <c r="AI241" s="1927"/>
      <c r="AJ241" s="1561"/>
      <c r="AK241" s="1070"/>
      <c r="AL241" s="1070"/>
      <c r="AM241" s="1064"/>
      <c r="AN241" s="1479"/>
      <c r="AO241" s="1479"/>
      <c r="AP241" s="1480"/>
      <c r="AQ241" s="1479"/>
      <c r="AR241" s="1479"/>
      <c r="AS241" s="1479"/>
      <c r="AT241" s="1480"/>
      <c r="AU241" s="1479"/>
      <c r="AV241" s="1479"/>
      <c r="AW241" s="1479"/>
      <c r="AX241" s="1480"/>
      <c r="AY241" s="1479"/>
      <c r="AZ241" s="1479"/>
      <c r="BA241" s="1479"/>
      <c r="BB241" s="1480"/>
      <c r="BC241" s="1479"/>
      <c r="BD241" s="1479"/>
      <c r="BE241" s="1479"/>
      <c r="BF241" s="1480"/>
      <c r="BG241" s="1479"/>
      <c r="BH241" s="1479"/>
      <c r="BI241" s="1479"/>
      <c r="BJ241" s="1480"/>
      <c r="BK241" s="1479"/>
      <c r="BL241" s="1479"/>
      <c r="BM241" s="1479"/>
      <c r="BN241" s="512"/>
      <c r="BO241" s="1472"/>
      <c r="BP241" s="1472"/>
      <c r="BQ241" s="1361"/>
      <c r="BR241" s="512"/>
      <c r="BS241" s="1361"/>
      <c r="BT241" s="1472"/>
      <c r="BU241" s="1361"/>
      <c r="BV241" s="512"/>
      <c r="BW241" s="1472"/>
      <c r="BX241" s="1472"/>
      <c r="BY241" s="1472"/>
      <c r="BZ241" s="1454">
        <f t="shared" ref="BZ241:CK241" si="1021">BZ235/(BZ$235+BZ$234)</f>
        <v>0</v>
      </c>
      <c r="CA241" s="1472">
        <f t="shared" si="1021"/>
        <v>0.43434206447613138</v>
      </c>
      <c r="CB241" s="1472">
        <f t="shared" si="1021"/>
        <v>-0.30981789903441126</v>
      </c>
      <c r="CC241" s="1472">
        <f t="shared" si="1021"/>
        <v>0.65494877863726086</v>
      </c>
      <c r="CD241" s="1454">
        <f t="shared" si="1021"/>
        <v>0.53986324873010638</v>
      </c>
      <c r="CE241" s="1472">
        <f t="shared" si="1021"/>
        <v>3.2177372254730183E-3</v>
      </c>
      <c r="CF241" s="1472">
        <f t="shared" si="1021"/>
        <v>-3.7908681634385107E-2</v>
      </c>
      <c r="CG241" s="1472">
        <f t="shared" si="1021"/>
        <v>0.36154883216024092</v>
      </c>
      <c r="CH241" s="1454">
        <f t="shared" si="1021"/>
        <v>0.52924214011840753</v>
      </c>
      <c r="CI241" s="1472">
        <f t="shared" si="1021"/>
        <v>0.3134378874914594</v>
      </c>
      <c r="CJ241" s="1472">
        <f t="shared" si="1021"/>
        <v>0.17104836092177864</v>
      </c>
      <c r="CK241" s="1472">
        <f t="shared" si="1021"/>
        <v>0.17104836092177864</v>
      </c>
      <c r="CL241" s="569"/>
      <c r="CM241" s="1064"/>
      <c r="CN241" s="1064"/>
      <c r="CO241" s="1064"/>
      <c r="CP241" s="569"/>
      <c r="CQ241" s="1064"/>
      <c r="CR241" s="1064"/>
      <c r="CS241" s="1064"/>
      <c r="CT241" s="569"/>
      <c r="CU241" s="1064"/>
      <c r="CV241" s="1064"/>
      <c r="CW241" s="1064"/>
      <c r="CX241" s="569"/>
      <c r="CY241" s="1064"/>
      <c r="CZ241" s="1064"/>
      <c r="DA241" s="1064"/>
      <c r="DB241" s="569"/>
      <c r="DC241" s="1064"/>
      <c r="DD241" s="1064"/>
      <c r="DE241" s="1064"/>
      <c r="DF241" s="569"/>
      <c r="DG241" s="1064"/>
      <c r="DH241" s="1064"/>
      <c r="DI241" s="568"/>
      <c r="DJ241" s="569"/>
      <c r="DK241" s="1064"/>
      <c r="DL241" s="1064"/>
      <c r="DM241" s="568"/>
      <c r="DN241" s="1064"/>
      <c r="DO241" s="1064"/>
      <c r="DP241" s="1064"/>
      <c r="DQ241" s="568"/>
      <c r="DR241" s="569"/>
      <c r="DS241" s="1064"/>
      <c r="DT241" s="1064"/>
      <c r="DU241" s="568"/>
      <c r="DV241" s="1064"/>
      <c r="DW241" s="1064"/>
      <c r="DX241" s="1064"/>
      <c r="DY241" s="568"/>
    </row>
    <row r="242" spans="1:133" s="1491" customFormat="1" ht="15" hidden="1" customHeight="1" outlineLevel="1" collapsed="1">
      <c r="A242" s="569"/>
      <c r="B242" s="1064"/>
      <c r="C242" s="1064"/>
      <c r="D242" s="1070"/>
      <c r="E242" s="1070"/>
      <c r="F242" s="1070"/>
      <c r="G242" s="1229"/>
      <c r="H242" s="1070"/>
      <c r="I242" s="1070"/>
      <c r="J242" s="1070"/>
      <c r="K242" s="1070"/>
      <c r="L242" s="1070"/>
      <c r="M242" s="1070"/>
      <c r="N242" s="1064"/>
      <c r="O242" s="1064"/>
      <c r="P242" s="1064"/>
      <c r="Q242" s="1064"/>
      <c r="R242" s="1064"/>
      <c r="S242" s="1064"/>
      <c r="T242" s="1064"/>
      <c r="U242" s="1064"/>
      <c r="V242" s="1064"/>
      <c r="W242" s="1064"/>
      <c r="X242" s="1064"/>
      <c r="Y242" s="1064"/>
      <c r="Z242" s="1064"/>
      <c r="AA242" s="1064"/>
      <c r="AB242" s="1064"/>
      <c r="AC242" s="1064"/>
      <c r="AD242" s="1064"/>
      <c r="AE242" s="1064"/>
      <c r="AF242" s="1064"/>
      <c r="AG242" s="1064"/>
      <c r="AH242" s="2201"/>
      <c r="AI242" s="1927"/>
      <c r="AJ242" s="1561"/>
      <c r="AK242" s="1070"/>
      <c r="AL242" s="1070"/>
      <c r="AM242" s="1064"/>
      <c r="AN242" s="1070"/>
      <c r="AO242" s="1070"/>
      <c r="AP242" s="607"/>
      <c r="AQ242" s="1070"/>
      <c r="AR242" s="1070"/>
      <c r="AS242" s="1070"/>
      <c r="AT242" s="607"/>
      <c r="AU242" s="1070"/>
      <c r="AV242" s="1070"/>
      <c r="AW242" s="1070"/>
      <c r="AX242" s="607"/>
      <c r="AY242" s="1070"/>
      <c r="AZ242" s="1070"/>
      <c r="BA242" s="1070"/>
      <c r="BB242" s="607"/>
      <c r="BC242" s="1070"/>
      <c r="BD242" s="1070"/>
      <c r="BE242" s="1070"/>
      <c r="BF242" s="607"/>
      <c r="BG242" s="1070"/>
      <c r="BH242" s="1070"/>
      <c r="BI242" s="1070"/>
      <c r="BJ242" s="607"/>
      <c r="BK242" s="1070"/>
      <c r="BL242" s="1070"/>
      <c r="BM242" s="1070"/>
      <c r="BN242" s="496"/>
      <c r="BO242" s="1064"/>
      <c r="BP242" s="1064"/>
      <c r="BQ242" s="1043"/>
      <c r="BR242" s="496"/>
      <c r="BS242" s="1043"/>
      <c r="BT242" s="1064"/>
      <c r="BU242" s="1043"/>
      <c r="BV242" s="496"/>
      <c r="BW242" s="1064"/>
      <c r="BX242" s="1064"/>
      <c r="BY242" s="1064"/>
      <c r="BZ242" s="499"/>
      <c r="CA242" s="1357"/>
      <c r="CB242" s="1357"/>
      <c r="CC242" s="1357"/>
      <c r="CD242" s="499"/>
      <c r="CE242" s="1357"/>
      <c r="CF242" s="1357"/>
      <c r="CG242" s="1357"/>
      <c r="CH242" s="251"/>
      <c r="CI242" s="1131"/>
      <c r="CJ242" s="1131"/>
      <c r="CK242" s="1131"/>
      <c r="CL242" s="569"/>
      <c r="CM242" s="1064"/>
      <c r="CN242" s="1064"/>
      <c r="CO242" s="1064"/>
      <c r="CP242" s="569"/>
      <c r="CQ242" s="1064"/>
      <c r="CR242" s="1064"/>
      <c r="CS242" s="1064"/>
      <c r="CT242" s="569"/>
      <c r="CU242" s="1064"/>
      <c r="CV242" s="1064"/>
      <c r="CW242" s="1064"/>
      <c r="CX242" s="569"/>
      <c r="CY242" s="1064"/>
      <c r="CZ242" s="1064"/>
      <c r="DA242" s="1064"/>
      <c r="DB242" s="569"/>
      <c r="DC242" s="1064"/>
      <c r="DD242" s="1064"/>
      <c r="DE242" s="1064"/>
      <c r="DF242" s="569"/>
      <c r="DG242" s="1064"/>
      <c r="DH242" s="1064"/>
      <c r="DI242" s="568"/>
      <c r="DJ242" s="569"/>
      <c r="DK242" s="1064"/>
      <c r="DL242" s="1064"/>
      <c r="DM242" s="568"/>
      <c r="DN242" s="1064"/>
      <c r="DO242" s="1064"/>
      <c r="DP242" s="1064"/>
      <c r="DQ242" s="568"/>
      <c r="DR242" s="569"/>
      <c r="DS242" s="1064"/>
      <c r="DT242" s="1064"/>
      <c r="DU242" s="568"/>
      <c r="DV242" s="1064"/>
      <c r="DW242" s="1064"/>
      <c r="DX242" s="1064"/>
      <c r="DY242" s="568"/>
    </row>
    <row r="243" spans="1:133" ht="15" customHeight="1" collapsed="1">
      <c r="A243" s="1942"/>
      <c r="D243" s="2200"/>
      <c r="E243" s="2200"/>
      <c r="F243" s="2200"/>
      <c r="G243" s="2277"/>
      <c r="H243" s="2200"/>
      <c r="I243" s="2200"/>
      <c r="J243" s="2200"/>
      <c r="K243" s="2200"/>
      <c r="L243" s="2200"/>
      <c r="M243" s="2200"/>
      <c r="AH243" s="2201"/>
      <c r="AI243" s="1927"/>
      <c r="AK243" s="2200"/>
      <c r="AL243" s="2200"/>
      <c r="AN243" s="2200"/>
      <c r="AO243" s="2200"/>
      <c r="AP243" s="2202"/>
      <c r="AQ243" s="2200"/>
      <c r="AR243" s="2200"/>
      <c r="AS243" s="2200"/>
      <c r="AT243" s="2202"/>
      <c r="AU243" s="2200"/>
      <c r="AV243" s="2200"/>
      <c r="AW243" s="2200"/>
      <c r="AX243" s="2202"/>
      <c r="AY243" s="2200"/>
      <c r="AZ243" s="2200"/>
      <c r="BA243" s="2200"/>
      <c r="BB243" s="2202"/>
      <c r="BC243" s="2200"/>
      <c r="BD243" s="2200"/>
      <c r="BE243" s="2200"/>
      <c r="BF243" s="2202"/>
      <c r="BG243" s="2200"/>
      <c r="BH243" s="2200"/>
      <c r="BI243" s="2200"/>
      <c r="BJ243" s="2202"/>
      <c r="BK243" s="2200"/>
      <c r="BL243" s="2200"/>
      <c r="BM243" s="2200"/>
      <c r="BN243" s="2279"/>
      <c r="BQ243" s="2280"/>
      <c r="BR243" s="2279"/>
      <c r="BS243" s="2280"/>
      <c r="BU243" s="2280"/>
      <c r="BV243" s="2279"/>
      <c r="BZ243" s="2801"/>
      <c r="CA243" s="2802"/>
      <c r="CB243" s="2802"/>
      <c r="CC243" s="2802"/>
      <c r="CD243" s="2801"/>
      <c r="CE243" s="2802"/>
      <c r="CF243" s="2802"/>
      <c r="CG243" s="2802"/>
      <c r="CH243" s="2214"/>
      <c r="CI243" s="2215"/>
      <c r="CJ243" s="2215"/>
      <c r="CK243" s="2215"/>
      <c r="CL243" s="1942"/>
      <c r="CP243" s="1942"/>
      <c r="CT243" s="1942"/>
      <c r="CX243" s="1942"/>
      <c r="DB243" s="1942"/>
      <c r="DF243" s="1942"/>
      <c r="DI243" s="2236"/>
      <c r="DJ243" s="1942"/>
      <c r="DM243" s="2236"/>
      <c r="DQ243" s="2236"/>
      <c r="DR243" s="1942"/>
      <c r="DU243" s="2236"/>
      <c r="DY243" s="2236"/>
    </row>
    <row r="244" spans="1:133" s="1491" customFormat="1" ht="15" customHeight="1">
      <c r="A244" s="198" t="s">
        <v>1620</v>
      </c>
      <c r="B244" s="1476"/>
      <c r="C244" s="1476"/>
      <c r="D244" s="1476"/>
      <c r="E244" s="1476"/>
      <c r="F244" s="1476"/>
      <c r="G244" s="1476"/>
      <c r="H244" s="1476"/>
      <c r="I244" s="1476"/>
      <c r="J244" s="1476"/>
      <c r="K244" s="1476"/>
      <c r="L244" s="1476"/>
      <c r="M244" s="1476"/>
      <c r="N244" s="1476"/>
      <c r="O244" s="1476"/>
      <c r="P244" s="1476"/>
      <c r="Q244" s="1476"/>
      <c r="R244" s="1476"/>
      <c r="S244" s="1476"/>
      <c r="T244" s="1476"/>
      <c r="U244" s="1476"/>
      <c r="V244" s="1476"/>
      <c r="W244" s="1476"/>
      <c r="X244" s="1476"/>
      <c r="Y244" s="1476"/>
      <c r="Z244" s="1476"/>
      <c r="AA244" s="1476"/>
      <c r="AB244" s="1476"/>
      <c r="AC244" s="1476"/>
      <c r="AD244" s="1476"/>
      <c r="AE244" s="1476"/>
      <c r="AF244" s="1476"/>
      <c r="AG244" s="1476"/>
      <c r="AH244" s="2201"/>
      <c r="AI244" s="1927"/>
      <c r="AJ244" s="1561"/>
      <c r="AK244" s="1476"/>
      <c r="AL244" s="1476"/>
      <c r="AM244" s="1476"/>
      <c r="AN244" s="1476"/>
      <c r="AO244" s="1476"/>
      <c r="AP244" s="798"/>
      <c r="AQ244" s="1476"/>
      <c r="AR244" s="1476"/>
      <c r="AS244" s="1476"/>
      <c r="AT244" s="798"/>
      <c r="AU244" s="1476"/>
      <c r="AV244" s="1476"/>
      <c r="AW244" s="1476"/>
      <c r="AX244" s="798"/>
      <c r="AY244" s="1476"/>
      <c r="AZ244" s="1476"/>
      <c r="BA244" s="1476"/>
      <c r="BB244" s="798"/>
      <c r="BC244" s="1476"/>
      <c r="BD244" s="1476"/>
      <c r="BE244" s="1476"/>
      <c r="BF244" s="798"/>
      <c r="BG244" s="1476"/>
      <c r="BH244" s="1476"/>
      <c r="BI244" s="1476"/>
      <c r="BJ244" s="798"/>
      <c r="BK244" s="1476"/>
      <c r="BL244" s="1476"/>
      <c r="BM244" s="1476"/>
      <c r="BN244" s="798"/>
      <c r="BO244" s="1476"/>
      <c r="BP244" s="1476"/>
      <c r="BQ244" s="1476"/>
      <c r="BR244" s="798"/>
      <c r="BS244" s="1476"/>
      <c r="BT244" s="1476"/>
      <c r="BU244" s="1476"/>
      <c r="BV244" s="798"/>
      <c r="BW244" s="1476"/>
      <c r="BX244" s="1476"/>
      <c r="BY244" s="1476"/>
      <c r="BZ244" s="798"/>
      <c r="CA244" s="1476"/>
      <c r="CB244" s="1476"/>
      <c r="CC244" s="1476"/>
      <c r="CD244" s="798"/>
      <c r="CE244" s="1476"/>
      <c r="CF244" s="1476"/>
      <c r="CG244" s="1476"/>
      <c r="CH244" s="798"/>
      <c r="CI244" s="1476"/>
      <c r="CJ244" s="1476"/>
      <c r="CK244" s="1476"/>
      <c r="CL244" s="798"/>
      <c r="CM244" s="1476"/>
      <c r="CN244" s="1476"/>
      <c r="CO244" s="1476"/>
      <c r="CP244" s="798"/>
      <c r="CQ244" s="1476"/>
      <c r="CR244" s="1476"/>
      <c r="CS244" s="1476"/>
      <c r="CT244" s="798"/>
      <c r="CU244" s="1476"/>
      <c r="CV244" s="1476"/>
      <c r="CW244" s="1476"/>
      <c r="CX244" s="798"/>
      <c r="CY244" s="1476"/>
      <c r="CZ244" s="1476"/>
      <c r="DA244" s="1476"/>
      <c r="DB244" s="798"/>
      <c r="DC244" s="1476"/>
      <c r="DD244" s="1476"/>
      <c r="DE244" s="1476"/>
      <c r="DF244" s="798"/>
      <c r="DG244" s="1476"/>
      <c r="DH244" s="1476"/>
      <c r="DI244" s="1477"/>
      <c r="DJ244" s="798"/>
      <c r="DK244" s="1476"/>
      <c r="DL244" s="1476"/>
      <c r="DM244" s="1477"/>
      <c r="DN244" s="1476"/>
      <c r="DO244" s="1476"/>
      <c r="DP244" s="1476"/>
      <c r="DQ244" s="1477"/>
      <c r="DR244" s="798"/>
      <c r="DS244" s="1476"/>
      <c r="DT244" s="1476"/>
      <c r="DU244" s="1477"/>
      <c r="DV244" s="1476"/>
      <c r="DW244" s="1476"/>
      <c r="DX244" s="1476"/>
      <c r="DY244" s="1477"/>
    </row>
    <row r="245" spans="1:133" ht="15" customHeight="1">
      <c r="A245" s="2366"/>
      <c r="B245" s="2627"/>
      <c r="C245" s="2627"/>
      <c r="D245" s="2627"/>
      <c r="E245" s="2627"/>
      <c r="F245" s="2627"/>
      <c r="G245" s="2627"/>
      <c r="H245" s="2627"/>
      <c r="I245" s="2627"/>
      <c r="J245" s="2627"/>
      <c r="K245" s="2627"/>
      <c r="L245" s="2627"/>
      <c r="M245" s="2627"/>
      <c r="N245" s="2627"/>
      <c r="O245" s="2627"/>
      <c r="P245" s="2627"/>
      <c r="Q245" s="2627"/>
      <c r="R245" s="2627"/>
      <c r="S245" s="2627"/>
      <c r="T245" s="2627"/>
      <c r="U245" s="2627"/>
      <c r="V245" s="2627"/>
      <c r="W245" s="2627"/>
      <c r="X245" s="2627"/>
      <c r="Y245" s="2627"/>
      <c r="Z245" s="2627"/>
      <c r="AA245" s="2627"/>
      <c r="AB245" s="2627"/>
      <c r="AC245" s="2627"/>
      <c r="AD245" s="2627"/>
      <c r="AE245" s="2627"/>
      <c r="AF245" s="2627"/>
      <c r="AG245" s="2627"/>
      <c r="AH245" s="2201"/>
      <c r="AI245" s="1927"/>
      <c r="AK245" s="2627"/>
      <c r="AL245" s="2627"/>
      <c r="AM245" s="2627"/>
      <c r="AN245" s="2627"/>
      <c r="AO245" s="2627"/>
      <c r="AP245" s="2629"/>
      <c r="AQ245" s="2627"/>
      <c r="AR245" s="2627"/>
      <c r="AS245" s="2627"/>
      <c r="AT245" s="2629"/>
      <c r="AU245" s="2627"/>
      <c r="AV245" s="2627"/>
      <c r="AW245" s="2627"/>
      <c r="AX245" s="2629"/>
      <c r="AY245" s="2627"/>
      <c r="AZ245" s="2627"/>
      <c r="BA245" s="2627"/>
      <c r="BB245" s="2629"/>
      <c r="BC245" s="2627"/>
      <c r="BD245" s="2627"/>
      <c r="BE245" s="2627"/>
      <c r="BF245" s="2629"/>
      <c r="BG245" s="2627"/>
      <c r="BH245" s="2627"/>
      <c r="BI245" s="2627"/>
      <c r="BJ245" s="2629"/>
      <c r="BK245" s="2627"/>
      <c r="BL245" s="2627"/>
      <c r="BM245" s="2627"/>
      <c r="BN245" s="2629"/>
      <c r="BO245" s="2627"/>
      <c r="BP245" s="2627"/>
      <c r="BQ245" s="2627"/>
      <c r="BR245" s="2629"/>
      <c r="BS245" s="2627"/>
      <c r="BT245" s="2627"/>
      <c r="BU245" s="2627"/>
      <c r="BV245" s="2629"/>
      <c r="BW245" s="2627"/>
      <c r="BX245" s="2627"/>
      <c r="BY245" s="2627"/>
      <c r="BZ245" s="2629"/>
      <c r="CA245" s="2627"/>
      <c r="CB245" s="2627"/>
      <c r="CC245" s="2627"/>
      <c r="CD245" s="2629"/>
      <c r="CE245" s="2627"/>
      <c r="CF245" s="2627"/>
      <c r="CG245" s="2627"/>
      <c r="CH245" s="2629"/>
      <c r="CI245" s="2627"/>
      <c r="CJ245" s="2627"/>
      <c r="CK245" s="2627"/>
      <c r="CL245" s="2629"/>
      <c r="CM245" s="2627"/>
      <c r="CN245" s="2627"/>
      <c r="CO245" s="2627"/>
      <c r="CP245" s="2629"/>
      <c r="CQ245" s="2627"/>
      <c r="CR245" s="2627"/>
      <c r="CS245" s="2627"/>
      <c r="CT245" s="2629"/>
      <c r="CU245" s="2627"/>
      <c r="CV245" s="2627"/>
      <c r="CW245" s="2627"/>
      <c r="CX245" s="2629"/>
      <c r="CY245" s="2627"/>
      <c r="CZ245" s="2627"/>
      <c r="DA245" s="2627"/>
      <c r="DB245" s="2629"/>
      <c r="DC245" s="2627"/>
      <c r="DD245" s="2627"/>
      <c r="DE245" s="2627"/>
      <c r="DF245" s="2803">
        <f t="shared" ref="DF245:DI245" si="1022">+DF249-DE249</f>
        <v>0.34395811772157714</v>
      </c>
      <c r="DG245" s="2804">
        <f t="shared" si="1022"/>
        <v>-0.43707938685806624</v>
      </c>
      <c r="DH245" s="2804">
        <f t="shared" si="1022"/>
        <v>2.1413824246444335E-2</v>
      </c>
      <c r="DI245" s="2805">
        <f t="shared" si="1022"/>
        <v>-1.4956175866734256</v>
      </c>
      <c r="DJ245" s="2803"/>
      <c r="DK245" s="2804"/>
      <c r="DL245" s="2804"/>
      <c r="DM245" s="2805"/>
      <c r="DN245" s="2804"/>
      <c r="DO245" s="2804"/>
      <c r="DP245" s="2804"/>
      <c r="DQ245" s="2805"/>
      <c r="DR245" s="2803"/>
      <c r="DS245" s="2804"/>
      <c r="DT245" s="2804"/>
      <c r="DU245" s="2805"/>
      <c r="DV245" s="2804"/>
      <c r="DW245" s="2804"/>
      <c r="DX245" s="2804"/>
      <c r="DY245" s="2805"/>
    </row>
    <row r="246" spans="1:133" s="2216" customFormat="1" ht="15" customHeight="1">
      <c r="A246" s="2806" t="s">
        <v>1609</v>
      </c>
      <c r="P246" s="2216">
        <f>SUM(CH246:CK246)</f>
        <v>45611.757337125629</v>
      </c>
      <c r="Q246" s="2216">
        <f>SUM(CL246:CO246)</f>
        <v>49188.896324999994</v>
      </c>
      <c r="R246" s="2216">
        <f>SUM(CP246:CS246)</f>
        <v>52057.601880000002</v>
      </c>
      <c r="S246" s="2216">
        <f>SUM(CT246:CW246)</f>
        <v>55548.718634999997</v>
      </c>
      <c r="T246" s="2216">
        <f>SUM(CX246:DA246)</f>
        <v>59992.654620000001</v>
      </c>
      <c r="U246" s="2216">
        <f>SUM(DB246:DE246)</f>
        <v>64624.570875000005</v>
      </c>
      <c r="V246" s="2216">
        <f>SUM(DF246:DI246)</f>
        <v>67637.543474999999</v>
      </c>
      <c r="W246" s="2216">
        <f>SUM(DJ246:DM246)</f>
        <v>65218.058880000004</v>
      </c>
      <c r="X246" s="2216">
        <f>+SUM(DN246:DQ246)</f>
        <v>61678.835624999992</v>
      </c>
      <c r="Y246" s="2216">
        <f>+SUM(DR246:DU246)</f>
        <v>57676.86507</v>
      </c>
      <c r="Z246" s="2216">
        <f ca="1">+SUM(DV246:DY246)</f>
        <v>56548.503038180264</v>
      </c>
      <c r="AA246" s="2216">
        <f ca="1">+AA249*(AVERAGE(Z254:AA254)*12)/1000</f>
        <v>57738.436791311069</v>
      </c>
      <c r="AB246" s="2216">
        <f ca="1">+AB249*(AVERAGE(AA254:AB254)*12)/1000</f>
        <v>58916.140302157779</v>
      </c>
      <c r="AC246" s="2216">
        <f t="shared" ref="AC246:AG246" ca="1" si="1023">+AC249*(AVERAGE(AB254:AC254)*12)/1000</f>
        <v>60108.847691847892</v>
      </c>
      <c r="AD246" s="2216">
        <f t="shared" ca="1" si="1023"/>
        <v>61340.451937195467</v>
      </c>
      <c r="AE246" s="2216">
        <f t="shared" ca="1" si="1023"/>
        <v>62632.346491858458</v>
      </c>
      <c r="AF246" s="2216">
        <f t="shared" ca="1" si="1023"/>
        <v>64004.123639121201</v>
      </c>
      <c r="AG246" s="2216">
        <f t="shared" ca="1" si="1023"/>
        <v>65474.162295869552</v>
      </c>
      <c r="AH246" s="2217"/>
      <c r="AI246" s="1928">
        <f ca="1">(AA246/V246)^(1/5)-1</f>
        <v>-3.1152463961477306E-2</v>
      </c>
      <c r="AJ246" s="2218"/>
      <c r="AP246" s="1937"/>
      <c r="AT246" s="1937"/>
      <c r="AX246" s="1937"/>
      <c r="BB246" s="1937"/>
      <c r="BF246" s="1937"/>
      <c r="BJ246" s="1937"/>
      <c r="BN246" s="1937"/>
      <c r="BR246" s="1937"/>
      <c r="BV246" s="1937"/>
      <c r="BZ246" s="1937"/>
      <c r="CD246" s="1937"/>
      <c r="CH246" s="1937">
        <f t="shared" ref="CH246:CP246" si="1024">+CH249*((AVERAGE(CG254:CH254)+$CQ$256)*3)/1000</f>
        <v>10902.2288495751</v>
      </c>
      <c r="CI246" s="2216">
        <f t="shared" si="1024"/>
        <v>11222.241769383698</v>
      </c>
      <c r="CJ246" s="2216">
        <f t="shared" si="1024"/>
        <v>11637.366833166834</v>
      </c>
      <c r="CK246" s="2216">
        <f t="shared" si="1024"/>
        <v>11849.919884999999</v>
      </c>
      <c r="CL246" s="1937">
        <f t="shared" si="1024"/>
        <v>12007.784595000001</v>
      </c>
      <c r="CM246" s="2216">
        <f t="shared" si="1024"/>
        <v>12232.526459999999</v>
      </c>
      <c r="CN246" s="2216">
        <f t="shared" si="1024"/>
        <v>12438.27144</v>
      </c>
      <c r="CO246" s="2216">
        <f t="shared" si="1024"/>
        <v>12510.313830000001</v>
      </c>
      <c r="CP246" s="1937">
        <f t="shared" si="1024"/>
        <v>12676.905779999999</v>
      </c>
      <c r="CQ246" s="2216">
        <f>+CQ249*((AVERAGE(CP254+$CQ$256,CQ254)*3)/1000)</f>
        <v>12946.804799999998</v>
      </c>
      <c r="CR246" s="2216">
        <f>+CR249*((AVERAGE(CQ254+$CQ$256,CR254)*3)/1000)</f>
        <v>13174.389450000001</v>
      </c>
      <c r="CS246" s="2216">
        <f>+CS249*((AVERAGE(CR254+$CQ$256,CS254)*3)/1000)</f>
        <v>13259.501850000001</v>
      </c>
      <c r="CT246" s="1937">
        <f t="shared" ref="CT246:DV246" si="1025">+CT249*(AVERAGE(CS254:CT254)*3)/1000</f>
        <v>13419.283680000002</v>
      </c>
      <c r="CU246" s="2216">
        <f t="shared" si="1025"/>
        <v>13745.478779999999</v>
      </c>
      <c r="CV246" s="2216">
        <f t="shared" si="1025"/>
        <v>14117.570775</v>
      </c>
      <c r="CW246" s="2216">
        <f t="shared" si="1025"/>
        <v>14266.385399999999</v>
      </c>
      <c r="CX246" s="1937">
        <f t="shared" si="1025"/>
        <v>14579.060025000001</v>
      </c>
      <c r="CY246" s="2216">
        <f t="shared" si="1025"/>
        <v>14885.760195000001</v>
      </c>
      <c r="CZ246" s="2216">
        <f t="shared" si="1025"/>
        <v>15146.203800000001</v>
      </c>
      <c r="DA246" s="2216">
        <f t="shared" si="1025"/>
        <v>15381.6306</v>
      </c>
      <c r="DB246" s="1937">
        <f t="shared" si="1025"/>
        <v>15778.35</v>
      </c>
      <c r="DC246" s="2216">
        <f t="shared" si="1025"/>
        <v>15989.85375</v>
      </c>
      <c r="DD246" s="2216">
        <f t="shared" si="1025"/>
        <v>16336.347300000003</v>
      </c>
      <c r="DE246" s="2216">
        <f t="shared" si="1025"/>
        <v>16520.019824999999</v>
      </c>
      <c r="DF246" s="1937">
        <f t="shared" si="1025"/>
        <v>16799.83872</v>
      </c>
      <c r="DG246" s="2216">
        <f t="shared" si="1025"/>
        <v>16830.829964999997</v>
      </c>
      <c r="DH246" s="2216">
        <f t="shared" si="1025"/>
        <v>17080.395060000003</v>
      </c>
      <c r="DI246" s="2219">
        <f t="shared" si="1025"/>
        <v>16926.479729999999</v>
      </c>
      <c r="DJ246" s="1937">
        <f t="shared" si="1025"/>
        <v>16659.825719999997</v>
      </c>
      <c r="DK246" s="2216">
        <f t="shared" si="1025"/>
        <v>16389.770219999999</v>
      </c>
      <c r="DL246" s="2216">
        <f t="shared" si="1025"/>
        <v>16282.641090000001</v>
      </c>
      <c r="DM246" s="2219">
        <f t="shared" si="1025"/>
        <v>15885.82185</v>
      </c>
      <c r="DN246" s="2216">
        <f t="shared" si="1025"/>
        <v>15578.12256</v>
      </c>
      <c r="DO246" s="2216">
        <f t="shared" si="1025"/>
        <v>15529.780695000001</v>
      </c>
      <c r="DP246" s="2216">
        <f t="shared" si="1025"/>
        <v>15472.41747</v>
      </c>
      <c r="DQ246" s="2219">
        <f t="shared" si="1025"/>
        <v>15098.514899999998</v>
      </c>
      <c r="DR246" s="1937">
        <f t="shared" si="1025"/>
        <v>14522.619599999998</v>
      </c>
      <c r="DS246" s="2216">
        <f t="shared" si="1025"/>
        <v>14285.660339999999</v>
      </c>
      <c r="DT246" s="2216">
        <f t="shared" si="1025"/>
        <v>14455.26657</v>
      </c>
      <c r="DU246" s="2219">
        <f t="shared" si="1025"/>
        <v>14413.318560000002</v>
      </c>
      <c r="DV246" s="2216">
        <f t="shared" si="1025"/>
        <v>13975.155405000001</v>
      </c>
      <c r="DW246" s="2216">
        <f t="shared" ref="DW246" ca="1" si="1026">+DW249*(AVERAGE(DV254:DW254)*3)/1000</f>
        <v>14037.286331083278</v>
      </c>
      <c r="DX246" s="2216">
        <f t="shared" ref="DX246" ca="1" si="1027">+DX249*(AVERAGE(DW254:DX254)*3)/1000</f>
        <v>14260.165439802366</v>
      </c>
      <c r="DY246" s="2219">
        <f t="shared" ref="DY246" ca="1" si="1028">+DY249*(AVERAGE(DX254:DY254)*3)/1000</f>
        <v>14275.895862294614</v>
      </c>
    </row>
    <row r="247" spans="1:133" ht="15" customHeight="1">
      <c r="A247" s="2807" t="s">
        <v>1453</v>
      </c>
      <c r="B247" s="2207"/>
      <c r="C247" s="2207"/>
      <c r="D247" s="2207"/>
      <c r="E247" s="2207"/>
      <c r="F247" s="2207"/>
      <c r="G247" s="2207"/>
      <c r="H247" s="2207"/>
      <c r="I247" s="2207"/>
      <c r="J247" s="2207"/>
      <c r="K247" s="2207"/>
      <c r="L247" s="2207"/>
      <c r="M247" s="2207"/>
      <c r="N247" s="2207"/>
      <c r="O247" s="2207"/>
      <c r="P247" s="2207"/>
      <c r="Q247" s="2207"/>
      <c r="R247" s="2207">
        <f t="shared" ref="R247:AB247" si="1029">R246/Q246-1</f>
        <v>5.832018543465467E-2</v>
      </c>
      <c r="S247" s="2207">
        <f t="shared" si="1029"/>
        <v>6.7062573551649685E-2</v>
      </c>
      <c r="T247" s="2207">
        <f t="shared" si="1029"/>
        <v>8.0000692980881416E-2</v>
      </c>
      <c r="U247" s="2207">
        <f t="shared" si="1029"/>
        <v>7.7208056291875549E-2</v>
      </c>
      <c r="V247" s="2207">
        <f t="shared" si="1029"/>
        <v>4.6622709585613098E-2</v>
      </c>
      <c r="W247" s="2207">
        <f>W246/V246-1</f>
        <v>-3.5771325667589893E-2</v>
      </c>
      <c r="X247" s="2207">
        <f>X246/W246-1</f>
        <v>-5.4267534418835028E-2</v>
      </c>
      <c r="Y247" s="2207">
        <f>Y246/X246-1</f>
        <v>-6.4884015958593944E-2</v>
      </c>
      <c r="Z247" s="2207">
        <f ca="1">Z246/Y246-1</f>
        <v>-1.9563511824893576E-2</v>
      </c>
      <c r="AA247" s="2207">
        <f t="shared" ca="1" si="1029"/>
        <v>2.1042710048883029E-2</v>
      </c>
      <c r="AB247" s="2207">
        <f t="shared" ca="1" si="1029"/>
        <v>2.0397218495945557E-2</v>
      </c>
      <c r="AC247" s="2207">
        <f t="shared" ref="AC247" ca="1" si="1030">AC246/AB246-1</f>
        <v>2.0244153530309061E-2</v>
      </c>
      <c r="AD247" s="2207">
        <f t="shared" ref="AD247" ca="1" si="1031">AD246/AC246-1</f>
        <v>2.0489566721715979E-2</v>
      </c>
      <c r="AE247" s="2207">
        <f t="shared" ref="AE247" ca="1" si="1032">AE246/AD246-1</f>
        <v>2.1061053739638513E-2</v>
      </c>
      <c r="AF247" s="2207">
        <f t="shared" ref="AF247" ca="1" si="1033">AF246/AE246-1</f>
        <v>2.1902055792226482E-2</v>
      </c>
      <c r="AG247" s="2207">
        <f t="shared" ref="AG247" ca="1" si="1034">AG246/AF246-1</f>
        <v>2.2967874148812184E-2</v>
      </c>
      <c r="AH247" s="2201"/>
      <c r="AI247" s="1927"/>
      <c r="AK247" s="2207"/>
      <c r="AL247" s="2207"/>
      <c r="AM247" s="2207"/>
      <c r="AN247" s="2207"/>
      <c r="AO247" s="2207"/>
      <c r="AP247" s="2208"/>
      <c r="AQ247" s="2207"/>
      <c r="AR247" s="2207"/>
      <c r="AS247" s="2207"/>
      <c r="AT247" s="2208"/>
      <c r="AU247" s="2207"/>
      <c r="AV247" s="2207"/>
      <c r="AW247" s="2207"/>
      <c r="AX247" s="2208"/>
      <c r="AY247" s="2207"/>
      <c r="AZ247" s="2207"/>
      <c r="BA247" s="2207"/>
      <c r="BB247" s="2208"/>
      <c r="BC247" s="2207"/>
      <c r="BD247" s="2207"/>
      <c r="BE247" s="2207"/>
      <c r="BF247" s="2208"/>
      <c r="BG247" s="2207"/>
      <c r="BH247" s="2207"/>
      <c r="BI247" s="2207"/>
      <c r="BJ247" s="2208"/>
      <c r="BK247" s="2207"/>
      <c r="BL247" s="2207"/>
      <c r="BM247" s="2207"/>
      <c r="BN247" s="2208"/>
      <c r="BO247" s="2207"/>
      <c r="BP247" s="2207"/>
      <c r="BQ247" s="2207"/>
      <c r="BR247" s="2208"/>
      <c r="BS247" s="2207"/>
      <c r="BT247" s="2207"/>
      <c r="BU247" s="2207"/>
      <c r="BV247" s="2208"/>
      <c r="BW247" s="2207"/>
      <c r="BX247" s="2207"/>
      <c r="BY247" s="2207"/>
      <c r="BZ247" s="2208"/>
      <c r="CA247" s="2207"/>
      <c r="CB247" s="2207"/>
      <c r="CC247" s="2207"/>
      <c r="CD247" s="2208"/>
      <c r="CE247" s="2207"/>
      <c r="CF247" s="2207"/>
      <c r="CG247" s="2207"/>
      <c r="CH247" s="2208"/>
      <c r="CI247" s="2207"/>
      <c r="CJ247" s="2207"/>
      <c r="CK247" s="2207"/>
      <c r="CL247" s="2229" t="s">
        <v>1149</v>
      </c>
      <c r="CM247" s="1986" t="s">
        <v>1149</v>
      </c>
      <c r="CN247" s="1986" t="s">
        <v>1149</v>
      </c>
      <c r="CO247" s="1986" t="s">
        <v>1149</v>
      </c>
      <c r="CP247" s="2208">
        <f t="shared" ref="CP247:DV247" si="1035">CP246/CL246-1</f>
        <v>5.5723949718303301E-2</v>
      </c>
      <c r="CQ247" s="2207">
        <f t="shared" si="1035"/>
        <v>5.8391726544444245E-2</v>
      </c>
      <c r="CR247" s="2207">
        <f t="shared" si="1035"/>
        <v>5.9181696874111678E-2</v>
      </c>
      <c r="CS247" s="2207">
        <f t="shared" si="1035"/>
        <v>5.9885629583762423E-2</v>
      </c>
      <c r="CT247" s="2208">
        <f t="shared" si="1035"/>
        <v>5.8561443374552269E-2</v>
      </c>
      <c r="CU247" s="2207">
        <f t="shared" si="1035"/>
        <v>6.1688887129896397E-2</v>
      </c>
      <c r="CV247" s="2207">
        <f t="shared" si="1035"/>
        <v>7.1592033056226301E-2</v>
      </c>
      <c r="CW247" s="2207">
        <f t="shared" si="1035"/>
        <v>7.5936755497341579E-2</v>
      </c>
      <c r="CX247" s="2208">
        <f t="shared" si="1035"/>
        <v>8.6426099384762312E-2</v>
      </c>
      <c r="CY247" s="2207">
        <f t="shared" si="1035"/>
        <v>8.2956834989199368E-2</v>
      </c>
      <c r="CZ247" s="2207">
        <f t="shared" si="1035"/>
        <v>7.2861899642221006E-2</v>
      </c>
      <c r="DA247" s="2207">
        <f t="shared" si="1035"/>
        <v>7.8172933699099501E-2</v>
      </c>
      <c r="DB247" s="2208">
        <f t="shared" si="1035"/>
        <v>8.2261131577994195E-2</v>
      </c>
      <c r="DC247" s="2207">
        <f t="shared" si="1035"/>
        <v>7.4171123310911247E-2</v>
      </c>
      <c r="DD247" s="2207">
        <f t="shared" si="1035"/>
        <v>7.8577016110136011E-2</v>
      </c>
      <c r="DE247" s="2207">
        <f t="shared" si="1035"/>
        <v>7.4009658312818916E-2</v>
      </c>
      <c r="DF247" s="2208">
        <f t="shared" si="1035"/>
        <v>6.4739894855925906E-2</v>
      </c>
      <c r="DG247" s="2207">
        <f t="shared" si="1035"/>
        <v>5.2594365661411846E-2</v>
      </c>
      <c r="DH247" s="2207">
        <f t="shared" si="1035"/>
        <v>4.5545540036358023E-2</v>
      </c>
      <c r="DI247" s="2209">
        <f t="shared" si="1035"/>
        <v>2.4604080945768381E-2</v>
      </c>
      <c r="DJ247" s="2208">
        <f t="shared" si="1035"/>
        <v>-8.33418715105394E-3</v>
      </c>
      <c r="DK247" s="2207">
        <f t="shared" si="1035"/>
        <v>-2.620546615450281E-2</v>
      </c>
      <c r="DL247" s="2207">
        <f t="shared" si="1035"/>
        <v>-4.6705826603989697E-2</v>
      </c>
      <c r="DM247" s="2209">
        <f t="shared" si="1035"/>
        <v>-6.1481057880899304E-2</v>
      </c>
      <c r="DN247" s="2207">
        <f t="shared" si="1035"/>
        <v>-6.4928840083928407E-2</v>
      </c>
      <c r="DO247" s="2207">
        <f t="shared" si="1035"/>
        <v>-5.2471115424826076E-2</v>
      </c>
      <c r="DP247" s="2207">
        <f t="shared" si="1035"/>
        <v>-4.9759963111733807E-2</v>
      </c>
      <c r="DQ247" s="2209">
        <f t="shared" si="1035"/>
        <v>-4.9560353718810068E-2</v>
      </c>
      <c r="DR247" s="2208">
        <f t="shared" si="1035"/>
        <v>-6.7755466419953558E-2</v>
      </c>
      <c r="DS247" s="2207">
        <f t="shared" si="1035"/>
        <v>-8.0111907530063364E-2</v>
      </c>
      <c r="DT247" s="2207">
        <f t="shared" si="1035"/>
        <v>-6.57396235573523E-2</v>
      </c>
      <c r="DU247" s="2209">
        <f t="shared" si="1035"/>
        <v>-4.5381704395310862E-2</v>
      </c>
      <c r="DV247" s="2207">
        <f t="shared" si="1035"/>
        <v>-3.769734456172058E-2</v>
      </c>
      <c r="DW247" s="2207">
        <f t="shared" ref="DW247" ca="1" si="1036">DW246/DS246-1</f>
        <v>-1.7386246278113582E-2</v>
      </c>
      <c r="DX247" s="2207">
        <f t="shared" ref="DX247" ca="1" si="1037">DX246/DT246-1</f>
        <v>-1.3496889127077139E-2</v>
      </c>
      <c r="DY247" s="2209">
        <f t="shared" ref="DY247" ca="1" si="1038">DY246/DU246-1</f>
        <v>-9.534424506980943E-3</v>
      </c>
    </row>
    <row r="248" spans="1:133">
      <c r="A248" s="2807" t="s">
        <v>100</v>
      </c>
      <c r="B248" s="2207"/>
      <c r="C248" s="2207"/>
      <c r="D248" s="2207"/>
      <c r="E248" s="2207"/>
      <c r="F248" s="2207"/>
      <c r="G248" s="2207"/>
      <c r="H248" s="2207"/>
      <c r="I248" s="2207"/>
      <c r="J248" s="2207"/>
      <c r="K248" s="2207"/>
      <c r="L248" s="2207"/>
      <c r="M248" s="2207"/>
      <c r="N248" s="2207"/>
      <c r="O248" s="2207"/>
      <c r="P248" s="2207"/>
      <c r="Q248" s="2207">
        <f t="shared" ref="Q248:AA248" si="1039">+Q246/Q$301</f>
        <v>0.94510426017369242</v>
      </c>
      <c r="R248" s="2207">
        <f t="shared" si="1039"/>
        <v>0.93579970662783807</v>
      </c>
      <c r="S248" s="2207">
        <f t="shared" si="1039"/>
        <v>0.93900499746437438</v>
      </c>
      <c r="T248" s="2207">
        <f t="shared" si="1039"/>
        <v>0.94131226554532188</v>
      </c>
      <c r="U248" s="2207">
        <f t="shared" si="1039"/>
        <v>0.93614026443874676</v>
      </c>
      <c r="V248" s="2207">
        <f t="shared" si="1039"/>
        <v>0.9312617854192482</v>
      </c>
      <c r="W248" s="2207">
        <f t="shared" si="1039"/>
        <v>0.92644552076822551</v>
      </c>
      <c r="X248" s="2207">
        <f>+X246/X$301</f>
        <v>0.89014209096419439</v>
      </c>
      <c r="Y248" s="2207">
        <f>+Y246/Y$301</f>
        <v>0.84393229840656692</v>
      </c>
      <c r="Z248" s="2207">
        <f ca="1">+Z246/Z$301</f>
        <v>0.83863772320782248</v>
      </c>
      <c r="AA248" s="2207">
        <f t="shared" ca="1" si="1039"/>
        <v>0.9163440743767618</v>
      </c>
      <c r="AB248" s="2207">
        <f t="shared" ref="AB248:AG248" ca="1" si="1040">+AB246/AB$301</f>
        <v>0.92015736125792913</v>
      </c>
      <c r="AC248" s="2207">
        <f t="shared" ca="1" si="1040"/>
        <v>0.92296372182758668</v>
      </c>
      <c r="AD248" s="2207">
        <f t="shared" ca="1" si="1040"/>
        <v>0.92529309771932511</v>
      </c>
      <c r="AE248" s="2207">
        <f t="shared" ca="1" si="1040"/>
        <v>0.92740198850473909</v>
      </c>
      <c r="AF248" s="2207">
        <f t="shared" ca="1" si="1040"/>
        <v>0.92941617189401249</v>
      </c>
      <c r="AG248" s="2207">
        <f t="shared" ca="1" si="1040"/>
        <v>0.93139837587341745</v>
      </c>
      <c r="AH248" s="2201"/>
      <c r="AI248" s="1927"/>
      <c r="AK248" s="2207"/>
      <c r="AL248" s="2207"/>
      <c r="AM248" s="2207"/>
      <c r="AN248" s="2207"/>
      <c r="AO248" s="2207"/>
      <c r="AP248" s="2208"/>
      <c r="AQ248" s="2207"/>
      <c r="AR248" s="2207"/>
      <c r="AS248" s="2207"/>
      <c r="AT248" s="2208"/>
      <c r="AU248" s="2207"/>
      <c r="AV248" s="2207"/>
      <c r="AW248" s="2207"/>
      <c r="AX248" s="2208"/>
      <c r="AY248" s="2207"/>
      <c r="AZ248" s="2207"/>
      <c r="BA248" s="2207"/>
      <c r="BB248" s="2208"/>
      <c r="BC248" s="2207"/>
      <c r="BD248" s="2207"/>
      <c r="BE248" s="2207"/>
      <c r="BF248" s="2208"/>
      <c r="BG248" s="2207"/>
      <c r="BH248" s="2207"/>
      <c r="BI248" s="2207"/>
      <c r="BJ248" s="2208"/>
      <c r="BK248" s="2207"/>
      <c r="BL248" s="2207"/>
      <c r="BM248" s="2207"/>
      <c r="BN248" s="2208"/>
      <c r="BO248" s="2207"/>
      <c r="BP248" s="2207"/>
      <c r="BQ248" s="2207"/>
      <c r="BR248" s="2208"/>
      <c r="BS248" s="2207"/>
      <c r="BT248" s="2207"/>
      <c r="BU248" s="2207"/>
      <c r="BV248" s="2208"/>
      <c r="BW248" s="2207"/>
      <c r="BX248" s="2207"/>
      <c r="BY248" s="2207"/>
      <c r="BZ248" s="2208"/>
      <c r="CA248" s="2207"/>
      <c r="CB248" s="2207"/>
      <c r="CC248" s="2207"/>
      <c r="CD248" s="2208"/>
      <c r="CE248" s="2207"/>
      <c r="CF248" s="2207"/>
      <c r="CG248" s="2207"/>
      <c r="CH248" s="2208"/>
      <c r="CI248" s="2207"/>
      <c r="CJ248" s="2207"/>
      <c r="CK248" s="2207"/>
      <c r="CL248" s="2208">
        <f>+CL246/CL$21</f>
        <v>0.96618801054071457</v>
      </c>
      <c r="CM248" s="2207">
        <f t="shared" ref="CM248:DS248" si="1041">+CM246/CM$21</f>
        <v>0.96745701202151213</v>
      </c>
      <c r="CN248" s="2207">
        <f t="shared" si="1041"/>
        <v>0.96924113145795998</v>
      </c>
      <c r="CO248" s="2207">
        <f t="shared" si="1041"/>
        <v>0.97326231756651638</v>
      </c>
      <c r="CP248" s="2208">
        <f t="shared" si="1041"/>
        <v>0.97260286788399564</v>
      </c>
      <c r="CQ248" s="2207">
        <f t="shared" si="1041"/>
        <v>0.97476319831350688</v>
      </c>
      <c r="CR248" s="2207">
        <f t="shared" si="1041"/>
        <v>0.97740110171377703</v>
      </c>
      <c r="CS248" s="2207">
        <f t="shared" si="1041"/>
        <v>0.98124042403611345</v>
      </c>
      <c r="CT248" s="2208">
        <f t="shared" si="1041"/>
        <v>0.9813722158841599</v>
      </c>
      <c r="CU248" s="2207">
        <f t="shared" si="1041"/>
        <v>0.98048924887652467</v>
      </c>
      <c r="CV248" s="2207">
        <f t="shared" si="1041"/>
        <v>0.98004656542867064</v>
      </c>
      <c r="CW248" s="2207">
        <f t="shared" si="1041"/>
        <v>0.97969958796868561</v>
      </c>
      <c r="CX248" s="2208">
        <f t="shared" si="1041"/>
        <v>0.97938062777106005</v>
      </c>
      <c r="CY248" s="2207">
        <f t="shared" si="1041"/>
        <v>0.97739725508864084</v>
      </c>
      <c r="CZ248" s="2207">
        <f t="shared" si="1041"/>
        <v>0.97478464409833965</v>
      </c>
      <c r="DA248" s="2207">
        <f t="shared" si="1041"/>
        <v>0.97438430254656028</v>
      </c>
      <c r="DB248" s="2208">
        <f t="shared" si="1041"/>
        <v>0.9758395695466634</v>
      </c>
      <c r="DC248" s="2207">
        <f t="shared" si="1041"/>
        <v>0.9736849196200219</v>
      </c>
      <c r="DD248" s="2207">
        <f t="shared" si="1041"/>
        <v>0.9737927575107298</v>
      </c>
      <c r="DE248" s="2207">
        <f t="shared" si="1041"/>
        <v>0.9736559100017681</v>
      </c>
      <c r="DF248" s="2208">
        <f t="shared" si="1041"/>
        <v>0.97412957903281916</v>
      </c>
      <c r="DG248" s="2207">
        <f t="shared" si="1041"/>
        <v>0.97355564350994894</v>
      </c>
      <c r="DH248" s="2207">
        <f t="shared" si="1041"/>
        <v>0.97290926520847587</v>
      </c>
      <c r="DI248" s="2209">
        <f t="shared" si="1041"/>
        <v>0.97217160013784387</v>
      </c>
      <c r="DJ248" s="2208">
        <f t="shared" si="1041"/>
        <v>0.97181506854109534</v>
      </c>
      <c r="DK248" s="2207">
        <f t="shared" si="1041"/>
        <v>0.96877705520747126</v>
      </c>
      <c r="DL248" s="2207">
        <f t="shared" si="1041"/>
        <v>0.9676496755214834</v>
      </c>
      <c r="DM248" s="2209">
        <f t="shared" si="1041"/>
        <v>0.9672322120068193</v>
      </c>
      <c r="DN248" s="2207">
        <f t="shared" si="1041"/>
        <v>0.97132576131687243</v>
      </c>
      <c r="DO248" s="2207">
        <f t="shared" si="1041"/>
        <v>0.97243460832811535</v>
      </c>
      <c r="DP248" s="2207">
        <f t="shared" si="1041"/>
        <v>0.972313044052033</v>
      </c>
      <c r="DQ248" s="2209">
        <f t="shared" si="1041"/>
        <v>0.96940705617977518</v>
      </c>
      <c r="DR248" s="2208">
        <f t="shared" si="1041"/>
        <v>0.96772303591657216</v>
      </c>
      <c r="DS248" s="2207">
        <f t="shared" si="1041"/>
        <v>0.9619325526900544</v>
      </c>
      <c r="DT248" s="2207">
        <f t="shared" ref="DT248" si="1042">+DT246/DT$21</f>
        <v>0.95920813337757127</v>
      </c>
      <c r="DU248" s="2209">
        <f t="shared" ref="DU248" si="1043">+DU246/DU$21</f>
        <v>0.95395582500496401</v>
      </c>
      <c r="DV248" s="2207">
        <f t="shared" ref="DV248" si="1044">+DV246/DV$21</f>
        <v>0.95517431515275797</v>
      </c>
      <c r="DW248" s="2207">
        <f t="shared" ref="DW248:DY248" ca="1" si="1045">+DW246/DW$21</f>
        <v>0.95756274356889393</v>
      </c>
      <c r="DX248" s="2207">
        <f t="shared" ca="1" si="1045"/>
        <v>0.95907900279710212</v>
      </c>
      <c r="DY248" s="2209">
        <f t="shared" ca="1" si="1045"/>
        <v>0.96008684366183583</v>
      </c>
    </row>
    <row r="249" spans="1:133" s="2819" customFormat="1" ht="15" customHeight="1">
      <c r="A249" s="2808" t="s">
        <v>105</v>
      </c>
      <c r="B249" s="2809"/>
      <c r="C249" s="2809"/>
      <c r="D249" s="2809"/>
      <c r="E249" s="2809"/>
      <c r="F249" s="2809"/>
      <c r="G249" s="2809"/>
      <c r="H249" s="2809"/>
      <c r="I249" s="2809"/>
      <c r="J249" s="2809"/>
      <c r="K249" s="2809"/>
      <c r="L249" s="2809"/>
      <c r="M249" s="2809"/>
      <c r="N249" s="2809"/>
      <c r="O249" s="2809"/>
      <c r="P249" s="2810"/>
      <c r="Q249" s="2809">
        <f t="shared" ref="Q249:Z249" si="1046">(Q246/12)/(AVERAGE(P254:Q254)/1000)</f>
        <v>52.257454025369711</v>
      </c>
      <c r="R249" s="2809">
        <f t="shared" si="1046"/>
        <v>53.026934237868232</v>
      </c>
      <c r="S249" s="2809">
        <f t="shared" si="1046"/>
        <v>54.297593485897941</v>
      </c>
      <c r="T249" s="2809">
        <f t="shared" si="1046"/>
        <v>55.575924729867936</v>
      </c>
      <c r="U249" s="2809">
        <f t="shared" si="1046"/>
        <v>56.90325446952167</v>
      </c>
      <c r="V249" s="2809">
        <f t="shared" si="1046"/>
        <v>56.696007727668224</v>
      </c>
      <c r="W249" s="2809">
        <f t="shared" si="1046"/>
        <v>52.106000661531013</v>
      </c>
      <c r="X249" s="2809">
        <f t="shared" si="1046"/>
        <v>47.741106135405246</v>
      </c>
      <c r="Y249" s="2809">
        <f t="shared" si="1046"/>
        <v>43.764219644889593</v>
      </c>
      <c r="Z249" s="2809">
        <f t="shared" ca="1" si="1046"/>
        <v>42.07849349981808</v>
      </c>
      <c r="AA249" s="2809">
        <f ca="1">Z249*(1+AA250)</f>
        <v>42.162650486817718</v>
      </c>
      <c r="AB249" s="2809">
        <f ca="1">AA249*(1+AB250)</f>
        <v>42.331301088764988</v>
      </c>
      <c r="AC249" s="2809">
        <f t="shared" ref="AC249:AG249" ca="1" si="1047">AB249*(1+AC250)</f>
        <v>42.58528889529758</v>
      </c>
      <c r="AD249" s="2809">
        <f t="shared" ca="1" si="1047"/>
        <v>42.925971206459963</v>
      </c>
      <c r="AE249" s="2809">
        <f t="shared" ca="1" si="1047"/>
        <v>43.355230918524562</v>
      </c>
      <c r="AF249" s="2809">
        <f t="shared" ca="1" si="1047"/>
        <v>43.875493689546857</v>
      </c>
      <c r="AG249" s="2809">
        <f t="shared" ca="1" si="1047"/>
        <v>44.489750601200512</v>
      </c>
      <c r="AH249" s="2604"/>
      <c r="AI249" s="1928">
        <f ca="1">(AA249/V249)^(1/5)-1</f>
        <v>-5.7513615240959659E-2</v>
      </c>
      <c r="AJ249" s="2605"/>
      <c r="AK249" s="2809"/>
      <c r="AL249" s="2809"/>
      <c r="AM249" s="2809"/>
      <c r="AN249" s="2809"/>
      <c r="AO249" s="2809"/>
      <c r="AP249" s="2811"/>
      <c r="AQ249" s="2809"/>
      <c r="AR249" s="2809"/>
      <c r="AS249" s="2809"/>
      <c r="AT249" s="2811"/>
      <c r="AU249" s="2809"/>
      <c r="AV249" s="2809"/>
      <c r="AW249" s="2809"/>
      <c r="AX249" s="2811"/>
      <c r="AY249" s="2809"/>
      <c r="AZ249" s="2809"/>
      <c r="BA249" s="2809"/>
      <c r="BB249" s="2811"/>
      <c r="BC249" s="2809"/>
      <c r="BD249" s="2809"/>
      <c r="BE249" s="2809"/>
      <c r="BF249" s="2811"/>
      <c r="BG249" s="2809"/>
      <c r="BH249" s="2809"/>
      <c r="BI249" s="2809"/>
      <c r="BJ249" s="2811"/>
      <c r="BK249" s="2809"/>
      <c r="BL249" s="2809"/>
      <c r="BM249" s="2809"/>
      <c r="BN249" s="2811"/>
      <c r="BO249" s="2809"/>
      <c r="BP249" s="2809"/>
      <c r="BQ249" s="2809"/>
      <c r="BR249" s="2811"/>
      <c r="BS249" s="2809"/>
      <c r="BT249" s="2809"/>
      <c r="BU249" s="2809"/>
      <c r="BV249" s="2811"/>
      <c r="BW249" s="2809"/>
      <c r="BX249" s="2809"/>
      <c r="BY249" s="2809"/>
      <c r="BZ249" s="2811"/>
      <c r="CA249" s="2809"/>
      <c r="CB249" s="2809"/>
      <c r="CC249" s="2809"/>
      <c r="CD249" s="2811"/>
      <c r="CE249" s="2809"/>
      <c r="CF249" s="2809"/>
      <c r="CG249" s="2809"/>
      <c r="CH249" s="2812">
        <f>+CL249/(1+CL250)</f>
        <v>51.452569169960476</v>
      </c>
      <c r="CI249" s="2813">
        <f>+CM249/(1+CM250)</f>
        <v>52.047713717693838</v>
      </c>
      <c r="CJ249" s="2813">
        <f>+CN249/(1+CN250)</f>
        <v>52.507492507492515</v>
      </c>
      <c r="CK249" s="2813">
        <f>+CO249/(1+CO250)</f>
        <v>52.17</v>
      </c>
      <c r="CL249" s="2814">
        <v>52.07</v>
      </c>
      <c r="CM249" s="2810">
        <v>52.36</v>
      </c>
      <c r="CN249" s="2810">
        <v>52.56</v>
      </c>
      <c r="CO249" s="2810">
        <v>52.17</v>
      </c>
      <c r="CP249" s="2814">
        <v>52.36</v>
      </c>
      <c r="CQ249" s="2810">
        <v>53.12</v>
      </c>
      <c r="CR249" s="2810">
        <v>53.61</v>
      </c>
      <c r="CS249" s="2810">
        <v>53.45</v>
      </c>
      <c r="CT249" s="2814">
        <v>53.52</v>
      </c>
      <c r="CU249" s="2810">
        <v>54.12</v>
      </c>
      <c r="CV249" s="2810">
        <v>54.89</v>
      </c>
      <c r="CW249" s="2810">
        <v>54.8</v>
      </c>
      <c r="CX249" s="2814">
        <v>55.43</v>
      </c>
      <c r="CY249" s="2810">
        <v>56.13</v>
      </c>
      <c r="CZ249" s="2815">
        <v>56.35</v>
      </c>
      <c r="DA249" s="2815">
        <f>+(DA272*AVERAGE(CZ269:DA269))/AVERAGE(92530,90354)</f>
        <v>56.07062618927845</v>
      </c>
      <c r="DB249" s="2816">
        <f t="shared" ref="DB249:DJ249" si="1048">+(DB272*AVERAGE(DA269:DB269))/AVERAGE(DA254:DB254)</f>
        <v>56.639707941157468</v>
      </c>
      <c r="DC249" s="2815">
        <f t="shared" si="1048"/>
        <v>56.865854569314564</v>
      </c>
      <c r="DD249" s="2815">
        <f t="shared" si="1048"/>
        <v>57.48510577653915</v>
      </c>
      <c r="DE249" s="2815">
        <f t="shared" si="1048"/>
        <v>57.380007762963892</v>
      </c>
      <c r="DF249" s="2816">
        <f t="shared" si="1048"/>
        <v>57.723965880685469</v>
      </c>
      <c r="DG249" s="2815">
        <f t="shared" si="1048"/>
        <v>57.286886493827403</v>
      </c>
      <c r="DH249" s="2815">
        <f t="shared" si="1048"/>
        <v>57.308300318073847</v>
      </c>
      <c r="DI249" s="2817">
        <f t="shared" si="1048"/>
        <v>55.812682731400422</v>
      </c>
      <c r="DJ249" s="2816">
        <f t="shared" si="1048"/>
        <v>54.253455909650434</v>
      </c>
      <c r="DK249" s="2815">
        <f t="shared" ref="DK249:DU249" si="1049">+(DK272*AVERAGE(DJ269:DK269))/AVERAGE(DJ254:DK254)</f>
        <v>52.946743099705373</v>
      </c>
      <c r="DL249" s="2815">
        <f t="shared" si="1049"/>
        <v>51.999454190099357</v>
      </c>
      <c r="DM249" s="2817">
        <f t="shared" si="1049"/>
        <v>50.061440976407582</v>
      </c>
      <c r="DN249" s="2499">
        <f t="shared" si="1049"/>
        <v>48.598332420834915</v>
      </c>
      <c r="DO249" s="2815">
        <f t="shared" si="1049"/>
        <v>48.16533596028863</v>
      </c>
      <c r="DP249" s="2809">
        <f t="shared" si="1049"/>
        <v>47.75437490740741</v>
      </c>
      <c r="DQ249" s="2818">
        <f t="shared" si="1049"/>
        <v>46.382186566889075</v>
      </c>
      <c r="DR249" s="2811">
        <f t="shared" si="1049"/>
        <v>44.559052646597223</v>
      </c>
      <c r="DS249" s="2809">
        <f t="shared" si="1049"/>
        <v>43.773175469157188</v>
      </c>
      <c r="DT249" s="2809">
        <f t="shared" si="1049"/>
        <v>44.049312898242022</v>
      </c>
      <c r="DU249" s="3288">
        <f t="shared" si="1049"/>
        <v>43.569778906320856</v>
      </c>
      <c r="DV249" s="3320">
        <f>+(DV272*AVERAGE(DU269:DV269))/AVERAGE(DU254:DV254)</f>
        <v>41.973483880559364</v>
      </c>
      <c r="DW249" s="2809">
        <f t="shared" ref="DW249" si="1050">DS249*(1+DW250)</f>
        <v>42.022248450390897</v>
      </c>
      <c r="DX249" s="2809">
        <f t="shared" ref="DX249" si="1051">DT249*(1+DX250)</f>
        <v>42.507586946803549</v>
      </c>
      <c r="DY249" s="2818">
        <f t="shared" ref="DY249" si="1052">DU249*(1+DY250)</f>
        <v>42.262685539131226</v>
      </c>
    </row>
    <row r="250" spans="1:133" s="1491" customFormat="1" ht="15" customHeight="1">
      <c r="A250" s="1841" t="s">
        <v>1453</v>
      </c>
      <c r="B250" s="1473"/>
      <c r="C250" s="1473"/>
      <c r="D250" s="1473"/>
      <c r="E250" s="1473"/>
      <c r="F250" s="1473"/>
      <c r="G250" s="1473"/>
      <c r="H250" s="1473"/>
      <c r="I250" s="1473"/>
      <c r="J250" s="1473"/>
      <c r="K250" s="1473"/>
      <c r="L250" s="1473"/>
      <c r="M250" s="1473"/>
      <c r="N250" s="1473"/>
      <c r="O250" s="1473"/>
      <c r="P250" s="1842"/>
      <c r="Q250" s="1842"/>
      <c r="R250" s="1473">
        <f t="shared" ref="R250:Z250" si="1053">R249/Q249-1</f>
        <v>1.4724793368711797E-2</v>
      </c>
      <c r="S250" s="1473">
        <f t="shared" si="1053"/>
        <v>2.3962525201434159E-2</v>
      </c>
      <c r="T250" s="1473">
        <f t="shared" si="1053"/>
        <v>2.3543055260855983E-2</v>
      </c>
      <c r="U250" s="1473">
        <f t="shared" si="1053"/>
        <v>2.3883178662439608E-2</v>
      </c>
      <c r="V250" s="1473">
        <f t="shared" si="1053"/>
        <v>-3.6420894338204945E-3</v>
      </c>
      <c r="W250" s="1473">
        <f t="shared" si="1053"/>
        <v>-8.0958205879057665E-2</v>
      </c>
      <c r="X250" s="1473">
        <f t="shared" si="1053"/>
        <v>-8.3769517343676991E-2</v>
      </c>
      <c r="Y250" s="1473">
        <f t="shared" si="1053"/>
        <v>-8.3301096527513385E-2</v>
      </c>
      <c r="Z250" s="1473">
        <f t="shared" ca="1" si="1053"/>
        <v>-3.8518364059722421E-2</v>
      </c>
      <c r="AA250" s="2568">
        <f t="shared" ref="AA250:AG250" si="1054">CHOOSE(_switch,AA251,AA252,AA253)</f>
        <v>2E-3</v>
      </c>
      <c r="AB250" s="2568">
        <f t="shared" si="1054"/>
        <v>4.0000000000000001E-3</v>
      </c>
      <c r="AC250" s="2568">
        <f t="shared" si="1054"/>
        <v>6.0000000000000001E-3</v>
      </c>
      <c r="AD250" s="2568">
        <f t="shared" si="1054"/>
        <v>8.0000000000000002E-3</v>
      </c>
      <c r="AE250" s="2568">
        <f t="shared" si="1054"/>
        <v>0.01</v>
      </c>
      <c r="AF250" s="2568">
        <f t="shared" si="1054"/>
        <v>1.2E-2</v>
      </c>
      <c r="AG250" s="2568">
        <f t="shared" si="1054"/>
        <v>1.4E-2</v>
      </c>
      <c r="AH250" s="2201"/>
      <c r="AI250" s="2125"/>
      <c r="AJ250" s="1561"/>
      <c r="AK250" s="1473"/>
      <c r="AL250" s="1473"/>
      <c r="AM250" s="1473"/>
      <c r="AN250" s="1473"/>
      <c r="AO250" s="1473"/>
      <c r="AP250" s="1481"/>
      <c r="AQ250" s="1473"/>
      <c r="AR250" s="1473"/>
      <c r="AS250" s="1473"/>
      <c r="AT250" s="1481"/>
      <c r="AU250" s="1473"/>
      <c r="AV250" s="1473"/>
      <c r="AW250" s="1473"/>
      <c r="AX250" s="1481"/>
      <c r="AY250" s="1473"/>
      <c r="AZ250" s="1473"/>
      <c r="BA250" s="1473"/>
      <c r="BB250" s="1481"/>
      <c r="BC250" s="1473"/>
      <c r="BD250" s="1473"/>
      <c r="BE250" s="1473"/>
      <c r="BF250" s="1481"/>
      <c r="BG250" s="1473"/>
      <c r="BH250" s="1473"/>
      <c r="BI250" s="1473"/>
      <c r="BJ250" s="1481"/>
      <c r="BK250" s="1473"/>
      <c r="BL250" s="1473"/>
      <c r="BM250" s="1473"/>
      <c r="BN250" s="1481"/>
      <c r="BO250" s="1473"/>
      <c r="BP250" s="1473"/>
      <c r="BQ250" s="1473"/>
      <c r="BR250" s="1481"/>
      <c r="BS250" s="1473"/>
      <c r="BT250" s="1473"/>
      <c r="BU250" s="1473"/>
      <c r="BV250" s="1481"/>
      <c r="BW250" s="1473"/>
      <c r="BX250" s="1473"/>
      <c r="BY250" s="1473"/>
      <c r="BZ250" s="1481"/>
      <c r="CA250" s="1473"/>
      <c r="CB250" s="1473"/>
      <c r="CC250" s="1473"/>
      <c r="CD250" s="1481"/>
      <c r="CE250" s="1473"/>
      <c r="CF250" s="1473"/>
      <c r="CG250" s="1473"/>
      <c r="CH250" s="1844" t="s">
        <v>1149</v>
      </c>
      <c r="CI250" s="1845" t="s">
        <v>1149</v>
      </c>
      <c r="CJ250" s="1845" t="s">
        <v>1149</v>
      </c>
      <c r="CK250" s="1845" t="s">
        <v>1149</v>
      </c>
      <c r="CL250" s="1846">
        <v>1.2E-2</v>
      </c>
      <c r="CM250" s="1847">
        <v>6.0000000000000001E-3</v>
      </c>
      <c r="CN250" s="1847">
        <v>1E-3</v>
      </c>
      <c r="CO250" s="1847">
        <v>0</v>
      </c>
      <c r="CP250" s="1481">
        <f t="shared" ref="CP250:DV250" si="1055">CP249/CL249-1</f>
        <v>5.5694257729979046E-3</v>
      </c>
      <c r="CQ250" s="1473">
        <f t="shared" si="1055"/>
        <v>1.4514896867837912E-2</v>
      </c>
      <c r="CR250" s="1473">
        <f t="shared" si="1055"/>
        <v>1.997716894977164E-2</v>
      </c>
      <c r="CS250" s="1473">
        <f t="shared" si="1055"/>
        <v>2.4535173471343708E-2</v>
      </c>
      <c r="CT250" s="1481">
        <f t="shared" si="1055"/>
        <v>2.2154316271963292E-2</v>
      </c>
      <c r="CU250" s="1473">
        <f t="shared" si="1055"/>
        <v>1.8825301204819178E-2</v>
      </c>
      <c r="CV250" s="1473">
        <f t="shared" si="1055"/>
        <v>2.3876142510725673E-2</v>
      </c>
      <c r="CW250" s="1473">
        <f t="shared" si="1055"/>
        <v>2.5257249766136525E-2</v>
      </c>
      <c r="CX250" s="1481">
        <f t="shared" si="1055"/>
        <v>3.5687593423019415E-2</v>
      </c>
      <c r="CY250" s="1473">
        <f t="shared" si="1055"/>
        <v>3.7139689578714163E-2</v>
      </c>
      <c r="CZ250" s="1473">
        <f t="shared" si="1055"/>
        <v>2.6598651849152777E-2</v>
      </c>
      <c r="DA250" s="1473">
        <f t="shared" si="1055"/>
        <v>2.3186609293402327E-2</v>
      </c>
      <c r="DB250" s="1481">
        <f t="shared" si="1055"/>
        <v>2.1824065328476694E-2</v>
      </c>
      <c r="DC250" s="1473">
        <f t="shared" si="1055"/>
        <v>1.3109826640202327E-2</v>
      </c>
      <c r="DD250" s="1473">
        <f t="shared" si="1055"/>
        <v>2.0143846966089507E-2</v>
      </c>
      <c r="DE250" s="1473">
        <f t="shared" si="1055"/>
        <v>2.3352362238034274E-2</v>
      </c>
      <c r="DF250" s="1481">
        <f t="shared" si="1055"/>
        <v>1.9143070805633933E-2</v>
      </c>
      <c r="DG250" s="1473">
        <f t="shared" si="1055"/>
        <v>7.4039496583953035E-3</v>
      </c>
      <c r="DH250" s="1473">
        <f t="shared" si="1055"/>
        <v>-3.0756742303406082E-3</v>
      </c>
      <c r="DI250" s="1848">
        <f t="shared" si="1055"/>
        <v>-2.7314827806194653E-2</v>
      </c>
      <c r="DJ250" s="1481">
        <f t="shared" si="1055"/>
        <v>-6.0122514419894912E-2</v>
      </c>
      <c r="DK250" s="1473">
        <f t="shared" si="1055"/>
        <v>-7.5761551373361491E-2</v>
      </c>
      <c r="DL250" s="1473">
        <f t="shared" si="1055"/>
        <v>-9.2636600606006647E-2</v>
      </c>
      <c r="DM250" s="1848">
        <f t="shared" si="1055"/>
        <v>-0.10304542755399881</v>
      </c>
      <c r="DN250" s="1473">
        <f t="shared" si="1055"/>
        <v>-0.10423526748661194</v>
      </c>
      <c r="DO250" s="1473">
        <f t="shared" si="1055"/>
        <v>-9.0305972747233065E-2</v>
      </c>
      <c r="DP250" s="1473">
        <f t="shared" si="1055"/>
        <v>-8.1636996941791051E-2</v>
      </c>
      <c r="DQ250" s="1848">
        <f t="shared" si="1055"/>
        <v>-7.3494776373944637E-2</v>
      </c>
      <c r="DR250" s="1481">
        <f t="shared" si="1055"/>
        <v>-8.3115604446254321E-2</v>
      </c>
      <c r="DS250" s="1473">
        <f t="shared" si="1055"/>
        <v>-9.1189242295593886E-2</v>
      </c>
      <c r="DT250" s="1473">
        <f t="shared" si="1055"/>
        <v>-7.7585813160558792E-2</v>
      </c>
      <c r="DU250" s="1848">
        <f t="shared" si="1055"/>
        <v>-6.0635512655540014E-2</v>
      </c>
      <c r="DV250" s="1473">
        <f t="shared" si="1055"/>
        <v>-5.8025667344058895E-2</v>
      </c>
      <c r="DW250" s="1473">
        <f>CHOOSE(_switch,DW251,DW252,DW253)</f>
        <v>-0.04</v>
      </c>
      <c r="DX250" s="1473">
        <f>CHOOSE(_switch,DX251,DX252,DX253)</f>
        <v>-3.5000000000000003E-2</v>
      </c>
      <c r="DY250" s="1848">
        <f>CHOOSE(_switch,DY251,DY252,DY253)</f>
        <v>-0.03</v>
      </c>
    </row>
    <row r="251" spans="1:133" s="1491" customFormat="1" ht="15" customHeight="1" outlineLevel="1">
      <c r="A251" s="1851" t="s">
        <v>1106</v>
      </c>
      <c r="B251" s="1473"/>
      <c r="C251" s="1473"/>
      <c r="D251" s="1473"/>
      <c r="E251" s="1473"/>
      <c r="F251" s="1473"/>
      <c r="G251" s="1473"/>
      <c r="H251" s="1473"/>
      <c r="I251" s="1473"/>
      <c r="J251" s="1473"/>
      <c r="K251" s="1473"/>
      <c r="L251" s="1473"/>
      <c r="M251" s="1473"/>
      <c r="N251" s="1473"/>
      <c r="O251" s="1473"/>
      <c r="P251" s="1842"/>
      <c r="Q251" s="1842"/>
      <c r="R251" s="1842"/>
      <c r="S251" s="1842"/>
      <c r="T251" s="1842"/>
      <c r="U251" s="1842"/>
      <c r="V251" s="1842"/>
      <c r="W251" s="1842"/>
      <c r="X251" s="1842"/>
      <c r="Y251" s="1842"/>
      <c r="Z251" s="1842"/>
      <c r="AA251" s="1842">
        <f>+Z251+0.002</f>
        <v>2E-3</v>
      </c>
      <c r="AB251" s="1842">
        <f t="shared" ref="AB251:AG251" si="1056">+AA251+0.002</f>
        <v>4.0000000000000001E-3</v>
      </c>
      <c r="AC251" s="1842">
        <f t="shared" si="1056"/>
        <v>6.0000000000000001E-3</v>
      </c>
      <c r="AD251" s="1842">
        <f t="shared" si="1056"/>
        <v>8.0000000000000002E-3</v>
      </c>
      <c r="AE251" s="1842">
        <f t="shared" si="1056"/>
        <v>0.01</v>
      </c>
      <c r="AF251" s="1842">
        <f t="shared" si="1056"/>
        <v>1.2E-2</v>
      </c>
      <c r="AG251" s="1842">
        <f t="shared" si="1056"/>
        <v>1.4E-2</v>
      </c>
      <c r="AH251" s="2201"/>
      <c r="AI251" s="2125"/>
      <c r="AJ251" s="1561"/>
      <c r="AK251" s="1473"/>
      <c r="AL251" s="1473"/>
      <c r="AM251" s="1473"/>
      <c r="AN251" s="1473"/>
      <c r="AO251" s="1473"/>
      <c r="AP251" s="1481"/>
      <c r="AQ251" s="1473"/>
      <c r="AR251" s="1473"/>
      <c r="AS251" s="1473"/>
      <c r="AT251" s="1481"/>
      <c r="AU251" s="1473"/>
      <c r="AV251" s="1473"/>
      <c r="AW251" s="1473"/>
      <c r="AX251" s="1481"/>
      <c r="AY251" s="1473"/>
      <c r="AZ251" s="1473"/>
      <c r="BA251" s="1473"/>
      <c r="BB251" s="1481"/>
      <c r="BC251" s="1473"/>
      <c r="BD251" s="1473"/>
      <c r="BE251" s="1473"/>
      <c r="BF251" s="1481"/>
      <c r="BG251" s="1473"/>
      <c r="BH251" s="1473"/>
      <c r="BI251" s="1473"/>
      <c r="BJ251" s="1481"/>
      <c r="BK251" s="1473"/>
      <c r="BL251" s="1473"/>
      <c r="BM251" s="1473"/>
      <c r="BN251" s="1481"/>
      <c r="BO251" s="1473"/>
      <c r="BP251" s="1473"/>
      <c r="BQ251" s="1473"/>
      <c r="BR251" s="1481"/>
      <c r="BS251" s="1473"/>
      <c r="BT251" s="1473"/>
      <c r="BU251" s="1473"/>
      <c r="BV251" s="1481"/>
      <c r="BW251" s="1473"/>
      <c r="BX251" s="1473"/>
      <c r="BY251" s="1473"/>
      <c r="BZ251" s="1481"/>
      <c r="CA251" s="1473"/>
      <c r="CB251" s="1473"/>
      <c r="CC251" s="1473"/>
      <c r="CD251" s="1481"/>
      <c r="CE251" s="1473"/>
      <c r="CF251" s="1473"/>
      <c r="CG251" s="1473"/>
      <c r="CH251" s="1849"/>
      <c r="CI251" s="1842"/>
      <c r="CJ251" s="1842"/>
      <c r="CK251" s="1842"/>
      <c r="CL251" s="1849"/>
      <c r="CM251" s="1842"/>
      <c r="CN251" s="1842"/>
      <c r="CO251" s="1842"/>
      <c r="CP251" s="1849"/>
      <c r="CQ251" s="1842"/>
      <c r="CR251" s="1842"/>
      <c r="CS251" s="1842"/>
      <c r="CT251" s="1849"/>
      <c r="CU251" s="1842"/>
      <c r="CV251" s="1842"/>
      <c r="CW251" s="1842"/>
      <c r="CX251" s="1849"/>
      <c r="CY251" s="1842"/>
      <c r="CZ251" s="1842"/>
      <c r="DA251" s="1842"/>
      <c r="DB251" s="1849"/>
      <c r="DC251" s="1842"/>
      <c r="DD251" s="1842"/>
      <c r="DE251" s="1842"/>
      <c r="DF251" s="1849"/>
      <c r="DG251" s="1842"/>
      <c r="DH251" s="1842"/>
      <c r="DI251" s="1843"/>
      <c r="DJ251" s="1849"/>
      <c r="DK251" s="1842"/>
      <c r="DL251" s="1842"/>
      <c r="DM251" s="1843"/>
      <c r="DN251" s="1842"/>
      <c r="DO251" s="1842"/>
      <c r="DP251" s="1842"/>
      <c r="DQ251" s="1843"/>
      <c r="DR251" s="1849"/>
      <c r="DS251" s="1842"/>
      <c r="DT251" s="1842"/>
      <c r="DU251" s="1843"/>
      <c r="DV251" s="1842"/>
      <c r="DW251" s="1842">
        <v>-0.04</v>
      </c>
      <c r="DX251" s="1842">
        <v>-3.5000000000000003E-2</v>
      </c>
      <c r="DY251" s="1843">
        <v>-0.03</v>
      </c>
    </row>
    <row r="252" spans="1:133" s="1491" customFormat="1" ht="15" customHeight="1" outlineLevel="1">
      <c r="A252" s="1851" t="s">
        <v>1107</v>
      </c>
      <c r="B252" s="1473"/>
      <c r="C252" s="1473"/>
      <c r="D252" s="1473"/>
      <c r="E252" s="1473"/>
      <c r="F252" s="1473"/>
      <c r="G252" s="1473"/>
      <c r="H252" s="1473"/>
      <c r="I252" s="1473"/>
      <c r="J252" s="1473"/>
      <c r="K252" s="1473"/>
      <c r="L252" s="1473"/>
      <c r="M252" s="1473"/>
      <c r="N252" s="1473"/>
      <c r="O252" s="1473"/>
      <c r="P252" s="1842"/>
      <c r="Q252" s="1842"/>
      <c r="R252" s="1842"/>
      <c r="S252" s="1842"/>
      <c r="T252" s="1842"/>
      <c r="U252" s="1842"/>
      <c r="V252" s="1842"/>
      <c r="W252" s="1842"/>
      <c r="X252" s="1842"/>
      <c r="Y252" s="1842"/>
      <c r="Z252" s="1842"/>
      <c r="AA252" s="1842">
        <f t="shared" ref="AA252:AG252" si="1057">+AA251+0.0075</f>
        <v>9.4999999999999998E-3</v>
      </c>
      <c r="AB252" s="1842">
        <f t="shared" si="1057"/>
        <v>1.15E-2</v>
      </c>
      <c r="AC252" s="1842">
        <f t="shared" si="1057"/>
        <v>1.35E-2</v>
      </c>
      <c r="AD252" s="1842">
        <f t="shared" si="1057"/>
        <v>1.55E-2</v>
      </c>
      <c r="AE252" s="1842">
        <f t="shared" si="1057"/>
        <v>1.7500000000000002E-2</v>
      </c>
      <c r="AF252" s="1842">
        <f t="shared" si="1057"/>
        <v>1.95E-2</v>
      </c>
      <c r="AG252" s="1842">
        <f t="shared" si="1057"/>
        <v>2.1499999999999998E-2</v>
      </c>
      <c r="AH252" s="2201"/>
      <c r="AI252" s="2125"/>
      <c r="AJ252" s="1561"/>
      <c r="AK252" s="1473"/>
      <c r="AL252" s="1473"/>
      <c r="AM252" s="1473"/>
      <c r="AN252" s="1473"/>
      <c r="AO252" s="1473"/>
      <c r="AP252" s="1481"/>
      <c r="AQ252" s="1473"/>
      <c r="AR252" s="1473"/>
      <c r="AS252" s="1473"/>
      <c r="AT252" s="1481"/>
      <c r="AU252" s="1473"/>
      <c r="AV252" s="1473"/>
      <c r="AW252" s="1473"/>
      <c r="AX252" s="1481"/>
      <c r="AY252" s="1473"/>
      <c r="AZ252" s="1473"/>
      <c r="BA252" s="1473"/>
      <c r="BB252" s="1481"/>
      <c r="BC252" s="1473"/>
      <c r="BD252" s="1473"/>
      <c r="BE252" s="1473"/>
      <c r="BF252" s="1481"/>
      <c r="BG252" s="1473"/>
      <c r="BH252" s="1473"/>
      <c r="BI252" s="1473"/>
      <c r="BJ252" s="1481"/>
      <c r="BK252" s="1473"/>
      <c r="BL252" s="1473"/>
      <c r="BM252" s="1473"/>
      <c r="BN252" s="1481"/>
      <c r="BO252" s="1473"/>
      <c r="BP252" s="1473"/>
      <c r="BQ252" s="1473"/>
      <c r="BR252" s="1481"/>
      <c r="BS252" s="1473"/>
      <c r="BT252" s="1473"/>
      <c r="BU252" s="1473"/>
      <c r="BV252" s="1481"/>
      <c r="BW252" s="1473"/>
      <c r="BX252" s="1473"/>
      <c r="BY252" s="1473"/>
      <c r="BZ252" s="1481"/>
      <c r="CA252" s="1473"/>
      <c r="CB252" s="1473"/>
      <c r="CC252" s="1473"/>
      <c r="CD252" s="1481"/>
      <c r="CE252" s="1473"/>
      <c r="CF252" s="1473"/>
      <c r="CG252" s="1473"/>
      <c r="CH252" s="1849"/>
      <c r="CI252" s="1842"/>
      <c r="CJ252" s="1842"/>
      <c r="CK252" s="1842"/>
      <c r="CL252" s="1849"/>
      <c r="CM252" s="1842"/>
      <c r="CN252" s="1842"/>
      <c r="CO252" s="1842"/>
      <c r="CP252" s="1849"/>
      <c r="CQ252" s="1842"/>
      <c r="CR252" s="1842"/>
      <c r="CS252" s="1842"/>
      <c r="CT252" s="1849"/>
      <c r="CU252" s="1842"/>
      <c r="CV252" s="1842"/>
      <c r="CW252" s="1842"/>
      <c r="CX252" s="1849"/>
      <c r="CY252" s="1842"/>
      <c r="CZ252" s="1842"/>
      <c r="DA252" s="1842"/>
      <c r="DB252" s="1849"/>
      <c r="DC252" s="1842"/>
      <c r="DD252" s="1842"/>
      <c r="DE252" s="1842"/>
      <c r="DF252" s="1849"/>
      <c r="DG252" s="1842"/>
      <c r="DH252" s="1842"/>
      <c r="DI252" s="1843"/>
      <c r="DJ252" s="1849"/>
      <c r="DK252" s="1842"/>
      <c r="DL252" s="1842"/>
      <c r="DM252" s="1843"/>
      <c r="DN252" s="1842"/>
      <c r="DO252" s="1842"/>
      <c r="DP252" s="1842"/>
      <c r="DQ252" s="1843"/>
      <c r="DR252" s="1849"/>
      <c r="DS252" s="1842"/>
      <c r="DT252" s="1842"/>
      <c r="DU252" s="1843"/>
      <c r="DV252" s="1842"/>
      <c r="DW252" s="1842">
        <f t="shared" ref="DW252:DY252" si="1058">+DW251+0.01</f>
        <v>-0.03</v>
      </c>
      <c r="DX252" s="1842">
        <f t="shared" si="1058"/>
        <v>-2.5000000000000001E-2</v>
      </c>
      <c r="DY252" s="1843">
        <f t="shared" si="1058"/>
        <v>-1.9999999999999997E-2</v>
      </c>
    </row>
    <row r="253" spans="1:133" s="1491" customFormat="1" ht="15" customHeight="1" outlineLevel="1">
      <c r="A253" s="1851" t="s">
        <v>1109</v>
      </c>
      <c r="B253" s="1473"/>
      <c r="C253" s="1473"/>
      <c r="D253" s="1473"/>
      <c r="E253" s="1473"/>
      <c r="F253" s="1473"/>
      <c r="G253" s="1473"/>
      <c r="H253" s="1473"/>
      <c r="I253" s="1473"/>
      <c r="J253" s="1473"/>
      <c r="K253" s="1473"/>
      <c r="L253" s="1473"/>
      <c r="M253" s="1473"/>
      <c r="N253" s="1473"/>
      <c r="O253" s="1473"/>
      <c r="P253" s="1842"/>
      <c r="Q253" s="1842"/>
      <c r="R253" s="1842"/>
      <c r="S253" s="1842"/>
      <c r="T253" s="1842"/>
      <c r="U253" s="1842"/>
      <c r="V253" s="1842"/>
      <c r="W253" s="1842"/>
      <c r="X253" s="1842"/>
      <c r="Y253" s="1842"/>
      <c r="Z253" s="1842"/>
      <c r="AA253" s="1842">
        <f t="shared" ref="AA253:AG253" si="1059">+AA251-0.0425</f>
        <v>-4.0500000000000001E-2</v>
      </c>
      <c r="AB253" s="1842">
        <f t="shared" si="1059"/>
        <v>-3.8500000000000006E-2</v>
      </c>
      <c r="AC253" s="1842">
        <f t="shared" si="1059"/>
        <v>-3.6500000000000005E-2</v>
      </c>
      <c r="AD253" s="1842">
        <f t="shared" si="1059"/>
        <v>-3.4500000000000003E-2</v>
      </c>
      <c r="AE253" s="1842">
        <f t="shared" si="1059"/>
        <v>-3.2500000000000001E-2</v>
      </c>
      <c r="AF253" s="1842">
        <f t="shared" si="1059"/>
        <v>-3.0500000000000003E-2</v>
      </c>
      <c r="AG253" s="1842">
        <f t="shared" si="1059"/>
        <v>-2.8500000000000004E-2</v>
      </c>
      <c r="AH253" s="2201"/>
      <c r="AI253" s="2125"/>
      <c r="AJ253" s="1561"/>
      <c r="AK253" s="1473"/>
      <c r="AL253" s="1473"/>
      <c r="AM253" s="1473"/>
      <c r="AN253" s="1473"/>
      <c r="AO253" s="1473"/>
      <c r="AP253" s="1481"/>
      <c r="AQ253" s="1473"/>
      <c r="AR253" s="1473"/>
      <c r="AS253" s="1473"/>
      <c r="AT253" s="1481"/>
      <c r="AU253" s="1473"/>
      <c r="AV253" s="1473"/>
      <c r="AW253" s="1473"/>
      <c r="AX253" s="1481"/>
      <c r="AY253" s="1473"/>
      <c r="AZ253" s="1473"/>
      <c r="BA253" s="1473"/>
      <c r="BB253" s="1481"/>
      <c r="BC253" s="1473"/>
      <c r="BD253" s="1473"/>
      <c r="BE253" s="1473"/>
      <c r="BF253" s="1481"/>
      <c r="BG253" s="1473"/>
      <c r="BH253" s="1473"/>
      <c r="BI253" s="1473"/>
      <c r="BJ253" s="1481"/>
      <c r="BK253" s="1473"/>
      <c r="BL253" s="1473"/>
      <c r="BM253" s="1473"/>
      <c r="BN253" s="1481"/>
      <c r="BO253" s="1473"/>
      <c r="BP253" s="1473"/>
      <c r="BQ253" s="1473"/>
      <c r="BR253" s="1481"/>
      <c r="BS253" s="1473"/>
      <c r="BT253" s="1473"/>
      <c r="BU253" s="1473"/>
      <c r="BV253" s="1481"/>
      <c r="BW253" s="1473"/>
      <c r="BX253" s="1473"/>
      <c r="BY253" s="1473"/>
      <c r="BZ253" s="1481"/>
      <c r="CA253" s="1473"/>
      <c r="CB253" s="1473"/>
      <c r="CC253" s="1473"/>
      <c r="CD253" s="1481"/>
      <c r="CE253" s="1473"/>
      <c r="CF253" s="1473"/>
      <c r="CG253" s="1473"/>
      <c r="CH253" s="1849"/>
      <c r="CI253" s="1842"/>
      <c r="CJ253" s="1842"/>
      <c r="CK253" s="1842"/>
      <c r="CL253" s="1849"/>
      <c r="CM253" s="1842"/>
      <c r="CN253" s="1842"/>
      <c r="CO253" s="1842"/>
      <c r="CP253" s="1849"/>
      <c r="CQ253" s="1842"/>
      <c r="CR253" s="1842"/>
      <c r="CS253" s="1842"/>
      <c r="CT253" s="1849"/>
      <c r="CU253" s="1842"/>
      <c r="CV253" s="1842"/>
      <c r="CW253" s="1842"/>
      <c r="CX253" s="1849"/>
      <c r="CY253" s="1842"/>
      <c r="CZ253" s="1842"/>
      <c r="DA253" s="1842"/>
      <c r="DB253" s="1849"/>
      <c r="DC253" s="1842"/>
      <c r="DD253" s="1842"/>
      <c r="DE253" s="1842"/>
      <c r="DF253" s="1849"/>
      <c r="DG253" s="1842"/>
      <c r="DH253" s="1842"/>
      <c r="DI253" s="1843"/>
      <c r="DJ253" s="1849"/>
      <c r="DK253" s="1842"/>
      <c r="DL253" s="1842"/>
      <c r="DM253" s="1843"/>
      <c r="DN253" s="1842"/>
      <c r="DO253" s="1842"/>
      <c r="DP253" s="1842"/>
      <c r="DQ253" s="1843"/>
      <c r="DR253" s="1849"/>
      <c r="DS253" s="1842"/>
      <c r="DT253" s="1842"/>
      <c r="DU253" s="1843"/>
      <c r="DV253" s="1842"/>
      <c r="DW253" s="1842">
        <f t="shared" ref="DW253:DY253" si="1060">+DW251-0.02</f>
        <v>-0.06</v>
      </c>
      <c r="DX253" s="1842">
        <f t="shared" si="1060"/>
        <v>-5.5000000000000007E-2</v>
      </c>
      <c r="DY253" s="1843">
        <f t="shared" si="1060"/>
        <v>-0.05</v>
      </c>
      <c r="DZ253" s="1942"/>
      <c r="EA253" s="1903"/>
      <c r="EB253" s="1903"/>
      <c r="EC253" s="1903"/>
    </row>
    <row r="254" spans="1:133" s="2205" customFormat="1" ht="15" customHeight="1">
      <c r="A254" s="2820" t="s">
        <v>1616</v>
      </c>
      <c r="B254" s="2821"/>
      <c r="C254" s="2821"/>
      <c r="D254" s="2822"/>
      <c r="E254" s="2822"/>
      <c r="F254" s="2822"/>
      <c r="G254" s="2823"/>
      <c r="H254" s="2822"/>
      <c r="I254" s="2822"/>
      <c r="J254" s="2822"/>
      <c r="K254" s="2822"/>
      <c r="L254" s="2822"/>
      <c r="M254" s="2822"/>
      <c r="N254" s="2822">
        <f>+N208+N232</f>
        <v>64757.478000000003</v>
      </c>
      <c r="O254" s="2822">
        <f>+O208+O232</f>
        <v>71809.274000000005</v>
      </c>
      <c r="P254" s="2822">
        <f>+CK254</f>
        <v>76385</v>
      </c>
      <c r="Q254" s="2822">
        <f>+CO254</f>
        <v>80495</v>
      </c>
      <c r="R254" s="2822">
        <f>+CS254</f>
        <v>83125</v>
      </c>
      <c r="S254" s="2822">
        <f>+CW254</f>
        <v>87382</v>
      </c>
      <c r="T254" s="2822">
        <f>+DA254</f>
        <v>92530</v>
      </c>
      <c r="U254" s="2822">
        <f>+DE254</f>
        <v>96752</v>
      </c>
      <c r="V254" s="2822">
        <f>+DI254</f>
        <v>102079</v>
      </c>
      <c r="W254" s="2822">
        <f>+DM254</f>
        <v>106528</v>
      </c>
      <c r="X254" s="2822">
        <f>+DQ254</f>
        <v>108796</v>
      </c>
      <c r="Y254" s="2822">
        <f>+DU254</f>
        <v>110854</v>
      </c>
      <c r="Z254" s="2822">
        <f ca="1">+DY254</f>
        <v>113126.22653553708</v>
      </c>
      <c r="AA254" s="2822">
        <f ca="1">+Z254+AA255+AA256</f>
        <v>115110.67715628677</v>
      </c>
      <c r="AB254" s="2822">
        <f ca="1">+AA254+AB255+AB256</f>
        <v>116853.76675333879</v>
      </c>
      <c r="AC254" s="2822">
        <f t="shared" ref="AC254:AG254" ca="1" si="1061">+AB254+AC255+AC256</f>
        <v>118395.107725493</v>
      </c>
      <c r="AD254" s="2822">
        <f t="shared" ca="1" si="1061"/>
        <v>119768.60456485851</v>
      </c>
      <c r="AE254" s="2822">
        <f t="shared" ca="1" si="1061"/>
        <v>121003.36675566669</v>
      </c>
      <c r="AF254" s="2822">
        <f t="shared" ca="1" si="1061"/>
        <v>122124.47165302072</v>
      </c>
      <c r="AG254" s="2822">
        <f t="shared" ca="1" si="1061"/>
        <v>123153.60330095454</v>
      </c>
      <c r="AH254" s="2220"/>
      <c r="AI254" s="1928">
        <f ca="1">(AA254/V254)^(1/5)-1</f>
        <v>2.4320443180589901E-2</v>
      </c>
      <c r="AJ254" s="2221"/>
      <c r="AK254" s="2822"/>
      <c r="AL254" s="2822"/>
      <c r="AM254" s="2821"/>
      <c r="AN254" s="2822"/>
      <c r="AO254" s="2822"/>
      <c r="AP254" s="2824"/>
      <c r="AQ254" s="2822"/>
      <c r="AR254" s="2822"/>
      <c r="AS254" s="2822"/>
      <c r="AT254" s="2824"/>
      <c r="AU254" s="2822"/>
      <c r="AV254" s="2822"/>
      <c r="AW254" s="2822"/>
      <c r="AX254" s="2824"/>
      <c r="AY254" s="2822"/>
      <c r="AZ254" s="2822"/>
      <c r="BA254" s="2822"/>
      <c r="BB254" s="2824"/>
      <c r="BC254" s="2822"/>
      <c r="BD254" s="2822"/>
      <c r="BE254" s="2822"/>
      <c r="BF254" s="2824"/>
      <c r="BG254" s="2822"/>
      <c r="BH254" s="2822"/>
      <c r="BI254" s="2822"/>
      <c r="BJ254" s="2824"/>
      <c r="BK254" s="2822"/>
      <c r="BL254" s="2822"/>
      <c r="BM254" s="2822"/>
      <c r="BN254" s="2825"/>
      <c r="BO254" s="2821"/>
      <c r="BP254" s="2821"/>
      <c r="BQ254" s="2826"/>
      <c r="BR254" s="2825"/>
      <c r="BS254" s="2826"/>
      <c r="BT254" s="2821"/>
      <c r="BU254" s="2826"/>
      <c r="BV254" s="2825"/>
      <c r="BW254" s="2821"/>
      <c r="BX254" s="2821"/>
      <c r="BY254" s="2821"/>
      <c r="BZ254" s="2824">
        <f t="shared" ref="BZ254:CF254" si="1062">+BZ208+BZ232</f>
        <v>58606.135000000002</v>
      </c>
      <c r="CA254" s="2822">
        <f t="shared" si="1062"/>
        <v>60480.12</v>
      </c>
      <c r="CB254" s="2822">
        <f t="shared" si="1062"/>
        <v>62459.179000000004</v>
      </c>
      <c r="CC254" s="2822">
        <f t="shared" si="1062"/>
        <v>64757.478000000003</v>
      </c>
      <c r="CD254" s="2824">
        <f t="shared" si="1062"/>
        <v>66326.362000000008</v>
      </c>
      <c r="CE254" s="2822">
        <f t="shared" si="1062"/>
        <v>68045.271999999997</v>
      </c>
      <c r="CF254" s="2822">
        <f t="shared" si="1062"/>
        <v>69947.063000000009</v>
      </c>
      <c r="CG254" s="2827">
        <f>+CG208+CG232-1580</f>
        <v>70229.274000000005</v>
      </c>
      <c r="CH254" s="2828">
        <f>72610-1580</f>
        <v>71030</v>
      </c>
      <c r="CI254" s="2827">
        <f>74293-1580</f>
        <v>72713</v>
      </c>
      <c r="CJ254" s="2827">
        <f>76622-1580</f>
        <v>75042</v>
      </c>
      <c r="CK254" s="2827">
        <f>77965-1580</f>
        <v>76385</v>
      </c>
      <c r="CL254" s="2829">
        <v>77354</v>
      </c>
      <c r="CM254" s="2830">
        <v>78395</v>
      </c>
      <c r="CN254" s="2830">
        <v>79371</v>
      </c>
      <c r="CO254" s="2830">
        <v>80495</v>
      </c>
      <c r="CP254" s="2829">
        <v>80912</v>
      </c>
      <c r="CQ254" s="2830">
        <v>81573</v>
      </c>
      <c r="CR254" s="2830">
        <v>82257</v>
      </c>
      <c r="CS254" s="2830">
        <v>83125</v>
      </c>
      <c r="CT254" s="2829">
        <v>84031</v>
      </c>
      <c r="CU254" s="2830">
        <v>85290</v>
      </c>
      <c r="CV254" s="2830">
        <v>86175</v>
      </c>
      <c r="CW254" s="2830">
        <v>87382</v>
      </c>
      <c r="CX254" s="2829">
        <v>87963</v>
      </c>
      <c r="CY254" s="2830">
        <v>88838</v>
      </c>
      <c r="CZ254" s="2830">
        <v>90354</v>
      </c>
      <c r="DA254" s="2830">
        <v>92530</v>
      </c>
      <c r="DB254" s="2829">
        <v>93186</v>
      </c>
      <c r="DC254" s="2830">
        <v>94271</v>
      </c>
      <c r="DD254" s="2830">
        <v>95185</v>
      </c>
      <c r="DE254" s="2830">
        <v>96752</v>
      </c>
      <c r="DF254" s="2829">
        <v>97273</v>
      </c>
      <c r="DG254" s="2830">
        <v>98593</v>
      </c>
      <c r="DH254" s="2830">
        <v>100103</v>
      </c>
      <c r="DI254" s="2831">
        <v>102079</v>
      </c>
      <c r="DJ254" s="2829">
        <v>102637</v>
      </c>
      <c r="DK254" s="2830">
        <v>103731</v>
      </c>
      <c r="DL254" s="2830">
        <v>105023</v>
      </c>
      <c r="DM254" s="2831">
        <v>106528</v>
      </c>
      <c r="DN254" s="2830">
        <v>107171</v>
      </c>
      <c r="DO254" s="2830">
        <v>107780</v>
      </c>
      <c r="DP254" s="2991">
        <f>+NormInputs!DF307</f>
        <v>108220</v>
      </c>
      <c r="DQ254" s="3042">
        <f>+NormInputs!DG307</f>
        <v>108796</v>
      </c>
      <c r="DR254" s="3065">
        <f>+NormInputs!DH307</f>
        <v>108483</v>
      </c>
      <c r="DS254" s="2991">
        <f>+NormInputs!DI307</f>
        <v>109088</v>
      </c>
      <c r="DT254" s="2991">
        <f>+NormInputs!DJ307</f>
        <v>109686</v>
      </c>
      <c r="DU254" s="3289">
        <f>+NormInputs!DK307</f>
        <v>110854</v>
      </c>
      <c r="DV254" s="3321">
        <f>+NormInputs!DL307</f>
        <v>111114</v>
      </c>
      <c r="DW254" s="2822">
        <f t="shared" ref="DW254" ca="1" si="1063">+DV254+DW255</f>
        <v>111582.10105315057</v>
      </c>
      <c r="DX254" s="2822">
        <f t="shared" ref="DX254" ca="1" si="1064">+DW254+DX255</f>
        <v>112066.84358738085</v>
      </c>
      <c r="DY254" s="2832">
        <f t="shared" ref="DY254" ca="1" si="1065">+DX254+DY255</f>
        <v>113126.22653553708</v>
      </c>
      <c r="DZ254" s="3298"/>
      <c r="EA254" s="3297"/>
      <c r="EB254" s="3297"/>
      <c r="EC254" s="3297"/>
    </row>
    <row r="255" spans="1:133" s="2205" customFormat="1" ht="15" customHeight="1">
      <c r="A255" s="2833" t="s">
        <v>844</v>
      </c>
      <c r="D255" s="1992"/>
      <c r="E255" s="1992"/>
      <c r="F255" s="1992"/>
      <c r="G255" s="2510"/>
      <c r="H255" s="1992"/>
      <c r="I255" s="1992"/>
      <c r="J255" s="1992"/>
      <c r="K255" s="1992"/>
      <c r="L255" s="1992"/>
      <c r="M255" s="1992"/>
      <c r="N255" s="1992">
        <f>+N209+N234</f>
        <v>7879.0839999999998</v>
      </c>
      <c r="O255" s="1992">
        <f>+O209+O234</f>
        <v>7056.3720000000003</v>
      </c>
      <c r="P255" s="1992">
        <f>+SUM(CH255:CK255)</f>
        <v>6278.9259999999995</v>
      </c>
      <c r="Q255" s="1992">
        <f>+SUM(CL255:CO255)</f>
        <v>3987</v>
      </c>
      <c r="R255" s="1992">
        <f>+SUM(CP255:CS255)</f>
        <v>2529</v>
      </c>
      <c r="S255" s="1992">
        <f>+SUM(CT255:CW255)</f>
        <v>4252</v>
      </c>
      <c r="T255" s="1992">
        <f>+SUM(CX255:DA255)</f>
        <v>5024</v>
      </c>
      <c r="U255" s="1992">
        <f>+SUM(DB255:DE255)</f>
        <v>4118</v>
      </c>
      <c r="V255" s="1992">
        <f>+SUM(DF255:DI255)</f>
        <v>5482</v>
      </c>
      <c r="W255" s="1992">
        <f>+SUM(DJ255:DM255)</f>
        <v>4507</v>
      </c>
      <c r="X255" s="1992">
        <f>+SUM(DN255:DQ255)</f>
        <v>2288</v>
      </c>
      <c r="Y255" s="1992">
        <f>+SUM(DR255:DU255)</f>
        <v>2084</v>
      </c>
      <c r="Z255" s="1992">
        <f ca="1">+SUM(DV255:DY255)</f>
        <v>2272.2265355370764</v>
      </c>
      <c r="AA255" s="1992">
        <f ca="1">+AA257-AA263</f>
        <v>1984.4506207496906</v>
      </c>
      <c r="AB255" s="1992">
        <f ca="1">+AB257-AB263</f>
        <v>1743.0895970520178</v>
      </c>
      <c r="AC255" s="1992">
        <f t="shared" ref="AC255:AG255" ca="1" si="1066">+AC257-AC263</f>
        <v>1541.3409721542157</v>
      </c>
      <c r="AD255" s="1992">
        <f t="shared" ca="1" si="1066"/>
        <v>1373.4968393655217</v>
      </c>
      <c r="AE255" s="1992">
        <f t="shared" ca="1" si="1066"/>
        <v>1234.7621908081765</v>
      </c>
      <c r="AF255" s="1992">
        <f t="shared" ca="1" si="1066"/>
        <v>1121.1048973540401</v>
      </c>
      <c r="AG255" s="1992">
        <f t="shared" ca="1" si="1066"/>
        <v>1029.1316479338075</v>
      </c>
      <c r="AH255" s="2220"/>
      <c r="AI255" s="1928"/>
      <c r="AJ255" s="2221"/>
      <c r="AK255" s="1992"/>
      <c r="AL255" s="1992"/>
      <c r="AN255" s="1992"/>
      <c r="AO255" s="1992"/>
      <c r="AP255" s="1993"/>
      <c r="AQ255" s="1992"/>
      <c r="AR255" s="1992"/>
      <c r="AS255" s="1992"/>
      <c r="AT255" s="1993"/>
      <c r="AU255" s="1992"/>
      <c r="AV255" s="1992"/>
      <c r="AW255" s="1992"/>
      <c r="AX255" s="1993"/>
      <c r="AY255" s="1992"/>
      <c r="AZ255" s="1992"/>
      <c r="BA255" s="1992"/>
      <c r="BB255" s="1993"/>
      <c r="BC255" s="1992"/>
      <c r="BD255" s="1992"/>
      <c r="BE255" s="1992"/>
      <c r="BF255" s="1993"/>
      <c r="BG255" s="1992"/>
      <c r="BH255" s="1992"/>
      <c r="BI255" s="1992"/>
      <c r="BJ255" s="1993"/>
      <c r="BK255" s="1992"/>
      <c r="BL255" s="1992"/>
      <c r="BM255" s="1992"/>
      <c r="BN255" s="2834"/>
      <c r="BQ255" s="2835"/>
      <c r="BR255" s="2834"/>
      <c r="BS255" s="2835"/>
      <c r="BU255" s="2835"/>
      <c r="BV255" s="2834"/>
      <c r="BZ255" s="1993">
        <f t="shared" ref="BZ255:CH255" si="1067">+BZ209+BZ234</f>
        <v>1727.741</v>
      </c>
      <c r="CA255" s="1992">
        <f t="shared" si="1067"/>
        <v>1873.9850000000001</v>
      </c>
      <c r="CB255" s="1992">
        <f t="shared" si="1067"/>
        <v>1979.059</v>
      </c>
      <c r="CC255" s="1992">
        <f t="shared" si="1067"/>
        <v>2298.299</v>
      </c>
      <c r="CD255" s="1993">
        <f t="shared" si="1067"/>
        <v>1568.884</v>
      </c>
      <c r="CE255" s="1992">
        <f t="shared" si="1067"/>
        <v>1718.91</v>
      </c>
      <c r="CF255" s="1992">
        <f t="shared" si="1067"/>
        <v>1901.7909999999999</v>
      </c>
      <c r="CG255" s="1992">
        <f t="shared" si="1067"/>
        <v>1866.787</v>
      </c>
      <c r="CH255" s="1993">
        <f t="shared" si="1067"/>
        <v>1445.9259999999999</v>
      </c>
      <c r="CI255" s="1997">
        <f>+CI254-CH254-CI256</f>
        <v>1637</v>
      </c>
      <c r="CJ255" s="1997">
        <f>+CJ254-CI254-CJ256</f>
        <v>1723</v>
      </c>
      <c r="CK255" s="1997">
        <f>+CK254-CJ254-CK256</f>
        <v>1473</v>
      </c>
      <c r="CL255" s="1993">
        <f t="shared" ref="CL255:DJ255" si="1068">+CL119</f>
        <v>936</v>
      </c>
      <c r="CM255" s="1992">
        <f t="shared" si="1068"/>
        <v>1044</v>
      </c>
      <c r="CN255" s="1992">
        <f t="shared" si="1068"/>
        <v>901</v>
      </c>
      <c r="CO255" s="1992">
        <f t="shared" si="1068"/>
        <v>1106</v>
      </c>
      <c r="CP255" s="1993">
        <f t="shared" si="1068"/>
        <v>412</v>
      </c>
      <c r="CQ255" s="1992">
        <f t="shared" si="1068"/>
        <v>661</v>
      </c>
      <c r="CR255" s="1992">
        <f t="shared" si="1068"/>
        <v>584</v>
      </c>
      <c r="CS255" s="1992">
        <f t="shared" si="1068"/>
        <v>872</v>
      </c>
      <c r="CT255" s="1993">
        <f t="shared" si="1068"/>
        <v>906</v>
      </c>
      <c r="CU255" s="1992">
        <f t="shared" si="1068"/>
        <v>1257</v>
      </c>
      <c r="CV255" s="1992">
        <f t="shared" si="1068"/>
        <v>882</v>
      </c>
      <c r="CW255" s="1992">
        <f t="shared" si="1068"/>
        <v>1207</v>
      </c>
      <c r="CX255" s="1993">
        <f t="shared" si="1068"/>
        <v>501</v>
      </c>
      <c r="CY255" s="1992">
        <f t="shared" si="1068"/>
        <v>888</v>
      </c>
      <c r="CZ255" s="1992">
        <f t="shared" si="1068"/>
        <v>1535</v>
      </c>
      <c r="DA255" s="1992">
        <f t="shared" si="1068"/>
        <v>2100</v>
      </c>
      <c r="DB255" s="1993">
        <f t="shared" si="1068"/>
        <v>677</v>
      </c>
      <c r="DC255" s="1992">
        <f t="shared" si="1068"/>
        <v>941</v>
      </c>
      <c r="DD255" s="1992">
        <f t="shared" si="1068"/>
        <v>927</v>
      </c>
      <c r="DE255" s="1992">
        <f t="shared" si="1068"/>
        <v>1573</v>
      </c>
      <c r="DF255" s="1993">
        <f t="shared" si="1068"/>
        <v>539</v>
      </c>
      <c r="DG255" s="1992">
        <f t="shared" si="1068"/>
        <v>1441</v>
      </c>
      <c r="DH255" s="1992">
        <f t="shared" si="1068"/>
        <v>1516</v>
      </c>
      <c r="DI255" s="1998">
        <f t="shared" si="1068"/>
        <v>1986</v>
      </c>
      <c r="DJ255" s="1993">
        <f t="shared" si="1068"/>
        <v>565</v>
      </c>
      <c r="DK255" s="1992">
        <f t="shared" ref="DK255:DP255" si="1069">+DK119</f>
        <v>1134</v>
      </c>
      <c r="DL255" s="1992">
        <f t="shared" si="1069"/>
        <v>1289</v>
      </c>
      <c r="DM255" s="1998">
        <f t="shared" si="1069"/>
        <v>1519</v>
      </c>
      <c r="DN255" s="1992">
        <f t="shared" si="1069"/>
        <v>640</v>
      </c>
      <c r="DO255" s="1992">
        <f t="shared" si="1069"/>
        <v>615</v>
      </c>
      <c r="DP255" s="1992">
        <f t="shared" si="1069"/>
        <v>442</v>
      </c>
      <c r="DQ255" s="1998">
        <f t="shared" ref="DQ255" si="1070">+DQ119</f>
        <v>591</v>
      </c>
      <c r="DR255" s="1993">
        <f t="shared" ref="DR255" si="1071">+DR119</f>
        <v>-307</v>
      </c>
      <c r="DS255" s="1992">
        <f t="shared" ref="DS255:DT255" si="1072">+DS119</f>
        <v>614</v>
      </c>
      <c r="DT255" s="1992">
        <f t="shared" si="1072"/>
        <v>603</v>
      </c>
      <c r="DU255" s="1998">
        <f t="shared" ref="DU255" si="1073">+DU119</f>
        <v>1174</v>
      </c>
      <c r="DV255" s="1992">
        <f t="shared" ref="DV255" si="1074">+DV119</f>
        <v>260</v>
      </c>
      <c r="DW255" s="1992">
        <f t="shared" ref="DW255:DY255" ca="1" si="1075">+DW257-DW263</f>
        <v>468.10105315057672</v>
      </c>
      <c r="DX255" s="1992">
        <f t="shared" ca="1" si="1075"/>
        <v>484.74253423026812</v>
      </c>
      <c r="DY255" s="1998">
        <f t="shared" ca="1" si="1075"/>
        <v>1059.3829481562316</v>
      </c>
    </row>
    <row r="256" spans="1:133" ht="15" customHeight="1">
      <c r="A256" s="2836" t="s">
        <v>1617</v>
      </c>
      <c r="B256" s="2837"/>
      <c r="C256" s="2837"/>
      <c r="D256" s="2837"/>
      <c r="E256" s="2837"/>
      <c r="F256" s="2837"/>
      <c r="G256" s="2837"/>
      <c r="H256" s="2837"/>
      <c r="I256" s="2837"/>
      <c r="J256" s="2837"/>
      <c r="K256" s="2837"/>
      <c r="L256" s="2837"/>
      <c r="M256" s="2837"/>
      <c r="N256" s="2837"/>
      <c r="O256" s="2837"/>
      <c r="P256" s="2837"/>
      <c r="Q256" s="2838">
        <f>+SUM(CL256:CO256)</f>
        <v>85</v>
      </c>
      <c r="R256" s="2838">
        <f>+SUM(CP256:CS256)</f>
        <v>101</v>
      </c>
      <c r="S256" s="2839">
        <v>0</v>
      </c>
      <c r="T256" s="2839">
        <v>0</v>
      </c>
      <c r="U256" s="2839">
        <v>0</v>
      </c>
      <c r="V256" s="2839">
        <v>0</v>
      </c>
      <c r="W256" s="2839">
        <v>0</v>
      </c>
      <c r="X256" s="3001">
        <f>+SUM(DN256:DQ256)</f>
        <v>-20</v>
      </c>
      <c r="Y256" s="3001">
        <f>+SUM(DR256:DU256)</f>
        <v>-26</v>
      </c>
      <c r="Z256" s="3001">
        <f>+SUM(DV256:DY256)</f>
        <v>0</v>
      </c>
      <c r="AA256" s="3002">
        <v>0</v>
      </c>
      <c r="AB256" s="3002">
        <v>0</v>
      </c>
      <c r="AC256" s="3002">
        <v>0</v>
      </c>
      <c r="AD256" s="3002">
        <v>0</v>
      </c>
      <c r="AE256" s="3002">
        <v>0</v>
      </c>
      <c r="AF256" s="3002">
        <v>0</v>
      </c>
      <c r="AG256" s="3002">
        <v>0</v>
      </c>
      <c r="AH256" s="2201"/>
      <c r="AI256" s="1927"/>
      <c r="AK256" s="2837"/>
      <c r="AL256" s="2837"/>
      <c r="AM256" s="2837"/>
      <c r="AN256" s="2837"/>
      <c r="AO256" s="2837"/>
      <c r="AP256" s="2840"/>
      <c r="AQ256" s="2837"/>
      <c r="AR256" s="2837"/>
      <c r="AS256" s="2837"/>
      <c r="AT256" s="2840"/>
      <c r="AU256" s="2837"/>
      <c r="AV256" s="2837"/>
      <c r="AW256" s="2837"/>
      <c r="AX256" s="2840"/>
      <c r="AY256" s="2837"/>
      <c r="AZ256" s="2837"/>
      <c r="BA256" s="2837"/>
      <c r="BB256" s="2840"/>
      <c r="BC256" s="2837"/>
      <c r="BD256" s="2837"/>
      <c r="BE256" s="2837"/>
      <c r="BF256" s="2840"/>
      <c r="BG256" s="2837"/>
      <c r="BH256" s="2837"/>
      <c r="BI256" s="2837"/>
      <c r="BJ256" s="2840"/>
      <c r="BK256" s="2837"/>
      <c r="BL256" s="2837"/>
      <c r="BM256" s="2837"/>
      <c r="BN256" s="2840"/>
      <c r="BO256" s="2837"/>
      <c r="BP256" s="2837"/>
      <c r="BQ256" s="2837"/>
      <c r="BR256" s="2840"/>
      <c r="BS256" s="2837"/>
      <c r="BT256" s="2837"/>
      <c r="BU256" s="2837"/>
      <c r="BV256" s="2840"/>
      <c r="BW256" s="2837"/>
      <c r="BX256" s="2837"/>
      <c r="BY256" s="2837"/>
      <c r="BZ256" s="2840"/>
      <c r="CA256" s="2837"/>
      <c r="CB256" s="2837"/>
      <c r="CC256" s="2837"/>
      <c r="CD256" s="2840"/>
      <c r="CE256" s="2837"/>
      <c r="CF256" s="2837"/>
      <c r="CG256" s="2837"/>
      <c r="CH256" s="2840"/>
      <c r="CI256" s="2841">
        <v>46</v>
      </c>
      <c r="CJ256" s="2841">
        <v>606</v>
      </c>
      <c r="CK256" s="2841">
        <v>-130</v>
      </c>
      <c r="CL256" s="2842">
        <v>-5</v>
      </c>
      <c r="CM256" s="2843">
        <f t="shared" ref="CM256:DV256" si="1076">+CM254-CL254-CM255</f>
        <v>-3</v>
      </c>
      <c r="CN256" s="2843">
        <f t="shared" si="1076"/>
        <v>75</v>
      </c>
      <c r="CO256" s="2843">
        <f t="shared" si="1076"/>
        <v>18</v>
      </c>
      <c r="CP256" s="2844">
        <f t="shared" si="1076"/>
        <v>5</v>
      </c>
      <c r="CQ256" s="2843">
        <f t="shared" si="1076"/>
        <v>0</v>
      </c>
      <c r="CR256" s="2843">
        <f t="shared" si="1076"/>
        <v>100</v>
      </c>
      <c r="CS256" s="2843">
        <f t="shared" si="1076"/>
        <v>-4</v>
      </c>
      <c r="CT256" s="2844">
        <f t="shared" si="1076"/>
        <v>0</v>
      </c>
      <c r="CU256" s="2843">
        <f t="shared" si="1076"/>
        <v>2</v>
      </c>
      <c r="CV256" s="2843">
        <f t="shared" si="1076"/>
        <v>3</v>
      </c>
      <c r="CW256" s="2843">
        <f t="shared" si="1076"/>
        <v>0</v>
      </c>
      <c r="CX256" s="2844">
        <f t="shared" si="1076"/>
        <v>80</v>
      </c>
      <c r="CY256" s="2843">
        <f t="shared" si="1076"/>
        <v>-13</v>
      </c>
      <c r="CZ256" s="2843">
        <f t="shared" si="1076"/>
        <v>-19</v>
      </c>
      <c r="DA256" s="2843">
        <f t="shared" si="1076"/>
        <v>76</v>
      </c>
      <c r="DB256" s="2844">
        <f t="shared" si="1076"/>
        <v>-21</v>
      </c>
      <c r="DC256" s="2843">
        <f t="shared" si="1076"/>
        <v>144</v>
      </c>
      <c r="DD256" s="2843">
        <f t="shared" si="1076"/>
        <v>-13</v>
      </c>
      <c r="DE256" s="2843">
        <f t="shared" si="1076"/>
        <v>-6</v>
      </c>
      <c r="DF256" s="2844">
        <f t="shared" si="1076"/>
        <v>-18</v>
      </c>
      <c r="DG256" s="2843">
        <f t="shared" si="1076"/>
        <v>-121</v>
      </c>
      <c r="DH256" s="2843">
        <f t="shared" si="1076"/>
        <v>-6</v>
      </c>
      <c r="DI256" s="2845">
        <f t="shared" si="1076"/>
        <v>-10</v>
      </c>
      <c r="DJ256" s="2844">
        <f t="shared" si="1076"/>
        <v>-7</v>
      </c>
      <c r="DK256" s="2843">
        <f t="shared" si="1076"/>
        <v>-40</v>
      </c>
      <c r="DL256" s="2843">
        <f t="shared" si="1076"/>
        <v>3</v>
      </c>
      <c r="DM256" s="2845">
        <f t="shared" si="1076"/>
        <v>-14</v>
      </c>
      <c r="DN256" s="2843">
        <f t="shared" si="1076"/>
        <v>3</v>
      </c>
      <c r="DO256" s="2843">
        <f t="shared" si="1076"/>
        <v>-6</v>
      </c>
      <c r="DP256" s="2843">
        <f t="shared" si="1076"/>
        <v>-2</v>
      </c>
      <c r="DQ256" s="2845">
        <f t="shared" si="1076"/>
        <v>-15</v>
      </c>
      <c r="DR256" s="2844">
        <f t="shared" si="1076"/>
        <v>-6</v>
      </c>
      <c r="DS256" s="2843">
        <f t="shared" si="1076"/>
        <v>-9</v>
      </c>
      <c r="DT256" s="2843">
        <f t="shared" si="1076"/>
        <v>-5</v>
      </c>
      <c r="DU256" s="2845">
        <f t="shared" si="1076"/>
        <v>-6</v>
      </c>
      <c r="DV256" s="2843">
        <f t="shared" si="1076"/>
        <v>0</v>
      </c>
      <c r="DW256" s="2843">
        <v>0</v>
      </c>
      <c r="DX256" s="2843">
        <v>0</v>
      </c>
      <c r="DY256" s="2845">
        <v>0</v>
      </c>
    </row>
    <row r="257" spans="1:130" s="2205" customFormat="1" ht="15" customHeight="1">
      <c r="A257" s="2846" t="s">
        <v>1489</v>
      </c>
      <c r="D257" s="1992"/>
      <c r="E257" s="1992"/>
      <c r="F257" s="1992"/>
      <c r="L257" s="1992"/>
      <c r="M257" s="1992"/>
      <c r="N257" s="1992"/>
      <c r="O257" s="1992"/>
      <c r="P257" s="1992"/>
      <c r="Q257" s="1992">
        <f>SUM(CL257:CO257)</f>
        <v>14097.469349999999</v>
      </c>
      <c r="R257" s="1992">
        <f>SUM(CP257:CS257)</f>
        <v>12472.834799999999</v>
      </c>
      <c r="S257" s="1992">
        <f>SUM(CT257:CW257)</f>
        <v>13909.658949999997</v>
      </c>
      <c r="T257" s="1992">
        <f>SUM(CX257:DA257)</f>
        <v>14828.728399999998</v>
      </c>
      <c r="U257" s="1992">
        <f>SUM(DB257:DE257)</f>
        <v>15067.10015</v>
      </c>
      <c r="V257" s="1992">
        <f>SUM(DF257:DI257)</f>
        <v>17795.564050000001</v>
      </c>
      <c r="W257" s="1992">
        <f>SUM(DJ257:DM257)</f>
        <v>16414.282899999998</v>
      </c>
      <c r="X257" s="1992">
        <f>+SUM(DN257:DQ257)</f>
        <v>15346.438699999999</v>
      </c>
      <c r="Y257" s="1992">
        <f>+SUM(DR257:DU257)</f>
        <v>15391.07555</v>
      </c>
      <c r="Z257" s="1992">
        <f>+SUM(DV257:DY257)</f>
        <v>15506.930556750001</v>
      </c>
      <c r="AA257" s="2847">
        <f>+Z257*(1+AA258)</f>
        <v>15196.791945615001</v>
      </c>
      <c r="AB257" s="2847">
        <f>+AA257*(1+AB258)</f>
        <v>14892.8561067027</v>
      </c>
      <c r="AC257" s="2847">
        <f t="shared" ref="AC257:AG257" si="1077">+AB257*(1+AC258)</f>
        <v>14594.998984568647</v>
      </c>
      <c r="AD257" s="2847">
        <f t="shared" si="1077"/>
        <v>14303.099004877273</v>
      </c>
      <c r="AE257" s="2847">
        <f t="shared" si="1077"/>
        <v>14017.037024779727</v>
      </c>
      <c r="AF257" s="2847">
        <f t="shared" si="1077"/>
        <v>13736.696284284133</v>
      </c>
      <c r="AG257" s="2847">
        <f t="shared" si="1077"/>
        <v>13461.96235859845</v>
      </c>
      <c r="AH257" s="2220"/>
      <c r="AI257" s="1928">
        <f>(AA257/V257)^(1/5)-1</f>
        <v>-3.1079751375680753E-2</v>
      </c>
      <c r="AJ257" s="2221"/>
      <c r="AK257" s="1992"/>
      <c r="AL257" s="1992"/>
      <c r="AN257" s="1992"/>
      <c r="AO257" s="1992"/>
      <c r="AP257" s="1993"/>
      <c r="AQ257" s="1992"/>
      <c r="AR257" s="1992"/>
      <c r="AS257" s="1992"/>
      <c r="AT257" s="1993"/>
      <c r="AU257" s="1992"/>
      <c r="AV257" s="1992"/>
      <c r="AW257" s="1992"/>
      <c r="AX257" s="1933"/>
      <c r="BB257" s="1933"/>
      <c r="BF257" s="1933"/>
      <c r="BJ257" s="1933"/>
      <c r="BN257" s="1933"/>
      <c r="BR257" s="1933"/>
      <c r="BV257" s="1933"/>
      <c r="BZ257" s="1933"/>
      <c r="CD257" s="1933"/>
      <c r="CE257" s="1992"/>
      <c r="CF257" s="1992"/>
      <c r="CG257" s="1992"/>
      <c r="CH257" s="2848">
        <f t="shared" ref="CH257:DJ257" si="1078">+CH263+CH119</f>
        <v>3543.6262189000004</v>
      </c>
      <c r="CI257" s="2847">
        <f t="shared" si="1078"/>
        <v>3555.9690499999997</v>
      </c>
      <c r="CJ257" s="2847">
        <f t="shared" si="1078"/>
        <v>4116.6310000000003</v>
      </c>
      <c r="CK257" s="2847">
        <f t="shared" si="1078"/>
        <v>3971.5454999999997</v>
      </c>
      <c r="CL257" s="2848">
        <f t="shared" si="1078"/>
        <v>3541.8760499999999</v>
      </c>
      <c r="CM257" s="2847">
        <f t="shared" si="1078"/>
        <v>3380.2350000000001</v>
      </c>
      <c r="CN257" s="2847">
        <f t="shared" si="1078"/>
        <v>3551.4688000000001</v>
      </c>
      <c r="CO257" s="2847">
        <f t="shared" si="1078"/>
        <v>3623.8895000000002</v>
      </c>
      <c r="CP257" s="2848">
        <f t="shared" si="1078"/>
        <v>2954.1602499999999</v>
      </c>
      <c r="CQ257" s="2847">
        <f t="shared" si="1078"/>
        <v>2927.6657499999997</v>
      </c>
      <c r="CR257" s="2847">
        <f t="shared" si="1078"/>
        <v>3213.4715000000001</v>
      </c>
      <c r="CS257" s="2847">
        <f t="shared" si="1078"/>
        <v>3377.5373</v>
      </c>
      <c r="CT257" s="2848">
        <f t="shared" si="1078"/>
        <v>3438.4133999999999</v>
      </c>
      <c r="CU257" s="2847">
        <f t="shared" si="1078"/>
        <v>3517.4353499999997</v>
      </c>
      <c r="CV257" s="2847">
        <f t="shared" si="1078"/>
        <v>3299.6565000000001</v>
      </c>
      <c r="CW257" s="2847">
        <f t="shared" si="1078"/>
        <v>3654.1536999999998</v>
      </c>
      <c r="CX257" s="2848">
        <f t="shared" si="1078"/>
        <v>3025.9679999999998</v>
      </c>
      <c r="CY257" s="2847">
        <f t="shared" si="1078"/>
        <v>3115.6925999999999</v>
      </c>
      <c r="CZ257" s="2847">
        <f t="shared" si="1078"/>
        <v>3980.9708000000001</v>
      </c>
      <c r="DA257" s="2847">
        <f t="shared" si="1078"/>
        <v>4706.0969999999998</v>
      </c>
      <c r="DB257" s="2848">
        <f t="shared" si="1078"/>
        <v>3490.5973999999997</v>
      </c>
      <c r="DC257" s="2847">
        <f t="shared" si="1078"/>
        <v>3556.0251499999999</v>
      </c>
      <c r="DD257" s="2847">
        <f t="shared" si="1078"/>
        <v>3683.5848000000001</v>
      </c>
      <c r="DE257" s="2847">
        <f t="shared" si="1078"/>
        <v>4336.8927999999996</v>
      </c>
      <c r="DF257" s="2848">
        <f t="shared" si="1078"/>
        <v>3653.1012500000002</v>
      </c>
      <c r="DG257" s="2847">
        <f t="shared" si="1078"/>
        <v>4202.7106000000003</v>
      </c>
      <c r="DH257" s="2847">
        <f t="shared" si="1078"/>
        <v>4496.4400000000005</v>
      </c>
      <c r="DI257" s="2849">
        <f t="shared" si="1078"/>
        <v>5443.3122000000003</v>
      </c>
      <c r="DJ257" s="2848">
        <f t="shared" si="1078"/>
        <v>3727.8621999999996</v>
      </c>
      <c r="DK257" s="2847">
        <f t="shared" ref="DK257:DP257" si="1079">+DK263+DK119</f>
        <v>3919.9679999999998</v>
      </c>
      <c r="DL257" s="2847">
        <f t="shared" si="1079"/>
        <v>4201.1183000000001</v>
      </c>
      <c r="DM257" s="2849">
        <f t="shared" si="1079"/>
        <v>4565.3343999999997</v>
      </c>
      <c r="DN257" s="2847">
        <f t="shared" si="1079"/>
        <v>3717.2655999999997</v>
      </c>
      <c r="DO257" s="2847">
        <f t="shared" si="1079"/>
        <v>3645.8091000000004</v>
      </c>
      <c r="DP257" s="2847">
        <f t="shared" si="1079"/>
        <v>3811.6000000000004</v>
      </c>
      <c r="DQ257" s="2849">
        <f t="shared" ref="DQ257" si="1080">+DQ263+DQ119</f>
        <v>4171.7640000000001</v>
      </c>
      <c r="DR257" s="2848">
        <f t="shared" ref="DR257" si="1081">+DR263+DR119</f>
        <v>3441.0627499999996</v>
      </c>
      <c r="DS257" s="2847">
        <f t="shared" ref="DS257:DT257" si="1082">+DS263+DS119</f>
        <v>3681.7511</v>
      </c>
      <c r="DT257" s="2847">
        <f t="shared" si="1082"/>
        <v>3786.1617000000006</v>
      </c>
      <c r="DU257" s="2849">
        <f t="shared" ref="DU257" si="1083">+DU263+DU119</f>
        <v>4482.1000000000004</v>
      </c>
      <c r="DV257" s="2847">
        <f t="shared" ref="DV257" si="1084">+DV263+DV119</f>
        <v>3722.7008000000001</v>
      </c>
      <c r="DW257" s="2847">
        <f t="shared" ref="DW257" si="1085">+DS257*(1+DW258)</f>
        <v>3608.116078</v>
      </c>
      <c r="DX257" s="2847">
        <f t="shared" ref="DX257" si="1086">+DT257*(1+DX258)</f>
        <v>3738.8346787500009</v>
      </c>
      <c r="DY257" s="2849">
        <f t="shared" ref="DY257" si="1087">+DU257*(1+DY258)</f>
        <v>4437.2790000000005</v>
      </c>
    </row>
    <row r="258" spans="1:130" s="1491" customFormat="1" ht="15" customHeight="1">
      <c r="A258" s="1841" t="s">
        <v>1453</v>
      </c>
      <c r="B258" s="1473"/>
      <c r="C258" s="1473"/>
      <c r="D258" s="1473"/>
      <c r="E258" s="1473"/>
      <c r="F258" s="1473"/>
      <c r="G258" s="1473"/>
      <c r="H258" s="1473"/>
      <c r="I258" s="1473"/>
      <c r="J258" s="1473"/>
      <c r="K258" s="1473"/>
      <c r="L258" s="1473"/>
      <c r="M258" s="1473"/>
      <c r="N258" s="1473"/>
      <c r="O258" s="1473"/>
      <c r="P258" s="1473"/>
      <c r="Q258" s="1473"/>
      <c r="R258" s="1473">
        <f t="shared" ref="R258:Z258" si="1088">R257/Q257-1</f>
        <v>-0.11524299217575529</v>
      </c>
      <c r="S258" s="1473">
        <f t="shared" si="1088"/>
        <v>0.11519627839534907</v>
      </c>
      <c r="T258" s="1473">
        <f t="shared" si="1088"/>
        <v>6.6074190122396903E-2</v>
      </c>
      <c r="U258" s="1473">
        <f t="shared" si="1088"/>
        <v>1.6074996019213694E-2</v>
      </c>
      <c r="V258" s="1473">
        <f t="shared" si="1088"/>
        <v>0.18108752665322925</v>
      </c>
      <c r="W258" s="1473">
        <f t="shared" si="1088"/>
        <v>-7.7619408191784922E-2</v>
      </c>
      <c r="X258" s="1473">
        <f t="shared" si="1088"/>
        <v>-6.5055793573534637E-2</v>
      </c>
      <c r="Y258" s="1473">
        <f t="shared" si="1088"/>
        <v>2.9086129278972361E-3</v>
      </c>
      <c r="Z258" s="1473">
        <f t="shared" si="1088"/>
        <v>7.5274145964414618E-3</v>
      </c>
      <c r="AA258" s="1842">
        <f t="shared" ref="AA258:AG258" si="1089">CHOOSE(_switch,AA259,AA260,AA261)</f>
        <v>-0.02</v>
      </c>
      <c r="AB258" s="1842">
        <f t="shared" si="1089"/>
        <v>-0.02</v>
      </c>
      <c r="AC258" s="1842">
        <f t="shared" si="1089"/>
        <v>-0.02</v>
      </c>
      <c r="AD258" s="1842">
        <f t="shared" si="1089"/>
        <v>-0.02</v>
      </c>
      <c r="AE258" s="1842">
        <f t="shared" si="1089"/>
        <v>-0.02</v>
      </c>
      <c r="AF258" s="1842">
        <f t="shared" si="1089"/>
        <v>-0.02</v>
      </c>
      <c r="AG258" s="1842">
        <f t="shared" si="1089"/>
        <v>-0.02</v>
      </c>
      <c r="AH258" s="2201"/>
      <c r="AI258" s="1927"/>
      <c r="AJ258" s="1561"/>
      <c r="AK258" s="1473"/>
      <c r="AL258" s="1473"/>
      <c r="AM258" s="1473"/>
      <c r="AN258" s="1473"/>
      <c r="AO258" s="1473"/>
      <c r="AP258" s="1481"/>
      <c r="AQ258" s="1473"/>
      <c r="AR258" s="1473"/>
      <c r="AS258" s="1473"/>
      <c r="AT258" s="1481"/>
      <c r="AU258" s="1473"/>
      <c r="AV258" s="1473"/>
      <c r="AW258" s="1473"/>
      <c r="AX258" s="1481"/>
      <c r="AY258" s="1473"/>
      <c r="AZ258" s="1473"/>
      <c r="BA258" s="1473"/>
      <c r="BB258" s="1481"/>
      <c r="BC258" s="1473"/>
      <c r="BD258" s="1473"/>
      <c r="BE258" s="1473"/>
      <c r="BF258" s="1481"/>
      <c r="BG258" s="1473"/>
      <c r="BH258" s="1473"/>
      <c r="BI258" s="1473"/>
      <c r="BJ258" s="1481"/>
      <c r="BK258" s="1473"/>
      <c r="BL258" s="1473"/>
      <c r="BM258" s="1473"/>
      <c r="BN258" s="1481"/>
      <c r="BO258" s="1473"/>
      <c r="BP258" s="1473"/>
      <c r="BQ258" s="1473"/>
      <c r="BR258" s="1481"/>
      <c r="BS258" s="1473"/>
      <c r="BT258" s="1473"/>
      <c r="BU258" s="1473"/>
      <c r="BV258" s="1481"/>
      <c r="BW258" s="1473"/>
      <c r="BX258" s="1473"/>
      <c r="BY258" s="1473"/>
      <c r="BZ258" s="1481"/>
      <c r="CA258" s="1473"/>
      <c r="CB258" s="1473"/>
      <c r="CC258" s="1473"/>
      <c r="CD258" s="1481"/>
      <c r="CE258" s="1473"/>
      <c r="CF258" s="1473"/>
      <c r="CG258" s="1473"/>
      <c r="CH258" s="1481"/>
      <c r="CI258" s="1473"/>
      <c r="CJ258" s="1473"/>
      <c r="CK258" s="1473"/>
      <c r="CL258" s="1481">
        <f t="shared" ref="CL258:DV258" si="1090">CL257/CH257-1</f>
        <v>-4.9389207322880768E-4</v>
      </c>
      <c r="CM258" s="1473">
        <f t="shared" si="1090"/>
        <v>-4.9419454311617095E-2</v>
      </c>
      <c r="CN258" s="1473">
        <f t="shared" si="1090"/>
        <v>-0.13728755382738944</v>
      </c>
      <c r="CO258" s="1473">
        <f t="shared" si="1090"/>
        <v>-8.753670328087626E-2</v>
      </c>
      <c r="CP258" s="1481">
        <f t="shared" si="1090"/>
        <v>-0.165933474718857</v>
      </c>
      <c r="CQ258" s="1473">
        <f t="shared" si="1090"/>
        <v>-0.13388691910473693</v>
      </c>
      <c r="CR258" s="1473">
        <f t="shared" si="1090"/>
        <v>-9.5171130322192377E-2</v>
      </c>
      <c r="CS258" s="1473">
        <f t="shared" si="1090"/>
        <v>-6.7980052923799161E-2</v>
      </c>
      <c r="CT258" s="1481">
        <f t="shared" si="1090"/>
        <v>0.16392243785691729</v>
      </c>
      <c r="CU258" s="1473">
        <f t="shared" si="1090"/>
        <v>0.20144704018892878</v>
      </c>
      <c r="CV258" s="1473">
        <f t="shared" si="1090"/>
        <v>2.6819904891018931E-2</v>
      </c>
      <c r="CW258" s="1473">
        <f t="shared" si="1090"/>
        <v>8.1898843870650939E-2</v>
      </c>
      <c r="CX258" s="1481">
        <f t="shared" si="1090"/>
        <v>-0.11995224308979258</v>
      </c>
      <c r="CY258" s="1473">
        <f t="shared" si="1090"/>
        <v>-0.11421467916958306</v>
      </c>
      <c r="CZ258" s="1473">
        <f t="shared" si="1090"/>
        <v>0.20648037151745946</v>
      </c>
      <c r="DA258" s="1473">
        <f t="shared" si="1090"/>
        <v>0.287876040901071</v>
      </c>
      <c r="DB258" s="1481">
        <f t="shared" si="1090"/>
        <v>0.15354736071234054</v>
      </c>
      <c r="DC258" s="1473">
        <f t="shared" si="1090"/>
        <v>0.14132734082945153</v>
      </c>
      <c r="DD258" s="1473">
        <f t="shared" si="1090"/>
        <v>-7.4701879250156811E-2</v>
      </c>
      <c r="DE258" s="1473">
        <f t="shared" si="1090"/>
        <v>-7.8452314093823472E-2</v>
      </c>
      <c r="DF258" s="1481">
        <f t="shared" si="1090"/>
        <v>4.6554738738990853E-2</v>
      </c>
      <c r="DG258" s="1473">
        <f t="shared" si="1090"/>
        <v>0.18185626443052594</v>
      </c>
      <c r="DH258" s="1473">
        <f t="shared" si="1090"/>
        <v>0.22066960423986992</v>
      </c>
      <c r="DI258" s="1848">
        <f t="shared" si="1090"/>
        <v>0.25511799599934792</v>
      </c>
      <c r="DJ258" s="1481">
        <f t="shared" si="1090"/>
        <v>2.0465063759182556E-2</v>
      </c>
      <c r="DK258" s="1473">
        <f t="shared" si="1090"/>
        <v>-6.727624785775177E-2</v>
      </c>
      <c r="DL258" s="1473">
        <f t="shared" si="1090"/>
        <v>-6.5679003834144378E-2</v>
      </c>
      <c r="DM258" s="1848">
        <f t="shared" si="1090"/>
        <v>-0.16129477195888209</v>
      </c>
      <c r="DN258" s="1473">
        <f t="shared" si="1090"/>
        <v>-2.8425406926253505E-3</v>
      </c>
      <c r="DO258" s="1473">
        <f t="shared" si="1090"/>
        <v>-6.9939065829108693E-2</v>
      </c>
      <c r="DP258" s="1473">
        <f t="shared" si="1090"/>
        <v>-9.2717765172192323E-2</v>
      </c>
      <c r="DQ258" s="1848">
        <f t="shared" si="1090"/>
        <v>-8.6208449484007077E-2</v>
      </c>
      <c r="DR258" s="1481">
        <f t="shared" si="1090"/>
        <v>-7.4302694432165417E-2</v>
      </c>
      <c r="DS258" s="1473">
        <f t="shared" si="1090"/>
        <v>9.8584426705170536E-3</v>
      </c>
      <c r="DT258" s="1473">
        <f t="shared" si="1090"/>
        <v>-6.6739164655262861E-3</v>
      </c>
      <c r="DU258" s="1848">
        <f t="shared" si="1090"/>
        <v>7.4389634696497842E-2</v>
      </c>
      <c r="DV258" s="1473">
        <f t="shared" si="1090"/>
        <v>8.1846240670851111E-2</v>
      </c>
      <c r="DW258" s="1473">
        <f>CHOOSE(_switch,DW259,DW260,DW261)</f>
        <v>-0.02</v>
      </c>
      <c r="DX258" s="1473">
        <f>CHOOSE(_switch,DX259,DX260,DX261)</f>
        <v>-1.2500000000000001E-2</v>
      </c>
      <c r="DY258" s="1848">
        <f>CHOOSE(_switch,DY259,DY260,DY261)</f>
        <v>-0.01</v>
      </c>
    </row>
    <row r="259" spans="1:130" s="1491" customFormat="1" ht="15" customHeight="1" outlineLevel="1">
      <c r="A259" s="1851" t="s">
        <v>1106</v>
      </c>
      <c r="B259" s="1473"/>
      <c r="C259" s="1473"/>
      <c r="D259" s="1473"/>
      <c r="E259" s="1473"/>
      <c r="F259" s="1473"/>
      <c r="G259" s="1473"/>
      <c r="H259" s="1473"/>
      <c r="I259" s="1473"/>
      <c r="J259" s="1473"/>
      <c r="K259" s="1473"/>
      <c r="L259" s="1473"/>
      <c r="M259" s="1473"/>
      <c r="N259" s="1473"/>
      <c r="O259" s="1473"/>
      <c r="P259" s="1473"/>
      <c r="Q259" s="1473"/>
      <c r="R259" s="1473"/>
      <c r="S259" s="1842"/>
      <c r="T259" s="1842"/>
      <c r="U259" s="1842"/>
      <c r="V259" s="1842"/>
      <c r="W259" s="1842"/>
      <c r="X259" s="1842"/>
      <c r="Y259" s="1842"/>
      <c r="Z259" s="1842"/>
      <c r="AA259" s="1842">
        <v>-0.02</v>
      </c>
      <c r="AB259" s="1842">
        <v>-0.02</v>
      </c>
      <c r="AC259" s="1842">
        <v>-0.02</v>
      </c>
      <c r="AD259" s="1842">
        <v>-0.02</v>
      </c>
      <c r="AE259" s="1842">
        <v>-0.02</v>
      </c>
      <c r="AF259" s="1842">
        <v>-0.02</v>
      </c>
      <c r="AG259" s="1842">
        <v>-0.02</v>
      </c>
      <c r="AH259" s="2201"/>
      <c r="AI259" s="1927"/>
      <c r="AJ259" s="1561"/>
      <c r="AK259" s="1473"/>
      <c r="AL259" s="1473"/>
      <c r="AM259" s="1473"/>
      <c r="AN259" s="1473"/>
      <c r="AO259" s="1473"/>
      <c r="AP259" s="1481"/>
      <c r="AQ259" s="1473"/>
      <c r="AR259" s="1473"/>
      <c r="AS259" s="1473"/>
      <c r="AT259" s="1481"/>
      <c r="AU259" s="1473"/>
      <c r="AV259" s="1473"/>
      <c r="AW259" s="1473"/>
      <c r="AX259" s="1481"/>
      <c r="AY259" s="1473"/>
      <c r="AZ259" s="1473"/>
      <c r="BA259" s="1473"/>
      <c r="BB259" s="1481"/>
      <c r="BC259" s="1473"/>
      <c r="BD259" s="1473"/>
      <c r="BE259" s="1473"/>
      <c r="BF259" s="1481"/>
      <c r="BG259" s="1473"/>
      <c r="BH259" s="1473"/>
      <c r="BI259" s="1473"/>
      <c r="BJ259" s="1481"/>
      <c r="BK259" s="1473"/>
      <c r="BL259" s="1473"/>
      <c r="BM259" s="1473"/>
      <c r="BN259" s="1481"/>
      <c r="BO259" s="1473"/>
      <c r="BP259" s="1473"/>
      <c r="BQ259" s="1473"/>
      <c r="BR259" s="1481"/>
      <c r="BS259" s="1473"/>
      <c r="BT259" s="1473"/>
      <c r="BU259" s="1473"/>
      <c r="BV259" s="1481"/>
      <c r="BW259" s="1473"/>
      <c r="BX259" s="1473"/>
      <c r="BY259" s="1473"/>
      <c r="BZ259" s="1481"/>
      <c r="CA259" s="1473"/>
      <c r="CB259" s="1473"/>
      <c r="CC259" s="1473"/>
      <c r="CD259" s="1481"/>
      <c r="CE259" s="1473"/>
      <c r="CF259" s="1473"/>
      <c r="CG259" s="1473"/>
      <c r="CH259" s="1481"/>
      <c r="CI259" s="1473"/>
      <c r="CJ259" s="1473"/>
      <c r="CK259" s="1473"/>
      <c r="CL259" s="1481"/>
      <c r="CM259" s="1473"/>
      <c r="CN259" s="1473"/>
      <c r="CO259" s="1473"/>
      <c r="CP259" s="1481"/>
      <c r="CQ259" s="1473"/>
      <c r="CR259" s="1473"/>
      <c r="CS259" s="1473"/>
      <c r="CT259" s="1481"/>
      <c r="CU259" s="1473"/>
      <c r="CV259" s="1473"/>
      <c r="CW259" s="1473"/>
      <c r="CX259" s="1481"/>
      <c r="CY259" s="1473"/>
      <c r="CZ259" s="1473"/>
      <c r="DA259" s="1473"/>
      <c r="DB259" s="1481"/>
      <c r="DC259" s="1473"/>
      <c r="DD259" s="1473"/>
      <c r="DE259" s="1473"/>
      <c r="DF259" s="1481"/>
      <c r="DG259" s="1473"/>
      <c r="DH259" s="1473"/>
      <c r="DI259" s="1848"/>
      <c r="DJ259" s="1481"/>
      <c r="DK259" s="1473"/>
      <c r="DL259" s="1473"/>
      <c r="DM259" s="1848"/>
      <c r="DN259" s="1473"/>
      <c r="DO259" s="1473"/>
      <c r="DP259" s="1473"/>
      <c r="DQ259" s="1848"/>
      <c r="DR259" s="1481"/>
      <c r="DS259" s="1473"/>
      <c r="DT259" s="1473"/>
      <c r="DU259" s="1848"/>
      <c r="DV259" s="1473"/>
      <c r="DW259" s="1842">
        <v>-0.02</v>
      </c>
      <c r="DX259" s="1842">
        <v>-1.2500000000000001E-2</v>
      </c>
      <c r="DY259" s="1843">
        <v>-0.01</v>
      </c>
    </row>
    <row r="260" spans="1:130" s="1491" customFormat="1" ht="15" customHeight="1" outlineLevel="1">
      <c r="A260" s="1851" t="s">
        <v>1107</v>
      </c>
      <c r="B260" s="1473"/>
      <c r="C260" s="1473"/>
      <c r="D260" s="1473"/>
      <c r="E260" s="1473"/>
      <c r="F260" s="1473"/>
      <c r="G260" s="1473"/>
      <c r="H260" s="1473"/>
      <c r="I260" s="1473"/>
      <c r="J260" s="1473"/>
      <c r="K260" s="1473"/>
      <c r="L260" s="1473"/>
      <c r="M260" s="1473"/>
      <c r="N260" s="1473"/>
      <c r="O260" s="1473"/>
      <c r="P260" s="1473"/>
      <c r="Q260" s="1473"/>
      <c r="R260" s="1473"/>
      <c r="S260" s="1842"/>
      <c r="T260" s="1842"/>
      <c r="U260" s="1842"/>
      <c r="V260" s="1842"/>
      <c r="W260" s="1842"/>
      <c r="X260" s="1842"/>
      <c r="Y260" s="1842"/>
      <c r="Z260" s="1842"/>
      <c r="AA260" s="1842">
        <f>+AA259</f>
        <v>-0.02</v>
      </c>
      <c r="AB260" s="1842">
        <f>+AB259</f>
        <v>-0.02</v>
      </c>
      <c r="AC260" s="1842">
        <f t="shared" ref="AC260:AG260" si="1091">+AC259</f>
        <v>-0.02</v>
      </c>
      <c r="AD260" s="1842">
        <f t="shared" si="1091"/>
        <v>-0.02</v>
      </c>
      <c r="AE260" s="1842">
        <f t="shared" si="1091"/>
        <v>-0.02</v>
      </c>
      <c r="AF260" s="1842">
        <f t="shared" si="1091"/>
        <v>-0.02</v>
      </c>
      <c r="AG260" s="1842">
        <f t="shared" si="1091"/>
        <v>-0.02</v>
      </c>
      <c r="AH260" s="2201"/>
      <c r="AI260" s="1927"/>
      <c r="AJ260" s="1561"/>
      <c r="AK260" s="1473"/>
      <c r="AL260" s="1473"/>
      <c r="AM260" s="1473"/>
      <c r="AN260" s="1473"/>
      <c r="AO260" s="1473"/>
      <c r="AP260" s="1481"/>
      <c r="AQ260" s="1473"/>
      <c r="AR260" s="1473"/>
      <c r="AS260" s="1473"/>
      <c r="AT260" s="1481"/>
      <c r="AU260" s="1473"/>
      <c r="AV260" s="1473"/>
      <c r="AW260" s="1473"/>
      <c r="AX260" s="1481"/>
      <c r="AY260" s="1473"/>
      <c r="AZ260" s="1473"/>
      <c r="BA260" s="1473"/>
      <c r="BB260" s="1481"/>
      <c r="BC260" s="1473"/>
      <c r="BD260" s="1473"/>
      <c r="BE260" s="1473"/>
      <c r="BF260" s="1481"/>
      <c r="BG260" s="1473"/>
      <c r="BH260" s="1473"/>
      <c r="BI260" s="1473"/>
      <c r="BJ260" s="1481"/>
      <c r="BK260" s="1473"/>
      <c r="BL260" s="1473"/>
      <c r="BM260" s="1473"/>
      <c r="BN260" s="1481"/>
      <c r="BO260" s="1473"/>
      <c r="BP260" s="1473"/>
      <c r="BQ260" s="1473"/>
      <c r="BR260" s="1481"/>
      <c r="BS260" s="1473"/>
      <c r="BT260" s="1473"/>
      <c r="BU260" s="1473"/>
      <c r="BV260" s="1481"/>
      <c r="BW260" s="1473"/>
      <c r="BX260" s="1473"/>
      <c r="BY260" s="1473"/>
      <c r="BZ260" s="1481"/>
      <c r="CA260" s="1473"/>
      <c r="CB260" s="1473"/>
      <c r="CC260" s="1473"/>
      <c r="CD260" s="1481"/>
      <c r="CE260" s="1473"/>
      <c r="CF260" s="1473"/>
      <c r="CG260" s="1473"/>
      <c r="CH260" s="1481"/>
      <c r="CI260" s="1473"/>
      <c r="CJ260" s="1473"/>
      <c r="CK260" s="1473"/>
      <c r="CL260" s="1481"/>
      <c r="CM260" s="1473"/>
      <c r="CN260" s="1473"/>
      <c r="CO260" s="1473"/>
      <c r="CP260" s="1481"/>
      <c r="CQ260" s="1473"/>
      <c r="CR260" s="1473"/>
      <c r="CS260" s="1473"/>
      <c r="CT260" s="1481"/>
      <c r="CU260" s="1473"/>
      <c r="CV260" s="1473"/>
      <c r="CW260" s="1473"/>
      <c r="CX260" s="1481"/>
      <c r="CY260" s="1473"/>
      <c r="CZ260" s="1473"/>
      <c r="DA260" s="1473"/>
      <c r="DB260" s="1481"/>
      <c r="DC260" s="1473"/>
      <c r="DD260" s="1473"/>
      <c r="DE260" s="1473"/>
      <c r="DF260" s="1481"/>
      <c r="DG260" s="1473"/>
      <c r="DH260" s="1473"/>
      <c r="DI260" s="1848"/>
      <c r="DJ260" s="1481"/>
      <c r="DK260" s="1473"/>
      <c r="DL260" s="1473"/>
      <c r="DM260" s="1848"/>
      <c r="DN260" s="1473"/>
      <c r="DO260" s="1473"/>
      <c r="DP260" s="1473"/>
      <c r="DQ260" s="1848"/>
      <c r="DR260" s="1481"/>
      <c r="DS260" s="1473"/>
      <c r="DT260" s="1473"/>
      <c r="DU260" s="1848"/>
      <c r="DV260" s="1473"/>
      <c r="DW260" s="1842">
        <f t="shared" ref="DW260:DY260" si="1092">+DW259</f>
        <v>-0.02</v>
      </c>
      <c r="DX260" s="1842">
        <f t="shared" si="1092"/>
        <v>-1.2500000000000001E-2</v>
      </c>
      <c r="DY260" s="1843">
        <f t="shared" si="1092"/>
        <v>-0.01</v>
      </c>
    </row>
    <row r="261" spans="1:130" s="1491" customFormat="1" ht="15" customHeight="1" outlineLevel="1">
      <c r="A261" s="1851" t="s">
        <v>1109</v>
      </c>
      <c r="B261" s="1473"/>
      <c r="C261" s="1473"/>
      <c r="D261" s="1473"/>
      <c r="E261" s="1473"/>
      <c r="F261" s="1473"/>
      <c r="G261" s="1473"/>
      <c r="H261" s="1473"/>
      <c r="I261" s="1473"/>
      <c r="J261" s="1473"/>
      <c r="K261" s="1473"/>
      <c r="L261" s="1473"/>
      <c r="M261" s="1473"/>
      <c r="N261" s="1473"/>
      <c r="O261" s="1473"/>
      <c r="P261" s="1473"/>
      <c r="Q261" s="1473"/>
      <c r="R261" s="1473"/>
      <c r="S261" s="1842"/>
      <c r="T261" s="1842"/>
      <c r="U261" s="1842"/>
      <c r="V261" s="1842"/>
      <c r="W261" s="1842"/>
      <c r="X261" s="1842"/>
      <c r="Y261" s="1842"/>
      <c r="Z261" s="1842"/>
      <c r="AA261" s="1842">
        <f>+AA259</f>
        <v>-0.02</v>
      </c>
      <c r="AB261" s="1842">
        <f>+AB259</f>
        <v>-0.02</v>
      </c>
      <c r="AC261" s="1842">
        <f t="shared" ref="AC261:AG261" si="1093">+AC259</f>
        <v>-0.02</v>
      </c>
      <c r="AD261" s="1842">
        <f t="shared" si="1093"/>
        <v>-0.02</v>
      </c>
      <c r="AE261" s="1842">
        <f t="shared" si="1093"/>
        <v>-0.02</v>
      </c>
      <c r="AF261" s="1842">
        <f t="shared" si="1093"/>
        <v>-0.02</v>
      </c>
      <c r="AG261" s="1842">
        <f t="shared" si="1093"/>
        <v>-0.02</v>
      </c>
      <c r="AH261" s="2201"/>
      <c r="AI261" s="1927"/>
      <c r="AJ261" s="1561"/>
      <c r="AK261" s="1473"/>
      <c r="AL261" s="1473"/>
      <c r="AM261" s="1473"/>
      <c r="AN261" s="1473"/>
      <c r="AO261" s="1473"/>
      <c r="AP261" s="1481"/>
      <c r="AQ261" s="1473"/>
      <c r="AR261" s="1473"/>
      <c r="AS261" s="1473"/>
      <c r="AT261" s="1481"/>
      <c r="AU261" s="1473"/>
      <c r="AV261" s="1473"/>
      <c r="AW261" s="1473"/>
      <c r="AX261" s="1481"/>
      <c r="AY261" s="1473"/>
      <c r="AZ261" s="1473"/>
      <c r="BA261" s="1473"/>
      <c r="BB261" s="1481"/>
      <c r="BC261" s="1473"/>
      <c r="BD261" s="1473"/>
      <c r="BE261" s="1473"/>
      <c r="BF261" s="1481"/>
      <c r="BG261" s="1473"/>
      <c r="BH261" s="1473"/>
      <c r="BI261" s="1473"/>
      <c r="BJ261" s="1481"/>
      <c r="BK261" s="1473"/>
      <c r="BL261" s="1473"/>
      <c r="BM261" s="1473"/>
      <c r="BN261" s="1481"/>
      <c r="BO261" s="1473"/>
      <c r="BP261" s="1473"/>
      <c r="BQ261" s="1473"/>
      <c r="BR261" s="1481"/>
      <c r="BS261" s="1473"/>
      <c r="BT261" s="1473"/>
      <c r="BU261" s="1473"/>
      <c r="BV261" s="1481"/>
      <c r="BW261" s="1473"/>
      <c r="BX261" s="1473"/>
      <c r="BY261" s="1473"/>
      <c r="BZ261" s="1481"/>
      <c r="CA261" s="1473"/>
      <c r="CB261" s="1473"/>
      <c r="CC261" s="1473"/>
      <c r="CD261" s="1481"/>
      <c r="CE261" s="1473"/>
      <c r="CF261" s="1473"/>
      <c r="CG261" s="1473"/>
      <c r="CH261" s="1481"/>
      <c r="CI261" s="1473"/>
      <c r="CJ261" s="1473"/>
      <c r="CK261" s="1473"/>
      <c r="CL261" s="1481"/>
      <c r="CM261" s="1473"/>
      <c r="CN261" s="1473"/>
      <c r="CO261" s="1473"/>
      <c r="CP261" s="1481"/>
      <c r="CQ261" s="1473"/>
      <c r="CR261" s="1473"/>
      <c r="CS261" s="1473"/>
      <c r="CT261" s="1481"/>
      <c r="CU261" s="1473"/>
      <c r="CV261" s="1473"/>
      <c r="CW261" s="1473"/>
      <c r="CX261" s="1481"/>
      <c r="CY261" s="1473"/>
      <c r="CZ261" s="1473"/>
      <c r="DA261" s="1473"/>
      <c r="DB261" s="1481"/>
      <c r="DC261" s="1473"/>
      <c r="DD261" s="1473"/>
      <c r="DE261" s="1473"/>
      <c r="DF261" s="1481"/>
      <c r="DG261" s="1473"/>
      <c r="DH261" s="1473"/>
      <c r="DI261" s="1848"/>
      <c r="DJ261" s="1481"/>
      <c r="DK261" s="1473"/>
      <c r="DL261" s="1473"/>
      <c r="DM261" s="1848"/>
      <c r="DN261" s="1473"/>
      <c r="DO261" s="1473"/>
      <c r="DP261" s="1473"/>
      <c r="DQ261" s="1848"/>
      <c r="DR261" s="1481"/>
      <c r="DS261" s="1473"/>
      <c r="DT261" s="1473"/>
      <c r="DU261" s="1848"/>
      <c r="DV261" s="1473"/>
      <c r="DW261" s="1842">
        <f t="shared" ref="DW261:DY261" si="1094">+DW259</f>
        <v>-0.02</v>
      </c>
      <c r="DX261" s="1842">
        <f t="shared" si="1094"/>
        <v>-1.2500000000000001E-2</v>
      </c>
      <c r="DY261" s="1843">
        <f t="shared" si="1094"/>
        <v>-0.01</v>
      </c>
    </row>
    <row r="262" spans="1:130" s="2855" customFormat="1" ht="15" customHeight="1" outlineLevel="1">
      <c r="A262" s="2850" t="s">
        <v>1488</v>
      </c>
      <c r="B262" s="2851"/>
      <c r="C262" s="2851"/>
      <c r="D262" s="2851"/>
      <c r="E262" s="2851"/>
      <c r="F262" s="2851"/>
      <c r="G262" s="2851"/>
      <c r="H262" s="2851"/>
      <c r="I262" s="2851"/>
      <c r="J262" s="2851"/>
      <c r="K262" s="2851"/>
      <c r="L262" s="2851"/>
      <c r="M262" s="2851"/>
      <c r="N262" s="2851"/>
      <c r="O262" s="2851"/>
      <c r="P262" s="2851"/>
      <c r="Q262" s="2851">
        <f t="shared" ref="Q262:AA262" si="1095">+Q257/Q$135</f>
        <v>0.68025659686873785</v>
      </c>
      <c r="R262" s="2851">
        <f t="shared" si="1095"/>
        <v>0.58346715703817686</v>
      </c>
      <c r="S262" s="2851">
        <f t="shared" ca="1" si="1095"/>
        <v>0.66241671195407015</v>
      </c>
      <c r="T262" s="2851">
        <f t="shared" ca="1" si="1095"/>
        <v>0.66080300240139411</v>
      </c>
      <c r="U262" s="2851">
        <f t="shared" ca="1" si="1095"/>
        <v>0.62097063740083902</v>
      </c>
      <c r="V262" s="2511">
        <f t="shared" ca="1" si="1095"/>
        <v>0.67723839326049362</v>
      </c>
      <c r="W262" s="2511">
        <f t="shared" ca="1" si="1095"/>
        <v>0.75424624717433164</v>
      </c>
      <c r="X262" s="2511">
        <f ca="1">+X257/X$135</f>
        <v>0.67773151632245243</v>
      </c>
      <c r="Y262" s="2511">
        <f ca="1">+Y257/Y$135</f>
        <v>0.67676527093420735</v>
      </c>
      <c r="Z262" s="2511">
        <f ca="1">+Z257/Z$135</f>
        <v>0.69079667431382896</v>
      </c>
      <c r="AA262" s="2511">
        <f t="shared" ca="1" si="1095"/>
        <v>0.7396816961446252</v>
      </c>
      <c r="AB262" s="2511">
        <f t="shared" ref="AB262:AG262" ca="1" si="1096">+AB257/AB$135</f>
        <v>0.73777776884642965</v>
      </c>
      <c r="AC262" s="2511">
        <f t="shared" ca="1" si="1096"/>
        <v>0.73584506285301832</v>
      </c>
      <c r="AD262" s="2511">
        <f t="shared" ca="1" si="1096"/>
        <v>0.73388332409517687</v>
      </c>
      <c r="AE262" s="2511">
        <f t="shared" ca="1" si="1096"/>
        <v>0.73189230284054929</v>
      </c>
      <c r="AF262" s="2511">
        <f t="shared" ca="1" si="1096"/>
        <v>0.72987175397537518</v>
      </c>
      <c r="AG262" s="2511">
        <f t="shared" ca="1" si="1096"/>
        <v>0.72782143729172066</v>
      </c>
      <c r="AH262" s="2606"/>
      <c r="AI262" s="2607"/>
      <c r="AJ262" s="2608"/>
      <c r="AK262" s="2851"/>
      <c r="AL262" s="2851"/>
      <c r="AM262" s="2851"/>
      <c r="AN262" s="2851"/>
      <c r="AO262" s="2851"/>
      <c r="AP262" s="2852"/>
      <c r="AQ262" s="2851"/>
      <c r="AR262" s="2851"/>
      <c r="AS262" s="2851"/>
      <c r="AT262" s="2852"/>
      <c r="AU262" s="2851"/>
      <c r="AV262" s="2851"/>
      <c r="AW262" s="2851"/>
      <c r="AX262" s="2852"/>
      <c r="AY262" s="2851"/>
      <c r="AZ262" s="2851"/>
      <c r="BA262" s="2851"/>
      <c r="BB262" s="2852"/>
      <c r="BC262" s="2851"/>
      <c r="BD262" s="2851"/>
      <c r="BE262" s="2851"/>
      <c r="BF262" s="2852"/>
      <c r="BG262" s="2851"/>
      <c r="BH262" s="2851"/>
      <c r="BI262" s="2851"/>
      <c r="BJ262" s="2852"/>
      <c r="BK262" s="2851"/>
      <c r="BL262" s="2851"/>
      <c r="BM262" s="2851"/>
      <c r="BN262" s="2852"/>
      <c r="BO262" s="2851"/>
      <c r="BP262" s="2851"/>
      <c r="BQ262" s="2851"/>
      <c r="BR262" s="2852"/>
      <c r="BS262" s="2851"/>
      <c r="BT262" s="2851"/>
      <c r="BU262" s="2851"/>
      <c r="BV262" s="2852"/>
      <c r="BW262" s="2851"/>
      <c r="BX262" s="2851"/>
      <c r="BY262" s="2851"/>
      <c r="BZ262" s="2852"/>
      <c r="CA262" s="2851"/>
      <c r="CB262" s="2851"/>
      <c r="CC262" s="2851"/>
      <c r="CD262" s="2852"/>
      <c r="CE262" s="2851"/>
      <c r="CF262" s="2851"/>
      <c r="CG262" s="2851"/>
      <c r="CH262" s="2852">
        <f t="shared" ref="CH262:DJ262" si="1097">+CH257/CH135</f>
        <v>0.7503628266721144</v>
      </c>
      <c r="CI262" s="2851">
        <f t="shared" si="1097"/>
        <v>0.73748803126976459</v>
      </c>
      <c r="CJ262" s="2851">
        <f t="shared" si="1097"/>
        <v>0.75878325415238601</v>
      </c>
      <c r="CK262" s="2851">
        <f t="shared" si="1097"/>
        <v>0.73691065728152161</v>
      </c>
      <c r="CL262" s="2852">
        <f t="shared" si="1097"/>
        <v>0.71907212696066669</v>
      </c>
      <c r="CM262" s="2851">
        <f t="shared" si="1097"/>
        <v>0.74002011050928451</v>
      </c>
      <c r="CN262" s="2851">
        <f t="shared" si="1097"/>
        <v>0.69148214049393342</v>
      </c>
      <c r="CO262" s="2851">
        <f t="shared" si="1097"/>
        <v>0.59463124486040153</v>
      </c>
      <c r="CP262" s="2852">
        <f t="shared" si="1097"/>
        <v>0.53966277947864028</v>
      </c>
      <c r="CQ262" s="2851">
        <f t="shared" si="1097"/>
        <v>0.54929029004966079</v>
      </c>
      <c r="CR262" s="2851">
        <f t="shared" si="1097"/>
        <v>0.60121611185910662</v>
      </c>
      <c r="CS262" s="2851">
        <f t="shared" si="1097"/>
        <v>0.64602864326435983</v>
      </c>
      <c r="CT262" s="2852">
        <f t="shared" ca="1" si="1097"/>
        <v>0.59363758142177137</v>
      </c>
      <c r="CU262" s="2851">
        <f t="shared" ca="1" si="1097"/>
        <v>0.58875518066574839</v>
      </c>
      <c r="CV262" s="2851">
        <f t="shared" ca="1" si="1097"/>
        <v>0.62831380621467514</v>
      </c>
      <c r="CW262" s="2851">
        <f t="shared" ca="1" si="1097"/>
        <v>0.9180651833718263</v>
      </c>
      <c r="CX262" s="2852">
        <f t="shared" ca="1" si="1097"/>
        <v>0.58732526108503458</v>
      </c>
      <c r="CY262" s="2851">
        <f t="shared" ca="1" si="1097"/>
        <v>0.61695081023223797</v>
      </c>
      <c r="CZ262" s="2851">
        <f t="shared" ca="1" si="1097"/>
        <v>0.69160047251188039</v>
      </c>
      <c r="DA262" s="2851">
        <f t="shared" ca="1" si="1097"/>
        <v>0.72602180224893798</v>
      </c>
      <c r="DB262" s="2852">
        <f t="shared" ca="1" si="1097"/>
        <v>0.57497641228867458</v>
      </c>
      <c r="DC262" s="2851">
        <f t="shared" ca="1" si="1097"/>
        <v>0.62203293687481154</v>
      </c>
      <c r="DD262" s="2851">
        <f t="shared" ca="1" si="1097"/>
        <v>0.62100047505219302</v>
      </c>
      <c r="DE262" s="2851">
        <f t="shared" ca="1" si="1097"/>
        <v>0.66268136681925238</v>
      </c>
      <c r="DF262" s="2852">
        <f t="shared" ca="1" si="1097"/>
        <v>0.63080384721245808</v>
      </c>
      <c r="DG262" s="2851">
        <f t="shared" ca="1" si="1097"/>
        <v>0.66366121362486286</v>
      </c>
      <c r="DH262" s="2851">
        <f t="shared" ca="1" si="1097"/>
        <v>0.68024010626624531</v>
      </c>
      <c r="DI262" s="2853">
        <f t="shared" ca="1" si="1097"/>
        <v>0.7216581252543729</v>
      </c>
      <c r="DJ262" s="2512">
        <f t="shared" ca="1" si="1097"/>
        <v>0.65306527798579683</v>
      </c>
      <c r="DK262" s="2511">
        <f t="shared" ref="DK262:DM262" ca="1" si="1098">+DK257/DK135</f>
        <v>0.74749574299738974</v>
      </c>
      <c r="DL262" s="2511">
        <f t="shared" ca="1" si="1098"/>
        <v>0.78061243885727627</v>
      </c>
      <c r="DM262" s="2854">
        <f t="shared" ca="1" si="1098"/>
        <v>0.84102665400171495</v>
      </c>
      <c r="DN262" s="2511">
        <f t="shared" ref="DN262:DO262" ca="1" si="1099">+DN257/DN135</f>
        <v>0.67237043216397596</v>
      </c>
      <c r="DO262" s="2511">
        <f t="shared" ca="1" si="1099"/>
        <v>0.67359555361810686</v>
      </c>
      <c r="DP262" s="2511">
        <f t="shared" ref="DP262:DQ262" ca="1" si="1100">+DP257/DP135</f>
        <v>0.66423052586053255</v>
      </c>
      <c r="DQ262" s="2854">
        <f t="shared" ca="1" si="1100"/>
        <v>0.69944343499346773</v>
      </c>
      <c r="DR262" s="2512">
        <f t="shared" ref="DR262" ca="1" si="1101">+DR257/DR135</f>
        <v>0.56040758602117058</v>
      </c>
      <c r="DS262" s="2511">
        <f t="shared" ref="DS262:DT262" ca="1" si="1102">+DS257/DS135</f>
        <v>0.67844112934210443</v>
      </c>
      <c r="DT262" s="2511">
        <f t="shared" ca="1" si="1102"/>
        <v>0.69023260500931582</v>
      </c>
      <c r="DU262" s="2854">
        <f t="shared" ref="DU262" ca="1" si="1103">+DU257/DU135</f>
        <v>0.78775546508181793</v>
      </c>
      <c r="DV262" s="2511">
        <f t="shared" ref="DV262" ca="1" si="1104">+DV257/DV135</f>
        <v>0.63678777126506902</v>
      </c>
      <c r="DW262" s="2511">
        <f t="shared" ref="DW262:DY262" ca="1" si="1105">+DW257/DW135</f>
        <v>0.71381315303239623</v>
      </c>
      <c r="DX262" s="2511">
        <f t="shared" ca="1" si="1105"/>
        <v>0.72268569622878831</v>
      </c>
      <c r="DY262" s="2854">
        <f t="shared" ca="1" si="1105"/>
        <v>0.80942504165379825</v>
      </c>
    </row>
    <row r="263" spans="1:130" s="2205" customFormat="1" ht="15" customHeight="1">
      <c r="A263" s="2820" t="s">
        <v>2</v>
      </c>
      <c r="B263" s="2821"/>
      <c r="C263" s="2821"/>
      <c r="D263" s="2822"/>
      <c r="E263" s="2822"/>
      <c r="F263" s="2822"/>
      <c r="G263" s="2821"/>
      <c r="H263" s="2821"/>
      <c r="I263" s="2821"/>
      <c r="J263" s="2821"/>
      <c r="K263" s="2821"/>
      <c r="L263" s="2822"/>
      <c r="M263" s="2822"/>
      <c r="N263" s="2822"/>
      <c r="O263" s="2822"/>
      <c r="P263" s="2822"/>
      <c r="Q263" s="2822">
        <f>SUM(CL263:CO263)</f>
        <v>10110.469349999999</v>
      </c>
      <c r="R263" s="2822">
        <f>SUM(CP263:CS263)</f>
        <v>9943.8347999999987</v>
      </c>
      <c r="S263" s="2822">
        <f>SUM(CT263:CW263)</f>
        <v>9657.6589499999991</v>
      </c>
      <c r="T263" s="2822">
        <f>SUM(CX263:DA263)</f>
        <v>9804.7284</v>
      </c>
      <c r="U263" s="2822">
        <f>SUM(DB263:DE263)</f>
        <v>10949.10015</v>
      </c>
      <c r="V263" s="2822">
        <f>SUM(DF263:DI263)</f>
        <v>12313.564050000001</v>
      </c>
      <c r="W263" s="2822">
        <f>SUM(DJ263:DM263)</f>
        <v>11907.282899999998</v>
      </c>
      <c r="X263" s="2822">
        <f>+SUM(DN263:DQ263)</f>
        <v>13058.438699999999</v>
      </c>
      <c r="Y263" s="2822">
        <f>+SUM(DR263:DU263)</f>
        <v>13307.07555</v>
      </c>
      <c r="Z263" s="2822">
        <f ca="1">+SUM(DV263:DY263)</f>
        <v>13234.704021212925</v>
      </c>
      <c r="AA263" s="2856">
        <f ca="1">AA265*(AVERAGE(Z254:AA254))*12</f>
        <v>13212.341324865311</v>
      </c>
      <c r="AB263" s="2856">
        <f ca="1">AB265*(AVERAGE(AA254:AB254))*12</f>
        <v>13149.766509650683</v>
      </c>
      <c r="AC263" s="2856">
        <f t="shared" ref="AC263:AG263" ca="1" si="1106">AC265*(AVERAGE(AB254:AC254))*12</f>
        <v>13053.658012414431</v>
      </c>
      <c r="AD263" s="2856">
        <f t="shared" ca="1" si="1106"/>
        <v>12929.602165511751</v>
      </c>
      <c r="AE263" s="2856">
        <f t="shared" ca="1" si="1106"/>
        <v>12782.274833971551</v>
      </c>
      <c r="AF263" s="2856">
        <f t="shared" ca="1" si="1106"/>
        <v>12615.591386930093</v>
      </c>
      <c r="AG263" s="2856">
        <f t="shared" ca="1" si="1106"/>
        <v>12432.830710664643</v>
      </c>
      <c r="AH263" s="2220"/>
      <c r="AI263" s="1928">
        <f ca="1">(AA263/V263)^(1/5)-1</f>
        <v>1.4189715392876945E-2</v>
      </c>
      <c r="AJ263" s="2221"/>
      <c r="AK263" s="2822"/>
      <c r="AL263" s="2822"/>
      <c r="AM263" s="2821"/>
      <c r="AN263" s="2822"/>
      <c r="AO263" s="2822"/>
      <c r="AP263" s="2824"/>
      <c r="AQ263" s="2822"/>
      <c r="AR263" s="2822"/>
      <c r="AS263" s="2822"/>
      <c r="AT263" s="2824"/>
      <c r="AU263" s="2822"/>
      <c r="AV263" s="2822"/>
      <c r="AW263" s="2822"/>
      <c r="AX263" s="2857"/>
      <c r="AY263" s="2821"/>
      <c r="AZ263" s="2821"/>
      <c r="BA263" s="2821"/>
      <c r="BB263" s="2857"/>
      <c r="BC263" s="2821"/>
      <c r="BD263" s="2821"/>
      <c r="BE263" s="2821"/>
      <c r="BF263" s="2857"/>
      <c r="BG263" s="2821"/>
      <c r="BH263" s="2821"/>
      <c r="BI263" s="2821"/>
      <c r="BJ263" s="2857"/>
      <c r="BK263" s="2821"/>
      <c r="BL263" s="2821"/>
      <c r="BM263" s="2821"/>
      <c r="BN263" s="2857"/>
      <c r="BO263" s="2821"/>
      <c r="BP263" s="2821"/>
      <c r="BQ263" s="2821"/>
      <c r="BR263" s="2857"/>
      <c r="BS263" s="2821"/>
      <c r="BT263" s="2821"/>
      <c r="BU263" s="2821"/>
      <c r="BV263" s="2857"/>
      <c r="BW263" s="2821"/>
      <c r="BX263" s="2821"/>
      <c r="BY263" s="2821"/>
      <c r="BZ263" s="2857"/>
      <c r="CA263" s="2821"/>
      <c r="CB263" s="2821"/>
      <c r="CC263" s="2821"/>
      <c r="CD263" s="2857"/>
      <c r="CE263" s="2822"/>
      <c r="CF263" s="2822"/>
      <c r="CG263" s="2822"/>
      <c r="CH263" s="2858">
        <f t="shared" ref="CH263:DV263" si="1107">CH265*(AVERAGE(CG254:CH254))*3</f>
        <v>2097.7002189000004</v>
      </c>
      <c r="CI263" s="2856">
        <f t="shared" si="1107"/>
        <v>1918.9690499999999</v>
      </c>
      <c r="CJ263" s="2856">
        <f t="shared" si="1107"/>
        <v>2393.6310000000003</v>
      </c>
      <c r="CK263" s="2856">
        <f t="shared" si="1107"/>
        <v>2498.5454999999997</v>
      </c>
      <c r="CL263" s="2858">
        <f t="shared" si="1107"/>
        <v>2605.8760499999999</v>
      </c>
      <c r="CM263" s="2856">
        <f t="shared" si="1107"/>
        <v>2336.2350000000001</v>
      </c>
      <c r="CN263" s="2856">
        <f t="shared" si="1107"/>
        <v>2650.4688000000001</v>
      </c>
      <c r="CO263" s="2856">
        <f t="shared" si="1107"/>
        <v>2517.8895000000002</v>
      </c>
      <c r="CP263" s="2858">
        <f t="shared" si="1107"/>
        <v>2542.1602499999999</v>
      </c>
      <c r="CQ263" s="2856">
        <f t="shared" si="1107"/>
        <v>2266.6657499999997</v>
      </c>
      <c r="CR263" s="2856">
        <f t="shared" si="1107"/>
        <v>2629.4715000000001</v>
      </c>
      <c r="CS263" s="2856">
        <f t="shared" si="1107"/>
        <v>2505.5373</v>
      </c>
      <c r="CT263" s="2858">
        <f t="shared" si="1107"/>
        <v>2532.4133999999999</v>
      </c>
      <c r="CU263" s="2856">
        <f t="shared" si="1107"/>
        <v>2260.4353499999997</v>
      </c>
      <c r="CV263" s="2856">
        <f t="shared" si="1107"/>
        <v>2417.6565000000001</v>
      </c>
      <c r="CW263" s="2856">
        <f t="shared" si="1107"/>
        <v>2447.1536999999998</v>
      </c>
      <c r="CX263" s="2858">
        <f t="shared" si="1107"/>
        <v>2524.9679999999998</v>
      </c>
      <c r="CY263" s="2856">
        <f t="shared" si="1107"/>
        <v>2227.6925999999999</v>
      </c>
      <c r="CZ263" s="2856">
        <f t="shared" si="1107"/>
        <v>2445.9708000000001</v>
      </c>
      <c r="DA263" s="2856">
        <f t="shared" si="1107"/>
        <v>2606.0969999999998</v>
      </c>
      <c r="DB263" s="2858">
        <f t="shared" si="1107"/>
        <v>2813.5973999999997</v>
      </c>
      <c r="DC263" s="2856">
        <f t="shared" si="1107"/>
        <v>2615.0251499999999</v>
      </c>
      <c r="DD263" s="2856">
        <f t="shared" si="1107"/>
        <v>2756.5848000000001</v>
      </c>
      <c r="DE263" s="2856">
        <f t="shared" si="1107"/>
        <v>2763.8927999999996</v>
      </c>
      <c r="DF263" s="2858">
        <f t="shared" si="1107"/>
        <v>3114.1012500000002</v>
      </c>
      <c r="DG263" s="2856">
        <f t="shared" si="1107"/>
        <v>2761.7105999999999</v>
      </c>
      <c r="DH263" s="2856">
        <f t="shared" si="1107"/>
        <v>2980.44</v>
      </c>
      <c r="DI263" s="2859">
        <f t="shared" si="1107"/>
        <v>3457.3122000000003</v>
      </c>
      <c r="DJ263" s="2858">
        <f t="shared" si="1107"/>
        <v>3162.8621999999996</v>
      </c>
      <c r="DK263" s="2856">
        <f t="shared" si="1107"/>
        <v>2785.9679999999998</v>
      </c>
      <c r="DL263" s="2856">
        <f t="shared" si="1107"/>
        <v>2912.1182999999996</v>
      </c>
      <c r="DM263" s="2859">
        <f t="shared" si="1107"/>
        <v>3046.3343999999997</v>
      </c>
      <c r="DN263" s="2856">
        <f t="shared" si="1107"/>
        <v>3077.2655999999997</v>
      </c>
      <c r="DO263" s="2856">
        <f t="shared" si="1107"/>
        <v>3030.8091000000004</v>
      </c>
      <c r="DP263" s="2856">
        <f t="shared" si="1107"/>
        <v>3369.6000000000004</v>
      </c>
      <c r="DQ263" s="2859">
        <f t="shared" si="1107"/>
        <v>3580.7640000000001</v>
      </c>
      <c r="DR263" s="2858">
        <f t="shared" si="1107"/>
        <v>3748.0627499999996</v>
      </c>
      <c r="DS263" s="2856">
        <f t="shared" si="1107"/>
        <v>3067.7511</v>
      </c>
      <c r="DT263" s="2856">
        <f t="shared" si="1107"/>
        <v>3183.1617000000006</v>
      </c>
      <c r="DU263" s="3290">
        <f t="shared" si="1107"/>
        <v>3308.1000000000004</v>
      </c>
      <c r="DV263" s="3322">
        <f t="shared" si="1107"/>
        <v>3462.7008000000001</v>
      </c>
      <c r="DW263" s="2856">
        <f t="shared" ref="DW263" ca="1" si="1108">DW265*(AVERAGE(DV254:DW254))*3</f>
        <v>3140.0150248494233</v>
      </c>
      <c r="DX263" s="2856">
        <f t="shared" ref="DX263" ca="1" si="1109">DX265*(AVERAGE(DW254:DX254))*3</f>
        <v>3254.0921445197328</v>
      </c>
      <c r="DY263" s="2859">
        <f t="shared" ref="DY263" ca="1" si="1110">DY265*(AVERAGE(DX254:DY254))*3</f>
        <v>3377.8960518437689</v>
      </c>
    </row>
    <row r="264" spans="1:130" ht="15" customHeight="1">
      <c r="A264" s="2860" t="s">
        <v>1453</v>
      </c>
      <c r="B264" s="2207"/>
      <c r="C264" s="2207"/>
      <c r="D264" s="2207"/>
      <c r="E264" s="2207"/>
      <c r="F264" s="2207"/>
      <c r="G264" s="2207"/>
      <c r="H264" s="2207"/>
      <c r="I264" s="2207"/>
      <c r="J264" s="2207"/>
      <c r="K264" s="2207"/>
      <c r="L264" s="2207"/>
      <c r="M264" s="2207"/>
      <c r="N264" s="2207"/>
      <c r="O264" s="2207"/>
      <c r="P264" s="2207"/>
      <c r="Q264" s="2207"/>
      <c r="R264" s="2207">
        <f t="shared" ref="R264:AB264" si="1111">R263/Q263-1</f>
        <v>-1.6481386197961245E-2</v>
      </c>
      <c r="S264" s="2207">
        <f t="shared" si="1111"/>
        <v>-2.8779224087672861E-2</v>
      </c>
      <c r="T264" s="2207">
        <f t="shared" si="1111"/>
        <v>1.5228271236478186E-2</v>
      </c>
      <c r="U264" s="2207">
        <f t="shared" si="1111"/>
        <v>0.11671631312092234</v>
      </c>
      <c r="V264" s="2207">
        <f t="shared" si="1111"/>
        <v>0.12461881627779259</v>
      </c>
      <c r="W264" s="2207">
        <f>W263/V263-1</f>
        <v>-3.2994602403517925E-2</v>
      </c>
      <c r="X264" s="2207">
        <f>X263/W263-1</f>
        <v>9.6676614612053902E-2</v>
      </c>
      <c r="Y264" s="2207">
        <f>Y263/X263-1</f>
        <v>1.9040319881426626E-2</v>
      </c>
      <c r="Z264" s="2207">
        <f ca="1">Z263/Y263-1</f>
        <v>-5.4385750283858503E-3</v>
      </c>
      <c r="AA264" s="2207">
        <f t="shared" ca="1" si="1111"/>
        <v>-1.6897012817038704E-3</v>
      </c>
      <c r="AB264" s="2207">
        <f t="shared" ca="1" si="1111"/>
        <v>-4.7360883038091162E-3</v>
      </c>
      <c r="AC264" s="2207">
        <f t="shared" ref="AC264" ca="1" si="1112">AC263/AB263-1</f>
        <v>-7.3087607423080181E-3</v>
      </c>
      <c r="AD264" s="2207">
        <f t="shared" ref="AD264" ca="1" si="1113">AD263/AC263-1</f>
        <v>-9.5035312542046668E-3</v>
      </c>
      <c r="AE264" s="2207">
        <f t="shared" ref="AE264" ca="1" si="1114">AE263/AD263-1</f>
        <v>-1.139457576917402E-2</v>
      </c>
      <c r="AF264" s="2207">
        <f t="shared" ref="AF264" ca="1" si="1115">AF263/AE263-1</f>
        <v>-1.3040202092859277E-2</v>
      </c>
      <c r="AG264" s="2207">
        <f t="shared" ref="AG264" ca="1" si="1116">AG263/AF263-1</f>
        <v>-1.4486889330831754E-2</v>
      </c>
      <c r="AH264" s="2201"/>
      <c r="AI264" s="1927"/>
      <c r="AK264" s="2207"/>
      <c r="AL264" s="2207"/>
      <c r="AM264" s="2207"/>
      <c r="AN264" s="2207"/>
      <c r="AO264" s="2207"/>
      <c r="AP264" s="2208"/>
      <c r="AQ264" s="2207"/>
      <c r="AR264" s="2207"/>
      <c r="AS264" s="2207"/>
      <c r="AT264" s="2208"/>
      <c r="AU264" s="2207"/>
      <c r="AV264" s="2207"/>
      <c r="AW264" s="2207"/>
      <c r="AX264" s="2208"/>
      <c r="AY264" s="2207"/>
      <c r="AZ264" s="2207"/>
      <c r="BA264" s="2207"/>
      <c r="BB264" s="2208"/>
      <c r="BC264" s="2207"/>
      <c r="BD264" s="2207"/>
      <c r="BE264" s="2207"/>
      <c r="BF264" s="2208"/>
      <c r="BG264" s="2207"/>
      <c r="BH264" s="2207"/>
      <c r="BI264" s="2207"/>
      <c r="BJ264" s="2208"/>
      <c r="BK264" s="2207"/>
      <c r="BL264" s="2207"/>
      <c r="BM264" s="2207"/>
      <c r="BN264" s="2208"/>
      <c r="BO264" s="2207"/>
      <c r="BP264" s="2207"/>
      <c r="BQ264" s="2207"/>
      <c r="BR264" s="2208"/>
      <c r="BS264" s="2207"/>
      <c r="BT264" s="2207"/>
      <c r="BU264" s="2207"/>
      <c r="BV264" s="2208"/>
      <c r="BW264" s="2207"/>
      <c r="BX264" s="2207"/>
      <c r="BY264" s="2207"/>
      <c r="BZ264" s="2208"/>
      <c r="CA264" s="2207"/>
      <c r="CB264" s="2207"/>
      <c r="CC264" s="2207"/>
      <c r="CD264" s="2208"/>
      <c r="CE264" s="2207"/>
      <c r="CF264" s="2207"/>
      <c r="CG264" s="2207"/>
      <c r="CH264" s="2208"/>
      <c r="CI264" s="2207"/>
      <c r="CJ264" s="2207"/>
      <c r="CK264" s="2207"/>
      <c r="CL264" s="2208">
        <f t="shared" ref="CL264:DV264" si="1117">CL263/CH263-1</f>
        <v>0.24225379132890512</v>
      </c>
      <c r="CM264" s="2207">
        <f t="shared" si="1117"/>
        <v>0.21744277220104213</v>
      </c>
      <c r="CN264" s="2207">
        <f t="shared" si="1117"/>
        <v>0.10730049869842073</v>
      </c>
      <c r="CO264" s="2207">
        <f t="shared" si="1117"/>
        <v>7.7421043563146164E-3</v>
      </c>
      <c r="CP264" s="2208">
        <f t="shared" si="1117"/>
        <v>-2.4450817605081387E-2</v>
      </c>
      <c r="CQ264" s="2207">
        <f t="shared" si="1117"/>
        <v>-2.9778361337793657E-2</v>
      </c>
      <c r="CR264" s="2207">
        <f t="shared" si="1117"/>
        <v>-7.9221079682205708E-3</v>
      </c>
      <c r="CS264" s="2207">
        <f t="shared" si="1117"/>
        <v>-4.9057752534414911E-3</v>
      </c>
      <c r="CT264" s="2208">
        <f t="shared" si="1117"/>
        <v>-3.8340816634199193E-3</v>
      </c>
      <c r="CU264" s="2207">
        <f t="shared" si="1117"/>
        <v>-2.7487069939623465E-3</v>
      </c>
      <c r="CV264" s="2207">
        <f t="shared" si="1117"/>
        <v>-8.0554210228177103E-2</v>
      </c>
      <c r="CW264" s="2207">
        <f t="shared" si="1117"/>
        <v>-2.330182831442984E-2</v>
      </c>
      <c r="CX264" s="2208">
        <f t="shared" si="1117"/>
        <v>-2.9400413060521879E-3</v>
      </c>
      <c r="CY264" s="2207">
        <f t="shared" si="1117"/>
        <v>-1.4485152163276838E-2</v>
      </c>
      <c r="CZ264" s="2207">
        <f t="shared" si="1117"/>
        <v>1.1711465214351069E-2</v>
      </c>
      <c r="DA264" s="2207">
        <f t="shared" si="1117"/>
        <v>6.4950272637145812E-2</v>
      </c>
      <c r="DB264" s="2208">
        <f t="shared" si="1117"/>
        <v>0.11431012195006018</v>
      </c>
      <c r="DC264" s="2207">
        <f t="shared" si="1117"/>
        <v>0.17387163291739638</v>
      </c>
      <c r="DD264" s="2207">
        <f t="shared" si="1117"/>
        <v>0.12699006872853924</v>
      </c>
      <c r="DE264" s="2207">
        <f t="shared" si="1117"/>
        <v>6.0548705593076457E-2</v>
      </c>
      <c r="DF264" s="2208">
        <f t="shared" si="1117"/>
        <v>0.10680413978204584</v>
      </c>
      <c r="DG264" s="2207">
        <f t="shared" si="1117"/>
        <v>5.609332285006885E-2</v>
      </c>
      <c r="DH264" s="2207">
        <f t="shared" si="1117"/>
        <v>8.1207441904199706E-2</v>
      </c>
      <c r="DI264" s="2209">
        <f t="shared" si="1117"/>
        <v>0.25088505603401146</v>
      </c>
      <c r="DJ264" s="2208">
        <f t="shared" si="1117"/>
        <v>1.565811323572075E-2</v>
      </c>
      <c r="DK264" s="2207">
        <f t="shared" si="1117"/>
        <v>8.7834692020227756E-3</v>
      </c>
      <c r="DL264" s="2207">
        <f t="shared" si="1117"/>
        <v>-2.2923360309216267E-2</v>
      </c>
      <c r="DM264" s="2209">
        <f t="shared" si="1117"/>
        <v>-0.11887205326727524</v>
      </c>
      <c r="DN264" s="2207">
        <f t="shared" si="1117"/>
        <v>-2.7063019059129334E-2</v>
      </c>
      <c r="DO264" s="2207">
        <f t="shared" si="1117"/>
        <v>8.7883672748574559E-2</v>
      </c>
      <c r="DP264" s="2207">
        <f t="shared" si="1117"/>
        <v>0.15709585012394611</v>
      </c>
      <c r="DQ264" s="2209">
        <f t="shared" si="1117"/>
        <v>0.17543366217444833</v>
      </c>
      <c r="DR264" s="2208">
        <f t="shared" si="1117"/>
        <v>0.21798480768120898</v>
      </c>
      <c r="DS264" s="2207">
        <f t="shared" si="1117"/>
        <v>1.2188824429753664E-2</v>
      </c>
      <c r="DT264" s="2207">
        <f t="shared" si="1117"/>
        <v>-5.5329504985754951E-2</v>
      </c>
      <c r="DU264" s="2209">
        <f t="shared" si="1117"/>
        <v>-7.6146878152260178E-2</v>
      </c>
      <c r="DV264" s="2207">
        <f t="shared" si="1117"/>
        <v>-7.6135851781029995E-2</v>
      </c>
      <c r="DW264" s="2207">
        <f t="shared" ref="DW264" ca="1" si="1118">DW263/DS263-1</f>
        <v>2.3555993460298463E-2</v>
      </c>
      <c r="DX264" s="2207">
        <f t="shared" ref="DX264" ca="1" si="1119">DX263/DT263-1</f>
        <v>2.2283016448624737E-2</v>
      </c>
      <c r="DY264" s="2209">
        <f t="shared" ref="DY264" ca="1" si="1120">DY263/DU263-1</f>
        <v>2.1098531436101853E-2</v>
      </c>
    </row>
    <row r="265" spans="1:130" s="1840" customFormat="1" ht="15.75" customHeight="1">
      <c r="A265" s="1852" t="s">
        <v>3</v>
      </c>
      <c r="B265" s="1088"/>
      <c r="C265" s="1088"/>
      <c r="D265" s="1123"/>
      <c r="E265" s="1123"/>
      <c r="F265" s="1123"/>
      <c r="G265" s="1853"/>
      <c r="H265" s="1123"/>
      <c r="I265" s="1123"/>
      <c r="J265" s="1123"/>
      <c r="K265" s="1123"/>
      <c r="L265" s="1123"/>
      <c r="M265" s="1123"/>
      <c r="N265" s="1088"/>
      <c r="O265" s="1088"/>
      <c r="P265" s="1088"/>
      <c r="Q265" s="1088"/>
      <c r="R265" s="1854">
        <f t="shared" ref="R265:Z265" si="1121">+R263/AVERAGE(Q254:R254)/12</f>
        <v>1.0128992788167705E-2</v>
      </c>
      <c r="S265" s="1854">
        <f t="shared" si="1121"/>
        <v>9.4401392611447033E-3</v>
      </c>
      <c r="T265" s="1854">
        <f t="shared" si="1121"/>
        <v>9.0828927475654769E-3</v>
      </c>
      <c r="U265" s="1854">
        <f t="shared" si="1121"/>
        <v>9.6409062932555651E-3</v>
      </c>
      <c r="V265" s="1854">
        <f t="shared" si="1121"/>
        <v>1.0321633321765722E-2</v>
      </c>
      <c r="W265" s="1854">
        <f t="shared" si="1121"/>
        <v>9.5133296102240094E-3</v>
      </c>
      <c r="X265" s="1854">
        <f t="shared" si="1121"/>
        <v>1.010758879641842E-2</v>
      </c>
      <c r="Y265" s="1854">
        <f t="shared" si="1121"/>
        <v>1.0097181538811745E-2</v>
      </c>
      <c r="Z265" s="1854">
        <f t="shared" ca="1" si="1121"/>
        <v>9.8481193525604104E-3</v>
      </c>
      <c r="AA265" s="1855">
        <f t="shared" ref="AA265:AG265" ca="1" si="1122">CHOOSE(_switch,AA266,AA267,AA268)</f>
        <v>9.6481193525604098E-3</v>
      </c>
      <c r="AB265" s="1855">
        <f t="shared" ca="1" si="1122"/>
        <v>9.4481193525604093E-3</v>
      </c>
      <c r="AC265" s="1855">
        <f t="shared" ca="1" si="1122"/>
        <v>9.2481193525604088E-3</v>
      </c>
      <c r="AD265" s="1855">
        <f t="shared" ca="1" si="1122"/>
        <v>9.0481193525604083E-3</v>
      </c>
      <c r="AE265" s="1855">
        <f t="shared" ca="1" si="1122"/>
        <v>8.8481193525604077E-3</v>
      </c>
      <c r="AF265" s="1855">
        <f t="shared" ca="1" si="1122"/>
        <v>8.6481193525604072E-3</v>
      </c>
      <c r="AG265" s="1855">
        <f t="shared" ca="1" si="1122"/>
        <v>8.4481193525604067E-3</v>
      </c>
      <c r="AH265" s="2220"/>
      <c r="AI265" s="1977"/>
      <c r="AJ265" s="2221"/>
      <c r="AK265" s="1123"/>
      <c r="AL265" s="1123"/>
      <c r="AM265" s="1088"/>
      <c r="AN265" s="1123"/>
      <c r="AO265" s="1123"/>
      <c r="AP265" s="466"/>
      <c r="AQ265" s="1123"/>
      <c r="AR265" s="1123"/>
      <c r="AS265" s="1123"/>
      <c r="AT265" s="466"/>
      <c r="AU265" s="1123"/>
      <c r="AV265" s="1123"/>
      <c r="AW265" s="1123"/>
      <c r="AX265" s="466"/>
      <c r="AY265" s="1123"/>
      <c r="AZ265" s="1123"/>
      <c r="BA265" s="1123"/>
      <c r="BB265" s="466"/>
      <c r="BC265" s="1123"/>
      <c r="BD265" s="1123"/>
      <c r="BE265" s="1123"/>
      <c r="BF265" s="466"/>
      <c r="BG265" s="1123"/>
      <c r="BH265" s="1123"/>
      <c r="BI265" s="1123"/>
      <c r="BJ265" s="466"/>
      <c r="BK265" s="1123"/>
      <c r="BL265" s="1123"/>
      <c r="BM265" s="1123"/>
      <c r="BN265" s="1857"/>
      <c r="BO265" s="1088"/>
      <c r="BP265" s="1088"/>
      <c r="BQ265" s="1858"/>
      <c r="BR265" s="1857"/>
      <c r="BS265" s="1858"/>
      <c r="BT265" s="1088"/>
      <c r="BU265" s="1858"/>
      <c r="BV265" s="1857"/>
      <c r="BW265" s="1088"/>
      <c r="BX265" s="1088"/>
      <c r="BY265" s="1855"/>
      <c r="BZ265" s="1859"/>
      <c r="CA265" s="1855"/>
      <c r="CB265" s="1855"/>
      <c r="CC265" s="1855"/>
      <c r="CD265" s="1859"/>
      <c r="CE265" s="1855"/>
      <c r="CF265" s="1855"/>
      <c r="CG265" s="1855"/>
      <c r="CH265" s="1859">
        <v>9.9000000000000008E-3</v>
      </c>
      <c r="CI265" s="1855">
        <v>8.8999999999999999E-3</v>
      </c>
      <c r="CJ265" s="1855">
        <v>1.0800000000000001E-2</v>
      </c>
      <c r="CK265" s="1855">
        <v>1.0999999999999999E-2</v>
      </c>
      <c r="CL265" s="1859">
        <v>1.1299999999999999E-2</v>
      </c>
      <c r="CM265" s="1855">
        <v>0.01</v>
      </c>
      <c r="CN265" s="1855">
        <v>1.12E-2</v>
      </c>
      <c r="CO265" s="1855">
        <v>1.0500000000000001E-2</v>
      </c>
      <c r="CP265" s="1859">
        <v>1.0500000000000001E-2</v>
      </c>
      <c r="CQ265" s="1855">
        <v>9.2999999999999992E-3</v>
      </c>
      <c r="CR265" s="1855">
        <v>1.0699999999999999E-2</v>
      </c>
      <c r="CS265" s="1855">
        <v>1.01E-2</v>
      </c>
      <c r="CT265" s="1859">
        <v>1.01E-2</v>
      </c>
      <c r="CU265" s="1855">
        <v>8.8999999999999999E-3</v>
      </c>
      <c r="CV265" s="1855">
        <v>9.4000000000000004E-3</v>
      </c>
      <c r="CW265" s="1855">
        <v>9.4000000000000004E-3</v>
      </c>
      <c r="CX265" s="1859">
        <v>9.5999999999999992E-3</v>
      </c>
      <c r="CY265" s="1855">
        <v>8.3999999999999995E-3</v>
      </c>
      <c r="CZ265" s="1855">
        <v>9.1000000000000004E-3</v>
      </c>
      <c r="DA265" s="1855">
        <v>9.4999999999999998E-3</v>
      </c>
      <c r="DB265" s="1859">
        <v>1.01E-2</v>
      </c>
      <c r="DC265" s="1855">
        <v>9.2999999999999992E-3</v>
      </c>
      <c r="DD265" s="1855">
        <v>9.7000000000000003E-3</v>
      </c>
      <c r="DE265" s="1855">
        <v>9.5999999999999992E-3</v>
      </c>
      <c r="DF265" s="1859">
        <v>1.0699999999999999E-2</v>
      </c>
      <c r="DG265" s="1855">
        <v>9.4000000000000004E-3</v>
      </c>
      <c r="DH265" s="1855">
        <v>0.01</v>
      </c>
      <c r="DI265" s="1856">
        <v>1.14E-2</v>
      </c>
      <c r="DJ265" s="1859">
        <v>1.03E-2</v>
      </c>
      <c r="DK265" s="1855">
        <v>8.9999999999999993E-3</v>
      </c>
      <c r="DL265" s="1855">
        <v>9.2999999999999992E-3</v>
      </c>
      <c r="DM265" s="1856">
        <v>9.5999999999999992E-3</v>
      </c>
      <c r="DN265" s="1855">
        <v>9.5999999999999992E-3</v>
      </c>
      <c r="DO265" s="1855">
        <v>9.4000000000000004E-3</v>
      </c>
      <c r="DP265" s="1855">
        <v>1.04E-2</v>
      </c>
      <c r="DQ265" s="1856">
        <v>1.0999999999999999E-2</v>
      </c>
      <c r="DR265" s="1859">
        <v>1.15E-2</v>
      </c>
      <c r="DS265" s="1855">
        <v>9.4000000000000004E-3</v>
      </c>
      <c r="DT265" s="1855">
        <v>9.7000000000000003E-3</v>
      </c>
      <c r="DU265" s="1856">
        <v>0.01</v>
      </c>
      <c r="DV265" s="1855">
        <v>1.04E-2</v>
      </c>
      <c r="DW265" s="1854">
        <f>CHOOSE(_switch,DW266,DW267,DW268)</f>
        <v>9.4000000000000004E-3</v>
      </c>
      <c r="DX265" s="1854">
        <f>CHOOSE(_switch,DX266,DX267,DX268)</f>
        <v>9.7000000000000003E-3</v>
      </c>
      <c r="DY265" s="2140">
        <f>CHOOSE(_switch,DY266,DY267,DY268)</f>
        <v>0.01</v>
      </c>
    </row>
    <row r="266" spans="1:130" s="1491" customFormat="1" ht="15" customHeight="1" outlineLevel="1">
      <c r="A266" s="1864" t="s">
        <v>1106</v>
      </c>
      <c r="B266" s="1472"/>
      <c r="C266" s="1472"/>
      <c r="D266" s="1479"/>
      <c r="E266" s="1479"/>
      <c r="F266" s="1479"/>
      <c r="G266" s="1472"/>
      <c r="H266" s="1472"/>
      <c r="I266" s="1472"/>
      <c r="J266" s="1472"/>
      <c r="K266" s="1472"/>
      <c r="L266" s="1479"/>
      <c r="M266" s="1479"/>
      <c r="N266" s="1479"/>
      <c r="O266" s="1479"/>
      <c r="P266" s="1479"/>
      <c r="Q266" s="1479"/>
      <c r="R266" s="1479"/>
      <c r="S266" s="1860"/>
      <c r="T266" s="1860"/>
      <c r="U266" s="1860"/>
      <c r="V266" s="1860"/>
      <c r="W266" s="1860"/>
      <c r="X266" s="1860"/>
      <c r="Y266" s="1860"/>
      <c r="Z266" s="1860"/>
      <c r="AA266" s="1860">
        <f ca="1">+Z265-0.0002</f>
        <v>9.6481193525604098E-3</v>
      </c>
      <c r="AB266" s="1860">
        <f t="shared" ref="AB266:AG266" ca="1" si="1123">+AA266-0.0002</f>
        <v>9.4481193525604093E-3</v>
      </c>
      <c r="AC266" s="1860">
        <f t="shared" ca="1" si="1123"/>
        <v>9.2481193525604088E-3</v>
      </c>
      <c r="AD266" s="1860">
        <f t="shared" ca="1" si="1123"/>
        <v>9.0481193525604083E-3</v>
      </c>
      <c r="AE266" s="1860">
        <f t="shared" ca="1" si="1123"/>
        <v>8.8481193525604077E-3</v>
      </c>
      <c r="AF266" s="1860">
        <f t="shared" ca="1" si="1123"/>
        <v>8.6481193525604072E-3</v>
      </c>
      <c r="AG266" s="1860">
        <f t="shared" ca="1" si="1123"/>
        <v>8.4481193525604067E-3</v>
      </c>
      <c r="AH266" s="2201"/>
      <c r="AI266" s="1927"/>
      <c r="AJ266" s="1561"/>
      <c r="AK266" s="1479"/>
      <c r="AL266" s="1479"/>
      <c r="AM266" s="1472"/>
      <c r="AN266" s="1479"/>
      <c r="AO266" s="1479"/>
      <c r="AP266" s="1480"/>
      <c r="AQ266" s="1479"/>
      <c r="AR266" s="1479"/>
      <c r="AS266" s="1479"/>
      <c r="AT266" s="1480"/>
      <c r="AU266" s="1479"/>
      <c r="AV266" s="1479"/>
      <c r="AW266" s="1479"/>
      <c r="AX266" s="1454"/>
      <c r="AY266" s="1472"/>
      <c r="AZ266" s="1472"/>
      <c r="BA266" s="1472"/>
      <c r="BB266" s="1454"/>
      <c r="BC266" s="1472"/>
      <c r="BD266" s="1472"/>
      <c r="BE266" s="1472"/>
      <c r="BF266" s="1454"/>
      <c r="BG266" s="1472"/>
      <c r="BH266" s="1472"/>
      <c r="BI266" s="1472"/>
      <c r="BJ266" s="1454"/>
      <c r="BK266" s="1472"/>
      <c r="BL266" s="1472"/>
      <c r="BM266" s="1472"/>
      <c r="BN266" s="1454"/>
      <c r="BO266" s="1472"/>
      <c r="BP266" s="1472"/>
      <c r="BQ266" s="1472"/>
      <c r="BR266" s="1454"/>
      <c r="BS266" s="1472"/>
      <c r="BT266" s="1472"/>
      <c r="BU266" s="1472"/>
      <c r="BV266" s="1454"/>
      <c r="BW266" s="1472"/>
      <c r="BX266" s="1472"/>
      <c r="BY266" s="1472"/>
      <c r="BZ266" s="1454"/>
      <c r="CA266" s="1472"/>
      <c r="CB266" s="1472"/>
      <c r="CC266" s="1472"/>
      <c r="CD266" s="1454"/>
      <c r="CE266" s="1479"/>
      <c r="CF266" s="1479"/>
      <c r="CG266" s="1479"/>
      <c r="CH266" s="1454"/>
      <c r="CI266" s="1472"/>
      <c r="CJ266" s="1472"/>
      <c r="CK266" s="1479"/>
      <c r="CL266" s="1480"/>
      <c r="CM266" s="1479"/>
      <c r="CN266" s="1479"/>
      <c r="CO266" s="1479"/>
      <c r="CP266" s="1480"/>
      <c r="CQ266" s="1479"/>
      <c r="CR266" s="1479"/>
      <c r="CS266" s="1479"/>
      <c r="CT266" s="1480"/>
      <c r="CU266" s="1479"/>
      <c r="CV266" s="1479"/>
      <c r="CW266" s="1479"/>
      <c r="CX266" s="1480"/>
      <c r="CY266" s="1479"/>
      <c r="CZ266" s="1479"/>
      <c r="DA266" s="1479"/>
      <c r="DB266" s="1480"/>
      <c r="DC266" s="1479"/>
      <c r="DD266" s="1479"/>
      <c r="DE266" s="1479"/>
      <c r="DF266" s="1480"/>
      <c r="DG266" s="1479"/>
      <c r="DH266" s="1479"/>
      <c r="DI266" s="1499"/>
      <c r="DJ266" s="1480"/>
      <c r="DK266" s="1479"/>
      <c r="DL266" s="1479"/>
      <c r="DM266" s="1499"/>
      <c r="DN266" s="1479"/>
      <c r="DO266" s="1479"/>
      <c r="DP266" s="1479"/>
      <c r="DQ266" s="1499"/>
      <c r="DR266" s="1480"/>
      <c r="DS266" s="1479"/>
      <c r="DT266" s="1479"/>
      <c r="DU266" s="1499"/>
      <c r="DV266" s="1479"/>
      <c r="DW266" s="1860">
        <f>+DS265</f>
        <v>9.4000000000000004E-3</v>
      </c>
      <c r="DX266" s="1860">
        <f>+DT265</f>
        <v>9.7000000000000003E-3</v>
      </c>
      <c r="DY266" s="1861">
        <f>+DU265</f>
        <v>0.01</v>
      </c>
    </row>
    <row r="267" spans="1:130" s="1491" customFormat="1" ht="15" customHeight="1" outlineLevel="1">
      <c r="A267" s="1864" t="s">
        <v>1107</v>
      </c>
      <c r="B267" s="1472"/>
      <c r="C267" s="1472"/>
      <c r="D267" s="1479"/>
      <c r="E267" s="1479"/>
      <c r="F267" s="1479"/>
      <c r="G267" s="1472"/>
      <c r="H267" s="1472"/>
      <c r="I267" s="1472"/>
      <c r="J267" s="1472"/>
      <c r="K267" s="1472"/>
      <c r="L267" s="1479"/>
      <c r="M267" s="1479"/>
      <c r="N267" s="1479"/>
      <c r="O267" s="1479"/>
      <c r="P267" s="1479"/>
      <c r="Q267" s="1479"/>
      <c r="R267" s="1479"/>
      <c r="S267" s="1860"/>
      <c r="T267" s="1860"/>
      <c r="U267" s="1860"/>
      <c r="V267" s="1860"/>
      <c r="W267" s="1860"/>
      <c r="X267" s="1860"/>
      <c r="Y267" s="1860"/>
      <c r="Z267" s="1860"/>
      <c r="AA267" s="1860">
        <f ca="1">+AA266-0.00025</f>
        <v>9.3981193525604096E-3</v>
      </c>
      <c r="AB267" s="1860">
        <f ca="1">+AB266-0.00025</f>
        <v>9.1981193525604091E-3</v>
      </c>
      <c r="AC267" s="1860">
        <f t="shared" ref="AC267:AG267" ca="1" si="1124">+AC266-0.00025</f>
        <v>8.9981193525604086E-3</v>
      </c>
      <c r="AD267" s="1860">
        <f t="shared" ca="1" si="1124"/>
        <v>8.798119352560408E-3</v>
      </c>
      <c r="AE267" s="1860">
        <f t="shared" ca="1" si="1124"/>
        <v>8.5981193525604075E-3</v>
      </c>
      <c r="AF267" s="1860">
        <f t="shared" ca="1" si="1124"/>
        <v>8.398119352560407E-3</v>
      </c>
      <c r="AG267" s="1860">
        <f t="shared" ca="1" si="1124"/>
        <v>8.1981193525604065E-3</v>
      </c>
      <c r="AH267" s="2201"/>
      <c r="AI267" s="1927"/>
      <c r="AJ267" s="1561"/>
      <c r="AK267" s="1479"/>
      <c r="AL267" s="1479"/>
      <c r="AM267" s="1472"/>
      <c r="AN267" s="1479"/>
      <c r="AO267" s="1479"/>
      <c r="AP267" s="1480"/>
      <c r="AQ267" s="1479"/>
      <c r="AR267" s="1479"/>
      <c r="AS267" s="1479"/>
      <c r="AT267" s="1480"/>
      <c r="AU267" s="1479"/>
      <c r="AV267" s="1479"/>
      <c r="AW267" s="1479"/>
      <c r="AX267" s="1454"/>
      <c r="AY267" s="1472"/>
      <c r="AZ267" s="1472"/>
      <c r="BA267" s="1472"/>
      <c r="BB267" s="1454"/>
      <c r="BC267" s="1472"/>
      <c r="BD267" s="1472"/>
      <c r="BE267" s="1472"/>
      <c r="BF267" s="1454"/>
      <c r="BG267" s="1472"/>
      <c r="BH267" s="1472"/>
      <c r="BI267" s="1472"/>
      <c r="BJ267" s="1454"/>
      <c r="BK267" s="1472"/>
      <c r="BL267" s="1472"/>
      <c r="BM267" s="1472"/>
      <c r="BN267" s="1454"/>
      <c r="BO267" s="1472"/>
      <c r="BP267" s="1472"/>
      <c r="BQ267" s="1472"/>
      <c r="BR267" s="1454"/>
      <c r="BS267" s="1472"/>
      <c r="BT267" s="1472"/>
      <c r="BU267" s="1472"/>
      <c r="BV267" s="1454"/>
      <c r="BW267" s="1472"/>
      <c r="BX267" s="1472"/>
      <c r="BY267" s="1472"/>
      <c r="BZ267" s="1454"/>
      <c r="CA267" s="1472"/>
      <c r="CB267" s="1472"/>
      <c r="CC267" s="1472"/>
      <c r="CD267" s="1454"/>
      <c r="CE267" s="1479"/>
      <c r="CF267" s="1479"/>
      <c r="CG267" s="1479"/>
      <c r="CH267" s="1862"/>
      <c r="CI267" s="1863"/>
      <c r="CJ267" s="1472"/>
      <c r="CK267" s="1479"/>
      <c r="CL267" s="1480"/>
      <c r="CM267" s="1479"/>
      <c r="CN267" s="1479"/>
      <c r="CO267" s="1479"/>
      <c r="CP267" s="1480"/>
      <c r="CQ267" s="1479"/>
      <c r="CR267" s="1479"/>
      <c r="CS267" s="1479"/>
      <c r="CT267" s="1480"/>
      <c r="CU267" s="1479"/>
      <c r="CV267" s="1479"/>
      <c r="CW267" s="1479"/>
      <c r="CX267" s="1480"/>
      <c r="CY267" s="1479"/>
      <c r="CZ267" s="1479"/>
      <c r="DA267" s="1479"/>
      <c r="DB267" s="1480"/>
      <c r="DC267" s="1479"/>
      <c r="DD267" s="1479"/>
      <c r="DE267" s="1479"/>
      <c r="DF267" s="1480"/>
      <c r="DG267" s="1479"/>
      <c r="DH267" s="1479"/>
      <c r="DI267" s="1499"/>
      <c r="DJ267" s="1480"/>
      <c r="DK267" s="1479"/>
      <c r="DL267" s="1479"/>
      <c r="DM267" s="1499"/>
      <c r="DN267" s="1479"/>
      <c r="DO267" s="1479"/>
      <c r="DP267" s="1479"/>
      <c r="DQ267" s="1499"/>
      <c r="DR267" s="1480"/>
      <c r="DS267" s="1479"/>
      <c r="DT267" s="1479"/>
      <c r="DU267" s="1499"/>
      <c r="DV267" s="1479"/>
      <c r="DW267" s="1860">
        <f t="shared" ref="DW267:DY267" si="1125">+DW266-0.0005</f>
        <v>8.8999999999999999E-3</v>
      </c>
      <c r="DX267" s="1860">
        <f t="shared" si="1125"/>
        <v>9.1999999999999998E-3</v>
      </c>
      <c r="DY267" s="1861">
        <f t="shared" si="1125"/>
        <v>9.4999999999999998E-3</v>
      </c>
    </row>
    <row r="268" spans="1:130" s="1491" customFormat="1" ht="15" customHeight="1" outlineLevel="1">
      <c r="A268" s="1864" t="s">
        <v>1109</v>
      </c>
      <c r="B268" s="1472"/>
      <c r="C268" s="1472"/>
      <c r="D268" s="1479"/>
      <c r="E268" s="1479"/>
      <c r="F268" s="1479"/>
      <c r="G268" s="1472"/>
      <c r="H268" s="1472"/>
      <c r="I268" s="1472"/>
      <c r="J268" s="1472"/>
      <c r="K268" s="1472"/>
      <c r="L268" s="1479"/>
      <c r="M268" s="1479"/>
      <c r="N268" s="1479"/>
      <c r="O268" s="1479"/>
      <c r="P268" s="1479"/>
      <c r="Q268" s="1479"/>
      <c r="R268" s="1479"/>
      <c r="S268" s="1860"/>
      <c r="T268" s="1860"/>
      <c r="U268" s="1860"/>
      <c r="V268" s="1860"/>
      <c r="W268" s="1860"/>
      <c r="X268" s="1860"/>
      <c r="Y268" s="1860"/>
      <c r="Z268" s="1860"/>
      <c r="AA268" s="1860">
        <f t="shared" ref="AA268" ca="1" si="1126">+AA266+0.00025</f>
        <v>9.89811935256041E-3</v>
      </c>
      <c r="AB268" s="1860">
        <f t="shared" ref="AB268:AG268" ca="1" si="1127">+AB266+0.00025</f>
        <v>9.6981193525604095E-3</v>
      </c>
      <c r="AC268" s="1860">
        <f t="shared" ca="1" si="1127"/>
        <v>9.498119352560409E-3</v>
      </c>
      <c r="AD268" s="1860">
        <f t="shared" ca="1" si="1127"/>
        <v>9.2981193525604085E-3</v>
      </c>
      <c r="AE268" s="1860">
        <f t="shared" ca="1" si="1127"/>
        <v>9.0981193525604079E-3</v>
      </c>
      <c r="AF268" s="1860">
        <f t="shared" ca="1" si="1127"/>
        <v>8.8981193525604074E-3</v>
      </c>
      <c r="AG268" s="1860">
        <f t="shared" ca="1" si="1127"/>
        <v>8.6981193525604069E-3</v>
      </c>
      <c r="AH268" s="2201"/>
      <c r="AI268" s="1927"/>
      <c r="AJ268" s="1561"/>
      <c r="AK268" s="1479"/>
      <c r="AL268" s="1479"/>
      <c r="AM268" s="1472"/>
      <c r="AN268" s="1479"/>
      <c r="AO268" s="1479"/>
      <c r="AP268" s="1480"/>
      <c r="AQ268" s="1479"/>
      <c r="AR268" s="1479"/>
      <c r="AS268" s="1479"/>
      <c r="AT268" s="1480"/>
      <c r="AU268" s="1479"/>
      <c r="AV268" s="1479"/>
      <c r="AW268" s="1479"/>
      <c r="AX268" s="1454"/>
      <c r="AY268" s="1472"/>
      <c r="AZ268" s="1472"/>
      <c r="BA268" s="1472"/>
      <c r="BB268" s="1454"/>
      <c r="BC268" s="1472"/>
      <c r="BD268" s="1472"/>
      <c r="BE268" s="1472"/>
      <c r="BF268" s="1454"/>
      <c r="BG268" s="1472"/>
      <c r="BH268" s="1472"/>
      <c r="BI268" s="1472"/>
      <c r="BJ268" s="1454"/>
      <c r="BK268" s="1472"/>
      <c r="BL268" s="1472"/>
      <c r="BM268" s="1472"/>
      <c r="BN268" s="1454"/>
      <c r="BO268" s="1472"/>
      <c r="BP268" s="1472"/>
      <c r="BQ268" s="1472"/>
      <c r="BR268" s="1454"/>
      <c r="BS268" s="1472"/>
      <c r="BT268" s="1472"/>
      <c r="BU268" s="1472"/>
      <c r="BV268" s="1454"/>
      <c r="BW268" s="1472"/>
      <c r="BX268" s="1472"/>
      <c r="BY268" s="1472"/>
      <c r="BZ268" s="1454"/>
      <c r="CA268" s="1472"/>
      <c r="CB268" s="1472"/>
      <c r="CC268" s="1472"/>
      <c r="CD268" s="1454"/>
      <c r="CE268" s="1479"/>
      <c r="CF268" s="1479"/>
      <c r="CG268" s="1479"/>
      <c r="CH268" s="1862"/>
      <c r="CI268" s="1863"/>
      <c r="CJ268" s="1472"/>
      <c r="CK268" s="1479"/>
      <c r="CL268" s="1480"/>
      <c r="CM268" s="1479"/>
      <c r="CN268" s="1479"/>
      <c r="CO268" s="1479"/>
      <c r="CP268" s="1480"/>
      <c r="CQ268" s="1479"/>
      <c r="CR268" s="1479"/>
      <c r="CS268" s="1479"/>
      <c r="CT268" s="1480"/>
      <c r="CU268" s="1479"/>
      <c r="CV268" s="1479"/>
      <c r="CW268" s="1479"/>
      <c r="CX268" s="1480"/>
      <c r="CY268" s="1479"/>
      <c r="CZ268" s="1479"/>
      <c r="DA268" s="1479"/>
      <c r="DB268" s="1480"/>
      <c r="DC268" s="1479"/>
      <c r="DD268" s="1479"/>
      <c r="DE268" s="1479"/>
      <c r="DF268" s="1480"/>
      <c r="DG268" s="1479"/>
      <c r="DH268" s="1479"/>
      <c r="DI268" s="1499"/>
      <c r="DJ268" s="1480"/>
      <c r="DK268" s="1479"/>
      <c r="DL268" s="1479"/>
      <c r="DM268" s="1499"/>
      <c r="DN268" s="1479"/>
      <c r="DO268" s="1479"/>
      <c r="DP268" s="1479"/>
      <c r="DQ268" s="1499"/>
      <c r="DR268" s="1480"/>
      <c r="DS268" s="1479"/>
      <c r="DT268" s="1479"/>
      <c r="DU268" s="1499"/>
      <c r="DV268" s="1479"/>
      <c r="DW268" s="1860">
        <f t="shared" ref="DW268:DY268" si="1128">+DW266+0.0005</f>
        <v>9.9000000000000008E-3</v>
      </c>
      <c r="DX268" s="1860">
        <f t="shared" si="1128"/>
        <v>1.0200000000000001E-2</v>
      </c>
      <c r="DY268" s="1861">
        <f t="shared" si="1128"/>
        <v>1.0500000000000001E-2</v>
      </c>
    </row>
    <row r="269" spans="1:130" ht="15" customHeight="1">
      <c r="A269" s="2857" t="s">
        <v>108</v>
      </c>
      <c r="B269" s="2861"/>
      <c r="C269" s="2861"/>
      <c r="D269" s="2861"/>
      <c r="E269" s="2861"/>
      <c r="F269" s="2861"/>
      <c r="G269" s="2861"/>
      <c r="H269" s="2861"/>
      <c r="I269" s="2861"/>
      <c r="J269" s="2861"/>
      <c r="K269" s="2861"/>
      <c r="L269" s="2862"/>
      <c r="M269" s="2862"/>
      <c r="N269" s="2862"/>
      <c r="O269" s="2862"/>
      <c r="P269" s="2862"/>
      <c r="Q269" s="2862"/>
      <c r="R269" s="2862"/>
      <c r="S269" s="2863"/>
      <c r="T269" s="2863"/>
      <c r="U269" s="2863"/>
      <c r="V269" s="2863"/>
      <c r="W269" s="2863"/>
      <c r="X269" s="2863"/>
      <c r="Y269" s="2863"/>
      <c r="Z269" s="2863"/>
      <c r="AA269" s="2863"/>
      <c r="AB269" s="2863"/>
      <c r="AC269" s="2863"/>
      <c r="AD269" s="2863"/>
      <c r="AE269" s="2863"/>
      <c r="AF269" s="2863"/>
      <c r="AG269" s="2863"/>
      <c r="AH269" s="2201"/>
      <c r="AI269" s="1927"/>
      <c r="AK269" s="2861"/>
      <c r="AL269" s="2861"/>
      <c r="AM269" s="2861"/>
      <c r="AN269" s="2861"/>
      <c r="AO269" s="2861"/>
      <c r="AP269" s="2864"/>
      <c r="AQ269" s="2861"/>
      <c r="AR269" s="2861"/>
      <c r="AS269" s="2861"/>
      <c r="AT269" s="2864"/>
      <c r="AU269" s="2861"/>
      <c r="AV269" s="2861"/>
      <c r="AW269" s="2861"/>
      <c r="AX269" s="2864"/>
      <c r="AY269" s="2861"/>
      <c r="AZ269" s="2861"/>
      <c r="BA269" s="2861"/>
      <c r="BB269" s="2864"/>
      <c r="BC269" s="2861"/>
      <c r="BD269" s="2861"/>
      <c r="BE269" s="2861"/>
      <c r="BF269" s="2864"/>
      <c r="BG269" s="2861"/>
      <c r="BH269" s="2861"/>
      <c r="BI269" s="2861"/>
      <c r="BJ269" s="2864"/>
      <c r="BK269" s="2861"/>
      <c r="BL269" s="2861"/>
      <c r="BM269" s="2861"/>
      <c r="BN269" s="2864"/>
      <c r="BO269" s="2861"/>
      <c r="BP269" s="2861"/>
      <c r="BQ269" s="2861"/>
      <c r="BR269" s="2865"/>
      <c r="BS269" s="2866"/>
      <c r="BT269" s="2866"/>
      <c r="BU269" s="2866"/>
      <c r="BV269" s="2865"/>
      <c r="BW269" s="2866"/>
      <c r="BX269" s="2866"/>
      <c r="BY269" s="2866"/>
      <c r="BZ269" s="2867"/>
      <c r="CA269" s="2868"/>
      <c r="CB269" s="2868"/>
      <c r="CC269" s="2868"/>
      <c r="CD269" s="2867"/>
      <c r="CE269" s="2868"/>
      <c r="CF269" s="2868"/>
      <c r="CG269" s="2868"/>
      <c r="CH269" s="2867"/>
      <c r="CI269" s="2868"/>
      <c r="CJ269" s="2868"/>
      <c r="CK269" s="2868"/>
      <c r="CL269" s="2869"/>
      <c r="CM269" s="2863"/>
      <c r="CN269" s="2870"/>
      <c r="CO269" s="2870"/>
      <c r="CP269" s="2871">
        <v>34630</v>
      </c>
      <c r="CQ269" s="2872">
        <v>34469</v>
      </c>
      <c r="CR269" s="2872">
        <v>34347</v>
      </c>
      <c r="CS269" s="2872">
        <v>34268</v>
      </c>
      <c r="CT269" s="2871">
        <v>34302</v>
      </c>
      <c r="CU269" s="2872">
        <v>34449</v>
      </c>
      <c r="CV269" s="2872">
        <v>34444</v>
      </c>
      <c r="CW269" s="2872">
        <v>34561</v>
      </c>
      <c r="CX269" s="2871">
        <v>34569</v>
      </c>
      <c r="CY269" s="2872">
        <v>34646</v>
      </c>
      <c r="CZ269" s="2872">
        <v>34796</v>
      </c>
      <c r="DA269" s="2872">
        <v>35057</v>
      </c>
      <c r="DB269" s="2871">
        <v>34943</v>
      </c>
      <c r="DC269" s="2872">
        <v>34958</v>
      </c>
      <c r="DD269" s="2872">
        <v>34972</v>
      </c>
      <c r="DE269" s="2872">
        <v>35083</v>
      </c>
      <c r="DF269" s="2871">
        <v>35061</v>
      </c>
      <c r="DG269" s="2872">
        <v>35186</v>
      </c>
      <c r="DH269" s="2872">
        <v>35435</v>
      </c>
      <c r="DI269" s="2873">
        <v>35616</v>
      </c>
      <c r="DJ269" s="2871">
        <v>35516</v>
      </c>
      <c r="DK269" s="2872">
        <v>35560</v>
      </c>
      <c r="DL269" s="2872">
        <v>35677</v>
      </c>
      <c r="DM269" s="2873">
        <v>35736</v>
      </c>
      <c r="DN269" s="2872">
        <v>35720</v>
      </c>
      <c r="DO269" s="2872">
        <v>35637</v>
      </c>
      <c r="DP269" s="2872">
        <v>35530</v>
      </c>
      <c r="DQ269" s="2873">
        <v>35410</v>
      </c>
      <c r="DR269" s="2871">
        <v>35270</v>
      </c>
      <c r="DS269" s="2872">
        <v>35334</v>
      </c>
      <c r="DT269" s="2872">
        <v>35364</v>
      </c>
      <c r="DU269" s="3291">
        <v>35404</v>
      </c>
      <c r="DV269" s="3323">
        <v>35333</v>
      </c>
      <c r="DW269" s="2863"/>
      <c r="DX269" s="2863"/>
      <c r="DY269" s="2874"/>
    </row>
    <row r="270" spans="1:130" ht="15" customHeight="1">
      <c r="A270" s="2211" t="s">
        <v>949</v>
      </c>
      <c r="B270" s="2875"/>
      <c r="R270" s="2200"/>
      <c r="AH270" s="2201"/>
      <c r="AI270" s="1927"/>
      <c r="AP270" s="1942"/>
      <c r="AT270" s="1942"/>
      <c r="AX270" s="1942"/>
      <c r="BB270" s="1942"/>
      <c r="BF270" s="1942"/>
      <c r="BJ270" s="1942"/>
      <c r="BN270" s="1942"/>
      <c r="BR270" s="1942"/>
      <c r="BV270" s="1942"/>
      <c r="BZ270" s="1942"/>
      <c r="CD270" s="1942"/>
      <c r="CH270" s="1942"/>
      <c r="CL270" s="1942"/>
      <c r="CN270" s="2262"/>
      <c r="CO270" s="2262"/>
      <c r="CP270" s="2876"/>
      <c r="CQ270" s="2877">
        <f t="shared" ref="CQ270:DV270" si="1129">CQ269/CP269-1</f>
        <v>-4.6491481374530963E-3</v>
      </c>
      <c r="CR270" s="2877">
        <f t="shared" si="1129"/>
        <v>-3.5394122254779337E-3</v>
      </c>
      <c r="CS270" s="2877">
        <f t="shared" si="1129"/>
        <v>-2.3000553177860983E-3</v>
      </c>
      <c r="CT270" s="2876">
        <f t="shared" si="1129"/>
        <v>9.9217929263462068E-4</v>
      </c>
      <c r="CU270" s="2877">
        <f t="shared" si="1129"/>
        <v>4.2854644044079127E-3</v>
      </c>
      <c r="CV270" s="2877">
        <f t="shared" si="1129"/>
        <v>-1.451420941100956E-4</v>
      </c>
      <c r="CW270" s="2877">
        <f t="shared" si="1129"/>
        <v>3.396818023458259E-3</v>
      </c>
      <c r="CX270" s="2876">
        <f t="shared" si="1129"/>
        <v>2.3147478371576824E-4</v>
      </c>
      <c r="CY270" s="2877">
        <f t="shared" si="1129"/>
        <v>2.227429199571862E-3</v>
      </c>
      <c r="CZ270" s="2877">
        <f t="shared" si="1129"/>
        <v>4.3295041274606927E-3</v>
      </c>
      <c r="DA270" s="2877">
        <f t="shared" si="1129"/>
        <v>7.5008621680652254E-3</v>
      </c>
      <c r="DB270" s="2876">
        <f t="shared" si="1129"/>
        <v>-3.2518469920415072E-3</v>
      </c>
      <c r="DC270" s="2877">
        <f t="shared" si="1129"/>
        <v>4.292705262856078E-4</v>
      </c>
      <c r="DD270" s="2877">
        <f t="shared" si="1129"/>
        <v>4.0048057669195281E-4</v>
      </c>
      <c r="DE270" s="2877">
        <f t="shared" si="1129"/>
        <v>3.1739677456250615E-3</v>
      </c>
      <c r="DF270" s="2876">
        <f t="shared" si="1129"/>
        <v>-6.2708434284408643E-4</v>
      </c>
      <c r="DG270" s="2877">
        <f t="shared" si="1129"/>
        <v>3.5652149111549125E-3</v>
      </c>
      <c r="DH270" s="2877">
        <f t="shared" si="1129"/>
        <v>7.0766782242936976E-3</v>
      </c>
      <c r="DI270" s="2878">
        <f t="shared" si="1129"/>
        <v>5.1079441230421629E-3</v>
      </c>
      <c r="DJ270" s="2876">
        <f t="shared" si="1129"/>
        <v>-2.8077268643306175E-3</v>
      </c>
      <c r="DK270" s="2877">
        <f t="shared" si="1129"/>
        <v>1.2388782520553754E-3</v>
      </c>
      <c r="DL270" s="2877">
        <f t="shared" si="1129"/>
        <v>3.2902137232846407E-3</v>
      </c>
      <c r="DM270" s="2878">
        <f t="shared" si="1129"/>
        <v>1.6537264904561422E-3</v>
      </c>
      <c r="DN270" s="2877">
        <f t="shared" si="1129"/>
        <v>-4.4772778150881098E-4</v>
      </c>
      <c r="DO270" s="2877">
        <f t="shared" si="1129"/>
        <v>-2.3236282194848412E-3</v>
      </c>
      <c r="DP270" s="2877">
        <f t="shared" si="1129"/>
        <v>-3.0024974043830754E-3</v>
      </c>
      <c r="DQ270" s="2878">
        <f t="shared" si="1129"/>
        <v>-3.3774275260343156E-3</v>
      </c>
      <c r="DR270" s="2876">
        <f t="shared" si="1129"/>
        <v>-3.9536853996046117E-3</v>
      </c>
      <c r="DS270" s="2877">
        <f t="shared" si="1129"/>
        <v>1.8145732917493884E-3</v>
      </c>
      <c r="DT270" s="2877">
        <f t="shared" si="1129"/>
        <v>8.4904058413992622E-4</v>
      </c>
      <c r="DU270" s="2878">
        <f t="shared" si="1129"/>
        <v>1.1310937676733968E-3</v>
      </c>
      <c r="DV270" s="2877">
        <f t="shared" si="1129"/>
        <v>-2.0054231160321345E-3</v>
      </c>
      <c r="DY270" s="2236"/>
    </row>
    <row r="271" spans="1:130" ht="15" customHeight="1">
      <c r="A271" s="2211" t="s">
        <v>1453</v>
      </c>
      <c r="B271" s="2875"/>
      <c r="AH271" s="2201"/>
      <c r="AI271" s="1927"/>
      <c r="AP271" s="1942"/>
      <c r="AT271" s="1942"/>
      <c r="AX271" s="1942"/>
      <c r="BB271" s="1942"/>
      <c r="BF271" s="1942"/>
      <c r="BJ271" s="1942"/>
      <c r="BN271" s="1942"/>
      <c r="BR271" s="1942"/>
      <c r="BV271" s="1942"/>
      <c r="BZ271" s="1942"/>
      <c r="CD271" s="1942"/>
      <c r="CH271" s="1942"/>
      <c r="CL271" s="1942"/>
      <c r="CN271" s="2262"/>
      <c r="CO271" s="2262"/>
      <c r="CP271" s="2876"/>
      <c r="CQ271" s="2877"/>
      <c r="CR271" s="2877"/>
      <c r="CS271" s="2877"/>
      <c r="CT271" s="2876">
        <f t="shared" ref="CT271:DV271" si="1130">CT269/CP269-1</f>
        <v>-9.4715564539417096E-3</v>
      </c>
      <c r="CU271" s="2877">
        <f t="shared" si="1130"/>
        <v>-5.8023151237340809E-4</v>
      </c>
      <c r="CV271" s="2877">
        <f t="shared" si="1130"/>
        <v>2.8241185547499548E-3</v>
      </c>
      <c r="CW271" s="2877">
        <f t="shared" si="1130"/>
        <v>8.5502509629975521E-3</v>
      </c>
      <c r="CX271" s="2876">
        <f t="shared" si="1130"/>
        <v>7.7838026937204763E-3</v>
      </c>
      <c r="CY271" s="2877">
        <f t="shared" si="1130"/>
        <v>5.7185985079393209E-3</v>
      </c>
      <c r="CZ271" s="2877">
        <f t="shared" si="1130"/>
        <v>1.0219486703054281E-2</v>
      </c>
      <c r="DA271" s="2877">
        <f t="shared" si="1130"/>
        <v>1.4351436590376521E-2</v>
      </c>
      <c r="DB271" s="2876">
        <f t="shared" si="1130"/>
        <v>1.0818941826491901E-2</v>
      </c>
      <c r="DC271" s="2877">
        <f t="shared" si="1130"/>
        <v>9.0053685851181342E-3</v>
      </c>
      <c r="DD271" s="2877">
        <f t="shared" si="1130"/>
        <v>5.0580526497299161E-3</v>
      </c>
      <c r="DE271" s="2877">
        <f t="shared" si="1130"/>
        <v>7.4164931397446843E-4</v>
      </c>
      <c r="DF271" s="2876">
        <f t="shared" si="1130"/>
        <v>3.3769281401139217E-3</v>
      </c>
      <c r="DG271" s="2877">
        <f t="shared" si="1130"/>
        <v>6.5221122489844685E-3</v>
      </c>
      <c r="DH271" s="2877">
        <f t="shared" si="1130"/>
        <v>1.3239162758778455E-2</v>
      </c>
      <c r="DI271" s="2878">
        <f t="shared" si="1130"/>
        <v>1.5192543397086977E-2</v>
      </c>
      <c r="DJ271" s="2876">
        <f t="shared" si="1130"/>
        <v>1.2977382276603722E-2</v>
      </c>
      <c r="DK271" s="2877">
        <f t="shared" si="1130"/>
        <v>1.0629227533678121E-2</v>
      </c>
      <c r="DL271" s="2877">
        <f t="shared" si="1130"/>
        <v>6.8294059545646046E-3</v>
      </c>
      <c r="DM271" s="2878">
        <f t="shared" si="1130"/>
        <v>3.369272237196741E-3</v>
      </c>
      <c r="DN271" s="2877">
        <f t="shared" si="1130"/>
        <v>5.7438900777113666E-3</v>
      </c>
      <c r="DO271" s="2877">
        <f t="shared" si="1130"/>
        <v>2.1653543307087464E-3</v>
      </c>
      <c r="DP271" s="2877">
        <f t="shared" si="1130"/>
        <v>-4.1203015948650945E-3</v>
      </c>
      <c r="DQ271" s="2878">
        <f t="shared" si="1130"/>
        <v>-9.1224535482427038E-3</v>
      </c>
      <c r="DR271" s="2876">
        <f t="shared" si="1130"/>
        <v>-1.259798432250836E-2</v>
      </c>
      <c r="DS271" s="2877">
        <f t="shared" si="1130"/>
        <v>-8.5023991918511399E-3</v>
      </c>
      <c r="DT271" s="2877">
        <f t="shared" si="1130"/>
        <v>-4.6721080776808144E-3</v>
      </c>
      <c r="DU271" s="2878">
        <f t="shared" si="1130"/>
        <v>-1.6944365998305955E-4</v>
      </c>
      <c r="DV271" s="2877">
        <f t="shared" si="1130"/>
        <v>1.7862205840657452E-3</v>
      </c>
      <c r="DY271" s="2236"/>
    </row>
    <row r="272" spans="1:130" ht="15" customHeight="1">
      <c r="A272" s="1933" t="s">
        <v>109</v>
      </c>
      <c r="R272" s="2277"/>
      <c r="S272" s="2277"/>
      <c r="T272" s="2277"/>
      <c r="U272" s="2277"/>
      <c r="V272" s="2277"/>
      <c r="W272" s="2277"/>
      <c r="X272" s="2277"/>
      <c r="Y272" s="2277"/>
      <c r="Z272" s="2277"/>
      <c r="AA272" s="2277"/>
      <c r="AB272" s="2277"/>
      <c r="AC272" s="2277"/>
      <c r="AD272" s="2277"/>
      <c r="AE272" s="2277"/>
      <c r="AF272" s="2277"/>
      <c r="AG272" s="2277"/>
      <c r="AH272" s="2201"/>
      <c r="AI272" s="1927"/>
      <c r="AP272" s="1942"/>
      <c r="AT272" s="1942"/>
      <c r="AX272" s="1942"/>
      <c r="BB272" s="1942"/>
      <c r="BF272" s="1942"/>
      <c r="BJ272" s="1942"/>
      <c r="BN272" s="1942"/>
      <c r="BR272" s="2879"/>
      <c r="BS272" s="2880"/>
      <c r="BT272" s="2280"/>
      <c r="BU272" s="2280"/>
      <c r="BV272" s="2279"/>
      <c r="BW272" s="2280"/>
      <c r="BX272" s="2280"/>
      <c r="BY272" s="2280"/>
      <c r="BZ272" s="2879"/>
      <c r="CA272" s="2880"/>
      <c r="CB272" s="2880"/>
      <c r="CC272" s="2880"/>
      <c r="CD272" s="2879"/>
      <c r="CE272" s="2880"/>
      <c r="CF272" s="2880"/>
      <c r="CG272" s="2880"/>
      <c r="CH272" s="2879"/>
      <c r="CI272" s="2880"/>
      <c r="CJ272" s="2880"/>
      <c r="CK272" s="2880"/>
      <c r="CL272" s="2879"/>
      <c r="CM272" s="2880"/>
      <c r="CN272" s="2881"/>
      <c r="CO272" s="2881"/>
      <c r="CP272" s="2882">
        <v>121.73</v>
      </c>
      <c r="CQ272" s="2883">
        <v>124.9</v>
      </c>
      <c r="CR272" s="2883">
        <v>127.66</v>
      </c>
      <c r="CS272" s="2883">
        <v>128.74</v>
      </c>
      <c r="CT272" s="2882">
        <v>130.46</v>
      </c>
      <c r="CU272" s="2883">
        <v>133.29</v>
      </c>
      <c r="CV272" s="2883">
        <v>136.57</v>
      </c>
      <c r="CW272" s="2883">
        <v>137.69</v>
      </c>
      <c r="CX272" s="2882">
        <v>140.58000000000001</v>
      </c>
      <c r="CY272" s="2883">
        <v>143.32</v>
      </c>
      <c r="CZ272" s="2883">
        <v>145.41999999999999</v>
      </c>
      <c r="DA272" s="2883">
        <v>146.80000000000001</v>
      </c>
      <c r="DB272" s="2882">
        <v>150.27000000000001</v>
      </c>
      <c r="DC272" s="2883">
        <v>152.5</v>
      </c>
      <c r="DD272" s="2883">
        <v>155.74</v>
      </c>
      <c r="DE272" s="2883">
        <v>157.21</v>
      </c>
      <c r="DF272" s="2882">
        <v>159.66999999999999</v>
      </c>
      <c r="DG272" s="2883">
        <v>159.72999999999999</v>
      </c>
      <c r="DH272" s="2883">
        <v>161.24</v>
      </c>
      <c r="DI272" s="2884">
        <v>158.82</v>
      </c>
      <c r="DJ272" s="2882">
        <v>156.13999999999999</v>
      </c>
      <c r="DK272" s="2883">
        <v>153.72999999999999</v>
      </c>
      <c r="DL272" s="2883">
        <v>152.38</v>
      </c>
      <c r="DM272" s="2884">
        <v>148.30000000000001</v>
      </c>
      <c r="DN272" s="2883">
        <v>145.34</v>
      </c>
      <c r="DO272" s="2883">
        <v>145.09</v>
      </c>
      <c r="DP272" s="2883">
        <v>144.94</v>
      </c>
      <c r="DQ272" s="2884">
        <v>141.88999999999999</v>
      </c>
      <c r="DR272" s="2882">
        <v>136.97999999999999</v>
      </c>
      <c r="DS272" s="2883">
        <v>134.88999999999999</v>
      </c>
      <c r="DT272" s="2883">
        <v>136.31</v>
      </c>
      <c r="DU272" s="2884">
        <v>135.78</v>
      </c>
      <c r="DV272" s="2883">
        <v>131.71</v>
      </c>
      <c r="DW272" s="2277"/>
      <c r="DX272" s="2277"/>
      <c r="DY272" s="2885"/>
      <c r="DZ272" s="2277"/>
    </row>
    <row r="273" spans="1:129" ht="15" customHeight="1">
      <c r="A273" s="2211" t="s">
        <v>949</v>
      </c>
      <c r="R273" s="2286"/>
      <c r="S273" s="2286"/>
      <c r="T273" s="2286"/>
      <c r="U273" s="2286"/>
      <c r="V273" s="2286"/>
      <c r="W273" s="2286"/>
      <c r="X273" s="2286"/>
      <c r="Y273" s="2286"/>
      <c r="Z273" s="2286"/>
      <c r="AA273" s="2286"/>
      <c r="AB273" s="2286"/>
      <c r="AC273" s="2286"/>
      <c r="AD273" s="2286"/>
      <c r="AE273" s="2286"/>
      <c r="AF273" s="2286"/>
      <c r="AG273" s="2286"/>
      <c r="AH273" s="2201"/>
      <c r="AI273" s="1927"/>
      <c r="AP273" s="1942"/>
      <c r="AT273" s="1942"/>
      <c r="AX273" s="1942"/>
      <c r="BB273" s="1942"/>
      <c r="BF273" s="1942"/>
      <c r="BJ273" s="1942"/>
      <c r="BN273" s="1942"/>
      <c r="BR273" s="1942"/>
      <c r="BV273" s="1942"/>
      <c r="BZ273" s="1942"/>
      <c r="CD273" s="1942"/>
      <c r="CH273" s="1942"/>
      <c r="CK273" s="2741"/>
      <c r="CL273" s="2886"/>
      <c r="CM273" s="2741"/>
      <c r="CN273" s="2887"/>
      <c r="CO273" s="2887"/>
      <c r="CP273" s="2876"/>
      <c r="CQ273" s="2877">
        <f t="shared" ref="CQ273:DV273" si="1131">CQ272/CP272-1</f>
        <v>2.6041238807196221E-2</v>
      </c>
      <c r="CR273" s="2877">
        <f t="shared" si="1131"/>
        <v>2.2097678142513955E-2</v>
      </c>
      <c r="CS273" s="2877">
        <f t="shared" si="1131"/>
        <v>8.4599718000941682E-3</v>
      </c>
      <c r="CT273" s="2876">
        <f t="shared" si="1131"/>
        <v>1.3360260991144957E-2</v>
      </c>
      <c r="CU273" s="2877">
        <f t="shared" si="1131"/>
        <v>2.1692472788594097E-2</v>
      </c>
      <c r="CV273" s="2877">
        <f t="shared" si="1131"/>
        <v>2.4607997599219722E-2</v>
      </c>
      <c r="CW273" s="2877">
        <f t="shared" si="1131"/>
        <v>8.2009226037929039E-3</v>
      </c>
      <c r="CX273" s="2876">
        <f t="shared" si="1131"/>
        <v>2.0989178589585489E-2</v>
      </c>
      <c r="CY273" s="2877">
        <f t="shared" si="1131"/>
        <v>1.9490681462512205E-2</v>
      </c>
      <c r="CZ273" s="2877">
        <f t="shared" si="1131"/>
        <v>1.4652525816355011E-2</v>
      </c>
      <c r="DA273" s="2877">
        <f t="shared" si="1131"/>
        <v>9.4897538165314987E-3</v>
      </c>
      <c r="DB273" s="2876">
        <f t="shared" si="1131"/>
        <v>2.363760217983657E-2</v>
      </c>
      <c r="DC273" s="2877">
        <f t="shared" si="1131"/>
        <v>1.4839954748119943E-2</v>
      </c>
      <c r="DD273" s="2877">
        <f t="shared" si="1131"/>
        <v>2.1245901639344256E-2</v>
      </c>
      <c r="DE273" s="2877">
        <f t="shared" si="1131"/>
        <v>9.4388082701939435E-3</v>
      </c>
      <c r="DF273" s="2876">
        <f t="shared" si="1131"/>
        <v>1.5647859550919074E-2</v>
      </c>
      <c r="DG273" s="2877">
        <f t="shared" si="1131"/>
        <v>3.7577503601182727E-4</v>
      </c>
      <c r="DH273" s="2877">
        <f t="shared" si="1131"/>
        <v>9.4534527014338288E-3</v>
      </c>
      <c r="DI273" s="2878">
        <f t="shared" si="1131"/>
        <v>-1.500868270900535E-2</v>
      </c>
      <c r="DJ273" s="2876">
        <f t="shared" si="1131"/>
        <v>-1.6874449061830998E-2</v>
      </c>
      <c r="DK273" s="2877">
        <f t="shared" si="1131"/>
        <v>-1.5434866145766613E-2</v>
      </c>
      <c r="DL273" s="2877">
        <f t="shared" si="1131"/>
        <v>-8.7816301307487299E-3</v>
      </c>
      <c r="DM273" s="2878">
        <f t="shared" si="1131"/>
        <v>-2.6775167344795792E-2</v>
      </c>
      <c r="DN273" s="2877">
        <f t="shared" si="1131"/>
        <v>-1.9959541469993347E-2</v>
      </c>
      <c r="DO273" s="2877">
        <f t="shared" si="1131"/>
        <v>-1.7201045823586059E-3</v>
      </c>
      <c r="DP273" s="2877">
        <f t="shared" si="1131"/>
        <v>-1.0338410641671514E-3</v>
      </c>
      <c r="DQ273" s="2878">
        <f t="shared" si="1131"/>
        <v>-2.1043190285635505E-2</v>
      </c>
      <c r="DR273" s="2876">
        <f t="shared" si="1131"/>
        <v>-3.4604270914088353E-2</v>
      </c>
      <c r="DS273" s="2877">
        <f t="shared" si="1131"/>
        <v>-1.5257701854285322E-2</v>
      </c>
      <c r="DT273" s="2877">
        <f t="shared" si="1131"/>
        <v>1.0527096152420645E-2</v>
      </c>
      <c r="DU273" s="2878">
        <f t="shared" si="1131"/>
        <v>-3.8881960237693303E-3</v>
      </c>
      <c r="DV273" s="2877">
        <f t="shared" si="1131"/>
        <v>-2.9974959493297981E-2</v>
      </c>
      <c r="DW273" s="2741"/>
      <c r="DX273" s="2741"/>
      <c r="DY273" s="2888"/>
    </row>
    <row r="274" spans="1:129" ht="15" customHeight="1">
      <c r="A274" s="2211" t="s">
        <v>1453</v>
      </c>
      <c r="AH274" s="2201"/>
      <c r="AI274" s="1927"/>
      <c r="AP274" s="1942"/>
      <c r="AT274" s="1942"/>
      <c r="AX274" s="1942"/>
      <c r="BB274" s="1942"/>
      <c r="BF274" s="1942"/>
      <c r="BJ274" s="1942"/>
      <c r="BN274" s="1942"/>
      <c r="BR274" s="1942"/>
      <c r="BV274" s="1942"/>
      <c r="BZ274" s="1942"/>
      <c r="CD274" s="1942"/>
      <c r="CH274" s="1942"/>
      <c r="CL274" s="1942"/>
      <c r="CN274" s="2262"/>
      <c r="CO274" s="2262"/>
      <c r="CP274" s="2876"/>
      <c r="CQ274" s="2877"/>
      <c r="CR274" s="2877"/>
      <c r="CS274" s="2877"/>
      <c r="CT274" s="2876">
        <f t="shared" ref="CT274:DV274" si="1132">CT272/CP272-1</f>
        <v>7.1716092992688774E-2</v>
      </c>
      <c r="CU274" s="2877">
        <f t="shared" si="1132"/>
        <v>6.7173738991192833E-2</v>
      </c>
      <c r="CV274" s="2877">
        <f t="shared" si="1132"/>
        <v>6.97947673507755E-2</v>
      </c>
      <c r="CW274" s="2877">
        <f t="shared" si="1132"/>
        <v>6.951996271555072E-2</v>
      </c>
      <c r="CX274" s="2876">
        <f t="shared" si="1132"/>
        <v>7.7571669477234373E-2</v>
      </c>
      <c r="CY274" s="2877">
        <f t="shared" si="1132"/>
        <v>7.5249456073223753E-2</v>
      </c>
      <c r="CZ274" s="2877">
        <f t="shared" si="1132"/>
        <v>6.4801933074613682E-2</v>
      </c>
      <c r="DA274" s="2877">
        <f t="shared" si="1132"/>
        <v>6.6163120052291413E-2</v>
      </c>
      <c r="DB274" s="2876">
        <f t="shared" si="1132"/>
        <v>6.8928723858301399E-2</v>
      </c>
      <c r="DC274" s="2877">
        <f t="shared" si="1132"/>
        <v>6.4052469997209149E-2</v>
      </c>
      <c r="DD274" s="2877">
        <f t="shared" si="1132"/>
        <v>7.0966854627974252E-2</v>
      </c>
      <c r="DE274" s="2877">
        <f t="shared" si="1132"/>
        <v>7.0912806539509488E-2</v>
      </c>
      <c r="DF274" s="2876">
        <f t="shared" si="1132"/>
        <v>6.2554069341851148E-2</v>
      </c>
      <c r="DG274" s="2877">
        <f t="shared" si="1132"/>
        <v>4.7409836065573696E-2</v>
      </c>
      <c r="DH274" s="2877">
        <f t="shared" si="1132"/>
        <v>3.5315269038140418E-2</v>
      </c>
      <c r="DI274" s="2878">
        <f t="shared" si="1132"/>
        <v>1.024107881178038E-2</v>
      </c>
      <c r="DJ274" s="2876">
        <f t="shared" si="1132"/>
        <v>-2.2108097952026062E-2</v>
      </c>
      <c r="DK274" s="2877">
        <f t="shared" si="1132"/>
        <v>-3.7563388217617177E-2</v>
      </c>
      <c r="DL274" s="2877">
        <f t="shared" si="1132"/>
        <v>-5.4949144132969585E-2</v>
      </c>
      <c r="DM274" s="2878">
        <f t="shared" si="1132"/>
        <v>-6.6238509003903712E-2</v>
      </c>
      <c r="DN274" s="2877">
        <f t="shared" si="1132"/>
        <v>-6.916869476111176E-2</v>
      </c>
      <c r="DO274" s="2877">
        <f t="shared" si="1132"/>
        <v>-5.6202432836791716E-2</v>
      </c>
      <c r="DP274" s="2877">
        <f t="shared" si="1132"/>
        <v>-4.8825305158157195E-2</v>
      </c>
      <c r="DQ274" s="2878">
        <f t="shared" si="1132"/>
        <v>-4.3223196223870719E-2</v>
      </c>
      <c r="DR274" s="2876">
        <f t="shared" si="1132"/>
        <v>-5.7520297234071927E-2</v>
      </c>
      <c r="DS274" s="2877">
        <f t="shared" si="1132"/>
        <v>-7.0301192363360743E-2</v>
      </c>
      <c r="DT274" s="2877">
        <f t="shared" si="1132"/>
        <v>-5.9541879398371744E-2</v>
      </c>
      <c r="DU274" s="2878">
        <f t="shared" si="1132"/>
        <v>-4.306152653463946E-2</v>
      </c>
      <c r="DV274" s="2877">
        <f t="shared" si="1132"/>
        <v>-3.8472769747408209E-2</v>
      </c>
      <c r="DY274" s="2236"/>
    </row>
    <row r="275" spans="1:129" ht="15" customHeight="1">
      <c r="A275" s="1933" t="s">
        <v>1618</v>
      </c>
      <c r="B275" s="2205"/>
      <c r="C275" s="2205"/>
      <c r="D275" s="2205"/>
      <c r="E275" s="2205"/>
      <c r="R275" s="2277"/>
      <c r="S275" s="2277"/>
      <c r="T275" s="2277"/>
      <c r="U275" s="2277"/>
      <c r="V275" s="2277"/>
      <c r="W275" s="2277"/>
      <c r="X275" s="2277"/>
      <c r="Y275" s="2277"/>
      <c r="Z275" s="2277"/>
      <c r="AA275" s="2277"/>
      <c r="AB275" s="2277"/>
      <c r="AC275" s="2277"/>
      <c r="AD275" s="2277"/>
      <c r="AE275" s="2277"/>
      <c r="AF275" s="2277"/>
      <c r="AG275" s="2277"/>
      <c r="AH275" s="2201"/>
      <c r="AI275" s="1927"/>
      <c r="AP275" s="1942"/>
      <c r="AT275" s="1942"/>
      <c r="AX275" s="1942"/>
      <c r="BB275" s="1942"/>
      <c r="BF275" s="1942"/>
      <c r="BJ275" s="1942"/>
      <c r="BN275" s="1942"/>
      <c r="BR275" s="2879"/>
      <c r="BS275" s="2880"/>
      <c r="BT275" s="2280"/>
      <c r="BU275" s="2280"/>
      <c r="BV275" s="2279"/>
      <c r="BW275" s="2280"/>
      <c r="BX275" s="2280"/>
      <c r="BY275" s="2280"/>
      <c r="BZ275" s="2879"/>
      <c r="CA275" s="2880"/>
      <c r="CB275" s="2880"/>
      <c r="CC275" s="2880"/>
      <c r="CD275" s="2879"/>
      <c r="CE275" s="2880"/>
      <c r="CF275" s="2880"/>
      <c r="CG275" s="2880"/>
      <c r="CH275" s="2879"/>
      <c r="CI275" s="2880"/>
      <c r="CJ275" s="2880"/>
      <c r="CK275" s="2880"/>
      <c r="CL275" s="2879"/>
      <c r="CM275" s="2880"/>
      <c r="CN275" s="2881"/>
      <c r="CO275" s="2881"/>
      <c r="CP275" s="2889">
        <v>2.34</v>
      </c>
      <c r="CQ275" s="2890">
        <v>2.37</v>
      </c>
      <c r="CR275" s="2890">
        <v>2.39</v>
      </c>
      <c r="CS275" s="2890">
        <v>2.4300000000000002</v>
      </c>
      <c r="CT275" s="2889">
        <v>2.4500000000000002</v>
      </c>
      <c r="CU275" s="2890">
        <v>2.48</v>
      </c>
      <c r="CV275" s="2890">
        <v>2.5</v>
      </c>
      <c r="CW275" s="2890">
        <v>2.5299999999999998</v>
      </c>
      <c r="CX275" s="2889">
        <v>2.54</v>
      </c>
      <c r="CY275" s="2890">
        <v>2.56</v>
      </c>
      <c r="CZ275" s="2890">
        <v>2.6</v>
      </c>
      <c r="DA275" s="2890">
        <v>2.64</v>
      </c>
      <c r="DB275" s="2889">
        <v>2.67</v>
      </c>
      <c r="DC275" s="2890">
        <v>2.7</v>
      </c>
      <c r="DD275" s="2890">
        <v>2.72</v>
      </c>
      <c r="DE275" s="2890">
        <v>2.76</v>
      </c>
      <c r="DF275" s="2889">
        <v>2.77</v>
      </c>
      <c r="DG275" s="2890">
        <v>2.8</v>
      </c>
      <c r="DH275" s="2890">
        <v>2.82</v>
      </c>
      <c r="DI275" s="2891">
        <v>2.87</v>
      </c>
      <c r="DJ275" s="2889">
        <v>2.89</v>
      </c>
      <c r="DK275" s="2890">
        <v>2.92</v>
      </c>
      <c r="DL275" s="2890">
        <v>2.94</v>
      </c>
      <c r="DM275" s="2891">
        <v>2.98</v>
      </c>
      <c r="DN275" s="2890">
        <v>3</v>
      </c>
      <c r="DO275" s="2890">
        <v>3.02</v>
      </c>
      <c r="DP275" s="2890">
        <v>3.05</v>
      </c>
      <c r="DQ275" s="2891">
        <v>3.07</v>
      </c>
      <c r="DR275" s="2889">
        <v>3.08</v>
      </c>
      <c r="DS275" s="2890">
        <v>3.09</v>
      </c>
      <c r="DT275" s="2890">
        <v>3.1</v>
      </c>
      <c r="DU275" s="2891">
        <v>3.13</v>
      </c>
      <c r="DV275" s="2890">
        <v>3.14</v>
      </c>
      <c r="DW275" s="2277"/>
      <c r="DX275" s="2277"/>
      <c r="DY275" s="2885"/>
    </row>
    <row r="276" spans="1:129" ht="15" customHeight="1">
      <c r="A276" s="2211" t="s">
        <v>949</v>
      </c>
      <c r="AH276" s="2201"/>
      <c r="AI276" s="1927"/>
      <c r="AP276" s="1942"/>
      <c r="AT276" s="1942"/>
      <c r="AX276" s="1942"/>
      <c r="BB276" s="1942"/>
      <c r="BF276" s="1942"/>
      <c r="BJ276" s="1942"/>
      <c r="BN276" s="1942"/>
      <c r="BR276" s="1942"/>
      <c r="BV276" s="1942"/>
      <c r="BZ276" s="1942"/>
      <c r="CD276" s="1942"/>
      <c r="CH276" s="1942"/>
      <c r="CL276" s="1942"/>
      <c r="CN276" s="2262"/>
      <c r="CO276" s="2262"/>
      <c r="CP276" s="2876"/>
      <c r="CQ276" s="2877">
        <f t="shared" ref="CQ276:DV276" si="1133">CQ275/CP275-1</f>
        <v>1.2820512820512997E-2</v>
      </c>
      <c r="CR276" s="2877">
        <f t="shared" si="1133"/>
        <v>8.4388185654007408E-3</v>
      </c>
      <c r="CS276" s="2877">
        <f t="shared" si="1133"/>
        <v>1.6736401673640211E-2</v>
      </c>
      <c r="CT276" s="2876">
        <f t="shared" si="1133"/>
        <v>8.2304526748970819E-3</v>
      </c>
      <c r="CU276" s="2877">
        <f t="shared" si="1133"/>
        <v>1.2244897959183598E-2</v>
      </c>
      <c r="CV276" s="2877">
        <f t="shared" si="1133"/>
        <v>8.0645161290322509E-3</v>
      </c>
      <c r="CW276" s="2877">
        <f t="shared" si="1133"/>
        <v>1.2000000000000011E-2</v>
      </c>
      <c r="CX276" s="2876">
        <f t="shared" si="1133"/>
        <v>3.9525691699606735E-3</v>
      </c>
      <c r="CY276" s="2877">
        <f t="shared" si="1133"/>
        <v>7.8740157480314821E-3</v>
      </c>
      <c r="CZ276" s="2877">
        <f t="shared" si="1133"/>
        <v>1.5625E-2</v>
      </c>
      <c r="DA276" s="2877">
        <f t="shared" si="1133"/>
        <v>1.538461538461533E-2</v>
      </c>
      <c r="DB276" s="2876">
        <f t="shared" si="1133"/>
        <v>1.1363636363636243E-2</v>
      </c>
      <c r="DC276" s="2877">
        <f t="shared" si="1133"/>
        <v>1.1235955056179803E-2</v>
      </c>
      <c r="DD276" s="2877">
        <f t="shared" si="1133"/>
        <v>7.4074074074073071E-3</v>
      </c>
      <c r="DE276" s="2877">
        <f t="shared" si="1133"/>
        <v>1.4705882352941124E-2</v>
      </c>
      <c r="DF276" s="2876">
        <f t="shared" si="1133"/>
        <v>3.6231884057971175E-3</v>
      </c>
      <c r="DG276" s="2877">
        <f t="shared" si="1133"/>
        <v>1.0830324909747224E-2</v>
      </c>
      <c r="DH276" s="2877">
        <f t="shared" si="1133"/>
        <v>7.1428571428571175E-3</v>
      </c>
      <c r="DI276" s="2878">
        <f t="shared" si="1133"/>
        <v>1.7730496453900901E-2</v>
      </c>
      <c r="DJ276" s="2876">
        <f t="shared" si="1133"/>
        <v>6.9686411149825211E-3</v>
      </c>
      <c r="DK276" s="2877">
        <f t="shared" si="1133"/>
        <v>1.0380622837370179E-2</v>
      </c>
      <c r="DL276" s="2877">
        <f t="shared" si="1133"/>
        <v>6.8493150684931781E-3</v>
      </c>
      <c r="DM276" s="2878">
        <f t="shared" si="1133"/>
        <v>1.3605442176870763E-2</v>
      </c>
      <c r="DN276" s="2877">
        <f t="shared" si="1133"/>
        <v>6.7114093959732557E-3</v>
      </c>
      <c r="DO276" s="2877">
        <f t="shared" si="1133"/>
        <v>6.6666666666665986E-3</v>
      </c>
      <c r="DP276" s="2877">
        <f t="shared" si="1133"/>
        <v>9.9337748344370258E-3</v>
      </c>
      <c r="DQ276" s="2878">
        <f t="shared" si="1133"/>
        <v>6.5573770491802463E-3</v>
      </c>
      <c r="DR276" s="2876">
        <f t="shared" si="1133"/>
        <v>3.2573289902280145E-3</v>
      </c>
      <c r="DS276" s="2877">
        <f t="shared" si="1133"/>
        <v>3.2467532467532756E-3</v>
      </c>
      <c r="DT276" s="2877">
        <f t="shared" si="1133"/>
        <v>3.2362459546926292E-3</v>
      </c>
      <c r="DU276" s="2878">
        <f t="shared" si="1133"/>
        <v>9.6774193548385679E-3</v>
      </c>
      <c r="DV276" s="2877">
        <f t="shared" si="1133"/>
        <v>3.1948881789138905E-3</v>
      </c>
      <c r="DY276" s="2236"/>
    </row>
    <row r="277" spans="1:129" ht="15" customHeight="1">
      <c r="A277" s="2211" t="s">
        <v>1453</v>
      </c>
      <c r="AH277" s="2201"/>
      <c r="AI277" s="1927"/>
      <c r="AP277" s="1942"/>
      <c r="AT277" s="1942"/>
      <c r="AX277" s="1942"/>
      <c r="BB277" s="1942"/>
      <c r="BF277" s="1942"/>
      <c r="BJ277" s="1942"/>
      <c r="BN277" s="1942"/>
      <c r="BR277" s="1942"/>
      <c r="BV277" s="1942"/>
      <c r="BZ277" s="1942"/>
      <c r="CD277" s="1942"/>
      <c r="CH277" s="1942"/>
      <c r="CL277" s="1942"/>
      <c r="CN277" s="2262"/>
      <c r="CO277" s="2262"/>
      <c r="CP277" s="2876"/>
      <c r="CQ277" s="2877"/>
      <c r="CR277" s="2877"/>
      <c r="CS277" s="2877"/>
      <c r="CT277" s="2876">
        <f t="shared" ref="CT277:DV277" si="1134">CT275/CP275-1</f>
        <v>4.7008547008547064E-2</v>
      </c>
      <c r="CU277" s="2877">
        <f t="shared" si="1134"/>
        <v>4.6413502109704519E-2</v>
      </c>
      <c r="CV277" s="2877">
        <f t="shared" si="1134"/>
        <v>4.6025104602510414E-2</v>
      </c>
      <c r="CW277" s="2877">
        <f t="shared" si="1134"/>
        <v>4.1152263374485409E-2</v>
      </c>
      <c r="CX277" s="2876">
        <f t="shared" si="1134"/>
        <v>3.6734693877551017E-2</v>
      </c>
      <c r="CY277" s="2877">
        <f t="shared" si="1134"/>
        <v>3.2258064516129004E-2</v>
      </c>
      <c r="CZ277" s="2877">
        <f t="shared" si="1134"/>
        <v>4.0000000000000036E-2</v>
      </c>
      <c r="DA277" s="2877">
        <f t="shared" si="1134"/>
        <v>4.347826086956541E-2</v>
      </c>
      <c r="DB277" s="2876">
        <f t="shared" si="1134"/>
        <v>5.1181102362204633E-2</v>
      </c>
      <c r="DC277" s="2877">
        <f t="shared" si="1134"/>
        <v>5.46875E-2</v>
      </c>
      <c r="DD277" s="2877">
        <f t="shared" si="1134"/>
        <v>4.6153846153846212E-2</v>
      </c>
      <c r="DE277" s="2877">
        <f t="shared" si="1134"/>
        <v>4.5454545454545414E-2</v>
      </c>
      <c r="DF277" s="2876">
        <f t="shared" si="1134"/>
        <v>3.7453183520599342E-2</v>
      </c>
      <c r="DG277" s="2877">
        <f t="shared" si="1134"/>
        <v>3.7037037037036979E-2</v>
      </c>
      <c r="DH277" s="2877">
        <f t="shared" si="1134"/>
        <v>3.6764705882352811E-2</v>
      </c>
      <c r="DI277" s="2878">
        <f t="shared" si="1134"/>
        <v>3.9855072463768293E-2</v>
      </c>
      <c r="DJ277" s="2876">
        <f t="shared" si="1134"/>
        <v>4.3321299638989119E-2</v>
      </c>
      <c r="DK277" s="2877">
        <f t="shared" si="1134"/>
        <v>4.2857142857142927E-2</v>
      </c>
      <c r="DL277" s="2877">
        <f t="shared" si="1134"/>
        <v>4.2553191489361764E-2</v>
      </c>
      <c r="DM277" s="2878">
        <f t="shared" si="1134"/>
        <v>3.8327526132404088E-2</v>
      </c>
      <c r="DN277" s="2877">
        <f t="shared" si="1134"/>
        <v>3.8062283737024138E-2</v>
      </c>
      <c r="DO277" s="2877">
        <f t="shared" si="1134"/>
        <v>3.424657534246589E-2</v>
      </c>
      <c r="DP277" s="2877">
        <f t="shared" si="1134"/>
        <v>3.7414965986394488E-2</v>
      </c>
      <c r="DQ277" s="2878">
        <f t="shared" si="1134"/>
        <v>3.0201342281879207E-2</v>
      </c>
      <c r="DR277" s="2876">
        <f t="shared" si="1134"/>
        <v>2.6666666666666616E-2</v>
      </c>
      <c r="DS277" s="2877">
        <f t="shared" si="1134"/>
        <v>2.3178807947019875E-2</v>
      </c>
      <c r="DT277" s="2877">
        <f t="shared" si="1134"/>
        <v>1.6393442622950838E-2</v>
      </c>
      <c r="DU277" s="2878">
        <f t="shared" si="1134"/>
        <v>1.9543973941368087E-2</v>
      </c>
      <c r="DV277" s="2877">
        <f t="shared" si="1134"/>
        <v>1.9480519480519431E-2</v>
      </c>
      <c r="DY277" s="2236"/>
    </row>
    <row r="278" spans="1:129" ht="15" customHeight="1">
      <c r="A278" s="2807"/>
      <c r="B278" s="2207"/>
      <c r="C278" s="2207"/>
      <c r="D278" s="2207"/>
      <c r="E278" s="2207"/>
      <c r="F278" s="2207"/>
      <c r="G278" s="2207"/>
      <c r="H278" s="2207"/>
      <c r="I278" s="2207"/>
      <c r="J278" s="2207"/>
      <c r="K278" s="2207"/>
      <c r="L278" s="2207"/>
      <c r="M278" s="2207"/>
      <c r="N278" s="2207"/>
      <c r="O278" s="2207"/>
      <c r="P278" s="2207"/>
      <c r="Q278" s="2207"/>
      <c r="R278" s="2207"/>
      <c r="S278" s="2207"/>
      <c r="T278" s="2207"/>
      <c r="U278" s="2207"/>
      <c r="V278" s="2207"/>
      <c r="W278" s="2207"/>
      <c r="X278" s="2207"/>
      <c r="Y278" s="2207"/>
      <c r="Z278" s="2207"/>
      <c r="AA278" s="2207"/>
      <c r="AB278" s="2207"/>
      <c r="AC278" s="2207"/>
      <c r="AD278" s="2207"/>
      <c r="AE278" s="2207"/>
      <c r="AF278" s="2207"/>
      <c r="AG278" s="2207"/>
      <c r="AH278" s="2201"/>
      <c r="AI278" s="1927"/>
      <c r="AK278" s="2207"/>
      <c r="AL278" s="2207"/>
      <c r="AM278" s="2207"/>
      <c r="AN278" s="2207"/>
      <c r="AO278" s="2207"/>
      <c r="AP278" s="2208"/>
      <c r="AQ278" s="2207"/>
      <c r="AR278" s="2207"/>
      <c r="AS278" s="2207"/>
      <c r="AT278" s="2208"/>
      <c r="AU278" s="2207"/>
      <c r="AV278" s="2207"/>
      <c r="AW278" s="2207"/>
      <c r="AX278" s="2208"/>
      <c r="AY278" s="2207"/>
      <c r="AZ278" s="2207"/>
      <c r="BA278" s="2207"/>
      <c r="BB278" s="2208"/>
      <c r="BC278" s="2207"/>
      <c r="BD278" s="2207"/>
      <c r="BE278" s="2207"/>
      <c r="BF278" s="2208"/>
      <c r="BG278" s="2207"/>
      <c r="BH278" s="2207"/>
      <c r="BI278" s="2207"/>
      <c r="BJ278" s="2208"/>
      <c r="BK278" s="2207"/>
      <c r="BL278" s="2207"/>
      <c r="BM278" s="2207"/>
      <c r="BN278" s="2208"/>
      <c r="BO278" s="2207"/>
      <c r="BP278" s="2207"/>
      <c r="BQ278" s="2207"/>
      <c r="BR278" s="2208"/>
      <c r="BS278" s="2207"/>
      <c r="BT278" s="2207"/>
      <c r="BU278" s="2207"/>
      <c r="BV278" s="2208"/>
      <c r="BW278" s="2207"/>
      <c r="BX278" s="2207"/>
      <c r="BY278" s="2207"/>
      <c r="BZ278" s="2208"/>
      <c r="CA278" s="2207"/>
      <c r="CB278" s="2207"/>
      <c r="CC278" s="2207"/>
      <c r="CD278" s="2208"/>
      <c r="CE278" s="2207"/>
      <c r="CF278" s="2207"/>
      <c r="CG278" s="2207"/>
      <c r="CH278" s="2208"/>
      <c r="CI278" s="2207"/>
      <c r="CJ278" s="2207"/>
      <c r="CK278" s="2207"/>
      <c r="CL278" s="2208"/>
      <c r="CM278" s="2207"/>
      <c r="CN278" s="2207"/>
      <c r="CO278" s="2207"/>
      <c r="CP278" s="2208"/>
      <c r="CQ278" s="2207"/>
      <c r="CR278" s="2207"/>
      <c r="CS278" s="2207"/>
      <c r="CT278" s="2208"/>
      <c r="CU278" s="2207"/>
      <c r="CV278" s="2207"/>
      <c r="CW278" s="2207"/>
      <c r="CX278" s="2208"/>
      <c r="CY278" s="2207"/>
      <c r="CZ278" s="2207"/>
      <c r="DA278" s="2207"/>
      <c r="DB278" s="2208"/>
      <c r="DC278" s="2207"/>
      <c r="DD278" s="2207"/>
      <c r="DE278" s="2207"/>
      <c r="DF278" s="2208"/>
      <c r="DG278" s="2207"/>
      <c r="DH278" s="2207"/>
      <c r="DI278" s="2209"/>
      <c r="DJ278" s="2208"/>
      <c r="DK278" s="2207"/>
      <c r="DL278" s="2207"/>
      <c r="DM278" s="2209"/>
      <c r="DN278" s="2207"/>
      <c r="DO278" s="2207"/>
      <c r="DP278" s="2207"/>
      <c r="DQ278" s="2209"/>
      <c r="DR278" s="2208"/>
      <c r="DS278" s="2207"/>
      <c r="DT278" s="2207"/>
      <c r="DU278" s="2209"/>
      <c r="DV278" s="2207"/>
      <c r="DW278" s="2207"/>
      <c r="DX278" s="2207"/>
      <c r="DY278" s="2209"/>
    </row>
    <row r="279" spans="1:129" s="1491" customFormat="1" ht="15" customHeight="1">
      <c r="A279" s="198" t="s">
        <v>1621</v>
      </c>
      <c r="B279" s="1476"/>
      <c r="C279" s="1476"/>
      <c r="D279" s="1476"/>
      <c r="E279" s="1476"/>
      <c r="F279" s="1476"/>
      <c r="G279" s="1476"/>
      <c r="H279" s="1476"/>
      <c r="I279" s="1476"/>
      <c r="J279" s="1476"/>
      <c r="K279" s="1476"/>
      <c r="L279" s="1476"/>
      <c r="M279" s="1476"/>
      <c r="N279" s="1476"/>
      <c r="O279" s="1476"/>
      <c r="P279" s="1476"/>
      <c r="Q279" s="1476"/>
      <c r="R279" s="1476"/>
      <c r="S279" s="1476"/>
      <c r="T279" s="1476"/>
      <c r="U279" s="1476"/>
      <c r="V279" s="1476"/>
      <c r="W279" s="1476"/>
      <c r="X279" s="1476"/>
      <c r="Y279" s="1476"/>
      <c r="Z279" s="1476"/>
      <c r="AA279" s="1476"/>
      <c r="AB279" s="1476"/>
      <c r="AC279" s="1476"/>
      <c r="AD279" s="1476"/>
      <c r="AE279" s="1476"/>
      <c r="AF279" s="1476"/>
      <c r="AG279" s="1476"/>
      <c r="AH279" s="2201"/>
      <c r="AI279" s="1927"/>
      <c r="AJ279" s="1561"/>
      <c r="AK279" s="1476"/>
      <c r="AL279" s="1476"/>
      <c r="AM279" s="1476"/>
      <c r="AN279" s="1476"/>
      <c r="AO279" s="1476"/>
      <c r="AP279" s="798"/>
      <c r="AQ279" s="1476"/>
      <c r="AR279" s="1476"/>
      <c r="AS279" s="1476"/>
      <c r="AT279" s="798"/>
      <c r="AU279" s="1476"/>
      <c r="AV279" s="1476"/>
      <c r="AW279" s="1476"/>
      <c r="AX279" s="798"/>
      <c r="AY279" s="1476"/>
      <c r="AZ279" s="1476"/>
      <c r="BA279" s="1476"/>
      <c r="BB279" s="798"/>
      <c r="BC279" s="1476"/>
      <c r="BD279" s="1476"/>
      <c r="BE279" s="1476"/>
      <c r="BF279" s="798"/>
      <c r="BG279" s="1476"/>
      <c r="BH279" s="1476"/>
      <c r="BI279" s="1476"/>
      <c r="BJ279" s="798"/>
      <c r="BK279" s="1476"/>
      <c r="BL279" s="1476"/>
      <c r="BM279" s="1476"/>
      <c r="BN279" s="798"/>
      <c r="BO279" s="1476"/>
      <c r="BP279" s="1476"/>
      <c r="BQ279" s="1476"/>
      <c r="BR279" s="798"/>
      <c r="BS279" s="1476"/>
      <c r="BT279" s="1476"/>
      <c r="BU279" s="1476"/>
      <c r="BV279" s="798"/>
      <c r="BW279" s="1476"/>
      <c r="BX279" s="1476"/>
      <c r="BY279" s="1476"/>
      <c r="BZ279" s="798"/>
      <c r="CA279" s="1476"/>
      <c r="CB279" s="1476"/>
      <c r="CC279" s="1476"/>
      <c r="CD279" s="798"/>
      <c r="CE279" s="1476"/>
      <c r="CF279" s="1476"/>
      <c r="CG279" s="1476"/>
      <c r="CH279" s="798"/>
      <c r="CI279" s="1476"/>
      <c r="CJ279" s="1476"/>
      <c r="CK279" s="1476"/>
      <c r="CL279" s="798"/>
      <c r="CM279" s="1476"/>
      <c r="CN279" s="1476"/>
      <c r="CO279" s="1476"/>
      <c r="CP279" s="798"/>
      <c r="CQ279" s="1476"/>
      <c r="CR279" s="1476"/>
      <c r="CS279" s="1476"/>
      <c r="CT279" s="798"/>
      <c r="CU279" s="1476"/>
      <c r="CV279" s="1476"/>
      <c r="CW279" s="1476"/>
      <c r="CX279" s="798"/>
      <c r="CY279" s="1476"/>
      <c r="CZ279" s="1476"/>
      <c r="DA279" s="1476"/>
      <c r="DB279" s="798"/>
      <c r="DC279" s="1476"/>
      <c r="DD279" s="1476"/>
      <c r="DE279" s="1476"/>
      <c r="DF279" s="798"/>
      <c r="DG279" s="1476"/>
      <c r="DH279" s="1476"/>
      <c r="DI279" s="1477"/>
      <c r="DJ279" s="798"/>
      <c r="DK279" s="1476"/>
      <c r="DL279" s="1476"/>
      <c r="DM279" s="1477"/>
      <c r="DN279" s="1476"/>
      <c r="DO279" s="1476"/>
      <c r="DP279" s="1476"/>
      <c r="DQ279" s="1477"/>
      <c r="DR279" s="798"/>
      <c r="DS279" s="1476"/>
      <c r="DT279" s="1476"/>
      <c r="DU279" s="1477"/>
      <c r="DV279" s="1476"/>
      <c r="DW279" s="1476"/>
      <c r="DX279" s="1476"/>
      <c r="DY279" s="1477"/>
    </row>
    <row r="280" spans="1:129" ht="15" customHeight="1">
      <c r="A280" s="2807"/>
      <c r="B280" s="2207"/>
      <c r="C280" s="2207"/>
      <c r="D280" s="2207"/>
      <c r="E280" s="2207"/>
      <c r="F280" s="2207"/>
      <c r="G280" s="2207"/>
      <c r="H280" s="2207"/>
      <c r="I280" s="2207"/>
      <c r="J280" s="2207"/>
      <c r="K280" s="2207"/>
      <c r="L280" s="2207"/>
      <c r="M280" s="2207"/>
      <c r="N280" s="2207"/>
      <c r="O280" s="2207"/>
      <c r="P280" s="2207"/>
      <c r="Q280" s="2207"/>
      <c r="R280" s="2207"/>
      <c r="S280" s="2207"/>
      <c r="T280" s="2207"/>
      <c r="U280" s="2207"/>
      <c r="V280" s="2207"/>
      <c r="W280" s="2207"/>
      <c r="X280" s="2207"/>
      <c r="Y280" s="2207"/>
      <c r="Z280" s="2207"/>
      <c r="AA280" s="2207"/>
      <c r="AB280" s="2207"/>
      <c r="AC280" s="2207"/>
      <c r="AD280" s="2207"/>
      <c r="AE280" s="2207"/>
      <c r="AF280" s="2207"/>
      <c r="AG280" s="2207"/>
      <c r="AH280" s="2201"/>
      <c r="AI280" s="1927"/>
      <c r="AK280" s="2207"/>
      <c r="AL280" s="2207"/>
      <c r="AM280" s="2207"/>
      <c r="AN280" s="2207"/>
      <c r="AO280" s="2207"/>
      <c r="AP280" s="2208"/>
      <c r="AQ280" s="2207"/>
      <c r="AR280" s="2207"/>
      <c r="AS280" s="2207"/>
      <c r="AT280" s="2208"/>
      <c r="AU280" s="2207"/>
      <c r="AV280" s="2207"/>
      <c r="AW280" s="2207"/>
      <c r="AX280" s="2208"/>
      <c r="AY280" s="2207"/>
      <c r="AZ280" s="2207"/>
      <c r="BA280" s="2207"/>
      <c r="BB280" s="2208"/>
      <c r="BC280" s="2207"/>
      <c r="BD280" s="2207"/>
      <c r="BE280" s="2207"/>
      <c r="BF280" s="2208"/>
      <c r="BG280" s="2207"/>
      <c r="BH280" s="2207"/>
      <c r="BI280" s="2207"/>
      <c r="BJ280" s="2208"/>
      <c r="BK280" s="2207"/>
      <c r="BL280" s="2207"/>
      <c r="BM280" s="2207"/>
      <c r="BN280" s="2208"/>
      <c r="BO280" s="2207"/>
      <c r="BP280" s="2207"/>
      <c r="BQ280" s="2207"/>
      <c r="BR280" s="2208"/>
      <c r="BS280" s="2207"/>
      <c r="BT280" s="2207"/>
      <c r="BU280" s="2207"/>
      <c r="BV280" s="2208"/>
      <c r="BW280" s="2207"/>
      <c r="BX280" s="2207"/>
      <c r="BY280" s="2207"/>
      <c r="BZ280" s="2208"/>
      <c r="CA280" s="2207"/>
      <c r="CB280" s="2207"/>
      <c r="CC280" s="2207"/>
      <c r="CD280" s="2208"/>
      <c r="CE280" s="2207"/>
      <c r="CF280" s="2207"/>
      <c r="CG280" s="2207"/>
      <c r="CH280" s="2208"/>
      <c r="CI280" s="2207"/>
      <c r="CJ280" s="2207"/>
      <c r="CK280" s="2207"/>
      <c r="CL280" s="2208"/>
      <c r="CM280" s="2207"/>
      <c r="CN280" s="2207"/>
      <c r="CO280" s="2207"/>
      <c r="CP280" s="2208"/>
      <c r="CQ280" s="2207"/>
      <c r="CR280" s="2207"/>
      <c r="CS280" s="2207"/>
      <c r="CT280" s="2208"/>
      <c r="CU280" s="2207"/>
      <c r="CV280" s="2207"/>
      <c r="CW280" s="2207"/>
      <c r="CX280" s="2208"/>
      <c r="CY280" s="2207"/>
      <c r="CZ280" s="2207"/>
      <c r="DA280" s="2207"/>
      <c r="DB280" s="2208"/>
      <c r="DC280" s="2207"/>
      <c r="DD280" s="2207"/>
      <c r="DE280" s="2207"/>
      <c r="DF280" s="2208"/>
      <c r="DG280" s="2207"/>
      <c r="DH280" s="2207"/>
      <c r="DI280" s="2209"/>
      <c r="DJ280" s="2208"/>
      <c r="DK280" s="2207"/>
      <c r="DL280" s="2207"/>
      <c r="DM280" s="2209"/>
      <c r="DN280" s="2207"/>
      <c r="DO280" s="2207"/>
      <c r="DP280" s="2207"/>
      <c r="DQ280" s="2209"/>
      <c r="DR280" s="2208"/>
      <c r="DS280" s="2207"/>
      <c r="DT280" s="2207"/>
      <c r="DU280" s="2209"/>
      <c r="DV280" s="2207"/>
      <c r="DW280" s="2207"/>
      <c r="DX280" s="2207"/>
      <c r="DY280" s="2209"/>
    </row>
    <row r="281" spans="1:129" s="2205" customFormat="1" ht="15" customHeight="1">
      <c r="A281" s="2276" t="s">
        <v>1619</v>
      </c>
      <c r="D281" s="1992"/>
      <c r="E281" s="1992"/>
      <c r="F281" s="1992"/>
      <c r="G281" s="2510"/>
      <c r="H281" s="1992"/>
      <c r="I281" s="1992"/>
      <c r="J281" s="1992"/>
      <c r="K281" s="1992"/>
      <c r="L281" s="1992"/>
      <c r="M281" s="1992"/>
      <c r="N281" s="1992"/>
      <c r="O281" s="1992"/>
      <c r="P281" s="1992"/>
      <c r="Q281" s="1992">
        <f>SUM(CL281:CO281)</f>
        <v>1570.1036749999985</v>
      </c>
      <c r="R281" s="1992">
        <f>SUM(CP281:CS281)</f>
        <v>1250.3981200000017</v>
      </c>
      <c r="S281" s="1992">
        <f>SUM(CT281:CW281)</f>
        <v>1111.2813649999989</v>
      </c>
      <c r="T281" s="1992">
        <f>SUM(CX281:DA281)</f>
        <v>1447.345379999997</v>
      </c>
      <c r="U281" s="1992">
        <f>SUM(DB281:DE281)</f>
        <v>1709.4291249999969</v>
      </c>
      <c r="V281" s="1992">
        <f>SUM(DF281:DI281)</f>
        <v>1863.4565250000014</v>
      </c>
      <c r="W281" s="1992">
        <f>SUM(DJ281:DM281)</f>
        <v>2093.9411200000031</v>
      </c>
      <c r="X281" s="1992">
        <f>+SUM(DN281:DQ281)</f>
        <v>1817.1643750000003</v>
      </c>
      <c r="Y281" s="1992">
        <f>+SUM(DR281:DU281)</f>
        <v>2360.134930000002</v>
      </c>
      <c r="Z281" s="1992">
        <f ca="1">+SUM(DV281:DY281)</f>
        <v>2479.8708766019699</v>
      </c>
      <c r="AA281" s="1992">
        <f ca="1">+AA284*(AVERAGE(Z286:AA286)*12)/1000</f>
        <v>2187.1230517872023</v>
      </c>
      <c r="AB281" s="1992">
        <f ca="1">+AB284*(AVERAGE(AA286:AB286)*12)/1000</f>
        <v>2028.1909189440944</v>
      </c>
      <c r="AC281" s="1992">
        <f t="shared" ref="AC281:AG281" ca="1" si="1135">+AC284*(AVERAGE(AB286:AC286)*12)/1000</f>
        <v>1933.0573359517416</v>
      </c>
      <c r="AD281" s="1992">
        <f t="shared" ca="1" si="1135"/>
        <v>1868.544399195926</v>
      </c>
      <c r="AE281" s="1992">
        <f t="shared" ca="1" si="1135"/>
        <v>1818.9265269554396</v>
      </c>
      <c r="AF281" s="1992">
        <f t="shared" ca="1" si="1135"/>
        <v>1776.7461303495245</v>
      </c>
      <c r="AG281" s="1992">
        <f t="shared" ca="1" si="1135"/>
        <v>1738.4626413075678</v>
      </c>
      <c r="AH281" s="2220"/>
      <c r="AI281" s="1928">
        <f ca="1">(AA281/V281)^(1/5)-1</f>
        <v>3.254928571426241E-2</v>
      </c>
      <c r="AJ281" s="2221"/>
      <c r="AK281" s="1992"/>
      <c r="AL281" s="1992"/>
      <c r="AN281" s="1992"/>
      <c r="AO281" s="1992"/>
      <c r="AP281" s="1993"/>
      <c r="AQ281" s="1992"/>
      <c r="AR281" s="1992"/>
      <c r="AS281" s="1992"/>
      <c r="AT281" s="1993"/>
      <c r="AU281" s="1992"/>
      <c r="AV281" s="1992"/>
      <c r="AW281" s="1992"/>
      <c r="AX281" s="1993"/>
      <c r="AY281" s="1992"/>
      <c r="AZ281" s="1992"/>
      <c r="BA281" s="1992"/>
      <c r="BB281" s="1993"/>
      <c r="BC281" s="1992"/>
      <c r="BD281" s="1992"/>
      <c r="BE281" s="1992"/>
      <c r="BF281" s="1993"/>
      <c r="BG281" s="1992"/>
      <c r="BH281" s="1992"/>
      <c r="BI281" s="1992"/>
      <c r="BJ281" s="1993"/>
      <c r="BK281" s="1992"/>
      <c r="BL281" s="1992"/>
      <c r="BM281" s="1992"/>
      <c r="BN281" s="1993"/>
      <c r="BO281" s="1992"/>
      <c r="BP281" s="1992"/>
      <c r="BQ281" s="1992"/>
      <c r="BR281" s="1993"/>
      <c r="BS281" s="1992"/>
      <c r="BT281" s="1992"/>
      <c r="BU281" s="1992"/>
      <c r="BV281" s="1993"/>
      <c r="BW281" s="1992"/>
      <c r="BX281" s="1992"/>
      <c r="BY281" s="1992"/>
      <c r="BZ281" s="1993"/>
      <c r="CA281" s="1992"/>
      <c r="CB281" s="1992"/>
      <c r="CC281" s="1992"/>
      <c r="CD281" s="1993"/>
      <c r="CE281" s="1992"/>
      <c r="CF281" s="1992"/>
      <c r="CG281" s="1992"/>
      <c r="CH281" s="1993"/>
      <c r="CI281" s="1992"/>
      <c r="CJ281" s="1992"/>
      <c r="CK281" s="1992"/>
      <c r="CL281" s="1993">
        <f t="shared" ref="CL281:DR281" si="1136">+CL21-CL246</f>
        <v>420.21540499999901</v>
      </c>
      <c r="CM281" s="1992">
        <f t="shared" si="1136"/>
        <v>411.47354000000087</v>
      </c>
      <c r="CN281" s="1992">
        <f t="shared" si="1136"/>
        <v>394.72855999999956</v>
      </c>
      <c r="CO281" s="1992">
        <f t="shared" si="1136"/>
        <v>343.68616999999904</v>
      </c>
      <c r="CP281" s="1993">
        <f t="shared" si="1136"/>
        <v>357.09422000000086</v>
      </c>
      <c r="CQ281" s="1992">
        <f t="shared" si="1136"/>
        <v>335.19520000000193</v>
      </c>
      <c r="CR281" s="1992">
        <f t="shared" si="1136"/>
        <v>304.61054999999942</v>
      </c>
      <c r="CS281" s="1992">
        <f t="shared" si="1136"/>
        <v>253.49814999999944</v>
      </c>
      <c r="CT281" s="1993">
        <f t="shared" si="1136"/>
        <v>254.71631999999772</v>
      </c>
      <c r="CU281" s="1992">
        <f t="shared" si="1136"/>
        <v>273.52122000000054</v>
      </c>
      <c r="CV281" s="1992">
        <f t="shared" si="1136"/>
        <v>287.42922499999986</v>
      </c>
      <c r="CW281" s="1992">
        <f t="shared" si="1136"/>
        <v>295.61460000000079</v>
      </c>
      <c r="CX281" s="1993">
        <f t="shared" si="1136"/>
        <v>306.93997499999932</v>
      </c>
      <c r="CY281" s="1992">
        <f t="shared" si="1136"/>
        <v>344.23980499999925</v>
      </c>
      <c r="CZ281" s="1992">
        <f t="shared" si="1136"/>
        <v>391.79619999999886</v>
      </c>
      <c r="DA281" s="1992">
        <f t="shared" si="1136"/>
        <v>404.36939999999959</v>
      </c>
      <c r="DB281" s="1993">
        <f t="shared" si="1136"/>
        <v>390.64999999999964</v>
      </c>
      <c r="DC281" s="1992">
        <f t="shared" si="1136"/>
        <v>432.14624999999978</v>
      </c>
      <c r="DD281" s="1992">
        <f t="shared" si="1136"/>
        <v>439.65269999999691</v>
      </c>
      <c r="DE281" s="1992">
        <f t="shared" si="1136"/>
        <v>446.9801750000006</v>
      </c>
      <c r="DF281" s="1993">
        <f t="shared" si="1136"/>
        <v>446.16128000000026</v>
      </c>
      <c r="DG281" s="1992">
        <f t="shared" si="1136"/>
        <v>457.17003500000283</v>
      </c>
      <c r="DH281" s="1992">
        <f t="shared" si="1136"/>
        <v>475.60493999999744</v>
      </c>
      <c r="DI281" s="1998">
        <f t="shared" si="1136"/>
        <v>484.52027000000089</v>
      </c>
      <c r="DJ281" s="1993">
        <f t="shared" si="1136"/>
        <v>483.17428000000291</v>
      </c>
      <c r="DK281" s="1992">
        <f t="shared" si="1136"/>
        <v>528.22978000000148</v>
      </c>
      <c r="DL281" s="1992">
        <f t="shared" si="1136"/>
        <v>544.35890999999901</v>
      </c>
      <c r="DM281" s="1998">
        <f t="shared" si="1136"/>
        <v>538.17814999999973</v>
      </c>
      <c r="DN281" s="1992">
        <f t="shared" si="1136"/>
        <v>459.87744000000021</v>
      </c>
      <c r="DO281" s="1992">
        <f t="shared" si="1136"/>
        <v>440.21930499999871</v>
      </c>
      <c r="DP281" s="1992">
        <f t="shared" si="1136"/>
        <v>440.58252999999968</v>
      </c>
      <c r="DQ281" s="1998">
        <f t="shared" si="1136"/>
        <v>476.48510000000169</v>
      </c>
      <c r="DR281" s="1993">
        <f t="shared" si="1136"/>
        <v>484.38040000000183</v>
      </c>
      <c r="DS281" s="1992">
        <f>+DS21-DS246</f>
        <v>565.33966000000146</v>
      </c>
      <c r="DT281" s="1992">
        <f>+DT21-DT246</f>
        <v>614.73343000000023</v>
      </c>
      <c r="DU281" s="1998">
        <f>+DU21-DU246</f>
        <v>695.68143999999847</v>
      </c>
      <c r="DV281" s="1992">
        <f>+DV21-DV246</f>
        <v>655.84459499999866</v>
      </c>
      <c r="DW281" s="1992">
        <f t="shared" ref="DW281" ca="1" si="1137">+DW284*(AVERAGE(DV286:DW286)*3)/1000</f>
        <v>622.10432019192535</v>
      </c>
      <c r="DX281" s="1992">
        <f t="shared" ref="DX281" ca="1" si="1138">+DX284*(AVERAGE(DW286:DX286)*3)/1000</f>
        <v>608.43808317474452</v>
      </c>
      <c r="DY281" s="1998">
        <f t="shared" ref="DY281" ca="1" si="1139">+DY284*(AVERAGE(DX286:DY286)*3)/1000</f>
        <v>593.4838782353014</v>
      </c>
    </row>
    <row r="282" spans="1:129" ht="15" customHeight="1">
      <c r="A282" s="2807" t="s">
        <v>1453</v>
      </c>
      <c r="B282" s="2207"/>
      <c r="C282" s="2207"/>
      <c r="D282" s="2207"/>
      <c r="E282" s="2207"/>
      <c r="F282" s="2207"/>
      <c r="G282" s="2207"/>
      <c r="H282" s="2207"/>
      <c r="I282" s="2207"/>
      <c r="J282" s="2207"/>
      <c r="K282" s="2207"/>
      <c r="L282" s="2207"/>
      <c r="M282" s="2207"/>
      <c r="N282" s="2207"/>
      <c r="O282" s="2207"/>
      <c r="P282" s="2207"/>
      <c r="Q282" s="2207"/>
      <c r="R282" s="2207">
        <f t="shared" ref="R282:AB282" si="1140">R281/Q281-1</f>
        <v>-0.20362066536784407</v>
      </c>
      <c r="S282" s="2207">
        <f t="shared" si="1140"/>
        <v>-0.11125796878197691</v>
      </c>
      <c r="T282" s="2207">
        <f t="shared" si="1140"/>
        <v>0.30241127547387459</v>
      </c>
      <c r="U282" s="2207">
        <f t="shared" si="1140"/>
        <v>0.18107892464478681</v>
      </c>
      <c r="V282" s="2207">
        <f t="shared" si="1140"/>
        <v>9.0104583891423173E-2</v>
      </c>
      <c r="W282" s="2207">
        <f>W281/V281-1</f>
        <v>0.12368659633741741</v>
      </c>
      <c r="X282" s="2207">
        <f>X281/W281-1</f>
        <v>-0.13217981267782852</v>
      </c>
      <c r="Y282" s="2207">
        <f>Y281/X281-1</f>
        <v>0.29880101242904988</v>
      </c>
      <c r="Z282" s="2207">
        <f ca="1">Z281/Y281-1</f>
        <v>5.0732670018136528E-2</v>
      </c>
      <c r="AA282" s="2207">
        <f t="shared" ca="1" si="1140"/>
        <v>-0.1180496241061969</v>
      </c>
      <c r="AB282" s="2207">
        <f t="shared" ca="1" si="1140"/>
        <v>-7.2667211254180186E-2</v>
      </c>
      <c r="AC282" s="2207">
        <f t="shared" ref="AC282" ca="1" si="1141">AC281/AB281-1</f>
        <v>-4.6905635018758884E-2</v>
      </c>
      <c r="AD282" s="2207">
        <f t="shared" ref="AD282" ca="1" si="1142">AD281/AC281-1</f>
        <v>-3.3373524704094049E-2</v>
      </c>
      <c r="AE282" s="2207">
        <f t="shared" ref="AE282" ca="1" si="1143">AE281/AD281-1</f>
        <v>-2.6554291277123498E-2</v>
      </c>
      <c r="AF282" s="2207">
        <f t="shared" ref="AF282" ca="1" si="1144">AF281/AE281-1</f>
        <v>-2.318971985994267E-2</v>
      </c>
      <c r="AG282" s="2207">
        <f t="shared" ref="AG282" ca="1" si="1145">AG281/AF281-1</f>
        <v>-2.1546966326824402E-2</v>
      </c>
      <c r="AH282" s="2201"/>
      <c r="AI282" s="1927"/>
      <c r="AK282" s="2207"/>
      <c r="AL282" s="2207"/>
      <c r="AM282" s="2207"/>
      <c r="AN282" s="2207"/>
      <c r="AO282" s="2207"/>
      <c r="AP282" s="2208"/>
      <c r="AQ282" s="2207"/>
      <c r="AR282" s="2207"/>
      <c r="AS282" s="2207"/>
      <c r="AT282" s="2208"/>
      <c r="AU282" s="2207"/>
      <c r="AV282" s="2207"/>
      <c r="AW282" s="2207"/>
      <c r="AX282" s="2208"/>
      <c r="AY282" s="2207"/>
      <c r="AZ282" s="2207"/>
      <c r="BA282" s="2207"/>
      <c r="BB282" s="2208"/>
      <c r="BC282" s="2207"/>
      <c r="BD282" s="2207"/>
      <c r="BE282" s="2207"/>
      <c r="BF282" s="2208"/>
      <c r="BG282" s="2207"/>
      <c r="BH282" s="2207"/>
      <c r="BI282" s="2207"/>
      <c r="BJ282" s="2208"/>
      <c r="BK282" s="2207"/>
      <c r="BL282" s="2207"/>
      <c r="BM282" s="2207"/>
      <c r="BN282" s="2208"/>
      <c r="BO282" s="2207"/>
      <c r="BP282" s="2207"/>
      <c r="BQ282" s="2207"/>
      <c r="BR282" s="2208"/>
      <c r="BS282" s="2207"/>
      <c r="BT282" s="2207"/>
      <c r="BU282" s="2207"/>
      <c r="BV282" s="2208"/>
      <c r="BW282" s="2207"/>
      <c r="BX282" s="2207"/>
      <c r="BY282" s="2207"/>
      <c r="BZ282" s="2208"/>
      <c r="CA282" s="2207"/>
      <c r="CB282" s="2207"/>
      <c r="CC282" s="2207"/>
      <c r="CD282" s="2208"/>
      <c r="CE282" s="2207"/>
      <c r="CF282" s="2207"/>
      <c r="CG282" s="2207"/>
      <c r="CH282" s="2208"/>
      <c r="CI282" s="2207"/>
      <c r="CJ282" s="2207"/>
      <c r="CK282" s="2207"/>
      <c r="CL282" s="2208"/>
      <c r="CM282" s="2207"/>
      <c r="CN282" s="2207"/>
      <c r="CO282" s="2207"/>
      <c r="CP282" s="2208">
        <f t="shared" ref="CP282:DV282" si="1146">CP281/CL281-1</f>
        <v>-0.15021149688693181</v>
      </c>
      <c r="CQ282" s="2207">
        <f t="shared" si="1146"/>
        <v>-0.1853784814450008</v>
      </c>
      <c r="CR282" s="2207">
        <f t="shared" si="1146"/>
        <v>-0.22830374878372173</v>
      </c>
      <c r="CS282" s="2207">
        <f t="shared" si="1146"/>
        <v>-0.26241387600787036</v>
      </c>
      <c r="CT282" s="2208">
        <f t="shared" si="1146"/>
        <v>-0.28669716356653119</v>
      </c>
      <c r="CU282" s="2207">
        <f t="shared" si="1146"/>
        <v>-0.18399422187430203</v>
      </c>
      <c r="CV282" s="2207">
        <f t="shared" si="1146"/>
        <v>-5.6404234850039203E-2</v>
      </c>
      <c r="CW282" s="2207">
        <f t="shared" si="1146"/>
        <v>0.16614105467831397</v>
      </c>
      <c r="CX282" s="2208">
        <f t="shared" si="1146"/>
        <v>0.2050267332693958</v>
      </c>
      <c r="CY282" s="2207">
        <f t="shared" si="1146"/>
        <v>0.2585488065605972</v>
      </c>
      <c r="CZ282" s="2207">
        <f t="shared" si="1146"/>
        <v>0.3631049521843126</v>
      </c>
      <c r="DA282" s="2207">
        <f t="shared" si="1146"/>
        <v>0.36789387263010176</v>
      </c>
      <c r="DB282" s="2208">
        <f>DB281/CX281-1</f>
        <v>0.27272441460256358</v>
      </c>
      <c r="DC282" s="2207">
        <f t="shared" si="1146"/>
        <v>0.25536397512193787</v>
      </c>
      <c r="DD282" s="2207">
        <f t="shared" si="1146"/>
        <v>0.12214641183349451</v>
      </c>
      <c r="DE282" s="2207">
        <f t="shared" si="1146"/>
        <v>0.1053758642469016</v>
      </c>
      <c r="DF282" s="2208">
        <f t="shared" si="1146"/>
        <v>0.14209978241392718</v>
      </c>
      <c r="DG282" s="2207">
        <f t="shared" si="1146"/>
        <v>5.790582470634198E-2</v>
      </c>
      <c r="DH282" s="2207">
        <f t="shared" si="1146"/>
        <v>8.1774182212461799E-2</v>
      </c>
      <c r="DI282" s="2209">
        <f t="shared" si="1146"/>
        <v>8.3986040320468858E-2</v>
      </c>
      <c r="DJ282" s="2208">
        <f t="shared" si="1146"/>
        <v>8.2958790148716322E-2</v>
      </c>
      <c r="DK282" s="2207">
        <f t="shared" si="1146"/>
        <v>0.15543395139621996</v>
      </c>
      <c r="DL282" s="2207">
        <f t="shared" si="1146"/>
        <v>0.14456109307864207</v>
      </c>
      <c r="DM282" s="2209">
        <f t="shared" si="1146"/>
        <v>0.11074434512306119</v>
      </c>
      <c r="DN282" s="2207">
        <f t="shared" si="1146"/>
        <v>-4.8216225416639613E-2</v>
      </c>
      <c r="DO282" s="2207">
        <f t="shared" si="1146"/>
        <v>-0.16661399703743041</v>
      </c>
      <c r="DP282" s="2207">
        <f t="shared" si="1146"/>
        <v>-0.19063962781467014</v>
      </c>
      <c r="DQ282" s="2209">
        <f t="shared" si="1146"/>
        <v>-0.11463313774444028</v>
      </c>
      <c r="DR282" s="2208">
        <f t="shared" si="1146"/>
        <v>5.3281500392803771E-2</v>
      </c>
      <c r="DS282" s="2207">
        <f t="shared" si="1146"/>
        <v>0.28422278073425944</v>
      </c>
      <c r="DT282" s="2207">
        <f t="shared" si="1146"/>
        <v>0.39527418393098945</v>
      </c>
      <c r="DU282" s="2209">
        <f t="shared" si="1146"/>
        <v>0.46002769026774604</v>
      </c>
      <c r="DV282" s="2207">
        <f t="shared" si="1146"/>
        <v>0.35398664974882599</v>
      </c>
      <c r="DW282" s="2207">
        <f t="shared" ref="DW282" ca="1" si="1147">DW281/DS281-1</f>
        <v>0.10040806298982052</v>
      </c>
      <c r="DX282" s="2207">
        <f t="shared" ref="DX282" ca="1" si="1148">DX281/DT281-1</f>
        <v>-1.0240775136071134E-2</v>
      </c>
      <c r="DY282" s="2209">
        <f t="shared" ref="DY282" ca="1" si="1149">DY281/DU281-1</f>
        <v>-0.14690281483533218</v>
      </c>
    </row>
    <row r="283" spans="1:129" ht="15" hidden="1" customHeight="1">
      <c r="A283" s="2807" t="s">
        <v>100</v>
      </c>
      <c r="B283" s="2207"/>
      <c r="C283" s="2207"/>
      <c r="D283" s="2207"/>
      <c r="E283" s="2207"/>
      <c r="F283" s="2207"/>
      <c r="G283" s="2207"/>
      <c r="H283" s="2207"/>
      <c r="I283" s="2207"/>
      <c r="J283" s="2207"/>
      <c r="K283" s="2207"/>
      <c r="L283" s="2207"/>
      <c r="M283" s="2207"/>
      <c r="N283" s="2207"/>
      <c r="O283" s="2207"/>
      <c r="P283" s="2207"/>
      <c r="Q283" s="2207">
        <f t="shared" ref="Q283:AA283" si="1150">+Q281/Q$298</f>
        <v>3.093251787860278E-2</v>
      </c>
      <c r="R283" s="2207">
        <f t="shared" si="1150"/>
        <v>2.3456106400540289E-2</v>
      </c>
      <c r="S283" s="2207">
        <f t="shared" si="1150"/>
        <v>1.9613155047652646E-2</v>
      </c>
      <c r="T283" s="2207">
        <f t="shared" si="1150"/>
        <v>2.3557053710937453E-2</v>
      </c>
      <c r="U283" s="2207">
        <f t="shared" si="1150"/>
        <v>2.5770029321313306E-2</v>
      </c>
      <c r="V283" s="2207">
        <f t="shared" si="1150"/>
        <v>2.6811938317434302E-2</v>
      </c>
      <c r="W283" s="2207">
        <f t="shared" si="1150"/>
        <v>3.1107991442833421E-2</v>
      </c>
      <c r="X283" s="2207">
        <f>+X281/X$298</f>
        <v>2.7446710695243709E-2</v>
      </c>
      <c r="Y283" s="2207">
        <f>+Y281/Y$298</f>
        <v>3.6165661901040501E-2</v>
      </c>
      <c r="Z283" s="2207">
        <f ca="1">+Z281/Z$298</f>
        <v>3.8540226538223171E-2</v>
      </c>
      <c r="AA283" s="2207">
        <f t="shared" ca="1" si="1150"/>
        <v>3.6497331981773663E-2</v>
      </c>
      <c r="AB283" s="2207">
        <f t="shared" ref="AB283:AG283" ca="1" si="1151">+AB281/AB$298</f>
        <v>3.3279402338274193E-2</v>
      </c>
      <c r="AC283" s="2207">
        <f t="shared" ca="1" si="1151"/>
        <v>3.1157285307173925E-2</v>
      </c>
      <c r="AD283" s="2207">
        <f t="shared" ca="1" si="1151"/>
        <v>2.9561367961796706E-2</v>
      </c>
      <c r="AE283" s="2207">
        <f t="shared" ca="1" si="1151"/>
        <v>2.8221731577349588E-2</v>
      </c>
      <c r="AF283" s="2207">
        <f t="shared" ca="1" si="1151"/>
        <v>2.7010073545335245E-2</v>
      </c>
      <c r="AG283" s="2207">
        <f t="shared" ca="1" si="1151"/>
        <v>2.5865120473013647E-2</v>
      </c>
      <c r="AH283" s="2201"/>
      <c r="AI283" s="1927"/>
      <c r="AK283" s="2207"/>
      <c r="AL283" s="2207"/>
      <c r="AM283" s="2207"/>
      <c r="AN283" s="2207"/>
      <c r="AO283" s="2207"/>
      <c r="AP283" s="2208"/>
      <c r="AQ283" s="2207"/>
      <c r="AR283" s="2207"/>
      <c r="AS283" s="2207"/>
      <c r="AT283" s="2208"/>
      <c r="AU283" s="2207"/>
      <c r="AV283" s="2207"/>
      <c r="AW283" s="2207"/>
      <c r="AX283" s="2208"/>
      <c r="AY283" s="2207"/>
      <c r="AZ283" s="2207"/>
      <c r="BA283" s="2207"/>
      <c r="BB283" s="2208"/>
      <c r="BC283" s="2207"/>
      <c r="BD283" s="2207"/>
      <c r="BE283" s="2207"/>
      <c r="BF283" s="2208"/>
      <c r="BG283" s="2207"/>
      <c r="BH283" s="2207"/>
      <c r="BI283" s="2207"/>
      <c r="BJ283" s="2208"/>
      <c r="BK283" s="2207"/>
      <c r="BL283" s="2207"/>
      <c r="BM283" s="2207"/>
      <c r="BN283" s="2208"/>
      <c r="BO283" s="2207"/>
      <c r="BP283" s="2207"/>
      <c r="BQ283" s="2207"/>
      <c r="BR283" s="2208"/>
      <c r="BS283" s="2207"/>
      <c r="BT283" s="2207"/>
      <c r="BU283" s="2207"/>
      <c r="BV283" s="2208"/>
      <c r="BW283" s="2207"/>
      <c r="BX283" s="2207"/>
      <c r="BY283" s="2207"/>
      <c r="BZ283" s="2208"/>
      <c r="CA283" s="2207"/>
      <c r="CB283" s="2207"/>
      <c r="CC283" s="2207"/>
      <c r="CD283" s="2208"/>
      <c r="CE283" s="2207"/>
      <c r="CF283" s="2207"/>
      <c r="CG283" s="2207"/>
      <c r="CH283" s="2208"/>
      <c r="CI283" s="2207"/>
      <c r="CJ283" s="2207"/>
      <c r="CK283" s="2207"/>
      <c r="CL283" s="2208">
        <f t="shared" ref="CL283:DJ283" si="1152">+CL281/CL$298</f>
        <v>3.3811989459285402E-2</v>
      </c>
      <c r="CM283" s="2207">
        <f t="shared" si="1152"/>
        <v>3.254298797848789E-2</v>
      </c>
      <c r="CN283" s="2207">
        <f t="shared" si="1152"/>
        <v>3.0758868542040019E-2</v>
      </c>
      <c r="CO283" s="2207">
        <f t="shared" si="1152"/>
        <v>2.6737682433483664E-2</v>
      </c>
      <c r="CP283" s="2208">
        <f t="shared" si="1152"/>
        <v>2.7397132116004363E-2</v>
      </c>
      <c r="CQ283" s="2207">
        <f t="shared" si="1152"/>
        <v>2.5236801686493143E-2</v>
      </c>
      <c r="CR283" s="2207">
        <f t="shared" si="1152"/>
        <v>2.2598898286222972E-2</v>
      </c>
      <c r="CS283" s="2207">
        <f t="shared" si="1152"/>
        <v>1.8759575963886586E-2</v>
      </c>
      <c r="CT283" s="2208">
        <f t="shared" si="1152"/>
        <v>1.8627784115840113E-2</v>
      </c>
      <c r="CU283" s="2207">
        <f t="shared" si="1152"/>
        <v>1.9510751123475324E-2</v>
      </c>
      <c r="CV283" s="2207">
        <f t="shared" si="1152"/>
        <v>1.9953434571329389E-2</v>
      </c>
      <c r="CW283" s="2207">
        <f t="shared" si="1152"/>
        <v>2.0300412031314434E-2</v>
      </c>
      <c r="CX283" s="2208">
        <f t="shared" si="1152"/>
        <v>2.0619372228939899E-2</v>
      </c>
      <c r="CY283" s="2207">
        <f t="shared" si="1152"/>
        <v>2.2602744911359111E-2</v>
      </c>
      <c r="CZ283" s="2207">
        <f t="shared" si="1152"/>
        <v>2.5215355901660373E-2</v>
      </c>
      <c r="DA283" s="2207">
        <f t="shared" si="1152"/>
        <v>2.561569745343973E-2</v>
      </c>
      <c r="DB283" s="2208">
        <f t="shared" si="1152"/>
        <v>2.4160430453336608E-2</v>
      </c>
      <c r="DC283" s="2207">
        <f t="shared" si="1152"/>
        <v>2.6315080379978064E-2</v>
      </c>
      <c r="DD283" s="2207">
        <f t="shared" si="1152"/>
        <v>2.6207242489270203E-2</v>
      </c>
      <c r="DE283" s="2207">
        <f t="shared" si="1152"/>
        <v>2.6344089998231898E-2</v>
      </c>
      <c r="DF283" s="2208">
        <f t="shared" si="1152"/>
        <v>2.5870420967180809E-2</v>
      </c>
      <c r="DG283" s="2207">
        <f t="shared" si="1152"/>
        <v>2.6444356490051064E-2</v>
      </c>
      <c r="DH283" s="2207">
        <f t="shared" si="1152"/>
        <v>2.7090734791524119E-2</v>
      </c>
      <c r="DI283" s="2209">
        <f t="shared" si="1152"/>
        <v>2.7828399862156159E-2</v>
      </c>
      <c r="DJ283" s="2208">
        <f t="shared" si="1152"/>
        <v>2.8184931458904678E-2</v>
      </c>
      <c r="DK283" s="2207">
        <f t="shared" ref="DK283:DM283" si="1153">+DK281/DK$298</f>
        <v>3.1222944792528757E-2</v>
      </c>
      <c r="DL283" s="2207">
        <f t="shared" si="1153"/>
        <v>3.2350324478516608E-2</v>
      </c>
      <c r="DM283" s="2209">
        <f t="shared" si="1153"/>
        <v>3.2767787993180697E-2</v>
      </c>
      <c r="DN283" s="2207">
        <f t="shared" ref="DN283:DO283" si="1154">+DN281/DN$298</f>
        <v>2.8674238683127583E-2</v>
      </c>
      <c r="DO283" s="2207">
        <f t="shared" si="1154"/>
        <v>2.7565391671884702E-2</v>
      </c>
      <c r="DP283" s="2207">
        <f t="shared" ref="DP283:DQ283" si="1155">+DP281/DP$298</f>
        <v>2.7686955947967051E-2</v>
      </c>
      <c r="DQ283" s="2209">
        <f t="shared" si="1155"/>
        <v>3.0592943820224826E-2</v>
      </c>
      <c r="DR283" s="2208">
        <f t="shared" ref="DR283" si="1156">+DR281/DR$298</f>
        <v>3.2276964083427853E-2</v>
      </c>
      <c r="DS283" s="2207">
        <f t="shared" ref="DS283:DT283" si="1157">+DS281/DS$298</f>
        <v>3.806744730994556E-2</v>
      </c>
      <c r="DT283" s="2207">
        <f t="shared" si="1157"/>
        <v>4.0791866622428681E-2</v>
      </c>
      <c r="DU283" s="2209">
        <f t="shared" ref="DU283" si="1158">+DU281/DU$298</f>
        <v>4.604417499503597E-2</v>
      </c>
      <c r="DV283" s="2207">
        <f t="shared" ref="DV283" si="1159">+DV281/DV$298</f>
        <v>4.4825684847242066E-2</v>
      </c>
      <c r="DW283" s="2207">
        <f t="shared" ref="DW283:DY283" ca="1" si="1160">+DW281/DW$298</f>
        <v>4.2437256431106102E-2</v>
      </c>
      <c r="DX283" s="2207">
        <f t="shared" ca="1" si="1160"/>
        <v>4.0920997202897921E-2</v>
      </c>
      <c r="DY283" s="2209">
        <f t="shared" ca="1" si="1160"/>
        <v>3.9913156338164162E-2</v>
      </c>
    </row>
    <row r="284" spans="1:129" s="2819" customFormat="1" ht="15" customHeight="1">
      <c r="A284" s="2808" t="s">
        <v>106</v>
      </c>
      <c r="B284" s="2809"/>
      <c r="C284" s="2809"/>
      <c r="D284" s="2809"/>
      <c r="E284" s="2809"/>
      <c r="F284" s="2809"/>
      <c r="G284" s="2809"/>
      <c r="H284" s="2809"/>
      <c r="I284" s="2809"/>
      <c r="J284" s="2809"/>
      <c r="K284" s="2809"/>
      <c r="L284" s="2809"/>
      <c r="M284" s="2809"/>
      <c r="N284" s="2809"/>
      <c r="O284" s="2809"/>
      <c r="P284" s="2810"/>
      <c r="Q284" s="2809">
        <f t="shared" ref="Q284:Z284" si="1161">+Q281/12/(AVERAGE(P286:Q286))*1000</f>
        <v>27.522501665264315</v>
      </c>
      <c r="R284" s="2809">
        <f t="shared" si="1161"/>
        <v>22.264923789173817</v>
      </c>
      <c r="S284" s="2809">
        <f t="shared" si="1161"/>
        <v>20.142855990574567</v>
      </c>
      <c r="T284" s="2809">
        <f t="shared" si="1161"/>
        <v>23.006602765855934</v>
      </c>
      <c r="U284" s="2809">
        <f t="shared" si="1161"/>
        <v>24.253413992224921</v>
      </c>
      <c r="V284" s="2809">
        <f t="shared" si="1161"/>
        <v>25.500951432794178</v>
      </c>
      <c r="W284" s="2809">
        <f t="shared" si="1161"/>
        <v>29.79765938069221</v>
      </c>
      <c r="X284" s="2809">
        <f t="shared" si="1161"/>
        <v>27.465378540551985</v>
      </c>
      <c r="Y284" s="2809">
        <f t="shared" si="1161"/>
        <v>36.253992780337974</v>
      </c>
      <c r="Z284" s="2809">
        <f t="shared" ca="1" si="1161"/>
        <v>41.205125083028996</v>
      </c>
      <c r="AA284" s="2809">
        <f ca="1">Z284*(1+AA285)</f>
        <v>41.205125083028996</v>
      </c>
      <c r="AB284" s="2809">
        <f ca="1">AA284*(1+AB285)</f>
        <v>41.205125083028996</v>
      </c>
      <c r="AC284" s="2809">
        <f t="shared" ref="AC284:AG284" ca="1" si="1162">AB284*(1+AC285)</f>
        <v>41.205125083028996</v>
      </c>
      <c r="AD284" s="2809">
        <f t="shared" ca="1" si="1162"/>
        <v>41.205125083028996</v>
      </c>
      <c r="AE284" s="2809">
        <f t="shared" ca="1" si="1162"/>
        <v>41.205125083028996</v>
      </c>
      <c r="AF284" s="2809">
        <f t="shared" ca="1" si="1162"/>
        <v>41.205125083028996</v>
      </c>
      <c r="AG284" s="2809">
        <f t="shared" ca="1" si="1162"/>
        <v>41.205125083028996</v>
      </c>
      <c r="AH284" s="2604"/>
      <c r="AI284" s="1928">
        <f ca="1">(AA284/V284)^(1/5)-1</f>
        <v>0.10072535514631942</v>
      </c>
      <c r="AJ284" s="2605"/>
      <c r="AK284" s="2809"/>
      <c r="AL284" s="2809"/>
      <c r="AM284" s="2809"/>
      <c r="AN284" s="2809"/>
      <c r="AO284" s="2809"/>
      <c r="AP284" s="2811"/>
      <c r="AQ284" s="2809"/>
      <c r="AR284" s="2809"/>
      <c r="AS284" s="2809"/>
      <c r="AT284" s="2811"/>
      <c r="AU284" s="2809"/>
      <c r="AV284" s="2809"/>
      <c r="AW284" s="2809"/>
      <c r="AX284" s="2811"/>
      <c r="AY284" s="2809"/>
      <c r="AZ284" s="2809"/>
      <c r="BA284" s="2809"/>
      <c r="BB284" s="2811"/>
      <c r="BC284" s="2809"/>
      <c r="BD284" s="2809"/>
      <c r="BE284" s="2809"/>
      <c r="BF284" s="2811"/>
      <c r="BG284" s="2809"/>
      <c r="BH284" s="2809"/>
      <c r="BI284" s="2809"/>
      <c r="BJ284" s="2811"/>
      <c r="BK284" s="2809"/>
      <c r="BL284" s="2809"/>
      <c r="BM284" s="2809"/>
      <c r="BN284" s="2811"/>
      <c r="BO284" s="2809"/>
      <c r="BP284" s="2809"/>
      <c r="BQ284" s="2809"/>
      <c r="BR284" s="2811"/>
      <c r="BS284" s="2809"/>
      <c r="BT284" s="2809"/>
      <c r="BU284" s="2809"/>
      <c r="BV284" s="2811"/>
      <c r="BW284" s="2809"/>
      <c r="BX284" s="2809"/>
      <c r="BY284" s="2809"/>
      <c r="BZ284" s="2811"/>
      <c r="CA284" s="2809"/>
      <c r="CB284" s="2809"/>
      <c r="CC284" s="2809"/>
      <c r="CD284" s="2811"/>
      <c r="CE284" s="2809"/>
      <c r="CF284" s="2809"/>
      <c r="CG284" s="2809"/>
      <c r="CH284" s="2814"/>
      <c r="CI284" s="2810"/>
      <c r="CJ284" s="2810"/>
      <c r="CK284" s="2810"/>
      <c r="CL284" s="2811">
        <f t="shared" ref="CL284:DR284" si="1163">+CL281/3/(AVERAGE(CK286:CL286))*1000</f>
        <v>29.853325163398626</v>
      </c>
      <c r="CM284" s="2809">
        <f t="shared" si="1163"/>
        <v>28.27122470713531</v>
      </c>
      <c r="CN284" s="2809">
        <f t="shared" si="1163"/>
        <v>26.923713252847666</v>
      </c>
      <c r="CO284" s="2809">
        <f t="shared" si="1163"/>
        <v>23.268418130733494</v>
      </c>
      <c r="CP284" s="2811">
        <f t="shared" si="1163"/>
        <v>24.409188283946879</v>
      </c>
      <c r="CQ284" s="2809">
        <f t="shared" si="1163"/>
        <v>23.757544829541565</v>
      </c>
      <c r="CR284" s="2809">
        <f t="shared" si="1163"/>
        <v>22.364944933920661</v>
      </c>
      <c r="CS284" s="2809">
        <f t="shared" si="1163"/>
        <v>19.016402235474995</v>
      </c>
      <c r="CT284" s="2811">
        <f t="shared" si="1163"/>
        <v>19.312052769248094</v>
      </c>
      <c r="CU284" s="2809">
        <f t="shared" si="1163"/>
        <v>20.65558223833262</v>
      </c>
      <c r="CV284" s="2809">
        <f t="shared" si="1163"/>
        <v>21.343226034009049</v>
      </c>
      <c r="CW284" s="2809">
        <f t="shared" si="1163"/>
        <v>21.150075123417096</v>
      </c>
      <c r="CX284" s="2811">
        <f t="shared" si="1163"/>
        <v>20.858985728848069</v>
      </c>
      <c r="CY284" s="2809">
        <f t="shared" si="1163"/>
        <v>22.192554233955402</v>
      </c>
      <c r="CZ284" s="2809">
        <f t="shared" si="1163"/>
        <v>24.049117638032033</v>
      </c>
      <c r="DA284" s="2809">
        <f t="shared" si="1163"/>
        <v>23.973285904846577</v>
      </c>
      <c r="DB284" s="2811">
        <f t="shared" si="1163"/>
        <v>22.757194454153538</v>
      </c>
      <c r="DC284" s="2809">
        <f t="shared" si="1163"/>
        <v>24.842416142105705</v>
      </c>
      <c r="DD284" s="2809">
        <f t="shared" si="1163"/>
        <v>24.801303096970546</v>
      </c>
      <c r="DE284" s="2809">
        <f t="shared" si="1163"/>
        <v>24.807424519924552</v>
      </c>
      <c r="DF284" s="2811">
        <f t="shared" si="1163"/>
        <v>24.573765146508055</v>
      </c>
      <c r="DG284" s="2809">
        <f t="shared" si="1163"/>
        <v>25.186350163898457</v>
      </c>
      <c r="DH284" s="2809">
        <f t="shared" si="1163"/>
        <v>26.210627428287864</v>
      </c>
      <c r="DI284" s="2818">
        <f t="shared" si="1163"/>
        <v>26.509110655177182</v>
      </c>
      <c r="DJ284" s="2811">
        <f t="shared" si="1163"/>
        <v>26.671871049653774</v>
      </c>
      <c r="DK284" s="2809">
        <f t="shared" si="1163"/>
        <v>29.939907045287164</v>
      </c>
      <c r="DL284" s="2809">
        <f t="shared" si="1163"/>
        <v>31.409549939414866</v>
      </c>
      <c r="DM284" s="2818">
        <f t="shared" si="1163"/>
        <v>31.703228181791395</v>
      </c>
      <c r="DN284" s="2809">
        <f t="shared" si="1163"/>
        <v>27.917042433072314</v>
      </c>
      <c r="DO284" s="2809">
        <f t="shared" si="1163"/>
        <v>27.234552400395859</v>
      </c>
      <c r="DP284" s="2809">
        <f t="shared" si="1163"/>
        <v>27.121116035703274</v>
      </c>
      <c r="DQ284" s="2818">
        <f t="shared" si="1163"/>
        <v>29.134800819346459</v>
      </c>
      <c r="DR284" s="2811">
        <f t="shared" si="1163"/>
        <v>29.688357696668923</v>
      </c>
      <c r="DS284" s="2809">
        <f>+DS281/3/(AVERAGE(DR286:DS286))*1000</f>
        <v>34.647279524422466</v>
      </c>
      <c r="DT284" s="2809">
        <f>+DT281/3/(AVERAGE(DS286:DT286))*1000</f>
        <v>37.135038661350741</v>
      </c>
      <c r="DU284" s="3288">
        <f>+DU281/3/(AVERAGE(DT286:DU286))*1000</f>
        <v>42.197036363084855</v>
      </c>
      <c r="DV284" s="3320">
        <f>+DV281/3/(AVERAGE(DU286:DV286))*1000</f>
        <v>41.756253461942421</v>
      </c>
      <c r="DW284" s="2809">
        <f t="shared" ref="DW284" si="1164">DS284*(1+DW285)</f>
        <v>41.749971826929077</v>
      </c>
      <c r="DX284" s="2809">
        <f t="shared" ref="DX284" si="1165">DT284*(1+DX285)</f>
        <v>41.776918494019583</v>
      </c>
      <c r="DY284" s="2818">
        <f t="shared" ref="DY284" si="1166">DU284*(1+DY285)</f>
        <v>41.775065999454007</v>
      </c>
    </row>
    <row r="285" spans="1:129" s="1491" customFormat="1" ht="15" customHeight="1">
      <c r="A285" s="1879" t="s">
        <v>1453</v>
      </c>
      <c r="B285" s="1865"/>
      <c r="C285" s="1865"/>
      <c r="D285" s="1865"/>
      <c r="E285" s="1865"/>
      <c r="F285" s="1865"/>
      <c r="G285" s="1865"/>
      <c r="H285" s="1865"/>
      <c r="I285" s="1865"/>
      <c r="J285" s="1865"/>
      <c r="K285" s="1865"/>
      <c r="L285" s="1865"/>
      <c r="M285" s="1865"/>
      <c r="N285" s="1865"/>
      <c r="O285" s="1865"/>
      <c r="P285" s="1866"/>
      <c r="Q285" s="1866"/>
      <c r="R285" s="1865">
        <f t="shared" ref="R285:Z285" si="1167">R284/Q284-1</f>
        <v>-0.19102834255528445</v>
      </c>
      <c r="S285" s="1865">
        <f t="shared" si="1167"/>
        <v>-9.5309906231571873E-2</v>
      </c>
      <c r="T285" s="1865">
        <f t="shared" si="1167"/>
        <v>0.14217183385620191</v>
      </c>
      <c r="U285" s="1865">
        <f t="shared" si="1167"/>
        <v>5.4193626023715913E-2</v>
      </c>
      <c r="V285" s="1865">
        <f t="shared" si="1167"/>
        <v>5.1437601360748264E-2</v>
      </c>
      <c r="W285" s="1865">
        <f t="shared" si="1167"/>
        <v>0.16849206427539309</v>
      </c>
      <c r="X285" s="1865">
        <f t="shared" si="1167"/>
        <v>-7.8270605430554641E-2</v>
      </c>
      <c r="Y285" s="1865">
        <f t="shared" si="1167"/>
        <v>0.31998882618019664</v>
      </c>
      <c r="Z285" s="1865">
        <f t="shared" ca="1" si="1167"/>
        <v>0.13656791771019017</v>
      </c>
      <c r="AA285" s="1866">
        <v>0</v>
      </c>
      <c r="AB285" s="1866">
        <v>0</v>
      </c>
      <c r="AC285" s="1866">
        <v>0</v>
      </c>
      <c r="AD285" s="1866">
        <v>0</v>
      </c>
      <c r="AE285" s="1866">
        <v>0</v>
      </c>
      <c r="AF285" s="1866">
        <v>0</v>
      </c>
      <c r="AG285" s="1866">
        <v>0</v>
      </c>
      <c r="AH285" s="2201"/>
      <c r="AI285" s="1927"/>
      <c r="AJ285" s="1561"/>
      <c r="AK285" s="1865"/>
      <c r="AL285" s="1865"/>
      <c r="AM285" s="1865"/>
      <c r="AN285" s="1865"/>
      <c r="AO285" s="1865"/>
      <c r="AP285" s="1868"/>
      <c r="AQ285" s="1865"/>
      <c r="AR285" s="1865"/>
      <c r="AS285" s="1865"/>
      <c r="AT285" s="1868"/>
      <c r="AU285" s="1865"/>
      <c r="AV285" s="1865"/>
      <c r="AW285" s="1865"/>
      <c r="AX285" s="1868"/>
      <c r="AY285" s="1865"/>
      <c r="AZ285" s="1865"/>
      <c r="BA285" s="1865"/>
      <c r="BB285" s="1868"/>
      <c r="BC285" s="1865"/>
      <c r="BD285" s="1865"/>
      <c r="BE285" s="1865"/>
      <c r="BF285" s="1868"/>
      <c r="BG285" s="1865"/>
      <c r="BH285" s="1865"/>
      <c r="BI285" s="1865"/>
      <c r="BJ285" s="1868"/>
      <c r="BK285" s="1865"/>
      <c r="BL285" s="1865"/>
      <c r="BM285" s="1865"/>
      <c r="BN285" s="1868"/>
      <c r="BO285" s="1865"/>
      <c r="BP285" s="1865"/>
      <c r="BQ285" s="1865"/>
      <c r="BR285" s="1868"/>
      <c r="BS285" s="1865"/>
      <c r="BT285" s="1865"/>
      <c r="BU285" s="1865"/>
      <c r="BV285" s="1868"/>
      <c r="BW285" s="1865"/>
      <c r="BX285" s="1865"/>
      <c r="BY285" s="1865"/>
      <c r="BZ285" s="1868"/>
      <c r="CA285" s="1865"/>
      <c r="CB285" s="1865"/>
      <c r="CC285" s="1865"/>
      <c r="CD285" s="1868"/>
      <c r="CE285" s="1865"/>
      <c r="CF285" s="1865"/>
      <c r="CG285" s="1865"/>
      <c r="CH285" s="1869"/>
      <c r="CI285" s="1866"/>
      <c r="CJ285" s="1866"/>
      <c r="CK285" s="1866"/>
      <c r="CL285" s="1869"/>
      <c r="CM285" s="1866"/>
      <c r="CN285" s="1866"/>
      <c r="CO285" s="1866"/>
      <c r="CP285" s="1868">
        <f t="shared" ref="CP285:DV285" si="1168">CP284/CL284-1</f>
        <v>-0.18236283059437808</v>
      </c>
      <c r="CQ285" s="1865">
        <f t="shared" si="1168"/>
        <v>-0.15965632633009164</v>
      </c>
      <c r="CR285" s="1865">
        <f t="shared" si="1168"/>
        <v>-0.16932167848150859</v>
      </c>
      <c r="CS285" s="1865">
        <f t="shared" si="1168"/>
        <v>-0.18273764341729493</v>
      </c>
      <c r="CT285" s="1868">
        <f t="shared" si="1168"/>
        <v>-0.20882036122647318</v>
      </c>
      <c r="CU285" s="1865">
        <f t="shared" si="1168"/>
        <v>-0.13056747292135074</v>
      </c>
      <c r="CV285" s="1865">
        <f t="shared" si="1168"/>
        <v>-4.5683944357134632E-2</v>
      </c>
      <c r="CW285" s="1865">
        <f t="shared" si="1168"/>
        <v>0.1122017120547516</v>
      </c>
      <c r="CX285" s="1868">
        <f t="shared" si="1168"/>
        <v>8.0101943490091365E-2</v>
      </c>
      <c r="CY285" s="1865">
        <f t="shared" si="1168"/>
        <v>7.4409521740349094E-2</v>
      </c>
      <c r="CZ285" s="1865">
        <f t="shared" si="1168"/>
        <v>0.12677987852967121</v>
      </c>
      <c r="DA285" s="1865">
        <f t="shared" si="1168"/>
        <v>0.13348466920118196</v>
      </c>
      <c r="DB285" s="1868">
        <f t="shared" si="1168"/>
        <v>9.1001966729390871E-2</v>
      </c>
      <c r="DC285" s="1865">
        <f t="shared" si="1168"/>
        <v>0.11940319623488493</v>
      </c>
      <c r="DD285" s="1865">
        <f t="shared" si="1168"/>
        <v>3.1277050171228948E-2</v>
      </c>
      <c r="DE285" s="1865">
        <f t="shared" si="1168"/>
        <v>3.4794504949750893E-2</v>
      </c>
      <c r="DF285" s="1868">
        <f t="shared" si="1168"/>
        <v>7.9824017675560466E-2</v>
      </c>
      <c r="DG285" s="1865">
        <f t="shared" si="1168"/>
        <v>1.3844628470328857E-2</v>
      </c>
      <c r="DH285" s="1865">
        <f t="shared" si="1168"/>
        <v>5.6824608199295135E-2</v>
      </c>
      <c r="DI285" s="1880">
        <f t="shared" si="1168"/>
        <v>6.8595840486620707E-2</v>
      </c>
      <c r="DJ285" s="1868">
        <f t="shared" si="1168"/>
        <v>8.537991189534333E-2</v>
      </c>
      <c r="DK285" s="1865">
        <f t="shared" si="1168"/>
        <v>0.18873544004809184</v>
      </c>
      <c r="DL285" s="1865">
        <f t="shared" si="1168"/>
        <v>0.19835170010146563</v>
      </c>
      <c r="DM285" s="1880">
        <f t="shared" si="1168"/>
        <v>0.19593707213258815</v>
      </c>
      <c r="DN285" s="1865">
        <f t="shared" si="1168"/>
        <v>4.6684815665930079E-2</v>
      </c>
      <c r="DO285" s="1865">
        <f t="shared" si="1168"/>
        <v>-9.0359487115279968E-2</v>
      </c>
      <c r="DP285" s="1865">
        <f t="shared" si="1168"/>
        <v>-0.13653280330292694</v>
      </c>
      <c r="DQ285" s="1880">
        <f t="shared" si="1168"/>
        <v>-8.1014695024656858E-2</v>
      </c>
      <c r="DR285" s="1868">
        <f t="shared" si="1168"/>
        <v>6.3449244949321582E-2</v>
      </c>
      <c r="DS285" s="1865">
        <f t="shared" si="1168"/>
        <v>0.2721809785983067</v>
      </c>
      <c r="DT285" s="1865">
        <f t="shared" si="1168"/>
        <v>0.3692297401207516</v>
      </c>
      <c r="DU285" s="1880">
        <f t="shared" si="1168"/>
        <v>0.44833790437532861</v>
      </c>
      <c r="DV285" s="1865">
        <f t="shared" si="1168"/>
        <v>0.40648579785292505</v>
      </c>
      <c r="DW285" s="1866">
        <v>0.20499999999999999</v>
      </c>
      <c r="DX285" s="1866">
        <v>0.125</v>
      </c>
      <c r="DY285" s="1867">
        <v>-0.01</v>
      </c>
    </row>
    <row r="286" spans="1:129" s="2205" customFormat="1" ht="15" customHeight="1">
      <c r="A286" s="2820" t="s">
        <v>1623</v>
      </c>
      <c r="D286" s="1992"/>
      <c r="E286" s="1992"/>
      <c r="F286" s="1992"/>
      <c r="G286" s="2510"/>
      <c r="H286" s="1992"/>
      <c r="I286" s="1992"/>
      <c r="J286" s="1992"/>
      <c r="K286" s="1992"/>
      <c r="L286" s="1992"/>
      <c r="M286" s="1992"/>
      <c r="N286" s="1992">
        <f>+N211+N233</f>
        <v>3878.4739999999993</v>
      </c>
      <c r="O286" s="1992">
        <f>+O211+O233</f>
        <v>4710.9329999999991</v>
      </c>
      <c r="P286" s="1992">
        <f>+CK286</f>
        <v>4558</v>
      </c>
      <c r="Q286" s="1992">
        <f>+CO286</f>
        <v>4950</v>
      </c>
      <c r="R286" s="1992">
        <f>+CS286</f>
        <v>4410</v>
      </c>
      <c r="S286" s="1992">
        <f>+CW286</f>
        <v>4785</v>
      </c>
      <c r="T286" s="1992">
        <f>+DA286</f>
        <v>5700</v>
      </c>
      <c r="U286" s="1992">
        <f>+DE286</f>
        <v>6047</v>
      </c>
      <c r="V286" s="1992">
        <f>+DI286</f>
        <v>6132</v>
      </c>
      <c r="W286" s="1992">
        <f>+DM286</f>
        <v>5580</v>
      </c>
      <c r="X286" s="1992">
        <f>+DQ286</f>
        <v>5447</v>
      </c>
      <c r="Y286" s="1992">
        <f>+DU286</f>
        <v>5403</v>
      </c>
      <c r="Z286" s="1992">
        <f ca="1">+DY286</f>
        <v>4627.5923579691835</v>
      </c>
      <c r="AA286" s="1992">
        <f ca="1">+Z286+AA287+AA288</f>
        <v>4218.8923425792455</v>
      </c>
      <c r="AB286" s="1992">
        <f ca="1">+AA286+AB287+AB288</f>
        <v>3984.7429853775589</v>
      </c>
      <c r="AC286" s="1992">
        <f t="shared" ref="AC286:AG286" ca="1" si="1169">+AB286+AC287+AC288</f>
        <v>3834.095618059107</v>
      </c>
      <c r="AD286" s="1992">
        <f t="shared" ca="1" si="1169"/>
        <v>3723.8007820884413</v>
      </c>
      <c r="AE286" s="1992">
        <f t="shared" ca="1" si="1169"/>
        <v>3633.4010356072654</v>
      </c>
      <c r="AF286" s="1992">
        <f t="shared" ca="1" si="1169"/>
        <v>3553.1893329830123</v>
      </c>
      <c r="AG286" s="1992">
        <f t="shared" ca="1" si="1169"/>
        <v>3478.5518149305653</v>
      </c>
      <c r="AH286" s="2220"/>
      <c r="AI286" s="1928">
        <f ca="1">(AA286/V286)^(1/5)-1</f>
        <v>-7.2061360021997478E-2</v>
      </c>
      <c r="AJ286" s="2221"/>
      <c r="AK286" s="1992"/>
      <c r="AL286" s="1992"/>
      <c r="AN286" s="1992"/>
      <c r="AO286" s="1992"/>
      <c r="AP286" s="1993"/>
      <c r="AQ286" s="1992"/>
      <c r="AR286" s="1992"/>
      <c r="AS286" s="1992"/>
      <c r="AT286" s="1993"/>
      <c r="AU286" s="1992"/>
      <c r="AV286" s="1992"/>
      <c r="AW286" s="1992"/>
      <c r="AX286" s="1993"/>
      <c r="AY286" s="1992"/>
      <c r="AZ286" s="1992"/>
      <c r="BA286" s="1992"/>
      <c r="BB286" s="1993"/>
      <c r="BC286" s="1992"/>
      <c r="BD286" s="1992"/>
      <c r="BE286" s="1992"/>
      <c r="BF286" s="1993"/>
      <c r="BG286" s="1992"/>
      <c r="BH286" s="1992"/>
      <c r="BI286" s="1992"/>
      <c r="BJ286" s="1993"/>
      <c r="BK286" s="1992"/>
      <c r="BL286" s="1992"/>
      <c r="BM286" s="1992"/>
      <c r="BN286" s="2834"/>
      <c r="BQ286" s="2835"/>
      <c r="BR286" s="2834"/>
      <c r="BS286" s="2835"/>
      <c r="BU286" s="2835"/>
      <c r="BV286" s="2834"/>
      <c r="BZ286" s="1993">
        <f t="shared" ref="BZ286:CG286" si="1170">+BZ211+BZ233</f>
        <v>2880.9439999999995</v>
      </c>
      <c r="CA286" s="1992">
        <f t="shared" si="1170"/>
        <v>3186.0389999999998</v>
      </c>
      <c r="CB286" s="1992">
        <f t="shared" si="1170"/>
        <v>3265.1349999999993</v>
      </c>
      <c r="CC286" s="1992">
        <f t="shared" si="1170"/>
        <v>3878.4739999999993</v>
      </c>
      <c r="CD286" s="1993">
        <f t="shared" si="1170"/>
        <v>4192.2239999999993</v>
      </c>
      <c r="CE286" s="1992">
        <f t="shared" si="1170"/>
        <v>4276.8079999999991</v>
      </c>
      <c r="CF286" s="1992">
        <f t="shared" si="1170"/>
        <v>4340.0360000000001</v>
      </c>
      <c r="CG286" s="1992">
        <f t="shared" si="1170"/>
        <v>4710.9329999999991</v>
      </c>
      <c r="CH286" s="2247">
        <f>+CH117-CH254-1891</f>
        <v>4163</v>
      </c>
      <c r="CI286" s="2248">
        <f>+CI117-CI254-1891</f>
        <v>4290</v>
      </c>
      <c r="CJ286" s="2248">
        <f>+CJ117-CJ254-1891</f>
        <v>4396</v>
      </c>
      <c r="CK286" s="2248">
        <f>+CK117-CK254-1891</f>
        <v>4558</v>
      </c>
      <c r="CL286" s="1993">
        <f t="shared" ref="CL286:DJ286" si="1171">+CL117-CL254</f>
        <v>4826</v>
      </c>
      <c r="CM286" s="1992">
        <f t="shared" si="1171"/>
        <v>4877</v>
      </c>
      <c r="CN286" s="1992">
        <f t="shared" si="1171"/>
        <v>4897</v>
      </c>
      <c r="CO286" s="1992">
        <f t="shared" si="1171"/>
        <v>4950</v>
      </c>
      <c r="CP286" s="1993">
        <f t="shared" si="1171"/>
        <v>4803</v>
      </c>
      <c r="CQ286" s="1992">
        <f t="shared" si="1171"/>
        <v>4603</v>
      </c>
      <c r="CR286" s="1992">
        <f t="shared" si="1171"/>
        <v>4477</v>
      </c>
      <c r="CS286" s="1992">
        <f t="shared" si="1171"/>
        <v>4410</v>
      </c>
      <c r="CT286" s="1993">
        <f t="shared" si="1171"/>
        <v>4383</v>
      </c>
      <c r="CU286" s="1992">
        <f t="shared" si="1171"/>
        <v>4445</v>
      </c>
      <c r="CV286" s="1992">
        <f t="shared" si="1171"/>
        <v>4533</v>
      </c>
      <c r="CW286" s="1992">
        <f t="shared" si="1171"/>
        <v>4785</v>
      </c>
      <c r="CX286" s="1993">
        <f t="shared" si="1171"/>
        <v>5025</v>
      </c>
      <c r="CY286" s="1992">
        <f t="shared" si="1171"/>
        <v>5316</v>
      </c>
      <c r="CZ286" s="1992">
        <f t="shared" si="1171"/>
        <v>5545</v>
      </c>
      <c r="DA286" s="1992">
        <f t="shared" si="1171"/>
        <v>5700</v>
      </c>
      <c r="DB286" s="1993">
        <f t="shared" si="1171"/>
        <v>5744</v>
      </c>
      <c r="DC286" s="1992">
        <f t="shared" si="1171"/>
        <v>5853</v>
      </c>
      <c r="DD286" s="1992">
        <f t="shared" si="1171"/>
        <v>5965</v>
      </c>
      <c r="DE286" s="1992">
        <f t="shared" si="1171"/>
        <v>6047</v>
      </c>
      <c r="DF286" s="1993">
        <f t="shared" si="1171"/>
        <v>6057</v>
      </c>
      <c r="DG286" s="1992">
        <f t="shared" si="1171"/>
        <v>6044</v>
      </c>
      <c r="DH286" s="1992">
        <f t="shared" si="1171"/>
        <v>6053</v>
      </c>
      <c r="DI286" s="1998">
        <f t="shared" si="1171"/>
        <v>6132</v>
      </c>
      <c r="DJ286" s="1993">
        <f t="shared" si="1171"/>
        <v>5945</v>
      </c>
      <c r="DK286" s="1992">
        <f t="shared" ref="DK286:DP286" si="1172">+DK117-DK254</f>
        <v>5817</v>
      </c>
      <c r="DL286" s="1992">
        <f t="shared" si="1172"/>
        <v>5737</v>
      </c>
      <c r="DM286" s="1998">
        <f t="shared" si="1172"/>
        <v>5580</v>
      </c>
      <c r="DN286" s="1992">
        <f t="shared" si="1172"/>
        <v>5402</v>
      </c>
      <c r="DO286" s="1992">
        <f t="shared" si="1172"/>
        <v>5374</v>
      </c>
      <c r="DP286" s="1992">
        <f t="shared" si="1172"/>
        <v>5456</v>
      </c>
      <c r="DQ286" s="1998">
        <f t="shared" ref="DQ286" si="1173">+DQ117-DQ254</f>
        <v>5447</v>
      </c>
      <c r="DR286" s="1993">
        <f t="shared" ref="DR286" si="1174">+DR117-DR254</f>
        <v>5430</v>
      </c>
      <c r="DS286" s="1992">
        <f t="shared" ref="DS286:DT286" si="1175">+DS117-DS254</f>
        <v>5448</v>
      </c>
      <c r="DT286" s="1992">
        <f t="shared" si="1175"/>
        <v>5588</v>
      </c>
      <c r="DU286" s="1998">
        <f t="shared" ref="DU286" si="1176">+DU117-DU254</f>
        <v>5403</v>
      </c>
      <c r="DV286" s="1992">
        <f t="shared" ref="DV286" si="1177">+DV117-DV254</f>
        <v>5068</v>
      </c>
      <c r="DW286" s="1992">
        <f t="shared" ref="DW286" ca="1" si="1178">+DV286+DW287</f>
        <v>4865.8082234052035</v>
      </c>
      <c r="DX286" s="1992">
        <f t="shared" ref="DX286" ca="1" si="1179">+DW286+DX287</f>
        <v>4843.5098260155264</v>
      </c>
      <c r="DY286" s="1998">
        <f t="shared" ref="DY286" ca="1" si="1180">+DX286+DY287</f>
        <v>4627.5923579691835</v>
      </c>
    </row>
    <row r="287" spans="1:129" s="2205" customFormat="1" ht="15" customHeight="1">
      <c r="A287" s="2833" t="s">
        <v>844</v>
      </c>
      <c r="D287" s="1992"/>
      <c r="E287" s="1992"/>
      <c r="F287" s="1992"/>
      <c r="G287" s="2510"/>
      <c r="H287" s="1992"/>
      <c r="I287" s="1992"/>
      <c r="J287" s="1992"/>
      <c r="K287" s="1992"/>
      <c r="L287" s="1992"/>
      <c r="M287" s="1992"/>
      <c r="N287" s="1992">
        <f>+N212+N235</f>
        <v>1058.53</v>
      </c>
      <c r="O287" s="1992">
        <f>+O212+O235</f>
        <v>832.45900000000006</v>
      </c>
      <c r="P287" s="1992">
        <f>+SUM(CH287:CK287)</f>
        <v>-200.93299999999908</v>
      </c>
      <c r="Q287" s="1992">
        <f>+SUM(CL287:CO287)</f>
        <v>382</v>
      </c>
      <c r="R287" s="1992">
        <f>+SUM(CP287:CS287)</f>
        <v>-552</v>
      </c>
      <c r="S287" s="1992">
        <f>+SUM(CT287:CW287)</f>
        <v>372</v>
      </c>
      <c r="T287" s="1992">
        <f>+SUM(CX287:DA287)</f>
        <v>893</v>
      </c>
      <c r="U287" s="1992">
        <f>+SUM(DB287:DE287)</f>
        <v>354</v>
      </c>
      <c r="V287" s="1992">
        <f>+SUM(DF287:DI287)</f>
        <v>86</v>
      </c>
      <c r="W287" s="1992">
        <f>+SUM(DJ287:DM287)</f>
        <v>-551</v>
      </c>
      <c r="X287" s="1992">
        <f>+SUM(DN287:DQ287)</f>
        <v>-133</v>
      </c>
      <c r="Y287" s="1992">
        <f>+SUM(DR287:DU287)</f>
        <v>-43</v>
      </c>
      <c r="Z287" s="1992">
        <f ca="1">+SUM(DV287:DY287)</f>
        <v>-775.4076420308171</v>
      </c>
      <c r="AA287" s="1992">
        <f ca="1">+AA289-AA292</f>
        <v>-408.70001538993756</v>
      </c>
      <c r="AB287" s="1992">
        <f ca="1">+AB289-AB292</f>
        <v>-234.1493572016866</v>
      </c>
      <c r="AC287" s="1992">
        <f t="shared" ref="AC287:AG287" ca="1" si="1181">+AC289-AC292</f>
        <v>-150.64736731845187</v>
      </c>
      <c r="AD287" s="1992">
        <f t="shared" ca="1" si="1181"/>
        <v>-110.29483597066564</v>
      </c>
      <c r="AE287" s="1992">
        <f t="shared" ca="1" si="1181"/>
        <v>-90.399746481175953</v>
      </c>
      <c r="AF287" s="1992">
        <f t="shared" ca="1" si="1181"/>
        <v>-80.211702624253121</v>
      </c>
      <c r="AG287" s="1992">
        <f t="shared" ca="1" si="1181"/>
        <v>-74.637518052446922</v>
      </c>
      <c r="AH287" s="2220"/>
      <c r="AI287" s="1977"/>
      <c r="AJ287" s="2221"/>
      <c r="AK287" s="1992"/>
      <c r="AL287" s="1992"/>
      <c r="AN287" s="1992"/>
      <c r="AO287" s="1992"/>
      <c r="AP287" s="1993"/>
      <c r="AQ287" s="1992"/>
      <c r="AR287" s="1992"/>
      <c r="AS287" s="1992"/>
      <c r="AT287" s="1993"/>
      <c r="AU287" s="1992"/>
      <c r="AV287" s="1992"/>
      <c r="AW287" s="1992"/>
      <c r="AX287" s="1993"/>
      <c r="AY287" s="1992"/>
      <c r="AZ287" s="1992"/>
      <c r="BA287" s="1992"/>
      <c r="BB287" s="1993"/>
      <c r="BC287" s="1992"/>
      <c r="BD287" s="1992"/>
      <c r="BE287" s="1992"/>
      <c r="BF287" s="1993"/>
      <c r="BG287" s="1992"/>
      <c r="BH287" s="1992"/>
      <c r="BI287" s="1992"/>
      <c r="BJ287" s="1993"/>
      <c r="BK287" s="1992"/>
      <c r="BL287" s="1992"/>
      <c r="BM287" s="1992"/>
      <c r="BN287" s="2834"/>
      <c r="BQ287" s="2835"/>
      <c r="BR287" s="2834"/>
      <c r="BS287" s="2835"/>
      <c r="BU287" s="2835"/>
      <c r="BV287" s="2834"/>
      <c r="BZ287" s="1993">
        <f t="shared" ref="BZ287:CG287" si="1182">+BZ212+BZ235</f>
        <v>61</v>
      </c>
      <c r="CA287" s="1992">
        <f t="shared" si="1182"/>
        <v>305.09500000000003</v>
      </c>
      <c r="CB287" s="1992">
        <f t="shared" si="1182"/>
        <v>79.096000000000004</v>
      </c>
      <c r="CC287" s="1992">
        <f t="shared" si="1182"/>
        <v>613.33899999999994</v>
      </c>
      <c r="CD287" s="1993">
        <f t="shared" si="1182"/>
        <v>313.75</v>
      </c>
      <c r="CE287" s="1992">
        <f t="shared" si="1182"/>
        <v>84.584000000000003</v>
      </c>
      <c r="CF287" s="1992">
        <f t="shared" si="1182"/>
        <v>63.228000000000002</v>
      </c>
      <c r="CG287" s="1992">
        <f t="shared" si="1182"/>
        <v>370.89699999999999</v>
      </c>
      <c r="CH287" s="1993">
        <f>+CH286-CG286-CH288</f>
        <v>-547.93299999999908</v>
      </c>
      <c r="CI287" s="1992">
        <f>+CI286-CH286-CI288</f>
        <v>127</v>
      </c>
      <c r="CJ287" s="1992">
        <f>+CJ286-CI286-CJ288</f>
        <v>66</v>
      </c>
      <c r="CK287" s="1992">
        <f>+CK286-CJ286-CK288</f>
        <v>154</v>
      </c>
      <c r="CL287" s="1993">
        <f t="shared" ref="CL287:DJ287" si="1183">+CL120</f>
        <v>268</v>
      </c>
      <c r="CM287" s="1992">
        <f t="shared" si="1183"/>
        <v>48</v>
      </c>
      <c r="CN287" s="1992">
        <f t="shared" si="1183"/>
        <v>15</v>
      </c>
      <c r="CO287" s="1992">
        <f t="shared" si="1183"/>
        <v>51</v>
      </c>
      <c r="CP287" s="1993">
        <f t="shared" si="1183"/>
        <v>-146</v>
      </c>
      <c r="CQ287" s="1992">
        <f t="shared" si="1183"/>
        <v>-200</v>
      </c>
      <c r="CR287" s="1992">
        <f t="shared" si="1183"/>
        <v>-137</v>
      </c>
      <c r="CS287" s="1992">
        <f t="shared" si="1183"/>
        <v>-69</v>
      </c>
      <c r="CT287" s="1993">
        <f t="shared" si="1183"/>
        <v>-27</v>
      </c>
      <c r="CU287" s="1992">
        <f t="shared" si="1183"/>
        <v>61</v>
      </c>
      <c r="CV287" s="1992">
        <f t="shared" si="1183"/>
        <v>86</v>
      </c>
      <c r="CW287" s="1992">
        <f t="shared" si="1183"/>
        <v>252</v>
      </c>
      <c r="CX287" s="1993">
        <f t="shared" si="1183"/>
        <v>233</v>
      </c>
      <c r="CY287" s="1992">
        <f t="shared" si="1183"/>
        <v>290</v>
      </c>
      <c r="CZ287" s="1992">
        <f t="shared" si="1183"/>
        <v>228</v>
      </c>
      <c r="DA287" s="1992">
        <f t="shared" si="1183"/>
        <v>142</v>
      </c>
      <c r="DB287" s="1993">
        <f t="shared" si="1183"/>
        <v>43</v>
      </c>
      <c r="DC287" s="1992">
        <f t="shared" si="1183"/>
        <v>97</v>
      </c>
      <c r="DD287" s="1992">
        <f t="shared" si="1183"/>
        <v>134</v>
      </c>
      <c r="DE287" s="1992">
        <f t="shared" si="1183"/>
        <v>80</v>
      </c>
      <c r="DF287" s="1993">
        <f t="shared" si="1183"/>
        <v>10</v>
      </c>
      <c r="DG287" s="1992">
        <f t="shared" si="1183"/>
        <v>-14</v>
      </c>
      <c r="DH287" s="1992">
        <f t="shared" si="1183"/>
        <v>9</v>
      </c>
      <c r="DI287" s="1998">
        <f t="shared" si="1183"/>
        <v>81</v>
      </c>
      <c r="DJ287" s="1993">
        <f t="shared" si="1183"/>
        <v>-188</v>
      </c>
      <c r="DK287" s="1992">
        <f t="shared" ref="DK287:DP287" si="1184">+DK120</f>
        <v>-126</v>
      </c>
      <c r="DL287" s="1992">
        <f t="shared" si="1184"/>
        <v>-80</v>
      </c>
      <c r="DM287" s="1998">
        <f t="shared" si="1184"/>
        <v>-157</v>
      </c>
      <c r="DN287" s="1992">
        <f t="shared" si="1184"/>
        <v>-177</v>
      </c>
      <c r="DO287" s="1992">
        <f t="shared" si="1184"/>
        <v>-30</v>
      </c>
      <c r="DP287" s="1992">
        <f t="shared" si="1184"/>
        <v>83</v>
      </c>
      <c r="DQ287" s="1998">
        <f t="shared" ref="DQ287" si="1185">+DQ120</f>
        <v>-9</v>
      </c>
      <c r="DR287" s="1993">
        <f t="shared" ref="DR287" si="1186">+DR120</f>
        <v>-17</v>
      </c>
      <c r="DS287" s="1992">
        <f t="shared" ref="DS287:DT287" si="1187">+DS120</f>
        <v>19</v>
      </c>
      <c r="DT287" s="1992">
        <f t="shared" si="1187"/>
        <v>139</v>
      </c>
      <c r="DU287" s="1998">
        <f t="shared" ref="DU287" si="1188">+DU120</f>
        <v>-184</v>
      </c>
      <c r="DV287" s="1992">
        <f t="shared" ref="DV287" si="1189">+DV120</f>
        <v>-335</v>
      </c>
      <c r="DW287" s="1992">
        <f t="shared" ref="DW287:DY287" ca="1" si="1190">+DW289-DW292</f>
        <v>-202.19177659479669</v>
      </c>
      <c r="DX287" s="1992">
        <f t="shared" ca="1" si="1190"/>
        <v>-22.29839738967712</v>
      </c>
      <c r="DY287" s="1998">
        <f t="shared" ca="1" si="1190"/>
        <v>-215.91746804634329</v>
      </c>
    </row>
    <row r="288" spans="1:129" ht="15" customHeight="1">
      <c r="A288" s="2836" t="s">
        <v>1617</v>
      </c>
      <c r="B288" s="2837"/>
      <c r="C288" s="2837"/>
      <c r="D288" s="2838"/>
      <c r="E288" s="2838"/>
      <c r="F288" s="2838"/>
      <c r="G288" s="2892"/>
      <c r="H288" s="2838"/>
      <c r="I288" s="2838"/>
      <c r="J288" s="2838"/>
      <c r="K288" s="2838"/>
      <c r="L288" s="2838"/>
      <c r="M288" s="2838"/>
      <c r="N288" s="2837"/>
      <c r="O288" s="2837"/>
      <c r="P288" s="2837"/>
      <c r="Q288" s="2837"/>
      <c r="R288" s="2837"/>
      <c r="S288" s="2839">
        <v>0</v>
      </c>
      <c r="T288" s="2839">
        <v>0</v>
      </c>
      <c r="U288" s="2839">
        <v>0</v>
      </c>
      <c r="V288" s="2839">
        <v>0</v>
      </c>
      <c r="W288" s="2839">
        <v>0</v>
      </c>
      <c r="X288" s="3001">
        <f>+SUM(DN288:DQ288)</f>
        <v>0</v>
      </c>
      <c r="Y288" s="3001">
        <f>+SUM(DR288:DU288)</f>
        <v>-1</v>
      </c>
      <c r="Z288" s="3001">
        <f>+SUM(DV288:DY288)</f>
        <v>0</v>
      </c>
      <c r="AA288" s="3002">
        <v>0</v>
      </c>
      <c r="AB288" s="3002">
        <v>0</v>
      </c>
      <c r="AC288" s="3002">
        <v>0</v>
      </c>
      <c r="AD288" s="3002">
        <v>0</v>
      </c>
      <c r="AE288" s="3002">
        <v>0</v>
      </c>
      <c r="AF288" s="3002">
        <v>0</v>
      </c>
      <c r="AG288" s="3002">
        <v>0</v>
      </c>
      <c r="AH288" s="2201"/>
      <c r="AI288" s="1927"/>
      <c r="AK288" s="2838"/>
      <c r="AL288" s="2838"/>
      <c r="AM288" s="2837"/>
      <c r="AN288" s="2838"/>
      <c r="AO288" s="2838"/>
      <c r="AP288" s="2893"/>
      <c r="AQ288" s="2838"/>
      <c r="AR288" s="2838"/>
      <c r="AS288" s="2838"/>
      <c r="AT288" s="2893"/>
      <c r="AU288" s="2838"/>
      <c r="AV288" s="2838"/>
      <c r="AW288" s="2838"/>
      <c r="AX288" s="2893"/>
      <c r="AY288" s="2838"/>
      <c r="AZ288" s="2838"/>
      <c r="BA288" s="2838"/>
      <c r="BB288" s="2893"/>
      <c r="BC288" s="2838"/>
      <c r="BD288" s="2838"/>
      <c r="BE288" s="2838"/>
      <c r="BF288" s="2893"/>
      <c r="BG288" s="2838"/>
      <c r="BH288" s="2838"/>
      <c r="BI288" s="2838"/>
      <c r="BJ288" s="2893"/>
      <c r="BK288" s="2838"/>
      <c r="BL288" s="2838"/>
      <c r="BM288" s="2838"/>
      <c r="BN288" s="2894"/>
      <c r="BO288" s="2837"/>
      <c r="BP288" s="2837"/>
      <c r="BQ288" s="2895"/>
      <c r="BR288" s="2894"/>
      <c r="BS288" s="2895"/>
      <c r="BT288" s="2837"/>
      <c r="BU288" s="2895"/>
      <c r="BV288" s="2894"/>
      <c r="BW288" s="2837"/>
      <c r="BX288" s="2837"/>
      <c r="BY288" s="2837"/>
      <c r="BZ288" s="2840"/>
      <c r="CA288" s="2837"/>
      <c r="CB288" s="2837"/>
      <c r="CC288" s="2837"/>
      <c r="CD288" s="2840"/>
      <c r="CE288" s="2837"/>
      <c r="CF288" s="2837"/>
      <c r="CG288" s="2837"/>
      <c r="CH288" s="2896">
        <f>+CH123-CH256</f>
        <v>0</v>
      </c>
      <c r="CI288" s="2897">
        <f>+CI123-CI256</f>
        <v>0</v>
      </c>
      <c r="CJ288" s="2897">
        <f>+CJ123-CJ256</f>
        <v>40</v>
      </c>
      <c r="CK288" s="2897">
        <f>+CK123-CK256</f>
        <v>8</v>
      </c>
      <c r="CL288" s="2844">
        <f t="shared" ref="CL288:DV288" si="1191">+CL286-CK286-CL287</f>
        <v>0</v>
      </c>
      <c r="CM288" s="2843">
        <f t="shared" si="1191"/>
        <v>3</v>
      </c>
      <c r="CN288" s="2843">
        <f t="shared" si="1191"/>
        <v>5</v>
      </c>
      <c r="CO288" s="2843">
        <f t="shared" si="1191"/>
        <v>2</v>
      </c>
      <c r="CP288" s="2844">
        <f t="shared" si="1191"/>
        <v>-1</v>
      </c>
      <c r="CQ288" s="2843">
        <f t="shared" si="1191"/>
        <v>0</v>
      </c>
      <c r="CR288" s="2843">
        <f t="shared" si="1191"/>
        <v>11</v>
      </c>
      <c r="CS288" s="2843">
        <f t="shared" si="1191"/>
        <v>2</v>
      </c>
      <c r="CT288" s="2844">
        <f t="shared" si="1191"/>
        <v>0</v>
      </c>
      <c r="CU288" s="2843">
        <f t="shared" si="1191"/>
        <v>1</v>
      </c>
      <c r="CV288" s="2843">
        <f t="shared" si="1191"/>
        <v>2</v>
      </c>
      <c r="CW288" s="2843">
        <f t="shared" si="1191"/>
        <v>0</v>
      </c>
      <c r="CX288" s="2844">
        <f t="shared" si="1191"/>
        <v>7</v>
      </c>
      <c r="CY288" s="2843">
        <f t="shared" si="1191"/>
        <v>1</v>
      </c>
      <c r="CZ288" s="2843">
        <f t="shared" si="1191"/>
        <v>1</v>
      </c>
      <c r="DA288" s="2843">
        <f t="shared" si="1191"/>
        <v>13</v>
      </c>
      <c r="DB288" s="2844">
        <f t="shared" si="1191"/>
        <v>1</v>
      </c>
      <c r="DC288" s="2843">
        <f t="shared" si="1191"/>
        <v>12</v>
      </c>
      <c r="DD288" s="2843">
        <f t="shared" si="1191"/>
        <v>-22</v>
      </c>
      <c r="DE288" s="2843">
        <f t="shared" si="1191"/>
        <v>2</v>
      </c>
      <c r="DF288" s="2844">
        <f t="shared" si="1191"/>
        <v>0</v>
      </c>
      <c r="DG288" s="2843">
        <f t="shared" si="1191"/>
        <v>1</v>
      </c>
      <c r="DH288" s="2843">
        <f t="shared" si="1191"/>
        <v>0</v>
      </c>
      <c r="DI288" s="2845">
        <f t="shared" si="1191"/>
        <v>-2</v>
      </c>
      <c r="DJ288" s="2844">
        <f t="shared" si="1191"/>
        <v>1</v>
      </c>
      <c r="DK288" s="2843">
        <f t="shared" si="1191"/>
        <v>-2</v>
      </c>
      <c r="DL288" s="2843">
        <f t="shared" si="1191"/>
        <v>0</v>
      </c>
      <c r="DM288" s="2845">
        <f t="shared" si="1191"/>
        <v>0</v>
      </c>
      <c r="DN288" s="2843">
        <f t="shared" si="1191"/>
        <v>-1</v>
      </c>
      <c r="DO288" s="2843">
        <f t="shared" si="1191"/>
        <v>2</v>
      </c>
      <c r="DP288" s="2843">
        <f t="shared" si="1191"/>
        <v>-1</v>
      </c>
      <c r="DQ288" s="2845">
        <f t="shared" si="1191"/>
        <v>0</v>
      </c>
      <c r="DR288" s="2844">
        <f t="shared" si="1191"/>
        <v>0</v>
      </c>
      <c r="DS288" s="2843">
        <f t="shared" si="1191"/>
        <v>-1</v>
      </c>
      <c r="DT288" s="2843">
        <f t="shared" si="1191"/>
        <v>1</v>
      </c>
      <c r="DU288" s="2845">
        <f t="shared" si="1191"/>
        <v>-1</v>
      </c>
      <c r="DV288" s="2843">
        <f t="shared" si="1191"/>
        <v>0</v>
      </c>
      <c r="DW288" s="2843">
        <v>0</v>
      </c>
      <c r="DX288" s="2843">
        <v>0</v>
      </c>
      <c r="DY288" s="2845">
        <v>0</v>
      </c>
    </row>
    <row r="289" spans="1:130" ht="15" customHeight="1">
      <c r="A289" s="2846" t="s">
        <v>1490</v>
      </c>
      <c r="D289" s="2200"/>
      <c r="E289" s="2200"/>
      <c r="F289" s="2200"/>
      <c r="L289" s="2200"/>
      <c r="M289" s="2200"/>
      <c r="N289" s="2200"/>
      <c r="O289" s="2200"/>
      <c r="P289" s="2200"/>
      <c r="Q289" s="2200">
        <f ca="1">SUM(CL289:CO289)</f>
        <v>4353.6716499999993</v>
      </c>
      <c r="R289" s="2200">
        <f ca="1">SUM(CP289:CS289)</f>
        <v>3817.6788000000006</v>
      </c>
      <c r="S289" s="2200">
        <f>SUM(CT289:CW289)</f>
        <v>4269.0667500000009</v>
      </c>
      <c r="T289" s="2200">
        <f>SUM(CX289:DA289)</f>
        <v>4622.8063999999995</v>
      </c>
      <c r="U289" s="2200">
        <f>SUM(DB289:DE289)</f>
        <v>4671.7554000000009</v>
      </c>
      <c r="V289" s="2200">
        <f>SUM(DF289:DI289)</f>
        <v>4456.1646500000006</v>
      </c>
      <c r="W289" s="2200">
        <f>SUM(DJ289:DM289)</f>
        <v>3771.282850000001</v>
      </c>
      <c r="X289" s="2200">
        <f>+SUM(DN289:DQ289)</f>
        <v>3919.4606000000003</v>
      </c>
      <c r="Y289" s="2200">
        <f>+SUM(DR289:DU289)</f>
        <v>3859.1094499999995</v>
      </c>
      <c r="Z289" s="2200">
        <f>+SUM(DV289:DY289)</f>
        <v>2806.446719999999</v>
      </c>
      <c r="AA289" s="2779">
        <f>+Z289*(1+AA290)</f>
        <v>2750.3177855999988</v>
      </c>
      <c r="AB289" s="2779">
        <f>+AA289*(1+AB290)</f>
        <v>2695.3114298879987</v>
      </c>
      <c r="AC289" s="2779">
        <f t="shared" ref="AC289:AG289" si="1192">+AB289*(1+AC290)</f>
        <v>2641.4052012902384</v>
      </c>
      <c r="AD289" s="2779">
        <f t="shared" si="1192"/>
        <v>2588.5770972644336</v>
      </c>
      <c r="AE289" s="2779">
        <f t="shared" si="1192"/>
        <v>2536.8055553191448</v>
      </c>
      <c r="AF289" s="2779">
        <f t="shared" si="1192"/>
        <v>2486.0694442127619</v>
      </c>
      <c r="AG289" s="2779">
        <f t="shared" si="1192"/>
        <v>2436.3480553285067</v>
      </c>
      <c r="AH289" s="2201"/>
      <c r="AI289" s="1928">
        <f>(AA289/V289)^(1/5)-1</f>
        <v>-9.2003175600147924E-2</v>
      </c>
      <c r="AK289" s="2200"/>
      <c r="AL289" s="2200"/>
      <c r="AN289" s="2200"/>
      <c r="AO289" s="2200"/>
      <c r="AP289" s="2202"/>
      <c r="AQ289" s="2200"/>
      <c r="AR289" s="2200"/>
      <c r="AS289" s="2200"/>
      <c r="AT289" s="2202"/>
      <c r="AU289" s="2200"/>
      <c r="AV289" s="2200"/>
      <c r="AW289" s="2200"/>
      <c r="AX289" s="1942"/>
      <c r="BB289" s="1942"/>
      <c r="BF289" s="1942"/>
      <c r="BJ289" s="1942"/>
      <c r="BN289" s="1942"/>
      <c r="BR289" s="1942"/>
      <c r="BV289" s="1942"/>
      <c r="BZ289" s="1942"/>
      <c r="CD289" s="1942"/>
      <c r="CE289" s="2200"/>
      <c r="CF289" s="2200"/>
      <c r="CG289" s="2200"/>
      <c r="CH289" s="2780">
        <f t="shared" ref="CH289:DJ289" si="1193">+CH292+CH120</f>
        <v>807.3773365499992</v>
      </c>
      <c r="CI289" s="2779">
        <f t="shared" si="1193"/>
        <v>866.21775000000048</v>
      </c>
      <c r="CJ289" s="2779">
        <f t="shared" si="1193"/>
        <v>962.02844999999979</v>
      </c>
      <c r="CK289" s="2779">
        <f t="shared" si="1193"/>
        <v>1037.8555500000002</v>
      </c>
      <c r="CL289" s="2780">
        <f t="shared" si="1193"/>
        <v>1185.5807500000001</v>
      </c>
      <c r="CM289" s="2779">
        <f t="shared" si="1193"/>
        <v>1037.3501999999999</v>
      </c>
      <c r="CN289" s="2779">
        <f t="shared" ca="1" si="1193"/>
        <v>1033.6571999999996</v>
      </c>
      <c r="CO289" s="2779">
        <f t="shared" ca="1" si="1193"/>
        <v>1097.0834999999997</v>
      </c>
      <c r="CP289" s="2780">
        <f t="shared" si="1193"/>
        <v>957.54775000000018</v>
      </c>
      <c r="CQ289" s="2779">
        <f t="shared" si="1193"/>
        <v>910.99240000000054</v>
      </c>
      <c r="CR289" s="2779">
        <f t="shared" ca="1" si="1193"/>
        <v>942.44799999999987</v>
      </c>
      <c r="CS289" s="2779">
        <f t="shared" ca="1" si="1193"/>
        <v>1006.69065</v>
      </c>
      <c r="CT289" s="2780">
        <f t="shared" si="1193"/>
        <v>950.76915000000008</v>
      </c>
      <c r="CU289" s="2779">
        <f t="shared" si="1193"/>
        <v>1060.6913500000005</v>
      </c>
      <c r="CV289" s="2779">
        <f t="shared" si="1193"/>
        <v>1078.7161999999998</v>
      </c>
      <c r="CW289" s="2779">
        <f t="shared" si="1193"/>
        <v>1178.8900500000004</v>
      </c>
      <c r="CX289" s="2780">
        <f t="shared" si="1193"/>
        <v>1151.915</v>
      </c>
      <c r="CY289" s="2779">
        <f t="shared" si="1193"/>
        <v>1178.2217000000001</v>
      </c>
      <c r="CZ289" s="2779">
        <f t="shared" si="1193"/>
        <v>1145.9672999999998</v>
      </c>
      <c r="DA289" s="2779">
        <f t="shared" si="1193"/>
        <v>1146.7024000000001</v>
      </c>
      <c r="DB289" s="2780">
        <f t="shared" si="1193"/>
        <v>1074.0226000000002</v>
      </c>
      <c r="DC289" s="2779">
        <f t="shared" si="1193"/>
        <v>1154.52115</v>
      </c>
      <c r="DD289" s="2779">
        <f t="shared" si="1193"/>
        <v>1241.8760000000002</v>
      </c>
      <c r="DE289" s="2779">
        <f t="shared" si="1193"/>
        <v>1201.3356500000004</v>
      </c>
      <c r="DF289" s="2780">
        <f t="shared" si="1193"/>
        <v>1131.8497000000002</v>
      </c>
      <c r="DG289" s="2779">
        <f t="shared" si="1193"/>
        <v>1123.6706500000005</v>
      </c>
      <c r="DH289" s="2779">
        <f t="shared" si="1193"/>
        <v>1107.4045499999997</v>
      </c>
      <c r="DI289" s="2781">
        <f t="shared" si="1193"/>
        <v>1093.2397499999997</v>
      </c>
      <c r="DJ289" s="2780">
        <f t="shared" si="1193"/>
        <v>974.15815000000021</v>
      </c>
      <c r="DK289" s="2779">
        <f t="shared" ref="DK289:DP289" si="1194">+DK292+DK120</f>
        <v>948.93299999999999</v>
      </c>
      <c r="DL289" s="2779">
        <f t="shared" si="1194"/>
        <v>1006.4719000000005</v>
      </c>
      <c r="DM289" s="2781">
        <f t="shared" si="1194"/>
        <v>841.7198000000003</v>
      </c>
      <c r="DN289" s="2779">
        <f t="shared" si="1194"/>
        <v>891.09885000000031</v>
      </c>
      <c r="DO289" s="2779">
        <f t="shared" si="1194"/>
        <v>968.41784999999982</v>
      </c>
      <c r="DP289" s="2779">
        <f t="shared" si="1194"/>
        <v>1068.5360000000001</v>
      </c>
      <c r="DQ289" s="2781">
        <f t="shared" ref="DQ289" si="1195">+DQ292+DQ120</f>
        <v>991.40790000000015</v>
      </c>
      <c r="DR289" s="2780">
        <f t="shared" ref="DR289" si="1196">+DR292+DR120</f>
        <v>991.98985000000039</v>
      </c>
      <c r="DS289" s="2779">
        <f t="shared" ref="DS289:DT289" si="1197">+DS292+DS120</f>
        <v>994.79619999999977</v>
      </c>
      <c r="DT289" s="2779">
        <f t="shared" si="1197"/>
        <v>1057.9467999999997</v>
      </c>
      <c r="DU289" s="2781">
        <f t="shared" ref="DU289" si="1198">+DU292+DU120</f>
        <v>814.3765999999996</v>
      </c>
      <c r="DV289" s="2779">
        <f t="shared" ref="DV289" si="1199">+DV292+DV120</f>
        <v>665.12800000000016</v>
      </c>
      <c r="DW289" s="2779">
        <f t="shared" ref="DW289" si="1200">+DS289*(1+DW290)</f>
        <v>696.35733999999979</v>
      </c>
      <c r="DX289" s="2779">
        <f t="shared" ref="DX289" si="1201">+DT289*(1+DX290)</f>
        <v>793.46009999999978</v>
      </c>
      <c r="DY289" s="2781">
        <f t="shared" ref="DY289" si="1202">+DU289*(1+DY290)</f>
        <v>651.50127999999972</v>
      </c>
      <c r="DZ289" s="2200"/>
    </row>
    <row r="290" spans="1:130" s="1491" customFormat="1" ht="15" customHeight="1">
      <c r="A290" s="1881" t="s">
        <v>1453</v>
      </c>
      <c r="B290" s="1473"/>
      <c r="C290" s="1473"/>
      <c r="D290" s="1473"/>
      <c r="E290" s="1473"/>
      <c r="F290" s="1473"/>
      <c r="G290" s="1473"/>
      <c r="H290" s="1473"/>
      <c r="I290" s="1473"/>
      <c r="J290" s="1473"/>
      <c r="K290" s="1473"/>
      <c r="L290" s="1473"/>
      <c r="M290" s="1473"/>
      <c r="N290" s="1473"/>
      <c r="O290" s="1473"/>
      <c r="P290" s="1473"/>
      <c r="Q290" s="1473"/>
      <c r="R290" s="1473">
        <f t="shared" ref="R290:Z290" ca="1" si="1203">R289/Q289-1</f>
        <v>-0.12311283282008623</v>
      </c>
      <c r="S290" s="1473">
        <f t="shared" ca="1" si="1203"/>
        <v>0.11823623035023267</v>
      </c>
      <c r="T290" s="1473">
        <f t="shared" si="1203"/>
        <v>8.28611194706661E-2</v>
      </c>
      <c r="U290" s="1473">
        <f t="shared" si="1203"/>
        <v>1.0588589649785263E-2</v>
      </c>
      <c r="V290" s="1473">
        <f t="shared" si="1203"/>
        <v>-4.6147696431195873E-2</v>
      </c>
      <c r="W290" s="1473">
        <f t="shared" si="1203"/>
        <v>-0.15369310916283119</v>
      </c>
      <c r="X290" s="1473">
        <f t="shared" si="1203"/>
        <v>3.929107306284374E-2</v>
      </c>
      <c r="Y290" s="1473">
        <f t="shared" si="1203"/>
        <v>-1.5397820302110121E-2</v>
      </c>
      <c r="Z290" s="1473">
        <f t="shared" si="1203"/>
        <v>-0.27277348404824342</v>
      </c>
      <c r="AA290" s="1842">
        <v>-0.02</v>
      </c>
      <c r="AB290" s="1842">
        <v>-0.02</v>
      </c>
      <c r="AC290" s="1842">
        <v>-0.02</v>
      </c>
      <c r="AD290" s="1842">
        <v>-0.02</v>
      </c>
      <c r="AE290" s="1842">
        <v>-0.02</v>
      </c>
      <c r="AF290" s="1842">
        <v>-0.02</v>
      </c>
      <c r="AG290" s="1842">
        <v>-0.02</v>
      </c>
      <c r="AH290" s="2201"/>
      <c r="AI290" s="1927"/>
      <c r="AJ290" s="1561"/>
      <c r="AK290" s="1473"/>
      <c r="AL290" s="1473"/>
      <c r="AM290" s="1473"/>
      <c r="AN290" s="1473"/>
      <c r="AO290" s="1473"/>
      <c r="AP290" s="1481"/>
      <c r="AQ290" s="1473"/>
      <c r="AR290" s="1473"/>
      <c r="AS290" s="1473"/>
      <c r="AT290" s="1481"/>
      <c r="AU290" s="1473"/>
      <c r="AV290" s="1473"/>
      <c r="AW290" s="1473"/>
      <c r="AX290" s="1481"/>
      <c r="AY290" s="1473"/>
      <c r="AZ290" s="1473"/>
      <c r="BA290" s="1473"/>
      <c r="BB290" s="1481"/>
      <c r="BC290" s="1473"/>
      <c r="BD290" s="1473"/>
      <c r="BE290" s="1473"/>
      <c r="BF290" s="1481"/>
      <c r="BG290" s="1473"/>
      <c r="BH290" s="1473"/>
      <c r="BI290" s="1473"/>
      <c r="BJ290" s="1481"/>
      <c r="BK290" s="1473"/>
      <c r="BL290" s="1473"/>
      <c r="BM290" s="1473"/>
      <c r="BN290" s="1481"/>
      <c r="BO290" s="1473"/>
      <c r="BP290" s="1473"/>
      <c r="BQ290" s="1473"/>
      <c r="BR290" s="1481"/>
      <c r="BS290" s="1473"/>
      <c r="BT290" s="1473"/>
      <c r="BU290" s="1473"/>
      <c r="BV290" s="1481"/>
      <c r="BW290" s="1473"/>
      <c r="BX290" s="1473"/>
      <c r="BY290" s="1473"/>
      <c r="BZ290" s="1481"/>
      <c r="CA290" s="1473"/>
      <c r="CB290" s="1473"/>
      <c r="CC290" s="1473"/>
      <c r="CD290" s="1481"/>
      <c r="CE290" s="1473"/>
      <c r="CF290" s="1473"/>
      <c r="CG290" s="1473"/>
      <c r="CH290" s="1481"/>
      <c r="CI290" s="1473"/>
      <c r="CJ290" s="1473"/>
      <c r="CK290" s="1473"/>
      <c r="CL290" s="1481">
        <f t="shared" ref="CL290:DV290" si="1204">CL289/CH289-1</f>
        <v>0.46843451794931523</v>
      </c>
      <c r="CM290" s="1473">
        <f t="shared" si="1204"/>
        <v>0.19756285298933118</v>
      </c>
      <c r="CN290" s="1473">
        <f t="shared" ca="1" si="1204"/>
        <v>7.4455958137204625E-2</v>
      </c>
      <c r="CO290" s="1473">
        <f t="shared" ca="1" si="1204"/>
        <v>5.7067623716999361E-2</v>
      </c>
      <c r="CP290" s="1481">
        <f t="shared" si="1204"/>
        <v>-0.19233864922317601</v>
      </c>
      <c r="CQ290" s="1473">
        <f t="shared" si="1204"/>
        <v>-0.12180823795088613</v>
      </c>
      <c r="CR290" s="1473">
        <f t="shared" ca="1" si="1204"/>
        <v>-8.8239311833749001E-2</v>
      </c>
      <c r="CS290" s="1473">
        <f t="shared" ca="1" si="1204"/>
        <v>-8.2393774038165501E-2</v>
      </c>
      <c r="CT290" s="1481">
        <f t="shared" si="1204"/>
        <v>-7.0791247747176156E-3</v>
      </c>
      <c r="CU290" s="1473">
        <f t="shared" si="1204"/>
        <v>0.16432513597259413</v>
      </c>
      <c r="CV290" s="1473">
        <f t="shared" ca="1" si="1204"/>
        <v>0.14458962192078495</v>
      </c>
      <c r="CW290" s="1473">
        <f t="shared" ca="1" si="1204"/>
        <v>0.17105493132373928</v>
      </c>
      <c r="CX290" s="1481">
        <f t="shared" si="1204"/>
        <v>0.21156118706628191</v>
      </c>
      <c r="CY290" s="1473">
        <f t="shared" si="1204"/>
        <v>0.11080541950304346</v>
      </c>
      <c r="CZ290" s="1473">
        <f t="shared" si="1204"/>
        <v>6.2343645158939864E-2</v>
      </c>
      <c r="DA290" s="1473">
        <f t="shared" si="1204"/>
        <v>-2.7303351996227576E-2</v>
      </c>
      <c r="DB290" s="1481">
        <f t="shared" si="1204"/>
        <v>-6.7619919872559775E-2</v>
      </c>
      <c r="DC290" s="1473">
        <f t="shared" si="1204"/>
        <v>-2.0115526644942983E-2</v>
      </c>
      <c r="DD290" s="1473">
        <f t="shared" si="1204"/>
        <v>8.3692353176221035E-2</v>
      </c>
      <c r="DE290" s="1473">
        <f t="shared" si="1204"/>
        <v>4.7643791449289985E-2</v>
      </c>
      <c r="DF290" s="1481">
        <f t="shared" si="1204"/>
        <v>5.3841604450409086E-2</v>
      </c>
      <c r="DG290" s="1473">
        <f t="shared" si="1204"/>
        <v>-2.6721468030273421E-2</v>
      </c>
      <c r="DH290" s="1473">
        <f t="shared" si="1204"/>
        <v>-0.10828089922021233</v>
      </c>
      <c r="DI290" s="1848">
        <f t="shared" si="1204"/>
        <v>-8.9979765438577219E-2</v>
      </c>
      <c r="DJ290" s="1481">
        <f t="shared" si="1204"/>
        <v>-0.13932198771621351</v>
      </c>
      <c r="DK290" s="1473">
        <f t="shared" si="1204"/>
        <v>-0.15550610848472401</v>
      </c>
      <c r="DL290" s="1473">
        <f t="shared" si="1204"/>
        <v>-9.1143430826611027E-2</v>
      </c>
      <c r="DM290" s="1848">
        <f t="shared" si="1204"/>
        <v>-0.23006842735090771</v>
      </c>
      <c r="DN290" s="1473">
        <f t="shared" si="1204"/>
        <v>-8.5262644468970361E-2</v>
      </c>
      <c r="DO290" s="1473">
        <f t="shared" si="1204"/>
        <v>2.0533430705855782E-2</v>
      </c>
      <c r="DP290" s="1473">
        <f t="shared" si="1204"/>
        <v>6.1665010220354421E-2</v>
      </c>
      <c r="DQ290" s="1848">
        <f t="shared" si="1204"/>
        <v>0.17783602096564644</v>
      </c>
      <c r="DR290" s="1481">
        <f t="shared" si="1204"/>
        <v>0.11322088452925283</v>
      </c>
      <c r="DS290" s="1473">
        <f t="shared" si="1204"/>
        <v>2.7238603666795314E-2</v>
      </c>
      <c r="DT290" s="1473">
        <f t="shared" si="1204"/>
        <v>-9.9100077114859797E-3</v>
      </c>
      <c r="DU290" s="1848">
        <f t="shared" si="1204"/>
        <v>-0.17856555308869393</v>
      </c>
      <c r="DV290" s="1473">
        <f t="shared" si="1204"/>
        <v>-0.32950120406977967</v>
      </c>
      <c r="DW290" s="1842">
        <v>-0.3</v>
      </c>
      <c r="DX290" s="1842">
        <v>-0.25</v>
      </c>
      <c r="DY290" s="1843">
        <v>-0.2</v>
      </c>
    </row>
    <row r="291" spans="1:130" s="1887" customFormat="1" ht="15" hidden="1" customHeight="1">
      <c r="A291" s="1888" t="s">
        <v>1488</v>
      </c>
      <c r="B291" s="1889"/>
      <c r="C291" s="1889"/>
      <c r="D291" s="1889"/>
      <c r="E291" s="1889"/>
      <c r="F291" s="1889"/>
      <c r="G291" s="1889"/>
      <c r="H291" s="1889"/>
      <c r="I291" s="1889"/>
      <c r="J291" s="1889"/>
      <c r="K291" s="1889"/>
      <c r="L291" s="1889"/>
      <c r="M291" s="1889"/>
      <c r="N291" s="1889"/>
      <c r="O291" s="1889"/>
      <c r="P291" s="1889"/>
      <c r="Q291" s="1889">
        <f t="shared" ref="Q291:AA291" ca="1" si="1205">+Q289/Q$135</f>
        <v>0.21008124131959205</v>
      </c>
      <c r="R291" s="1889">
        <f t="shared" ca="1" si="1205"/>
        <v>0.17858732450468429</v>
      </c>
      <c r="S291" s="1889">
        <f t="shared" ca="1" si="1205"/>
        <v>0.20330485239161453</v>
      </c>
      <c r="T291" s="1889">
        <f t="shared" ca="1" si="1205"/>
        <v>0.20600312219895944</v>
      </c>
      <c r="U291" s="1889">
        <f t="shared" ca="1" si="1205"/>
        <v>0.19254023001359105</v>
      </c>
      <c r="V291" s="1889">
        <f t="shared" ca="1" si="1205"/>
        <v>0.16958640811782588</v>
      </c>
      <c r="W291" s="1889">
        <f t="shared" ca="1" si="1205"/>
        <v>0.1732927325533922</v>
      </c>
      <c r="X291" s="1889">
        <f ca="1">+X289/X$135</f>
        <v>0.17309175291620654</v>
      </c>
      <c r="Y291" s="1889">
        <f ca="1">+Y289/Y$135</f>
        <v>0.16968997676669903</v>
      </c>
      <c r="Z291" s="1889">
        <f ca="1">+Z289/Z$135</f>
        <v>0.12502049027175557</v>
      </c>
      <c r="AA291" s="1889">
        <f t="shared" ca="1" si="1205"/>
        <v>0.13386770917636645</v>
      </c>
      <c r="AB291" s="1889">
        <f t="shared" ref="AB291:AG291" ca="1" si="1206">+AB289/AB$135</f>
        <v>0.13352313611585101</v>
      </c>
      <c r="AC291" s="1889">
        <f t="shared" ca="1" si="1206"/>
        <v>0.13317335468256969</v>
      </c>
      <c r="AD291" s="1889">
        <f t="shared" ca="1" si="1206"/>
        <v>0.13281831889503634</v>
      </c>
      <c r="AE291" s="1889">
        <f t="shared" ca="1" si="1206"/>
        <v>0.13245798355664998</v>
      </c>
      <c r="AF291" s="1889">
        <f t="shared" ca="1" si="1206"/>
        <v>0.13209230430668395</v>
      </c>
      <c r="AG291" s="1889">
        <f t="shared" ca="1" si="1206"/>
        <v>0.13172123767226879</v>
      </c>
      <c r="AH291" s="2606"/>
      <c r="AI291" s="2607"/>
      <c r="AJ291" s="2608"/>
      <c r="AK291" s="1889"/>
      <c r="AL291" s="1889"/>
      <c r="AM291" s="1889"/>
      <c r="AN291" s="1889"/>
      <c r="AO291" s="1889"/>
      <c r="AP291" s="1890"/>
      <c r="AQ291" s="1889"/>
      <c r="AR291" s="1889"/>
      <c r="AS291" s="1889"/>
      <c r="AT291" s="1890"/>
      <c r="AU291" s="1889"/>
      <c r="AV291" s="1889"/>
      <c r="AW291" s="1889"/>
      <c r="AX291" s="1890"/>
      <c r="AY291" s="1889"/>
      <c r="AZ291" s="1889"/>
      <c r="BA291" s="1889"/>
      <c r="BB291" s="1890"/>
      <c r="BC291" s="1889"/>
      <c r="BD291" s="1889"/>
      <c r="BE291" s="1889"/>
      <c r="BF291" s="1890"/>
      <c r="BG291" s="1889"/>
      <c r="BH291" s="1889"/>
      <c r="BI291" s="1889"/>
      <c r="BJ291" s="1890"/>
      <c r="BK291" s="1889"/>
      <c r="BL291" s="1889"/>
      <c r="BM291" s="1889"/>
      <c r="BN291" s="1890"/>
      <c r="BO291" s="1889"/>
      <c r="BP291" s="1889"/>
      <c r="BQ291" s="1889"/>
      <c r="BR291" s="1890"/>
      <c r="BS291" s="1889"/>
      <c r="BT291" s="1889"/>
      <c r="BU291" s="1889"/>
      <c r="BV291" s="1890"/>
      <c r="BW291" s="1889"/>
      <c r="BX291" s="1889"/>
      <c r="BY291" s="1889"/>
      <c r="BZ291" s="1890"/>
      <c r="CA291" s="1889"/>
      <c r="CB291" s="1889"/>
      <c r="CC291" s="1889"/>
      <c r="CD291" s="1890"/>
      <c r="CE291" s="1889"/>
      <c r="CF291" s="1889"/>
      <c r="CG291" s="1889"/>
      <c r="CH291" s="1890">
        <f t="shared" ref="CH291:DJ291" si="1207">+CH289/CH135</f>
        <v>0.17096214527747758</v>
      </c>
      <c r="CI291" s="1889">
        <f t="shared" si="1207"/>
        <v>0.1796487016945284</v>
      </c>
      <c r="CJ291" s="1889">
        <f t="shared" si="1207"/>
        <v>0.17732244592196283</v>
      </c>
      <c r="CK291" s="1889">
        <f t="shared" si="1207"/>
        <v>0.19257158592637935</v>
      </c>
      <c r="CL291" s="1890">
        <f t="shared" si="1207"/>
        <v>0.24069675492628337</v>
      </c>
      <c r="CM291" s="1889">
        <f t="shared" si="1207"/>
        <v>0.22710255637280491</v>
      </c>
      <c r="CN291" s="1889">
        <f t="shared" ca="1" si="1207"/>
        <v>0.20125630645916573</v>
      </c>
      <c r="CO291" s="1889">
        <f t="shared" ca="1" si="1207"/>
        <v>0.18001656157584442</v>
      </c>
      <c r="CP291" s="1890">
        <f t="shared" si="1207"/>
        <v>0.17492378087766847</v>
      </c>
      <c r="CQ291" s="1889">
        <f t="shared" si="1207"/>
        <v>0.1709209050346806</v>
      </c>
      <c r="CR291" s="1889">
        <f t="shared" ca="1" si="1207"/>
        <v>0.17632486306145589</v>
      </c>
      <c r="CS291" s="1889">
        <f t="shared" ca="1" si="1207"/>
        <v>0.19255183201275572</v>
      </c>
      <c r="CT291" s="1890">
        <f t="shared" ca="1" si="1207"/>
        <v>0.16414905162259821</v>
      </c>
      <c r="CU291" s="1889">
        <f t="shared" ca="1" si="1207"/>
        <v>0.17754058433507439</v>
      </c>
      <c r="CV291" s="1889">
        <f t="shared" ca="1" si="1207"/>
        <v>0.20540692082567705</v>
      </c>
      <c r="CW291" s="1889">
        <f t="shared" ca="1" si="1207"/>
        <v>0.29618291916086398</v>
      </c>
      <c r="CX291" s="1890">
        <f t="shared" ca="1" si="1207"/>
        <v>0.22358094273395079</v>
      </c>
      <c r="CY291" s="1889">
        <f t="shared" ca="1" si="1207"/>
        <v>0.2333044127807104</v>
      </c>
      <c r="CZ291" s="1889">
        <f t="shared" ca="1" si="1207"/>
        <v>0.19908498855685242</v>
      </c>
      <c r="DA291" s="1889">
        <f t="shared" ca="1" si="1207"/>
        <v>0.17690475633867783</v>
      </c>
      <c r="DB291" s="1890">
        <f t="shared" ca="1" si="1207"/>
        <v>0.17691460529505762</v>
      </c>
      <c r="DC291" s="1889">
        <f t="shared" ca="1" si="1207"/>
        <v>0.20195306594459403</v>
      </c>
      <c r="DD291" s="1889">
        <f t="shared" ca="1" si="1207"/>
        <v>0.20936278864977328</v>
      </c>
      <c r="DE291" s="1889">
        <f t="shared" ca="1" si="1207"/>
        <v>0.18356523604888167</v>
      </c>
      <c r="DF291" s="1890">
        <f t="shared" ca="1" si="1207"/>
        <v>0.195443568728424</v>
      </c>
      <c r="DG291" s="1889">
        <f t="shared" ca="1" si="1207"/>
        <v>0.17744182225957664</v>
      </c>
      <c r="DH291" s="1889">
        <f t="shared" ca="1" si="1207"/>
        <v>0.16753275675239152</v>
      </c>
      <c r="DI291" s="1891">
        <f t="shared" ca="1" si="1207"/>
        <v>0.14493847118277711</v>
      </c>
      <c r="DJ291" s="1890">
        <f t="shared" ca="1" si="1207"/>
        <v>0.17065782716750627</v>
      </c>
      <c r="DK291" s="1889">
        <f t="shared" ref="DK291:DM291" ca="1" si="1208">+DK289/DK135</f>
        <v>0.18095131845202361</v>
      </c>
      <c r="DL291" s="1889">
        <f t="shared" ca="1" si="1208"/>
        <v>0.1870131780150816</v>
      </c>
      <c r="DM291" s="1891">
        <f t="shared" ca="1" si="1208"/>
        <v>0.15506175998870816</v>
      </c>
      <c r="DN291" s="1889">
        <f t="shared" ref="DN291:DO291" ca="1" si="1209">+DN289/DN135</f>
        <v>0.16117990570147106</v>
      </c>
      <c r="DO291" s="1889">
        <f t="shared" ca="1" si="1209"/>
        <v>0.17892378342146512</v>
      </c>
      <c r="DP291" s="1889">
        <f t="shared" ref="DP291:DQ291" ca="1" si="1210">+DP289/DP135</f>
        <v>0.18620900125430528</v>
      </c>
      <c r="DQ291" s="1891">
        <f t="shared" ca="1" si="1210"/>
        <v>0.16622075147483426</v>
      </c>
      <c r="DR291" s="1890">
        <f t="shared" ref="DR291" ca="1" si="1211">+DR289/DR135</f>
        <v>0.16155434456869566</v>
      </c>
      <c r="DS291" s="1889">
        <f t="shared" ref="DS291:DT291" ca="1" si="1212">+DS289/DS135</f>
        <v>0.18331240734693713</v>
      </c>
      <c r="DT291" s="1889">
        <f t="shared" ca="1" si="1212"/>
        <v>0.19286798440892511</v>
      </c>
      <c r="DU291" s="1891">
        <f t="shared" ref="DU291" ca="1" si="1213">+DU289/DU135</f>
        <v>0.14313148240439733</v>
      </c>
      <c r="DV291" s="1889">
        <f t="shared" ref="DV291" ca="1" si="1214">+DV289/DV135</f>
        <v>0.11377368192630279</v>
      </c>
      <c r="DW291" s="1889">
        <f t="shared" ref="DW291:DY291" ca="1" si="1215">+DW289/DW135</f>
        <v>0.13776414554217462</v>
      </c>
      <c r="DX291" s="1889">
        <f t="shared" ca="1" si="1215"/>
        <v>0.15336924846058592</v>
      </c>
      <c r="DY291" s="1891">
        <f t="shared" ca="1" si="1215"/>
        <v>0.11884342875476223</v>
      </c>
    </row>
    <row r="292" spans="1:130" ht="15" customHeight="1">
      <c r="A292" s="2820" t="s">
        <v>4</v>
      </c>
      <c r="B292" s="2861"/>
      <c r="C292" s="2861"/>
      <c r="D292" s="2862"/>
      <c r="E292" s="2862"/>
      <c r="F292" s="2862"/>
      <c r="G292" s="2861"/>
      <c r="H292" s="2861"/>
      <c r="I292" s="2861"/>
      <c r="J292" s="2861"/>
      <c r="K292" s="2861"/>
      <c r="L292" s="2862"/>
      <c r="M292" s="2862"/>
      <c r="N292" s="2862"/>
      <c r="O292" s="2862"/>
      <c r="P292" s="2862"/>
      <c r="Q292" s="2862">
        <f ca="1">SUM(CL292:CO292)</f>
        <v>3971.6716499999993</v>
      </c>
      <c r="R292" s="2862">
        <f ca="1">SUM(CP292:CS292)</f>
        <v>4369.6788000000006</v>
      </c>
      <c r="S292" s="2862">
        <f>SUM(CT292:CW292)</f>
        <v>3897.0667500000009</v>
      </c>
      <c r="T292" s="2862">
        <f>SUM(CX292:DA292)</f>
        <v>3729.8063999999999</v>
      </c>
      <c r="U292" s="2862">
        <f>SUM(DB292:DE292)</f>
        <v>4317.7554000000009</v>
      </c>
      <c r="V292" s="2862">
        <f>SUM(DF292:DI292)</f>
        <v>4370.1646500000006</v>
      </c>
      <c r="W292" s="2862">
        <f>SUM(DJ292:DM292)</f>
        <v>4322.2828500000014</v>
      </c>
      <c r="X292" s="2862">
        <f>+SUM(DN292:DQ292)</f>
        <v>4052.4606000000003</v>
      </c>
      <c r="Y292" s="2862">
        <f>+SUM(DR292:DU292)</f>
        <v>3902.1094499999995</v>
      </c>
      <c r="Z292" s="2862">
        <f ca="1">+SUM(DV292:DY292)</f>
        <v>3581.8543620308164</v>
      </c>
      <c r="AA292" s="2898">
        <f ca="1">AA294*(AVERAGE(Z286:AA286))*12</f>
        <v>3159.0178009899364</v>
      </c>
      <c r="AB292" s="2898">
        <f ca="1">AB294*(AVERAGE(AA286:AB286))*12</f>
        <v>2929.4607870896853</v>
      </c>
      <c r="AC292" s="2898">
        <f t="shared" ref="AC292:AG292" ca="1" si="1216">AC294*(AVERAGE(AB286:AC286))*12</f>
        <v>2792.0525686086899</v>
      </c>
      <c r="AD292" s="2898">
        <f t="shared" ca="1" si="1216"/>
        <v>2698.8719332350988</v>
      </c>
      <c r="AE292" s="2898">
        <f t="shared" ca="1" si="1216"/>
        <v>2627.2053018003203</v>
      </c>
      <c r="AF292" s="2898">
        <f t="shared" ca="1" si="1216"/>
        <v>2566.2811468370128</v>
      </c>
      <c r="AG292" s="2898">
        <f t="shared" ca="1" si="1216"/>
        <v>2510.98557338095</v>
      </c>
      <c r="AH292" s="2201"/>
      <c r="AI292" s="1928">
        <f ca="1">(AA292/V292)^(1/5)-1</f>
        <v>-6.2846234157417302E-2</v>
      </c>
      <c r="AK292" s="2862"/>
      <c r="AL292" s="2862"/>
      <c r="AM292" s="2861"/>
      <c r="AN292" s="2862"/>
      <c r="AO292" s="2862"/>
      <c r="AP292" s="2899"/>
      <c r="AQ292" s="2862"/>
      <c r="AR292" s="2862"/>
      <c r="AS292" s="2862"/>
      <c r="AT292" s="2899"/>
      <c r="AU292" s="2862"/>
      <c r="AV292" s="2862"/>
      <c r="AW292" s="2862"/>
      <c r="AX292" s="2864"/>
      <c r="AY292" s="2861"/>
      <c r="AZ292" s="2861"/>
      <c r="BA292" s="2861"/>
      <c r="BB292" s="2864"/>
      <c r="BC292" s="2861"/>
      <c r="BD292" s="2861"/>
      <c r="BE292" s="2861"/>
      <c r="BF292" s="2864"/>
      <c r="BG292" s="2861"/>
      <c r="BH292" s="2861"/>
      <c r="BI292" s="2861"/>
      <c r="BJ292" s="2864"/>
      <c r="BK292" s="2861"/>
      <c r="BL292" s="2861"/>
      <c r="BM292" s="2861"/>
      <c r="BN292" s="2864"/>
      <c r="BO292" s="2861"/>
      <c r="BP292" s="2861"/>
      <c r="BQ292" s="2861"/>
      <c r="BR292" s="2864"/>
      <c r="BS292" s="2861"/>
      <c r="BT292" s="2861"/>
      <c r="BU292" s="2861"/>
      <c r="BV292" s="2864"/>
      <c r="BW292" s="2861"/>
      <c r="BX292" s="2861"/>
      <c r="BY292" s="2861"/>
      <c r="BZ292" s="2864"/>
      <c r="CA292" s="2861"/>
      <c r="CB292" s="2861"/>
      <c r="CC292" s="2861"/>
      <c r="CD292" s="2864"/>
      <c r="CE292" s="2862"/>
      <c r="CF292" s="2862"/>
      <c r="CG292" s="2862"/>
      <c r="CH292" s="2900">
        <f t="shared" ref="CH292:DJ292" si="1217">+CH156-CH263</f>
        <v>807.3773365499992</v>
      </c>
      <c r="CI292" s="2898">
        <f t="shared" si="1217"/>
        <v>866.21775000000048</v>
      </c>
      <c r="CJ292" s="2898">
        <f t="shared" si="1217"/>
        <v>962.02844999999979</v>
      </c>
      <c r="CK292" s="2898">
        <f t="shared" si="1217"/>
        <v>1037.8555500000002</v>
      </c>
      <c r="CL292" s="2900">
        <f t="shared" si="1217"/>
        <v>917.58075000000008</v>
      </c>
      <c r="CM292" s="2898">
        <f t="shared" si="1217"/>
        <v>989.35019999999986</v>
      </c>
      <c r="CN292" s="2898">
        <f t="shared" ca="1" si="1217"/>
        <v>1018.6571999999996</v>
      </c>
      <c r="CO292" s="2898">
        <f t="shared" ca="1" si="1217"/>
        <v>1046.0834999999997</v>
      </c>
      <c r="CP292" s="2900">
        <f t="shared" si="1217"/>
        <v>1103.5477500000002</v>
      </c>
      <c r="CQ292" s="2898">
        <f t="shared" si="1217"/>
        <v>1110.9924000000005</v>
      </c>
      <c r="CR292" s="2898">
        <f t="shared" ca="1" si="1217"/>
        <v>1079.4479999999999</v>
      </c>
      <c r="CS292" s="2898">
        <f t="shared" ca="1" si="1217"/>
        <v>1075.69065</v>
      </c>
      <c r="CT292" s="2900">
        <f t="shared" si="1217"/>
        <v>977.76915000000008</v>
      </c>
      <c r="CU292" s="2898">
        <f t="shared" si="1217"/>
        <v>999.69135000000051</v>
      </c>
      <c r="CV292" s="2898">
        <f t="shared" si="1217"/>
        <v>992.71619999999984</v>
      </c>
      <c r="CW292" s="2898">
        <f t="shared" si="1217"/>
        <v>926.89005000000043</v>
      </c>
      <c r="CX292" s="2900">
        <f t="shared" si="1217"/>
        <v>918.91499999999996</v>
      </c>
      <c r="CY292" s="2898">
        <f t="shared" si="1217"/>
        <v>888.22170000000006</v>
      </c>
      <c r="CZ292" s="2898">
        <f t="shared" si="1217"/>
        <v>917.9672999999998</v>
      </c>
      <c r="DA292" s="2898">
        <f t="shared" si="1217"/>
        <v>1004.7024000000001</v>
      </c>
      <c r="DB292" s="2900">
        <f t="shared" si="1217"/>
        <v>1031.0226000000002</v>
      </c>
      <c r="DC292" s="2898">
        <f t="shared" si="1217"/>
        <v>1057.52115</v>
      </c>
      <c r="DD292" s="2898">
        <f t="shared" si="1217"/>
        <v>1107.8760000000002</v>
      </c>
      <c r="DE292" s="2898">
        <f t="shared" si="1217"/>
        <v>1121.3356500000004</v>
      </c>
      <c r="DF292" s="2900">
        <f t="shared" si="1217"/>
        <v>1121.8497000000002</v>
      </c>
      <c r="DG292" s="2898">
        <f t="shared" si="1217"/>
        <v>1137.6706500000005</v>
      </c>
      <c r="DH292" s="2898">
        <f t="shared" si="1217"/>
        <v>1098.4045499999997</v>
      </c>
      <c r="DI292" s="2901">
        <f t="shared" si="1217"/>
        <v>1012.2397499999997</v>
      </c>
      <c r="DJ292" s="2900">
        <f t="shared" si="1217"/>
        <v>1162.1581500000002</v>
      </c>
      <c r="DK292" s="2898">
        <f t="shared" ref="DK292:DP292" si="1218">+DK156-DK263</f>
        <v>1074.933</v>
      </c>
      <c r="DL292" s="2898">
        <f t="shared" si="1218"/>
        <v>1086.4719000000005</v>
      </c>
      <c r="DM292" s="2901">
        <f t="shared" si="1218"/>
        <v>998.7198000000003</v>
      </c>
      <c r="DN292" s="2898">
        <f t="shared" si="1218"/>
        <v>1068.0988500000003</v>
      </c>
      <c r="DO292" s="2898">
        <f t="shared" si="1218"/>
        <v>998.41784999999982</v>
      </c>
      <c r="DP292" s="2898">
        <f t="shared" si="1218"/>
        <v>985.53600000000006</v>
      </c>
      <c r="DQ292" s="2901">
        <f t="shared" ref="DQ292" si="1219">+DQ156-DQ263</f>
        <v>1000.4079000000002</v>
      </c>
      <c r="DR292" s="2900">
        <f t="shared" ref="DR292" si="1220">+DR156-DR263</f>
        <v>1008.9898500000004</v>
      </c>
      <c r="DS292" s="2898">
        <f t="shared" ref="DS292:DT292" si="1221">+DS156-DS263</f>
        <v>975.79619999999977</v>
      </c>
      <c r="DT292" s="2898">
        <f t="shared" si="1221"/>
        <v>918.94679999999971</v>
      </c>
      <c r="DU292" s="3292">
        <f t="shared" ref="DU292" si="1222">+DU156-DU263</f>
        <v>998.3765999999996</v>
      </c>
      <c r="DV292" s="3324">
        <f t="shared" ref="DV292" si="1223">+DV156-DV263</f>
        <v>1000.1280000000002</v>
      </c>
      <c r="DW292" s="2898">
        <f t="shared" ref="DW292" ca="1" si="1224">DW294*(AVERAGE(DV286:DW286))*3</f>
        <v>898.54911659479649</v>
      </c>
      <c r="DX292" s="2898">
        <f t="shared" ref="DX292" ca="1" si="1225">DX294*(AVERAGE(DW286:DX286))*3</f>
        <v>815.7584973896769</v>
      </c>
      <c r="DY292" s="2901">
        <f t="shared" ref="DY292" ca="1" si="1226">DY294*(AVERAGE(DX286:DY286))*3</f>
        <v>867.41874804634301</v>
      </c>
    </row>
    <row r="293" spans="1:130" ht="15" customHeight="1">
      <c r="A293" s="2860" t="s">
        <v>1453</v>
      </c>
      <c r="B293" s="2207"/>
      <c r="C293" s="2207"/>
      <c r="D293" s="2207"/>
      <c r="E293" s="2207"/>
      <c r="F293" s="2207"/>
      <c r="G293" s="2207"/>
      <c r="H293" s="2207"/>
      <c r="I293" s="2207"/>
      <c r="J293" s="2207"/>
      <c r="K293" s="2207"/>
      <c r="L293" s="2207"/>
      <c r="M293" s="2207"/>
      <c r="N293" s="2207"/>
      <c r="O293" s="2207"/>
      <c r="P293" s="2207"/>
      <c r="Q293" s="2207"/>
      <c r="R293" s="2207">
        <f t="shared" ref="R293:AB293" ca="1" si="1227">R292/Q292-1</f>
        <v>0.10021149406950625</v>
      </c>
      <c r="S293" s="2207">
        <f t="shared" ca="1" si="1227"/>
        <v>-0.10815716020134014</v>
      </c>
      <c r="T293" s="2207">
        <f t="shared" si="1227"/>
        <v>-4.2919549684387825E-2</v>
      </c>
      <c r="U293" s="2207">
        <f t="shared" si="1227"/>
        <v>0.15763525956736002</v>
      </c>
      <c r="V293" s="2207">
        <f t="shared" si="1227"/>
        <v>1.2138077576140605E-2</v>
      </c>
      <c r="W293" s="2207">
        <f>W292/V292-1</f>
        <v>-1.0956520825822658E-2</v>
      </c>
      <c r="X293" s="2207">
        <f>X292/W292-1</f>
        <v>-6.2425865998103514E-2</v>
      </c>
      <c r="Y293" s="2207">
        <f>Y292/X292-1</f>
        <v>-3.7101199700744991E-2</v>
      </c>
      <c r="Z293" s="2207">
        <f ca="1">Z292/Y292-1</f>
        <v>-8.2072297579757314E-2</v>
      </c>
      <c r="AA293" s="2207">
        <f t="shared" ca="1" si="1227"/>
        <v>-0.11804962410619702</v>
      </c>
      <c r="AB293" s="2207">
        <f t="shared" ca="1" si="1227"/>
        <v>-7.2667211254180075E-2</v>
      </c>
      <c r="AC293" s="2207">
        <f t="shared" ref="AC293" ca="1" si="1228">AC292/AB292-1</f>
        <v>-4.6905635018759106E-2</v>
      </c>
      <c r="AD293" s="2207">
        <f t="shared" ref="AD293" ca="1" si="1229">AD292/AC292-1</f>
        <v>-3.3373524704093938E-2</v>
      </c>
      <c r="AE293" s="2207">
        <f t="shared" ref="AE293" ca="1" si="1230">AE292/AD292-1</f>
        <v>-2.6554291277123609E-2</v>
      </c>
      <c r="AF293" s="2207">
        <f t="shared" ref="AF293" ca="1" si="1231">AF292/AE292-1</f>
        <v>-2.3189719859943447E-2</v>
      </c>
      <c r="AG293" s="2207">
        <f t="shared" ref="AG293" ca="1" si="1232">AG292/AF292-1</f>
        <v>-2.1546966326824957E-2</v>
      </c>
      <c r="AH293" s="2201"/>
      <c r="AI293" s="1927"/>
      <c r="AK293" s="2207"/>
      <c r="AL293" s="2207"/>
      <c r="AM293" s="2207"/>
      <c r="AN293" s="2207"/>
      <c r="AO293" s="2207"/>
      <c r="AP293" s="2208"/>
      <c r="AQ293" s="2207"/>
      <c r="AR293" s="2207"/>
      <c r="AS293" s="2207"/>
      <c r="AT293" s="2208"/>
      <c r="AU293" s="2207"/>
      <c r="AV293" s="2207"/>
      <c r="AW293" s="2207"/>
      <c r="AX293" s="2208"/>
      <c r="AY293" s="2207"/>
      <c r="AZ293" s="2207"/>
      <c r="BA293" s="2207"/>
      <c r="BB293" s="2208"/>
      <c r="BC293" s="2207"/>
      <c r="BD293" s="2207"/>
      <c r="BE293" s="2207"/>
      <c r="BF293" s="2208"/>
      <c r="BG293" s="2207"/>
      <c r="BH293" s="2207"/>
      <c r="BI293" s="2207"/>
      <c r="BJ293" s="2208"/>
      <c r="BK293" s="2207"/>
      <c r="BL293" s="2207"/>
      <c r="BM293" s="2207"/>
      <c r="BN293" s="2208"/>
      <c r="BO293" s="2207"/>
      <c r="BP293" s="2207"/>
      <c r="BQ293" s="2207"/>
      <c r="BR293" s="2208"/>
      <c r="BS293" s="2207"/>
      <c r="BT293" s="2207"/>
      <c r="BU293" s="2207"/>
      <c r="BV293" s="2208"/>
      <c r="BW293" s="2207"/>
      <c r="BX293" s="2207"/>
      <c r="BY293" s="2207"/>
      <c r="BZ293" s="2208"/>
      <c r="CA293" s="2207"/>
      <c r="CB293" s="2207"/>
      <c r="CC293" s="2207"/>
      <c r="CD293" s="2208"/>
      <c r="CE293" s="2207"/>
      <c r="CF293" s="2207"/>
      <c r="CG293" s="2207"/>
      <c r="CH293" s="2764"/>
      <c r="CI293" s="2752"/>
      <c r="CJ293" s="2207"/>
      <c r="CK293" s="2207"/>
      <c r="CL293" s="2208">
        <f t="shared" ref="CL293:DV293" si="1233">CL292/CH292-1</f>
        <v>0.13649554980191869</v>
      </c>
      <c r="CM293" s="2207">
        <f t="shared" si="1233"/>
        <v>0.1421495345714161</v>
      </c>
      <c r="CN293" s="2207">
        <f t="shared" ca="1" si="1233"/>
        <v>5.8863903661060979E-2</v>
      </c>
      <c r="CO293" s="2207">
        <f t="shared" ca="1" si="1233"/>
        <v>7.9278373565565552E-3</v>
      </c>
      <c r="CP293" s="2208">
        <f t="shared" si="1233"/>
        <v>0.20267099108171149</v>
      </c>
      <c r="CQ293" s="2207">
        <f t="shared" si="1233"/>
        <v>0.12295161005678334</v>
      </c>
      <c r="CR293" s="2207">
        <f t="shared" ca="1" si="1233"/>
        <v>5.967738705425174E-2</v>
      </c>
      <c r="CS293" s="2207">
        <f t="shared" ca="1" si="1233"/>
        <v>2.8302855364796597E-2</v>
      </c>
      <c r="CT293" s="2208">
        <f t="shared" si="1233"/>
        <v>-0.1139765814392717</v>
      </c>
      <c r="CU293" s="2207">
        <f t="shared" si="1233"/>
        <v>-0.1001816484073158</v>
      </c>
      <c r="CV293" s="2207">
        <f t="shared" ca="1" si="1233"/>
        <v>-8.0348289125553141E-2</v>
      </c>
      <c r="CW293" s="2207">
        <f t="shared" ca="1" si="1233"/>
        <v>-0.13833029040458755</v>
      </c>
      <c r="CX293" s="2208">
        <f t="shared" si="1233"/>
        <v>-6.0192275446612431E-2</v>
      </c>
      <c r="CY293" s="2207">
        <f t="shared" si="1233"/>
        <v>-0.11150406572988791</v>
      </c>
      <c r="CZ293" s="2207">
        <f t="shared" si="1233"/>
        <v>-7.5297350844078181E-2</v>
      </c>
      <c r="DA293" s="2207">
        <f t="shared" si="1233"/>
        <v>8.3949924804996634E-2</v>
      </c>
      <c r="DB293" s="2208">
        <f t="shared" si="1233"/>
        <v>0.12199996735280227</v>
      </c>
      <c r="DC293" s="2207">
        <f t="shared" si="1233"/>
        <v>0.1906049469406117</v>
      </c>
      <c r="DD293" s="2207">
        <f t="shared" si="1233"/>
        <v>0.20687959146257229</v>
      </c>
      <c r="DE293" s="2207">
        <f t="shared" si="1233"/>
        <v>0.1160873607945998</v>
      </c>
      <c r="DF293" s="2208">
        <f t="shared" si="1233"/>
        <v>8.8094189205939699E-2</v>
      </c>
      <c r="DG293" s="2207">
        <f t="shared" si="1233"/>
        <v>7.5789973562231383E-2</v>
      </c>
      <c r="DH293" s="2207">
        <f t="shared" si="1233"/>
        <v>-8.5491968415242203E-3</v>
      </c>
      <c r="DI293" s="2209">
        <f t="shared" si="1233"/>
        <v>-9.7291029675191987E-2</v>
      </c>
      <c r="DJ293" s="2208">
        <f t="shared" si="1233"/>
        <v>3.5930347888848191E-2</v>
      </c>
      <c r="DK293" s="2207">
        <f t="shared" si="1233"/>
        <v>-5.5145704954241759E-2</v>
      </c>
      <c r="DL293" s="2207">
        <f t="shared" si="1233"/>
        <v>-1.0863620330049839E-2</v>
      </c>
      <c r="DM293" s="2209">
        <f t="shared" si="1233"/>
        <v>-1.3356470144547661E-2</v>
      </c>
      <c r="DN293" s="2207">
        <f t="shared" si="1233"/>
        <v>-8.0935025925688242E-2</v>
      </c>
      <c r="DO293" s="2207">
        <f t="shared" si="1233"/>
        <v>-7.118132013809253E-2</v>
      </c>
      <c r="DP293" s="2207">
        <f t="shared" si="1233"/>
        <v>-9.2902448742577137E-2</v>
      </c>
      <c r="DQ293" s="2209">
        <f t="shared" si="1233"/>
        <v>1.6902638758136135E-3</v>
      </c>
      <c r="DR293" s="2208">
        <f t="shared" si="1233"/>
        <v>-5.5340383523491243E-2</v>
      </c>
      <c r="DS293" s="2207">
        <f t="shared" si="1233"/>
        <v>-2.2657497559764206E-2</v>
      </c>
      <c r="DT293" s="2207">
        <f t="shared" si="1233"/>
        <v>-6.7566481589714011E-2</v>
      </c>
      <c r="DU293" s="2209">
        <f t="shared" si="1233"/>
        <v>-2.0304717705653674E-3</v>
      </c>
      <c r="DV293" s="2207">
        <f t="shared" si="1233"/>
        <v>-8.7828931083897555E-3</v>
      </c>
      <c r="DW293" s="2207">
        <f t="shared" ref="DW293" ca="1" si="1234">DW292/DS292-1</f>
        <v>-7.9163132019988702E-2</v>
      </c>
      <c r="DX293" s="2207">
        <f t="shared" ref="DX293" ca="1" si="1235">DX292/DT292-1</f>
        <v>-0.11228974583765117</v>
      </c>
      <c r="DY293" s="2209">
        <f t="shared" ref="DY293" ca="1" si="1236">DY292/DU292-1</f>
        <v>-0.13117079462164538</v>
      </c>
    </row>
    <row r="294" spans="1:130" s="1840" customFormat="1" ht="15" customHeight="1">
      <c r="A294" s="1882" t="s">
        <v>5</v>
      </c>
      <c r="B294" s="1854"/>
      <c r="C294" s="1854"/>
      <c r="D294" s="1854"/>
      <c r="E294" s="1854"/>
      <c r="F294" s="1854"/>
      <c r="G294" s="1854"/>
      <c r="H294" s="1854"/>
      <c r="I294" s="1854"/>
      <c r="J294" s="1854"/>
      <c r="K294" s="1854"/>
      <c r="L294" s="1854"/>
      <c r="M294" s="1854"/>
      <c r="N294" s="1854"/>
      <c r="O294" s="1854"/>
      <c r="P294" s="1854"/>
      <c r="Q294" s="1854"/>
      <c r="R294" s="1854">
        <f t="shared" ref="R294:Z294" ca="1" si="1237">+R292/AVERAGE(Q286:R286)/12</f>
        <v>7.780767094017095E-2</v>
      </c>
      <c r="S294" s="1854">
        <f t="shared" si="1237"/>
        <v>7.0637425231103876E-2</v>
      </c>
      <c r="T294" s="1854">
        <f t="shared" si="1237"/>
        <v>5.9287973295183594E-2</v>
      </c>
      <c r="U294" s="1854">
        <f t="shared" si="1237"/>
        <v>6.1260398399591402E-2</v>
      </c>
      <c r="V294" s="1854">
        <f t="shared" si="1237"/>
        <v>5.9804645291074814E-2</v>
      </c>
      <c r="W294" s="1854">
        <f t="shared" si="1237"/>
        <v>6.150789574795084E-2</v>
      </c>
      <c r="X294" s="1854">
        <f t="shared" si="1237"/>
        <v>6.1250575859254558E-2</v>
      </c>
      <c r="Y294" s="1854">
        <f t="shared" si="1237"/>
        <v>5.9940237327188929E-2</v>
      </c>
      <c r="Z294" s="1854">
        <f t="shared" ca="1" si="1237"/>
        <v>5.9515500750147228E-2</v>
      </c>
      <c r="AA294" s="1855">
        <f ca="1">+Z294</f>
        <v>5.9515500750147228E-2</v>
      </c>
      <c r="AB294" s="1855">
        <f ca="1">+AA294</f>
        <v>5.9515500750147228E-2</v>
      </c>
      <c r="AC294" s="1855">
        <f t="shared" ref="AC294:AG294" ca="1" si="1238">+AB294</f>
        <v>5.9515500750147228E-2</v>
      </c>
      <c r="AD294" s="1855">
        <f t="shared" ca="1" si="1238"/>
        <v>5.9515500750147228E-2</v>
      </c>
      <c r="AE294" s="1855">
        <f t="shared" ca="1" si="1238"/>
        <v>5.9515500750147228E-2</v>
      </c>
      <c r="AF294" s="1855">
        <f t="shared" ca="1" si="1238"/>
        <v>5.9515500750147228E-2</v>
      </c>
      <c r="AG294" s="1855">
        <f t="shared" ca="1" si="1238"/>
        <v>5.9515500750147228E-2</v>
      </c>
      <c r="AH294" s="2220"/>
      <c r="AI294" s="2609"/>
      <c r="AJ294" s="2221"/>
      <c r="AK294" s="1854"/>
      <c r="AL294" s="1854"/>
      <c r="AM294" s="1854"/>
      <c r="AN294" s="1854"/>
      <c r="AO294" s="1854"/>
      <c r="AP294" s="1883"/>
      <c r="AQ294" s="1854"/>
      <c r="AR294" s="1854"/>
      <c r="AS294" s="1854"/>
      <c r="AT294" s="1883"/>
      <c r="AU294" s="1854"/>
      <c r="AV294" s="1854"/>
      <c r="AW294" s="1854"/>
      <c r="AX294" s="1883"/>
      <c r="AY294" s="1854"/>
      <c r="AZ294" s="1854"/>
      <c r="BA294" s="1854"/>
      <c r="BB294" s="1883"/>
      <c r="BC294" s="1854"/>
      <c r="BD294" s="1854"/>
      <c r="BE294" s="1854"/>
      <c r="BF294" s="1883"/>
      <c r="BG294" s="1854"/>
      <c r="BH294" s="1854"/>
      <c r="BI294" s="1854"/>
      <c r="BJ294" s="1883"/>
      <c r="BK294" s="1854"/>
      <c r="BL294" s="1854"/>
      <c r="BM294" s="1854"/>
      <c r="BN294" s="1883"/>
      <c r="BO294" s="1854"/>
      <c r="BP294" s="1854"/>
      <c r="BQ294" s="1854"/>
      <c r="BR294" s="1883"/>
      <c r="BS294" s="1854"/>
      <c r="BT294" s="1854"/>
      <c r="BU294" s="1854"/>
      <c r="BV294" s="1883"/>
      <c r="BW294" s="1854"/>
      <c r="BX294" s="1854"/>
      <c r="BY294" s="1854"/>
      <c r="BZ294" s="1883"/>
      <c r="CA294" s="1854"/>
      <c r="CB294" s="1854"/>
      <c r="CC294" s="1854"/>
      <c r="CD294" s="1883"/>
      <c r="CE294" s="1854"/>
      <c r="CF294" s="1854"/>
      <c r="CG294" s="1854"/>
      <c r="CH294" s="1884">
        <f t="shared" ref="CH294:DV294" si="1239">CH292/(AVERAGE(CG286:CH286)*3)</f>
        <v>6.0655355150867091E-2</v>
      </c>
      <c r="CI294" s="1885">
        <f t="shared" si="1239"/>
        <v>6.8316396545605146E-2</v>
      </c>
      <c r="CJ294" s="1885">
        <f t="shared" si="1239"/>
        <v>7.3837474096246816E-2</v>
      </c>
      <c r="CK294" s="1885">
        <f t="shared" si="1239"/>
        <v>7.7273140495867781E-2</v>
      </c>
      <c r="CL294" s="1884">
        <f t="shared" si="1239"/>
        <v>6.5187606564364883E-2</v>
      </c>
      <c r="CM294" s="1885">
        <f t="shared" si="1239"/>
        <v>6.7975553952385845E-2</v>
      </c>
      <c r="CN294" s="1885">
        <f t="shared" ca="1" si="1239"/>
        <v>6.9480744833230995E-2</v>
      </c>
      <c r="CO294" s="1885">
        <f t="shared" ca="1" si="1239"/>
        <v>7.0822484005280781E-2</v>
      </c>
      <c r="CP294" s="1884">
        <f t="shared" si="1239"/>
        <v>7.5433046242181903E-2</v>
      </c>
      <c r="CQ294" s="1885">
        <f t="shared" si="1239"/>
        <v>7.8743525409313245E-2</v>
      </c>
      <c r="CR294" s="1885">
        <f t="shared" ca="1" si="1239"/>
        <v>7.925462555066079E-2</v>
      </c>
      <c r="CS294" s="1885">
        <f t="shared" ca="1" si="1239"/>
        <v>8.0693946213570386E-2</v>
      </c>
      <c r="CT294" s="1884">
        <f t="shared" si="1239"/>
        <v>7.4132389400659623E-2</v>
      </c>
      <c r="CU294" s="1885">
        <f t="shared" si="1239"/>
        <v>7.5493985047575929E-2</v>
      </c>
      <c r="CV294" s="1885">
        <f t="shared" si="1239"/>
        <v>7.3714724883047436E-2</v>
      </c>
      <c r="CW294" s="1885">
        <f t="shared" si="1239"/>
        <v>6.6315378836660263E-2</v>
      </c>
      <c r="CX294" s="1884">
        <f t="shared" si="1239"/>
        <v>6.2447502548419978E-2</v>
      </c>
      <c r="CY294" s="1885">
        <f t="shared" si="1239"/>
        <v>5.7262140992167108E-2</v>
      </c>
      <c r="CZ294" s="1885">
        <f t="shared" si="1239"/>
        <v>5.6346395359543305E-2</v>
      </c>
      <c r="DA294" s="1885">
        <f t="shared" si="1239"/>
        <v>5.9564393063583826E-2</v>
      </c>
      <c r="DB294" s="1884">
        <f t="shared" si="1239"/>
        <v>6.0061901433065376E-2</v>
      </c>
      <c r="DC294" s="1885">
        <f t="shared" si="1239"/>
        <v>6.0792799862033287E-2</v>
      </c>
      <c r="DD294" s="1885">
        <f t="shared" si="1239"/>
        <v>6.2496530715857181E-2</v>
      </c>
      <c r="DE294" s="1885">
        <f t="shared" si="1239"/>
        <v>6.2234190809190834E-2</v>
      </c>
      <c r="DF294" s="1884">
        <f t="shared" si="1239"/>
        <v>6.1789474553866505E-2</v>
      </c>
      <c r="DG294" s="1885">
        <f t="shared" si="1239"/>
        <v>6.2676398644740131E-2</v>
      </c>
      <c r="DH294" s="1885">
        <f t="shared" si="1239"/>
        <v>6.0533165247582031E-2</v>
      </c>
      <c r="DI294" s="1886">
        <f t="shared" si="1239"/>
        <v>5.5381739844070563E-2</v>
      </c>
      <c r="DJ294" s="1884">
        <f t="shared" si="1239"/>
        <v>6.4152695205763027E-2</v>
      </c>
      <c r="DK294" s="1885">
        <f t="shared" si="1239"/>
        <v>6.0926883183132122E-2</v>
      </c>
      <c r="DL294" s="1885">
        <f t="shared" si="1239"/>
        <v>6.2689510126363188E-2</v>
      </c>
      <c r="DM294" s="1886">
        <f t="shared" si="1239"/>
        <v>5.8833012282407018E-2</v>
      </c>
      <c r="DN294" s="1885">
        <f t="shared" si="1239"/>
        <v>6.4839364414496461E-2</v>
      </c>
      <c r="DO294" s="1885">
        <f t="shared" si="1239"/>
        <v>6.1767993689680764E-2</v>
      </c>
      <c r="DP294" s="1885">
        <f t="shared" si="1239"/>
        <v>6.0667036011080339E-2</v>
      </c>
      <c r="DQ294" s="1886">
        <f t="shared" si="1239"/>
        <v>6.1170191690360462E-2</v>
      </c>
      <c r="DR294" s="1884">
        <f t="shared" si="1239"/>
        <v>6.1842410591155673E-2</v>
      </c>
      <c r="DS294" s="1885">
        <f t="shared" si="1239"/>
        <v>5.9802426916712614E-2</v>
      </c>
      <c r="DT294" s="1885">
        <f t="shared" si="1239"/>
        <v>5.5512069590431298E-2</v>
      </c>
      <c r="DU294" s="1886">
        <f t="shared" si="1239"/>
        <v>6.0557219543262646E-2</v>
      </c>
      <c r="DV294" s="1885">
        <f t="shared" si="1239"/>
        <v>6.3676057683124829E-2</v>
      </c>
      <c r="DW294" s="1855">
        <f>+DS294+0.0005</f>
        <v>6.0302426916712615E-2</v>
      </c>
      <c r="DX294" s="1855">
        <f t="shared" ref="DX294:DY294" si="1240">+DT294+0.0005</f>
        <v>5.6012069590431299E-2</v>
      </c>
      <c r="DY294" s="1856">
        <f t="shared" si="1240"/>
        <v>6.1057219543262646E-2</v>
      </c>
    </row>
    <row r="295" spans="1:130">
      <c r="A295" s="2902"/>
      <c r="B295" s="2264"/>
      <c r="C295" s="2264"/>
      <c r="D295" s="2264"/>
      <c r="E295" s="2264"/>
      <c r="F295" s="2264"/>
      <c r="G295" s="2264"/>
      <c r="H295" s="2264"/>
      <c r="I295" s="2264"/>
      <c r="J295" s="2264"/>
      <c r="K295" s="2264"/>
      <c r="L295" s="2264"/>
      <c r="M295" s="2264"/>
      <c r="N295" s="2264"/>
      <c r="O295" s="2264"/>
      <c r="P295" s="2264"/>
      <c r="Q295" s="2264"/>
      <c r="R295" s="2264"/>
      <c r="S295" s="2264"/>
      <c r="T295" s="2264"/>
      <c r="U295" s="2264"/>
      <c r="V295" s="2264"/>
      <c r="W295" s="2264"/>
      <c r="X295" s="2264"/>
      <c r="Y295" s="2264"/>
      <c r="Z295" s="2264"/>
      <c r="AA295" s="2802"/>
      <c r="AB295" s="2802"/>
      <c r="AC295" s="2802"/>
      <c r="AD295" s="2802"/>
      <c r="AE295" s="2802"/>
      <c r="AF295" s="2802"/>
      <c r="AG295" s="2802"/>
      <c r="AH295" s="2201"/>
      <c r="AI295" s="2285"/>
      <c r="AK295" s="2264"/>
      <c r="AL295" s="2264"/>
      <c r="AM295" s="2264"/>
      <c r="AN295" s="2264"/>
      <c r="AO295" s="2264"/>
      <c r="AP295" s="2265"/>
      <c r="AQ295" s="2264"/>
      <c r="AR295" s="2264"/>
      <c r="AS295" s="2264"/>
      <c r="AT295" s="2265"/>
      <c r="AU295" s="2264"/>
      <c r="AV295" s="2264"/>
      <c r="AW295" s="2264"/>
      <c r="AX295" s="2265"/>
      <c r="AY295" s="2264"/>
      <c r="AZ295" s="2264"/>
      <c r="BA295" s="2264"/>
      <c r="BB295" s="2265"/>
      <c r="BC295" s="2264"/>
      <c r="BD295" s="2264"/>
      <c r="BE295" s="2264"/>
      <c r="BF295" s="2265"/>
      <c r="BG295" s="2264"/>
      <c r="BH295" s="2264"/>
      <c r="BI295" s="2264"/>
      <c r="BJ295" s="2265"/>
      <c r="BK295" s="2264"/>
      <c r="BL295" s="2264"/>
      <c r="BM295" s="2264"/>
      <c r="BN295" s="2265"/>
      <c r="BO295" s="2264"/>
      <c r="BP295" s="2264"/>
      <c r="BQ295" s="2264"/>
      <c r="BR295" s="2265"/>
      <c r="BS295" s="2264"/>
      <c r="BT295" s="2264"/>
      <c r="BU295" s="2264"/>
      <c r="BV295" s="2265"/>
      <c r="BW295" s="2264"/>
      <c r="BX295" s="2264"/>
      <c r="BY295" s="2264"/>
      <c r="BZ295" s="2265"/>
      <c r="CA295" s="2264"/>
      <c r="CB295" s="2264"/>
      <c r="CC295" s="2264"/>
      <c r="CD295" s="2265"/>
      <c r="CE295" s="2264"/>
      <c r="CF295" s="2264"/>
      <c r="CG295" s="2264"/>
      <c r="CH295" s="2903"/>
      <c r="CI295" s="2904"/>
      <c r="CJ295" s="2904"/>
      <c r="CK295" s="2904"/>
      <c r="CL295" s="2903"/>
      <c r="CM295" s="2904"/>
      <c r="CN295" s="2904"/>
      <c r="CO295" s="2904"/>
      <c r="CP295" s="2903"/>
      <c r="CQ295" s="2904"/>
      <c r="CR295" s="2904"/>
      <c r="CS295" s="2904"/>
      <c r="CT295" s="2903"/>
      <c r="CU295" s="2904"/>
      <c r="CV295" s="2904"/>
      <c r="CW295" s="2904"/>
      <c r="CX295" s="2903"/>
      <c r="CY295" s="2904"/>
      <c r="CZ295" s="2904"/>
      <c r="DA295" s="2904"/>
      <c r="DB295" s="2903"/>
      <c r="DC295" s="2904"/>
      <c r="DD295" s="2904"/>
      <c r="DE295" s="2904"/>
      <c r="DF295" s="2903"/>
      <c r="DG295" s="2904"/>
      <c r="DH295" s="2904"/>
      <c r="DI295" s="2905"/>
      <c r="DJ295" s="2903"/>
      <c r="DK295" s="2904"/>
      <c r="DL295" s="2904"/>
      <c r="DM295" s="2905"/>
      <c r="DN295" s="2904"/>
      <c r="DO295" s="2904"/>
      <c r="DP295" s="2904"/>
      <c r="DQ295" s="2905"/>
      <c r="DR295" s="2903"/>
      <c r="DS295" s="2904"/>
      <c r="DT295" s="2904"/>
      <c r="DU295" s="2905"/>
      <c r="DV295" s="2904"/>
      <c r="DW295" s="2802"/>
      <c r="DX295" s="2802"/>
      <c r="DY295" s="2906"/>
    </row>
    <row r="296" spans="1:130" s="1491" customFormat="1" hidden="1" outlineLevel="1">
      <c r="A296" s="198" t="s">
        <v>1622</v>
      </c>
      <c r="B296" s="1476"/>
      <c r="C296" s="1476"/>
      <c r="D296" s="1476"/>
      <c r="E296" s="1476"/>
      <c r="F296" s="1476"/>
      <c r="G296" s="1476"/>
      <c r="H296" s="1476"/>
      <c r="I296" s="1476"/>
      <c r="J296" s="1476"/>
      <c r="K296" s="1476"/>
      <c r="L296" s="1476"/>
      <c r="M296" s="1476"/>
      <c r="N296" s="1476"/>
      <c r="O296" s="1476"/>
      <c r="P296" s="1476"/>
      <c r="Q296" s="1476"/>
      <c r="R296" s="1476"/>
      <c r="S296" s="1476"/>
      <c r="T296" s="1476"/>
      <c r="U296" s="1476"/>
      <c r="V296" s="1476"/>
      <c r="W296" s="1476"/>
      <c r="X296" s="1476"/>
      <c r="Y296" s="1476"/>
      <c r="Z296" s="1476"/>
      <c r="AA296" s="1476"/>
      <c r="AB296" s="1476"/>
      <c r="AC296" s="1476"/>
      <c r="AD296" s="1476"/>
      <c r="AE296" s="1476"/>
      <c r="AF296" s="1476"/>
      <c r="AG296" s="1476"/>
      <c r="AH296" s="2201"/>
      <c r="AI296" s="1927"/>
      <c r="AJ296" s="1561"/>
      <c r="AK296" s="1476"/>
      <c r="AL296" s="1476"/>
      <c r="AM296" s="1476"/>
      <c r="AN296" s="1476"/>
      <c r="AO296" s="1476"/>
      <c r="AP296" s="798"/>
      <c r="AQ296" s="1476"/>
      <c r="AR296" s="1476"/>
      <c r="AS296" s="1476"/>
      <c r="AT296" s="798"/>
      <c r="AU296" s="1476"/>
      <c r="AV296" s="1476"/>
      <c r="AW296" s="1476"/>
      <c r="AX296" s="798"/>
      <c r="AY296" s="1476"/>
      <c r="AZ296" s="1476"/>
      <c r="BA296" s="1476"/>
      <c r="BB296" s="798"/>
      <c r="BC296" s="1476"/>
      <c r="BD296" s="1476"/>
      <c r="BE296" s="1476"/>
      <c r="BF296" s="798"/>
      <c r="BG296" s="1476"/>
      <c r="BH296" s="1476"/>
      <c r="BI296" s="1476"/>
      <c r="BJ296" s="798"/>
      <c r="BK296" s="1476"/>
      <c r="BL296" s="1476"/>
      <c r="BM296" s="1476"/>
      <c r="BN296" s="798"/>
      <c r="BO296" s="1476"/>
      <c r="BP296" s="1476"/>
      <c r="BQ296" s="1476"/>
      <c r="BR296" s="798"/>
      <c r="BS296" s="1476"/>
      <c r="BT296" s="1476"/>
      <c r="BU296" s="1476"/>
      <c r="BV296" s="798"/>
      <c r="BW296" s="1476"/>
      <c r="BX296" s="1476"/>
      <c r="BY296" s="1476"/>
      <c r="BZ296" s="798"/>
      <c r="CA296" s="1476"/>
      <c r="CB296" s="1476"/>
      <c r="CC296" s="1476"/>
      <c r="CD296" s="798"/>
      <c r="CE296" s="1476"/>
      <c r="CF296" s="1476"/>
      <c r="CG296" s="1476"/>
      <c r="CH296" s="798"/>
      <c r="CI296" s="1476"/>
      <c r="CJ296" s="1476"/>
      <c r="CK296" s="1476"/>
      <c r="CL296" s="798"/>
      <c r="CM296" s="1476"/>
      <c r="CN296" s="1476"/>
      <c r="CO296" s="1476"/>
      <c r="CP296" s="798"/>
      <c r="CQ296" s="1476"/>
      <c r="CR296" s="1476"/>
      <c r="CS296" s="1476"/>
      <c r="CT296" s="798"/>
      <c r="CU296" s="1476"/>
      <c r="CV296" s="1476"/>
      <c r="CW296" s="1476"/>
      <c r="CX296" s="798"/>
      <c r="CY296" s="1476"/>
      <c r="CZ296" s="1476"/>
      <c r="DA296" s="1476"/>
      <c r="DB296" s="798"/>
      <c r="DC296" s="1476"/>
      <c r="DD296" s="1476"/>
      <c r="DE296" s="1476"/>
      <c r="DF296" s="798"/>
      <c r="DG296" s="1476"/>
      <c r="DH296" s="1476"/>
      <c r="DI296" s="1477"/>
      <c r="DJ296" s="798"/>
      <c r="DK296" s="1476"/>
      <c r="DL296" s="1476"/>
      <c r="DM296" s="1477"/>
      <c r="DN296" s="1476"/>
      <c r="DO296" s="1476"/>
      <c r="DP296" s="1476"/>
      <c r="DQ296" s="1477"/>
      <c r="DR296" s="798"/>
      <c r="DS296" s="1476"/>
      <c r="DT296" s="1476"/>
      <c r="DU296" s="1477"/>
      <c r="DV296" s="1476"/>
      <c r="DW296" s="1476"/>
      <c r="DX296" s="1476"/>
      <c r="DY296" s="1477"/>
    </row>
    <row r="297" spans="1:130" s="1491" customFormat="1" hidden="1" outlineLevel="1">
      <c r="A297" s="1872"/>
      <c r="B297" s="1816"/>
      <c r="C297" s="1816"/>
      <c r="D297" s="1816"/>
      <c r="E297" s="1816"/>
      <c r="F297" s="1816"/>
      <c r="G297" s="1816"/>
      <c r="H297" s="1816"/>
      <c r="I297" s="1816"/>
      <c r="J297" s="1816"/>
      <c r="K297" s="1816"/>
      <c r="L297" s="1816"/>
      <c r="M297" s="1816"/>
      <c r="N297" s="1816"/>
      <c r="O297" s="1816"/>
      <c r="P297" s="1816"/>
      <c r="Q297" s="1816"/>
      <c r="R297" s="1816"/>
      <c r="S297" s="1816"/>
      <c r="T297" s="1816"/>
      <c r="U297" s="1816"/>
      <c r="V297" s="1816"/>
      <c r="W297" s="1816"/>
      <c r="X297" s="1816"/>
      <c r="Y297" s="1816"/>
      <c r="Z297" s="1816"/>
      <c r="AA297" s="1356"/>
      <c r="AB297" s="1356"/>
      <c r="AC297" s="1356"/>
      <c r="AD297" s="1356"/>
      <c r="AE297" s="1356"/>
      <c r="AF297" s="1356"/>
      <c r="AG297" s="1356"/>
      <c r="AH297" s="2201"/>
      <c r="AI297" s="2285"/>
      <c r="AJ297" s="1561"/>
      <c r="AK297" s="1816"/>
      <c r="AL297" s="1816"/>
      <c r="AM297" s="1816"/>
      <c r="AN297" s="1816"/>
      <c r="AO297" s="1816"/>
      <c r="AP297" s="1873"/>
      <c r="AQ297" s="1816"/>
      <c r="AR297" s="1816"/>
      <c r="AS297" s="1816"/>
      <c r="AT297" s="1873"/>
      <c r="AU297" s="1816"/>
      <c r="AV297" s="1816"/>
      <c r="AW297" s="1816"/>
      <c r="AX297" s="1873"/>
      <c r="AY297" s="1816"/>
      <c r="AZ297" s="1816"/>
      <c r="BA297" s="1816"/>
      <c r="BB297" s="1873"/>
      <c r="BC297" s="1816"/>
      <c r="BD297" s="1816"/>
      <c r="BE297" s="1816"/>
      <c r="BF297" s="1873"/>
      <c r="BG297" s="1816"/>
      <c r="BH297" s="1816"/>
      <c r="BI297" s="1816"/>
      <c r="BJ297" s="1873"/>
      <c r="BK297" s="1816"/>
      <c r="BL297" s="1816"/>
      <c r="BM297" s="1816"/>
      <c r="BN297" s="1873"/>
      <c r="BO297" s="1816"/>
      <c r="BP297" s="1816"/>
      <c r="BQ297" s="1816"/>
      <c r="BR297" s="1873"/>
      <c r="BS297" s="1816"/>
      <c r="BT297" s="1816"/>
      <c r="BU297" s="1816"/>
      <c r="BV297" s="1873"/>
      <c r="BW297" s="1816"/>
      <c r="BX297" s="1816"/>
      <c r="BY297" s="1816"/>
      <c r="BZ297" s="1873"/>
      <c r="CA297" s="1816"/>
      <c r="CB297" s="1816"/>
      <c r="CC297" s="1816"/>
      <c r="CD297" s="1873"/>
      <c r="CE297" s="1816"/>
      <c r="CF297" s="1816"/>
      <c r="CG297" s="1816"/>
      <c r="CH297" s="1874"/>
      <c r="CI297" s="1875"/>
      <c r="CJ297" s="1875"/>
      <c r="CK297" s="1875"/>
      <c r="CL297" s="1874"/>
      <c r="CM297" s="1875"/>
      <c r="CN297" s="1875"/>
      <c r="CO297" s="1875"/>
      <c r="CP297" s="1874"/>
      <c r="CQ297" s="1875"/>
      <c r="CR297" s="1875"/>
      <c r="CS297" s="1875"/>
      <c r="CT297" s="1874"/>
      <c r="CU297" s="1875"/>
      <c r="CV297" s="1875"/>
      <c r="CW297" s="1875"/>
      <c r="CX297" s="1874"/>
      <c r="CY297" s="1875"/>
      <c r="CZ297" s="1875"/>
      <c r="DA297" s="1875"/>
      <c r="DB297" s="1874"/>
      <c r="DC297" s="1875"/>
      <c r="DD297" s="1875"/>
      <c r="DE297" s="1875"/>
      <c r="DF297" s="1874"/>
      <c r="DG297" s="1875"/>
      <c r="DH297" s="1875"/>
      <c r="DI297" s="1876"/>
      <c r="DJ297" s="1874"/>
      <c r="DK297" s="1875"/>
      <c r="DL297" s="1875"/>
      <c r="DM297" s="1876"/>
      <c r="DN297" s="1875"/>
      <c r="DO297" s="1875"/>
      <c r="DP297" s="1875"/>
      <c r="DQ297" s="1876"/>
      <c r="DR297" s="1874"/>
      <c r="DS297" s="1875"/>
      <c r="DT297" s="1875"/>
      <c r="DU297" s="1876"/>
      <c r="DV297" s="1875"/>
      <c r="DW297" s="1356"/>
      <c r="DX297" s="1356"/>
      <c r="DY297" s="975"/>
    </row>
    <row r="298" spans="1:130" s="1840" customFormat="1" ht="15.75" hidden="1" outlineLevel="1">
      <c r="A298" s="1871" t="s">
        <v>370</v>
      </c>
      <c r="D298" s="1354"/>
      <c r="E298" s="1354"/>
      <c r="F298" s="1354"/>
      <c r="G298" s="1850"/>
      <c r="H298" s="1354"/>
      <c r="I298" s="1354"/>
      <c r="J298" s="1354"/>
      <c r="K298" s="1354"/>
      <c r="L298" s="1354"/>
      <c r="M298" s="1354"/>
      <c r="N298" s="1354"/>
      <c r="O298" s="1354"/>
      <c r="P298" s="1354"/>
      <c r="Q298" s="1354">
        <f>SUM(CL298:CO298)</f>
        <v>50759</v>
      </c>
      <c r="R298" s="1354">
        <f>SUM(CP298:CS298)</f>
        <v>53308</v>
      </c>
      <c r="S298" s="1354">
        <f>SUM(CT298:CW298)</f>
        <v>56660</v>
      </c>
      <c r="T298" s="1354">
        <f>SUM(CX298:DA298)</f>
        <v>61440</v>
      </c>
      <c r="U298" s="1354">
        <f>SUM(DB298:DE298)</f>
        <v>66334</v>
      </c>
      <c r="V298" s="1354">
        <f>SUM(DF298:DI298)</f>
        <v>69501</v>
      </c>
      <c r="W298" s="1354">
        <f>SUM(DJ298:DM298)</f>
        <v>67312</v>
      </c>
      <c r="X298" s="1354">
        <f>SUM(DK298:DN298)</f>
        <v>66207</v>
      </c>
      <c r="Y298" s="1354">
        <f>SUM(DL298:DO298)</f>
        <v>65259</v>
      </c>
      <c r="Z298" s="1354">
        <f>SUM(DM298:DP298)</f>
        <v>64345</v>
      </c>
      <c r="AA298" s="1354">
        <f ca="1">+AA246+AA281</f>
        <v>59925.559843098272</v>
      </c>
      <c r="AB298" s="1354">
        <f ca="1">+AB246+AB281</f>
        <v>60944.331221101871</v>
      </c>
      <c r="AC298" s="1354">
        <f t="shared" ref="AC298:AG298" ca="1" si="1241">+AC246+AC281</f>
        <v>62041.905027799636</v>
      </c>
      <c r="AD298" s="1354">
        <f t="shared" ca="1" si="1241"/>
        <v>63208.996336391392</v>
      </c>
      <c r="AE298" s="1354">
        <f t="shared" ca="1" si="1241"/>
        <v>64451.273018813896</v>
      </c>
      <c r="AF298" s="1354">
        <f t="shared" ca="1" si="1241"/>
        <v>65780.869769470723</v>
      </c>
      <c r="AG298" s="1354">
        <f t="shared" ca="1" si="1241"/>
        <v>67212.624937177126</v>
      </c>
      <c r="AH298" s="2220"/>
      <c r="AI298" s="1977"/>
      <c r="AJ298" s="2221"/>
      <c r="AK298" s="1354"/>
      <c r="AL298" s="1354"/>
      <c r="AN298" s="1354"/>
      <c r="AO298" s="1354"/>
      <c r="AP298" s="974"/>
      <c r="AQ298" s="1354"/>
      <c r="AR298" s="1354"/>
      <c r="AS298" s="1354"/>
      <c r="AT298" s="974"/>
      <c r="AU298" s="1354"/>
      <c r="AV298" s="1354"/>
      <c r="AW298" s="1354"/>
      <c r="AX298" s="974"/>
      <c r="AY298" s="1354"/>
      <c r="AZ298" s="1354"/>
      <c r="BA298" s="1354"/>
      <c r="BB298" s="974"/>
      <c r="BC298" s="1354"/>
      <c r="BD298" s="1354"/>
      <c r="BE298" s="1354"/>
      <c r="BF298" s="974"/>
      <c r="BG298" s="1354"/>
      <c r="BH298" s="1354"/>
      <c r="BI298" s="1354"/>
      <c r="BJ298" s="974"/>
      <c r="BK298" s="1354"/>
      <c r="BL298" s="1354"/>
      <c r="BM298" s="1354"/>
      <c r="BN298" s="974"/>
      <c r="BO298" s="1354"/>
      <c r="BP298" s="1354"/>
      <c r="BQ298" s="1354"/>
      <c r="BR298" s="974"/>
      <c r="BS298" s="1354"/>
      <c r="BT298" s="1354"/>
      <c r="BU298" s="1354"/>
      <c r="BV298" s="974"/>
      <c r="BW298" s="1354"/>
      <c r="BX298" s="1354"/>
      <c r="BY298" s="1354"/>
      <c r="BZ298" s="974"/>
      <c r="CA298" s="1354"/>
      <c r="CB298" s="1354"/>
      <c r="CC298" s="1354"/>
      <c r="CD298" s="974"/>
      <c r="CE298" s="1354"/>
      <c r="CF298" s="1354"/>
      <c r="CG298" s="1354"/>
      <c r="CH298" s="974"/>
      <c r="CI298" s="1354"/>
      <c r="CJ298" s="1354"/>
      <c r="CK298" s="1354"/>
      <c r="CL298" s="974">
        <f t="shared" ref="CL298:DN298" si="1242">CL21</f>
        <v>12428</v>
      </c>
      <c r="CM298" s="1354">
        <f t="shared" si="1242"/>
        <v>12644</v>
      </c>
      <c r="CN298" s="1354">
        <f t="shared" si="1242"/>
        <v>12833</v>
      </c>
      <c r="CO298" s="1354">
        <f t="shared" si="1242"/>
        <v>12854</v>
      </c>
      <c r="CP298" s="974">
        <f t="shared" si="1242"/>
        <v>13034</v>
      </c>
      <c r="CQ298" s="1354">
        <f t="shared" si="1242"/>
        <v>13282</v>
      </c>
      <c r="CR298" s="1354">
        <f t="shared" si="1242"/>
        <v>13479</v>
      </c>
      <c r="CS298" s="1354">
        <f t="shared" si="1242"/>
        <v>13513</v>
      </c>
      <c r="CT298" s="974">
        <f t="shared" si="1242"/>
        <v>13674</v>
      </c>
      <c r="CU298" s="1354">
        <f t="shared" si="1242"/>
        <v>14019</v>
      </c>
      <c r="CV298" s="1354">
        <f t="shared" si="1242"/>
        <v>14405</v>
      </c>
      <c r="CW298" s="1354">
        <f t="shared" si="1242"/>
        <v>14562</v>
      </c>
      <c r="CX298" s="974">
        <f t="shared" si="1242"/>
        <v>14886</v>
      </c>
      <c r="CY298" s="1354">
        <f t="shared" si="1242"/>
        <v>15230</v>
      </c>
      <c r="CZ298" s="1354">
        <f t="shared" si="1242"/>
        <v>15538</v>
      </c>
      <c r="DA298" s="1354">
        <f t="shared" si="1242"/>
        <v>15786</v>
      </c>
      <c r="DB298" s="974">
        <f t="shared" si="1242"/>
        <v>16169</v>
      </c>
      <c r="DC298" s="1354">
        <f t="shared" si="1242"/>
        <v>16422</v>
      </c>
      <c r="DD298" s="1354">
        <f t="shared" si="1242"/>
        <v>16776</v>
      </c>
      <c r="DE298" s="1354">
        <f t="shared" si="1242"/>
        <v>16967</v>
      </c>
      <c r="DF298" s="974">
        <f t="shared" si="1242"/>
        <v>17246</v>
      </c>
      <c r="DG298" s="1354">
        <f t="shared" si="1242"/>
        <v>17288</v>
      </c>
      <c r="DH298" s="1354">
        <f t="shared" si="1242"/>
        <v>17556</v>
      </c>
      <c r="DI298" s="973">
        <f t="shared" si="1242"/>
        <v>17411</v>
      </c>
      <c r="DJ298" s="974">
        <f t="shared" si="1242"/>
        <v>17143</v>
      </c>
      <c r="DK298" s="1354">
        <f t="shared" si="1242"/>
        <v>16918</v>
      </c>
      <c r="DL298" s="1354">
        <f t="shared" si="1242"/>
        <v>16827</v>
      </c>
      <c r="DM298" s="973">
        <f t="shared" si="1242"/>
        <v>16424</v>
      </c>
      <c r="DN298" s="1354">
        <f t="shared" si="1242"/>
        <v>16038</v>
      </c>
      <c r="DO298" s="1354">
        <f t="shared" ref="DO298:DP298" si="1243">DO21</f>
        <v>15970</v>
      </c>
      <c r="DP298" s="1354">
        <f t="shared" si="1243"/>
        <v>15913</v>
      </c>
      <c r="DQ298" s="973">
        <f t="shared" ref="DQ298" si="1244">DQ21</f>
        <v>15575</v>
      </c>
      <c r="DR298" s="974">
        <f t="shared" ref="DR298" si="1245">DR21</f>
        <v>15007</v>
      </c>
      <c r="DS298" s="1354">
        <f t="shared" ref="DS298:DT298" si="1246">DS21</f>
        <v>14851</v>
      </c>
      <c r="DT298" s="1354">
        <f t="shared" si="1246"/>
        <v>15070</v>
      </c>
      <c r="DU298" s="973">
        <f t="shared" ref="DU298" si="1247">DU21</f>
        <v>15109</v>
      </c>
      <c r="DV298" s="1354">
        <f t="shared" ref="DV298" si="1248">DV21</f>
        <v>14631</v>
      </c>
      <c r="DW298" s="1354">
        <f t="shared" ref="DW298:DY298" ca="1" si="1249">+DW246+DW281</f>
        <v>14659.390651275204</v>
      </c>
      <c r="DX298" s="1354">
        <f t="shared" ca="1" si="1249"/>
        <v>14868.60352297711</v>
      </c>
      <c r="DY298" s="973">
        <f t="shared" ca="1" si="1249"/>
        <v>14869.379740529916</v>
      </c>
    </row>
    <row r="299" spans="1:130" s="1491" customFormat="1" hidden="1" outlineLevel="1">
      <c r="A299" s="1839" t="s">
        <v>1453</v>
      </c>
      <c r="B299" s="1483"/>
      <c r="C299" s="1483"/>
      <c r="D299" s="1483"/>
      <c r="E299" s="1483"/>
      <c r="F299" s="1483"/>
      <c r="G299" s="1483"/>
      <c r="H299" s="1483"/>
      <c r="I299" s="1483"/>
      <c r="J299" s="1483"/>
      <c r="K299" s="1483"/>
      <c r="L299" s="1483"/>
      <c r="M299" s="1483"/>
      <c r="N299" s="1483"/>
      <c r="O299" s="1483"/>
      <c r="P299" s="1483"/>
      <c r="Q299" s="1140"/>
      <c r="R299" s="1483">
        <f t="shared" ref="R299:AB299" si="1250">R298/Q298-1</f>
        <v>5.0217695384069838E-2</v>
      </c>
      <c r="S299" s="1483">
        <f t="shared" si="1250"/>
        <v>6.2879867937270184E-2</v>
      </c>
      <c r="T299" s="1483">
        <f t="shared" si="1250"/>
        <v>8.4362866219555244E-2</v>
      </c>
      <c r="U299" s="1483">
        <f t="shared" si="1250"/>
        <v>7.9654947916666607E-2</v>
      </c>
      <c r="V299" s="1483">
        <f t="shared" si="1250"/>
        <v>4.7743238761419393E-2</v>
      </c>
      <c r="W299" s="1483">
        <f>W298/V298-1</f>
        <v>-3.1495949698565506E-2</v>
      </c>
      <c r="X299" s="1483">
        <f>X298/W298-1</f>
        <v>-1.6416092227240275E-2</v>
      </c>
      <c r="Y299" s="1483">
        <f>Y298/X298-1</f>
        <v>-1.4318727626988048E-2</v>
      </c>
      <c r="Z299" s="1483">
        <f>Z298/Y298-1</f>
        <v>-1.400573101028213E-2</v>
      </c>
      <c r="AA299" s="1483">
        <f t="shared" ca="1" si="1250"/>
        <v>-6.8683505430130243E-2</v>
      </c>
      <c r="AB299" s="1483">
        <f t="shared" ca="1" si="1250"/>
        <v>1.700061510766071E-2</v>
      </c>
      <c r="AC299" s="1483">
        <f t="shared" ref="AC299" ca="1" si="1251">AC298/AB298-1</f>
        <v>1.8009448700254671E-2</v>
      </c>
      <c r="AD299" s="1483">
        <f t="shared" ref="AD299" ca="1" si="1252">AD298/AC298-1</f>
        <v>1.8811339014635386E-2</v>
      </c>
      <c r="AE299" s="1483">
        <f t="shared" ref="AE299" ca="1" si="1253">AE298/AD298-1</f>
        <v>1.9653479004970054E-2</v>
      </c>
      <c r="AF299" s="1483">
        <f t="shared" ref="AF299" ca="1" si="1254">AF298/AE298-1</f>
        <v>2.0629487803424773E-2</v>
      </c>
      <c r="AG299" s="1483">
        <f t="shared" ref="AG299" ca="1" si="1255">AG298/AF298-1</f>
        <v>2.1765525033706545E-2</v>
      </c>
      <c r="AH299" s="2201"/>
      <c r="AI299" s="1927"/>
      <c r="AJ299" s="1561"/>
      <c r="AK299" s="1483"/>
      <c r="AL299" s="1483"/>
      <c r="AM299" s="1483"/>
      <c r="AN299" s="1483"/>
      <c r="AO299" s="1483"/>
      <c r="AP299" s="1391"/>
      <c r="AQ299" s="1483"/>
      <c r="AR299" s="1483"/>
      <c r="AS299" s="1483"/>
      <c r="AT299" s="1391"/>
      <c r="AU299" s="1483"/>
      <c r="AV299" s="1483"/>
      <c r="AW299" s="1483"/>
      <c r="AX299" s="1391"/>
      <c r="AY299" s="1483"/>
      <c r="AZ299" s="1483"/>
      <c r="BA299" s="1483"/>
      <c r="BB299" s="1391"/>
      <c r="BC299" s="1483"/>
      <c r="BD299" s="1483"/>
      <c r="BE299" s="1483"/>
      <c r="BF299" s="1391"/>
      <c r="BG299" s="1483"/>
      <c r="BH299" s="1483"/>
      <c r="BI299" s="1483"/>
      <c r="BJ299" s="1391"/>
      <c r="BK299" s="1483"/>
      <c r="BL299" s="1483"/>
      <c r="BM299" s="1483"/>
      <c r="BN299" s="1391"/>
      <c r="BO299" s="1483"/>
      <c r="BP299" s="1483"/>
      <c r="BQ299" s="1483"/>
      <c r="BR299" s="1391"/>
      <c r="BS299" s="1483"/>
      <c r="BT299" s="1483"/>
      <c r="BU299" s="1483"/>
      <c r="BV299" s="1391"/>
      <c r="BW299" s="1483"/>
      <c r="BX299" s="1483"/>
      <c r="BY299" s="1483"/>
      <c r="BZ299" s="1391"/>
      <c r="CA299" s="1483"/>
      <c r="CB299" s="1483"/>
      <c r="CC299" s="1483"/>
      <c r="CD299" s="1391"/>
      <c r="CE299" s="1483"/>
      <c r="CF299" s="1483"/>
      <c r="CG299" s="1483"/>
      <c r="CH299" s="1810"/>
      <c r="CI299" s="1140"/>
      <c r="CJ299" s="1877"/>
      <c r="CK299" s="1140"/>
      <c r="CL299" s="1878"/>
      <c r="CM299" s="1877"/>
      <c r="CN299" s="1877"/>
      <c r="CO299" s="1877"/>
      <c r="CP299" s="1391">
        <f t="shared" ref="CP299:DV299" si="1256">CP298/CL298-1</f>
        <v>4.8760862568393959E-2</v>
      </c>
      <c r="CQ299" s="1483">
        <f t="shared" si="1256"/>
        <v>5.0458715596330306E-2</v>
      </c>
      <c r="CR299" s="1483">
        <f t="shared" si="1256"/>
        <v>5.0338969843372494E-2</v>
      </c>
      <c r="CS299" s="1483">
        <f t="shared" si="1256"/>
        <v>5.1268087754784419E-2</v>
      </c>
      <c r="CT299" s="1391">
        <f t="shared" si="1256"/>
        <v>4.9102347705999749E-2</v>
      </c>
      <c r="CU299" s="1483">
        <f t="shared" si="1256"/>
        <v>5.5488631230236507E-2</v>
      </c>
      <c r="CV299" s="1483">
        <f t="shared" si="1256"/>
        <v>6.8699458416796588E-2</v>
      </c>
      <c r="CW299" s="1483">
        <f t="shared" si="1256"/>
        <v>7.7628949900096167E-2</v>
      </c>
      <c r="CX299" s="1391">
        <f t="shared" si="1256"/>
        <v>8.8635366388766901E-2</v>
      </c>
      <c r="CY299" s="1483">
        <f t="shared" si="1256"/>
        <v>8.6382766245809206E-2</v>
      </c>
      <c r="CZ299" s="1483">
        <f t="shared" si="1256"/>
        <v>7.8653245400902572E-2</v>
      </c>
      <c r="DA299" s="1483">
        <f t="shared" si="1256"/>
        <v>8.4054388133498081E-2</v>
      </c>
      <c r="DB299" s="1391">
        <f t="shared" si="1256"/>
        <v>8.6188364906623738E-2</v>
      </c>
      <c r="DC299" s="1483">
        <f t="shared" si="1256"/>
        <v>7.8266579120157553E-2</v>
      </c>
      <c r="DD299" s="1483">
        <f t="shared" si="1256"/>
        <v>7.9675633929720657E-2</v>
      </c>
      <c r="DE299" s="1483">
        <f t="shared" si="1256"/>
        <v>7.481312555428854E-2</v>
      </c>
      <c r="DF299" s="1391">
        <f t="shared" si="1256"/>
        <v>6.6608943039148993E-2</v>
      </c>
      <c r="DG299" s="1483">
        <f t="shared" si="1256"/>
        <v>5.2734137133114034E-2</v>
      </c>
      <c r="DH299" s="1483">
        <f t="shared" si="1256"/>
        <v>4.6494992846924266E-2</v>
      </c>
      <c r="DI299" s="1485">
        <f t="shared" si="1256"/>
        <v>2.6168444627806986E-2</v>
      </c>
      <c r="DJ299" s="1391">
        <f t="shared" si="1256"/>
        <v>-5.9723993969615918E-3</v>
      </c>
      <c r="DK299" s="1483">
        <f t="shared" si="1256"/>
        <v>-2.1402128644146257E-2</v>
      </c>
      <c r="DL299" s="1483">
        <f t="shared" si="1256"/>
        <v>-4.1524265208475741E-2</v>
      </c>
      <c r="DM299" s="1485">
        <f t="shared" si="1256"/>
        <v>-5.6688300499684097E-2</v>
      </c>
      <c r="DN299" s="1483">
        <f t="shared" si="1256"/>
        <v>-6.4457796185031779E-2</v>
      </c>
      <c r="DO299" s="1483">
        <f t="shared" si="1256"/>
        <v>-5.6034992315876608E-2</v>
      </c>
      <c r="DP299" s="1483">
        <f t="shared" si="1256"/>
        <v>-5.4317465977298363E-2</v>
      </c>
      <c r="DQ299" s="1485">
        <f t="shared" si="1256"/>
        <v>-5.1692644909888008E-2</v>
      </c>
      <c r="DR299" s="1391">
        <f t="shared" si="1256"/>
        <v>-6.4284823544082825E-2</v>
      </c>
      <c r="DS299" s="1483">
        <f t="shared" si="1256"/>
        <v>-7.0068879148403207E-2</v>
      </c>
      <c r="DT299" s="1483">
        <f t="shared" si="1256"/>
        <v>-5.2975554578017947E-2</v>
      </c>
      <c r="DU299" s="1485">
        <f t="shared" si="1256"/>
        <v>-2.9919743178170144E-2</v>
      </c>
      <c r="DV299" s="1483">
        <f t="shared" si="1256"/>
        <v>-2.505497434530557E-2</v>
      </c>
      <c r="DW299" s="1483">
        <f t="shared" ref="DW299" ca="1" si="1257">DW298/DS298-1</f>
        <v>-1.2902117616645059E-2</v>
      </c>
      <c r="DX299" s="1483">
        <f t="shared" ref="DX299" ca="1" si="1258">DX298/DT298-1</f>
        <v>-1.3364066159448629E-2</v>
      </c>
      <c r="DY299" s="1485">
        <f t="shared" ref="DY299" ca="1" si="1259">DY298/DU298-1</f>
        <v>-1.5859438710045914E-2</v>
      </c>
    </row>
    <row r="300" spans="1:130" s="1491" customFormat="1" hidden="1" outlineLevel="1">
      <c r="A300" s="1839"/>
      <c r="B300" s="1483"/>
      <c r="C300" s="1483"/>
      <c r="D300" s="1483"/>
      <c r="E300" s="1483"/>
      <c r="F300" s="1483"/>
      <c r="G300" s="1483"/>
      <c r="H300" s="1483"/>
      <c r="I300" s="1483"/>
      <c r="J300" s="1483"/>
      <c r="K300" s="1483"/>
      <c r="L300" s="1483"/>
      <c r="M300" s="1483"/>
      <c r="N300" s="1483"/>
      <c r="O300" s="1483"/>
      <c r="P300" s="1483"/>
      <c r="Q300" s="1140"/>
      <c r="R300" s="1483"/>
      <c r="S300" s="1483"/>
      <c r="T300" s="1483"/>
      <c r="U300" s="1483"/>
      <c r="V300" s="1483"/>
      <c r="W300" s="1483"/>
      <c r="X300" s="1483"/>
      <c r="Y300" s="1483"/>
      <c r="Z300" s="1483"/>
      <c r="AA300" s="1483"/>
      <c r="AB300" s="1483"/>
      <c r="AC300" s="1483"/>
      <c r="AD300" s="1483"/>
      <c r="AE300" s="1483"/>
      <c r="AF300" s="1483"/>
      <c r="AG300" s="1483"/>
      <c r="AH300" s="2201"/>
      <c r="AI300" s="1927"/>
      <c r="AJ300" s="1561"/>
      <c r="AK300" s="1483"/>
      <c r="AL300" s="1483"/>
      <c r="AM300" s="1483"/>
      <c r="AN300" s="1483"/>
      <c r="AO300" s="1483"/>
      <c r="AP300" s="1391"/>
      <c r="AQ300" s="1483"/>
      <c r="AR300" s="1483"/>
      <c r="AS300" s="1483"/>
      <c r="AT300" s="1391"/>
      <c r="AU300" s="1483"/>
      <c r="AV300" s="1483"/>
      <c r="AW300" s="1483"/>
      <c r="AX300" s="1391"/>
      <c r="AY300" s="1483"/>
      <c r="AZ300" s="1483"/>
      <c r="BA300" s="1483"/>
      <c r="BB300" s="1391"/>
      <c r="BC300" s="1483"/>
      <c r="BD300" s="1483"/>
      <c r="BE300" s="1483"/>
      <c r="BF300" s="1391"/>
      <c r="BG300" s="1483"/>
      <c r="BH300" s="1483"/>
      <c r="BI300" s="1483"/>
      <c r="BJ300" s="1391"/>
      <c r="BK300" s="1483"/>
      <c r="BL300" s="1483"/>
      <c r="BM300" s="1483"/>
      <c r="BN300" s="1391"/>
      <c r="BO300" s="1483"/>
      <c r="BP300" s="1483"/>
      <c r="BQ300" s="1483"/>
      <c r="BR300" s="1391"/>
      <c r="BS300" s="1483"/>
      <c r="BT300" s="1483"/>
      <c r="BU300" s="1483"/>
      <c r="BV300" s="1391"/>
      <c r="BW300" s="1483"/>
      <c r="BX300" s="1483"/>
      <c r="BY300" s="1483"/>
      <c r="BZ300" s="1391"/>
      <c r="CA300" s="1483"/>
      <c r="CB300" s="1483"/>
      <c r="CC300" s="1483"/>
      <c r="CD300" s="1391"/>
      <c r="CE300" s="1483"/>
      <c r="CF300" s="1483"/>
      <c r="CG300" s="1483"/>
      <c r="CH300" s="1810"/>
      <c r="CI300" s="1140"/>
      <c r="CJ300" s="1877"/>
      <c r="CK300" s="1140"/>
      <c r="CL300" s="1878"/>
      <c r="CM300" s="1877"/>
      <c r="CN300" s="1877"/>
      <c r="CO300" s="1877"/>
      <c r="CP300" s="1391"/>
      <c r="CQ300" s="1483"/>
      <c r="CR300" s="1483"/>
      <c r="CS300" s="1483"/>
      <c r="CT300" s="1391"/>
      <c r="CU300" s="1483"/>
      <c r="CV300" s="1483"/>
      <c r="CW300" s="1483"/>
      <c r="CX300" s="1391"/>
      <c r="CY300" s="1483"/>
      <c r="CZ300" s="1483"/>
      <c r="DA300" s="1483"/>
      <c r="DB300" s="1391"/>
      <c r="DC300" s="1483"/>
      <c r="DD300" s="1483"/>
      <c r="DE300" s="1483"/>
      <c r="DF300" s="1391"/>
      <c r="DG300" s="1483"/>
      <c r="DH300" s="1483"/>
      <c r="DI300" s="1485"/>
      <c r="DJ300" s="1391"/>
      <c r="DK300" s="1483"/>
      <c r="DL300" s="1483"/>
      <c r="DM300" s="1485"/>
      <c r="DN300" s="1483"/>
      <c r="DO300" s="1483"/>
      <c r="DP300" s="1483"/>
      <c r="DQ300" s="1485"/>
      <c r="DR300" s="1391"/>
      <c r="DS300" s="1483"/>
      <c r="DT300" s="1483"/>
      <c r="DU300" s="1485"/>
      <c r="DV300" s="1483"/>
      <c r="DW300" s="1483"/>
      <c r="DX300" s="1483"/>
      <c r="DY300" s="1485"/>
    </row>
    <row r="301" spans="1:130" s="1491" customFormat="1" hidden="1" outlineLevel="1">
      <c r="A301" s="151" t="s">
        <v>372</v>
      </c>
      <c r="B301" s="1068"/>
      <c r="C301" s="1068"/>
      <c r="D301" s="1068"/>
      <c r="E301" s="1113">
        <f>E10</f>
        <v>5238</v>
      </c>
      <c r="F301" s="1113">
        <f>F10</f>
        <v>5675</v>
      </c>
      <c r="G301" s="1113">
        <f>G10</f>
        <v>12171</v>
      </c>
      <c r="H301" s="1113">
        <f>H10</f>
        <v>14181</v>
      </c>
      <c r="I301" s="1113">
        <f>I10</f>
        <v>16011</v>
      </c>
      <c r="J301" s="1113">
        <f>SUM(BJ301:BM301)</f>
        <v>17747</v>
      </c>
      <c r="K301" s="1113">
        <f>SUM(BN301:BQ301)</f>
        <v>20336</v>
      </c>
      <c r="L301" s="1113">
        <f>SUM(BR301:BU301)</f>
        <v>24400</v>
      </c>
      <c r="M301" s="1113">
        <f>SUM(BV301:BY301)</f>
        <v>28131</v>
      </c>
      <c r="N301" s="1113">
        <f>SUM(BZ301:CC301)</f>
        <v>38625.822</v>
      </c>
      <c r="O301" s="1113">
        <f>SUM(CD301:CG301)</f>
        <v>44800.31</v>
      </c>
      <c r="P301" s="1113">
        <f>SUM(CH301:CK301)</f>
        <v>48436</v>
      </c>
      <c r="Q301" s="1113">
        <f>SUM(CL301:CO301)</f>
        <v>52046</v>
      </c>
      <c r="R301" s="1113">
        <f>SUM(CP301:CS301)</f>
        <v>55629</v>
      </c>
      <c r="S301" s="1113">
        <f>SUM(CT301:CW301)</f>
        <v>59157</v>
      </c>
      <c r="T301" s="1113">
        <f>SUM(CX301:DA301)</f>
        <v>63733</v>
      </c>
      <c r="U301" s="1113">
        <f>SUM(DB301:DE301)</f>
        <v>69033</v>
      </c>
      <c r="V301" s="1113">
        <f>SUM(DF301:DI301)</f>
        <v>72630</v>
      </c>
      <c r="W301" s="1113">
        <f>SUM(DJ301:DM301)</f>
        <v>70396</v>
      </c>
      <c r="X301" s="1113">
        <f>SUM(DK301:DN301)</f>
        <v>69291</v>
      </c>
      <c r="Y301" s="1113">
        <f>SUM(DL301:DO301)</f>
        <v>68343</v>
      </c>
      <c r="Z301" s="1113">
        <f>SUM(DM301:DP301)</f>
        <v>67429</v>
      </c>
      <c r="AA301" s="1113">
        <f ca="1">+AA304+AA298</f>
        <v>63009.559843098272</v>
      </c>
      <c r="AB301" s="1113">
        <f ca="1">+AB304+AB298</f>
        <v>64028.331221101871</v>
      </c>
      <c r="AC301" s="1113">
        <f t="shared" ref="AC301:AG301" ca="1" si="1260">+AC304+AC298</f>
        <v>65125.905027799636</v>
      </c>
      <c r="AD301" s="1113">
        <f t="shared" ca="1" si="1260"/>
        <v>66292.996336391399</v>
      </c>
      <c r="AE301" s="1113">
        <f t="shared" ca="1" si="1260"/>
        <v>67535.273018813896</v>
      </c>
      <c r="AF301" s="1113">
        <f t="shared" ca="1" si="1260"/>
        <v>68864.869769470723</v>
      </c>
      <c r="AG301" s="1113">
        <f t="shared" ca="1" si="1260"/>
        <v>70296.624937177126</v>
      </c>
      <c r="AH301" s="2201"/>
      <c r="AI301" s="1927"/>
      <c r="AJ301" s="1561"/>
      <c r="AK301" s="1113"/>
      <c r="AL301" s="1113"/>
      <c r="AM301" s="1064"/>
      <c r="AN301" s="1113"/>
      <c r="AO301" s="1113"/>
      <c r="AP301" s="150"/>
      <c r="AQ301" s="1113"/>
      <c r="AR301" s="1113"/>
      <c r="AS301" s="1113"/>
      <c r="AT301" s="150"/>
      <c r="AU301" s="1113"/>
      <c r="AV301" s="1113"/>
      <c r="AW301" s="1113"/>
      <c r="AX301" s="150">
        <f t="shared" ref="AX301:BY301" si="1261">AX10</f>
        <v>2839</v>
      </c>
      <c r="AY301" s="1113">
        <f t="shared" si="1261"/>
        <v>3062</v>
      </c>
      <c r="AZ301" s="1113">
        <f t="shared" si="1261"/>
        <v>3142</v>
      </c>
      <c r="BA301" s="1113">
        <f t="shared" si="1261"/>
        <v>3128</v>
      </c>
      <c r="BB301" s="150">
        <f t="shared" si="1261"/>
        <v>3130</v>
      </c>
      <c r="BC301" s="1113">
        <f t="shared" si="1261"/>
        <v>3626</v>
      </c>
      <c r="BD301" s="1113">
        <f t="shared" si="1261"/>
        <v>3695</v>
      </c>
      <c r="BE301" s="1113">
        <f t="shared" si="1261"/>
        <v>3730</v>
      </c>
      <c r="BF301" s="150">
        <f t="shared" si="1261"/>
        <v>3731</v>
      </c>
      <c r="BG301" s="1113">
        <f t="shared" si="1261"/>
        <v>4066</v>
      </c>
      <c r="BH301" s="1113">
        <f t="shared" si="1261"/>
        <v>4183</v>
      </c>
      <c r="BI301" s="1113">
        <f t="shared" si="1261"/>
        <v>4031</v>
      </c>
      <c r="BJ301" s="150">
        <f t="shared" si="1261"/>
        <v>4052</v>
      </c>
      <c r="BK301" s="1113">
        <f t="shared" si="1261"/>
        <v>4369</v>
      </c>
      <c r="BL301" s="1113">
        <f t="shared" si="1261"/>
        <v>4613</v>
      </c>
      <c r="BM301" s="1113">
        <f t="shared" si="1261"/>
        <v>4713</v>
      </c>
      <c r="BN301" s="150">
        <f t="shared" si="1261"/>
        <v>4660</v>
      </c>
      <c r="BO301" s="1113">
        <f t="shared" si="1261"/>
        <v>5011</v>
      </c>
      <c r="BP301" s="1113">
        <f t="shared" si="1261"/>
        <v>5299</v>
      </c>
      <c r="BQ301" s="1113">
        <f t="shared" si="1261"/>
        <v>5366</v>
      </c>
      <c r="BR301" s="150">
        <f t="shared" si="1261"/>
        <v>5501</v>
      </c>
      <c r="BS301" s="1113">
        <f t="shared" si="1261"/>
        <v>6043</v>
      </c>
      <c r="BT301" s="1113">
        <f t="shared" si="1261"/>
        <v>6389</v>
      </c>
      <c r="BU301" s="1113">
        <f t="shared" si="1261"/>
        <v>6467</v>
      </c>
      <c r="BV301" s="150">
        <f t="shared" si="1261"/>
        <v>6557</v>
      </c>
      <c r="BW301" s="1113">
        <f t="shared" si="1261"/>
        <v>6874</v>
      </c>
      <c r="BX301" s="1113">
        <f t="shared" si="1261"/>
        <v>7270</v>
      </c>
      <c r="BY301" s="1113">
        <f t="shared" si="1261"/>
        <v>7430</v>
      </c>
      <c r="BZ301" s="484">
        <f t="shared" ref="BZ301:DN301" si="1262">BZ25</f>
        <v>8958.1479999999992</v>
      </c>
      <c r="CA301" s="1379">
        <f t="shared" si="1262"/>
        <v>9470.1280000000006</v>
      </c>
      <c r="CB301" s="1379">
        <f t="shared" si="1262"/>
        <v>9964.4429999999993</v>
      </c>
      <c r="CC301" s="1379">
        <f t="shared" si="1262"/>
        <v>10233.102999999999</v>
      </c>
      <c r="CD301" s="484">
        <f t="shared" si="1262"/>
        <v>10571.119999999999</v>
      </c>
      <c r="CE301" s="1379">
        <f t="shared" si="1262"/>
        <v>11073.616</v>
      </c>
      <c r="CF301" s="1379">
        <f t="shared" si="1262"/>
        <v>11520.474</v>
      </c>
      <c r="CG301" s="1379">
        <f t="shared" si="1262"/>
        <v>11635.1</v>
      </c>
      <c r="CH301" s="150">
        <f t="shared" si="1262"/>
        <v>11535</v>
      </c>
      <c r="CI301" s="1113">
        <f t="shared" si="1262"/>
        <v>11923</v>
      </c>
      <c r="CJ301" s="1113">
        <f t="shared" si="1262"/>
        <v>12420</v>
      </c>
      <c r="CK301" s="1113">
        <f t="shared" si="1262"/>
        <v>12558</v>
      </c>
      <c r="CL301" s="150">
        <f t="shared" si="1262"/>
        <v>12725</v>
      </c>
      <c r="CM301" s="1113">
        <f t="shared" si="1262"/>
        <v>12989</v>
      </c>
      <c r="CN301" s="1113">
        <f t="shared" si="1262"/>
        <v>13149</v>
      </c>
      <c r="CO301" s="1113">
        <f t="shared" si="1262"/>
        <v>13183</v>
      </c>
      <c r="CP301" s="150">
        <f t="shared" si="1262"/>
        <v>13466</v>
      </c>
      <c r="CQ301" s="1113">
        <f t="shared" si="1262"/>
        <v>13802</v>
      </c>
      <c r="CR301" s="1113">
        <f t="shared" si="1262"/>
        <v>14168</v>
      </c>
      <c r="CS301" s="1113">
        <f t="shared" si="1262"/>
        <v>14193</v>
      </c>
      <c r="CT301" s="150">
        <f t="shared" si="1262"/>
        <v>14311</v>
      </c>
      <c r="CU301" s="1113">
        <f t="shared" si="1262"/>
        <v>14707</v>
      </c>
      <c r="CV301" s="1113">
        <f t="shared" si="1262"/>
        <v>15033</v>
      </c>
      <c r="CW301" s="1113">
        <f t="shared" si="1262"/>
        <v>15106</v>
      </c>
      <c r="CX301" s="150">
        <f t="shared" si="1262"/>
        <v>15410</v>
      </c>
      <c r="CY301" s="1113">
        <f t="shared" si="1262"/>
        <v>15776</v>
      </c>
      <c r="CZ301" s="1113">
        <f t="shared" si="1262"/>
        <v>16154</v>
      </c>
      <c r="DA301" s="1113">
        <f t="shared" si="1262"/>
        <v>16393</v>
      </c>
      <c r="DB301" s="150">
        <f t="shared" si="1262"/>
        <v>16728</v>
      </c>
      <c r="DC301" s="1113">
        <f t="shared" si="1262"/>
        <v>17078</v>
      </c>
      <c r="DD301" s="1113">
        <f t="shared" si="1262"/>
        <v>17516</v>
      </c>
      <c r="DE301" s="1113">
        <f t="shared" si="1262"/>
        <v>17711</v>
      </c>
      <c r="DF301" s="150">
        <f t="shared" si="1262"/>
        <v>17987</v>
      </c>
      <c r="DG301" s="1113">
        <f t="shared" si="1262"/>
        <v>18078</v>
      </c>
      <c r="DH301" s="1113">
        <f t="shared" si="1262"/>
        <v>18356</v>
      </c>
      <c r="DI301" s="155">
        <f t="shared" si="1262"/>
        <v>18209</v>
      </c>
      <c r="DJ301" s="150">
        <f t="shared" si="1262"/>
        <v>17914</v>
      </c>
      <c r="DK301" s="1113">
        <f t="shared" si="1262"/>
        <v>17689</v>
      </c>
      <c r="DL301" s="1113">
        <f t="shared" si="1262"/>
        <v>17598</v>
      </c>
      <c r="DM301" s="155">
        <f t="shared" si="1262"/>
        <v>17195</v>
      </c>
      <c r="DN301" s="1113">
        <f t="shared" si="1262"/>
        <v>16809</v>
      </c>
      <c r="DO301" s="1113">
        <f t="shared" ref="DO301:DP301" si="1263">DO25</f>
        <v>16741</v>
      </c>
      <c r="DP301" s="1113">
        <f t="shared" si="1263"/>
        <v>16684</v>
      </c>
      <c r="DQ301" s="155">
        <f t="shared" ref="DQ301" si="1264">DQ25</f>
        <v>16346</v>
      </c>
      <c r="DR301" s="150">
        <f t="shared" ref="DR301" si="1265">DR25</f>
        <v>15778</v>
      </c>
      <c r="DS301" s="1113">
        <f t="shared" ref="DS301:DT301" si="1266">DS25</f>
        <v>15622</v>
      </c>
      <c r="DT301" s="1113">
        <f t="shared" si="1266"/>
        <v>15841</v>
      </c>
      <c r="DU301" s="155">
        <f t="shared" ref="DU301" si="1267">DU25</f>
        <v>15880</v>
      </c>
      <c r="DV301" s="1113">
        <f t="shared" ref="DV301" si="1268">DV25</f>
        <v>15402</v>
      </c>
      <c r="DW301" s="1113">
        <f t="shared" ref="DW301:DY301" ca="1" si="1269">+DW304+DW298</f>
        <v>15430.390651275204</v>
      </c>
      <c r="DX301" s="1113">
        <f t="shared" ca="1" si="1269"/>
        <v>15639.60352297711</v>
      </c>
      <c r="DY301" s="155">
        <f t="shared" ca="1" si="1269"/>
        <v>15640.379740529916</v>
      </c>
    </row>
    <row r="302" spans="1:130" s="1491" customFormat="1" hidden="1" outlineLevel="1">
      <c r="A302" s="1448" t="s">
        <v>1453</v>
      </c>
      <c r="B302" s="1065"/>
      <c r="C302" s="1065"/>
      <c r="D302" s="1065"/>
      <c r="E302" s="1065"/>
      <c r="F302" s="1065"/>
      <c r="G302" s="1065"/>
      <c r="H302" s="1065">
        <f t="shared" ref="H302:AB302" si="1270">H301/G301-1</f>
        <v>0.1651466600936653</v>
      </c>
      <c r="I302" s="1065">
        <f t="shared" si="1270"/>
        <v>0.12904590649460546</v>
      </c>
      <c r="J302" s="1065">
        <f t="shared" si="1270"/>
        <v>0.10842545749797017</v>
      </c>
      <c r="K302" s="1065">
        <f t="shared" si="1270"/>
        <v>0.1458838113483969</v>
      </c>
      <c r="L302" s="1065">
        <f t="shared" si="1270"/>
        <v>0.1998426435877263</v>
      </c>
      <c r="M302" s="1065">
        <f t="shared" si="1270"/>
        <v>0.15290983606557385</v>
      </c>
      <c r="N302" s="1065">
        <f t="shared" si="1270"/>
        <v>0.37306963847712482</v>
      </c>
      <c r="O302" s="1065">
        <f t="shared" si="1270"/>
        <v>0.15985389255923144</v>
      </c>
      <c r="P302" s="1065">
        <f t="shared" si="1270"/>
        <v>8.1153233091467492E-2</v>
      </c>
      <c r="Q302" s="1065">
        <f t="shared" si="1270"/>
        <v>7.4531340325377782E-2</v>
      </c>
      <c r="R302" s="1065">
        <f t="shared" si="1270"/>
        <v>6.8842946624140255E-2</v>
      </c>
      <c r="S302" s="1065">
        <f t="shared" si="1270"/>
        <v>6.3420158550396399E-2</v>
      </c>
      <c r="T302" s="1065">
        <f t="shared" si="1270"/>
        <v>7.7353483104281917E-2</v>
      </c>
      <c r="U302" s="1065">
        <f t="shared" si="1270"/>
        <v>8.3159430750160857E-2</v>
      </c>
      <c r="V302" s="1065">
        <f t="shared" si="1270"/>
        <v>5.210551475381342E-2</v>
      </c>
      <c r="W302" s="1065">
        <f>W301/V301-1</f>
        <v>-3.0758639680572797E-2</v>
      </c>
      <c r="X302" s="1065">
        <f>X301/W301-1</f>
        <v>-1.5696914597420286E-2</v>
      </c>
      <c r="Y302" s="1065">
        <f>Y301/X301-1</f>
        <v>-1.36814304888081E-2</v>
      </c>
      <c r="Z302" s="1065">
        <f>Z301/Y301-1</f>
        <v>-1.3373717864302082E-2</v>
      </c>
      <c r="AA302" s="1065">
        <f t="shared" ca="1" si="1270"/>
        <v>-6.5542128118491028E-2</v>
      </c>
      <c r="AB302" s="1065">
        <f t="shared" ca="1" si="1270"/>
        <v>1.6168520785424745E-2</v>
      </c>
      <c r="AC302" s="1065">
        <f t="shared" ref="AC302" ca="1" si="1271">AC301/AB301-1</f>
        <v>1.7142002388093491E-2</v>
      </c>
      <c r="AD302" s="1065">
        <f t="shared" ref="AD302" ca="1" si="1272">AD301/AC301-1</f>
        <v>1.7920538810072273E-2</v>
      </c>
      <c r="AE302" s="1065">
        <f t="shared" ref="AE302" ca="1" si="1273">AE301/AD301-1</f>
        <v>1.8739184394665154E-2</v>
      </c>
      <c r="AF302" s="1065">
        <f t="shared" ref="AF302" ca="1" si="1274">AF301/AE301-1</f>
        <v>1.9687441706002007E-2</v>
      </c>
      <c r="AG302" s="1065">
        <f t="shared" ref="AG302" ca="1" si="1275">AG301/AF301-1</f>
        <v>2.0790791770888273E-2</v>
      </c>
      <c r="AH302" s="2201"/>
      <c r="AI302" s="1927"/>
      <c r="AJ302" s="1561"/>
      <c r="AK302" s="1065"/>
      <c r="AL302" s="1065"/>
      <c r="AM302" s="1065"/>
      <c r="AN302" s="1065"/>
      <c r="AO302" s="1065"/>
      <c r="AP302" s="563"/>
      <c r="AQ302" s="1065"/>
      <c r="AR302" s="1065"/>
      <c r="AS302" s="1065"/>
      <c r="AT302" s="563"/>
      <c r="AU302" s="1065"/>
      <c r="AV302" s="1065"/>
      <c r="AW302" s="1065"/>
      <c r="AX302" s="563"/>
      <c r="AY302" s="1065"/>
      <c r="AZ302" s="1065"/>
      <c r="BA302" s="1065"/>
      <c r="BB302" s="563">
        <f t="shared" ref="BB302:CG302" si="1276">BB301/AX301-1</f>
        <v>0.10250088059175777</v>
      </c>
      <c r="BC302" s="1065">
        <f t="shared" si="1276"/>
        <v>0.18419333768778579</v>
      </c>
      <c r="BD302" s="1065">
        <f t="shared" si="1276"/>
        <v>0.17600254614894961</v>
      </c>
      <c r="BE302" s="1065">
        <f t="shared" si="1276"/>
        <v>0.19245524296675187</v>
      </c>
      <c r="BF302" s="563">
        <f t="shared" si="1276"/>
        <v>0.19201277955271556</v>
      </c>
      <c r="BG302" s="1065">
        <f t="shared" si="1276"/>
        <v>0.12134583563154999</v>
      </c>
      <c r="BH302" s="1065">
        <f t="shared" si="1276"/>
        <v>0.13207036535859262</v>
      </c>
      <c r="BI302" s="1065">
        <f t="shared" si="1276"/>
        <v>8.0697050938337789E-2</v>
      </c>
      <c r="BJ302" s="563">
        <f t="shared" si="1276"/>
        <v>8.6035915304208066E-2</v>
      </c>
      <c r="BK302" s="1065">
        <f t="shared" si="1276"/>
        <v>7.4520413182489031E-2</v>
      </c>
      <c r="BL302" s="1065">
        <f t="shared" si="1276"/>
        <v>0.10279703562036824</v>
      </c>
      <c r="BM302" s="1065">
        <f t="shared" si="1276"/>
        <v>0.16918878690151318</v>
      </c>
      <c r="BN302" s="563">
        <f t="shared" si="1276"/>
        <v>0.15004935834155964</v>
      </c>
      <c r="BO302" s="1065">
        <f t="shared" si="1276"/>
        <v>0.14694438086518646</v>
      </c>
      <c r="BP302" s="1065">
        <f t="shared" si="1276"/>
        <v>0.14871016691957517</v>
      </c>
      <c r="BQ302" s="1065">
        <f t="shared" si="1276"/>
        <v>0.13855293868024621</v>
      </c>
      <c r="BR302" s="563">
        <f t="shared" si="1276"/>
        <v>0.18047210300429195</v>
      </c>
      <c r="BS302" s="1065">
        <f t="shared" si="1276"/>
        <v>0.20594691678307719</v>
      </c>
      <c r="BT302" s="1065">
        <f t="shared" si="1276"/>
        <v>0.205699188526137</v>
      </c>
      <c r="BU302" s="1065">
        <f t="shared" si="1276"/>
        <v>0.20518076779724193</v>
      </c>
      <c r="BV302" s="563">
        <f t="shared" si="1276"/>
        <v>0.19196509725504463</v>
      </c>
      <c r="BW302" s="1065">
        <f t="shared" si="1276"/>
        <v>0.1375144795631309</v>
      </c>
      <c r="BX302" s="1065">
        <f t="shared" si="1276"/>
        <v>0.13789325403036479</v>
      </c>
      <c r="BY302" s="1065">
        <f t="shared" si="1276"/>
        <v>0.14890985000773149</v>
      </c>
      <c r="BZ302" s="563">
        <f t="shared" si="1276"/>
        <v>0.36619612627726084</v>
      </c>
      <c r="CA302" s="1065">
        <f t="shared" si="1276"/>
        <v>0.37767355251672985</v>
      </c>
      <c r="CB302" s="1065">
        <f t="shared" si="1276"/>
        <v>0.3706248968363135</v>
      </c>
      <c r="CC302" s="1065">
        <f t="shared" si="1276"/>
        <v>0.37726823687752353</v>
      </c>
      <c r="CD302" s="563">
        <f t="shared" si="1276"/>
        <v>0.18005641344617218</v>
      </c>
      <c r="CE302" s="1065">
        <f t="shared" si="1276"/>
        <v>0.16932062586693641</v>
      </c>
      <c r="CF302" s="1065">
        <f t="shared" si="1276"/>
        <v>0.15615835225310648</v>
      </c>
      <c r="CG302" s="1065">
        <f t="shared" si="1276"/>
        <v>0.1370060479211439</v>
      </c>
      <c r="CH302" s="156" t="s">
        <v>1149</v>
      </c>
      <c r="CI302" s="1095" t="s">
        <v>1149</v>
      </c>
      <c r="CJ302" s="1095" t="s">
        <v>1149</v>
      </c>
      <c r="CK302" s="1095" t="s">
        <v>1149</v>
      </c>
      <c r="CL302" s="563">
        <f t="shared" ref="CL302:DI302" si="1277">CL301/CH301-1</f>
        <v>0.10316428261811872</v>
      </c>
      <c r="CM302" s="1065">
        <f t="shared" si="1277"/>
        <v>8.9407028432441527E-2</v>
      </c>
      <c r="CN302" s="1065">
        <f t="shared" si="1277"/>
        <v>5.8695652173913038E-2</v>
      </c>
      <c r="CO302" s="1065">
        <f t="shared" si="1277"/>
        <v>4.9769071508201979E-2</v>
      </c>
      <c r="CP302" s="563">
        <f t="shared" si="1277"/>
        <v>5.823182711198438E-2</v>
      </c>
      <c r="CQ302" s="1065">
        <f t="shared" si="1277"/>
        <v>6.2591423512202704E-2</v>
      </c>
      <c r="CR302" s="1065">
        <f t="shared" si="1277"/>
        <v>7.7496387557989266E-2</v>
      </c>
      <c r="CS302" s="1065">
        <f t="shared" si="1277"/>
        <v>7.6613820829856571E-2</v>
      </c>
      <c r="CT302" s="563">
        <f t="shared" si="1277"/>
        <v>6.2750631219367303E-2</v>
      </c>
      <c r="CU302" s="1065">
        <f t="shared" si="1277"/>
        <v>6.5570207216345544E-2</v>
      </c>
      <c r="CV302" s="1065">
        <f t="shared" si="1277"/>
        <v>6.1053077357425156E-2</v>
      </c>
      <c r="CW302" s="1065">
        <f t="shared" si="1277"/>
        <v>6.4327485380117011E-2</v>
      </c>
      <c r="CX302" s="563">
        <f t="shared" si="1277"/>
        <v>7.6794074488155895E-2</v>
      </c>
      <c r="CY302" s="1065">
        <f t="shared" si="1277"/>
        <v>7.268647582783716E-2</v>
      </c>
      <c r="CZ302" s="1065">
        <f t="shared" si="1277"/>
        <v>7.4569280915319558E-2</v>
      </c>
      <c r="DA302" s="1065">
        <f t="shared" si="1277"/>
        <v>8.5197934595524938E-2</v>
      </c>
      <c r="DB302" s="563">
        <f t="shared" si="1277"/>
        <v>8.5528877352368582E-2</v>
      </c>
      <c r="DC302" s="1065">
        <f t="shared" si="1277"/>
        <v>8.2530425963488918E-2</v>
      </c>
      <c r="DD302" s="1065">
        <f t="shared" si="1277"/>
        <v>8.4313482728735956E-2</v>
      </c>
      <c r="DE302" s="1065">
        <f t="shared" si="1277"/>
        <v>8.0400170804611815E-2</v>
      </c>
      <c r="DF302" s="563">
        <f t="shared" si="1277"/>
        <v>7.5263032042085065E-2</v>
      </c>
      <c r="DG302" s="1065">
        <f t="shared" si="1277"/>
        <v>5.8554865909357101E-2</v>
      </c>
      <c r="DH302" s="1065">
        <f t="shared" si="1277"/>
        <v>4.7956154373144599E-2</v>
      </c>
      <c r="DI302" s="564">
        <f t="shared" si="1277"/>
        <v>2.8118118683304161E-2</v>
      </c>
      <c r="DJ302" s="563">
        <f t="shared" ref="DJ302:DV302" si="1278">DJ301/DF301-1</f>
        <v>-4.0584866848278889E-3</v>
      </c>
      <c r="DK302" s="1065">
        <f t="shared" si="1278"/>
        <v>-2.1517867020688142E-2</v>
      </c>
      <c r="DL302" s="1065">
        <f t="shared" si="1278"/>
        <v>-4.1294399651340186E-2</v>
      </c>
      <c r="DM302" s="564">
        <f t="shared" si="1278"/>
        <v>-5.5686748311274625E-2</v>
      </c>
      <c r="DN302" s="1065">
        <f t="shared" si="1278"/>
        <v>-6.1683599419448454E-2</v>
      </c>
      <c r="DO302" s="1065">
        <f t="shared" si="1278"/>
        <v>-5.3592628187008828E-2</v>
      </c>
      <c r="DP302" s="1065">
        <f t="shared" si="1278"/>
        <v>-5.1937720195476711E-2</v>
      </c>
      <c r="DQ302" s="564">
        <f t="shared" si="1278"/>
        <v>-4.9374818261122444E-2</v>
      </c>
      <c r="DR302" s="563">
        <f t="shared" si="1278"/>
        <v>-6.1336188946397807E-2</v>
      </c>
      <c r="DS302" s="1065">
        <f t="shared" si="1278"/>
        <v>-6.6841885192043482E-2</v>
      </c>
      <c r="DT302" s="1065">
        <f t="shared" si="1278"/>
        <v>-5.0527451450491534E-2</v>
      </c>
      <c r="DU302" s="564">
        <f t="shared" si="1278"/>
        <v>-2.850850360944579E-2</v>
      </c>
      <c r="DV302" s="1065">
        <f t="shared" si="1278"/>
        <v>-2.3830650272531395E-2</v>
      </c>
      <c r="DW302" s="1065">
        <f t="shared" ref="DW302" ca="1" si="1279">DW301/DS301-1</f>
        <v>-1.226535326621403E-2</v>
      </c>
      <c r="DX302" s="1065">
        <f t="shared" ref="DX302" ca="1" si="1280">DX301/DT301-1</f>
        <v>-1.2713621426860056E-2</v>
      </c>
      <c r="DY302" s="564">
        <f t="shared" ref="DY302" ca="1" si="1281">DY301/DU301-1</f>
        <v>-1.5089436994337846E-2</v>
      </c>
    </row>
    <row r="303" spans="1:130" s="1491" customFormat="1" hidden="1" outlineLevel="1">
      <c r="A303" s="1449" t="s">
        <v>1493</v>
      </c>
      <c r="B303" s="1064"/>
      <c r="C303" s="1064"/>
      <c r="D303" s="1070"/>
      <c r="E303" s="1070"/>
      <c r="F303" s="1070"/>
      <c r="G303" s="1229"/>
      <c r="H303" s="1070">
        <f t="shared" ref="H303:N303" si="1282">H301-G301</f>
        <v>2010</v>
      </c>
      <c r="I303" s="1070">
        <f t="shared" si="1282"/>
        <v>1830</v>
      </c>
      <c r="J303" s="1070">
        <f t="shared" si="1282"/>
        <v>1736</v>
      </c>
      <c r="K303" s="1070">
        <f t="shared" si="1282"/>
        <v>2589</v>
      </c>
      <c r="L303" s="1070">
        <f t="shared" si="1282"/>
        <v>4064</v>
      </c>
      <c r="M303" s="1070">
        <f t="shared" si="1282"/>
        <v>3731</v>
      </c>
      <c r="N303" s="1070">
        <f t="shared" si="1282"/>
        <v>10494.822</v>
      </c>
      <c r="O303" s="1070"/>
      <c r="P303" s="1070"/>
      <c r="Q303" s="1070">
        <f t="shared" ref="Q303:AB303" si="1283">Q301-P301</f>
        <v>3610</v>
      </c>
      <c r="R303" s="1070">
        <f t="shared" si="1283"/>
        <v>3583</v>
      </c>
      <c r="S303" s="1070">
        <f t="shared" si="1283"/>
        <v>3528</v>
      </c>
      <c r="T303" s="1070">
        <f t="shared" si="1283"/>
        <v>4576</v>
      </c>
      <c r="U303" s="1070">
        <f t="shared" si="1283"/>
        <v>5300</v>
      </c>
      <c r="V303" s="1070">
        <f t="shared" si="1283"/>
        <v>3597</v>
      </c>
      <c r="W303" s="1070">
        <f>W301-V301</f>
        <v>-2234</v>
      </c>
      <c r="X303" s="1070">
        <f>X301-W301</f>
        <v>-1105</v>
      </c>
      <c r="Y303" s="1070">
        <f>Y301-X301</f>
        <v>-948</v>
      </c>
      <c r="Z303" s="1070">
        <f>Z301-Y301</f>
        <v>-914</v>
      </c>
      <c r="AA303" s="1070">
        <f t="shared" ca="1" si="1283"/>
        <v>-4419.4401569017282</v>
      </c>
      <c r="AB303" s="1070">
        <f t="shared" ca="1" si="1283"/>
        <v>1018.7713780035992</v>
      </c>
      <c r="AC303" s="1070">
        <f t="shared" ref="AC303" ca="1" si="1284">AC301-AB301</f>
        <v>1097.5738066977647</v>
      </c>
      <c r="AD303" s="1070">
        <f t="shared" ref="AD303" ca="1" si="1285">AD301-AC301</f>
        <v>1167.0913085917637</v>
      </c>
      <c r="AE303" s="1070">
        <f t="shared" ref="AE303" ca="1" si="1286">AE301-AD301</f>
        <v>1242.2766824224964</v>
      </c>
      <c r="AF303" s="1070">
        <f t="shared" ref="AF303" ca="1" si="1287">AF301-AE301</f>
        <v>1329.5967506568268</v>
      </c>
      <c r="AG303" s="1070">
        <f t="shared" ref="AG303" ca="1" si="1288">AG301-AF301</f>
        <v>1431.7551677064039</v>
      </c>
      <c r="AH303" s="2201"/>
      <c r="AI303" s="1927"/>
      <c r="AJ303" s="1561"/>
      <c r="AK303" s="1070"/>
      <c r="AL303" s="1070"/>
      <c r="AM303" s="1064"/>
      <c r="AN303" s="1070"/>
      <c r="AO303" s="1070"/>
      <c r="AP303" s="607"/>
      <c r="AQ303" s="1070"/>
      <c r="AR303" s="1070"/>
      <c r="AS303" s="1070"/>
      <c r="AT303" s="607"/>
      <c r="AU303" s="1070"/>
      <c r="AV303" s="1070"/>
      <c r="AW303" s="1070"/>
      <c r="AX303" s="607"/>
      <c r="AY303" s="1070">
        <f t="shared" ref="AY303:CG303" si="1289">AY301-AX301</f>
        <v>223</v>
      </c>
      <c r="AZ303" s="1070">
        <f t="shared" si="1289"/>
        <v>80</v>
      </c>
      <c r="BA303" s="1070">
        <f t="shared" si="1289"/>
        <v>-14</v>
      </c>
      <c r="BB303" s="607">
        <f t="shared" si="1289"/>
        <v>2</v>
      </c>
      <c r="BC303" s="1070">
        <f t="shared" si="1289"/>
        <v>496</v>
      </c>
      <c r="BD303" s="1070">
        <f t="shared" si="1289"/>
        <v>69</v>
      </c>
      <c r="BE303" s="1070">
        <f t="shared" si="1289"/>
        <v>35</v>
      </c>
      <c r="BF303" s="607">
        <f t="shared" si="1289"/>
        <v>1</v>
      </c>
      <c r="BG303" s="1070">
        <f t="shared" si="1289"/>
        <v>335</v>
      </c>
      <c r="BH303" s="1070">
        <f t="shared" si="1289"/>
        <v>117</v>
      </c>
      <c r="BI303" s="1070">
        <f t="shared" si="1289"/>
        <v>-152</v>
      </c>
      <c r="BJ303" s="607">
        <f t="shared" si="1289"/>
        <v>21</v>
      </c>
      <c r="BK303" s="1070">
        <f t="shared" si="1289"/>
        <v>317</v>
      </c>
      <c r="BL303" s="1070">
        <f t="shared" si="1289"/>
        <v>244</v>
      </c>
      <c r="BM303" s="1070">
        <f t="shared" si="1289"/>
        <v>100</v>
      </c>
      <c r="BN303" s="607">
        <f t="shared" si="1289"/>
        <v>-53</v>
      </c>
      <c r="BO303" s="1070">
        <f t="shared" si="1289"/>
        <v>351</v>
      </c>
      <c r="BP303" s="1070">
        <f t="shared" si="1289"/>
        <v>288</v>
      </c>
      <c r="BQ303" s="1070">
        <f t="shared" si="1289"/>
        <v>67</v>
      </c>
      <c r="BR303" s="607">
        <f t="shared" si="1289"/>
        <v>135</v>
      </c>
      <c r="BS303" s="1070">
        <f t="shared" si="1289"/>
        <v>542</v>
      </c>
      <c r="BT303" s="1070">
        <f t="shared" si="1289"/>
        <v>346</v>
      </c>
      <c r="BU303" s="1070">
        <f t="shared" si="1289"/>
        <v>78</v>
      </c>
      <c r="BV303" s="607">
        <f t="shared" si="1289"/>
        <v>90</v>
      </c>
      <c r="BW303" s="1070">
        <f t="shared" si="1289"/>
        <v>317</v>
      </c>
      <c r="BX303" s="1070">
        <f t="shared" si="1289"/>
        <v>396</v>
      </c>
      <c r="BY303" s="1070">
        <f t="shared" si="1289"/>
        <v>160</v>
      </c>
      <c r="BZ303" s="607">
        <f t="shared" si="1289"/>
        <v>1528.1479999999992</v>
      </c>
      <c r="CA303" s="1070">
        <f t="shared" si="1289"/>
        <v>511.98000000000138</v>
      </c>
      <c r="CB303" s="1070">
        <f t="shared" si="1289"/>
        <v>494.31499999999869</v>
      </c>
      <c r="CC303" s="1070">
        <f t="shared" si="1289"/>
        <v>268.65999999999985</v>
      </c>
      <c r="CD303" s="607">
        <f t="shared" si="1289"/>
        <v>338.01699999999983</v>
      </c>
      <c r="CE303" s="1070">
        <f t="shared" si="1289"/>
        <v>502.496000000001</v>
      </c>
      <c r="CF303" s="1070">
        <f t="shared" si="1289"/>
        <v>446.85800000000017</v>
      </c>
      <c r="CG303" s="1070">
        <f t="shared" si="1289"/>
        <v>114.6260000000002</v>
      </c>
      <c r="CH303" s="164" t="s">
        <v>1149</v>
      </c>
      <c r="CI303" s="1103" t="s">
        <v>1149</v>
      </c>
      <c r="CJ303" s="1103" t="s">
        <v>1149</v>
      </c>
      <c r="CK303" s="1103" t="s">
        <v>1149</v>
      </c>
      <c r="CL303" s="607">
        <f t="shared" ref="CL303:DV303" si="1290">CL301-CK301</f>
        <v>167</v>
      </c>
      <c r="CM303" s="1070">
        <f t="shared" si="1290"/>
        <v>264</v>
      </c>
      <c r="CN303" s="1070">
        <f t="shared" si="1290"/>
        <v>160</v>
      </c>
      <c r="CO303" s="1070">
        <f t="shared" si="1290"/>
        <v>34</v>
      </c>
      <c r="CP303" s="607">
        <f t="shared" si="1290"/>
        <v>283</v>
      </c>
      <c r="CQ303" s="1070">
        <f t="shared" si="1290"/>
        <v>336</v>
      </c>
      <c r="CR303" s="1070">
        <f t="shared" si="1290"/>
        <v>366</v>
      </c>
      <c r="CS303" s="1070">
        <f t="shared" si="1290"/>
        <v>25</v>
      </c>
      <c r="CT303" s="607">
        <f t="shared" si="1290"/>
        <v>118</v>
      </c>
      <c r="CU303" s="1070">
        <f t="shared" si="1290"/>
        <v>396</v>
      </c>
      <c r="CV303" s="1070">
        <f t="shared" si="1290"/>
        <v>326</v>
      </c>
      <c r="CW303" s="1070">
        <f t="shared" si="1290"/>
        <v>73</v>
      </c>
      <c r="CX303" s="607">
        <f t="shared" si="1290"/>
        <v>304</v>
      </c>
      <c r="CY303" s="1070">
        <f t="shared" si="1290"/>
        <v>366</v>
      </c>
      <c r="CZ303" s="1070">
        <f t="shared" si="1290"/>
        <v>378</v>
      </c>
      <c r="DA303" s="1070">
        <f t="shared" si="1290"/>
        <v>239</v>
      </c>
      <c r="DB303" s="607">
        <f t="shared" si="1290"/>
        <v>335</v>
      </c>
      <c r="DC303" s="1070">
        <f t="shared" si="1290"/>
        <v>350</v>
      </c>
      <c r="DD303" s="1070">
        <f t="shared" si="1290"/>
        <v>438</v>
      </c>
      <c r="DE303" s="1070">
        <f t="shared" si="1290"/>
        <v>195</v>
      </c>
      <c r="DF303" s="607">
        <f t="shared" si="1290"/>
        <v>276</v>
      </c>
      <c r="DG303" s="1070">
        <f t="shared" si="1290"/>
        <v>91</v>
      </c>
      <c r="DH303" s="1070">
        <f t="shared" si="1290"/>
        <v>278</v>
      </c>
      <c r="DI303" s="608">
        <f t="shared" si="1290"/>
        <v>-147</v>
      </c>
      <c r="DJ303" s="607">
        <f t="shared" si="1290"/>
        <v>-295</v>
      </c>
      <c r="DK303" s="1070">
        <f t="shared" si="1290"/>
        <v>-225</v>
      </c>
      <c r="DL303" s="1070">
        <f t="shared" si="1290"/>
        <v>-91</v>
      </c>
      <c r="DM303" s="608">
        <f t="shared" si="1290"/>
        <v>-403</v>
      </c>
      <c r="DN303" s="1070">
        <f t="shared" si="1290"/>
        <v>-386</v>
      </c>
      <c r="DO303" s="1070">
        <f t="shared" si="1290"/>
        <v>-68</v>
      </c>
      <c r="DP303" s="1070">
        <f t="shared" si="1290"/>
        <v>-57</v>
      </c>
      <c r="DQ303" s="608">
        <f t="shared" si="1290"/>
        <v>-338</v>
      </c>
      <c r="DR303" s="607">
        <f t="shared" si="1290"/>
        <v>-568</v>
      </c>
      <c r="DS303" s="1070">
        <f t="shared" si="1290"/>
        <v>-156</v>
      </c>
      <c r="DT303" s="1070">
        <f t="shared" si="1290"/>
        <v>219</v>
      </c>
      <c r="DU303" s="608">
        <f t="shared" si="1290"/>
        <v>39</v>
      </c>
      <c r="DV303" s="1070">
        <f t="shared" si="1290"/>
        <v>-478</v>
      </c>
      <c r="DW303" s="1070">
        <f t="shared" ref="DW303" ca="1" si="1291">DW301-DV301</f>
        <v>28.390651275203709</v>
      </c>
      <c r="DX303" s="1070">
        <f t="shared" ref="DX303" ca="1" si="1292">DX301-DW301</f>
        <v>209.2128717019059</v>
      </c>
      <c r="DY303" s="608">
        <f t="shared" ref="DY303" ca="1" si="1293">DY301-DX301</f>
        <v>0.77621755280597426</v>
      </c>
    </row>
    <row r="304" spans="1:130" s="1491" customFormat="1" hidden="1" outlineLevel="1">
      <c r="A304" s="1449" t="s">
        <v>371</v>
      </c>
      <c r="B304" s="1064"/>
      <c r="C304" s="1064"/>
      <c r="D304" s="1070"/>
      <c r="E304" s="1070"/>
      <c r="F304" s="1070"/>
      <c r="G304" s="1229"/>
      <c r="H304" s="1229"/>
      <c r="I304" s="1070"/>
      <c r="J304" s="1070"/>
      <c r="K304" s="1070"/>
      <c r="L304" s="1070"/>
      <c r="M304" s="1070"/>
      <c r="N304" s="1070"/>
      <c r="O304" s="1070"/>
      <c r="P304" s="1070"/>
      <c r="Q304" s="1113">
        <f>SUM(CL304:CO304)</f>
        <v>1287</v>
      </c>
      <c r="R304" s="1113">
        <f>SUM(CP304:CS304)</f>
        <v>2321</v>
      </c>
      <c r="S304" s="1113">
        <f>SUM(CT304:CW304)</f>
        <v>2497</v>
      </c>
      <c r="T304" s="1113">
        <f>SUM(CX304:DA304)</f>
        <v>2293</v>
      </c>
      <c r="U304" s="1113">
        <f>SUM(DB304:DE304)</f>
        <v>2699</v>
      </c>
      <c r="V304" s="1113">
        <f>SUM(DF304:DI304)</f>
        <v>3129</v>
      </c>
      <c r="W304" s="1113">
        <f>SUM(DJ304:DM304)</f>
        <v>3084</v>
      </c>
      <c r="X304" s="1113">
        <f>SUM(DK304:DN304)</f>
        <v>3084</v>
      </c>
      <c r="Y304" s="1113">
        <f>SUM(DL304:DO304)</f>
        <v>3084</v>
      </c>
      <c r="Z304" s="1113">
        <f>SUM(DM304:DP304)</f>
        <v>3084</v>
      </c>
      <c r="AA304" s="1294">
        <f>AA23</f>
        <v>3084</v>
      </c>
      <c r="AB304" s="1294">
        <f>AB23</f>
        <v>3084</v>
      </c>
      <c r="AC304" s="1294">
        <f t="shared" ref="AC304:AG304" si="1294">AC23</f>
        <v>3084</v>
      </c>
      <c r="AD304" s="1294">
        <f t="shared" si="1294"/>
        <v>3084</v>
      </c>
      <c r="AE304" s="1294">
        <f t="shared" si="1294"/>
        <v>3084</v>
      </c>
      <c r="AF304" s="1294">
        <f t="shared" si="1294"/>
        <v>3084</v>
      </c>
      <c r="AG304" s="1294">
        <f t="shared" si="1294"/>
        <v>3084</v>
      </c>
      <c r="AH304" s="2201"/>
      <c r="AI304" s="1927"/>
      <c r="AJ304" s="1561"/>
      <c r="AK304" s="1070"/>
      <c r="AL304" s="1070"/>
      <c r="AM304" s="1064"/>
      <c r="AN304" s="1070"/>
      <c r="AO304" s="1070"/>
      <c r="AP304" s="607"/>
      <c r="AQ304" s="1070"/>
      <c r="AR304" s="1070"/>
      <c r="AS304" s="1070"/>
      <c r="AT304" s="607"/>
      <c r="AU304" s="1070"/>
      <c r="AV304" s="1070"/>
      <c r="AW304" s="1070"/>
      <c r="AX304" s="631"/>
      <c r="AY304" s="1070"/>
      <c r="AZ304" s="1064"/>
      <c r="BA304" s="1064"/>
      <c r="BB304" s="569"/>
      <c r="BC304" s="1064"/>
      <c r="BD304" s="1064"/>
      <c r="BE304" s="1064"/>
      <c r="BF304" s="569"/>
      <c r="BG304" s="1064"/>
      <c r="BH304" s="1064"/>
      <c r="BI304" s="1064"/>
      <c r="BJ304" s="631"/>
      <c r="BK304" s="1229"/>
      <c r="BL304" s="1229"/>
      <c r="BM304" s="1229"/>
      <c r="BN304" s="631"/>
      <c r="BO304" s="1229"/>
      <c r="BP304" s="1229"/>
      <c r="BQ304" s="1229"/>
      <c r="BR304" s="631"/>
      <c r="BS304" s="1229"/>
      <c r="BT304" s="1229"/>
      <c r="BU304" s="1229"/>
      <c r="BV304" s="607"/>
      <c r="BW304" s="1070"/>
      <c r="BX304" s="1070"/>
      <c r="BY304" s="1070"/>
      <c r="BZ304" s="607"/>
      <c r="CA304" s="1070"/>
      <c r="CB304" s="1070"/>
      <c r="CC304" s="1070"/>
      <c r="CD304" s="607"/>
      <c r="CE304" s="1070"/>
      <c r="CF304" s="1070"/>
      <c r="CG304" s="1070"/>
      <c r="CH304" s="496"/>
      <c r="CI304" s="1043"/>
      <c r="CJ304" s="1113"/>
      <c r="CK304" s="1043"/>
      <c r="CL304" s="150">
        <f t="shared" ref="CL304:DN304" si="1295">CL23</f>
        <v>297</v>
      </c>
      <c r="CM304" s="1113">
        <f t="shared" si="1295"/>
        <v>345</v>
      </c>
      <c r="CN304" s="1113">
        <f t="shared" si="1295"/>
        <v>316</v>
      </c>
      <c r="CO304" s="1113">
        <f t="shared" si="1295"/>
        <v>329</v>
      </c>
      <c r="CP304" s="150">
        <f t="shared" si="1295"/>
        <v>432</v>
      </c>
      <c r="CQ304" s="1113">
        <f t="shared" si="1295"/>
        <v>520</v>
      </c>
      <c r="CR304" s="1113">
        <f t="shared" si="1295"/>
        <v>689</v>
      </c>
      <c r="CS304" s="1113">
        <f t="shared" si="1295"/>
        <v>680</v>
      </c>
      <c r="CT304" s="150">
        <f t="shared" si="1295"/>
        <v>637</v>
      </c>
      <c r="CU304" s="1113">
        <f t="shared" si="1295"/>
        <v>688</v>
      </c>
      <c r="CV304" s="1113">
        <f t="shared" si="1295"/>
        <v>628</v>
      </c>
      <c r="CW304" s="1113">
        <f t="shared" si="1295"/>
        <v>544</v>
      </c>
      <c r="CX304" s="150">
        <f t="shared" si="1295"/>
        <v>524</v>
      </c>
      <c r="CY304" s="1113">
        <f t="shared" si="1295"/>
        <v>546</v>
      </c>
      <c r="CZ304" s="1113">
        <f t="shared" si="1295"/>
        <v>616</v>
      </c>
      <c r="DA304" s="1113">
        <f t="shared" si="1295"/>
        <v>607</v>
      </c>
      <c r="DB304" s="150">
        <f t="shared" si="1295"/>
        <v>559</v>
      </c>
      <c r="DC304" s="1113">
        <f t="shared" si="1295"/>
        <v>656</v>
      </c>
      <c r="DD304" s="1113">
        <f t="shared" si="1295"/>
        <v>740</v>
      </c>
      <c r="DE304" s="1113">
        <f t="shared" si="1295"/>
        <v>744</v>
      </c>
      <c r="DF304" s="150">
        <f t="shared" si="1295"/>
        <v>741</v>
      </c>
      <c r="DG304" s="1113">
        <f t="shared" si="1295"/>
        <v>790</v>
      </c>
      <c r="DH304" s="1113">
        <f t="shared" si="1295"/>
        <v>800</v>
      </c>
      <c r="DI304" s="155">
        <f t="shared" si="1295"/>
        <v>798</v>
      </c>
      <c r="DJ304" s="150">
        <f t="shared" si="1295"/>
        <v>771</v>
      </c>
      <c r="DK304" s="1113">
        <f t="shared" si="1295"/>
        <v>771</v>
      </c>
      <c r="DL304" s="1113">
        <f t="shared" si="1295"/>
        <v>771</v>
      </c>
      <c r="DM304" s="155">
        <f t="shared" si="1295"/>
        <v>771</v>
      </c>
      <c r="DN304" s="1113">
        <f t="shared" si="1295"/>
        <v>771</v>
      </c>
      <c r="DO304" s="1113">
        <f t="shared" ref="DO304:DP304" si="1296">DO23</f>
        <v>771</v>
      </c>
      <c r="DP304" s="1113">
        <f t="shared" si="1296"/>
        <v>771</v>
      </c>
      <c r="DQ304" s="155">
        <f t="shared" ref="DQ304" si="1297">DQ23</f>
        <v>771</v>
      </c>
      <c r="DR304" s="150">
        <f t="shared" ref="DR304" si="1298">DR23</f>
        <v>771</v>
      </c>
      <c r="DS304" s="1113">
        <f t="shared" ref="DS304:DT304" si="1299">DS23</f>
        <v>771</v>
      </c>
      <c r="DT304" s="1113">
        <f t="shared" si="1299"/>
        <v>771</v>
      </c>
      <c r="DU304" s="155">
        <f t="shared" ref="DU304" si="1300">DU23</f>
        <v>771</v>
      </c>
      <c r="DV304" s="1113">
        <f t="shared" ref="DV304" si="1301">DV23</f>
        <v>771</v>
      </c>
      <c r="DW304" s="1063">
        <f t="shared" ref="DW304:DY304" si="1302">DW23</f>
        <v>771</v>
      </c>
      <c r="DX304" s="1063">
        <f t="shared" si="1302"/>
        <v>771</v>
      </c>
      <c r="DY304" s="160">
        <f t="shared" si="1302"/>
        <v>771</v>
      </c>
    </row>
    <row r="305" spans="1:132" s="1491" customFormat="1" hidden="1" outlineLevel="1">
      <c r="A305" s="1453" t="s">
        <v>1453</v>
      </c>
      <c r="B305" s="1065"/>
      <c r="C305" s="1065"/>
      <c r="D305" s="1065"/>
      <c r="E305" s="1065"/>
      <c r="F305" s="1065"/>
      <c r="G305" s="1065"/>
      <c r="H305" s="1065"/>
      <c r="I305" s="1065"/>
      <c r="J305" s="1065"/>
      <c r="K305" s="1065"/>
      <c r="L305" s="1065"/>
      <c r="M305" s="1065"/>
      <c r="N305" s="1065"/>
      <c r="O305" s="1065"/>
      <c r="P305" s="1065"/>
      <c r="Q305" s="1059"/>
      <c r="R305" s="1065">
        <f t="shared" ref="R305:AB305" si="1303">R304/Q304-1</f>
        <v>0.80341880341880345</v>
      </c>
      <c r="S305" s="1065">
        <f t="shared" si="1303"/>
        <v>7.5829383886255819E-2</v>
      </c>
      <c r="T305" s="1065">
        <f t="shared" si="1303"/>
        <v>-8.1698037645174248E-2</v>
      </c>
      <c r="U305" s="1065">
        <f t="shared" si="1303"/>
        <v>0.17706061927605754</v>
      </c>
      <c r="V305" s="1065">
        <f t="shared" si="1303"/>
        <v>0.15931826602445343</v>
      </c>
      <c r="W305" s="1065">
        <f>W304/V304-1</f>
        <v>-1.4381591562799612E-2</v>
      </c>
      <c r="X305" s="1065">
        <f>X304/W304-1</f>
        <v>0</v>
      </c>
      <c r="Y305" s="1065">
        <f>Y304/X304-1</f>
        <v>0</v>
      </c>
      <c r="Z305" s="1065">
        <f>Z304/Y304-1</f>
        <v>0</v>
      </c>
      <c r="AA305" s="1065">
        <f t="shared" si="1303"/>
        <v>0</v>
      </c>
      <c r="AB305" s="1065">
        <f t="shared" si="1303"/>
        <v>0</v>
      </c>
      <c r="AC305" s="1065">
        <f t="shared" ref="AC305" si="1304">AC304/AB304-1</f>
        <v>0</v>
      </c>
      <c r="AD305" s="1065">
        <f t="shared" ref="AD305" si="1305">AD304/AC304-1</f>
        <v>0</v>
      </c>
      <c r="AE305" s="1065">
        <f t="shared" ref="AE305" si="1306">AE304/AD304-1</f>
        <v>0</v>
      </c>
      <c r="AF305" s="1065">
        <f t="shared" ref="AF305" si="1307">AF304/AE304-1</f>
        <v>0</v>
      </c>
      <c r="AG305" s="1065">
        <f t="shared" ref="AG305" si="1308">AG304/AF304-1</f>
        <v>0</v>
      </c>
      <c r="AH305" s="2201"/>
      <c r="AI305" s="1927"/>
      <c r="AJ305" s="1561"/>
      <c r="AK305" s="1065"/>
      <c r="AL305" s="1065"/>
      <c r="AM305" s="1065"/>
      <c r="AN305" s="1065"/>
      <c r="AO305" s="1065"/>
      <c r="AP305" s="563"/>
      <c r="AQ305" s="1065"/>
      <c r="AR305" s="1065"/>
      <c r="AS305" s="1065"/>
      <c r="AT305" s="563"/>
      <c r="AU305" s="1065"/>
      <c r="AV305" s="1065"/>
      <c r="AW305" s="1065"/>
      <c r="AX305" s="563"/>
      <c r="AY305" s="1065"/>
      <c r="AZ305" s="1065"/>
      <c r="BA305" s="1065"/>
      <c r="BB305" s="563"/>
      <c r="BC305" s="1065"/>
      <c r="BD305" s="1065"/>
      <c r="BE305" s="1065"/>
      <c r="BF305" s="563"/>
      <c r="BG305" s="1065"/>
      <c r="BH305" s="1065"/>
      <c r="BI305" s="1065"/>
      <c r="BJ305" s="563"/>
      <c r="BK305" s="1065"/>
      <c r="BL305" s="1065"/>
      <c r="BM305" s="1065"/>
      <c r="BN305" s="563"/>
      <c r="BO305" s="1065"/>
      <c r="BP305" s="1065"/>
      <c r="BQ305" s="1065"/>
      <c r="BR305" s="563"/>
      <c r="BS305" s="1065"/>
      <c r="BT305" s="1065"/>
      <c r="BU305" s="1065"/>
      <c r="BV305" s="563"/>
      <c r="BW305" s="1065"/>
      <c r="BX305" s="1065"/>
      <c r="BY305" s="1065"/>
      <c r="BZ305" s="563"/>
      <c r="CA305" s="1065"/>
      <c r="CB305" s="1065"/>
      <c r="CC305" s="1065"/>
      <c r="CD305" s="563"/>
      <c r="CE305" s="1065"/>
      <c r="CF305" s="1065"/>
      <c r="CG305" s="1065"/>
      <c r="CH305" s="165"/>
      <c r="CI305" s="1059"/>
      <c r="CJ305" s="1241"/>
      <c r="CK305" s="1059"/>
      <c r="CL305" s="182"/>
      <c r="CM305" s="1241"/>
      <c r="CN305" s="1241"/>
      <c r="CO305" s="1241"/>
      <c r="CP305" s="563">
        <f t="shared" ref="CP305:DV305" si="1309">CP304/CL304-1</f>
        <v>0.45454545454545459</v>
      </c>
      <c r="CQ305" s="1065">
        <f t="shared" si="1309"/>
        <v>0.50724637681159424</v>
      </c>
      <c r="CR305" s="1065">
        <f t="shared" si="1309"/>
        <v>1.1803797468354431</v>
      </c>
      <c r="CS305" s="1065">
        <f t="shared" si="1309"/>
        <v>1.0668693009118542</v>
      </c>
      <c r="CT305" s="563">
        <f t="shared" si="1309"/>
        <v>0.47453703703703698</v>
      </c>
      <c r="CU305" s="1065">
        <f t="shared" si="1309"/>
        <v>0.32307692307692304</v>
      </c>
      <c r="CV305" s="1065">
        <f t="shared" si="1309"/>
        <v>-8.8534107402031936E-2</v>
      </c>
      <c r="CW305" s="1065">
        <f t="shared" si="1309"/>
        <v>-0.19999999999999996</v>
      </c>
      <c r="CX305" s="563">
        <f t="shared" si="1309"/>
        <v>-0.17739403453689173</v>
      </c>
      <c r="CY305" s="1065">
        <f t="shared" si="1309"/>
        <v>-0.20639534883720934</v>
      </c>
      <c r="CZ305" s="1065">
        <f t="shared" si="1309"/>
        <v>-1.9108280254777066E-2</v>
      </c>
      <c r="DA305" s="1065">
        <f t="shared" si="1309"/>
        <v>0.11580882352941169</v>
      </c>
      <c r="DB305" s="563">
        <f t="shared" si="1309"/>
        <v>6.6793893129770909E-2</v>
      </c>
      <c r="DC305" s="1065">
        <f t="shared" si="1309"/>
        <v>0.20146520146520142</v>
      </c>
      <c r="DD305" s="1065">
        <f t="shared" si="1309"/>
        <v>0.20129870129870131</v>
      </c>
      <c r="DE305" s="1065">
        <f t="shared" si="1309"/>
        <v>0.22570016474464571</v>
      </c>
      <c r="DF305" s="563">
        <f t="shared" si="1309"/>
        <v>0.32558139534883712</v>
      </c>
      <c r="DG305" s="1065">
        <f t="shared" si="1309"/>
        <v>0.2042682926829269</v>
      </c>
      <c r="DH305" s="1065">
        <f t="shared" si="1309"/>
        <v>8.1081081081081141E-2</v>
      </c>
      <c r="DI305" s="564">
        <f t="shared" si="1309"/>
        <v>7.2580645161290258E-2</v>
      </c>
      <c r="DJ305" s="563">
        <f t="shared" si="1309"/>
        <v>4.0485829959514108E-2</v>
      </c>
      <c r="DK305" s="1065">
        <f t="shared" si="1309"/>
        <v>-2.4050632911392422E-2</v>
      </c>
      <c r="DL305" s="1065">
        <f t="shared" si="1309"/>
        <v>-3.6250000000000004E-2</v>
      </c>
      <c r="DM305" s="564">
        <f t="shared" si="1309"/>
        <v>-3.3834586466165439E-2</v>
      </c>
      <c r="DN305" s="1065">
        <f t="shared" si="1309"/>
        <v>0</v>
      </c>
      <c r="DO305" s="1065">
        <f t="shared" si="1309"/>
        <v>0</v>
      </c>
      <c r="DP305" s="1065">
        <f t="shared" si="1309"/>
        <v>0</v>
      </c>
      <c r="DQ305" s="564">
        <f t="shared" si="1309"/>
        <v>0</v>
      </c>
      <c r="DR305" s="563">
        <f t="shared" si="1309"/>
        <v>0</v>
      </c>
      <c r="DS305" s="1065">
        <f t="shared" si="1309"/>
        <v>0</v>
      </c>
      <c r="DT305" s="1065">
        <f t="shared" si="1309"/>
        <v>0</v>
      </c>
      <c r="DU305" s="564">
        <f t="shared" si="1309"/>
        <v>0</v>
      </c>
      <c r="DV305" s="1065">
        <f t="shared" si="1309"/>
        <v>0</v>
      </c>
      <c r="DW305" s="1065">
        <f t="shared" ref="DW305" si="1310">DW304/DS304-1</f>
        <v>0</v>
      </c>
      <c r="DX305" s="1065">
        <f t="shared" ref="DX305" si="1311">DX304/DT304-1</f>
        <v>0</v>
      </c>
      <c r="DY305" s="564">
        <f t="shared" ref="DY305" si="1312">DY304/DU304-1</f>
        <v>0</v>
      </c>
    </row>
    <row r="306" spans="1:132" s="1491" customFormat="1" hidden="1" outlineLevel="1">
      <c r="A306" s="1469" t="s">
        <v>1483</v>
      </c>
      <c r="B306" s="1064"/>
      <c r="C306" s="1064"/>
      <c r="D306" s="1070"/>
      <c r="E306" s="1070"/>
      <c r="F306" s="1070"/>
      <c r="G306" s="1229"/>
      <c r="H306" s="1070"/>
      <c r="I306" s="1070"/>
      <c r="J306" s="1070"/>
      <c r="K306" s="1070"/>
      <c r="L306" s="1070"/>
      <c r="M306" s="1070"/>
      <c r="N306" s="1070"/>
      <c r="O306" s="1070"/>
      <c r="P306" s="1070"/>
      <c r="Q306" s="1070">
        <f>SUM(CL306:CO306)</f>
        <v>1287</v>
      </c>
      <c r="R306" s="1113">
        <f>SUM(CP306:CS306)</f>
        <v>2321</v>
      </c>
      <c r="S306" s="1113">
        <f>SUM(CT306:CW306)</f>
        <v>2497</v>
      </c>
      <c r="T306" s="1113">
        <f>SUM(CX306:DA306)</f>
        <v>2293</v>
      </c>
      <c r="U306" s="1113">
        <f>SUM(DB306:DE306)</f>
        <v>2699</v>
      </c>
      <c r="V306" s="1113">
        <f>SUM(DF306:DI306)</f>
        <v>3129</v>
      </c>
      <c r="W306" s="1113">
        <f>SUM(DJ306:DM306)</f>
        <v>3084</v>
      </c>
      <c r="X306" s="1113">
        <f>SUM(DK306:DN306)</f>
        <v>3084</v>
      </c>
      <c r="Y306" s="1113">
        <f>SUM(DL306:DO306)</f>
        <v>3084</v>
      </c>
      <c r="Z306" s="1113">
        <f>SUM(DM306:DP306)</f>
        <v>3084</v>
      </c>
      <c r="AA306" s="1522">
        <f ca="1">+AA316*(AVERAGE(Z179:AA179)*12)/1000</f>
        <v>3126.1508871150054</v>
      </c>
      <c r="AB306" s="1522">
        <f ca="1">+AB316*(AVERAGE(AA179:AB179)*12)/1000</f>
        <v>3089.445136080983</v>
      </c>
      <c r="AC306" s="1522">
        <f t="shared" ref="AC306:AG306" ca="1" si="1313">+AC316*(AVERAGE(AB179:AC179)*12)/1000</f>
        <v>3056.8947530885498</v>
      </c>
      <c r="AD306" s="1522">
        <f t="shared" ca="1" si="1313"/>
        <v>3028.0293191141272</v>
      </c>
      <c r="AE306" s="1522">
        <f t="shared" ca="1" si="1313"/>
        <v>3002.4316701179414</v>
      </c>
      <c r="AF306" s="1522">
        <f t="shared" ca="1" si="1313"/>
        <v>2979.731868177927</v>
      </c>
      <c r="AG306" s="1522">
        <f t="shared" ca="1" si="1313"/>
        <v>2959.6018551367829</v>
      </c>
      <c r="AH306" s="2201"/>
      <c r="AI306" s="1927"/>
      <c r="AJ306" s="1561"/>
      <c r="AK306" s="1070"/>
      <c r="AL306" s="1070"/>
      <c r="AM306" s="1064"/>
      <c r="AN306" s="1070"/>
      <c r="AO306" s="1070"/>
      <c r="AP306" s="607"/>
      <c r="AQ306" s="1070"/>
      <c r="AR306" s="1070"/>
      <c r="AS306" s="1070"/>
      <c r="AT306" s="607"/>
      <c r="AU306" s="1070"/>
      <c r="AV306" s="1070"/>
      <c r="AW306" s="1070"/>
      <c r="AX306" s="607"/>
      <c r="AY306" s="1070"/>
      <c r="AZ306" s="1070"/>
      <c r="BA306" s="1070"/>
      <c r="BB306" s="607"/>
      <c r="BC306" s="1070"/>
      <c r="BD306" s="1070"/>
      <c r="BE306" s="1070"/>
      <c r="BF306" s="607"/>
      <c r="BG306" s="1070"/>
      <c r="BH306" s="1070"/>
      <c r="BI306" s="1070"/>
      <c r="BJ306" s="607"/>
      <c r="BK306" s="1070"/>
      <c r="BL306" s="1070"/>
      <c r="BM306" s="1070"/>
      <c r="BN306" s="607"/>
      <c r="BO306" s="1070"/>
      <c r="BP306" s="1070"/>
      <c r="BQ306" s="1070"/>
      <c r="BR306" s="607"/>
      <c r="BS306" s="1070"/>
      <c r="BT306" s="1070"/>
      <c r="BU306" s="1070"/>
      <c r="BV306" s="607"/>
      <c r="BW306" s="1070"/>
      <c r="BX306" s="1070"/>
      <c r="BY306" s="1070"/>
      <c r="BZ306" s="607"/>
      <c r="CA306" s="1070"/>
      <c r="CB306" s="1070"/>
      <c r="CC306" s="1070"/>
      <c r="CD306" s="607"/>
      <c r="CE306" s="1070"/>
      <c r="CF306" s="1070"/>
      <c r="CG306" s="1070"/>
      <c r="CH306" s="607"/>
      <c r="CI306" s="1070"/>
      <c r="CJ306" s="1070"/>
      <c r="CK306" s="1070"/>
      <c r="CL306" s="150">
        <f t="shared" ref="CL306:DJ306" si="1314">+CL304</f>
        <v>297</v>
      </c>
      <c r="CM306" s="1113">
        <f t="shared" si="1314"/>
        <v>345</v>
      </c>
      <c r="CN306" s="1113">
        <f t="shared" si="1314"/>
        <v>316</v>
      </c>
      <c r="CO306" s="1113">
        <f t="shared" si="1314"/>
        <v>329</v>
      </c>
      <c r="CP306" s="150">
        <f t="shared" si="1314"/>
        <v>432</v>
      </c>
      <c r="CQ306" s="1113">
        <f t="shared" si="1314"/>
        <v>520</v>
      </c>
      <c r="CR306" s="1113">
        <f t="shared" si="1314"/>
        <v>689</v>
      </c>
      <c r="CS306" s="1113">
        <f t="shared" si="1314"/>
        <v>680</v>
      </c>
      <c r="CT306" s="150">
        <f t="shared" si="1314"/>
        <v>637</v>
      </c>
      <c r="CU306" s="1113">
        <f t="shared" si="1314"/>
        <v>688</v>
      </c>
      <c r="CV306" s="1113">
        <f t="shared" si="1314"/>
        <v>628</v>
      </c>
      <c r="CW306" s="1113">
        <f t="shared" si="1314"/>
        <v>544</v>
      </c>
      <c r="CX306" s="150">
        <f t="shared" si="1314"/>
        <v>524</v>
      </c>
      <c r="CY306" s="1113">
        <f t="shared" si="1314"/>
        <v>546</v>
      </c>
      <c r="CZ306" s="1113">
        <f t="shared" si="1314"/>
        <v>616</v>
      </c>
      <c r="DA306" s="1113">
        <f t="shared" si="1314"/>
        <v>607</v>
      </c>
      <c r="DB306" s="150">
        <f t="shared" si="1314"/>
        <v>559</v>
      </c>
      <c r="DC306" s="1113">
        <f t="shared" si="1314"/>
        <v>656</v>
      </c>
      <c r="DD306" s="1113">
        <f t="shared" si="1314"/>
        <v>740</v>
      </c>
      <c r="DE306" s="1113">
        <f t="shared" si="1314"/>
        <v>744</v>
      </c>
      <c r="DF306" s="150">
        <f t="shared" si="1314"/>
        <v>741</v>
      </c>
      <c r="DG306" s="1113">
        <f t="shared" si="1314"/>
        <v>790</v>
      </c>
      <c r="DH306" s="1113">
        <f t="shared" si="1314"/>
        <v>800</v>
      </c>
      <c r="DI306" s="155">
        <f t="shared" si="1314"/>
        <v>798</v>
      </c>
      <c r="DJ306" s="150">
        <f t="shared" si="1314"/>
        <v>771</v>
      </c>
      <c r="DK306" s="1113">
        <f t="shared" ref="DK306:DP306" si="1315">+DK304</f>
        <v>771</v>
      </c>
      <c r="DL306" s="1113">
        <f t="shared" si="1315"/>
        <v>771</v>
      </c>
      <c r="DM306" s="155">
        <f t="shared" si="1315"/>
        <v>771</v>
      </c>
      <c r="DN306" s="1113">
        <f t="shared" si="1315"/>
        <v>771</v>
      </c>
      <c r="DO306" s="1113">
        <f t="shared" si="1315"/>
        <v>771</v>
      </c>
      <c r="DP306" s="1113">
        <f t="shared" si="1315"/>
        <v>771</v>
      </c>
      <c r="DQ306" s="155">
        <f t="shared" ref="DQ306" si="1316">+DQ304</f>
        <v>771</v>
      </c>
      <c r="DR306" s="150">
        <f t="shared" ref="DR306" si="1317">+DR304</f>
        <v>771</v>
      </c>
      <c r="DS306" s="1113">
        <f t="shared" ref="DS306:DT306" si="1318">+DS304</f>
        <v>771</v>
      </c>
      <c r="DT306" s="1113">
        <f t="shared" si="1318"/>
        <v>771</v>
      </c>
      <c r="DU306" s="155">
        <f t="shared" ref="DU306" si="1319">+DU304</f>
        <v>771</v>
      </c>
      <c r="DV306" s="1113">
        <f t="shared" ref="DV306" si="1320">+DV304</f>
        <v>771</v>
      </c>
      <c r="DW306" s="1063">
        <f t="shared" ref="DW306" ca="1" si="1321">+DW316*(AVERAGE(DV179:DW179)*3)/1000</f>
        <v>761.50061618138955</v>
      </c>
      <c r="DX306" s="1063">
        <f t="shared" ref="DX306" ca="1" si="1322">+DX316*(AVERAGE(DW179:DX179)*3)/1000</f>
        <v>757.37675455705687</v>
      </c>
      <c r="DY306" s="160">
        <f t="shared" ref="DY306" ca="1" si="1323">+DY316*(AVERAGE(DX179:DY179)*3)/1000</f>
        <v>753.60022899799117</v>
      </c>
    </row>
    <row r="307" spans="1:132" s="1491" customFormat="1" hidden="1" outlineLevel="1">
      <c r="A307" s="1457" t="s">
        <v>991</v>
      </c>
      <c r="B307" s="1065"/>
      <c r="C307" s="1065"/>
      <c r="D307" s="1065"/>
      <c r="E307" s="1065"/>
      <c r="F307" s="1065"/>
      <c r="G307" s="1065"/>
      <c r="H307" s="1065"/>
      <c r="I307" s="1065"/>
      <c r="J307" s="1065"/>
      <c r="K307" s="1065"/>
      <c r="L307" s="1065"/>
      <c r="M307" s="1065"/>
      <c r="N307" s="1065"/>
      <c r="O307" s="1065"/>
      <c r="P307" s="1065"/>
      <c r="Q307" s="1065"/>
      <c r="R307" s="1065">
        <f t="shared" ref="R307:AB307" si="1324">R306/Q306-1</f>
        <v>0.80341880341880345</v>
      </c>
      <c r="S307" s="1065">
        <f t="shared" si="1324"/>
        <v>7.5829383886255819E-2</v>
      </c>
      <c r="T307" s="1065">
        <f t="shared" si="1324"/>
        <v>-8.1698037645174248E-2</v>
      </c>
      <c r="U307" s="1065">
        <f t="shared" si="1324"/>
        <v>0.17706061927605754</v>
      </c>
      <c r="V307" s="1065">
        <f t="shared" si="1324"/>
        <v>0.15931826602445343</v>
      </c>
      <c r="W307" s="1065">
        <f>W306/V306-1</f>
        <v>-1.4381591562799612E-2</v>
      </c>
      <c r="X307" s="1065">
        <f>X306/W306-1</f>
        <v>0</v>
      </c>
      <c r="Y307" s="1065">
        <f>Y306/X306-1</f>
        <v>0</v>
      </c>
      <c r="Z307" s="1065">
        <f>Z306/Y306-1</f>
        <v>0</v>
      </c>
      <c r="AA307" s="1065">
        <f t="shared" ca="1" si="1324"/>
        <v>1.3667602825877312E-2</v>
      </c>
      <c r="AB307" s="1065">
        <f t="shared" ca="1" si="1324"/>
        <v>-1.1741516119811002E-2</v>
      </c>
      <c r="AC307" s="1065">
        <f t="shared" ref="AC307" ca="1" si="1325">AC306/AB306-1</f>
        <v>-1.053599645201142E-2</v>
      </c>
      <c r="AD307" s="1065">
        <f t="shared" ref="AD307" ca="1" si="1326">AD306/AC306-1</f>
        <v>-9.4427307139894889E-3</v>
      </c>
      <c r="AE307" s="1065">
        <f t="shared" ref="AE307" ca="1" si="1327">AE306/AD306-1</f>
        <v>-8.4535670888664649E-3</v>
      </c>
      <c r="AF307" s="1065">
        <f t="shared" ref="AF307" ca="1" si="1328">AF306/AE306-1</f>
        <v>-7.560472455022671E-3</v>
      </c>
      <c r="AG307" s="1065">
        <f t="shared" ref="AG307" ca="1" si="1329">AG306/AF306-1</f>
        <v>-6.7556457868316322E-3</v>
      </c>
      <c r="AH307" s="2201"/>
      <c r="AI307" s="1927"/>
      <c r="AJ307" s="1561"/>
      <c r="AK307" s="1065"/>
      <c r="AL307" s="1065"/>
      <c r="AM307" s="1065"/>
      <c r="AN307" s="1065"/>
      <c r="AO307" s="1065"/>
      <c r="AP307" s="563"/>
      <c r="AQ307" s="1065"/>
      <c r="AR307" s="1065"/>
      <c r="AS307" s="1065"/>
      <c r="AT307" s="563"/>
      <c r="AU307" s="1065"/>
      <c r="AV307" s="1065"/>
      <c r="AW307" s="1065"/>
      <c r="AX307" s="563"/>
      <c r="AY307" s="1065"/>
      <c r="AZ307" s="1065"/>
      <c r="BA307" s="1065"/>
      <c r="BB307" s="563"/>
      <c r="BC307" s="1065"/>
      <c r="BD307" s="1065"/>
      <c r="BE307" s="1065"/>
      <c r="BF307" s="563"/>
      <c r="BG307" s="1065"/>
      <c r="BH307" s="1065"/>
      <c r="BI307" s="1065"/>
      <c r="BJ307" s="563"/>
      <c r="BK307" s="1065"/>
      <c r="BL307" s="1065"/>
      <c r="BM307" s="1065"/>
      <c r="BN307" s="563"/>
      <c r="BO307" s="1065"/>
      <c r="BP307" s="1065"/>
      <c r="BQ307" s="1065"/>
      <c r="BR307" s="563"/>
      <c r="BS307" s="1065"/>
      <c r="BT307" s="1065"/>
      <c r="BU307" s="1065"/>
      <c r="BV307" s="563"/>
      <c r="BW307" s="1065"/>
      <c r="BX307" s="1065"/>
      <c r="BY307" s="1065"/>
      <c r="BZ307" s="563"/>
      <c r="CA307" s="1065"/>
      <c r="CB307" s="1065"/>
      <c r="CC307" s="1065"/>
      <c r="CD307" s="563"/>
      <c r="CE307" s="1065"/>
      <c r="CF307" s="1065"/>
      <c r="CG307" s="1065"/>
      <c r="CH307" s="563"/>
      <c r="CI307" s="1065"/>
      <c r="CJ307" s="1065"/>
      <c r="CK307" s="1065"/>
      <c r="CL307" s="156" t="s">
        <v>1149</v>
      </c>
      <c r="CM307" s="1095" t="s">
        <v>1149</v>
      </c>
      <c r="CN307" s="1095" t="s">
        <v>1149</v>
      </c>
      <c r="CO307" s="1095" t="s">
        <v>1149</v>
      </c>
      <c r="CP307" s="563">
        <f t="shared" ref="CP307:DV307" si="1330">CP306/CL306-1</f>
        <v>0.45454545454545459</v>
      </c>
      <c r="CQ307" s="1065">
        <f t="shared" si="1330"/>
        <v>0.50724637681159424</v>
      </c>
      <c r="CR307" s="1065">
        <f t="shared" si="1330"/>
        <v>1.1803797468354431</v>
      </c>
      <c r="CS307" s="1065">
        <f t="shared" si="1330"/>
        <v>1.0668693009118542</v>
      </c>
      <c r="CT307" s="563">
        <f t="shared" si="1330"/>
        <v>0.47453703703703698</v>
      </c>
      <c r="CU307" s="1065">
        <f t="shared" si="1330"/>
        <v>0.32307692307692304</v>
      </c>
      <c r="CV307" s="1065">
        <f t="shared" si="1330"/>
        <v>-8.8534107402031936E-2</v>
      </c>
      <c r="CW307" s="1065">
        <f t="shared" si="1330"/>
        <v>-0.19999999999999996</v>
      </c>
      <c r="CX307" s="563">
        <f t="shared" si="1330"/>
        <v>-0.17739403453689173</v>
      </c>
      <c r="CY307" s="1065">
        <f t="shared" si="1330"/>
        <v>-0.20639534883720934</v>
      </c>
      <c r="CZ307" s="1065">
        <f t="shared" si="1330"/>
        <v>-1.9108280254777066E-2</v>
      </c>
      <c r="DA307" s="1065">
        <f t="shared" si="1330"/>
        <v>0.11580882352941169</v>
      </c>
      <c r="DB307" s="563">
        <f t="shared" si="1330"/>
        <v>6.6793893129770909E-2</v>
      </c>
      <c r="DC307" s="1065">
        <f t="shared" si="1330"/>
        <v>0.20146520146520142</v>
      </c>
      <c r="DD307" s="1065">
        <f t="shared" si="1330"/>
        <v>0.20129870129870131</v>
      </c>
      <c r="DE307" s="1065">
        <f t="shared" si="1330"/>
        <v>0.22570016474464571</v>
      </c>
      <c r="DF307" s="563">
        <f t="shared" si="1330"/>
        <v>0.32558139534883712</v>
      </c>
      <c r="DG307" s="1065">
        <f t="shared" si="1330"/>
        <v>0.2042682926829269</v>
      </c>
      <c r="DH307" s="1065">
        <f t="shared" si="1330"/>
        <v>8.1081081081081141E-2</v>
      </c>
      <c r="DI307" s="564">
        <f t="shared" si="1330"/>
        <v>7.2580645161290258E-2</v>
      </c>
      <c r="DJ307" s="563">
        <f t="shared" si="1330"/>
        <v>4.0485829959514108E-2</v>
      </c>
      <c r="DK307" s="1065">
        <f t="shared" si="1330"/>
        <v>-2.4050632911392422E-2</v>
      </c>
      <c r="DL307" s="1065">
        <f t="shared" si="1330"/>
        <v>-3.6250000000000004E-2</v>
      </c>
      <c r="DM307" s="564">
        <f t="shared" si="1330"/>
        <v>-3.3834586466165439E-2</v>
      </c>
      <c r="DN307" s="1065">
        <f t="shared" si="1330"/>
        <v>0</v>
      </c>
      <c r="DO307" s="1065">
        <f t="shared" si="1330"/>
        <v>0</v>
      </c>
      <c r="DP307" s="1065">
        <f t="shared" si="1330"/>
        <v>0</v>
      </c>
      <c r="DQ307" s="564">
        <f t="shared" si="1330"/>
        <v>0</v>
      </c>
      <c r="DR307" s="563">
        <f t="shared" si="1330"/>
        <v>0</v>
      </c>
      <c r="DS307" s="1065">
        <f t="shared" si="1330"/>
        <v>0</v>
      </c>
      <c r="DT307" s="1065">
        <f t="shared" si="1330"/>
        <v>0</v>
      </c>
      <c r="DU307" s="564">
        <f t="shared" si="1330"/>
        <v>0</v>
      </c>
      <c r="DV307" s="1065">
        <f t="shared" si="1330"/>
        <v>0</v>
      </c>
      <c r="DW307" s="1065">
        <f t="shared" ref="DW307" ca="1" si="1331">DW306/DS306-1</f>
        <v>-1.2320860983930593E-2</v>
      </c>
      <c r="DX307" s="1065">
        <f t="shared" ref="DX307" ca="1" si="1332">DX306/DT306-1</f>
        <v>-1.7669579044024775E-2</v>
      </c>
      <c r="DY307" s="564">
        <f t="shared" ref="DY307" ca="1" si="1333">DY306/DU306-1</f>
        <v>-2.2567796370958293E-2</v>
      </c>
    </row>
    <row r="308" spans="1:132" s="1491" customFormat="1" hidden="1" outlineLevel="1">
      <c r="A308" s="1457" t="s">
        <v>101</v>
      </c>
      <c r="B308" s="1065"/>
      <c r="C308" s="1065"/>
      <c r="D308" s="1065"/>
      <c r="E308" s="1065"/>
      <c r="F308" s="1065"/>
      <c r="G308" s="1065"/>
      <c r="H308" s="1065"/>
      <c r="I308" s="1065"/>
      <c r="J308" s="1065"/>
      <c r="K308" s="1065"/>
      <c r="L308" s="1065"/>
      <c r="M308" s="1065"/>
      <c r="N308" s="1065"/>
      <c r="O308" s="1065"/>
      <c r="P308" s="1065"/>
      <c r="Q308" s="1065">
        <f t="shared" ref="Q308:V308" si="1334">+Q306/Q$301</f>
        <v>2.4728125120086077E-2</v>
      </c>
      <c r="R308" s="1065">
        <f t="shared" si="1334"/>
        <v>4.1722842402344099E-2</v>
      </c>
      <c r="S308" s="1065">
        <f t="shared" si="1334"/>
        <v>4.220971313623071E-2</v>
      </c>
      <c r="T308" s="1065">
        <f t="shared" si="1334"/>
        <v>3.5978221643418636E-2</v>
      </c>
      <c r="U308" s="1065">
        <f t="shared" si="1334"/>
        <v>3.9097243347384583E-2</v>
      </c>
      <c r="V308" s="1065">
        <f t="shared" si="1334"/>
        <v>4.3081371334159436E-2</v>
      </c>
      <c r="W308" s="1065">
        <f t="shared" ref="W308:AB308" si="1335">+W306/W$301</f>
        <v>4.3809307347008351E-2</v>
      </c>
      <c r="X308" s="1065">
        <f t="shared" si="1335"/>
        <v>4.450794475473005E-2</v>
      </c>
      <c r="Y308" s="1065">
        <f t="shared" si="1335"/>
        <v>4.5125323734691192E-2</v>
      </c>
      <c r="Z308" s="1065">
        <f t="shared" si="1335"/>
        <v>4.5736997434338345E-2</v>
      </c>
      <c r="AA308" s="1065">
        <f t="shared" ca="1" si="1335"/>
        <v>4.9613914061604529E-2</v>
      </c>
      <c r="AB308" s="1065">
        <f t="shared" ca="1" si="1335"/>
        <v>4.8251220626265391E-2</v>
      </c>
      <c r="AC308" s="1065">
        <f t="shared" ref="AC308:AG308" ca="1" si="1336">+AC306/AC$301</f>
        <v>4.6938230674624548E-2</v>
      </c>
      <c r="AD308" s="1065">
        <f t="shared" ca="1" si="1336"/>
        <v>4.5676458848668708E-2</v>
      </c>
      <c r="AE308" s="1065">
        <f t="shared" ca="1" si="1336"/>
        <v>4.4457237468804305E-2</v>
      </c>
      <c r="AF308" s="1065">
        <f t="shared" ca="1" si="1336"/>
        <v>4.3269258740381823E-2</v>
      </c>
      <c r="AG308" s="1065">
        <f t="shared" ca="1" si="1336"/>
        <v>4.2101620921085867E-2</v>
      </c>
      <c r="AH308" s="2201"/>
      <c r="AI308" s="1927"/>
      <c r="AJ308" s="1561"/>
      <c r="AK308" s="1065"/>
      <c r="AL308" s="1065"/>
      <c r="AM308" s="1065"/>
      <c r="AN308" s="1065"/>
      <c r="AO308" s="1065"/>
      <c r="AP308" s="563"/>
      <c r="AQ308" s="1065"/>
      <c r="AR308" s="1065"/>
      <c r="AS308" s="1065"/>
      <c r="AT308" s="563"/>
      <c r="AU308" s="1065"/>
      <c r="AV308" s="1065"/>
      <c r="AW308" s="1065"/>
      <c r="AX308" s="563"/>
      <c r="AY308" s="1065"/>
      <c r="AZ308" s="1065"/>
      <c r="BA308" s="1065"/>
      <c r="BB308" s="563"/>
      <c r="BC308" s="1065"/>
      <c r="BD308" s="1065"/>
      <c r="BE308" s="1065"/>
      <c r="BF308" s="563"/>
      <c r="BG308" s="1065"/>
      <c r="BH308" s="1065"/>
      <c r="BI308" s="1065"/>
      <c r="BJ308" s="563"/>
      <c r="BK308" s="1065"/>
      <c r="BL308" s="1065"/>
      <c r="BM308" s="1065"/>
      <c r="BN308" s="563"/>
      <c r="BO308" s="1065"/>
      <c r="BP308" s="1065"/>
      <c r="BQ308" s="1065"/>
      <c r="BR308" s="563"/>
      <c r="BS308" s="1065"/>
      <c r="BT308" s="1065"/>
      <c r="BU308" s="1065"/>
      <c r="BV308" s="563"/>
      <c r="BW308" s="1065"/>
      <c r="BX308" s="1065"/>
      <c r="BY308" s="1065"/>
      <c r="BZ308" s="563"/>
      <c r="CA308" s="1065"/>
      <c r="CB308" s="1065"/>
      <c r="CC308" s="1065"/>
      <c r="CD308" s="563"/>
      <c r="CE308" s="1065"/>
      <c r="CF308" s="1065"/>
      <c r="CG308" s="1065"/>
      <c r="CH308" s="563"/>
      <c r="CI308" s="1065"/>
      <c r="CJ308" s="1065"/>
      <c r="CK308" s="1065"/>
      <c r="CL308" s="563">
        <f t="shared" ref="CL308:DE308" si="1337">+CL306/CL$301</f>
        <v>2.3339882121807466E-2</v>
      </c>
      <c r="CM308" s="1065">
        <f t="shared" si="1337"/>
        <v>2.6560936176764954E-2</v>
      </c>
      <c r="CN308" s="1065">
        <f t="shared" si="1337"/>
        <v>2.4032245798159556E-2</v>
      </c>
      <c r="CO308" s="1065">
        <f t="shared" si="1337"/>
        <v>2.4956383220814685E-2</v>
      </c>
      <c r="CP308" s="563">
        <f t="shared" si="1337"/>
        <v>3.2080796079013811E-2</v>
      </c>
      <c r="CQ308" s="1065">
        <f t="shared" si="1337"/>
        <v>3.7675699174032747E-2</v>
      </c>
      <c r="CR308" s="1065">
        <f t="shared" si="1337"/>
        <v>4.8630717108977976E-2</v>
      </c>
      <c r="CS308" s="1065">
        <f t="shared" si="1337"/>
        <v>4.791094201366871E-2</v>
      </c>
      <c r="CT308" s="563">
        <f t="shared" si="1337"/>
        <v>4.4511215149185941E-2</v>
      </c>
      <c r="CU308" s="1065">
        <f t="shared" si="1337"/>
        <v>4.6780444686203848E-2</v>
      </c>
      <c r="CV308" s="1065">
        <f t="shared" si="1337"/>
        <v>4.1774762189848998E-2</v>
      </c>
      <c r="CW308" s="1065">
        <f t="shared" si="1337"/>
        <v>3.6012180590493846E-2</v>
      </c>
      <c r="CX308" s="563">
        <f t="shared" si="1337"/>
        <v>3.4003893575600262E-2</v>
      </c>
      <c r="CY308" s="1065">
        <f t="shared" si="1337"/>
        <v>3.4609533468559835E-2</v>
      </c>
      <c r="CZ308" s="1065">
        <f t="shared" si="1337"/>
        <v>3.8132970162188931E-2</v>
      </c>
      <c r="DA308" s="1065">
        <f t="shared" si="1337"/>
        <v>3.7027999755993413E-2</v>
      </c>
      <c r="DB308" s="563">
        <f t="shared" si="1337"/>
        <v>3.3417025346724055E-2</v>
      </c>
      <c r="DC308" s="1065">
        <f t="shared" si="1337"/>
        <v>3.8411992036538237E-2</v>
      </c>
      <c r="DD308" s="1065">
        <f t="shared" si="1337"/>
        <v>4.2247088376341634E-2</v>
      </c>
      <c r="DE308" s="1065">
        <f t="shared" si="1337"/>
        <v>4.2007791767827901E-2</v>
      </c>
      <c r="DF308" s="563">
        <f>+DF306/DF$301</f>
        <v>4.1196419636404066E-2</v>
      </c>
      <c r="DG308" s="1065">
        <f>+DG306/DG$301</f>
        <v>4.3699524283659696E-2</v>
      </c>
      <c r="DH308" s="1065">
        <f>+DH306/DH$301</f>
        <v>4.3582479843103074E-2</v>
      </c>
      <c r="DI308" s="564">
        <f>+DI306/DI$301</f>
        <v>4.3824482398813772E-2</v>
      </c>
      <c r="DJ308" s="563">
        <f t="shared" ref="DJ308:DM308" si="1338">+DJ306/DJ$301</f>
        <v>4.30389639388188E-2</v>
      </c>
      <c r="DK308" s="1065">
        <f t="shared" si="1338"/>
        <v>4.3586409633105318E-2</v>
      </c>
      <c r="DL308" s="1065">
        <f t="shared" si="1338"/>
        <v>4.3811796795090348E-2</v>
      </c>
      <c r="DM308" s="564">
        <f t="shared" si="1338"/>
        <v>4.4838615876708343E-2</v>
      </c>
      <c r="DN308" s="1065">
        <f t="shared" ref="DN308:DO308" si="1339">+DN306/DN$301</f>
        <v>4.5868284847403178E-2</v>
      </c>
      <c r="DO308" s="1065">
        <f t="shared" si="1339"/>
        <v>4.605459649961173E-2</v>
      </c>
      <c r="DP308" s="1065">
        <f t="shared" ref="DP308:DQ308" si="1340">+DP306/DP$301</f>
        <v>4.6211939582833851E-2</v>
      </c>
      <c r="DQ308" s="564">
        <f t="shared" si="1340"/>
        <v>4.7167502752967085E-2</v>
      </c>
      <c r="DR308" s="563">
        <f t="shared" ref="DR308" si="1341">+DR306/DR$301</f>
        <v>4.886550893649385E-2</v>
      </c>
      <c r="DS308" s="1065">
        <f t="shared" ref="DS308:DT308" si="1342">+DS306/DS$301</f>
        <v>4.9353475867366534E-2</v>
      </c>
      <c r="DT308" s="1065">
        <f t="shared" si="1342"/>
        <v>4.8671169749384506E-2</v>
      </c>
      <c r="DU308" s="564">
        <f t="shared" ref="DU308" si="1343">+DU306/DU$301</f>
        <v>4.8551637279596979E-2</v>
      </c>
      <c r="DV308" s="1065">
        <f t="shared" ref="DV308" si="1344">+DV306/DV$301</f>
        <v>5.0058433969614333E-2</v>
      </c>
      <c r="DW308" s="1065">
        <f t="shared" ref="DW308:DY308" ca="1" si="1345">+DW306/DW$301</f>
        <v>4.9350702350394307E-2</v>
      </c>
      <c r="DX308" s="1065">
        <f t="shared" ca="1" si="1345"/>
        <v>4.8426851322947398E-2</v>
      </c>
      <c r="DY308" s="564">
        <f t="shared" ca="1" si="1345"/>
        <v>4.8182987977276458E-2</v>
      </c>
    </row>
    <row r="309" spans="1:132" s="1491" customFormat="1" hidden="1" outlineLevel="1">
      <c r="A309" s="711" t="s">
        <v>102</v>
      </c>
      <c r="B309" s="1064"/>
      <c r="C309" s="1064"/>
      <c r="D309" s="1070"/>
      <c r="E309" s="1070"/>
      <c r="F309" s="1070"/>
      <c r="G309" s="1229">
        <f t="shared" ref="G309:P309" si="1346">1000*G10/G101/12</f>
        <v>44.598100430920766</v>
      </c>
      <c r="H309" s="1229">
        <f t="shared" si="1346"/>
        <v>45.978017702558112</v>
      </c>
      <c r="I309" s="1229">
        <f t="shared" si="1346"/>
        <v>47.174981437612701</v>
      </c>
      <c r="J309" s="1229">
        <f t="shared" si="1346"/>
        <v>47.744337640466064</v>
      </c>
      <c r="K309" s="1229">
        <f t="shared" si="1346"/>
        <v>47.90881869989375</v>
      </c>
      <c r="L309" s="1229">
        <f t="shared" si="1346"/>
        <v>49.997131312137832</v>
      </c>
      <c r="M309" s="1229">
        <f t="shared" si="1346"/>
        <v>49.273275671812769</v>
      </c>
      <c r="N309" s="1229">
        <f t="shared" si="1346"/>
        <v>58.317739992209368</v>
      </c>
      <c r="O309" s="1229">
        <f t="shared" si="1346"/>
        <v>59.849135800490011</v>
      </c>
      <c r="P309" s="1229">
        <f t="shared" si="1346"/>
        <v>51.580129159014632</v>
      </c>
      <c r="Q309" s="1229">
        <f>1000*Q10/Q105/12</f>
        <v>46.157257134748754</v>
      </c>
      <c r="R309" s="1229">
        <f>1000*R10/R105/12</f>
        <v>0</v>
      </c>
      <c r="S309" s="1229"/>
      <c r="T309" s="1229"/>
      <c r="U309" s="1229"/>
      <c r="V309" s="1229"/>
      <c r="W309" s="1229"/>
      <c r="X309" s="1229"/>
      <c r="Y309" s="1229"/>
      <c r="Z309" s="1229"/>
      <c r="AA309" s="1229"/>
      <c r="AB309" s="1229"/>
      <c r="AC309" s="1229"/>
      <c r="AD309" s="1229"/>
      <c r="AE309" s="1229"/>
      <c r="AF309" s="1229"/>
      <c r="AG309" s="1229"/>
      <c r="AH309" s="2201"/>
      <c r="AI309" s="1927"/>
      <c r="AJ309" s="1561"/>
      <c r="AK309" s="1070"/>
      <c r="AL309" s="1070"/>
      <c r="AM309" s="1064"/>
      <c r="AN309" s="1070"/>
      <c r="AO309" s="1229"/>
      <c r="AP309" s="607"/>
      <c r="AQ309" s="1070"/>
      <c r="AR309" s="1070"/>
      <c r="AS309" s="1070"/>
      <c r="AT309" s="607"/>
      <c r="AU309" s="1070"/>
      <c r="AV309" s="1070"/>
      <c r="AW309" s="1070"/>
      <c r="AX309" s="631">
        <f t="shared" ref="AX309:BS309" si="1347">1000*AX10/(AVERAGE(AW99:AX99))/3</f>
        <v>44.338245055090937</v>
      </c>
      <c r="AY309" s="1229">
        <f t="shared" si="1347"/>
        <v>46.35180139267333</v>
      </c>
      <c r="AZ309" s="1229">
        <f t="shared" si="1347"/>
        <v>46.263371395336854</v>
      </c>
      <c r="BA309" s="1229">
        <f t="shared" si="1347"/>
        <v>44.436867825889301</v>
      </c>
      <c r="BB309" s="631">
        <f t="shared" si="1347"/>
        <v>42.723667956566544</v>
      </c>
      <c r="BC309" s="1229">
        <f t="shared" si="1347"/>
        <v>47.883157700129409</v>
      </c>
      <c r="BD309" s="1229">
        <f t="shared" si="1347"/>
        <v>48.117617950020183</v>
      </c>
      <c r="BE309" s="1229">
        <f t="shared" si="1347"/>
        <v>47.522582782300702</v>
      </c>
      <c r="BF309" s="631">
        <f t="shared" si="1347"/>
        <v>46.150611053386768</v>
      </c>
      <c r="BG309" s="1229">
        <f t="shared" si="1347"/>
        <v>49.238295914166002</v>
      </c>
      <c r="BH309" s="1229">
        <f t="shared" si="1347"/>
        <v>49.259285428295534</v>
      </c>
      <c r="BI309" s="1229">
        <f t="shared" si="1347"/>
        <v>46.26951331496786</v>
      </c>
      <c r="BJ309" s="631">
        <f t="shared" si="1347"/>
        <v>45.799283397194621</v>
      </c>
      <c r="BK309" s="1229">
        <f t="shared" si="1347"/>
        <v>48.632794020247893</v>
      </c>
      <c r="BL309" s="1229">
        <f t="shared" si="1347"/>
        <v>49.740139311207436</v>
      </c>
      <c r="BM309" s="1229">
        <f t="shared" si="1347"/>
        <v>49.084546647503593</v>
      </c>
      <c r="BN309" s="631">
        <f t="shared" si="1347"/>
        <v>47.203018562131227</v>
      </c>
      <c r="BO309" s="1229">
        <f t="shared" si="1347"/>
        <v>49.168665891507096</v>
      </c>
      <c r="BP309" s="1229">
        <f t="shared" si="1347"/>
        <v>50.005898034774816</v>
      </c>
      <c r="BQ309" s="1229">
        <f t="shared" si="1347"/>
        <v>48.639437283588045</v>
      </c>
      <c r="BR309" s="631">
        <f t="shared" si="1347"/>
        <v>47.98227595260213</v>
      </c>
      <c r="BS309" s="1229">
        <f t="shared" si="1347"/>
        <v>50.768927030694073</v>
      </c>
      <c r="BT309" s="1366">
        <v>51.58</v>
      </c>
      <c r="BU309" s="1366">
        <v>50.32</v>
      </c>
      <c r="BV309" s="516">
        <v>49.03</v>
      </c>
      <c r="BW309" s="1366">
        <v>49.42</v>
      </c>
      <c r="BX309" s="1366">
        <v>50.13</v>
      </c>
      <c r="BY309" s="1366">
        <v>49.36</v>
      </c>
      <c r="BZ309" s="516">
        <v>48.67</v>
      </c>
      <c r="CA309" s="1366">
        <v>49.71</v>
      </c>
      <c r="CB309" s="1366">
        <v>50.59</v>
      </c>
      <c r="CC309" s="1366">
        <v>50.12</v>
      </c>
      <c r="CD309" s="516">
        <v>50.06</v>
      </c>
      <c r="CE309" s="1366">
        <v>51.054000000000002</v>
      </c>
      <c r="CF309" s="1366">
        <v>51.685000000000002</v>
      </c>
      <c r="CG309" s="1366">
        <v>51</v>
      </c>
      <c r="CH309" s="516">
        <v>50.91</v>
      </c>
      <c r="CI309" s="1366">
        <v>51.53</v>
      </c>
      <c r="CJ309" s="1366">
        <v>52.18</v>
      </c>
      <c r="CK309" s="1366">
        <v>51.72</v>
      </c>
      <c r="CL309" s="517">
        <v>50.74</v>
      </c>
      <c r="CM309" s="1366">
        <v>51.1</v>
      </c>
      <c r="CN309" s="1367">
        <f t="shared" ref="CN309:DA309" si="1348">+CN312</f>
        <v>46.731811857277656</v>
      </c>
      <c r="CO309" s="1367">
        <f t="shared" si="1348"/>
        <v>46.048678934205192</v>
      </c>
      <c r="CP309" s="518">
        <f t="shared" si="1348"/>
        <v>46.152633400852046</v>
      </c>
      <c r="CQ309" s="1367">
        <f t="shared" si="1348"/>
        <v>46.528954177306936</v>
      </c>
      <c r="CR309" s="1367">
        <f t="shared" si="1348"/>
        <v>47.031251815373793</v>
      </c>
      <c r="CS309" s="1367">
        <f t="shared" si="1348"/>
        <v>46.532671718935184</v>
      </c>
      <c r="CT309" s="518">
        <f t="shared" si="1348"/>
        <v>46.253741087646489</v>
      </c>
      <c r="CU309" s="1367">
        <f t="shared" si="1348"/>
        <v>46.632929373640515</v>
      </c>
      <c r="CV309" s="1367">
        <f t="shared" si="1348"/>
        <v>46.876680932669146</v>
      </c>
      <c r="CW309" s="1367">
        <f t="shared" si="1348"/>
        <v>46.790255385711411</v>
      </c>
      <c r="CX309" s="518">
        <f t="shared" si="1348"/>
        <v>47.444873429023581</v>
      </c>
      <c r="CY309" s="1367">
        <f t="shared" si="1348"/>
        <v>47.988854515533411</v>
      </c>
      <c r="CZ309" s="1367">
        <f t="shared" si="1348"/>
        <v>48.406719526300968</v>
      </c>
      <c r="DA309" s="1367">
        <f t="shared" si="1348"/>
        <v>48.201875677209443</v>
      </c>
      <c r="DB309" s="3231"/>
      <c r="DC309" s="2881"/>
      <c r="DD309" s="2881"/>
      <c r="DE309" s="2881"/>
      <c r="DF309" s="3231"/>
      <c r="DG309" s="2881"/>
      <c r="DH309" s="2881"/>
      <c r="DI309" s="3232"/>
      <c r="DJ309" s="3231"/>
      <c r="DK309" s="2881"/>
      <c r="DL309" s="2881"/>
      <c r="DM309" s="3232"/>
      <c r="DN309" s="2881"/>
      <c r="DO309" s="2881"/>
      <c r="DP309" s="2881"/>
      <c r="DQ309" s="3232"/>
      <c r="DR309" s="3231"/>
      <c r="DS309" s="2881"/>
      <c r="DT309" s="2881"/>
      <c r="DU309" s="3232"/>
      <c r="DV309" s="2881"/>
      <c r="DW309" s="2881"/>
      <c r="DX309" s="2881"/>
      <c r="DY309" s="3232"/>
      <c r="DZ309" s="1903"/>
      <c r="EA309" s="1903"/>
      <c r="EB309" s="1903"/>
    </row>
    <row r="310" spans="1:132" s="1491" customFormat="1" hidden="1" outlineLevel="1">
      <c r="A310" s="1448" t="s">
        <v>1453</v>
      </c>
      <c r="B310" s="1065"/>
      <c r="C310" s="1065"/>
      <c r="D310" s="1065"/>
      <c r="E310" s="1065"/>
      <c r="F310" s="1065"/>
      <c r="G310" s="1065"/>
      <c r="H310" s="1065">
        <f t="shared" ref="H310:R310" si="1349">H309/G309-1</f>
        <v>3.0941166962362932E-2</v>
      </c>
      <c r="I310" s="1065">
        <f t="shared" si="1349"/>
        <v>2.6033391495866809E-2</v>
      </c>
      <c r="J310" s="1065">
        <f t="shared" si="1349"/>
        <v>1.2069028656774616E-2</v>
      </c>
      <c r="K310" s="1065">
        <f t="shared" si="1349"/>
        <v>3.4450380412918147E-3</v>
      </c>
      <c r="L310" s="1065">
        <f t="shared" si="1349"/>
        <v>4.3589315472909229E-2</v>
      </c>
      <c r="M310" s="1065">
        <f t="shared" si="1349"/>
        <v>-1.4477943460514786E-2</v>
      </c>
      <c r="N310" s="1065">
        <f t="shared" si="1349"/>
        <v>0.18355719600697395</v>
      </c>
      <c r="O310" s="1065">
        <f t="shared" si="1349"/>
        <v>2.6259519118628782E-2</v>
      </c>
      <c r="P310" s="1065">
        <f t="shared" si="1349"/>
        <v>-0.13816417782606771</v>
      </c>
      <c r="Q310" s="1065">
        <f t="shared" si="1349"/>
        <v>-0.10513490587718166</v>
      </c>
      <c r="R310" s="1065">
        <f t="shared" si="1349"/>
        <v>-1</v>
      </c>
      <c r="S310" s="1065"/>
      <c r="T310" s="1065"/>
      <c r="U310" s="1065"/>
      <c r="V310" s="1065"/>
      <c r="W310" s="1065"/>
      <c r="X310" s="1065"/>
      <c r="Y310" s="1065"/>
      <c r="Z310" s="1065"/>
      <c r="AA310" s="1065"/>
      <c r="AB310" s="1065"/>
      <c r="AC310" s="1065"/>
      <c r="AD310" s="1065"/>
      <c r="AE310" s="1065"/>
      <c r="AF310" s="1065"/>
      <c r="AG310" s="1065"/>
      <c r="AH310" s="2201"/>
      <c r="AI310" s="1927"/>
      <c r="AJ310" s="1561"/>
      <c r="AK310" s="1065"/>
      <c r="AL310" s="1065"/>
      <c r="AM310" s="1065"/>
      <c r="AN310" s="1065"/>
      <c r="AO310" s="1065"/>
      <c r="AP310" s="563"/>
      <c r="AQ310" s="1065"/>
      <c r="AR310" s="1065"/>
      <c r="AS310" s="1065"/>
      <c r="AT310" s="563"/>
      <c r="AU310" s="1065"/>
      <c r="AV310" s="1065"/>
      <c r="AW310" s="1065"/>
      <c r="AX310" s="563"/>
      <c r="AY310" s="1065"/>
      <c r="AZ310" s="1065"/>
      <c r="BA310" s="1065"/>
      <c r="BB310" s="563">
        <f t="shared" ref="BB310:CG310" si="1350">BB309/AX309-1</f>
        <v>-3.6414997853845055E-2</v>
      </c>
      <c r="BC310" s="1065">
        <f t="shared" si="1350"/>
        <v>3.303768702499954E-2</v>
      </c>
      <c r="BD310" s="1065">
        <f t="shared" si="1350"/>
        <v>4.0080229753213015E-2</v>
      </c>
      <c r="BE310" s="1065">
        <f t="shared" si="1350"/>
        <v>6.944042430041919E-2</v>
      </c>
      <c r="BF310" s="563">
        <f t="shared" si="1350"/>
        <v>8.0211818430573345E-2</v>
      </c>
      <c r="BG310" s="1065">
        <f t="shared" si="1350"/>
        <v>2.8300936678470778E-2</v>
      </c>
      <c r="BH310" s="1065">
        <f t="shared" si="1350"/>
        <v>2.3726600087751626E-2</v>
      </c>
      <c r="BI310" s="1065">
        <f t="shared" si="1350"/>
        <v>-2.6367873839540867E-2</v>
      </c>
      <c r="BJ310" s="563">
        <f t="shared" si="1350"/>
        <v>-7.6126328161881807E-3</v>
      </c>
      <c r="BK310" s="1065">
        <f t="shared" si="1350"/>
        <v>-1.2297377126406661E-2</v>
      </c>
      <c r="BL310" s="1065">
        <f t="shared" si="1350"/>
        <v>9.7616901814756574E-3</v>
      </c>
      <c r="BM310" s="1065">
        <f t="shared" si="1350"/>
        <v>6.083991662875543E-2</v>
      </c>
      <c r="BN310" s="563">
        <f t="shared" si="1350"/>
        <v>3.0649718965310102E-2</v>
      </c>
      <c r="BO310" s="1065">
        <f t="shared" si="1350"/>
        <v>1.1018735033732519E-2</v>
      </c>
      <c r="BP310" s="1065">
        <f t="shared" si="1350"/>
        <v>5.3429428877271867E-3</v>
      </c>
      <c r="BQ310" s="1065">
        <f t="shared" si="1350"/>
        <v>-9.0682178876391184E-3</v>
      </c>
      <c r="BR310" s="563">
        <f t="shared" si="1350"/>
        <v>1.6508634706172476E-2</v>
      </c>
      <c r="BS310" s="1065">
        <f t="shared" si="1350"/>
        <v>3.2546360780217665E-2</v>
      </c>
      <c r="BT310" s="1065">
        <f t="shared" si="1350"/>
        <v>3.1478326099263931E-2</v>
      </c>
      <c r="BU310" s="1065">
        <f t="shared" si="1350"/>
        <v>3.4551442415206912E-2</v>
      </c>
      <c r="BV310" s="563">
        <f t="shared" si="1350"/>
        <v>2.1835647155062698E-2</v>
      </c>
      <c r="BW310" s="1065">
        <f t="shared" si="1350"/>
        <v>-2.6569933807711443E-2</v>
      </c>
      <c r="BX310" s="1065">
        <f t="shared" si="1350"/>
        <v>-2.8111671190383825E-2</v>
      </c>
      <c r="BY310" s="1065">
        <f t="shared" si="1350"/>
        <v>-1.9077901430842648E-2</v>
      </c>
      <c r="BZ310" s="563">
        <f t="shared" si="1350"/>
        <v>-7.3424434019987439E-3</v>
      </c>
      <c r="CA310" s="1065">
        <f t="shared" si="1350"/>
        <v>5.8680696074464578E-3</v>
      </c>
      <c r="CB310" s="1065">
        <f t="shared" si="1350"/>
        <v>9.1761420307201469E-3</v>
      </c>
      <c r="CC310" s="1065">
        <f t="shared" si="1350"/>
        <v>1.5397082658022754E-2</v>
      </c>
      <c r="CD310" s="563">
        <f t="shared" si="1350"/>
        <v>2.8559687692623736E-2</v>
      </c>
      <c r="CE310" s="1065">
        <f t="shared" si="1350"/>
        <v>2.7036813518406699E-2</v>
      </c>
      <c r="CF310" s="1065">
        <f t="shared" si="1350"/>
        <v>2.1644593793239686E-2</v>
      </c>
      <c r="CG310" s="1065">
        <f t="shared" si="1350"/>
        <v>1.7557861133280284E-2</v>
      </c>
      <c r="CH310" s="563">
        <f t="shared" ref="CH310:DA310" si="1351">CH309/CD309-1</f>
        <v>1.6979624450659037E-2</v>
      </c>
      <c r="CI310" s="1065">
        <f t="shared" si="1351"/>
        <v>9.3234614329924526E-3</v>
      </c>
      <c r="CJ310" s="1065">
        <f t="shared" si="1351"/>
        <v>9.5772467833994401E-3</v>
      </c>
      <c r="CK310" s="1065">
        <f t="shared" si="1351"/>
        <v>1.4117647058823568E-2</v>
      </c>
      <c r="CL310" s="563">
        <f t="shared" si="1351"/>
        <v>-3.3392260852483924E-3</v>
      </c>
      <c r="CM310" s="1065">
        <f t="shared" si="1351"/>
        <v>-8.3446535998447091E-3</v>
      </c>
      <c r="CN310" s="1251">
        <f t="shared" si="1351"/>
        <v>-0.1044114247359591</v>
      </c>
      <c r="CO310" s="1251">
        <f t="shared" si="1351"/>
        <v>-0.10965431295040229</v>
      </c>
      <c r="CP310" s="462">
        <f t="shared" si="1351"/>
        <v>-9.0409274717145327E-2</v>
      </c>
      <c r="CQ310" s="1251">
        <f t="shared" si="1351"/>
        <v>-8.9452951520412216E-2</v>
      </c>
      <c r="CR310" s="1251">
        <f t="shared" si="1351"/>
        <v>6.4076256878429216E-3</v>
      </c>
      <c r="CS310" s="1251">
        <f t="shared" si="1351"/>
        <v>1.0510459712026243E-2</v>
      </c>
      <c r="CT310" s="462">
        <f t="shared" si="1351"/>
        <v>2.1907241113694464E-3</v>
      </c>
      <c r="CU310" s="1251">
        <f t="shared" si="1351"/>
        <v>2.2346342868004854E-3</v>
      </c>
      <c r="CV310" s="1251">
        <f t="shared" si="1351"/>
        <v>-3.2865568475921592E-3</v>
      </c>
      <c r="CW310" s="1251">
        <f t="shared" si="1351"/>
        <v>5.535544323181707E-3</v>
      </c>
      <c r="CX310" s="462">
        <f t="shared" si="1351"/>
        <v>2.5752129738435769E-2</v>
      </c>
      <c r="CY310" s="1251">
        <f t="shared" si="1351"/>
        <v>2.9076559420676995E-2</v>
      </c>
      <c r="CZ310" s="1251">
        <f t="shared" si="1351"/>
        <v>3.2639652876223835E-2</v>
      </c>
      <c r="DA310" s="1251">
        <f t="shared" si="1351"/>
        <v>3.0169108500508468E-2</v>
      </c>
      <c r="DB310" s="2256"/>
      <c r="DC310" s="2257"/>
      <c r="DD310" s="2257"/>
      <c r="DE310" s="2257"/>
      <c r="DF310" s="2256"/>
      <c r="DG310" s="2257"/>
      <c r="DH310" s="2257"/>
      <c r="DI310" s="2258"/>
      <c r="DJ310" s="2256"/>
      <c r="DK310" s="2257"/>
      <c r="DL310" s="2257"/>
      <c r="DM310" s="2258"/>
      <c r="DN310" s="2257"/>
      <c r="DO310" s="2257"/>
      <c r="DP310" s="2257"/>
      <c r="DQ310" s="2258"/>
      <c r="DR310" s="2256"/>
      <c r="DS310" s="2257"/>
      <c r="DT310" s="2257"/>
      <c r="DU310" s="2258"/>
      <c r="DV310" s="2257"/>
      <c r="DW310" s="2257"/>
      <c r="DX310" s="2257"/>
      <c r="DY310" s="2258"/>
      <c r="DZ310" s="1903"/>
      <c r="EA310" s="1903"/>
      <c r="EB310" s="1903"/>
    </row>
    <row r="311" spans="1:132" s="1491" customFormat="1" hidden="1" outlineLevel="1">
      <c r="A311" s="1448" t="s">
        <v>949</v>
      </c>
      <c r="B311" s="1065"/>
      <c r="C311" s="1065"/>
      <c r="D311" s="1065"/>
      <c r="E311" s="1065"/>
      <c r="F311" s="1065"/>
      <c r="G311" s="1065"/>
      <c r="H311" s="1065"/>
      <c r="I311" s="1065"/>
      <c r="J311" s="1065"/>
      <c r="K311" s="1065"/>
      <c r="L311" s="1065"/>
      <c r="M311" s="1065"/>
      <c r="N311" s="1065"/>
      <c r="O311" s="1065"/>
      <c r="P311" s="1065"/>
      <c r="Q311" s="1065"/>
      <c r="R311" s="1065"/>
      <c r="S311" s="1065"/>
      <c r="T311" s="1065"/>
      <c r="U311" s="1065"/>
      <c r="V311" s="1065"/>
      <c r="W311" s="1065"/>
      <c r="X311" s="1065"/>
      <c r="Y311" s="1065"/>
      <c r="Z311" s="1065"/>
      <c r="AA311" s="1065"/>
      <c r="AB311" s="1065"/>
      <c r="AC311" s="1065"/>
      <c r="AD311" s="1065"/>
      <c r="AE311" s="1065"/>
      <c r="AF311" s="1065"/>
      <c r="AG311" s="1065"/>
      <c r="AH311" s="2201"/>
      <c r="AI311" s="1927"/>
      <c r="AJ311" s="1561"/>
      <c r="AK311" s="1065"/>
      <c r="AL311" s="1065"/>
      <c r="AM311" s="1065"/>
      <c r="AN311" s="1065"/>
      <c r="AO311" s="1065"/>
      <c r="AP311" s="563"/>
      <c r="AQ311" s="1065"/>
      <c r="AR311" s="1065"/>
      <c r="AS311" s="1065"/>
      <c r="AT311" s="563"/>
      <c r="AU311" s="1065"/>
      <c r="AV311" s="1065"/>
      <c r="AW311" s="1065"/>
      <c r="AX311" s="563"/>
      <c r="AY311" s="1065">
        <f t="shared" ref="AY311:CD311" si="1352">AY309/AX309-1</f>
        <v>4.5413532607808893E-2</v>
      </c>
      <c r="AZ311" s="1065">
        <f t="shared" si="1352"/>
        <v>-1.9078006610214748E-3</v>
      </c>
      <c r="BA311" s="1065">
        <f t="shared" si="1352"/>
        <v>-3.9480554796567535E-2</v>
      </c>
      <c r="BB311" s="563">
        <f t="shared" si="1352"/>
        <v>-3.8553569437777324E-2</v>
      </c>
      <c r="BC311" s="1065">
        <f t="shared" si="1352"/>
        <v>0.12076420378531338</v>
      </c>
      <c r="BD311" s="1065">
        <f t="shared" si="1352"/>
        <v>4.8965076898037641E-3</v>
      </c>
      <c r="BE311" s="1065">
        <f t="shared" si="1352"/>
        <v>-1.2366264022827256E-2</v>
      </c>
      <c r="BF311" s="563">
        <f t="shared" si="1352"/>
        <v>-2.8869889820569927E-2</v>
      </c>
      <c r="BG311" s="1065">
        <f t="shared" si="1352"/>
        <v>6.6904528245734785E-2</v>
      </c>
      <c r="BH311" s="1065">
        <f t="shared" si="1352"/>
        <v>4.2628433295344159E-4</v>
      </c>
      <c r="BI311" s="1065">
        <f t="shared" si="1352"/>
        <v>-6.0694589605440941E-2</v>
      </c>
      <c r="BJ311" s="563">
        <f t="shared" si="1352"/>
        <v>-1.0162845556041855E-2</v>
      </c>
      <c r="BK311" s="1065">
        <f t="shared" si="1352"/>
        <v>6.1868012180007925E-2</v>
      </c>
      <c r="BL311" s="1065">
        <f t="shared" si="1352"/>
        <v>2.2769518249321719E-2</v>
      </c>
      <c r="BM311" s="1065">
        <f t="shared" si="1352"/>
        <v>-1.3180354393501403E-2</v>
      </c>
      <c r="BN311" s="563">
        <f t="shared" si="1352"/>
        <v>-3.8332392043556984E-2</v>
      </c>
      <c r="BO311" s="1065">
        <f t="shared" si="1352"/>
        <v>4.1642407397920467E-2</v>
      </c>
      <c r="BP311" s="1065">
        <f t="shared" si="1352"/>
        <v>1.7027757985443648E-2</v>
      </c>
      <c r="BQ311" s="1065">
        <f t="shared" si="1352"/>
        <v>-2.7325991630757551E-2</v>
      </c>
      <c r="BR311" s="563">
        <f t="shared" si="1352"/>
        <v>-1.3510874460869959E-2</v>
      </c>
      <c r="BS311" s="1065">
        <f t="shared" si="1352"/>
        <v>5.8076675663419008E-2</v>
      </c>
      <c r="BT311" s="1065">
        <f t="shared" si="1352"/>
        <v>1.5975775277180082E-2</v>
      </c>
      <c r="BU311" s="1065">
        <f t="shared" si="1352"/>
        <v>-2.442807289647142E-2</v>
      </c>
      <c r="BV311" s="563">
        <f t="shared" si="1352"/>
        <v>-2.5635930047694711E-2</v>
      </c>
      <c r="BW311" s="1065">
        <f t="shared" si="1352"/>
        <v>7.954313685498704E-3</v>
      </c>
      <c r="BX311" s="1065">
        <f t="shared" si="1352"/>
        <v>1.4366653176851596E-2</v>
      </c>
      <c r="BY311" s="1065">
        <f t="shared" si="1352"/>
        <v>-1.5360063834031545E-2</v>
      </c>
      <c r="BZ311" s="563">
        <f t="shared" si="1352"/>
        <v>-1.3978930307941617E-2</v>
      </c>
      <c r="CA311" s="1065">
        <f t="shared" si="1352"/>
        <v>2.1368399424696927E-2</v>
      </c>
      <c r="CB311" s="1065">
        <f t="shared" si="1352"/>
        <v>1.7702675518004529E-2</v>
      </c>
      <c r="CC311" s="1065">
        <f t="shared" si="1352"/>
        <v>-9.2903735916189945E-3</v>
      </c>
      <c r="CD311" s="563">
        <f t="shared" si="1352"/>
        <v>-1.1971268954508174E-3</v>
      </c>
      <c r="CE311" s="1065">
        <f t="shared" ref="CE311:DA311" si="1353">CE309/CD309-1</f>
        <v>1.9856172592888521E-2</v>
      </c>
      <c r="CF311" s="1065">
        <f t="shared" si="1353"/>
        <v>1.2359462529870413E-2</v>
      </c>
      <c r="CG311" s="1065">
        <f t="shared" si="1353"/>
        <v>-1.3253361710360845E-2</v>
      </c>
      <c r="CH311" s="563">
        <f t="shared" si="1353"/>
        <v>-1.7647058823530015E-3</v>
      </c>
      <c r="CI311" s="1065">
        <f t="shared" si="1353"/>
        <v>1.2178353957965182E-2</v>
      </c>
      <c r="CJ311" s="1065">
        <f t="shared" si="1353"/>
        <v>1.2614011255579261E-2</v>
      </c>
      <c r="CK311" s="1065">
        <f t="shared" si="1353"/>
        <v>-8.8156381755462032E-3</v>
      </c>
      <c r="CL311" s="563">
        <f t="shared" si="1353"/>
        <v>-1.8948182521268286E-2</v>
      </c>
      <c r="CM311" s="1065">
        <f t="shared" si="1353"/>
        <v>7.0949940875049133E-3</v>
      </c>
      <c r="CN311" s="1251">
        <f t="shared" si="1353"/>
        <v>-8.548313390846074E-2</v>
      </c>
      <c r="CO311" s="1251">
        <f t="shared" si="1353"/>
        <v>-1.4618156153645367E-2</v>
      </c>
      <c r="CP311" s="462">
        <f t="shared" si="1353"/>
        <v>2.2574907478971618E-3</v>
      </c>
      <c r="CQ311" s="1251">
        <f t="shared" si="1353"/>
        <v>8.1538310758220156E-3</v>
      </c>
      <c r="CR311" s="1251">
        <f t="shared" si="1353"/>
        <v>1.0795377780312032E-2</v>
      </c>
      <c r="CS311" s="1251">
        <f t="shared" si="1353"/>
        <v>-1.0601038186179634E-2</v>
      </c>
      <c r="CT311" s="462">
        <f t="shared" si="1353"/>
        <v>-5.994296501466323E-3</v>
      </c>
      <c r="CU311" s="1251">
        <f t="shared" si="1353"/>
        <v>8.1980025199583917E-3</v>
      </c>
      <c r="CV311" s="1251">
        <f t="shared" si="1353"/>
        <v>5.2270265304501518E-3</v>
      </c>
      <c r="CW311" s="1251">
        <f t="shared" si="1353"/>
        <v>-1.8436788876301513E-3</v>
      </c>
      <c r="CX311" s="462">
        <f t="shared" si="1353"/>
        <v>1.399047810096099E-2</v>
      </c>
      <c r="CY311" s="1251">
        <f t="shared" si="1353"/>
        <v>1.1465539840118E-2</v>
      </c>
      <c r="CZ311" s="1251">
        <f t="shared" si="1353"/>
        <v>8.7075429281666672E-3</v>
      </c>
      <c r="DA311" s="1251">
        <f t="shared" si="1353"/>
        <v>-4.2317234279887206E-3</v>
      </c>
      <c r="DB311" s="2256"/>
      <c r="DC311" s="2257"/>
      <c r="DD311" s="2257"/>
      <c r="DE311" s="2257"/>
      <c r="DF311" s="2256"/>
      <c r="DG311" s="2257"/>
      <c r="DH311" s="2257"/>
      <c r="DI311" s="2258"/>
      <c r="DJ311" s="2256"/>
      <c r="DK311" s="2257"/>
      <c r="DL311" s="2257"/>
      <c r="DM311" s="2258"/>
      <c r="DN311" s="2257"/>
      <c r="DO311" s="2257"/>
      <c r="DP311" s="2257"/>
      <c r="DQ311" s="2258"/>
      <c r="DR311" s="2256"/>
      <c r="DS311" s="2257"/>
      <c r="DT311" s="2257"/>
      <c r="DU311" s="2258"/>
      <c r="DV311" s="2257"/>
      <c r="DW311" s="2257"/>
      <c r="DX311" s="2257"/>
      <c r="DY311" s="2258"/>
      <c r="DZ311" s="1903"/>
      <c r="EA311" s="1903"/>
      <c r="EB311" s="1903"/>
    </row>
    <row r="312" spans="1:132" s="1491" customFormat="1" hidden="1" outlineLevel="1">
      <c r="A312" s="1397" t="s">
        <v>103</v>
      </c>
      <c r="B312" s="1064"/>
      <c r="C312" s="1064"/>
      <c r="D312" s="1064"/>
      <c r="E312" s="1064"/>
      <c r="F312" s="1064"/>
      <c r="G312" s="1064"/>
      <c r="H312" s="1064"/>
      <c r="I312" s="1064"/>
      <c r="J312" s="1064"/>
      <c r="K312" s="1064"/>
      <c r="L312" s="1064"/>
      <c r="M312" s="1064"/>
      <c r="N312" s="1064"/>
      <c r="O312" s="1519">
        <f>(O25/12)/(O105/1000)</f>
        <v>96.096761046761046</v>
      </c>
      <c r="P312" s="1519">
        <f>(P25/12)/(P105/1000)</f>
        <v>47.729131561573105</v>
      </c>
      <c r="Q312" s="1519">
        <f>(Q25/12)/(Q105/1000)</f>
        <v>46.157257134748754</v>
      </c>
      <c r="R312" s="1519">
        <f>(R25/12)/(R105/1000)</f>
        <v>46.651169109544583</v>
      </c>
      <c r="S312" s="1519">
        <f t="shared" ref="S312:AA312" si="1354">+S301/12/(S105)*1000</f>
        <v>46.969906293619673</v>
      </c>
      <c r="T312" s="1519">
        <f t="shared" si="1354"/>
        <v>47.802164009282464</v>
      </c>
      <c r="U312" s="1519">
        <f t="shared" si="1354"/>
        <v>48.73890131489766</v>
      </c>
      <c r="V312" s="1519">
        <f t="shared" si="1354"/>
        <v>48.303299229062581</v>
      </c>
      <c r="W312" s="1519">
        <f t="shared" si="1354"/>
        <v>44.83593192703556</v>
      </c>
      <c r="X312" s="1519">
        <f>+X301/12/(X105)*1000</f>
        <v>43.40480709601038</v>
      </c>
      <c r="Y312" s="1519">
        <f>+Y301/12/(Y105)*1000</f>
        <v>41.711067412233</v>
      </c>
      <c r="Z312" s="1519">
        <f ca="1">+Z301/12/(Z105)*1000</f>
        <v>39.909936503874363</v>
      </c>
      <c r="AA312" s="1519">
        <f t="shared" ca="1" si="1354"/>
        <v>36.817790030675667</v>
      </c>
      <c r="AB312" s="1519">
        <f t="shared" ref="AB312:AG312" ca="1" si="1355">+AB301/12/(AB105)*1000</f>
        <v>37.085758713699327</v>
      </c>
      <c r="AC312" s="1519">
        <f t="shared" ca="1" si="1355"/>
        <v>37.409900797037594</v>
      </c>
      <c r="AD312" s="1519">
        <f t="shared" ca="1" si="1355"/>
        <v>37.792727001209634</v>
      </c>
      <c r="AE312" s="1519">
        <f t="shared" ca="1" si="1355"/>
        <v>38.237776895082987</v>
      </c>
      <c r="AF312" s="1519">
        <f t="shared" ca="1" si="1355"/>
        <v>38.749098701671272</v>
      </c>
      <c r="AG312" s="1519">
        <f t="shared" ca="1" si="1355"/>
        <v>39.331070802201552</v>
      </c>
      <c r="AH312" s="2201"/>
      <c r="AI312" s="2125">
        <f ca="1">(AA312/V312)^(1/5)-1</f>
        <v>-5.2855625144460405E-2</v>
      </c>
      <c r="AJ312" s="1561"/>
      <c r="AK312" s="1319"/>
      <c r="AL312" s="1319"/>
      <c r="AM312" s="1319"/>
      <c r="AN312" s="1319"/>
      <c r="AO312" s="1319"/>
      <c r="AP312" s="794"/>
      <c r="AQ312" s="1319"/>
      <c r="AR312" s="1319"/>
      <c r="AS312" s="1319"/>
      <c r="AT312" s="794"/>
      <c r="AU312" s="1319"/>
      <c r="AV312" s="1319"/>
      <c r="AW312" s="1319"/>
      <c r="AX312" s="794"/>
      <c r="AY312" s="1319"/>
      <c r="AZ312" s="1319"/>
      <c r="BA312" s="1319"/>
      <c r="BB312" s="794"/>
      <c r="BC312" s="1319"/>
      <c r="BD312" s="1319"/>
      <c r="BE312" s="1319"/>
      <c r="BF312" s="794"/>
      <c r="BG312" s="1319"/>
      <c r="BH312" s="1319"/>
      <c r="BI312" s="1319"/>
      <c r="BJ312" s="794"/>
      <c r="BK312" s="1319"/>
      <c r="BL312" s="1319"/>
      <c r="BM312" s="1319"/>
      <c r="BN312" s="794"/>
      <c r="BO312" s="1319"/>
      <c r="BP312" s="1319"/>
      <c r="BQ312" s="1319"/>
      <c r="BR312" s="794"/>
      <c r="BS312" s="1319"/>
      <c r="BT312" s="1319"/>
      <c r="BU312" s="1319"/>
      <c r="BV312" s="794"/>
      <c r="BW312" s="1319"/>
      <c r="BX312" s="1319"/>
      <c r="BY312" s="1319"/>
      <c r="BZ312" s="1524"/>
      <c r="CA312" s="1525"/>
      <c r="CB312" s="1525"/>
      <c r="CC312" s="1525"/>
      <c r="CD312" s="1524"/>
      <c r="CE312" s="1525"/>
      <c r="CF312" s="1525"/>
      <c r="CG312" s="1525"/>
      <c r="CH312" s="1526">
        <f>+CL312/(1+CL313)</f>
        <v>45.646848804767764</v>
      </c>
      <c r="CI312" s="1303">
        <f>+CM312/(1+CM313)</f>
        <v>46.375126394444784</v>
      </c>
      <c r="CJ312" s="1303">
        <f>+CN312/(1+CN313)</f>
        <v>47.108681307739573</v>
      </c>
      <c r="CK312" s="1303">
        <f>+CO312/(1+CO313)</f>
        <v>46.702514132053949</v>
      </c>
      <c r="CL312" s="1527">
        <f t="shared" ref="CL312:DJ312" si="1356">+CL301/3/(CL105)*1000</f>
        <v>46.148964141620205</v>
      </c>
      <c r="CM312" s="1519">
        <f t="shared" si="1356"/>
        <v>46.653377152811451</v>
      </c>
      <c r="CN312" s="1519">
        <f t="shared" si="1356"/>
        <v>46.731811857277656</v>
      </c>
      <c r="CO312" s="1519">
        <f t="shared" si="1356"/>
        <v>46.048678934205192</v>
      </c>
      <c r="CP312" s="1527">
        <f t="shared" si="1356"/>
        <v>46.152633400852046</v>
      </c>
      <c r="CQ312" s="1519">
        <f t="shared" si="1356"/>
        <v>46.528954177306936</v>
      </c>
      <c r="CR312" s="1519">
        <f t="shared" si="1356"/>
        <v>47.031251815373793</v>
      </c>
      <c r="CS312" s="1519">
        <f t="shared" si="1356"/>
        <v>46.532671718935184</v>
      </c>
      <c r="CT312" s="1527">
        <f t="shared" si="1356"/>
        <v>46.253741087646489</v>
      </c>
      <c r="CU312" s="1519">
        <f t="shared" si="1356"/>
        <v>46.632929373640515</v>
      </c>
      <c r="CV312" s="1519">
        <f t="shared" si="1356"/>
        <v>46.876680932669146</v>
      </c>
      <c r="CW312" s="1519">
        <f t="shared" si="1356"/>
        <v>46.790255385711411</v>
      </c>
      <c r="CX312" s="1527">
        <f t="shared" si="1356"/>
        <v>47.444873429023581</v>
      </c>
      <c r="CY312" s="1519">
        <f t="shared" si="1356"/>
        <v>47.988854515533411</v>
      </c>
      <c r="CZ312" s="1519">
        <f t="shared" si="1356"/>
        <v>48.406719526300968</v>
      </c>
      <c r="DA312" s="1519">
        <f t="shared" si="1356"/>
        <v>48.201875677209443</v>
      </c>
      <c r="DB312" s="1527">
        <f t="shared" si="1356"/>
        <v>48.316378697814677</v>
      </c>
      <c r="DC312" s="1519">
        <f t="shared" si="1356"/>
        <v>48.640720012531865</v>
      </c>
      <c r="DD312" s="1519">
        <f t="shared" si="1356"/>
        <v>49.236339206782226</v>
      </c>
      <c r="DE312" s="1519">
        <f t="shared" si="1356"/>
        <v>49.016880947735345</v>
      </c>
      <c r="DF312" s="1527">
        <f t="shared" si="1356"/>
        <v>49.127694587268103</v>
      </c>
      <c r="DG312" s="1519">
        <f t="shared" si="1356"/>
        <v>48.781475020339101</v>
      </c>
      <c r="DH312" s="1519">
        <f t="shared" si="1356"/>
        <v>48.751791075893813</v>
      </c>
      <c r="DI312" s="1523">
        <f t="shared" si="1356"/>
        <v>47.492550354387959</v>
      </c>
      <c r="DJ312" s="1527">
        <f t="shared" si="1356"/>
        <v>46.101960118227311</v>
      </c>
      <c r="DK312" s="1519">
        <f t="shared" ref="DK312:DM312" si="1357">+DK301/3/(DK105)*1000</f>
        <v>45.21676003215709</v>
      </c>
      <c r="DL312" s="1519">
        <f t="shared" si="1357"/>
        <v>44.683630602116871</v>
      </c>
      <c r="DM312" s="1523">
        <f t="shared" si="1357"/>
        <v>43.370625260898464</v>
      </c>
      <c r="DN312" s="1519">
        <f t="shared" ref="DN312:DO312" si="1358">+DN301/3/(DN105)*1000</f>
        <v>42.117527671809519</v>
      </c>
      <c r="DO312" s="1519">
        <f t="shared" si="1358"/>
        <v>41.67242304193006</v>
      </c>
      <c r="DP312" s="1519">
        <f t="shared" ref="DP312:DQ312" si="1359">+DP301/3/(DP105)*1000</f>
        <v>41.260314151145209</v>
      </c>
      <c r="DQ312" s="1523">
        <f t="shared" si="1359"/>
        <v>40.163099630089647</v>
      </c>
      <c r="DR312" s="1527">
        <f t="shared" ref="DR312" si="1360">+DR301/3/(DR105)*1000</f>
        <v>38.518485968143757</v>
      </c>
      <c r="DS312" s="1519">
        <f t="shared" ref="DS312:DT312" si="1361">+DS301/3/(DS105)*1000</f>
        <v>37.894251702536671</v>
      </c>
      <c r="DT312" s="1519">
        <f t="shared" si="1361"/>
        <v>38.181802843448821</v>
      </c>
      <c r="DU312" s="1523">
        <f t="shared" ref="DU312" si="1362">+DU301/3/(DU105)*1000</f>
        <v>38.034607181307472</v>
      </c>
      <c r="DV312" s="1519">
        <f t="shared" ref="DV312" si="1363">+DV301/3/(DV105)*1000</f>
        <v>36.658728940331386</v>
      </c>
      <c r="DW312" s="1519">
        <f t="shared" ref="DW312:DY312" ca="1" si="1364">+DW301/3/(DW105)*1000</f>
        <v>36.560307787870563</v>
      </c>
      <c r="DX312" s="1519">
        <f t="shared" ca="1" si="1364"/>
        <v>36.941116799888739</v>
      </c>
      <c r="DY312" s="1523">
        <f t="shared" ca="1" si="1364"/>
        <v>36.799989173679698</v>
      </c>
    </row>
    <row r="313" spans="1:132" s="1491" customFormat="1" hidden="1" outlineLevel="1">
      <c r="A313" s="1448" t="s">
        <v>1453</v>
      </c>
      <c r="B313" s="1065"/>
      <c r="C313" s="1065"/>
      <c r="D313" s="1065"/>
      <c r="E313" s="1065"/>
      <c r="F313" s="1065"/>
      <c r="G313" s="1065"/>
      <c r="H313" s="1065"/>
      <c r="I313" s="1065"/>
      <c r="J313" s="1065"/>
      <c r="K313" s="1065"/>
      <c r="L313" s="1065"/>
      <c r="M313" s="1065"/>
      <c r="N313" s="1065"/>
      <c r="O313" s="1065"/>
      <c r="P313" s="1065"/>
      <c r="Q313" s="1065">
        <f t="shared" ref="Q313:AB313" si="1365">Q312/P312-1</f>
        <v>-3.2933229149509025E-2</v>
      </c>
      <c r="R313" s="1065">
        <f t="shared" si="1365"/>
        <v>1.0700635294552452E-2</v>
      </c>
      <c r="S313" s="1065">
        <f t="shared" si="1365"/>
        <v>6.8323514749790704E-3</v>
      </c>
      <c r="T313" s="1065">
        <f t="shared" si="1365"/>
        <v>1.7718956270854624E-2</v>
      </c>
      <c r="U313" s="1065">
        <f t="shared" si="1365"/>
        <v>1.959612760278584E-2</v>
      </c>
      <c r="V313" s="1065">
        <f t="shared" si="1365"/>
        <v>-8.9374621520639241E-3</v>
      </c>
      <c r="W313" s="1065">
        <f>W312/V312-1</f>
        <v>-7.1783239599932269E-2</v>
      </c>
      <c r="X313" s="1065">
        <f>X312/W312-1</f>
        <v>-3.19191498763568E-2</v>
      </c>
      <c r="Y313" s="1065">
        <f>Y312/X312-1</f>
        <v>-3.9021937824325947E-2</v>
      </c>
      <c r="Z313" s="1065">
        <f ca="1">Z312/Y312-1</f>
        <v>-4.3181127218777537E-2</v>
      </c>
      <c r="AA313" s="1065">
        <f t="shared" ca="1" si="1365"/>
        <v>-7.7478110567740899E-2</v>
      </c>
      <c r="AB313" s="1065">
        <f t="shared" ca="1" si="1365"/>
        <v>7.2782392099144388E-3</v>
      </c>
      <c r="AC313" s="1065">
        <f t="shared" ref="AC313" ca="1" si="1366">AC312/AB312-1</f>
        <v>8.740338463630426E-3</v>
      </c>
      <c r="AD313" s="1065">
        <f t="shared" ref="AD313" ca="1" si="1367">AD312/AC312-1</f>
        <v>1.0233285734945197E-2</v>
      </c>
      <c r="AE313" s="1065">
        <f t="shared" ref="AE313" ca="1" si="1368">AE312/AD312-1</f>
        <v>1.1776072519432246E-2</v>
      </c>
      <c r="AF313" s="1065">
        <f t="shared" ref="AF313" ca="1" si="1369">AF312/AE312-1</f>
        <v>1.3372163554153493E-2</v>
      </c>
      <c r="AG313" s="1065">
        <f t="shared" ref="AG313" ca="1" si="1370">AG312/AF312-1</f>
        <v>1.5018984183629014E-2</v>
      </c>
      <c r="AH313" s="2201"/>
      <c r="AI313" s="2125"/>
      <c r="AJ313" s="1561"/>
      <c r="AK313" s="1324"/>
      <c r="AL313" s="1324"/>
      <c r="AM313" s="1324"/>
      <c r="AN313" s="1324"/>
      <c r="AO313" s="1324"/>
      <c r="AP313" s="1325"/>
      <c r="AQ313" s="1324"/>
      <c r="AR313" s="1324"/>
      <c r="AS313" s="1324"/>
      <c r="AT313" s="1325"/>
      <c r="AU313" s="1324"/>
      <c r="AV313" s="1324"/>
      <c r="AW313" s="1324"/>
      <c r="AX313" s="1325"/>
      <c r="AY313" s="1324"/>
      <c r="AZ313" s="1324"/>
      <c r="BA313" s="1324"/>
      <c r="BB313" s="1325"/>
      <c r="BC313" s="1324"/>
      <c r="BD313" s="1324"/>
      <c r="BE313" s="1324"/>
      <c r="BF313" s="1325"/>
      <c r="BG313" s="1324"/>
      <c r="BH313" s="1324"/>
      <c r="BI313" s="1324"/>
      <c r="BJ313" s="1325"/>
      <c r="BK313" s="1324"/>
      <c r="BL313" s="1324"/>
      <c r="BM313" s="1324"/>
      <c r="BN313" s="1325"/>
      <c r="BO313" s="1324"/>
      <c r="BP313" s="1324"/>
      <c r="BQ313" s="1324"/>
      <c r="BR313" s="1325"/>
      <c r="BS313" s="1324"/>
      <c r="BT313" s="1324"/>
      <c r="BU313" s="1324"/>
      <c r="BV313" s="1325"/>
      <c r="BW313" s="1324"/>
      <c r="BX313" s="1324"/>
      <c r="BY313" s="1324"/>
      <c r="BZ313" s="1325"/>
      <c r="CA313" s="1324"/>
      <c r="CB313" s="1324"/>
      <c r="CC313" s="1324"/>
      <c r="CD313" s="1325"/>
      <c r="CE313" s="1324"/>
      <c r="CF313" s="1324"/>
      <c r="CG313" s="1324"/>
      <c r="CH313" s="156" t="s">
        <v>1149</v>
      </c>
      <c r="CI313" s="1095" t="s">
        <v>1149</v>
      </c>
      <c r="CJ313" s="1095" t="s">
        <v>1149</v>
      </c>
      <c r="CK313" s="1095" t="s">
        <v>1149</v>
      </c>
      <c r="CL313" s="165">
        <v>1.0999999999999999E-2</v>
      </c>
      <c r="CM313" s="1059">
        <v>6.0000000000000001E-3</v>
      </c>
      <c r="CN313" s="1059">
        <v>-8.0000000000000002E-3</v>
      </c>
      <c r="CO313" s="1059">
        <v>-1.4E-2</v>
      </c>
      <c r="CP313" s="563">
        <f t="shared" ref="CP313:DV313" si="1371">CP312/CL312-1</f>
        <v>7.9509026910784542E-5</v>
      </c>
      <c r="CQ313" s="1065">
        <f t="shared" si="1371"/>
        <v>-2.6669661040179538E-3</v>
      </c>
      <c r="CR313" s="1065">
        <f t="shared" si="1371"/>
        <v>6.4076256878429216E-3</v>
      </c>
      <c r="CS313" s="1065">
        <f t="shared" si="1371"/>
        <v>1.0510459712026243E-2</v>
      </c>
      <c r="CT313" s="563">
        <f t="shared" si="1371"/>
        <v>2.1907241113694464E-3</v>
      </c>
      <c r="CU313" s="1065">
        <f t="shared" si="1371"/>
        <v>2.2346342868004854E-3</v>
      </c>
      <c r="CV313" s="1065">
        <f t="shared" si="1371"/>
        <v>-3.2865568475921592E-3</v>
      </c>
      <c r="CW313" s="1065">
        <f t="shared" si="1371"/>
        <v>5.535544323181707E-3</v>
      </c>
      <c r="CX313" s="563">
        <f t="shared" si="1371"/>
        <v>2.5752129738435769E-2</v>
      </c>
      <c r="CY313" s="1065">
        <f t="shared" si="1371"/>
        <v>2.9076559420676995E-2</v>
      </c>
      <c r="CZ313" s="1065">
        <f t="shared" si="1371"/>
        <v>3.2639652876223835E-2</v>
      </c>
      <c r="DA313" s="1065">
        <f t="shared" si="1371"/>
        <v>3.0169108500508468E-2</v>
      </c>
      <c r="DB313" s="563">
        <f t="shared" si="1371"/>
        <v>1.8368797423284233E-2</v>
      </c>
      <c r="DC313" s="1065">
        <f t="shared" si="1371"/>
        <v>1.3583685286496117E-2</v>
      </c>
      <c r="DD313" s="1065">
        <f t="shared" si="1371"/>
        <v>1.7138523093482849E-2</v>
      </c>
      <c r="DE313" s="1065">
        <f t="shared" si="1371"/>
        <v>1.690816506776005E-2</v>
      </c>
      <c r="DF313" s="563">
        <f t="shared" si="1371"/>
        <v>1.6791736287349757E-2</v>
      </c>
      <c r="DG313" s="1065">
        <f t="shared" si="1371"/>
        <v>2.8937690020001128E-3</v>
      </c>
      <c r="DH313" s="1065">
        <f t="shared" si="1371"/>
        <v>-9.8412704659746053E-3</v>
      </c>
      <c r="DI313" s="564">
        <f t="shared" si="1371"/>
        <v>-3.1098074048667379E-2</v>
      </c>
      <c r="DJ313" s="563">
        <f t="shared" si="1371"/>
        <v>-6.1589180898078189E-2</v>
      </c>
      <c r="DK313" s="1065">
        <f t="shared" si="1371"/>
        <v>-7.307517836834021E-2</v>
      </c>
      <c r="DL313" s="1065">
        <f t="shared" si="1371"/>
        <v>-8.3446379794413716E-2</v>
      </c>
      <c r="DM313" s="564">
        <f t="shared" si="1371"/>
        <v>-8.6790982222092028E-2</v>
      </c>
      <c r="DN313" s="1065">
        <f t="shared" si="1371"/>
        <v>-8.6426530156197612E-2</v>
      </c>
      <c r="DO313" s="1065">
        <f t="shared" si="1371"/>
        <v>-7.8385470071415608E-2</v>
      </c>
      <c r="DP313" s="1065">
        <f t="shared" si="1371"/>
        <v>-7.6612316520436985E-2</v>
      </c>
      <c r="DQ313" s="564">
        <f t="shared" si="1371"/>
        <v>-7.3956176825069164E-2</v>
      </c>
      <c r="DR313" s="563">
        <f t="shared" si="1371"/>
        <v>-8.545234971317428E-2</v>
      </c>
      <c r="DS313" s="1065">
        <f t="shared" si="1371"/>
        <v>-9.0663586698375043E-2</v>
      </c>
      <c r="DT313" s="1065">
        <f t="shared" si="1371"/>
        <v>-7.4611921189430497E-2</v>
      </c>
      <c r="DU313" s="564">
        <f t="shared" si="1371"/>
        <v>-5.2996219624133256E-2</v>
      </c>
      <c r="DV313" s="1065">
        <f t="shared" si="1371"/>
        <v>-4.8282194407912593E-2</v>
      </c>
      <c r="DW313" s="1065">
        <f t="shared" ref="DW313" ca="1" si="1372">DW312/DS312-1</f>
        <v>-3.5201748411271883E-2</v>
      </c>
      <c r="DX313" s="1065">
        <f t="shared" ref="DX313" ca="1" si="1373">DX312/DT312-1</f>
        <v>-3.2494171337248856E-2</v>
      </c>
      <c r="DY313" s="564">
        <f t="shared" ref="DY313" ca="1" si="1374">DY312/DU312-1</f>
        <v>-3.2460385399603608E-2</v>
      </c>
    </row>
    <row r="314" spans="1:132" s="1491" customFormat="1" hidden="1" outlineLevel="1">
      <c r="A314" s="1455" t="s">
        <v>104</v>
      </c>
      <c r="B314" s="1064"/>
      <c r="C314" s="1064"/>
      <c r="D314" s="1070"/>
      <c r="E314" s="1070"/>
      <c r="F314" s="1070"/>
      <c r="G314" s="1064"/>
      <c r="H314" s="1064"/>
      <c r="I314" s="1064"/>
      <c r="J314" s="1064"/>
      <c r="K314" s="1064"/>
      <c r="L314" s="1064"/>
      <c r="M314" s="1064"/>
      <c r="N314" s="1064"/>
      <c r="O314" s="1064"/>
      <c r="P314" s="1064"/>
      <c r="Q314" s="1519">
        <f t="shared" ref="Q314:AB314" si="1375">(Q298/12)/(AVERAGE(P117:Q117)/1000)</f>
        <v>50.272662265246012</v>
      </c>
      <c r="R314" s="1519">
        <f t="shared" si="1375"/>
        <v>51.362392569468533</v>
      </c>
      <c r="S314" s="1519">
        <f t="shared" si="1375"/>
        <v>52.549962345067577</v>
      </c>
      <c r="T314" s="1519">
        <f t="shared" si="1375"/>
        <v>53.782360016176725</v>
      </c>
      <c r="U314" s="1519">
        <f t="shared" si="1375"/>
        <v>54.995382092467587</v>
      </c>
      <c r="V314" s="1519">
        <f t="shared" si="1375"/>
        <v>54.895502582815986</v>
      </c>
      <c r="W314" s="1519">
        <f t="shared" si="1375"/>
        <v>50.920105241339449</v>
      </c>
      <c r="X314" s="1519">
        <f t="shared" si="1375"/>
        <v>48.749508506699769</v>
      </c>
      <c r="Y314" s="1519">
        <f t="shared" si="1375"/>
        <v>47.186550976138825</v>
      </c>
      <c r="Z314" s="1519">
        <f t="shared" ca="1" si="1375"/>
        <v>45.827653257121526</v>
      </c>
      <c r="AA314" s="1519">
        <f t="shared" ca="1" si="1375"/>
        <v>42.126921565055454</v>
      </c>
      <c r="AB314" s="1519">
        <f t="shared" ca="1" si="1375"/>
        <v>42.292833290315329</v>
      </c>
      <c r="AC314" s="1519">
        <f t="shared" ref="AC314" ca="1" si="1376">(AC298/12)/(AVERAGE(AB117:AC117)/1000)</f>
        <v>42.540892714671244</v>
      </c>
      <c r="AD314" s="1519">
        <f t="shared" ref="AD314" ca="1" si="1377">(AD298/12)/(AVERAGE(AC117:AD117)/1000)</f>
        <v>42.873041483303759</v>
      </c>
      <c r="AE314" s="1519">
        <f t="shared" ref="AE314" ca="1" si="1378">(AE298/12)/(AVERAGE(AD117:AE117)/1000)</f>
        <v>43.291478791513136</v>
      </c>
      <c r="AF314" s="1519">
        <f t="shared" ref="AF314" ca="1" si="1379">(AF298/12)/(AVERAGE(AE117:AF117)/1000)</f>
        <v>43.798826733503098</v>
      </c>
      <c r="AG314" s="1519">
        <f t="shared" ref="AG314" ca="1" si="1380">(AG298/12)/(AVERAGE(AF117:AG117)/1000)</f>
        <v>44.398209824989557</v>
      </c>
      <c r="AH314" s="2201"/>
      <c r="AI314" s="2125">
        <f ca="1">(AA314/V314)^(1/5)-1</f>
        <v>-5.1571509184302755E-2</v>
      </c>
      <c r="AJ314" s="1561"/>
      <c r="AK314" s="1334"/>
      <c r="AL314" s="1334"/>
      <c r="AM314" s="1319"/>
      <c r="AN314" s="1334"/>
      <c r="AO314" s="1319"/>
      <c r="AP314" s="1496"/>
      <c r="AQ314" s="1334"/>
      <c r="AR314" s="1334"/>
      <c r="AS314" s="1334"/>
      <c r="AT314" s="1496"/>
      <c r="AU314" s="1334"/>
      <c r="AV314" s="1334"/>
      <c r="AW314" s="1334"/>
      <c r="AX314" s="1496"/>
      <c r="AY314" s="1334"/>
      <c r="AZ314" s="1334"/>
      <c r="BA314" s="1334"/>
      <c r="BB314" s="794"/>
      <c r="BC314" s="1319"/>
      <c r="BD314" s="1319"/>
      <c r="BE314" s="1319"/>
      <c r="BF314" s="794"/>
      <c r="BG314" s="1319"/>
      <c r="BH314" s="1319"/>
      <c r="BI314" s="1319"/>
      <c r="BJ314" s="794"/>
      <c r="BK314" s="1319"/>
      <c r="BL314" s="1319"/>
      <c r="BM314" s="1319"/>
      <c r="BN314" s="794"/>
      <c r="BO314" s="1319"/>
      <c r="BP314" s="1319"/>
      <c r="BQ314" s="1319"/>
      <c r="BR314" s="794"/>
      <c r="BS314" s="1319"/>
      <c r="BT314" s="1319"/>
      <c r="BU314" s="1319"/>
      <c r="BV314" s="794"/>
      <c r="BW314" s="1319"/>
      <c r="BX314" s="1319"/>
      <c r="BY314" s="1319"/>
      <c r="BZ314" s="794"/>
      <c r="CA314" s="1319"/>
      <c r="CB314" s="1319"/>
      <c r="CC314" s="1319"/>
      <c r="CD314" s="794"/>
      <c r="CE314" s="1319"/>
      <c r="CF314" s="1319"/>
      <c r="CG314" s="1319"/>
      <c r="CH314" s="164"/>
      <c r="CI314" s="1103"/>
      <c r="CJ314" s="1103"/>
      <c r="CK314" s="1103"/>
      <c r="CL314" s="517">
        <v>50.8</v>
      </c>
      <c r="CM314" s="1368">
        <v>50.97</v>
      </c>
      <c r="CN314" s="1368">
        <v>51.05</v>
      </c>
      <c r="CO314" s="1368">
        <v>50.59</v>
      </c>
      <c r="CP314" s="517">
        <v>50.78</v>
      </c>
      <c r="CQ314" s="1368">
        <v>51.53</v>
      </c>
      <c r="CR314" s="1368">
        <v>51.95</v>
      </c>
      <c r="CS314" s="1368">
        <v>51.79</v>
      </c>
      <c r="CT314" s="517">
        <v>51.88</v>
      </c>
      <c r="CU314" s="1368">
        <v>52.49</v>
      </c>
      <c r="CV314" s="1368">
        <v>53.21</v>
      </c>
      <c r="CW314" s="1368">
        <v>53.14</v>
      </c>
      <c r="CX314" s="517">
        <v>53.66</v>
      </c>
      <c r="CY314" s="1368">
        <v>54.29</v>
      </c>
      <c r="CZ314" s="1364">
        <v>54.69</v>
      </c>
      <c r="DA314" s="1364">
        <f>+(DA21/(AVERAGE(98.23,95.899)))/3</f>
        <v>54.211374910497653</v>
      </c>
      <c r="DB314" s="519">
        <f>+(DB21/(AVERAGE(98.23,95.899)))/3</f>
        <v>55.526651522097843</v>
      </c>
      <c r="DC314" s="1364">
        <f t="shared" ref="DC314:DV314" si="1381">+(DC21/(AVERAGE(DB117:DC117)/1000))/3</f>
        <v>55.000150712871886</v>
      </c>
      <c r="DD314" s="1364">
        <f t="shared" si="1381"/>
        <v>55.566044297822863</v>
      </c>
      <c r="DE314" s="1364">
        <f t="shared" si="1381"/>
        <v>55.461577812753838</v>
      </c>
      <c r="DF314" s="519">
        <f t="shared" si="1381"/>
        <v>55.777369187903368</v>
      </c>
      <c r="DG314" s="1364">
        <f t="shared" si="1381"/>
        <v>55.419048855507519</v>
      </c>
      <c r="DH314" s="1364">
        <f t="shared" si="1381"/>
        <v>55.523665396858526</v>
      </c>
      <c r="DI314" s="1621">
        <f t="shared" si="1381"/>
        <v>54.147015787566808</v>
      </c>
      <c r="DJ314" s="519">
        <f t="shared" si="1381"/>
        <v>52.716954268203615</v>
      </c>
      <c r="DK314" s="1364">
        <f t="shared" si="1381"/>
        <v>51.706169104051099</v>
      </c>
      <c r="DL314" s="1364">
        <f t="shared" si="1381"/>
        <v>50.919621620640193</v>
      </c>
      <c r="DM314" s="1621">
        <f t="shared" si="1381"/>
        <v>49.12923045629401</v>
      </c>
      <c r="DN314" s="1364">
        <f t="shared" si="1381"/>
        <v>47.587468455276593</v>
      </c>
      <c r="DO314" s="1364">
        <f t="shared" si="1381"/>
        <v>47.166119545586781</v>
      </c>
      <c r="DP314" s="1364">
        <f t="shared" si="1381"/>
        <v>46.76923981248806</v>
      </c>
      <c r="DQ314" s="1621">
        <f t="shared" si="1381"/>
        <v>45.557120438986367</v>
      </c>
      <c r="DR314" s="519">
        <f t="shared" si="1381"/>
        <v>43.8501142493148</v>
      </c>
      <c r="DS314" s="1364">
        <f t="shared" si="1381"/>
        <v>43.338629920317736</v>
      </c>
      <c r="DT314" s="1364">
        <f t="shared" si="1381"/>
        <v>43.717273689859745</v>
      </c>
      <c r="DU314" s="1621">
        <f t="shared" si="1381"/>
        <v>43.504613493081557</v>
      </c>
      <c r="DV314" s="1364">
        <f t="shared" si="1381"/>
        <v>41.963698002486673</v>
      </c>
      <c r="DW314" s="1519">
        <f t="shared" ref="DW314" ca="1" si="1382">+DW298/AVERAGE(DV117:DW117)/3*1000</f>
        <v>42.010621640366359</v>
      </c>
      <c r="DX314" s="1519">
        <f t="shared" ref="DX314" ca="1" si="1383">+DX298/AVERAGE(DW117:DX117)/3*1000</f>
        <v>42.477186084562888</v>
      </c>
      <c r="DY314" s="1523">
        <f t="shared" ref="DY314" ca="1" si="1384">+DY298/AVERAGE(DX117:DY117)/3*1000</f>
        <v>42.243005097750725</v>
      </c>
    </row>
    <row r="315" spans="1:132" s="1491" customFormat="1" hidden="1" outlineLevel="1">
      <c r="A315" s="1459" t="s">
        <v>991</v>
      </c>
      <c r="B315" s="1065"/>
      <c r="C315" s="1065"/>
      <c r="D315" s="1065"/>
      <c r="E315" s="1065"/>
      <c r="F315" s="1065"/>
      <c r="G315" s="1065"/>
      <c r="H315" s="1065"/>
      <c r="I315" s="1065"/>
      <c r="J315" s="1065"/>
      <c r="K315" s="1065"/>
      <c r="L315" s="1065"/>
      <c r="M315" s="1065"/>
      <c r="N315" s="1065"/>
      <c r="O315" s="1065"/>
      <c r="P315" s="1065"/>
      <c r="Q315" s="1065"/>
      <c r="R315" s="1065">
        <f t="shared" ref="R315:AB315" si="1385">R314/Q314-1</f>
        <v>2.1676399361405307E-2</v>
      </c>
      <c r="S315" s="1065">
        <f t="shared" si="1385"/>
        <v>2.3121387384609005E-2</v>
      </c>
      <c r="T315" s="1065">
        <f t="shared" si="1385"/>
        <v>2.345192301027077E-2</v>
      </c>
      <c r="U315" s="1065">
        <f t="shared" si="1385"/>
        <v>2.2554273853471862E-2</v>
      </c>
      <c r="V315" s="1065">
        <f t="shared" si="1385"/>
        <v>-1.8161435715395857E-3</v>
      </c>
      <c r="W315" s="1065">
        <f>W314/V314-1</f>
        <v>-7.2417541591484835E-2</v>
      </c>
      <c r="X315" s="1065">
        <f>X314/W314-1</f>
        <v>-4.2627498987914181E-2</v>
      </c>
      <c r="Y315" s="1065">
        <f>Y314/X314-1</f>
        <v>-3.2060990529702349E-2</v>
      </c>
      <c r="Z315" s="1065">
        <f ca="1">Z314/Y314-1</f>
        <v>-2.8798411642852684E-2</v>
      </c>
      <c r="AA315" s="1065">
        <f t="shared" ca="1" si="1385"/>
        <v>-8.0753244581446837E-2</v>
      </c>
      <c r="AB315" s="1065">
        <f t="shared" ca="1" si="1385"/>
        <v>3.938377624001399E-3</v>
      </c>
      <c r="AC315" s="1065">
        <f t="shared" ref="AC315" ca="1" si="1386">AC314/AB314-1</f>
        <v>5.8652827218534931E-3</v>
      </c>
      <c r="AD315" s="1065">
        <f t="shared" ref="AD315" ca="1" si="1387">AD314/AC314-1</f>
        <v>7.8077526689506183E-3</v>
      </c>
      <c r="AE315" s="1065">
        <f t="shared" ref="AE315" ca="1" si="1388">AE314/AD314-1</f>
        <v>9.7599165753690098E-3</v>
      </c>
      <c r="AF315" s="1065">
        <f t="shared" ref="AF315" ca="1" si="1389">AF314/AE314-1</f>
        <v>1.171934884537662E-2</v>
      </c>
      <c r="AG315" s="1065">
        <f t="shared" ref="AG315" ca="1" si="1390">AG314/AF314-1</f>
        <v>1.3684912044184427E-2</v>
      </c>
      <c r="AH315" s="2201"/>
      <c r="AI315" s="2125"/>
      <c r="AJ315" s="1561"/>
      <c r="AK315" s="1324"/>
      <c r="AL315" s="1324"/>
      <c r="AM315" s="1324"/>
      <c r="AN315" s="1324"/>
      <c r="AO315" s="1324"/>
      <c r="AP315" s="1325"/>
      <c r="AQ315" s="1324"/>
      <c r="AR315" s="1324"/>
      <c r="AS315" s="1324"/>
      <c r="AT315" s="1325"/>
      <c r="AU315" s="1324"/>
      <c r="AV315" s="1324"/>
      <c r="AW315" s="1324"/>
      <c r="AX315" s="1325"/>
      <c r="AY315" s="1324"/>
      <c r="AZ315" s="1324"/>
      <c r="BA315" s="1324"/>
      <c r="BB315" s="1325"/>
      <c r="BC315" s="1324"/>
      <c r="BD315" s="1324"/>
      <c r="BE315" s="1324"/>
      <c r="BF315" s="1325"/>
      <c r="BG315" s="1324"/>
      <c r="BH315" s="1324"/>
      <c r="BI315" s="1324"/>
      <c r="BJ315" s="1325"/>
      <c r="BK315" s="1324"/>
      <c r="BL315" s="1324"/>
      <c r="BM315" s="1324"/>
      <c r="BN315" s="1325"/>
      <c r="BO315" s="1324"/>
      <c r="BP315" s="1324"/>
      <c r="BQ315" s="1324"/>
      <c r="BR315" s="1325"/>
      <c r="BS315" s="1324"/>
      <c r="BT315" s="1324"/>
      <c r="BU315" s="1324"/>
      <c r="BV315" s="1325"/>
      <c r="BW315" s="1324"/>
      <c r="BX315" s="1324"/>
      <c r="BY315" s="1324"/>
      <c r="BZ315" s="1325"/>
      <c r="CA315" s="1324"/>
      <c r="CB315" s="1324"/>
      <c r="CC315" s="1324"/>
      <c r="CD315" s="1325"/>
      <c r="CE315" s="1324"/>
      <c r="CF315" s="1324"/>
      <c r="CG315" s="1324"/>
      <c r="CH315" s="156"/>
      <c r="CI315" s="1095"/>
      <c r="CJ315" s="1095"/>
      <c r="CK315" s="1095"/>
      <c r="CL315" s="165"/>
      <c r="CM315" s="1059"/>
      <c r="CN315" s="1059"/>
      <c r="CO315" s="1059"/>
      <c r="CP315" s="563">
        <f t="shared" ref="CP315:DV315" si="1391">CP314/CL314-1</f>
        <v>-3.9370078740152969E-4</v>
      </c>
      <c r="CQ315" s="1065">
        <f t="shared" si="1391"/>
        <v>1.0986855012752539E-2</v>
      </c>
      <c r="CR315" s="1065">
        <f t="shared" si="1391"/>
        <v>1.7629774730656411E-2</v>
      </c>
      <c r="CS315" s="1065">
        <f t="shared" si="1391"/>
        <v>2.3720102787111896E-2</v>
      </c>
      <c r="CT315" s="563">
        <f t="shared" si="1391"/>
        <v>2.1662071681764594E-2</v>
      </c>
      <c r="CU315" s="1065">
        <f t="shared" si="1391"/>
        <v>1.8629924315932467E-2</v>
      </c>
      <c r="CV315" s="1065">
        <f t="shared" si="1391"/>
        <v>2.4254090471607315E-2</v>
      </c>
      <c r="CW315" s="1065">
        <f t="shared" si="1391"/>
        <v>2.6066808264143759E-2</v>
      </c>
      <c r="CX315" s="563">
        <f t="shared" si="1391"/>
        <v>3.4309946029298155E-2</v>
      </c>
      <c r="CY315" s="1065">
        <f t="shared" si="1391"/>
        <v>3.4292246142122229E-2</v>
      </c>
      <c r="CZ315" s="1065">
        <f t="shared" si="1391"/>
        <v>2.7814320616425414E-2</v>
      </c>
      <c r="DA315" s="1065">
        <f t="shared" si="1391"/>
        <v>2.016136451820949E-2</v>
      </c>
      <c r="DB315" s="563">
        <f t="shared" si="1391"/>
        <v>3.4786647821428485E-2</v>
      </c>
      <c r="DC315" s="1065">
        <f t="shared" si="1391"/>
        <v>1.3080690972036901E-2</v>
      </c>
      <c r="DD315" s="1065">
        <f t="shared" si="1391"/>
        <v>1.6018363463573992E-2</v>
      </c>
      <c r="DE315" s="1065">
        <f t="shared" si="1391"/>
        <v>2.3061634284691213E-2</v>
      </c>
      <c r="DF315" s="563">
        <f t="shared" si="1391"/>
        <v>4.5152671542916245E-3</v>
      </c>
      <c r="DG315" s="1065">
        <f t="shared" si="1391"/>
        <v>7.6163089956333696E-3</v>
      </c>
      <c r="DH315" s="1065">
        <f t="shared" si="1391"/>
        <v>-7.6267622609937913E-4</v>
      </c>
      <c r="DI315" s="564">
        <f t="shared" si="1391"/>
        <v>-2.3702211098738935E-2</v>
      </c>
      <c r="DJ315" s="563">
        <f t="shared" si="1391"/>
        <v>-5.4868398496705661E-2</v>
      </c>
      <c r="DK315" s="1065">
        <f t="shared" si="1391"/>
        <v>-6.6996453893261587E-2</v>
      </c>
      <c r="DL315" s="1065">
        <f t="shared" si="1391"/>
        <v>-8.2920386168864546E-2</v>
      </c>
      <c r="DM315" s="564">
        <f t="shared" si="1391"/>
        <v>-9.2669656088876784E-2</v>
      </c>
      <c r="DN315" s="1065">
        <f t="shared" si="1391"/>
        <v>-9.7302393207888471E-2</v>
      </c>
      <c r="DO315" s="1065">
        <f t="shared" si="1391"/>
        <v>-8.7804794614122939E-2</v>
      </c>
      <c r="DP315" s="1065">
        <f t="shared" si="1391"/>
        <v>-8.1508496647386353E-2</v>
      </c>
      <c r="DQ315" s="564">
        <f t="shared" si="1391"/>
        <v>-7.270844635935092E-2</v>
      </c>
      <c r="DR315" s="563">
        <f t="shared" si="1391"/>
        <v>-7.8536520795894238E-2</v>
      </c>
      <c r="DS315" s="1065">
        <f t="shared" si="1391"/>
        <v>-8.1149131243873462E-2</v>
      </c>
      <c r="DT315" s="1065">
        <f t="shared" si="1391"/>
        <v>-6.5255841977859053E-2</v>
      </c>
      <c r="DU315" s="564">
        <f t="shared" si="1391"/>
        <v>-4.5053482883179341E-2</v>
      </c>
      <c r="DV315" s="1065">
        <f t="shared" si="1391"/>
        <v>-4.3019642687877502E-2</v>
      </c>
      <c r="DW315" s="1065">
        <f t="shared" ref="DW315" ca="1" si="1392">DW314/DS314-1</f>
        <v>-3.0642599509791757E-2</v>
      </c>
      <c r="DX315" s="1065">
        <f t="shared" ref="DX315" ca="1" si="1393">DX314/DT314-1</f>
        <v>-2.8366078225607549E-2</v>
      </c>
      <c r="DY315" s="564">
        <f t="shared" ref="DY315" ca="1" si="1394">DY314/DU314-1</f>
        <v>-2.8999416246542786E-2</v>
      </c>
    </row>
    <row r="316" spans="1:132" s="1491" customFormat="1" hidden="1" outlineLevel="1">
      <c r="A316" s="1455" t="s">
        <v>107</v>
      </c>
      <c r="B316" s="1064"/>
      <c r="C316" s="1064"/>
      <c r="D316" s="1064"/>
      <c r="E316" s="1064"/>
      <c r="F316" s="1064"/>
      <c r="G316" s="1064"/>
      <c r="H316" s="1064"/>
      <c r="I316" s="1064"/>
      <c r="J316" s="1064"/>
      <c r="K316" s="1064"/>
      <c r="L316" s="1064"/>
      <c r="M316" s="1064"/>
      <c r="N316" s="1064"/>
      <c r="O316" s="1064"/>
      <c r="P316" s="1060"/>
      <c r="Q316" s="1519">
        <f t="shared" ref="Q316:Z316" si="1395">(Q306/12)/(AVERAGE(P179:Q179)/1000)</f>
        <v>9.7058823529411757</v>
      </c>
      <c r="R316" s="1519">
        <f t="shared" si="1395"/>
        <v>15.01623901763648</v>
      </c>
      <c r="S316" s="1519">
        <f t="shared" si="1395"/>
        <v>13.776247696602558</v>
      </c>
      <c r="T316" s="1519">
        <f t="shared" si="1395"/>
        <v>12.012531170763395</v>
      </c>
      <c r="U316" s="1519">
        <f t="shared" si="1395"/>
        <v>12.839541410969984</v>
      </c>
      <c r="V316" s="1519">
        <f t="shared" si="1395"/>
        <v>13.171187553669748</v>
      </c>
      <c r="W316" s="1519">
        <f t="shared" si="1395"/>
        <v>12.427165687483379</v>
      </c>
      <c r="X316" s="1519">
        <f t="shared" si="1395"/>
        <v>12.138387058684614</v>
      </c>
      <c r="Y316" s="1519">
        <f t="shared" si="1395"/>
        <v>11.368663186764575</v>
      </c>
      <c r="Z316" s="1519">
        <f t="shared" si="1395"/>
        <v>10.78517772462126</v>
      </c>
      <c r="AA316" s="1519">
        <f>Z316*(1+AA317)</f>
        <v>10.78517772462126</v>
      </c>
      <c r="AB316" s="1519">
        <f>AA316*(1+AB317)</f>
        <v>10.78517772462126</v>
      </c>
      <c r="AC316" s="1519">
        <f t="shared" ref="AC316:AG316" si="1396">AB316*(1+AC317)</f>
        <v>10.78517772462126</v>
      </c>
      <c r="AD316" s="1519">
        <f t="shared" si="1396"/>
        <v>10.78517772462126</v>
      </c>
      <c r="AE316" s="1519">
        <f t="shared" si="1396"/>
        <v>10.78517772462126</v>
      </c>
      <c r="AF316" s="1519">
        <f t="shared" si="1396"/>
        <v>10.78517772462126</v>
      </c>
      <c r="AG316" s="1519">
        <f t="shared" si="1396"/>
        <v>10.78517772462126</v>
      </c>
      <c r="AH316" s="2201"/>
      <c r="AI316" s="2125">
        <f>(AA316/V316)^(1/5)-1</f>
        <v>-3.91834516442785E-2</v>
      </c>
      <c r="AJ316" s="1561"/>
      <c r="AK316" s="1064"/>
      <c r="AL316" s="1064"/>
      <c r="AM316" s="1064"/>
      <c r="AN316" s="1064"/>
      <c r="AO316" s="1064"/>
      <c r="AP316" s="569"/>
      <c r="AQ316" s="1064"/>
      <c r="AR316" s="1064"/>
      <c r="AS316" s="1064"/>
      <c r="AT316" s="569"/>
      <c r="AU316" s="1064"/>
      <c r="AV316" s="1064"/>
      <c r="AW316" s="1064"/>
      <c r="AX316" s="569"/>
      <c r="AY316" s="1064"/>
      <c r="AZ316" s="1064"/>
      <c r="BA316" s="1064"/>
      <c r="BB316" s="569"/>
      <c r="BC316" s="1064"/>
      <c r="BD316" s="1064"/>
      <c r="BE316" s="1064"/>
      <c r="BF316" s="569"/>
      <c r="BG316" s="1064"/>
      <c r="BH316" s="1064"/>
      <c r="BI316" s="1064"/>
      <c r="BJ316" s="569"/>
      <c r="BK316" s="1064"/>
      <c r="BL316" s="1064"/>
      <c r="BM316" s="1064"/>
      <c r="BN316" s="569"/>
      <c r="BO316" s="1064"/>
      <c r="BP316" s="1064"/>
      <c r="BQ316" s="1064"/>
      <c r="BR316" s="569"/>
      <c r="BS316" s="1064"/>
      <c r="BT316" s="1064"/>
      <c r="BU316" s="1064"/>
      <c r="BV316" s="569"/>
      <c r="BW316" s="1064"/>
      <c r="BX316" s="1064"/>
      <c r="BY316" s="1064"/>
      <c r="BZ316" s="569"/>
      <c r="CA316" s="1064"/>
      <c r="CB316" s="1064"/>
      <c r="CC316" s="1064"/>
      <c r="CD316" s="569"/>
      <c r="CE316" s="1064"/>
      <c r="CF316" s="1064"/>
      <c r="CG316" s="1064"/>
      <c r="CH316" s="496"/>
      <c r="CI316" s="1043"/>
      <c r="CJ316" s="1043"/>
      <c r="CK316" s="1043"/>
      <c r="CL316" s="1527">
        <f t="shared" ref="CL316:DV316" si="1397">+CL306/3/(AVERAGE(CK179:CL179))*1000</f>
        <v>9.4736842105263168</v>
      </c>
      <c r="CM316" s="1519">
        <f t="shared" si="1397"/>
        <v>11.409862089493005</v>
      </c>
      <c r="CN316" s="1519">
        <f t="shared" si="1397"/>
        <v>10.511784175772998</v>
      </c>
      <c r="CO316" s="1519">
        <f t="shared" si="1397"/>
        <v>10.373803780605087</v>
      </c>
      <c r="CP316" s="1527">
        <f t="shared" si="1397"/>
        <v>12.331934572236021</v>
      </c>
      <c r="CQ316" s="1519">
        <f t="shared" si="1397"/>
        <v>13.403443653984947</v>
      </c>
      <c r="CR316" s="1519">
        <f t="shared" si="1397"/>
        <v>16.451177727636306</v>
      </c>
      <c r="CS316" s="1519">
        <f t="shared" si="1397"/>
        <v>15.59346908824069</v>
      </c>
      <c r="CT316" s="1527">
        <f t="shared" si="1397"/>
        <v>14.006618512044154</v>
      </c>
      <c r="CU316" s="1519">
        <f t="shared" si="1397"/>
        <v>14.287345938593486</v>
      </c>
      <c r="CV316" s="1519">
        <f t="shared" si="1397"/>
        <v>12.552970336611498</v>
      </c>
      <c r="CW316" s="1519">
        <f t="shared" si="1397"/>
        <v>11.208983670736107</v>
      </c>
      <c r="CX316" s="1527">
        <f t="shared" si="1397"/>
        <v>11.133420445974226</v>
      </c>
      <c r="CY316" s="1519">
        <f t="shared" si="1397"/>
        <v>11.36789506558401</v>
      </c>
      <c r="CZ316" s="1519">
        <f t="shared" si="1397"/>
        <v>12.665905889851855</v>
      </c>
      <c r="DA316" s="1519">
        <f t="shared" si="1397"/>
        <v>12.413849520420477</v>
      </c>
      <c r="DB316" s="1527">
        <f t="shared" si="1397"/>
        <v>11.074131304726812</v>
      </c>
      <c r="DC316" s="1519">
        <f t="shared" si="1397"/>
        <v>12.489528596451144</v>
      </c>
      <c r="DD316" s="1519">
        <f t="shared" si="1397"/>
        <v>13.743789757162093</v>
      </c>
      <c r="DE316" s="1519">
        <f t="shared" si="1397"/>
        <v>13.429360480857746</v>
      </c>
      <c r="DF316" s="1527">
        <f t="shared" si="1397"/>
        <v>13.015070081146591</v>
      </c>
      <c r="DG316" s="1519">
        <f t="shared" si="1397"/>
        <v>13.471803004723656</v>
      </c>
      <c r="DH316" s="1519">
        <f t="shared" si="1397"/>
        <v>13.260401127134097</v>
      </c>
      <c r="DI316" s="1523">
        <f t="shared" si="1397"/>
        <v>12.900722634463358</v>
      </c>
      <c r="DJ316" s="1527">
        <f t="shared" si="1397"/>
        <v>12.163953048087846</v>
      </c>
      <c r="DK316" s="1519">
        <f t="shared" si="1397"/>
        <v>12.045087057389919</v>
      </c>
      <c r="DL316" s="1519">
        <f t="shared" si="1397"/>
        <v>12.165968425288172</v>
      </c>
      <c r="DM316" s="1523">
        <f t="shared" si="1397"/>
        <v>12.402577033515914</v>
      </c>
      <c r="DN316" s="1519">
        <f t="shared" si="1397"/>
        <v>12.420259037309105</v>
      </c>
      <c r="DO316" s="1519">
        <f t="shared" si="1397"/>
        <v>12.211346574170863</v>
      </c>
      <c r="DP316" s="1519">
        <f t="shared" si="1397"/>
        <v>12.025360877804554</v>
      </c>
      <c r="DQ316" s="1523">
        <f t="shared" si="1397"/>
        <v>11.84113527460376</v>
      </c>
      <c r="DR316" s="1527">
        <f t="shared" si="1397"/>
        <v>11.441291040623261</v>
      </c>
      <c r="DS316" s="1519">
        <f t="shared" si="1397"/>
        <v>11.080929590824818</v>
      </c>
      <c r="DT316" s="1519">
        <f t="shared" si="1397"/>
        <v>10.987836422326257</v>
      </c>
      <c r="DU316" s="1523">
        <f t="shared" si="1397"/>
        <v>10.980090575066221</v>
      </c>
      <c r="DV316" s="1519">
        <f t="shared" si="1397"/>
        <v>10.78517772462126</v>
      </c>
      <c r="DW316" s="1519">
        <f t="shared" ref="DW316" si="1398">DS316*(1+DW317)</f>
        <v>10.416073815375329</v>
      </c>
      <c r="DX316" s="1519">
        <f t="shared" ref="DX316" si="1399">DT316*(1+DX317)</f>
        <v>10.328566236986681</v>
      </c>
      <c r="DY316" s="1523">
        <f t="shared" ref="DY316" si="1400">DU316*(1+DY317)</f>
        <v>10.321285140562248</v>
      </c>
    </row>
    <row r="317" spans="1:132" s="1491" customFormat="1" hidden="1" outlineLevel="1">
      <c r="A317" s="1459" t="s">
        <v>991</v>
      </c>
      <c r="B317" s="1065"/>
      <c r="C317" s="1065"/>
      <c r="D317" s="1065"/>
      <c r="E317" s="1065"/>
      <c r="F317" s="1065"/>
      <c r="G317" s="1065"/>
      <c r="H317" s="1065"/>
      <c r="I317" s="1065"/>
      <c r="J317" s="1065"/>
      <c r="K317" s="1065"/>
      <c r="L317" s="1065"/>
      <c r="M317" s="1065"/>
      <c r="N317" s="1065"/>
      <c r="O317" s="1065"/>
      <c r="P317" s="1059"/>
      <c r="Q317" s="1059"/>
      <c r="R317" s="1065">
        <f t="shared" ref="R317:Z317" si="1401">R316/Q316-1</f>
        <v>0.54712765636254646</v>
      </c>
      <c r="S317" s="1065">
        <f t="shared" si="1401"/>
        <v>-8.2576690446759637E-2</v>
      </c>
      <c r="T317" s="1065">
        <f t="shared" si="1401"/>
        <v>-0.12802590115116208</v>
      </c>
      <c r="U317" s="1065">
        <f t="shared" si="1401"/>
        <v>6.8845626991536957E-2</v>
      </c>
      <c r="V317" s="1065">
        <f t="shared" si="1401"/>
        <v>2.5830061377146052E-2</v>
      </c>
      <c r="W317" s="1065">
        <f t="shared" si="1401"/>
        <v>-5.6488593997666481E-2</v>
      </c>
      <c r="X317" s="1065">
        <f t="shared" si="1401"/>
        <v>-2.3237690400283451E-2</v>
      </c>
      <c r="Y317" s="1065">
        <f t="shared" si="1401"/>
        <v>-6.3412368397770535E-2</v>
      </c>
      <c r="Z317" s="1065">
        <f t="shared" si="1401"/>
        <v>-5.1324016954131468E-2</v>
      </c>
      <c r="AA317" s="1059">
        <v>0</v>
      </c>
      <c r="AB317" s="1059">
        <v>0</v>
      </c>
      <c r="AC317" s="1059">
        <v>0</v>
      </c>
      <c r="AD317" s="1059">
        <v>0</v>
      </c>
      <c r="AE317" s="1059">
        <v>0</v>
      </c>
      <c r="AF317" s="1059">
        <v>0</v>
      </c>
      <c r="AG317" s="1059">
        <v>0</v>
      </c>
      <c r="AH317" s="2201"/>
      <c r="AI317" s="1927"/>
      <c r="AJ317" s="1561"/>
      <c r="AK317" s="1065"/>
      <c r="AL317" s="1065"/>
      <c r="AM317" s="1065"/>
      <c r="AN317" s="1065"/>
      <c r="AO317" s="1065"/>
      <c r="AP317" s="563"/>
      <c r="AQ317" s="1065"/>
      <c r="AR317" s="1065"/>
      <c r="AS317" s="1065"/>
      <c r="AT317" s="563"/>
      <c r="AU317" s="1065"/>
      <c r="AV317" s="1065"/>
      <c r="AW317" s="1065"/>
      <c r="AX317" s="563"/>
      <c r="AY317" s="1065"/>
      <c r="AZ317" s="1065"/>
      <c r="BA317" s="1065"/>
      <c r="BB317" s="563"/>
      <c r="BC317" s="1065"/>
      <c r="BD317" s="1065"/>
      <c r="BE317" s="1065"/>
      <c r="BF317" s="563"/>
      <c r="BG317" s="1065"/>
      <c r="BH317" s="1065"/>
      <c r="BI317" s="1065"/>
      <c r="BJ317" s="563"/>
      <c r="BK317" s="1065"/>
      <c r="BL317" s="1065"/>
      <c r="BM317" s="1065"/>
      <c r="BN317" s="563"/>
      <c r="BO317" s="1065"/>
      <c r="BP317" s="1065"/>
      <c r="BQ317" s="1065"/>
      <c r="BR317" s="563"/>
      <c r="BS317" s="1065"/>
      <c r="BT317" s="1065"/>
      <c r="BU317" s="1065"/>
      <c r="BV317" s="563"/>
      <c r="BW317" s="1065"/>
      <c r="BX317" s="1065"/>
      <c r="BY317" s="1065"/>
      <c r="BZ317" s="563"/>
      <c r="CA317" s="1065"/>
      <c r="CB317" s="1065"/>
      <c r="CC317" s="1065"/>
      <c r="CD317" s="563"/>
      <c r="CE317" s="1065"/>
      <c r="CF317" s="1065"/>
      <c r="CG317" s="1065"/>
      <c r="CH317" s="165"/>
      <c r="CI317" s="1059"/>
      <c r="CJ317" s="1059"/>
      <c r="CK317" s="1059"/>
      <c r="CL317" s="156" t="s">
        <v>1149</v>
      </c>
      <c r="CM317" s="1095" t="s">
        <v>1149</v>
      </c>
      <c r="CN317" s="1095" t="s">
        <v>1149</v>
      </c>
      <c r="CO317" s="1095" t="s">
        <v>1149</v>
      </c>
      <c r="CP317" s="563">
        <f t="shared" ref="CP317:DV317" si="1402">CP316/CL316-1</f>
        <v>0.30170420484713545</v>
      </c>
      <c r="CQ317" s="1065">
        <f t="shared" si="1402"/>
        <v>0.17472442250881981</v>
      </c>
      <c r="CR317" s="1065">
        <f t="shared" si="1402"/>
        <v>0.56502240271942661</v>
      </c>
      <c r="CS317" s="1065">
        <f t="shared" si="1402"/>
        <v>0.50315828388756634</v>
      </c>
      <c r="CT317" s="563">
        <f t="shared" si="1402"/>
        <v>0.13580058586902477</v>
      </c>
      <c r="CU317" s="1065">
        <f t="shared" si="1402"/>
        <v>6.5945909680140025E-2</v>
      </c>
      <c r="CV317" s="1065">
        <f t="shared" si="1402"/>
        <v>-0.23695612895095142</v>
      </c>
      <c r="CW317" s="1065">
        <f t="shared" si="1402"/>
        <v>-0.28117447071549984</v>
      </c>
      <c r="CX317" s="563">
        <f t="shared" si="1402"/>
        <v>-0.20513145721783554</v>
      </c>
      <c r="CY317" s="1065">
        <f t="shared" si="1402"/>
        <v>-0.20433822247723077</v>
      </c>
      <c r="CZ317" s="1065">
        <f t="shared" si="1402"/>
        <v>8.9967195183258131E-3</v>
      </c>
      <c r="DA317" s="1065">
        <f t="shared" si="1402"/>
        <v>0.10749108795920348</v>
      </c>
      <c r="DB317" s="563">
        <f t="shared" si="1402"/>
        <v>-5.3253303003437669E-3</v>
      </c>
      <c r="DC317" s="1065">
        <f t="shared" si="1402"/>
        <v>9.8666773786718842E-2</v>
      </c>
      <c r="DD317" s="1065">
        <f t="shared" si="1402"/>
        <v>8.5101206079058134E-2</v>
      </c>
      <c r="DE317" s="1065">
        <f t="shared" si="1402"/>
        <v>8.1804677813016591E-2</v>
      </c>
      <c r="DF317" s="563">
        <f t="shared" si="1402"/>
        <v>0.17526781315942319</v>
      </c>
      <c r="DG317" s="1065">
        <f t="shared" si="1402"/>
        <v>7.8647836920892278E-2</v>
      </c>
      <c r="DH317" s="1065">
        <f t="shared" si="1402"/>
        <v>-3.5171422043624778E-2</v>
      </c>
      <c r="DI317" s="564">
        <f t="shared" si="1402"/>
        <v>-3.9364335118407867E-2</v>
      </c>
      <c r="DJ317" s="563">
        <f t="shared" si="1402"/>
        <v>-6.539473300967158E-2</v>
      </c>
      <c r="DK317" s="1065">
        <f t="shared" si="1402"/>
        <v>-0.10590386059189572</v>
      </c>
      <c r="DL317" s="1065">
        <f t="shared" si="1402"/>
        <v>-8.2533906127955747E-2</v>
      </c>
      <c r="DM317" s="564">
        <f t="shared" si="1402"/>
        <v>-3.8613774984719296E-2</v>
      </c>
      <c r="DN317" s="1065">
        <f t="shared" si="1402"/>
        <v>2.1070945292866794E-2</v>
      </c>
      <c r="DO317" s="1065">
        <f t="shared" si="1402"/>
        <v>1.3803097975862322E-2</v>
      </c>
      <c r="DP317" s="1065">
        <f t="shared" si="1402"/>
        <v>-1.1557448003181703E-2</v>
      </c>
      <c r="DQ317" s="564">
        <f t="shared" si="1402"/>
        <v>-4.5268153335790706E-2</v>
      </c>
      <c r="DR317" s="563">
        <f t="shared" si="1402"/>
        <v>-7.8820255982192555E-2</v>
      </c>
      <c r="DS317" s="1065">
        <f t="shared" si="1402"/>
        <v>-9.257103436381664E-2</v>
      </c>
      <c r="DT317" s="1065">
        <f t="shared" si="1402"/>
        <v>-8.6278030740289502E-2</v>
      </c>
      <c r="DU317" s="564">
        <f t="shared" si="1402"/>
        <v>-7.2716397504913433E-2</v>
      </c>
      <c r="DV317" s="1065">
        <f t="shared" si="1402"/>
        <v>-5.7346090897645752E-2</v>
      </c>
      <c r="DW317" s="1059">
        <v>-0.06</v>
      </c>
      <c r="DX317" s="1059">
        <v>-0.06</v>
      </c>
      <c r="DY317" s="166">
        <v>-0.06</v>
      </c>
    </row>
    <row r="318" spans="1:132" s="1491" customFormat="1" hidden="1" outlineLevel="1">
      <c r="A318" s="1449"/>
      <c r="B318" s="1064"/>
      <c r="C318" s="1064"/>
      <c r="D318" s="1064"/>
      <c r="E318" s="1064"/>
      <c r="F318" s="1064"/>
      <c r="G318" s="1064"/>
      <c r="H318" s="1064"/>
      <c r="I318" s="1064"/>
      <c r="J318" s="1064"/>
      <c r="K318" s="1064"/>
      <c r="L318" s="1064"/>
      <c r="M318" s="1064"/>
      <c r="N318" s="1064"/>
      <c r="O318" s="1064"/>
      <c r="P318" s="1064"/>
      <c r="Q318" s="1064"/>
      <c r="R318" s="1064"/>
      <c r="S318" s="1064"/>
      <c r="T318" s="1064"/>
      <c r="U318" s="1064"/>
      <c r="V318" s="1064"/>
      <c r="W318" s="1064"/>
      <c r="X318" s="1064"/>
      <c r="Y318" s="1064"/>
      <c r="Z318" s="1064"/>
      <c r="AA318" s="1064"/>
      <c r="AB318" s="1064"/>
      <c r="AC318" s="1064"/>
      <c r="AD318" s="1064"/>
      <c r="AE318" s="1064"/>
      <c r="AF318" s="1064"/>
      <c r="AG318" s="1064"/>
      <c r="AH318" s="2201"/>
      <c r="AI318" s="1927"/>
      <c r="AJ318" s="1561"/>
      <c r="AK318" s="1064"/>
      <c r="AL318" s="1064"/>
      <c r="AM318" s="1064"/>
      <c r="AN318" s="1064"/>
      <c r="AO318" s="1064"/>
      <c r="AP318" s="569"/>
      <c r="AQ318" s="1064"/>
      <c r="AR318" s="1064"/>
      <c r="AS318" s="1064"/>
      <c r="AT318" s="569"/>
      <c r="AU318" s="1064"/>
      <c r="AV318" s="1064"/>
      <c r="AW318" s="1064"/>
      <c r="AX318" s="569"/>
      <c r="AY318" s="1064"/>
      <c r="AZ318" s="1064"/>
      <c r="BA318" s="1064"/>
      <c r="BB318" s="569"/>
      <c r="BC318" s="1064"/>
      <c r="BD318" s="1064"/>
      <c r="BE318" s="1064"/>
      <c r="BF318" s="569"/>
      <c r="BG318" s="1064"/>
      <c r="BH318" s="1064"/>
      <c r="BI318" s="1064"/>
      <c r="BJ318" s="569"/>
      <c r="BK318" s="1064"/>
      <c r="BL318" s="1064"/>
      <c r="BM318" s="1064"/>
      <c r="BN318" s="569"/>
      <c r="BO318" s="1064"/>
      <c r="BP318" s="1064"/>
      <c r="BQ318" s="1064"/>
      <c r="BR318" s="569"/>
      <c r="BS318" s="1064"/>
      <c r="BT318" s="1064"/>
      <c r="BU318" s="1064"/>
      <c r="BV318" s="569"/>
      <c r="BW318" s="1064"/>
      <c r="BX318" s="1064"/>
      <c r="BY318" s="1064"/>
      <c r="BZ318" s="569"/>
      <c r="CA318" s="1064"/>
      <c r="CB318" s="1064"/>
      <c r="CC318" s="1064"/>
      <c r="CD318" s="569"/>
      <c r="CE318" s="1064"/>
      <c r="CF318" s="1064"/>
      <c r="CG318" s="1064"/>
      <c r="CH318" s="569"/>
      <c r="CI318" s="1064"/>
      <c r="CJ318" s="1064"/>
      <c r="CK318" s="1064"/>
      <c r="CL318" s="569"/>
      <c r="CM318" s="1064"/>
      <c r="CN318" s="1115"/>
      <c r="CO318" s="1115"/>
      <c r="CP318" s="467"/>
      <c r="CQ318" s="1115"/>
      <c r="CR318" s="1115"/>
      <c r="CS318" s="1115"/>
      <c r="CT318" s="467"/>
      <c r="CU318" s="1115"/>
      <c r="CV318" s="1115"/>
      <c r="CW318" s="1359">
        <f>((AVERAGE(CV269:CW269)*CW272))/(AVERAGE(CV269:CW269)*AVERAGE(CV275:CW275))</f>
        <v>54.747514910536779</v>
      </c>
      <c r="CX318" s="521"/>
      <c r="CY318" s="1359"/>
      <c r="CZ318" s="1359"/>
      <c r="DA318" s="1359"/>
      <c r="DB318" s="521"/>
      <c r="DC318" s="1359"/>
      <c r="DD318" s="1359"/>
      <c r="DE318" s="1359"/>
      <c r="DF318" s="521"/>
      <c r="DG318" s="1359"/>
      <c r="DH318" s="1359"/>
      <c r="DI318" s="1622"/>
      <c r="DJ318" s="521"/>
      <c r="DK318" s="1359"/>
      <c r="DL318" s="1359"/>
      <c r="DM318" s="1622"/>
      <c r="DN318" s="1359"/>
      <c r="DO318" s="1359"/>
      <c r="DP318" s="1359"/>
      <c r="DQ318" s="1622"/>
      <c r="DR318" s="521"/>
      <c r="DS318" s="1359"/>
      <c r="DT318" s="1359"/>
      <c r="DU318" s="1622"/>
      <c r="DV318" s="1359"/>
      <c r="DW318" s="1115"/>
      <c r="DX318" s="1115"/>
      <c r="DY318" s="468"/>
    </row>
    <row r="319" spans="1:132" s="1491" customFormat="1" hidden="1" outlineLevel="1">
      <c r="A319" s="711" t="s">
        <v>803</v>
      </c>
      <c r="B319" s="1402"/>
      <c r="C319" s="1068"/>
      <c r="D319" s="1068"/>
      <c r="E319" s="1068"/>
      <c r="F319" s="1068"/>
      <c r="G319" s="1068"/>
      <c r="H319" s="1068"/>
      <c r="I319" s="1068"/>
      <c r="J319" s="1068"/>
      <c r="K319" s="1068"/>
      <c r="L319" s="1068"/>
      <c r="M319" s="1068"/>
      <c r="N319" s="1068"/>
      <c r="O319" s="1113"/>
      <c r="P319" s="1113">
        <f>SUM(CH319:CK319)</f>
        <v>11939.453437240532</v>
      </c>
      <c r="Q319" s="1113">
        <f>SUM(CL319:CO319)</f>
        <v>15564</v>
      </c>
      <c r="R319" s="1113">
        <f>SUM(CP319:CS319)</f>
        <v>19550</v>
      </c>
      <c r="S319" s="1113">
        <f>SUM(CT319:CW319)</f>
        <v>23646</v>
      </c>
      <c r="T319" s="1113">
        <f>SUM(CX319:DA319)</f>
        <v>28255</v>
      </c>
      <c r="U319" s="1113">
        <f>SUM(DB319:DE319)</f>
        <v>33500</v>
      </c>
      <c r="V319" s="1113">
        <f>SUM(DF319:DI319)</f>
        <v>35200</v>
      </c>
      <c r="W319" s="1113">
        <f>SUM(DJ319:DM319)</f>
        <v>35200</v>
      </c>
      <c r="X319" s="1113">
        <f>SUM(DK319:DN319)</f>
        <v>35200</v>
      </c>
      <c r="Y319" s="1113">
        <f>SUM(DL319:DO319)</f>
        <v>35200</v>
      </c>
      <c r="Z319" s="1113">
        <f>SUM(DM319:DP319)</f>
        <v>35200</v>
      </c>
      <c r="AA319" s="1360">
        <f ca="1">+AA325+AA332</f>
        <v>38790.911824044066</v>
      </c>
      <c r="AB319" s="1360">
        <f ca="1">+AB325+AB332</f>
        <v>43520.876046266283</v>
      </c>
      <c r="AC319" s="1360">
        <f t="shared" ref="AC319:AG319" ca="1" si="1403">+AC325+AC332</f>
        <v>48691.874942080787</v>
      </c>
      <c r="AD319" s="1360">
        <f t="shared" ca="1" si="1403"/>
        <v>54359.808524621243</v>
      </c>
      <c r="AE319" s="1360">
        <f t="shared" ca="1" si="1403"/>
        <v>60583.754537612993</v>
      </c>
      <c r="AF319" s="1360">
        <f t="shared" ca="1" si="1403"/>
        <v>67427.776136976187</v>
      </c>
      <c r="AG319" s="1360">
        <f t="shared" ca="1" si="1403"/>
        <v>74962.258311690151</v>
      </c>
      <c r="AH319" s="2201"/>
      <c r="AI319" s="1977"/>
      <c r="AJ319" s="1561"/>
      <c r="AK319" s="1068"/>
      <c r="AL319" s="1068"/>
      <c r="AM319" s="1068"/>
      <c r="AN319" s="1068"/>
      <c r="AO319" s="1068"/>
      <c r="AP319" s="151"/>
      <c r="AQ319" s="1068"/>
      <c r="AR319" s="1068"/>
      <c r="AS319" s="1068"/>
      <c r="AT319" s="151"/>
      <c r="AU319" s="1068"/>
      <c r="AV319" s="1068"/>
      <c r="AW319" s="1068"/>
      <c r="AX319" s="151"/>
      <c r="AY319" s="1068"/>
      <c r="AZ319" s="1068"/>
      <c r="BA319" s="1068"/>
      <c r="BB319" s="151"/>
      <c r="BC319" s="1068"/>
      <c r="BD319" s="1068"/>
      <c r="BE319" s="1068"/>
      <c r="BF319" s="151"/>
      <c r="BG319" s="1068"/>
      <c r="BH319" s="1068"/>
      <c r="BI319" s="1068"/>
      <c r="BJ319" s="151"/>
      <c r="BK319" s="1068"/>
      <c r="BL319" s="1068"/>
      <c r="BM319" s="1068"/>
      <c r="BN319" s="151"/>
      <c r="BO319" s="1068"/>
      <c r="BP319" s="1068"/>
      <c r="BQ319" s="1068"/>
      <c r="BR319" s="151"/>
      <c r="BS319" s="1068"/>
      <c r="BT319" s="1068"/>
      <c r="BU319" s="1068"/>
      <c r="BV319" s="151"/>
      <c r="BW319" s="1068"/>
      <c r="BX319" s="1068"/>
      <c r="BY319" s="1068"/>
      <c r="BZ319" s="151"/>
      <c r="CA319" s="1383"/>
      <c r="CB319" s="1383"/>
      <c r="CC319" s="1383"/>
      <c r="CD319" s="483"/>
      <c r="CE319" s="1383"/>
      <c r="CF319" s="1383"/>
      <c r="CG319" s="1383"/>
      <c r="CH319" s="146">
        <f>+CL319/(1+CL320)</f>
        <v>2611.7647058823532</v>
      </c>
      <c r="CI319" s="1063">
        <f>+CM319/(1+CM320)</f>
        <v>2862.406015037594</v>
      </c>
      <c r="CJ319" s="1063">
        <f>+CN319/(1+CN320)</f>
        <v>3125.5850234009358</v>
      </c>
      <c r="CK319" s="1063">
        <f>+CO319/(1+CO320)</f>
        <v>3339.6976929196499</v>
      </c>
      <c r="CL319" s="522">
        <v>3552</v>
      </c>
      <c r="CM319" s="1365">
        <v>3807</v>
      </c>
      <c r="CN319" s="1365">
        <v>4007</v>
      </c>
      <c r="CO319" s="1365">
        <v>4198</v>
      </c>
      <c r="CP319" s="522">
        <v>4464</v>
      </c>
      <c r="CQ319" s="1365">
        <v>4756</v>
      </c>
      <c r="CR319" s="1365">
        <v>5062</v>
      </c>
      <c r="CS319" s="1365">
        <v>5268</v>
      </c>
      <c r="CT319" s="522">
        <v>5458</v>
      </c>
      <c r="CU319" s="1365">
        <v>5810</v>
      </c>
      <c r="CV319" s="1365">
        <v>6100</v>
      </c>
      <c r="CW319" s="1365">
        <v>6278</v>
      </c>
      <c r="CX319" s="522">
        <v>6608</v>
      </c>
      <c r="CY319" s="1365">
        <v>6885</v>
      </c>
      <c r="CZ319" s="1365">
        <v>7262</v>
      </c>
      <c r="DA319" s="1365">
        <v>7500</v>
      </c>
      <c r="DB319" s="522">
        <v>7900</v>
      </c>
      <c r="DC319" s="1365">
        <v>8200</v>
      </c>
      <c r="DD319" s="1365">
        <v>8600</v>
      </c>
      <c r="DE319" s="1365">
        <v>8800</v>
      </c>
      <c r="DF319" s="522">
        <v>8800</v>
      </c>
      <c r="DG319" s="1365">
        <v>8800</v>
      </c>
      <c r="DH319" s="1365">
        <v>8800</v>
      </c>
      <c r="DI319" s="1623">
        <v>8800</v>
      </c>
      <c r="DJ319" s="522">
        <v>8800</v>
      </c>
      <c r="DK319" s="1365">
        <v>8800</v>
      </c>
      <c r="DL319" s="1365">
        <v>8800</v>
      </c>
      <c r="DM319" s="1623">
        <v>8800</v>
      </c>
      <c r="DN319" s="1365">
        <v>8800</v>
      </c>
      <c r="DO319" s="1365">
        <v>8800</v>
      </c>
      <c r="DP319" s="1365">
        <v>8800</v>
      </c>
      <c r="DQ319" s="1623">
        <v>8800</v>
      </c>
      <c r="DR319" s="522">
        <v>8800</v>
      </c>
      <c r="DS319" s="1365">
        <v>8800</v>
      </c>
      <c r="DT319" s="1365">
        <v>8800</v>
      </c>
      <c r="DU319" s="1623">
        <v>8800</v>
      </c>
      <c r="DV319" s="1365">
        <v>8800</v>
      </c>
      <c r="DW319" s="1360">
        <f t="shared" ref="DW319:DY319" ca="1" si="1404">+DW325+DW332</f>
        <v>9930.0947265334726</v>
      </c>
      <c r="DX319" s="1360">
        <f t="shared" ca="1" si="1404"/>
        <v>9927.7100372046461</v>
      </c>
      <c r="DY319" s="523">
        <f t="shared" ca="1" si="1404"/>
        <v>9925.2714576837552</v>
      </c>
    </row>
    <row r="320" spans="1:132" s="1491" customFormat="1" hidden="1" outlineLevel="1">
      <c r="A320" s="1448" t="s">
        <v>1453</v>
      </c>
      <c r="B320" s="1487"/>
      <c r="C320" s="1065"/>
      <c r="D320" s="1065"/>
      <c r="E320" s="1065"/>
      <c r="F320" s="1065"/>
      <c r="G320" s="1065"/>
      <c r="H320" s="1065"/>
      <c r="I320" s="1065"/>
      <c r="J320" s="1065"/>
      <c r="K320" s="1065"/>
      <c r="L320" s="1065"/>
      <c r="M320" s="1065"/>
      <c r="N320" s="1065"/>
      <c r="O320" s="1065"/>
      <c r="P320" s="1065"/>
      <c r="Q320" s="1065">
        <f t="shared" ref="Q320:AB320" si="1405">Q319/P319-1</f>
        <v>0.30357726019970799</v>
      </c>
      <c r="R320" s="1065">
        <f t="shared" si="1405"/>
        <v>0.25610382934978149</v>
      </c>
      <c r="S320" s="1065">
        <f t="shared" si="1405"/>
        <v>0.20951406649616366</v>
      </c>
      <c r="T320" s="1065">
        <f t="shared" si="1405"/>
        <v>0.19491668781189198</v>
      </c>
      <c r="U320" s="1065">
        <f t="shared" si="1405"/>
        <v>0.18563086179437271</v>
      </c>
      <c r="V320" s="1065">
        <f t="shared" si="1405"/>
        <v>5.0746268656716387E-2</v>
      </c>
      <c r="W320" s="1065">
        <f>W319/V319-1</f>
        <v>0</v>
      </c>
      <c r="X320" s="1065">
        <f>X319/W319-1</f>
        <v>0</v>
      </c>
      <c r="Y320" s="1065">
        <f>Y319/X319-1</f>
        <v>0</v>
      </c>
      <c r="Z320" s="1065">
        <f>Z319/Y319-1</f>
        <v>0</v>
      </c>
      <c r="AA320" s="1065">
        <f t="shared" ca="1" si="1405"/>
        <v>0.10201454045579728</v>
      </c>
      <c r="AB320" s="1065">
        <f t="shared" ca="1" si="1405"/>
        <v>0.12193485535161885</v>
      </c>
      <c r="AC320" s="1065">
        <f t="shared" ref="AC320" ca="1" si="1406">AC319/AB319-1</f>
        <v>0.11881651670608151</v>
      </c>
      <c r="AD320" s="1065">
        <f t="shared" ref="AD320" ca="1" si="1407">AD319/AC319-1</f>
        <v>0.11640409389210182</v>
      </c>
      <c r="AE320" s="1065">
        <f t="shared" ref="AE320" ca="1" si="1408">AE319/AD319-1</f>
        <v>0.11449536306171382</v>
      </c>
      <c r="AF320" s="1065">
        <f t="shared" ref="AF320" ca="1" si="1409">AF319/AE319-1</f>
        <v>0.11296793425231066</v>
      </c>
      <c r="AG320" s="1065">
        <f t="shared" ref="AG320" ca="1" si="1410">AG319/AF319-1</f>
        <v>0.11174151968779222</v>
      </c>
      <c r="AH320" s="2201"/>
      <c r="AI320" s="1927"/>
      <c r="AJ320" s="1561"/>
      <c r="AK320" s="1065"/>
      <c r="AL320" s="1065"/>
      <c r="AM320" s="1065"/>
      <c r="AN320" s="1065"/>
      <c r="AO320" s="1065"/>
      <c r="AP320" s="563"/>
      <c r="AQ320" s="1065"/>
      <c r="AR320" s="1065"/>
      <c r="AS320" s="1065"/>
      <c r="AT320" s="563"/>
      <c r="AU320" s="1065"/>
      <c r="AV320" s="1065"/>
      <c r="AW320" s="1065"/>
      <c r="AX320" s="563"/>
      <c r="AY320" s="1065"/>
      <c r="AZ320" s="1065"/>
      <c r="BA320" s="1065"/>
      <c r="BB320" s="563"/>
      <c r="BC320" s="1065"/>
      <c r="BD320" s="1065"/>
      <c r="BE320" s="1065"/>
      <c r="BF320" s="563"/>
      <c r="BG320" s="1065"/>
      <c r="BH320" s="1065"/>
      <c r="BI320" s="1065"/>
      <c r="BJ320" s="563"/>
      <c r="BK320" s="1065"/>
      <c r="BL320" s="1065"/>
      <c r="BM320" s="1065"/>
      <c r="BN320" s="563"/>
      <c r="BO320" s="1065"/>
      <c r="BP320" s="1065"/>
      <c r="BQ320" s="1065"/>
      <c r="BR320" s="563"/>
      <c r="BS320" s="1065"/>
      <c r="BT320" s="1065"/>
      <c r="BU320" s="1065"/>
      <c r="BV320" s="563"/>
      <c r="BW320" s="1065"/>
      <c r="BX320" s="1065"/>
      <c r="BY320" s="1065"/>
      <c r="BZ320" s="563"/>
      <c r="CA320" s="1495"/>
      <c r="CB320" s="1495"/>
      <c r="CC320" s="1495"/>
      <c r="CD320" s="1501"/>
      <c r="CE320" s="1495"/>
      <c r="CF320" s="1495"/>
      <c r="CG320" s="1495"/>
      <c r="CH320" s="156" t="s">
        <v>1149</v>
      </c>
      <c r="CI320" s="1095" t="s">
        <v>1149</v>
      </c>
      <c r="CJ320" s="1095" t="s">
        <v>1149</v>
      </c>
      <c r="CK320" s="1095" t="s">
        <v>1149</v>
      </c>
      <c r="CL320" s="165">
        <v>0.36</v>
      </c>
      <c r="CM320" s="1059">
        <v>0.33</v>
      </c>
      <c r="CN320" s="1059">
        <v>0.28199999999999997</v>
      </c>
      <c r="CO320" s="1059">
        <v>0.25700000000000001</v>
      </c>
      <c r="CP320" s="563">
        <f t="shared" ref="CP320:DV320" si="1411">+CP319/CL319-1</f>
        <v>0.2567567567567568</v>
      </c>
      <c r="CQ320" s="1065">
        <f t="shared" si="1411"/>
        <v>0.24927764644076711</v>
      </c>
      <c r="CR320" s="1065">
        <f t="shared" si="1411"/>
        <v>0.2632892438233092</v>
      </c>
      <c r="CS320" s="1065">
        <f t="shared" si="1411"/>
        <v>0.25488327775131014</v>
      </c>
      <c r="CT320" s="563">
        <f t="shared" si="1411"/>
        <v>0.22267025089605741</v>
      </c>
      <c r="CU320" s="1065">
        <f t="shared" si="1411"/>
        <v>0.22161480235492004</v>
      </c>
      <c r="CV320" s="1065">
        <f t="shared" si="1411"/>
        <v>0.20505728960885028</v>
      </c>
      <c r="CW320" s="1065">
        <f t="shared" si="1411"/>
        <v>0.19172361427486706</v>
      </c>
      <c r="CX320" s="563">
        <f t="shared" si="1411"/>
        <v>0.21069989006962264</v>
      </c>
      <c r="CY320" s="1065">
        <f t="shared" si="1411"/>
        <v>0.18502581755593805</v>
      </c>
      <c r="CZ320" s="1065">
        <f t="shared" si="1411"/>
        <v>0.19049180327868842</v>
      </c>
      <c r="DA320" s="1065">
        <f t="shared" si="1411"/>
        <v>0.19464797706275894</v>
      </c>
      <c r="DB320" s="563">
        <f t="shared" si="1411"/>
        <v>0.19552058111380144</v>
      </c>
      <c r="DC320" s="1065">
        <f t="shared" si="1411"/>
        <v>0.19099491648511258</v>
      </c>
      <c r="DD320" s="1065">
        <f t="shared" si="1411"/>
        <v>0.1842467639768659</v>
      </c>
      <c r="DE320" s="1065">
        <f t="shared" si="1411"/>
        <v>0.17333333333333334</v>
      </c>
      <c r="DF320" s="563">
        <f t="shared" si="1411"/>
        <v>0.11392405063291133</v>
      </c>
      <c r="DG320" s="1065">
        <f t="shared" si="1411"/>
        <v>7.3170731707317138E-2</v>
      </c>
      <c r="DH320" s="1065">
        <f t="shared" si="1411"/>
        <v>2.3255813953488413E-2</v>
      </c>
      <c r="DI320" s="564">
        <f t="shared" si="1411"/>
        <v>0</v>
      </c>
      <c r="DJ320" s="563">
        <f t="shared" si="1411"/>
        <v>0</v>
      </c>
      <c r="DK320" s="1065">
        <f t="shared" si="1411"/>
        <v>0</v>
      </c>
      <c r="DL320" s="1065">
        <f t="shared" si="1411"/>
        <v>0</v>
      </c>
      <c r="DM320" s="564">
        <f t="shared" si="1411"/>
        <v>0</v>
      </c>
      <c r="DN320" s="1065">
        <f t="shared" si="1411"/>
        <v>0</v>
      </c>
      <c r="DO320" s="1065">
        <f t="shared" si="1411"/>
        <v>0</v>
      </c>
      <c r="DP320" s="1065">
        <f t="shared" si="1411"/>
        <v>0</v>
      </c>
      <c r="DQ320" s="564">
        <f t="shared" si="1411"/>
        <v>0</v>
      </c>
      <c r="DR320" s="563">
        <f t="shared" si="1411"/>
        <v>0</v>
      </c>
      <c r="DS320" s="1065">
        <f t="shared" si="1411"/>
        <v>0</v>
      </c>
      <c r="DT320" s="1065">
        <f t="shared" si="1411"/>
        <v>0</v>
      </c>
      <c r="DU320" s="564">
        <f t="shared" si="1411"/>
        <v>0</v>
      </c>
      <c r="DV320" s="1065">
        <f t="shared" si="1411"/>
        <v>0</v>
      </c>
      <c r="DW320" s="1065">
        <f t="shared" ref="DW320" ca="1" si="1412">+DW319/DS319-1</f>
        <v>0.12841985528789457</v>
      </c>
      <c r="DX320" s="1065">
        <f t="shared" ref="DX320" ca="1" si="1413">+DX319/DT319-1</f>
        <v>0.12814886786416424</v>
      </c>
      <c r="DY320" s="564">
        <f t="shared" ref="DY320" ca="1" si="1414">+DY319/DU319-1</f>
        <v>0.12787175655497229</v>
      </c>
    </row>
    <row r="321" spans="1:129" s="1491" customFormat="1" hidden="1" outlineLevel="1">
      <c r="A321" s="1448" t="s">
        <v>804</v>
      </c>
      <c r="B321" s="1487"/>
      <c r="C321" s="1065"/>
      <c r="D321" s="1065"/>
      <c r="E321" s="1065"/>
      <c r="F321" s="1065"/>
      <c r="G321" s="1065"/>
      <c r="H321" s="1065"/>
      <c r="I321" s="1065"/>
      <c r="J321" s="1065"/>
      <c r="K321" s="1065"/>
      <c r="L321" s="1065"/>
      <c r="M321" s="1065"/>
      <c r="N321" s="1065"/>
      <c r="O321" s="1065"/>
      <c r="P321" s="1065"/>
      <c r="Q321" s="1065"/>
      <c r="R321" s="1065">
        <f t="shared" ref="R321:AA321" si="1415">+R319/R301</f>
        <v>0.35143540239802978</v>
      </c>
      <c r="S321" s="1065">
        <f t="shared" si="1415"/>
        <v>0.39971600993965212</v>
      </c>
      <c r="T321" s="1065">
        <f t="shared" si="1415"/>
        <v>0.44333390865014982</v>
      </c>
      <c r="U321" s="1065">
        <f t="shared" si="1415"/>
        <v>0.48527515825764489</v>
      </c>
      <c r="V321" s="1065">
        <f t="shared" si="1415"/>
        <v>0.48464821699022442</v>
      </c>
      <c r="W321" s="1065">
        <f t="shared" si="1415"/>
        <v>0.50002841070515369</v>
      </c>
      <c r="X321" s="1065">
        <f>+X319/X301</f>
        <v>0.50800248228485667</v>
      </c>
      <c r="Y321" s="1065">
        <f>+Y319/Y301</f>
        <v>0.51504909061644943</v>
      </c>
      <c r="Z321" s="1065">
        <f>+Z319/Z301</f>
        <v>0.52203058031410821</v>
      </c>
      <c r="AA321" s="1065">
        <f t="shared" ca="1" si="1415"/>
        <v>0.61563534042514045</v>
      </c>
      <c r="AB321" s="1065">
        <f t="shared" ref="AB321:AG321" ca="1" si="1416">+AB319/AB301</f>
        <v>0.67971279613676816</v>
      </c>
      <c r="AC321" s="1065">
        <f t="shared" ca="1" si="1416"/>
        <v>0.7476575553352568</v>
      </c>
      <c r="AD321" s="1065">
        <f t="shared" ca="1" si="1416"/>
        <v>0.81999323501358379</v>
      </c>
      <c r="AE321" s="1065">
        <f t="shared" ca="1" si="1416"/>
        <v>0.89706832932674518</v>
      </c>
      <c r="AF321" s="1065">
        <f t="shared" ca="1" si="1416"/>
        <v>0.97913168735662615</v>
      </c>
      <c r="AG321" s="1065">
        <f t="shared" ca="1" si="1416"/>
        <v>1.0663706597391072</v>
      </c>
      <c r="AH321" s="2201"/>
      <c r="AI321" s="1927"/>
      <c r="AJ321" s="1561"/>
      <c r="AK321" s="1065"/>
      <c r="AL321" s="1065"/>
      <c r="AM321" s="1065"/>
      <c r="AN321" s="1065"/>
      <c r="AO321" s="1065"/>
      <c r="AP321" s="563"/>
      <c r="AQ321" s="1065"/>
      <c r="AR321" s="1065"/>
      <c r="AS321" s="1065"/>
      <c r="AT321" s="563"/>
      <c r="AU321" s="1065"/>
      <c r="AV321" s="1065"/>
      <c r="AW321" s="1065"/>
      <c r="AX321" s="563"/>
      <c r="AY321" s="1065"/>
      <c r="AZ321" s="1065"/>
      <c r="BA321" s="1065"/>
      <c r="BB321" s="563"/>
      <c r="BC321" s="1065"/>
      <c r="BD321" s="1065"/>
      <c r="BE321" s="1065"/>
      <c r="BF321" s="563"/>
      <c r="BG321" s="1065"/>
      <c r="BH321" s="1065"/>
      <c r="BI321" s="1065"/>
      <c r="BJ321" s="563"/>
      <c r="BK321" s="1065"/>
      <c r="BL321" s="1065"/>
      <c r="BM321" s="1065"/>
      <c r="BN321" s="563"/>
      <c r="BO321" s="1065"/>
      <c r="BP321" s="1065"/>
      <c r="BQ321" s="1065"/>
      <c r="BR321" s="563"/>
      <c r="BS321" s="1065"/>
      <c r="BT321" s="1065"/>
      <c r="BU321" s="1065"/>
      <c r="BV321" s="563"/>
      <c r="BW321" s="1065"/>
      <c r="BX321" s="1065"/>
      <c r="BY321" s="1065"/>
      <c r="BZ321" s="563"/>
      <c r="CA321" s="1495"/>
      <c r="CB321" s="1495"/>
      <c r="CC321" s="1495"/>
      <c r="CD321" s="1501"/>
      <c r="CE321" s="1495"/>
      <c r="CF321" s="1495"/>
      <c r="CG321" s="1495"/>
      <c r="CH321" s="156"/>
      <c r="CI321" s="1095"/>
      <c r="CJ321" s="1095"/>
      <c r="CK321" s="1095"/>
      <c r="CL321" s="563">
        <f t="shared" ref="CL321:DJ321" si="1417">+CL319/CL301</f>
        <v>0.27913555992141453</v>
      </c>
      <c r="CM321" s="1065">
        <f t="shared" si="1417"/>
        <v>0.29309415659404109</v>
      </c>
      <c r="CN321" s="1065">
        <f t="shared" si="1417"/>
        <v>0.30473800288995362</v>
      </c>
      <c r="CO321" s="1065">
        <f t="shared" si="1417"/>
        <v>0.31844041568686943</v>
      </c>
      <c r="CP321" s="563">
        <f t="shared" si="1417"/>
        <v>0.33150155948314275</v>
      </c>
      <c r="CQ321" s="1065">
        <f t="shared" si="1417"/>
        <v>0.34458774090711491</v>
      </c>
      <c r="CR321" s="1065">
        <f t="shared" si="1417"/>
        <v>0.35728402032749856</v>
      </c>
      <c r="CS321" s="1065">
        <f t="shared" si="1417"/>
        <v>0.37116888607059817</v>
      </c>
      <c r="CT321" s="563">
        <f t="shared" si="1417"/>
        <v>0.38138494864090561</v>
      </c>
      <c r="CU321" s="1065">
        <f t="shared" si="1417"/>
        <v>0.39504997620180865</v>
      </c>
      <c r="CV321" s="1065">
        <f t="shared" si="1417"/>
        <v>0.40577396394598547</v>
      </c>
      <c r="CW321" s="1065">
        <f t="shared" si="1417"/>
        <v>0.41559645174103005</v>
      </c>
      <c r="CX321" s="563">
        <f t="shared" si="1417"/>
        <v>0.42881245944192081</v>
      </c>
      <c r="CY321" s="1065">
        <f t="shared" si="1417"/>
        <v>0.43642241379310343</v>
      </c>
      <c r="CZ321" s="1065">
        <f t="shared" si="1417"/>
        <v>0.44954809954190911</v>
      </c>
      <c r="DA321" s="1065">
        <f t="shared" si="1417"/>
        <v>0.45751235283352648</v>
      </c>
      <c r="DB321" s="563">
        <f t="shared" si="1417"/>
        <v>0.47226207556193212</v>
      </c>
      <c r="DC321" s="1065">
        <f t="shared" si="1417"/>
        <v>0.48014990045672795</v>
      </c>
      <c r="DD321" s="1065">
        <f t="shared" si="1417"/>
        <v>0.49097967572505136</v>
      </c>
      <c r="DE321" s="1065">
        <f t="shared" si="1417"/>
        <v>0.49686635424312575</v>
      </c>
      <c r="DF321" s="563">
        <f t="shared" si="1417"/>
        <v>0.48924223049980542</v>
      </c>
      <c r="DG321" s="1065">
        <f t="shared" si="1417"/>
        <v>0.48677951100785483</v>
      </c>
      <c r="DH321" s="1065">
        <f t="shared" si="1417"/>
        <v>0.47940727827413382</v>
      </c>
      <c r="DI321" s="564">
        <f t="shared" si="1417"/>
        <v>0.48327750013729476</v>
      </c>
      <c r="DJ321" s="563">
        <f t="shared" si="1417"/>
        <v>0.4912359048788657</v>
      </c>
      <c r="DK321" s="1065">
        <f t="shared" ref="DK321:DM321" si="1418">+DK319/DK301</f>
        <v>0.4974843122844706</v>
      </c>
      <c r="DL321" s="1065">
        <f t="shared" si="1418"/>
        <v>0.50005682463916357</v>
      </c>
      <c r="DM321" s="564">
        <f t="shared" si="1418"/>
        <v>0.51177667926722881</v>
      </c>
      <c r="DN321" s="1065">
        <f t="shared" ref="DN321:DO321" si="1419">+DN319/DN301</f>
        <v>0.52352906181212444</v>
      </c>
      <c r="DO321" s="1065">
        <f t="shared" si="1419"/>
        <v>0.5256555761304581</v>
      </c>
      <c r="DP321" s="1065">
        <f t="shared" ref="DP321:DQ321" si="1420">+DP319/DP301</f>
        <v>0.52745145049148889</v>
      </c>
      <c r="DQ321" s="564">
        <f t="shared" si="1420"/>
        <v>0.53835800807537015</v>
      </c>
      <c r="DR321" s="563">
        <f t="shared" ref="DR321" si="1421">+DR319/DR301</f>
        <v>0.5577386233996704</v>
      </c>
      <c r="DS321" s="1065">
        <f t="shared" ref="DS321:DT321" si="1422">+DS319/DS301</f>
        <v>0.5633081551657918</v>
      </c>
      <c r="DT321" s="1065">
        <f t="shared" si="1422"/>
        <v>0.55552048481787764</v>
      </c>
      <c r="DU321" s="564">
        <f t="shared" ref="DU321" si="1423">+DU319/DU301</f>
        <v>0.55415617128463479</v>
      </c>
      <c r="DV321" s="1065">
        <f t="shared" ref="DV321" si="1424">+DV319/DV301</f>
        <v>0.57135436956239449</v>
      </c>
      <c r="DW321" s="1065">
        <f t="shared" ref="DW321:DY321" ca="1" si="1425">+DW319/DW301</f>
        <v>0.64354136916895399</v>
      </c>
      <c r="DX321" s="1065">
        <f t="shared" ca="1" si="1425"/>
        <v>0.63478016067474041</v>
      </c>
      <c r="DY321" s="564">
        <f t="shared" ca="1" si="1425"/>
        <v>0.63459274150254585</v>
      </c>
    </row>
    <row r="322" spans="1:129" s="1491" customFormat="1" hidden="1" outlineLevel="1">
      <c r="A322" s="711" t="s">
        <v>805</v>
      </c>
      <c r="B322" s="1064"/>
      <c r="C322" s="1064"/>
      <c r="D322" s="1064"/>
      <c r="E322" s="1064"/>
      <c r="F322" s="1064"/>
      <c r="G322" s="1064"/>
      <c r="H322" s="1064"/>
      <c r="I322" s="1064"/>
      <c r="J322" s="1064"/>
      <c r="K322" s="1064"/>
      <c r="L322" s="1064"/>
      <c r="M322" s="1064"/>
      <c r="N322" s="1064"/>
      <c r="O322" s="1064"/>
      <c r="P322" s="1519">
        <f t="shared" ref="P322:AA322" si="1426">+P319/P105*1000/12</f>
        <v>11.765210667258435</v>
      </c>
      <c r="Q322" s="1519">
        <f t="shared" si="1426"/>
        <v>13.80301175969776</v>
      </c>
      <c r="R322" s="1229">
        <f t="shared" si="1426"/>
        <v>16.394872388351338</v>
      </c>
      <c r="S322" s="1229">
        <f t="shared" si="1426"/>
        <v>18.774623530925012</v>
      </c>
      <c r="T322" s="1229">
        <f t="shared" si="1426"/>
        <v>21.192320212170717</v>
      </c>
      <c r="U322" s="1229">
        <f t="shared" si="1426"/>
        <v>23.651778048890694</v>
      </c>
      <c r="V322" s="1229">
        <f t="shared" si="1426"/>
        <v>23.410107846110463</v>
      </c>
      <c r="W322" s="1229">
        <f t="shared" si="1426"/>
        <v>22.419239783960052</v>
      </c>
      <c r="X322" s="1229">
        <f>+X319/X105*1000/12</f>
        <v>22.049749747868631</v>
      </c>
      <c r="Y322" s="1229">
        <f>+Y319/Y105*1000/12</f>
        <v>21.483247339312026</v>
      </c>
      <c r="Z322" s="1229">
        <f ca="1">+Z319/Z105*1000/12</f>
        <v>20.834207313416751</v>
      </c>
      <c r="AA322" s="1229">
        <f t="shared" ca="1" si="1426"/>
        <v>22.666332699236353</v>
      </c>
      <c r="AB322" s="1229">
        <f t="shared" ref="AB322:AG322" ca="1" si="1427">+AB319/AB105*1000/12</f>
        <v>25.20766475214208</v>
      </c>
      <c r="AC322" s="1229">
        <f t="shared" ca="1" si="1427"/>
        <v>27.969794975247599</v>
      </c>
      <c r="AD322" s="1229">
        <f t="shared" ca="1" si="1427"/>
        <v>30.989780473707103</v>
      </c>
      <c r="AE322" s="1229">
        <f t="shared" ca="1" si="1427"/>
        <v>34.301898636440917</v>
      </c>
      <c r="AF322" s="1229">
        <f t="shared" ca="1" si="1427"/>
        <v>37.940470395315849</v>
      </c>
      <c r="AG322" s="1229">
        <f t="shared" ca="1" si="1427"/>
        <v>41.941499919589205</v>
      </c>
      <c r="AH322" s="2201"/>
      <c r="AI322" s="1927"/>
      <c r="AJ322" s="1561"/>
      <c r="AK322" s="1064"/>
      <c r="AL322" s="1064"/>
      <c r="AM322" s="1064"/>
      <c r="AN322" s="1064"/>
      <c r="AO322" s="1064"/>
      <c r="AP322" s="569"/>
      <c r="AQ322" s="1064"/>
      <c r="AR322" s="1064"/>
      <c r="AS322" s="1064"/>
      <c r="AT322" s="569"/>
      <c r="AU322" s="1064"/>
      <c r="AV322" s="1064"/>
      <c r="AW322" s="1064"/>
      <c r="AX322" s="569"/>
      <c r="AY322" s="1064"/>
      <c r="AZ322" s="1064"/>
      <c r="BA322" s="1064"/>
      <c r="BB322" s="569"/>
      <c r="BC322" s="1064"/>
      <c r="BD322" s="1064"/>
      <c r="BE322" s="1064"/>
      <c r="BF322" s="569"/>
      <c r="BG322" s="1064"/>
      <c r="BH322" s="1064"/>
      <c r="BI322" s="1064"/>
      <c r="BJ322" s="569"/>
      <c r="BK322" s="1064"/>
      <c r="BL322" s="1064"/>
      <c r="BM322" s="1064"/>
      <c r="BN322" s="569"/>
      <c r="BO322" s="1064"/>
      <c r="BP322" s="1064"/>
      <c r="BQ322" s="1064"/>
      <c r="BR322" s="569"/>
      <c r="BS322" s="1064"/>
      <c r="BT322" s="1064"/>
      <c r="BU322" s="1064"/>
      <c r="BV322" s="569"/>
      <c r="BW322" s="1064"/>
      <c r="BX322" s="1064"/>
      <c r="BY322" s="1064"/>
      <c r="BZ322" s="569"/>
      <c r="CA322" s="1502"/>
      <c r="CB322" s="1502"/>
      <c r="CC322" s="1502"/>
      <c r="CD322" s="1467"/>
      <c r="CE322" s="1502"/>
      <c r="CF322" s="1502"/>
      <c r="CG322" s="1502"/>
      <c r="CH322" s="631">
        <f>+CL322/(1+CL323)</f>
        <v>10.338536874369531</v>
      </c>
      <c r="CI322" s="1229">
        <f>+CM322/(1+CM323)</f>
        <v>11.135042531650635</v>
      </c>
      <c r="CJ322" s="1229">
        <f>+CN322/(1+CN323)</f>
        <v>11.857584526907448</v>
      </c>
      <c r="CK322" s="1229">
        <f>+CO322/(1+CO323)</f>
        <v>12.416393278272219</v>
      </c>
      <c r="CL322" s="631">
        <f t="shared" ref="CL322:DJ322" si="1428">+CL319/CL105/3*1000</f>
        <v>12.881816945464434</v>
      </c>
      <c r="CM322" s="1229">
        <f t="shared" si="1428"/>
        <v>13.67383222886698</v>
      </c>
      <c r="CN322" s="1229">
        <f t="shared" si="1428"/>
        <v>14.240959016815847</v>
      </c>
      <c r="CO322" s="1229">
        <f t="shared" si="1428"/>
        <v>14.663760461639491</v>
      </c>
      <c r="CP322" s="631">
        <f t="shared" si="1428"/>
        <v>15.29966994663623</v>
      </c>
      <c r="CQ322" s="1229">
        <f t="shared" si="1428"/>
        <v>16.033307206728864</v>
      </c>
      <c r="CR322" s="1229">
        <f t="shared" si="1428"/>
        <v>16.803514729631715</v>
      </c>
      <c r="CS322" s="1229">
        <f t="shared" si="1428"/>
        <v>17.271479927806002</v>
      </c>
      <c r="CT322" s="631">
        <f t="shared" si="1428"/>
        <v>17.640480669161803</v>
      </c>
      <c r="CU322" s="1229">
        <f t="shared" si="1428"/>
        <v>18.422337639277313</v>
      </c>
      <c r="CV322" s="1229">
        <f t="shared" si="1428"/>
        <v>19.021336638680356</v>
      </c>
      <c r="CW322" s="1229">
        <f t="shared" si="1428"/>
        <v>19.445864114358283</v>
      </c>
      <c r="CX322" s="631">
        <f t="shared" si="1428"/>
        <v>20.344952863010239</v>
      </c>
      <c r="CY322" s="1229">
        <f t="shared" si="1428"/>
        <v>20.943411722835162</v>
      </c>
      <c r="CZ322" s="1229">
        <f t="shared" si="1428"/>
        <v>21.761148768106821</v>
      </c>
      <c r="DA322" s="1229">
        <f t="shared" si="1428"/>
        <v>22.052953552069226</v>
      </c>
      <c r="DB322" s="631">
        <f t="shared" si="1428"/>
        <v>22.81799328746628</v>
      </c>
      <c r="DC322" s="1229">
        <f t="shared" si="1428"/>
        <v>23.35483687216075</v>
      </c>
      <c r="DD322" s="1229">
        <f t="shared" si="1428"/>
        <v>24.174041857634567</v>
      </c>
      <c r="DE322" s="1229">
        <f t="shared" si="1428"/>
        <v>24.354838932870589</v>
      </c>
      <c r="DF322" s="631">
        <f t="shared" si="1428"/>
        <v>24.03534287918826</v>
      </c>
      <c r="DG322" s="1229">
        <f t="shared" si="1428"/>
        <v>23.745822556642555</v>
      </c>
      <c r="DH322" s="1229">
        <f t="shared" si="1428"/>
        <v>23.371963470683458</v>
      </c>
      <c r="DI322" s="632">
        <f t="shared" si="1428"/>
        <v>22.952081010413202</v>
      </c>
      <c r="DJ322" s="631">
        <f t="shared" si="1428"/>
        <v>22.646938095366771</v>
      </c>
      <c r="DK322" s="1229">
        <f t="shared" ref="DK322:DM322" si="1429">+DK319/DK105/3*1000</f>
        <v>22.494628768329608</v>
      </c>
      <c r="DL322" s="1229">
        <f t="shared" si="1429"/>
        <v>22.344354432243918</v>
      </c>
      <c r="DM322" s="632">
        <f t="shared" si="1429"/>
        <v>22.196074573766008</v>
      </c>
      <c r="DN322" s="1229">
        <f t="shared" ref="DN322:DO322" si="1430">+DN319/DN105/3*1000</f>
        <v>22.049749747868631</v>
      </c>
      <c r="DO322" s="1229">
        <f t="shared" si="1430"/>
        <v>21.905341542857922</v>
      </c>
      <c r="DP322" s="1229">
        <f t="shared" ref="DP322:DQ322" si="1431">+DP319/DP105/3*1000</f>
        <v>21.762812546756038</v>
      </c>
      <c r="DQ322" s="632">
        <f t="shared" si="1431"/>
        <v>21.622126314987693</v>
      </c>
      <c r="DR322" s="631">
        <f t="shared" ref="DR322" si="1432">+DR319/DR105/3*1000</f>
        <v>21.483247339312022</v>
      </c>
      <c r="DS322" s="1229">
        <f t="shared" ref="DS322:DT322" si="1433">+DS319/DS105/3*1000</f>
        <v>21.346141017944099</v>
      </c>
      <c r="DT322" s="1229">
        <f t="shared" si="1433"/>
        <v>21.21077362681331</v>
      </c>
      <c r="DU322" s="632">
        <f t="shared" ref="DU322" si="1434">+DU319/DU105/3*1000</f>
        <v>21.077112291908424</v>
      </c>
      <c r="DV322" s="1229">
        <f t="shared" ref="DV322" si="1435">+DV319/DV105/3*1000</f>
        <v>20.945124962661748</v>
      </c>
      <c r="DW322" s="1229">
        <f t="shared" ref="DW322:DY322" ca="1" si="1436">+DW319/DW105/3*1000</f>
        <v>23.528070531044591</v>
      </c>
      <c r="DX322" s="1229">
        <f t="shared" ca="1" si="1436"/>
        <v>23.449488057737724</v>
      </c>
      <c r="DY322" s="632">
        <f t="shared" ca="1" si="1436"/>
        <v>23.353006016989404</v>
      </c>
    </row>
    <row r="323" spans="1:129" s="1491" customFormat="1" hidden="1" outlineLevel="1">
      <c r="A323" s="1448" t="s">
        <v>1453</v>
      </c>
      <c r="B323" s="1065"/>
      <c r="C323" s="1065"/>
      <c r="D323" s="1065"/>
      <c r="E323" s="1065"/>
      <c r="F323" s="1065"/>
      <c r="G323" s="1065"/>
      <c r="H323" s="1065"/>
      <c r="I323" s="1065"/>
      <c r="J323" s="1065"/>
      <c r="K323" s="1065"/>
      <c r="L323" s="1065"/>
      <c r="M323" s="1065"/>
      <c r="N323" s="1065"/>
      <c r="O323" s="1065"/>
      <c r="P323" s="1065"/>
      <c r="Q323" s="1065">
        <f t="shared" ref="Q323:AB323" si="1437">Q322/P322-1</f>
        <v>0.17320566117106173</v>
      </c>
      <c r="R323" s="1065">
        <f t="shared" si="1437"/>
        <v>0.18777500691706517</v>
      </c>
      <c r="S323" s="1065">
        <f t="shared" si="1437"/>
        <v>0.14515216015127397</v>
      </c>
      <c r="T323" s="1065">
        <f t="shared" si="1437"/>
        <v>0.1287747089715725</v>
      </c>
      <c r="U323" s="1065">
        <f t="shared" si="1437"/>
        <v>0.11605420322535109</v>
      </c>
      <c r="V323" s="1065">
        <f t="shared" si="1437"/>
        <v>-1.0217845029691808E-2</v>
      </c>
      <c r="W323" s="1065">
        <f>W322/V322-1</f>
        <v>-4.2326505655762792E-2</v>
      </c>
      <c r="X323" s="1065">
        <f>X322/W322-1</f>
        <v>-1.6480935109841388E-2</v>
      </c>
      <c r="Y323" s="1065">
        <f>Y322/X322-1</f>
        <v>-2.5692010795331788E-2</v>
      </c>
      <c r="Z323" s="1065">
        <f ca="1">Z322/Y322-1</f>
        <v>-3.0211448746279679E-2</v>
      </c>
      <c r="AA323" s="1065">
        <f t="shared" ca="1" si="1437"/>
        <v>8.7938329414613881E-2</v>
      </c>
      <c r="AB323" s="1065">
        <f t="shared" ca="1" si="1437"/>
        <v>0.11211924251828109</v>
      </c>
      <c r="AC323" s="1065">
        <f t="shared" ref="AC323" ca="1" si="1438">AC322/AB322-1</f>
        <v>0.10957501419764792</v>
      </c>
      <c r="AD323" s="1065">
        <f t="shared" ref="AD323" ca="1" si="1439">AD322/AC322-1</f>
        <v>0.10797310102316082</v>
      </c>
      <c r="AE323" s="1065">
        <f t="shared" ref="AE323" ca="1" si="1440">AE322/AD322-1</f>
        <v>0.10687775492775553</v>
      </c>
      <c r="AF323" s="1065">
        <f t="shared" ref="AF323" ca="1" si="1441">AF322/AE322-1</f>
        <v>0.10607493764235731</v>
      </c>
      <c r="AG323" s="1065">
        <f t="shared" ref="AG323" ca="1" si="1442">AG322/AF322-1</f>
        <v>0.10545545383557831</v>
      </c>
      <c r="AH323" s="2201"/>
      <c r="AI323" s="1927"/>
      <c r="AJ323" s="1561"/>
      <c r="AK323" s="1065"/>
      <c r="AL323" s="1065"/>
      <c r="AM323" s="1065"/>
      <c r="AN323" s="1065"/>
      <c r="AO323" s="1065"/>
      <c r="AP323" s="563"/>
      <c r="AQ323" s="1065"/>
      <c r="AR323" s="1065"/>
      <c r="AS323" s="1065"/>
      <c r="AT323" s="563"/>
      <c r="AU323" s="1065"/>
      <c r="AV323" s="1065"/>
      <c r="AW323" s="1065"/>
      <c r="AX323" s="563"/>
      <c r="AY323" s="1065"/>
      <c r="AZ323" s="1065"/>
      <c r="BA323" s="1065"/>
      <c r="BB323" s="563"/>
      <c r="BC323" s="1065"/>
      <c r="BD323" s="1065"/>
      <c r="BE323" s="1065"/>
      <c r="BF323" s="563"/>
      <c r="BG323" s="1065"/>
      <c r="BH323" s="1065"/>
      <c r="BI323" s="1065"/>
      <c r="BJ323" s="563"/>
      <c r="BK323" s="1065"/>
      <c r="BL323" s="1065"/>
      <c r="BM323" s="1065"/>
      <c r="BN323" s="563"/>
      <c r="BO323" s="1065"/>
      <c r="BP323" s="1065"/>
      <c r="BQ323" s="1065"/>
      <c r="BR323" s="563"/>
      <c r="BS323" s="1065"/>
      <c r="BT323" s="1065"/>
      <c r="BU323" s="1065"/>
      <c r="BV323" s="563"/>
      <c r="BW323" s="1065"/>
      <c r="BX323" s="1065"/>
      <c r="BY323" s="1065"/>
      <c r="BZ323" s="563"/>
      <c r="CA323" s="1495"/>
      <c r="CB323" s="1495"/>
      <c r="CC323" s="1495"/>
      <c r="CD323" s="1501"/>
      <c r="CE323" s="1495"/>
      <c r="CF323" s="1495"/>
      <c r="CG323" s="1495"/>
      <c r="CH323" s="156" t="s">
        <v>1149</v>
      </c>
      <c r="CI323" s="1095" t="s">
        <v>1149</v>
      </c>
      <c r="CJ323" s="1095" t="s">
        <v>1149</v>
      </c>
      <c r="CK323" s="1095" t="s">
        <v>1149</v>
      </c>
      <c r="CL323" s="165">
        <v>0.246</v>
      </c>
      <c r="CM323" s="1059">
        <v>0.22800000000000001</v>
      </c>
      <c r="CN323" s="1059">
        <v>0.20100000000000001</v>
      </c>
      <c r="CO323" s="1059">
        <v>0.18099999999999999</v>
      </c>
      <c r="CP323" s="563">
        <f t="shared" ref="CP323:DV323" si="1443">+CP322/CL322-1</f>
        <v>0.1876950286910497</v>
      </c>
      <c r="CQ323" s="1065">
        <f t="shared" si="1443"/>
        <v>0.17255403886562037</v>
      </c>
      <c r="CR323" s="1065">
        <f t="shared" si="1443"/>
        <v>0.17994263657313958</v>
      </c>
      <c r="CS323" s="1065">
        <f t="shared" si="1443"/>
        <v>0.17783429243735438</v>
      </c>
      <c r="CT323" s="563">
        <f t="shared" si="1443"/>
        <v>0.15299746534991243</v>
      </c>
      <c r="CU323" s="1065">
        <f t="shared" si="1443"/>
        <v>0.14900421988707468</v>
      </c>
      <c r="CV323" s="1065">
        <f t="shared" si="1443"/>
        <v>0.13198559615255268</v>
      </c>
      <c r="CW323" s="1065">
        <f t="shared" si="1443"/>
        <v>0.12589449170778111</v>
      </c>
      <c r="CX323" s="563">
        <f t="shared" si="1443"/>
        <v>0.15331057268616588</v>
      </c>
      <c r="CY323" s="1065">
        <f t="shared" si="1443"/>
        <v>0.13684876115736788</v>
      </c>
      <c r="CZ323" s="1065">
        <f t="shared" si="1443"/>
        <v>0.14403888546165522</v>
      </c>
      <c r="DA323" s="1065">
        <f t="shared" si="1443"/>
        <v>0.13406909676931966</v>
      </c>
      <c r="DB323" s="563">
        <f t="shared" si="1443"/>
        <v>0.12155547575400627</v>
      </c>
      <c r="DC323" s="1065">
        <f t="shared" si="1443"/>
        <v>0.11514003454825583</v>
      </c>
      <c r="DD323" s="1065">
        <f t="shared" si="1443"/>
        <v>0.11088077726227796</v>
      </c>
      <c r="DE323" s="1065">
        <f t="shared" si="1443"/>
        <v>0.10437991334659014</v>
      </c>
      <c r="DF323" s="563">
        <f t="shared" si="1443"/>
        <v>5.335042290465819E-2</v>
      </c>
      <c r="DG323" s="1065">
        <f t="shared" si="1443"/>
        <v>1.6741101067071273E-2</v>
      </c>
      <c r="DH323" s="1065">
        <f t="shared" si="1443"/>
        <v>-3.317932481769903E-2</v>
      </c>
      <c r="DI323" s="564">
        <f t="shared" si="1443"/>
        <v>-5.759668238101745E-2</v>
      </c>
      <c r="DJ323" s="563">
        <f t="shared" si="1443"/>
        <v>-5.7765133237341115E-2</v>
      </c>
      <c r="DK323" s="1065">
        <f t="shared" si="1443"/>
        <v>-5.2691111681997471E-2</v>
      </c>
      <c r="DL323" s="1065">
        <f t="shared" si="1443"/>
        <v>-4.3967595607810939E-2</v>
      </c>
      <c r="DM323" s="564">
        <f t="shared" si="1443"/>
        <v>-3.293847021122831E-2</v>
      </c>
      <c r="DN323" s="1065">
        <f t="shared" si="1443"/>
        <v>-2.6369496175746354E-2</v>
      </c>
      <c r="DO323" s="1065">
        <f t="shared" si="1443"/>
        <v>-2.6196797090572543E-2</v>
      </c>
      <c r="DP323" s="1065">
        <f t="shared" si="1443"/>
        <v>-2.6026345368416082E-2</v>
      </c>
      <c r="DQ323" s="564">
        <f t="shared" si="1443"/>
        <v>-2.5858097424878768E-2</v>
      </c>
      <c r="DR323" s="563">
        <f t="shared" si="1443"/>
        <v>-2.5692010795331899E-2</v>
      </c>
      <c r="DS323" s="1065">
        <f t="shared" si="1443"/>
        <v>-2.5528044099186742E-2</v>
      </c>
      <c r="DT323" s="1065">
        <f t="shared" si="1443"/>
        <v>-2.5366157005520584E-2</v>
      </c>
      <c r="DU323" s="564">
        <f t="shared" si="1443"/>
        <v>-2.5206310200004856E-2</v>
      </c>
      <c r="DV323" s="1065">
        <f t="shared" si="1443"/>
        <v>-2.5048465353073923E-2</v>
      </c>
      <c r="DW323" s="1065">
        <f t="shared" ref="DW323" ca="1" si="1444">+DW322/DS322-1</f>
        <v>0.10221657915902971</v>
      </c>
      <c r="DX323" s="1065">
        <f t="shared" ref="DX323" ca="1" si="1445">+DX322/DT322-1</f>
        <v>0.10554609984118524</v>
      </c>
      <c r="DY323" s="564">
        <f t="shared" ref="DY323" ca="1" si="1446">+DY322/DU322-1</f>
        <v>0.10797938985003674</v>
      </c>
    </row>
    <row r="324" spans="1:129" s="1491" customFormat="1" hidden="1" outlineLevel="1">
      <c r="A324" s="1449"/>
      <c r="B324" s="1064"/>
      <c r="C324" s="1064"/>
      <c r="D324" s="1064"/>
      <c r="E324" s="1064"/>
      <c r="F324" s="1064"/>
      <c r="G324" s="1064"/>
      <c r="H324" s="1064"/>
      <c r="I324" s="1064"/>
      <c r="J324" s="1064"/>
      <c r="K324" s="1064"/>
      <c r="L324" s="1064"/>
      <c r="M324" s="1064"/>
      <c r="N324" s="1064"/>
      <c r="O324" s="1064"/>
      <c r="P324" s="1064"/>
      <c r="Q324" s="1064"/>
      <c r="R324" s="1064"/>
      <c r="S324" s="1064"/>
      <c r="T324" s="1064"/>
      <c r="U324" s="1064"/>
      <c r="V324" s="1064"/>
      <c r="W324" s="1064"/>
      <c r="X324" s="1064"/>
      <c r="Y324" s="1064"/>
      <c r="Z324" s="1064"/>
      <c r="AA324" s="1103"/>
      <c r="AB324" s="1103"/>
      <c r="AC324" s="1103"/>
      <c r="AD324" s="1103"/>
      <c r="AE324" s="1103"/>
      <c r="AF324" s="1103"/>
      <c r="AG324" s="1103"/>
      <c r="AH324" s="2201"/>
      <c r="AI324" s="1927"/>
      <c r="AJ324" s="1561"/>
      <c r="AK324" s="1064"/>
      <c r="AL324" s="1064"/>
      <c r="AM324" s="1064"/>
      <c r="AN324" s="1064"/>
      <c r="AO324" s="1064"/>
      <c r="AP324" s="569"/>
      <c r="AQ324" s="1064"/>
      <c r="AR324" s="1064"/>
      <c r="AS324" s="1064"/>
      <c r="AT324" s="569"/>
      <c r="AU324" s="1064"/>
      <c r="AV324" s="1064"/>
      <c r="AW324" s="1064"/>
      <c r="AX324" s="569"/>
      <c r="AY324" s="1064"/>
      <c r="AZ324" s="1064"/>
      <c r="BA324" s="1064"/>
      <c r="BB324" s="569"/>
      <c r="BC324" s="1064"/>
      <c r="BD324" s="1064"/>
      <c r="BE324" s="1064"/>
      <c r="BF324" s="569"/>
      <c r="BG324" s="1064"/>
      <c r="BH324" s="1064"/>
      <c r="BI324" s="1064"/>
      <c r="BJ324" s="569"/>
      <c r="BK324" s="1064"/>
      <c r="BL324" s="1064"/>
      <c r="BM324" s="1064"/>
      <c r="BN324" s="569"/>
      <c r="BO324" s="1064"/>
      <c r="BP324" s="1064"/>
      <c r="BQ324" s="1064"/>
      <c r="BR324" s="569"/>
      <c r="BS324" s="1064"/>
      <c r="BT324" s="1064"/>
      <c r="BU324" s="1064"/>
      <c r="BV324" s="569"/>
      <c r="BW324" s="1064"/>
      <c r="BX324" s="1064"/>
      <c r="BY324" s="1064"/>
      <c r="BZ324" s="569"/>
      <c r="CA324" s="1502"/>
      <c r="CB324" s="1502"/>
      <c r="CC324" s="1502"/>
      <c r="CD324" s="1467"/>
      <c r="CE324" s="1502"/>
      <c r="CF324" s="1502"/>
      <c r="CG324" s="1502"/>
      <c r="CH324" s="164"/>
      <c r="CI324" s="1103"/>
      <c r="CJ324" s="1103"/>
      <c r="CK324" s="1103"/>
      <c r="CL324" s="496"/>
      <c r="CM324" s="1043"/>
      <c r="CN324" s="1043"/>
      <c r="CO324" s="1043"/>
      <c r="CP324" s="569"/>
      <c r="CQ324" s="1064"/>
      <c r="CR324" s="1064"/>
      <c r="CS324" s="1064"/>
      <c r="CT324" s="164"/>
      <c r="CU324" s="1064"/>
      <c r="CV324" s="1064"/>
      <c r="CW324" s="1064"/>
      <c r="CX324" s="569"/>
      <c r="CY324" s="1064"/>
      <c r="CZ324" s="1064"/>
      <c r="DA324" s="1064"/>
      <c r="DB324" s="569"/>
      <c r="DC324" s="1064"/>
      <c r="DD324" s="1064"/>
      <c r="DE324" s="1064"/>
      <c r="DF324" s="569"/>
      <c r="DG324" s="1064"/>
      <c r="DH324" s="1064"/>
      <c r="DI324" s="568"/>
      <c r="DJ324" s="569"/>
      <c r="DK324" s="1064"/>
      <c r="DL324" s="1064"/>
      <c r="DM324" s="568"/>
      <c r="DN324" s="1064"/>
      <c r="DO324" s="1064"/>
      <c r="DP324" s="1064"/>
      <c r="DQ324" s="568"/>
      <c r="DR324" s="569"/>
      <c r="DS324" s="1064"/>
      <c r="DT324" s="1064"/>
      <c r="DU324" s="568"/>
      <c r="DV324" s="1064"/>
      <c r="DW324" s="1103"/>
      <c r="DX324" s="1103"/>
      <c r="DY324" s="524"/>
    </row>
    <row r="325" spans="1:129" s="1491" customFormat="1" hidden="1" outlineLevel="1">
      <c r="A325" s="711" t="s">
        <v>806</v>
      </c>
      <c r="B325" s="1064"/>
      <c r="C325" s="1064"/>
      <c r="D325" s="1064"/>
      <c r="E325" s="1064"/>
      <c r="F325" s="1064"/>
      <c r="G325" s="1064"/>
      <c r="H325" s="1064"/>
      <c r="I325" s="1064"/>
      <c r="J325" s="1064"/>
      <c r="K325" s="1064"/>
      <c r="L325" s="1064"/>
      <c r="M325" s="1064"/>
      <c r="N325" s="1064"/>
      <c r="O325" s="1064"/>
      <c r="P325" s="1064"/>
      <c r="Q325" s="1113">
        <f>SUM(CL325:CO325)</f>
        <v>14819.093580000001</v>
      </c>
      <c r="R325" s="1113">
        <f>SUM(CP325:CS325)</f>
        <v>18391.179900000003</v>
      </c>
      <c r="S325" s="1113">
        <f>SUM(CT325:CW325)</f>
        <v>22182.365460000001</v>
      </c>
      <c r="T325" s="1113">
        <f>SUM(CX325:DA325)</f>
        <v>26765.218695000003</v>
      </c>
      <c r="U325" s="1113">
        <f>SUM(DB325:DE325)</f>
        <v>31845.625124999999</v>
      </c>
      <c r="V325" s="1113">
        <f>SUM(DF325:DI325)</f>
        <v>34694.989874999999</v>
      </c>
      <c r="W325" s="1113">
        <f>SUM(DJ325:DM325)</f>
        <v>36477.192374999999</v>
      </c>
      <c r="X325" s="1113">
        <f>SUM(DK325:DN325)</f>
        <v>36871.321499999998</v>
      </c>
      <c r="Y325" s="1113">
        <f>SUM(DL325:DO325)</f>
        <v>37247.900624999995</v>
      </c>
      <c r="Z325" s="1113">
        <f>SUM(DM325:DP325)</f>
        <v>37565.818874999997</v>
      </c>
      <c r="AA325" s="1113">
        <f ca="1">+AA330*(AVERAGE(Z254:AA254))*12/1000</f>
        <v>41322.400762500001</v>
      </c>
      <c r="AB325" s="1113">
        <f ca="1">+AB330*(AVERAGE(AA254:AB254))*12/1000</f>
        <v>46197.001075291562</v>
      </c>
      <c r="AC325" s="1113">
        <f t="shared" ref="AC325:AG325" ca="1" si="1447">+AC330*(AVERAGE(AB254:AC254))*12/1000</f>
        <v>51536.224933866375</v>
      </c>
      <c r="AD325" s="1113">
        <f t="shared" ca="1" si="1447"/>
        <v>57392.259760473818</v>
      </c>
      <c r="AE325" s="1113">
        <f t="shared" ca="1" si="1447"/>
        <v>63822.872624040901</v>
      </c>
      <c r="AF325" s="1113">
        <f t="shared" ca="1" si="1447"/>
        <v>70892.09210986174</v>
      </c>
      <c r="AG325" s="1113">
        <f t="shared" ca="1" si="1447"/>
        <v>78670.972421642786</v>
      </c>
      <c r="AH325" s="2201"/>
      <c r="AI325" s="1927"/>
      <c r="AJ325" s="1561"/>
      <c r="AK325" s="1064"/>
      <c r="AL325" s="1064"/>
      <c r="AM325" s="1064"/>
      <c r="AN325" s="1064"/>
      <c r="AO325" s="1064"/>
      <c r="AP325" s="569"/>
      <c r="AQ325" s="1064"/>
      <c r="AR325" s="1064"/>
      <c r="AS325" s="1064"/>
      <c r="AT325" s="569"/>
      <c r="AU325" s="1064"/>
      <c r="AV325" s="1064"/>
      <c r="AW325" s="1064"/>
      <c r="AX325" s="569"/>
      <c r="AY325" s="1064"/>
      <c r="AZ325" s="1064"/>
      <c r="BA325" s="1064"/>
      <c r="BB325" s="569"/>
      <c r="BC325" s="1064"/>
      <c r="BD325" s="1064"/>
      <c r="BE325" s="1064"/>
      <c r="BF325" s="569"/>
      <c r="BG325" s="1064"/>
      <c r="BH325" s="1064"/>
      <c r="BI325" s="1064"/>
      <c r="BJ325" s="569"/>
      <c r="BK325" s="1064"/>
      <c r="BL325" s="1064"/>
      <c r="BM325" s="1064"/>
      <c r="BN325" s="569"/>
      <c r="BO325" s="1064"/>
      <c r="BP325" s="1064"/>
      <c r="BQ325" s="1064"/>
      <c r="BR325" s="569"/>
      <c r="BS325" s="1064"/>
      <c r="BT325" s="1064"/>
      <c r="BU325" s="1064"/>
      <c r="BV325" s="569"/>
      <c r="BW325" s="1064"/>
      <c r="BX325" s="1064"/>
      <c r="BY325" s="1064"/>
      <c r="BZ325" s="569"/>
      <c r="CA325" s="1502"/>
      <c r="CB325" s="1502"/>
      <c r="CC325" s="1502"/>
      <c r="CD325" s="1467"/>
      <c r="CE325" s="1502"/>
      <c r="CF325" s="1502"/>
      <c r="CG325" s="1502"/>
      <c r="CH325" s="164"/>
      <c r="CI325" s="1103"/>
      <c r="CJ325" s="1103"/>
      <c r="CK325" s="1103"/>
      <c r="CL325" s="150">
        <f t="shared" ref="CL325:DV325" si="1448">+CL330*AVERAGE(CK254:CL254)*0.003</f>
        <v>3380.7206100000003</v>
      </c>
      <c r="CM325" s="1113">
        <f t="shared" si="1448"/>
        <v>3607.1468400000003</v>
      </c>
      <c r="CN325" s="1113">
        <f t="shared" si="1448"/>
        <v>3828.9808199999998</v>
      </c>
      <c r="CO325" s="1113">
        <f t="shared" si="1448"/>
        <v>4002.2453100000002</v>
      </c>
      <c r="CP325" s="150">
        <f t="shared" si="1448"/>
        <v>4234.5126449999998</v>
      </c>
      <c r="CQ325" s="1113">
        <f t="shared" si="1448"/>
        <v>4496.7723750000005</v>
      </c>
      <c r="CR325" s="1113">
        <f t="shared" si="1448"/>
        <v>4720.7614500000009</v>
      </c>
      <c r="CS325" s="1113">
        <f t="shared" si="1448"/>
        <v>4939.1334299999999</v>
      </c>
      <c r="CT325" s="150">
        <f t="shared" si="1448"/>
        <v>5142.5543400000006</v>
      </c>
      <c r="CU325" s="1113">
        <f t="shared" si="1448"/>
        <v>5399.6466900000005</v>
      </c>
      <c r="CV325" s="1113">
        <f t="shared" si="1448"/>
        <v>5714.9284499999994</v>
      </c>
      <c r="CW325" s="1113">
        <f t="shared" si="1448"/>
        <v>5925.2359800000004</v>
      </c>
      <c r="CX325" s="150">
        <f t="shared" si="1448"/>
        <v>6259.8164999999999</v>
      </c>
      <c r="CY325" s="1113">
        <f t="shared" si="1448"/>
        <v>6505.3927950000007</v>
      </c>
      <c r="CZ325" s="1113">
        <f t="shared" si="1448"/>
        <v>6867.5334000000012</v>
      </c>
      <c r="DA325" s="1113">
        <f t="shared" si="1448"/>
        <v>7132.4760000000006</v>
      </c>
      <c r="DB325" s="150">
        <f t="shared" si="1448"/>
        <v>7521.4980000000005</v>
      </c>
      <c r="DC325" s="1113">
        <f t="shared" si="1448"/>
        <v>7732.6012499999997</v>
      </c>
      <c r="DD325" s="1113">
        <f t="shared" si="1448"/>
        <v>8170.29</v>
      </c>
      <c r="DE325" s="1113">
        <f t="shared" si="1448"/>
        <v>8421.2358750000003</v>
      </c>
      <c r="DF325" s="150">
        <f t="shared" si="1448"/>
        <v>8512.8468749999993</v>
      </c>
      <c r="DG325" s="1113">
        <f t="shared" si="1448"/>
        <v>8593.62075</v>
      </c>
      <c r="DH325" s="1113">
        <f t="shared" si="1448"/>
        <v>8717.7870000000003</v>
      </c>
      <c r="DI325" s="155">
        <f t="shared" si="1448"/>
        <v>8870.7352499999997</v>
      </c>
      <c r="DJ325" s="150">
        <f t="shared" si="1448"/>
        <v>8981.9145000000008</v>
      </c>
      <c r="DK325" s="1113">
        <f t="shared" si="1448"/>
        <v>9054.3960000000006</v>
      </c>
      <c r="DL325" s="1113">
        <f t="shared" si="1448"/>
        <v>9159.0817499999994</v>
      </c>
      <c r="DM325" s="155">
        <f t="shared" si="1448"/>
        <v>9281.8001249999998</v>
      </c>
      <c r="DN325" s="1113">
        <f t="shared" si="1448"/>
        <v>9376.0436250000002</v>
      </c>
      <c r="DO325" s="1113">
        <f t="shared" si="1448"/>
        <v>9430.9751250000008</v>
      </c>
      <c r="DP325" s="1113">
        <f t="shared" si="1448"/>
        <v>9477</v>
      </c>
      <c r="DQ325" s="155">
        <f t="shared" si="1448"/>
        <v>9521.5769999999993</v>
      </c>
      <c r="DR325" s="150">
        <f t="shared" si="1448"/>
        <v>9533.1161250000005</v>
      </c>
      <c r="DS325" s="1113">
        <f t="shared" si="1448"/>
        <v>9545.9276250000003</v>
      </c>
      <c r="DT325" s="1113">
        <f t="shared" si="1448"/>
        <v>9598.7092499999999</v>
      </c>
      <c r="DU325" s="155">
        <f t="shared" si="1448"/>
        <v>9676.192500000001</v>
      </c>
      <c r="DV325" s="1113">
        <f t="shared" si="1448"/>
        <v>9738.8459999999995</v>
      </c>
      <c r="DW325" s="1113">
        <f t="shared" ref="DW325" ca="1" si="1449">+DW330*AVERAGE(DV254:DW254)*0.003</f>
        <v>10747.870577077681</v>
      </c>
      <c r="DX325" s="1113">
        <f t="shared" ref="DX325" ca="1" si="1450">+DX330*AVERAGE(DW254:DX254)*0.003</f>
        <v>10793.85719071365</v>
      </c>
      <c r="DY325" s="155">
        <f t="shared" ref="DY325" ca="1" si="1451">+DY330*AVERAGE(DX254:DY254)*0.003</f>
        <v>10868.38054680733</v>
      </c>
    </row>
    <row r="326" spans="1:129" s="1491" customFormat="1" hidden="1" outlineLevel="1">
      <c r="A326" s="1448" t="s">
        <v>1453</v>
      </c>
      <c r="B326" s="1065"/>
      <c r="C326" s="1065"/>
      <c r="D326" s="1065"/>
      <c r="E326" s="1065"/>
      <c r="F326" s="1065"/>
      <c r="G326" s="1065"/>
      <c r="H326" s="1065"/>
      <c r="I326" s="1065"/>
      <c r="J326" s="1065"/>
      <c r="K326" s="1065"/>
      <c r="L326" s="1065"/>
      <c r="M326" s="1065"/>
      <c r="N326" s="1065"/>
      <c r="O326" s="1065"/>
      <c r="P326" s="1065"/>
      <c r="Q326" s="1065"/>
      <c r="R326" s="1065">
        <f t="shared" ref="R326:AB326" si="1452">+R325/Q325-1</f>
        <v>0.24104620844158275</v>
      </c>
      <c r="S326" s="1065">
        <f t="shared" si="1452"/>
        <v>0.20614150808236054</v>
      </c>
      <c r="T326" s="1065">
        <f t="shared" si="1452"/>
        <v>0.2065989419957921</v>
      </c>
      <c r="U326" s="1065">
        <f t="shared" si="1452"/>
        <v>0.18981374626126502</v>
      </c>
      <c r="V326" s="1065">
        <f t="shared" si="1452"/>
        <v>8.9474291643379944E-2</v>
      </c>
      <c r="W326" s="1065">
        <f>+W325/V325-1</f>
        <v>5.1367719270735135E-2</v>
      </c>
      <c r="X326" s="1065">
        <f>+X325/W325-1</f>
        <v>1.0804809782183789E-2</v>
      </c>
      <c r="Y326" s="1065">
        <f>+Y325/X325-1</f>
        <v>1.0213334094900661E-2</v>
      </c>
      <c r="Z326" s="1065">
        <f>+Z325/Y325-1</f>
        <v>8.5351991566102736E-3</v>
      </c>
      <c r="AA326" s="1065">
        <f t="shared" ca="1" si="1452"/>
        <v>0.10000000000000009</v>
      </c>
      <c r="AB326" s="1065">
        <f t="shared" ca="1" si="1452"/>
        <v>0.1179650800254386</v>
      </c>
      <c r="AC326" s="1065">
        <f t="shared" ref="AC326" ca="1" si="1453">+AC325/AB325-1</f>
        <v>0.11557511817429411</v>
      </c>
      <c r="AD326" s="1065">
        <f t="shared" ref="AD326" ca="1" si="1454">+AD325/AC325-1</f>
        <v>0.11362948749393609</v>
      </c>
      <c r="AE326" s="1065">
        <f t="shared" ref="AE326" ca="1" si="1455">+AE325/AD325-1</f>
        <v>0.11204669219168584</v>
      </c>
      <c r="AF326" s="1065">
        <f t="shared" ref="AF326" ca="1" si="1456">+AF325/AE325-1</f>
        <v>0.1107631041219852</v>
      </c>
      <c r="AG326" s="1065">
        <f t="shared" ref="AG326" ca="1" si="1457">+AG325/AF325-1</f>
        <v>0.10972846308056594</v>
      </c>
      <c r="AH326" s="2201"/>
      <c r="AI326" s="1927"/>
      <c r="AJ326" s="1561"/>
      <c r="AK326" s="1065"/>
      <c r="AL326" s="1065"/>
      <c r="AM326" s="1065"/>
      <c r="AN326" s="1065"/>
      <c r="AO326" s="1065"/>
      <c r="AP326" s="563"/>
      <c r="AQ326" s="1065"/>
      <c r="AR326" s="1065"/>
      <c r="AS326" s="1065"/>
      <c r="AT326" s="563"/>
      <c r="AU326" s="1065"/>
      <c r="AV326" s="1065"/>
      <c r="AW326" s="1065"/>
      <c r="AX326" s="563"/>
      <c r="AY326" s="1065"/>
      <c r="AZ326" s="1065"/>
      <c r="BA326" s="1065"/>
      <c r="BB326" s="563"/>
      <c r="BC326" s="1065"/>
      <c r="BD326" s="1065"/>
      <c r="BE326" s="1065"/>
      <c r="BF326" s="563"/>
      <c r="BG326" s="1065"/>
      <c r="BH326" s="1065"/>
      <c r="BI326" s="1065"/>
      <c r="BJ326" s="563"/>
      <c r="BK326" s="1065"/>
      <c r="BL326" s="1065"/>
      <c r="BM326" s="1065"/>
      <c r="BN326" s="563"/>
      <c r="BO326" s="1065"/>
      <c r="BP326" s="1065"/>
      <c r="BQ326" s="1065"/>
      <c r="BR326" s="563"/>
      <c r="BS326" s="1065"/>
      <c r="BT326" s="1065"/>
      <c r="BU326" s="1065"/>
      <c r="BV326" s="563"/>
      <c r="BW326" s="1065"/>
      <c r="BX326" s="1065"/>
      <c r="BY326" s="1065"/>
      <c r="BZ326" s="563"/>
      <c r="CA326" s="1495"/>
      <c r="CB326" s="1495"/>
      <c r="CC326" s="1495"/>
      <c r="CD326" s="1501"/>
      <c r="CE326" s="1495"/>
      <c r="CF326" s="1495"/>
      <c r="CG326" s="1495"/>
      <c r="CH326" s="156"/>
      <c r="CI326" s="1095"/>
      <c r="CJ326" s="1095"/>
      <c r="CK326" s="1095"/>
      <c r="CL326" s="165"/>
      <c r="CM326" s="1059"/>
      <c r="CN326" s="1059"/>
      <c r="CO326" s="1059"/>
      <c r="CP326" s="563">
        <f t="shared" ref="CP326:DV326" si="1458">+CP325/CL325-1</f>
        <v>0.25254735114002802</v>
      </c>
      <c r="CQ326" s="1065">
        <f t="shared" si="1458"/>
        <v>0.24662858887108685</v>
      </c>
      <c r="CR326" s="1065">
        <f t="shared" si="1458"/>
        <v>0.23290287204938287</v>
      </c>
      <c r="CS326" s="1065">
        <f t="shared" si="1458"/>
        <v>0.23409062849273465</v>
      </c>
      <c r="CT326" s="563">
        <f t="shared" si="1458"/>
        <v>0.21443830049065804</v>
      </c>
      <c r="CU326" s="1065">
        <f t="shared" si="1458"/>
        <v>0.20078274809273622</v>
      </c>
      <c r="CV326" s="1065">
        <f t="shared" si="1458"/>
        <v>0.21059462769507209</v>
      </c>
      <c r="CW326" s="1065">
        <f t="shared" si="1458"/>
        <v>0.19965092338070334</v>
      </c>
      <c r="CX326" s="563">
        <f t="shared" si="1458"/>
        <v>0.21725821180141369</v>
      </c>
      <c r="CY326" s="1065">
        <f t="shared" si="1458"/>
        <v>0.20478119560078101</v>
      </c>
      <c r="CZ326" s="1065">
        <f t="shared" si="1458"/>
        <v>0.20168318117788542</v>
      </c>
      <c r="DA326" s="1065">
        <f t="shared" si="1458"/>
        <v>0.20374547512958285</v>
      </c>
      <c r="DB326" s="563">
        <f t="shared" si="1458"/>
        <v>0.20155247362282913</v>
      </c>
      <c r="DC326" s="1065">
        <f t="shared" si="1458"/>
        <v>0.18864478958798969</v>
      </c>
      <c r="DD326" s="1065">
        <f t="shared" si="1458"/>
        <v>0.18969789065751019</v>
      </c>
      <c r="DE326" s="1065">
        <f t="shared" si="1458"/>
        <v>0.1806889886485421</v>
      </c>
      <c r="DF326" s="563">
        <f t="shared" si="1458"/>
        <v>0.1318020525964374</v>
      </c>
      <c r="DG326" s="1065">
        <f t="shared" si="1458"/>
        <v>0.11134926943245649</v>
      </c>
      <c r="DH326" s="1065">
        <f t="shared" si="1458"/>
        <v>6.7010718101805589E-2</v>
      </c>
      <c r="DI326" s="564">
        <f t="shared" si="1458"/>
        <v>5.3376889291798735E-2</v>
      </c>
      <c r="DJ326" s="563">
        <f t="shared" si="1458"/>
        <v>5.5101146759438446E-2</v>
      </c>
      <c r="DK326" s="1065">
        <f t="shared" si="1458"/>
        <v>5.361829005544605E-2</v>
      </c>
      <c r="DL326" s="1065">
        <f t="shared" si="1458"/>
        <v>5.0620042678262145E-2</v>
      </c>
      <c r="DM326" s="564">
        <f t="shared" si="1458"/>
        <v>4.6339436745110874E-2</v>
      </c>
      <c r="DN326" s="1065">
        <f t="shared" si="1458"/>
        <v>4.388030246780894E-2</v>
      </c>
      <c r="DO326" s="1065">
        <f t="shared" si="1458"/>
        <v>4.159075050395411E-2</v>
      </c>
      <c r="DP326" s="1065">
        <f t="shared" si="1458"/>
        <v>3.4710712130066934E-2</v>
      </c>
      <c r="DQ326" s="564">
        <f t="shared" si="1458"/>
        <v>2.5833014261336551E-2</v>
      </c>
      <c r="DR326" s="563">
        <f t="shared" si="1458"/>
        <v>1.6752535107791733E-2</v>
      </c>
      <c r="DS326" s="1065">
        <f t="shared" si="1458"/>
        <v>1.2188824429753664E-2</v>
      </c>
      <c r="DT326" s="1065">
        <f t="shared" si="1458"/>
        <v>1.2842592592592572E-2</v>
      </c>
      <c r="DU326" s="564">
        <f t="shared" si="1458"/>
        <v>1.6238434032513904E-2</v>
      </c>
      <c r="DV326" s="1065">
        <f t="shared" si="1458"/>
        <v>2.1580548511360931E-2</v>
      </c>
      <c r="DW326" s="1065">
        <f t="shared" ref="DW326" ca="1" si="1459">+DW325/DS325-1</f>
        <v>0.12591159280632835</v>
      </c>
      <c r="DX326" s="1065">
        <f t="shared" ref="DX326" ca="1" si="1460">+DX325/DT325-1</f>
        <v>0.12451131809348737</v>
      </c>
      <c r="DY326" s="564">
        <f t="shared" ref="DY326" ca="1" si="1461">+DY325/DU325-1</f>
        <v>0.12320838457971228</v>
      </c>
    </row>
    <row r="327" spans="1:129" s="1491" customFormat="1" hidden="1" outlineLevel="1">
      <c r="A327" s="1448" t="s">
        <v>807</v>
      </c>
      <c r="B327" s="1065"/>
      <c r="C327" s="1065"/>
      <c r="D327" s="1065"/>
      <c r="E327" s="1065"/>
      <c r="F327" s="1065"/>
      <c r="G327" s="1065"/>
      <c r="H327" s="1065"/>
      <c r="I327" s="1065"/>
      <c r="J327" s="1065"/>
      <c r="K327" s="1065"/>
      <c r="L327" s="1065"/>
      <c r="M327" s="1065"/>
      <c r="N327" s="1065"/>
      <c r="O327" s="1065"/>
      <c r="P327" s="1065"/>
      <c r="Q327" s="1065">
        <f t="shared" ref="Q327:AA327" si="1462">+Q325/Q246</f>
        <v>0.30126908077155362</v>
      </c>
      <c r="R327" s="1065">
        <f t="shared" si="1462"/>
        <v>0.35328519247571616</v>
      </c>
      <c r="S327" s="1065">
        <f t="shared" si="1462"/>
        <v>0.3993317218666389</v>
      </c>
      <c r="T327" s="1065">
        <f t="shared" si="1462"/>
        <v>0.44614159624263688</v>
      </c>
      <c r="U327" s="1065">
        <f t="shared" si="1462"/>
        <v>0.49277890272722058</v>
      </c>
      <c r="V327" s="1065">
        <f t="shared" si="1462"/>
        <v>0.51295461207611515</v>
      </c>
      <c r="W327" s="1065">
        <f t="shared" si="1462"/>
        <v>0.55931122455081561</v>
      </c>
      <c r="X327" s="1065">
        <f>+X325/X246</f>
        <v>0.59779535599817835</v>
      </c>
      <c r="Y327" s="1065">
        <f>+Y325/Y246</f>
        <v>0.6458031409958529</v>
      </c>
      <c r="Z327" s="1065">
        <f ca="1">+Z325/Z246</f>
        <v>0.66431146461359747</v>
      </c>
      <c r="AA327" s="1065">
        <f t="shared" ca="1" si="1462"/>
        <v>0.71568270737663131</v>
      </c>
      <c r="AB327" s="1065">
        <f t="shared" ref="AB327:AG327" ca="1" si="1463">+AB325/AB246</f>
        <v>0.78411452003415805</v>
      </c>
      <c r="AC327" s="1065">
        <f t="shared" ca="1" si="1463"/>
        <v>0.85738168194589837</v>
      </c>
      <c r="AD327" s="1065">
        <f t="shared" ca="1" si="1463"/>
        <v>0.93563477196477007</v>
      </c>
      <c r="AE327" s="1065">
        <f t="shared" ca="1" si="1463"/>
        <v>1.0190081674863833</v>
      </c>
      <c r="AF327" s="1065">
        <f t="shared" ca="1" si="1463"/>
        <v>1.1076175733547644</v>
      </c>
      <c r="AG327" s="1065">
        <f t="shared" ca="1" si="1463"/>
        <v>1.2015575253355437</v>
      </c>
      <c r="AH327" s="2201"/>
      <c r="AI327" s="1927"/>
      <c r="AJ327" s="1561"/>
      <c r="AK327" s="1065"/>
      <c r="AL327" s="1065"/>
      <c r="AM327" s="1065"/>
      <c r="AN327" s="1065"/>
      <c r="AO327" s="1065"/>
      <c r="AP327" s="563"/>
      <c r="AQ327" s="1065"/>
      <c r="AR327" s="1065"/>
      <c r="AS327" s="1065"/>
      <c r="AT327" s="563"/>
      <c r="AU327" s="1065"/>
      <c r="AV327" s="1065"/>
      <c r="AW327" s="1065"/>
      <c r="AX327" s="563"/>
      <c r="AY327" s="1065"/>
      <c r="AZ327" s="1065"/>
      <c r="BA327" s="1065"/>
      <c r="BB327" s="563"/>
      <c r="BC327" s="1065"/>
      <c r="BD327" s="1065"/>
      <c r="BE327" s="1065"/>
      <c r="BF327" s="563"/>
      <c r="BG327" s="1065"/>
      <c r="BH327" s="1065"/>
      <c r="BI327" s="1065"/>
      <c r="BJ327" s="563"/>
      <c r="BK327" s="1065"/>
      <c r="BL327" s="1065"/>
      <c r="BM327" s="1065"/>
      <c r="BN327" s="563"/>
      <c r="BO327" s="1065"/>
      <c r="BP327" s="1065"/>
      <c r="BQ327" s="1065"/>
      <c r="BR327" s="563"/>
      <c r="BS327" s="1065"/>
      <c r="BT327" s="1065"/>
      <c r="BU327" s="1065"/>
      <c r="BV327" s="563"/>
      <c r="BW327" s="1065"/>
      <c r="BX327" s="1065"/>
      <c r="BY327" s="1065"/>
      <c r="BZ327" s="563"/>
      <c r="CA327" s="1495"/>
      <c r="CB327" s="1495"/>
      <c r="CC327" s="1495"/>
      <c r="CD327" s="1501"/>
      <c r="CE327" s="1495"/>
      <c r="CF327" s="1495"/>
      <c r="CG327" s="1495"/>
      <c r="CH327" s="156"/>
      <c r="CI327" s="1095"/>
      <c r="CJ327" s="1095"/>
      <c r="CK327" s="1095"/>
      <c r="CL327" s="563">
        <f t="shared" ref="CL327:DJ327" si="1464">+CL325/CL246</f>
        <v>0.28154407528327252</v>
      </c>
      <c r="CM327" s="1065">
        <f t="shared" si="1464"/>
        <v>0.29488158899923611</v>
      </c>
      <c r="CN327" s="1065">
        <f t="shared" si="1464"/>
        <v>0.3078386605783866</v>
      </c>
      <c r="CO327" s="1065">
        <f t="shared" si="1464"/>
        <v>0.31991566034119223</v>
      </c>
      <c r="CP327" s="563">
        <f t="shared" si="1464"/>
        <v>0.33403361344537813</v>
      </c>
      <c r="CQ327" s="1065">
        <f t="shared" si="1464"/>
        <v>0.34732680722891573</v>
      </c>
      <c r="CR327" s="1065">
        <f t="shared" si="1464"/>
        <v>0.35832867002424929</v>
      </c>
      <c r="CS327" s="1065">
        <f t="shared" si="1464"/>
        <v>0.37249766136576234</v>
      </c>
      <c r="CT327" s="563">
        <f t="shared" si="1464"/>
        <v>0.38322122571001493</v>
      </c>
      <c r="CU327" s="1065">
        <f t="shared" si="1464"/>
        <v>0.39283074648928312</v>
      </c>
      <c r="CV327" s="1065">
        <f t="shared" si="1464"/>
        <v>0.40480961923847691</v>
      </c>
      <c r="CW327" s="1065">
        <f t="shared" si="1464"/>
        <v>0.4153284671532847</v>
      </c>
      <c r="CX327" s="563">
        <f t="shared" si="1464"/>
        <v>0.42937037705213782</v>
      </c>
      <c r="CY327" s="1065">
        <f t="shared" si="1464"/>
        <v>0.43702120078389456</v>
      </c>
      <c r="CZ327" s="1065">
        <f t="shared" si="1464"/>
        <v>0.453416149068323</v>
      </c>
      <c r="DA327" s="1065">
        <f t="shared" si="1464"/>
        <v>0.46370090307590667</v>
      </c>
      <c r="DB327" s="563">
        <f t="shared" si="1464"/>
        <v>0.47669737329948952</v>
      </c>
      <c r="DC327" s="1065">
        <f t="shared" si="1464"/>
        <v>0.48359424488169567</v>
      </c>
      <c r="DD327" s="1065">
        <f t="shared" si="1464"/>
        <v>0.50012954854357183</v>
      </c>
      <c r="DE327" s="1065">
        <f t="shared" si="1464"/>
        <v>0.50975942911739214</v>
      </c>
      <c r="DF327" s="563">
        <f t="shared" si="1464"/>
        <v>0.50672194042348517</v>
      </c>
      <c r="DG327" s="1065">
        <f t="shared" si="1464"/>
        <v>0.51058805583982392</v>
      </c>
      <c r="DH327" s="1065">
        <f t="shared" si="1464"/>
        <v>0.51039726946456232</v>
      </c>
      <c r="DI327" s="564">
        <f t="shared" si="1464"/>
        <v>0.52407443198468295</v>
      </c>
      <c r="DJ327" s="563">
        <f t="shared" si="1464"/>
        <v>0.53913616210386162</v>
      </c>
      <c r="DK327" s="1065">
        <f t="shared" ref="DK327:DM327" si="1465">+DK325/DK246</f>
        <v>0.55244191214780813</v>
      </c>
      <c r="DL327" s="1065">
        <f t="shared" si="1465"/>
        <v>0.56250590425560987</v>
      </c>
      <c r="DM327" s="564">
        <f t="shared" si="1465"/>
        <v>0.58428202284038577</v>
      </c>
      <c r="DN327" s="1065">
        <f t="shared" ref="DN327:DO327" si="1466">+DN325/DN246</f>
        <v>0.60187250349890686</v>
      </c>
      <c r="DO327" s="1065">
        <f t="shared" si="1466"/>
        <v>0.60728321347360792</v>
      </c>
      <c r="DP327" s="1065">
        <f t="shared" ref="DP327:DQ327" si="1467">+DP325/DP246</f>
        <v>0.6125093262494552</v>
      </c>
      <c r="DQ327" s="564">
        <f t="shared" si="1467"/>
        <v>0.63063003633556047</v>
      </c>
      <c r="DR327" s="563">
        <f t="shared" ref="DR327" si="1468">+DR325/DR246</f>
        <v>0.6564322682527608</v>
      </c>
      <c r="DS327" s="1065">
        <f t="shared" ref="DS327:DT327" si="1469">+DS325/DS246</f>
        <v>0.66821745707276148</v>
      </c>
      <c r="DT327" s="1065">
        <f t="shared" si="1469"/>
        <v>0.66402851884591707</v>
      </c>
      <c r="DU327" s="564">
        <f t="shared" ref="DU327" si="1470">+DU325/DU246</f>
        <v>0.6713368930076572</v>
      </c>
      <c r="DV327" s="1065">
        <f t="shared" ref="DV327" si="1471">+DV325/DV246</f>
        <v>0.69686852974212055</v>
      </c>
      <c r="DW327" s="1065">
        <f t="shared" ref="DW327:DY327" ca="1" si="1472">+DW325/DW246</f>
        <v>0.76566583622920603</v>
      </c>
      <c r="DX327" s="1065">
        <f t="shared" ca="1" si="1472"/>
        <v>0.75692370023886935</v>
      </c>
      <c r="DY327" s="564">
        <f t="shared" ca="1" si="1472"/>
        <v>0.76130987866847732</v>
      </c>
    </row>
    <row r="328" spans="1:129" s="1491" customFormat="1" hidden="1" outlineLevel="1">
      <c r="A328" s="1448" t="s">
        <v>808</v>
      </c>
      <c r="B328" s="1065"/>
      <c r="C328" s="1065"/>
      <c r="D328" s="1065"/>
      <c r="E328" s="1065"/>
      <c r="F328" s="1065"/>
      <c r="G328" s="1065"/>
      <c r="H328" s="1065"/>
      <c r="I328" s="1065"/>
      <c r="J328" s="1065"/>
      <c r="K328" s="1065"/>
      <c r="L328" s="1065"/>
      <c r="M328" s="1065"/>
      <c r="N328" s="1065"/>
      <c r="O328" s="1065"/>
      <c r="P328" s="1065"/>
      <c r="Q328" s="1065">
        <f t="shared" ref="Q328:AA328" si="1473">+Q325/Q301</f>
        <v>0.28473069169580756</v>
      </c>
      <c r="R328" s="1065">
        <f t="shared" si="1473"/>
        <v>0.33060417947473447</v>
      </c>
      <c r="S328" s="1065">
        <f t="shared" si="1473"/>
        <v>0.37497448247882753</v>
      </c>
      <c r="T328" s="1065">
        <f t="shared" si="1473"/>
        <v>0.41995855671316279</v>
      </c>
      <c r="U328" s="1065">
        <f t="shared" si="1473"/>
        <v>0.46131017230889571</v>
      </c>
      <c r="V328" s="1065">
        <f t="shared" si="1473"/>
        <v>0.4776950278810409</v>
      </c>
      <c r="W328" s="1065">
        <f t="shared" si="1473"/>
        <v>0.51817137870049435</v>
      </c>
      <c r="X328" s="1065">
        <f>+X325/X301</f>
        <v>0.53212280815690349</v>
      </c>
      <c r="Y328" s="1065">
        <f>+Y325/Y301</f>
        <v>0.54501412909881031</v>
      </c>
      <c r="Z328" s="1065">
        <f>+Z325/Z301</f>
        <v>0.55711665418440137</v>
      </c>
      <c r="AA328" s="1065">
        <f t="shared" ca="1" si="1473"/>
        <v>0.65581160803849414</v>
      </c>
      <c r="AB328" s="1065">
        <f t="shared" ref="AB328:AG328" ca="1" si="1474">+AB325/AB301</f>
        <v>0.72150874767865847</v>
      </c>
      <c r="AC328" s="1065">
        <f t="shared" ca="1" si="1474"/>
        <v>0.79133218819558249</v>
      </c>
      <c r="AD328" s="1065">
        <f t="shared" ca="1" si="1474"/>
        <v>0.8657363964851964</v>
      </c>
      <c r="AE328" s="1065">
        <f t="shared" ca="1" si="1474"/>
        <v>0.94503020082944211</v>
      </c>
      <c r="AF328" s="1065">
        <f t="shared" ca="1" si="1474"/>
        <v>1.0294376849499209</v>
      </c>
      <c r="AG328" s="1065">
        <f t="shared" ca="1" si="1474"/>
        <v>1.1191287276160082</v>
      </c>
      <c r="AH328" s="2201"/>
      <c r="AI328" s="1927"/>
      <c r="AJ328" s="1561"/>
      <c r="AK328" s="1065"/>
      <c r="AL328" s="1065"/>
      <c r="AM328" s="1065"/>
      <c r="AN328" s="1065"/>
      <c r="AO328" s="1065"/>
      <c r="AP328" s="563"/>
      <c r="AQ328" s="1065"/>
      <c r="AR328" s="1065"/>
      <c r="AS328" s="1065"/>
      <c r="AT328" s="563"/>
      <c r="AU328" s="1065"/>
      <c r="AV328" s="1065"/>
      <c r="AW328" s="1065"/>
      <c r="AX328" s="563"/>
      <c r="AY328" s="1065"/>
      <c r="AZ328" s="1065"/>
      <c r="BA328" s="1065"/>
      <c r="BB328" s="563"/>
      <c r="BC328" s="1065"/>
      <c r="BD328" s="1065"/>
      <c r="BE328" s="1065"/>
      <c r="BF328" s="563"/>
      <c r="BG328" s="1065"/>
      <c r="BH328" s="1065"/>
      <c r="BI328" s="1065"/>
      <c r="BJ328" s="563"/>
      <c r="BK328" s="1065"/>
      <c r="BL328" s="1065"/>
      <c r="BM328" s="1065"/>
      <c r="BN328" s="563"/>
      <c r="BO328" s="1065"/>
      <c r="BP328" s="1065"/>
      <c r="BQ328" s="1065"/>
      <c r="BR328" s="563"/>
      <c r="BS328" s="1065"/>
      <c r="BT328" s="1065"/>
      <c r="BU328" s="1065"/>
      <c r="BV328" s="563"/>
      <c r="BW328" s="1065"/>
      <c r="BX328" s="1065"/>
      <c r="BY328" s="1065"/>
      <c r="BZ328" s="563"/>
      <c r="CA328" s="1495"/>
      <c r="CB328" s="1495"/>
      <c r="CC328" s="1495"/>
      <c r="CD328" s="1501"/>
      <c r="CE328" s="1495"/>
      <c r="CF328" s="1495"/>
      <c r="CG328" s="1495"/>
      <c r="CH328" s="156"/>
      <c r="CI328" s="1095"/>
      <c r="CJ328" s="1095"/>
      <c r="CK328" s="1095"/>
      <c r="CL328" s="563">
        <f t="shared" ref="CL328:DJ328" si="1475">+CL325/CL301</f>
        <v>0.26567548998035367</v>
      </c>
      <c r="CM328" s="1065">
        <f t="shared" si="1475"/>
        <v>0.27770781738394029</v>
      </c>
      <c r="CN328" s="1065">
        <f t="shared" si="1475"/>
        <v>0.29119939310974219</v>
      </c>
      <c r="CO328" s="1065">
        <f t="shared" si="1475"/>
        <v>0.30359139118561784</v>
      </c>
      <c r="CP328" s="563">
        <f t="shared" si="1475"/>
        <v>0.31445957559780185</v>
      </c>
      <c r="CQ328" s="1065">
        <f t="shared" si="1475"/>
        <v>0.32580585241269383</v>
      </c>
      <c r="CR328" s="1065">
        <f t="shared" si="1475"/>
        <v>0.33319886010728406</v>
      </c>
      <c r="CS328" s="1065">
        <f t="shared" si="1475"/>
        <v>0.34799784612132739</v>
      </c>
      <c r="CT328" s="563">
        <f t="shared" si="1475"/>
        <v>0.35934276710222912</v>
      </c>
      <c r="CU328" s="1065">
        <f t="shared" si="1475"/>
        <v>0.36714807166655339</v>
      </c>
      <c r="CV328" s="1065">
        <f t="shared" si="1475"/>
        <v>0.38015888046298141</v>
      </c>
      <c r="CW328" s="1065">
        <f t="shared" si="1475"/>
        <v>0.39224387528134519</v>
      </c>
      <c r="CX328" s="563">
        <f t="shared" si="1475"/>
        <v>0.40621781310837118</v>
      </c>
      <c r="CY328" s="1065">
        <f t="shared" si="1475"/>
        <v>0.41236009096095338</v>
      </c>
      <c r="CZ328" s="1065">
        <f t="shared" si="1475"/>
        <v>0.42512897115265574</v>
      </c>
      <c r="DA328" s="1065">
        <f t="shared" si="1475"/>
        <v>0.43509278350515468</v>
      </c>
      <c r="DB328" s="563">
        <f t="shared" si="1475"/>
        <v>0.44963522238163561</v>
      </c>
      <c r="DC328" s="1065">
        <f t="shared" si="1475"/>
        <v>0.45278142932427684</v>
      </c>
      <c r="DD328" s="1065">
        <f t="shared" si="1475"/>
        <v>0.46644724823018952</v>
      </c>
      <c r="DE328" s="1065">
        <f t="shared" si="1475"/>
        <v>0.4754805417537124</v>
      </c>
      <c r="DF328" s="563">
        <f t="shared" si="1475"/>
        <v>0.47327774920776111</v>
      </c>
      <c r="DG328" s="1065">
        <f t="shared" si="1475"/>
        <v>0.47536346664454032</v>
      </c>
      <c r="DH328" s="1065">
        <f t="shared" si="1475"/>
        <v>0.47492847025495755</v>
      </c>
      <c r="DI328" s="564">
        <f t="shared" si="1475"/>
        <v>0.48716213136361136</v>
      </c>
      <c r="DJ328" s="563">
        <f t="shared" si="1475"/>
        <v>0.50139078374455737</v>
      </c>
      <c r="DK328" s="1065">
        <f t="shared" ref="DK328:DM328" si="1476">+DK325/DK301</f>
        <v>0.51186590536491605</v>
      </c>
      <c r="DL328" s="1065">
        <f t="shared" si="1476"/>
        <v>0.52046151551312647</v>
      </c>
      <c r="DM328" s="564">
        <f t="shared" si="1476"/>
        <v>0.53979645972666468</v>
      </c>
      <c r="DN328" s="1065">
        <f t="shared" ref="DN328:DO328" si="1477">+DN325/DN301</f>
        <v>0.55779901392111375</v>
      </c>
      <c r="DO328" s="1065">
        <f t="shared" si="1477"/>
        <v>0.56334598440953354</v>
      </c>
      <c r="DP328" s="1065">
        <f t="shared" ref="DP328:DQ328" si="1478">+DP325/DP301</f>
        <v>0.56802924958043632</v>
      </c>
      <c r="DQ328" s="564">
        <f t="shared" si="1478"/>
        <v>0.58250195766548385</v>
      </c>
      <c r="DR328" s="563">
        <f t="shared" ref="DR328" si="1479">+DR325/DR301</f>
        <v>0.6042030754848523</v>
      </c>
      <c r="DS328" s="1065">
        <f t="shared" ref="DS328:DT328" si="1480">+DS325/DS301</f>
        <v>0.61105669088464987</v>
      </c>
      <c r="DT328" s="1065">
        <f t="shared" si="1480"/>
        <v>0.60594086547566439</v>
      </c>
      <c r="DU328" s="564">
        <f t="shared" ref="DU328" si="1481">+DU325/DU301</f>
        <v>0.60933202141057941</v>
      </c>
      <c r="DV328" s="1065">
        <f t="shared" ref="DV328" si="1482">+DV325/DV301</f>
        <v>0.63231047915855076</v>
      </c>
      <c r="DW328" s="1065">
        <f t="shared" ref="DW328:DY328" ca="1" si="1483">+DW325/DW301</f>
        <v>0.69653911038146354</v>
      </c>
      <c r="DX328" s="1065">
        <f t="shared" ca="1" si="1483"/>
        <v>0.69016181739234794</v>
      </c>
      <c r="DY328" s="564">
        <f t="shared" ca="1" si="1483"/>
        <v>0.69489237007739657</v>
      </c>
    </row>
    <row r="329" spans="1:129" s="1491" customFormat="1" hidden="1" outlineLevel="1">
      <c r="A329" s="1448" t="s">
        <v>809</v>
      </c>
      <c r="B329" s="1065"/>
      <c r="C329" s="1065"/>
      <c r="D329" s="1065"/>
      <c r="E329" s="1065"/>
      <c r="F329" s="1065"/>
      <c r="G329" s="1065"/>
      <c r="H329" s="1065"/>
      <c r="I329" s="1065"/>
      <c r="J329" s="1065"/>
      <c r="K329" s="1065"/>
      <c r="L329" s="1065"/>
      <c r="M329" s="1065"/>
      <c r="N329" s="1065"/>
      <c r="O329" s="1065"/>
      <c r="P329" s="1065"/>
      <c r="Q329" s="1065">
        <f t="shared" ref="Q329:V329" si="1484">+Q325/Q319</f>
        <v>0.9521391403238243</v>
      </c>
      <c r="R329" s="1065">
        <f t="shared" si="1484"/>
        <v>0.94072531457800523</v>
      </c>
      <c r="S329" s="1065">
        <f t="shared" si="1484"/>
        <v>0.93810223547323013</v>
      </c>
      <c r="T329" s="1065">
        <f t="shared" si="1484"/>
        <v>0.94727371067067789</v>
      </c>
      <c r="U329" s="1065">
        <f t="shared" si="1484"/>
        <v>0.95061567537313429</v>
      </c>
      <c r="V329" s="1065">
        <f t="shared" si="1484"/>
        <v>0.98565312144886363</v>
      </c>
      <c r="W329" s="1065">
        <f t="shared" ref="W329:AB329" si="1485">+W325/W319</f>
        <v>1.0362838742897726</v>
      </c>
      <c r="X329" s="1065">
        <f t="shared" si="1485"/>
        <v>1.0474807244318181</v>
      </c>
      <c r="Y329" s="1065">
        <f t="shared" si="1485"/>
        <v>1.0581789950284088</v>
      </c>
      <c r="Z329" s="1065">
        <f t="shared" si="1485"/>
        <v>1.0672107634943182</v>
      </c>
      <c r="AA329" s="1065">
        <f t="shared" ca="1" si="1485"/>
        <v>1.0652598461706388</v>
      </c>
      <c r="AB329" s="1065">
        <f t="shared" ca="1" si="1485"/>
        <v>1.0614906057079443</v>
      </c>
      <c r="AC329" s="1065">
        <f t="shared" ref="AC329:AG329" ca="1" si="1486">+AC325/AC319</f>
        <v>1.0584152899260699</v>
      </c>
      <c r="AD329" s="1065">
        <f t="shared" ca="1" si="1486"/>
        <v>1.0557848034817687</v>
      </c>
      <c r="AE329" s="1065">
        <f t="shared" ca="1" si="1486"/>
        <v>1.0534651262727028</v>
      </c>
      <c r="AF329" s="1065">
        <f t="shared" ca="1" si="1486"/>
        <v>1.0513781733784007</v>
      </c>
      <c r="AG329" s="1065">
        <f t="shared" ca="1" si="1486"/>
        <v>1.0494744181069351</v>
      </c>
      <c r="AH329" s="2201"/>
      <c r="AI329" s="1927"/>
      <c r="AJ329" s="1561"/>
      <c r="AK329" s="1065"/>
      <c r="AL329" s="1065"/>
      <c r="AM329" s="1065"/>
      <c r="AN329" s="1065"/>
      <c r="AO329" s="1065"/>
      <c r="AP329" s="563"/>
      <c r="AQ329" s="1065"/>
      <c r="AR329" s="1065"/>
      <c r="AS329" s="1065"/>
      <c r="AT329" s="563"/>
      <c r="AU329" s="1065"/>
      <c r="AV329" s="1065"/>
      <c r="AW329" s="1065"/>
      <c r="AX329" s="563"/>
      <c r="AY329" s="1065"/>
      <c r="AZ329" s="1065"/>
      <c r="BA329" s="1065"/>
      <c r="BB329" s="563"/>
      <c r="BC329" s="1065"/>
      <c r="BD329" s="1065"/>
      <c r="BE329" s="1065"/>
      <c r="BF329" s="563"/>
      <c r="BG329" s="1065"/>
      <c r="BH329" s="1065"/>
      <c r="BI329" s="1065"/>
      <c r="BJ329" s="563"/>
      <c r="BK329" s="1065"/>
      <c r="BL329" s="1065"/>
      <c r="BM329" s="1065"/>
      <c r="BN329" s="563"/>
      <c r="BO329" s="1065"/>
      <c r="BP329" s="1065"/>
      <c r="BQ329" s="1065"/>
      <c r="BR329" s="563"/>
      <c r="BS329" s="1065"/>
      <c r="BT329" s="1065"/>
      <c r="BU329" s="1065"/>
      <c r="BV329" s="563"/>
      <c r="BW329" s="1065"/>
      <c r="BX329" s="1065"/>
      <c r="BY329" s="1065"/>
      <c r="BZ329" s="563"/>
      <c r="CA329" s="1495"/>
      <c r="CB329" s="1495"/>
      <c r="CC329" s="1495"/>
      <c r="CD329" s="1501"/>
      <c r="CE329" s="1495"/>
      <c r="CF329" s="1495"/>
      <c r="CG329" s="1495"/>
      <c r="CH329" s="156"/>
      <c r="CI329" s="1095"/>
      <c r="CJ329" s="1095"/>
      <c r="CK329" s="1095"/>
      <c r="CL329" s="563">
        <f t="shared" ref="CL329:DE329" si="1487">+CL325/CL319</f>
        <v>0.95177945101351358</v>
      </c>
      <c r="CM329" s="1065">
        <f t="shared" si="1487"/>
        <v>0.94750376674546899</v>
      </c>
      <c r="CN329" s="1065">
        <f t="shared" si="1487"/>
        <v>0.95557295233341644</v>
      </c>
      <c r="CO329" s="1065">
        <f t="shared" si="1487"/>
        <v>0.953369535493092</v>
      </c>
      <c r="CP329" s="563">
        <f t="shared" si="1487"/>
        <v>0.94859154233870968</v>
      </c>
      <c r="CQ329" s="1065">
        <f t="shared" si="1487"/>
        <v>0.94549461206896557</v>
      </c>
      <c r="CR329" s="1065">
        <f t="shared" si="1487"/>
        <v>0.93258819636507329</v>
      </c>
      <c r="CS329" s="1065">
        <f t="shared" si="1487"/>
        <v>0.93757278473804095</v>
      </c>
      <c r="CT329" s="563">
        <f t="shared" si="1487"/>
        <v>0.94220489923048745</v>
      </c>
      <c r="CU329" s="1065">
        <f t="shared" si="1487"/>
        <v>0.92937120309810684</v>
      </c>
      <c r="CV329" s="1065">
        <f t="shared" si="1487"/>
        <v>0.93687351639344252</v>
      </c>
      <c r="CW329" s="1065">
        <f t="shared" si="1487"/>
        <v>0.94380949028352989</v>
      </c>
      <c r="CX329" s="563">
        <f t="shared" si="1487"/>
        <v>0.94730879237288135</v>
      </c>
      <c r="CY329" s="1065">
        <f t="shared" si="1487"/>
        <v>0.94486460348583889</v>
      </c>
      <c r="CZ329" s="1065">
        <f t="shared" si="1487"/>
        <v>0.94568072156430749</v>
      </c>
      <c r="DA329" s="1065">
        <f t="shared" si="1487"/>
        <v>0.95099680000000009</v>
      </c>
      <c r="DB329" s="563">
        <f t="shared" si="1487"/>
        <v>0.95208835443037976</v>
      </c>
      <c r="DC329" s="1065">
        <f t="shared" si="1487"/>
        <v>0.94300015243902435</v>
      </c>
      <c r="DD329" s="1065">
        <f t="shared" si="1487"/>
        <v>0.95003372093023253</v>
      </c>
      <c r="DE329" s="1065">
        <f t="shared" si="1487"/>
        <v>0.956958622159091</v>
      </c>
      <c r="DF329" s="563">
        <f>+DF325/DF319</f>
        <v>0.96736896306818176</v>
      </c>
      <c r="DG329" s="1065">
        <f>+DG325/DG319</f>
        <v>0.9765478125</v>
      </c>
      <c r="DH329" s="1065">
        <f>+DH325/DH319</f>
        <v>0.99065761363636362</v>
      </c>
      <c r="DI329" s="564">
        <f>+DI325/DI319</f>
        <v>1.008038096590909</v>
      </c>
      <c r="DJ329" s="563">
        <f t="shared" ref="DJ329:DM329" si="1488">+DJ325/DJ319</f>
        <v>1.0206721022727274</v>
      </c>
      <c r="DK329" s="1065">
        <f t="shared" si="1488"/>
        <v>1.0289086363636364</v>
      </c>
      <c r="DL329" s="1065">
        <f t="shared" si="1488"/>
        <v>1.0408047443181818</v>
      </c>
      <c r="DM329" s="564">
        <f t="shared" si="1488"/>
        <v>1.0547500142045454</v>
      </c>
      <c r="DN329" s="1065">
        <f t="shared" ref="DN329:DO329" si="1489">+DN325/DN319</f>
        <v>1.0654595028409091</v>
      </c>
      <c r="DO329" s="1065">
        <f t="shared" si="1489"/>
        <v>1.0717017187500002</v>
      </c>
      <c r="DP329" s="1065">
        <f t="shared" ref="DP329:DQ329" si="1490">+DP325/DP319</f>
        <v>1.0769318181818182</v>
      </c>
      <c r="DQ329" s="564">
        <f t="shared" si="1490"/>
        <v>1.0819973863636363</v>
      </c>
      <c r="DR329" s="563">
        <f t="shared" ref="DR329" si="1491">+DR325/DR319</f>
        <v>1.0833086505681819</v>
      </c>
      <c r="DS329" s="1065">
        <f t="shared" ref="DS329:DT329" si="1492">+DS325/DS319</f>
        <v>1.0847645028409092</v>
      </c>
      <c r="DT329" s="1065">
        <f t="shared" si="1492"/>
        <v>1.0907624147727273</v>
      </c>
      <c r="DU329" s="564">
        <f t="shared" ref="DU329" si="1493">+DU325/DU319</f>
        <v>1.0995673295454547</v>
      </c>
      <c r="DV329" s="1065">
        <f t="shared" ref="DV329" si="1494">+DV325/DV319</f>
        <v>1.1066870454545454</v>
      </c>
      <c r="DW329" s="1065">
        <f t="shared" ref="DW329:DY329" ca="1" si="1495">+DW325/DW319</f>
        <v>1.0823532778956368</v>
      </c>
      <c r="DX329" s="1065">
        <f t="shared" ca="1" si="1495"/>
        <v>1.0872454121104533</v>
      </c>
      <c r="DY329" s="564">
        <f t="shared" ca="1" si="1495"/>
        <v>1.0950209868963792</v>
      </c>
    </row>
    <row r="330" spans="1:129" s="1491" customFormat="1" hidden="1" outlineLevel="1">
      <c r="A330" s="711" t="s">
        <v>810</v>
      </c>
      <c r="B330" s="1064"/>
      <c r="C330" s="1064"/>
      <c r="D330" s="1064"/>
      <c r="E330" s="1064"/>
      <c r="F330" s="1064"/>
      <c r="G330" s="1064"/>
      <c r="H330" s="1064"/>
      <c r="I330" s="1064"/>
      <c r="J330" s="1064"/>
      <c r="K330" s="1064"/>
      <c r="L330" s="1064"/>
      <c r="M330" s="1064"/>
      <c r="N330" s="1064"/>
      <c r="O330" s="1064"/>
      <c r="P330" s="1064"/>
      <c r="Q330" s="1519">
        <f t="shared" ref="Q330:W330" si="1496">+Q325/(AVERAGE(Q181:R181))/12*1000</f>
        <v>15.095030741963086</v>
      </c>
      <c r="R330" s="1519">
        <f t="shared" si="1496"/>
        <v>17.976954905077214</v>
      </c>
      <c r="S330" s="1519">
        <f t="shared" si="1496"/>
        <v>20.549273589310328</v>
      </c>
      <c r="T330" s="1519">
        <f t="shared" si="1496"/>
        <v>23.567321681406582</v>
      </c>
      <c r="U330" s="1519">
        <f t="shared" si="1496"/>
        <v>26.694047645990814</v>
      </c>
      <c r="V330" s="1519">
        <f t="shared" si="1496"/>
        <v>27.719579460420793</v>
      </c>
      <c r="W330" s="1519">
        <f t="shared" si="1496"/>
        <v>28.234344812933067</v>
      </c>
      <c r="X330" s="1519">
        <f>+X325/(AVERAGE(X181:Y181))/12*1000</f>
        <v>27.977328704757568</v>
      </c>
      <c r="Y330" s="1519">
        <f ca="1">+Y325/(AVERAGE(Y181:Z181))/12*1000</f>
        <v>27.716658445807177</v>
      </c>
      <c r="Z330" s="1519">
        <f ca="1">+Z325/(AVERAGE(Z181:AA181))/12*1000</f>
        <v>27.43189077325486</v>
      </c>
      <c r="AA330" s="1229">
        <f ca="1">+Z330*(1+AA331)</f>
        <v>30.175079850580349</v>
      </c>
      <c r="AB330" s="1229">
        <f ca="1">+AA330*(1+AB331)</f>
        <v>33.192587835638385</v>
      </c>
      <c r="AC330" s="1229">
        <f t="shared" ref="AC330:AG330" ca="1" si="1497">+AB330*(1+AC331)</f>
        <v>36.511846619202224</v>
      </c>
      <c r="AD330" s="1229">
        <f t="shared" ca="1" si="1497"/>
        <v>40.16303128112245</v>
      </c>
      <c r="AE330" s="1229">
        <f t="shared" ca="1" si="1497"/>
        <v>44.179334409234698</v>
      </c>
      <c r="AF330" s="1229">
        <f t="shared" ca="1" si="1497"/>
        <v>48.597267850158175</v>
      </c>
      <c r="AG330" s="1229">
        <f t="shared" ca="1" si="1497"/>
        <v>53.456994635173999</v>
      </c>
      <c r="AH330" s="2201"/>
      <c r="AI330" s="1927"/>
      <c r="AJ330" s="1561"/>
      <c r="AK330" s="1064"/>
      <c r="AL330" s="1064"/>
      <c r="AM330" s="1064"/>
      <c r="AN330" s="1064"/>
      <c r="AO330" s="1064"/>
      <c r="AP330" s="569"/>
      <c r="AQ330" s="1064"/>
      <c r="AR330" s="1064"/>
      <c r="AS330" s="1064"/>
      <c r="AT330" s="569"/>
      <c r="AU330" s="1064"/>
      <c r="AV330" s="1064"/>
      <c r="AW330" s="1064"/>
      <c r="AX330" s="569"/>
      <c r="AY330" s="1064"/>
      <c r="AZ330" s="1064"/>
      <c r="BA330" s="1064"/>
      <c r="BB330" s="569"/>
      <c r="BC330" s="1064"/>
      <c r="BD330" s="1064"/>
      <c r="BE330" s="1064"/>
      <c r="BF330" s="569"/>
      <c r="BG330" s="1064"/>
      <c r="BH330" s="1064"/>
      <c r="BI330" s="1064"/>
      <c r="BJ330" s="569"/>
      <c r="BK330" s="1064"/>
      <c r="BL330" s="1064"/>
      <c r="BM330" s="1064"/>
      <c r="BN330" s="569"/>
      <c r="BO330" s="1064"/>
      <c r="BP330" s="1064"/>
      <c r="BQ330" s="1064"/>
      <c r="BR330" s="569"/>
      <c r="BS330" s="1064"/>
      <c r="BT330" s="1064"/>
      <c r="BU330" s="1064"/>
      <c r="BV330" s="569"/>
      <c r="BW330" s="1064"/>
      <c r="BX330" s="1064"/>
      <c r="BY330" s="1064"/>
      <c r="BZ330" s="569"/>
      <c r="CA330" s="1502"/>
      <c r="CB330" s="1502"/>
      <c r="CC330" s="1502"/>
      <c r="CD330" s="1467"/>
      <c r="CE330" s="1502"/>
      <c r="CF330" s="1502"/>
      <c r="CG330" s="1502"/>
      <c r="CH330" s="164"/>
      <c r="CI330" s="1103"/>
      <c r="CJ330" s="1103"/>
      <c r="CK330" s="1103"/>
      <c r="CL330" s="516">
        <v>14.66</v>
      </c>
      <c r="CM330" s="1366">
        <v>15.44</v>
      </c>
      <c r="CN330" s="1366">
        <v>16.18</v>
      </c>
      <c r="CO330" s="1366">
        <v>16.690000000000001</v>
      </c>
      <c r="CP330" s="516">
        <v>17.489999999999998</v>
      </c>
      <c r="CQ330" s="1366">
        <v>18.45</v>
      </c>
      <c r="CR330" s="1366">
        <v>19.21</v>
      </c>
      <c r="CS330" s="1366">
        <v>19.91</v>
      </c>
      <c r="CT330" s="516">
        <v>20.51</v>
      </c>
      <c r="CU330" s="1366">
        <v>21.26</v>
      </c>
      <c r="CV330" s="1366">
        <v>22.22</v>
      </c>
      <c r="CW330" s="1366">
        <v>22.76</v>
      </c>
      <c r="CX330" s="516">
        <v>23.8</v>
      </c>
      <c r="CY330" s="1366">
        <v>24.53</v>
      </c>
      <c r="CZ330" s="1366">
        <v>25.55</v>
      </c>
      <c r="DA330" s="1366">
        <v>26</v>
      </c>
      <c r="DB330" s="516">
        <v>27</v>
      </c>
      <c r="DC330" s="1366">
        <v>27.5</v>
      </c>
      <c r="DD330" s="1366">
        <v>28.75</v>
      </c>
      <c r="DE330" s="1366">
        <v>29.25</v>
      </c>
      <c r="DF330" s="516">
        <v>29.25</v>
      </c>
      <c r="DG330" s="1366">
        <v>29.25</v>
      </c>
      <c r="DH330" s="1366">
        <v>29.25</v>
      </c>
      <c r="DI330" s="1624">
        <v>29.25</v>
      </c>
      <c r="DJ330" s="516">
        <v>29.25</v>
      </c>
      <c r="DK330" s="1366">
        <v>29.25</v>
      </c>
      <c r="DL330" s="1366">
        <v>29.25</v>
      </c>
      <c r="DM330" s="1624">
        <v>29.25</v>
      </c>
      <c r="DN330" s="1366">
        <v>29.25</v>
      </c>
      <c r="DO330" s="1366">
        <v>29.25</v>
      </c>
      <c r="DP330" s="1366">
        <v>29.25</v>
      </c>
      <c r="DQ330" s="1624">
        <v>29.25</v>
      </c>
      <c r="DR330" s="516">
        <v>29.25</v>
      </c>
      <c r="DS330" s="1366">
        <v>29.25</v>
      </c>
      <c r="DT330" s="1366">
        <v>29.25</v>
      </c>
      <c r="DU330" s="1624">
        <v>29.25</v>
      </c>
      <c r="DV330" s="1366">
        <v>29.25</v>
      </c>
      <c r="DW330" s="1229">
        <f t="shared" ref="DW330" si="1498">+DS330*(1+DW331)</f>
        <v>32.175000000000004</v>
      </c>
      <c r="DX330" s="1229">
        <f t="shared" ref="DX330" si="1499">+DT330*(1+DX331)</f>
        <v>32.175000000000004</v>
      </c>
      <c r="DY330" s="632">
        <f t="shared" ref="DY330" si="1500">+DU330*(1+DY331)</f>
        <v>32.175000000000004</v>
      </c>
    </row>
    <row r="331" spans="1:129" s="1491" customFormat="1" hidden="1" outlineLevel="1">
      <c r="A331" s="1448" t="s">
        <v>1453</v>
      </c>
      <c r="B331" s="1065"/>
      <c r="C331" s="1065"/>
      <c r="D331" s="1065"/>
      <c r="E331" s="1065"/>
      <c r="F331" s="1065"/>
      <c r="G331" s="1065"/>
      <c r="H331" s="1065"/>
      <c r="I331" s="1065"/>
      <c r="J331" s="1065"/>
      <c r="K331" s="1065"/>
      <c r="L331" s="1065"/>
      <c r="M331" s="1065"/>
      <c r="N331" s="1065"/>
      <c r="O331" s="1065"/>
      <c r="P331" s="1065"/>
      <c r="Q331" s="1065"/>
      <c r="R331" s="1065">
        <f t="shared" ref="R331:Z331" si="1501">+R330/Q330-1</f>
        <v>0.19091873427608119</v>
      </c>
      <c r="S331" s="1065">
        <f t="shared" si="1501"/>
        <v>0.14308978900017255</v>
      </c>
      <c r="T331" s="1065">
        <f t="shared" si="1501"/>
        <v>0.14686884570295633</v>
      </c>
      <c r="U331" s="1065">
        <f t="shared" si="1501"/>
        <v>0.13267209600024499</v>
      </c>
      <c r="V331" s="1065">
        <f t="shared" si="1501"/>
        <v>3.8417995952891859E-2</v>
      </c>
      <c r="W331" s="1065">
        <f t="shared" si="1501"/>
        <v>1.8570460394151223E-2</v>
      </c>
      <c r="X331" s="1065">
        <f t="shared" si="1501"/>
        <v>-9.1029598837288894E-3</v>
      </c>
      <c r="Y331" s="1065">
        <f t="shared" ca="1" si="1501"/>
        <v>-9.3171961376735668E-3</v>
      </c>
      <c r="Z331" s="1065">
        <f t="shared" ca="1" si="1501"/>
        <v>-1.0274242586244875E-2</v>
      </c>
      <c r="AA331" s="1095">
        <v>0.1</v>
      </c>
      <c r="AB331" s="1095">
        <v>0.1</v>
      </c>
      <c r="AC331" s="1095">
        <v>0.1</v>
      </c>
      <c r="AD331" s="1095">
        <v>0.1</v>
      </c>
      <c r="AE331" s="1095">
        <v>0.1</v>
      </c>
      <c r="AF331" s="1095">
        <v>0.1</v>
      </c>
      <c r="AG331" s="1095">
        <v>0.1</v>
      </c>
      <c r="AH331" s="2201"/>
      <c r="AI331" s="1927"/>
      <c r="AJ331" s="1561"/>
      <c r="AK331" s="1065"/>
      <c r="AL331" s="1065"/>
      <c r="AM331" s="1065"/>
      <c r="AN331" s="1065"/>
      <c r="AO331" s="1065"/>
      <c r="AP331" s="563"/>
      <c r="AQ331" s="1065"/>
      <c r="AR331" s="1065"/>
      <c r="AS331" s="1065"/>
      <c r="AT331" s="563"/>
      <c r="AU331" s="1065"/>
      <c r="AV331" s="1065"/>
      <c r="AW331" s="1065"/>
      <c r="AX331" s="563"/>
      <c r="AY331" s="1065"/>
      <c r="AZ331" s="1065"/>
      <c r="BA331" s="1065"/>
      <c r="BB331" s="563"/>
      <c r="BC331" s="1065"/>
      <c r="BD331" s="1065"/>
      <c r="BE331" s="1065"/>
      <c r="BF331" s="563"/>
      <c r="BG331" s="1065"/>
      <c r="BH331" s="1065"/>
      <c r="BI331" s="1065"/>
      <c r="BJ331" s="563"/>
      <c r="BK331" s="1065"/>
      <c r="BL331" s="1065"/>
      <c r="BM331" s="1065"/>
      <c r="BN331" s="563"/>
      <c r="BO331" s="1065"/>
      <c r="BP331" s="1065"/>
      <c r="BQ331" s="1065"/>
      <c r="BR331" s="563"/>
      <c r="BS331" s="1065"/>
      <c r="BT331" s="1065"/>
      <c r="BU331" s="1065"/>
      <c r="BV331" s="563"/>
      <c r="BW331" s="1065"/>
      <c r="BX331" s="1065"/>
      <c r="BY331" s="1065"/>
      <c r="BZ331" s="563"/>
      <c r="CA331" s="1495"/>
      <c r="CB331" s="1495"/>
      <c r="CC331" s="1495"/>
      <c r="CD331" s="1501"/>
      <c r="CE331" s="1495"/>
      <c r="CF331" s="1495"/>
      <c r="CG331" s="1495"/>
      <c r="CH331" s="156"/>
      <c r="CI331" s="1095"/>
      <c r="CJ331" s="1095"/>
      <c r="CK331" s="1095"/>
      <c r="CL331" s="165"/>
      <c r="CM331" s="1059"/>
      <c r="CN331" s="1059"/>
      <c r="CO331" s="1059"/>
      <c r="CP331" s="563">
        <f t="shared" ref="CP331:DV331" si="1502">+CP330/CL330-1</f>
        <v>0.19304229195088674</v>
      </c>
      <c r="CQ331" s="1065">
        <f t="shared" si="1502"/>
        <v>0.19494818652849744</v>
      </c>
      <c r="CR331" s="1065">
        <f t="shared" si="1502"/>
        <v>0.18726823238566137</v>
      </c>
      <c r="CS331" s="1065">
        <f t="shared" si="1502"/>
        <v>0.1929298981426002</v>
      </c>
      <c r="CT331" s="563">
        <f t="shared" si="1502"/>
        <v>0.17267009719839921</v>
      </c>
      <c r="CU331" s="1065">
        <f t="shared" si="1502"/>
        <v>0.15230352303523054</v>
      </c>
      <c r="CV331" s="1065">
        <f t="shared" si="1502"/>
        <v>0.15668922436231125</v>
      </c>
      <c r="CW331" s="1065">
        <f t="shared" si="1502"/>
        <v>0.1431441486690106</v>
      </c>
      <c r="CX331" s="563">
        <f t="shared" si="1502"/>
        <v>0.16040955631399312</v>
      </c>
      <c r="CY331" s="1065">
        <f t="shared" si="1502"/>
        <v>0.15380997177798683</v>
      </c>
      <c r="CZ331" s="1065">
        <f t="shared" si="1502"/>
        <v>0.14986498649864988</v>
      </c>
      <c r="DA331" s="1065">
        <f t="shared" si="1502"/>
        <v>0.14235500878734619</v>
      </c>
      <c r="DB331" s="563">
        <f t="shared" si="1502"/>
        <v>0.13445378151260501</v>
      </c>
      <c r="DC331" s="1065">
        <f t="shared" si="1502"/>
        <v>0.12107623318385641</v>
      </c>
      <c r="DD331" s="1065">
        <f t="shared" si="1502"/>
        <v>0.12524461839530332</v>
      </c>
      <c r="DE331" s="1065">
        <f t="shared" si="1502"/>
        <v>0.125</v>
      </c>
      <c r="DF331" s="563">
        <f t="shared" si="1502"/>
        <v>8.3333333333333259E-2</v>
      </c>
      <c r="DG331" s="1065">
        <f t="shared" si="1502"/>
        <v>6.3636363636363713E-2</v>
      </c>
      <c r="DH331" s="1065">
        <f t="shared" si="1502"/>
        <v>1.7391304347825987E-2</v>
      </c>
      <c r="DI331" s="564">
        <f t="shared" si="1502"/>
        <v>0</v>
      </c>
      <c r="DJ331" s="563">
        <f t="shared" si="1502"/>
        <v>0</v>
      </c>
      <c r="DK331" s="1065">
        <f t="shared" si="1502"/>
        <v>0</v>
      </c>
      <c r="DL331" s="1065">
        <f t="shared" si="1502"/>
        <v>0</v>
      </c>
      <c r="DM331" s="564">
        <f t="shared" si="1502"/>
        <v>0</v>
      </c>
      <c r="DN331" s="1065">
        <f t="shared" si="1502"/>
        <v>0</v>
      </c>
      <c r="DO331" s="1065">
        <f t="shared" si="1502"/>
        <v>0</v>
      </c>
      <c r="DP331" s="1065">
        <f t="shared" si="1502"/>
        <v>0</v>
      </c>
      <c r="DQ331" s="564">
        <f t="shared" si="1502"/>
        <v>0</v>
      </c>
      <c r="DR331" s="563">
        <f t="shared" si="1502"/>
        <v>0</v>
      </c>
      <c r="DS331" s="1065">
        <f t="shared" si="1502"/>
        <v>0</v>
      </c>
      <c r="DT331" s="1065">
        <f t="shared" si="1502"/>
        <v>0</v>
      </c>
      <c r="DU331" s="564">
        <f t="shared" si="1502"/>
        <v>0</v>
      </c>
      <c r="DV331" s="1065">
        <f t="shared" si="1502"/>
        <v>0</v>
      </c>
      <c r="DW331" s="1095">
        <v>0.1</v>
      </c>
      <c r="DX331" s="1095">
        <v>0.1</v>
      </c>
      <c r="DY331" s="525">
        <v>0.1</v>
      </c>
    </row>
    <row r="332" spans="1:129" s="1491" customFormat="1" hidden="1" outlineLevel="1">
      <c r="A332" s="711" t="s">
        <v>811</v>
      </c>
      <c r="B332" s="1064"/>
      <c r="C332" s="1064"/>
      <c r="D332" s="1064"/>
      <c r="E332" s="1064"/>
      <c r="F332" s="1064"/>
      <c r="G332" s="1064"/>
      <c r="H332" s="1064"/>
      <c r="I332" s="1064"/>
      <c r="J332" s="1064"/>
      <c r="K332" s="1064"/>
      <c r="L332" s="1064"/>
      <c r="M332" s="1064"/>
      <c r="N332" s="1064"/>
      <c r="O332" s="1064"/>
      <c r="P332" s="1064"/>
      <c r="Q332" s="1070">
        <f>SUM(CL332:CO332)</f>
        <v>744.90641999999934</v>
      </c>
      <c r="R332" s="1113">
        <f>SUM(CP332:CS332)</f>
        <v>1158.820099999999</v>
      </c>
      <c r="S332" s="1113">
        <f>SUM(CT332:CW332)</f>
        <v>1463.6345399999991</v>
      </c>
      <c r="T332" s="1113">
        <f>SUM(CX332:DA332)</f>
        <v>1489.7813049999977</v>
      </c>
      <c r="U332" s="1113">
        <f>SUM(DB332:DE332)</f>
        <v>1654.3748749999995</v>
      </c>
      <c r="V332" s="1113">
        <f>SUM(DF332:DI332)</f>
        <v>505.0101250000007</v>
      </c>
      <c r="W332" s="1113">
        <f>SUM(DJ332:DM332)</f>
        <v>-1277.1923750000005</v>
      </c>
      <c r="X332" s="1113">
        <f>SUM(DK332:DN332)</f>
        <v>-1671.3215</v>
      </c>
      <c r="Y332" s="1113">
        <f>SUM(DL332:DO332)</f>
        <v>-2047.9006250000002</v>
      </c>
      <c r="Z332" s="1113">
        <f>SUM(DM332:DP332)</f>
        <v>-2365.8188750000008</v>
      </c>
      <c r="AA332" s="1113">
        <f ca="1">AA336*((AVERAGE(Z179:AA179)+AVERAGE(Z180:AA180)))*12/1000</f>
        <v>-2531.4889384559328</v>
      </c>
      <c r="AB332" s="1113">
        <f ca="1">AB336*((AVERAGE(AA179:AB179)+AVERAGE(AA180:AB180)))*12/1000</f>
        <v>-2676.1250290252797</v>
      </c>
      <c r="AC332" s="1113">
        <f t="shared" ref="AC332:AG332" ca="1" si="1503">AC336*((AVERAGE(AB179:AC179)+AVERAGE(AB180:AC180)))*12/1000</f>
        <v>-2844.3499917855866</v>
      </c>
      <c r="AD332" s="1113">
        <f t="shared" ca="1" si="1503"/>
        <v>-3032.4512358525767</v>
      </c>
      <c r="AE332" s="1113">
        <f t="shared" ca="1" si="1503"/>
        <v>-3239.1180864279058</v>
      </c>
      <c r="AF332" s="1113">
        <f t="shared" ca="1" si="1503"/>
        <v>-3464.3159728855539</v>
      </c>
      <c r="AG332" s="1113">
        <f t="shared" ca="1" si="1503"/>
        <v>-3708.7141099526343</v>
      </c>
      <c r="AH332" s="2201"/>
      <c r="AI332" s="1927"/>
      <c r="AJ332" s="1561"/>
      <c r="AK332" s="1064"/>
      <c r="AL332" s="1064"/>
      <c r="AM332" s="1064"/>
      <c r="AN332" s="1064"/>
      <c r="AO332" s="1064"/>
      <c r="AP332" s="569"/>
      <c r="AQ332" s="1064"/>
      <c r="AR332" s="1064"/>
      <c r="AS332" s="1064"/>
      <c r="AT332" s="569"/>
      <c r="AU332" s="1064"/>
      <c r="AV332" s="1064"/>
      <c r="AW332" s="1064"/>
      <c r="AX332" s="569"/>
      <c r="AY332" s="1064"/>
      <c r="AZ332" s="1064"/>
      <c r="BA332" s="1064"/>
      <c r="BB332" s="569"/>
      <c r="BC332" s="1064"/>
      <c r="BD332" s="1064"/>
      <c r="BE332" s="1064"/>
      <c r="BF332" s="569"/>
      <c r="BG332" s="1064"/>
      <c r="BH332" s="1064"/>
      <c r="BI332" s="1064"/>
      <c r="BJ332" s="569"/>
      <c r="BK332" s="1064"/>
      <c r="BL332" s="1064"/>
      <c r="BM332" s="1064"/>
      <c r="BN332" s="569"/>
      <c r="BO332" s="1064"/>
      <c r="BP332" s="1064"/>
      <c r="BQ332" s="1064"/>
      <c r="BR332" s="569"/>
      <c r="BS332" s="1064"/>
      <c r="BT332" s="1064"/>
      <c r="BU332" s="1064"/>
      <c r="BV332" s="569"/>
      <c r="BW332" s="1064"/>
      <c r="BX332" s="1064"/>
      <c r="BY332" s="1064"/>
      <c r="BZ332" s="569"/>
      <c r="CA332" s="1502"/>
      <c r="CB332" s="1502"/>
      <c r="CC332" s="1502"/>
      <c r="CD332" s="1467"/>
      <c r="CE332" s="1502"/>
      <c r="CF332" s="1502"/>
      <c r="CG332" s="1502"/>
      <c r="CH332" s="164"/>
      <c r="CI332" s="1103"/>
      <c r="CJ332" s="1103"/>
      <c r="CK332" s="1103"/>
      <c r="CL332" s="150">
        <f t="shared" ref="CL332:DE332" si="1504">+CL319-CL325</f>
        <v>171.27938999999969</v>
      </c>
      <c r="CM332" s="1113">
        <f t="shared" si="1504"/>
        <v>199.85315999999966</v>
      </c>
      <c r="CN332" s="1113">
        <f t="shared" si="1504"/>
        <v>178.01918000000023</v>
      </c>
      <c r="CO332" s="1113">
        <f t="shared" si="1504"/>
        <v>195.75468999999975</v>
      </c>
      <c r="CP332" s="150">
        <f t="shared" si="1504"/>
        <v>229.48735500000021</v>
      </c>
      <c r="CQ332" s="1113">
        <f t="shared" si="1504"/>
        <v>259.22762499999953</v>
      </c>
      <c r="CR332" s="1113">
        <f t="shared" si="1504"/>
        <v>341.23854999999912</v>
      </c>
      <c r="CS332" s="1113">
        <f t="shared" si="1504"/>
        <v>328.86657000000014</v>
      </c>
      <c r="CT332" s="150">
        <f t="shared" si="1504"/>
        <v>315.44565999999941</v>
      </c>
      <c r="CU332" s="1113">
        <f t="shared" si="1504"/>
        <v>410.35330999999951</v>
      </c>
      <c r="CV332" s="1113">
        <f t="shared" si="1504"/>
        <v>385.07155000000057</v>
      </c>
      <c r="CW332" s="1113">
        <f t="shared" si="1504"/>
        <v>352.76401999999962</v>
      </c>
      <c r="CX332" s="150">
        <f t="shared" si="1504"/>
        <v>348.18350000000009</v>
      </c>
      <c r="CY332" s="1113">
        <f t="shared" si="1504"/>
        <v>379.60720499999934</v>
      </c>
      <c r="CZ332" s="1113">
        <f t="shared" si="1504"/>
        <v>394.46659999999883</v>
      </c>
      <c r="DA332" s="1113">
        <f t="shared" si="1504"/>
        <v>367.52399999999943</v>
      </c>
      <c r="DB332" s="150">
        <f t="shared" si="1504"/>
        <v>378.5019999999995</v>
      </c>
      <c r="DC332" s="1113">
        <f t="shared" si="1504"/>
        <v>467.39875000000029</v>
      </c>
      <c r="DD332" s="1113">
        <f t="shared" si="1504"/>
        <v>429.71000000000004</v>
      </c>
      <c r="DE332" s="1113">
        <f t="shared" si="1504"/>
        <v>378.76412499999969</v>
      </c>
      <c r="DF332" s="150">
        <f t="shared" ref="DF332:DK332" si="1505">+DF319-DF325</f>
        <v>287.15312500000073</v>
      </c>
      <c r="DG332" s="1113">
        <f t="shared" si="1505"/>
        <v>206.37924999999996</v>
      </c>
      <c r="DH332" s="1113">
        <f t="shared" si="1505"/>
        <v>82.212999999999738</v>
      </c>
      <c r="DI332" s="155">
        <f t="shared" si="1505"/>
        <v>-70.735249999999724</v>
      </c>
      <c r="DJ332" s="150">
        <f t="shared" si="1505"/>
        <v>-181.91450000000077</v>
      </c>
      <c r="DK332" s="1113">
        <f t="shared" si="1505"/>
        <v>-254.39600000000064</v>
      </c>
      <c r="DL332" s="1113">
        <f t="shared" ref="DL332:DQ332" si="1506">+DL319-DL325</f>
        <v>-359.08174999999937</v>
      </c>
      <c r="DM332" s="155">
        <f t="shared" si="1506"/>
        <v>-481.80012499999975</v>
      </c>
      <c r="DN332" s="1113">
        <f t="shared" si="1506"/>
        <v>-576.04362500000025</v>
      </c>
      <c r="DO332" s="1113">
        <f t="shared" si="1506"/>
        <v>-630.97512500000084</v>
      </c>
      <c r="DP332" s="1113">
        <f t="shared" si="1506"/>
        <v>-677</v>
      </c>
      <c r="DQ332" s="155">
        <f t="shared" si="1506"/>
        <v>-721.57699999999932</v>
      </c>
      <c r="DR332" s="150">
        <f t="shared" ref="DR332" si="1507">+DR319-DR325</f>
        <v>-733.11612500000047</v>
      </c>
      <c r="DS332" s="1113">
        <f t="shared" ref="DS332:DT332" si="1508">+DS319-DS325</f>
        <v>-745.92762500000026</v>
      </c>
      <c r="DT332" s="1113">
        <f t="shared" si="1508"/>
        <v>-798.70924999999988</v>
      </c>
      <c r="DU332" s="155">
        <f t="shared" ref="DU332" si="1509">+DU319-DU325</f>
        <v>-876.19250000000102</v>
      </c>
      <c r="DV332" s="1113">
        <f t="shared" ref="DV332" si="1510">+DV319-DV325</f>
        <v>-938.84599999999955</v>
      </c>
      <c r="DW332" s="1113">
        <f t="shared" ref="DW332" ca="1" si="1511">DW336*((AVERAGE(DV179:DW179)+AVERAGE(DV180:DW180)))*3/1000</f>
        <v>-817.77585054420933</v>
      </c>
      <c r="DX332" s="1113">
        <f t="shared" ref="DX332" ca="1" si="1512">DX336*((AVERAGE(DW179:DX179)+AVERAGE(DW180:DX180)))*3/1000</f>
        <v>-866.14715350900428</v>
      </c>
      <c r="DY332" s="155">
        <f t="shared" ref="DY332" ca="1" si="1513">DY336*((AVERAGE(DX179:DY179)+AVERAGE(DX180:DY180)))*3/1000</f>
        <v>-943.10908912357525</v>
      </c>
    </row>
    <row r="333" spans="1:129" s="1491" customFormat="1" hidden="1" outlineLevel="1">
      <c r="A333" s="1448" t="s">
        <v>1453</v>
      </c>
      <c r="B333" s="1065"/>
      <c r="C333" s="1065"/>
      <c r="D333" s="1065"/>
      <c r="E333" s="1065"/>
      <c r="F333" s="1065"/>
      <c r="G333" s="1065"/>
      <c r="H333" s="1065"/>
      <c r="I333" s="1065"/>
      <c r="J333" s="1065"/>
      <c r="K333" s="1065"/>
      <c r="L333" s="1065"/>
      <c r="M333" s="1065"/>
      <c r="N333" s="1065"/>
      <c r="O333" s="1065"/>
      <c r="P333" s="1065"/>
      <c r="Q333" s="1065"/>
      <c r="R333" s="1065">
        <f t="shared" ref="R333:AB333" si="1514">+R332/Q332-1</f>
        <v>0.55565862890535977</v>
      </c>
      <c r="S333" s="1065">
        <f t="shared" si="1514"/>
        <v>0.26303862005845469</v>
      </c>
      <c r="T333" s="1065">
        <f t="shared" si="1514"/>
        <v>1.7864271637097806E-2</v>
      </c>
      <c r="U333" s="1065">
        <f t="shared" si="1514"/>
        <v>0.11048169919141393</v>
      </c>
      <c r="V333" s="1065">
        <f t="shared" si="1514"/>
        <v>-0.69474262899453132</v>
      </c>
      <c r="W333" s="1065">
        <f>+W332/V332-1</f>
        <v>-3.5290431058189156</v>
      </c>
      <c r="X333" s="1065">
        <f>+X332/W332-1</f>
        <v>0.30859025837826448</v>
      </c>
      <c r="Y333" s="1065">
        <f>+Y332/X332-1</f>
        <v>0.22531818384434121</v>
      </c>
      <c r="Z333" s="1065">
        <f>+Z332/Y332-1</f>
        <v>0.1552410532615569</v>
      </c>
      <c r="AA333" s="1065">
        <f t="shared" ca="1" si="1514"/>
        <v>7.0026520291386118E-2</v>
      </c>
      <c r="AB333" s="1065">
        <f t="shared" ca="1" si="1514"/>
        <v>5.7134790664962187E-2</v>
      </c>
      <c r="AC333" s="1065">
        <f t="shared" ref="AC333" ca="1" si="1515">+AC332/AB332-1</f>
        <v>6.2861398826937087E-2</v>
      </c>
      <c r="AD333" s="1065">
        <f t="shared" ref="AD333" ca="1" si="1516">+AD332/AC332-1</f>
        <v>6.6131539582056309E-2</v>
      </c>
      <c r="AE333" s="1065">
        <f t="shared" ref="AE333" ca="1" si="1517">+AE332/AD332-1</f>
        <v>6.8151747382418915E-2</v>
      </c>
      <c r="AF333" s="1065">
        <f t="shared" ref="AF333" ca="1" si="1518">+AF332/AE332-1</f>
        <v>6.9524444755886039E-2</v>
      </c>
      <c r="AG333" s="1065">
        <f t="shared" ref="AG333" ca="1" si="1519">+AG332/AF332-1</f>
        <v>7.0547299663174856E-2</v>
      </c>
      <c r="AH333" s="2201"/>
      <c r="AI333" s="1927"/>
      <c r="AJ333" s="1561"/>
      <c r="AK333" s="1065"/>
      <c r="AL333" s="1065"/>
      <c r="AM333" s="1065"/>
      <c r="AN333" s="1065"/>
      <c r="AO333" s="1065"/>
      <c r="AP333" s="563"/>
      <c r="AQ333" s="1065"/>
      <c r="AR333" s="1065"/>
      <c r="AS333" s="1065"/>
      <c r="AT333" s="563"/>
      <c r="AU333" s="1065"/>
      <c r="AV333" s="1065"/>
      <c r="AW333" s="1065"/>
      <c r="AX333" s="563"/>
      <c r="AY333" s="1065"/>
      <c r="AZ333" s="1065"/>
      <c r="BA333" s="1065"/>
      <c r="BB333" s="563"/>
      <c r="BC333" s="1065"/>
      <c r="BD333" s="1065"/>
      <c r="BE333" s="1065"/>
      <c r="BF333" s="563"/>
      <c r="BG333" s="1065"/>
      <c r="BH333" s="1065"/>
      <c r="BI333" s="1065"/>
      <c r="BJ333" s="563"/>
      <c r="BK333" s="1065"/>
      <c r="BL333" s="1065"/>
      <c r="BM333" s="1065"/>
      <c r="BN333" s="563"/>
      <c r="BO333" s="1065"/>
      <c r="BP333" s="1065"/>
      <c r="BQ333" s="1065"/>
      <c r="BR333" s="563"/>
      <c r="BS333" s="1065"/>
      <c r="BT333" s="1065"/>
      <c r="BU333" s="1065"/>
      <c r="BV333" s="563"/>
      <c r="BW333" s="1065"/>
      <c r="BX333" s="1065"/>
      <c r="BY333" s="1065"/>
      <c r="BZ333" s="563"/>
      <c r="CA333" s="1495"/>
      <c r="CB333" s="1495"/>
      <c r="CC333" s="1495"/>
      <c r="CD333" s="1501"/>
      <c r="CE333" s="1495"/>
      <c r="CF333" s="1495"/>
      <c r="CG333" s="1495"/>
      <c r="CH333" s="156"/>
      <c r="CI333" s="1095"/>
      <c r="CJ333" s="1095"/>
      <c r="CK333" s="1095"/>
      <c r="CL333" s="563"/>
      <c r="CM333" s="1065"/>
      <c r="CN333" s="1065"/>
      <c r="CO333" s="1065"/>
      <c r="CP333" s="563">
        <f t="shared" ref="CP333:DV333" si="1520">+CP332/CL332-1</f>
        <v>0.33984220167996049</v>
      </c>
      <c r="CQ333" s="1065">
        <f t="shared" si="1520"/>
        <v>0.29709044880751434</v>
      </c>
      <c r="CR333" s="1065">
        <f t="shared" si="1520"/>
        <v>0.91686395814203103</v>
      </c>
      <c r="CS333" s="1065">
        <f t="shared" si="1520"/>
        <v>0.67999331203763513</v>
      </c>
      <c r="CT333" s="563">
        <f t="shared" si="1520"/>
        <v>0.37456662917222228</v>
      </c>
      <c r="CU333" s="1065">
        <f t="shared" si="1520"/>
        <v>0.5829844909469053</v>
      </c>
      <c r="CV333" s="1065">
        <f t="shared" si="1520"/>
        <v>0.12845266163509828</v>
      </c>
      <c r="CW333" s="1065">
        <f t="shared" si="1520"/>
        <v>7.2666096769882893E-2</v>
      </c>
      <c r="CX333" s="563">
        <f t="shared" si="1520"/>
        <v>0.10378281951953539</v>
      </c>
      <c r="CY333" s="1065">
        <f t="shared" si="1520"/>
        <v>-7.4925933947017964E-2</v>
      </c>
      <c r="CZ333" s="1065">
        <f t="shared" si="1520"/>
        <v>2.4398193011138547E-2</v>
      </c>
      <c r="DA333" s="1065">
        <f t="shared" si="1520"/>
        <v>4.1840945116794703E-2</v>
      </c>
      <c r="DB333" s="563">
        <f t="shared" si="1520"/>
        <v>8.7076211250674884E-2</v>
      </c>
      <c r="DC333" s="1065">
        <f t="shared" si="1520"/>
        <v>0.23126943810247513</v>
      </c>
      <c r="DD333" s="1065">
        <f t="shared" si="1520"/>
        <v>8.9344446399267641E-2</v>
      </c>
      <c r="DE333" s="1065">
        <f t="shared" si="1520"/>
        <v>3.058337686790602E-2</v>
      </c>
      <c r="DF333" s="563">
        <f t="shared" si="1520"/>
        <v>-0.24134317652218185</v>
      </c>
      <c r="DG333" s="1065">
        <f t="shared" si="1520"/>
        <v>-0.55845142932025427</v>
      </c>
      <c r="DH333" s="1065">
        <f t="shared" si="1520"/>
        <v>-0.80867794559121331</v>
      </c>
      <c r="DI333" s="564">
        <f t="shared" si="1520"/>
        <v>-1.1867527712662855</v>
      </c>
      <c r="DJ333" s="563">
        <f t="shared" si="1520"/>
        <v>-1.6335104310635669</v>
      </c>
      <c r="DK333" s="1065">
        <f t="shared" si="1520"/>
        <v>-2.2326626829005374</v>
      </c>
      <c r="DL333" s="1065">
        <f t="shared" si="1520"/>
        <v>-5.3677003636894476</v>
      </c>
      <c r="DM333" s="564">
        <f t="shared" si="1520"/>
        <v>5.8113157866834664</v>
      </c>
      <c r="DN333" s="1065">
        <f t="shared" si="1520"/>
        <v>2.1665624510415489</v>
      </c>
      <c r="DO333" s="1065">
        <f t="shared" si="1520"/>
        <v>1.4802871310869636</v>
      </c>
      <c r="DP333" s="1065">
        <f t="shared" si="1520"/>
        <v>0.88536454442477575</v>
      </c>
      <c r="DQ333" s="564">
        <f t="shared" si="1520"/>
        <v>0.49766876876588539</v>
      </c>
      <c r="DR333" s="563">
        <f t="shared" si="1520"/>
        <v>0.27267466070820623</v>
      </c>
      <c r="DS333" s="1065">
        <f t="shared" si="1520"/>
        <v>0.18218230076819464</v>
      </c>
      <c r="DT333" s="1065">
        <f t="shared" si="1520"/>
        <v>0.17977732644017719</v>
      </c>
      <c r="DU333" s="564">
        <f t="shared" si="1520"/>
        <v>0.21427442947876929</v>
      </c>
      <c r="DV333" s="1065">
        <f t="shared" si="1520"/>
        <v>0.28062385750961205</v>
      </c>
      <c r="DW333" s="1065">
        <f t="shared" ref="DW333" ca="1" si="1521">+DW332/DS332-1</f>
        <v>9.6320639075686554E-2</v>
      </c>
      <c r="DX333" s="1065">
        <f t="shared" ref="DX333" ca="1" si="1522">+DX332/DT332-1</f>
        <v>8.4433607735235894E-2</v>
      </c>
      <c r="DY333" s="564">
        <f t="shared" ref="DY333" ca="1" si="1523">+DY332/DU332-1</f>
        <v>7.6372017705668815E-2</v>
      </c>
    </row>
    <row r="334" spans="1:129" s="1491" customFormat="1" hidden="1" outlineLevel="1">
      <c r="A334" s="1448" t="s">
        <v>808</v>
      </c>
      <c r="B334" s="1065"/>
      <c r="C334" s="1065"/>
      <c r="D334" s="1065"/>
      <c r="E334" s="1065"/>
      <c r="F334" s="1065"/>
      <c r="G334" s="1065"/>
      <c r="H334" s="1065"/>
      <c r="I334" s="1065"/>
      <c r="J334" s="1065"/>
      <c r="K334" s="1065"/>
      <c r="L334" s="1065"/>
      <c r="M334" s="1065"/>
      <c r="N334" s="1065"/>
      <c r="O334" s="1065"/>
      <c r="P334" s="1065"/>
      <c r="Q334" s="1065">
        <f t="shared" ref="Q334:AA334" si="1524">+Q332/Q301</f>
        <v>1.4312462437074883E-2</v>
      </c>
      <c r="R334" s="1065">
        <f t="shared" si="1524"/>
        <v>2.0831222923295385E-2</v>
      </c>
      <c r="S334" s="1065">
        <f t="shared" si="1524"/>
        <v>2.4741527460824569E-2</v>
      </c>
      <c r="T334" s="1065">
        <f t="shared" si="1524"/>
        <v>2.3375351936987081E-2</v>
      </c>
      <c r="U334" s="1065">
        <f t="shared" si="1524"/>
        <v>2.3964985948749143E-2</v>
      </c>
      <c r="V334" s="1065">
        <f t="shared" si="1524"/>
        <v>6.9531891091835427E-3</v>
      </c>
      <c r="W334" s="1065">
        <f t="shared" si="1524"/>
        <v>-1.8142967995340653E-2</v>
      </c>
      <c r="X334" s="1065">
        <f>+X332/X301</f>
        <v>-2.4120325872046874E-2</v>
      </c>
      <c r="Y334" s="1065">
        <f>+Y332/Y301</f>
        <v>-2.9965038482361036E-2</v>
      </c>
      <c r="Z334" s="1065">
        <f>+Z332/Z301</f>
        <v>-3.5086073870293208E-2</v>
      </c>
      <c r="AA334" s="1065">
        <f t="shared" ca="1" si="1524"/>
        <v>-4.0176267613353571E-2</v>
      </c>
      <c r="AB334" s="1065">
        <f t="shared" ref="AB334:AG334" ca="1" si="1525">+AB332/AB301</f>
        <v>-4.1795951541890364E-2</v>
      </c>
      <c r="AC334" s="1065">
        <f t="shared" ca="1" si="1525"/>
        <v>-4.367463286032567E-2</v>
      </c>
      <c r="AD334" s="1065">
        <f t="shared" ca="1" si="1525"/>
        <v>-4.5743161471612635E-2</v>
      </c>
      <c r="AE334" s="1065">
        <f t="shared" ca="1" si="1525"/>
        <v>-4.7961871502696915E-2</v>
      </c>
      <c r="AF334" s="1065">
        <f t="shared" ca="1" si="1525"/>
        <v>-5.03059975932948E-2</v>
      </c>
      <c r="AG334" s="1065">
        <f t="shared" ca="1" si="1525"/>
        <v>-5.2758067876900884E-2</v>
      </c>
      <c r="AH334" s="2201"/>
      <c r="AI334" s="1927"/>
      <c r="AJ334" s="1561"/>
      <c r="AK334" s="1065"/>
      <c r="AL334" s="1065"/>
      <c r="AM334" s="1065"/>
      <c r="AN334" s="1065"/>
      <c r="AO334" s="1065"/>
      <c r="AP334" s="563"/>
      <c r="AQ334" s="1065"/>
      <c r="AR334" s="1065"/>
      <c r="AS334" s="1065"/>
      <c r="AT334" s="563"/>
      <c r="AU334" s="1065"/>
      <c r="AV334" s="1065"/>
      <c r="AW334" s="1065"/>
      <c r="AX334" s="563"/>
      <c r="AY334" s="1065"/>
      <c r="AZ334" s="1065"/>
      <c r="BA334" s="1065"/>
      <c r="BB334" s="563"/>
      <c r="BC334" s="1065"/>
      <c r="BD334" s="1065"/>
      <c r="BE334" s="1065"/>
      <c r="BF334" s="563"/>
      <c r="BG334" s="1065"/>
      <c r="BH334" s="1065"/>
      <c r="BI334" s="1065"/>
      <c r="BJ334" s="563"/>
      <c r="BK334" s="1065"/>
      <c r="BL334" s="1065"/>
      <c r="BM334" s="1065"/>
      <c r="BN334" s="563"/>
      <c r="BO334" s="1065"/>
      <c r="BP334" s="1065"/>
      <c r="BQ334" s="1065"/>
      <c r="BR334" s="563"/>
      <c r="BS334" s="1065"/>
      <c r="BT334" s="1065"/>
      <c r="BU334" s="1065"/>
      <c r="BV334" s="563"/>
      <c r="BW334" s="1065"/>
      <c r="BX334" s="1065"/>
      <c r="BY334" s="1065"/>
      <c r="BZ334" s="563"/>
      <c r="CA334" s="1495"/>
      <c r="CB334" s="1495"/>
      <c r="CC334" s="1495"/>
      <c r="CD334" s="1501"/>
      <c r="CE334" s="1495"/>
      <c r="CF334" s="1495"/>
      <c r="CG334" s="1495"/>
      <c r="CH334" s="156"/>
      <c r="CI334" s="1095"/>
      <c r="CJ334" s="1095"/>
      <c r="CK334" s="1095"/>
      <c r="CL334" s="563">
        <f t="shared" ref="CL334:DJ334" si="1526">+CL332/CL301</f>
        <v>1.346006994106088E-2</v>
      </c>
      <c r="CM334" s="1065">
        <f t="shared" si="1526"/>
        <v>1.5386339210100828E-2</v>
      </c>
      <c r="CN334" s="1065">
        <f t="shared" si="1526"/>
        <v>1.3538609780211441E-2</v>
      </c>
      <c r="CO334" s="1065">
        <f t="shared" si="1526"/>
        <v>1.4849024501251593E-2</v>
      </c>
      <c r="CP334" s="563">
        <f t="shared" si="1526"/>
        <v>1.7041983885340874E-2</v>
      </c>
      <c r="CQ334" s="1065">
        <f t="shared" si="1526"/>
        <v>1.8781888494421063E-2</v>
      </c>
      <c r="CR334" s="1065">
        <f t="shared" si="1526"/>
        <v>2.4085160220214508E-2</v>
      </c>
      <c r="CS334" s="1065">
        <f t="shared" si="1526"/>
        <v>2.3171039949270777E-2</v>
      </c>
      <c r="CT334" s="563">
        <f t="shared" si="1526"/>
        <v>2.20421815386765E-2</v>
      </c>
      <c r="CU334" s="1065">
        <f t="shared" si="1526"/>
        <v>2.7901904535255286E-2</v>
      </c>
      <c r="CV334" s="1065">
        <f t="shared" si="1526"/>
        <v>2.5615083483004095E-2</v>
      </c>
      <c r="CW334" s="1065">
        <f t="shared" si="1526"/>
        <v>2.3352576459684866E-2</v>
      </c>
      <c r="CX334" s="563">
        <f t="shared" si="1526"/>
        <v>2.2594646333549649E-2</v>
      </c>
      <c r="CY334" s="1065">
        <f t="shared" si="1526"/>
        <v>2.4062322832150061E-2</v>
      </c>
      <c r="CZ334" s="1065">
        <f t="shared" si="1526"/>
        <v>2.4419128389253364E-2</v>
      </c>
      <c r="DA334" s="1065">
        <f t="shared" si="1526"/>
        <v>2.241956932837183E-2</v>
      </c>
      <c r="DB334" s="563">
        <f t="shared" si="1526"/>
        <v>2.2626853180296478E-2</v>
      </c>
      <c r="DC334" s="1065">
        <f t="shared" si="1526"/>
        <v>2.7368471132451125E-2</v>
      </c>
      <c r="DD334" s="1065">
        <f t="shared" si="1526"/>
        <v>2.4532427494861841E-2</v>
      </c>
      <c r="DE334" s="1065">
        <f t="shared" si="1526"/>
        <v>2.138581248941334E-2</v>
      </c>
      <c r="DF334" s="563">
        <f t="shared" si="1526"/>
        <v>1.5964481292044294E-2</v>
      </c>
      <c r="DG334" s="1065">
        <f t="shared" si="1526"/>
        <v>1.1416044363314523E-2</v>
      </c>
      <c r="DH334" s="1065">
        <f t="shared" si="1526"/>
        <v>4.4788080191762768E-3</v>
      </c>
      <c r="DI334" s="564">
        <f t="shared" si="1526"/>
        <v>-3.8846312263166416E-3</v>
      </c>
      <c r="DJ334" s="563">
        <f t="shared" si="1526"/>
        <v>-1.0154878865691681E-2</v>
      </c>
      <c r="DK334" s="1065">
        <f t="shared" ref="DK334:DM334" si="1527">+DK332/DK301</f>
        <v>-1.4381593080445511E-2</v>
      </c>
      <c r="DL334" s="1065">
        <f t="shared" si="1527"/>
        <v>-2.0404690873962916E-2</v>
      </c>
      <c r="DM334" s="564">
        <f t="shared" si="1527"/>
        <v>-2.8019780459435869E-2</v>
      </c>
      <c r="DN334" s="1065">
        <f t="shared" ref="DN334:DO334" si="1528">+DN332/DN301</f>
        <v>-3.4269952108989248E-2</v>
      </c>
      <c r="DO334" s="1065">
        <f t="shared" si="1528"/>
        <v>-3.7690408279075376E-2</v>
      </c>
      <c r="DP334" s="1065">
        <f t="shared" ref="DP334:DQ334" si="1529">+DP332/DP301</f>
        <v>-4.0577799088947493E-2</v>
      </c>
      <c r="DQ334" s="564">
        <f t="shared" si="1529"/>
        <v>-4.4143949590113744E-2</v>
      </c>
      <c r="DR334" s="563">
        <f t="shared" ref="DR334" si="1530">+DR332/DR301</f>
        <v>-4.6464452085181927E-2</v>
      </c>
      <c r="DS334" s="1065">
        <f t="shared" ref="DS334:DT334" si="1531">+DS332/DS301</f>
        <v>-4.7748535718858037E-2</v>
      </c>
      <c r="DT334" s="1065">
        <f t="shared" si="1531"/>
        <v>-5.0420380657786749E-2</v>
      </c>
      <c r="DU334" s="564">
        <f t="shared" ref="DU334" si="1532">+DU332/DU301</f>
        <v>-5.5175850125944649E-2</v>
      </c>
      <c r="DV334" s="1065">
        <f t="shared" ref="DV334" si="1533">+DV332/DV301</f>
        <v>-6.0956109596156313E-2</v>
      </c>
      <c r="DW334" s="1065">
        <f t="shared" ref="DW334:DY334" ca="1" si="1534">+DW332/DW301</f>
        <v>-5.2997741212509511E-2</v>
      </c>
      <c r="DX334" s="1065">
        <f t="shared" ca="1" si="1534"/>
        <v>-5.5381656717607572E-2</v>
      </c>
      <c r="DY334" s="564">
        <f t="shared" ca="1" si="1534"/>
        <v>-6.02996285748508E-2</v>
      </c>
    </row>
    <row r="335" spans="1:129" s="1491" customFormat="1" hidden="1" outlineLevel="1">
      <c r="A335" s="1448" t="s">
        <v>809</v>
      </c>
      <c r="B335" s="1065"/>
      <c r="C335" s="1065"/>
      <c r="D335" s="1065"/>
      <c r="E335" s="1065"/>
      <c r="F335" s="1065"/>
      <c r="G335" s="1065"/>
      <c r="H335" s="1065"/>
      <c r="I335" s="1065"/>
      <c r="J335" s="1065"/>
      <c r="K335" s="1065"/>
      <c r="L335" s="1065"/>
      <c r="M335" s="1065"/>
      <c r="N335" s="1065"/>
      <c r="O335" s="1065"/>
      <c r="P335" s="1065"/>
      <c r="Q335" s="1065">
        <f t="shared" ref="Q335:V335" si="1535">+Q332/Q319</f>
        <v>4.7860859676175746E-2</v>
      </c>
      <c r="R335" s="1065">
        <f t="shared" si="1535"/>
        <v>5.9274685421994835E-2</v>
      </c>
      <c r="S335" s="1065">
        <f t="shared" si="1535"/>
        <v>6.1897764526769816E-2</v>
      </c>
      <c r="T335" s="1065">
        <f t="shared" si="1535"/>
        <v>5.2726289329322162E-2</v>
      </c>
      <c r="U335" s="1065">
        <f t="shared" si="1535"/>
        <v>4.9384324626865657E-2</v>
      </c>
      <c r="V335" s="1065">
        <f t="shared" si="1535"/>
        <v>1.4346878551136383E-2</v>
      </c>
      <c r="W335" s="1065">
        <f t="shared" ref="W335:AB335" si="1536">+W332/W319</f>
        <v>-3.6283874289772741E-2</v>
      </c>
      <c r="X335" s="1065">
        <f t="shared" si="1536"/>
        <v>-4.748072443181818E-2</v>
      </c>
      <c r="Y335" s="1065">
        <f t="shared" si="1536"/>
        <v>-5.8178995028409099E-2</v>
      </c>
      <c r="Z335" s="1065">
        <f t="shared" si="1536"/>
        <v>-6.7210763494318204E-2</v>
      </c>
      <c r="AA335" s="1065">
        <f t="shared" ca="1" si="1536"/>
        <v>-6.5259846170638888E-2</v>
      </c>
      <c r="AB335" s="1065">
        <f t="shared" ca="1" si="1536"/>
        <v>-6.1490605707944339E-2</v>
      </c>
      <c r="AC335" s="1065">
        <f t="shared" ref="AC335:AG335" ca="1" si="1537">+AC332/AC319</f>
        <v>-5.841528992606989E-2</v>
      </c>
      <c r="AD335" s="1065">
        <f t="shared" ca="1" si="1537"/>
        <v>-5.5784803481768806E-2</v>
      </c>
      <c r="AE335" s="1065">
        <f t="shared" ca="1" si="1537"/>
        <v>-5.346512627270273E-2</v>
      </c>
      <c r="AF335" s="1065">
        <f t="shared" ca="1" si="1537"/>
        <v>-5.1378173378400734E-2</v>
      </c>
      <c r="AG335" s="1065">
        <f t="shared" ca="1" si="1537"/>
        <v>-4.9474418106935168E-2</v>
      </c>
      <c r="AH335" s="2201"/>
      <c r="AI335" s="1927"/>
      <c r="AJ335" s="1561"/>
      <c r="AK335" s="1065"/>
      <c r="AL335" s="1065"/>
      <c r="AM335" s="1065"/>
      <c r="AN335" s="1065"/>
      <c r="AO335" s="1065"/>
      <c r="AP335" s="563"/>
      <c r="AQ335" s="1065"/>
      <c r="AR335" s="1065"/>
      <c r="AS335" s="1065"/>
      <c r="AT335" s="563"/>
      <c r="AU335" s="1065"/>
      <c r="AV335" s="1065"/>
      <c r="AW335" s="1065"/>
      <c r="AX335" s="563"/>
      <c r="AY335" s="1065"/>
      <c r="AZ335" s="1065"/>
      <c r="BA335" s="1065"/>
      <c r="BB335" s="563"/>
      <c r="BC335" s="1065"/>
      <c r="BD335" s="1065"/>
      <c r="BE335" s="1065"/>
      <c r="BF335" s="563"/>
      <c r="BG335" s="1065"/>
      <c r="BH335" s="1065"/>
      <c r="BI335" s="1065"/>
      <c r="BJ335" s="563"/>
      <c r="BK335" s="1065"/>
      <c r="BL335" s="1065"/>
      <c r="BM335" s="1065"/>
      <c r="BN335" s="563"/>
      <c r="BO335" s="1065"/>
      <c r="BP335" s="1065"/>
      <c r="BQ335" s="1065"/>
      <c r="BR335" s="563"/>
      <c r="BS335" s="1065"/>
      <c r="BT335" s="1065"/>
      <c r="BU335" s="1065"/>
      <c r="BV335" s="563"/>
      <c r="BW335" s="1065"/>
      <c r="BX335" s="1065"/>
      <c r="BY335" s="1065"/>
      <c r="BZ335" s="563"/>
      <c r="CA335" s="1495"/>
      <c r="CB335" s="1495"/>
      <c r="CC335" s="1495"/>
      <c r="CD335" s="1501"/>
      <c r="CE335" s="1495"/>
      <c r="CF335" s="1495"/>
      <c r="CG335" s="1495"/>
      <c r="CH335" s="156"/>
      <c r="CI335" s="1095"/>
      <c r="CJ335" s="1095"/>
      <c r="CK335" s="1095"/>
      <c r="CL335" s="563">
        <f t="shared" ref="CL335:DE335" si="1538">+CL332/CL319</f>
        <v>4.8220548986486401E-2</v>
      </c>
      <c r="CM335" s="1065">
        <f t="shared" si="1538"/>
        <v>5.2496233254531038E-2</v>
      </c>
      <c r="CN335" s="1065">
        <f t="shared" si="1538"/>
        <v>4.4427047666583536E-2</v>
      </c>
      <c r="CO335" s="1065">
        <f t="shared" si="1538"/>
        <v>4.6630464506907991E-2</v>
      </c>
      <c r="CP335" s="563">
        <f t="shared" si="1538"/>
        <v>5.1408457661290367E-2</v>
      </c>
      <c r="CQ335" s="1065">
        <f t="shared" si="1538"/>
        <v>5.4505387931034384E-2</v>
      </c>
      <c r="CR335" s="1065">
        <f t="shared" si="1538"/>
        <v>6.7411803634926729E-2</v>
      </c>
      <c r="CS335" s="1065">
        <f t="shared" si="1538"/>
        <v>6.2427215261959025E-2</v>
      </c>
      <c r="CT335" s="563">
        <f t="shared" si="1538"/>
        <v>5.7795100769512532E-2</v>
      </c>
      <c r="CU335" s="1065">
        <f t="shared" si="1538"/>
        <v>7.0628796901893207E-2</v>
      </c>
      <c r="CV335" s="1065">
        <f t="shared" si="1538"/>
        <v>6.3126483606557468E-2</v>
      </c>
      <c r="CW335" s="1065">
        <f t="shared" si="1538"/>
        <v>5.6190509716470154E-2</v>
      </c>
      <c r="CX335" s="563">
        <f t="shared" si="1538"/>
        <v>5.2691207627118659E-2</v>
      </c>
      <c r="CY335" s="1065">
        <f t="shared" si="1538"/>
        <v>5.5135396514161127E-2</v>
      </c>
      <c r="CZ335" s="1065">
        <f t="shared" si="1538"/>
        <v>5.4319278435692488E-2</v>
      </c>
      <c r="DA335" s="1065">
        <f t="shared" si="1538"/>
        <v>4.9003199999999927E-2</v>
      </c>
      <c r="DB335" s="563">
        <f t="shared" si="1538"/>
        <v>4.7911645569620187E-2</v>
      </c>
      <c r="DC335" s="1065">
        <f t="shared" si="1538"/>
        <v>5.6999847560975647E-2</v>
      </c>
      <c r="DD335" s="1065">
        <f t="shared" si="1538"/>
        <v>4.9966279069767444E-2</v>
      </c>
      <c r="DE335" s="1065">
        <f t="shared" si="1538"/>
        <v>4.3041377840909056E-2</v>
      </c>
      <c r="DF335" s="563">
        <f>+DF332/DF319</f>
        <v>3.2631036931818264E-2</v>
      </c>
      <c r="DG335" s="1065">
        <f>+DG332/DG319</f>
        <v>2.3452187499999996E-2</v>
      </c>
      <c r="DH335" s="1065">
        <f>+DH332/DH319</f>
        <v>9.342386363636334E-3</v>
      </c>
      <c r="DI335" s="564">
        <f>+DI332/DI319</f>
        <v>-8.0380965909090593E-3</v>
      </c>
      <c r="DJ335" s="563">
        <f t="shared" ref="DJ335:DM335" si="1539">+DJ332/DJ319</f>
        <v>-2.0672102272727359E-2</v>
      </c>
      <c r="DK335" s="1065">
        <f t="shared" si="1539"/>
        <v>-2.8908636363636435E-2</v>
      </c>
      <c r="DL335" s="1065">
        <f t="shared" si="1539"/>
        <v>-4.0804744318181749E-2</v>
      </c>
      <c r="DM335" s="564">
        <f t="shared" si="1539"/>
        <v>-5.4750014204545429E-2</v>
      </c>
      <c r="DN335" s="1065">
        <f t="shared" ref="DN335:DO335" si="1540">+DN332/DN319</f>
        <v>-6.5459502840909123E-2</v>
      </c>
      <c r="DO335" s="1065">
        <f t="shared" si="1540"/>
        <v>-7.1701718750000101E-2</v>
      </c>
      <c r="DP335" s="1065">
        <f t="shared" ref="DP335:DQ335" si="1541">+DP332/DP319</f>
        <v>-7.6931818181818185E-2</v>
      </c>
      <c r="DQ335" s="564">
        <f t="shared" si="1541"/>
        <v>-8.1997386363636279E-2</v>
      </c>
      <c r="DR335" s="563">
        <f t="shared" ref="DR335" si="1542">+DR332/DR319</f>
        <v>-8.3308650568181875E-2</v>
      </c>
      <c r="DS335" s="1065">
        <f t="shared" ref="DS335:DT335" si="1543">+DS332/DS319</f>
        <v>-8.4764502840909126E-2</v>
      </c>
      <c r="DT335" s="1065">
        <f t="shared" si="1543"/>
        <v>-9.0762414772727257E-2</v>
      </c>
      <c r="DU335" s="564">
        <f t="shared" ref="DU335" si="1544">+DU332/DU319</f>
        <v>-9.9567329545454664E-2</v>
      </c>
      <c r="DV335" s="1065">
        <f t="shared" ref="DV335" si="1545">+DV332/DV319</f>
        <v>-0.10668704545454541</v>
      </c>
      <c r="DW335" s="1065">
        <f t="shared" ref="DW335:DY335" ca="1" si="1546">+DW332/DW319</f>
        <v>-8.2353277895636873E-2</v>
      </c>
      <c r="DX335" s="1065">
        <f t="shared" ca="1" si="1546"/>
        <v>-8.7245412110453432E-2</v>
      </c>
      <c r="DY335" s="564">
        <f t="shared" ca="1" si="1546"/>
        <v>-9.5020986896379264E-2</v>
      </c>
    </row>
    <row r="336" spans="1:129" s="1491" customFormat="1" hidden="1" outlineLevel="1">
      <c r="A336" s="711" t="s">
        <v>812</v>
      </c>
      <c r="B336" s="1064"/>
      <c r="C336" s="1064"/>
      <c r="D336" s="1064"/>
      <c r="E336" s="1064"/>
      <c r="F336" s="1064"/>
      <c r="G336" s="1064"/>
      <c r="H336" s="1064"/>
      <c r="I336" s="1064"/>
      <c r="J336" s="1064"/>
      <c r="K336" s="1064"/>
      <c r="L336" s="1064"/>
      <c r="M336" s="1064"/>
      <c r="N336" s="1064"/>
      <c r="O336" s="1064"/>
      <c r="P336" s="1064"/>
      <c r="Q336" s="1519">
        <f t="shared" ref="Q336:Z336" si="1547">+Q332/((AVERAGE(P179:Q179)+AVERAGE(P180:Q180)))/12*1000</f>
        <v>3.8797209374999961</v>
      </c>
      <c r="R336" s="1519">
        <f t="shared" si="1547"/>
        <v>5.4991795032411712</v>
      </c>
      <c r="S336" s="1519">
        <f t="shared" si="1547"/>
        <v>6.1907189625418706</v>
      </c>
      <c r="T336" s="1519">
        <f t="shared" si="1547"/>
        <v>5.8700414706415351</v>
      </c>
      <c r="U336" s="1519">
        <f t="shared" si="1547"/>
        <v>5.8939153057443727</v>
      </c>
      <c r="V336" s="1519">
        <f t="shared" si="1547"/>
        <v>1.6257190845936449</v>
      </c>
      <c r="W336" s="1519">
        <f t="shared" si="1547"/>
        <v>-4.0108039084531386</v>
      </c>
      <c r="X336" s="1519">
        <f t="shared" si="1547"/>
        <v>-5.2190958430138146</v>
      </c>
      <c r="Y336" s="1519">
        <f t="shared" si="1547"/>
        <v>-6.0882018271437577</v>
      </c>
      <c r="Z336" s="1519">
        <f t="shared" ca="1" si="1547"/>
        <v>-6.8350280309598137</v>
      </c>
      <c r="AA336" s="1229">
        <f ca="1">+Z336*(1+AA337)</f>
        <v>-7.3818302734365995</v>
      </c>
      <c r="AB336" s="1229">
        <f ca="1">+AA336*(1+AB337)</f>
        <v>-7.972376695311528</v>
      </c>
      <c r="AC336" s="1229">
        <f t="shared" ref="AC336:AG336" ca="1" si="1548">+AB336*(1+AC337)</f>
        <v>-8.6101668309364516</v>
      </c>
      <c r="AD336" s="1229">
        <f t="shared" ca="1" si="1548"/>
        <v>-9.2989801774113676</v>
      </c>
      <c r="AE336" s="1229">
        <f t="shared" ca="1" si="1548"/>
        <v>-10.042898591604278</v>
      </c>
      <c r="AF336" s="1229">
        <f t="shared" ca="1" si="1548"/>
        <v>-10.84633047893262</v>
      </c>
      <c r="AG336" s="1229">
        <f t="shared" ca="1" si="1548"/>
        <v>-11.714036917247229</v>
      </c>
      <c r="AH336" s="2201"/>
      <c r="AI336" s="1927"/>
      <c r="AJ336" s="1561"/>
      <c r="AK336" s="1064"/>
      <c r="AL336" s="1064"/>
      <c r="AM336" s="1064"/>
      <c r="AN336" s="1064"/>
      <c r="AO336" s="1064"/>
      <c r="AP336" s="569"/>
      <c r="AQ336" s="1064"/>
      <c r="AR336" s="1064"/>
      <c r="AS336" s="1064"/>
      <c r="AT336" s="569"/>
      <c r="AU336" s="1064"/>
      <c r="AV336" s="1064"/>
      <c r="AW336" s="1064"/>
      <c r="AX336" s="569"/>
      <c r="AY336" s="1064"/>
      <c r="AZ336" s="1064"/>
      <c r="BA336" s="1064"/>
      <c r="BB336" s="569"/>
      <c r="BC336" s="1064"/>
      <c r="BD336" s="1064"/>
      <c r="BE336" s="1064"/>
      <c r="BF336" s="569"/>
      <c r="BG336" s="1064"/>
      <c r="BH336" s="1064"/>
      <c r="BI336" s="1064"/>
      <c r="BJ336" s="569"/>
      <c r="BK336" s="1064"/>
      <c r="BL336" s="1064"/>
      <c r="BM336" s="1064"/>
      <c r="BN336" s="569"/>
      <c r="BO336" s="1064"/>
      <c r="BP336" s="1064"/>
      <c r="BQ336" s="1064"/>
      <c r="BR336" s="569"/>
      <c r="BS336" s="1064"/>
      <c r="BT336" s="1064"/>
      <c r="BU336" s="1064"/>
      <c r="BV336" s="569"/>
      <c r="BW336" s="1064"/>
      <c r="BX336" s="1064"/>
      <c r="BY336" s="1064"/>
      <c r="BZ336" s="569"/>
      <c r="CA336" s="1502"/>
      <c r="CB336" s="1502"/>
      <c r="CC336" s="1502"/>
      <c r="CD336" s="1467"/>
      <c r="CE336" s="1502"/>
      <c r="CF336" s="1502"/>
      <c r="CG336" s="1502"/>
      <c r="CH336" s="164"/>
      <c r="CI336" s="1103"/>
      <c r="CJ336" s="1103"/>
      <c r="CK336" s="1103"/>
      <c r="CL336" s="631">
        <f t="shared" ref="CL336:DV336" si="1549">+CL332/((AVERAGE(CK179:CL179)+AVERAGE(CK180:CL180)))/3*1000</f>
        <v>3.7374397748101527</v>
      </c>
      <c r="CM336" s="1229">
        <f t="shared" si="1549"/>
        <v>4.461854592947315</v>
      </c>
      <c r="CN336" s="1229">
        <f t="shared" si="1549"/>
        <v>3.9805283693890154</v>
      </c>
      <c r="CO336" s="1229">
        <f t="shared" si="1549"/>
        <v>4.2111367107669091</v>
      </c>
      <c r="CP336" s="631">
        <f t="shared" si="1549"/>
        <v>4.6211245355967057</v>
      </c>
      <c r="CQ336" s="1229">
        <f t="shared" si="1549"/>
        <v>4.8998700500897749</v>
      </c>
      <c r="CR336" s="1229">
        <f t="shared" si="1549"/>
        <v>6.1482761727160371</v>
      </c>
      <c r="CS336" s="1229">
        <f t="shared" si="1549"/>
        <v>5.7758207539713924</v>
      </c>
      <c r="CT336" s="631">
        <f t="shared" si="1549"/>
        <v>5.3767924592622789</v>
      </c>
      <c r="CU336" s="1229">
        <f t="shared" si="1549"/>
        <v>6.6836596548663119</v>
      </c>
      <c r="CV336" s="1229">
        <f t="shared" si="1549"/>
        <v>6.0645964249153579</v>
      </c>
      <c r="CW336" s="1229">
        <f t="shared" si="1549"/>
        <v>5.6433665282876939</v>
      </c>
      <c r="CX336" s="631">
        <f t="shared" si="1549"/>
        <v>5.6358155081295891</v>
      </c>
      <c r="CY336" s="1229">
        <f t="shared" si="1549"/>
        <v>5.9741618469818834</v>
      </c>
      <c r="CZ336" s="1229">
        <f t="shared" si="1549"/>
        <v>6.0756337984782496</v>
      </c>
      <c r="DA336" s="1229">
        <f t="shared" si="1549"/>
        <v>5.5884861893574715</v>
      </c>
      <c r="DB336" s="631">
        <f t="shared" si="1549"/>
        <v>5.5954999704334387</v>
      </c>
      <c r="DC336" s="1229">
        <f t="shared" si="1549"/>
        <v>6.684812534414581</v>
      </c>
      <c r="DD336" s="1229">
        <f t="shared" si="1549"/>
        <v>6.004093922690533</v>
      </c>
      <c r="DE336" s="1229">
        <f t="shared" si="1549"/>
        <v>5.1589387624456835</v>
      </c>
      <c r="DF336" s="631">
        <f t="shared" si="1549"/>
        <v>3.8241193900652641</v>
      </c>
      <c r="DG336" s="1229">
        <f t="shared" si="1549"/>
        <v>2.6874922681251419</v>
      </c>
      <c r="DH336" s="1229">
        <f t="shared" si="1549"/>
        <v>1.04762632923651</v>
      </c>
      <c r="DI336" s="632">
        <f t="shared" si="1549"/>
        <v>-0.88270657457149815</v>
      </c>
      <c r="DJ336" s="631">
        <f t="shared" si="1549"/>
        <v>-2.2320934484260739</v>
      </c>
      <c r="DK336" s="1229">
        <f t="shared" si="1549"/>
        <v>-3.1155935213251356</v>
      </c>
      <c r="DL336" s="1229">
        <f t="shared" si="1549"/>
        <v>-4.4493398757194385</v>
      </c>
      <c r="DM336" s="632">
        <f t="shared" si="1549"/>
        <v>-6.0879469926712133</v>
      </c>
      <c r="DN336" s="1229">
        <f t="shared" si="1549"/>
        <v>-7.3335577155660827</v>
      </c>
      <c r="DO336" s="1229">
        <f t="shared" si="1549"/>
        <v>-7.9566104890166809</v>
      </c>
      <c r="DP336" s="1229">
        <f t="shared" si="1549"/>
        <v>-8.4246417660637505</v>
      </c>
      <c r="DQ336" s="632">
        <f t="shared" si="1549"/>
        <v>-8.8573462711666675</v>
      </c>
      <c r="DR336" s="631">
        <f t="shared" si="1549"/>
        <v>-8.7585406138370256</v>
      </c>
      <c r="DS336" s="1229">
        <f t="shared" si="1549"/>
        <v>-8.6840787114650304</v>
      </c>
      <c r="DT336" s="1229">
        <f t="shared" si="1549"/>
        <v>-9.2099426331113587</v>
      </c>
      <c r="DU336" s="632">
        <f t="shared" si="1549"/>
        <v>-10.10550202123305</v>
      </c>
      <c r="DV336" s="1229">
        <f t="shared" si="1549"/>
        <v>-10.767385183528583</v>
      </c>
      <c r="DW336" s="1229">
        <f t="shared" ref="DW336" si="1550">+DS336*(1+DW337)</f>
        <v>-9.2919642212675839</v>
      </c>
      <c r="DX336" s="1229">
        <f t="shared" ref="DX336" si="1551">+DT336*(1+DX337)</f>
        <v>-9.8546386174291545</v>
      </c>
      <c r="DY336" s="632">
        <f t="shared" ref="DY336" si="1552">+DU336*(1+DY337)</f>
        <v>-10.812887162719365</v>
      </c>
    </row>
    <row r="337" spans="1:129" s="1491" customFormat="1" hidden="1" outlineLevel="1">
      <c r="A337" s="1448" t="s">
        <v>1453</v>
      </c>
      <c r="B337" s="1065"/>
      <c r="C337" s="1065"/>
      <c r="D337" s="1065"/>
      <c r="E337" s="1065"/>
      <c r="F337" s="1065"/>
      <c r="G337" s="1065"/>
      <c r="H337" s="1065"/>
      <c r="I337" s="1065"/>
      <c r="J337" s="1065"/>
      <c r="K337" s="1065"/>
      <c r="L337" s="1065"/>
      <c r="M337" s="1065"/>
      <c r="N337" s="1065"/>
      <c r="O337" s="1065"/>
      <c r="P337" s="1065"/>
      <c r="Q337" s="1065"/>
      <c r="R337" s="1065">
        <f t="shared" ref="R337:Z337" si="1553">+R336/Q336-1</f>
        <v>0.41741625024832785</v>
      </c>
      <c r="S337" s="1065">
        <f t="shared" si="1553"/>
        <v>0.12575320716356164</v>
      </c>
      <c r="T337" s="1065">
        <f t="shared" si="1553"/>
        <v>-5.179971726073429E-2</v>
      </c>
      <c r="U337" s="1065">
        <f t="shared" si="1553"/>
        <v>4.0670641293150123E-3</v>
      </c>
      <c r="V337" s="1065">
        <f t="shared" si="1553"/>
        <v>-0.72416992775427669</v>
      </c>
      <c r="W337" s="1065">
        <f t="shared" si="1553"/>
        <v>-3.4670952973746108</v>
      </c>
      <c r="X337" s="1065">
        <f t="shared" si="1553"/>
        <v>0.30125928919488909</v>
      </c>
      <c r="Y337" s="1065">
        <f t="shared" si="1553"/>
        <v>0.1665242429478111</v>
      </c>
      <c r="Z337" s="1065">
        <f t="shared" ca="1" si="1553"/>
        <v>0.12266778024447089</v>
      </c>
      <c r="AA337" s="1095">
        <v>0.08</v>
      </c>
      <c r="AB337" s="1095">
        <v>0.08</v>
      </c>
      <c r="AC337" s="1095">
        <v>0.08</v>
      </c>
      <c r="AD337" s="1095">
        <v>0.08</v>
      </c>
      <c r="AE337" s="1095">
        <v>0.08</v>
      </c>
      <c r="AF337" s="1095">
        <v>0.08</v>
      </c>
      <c r="AG337" s="1095">
        <v>0.08</v>
      </c>
      <c r="AH337" s="2201"/>
      <c r="AI337" s="1927"/>
      <c r="AJ337" s="1561"/>
      <c r="AK337" s="1065"/>
      <c r="AL337" s="1065"/>
      <c r="AM337" s="1065"/>
      <c r="AN337" s="1065"/>
      <c r="AO337" s="1065"/>
      <c r="AP337" s="563"/>
      <c r="AQ337" s="1065"/>
      <c r="AR337" s="1065"/>
      <c r="AS337" s="1065"/>
      <c r="AT337" s="563"/>
      <c r="AU337" s="1065"/>
      <c r="AV337" s="1065"/>
      <c r="AW337" s="1065"/>
      <c r="AX337" s="563"/>
      <c r="AY337" s="1065"/>
      <c r="AZ337" s="1065"/>
      <c r="BA337" s="1065"/>
      <c r="BB337" s="563"/>
      <c r="BC337" s="1065"/>
      <c r="BD337" s="1065"/>
      <c r="BE337" s="1065"/>
      <c r="BF337" s="563"/>
      <c r="BG337" s="1065"/>
      <c r="BH337" s="1065"/>
      <c r="BI337" s="1065"/>
      <c r="BJ337" s="563"/>
      <c r="BK337" s="1065"/>
      <c r="BL337" s="1065"/>
      <c r="BM337" s="1065"/>
      <c r="BN337" s="563"/>
      <c r="BO337" s="1065"/>
      <c r="BP337" s="1065"/>
      <c r="BQ337" s="1065"/>
      <c r="BR337" s="563"/>
      <c r="BS337" s="1065"/>
      <c r="BT337" s="1065"/>
      <c r="BU337" s="1065"/>
      <c r="BV337" s="563"/>
      <c r="BW337" s="1065"/>
      <c r="BX337" s="1065"/>
      <c r="BY337" s="1065"/>
      <c r="BZ337" s="563"/>
      <c r="CA337" s="1495"/>
      <c r="CB337" s="1495"/>
      <c r="CC337" s="1495"/>
      <c r="CD337" s="1501"/>
      <c r="CE337" s="1495"/>
      <c r="CF337" s="1495"/>
      <c r="CG337" s="1495"/>
      <c r="CH337" s="156"/>
      <c r="CI337" s="1095"/>
      <c r="CJ337" s="1095"/>
      <c r="CK337" s="1095"/>
      <c r="CL337" s="165"/>
      <c r="CM337" s="1059"/>
      <c r="CN337" s="1059"/>
      <c r="CO337" s="1059"/>
      <c r="CP337" s="563">
        <f t="shared" ref="CP337:DV337" si="1554">+CP336/CL336-1</f>
        <v>0.23644120414794934</v>
      </c>
      <c r="CQ337" s="1065">
        <f t="shared" si="1554"/>
        <v>9.8168922365783562E-2</v>
      </c>
      <c r="CR337" s="1065">
        <f t="shared" si="1554"/>
        <v>0.54458795470405263</v>
      </c>
      <c r="CS337" s="1065">
        <f t="shared" si="1554"/>
        <v>0.37155859585464079</v>
      </c>
      <c r="CT337" s="563">
        <f t="shared" si="1554"/>
        <v>0.16352468275733179</v>
      </c>
      <c r="CU337" s="1065">
        <f t="shared" si="1554"/>
        <v>0.36404834955650589</v>
      </c>
      <c r="CV337" s="1065">
        <f t="shared" si="1554"/>
        <v>-1.3610277978731933E-2</v>
      </c>
      <c r="CW337" s="1065">
        <f t="shared" si="1554"/>
        <v>-2.2932537439397604E-2</v>
      </c>
      <c r="CX337" s="563">
        <f t="shared" si="1554"/>
        <v>4.8174269479400511E-2</v>
      </c>
      <c r="CY337" s="1065">
        <f t="shared" si="1554"/>
        <v>-0.10615408990310415</v>
      </c>
      <c r="CZ337" s="1065">
        <f t="shared" si="1554"/>
        <v>1.8199683523121291E-3</v>
      </c>
      <c r="DA337" s="1065">
        <f t="shared" si="1554"/>
        <v>-9.7247518223619878E-3</v>
      </c>
      <c r="DB337" s="563">
        <f t="shared" si="1554"/>
        <v>-7.1534523509501069E-3</v>
      </c>
      <c r="DC337" s="1065">
        <f t="shared" si="1554"/>
        <v>0.11895404002014365</v>
      </c>
      <c r="DD337" s="1065">
        <f t="shared" si="1554"/>
        <v>-1.1774882779412299E-2</v>
      </c>
      <c r="DE337" s="1065">
        <f t="shared" si="1554"/>
        <v>-7.6862930739598823E-2</v>
      </c>
      <c r="DF337" s="563">
        <f t="shared" si="1554"/>
        <v>-0.31657235094774916</v>
      </c>
      <c r="DG337" s="1065">
        <f t="shared" si="1554"/>
        <v>-0.59797043607588651</v>
      </c>
      <c r="DH337" s="1065">
        <f t="shared" si="1554"/>
        <v>-0.82551466670477214</v>
      </c>
      <c r="DI337" s="564">
        <f t="shared" si="1554"/>
        <v>-1.171102355584666</v>
      </c>
      <c r="DJ337" s="563">
        <f t="shared" si="1554"/>
        <v>-1.5836882222414035</v>
      </c>
      <c r="DK337" s="1065">
        <f t="shared" si="1554"/>
        <v>-2.1592939478477633</v>
      </c>
      <c r="DL337" s="1065">
        <f t="shared" si="1554"/>
        <v>-5.2470676342795164</v>
      </c>
      <c r="DM337" s="564">
        <f t="shared" si="1554"/>
        <v>5.8969090840028597</v>
      </c>
      <c r="DN337" s="1065">
        <f t="shared" si="1554"/>
        <v>2.2855065816071578</v>
      </c>
      <c r="DO337" s="1065">
        <f t="shared" si="1554"/>
        <v>1.5538024888537278</v>
      </c>
      <c r="DP337" s="1065">
        <f t="shared" si="1554"/>
        <v>0.89345880543718259</v>
      </c>
      <c r="DQ337" s="564">
        <f t="shared" si="1554"/>
        <v>0.4548987173885235</v>
      </c>
      <c r="DR337" s="563">
        <f t="shared" si="1554"/>
        <v>0.19430990435192164</v>
      </c>
      <c r="DS337" s="1065">
        <f t="shared" si="1554"/>
        <v>9.1429412493240436E-2</v>
      </c>
      <c r="DT337" s="1065">
        <f t="shared" si="1554"/>
        <v>9.3214748929855595E-2</v>
      </c>
      <c r="DU337" s="564">
        <f t="shared" si="1554"/>
        <v>0.14091757416434159</v>
      </c>
      <c r="DV337" s="1065">
        <f t="shared" si="1554"/>
        <v>0.22935836668016596</v>
      </c>
      <c r="DW337" s="1095">
        <v>7.0000000000000007E-2</v>
      </c>
      <c r="DX337" s="1095">
        <v>7.0000000000000007E-2</v>
      </c>
      <c r="DY337" s="525">
        <v>7.0000000000000007E-2</v>
      </c>
    </row>
    <row r="338" spans="1:129" s="1491" customFormat="1" hidden="1" outlineLevel="1">
      <c r="A338" s="569"/>
      <c r="B338" s="1064"/>
      <c r="C338" s="1064"/>
      <c r="D338" s="1064"/>
      <c r="E338" s="1064"/>
      <c r="F338" s="1064"/>
      <c r="G338" s="1064"/>
      <c r="H338" s="1064"/>
      <c r="I338" s="1064"/>
      <c r="J338" s="1064"/>
      <c r="K338" s="1064"/>
      <c r="L338" s="1064"/>
      <c r="M338" s="1064"/>
      <c r="N338" s="1064"/>
      <c r="O338" s="1070"/>
      <c r="P338" s="1070"/>
      <c r="Q338" s="1515"/>
      <c r="R338" s="1528"/>
      <c r="S338" s="1528"/>
      <c r="T338" s="1528"/>
      <c r="U338" s="1528"/>
      <c r="V338" s="1528"/>
      <c r="W338" s="1528"/>
      <c r="X338" s="1528"/>
      <c r="Y338" s="1528"/>
      <c r="Z338" s="1528"/>
      <c r="AA338" s="1528"/>
      <c r="AB338" s="1528"/>
      <c r="AC338" s="1528"/>
      <c r="AD338" s="1528"/>
      <c r="AE338" s="1528"/>
      <c r="AF338" s="1528"/>
      <c r="AG338" s="1528"/>
      <c r="AH338" s="2201"/>
      <c r="AI338" s="1927"/>
      <c r="AJ338" s="1561"/>
      <c r="AK338" s="1064"/>
      <c r="AL338" s="1064"/>
      <c r="AM338" s="1064"/>
      <c r="AN338" s="1064"/>
      <c r="AO338" s="1064"/>
      <c r="AP338" s="569"/>
      <c r="AQ338" s="1064"/>
      <c r="AR338" s="1064"/>
      <c r="AS338" s="1064"/>
      <c r="AT338" s="569"/>
      <c r="AU338" s="1064"/>
      <c r="AV338" s="1064"/>
      <c r="AW338" s="1064"/>
      <c r="AX338" s="569"/>
      <c r="AY338" s="1064"/>
      <c r="AZ338" s="1064"/>
      <c r="BA338" s="1064"/>
      <c r="BB338" s="569"/>
      <c r="BC338" s="1064"/>
      <c r="BD338" s="1064"/>
      <c r="BE338" s="1064"/>
      <c r="BF338" s="569"/>
      <c r="BG338" s="1064"/>
      <c r="BH338" s="1064"/>
      <c r="BI338" s="1064"/>
      <c r="BJ338" s="569"/>
      <c r="BK338" s="1064"/>
      <c r="BL338" s="1064"/>
      <c r="BM338" s="1064"/>
      <c r="BN338" s="569"/>
      <c r="BO338" s="1064"/>
      <c r="BP338" s="1064"/>
      <c r="BQ338" s="1064"/>
      <c r="BR338" s="569"/>
      <c r="BS338" s="1064"/>
      <c r="BT338" s="1064"/>
      <c r="BU338" s="1064"/>
      <c r="BV338" s="569"/>
      <c r="BW338" s="1064"/>
      <c r="BX338" s="1064"/>
      <c r="BY338" s="1064"/>
      <c r="BZ338" s="527"/>
      <c r="CA338" s="1378"/>
      <c r="CB338" s="1378"/>
      <c r="CC338" s="1378"/>
      <c r="CD338" s="527"/>
      <c r="CE338" s="1378"/>
      <c r="CF338" s="1378"/>
      <c r="CG338" s="1378"/>
      <c r="CH338" s="527"/>
      <c r="CI338" s="1378"/>
      <c r="CJ338" s="1378"/>
      <c r="CK338" s="1378"/>
      <c r="CL338" s="1530"/>
      <c r="CM338" s="1528"/>
      <c r="CN338" s="1528"/>
      <c r="CO338" s="1528"/>
      <c r="CP338" s="1530"/>
      <c r="CQ338" s="1528"/>
      <c r="CR338" s="1528"/>
      <c r="CS338" s="1528"/>
      <c r="CT338" s="1530"/>
      <c r="CU338" s="1528"/>
      <c r="CV338" s="1528"/>
      <c r="CW338" s="1528"/>
      <c r="CX338" s="1530"/>
      <c r="CY338" s="1528"/>
      <c r="CZ338" s="1528"/>
      <c r="DA338" s="1528"/>
      <c r="DB338" s="1530"/>
      <c r="DC338" s="1528"/>
      <c r="DD338" s="1528"/>
      <c r="DE338" s="1528"/>
      <c r="DF338" s="1530"/>
      <c r="DG338" s="1528"/>
      <c r="DH338" s="1528"/>
      <c r="DI338" s="1529"/>
      <c r="DJ338" s="1530"/>
      <c r="DK338" s="1528"/>
      <c r="DL338" s="1528"/>
      <c r="DM338" s="1529"/>
      <c r="DN338" s="1528"/>
      <c r="DO338" s="1528"/>
      <c r="DP338" s="1528"/>
      <c r="DQ338" s="1529"/>
      <c r="DR338" s="1530"/>
      <c r="DS338" s="1528"/>
      <c r="DT338" s="1528"/>
      <c r="DU338" s="1529"/>
      <c r="DV338" s="1528"/>
      <c r="DW338" s="1528"/>
      <c r="DX338" s="1528"/>
      <c r="DY338" s="1529"/>
    </row>
    <row r="339" spans="1:129" s="1491" customFormat="1" hidden="1" outlineLevel="1">
      <c r="A339" s="151" t="s">
        <v>813</v>
      </c>
      <c r="B339" s="1064"/>
      <c r="C339" s="1064"/>
      <c r="D339" s="1064"/>
      <c r="E339" s="1064"/>
      <c r="F339" s="1064"/>
      <c r="G339" s="1064"/>
      <c r="H339" s="1064"/>
      <c r="I339" s="1064"/>
      <c r="J339" s="1064"/>
      <c r="K339" s="1064"/>
      <c r="L339" s="1064"/>
      <c r="M339" s="1064"/>
      <c r="N339" s="1070">
        <f>N301-N273</f>
        <v>38625.822</v>
      </c>
      <c r="O339" s="1531">
        <f t="shared" ref="O339:AA339" si="1555">O301-O319</f>
        <v>44800.31</v>
      </c>
      <c r="P339" s="1528">
        <f t="shared" si="1555"/>
        <v>36496.546562759468</v>
      </c>
      <c r="Q339" s="1070">
        <f t="shared" si="1555"/>
        <v>36482</v>
      </c>
      <c r="R339" s="1070">
        <f t="shared" si="1555"/>
        <v>36079</v>
      </c>
      <c r="S339" s="1070">
        <f t="shared" si="1555"/>
        <v>35511</v>
      </c>
      <c r="T339" s="1070">
        <f t="shared" si="1555"/>
        <v>35478</v>
      </c>
      <c r="U339" s="1070">
        <f t="shared" si="1555"/>
        <v>35533</v>
      </c>
      <c r="V339" s="1070">
        <f t="shared" si="1555"/>
        <v>37430</v>
      </c>
      <c r="W339" s="1070">
        <f t="shared" si="1555"/>
        <v>35196</v>
      </c>
      <c r="X339" s="1070">
        <f>X301-X319</f>
        <v>34091</v>
      </c>
      <c r="Y339" s="1070">
        <f>Y301-Y319</f>
        <v>33143</v>
      </c>
      <c r="Z339" s="1070">
        <f>Z301-Z319</f>
        <v>32229</v>
      </c>
      <c r="AA339" s="1070">
        <f t="shared" ca="1" si="1555"/>
        <v>24218.648019054206</v>
      </c>
      <c r="AB339" s="1070">
        <f t="shared" ref="AB339:AG339" ca="1" si="1556">AB301-AB319</f>
        <v>20507.455174835588</v>
      </c>
      <c r="AC339" s="1070">
        <f t="shared" ca="1" si="1556"/>
        <v>16434.030085718849</v>
      </c>
      <c r="AD339" s="1070">
        <f t="shared" ca="1" si="1556"/>
        <v>11933.187811770156</v>
      </c>
      <c r="AE339" s="1070">
        <f t="shared" ca="1" si="1556"/>
        <v>6951.5184812009029</v>
      </c>
      <c r="AF339" s="1070">
        <f t="shared" ca="1" si="1556"/>
        <v>1437.093632494536</v>
      </c>
      <c r="AG339" s="1070">
        <f t="shared" ca="1" si="1556"/>
        <v>-4665.633374513025</v>
      </c>
      <c r="AH339" s="2201"/>
      <c r="AI339" s="1927"/>
      <c r="AJ339" s="1561"/>
      <c r="AK339" s="1064"/>
      <c r="AL339" s="1064"/>
      <c r="AM339" s="1064"/>
      <c r="AN339" s="1064"/>
      <c r="AO339" s="1064"/>
      <c r="AP339" s="569"/>
      <c r="AQ339" s="1064"/>
      <c r="AR339" s="1064"/>
      <c r="AS339" s="1064"/>
      <c r="AT339" s="569"/>
      <c r="AU339" s="1064"/>
      <c r="AV339" s="1064"/>
      <c r="AW339" s="1064"/>
      <c r="AX339" s="569"/>
      <c r="AY339" s="1064"/>
      <c r="AZ339" s="1064"/>
      <c r="BA339" s="1064"/>
      <c r="BB339" s="569"/>
      <c r="BC339" s="1064"/>
      <c r="BD339" s="1064"/>
      <c r="BE339" s="1064"/>
      <c r="BF339" s="569"/>
      <c r="BG339" s="1064"/>
      <c r="BH339" s="1064"/>
      <c r="BI339" s="1064"/>
      <c r="BJ339" s="569"/>
      <c r="BK339" s="1064"/>
      <c r="BL339" s="1064"/>
      <c r="BM339" s="1064"/>
      <c r="BN339" s="569"/>
      <c r="BO339" s="1064"/>
      <c r="BP339" s="1064"/>
      <c r="BQ339" s="1064"/>
      <c r="BR339" s="569"/>
      <c r="BS339" s="1064"/>
      <c r="BT339" s="1064"/>
      <c r="BU339" s="1064"/>
      <c r="BV339" s="569"/>
      <c r="BW339" s="1064"/>
      <c r="BX339" s="1064"/>
      <c r="BY339" s="1064"/>
      <c r="BZ339" s="607">
        <f t="shared" ref="BZ339:CI339" si="1557">BZ301-BZ273</f>
        <v>8958.1479999999992</v>
      </c>
      <c r="CA339" s="1070">
        <f t="shared" si="1557"/>
        <v>9470.1280000000006</v>
      </c>
      <c r="CB339" s="1070">
        <f t="shared" si="1557"/>
        <v>9964.4429999999993</v>
      </c>
      <c r="CC339" s="1070">
        <f t="shared" si="1557"/>
        <v>10233.102999999999</v>
      </c>
      <c r="CD339" s="1530">
        <f t="shared" si="1557"/>
        <v>10571.119999999999</v>
      </c>
      <c r="CE339" s="1528">
        <f t="shared" si="1557"/>
        <v>11073.616</v>
      </c>
      <c r="CF339" s="1528">
        <f t="shared" si="1557"/>
        <v>11520.474</v>
      </c>
      <c r="CG339" s="1528">
        <f t="shared" si="1557"/>
        <v>11635.1</v>
      </c>
      <c r="CH339" s="1530">
        <f t="shared" si="1557"/>
        <v>11535</v>
      </c>
      <c r="CI339" s="1528">
        <f t="shared" si="1557"/>
        <v>11923</v>
      </c>
      <c r="CJ339" s="1528">
        <f t="shared" ref="CJ339:DJ339" si="1558">CJ301-CJ319</f>
        <v>9294.4149765990642</v>
      </c>
      <c r="CK339" s="1528">
        <f t="shared" si="1558"/>
        <v>9218.3023070803501</v>
      </c>
      <c r="CL339" s="1530">
        <f t="shared" si="1558"/>
        <v>9173</v>
      </c>
      <c r="CM339" s="1528">
        <f t="shared" si="1558"/>
        <v>9182</v>
      </c>
      <c r="CN339" s="1528">
        <f t="shared" si="1558"/>
        <v>9142</v>
      </c>
      <c r="CO339" s="1528">
        <f t="shared" si="1558"/>
        <v>8985</v>
      </c>
      <c r="CP339" s="1530">
        <f t="shared" si="1558"/>
        <v>9002</v>
      </c>
      <c r="CQ339" s="1528">
        <f t="shared" si="1558"/>
        <v>9046</v>
      </c>
      <c r="CR339" s="1528">
        <f t="shared" si="1558"/>
        <v>9106</v>
      </c>
      <c r="CS339" s="1528">
        <f t="shared" si="1558"/>
        <v>8925</v>
      </c>
      <c r="CT339" s="1530">
        <f t="shared" si="1558"/>
        <v>8853</v>
      </c>
      <c r="CU339" s="1528">
        <f t="shared" si="1558"/>
        <v>8897</v>
      </c>
      <c r="CV339" s="1528">
        <f t="shared" si="1558"/>
        <v>8933</v>
      </c>
      <c r="CW339" s="1528">
        <f t="shared" si="1558"/>
        <v>8828</v>
      </c>
      <c r="CX339" s="1530">
        <f t="shared" si="1558"/>
        <v>8802</v>
      </c>
      <c r="CY339" s="1528">
        <f t="shared" si="1558"/>
        <v>8891</v>
      </c>
      <c r="CZ339" s="1528">
        <f t="shared" si="1558"/>
        <v>8892</v>
      </c>
      <c r="DA339" s="1528">
        <f t="shared" si="1558"/>
        <v>8893</v>
      </c>
      <c r="DB339" s="1530">
        <f t="shared" si="1558"/>
        <v>8828</v>
      </c>
      <c r="DC339" s="1528">
        <f t="shared" si="1558"/>
        <v>8878</v>
      </c>
      <c r="DD339" s="1528">
        <f t="shared" si="1558"/>
        <v>8916</v>
      </c>
      <c r="DE339" s="1528">
        <f t="shared" si="1558"/>
        <v>8911</v>
      </c>
      <c r="DF339" s="1530">
        <f t="shared" si="1558"/>
        <v>9187</v>
      </c>
      <c r="DG339" s="1528">
        <f t="shared" si="1558"/>
        <v>9278</v>
      </c>
      <c r="DH339" s="1528">
        <f t="shared" si="1558"/>
        <v>9556</v>
      </c>
      <c r="DI339" s="1529">
        <f t="shared" si="1558"/>
        <v>9409</v>
      </c>
      <c r="DJ339" s="1530">
        <f t="shared" si="1558"/>
        <v>9114</v>
      </c>
      <c r="DK339" s="1528">
        <f t="shared" ref="DK339:DM339" si="1559">DK301-DK319</f>
        <v>8889</v>
      </c>
      <c r="DL339" s="1528">
        <f t="shared" si="1559"/>
        <v>8798</v>
      </c>
      <c r="DM339" s="1529">
        <f t="shared" si="1559"/>
        <v>8395</v>
      </c>
      <c r="DN339" s="1528">
        <f t="shared" ref="DN339:DO339" si="1560">DN301-DN319</f>
        <v>8009</v>
      </c>
      <c r="DO339" s="1528">
        <f t="shared" si="1560"/>
        <v>7941</v>
      </c>
      <c r="DP339" s="1528">
        <f t="shared" ref="DP339:DQ339" si="1561">DP301-DP319</f>
        <v>7884</v>
      </c>
      <c r="DQ339" s="1529">
        <f t="shared" si="1561"/>
        <v>7546</v>
      </c>
      <c r="DR339" s="1530">
        <f t="shared" ref="DR339" si="1562">DR301-DR319</f>
        <v>6978</v>
      </c>
      <c r="DS339" s="1528">
        <f t="shared" ref="DS339:DT339" si="1563">DS301-DS319</f>
        <v>6822</v>
      </c>
      <c r="DT339" s="1528">
        <f t="shared" si="1563"/>
        <v>7041</v>
      </c>
      <c r="DU339" s="1529">
        <f t="shared" ref="DU339" si="1564">DU301-DU319</f>
        <v>7080</v>
      </c>
      <c r="DV339" s="1528">
        <f t="shared" ref="DV339" si="1565">DV301-DV319</f>
        <v>6602</v>
      </c>
      <c r="DW339" s="1528">
        <f t="shared" ref="DW339:DY339" ca="1" si="1566">DW301-DW319</f>
        <v>5500.2959247417311</v>
      </c>
      <c r="DX339" s="1528">
        <f t="shared" ca="1" si="1566"/>
        <v>5711.8934857724635</v>
      </c>
      <c r="DY339" s="1529">
        <f t="shared" ca="1" si="1566"/>
        <v>5715.1082828461604</v>
      </c>
    </row>
    <row r="340" spans="1:129" s="1491" customFormat="1" hidden="1" outlineLevel="1">
      <c r="A340" s="1453" t="s">
        <v>1453</v>
      </c>
      <c r="B340" s="1065"/>
      <c r="C340" s="1065"/>
      <c r="D340" s="1065"/>
      <c r="E340" s="1065"/>
      <c r="F340" s="1065"/>
      <c r="G340" s="1065"/>
      <c r="H340" s="1065"/>
      <c r="I340" s="1065"/>
      <c r="J340" s="1065"/>
      <c r="K340" s="1065"/>
      <c r="L340" s="1065"/>
      <c r="M340" s="1065"/>
      <c r="N340" s="1065"/>
      <c r="O340" s="1065"/>
      <c r="P340" s="1065">
        <f t="shared" ref="P340:AB340" si="1567">P339/O339-1</f>
        <v>-0.18535057987858861</v>
      </c>
      <c r="Q340" s="1065">
        <f t="shared" si="1567"/>
        <v>-3.9857367694917656E-4</v>
      </c>
      <c r="R340" s="1065">
        <f t="shared" si="1567"/>
        <v>-1.1046543500904504E-2</v>
      </c>
      <c r="S340" s="1065">
        <f t="shared" si="1567"/>
        <v>-1.574323013387291E-2</v>
      </c>
      <c r="T340" s="1065">
        <f t="shared" si="1567"/>
        <v>-9.2928951592463616E-4</v>
      </c>
      <c r="U340" s="1065">
        <f t="shared" si="1567"/>
        <v>1.5502564969840371E-3</v>
      </c>
      <c r="V340" s="1065">
        <f t="shared" si="1567"/>
        <v>5.3386992373286812E-2</v>
      </c>
      <c r="W340" s="1065">
        <f>W339/V339-1</f>
        <v>-5.9684744857066541E-2</v>
      </c>
      <c r="X340" s="1065">
        <f>X339/W339-1</f>
        <v>-3.1395613137856548E-2</v>
      </c>
      <c r="Y340" s="1065">
        <f>Y339/X339-1</f>
        <v>-2.7807925845531045E-2</v>
      </c>
      <c r="Z340" s="1065">
        <f>Z339/Y339-1</f>
        <v>-2.7577467338502859E-2</v>
      </c>
      <c r="AA340" s="1065">
        <f t="shared" ca="1" si="1567"/>
        <v>-0.24854485031945739</v>
      </c>
      <c r="AB340" s="1065">
        <f t="shared" ca="1" si="1567"/>
        <v>-0.15323699495111409</v>
      </c>
      <c r="AC340" s="1065">
        <f t="shared" ref="AC340" ca="1" si="1568">AC339/AB339-1</f>
        <v>-0.1986314271755758</v>
      </c>
      <c r="AD340" s="1065">
        <f t="shared" ref="AD340" ca="1" si="1569">AD339/AC339-1</f>
        <v>-0.2738733135130329</v>
      </c>
      <c r="AE340" s="1065">
        <f t="shared" ref="AE340" ca="1" si="1570">AE339/AD339-1</f>
        <v>-0.41746341456686398</v>
      </c>
      <c r="AF340" s="1065">
        <f t="shared" ref="AF340" ca="1" si="1571">AF339/AE339-1</f>
        <v>-0.79326910568088249</v>
      </c>
      <c r="AG340" s="1065">
        <f t="shared" ref="AG340" ca="1" si="1572">AG339/AF339-1</f>
        <v>-4.2465757755911318</v>
      </c>
      <c r="AH340" s="2201"/>
      <c r="AI340" s="1927"/>
      <c r="AJ340" s="1561"/>
      <c r="AK340" s="1065"/>
      <c r="AL340" s="1065"/>
      <c r="AM340" s="1065"/>
      <c r="AN340" s="1065"/>
      <c r="AO340" s="1065"/>
      <c r="AP340" s="563"/>
      <c r="AQ340" s="1065"/>
      <c r="AR340" s="1065"/>
      <c r="AS340" s="1065"/>
      <c r="AT340" s="563"/>
      <c r="AU340" s="1065"/>
      <c r="AV340" s="1065"/>
      <c r="AW340" s="1065"/>
      <c r="AX340" s="563"/>
      <c r="AY340" s="1065"/>
      <c r="AZ340" s="1065"/>
      <c r="BA340" s="1065"/>
      <c r="BB340" s="563"/>
      <c r="BC340" s="1065"/>
      <c r="BD340" s="1065"/>
      <c r="BE340" s="1065"/>
      <c r="BF340" s="563"/>
      <c r="BG340" s="1065"/>
      <c r="BH340" s="1065"/>
      <c r="BI340" s="1065"/>
      <c r="BJ340" s="563"/>
      <c r="BK340" s="1065"/>
      <c r="BL340" s="1065"/>
      <c r="BM340" s="1065"/>
      <c r="BN340" s="563"/>
      <c r="BO340" s="1065"/>
      <c r="BP340" s="1065"/>
      <c r="BQ340" s="1065"/>
      <c r="BR340" s="563"/>
      <c r="BS340" s="1065"/>
      <c r="BT340" s="1065"/>
      <c r="BU340" s="1065"/>
      <c r="BV340" s="563"/>
      <c r="BW340" s="1065"/>
      <c r="BX340" s="1065"/>
      <c r="BY340" s="1065"/>
      <c r="BZ340" s="563"/>
      <c r="CA340" s="1065"/>
      <c r="CB340" s="1065"/>
      <c r="CC340" s="1065"/>
      <c r="CD340" s="563">
        <f t="shared" ref="CD340:DV340" si="1573">CD339/BZ339-1</f>
        <v>0.18005641344617218</v>
      </c>
      <c r="CE340" s="1065">
        <f t="shared" si="1573"/>
        <v>0.16932062586693641</v>
      </c>
      <c r="CF340" s="1065">
        <f t="shared" si="1573"/>
        <v>0.15615835225310648</v>
      </c>
      <c r="CG340" s="1065">
        <f t="shared" si="1573"/>
        <v>0.1370060479211439</v>
      </c>
      <c r="CH340" s="563">
        <f t="shared" si="1573"/>
        <v>9.1180499322683017E-2</v>
      </c>
      <c r="CI340" s="1065">
        <f t="shared" si="1573"/>
        <v>7.6703400226267648E-2</v>
      </c>
      <c r="CJ340" s="1065">
        <f t="shared" si="1573"/>
        <v>-0.19322633976700399</v>
      </c>
      <c r="CK340" s="1065">
        <f t="shared" si="1573"/>
        <v>-0.20771610840642973</v>
      </c>
      <c r="CL340" s="563">
        <f t="shared" si="1573"/>
        <v>-0.20476809709579535</v>
      </c>
      <c r="CM340" s="1065">
        <f t="shared" si="1573"/>
        <v>-0.22989180575358548</v>
      </c>
      <c r="CN340" s="1065">
        <f t="shared" si="1573"/>
        <v>-1.6398555151970862E-2</v>
      </c>
      <c r="CO340" s="1065">
        <f t="shared" si="1573"/>
        <v>-2.5308597972661051E-2</v>
      </c>
      <c r="CP340" s="563">
        <f t="shared" si="1573"/>
        <v>-1.8641665758203474E-2</v>
      </c>
      <c r="CQ340" s="1065">
        <f t="shared" si="1573"/>
        <v>-1.4811587889348776E-2</v>
      </c>
      <c r="CR340" s="1065">
        <f t="shared" si="1573"/>
        <v>-3.937869175235198E-3</v>
      </c>
      <c r="CS340" s="1065">
        <f t="shared" si="1573"/>
        <v>-6.6777963272119933E-3</v>
      </c>
      <c r="CT340" s="563">
        <f t="shared" si="1573"/>
        <v>-1.6551877360586498E-2</v>
      </c>
      <c r="CU340" s="1065">
        <f t="shared" si="1573"/>
        <v>-1.6471368560689759E-2</v>
      </c>
      <c r="CV340" s="1065">
        <f t="shared" si="1573"/>
        <v>-1.899846255216342E-2</v>
      </c>
      <c r="CW340" s="1065">
        <f t="shared" si="1573"/>
        <v>-1.0868347338935602E-2</v>
      </c>
      <c r="CX340" s="563">
        <f t="shared" si="1573"/>
        <v>-5.7607590647238416E-3</v>
      </c>
      <c r="CY340" s="1065">
        <f t="shared" si="1573"/>
        <v>-6.7438462403057731E-4</v>
      </c>
      <c r="CZ340" s="1065">
        <f t="shared" si="1573"/>
        <v>-4.5897234971453704E-3</v>
      </c>
      <c r="DA340" s="1065">
        <f t="shared" si="1573"/>
        <v>7.3629361123697112E-3</v>
      </c>
      <c r="DB340" s="563">
        <f t="shared" si="1573"/>
        <v>2.9538741195183071E-3</v>
      </c>
      <c r="DC340" s="1065">
        <f t="shared" si="1573"/>
        <v>-1.4621527387245203E-3</v>
      </c>
      <c r="DD340" s="1065">
        <f t="shared" si="1573"/>
        <v>2.6990553306343035E-3</v>
      </c>
      <c r="DE340" s="1065">
        <f t="shared" si="1573"/>
        <v>2.0240638704598357E-3</v>
      </c>
      <c r="DF340" s="563">
        <f t="shared" si="1573"/>
        <v>4.0666062528319058E-2</v>
      </c>
      <c r="DG340" s="1065">
        <f t="shared" si="1573"/>
        <v>4.5055192610948369E-2</v>
      </c>
      <c r="DH340" s="1065">
        <f t="shared" si="1573"/>
        <v>7.1781067743382776E-2</v>
      </c>
      <c r="DI340" s="564">
        <f t="shared" si="1573"/>
        <v>5.5885983615755697E-2</v>
      </c>
      <c r="DJ340" s="563">
        <f t="shared" si="1573"/>
        <v>-7.9460106672472053E-3</v>
      </c>
      <c r="DK340" s="1065">
        <f t="shared" si="1573"/>
        <v>-4.192713946971327E-2</v>
      </c>
      <c r="DL340" s="1065">
        <f t="shared" si="1573"/>
        <v>-7.9321892005023042E-2</v>
      </c>
      <c r="DM340" s="564">
        <f t="shared" si="1573"/>
        <v>-0.10776915718992452</v>
      </c>
      <c r="DN340" s="1065">
        <f t="shared" si="1573"/>
        <v>-0.12124204520517889</v>
      </c>
      <c r="DO340" s="1065">
        <f t="shared" si="1573"/>
        <v>-0.10664866689166386</v>
      </c>
      <c r="DP340" s="1065">
        <f t="shared" si="1573"/>
        <v>-0.10388724710161401</v>
      </c>
      <c r="DQ340" s="564">
        <f t="shared" si="1573"/>
        <v>-0.10113162596783798</v>
      </c>
      <c r="DR340" s="563">
        <f t="shared" si="1573"/>
        <v>-0.12873017854913227</v>
      </c>
      <c r="DS340" s="1065">
        <f t="shared" si="1573"/>
        <v>-0.14091424253872309</v>
      </c>
      <c r="DT340" s="1065">
        <f t="shared" si="1573"/>
        <v>-0.10692541856925419</v>
      </c>
      <c r="DU340" s="564">
        <f t="shared" si="1573"/>
        <v>-6.1754571958653637E-2</v>
      </c>
      <c r="DV340" s="1065">
        <f t="shared" si="1573"/>
        <v>-5.3883634279163095E-2</v>
      </c>
      <c r="DW340" s="1065">
        <f t="shared" ref="DW340" ca="1" si="1574">DW339/DS339-1</f>
        <v>-0.19374143583381254</v>
      </c>
      <c r="DX340" s="1065">
        <f t="shared" ref="DX340" ca="1" si="1575">DX339/DT339-1</f>
        <v>-0.18876672549744877</v>
      </c>
      <c r="DY340" s="564">
        <f t="shared" ref="DY340" ca="1" si="1576">DY339/DU339-1</f>
        <v>-0.19278131598218073</v>
      </c>
    </row>
    <row r="341" spans="1:129" s="1491" customFormat="1" hidden="1" outlineLevel="1">
      <c r="A341" s="151" t="s">
        <v>814</v>
      </c>
      <c r="B341" s="1064"/>
      <c r="C341" s="1064"/>
      <c r="D341" s="1064"/>
      <c r="E341" s="1064"/>
      <c r="F341" s="1064"/>
      <c r="G341" s="1064"/>
      <c r="H341" s="1064"/>
      <c r="I341" s="1064"/>
      <c r="J341" s="1064"/>
      <c r="K341" s="1064"/>
      <c r="L341" s="1064"/>
      <c r="M341" s="1064"/>
      <c r="N341" s="1229">
        <f>N309-N275</f>
        <v>58.317739992209368</v>
      </c>
      <c r="O341" s="1229">
        <f>O309-O275</f>
        <v>59.849135800490011</v>
      </c>
      <c r="P341" s="1229">
        <f>P312-P275</f>
        <v>47.729131561573105</v>
      </c>
      <c r="Q341" s="1229">
        <f t="shared" ref="Q341:AA341" si="1577">Q312-Q322</f>
        <v>32.354245375050994</v>
      </c>
      <c r="R341" s="1229">
        <f t="shared" si="1577"/>
        <v>30.256296721193245</v>
      </c>
      <c r="S341" s="1229">
        <f t="shared" si="1577"/>
        <v>28.19528276269466</v>
      </c>
      <c r="T341" s="1229">
        <f t="shared" si="1577"/>
        <v>26.609843797111747</v>
      </c>
      <c r="U341" s="1229">
        <f t="shared" si="1577"/>
        <v>25.087123266006966</v>
      </c>
      <c r="V341" s="1229">
        <f t="shared" si="1577"/>
        <v>24.893191382952118</v>
      </c>
      <c r="W341" s="1229">
        <f t="shared" si="1577"/>
        <v>22.416692143075508</v>
      </c>
      <c r="X341" s="1229">
        <f>X312-X322</f>
        <v>21.355057348141749</v>
      </c>
      <c r="Y341" s="1229">
        <f>Y312-Y322</f>
        <v>20.227820072920974</v>
      </c>
      <c r="Z341" s="1229">
        <f ca="1">Z312-Z322</f>
        <v>19.075729190457611</v>
      </c>
      <c r="AA341" s="1229">
        <f t="shared" ca="1" si="1577"/>
        <v>14.151457331439314</v>
      </c>
      <c r="AB341" s="1229">
        <f t="shared" ref="AB341:AG341" ca="1" si="1578">AB312-AB322</f>
        <v>11.878093961557248</v>
      </c>
      <c r="AC341" s="1229">
        <f t="shared" ca="1" si="1578"/>
        <v>9.4401058217899951</v>
      </c>
      <c r="AD341" s="1229">
        <f t="shared" ca="1" si="1578"/>
        <v>6.8029465275025309</v>
      </c>
      <c r="AE341" s="1229">
        <f t="shared" ca="1" si="1578"/>
        <v>3.9358782586420702</v>
      </c>
      <c r="AF341" s="1229">
        <f t="shared" ca="1" si="1578"/>
        <v>0.80862830635542338</v>
      </c>
      <c r="AG341" s="1229">
        <f t="shared" ca="1" si="1578"/>
        <v>-2.6104291173876533</v>
      </c>
      <c r="AH341" s="2201"/>
      <c r="AI341" s="1927"/>
      <c r="AJ341" s="1561"/>
      <c r="AK341" s="1064"/>
      <c r="AL341" s="1064"/>
      <c r="AM341" s="1064"/>
      <c r="AN341" s="1064"/>
      <c r="AO341" s="1064"/>
      <c r="AP341" s="569"/>
      <c r="AQ341" s="1064"/>
      <c r="AR341" s="1064"/>
      <c r="AS341" s="1064"/>
      <c r="AT341" s="569"/>
      <c r="AU341" s="1064"/>
      <c r="AV341" s="1064"/>
      <c r="AW341" s="1064"/>
      <c r="AX341" s="569"/>
      <c r="AY341" s="1064"/>
      <c r="AZ341" s="1064"/>
      <c r="BA341" s="1064"/>
      <c r="BB341" s="569"/>
      <c r="BC341" s="1064"/>
      <c r="BD341" s="1064"/>
      <c r="BE341" s="1064"/>
      <c r="BF341" s="569"/>
      <c r="BG341" s="1064"/>
      <c r="BH341" s="1064"/>
      <c r="BI341" s="1064"/>
      <c r="BJ341" s="569"/>
      <c r="BK341" s="1064"/>
      <c r="BL341" s="1064"/>
      <c r="BM341" s="1064"/>
      <c r="BN341" s="569"/>
      <c r="BO341" s="1064"/>
      <c r="BP341" s="1064"/>
      <c r="BQ341" s="1064"/>
      <c r="BR341" s="569"/>
      <c r="BS341" s="1064"/>
      <c r="BT341" s="1064"/>
      <c r="BU341" s="1064"/>
      <c r="BV341" s="569"/>
      <c r="BW341" s="1064"/>
      <c r="BX341" s="1064"/>
      <c r="BY341" s="1064"/>
      <c r="BZ341" s="631">
        <f t="shared" ref="BZ341:CG341" si="1579">BZ309-BZ275</f>
        <v>48.67</v>
      </c>
      <c r="CA341" s="1229">
        <f t="shared" si="1579"/>
        <v>49.71</v>
      </c>
      <c r="CB341" s="1229">
        <f t="shared" si="1579"/>
        <v>50.59</v>
      </c>
      <c r="CC341" s="1229">
        <f t="shared" si="1579"/>
        <v>50.12</v>
      </c>
      <c r="CD341" s="631">
        <f t="shared" si="1579"/>
        <v>50.06</v>
      </c>
      <c r="CE341" s="1229">
        <f t="shared" si="1579"/>
        <v>51.054000000000002</v>
      </c>
      <c r="CF341" s="1229">
        <f t="shared" si="1579"/>
        <v>51.685000000000002</v>
      </c>
      <c r="CG341" s="1229">
        <f t="shared" si="1579"/>
        <v>51</v>
      </c>
      <c r="CH341" s="1526">
        <f t="shared" ref="CH341:DJ341" si="1580">CH312-CH322</f>
        <v>35.308311930398233</v>
      </c>
      <c r="CI341" s="1303">
        <f t="shared" si="1580"/>
        <v>35.240083862794151</v>
      </c>
      <c r="CJ341" s="1303">
        <f t="shared" si="1580"/>
        <v>35.251096780832128</v>
      </c>
      <c r="CK341" s="1303">
        <f t="shared" si="1580"/>
        <v>34.286120853781732</v>
      </c>
      <c r="CL341" s="1526">
        <f t="shared" si="1580"/>
        <v>33.267147196155769</v>
      </c>
      <c r="CM341" s="1303">
        <f t="shared" si="1580"/>
        <v>32.979544923944474</v>
      </c>
      <c r="CN341" s="1303">
        <f t="shared" si="1580"/>
        <v>32.490852840461812</v>
      </c>
      <c r="CO341" s="1303">
        <f t="shared" si="1580"/>
        <v>31.384918472565701</v>
      </c>
      <c r="CP341" s="1526">
        <f t="shared" si="1580"/>
        <v>30.852963454215818</v>
      </c>
      <c r="CQ341" s="1303">
        <f t="shared" si="1580"/>
        <v>30.495646970578072</v>
      </c>
      <c r="CR341" s="1303">
        <f t="shared" si="1580"/>
        <v>30.227737085742078</v>
      </c>
      <c r="CS341" s="1303">
        <f t="shared" si="1580"/>
        <v>29.261191791129182</v>
      </c>
      <c r="CT341" s="1526">
        <f t="shared" si="1580"/>
        <v>28.613260418484685</v>
      </c>
      <c r="CU341" s="1303">
        <f t="shared" si="1580"/>
        <v>28.210591734363202</v>
      </c>
      <c r="CV341" s="1303">
        <f t="shared" si="1580"/>
        <v>27.855344293988789</v>
      </c>
      <c r="CW341" s="1303">
        <f t="shared" si="1580"/>
        <v>27.344391271353128</v>
      </c>
      <c r="CX341" s="1526">
        <f t="shared" si="1580"/>
        <v>27.099920566013342</v>
      </c>
      <c r="CY341" s="1303">
        <f t="shared" si="1580"/>
        <v>27.04544279269825</v>
      </c>
      <c r="CZ341" s="1303">
        <f t="shared" si="1580"/>
        <v>26.645570758194147</v>
      </c>
      <c r="DA341" s="1303">
        <f t="shared" si="1580"/>
        <v>26.148922125140217</v>
      </c>
      <c r="DB341" s="1526">
        <f t="shared" si="1580"/>
        <v>25.498385410348398</v>
      </c>
      <c r="DC341" s="1303">
        <f t="shared" si="1580"/>
        <v>25.285883140371116</v>
      </c>
      <c r="DD341" s="1303">
        <f t="shared" si="1580"/>
        <v>25.062297349147659</v>
      </c>
      <c r="DE341" s="1303">
        <f t="shared" si="1580"/>
        <v>24.662042014864756</v>
      </c>
      <c r="DF341" s="1526">
        <f t="shared" si="1580"/>
        <v>25.092351708079843</v>
      </c>
      <c r="DG341" s="1303">
        <f t="shared" si="1580"/>
        <v>25.035652463696547</v>
      </c>
      <c r="DH341" s="1303">
        <f t="shared" si="1580"/>
        <v>25.379827605210355</v>
      </c>
      <c r="DI341" s="1532">
        <f t="shared" si="1580"/>
        <v>24.540469343974756</v>
      </c>
      <c r="DJ341" s="1526">
        <f t="shared" si="1580"/>
        <v>23.45502202286054</v>
      </c>
      <c r="DK341" s="1303">
        <f t="shared" ref="DK341:DM341" si="1581">DK312-DK322</f>
        <v>22.722131263827482</v>
      </c>
      <c r="DL341" s="1303">
        <f t="shared" si="1581"/>
        <v>22.339276169872953</v>
      </c>
      <c r="DM341" s="1532">
        <f t="shared" si="1581"/>
        <v>21.174550687132456</v>
      </c>
      <c r="DN341" s="1303">
        <f t="shared" ref="DN341:DO341" si="1582">DN312-DN322</f>
        <v>20.067777923940888</v>
      </c>
      <c r="DO341" s="1303">
        <f t="shared" si="1582"/>
        <v>19.767081499072138</v>
      </c>
      <c r="DP341" s="1303">
        <f t="shared" ref="DP341:DQ341" si="1583">DP312-DP322</f>
        <v>19.497501604389171</v>
      </c>
      <c r="DQ341" s="1532">
        <f t="shared" si="1583"/>
        <v>18.540973315101954</v>
      </c>
      <c r="DR341" s="1526">
        <f t="shared" ref="DR341" si="1584">DR312-DR322</f>
        <v>17.035238628831735</v>
      </c>
      <c r="DS341" s="1303">
        <f t="shared" ref="DS341:DT341" si="1585">DS312-DS322</f>
        <v>16.548110684592572</v>
      </c>
      <c r="DT341" s="1303">
        <f t="shared" si="1585"/>
        <v>16.971029216635511</v>
      </c>
      <c r="DU341" s="1532">
        <f t="shared" ref="DU341" si="1586">DU312-DU322</f>
        <v>16.957494889399047</v>
      </c>
      <c r="DV341" s="1303">
        <f t="shared" ref="DV341" si="1587">DV312-DV322</f>
        <v>15.713603977669639</v>
      </c>
      <c r="DW341" s="1303">
        <f t="shared" ref="DW341:DY341" ca="1" si="1588">DW312-DW322</f>
        <v>13.032237256825972</v>
      </c>
      <c r="DX341" s="1303">
        <f t="shared" ca="1" si="1588"/>
        <v>13.491628742151015</v>
      </c>
      <c r="DY341" s="1532">
        <f t="shared" ca="1" si="1588"/>
        <v>13.446983156690294</v>
      </c>
    </row>
    <row r="342" spans="1:129" s="1491" customFormat="1" hidden="1" outlineLevel="1">
      <c r="A342" s="1453" t="s">
        <v>1453</v>
      </c>
      <c r="B342" s="1065"/>
      <c r="C342" s="1065"/>
      <c r="D342" s="1065"/>
      <c r="E342" s="1065"/>
      <c r="F342" s="1065"/>
      <c r="G342" s="1065"/>
      <c r="H342" s="1065"/>
      <c r="I342" s="1065"/>
      <c r="J342" s="1065"/>
      <c r="K342" s="1065"/>
      <c r="L342" s="1065"/>
      <c r="M342" s="1065"/>
      <c r="N342" s="1065"/>
      <c r="O342" s="1065">
        <f t="shared" ref="O342:AB342" si="1589">O341/N341-1</f>
        <v>2.6259519118628782E-2</v>
      </c>
      <c r="P342" s="1065">
        <f t="shared" si="1589"/>
        <v>-0.20250926060686203</v>
      </c>
      <c r="Q342" s="1065">
        <f t="shared" si="1589"/>
        <v>-0.32212792656174138</v>
      </c>
      <c r="R342" s="1065">
        <f t="shared" si="1589"/>
        <v>-6.4843071737210711E-2</v>
      </c>
      <c r="S342" s="1065">
        <f t="shared" si="1589"/>
        <v>-6.8118513560680771E-2</v>
      </c>
      <c r="T342" s="1065">
        <f t="shared" si="1589"/>
        <v>-5.6230646059723721E-2</v>
      </c>
      <c r="U342" s="1065">
        <f t="shared" si="1589"/>
        <v>-5.7223956018488842E-2</v>
      </c>
      <c r="V342" s="1065">
        <f t="shared" si="1589"/>
        <v>-7.7303356386670963E-3</v>
      </c>
      <c r="W342" s="1065">
        <f>W341/V341-1</f>
        <v>-9.9485003822073925E-2</v>
      </c>
      <c r="X342" s="1065">
        <f>X341/W341-1</f>
        <v>-4.7359119184839149E-2</v>
      </c>
      <c r="Y342" s="1065">
        <f>Y341/X341-1</f>
        <v>-5.2785495109843983E-2</v>
      </c>
      <c r="Z342" s="1065">
        <f ca="1">Z341/Y341-1</f>
        <v>-5.695576084373366E-2</v>
      </c>
      <c r="AA342" s="1065">
        <f t="shared" ca="1" si="1589"/>
        <v>-0.25814330922047279</v>
      </c>
      <c r="AB342" s="1065">
        <f t="shared" ca="1" si="1589"/>
        <v>-0.16064517714592486</v>
      </c>
      <c r="AC342" s="1065">
        <f t="shared" ref="AC342" ca="1" si="1590">AC341/AB341-1</f>
        <v>-0.20525078751335513</v>
      </c>
      <c r="AD342" s="1065">
        <f t="shared" ref="AD342" ca="1" si="1591">AD341/AC341-1</f>
        <v>-0.27935696316033631</v>
      </c>
      <c r="AE342" s="1065">
        <f t="shared" ref="AE342" ca="1" si="1592">AE341/AD341-1</f>
        <v>-0.42144506902555456</v>
      </c>
      <c r="AF342" s="1065">
        <f t="shared" ref="AF342" ca="1" si="1593">AF341/AE341-1</f>
        <v>-0.79454946184376884</v>
      </c>
      <c r="AG342" s="1065">
        <f t="shared" ref="AG342" ca="1" si="1594">AG341/AF341-1</f>
        <v>-4.2282188205272506</v>
      </c>
      <c r="AH342" s="2201"/>
      <c r="AI342" s="1927"/>
      <c r="AJ342" s="1561"/>
      <c r="AK342" s="1065"/>
      <c r="AL342" s="1065"/>
      <c r="AM342" s="1065"/>
      <c r="AN342" s="1065"/>
      <c r="AO342" s="1065"/>
      <c r="AP342" s="563"/>
      <c r="AQ342" s="1065"/>
      <c r="AR342" s="1065"/>
      <c r="AS342" s="1065"/>
      <c r="AT342" s="563"/>
      <c r="AU342" s="1065"/>
      <c r="AV342" s="1065"/>
      <c r="AW342" s="1065"/>
      <c r="AX342" s="563"/>
      <c r="AY342" s="1065"/>
      <c r="AZ342" s="1065"/>
      <c r="BA342" s="1065"/>
      <c r="BB342" s="563"/>
      <c r="BC342" s="1065"/>
      <c r="BD342" s="1065"/>
      <c r="BE342" s="1065"/>
      <c r="BF342" s="563"/>
      <c r="BG342" s="1065"/>
      <c r="BH342" s="1065"/>
      <c r="BI342" s="1065"/>
      <c r="BJ342" s="563"/>
      <c r="BK342" s="1065"/>
      <c r="BL342" s="1065"/>
      <c r="BM342" s="1065"/>
      <c r="BN342" s="563"/>
      <c r="BO342" s="1065"/>
      <c r="BP342" s="1065"/>
      <c r="BQ342" s="1065"/>
      <c r="BR342" s="563"/>
      <c r="BS342" s="1065"/>
      <c r="BT342" s="1065"/>
      <c r="BU342" s="1065"/>
      <c r="BV342" s="563"/>
      <c r="BW342" s="1065"/>
      <c r="BX342" s="1065"/>
      <c r="BY342" s="1065"/>
      <c r="BZ342" s="563"/>
      <c r="CA342" s="1065"/>
      <c r="CB342" s="1065"/>
      <c r="CC342" s="1065"/>
      <c r="CD342" s="563">
        <f>CD341/BZ341-1</f>
        <v>2.8559687692623736E-2</v>
      </c>
      <c r="CE342" s="1065">
        <f>CE341/CA341-1</f>
        <v>2.7036813518406699E-2</v>
      </c>
      <c r="CF342" s="1065">
        <f>CF341/CB341-1</f>
        <v>2.1644593793239686E-2</v>
      </c>
      <c r="CG342" s="1065">
        <f>CG341/CC341-1</f>
        <v>1.7557861133280284E-2</v>
      </c>
      <c r="CH342" s="156" t="s">
        <v>1149</v>
      </c>
      <c r="CI342" s="1095" t="s">
        <v>1149</v>
      </c>
      <c r="CJ342" s="1095" t="s">
        <v>1149</v>
      </c>
      <c r="CK342" s="1095" t="s">
        <v>1149</v>
      </c>
      <c r="CL342" s="563">
        <f t="shared" ref="CL342:DV342" si="1595">CL341/CH341-1</f>
        <v>-5.7809751377129737E-2</v>
      </c>
      <c r="CM342" s="1065">
        <f t="shared" si="1595"/>
        <v>-6.4146809288280759E-2</v>
      </c>
      <c r="CN342" s="1065">
        <f t="shared" si="1595"/>
        <v>-7.8302356307710874E-2</v>
      </c>
      <c r="CO342" s="1065">
        <f t="shared" si="1595"/>
        <v>-8.4617399372435287E-2</v>
      </c>
      <c r="CP342" s="563">
        <f t="shared" si="1595"/>
        <v>-7.2569605313765106E-2</v>
      </c>
      <c r="CQ342" s="1065">
        <f t="shared" si="1595"/>
        <v>-7.5316319830810996E-2</v>
      </c>
      <c r="CR342" s="1065">
        <f t="shared" si="1595"/>
        <v>-6.9653935088506258E-2</v>
      </c>
      <c r="CS342" s="1065">
        <f t="shared" si="1595"/>
        <v>-6.766710843276269E-2</v>
      </c>
      <c r="CT342" s="563">
        <f t="shared" si="1595"/>
        <v>-7.2592800981816086E-2</v>
      </c>
      <c r="CU342" s="1065">
        <f t="shared" si="1595"/>
        <v>-7.4930538067268126E-2</v>
      </c>
      <c r="CV342" s="1065">
        <f t="shared" si="1595"/>
        <v>-7.8483969376335061E-2</v>
      </c>
      <c r="CW342" s="1065">
        <f t="shared" si="1595"/>
        <v>-6.5506577225509677E-2</v>
      </c>
      <c r="CX342" s="563">
        <f t="shared" si="1595"/>
        <v>-5.2889458605482775E-2</v>
      </c>
      <c r="CY342" s="1065">
        <f t="shared" si="1595"/>
        <v>-4.1301825663078495E-2</v>
      </c>
      <c r="CZ342" s="1065">
        <f t="shared" si="1595"/>
        <v>-4.343057199460687E-2</v>
      </c>
      <c r="DA342" s="1065">
        <f t="shared" si="1595"/>
        <v>-4.3718989183179402E-2</v>
      </c>
      <c r="DB342" s="563">
        <f t="shared" si="1595"/>
        <v>-5.9097411439407277E-2</v>
      </c>
      <c r="DC342" s="1065">
        <f t="shared" si="1595"/>
        <v>-6.5059376761329335E-2</v>
      </c>
      <c r="DD342" s="1065">
        <f t="shared" si="1595"/>
        <v>-5.9419759607123201E-2</v>
      </c>
      <c r="DE342" s="1065">
        <f t="shared" si="1595"/>
        <v>-5.6862003839383446E-2</v>
      </c>
      <c r="DF342" s="563">
        <f t="shared" si="1595"/>
        <v>-1.5923898542366866E-2</v>
      </c>
      <c r="DG342" s="1065">
        <f t="shared" si="1595"/>
        <v>-9.8960623714603457E-3</v>
      </c>
      <c r="DH342" s="1065">
        <f t="shared" si="1595"/>
        <v>1.2669638845917541E-2</v>
      </c>
      <c r="DI342" s="564">
        <f t="shared" si="1595"/>
        <v>-4.9295460131291158E-3</v>
      </c>
      <c r="DJ342" s="563">
        <f t="shared" si="1595"/>
        <v>-6.5252141539689834E-2</v>
      </c>
      <c r="DK342" s="1065">
        <f t="shared" si="1595"/>
        <v>-9.2409063563405502E-2</v>
      </c>
      <c r="DL342" s="1065">
        <f t="shared" si="1595"/>
        <v>-0.11980189474231073</v>
      </c>
      <c r="DM342" s="564">
        <f t="shared" si="1595"/>
        <v>-0.13715787622736364</v>
      </c>
      <c r="DN342" s="1065">
        <f t="shared" si="1595"/>
        <v>-0.14441444973354789</v>
      </c>
      <c r="DO342" s="1065">
        <f t="shared" si="1595"/>
        <v>-0.13005161049569491</v>
      </c>
      <c r="DP342" s="1065">
        <f t="shared" si="1595"/>
        <v>-0.12720978709758901</v>
      </c>
      <c r="DQ342" s="564">
        <f t="shared" si="1595"/>
        <v>-0.12437465195570352</v>
      </c>
      <c r="DR342" s="563">
        <f t="shared" si="1595"/>
        <v>-0.15111485220749477</v>
      </c>
      <c r="DS342" s="1065">
        <f t="shared" si="1595"/>
        <v>-0.162845021640178</v>
      </c>
      <c r="DT342" s="1065">
        <f t="shared" si="1595"/>
        <v>-0.12957928861946677</v>
      </c>
      <c r="DU342" s="564">
        <f t="shared" si="1595"/>
        <v>-8.5404277261600714E-2</v>
      </c>
      <c r="DV342" s="1065">
        <f t="shared" si="1595"/>
        <v>-7.7582397285897775E-2</v>
      </c>
      <c r="DW342" s="1065">
        <f t="shared" ref="DW342" ca="1" si="1596">DW341/DS341-1</f>
        <v>-0.21246373648202144</v>
      </c>
      <c r="DX342" s="1065">
        <f t="shared" ref="DX342" ca="1" si="1597">DX341/DT341-1</f>
        <v>-0.20502000379999841</v>
      </c>
      <c r="DY342" s="564">
        <f t="shared" ref="DY342" ca="1" si="1598">DY341/DU341-1</f>
        <v>-0.20701829813926964</v>
      </c>
    </row>
    <row r="343" spans="1:129" s="1491" customFormat="1" hidden="1" outlineLevel="1">
      <c r="A343" s="1464"/>
      <c r="B343" s="1064"/>
      <c r="C343" s="1064"/>
      <c r="D343" s="1064"/>
      <c r="E343" s="1064"/>
      <c r="F343" s="1064"/>
      <c r="G343" s="1064"/>
      <c r="H343" s="1064"/>
      <c r="I343" s="1064"/>
      <c r="J343" s="1064"/>
      <c r="K343" s="1064"/>
      <c r="L343" s="1064"/>
      <c r="M343" s="1064"/>
      <c r="N343" s="1064"/>
      <c r="O343" s="1064"/>
      <c r="P343" s="1064"/>
      <c r="Q343" s="1064"/>
      <c r="R343" s="1064"/>
      <c r="S343" s="1064"/>
      <c r="T343" s="1064"/>
      <c r="U343" s="1064"/>
      <c r="V343" s="1064"/>
      <c r="W343" s="1064"/>
      <c r="X343" s="1064"/>
      <c r="Y343" s="1064"/>
      <c r="Z343" s="1064"/>
      <c r="AA343" s="1064"/>
      <c r="AB343" s="1064"/>
      <c r="AC343" s="1064"/>
      <c r="AD343" s="1064"/>
      <c r="AE343" s="1064"/>
      <c r="AF343" s="1064"/>
      <c r="AG343" s="1064"/>
      <c r="AH343" s="2201"/>
      <c r="AI343" s="1927"/>
      <c r="AJ343" s="1561"/>
      <c r="AK343" s="1064"/>
      <c r="AL343" s="1064"/>
      <c r="AM343" s="1064"/>
      <c r="AN343" s="1064"/>
      <c r="AO343" s="1064"/>
      <c r="AP343" s="569"/>
      <c r="AQ343" s="1064"/>
      <c r="AR343" s="1064"/>
      <c r="AS343" s="1064"/>
      <c r="AT343" s="569"/>
      <c r="AU343" s="1064"/>
      <c r="AV343" s="1064"/>
      <c r="AW343" s="1064"/>
      <c r="AX343" s="569"/>
      <c r="AY343" s="1064"/>
      <c r="AZ343" s="1064"/>
      <c r="BA343" s="1064"/>
      <c r="BB343" s="569"/>
      <c r="BC343" s="1064"/>
      <c r="BD343" s="1064"/>
      <c r="BE343" s="1064"/>
      <c r="BF343" s="569"/>
      <c r="BG343" s="1064"/>
      <c r="BH343" s="1064"/>
      <c r="BI343" s="1064"/>
      <c r="BJ343" s="569"/>
      <c r="BK343" s="1064"/>
      <c r="BL343" s="1064"/>
      <c r="BM343" s="1064"/>
      <c r="BN343" s="569"/>
      <c r="BO343" s="1064"/>
      <c r="BP343" s="1064"/>
      <c r="BQ343" s="1064"/>
      <c r="BR343" s="569"/>
      <c r="BS343" s="1064"/>
      <c r="BT343" s="1064"/>
      <c r="BU343" s="1064"/>
      <c r="BV343" s="569"/>
      <c r="BW343" s="1064"/>
      <c r="BX343" s="1064"/>
      <c r="BY343" s="1064"/>
      <c r="BZ343" s="631"/>
      <c r="CA343" s="1229"/>
      <c r="CB343" s="1229"/>
      <c r="CC343" s="1229"/>
      <c r="CD343" s="569"/>
      <c r="CE343" s="1064"/>
      <c r="CF343" s="1064"/>
      <c r="CG343" s="1064"/>
      <c r="CH343" s="164"/>
      <c r="CI343" s="1103"/>
      <c r="CJ343" s="1103"/>
      <c r="CK343" s="1103"/>
      <c r="CL343" s="569"/>
      <c r="CM343" s="1064"/>
      <c r="CN343" s="1064"/>
      <c r="CO343" s="1064"/>
      <c r="CP343" s="569"/>
      <c r="CQ343" s="1064"/>
      <c r="CR343" s="1064"/>
      <c r="CS343" s="1064"/>
      <c r="CT343" s="569"/>
      <c r="CU343" s="1064"/>
      <c r="CV343" s="1064"/>
      <c r="CW343" s="1064"/>
      <c r="CX343" s="569"/>
      <c r="CY343" s="1064"/>
      <c r="CZ343" s="1064"/>
      <c r="DA343" s="1064"/>
      <c r="DB343" s="569"/>
      <c r="DC343" s="1064"/>
      <c r="DD343" s="1064"/>
      <c r="DE343" s="1064"/>
      <c r="DF343" s="569"/>
      <c r="DG343" s="1064"/>
      <c r="DH343" s="1064"/>
      <c r="DI343" s="568"/>
      <c r="DJ343" s="569"/>
      <c r="DK343" s="1064"/>
      <c r="DL343" s="1064"/>
      <c r="DM343" s="568"/>
      <c r="DN343" s="1064"/>
      <c r="DO343" s="1064"/>
      <c r="DP343" s="1064"/>
      <c r="DQ343" s="568"/>
      <c r="DR343" s="569"/>
      <c r="DS343" s="1064"/>
      <c r="DT343" s="1064"/>
      <c r="DU343" s="568"/>
      <c r="DV343" s="1064"/>
      <c r="DW343" s="1064"/>
      <c r="DX343" s="1064"/>
      <c r="DY343" s="568"/>
    </row>
    <row r="344" spans="1:129" s="1491" customFormat="1" hidden="1" outlineLevel="1">
      <c r="A344" s="151" t="s">
        <v>815</v>
      </c>
      <c r="B344" s="1064"/>
      <c r="C344" s="1064"/>
      <c r="D344" s="1064"/>
      <c r="E344" s="1064"/>
      <c r="F344" s="1064"/>
      <c r="G344" s="1064"/>
      <c r="H344" s="1064"/>
      <c r="I344" s="1064"/>
      <c r="J344" s="1064"/>
      <c r="K344" s="1064"/>
      <c r="L344" s="1064"/>
      <c r="M344" s="1064"/>
      <c r="N344" s="1064"/>
      <c r="O344" s="1064"/>
      <c r="P344" s="1064"/>
      <c r="Q344" s="1113">
        <f>SUM(CL344:CO344)</f>
        <v>34369.802745000001</v>
      </c>
      <c r="R344" s="1113">
        <f>SUM(CP344:CS344)</f>
        <v>33666.421979999999</v>
      </c>
      <c r="S344" s="1113">
        <f>SUM(CT344:CW344)</f>
        <v>33366.353174999997</v>
      </c>
      <c r="T344" s="1113">
        <f>SUM(CX344:DA344)</f>
        <v>33227.435924999998</v>
      </c>
      <c r="U344" s="1113">
        <f>SUM(DB344:DE344)</f>
        <v>32778.945750000006</v>
      </c>
      <c r="V344" s="1113">
        <f>SUM(DF344:DI344)</f>
        <v>32942.553599999999</v>
      </c>
      <c r="W344" s="1113">
        <f>SUM(DJ344:DM344)</f>
        <v>28740.866504999998</v>
      </c>
      <c r="X344" s="1113">
        <f>SUM(DK344:DN344)</f>
        <v>27265.034220000001</v>
      </c>
      <c r="Y344" s="1113">
        <f>SUM(DL344:DO344)</f>
        <v>26028.465570000004</v>
      </c>
      <c r="Z344" s="1113">
        <f>SUM(DM344:DP344)</f>
        <v>24900.323700000001</v>
      </c>
      <c r="AA344" s="1113">
        <f ca="1">+AA246-AA325</f>
        <v>16416.036028811068</v>
      </c>
      <c r="AB344" s="1113">
        <f ca="1">+AB246-AB325</f>
        <v>12719.139226866217</v>
      </c>
      <c r="AC344" s="1113">
        <f t="shared" ref="AC344:AG344" ca="1" si="1599">+AC246-AC325</f>
        <v>8572.6227579815168</v>
      </c>
      <c r="AD344" s="1113">
        <f t="shared" ca="1" si="1599"/>
        <v>3948.1921767216481</v>
      </c>
      <c r="AE344" s="1113">
        <f t="shared" ca="1" si="1599"/>
        <v>-1190.5261321824437</v>
      </c>
      <c r="AF344" s="1113">
        <f t="shared" ca="1" si="1599"/>
        <v>-6887.9684707405395</v>
      </c>
      <c r="AG344" s="1113">
        <f t="shared" ca="1" si="1599"/>
        <v>-13196.810125773234</v>
      </c>
      <c r="AH344" s="2201"/>
      <c r="AI344" s="1927"/>
      <c r="AJ344" s="1561"/>
      <c r="AK344" s="1064"/>
      <c r="AL344" s="1064"/>
      <c r="AM344" s="1064"/>
      <c r="AN344" s="1064"/>
      <c r="AO344" s="1064"/>
      <c r="AP344" s="569"/>
      <c r="AQ344" s="1064"/>
      <c r="AR344" s="1064"/>
      <c r="AS344" s="1064"/>
      <c r="AT344" s="569"/>
      <c r="AU344" s="1064"/>
      <c r="AV344" s="1064"/>
      <c r="AW344" s="1064"/>
      <c r="AX344" s="569"/>
      <c r="AY344" s="1064"/>
      <c r="AZ344" s="1064"/>
      <c r="BA344" s="1064"/>
      <c r="BB344" s="569"/>
      <c r="BC344" s="1064"/>
      <c r="BD344" s="1064"/>
      <c r="BE344" s="1064"/>
      <c r="BF344" s="569"/>
      <c r="BG344" s="1064"/>
      <c r="BH344" s="1064"/>
      <c r="BI344" s="1064"/>
      <c r="BJ344" s="569"/>
      <c r="BK344" s="1064"/>
      <c r="BL344" s="1064"/>
      <c r="BM344" s="1064"/>
      <c r="BN344" s="569"/>
      <c r="BO344" s="1064"/>
      <c r="BP344" s="1064"/>
      <c r="BQ344" s="1064"/>
      <c r="BR344" s="569"/>
      <c r="BS344" s="1064"/>
      <c r="BT344" s="1064"/>
      <c r="BU344" s="1064"/>
      <c r="BV344" s="569"/>
      <c r="BW344" s="1064"/>
      <c r="BX344" s="1064"/>
      <c r="BY344" s="1064"/>
      <c r="BZ344" s="631"/>
      <c r="CA344" s="1229"/>
      <c r="CB344" s="1229"/>
      <c r="CC344" s="1229"/>
      <c r="CD344" s="569"/>
      <c r="CE344" s="1064"/>
      <c r="CF344" s="1064"/>
      <c r="CG344" s="1064"/>
      <c r="CH344" s="164"/>
      <c r="CI344" s="1103"/>
      <c r="CJ344" s="1103"/>
      <c r="CK344" s="1103"/>
      <c r="CL344" s="150">
        <f t="shared" ref="CL344:DJ344" si="1600">+CL246-CL325</f>
        <v>8627.0639850000007</v>
      </c>
      <c r="CM344" s="1113">
        <f t="shared" si="1600"/>
        <v>8625.3796199999997</v>
      </c>
      <c r="CN344" s="1113">
        <f t="shared" si="1600"/>
        <v>8609.2906199999998</v>
      </c>
      <c r="CO344" s="1113">
        <f t="shared" si="1600"/>
        <v>8508.0685200000007</v>
      </c>
      <c r="CP344" s="150">
        <f t="shared" si="1600"/>
        <v>8442.3931349999984</v>
      </c>
      <c r="CQ344" s="1113">
        <f t="shared" si="1600"/>
        <v>8450.0324249999976</v>
      </c>
      <c r="CR344" s="1113">
        <f t="shared" si="1600"/>
        <v>8453.6280000000006</v>
      </c>
      <c r="CS344" s="1113">
        <f t="shared" si="1600"/>
        <v>8320.3684200000007</v>
      </c>
      <c r="CT344" s="150">
        <f t="shared" si="1600"/>
        <v>8276.7293400000017</v>
      </c>
      <c r="CU344" s="1113">
        <f t="shared" si="1600"/>
        <v>8345.8320899999999</v>
      </c>
      <c r="CV344" s="1113">
        <f t="shared" si="1600"/>
        <v>8402.6423250000007</v>
      </c>
      <c r="CW344" s="1113">
        <f t="shared" si="1600"/>
        <v>8341.1494199999979</v>
      </c>
      <c r="CX344" s="150">
        <f t="shared" si="1600"/>
        <v>8319.2435250000017</v>
      </c>
      <c r="CY344" s="1113">
        <f t="shared" si="1600"/>
        <v>8380.3673999999992</v>
      </c>
      <c r="CZ344" s="1113">
        <f t="shared" si="1600"/>
        <v>8278.6703999999991</v>
      </c>
      <c r="DA344" s="1113">
        <f t="shared" si="1600"/>
        <v>8249.1545999999998</v>
      </c>
      <c r="DB344" s="150">
        <f t="shared" si="1600"/>
        <v>8256.851999999999</v>
      </c>
      <c r="DC344" s="1113">
        <f t="shared" si="1600"/>
        <v>8257.2525000000005</v>
      </c>
      <c r="DD344" s="1113">
        <f t="shared" si="1600"/>
        <v>8166.0573000000031</v>
      </c>
      <c r="DE344" s="1113">
        <f t="shared" si="1600"/>
        <v>8098.7839499999991</v>
      </c>
      <c r="DF344" s="150">
        <f t="shared" si="1600"/>
        <v>8286.9918450000005</v>
      </c>
      <c r="DG344" s="1113">
        <f t="shared" si="1600"/>
        <v>8237.2092149999971</v>
      </c>
      <c r="DH344" s="1113">
        <f t="shared" si="1600"/>
        <v>8362.6080600000023</v>
      </c>
      <c r="DI344" s="155">
        <f t="shared" si="1600"/>
        <v>8055.7444799999994</v>
      </c>
      <c r="DJ344" s="150">
        <f t="shared" si="1600"/>
        <v>7677.9112199999963</v>
      </c>
      <c r="DK344" s="1113">
        <f t="shared" ref="DK344:DM344" si="1601">+DK246-DK325</f>
        <v>7335.3742199999979</v>
      </c>
      <c r="DL344" s="1113">
        <f t="shared" si="1601"/>
        <v>7123.5593400000016</v>
      </c>
      <c r="DM344" s="155">
        <f t="shared" si="1601"/>
        <v>6604.0217250000005</v>
      </c>
      <c r="DN344" s="1113">
        <f t="shared" ref="DN344:DO344" si="1602">+DN246-DN325</f>
        <v>6202.0789349999995</v>
      </c>
      <c r="DO344" s="1113">
        <f t="shared" si="1602"/>
        <v>6098.8055700000004</v>
      </c>
      <c r="DP344" s="1113">
        <f t="shared" ref="DP344:DQ344" si="1603">+DP246-DP325</f>
        <v>5995.4174700000003</v>
      </c>
      <c r="DQ344" s="155">
        <f t="shared" si="1603"/>
        <v>5576.937899999999</v>
      </c>
      <c r="DR344" s="150">
        <f t="shared" ref="DR344" si="1604">+DR246-DR325</f>
        <v>4989.5034749999977</v>
      </c>
      <c r="DS344" s="1113">
        <f t="shared" ref="DS344:DT344" si="1605">+DS246-DS325</f>
        <v>4739.7327149999983</v>
      </c>
      <c r="DT344" s="1113">
        <f t="shared" si="1605"/>
        <v>4856.5573199999999</v>
      </c>
      <c r="DU344" s="155">
        <f t="shared" ref="DU344" si="1606">+DU246-DU325</f>
        <v>4737.1260600000005</v>
      </c>
      <c r="DV344" s="1113">
        <f t="shared" ref="DV344" si="1607">+DV246-DV325</f>
        <v>4236.3094050000018</v>
      </c>
      <c r="DW344" s="1113">
        <f t="shared" ref="DW344:DY344" ca="1" si="1608">+DW246-DW325</f>
        <v>3289.4157540055967</v>
      </c>
      <c r="DX344" s="1113">
        <f t="shared" ca="1" si="1608"/>
        <v>3466.3082490887155</v>
      </c>
      <c r="DY344" s="155">
        <f t="shared" ca="1" si="1608"/>
        <v>3407.5153154872842</v>
      </c>
    </row>
    <row r="345" spans="1:129" s="1491" customFormat="1" hidden="1" outlineLevel="1">
      <c r="A345" s="1453" t="s">
        <v>1453</v>
      </c>
      <c r="B345" s="1065"/>
      <c r="C345" s="1065"/>
      <c r="D345" s="1065"/>
      <c r="E345" s="1065"/>
      <c r="F345" s="1065"/>
      <c r="G345" s="1065"/>
      <c r="H345" s="1065"/>
      <c r="I345" s="1065"/>
      <c r="J345" s="1065"/>
      <c r="K345" s="1065"/>
      <c r="L345" s="1065"/>
      <c r="M345" s="1065"/>
      <c r="N345" s="1065"/>
      <c r="O345" s="1065"/>
      <c r="P345" s="1065"/>
      <c r="Q345" s="1065"/>
      <c r="R345" s="1065">
        <f t="shared" ref="R345:AB345" si="1609">R344/Q344-1</f>
        <v>-2.0465080065154795E-2</v>
      </c>
      <c r="S345" s="1065">
        <f t="shared" si="1609"/>
        <v>-8.9129995809552609E-3</v>
      </c>
      <c r="T345" s="1065">
        <f t="shared" si="1609"/>
        <v>-4.1633932624103309E-3</v>
      </c>
      <c r="U345" s="1065">
        <f t="shared" si="1609"/>
        <v>-1.3497586031384179E-2</v>
      </c>
      <c r="V345" s="1065">
        <f t="shared" si="1609"/>
        <v>4.9912480788065761E-3</v>
      </c>
      <c r="W345" s="1065">
        <f>W344/V344-1</f>
        <v>-0.12754588323717564</v>
      </c>
      <c r="X345" s="1065">
        <f>X344/W344-1</f>
        <v>-5.1349609961942155E-2</v>
      </c>
      <c r="Y345" s="1065">
        <f>Y344/X344-1</f>
        <v>-4.5353643792345744E-2</v>
      </c>
      <c r="Z345" s="1065">
        <f>Z344/Y344-1</f>
        <v>-4.3342619140034233E-2</v>
      </c>
      <c r="AA345" s="1065">
        <f t="shared" ca="1" si="1609"/>
        <v>-0.34073001513586476</v>
      </c>
      <c r="AB345" s="1065">
        <f t="shared" ca="1" si="1609"/>
        <v>-0.22520033432288944</v>
      </c>
      <c r="AC345" s="1065">
        <f t="shared" ref="AC345" ca="1" si="1610">AC344/AB344-1</f>
        <v>-0.32600606023135204</v>
      </c>
      <c r="AD345" s="1065">
        <f t="shared" ref="AD345" ca="1" si="1611">AD344/AC344-1</f>
        <v>-0.53944174517119692</v>
      </c>
      <c r="AE345" s="1065">
        <f t="shared" ref="AE345" ca="1" si="1612">AE344/AD344-1</f>
        <v>-1.3015370273011857</v>
      </c>
      <c r="AF345" s="1065">
        <f t="shared" ref="AF345" ca="1" si="1613">AF344/AE344-1</f>
        <v>4.7856508013928956</v>
      </c>
      <c r="AG345" s="1065">
        <f t="shared" ref="AG345" ca="1" si="1614">AG344/AF344-1</f>
        <v>0.91592197058277458</v>
      </c>
      <c r="AH345" s="2201"/>
      <c r="AI345" s="1927"/>
      <c r="AJ345" s="1561"/>
      <c r="AK345" s="1065"/>
      <c r="AL345" s="1065"/>
      <c r="AM345" s="1065"/>
      <c r="AN345" s="1065"/>
      <c r="AO345" s="1065"/>
      <c r="AP345" s="563"/>
      <c r="AQ345" s="1065"/>
      <c r="AR345" s="1065"/>
      <c r="AS345" s="1065"/>
      <c r="AT345" s="563"/>
      <c r="AU345" s="1065"/>
      <c r="AV345" s="1065"/>
      <c r="AW345" s="1065"/>
      <c r="AX345" s="563"/>
      <c r="AY345" s="1065"/>
      <c r="AZ345" s="1065"/>
      <c r="BA345" s="1065"/>
      <c r="BB345" s="563"/>
      <c r="BC345" s="1065"/>
      <c r="BD345" s="1065"/>
      <c r="BE345" s="1065"/>
      <c r="BF345" s="563"/>
      <c r="BG345" s="1065"/>
      <c r="BH345" s="1065"/>
      <c r="BI345" s="1065"/>
      <c r="BJ345" s="563"/>
      <c r="BK345" s="1065"/>
      <c r="BL345" s="1065"/>
      <c r="BM345" s="1065"/>
      <c r="BN345" s="563"/>
      <c r="BO345" s="1065"/>
      <c r="BP345" s="1065"/>
      <c r="BQ345" s="1065"/>
      <c r="BR345" s="563"/>
      <c r="BS345" s="1065"/>
      <c r="BT345" s="1065"/>
      <c r="BU345" s="1065"/>
      <c r="BV345" s="563"/>
      <c r="BW345" s="1065"/>
      <c r="BX345" s="1065"/>
      <c r="BY345" s="1065"/>
      <c r="BZ345" s="563"/>
      <c r="CA345" s="1065"/>
      <c r="CB345" s="1065"/>
      <c r="CC345" s="1065"/>
      <c r="CD345" s="563"/>
      <c r="CE345" s="1065"/>
      <c r="CF345" s="1065"/>
      <c r="CG345" s="1065"/>
      <c r="CH345" s="156"/>
      <c r="CI345" s="1095"/>
      <c r="CJ345" s="1095"/>
      <c r="CK345" s="1095"/>
      <c r="CL345" s="563"/>
      <c r="CM345" s="1065"/>
      <c r="CN345" s="1065"/>
      <c r="CO345" s="1065"/>
      <c r="CP345" s="563">
        <f t="shared" ref="CP345:DV345" si="1615">+CP344/CL344-1</f>
        <v>-2.1405990534101971E-2</v>
      </c>
      <c r="CQ345" s="1065">
        <f t="shared" si="1615"/>
        <v>-2.0329214796925288E-2</v>
      </c>
      <c r="CR345" s="1065">
        <f t="shared" si="1615"/>
        <v>-1.8080771909172566E-2</v>
      </c>
      <c r="CS345" s="1065">
        <f t="shared" si="1615"/>
        <v>-2.2061423172459405E-2</v>
      </c>
      <c r="CT345" s="563">
        <f t="shared" si="1615"/>
        <v>-1.9622847734156901E-2</v>
      </c>
      <c r="CU345" s="1065">
        <f t="shared" si="1615"/>
        <v>-1.2331353272883816E-2</v>
      </c>
      <c r="CV345" s="1065">
        <f t="shared" si="1615"/>
        <v>-6.0312181941292176E-3</v>
      </c>
      <c r="CW345" s="1065">
        <f t="shared" si="1615"/>
        <v>2.4976057490488923E-3</v>
      </c>
      <c r="CX345" s="563">
        <f t="shared" si="1615"/>
        <v>5.1365923970156935E-3</v>
      </c>
      <c r="CY345" s="1065">
        <f t="shared" si="1615"/>
        <v>4.138030771237311E-3</v>
      </c>
      <c r="CZ345" s="1065">
        <f t="shared" si="1615"/>
        <v>-1.475392146957788E-2</v>
      </c>
      <c r="DA345" s="1065">
        <f t="shared" si="1615"/>
        <v>-1.1029033933790622E-2</v>
      </c>
      <c r="DB345" s="563">
        <f t="shared" si="1615"/>
        <v>-7.4996632581449951E-3</v>
      </c>
      <c r="DC345" s="1065">
        <f t="shared" si="1615"/>
        <v>-1.4690871428858721E-2</v>
      </c>
      <c r="DD345" s="1065">
        <f t="shared" si="1615"/>
        <v>-1.360280027575389E-2</v>
      </c>
      <c r="DE345" s="1065">
        <f t="shared" si="1615"/>
        <v>-1.822861339027404E-2</v>
      </c>
      <c r="DF345" s="563">
        <f t="shared" si="1615"/>
        <v>3.6502828196509629E-3</v>
      </c>
      <c r="DG345" s="1065">
        <f t="shared" si="1615"/>
        <v>-2.4273552249980401E-3</v>
      </c>
      <c r="DH345" s="1065">
        <f t="shared" si="1615"/>
        <v>2.4069235957969504E-2</v>
      </c>
      <c r="DI345" s="564">
        <f t="shared" si="1615"/>
        <v>-5.31431265060478E-3</v>
      </c>
      <c r="DJ345" s="563">
        <f t="shared" si="1615"/>
        <v>-7.3498398018515765E-2</v>
      </c>
      <c r="DK345" s="1065">
        <f t="shared" si="1615"/>
        <v>-0.10948307508782873</v>
      </c>
      <c r="DL345" s="1065">
        <f t="shared" si="1615"/>
        <v>-0.14816534639792744</v>
      </c>
      <c r="DM345" s="564">
        <f t="shared" si="1615"/>
        <v>-0.18020963284078728</v>
      </c>
      <c r="DN345" s="1065">
        <f t="shared" si="1615"/>
        <v>-0.1922179408841872</v>
      </c>
      <c r="DO345" s="1065">
        <f t="shared" si="1615"/>
        <v>-0.16857608254374756</v>
      </c>
      <c r="DP345" s="1065">
        <f t="shared" si="1615"/>
        <v>-0.15836772267275046</v>
      </c>
      <c r="DQ345" s="564">
        <f t="shared" si="1615"/>
        <v>-0.15552399246536419</v>
      </c>
      <c r="DR345" s="563">
        <f t="shared" si="1615"/>
        <v>-0.19551112984988184</v>
      </c>
      <c r="DS345" s="1065">
        <f t="shared" si="1615"/>
        <v>-0.2228424630693715</v>
      </c>
      <c r="DT345" s="1065">
        <f t="shared" si="1615"/>
        <v>-0.18995510416057826</v>
      </c>
      <c r="DU345" s="564">
        <f t="shared" si="1615"/>
        <v>-0.15058655037202384</v>
      </c>
      <c r="DV345" s="1065">
        <f t="shared" si="1615"/>
        <v>-0.15095571608956471</v>
      </c>
      <c r="DW345" s="1065">
        <f t="shared" ref="DW345" ca="1" si="1616">+DW344/DS344-1</f>
        <v>-0.30599129702072281</v>
      </c>
      <c r="DX345" s="1065">
        <f t="shared" ref="DX345" ca="1" si="1617">+DX344/DT344-1</f>
        <v>-0.28626225931402871</v>
      </c>
      <c r="DY345" s="564">
        <f t="shared" ref="DY345" ca="1" si="1618">+DY344/DU344-1</f>
        <v>-0.28067877604944214</v>
      </c>
    </row>
    <row r="346" spans="1:129" s="1491" customFormat="1" hidden="1" outlineLevel="1">
      <c r="A346" s="151" t="s">
        <v>821</v>
      </c>
      <c r="B346" s="1064"/>
      <c r="C346" s="1064"/>
      <c r="D346" s="1064"/>
      <c r="E346" s="1064"/>
      <c r="F346" s="1064"/>
      <c r="G346" s="1064"/>
      <c r="H346" s="1064"/>
      <c r="I346" s="1064"/>
      <c r="J346" s="1064"/>
      <c r="K346" s="1064"/>
      <c r="L346" s="1064"/>
      <c r="M346" s="1064"/>
      <c r="N346" s="1064"/>
      <c r="O346" s="1064"/>
      <c r="P346" s="1064"/>
      <c r="Q346" s="1229">
        <f t="shared" ref="Q346:AA346" si="1619">+Q249-Q330</f>
        <v>37.162423283406625</v>
      </c>
      <c r="R346" s="1229">
        <f t="shared" si="1619"/>
        <v>35.049979332791018</v>
      </c>
      <c r="S346" s="1229">
        <f t="shared" si="1619"/>
        <v>33.748319896587617</v>
      </c>
      <c r="T346" s="1229">
        <f t="shared" si="1619"/>
        <v>32.008603048461353</v>
      </c>
      <c r="U346" s="1229">
        <f t="shared" si="1619"/>
        <v>30.209206823530856</v>
      </c>
      <c r="V346" s="1229">
        <f t="shared" si="1619"/>
        <v>28.976428267247432</v>
      </c>
      <c r="W346" s="1229">
        <f t="shared" si="1619"/>
        <v>23.871655848597946</v>
      </c>
      <c r="X346" s="1229">
        <f>+X249-X330</f>
        <v>19.763777430647679</v>
      </c>
      <c r="Y346" s="1229">
        <f ca="1">+Y249-Y330</f>
        <v>16.047561199082416</v>
      </c>
      <c r="Z346" s="1229">
        <f ca="1">+Z249-Z330</f>
        <v>14.64660272656322</v>
      </c>
      <c r="AA346" s="1229">
        <f t="shared" ca="1" si="1619"/>
        <v>11.987570636237368</v>
      </c>
      <c r="AB346" s="1229">
        <f t="shared" ref="AB346:AG346" ca="1" si="1620">+AB249-AB330</f>
        <v>9.1387132531266033</v>
      </c>
      <c r="AC346" s="1229">
        <f t="shared" ca="1" si="1620"/>
        <v>6.0734422760953564</v>
      </c>
      <c r="AD346" s="1229">
        <f t="shared" ca="1" si="1620"/>
        <v>2.7629399253375126</v>
      </c>
      <c r="AE346" s="1229">
        <f t="shared" ca="1" si="1620"/>
        <v>-0.82410349071013655</v>
      </c>
      <c r="AF346" s="1229">
        <f t="shared" ca="1" si="1620"/>
        <v>-4.7217741606113179</v>
      </c>
      <c r="AG346" s="1229">
        <f t="shared" ca="1" si="1620"/>
        <v>-8.9672440339734862</v>
      </c>
      <c r="AH346" s="2201"/>
      <c r="AI346" s="1927"/>
      <c r="AJ346" s="1561"/>
      <c r="AK346" s="1064"/>
      <c r="AL346" s="1064"/>
      <c r="AM346" s="1064"/>
      <c r="AN346" s="1064"/>
      <c r="AO346" s="1064"/>
      <c r="AP346" s="569"/>
      <c r="AQ346" s="1064"/>
      <c r="AR346" s="1064"/>
      <c r="AS346" s="1064"/>
      <c r="AT346" s="569"/>
      <c r="AU346" s="1064"/>
      <c r="AV346" s="1064"/>
      <c r="AW346" s="1064"/>
      <c r="AX346" s="569"/>
      <c r="AY346" s="1064"/>
      <c r="AZ346" s="1064"/>
      <c r="BA346" s="1064"/>
      <c r="BB346" s="569"/>
      <c r="BC346" s="1064"/>
      <c r="BD346" s="1064"/>
      <c r="BE346" s="1064"/>
      <c r="BF346" s="569"/>
      <c r="BG346" s="1064"/>
      <c r="BH346" s="1064"/>
      <c r="BI346" s="1064"/>
      <c r="BJ346" s="569"/>
      <c r="BK346" s="1064"/>
      <c r="BL346" s="1064"/>
      <c r="BM346" s="1064"/>
      <c r="BN346" s="569"/>
      <c r="BO346" s="1064"/>
      <c r="BP346" s="1064"/>
      <c r="BQ346" s="1064"/>
      <c r="BR346" s="569"/>
      <c r="BS346" s="1064"/>
      <c r="BT346" s="1064"/>
      <c r="BU346" s="1064"/>
      <c r="BV346" s="569"/>
      <c r="BW346" s="1064"/>
      <c r="BX346" s="1064"/>
      <c r="BY346" s="1064"/>
      <c r="BZ346" s="631"/>
      <c r="CA346" s="1229"/>
      <c r="CB346" s="1229"/>
      <c r="CC346" s="1229"/>
      <c r="CD346" s="569"/>
      <c r="CE346" s="1064"/>
      <c r="CF346" s="1064"/>
      <c r="CG346" s="1064"/>
      <c r="CH346" s="164"/>
      <c r="CI346" s="1103"/>
      <c r="CJ346" s="1103"/>
      <c r="CK346" s="1103"/>
      <c r="CL346" s="631">
        <f t="shared" ref="CL346:DJ346" si="1621">+CL249-CL330</f>
        <v>37.409999999999997</v>
      </c>
      <c r="CM346" s="1229">
        <f t="shared" si="1621"/>
        <v>36.92</v>
      </c>
      <c r="CN346" s="1229">
        <f t="shared" si="1621"/>
        <v>36.380000000000003</v>
      </c>
      <c r="CO346" s="1229">
        <f t="shared" si="1621"/>
        <v>35.480000000000004</v>
      </c>
      <c r="CP346" s="631">
        <f t="shared" si="1621"/>
        <v>34.870000000000005</v>
      </c>
      <c r="CQ346" s="1229">
        <f t="shared" si="1621"/>
        <v>34.67</v>
      </c>
      <c r="CR346" s="1229">
        <f t="shared" si="1621"/>
        <v>34.4</v>
      </c>
      <c r="CS346" s="1229">
        <f t="shared" si="1621"/>
        <v>33.540000000000006</v>
      </c>
      <c r="CT346" s="631">
        <f t="shared" si="1621"/>
        <v>33.010000000000005</v>
      </c>
      <c r="CU346" s="1229">
        <f t="shared" si="1621"/>
        <v>32.86</v>
      </c>
      <c r="CV346" s="1229">
        <f t="shared" si="1621"/>
        <v>32.67</v>
      </c>
      <c r="CW346" s="1229">
        <f t="shared" si="1621"/>
        <v>32.039999999999992</v>
      </c>
      <c r="CX346" s="631">
        <f t="shared" si="1621"/>
        <v>31.63</v>
      </c>
      <c r="CY346" s="1229">
        <f t="shared" si="1621"/>
        <v>31.6</v>
      </c>
      <c r="CZ346" s="1229">
        <f t="shared" si="1621"/>
        <v>30.8</v>
      </c>
      <c r="DA346" s="1229">
        <f t="shared" si="1621"/>
        <v>30.07062618927845</v>
      </c>
      <c r="DB346" s="631">
        <f t="shared" si="1621"/>
        <v>29.639707941157468</v>
      </c>
      <c r="DC346" s="1229">
        <f t="shared" si="1621"/>
        <v>29.365854569314564</v>
      </c>
      <c r="DD346" s="1229">
        <f t="shared" si="1621"/>
        <v>28.73510577653915</v>
      </c>
      <c r="DE346" s="1229">
        <f t="shared" si="1621"/>
        <v>28.130007762963892</v>
      </c>
      <c r="DF346" s="631">
        <f t="shared" si="1621"/>
        <v>28.473965880685469</v>
      </c>
      <c r="DG346" s="1229">
        <f t="shared" si="1621"/>
        <v>28.036886493827403</v>
      </c>
      <c r="DH346" s="1229">
        <f t="shared" si="1621"/>
        <v>28.058300318073847</v>
      </c>
      <c r="DI346" s="632">
        <f t="shared" si="1621"/>
        <v>26.562682731400422</v>
      </c>
      <c r="DJ346" s="631">
        <f t="shared" si="1621"/>
        <v>25.003455909650434</v>
      </c>
      <c r="DK346" s="1229">
        <f t="shared" ref="DK346:DM346" si="1622">+DK249-DK330</f>
        <v>23.696743099705373</v>
      </c>
      <c r="DL346" s="1229">
        <f t="shared" si="1622"/>
        <v>22.749454190099357</v>
      </c>
      <c r="DM346" s="632">
        <f t="shared" si="1622"/>
        <v>20.811440976407582</v>
      </c>
      <c r="DN346" s="1229">
        <f t="shared" ref="DN346:DO346" si="1623">+DN249-DN330</f>
        <v>19.348332420834915</v>
      </c>
      <c r="DO346" s="1229">
        <f t="shared" si="1623"/>
        <v>18.91533596028863</v>
      </c>
      <c r="DP346" s="1229">
        <f t="shared" ref="DP346:DQ346" si="1624">+DP249-DP330</f>
        <v>18.50437490740741</v>
      </c>
      <c r="DQ346" s="632">
        <f t="shared" si="1624"/>
        <v>17.132186566889075</v>
      </c>
      <c r="DR346" s="631">
        <f t="shared" ref="DR346" si="1625">+DR249-DR330</f>
        <v>15.309052646597223</v>
      </c>
      <c r="DS346" s="1229">
        <f t="shared" ref="DS346:DT346" si="1626">+DS249-DS330</f>
        <v>14.523175469157188</v>
      </c>
      <c r="DT346" s="1229">
        <f t="shared" si="1626"/>
        <v>14.799312898242022</v>
      </c>
      <c r="DU346" s="632">
        <f t="shared" ref="DU346" si="1627">+DU249-DU330</f>
        <v>14.319778906320856</v>
      </c>
      <c r="DV346" s="1229">
        <f t="shared" ref="DV346" si="1628">+DV249-DV330</f>
        <v>12.723483880559364</v>
      </c>
      <c r="DW346" s="1229">
        <f t="shared" ref="DW346:DY346" si="1629">+DW249-DW330</f>
        <v>9.847248450390893</v>
      </c>
      <c r="DX346" s="1229">
        <f t="shared" si="1629"/>
        <v>10.332586946803545</v>
      </c>
      <c r="DY346" s="632">
        <f t="shared" si="1629"/>
        <v>10.087685539131222</v>
      </c>
    </row>
    <row r="347" spans="1:129" s="1491" customFormat="1" hidden="1" outlineLevel="1">
      <c r="A347" s="1453" t="s">
        <v>1453</v>
      </c>
      <c r="B347" s="1065"/>
      <c r="C347" s="1065"/>
      <c r="D347" s="1065"/>
      <c r="E347" s="1065"/>
      <c r="F347" s="1065"/>
      <c r="G347" s="1065"/>
      <c r="H347" s="1065"/>
      <c r="I347" s="1065"/>
      <c r="J347" s="1065"/>
      <c r="K347" s="1065"/>
      <c r="L347" s="1065"/>
      <c r="M347" s="1065"/>
      <c r="N347" s="1065"/>
      <c r="O347" s="1065"/>
      <c r="P347" s="1065"/>
      <c r="Q347" s="1065"/>
      <c r="R347" s="1065">
        <f t="shared" ref="R347:AB347" si="1630">R346/Q346-1</f>
        <v>-5.6843546894285391E-2</v>
      </c>
      <c r="S347" s="1065">
        <f t="shared" si="1630"/>
        <v>-3.7137238337417E-2</v>
      </c>
      <c r="T347" s="1065">
        <f t="shared" si="1630"/>
        <v>-5.154973205946678E-2</v>
      </c>
      <c r="U347" s="1065">
        <f t="shared" si="1630"/>
        <v>-5.6216018618687968E-2</v>
      </c>
      <c r="V347" s="1065">
        <f t="shared" si="1630"/>
        <v>-4.0808041187072042E-2</v>
      </c>
      <c r="W347" s="1065">
        <f>W346/V346-1</f>
        <v>-0.1761698291993945</v>
      </c>
      <c r="X347" s="1065">
        <f>X346/W346-1</f>
        <v>-0.17208183814326961</v>
      </c>
      <c r="Y347" s="1065">
        <f ca="1">Y346/X346-1</f>
        <v>-0.18803167788170538</v>
      </c>
      <c r="Z347" s="1065">
        <f ca="1">Z346/Y346-1</f>
        <v>-8.7300397558184861E-2</v>
      </c>
      <c r="AA347" s="1065">
        <f t="shared" ca="1" si="1630"/>
        <v>-0.18154599670430094</v>
      </c>
      <c r="AB347" s="1065">
        <f t="shared" ca="1" si="1630"/>
        <v>-0.23765093608699339</v>
      </c>
      <c r="AC347" s="1065">
        <f t="shared" ref="AC347" ca="1" si="1631">AC346/AB346-1</f>
        <v>-0.33541603638592488</v>
      </c>
      <c r="AD347" s="1065">
        <f t="shared" ref="AD347" ca="1" si="1632">AD346/AC346-1</f>
        <v>-0.5450784250947357</v>
      </c>
      <c r="AE347" s="1065">
        <f t="shared" ref="AE347" ca="1" si="1633">AE346/AD346-1</f>
        <v>-1.2982705064097499</v>
      </c>
      <c r="AF347" s="1065">
        <f t="shared" ref="AF347" ca="1" si="1634">AF346/AE346-1</f>
        <v>4.7295888366429892</v>
      </c>
      <c r="AG347" s="1065">
        <f t="shared" ref="AG347" ca="1" si="1635">AG346/AF346-1</f>
        <v>0.89912599140754246</v>
      </c>
      <c r="AH347" s="2201"/>
      <c r="AI347" s="1927"/>
      <c r="AJ347" s="1561"/>
      <c r="AK347" s="1065"/>
      <c r="AL347" s="1065"/>
      <c r="AM347" s="1065"/>
      <c r="AN347" s="1065"/>
      <c r="AO347" s="1065"/>
      <c r="AP347" s="563"/>
      <c r="AQ347" s="1065"/>
      <c r="AR347" s="1065"/>
      <c r="AS347" s="1065"/>
      <c r="AT347" s="563"/>
      <c r="AU347" s="1065"/>
      <c r="AV347" s="1065"/>
      <c r="AW347" s="1065"/>
      <c r="AX347" s="563"/>
      <c r="AY347" s="1065"/>
      <c r="AZ347" s="1065"/>
      <c r="BA347" s="1065"/>
      <c r="BB347" s="563"/>
      <c r="BC347" s="1065"/>
      <c r="BD347" s="1065"/>
      <c r="BE347" s="1065"/>
      <c r="BF347" s="563"/>
      <c r="BG347" s="1065"/>
      <c r="BH347" s="1065"/>
      <c r="BI347" s="1065"/>
      <c r="BJ347" s="563"/>
      <c r="BK347" s="1065"/>
      <c r="BL347" s="1065"/>
      <c r="BM347" s="1065"/>
      <c r="BN347" s="563"/>
      <c r="BO347" s="1065"/>
      <c r="BP347" s="1065"/>
      <c r="BQ347" s="1065"/>
      <c r="BR347" s="563"/>
      <c r="BS347" s="1065"/>
      <c r="BT347" s="1065"/>
      <c r="BU347" s="1065"/>
      <c r="BV347" s="563"/>
      <c r="BW347" s="1065"/>
      <c r="BX347" s="1065"/>
      <c r="BY347" s="1065"/>
      <c r="BZ347" s="563"/>
      <c r="CA347" s="1065"/>
      <c r="CB347" s="1065"/>
      <c r="CC347" s="1065"/>
      <c r="CD347" s="563"/>
      <c r="CE347" s="1065"/>
      <c r="CF347" s="1065"/>
      <c r="CG347" s="1065"/>
      <c r="CH347" s="156"/>
      <c r="CI347" s="1095"/>
      <c r="CJ347" s="1095"/>
      <c r="CK347" s="1095"/>
      <c r="CL347" s="563"/>
      <c r="CM347" s="1065"/>
      <c r="CN347" s="1065"/>
      <c r="CO347" s="1065"/>
      <c r="CP347" s="563">
        <f t="shared" ref="CP347:DV347" si="1636">CP346/CL346-1</f>
        <v>-6.7896284415931318E-2</v>
      </c>
      <c r="CQ347" s="1065">
        <f t="shared" si="1636"/>
        <v>-6.0942578548212389E-2</v>
      </c>
      <c r="CR347" s="1065">
        <f t="shared" si="1636"/>
        <v>-5.4425508521165566E-2</v>
      </c>
      <c r="CS347" s="1065">
        <f t="shared" si="1636"/>
        <v>-5.4678692220969438E-2</v>
      </c>
      <c r="CT347" s="563">
        <f t="shared" si="1636"/>
        <v>-5.334098078577576E-2</v>
      </c>
      <c r="CU347" s="1065">
        <f t="shared" si="1636"/>
        <v>-5.2206518603980401E-2</v>
      </c>
      <c r="CV347" s="1065">
        <f t="shared" si="1636"/>
        <v>-5.0290697674418516E-2</v>
      </c>
      <c r="CW347" s="1065">
        <f t="shared" si="1636"/>
        <v>-4.4722719141324196E-2</v>
      </c>
      <c r="CX347" s="563">
        <f t="shared" si="1636"/>
        <v>-4.1805513480763556E-2</v>
      </c>
      <c r="CY347" s="1065">
        <f t="shared" si="1636"/>
        <v>-3.8344491783323109E-2</v>
      </c>
      <c r="CZ347" s="1065">
        <f t="shared" si="1636"/>
        <v>-5.7239057239057312E-2</v>
      </c>
      <c r="DA347" s="1065">
        <f t="shared" si="1636"/>
        <v>-6.1466098961346582E-2</v>
      </c>
      <c r="DB347" s="563">
        <f t="shared" si="1636"/>
        <v>-6.2924187759801797E-2</v>
      </c>
      <c r="DC347" s="1065">
        <f t="shared" si="1636"/>
        <v>-7.0700804768526471E-2</v>
      </c>
      <c r="DD347" s="1065">
        <f t="shared" si="1636"/>
        <v>-6.7042020242235378E-2</v>
      </c>
      <c r="DE347" s="1065">
        <f t="shared" si="1636"/>
        <v>-6.4535351345841874E-2</v>
      </c>
      <c r="DF347" s="563">
        <f t="shared" si="1636"/>
        <v>-3.9330416574491878E-2</v>
      </c>
      <c r="DG347" s="1065">
        <f t="shared" si="1636"/>
        <v>-4.5255555984256901E-2</v>
      </c>
      <c r="DH347" s="1065">
        <f t="shared" si="1636"/>
        <v>-2.3553261426233596E-2</v>
      </c>
      <c r="DI347" s="564">
        <f t="shared" si="1636"/>
        <v>-5.5717191576001524E-2</v>
      </c>
      <c r="DJ347" s="563">
        <f t="shared" si="1636"/>
        <v>-0.12188361767298317</v>
      </c>
      <c r="DK347" s="1065">
        <f t="shared" si="1636"/>
        <v>-0.15480119003504744</v>
      </c>
      <c r="DL347" s="1065">
        <f t="shared" si="1636"/>
        <v>-0.18920768784254471</v>
      </c>
      <c r="DM347" s="564">
        <f t="shared" si="1636"/>
        <v>-0.21651584718113392</v>
      </c>
      <c r="DN347" s="1065">
        <f t="shared" si="1636"/>
        <v>-0.22617367412129796</v>
      </c>
      <c r="DO347" s="1065">
        <f t="shared" si="1636"/>
        <v>-0.20177486498033526</v>
      </c>
      <c r="DP347" s="1065">
        <f t="shared" si="1636"/>
        <v>-0.1866013684204969</v>
      </c>
      <c r="DQ347" s="564">
        <f t="shared" si="1636"/>
        <v>-0.176789988434218</v>
      </c>
      <c r="DR347" s="563">
        <f t="shared" si="1636"/>
        <v>-0.20876630018450915</v>
      </c>
      <c r="DS347" s="1065">
        <f t="shared" si="1636"/>
        <v>-0.23220102991310665</v>
      </c>
      <c r="DT347" s="1065">
        <f t="shared" si="1636"/>
        <v>-0.20022627231154022</v>
      </c>
      <c r="DU347" s="564">
        <f t="shared" si="1636"/>
        <v>-0.16415929452949607</v>
      </c>
      <c r="DV347" s="1065">
        <f t="shared" si="1636"/>
        <v>-0.16889149353161048</v>
      </c>
      <c r="DW347" s="1065">
        <f t="shared" ref="DW347" si="1637">DW346/DS346-1</f>
        <v>-0.32196312911708214</v>
      </c>
      <c r="DX347" s="1065">
        <f t="shared" ref="DX347" si="1638">DX346/DT346-1</f>
        <v>-0.30181981975454208</v>
      </c>
      <c r="DY347" s="564">
        <f t="shared" ref="DY347" si="1639">DY346/DU346-1</f>
        <v>-0.29554180933069829</v>
      </c>
    </row>
    <row r="348" spans="1:129" s="1491" customFormat="1" hidden="1" outlineLevel="1">
      <c r="A348" s="1464"/>
      <c r="B348" s="1064"/>
      <c r="C348" s="1064"/>
      <c r="D348" s="1064"/>
      <c r="E348" s="1064"/>
      <c r="F348" s="1064"/>
      <c r="G348" s="1064"/>
      <c r="H348" s="1064"/>
      <c r="I348" s="1064"/>
      <c r="J348" s="1064"/>
      <c r="K348" s="1064"/>
      <c r="L348" s="1064"/>
      <c r="M348" s="1064"/>
      <c r="N348" s="1064"/>
      <c r="O348" s="1064"/>
      <c r="P348" s="1064"/>
      <c r="Q348" s="1064"/>
      <c r="R348" s="1064"/>
      <c r="S348" s="1064"/>
      <c r="T348" s="1064"/>
      <c r="U348" s="1064"/>
      <c r="V348" s="1064"/>
      <c r="W348" s="1064"/>
      <c r="X348" s="1064"/>
      <c r="Y348" s="1064"/>
      <c r="Z348" s="1064"/>
      <c r="AA348" s="1064"/>
      <c r="AB348" s="1064"/>
      <c r="AC348" s="1064"/>
      <c r="AD348" s="1064"/>
      <c r="AE348" s="1064"/>
      <c r="AF348" s="1064"/>
      <c r="AG348" s="1064"/>
      <c r="AH348" s="2201"/>
      <c r="AI348" s="1927"/>
      <c r="AJ348" s="1561"/>
      <c r="AK348" s="1064"/>
      <c r="AL348" s="1064"/>
      <c r="AM348" s="1064"/>
      <c r="AN348" s="1064"/>
      <c r="AO348" s="1064"/>
      <c r="AP348" s="569"/>
      <c r="AQ348" s="1064"/>
      <c r="AR348" s="1064"/>
      <c r="AS348" s="1064"/>
      <c r="AT348" s="569"/>
      <c r="AU348" s="1064"/>
      <c r="AV348" s="1064"/>
      <c r="AW348" s="1064"/>
      <c r="AX348" s="569"/>
      <c r="AY348" s="1064"/>
      <c r="AZ348" s="1064"/>
      <c r="BA348" s="1064"/>
      <c r="BB348" s="569"/>
      <c r="BC348" s="1064"/>
      <c r="BD348" s="1064"/>
      <c r="BE348" s="1064"/>
      <c r="BF348" s="569"/>
      <c r="BG348" s="1064"/>
      <c r="BH348" s="1064"/>
      <c r="BI348" s="1064"/>
      <c r="BJ348" s="569"/>
      <c r="BK348" s="1064"/>
      <c r="BL348" s="1064"/>
      <c r="BM348" s="1064"/>
      <c r="BN348" s="569"/>
      <c r="BO348" s="1064"/>
      <c r="BP348" s="1064"/>
      <c r="BQ348" s="1064"/>
      <c r="BR348" s="569"/>
      <c r="BS348" s="1064"/>
      <c r="BT348" s="1064"/>
      <c r="BU348" s="1064"/>
      <c r="BV348" s="569"/>
      <c r="BW348" s="1064"/>
      <c r="BX348" s="1064"/>
      <c r="BY348" s="1064"/>
      <c r="BZ348" s="631"/>
      <c r="CA348" s="1229"/>
      <c r="CB348" s="1229"/>
      <c r="CC348" s="1229"/>
      <c r="CD348" s="569"/>
      <c r="CE348" s="1064"/>
      <c r="CF348" s="1064"/>
      <c r="CG348" s="1064"/>
      <c r="CH348" s="164"/>
      <c r="CI348" s="1103"/>
      <c r="CJ348" s="1103"/>
      <c r="CK348" s="1103"/>
      <c r="CL348" s="569"/>
      <c r="CM348" s="1064"/>
      <c r="CN348" s="1064"/>
      <c r="CO348" s="1064"/>
      <c r="CP348" s="569"/>
      <c r="CQ348" s="1064"/>
      <c r="CR348" s="1064"/>
      <c r="CS348" s="1064"/>
      <c r="CT348" s="569"/>
      <c r="CU348" s="1064"/>
      <c r="CV348" s="1064"/>
      <c r="CW348" s="1064"/>
      <c r="CX348" s="569"/>
      <c r="CY348" s="1064"/>
      <c r="CZ348" s="1064"/>
      <c r="DA348" s="1064"/>
      <c r="DB348" s="569"/>
      <c r="DC348" s="1064"/>
      <c r="DD348" s="1064"/>
      <c r="DE348" s="1064"/>
      <c r="DF348" s="569"/>
      <c r="DG348" s="1064"/>
      <c r="DH348" s="1064"/>
      <c r="DI348" s="568"/>
      <c r="DJ348" s="569"/>
      <c r="DK348" s="1064"/>
      <c r="DL348" s="1064"/>
      <c r="DM348" s="568"/>
      <c r="DN348" s="1064"/>
      <c r="DO348" s="1064"/>
      <c r="DP348" s="1064"/>
      <c r="DQ348" s="568"/>
      <c r="DR348" s="569"/>
      <c r="DS348" s="1064"/>
      <c r="DT348" s="1064"/>
      <c r="DU348" s="568"/>
      <c r="DV348" s="1064"/>
      <c r="DW348" s="1064"/>
      <c r="DX348" s="1064"/>
      <c r="DY348" s="568"/>
    </row>
    <row r="349" spans="1:129" s="1491" customFormat="1" hidden="1" outlineLevel="1">
      <c r="A349" s="711" t="s">
        <v>822</v>
      </c>
      <c r="B349" s="1068"/>
      <c r="C349" s="1068"/>
      <c r="D349" s="1068"/>
      <c r="E349" s="1113"/>
      <c r="F349" s="1113"/>
      <c r="G349" s="1387">
        <v>148</v>
      </c>
      <c r="H349" s="1387">
        <v>194</v>
      </c>
      <c r="I349" s="1387">
        <v>261</v>
      </c>
      <c r="J349" s="1113">
        <f>AVERAGE(BJ349:BM349)</f>
        <v>348.25</v>
      </c>
      <c r="K349" s="1113">
        <f>AVERAGE(BN349:BQ349)</f>
        <v>455.5</v>
      </c>
      <c r="L349" s="1113">
        <f>AVERAGE(BR349:BU349)</f>
        <v>604</v>
      </c>
      <c r="M349" s="1113">
        <f>AVERAGE(BV349:BY349)</f>
        <v>723.36246835050019</v>
      </c>
      <c r="N349" s="1113">
        <f>AVERAGE(BZ349:CC349)</f>
        <v>767.79811527300512</v>
      </c>
      <c r="O349" s="1113">
        <f>AVERAGE(CD349:CG349)</f>
        <v>801.81838809028829</v>
      </c>
      <c r="P349" s="1113">
        <f>AVERAGE(CH349:CK349)</f>
        <v>819.38897397543053</v>
      </c>
      <c r="Q349" s="1113">
        <f>AVERAGE(CL349:CO349)</f>
        <v>835.90007200764012</v>
      </c>
      <c r="R349" s="1113">
        <f>AVERAGE(CP349:CS349)</f>
        <v>852.74387693106712</v>
      </c>
      <c r="S349" s="1113">
        <f>AVERAGE(CT349:CW349)</f>
        <v>869.9270929561311</v>
      </c>
      <c r="T349" s="1113">
        <f>AVERAGE(CX349:DA349)</f>
        <v>887.45655938644768</v>
      </c>
      <c r="U349" s="1113">
        <f>AVERAGE(DB349:DE349)</f>
        <v>905.33925334102435</v>
      </c>
      <c r="V349" s="1113">
        <f>AVERAGE(DF349:DI349)</f>
        <v>923.58229253130935</v>
      </c>
      <c r="W349" s="1113">
        <f>AVERAGE(DJ349:DM349)</f>
        <v>942.19293809420014</v>
      </c>
      <c r="X349" s="1113">
        <f>AVERAGE(DK349:DN349)</f>
        <v>946.903902784671</v>
      </c>
      <c r="Y349" s="1113">
        <f>AVERAGE(DL349:DO349)</f>
        <v>951.63842229859426</v>
      </c>
      <c r="Z349" s="1113">
        <f>AVERAGE(DM349:DP349)</f>
        <v>956.39661441008707</v>
      </c>
      <c r="AA349" s="1113">
        <f>Z349*(1+AA350)</f>
        <v>961.17859748213743</v>
      </c>
      <c r="AB349" s="1113">
        <f>AA349*(1+AB350)</f>
        <v>965.98449046954806</v>
      </c>
      <c r="AC349" s="1113">
        <f t="shared" ref="AC349:AG349" si="1640">AB349*(1+AC350)</f>
        <v>970.81441292189572</v>
      </c>
      <c r="AD349" s="1113">
        <f t="shared" si="1640"/>
        <v>975.66848498650506</v>
      </c>
      <c r="AE349" s="1113">
        <f t="shared" si="1640"/>
        <v>980.54682741143745</v>
      </c>
      <c r="AF349" s="1113">
        <f t="shared" si="1640"/>
        <v>985.44956154849456</v>
      </c>
      <c r="AG349" s="1113">
        <f t="shared" si="1640"/>
        <v>990.37680935623689</v>
      </c>
      <c r="AH349" s="2201"/>
      <c r="AI349" s="1927"/>
      <c r="AJ349" s="1561"/>
      <c r="AK349" s="1113"/>
      <c r="AL349" s="1113"/>
      <c r="AM349" s="1064"/>
      <c r="AN349" s="1113"/>
      <c r="AO349" s="1113"/>
      <c r="AP349" s="150"/>
      <c r="AQ349" s="1113"/>
      <c r="AR349" s="1113"/>
      <c r="AS349" s="1113"/>
      <c r="AT349" s="150"/>
      <c r="AU349" s="1113"/>
      <c r="AV349" s="1113"/>
      <c r="AW349" s="1113"/>
      <c r="AX349" s="493">
        <v>128</v>
      </c>
      <c r="AY349" s="1387">
        <v>147</v>
      </c>
      <c r="AZ349" s="1387">
        <v>154</v>
      </c>
      <c r="BA349" s="1387">
        <v>163</v>
      </c>
      <c r="BB349" s="493">
        <v>174</v>
      </c>
      <c r="BC349" s="1387">
        <v>190</v>
      </c>
      <c r="BD349" s="1387">
        <v>201</v>
      </c>
      <c r="BE349" s="1387">
        <v>209</v>
      </c>
      <c r="BF349" s="493">
        <v>227</v>
      </c>
      <c r="BG349" s="1387">
        <v>262</v>
      </c>
      <c r="BH349" s="1387">
        <v>274</v>
      </c>
      <c r="BI349" s="1387">
        <v>282</v>
      </c>
      <c r="BJ349" s="493">
        <v>294</v>
      </c>
      <c r="BK349" s="1387">
        <v>343</v>
      </c>
      <c r="BL349" s="1387">
        <v>367</v>
      </c>
      <c r="BM349" s="1387">
        <v>389</v>
      </c>
      <c r="BN349" s="493">
        <v>402</v>
      </c>
      <c r="BO349" s="1387">
        <v>450</v>
      </c>
      <c r="BP349" s="1387">
        <v>481</v>
      </c>
      <c r="BQ349" s="1387">
        <v>489</v>
      </c>
      <c r="BR349" s="493">
        <v>531</v>
      </c>
      <c r="BS349" s="1389">
        <v>585</v>
      </c>
      <c r="BT349" s="1389">
        <v>615</v>
      </c>
      <c r="BU349" s="1389">
        <v>685</v>
      </c>
      <c r="BV349" s="530">
        <f>1.342*BR349</f>
        <v>712.60200000000009</v>
      </c>
      <c r="BW349" s="1113">
        <f t="shared" ref="BW349:DE349" si="1641">BV349*(1+BW351)</f>
        <v>719.72802000000013</v>
      </c>
      <c r="BX349" s="1113">
        <f t="shared" si="1641"/>
        <v>726.92530020000015</v>
      </c>
      <c r="BY349" s="1113">
        <f t="shared" si="1641"/>
        <v>734.19455320200018</v>
      </c>
      <c r="BZ349" s="150">
        <f t="shared" si="1641"/>
        <v>748.87844426604022</v>
      </c>
      <c r="CA349" s="1113">
        <f t="shared" si="1641"/>
        <v>762.35825626282895</v>
      </c>
      <c r="CB349" s="1113">
        <f t="shared" si="1641"/>
        <v>774.5559883630342</v>
      </c>
      <c r="CC349" s="1113">
        <f t="shared" si="1641"/>
        <v>785.39977220011667</v>
      </c>
      <c r="CD349" s="150">
        <f t="shared" si="1641"/>
        <v>793.25376992211784</v>
      </c>
      <c r="CE349" s="1113">
        <f t="shared" si="1641"/>
        <v>799.59980008149478</v>
      </c>
      <c r="CF349" s="1113">
        <f t="shared" si="1641"/>
        <v>805.1969986820651</v>
      </c>
      <c r="CG349" s="1113">
        <f t="shared" si="1641"/>
        <v>809.22298367547535</v>
      </c>
      <c r="CH349" s="150">
        <f t="shared" si="1641"/>
        <v>813.26909859385262</v>
      </c>
      <c r="CI349" s="1113">
        <f t="shared" si="1641"/>
        <v>817.33544408682178</v>
      </c>
      <c r="CJ349" s="1113">
        <f t="shared" si="1641"/>
        <v>821.42212130725579</v>
      </c>
      <c r="CK349" s="1113">
        <f t="shared" si="1641"/>
        <v>825.52923191379193</v>
      </c>
      <c r="CL349" s="150">
        <f t="shared" si="1641"/>
        <v>829.65687807336076</v>
      </c>
      <c r="CM349" s="1113">
        <f t="shared" si="1641"/>
        <v>833.80516246372747</v>
      </c>
      <c r="CN349" s="1113">
        <f t="shared" si="1641"/>
        <v>837.97418827604599</v>
      </c>
      <c r="CO349" s="1113">
        <f t="shared" si="1641"/>
        <v>842.16405921742614</v>
      </c>
      <c r="CP349" s="150">
        <f t="shared" si="1641"/>
        <v>846.37487951351318</v>
      </c>
      <c r="CQ349" s="1113">
        <f t="shared" si="1641"/>
        <v>850.60675391108066</v>
      </c>
      <c r="CR349" s="1113">
        <f t="shared" si="1641"/>
        <v>854.85978768063592</v>
      </c>
      <c r="CS349" s="1113">
        <f t="shared" si="1641"/>
        <v>859.13408661903895</v>
      </c>
      <c r="CT349" s="150">
        <f t="shared" si="1641"/>
        <v>863.42975705213405</v>
      </c>
      <c r="CU349" s="1113">
        <f t="shared" si="1641"/>
        <v>867.74690583739459</v>
      </c>
      <c r="CV349" s="1113">
        <f t="shared" si="1641"/>
        <v>872.08564036658152</v>
      </c>
      <c r="CW349" s="1113">
        <f t="shared" si="1641"/>
        <v>876.44606856841438</v>
      </c>
      <c r="CX349" s="150">
        <f t="shared" si="1641"/>
        <v>880.8282989112563</v>
      </c>
      <c r="CY349" s="1113">
        <f t="shared" si="1641"/>
        <v>885.23244040581244</v>
      </c>
      <c r="CZ349" s="1113">
        <f t="shared" si="1641"/>
        <v>889.65860260784143</v>
      </c>
      <c r="DA349" s="1113">
        <f t="shared" si="1641"/>
        <v>894.10689562088055</v>
      </c>
      <c r="DB349" s="150">
        <f t="shared" si="1641"/>
        <v>898.57743009898491</v>
      </c>
      <c r="DC349" s="1113">
        <f t="shared" si="1641"/>
        <v>903.07031724947979</v>
      </c>
      <c r="DD349" s="1113">
        <f t="shared" si="1641"/>
        <v>907.58566883572712</v>
      </c>
      <c r="DE349" s="1113">
        <f t="shared" si="1641"/>
        <v>912.12359717990569</v>
      </c>
      <c r="DF349" s="150">
        <f t="shared" ref="DF349:DV349" si="1642">DE349*(1+DF351)</f>
        <v>916.68421516580509</v>
      </c>
      <c r="DG349" s="1113">
        <f t="shared" si="1642"/>
        <v>921.26763624163402</v>
      </c>
      <c r="DH349" s="1113">
        <f t="shared" si="1642"/>
        <v>925.87397442284214</v>
      </c>
      <c r="DI349" s="155">
        <f t="shared" si="1642"/>
        <v>930.50334429495626</v>
      </c>
      <c r="DJ349" s="150">
        <f t="shared" si="1642"/>
        <v>935.15586101643089</v>
      </c>
      <c r="DK349" s="1113">
        <f t="shared" si="1642"/>
        <v>939.83164032151296</v>
      </c>
      <c r="DL349" s="1113">
        <f t="shared" si="1642"/>
        <v>944.53079852312044</v>
      </c>
      <c r="DM349" s="155">
        <f t="shared" si="1642"/>
        <v>949.25345251573594</v>
      </c>
      <c r="DN349" s="1113">
        <f t="shared" si="1642"/>
        <v>953.99971977831456</v>
      </c>
      <c r="DO349" s="1113">
        <f t="shared" si="1642"/>
        <v>958.769718377206</v>
      </c>
      <c r="DP349" s="1113">
        <f t="shared" si="1642"/>
        <v>963.56356696909188</v>
      </c>
      <c r="DQ349" s="155">
        <f t="shared" si="1642"/>
        <v>968.38138480393718</v>
      </c>
      <c r="DR349" s="150">
        <f t="shared" si="1642"/>
        <v>973.22329172795673</v>
      </c>
      <c r="DS349" s="1113">
        <f t="shared" si="1642"/>
        <v>978.08940818659642</v>
      </c>
      <c r="DT349" s="1113">
        <f t="shared" si="1642"/>
        <v>982.97985522752924</v>
      </c>
      <c r="DU349" s="155">
        <f t="shared" si="1642"/>
        <v>987.89475450366683</v>
      </c>
      <c r="DV349" s="1113">
        <f t="shared" si="1642"/>
        <v>992.83422827618506</v>
      </c>
      <c r="DW349" s="1113">
        <f t="shared" ref="DW349" si="1643">DV349*(1+DW351)</f>
        <v>997.79839941756586</v>
      </c>
      <c r="DX349" s="1113">
        <f t="shared" ref="DX349" si="1644">DW349*(1+DX351)</f>
        <v>1002.7873914146536</v>
      </c>
      <c r="DY349" s="155">
        <f t="shared" ref="DY349" si="1645">DX349*(1+DY351)</f>
        <v>1007.8013283717268</v>
      </c>
    </row>
    <row r="350" spans="1:129" s="1491" customFormat="1" hidden="1" outlineLevel="1">
      <c r="A350" s="1448" t="s">
        <v>1453</v>
      </c>
      <c r="B350" s="1065"/>
      <c r="C350" s="1065"/>
      <c r="D350" s="1065"/>
      <c r="E350" s="1065"/>
      <c r="F350" s="1065"/>
      <c r="G350" s="1065"/>
      <c r="H350" s="1065">
        <f t="shared" ref="H350:V350" si="1646">H349/G349-1</f>
        <v>0.31081081081081074</v>
      </c>
      <c r="I350" s="1065">
        <f t="shared" si="1646"/>
        <v>0.34536082474226815</v>
      </c>
      <c r="J350" s="1065">
        <f t="shared" si="1646"/>
        <v>0.33429118773946365</v>
      </c>
      <c r="K350" s="1065">
        <f t="shared" si="1646"/>
        <v>0.30796841349605164</v>
      </c>
      <c r="L350" s="1065">
        <f t="shared" si="1646"/>
        <v>0.32601536772777173</v>
      </c>
      <c r="M350" s="1065">
        <f t="shared" si="1646"/>
        <v>0.19761998071274856</v>
      </c>
      <c r="N350" s="1065">
        <f t="shared" si="1646"/>
        <v>6.142929563906252E-2</v>
      </c>
      <c r="O350" s="1065">
        <f t="shared" si="1646"/>
        <v>4.4308877738240549E-2</v>
      </c>
      <c r="P350" s="1065">
        <f t="shared" si="1646"/>
        <v>2.1913423471106253E-2</v>
      </c>
      <c r="Q350" s="1065">
        <f t="shared" si="1646"/>
        <v>2.0150500624999568E-2</v>
      </c>
      <c r="R350" s="1065">
        <f t="shared" si="1646"/>
        <v>2.0150500624999346E-2</v>
      </c>
      <c r="S350" s="1065">
        <f t="shared" si="1646"/>
        <v>2.0150500624999568E-2</v>
      </c>
      <c r="T350" s="1065">
        <f t="shared" si="1646"/>
        <v>2.0150500624999568E-2</v>
      </c>
      <c r="U350" s="1065">
        <f t="shared" si="1646"/>
        <v>2.0150500624999568E-2</v>
      </c>
      <c r="V350" s="1065">
        <f t="shared" si="1646"/>
        <v>2.0150500624999568E-2</v>
      </c>
      <c r="W350" s="1065">
        <f>W349/V349-1</f>
        <v>2.015050062499979E-2</v>
      </c>
      <c r="X350" s="1065">
        <f>X349/W349-1</f>
        <v>4.9999999999998934E-3</v>
      </c>
      <c r="Y350" s="1065">
        <f>Y349/X349-1</f>
        <v>4.9999999999998934E-3</v>
      </c>
      <c r="Z350" s="1065">
        <f>Z349/Y349-1</f>
        <v>4.9999999999998934E-3</v>
      </c>
      <c r="AA350" s="1059">
        <v>5.0000000000000001E-3</v>
      </c>
      <c r="AB350" s="1059">
        <v>5.0000000000000001E-3</v>
      </c>
      <c r="AC350" s="1059">
        <v>5.0000000000000001E-3</v>
      </c>
      <c r="AD350" s="1059">
        <v>5.0000000000000001E-3</v>
      </c>
      <c r="AE350" s="1059">
        <v>5.0000000000000001E-3</v>
      </c>
      <c r="AF350" s="1059">
        <v>5.0000000000000001E-3</v>
      </c>
      <c r="AG350" s="1059">
        <v>5.0000000000000001E-3</v>
      </c>
      <c r="AH350" s="2201"/>
      <c r="AI350" s="1927"/>
      <c r="AJ350" s="1561"/>
      <c r="AK350" s="1065"/>
      <c r="AL350" s="1065"/>
      <c r="AM350" s="1065"/>
      <c r="AN350" s="1065"/>
      <c r="AO350" s="1065"/>
      <c r="AP350" s="563"/>
      <c r="AQ350" s="1065"/>
      <c r="AR350" s="1065"/>
      <c r="AS350" s="1065"/>
      <c r="AT350" s="563"/>
      <c r="AU350" s="1065"/>
      <c r="AV350" s="1065"/>
      <c r="AW350" s="1065"/>
      <c r="AX350" s="563"/>
      <c r="AY350" s="1065"/>
      <c r="AZ350" s="1065"/>
      <c r="BA350" s="1065"/>
      <c r="BB350" s="563">
        <f t="shared" ref="BB350:CG350" si="1647">BB349/AX349-1</f>
        <v>0.359375</v>
      </c>
      <c r="BC350" s="1065">
        <f t="shared" si="1647"/>
        <v>0.29251700680272119</v>
      </c>
      <c r="BD350" s="1065">
        <f t="shared" si="1647"/>
        <v>0.30519480519480524</v>
      </c>
      <c r="BE350" s="1065">
        <f t="shared" si="1647"/>
        <v>0.28220858895705514</v>
      </c>
      <c r="BF350" s="563">
        <f t="shared" si="1647"/>
        <v>0.30459770114942519</v>
      </c>
      <c r="BG350" s="1065">
        <f t="shared" si="1647"/>
        <v>0.3789473684210527</v>
      </c>
      <c r="BH350" s="1065">
        <f t="shared" si="1647"/>
        <v>0.36318407960199006</v>
      </c>
      <c r="BI350" s="1065">
        <f t="shared" si="1647"/>
        <v>0.34928229665071764</v>
      </c>
      <c r="BJ350" s="563">
        <f t="shared" si="1647"/>
        <v>0.29515418502202651</v>
      </c>
      <c r="BK350" s="1065">
        <f t="shared" si="1647"/>
        <v>0.30916030534351147</v>
      </c>
      <c r="BL350" s="1065">
        <f t="shared" si="1647"/>
        <v>0.33941605839416056</v>
      </c>
      <c r="BM350" s="1065">
        <f t="shared" si="1647"/>
        <v>0.37943262411347511</v>
      </c>
      <c r="BN350" s="563">
        <f t="shared" si="1647"/>
        <v>0.36734693877551017</v>
      </c>
      <c r="BO350" s="1065">
        <f t="shared" si="1647"/>
        <v>0.31195335276967939</v>
      </c>
      <c r="BP350" s="1065">
        <f t="shared" si="1647"/>
        <v>0.31062670299727513</v>
      </c>
      <c r="BQ350" s="1065">
        <f t="shared" si="1647"/>
        <v>0.25706940874035999</v>
      </c>
      <c r="BR350" s="563">
        <f t="shared" si="1647"/>
        <v>0.32089552238805963</v>
      </c>
      <c r="BS350" s="1065">
        <f t="shared" si="1647"/>
        <v>0.30000000000000004</v>
      </c>
      <c r="BT350" s="1065">
        <f t="shared" si="1647"/>
        <v>0.27858627858627849</v>
      </c>
      <c r="BU350" s="1065">
        <f t="shared" si="1647"/>
        <v>0.40081799591002043</v>
      </c>
      <c r="BV350" s="563">
        <f t="shared" si="1647"/>
        <v>0.34200000000000008</v>
      </c>
      <c r="BW350" s="1065">
        <f t="shared" si="1647"/>
        <v>0.23030430769230792</v>
      </c>
      <c r="BX350" s="1065">
        <f t="shared" si="1647"/>
        <v>0.18199235804878078</v>
      </c>
      <c r="BY350" s="1065">
        <f t="shared" si="1647"/>
        <v>7.1816865988321377E-2</v>
      </c>
      <c r="BZ350" s="563">
        <f t="shared" si="1647"/>
        <v>5.0907020000000136E-2</v>
      </c>
      <c r="CA350" s="1065">
        <f t="shared" si="1647"/>
        <v>5.9231036000000126E-2</v>
      </c>
      <c r="CB350" s="1065">
        <f t="shared" si="1647"/>
        <v>6.5523497600000091E-2</v>
      </c>
      <c r="CC350" s="1065">
        <f t="shared" si="1647"/>
        <v>6.9743392639999957E-2</v>
      </c>
      <c r="CD350" s="563">
        <f t="shared" si="1647"/>
        <v>5.9255712319999931E-2</v>
      </c>
      <c r="CE350" s="1065">
        <f t="shared" si="1647"/>
        <v>4.8850449919999983E-2</v>
      </c>
      <c r="CF350" s="1065">
        <f t="shared" si="1647"/>
        <v>3.955945183999976E-2</v>
      </c>
      <c r="CG350" s="1065">
        <f t="shared" si="1647"/>
        <v>3.033259279999978E-2</v>
      </c>
      <c r="CH350" s="563">
        <f t="shared" ref="CH350:DV350" si="1648">CH349/CD349-1</f>
        <v>2.5231936399999544E-2</v>
      </c>
      <c r="CI350" s="1065">
        <f t="shared" si="1648"/>
        <v>2.2180650874999541E-2</v>
      </c>
      <c r="CJ350" s="1065">
        <f t="shared" si="1648"/>
        <v>2.0150500624999568E-2</v>
      </c>
      <c r="CK350" s="1065">
        <f t="shared" si="1648"/>
        <v>2.0150500624999346E-2</v>
      </c>
      <c r="CL350" s="563">
        <f t="shared" si="1648"/>
        <v>2.0150500624999346E-2</v>
      </c>
      <c r="CM350" s="1065">
        <f t="shared" si="1648"/>
        <v>2.0150500624999346E-2</v>
      </c>
      <c r="CN350" s="1065">
        <f t="shared" si="1648"/>
        <v>2.0150500624999346E-2</v>
      </c>
      <c r="CO350" s="1065">
        <f t="shared" si="1648"/>
        <v>2.0150500624999568E-2</v>
      </c>
      <c r="CP350" s="563">
        <f t="shared" si="1648"/>
        <v>2.0150500624999568E-2</v>
      </c>
      <c r="CQ350" s="1065">
        <f t="shared" si="1648"/>
        <v>2.0150500624999568E-2</v>
      </c>
      <c r="CR350" s="1065">
        <f t="shared" si="1648"/>
        <v>2.0150500624999568E-2</v>
      </c>
      <c r="CS350" s="1065">
        <f t="shared" si="1648"/>
        <v>2.0150500624999346E-2</v>
      </c>
      <c r="CT350" s="563">
        <f t="shared" si="1648"/>
        <v>2.0150500624999346E-2</v>
      </c>
      <c r="CU350" s="1065">
        <f t="shared" si="1648"/>
        <v>2.0150500624999346E-2</v>
      </c>
      <c r="CV350" s="1065">
        <f t="shared" si="1648"/>
        <v>2.0150500624999568E-2</v>
      </c>
      <c r="CW350" s="1065">
        <f t="shared" si="1648"/>
        <v>2.0150500624999568E-2</v>
      </c>
      <c r="CX350" s="563">
        <f t="shared" si="1648"/>
        <v>2.0150500624999568E-2</v>
      </c>
      <c r="CY350" s="1065">
        <f t="shared" si="1648"/>
        <v>2.0150500624999568E-2</v>
      </c>
      <c r="CZ350" s="1065">
        <f t="shared" si="1648"/>
        <v>2.0150500624999568E-2</v>
      </c>
      <c r="DA350" s="1065">
        <f t="shared" si="1648"/>
        <v>2.0150500624999568E-2</v>
      </c>
      <c r="DB350" s="563">
        <f t="shared" si="1648"/>
        <v>2.0150500624999568E-2</v>
      </c>
      <c r="DC350" s="1065">
        <f t="shared" si="1648"/>
        <v>2.015050062499979E-2</v>
      </c>
      <c r="DD350" s="1065">
        <f t="shared" si="1648"/>
        <v>2.015050062499979E-2</v>
      </c>
      <c r="DE350" s="1065">
        <f t="shared" si="1648"/>
        <v>2.015050062499979E-2</v>
      </c>
      <c r="DF350" s="563">
        <f t="shared" si="1648"/>
        <v>2.0150500624999568E-2</v>
      </c>
      <c r="DG350" s="1065">
        <f t="shared" si="1648"/>
        <v>2.0150500624999568E-2</v>
      </c>
      <c r="DH350" s="1065">
        <f t="shared" si="1648"/>
        <v>2.0150500624999568E-2</v>
      </c>
      <c r="DI350" s="564">
        <f t="shared" si="1648"/>
        <v>2.0150500624999568E-2</v>
      </c>
      <c r="DJ350" s="563">
        <f t="shared" si="1648"/>
        <v>2.0150500624999568E-2</v>
      </c>
      <c r="DK350" s="1065">
        <f t="shared" si="1648"/>
        <v>2.0150500624999568E-2</v>
      </c>
      <c r="DL350" s="1065">
        <f t="shared" si="1648"/>
        <v>2.0150500624999568E-2</v>
      </c>
      <c r="DM350" s="564">
        <f t="shared" si="1648"/>
        <v>2.0150500624999568E-2</v>
      </c>
      <c r="DN350" s="1065">
        <f t="shared" si="1648"/>
        <v>2.0150500624999568E-2</v>
      </c>
      <c r="DO350" s="1065">
        <f t="shared" si="1648"/>
        <v>2.0150500624999568E-2</v>
      </c>
      <c r="DP350" s="1065">
        <f t="shared" si="1648"/>
        <v>2.0150500624999568E-2</v>
      </c>
      <c r="DQ350" s="564">
        <f t="shared" si="1648"/>
        <v>2.0150500624999568E-2</v>
      </c>
      <c r="DR350" s="563">
        <f t="shared" si="1648"/>
        <v>2.0150500624999346E-2</v>
      </c>
      <c r="DS350" s="1065">
        <f t="shared" si="1648"/>
        <v>2.0150500624999346E-2</v>
      </c>
      <c r="DT350" s="1065">
        <f t="shared" si="1648"/>
        <v>2.0150500624999346E-2</v>
      </c>
      <c r="DU350" s="564">
        <f t="shared" si="1648"/>
        <v>2.0150500624999568E-2</v>
      </c>
      <c r="DV350" s="1065">
        <f t="shared" si="1648"/>
        <v>2.0150500624999568E-2</v>
      </c>
      <c r="DW350" s="1065">
        <f t="shared" ref="DW350" si="1649">DW349/DS349-1</f>
        <v>2.0150500624999568E-2</v>
      </c>
      <c r="DX350" s="1065">
        <f t="shared" ref="DX350" si="1650">DX349/DT349-1</f>
        <v>2.0150500624999568E-2</v>
      </c>
      <c r="DY350" s="564">
        <f t="shared" ref="DY350" si="1651">DY349/DU349-1</f>
        <v>2.0150500624999568E-2</v>
      </c>
    </row>
    <row r="351" spans="1:129" s="1491" customFormat="1" hidden="1" outlineLevel="1">
      <c r="A351" s="1448" t="s">
        <v>949</v>
      </c>
      <c r="B351" s="1065"/>
      <c r="C351" s="1065"/>
      <c r="D351" s="1065"/>
      <c r="E351" s="1065"/>
      <c r="F351" s="1065"/>
      <c r="G351" s="1065"/>
      <c r="H351" s="1065"/>
      <c r="I351" s="1065"/>
      <c r="J351" s="1065"/>
      <c r="K351" s="1065"/>
      <c r="L351" s="1065"/>
      <c r="M351" s="1065"/>
      <c r="N351" s="1065"/>
      <c r="O351" s="1065"/>
      <c r="P351" s="1065"/>
      <c r="Q351" s="1065"/>
      <c r="R351" s="1065"/>
      <c r="S351" s="1065"/>
      <c r="T351" s="1065"/>
      <c r="U351" s="1065"/>
      <c r="V351" s="1065"/>
      <c r="W351" s="1065"/>
      <c r="X351" s="1065"/>
      <c r="Y351" s="1065"/>
      <c r="Z351" s="1065"/>
      <c r="AA351" s="1065"/>
      <c r="AB351" s="1065"/>
      <c r="AC351" s="1065"/>
      <c r="AD351" s="1065"/>
      <c r="AE351" s="1065"/>
      <c r="AF351" s="1065"/>
      <c r="AG351" s="1065"/>
      <c r="AH351" s="2201"/>
      <c r="AI351" s="1927"/>
      <c r="AJ351" s="1561"/>
      <c r="AK351" s="1065"/>
      <c r="AL351" s="1065"/>
      <c r="AM351" s="1065"/>
      <c r="AN351" s="1065"/>
      <c r="AO351" s="1065"/>
      <c r="AP351" s="563"/>
      <c r="AQ351" s="1065"/>
      <c r="AR351" s="1065"/>
      <c r="AS351" s="1065"/>
      <c r="AT351" s="563"/>
      <c r="AU351" s="1065"/>
      <c r="AV351" s="1065"/>
      <c r="AW351" s="1065"/>
      <c r="AX351" s="563"/>
      <c r="AY351" s="1065">
        <f t="shared" ref="AY351:BV351" si="1652">AY349/AX349-1</f>
        <v>0.1484375</v>
      </c>
      <c r="AZ351" s="1065">
        <f t="shared" si="1652"/>
        <v>4.7619047619047672E-2</v>
      </c>
      <c r="BA351" s="1065">
        <f t="shared" si="1652"/>
        <v>5.8441558441558517E-2</v>
      </c>
      <c r="BB351" s="563">
        <f t="shared" si="1652"/>
        <v>6.7484662576687171E-2</v>
      </c>
      <c r="BC351" s="1065">
        <f t="shared" si="1652"/>
        <v>9.1954022988505857E-2</v>
      </c>
      <c r="BD351" s="1065">
        <f t="shared" si="1652"/>
        <v>5.7894736842105221E-2</v>
      </c>
      <c r="BE351" s="1065">
        <f t="shared" si="1652"/>
        <v>3.9800995024875663E-2</v>
      </c>
      <c r="BF351" s="563">
        <f t="shared" si="1652"/>
        <v>8.6124401913875603E-2</v>
      </c>
      <c r="BG351" s="1065">
        <f t="shared" si="1652"/>
        <v>0.15418502202643181</v>
      </c>
      <c r="BH351" s="1065">
        <f t="shared" si="1652"/>
        <v>4.5801526717557328E-2</v>
      </c>
      <c r="BI351" s="1065">
        <f t="shared" si="1652"/>
        <v>2.9197080291970767E-2</v>
      </c>
      <c r="BJ351" s="563">
        <f t="shared" si="1652"/>
        <v>4.2553191489361764E-2</v>
      </c>
      <c r="BK351" s="1065">
        <f t="shared" si="1652"/>
        <v>0.16666666666666674</v>
      </c>
      <c r="BL351" s="1065">
        <f t="shared" si="1652"/>
        <v>6.9970845481049482E-2</v>
      </c>
      <c r="BM351" s="1065">
        <f t="shared" si="1652"/>
        <v>5.9945504087193457E-2</v>
      </c>
      <c r="BN351" s="563">
        <f t="shared" si="1652"/>
        <v>3.3419023136246784E-2</v>
      </c>
      <c r="BO351" s="1065">
        <f t="shared" si="1652"/>
        <v>0.11940298507462677</v>
      </c>
      <c r="BP351" s="1065">
        <f t="shared" si="1652"/>
        <v>6.8888888888888999E-2</v>
      </c>
      <c r="BQ351" s="1065">
        <f t="shared" si="1652"/>
        <v>1.6632016632016633E-2</v>
      </c>
      <c r="BR351" s="563">
        <f t="shared" si="1652"/>
        <v>8.5889570552147187E-2</v>
      </c>
      <c r="BS351" s="1065">
        <f t="shared" si="1652"/>
        <v>0.10169491525423724</v>
      </c>
      <c r="BT351" s="1065">
        <f t="shared" si="1652"/>
        <v>5.1282051282051322E-2</v>
      </c>
      <c r="BU351" s="1065">
        <f t="shared" si="1652"/>
        <v>0.11382113821138207</v>
      </c>
      <c r="BV351" s="563">
        <f t="shared" si="1652"/>
        <v>4.0294890510949033E-2</v>
      </c>
      <c r="BW351" s="1059">
        <v>0.01</v>
      </c>
      <c r="BX351" s="1059">
        <v>0.01</v>
      </c>
      <c r="BY351" s="1059">
        <v>0.01</v>
      </c>
      <c r="BZ351" s="165">
        <v>0.02</v>
      </c>
      <c r="CA351" s="1059">
        <v>1.7999999999999999E-2</v>
      </c>
      <c r="CB351" s="1059">
        <v>1.6E-2</v>
      </c>
      <c r="CC351" s="1059">
        <v>1.4E-2</v>
      </c>
      <c r="CD351" s="165">
        <v>0.01</v>
      </c>
      <c r="CE351" s="1059">
        <v>8.0000000000000002E-3</v>
      </c>
      <c r="CF351" s="1059">
        <v>7.0000000000000001E-3</v>
      </c>
      <c r="CG351" s="1059">
        <v>5.0000000000000001E-3</v>
      </c>
      <c r="CH351" s="165">
        <v>5.0000000000000001E-3</v>
      </c>
      <c r="CI351" s="1059">
        <v>5.0000000000000001E-3</v>
      </c>
      <c r="CJ351" s="1059">
        <v>5.0000000000000001E-3</v>
      </c>
      <c r="CK351" s="1059">
        <v>5.0000000000000001E-3</v>
      </c>
      <c r="CL351" s="165">
        <v>5.0000000000000001E-3</v>
      </c>
      <c r="CM351" s="1059">
        <v>5.0000000000000001E-3</v>
      </c>
      <c r="CN351" s="1059">
        <v>5.0000000000000001E-3</v>
      </c>
      <c r="CO351" s="1059">
        <v>5.0000000000000001E-3</v>
      </c>
      <c r="CP351" s="165">
        <f t="shared" ref="CP351:DE351" si="1653">+CO351</f>
        <v>5.0000000000000001E-3</v>
      </c>
      <c r="CQ351" s="1059">
        <f t="shared" si="1653"/>
        <v>5.0000000000000001E-3</v>
      </c>
      <c r="CR351" s="1059">
        <f t="shared" si="1653"/>
        <v>5.0000000000000001E-3</v>
      </c>
      <c r="CS351" s="1059">
        <f t="shared" si="1653"/>
        <v>5.0000000000000001E-3</v>
      </c>
      <c r="CT351" s="165">
        <f t="shared" si="1653"/>
        <v>5.0000000000000001E-3</v>
      </c>
      <c r="CU351" s="1059">
        <f t="shared" si="1653"/>
        <v>5.0000000000000001E-3</v>
      </c>
      <c r="CV351" s="1059">
        <f t="shared" si="1653"/>
        <v>5.0000000000000001E-3</v>
      </c>
      <c r="CW351" s="1059">
        <f t="shared" si="1653"/>
        <v>5.0000000000000001E-3</v>
      </c>
      <c r="CX351" s="165">
        <f t="shared" si="1653"/>
        <v>5.0000000000000001E-3</v>
      </c>
      <c r="CY351" s="1059">
        <f t="shared" si="1653"/>
        <v>5.0000000000000001E-3</v>
      </c>
      <c r="CZ351" s="1059">
        <f t="shared" si="1653"/>
        <v>5.0000000000000001E-3</v>
      </c>
      <c r="DA351" s="1059">
        <f t="shared" si="1653"/>
        <v>5.0000000000000001E-3</v>
      </c>
      <c r="DB351" s="165">
        <f t="shared" si="1653"/>
        <v>5.0000000000000001E-3</v>
      </c>
      <c r="DC351" s="1059">
        <f t="shared" si="1653"/>
        <v>5.0000000000000001E-3</v>
      </c>
      <c r="DD351" s="1059">
        <f t="shared" si="1653"/>
        <v>5.0000000000000001E-3</v>
      </c>
      <c r="DE351" s="1059">
        <f t="shared" si="1653"/>
        <v>5.0000000000000001E-3</v>
      </c>
      <c r="DF351" s="165">
        <f t="shared" ref="DF351:DV351" si="1654">+DE351</f>
        <v>5.0000000000000001E-3</v>
      </c>
      <c r="DG351" s="1059">
        <f t="shared" si="1654"/>
        <v>5.0000000000000001E-3</v>
      </c>
      <c r="DH351" s="1059">
        <f t="shared" si="1654"/>
        <v>5.0000000000000001E-3</v>
      </c>
      <c r="DI351" s="166">
        <f t="shared" si="1654"/>
        <v>5.0000000000000001E-3</v>
      </c>
      <c r="DJ351" s="165">
        <f t="shared" si="1654"/>
        <v>5.0000000000000001E-3</v>
      </c>
      <c r="DK351" s="1059">
        <f t="shared" si="1654"/>
        <v>5.0000000000000001E-3</v>
      </c>
      <c r="DL351" s="1059">
        <f t="shared" si="1654"/>
        <v>5.0000000000000001E-3</v>
      </c>
      <c r="DM351" s="166">
        <f t="shared" si="1654"/>
        <v>5.0000000000000001E-3</v>
      </c>
      <c r="DN351" s="1059">
        <f t="shared" si="1654"/>
        <v>5.0000000000000001E-3</v>
      </c>
      <c r="DO351" s="1059">
        <f t="shared" si="1654"/>
        <v>5.0000000000000001E-3</v>
      </c>
      <c r="DP351" s="1059">
        <f t="shared" si="1654"/>
        <v>5.0000000000000001E-3</v>
      </c>
      <c r="DQ351" s="166">
        <f t="shared" si="1654"/>
        <v>5.0000000000000001E-3</v>
      </c>
      <c r="DR351" s="165">
        <f t="shared" si="1654"/>
        <v>5.0000000000000001E-3</v>
      </c>
      <c r="DS351" s="1059">
        <f t="shared" si="1654"/>
        <v>5.0000000000000001E-3</v>
      </c>
      <c r="DT351" s="1059">
        <f t="shared" si="1654"/>
        <v>5.0000000000000001E-3</v>
      </c>
      <c r="DU351" s="166">
        <f t="shared" si="1654"/>
        <v>5.0000000000000001E-3</v>
      </c>
      <c r="DV351" s="1059">
        <f t="shared" si="1654"/>
        <v>5.0000000000000001E-3</v>
      </c>
      <c r="DW351" s="1059">
        <v>5.0000000000000001E-3</v>
      </c>
      <c r="DX351" s="1059">
        <v>5.0000000000000001E-3</v>
      </c>
      <c r="DY351" s="166">
        <v>5.0000000000000001E-3</v>
      </c>
    </row>
    <row r="352" spans="1:129" s="1491" customFormat="1" hidden="1" outlineLevel="1">
      <c r="A352" s="1449" t="s">
        <v>1493</v>
      </c>
      <c r="B352" s="1505"/>
      <c r="C352" s="1064"/>
      <c r="D352" s="1070"/>
      <c r="E352" s="1070"/>
      <c r="F352" s="1070"/>
      <c r="G352" s="1229"/>
      <c r="H352" s="1070">
        <f t="shared" ref="H352:AB352" si="1655">H349-G349</f>
        <v>46</v>
      </c>
      <c r="I352" s="1070">
        <f t="shared" si="1655"/>
        <v>67</v>
      </c>
      <c r="J352" s="1070">
        <f t="shared" si="1655"/>
        <v>87.25</v>
      </c>
      <c r="K352" s="1070">
        <f t="shared" si="1655"/>
        <v>107.25</v>
      </c>
      <c r="L352" s="1070">
        <f t="shared" si="1655"/>
        <v>148.5</v>
      </c>
      <c r="M352" s="1070">
        <f t="shared" si="1655"/>
        <v>119.36246835050019</v>
      </c>
      <c r="N352" s="1070">
        <f t="shared" si="1655"/>
        <v>44.43564692250493</v>
      </c>
      <c r="O352" s="1070">
        <f t="shared" si="1655"/>
        <v>34.020272817283171</v>
      </c>
      <c r="P352" s="1070">
        <f t="shared" si="1655"/>
        <v>17.570585885142236</v>
      </c>
      <c r="Q352" s="1070">
        <f t="shared" si="1655"/>
        <v>16.511098032209588</v>
      </c>
      <c r="R352" s="1070">
        <f t="shared" si="1655"/>
        <v>16.843804923427001</v>
      </c>
      <c r="S352" s="1070">
        <f t="shared" si="1655"/>
        <v>17.183216025063984</v>
      </c>
      <c r="T352" s="1070">
        <f t="shared" si="1655"/>
        <v>17.529466430316575</v>
      </c>
      <c r="U352" s="1070">
        <f t="shared" si="1655"/>
        <v>17.882693954576666</v>
      </c>
      <c r="V352" s="1070">
        <f t="shared" si="1655"/>
        <v>18.243039190285003</v>
      </c>
      <c r="W352" s="1070">
        <f>W349-V349</f>
        <v>18.610645562890795</v>
      </c>
      <c r="X352" s="1070">
        <f>X349-W349</f>
        <v>4.7109646904708598</v>
      </c>
      <c r="Y352" s="1070">
        <f>Y349-X349</f>
        <v>4.7345195139232601</v>
      </c>
      <c r="Z352" s="1070">
        <f>Z349-Y349</f>
        <v>4.7581921114928036</v>
      </c>
      <c r="AA352" s="1070">
        <f t="shared" si="1655"/>
        <v>4.781983072050366</v>
      </c>
      <c r="AB352" s="1070">
        <f t="shared" si="1655"/>
        <v>4.8058929874106298</v>
      </c>
      <c r="AC352" s="1070">
        <f t="shared" ref="AC352" si="1656">AC349-AB349</f>
        <v>4.8299224523476596</v>
      </c>
      <c r="AD352" s="1070">
        <f t="shared" ref="AD352" si="1657">AD349-AC349</f>
        <v>4.8540720646093405</v>
      </c>
      <c r="AE352" s="1070">
        <f t="shared" ref="AE352" si="1658">AE349-AD349</f>
        <v>4.8783424249323843</v>
      </c>
      <c r="AF352" s="1070">
        <f t="shared" ref="AF352" si="1659">AF349-AE349</f>
        <v>4.9027341370571094</v>
      </c>
      <c r="AG352" s="1070">
        <f t="shared" ref="AG352" si="1660">AG349-AF349</f>
        <v>4.927247807742333</v>
      </c>
      <c r="AH352" s="2201"/>
      <c r="AI352" s="1927"/>
      <c r="AJ352" s="1561"/>
      <c r="AK352" s="1070"/>
      <c r="AL352" s="1070"/>
      <c r="AM352" s="1064"/>
      <c r="AN352" s="1070"/>
      <c r="AO352" s="1070"/>
      <c r="AP352" s="607"/>
      <c r="AQ352" s="1070"/>
      <c r="AR352" s="1070"/>
      <c r="AS352" s="1070"/>
      <c r="AT352" s="607"/>
      <c r="AU352" s="1070"/>
      <c r="AV352" s="1070"/>
      <c r="AW352" s="1070"/>
      <c r="AX352" s="607"/>
      <c r="AY352" s="1070">
        <f t="shared" ref="AY352:CD352" si="1661">AY349-AX349</f>
        <v>19</v>
      </c>
      <c r="AZ352" s="1070">
        <f t="shared" si="1661"/>
        <v>7</v>
      </c>
      <c r="BA352" s="1070">
        <f t="shared" si="1661"/>
        <v>9</v>
      </c>
      <c r="BB352" s="607">
        <f t="shared" si="1661"/>
        <v>11</v>
      </c>
      <c r="BC352" s="1070">
        <f t="shared" si="1661"/>
        <v>16</v>
      </c>
      <c r="BD352" s="1070">
        <f t="shared" si="1661"/>
        <v>11</v>
      </c>
      <c r="BE352" s="1070">
        <f t="shared" si="1661"/>
        <v>8</v>
      </c>
      <c r="BF352" s="607">
        <f t="shared" si="1661"/>
        <v>18</v>
      </c>
      <c r="BG352" s="1070">
        <f t="shared" si="1661"/>
        <v>35</v>
      </c>
      <c r="BH352" s="1070">
        <f t="shared" si="1661"/>
        <v>12</v>
      </c>
      <c r="BI352" s="1070">
        <f t="shared" si="1661"/>
        <v>8</v>
      </c>
      <c r="BJ352" s="607">
        <f t="shared" si="1661"/>
        <v>12</v>
      </c>
      <c r="BK352" s="1070">
        <f t="shared" si="1661"/>
        <v>49</v>
      </c>
      <c r="BL352" s="1070">
        <f t="shared" si="1661"/>
        <v>24</v>
      </c>
      <c r="BM352" s="1070">
        <f t="shared" si="1661"/>
        <v>22</v>
      </c>
      <c r="BN352" s="607">
        <f t="shared" si="1661"/>
        <v>13</v>
      </c>
      <c r="BO352" s="1070">
        <f t="shared" si="1661"/>
        <v>48</v>
      </c>
      <c r="BP352" s="1070">
        <f t="shared" si="1661"/>
        <v>31</v>
      </c>
      <c r="BQ352" s="1070">
        <f t="shared" si="1661"/>
        <v>8</v>
      </c>
      <c r="BR352" s="607">
        <f t="shared" si="1661"/>
        <v>42</v>
      </c>
      <c r="BS352" s="1070">
        <f t="shared" si="1661"/>
        <v>54</v>
      </c>
      <c r="BT352" s="1070">
        <f t="shared" si="1661"/>
        <v>30</v>
      </c>
      <c r="BU352" s="1070">
        <f t="shared" si="1661"/>
        <v>70</v>
      </c>
      <c r="BV352" s="607">
        <f t="shared" si="1661"/>
        <v>27.602000000000089</v>
      </c>
      <c r="BW352" s="1070">
        <f t="shared" si="1661"/>
        <v>7.1260200000000395</v>
      </c>
      <c r="BX352" s="1070">
        <f t="shared" si="1661"/>
        <v>7.1972802000000229</v>
      </c>
      <c r="BY352" s="1070">
        <f t="shared" si="1661"/>
        <v>7.2692530020000277</v>
      </c>
      <c r="BZ352" s="607">
        <f t="shared" si="1661"/>
        <v>14.68389106404004</v>
      </c>
      <c r="CA352" s="1070">
        <f t="shared" si="1661"/>
        <v>13.479811996788726</v>
      </c>
      <c r="CB352" s="1070">
        <f t="shared" si="1661"/>
        <v>12.197732100205258</v>
      </c>
      <c r="CC352" s="1070">
        <f t="shared" si="1661"/>
        <v>10.843783837082469</v>
      </c>
      <c r="CD352" s="607">
        <f t="shared" si="1661"/>
        <v>7.8539977220011679</v>
      </c>
      <c r="CE352" s="1070">
        <f t="shared" ref="CE352:DV352" si="1662">CE349-CD349</f>
        <v>6.3460301593769373</v>
      </c>
      <c r="CF352" s="1070">
        <f t="shared" si="1662"/>
        <v>5.5971986005703229</v>
      </c>
      <c r="CG352" s="1070">
        <f t="shared" si="1662"/>
        <v>4.0259849934102476</v>
      </c>
      <c r="CH352" s="607">
        <f t="shared" si="1662"/>
        <v>4.0461149183772704</v>
      </c>
      <c r="CI352" s="1070">
        <f t="shared" si="1662"/>
        <v>4.0663454929691625</v>
      </c>
      <c r="CJ352" s="1070">
        <f t="shared" si="1662"/>
        <v>4.0866772204340123</v>
      </c>
      <c r="CK352" s="1070">
        <f t="shared" si="1662"/>
        <v>4.1071106065361391</v>
      </c>
      <c r="CL352" s="607">
        <f t="shared" si="1662"/>
        <v>4.1276461595688261</v>
      </c>
      <c r="CM352" s="1070">
        <f t="shared" si="1662"/>
        <v>4.1482843903667117</v>
      </c>
      <c r="CN352" s="1070">
        <f t="shared" si="1662"/>
        <v>4.1690258123185231</v>
      </c>
      <c r="CO352" s="1070">
        <f t="shared" si="1662"/>
        <v>4.1898709413801498</v>
      </c>
      <c r="CP352" s="607">
        <f t="shared" si="1662"/>
        <v>4.2108202960870358</v>
      </c>
      <c r="CQ352" s="1070">
        <f t="shared" si="1662"/>
        <v>4.2318743975674806</v>
      </c>
      <c r="CR352" s="1070">
        <f t="shared" si="1662"/>
        <v>4.2530337695552589</v>
      </c>
      <c r="CS352" s="1070">
        <f t="shared" si="1662"/>
        <v>4.2742989384030352</v>
      </c>
      <c r="CT352" s="607">
        <f t="shared" si="1662"/>
        <v>4.295670433095097</v>
      </c>
      <c r="CU352" s="1070">
        <f t="shared" si="1662"/>
        <v>4.3171487852605424</v>
      </c>
      <c r="CV352" s="1070">
        <f t="shared" si="1662"/>
        <v>4.3387345291869224</v>
      </c>
      <c r="CW352" s="1070">
        <f t="shared" si="1662"/>
        <v>4.3604282018328604</v>
      </c>
      <c r="CX352" s="607">
        <f t="shared" si="1662"/>
        <v>4.3822303428419218</v>
      </c>
      <c r="CY352" s="1070">
        <f t="shared" si="1662"/>
        <v>4.4041414945561428</v>
      </c>
      <c r="CZ352" s="1070">
        <f t="shared" si="1662"/>
        <v>4.4261622020289906</v>
      </c>
      <c r="DA352" s="1070">
        <f t="shared" si="1662"/>
        <v>4.4482930130391196</v>
      </c>
      <c r="DB352" s="607">
        <f t="shared" si="1662"/>
        <v>4.470534478104355</v>
      </c>
      <c r="DC352" s="1070">
        <f t="shared" si="1662"/>
        <v>4.4928871504948802</v>
      </c>
      <c r="DD352" s="1070">
        <f t="shared" si="1662"/>
        <v>4.5153515862473341</v>
      </c>
      <c r="DE352" s="1070">
        <f t="shared" si="1662"/>
        <v>4.5379283441785674</v>
      </c>
      <c r="DF352" s="607">
        <f t="shared" si="1662"/>
        <v>4.5606179858993983</v>
      </c>
      <c r="DG352" s="1070">
        <f t="shared" si="1662"/>
        <v>4.5834210758289373</v>
      </c>
      <c r="DH352" s="1070">
        <f t="shared" si="1662"/>
        <v>4.6063381812081161</v>
      </c>
      <c r="DI352" s="608">
        <f t="shared" si="1662"/>
        <v>4.6293698721141254</v>
      </c>
      <c r="DJ352" s="607">
        <f t="shared" si="1662"/>
        <v>4.6525167214746261</v>
      </c>
      <c r="DK352" s="1070">
        <f t="shared" si="1662"/>
        <v>4.6757793050820737</v>
      </c>
      <c r="DL352" s="1070">
        <f t="shared" si="1662"/>
        <v>4.6991582016074744</v>
      </c>
      <c r="DM352" s="608">
        <f t="shared" si="1662"/>
        <v>4.7226539926155056</v>
      </c>
      <c r="DN352" s="1070">
        <f t="shared" si="1662"/>
        <v>4.7462672625786126</v>
      </c>
      <c r="DO352" s="1070">
        <f t="shared" si="1662"/>
        <v>4.7699985988914477</v>
      </c>
      <c r="DP352" s="1070">
        <f t="shared" si="1662"/>
        <v>4.793848591885876</v>
      </c>
      <c r="DQ352" s="608">
        <f t="shared" si="1662"/>
        <v>4.8178178348453002</v>
      </c>
      <c r="DR352" s="607">
        <f t="shared" si="1662"/>
        <v>4.841906924019554</v>
      </c>
      <c r="DS352" s="1070">
        <f t="shared" si="1662"/>
        <v>4.8661164586396808</v>
      </c>
      <c r="DT352" s="1070">
        <f t="shared" si="1662"/>
        <v>4.8904470409328269</v>
      </c>
      <c r="DU352" s="608">
        <f t="shared" si="1662"/>
        <v>4.9148992761375894</v>
      </c>
      <c r="DV352" s="1070">
        <f t="shared" si="1662"/>
        <v>4.9394737725182267</v>
      </c>
      <c r="DW352" s="1070">
        <f t="shared" ref="DW352" si="1663">DW349-DV349</f>
        <v>4.9641711413808025</v>
      </c>
      <c r="DX352" s="1070">
        <f t="shared" ref="DX352" si="1664">DX349-DW349</f>
        <v>4.9889919970877372</v>
      </c>
      <c r="DY352" s="608">
        <f t="shared" ref="DY352" si="1665">DY349-DX349</f>
        <v>5.013936957073156</v>
      </c>
    </row>
    <row r="353" spans="1:129" s="1491" customFormat="1" hidden="1" outlineLevel="1">
      <c r="A353" s="1449"/>
      <c r="B353" s="1064"/>
      <c r="C353" s="1064"/>
      <c r="D353" s="1070"/>
      <c r="E353" s="1070"/>
      <c r="F353" s="1070"/>
      <c r="G353" s="1229"/>
      <c r="H353" s="1070"/>
      <c r="I353" s="1070"/>
      <c r="J353" s="1070"/>
      <c r="K353" s="1070"/>
      <c r="L353" s="1070"/>
      <c r="M353" s="1070"/>
      <c r="N353" s="1070"/>
      <c r="O353" s="1070"/>
      <c r="P353" s="1070"/>
      <c r="Q353" s="1070"/>
      <c r="R353" s="1070"/>
      <c r="S353" s="1070"/>
      <c r="T353" s="1070"/>
      <c r="U353" s="1070"/>
      <c r="V353" s="1070"/>
      <c r="W353" s="1070"/>
      <c r="X353" s="1070"/>
      <c r="Y353" s="1070"/>
      <c r="Z353" s="1070"/>
      <c r="AA353" s="1070"/>
      <c r="AB353" s="1070"/>
      <c r="AC353" s="1070"/>
      <c r="AD353" s="1070"/>
      <c r="AE353" s="1070"/>
      <c r="AF353" s="1070"/>
      <c r="AG353" s="1070"/>
      <c r="AH353" s="2201"/>
      <c r="AI353" s="1927"/>
      <c r="AJ353" s="1561"/>
      <c r="AK353" s="1070"/>
      <c r="AL353" s="1070"/>
      <c r="AM353" s="1064"/>
      <c r="AN353" s="1070"/>
      <c r="AO353" s="1070"/>
      <c r="AP353" s="607"/>
      <c r="AQ353" s="1070"/>
      <c r="AR353" s="1070"/>
      <c r="AS353" s="1070"/>
      <c r="AT353" s="607"/>
      <c r="AU353" s="1070"/>
      <c r="AV353" s="1070"/>
      <c r="AW353" s="1070"/>
      <c r="AX353" s="607"/>
      <c r="AY353" s="1070"/>
      <c r="AZ353" s="1070"/>
      <c r="BA353" s="1070"/>
      <c r="BB353" s="607"/>
      <c r="BC353" s="1070"/>
      <c r="BD353" s="1070"/>
      <c r="BE353" s="1070"/>
      <c r="BF353" s="607"/>
      <c r="BG353" s="1070"/>
      <c r="BH353" s="1070"/>
      <c r="BI353" s="1070"/>
      <c r="BJ353" s="607"/>
      <c r="BK353" s="1070"/>
      <c r="BL353" s="1070"/>
      <c r="BM353" s="1070"/>
      <c r="BN353" s="607"/>
      <c r="BO353" s="1070"/>
      <c r="BP353" s="1070"/>
      <c r="BQ353" s="1070"/>
      <c r="BR353" s="607"/>
      <c r="BS353" s="1070"/>
      <c r="BT353" s="1070"/>
      <c r="BU353" s="1070"/>
      <c r="BV353" s="607"/>
      <c r="BW353" s="1070"/>
      <c r="BX353" s="1070"/>
      <c r="BY353" s="1070"/>
      <c r="BZ353" s="607"/>
      <c r="CA353" s="1070"/>
      <c r="CB353" s="1070"/>
      <c r="CC353" s="1070"/>
      <c r="CD353" s="607"/>
      <c r="CE353" s="1070"/>
      <c r="CF353" s="1070"/>
      <c r="CG353" s="1070"/>
      <c r="CH353" s="607"/>
      <c r="CI353" s="1070"/>
      <c r="CJ353" s="1070"/>
      <c r="CK353" s="1070"/>
      <c r="CL353" s="607"/>
      <c r="CM353" s="1070"/>
      <c r="CN353" s="1070"/>
      <c r="CO353" s="1070"/>
      <c r="CP353" s="607"/>
      <c r="CQ353" s="1070"/>
      <c r="CR353" s="1070"/>
      <c r="CS353" s="1070"/>
      <c r="CT353" s="607"/>
      <c r="CU353" s="1070"/>
      <c r="CV353" s="1070"/>
      <c r="CW353" s="1070"/>
      <c r="CX353" s="607"/>
      <c r="CY353" s="1070"/>
      <c r="CZ353" s="1070"/>
      <c r="DA353" s="1070"/>
      <c r="DB353" s="607"/>
      <c r="DC353" s="1070"/>
      <c r="DD353" s="1070"/>
      <c r="DE353" s="1070"/>
      <c r="DF353" s="607"/>
      <c r="DG353" s="1070"/>
      <c r="DH353" s="1070"/>
      <c r="DI353" s="608"/>
      <c r="DJ353" s="607"/>
      <c r="DK353" s="1070"/>
      <c r="DL353" s="1070"/>
      <c r="DM353" s="608"/>
      <c r="DN353" s="1070"/>
      <c r="DO353" s="1070"/>
      <c r="DP353" s="1070"/>
      <c r="DQ353" s="608"/>
      <c r="DR353" s="607"/>
      <c r="DS353" s="1070"/>
      <c r="DT353" s="1070"/>
      <c r="DU353" s="608"/>
      <c r="DV353" s="1070"/>
      <c r="DW353" s="1070"/>
      <c r="DX353" s="1070"/>
      <c r="DY353" s="608"/>
    </row>
    <row r="354" spans="1:129" s="1491" customFormat="1" hidden="1" outlineLevel="1">
      <c r="A354" s="711" t="s">
        <v>823</v>
      </c>
      <c r="B354" s="1064"/>
      <c r="C354" s="1064"/>
      <c r="D354" s="1070"/>
      <c r="E354" s="1070"/>
      <c r="F354" s="1070"/>
      <c r="G354" s="1229"/>
      <c r="H354" s="1070"/>
      <c r="I354" s="1070"/>
      <c r="J354" s="1070"/>
      <c r="K354" s="1070"/>
      <c r="L354" s="1070"/>
      <c r="M354" s="1070"/>
      <c r="N354" s="1070"/>
      <c r="O354" s="1229">
        <f>O301/O349</f>
        <v>55.873388120596815</v>
      </c>
      <c r="P354" s="1229">
        <f t="shared" ref="P354:V354" si="1666">P341/P349</f>
        <v>5.8249662953121784E-2</v>
      </c>
      <c r="Q354" s="1229">
        <f t="shared" si="1666"/>
        <v>3.8705877004345177E-2</v>
      </c>
      <c r="R354" s="1229">
        <f t="shared" si="1666"/>
        <v>3.5481106976789301E-2</v>
      </c>
      <c r="S354" s="1229">
        <f t="shared" si="1666"/>
        <v>3.241108707958875E-2</v>
      </c>
      <c r="T354" s="1229">
        <f t="shared" si="1666"/>
        <v>2.9984390239347309E-2</v>
      </c>
      <c r="U354" s="1229">
        <f t="shared" si="1666"/>
        <v>2.7710190598084137E-2</v>
      </c>
      <c r="V354" s="1229">
        <f t="shared" si="1666"/>
        <v>2.6952867745792388E-2</v>
      </c>
      <c r="W354" s="1229">
        <f t="shared" ref="W354:AB354" si="1667">W341/W349</f>
        <v>2.3792040076651789E-2</v>
      </c>
      <c r="X354" s="1229">
        <f t="shared" si="1667"/>
        <v>2.2552507477623055E-2</v>
      </c>
      <c r="Y354" s="1229">
        <f t="shared" si="1667"/>
        <v>2.1255783288008225E-2</v>
      </c>
      <c r="Z354" s="1229">
        <f t="shared" ca="1" si="1667"/>
        <v>1.9945416894040002E-2</v>
      </c>
      <c r="AA354" s="1229">
        <f t="shared" ca="1" si="1667"/>
        <v>1.4723025844010541E-2</v>
      </c>
      <c r="AB354" s="1229">
        <f t="shared" ca="1" si="1667"/>
        <v>1.2296360944453171E-2</v>
      </c>
      <c r="AC354" s="1229">
        <f t="shared" ref="AC354:AG354" ca="1" si="1668">AC341/AC349</f>
        <v>9.7239036587618878E-3</v>
      </c>
      <c r="AD354" s="1229">
        <f t="shared" ca="1" si="1668"/>
        <v>6.9726004602850581E-3</v>
      </c>
      <c r="AE354" s="1229">
        <f t="shared" ca="1" si="1668"/>
        <v>4.0139625651866755E-3</v>
      </c>
      <c r="AF354" s="1229">
        <f t="shared" ca="1" si="1668"/>
        <v>8.205679295090237E-4</v>
      </c>
      <c r="AG354" s="1229">
        <f t="shared" ca="1" si="1668"/>
        <v>-2.6357938642409045E-3</v>
      </c>
      <c r="AH354" s="2201"/>
      <c r="AI354" s="1927"/>
      <c r="AJ354" s="1561"/>
      <c r="AK354" s="1070"/>
      <c r="AL354" s="1070"/>
      <c r="AM354" s="1064"/>
      <c r="AN354" s="1070"/>
      <c r="AO354" s="1070"/>
      <c r="AP354" s="607"/>
      <c r="AQ354" s="1070"/>
      <c r="AR354" s="1070"/>
      <c r="AS354" s="1070"/>
      <c r="AT354" s="607"/>
      <c r="AU354" s="1070"/>
      <c r="AV354" s="1070"/>
      <c r="AW354" s="1070"/>
      <c r="AX354" s="607"/>
      <c r="AY354" s="1070"/>
      <c r="AZ354" s="1070"/>
      <c r="BA354" s="1070"/>
      <c r="BB354" s="607"/>
      <c r="BC354" s="1070"/>
      <c r="BD354" s="1070"/>
      <c r="BE354" s="1070"/>
      <c r="BF354" s="607"/>
      <c r="BG354" s="1070"/>
      <c r="BH354" s="1070"/>
      <c r="BI354" s="1070"/>
      <c r="BJ354" s="607"/>
      <c r="BK354" s="1070"/>
      <c r="BL354" s="1070"/>
      <c r="BM354" s="1070"/>
      <c r="BN354" s="607"/>
      <c r="BO354" s="1070"/>
      <c r="BP354" s="1070"/>
      <c r="BQ354" s="1070"/>
      <c r="BR354" s="607"/>
      <c r="BS354" s="1070"/>
      <c r="BT354" s="1070"/>
      <c r="BU354" s="1070"/>
      <c r="BV354" s="607"/>
      <c r="BW354" s="1070"/>
      <c r="BX354" s="1070"/>
      <c r="BY354" s="1070"/>
      <c r="BZ354" s="631">
        <f t="shared" ref="BZ354:DE354" si="1669">BZ341/BZ349</f>
        <v>6.4990520654791217E-2</v>
      </c>
      <c r="CA354" s="1229">
        <f t="shared" si="1669"/>
        <v>6.5205563908606892E-2</v>
      </c>
      <c r="CB354" s="1229">
        <f t="shared" si="1669"/>
        <v>6.5314839417765211E-2</v>
      </c>
      <c r="CC354" s="1229">
        <f t="shared" si="1669"/>
        <v>6.3814635264790504E-2</v>
      </c>
      <c r="CD354" s="631">
        <f t="shared" si="1669"/>
        <v>6.3107169355041237E-2</v>
      </c>
      <c r="CE354" s="1229">
        <f t="shared" si="1669"/>
        <v>6.3849440676194025E-2</v>
      </c>
      <c r="CF354" s="1229">
        <f t="shared" si="1669"/>
        <v>6.4189260621434596E-2</v>
      </c>
      <c r="CG354" s="1229">
        <f t="shared" si="1669"/>
        <v>6.3023420032336422E-2</v>
      </c>
      <c r="CH354" s="631">
        <f t="shared" si="1669"/>
        <v>4.3415287746019771E-2</v>
      </c>
      <c r="CI354" s="1229">
        <f t="shared" si="1669"/>
        <v>4.3115815076595114E-2</v>
      </c>
      <c r="CJ354" s="1229">
        <f t="shared" si="1669"/>
        <v>4.2914715669857557E-2</v>
      </c>
      <c r="CK354" s="1229">
        <f t="shared" si="1669"/>
        <v>4.1532291684326629E-2</v>
      </c>
      <c r="CL354" s="631">
        <f t="shared" si="1669"/>
        <v>4.0097476529585507E-2</v>
      </c>
      <c r="CM354" s="1229">
        <f t="shared" si="1669"/>
        <v>3.9553059166120431E-2</v>
      </c>
      <c r="CN354" s="1229">
        <f t="shared" si="1669"/>
        <v>3.8773095036858884E-2</v>
      </c>
      <c r="CO354" s="1229">
        <f t="shared" si="1669"/>
        <v>3.7266988693069936E-2</v>
      </c>
      <c r="CP354" s="631">
        <f t="shared" si="1669"/>
        <v>3.645307085667495E-2</v>
      </c>
      <c r="CQ354" s="1229">
        <f t="shared" si="1669"/>
        <v>3.5851639821056457E-2</v>
      </c>
      <c r="CR354" s="1229">
        <f t="shared" si="1669"/>
        <v>3.5359877165066458E-2</v>
      </c>
      <c r="CS354" s="1229">
        <f t="shared" si="1669"/>
        <v>3.4058934742399891E-2</v>
      </c>
      <c r="CT354" s="631">
        <f t="shared" si="1669"/>
        <v>3.3139071458660664E-2</v>
      </c>
      <c r="CU354" s="1229">
        <f t="shared" si="1669"/>
        <v>3.2510161136373478E-2</v>
      </c>
      <c r="CV354" s="1229">
        <f t="shared" si="1669"/>
        <v>3.1941065194330896E-2</v>
      </c>
      <c r="CW354" s="1229">
        <f t="shared" si="1669"/>
        <v>3.1199171577114167E-2</v>
      </c>
      <c r="CX354" s="631">
        <f t="shared" si="1669"/>
        <v>3.0766405438506089E-2</v>
      </c>
      <c r="CY354" s="1229">
        <f t="shared" si="1669"/>
        <v>3.055179810208938E-2</v>
      </c>
      <c r="CZ354" s="1229">
        <f t="shared" si="1669"/>
        <v>2.9950332273625445E-2</v>
      </c>
      <c r="DA354" s="1229">
        <f t="shared" si="1669"/>
        <v>2.9245856679118925E-2</v>
      </c>
      <c r="DB354" s="631">
        <f t="shared" si="1669"/>
        <v>2.8376392012805802E-2</v>
      </c>
      <c r="DC354" s="1229">
        <f t="shared" si="1669"/>
        <v>2.7999905054332225E-2</v>
      </c>
      <c r="DD354" s="1229">
        <f t="shared" si="1669"/>
        <v>2.7614249772474019E-2</v>
      </c>
      <c r="DE354" s="1229">
        <f t="shared" si="1669"/>
        <v>2.7038048452111756E-2</v>
      </c>
      <c r="DF354" s="631">
        <f>DF341/DF349</f>
        <v>2.7372950567869512E-2</v>
      </c>
      <c r="DG354" s="1229">
        <f>DG341/DG349</f>
        <v>2.7175221921211707E-2</v>
      </c>
      <c r="DH354" s="1229">
        <f>DH341/DH349</f>
        <v>2.7411751821873234E-2</v>
      </c>
      <c r="DI354" s="632">
        <f>DI341/DI349</f>
        <v>2.6373327397946223E-2</v>
      </c>
      <c r="DJ354" s="631">
        <f t="shared" ref="DJ354:DM354" si="1670">DJ341/DJ349</f>
        <v>2.5081404074575361E-2</v>
      </c>
      <c r="DK354" s="1229">
        <f t="shared" si="1670"/>
        <v>2.4176810280673592E-2</v>
      </c>
      <c r="DL354" s="1229">
        <f t="shared" si="1670"/>
        <v>2.3651188722276617E-2</v>
      </c>
      <c r="DM354" s="632">
        <f t="shared" si="1670"/>
        <v>2.2306530074781519E-2</v>
      </c>
      <c r="DN354" s="1229">
        <f t="shared" ref="DN354:DO354" si="1671">DN341/DN349</f>
        <v>2.1035412807672661E-2</v>
      </c>
      <c r="DO354" s="1229">
        <f t="shared" si="1671"/>
        <v>2.0617131642965837E-2</v>
      </c>
      <c r="DP354" s="1229">
        <f t="shared" ref="DP354:DQ354" si="1672">DP341/DP349</f>
        <v>2.0234784992669393E-2</v>
      </c>
      <c r="DQ354" s="632">
        <f t="shared" si="1672"/>
        <v>1.9146354531438915E-2</v>
      </c>
      <c r="DR354" s="631">
        <f t="shared" ref="DR354" si="1673">DR341/DR349</f>
        <v>1.7503936428181543E-2</v>
      </c>
      <c r="DS354" s="1229">
        <f t="shared" ref="DS354:DT354" si="1674">DS341/DS349</f>
        <v>1.6918811865341846E-2</v>
      </c>
      <c r="DT354" s="1229">
        <f t="shared" si="1674"/>
        <v>1.7264879973259723E-2</v>
      </c>
      <c r="DU354" s="632">
        <f t="shared" ref="DU354" si="1675">DU341/DU349</f>
        <v>1.7165284876847785E-2</v>
      </c>
      <c r="DV354" s="1229">
        <f t="shared" ref="DV354" si="1676">DV341/DV349</f>
        <v>1.5827016766890165E-2</v>
      </c>
      <c r="DW354" s="1229">
        <f t="shared" ref="DW354:DY354" ca="1" si="1677">DW341/DW349</f>
        <v>1.3060992345180289E-2</v>
      </c>
      <c r="DX354" s="1229">
        <f t="shared" ca="1" si="1677"/>
        <v>1.3454126824548607E-2</v>
      </c>
      <c r="DY354" s="632">
        <f t="shared" ca="1" si="1677"/>
        <v>1.3342890883480146E-2</v>
      </c>
    </row>
    <row r="355" spans="1:129" s="1491" customFormat="1" hidden="1" outlineLevel="1">
      <c r="A355" s="1448" t="s">
        <v>1453</v>
      </c>
      <c r="B355" s="1065"/>
      <c r="C355" s="1065"/>
      <c r="D355" s="1065"/>
      <c r="E355" s="1065"/>
      <c r="F355" s="1065"/>
      <c r="G355" s="1065"/>
      <c r="H355" s="1065"/>
      <c r="I355" s="1065"/>
      <c r="J355" s="1065"/>
      <c r="K355" s="1065"/>
      <c r="L355" s="1065"/>
      <c r="M355" s="1065"/>
      <c r="N355" s="1065"/>
      <c r="O355" s="1065"/>
      <c r="P355" s="1065">
        <f t="shared" ref="P355:AB355" si="1678">P354/O354-1</f>
        <v>-0.99895747036447125</v>
      </c>
      <c r="Q355" s="1065">
        <f t="shared" si="1678"/>
        <v>-0.33551757998162279</v>
      </c>
      <c r="R355" s="1065">
        <f t="shared" si="1678"/>
        <v>-8.3314738668596955E-2</v>
      </c>
      <c r="S355" s="1065">
        <f t="shared" si="1678"/>
        <v>-8.6525482398530196E-2</v>
      </c>
      <c r="T355" s="1065">
        <f t="shared" si="1678"/>
        <v>-7.4872429742403823E-2</v>
      </c>
      <c r="U355" s="1065">
        <f t="shared" si="1678"/>
        <v>-7.5846119367764642E-2</v>
      </c>
      <c r="V355" s="1065">
        <f t="shared" si="1678"/>
        <v>-2.7330120650419065E-2</v>
      </c>
      <c r="W355" s="1065">
        <f>W354/V354-1</f>
        <v>-0.11727240674172923</v>
      </c>
      <c r="X355" s="1065">
        <f>X354/W354-1</f>
        <v>-5.2098626054566166E-2</v>
      </c>
      <c r="Y355" s="1065">
        <f>Y354/X354-1</f>
        <v>-5.7498005084421711E-2</v>
      </c>
      <c r="Z355" s="1065">
        <f ca="1">Z354/Y354-1</f>
        <v>-6.164752322759548E-2</v>
      </c>
      <c r="AA355" s="1065">
        <f t="shared" ca="1" si="1678"/>
        <v>-0.26183413852783355</v>
      </c>
      <c r="AB355" s="1065">
        <f t="shared" ca="1" si="1678"/>
        <v>-0.16482107178699001</v>
      </c>
      <c r="AC355" s="1065">
        <f t="shared" ref="AC355" ca="1" si="1679">AC354/AB354-1</f>
        <v>-0.2092047636948805</v>
      </c>
      <c r="AD355" s="1065">
        <f t="shared" ref="AD355" ca="1" si="1680">AD354/AC354-1</f>
        <v>-0.28294225190083222</v>
      </c>
      <c r="AE355" s="1065">
        <f t="shared" ref="AE355" ca="1" si="1681">AE354/AD354-1</f>
        <v>-0.42432345176672093</v>
      </c>
      <c r="AF355" s="1065">
        <f t="shared" ref="AF355" ca="1" si="1682">AF354/AE354-1</f>
        <v>-0.79557160382464553</v>
      </c>
      <c r="AG355" s="1065">
        <f t="shared" ref="AG355" ca="1" si="1683">AG354/AF354-1</f>
        <v>-4.2121580303753738</v>
      </c>
      <c r="AH355" s="2201"/>
      <c r="AI355" s="1927"/>
      <c r="AJ355" s="1561"/>
      <c r="AK355" s="1065"/>
      <c r="AL355" s="1065"/>
      <c r="AM355" s="1065"/>
      <c r="AN355" s="1065"/>
      <c r="AO355" s="1065"/>
      <c r="AP355" s="563"/>
      <c r="AQ355" s="1065"/>
      <c r="AR355" s="1065"/>
      <c r="AS355" s="1065"/>
      <c r="AT355" s="563"/>
      <c r="AU355" s="1065"/>
      <c r="AV355" s="1065"/>
      <c r="AW355" s="1065"/>
      <c r="AX355" s="563"/>
      <c r="AY355" s="1065"/>
      <c r="AZ355" s="1065"/>
      <c r="BA355" s="1065"/>
      <c r="BB355" s="563"/>
      <c r="BC355" s="1065"/>
      <c r="BD355" s="1065"/>
      <c r="BE355" s="1065"/>
      <c r="BF355" s="563"/>
      <c r="BG355" s="1065"/>
      <c r="BH355" s="1065"/>
      <c r="BI355" s="1065"/>
      <c r="BJ355" s="563"/>
      <c r="BK355" s="1065"/>
      <c r="BL355" s="1065"/>
      <c r="BM355" s="1065"/>
      <c r="BN355" s="563"/>
      <c r="BO355" s="1065"/>
      <c r="BP355" s="1065"/>
      <c r="BQ355" s="1065"/>
      <c r="BR355" s="563"/>
      <c r="BS355" s="1065"/>
      <c r="BT355" s="1065"/>
      <c r="BU355" s="1065"/>
      <c r="BV355" s="563"/>
      <c r="BW355" s="1065"/>
      <c r="BX355" s="1065"/>
      <c r="BY355" s="1065"/>
      <c r="BZ355" s="563"/>
      <c r="CA355" s="1065"/>
      <c r="CB355" s="1065"/>
      <c r="CC355" s="1065"/>
      <c r="CD355" s="563">
        <f t="shared" ref="CD355:DV355" si="1684">CD354/BZ354-1</f>
        <v>-2.8978861544343371E-2</v>
      </c>
      <c r="CE355" s="1065">
        <f t="shared" si="1684"/>
        <v>-2.0797661290279268E-2</v>
      </c>
      <c r="CF355" s="1065">
        <f t="shared" si="1684"/>
        <v>-1.7233125065671762E-2</v>
      </c>
      <c r="CG355" s="1065">
        <f t="shared" si="1684"/>
        <v>-1.2398648510189458E-2</v>
      </c>
      <c r="CH355" s="563">
        <f t="shared" si="1684"/>
        <v>-0.31203873997635434</v>
      </c>
      <c r="CI355" s="1065">
        <f t="shared" si="1684"/>
        <v>-0.32472681639839873</v>
      </c>
      <c r="CJ355" s="1065">
        <f t="shared" si="1684"/>
        <v>-0.33143464725426153</v>
      </c>
      <c r="CK355" s="1065">
        <f t="shared" si="1684"/>
        <v>-0.34100225498684456</v>
      </c>
      <c r="CL355" s="563">
        <f t="shared" si="1684"/>
        <v>-7.6420343816296255E-2</v>
      </c>
      <c r="CM355" s="1065">
        <f t="shared" si="1684"/>
        <v>-8.2632229128579815E-2</v>
      </c>
      <c r="CN355" s="1065">
        <f t="shared" si="1684"/>
        <v>-9.6508169012702205E-2</v>
      </c>
      <c r="CO355" s="1065">
        <f t="shared" si="1684"/>
        <v>-0.1026984743263355</v>
      </c>
      <c r="CP355" s="563">
        <f t="shared" si="1684"/>
        <v>-9.0888654058356222E-2</v>
      </c>
      <c r="CQ355" s="1065">
        <f t="shared" si="1684"/>
        <v>-9.3581114156511602E-2</v>
      </c>
      <c r="CR355" s="1065">
        <f t="shared" si="1684"/>
        <v>-8.8030575545947953E-2</v>
      </c>
      <c r="CS355" s="1065">
        <f t="shared" si="1684"/>
        <v>-8.6082993640605232E-2</v>
      </c>
      <c r="CT355" s="563">
        <f t="shared" si="1684"/>
        <v>-9.0911391554477472E-2</v>
      </c>
      <c r="CU355" s="1065">
        <f t="shared" si="1684"/>
        <v>-9.320295253888089E-2</v>
      </c>
      <c r="CV355" s="1065">
        <f t="shared" si="1684"/>
        <v>-9.6686194773129897E-2</v>
      </c>
      <c r="CW355" s="1065">
        <f t="shared" si="1684"/>
        <v>-8.396513827913743E-2</v>
      </c>
      <c r="CX355" s="563">
        <f t="shared" si="1684"/>
        <v>-7.1597239020844583E-2</v>
      </c>
      <c r="CY355" s="1065">
        <f t="shared" si="1684"/>
        <v>-6.02384905466683E-2</v>
      </c>
      <c r="CZ355" s="1065">
        <f t="shared" si="1684"/>
        <v>-6.232518886247973E-2</v>
      </c>
      <c r="DA355" s="1065">
        <f t="shared" si="1684"/>
        <v>-6.2607909096793923E-2</v>
      </c>
      <c r="DB355" s="563">
        <f t="shared" si="1684"/>
        <v>-7.7682569401137602E-2</v>
      </c>
      <c r="DC355" s="1065">
        <f t="shared" si="1684"/>
        <v>-8.3526771132421018E-2</v>
      </c>
      <c r="DD355" s="1065">
        <f t="shared" si="1684"/>
        <v>-7.7998550393666322E-2</v>
      </c>
      <c r="DE355" s="1065">
        <f t="shared" si="1684"/>
        <v>-7.5491316641222106E-2</v>
      </c>
      <c r="DF355" s="563">
        <f t="shared" si="1684"/>
        <v>-3.5361840380674692E-2</v>
      </c>
      <c r="DG355" s="1065">
        <f t="shared" si="1684"/>
        <v>-2.9453068912921876E-2</v>
      </c>
      <c r="DH355" s="1065">
        <f t="shared" si="1684"/>
        <v>-7.3330962191352489E-3</v>
      </c>
      <c r="DI355" s="564">
        <f t="shared" si="1684"/>
        <v>-2.4584653561178782E-2</v>
      </c>
      <c r="DJ355" s="563">
        <f t="shared" si="1684"/>
        <v>-8.3715728328680017E-2</v>
      </c>
      <c r="DK355" s="1065">
        <f t="shared" si="1684"/>
        <v>-0.110336233839463</v>
      </c>
      <c r="DL355" s="1065">
        <f t="shared" si="1684"/>
        <v>-0.13718798871496685</v>
      </c>
      <c r="DM355" s="564">
        <f t="shared" si="1684"/>
        <v>-0.15420114655238382</v>
      </c>
      <c r="DN355" s="1065">
        <f t="shared" si="1684"/>
        <v>-0.1613143847478643</v>
      </c>
      <c r="DO355" s="1065">
        <f t="shared" si="1684"/>
        <v>-0.14723524718036451</v>
      </c>
      <c r="DP355" s="1065">
        <f t="shared" si="1684"/>
        <v>-0.14444955683725846</v>
      </c>
      <c r="DQ355" s="564">
        <f t="shared" si="1684"/>
        <v>-0.14167042264073682</v>
      </c>
      <c r="DR355" s="563">
        <f t="shared" si="1684"/>
        <v>-0.16788243766735178</v>
      </c>
      <c r="DS355" s="1065">
        <f t="shared" si="1684"/>
        <v>-0.17938090718287603</v>
      </c>
      <c r="DT355" s="1065">
        <f t="shared" si="1684"/>
        <v>-0.14677225483174638</v>
      </c>
      <c r="DU355" s="564">
        <f t="shared" si="1684"/>
        <v>-0.1034698094270714</v>
      </c>
      <c r="DV355" s="1065">
        <f t="shared" si="1684"/>
        <v>-9.5802430965843621E-2</v>
      </c>
      <c r="DW355" s="1065">
        <f t="shared" ref="DW355" ca="1" si="1685">DW354/DS354-1</f>
        <v>-0.22801952943659665</v>
      </c>
      <c r="DX355" s="1065">
        <f t="shared" ref="DX355" ca="1" si="1686">DX354/DT354-1</f>
        <v>-0.22072282892283679</v>
      </c>
      <c r="DY355" s="564">
        <f t="shared" ref="DY355" ca="1" si="1687">DY354/DU354-1</f>
        <v>-0.222681651996537</v>
      </c>
    </row>
    <row r="356" spans="1:129" s="1491" customFormat="1" ht="15" customHeight="1" collapsed="1">
      <c r="A356" s="198" t="s">
        <v>1500</v>
      </c>
      <c r="B356" s="1476"/>
      <c r="C356" s="1476"/>
      <c r="D356" s="1476"/>
      <c r="E356" s="1476"/>
      <c r="F356" s="1476"/>
      <c r="G356" s="1476"/>
      <c r="H356" s="1476"/>
      <c r="I356" s="1476"/>
      <c r="J356" s="1476"/>
      <c r="K356" s="1476"/>
      <c r="L356" s="1476"/>
      <c r="M356" s="1476"/>
      <c r="N356" s="1476"/>
      <c r="O356" s="1476"/>
      <c r="P356" s="1089">
        <f t="shared" ref="P356:AA356" si="1688">P5</f>
        <v>2008</v>
      </c>
      <c r="Q356" s="1089">
        <f t="shared" si="1688"/>
        <v>2009</v>
      </c>
      <c r="R356" s="1089">
        <f t="shared" si="1688"/>
        <v>2010</v>
      </c>
      <c r="S356" s="1089">
        <f t="shared" si="1688"/>
        <v>2011</v>
      </c>
      <c r="T356" s="1089">
        <f t="shared" si="1688"/>
        <v>2012</v>
      </c>
      <c r="U356" s="1089">
        <f t="shared" si="1688"/>
        <v>2013</v>
      </c>
      <c r="V356" s="1089" t="str">
        <f t="shared" si="1688"/>
        <v>2014</v>
      </c>
      <c r="W356" s="1089" t="str">
        <f t="shared" si="1688"/>
        <v>2015</v>
      </c>
      <c r="X356" s="1089" t="str">
        <f t="shared" si="1688"/>
        <v>2016</v>
      </c>
      <c r="Y356" s="1089" t="str">
        <f t="shared" ref="Y356:Z356" si="1689">Y5</f>
        <v>2017</v>
      </c>
      <c r="Z356" s="1089" t="str">
        <f t="shared" si="1689"/>
        <v>2018E</v>
      </c>
      <c r="AA356" s="1089" t="str">
        <f t="shared" si="1688"/>
        <v>2019E</v>
      </c>
      <c r="AB356" s="1089" t="str">
        <f t="shared" ref="AB356:AG356" si="1690">AB5</f>
        <v>2020E</v>
      </c>
      <c r="AC356" s="1089" t="str">
        <f t="shared" si="1690"/>
        <v>2021E</v>
      </c>
      <c r="AD356" s="1089" t="str">
        <f t="shared" si="1690"/>
        <v>2022E</v>
      </c>
      <c r="AE356" s="1089" t="str">
        <f t="shared" si="1690"/>
        <v>2023E</v>
      </c>
      <c r="AF356" s="1089" t="str">
        <f t="shared" si="1690"/>
        <v>2024E</v>
      </c>
      <c r="AG356" s="1089" t="str">
        <f t="shared" si="1690"/>
        <v>2025E</v>
      </c>
      <c r="AH356" s="2201"/>
      <c r="AI356" s="1927"/>
      <c r="AJ356" s="1561"/>
      <c r="AK356" s="1476"/>
      <c r="AL356" s="1476"/>
      <c r="AM356" s="1476"/>
      <c r="AN356" s="1476"/>
      <c r="AO356" s="1476"/>
      <c r="AP356" s="798"/>
      <c r="AQ356" s="1476"/>
      <c r="AR356" s="1476"/>
      <c r="AS356" s="1476"/>
      <c r="AT356" s="798"/>
      <c r="AU356" s="1476"/>
      <c r="AV356" s="1476"/>
      <c r="AW356" s="1476"/>
      <c r="AX356" s="798"/>
      <c r="AY356" s="1476"/>
      <c r="AZ356" s="1476"/>
      <c r="BA356" s="1476"/>
      <c r="BB356" s="798"/>
      <c r="BC356" s="1476"/>
      <c r="BD356" s="1476"/>
      <c r="BE356" s="1476"/>
      <c r="BF356" s="798"/>
      <c r="BG356" s="1476"/>
      <c r="BH356" s="1476"/>
      <c r="BI356" s="1476"/>
      <c r="BJ356" s="798"/>
      <c r="BK356" s="1476"/>
      <c r="BL356" s="1476"/>
      <c r="BM356" s="1476"/>
      <c r="BN356" s="798"/>
      <c r="BO356" s="1476"/>
      <c r="BP356" s="1476"/>
      <c r="BQ356" s="1476"/>
      <c r="BR356" s="798"/>
      <c r="BS356" s="1476"/>
      <c r="BT356" s="1476"/>
      <c r="BU356" s="1476"/>
      <c r="BV356" s="798"/>
      <c r="BW356" s="1476"/>
      <c r="BX356" s="1476"/>
      <c r="BY356" s="1476"/>
      <c r="BZ356" s="798"/>
      <c r="CA356" s="1476"/>
      <c r="CB356" s="1476"/>
      <c r="CC356" s="1476"/>
      <c r="CD356" s="798"/>
      <c r="CE356" s="1476"/>
      <c r="CF356" s="1476"/>
      <c r="CG356" s="1476"/>
      <c r="CH356" s="640" t="str">
        <f t="shared" ref="CH356:DN356" si="1691">+CH5</f>
        <v>1Q08</v>
      </c>
      <c r="CI356" s="1089" t="str">
        <f t="shared" si="1691"/>
        <v>2Q08</v>
      </c>
      <c r="CJ356" s="1089" t="str">
        <f t="shared" si="1691"/>
        <v>3Q08</v>
      </c>
      <c r="CK356" s="1089" t="str">
        <f t="shared" si="1691"/>
        <v>4Q08</v>
      </c>
      <c r="CL356" s="640" t="str">
        <f t="shared" si="1691"/>
        <v>1Q09</v>
      </c>
      <c r="CM356" s="1089" t="str">
        <f t="shared" si="1691"/>
        <v>2Q09</v>
      </c>
      <c r="CN356" s="1089" t="str">
        <f t="shared" si="1691"/>
        <v>3Q09</v>
      </c>
      <c r="CO356" s="1089" t="str">
        <f t="shared" si="1691"/>
        <v>4Q09</v>
      </c>
      <c r="CP356" s="640" t="str">
        <f t="shared" si="1691"/>
        <v>1Q10</v>
      </c>
      <c r="CQ356" s="1089" t="str">
        <f t="shared" si="1691"/>
        <v>2Q10</v>
      </c>
      <c r="CR356" s="1089" t="str">
        <f t="shared" si="1691"/>
        <v>3Q10</v>
      </c>
      <c r="CS356" s="1089" t="str">
        <f t="shared" si="1691"/>
        <v>4Q10</v>
      </c>
      <c r="CT356" s="640" t="str">
        <f t="shared" si="1691"/>
        <v>1Q11</v>
      </c>
      <c r="CU356" s="1089" t="str">
        <f t="shared" si="1691"/>
        <v>2Q11</v>
      </c>
      <c r="CV356" s="1089" t="str">
        <f t="shared" si="1691"/>
        <v>3Q11</v>
      </c>
      <c r="CW356" s="1089" t="str">
        <f t="shared" si="1691"/>
        <v>4Q11</v>
      </c>
      <c r="CX356" s="640" t="str">
        <f t="shared" si="1691"/>
        <v>1Q12</v>
      </c>
      <c r="CY356" s="1089" t="str">
        <f t="shared" si="1691"/>
        <v>2Q12</v>
      </c>
      <c r="CZ356" s="1089" t="str">
        <f t="shared" si="1691"/>
        <v>3Q12</v>
      </c>
      <c r="DA356" s="1089" t="str">
        <f t="shared" si="1691"/>
        <v>4Q12</v>
      </c>
      <c r="DB356" s="640" t="str">
        <f t="shared" si="1691"/>
        <v>1Q13</v>
      </c>
      <c r="DC356" s="1089" t="str">
        <f t="shared" si="1691"/>
        <v>2Q13</v>
      </c>
      <c r="DD356" s="1089" t="str">
        <f t="shared" si="1691"/>
        <v>3Q13</v>
      </c>
      <c r="DE356" s="1089" t="str">
        <f t="shared" si="1691"/>
        <v>4Q13</v>
      </c>
      <c r="DF356" s="640" t="str">
        <f t="shared" si="1691"/>
        <v>1Q14</v>
      </c>
      <c r="DG356" s="1089" t="str">
        <f t="shared" si="1691"/>
        <v>2Q14</v>
      </c>
      <c r="DH356" s="1089" t="str">
        <f t="shared" si="1691"/>
        <v>3Q14</v>
      </c>
      <c r="DI356" s="641" t="str">
        <f t="shared" si="1691"/>
        <v>4Q14</v>
      </c>
      <c r="DJ356" s="640" t="str">
        <f t="shared" si="1691"/>
        <v>1Q15</v>
      </c>
      <c r="DK356" s="1089" t="str">
        <f t="shared" si="1691"/>
        <v>2Q15</v>
      </c>
      <c r="DL356" s="1089" t="str">
        <f t="shared" si="1691"/>
        <v>3Q15</v>
      </c>
      <c r="DM356" s="641" t="str">
        <f t="shared" si="1691"/>
        <v>4Q15</v>
      </c>
      <c r="DN356" s="1089" t="str">
        <f t="shared" si="1691"/>
        <v>1Q16</v>
      </c>
      <c r="DO356" s="1089" t="str">
        <f t="shared" ref="DO356:DP356" si="1692">+DO5</f>
        <v>2Q16</v>
      </c>
      <c r="DP356" s="1089" t="str">
        <f t="shared" si="1692"/>
        <v>3Q16</v>
      </c>
      <c r="DQ356" s="641" t="str">
        <f t="shared" ref="DQ356" si="1693">+DQ5</f>
        <v>4Q16</v>
      </c>
      <c r="DR356" s="640" t="str">
        <f t="shared" ref="DR356" si="1694">+DR5</f>
        <v>1Q17</v>
      </c>
      <c r="DS356" s="1089" t="str">
        <f t="shared" ref="DS356:DT356" si="1695">+DS5</f>
        <v>2Q17</v>
      </c>
      <c r="DT356" s="1089" t="str">
        <f t="shared" si="1695"/>
        <v>3Q17</v>
      </c>
      <c r="DU356" s="641" t="str">
        <f t="shared" ref="DU356" si="1696">+DU5</f>
        <v>4Q17</v>
      </c>
      <c r="DV356" s="1089" t="str">
        <f t="shared" ref="DV356" si="1697">+DV5</f>
        <v>1Q18</v>
      </c>
      <c r="DW356" s="1089" t="str">
        <f t="shared" ref="DW356:DY356" si="1698">+DW5</f>
        <v>2Q18E</v>
      </c>
      <c r="DX356" s="1089" t="str">
        <f t="shared" si="1698"/>
        <v>3Q18E</v>
      </c>
      <c r="DY356" s="641" t="str">
        <f t="shared" si="1698"/>
        <v>4Q18E</v>
      </c>
    </row>
    <row r="357" spans="1:129" ht="15" customHeight="1">
      <c r="A357" s="2573"/>
      <c r="B357" s="2207"/>
      <c r="C357" s="2207"/>
      <c r="D357" s="2207"/>
      <c r="E357" s="2207"/>
      <c r="F357" s="2207"/>
      <c r="G357" s="2207"/>
      <c r="H357" s="2207"/>
      <c r="I357" s="2207"/>
      <c r="J357" s="2207"/>
      <c r="K357" s="2207"/>
      <c r="L357" s="2207"/>
      <c r="M357" s="2207"/>
      <c r="N357" s="2207"/>
      <c r="O357" s="2207"/>
      <c r="P357" s="2207"/>
      <c r="Q357" s="2207"/>
      <c r="R357" s="2207"/>
      <c r="S357" s="2207"/>
      <c r="T357" s="2207"/>
      <c r="U357" s="2207"/>
      <c r="V357" s="2207"/>
      <c r="W357" s="2207"/>
      <c r="X357" s="2207"/>
      <c r="Y357" s="2207"/>
      <c r="Z357" s="2207"/>
      <c r="AA357" s="2207"/>
      <c r="AB357" s="2207"/>
      <c r="AC357" s="2207"/>
      <c r="AD357" s="2207"/>
      <c r="AE357" s="2207"/>
      <c r="AF357" s="2207"/>
      <c r="AG357" s="2207"/>
      <c r="AH357" s="2201"/>
      <c r="AI357" s="1927"/>
      <c r="AK357" s="2207"/>
      <c r="AL357" s="2207"/>
      <c r="AM357" s="2207"/>
      <c r="AN357" s="2207"/>
      <c r="AO357" s="2207"/>
      <c r="AP357" s="2208"/>
      <c r="AQ357" s="2207"/>
      <c r="AR357" s="2207"/>
      <c r="AS357" s="2207"/>
      <c r="AT357" s="2208"/>
      <c r="AU357" s="2207"/>
      <c r="AV357" s="2207"/>
      <c r="AW357" s="2207"/>
      <c r="AX357" s="2208"/>
      <c r="AY357" s="2207"/>
      <c r="AZ357" s="2207"/>
      <c r="BA357" s="2207"/>
      <c r="BB357" s="2208"/>
      <c r="BC357" s="2207"/>
      <c r="BD357" s="2207"/>
      <c r="BE357" s="2207"/>
      <c r="BF357" s="2208"/>
      <c r="BG357" s="2207"/>
      <c r="BH357" s="2207"/>
      <c r="BI357" s="2207"/>
      <c r="BJ357" s="2208"/>
      <c r="BK357" s="2207"/>
      <c r="BL357" s="2207"/>
      <c r="BM357" s="2207"/>
      <c r="BN357" s="2208"/>
      <c r="BO357" s="2207"/>
      <c r="BP357" s="2207"/>
      <c r="BQ357" s="2207"/>
      <c r="BR357" s="2208"/>
      <c r="BS357" s="2207"/>
      <c r="BT357" s="2207"/>
      <c r="BU357" s="2207"/>
      <c r="BV357" s="2208"/>
      <c r="BW357" s="2207"/>
      <c r="BX357" s="2207"/>
      <c r="BY357" s="2207"/>
      <c r="BZ357" s="2208"/>
      <c r="CA357" s="2207"/>
      <c r="CB357" s="2207"/>
      <c r="CC357" s="2207"/>
      <c r="CD357" s="2208"/>
      <c r="CE357" s="2207"/>
      <c r="CF357" s="2207"/>
      <c r="CG357" s="2207"/>
      <c r="CH357" s="2208"/>
      <c r="CI357" s="2207"/>
      <c r="CJ357" s="2207"/>
      <c r="CK357" s="2207"/>
      <c r="CL357" s="2208"/>
      <c r="CM357" s="2207"/>
      <c r="CN357" s="2207"/>
      <c r="CO357" s="2207"/>
      <c r="CP357" s="2208"/>
      <c r="CQ357" s="2207"/>
      <c r="CR357" s="2207"/>
      <c r="CS357" s="2207"/>
      <c r="CT357" s="2208"/>
      <c r="CU357" s="2207"/>
      <c r="CV357" s="2207"/>
      <c r="CW357" s="2207"/>
      <c r="CX357" s="2208"/>
      <c r="CY357" s="2207"/>
      <c r="CZ357" s="2207"/>
      <c r="DA357" s="2207"/>
      <c r="DB357" s="2208"/>
      <c r="DC357" s="2207"/>
      <c r="DD357" s="2207"/>
      <c r="DE357" s="2207"/>
      <c r="DF357" s="2208"/>
      <c r="DG357" s="2207"/>
      <c r="DH357" s="2207"/>
      <c r="DI357" s="2209"/>
      <c r="DJ357" s="2208"/>
      <c r="DK357" s="2207"/>
      <c r="DL357" s="2207"/>
      <c r="DM357" s="2209"/>
      <c r="DN357" s="2207"/>
      <c r="DO357" s="2207"/>
      <c r="DP357" s="2207"/>
      <c r="DQ357" s="2209"/>
      <c r="DR357" s="2208"/>
      <c r="DS357" s="2207"/>
      <c r="DT357" s="2207"/>
      <c r="DU357" s="2209"/>
      <c r="DV357" s="2207"/>
      <c r="DW357" s="2207"/>
      <c r="DX357" s="2207"/>
      <c r="DY357" s="2209"/>
    </row>
    <row r="358" spans="1:129" s="2141" customFormat="1" ht="15" customHeight="1">
      <c r="A358" s="1943" t="s">
        <v>1489</v>
      </c>
      <c r="P358" s="2141">
        <f>+SUM(CK358:CN358)</f>
        <v>14445.12535</v>
      </c>
      <c r="Q358" s="2141">
        <f>+SUM(CO358:CR358)</f>
        <v>12719.187</v>
      </c>
      <c r="R358" s="2141">
        <f>+SUM(CS358:CV358)</f>
        <v>13633.042549999998</v>
      </c>
      <c r="S358" s="2141">
        <f>+SUM(CW358:CZ358)</f>
        <v>13776.785100000001</v>
      </c>
      <c r="T358" s="2141">
        <f>+SUM(DA358:DD358)</f>
        <v>15436.30435</v>
      </c>
      <c r="U358" s="2141">
        <f>+SUM(DE358:DH358)</f>
        <v>16689.144650000002</v>
      </c>
      <c r="V358" s="2141">
        <f>+SUM(DF358:DI358)</f>
        <v>17795.564050000001</v>
      </c>
      <c r="W358" s="2141">
        <f>+SUM(DJ358:DM358)</f>
        <v>16414.282899999998</v>
      </c>
      <c r="X358" s="2141">
        <f>+SUM(DN358:DQ358)</f>
        <v>15346.438699999999</v>
      </c>
      <c r="Y358" s="2141">
        <f>+SUM(DR358:DU358)</f>
        <v>15391.07555</v>
      </c>
      <c r="Z358" s="2141">
        <f>+SUM(DV358:DY358)</f>
        <v>15506.930556750001</v>
      </c>
      <c r="AA358" s="2141">
        <f>+AA257</f>
        <v>15196.791945615001</v>
      </c>
      <c r="AB358" s="2141">
        <f>+AB257</f>
        <v>14892.8561067027</v>
      </c>
      <c r="AC358" s="2141">
        <f t="shared" ref="AC358:AG358" si="1699">+AC257</f>
        <v>14594.998984568647</v>
      </c>
      <c r="AD358" s="2141">
        <f t="shared" si="1699"/>
        <v>14303.099004877273</v>
      </c>
      <c r="AE358" s="2141">
        <f t="shared" si="1699"/>
        <v>14017.037024779727</v>
      </c>
      <c r="AF358" s="2141">
        <f t="shared" si="1699"/>
        <v>13736.696284284133</v>
      </c>
      <c r="AG358" s="2141">
        <f t="shared" si="1699"/>
        <v>13461.96235859845</v>
      </c>
      <c r="AH358" s="1936"/>
      <c r="AI358" s="1952"/>
      <c r="AP358" s="1936"/>
      <c r="AT358" s="1936"/>
      <c r="AX358" s="1936"/>
      <c r="BB358" s="1936"/>
      <c r="BF358" s="1936"/>
      <c r="BJ358" s="1936"/>
      <c r="BN358" s="1936"/>
      <c r="BR358" s="1936"/>
      <c r="BV358" s="1936"/>
      <c r="BZ358" s="1936"/>
      <c r="CD358" s="1936"/>
      <c r="CH358" s="1936">
        <f t="shared" ref="CH358:DJ358" si="1700">+CH257</f>
        <v>3543.6262189000004</v>
      </c>
      <c r="CI358" s="2141">
        <f t="shared" si="1700"/>
        <v>3555.9690499999997</v>
      </c>
      <c r="CJ358" s="2141">
        <f t="shared" si="1700"/>
        <v>4116.6310000000003</v>
      </c>
      <c r="CK358" s="2141">
        <f t="shared" si="1700"/>
        <v>3971.5454999999997</v>
      </c>
      <c r="CL358" s="1936">
        <f t="shared" si="1700"/>
        <v>3541.8760499999999</v>
      </c>
      <c r="CM358" s="2141">
        <f t="shared" si="1700"/>
        <v>3380.2350000000001</v>
      </c>
      <c r="CN358" s="2141">
        <f t="shared" si="1700"/>
        <v>3551.4688000000001</v>
      </c>
      <c r="CO358" s="2141">
        <f t="shared" si="1700"/>
        <v>3623.8895000000002</v>
      </c>
      <c r="CP358" s="1936">
        <f t="shared" si="1700"/>
        <v>2954.1602499999999</v>
      </c>
      <c r="CQ358" s="2141">
        <f t="shared" si="1700"/>
        <v>2927.6657499999997</v>
      </c>
      <c r="CR358" s="2141">
        <f t="shared" si="1700"/>
        <v>3213.4715000000001</v>
      </c>
      <c r="CS358" s="2141">
        <f t="shared" si="1700"/>
        <v>3377.5373</v>
      </c>
      <c r="CT358" s="1936">
        <f t="shared" si="1700"/>
        <v>3438.4133999999999</v>
      </c>
      <c r="CU358" s="2141">
        <f t="shared" si="1700"/>
        <v>3517.4353499999997</v>
      </c>
      <c r="CV358" s="2141">
        <f t="shared" si="1700"/>
        <v>3299.6565000000001</v>
      </c>
      <c r="CW358" s="2141">
        <f t="shared" si="1700"/>
        <v>3654.1536999999998</v>
      </c>
      <c r="CX358" s="1936">
        <f t="shared" si="1700"/>
        <v>3025.9679999999998</v>
      </c>
      <c r="CY358" s="2141">
        <f t="shared" si="1700"/>
        <v>3115.6925999999999</v>
      </c>
      <c r="CZ358" s="2141">
        <f t="shared" si="1700"/>
        <v>3980.9708000000001</v>
      </c>
      <c r="DA358" s="2141">
        <f t="shared" si="1700"/>
        <v>4706.0969999999998</v>
      </c>
      <c r="DB358" s="1936">
        <f t="shared" si="1700"/>
        <v>3490.5973999999997</v>
      </c>
      <c r="DC358" s="2141">
        <f t="shared" si="1700"/>
        <v>3556.0251499999999</v>
      </c>
      <c r="DD358" s="2141">
        <f t="shared" si="1700"/>
        <v>3683.5848000000001</v>
      </c>
      <c r="DE358" s="2141">
        <f t="shared" si="1700"/>
        <v>4336.8927999999996</v>
      </c>
      <c r="DF358" s="1936">
        <f t="shared" si="1700"/>
        <v>3653.1012500000002</v>
      </c>
      <c r="DG358" s="2141">
        <f t="shared" si="1700"/>
        <v>4202.7106000000003</v>
      </c>
      <c r="DH358" s="2141">
        <f t="shared" si="1700"/>
        <v>4496.4400000000005</v>
      </c>
      <c r="DI358" s="2472">
        <f t="shared" si="1700"/>
        <v>5443.3122000000003</v>
      </c>
      <c r="DJ358" s="1936">
        <f t="shared" si="1700"/>
        <v>3727.8621999999996</v>
      </c>
      <c r="DK358" s="2141">
        <f t="shared" ref="DK358:DM358" si="1701">+DK257</f>
        <v>3919.9679999999998</v>
      </c>
      <c r="DL358" s="2141">
        <f t="shared" si="1701"/>
        <v>4201.1183000000001</v>
      </c>
      <c r="DM358" s="2472">
        <f t="shared" si="1701"/>
        <v>4565.3343999999997</v>
      </c>
      <c r="DN358" s="2141">
        <f t="shared" ref="DN358:DO358" si="1702">+DN257</f>
        <v>3717.2655999999997</v>
      </c>
      <c r="DO358" s="2141">
        <f t="shared" si="1702"/>
        <v>3645.8091000000004</v>
      </c>
      <c r="DP358" s="2141">
        <f t="shared" ref="DP358:DQ358" si="1703">+DP257</f>
        <v>3811.6000000000004</v>
      </c>
      <c r="DQ358" s="2472">
        <f t="shared" si="1703"/>
        <v>4171.7640000000001</v>
      </c>
      <c r="DR358" s="1936">
        <f t="shared" ref="DR358" si="1704">+DR257</f>
        <v>3441.0627499999996</v>
      </c>
      <c r="DS358" s="2141">
        <f t="shared" ref="DS358:DT358" si="1705">+DS257</f>
        <v>3681.7511</v>
      </c>
      <c r="DT358" s="2141">
        <f t="shared" si="1705"/>
        <v>3786.1617000000006</v>
      </c>
      <c r="DU358" s="2472">
        <f t="shared" ref="DU358" si="1706">+DU257</f>
        <v>4482.1000000000004</v>
      </c>
      <c r="DV358" s="2141">
        <f t="shared" ref="DV358" si="1707">+DV257</f>
        <v>3722.7008000000001</v>
      </c>
      <c r="DW358" s="2141">
        <f>+DW257</f>
        <v>3608.116078</v>
      </c>
      <c r="DX358" s="2141">
        <f t="shared" ref="DX358:DY358" si="1708">+DX257</f>
        <v>3738.8346787500009</v>
      </c>
      <c r="DY358" s="2472">
        <f t="shared" si="1708"/>
        <v>4437.2790000000005</v>
      </c>
    </row>
    <row r="359" spans="1:129" s="2141" customFormat="1" ht="15" customHeight="1">
      <c r="A359" s="1943" t="s">
        <v>1501</v>
      </c>
      <c r="P359" s="2141">
        <f>+SUM(CK359:CN359)</f>
        <v>24574.080000000002</v>
      </c>
      <c r="Q359" s="2141">
        <f>+SUM(CO359:CR359)</f>
        <v>25788.080000000002</v>
      </c>
      <c r="R359" s="2141">
        <f>+SUM(CS359:CV359)</f>
        <v>29782.11</v>
      </c>
      <c r="S359" s="2141">
        <f>+SUM(CW359:CZ359)</f>
        <v>27806.454000000002</v>
      </c>
      <c r="T359" s="2141">
        <f>+SUM(DA359:DD359)</f>
        <v>27359.089</v>
      </c>
      <c r="U359" s="2141">
        <f>+SUM(DE359:DH359)</f>
        <v>27337.649000000001</v>
      </c>
      <c r="V359" s="2141">
        <f>+SUM(DF359:DI359)</f>
        <v>30104.053</v>
      </c>
      <c r="W359" s="2141">
        <f>+SUM(DJ359:DM359)</f>
        <v>30108.101000000002</v>
      </c>
      <c r="X359" s="2141">
        <f>+SUM(DN359:DQ359)</f>
        <v>27738.258000000002</v>
      </c>
      <c r="Y359" s="2141">
        <f>+SUM(DR359:DU359)</f>
        <v>25629.671999999999</v>
      </c>
      <c r="Z359" s="2141">
        <f ca="1">+SUM(DV359:DY359)</f>
        <v>25245.352985139947</v>
      </c>
      <c r="AA359" s="2141">
        <f ca="1">+AA360*AA361</f>
        <v>24679.721852462262</v>
      </c>
      <c r="AB359" s="2141">
        <f ca="1">+AB360*AB361</f>
        <v>24537.098043224807</v>
      </c>
      <c r="AC359" s="2141">
        <f t="shared" ref="AC359:AG359" ca="1" si="1709">+AC360*AC361</f>
        <v>24324.387794618036</v>
      </c>
      <c r="AD359" s="2141">
        <f t="shared" ca="1" si="1709"/>
        <v>24053.259213449401</v>
      </c>
      <c r="AE359" s="2141">
        <f t="shared" ca="1" si="1709"/>
        <v>23733.457074499387</v>
      </c>
      <c r="AF359" s="2141">
        <f t="shared" ca="1" si="1709"/>
        <v>23373.121854564946</v>
      </c>
      <c r="AG359" s="2141">
        <f t="shared" ca="1" si="1709"/>
        <v>22979.053151625125</v>
      </c>
      <c r="AH359" s="1936"/>
      <c r="AI359" s="1952"/>
      <c r="AP359" s="1936"/>
      <c r="AT359" s="1936"/>
      <c r="AX359" s="1936"/>
      <c r="BB359" s="1936"/>
      <c r="BF359" s="1936"/>
      <c r="BJ359" s="1936"/>
      <c r="BN359" s="1936"/>
      <c r="BR359" s="1936"/>
      <c r="BV359" s="1936"/>
      <c r="BZ359" s="1936"/>
      <c r="CD359" s="1936"/>
      <c r="CH359" s="1936">
        <f t="shared" ref="CH359:DE359" si="1710">+CH360*CH361</f>
        <v>5618.3419200000008</v>
      </c>
      <c r="CI359" s="2141">
        <f t="shared" si="1710"/>
        <v>5682.4000000000005</v>
      </c>
      <c r="CJ359" s="2141">
        <f t="shared" si="1710"/>
        <v>5817.04</v>
      </c>
      <c r="CK359" s="2141">
        <f t="shared" si="1710"/>
        <v>6003.36</v>
      </c>
      <c r="CL359" s="1936">
        <f t="shared" si="1710"/>
        <v>6110.8</v>
      </c>
      <c r="CM359" s="2141">
        <f t="shared" si="1710"/>
        <v>6188.32</v>
      </c>
      <c r="CN359" s="2141">
        <f t="shared" si="1710"/>
        <v>6271.6</v>
      </c>
      <c r="CO359" s="2141">
        <f t="shared" si="1710"/>
        <v>6349.68</v>
      </c>
      <c r="CP359" s="1936">
        <f t="shared" si="1710"/>
        <v>6439.6</v>
      </c>
      <c r="CQ359" s="2141">
        <f t="shared" si="1710"/>
        <v>6472.96</v>
      </c>
      <c r="CR359" s="2141">
        <f t="shared" si="1710"/>
        <v>6525.84</v>
      </c>
      <c r="CS359" s="2141">
        <f t="shared" si="1710"/>
        <v>7403.13</v>
      </c>
      <c r="CT359" s="1936">
        <f t="shared" si="1710"/>
        <v>7481.25</v>
      </c>
      <c r="CU359" s="2141">
        <f t="shared" si="1710"/>
        <v>7562.79</v>
      </c>
      <c r="CV359" s="2141">
        <f t="shared" si="1710"/>
        <v>7334.94</v>
      </c>
      <c r="CW359" s="2141">
        <f t="shared" si="1710"/>
        <v>8617.5</v>
      </c>
      <c r="CX359" s="1936">
        <f t="shared" si="1710"/>
        <v>6990.56</v>
      </c>
      <c r="CY359" s="2141">
        <f t="shared" si="1710"/>
        <v>6157.4100000000008</v>
      </c>
      <c r="CZ359" s="2141">
        <f t="shared" si="1710"/>
        <v>6040.9840000000004</v>
      </c>
      <c r="DA359" s="2141">
        <f t="shared" si="1710"/>
        <v>8131.86</v>
      </c>
      <c r="DB359" s="1936">
        <f t="shared" si="1710"/>
        <v>6199.51</v>
      </c>
      <c r="DC359" s="2141">
        <f t="shared" si="1710"/>
        <v>6523.02</v>
      </c>
      <c r="DD359" s="2141">
        <f t="shared" si="1710"/>
        <v>6504.6990000000005</v>
      </c>
      <c r="DE359" s="2141">
        <f t="shared" si="1710"/>
        <v>7043.69</v>
      </c>
      <c r="DF359" s="1936">
        <f t="shared" ref="DF359:DM359" si="1711">+DF360*DF361</f>
        <v>6288.88</v>
      </c>
      <c r="DG359" s="2141">
        <f t="shared" si="1711"/>
        <v>6906.3829999999998</v>
      </c>
      <c r="DH359" s="2141">
        <f t="shared" si="1711"/>
        <v>7098.6959999999999</v>
      </c>
      <c r="DI359" s="2472">
        <f t="shared" si="1711"/>
        <v>9810.094000000001</v>
      </c>
      <c r="DJ359" s="1936">
        <f t="shared" si="1711"/>
        <v>6635.1350000000002</v>
      </c>
      <c r="DK359" s="2141">
        <f t="shared" si="1711"/>
        <v>7389.8639999999996</v>
      </c>
      <c r="DL359" s="2141">
        <f t="shared" si="1711"/>
        <v>7261.170000000001</v>
      </c>
      <c r="DM359" s="2472">
        <f t="shared" si="1711"/>
        <v>8821.9320000000007</v>
      </c>
      <c r="DN359" s="2141">
        <f t="shared" ref="DN359:DO359" si="1712">+DN360*DN361</f>
        <v>6178.6240000000007</v>
      </c>
      <c r="DO359" s="2141">
        <f t="shared" si="1712"/>
        <v>5787.2340000000004</v>
      </c>
      <c r="DP359" s="2141">
        <f t="shared" ref="DP359:DQ359" si="1713">+DP360*DP361</f>
        <v>6790.14</v>
      </c>
      <c r="DQ359" s="2472">
        <f t="shared" si="1713"/>
        <v>8982.26</v>
      </c>
      <c r="DR359" s="1936">
        <f t="shared" ref="DR359" si="1714">+DR360*DR361</f>
        <v>5657.3919999999998</v>
      </c>
      <c r="DS359" s="2141">
        <f t="shared" ref="DS359:DT359" si="1715">+DS360*DS361</f>
        <v>6075.0479999999998</v>
      </c>
      <c r="DT359" s="2141">
        <f t="shared" si="1715"/>
        <v>5999.84</v>
      </c>
      <c r="DU359" s="2472">
        <f t="shared" ref="DU359" si="1716">+DU360*DU361</f>
        <v>7897.3919999999998</v>
      </c>
      <c r="DV359" s="2141">
        <f t="shared" ref="DV359" si="1717">+DV360*DV361</f>
        <v>5542.7000000000007</v>
      </c>
      <c r="DW359" s="2141">
        <f t="shared" ref="DW359:DY359" si="1718">+DW360*DW361</f>
        <v>6000.1559999999999</v>
      </c>
      <c r="DX359" s="2141">
        <f t="shared" ca="1" si="1718"/>
        <v>5913.8513558169807</v>
      </c>
      <c r="DY359" s="2472">
        <f t="shared" ca="1" si="1718"/>
        <v>7788.6456293229685</v>
      </c>
    </row>
    <row r="360" spans="1:129" ht="15" customHeight="1">
      <c r="A360" s="1944" t="s">
        <v>1502</v>
      </c>
      <c r="B360" s="2207"/>
      <c r="C360" s="2207"/>
      <c r="D360" s="2207"/>
      <c r="E360" s="2207"/>
      <c r="F360" s="2207"/>
      <c r="G360" s="2207"/>
      <c r="H360" s="2207"/>
      <c r="I360" s="2207"/>
      <c r="J360" s="2207"/>
      <c r="K360" s="2207"/>
      <c r="L360" s="2207"/>
      <c r="M360" s="2207"/>
      <c r="N360" s="2207"/>
      <c r="O360" s="2207"/>
      <c r="P360" s="2207">
        <f t="shared" ref="P360:W360" si="1719">+P359/P254</f>
        <v>0.32171342541074821</v>
      </c>
      <c r="Q360" s="2207">
        <f t="shared" si="1719"/>
        <v>0.3203687185539475</v>
      </c>
      <c r="R360" s="2207">
        <f t="shared" si="1719"/>
        <v>0.35828102255639099</v>
      </c>
      <c r="S360" s="2207">
        <f t="shared" si="1719"/>
        <v>0.31821718431713625</v>
      </c>
      <c r="T360" s="2207">
        <f t="shared" si="1719"/>
        <v>0.29567803955473898</v>
      </c>
      <c r="U360" s="2207">
        <f t="shared" si="1719"/>
        <v>0.28255383868033734</v>
      </c>
      <c r="V360" s="2207">
        <f t="shared" si="1719"/>
        <v>0.294909364315873</v>
      </c>
      <c r="W360" s="2207">
        <f t="shared" si="1719"/>
        <v>0.28263086700210277</v>
      </c>
      <c r="X360" s="2207">
        <f>+X359/X254</f>
        <v>0.25495659766903195</v>
      </c>
      <c r="Y360" s="2207">
        <f>+Y359/Y254</f>
        <v>0.23120204954264167</v>
      </c>
      <c r="Z360" s="2207">
        <f ca="1">+Z359/Z254</f>
        <v>0.22316092172675325</v>
      </c>
      <c r="AA360" s="2526">
        <f ca="1">+Z360-0.005</f>
        <v>0.21816092172675325</v>
      </c>
      <c r="AB360" s="2526">
        <f ca="1">+AA360-0.005</f>
        <v>0.21316092172675324</v>
      </c>
      <c r="AC360" s="2526">
        <f t="shared" ref="AC360:AG360" ca="1" si="1720">+AB360-0.005</f>
        <v>0.20816092172675324</v>
      </c>
      <c r="AD360" s="2526">
        <f t="shared" ca="1" si="1720"/>
        <v>0.20316092172675324</v>
      </c>
      <c r="AE360" s="2526">
        <f t="shared" ca="1" si="1720"/>
        <v>0.19816092172675323</v>
      </c>
      <c r="AF360" s="2526">
        <f t="shared" ca="1" si="1720"/>
        <v>0.19316092172675323</v>
      </c>
      <c r="AG360" s="2526">
        <f t="shared" ca="1" si="1720"/>
        <v>0.18816092172675322</v>
      </c>
      <c r="AH360" s="2201"/>
      <c r="AI360" s="1927"/>
      <c r="AK360" s="2207"/>
      <c r="AL360" s="2207"/>
      <c r="AM360" s="2207"/>
      <c r="AN360" s="2207"/>
      <c r="AO360" s="2207"/>
      <c r="AP360" s="2208"/>
      <c r="AQ360" s="2207"/>
      <c r="AR360" s="2207"/>
      <c r="AS360" s="2207"/>
      <c r="AT360" s="2208"/>
      <c r="AU360" s="2207"/>
      <c r="AV360" s="2207"/>
      <c r="AW360" s="2207"/>
      <c r="AX360" s="2208"/>
      <c r="AY360" s="2207"/>
      <c r="AZ360" s="2207"/>
      <c r="BA360" s="2207"/>
      <c r="BB360" s="2208"/>
      <c r="BC360" s="2207"/>
      <c r="BD360" s="2207"/>
      <c r="BE360" s="2207"/>
      <c r="BF360" s="2208"/>
      <c r="BG360" s="2207"/>
      <c r="BH360" s="2207"/>
      <c r="BI360" s="2207"/>
      <c r="BJ360" s="2208"/>
      <c r="BK360" s="2207"/>
      <c r="BL360" s="2207"/>
      <c r="BM360" s="2207"/>
      <c r="BN360" s="2208"/>
      <c r="BO360" s="2207"/>
      <c r="BP360" s="2207"/>
      <c r="BQ360" s="2207"/>
      <c r="BR360" s="2208"/>
      <c r="BS360" s="2207"/>
      <c r="BT360" s="2207"/>
      <c r="BU360" s="2207"/>
      <c r="BV360" s="2208"/>
      <c r="BW360" s="2207"/>
      <c r="BX360" s="2207"/>
      <c r="BY360" s="2207"/>
      <c r="BZ360" s="2208"/>
      <c r="CA360" s="2207"/>
      <c r="CB360" s="2207"/>
      <c r="CC360" s="2207"/>
      <c r="CD360" s="2208"/>
      <c r="CE360" s="2207"/>
      <c r="CF360" s="2207"/>
      <c r="CG360" s="2574"/>
      <c r="CH360" s="2575">
        <v>0.08</v>
      </c>
      <c r="CI360" s="2574">
        <v>0.08</v>
      </c>
      <c r="CJ360" s="2574">
        <v>0.08</v>
      </c>
      <c r="CK360" s="2574">
        <v>0.08</v>
      </c>
      <c r="CL360" s="2575">
        <v>0.08</v>
      </c>
      <c r="CM360" s="2574">
        <v>0.08</v>
      </c>
      <c r="CN360" s="2574">
        <v>0.08</v>
      </c>
      <c r="CO360" s="2574">
        <v>0.08</v>
      </c>
      <c r="CP360" s="2575">
        <v>0.08</v>
      </c>
      <c r="CQ360" s="2574">
        <v>0.08</v>
      </c>
      <c r="CR360" s="2574">
        <v>0.08</v>
      </c>
      <c r="CS360" s="2574">
        <v>0.09</v>
      </c>
      <c r="CT360" s="2576">
        <v>0.09</v>
      </c>
      <c r="CU360" s="2577">
        <v>0.09</v>
      </c>
      <c r="CV360" s="2577">
        <v>8.5999999999999993E-2</v>
      </c>
      <c r="CW360" s="2577">
        <v>0.1</v>
      </c>
      <c r="CX360" s="2576">
        <v>0.08</v>
      </c>
      <c r="CY360" s="2577">
        <v>7.0000000000000007E-2</v>
      </c>
      <c r="CZ360" s="2577">
        <v>6.8000000000000005E-2</v>
      </c>
      <c r="DA360" s="2577">
        <v>0.09</v>
      </c>
      <c r="DB360" s="2576">
        <v>6.7000000000000004E-2</v>
      </c>
      <c r="DC360" s="2577">
        <v>7.0000000000000007E-2</v>
      </c>
      <c r="DD360" s="2577">
        <v>6.9000000000000006E-2</v>
      </c>
      <c r="DE360" s="2577">
        <v>7.3999999999999996E-2</v>
      </c>
      <c r="DF360" s="2576">
        <v>6.5000000000000002E-2</v>
      </c>
      <c r="DG360" s="2577">
        <v>7.0999999999999994E-2</v>
      </c>
      <c r="DH360" s="2577">
        <v>7.1999999999999995E-2</v>
      </c>
      <c r="DI360" s="2578">
        <v>9.8000000000000004E-2</v>
      </c>
      <c r="DJ360" s="2579">
        <v>6.5000000000000002E-2</v>
      </c>
      <c r="DK360" s="2526">
        <v>7.1999999999999995E-2</v>
      </c>
      <c r="DL360" s="2526">
        <v>7.0000000000000007E-2</v>
      </c>
      <c r="DM360" s="2580">
        <v>8.4000000000000005E-2</v>
      </c>
      <c r="DN360" s="2526">
        <v>5.8000000000000003E-2</v>
      </c>
      <c r="DO360" s="2526">
        <v>5.3999999999999999E-2</v>
      </c>
      <c r="DP360" s="2526">
        <v>6.3E-2</v>
      </c>
      <c r="DQ360" s="2580">
        <v>8.3000000000000004E-2</v>
      </c>
      <c r="DR360" s="2579">
        <v>5.1999999999999998E-2</v>
      </c>
      <c r="DS360" s="2526">
        <v>5.6000000000000001E-2</v>
      </c>
      <c r="DT360" s="2526">
        <v>5.5E-2</v>
      </c>
      <c r="DU360" s="2580">
        <v>7.1999999999999995E-2</v>
      </c>
      <c r="DV360" s="2526">
        <v>0.05</v>
      </c>
      <c r="DW360" s="2526">
        <f>+DS360-0.002</f>
        <v>5.3999999999999999E-2</v>
      </c>
      <c r="DX360" s="2526">
        <f>+DT360-0.002</f>
        <v>5.2999999999999999E-2</v>
      </c>
      <c r="DY360" s="2580">
        <f t="shared" ref="DY360" si="1721">+DU360-0.0025</f>
        <v>6.9499999999999992E-2</v>
      </c>
    </row>
    <row r="361" spans="1:129" s="2141" customFormat="1" ht="15" customHeight="1">
      <c r="A361" s="2581" t="s">
        <v>1503</v>
      </c>
      <c r="P361" s="2141">
        <f t="shared" ref="P361:AB361" si="1722">+O254</f>
        <v>71809.274000000005</v>
      </c>
      <c r="Q361" s="2141">
        <f t="shared" si="1722"/>
        <v>76385</v>
      </c>
      <c r="R361" s="2141">
        <f t="shared" si="1722"/>
        <v>80495</v>
      </c>
      <c r="S361" s="2141">
        <f t="shared" si="1722"/>
        <v>83125</v>
      </c>
      <c r="T361" s="2141">
        <f t="shared" si="1722"/>
        <v>87382</v>
      </c>
      <c r="U361" s="2141">
        <f t="shared" si="1722"/>
        <v>92530</v>
      </c>
      <c r="V361" s="2141">
        <f t="shared" si="1722"/>
        <v>96752</v>
      </c>
      <c r="W361" s="2141">
        <f t="shared" si="1722"/>
        <v>102079</v>
      </c>
      <c r="X361" s="2141">
        <f t="shared" si="1722"/>
        <v>106528</v>
      </c>
      <c r="Y361" s="2141">
        <f t="shared" si="1722"/>
        <v>108796</v>
      </c>
      <c r="Z361" s="2141">
        <f t="shared" si="1722"/>
        <v>110854</v>
      </c>
      <c r="AA361" s="2141">
        <f t="shared" ca="1" si="1722"/>
        <v>113126.22653553708</v>
      </c>
      <c r="AB361" s="2141">
        <f t="shared" ca="1" si="1722"/>
        <v>115110.67715628677</v>
      </c>
      <c r="AC361" s="2141">
        <f t="shared" ref="AC361" ca="1" si="1723">+AB254</f>
        <v>116853.76675333879</v>
      </c>
      <c r="AD361" s="2141">
        <f t="shared" ref="AD361" ca="1" si="1724">+AC254</f>
        <v>118395.107725493</v>
      </c>
      <c r="AE361" s="2141">
        <f t="shared" ref="AE361" ca="1" si="1725">+AD254</f>
        <v>119768.60456485851</v>
      </c>
      <c r="AF361" s="2141">
        <f t="shared" ref="AF361" ca="1" si="1726">+AE254</f>
        <v>121003.36675566669</v>
      </c>
      <c r="AG361" s="2141">
        <f t="shared" ref="AG361" ca="1" si="1727">+AF254</f>
        <v>122124.47165302072</v>
      </c>
      <c r="AH361" s="1936"/>
      <c r="AI361" s="1952"/>
      <c r="AP361" s="1936"/>
      <c r="AT361" s="1936"/>
      <c r="AX361" s="1936"/>
      <c r="BB361" s="1936"/>
      <c r="BF361" s="1936"/>
      <c r="BJ361" s="1936"/>
      <c r="BN361" s="1936"/>
      <c r="BR361" s="1936"/>
      <c r="BV361" s="1936"/>
      <c r="BZ361" s="1936"/>
      <c r="CD361" s="1936"/>
      <c r="CH361" s="1936">
        <f t="shared" ref="CH361:DV361" si="1728">+CG254</f>
        <v>70229.274000000005</v>
      </c>
      <c r="CI361" s="2141">
        <f t="shared" si="1728"/>
        <v>71030</v>
      </c>
      <c r="CJ361" s="2141">
        <f t="shared" si="1728"/>
        <v>72713</v>
      </c>
      <c r="CK361" s="2141">
        <f t="shared" si="1728"/>
        <v>75042</v>
      </c>
      <c r="CL361" s="1936">
        <f t="shared" si="1728"/>
        <v>76385</v>
      </c>
      <c r="CM361" s="2141">
        <f t="shared" si="1728"/>
        <v>77354</v>
      </c>
      <c r="CN361" s="2141">
        <f t="shared" si="1728"/>
        <v>78395</v>
      </c>
      <c r="CO361" s="2141">
        <f t="shared" si="1728"/>
        <v>79371</v>
      </c>
      <c r="CP361" s="1936">
        <f t="shared" si="1728"/>
        <v>80495</v>
      </c>
      <c r="CQ361" s="2141">
        <f t="shared" si="1728"/>
        <v>80912</v>
      </c>
      <c r="CR361" s="2141">
        <f t="shared" si="1728"/>
        <v>81573</v>
      </c>
      <c r="CS361" s="2141">
        <f t="shared" si="1728"/>
        <v>82257</v>
      </c>
      <c r="CT361" s="1936">
        <f t="shared" si="1728"/>
        <v>83125</v>
      </c>
      <c r="CU361" s="2141">
        <f t="shared" si="1728"/>
        <v>84031</v>
      </c>
      <c r="CV361" s="2141">
        <f t="shared" si="1728"/>
        <v>85290</v>
      </c>
      <c r="CW361" s="2141">
        <f t="shared" si="1728"/>
        <v>86175</v>
      </c>
      <c r="CX361" s="1936">
        <f t="shared" si="1728"/>
        <v>87382</v>
      </c>
      <c r="CY361" s="2141">
        <f t="shared" si="1728"/>
        <v>87963</v>
      </c>
      <c r="CZ361" s="2141">
        <f t="shared" si="1728"/>
        <v>88838</v>
      </c>
      <c r="DA361" s="2141">
        <f t="shared" si="1728"/>
        <v>90354</v>
      </c>
      <c r="DB361" s="1936">
        <f t="shared" si="1728"/>
        <v>92530</v>
      </c>
      <c r="DC361" s="2141">
        <f t="shared" si="1728"/>
        <v>93186</v>
      </c>
      <c r="DD361" s="2141">
        <f t="shared" si="1728"/>
        <v>94271</v>
      </c>
      <c r="DE361" s="2141">
        <f t="shared" si="1728"/>
        <v>95185</v>
      </c>
      <c r="DF361" s="1936">
        <f t="shared" si="1728"/>
        <v>96752</v>
      </c>
      <c r="DG361" s="2141">
        <f t="shared" si="1728"/>
        <v>97273</v>
      </c>
      <c r="DH361" s="2141">
        <f t="shared" si="1728"/>
        <v>98593</v>
      </c>
      <c r="DI361" s="2472">
        <f t="shared" si="1728"/>
        <v>100103</v>
      </c>
      <c r="DJ361" s="1936">
        <f t="shared" si="1728"/>
        <v>102079</v>
      </c>
      <c r="DK361" s="2141">
        <f t="shared" si="1728"/>
        <v>102637</v>
      </c>
      <c r="DL361" s="2141">
        <f t="shared" si="1728"/>
        <v>103731</v>
      </c>
      <c r="DM361" s="2472">
        <f t="shared" si="1728"/>
        <v>105023</v>
      </c>
      <c r="DN361" s="2141">
        <f t="shared" si="1728"/>
        <v>106528</v>
      </c>
      <c r="DO361" s="2141">
        <f t="shared" si="1728"/>
        <v>107171</v>
      </c>
      <c r="DP361" s="2141">
        <f t="shared" si="1728"/>
        <v>107780</v>
      </c>
      <c r="DQ361" s="2472">
        <f t="shared" si="1728"/>
        <v>108220</v>
      </c>
      <c r="DR361" s="1936">
        <f t="shared" si="1728"/>
        <v>108796</v>
      </c>
      <c r="DS361" s="2141">
        <f t="shared" si="1728"/>
        <v>108483</v>
      </c>
      <c r="DT361" s="2141">
        <f t="shared" si="1728"/>
        <v>109088</v>
      </c>
      <c r="DU361" s="2472">
        <f t="shared" si="1728"/>
        <v>109686</v>
      </c>
      <c r="DV361" s="2141">
        <f t="shared" si="1728"/>
        <v>110854</v>
      </c>
      <c r="DW361" s="2141">
        <f t="shared" ref="DW361" si="1729">+DV254</f>
        <v>111114</v>
      </c>
      <c r="DX361" s="2141">
        <f t="shared" ref="DX361" ca="1" si="1730">+DW254</f>
        <v>111582.10105315057</v>
      </c>
      <c r="DY361" s="2472">
        <f t="shared" ref="DY361" ca="1" si="1731">+DX254</f>
        <v>112066.84358738085</v>
      </c>
    </row>
    <row r="362" spans="1:129" ht="15" customHeight="1">
      <c r="A362" s="2582"/>
      <c r="B362" s="2207"/>
      <c r="C362" s="2207"/>
      <c r="D362" s="2207"/>
      <c r="E362" s="2207"/>
      <c r="F362" s="2207"/>
      <c r="G362" s="2207"/>
      <c r="H362" s="2207"/>
      <c r="I362" s="2207"/>
      <c r="J362" s="2207"/>
      <c r="K362" s="2207"/>
      <c r="L362" s="2207"/>
      <c r="M362" s="2207"/>
      <c r="N362" s="2207"/>
      <c r="O362" s="2207"/>
      <c r="P362" s="2207"/>
      <c r="Q362" s="2207"/>
      <c r="R362" s="2207"/>
      <c r="S362" s="2207"/>
      <c r="T362" s="2207"/>
      <c r="U362" s="2207"/>
      <c r="V362" s="2207"/>
      <c r="W362" s="2207"/>
      <c r="X362" s="2207"/>
      <c r="Y362" s="2207"/>
      <c r="Z362" s="2207"/>
      <c r="AA362" s="2207"/>
      <c r="AB362" s="2207"/>
      <c r="AC362" s="2207"/>
      <c r="AD362" s="2207"/>
      <c r="AE362" s="2207"/>
      <c r="AF362" s="2207"/>
      <c r="AG362" s="2207"/>
      <c r="AH362" s="2201"/>
      <c r="AI362" s="1927"/>
      <c r="AK362" s="2207"/>
      <c r="AL362" s="2207"/>
      <c r="AM362" s="2207"/>
      <c r="AN362" s="2207"/>
      <c r="AO362" s="2207"/>
      <c r="AP362" s="2208"/>
      <c r="AQ362" s="2207"/>
      <c r="AR362" s="2207"/>
      <c r="AS362" s="2207"/>
      <c r="AT362" s="2208"/>
      <c r="AU362" s="2207"/>
      <c r="AV362" s="2207"/>
      <c r="AW362" s="2207"/>
      <c r="AX362" s="2208"/>
      <c r="AY362" s="2207"/>
      <c r="AZ362" s="2207"/>
      <c r="BA362" s="2207"/>
      <c r="BB362" s="2208"/>
      <c r="BC362" s="2207"/>
      <c r="BD362" s="2207"/>
      <c r="BE362" s="2207"/>
      <c r="BF362" s="2208"/>
      <c r="BG362" s="2207"/>
      <c r="BH362" s="2207"/>
      <c r="BI362" s="2207"/>
      <c r="BJ362" s="2208"/>
      <c r="BK362" s="2207"/>
      <c r="BL362" s="2207"/>
      <c r="BM362" s="2207"/>
      <c r="BN362" s="2208"/>
      <c r="BO362" s="2207"/>
      <c r="BP362" s="2207"/>
      <c r="BQ362" s="2207"/>
      <c r="BR362" s="2208"/>
      <c r="BS362" s="2207"/>
      <c r="BT362" s="2207"/>
      <c r="BU362" s="2207"/>
      <c r="BV362" s="2208"/>
      <c r="BW362" s="2207"/>
      <c r="BX362" s="2207"/>
      <c r="BY362" s="2207"/>
      <c r="BZ362" s="2208"/>
      <c r="CA362" s="2207"/>
      <c r="CB362" s="2207"/>
      <c r="CC362" s="2207"/>
      <c r="CD362" s="2208"/>
      <c r="CE362" s="2207"/>
      <c r="CF362" s="2207"/>
      <c r="CG362" s="2207"/>
      <c r="CH362" s="2208"/>
      <c r="CI362" s="2207"/>
      <c r="CJ362" s="2207"/>
      <c r="CK362" s="2207"/>
      <c r="CL362" s="2208"/>
      <c r="CM362" s="2207"/>
      <c r="CN362" s="2207"/>
      <c r="CO362" s="2207"/>
      <c r="CP362" s="2208"/>
      <c r="CQ362" s="2207"/>
      <c r="CR362" s="2207"/>
      <c r="CS362" s="2207"/>
      <c r="CT362" s="2208"/>
      <c r="CU362" s="2207"/>
      <c r="CV362" s="2207"/>
      <c r="CW362" s="2207"/>
      <c r="CX362" s="2208"/>
      <c r="CY362" s="2207"/>
      <c r="CZ362" s="2207"/>
      <c r="DA362" s="2207"/>
      <c r="DB362" s="2208"/>
      <c r="DC362" s="2207"/>
      <c r="DD362" s="2207"/>
      <c r="DE362" s="2207"/>
      <c r="DF362" s="2208"/>
      <c r="DG362" s="2207"/>
      <c r="DH362" s="2207"/>
      <c r="DI362" s="2209"/>
      <c r="DJ362" s="2208"/>
      <c r="DK362" s="2207"/>
      <c r="DL362" s="2207"/>
      <c r="DM362" s="2209"/>
      <c r="DN362" s="2207"/>
      <c r="DO362" s="2207"/>
      <c r="DP362" s="2207"/>
      <c r="DQ362" s="2209"/>
      <c r="DR362" s="2208"/>
      <c r="DS362" s="2207"/>
      <c r="DT362" s="2207"/>
      <c r="DU362" s="2209"/>
      <c r="DV362" s="2207"/>
      <c r="DW362" s="2207"/>
      <c r="DX362" s="2207"/>
      <c r="DY362" s="2209"/>
    </row>
    <row r="363" spans="1:129" s="2141" customFormat="1" ht="15" customHeight="1">
      <c r="A363" s="1943" t="s">
        <v>1504</v>
      </c>
      <c r="P363" s="2141">
        <f>+SUM(CK363:CN363)</f>
        <v>39019.205350000004</v>
      </c>
      <c r="Q363" s="2141">
        <f>+SUM(CO363:CR363)</f>
        <v>38507.267</v>
      </c>
      <c r="R363" s="2141">
        <f>+SUM(CS363:CV363)</f>
        <v>43415.152549999999</v>
      </c>
      <c r="S363" s="2141">
        <f>+SUM(CW363:CZ363)</f>
        <v>41583.239099999999</v>
      </c>
      <c r="T363" s="2141">
        <f>+SUM(DA363:DD363)</f>
        <v>42795.393349999998</v>
      </c>
      <c r="U363" s="2141">
        <f>+SUM(DE363:DH363)</f>
        <v>44026.79365</v>
      </c>
      <c r="V363" s="2141">
        <f>+SUM(DF363:DI363)</f>
        <v>47899.617050000001</v>
      </c>
      <c r="W363" s="2141">
        <f>+SUM(DJ363:DM363)</f>
        <v>46522.383900000001</v>
      </c>
      <c r="X363" s="2141">
        <f>+SUM(DN363:DQ363)</f>
        <v>43084.6967</v>
      </c>
      <c r="Y363" s="2141">
        <f>+SUM(DR363:DU363)</f>
        <v>41020.74755</v>
      </c>
      <c r="Z363" s="2141">
        <f ca="1">+SUM(DV363:DY363)</f>
        <v>40752.283541889949</v>
      </c>
      <c r="AA363" s="2141">
        <f ca="1">+AA358+AA359</f>
        <v>39876.513798077263</v>
      </c>
      <c r="AB363" s="2141">
        <f ca="1">+AB358+AB359</f>
        <v>39429.954149927507</v>
      </c>
      <c r="AC363" s="2141">
        <f t="shared" ref="AC363:AG363" ca="1" si="1732">+AC358+AC359</f>
        <v>38919.38677918668</v>
      </c>
      <c r="AD363" s="2141">
        <f t="shared" ca="1" si="1732"/>
        <v>38356.35821832667</v>
      </c>
      <c r="AE363" s="2141">
        <f t="shared" ca="1" si="1732"/>
        <v>37750.494099279116</v>
      </c>
      <c r="AF363" s="2141">
        <f t="shared" ca="1" si="1732"/>
        <v>37109.818138849078</v>
      </c>
      <c r="AG363" s="2141">
        <f t="shared" ca="1" si="1732"/>
        <v>36441.015510223573</v>
      </c>
      <c r="AH363" s="1936"/>
      <c r="AI363" s="1952"/>
      <c r="AP363" s="1936"/>
      <c r="AT363" s="1936"/>
      <c r="AX363" s="1936"/>
      <c r="BB363" s="1936"/>
      <c r="BF363" s="1936"/>
      <c r="BJ363" s="1936"/>
      <c r="BN363" s="1936"/>
      <c r="BR363" s="1936"/>
      <c r="BV363" s="1936"/>
      <c r="BZ363" s="1936"/>
      <c r="CD363" s="1936"/>
      <c r="CH363" s="1936">
        <f t="shared" ref="CH363:DE363" si="1733">+CH358+CH359</f>
        <v>9161.9681389000016</v>
      </c>
      <c r="CI363" s="2141">
        <f t="shared" si="1733"/>
        <v>9238.3690500000012</v>
      </c>
      <c r="CJ363" s="2141">
        <f t="shared" si="1733"/>
        <v>9933.6710000000003</v>
      </c>
      <c r="CK363" s="2141">
        <f t="shared" si="1733"/>
        <v>9974.9054999999989</v>
      </c>
      <c r="CL363" s="1936">
        <f t="shared" si="1733"/>
        <v>9652.67605</v>
      </c>
      <c r="CM363" s="2141">
        <f t="shared" si="1733"/>
        <v>9568.5550000000003</v>
      </c>
      <c r="CN363" s="2141">
        <f t="shared" si="1733"/>
        <v>9823.0688000000009</v>
      </c>
      <c r="CO363" s="2141">
        <f t="shared" si="1733"/>
        <v>9973.5695000000014</v>
      </c>
      <c r="CP363" s="1936">
        <f t="shared" si="1733"/>
        <v>9393.7602499999994</v>
      </c>
      <c r="CQ363" s="2141">
        <f t="shared" si="1733"/>
        <v>9400.6257499999992</v>
      </c>
      <c r="CR363" s="2141">
        <f t="shared" si="1733"/>
        <v>9739.3114999999998</v>
      </c>
      <c r="CS363" s="2141">
        <f t="shared" si="1733"/>
        <v>10780.667300000001</v>
      </c>
      <c r="CT363" s="1936">
        <f t="shared" si="1733"/>
        <v>10919.663399999999</v>
      </c>
      <c r="CU363" s="2141">
        <f t="shared" si="1733"/>
        <v>11080.225350000001</v>
      </c>
      <c r="CV363" s="2141">
        <f t="shared" si="1733"/>
        <v>10634.5965</v>
      </c>
      <c r="CW363" s="2141">
        <f t="shared" si="1733"/>
        <v>12271.653699999999</v>
      </c>
      <c r="CX363" s="1936">
        <f t="shared" si="1733"/>
        <v>10016.528</v>
      </c>
      <c r="CY363" s="2141">
        <f t="shared" si="1733"/>
        <v>9273.1026000000002</v>
      </c>
      <c r="CZ363" s="2141">
        <f t="shared" si="1733"/>
        <v>10021.9548</v>
      </c>
      <c r="DA363" s="2141">
        <f t="shared" si="1733"/>
        <v>12837.956999999999</v>
      </c>
      <c r="DB363" s="1936">
        <f t="shared" si="1733"/>
        <v>9690.1074000000008</v>
      </c>
      <c r="DC363" s="2141">
        <f t="shared" si="1733"/>
        <v>10079.04515</v>
      </c>
      <c r="DD363" s="2141">
        <f t="shared" si="1733"/>
        <v>10188.283800000001</v>
      </c>
      <c r="DE363" s="2141">
        <f t="shared" si="1733"/>
        <v>11380.5828</v>
      </c>
      <c r="DF363" s="1936">
        <f t="shared" ref="DF363:DL363" si="1734">+DF358+DF359</f>
        <v>9941.9812500000007</v>
      </c>
      <c r="DG363" s="2141">
        <f t="shared" si="1734"/>
        <v>11109.0936</v>
      </c>
      <c r="DH363" s="2141">
        <f t="shared" si="1734"/>
        <v>11595.136</v>
      </c>
      <c r="DI363" s="2472">
        <f t="shared" si="1734"/>
        <v>15253.406200000001</v>
      </c>
      <c r="DJ363" s="1936">
        <f t="shared" si="1734"/>
        <v>10362.9972</v>
      </c>
      <c r="DK363" s="2141">
        <f t="shared" si="1734"/>
        <v>11309.831999999999</v>
      </c>
      <c r="DL363" s="2141">
        <f t="shared" si="1734"/>
        <v>11462.2883</v>
      </c>
      <c r="DM363" s="2472">
        <f t="shared" ref="DM363:DQ363" si="1735">+DM358+DM359</f>
        <v>13387.2664</v>
      </c>
      <c r="DN363" s="2141">
        <f t="shared" si="1735"/>
        <v>9895.8896000000004</v>
      </c>
      <c r="DO363" s="2141">
        <f t="shared" si="1735"/>
        <v>9433.0431000000008</v>
      </c>
      <c r="DP363" s="2141">
        <f t="shared" si="1735"/>
        <v>10601.740000000002</v>
      </c>
      <c r="DQ363" s="2472">
        <f t="shared" si="1735"/>
        <v>13154.024000000001</v>
      </c>
      <c r="DR363" s="1936">
        <f t="shared" ref="DR363" si="1736">+DR358+DR359</f>
        <v>9098.454749999999</v>
      </c>
      <c r="DS363" s="2141">
        <f t="shared" ref="DS363:DT363" si="1737">+DS358+DS359</f>
        <v>9756.7991000000002</v>
      </c>
      <c r="DT363" s="2141">
        <f t="shared" si="1737"/>
        <v>9786.0017000000007</v>
      </c>
      <c r="DU363" s="2472">
        <f t="shared" ref="DU363" si="1738">+DU358+DU359</f>
        <v>12379.492</v>
      </c>
      <c r="DV363" s="2141">
        <f t="shared" ref="DV363" si="1739">+DV358+DV359</f>
        <v>9265.4008000000013</v>
      </c>
      <c r="DW363" s="2141">
        <f t="shared" ref="DW363:DY363" si="1740">+DW358+DW359</f>
        <v>9608.272078</v>
      </c>
      <c r="DX363" s="2141">
        <f t="shared" ca="1" si="1740"/>
        <v>9652.6860345669811</v>
      </c>
      <c r="DY363" s="2472">
        <f t="shared" ca="1" si="1740"/>
        <v>12225.92462932297</v>
      </c>
    </row>
    <row r="364" spans="1:129" s="2141" customFormat="1" ht="15" customHeight="1">
      <c r="A364" s="1943" t="s">
        <v>1505</v>
      </c>
      <c r="R364" s="2141">
        <f>+SUM(CS364:CV364)</f>
        <v>29133.233208333339</v>
      </c>
      <c r="S364" s="2141">
        <f>+SUM(CW364:CZ364)</f>
        <v>36738.776135704757</v>
      </c>
      <c r="T364" s="2141">
        <f>+SUM(DA364:DD364)</f>
        <v>37854.298918777327</v>
      </c>
      <c r="U364" s="2141">
        <f>+SUM(DE364:DH364)</f>
        <v>37276.566074265575</v>
      </c>
      <c r="V364" s="2141">
        <f>+SUM(DF364:DI364)</f>
        <v>39821.611281597412</v>
      </c>
      <c r="W364" s="2141">
        <f>+SUM(DJ364:DM364)</f>
        <v>39246.597020000001</v>
      </c>
      <c r="X364" s="2141">
        <f>+SUM(DN364:DQ364)</f>
        <v>35629.741583000003</v>
      </c>
      <c r="Y364" s="2141">
        <f>+SUM(DR364:DU364)</f>
        <v>33637.012990999996</v>
      </c>
      <c r="Z364" s="2141">
        <f ca="1">+SUM(DV364:DY364)</f>
        <v>32929.783923687479</v>
      </c>
      <c r="AA364" s="2141">
        <f ca="1">+AA363*AA365</f>
        <v>32222.120305254641</v>
      </c>
      <c r="AB364" s="2141">
        <f ca="1">+AB363*AB365</f>
        <v>31861.278864124262</v>
      </c>
      <c r="AC364" s="2141">
        <f t="shared" ref="AC364:AG364" ca="1" si="1741">+AC363*AC365</f>
        <v>31448.716137922711</v>
      </c>
      <c r="AD364" s="2141">
        <f t="shared" ca="1" si="1741"/>
        <v>30993.762274222609</v>
      </c>
      <c r="AE364" s="2141">
        <f t="shared" ca="1" si="1741"/>
        <v>30504.19524157171</v>
      </c>
      <c r="AF364" s="2141">
        <f t="shared" ca="1" si="1741"/>
        <v>29986.498584883113</v>
      </c>
      <c r="AG364" s="2141">
        <f t="shared" ca="1" si="1741"/>
        <v>29446.074242144288</v>
      </c>
      <c r="AH364" s="1936"/>
      <c r="AI364" s="1952"/>
      <c r="AP364" s="1936"/>
      <c r="AT364" s="1936"/>
      <c r="AX364" s="1936"/>
      <c r="BB364" s="1936"/>
      <c r="BF364" s="1936"/>
      <c r="BJ364" s="1936"/>
      <c r="BN364" s="1936"/>
      <c r="BR364" s="1936"/>
      <c r="BV364" s="1936"/>
      <c r="BZ364" s="1936"/>
      <c r="CD364" s="1936"/>
      <c r="CH364" s="1936"/>
      <c r="CL364" s="1936"/>
      <c r="CP364" s="1936"/>
      <c r="CT364" s="1936">
        <f>+CT363*CT365</f>
        <v>9827.6970600000004</v>
      </c>
      <c r="CU364" s="2141">
        <f>+CU363*CU365</f>
        <v>9972.2028150000006</v>
      </c>
      <c r="CV364" s="2141">
        <f t="shared" ref="CV364:DG364" si="1742">+CV370/CV371</f>
        <v>9333.3333333333339</v>
      </c>
      <c r="CW364" s="2141">
        <f t="shared" si="1742"/>
        <v>11000</v>
      </c>
      <c r="CX364" s="1936">
        <f t="shared" si="1742"/>
        <v>8701.6574585635353</v>
      </c>
      <c r="CY364" s="2141">
        <f t="shared" si="1742"/>
        <v>8240.2234636871508</v>
      </c>
      <c r="CZ364" s="2141">
        <f t="shared" si="1742"/>
        <v>8796.8952134540741</v>
      </c>
      <c r="DA364" s="2141">
        <f t="shared" si="1742"/>
        <v>11475.409836065573</v>
      </c>
      <c r="DB364" s="1936">
        <f t="shared" si="1742"/>
        <v>8540.9252669039142</v>
      </c>
      <c r="DC364" s="2141">
        <f t="shared" si="1742"/>
        <v>8886.2559241706167</v>
      </c>
      <c r="DD364" s="2141">
        <f t="shared" si="1742"/>
        <v>8951.7078916372211</v>
      </c>
      <c r="DE364" s="2141">
        <f t="shared" si="1742"/>
        <v>9898.7626546681659</v>
      </c>
      <c r="DF364" s="1936">
        <f t="shared" si="1742"/>
        <v>8435.0721420643731</v>
      </c>
      <c r="DG364" s="2141">
        <f t="shared" si="1742"/>
        <v>9140.9691629955942</v>
      </c>
      <c r="DH364" s="2141">
        <f>+DH370/DH371</f>
        <v>9801.7621145374451</v>
      </c>
      <c r="DI364" s="2583">
        <f>+DI358*(0.55+0.06)+DI359*0.93</f>
        <v>12443.807862000001</v>
      </c>
      <c r="DJ364" s="1936">
        <f t="shared" ref="DJ364:DM364" si="1743">+DJ363*DJ365</f>
        <v>8704.9176479999987</v>
      </c>
      <c r="DK364" s="2141">
        <f t="shared" si="1743"/>
        <v>9613.3571999999986</v>
      </c>
      <c r="DL364" s="2141">
        <f t="shared" si="1743"/>
        <v>9628.3221720000001</v>
      </c>
      <c r="DM364" s="2472">
        <f t="shared" si="1743"/>
        <v>11300</v>
      </c>
      <c r="DN364" s="2141">
        <f t="shared" ref="DN364:DO364" si="1744">+DN363*DN365</f>
        <v>8114.6294719999996</v>
      </c>
      <c r="DO364" s="2141">
        <f t="shared" si="1744"/>
        <v>7640.7649110000011</v>
      </c>
      <c r="DP364" s="2141">
        <f t="shared" ref="DP364:DQ364" si="1745">+DP363*DP365</f>
        <v>8693.4268000000011</v>
      </c>
      <c r="DQ364" s="2472">
        <f t="shared" si="1745"/>
        <v>11180.920400000001</v>
      </c>
      <c r="DR364" s="1936">
        <f t="shared" ref="DR364" si="1746">+DR363*DR365</f>
        <v>7460.7328949999983</v>
      </c>
      <c r="DS364" s="2141">
        <f t="shared" ref="DS364:DT364" si="1747">+DS363*DS365</f>
        <v>8000.5752619999994</v>
      </c>
      <c r="DT364" s="2141">
        <f t="shared" si="1747"/>
        <v>8024.5213940000003</v>
      </c>
      <c r="DU364" s="2472">
        <f t="shared" ref="DU364" si="1748">+DU363*DU365</f>
        <v>10151.183439999999</v>
      </c>
      <c r="DV364" s="2141">
        <f t="shared" ref="DV364" si="1749">+DV363*DV365</f>
        <v>7412.3206400000017</v>
      </c>
      <c r="DW364" s="2141">
        <f t="shared" ref="DW364:DY364" si="1750">+DW363*DW365</f>
        <v>7734.6590227900006</v>
      </c>
      <c r="DX364" s="2141">
        <f t="shared" ca="1" si="1750"/>
        <v>7818.6756879992554</v>
      </c>
      <c r="DY364" s="2472">
        <f t="shared" ca="1" si="1750"/>
        <v>9964.1285728982202</v>
      </c>
    </row>
    <row r="365" spans="1:129" s="2213" customFormat="1" ht="15" customHeight="1">
      <c r="A365" s="1929" t="s">
        <v>1506</v>
      </c>
      <c r="R365" s="2213">
        <f t="shared" ref="R365:W365" si="1751">+R364/R363</f>
        <v>0.67103837018150336</v>
      </c>
      <c r="S365" s="2213">
        <f t="shared" si="1751"/>
        <v>0.88349962462892306</v>
      </c>
      <c r="T365" s="2213">
        <f t="shared" si="1751"/>
        <v>0.88454144139271773</v>
      </c>
      <c r="U365" s="2213">
        <f t="shared" si="1751"/>
        <v>0.84667910115379419</v>
      </c>
      <c r="V365" s="2213">
        <f t="shared" si="1751"/>
        <v>0.83135552503540133</v>
      </c>
      <c r="W365" s="2213">
        <f t="shared" si="1751"/>
        <v>0.84360674862149532</v>
      </c>
      <c r="X365" s="2213">
        <f>+X364/X363</f>
        <v>0.82696976680817624</v>
      </c>
      <c r="Y365" s="2213">
        <f>+Y364/Y363</f>
        <v>0.82</v>
      </c>
      <c r="Z365" s="2213">
        <f ca="1">+Z364/Z363</f>
        <v>0.80804757578402708</v>
      </c>
      <c r="AA365" s="2584">
        <f ca="1">+Z365</f>
        <v>0.80804757578402708</v>
      </c>
      <c r="AB365" s="2584">
        <f ca="1">+AA365</f>
        <v>0.80804757578402708</v>
      </c>
      <c r="AC365" s="2584">
        <f t="shared" ref="AC365:AG365" ca="1" si="1752">+AB365</f>
        <v>0.80804757578402708</v>
      </c>
      <c r="AD365" s="2584">
        <f t="shared" ca="1" si="1752"/>
        <v>0.80804757578402708</v>
      </c>
      <c r="AE365" s="2584">
        <f t="shared" ca="1" si="1752"/>
        <v>0.80804757578402708</v>
      </c>
      <c r="AF365" s="2584">
        <f t="shared" ca="1" si="1752"/>
        <v>0.80804757578402708</v>
      </c>
      <c r="AG365" s="2584">
        <f t="shared" ca="1" si="1752"/>
        <v>0.80804757578402708</v>
      </c>
      <c r="AH365" s="2212"/>
      <c r="AI365" s="1973"/>
      <c r="AP365" s="2212"/>
      <c r="AT365" s="2212"/>
      <c r="AX365" s="2212"/>
      <c r="BB365" s="2212"/>
      <c r="BF365" s="2212"/>
      <c r="BJ365" s="2212"/>
      <c r="BN365" s="2212"/>
      <c r="BR365" s="2212"/>
      <c r="BV365" s="2212"/>
      <c r="BZ365" s="2212"/>
      <c r="CD365" s="2212"/>
      <c r="CH365" s="2212"/>
      <c r="CL365" s="2212"/>
      <c r="CP365" s="2212"/>
      <c r="CT365" s="2585">
        <v>0.9</v>
      </c>
      <c r="CU365" s="2586">
        <v>0.9</v>
      </c>
      <c r="CV365" s="2213">
        <f t="shared" ref="CV365:DF365" si="1753">+CV364/CV363</f>
        <v>0.87763868928485766</v>
      </c>
      <c r="CW365" s="2213">
        <f t="shared" si="1753"/>
        <v>0.89637470783583151</v>
      </c>
      <c r="CX365" s="2212">
        <f t="shared" si="1753"/>
        <v>0.86872990906265479</v>
      </c>
      <c r="CY365" s="2213">
        <f t="shared" si="1753"/>
        <v>0.88861558198300861</v>
      </c>
      <c r="CZ365" s="2213">
        <f t="shared" si="1753"/>
        <v>0.87776241152614998</v>
      </c>
      <c r="DA365" s="2213">
        <f t="shared" si="1753"/>
        <v>0.89386573237981515</v>
      </c>
      <c r="DB365" s="2212">
        <f t="shared" si="1753"/>
        <v>0.88140666706169979</v>
      </c>
      <c r="DC365" s="2213">
        <f t="shared" si="1753"/>
        <v>0.88165652518885851</v>
      </c>
      <c r="DD365" s="2213">
        <f t="shared" si="1753"/>
        <v>0.87862765381910746</v>
      </c>
      <c r="DE365" s="2213">
        <f t="shared" si="1753"/>
        <v>0.86979400164534326</v>
      </c>
      <c r="DF365" s="2212">
        <f t="shared" si="1753"/>
        <v>0.84842969725620565</v>
      </c>
      <c r="DG365" s="2213">
        <f>+DG364/DG363</f>
        <v>0.82283663205390534</v>
      </c>
      <c r="DH365" s="2213">
        <f>+DH364/DH363</f>
        <v>0.84533394990256649</v>
      </c>
      <c r="DI365" s="2587">
        <f>+DI364/DI363</f>
        <v>0.81580518468065188</v>
      </c>
      <c r="DJ365" s="2588">
        <v>0.84</v>
      </c>
      <c r="DK365" s="2584">
        <v>0.85</v>
      </c>
      <c r="DL365" s="2584">
        <v>0.84</v>
      </c>
      <c r="DM365" s="2589">
        <f>11300/DM363</f>
        <v>0.84408569026459346</v>
      </c>
      <c r="DN365" s="2584">
        <v>0.82</v>
      </c>
      <c r="DO365" s="2584">
        <v>0.81</v>
      </c>
      <c r="DP365" s="2584">
        <v>0.82</v>
      </c>
      <c r="DQ365" s="2589">
        <v>0.85</v>
      </c>
      <c r="DR365" s="2588">
        <v>0.82</v>
      </c>
      <c r="DS365" s="2584">
        <v>0.82</v>
      </c>
      <c r="DT365" s="2584">
        <v>0.82</v>
      </c>
      <c r="DU365" s="2589">
        <v>0.82</v>
      </c>
      <c r="DV365" s="2584">
        <v>0.8</v>
      </c>
      <c r="DW365" s="2584">
        <f t="shared" ref="DW365" si="1754">+DV365+0.005</f>
        <v>0.80500000000000005</v>
      </c>
      <c r="DX365" s="2584">
        <f t="shared" ref="DX365" si="1755">+DW365+0.005</f>
        <v>0.81</v>
      </c>
      <c r="DY365" s="2589">
        <f t="shared" ref="DY365" si="1756">+DX365+0.005</f>
        <v>0.81500000000000006</v>
      </c>
    </row>
    <row r="366" spans="1:129" ht="15" customHeight="1">
      <c r="A366" s="2582"/>
      <c r="B366" s="2207"/>
      <c r="C366" s="2207"/>
      <c r="D366" s="2207"/>
      <c r="E366" s="2207"/>
      <c r="F366" s="2207"/>
      <c r="G366" s="2207"/>
      <c r="H366" s="2207"/>
      <c r="I366" s="2207"/>
      <c r="J366" s="2207"/>
      <c r="K366" s="2207"/>
      <c r="L366" s="2207"/>
      <c r="M366" s="2207"/>
      <c r="N366" s="2207"/>
      <c r="O366" s="2207"/>
      <c r="P366" s="2207"/>
      <c r="Q366" s="2207"/>
      <c r="R366" s="2207"/>
      <c r="S366" s="2207"/>
      <c r="T366" s="2207"/>
      <c r="U366" s="2207"/>
      <c r="V366" s="2207"/>
      <c r="W366" s="2207"/>
      <c r="X366" s="2207"/>
      <c r="Y366" s="2207"/>
      <c r="Z366" s="2207"/>
      <c r="AA366" s="2207"/>
      <c r="AB366" s="2207"/>
      <c r="AC366" s="2207"/>
      <c r="AD366" s="2207"/>
      <c r="AE366" s="2207"/>
      <c r="AF366" s="2207"/>
      <c r="AG366" s="2207"/>
      <c r="AH366" s="2201"/>
      <c r="AI366" s="1927"/>
      <c r="AK366" s="2207"/>
      <c r="AL366" s="2207"/>
      <c r="AM366" s="2207"/>
      <c r="AN366" s="2207"/>
      <c r="AO366" s="2207"/>
      <c r="AP366" s="2208"/>
      <c r="AQ366" s="2207"/>
      <c r="AR366" s="2207"/>
      <c r="AS366" s="2207"/>
      <c r="AT366" s="2208"/>
      <c r="AU366" s="2207"/>
      <c r="AV366" s="2207"/>
      <c r="AW366" s="2207"/>
      <c r="AX366" s="2208"/>
      <c r="AY366" s="2207"/>
      <c r="AZ366" s="2207"/>
      <c r="BA366" s="2207"/>
      <c r="BB366" s="2208"/>
      <c r="BC366" s="2207"/>
      <c r="BD366" s="2207"/>
      <c r="BE366" s="2207"/>
      <c r="BF366" s="2208"/>
      <c r="BG366" s="2207"/>
      <c r="BH366" s="2207"/>
      <c r="BI366" s="2207"/>
      <c r="BJ366" s="2208"/>
      <c r="BK366" s="2207"/>
      <c r="BL366" s="2207"/>
      <c r="BM366" s="2207"/>
      <c r="BN366" s="2208"/>
      <c r="BO366" s="2207"/>
      <c r="BP366" s="2207"/>
      <c r="BQ366" s="2207"/>
      <c r="BR366" s="2208"/>
      <c r="BS366" s="2207"/>
      <c r="BT366" s="2207"/>
      <c r="BU366" s="2207"/>
      <c r="BV366" s="2208"/>
      <c r="BW366" s="2207"/>
      <c r="BX366" s="2207"/>
      <c r="BY366" s="2207"/>
      <c r="BZ366" s="2208"/>
      <c r="CA366" s="2207"/>
      <c r="CB366" s="2207"/>
      <c r="CC366" s="2207"/>
      <c r="CD366" s="2208"/>
      <c r="CE366" s="2207"/>
      <c r="CF366" s="2207"/>
      <c r="CG366" s="2207"/>
      <c r="CH366" s="2208"/>
      <c r="CI366" s="2207"/>
      <c r="CJ366" s="2207"/>
      <c r="CK366" s="2207"/>
      <c r="CL366" s="2208"/>
      <c r="CM366" s="2207"/>
      <c r="CN366" s="2207"/>
      <c r="CO366" s="2207"/>
      <c r="CP366" s="2208"/>
      <c r="CQ366" s="2207"/>
      <c r="CR366" s="2207"/>
      <c r="CS366" s="2207"/>
      <c r="CT366" s="2208"/>
      <c r="CU366" s="2207"/>
      <c r="CV366" s="2207"/>
      <c r="CW366" s="2207"/>
      <c r="CX366" s="2208"/>
      <c r="CY366" s="2207"/>
      <c r="CZ366" s="2207"/>
      <c r="DA366" s="2207"/>
      <c r="DB366" s="2208"/>
      <c r="DC366" s="2207"/>
      <c r="DD366" s="2207"/>
      <c r="DE366" s="2207"/>
      <c r="DF366" s="2208"/>
      <c r="DG366" s="2207"/>
      <c r="DH366" s="2207"/>
      <c r="DI366" s="2209"/>
      <c r="DJ366" s="2208"/>
      <c r="DK366" s="2207"/>
      <c r="DL366" s="2207"/>
      <c r="DM366" s="2209"/>
      <c r="DN366" s="2207"/>
      <c r="DO366" s="2207"/>
      <c r="DP366" s="2207"/>
      <c r="DQ366" s="2209"/>
      <c r="DR366" s="2208"/>
      <c r="DS366" s="2207"/>
      <c r="DT366" s="2207"/>
      <c r="DU366" s="2209"/>
      <c r="DV366" s="2207"/>
      <c r="DW366" s="2207"/>
      <c r="DX366" s="2207"/>
      <c r="DY366" s="2209"/>
    </row>
    <row r="367" spans="1:129" s="2141" customFormat="1" ht="15" customHeight="1">
      <c r="A367" s="3147" t="s">
        <v>1683</v>
      </c>
      <c r="T367" s="2141">
        <f>+SUM(CX367:DA367)</f>
        <v>1097</v>
      </c>
      <c r="U367" s="2141">
        <f>+SUM(DB367:DE367)</f>
        <v>1679</v>
      </c>
      <c r="V367" s="2141">
        <f>+SUM(DF367:DI367)</f>
        <v>4207</v>
      </c>
      <c r="W367" s="2141">
        <f>+SUM(DJ367:DM367)</f>
        <v>3415</v>
      </c>
      <c r="X367" s="2141">
        <f>+SUM(DN367:DQ367)</f>
        <v>1280</v>
      </c>
      <c r="Y367" s="2141">
        <f>+SUM(DR367:DU367)</f>
        <v>1073</v>
      </c>
      <c r="Z367" s="2141">
        <f>+SUM(DV367:DY367)</f>
        <v>1479.2</v>
      </c>
      <c r="AA367" s="2500">
        <f>+Z367-25</f>
        <v>1454.2</v>
      </c>
      <c r="AB367" s="2500">
        <f t="shared" ref="AB367:AG367" si="1757">+AA367-25</f>
        <v>1429.2</v>
      </c>
      <c r="AC367" s="2500">
        <f t="shared" si="1757"/>
        <v>1404.2</v>
      </c>
      <c r="AD367" s="2500">
        <f t="shared" si="1757"/>
        <v>1379.2</v>
      </c>
      <c r="AE367" s="2500">
        <f t="shared" si="1757"/>
        <v>1354.2</v>
      </c>
      <c r="AF367" s="2500">
        <f t="shared" si="1757"/>
        <v>1329.2</v>
      </c>
      <c r="AG367" s="2500">
        <f t="shared" si="1757"/>
        <v>1304.2</v>
      </c>
      <c r="AH367" s="1936"/>
      <c r="AI367" s="1952"/>
      <c r="AP367" s="1936"/>
      <c r="AT367" s="1936"/>
      <c r="AX367" s="1936"/>
      <c r="BB367" s="1936"/>
      <c r="BF367" s="1936"/>
      <c r="BJ367" s="1936"/>
      <c r="BN367" s="1936"/>
      <c r="BR367" s="1936"/>
      <c r="BV367" s="1936"/>
      <c r="BZ367" s="1936"/>
      <c r="CD367" s="1936"/>
      <c r="CH367" s="1936"/>
      <c r="CL367" s="1936"/>
      <c r="CP367" s="1936"/>
      <c r="CT367" s="1936"/>
      <c r="CX367" s="2590">
        <v>196</v>
      </c>
      <c r="CY367" s="2591">
        <v>214</v>
      </c>
      <c r="CZ367" s="2591">
        <v>249</v>
      </c>
      <c r="DA367" s="2591">
        <v>438</v>
      </c>
      <c r="DB367" s="2590">
        <v>313</v>
      </c>
      <c r="DC367" s="2591">
        <v>371</v>
      </c>
      <c r="DD367" s="2591">
        <v>370</v>
      </c>
      <c r="DE367" s="2591">
        <v>625</v>
      </c>
      <c r="DF367" s="2590">
        <v>634</v>
      </c>
      <c r="DG367" s="2141">
        <f>+DG119-DG368</f>
        <v>1137</v>
      </c>
      <c r="DH367" s="2141">
        <f>+DH119-DH368</f>
        <v>1059</v>
      </c>
      <c r="DI367" s="2592">
        <v>1377</v>
      </c>
      <c r="DJ367" s="2593">
        <v>785</v>
      </c>
      <c r="DK367" s="2500">
        <v>852</v>
      </c>
      <c r="DL367" s="2500">
        <v>818</v>
      </c>
      <c r="DM367" s="2594">
        <v>960</v>
      </c>
      <c r="DN367" s="2500">
        <v>507</v>
      </c>
      <c r="DO367" s="2500">
        <v>356</v>
      </c>
      <c r="DP367" s="2500">
        <v>221</v>
      </c>
      <c r="DQ367" s="2594">
        <v>196</v>
      </c>
      <c r="DR367" s="2593">
        <v>-255</v>
      </c>
      <c r="DS367" s="3227">
        <f>+DS119-DS368</f>
        <v>256</v>
      </c>
      <c r="DT367" s="3227">
        <f>+DT119-DT368</f>
        <v>329</v>
      </c>
      <c r="DU367" s="2973">
        <f>+DU119-DU368</f>
        <v>743</v>
      </c>
      <c r="DV367" s="3227">
        <f>+DV119-DV368</f>
        <v>284</v>
      </c>
      <c r="DW367" s="2500">
        <f>+DS367*0.9</f>
        <v>230.4</v>
      </c>
      <c r="DX367" s="2500">
        <f t="shared" ref="DX367:DY367" si="1758">+DT367*0.9</f>
        <v>296.10000000000002</v>
      </c>
      <c r="DY367" s="2594">
        <f t="shared" si="1758"/>
        <v>668.7</v>
      </c>
    </row>
    <row r="368" spans="1:129" s="2141" customFormat="1" ht="15" customHeight="1">
      <c r="A368" s="2581" t="s">
        <v>1507</v>
      </c>
      <c r="T368" s="2141">
        <f>+SUM(CX368:DA368)</f>
        <v>3927</v>
      </c>
      <c r="U368" s="2141">
        <f>+SUM(DB368:DE368)</f>
        <v>2141</v>
      </c>
      <c r="V368" s="2141">
        <f>+SUM(DF368:DI368)</f>
        <v>1282</v>
      </c>
      <c r="W368" s="2141">
        <f>+SUM(DJ368:DM368)</f>
        <v>1062</v>
      </c>
      <c r="X368" s="2141">
        <f>+SUM(DN368:DQ368)</f>
        <v>209</v>
      </c>
      <c r="Y368" s="2141">
        <f>+SUM(DR368:DU368)</f>
        <v>774</v>
      </c>
      <c r="Z368" s="2141">
        <f ca="1">+SUM(DV368:DY368)</f>
        <v>793.02653553707637</v>
      </c>
      <c r="AA368" s="2141">
        <f ca="1">+AA255-AA367</f>
        <v>530.2506207496906</v>
      </c>
      <c r="AB368" s="2141">
        <f ca="1">+AB255-AB367</f>
        <v>313.88959705201773</v>
      </c>
      <c r="AC368" s="2141">
        <f t="shared" ref="AC368:AF368" ca="1" si="1759">+AC255-AC367</f>
        <v>137.14097215421566</v>
      </c>
      <c r="AD368" s="2141">
        <f t="shared" ca="1" si="1759"/>
        <v>-5.7031606344783086</v>
      </c>
      <c r="AE368" s="2141">
        <f t="shared" ca="1" si="1759"/>
        <v>-119.43780919182359</v>
      </c>
      <c r="AF368" s="2141">
        <f t="shared" ca="1" si="1759"/>
        <v>-208.09510264595997</v>
      </c>
      <c r="AG368" s="2141">
        <f ca="1">+AG255-AG367</f>
        <v>-275.06835206619257</v>
      </c>
      <c r="AH368" s="1936"/>
      <c r="AI368" s="1952"/>
      <c r="AP368" s="1936"/>
      <c r="AT368" s="1936"/>
      <c r="AX368" s="1936"/>
      <c r="BB368" s="1936"/>
      <c r="BF368" s="1936"/>
      <c r="BJ368" s="1936"/>
      <c r="BN368" s="1936"/>
      <c r="BR368" s="1936"/>
      <c r="BV368" s="1936"/>
      <c r="BZ368" s="1936"/>
      <c r="CD368" s="1936"/>
      <c r="CH368" s="1936"/>
      <c r="CL368" s="1936"/>
      <c r="CP368" s="1936"/>
      <c r="CT368" s="1936"/>
      <c r="CX368" s="1936">
        <f>+CX119-CX367</f>
        <v>305</v>
      </c>
      <c r="CY368" s="2141">
        <f>+CY119-CY367</f>
        <v>674</v>
      </c>
      <c r="CZ368" s="2141">
        <f>+CZ119-CZ367</f>
        <v>1286</v>
      </c>
      <c r="DA368" s="2141">
        <f>+DA119-DA367</f>
        <v>1662</v>
      </c>
      <c r="DB368" s="1936">
        <f>+DB119-DB367</f>
        <v>364</v>
      </c>
      <c r="DC368" s="2591">
        <v>472</v>
      </c>
      <c r="DD368" s="2591">
        <v>481</v>
      </c>
      <c r="DE368" s="2591">
        <v>824</v>
      </c>
      <c r="DF368" s="2590">
        <v>-151</v>
      </c>
      <c r="DG368" s="2591">
        <v>304</v>
      </c>
      <c r="DH368" s="2591">
        <v>457</v>
      </c>
      <c r="DI368" s="2592">
        <v>672</v>
      </c>
      <c r="DJ368" s="2593">
        <f>247-385</f>
        <v>-138</v>
      </c>
      <c r="DK368" s="2500">
        <v>321</v>
      </c>
      <c r="DL368" s="2500">
        <v>430</v>
      </c>
      <c r="DM368" s="2594">
        <v>449</v>
      </c>
      <c r="DN368" s="2500">
        <v>-8</v>
      </c>
      <c r="DO368" s="2500">
        <v>86</v>
      </c>
      <c r="DP368" s="2500">
        <v>-36</v>
      </c>
      <c r="DQ368" s="2594">
        <v>167</v>
      </c>
      <c r="DR368" s="2593">
        <f>-398+109</f>
        <v>-289</v>
      </c>
      <c r="DS368" s="2500">
        <v>358</v>
      </c>
      <c r="DT368" s="2500">
        <v>274</v>
      </c>
      <c r="DU368" s="2594">
        <v>431</v>
      </c>
      <c r="DV368" s="2500">
        <v>-24</v>
      </c>
      <c r="DW368" s="2141">
        <f t="shared" ref="DW368:DX368" ca="1" si="1760">+DW255-DW367</f>
        <v>237.70105315057671</v>
      </c>
      <c r="DX368" s="2141">
        <f t="shared" ca="1" si="1760"/>
        <v>188.6425342302681</v>
      </c>
      <c r="DY368" s="2472">
        <f ca="1">+DY255-DY367</f>
        <v>390.68294815623153</v>
      </c>
    </row>
    <row r="369" spans="1:129" ht="15" customHeight="1">
      <c r="A369" s="2582"/>
      <c r="B369" s="2207"/>
      <c r="C369" s="2207"/>
      <c r="D369" s="2207"/>
      <c r="E369" s="2207"/>
      <c r="F369" s="2207"/>
      <c r="G369" s="2207"/>
      <c r="H369" s="2207"/>
      <c r="I369" s="2207"/>
      <c r="J369" s="2207"/>
      <c r="K369" s="2207"/>
      <c r="L369" s="2207"/>
      <c r="M369" s="2207"/>
      <c r="N369" s="2207"/>
      <c r="O369" s="2207"/>
      <c r="P369" s="2207"/>
      <c r="Q369" s="2207"/>
      <c r="R369" s="2207"/>
      <c r="S369" s="2207"/>
      <c r="T369" s="2207"/>
      <c r="U369" s="2207"/>
      <c r="V369" s="2207"/>
      <c r="W369" s="2207"/>
      <c r="X369" s="2207"/>
      <c r="Y369" s="2207"/>
      <c r="Z369" s="2207"/>
      <c r="AA369" s="2207"/>
      <c r="AB369" s="2207"/>
      <c r="AC369" s="2207"/>
      <c r="AD369" s="2207"/>
      <c r="AE369" s="2207"/>
      <c r="AF369" s="2207"/>
      <c r="AG369" s="2207"/>
      <c r="AH369" s="2201"/>
      <c r="AI369" s="1927"/>
      <c r="AK369" s="2207"/>
      <c r="AL369" s="2207"/>
      <c r="AM369" s="2207"/>
      <c r="AN369" s="2207"/>
      <c r="AO369" s="2207"/>
      <c r="AP369" s="2208"/>
      <c r="AQ369" s="2207"/>
      <c r="AR369" s="2207"/>
      <c r="AS369" s="2207"/>
      <c r="AT369" s="2208"/>
      <c r="AU369" s="2207"/>
      <c r="AV369" s="2207"/>
      <c r="AW369" s="2207"/>
      <c r="AX369" s="2208"/>
      <c r="AY369" s="2207"/>
      <c r="AZ369" s="2207"/>
      <c r="BA369" s="2207"/>
      <c r="BB369" s="2208"/>
      <c r="BC369" s="2207"/>
      <c r="BD369" s="2207"/>
      <c r="BE369" s="2207"/>
      <c r="BF369" s="2208"/>
      <c r="BG369" s="2207"/>
      <c r="BH369" s="2207"/>
      <c r="BI369" s="2207"/>
      <c r="BJ369" s="2208"/>
      <c r="BK369" s="2207"/>
      <c r="BL369" s="2207"/>
      <c r="BM369" s="2207"/>
      <c r="BN369" s="2208"/>
      <c r="BO369" s="2207"/>
      <c r="BP369" s="2207"/>
      <c r="BQ369" s="2207"/>
      <c r="BR369" s="2208"/>
      <c r="BS369" s="2207"/>
      <c r="BT369" s="2207"/>
      <c r="BU369" s="2207"/>
      <c r="BV369" s="2208"/>
      <c r="BW369" s="2207"/>
      <c r="BX369" s="2207"/>
      <c r="BY369" s="2207"/>
      <c r="BZ369" s="2208"/>
      <c r="CA369" s="2207"/>
      <c r="CB369" s="2207"/>
      <c r="CC369" s="2207"/>
      <c r="CD369" s="2208"/>
      <c r="CE369" s="2207"/>
      <c r="CF369" s="2207"/>
      <c r="CG369" s="2207"/>
      <c r="CH369" s="2208"/>
      <c r="CI369" s="2207"/>
      <c r="CJ369" s="2207"/>
      <c r="CK369" s="2207"/>
      <c r="CL369" s="2208"/>
      <c r="CM369" s="2207"/>
      <c r="CN369" s="2207"/>
      <c r="CO369" s="2207"/>
      <c r="CP369" s="2208"/>
      <c r="CQ369" s="2207"/>
      <c r="CR369" s="2207"/>
      <c r="CS369" s="2207"/>
      <c r="CT369" s="2208"/>
      <c r="CU369" s="2207"/>
      <c r="CV369" s="2207"/>
      <c r="CW369" s="2207"/>
      <c r="CX369" s="2208"/>
      <c r="CY369" s="2207"/>
      <c r="CZ369" s="2207"/>
      <c r="DA369" s="2207"/>
      <c r="DB369" s="2208"/>
      <c r="DC369" s="2207"/>
      <c r="DD369" s="2207"/>
      <c r="DE369" s="2207"/>
      <c r="DF369" s="2208"/>
      <c r="DG369" s="2207"/>
      <c r="DH369" s="2207"/>
      <c r="DI369" s="2209"/>
      <c r="DJ369" s="2208"/>
      <c r="DK369" s="2207"/>
      <c r="DL369" s="2207"/>
      <c r="DM369" s="2209"/>
      <c r="DN369" s="2207"/>
      <c r="DO369" s="2207"/>
      <c r="DP369" s="2207"/>
      <c r="DQ369" s="2209"/>
      <c r="DR369" s="2208"/>
      <c r="DS369" s="2207"/>
      <c r="DT369" s="2207"/>
      <c r="DU369" s="2209"/>
      <c r="DV369" s="2207"/>
      <c r="DW369" s="2207"/>
      <c r="DX369" s="2207"/>
      <c r="DY369" s="2209"/>
    </row>
    <row r="370" spans="1:129" s="2141" customFormat="1" ht="15" customHeight="1">
      <c r="A370" s="1943" t="s">
        <v>1508</v>
      </c>
      <c r="R370" s="2141">
        <f>+SUM(CS370:CV370)</f>
        <v>17479.939924999999</v>
      </c>
      <c r="S370" s="2141">
        <f>+SUM(CW370:CZ370)</f>
        <v>26700</v>
      </c>
      <c r="T370" s="2141">
        <f>+SUM(DA370:DD370)</f>
        <v>32100</v>
      </c>
      <c r="U370" s="2141">
        <f>+SUM(DE370:DH370)</f>
        <v>33600</v>
      </c>
      <c r="V370" s="2141">
        <f>+SUM(DF370:DI370)</f>
        <v>36447.404158832003</v>
      </c>
      <c r="W370" s="2141">
        <f>+SUM(DJ370:DM370)</f>
        <v>35961.339078235993</v>
      </c>
      <c r="X370" s="2141">
        <f>+SUM(DN370:DQ370)</f>
        <v>33280.993316231004</v>
      </c>
      <c r="Y370" s="2141">
        <f>+SUM(DR370:DU370)</f>
        <v>32090.380903190995</v>
      </c>
      <c r="Z370" s="2141">
        <f ca="1">+SUM(DV370:DY370)</f>
        <v>31843.101054205792</v>
      </c>
      <c r="AA370" s="2141">
        <f ca="1">+AA364*AA371</f>
        <v>31158.790335181238</v>
      </c>
      <c r="AB370" s="2141">
        <f ca="1">+AB364*AB371</f>
        <v>30809.856661608163</v>
      </c>
      <c r="AC370" s="2141">
        <f t="shared" ref="AC370:AG370" ca="1" si="1761">+AC364*AC371</f>
        <v>30410.908505371259</v>
      </c>
      <c r="AD370" s="2141">
        <f t="shared" ca="1" si="1761"/>
        <v>29970.96811917326</v>
      </c>
      <c r="AE370" s="2141">
        <f t="shared" ca="1" si="1761"/>
        <v>29497.556798599842</v>
      </c>
      <c r="AF370" s="2141">
        <f t="shared" ca="1" si="1761"/>
        <v>28996.944131581968</v>
      </c>
      <c r="AG370" s="2141">
        <f t="shared" ca="1" si="1761"/>
        <v>28474.353792153524</v>
      </c>
      <c r="AH370" s="1936"/>
      <c r="AI370" s="1952"/>
      <c r="AP370" s="1936"/>
      <c r="AT370" s="1936"/>
      <c r="AX370" s="1936"/>
      <c r="BB370" s="1936"/>
      <c r="BF370" s="1936"/>
      <c r="BJ370" s="1936"/>
      <c r="BN370" s="1936"/>
      <c r="BR370" s="1936"/>
      <c r="BV370" s="1936"/>
      <c r="BZ370" s="1936"/>
      <c r="CD370" s="1936"/>
      <c r="CH370" s="1936"/>
      <c r="CL370" s="1936"/>
      <c r="CP370" s="1936"/>
      <c r="CT370" s="1936">
        <f>+CT364*CT371</f>
        <v>5896.6182360000003</v>
      </c>
      <c r="CU370" s="2141">
        <f>+CU364*CU371</f>
        <v>5983.3216890000003</v>
      </c>
      <c r="CV370" s="2591">
        <v>5600</v>
      </c>
      <c r="CW370" s="2591">
        <v>7700</v>
      </c>
      <c r="CX370" s="2590">
        <v>6300</v>
      </c>
      <c r="CY370" s="2591">
        <v>5900</v>
      </c>
      <c r="CZ370" s="2591">
        <v>6800</v>
      </c>
      <c r="DA370" s="2591">
        <v>9800</v>
      </c>
      <c r="DB370" s="2590">
        <v>7200</v>
      </c>
      <c r="DC370" s="2591">
        <v>7500</v>
      </c>
      <c r="DD370" s="2591">
        <v>7600</v>
      </c>
      <c r="DE370" s="2591">
        <v>8800</v>
      </c>
      <c r="DF370" s="2590">
        <v>7600</v>
      </c>
      <c r="DG370" s="2591">
        <v>8300</v>
      </c>
      <c r="DH370" s="2591">
        <v>8900</v>
      </c>
      <c r="DI370" s="2472">
        <f t="shared" ref="DI370:DM370" si="1762">+DI364*DI371</f>
        <v>11647.404158832001</v>
      </c>
      <c r="DJ370" s="1936">
        <f t="shared" si="1762"/>
        <v>7834.4258831999987</v>
      </c>
      <c r="DK370" s="2141">
        <f t="shared" si="1762"/>
        <v>8748.1550519999982</v>
      </c>
      <c r="DL370" s="2141">
        <f t="shared" si="1762"/>
        <v>8790.6581430360002</v>
      </c>
      <c r="DM370" s="2472">
        <f t="shared" si="1762"/>
        <v>10588.1</v>
      </c>
      <c r="DN370" s="2141">
        <f t="shared" ref="DN370:DO370" si="1763">+DN364*DN371</f>
        <v>7506.0322616000003</v>
      </c>
      <c r="DO370" s="2141">
        <f t="shared" si="1763"/>
        <v>7037.1444830310011</v>
      </c>
      <c r="DP370" s="2141">
        <f t="shared" ref="DP370:DQ370" si="1764">+DP364*DP371</f>
        <v>8093.5803508000017</v>
      </c>
      <c r="DQ370" s="2472">
        <f t="shared" si="1764"/>
        <v>10644.2362208</v>
      </c>
      <c r="DR370" s="1936">
        <f t="shared" ref="DR370" si="1765">+DR364*DR371</f>
        <v>7050.3925857749982</v>
      </c>
      <c r="DS370" s="2141">
        <f t="shared" ref="DS370:DT370" si="1766">+DS364*DS371</f>
        <v>7616.5476494239992</v>
      </c>
      <c r="DT370" s="2141">
        <f t="shared" si="1766"/>
        <v>7607.2462815119998</v>
      </c>
      <c r="DU370" s="2472">
        <f t="shared" ref="DU370" si="1767">+DU364*DU371</f>
        <v>9816.1943864799978</v>
      </c>
      <c r="DV370" s="2141">
        <f t="shared" ref="DV370" si="1768">+DV364*DV371</f>
        <v>7167.7140588800012</v>
      </c>
      <c r="DW370" s="2141">
        <f t="shared" ref="DW370:DY370" si="1769">+DW364*DW371</f>
        <v>7479.4152750379308</v>
      </c>
      <c r="DX370" s="2141">
        <f t="shared" ca="1" si="1769"/>
        <v>7560.65939029528</v>
      </c>
      <c r="DY370" s="2472">
        <f t="shared" ca="1" si="1769"/>
        <v>9635.3123299925792</v>
      </c>
    </row>
    <row r="371" spans="1:129" s="2213" customFormat="1" ht="15" customHeight="1">
      <c r="A371" s="1929" t="s">
        <v>1509</v>
      </c>
      <c r="R371" s="2213">
        <f t="shared" ref="R371:W371" si="1770">+R370/R364</f>
        <v>0.59999999999999987</v>
      </c>
      <c r="S371" s="2213">
        <f t="shared" si="1770"/>
        <v>0.72675257067291021</v>
      </c>
      <c r="T371" s="2213">
        <f t="shared" si="1770"/>
        <v>0.84798823163720116</v>
      </c>
      <c r="U371" s="2213">
        <f t="shared" si="1770"/>
        <v>0.90137058046224527</v>
      </c>
      <c r="V371" s="2213">
        <f t="shared" si="1770"/>
        <v>0.91526693636516121</v>
      </c>
      <c r="W371" s="2213">
        <f t="shared" si="1770"/>
        <v>0.91629190321673382</v>
      </c>
      <c r="X371" s="2213">
        <f>+X370/X364</f>
        <v>0.934078997982695</v>
      </c>
      <c r="Y371" s="2213">
        <f>+Y370/Y364</f>
        <v>0.95401993368962867</v>
      </c>
      <c r="Z371" s="2213">
        <f ca="1">+Z370/Z364</f>
        <v>0.96699999999999997</v>
      </c>
      <c r="AA371" s="2584">
        <f ca="1">+Z371</f>
        <v>0.96699999999999997</v>
      </c>
      <c r="AB371" s="2584">
        <f t="shared" ref="AB371:AG371" ca="1" si="1771">+AA371</f>
        <v>0.96699999999999997</v>
      </c>
      <c r="AC371" s="2584">
        <f t="shared" ca="1" si="1771"/>
        <v>0.96699999999999997</v>
      </c>
      <c r="AD371" s="2584">
        <f t="shared" ca="1" si="1771"/>
        <v>0.96699999999999997</v>
      </c>
      <c r="AE371" s="2584">
        <f t="shared" ca="1" si="1771"/>
        <v>0.96699999999999997</v>
      </c>
      <c r="AF371" s="2584">
        <f t="shared" ca="1" si="1771"/>
        <v>0.96699999999999997</v>
      </c>
      <c r="AG371" s="2584">
        <f t="shared" ca="1" si="1771"/>
        <v>0.96699999999999997</v>
      </c>
      <c r="AH371" s="2212"/>
      <c r="AI371" s="1973"/>
      <c r="AP371" s="2212"/>
      <c r="AT371" s="2212"/>
      <c r="AX371" s="2212"/>
      <c r="BB371" s="2212"/>
      <c r="BF371" s="2212"/>
      <c r="BJ371" s="2212"/>
      <c r="BN371" s="2212"/>
      <c r="BR371" s="2212"/>
      <c r="BV371" s="2212"/>
      <c r="BZ371" s="2212"/>
      <c r="CD371" s="2212"/>
      <c r="CH371" s="2212"/>
      <c r="CL371" s="2212"/>
      <c r="CP371" s="1936"/>
      <c r="CQ371" s="2141"/>
      <c r="CR371" s="2141"/>
      <c r="CS371" s="2141"/>
      <c r="CT371" s="2595">
        <v>0.6</v>
      </c>
      <c r="CU371" s="2586">
        <v>0.6</v>
      </c>
      <c r="CV371" s="2586">
        <v>0.6</v>
      </c>
      <c r="CW371" s="2586">
        <v>0.7</v>
      </c>
      <c r="CX371" s="2595">
        <v>0.72399999999999998</v>
      </c>
      <c r="CY371" s="2586">
        <v>0.71599999999999997</v>
      </c>
      <c r="CZ371" s="2586">
        <v>0.77300000000000002</v>
      </c>
      <c r="DA371" s="2586">
        <v>0.85399999999999998</v>
      </c>
      <c r="DB371" s="2596">
        <v>0.84299999999999997</v>
      </c>
      <c r="DC371" s="2597">
        <v>0.84399999999999997</v>
      </c>
      <c r="DD371" s="2597">
        <v>0.84899999999999998</v>
      </c>
      <c r="DE371" s="2597">
        <v>0.88900000000000001</v>
      </c>
      <c r="DF371" s="2596">
        <v>0.90100000000000002</v>
      </c>
      <c r="DG371" s="2586">
        <v>0.90800000000000003</v>
      </c>
      <c r="DH371" s="2586">
        <v>0.90800000000000003</v>
      </c>
      <c r="DI371" s="2598">
        <v>0.93600000000000005</v>
      </c>
      <c r="DJ371" s="2588">
        <v>0.9</v>
      </c>
      <c r="DK371" s="2584">
        <v>0.91</v>
      </c>
      <c r="DL371" s="2584">
        <v>0.91300000000000003</v>
      </c>
      <c r="DM371" s="2589">
        <v>0.93700000000000006</v>
      </c>
      <c r="DN371" s="2584">
        <v>0.92500000000000004</v>
      </c>
      <c r="DO371" s="2584">
        <v>0.92100000000000004</v>
      </c>
      <c r="DP371" s="2584">
        <v>0.93100000000000005</v>
      </c>
      <c r="DQ371" s="2589">
        <v>0.95199999999999996</v>
      </c>
      <c r="DR371" s="2588">
        <v>0.94499999999999995</v>
      </c>
      <c r="DS371" s="2584">
        <v>0.95199999999999996</v>
      </c>
      <c r="DT371" s="2584">
        <v>0.94799999999999995</v>
      </c>
      <c r="DU371" s="2589">
        <v>0.96699999999999997</v>
      </c>
      <c r="DV371" s="3328">
        <f>+DU371</f>
        <v>0.96699999999999997</v>
      </c>
      <c r="DW371" s="2584">
        <f t="shared" ref="DW371" si="1772">+DV371</f>
        <v>0.96699999999999997</v>
      </c>
      <c r="DX371" s="2584">
        <f t="shared" ref="DX371" si="1773">+DW371</f>
        <v>0.96699999999999997</v>
      </c>
      <c r="DY371" s="2589">
        <f t="shared" ref="DY371" si="1774">+DX371</f>
        <v>0.96699999999999997</v>
      </c>
    </row>
    <row r="372" spans="1:129" ht="15" customHeight="1">
      <c r="A372" s="2582"/>
      <c r="B372" s="2207"/>
      <c r="C372" s="2207"/>
      <c r="D372" s="2207"/>
      <c r="E372" s="2207"/>
      <c r="F372" s="2207"/>
      <c r="G372" s="2207"/>
      <c r="H372" s="2207"/>
      <c r="I372" s="2207"/>
      <c r="J372" s="2207"/>
      <c r="K372" s="2207"/>
      <c r="L372" s="2207"/>
      <c r="M372" s="2207"/>
      <c r="N372" s="2207"/>
      <c r="O372" s="2207"/>
      <c r="P372" s="2207"/>
      <c r="Q372" s="2207"/>
      <c r="R372" s="2207"/>
      <c r="S372" s="2207"/>
      <c r="T372" s="2207"/>
      <c r="U372" s="2207"/>
      <c r="V372" s="2207"/>
      <c r="W372" s="2207"/>
      <c r="X372" s="2207"/>
      <c r="Y372" s="2207"/>
      <c r="Z372" s="2207"/>
      <c r="AA372" s="2207"/>
      <c r="AB372" s="2207"/>
      <c r="AC372" s="2207"/>
      <c r="AD372" s="2207"/>
      <c r="AE372" s="2207"/>
      <c r="AF372" s="2207"/>
      <c r="AG372" s="2207"/>
      <c r="AH372" s="2201"/>
      <c r="AI372" s="1927"/>
      <c r="AK372" s="2207"/>
      <c r="AL372" s="2207"/>
      <c r="AM372" s="2207"/>
      <c r="AN372" s="2207"/>
      <c r="AO372" s="2207"/>
      <c r="AP372" s="2208"/>
      <c r="AQ372" s="2207"/>
      <c r="AR372" s="2207"/>
      <c r="AS372" s="2207"/>
      <c r="AT372" s="2208"/>
      <c r="AU372" s="2207"/>
      <c r="AV372" s="2207"/>
      <c r="AW372" s="2207"/>
      <c r="AX372" s="2208"/>
      <c r="AY372" s="2207"/>
      <c r="AZ372" s="2207"/>
      <c r="BA372" s="2207"/>
      <c r="BB372" s="2208"/>
      <c r="BC372" s="2207"/>
      <c r="BD372" s="2207"/>
      <c r="BE372" s="2207"/>
      <c r="BF372" s="2208"/>
      <c r="BG372" s="2207"/>
      <c r="BH372" s="2207"/>
      <c r="BI372" s="2207"/>
      <c r="BJ372" s="2208"/>
      <c r="BK372" s="2207"/>
      <c r="BL372" s="2207"/>
      <c r="BM372" s="2207"/>
      <c r="BN372" s="2208"/>
      <c r="BO372" s="2207"/>
      <c r="BP372" s="2207"/>
      <c r="BQ372" s="2207"/>
      <c r="BR372" s="2208"/>
      <c r="BS372" s="2207"/>
      <c r="BT372" s="2207"/>
      <c r="BU372" s="2207"/>
      <c r="BV372" s="2208"/>
      <c r="BW372" s="2207"/>
      <c r="BX372" s="2207"/>
      <c r="BY372" s="2207"/>
      <c r="BZ372" s="2208"/>
      <c r="CA372" s="2207"/>
      <c r="CB372" s="2207"/>
      <c r="CC372" s="2207"/>
      <c r="CD372" s="2208"/>
      <c r="CE372" s="2207"/>
      <c r="CF372" s="2207"/>
      <c r="CG372" s="2207"/>
      <c r="CH372" s="2208"/>
      <c r="CI372" s="2207"/>
      <c r="CJ372" s="2207"/>
      <c r="CK372" s="2207"/>
      <c r="CL372" s="2208"/>
      <c r="CM372" s="2207"/>
      <c r="CN372" s="2207"/>
      <c r="CO372" s="2207"/>
      <c r="CP372" s="2208"/>
      <c r="CQ372" s="2207"/>
      <c r="CR372" s="2207"/>
      <c r="CS372" s="2207"/>
      <c r="CT372" s="2208"/>
      <c r="CU372" s="2207"/>
      <c r="CV372" s="2207"/>
      <c r="CW372" s="2207"/>
      <c r="CX372" s="2208"/>
      <c r="CY372" s="2207"/>
      <c r="CZ372" s="2207"/>
      <c r="DA372" s="2207"/>
      <c r="DB372" s="2208"/>
      <c r="DC372" s="2207"/>
      <c r="DD372" s="2207"/>
      <c r="DE372" s="2207"/>
      <c r="DF372" s="2208"/>
      <c r="DG372" s="2207"/>
      <c r="DH372" s="2207"/>
      <c r="DI372" s="2209"/>
      <c r="DJ372" s="2208"/>
      <c r="DK372" s="2207"/>
      <c r="DL372" s="2207"/>
      <c r="DM372" s="2209"/>
      <c r="DN372" s="2207"/>
      <c r="DO372" s="2207"/>
      <c r="DP372" s="2207"/>
      <c r="DQ372" s="2209"/>
      <c r="DR372" s="2208"/>
      <c r="DS372" s="2207"/>
      <c r="DT372" s="2207"/>
      <c r="DU372" s="2209"/>
      <c r="DV372" s="2207"/>
      <c r="DW372" s="2207"/>
      <c r="DX372" s="2207"/>
      <c r="DY372" s="2209"/>
    </row>
    <row r="373" spans="1:129" ht="15" hidden="1" customHeight="1" outlineLevel="1">
      <c r="A373" s="1943" t="s">
        <v>1510</v>
      </c>
      <c r="B373" s="2207"/>
      <c r="C373" s="2207"/>
      <c r="D373" s="2207"/>
      <c r="E373" s="2207"/>
      <c r="F373" s="2207"/>
      <c r="G373" s="2207"/>
      <c r="H373" s="2207"/>
      <c r="I373" s="2207"/>
      <c r="J373" s="2207"/>
      <c r="K373" s="2207"/>
      <c r="L373" s="2207"/>
      <c r="M373" s="2207"/>
      <c r="N373" s="2207"/>
      <c r="O373" s="2207"/>
      <c r="P373" s="2207"/>
      <c r="Q373" s="2207"/>
      <c r="R373" s="2207"/>
      <c r="S373" s="2141">
        <f>+SUM(CW373:CZ373)</f>
        <v>13300</v>
      </c>
      <c r="T373" s="2141">
        <f>+SUM(DA373:DD373)</f>
        <v>17901</v>
      </c>
      <c r="U373" s="2141">
        <f>+SUM(DE373:DH373)</f>
        <v>6600</v>
      </c>
      <c r="V373" s="2207"/>
      <c r="W373" s="2207"/>
      <c r="X373" s="2207"/>
      <c r="Y373" s="2207"/>
      <c r="Z373" s="2207"/>
      <c r="AA373" s="2207"/>
      <c r="AB373" s="2207"/>
      <c r="AC373" s="2207"/>
      <c r="AD373" s="2207"/>
      <c r="AE373" s="2207"/>
      <c r="AF373" s="2207"/>
      <c r="AG373" s="2207"/>
      <c r="AH373" s="2201"/>
      <c r="AI373" s="1927"/>
      <c r="AK373" s="2207"/>
      <c r="AL373" s="2207"/>
      <c r="AM373" s="2207"/>
      <c r="AN373" s="2207"/>
      <c r="AO373" s="2207"/>
      <c r="AP373" s="2208"/>
      <c r="AQ373" s="2207"/>
      <c r="AR373" s="2207"/>
      <c r="AS373" s="2207"/>
      <c r="AT373" s="2208"/>
      <c r="AU373" s="2207"/>
      <c r="AV373" s="2207"/>
      <c r="AW373" s="2207"/>
      <c r="AX373" s="2208"/>
      <c r="AY373" s="2207"/>
      <c r="AZ373" s="2207"/>
      <c r="BA373" s="2207"/>
      <c r="BB373" s="2208"/>
      <c r="BC373" s="2207"/>
      <c r="BD373" s="2207"/>
      <c r="BE373" s="2207"/>
      <c r="BF373" s="2208"/>
      <c r="BG373" s="2207"/>
      <c r="BH373" s="2207"/>
      <c r="BI373" s="2207"/>
      <c r="BJ373" s="2208"/>
      <c r="BK373" s="2207"/>
      <c r="BL373" s="2207"/>
      <c r="BM373" s="2207"/>
      <c r="BN373" s="2208"/>
      <c r="BO373" s="2207"/>
      <c r="BP373" s="2207"/>
      <c r="BQ373" s="2207"/>
      <c r="BR373" s="2208"/>
      <c r="BS373" s="2207"/>
      <c r="BT373" s="2207"/>
      <c r="BU373" s="2207"/>
      <c r="BV373" s="2208"/>
      <c r="BW373" s="2207"/>
      <c r="BX373" s="2207"/>
      <c r="BY373" s="2207"/>
      <c r="BZ373" s="2208"/>
      <c r="CA373" s="2207"/>
      <c r="CB373" s="2207"/>
      <c r="CC373" s="2207"/>
      <c r="CD373" s="2208"/>
      <c r="CE373" s="2207"/>
      <c r="CF373" s="2207"/>
      <c r="CG373" s="2207"/>
      <c r="CH373" s="2208"/>
      <c r="CI373" s="2207"/>
      <c r="CJ373" s="2207"/>
      <c r="CK373" s="2207"/>
      <c r="CL373" s="2208"/>
      <c r="CM373" s="2207"/>
      <c r="CN373" s="2207"/>
      <c r="CO373" s="2207"/>
      <c r="CP373" s="2208"/>
      <c r="CQ373" s="2207"/>
      <c r="CR373" s="2207"/>
      <c r="CS373" s="2207"/>
      <c r="CT373" s="2599">
        <v>2200</v>
      </c>
      <c r="CU373" s="2600">
        <v>2300</v>
      </c>
      <c r="CV373" s="2600">
        <v>2000</v>
      </c>
      <c r="CW373" s="2601">
        <v>4300</v>
      </c>
      <c r="CX373" s="2600">
        <v>3200</v>
      </c>
      <c r="CY373" s="2600">
        <v>2700</v>
      </c>
      <c r="CZ373" s="2600">
        <v>3100</v>
      </c>
      <c r="DA373" s="2600">
        <v>6200</v>
      </c>
      <c r="DB373" s="2602">
        <v>4000</v>
      </c>
      <c r="DC373" s="2600">
        <f>7500*0.51</f>
        <v>3825</v>
      </c>
      <c r="DD373" s="2600">
        <f>7600*0.51</f>
        <v>3876</v>
      </c>
      <c r="DE373" s="2601">
        <v>6600</v>
      </c>
      <c r="DF373" s="2208"/>
      <c r="DG373" s="2207"/>
      <c r="DH373" s="2207"/>
      <c r="DI373" s="2209"/>
      <c r="DJ373" s="2208"/>
      <c r="DK373" s="2207"/>
      <c r="DL373" s="2207"/>
      <c r="DM373" s="2209"/>
      <c r="DN373" s="2207"/>
      <c r="DO373" s="2207"/>
      <c r="DP373" s="2207"/>
      <c r="DQ373" s="2209"/>
      <c r="DR373" s="2208"/>
      <c r="DS373" s="2207"/>
      <c r="DT373" s="2207"/>
      <c r="DU373" s="2209"/>
      <c r="DV373" s="2207"/>
      <c r="DW373" s="2207"/>
      <c r="DX373" s="2207"/>
      <c r="DY373" s="2209"/>
    </row>
    <row r="374" spans="1:129" s="2213" customFormat="1" ht="15" hidden="1" customHeight="1" outlineLevel="1">
      <c r="A374" s="2603" t="s">
        <v>1511</v>
      </c>
      <c r="S374" s="2213">
        <f>+S373/S370</f>
        <v>0.49812734082397003</v>
      </c>
      <c r="T374" s="2213">
        <f>+T373/T370</f>
        <v>0.55766355140186918</v>
      </c>
      <c r="U374" s="2213">
        <f>+U373/U370</f>
        <v>0.19642857142857142</v>
      </c>
      <c r="AH374" s="2212"/>
      <c r="AI374" s="1973"/>
      <c r="AP374" s="2212"/>
      <c r="AT374" s="2212"/>
      <c r="AX374" s="2212"/>
      <c r="BB374" s="2212"/>
      <c r="BF374" s="2212"/>
      <c r="BJ374" s="2212"/>
      <c r="BN374" s="2212"/>
      <c r="BR374" s="2212"/>
      <c r="BV374" s="2212"/>
      <c r="BZ374" s="2212"/>
      <c r="CD374" s="2212"/>
      <c r="CH374" s="2212"/>
      <c r="CL374" s="2212"/>
      <c r="CP374" s="2212"/>
      <c r="CT374" s="2212"/>
      <c r="CU374" s="2213">
        <f t="shared" ref="CU374:DE374" si="1775">+CU373/CU370</f>
        <v>0.38440186230140699</v>
      </c>
      <c r="CV374" s="2213">
        <f t="shared" si="1775"/>
        <v>0.35714285714285715</v>
      </c>
      <c r="CW374" s="2213">
        <f t="shared" si="1775"/>
        <v>0.55844155844155841</v>
      </c>
      <c r="CX374" s="2212">
        <f t="shared" si="1775"/>
        <v>0.50793650793650791</v>
      </c>
      <c r="CY374" s="2213">
        <f t="shared" si="1775"/>
        <v>0.4576271186440678</v>
      </c>
      <c r="CZ374" s="2213">
        <f t="shared" si="1775"/>
        <v>0.45588235294117646</v>
      </c>
      <c r="DA374" s="2213">
        <f t="shared" si="1775"/>
        <v>0.63265306122448983</v>
      </c>
      <c r="DB374" s="2212">
        <f t="shared" si="1775"/>
        <v>0.55555555555555558</v>
      </c>
      <c r="DC374" s="2213">
        <f t="shared" si="1775"/>
        <v>0.51</v>
      </c>
      <c r="DD374" s="2213">
        <f t="shared" si="1775"/>
        <v>0.51</v>
      </c>
      <c r="DE374" s="2213">
        <f t="shared" si="1775"/>
        <v>0.75</v>
      </c>
      <c r="DF374" s="2208"/>
      <c r="DG374" s="2207"/>
      <c r="DH374" s="2207"/>
      <c r="DI374" s="2209"/>
      <c r="DJ374" s="2208"/>
      <c r="DK374" s="2207"/>
      <c r="DL374" s="2207"/>
      <c r="DM374" s="2209"/>
      <c r="DN374" s="2207"/>
      <c r="DO374" s="2207"/>
      <c r="DP374" s="2207"/>
      <c r="DQ374" s="2209"/>
      <c r="DR374" s="2208"/>
      <c r="DS374" s="2207"/>
      <c r="DT374" s="2207"/>
      <c r="DU374" s="2209"/>
      <c r="DV374" s="2207"/>
      <c r="DY374" s="2587"/>
    </row>
    <row r="375" spans="1:129" ht="15" hidden="1" customHeight="1" outlineLevel="1">
      <c r="A375" s="2603" t="s">
        <v>1542</v>
      </c>
      <c r="B375" s="2207"/>
      <c r="C375" s="2207"/>
      <c r="D375" s="2207"/>
      <c r="E375" s="2207"/>
      <c r="F375" s="2207"/>
      <c r="G375" s="2207"/>
      <c r="H375" s="2207"/>
      <c r="I375" s="2207"/>
      <c r="J375" s="2207"/>
      <c r="K375" s="2207"/>
      <c r="L375" s="2207"/>
      <c r="M375" s="2207"/>
      <c r="N375" s="2207"/>
      <c r="O375" s="2207"/>
      <c r="P375" s="2207"/>
      <c r="Q375" s="2207"/>
      <c r="R375" s="2207"/>
      <c r="S375" s="2207">
        <f>+AVERAGE(CT375:CW375)</f>
        <v>0.21124999999999999</v>
      </c>
      <c r="T375" s="2207">
        <f>+AVERAGE(CX375:DA375)</f>
        <v>0.26750000000000002</v>
      </c>
      <c r="U375" s="2207">
        <f>+AVERAGE(DB375:DE375)</f>
        <v>0.3</v>
      </c>
      <c r="V375" s="2207"/>
      <c r="W375" s="2207"/>
      <c r="X375" s="2207"/>
      <c r="Y375" s="2207"/>
      <c r="Z375" s="2207"/>
      <c r="AA375" s="2207"/>
      <c r="AB375" s="2207"/>
      <c r="AC375" s="2207"/>
      <c r="AD375" s="2207"/>
      <c r="AE375" s="2207"/>
      <c r="AF375" s="2207"/>
      <c r="AG375" s="2207"/>
      <c r="AH375" s="2201"/>
      <c r="AI375" s="1927"/>
      <c r="AK375" s="2207"/>
      <c r="AL375" s="2207"/>
      <c r="AM375" s="2207"/>
      <c r="AN375" s="2207"/>
      <c r="AO375" s="2207"/>
      <c r="AP375" s="2208"/>
      <c r="AQ375" s="2207"/>
      <c r="AR375" s="2207"/>
      <c r="AS375" s="2207"/>
      <c r="AT375" s="2208"/>
      <c r="AU375" s="2207"/>
      <c r="AV375" s="2207"/>
      <c r="AW375" s="2207"/>
      <c r="AX375" s="2208"/>
      <c r="AY375" s="2207"/>
      <c r="AZ375" s="2207"/>
      <c r="BA375" s="2207"/>
      <c r="BB375" s="2208"/>
      <c r="BC375" s="2207"/>
      <c r="BD375" s="2207"/>
      <c r="BE375" s="2207"/>
      <c r="BF375" s="2208"/>
      <c r="BG375" s="2207"/>
      <c r="BH375" s="2207"/>
      <c r="BI375" s="2207"/>
      <c r="BJ375" s="2208"/>
      <c r="BK375" s="2207"/>
      <c r="BL375" s="2207"/>
      <c r="BM375" s="2207"/>
      <c r="BN375" s="2208"/>
      <c r="BO375" s="2207"/>
      <c r="BP375" s="2207"/>
      <c r="BQ375" s="2207"/>
      <c r="BR375" s="2208"/>
      <c r="BS375" s="2207"/>
      <c r="BT375" s="2207"/>
      <c r="BU375" s="2207"/>
      <c r="BV375" s="2208"/>
      <c r="BW375" s="2207"/>
      <c r="BX375" s="2207"/>
      <c r="BY375" s="2207"/>
      <c r="BZ375" s="2208"/>
      <c r="CA375" s="2207"/>
      <c r="CB375" s="2207"/>
      <c r="CC375" s="2207"/>
      <c r="CD375" s="2208"/>
      <c r="CE375" s="2207"/>
      <c r="CF375" s="2207"/>
      <c r="CG375" s="2207"/>
      <c r="CH375" s="2208"/>
      <c r="CI375" s="2207"/>
      <c r="CJ375" s="2207"/>
      <c r="CK375" s="2207"/>
      <c r="CL375" s="2208"/>
      <c r="CM375" s="2207"/>
      <c r="CN375" s="2207"/>
      <c r="CO375" s="2207"/>
      <c r="CP375" s="2208"/>
      <c r="CQ375" s="2207"/>
      <c r="CR375" s="2207"/>
      <c r="CS375" s="2207"/>
      <c r="CT375" s="2576">
        <v>0.22</v>
      </c>
      <c r="CU375" s="2577">
        <v>0.22500000000000001</v>
      </c>
      <c r="CV375" s="2577">
        <v>0.2</v>
      </c>
      <c r="CW375" s="2577">
        <v>0.2</v>
      </c>
      <c r="CX375" s="2576">
        <v>0.2</v>
      </c>
      <c r="CY375" s="2577">
        <v>0.25</v>
      </c>
      <c r="CZ375" s="2577">
        <v>0.32</v>
      </c>
      <c r="DA375" s="2577">
        <v>0.3</v>
      </c>
      <c r="DB375" s="2576">
        <v>0.3</v>
      </c>
      <c r="DC375" s="2577">
        <v>0.3</v>
      </c>
      <c r="DD375" s="2577">
        <v>0.3</v>
      </c>
      <c r="DE375" s="2577">
        <v>0.3</v>
      </c>
      <c r="DF375" s="2208"/>
      <c r="DG375" s="2207"/>
      <c r="DH375" s="2207"/>
      <c r="DI375" s="2209"/>
      <c r="DJ375" s="2208"/>
      <c r="DK375" s="2207"/>
      <c r="DL375" s="2207"/>
      <c r="DM375" s="2209"/>
      <c r="DN375" s="2207"/>
      <c r="DO375" s="2207"/>
      <c r="DP375" s="2207"/>
      <c r="DQ375" s="2209"/>
      <c r="DR375" s="2208"/>
      <c r="DS375" s="2207"/>
      <c r="DT375" s="2207"/>
      <c r="DU375" s="2209"/>
      <c r="DV375" s="2207"/>
      <c r="DW375" s="2207"/>
      <c r="DX375" s="2207"/>
      <c r="DY375" s="2209"/>
    </row>
    <row r="376" spans="1:129" s="2141" customFormat="1" ht="15" hidden="1" customHeight="1" outlineLevel="1">
      <c r="A376" s="1943" t="s">
        <v>1512</v>
      </c>
      <c r="S376" s="2141">
        <f>+SUM(CW376:CZ376)</f>
        <v>13400</v>
      </c>
      <c r="T376" s="2141">
        <f>+SUM(DA376:DD376)</f>
        <v>14199</v>
      </c>
      <c r="U376" s="2141">
        <f>+SUM(DE376:DH376)</f>
        <v>2200</v>
      </c>
      <c r="AH376" s="1936"/>
      <c r="AI376" s="1952"/>
      <c r="AP376" s="1936"/>
      <c r="AT376" s="1936"/>
      <c r="AX376" s="1936"/>
      <c r="BB376" s="1936"/>
      <c r="BF376" s="1936"/>
      <c r="BJ376" s="1936"/>
      <c r="BN376" s="1936"/>
      <c r="BR376" s="1936"/>
      <c r="BV376" s="1936"/>
      <c r="BZ376" s="1936"/>
      <c r="CD376" s="1936"/>
      <c r="CH376" s="1936"/>
      <c r="CL376" s="1936"/>
      <c r="CP376" s="1936"/>
      <c r="CT376" s="1936"/>
      <c r="CU376" s="2141">
        <f>+CU370-CU373</f>
        <v>3683.3216890000003</v>
      </c>
      <c r="CV376" s="2141">
        <f t="shared" ref="CV376:DE376" si="1776">+CV370-CV373</f>
        <v>3600</v>
      </c>
      <c r="CW376" s="2141">
        <f t="shared" si="1776"/>
        <v>3400</v>
      </c>
      <c r="CX376" s="1936">
        <f t="shared" si="1776"/>
        <v>3100</v>
      </c>
      <c r="CY376" s="2141">
        <f t="shared" si="1776"/>
        <v>3200</v>
      </c>
      <c r="CZ376" s="2141">
        <f t="shared" si="1776"/>
        <v>3700</v>
      </c>
      <c r="DA376" s="2141">
        <f t="shared" si="1776"/>
        <v>3600</v>
      </c>
      <c r="DB376" s="1936">
        <f t="shared" si="1776"/>
        <v>3200</v>
      </c>
      <c r="DC376" s="2141">
        <f t="shared" si="1776"/>
        <v>3675</v>
      </c>
      <c r="DD376" s="2141">
        <f t="shared" si="1776"/>
        <v>3724</v>
      </c>
      <c r="DE376" s="2141">
        <f t="shared" si="1776"/>
        <v>2200</v>
      </c>
      <c r="DF376" s="2208"/>
      <c r="DG376" s="2207"/>
      <c r="DH376" s="2207"/>
      <c r="DI376" s="2209"/>
      <c r="DJ376" s="2208"/>
      <c r="DK376" s="2207"/>
      <c r="DL376" s="2207"/>
      <c r="DM376" s="2209"/>
      <c r="DN376" s="2207"/>
      <c r="DO376" s="2207"/>
      <c r="DP376" s="2207"/>
      <c r="DQ376" s="2209"/>
      <c r="DR376" s="2208"/>
      <c r="DS376" s="2207"/>
      <c r="DT376" s="2207"/>
      <c r="DU376" s="2209"/>
      <c r="DV376" s="2207"/>
      <c r="DY376" s="2472"/>
    </row>
    <row r="377" spans="1:129" s="2213" customFormat="1" ht="15" hidden="1" customHeight="1" outlineLevel="1">
      <c r="A377" s="2603" t="s">
        <v>1511</v>
      </c>
      <c r="S377" s="2213">
        <f>+S376/S370</f>
        <v>0.50187265917602997</v>
      </c>
      <c r="T377" s="2213">
        <f>+T376/T370</f>
        <v>0.44233644859813082</v>
      </c>
      <c r="U377" s="2213">
        <f>+U376/U370</f>
        <v>6.5476190476190479E-2</v>
      </c>
      <c r="AH377" s="2212"/>
      <c r="AI377" s="1973"/>
      <c r="AP377" s="2212"/>
      <c r="AT377" s="2212"/>
      <c r="AX377" s="2212"/>
      <c r="BB377" s="2212"/>
      <c r="BF377" s="2212"/>
      <c r="BJ377" s="2212"/>
      <c r="BN377" s="2212"/>
      <c r="BR377" s="2212"/>
      <c r="BV377" s="2212"/>
      <c r="BZ377" s="2212"/>
      <c r="CD377" s="2212"/>
      <c r="CH377" s="2212"/>
      <c r="CL377" s="2212"/>
      <c r="CP377" s="2212"/>
      <c r="CT377" s="2212"/>
      <c r="CU377" s="2213">
        <f>+CU376/CU370</f>
        <v>0.61559813769859306</v>
      </c>
      <c r="CV377" s="2213">
        <f t="shared" ref="CV377:DE377" si="1777">+CV376/CV370</f>
        <v>0.6428571428571429</v>
      </c>
      <c r="CW377" s="2213">
        <f t="shared" si="1777"/>
        <v>0.44155844155844154</v>
      </c>
      <c r="CX377" s="2212">
        <f t="shared" si="1777"/>
        <v>0.49206349206349204</v>
      </c>
      <c r="CY377" s="2213">
        <f t="shared" si="1777"/>
        <v>0.5423728813559322</v>
      </c>
      <c r="CZ377" s="2213">
        <f t="shared" si="1777"/>
        <v>0.54411764705882348</v>
      </c>
      <c r="DA377" s="2213">
        <f t="shared" si="1777"/>
        <v>0.36734693877551022</v>
      </c>
      <c r="DB377" s="2212">
        <f t="shared" si="1777"/>
        <v>0.44444444444444442</v>
      </c>
      <c r="DC377" s="2213">
        <f t="shared" si="1777"/>
        <v>0.49</v>
      </c>
      <c r="DD377" s="2213">
        <f t="shared" si="1777"/>
        <v>0.49</v>
      </c>
      <c r="DE377" s="2213">
        <f t="shared" si="1777"/>
        <v>0.25</v>
      </c>
      <c r="DF377" s="2208"/>
      <c r="DG377" s="2207"/>
      <c r="DH377" s="2207"/>
      <c r="DI377" s="2209"/>
      <c r="DJ377" s="2208"/>
      <c r="DK377" s="2207"/>
      <c r="DL377" s="2207"/>
      <c r="DM377" s="2209"/>
      <c r="DN377" s="2207"/>
      <c r="DO377" s="2207"/>
      <c r="DP377" s="2207"/>
      <c r="DQ377" s="2209"/>
      <c r="DR377" s="2208"/>
      <c r="DS377" s="2207"/>
      <c r="DT377" s="2207"/>
      <c r="DU377" s="2209"/>
      <c r="DV377" s="2207"/>
      <c r="DY377" s="2587"/>
    </row>
    <row r="378" spans="1:129" ht="15" hidden="1" customHeight="1" outlineLevel="1">
      <c r="A378" s="2582"/>
      <c r="B378" s="2207"/>
      <c r="C378" s="2207"/>
      <c r="D378" s="2207"/>
      <c r="E378" s="2207"/>
      <c r="F378" s="2207"/>
      <c r="G378" s="2207"/>
      <c r="H378" s="2207"/>
      <c r="I378" s="2207"/>
      <c r="J378" s="2207"/>
      <c r="K378" s="2207"/>
      <c r="L378" s="2207"/>
      <c r="M378" s="2207"/>
      <c r="N378" s="2207"/>
      <c r="O378" s="2207"/>
      <c r="P378" s="2207"/>
      <c r="Q378" s="2207"/>
      <c r="R378" s="2207"/>
      <c r="S378" s="2207"/>
      <c r="T378" s="2207"/>
      <c r="U378" s="2207"/>
      <c r="V378" s="2207"/>
      <c r="W378" s="2207"/>
      <c r="X378" s="2207"/>
      <c r="Y378" s="2207"/>
      <c r="Z378" s="2207"/>
      <c r="AA378" s="2207"/>
      <c r="AB378" s="2207"/>
      <c r="AC378" s="2207"/>
      <c r="AD378" s="2207"/>
      <c r="AE378" s="2207"/>
      <c r="AF378" s="2207"/>
      <c r="AG378" s="2207"/>
      <c r="AH378" s="2201"/>
      <c r="AI378" s="1927"/>
      <c r="AK378" s="2207"/>
      <c r="AL378" s="2207"/>
      <c r="AM378" s="2207"/>
      <c r="AN378" s="2207"/>
      <c r="AO378" s="2207"/>
      <c r="AP378" s="2208"/>
      <c r="AQ378" s="2207"/>
      <c r="AR378" s="2207"/>
      <c r="AS378" s="2207"/>
      <c r="AT378" s="2208"/>
      <c r="AU378" s="2207"/>
      <c r="AV378" s="2207"/>
      <c r="AW378" s="2207"/>
      <c r="AX378" s="2208"/>
      <c r="AY378" s="2207"/>
      <c r="AZ378" s="2207"/>
      <c r="BA378" s="2207"/>
      <c r="BB378" s="2208"/>
      <c r="BC378" s="2207"/>
      <c r="BD378" s="2207"/>
      <c r="BE378" s="2207"/>
      <c r="BF378" s="2208"/>
      <c r="BG378" s="2207"/>
      <c r="BH378" s="2207"/>
      <c r="BI378" s="2207"/>
      <c r="BJ378" s="2208"/>
      <c r="BK378" s="2207"/>
      <c r="BL378" s="2207"/>
      <c r="BM378" s="2207"/>
      <c r="BN378" s="2208"/>
      <c r="BO378" s="2207"/>
      <c r="BP378" s="2207"/>
      <c r="BQ378" s="2207"/>
      <c r="BR378" s="2208"/>
      <c r="BS378" s="2207"/>
      <c r="BT378" s="2207"/>
      <c r="BU378" s="2207"/>
      <c r="BV378" s="2208"/>
      <c r="BW378" s="2207"/>
      <c r="BX378" s="2207"/>
      <c r="BY378" s="2207"/>
      <c r="BZ378" s="2208"/>
      <c r="CA378" s="2207"/>
      <c r="CB378" s="2207"/>
      <c r="CC378" s="2207"/>
      <c r="CD378" s="2208"/>
      <c r="CE378" s="2207"/>
      <c r="CF378" s="2207"/>
      <c r="CG378" s="2207"/>
      <c r="CH378" s="2208"/>
      <c r="CI378" s="2207"/>
      <c r="CJ378" s="2207"/>
      <c r="CK378" s="2207"/>
      <c r="CL378" s="2208"/>
      <c r="CM378" s="2207"/>
      <c r="CN378" s="2207"/>
      <c r="CO378" s="2207"/>
      <c r="CP378" s="2208"/>
      <c r="CQ378" s="2207"/>
      <c r="CR378" s="2207"/>
      <c r="CS378" s="2207"/>
      <c r="CT378" s="2208"/>
      <c r="CU378" s="2207"/>
      <c r="CV378" s="2207"/>
      <c r="CW378" s="2207"/>
      <c r="CX378" s="2208"/>
      <c r="CY378" s="2207"/>
      <c r="CZ378" s="2207"/>
      <c r="DA378" s="2207"/>
      <c r="DB378" s="2208"/>
      <c r="DC378" s="2207"/>
      <c r="DD378" s="2207"/>
      <c r="DE378" s="2207"/>
      <c r="DF378" s="2208"/>
      <c r="DG378" s="2207"/>
      <c r="DH378" s="2207"/>
      <c r="DI378" s="2209"/>
      <c r="DJ378" s="2208"/>
      <c r="DK378" s="2207"/>
      <c r="DL378" s="2207"/>
      <c r="DM378" s="2209"/>
      <c r="DN378" s="2207"/>
      <c r="DO378" s="2207"/>
      <c r="DP378" s="2207"/>
      <c r="DQ378" s="2209"/>
      <c r="DR378" s="2208"/>
      <c r="DS378" s="2207"/>
      <c r="DT378" s="2207"/>
      <c r="DU378" s="2209"/>
      <c r="DV378" s="2207"/>
      <c r="DW378" s="2207"/>
      <c r="DX378" s="2207"/>
      <c r="DY378" s="2209"/>
    </row>
    <row r="379" spans="1:129" s="2213" customFormat="1" ht="15" customHeight="1" collapsed="1">
      <c r="A379" s="2603" t="s">
        <v>1513</v>
      </c>
      <c r="R379" s="2213">
        <f t="shared" ref="R379:W379" si="1778">+R380/R381</f>
        <v>0.28000000000000003</v>
      </c>
      <c r="S379" s="2213">
        <f t="shared" si="1778"/>
        <v>0.435</v>
      </c>
      <c r="T379" s="2213">
        <f t="shared" si="1778"/>
        <v>0.58099999999999996</v>
      </c>
      <c r="U379" s="2213">
        <f t="shared" si="1778"/>
        <v>0.7</v>
      </c>
      <c r="V379" s="2213">
        <f t="shared" si="1778"/>
        <v>0.78599999999999992</v>
      </c>
      <c r="W379" s="2213">
        <f t="shared" si="1778"/>
        <v>0.83999999999999986</v>
      </c>
      <c r="X379" s="2213">
        <f>+X380/X381</f>
        <v>0.873</v>
      </c>
      <c r="Y379" s="2213">
        <f>+Y380/Y381</f>
        <v>0.90100000000000002</v>
      </c>
      <c r="Z379" s="2213">
        <f ca="1">+Z380/Z381</f>
        <v>0.92199999999999993</v>
      </c>
      <c r="AA379" s="2584">
        <v>0.92</v>
      </c>
      <c r="AB379" s="2584">
        <f>+AA379+0.005</f>
        <v>0.92500000000000004</v>
      </c>
      <c r="AC379" s="2584">
        <f t="shared" ref="AC379:AG379" si="1779">+AB379+0.005</f>
        <v>0.93</v>
      </c>
      <c r="AD379" s="2584">
        <f t="shared" si="1779"/>
        <v>0.93500000000000005</v>
      </c>
      <c r="AE379" s="2584">
        <f t="shared" si="1779"/>
        <v>0.94000000000000006</v>
      </c>
      <c r="AF379" s="2584">
        <f t="shared" si="1779"/>
        <v>0.94500000000000006</v>
      </c>
      <c r="AG379" s="2584">
        <f t="shared" si="1779"/>
        <v>0.95000000000000007</v>
      </c>
      <c r="AH379" s="2212"/>
      <c r="AI379" s="1973"/>
      <c r="AP379" s="2212"/>
      <c r="AT379" s="2212"/>
      <c r="AX379" s="2212"/>
      <c r="BB379" s="2212"/>
      <c r="BF379" s="2212"/>
      <c r="BJ379" s="2212"/>
      <c r="BN379" s="2212"/>
      <c r="BR379" s="2212"/>
      <c r="BV379" s="2212"/>
      <c r="BZ379" s="2212"/>
      <c r="CD379" s="2212"/>
      <c r="CH379" s="2212"/>
      <c r="CL379" s="2212"/>
      <c r="CP379" s="2595">
        <v>0.186</v>
      </c>
      <c r="CQ379" s="2586">
        <v>0.21299999999999999</v>
      </c>
      <c r="CR379" s="2586">
        <v>0.24399999999999999</v>
      </c>
      <c r="CS379" s="2586">
        <v>0.28000000000000003</v>
      </c>
      <c r="CT379" s="2595">
        <v>0.32200000000000001</v>
      </c>
      <c r="CU379" s="2586">
        <v>0.35899999999999999</v>
      </c>
      <c r="CV379" s="2586">
        <v>0.39200000000000002</v>
      </c>
      <c r="CW379" s="2586">
        <v>0.435</v>
      </c>
      <c r="CX379" s="2595">
        <v>0.46800000000000003</v>
      </c>
      <c r="CY379" s="2586">
        <v>0.497</v>
      </c>
      <c r="CZ379" s="2586">
        <v>0.53200000000000003</v>
      </c>
      <c r="DA379" s="2586">
        <v>0.58099999999999996</v>
      </c>
      <c r="DB379" s="2595">
        <v>0.61399999999999999</v>
      </c>
      <c r="DC379" s="2586">
        <v>0.64400000000000002</v>
      </c>
      <c r="DD379" s="2586">
        <v>0.67200000000000004</v>
      </c>
      <c r="DE379" s="2586">
        <v>0.7</v>
      </c>
      <c r="DF379" s="2595">
        <v>0.72299999999999998</v>
      </c>
      <c r="DG379" s="2586">
        <v>0.746</v>
      </c>
      <c r="DH379" s="2586">
        <v>0.76500000000000001</v>
      </c>
      <c r="DI379" s="2598">
        <v>0.78600000000000003</v>
      </c>
      <c r="DJ379" s="2588">
        <v>0.8</v>
      </c>
      <c r="DK379" s="2584">
        <v>0.81</v>
      </c>
      <c r="DL379" s="2584">
        <v>0.82</v>
      </c>
      <c r="DM379" s="2589">
        <v>0.84</v>
      </c>
      <c r="DN379" s="2584">
        <v>0.84699999999999998</v>
      </c>
      <c r="DO379" s="2584">
        <v>0.85499999999999998</v>
      </c>
      <c r="DP379" s="2584">
        <v>0.86299999999999999</v>
      </c>
      <c r="DQ379" s="2589">
        <v>0.873</v>
      </c>
      <c r="DR379" s="2588">
        <v>0.88100000000000001</v>
      </c>
      <c r="DS379" s="2584">
        <v>0.88800000000000001</v>
      </c>
      <c r="DT379" s="2584">
        <v>0.89400000000000002</v>
      </c>
      <c r="DU379" s="2589">
        <v>0.90100000000000002</v>
      </c>
      <c r="DV379" s="2584">
        <v>0.90700000000000003</v>
      </c>
      <c r="DW379" s="2584">
        <f t="shared" ref="DW379" si="1780">+DV379+0.005</f>
        <v>0.91200000000000003</v>
      </c>
      <c r="DX379" s="2584">
        <f t="shared" ref="DX379" si="1781">+DW379+0.005</f>
        <v>0.91700000000000004</v>
      </c>
      <c r="DY379" s="2589">
        <f t="shared" ref="DY379" si="1782">+DX379+0.005</f>
        <v>0.92200000000000004</v>
      </c>
    </row>
    <row r="380" spans="1:129" s="2141" customFormat="1" ht="15" customHeight="1">
      <c r="A380" s="1943" t="s">
        <v>1514</v>
      </c>
      <c r="R380" s="2141">
        <f>+CS380</f>
        <v>23275.000000000004</v>
      </c>
      <c r="S380" s="2141">
        <f>+CW380</f>
        <v>38011.17</v>
      </c>
      <c r="T380" s="2141">
        <f>+DA380</f>
        <v>53759.929999999993</v>
      </c>
      <c r="U380" s="2141">
        <f>+DE380</f>
        <v>67726.399999999994</v>
      </c>
      <c r="V380" s="2141">
        <f>+DI380</f>
        <v>80234.093999999997</v>
      </c>
      <c r="W380" s="2141">
        <f>+DM380</f>
        <v>89483.51999999999</v>
      </c>
      <c r="X380" s="2141">
        <f>+DQ380</f>
        <v>94978.907999999996</v>
      </c>
      <c r="Y380" s="2141">
        <f>+DU380</f>
        <v>99879.453999999998</v>
      </c>
      <c r="Z380" s="2141">
        <f ca="1">+DY380</f>
        <v>104302.38086576518</v>
      </c>
      <c r="AA380" s="2141">
        <f ca="1">+AA379*AA381</f>
        <v>105901.82298378383</v>
      </c>
      <c r="AB380" s="2141">
        <f ca="1">+AB379*AB381</f>
        <v>108089.73424683839</v>
      </c>
      <c r="AC380" s="2141">
        <f t="shared" ref="AC380:AG380" ca="1" si="1783">+AC379*AC381</f>
        <v>110107.45018470849</v>
      </c>
      <c r="AD380" s="2141">
        <f t="shared" ca="1" si="1783"/>
        <v>111983.64526814272</v>
      </c>
      <c r="AE380" s="2141">
        <f t="shared" ca="1" si="1783"/>
        <v>113743.1647503267</v>
      </c>
      <c r="AF380" s="2141">
        <f t="shared" ca="1" si="1783"/>
        <v>115407.62571210459</v>
      </c>
      <c r="AG380" s="2141">
        <f t="shared" ca="1" si="1783"/>
        <v>116995.92313590682</v>
      </c>
      <c r="AH380" s="1936"/>
      <c r="AI380" s="1952"/>
      <c r="AP380" s="1936"/>
      <c r="AT380" s="1936"/>
      <c r="AX380" s="1936"/>
      <c r="BB380" s="1936"/>
      <c r="BF380" s="1936"/>
      <c r="BJ380" s="1936"/>
      <c r="BN380" s="1936"/>
      <c r="BR380" s="1936"/>
      <c r="BV380" s="1936"/>
      <c r="BZ380" s="1936"/>
      <c r="CD380" s="1936"/>
      <c r="CH380" s="1936"/>
      <c r="CL380" s="1936"/>
      <c r="CP380" s="1936">
        <f>+CP379*CP381</f>
        <v>15049.632</v>
      </c>
      <c r="CQ380" s="2141">
        <f t="shared" ref="CQ380:DF380" si="1784">+CQ379*CQ381</f>
        <v>17375.048999999999</v>
      </c>
      <c r="CR380" s="2141">
        <f t="shared" si="1784"/>
        <v>20070.707999999999</v>
      </c>
      <c r="CS380" s="2141">
        <f t="shared" si="1784"/>
        <v>23275.000000000004</v>
      </c>
      <c r="CT380" s="1936">
        <f t="shared" si="1784"/>
        <v>27057.982</v>
      </c>
      <c r="CU380" s="2141">
        <f t="shared" si="1784"/>
        <v>30619.11</v>
      </c>
      <c r="CV380" s="2141">
        <f t="shared" si="1784"/>
        <v>33780.6</v>
      </c>
      <c r="CW380" s="2141">
        <f t="shared" si="1784"/>
        <v>38011.17</v>
      </c>
      <c r="CX380" s="1936">
        <f t="shared" si="1784"/>
        <v>41166.684000000001</v>
      </c>
      <c r="CY380" s="2141">
        <f t="shared" si="1784"/>
        <v>44152.485999999997</v>
      </c>
      <c r="CZ380" s="2141">
        <f t="shared" si="1784"/>
        <v>48068.328000000001</v>
      </c>
      <c r="DA380" s="2141">
        <f t="shared" si="1784"/>
        <v>53759.929999999993</v>
      </c>
      <c r="DB380" s="1936">
        <f t="shared" si="1784"/>
        <v>57216.203999999998</v>
      </c>
      <c r="DC380" s="2141">
        <f t="shared" si="1784"/>
        <v>60710.524000000005</v>
      </c>
      <c r="DD380" s="2141">
        <f t="shared" si="1784"/>
        <v>63964.320000000007</v>
      </c>
      <c r="DE380" s="2141">
        <f t="shared" si="1784"/>
        <v>67726.399999999994</v>
      </c>
      <c r="DF380" s="1936">
        <f t="shared" si="1784"/>
        <v>70328.379000000001</v>
      </c>
      <c r="DG380" s="2141">
        <f t="shared" ref="DG380:DM380" si="1785">+DG379*DG381</f>
        <v>73550.377999999997</v>
      </c>
      <c r="DH380" s="2141">
        <f t="shared" si="1785"/>
        <v>76578.794999999998</v>
      </c>
      <c r="DI380" s="2472">
        <f t="shared" si="1785"/>
        <v>80234.093999999997</v>
      </c>
      <c r="DJ380" s="1936">
        <f t="shared" si="1785"/>
        <v>82109.600000000006</v>
      </c>
      <c r="DK380" s="2141">
        <f t="shared" si="1785"/>
        <v>84022.11</v>
      </c>
      <c r="DL380" s="2141">
        <f t="shared" si="1785"/>
        <v>86118.86</v>
      </c>
      <c r="DM380" s="2472">
        <f t="shared" si="1785"/>
        <v>89483.51999999999</v>
      </c>
      <c r="DN380" s="2141">
        <f t="shared" ref="DN380:DO380" si="1786">+DN379*DN381</f>
        <v>90773.837</v>
      </c>
      <c r="DO380" s="2141">
        <f t="shared" si="1786"/>
        <v>92151.9</v>
      </c>
      <c r="DP380" s="2141">
        <f t="shared" ref="DP380:DQ380" si="1787">+DP379*DP381</f>
        <v>93393.86</v>
      </c>
      <c r="DQ380" s="2472">
        <f t="shared" si="1787"/>
        <v>94978.907999999996</v>
      </c>
      <c r="DR380" s="1936">
        <f t="shared" ref="DR380" si="1788">+DR379*DR381</f>
        <v>95573.523000000001</v>
      </c>
      <c r="DS380" s="2141">
        <f t="shared" ref="DS380:DT380" si="1789">+DS379*DS381</f>
        <v>96870.144</v>
      </c>
      <c r="DT380" s="2141">
        <f t="shared" si="1789"/>
        <v>98059.284</v>
      </c>
      <c r="DU380" s="2472">
        <f t="shared" ref="DU380" si="1790">+DU379*DU381</f>
        <v>99879.453999999998</v>
      </c>
      <c r="DV380" s="2141">
        <f t="shared" ref="DV380" si="1791">+DV379*DV381</f>
        <v>100780.398</v>
      </c>
      <c r="DW380" s="2141">
        <f t="shared" ref="DW380:DY380" ca="1" si="1792">+DW379*DW381</f>
        <v>101762.87616047333</v>
      </c>
      <c r="DX380" s="2141">
        <f t="shared" ca="1" si="1792"/>
        <v>102765.29556962824</v>
      </c>
      <c r="DY380" s="2472">
        <f t="shared" ca="1" si="1792"/>
        <v>104302.38086576518</v>
      </c>
    </row>
    <row r="381" spans="1:129" s="2141" customFormat="1" ht="15" customHeight="1">
      <c r="A381" s="1943" t="s">
        <v>1515</v>
      </c>
      <c r="P381" s="2141">
        <f t="shared" ref="P381:AA381" si="1793">+P254</f>
        <v>76385</v>
      </c>
      <c r="Q381" s="2141">
        <f t="shared" si="1793"/>
        <v>80495</v>
      </c>
      <c r="R381" s="2141">
        <f t="shared" si="1793"/>
        <v>83125</v>
      </c>
      <c r="S381" s="2141">
        <f t="shared" si="1793"/>
        <v>87382</v>
      </c>
      <c r="T381" s="2141">
        <f t="shared" si="1793"/>
        <v>92530</v>
      </c>
      <c r="U381" s="2141">
        <f t="shared" si="1793"/>
        <v>96752</v>
      </c>
      <c r="V381" s="2141">
        <f t="shared" si="1793"/>
        <v>102079</v>
      </c>
      <c r="W381" s="2141">
        <f t="shared" si="1793"/>
        <v>106528</v>
      </c>
      <c r="X381" s="2141">
        <f>+X254</f>
        <v>108796</v>
      </c>
      <c r="Y381" s="2141">
        <f>+Y254</f>
        <v>110854</v>
      </c>
      <c r="Z381" s="2141">
        <f ca="1">+Z254</f>
        <v>113126.22653553708</v>
      </c>
      <c r="AA381" s="2141">
        <f t="shared" ca="1" si="1793"/>
        <v>115110.67715628677</v>
      </c>
      <c r="AB381" s="2141">
        <f t="shared" ref="AB381:AG381" ca="1" si="1794">+AB254</f>
        <v>116853.76675333879</v>
      </c>
      <c r="AC381" s="2141">
        <f t="shared" ca="1" si="1794"/>
        <v>118395.107725493</v>
      </c>
      <c r="AD381" s="2141">
        <f t="shared" ca="1" si="1794"/>
        <v>119768.60456485851</v>
      </c>
      <c r="AE381" s="2141">
        <f t="shared" ca="1" si="1794"/>
        <v>121003.36675566669</v>
      </c>
      <c r="AF381" s="2141">
        <f t="shared" ca="1" si="1794"/>
        <v>122124.47165302072</v>
      </c>
      <c r="AG381" s="2141">
        <f t="shared" ca="1" si="1794"/>
        <v>123153.60330095454</v>
      </c>
      <c r="AH381" s="1936"/>
      <c r="AI381" s="1952"/>
      <c r="AP381" s="1936"/>
      <c r="AT381" s="1936"/>
      <c r="AX381" s="1936"/>
      <c r="BB381" s="1936"/>
      <c r="BF381" s="1936"/>
      <c r="BJ381" s="1936"/>
      <c r="BN381" s="1936"/>
      <c r="BR381" s="1936"/>
      <c r="BV381" s="1936"/>
      <c r="BZ381" s="1936"/>
      <c r="CD381" s="1936"/>
      <c r="CH381" s="1936"/>
      <c r="CL381" s="1936"/>
      <c r="CP381" s="1936">
        <f t="shared" ref="CP381:DJ381" si="1795">+CP254</f>
        <v>80912</v>
      </c>
      <c r="CQ381" s="2141">
        <f t="shared" si="1795"/>
        <v>81573</v>
      </c>
      <c r="CR381" s="2141">
        <f t="shared" si="1795"/>
        <v>82257</v>
      </c>
      <c r="CS381" s="2141">
        <f t="shared" si="1795"/>
        <v>83125</v>
      </c>
      <c r="CT381" s="1936">
        <f t="shared" si="1795"/>
        <v>84031</v>
      </c>
      <c r="CU381" s="2141">
        <f t="shared" si="1795"/>
        <v>85290</v>
      </c>
      <c r="CV381" s="2141">
        <f t="shared" si="1795"/>
        <v>86175</v>
      </c>
      <c r="CW381" s="2141">
        <f t="shared" si="1795"/>
        <v>87382</v>
      </c>
      <c r="CX381" s="1936">
        <f t="shared" si="1795"/>
        <v>87963</v>
      </c>
      <c r="CY381" s="2141">
        <f t="shared" si="1795"/>
        <v>88838</v>
      </c>
      <c r="CZ381" s="2141">
        <f t="shared" si="1795"/>
        <v>90354</v>
      </c>
      <c r="DA381" s="2141">
        <f t="shared" si="1795"/>
        <v>92530</v>
      </c>
      <c r="DB381" s="1936">
        <f t="shared" si="1795"/>
        <v>93186</v>
      </c>
      <c r="DC381" s="2141">
        <f t="shared" si="1795"/>
        <v>94271</v>
      </c>
      <c r="DD381" s="2141">
        <f t="shared" si="1795"/>
        <v>95185</v>
      </c>
      <c r="DE381" s="2141">
        <f t="shared" si="1795"/>
        <v>96752</v>
      </c>
      <c r="DF381" s="1936">
        <f t="shared" si="1795"/>
        <v>97273</v>
      </c>
      <c r="DG381" s="2141">
        <f t="shared" si="1795"/>
        <v>98593</v>
      </c>
      <c r="DH381" s="2141">
        <f t="shared" si="1795"/>
        <v>100103</v>
      </c>
      <c r="DI381" s="2472">
        <f t="shared" si="1795"/>
        <v>102079</v>
      </c>
      <c r="DJ381" s="1936">
        <f t="shared" si="1795"/>
        <v>102637</v>
      </c>
      <c r="DK381" s="2141">
        <f t="shared" ref="DK381:DM381" si="1796">+DK254</f>
        <v>103731</v>
      </c>
      <c r="DL381" s="2141">
        <f t="shared" si="1796"/>
        <v>105023</v>
      </c>
      <c r="DM381" s="2472">
        <f t="shared" si="1796"/>
        <v>106528</v>
      </c>
      <c r="DN381" s="2141">
        <f t="shared" ref="DN381:DO381" si="1797">+DN254</f>
        <v>107171</v>
      </c>
      <c r="DO381" s="2141">
        <f t="shared" si="1797"/>
        <v>107780</v>
      </c>
      <c r="DP381" s="2141">
        <f t="shared" ref="DP381:DQ381" si="1798">+DP254</f>
        <v>108220</v>
      </c>
      <c r="DQ381" s="2472">
        <f t="shared" si="1798"/>
        <v>108796</v>
      </c>
      <c r="DR381" s="1936">
        <f t="shared" ref="DR381" si="1799">+DR254</f>
        <v>108483</v>
      </c>
      <c r="DS381" s="2141">
        <f t="shared" ref="DS381:DT381" si="1800">+DS254</f>
        <v>109088</v>
      </c>
      <c r="DT381" s="2141">
        <f t="shared" si="1800"/>
        <v>109686</v>
      </c>
      <c r="DU381" s="2472">
        <f t="shared" ref="DU381" si="1801">+DU254</f>
        <v>110854</v>
      </c>
      <c r="DV381" s="2141">
        <f t="shared" ref="DV381" si="1802">+DV254</f>
        <v>111114</v>
      </c>
      <c r="DW381" s="2141">
        <f t="shared" ref="DW381:DY381" ca="1" si="1803">+DW254</f>
        <v>111582.10105315057</v>
      </c>
      <c r="DX381" s="2141">
        <f t="shared" ca="1" si="1803"/>
        <v>112066.84358738085</v>
      </c>
      <c r="DY381" s="2472">
        <f t="shared" ca="1" si="1803"/>
        <v>113126.22653553708</v>
      </c>
    </row>
    <row r="382" spans="1:129" ht="15" customHeight="1">
      <c r="B382" s="2207"/>
      <c r="C382" s="2207"/>
      <c r="D382" s="2207"/>
      <c r="E382" s="2207"/>
      <c r="F382" s="2207"/>
      <c r="G382" s="2207"/>
      <c r="H382" s="2207"/>
      <c r="I382" s="2207"/>
      <c r="J382" s="2207"/>
      <c r="K382" s="2207"/>
      <c r="L382" s="2207"/>
      <c r="M382" s="2207"/>
      <c r="N382" s="2207"/>
      <c r="O382" s="2207"/>
      <c r="P382" s="2207"/>
      <c r="Q382" s="2207"/>
      <c r="R382" s="2207"/>
      <c r="S382" s="2207"/>
      <c r="T382" s="2207"/>
      <c r="U382" s="2207"/>
      <c r="V382" s="2207"/>
      <c r="W382" s="2207"/>
      <c r="X382" s="2207"/>
      <c r="Y382" s="2207"/>
      <c r="Z382" s="2207"/>
      <c r="AA382" s="2207"/>
      <c r="AB382" s="2207"/>
      <c r="AC382" s="2207"/>
      <c r="AD382" s="2207"/>
      <c r="AE382" s="2207"/>
      <c r="AF382" s="2207"/>
      <c r="AG382" s="2207"/>
      <c r="AH382" s="2201"/>
      <c r="AI382" s="1927"/>
      <c r="AK382" s="2207"/>
      <c r="AL382" s="2207"/>
      <c r="AM382" s="2207"/>
      <c r="AN382" s="2207"/>
      <c r="AO382" s="2207"/>
      <c r="AP382" s="2208"/>
      <c r="AQ382" s="2207"/>
      <c r="AR382" s="2207"/>
      <c r="AS382" s="2207"/>
      <c r="AT382" s="2208"/>
      <c r="AU382" s="2207"/>
      <c r="AV382" s="2207"/>
      <c r="AW382" s="2207"/>
      <c r="AX382" s="2208"/>
      <c r="AY382" s="2207"/>
      <c r="AZ382" s="2207"/>
      <c r="BA382" s="2207"/>
      <c r="BB382" s="2208"/>
      <c r="BC382" s="2207"/>
      <c r="BD382" s="2207"/>
      <c r="BE382" s="2207"/>
      <c r="BF382" s="2208"/>
      <c r="BG382" s="2207"/>
      <c r="BH382" s="2207"/>
      <c r="BI382" s="2207"/>
      <c r="BJ382" s="2208"/>
      <c r="BK382" s="2207"/>
      <c r="BL382" s="2207"/>
      <c r="BM382" s="2207"/>
      <c r="BN382" s="2208"/>
      <c r="BO382" s="2207"/>
      <c r="BP382" s="2207"/>
      <c r="BQ382" s="2207"/>
      <c r="BR382" s="2208"/>
      <c r="BS382" s="2207"/>
      <c r="BT382" s="2207"/>
      <c r="BU382" s="2207"/>
      <c r="BV382" s="2208"/>
      <c r="BW382" s="2207"/>
      <c r="BX382" s="2207"/>
      <c r="BY382" s="2207"/>
      <c r="BZ382" s="2208"/>
      <c r="CA382" s="2207"/>
      <c r="CB382" s="2207"/>
      <c r="CC382" s="2207"/>
      <c r="CD382" s="2208"/>
      <c r="CE382" s="2207"/>
      <c r="CF382" s="2207"/>
      <c r="CG382" s="2207"/>
      <c r="CH382" s="2208"/>
      <c r="CI382" s="2207"/>
      <c r="CJ382" s="2207"/>
      <c r="CK382" s="2207"/>
      <c r="CL382" s="2208"/>
      <c r="CM382" s="2207"/>
      <c r="CN382" s="2207"/>
      <c r="CO382" s="2207"/>
      <c r="CP382" s="2208"/>
      <c r="CQ382" s="2207"/>
      <c r="CR382" s="2207"/>
      <c r="CS382" s="2207"/>
      <c r="CT382" s="2208"/>
      <c r="CU382" s="2207"/>
      <c r="CV382" s="2207"/>
      <c r="CW382" s="2207"/>
      <c r="CX382" s="2208"/>
      <c r="CY382" s="2207"/>
      <c r="CZ382" s="2207"/>
      <c r="DA382" s="2207"/>
      <c r="DB382" s="2208"/>
      <c r="DC382" s="2207"/>
      <c r="DD382" s="2207"/>
      <c r="DE382" s="2207"/>
      <c r="DF382" s="2208"/>
      <c r="DG382" s="2207"/>
      <c r="DH382" s="2207"/>
      <c r="DI382" s="2209"/>
      <c r="DJ382" s="2208"/>
      <c r="DK382" s="2207"/>
      <c r="DL382" s="2207"/>
      <c r="DM382" s="2209"/>
      <c r="DN382" s="2207"/>
      <c r="DO382" s="2207"/>
      <c r="DP382" s="2207"/>
      <c r="DQ382" s="2209"/>
      <c r="DR382" s="2208"/>
      <c r="DS382" s="2207"/>
      <c r="DT382" s="2207"/>
      <c r="DU382" s="2209"/>
      <c r="DV382" s="2207"/>
      <c r="DW382" s="2207"/>
      <c r="DX382" s="2207"/>
      <c r="DY382" s="2209"/>
    </row>
    <row r="383" spans="1:129" s="1491" customFormat="1" ht="15" customHeight="1">
      <c r="A383" s="198" t="s">
        <v>1536</v>
      </c>
      <c r="B383" s="1476"/>
      <c r="C383" s="1476"/>
      <c r="D383" s="1476"/>
      <c r="E383" s="1476"/>
      <c r="F383" s="1476"/>
      <c r="G383" s="1476"/>
      <c r="H383" s="1476"/>
      <c r="I383" s="1476"/>
      <c r="J383" s="1476"/>
      <c r="K383" s="1476"/>
      <c r="L383" s="1476"/>
      <c r="M383" s="1476"/>
      <c r="N383" s="1476"/>
      <c r="O383" s="1476"/>
      <c r="P383" s="1089">
        <f t="shared" ref="P383:AA383" si="1804">+P5</f>
        <v>2008</v>
      </c>
      <c r="Q383" s="1089">
        <f t="shared" si="1804"/>
        <v>2009</v>
      </c>
      <c r="R383" s="1089">
        <f t="shared" si="1804"/>
        <v>2010</v>
      </c>
      <c r="S383" s="1089">
        <f t="shared" si="1804"/>
        <v>2011</v>
      </c>
      <c r="T383" s="1089">
        <f t="shared" si="1804"/>
        <v>2012</v>
      </c>
      <c r="U383" s="1089">
        <f t="shared" si="1804"/>
        <v>2013</v>
      </c>
      <c r="V383" s="1089" t="str">
        <f t="shared" si="1804"/>
        <v>2014</v>
      </c>
      <c r="W383" s="1089" t="str">
        <f t="shared" si="1804"/>
        <v>2015</v>
      </c>
      <c r="X383" s="1089" t="str">
        <f t="shared" si="1804"/>
        <v>2016</v>
      </c>
      <c r="Y383" s="1089" t="str">
        <f t="shared" ref="Y383:Z383" si="1805">+Y5</f>
        <v>2017</v>
      </c>
      <c r="Z383" s="1089" t="str">
        <f t="shared" si="1805"/>
        <v>2018E</v>
      </c>
      <c r="AA383" s="1089" t="str">
        <f t="shared" si="1804"/>
        <v>2019E</v>
      </c>
      <c r="AB383" s="1089" t="str">
        <f t="shared" ref="AB383:AG383" si="1806">+AB5</f>
        <v>2020E</v>
      </c>
      <c r="AC383" s="1089" t="str">
        <f t="shared" si="1806"/>
        <v>2021E</v>
      </c>
      <c r="AD383" s="1089" t="str">
        <f t="shared" si="1806"/>
        <v>2022E</v>
      </c>
      <c r="AE383" s="1089" t="str">
        <f t="shared" si="1806"/>
        <v>2023E</v>
      </c>
      <c r="AF383" s="1089" t="str">
        <f t="shared" si="1806"/>
        <v>2024E</v>
      </c>
      <c r="AG383" s="1089" t="str">
        <f t="shared" si="1806"/>
        <v>2025E</v>
      </c>
      <c r="AH383" s="2201"/>
      <c r="AI383" s="1927"/>
      <c r="AJ383" s="1561"/>
      <c r="AK383" s="1476"/>
      <c r="AL383" s="1476"/>
      <c r="AM383" s="1476"/>
      <c r="AN383" s="1476"/>
      <c r="AO383" s="1476"/>
      <c r="AP383" s="798"/>
      <c r="AQ383" s="1476"/>
      <c r="AR383" s="1476"/>
      <c r="AS383" s="1476"/>
      <c r="AT383" s="798"/>
      <c r="AU383" s="1476"/>
      <c r="AV383" s="1476"/>
      <c r="AW383" s="1476"/>
      <c r="AX383" s="798"/>
      <c r="AY383" s="1476"/>
      <c r="AZ383" s="1476"/>
      <c r="BA383" s="1476"/>
      <c r="BB383" s="798"/>
      <c r="BC383" s="1476"/>
      <c r="BD383" s="1476"/>
      <c r="BE383" s="1476"/>
      <c r="BF383" s="798"/>
      <c r="BG383" s="1476"/>
      <c r="BH383" s="1476"/>
      <c r="BI383" s="1476"/>
      <c r="BJ383" s="798"/>
      <c r="BK383" s="1476"/>
      <c r="BL383" s="1476"/>
      <c r="BM383" s="1476"/>
      <c r="BN383" s="798"/>
      <c r="BO383" s="1476"/>
      <c r="BP383" s="1476"/>
      <c r="BQ383" s="1476"/>
      <c r="BR383" s="798"/>
      <c r="BS383" s="1476"/>
      <c r="BT383" s="1476"/>
      <c r="BU383" s="1476"/>
      <c r="BV383" s="798"/>
      <c r="BW383" s="1476"/>
      <c r="BX383" s="1476"/>
      <c r="BY383" s="1476"/>
      <c r="BZ383" s="798"/>
      <c r="CA383" s="1476"/>
      <c r="CB383" s="1476"/>
      <c r="CC383" s="1476"/>
      <c r="CD383" s="798"/>
      <c r="CE383" s="1476"/>
      <c r="CF383" s="1476"/>
      <c r="CG383" s="1476"/>
      <c r="CH383" s="640" t="str">
        <f t="shared" ref="CH383:DN383" si="1807">+CH5</f>
        <v>1Q08</v>
      </c>
      <c r="CI383" s="1089" t="str">
        <f t="shared" si="1807"/>
        <v>2Q08</v>
      </c>
      <c r="CJ383" s="1089" t="str">
        <f t="shared" si="1807"/>
        <v>3Q08</v>
      </c>
      <c r="CK383" s="1089" t="str">
        <f t="shared" si="1807"/>
        <v>4Q08</v>
      </c>
      <c r="CL383" s="640" t="str">
        <f t="shared" si="1807"/>
        <v>1Q09</v>
      </c>
      <c r="CM383" s="1089" t="str">
        <f t="shared" si="1807"/>
        <v>2Q09</v>
      </c>
      <c r="CN383" s="1089" t="str">
        <f t="shared" si="1807"/>
        <v>3Q09</v>
      </c>
      <c r="CO383" s="1089" t="str">
        <f t="shared" si="1807"/>
        <v>4Q09</v>
      </c>
      <c r="CP383" s="640" t="str">
        <f t="shared" si="1807"/>
        <v>1Q10</v>
      </c>
      <c r="CQ383" s="1089" t="str">
        <f t="shared" si="1807"/>
        <v>2Q10</v>
      </c>
      <c r="CR383" s="1089" t="str">
        <f t="shared" si="1807"/>
        <v>3Q10</v>
      </c>
      <c r="CS383" s="1089" t="str">
        <f t="shared" si="1807"/>
        <v>4Q10</v>
      </c>
      <c r="CT383" s="640" t="str">
        <f t="shared" si="1807"/>
        <v>1Q11</v>
      </c>
      <c r="CU383" s="1089" t="str">
        <f t="shared" si="1807"/>
        <v>2Q11</v>
      </c>
      <c r="CV383" s="1089" t="str">
        <f t="shared" si="1807"/>
        <v>3Q11</v>
      </c>
      <c r="CW383" s="1089" t="str">
        <f t="shared" si="1807"/>
        <v>4Q11</v>
      </c>
      <c r="CX383" s="640" t="str">
        <f t="shared" si="1807"/>
        <v>1Q12</v>
      </c>
      <c r="CY383" s="1089" t="str">
        <f t="shared" si="1807"/>
        <v>2Q12</v>
      </c>
      <c r="CZ383" s="1089" t="str">
        <f t="shared" si="1807"/>
        <v>3Q12</v>
      </c>
      <c r="DA383" s="1089" t="str">
        <f t="shared" si="1807"/>
        <v>4Q12</v>
      </c>
      <c r="DB383" s="640" t="str">
        <f t="shared" si="1807"/>
        <v>1Q13</v>
      </c>
      <c r="DC383" s="1089" t="str">
        <f t="shared" si="1807"/>
        <v>2Q13</v>
      </c>
      <c r="DD383" s="1089" t="str">
        <f t="shared" si="1807"/>
        <v>3Q13</v>
      </c>
      <c r="DE383" s="1089" t="str">
        <f t="shared" si="1807"/>
        <v>4Q13</v>
      </c>
      <c r="DF383" s="640" t="str">
        <f t="shared" si="1807"/>
        <v>1Q14</v>
      </c>
      <c r="DG383" s="1089" t="str">
        <f t="shared" si="1807"/>
        <v>2Q14</v>
      </c>
      <c r="DH383" s="1089" t="str">
        <f t="shared" si="1807"/>
        <v>3Q14</v>
      </c>
      <c r="DI383" s="641" t="str">
        <f t="shared" si="1807"/>
        <v>4Q14</v>
      </c>
      <c r="DJ383" s="640" t="str">
        <f t="shared" si="1807"/>
        <v>1Q15</v>
      </c>
      <c r="DK383" s="1089" t="str">
        <f t="shared" si="1807"/>
        <v>2Q15</v>
      </c>
      <c r="DL383" s="1089" t="str">
        <f t="shared" si="1807"/>
        <v>3Q15</v>
      </c>
      <c r="DM383" s="641" t="str">
        <f t="shared" si="1807"/>
        <v>4Q15</v>
      </c>
      <c r="DN383" s="1089" t="str">
        <f t="shared" si="1807"/>
        <v>1Q16</v>
      </c>
      <c r="DO383" s="1089" t="str">
        <f t="shared" ref="DO383:DP383" si="1808">+DO5</f>
        <v>2Q16</v>
      </c>
      <c r="DP383" s="1089" t="str">
        <f t="shared" si="1808"/>
        <v>3Q16</v>
      </c>
      <c r="DQ383" s="641" t="str">
        <f t="shared" ref="DQ383" si="1809">+DQ5</f>
        <v>4Q16</v>
      </c>
      <c r="DR383" s="640" t="str">
        <f t="shared" ref="DR383" si="1810">+DR5</f>
        <v>1Q17</v>
      </c>
      <c r="DS383" s="1089" t="str">
        <f t="shared" ref="DS383:DT383" si="1811">+DS5</f>
        <v>2Q17</v>
      </c>
      <c r="DT383" s="1089" t="str">
        <f t="shared" si="1811"/>
        <v>3Q17</v>
      </c>
      <c r="DU383" s="641" t="str">
        <f t="shared" ref="DU383" si="1812">+DU5</f>
        <v>4Q17</v>
      </c>
      <c r="DV383" s="1089" t="str">
        <f t="shared" ref="DV383" si="1813">+DV5</f>
        <v>1Q18</v>
      </c>
      <c r="DW383" s="1089" t="str">
        <f t="shared" ref="DW383:DY383" si="1814">+DW5</f>
        <v>2Q18E</v>
      </c>
      <c r="DX383" s="1089" t="str">
        <f t="shared" si="1814"/>
        <v>3Q18E</v>
      </c>
      <c r="DY383" s="641" t="str">
        <f t="shared" si="1814"/>
        <v>4Q18E</v>
      </c>
    </row>
    <row r="384" spans="1:129" ht="15" customHeight="1">
      <c r="A384" s="1930"/>
      <c r="B384" s="2207"/>
      <c r="C384" s="2207"/>
      <c r="D384" s="2207"/>
      <c r="E384" s="2207"/>
      <c r="F384" s="2207"/>
      <c r="G384" s="2207"/>
      <c r="H384" s="2207"/>
      <c r="I384" s="2207"/>
      <c r="J384" s="2207"/>
      <c r="K384" s="2207"/>
      <c r="L384" s="2207"/>
      <c r="M384" s="2207"/>
      <c r="N384" s="2207"/>
      <c r="O384" s="2207"/>
      <c r="P384" s="2207"/>
      <c r="Q384" s="2207"/>
      <c r="R384" s="2207"/>
      <c r="S384" s="2207"/>
      <c r="T384" s="2207"/>
      <c r="U384" s="2207"/>
      <c r="V384" s="2207"/>
      <c r="W384" s="2207"/>
      <c r="X384" s="2207"/>
      <c r="Y384" s="2207"/>
      <c r="Z384" s="2207"/>
      <c r="AA384" s="2207"/>
      <c r="AB384" s="2207"/>
      <c r="AC384" s="2207"/>
      <c r="AD384" s="2207"/>
      <c r="AE384" s="2207"/>
      <c r="AF384" s="2207"/>
      <c r="AG384" s="2207"/>
      <c r="AH384" s="2201"/>
      <c r="AI384" s="1927"/>
      <c r="AK384" s="2207"/>
      <c r="AL384" s="2207"/>
      <c r="AM384" s="2207"/>
      <c r="AN384" s="2207"/>
      <c r="AO384" s="2207"/>
      <c r="AP384" s="2208"/>
      <c r="AQ384" s="2207"/>
      <c r="AR384" s="2207"/>
      <c r="AS384" s="2207"/>
      <c r="AT384" s="2208"/>
      <c r="AU384" s="2207"/>
      <c r="AV384" s="2207"/>
      <c r="AW384" s="2207"/>
      <c r="AX384" s="2208"/>
      <c r="AY384" s="2207"/>
      <c r="AZ384" s="2207"/>
      <c r="BA384" s="2207"/>
      <c r="BB384" s="2208"/>
      <c r="BC384" s="2207"/>
      <c r="BD384" s="2207"/>
      <c r="BE384" s="2207"/>
      <c r="BF384" s="2208"/>
      <c r="BG384" s="2207"/>
      <c r="BH384" s="2207"/>
      <c r="BI384" s="2207"/>
      <c r="BJ384" s="2208"/>
      <c r="BK384" s="2207"/>
      <c r="BL384" s="2207"/>
      <c r="BM384" s="2207"/>
      <c r="BN384" s="2208"/>
      <c r="BO384" s="2207"/>
      <c r="BP384" s="2207"/>
      <c r="BQ384" s="2207"/>
      <c r="BR384" s="2208"/>
      <c r="BS384" s="2207"/>
      <c r="BT384" s="2207"/>
      <c r="BU384" s="2207"/>
      <c r="BV384" s="2208"/>
      <c r="BW384" s="2207"/>
      <c r="BX384" s="2207"/>
      <c r="BY384" s="2207"/>
      <c r="BZ384" s="2208"/>
      <c r="CA384" s="2207"/>
      <c r="CB384" s="2207"/>
      <c r="CC384" s="2207"/>
      <c r="CD384" s="2208"/>
      <c r="CE384" s="2207"/>
      <c r="CF384" s="2207"/>
      <c r="CG384" s="2207"/>
      <c r="CH384" s="2208"/>
      <c r="CI384" s="2207"/>
      <c r="CJ384" s="2207"/>
      <c r="CK384" s="2207"/>
      <c r="CL384" s="2208"/>
      <c r="CM384" s="2207"/>
      <c r="CN384" s="2207"/>
      <c r="CO384" s="2207"/>
      <c r="CP384" s="2208"/>
      <c r="CQ384" s="2207"/>
      <c r="CR384" s="2207"/>
      <c r="CS384" s="2207"/>
      <c r="CT384" s="2208"/>
      <c r="CU384" s="2207"/>
      <c r="CV384" s="2207"/>
      <c r="CW384" s="2207"/>
      <c r="CX384" s="2208"/>
      <c r="CY384" s="2207"/>
      <c r="CZ384" s="2207"/>
      <c r="DA384" s="2207"/>
      <c r="DB384" s="2208"/>
      <c r="DC384" s="2207"/>
      <c r="DD384" s="2207"/>
      <c r="DE384" s="2207"/>
      <c r="DF384" s="2208"/>
      <c r="DG384" s="2207"/>
      <c r="DH384" s="2207"/>
      <c r="DI384" s="2209"/>
      <c r="DJ384" s="2208"/>
      <c r="DK384" s="2207"/>
      <c r="DL384" s="2207"/>
      <c r="DM384" s="2209"/>
      <c r="DN384" s="2207"/>
      <c r="DO384" s="2207"/>
      <c r="DP384" s="2207"/>
      <c r="DQ384" s="2209"/>
      <c r="DR384" s="2208"/>
      <c r="DS384" s="2207"/>
      <c r="DT384" s="2207"/>
      <c r="DU384" s="2209"/>
      <c r="DV384" s="2207"/>
      <c r="DW384" s="2207"/>
      <c r="DX384" s="2207"/>
      <c r="DY384" s="2209"/>
    </row>
    <row r="385" spans="1:131" s="2141" customFormat="1" ht="15" customHeight="1">
      <c r="A385" s="1931" t="s">
        <v>1508</v>
      </c>
      <c r="U385" s="2141">
        <f t="shared" ref="U385:V385" si="1815">+U370</f>
        <v>33600</v>
      </c>
      <c r="V385" s="2141">
        <f t="shared" si="1815"/>
        <v>36447.404158832003</v>
      </c>
      <c r="W385" s="2141">
        <f t="shared" ref="W385:AB385" si="1816">+W370</f>
        <v>35961.339078235993</v>
      </c>
      <c r="X385" s="2141">
        <f t="shared" si="1816"/>
        <v>33280.993316231004</v>
      </c>
      <c r="Y385" s="2141">
        <f t="shared" si="1816"/>
        <v>32090.380903190995</v>
      </c>
      <c r="Z385" s="2141">
        <f t="shared" ca="1" si="1816"/>
        <v>31843.101054205792</v>
      </c>
      <c r="AA385" s="2141">
        <f t="shared" ca="1" si="1816"/>
        <v>31158.790335181238</v>
      </c>
      <c r="AB385" s="2141">
        <f t="shared" ca="1" si="1816"/>
        <v>30809.856661608163</v>
      </c>
      <c r="AC385" s="2141">
        <f t="shared" ref="AC385:AG385" ca="1" si="1817">+AC370</f>
        <v>30410.908505371259</v>
      </c>
      <c r="AD385" s="2141">
        <f t="shared" ca="1" si="1817"/>
        <v>29970.96811917326</v>
      </c>
      <c r="AE385" s="2141">
        <f t="shared" ca="1" si="1817"/>
        <v>29497.556798599842</v>
      </c>
      <c r="AF385" s="2141">
        <f t="shared" ca="1" si="1817"/>
        <v>28996.944131581968</v>
      </c>
      <c r="AG385" s="2141">
        <f t="shared" ca="1" si="1817"/>
        <v>28474.353792153524</v>
      </c>
      <c r="AH385" s="1936"/>
      <c r="AI385" s="1952"/>
      <c r="AP385" s="1936"/>
      <c r="AT385" s="1936"/>
      <c r="AX385" s="1936"/>
      <c r="BB385" s="1936"/>
      <c r="BF385" s="1936"/>
      <c r="BJ385" s="1936"/>
      <c r="BN385" s="1936"/>
      <c r="BR385" s="1936"/>
      <c r="BV385" s="1936"/>
      <c r="BZ385" s="1936"/>
      <c r="CD385" s="1936"/>
      <c r="CH385" s="1936"/>
      <c r="CL385" s="1936"/>
      <c r="CP385" s="1936"/>
      <c r="CT385" s="1936"/>
      <c r="CX385" s="1936"/>
      <c r="DB385" s="1936"/>
      <c r="DE385" s="2141">
        <f t="shared" ref="DE385:DM385" si="1818">+DE370</f>
        <v>8800</v>
      </c>
      <c r="DF385" s="1936">
        <f t="shared" si="1818"/>
        <v>7600</v>
      </c>
      <c r="DG385" s="2141">
        <f t="shared" si="1818"/>
        <v>8300</v>
      </c>
      <c r="DH385" s="2141">
        <f t="shared" si="1818"/>
        <v>8900</v>
      </c>
      <c r="DI385" s="2472">
        <f t="shared" si="1818"/>
        <v>11647.404158832001</v>
      </c>
      <c r="DJ385" s="1936">
        <f t="shared" si="1818"/>
        <v>7834.4258831999987</v>
      </c>
      <c r="DK385" s="2141">
        <f t="shared" si="1818"/>
        <v>8748.1550519999982</v>
      </c>
      <c r="DL385" s="2141">
        <f t="shared" si="1818"/>
        <v>8790.6581430360002</v>
      </c>
      <c r="DM385" s="2472">
        <f t="shared" si="1818"/>
        <v>10588.1</v>
      </c>
      <c r="DN385" s="2141">
        <f t="shared" ref="DN385:DO385" si="1819">+DN370</f>
        <v>7506.0322616000003</v>
      </c>
      <c r="DO385" s="2141">
        <f t="shared" si="1819"/>
        <v>7037.1444830310011</v>
      </c>
      <c r="DP385" s="2141">
        <f t="shared" ref="DP385:DQ385" si="1820">+DP370</f>
        <v>8093.5803508000017</v>
      </c>
      <c r="DQ385" s="2472">
        <f t="shared" si="1820"/>
        <v>10644.2362208</v>
      </c>
      <c r="DR385" s="1936">
        <f t="shared" ref="DR385" si="1821">+DR370</f>
        <v>7050.3925857749982</v>
      </c>
      <c r="DS385" s="2141">
        <f t="shared" ref="DS385:DT385" si="1822">+DS370</f>
        <v>7616.5476494239992</v>
      </c>
      <c r="DT385" s="2141">
        <f t="shared" si="1822"/>
        <v>7607.2462815119998</v>
      </c>
      <c r="DU385" s="2472">
        <f t="shared" ref="DU385" si="1823">+DU370</f>
        <v>9816.1943864799978</v>
      </c>
      <c r="DV385" s="2141">
        <f t="shared" ref="DV385" si="1824">+DV370</f>
        <v>7167.7140588800012</v>
      </c>
      <c r="DW385" s="2141">
        <f t="shared" ref="DW385:DY385" si="1825">+DW370</f>
        <v>7479.4152750379308</v>
      </c>
      <c r="DX385" s="2141">
        <f t="shared" ca="1" si="1825"/>
        <v>7560.65939029528</v>
      </c>
      <c r="DY385" s="2472">
        <f t="shared" ca="1" si="1825"/>
        <v>9635.3123299925792</v>
      </c>
      <c r="DZ385" s="2731"/>
      <c r="EA385" s="2731"/>
    </row>
    <row r="386" spans="1:131" s="2213" customFormat="1" ht="15" customHeight="1">
      <c r="A386" s="1932" t="s">
        <v>1537</v>
      </c>
      <c r="U386" s="2213">
        <f t="shared" ref="U386:Z386" si="1826">+U387/U385</f>
        <v>3.9285714285714285E-2</v>
      </c>
      <c r="V386" s="2213">
        <f t="shared" si="1826"/>
        <v>0.17520729355318351</v>
      </c>
      <c r="W386" s="2213">
        <f t="shared" si="1826"/>
        <v>0.5432119963717188</v>
      </c>
      <c r="X386" s="2213">
        <f t="shared" si="1826"/>
        <v>0.71153395729765867</v>
      </c>
      <c r="Y386" s="2213">
        <f t="shared" si="1826"/>
        <v>0.77223278598544287</v>
      </c>
      <c r="Z386" s="2213">
        <f t="shared" ca="1" si="1826"/>
        <v>0.77808757145824581</v>
      </c>
      <c r="AA386" s="2584">
        <v>0.8</v>
      </c>
      <c r="AB386" s="2584">
        <f>+AA386+0.005</f>
        <v>0.80500000000000005</v>
      </c>
      <c r="AC386" s="2584">
        <f t="shared" ref="AC386:AG386" si="1827">+AB386+0.005</f>
        <v>0.81</v>
      </c>
      <c r="AD386" s="2584">
        <f t="shared" si="1827"/>
        <v>0.81500000000000006</v>
      </c>
      <c r="AE386" s="2584">
        <f t="shared" si="1827"/>
        <v>0.82000000000000006</v>
      </c>
      <c r="AF386" s="2584">
        <f t="shared" si="1827"/>
        <v>0.82500000000000007</v>
      </c>
      <c r="AG386" s="2584">
        <f t="shared" si="1827"/>
        <v>0.83000000000000007</v>
      </c>
      <c r="AH386" s="2212"/>
      <c r="AI386" s="1973"/>
      <c r="AP386" s="2212"/>
      <c r="AT386" s="2212"/>
      <c r="AX386" s="2212"/>
      <c r="BB386" s="2212"/>
      <c r="BF386" s="2212"/>
      <c r="BJ386" s="2212"/>
      <c r="BN386" s="2212"/>
      <c r="BR386" s="2212"/>
      <c r="BV386" s="2212"/>
      <c r="BZ386" s="2212"/>
      <c r="CD386" s="2212"/>
      <c r="CH386" s="2212"/>
      <c r="CL386" s="2212"/>
      <c r="CP386" s="2212"/>
      <c r="CT386" s="2212"/>
      <c r="CX386" s="2212"/>
      <c r="DB386" s="2212"/>
      <c r="DE386" s="2586">
        <v>0.15</v>
      </c>
      <c r="DF386" s="2595">
        <v>0.12</v>
      </c>
      <c r="DG386" s="2586">
        <v>0.18</v>
      </c>
      <c r="DH386" s="2586">
        <v>0.12</v>
      </c>
      <c r="DI386" s="2598">
        <v>0.25</v>
      </c>
      <c r="DJ386" s="2588">
        <v>0.39</v>
      </c>
      <c r="DK386" s="2584">
        <v>0.49</v>
      </c>
      <c r="DL386" s="2584">
        <v>0.57999999999999996</v>
      </c>
      <c r="DM386" s="2589">
        <v>0.67</v>
      </c>
      <c r="DN386" s="2584">
        <v>0.68</v>
      </c>
      <c r="DO386" s="2584">
        <v>0.67</v>
      </c>
      <c r="DP386" s="2584">
        <v>0.7</v>
      </c>
      <c r="DQ386" s="2589">
        <v>0.77</v>
      </c>
      <c r="DR386" s="2588">
        <v>0.76</v>
      </c>
      <c r="DS386" s="2584">
        <v>0.75</v>
      </c>
      <c r="DT386" s="2584">
        <v>0.77</v>
      </c>
      <c r="DU386" s="2589">
        <v>0.8</v>
      </c>
      <c r="DV386" s="2584">
        <v>0.77</v>
      </c>
      <c r="DW386" s="2584">
        <f t="shared" ref="DW386:DY386" si="1828">+DV386+0.005</f>
        <v>0.77500000000000002</v>
      </c>
      <c r="DX386" s="2584">
        <f t="shared" si="1828"/>
        <v>0.78</v>
      </c>
      <c r="DY386" s="2589">
        <f t="shared" si="1828"/>
        <v>0.78500000000000003</v>
      </c>
      <c r="DZ386" s="2907"/>
      <c r="EA386" s="2907"/>
    </row>
    <row r="387" spans="1:131" s="2141" customFormat="1" ht="15" customHeight="1">
      <c r="A387" s="1931" t="s">
        <v>1538</v>
      </c>
      <c r="U387" s="2141">
        <f>+SUM(DB387:DE387)</f>
        <v>1320</v>
      </c>
      <c r="V387" s="2141">
        <f>+SUM(DF387:DI387)</f>
        <v>6385.8510397080008</v>
      </c>
      <c r="W387" s="2141">
        <f>+SUM(DJ387:DM387)</f>
        <v>19534.630792888878</v>
      </c>
      <c r="X387" s="2141">
        <f>+SUM(DN387:DQ387)</f>
        <v>23680.556877094776</v>
      </c>
      <c r="Y387" s="2141">
        <f>+SUM(DR387:DU387)</f>
        <v>24781.244248205236</v>
      </c>
      <c r="Z387" s="2141">
        <f ca="1">+SUM(DV387:DY387)</f>
        <v>24776.72116696649</v>
      </c>
      <c r="AA387" s="2141">
        <f ca="1">+AA385*AA386</f>
        <v>24927.032268144991</v>
      </c>
      <c r="AB387" s="2141">
        <f ca="1">+AB385*AB386</f>
        <v>24801.934612594574</v>
      </c>
      <c r="AC387" s="2141">
        <f t="shared" ref="AC387:AG387" ca="1" si="1829">+AC385*AC386</f>
        <v>24632.835889350721</v>
      </c>
      <c r="AD387" s="2141">
        <f t="shared" ca="1" si="1829"/>
        <v>24426.339017126207</v>
      </c>
      <c r="AE387" s="2141">
        <f t="shared" ca="1" si="1829"/>
        <v>24187.996574851873</v>
      </c>
      <c r="AF387" s="2141">
        <f t="shared" ca="1" si="1829"/>
        <v>23922.478908555124</v>
      </c>
      <c r="AG387" s="2141">
        <f t="shared" ca="1" si="1829"/>
        <v>23633.713647487428</v>
      </c>
      <c r="AH387" s="1936"/>
      <c r="AI387" s="1952"/>
      <c r="AP387" s="1936"/>
      <c r="AT387" s="1936"/>
      <c r="AX387" s="1936"/>
      <c r="BB387" s="1936"/>
      <c r="BF387" s="1936"/>
      <c r="BJ387" s="1936"/>
      <c r="BN387" s="1936"/>
      <c r="BR387" s="1936"/>
      <c r="BV387" s="1936"/>
      <c r="BZ387" s="1936"/>
      <c r="CD387" s="1936"/>
      <c r="CH387" s="1936"/>
      <c r="CL387" s="1936"/>
      <c r="CP387" s="1936"/>
      <c r="CT387" s="1936"/>
      <c r="CX387" s="1936"/>
      <c r="DB387" s="1936"/>
      <c r="DE387" s="2141">
        <f t="shared" ref="DE387:DM387" si="1830">+DE385*DE386</f>
        <v>1320</v>
      </c>
      <c r="DF387" s="1936">
        <f t="shared" si="1830"/>
        <v>912</v>
      </c>
      <c r="DG387" s="2141">
        <f t="shared" si="1830"/>
        <v>1494</v>
      </c>
      <c r="DH387" s="2141">
        <f t="shared" si="1830"/>
        <v>1068</v>
      </c>
      <c r="DI387" s="2472">
        <f t="shared" si="1830"/>
        <v>2911.8510397080004</v>
      </c>
      <c r="DJ387" s="1936">
        <f t="shared" si="1830"/>
        <v>3055.4260944479997</v>
      </c>
      <c r="DK387" s="2141">
        <f t="shared" si="1830"/>
        <v>4286.5959754799987</v>
      </c>
      <c r="DL387" s="2141">
        <f t="shared" si="1830"/>
        <v>5098.5817229608801</v>
      </c>
      <c r="DM387" s="2472">
        <f t="shared" si="1830"/>
        <v>7094.027000000001</v>
      </c>
      <c r="DN387" s="2141">
        <f t="shared" ref="DN387:DO387" si="1831">+DN385*DN386</f>
        <v>5104.101937888001</v>
      </c>
      <c r="DO387" s="2141">
        <f t="shared" si="1831"/>
        <v>4714.8868036307713</v>
      </c>
      <c r="DP387" s="2141">
        <f t="shared" ref="DP387:DQ387" si="1832">+DP385*DP386</f>
        <v>5665.5062455600009</v>
      </c>
      <c r="DQ387" s="2472">
        <f t="shared" si="1832"/>
        <v>8196.0618900160007</v>
      </c>
      <c r="DR387" s="1936">
        <f t="shared" ref="DR387" si="1833">+DR385*DR386</f>
        <v>5358.298365188999</v>
      </c>
      <c r="DS387" s="2141">
        <f t="shared" ref="DS387:DT387" si="1834">+DS385*DS386</f>
        <v>5712.4107370679994</v>
      </c>
      <c r="DT387" s="2141">
        <f t="shared" si="1834"/>
        <v>5857.5796367642397</v>
      </c>
      <c r="DU387" s="2472">
        <f t="shared" ref="DU387" si="1835">+DU385*DU386</f>
        <v>7852.9555091839984</v>
      </c>
      <c r="DV387" s="2141">
        <f t="shared" ref="DV387" si="1836">+DV385*DV386</f>
        <v>5519.139825337601</v>
      </c>
      <c r="DW387" s="2141">
        <f t="shared" ref="DW387:DY387" si="1837">+DW385*DW386</f>
        <v>5796.5468381543969</v>
      </c>
      <c r="DX387" s="2141">
        <f t="shared" ca="1" si="1837"/>
        <v>5897.3143244303183</v>
      </c>
      <c r="DY387" s="2472">
        <f t="shared" ca="1" si="1837"/>
        <v>7563.720179044175</v>
      </c>
    </row>
    <row r="388" spans="1:131" ht="15" customHeight="1">
      <c r="A388" s="1933"/>
      <c r="B388" s="2207"/>
      <c r="C388" s="2207"/>
      <c r="D388" s="2207"/>
      <c r="E388" s="2207"/>
      <c r="F388" s="2207"/>
      <c r="G388" s="2207"/>
      <c r="H388" s="2207"/>
      <c r="I388" s="2207"/>
      <c r="J388" s="2207"/>
      <c r="K388" s="2207"/>
      <c r="L388" s="2207"/>
      <c r="M388" s="2207"/>
      <c r="N388" s="2207"/>
      <c r="O388" s="2207"/>
      <c r="P388" s="2207"/>
      <c r="Q388" s="2207"/>
      <c r="R388" s="2207"/>
      <c r="S388" s="2207"/>
      <c r="T388" s="2207"/>
      <c r="U388" s="2207"/>
      <c r="V388" s="2207"/>
      <c r="W388" s="2207"/>
      <c r="X388" s="2207"/>
      <c r="Y388" s="2207"/>
      <c r="Z388" s="2207"/>
      <c r="AA388" s="2207"/>
      <c r="AB388" s="2207"/>
      <c r="AC388" s="2207"/>
      <c r="AD388" s="2207"/>
      <c r="AE388" s="2207"/>
      <c r="AF388" s="2207"/>
      <c r="AG388" s="2207"/>
      <c r="AH388" s="2201"/>
      <c r="AI388" s="1927"/>
      <c r="AK388" s="2207"/>
      <c r="AL388" s="2207"/>
      <c r="AM388" s="2207"/>
      <c r="AN388" s="2207"/>
      <c r="AO388" s="2207"/>
      <c r="AP388" s="2208"/>
      <c r="AQ388" s="2207"/>
      <c r="AR388" s="2207"/>
      <c r="AS388" s="2207"/>
      <c r="AT388" s="2208"/>
      <c r="AU388" s="2207"/>
      <c r="AV388" s="2207"/>
      <c r="AW388" s="2207"/>
      <c r="AX388" s="2208"/>
      <c r="AY388" s="2207"/>
      <c r="AZ388" s="2207"/>
      <c r="BA388" s="2207"/>
      <c r="BB388" s="2208"/>
      <c r="BC388" s="2207"/>
      <c r="BD388" s="2207"/>
      <c r="BE388" s="2207"/>
      <c r="BF388" s="2208"/>
      <c r="BG388" s="2207"/>
      <c r="BH388" s="2207"/>
      <c r="BI388" s="2207"/>
      <c r="BJ388" s="2208"/>
      <c r="BK388" s="2207"/>
      <c r="BL388" s="2207"/>
      <c r="BM388" s="2207"/>
      <c r="BN388" s="2208"/>
      <c r="BO388" s="2207"/>
      <c r="BP388" s="2207"/>
      <c r="BQ388" s="2207"/>
      <c r="BR388" s="2208"/>
      <c r="BS388" s="2207"/>
      <c r="BT388" s="2207"/>
      <c r="BU388" s="2207"/>
      <c r="BV388" s="2208"/>
      <c r="BW388" s="2207"/>
      <c r="BX388" s="2207"/>
      <c r="BY388" s="2207"/>
      <c r="BZ388" s="2208"/>
      <c r="CA388" s="2207"/>
      <c r="CB388" s="2207"/>
      <c r="CC388" s="2207"/>
      <c r="CD388" s="2208"/>
      <c r="CE388" s="2207"/>
      <c r="CF388" s="2207"/>
      <c r="CG388" s="2207"/>
      <c r="CH388" s="2208"/>
      <c r="CI388" s="2207"/>
      <c r="CJ388" s="2207"/>
      <c r="CK388" s="2207"/>
      <c r="CL388" s="2208"/>
      <c r="CM388" s="2207"/>
      <c r="CN388" s="2207"/>
      <c r="CO388" s="2207"/>
      <c r="CP388" s="2208"/>
      <c r="CQ388" s="2207"/>
      <c r="CR388" s="2207"/>
      <c r="CS388" s="2207"/>
      <c r="CT388" s="2208"/>
      <c r="CU388" s="2207"/>
      <c r="CV388" s="2207"/>
      <c r="CW388" s="2207"/>
      <c r="CX388" s="2208"/>
      <c r="CY388" s="2207"/>
      <c r="CZ388" s="2207"/>
      <c r="DA388" s="2207"/>
      <c r="DB388" s="2208"/>
      <c r="DC388" s="2207"/>
      <c r="DD388" s="2207"/>
      <c r="DE388" s="2207"/>
      <c r="DF388" s="2208"/>
      <c r="DG388" s="2207"/>
      <c r="DH388" s="2207"/>
      <c r="DI388" s="2209"/>
      <c r="DJ388" s="2208"/>
      <c r="DK388" s="2207"/>
      <c r="DL388" s="2207"/>
      <c r="DM388" s="2209"/>
      <c r="DN388" s="2207"/>
      <c r="DO388" s="2207"/>
      <c r="DP388" s="2207"/>
      <c r="DQ388" s="2209"/>
      <c r="DR388" s="2208"/>
      <c r="DS388" s="2207"/>
      <c r="DT388" s="2207"/>
      <c r="DU388" s="2209"/>
      <c r="DV388" s="2207"/>
      <c r="DW388" s="2207"/>
      <c r="DX388" s="2207"/>
      <c r="DY388" s="2209"/>
    </row>
    <row r="389" spans="1:131" s="2141" customFormat="1" ht="15" customHeight="1">
      <c r="A389" s="1931" t="s">
        <v>1539</v>
      </c>
      <c r="U389" s="2141">
        <f>IF(SUM(U$387:$U387)&gt;U380,U380,SUM(U$387:$U387))</f>
        <v>1320</v>
      </c>
      <c r="V389" s="2141">
        <f>IF(SUM($U$387:V387)&gt;V380,V380,SUM($U$387:V387))</f>
        <v>7705.8510397080008</v>
      </c>
      <c r="W389" s="2141">
        <f>IF(SUM($U$387:W387)&gt;W380,W380,SUM($U$387:W387))</f>
        <v>27240.481832596881</v>
      </c>
      <c r="X389" s="2141">
        <f>IF(SUM($U$387:X387)&gt;X380,X380,SUM($U$387:X387))</f>
        <v>50921.038709691653</v>
      </c>
      <c r="Y389" s="2141">
        <f>IF(SUM($U$387:Y387)&gt;Y380,Y380,SUM($U$387:Y387))</f>
        <v>75702.282957896881</v>
      </c>
      <c r="Z389" s="2141">
        <f ca="1">IF(SUM($U$387:Z387)&gt;Z380,Z380,SUM($U$387:Z387))</f>
        <v>100479.00412486336</v>
      </c>
      <c r="AA389" s="2141">
        <f ca="1">IF(SUM($U$387:AA387)&gt;AA380,AA380,SUM($U$387:AA387))</f>
        <v>105901.82298378383</v>
      </c>
      <c r="AB389" s="2141">
        <f ca="1">IF(SUM($U$387:AB387)&gt;AB380,AB380,SUM($U$387:AB387))</f>
        <v>108089.73424683839</v>
      </c>
      <c r="AC389" s="2141">
        <f ca="1">IF(SUM($U$387:AC387)&gt;AC380,AC380,SUM($U$387:AC387))</f>
        <v>110107.45018470849</v>
      </c>
      <c r="AD389" s="2141">
        <f ca="1">IF(SUM($U$387:AD387)&gt;AD380,AD380,SUM($U$387:AD387))</f>
        <v>111983.64526814272</v>
      </c>
      <c r="AE389" s="2141">
        <f ca="1">IF(SUM($U$387:AE387)&gt;AE380,AE380,SUM($U$387:AE387))</f>
        <v>113743.1647503267</v>
      </c>
      <c r="AF389" s="2141">
        <f ca="1">IF(SUM($U$387:AF387)&gt;AF380,AF380,SUM($U$387:AF387))</f>
        <v>115407.62571210459</v>
      </c>
      <c r="AG389" s="2141">
        <f ca="1">IF(SUM($U$387:AG387)&gt;AG380,AG380,SUM($U$387:AG387))</f>
        <v>116995.92313590682</v>
      </c>
      <c r="AH389" s="1936"/>
      <c r="AI389" s="1952"/>
      <c r="AP389" s="1936"/>
      <c r="AT389" s="1936"/>
      <c r="AX389" s="1936"/>
      <c r="BB389" s="1936"/>
      <c r="BF389" s="1936"/>
      <c r="BJ389" s="1936"/>
      <c r="BN389" s="1936"/>
      <c r="BR389" s="1936"/>
      <c r="BV389" s="1936"/>
      <c r="BZ389" s="1936"/>
      <c r="CD389" s="1936"/>
      <c r="CH389" s="1936"/>
      <c r="CL389" s="1936"/>
      <c r="CP389" s="1936"/>
      <c r="CT389" s="1936"/>
      <c r="CX389" s="1936"/>
      <c r="DB389" s="1936"/>
      <c r="DE389" s="2141">
        <f>IF(SUM($DE$387:DE387)&gt;DE380,DE380,SUM($DE$387:DE387))</f>
        <v>1320</v>
      </c>
      <c r="DF389" s="1936">
        <f>IF(SUM($DE$387:DF387)&gt;DF380,DF380,SUM($DE$387:DF387))</f>
        <v>2232</v>
      </c>
      <c r="DG389" s="2141">
        <f>IF(SUM($DE$387:DG387)&gt;DG380,DG380,SUM($DE$387:DG387))</f>
        <v>3726</v>
      </c>
      <c r="DH389" s="2141">
        <f>IF(SUM($DE$387:DH387)&gt;DH380,DH380,SUM($DE$387:DH387))</f>
        <v>4794</v>
      </c>
      <c r="DI389" s="2472">
        <f>IF(SUM($DE$387:DI387)&gt;DI380,DI380,SUM($DE$387:DI387))</f>
        <v>7705.8510397080008</v>
      </c>
      <c r="DJ389" s="1936">
        <f>IF(SUM($DE$387:DJ387)&gt;DJ380,DJ380,SUM($DE$387:DJ387))</f>
        <v>10761.277134156</v>
      </c>
      <c r="DK389" s="2141">
        <f>IF(SUM($DE$387:DK387)&gt;DK380,DK380,SUM($DE$387:DK387))</f>
        <v>15047.873109635999</v>
      </c>
      <c r="DL389" s="2141">
        <f>IF(SUM($DE$387:DL387)&gt;DL380,DL380,SUM($DE$387:DL387))</f>
        <v>20146.454832596879</v>
      </c>
      <c r="DM389" s="2472">
        <f>IF(SUM($DE$387:DM387)&gt;DM380,DM380,SUM($DE$387:DM387))</f>
        <v>27240.481832596881</v>
      </c>
      <c r="DN389" s="2141">
        <f>IF(SUM($DE$387:DN387)&gt;DN380,DN380,SUM($DE$387:DN387))</f>
        <v>32344.583770484882</v>
      </c>
      <c r="DO389" s="2141">
        <f>IF(SUM($DE$387:DO387)&gt;DO380,DO380,SUM($DE$387:DO387))</f>
        <v>37059.47057411565</v>
      </c>
      <c r="DP389" s="2141">
        <f>IF(SUM($DE$387:DP387)&gt;DP380,DP380,SUM($DE$387:DP387))</f>
        <v>42724.976819675649</v>
      </c>
      <c r="DQ389" s="2472">
        <f>IF(SUM($DE$387:DQ387)&gt;DQ380,DQ380,SUM($DE$387:DQ387))</f>
        <v>50921.038709691653</v>
      </c>
      <c r="DR389" s="1936">
        <f>IF(SUM($DE$387:DR387)&gt;DR380,DR380,SUM($DE$387:DR387))</f>
        <v>56279.337074880648</v>
      </c>
      <c r="DS389" s="2141">
        <f>IF(SUM($DE$387:DS387)&gt;DS380,DS380,SUM($DE$387:DS387))</f>
        <v>61991.747811948648</v>
      </c>
      <c r="DT389" s="2141">
        <f>IF(SUM($DE$387:DT387)&gt;DT380,DT380,SUM($DE$387:DT387))</f>
        <v>67849.327448712895</v>
      </c>
      <c r="DU389" s="2472">
        <f>IF(SUM($DE$387:DU387)&gt;DU380,DU380,SUM($DE$387:DU387))</f>
        <v>75702.282957896896</v>
      </c>
      <c r="DV389" s="2141">
        <f>IF(SUM($DE$387:DV387)&gt;DV380,DV380,SUM($DE$387:DV387))</f>
        <v>81221.422783234491</v>
      </c>
      <c r="DW389" s="2141">
        <f ca="1">IF(SUM($DE$387:DW387)&gt;DW380,DW380,SUM($DE$387:DW387))</f>
        <v>87017.969621388882</v>
      </c>
      <c r="DX389" s="2141">
        <f ca="1">IF(SUM($DE$387:DX387)&gt;DX380,DX380,SUM($DE$387:DX387))</f>
        <v>92915.283945819203</v>
      </c>
      <c r="DY389" s="2472">
        <f ca="1">IF(SUM($DE$387:DY387)&gt;DY380,DY380,SUM($DE$387:DY387))</f>
        <v>100479.00412486338</v>
      </c>
    </row>
    <row r="390" spans="1:131" s="2141" customFormat="1" ht="15" customHeight="1">
      <c r="A390" s="1931" t="s">
        <v>1515</v>
      </c>
      <c r="U390" s="2141">
        <f t="shared" ref="U390:V390" si="1838">+U381</f>
        <v>96752</v>
      </c>
      <c r="V390" s="2141">
        <f t="shared" si="1838"/>
        <v>102079</v>
      </c>
      <c r="W390" s="2141">
        <f t="shared" ref="W390:AB390" si="1839">+W381</f>
        <v>106528</v>
      </c>
      <c r="X390" s="2141">
        <f t="shared" si="1839"/>
        <v>108796</v>
      </c>
      <c r="Y390" s="2141">
        <f t="shared" si="1839"/>
        <v>110854</v>
      </c>
      <c r="Z390" s="2141">
        <f t="shared" ca="1" si="1839"/>
        <v>113126.22653553708</v>
      </c>
      <c r="AA390" s="2141">
        <f t="shared" ca="1" si="1839"/>
        <v>115110.67715628677</v>
      </c>
      <c r="AB390" s="2141">
        <f t="shared" ca="1" si="1839"/>
        <v>116853.76675333879</v>
      </c>
      <c r="AC390" s="2141">
        <f t="shared" ref="AC390:AG390" ca="1" si="1840">+AC381</f>
        <v>118395.107725493</v>
      </c>
      <c r="AD390" s="2141">
        <f t="shared" ca="1" si="1840"/>
        <v>119768.60456485851</v>
      </c>
      <c r="AE390" s="2141">
        <f t="shared" ca="1" si="1840"/>
        <v>121003.36675566669</v>
      </c>
      <c r="AF390" s="2141">
        <f t="shared" ca="1" si="1840"/>
        <v>122124.47165302072</v>
      </c>
      <c r="AG390" s="2141">
        <f t="shared" ca="1" si="1840"/>
        <v>123153.60330095454</v>
      </c>
      <c r="AH390" s="1936"/>
      <c r="AI390" s="1952"/>
      <c r="AP390" s="1936"/>
      <c r="AT390" s="1936"/>
      <c r="AX390" s="1936"/>
      <c r="BB390" s="1936"/>
      <c r="BF390" s="1936"/>
      <c r="BJ390" s="1936"/>
      <c r="BN390" s="1936"/>
      <c r="BR390" s="1936"/>
      <c r="BV390" s="1936"/>
      <c r="BZ390" s="1936"/>
      <c r="CD390" s="1936"/>
      <c r="CH390" s="1936"/>
      <c r="CL390" s="1936"/>
      <c r="CP390" s="1936"/>
      <c r="CT390" s="1936"/>
      <c r="CX390" s="1936"/>
      <c r="DB390" s="1936"/>
      <c r="DE390" s="2141">
        <f t="shared" ref="DE390:DM390" si="1841">+DE381</f>
        <v>96752</v>
      </c>
      <c r="DF390" s="1936">
        <f t="shared" si="1841"/>
        <v>97273</v>
      </c>
      <c r="DG390" s="2141">
        <f t="shared" si="1841"/>
        <v>98593</v>
      </c>
      <c r="DH390" s="2141">
        <f t="shared" si="1841"/>
        <v>100103</v>
      </c>
      <c r="DI390" s="2472">
        <f t="shared" si="1841"/>
        <v>102079</v>
      </c>
      <c r="DJ390" s="1936">
        <f t="shared" si="1841"/>
        <v>102637</v>
      </c>
      <c r="DK390" s="2141">
        <f t="shared" si="1841"/>
        <v>103731</v>
      </c>
      <c r="DL390" s="2141">
        <f t="shared" si="1841"/>
        <v>105023</v>
      </c>
      <c r="DM390" s="2472">
        <f t="shared" si="1841"/>
        <v>106528</v>
      </c>
      <c r="DN390" s="2141">
        <f t="shared" ref="DN390:DO390" si="1842">+DN381</f>
        <v>107171</v>
      </c>
      <c r="DO390" s="2141">
        <f t="shared" si="1842"/>
        <v>107780</v>
      </c>
      <c r="DP390" s="2141">
        <f t="shared" ref="DP390:DQ390" si="1843">+DP381</f>
        <v>108220</v>
      </c>
      <c r="DQ390" s="2472">
        <f t="shared" si="1843"/>
        <v>108796</v>
      </c>
      <c r="DR390" s="1936">
        <f t="shared" ref="DR390" si="1844">+DR381</f>
        <v>108483</v>
      </c>
      <c r="DS390" s="2141">
        <f t="shared" ref="DS390:DT390" si="1845">+DS381</f>
        <v>109088</v>
      </c>
      <c r="DT390" s="2141">
        <f t="shared" si="1845"/>
        <v>109686</v>
      </c>
      <c r="DU390" s="2472">
        <f t="shared" ref="DU390" si="1846">+DU381</f>
        <v>110854</v>
      </c>
      <c r="DV390" s="2141">
        <f t="shared" ref="DV390" si="1847">+DV381</f>
        <v>111114</v>
      </c>
      <c r="DW390" s="2141">
        <f t="shared" ref="DW390:DY390" ca="1" si="1848">+DW381</f>
        <v>111582.10105315057</v>
      </c>
      <c r="DX390" s="2141">
        <f t="shared" ca="1" si="1848"/>
        <v>112066.84358738085</v>
      </c>
      <c r="DY390" s="2472">
        <f t="shared" ca="1" si="1848"/>
        <v>113126.22653553708</v>
      </c>
    </row>
    <row r="391" spans="1:131" s="2213" customFormat="1" ht="15" customHeight="1">
      <c r="A391" s="1932" t="s">
        <v>1540</v>
      </c>
      <c r="U391" s="2213">
        <f t="shared" ref="U391:V391" si="1849">+U389/U390</f>
        <v>1.3643128824210352E-2</v>
      </c>
      <c r="V391" s="2213">
        <f t="shared" si="1849"/>
        <v>7.5489092170848079E-2</v>
      </c>
      <c r="W391" s="2213">
        <f t="shared" ref="W391:AB391" si="1850">+W389/W390</f>
        <v>0.25571194270611369</v>
      </c>
      <c r="X391" s="2213">
        <f t="shared" si="1850"/>
        <v>0.4680414602530576</v>
      </c>
      <c r="Y391" s="2213">
        <f t="shared" si="1850"/>
        <v>0.68290077902373281</v>
      </c>
      <c r="Z391" s="2213">
        <f t="shared" ca="1" si="1850"/>
        <v>0.88820256099764139</v>
      </c>
      <c r="AA391" s="2213">
        <f t="shared" ca="1" si="1850"/>
        <v>0.92</v>
      </c>
      <c r="AB391" s="2213">
        <f t="shared" ca="1" si="1850"/>
        <v>0.92500000000000004</v>
      </c>
      <c r="AC391" s="2213">
        <f t="shared" ref="AC391:AG391" ca="1" si="1851">+AC389/AC390</f>
        <v>0.93</v>
      </c>
      <c r="AD391" s="2213">
        <f t="shared" ca="1" si="1851"/>
        <v>0.93500000000000005</v>
      </c>
      <c r="AE391" s="2213">
        <f t="shared" ca="1" si="1851"/>
        <v>0.94000000000000006</v>
      </c>
      <c r="AF391" s="2213">
        <f t="shared" ca="1" si="1851"/>
        <v>0.94500000000000006</v>
      </c>
      <c r="AG391" s="2213">
        <f t="shared" ca="1" si="1851"/>
        <v>0.95000000000000007</v>
      </c>
      <c r="AH391" s="2212"/>
      <c r="AI391" s="1973"/>
      <c r="AP391" s="2212"/>
      <c r="AT391" s="2212"/>
      <c r="AX391" s="2212"/>
      <c r="BB391" s="2212"/>
      <c r="BF391" s="2212"/>
      <c r="BJ391" s="2212"/>
      <c r="BN391" s="2212"/>
      <c r="BR391" s="2212"/>
      <c r="BV391" s="2212"/>
      <c r="BZ391" s="2212"/>
      <c r="CD391" s="2212"/>
      <c r="CH391" s="2212"/>
      <c r="CL391" s="2212"/>
      <c r="CP391" s="2212"/>
      <c r="CT391" s="2212"/>
      <c r="CX391" s="2212"/>
      <c r="DB391" s="2212"/>
      <c r="DE391" s="2213">
        <f t="shared" ref="DE391:DM391" si="1852">+DE389/DE381</f>
        <v>1.3643128824210352E-2</v>
      </c>
      <c r="DF391" s="2212">
        <f t="shared" si="1852"/>
        <v>2.2945730058700771E-2</v>
      </c>
      <c r="DG391" s="2213">
        <f t="shared" si="1852"/>
        <v>3.7791729635978211E-2</v>
      </c>
      <c r="DH391" s="2213">
        <f t="shared" si="1852"/>
        <v>4.7890672607214566E-2</v>
      </c>
      <c r="DI391" s="2587">
        <f t="shared" si="1852"/>
        <v>7.5489092170848079E-2</v>
      </c>
      <c r="DJ391" s="2212">
        <f t="shared" si="1852"/>
        <v>0.10484793139078501</v>
      </c>
      <c r="DK391" s="2213">
        <f t="shared" si="1852"/>
        <v>0.14506630717563698</v>
      </c>
      <c r="DL391" s="2213">
        <f t="shared" si="1852"/>
        <v>0.19182897872463059</v>
      </c>
      <c r="DM391" s="2587">
        <f t="shared" si="1852"/>
        <v>0.25571194270611369</v>
      </c>
      <c r="DN391" s="2213">
        <f t="shared" ref="DN391:DO391" si="1853">+DN389/DN381</f>
        <v>0.3018035081363884</v>
      </c>
      <c r="DO391" s="2213">
        <f t="shared" si="1853"/>
        <v>0.34384366834399377</v>
      </c>
      <c r="DP391" s="2213">
        <f t="shared" ref="DP391:DQ391" si="1854">+DP389/DP381</f>
        <v>0.3947974202520389</v>
      </c>
      <c r="DQ391" s="2587">
        <f t="shared" si="1854"/>
        <v>0.4680414602530576</v>
      </c>
      <c r="DR391" s="2212">
        <f t="shared" ref="DR391" si="1855">+DR389/DR381</f>
        <v>0.51878485177291045</v>
      </c>
      <c r="DS391" s="2213">
        <f t="shared" ref="DS391:DT391" si="1856">+DS389/DS381</f>
        <v>0.56827284221865515</v>
      </c>
      <c r="DT391" s="2213">
        <f t="shared" si="1856"/>
        <v>0.61857782623774127</v>
      </c>
      <c r="DU391" s="2587">
        <f t="shared" ref="DU391" si="1857">+DU389/DU381</f>
        <v>0.68290077902373303</v>
      </c>
      <c r="DV391" s="2213">
        <f t="shared" ref="DV391" si="1858">+DV389/DV381</f>
        <v>0.7309737997303174</v>
      </c>
      <c r="DW391" s="2213">
        <f t="shared" ref="DW391:DY391" ca="1" si="1859">+DW389/DW381</f>
        <v>0.77985598765467845</v>
      </c>
      <c r="DX391" s="2213">
        <f t="shared" ca="1" si="1859"/>
        <v>0.82910592438852104</v>
      </c>
      <c r="DY391" s="2587">
        <f t="shared" ca="1" si="1859"/>
        <v>0.8882025609976415</v>
      </c>
    </row>
    <row r="392" spans="1:131" ht="15" customHeight="1">
      <c r="A392" s="1931"/>
      <c r="B392" s="2207"/>
      <c r="C392" s="2207"/>
      <c r="D392" s="2207"/>
      <c r="E392" s="2207"/>
      <c r="F392" s="2207"/>
      <c r="G392" s="2207"/>
      <c r="H392" s="2207"/>
      <c r="I392" s="2207"/>
      <c r="J392" s="2207"/>
      <c r="K392" s="2207"/>
      <c r="L392" s="2207"/>
      <c r="M392" s="2207"/>
      <c r="N392" s="2207"/>
      <c r="O392" s="2207"/>
      <c r="P392" s="2207"/>
      <c r="Q392" s="2207"/>
      <c r="R392" s="2207"/>
      <c r="S392" s="2207"/>
      <c r="T392" s="2207"/>
      <c r="U392" s="2207"/>
      <c r="V392" s="2207"/>
      <c r="W392" s="2207"/>
      <c r="X392" s="2207"/>
      <c r="Y392" s="2207"/>
      <c r="Z392" s="2207"/>
      <c r="AA392" s="2207"/>
      <c r="AB392" s="2207"/>
      <c r="AC392" s="2207"/>
      <c r="AD392" s="2207"/>
      <c r="AE392" s="2207"/>
      <c r="AF392" s="2207"/>
      <c r="AG392" s="2207"/>
      <c r="AH392" s="2201"/>
      <c r="AI392" s="1927"/>
      <c r="AK392" s="2207"/>
      <c r="AL392" s="2207"/>
      <c r="AM392" s="2207"/>
      <c r="AN392" s="2207"/>
      <c r="AO392" s="2207"/>
      <c r="AP392" s="2208"/>
      <c r="AQ392" s="2207"/>
      <c r="AR392" s="2207"/>
      <c r="AS392" s="2207"/>
      <c r="AT392" s="2208"/>
      <c r="AU392" s="2207"/>
      <c r="AV392" s="2207"/>
      <c r="AW392" s="2207"/>
      <c r="AX392" s="2208"/>
      <c r="AY392" s="2207"/>
      <c r="AZ392" s="2207"/>
      <c r="BA392" s="2207"/>
      <c r="BB392" s="2208"/>
      <c r="BC392" s="2207"/>
      <c r="BD392" s="2207"/>
      <c r="BE392" s="2207"/>
      <c r="BF392" s="2208"/>
      <c r="BG392" s="2207"/>
      <c r="BH392" s="2207"/>
      <c r="BI392" s="2207"/>
      <c r="BJ392" s="2208"/>
      <c r="BK392" s="2207"/>
      <c r="BL392" s="2207"/>
      <c r="BM392" s="2207"/>
      <c r="BN392" s="2208"/>
      <c r="BO392" s="2207"/>
      <c r="BP392" s="2207"/>
      <c r="BQ392" s="2207"/>
      <c r="BR392" s="2208"/>
      <c r="BS392" s="2207"/>
      <c r="BT392" s="2207"/>
      <c r="BU392" s="2207"/>
      <c r="BV392" s="2208"/>
      <c r="BW392" s="2207"/>
      <c r="BX392" s="2207"/>
      <c r="BY392" s="2207"/>
      <c r="BZ392" s="2208"/>
      <c r="CA392" s="2207"/>
      <c r="CB392" s="2207"/>
      <c r="CC392" s="2207"/>
      <c r="CD392" s="2208"/>
      <c r="CE392" s="2207"/>
      <c r="CF392" s="2207"/>
      <c r="CG392" s="2207"/>
      <c r="CH392" s="2208"/>
      <c r="CI392" s="2207"/>
      <c r="CJ392" s="2207"/>
      <c r="CK392" s="2207"/>
      <c r="CL392" s="2208"/>
      <c r="CM392" s="2207"/>
      <c r="CN392" s="2207"/>
      <c r="CO392" s="2207"/>
      <c r="CP392" s="2208"/>
      <c r="CQ392" s="2207"/>
      <c r="CR392" s="2207"/>
      <c r="CS392" s="2207"/>
      <c r="CT392" s="2208"/>
      <c r="CU392" s="2207"/>
      <c r="CV392" s="2207"/>
      <c r="CW392" s="2207"/>
      <c r="CX392" s="2208"/>
      <c r="CY392" s="2207"/>
      <c r="CZ392" s="2207"/>
      <c r="DA392" s="2207"/>
      <c r="DB392" s="2208"/>
      <c r="DC392" s="2207"/>
      <c r="DD392" s="2207"/>
      <c r="DE392" s="2207"/>
      <c r="DF392" s="2208"/>
      <c r="DG392" s="2207"/>
      <c r="DH392" s="2207"/>
      <c r="DI392" s="2209"/>
      <c r="DJ392" s="2208"/>
      <c r="DK392" s="2207"/>
      <c r="DL392" s="2207"/>
      <c r="DM392" s="2209"/>
      <c r="DN392" s="2207"/>
      <c r="DO392" s="2207"/>
      <c r="DP392" s="2207"/>
      <c r="DQ392" s="2209"/>
      <c r="DR392" s="2208"/>
      <c r="DS392" s="2207"/>
      <c r="DT392" s="2207"/>
      <c r="DU392" s="2209"/>
      <c r="DV392" s="2207"/>
      <c r="DW392" s="2207"/>
      <c r="DX392" s="2207"/>
      <c r="DY392" s="2209"/>
    </row>
    <row r="393" spans="1:131" ht="15" customHeight="1">
      <c r="A393" s="1934" t="s">
        <v>1516</v>
      </c>
      <c r="B393" s="2207"/>
      <c r="C393" s="2207"/>
      <c r="D393" s="2207"/>
      <c r="E393" s="2207"/>
      <c r="F393" s="2207"/>
      <c r="G393" s="2207"/>
      <c r="H393" s="2207"/>
      <c r="I393" s="2207"/>
      <c r="J393" s="2207"/>
      <c r="K393" s="2207"/>
      <c r="L393" s="2207"/>
      <c r="M393" s="2207"/>
      <c r="N393" s="2207"/>
      <c r="O393" s="2207"/>
      <c r="P393" s="2207"/>
      <c r="Q393" s="2207"/>
      <c r="R393" s="2207"/>
      <c r="S393" s="2207"/>
      <c r="T393" s="2207"/>
      <c r="U393" s="2207"/>
      <c r="V393" s="2207"/>
      <c r="W393" s="2207"/>
      <c r="X393" s="2207"/>
      <c r="Y393" s="2207"/>
      <c r="Z393" s="2207"/>
      <c r="AA393" s="2207"/>
      <c r="AB393" s="2207"/>
      <c r="AC393" s="2207"/>
      <c r="AD393" s="2207"/>
      <c r="AE393" s="2207"/>
      <c r="AF393" s="2207"/>
      <c r="AG393" s="2207"/>
      <c r="AH393" s="2201"/>
      <c r="AI393" s="1927"/>
      <c r="AK393" s="2207"/>
      <c r="AL393" s="2207"/>
      <c r="AM393" s="2207"/>
      <c r="AN393" s="2207"/>
      <c r="AO393" s="2207"/>
      <c r="AP393" s="2208"/>
      <c r="AQ393" s="2207"/>
      <c r="AR393" s="2207"/>
      <c r="AS393" s="2207"/>
      <c r="AT393" s="2208"/>
      <c r="AU393" s="2207"/>
      <c r="AV393" s="2207"/>
      <c r="AW393" s="2207"/>
      <c r="AX393" s="2208"/>
      <c r="AY393" s="2207"/>
      <c r="AZ393" s="2207"/>
      <c r="BA393" s="2207"/>
      <c r="BB393" s="2208"/>
      <c r="BC393" s="2207"/>
      <c r="BD393" s="2207"/>
      <c r="BE393" s="2207"/>
      <c r="BF393" s="2208"/>
      <c r="BG393" s="2207"/>
      <c r="BH393" s="2207"/>
      <c r="BI393" s="2207"/>
      <c r="BJ393" s="2208"/>
      <c r="BK393" s="2207"/>
      <c r="BL393" s="2207"/>
      <c r="BM393" s="2207"/>
      <c r="BN393" s="2208"/>
      <c r="BO393" s="2207"/>
      <c r="BP393" s="2207"/>
      <c r="BQ393" s="2207"/>
      <c r="BR393" s="2208"/>
      <c r="BS393" s="2207"/>
      <c r="BT393" s="2207"/>
      <c r="BU393" s="2207"/>
      <c r="BV393" s="2208"/>
      <c r="BW393" s="2207"/>
      <c r="BX393" s="2207"/>
      <c r="BY393" s="2207"/>
      <c r="BZ393" s="2208"/>
      <c r="CA393" s="2207"/>
      <c r="CB393" s="2207"/>
      <c r="CC393" s="2207"/>
      <c r="CD393" s="2208"/>
      <c r="CE393" s="2207"/>
      <c r="CF393" s="2207"/>
      <c r="CG393" s="2207"/>
      <c r="CH393" s="2208"/>
      <c r="CI393" s="2207"/>
      <c r="CJ393" s="2207"/>
      <c r="CK393" s="2207"/>
      <c r="CL393" s="2208"/>
      <c r="CM393" s="2207"/>
      <c r="CN393" s="2207"/>
      <c r="CO393" s="2207"/>
      <c r="CP393" s="2208"/>
      <c r="CQ393" s="2207"/>
      <c r="CR393" s="2207"/>
      <c r="CS393" s="2207"/>
      <c r="CT393" s="2208"/>
      <c r="CU393" s="2207"/>
      <c r="CV393" s="2207"/>
      <c r="CW393" s="2207"/>
      <c r="CX393" s="2208"/>
      <c r="CY393" s="2207"/>
      <c r="CZ393" s="2207"/>
      <c r="DA393" s="2207"/>
      <c r="DB393" s="2208"/>
      <c r="DC393" s="2207"/>
      <c r="DD393" s="2207"/>
      <c r="DE393" s="2207"/>
      <c r="DF393" s="2908"/>
      <c r="DG393" s="2907"/>
      <c r="DH393" s="2907"/>
      <c r="DI393" s="2209"/>
      <c r="DJ393" s="2208"/>
      <c r="DK393" s="2207"/>
      <c r="DL393" s="2207"/>
      <c r="DM393" s="2209"/>
      <c r="DN393" s="2207"/>
      <c r="DO393" s="2207"/>
      <c r="DP393" s="2207"/>
      <c r="DQ393" s="2209"/>
      <c r="DR393" s="2208"/>
      <c r="DS393" s="2207"/>
      <c r="DT393" s="2207"/>
      <c r="DU393" s="2209"/>
      <c r="DV393" s="2207"/>
      <c r="DW393" s="2207"/>
      <c r="DX393" s="2207"/>
      <c r="DY393" s="2209"/>
    </row>
    <row r="394" spans="1:131" s="2141" customFormat="1" ht="15" customHeight="1">
      <c r="A394" s="1931" t="s">
        <v>1541</v>
      </c>
      <c r="U394" s="2141">
        <f t="shared" ref="U394:Z394" si="1860">+U398-U396</f>
        <v>118.8</v>
      </c>
      <c r="V394" s="2141">
        <f t="shared" si="1860"/>
        <v>1640.5925463167803</v>
      </c>
      <c r="W394" s="2141">
        <f t="shared" si="1860"/>
        <v>6446.4281616533299</v>
      </c>
      <c r="X394" s="2141">
        <f t="shared" si="1860"/>
        <v>7814.5837694412749</v>
      </c>
      <c r="Y394" s="2141">
        <f t="shared" si="1860"/>
        <v>8177.8106019077286</v>
      </c>
      <c r="Z394" s="2141">
        <f t="shared" ca="1" si="1860"/>
        <v>8176.3179850989418</v>
      </c>
      <c r="AA394" s="2141">
        <f ca="1">+AA387*AA395/1000</f>
        <v>8225.9206484878468</v>
      </c>
      <c r="AB394" s="2141">
        <f ca="1">+AB387*AB395/1000</f>
        <v>8184.6384221562093</v>
      </c>
      <c r="AC394" s="2141">
        <f t="shared" ref="AC394:AG394" ca="1" si="1861">+AC387*AC395/1000</f>
        <v>8128.8358434857382</v>
      </c>
      <c r="AD394" s="2141">
        <f t="shared" ca="1" si="1861"/>
        <v>8060.6918756516479</v>
      </c>
      <c r="AE394" s="2141">
        <f t="shared" ca="1" si="1861"/>
        <v>7982.0388697011185</v>
      </c>
      <c r="AF394" s="2141">
        <f t="shared" ca="1" si="1861"/>
        <v>7894.4180398231911</v>
      </c>
      <c r="AG394" s="2141">
        <f t="shared" ca="1" si="1861"/>
        <v>7799.1255036708508</v>
      </c>
      <c r="AH394" s="1936"/>
      <c r="AI394" s="1952"/>
      <c r="AP394" s="1936"/>
      <c r="AT394" s="1936"/>
      <c r="AX394" s="1936"/>
      <c r="BB394" s="1936"/>
      <c r="BF394" s="1936"/>
      <c r="BJ394" s="1936"/>
      <c r="BN394" s="1936"/>
      <c r="BR394" s="1936"/>
      <c r="BV394" s="1936"/>
      <c r="BZ394" s="1936"/>
      <c r="CD394" s="1936"/>
      <c r="CH394" s="1936"/>
      <c r="CL394" s="1936"/>
      <c r="CP394" s="1936"/>
      <c r="CT394" s="1936"/>
      <c r="CX394" s="1936"/>
      <c r="DB394" s="1936"/>
      <c r="DE394" s="2141">
        <f>+DE387*DE395/1000</f>
        <v>118.8</v>
      </c>
      <c r="DF394" s="1936">
        <f>+DF398-DF396</f>
        <v>204.96</v>
      </c>
      <c r="DG394" s="2141">
        <f>+DG398-DG396</f>
        <v>299.05500000000001</v>
      </c>
      <c r="DH394" s="2141">
        <f>+DH398-DH396</f>
        <v>306.7</v>
      </c>
      <c r="DI394" s="2472">
        <f t="shared" ref="DI394:DM394" si="1862">+DI387*DI395/1000</f>
        <v>829.87754631678013</v>
      </c>
      <c r="DJ394" s="1936">
        <f t="shared" si="1862"/>
        <v>1008.29061116784</v>
      </c>
      <c r="DK394" s="2141">
        <f t="shared" si="1862"/>
        <v>1414.5766719083995</v>
      </c>
      <c r="DL394" s="2141">
        <f t="shared" si="1862"/>
        <v>1682.5319685770903</v>
      </c>
      <c r="DM394" s="2472">
        <f t="shared" si="1862"/>
        <v>2341.02891</v>
      </c>
      <c r="DN394" s="2141">
        <f t="shared" ref="DN394:DO394" si="1863">+DN387*DN395/1000</f>
        <v>1684.3536395030403</v>
      </c>
      <c r="DO394" s="2141">
        <f t="shared" si="1863"/>
        <v>1555.9126451981545</v>
      </c>
      <c r="DP394" s="2141">
        <f t="shared" ref="DP394:DQ394" si="1864">+DP387*DP395/1000</f>
        <v>1869.6170610348001</v>
      </c>
      <c r="DQ394" s="2472">
        <f t="shared" si="1864"/>
        <v>2704.7004237052802</v>
      </c>
      <c r="DR394" s="1936">
        <f t="shared" ref="DR394" si="1865">+DR387*DR395/1000</f>
        <v>1768.2384605123696</v>
      </c>
      <c r="DS394" s="2141">
        <f t="shared" ref="DS394:DT394" si="1866">+DS387*DS395/1000</f>
        <v>1885.0955432324397</v>
      </c>
      <c r="DT394" s="2141">
        <f t="shared" si="1866"/>
        <v>1933.0012801321991</v>
      </c>
      <c r="DU394" s="2472">
        <f t="shared" ref="DU394" si="1867">+DU387*DU395/1000</f>
        <v>2591.4753180307198</v>
      </c>
      <c r="DV394" s="2141">
        <f t="shared" ref="DV394" si="1868">+DV387*DV395/1000</f>
        <v>1821.3161423614083</v>
      </c>
      <c r="DW394" s="2141">
        <f t="shared" ref="DW394:DY394" si="1869">+DW387*DW395/1000</f>
        <v>1912.8604565909509</v>
      </c>
      <c r="DX394" s="2141">
        <f t="shared" ca="1" si="1869"/>
        <v>1946.1137270620052</v>
      </c>
      <c r="DY394" s="2472">
        <f t="shared" ca="1" si="1869"/>
        <v>2496.0276590845774</v>
      </c>
    </row>
    <row r="395" spans="1:131" s="2611" customFormat="1" ht="15" customHeight="1" outlineLevel="1">
      <c r="A395" s="1935" t="s">
        <v>1517</v>
      </c>
      <c r="U395" s="2611">
        <f t="shared" ref="U395:Z395" si="1870">+U394*1000/U387</f>
        <v>90</v>
      </c>
      <c r="V395" s="2611">
        <f t="shared" si="1870"/>
        <v>256.91055680994998</v>
      </c>
      <c r="W395" s="2611">
        <f t="shared" si="1870"/>
        <v>330</v>
      </c>
      <c r="X395" s="2611">
        <f t="shared" si="1870"/>
        <v>329.99999999999994</v>
      </c>
      <c r="Y395" s="2611">
        <f t="shared" si="1870"/>
        <v>330</v>
      </c>
      <c r="Z395" s="2611">
        <f t="shared" ca="1" si="1870"/>
        <v>330</v>
      </c>
      <c r="AA395" s="2909">
        <f>600*0.95-240</f>
        <v>330</v>
      </c>
      <c r="AB395" s="2909">
        <f>600*0.95-240</f>
        <v>330</v>
      </c>
      <c r="AC395" s="2909">
        <f t="shared" ref="AC395:AG395" si="1871">600*0.95-240</f>
        <v>330</v>
      </c>
      <c r="AD395" s="2909">
        <f t="shared" si="1871"/>
        <v>330</v>
      </c>
      <c r="AE395" s="2909">
        <f t="shared" si="1871"/>
        <v>330</v>
      </c>
      <c r="AF395" s="2909">
        <f t="shared" si="1871"/>
        <v>330</v>
      </c>
      <c r="AG395" s="2909">
        <f t="shared" si="1871"/>
        <v>330</v>
      </c>
      <c r="AH395" s="1938"/>
      <c r="AI395" s="2610"/>
      <c r="AP395" s="1938"/>
      <c r="AT395" s="1938"/>
      <c r="AX395" s="1938"/>
      <c r="BB395" s="1938"/>
      <c r="BF395" s="1938"/>
      <c r="BJ395" s="1938"/>
      <c r="BN395" s="1938"/>
      <c r="BR395" s="1938"/>
      <c r="BV395" s="1938"/>
      <c r="BZ395" s="1938"/>
      <c r="CD395" s="1938"/>
      <c r="CH395" s="1938"/>
      <c r="CL395" s="1938"/>
      <c r="CP395" s="1938"/>
      <c r="CT395" s="1938"/>
      <c r="CX395" s="1938"/>
      <c r="DB395" s="1938"/>
      <c r="DE395" s="2910">
        <f>600*0.55-240</f>
        <v>90</v>
      </c>
      <c r="DF395" s="1938">
        <f>+DF394*1000/DF387</f>
        <v>224.73684210526315</v>
      </c>
      <c r="DG395" s="2611">
        <f>+DG394*1000/DG387</f>
        <v>200.17068273092369</v>
      </c>
      <c r="DH395" s="2611">
        <f>+DH394*1000/DH387</f>
        <v>287.17228464419475</v>
      </c>
      <c r="DI395" s="2911">
        <f>+AVERAGE((600*0.8-240),(600*0.95)-240)</f>
        <v>285</v>
      </c>
      <c r="DJ395" s="2912">
        <f t="shared" ref="DJ395:DV395" si="1872">600*0.95-240</f>
        <v>330</v>
      </c>
      <c r="DK395" s="2909">
        <f t="shared" si="1872"/>
        <v>330</v>
      </c>
      <c r="DL395" s="2909">
        <f t="shared" si="1872"/>
        <v>330</v>
      </c>
      <c r="DM395" s="2913">
        <f t="shared" si="1872"/>
        <v>330</v>
      </c>
      <c r="DN395" s="2909">
        <f t="shared" si="1872"/>
        <v>330</v>
      </c>
      <c r="DO395" s="2909">
        <f t="shared" si="1872"/>
        <v>330</v>
      </c>
      <c r="DP395" s="2909">
        <f t="shared" si="1872"/>
        <v>330</v>
      </c>
      <c r="DQ395" s="2913">
        <f t="shared" si="1872"/>
        <v>330</v>
      </c>
      <c r="DR395" s="2912">
        <f t="shared" si="1872"/>
        <v>330</v>
      </c>
      <c r="DS395" s="2909">
        <f t="shared" si="1872"/>
        <v>330</v>
      </c>
      <c r="DT395" s="2909">
        <f t="shared" si="1872"/>
        <v>330</v>
      </c>
      <c r="DU395" s="2913">
        <f t="shared" si="1872"/>
        <v>330</v>
      </c>
      <c r="DV395" s="2909">
        <f t="shared" si="1872"/>
        <v>330</v>
      </c>
      <c r="DW395" s="2909">
        <f>+DV395</f>
        <v>330</v>
      </c>
      <c r="DX395" s="2909">
        <f>+DW395</f>
        <v>330</v>
      </c>
      <c r="DY395" s="2913">
        <f>+DX395</f>
        <v>330</v>
      </c>
    </row>
    <row r="396" spans="1:131" s="2141" customFormat="1" ht="15" customHeight="1">
      <c r="A396" s="1936" t="s">
        <v>1518</v>
      </c>
      <c r="U396" s="2141">
        <f>+SUM(DB396:DE396)</f>
        <v>0</v>
      </c>
      <c r="V396" s="2141">
        <f>+SUM(DF396:DI396)</f>
        <v>-646.9616483934301</v>
      </c>
      <c r="W396" s="2141">
        <f>+SUM(DJ396:DM396)</f>
        <v>-2854.2947180643596</v>
      </c>
      <c r="X396" s="2141">
        <f>+SUM(DN396:DQ396)</f>
        <v>-6804.4406145939192</v>
      </c>
      <c r="Y396" s="2141">
        <f>+SUM(DR396:DU396)</f>
        <v>-11224.443292620141</v>
      </c>
      <c r="Z396" s="2141">
        <f ca="1">+SUM(DV396:DY396)</f>
        <v>-15716.039395132022</v>
      </c>
      <c r="AA396" s="2141">
        <f ca="1">-AVERAGE(Z389:AA389)*AA397*12/1000</f>
        <v>-18574.274439778248</v>
      </c>
      <c r="AB396" s="2141">
        <f ca="1">-AVERAGE(AA389:AB389)*AB397*12/1000</f>
        <v>-19259.240150756003</v>
      </c>
      <c r="AC396" s="2141">
        <f t="shared" ref="AC396:AG396" ca="1" si="1873">-AVERAGE(AB389:AC389)*AC397*12/1000</f>
        <v>-19637.746598839221</v>
      </c>
      <c r="AD396" s="2141">
        <f t="shared" ca="1" si="1873"/>
        <v>-19988.198590756609</v>
      </c>
      <c r="AE396" s="2141">
        <f t="shared" ca="1" si="1873"/>
        <v>-20315.412901662246</v>
      </c>
      <c r="AF396" s="2141">
        <f t="shared" ca="1" si="1873"/>
        <v>-20623.571141618813</v>
      </c>
      <c r="AG396" s="2141">
        <f t="shared" ca="1" si="1873"/>
        <v>-20916.319396321029</v>
      </c>
      <c r="AH396" s="1936"/>
      <c r="AI396" s="1952"/>
      <c r="AP396" s="1936"/>
      <c r="AT396" s="1936"/>
      <c r="AX396" s="1936"/>
      <c r="BB396" s="1936"/>
      <c r="BF396" s="1936"/>
      <c r="BJ396" s="1936"/>
      <c r="BN396" s="1936"/>
      <c r="BR396" s="1936"/>
      <c r="BV396" s="1936"/>
      <c r="BZ396" s="1936"/>
      <c r="CD396" s="1936"/>
      <c r="CH396" s="1936"/>
      <c r="CL396" s="1936"/>
      <c r="CP396" s="1936"/>
      <c r="CT396" s="1936"/>
      <c r="CX396" s="1936"/>
      <c r="DB396" s="1936"/>
      <c r="DE396" s="2141">
        <f t="shared" ref="DE396:DV396" si="1874">-AVERAGE(DD389:DE389)*DE397*3/1000</f>
        <v>0</v>
      </c>
      <c r="DF396" s="1936">
        <f t="shared" si="1874"/>
        <v>-39.96</v>
      </c>
      <c r="DG396" s="2141">
        <f t="shared" si="1874"/>
        <v>-134.05500000000001</v>
      </c>
      <c r="DH396" s="2141">
        <f t="shared" si="1874"/>
        <v>-191.7</v>
      </c>
      <c r="DI396" s="2472">
        <f t="shared" si="1874"/>
        <v>-281.24664839343001</v>
      </c>
      <c r="DJ396" s="1936">
        <f t="shared" si="1874"/>
        <v>-415.5103839119401</v>
      </c>
      <c r="DK396" s="2141">
        <f t="shared" si="1874"/>
        <v>-580.70588048531999</v>
      </c>
      <c r="DL396" s="2141">
        <f t="shared" si="1874"/>
        <v>-791.87237870023978</v>
      </c>
      <c r="DM396" s="2472">
        <f t="shared" si="1874"/>
        <v>-1066.2060749668594</v>
      </c>
      <c r="DN396" s="2141">
        <f t="shared" si="1874"/>
        <v>-1340.6639760693397</v>
      </c>
      <c r="DO396" s="2141">
        <f t="shared" si="1874"/>
        <v>-1561.5912227535121</v>
      </c>
      <c r="DP396" s="2141">
        <f t="shared" si="1874"/>
        <v>-1795.1500663603042</v>
      </c>
      <c r="DQ396" s="2472">
        <f t="shared" si="1874"/>
        <v>-2107.035349410764</v>
      </c>
      <c r="DR396" s="1936">
        <f t="shared" si="1874"/>
        <v>-2412.0084551528766</v>
      </c>
      <c r="DS396" s="2141">
        <f t="shared" si="1874"/>
        <v>-2661.0994099536588</v>
      </c>
      <c r="DT396" s="2141">
        <f t="shared" si="1874"/>
        <v>-2921.4241933648846</v>
      </c>
      <c r="DU396" s="2472">
        <f t="shared" si="1874"/>
        <v>-3229.9112341487203</v>
      </c>
      <c r="DV396" s="2141">
        <f t="shared" si="1874"/>
        <v>-3530.783379175456</v>
      </c>
      <c r="DW396" s="2141">
        <f t="shared" ref="DW396" ca="1" si="1875">-AVERAGE(DV389:DW389)*DW397*3/1000</f>
        <v>-3785.3863291040261</v>
      </c>
      <c r="DX396" s="2141">
        <f t="shared" ref="DX396" ca="1" si="1876">-AVERAGE(DW389:DX389)*DX397*3/1000</f>
        <v>-4048.4982052621813</v>
      </c>
      <c r="DY396" s="2472">
        <f t="shared" ref="DY396" ca="1" si="1877">-AVERAGE(DX389:DY389)*DY397*3/1000</f>
        <v>-4351.3714815903586</v>
      </c>
    </row>
    <row r="397" spans="1:131" s="2611" customFormat="1" ht="15" customHeight="1">
      <c r="A397" s="1935" t="s">
        <v>1519</v>
      </c>
      <c r="U397" s="2910">
        <f>AVERAGE(DB397:DE397)</f>
        <v>0</v>
      </c>
      <c r="V397" s="2914">
        <f>AVERAGE(DF397:DI397)</f>
        <v>13.125</v>
      </c>
      <c r="W397" s="2914">
        <f>+AVERAGE(DJ397:DM397)</f>
        <v>15</v>
      </c>
      <c r="X397" s="2611">
        <f>+AVERAGE(DN397:DQ397)</f>
        <v>15</v>
      </c>
      <c r="Y397" s="2611">
        <f>+AVERAGE(DR397:DU397)</f>
        <v>15</v>
      </c>
      <c r="Z397" s="2611">
        <f>+AVERAGE(DV397:DY397)</f>
        <v>15</v>
      </c>
      <c r="AA397" s="2909">
        <v>15</v>
      </c>
      <c r="AB397" s="2909">
        <v>15</v>
      </c>
      <c r="AC397" s="2909">
        <v>15</v>
      </c>
      <c r="AD397" s="2909">
        <v>15</v>
      </c>
      <c r="AE397" s="2909">
        <v>15</v>
      </c>
      <c r="AF397" s="2909">
        <v>15</v>
      </c>
      <c r="AG397" s="2909">
        <v>15</v>
      </c>
      <c r="AH397" s="1938"/>
      <c r="AI397" s="2610"/>
      <c r="AP397" s="1938"/>
      <c r="AT397" s="1938"/>
      <c r="AX397" s="1938"/>
      <c r="BB397" s="1938"/>
      <c r="BF397" s="1938"/>
      <c r="BJ397" s="1938"/>
      <c r="BN397" s="1938"/>
      <c r="BR397" s="1938"/>
      <c r="BV397" s="1938"/>
      <c r="BZ397" s="1938"/>
      <c r="CD397" s="1938"/>
      <c r="CH397" s="1938"/>
      <c r="CL397" s="1938"/>
      <c r="CP397" s="1938"/>
      <c r="CT397" s="1938"/>
      <c r="CX397" s="1938"/>
      <c r="DB397" s="1938"/>
      <c r="DE397" s="2910">
        <v>0</v>
      </c>
      <c r="DF397" s="2915">
        <f>AVERAGE(0,15)</f>
        <v>7.5</v>
      </c>
      <c r="DG397" s="2910">
        <v>15</v>
      </c>
      <c r="DH397" s="2910">
        <v>15</v>
      </c>
      <c r="DI397" s="2911">
        <v>15</v>
      </c>
      <c r="DJ397" s="2912">
        <v>15</v>
      </c>
      <c r="DK397" s="2909">
        <v>15</v>
      </c>
      <c r="DL397" s="2909">
        <v>15</v>
      </c>
      <c r="DM397" s="2913">
        <v>15</v>
      </c>
      <c r="DN397" s="2909">
        <v>15</v>
      </c>
      <c r="DO397" s="2909">
        <v>15</v>
      </c>
      <c r="DP397" s="2909">
        <v>15</v>
      </c>
      <c r="DQ397" s="2913">
        <v>15</v>
      </c>
      <c r="DR397" s="2912">
        <v>15</v>
      </c>
      <c r="DS397" s="2909">
        <v>15</v>
      </c>
      <c r="DT397" s="2909">
        <v>15</v>
      </c>
      <c r="DU397" s="2913">
        <v>15</v>
      </c>
      <c r="DV397" s="2909">
        <v>15</v>
      </c>
      <c r="DW397" s="2909">
        <v>15</v>
      </c>
      <c r="DX397" s="2909">
        <v>15</v>
      </c>
      <c r="DY397" s="2913">
        <v>15</v>
      </c>
    </row>
    <row r="398" spans="1:131" s="2216" customFormat="1" ht="15" customHeight="1">
      <c r="A398" s="1937" t="s">
        <v>1520</v>
      </c>
      <c r="U398" s="2216">
        <f>+SUM(DB398:DE398)</f>
        <v>118.8</v>
      </c>
      <c r="V398" s="2216">
        <f>+SUM(DF398:DI398)</f>
        <v>993.63089792335018</v>
      </c>
      <c r="W398" s="2216">
        <f>+SUM(DJ398:DM398)</f>
        <v>3592.1334435889707</v>
      </c>
      <c r="X398" s="2216">
        <f>+SUM(DN398:DQ398)</f>
        <v>1010.1431548473552</v>
      </c>
      <c r="Y398" s="2216">
        <f>+SUM(DR398:DU398)</f>
        <v>-3046.6326907124121</v>
      </c>
      <c r="Z398" s="2216">
        <f ca="1">+SUM(DV398:DY398)</f>
        <v>-7539.7214100330802</v>
      </c>
      <c r="AA398" s="2216">
        <f ca="1">+AA394+AA396</f>
        <v>-10348.353791290401</v>
      </c>
      <c r="AB398" s="2216">
        <f ca="1">+AB394+AB396</f>
        <v>-11074.601728599793</v>
      </c>
      <c r="AC398" s="2216">
        <f t="shared" ref="AC398:AG398" ca="1" si="1878">+AC394+AC396</f>
        <v>-11508.910755353483</v>
      </c>
      <c r="AD398" s="2216">
        <f t="shared" ca="1" si="1878"/>
        <v>-11927.506715104961</v>
      </c>
      <c r="AE398" s="2216">
        <f t="shared" ca="1" si="1878"/>
        <v>-12333.374031961128</v>
      </c>
      <c r="AF398" s="2216">
        <f t="shared" ca="1" si="1878"/>
        <v>-12729.153101795622</v>
      </c>
      <c r="AG398" s="2216">
        <f t="shared" ca="1" si="1878"/>
        <v>-13117.193892650179</v>
      </c>
      <c r="AH398" s="1937"/>
      <c r="AI398" s="1955"/>
      <c r="AP398" s="1937"/>
      <c r="AT398" s="1937"/>
      <c r="AX398" s="1937"/>
      <c r="BB398" s="1937"/>
      <c r="BF398" s="1937"/>
      <c r="BJ398" s="1937"/>
      <c r="BN398" s="1937"/>
      <c r="BR398" s="1937"/>
      <c r="BV398" s="1937"/>
      <c r="BZ398" s="1937"/>
      <c r="CD398" s="1937"/>
      <c r="CH398" s="1937"/>
      <c r="CL398" s="1937"/>
      <c r="CP398" s="1937"/>
      <c r="CT398" s="1937"/>
      <c r="CX398" s="1937"/>
      <c r="DB398" s="1937"/>
      <c r="DE398" s="2216">
        <f>+DE394+DE396</f>
        <v>118.8</v>
      </c>
      <c r="DF398" s="2916">
        <v>165</v>
      </c>
      <c r="DG398" s="2917">
        <v>165</v>
      </c>
      <c r="DH398" s="2917">
        <v>115</v>
      </c>
      <c r="DI398" s="2219">
        <f t="shared" ref="DI398:DL398" si="1879">+DI394+DI396</f>
        <v>548.63089792335018</v>
      </c>
      <c r="DJ398" s="1937">
        <f t="shared" si="1879"/>
        <v>592.78022725589994</v>
      </c>
      <c r="DK398" s="2216">
        <f t="shared" si="1879"/>
        <v>833.87079142307948</v>
      </c>
      <c r="DL398" s="2216">
        <f t="shared" si="1879"/>
        <v>890.65958987685053</v>
      </c>
      <c r="DM398" s="2219">
        <f t="shared" ref="DM398:DR398" si="1880">+DM394+DM396</f>
        <v>1274.8228350331406</v>
      </c>
      <c r="DN398" s="2216">
        <f t="shared" si="1880"/>
        <v>343.68966343370062</v>
      </c>
      <c r="DO398" s="2216">
        <f t="shared" si="1880"/>
        <v>-5.6785775553576059</v>
      </c>
      <c r="DP398" s="2216">
        <f t="shared" si="1880"/>
        <v>74.466994674495936</v>
      </c>
      <c r="DQ398" s="2219">
        <f t="shared" si="1880"/>
        <v>597.66507429451622</v>
      </c>
      <c r="DR398" s="1937">
        <f t="shared" si="1880"/>
        <v>-643.76999464050709</v>
      </c>
      <c r="DS398" s="2216">
        <f t="shared" ref="DS398:DT398" si="1881">+DS394+DS396</f>
        <v>-776.00386672121908</v>
      </c>
      <c r="DT398" s="2216">
        <f t="shared" si="1881"/>
        <v>-988.42291323268546</v>
      </c>
      <c r="DU398" s="2219">
        <f t="shared" ref="DU398" si="1882">+DU394+DU396</f>
        <v>-638.43591611800048</v>
      </c>
      <c r="DV398" s="2216">
        <f t="shared" ref="DV398" si="1883">+DV394+DV396</f>
        <v>-1709.4672368140477</v>
      </c>
      <c r="DW398" s="2216">
        <f t="shared" ref="DW398:DY398" ca="1" si="1884">+DW394+DW396</f>
        <v>-1872.5258725130752</v>
      </c>
      <c r="DX398" s="2216">
        <f t="shared" ca="1" si="1884"/>
        <v>-2102.3844782001761</v>
      </c>
      <c r="DY398" s="2219">
        <f t="shared" ca="1" si="1884"/>
        <v>-1855.3438225057812</v>
      </c>
    </row>
    <row r="399" spans="1:131" ht="15" customHeight="1">
      <c r="A399" s="1931"/>
      <c r="B399" s="2207"/>
      <c r="C399" s="2207"/>
      <c r="D399" s="2207"/>
      <c r="E399" s="2207"/>
      <c r="F399" s="2207"/>
      <c r="G399" s="2207"/>
      <c r="H399" s="2207"/>
      <c r="I399" s="2207"/>
      <c r="J399" s="2207"/>
      <c r="K399" s="2207"/>
      <c r="L399" s="2207"/>
      <c r="M399" s="2207"/>
      <c r="N399" s="2207"/>
      <c r="O399" s="2207"/>
      <c r="P399" s="2207"/>
      <c r="Q399" s="2207"/>
      <c r="R399" s="2207"/>
      <c r="S399" s="2207"/>
      <c r="T399" s="2207"/>
      <c r="U399" s="2207"/>
      <c r="V399" s="2207"/>
      <c r="W399" s="2207"/>
      <c r="X399" s="2207"/>
      <c r="Y399" s="2207"/>
      <c r="Z399" s="2207"/>
      <c r="AA399" s="2207"/>
      <c r="AB399" s="2207"/>
      <c r="AC399" s="2207"/>
      <c r="AD399" s="2207"/>
      <c r="AE399" s="2207"/>
      <c r="AF399" s="2207"/>
      <c r="AG399" s="2207"/>
      <c r="AH399" s="2201"/>
      <c r="AI399" s="1927"/>
      <c r="AK399" s="2207"/>
      <c r="AL399" s="2207"/>
      <c r="AM399" s="2207"/>
      <c r="AN399" s="2207"/>
      <c r="AO399" s="2207"/>
      <c r="AP399" s="2208"/>
      <c r="AQ399" s="2207"/>
      <c r="AR399" s="2207"/>
      <c r="AS399" s="2207"/>
      <c r="AT399" s="2208"/>
      <c r="AU399" s="2207"/>
      <c r="AV399" s="2207"/>
      <c r="AW399" s="2207"/>
      <c r="AX399" s="2208"/>
      <c r="AY399" s="2207"/>
      <c r="AZ399" s="2207"/>
      <c r="BA399" s="2207"/>
      <c r="BB399" s="2208"/>
      <c r="BC399" s="2207"/>
      <c r="BD399" s="2207"/>
      <c r="BE399" s="2207"/>
      <c r="BF399" s="2208"/>
      <c r="BG399" s="2207"/>
      <c r="BH399" s="2207"/>
      <c r="BI399" s="2207"/>
      <c r="BJ399" s="2208"/>
      <c r="BK399" s="2207"/>
      <c r="BL399" s="2207"/>
      <c r="BM399" s="2207"/>
      <c r="BN399" s="2208"/>
      <c r="BO399" s="2207"/>
      <c r="BP399" s="2207"/>
      <c r="BQ399" s="2207"/>
      <c r="BR399" s="2208"/>
      <c r="BS399" s="2207"/>
      <c r="BT399" s="2207"/>
      <c r="BU399" s="2207"/>
      <c r="BV399" s="2208"/>
      <c r="BW399" s="2207"/>
      <c r="BX399" s="2207"/>
      <c r="BY399" s="2207"/>
      <c r="BZ399" s="2208"/>
      <c r="CA399" s="2207"/>
      <c r="CB399" s="2207"/>
      <c r="CC399" s="2207"/>
      <c r="CD399" s="2208"/>
      <c r="CE399" s="2207"/>
      <c r="CF399" s="2207"/>
      <c r="CG399" s="2207"/>
      <c r="CH399" s="2208"/>
      <c r="CI399" s="2207"/>
      <c r="CJ399" s="2207"/>
      <c r="CK399" s="2207"/>
      <c r="CL399" s="2208"/>
      <c r="CM399" s="2207"/>
      <c r="CN399" s="2207"/>
      <c r="CO399" s="2207"/>
      <c r="CP399" s="2208"/>
      <c r="CQ399" s="2207"/>
      <c r="CR399" s="2207"/>
      <c r="CS399" s="2207"/>
      <c r="CT399" s="2208"/>
      <c r="CU399" s="2207"/>
      <c r="CV399" s="2207"/>
      <c r="CW399" s="2207"/>
      <c r="CX399" s="2208"/>
      <c r="CY399" s="2207"/>
      <c r="CZ399" s="2207"/>
      <c r="DA399" s="2207"/>
      <c r="DB399" s="2208"/>
      <c r="DC399" s="2207"/>
      <c r="DD399" s="2207"/>
      <c r="DE399" s="2207"/>
      <c r="DF399" s="2208"/>
      <c r="DG399" s="2207"/>
      <c r="DH399" s="2207"/>
      <c r="DI399" s="2209"/>
      <c r="DJ399" s="2208"/>
      <c r="DK399" s="2207"/>
      <c r="DL399" s="2207"/>
      <c r="DM399" s="2209"/>
      <c r="DN399" s="2207"/>
      <c r="DO399" s="2207"/>
      <c r="DP399" s="2207"/>
      <c r="DQ399" s="2209"/>
      <c r="DR399" s="2208"/>
      <c r="DS399" s="2207"/>
      <c r="DT399" s="2207"/>
      <c r="DU399" s="2209"/>
      <c r="DV399" s="2207"/>
      <c r="DW399" s="2207"/>
      <c r="DX399" s="2207"/>
      <c r="DY399" s="2209"/>
    </row>
    <row r="400" spans="1:131" ht="15" customHeight="1">
      <c r="A400" s="1934" t="s">
        <v>1521</v>
      </c>
      <c r="B400" s="2207"/>
      <c r="C400" s="2207"/>
      <c r="D400" s="2207"/>
      <c r="E400" s="2207"/>
      <c r="F400" s="2207"/>
      <c r="G400" s="2207"/>
      <c r="H400" s="2207"/>
      <c r="I400" s="2207"/>
      <c r="J400" s="2207"/>
      <c r="K400" s="2207"/>
      <c r="L400" s="2207"/>
      <c r="M400" s="2207"/>
      <c r="N400" s="2207"/>
      <c r="O400" s="2207"/>
      <c r="P400" s="2207"/>
      <c r="Q400" s="2207"/>
      <c r="R400" s="2207"/>
      <c r="S400" s="2207"/>
      <c r="T400" s="2207"/>
      <c r="U400" s="2207"/>
      <c r="V400" s="2207"/>
      <c r="W400" s="2207"/>
      <c r="X400" s="2207"/>
      <c r="Y400" s="2207"/>
      <c r="Z400" s="2207"/>
      <c r="AA400" s="2207"/>
      <c r="AB400" s="2207"/>
      <c r="AC400" s="2207"/>
      <c r="AD400" s="2207"/>
      <c r="AE400" s="2207"/>
      <c r="AF400" s="2207"/>
      <c r="AG400" s="2207"/>
      <c r="AH400" s="2201"/>
      <c r="AI400" s="1927"/>
      <c r="AK400" s="2207"/>
      <c r="AL400" s="2207"/>
      <c r="AM400" s="2207"/>
      <c r="AN400" s="2207"/>
      <c r="AO400" s="2207"/>
      <c r="AP400" s="2208"/>
      <c r="AQ400" s="2207"/>
      <c r="AR400" s="2207"/>
      <c r="AS400" s="2207"/>
      <c r="AT400" s="2208"/>
      <c r="AU400" s="2207"/>
      <c r="AV400" s="2207"/>
      <c r="AW400" s="2207"/>
      <c r="AX400" s="2208"/>
      <c r="AY400" s="2207"/>
      <c r="AZ400" s="2207"/>
      <c r="BA400" s="2207"/>
      <c r="BB400" s="2208"/>
      <c r="BC400" s="2207"/>
      <c r="BD400" s="2207"/>
      <c r="BE400" s="2207"/>
      <c r="BF400" s="2208"/>
      <c r="BG400" s="2207"/>
      <c r="BH400" s="2207"/>
      <c r="BI400" s="2207"/>
      <c r="BJ400" s="2208"/>
      <c r="BK400" s="2207"/>
      <c r="BL400" s="2207"/>
      <c r="BM400" s="2207"/>
      <c r="BN400" s="2208"/>
      <c r="BO400" s="2207"/>
      <c r="BP400" s="2207"/>
      <c r="BQ400" s="2207"/>
      <c r="BR400" s="2208"/>
      <c r="BS400" s="2207"/>
      <c r="BT400" s="2207"/>
      <c r="BU400" s="2207"/>
      <c r="BV400" s="2208"/>
      <c r="BW400" s="2207"/>
      <c r="BX400" s="2207"/>
      <c r="BY400" s="2207"/>
      <c r="BZ400" s="2208"/>
      <c r="CA400" s="2207"/>
      <c r="CB400" s="2207"/>
      <c r="CC400" s="2207"/>
      <c r="CD400" s="2208"/>
      <c r="CE400" s="2207"/>
      <c r="CF400" s="2207"/>
      <c r="CG400" s="2207"/>
      <c r="CH400" s="2208"/>
      <c r="CI400" s="2207"/>
      <c r="CJ400" s="2207"/>
      <c r="CK400" s="2207"/>
      <c r="CL400" s="2208"/>
      <c r="CM400" s="2207"/>
      <c r="CN400" s="2207"/>
      <c r="CO400" s="2207"/>
      <c r="CP400" s="2208"/>
      <c r="CQ400" s="2207"/>
      <c r="CR400" s="2207"/>
      <c r="CS400" s="2207"/>
      <c r="CT400" s="2208"/>
      <c r="CU400" s="2207"/>
      <c r="CV400" s="2207"/>
      <c r="CW400" s="2207"/>
      <c r="CX400" s="2208"/>
      <c r="CY400" s="2207"/>
      <c r="CZ400" s="2207"/>
      <c r="DA400" s="2207"/>
      <c r="DB400" s="2208"/>
      <c r="DC400" s="2207"/>
      <c r="DD400" s="2207"/>
      <c r="DE400" s="2207"/>
      <c r="DF400" s="2208"/>
      <c r="DG400" s="2207"/>
      <c r="DH400" s="2207"/>
      <c r="DI400" s="2209"/>
      <c r="DJ400" s="2208"/>
      <c r="DK400" s="2207"/>
      <c r="DL400" s="2207"/>
      <c r="DM400" s="2209"/>
      <c r="DN400" s="2207"/>
      <c r="DO400" s="2207"/>
      <c r="DP400" s="2207"/>
      <c r="DQ400" s="2209"/>
      <c r="DR400" s="2208"/>
      <c r="DS400" s="2207"/>
      <c r="DT400" s="2207"/>
      <c r="DU400" s="2209"/>
      <c r="DV400" s="2207"/>
      <c r="DW400" s="2207"/>
      <c r="DX400" s="2207"/>
      <c r="DY400" s="2209"/>
    </row>
    <row r="401" spans="1:129" s="2611" customFormat="1" ht="15" hidden="1" customHeight="1" outlineLevel="1">
      <c r="A401" s="1938" t="s">
        <v>1522</v>
      </c>
      <c r="V401" s="2910">
        <v>30</v>
      </c>
      <c r="W401" s="2910">
        <v>30</v>
      </c>
      <c r="X401" s="2910">
        <v>30</v>
      </c>
      <c r="Y401" s="2910">
        <v>30</v>
      </c>
      <c r="Z401" s="2910">
        <v>30</v>
      </c>
      <c r="AA401" s="2910">
        <v>30</v>
      </c>
      <c r="AB401" s="2910">
        <v>30</v>
      </c>
      <c r="AC401" s="2910">
        <v>30</v>
      </c>
      <c r="AD401" s="2910">
        <v>30</v>
      </c>
      <c r="AE401" s="2910">
        <v>30</v>
      </c>
      <c r="AF401" s="2910">
        <v>30</v>
      </c>
      <c r="AG401" s="2910">
        <v>30</v>
      </c>
      <c r="AH401" s="1938"/>
      <c r="AI401" s="2610"/>
      <c r="AP401" s="1938"/>
      <c r="AT401" s="1938"/>
      <c r="AX401" s="1938"/>
      <c r="BB401" s="1938"/>
      <c r="BF401" s="1938"/>
      <c r="BJ401" s="1938"/>
      <c r="BN401" s="1938"/>
      <c r="BR401" s="1938"/>
      <c r="BV401" s="1938"/>
      <c r="BZ401" s="1938"/>
      <c r="CD401" s="1938"/>
      <c r="CH401" s="1938"/>
      <c r="CL401" s="1938"/>
      <c r="CP401" s="1938"/>
      <c r="CT401" s="1938"/>
      <c r="CX401" s="1938"/>
      <c r="DB401" s="1938"/>
      <c r="DE401" s="2910">
        <v>30</v>
      </c>
      <c r="DF401" s="2915">
        <v>30</v>
      </c>
      <c r="DG401" s="2910">
        <v>30</v>
      </c>
      <c r="DH401" s="2910">
        <v>30</v>
      </c>
      <c r="DI401" s="2911">
        <v>30</v>
      </c>
      <c r="DJ401" s="2910">
        <v>30</v>
      </c>
      <c r="DK401" s="2910">
        <v>30</v>
      </c>
      <c r="DL401" s="2910">
        <v>30</v>
      </c>
      <c r="DM401" s="2911">
        <v>30</v>
      </c>
      <c r="DN401" s="2910">
        <v>30</v>
      </c>
      <c r="DO401" s="2910">
        <v>30</v>
      </c>
      <c r="DP401" s="2910">
        <v>30</v>
      </c>
      <c r="DQ401" s="2911">
        <v>30</v>
      </c>
      <c r="DR401" s="2915">
        <v>30</v>
      </c>
      <c r="DS401" s="2910">
        <v>30</v>
      </c>
      <c r="DT401" s="2910">
        <v>30</v>
      </c>
      <c r="DU401" s="2911">
        <v>30</v>
      </c>
      <c r="DV401" s="2910">
        <v>30</v>
      </c>
      <c r="DW401" s="2910">
        <v>30</v>
      </c>
      <c r="DX401" s="2910">
        <v>30</v>
      </c>
      <c r="DY401" s="2911">
        <v>30</v>
      </c>
    </row>
    <row r="402" spans="1:129" s="2268" customFormat="1" ht="15" hidden="1" customHeight="1" outlineLevel="1">
      <c r="A402" s="1939" t="s">
        <v>1146</v>
      </c>
      <c r="AH402" s="1939"/>
      <c r="AI402" s="1956"/>
      <c r="AP402" s="1939"/>
      <c r="AT402" s="1939"/>
      <c r="AX402" s="1939"/>
      <c r="BB402" s="1939"/>
      <c r="BF402" s="1939"/>
      <c r="BJ402" s="1939"/>
      <c r="BN402" s="1939"/>
      <c r="BR402" s="1939"/>
      <c r="BV402" s="1939"/>
      <c r="BZ402" s="1939"/>
      <c r="CD402" s="1939"/>
      <c r="CH402" s="1939"/>
      <c r="CL402" s="1939"/>
      <c r="CP402" s="1939"/>
      <c r="CT402" s="1939"/>
      <c r="CX402" s="1939"/>
      <c r="DB402" s="1939"/>
      <c r="DE402" s="2918"/>
      <c r="DF402" s="2919"/>
      <c r="DG402" s="2918"/>
      <c r="DH402" s="2918"/>
      <c r="DI402" s="2920"/>
      <c r="DJ402" s="2918"/>
      <c r="DK402" s="2918"/>
      <c r="DL402" s="2918"/>
      <c r="DM402" s="2920"/>
      <c r="DN402" s="2918"/>
      <c r="DO402" s="2918"/>
      <c r="DP402" s="2918"/>
      <c r="DQ402" s="2920"/>
      <c r="DR402" s="2919"/>
      <c r="DS402" s="2918"/>
      <c r="DT402" s="2918"/>
      <c r="DU402" s="2920"/>
      <c r="DV402" s="2918"/>
      <c r="DW402" s="2918"/>
      <c r="DX402" s="2918"/>
      <c r="DY402" s="2920"/>
    </row>
    <row r="403" spans="1:129" s="2268" customFormat="1" ht="15" hidden="1" customHeight="1" outlineLevel="1">
      <c r="A403" s="1939" t="s">
        <v>1147</v>
      </c>
      <c r="AH403" s="1939"/>
      <c r="AI403" s="1956"/>
      <c r="AP403" s="1939"/>
      <c r="AT403" s="1939"/>
      <c r="AX403" s="1939"/>
      <c r="BB403" s="1939"/>
      <c r="BF403" s="1939"/>
      <c r="BJ403" s="1939"/>
      <c r="BN403" s="1939"/>
      <c r="BR403" s="1939"/>
      <c r="BV403" s="1939"/>
      <c r="BZ403" s="1939"/>
      <c r="CD403" s="1939"/>
      <c r="CH403" s="1939"/>
      <c r="CL403" s="1939"/>
      <c r="CP403" s="1939"/>
      <c r="CT403" s="1939"/>
      <c r="CX403" s="1939"/>
      <c r="DB403" s="1939"/>
      <c r="DE403" s="2918">
        <v>1.5</v>
      </c>
      <c r="DF403" s="2919"/>
      <c r="DG403" s="2918"/>
      <c r="DH403" s="2918"/>
      <c r="DI403" s="2920"/>
      <c r="DJ403" s="2918"/>
      <c r="DK403" s="2918"/>
      <c r="DL403" s="2918"/>
      <c r="DM403" s="2920"/>
      <c r="DN403" s="2918"/>
      <c r="DO403" s="2918"/>
      <c r="DP403" s="2918"/>
      <c r="DQ403" s="2920"/>
      <c r="DR403" s="2919"/>
      <c r="DS403" s="2918"/>
      <c r="DT403" s="2918"/>
      <c r="DU403" s="2920"/>
      <c r="DV403" s="2918"/>
      <c r="DW403" s="2918"/>
      <c r="DX403" s="2918"/>
      <c r="DY403" s="2920"/>
    </row>
    <row r="404" spans="1:129" s="2268" customFormat="1" ht="15" hidden="1" customHeight="1" outlineLevel="1">
      <c r="A404" s="1939" t="s">
        <v>583</v>
      </c>
      <c r="AH404" s="1939"/>
      <c r="AI404" s="1956"/>
      <c r="AP404" s="1939"/>
      <c r="AT404" s="1939"/>
      <c r="AX404" s="1939"/>
      <c r="BB404" s="1939"/>
      <c r="BF404" s="1939"/>
      <c r="BJ404" s="1939"/>
      <c r="BN404" s="1939"/>
      <c r="BR404" s="1939"/>
      <c r="BV404" s="1939"/>
      <c r="BZ404" s="1939"/>
      <c r="CD404" s="1939"/>
      <c r="CH404" s="1939"/>
      <c r="CL404" s="1939"/>
      <c r="CP404" s="1939"/>
      <c r="CT404" s="1939"/>
      <c r="CX404" s="1939"/>
      <c r="DB404" s="1939"/>
      <c r="DE404" s="2918">
        <v>3</v>
      </c>
      <c r="DF404" s="2919">
        <v>1.5</v>
      </c>
      <c r="DG404" s="2918"/>
      <c r="DH404" s="2918"/>
      <c r="DI404" s="2920"/>
      <c r="DJ404" s="2918"/>
      <c r="DK404" s="2918"/>
      <c r="DL404" s="2918"/>
      <c r="DM404" s="2920"/>
      <c r="DN404" s="2918"/>
      <c r="DO404" s="2918"/>
      <c r="DP404" s="2918"/>
      <c r="DQ404" s="2920"/>
      <c r="DR404" s="2919"/>
      <c r="DS404" s="2918"/>
      <c r="DT404" s="2918"/>
      <c r="DU404" s="2920"/>
      <c r="DV404" s="2918"/>
      <c r="DW404" s="2918"/>
      <c r="DX404" s="2918"/>
      <c r="DY404" s="2920"/>
    </row>
    <row r="405" spans="1:129" s="2268" customFormat="1" ht="15" hidden="1" customHeight="1" outlineLevel="1">
      <c r="A405" s="1939" t="s">
        <v>1523</v>
      </c>
      <c r="AH405" s="1939"/>
      <c r="AI405" s="1956"/>
      <c r="AP405" s="1939"/>
      <c r="AT405" s="1939"/>
      <c r="AX405" s="1939"/>
      <c r="BB405" s="1939"/>
      <c r="BF405" s="1939"/>
      <c r="BJ405" s="1939"/>
      <c r="BN405" s="1939"/>
      <c r="BR405" s="1939"/>
      <c r="BV405" s="1939"/>
      <c r="BZ405" s="1939"/>
      <c r="CD405" s="1939"/>
      <c r="CH405" s="1939"/>
      <c r="CL405" s="1939"/>
      <c r="CP405" s="1939"/>
      <c r="CT405" s="1939"/>
      <c r="CX405" s="1939"/>
      <c r="DB405" s="1939"/>
      <c r="DE405" s="2918">
        <v>3</v>
      </c>
      <c r="DF405" s="2919">
        <v>3</v>
      </c>
      <c r="DG405" s="2918">
        <v>1.5</v>
      </c>
      <c r="DH405" s="2918"/>
      <c r="DI405" s="2920"/>
      <c r="DJ405" s="2918"/>
      <c r="DK405" s="2918"/>
      <c r="DL405" s="2918"/>
      <c r="DM405" s="2920"/>
      <c r="DN405" s="2918"/>
      <c r="DO405" s="2918"/>
      <c r="DP405" s="2918"/>
      <c r="DQ405" s="2920"/>
      <c r="DR405" s="2919"/>
      <c r="DS405" s="2918"/>
      <c r="DT405" s="2918"/>
      <c r="DU405" s="2920"/>
      <c r="DV405" s="2918"/>
      <c r="DW405" s="2918"/>
      <c r="DX405" s="2918"/>
      <c r="DY405" s="2920"/>
    </row>
    <row r="406" spans="1:129" s="2268" customFormat="1" ht="15" hidden="1" customHeight="1" outlineLevel="1">
      <c r="A406" s="1939" t="s">
        <v>1524</v>
      </c>
      <c r="AH406" s="1939"/>
      <c r="AI406" s="1956"/>
      <c r="AP406" s="1939"/>
      <c r="AT406" s="1939"/>
      <c r="AX406" s="1939"/>
      <c r="BB406" s="1939"/>
      <c r="BF406" s="1939"/>
      <c r="BJ406" s="1939"/>
      <c r="BN406" s="1939"/>
      <c r="BR406" s="1939"/>
      <c r="BV406" s="1939"/>
      <c r="BZ406" s="1939"/>
      <c r="CD406" s="1939"/>
      <c r="CH406" s="1939"/>
      <c r="CL406" s="1939"/>
      <c r="CP406" s="1939"/>
      <c r="CT406" s="1939"/>
      <c r="CX406" s="1939"/>
      <c r="DB406" s="1939"/>
      <c r="DE406" s="2918">
        <v>3</v>
      </c>
      <c r="DF406" s="2919">
        <v>3</v>
      </c>
      <c r="DG406" s="2918">
        <v>3</v>
      </c>
      <c r="DH406" s="2918">
        <v>1.5</v>
      </c>
      <c r="DI406" s="2920"/>
      <c r="DJ406" s="2918"/>
      <c r="DK406" s="2918"/>
      <c r="DL406" s="2918"/>
      <c r="DM406" s="2920"/>
      <c r="DN406" s="2918"/>
      <c r="DO406" s="2918"/>
      <c r="DP406" s="2918"/>
      <c r="DQ406" s="2920"/>
      <c r="DR406" s="2919"/>
      <c r="DS406" s="2918"/>
      <c r="DT406" s="2918"/>
      <c r="DU406" s="2920"/>
      <c r="DV406" s="2918"/>
      <c r="DW406" s="2918"/>
      <c r="DX406" s="2918"/>
      <c r="DY406" s="2920"/>
    </row>
    <row r="407" spans="1:129" s="2268" customFormat="1" ht="15" hidden="1" customHeight="1" outlineLevel="1">
      <c r="A407" s="1939" t="s">
        <v>1525</v>
      </c>
      <c r="AH407" s="1939"/>
      <c r="AI407" s="1956"/>
      <c r="AP407" s="1939"/>
      <c r="AT407" s="1939"/>
      <c r="AX407" s="1939"/>
      <c r="BB407" s="1939"/>
      <c r="BF407" s="1939"/>
      <c r="BJ407" s="1939"/>
      <c r="BN407" s="1939"/>
      <c r="BR407" s="1939"/>
      <c r="BV407" s="1939"/>
      <c r="BZ407" s="1939"/>
      <c r="CD407" s="1939"/>
      <c r="CH407" s="1939"/>
      <c r="CL407" s="1939"/>
      <c r="CP407" s="1939"/>
      <c r="CT407" s="1939"/>
      <c r="CX407" s="1939"/>
      <c r="DB407" s="1939"/>
      <c r="DE407" s="2918">
        <v>3</v>
      </c>
      <c r="DF407" s="2919">
        <v>3</v>
      </c>
      <c r="DG407" s="2918">
        <v>3</v>
      </c>
      <c r="DH407" s="2918">
        <v>3</v>
      </c>
      <c r="DI407" s="2920">
        <v>1.5</v>
      </c>
      <c r="DJ407" s="2918"/>
      <c r="DK407" s="2918"/>
      <c r="DL407" s="2918"/>
      <c r="DM407" s="2920"/>
      <c r="DN407" s="2918"/>
      <c r="DO407" s="2918"/>
      <c r="DP407" s="2918"/>
      <c r="DQ407" s="2920"/>
      <c r="DR407" s="2919"/>
      <c r="DS407" s="2918"/>
      <c r="DT407" s="2918"/>
      <c r="DU407" s="2920"/>
      <c r="DV407" s="2918"/>
      <c r="DW407" s="2918"/>
      <c r="DX407" s="2918"/>
      <c r="DY407" s="2920"/>
    </row>
    <row r="408" spans="1:129" s="2268" customFormat="1" ht="15" hidden="1" customHeight="1" outlineLevel="1">
      <c r="A408" s="1939" t="s">
        <v>1543</v>
      </c>
      <c r="AA408" s="2918"/>
      <c r="AB408" s="2918"/>
      <c r="AC408" s="2918"/>
      <c r="AD408" s="2918"/>
      <c r="AE408" s="2918"/>
      <c r="AF408" s="2918"/>
      <c r="AG408" s="2918"/>
      <c r="AH408" s="1939"/>
      <c r="AI408" s="1956"/>
      <c r="AP408" s="1939"/>
      <c r="AT408" s="1939"/>
      <c r="AX408" s="1939"/>
      <c r="BB408" s="1939"/>
      <c r="BF408" s="1939"/>
      <c r="BJ408" s="1939"/>
      <c r="BN408" s="1939"/>
      <c r="BR408" s="1939"/>
      <c r="BV408" s="1939"/>
      <c r="BZ408" s="1939"/>
      <c r="CD408" s="1939"/>
      <c r="CH408" s="1939"/>
      <c r="CL408" s="1939"/>
      <c r="CP408" s="1939"/>
      <c r="CT408" s="1939"/>
      <c r="CX408" s="1939"/>
      <c r="DB408" s="1939"/>
      <c r="DE408" s="2918">
        <v>3</v>
      </c>
      <c r="DF408" s="2919">
        <v>3</v>
      </c>
      <c r="DG408" s="2918">
        <v>3</v>
      </c>
      <c r="DH408" s="2918">
        <v>3</v>
      </c>
      <c r="DI408" s="2920">
        <v>3</v>
      </c>
      <c r="DJ408" s="2918">
        <v>1.5</v>
      </c>
      <c r="DK408" s="2918"/>
      <c r="DL408" s="2918"/>
      <c r="DM408" s="2920"/>
      <c r="DN408" s="2918"/>
      <c r="DO408" s="2918"/>
      <c r="DP408" s="2918"/>
      <c r="DQ408" s="2920"/>
      <c r="DR408" s="2919"/>
      <c r="DS408" s="2918"/>
      <c r="DT408" s="2918"/>
      <c r="DU408" s="2920"/>
      <c r="DV408" s="2918"/>
      <c r="DW408" s="2918"/>
      <c r="DX408" s="2918"/>
      <c r="DY408" s="2920"/>
    </row>
    <row r="409" spans="1:129" s="2268" customFormat="1" ht="15" hidden="1" customHeight="1" outlineLevel="1">
      <c r="A409" s="1939" t="s">
        <v>1544</v>
      </c>
      <c r="AA409" s="2918"/>
      <c r="AB409" s="2918"/>
      <c r="AC409" s="2918"/>
      <c r="AD409" s="2918"/>
      <c r="AE409" s="2918"/>
      <c r="AF409" s="2918"/>
      <c r="AG409" s="2918"/>
      <c r="AH409" s="1939"/>
      <c r="AI409" s="1956"/>
      <c r="AP409" s="1939"/>
      <c r="AT409" s="1939"/>
      <c r="AX409" s="1939"/>
      <c r="BB409" s="1939"/>
      <c r="BF409" s="1939"/>
      <c r="BJ409" s="1939"/>
      <c r="BN409" s="1939"/>
      <c r="BR409" s="1939"/>
      <c r="BV409" s="1939"/>
      <c r="BZ409" s="1939"/>
      <c r="CD409" s="1939"/>
      <c r="CH409" s="1939"/>
      <c r="CL409" s="1939"/>
      <c r="CP409" s="1939"/>
      <c r="CT409" s="1939"/>
      <c r="CX409" s="1939"/>
      <c r="DB409" s="1939"/>
      <c r="DE409" s="2918">
        <v>3</v>
      </c>
      <c r="DF409" s="2919">
        <v>3</v>
      </c>
      <c r="DG409" s="2918">
        <v>3</v>
      </c>
      <c r="DH409" s="2918">
        <v>3</v>
      </c>
      <c r="DI409" s="2920">
        <v>3</v>
      </c>
      <c r="DJ409" s="2918">
        <v>3</v>
      </c>
      <c r="DK409" s="2918">
        <v>1.5</v>
      </c>
      <c r="DL409" s="2918">
        <v>1.5</v>
      </c>
      <c r="DM409" s="2920">
        <v>1.5</v>
      </c>
      <c r="DN409" s="2918">
        <v>1.5</v>
      </c>
      <c r="DO409" s="2918">
        <v>1.5</v>
      </c>
      <c r="DP409" s="2918">
        <v>1.5</v>
      </c>
      <c r="DQ409" s="2920">
        <v>1.5</v>
      </c>
      <c r="DR409" s="2919">
        <v>1.5</v>
      </c>
      <c r="DS409" s="2918">
        <v>1.5</v>
      </c>
      <c r="DT409" s="2918">
        <v>1.5</v>
      </c>
      <c r="DU409" s="2920">
        <v>1.5</v>
      </c>
      <c r="DV409" s="2918">
        <v>1.5</v>
      </c>
      <c r="DW409" s="2918"/>
      <c r="DX409" s="2918"/>
      <c r="DY409" s="2920"/>
    </row>
    <row r="410" spans="1:129" s="2268" customFormat="1" ht="15" hidden="1" customHeight="1" outlineLevel="1">
      <c r="A410" s="1939" t="s">
        <v>1545</v>
      </c>
      <c r="AA410" s="2918"/>
      <c r="AB410" s="2918"/>
      <c r="AC410" s="2918"/>
      <c r="AD410" s="2918"/>
      <c r="AE410" s="2918"/>
      <c r="AF410" s="2918"/>
      <c r="AG410" s="2918"/>
      <c r="AH410" s="1939"/>
      <c r="AI410" s="1956"/>
      <c r="AP410" s="1939"/>
      <c r="AT410" s="1939"/>
      <c r="AX410" s="1939"/>
      <c r="BB410" s="1939"/>
      <c r="BF410" s="1939"/>
      <c r="BJ410" s="1939"/>
      <c r="BN410" s="1939"/>
      <c r="BR410" s="1939"/>
      <c r="BV410" s="1939"/>
      <c r="BZ410" s="1939"/>
      <c r="CD410" s="1939"/>
      <c r="CH410" s="1939"/>
      <c r="CL410" s="1939"/>
      <c r="CP410" s="1939"/>
      <c r="CT410" s="1939"/>
      <c r="CX410" s="1939"/>
      <c r="DB410" s="1939"/>
      <c r="DE410" s="2918">
        <v>0.5</v>
      </c>
      <c r="DF410" s="2919">
        <v>3</v>
      </c>
      <c r="DG410" s="2918">
        <v>3</v>
      </c>
      <c r="DH410" s="2918">
        <v>3</v>
      </c>
      <c r="DI410" s="2920">
        <v>3</v>
      </c>
      <c r="DJ410" s="2918">
        <v>3</v>
      </c>
      <c r="DK410" s="2918">
        <v>3</v>
      </c>
      <c r="DL410" s="2918">
        <v>3</v>
      </c>
      <c r="DM410" s="2920">
        <v>3</v>
      </c>
      <c r="DN410" s="2918">
        <v>3</v>
      </c>
      <c r="DO410" s="2918">
        <v>3</v>
      </c>
      <c r="DP410" s="2918">
        <v>3</v>
      </c>
      <c r="DQ410" s="2920">
        <v>3</v>
      </c>
      <c r="DR410" s="2919">
        <v>3</v>
      </c>
      <c r="DS410" s="2918">
        <v>3</v>
      </c>
      <c r="DT410" s="2918">
        <v>3</v>
      </c>
      <c r="DU410" s="2920">
        <v>3</v>
      </c>
      <c r="DV410" s="2918">
        <v>3</v>
      </c>
      <c r="DW410" s="2918"/>
      <c r="DX410" s="2918"/>
      <c r="DY410" s="2920"/>
    </row>
    <row r="411" spans="1:129" s="2268" customFormat="1" ht="15" hidden="1" customHeight="1" outlineLevel="1">
      <c r="A411" s="1939" t="s">
        <v>1546</v>
      </c>
      <c r="AA411" s="2918"/>
      <c r="AB411" s="2918"/>
      <c r="AC411" s="2918"/>
      <c r="AD411" s="2918"/>
      <c r="AE411" s="2918"/>
      <c r="AF411" s="2918"/>
      <c r="AG411" s="2918"/>
      <c r="AH411" s="1939"/>
      <c r="AI411" s="1956"/>
      <c r="AP411" s="1939"/>
      <c r="AT411" s="1939"/>
      <c r="AX411" s="1939"/>
      <c r="BB411" s="1939"/>
      <c r="BF411" s="1939"/>
      <c r="BJ411" s="1939"/>
      <c r="BN411" s="1939"/>
      <c r="BR411" s="1939"/>
      <c r="BV411" s="1939"/>
      <c r="BZ411" s="1939"/>
      <c r="CD411" s="1939"/>
      <c r="CH411" s="1939"/>
      <c r="CL411" s="1939"/>
      <c r="CP411" s="1939"/>
      <c r="CT411" s="1939"/>
      <c r="CX411" s="1939"/>
      <c r="DB411" s="1939"/>
      <c r="DE411" s="2918"/>
      <c r="DF411" s="2919">
        <v>0.5</v>
      </c>
      <c r="DG411" s="2918">
        <v>3</v>
      </c>
      <c r="DH411" s="2918">
        <v>3</v>
      </c>
      <c r="DI411" s="2920">
        <v>3</v>
      </c>
      <c r="DJ411" s="2918">
        <v>3</v>
      </c>
      <c r="DK411" s="2918">
        <v>3</v>
      </c>
      <c r="DL411" s="2918">
        <v>3</v>
      </c>
      <c r="DM411" s="2920">
        <v>3</v>
      </c>
      <c r="DN411" s="2918">
        <v>3</v>
      </c>
      <c r="DO411" s="2918">
        <v>3</v>
      </c>
      <c r="DP411" s="2918">
        <v>3</v>
      </c>
      <c r="DQ411" s="2920">
        <v>3</v>
      </c>
      <c r="DR411" s="2919">
        <v>3</v>
      </c>
      <c r="DS411" s="2918">
        <v>3</v>
      </c>
      <c r="DT411" s="2918">
        <v>3</v>
      </c>
      <c r="DU411" s="2920">
        <v>3</v>
      </c>
      <c r="DV411" s="2918">
        <v>3</v>
      </c>
      <c r="DW411" s="2918">
        <v>1.5</v>
      </c>
      <c r="DX411" s="2918">
        <v>1.5</v>
      </c>
      <c r="DY411" s="2920">
        <v>1.5</v>
      </c>
    </row>
    <row r="412" spans="1:129" s="2268" customFormat="1" ht="15" hidden="1" customHeight="1" outlineLevel="1">
      <c r="A412" s="1940">
        <v>2016</v>
      </c>
      <c r="AA412" s="2918"/>
      <c r="AB412" s="2918"/>
      <c r="AC412" s="2918"/>
      <c r="AD412" s="2918"/>
      <c r="AE412" s="2918"/>
      <c r="AF412" s="2918"/>
      <c r="AG412" s="2918"/>
      <c r="AH412" s="1939"/>
      <c r="AI412" s="1956"/>
      <c r="AP412" s="1939"/>
      <c r="AT412" s="1939"/>
      <c r="AX412" s="1939"/>
      <c r="BB412" s="1939"/>
      <c r="BF412" s="1939"/>
      <c r="BJ412" s="1939"/>
      <c r="BN412" s="1939"/>
      <c r="BR412" s="1939"/>
      <c r="BV412" s="1939"/>
      <c r="BZ412" s="1939"/>
      <c r="CD412" s="1939"/>
      <c r="CH412" s="1939"/>
      <c r="CL412" s="1939"/>
      <c r="CP412" s="1939"/>
      <c r="CT412" s="1939"/>
      <c r="CX412" s="1939"/>
      <c r="DB412" s="1939"/>
      <c r="DE412" s="2918"/>
      <c r="DF412" s="2919"/>
      <c r="DG412" s="2918">
        <v>0.5</v>
      </c>
      <c r="DH412" s="2918">
        <v>3.5</v>
      </c>
      <c r="DI412" s="2920">
        <v>6.5</v>
      </c>
      <c r="DJ412" s="2918">
        <v>9.5</v>
      </c>
      <c r="DK412" s="2918">
        <v>12</v>
      </c>
      <c r="DL412" s="2918">
        <v>12</v>
      </c>
      <c r="DM412" s="2920">
        <v>12</v>
      </c>
      <c r="DN412" s="2918">
        <v>12</v>
      </c>
      <c r="DO412" s="2918">
        <v>12</v>
      </c>
      <c r="DP412" s="2918">
        <v>12</v>
      </c>
      <c r="DQ412" s="2920">
        <v>12</v>
      </c>
      <c r="DR412" s="2919">
        <v>12</v>
      </c>
      <c r="DS412" s="2918">
        <v>12</v>
      </c>
      <c r="DT412" s="2918">
        <v>12</v>
      </c>
      <c r="DU412" s="2920">
        <v>12</v>
      </c>
      <c r="DV412" s="2918">
        <v>12</v>
      </c>
      <c r="DW412" s="2918">
        <v>12</v>
      </c>
      <c r="DX412" s="2918">
        <v>12</v>
      </c>
      <c r="DY412" s="2920">
        <v>12</v>
      </c>
    </row>
    <row r="413" spans="1:129" s="2268" customFormat="1" ht="15" hidden="1" customHeight="1" outlineLevel="1">
      <c r="A413" s="1940">
        <v>2017</v>
      </c>
      <c r="AA413" s="2918"/>
      <c r="AB413" s="2918"/>
      <c r="AC413" s="2918"/>
      <c r="AD413" s="2918"/>
      <c r="AE413" s="2918"/>
      <c r="AF413" s="2918"/>
      <c r="AG413" s="2918"/>
      <c r="AH413" s="1939"/>
      <c r="AI413" s="1956"/>
      <c r="AP413" s="1939"/>
      <c r="AT413" s="1939"/>
      <c r="AX413" s="1939"/>
      <c r="BB413" s="1939"/>
      <c r="BF413" s="1939"/>
      <c r="BJ413" s="1939"/>
      <c r="BN413" s="1939"/>
      <c r="BR413" s="1939"/>
      <c r="BV413" s="1939"/>
      <c r="BZ413" s="1939"/>
      <c r="CD413" s="1939"/>
      <c r="CH413" s="1939"/>
      <c r="CL413" s="1939"/>
      <c r="CP413" s="1939"/>
      <c r="CT413" s="1939"/>
      <c r="CX413" s="1939"/>
      <c r="DB413" s="1939"/>
      <c r="DE413" s="2918"/>
      <c r="DF413" s="2919"/>
      <c r="DG413" s="2918"/>
      <c r="DH413" s="2918"/>
      <c r="DI413" s="2920"/>
      <c r="DJ413" s="2918"/>
      <c r="DK413" s="2918">
        <v>0.5</v>
      </c>
      <c r="DL413" s="2918">
        <v>0.5</v>
      </c>
      <c r="DM413" s="2920">
        <v>0.5</v>
      </c>
      <c r="DN413" s="2918">
        <v>0.5</v>
      </c>
      <c r="DO413" s="2918">
        <v>0.5</v>
      </c>
      <c r="DP413" s="2918">
        <v>0.5</v>
      </c>
      <c r="DQ413" s="2920">
        <v>0.5</v>
      </c>
      <c r="DR413" s="2919">
        <v>0.5</v>
      </c>
      <c r="DS413" s="2918">
        <v>0.5</v>
      </c>
      <c r="DT413" s="2918">
        <v>0.5</v>
      </c>
      <c r="DU413" s="2920">
        <v>0.5</v>
      </c>
      <c r="DV413" s="2918">
        <v>0.5</v>
      </c>
      <c r="DW413" s="2918">
        <v>6.5</v>
      </c>
      <c r="DX413" s="2918">
        <v>6.5</v>
      </c>
      <c r="DY413" s="2920">
        <v>6.5</v>
      </c>
    </row>
    <row r="414" spans="1:129" s="2268" customFormat="1" ht="15" hidden="1" customHeight="1" outlineLevel="1">
      <c r="A414" s="1940">
        <v>2018</v>
      </c>
      <c r="AA414" s="2918"/>
      <c r="AB414" s="2918"/>
      <c r="AC414" s="2918"/>
      <c r="AD414" s="2918"/>
      <c r="AE414" s="2918"/>
      <c r="AF414" s="2918"/>
      <c r="AG414" s="2918"/>
      <c r="AH414" s="1939"/>
      <c r="AI414" s="1956"/>
      <c r="AP414" s="1939"/>
      <c r="AT414" s="1939"/>
      <c r="AX414" s="1939"/>
      <c r="BB414" s="1939"/>
      <c r="BF414" s="1939"/>
      <c r="BJ414" s="1939"/>
      <c r="BN414" s="1939"/>
      <c r="BR414" s="1939"/>
      <c r="BV414" s="1939"/>
      <c r="BZ414" s="1939"/>
      <c r="CD414" s="1939"/>
      <c r="CH414" s="1939"/>
      <c r="CL414" s="1939"/>
      <c r="CP414" s="1939"/>
      <c r="CT414" s="1939"/>
      <c r="CX414" s="1939"/>
      <c r="DB414" s="1939"/>
      <c r="DE414" s="2918"/>
      <c r="DF414" s="2919"/>
      <c r="DG414" s="2918"/>
      <c r="DH414" s="2918"/>
      <c r="DI414" s="2920"/>
      <c r="DJ414" s="2918"/>
      <c r="DK414" s="2918"/>
      <c r="DL414" s="2918"/>
      <c r="DM414" s="2920"/>
      <c r="DN414" s="2918"/>
      <c r="DO414" s="2918"/>
      <c r="DP414" s="2918"/>
      <c r="DQ414" s="2920"/>
      <c r="DR414" s="2919"/>
      <c r="DS414" s="2918"/>
      <c r="DT414" s="2918"/>
      <c r="DU414" s="2920"/>
      <c r="DV414" s="2918"/>
      <c r="DW414" s="2918"/>
      <c r="DX414" s="2918"/>
      <c r="DY414" s="2920"/>
    </row>
    <row r="415" spans="1:129" s="2268" customFormat="1" ht="15" hidden="1" customHeight="1" outlineLevel="1">
      <c r="A415" s="1940" t="s">
        <v>1548</v>
      </c>
      <c r="AA415" s="2918">
        <v>6</v>
      </c>
      <c r="AB415" s="2918">
        <v>6</v>
      </c>
      <c r="AC415" s="2918">
        <v>6</v>
      </c>
      <c r="AD415" s="2918">
        <v>6</v>
      </c>
      <c r="AE415" s="2918">
        <v>6</v>
      </c>
      <c r="AF415" s="2918">
        <v>6</v>
      </c>
      <c r="AG415" s="2918">
        <v>6</v>
      </c>
      <c r="AH415" s="1939"/>
      <c r="AI415" s="1956"/>
      <c r="AP415" s="1939"/>
      <c r="AT415" s="1939"/>
      <c r="AX415" s="1939"/>
      <c r="BB415" s="1939"/>
      <c r="BF415" s="1939"/>
      <c r="BJ415" s="1939"/>
      <c r="BN415" s="1939"/>
      <c r="BR415" s="1939"/>
      <c r="BV415" s="1939"/>
      <c r="BZ415" s="1939"/>
      <c r="CD415" s="1939"/>
      <c r="CH415" s="1939"/>
      <c r="CL415" s="1939"/>
      <c r="CP415" s="1939"/>
      <c r="CT415" s="1939"/>
      <c r="CX415" s="1939"/>
      <c r="DB415" s="1939"/>
      <c r="DE415" s="2918"/>
      <c r="DF415" s="2919"/>
      <c r="DG415" s="2918"/>
      <c r="DH415" s="2918"/>
      <c r="DI415" s="2920"/>
      <c r="DJ415" s="2918"/>
      <c r="DK415" s="2918"/>
      <c r="DL415" s="2918"/>
      <c r="DM415" s="2920"/>
      <c r="DN415" s="2918"/>
      <c r="DO415" s="2918"/>
      <c r="DP415" s="2918"/>
      <c r="DQ415" s="2920"/>
      <c r="DR415" s="2919"/>
      <c r="DS415" s="2918"/>
      <c r="DT415" s="2918"/>
      <c r="DU415" s="2920"/>
      <c r="DV415" s="2918"/>
      <c r="DW415" s="2918"/>
      <c r="DX415" s="2918"/>
      <c r="DY415" s="2920"/>
    </row>
    <row r="416" spans="1:129" s="2141" customFormat="1" ht="15" customHeight="1" collapsed="1">
      <c r="A416" s="1936" t="s">
        <v>1526</v>
      </c>
      <c r="U416" s="2141">
        <f>+SUM(DB416:DE416)</f>
        <v>59.4</v>
      </c>
      <c r="V416" s="2141">
        <f>+SUM(DF416:DI416)</f>
        <v>1255.0432967868601</v>
      </c>
      <c r="W416" s="2141">
        <f>+SUM(DJ416:DM416)</f>
        <v>4773.6796208022788</v>
      </c>
      <c r="X416" s="2141">
        <f>+SUM(DN416:DQ416)</f>
        <v>6845.4414928288725</v>
      </c>
      <c r="Y416" s="2141">
        <f>+SUM(DR416:DU416)</f>
        <v>7516.9485786656005</v>
      </c>
      <c r="Z416" s="2141">
        <f ca="1">+SUM(DV416:DY416)</f>
        <v>13807.237771976754</v>
      </c>
      <c r="AA416" s="2141">
        <f ca="1">+AA387*AA401*AA415/1000+Z387*Z401*Z415/1000+Y387*Y401*Y415/1000</f>
        <v>4486.8658082660977</v>
      </c>
      <c r="AB416" s="2141">
        <f ca="1">+AB387*AB401*AB415/1000+AA387*AA401*AA415/1000+Z387*Z401*Z415/1000</f>
        <v>8951.2140385331222</v>
      </c>
      <c r="AC416" s="2141">
        <f t="shared" ref="AC416:AG416" ca="1" si="1885">+AC387*AC401*AC415/1000+AB387*AB401*AB415/1000+AA387*AA401*AA415/1000</f>
        <v>13385.124498616253</v>
      </c>
      <c r="AD416" s="2141">
        <f t="shared" ca="1" si="1885"/>
        <v>13294.99971343287</v>
      </c>
      <c r="AE416" s="2141">
        <f t="shared" ca="1" si="1885"/>
        <v>13184.490866639186</v>
      </c>
      <c r="AF416" s="2141">
        <f t="shared" ca="1" si="1885"/>
        <v>13056.626610095978</v>
      </c>
      <c r="AG416" s="2141">
        <f t="shared" ca="1" si="1885"/>
        <v>12913.954043560998</v>
      </c>
      <c r="AH416" s="1936"/>
      <c r="AI416" s="1952"/>
      <c r="AJ416" s="1936"/>
      <c r="AP416" s="1936"/>
      <c r="AT416" s="1936"/>
      <c r="AX416" s="1936"/>
      <c r="BB416" s="1936"/>
      <c r="BF416" s="1936"/>
      <c r="BJ416" s="1936"/>
      <c r="BN416" s="1936"/>
      <c r="BR416" s="1936"/>
      <c r="BV416" s="1936"/>
      <c r="BZ416" s="1936"/>
      <c r="CD416" s="1936"/>
      <c r="CH416" s="1936"/>
      <c r="CL416" s="1936"/>
      <c r="CP416" s="1936"/>
      <c r="CT416" s="1936"/>
      <c r="CX416" s="1936"/>
      <c r="DB416" s="1936"/>
      <c r="DE416" s="2141">
        <f>+DE387*DE401*DE403/1000</f>
        <v>59.4</v>
      </c>
      <c r="DF416" s="1936">
        <f>+DF387*DF401*DF404/1000+DE387*DE401*DE404/1000</f>
        <v>159.84</v>
      </c>
      <c r="DG416" s="2141">
        <f>+DG387*DG401*DG405/1000+DF387*DF401*DF405/1000+DE387*DE401*DE405/1000</f>
        <v>268.11</v>
      </c>
      <c r="DH416" s="2141">
        <f>+DH387*DH401*DH406/1000+DG387*DG401*DG406/1000+DF387*DF401*DF406/1000</f>
        <v>264.60000000000002</v>
      </c>
      <c r="DI416" s="2472">
        <f>+DI387*DI401*DI407/1000+DH387*DH401*DH407/1000+DG387*DG401*DG407/1000+DF387*DF401*DF407/1000+DE387*DE401*DE407/1000</f>
        <v>562.49329678686001</v>
      </c>
      <c r="DJ416" s="2141">
        <f>+DJ387*DJ401*DJ408/1000+DI387*DI401*DI408/1000+DH387*DH401*DH408/1000+DG387*DG401*DG408/1000+DF387*DF401*DF408/1000+DE387*DE401*DE408/1000</f>
        <v>831.02076782388008</v>
      </c>
      <c r="DK416" s="2141">
        <f t="shared" ref="DK416:DV416" si="1886">+DK387*DK401*DK409/1000+DJ387*DJ401*DJ409/1000+DI387*DI401*DI409/1000+DH387*DH401*DH409/1000+DG387*DG401*DG409/1000+DF387*DF401*DF409/1000+DE387*DE401*DE409/1000</f>
        <v>1161.41176097064</v>
      </c>
      <c r="DL416" s="2141">
        <f t="shared" si="1886"/>
        <v>1272.0479385038793</v>
      </c>
      <c r="DM416" s="2472">
        <f t="shared" si="1886"/>
        <v>1509.1991535038796</v>
      </c>
      <c r="DN416" s="2141">
        <f t="shared" si="1886"/>
        <v>1604.4237407088394</v>
      </c>
      <c r="DO416" s="2141">
        <f t="shared" si="1886"/>
        <v>1720.4736468722242</v>
      </c>
      <c r="DP416" s="2141">
        <f t="shared" si="1886"/>
        <v>1713.3548343487043</v>
      </c>
      <c r="DQ416" s="2472">
        <f t="shared" si="1886"/>
        <v>1807.1892708991045</v>
      </c>
      <c r="DR416" s="1936">
        <f t="shared" si="1886"/>
        <v>1855.4158784360093</v>
      </c>
      <c r="DS416" s="2141">
        <f t="shared" si="1886"/>
        <v>1883.0381840708299</v>
      </c>
      <c r="DT416" s="2141">
        <f t="shared" si="1886"/>
        <v>1827.3980527252206</v>
      </c>
      <c r="DU416" s="2472">
        <f t="shared" si="1886"/>
        <v>1951.0964634335405</v>
      </c>
      <c r="DV416" s="2141">
        <f t="shared" si="1886"/>
        <v>1987.2878494103477</v>
      </c>
      <c r="DW416" s="2141">
        <f t="shared" ref="DW416" si="1887">+DW387*DW401*DW411/1000+DV387*DV401*DV411/1000+DU387*DU401*DU411/1000+DT387*DT401*DT411/1000+DS387*DS401*DS411/1000+DR387*DR401*DR411/1000+DQ387*DQ401*DQ411/1000+DP387*DP401*DP411/1000</f>
        <v>4235.4203065376432</v>
      </c>
      <c r="DX416" s="2141">
        <f t="shared" ref="DX416" ca="1" si="1888">+DX387*DX401*DX411/1000+DW387*DW401*DW411/1000+DV387*DV401*DV411/1000+DU387*DU401*DU411/1000+DT387*DT401*DT411/1000+DS387*DS401*DS411/1000+DR387*DR401*DR411/1000+DQ387*DQ401*DQ411/1000</f>
        <v>3990.9038890366073</v>
      </c>
      <c r="DY416" s="2472">
        <f t="shared" ref="DY416" ca="1" si="1889">+DY387*DY401*DY411/1000+DX387*DX401*DX411/1000+DW387*DW401*DW411/1000+DV387*DV401*DV411/1000+DU387*DU401*DU411/1000+DT387*DT401*DT411/1000+DS387*DS401*DS411/1000+DR387*DR401*DR411/1000</f>
        <v>3593.6257269921553</v>
      </c>
    </row>
    <row r="417" spans="1:129" s="2141" customFormat="1" ht="15" customHeight="1">
      <c r="A417" s="1931" t="s">
        <v>1527</v>
      </c>
      <c r="U417" s="2141">
        <f>+SUM(DB417:DE417)</f>
        <v>-316.8</v>
      </c>
      <c r="V417" s="2141">
        <f>+SUM(DF417:DI417)</f>
        <v>-1532.60424952992</v>
      </c>
      <c r="W417" s="2141">
        <f>+SUM(DJ417:DM417)</f>
        <v>-4688.311390293331</v>
      </c>
      <c r="X417" s="2141">
        <f>+SUM(DN417:DQ417)</f>
        <v>-5683.3336505027455</v>
      </c>
      <c r="Y417" s="2141">
        <f>+SUM(DR417:DU417)</f>
        <v>-5947.4986195692563</v>
      </c>
      <c r="Z417" s="2141">
        <f ca="1">+SUM(DV417:DY417)</f>
        <v>-5946.4130800719577</v>
      </c>
      <c r="AA417" s="2141">
        <f ca="1">-AA387*AA418/1000</f>
        <v>-5982.4877443547975</v>
      </c>
      <c r="AB417" s="2141">
        <f ca="1">-AB387*AB418/1000</f>
        <v>-5952.4643070226984</v>
      </c>
      <c r="AC417" s="2141">
        <f t="shared" ref="AC417:AG417" ca="1" si="1890">-AC387*AC418/1000</f>
        <v>-5911.8806134441729</v>
      </c>
      <c r="AD417" s="2141">
        <f t="shared" ca="1" si="1890"/>
        <v>-5862.3213641102902</v>
      </c>
      <c r="AE417" s="2141">
        <f t="shared" ca="1" si="1890"/>
        <v>-5805.1191779644496</v>
      </c>
      <c r="AF417" s="2141">
        <f t="shared" ca="1" si="1890"/>
        <v>-5741.3949380532295</v>
      </c>
      <c r="AG417" s="2141">
        <f t="shared" ca="1" si="1890"/>
        <v>-5672.0912753969824</v>
      </c>
      <c r="AH417" s="1936"/>
      <c r="AI417" s="1952"/>
      <c r="AJ417" s="1936"/>
      <c r="AP417" s="1936"/>
      <c r="AT417" s="1936"/>
      <c r="AX417" s="1936"/>
      <c r="BB417" s="1936"/>
      <c r="BF417" s="1936"/>
      <c r="BJ417" s="1936"/>
      <c r="BN417" s="1936"/>
      <c r="BR417" s="1936"/>
      <c r="BV417" s="1936"/>
      <c r="BZ417" s="1936"/>
      <c r="CD417" s="1936"/>
      <c r="CH417" s="1936"/>
      <c r="CL417" s="1936"/>
      <c r="CP417" s="1936"/>
      <c r="CT417" s="1936"/>
      <c r="CX417" s="1936"/>
      <c r="DB417" s="1936"/>
      <c r="DE417" s="2141">
        <f t="shared" ref="DE417:DM417" si="1891">-DE387*DE418/1000</f>
        <v>-316.8</v>
      </c>
      <c r="DF417" s="1936">
        <f t="shared" si="1891"/>
        <v>-218.88</v>
      </c>
      <c r="DG417" s="2141">
        <f t="shared" si="1891"/>
        <v>-358.56</v>
      </c>
      <c r="DH417" s="2141">
        <f t="shared" si="1891"/>
        <v>-256.32</v>
      </c>
      <c r="DI417" s="2472">
        <f t="shared" si="1891"/>
        <v>-698.84424952992003</v>
      </c>
      <c r="DJ417" s="2141">
        <f t="shared" si="1891"/>
        <v>-733.30226266751993</v>
      </c>
      <c r="DK417" s="2141">
        <f t="shared" si="1891"/>
        <v>-1028.7830341151996</v>
      </c>
      <c r="DL417" s="2141">
        <f t="shared" si="1891"/>
        <v>-1223.6596135106113</v>
      </c>
      <c r="DM417" s="2472">
        <f t="shared" si="1891"/>
        <v>-1702.5664800000002</v>
      </c>
      <c r="DN417" s="2141">
        <f t="shared" ref="DN417:DO417" si="1892">-DN387*DN418/1000</f>
        <v>-1224.9844650931202</v>
      </c>
      <c r="DO417" s="2141">
        <f t="shared" si="1892"/>
        <v>-1131.5728328713851</v>
      </c>
      <c r="DP417" s="2141">
        <f t="shared" ref="DP417:DQ417" si="1893">-DP387*DP418/1000</f>
        <v>-1359.7214989344002</v>
      </c>
      <c r="DQ417" s="2472">
        <f t="shared" si="1893"/>
        <v>-1967.05485360384</v>
      </c>
      <c r="DR417" s="1936">
        <f t="shared" ref="DR417" si="1894">-DR387*DR418/1000</f>
        <v>-1285.9916076453599</v>
      </c>
      <c r="DS417" s="2141">
        <f t="shared" ref="DS417:DT417" si="1895">-DS387*DS418/1000</f>
        <v>-1370.97857689632</v>
      </c>
      <c r="DT417" s="2141">
        <f t="shared" si="1895"/>
        <v>-1405.8191128234173</v>
      </c>
      <c r="DU417" s="2472">
        <f t="shared" ref="DU417" si="1896">-DU387*DU418/1000</f>
        <v>-1884.7093222041597</v>
      </c>
      <c r="DV417" s="2141">
        <f t="shared" ref="DV417" si="1897">-DV387*DV418/1000</f>
        <v>-1324.5935580810244</v>
      </c>
      <c r="DW417" s="2141">
        <f t="shared" ref="DW417:DY417" si="1898">-DW387*DW418/1000</f>
        <v>-1391.1712411570554</v>
      </c>
      <c r="DX417" s="2141">
        <f t="shared" ca="1" si="1898"/>
        <v>-1415.3554378632764</v>
      </c>
      <c r="DY417" s="2472">
        <f t="shared" ca="1" si="1898"/>
        <v>-1815.2928429706019</v>
      </c>
    </row>
    <row r="418" spans="1:129" s="2614" customFormat="1" ht="15" hidden="1" customHeight="1" outlineLevel="1">
      <c r="A418" s="1941" t="s">
        <v>1528</v>
      </c>
      <c r="U418" s="2921">
        <v>240</v>
      </c>
      <c r="V418" s="2921">
        <v>240</v>
      </c>
      <c r="W418" s="2921">
        <v>240</v>
      </c>
      <c r="X418" s="2921">
        <v>240</v>
      </c>
      <c r="Y418" s="2921">
        <v>240</v>
      </c>
      <c r="Z418" s="2921">
        <v>240</v>
      </c>
      <c r="AA418" s="2910">
        <v>240</v>
      </c>
      <c r="AB418" s="2910">
        <v>240</v>
      </c>
      <c r="AC418" s="2910">
        <v>240</v>
      </c>
      <c r="AD418" s="2910">
        <v>240</v>
      </c>
      <c r="AE418" s="2910">
        <v>240</v>
      </c>
      <c r="AF418" s="2910">
        <v>240</v>
      </c>
      <c r="AG418" s="2910">
        <v>240</v>
      </c>
      <c r="AH418" s="2612"/>
      <c r="AI418" s="2613"/>
      <c r="AJ418" s="2612"/>
      <c r="AP418" s="2612"/>
      <c r="AT418" s="2612"/>
      <c r="AX418" s="2612"/>
      <c r="BB418" s="2612"/>
      <c r="BF418" s="2612"/>
      <c r="BJ418" s="2612"/>
      <c r="BN418" s="2612"/>
      <c r="BR418" s="2612"/>
      <c r="BV418" s="2612"/>
      <c r="BZ418" s="2612"/>
      <c r="CD418" s="2612"/>
      <c r="CH418" s="2612"/>
      <c r="CL418" s="2612"/>
      <c r="CP418" s="2612"/>
      <c r="CT418" s="2612"/>
      <c r="CX418" s="2612"/>
      <c r="DB418" s="2612"/>
      <c r="DE418" s="2921">
        <v>240</v>
      </c>
      <c r="DF418" s="2922">
        <v>240</v>
      </c>
      <c r="DG418" s="2921">
        <v>240</v>
      </c>
      <c r="DH418" s="2921">
        <v>240</v>
      </c>
      <c r="DI418" s="2923">
        <v>240</v>
      </c>
      <c r="DJ418" s="2921">
        <v>240</v>
      </c>
      <c r="DK418" s="2921">
        <v>240</v>
      </c>
      <c r="DL418" s="2921">
        <v>240</v>
      </c>
      <c r="DM418" s="2923">
        <v>240</v>
      </c>
      <c r="DN418" s="2921">
        <v>240</v>
      </c>
      <c r="DO418" s="2921">
        <v>240</v>
      </c>
      <c r="DP418" s="2921">
        <v>240</v>
      </c>
      <c r="DQ418" s="2923">
        <v>240</v>
      </c>
      <c r="DR418" s="2922">
        <v>240</v>
      </c>
      <c r="DS418" s="2921">
        <v>240</v>
      </c>
      <c r="DT418" s="2921">
        <v>240</v>
      </c>
      <c r="DU418" s="2923">
        <v>240</v>
      </c>
      <c r="DV418" s="2921">
        <v>240</v>
      </c>
      <c r="DW418" s="2921">
        <v>240</v>
      </c>
      <c r="DX418" s="2921">
        <v>240</v>
      </c>
      <c r="DY418" s="2923">
        <v>240</v>
      </c>
    </row>
    <row r="419" spans="1:129" s="2141" customFormat="1" ht="15" customHeight="1" collapsed="1">
      <c r="A419" s="1936" t="s">
        <v>1529</v>
      </c>
      <c r="U419" s="2141">
        <f>+SUM(DB419:DE419)</f>
        <v>-59.4</v>
      </c>
      <c r="V419" s="2141">
        <f>+SUM(DF419:DI419)</f>
        <v>-686.92164839343002</v>
      </c>
      <c r="W419" s="2141">
        <f>+SUM(DJ419:DM419)</f>
        <v>-2854.2947180643596</v>
      </c>
      <c r="X419" s="2141">
        <f>+SUM(DN419:DQ419)</f>
        <v>-6804.4406145939192</v>
      </c>
      <c r="Y419" s="2141">
        <f>+SUM(DR419:DU419)</f>
        <v>-11224.443292620141</v>
      </c>
      <c r="Z419" s="2141">
        <f ca="1">+SUM(DV419:DY419)</f>
        <v>-15716.039395132022</v>
      </c>
      <c r="AA419" s="2141">
        <f ca="1">-AVERAGE(Z389:AA389)*AA420*12/1000</f>
        <v>-18574.274439778248</v>
      </c>
      <c r="AB419" s="2141">
        <f ca="1">-AVERAGE(AA389:AB389)*AB420*12/1000</f>
        <v>-19259.240150756003</v>
      </c>
      <c r="AC419" s="2141">
        <f t="shared" ref="AC419:AG419" ca="1" si="1899">-AVERAGE(AB389:AC389)*AC420*12/1000</f>
        <v>-19637.746598839221</v>
      </c>
      <c r="AD419" s="2141">
        <f t="shared" ca="1" si="1899"/>
        <v>-19988.198590756609</v>
      </c>
      <c r="AE419" s="2141">
        <f t="shared" ca="1" si="1899"/>
        <v>-20315.412901662246</v>
      </c>
      <c r="AF419" s="2141">
        <f t="shared" ca="1" si="1899"/>
        <v>-20623.571141618813</v>
      </c>
      <c r="AG419" s="2141">
        <f t="shared" ca="1" si="1899"/>
        <v>-20916.319396321029</v>
      </c>
      <c r="AH419" s="1936"/>
      <c r="AI419" s="1952"/>
      <c r="AJ419" s="1936"/>
      <c r="AP419" s="1936"/>
      <c r="AT419" s="1936"/>
      <c r="AX419" s="1936"/>
      <c r="BB419" s="1936"/>
      <c r="BF419" s="1936"/>
      <c r="BJ419" s="1936"/>
      <c r="BN419" s="1936"/>
      <c r="BR419" s="1936"/>
      <c r="BV419" s="1936"/>
      <c r="BZ419" s="1936"/>
      <c r="CD419" s="1936"/>
      <c r="CH419" s="1936"/>
      <c r="CL419" s="1936"/>
      <c r="CP419" s="1936"/>
      <c r="CT419" s="1936"/>
      <c r="CX419" s="1936"/>
      <c r="DB419" s="1936"/>
      <c r="DE419" s="2141">
        <f>-AVERAGE(DD389:DE389)*DE420*3/1000</f>
        <v>-59.4</v>
      </c>
      <c r="DF419" s="1936">
        <f>-AVERAGE(DE389:DF389)*DF420*3/1000</f>
        <v>-79.92</v>
      </c>
      <c r="DG419" s="2141">
        <f>-AVERAGE(DF389:DG389)*DG420*3/1000</f>
        <v>-134.05500000000001</v>
      </c>
      <c r="DH419" s="2141">
        <f>-AVERAGE(DG389:DH389)*DH420*3/1000</f>
        <v>-191.7</v>
      </c>
      <c r="DI419" s="2472">
        <f t="shared" ref="DI419:DV419" si="1900">-AVERAGE(DH389:DI389)*DI420*3/1000</f>
        <v>-281.24664839343001</v>
      </c>
      <c r="DJ419" s="2141">
        <f t="shared" si="1900"/>
        <v>-415.5103839119401</v>
      </c>
      <c r="DK419" s="2141">
        <f t="shared" si="1900"/>
        <v>-580.70588048531999</v>
      </c>
      <c r="DL419" s="2141">
        <f t="shared" si="1900"/>
        <v>-791.87237870023978</v>
      </c>
      <c r="DM419" s="2472">
        <f t="shared" si="1900"/>
        <v>-1066.2060749668594</v>
      </c>
      <c r="DN419" s="2141">
        <f t="shared" si="1900"/>
        <v>-1340.6639760693397</v>
      </c>
      <c r="DO419" s="2141">
        <f t="shared" si="1900"/>
        <v>-1561.5912227535121</v>
      </c>
      <c r="DP419" s="2141">
        <f t="shared" si="1900"/>
        <v>-1795.1500663603042</v>
      </c>
      <c r="DQ419" s="2472">
        <f t="shared" si="1900"/>
        <v>-2107.035349410764</v>
      </c>
      <c r="DR419" s="1936">
        <f t="shared" si="1900"/>
        <v>-2412.0084551528766</v>
      </c>
      <c r="DS419" s="2141">
        <f t="shared" si="1900"/>
        <v>-2661.0994099536588</v>
      </c>
      <c r="DT419" s="2141">
        <f t="shared" si="1900"/>
        <v>-2921.4241933648846</v>
      </c>
      <c r="DU419" s="2472">
        <f t="shared" si="1900"/>
        <v>-3229.9112341487203</v>
      </c>
      <c r="DV419" s="2141">
        <f t="shared" si="1900"/>
        <v>-3530.783379175456</v>
      </c>
      <c r="DW419" s="2141">
        <f t="shared" ref="DW419" ca="1" si="1901">-AVERAGE(DV389:DW389)*DW420*3/1000</f>
        <v>-3785.3863291040261</v>
      </c>
      <c r="DX419" s="2141">
        <f t="shared" ref="DX419" ca="1" si="1902">-AVERAGE(DW389:DX389)*DX420*3/1000</f>
        <v>-4048.4982052621813</v>
      </c>
      <c r="DY419" s="2472">
        <f t="shared" ref="DY419" ca="1" si="1903">-AVERAGE(DX389:DY389)*DY420*3/1000</f>
        <v>-4351.3714815903586</v>
      </c>
    </row>
    <row r="420" spans="1:129" s="2614" customFormat="1" ht="15" hidden="1" customHeight="1" outlineLevel="1">
      <c r="A420" s="1941" t="s">
        <v>1519</v>
      </c>
      <c r="U420" s="2921">
        <v>15</v>
      </c>
      <c r="V420" s="2921">
        <v>15</v>
      </c>
      <c r="W420" s="2921">
        <v>15</v>
      </c>
      <c r="X420" s="2921">
        <v>15</v>
      </c>
      <c r="Y420" s="2921">
        <v>15</v>
      </c>
      <c r="Z420" s="2921">
        <v>15</v>
      </c>
      <c r="AA420" s="2910">
        <v>15</v>
      </c>
      <c r="AB420" s="2910">
        <v>15</v>
      </c>
      <c r="AC420" s="2910">
        <v>15</v>
      </c>
      <c r="AD420" s="2910">
        <v>15</v>
      </c>
      <c r="AE420" s="2910">
        <v>15</v>
      </c>
      <c r="AF420" s="2910">
        <v>15</v>
      </c>
      <c r="AG420" s="2910">
        <v>15</v>
      </c>
      <c r="AH420" s="2612"/>
      <c r="AI420" s="2613"/>
      <c r="AJ420" s="2612"/>
      <c r="AP420" s="2612"/>
      <c r="AT420" s="2612"/>
      <c r="AX420" s="2612"/>
      <c r="BB420" s="2612"/>
      <c r="BF420" s="2612"/>
      <c r="BJ420" s="2612"/>
      <c r="BN420" s="2612"/>
      <c r="BR420" s="2612"/>
      <c r="BV420" s="2612"/>
      <c r="BZ420" s="2612"/>
      <c r="CD420" s="2612"/>
      <c r="CH420" s="2612"/>
      <c r="CL420" s="2612"/>
      <c r="CP420" s="2612"/>
      <c r="CT420" s="2612"/>
      <c r="CX420" s="2612"/>
      <c r="DB420" s="2612"/>
      <c r="DE420" s="2921">
        <v>15</v>
      </c>
      <c r="DF420" s="2922">
        <v>15</v>
      </c>
      <c r="DG420" s="2921">
        <v>15</v>
      </c>
      <c r="DH420" s="2921">
        <v>15</v>
      </c>
      <c r="DI420" s="2923">
        <v>15</v>
      </c>
      <c r="DJ420" s="2921">
        <v>15</v>
      </c>
      <c r="DK420" s="2921">
        <v>15</v>
      </c>
      <c r="DL420" s="2921">
        <v>15</v>
      </c>
      <c r="DM420" s="2923">
        <v>15</v>
      </c>
      <c r="DN420" s="2921">
        <v>15</v>
      </c>
      <c r="DO420" s="2921">
        <v>15</v>
      </c>
      <c r="DP420" s="2921">
        <v>15</v>
      </c>
      <c r="DQ420" s="2923">
        <v>15</v>
      </c>
      <c r="DR420" s="2922">
        <v>15</v>
      </c>
      <c r="DS420" s="2921">
        <v>15</v>
      </c>
      <c r="DT420" s="2921">
        <v>15</v>
      </c>
      <c r="DU420" s="2923">
        <v>15</v>
      </c>
      <c r="DV420" s="2921">
        <v>15</v>
      </c>
      <c r="DW420" s="2921">
        <v>15</v>
      </c>
      <c r="DX420" s="2921">
        <v>15</v>
      </c>
      <c r="DY420" s="2923">
        <v>15</v>
      </c>
    </row>
    <row r="421" spans="1:129" s="2216" customFormat="1" ht="15" customHeight="1" collapsed="1">
      <c r="A421" s="1937" t="s">
        <v>1530</v>
      </c>
      <c r="U421" s="2216">
        <f t="shared" ref="U421:V421" si="1904">+U416+U417+U419</f>
        <v>-316.8</v>
      </c>
      <c r="V421" s="2216">
        <f t="shared" si="1904"/>
        <v>-964.48260113648996</v>
      </c>
      <c r="W421" s="2216">
        <f t="shared" ref="W421:AB421" si="1905">+W416+W417+W419</f>
        <v>-2768.9264875554118</v>
      </c>
      <c r="X421" s="2216">
        <f t="shared" si="1905"/>
        <v>-5642.3327722677923</v>
      </c>
      <c r="Y421" s="2216">
        <f t="shared" si="1905"/>
        <v>-9654.9933335237965</v>
      </c>
      <c r="Z421" s="2216">
        <f t="shared" ca="1" si="1905"/>
        <v>-7855.214703227226</v>
      </c>
      <c r="AA421" s="2216">
        <f t="shared" ca="1" si="1905"/>
        <v>-20069.896375866949</v>
      </c>
      <c r="AB421" s="2216">
        <f t="shared" ca="1" si="1905"/>
        <v>-16260.49041924558</v>
      </c>
      <c r="AC421" s="2216">
        <f t="shared" ref="AC421:AG421" ca="1" si="1906">+AC416+AC417+AC419</f>
        <v>-12164.502713667142</v>
      </c>
      <c r="AD421" s="2216">
        <f t="shared" ca="1" si="1906"/>
        <v>-12555.520241434029</v>
      </c>
      <c r="AE421" s="2216">
        <f t="shared" ca="1" si="1906"/>
        <v>-12936.041212987511</v>
      </c>
      <c r="AF421" s="2216">
        <f t="shared" ca="1" si="1906"/>
        <v>-13308.339469576065</v>
      </c>
      <c r="AG421" s="2216">
        <f t="shared" ca="1" si="1906"/>
        <v>-13674.456628157013</v>
      </c>
      <c r="AH421" s="1937"/>
      <c r="AI421" s="1955"/>
      <c r="AJ421" s="1937"/>
      <c r="AP421" s="1937"/>
      <c r="AT421" s="1937"/>
      <c r="AX421" s="1937"/>
      <c r="BB421" s="1937"/>
      <c r="BF421" s="1937"/>
      <c r="BJ421" s="1937"/>
      <c r="BN421" s="1937"/>
      <c r="BR421" s="1937"/>
      <c r="BV421" s="1937"/>
      <c r="BZ421" s="1937"/>
      <c r="CD421" s="1937"/>
      <c r="CH421" s="1937"/>
      <c r="CL421" s="1937"/>
      <c r="CP421" s="1937"/>
      <c r="CT421" s="1937"/>
      <c r="CX421" s="1937"/>
      <c r="DB421" s="1937"/>
      <c r="DE421" s="2216">
        <f t="shared" ref="DE421:DM421" si="1907">+DE416+DE417+DE419</f>
        <v>-316.8</v>
      </c>
      <c r="DF421" s="1937">
        <f t="shared" si="1907"/>
        <v>-138.95999999999998</v>
      </c>
      <c r="DG421" s="2216">
        <f t="shared" si="1907"/>
        <v>-224.505</v>
      </c>
      <c r="DH421" s="2216">
        <f t="shared" si="1907"/>
        <v>-183.41999999999996</v>
      </c>
      <c r="DI421" s="2219">
        <f t="shared" si="1907"/>
        <v>-417.59760113649003</v>
      </c>
      <c r="DJ421" s="2216">
        <f t="shared" si="1907"/>
        <v>-317.79187875557994</v>
      </c>
      <c r="DK421" s="2216">
        <f t="shared" si="1907"/>
        <v>-448.0771536298796</v>
      </c>
      <c r="DL421" s="2216">
        <f t="shared" si="1907"/>
        <v>-743.48405370697174</v>
      </c>
      <c r="DM421" s="2219">
        <f t="shared" si="1907"/>
        <v>-1259.57340146298</v>
      </c>
      <c r="DN421" s="2216">
        <f t="shared" ref="DN421:DO421" si="1908">+DN416+DN417+DN419</f>
        <v>-961.22470045362047</v>
      </c>
      <c r="DO421" s="2216">
        <f t="shared" si="1908"/>
        <v>-972.69040875267297</v>
      </c>
      <c r="DP421" s="2216">
        <f t="shared" ref="DP421:DQ421" si="1909">+DP416+DP417+DP419</f>
        <v>-1441.5167309460001</v>
      </c>
      <c r="DQ421" s="2219">
        <f t="shared" si="1909"/>
        <v>-2266.9009321154995</v>
      </c>
      <c r="DR421" s="1937">
        <f t="shared" ref="DR421" si="1910">+DR416+DR417+DR419</f>
        <v>-1842.5841843622272</v>
      </c>
      <c r="DS421" s="2216">
        <f t="shared" ref="DS421:DT421" si="1911">+DS416+DS417+DS419</f>
        <v>-2149.0398027791489</v>
      </c>
      <c r="DT421" s="2216">
        <f t="shared" si="1911"/>
        <v>-2499.8452534630815</v>
      </c>
      <c r="DU421" s="2219">
        <f t="shared" ref="DU421" si="1912">+DU416+DU417+DU419</f>
        <v>-3163.5240929193396</v>
      </c>
      <c r="DV421" s="2216">
        <f t="shared" ref="DV421" si="1913">+DV416+DV417+DV419</f>
        <v>-2868.0890878461328</v>
      </c>
      <c r="DW421" s="2216">
        <f t="shared" ref="DW421:DY421" ca="1" si="1914">+DW416+DW417+DW419</f>
        <v>-941.13726372343808</v>
      </c>
      <c r="DX421" s="2216">
        <f t="shared" ca="1" si="1914"/>
        <v>-1472.9497540888501</v>
      </c>
      <c r="DY421" s="2219">
        <f t="shared" ca="1" si="1914"/>
        <v>-2573.038597568805</v>
      </c>
    </row>
    <row r="422" spans="1:129" ht="15" customHeight="1">
      <c r="A422" s="1942"/>
      <c r="B422" s="2207"/>
      <c r="C422" s="2207"/>
      <c r="D422" s="2207"/>
      <c r="E422" s="2207"/>
      <c r="F422" s="2207"/>
      <c r="G422" s="2207"/>
      <c r="H422" s="2207"/>
      <c r="I422" s="2207"/>
      <c r="J422" s="2207"/>
      <c r="K422" s="2207"/>
      <c r="L422" s="2207"/>
      <c r="M422" s="2207"/>
      <c r="N422" s="2207"/>
      <c r="O422" s="2207"/>
      <c r="P422" s="2207"/>
      <c r="Q422" s="2207"/>
      <c r="R422" s="2207"/>
      <c r="S422" s="2207"/>
      <c r="T422" s="2207"/>
      <c r="U422" s="2207"/>
      <c r="V422" s="2207"/>
      <c r="W422" s="2207"/>
      <c r="X422" s="2207"/>
      <c r="Y422" s="2207"/>
      <c r="Z422" s="2207"/>
      <c r="AA422" s="2207"/>
      <c r="AB422" s="2207"/>
      <c r="AC422" s="2207"/>
      <c r="AD422" s="2207"/>
      <c r="AE422" s="2207"/>
      <c r="AF422" s="2207"/>
      <c r="AG422" s="2207"/>
      <c r="AH422" s="2201"/>
      <c r="AI422" s="1927"/>
      <c r="AK422" s="2207"/>
      <c r="AL422" s="2207"/>
      <c r="AM422" s="2207"/>
      <c r="AN422" s="2207"/>
      <c r="AO422" s="2207"/>
      <c r="AP422" s="2208"/>
      <c r="AQ422" s="2207"/>
      <c r="AR422" s="2207"/>
      <c r="AS422" s="2207"/>
      <c r="AT422" s="2208"/>
      <c r="AU422" s="2207"/>
      <c r="AV422" s="2207"/>
      <c r="AW422" s="2207"/>
      <c r="AX422" s="2208"/>
      <c r="AY422" s="2207"/>
      <c r="AZ422" s="2207"/>
      <c r="BA422" s="2207"/>
      <c r="BB422" s="2208"/>
      <c r="BC422" s="2207"/>
      <c r="BD422" s="2207"/>
      <c r="BE422" s="2207"/>
      <c r="BF422" s="2208"/>
      <c r="BG422" s="2207"/>
      <c r="BH422" s="2207"/>
      <c r="BI422" s="2207"/>
      <c r="BJ422" s="2208"/>
      <c r="BK422" s="2207"/>
      <c r="BL422" s="2207"/>
      <c r="BM422" s="2207"/>
      <c r="BN422" s="2208"/>
      <c r="BO422" s="2207"/>
      <c r="BP422" s="2207"/>
      <c r="BQ422" s="2207"/>
      <c r="BR422" s="2208"/>
      <c r="BS422" s="2207"/>
      <c r="BT422" s="2207"/>
      <c r="BU422" s="2207"/>
      <c r="BV422" s="2208"/>
      <c r="BW422" s="2207"/>
      <c r="BX422" s="2207"/>
      <c r="BY422" s="2207"/>
      <c r="BZ422" s="2208"/>
      <c r="CA422" s="2207"/>
      <c r="CB422" s="2207"/>
      <c r="CC422" s="2207"/>
      <c r="CD422" s="2208"/>
      <c r="CE422" s="2207"/>
      <c r="CF422" s="2207"/>
      <c r="CG422" s="2207"/>
      <c r="CH422" s="2208"/>
      <c r="CI422" s="2207"/>
      <c r="CJ422" s="2207"/>
      <c r="CK422" s="2207"/>
      <c r="CL422" s="2208"/>
      <c r="CM422" s="2207"/>
      <c r="CN422" s="2207"/>
      <c r="CO422" s="2207"/>
      <c r="CP422" s="2208"/>
      <c r="CQ422" s="2207"/>
      <c r="CR422" s="2207"/>
      <c r="CS422" s="2207"/>
      <c r="CT422" s="2208"/>
      <c r="CU422" s="2207"/>
      <c r="CV422" s="2207"/>
      <c r="CW422" s="2207"/>
      <c r="CX422" s="2208"/>
      <c r="CY422" s="2207"/>
      <c r="CZ422" s="2207"/>
      <c r="DA422" s="2207"/>
      <c r="DB422" s="2208"/>
      <c r="DC422" s="2207"/>
      <c r="DD422" s="2207"/>
      <c r="DE422" s="2207"/>
      <c r="DF422" s="2208"/>
      <c r="DG422" s="2207"/>
      <c r="DH422" s="2207"/>
      <c r="DI422" s="2209"/>
      <c r="DJ422" s="2208"/>
      <c r="DK422" s="2207"/>
      <c r="DL422" s="2207"/>
      <c r="DM422" s="2209"/>
      <c r="DN422" s="2207"/>
      <c r="DO422" s="2207"/>
      <c r="DP422" s="2207"/>
      <c r="DQ422" s="2209"/>
      <c r="DR422" s="2208"/>
      <c r="DS422" s="2207"/>
      <c r="DT422" s="2207"/>
      <c r="DU422" s="2209"/>
      <c r="DV422" s="2207"/>
      <c r="DW422" s="2207"/>
      <c r="DX422" s="2207"/>
      <c r="DY422" s="2209"/>
    </row>
    <row r="423" spans="1:129" ht="15" customHeight="1">
      <c r="A423" s="1934" t="s">
        <v>1531</v>
      </c>
      <c r="B423" s="2207"/>
      <c r="C423" s="2207"/>
      <c r="D423" s="2207"/>
      <c r="E423" s="2207"/>
      <c r="F423" s="2207"/>
      <c r="G423" s="2207"/>
      <c r="H423" s="2207"/>
      <c r="I423" s="2207"/>
      <c r="J423" s="2207"/>
      <c r="K423" s="2207"/>
      <c r="L423" s="2207"/>
      <c r="M423" s="2207"/>
      <c r="N423" s="2207"/>
      <c r="O423" s="2207"/>
      <c r="P423" s="2207"/>
      <c r="Q423" s="2207"/>
      <c r="R423" s="2207"/>
      <c r="S423" s="2207"/>
      <c r="T423" s="2207"/>
      <c r="U423" s="2207"/>
      <c r="V423" s="2207"/>
      <c r="W423" s="2207"/>
      <c r="X423" s="2207"/>
      <c r="Y423" s="2207"/>
      <c r="Z423" s="2207"/>
      <c r="AA423" s="2207"/>
      <c r="AB423" s="2207"/>
      <c r="AC423" s="2207"/>
      <c r="AD423" s="2207"/>
      <c r="AE423" s="2207"/>
      <c r="AF423" s="2207"/>
      <c r="AG423" s="2207"/>
      <c r="AH423" s="2201"/>
      <c r="AI423" s="1927"/>
      <c r="AK423" s="2207"/>
      <c r="AL423" s="2207"/>
      <c r="AM423" s="2207"/>
      <c r="AN423" s="2207"/>
      <c r="AO423" s="2207"/>
      <c r="AP423" s="2208"/>
      <c r="AQ423" s="2207"/>
      <c r="AR423" s="2207"/>
      <c r="AS423" s="2207"/>
      <c r="AT423" s="2208"/>
      <c r="AU423" s="2207"/>
      <c r="AV423" s="2207"/>
      <c r="AW423" s="2207"/>
      <c r="AX423" s="2208"/>
      <c r="AY423" s="2207"/>
      <c r="AZ423" s="2207"/>
      <c r="BA423" s="2207"/>
      <c r="BB423" s="2208"/>
      <c r="BC423" s="2207"/>
      <c r="BD423" s="2207"/>
      <c r="BE423" s="2207"/>
      <c r="BF423" s="2208"/>
      <c r="BG423" s="2207"/>
      <c r="BH423" s="2207"/>
      <c r="BI423" s="2207"/>
      <c r="BJ423" s="2208"/>
      <c r="BK423" s="2207"/>
      <c r="BL423" s="2207"/>
      <c r="BM423" s="2207"/>
      <c r="BN423" s="2208"/>
      <c r="BO423" s="2207"/>
      <c r="BP423" s="2207"/>
      <c r="BQ423" s="2207"/>
      <c r="BR423" s="2208"/>
      <c r="BS423" s="2207"/>
      <c r="BT423" s="2207"/>
      <c r="BU423" s="2207"/>
      <c r="BV423" s="2208"/>
      <c r="BW423" s="2207"/>
      <c r="BX423" s="2207"/>
      <c r="BY423" s="2207"/>
      <c r="BZ423" s="2208"/>
      <c r="CA423" s="2207"/>
      <c r="CB423" s="2207"/>
      <c r="CC423" s="2207"/>
      <c r="CD423" s="2208"/>
      <c r="CE423" s="2207"/>
      <c r="CF423" s="2207"/>
      <c r="CG423" s="2207"/>
      <c r="CH423" s="2208"/>
      <c r="CI423" s="2207"/>
      <c r="CJ423" s="2207"/>
      <c r="CK423" s="2207"/>
      <c r="CL423" s="2208"/>
      <c r="CM423" s="2207"/>
      <c r="CN423" s="2207"/>
      <c r="CO423" s="2207"/>
      <c r="CP423" s="2208"/>
      <c r="CQ423" s="2207"/>
      <c r="CR423" s="2207"/>
      <c r="CS423" s="2207"/>
      <c r="CT423" s="2208"/>
      <c r="CU423" s="2207"/>
      <c r="CV423" s="2207"/>
      <c r="CW423" s="2207"/>
      <c r="CX423" s="2208"/>
      <c r="CY423" s="2207"/>
      <c r="CZ423" s="2207"/>
      <c r="DA423" s="2207"/>
      <c r="DB423" s="2208"/>
      <c r="DC423" s="2207"/>
      <c r="DD423" s="2207"/>
      <c r="DE423" s="2207"/>
      <c r="DF423" s="2208"/>
      <c r="DG423" s="2207"/>
      <c r="DH423" s="2207"/>
      <c r="DI423" s="2209"/>
      <c r="DJ423" s="2208"/>
      <c r="DK423" s="2207"/>
      <c r="DL423" s="2207"/>
      <c r="DM423" s="2209"/>
      <c r="DN423" s="2207"/>
      <c r="DO423" s="2207"/>
      <c r="DP423" s="2207"/>
      <c r="DQ423" s="2209"/>
      <c r="DR423" s="2208"/>
      <c r="DS423" s="2207"/>
      <c r="DT423" s="2207"/>
      <c r="DU423" s="2209"/>
      <c r="DV423" s="2207"/>
      <c r="DW423" s="2207"/>
      <c r="DX423" s="2207"/>
      <c r="DY423" s="2209"/>
    </row>
    <row r="424" spans="1:129" s="2141" customFormat="1" ht="15" customHeight="1">
      <c r="A424" s="1931" t="s">
        <v>1541</v>
      </c>
      <c r="U424" s="2141">
        <f>+SUM(DB424:DE424)</f>
        <v>622.28571428571433</v>
      </c>
      <c r="V424" s="2141">
        <f>+SUM(DF424:DI424)</f>
        <v>3802.7043738247994</v>
      </c>
      <c r="W424" s="2141">
        <f>+SUM(DJ424:DM424)</f>
        <v>11720.778475733328</v>
      </c>
      <c r="X424" s="2141">
        <f>+SUM(DN424:DQ424)</f>
        <v>14208.334126256865</v>
      </c>
      <c r="Y424" s="2141">
        <f>+SUM(DR424:DU424)</f>
        <v>14868.746548923144</v>
      </c>
      <c r="Z424" s="2141">
        <f ca="1">+SUM(DV424:DY424)</f>
        <v>14866.032700179894</v>
      </c>
      <c r="AA424" s="2141">
        <f ca="1">+AA387*AA425/1000</f>
        <v>14956.219360886995</v>
      </c>
      <c r="AB424" s="2141">
        <f ca="1">+AB387*AB425/1000</f>
        <v>14881.160767556743</v>
      </c>
      <c r="AC424" s="2141">
        <f t="shared" ref="AC424:AG424" ca="1" si="1915">+AC387*AC425/1000</f>
        <v>14779.701533610434</v>
      </c>
      <c r="AD424" s="2141">
        <f t="shared" ca="1" si="1915"/>
        <v>14655.803410275725</v>
      </c>
      <c r="AE424" s="2141">
        <f t="shared" ca="1" si="1915"/>
        <v>14512.797944911124</v>
      </c>
      <c r="AF424" s="2141">
        <f t="shared" ca="1" si="1915"/>
        <v>14353.487345133073</v>
      </c>
      <c r="AG424" s="2141">
        <f t="shared" ca="1" si="1915"/>
        <v>14180.228188492456</v>
      </c>
      <c r="AH424" s="1936"/>
      <c r="AI424" s="1952"/>
      <c r="AP424" s="1936"/>
      <c r="AT424" s="1936"/>
      <c r="AX424" s="1936"/>
      <c r="BB424" s="1936"/>
      <c r="BF424" s="1936"/>
      <c r="BJ424" s="1936"/>
      <c r="BN424" s="1936"/>
      <c r="BR424" s="1936"/>
      <c r="BV424" s="1936"/>
      <c r="BZ424" s="1936"/>
      <c r="CD424" s="1936"/>
      <c r="CH424" s="1936"/>
      <c r="CL424" s="1936"/>
      <c r="CP424" s="1936"/>
      <c r="CT424" s="1936"/>
      <c r="CX424" s="1936"/>
      <c r="DB424" s="1936"/>
      <c r="DE424" s="2141">
        <f t="shared" ref="DE424:DM424" si="1916">+DE387*DE425/1000</f>
        <v>622.28571428571433</v>
      </c>
      <c r="DF424" s="1936">
        <f t="shared" si="1916"/>
        <v>529.79999999999984</v>
      </c>
      <c r="DG424" s="2141">
        <f t="shared" si="1916"/>
        <v>822.01874999999984</v>
      </c>
      <c r="DH424" s="2141">
        <f t="shared" si="1916"/>
        <v>703.77499999999986</v>
      </c>
      <c r="DI424" s="2472">
        <f t="shared" si="1916"/>
        <v>1747.1106238248001</v>
      </c>
      <c r="DJ424" s="1936">
        <f t="shared" si="1916"/>
        <v>1833.2556566687999</v>
      </c>
      <c r="DK424" s="2141">
        <f t="shared" si="1916"/>
        <v>2571.9575852879993</v>
      </c>
      <c r="DL424" s="2141">
        <f t="shared" si="1916"/>
        <v>3059.1490337765281</v>
      </c>
      <c r="DM424" s="2472">
        <f t="shared" si="1916"/>
        <v>4256.4162000000006</v>
      </c>
      <c r="DN424" s="2141">
        <f t="shared" ref="DN424:DO424" si="1917">+DN387*DN425/1000</f>
        <v>3062.4611627328004</v>
      </c>
      <c r="DO424" s="2141">
        <f t="shared" si="1917"/>
        <v>2828.9320821784627</v>
      </c>
      <c r="DP424" s="2141">
        <f t="shared" ref="DP424:DQ424" si="1918">+DP387*DP425/1000</f>
        <v>3399.3037473360005</v>
      </c>
      <c r="DQ424" s="2472">
        <f t="shared" si="1918"/>
        <v>4917.6371340096002</v>
      </c>
      <c r="DR424" s="1936">
        <f t="shared" ref="DR424" si="1919">+DR387*DR425/1000</f>
        <v>3214.9790191133998</v>
      </c>
      <c r="DS424" s="2141">
        <f t="shared" ref="DS424:DT424" si="1920">+DS387*DS425/1000</f>
        <v>3427.4464422407996</v>
      </c>
      <c r="DT424" s="2141">
        <f t="shared" si="1920"/>
        <v>3514.5477820585438</v>
      </c>
      <c r="DU424" s="2472">
        <f t="shared" ref="DU424" si="1921">+DU387*DU425/1000</f>
        <v>4711.773305510399</v>
      </c>
      <c r="DV424" s="2141">
        <f t="shared" ref="DV424" si="1922">+DV387*DV425/1000</f>
        <v>3311.4838952025607</v>
      </c>
      <c r="DW424" s="2141">
        <f t="shared" ref="DW424:DY424" si="1923">+DW387*DW425/1000</f>
        <v>3477.928102892638</v>
      </c>
      <c r="DX424" s="2141">
        <f t="shared" ca="1" si="1923"/>
        <v>3538.3885946581909</v>
      </c>
      <c r="DY424" s="2472">
        <f t="shared" ca="1" si="1923"/>
        <v>4538.2321074265046</v>
      </c>
    </row>
    <row r="425" spans="1:129" s="2614" customFormat="1" ht="15" customHeight="1" outlineLevel="1">
      <c r="A425" s="1941" t="s">
        <v>798</v>
      </c>
      <c r="U425" s="2921">
        <f>+(U395+240)/0.7</f>
        <v>471.42857142857144</v>
      </c>
      <c r="V425" s="2924">
        <f>+(V395+240)/(0.8*7/8+0.95*1/8)</f>
        <v>606.91365717245787</v>
      </c>
      <c r="W425" s="2924">
        <f t="shared" ref="W425:AB425" si="1924">+(W395+240)/0.95</f>
        <v>600</v>
      </c>
      <c r="X425" s="2924">
        <f t="shared" si="1924"/>
        <v>600</v>
      </c>
      <c r="Y425" s="2924">
        <f t="shared" si="1924"/>
        <v>600</v>
      </c>
      <c r="Z425" s="2924">
        <f t="shared" ref="Z425" ca="1" si="1925">+(Z395+240)/0.95</f>
        <v>600</v>
      </c>
      <c r="AA425" s="2909">
        <f t="shared" si="1924"/>
        <v>600</v>
      </c>
      <c r="AB425" s="2909">
        <f t="shared" si="1924"/>
        <v>600</v>
      </c>
      <c r="AC425" s="2909">
        <f t="shared" ref="AC425:AG425" si="1926">+(AC395+240)/0.95</f>
        <v>600</v>
      </c>
      <c r="AD425" s="2909">
        <f t="shared" si="1926"/>
        <v>600</v>
      </c>
      <c r="AE425" s="2909">
        <f t="shared" si="1926"/>
        <v>600</v>
      </c>
      <c r="AF425" s="2909">
        <f t="shared" si="1926"/>
        <v>600</v>
      </c>
      <c r="AG425" s="2909">
        <f t="shared" si="1926"/>
        <v>600</v>
      </c>
      <c r="AH425" s="2612"/>
      <c r="AI425" s="2613"/>
      <c r="AP425" s="2612"/>
      <c r="AT425" s="2612"/>
      <c r="AX425" s="2612"/>
      <c r="BB425" s="2612"/>
      <c r="BF425" s="2612"/>
      <c r="BJ425" s="2612"/>
      <c r="BN425" s="2612"/>
      <c r="BR425" s="2612"/>
      <c r="BV425" s="2612"/>
      <c r="BZ425" s="2612"/>
      <c r="CD425" s="2612"/>
      <c r="CH425" s="2612"/>
      <c r="CL425" s="2612"/>
      <c r="CP425" s="2612"/>
      <c r="CT425" s="2612"/>
      <c r="CX425" s="2612"/>
      <c r="DB425" s="2612"/>
      <c r="DE425" s="2921">
        <f>+(DE395+240)/0.7</f>
        <v>471.42857142857144</v>
      </c>
      <c r="DF425" s="2922">
        <f>+(DF395+240)/0.8</f>
        <v>580.92105263157885</v>
      </c>
      <c r="DG425" s="2921">
        <f>+(DG395+240)/0.8</f>
        <v>550.21335341365454</v>
      </c>
      <c r="DH425" s="2921">
        <f>+(DH395+240)/0.8</f>
        <v>658.96535580524335</v>
      </c>
      <c r="DI425" s="2923">
        <f>+(DI395+240)/AVERAGE(0.8,0.95)</f>
        <v>600</v>
      </c>
      <c r="DJ425" s="2925">
        <f t="shared" ref="DJ425:DL425" si="1927">+(DJ395+240)/0.95</f>
        <v>600</v>
      </c>
      <c r="DK425" s="2924">
        <f t="shared" si="1927"/>
        <v>600</v>
      </c>
      <c r="DL425" s="2924">
        <f t="shared" si="1927"/>
        <v>600</v>
      </c>
      <c r="DM425" s="2926">
        <f t="shared" ref="DM425:DR425" si="1928">+(DM395+240)/0.95</f>
        <v>600</v>
      </c>
      <c r="DN425" s="2924">
        <f t="shared" si="1928"/>
        <v>600</v>
      </c>
      <c r="DO425" s="2924">
        <f t="shared" si="1928"/>
        <v>600</v>
      </c>
      <c r="DP425" s="2924">
        <f t="shared" si="1928"/>
        <v>600</v>
      </c>
      <c r="DQ425" s="2926">
        <f t="shared" si="1928"/>
        <v>600</v>
      </c>
      <c r="DR425" s="2925">
        <f t="shared" si="1928"/>
        <v>600</v>
      </c>
      <c r="DS425" s="2924">
        <f t="shared" ref="DS425:DT425" si="1929">+(DS395+240)/0.95</f>
        <v>600</v>
      </c>
      <c r="DT425" s="2924">
        <f t="shared" si="1929"/>
        <v>600</v>
      </c>
      <c r="DU425" s="2926">
        <f t="shared" ref="DU425" si="1930">+(DU395+240)/0.95</f>
        <v>600</v>
      </c>
      <c r="DV425" s="2924">
        <f t="shared" ref="DV425" si="1931">+(DV395+240)/0.95</f>
        <v>600</v>
      </c>
      <c r="DW425" s="2924">
        <f t="shared" ref="DW425:DY425" si="1932">+(DW395+240)/0.95</f>
        <v>600</v>
      </c>
      <c r="DX425" s="2924">
        <f t="shared" si="1932"/>
        <v>600</v>
      </c>
      <c r="DY425" s="2926">
        <f t="shared" si="1932"/>
        <v>600</v>
      </c>
    </row>
    <row r="426" spans="1:129" s="2141" customFormat="1" ht="15" customHeight="1">
      <c r="A426" s="1936" t="s">
        <v>1526</v>
      </c>
      <c r="U426" s="2141">
        <f>+U416</f>
        <v>59.4</v>
      </c>
      <c r="V426" s="2141">
        <f>+V416</f>
        <v>1255.0432967868601</v>
      </c>
      <c r="W426" s="2927">
        <f>+W416+5000</f>
        <v>9773.6796208022788</v>
      </c>
      <c r="X426" s="2927">
        <f>+X416+5000</f>
        <v>11845.441492828872</v>
      </c>
      <c r="Y426" s="2927">
        <f>+Y416+5000</f>
        <v>12516.948578665601</v>
      </c>
      <c r="Z426" s="2927">
        <f ca="1">+Z416+5000</f>
        <v>18807.237771976754</v>
      </c>
      <c r="AA426" s="2141">
        <f ca="1">+AA416</f>
        <v>4486.8658082660977</v>
      </c>
      <c r="AB426" s="2141">
        <f ca="1">+AB416</f>
        <v>8951.2140385331222</v>
      </c>
      <c r="AC426" s="2141">
        <f t="shared" ref="AC426:AG426" ca="1" si="1933">+AC416</f>
        <v>13385.124498616253</v>
      </c>
      <c r="AD426" s="2141">
        <f t="shared" ca="1" si="1933"/>
        <v>13294.99971343287</v>
      </c>
      <c r="AE426" s="2141">
        <f t="shared" ca="1" si="1933"/>
        <v>13184.490866639186</v>
      </c>
      <c r="AF426" s="2141">
        <f t="shared" ca="1" si="1933"/>
        <v>13056.626610095978</v>
      </c>
      <c r="AG426" s="2141">
        <f t="shared" ca="1" si="1933"/>
        <v>12913.954043560998</v>
      </c>
      <c r="AH426" s="1936"/>
      <c r="AI426" s="1952"/>
      <c r="AP426" s="1936"/>
      <c r="AT426" s="1936"/>
      <c r="AX426" s="1936"/>
      <c r="BB426" s="1936"/>
      <c r="BF426" s="1936"/>
      <c r="BJ426" s="1936"/>
      <c r="BN426" s="1936"/>
      <c r="BR426" s="1936"/>
      <c r="BV426" s="1936"/>
      <c r="BZ426" s="1936"/>
      <c r="CD426" s="1936"/>
      <c r="CH426" s="1936"/>
      <c r="CL426" s="1936"/>
      <c r="CP426" s="1936"/>
      <c r="CT426" s="1936"/>
      <c r="CX426" s="1936"/>
      <c r="DB426" s="1936"/>
      <c r="DE426" s="2141">
        <f>+DE416</f>
        <v>59.4</v>
      </c>
      <c r="DF426" s="1936">
        <f>+DF416</f>
        <v>159.84</v>
      </c>
      <c r="DG426" s="2141">
        <f>+DG416</f>
        <v>268.11</v>
      </c>
      <c r="DH426" s="2141">
        <f>+DH416</f>
        <v>264.60000000000002</v>
      </c>
      <c r="DI426" s="2472">
        <f>+DI416</f>
        <v>562.49329678686001</v>
      </c>
      <c r="DJ426" s="2593">
        <f>+DJ416+1300</f>
        <v>2131.0207678238803</v>
      </c>
      <c r="DK426" s="2500">
        <f>+DK416+1200</f>
        <v>2361.41176097064</v>
      </c>
      <c r="DL426" s="2500">
        <f>+DL416+2000</f>
        <v>3272.0479385038793</v>
      </c>
      <c r="DM426" s="2594">
        <f>+DM416+2700</f>
        <v>4209.1991535038796</v>
      </c>
      <c r="DN426" s="2500">
        <f>+DN416+2000</f>
        <v>3604.4237407088394</v>
      </c>
      <c r="DO426" s="2500">
        <f t="shared" ref="DO426:DT426" si="1934">+DO416</f>
        <v>1720.4736468722242</v>
      </c>
      <c r="DP426" s="2500">
        <f t="shared" si="1934"/>
        <v>1713.3548343487043</v>
      </c>
      <c r="DQ426" s="2973">
        <f t="shared" si="1934"/>
        <v>1807.1892708991045</v>
      </c>
      <c r="DR426" s="3066">
        <f t="shared" si="1934"/>
        <v>1855.4158784360093</v>
      </c>
      <c r="DS426" s="3227">
        <f t="shared" si="1934"/>
        <v>1883.0381840708299</v>
      </c>
      <c r="DT426" s="3227">
        <f t="shared" si="1934"/>
        <v>1827.3980527252206</v>
      </c>
      <c r="DU426" s="2973">
        <f t="shared" ref="DU426" si="1935">+DU416</f>
        <v>1951.0964634335405</v>
      </c>
      <c r="DV426" s="3227">
        <f t="shared" ref="DV426" si="1936">+DV416</f>
        <v>1987.2878494103477</v>
      </c>
      <c r="DW426" s="2500">
        <f t="shared" ref="DW426:DY426" si="1937">+DW416</f>
        <v>4235.4203065376432</v>
      </c>
      <c r="DX426" s="2500">
        <f t="shared" ca="1" si="1937"/>
        <v>3990.9038890366073</v>
      </c>
      <c r="DY426" s="2594">
        <f t="shared" ca="1" si="1937"/>
        <v>3593.6257269921553</v>
      </c>
    </row>
    <row r="427" spans="1:129" s="2216" customFormat="1" ht="15" customHeight="1">
      <c r="A427" s="1937" t="s">
        <v>1532</v>
      </c>
      <c r="U427" s="2216">
        <f t="shared" ref="U427:V427" si="1938">+U424-U426</f>
        <v>562.88571428571436</v>
      </c>
      <c r="V427" s="2216">
        <f t="shared" si="1938"/>
        <v>2547.6610770379393</v>
      </c>
      <c r="W427" s="2216">
        <f t="shared" ref="W427:AB427" si="1939">+W424-W426</f>
        <v>1947.0988549310496</v>
      </c>
      <c r="X427" s="2216">
        <f t="shared" si="1939"/>
        <v>2362.8926334279931</v>
      </c>
      <c r="Y427" s="2216">
        <f t="shared" si="1939"/>
        <v>2351.7979702575431</v>
      </c>
      <c r="Z427" s="2216">
        <f t="shared" ca="1" si="1939"/>
        <v>-3941.2050717968596</v>
      </c>
      <c r="AA427" s="2216">
        <f t="shared" ca="1" si="1939"/>
        <v>10469.353552620898</v>
      </c>
      <c r="AB427" s="2216">
        <f t="shared" ca="1" si="1939"/>
        <v>5929.9467290236207</v>
      </c>
      <c r="AC427" s="2216">
        <f t="shared" ref="AC427:AG427" ca="1" si="1940">+AC424-AC426</f>
        <v>1394.5770349941813</v>
      </c>
      <c r="AD427" s="2216">
        <f t="shared" ca="1" si="1940"/>
        <v>1360.8036968428551</v>
      </c>
      <c r="AE427" s="2216">
        <f t="shared" ca="1" si="1940"/>
        <v>1328.3070782719387</v>
      </c>
      <c r="AF427" s="2216">
        <f t="shared" ca="1" si="1940"/>
        <v>1296.8607350370949</v>
      </c>
      <c r="AG427" s="2216">
        <f t="shared" ca="1" si="1940"/>
        <v>1266.2741449314581</v>
      </c>
      <c r="AH427" s="1937"/>
      <c r="AI427" s="1955"/>
      <c r="AP427" s="1937"/>
      <c r="AT427" s="1937"/>
      <c r="AX427" s="1937"/>
      <c r="BB427" s="1937"/>
      <c r="BF427" s="1937"/>
      <c r="BJ427" s="1937"/>
      <c r="BN427" s="1937"/>
      <c r="BR427" s="1937"/>
      <c r="BV427" s="1937"/>
      <c r="BZ427" s="1937"/>
      <c r="CD427" s="1937"/>
      <c r="CH427" s="1937"/>
      <c r="CL427" s="1937"/>
      <c r="CP427" s="1937"/>
      <c r="CT427" s="1937"/>
      <c r="CX427" s="1937"/>
      <c r="DB427" s="1937"/>
      <c r="DE427" s="2216">
        <f t="shared" ref="DE427:DM427" si="1941">+DE424-DE426</f>
        <v>562.88571428571436</v>
      </c>
      <c r="DF427" s="1937">
        <f t="shared" si="1941"/>
        <v>369.95999999999981</v>
      </c>
      <c r="DG427" s="2216">
        <f t="shared" si="1941"/>
        <v>553.90874999999983</v>
      </c>
      <c r="DH427" s="2216">
        <f t="shared" si="1941"/>
        <v>439.17499999999984</v>
      </c>
      <c r="DI427" s="2219">
        <f t="shared" si="1941"/>
        <v>1184.61732703794</v>
      </c>
      <c r="DJ427" s="1937">
        <f t="shared" si="1941"/>
        <v>-297.76511115508038</v>
      </c>
      <c r="DK427" s="2216">
        <f t="shared" si="1941"/>
        <v>210.54582431735935</v>
      </c>
      <c r="DL427" s="2216">
        <f t="shared" si="1941"/>
        <v>-212.89890472735124</v>
      </c>
      <c r="DM427" s="2219">
        <f t="shared" si="1941"/>
        <v>47.217046496120929</v>
      </c>
      <c r="DN427" s="2216">
        <f t="shared" ref="DN427:DO427" si="1942">+DN424-DN426</f>
        <v>-541.96257797603903</v>
      </c>
      <c r="DO427" s="2216">
        <f t="shared" si="1942"/>
        <v>1108.4584353062385</v>
      </c>
      <c r="DP427" s="2216">
        <f t="shared" ref="DP427:DQ427" si="1943">+DP424-DP426</f>
        <v>1685.9489129872961</v>
      </c>
      <c r="DQ427" s="2219">
        <f t="shared" si="1943"/>
        <v>3110.4478631104957</v>
      </c>
      <c r="DR427" s="1937">
        <f t="shared" ref="DR427" si="1944">+DR424-DR426</f>
        <v>1359.5631406773905</v>
      </c>
      <c r="DS427" s="2216">
        <f t="shared" ref="DS427:DT427" si="1945">+DS424-DS426</f>
        <v>1544.4082581699697</v>
      </c>
      <c r="DT427" s="2216">
        <f t="shared" si="1945"/>
        <v>1687.1497293333232</v>
      </c>
      <c r="DU427" s="2219">
        <f t="shared" ref="DU427" si="1946">+DU424-DU426</f>
        <v>2760.6768420768585</v>
      </c>
      <c r="DV427" s="2216">
        <f t="shared" ref="DV427" si="1947">+DV424-DV426</f>
        <v>1324.196045792213</v>
      </c>
      <c r="DW427" s="2216">
        <f t="shared" ref="DW427:DY427" si="1948">+DW424-DW426</f>
        <v>-757.49220364500525</v>
      </c>
      <c r="DX427" s="2216">
        <f t="shared" ca="1" si="1948"/>
        <v>-452.51529437841646</v>
      </c>
      <c r="DY427" s="2219">
        <f t="shared" ca="1" si="1948"/>
        <v>944.60638043434938</v>
      </c>
    </row>
    <row r="428" spans="1:129" ht="15" customHeight="1">
      <c r="B428" s="2207"/>
      <c r="C428" s="2207"/>
      <c r="D428" s="2207"/>
      <c r="E428" s="2207"/>
      <c r="F428" s="2207"/>
      <c r="G428" s="2207"/>
      <c r="H428" s="2207"/>
      <c r="I428" s="2207"/>
      <c r="J428" s="2207"/>
      <c r="K428" s="2207"/>
      <c r="L428" s="2207"/>
      <c r="M428" s="2207"/>
      <c r="N428" s="2207"/>
      <c r="O428" s="2207"/>
      <c r="P428" s="2207"/>
      <c r="Q428" s="2207"/>
      <c r="R428" s="2207"/>
      <c r="S428" s="2207"/>
      <c r="T428" s="2207"/>
      <c r="U428" s="2207"/>
      <c r="V428" s="2207"/>
      <c r="W428" s="2207"/>
      <c r="X428" s="2207"/>
      <c r="Y428" s="2207"/>
      <c r="Z428" s="2207"/>
      <c r="AA428" s="2207"/>
      <c r="AB428" s="2207"/>
      <c r="AC428" s="2207"/>
      <c r="AD428" s="2207"/>
      <c r="AE428" s="2207"/>
      <c r="AF428" s="2207"/>
      <c r="AG428" s="2207"/>
      <c r="AH428" s="2201"/>
      <c r="AI428" s="1927"/>
      <c r="AK428" s="2207"/>
      <c r="AL428" s="2207"/>
      <c r="AM428" s="2207"/>
      <c r="AN428" s="2207"/>
      <c r="AO428" s="2207"/>
      <c r="AP428" s="2208"/>
      <c r="AQ428" s="2207"/>
      <c r="AR428" s="2207"/>
      <c r="AS428" s="2207"/>
      <c r="AT428" s="2208"/>
      <c r="AU428" s="2207"/>
      <c r="AV428" s="2207"/>
      <c r="AW428" s="2207"/>
      <c r="AX428" s="2208"/>
      <c r="AY428" s="2207"/>
      <c r="AZ428" s="2207"/>
      <c r="BA428" s="2207"/>
      <c r="BB428" s="2208"/>
      <c r="BC428" s="2207"/>
      <c r="BD428" s="2207"/>
      <c r="BE428" s="2207"/>
      <c r="BF428" s="2208"/>
      <c r="BG428" s="2207"/>
      <c r="BH428" s="2207"/>
      <c r="BI428" s="2207"/>
      <c r="BJ428" s="2208"/>
      <c r="BK428" s="2207"/>
      <c r="BL428" s="2207"/>
      <c r="BM428" s="2207"/>
      <c r="BN428" s="2208"/>
      <c r="BO428" s="2207"/>
      <c r="BP428" s="2207"/>
      <c r="BQ428" s="2207"/>
      <c r="BR428" s="2208"/>
      <c r="BS428" s="2207"/>
      <c r="BT428" s="2207"/>
      <c r="BU428" s="2207"/>
      <c r="BV428" s="2208"/>
      <c r="BW428" s="2207"/>
      <c r="BX428" s="2207"/>
      <c r="BY428" s="2207"/>
      <c r="BZ428" s="2208"/>
      <c r="CA428" s="2207"/>
      <c r="CB428" s="2207"/>
      <c r="CC428" s="2207"/>
      <c r="CD428" s="2208"/>
      <c r="CE428" s="2207"/>
      <c r="CF428" s="2207"/>
      <c r="CG428" s="2207"/>
      <c r="CH428" s="2208"/>
      <c r="CI428" s="2207"/>
      <c r="CJ428" s="2207"/>
      <c r="CK428" s="2207"/>
      <c r="CL428" s="2208"/>
      <c r="CM428" s="2207"/>
      <c r="CN428" s="2207"/>
      <c r="CO428" s="2207"/>
      <c r="CP428" s="2208"/>
      <c r="CQ428" s="2207"/>
      <c r="CR428" s="2207"/>
      <c r="CS428" s="2207"/>
      <c r="CT428" s="2208"/>
      <c r="CU428" s="2207"/>
      <c r="CV428" s="2207"/>
      <c r="CW428" s="2207"/>
      <c r="CX428" s="2208"/>
      <c r="CY428" s="2207"/>
      <c r="CZ428" s="2207"/>
      <c r="DA428" s="2207"/>
      <c r="DB428" s="2208"/>
      <c r="DC428" s="2207"/>
      <c r="DD428" s="2207"/>
      <c r="DE428" s="2207"/>
      <c r="DF428" s="2208"/>
      <c r="DG428" s="2207"/>
      <c r="DH428" s="2207"/>
      <c r="DI428" s="2209"/>
      <c r="DJ428" s="2208"/>
      <c r="DK428" s="2207"/>
      <c r="DL428" s="2207"/>
      <c r="DM428" s="2209"/>
      <c r="DN428" s="2207"/>
      <c r="DO428" s="2207"/>
      <c r="DP428" s="2207"/>
      <c r="DQ428" s="2209"/>
      <c r="DR428" s="2208"/>
      <c r="DS428" s="2207"/>
      <c r="DT428" s="2207"/>
      <c r="DU428" s="2209"/>
      <c r="DV428" s="2207"/>
      <c r="DW428" s="2207"/>
      <c r="DX428" s="2207"/>
      <c r="DY428" s="2209"/>
    </row>
    <row r="429" spans="1:129" s="2141" customFormat="1" ht="15" customHeight="1">
      <c r="A429" s="1943" t="s">
        <v>1541</v>
      </c>
      <c r="U429" s="2141">
        <f t="shared" ref="U429:V429" si="1949">+U394</f>
        <v>118.8</v>
      </c>
      <c r="V429" s="2141">
        <f t="shared" si="1949"/>
        <v>1640.5925463167803</v>
      </c>
      <c r="W429" s="2141">
        <f t="shared" ref="W429:AB429" si="1950">+W394</f>
        <v>6446.4281616533299</v>
      </c>
      <c r="X429" s="2141">
        <f t="shared" si="1950"/>
        <v>7814.5837694412749</v>
      </c>
      <c r="Y429" s="2141">
        <f t="shared" si="1950"/>
        <v>8177.8106019077286</v>
      </c>
      <c r="Z429" s="2141">
        <f t="shared" ca="1" si="1950"/>
        <v>8176.3179850989418</v>
      </c>
      <c r="AA429" s="2141">
        <f t="shared" ca="1" si="1950"/>
        <v>8225.9206484878468</v>
      </c>
      <c r="AB429" s="2141">
        <f t="shared" ca="1" si="1950"/>
        <v>8184.6384221562093</v>
      </c>
      <c r="AC429" s="2141">
        <f t="shared" ref="AC429:AG429" ca="1" si="1951">+AC394</f>
        <v>8128.8358434857382</v>
      </c>
      <c r="AD429" s="2141">
        <f t="shared" ca="1" si="1951"/>
        <v>8060.6918756516479</v>
      </c>
      <c r="AE429" s="2141">
        <f t="shared" ca="1" si="1951"/>
        <v>7982.0388697011185</v>
      </c>
      <c r="AF429" s="2141">
        <f t="shared" ca="1" si="1951"/>
        <v>7894.4180398231911</v>
      </c>
      <c r="AG429" s="2141">
        <f t="shared" ca="1" si="1951"/>
        <v>7799.1255036708508</v>
      </c>
      <c r="AH429" s="1936"/>
      <c r="AI429" s="1952"/>
      <c r="AP429" s="1936"/>
      <c r="AT429" s="1936"/>
      <c r="AX429" s="1936"/>
      <c r="BB429" s="1936"/>
      <c r="BF429" s="1936"/>
      <c r="BJ429" s="1936"/>
      <c r="BN429" s="1936"/>
      <c r="BR429" s="1936"/>
      <c r="BV429" s="1936"/>
      <c r="BZ429" s="1936"/>
      <c r="CD429" s="1936"/>
      <c r="CH429" s="1936"/>
      <c r="CL429" s="1936"/>
      <c r="CP429" s="1936"/>
      <c r="CT429" s="1936"/>
      <c r="CX429" s="1936"/>
      <c r="DB429" s="1936"/>
      <c r="DE429" s="2141">
        <f t="shared" ref="DE429:DM429" si="1952">+DE394</f>
        <v>118.8</v>
      </c>
      <c r="DF429" s="1936">
        <f t="shared" si="1952"/>
        <v>204.96</v>
      </c>
      <c r="DG429" s="2141">
        <f t="shared" si="1952"/>
        <v>299.05500000000001</v>
      </c>
      <c r="DH429" s="2141">
        <f t="shared" si="1952"/>
        <v>306.7</v>
      </c>
      <c r="DI429" s="2472">
        <f t="shared" si="1952"/>
        <v>829.87754631678013</v>
      </c>
      <c r="DJ429" s="1936">
        <f t="shared" si="1952"/>
        <v>1008.29061116784</v>
      </c>
      <c r="DK429" s="2141">
        <f t="shared" si="1952"/>
        <v>1414.5766719083995</v>
      </c>
      <c r="DL429" s="2141">
        <f t="shared" si="1952"/>
        <v>1682.5319685770903</v>
      </c>
      <c r="DM429" s="2472">
        <f t="shared" si="1952"/>
        <v>2341.02891</v>
      </c>
      <c r="DN429" s="2141">
        <f t="shared" ref="DN429:DO429" si="1953">+DN394</f>
        <v>1684.3536395030403</v>
      </c>
      <c r="DO429" s="2141">
        <f t="shared" si="1953"/>
        <v>1555.9126451981545</v>
      </c>
      <c r="DP429" s="2141">
        <f t="shared" ref="DP429:DQ429" si="1954">+DP394</f>
        <v>1869.6170610348001</v>
      </c>
      <c r="DQ429" s="2472">
        <f t="shared" si="1954"/>
        <v>2704.7004237052802</v>
      </c>
      <c r="DR429" s="1936">
        <f t="shared" ref="DR429" si="1955">+DR394</f>
        <v>1768.2384605123696</v>
      </c>
      <c r="DS429" s="2141">
        <f t="shared" ref="DS429:DT429" si="1956">+DS394</f>
        <v>1885.0955432324397</v>
      </c>
      <c r="DT429" s="2141">
        <f t="shared" si="1956"/>
        <v>1933.0012801321991</v>
      </c>
      <c r="DU429" s="2472">
        <f t="shared" ref="DU429" si="1957">+DU394</f>
        <v>2591.4753180307198</v>
      </c>
      <c r="DV429" s="2141">
        <f t="shared" ref="DV429" si="1958">+DV394</f>
        <v>1821.3161423614083</v>
      </c>
      <c r="DW429" s="2141">
        <f t="shared" ref="DW429:DY429" si="1959">+DW394</f>
        <v>1912.8604565909509</v>
      </c>
      <c r="DX429" s="2141">
        <f t="shared" ca="1" si="1959"/>
        <v>1946.1137270620052</v>
      </c>
      <c r="DY429" s="2472">
        <f t="shared" ca="1" si="1959"/>
        <v>2496.0276590845774</v>
      </c>
    </row>
    <row r="430" spans="1:129" s="2141" customFormat="1" ht="15" customHeight="1">
      <c r="A430" s="1943" t="s">
        <v>1533</v>
      </c>
      <c r="U430" s="2141">
        <f>+SUM(DB430:DE430)</f>
        <v>7992.2</v>
      </c>
      <c r="V430" s="2141">
        <f>+SUM(DF430:DI430)</f>
        <v>9318.4074536832195</v>
      </c>
      <c r="W430" s="2141">
        <f>+SUM(DJ430:DM430)</f>
        <v>10477.57183834667</v>
      </c>
      <c r="X430" s="2141">
        <f>+SUM(DN430:DQ430)</f>
        <v>9700.4162305587251</v>
      </c>
      <c r="Y430" s="2141">
        <f>+SUM(DR430:DU430)</f>
        <v>10711.189398092272</v>
      </c>
      <c r="Z430" s="2141">
        <f ca="1">+SUM(DV430:DY430)</f>
        <v>13088.838655768908</v>
      </c>
      <c r="AA430" s="2141">
        <f ca="1">(+AA432*AA370/1000)</f>
        <v>12463.516134072495</v>
      </c>
      <c r="AB430" s="2141">
        <f ca="1">(+AB432*AB370/1000)</f>
        <v>12323.942664643266</v>
      </c>
      <c r="AC430" s="2141">
        <f t="shared" ref="AC430:AG430" ca="1" si="1960">(+AC432*AC370/1000)</f>
        <v>12164.363402148503</v>
      </c>
      <c r="AD430" s="2141">
        <f t="shared" ca="1" si="1960"/>
        <v>11988.387247669303</v>
      </c>
      <c r="AE430" s="2141">
        <f t="shared" ca="1" si="1960"/>
        <v>11799.022719439938</v>
      </c>
      <c r="AF430" s="2141">
        <f t="shared" ca="1" si="1960"/>
        <v>11598.777652632787</v>
      </c>
      <c r="AG430" s="2141">
        <f t="shared" ca="1" si="1960"/>
        <v>11389.74151686141</v>
      </c>
      <c r="AH430" s="1936"/>
      <c r="AI430" s="1952"/>
      <c r="AP430" s="1936"/>
      <c r="AT430" s="1936"/>
      <c r="AX430" s="1936"/>
      <c r="BB430" s="1936"/>
      <c r="BF430" s="1936"/>
      <c r="BJ430" s="1936"/>
      <c r="BN430" s="1936"/>
      <c r="BR430" s="1936"/>
      <c r="BV430" s="1936"/>
      <c r="BZ430" s="1936"/>
      <c r="CD430" s="1936"/>
      <c r="CH430" s="1936">
        <f t="shared" ref="CH430:DD430" si="1961">+CH433-CH429</f>
        <v>1963</v>
      </c>
      <c r="CI430" s="2141">
        <f t="shared" si="1961"/>
        <v>2061</v>
      </c>
      <c r="CJ430" s="2141">
        <f t="shared" si="1961"/>
        <v>2228</v>
      </c>
      <c r="CK430" s="2141">
        <f t="shared" si="1961"/>
        <v>2268</v>
      </c>
      <c r="CL430" s="1936">
        <f t="shared" si="1961"/>
        <v>1132</v>
      </c>
      <c r="CM430" s="2141">
        <f t="shared" si="1961"/>
        <v>1156</v>
      </c>
      <c r="CN430" s="2141">
        <f t="shared" si="1961"/>
        <v>1300</v>
      </c>
      <c r="CO430" s="2141">
        <f t="shared" si="1961"/>
        <v>1259</v>
      </c>
      <c r="CP430" s="1936">
        <f t="shared" si="1961"/>
        <v>992</v>
      </c>
      <c r="CQ430" s="2141">
        <f t="shared" si="1961"/>
        <v>1024</v>
      </c>
      <c r="CR430" s="2141">
        <f t="shared" si="1961"/>
        <v>1276</v>
      </c>
      <c r="CS430" s="2141">
        <f t="shared" si="1961"/>
        <v>1126</v>
      </c>
      <c r="CT430" s="1936">
        <f t="shared" si="1961"/>
        <v>1689</v>
      </c>
      <c r="CU430" s="2141">
        <f t="shared" si="1961"/>
        <v>1753</v>
      </c>
      <c r="CV430" s="2141">
        <f t="shared" si="1961"/>
        <v>1800</v>
      </c>
      <c r="CW430" s="2141">
        <f t="shared" si="1961"/>
        <v>2215</v>
      </c>
      <c r="CX430" s="1936">
        <f t="shared" si="1961"/>
        <v>1838</v>
      </c>
      <c r="CY430" s="2141">
        <f t="shared" si="1961"/>
        <v>1768</v>
      </c>
      <c r="CZ430" s="2141">
        <f t="shared" si="1961"/>
        <v>1858</v>
      </c>
      <c r="DA430" s="2141">
        <f t="shared" si="1961"/>
        <v>2559</v>
      </c>
      <c r="DB430" s="1936">
        <f t="shared" si="1961"/>
        <v>1813</v>
      </c>
      <c r="DC430" s="2141">
        <f t="shared" si="1961"/>
        <v>1953</v>
      </c>
      <c r="DD430" s="2141">
        <f t="shared" si="1961"/>
        <v>1924</v>
      </c>
      <c r="DE430" s="2141">
        <f t="shared" ref="DE430:DJ430" si="1962">+DE433-DE429</f>
        <v>2302.1999999999998</v>
      </c>
      <c r="DF430" s="1936">
        <f t="shared" si="1962"/>
        <v>1665.04</v>
      </c>
      <c r="DG430" s="2141">
        <f t="shared" si="1962"/>
        <v>2087.9450000000002</v>
      </c>
      <c r="DH430" s="2141">
        <f t="shared" si="1962"/>
        <v>2173.3000000000002</v>
      </c>
      <c r="DI430" s="2472">
        <f t="shared" si="1962"/>
        <v>3392.1224536832196</v>
      </c>
      <c r="DJ430" s="1936">
        <f t="shared" si="1962"/>
        <v>2364.7093888321601</v>
      </c>
      <c r="DK430" s="2141">
        <f t="shared" ref="DK430:DP430" si="1963">+DK433-DK429</f>
        <v>2446.4233280916005</v>
      </c>
      <c r="DL430" s="2141">
        <f t="shared" si="1963"/>
        <v>2609.4680314229099</v>
      </c>
      <c r="DM430" s="2472">
        <f t="shared" si="1963"/>
        <v>3056.97109</v>
      </c>
      <c r="DN430" s="2141">
        <f t="shared" si="1963"/>
        <v>2269.6463604969595</v>
      </c>
      <c r="DO430" s="2141">
        <f t="shared" si="1963"/>
        <v>2148.0873548018453</v>
      </c>
      <c r="DP430" s="2141">
        <f t="shared" si="1963"/>
        <v>2254.3829389652001</v>
      </c>
      <c r="DQ430" s="2472">
        <f t="shared" ref="DQ430" si="1964">+DQ433-DQ429</f>
        <v>3028.2995762947198</v>
      </c>
      <c r="DR430" s="1936">
        <f t="shared" ref="DR430" si="1965">+DR433-DR429</f>
        <v>1995.7615394876304</v>
      </c>
      <c r="DS430" s="2141">
        <f t="shared" ref="DS430:DT430" si="1966">+DS433-DS429</f>
        <v>2412.9044567675601</v>
      </c>
      <c r="DT430" s="2141">
        <f t="shared" si="1966"/>
        <v>2418.9987198678009</v>
      </c>
      <c r="DU430" s="2472">
        <f t="shared" ref="DU430" si="1967">+DU433-DU429</f>
        <v>3883.5246819692802</v>
      </c>
      <c r="DV430" s="2141">
        <f t="shared" ref="DV430" si="1968">+DV433-DV429</f>
        <v>3218.6838576385917</v>
      </c>
      <c r="DW430" s="2141">
        <f t="shared" ref="DW430:DY430" si="1969">+DW370*DW432/1000</f>
        <v>2991.7661100151727</v>
      </c>
      <c r="DX430" s="2141">
        <f t="shared" ca="1" si="1969"/>
        <v>3024.2637561181118</v>
      </c>
      <c r="DY430" s="2472">
        <f t="shared" ca="1" si="1969"/>
        <v>3854.124931997032</v>
      </c>
    </row>
    <row r="431" spans="1:129" s="2207" customFormat="1" ht="15" customHeight="1">
      <c r="A431" s="1944" t="s">
        <v>991</v>
      </c>
      <c r="V431" s="2207">
        <f t="shared" ref="V431:AB431" si="1970">+V430/U430-1</f>
        <v>0.16593772098836612</v>
      </c>
      <c r="W431" s="2207">
        <f t="shared" si="1970"/>
        <v>0.12439511691509852</v>
      </c>
      <c r="X431" s="2207">
        <f t="shared" si="1970"/>
        <v>-7.4173255003954996E-2</v>
      </c>
      <c r="Y431" s="2207">
        <f t="shared" si="1970"/>
        <v>0.10419894811826325</v>
      </c>
      <c r="Z431" s="2207">
        <f t="shared" ca="1" si="1970"/>
        <v>0.22197808005337949</v>
      </c>
      <c r="AA431" s="2207">
        <f t="shared" ca="1" si="1970"/>
        <v>-4.7775248678827764E-2</v>
      </c>
      <c r="AB431" s="2207">
        <f t="shared" ca="1" si="1970"/>
        <v>-1.1198562903743214E-2</v>
      </c>
      <c r="AC431" s="2207">
        <f t="shared" ref="AC431" ca="1" si="1971">+AC430/AB430-1</f>
        <v>-1.2948718347464139E-2</v>
      </c>
      <c r="AD431" s="2207">
        <f t="shared" ref="AD431" ca="1" si="1972">+AD430/AC430-1</f>
        <v>-1.4466532169543633E-2</v>
      </c>
      <c r="AE431" s="2207">
        <f t="shared" ref="AE431" ca="1" si="1973">+AE430/AD430-1</f>
        <v>-1.5795663279577488E-2</v>
      </c>
      <c r="AF431" s="2207">
        <f t="shared" ref="AF431" ca="1" si="1974">+AF430/AE430-1</f>
        <v>-1.6971326487678406E-2</v>
      </c>
      <c r="AG431" s="2207">
        <f t="shared" ref="AG431" ca="1" si="1975">+AG430/AF430-1</f>
        <v>-1.8022255623111105E-2</v>
      </c>
      <c r="AH431" s="2208"/>
      <c r="AI431" s="1927"/>
      <c r="AP431" s="2208"/>
      <c r="AT431" s="2208"/>
      <c r="AX431" s="2208"/>
      <c r="BB431" s="2208"/>
      <c r="BF431" s="2208"/>
      <c r="BJ431" s="2208"/>
      <c r="BN431" s="2208"/>
      <c r="BR431" s="2208"/>
      <c r="BV431" s="2208"/>
      <c r="BZ431" s="2208"/>
      <c r="CD431" s="2208"/>
      <c r="CH431" s="2208"/>
      <c r="CL431" s="2208"/>
      <c r="CP431" s="2208"/>
      <c r="CT431" s="2208"/>
      <c r="CX431" s="2208"/>
      <c r="DB431" s="2208"/>
      <c r="DE431" s="2207">
        <f t="shared" ref="DE431:DV431" si="1976">+DE430/DA430-1</f>
        <v>-0.10035169988276682</v>
      </c>
      <c r="DF431" s="2208">
        <f t="shared" si="1976"/>
        <v>-8.1610590182018772E-2</v>
      </c>
      <c r="DG431" s="2207">
        <f t="shared" si="1976"/>
        <v>6.9096262160778465E-2</v>
      </c>
      <c r="DH431" s="2207">
        <f t="shared" si="1976"/>
        <v>0.12957380457380463</v>
      </c>
      <c r="DI431" s="2209">
        <f t="shared" si="1976"/>
        <v>0.47342648496360873</v>
      </c>
      <c r="DJ431" s="2208">
        <f t="shared" si="1976"/>
        <v>0.42021175997703364</v>
      </c>
      <c r="DK431" s="2207">
        <f t="shared" si="1976"/>
        <v>0.1716895455060361</v>
      </c>
      <c r="DL431" s="2207">
        <f t="shared" si="1976"/>
        <v>0.20069389013155559</v>
      </c>
      <c r="DM431" s="2209">
        <f t="shared" si="1976"/>
        <v>-9.8802849325002162E-2</v>
      </c>
      <c r="DN431" s="2207">
        <f t="shared" si="1976"/>
        <v>-4.0200723515606551E-2</v>
      </c>
      <c r="DO431" s="2207">
        <f t="shared" si="1976"/>
        <v>-0.12194781249183084</v>
      </c>
      <c r="DP431" s="2207">
        <f t="shared" si="1976"/>
        <v>-0.1360756630017369</v>
      </c>
      <c r="DQ431" s="2209">
        <f t="shared" si="1976"/>
        <v>-9.3790594876971278E-3</v>
      </c>
      <c r="DR431" s="2208">
        <f t="shared" si="1976"/>
        <v>-0.12067290560162836</v>
      </c>
      <c r="DS431" s="2207">
        <f t="shared" si="1976"/>
        <v>0.12328041565616088</v>
      </c>
      <c r="DT431" s="2207">
        <f t="shared" si="1976"/>
        <v>7.3020327672530305E-2</v>
      </c>
      <c r="DU431" s="2209">
        <f t="shared" si="1976"/>
        <v>0.28241099802978287</v>
      </c>
      <c r="DV431" s="2207">
        <f t="shared" si="1976"/>
        <v>0.61275973805213257</v>
      </c>
      <c r="DW431" s="2207">
        <f t="shared" ref="DW431" si="1977">+DW430/DS430-1</f>
        <v>0.23990243443915005</v>
      </c>
      <c r="DX431" s="2207">
        <f t="shared" ref="DX431" ca="1" si="1978">+DX430/DT430-1</f>
        <v>0.25021304528982502</v>
      </c>
      <c r="DY431" s="2209">
        <f t="shared" ref="DY431" ca="1" si="1979">+DY430/DU430-1</f>
        <v>-7.5703780405329546E-3</v>
      </c>
    </row>
    <row r="432" spans="1:129" s="1483" customFormat="1" ht="15" customHeight="1">
      <c r="A432" s="2928" t="s">
        <v>1606</v>
      </c>
      <c r="B432" s="2207"/>
      <c r="C432" s="2207"/>
      <c r="D432" s="2207"/>
      <c r="E432" s="2207"/>
      <c r="F432" s="2207"/>
      <c r="G432" s="2207"/>
      <c r="H432" s="2207"/>
      <c r="I432" s="2207"/>
      <c r="J432" s="2207"/>
      <c r="K432" s="2207"/>
      <c r="L432" s="2207"/>
      <c r="M432" s="2207"/>
      <c r="N432" s="2207"/>
      <c r="O432" s="2207"/>
      <c r="P432" s="2207"/>
      <c r="Q432" s="2207"/>
      <c r="R432" s="2207"/>
      <c r="S432" s="2207"/>
      <c r="T432" s="2207"/>
      <c r="U432" s="2614">
        <f t="shared" ref="U432:Z432" si="1980">+U430*1000/U370</f>
        <v>237.86309523809524</v>
      </c>
      <c r="V432" s="2614">
        <f t="shared" si="1980"/>
        <v>255.66724623446649</v>
      </c>
      <c r="W432" s="2614">
        <f t="shared" si="1980"/>
        <v>291.35655420261463</v>
      </c>
      <c r="X432" s="2614">
        <f t="shared" si="1980"/>
        <v>291.4701535013341</v>
      </c>
      <c r="Y432" s="2614">
        <f t="shared" si="1980"/>
        <v>333.78193391986741</v>
      </c>
      <c r="Z432" s="2614">
        <f t="shared" ca="1" si="1980"/>
        <v>411.04158271168609</v>
      </c>
      <c r="AA432" s="1581">
        <v>400</v>
      </c>
      <c r="AB432" s="1581">
        <f>+AA432</f>
        <v>400</v>
      </c>
      <c r="AC432" s="1581">
        <f t="shared" ref="AC432:AG432" si="1981">+AB432</f>
        <v>400</v>
      </c>
      <c r="AD432" s="1581">
        <f t="shared" si="1981"/>
        <v>400</v>
      </c>
      <c r="AE432" s="1581">
        <f t="shared" si="1981"/>
        <v>400</v>
      </c>
      <c r="AF432" s="1581">
        <f t="shared" si="1981"/>
        <v>400</v>
      </c>
      <c r="AG432" s="1581">
        <f t="shared" si="1981"/>
        <v>400</v>
      </c>
      <c r="AH432" s="2208"/>
      <c r="AI432" s="1927"/>
      <c r="AJ432" s="2207"/>
      <c r="AK432" s="2207"/>
      <c r="AL432" s="2207"/>
      <c r="AM432" s="2207"/>
      <c r="AN432" s="2207"/>
      <c r="AO432" s="2207"/>
      <c r="AP432" s="2208"/>
      <c r="AQ432" s="2207"/>
      <c r="AR432" s="2207"/>
      <c r="AS432" s="2207"/>
      <c r="AT432" s="2208"/>
      <c r="AU432" s="2207"/>
      <c r="AV432" s="2207"/>
      <c r="AW432" s="2207"/>
      <c r="AX432" s="2208"/>
      <c r="AY432" s="2207"/>
      <c r="AZ432" s="2207"/>
      <c r="BA432" s="2207"/>
      <c r="BB432" s="2208"/>
      <c r="BC432" s="2207"/>
      <c r="BD432" s="2207"/>
      <c r="BE432" s="2207"/>
      <c r="BF432" s="2208"/>
      <c r="BG432" s="2207"/>
      <c r="BH432" s="2207"/>
      <c r="BI432" s="2207"/>
      <c r="BJ432" s="2208"/>
      <c r="BK432" s="2207"/>
      <c r="BL432" s="2207"/>
      <c r="BM432" s="2207"/>
      <c r="BN432" s="2208"/>
      <c r="BO432" s="2207"/>
      <c r="BP432" s="2207"/>
      <c r="BQ432" s="2207"/>
      <c r="BR432" s="2208"/>
      <c r="BS432" s="2207"/>
      <c r="BT432" s="2207"/>
      <c r="BU432" s="2207"/>
      <c r="BV432" s="2208"/>
      <c r="BW432" s="2207"/>
      <c r="BX432" s="2207"/>
      <c r="BY432" s="2207"/>
      <c r="BZ432" s="2208"/>
      <c r="CA432" s="2207"/>
      <c r="CB432" s="2207"/>
      <c r="CC432" s="2207"/>
      <c r="CD432" s="2208"/>
      <c r="CE432" s="2207"/>
      <c r="CF432" s="2207"/>
      <c r="CG432" s="2207"/>
      <c r="CH432" s="2208"/>
      <c r="CI432" s="2207"/>
      <c r="CJ432" s="2207"/>
      <c r="CK432" s="2207"/>
      <c r="CL432" s="2208"/>
      <c r="CM432" s="2207"/>
      <c r="CN432" s="2207"/>
      <c r="CO432" s="2207"/>
      <c r="CP432" s="2208"/>
      <c r="CQ432" s="2207"/>
      <c r="CR432" s="2207"/>
      <c r="CS432" s="2207"/>
      <c r="CT432" s="2612">
        <f>+CT430*1000/CT370</f>
        <v>286.43536556060673</v>
      </c>
      <c r="CU432" s="2614">
        <f t="shared" ref="CU432:DI432" si="1982">+CU430*1000/CU370</f>
        <v>292.98107157146364</v>
      </c>
      <c r="CV432" s="2614">
        <f t="shared" si="1982"/>
        <v>321.42857142857144</v>
      </c>
      <c r="CW432" s="2614">
        <f t="shared" si="1982"/>
        <v>287.66233766233768</v>
      </c>
      <c r="CX432" s="2612">
        <f t="shared" si="1982"/>
        <v>291.74603174603175</v>
      </c>
      <c r="CY432" s="2614">
        <f t="shared" si="1982"/>
        <v>299.66101694915255</v>
      </c>
      <c r="CZ432" s="2614">
        <f t="shared" si="1982"/>
        <v>273.23529411764707</v>
      </c>
      <c r="DA432" s="2614">
        <f t="shared" si="1982"/>
        <v>261.12244897959181</v>
      </c>
      <c r="DB432" s="2612">
        <f t="shared" si="1982"/>
        <v>251.80555555555554</v>
      </c>
      <c r="DC432" s="2614">
        <f t="shared" si="1982"/>
        <v>260.39999999999998</v>
      </c>
      <c r="DD432" s="2614">
        <f t="shared" si="1982"/>
        <v>253.15789473684211</v>
      </c>
      <c r="DE432" s="2614">
        <f t="shared" si="1982"/>
        <v>261.61363636363637</v>
      </c>
      <c r="DF432" s="2612">
        <f t="shared" si="1982"/>
        <v>219.08421052631579</v>
      </c>
      <c r="DG432" s="2614">
        <f t="shared" si="1982"/>
        <v>251.55963855421689</v>
      </c>
      <c r="DH432" s="2614">
        <f t="shared" si="1982"/>
        <v>244.19101123595505</v>
      </c>
      <c r="DI432" s="2931">
        <f t="shared" si="1982"/>
        <v>291.23420183810134</v>
      </c>
      <c r="DJ432" s="2612">
        <f t="shared" ref="DJ432:DO432" si="1983">+DJ430*1000/DJ370</f>
        <v>301.83569595099499</v>
      </c>
      <c r="DK432" s="2614">
        <f t="shared" si="1983"/>
        <v>279.6502020768711</v>
      </c>
      <c r="DL432" s="2614">
        <f t="shared" si="1983"/>
        <v>296.8455818623936</v>
      </c>
      <c r="DM432" s="2931">
        <f t="shared" si="1983"/>
        <v>288.71762544743626</v>
      </c>
      <c r="DN432" s="2614">
        <f t="shared" si="1983"/>
        <v>302.37631299670932</v>
      </c>
      <c r="DO432" s="2614">
        <f t="shared" si="1983"/>
        <v>305.24985808968819</v>
      </c>
      <c r="DP432" s="2614">
        <f t="shared" ref="DP432:DQ432" si="1984">+DP430*1000/DP370</f>
        <v>278.53963774417434</v>
      </c>
      <c r="DQ432" s="2931">
        <f t="shared" si="1984"/>
        <v>284.50135016518067</v>
      </c>
      <c r="DR432" s="2612">
        <f t="shared" ref="DR432" si="1985">+DR430*1000/DR370</f>
        <v>283.07098012021567</v>
      </c>
      <c r="DS432" s="2614">
        <f t="shared" ref="DS432:DT432" si="1986">+DS430*1000/DS370</f>
        <v>316.79765791920642</v>
      </c>
      <c r="DT432" s="2614">
        <f t="shared" si="1986"/>
        <v>317.9861188071074</v>
      </c>
      <c r="DU432" s="2931">
        <f t="shared" ref="DU432" si="1987">+DU430*1000/DU370</f>
        <v>395.62426425847082</v>
      </c>
      <c r="DV432" s="2614">
        <f t="shared" ref="DV432" si="1988">+DV430*1000/DV370</f>
        <v>449.05304971687593</v>
      </c>
      <c r="DW432" s="1581">
        <v>400</v>
      </c>
      <c r="DX432" s="1581">
        <v>400</v>
      </c>
      <c r="DY432" s="1580">
        <v>400</v>
      </c>
    </row>
    <row r="433" spans="1:129" s="2216" customFormat="1" ht="15" customHeight="1">
      <c r="A433" s="1945" t="s">
        <v>1534</v>
      </c>
      <c r="U433" s="2216">
        <f>+SUM(DB433:DE433)</f>
        <v>8111</v>
      </c>
      <c r="V433" s="2216">
        <f>+SUM(DF433:DI433)</f>
        <v>10959</v>
      </c>
      <c r="W433" s="2216">
        <f>+SUM(DJ433:DM433)</f>
        <v>16924</v>
      </c>
      <c r="X433" s="2216">
        <f>+SUM(DN433:DQ433)</f>
        <v>17515</v>
      </c>
      <c r="Y433" s="2216">
        <f>+SUM(DR433:DU433)</f>
        <v>18889</v>
      </c>
      <c r="Z433" s="2216">
        <f ca="1">+SUM(DV433:DY433)</f>
        <v>21265.156640867848</v>
      </c>
      <c r="AA433" s="2216">
        <f ca="1">+AA430+AA394</f>
        <v>20689.43678256034</v>
      </c>
      <c r="AB433" s="2216">
        <f ca="1">+AB430+AB394</f>
        <v>20508.581086799473</v>
      </c>
      <c r="AC433" s="2216">
        <f t="shared" ref="AC433:AG433" ca="1" si="1989">+AC430+AC394</f>
        <v>20293.199245634241</v>
      </c>
      <c r="AD433" s="2216">
        <f t="shared" ca="1" si="1989"/>
        <v>20049.079123320953</v>
      </c>
      <c r="AE433" s="2216">
        <f t="shared" ca="1" si="1989"/>
        <v>19781.061589141056</v>
      </c>
      <c r="AF433" s="2216">
        <f t="shared" ca="1" si="1989"/>
        <v>19493.195692455978</v>
      </c>
      <c r="AG433" s="2216">
        <f t="shared" ca="1" si="1989"/>
        <v>19188.86702053226</v>
      </c>
      <c r="AH433" s="1937"/>
      <c r="AI433" s="1955"/>
      <c r="AP433" s="1937"/>
      <c r="AT433" s="1937"/>
      <c r="AX433" s="1937"/>
      <c r="BB433" s="1937"/>
      <c r="BF433" s="1937"/>
      <c r="BJ433" s="1937"/>
      <c r="BN433" s="1937"/>
      <c r="BR433" s="1937"/>
      <c r="BV433" s="1937"/>
      <c r="BZ433" s="1937"/>
      <c r="CD433" s="1937"/>
      <c r="CH433" s="1937">
        <f t="shared" ref="CH433:DN433" si="1990">CH27</f>
        <v>1963</v>
      </c>
      <c r="CI433" s="2216">
        <f t="shared" si="1990"/>
        <v>2061</v>
      </c>
      <c r="CJ433" s="2216">
        <f t="shared" si="1990"/>
        <v>2228</v>
      </c>
      <c r="CK433" s="2216">
        <f t="shared" si="1990"/>
        <v>2268</v>
      </c>
      <c r="CL433" s="1937">
        <f t="shared" si="1990"/>
        <v>1132</v>
      </c>
      <c r="CM433" s="2216">
        <f t="shared" si="1990"/>
        <v>1156</v>
      </c>
      <c r="CN433" s="2216">
        <f t="shared" si="1990"/>
        <v>1300</v>
      </c>
      <c r="CO433" s="2216">
        <f t="shared" si="1990"/>
        <v>1259</v>
      </c>
      <c r="CP433" s="1937">
        <f t="shared" si="1990"/>
        <v>992</v>
      </c>
      <c r="CQ433" s="2216">
        <f t="shared" si="1990"/>
        <v>1024</v>
      </c>
      <c r="CR433" s="2216">
        <f t="shared" si="1990"/>
        <v>1276</v>
      </c>
      <c r="CS433" s="2216">
        <f t="shared" si="1990"/>
        <v>1126</v>
      </c>
      <c r="CT433" s="1937">
        <f t="shared" si="1990"/>
        <v>1689</v>
      </c>
      <c r="CU433" s="2216">
        <f t="shared" si="1990"/>
        <v>1753</v>
      </c>
      <c r="CV433" s="2216">
        <f t="shared" si="1990"/>
        <v>1800</v>
      </c>
      <c r="CW433" s="2216">
        <f t="shared" si="1990"/>
        <v>2215</v>
      </c>
      <c r="CX433" s="1937">
        <f t="shared" si="1990"/>
        <v>1838</v>
      </c>
      <c r="CY433" s="2216">
        <f t="shared" si="1990"/>
        <v>1768</v>
      </c>
      <c r="CZ433" s="2216">
        <f t="shared" si="1990"/>
        <v>1858</v>
      </c>
      <c r="DA433" s="2216">
        <f t="shared" si="1990"/>
        <v>2559</v>
      </c>
      <c r="DB433" s="1937">
        <f t="shared" si="1990"/>
        <v>1813</v>
      </c>
      <c r="DC433" s="2216">
        <f t="shared" si="1990"/>
        <v>1953</v>
      </c>
      <c r="DD433" s="2216">
        <f t="shared" si="1990"/>
        <v>1924</v>
      </c>
      <c r="DE433" s="2216">
        <f t="shared" si="1990"/>
        <v>2421</v>
      </c>
      <c r="DF433" s="1937">
        <f t="shared" si="1990"/>
        <v>1870</v>
      </c>
      <c r="DG433" s="2216">
        <f t="shared" si="1990"/>
        <v>2387</v>
      </c>
      <c r="DH433" s="2216">
        <f t="shared" si="1990"/>
        <v>2480</v>
      </c>
      <c r="DI433" s="2219">
        <f t="shared" si="1990"/>
        <v>4222</v>
      </c>
      <c r="DJ433" s="1937">
        <f t="shared" si="1990"/>
        <v>3373</v>
      </c>
      <c r="DK433" s="2216">
        <f t="shared" si="1990"/>
        <v>3861</v>
      </c>
      <c r="DL433" s="2216">
        <f t="shared" si="1990"/>
        <v>4292</v>
      </c>
      <c r="DM433" s="2219">
        <f t="shared" si="1990"/>
        <v>5398</v>
      </c>
      <c r="DN433" s="2216">
        <f t="shared" si="1990"/>
        <v>3954</v>
      </c>
      <c r="DO433" s="2216">
        <f t="shared" ref="DO433:DP433" si="1991">DO27</f>
        <v>3704</v>
      </c>
      <c r="DP433" s="2216">
        <f t="shared" si="1991"/>
        <v>4124</v>
      </c>
      <c r="DQ433" s="2219">
        <f t="shared" ref="DQ433" si="1992">DQ27</f>
        <v>5733</v>
      </c>
      <c r="DR433" s="1937">
        <f t="shared" ref="DR433" si="1993">DR27</f>
        <v>3764</v>
      </c>
      <c r="DS433" s="2216">
        <f t="shared" ref="DS433:DT433" si="1994">DS27</f>
        <v>4298</v>
      </c>
      <c r="DT433" s="2216">
        <f t="shared" si="1994"/>
        <v>4352</v>
      </c>
      <c r="DU433" s="2219">
        <f t="shared" ref="DU433" si="1995">DU27</f>
        <v>6475</v>
      </c>
      <c r="DV433" s="2216">
        <f t="shared" ref="DV433" si="1996">DV27</f>
        <v>5040</v>
      </c>
      <c r="DW433" s="2216">
        <f t="shared" ref="DW433:DY433" si="1997">+DW430+DW394</f>
        <v>4904.6265666061236</v>
      </c>
      <c r="DX433" s="2216">
        <f t="shared" ca="1" si="1997"/>
        <v>4970.3774831801165</v>
      </c>
      <c r="DY433" s="2219">
        <f t="shared" ca="1" si="1997"/>
        <v>6350.152591081609</v>
      </c>
    </row>
    <row r="434" spans="1:129" s="2207" customFormat="1" ht="15" customHeight="1">
      <c r="A434" s="1944" t="s">
        <v>991</v>
      </c>
      <c r="V434" s="2207">
        <f t="shared" ref="V434:AB434" si="1998">+V433/U433-1</f>
        <v>0.35112809764517317</v>
      </c>
      <c r="W434" s="2207">
        <f t="shared" si="1998"/>
        <v>0.54430148736198558</v>
      </c>
      <c r="X434" s="2207">
        <f t="shared" si="1998"/>
        <v>3.4920822500590809E-2</v>
      </c>
      <c r="Y434" s="2207">
        <f t="shared" si="1998"/>
        <v>7.8447045389665959E-2</v>
      </c>
      <c r="Z434" s="2207">
        <f t="shared" ca="1" si="1998"/>
        <v>0.125795788070721</v>
      </c>
      <c r="AA434" s="2207">
        <f t="shared" ca="1" si="1998"/>
        <v>-2.7073389019908634E-2</v>
      </c>
      <c r="AB434" s="2207">
        <f t="shared" ca="1" si="1998"/>
        <v>-8.7414508989106521E-3</v>
      </c>
      <c r="AC434" s="2207">
        <f t="shared" ref="AC434" ca="1" si="1999">+AC433/AB433-1</f>
        <v>-1.0502035233625362E-2</v>
      </c>
      <c r="AD434" s="2207">
        <f t="shared" ref="AD434" ca="1" si="2000">+AD433/AC433-1</f>
        <v>-1.2029651872944913E-2</v>
      </c>
      <c r="AE434" s="2207">
        <f t="shared" ref="AE434" ca="1" si="2001">+AE433/AD433-1</f>
        <v>-1.3368072046168966E-2</v>
      </c>
      <c r="AF434" s="2207">
        <f t="shared" ref="AF434" ca="1" si="2002">+AF433/AE433-1</f>
        <v>-1.4552601001106225E-2</v>
      </c>
      <c r="AG434" s="2207">
        <f t="shared" ref="AG434" ca="1" si="2003">+AG433/AF433-1</f>
        <v>-1.5612046209616426E-2</v>
      </c>
      <c r="AH434" s="2208"/>
      <c r="AI434" s="1927"/>
      <c r="AP434" s="2208"/>
      <c r="AT434" s="2208"/>
      <c r="AX434" s="2208"/>
      <c r="BB434" s="2208"/>
      <c r="BF434" s="2208"/>
      <c r="BJ434" s="2208"/>
      <c r="BN434" s="2208"/>
      <c r="BR434" s="2208"/>
      <c r="BV434" s="2208"/>
      <c r="BZ434" s="2208"/>
      <c r="CD434" s="2208"/>
      <c r="CH434" s="2208"/>
      <c r="CL434" s="2208">
        <f t="shared" ref="CL434:DD434" si="2004">+CL433/CH433-1</f>
        <v>-0.42333163525216511</v>
      </c>
      <c r="CM434" s="2207">
        <f t="shared" si="2004"/>
        <v>-0.43910722950024261</v>
      </c>
      <c r="CN434" s="2207">
        <f t="shared" si="2004"/>
        <v>-0.41651705565529618</v>
      </c>
      <c r="CO434" s="2207">
        <f t="shared" si="2004"/>
        <v>-0.44488536155202818</v>
      </c>
      <c r="CP434" s="2208">
        <f t="shared" si="2004"/>
        <v>-0.12367491166077738</v>
      </c>
      <c r="CQ434" s="2207">
        <f t="shared" si="2004"/>
        <v>-0.11418685121107264</v>
      </c>
      <c r="CR434" s="2207">
        <f t="shared" si="2004"/>
        <v>-1.8461538461538418E-2</v>
      </c>
      <c r="CS434" s="2207">
        <f t="shared" si="2004"/>
        <v>-0.10563939634630659</v>
      </c>
      <c r="CT434" s="2208">
        <f t="shared" si="2004"/>
        <v>0.7026209677419355</v>
      </c>
      <c r="CU434" s="2207">
        <f t="shared" si="2004"/>
        <v>0.7119140625</v>
      </c>
      <c r="CV434" s="2207">
        <f t="shared" si="2004"/>
        <v>0.41065830721003138</v>
      </c>
      <c r="CW434" s="2207">
        <f t="shared" si="2004"/>
        <v>0.96714031971580816</v>
      </c>
      <c r="CX434" s="2208">
        <f t="shared" si="2004"/>
        <v>8.8217880402605031E-2</v>
      </c>
      <c r="CY434" s="2207">
        <f t="shared" si="2004"/>
        <v>8.5567598402738199E-3</v>
      </c>
      <c r="CZ434" s="2207">
        <f t="shared" si="2004"/>
        <v>3.2222222222222152E-2</v>
      </c>
      <c r="DA434" s="2207">
        <f t="shared" si="2004"/>
        <v>0.15530474040632058</v>
      </c>
      <c r="DB434" s="2208">
        <f t="shared" si="2004"/>
        <v>-1.3601741022850944E-2</v>
      </c>
      <c r="DC434" s="2207">
        <f t="shared" si="2004"/>
        <v>0.10463800904977383</v>
      </c>
      <c r="DD434" s="2207">
        <f t="shared" si="2004"/>
        <v>3.5522066738428393E-2</v>
      </c>
      <c r="DE434" s="2207">
        <f t="shared" ref="DE434:DV434" si="2005">+DE433/DA433-1</f>
        <v>-5.3927315357561567E-2</v>
      </c>
      <c r="DF434" s="2208">
        <f t="shared" si="2005"/>
        <v>3.1439602868174266E-2</v>
      </c>
      <c r="DG434" s="2207">
        <f t="shared" si="2005"/>
        <v>0.22222222222222232</v>
      </c>
      <c r="DH434" s="2207">
        <f t="shared" si="2005"/>
        <v>0.28898128898128905</v>
      </c>
      <c r="DI434" s="2209">
        <f t="shared" si="2005"/>
        <v>0.74390747624948372</v>
      </c>
      <c r="DJ434" s="2208">
        <f t="shared" si="2005"/>
        <v>0.80374331550802136</v>
      </c>
      <c r="DK434" s="2207">
        <f t="shared" si="2005"/>
        <v>0.61751152073732718</v>
      </c>
      <c r="DL434" s="2207">
        <f t="shared" si="2005"/>
        <v>0.73064516129032264</v>
      </c>
      <c r="DM434" s="2209">
        <f t="shared" si="2005"/>
        <v>0.2785409758408337</v>
      </c>
      <c r="DN434" s="2207">
        <f t="shared" si="2005"/>
        <v>0.17225022235398746</v>
      </c>
      <c r="DO434" s="2207">
        <f t="shared" si="2005"/>
        <v>-4.0663040663040717E-2</v>
      </c>
      <c r="DP434" s="2207">
        <f t="shared" si="2005"/>
        <v>-3.9142590866728777E-2</v>
      </c>
      <c r="DQ434" s="2209">
        <f t="shared" si="2005"/>
        <v>6.2060022230455703E-2</v>
      </c>
      <c r="DR434" s="2208">
        <f t="shared" si="2005"/>
        <v>-4.8052604957005585E-2</v>
      </c>
      <c r="DS434" s="2207">
        <f t="shared" si="2005"/>
        <v>0.16036717062634986</v>
      </c>
      <c r="DT434" s="2207">
        <f t="shared" si="2005"/>
        <v>5.5286129970901987E-2</v>
      </c>
      <c r="DU434" s="2209">
        <f t="shared" si="2005"/>
        <v>0.12942612942612941</v>
      </c>
      <c r="DV434" s="2207">
        <f t="shared" si="2005"/>
        <v>0.33900106269925612</v>
      </c>
      <c r="DW434" s="2207">
        <f t="shared" ref="DW434" si="2006">+DW433/DS433-1</f>
        <v>0.1411415929749007</v>
      </c>
      <c r="DX434" s="2207">
        <f t="shared" ref="DX434" ca="1" si="2007">+DX433/DT433-1</f>
        <v>0.14209041433366654</v>
      </c>
      <c r="DY434" s="2209">
        <f t="shared" ref="DY434" ca="1" si="2008">+DY433/DU433-1</f>
        <v>-1.9281453114809444E-2</v>
      </c>
    </row>
    <row r="435" spans="1:129" ht="15" hidden="1" customHeight="1">
      <c r="A435" s="1942"/>
      <c r="AH435" s="2201"/>
      <c r="AI435" s="1927"/>
      <c r="AP435" s="1942"/>
      <c r="AT435" s="1942"/>
      <c r="AX435" s="1942"/>
      <c r="BB435" s="1942"/>
      <c r="BF435" s="1942"/>
      <c r="BJ435" s="1942"/>
      <c r="BN435" s="1942"/>
      <c r="BR435" s="1942"/>
      <c r="BV435" s="1942"/>
      <c r="BZ435" s="1942"/>
      <c r="CD435" s="1942"/>
      <c r="CH435" s="1942"/>
      <c r="CL435" s="1942" t="s">
        <v>824</v>
      </c>
      <c r="CP435" s="1942"/>
      <c r="CT435" s="1942"/>
      <c r="CX435" s="1942"/>
      <c r="DB435" s="1942"/>
      <c r="DF435" s="1942"/>
      <c r="DI435" s="2236"/>
      <c r="DJ435" s="1942"/>
      <c r="DM435" s="2236"/>
      <c r="DQ435" s="2236"/>
      <c r="DR435" s="1942"/>
      <c r="DU435" s="2236"/>
      <c r="DY435" s="2236"/>
    </row>
    <row r="436" spans="1:129" ht="15" hidden="1" customHeight="1">
      <c r="A436" s="1933" t="s">
        <v>1448</v>
      </c>
      <c r="B436" s="2205"/>
      <c r="C436" s="2205"/>
      <c r="D436" s="2205"/>
      <c r="E436" s="1992">
        <f>E12</f>
        <v>333</v>
      </c>
      <c r="F436" s="1992">
        <f>F12</f>
        <v>420</v>
      </c>
      <c r="G436" s="1992">
        <f>G12</f>
        <v>1175</v>
      </c>
      <c r="H436" s="1992">
        <f>H12</f>
        <v>1341</v>
      </c>
      <c r="I436" s="1992">
        <f>I12</f>
        <v>1382</v>
      </c>
      <c r="J436" s="1992">
        <f>SUM(BJ436:BM436)</f>
        <v>1726</v>
      </c>
      <c r="K436" s="1992">
        <f>SUM(BN436:BQ436)</f>
        <v>2153</v>
      </c>
      <c r="L436" s="1992">
        <f>SUM(BR436:BU436)</f>
        <v>3262</v>
      </c>
      <c r="M436" s="1992">
        <f>SUM(BV436:BY436)</f>
        <v>4170</v>
      </c>
      <c r="N436" s="1992">
        <f>SUM(BZ436:CC436)</f>
        <v>5247</v>
      </c>
      <c r="O436" s="1992">
        <f>SUM(CD436:CG436)</f>
        <v>5866</v>
      </c>
      <c r="P436" s="1992">
        <f>SUM(CH436:CK436)</f>
        <v>6697</v>
      </c>
      <c r="Q436" s="1992">
        <f>SUM(CL436:CO436)</f>
        <v>4847</v>
      </c>
      <c r="R436" s="1992"/>
      <c r="S436" s="1992"/>
      <c r="T436" s="1992"/>
      <c r="U436" s="1992"/>
      <c r="V436" s="1992"/>
      <c r="W436" s="1992"/>
      <c r="X436" s="1992"/>
      <c r="Y436" s="1992"/>
      <c r="Z436" s="1992"/>
      <c r="AA436" s="1992"/>
      <c r="AB436" s="1992"/>
      <c r="AC436" s="1992"/>
      <c r="AD436" s="1992"/>
      <c r="AE436" s="1992"/>
      <c r="AF436" s="1992"/>
      <c r="AG436" s="1992"/>
      <c r="AH436" s="2201"/>
      <c r="AI436" s="1927"/>
      <c r="AK436" s="1992"/>
      <c r="AL436" s="1992"/>
      <c r="AN436" s="1992"/>
      <c r="AO436" s="1992"/>
      <c r="AP436" s="1993"/>
      <c r="AQ436" s="1992"/>
      <c r="AR436" s="1992"/>
      <c r="AS436" s="1992"/>
      <c r="AT436" s="1993"/>
      <c r="AU436" s="1992"/>
      <c r="AV436" s="1992"/>
      <c r="AW436" s="1992"/>
      <c r="AX436" s="1993">
        <f t="shared" ref="AX436:CK436" si="2009">AX12</f>
        <v>242</v>
      </c>
      <c r="AY436" s="1992">
        <f t="shared" si="2009"/>
        <v>262</v>
      </c>
      <c r="AZ436" s="1992">
        <f t="shared" si="2009"/>
        <v>298</v>
      </c>
      <c r="BA436" s="1992">
        <f t="shared" si="2009"/>
        <v>373</v>
      </c>
      <c r="BB436" s="1993">
        <f t="shared" si="2009"/>
        <v>320</v>
      </c>
      <c r="BC436" s="1992">
        <f t="shared" si="2009"/>
        <v>326</v>
      </c>
      <c r="BD436" s="1992">
        <f t="shared" si="2009"/>
        <v>341</v>
      </c>
      <c r="BE436" s="1992">
        <f t="shared" si="2009"/>
        <v>354</v>
      </c>
      <c r="BF436" s="1993">
        <f t="shared" si="2009"/>
        <v>315</v>
      </c>
      <c r="BG436" s="1992">
        <f t="shared" si="2009"/>
        <v>317</v>
      </c>
      <c r="BH436" s="1992">
        <f t="shared" si="2009"/>
        <v>338</v>
      </c>
      <c r="BI436" s="1992">
        <f t="shared" si="2009"/>
        <v>412</v>
      </c>
      <c r="BJ436" s="1993">
        <f t="shared" si="2009"/>
        <v>378</v>
      </c>
      <c r="BK436" s="1992">
        <f t="shared" si="2009"/>
        <v>422</v>
      </c>
      <c r="BL436" s="1992">
        <f t="shared" si="2009"/>
        <v>416</v>
      </c>
      <c r="BM436" s="1992">
        <f t="shared" si="2009"/>
        <v>510</v>
      </c>
      <c r="BN436" s="1993">
        <f t="shared" si="2009"/>
        <v>426</v>
      </c>
      <c r="BO436" s="1992">
        <f t="shared" si="2009"/>
        <v>466</v>
      </c>
      <c r="BP436" s="1992">
        <f t="shared" si="2009"/>
        <v>643</v>
      </c>
      <c r="BQ436" s="1992">
        <f t="shared" si="2009"/>
        <v>618</v>
      </c>
      <c r="BR436" s="1993">
        <f t="shared" si="2009"/>
        <v>661</v>
      </c>
      <c r="BS436" s="1992">
        <f t="shared" si="2009"/>
        <v>804</v>
      </c>
      <c r="BT436" s="1992">
        <f t="shared" si="2009"/>
        <v>922</v>
      </c>
      <c r="BU436" s="1992">
        <f t="shared" si="2009"/>
        <v>875</v>
      </c>
      <c r="BV436" s="1993">
        <f t="shared" si="2009"/>
        <v>861</v>
      </c>
      <c r="BW436" s="1992">
        <f t="shared" si="2009"/>
        <v>972</v>
      </c>
      <c r="BX436" s="1992">
        <f t="shared" si="2009"/>
        <v>1081</v>
      </c>
      <c r="BY436" s="1992">
        <f t="shared" si="2009"/>
        <v>1256</v>
      </c>
      <c r="BZ436" s="1993">
        <f t="shared" si="2009"/>
        <v>1204</v>
      </c>
      <c r="CA436" s="1992">
        <f t="shared" si="2009"/>
        <v>1226</v>
      </c>
      <c r="CB436" s="1992">
        <f t="shared" si="2009"/>
        <v>1400</v>
      </c>
      <c r="CC436" s="1992">
        <f t="shared" si="2009"/>
        <v>1417</v>
      </c>
      <c r="CD436" s="1993">
        <f t="shared" si="2009"/>
        <v>1316</v>
      </c>
      <c r="CE436" s="1992">
        <f t="shared" si="2009"/>
        <v>1441</v>
      </c>
      <c r="CF436" s="1992">
        <f t="shared" si="2009"/>
        <v>1540</v>
      </c>
      <c r="CG436" s="1992">
        <f t="shared" si="2009"/>
        <v>1569</v>
      </c>
      <c r="CH436" s="1993">
        <f t="shared" si="2009"/>
        <v>1524</v>
      </c>
      <c r="CI436" s="1992">
        <f t="shared" si="2009"/>
        <v>1626</v>
      </c>
      <c r="CJ436" s="1992">
        <f t="shared" si="2009"/>
        <v>1764</v>
      </c>
      <c r="CK436" s="1992">
        <f t="shared" si="2009"/>
        <v>1783</v>
      </c>
      <c r="CL436" s="1993">
        <f t="shared" ref="CL436:CQ436" si="2010">CL27</f>
        <v>1132</v>
      </c>
      <c r="CM436" s="1992">
        <f t="shared" si="2010"/>
        <v>1156</v>
      </c>
      <c r="CN436" s="1992">
        <f t="shared" si="2010"/>
        <v>1300</v>
      </c>
      <c r="CO436" s="1992">
        <f t="shared" si="2010"/>
        <v>1259</v>
      </c>
      <c r="CP436" s="1993">
        <f t="shared" si="2010"/>
        <v>992</v>
      </c>
      <c r="CQ436" s="1992">
        <f t="shared" si="2010"/>
        <v>1024</v>
      </c>
      <c r="CR436" s="1992"/>
      <c r="CS436" s="1992"/>
      <c r="CT436" s="1993"/>
      <c r="CU436" s="1992"/>
      <c r="CV436" s="1992"/>
      <c r="CW436" s="1992"/>
      <c r="CX436" s="1993"/>
      <c r="CY436" s="1992"/>
      <c r="CZ436" s="1992"/>
      <c r="DA436" s="1992"/>
      <c r="DB436" s="1993"/>
      <c r="DC436" s="1992"/>
      <c r="DD436" s="1992"/>
      <c r="DE436" s="1992"/>
      <c r="DF436" s="1993"/>
      <c r="DG436" s="1992"/>
      <c r="DH436" s="1992"/>
      <c r="DI436" s="1998"/>
      <c r="DJ436" s="1993"/>
      <c r="DK436" s="1992"/>
      <c r="DL436" s="1992"/>
      <c r="DM436" s="1998"/>
      <c r="DN436" s="1992"/>
      <c r="DO436" s="1992"/>
      <c r="DP436" s="1992"/>
      <c r="DQ436" s="1998"/>
      <c r="DR436" s="1993"/>
      <c r="DS436" s="1992"/>
      <c r="DT436" s="1992"/>
      <c r="DU436" s="1998"/>
      <c r="DV436" s="1992"/>
      <c r="DW436" s="1992"/>
      <c r="DX436" s="1992"/>
      <c r="DY436" s="1998"/>
    </row>
    <row r="437" spans="1:129" s="2207" customFormat="1" ht="15" hidden="1" customHeight="1">
      <c r="A437" s="2206" t="s">
        <v>1453</v>
      </c>
      <c r="H437" s="2207">
        <f t="shared" ref="H437:Q437" si="2011">H436/G436-1</f>
        <v>0.14127659574468088</v>
      </c>
      <c r="I437" s="2207">
        <f t="shared" si="2011"/>
        <v>3.0574198359433202E-2</v>
      </c>
      <c r="J437" s="2207">
        <f t="shared" si="2011"/>
        <v>0.24891461649782931</v>
      </c>
      <c r="K437" s="2207">
        <f t="shared" si="2011"/>
        <v>0.2473928157589802</v>
      </c>
      <c r="L437" s="2207">
        <f t="shared" si="2011"/>
        <v>0.51509521597770558</v>
      </c>
      <c r="M437" s="2207">
        <f t="shared" si="2011"/>
        <v>0.27835683629675056</v>
      </c>
      <c r="N437" s="2207">
        <f t="shared" si="2011"/>
        <v>0.25827338129496402</v>
      </c>
      <c r="O437" s="2207">
        <f t="shared" si="2011"/>
        <v>0.11797217457594811</v>
      </c>
      <c r="P437" s="2207">
        <f t="shared" si="2011"/>
        <v>0.14166382543470846</v>
      </c>
      <c r="Q437" s="2207">
        <f t="shared" si="2011"/>
        <v>-0.27624309392265189</v>
      </c>
      <c r="AH437" s="2208"/>
      <c r="AI437" s="1927"/>
      <c r="AP437" s="2208"/>
      <c r="AT437" s="2208"/>
      <c r="AX437" s="2208"/>
      <c r="BB437" s="2208">
        <f t="shared" ref="BB437:CQ437" si="2012">BB436/AX436-1</f>
        <v>0.3223140495867769</v>
      </c>
      <c r="BC437" s="2207">
        <f t="shared" si="2012"/>
        <v>0.24427480916030531</v>
      </c>
      <c r="BD437" s="2207">
        <f t="shared" si="2012"/>
        <v>0.14429530201342278</v>
      </c>
      <c r="BE437" s="2207">
        <f t="shared" si="2012"/>
        <v>-5.0938337801608613E-2</v>
      </c>
      <c r="BF437" s="2208">
        <f t="shared" si="2012"/>
        <v>-1.5625E-2</v>
      </c>
      <c r="BG437" s="2207">
        <f t="shared" si="2012"/>
        <v>-2.7607361963190136E-2</v>
      </c>
      <c r="BH437" s="2207">
        <f t="shared" si="2012"/>
        <v>-8.7976539589442737E-3</v>
      </c>
      <c r="BI437" s="2207">
        <f t="shared" si="2012"/>
        <v>0.16384180790960445</v>
      </c>
      <c r="BJ437" s="2208">
        <f t="shared" si="2012"/>
        <v>0.19999999999999996</v>
      </c>
      <c r="BK437" s="2207">
        <f t="shared" si="2012"/>
        <v>0.33123028391167186</v>
      </c>
      <c r="BL437" s="2207">
        <f t="shared" si="2012"/>
        <v>0.23076923076923084</v>
      </c>
      <c r="BM437" s="2207">
        <f t="shared" si="2012"/>
        <v>0.23786407766990281</v>
      </c>
      <c r="BN437" s="2208">
        <f t="shared" si="2012"/>
        <v>0.12698412698412698</v>
      </c>
      <c r="BO437" s="2207">
        <f t="shared" si="2012"/>
        <v>0.10426540284360186</v>
      </c>
      <c r="BP437" s="2207">
        <f t="shared" si="2012"/>
        <v>0.54567307692307687</v>
      </c>
      <c r="BQ437" s="2207">
        <f t="shared" si="2012"/>
        <v>0.21176470588235285</v>
      </c>
      <c r="BR437" s="2208">
        <f t="shared" si="2012"/>
        <v>0.55164319248826299</v>
      </c>
      <c r="BS437" s="2207">
        <f t="shared" si="2012"/>
        <v>0.72532188841201717</v>
      </c>
      <c r="BT437" s="2207">
        <f t="shared" si="2012"/>
        <v>0.43390357698289272</v>
      </c>
      <c r="BU437" s="2207">
        <f t="shared" si="2012"/>
        <v>0.41585760517799342</v>
      </c>
      <c r="BV437" s="2208">
        <f t="shared" si="2012"/>
        <v>0.30257186081694409</v>
      </c>
      <c r="BW437" s="2207">
        <f t="shared" si="2012"/>
        <v>0.20895522388059695</v>
      </c>
      <c r="BX437" s="2207">
        <f t="shared" si="2012"/>
        <v>0.17245119305856837</v>
      </c>
      <c r="BY437" s="2207">
        <f t="shared" si="2012"/>
        <v>0.4354285714285715</v>
      </c>
      <c r="BZ437" s="2208">
        <f t="shared" si="2012"/>
        <v>0.39837398373983746</v>
      </c>
      <c r="CA437" s="2207">
        <f t="shared" si="2012"/>
        <v>0.26131687242798352</v>
      </c>
      <c r="CB437" s="2207">
        <f t="shared" si="2012"/>
        <v>0.2950971322849214</v>
      </c>
      <c r="CC437" s="2207">
        <f t="shared" si="2012"/>
        <v>0.12818471337579629</v>
      </c>
      <c r="CD437" s="2208">
        <f t="shared" si="2012"/>
        <v>9.3023255813953432E-2</v>
      </c>
      <c r="CE437" s="2207">
        <f t="shared" si="2012"/>
        <v>0.17536704730831976</v>
      </c>
      <c r="CF437" s="2207">
        <f t="shared" si="2012"/>
        <v>0.10000000000000009</v>
      </c>
      <c r="CG437" s="2207">
        <f t="shared" si="2012"/>
        <v>0.10726887791107975</v>
      </c>
      <c r="CH437" s="2208">
        <f t="shared" si="2012"/>
        <v>0.15805471124620052</v>
      </c>
      <c r="CI437" s="2207">
        <f t="shared" si="2012"/>
        <v>0.12838306731436511</v>
      </c>
      <c r="CJ437" s="2207">
        <f t="shared" si="2012"/>
        <v>0.1454545454545455</v>
      </c>
      <c r="CK437" s="2207">
        <f t="shared" si="2012"/>
        <v>0.13639260675589537</v>
      </c>
      <c r="CL437" s="2208">
        <f t="shared" si="2012"/>
        <v>-0.2572178477690289</v>
      </c>
      <c r="CM437" s="2207">
        <f t="shared" si="2012"/>
        <v>-0.28905289052890526</v>
      </c>
      <c r="CN437" s="2207">
        <f t="shared" si="2012"/>
        <v>-0.2630385487528345</v>
      </c>
      <c r="CO437" s="2207">
        <f t="shared" si="2012"/>
        <v>-0.29388670779584969</v>
      </c>
      <c r="CP437" s="2208">
        <f t="shared" si="2012"/>
        <v>-0.12367491166077738</v>
      </c>
      <c r="CQ437" s="2207">
        <f t="shared" si="2012"/>
        <v>-0.11418685121107264</v>
      </c>
      <c r="CT437" s="2208"/>
      <c r="CX437" s="2208"/>
      <c r="DB437" s="2208"/>
      <c r="DF437" s="2208"/>
      <c r="DI437" s="2209"/>
      <c r="DJ437" s="2208"/>
      <c r="DM437" s="2209"/>
      <c r="DQ437" s="2209"/>
      <c r="DR437" s="2208"/>
      <c r="DU437" s="2209"/>
      <c r="DY437" s="2209"/>
    </row>
    <row r="438" spans="1:129" s="2207" customFormat="1" ht="15" hidden="1" customHeight="1">
      <c r="A438" s="2206" t="s">
        <v>949</v>
      </c>
      <c r="AH438" s="2208"/>
      <c r="AI438" s="1927"/>
      <c r="AP438" s="2208"/>
      <c r="AT438" s="2208"/>
      <c r="AX438" s="2208"/>
      <c r="AY438" s="2207">
        <f t="shared" ref="AY438:CQ438" si="2013">AY436/AX436-1</f>
        <v>8.2644628099173501E-2</v>
      </c>
      <c r="AZ438" s="2207">
        <f t="shared" si="2013"/>
        <v>0.13740458015267176</v>
      </c>
      <c r="BA438" s="2207">
        <f t="shared" si="2013"/>
        <v>0.25167785234899331</v>
      </c>
      <c r="BB438" s="2208">
        <f t="shared" si="2013"/>
        <v>-0.14209115281501339</v>
      </c>
      <c r="BC438" s="2207">
        <f t="shared" si="2013"/>
        <v>1.8750000000000044E-2</v>
      </c>
      <c r="BD438" s="2207">
        <f t="shared" si="2013"/>
        <v>4.6012269938650263E-2</v>
      </c>
      <c r="BE438" s="2207">
        <f t="shared" si="2013"/>
        <v>3.8123167155425186E-2</v>
      </c>
      <c r="BF438" s="2208">
        <f t="shared" si="2013"/>
        <v>-0.11016949152542377</v>
      </c>
      <c r="BG438" s="2207">
        <f t="shared" si="2013"/>
        <v>6.3492063492063266E-3</v>
      </c>
      <c r="BH438" s="2207">
        <f t="shared" si="2013"/>
        <v>6.6246056782334417E-2</v>
      </c>
      <c r="BI438" s="2207">
        <f t="shared" si="2013"/>
        <v>0.21893491124260356</v>
      </c>
      <c r="BJ438" s="2208">
        <f t="shared" si="2013"/>
        <v>-8.2524271844660158E-2</v>
      </c>
      <c r="BK438" s="2207">
        <f t="shared" si="2013"/>
        <v>0.11640211640211651</v>
      </c>
      <c r="BL438" s="2207">
        <f t="shared" si="2013"/>
        <v>-1.4218009478673022E-2</v>
      </c>
      <c r="BM438" s="2207">
        <f t="shared" si="2013"/>
        <v>0.22596153846153855</v>
      </c>
      <c r="BN438" s="2208">
        <f t="shared" si="2013"/>
        <v>-0.16470588235294115</v>
      </c>
      <c r="BO438" s="2207">
        <f t="shared" si="2013"/>
        <v>9.3896713615023497E-2</v>
      </c>
      <c r="BP438" s="2207">
        <f t="shared" si="2013"/>
        <v>0.37982832618025753</v>
      </c>
      <c r="BQ438" s="2207">
        <f t="shared" si="2013"/>
        <v>-3.8880248833592534E-2</v>
      </c>
      <c r="BR438" s="2208">
        <f t="shared" si="2013"/>
        <v>6.9579288025889863E-2</v>
      </c>
      <c r="BS438" s="2207">
        <f t="shared" si="2013"/>
        <v>0.21633888048411487</v>
      </c>
      <c r="BT438" s="2207">
        <f t="shared" si="2013"/>
        <v>0.1467661691542288</v>
      </c>
      <c r="BU438" s="2207">
        <f t="shared" si="2013"/>
        <v>-5.0976138828633388E-2</v>
      </c>
      <c r="BV438" s="2208">
        <f t="shared" si="2013"/>
        <v>-1.6000000000000014E-2</v>
      </c>
      <c r="BW438" s="2207">
        <f t="shared" si="2013"/>
        <v>0.12891986062717775</v>
      </c>
      <c r="BX438" s="2207">
        <f t="shared" si="2013"/>
        <v>0.11213991769547316</v>
      </c>
      <c r="BY438" s="2207">
        <f t="shared" si="2013"/>
        <v>0.16188714153561512</v>
      </c>
      <c r="BZ438" s="2208">
        <f t="shared" si="2013"/>
        <v>-4.1401273885350309E-2</v>
      </c>
      <c r="CA438" s="2207">
        <f t="shared" si="2013"/>
        <v>1.8272425249169499E-2</v>
      </c>
      <c r="CB438" s="2207">
        <f t="shared" si="2013"/>
        <v>0.1419249592169658</v>
      </c>
      <c r="CC438" s="2207">
        <f t="shared" si="2013"/>
        <v>1.2142857142857233E-2</v>
      </c>
      <c r="CD438" s="2208">
        <f t="shared" si="2013"/>
        <v>-7.1277346506704253E-2</v>
      </c>
      <c r="CE438" s="2207">
        <f t="shared" si="2013"/>
        <v>9.4984802431610893E-2</v>
      </c>
      <c r="CF438" s="2207">
        <f t="shared" si="2013"/>
        <v>6.8702290076335881E-2</v>
      </c>
      <c r="CG438" s="2207">
        <f t="shared" si="2013"/>
        <v>1.8831168831168865E-2</v>
      </c>
      <c r="CH438" s="2208">
        <f t="shared" si="2013"/>
        <v>-2.8680688336520044E-2</v>
      </c>
      <c r="CI438" s="2207">
        <f t="shared" si="2013"/>
        <v>6.692913385826782E-2</v>
      </c>
      <c r="CJ438" s="2207">
        <f t="shared" si="2013"/>
        <v>8.4870848708487046E-2</v>
      </c>
      <c r="CK438" s="2207">
        <f t="shared" si="2013"/>
        <v>1.0770975056689336E-2</v>
      </c>
      <c r="CL438" s="2208">
        <f t="shared" si="2013"/>
        <v>-0.36511497476163768</v>
      </c>
      <c r="CM438" s="2207">
        <f t="shared" si="2013"/>
        <v>2.1201413427561766E-2</v>
      </c>
      <c r="CN438" s="2207">
        <f t="shared" si="2013"/>
        <v>0.12456747404844282</v>
      </c>
      <c r="CO438" s="2207">
        <f t="shared" si="2013"/>
        <v>-3.1538461538461515E-2</v>
      </c>
      <c r="CP438" s="2208">
        <f t="shared" si="2013"/>
        <v>-0.21207307386814933</v>
      </c>
      <c r="CQ438" s="2207">
        <f t="shared" si="2013"/>
        <v>3.2258064516129004E-2</v>
      </c>
      <c r="CT438" s="2208"/>
      <c r="CX438" s="2208"/>
      <c r="DB438" s="2208"/>
      <c r="DF438" s="2208"/>
      <c r="DI438" s="2209"/>
      <c r="DJ438" s="2208"/>
      <c r="DM438" s="2209"/>
      <c r="DQ438" s="2209"/>
      <c r="DR438" s="2208"/>
      <c r="DU438" s="2209"/>
      <c r="DY438" s="2209"/>
    </row>
    <row r="439" spans="1:129" ht="15" hidden="1" customHeight="1">
      <c r="A439" s="2211" t="s">
        <v>1493</v>
      </c>
      <c r="B439" s="2759"/>
      <c r="D439" s="2200"/>
      <c r="E439" s="2200"/>
      <c r="F439" s="2200"/>
      <c r="G439" s="2277"/>
      <c r="H439" s="2200">
        <f t="shared" ref="H439:Q439" si="2014">H436-G436</f>
        <v>166</v>
      </c>
      <c r="I439" s="2200">
        <f t="shared" si="2014"/>
        <v>41</v>
      </c>
      <c r="J439" s="2200">
        <f t="shared" si="2014"/>
        <v>344</v>
      </c>
      <c r="K439" s="2200">
        <f t="shared" si="2014"/>
        <v>427</v>
      </c>
      <c r="L439" s="2200">
        <f t="shared" si="2014"/>
        <v>1109</v>
      </c>
      <c r="M439" s="2200">
        <f t="shared" si="2014"/>
        <v>908</v>
      </c>
      <c r="N439" s="2200">
        <f t="shared" si="2014"/>
        <v>1077</v>
      </c>
      <c r="O439" s="2200">
        <f t="shared" si="2014"/>
        <v>619</v>
      </c>
      <c r="P439" s="2200">
        <f t="shared" si="2014"/>
        <v>831</v>
      </c>
      <c r="Q439" s="2200">
        <f t="shared" si="2014"/>
        <v>-1850</v>
      </c>
      <c r="R439" s="2200"/>
      <c r="S439" s="2200"/>
      <c r="T439" s="2200"/>
      <c r="U439" s="2200"/>
      <c r="V439" s="2200"/>
      <c r="W439" s="2200"/>
      <c r="X439" s="2200"/>
      <c r="Y439" s="2200"/>
      <c r="Z439" s="2200"/>
      <c r="AA439" s="2200"/>
      <c r="AB439" s="2200"/>
      <c r="AC439" s="2200"/>
      <c r="AD439" s="2200"/>
      <c r="AE439" s="2200"/>
      <c r="AF439" s="2200"/>
      <c r="AG439" s="2200"/>
      <c r="AH439" s="2201"/>
      <c r="AI439" s="1927"/>
      <c r="AK439" s="2200"/>
      <c r="AL439" s="2200"/>
      <c r="AN439" s="2200"/>
      <c r="AO439" s="2200"/>
      <c r="AP439" s="2202"/>
      <c r="AQ439" s="2200"/>
      <c r="AR439" s="2200"/>
      <c r="AS439" s="2200"/>
      <c r="AT439" s="2202"/>
      <c r="AU439" s="2200"/>
      <c r="AV439" s="2200"/>
      <c r="AW439" s="2200"/>
      <c r="AX439" s="2202"/>
      <c r="AY439" s="2200">
        <f t="shared" ref="AY439:CQ439" si="2015">AY436-AX436</f>
        <v>20</v>
      </c>
      <c r="AZ439" s="2200">
        <f t="shared" si="2015"/>
        <v>36</v>
      </c>
      <c r="BA439" s="2200">
        <f t="shared" si="2015"/>
        <v>75</v>
      </c>
      <c r="BB439" s="2202">
        <f t="shared" si="2015"/>
        <v>-53</v>
      </c>
      <c r="BC439" s="2200">
        <f t="shared" si="2015"/>
        <v>6</v>
      </c>
      <c r="BD439" s="2200">
        <f t="shared" si="2015"/>
        <v>15</v>
      </c>
      <c r="BE439" s="2200">
        <f t="shared" si="2015"/>
        <v>13</v>
      </c>
      <c r="BF439" s="2202">
        <f t="shared" si="2015"/>
        <v>-39</v>
      </c>
      <c r="BG439" s="2200">
        <f t="shared" si="2015"/>
        <v>2</v>
      </c>
      <c r="BH439" s="2200">
        <f t="shared" si="2015"/>
        <v>21</v>
      </c>
      <c r="BI439" s="2200">
        <f t="shared" si="2015"/>
        <v>74</v>
      </c>
      <c r="BJ439" s="2202">
        <f t="shared" si="2015"/>
        <v>-34</v>
      </c>
      <c r="BK439" s="2200">
        <f t="shared" si="2015"/>
        <v>44</v>
      </c>
      <c r="BL439" s="2200">
        <f t="shared" si="2015"/>
        <v>-6</v>
      </c>
      <c r="BM439" s="2200">
        <f t="shared" si="2015"/>
        <v>94</v>
      </c>
      <c r="BN439" s="2202">
        <f t="shared" si="2015"/>
        <v>-84</v>
      </c>
      <c r="BO439" s="2200">
        <f t="shared" si="2015"/>
        <v>40</v>
      </c>
      <c r="BP439" s="2200">
        <f t="shared" si="2015"/>
        <v>177</v>
      </c>
      <c r="BQ439" s="2200">
        <f t="shared" si="2015"/>
        <v>-25</v>
      </c>
      <c r="BR439" s="2202">
        <f t="shared" si="2015"/>
        <v>43</v>
      </c>
      <c r="BS439" s="2200">
        <f t="shared" si="2015"/>
        <v>143</v>
      </c>
      <c r="BT439" s="2200">
        <f t="shared" si="2015"/>
        <v>118</v>
      </c>
      <c r="BU439" s="2200">
        <f t="shared" si="2015"/>
        <v>-47</v>
      </c>
      <c r="BV439" s="2202">
        <f t="shared" si="2015"/>
        <v>-14</v>
      </c>
      <c r="BW439" s="2200">
        <f t="shared" si="2015"/>
        <v>111</v>
      </c>
      <c r="BX439" s="2200">
        <f t="shared" si="2015"/>
        <v>109</v>
      </c>
      <c r="BY439" s="2200">
        <f t="shared" si="2015"/>
        <v>175</v>
      </c>
      <c r="BZ439" s="2202">
        <f t="shared" si="2015"/>
        <v>-52</v>
      </c>
      <c r="CA439" s="2200">
        <f t="shared" si="2015"/>
        <v>22</v>
      </c>
      <c r="CB439" s="2200">
        <f t="shared" si="2015"/>
        <v>174</v>
      </c>
      <c r="CC439" s="2200">
        <f t="shared" si="2015"/>
        <v>17</v>
      </c>
      <c r="CD439" s="2202">
        <f t="shared" si="2015"/>
        <v>-101</v>
      </c>
      <c r="CE439" s="2200">
        <f t="shared" si="2015"/>
        <v>125</v>
      </c>
      <c r="CF439" s="2200">
        <f t="shared" si="2015"/>
        <v>99</v>
      </c>
      <c r="CG439" s="2200">
        <f t="shared" si="2015"/>
        <v>29</v>
      </c>
      <c r="CH439" s="2202">
        <f t="shared" si="2015"/>
        <v>-45</v>
      </c>
      <c r="CI439" s="2200">
        <f t="shared" si="2015"/>
        <v>102</v>
      </c>
      <c r="CJ439" s="2200">
        <f t="shared" si="2015"/>
        <v>138</v>
      </c>
      <c r="CK439" s="2200">
        <f t="shared" si="2015"/>
        <v>19</v>
      </c>
      <c r="CL439" s="2202">
        <f t="shared" si="2015"/>
        <v>-651</v>
      </c>
      <c r="CM439" s="2200">
        <f t="shared" si="2015"/>
        <v>24</v>
      </c>
      <c r="CN439" s="2200">
        <f t="shared" si="2015"/>
        <v>144</v>
      </c>
      <c r="CO439" s="2200">
        <f t="shared" si="2015"/>
        <v>-41</v>
      </c>
      <c r="CP439" s="2202">
        <f t="shared" si="2015"/>
        <v>-267</v>
      </c>
      <c r="CQ439" s="2200">
        <f t="shared" si="2015"/>
        <v>32</v>
      </c>
      <c r="CR439" s="2200"/>
      <c r="CS439" s="2200"/>
      <c r="CT439" s="2202"/>
      <c r="CU439" s="2200"/>
      <c r="CV439" s="2200"/>
      <c r="CW439" s="2200"/>
      <c r="CX439" s="2202"/>
      <c r="CY439" s="2200"/>
      <c r="CZ439" s="2200"/>
      <c r="DA439" s="2200"/>
      <c r="DB439" s="2202"/>
      <c r="DC439" s="2200"/>
      <c r="DD439" s="2200"/>
      <c r="DE439" s="2200"/>
      <c r="DF439" s="2202"/>
      <c r="DG439" s="2200"/>
      <c r="DH439" s="2200"/>
      <c r="DI439" s="2203"/>
      <c r="DJ439" s="2202"/>
      <c r="DK439" s="2200"/>
      <c r="DL439" s="2200"/>
      <c r="DM439" s="2203"/>
      <c r="DN439" s="2200"/>
      <c r="DO439" s="2200"/>
      <c r="DP439" s="2200"/>
      <c r="DQ439" s="2203"/>
      <c r="DR439" s="2202"/>
      <c r="DS439" s="2200"/>
      <c r="DT439" s="2200"/>
      <c r="DU439" s="2203"/>
      <c r="DV439" s="2200"/>
      <c r="DW439" s="2200"/>
      <c r="DX439" s="2200"/>
      <c r="DY439" s="2203"/>
    </row>
    <row r="440" spans="1:129" ht="15" hidden="1" customHeight="1">
      <c r="A440" s="2204" t="s">
        <v>825</v>
      </c>
      <c r="B440" s="2210"/>
      <c r="C440" s="2210"/>
      <c r="D440" s="2210"/>
      <c r="E440" s="2210"/>
      <c r="F440" s="2200"/>
      <c r="G440" s="1903">
        <f t="shared" ref="G440:Q440" si="2016">G436/(G143/1000)</f>
        <v>139.20115360438581</v>
      </c>
      <c r="H440" s="1903">
        <f t="shared" si="2016"/>
        <v>122.03369840913922</v>
      </c>
      <c r="I440" s="1903">
        <f t="shared" si="2016"/>
        <v>123.65383297355616</v>
      </c>
      <c r="J440" s="1903">
        <f t="shared" si="2016"/>
        <v>154.13492154813795</v>
      </c>
      <c r="K440" s="1903">
        <f t="shared" si="2016"/>
        <v>169.18684738462318</v>
      </c>
      <c r="L440" s="1903">
        <f t="shared" si="2016"/>
        <v>242.40143580122071</v>
      </c>
      <c r="M440" s="1903">
        <f t="shared" si="2016"/>
        <v>285.05359417719586</v>
      </c>
      <c r="N440" s="1903">
        <f t="shared" si="2016"/>
        <v>340.1680211544184</v>
      </c>
      <c r="O440" s="1903">
        <f t="shared" si="2016"/>
        <v>373.29162326565557</v>
      </c>
      <c r="P440" s="1903">
        <f t="shared" si="2016"/>
        <v>415.72440147666896</v>
      </c>
      <c r="Q440" s="1903">
        <f t="shared" si="2016"/>
        <v>233.88621341622368</v>
      </c>
      <c r="S440" s="2200"/>
      <c r="T440" s="2200"/>
      <c r="U440" s="2200"/>
      <c r="V440" s="2200"/>
      <c r="W440" s="2200"/>
      <c r="X440" s="2200"/>
      <c r="Y440" s="2200"/>
      <c r="Z440" s="2200"/>
      <c r="AA440" s="2200"/>
      <c r="AB440" s="2200"/>
      <c r="AC440" s="2200"/>
      <c r="AD440" s="2200"/>
      <c r="AE440" s="2200"/>
      <c r="AF440" s="2200"/>
      <c r="AG440" s="2200"/>
      <c r="AH440" s="2201"/>
      <c r="AI440" s="1927"/>
      <c r="AK440" s="2200"/>
      <c r="AL440" s="2200"/>
      <c r="AN440" s="2200"/>
      <c r="AP440" s="2202"/>
      <c r="AQ440" s="2200"/>
      <c r="AR440" s="2200"/>
      <c r="AS440" s="2200"/>
      <c r="AT440" s="2202"/>
      <c r="AU440" s="2200"/>
      <c r="AV440" s="2200"/>
      <c r="AW440" s="2200"/>
      <c r="AX440" s="1942">
        <f t="shared" ref="AX440:CQ440" si="2017">AX436/(AX143/1000)</f>
        <v>118.53213139139822</v>
      </c>
      <c r="AY440" s="1903">
        <f t="shared" si="2017"/>
        <v>137.09095095074144</v>
      </c>
      <c r="AZ440" s="1903">
        <f t="shared" si="2017"/>
        <v>148.46363799184496</v>
      </c>
      <c r="BA440" s="1903">
        <f t="shared" si="2017"/>
        <v>138.71245094859978</v>
      </c>
      <c r="BB440" s="1942">
        <f t="shared" si="2017"/>
        <v>130.35934776329839</v>
      </c>
      <c r="BC440" s="1903">
        <f t="shared" si="2017"/>
        <v>136.38763541493216</v>
      </c>
      <c r="BD440" s="1903">
        <f t="shared" si="2017"/>
        <v>121.67420856457976</v>
      </c>
      <c r="BE440" s="1903">
        <f t="shared" si="2017"/>
        <v>105.94986296851762</v>
      </c>
      <c r="BF440" s="1942">
        <f t="shared" si="2017"/>
        <v>113.24287324851022</v>
      </c>
      <c r="BG440" s="1903">
        <f t="shared" si="2017"/>
        <v>117.09108800152477</v>
      </c>
      <c r="BH440" s="1903">
        <f t="shared" si="2017"/>
        <v>128.99798335697025</v>
      </c>
      <c r="BI440" s="1903">
        <f t="shared" si="2017"/>
        <v>134.32271357963509</v>
      </c>
      <c r="BJ440" s="1942">
        <f t="shared" si="2017"/>
        <v>152.03326391285358</v>
      </c>
      <c r="BK440" s="1903">
        <f t="shared" si="2017"/>
        <v>151.29572057186198</v>
      </c>
      <c r="BL440" s="1903">
        <f t="shared" si="2017"/>
        <v>141.68618825326135</v>
      </c>
      <c r="BM440" s="1903">
        <f t="shared" si="2017"/>
        <v>170.77543432211192</v>
      </c>
      <c r="BN440" s="1942">
        <f t="shared" si="2017"/>
        <v>146.58455408273252</v>
      </c>
      <c r="BO440" s="1903">
        <f t="shared" si="2017"/>
        <v>153.9200141104356</v>
      </c>
      <c r="BP440" s="1903">
        <f t="shared" si="2017"/>
        <v>187.99067063405923</v>
      </c>
      <c r="BQ440" s="1903">
        <f t="shared" si="2017"/>
        <v>183.30261482069861</v>
      </c>
      <c r="BR440" s="1942">
        <f t="shared" si="2017"/>
        <v>205.19385697398351</v>
      </c>
      <c r="BS440" s="1903">
        <f t="shared" si="2017"/>
        <v>251.13910638833539</v>
      </c>
      <c r="BT440" s="1903">
        <f t="shared" si="2017"/>
        <v>261.06814246618785</v>
      </c>
      <c r="BU440" s="1903">
        <f t="shared" si="2017"/>
        <v>249.813425059113</v>
      </c>
      <c r="BV440" s="1942">
        <f t="shared" si="2017"/>
        <v>254.98071208620425</v>
      </c>
      <c r="BW440" s="1903">
        <f t="shared" si="2017"/>
        <v>270.61263694196583</v>
      </c>
      <c r="BX440" s="1903">
        <f t="shared" si="2017"/>
        <v>284.25316359834528</v>
      </c>
      <c r="BY440" s="1903">
        <f t="shared" si="2017"/>
        <v>325.61602611564967</v>
      </c>
      <c r="BZ440" s="1942">
        <f t="shared" si="2017"/>
        <v>343.11769734967226</v>
      </c>
      <c r="CA440" s="1903">
        <f t="shared" si="2017"/>
        <v>336.52268175913252</v>
      </c>
      <c r="CB440" s="1903">
        <f t="shared" si="2017"/>
        <v>351.10376490573412</v>
      </c>
      <c r="CC440" s="1903">
        <f t="shared" si="2017"/>
        <v>330.67587698941384</v>
      </c>
      <c r="CD440" s="1942">
        <f t="shared" si="2017"/>
        <v>357.8031538879826</v>
      </c>
      <c r="CE440" s="1903">
        <f t="shared" si="2017"/>
        <v>393.89309888903557</v>
      </c>
      <c r="CF440" s="1903">
        <f t="shared" si="2017"/>
        <v>381.13201976347716</v>
      </c>
      <c r="CG440" s="1903">
        <f t="shared" si="2017"/>
        <v>361.745119322861</v>
      </c>
      <c r="CH440" s="1942">
        <f t="shared" si="2017"/>
        <v>396.56546722743553</v>
      </c>
      <c r="CI440" s="1903">
        <f t="shared" si="2017"/>
        <v>434.82548896741304</v>
      </c>
      <c r="CJ440" s="1903">
        <f t="shared" si="2017"/>
        <v>413.71492656366564</v>
      </c>
      <c r="CK440" s="2200">
        <f t="shared" si="2017"/>
        <v>418.25045109120435</v>
      </c>
      <c r="CL440" s="2202">
        <f t="shared" si="2017"/>
        <v>229.81878423426892</v>
      </c>
      <c r="CM440" s="2200">
        <f t="shared" si="2017"/>
        <v>253.07803976609105</v>
      </c>
      <c r="CN440" s="2200">
        <f t="shared" si="2017"/>
        <v>253.1140869496343</v>
      </c>
      <c r="CO440" s="2200">
        <f t="shared" si="2017"/>
        <v>206.58486890376912</v>
      </c>
      <c r="CP440" s="2202">
        <f t="shared" si="2017"/>
        <v>181.21748041353246</v>
      </c>
      <c r="CQ440" s="2200">
        <f t="shared" si="2017"/>
        <v>192.1234543290513</v>
      </c>
      <c r="CR440" s="2200"/>
      <c r="CS440" s="2200"/>
      <c r="CT440" s="2202"/>
      <c r="CU440" s="2200"/>
      <c r="CV440" s="2200"/>
      <c r="CW440" s="2200"/>
      <c r="CX440" s="2202"/>
      <c r="CY440" s="2200"/>
      <c r="CZ440" s="2200"/>
      <c r="DA440" s="2200"/>
      <c r="DB440" s="2202"/>
      <c r="DC440" s="2200"/>
      <c r="DD440" s="2200"/>
      <c r="DE440" s="2200"/>
      <c r="DF440" s="2202"/>
      <c r="DG440" s="2200"/>
      <c r="DH440" s="2200"/>
      <c r="DI440" s="2203"/>
      <c r="DJ440" s="2202"/>
      <c r="DK440" s="2200"/>
      <c r="DL440" s="2200"/>
      <c r="DM440" s="2203"/>
      <c r="DN440" s="2200"/>
      <c r="DO440" s="2200"/>
      <c r="DP440" s="2200"/>
      <c r="DQ440" s="2203"/>
      <c r="DR440" s="2202"/>
      <c r="DS440" s="2200"/>
      <c r="DT440" s="2200"/>
      <c r="DU440" s="2203"/>
      <c r="DV440" s="2200"/>
      <c r="DW440" s="2200"/>
      <c r="DX440" s="2200"/>
      <c r="DY440" s="2203"/>
    </row>
    <row r="441" spans="1:129" s="2207" customFormat="1" ht="15" hidden="1" customHeight="1">
      <c r="A441" s="2227" t="s">
        <v>1453</v>
      </c>
      <c r="H441" s="2207">
        <f t="shared" ref="H441:Q441" si="2018">H440/G440-1</f>
        <v>-0.12332839743582191</v>
      </c>
      <c r="I441" s="2207">
        <f t="shared" si="2018"/>
        <v>1.3276124427411551E-2</v>
      </c>
      <c r="J441" s="2207">
        <f t="shared" si="2018"/>
        <v>0.24650338644253988</v>
      </c>
      <c r="K441" s="2207">
        <f t="shared" si="2018"/>
        <v>9.7654221932985896E-2</v>
      </c>
      <c r="L441" s="2207">
        <f t="shared" si="2018"/>
        <v>0.43274397240912088</v>
      </c>
      <c r="M441" s="2207">
        <f t="shared" si="2018"/>
        <v>0.17595670683630638</v>
      </c>
      <c r="N441" s="2207">
        <f t="shared" si="2018"/>
        <v>0.19334759534013157</v>
      </c>
      <c r="O441" s="2207">
        <f t="shared" si="2018"/>
        <v>9.7374238762440335E-2</v>
      </c>
      <c r="P441" s="2207">
        <f t="shared" si="2018"/>
        <v>0.11367192716461205</v>
      </c>
      <c r="Q441" s="2207">
        <f t="shared" si="2018"/>
        <v>-0.43740080547244542</v>
      </c>
      <c r="AH441" s="2208"/>
      <c r="AI441" s="1927"/>
      <c r="AP441" s="2208"/>
      <c r="AT441" s="2208"/>
      <c r="AX441" s="2208"/>
      <c r="BB441" s="2208">
        <f t="shared" ref="BB441:CQ441" si="2019">BB440/AX440-1</f>
        <v>9.9780677467497636E-2</v>
      </c>
      <c r="BC441" s="2207">
        <f t="shared" si="2019"/>
        <v>-5.1302841721624359E-3</v>
      </c>
      <c r="BD441" s="2207">
        <f t="shared" si="2019"/>
        <v>-0.18044438213710445</v>
      </c>
      <c r="BE441" s="2207">
        <f t="shared" si="2019"/>
        <v>-0.23619067903444668</v>
      </c>
      <c r="BF441" s="2208">
        <f t="shared" si="2019"/>
        <v>-0.13130224113937439</v>
      </c>
      <c r="BG441" s="2207">
        <f t="shared" si="2019"/>
        <v>-0.14148311432118832</v>
      </c>
      <c r="BH441" s="2207">
        <f t="shared" si="2019"/>
        <v>6.0191678078623578E-2</v>
      </c>
      <c r="BI441" s="2207">
        <f t="shared" si="2019"/>
        <v>0.26779506661134889</v>
      </c>
      <c r="BJ441" s="2208">
        <f t="shared" si="2019"/>
        <v>0.34254156179186901</v>
      </c>
      <c r="BK441" s="2207">
        <f t="shared" si="2019"/>
        <v>0.29211986287027925</v>
      </c>
      <c r="BL441" s="2207">
        <f t="shared" si="2019"/>
        <v>9.8359715137403381E-2</v>
      </c>
      <c r="BM441" s="2207">
        <f t="shared" si="2019"/>
        <v>0.27138165817998705</v>
      </c>
      <c r="BN441" s="2208">
        <f t="shared" si="2019"/>
        <v>-3.5838932151350034E-2</v>
      </c>
      <c r="BO441" s="2207">
        <f t="shared" si="2019"/>
        <v>1.7345457813706888E-2</v>
      </c>
      <c r="BP441" s="2207">
        <f t="shared" si="2019"/>
        <v>0.32681013549485494</v>
      </c>
      <c r="BQ441" s="2207">
        <f t="shared" si="2019"/>
        <v>7.3354698515702532E-2</v>
      </c>
      <c r="BR441" s="2208">
        <f t="shared" si="2019"/>
        <v>0.39983273311437584</v>
      </c>
      <c r="BS441" s="2207">
        <f t="shared" si="2019"/>
        <v>0.63162086386079963</v>
      </c>
      <c r="BT441" s="2207">
        <f t="shared" si="2019"/>
        <v>0.38872924696556077</v>
      </c>
      <c r="BU441" s="2207">
        <f t="shared" si="2019"/>
        <v>0.36284703468891255</v>
      </c>
      <c r="BV441" s="2208">
        <f t="shared" si="2019"/>
        <v>0.24263326322938217</v>
      </c>
      <c r="BW441" s="2207">
        <f t="shared" si="2019"/>
        <v>7.7540813271504527E-2</v>
      </c>
      <c r="BX441" s="2207">
        <f t="shared" si="2019"/>
        <v>8.8808312317004479E-2</v>
      </c>
      <c r="BY441" s="2207">
        <f t="shared" si="2019"/>
        <v>0.30343685908233153</v>
      </c>
      <c r="BZ441" s="2208">
        <f t="shared" si="2019"/>
        <v>0.34566138176628258</v>
      </c>
      <c r="CA441" s="2207">
        <f t="shared" si="2019"/>
        <v>0.24355863629273689</v>
      </c>
      <c r="CB441" s="2207">
        <f t="shared" si="2019"/>
        <v>0.23517979698495073</v>
      </c>
      <c r="CC441" s="2207">
        <f t="shared" si="2019"/>
        <v>1.5539317686922072E-2</v>
      </c>
      <c r="CD441" s="2208">
        <f t="shared" si="2019"/>
        <v>4.2800055641969204E-2</v>
      </c>
      <c r="CE441" s="2207">
        <f t="shared" si="2019"/>
        <v>0.17048009016808607</v>
      </c>
      <c r="CF441" s="2207">
        <f t="shared" si="2019"/>
        <v>8.5525300094133616E-2</v>
      </c>
      <c r="CG441" s="2207">
        <f t="shared" si="2019"/>
        <v>9.3956785164712286E-2</v>
      </c>
      <c r="CH441" s="2208">
        <f t="shared" si="2019"/>
        <v>0.10833418576178411</v>
      </c>
      <c r="CI441" s="2207">
        <f t="shared" si="2019"/>
        <v>0.10391751009049432</v>
      </c>
      <c r="CJ441" s="2207">
        <f t="shared" si="2019"/>
        <v>8.5489817466422258E-2</v>
      </c>
      <c r="CK441" s="2207">
        <f t="shared" si="2019"/>
        <v>0.15620205705639889</v>
      </c>
      <c r="CL441" s="2208">
        <f t="shared" si="2019"/>
        <v>-0.42047706311637867</v>
      </c>
      <c r="CM441" s="2207">
        <f t="shared" si="2019"/>
        <v>-0.41797791024836317</v>
      </c>
      <c r="CN441" s="2207">
        <f t="shared" si="2019"/>
        <v>-0.38819203587356388</v>
      </c>
      <c r="CO441" s="2207">
        <f t="shared" si="2019"/>
        <v>-0.50607376904246082</v>
      </c>
      <c r="CP441" s="2208">
        <f t="shared" si="2019"/>
        <v>-0.21147663792004945</v>
      </c>
      <c r="CQ441" s="2207">
        <f t="shared" si="2019"/>
        <v>-0.2408529222581991</v>
      </c>
      <c r="CT441" s="2208"/>
      <c r="CX441" s="2208"/>
      <c r="DB441" s="2208"/>
      <c r="DF441" s="2208"/>
      <c r="DI441" s="2209"/>
      <c r="DJ441" s="2208"/>
      <c r="DM441" s="2209"/>
      <c r="DQ441" s="2209"/>
      <c r="DR441" s="2208"/>
      <c r="DU441" s="2209"/>
      <c r="DY441" s="2209"/>
    </row>
    <row r="442" spans="1:129" s="2207" customFormat="1" ht="15" hidden="1" customHeight="1">
      <c r="A442" s="2227" t="s">
        <v>949</v>
      </c>
      <c r="AH442" s="2208"/>
      <c r="AI442" s="1927"/>
      <c r="AP442" s="2208"/>
      <c r="AT442" s="2208"/>
      <c r="AX442" s="2208"/>
      <c r="BB442" s="2208"/>
      <c r="BF442" s="2208"/>
      <c r="BJ442" s="2208"/>
      <c r="BN442" s="2208">
        <f t="shared" ref="BN442:CQ442" si="2020">BN440/BM440-1</f>
        <v>-0.14165316185787724</v>
      </c>
      <c r="BO442" s="2207">
        <f t="shared" si="2020"/>
        <v>5.0042516918685331E-2</v>
      </c>
      <c r="BP442" s="2207">
        <f t="shared" si="2020"/>
        <v>0.22135299766265848</v>
      </c>
      <c r="BQ442" s="2207">
        <f t="shared" si="2020"/>
        <v>-2.4937704608152256E-2</v>
      </c>
      <c r="BR442" s="2208">
        <f t="shared" si="2020"/>
        <v>0.11942678599919754</v>
      </c>
      <c r="BS442" s="2207">
        <f t="shared" si="2020"/>
        <v>0.22391142742727066</v>
      </c>
      <c r="BT442" s="2207">
        <f t="shared" si="2020"/>
        <v>3.9536001464061998E-2</v>
      </c>
      <c r="BU442" s="2207">
        <f t="shared" si="2020"/>
        <v>-4.3110267307059469E-2</v>
      </c>
      <c r="BV442" s="2208">
        <f t="shared" si="2020"/>
        <v>2.068458500926651E-2</v>
      </c>
      <c r="BW442" s="2207">
        <f t="shared" si="2020"/>
        <v>6.130630324099462E-2</v>
      </c>
      <c r="BX442" s="2207">
        <f t="shared" si="2020"/>
        <v>5.0406096369050024E-2</v>
      </c>
      <c r="BY442" s="2207">
        <f t="shared" si="2020"/>
        <v>0.14551416770070102</v>
      </c>
      <c r="BZ442" s="2208">
        <f t="shared" si="2020"/>
        <v>5.3749415969490677E-2</v>
      </c>
      <c r="CA442" s="2207">
        <f t="shared" si="2020"/>
        <v>-1.9220855238541446E-2</v>
      </c>
      <c r="CB442" s="2207">
        <f t="shared" si="2020"/>
        <v>4.3328678680381039E-2</v>
      </c>
      <c r="CC442" s="2207">
        <f t="shared" si="2020"/>
        <v>-5.8181910757365007E-2</v>
      </c>
      <c r="CD442" s="2208">
        <f t="shared" si="2020"/>
        <v>8.2035850771894125E-2</v>
      </c>
      <c r="CE442" s="2207">
        <f t="shared" si="2020"/>
        <v>0.10086536300446269</v>
      </c>
      <c r="CF442" s="2207">
        <f t="shared" si="2020"/>
        <v>-3.2397315823888939E-2</v>
      </c>
      <c r="CG442" s="2207">
        <f t="shared" si="2020"/>
        <v>-5.0866627402880726E-2</v>
      </c>
      <c r="CH442" s="2208">
        <f t="shared" si="2020"/>
        <v>9.6256579687249433E-2</v>
      </c>
      <c r="CI442" s="2207">
        <f t="shared" si="2020"/>
        <v>9.6478450348867373E-2</v>
      </c>
      <c r="CJ442" s="2207">
        <f t="shared" si="2020"/>
        <v>-4.8549505351857314E-2</v>
      </c>
      <c r="CK442" s="2207">
        <f t="shared" si="2020"/>
        <v>1.0962922138707976E-2</v>
      </c>
      <c r="CL442" s="2208">
        <f t="shared" si="2020"/>
        <v>-0.4505235233227417</v>
      </c>
      <c r="CM442" s="2207">
        <f t="shared" si="2020"/>
        <v>0.10120693836806871</v>
      </c>
      <c r="CN442" s="2207">
        <f t="shared" si="2020"/>
        <v>1.4243505116673383E-4</v>
      </c>
      <c r="CO442" s="2207">
        <f t="shared" si="2020"/>
        <v>-0.18382705840913449</v>
      </c>
      <c r="CP442" s="2208">
        <f t="shared" si="2020"/>
        <v>-0.12279402951846019</v>
      </c>
      <c r="CQ442" s="2207">
        <f t="shared" si="2020"/>
        <v>6.0181688271085942E-2</v>
      </c>
      <c r="CT442" s="2208"/>
      <c r="CX442" s="2208"/>
      <c r="DB442" s="2208"/>
      <c r="DF442" s="2208"/>
      <c r="DI442" s="2209"/>
      <c r="DJ442" s="2208"/>
      <c r="DM442" s="2209"/>
      <c r="DQ442" s="2209"/>
      <c r="DR442" s="2208"/>
      <c r="DU442" s="2209"/>
      <c r="DY442" s="2209"/>
    </row>
    <row r="443" spans="1:129" ht="15" hidden="1" customHeight="1">
      <c r="A443" s="1942"/>
      <c r="AH443" s="2201"/>
      <c r="AI443" s="1927"/>
      <c r="AP443" s="1942"/>
      <c r="AT443" s="1942"/>
      <c r="AX443" s="1942"/>
      <c r="BB443" s="1942"/>
      <c r="BF443" s="1942"/>
      <c r="BJ443" s="1942"/>
      <c r="BN443" s="1942"/>
      <c r="BR443" s="1942"/>
      <c r="BV443" s="1942"/>
      <c r="BZ443" s="1942"/>
      <c r="CD443" s="1942"/>
      <c r="CH443" s="1942"/>
      <c r="CL443" s="1942"/>
      <c r="CP443" s="1942"/>
      <c r="CT443" s="1942"/>
      <c r="CX443" s="1942"/>
      <c r="DB443" s="1942"/>
      <c r="DF443" s="1942"/>
      <c r="DI443" s="2236"/>
      <c r="DJ443" s="1942"/>
      <c r="DM443" s="2236"/>
      <c r="DQ443" s="2236"/>
      <c r="DR443" s="1942"/>
      <c r="DU443" s="2236"/>
      <c r="DY443" s="2236"/>
    </row>
    <row r="444" spans="1:129" ht="15" hidden="1" customHeight="1">
      <c r="A444" s="1937" t="s">
        <v>826</v>
      </c>
      <c r="B444" s="2216"/>
      <c r="C444" s="2216"/>
      <c r="D444" s="2216"/>
      <c r="E444" s="2216"/>
      <c r="F444" s="2216"/>
      <c r="G444" s="2216"/>
      <c r="H444" s="2216"/>
      <c r="I444" s="2216"/>
      <c r="J444" s="2216"/>
      <c r="K444" s="2216"/>
      <c r="L444" s="2216"/>
      <c r="M444" s="2216"/>
      <c r="N444" s="2216"/>
      <c r="O444" s="2216"/>
      <c r="P444" s="2216">
        <f>P27</f>
        <v>8520</v>
      </c>
      <c r="Q444" s="2216">
        <f>Q27</f>
        <v>4847</v>
      </c>
      <c r="R444" s="2216">
        <f>+SUM(CP444:CS444)</f>
        <v>4418</v>
      </c>
      <c r="S444" s="2216">
        <f>+SUM(CT444:CW444)</f>
        <v>7457</v>
      </c>
      <c r="T444" s="2216">
        <f>+SUM(CX444:DA444)</f>
        <v>8023</v>
      </c>
      <c r="U444" s="2216">
        <f>+SUM(DB444:DE444)</f>
        <v>8111</v>
      </c>
      <c r="V444" s="2216">
        <f>+SUM(DF444:DI444)</f>
        <v>10959</v>
      </c>
      <c r="W444" s="2216">
        <f>+SUM(DG444:DJ444)</f>
        <v>12462</v>
      </c>
      <c r="X444" s="2216">
        <f>+SUM(DH444:DK444)</f>
        <v>13936</v>
      </c>
      <c r="Y444" s="2216">
        <f>+SUM(DI444:DL444)</f>
        <v>15748</v>
      </c>
      <c r="Z444" s="2216">
        <f>+SUM(DJ444:DM444)</f>
        <v>16924</v>
      </c>
      <c r="AA444" s="2216">
        <f>Z444*(1+AA445)</f>
        <v>17093.240000000002</v>
      </c>
      <c r="AB444" s="2216">
        <f>AA444*(1+AB445)</f>
        <v>17264.172400000003</v>
      </c>
      <c r="AC444" s="2216">
        <f t="shared" ref="AC444:AG444" si="2021">AB444*(1+AC445)</f>
        <v>17436.814124000004</v>
      </c>
      <c r="AD444" s="2216">
        <f t="shared" si="2021"/>
        <v>17611.182265240004</v>
      </c>
      <c r="AE444" s="2216">
        <f t="shared" si="2021"/>
        <v>17787.294087892406</v>
      </c>
      <c r="AF444" s="2216">
        <f t="shared" si="2021"/>
        <v>17965.167028771331</v>
      </c>
      <c r="AG444" s="2216">
        <f t="shared" si="2021"/>
        <v>18144.818699059044</v>
      </c>
      <c r="AH444" s="2201"/>
      <c r="AI444" s="1955"/>
      <c r="AK444" s="2216"/>
      <c r="AL444" s="2216"/>
      <c r="AM444" s="2216"/>
      <c r="AN444" s="2216"/>
      <c r="AO444" s="2216"/>
      <c r="AP444" s="1937"/>
      <c r="AQ444" s="2216"/>
      <c r="AR444" s="2216"/>
      <c r="AS444" s="2216"/>
      <c r="AT444" s="1937"/>
      <c r="AU444" s="2216"/>
      <c r="AV444" s="2216"/>
      <c r="AW444" s="2216"/>
      <c r="AX444" s="1937"/>
      <c r="AY444" s="2216"/>
      <c r="AZ444" s="2216"/>
      <c r="BA444" s="2216"/>
      <c r="BB444" s="1937"/>
      <c r="BC444" s="2216"/>
      <c r="BD444" s="2216"/>
      <c r="BE444" s="2216"/>
      <c r="BF444" s="1937"/>
      <c r="BG444" s="2216"/>
      <c r="BH444" s="2216"/>
      <c r="BI444" s="2216"/>
      <c r="BJ444" s="1937"/>
      <c r="BK444" s="2216"/>
      <c r="BL444" s="2216"/>
      <c r="BM444" s="2216"/>
      <c r="BN444" s="1936"/>
      <c r="BO444" s="2141"/>
      <c r="BP444" s="2141"/>
      <c r="BQ444" s="2141"/>
      <c r="BR444" s="1936"/>
      <c r="BS444" s="2141"/>
      <c r="BT444" s="2141"/>
      <c r="BU444" s="2141"/>
      <c r="BV444" s="1936"/>
      <c r="BW444" s="2141"/>
      <c r="BX444" s="2141"/>
      <c r="BY444" s="2141"/>
      <c r="BZ444" s="1936"/>
      <c r="CA444" s="2141"/>
      <c r="CB444" s="2141"/>
      <c r="CC444" s="2141"/>
      <c r="CD444" s="1937"/>
      <c r="CE444" s="2216"/>
      <c r="CF444" s="2216"/>
      <c r="CG444" s="2216"/>
      <c r="CH444" s="1937">
        <f t="shared" ref="CH444:DN444" si="2022">CH27</f>
        <v>1963</v>
      </c>
      <c r="CI444" s="2216">
        <f t="shared" si="2022"/>
        <v>2061</v>
      </c>
      <c r="CJ444" s="2216">
        <f t="shared" si="2022"/>
        <v>2228</v>
      </c>
      <c r="CK444" s="2216">
        <f t="shared" si="2022"/>
        <v>2268</v>
      </c>
      <c r="CL444" s="1937">
        <f t="shared" si="2022"/>
        <v>1132</v>
      </c>
      <c r="CM444" s="2216">
        <f t="shared" si="2022"/>
        <v>1156</v>
      </c>
      <c r="CN444" s="2216">
        <f t="shared" si="2022"/>
        <v>1300</v>
      </c>
      <c r="CO444" s="2216">
        <f t="shared" si="2022"/>
        <v>1259</v>
      </c>
      <c r="CP444" s="1937">
        <f t="shared" si="2022"/>
        <v>992</v>
      </c>
      <c r="CQ444" s="2216">
        <f t="shared" si="2022"/>
        <v>1024</v>
      </c>
      <c r="CR444" s="2216">
        <f t="shared" si="2022"/>
        <v>1276</v>
      </c>
      <c r="CS444" s="2216">
        <f t="shared" si="2022"/>
        <v>1126</v>
      </c>
      <c r="CT444" s="1937">
        <f t="shared" si="2022"/>
        <v>1689</v>
      </c>
      <c r="CU444" s="2216">
        <f t="shared" si="2022"/>
        <v>1753</v>
      </c>
      <c r="CV444" s="2216">
        <f t="shared" si="2022"/>
        <v>1800</v>
      </c>
      <c r="CW444" s="2216">
        <f t="shared" si="2022"/>
        <v>2215</v>
      </c>
      <c r="CX444" s="1937">
        <f t="shared" si="2022"/>
        <v>1838</v>
      </c>
      <c r="CY444" s="2216">
        <f t="shared" si="2022"/>
        <v>1768</v>
      </c>
      <c r="CZ444" s="2216">
        <f t="shared" si="2022"/>
        <v>1858</v>
      </c>
      <c r="DA444" s="2216">
        <f t="shared" si="2022"/>
        <v>2559</v>
      </c>
      <c r="DB444" s="1937">
        <f t="shared" si="2022"/>
        <v>1813</v>
      </c>
      <c r="DC444" s="2216">
        <f t="shared" si="2022"/>
        <v>1953</v>
      </c>
      <c r="DD444" s="2216">
        <f t="shared" si="2022"/>
        <v>1924</v>
      </c>
      <c r="DE444" s="2216">
        <f t="shared" si="2022"/>
        <v>2421</v>
      </c>
      <c r="DF444" s="1937">
        <f t="shared" si="2022"/>
        <v>1870</v>
      </c>
      <c r="DG444" s="2216">
        <f t="shared" si="2022"/>
        <v>2387</v>
      </c>
      <c r="DH444" s="2216">
        <f t="shared" si="2022"/>
        <v>2480</v>
      </c>
      <c r="DI444" s="2219">
        <f t="shared" si="2022"/>
        <v>4222</v>
      </c>
      <c r="DJ444" s="1937">
        <f t="shared" si="2022"/>
        <v>3373</v>
      </c>
      <c r="DK444" s="2216">
        <f t="shared" si="2022"/>
        <v>3861</v>
      </c>
      <c r="DL444" s="2216">
        <f t="shared" si="2022"/>
        <v>4292</v>
      </c>
      <c r="DM444" s="2219">
        <f t="shared" si="2022"/>
        <v>5398</v>
      </c>
      <c r="DN444" s="2216">
        <f t="shared" si="2022"/>
        <v>3954</v>
      </c>
      <c r="DO444" s="2216">
        <f t="shared" ref="DO444:DP444" si="2023">DO27</f>
        <v>3704</v>
      </c>
      <c r="DP444" s="2216">
        <f t="shared" si="2023"/>
        <v>4124</v>
      </c>
      <c r="DQ444" s="2219">
        <f t="shared" ref="DQ444" si="2024">DQ27</f>
        <v>5733</v>
      </c>
      <c r="DR444" s="1937">
        <f t="shared" ref="DR444" si="2025">DR27</f>
        <v>3764</v>
      </c>
      <c r="DS444" s="2216">
        <f t="shared" ref="DS444:DT444" si="2026">DS27</f>
        <v>4298</v>
      </c>
      <c r="DT444" s="2216">
        <f t="shared" si="2026"/>
        <v>4352</v>
      </c>
      <c r="DU444" s="2219">
        <f t="shared" ref="DU444" si="2027">DU27</f>
        <v>6475</v>
      </c>
      <c r="DV444" s="2216">
        <f t="shared" ref="DV444" si="2028">DV27</f>
        <v>5040</v>
      </c>
      <c r="DW444" s="2216">
        <f t="shared" ref="DW444" si="2029">DS444*(1+DW445)</f>
        <v>4727.8</v>
      </c>
      <c r="DX444" s="2216">
        <f t="shared" ref="DX444" si="2030">DT444*(1+DX445)</f>
        <v>4787.2000000000007</v>
      </c>
      <c r="DY444" s="2219">
        <f t="shared" ref="DY444" si="2031">DU444*(1+DY445)</f>
        <v>7122.5000000000009</v>
      </c>
    </row>
    <row r="445" spans="1:129" ht="15" hidden="1" customHeight="1">
      <c r="A445" s="2206" t="s">
        <v>1453</v>
      </c>
      <c r="B445" s="2207"/>
      <c r="C445" s="2207"/>
      <c r="D445" s="2207"/>
      <c r="E445" s="2207"/>
      <c r="F445" s="2207"/>
      <c r="G445" s="2207"/>
      <c r="H445" s="2207"/>
      <c r="I445" s="2207"/>
      <c r="J445" s="2207"/>
      <c r="K445" s="2207"/>
      <c r="L445" s="2207"/>
      <c r="M445" s="2207"/>
      <c r="N445" s="2207"/>
      <c r="O445" s="2207"/>
      <c r="P445" s="2207"/>
      <c r="Q445" s="2207">
        <f t="shared" ref="Q445:Z445" si="2032">Q444/P444-1</f>
        <v>-0.43110328638497653</v>
      </c>
      <c r="R445" s="2207">
        <f t="shared" si="2032"/>
        <v>-8.850835568392823E-2</v>
      </c>
      <c r="S445" s="2207">
        <f t="shared" si="2032"/>
        <v>0.68786781349026715</v>
      </c>
      <c r="T445" s="2207">
        <f t="shared" si="2032"/>
        <v>7.5901837199946254E-2</v>
      </c>
      <c r="U445" s="2207">
        <f t="shared" si="2032"/>
        <v>1.0968465661223892E-2</v>
      </c>
      <c r="V445" s="2207">
        <f t="shared" si="2032"/>
        <v>0.35112809764517317</v>
      </c>
      <c r="W445" s="2207">
        <f t="shared" si="2032"/>
        <v>0.13714754995893785</v>
      </c>
      <c r="X445" s="2207">
        <f t="shared" si="2032"/>
        <v>0.11827956989247301</v>
      </c>
      <c r="Y445" s="2207">
        <f t="shared" si="2032"/>
        <v>0.13002296211251441</v>
      </c>
      <c r="Z445" s="2207">
        <f t="shared" si="2032"/>
        <v>7.4676149352298715E-2</v>
      </c>
      <c r="AA445" s="2222">
        <v>0.01</v>
      </c>
      <c r="AB445" s="2222">
        <v>0.01</v>
      </c>
      <c r="AC445" s="2222">
        <v>0.01</v>
      </c>
      <c r="AD445" s="2222">
        <v>0.01</v>
      </c>
      <c r="AE445" s="2222">
        <v>0.01</v>
      </c>
      <c r="AF445" s="2222">
        <v>0.01</v>
      </c>
      <c r="AG445" s="2222">
        <v>0.01</v>
      </c>
      <c r="AH445" s="2201"/>
      <c r="AI445" s="1927"/>
      <c r="AK445" s="2207"/>
      <c r="AL445" s="2207"/>
      <c r="AM445" s="2207"/>
      <c r="AN445" s="2207"/>
      <c r="AO445" s="2207"/>
      <c r="AP445" s="2208"/>
      <c r="AQ445" s="2207"/>
      <c r="AR445" s="2207"/>
      <c r="AS445" s="2207"/>
      <c r="AT445" s="2208"/>
      <c r="AU445" s="2207"/>
      <c r="AV445" s="2207"/>
      <c r="AW445" s="2207"/>
      <c r="AX445" s="2208"/>
      <c r="AY445" s="2207"/>
      <c r="AZ445" s="2207"/>
      <c r="BA445" s="2207"/>
      <c r="BB445" s="2208"/>
      <c r="BC445" s="2207"/>
      <c r="BD445" s="2207"/>
      <c r="BE445" s="2207"/>
      <c r="BF445" s="2208"/>
      <c r="BG445" s="2207"/>
      <c r="BH445" s="2207"/>
      <c r="BI445" s="2207"/>
      <c r="BJ445" s="2208"/>
      <c r="BK445" s="2207"/>
      <c r="BL445" s="2207"/>
      <c r="BM445" s="2207"/>
      <c r="BN445" s="2208"/>
      <c r="BO445" s="2207"/>
      <c r="BP445" s="2207"/>
      <c r="BQ445" s="2207"/>
      <c r="BR445" s="2208"/>
      <c r="BS445" s="2207"/>
      <c r="BT445" s="2207"/>
      <c r="BU445" s="2207"/>
      <c r="BV445" s="2208"/>
      <c r="BW445" s="2207"/>
      <c r="BX445" s="2207"/>
      <c r="BY445" s="2207"/>
      <c r="BZ445" s="2208"/>
      <c r="CA445" s="2207"/>
      <c r="CB445" s="2207"/>
      <c r="CC445" s="2207"/>
      <c r="CD445" s="2208"/>
      <c r="CE445" s="2207"/>
      <c r="CF445" s="2207"/>
      <c r="CG445" s="2207"/>
      <c r="CH445" s="2229" t="s">
        <v>1149</v>
      </c>
      <c r="CI445" s="1986" t="s">
        <v>1149</v>
      </c>
      <c r="CJ445" s="1986" t="s">
        <v>1149</v>
      </c>
      <c r="CK445" s="1986" t="s">
        <v>1149</v>
      </c>
      <c r="CL445" s="2229" t="s">
        <v>1149</v>
      </c>
      <c r="CM445" s="1986" t="s">
        <v>1149</v>
      </c>
      <c r="CN445" s="1986" t="s">
        <v>1149</v>
      </c>
      <c r="CO445" s="1986" t="s">
        <v>1149</v>
      </c>
      <c r="CP445" s="2208">
        <f t="shared" ref="CP445:DV445" si="2033">CP444/CL444-1</f>
        <v>-0.12367491166077738</v>
      </c>
      <c r="CQ445" s="2207">
        <f t="shared" si="2033"/>
        <v>-0.11418685121107264</v>
      </c>
      <c r="CR445" s="2207">
        <f t="shared" si="2033"/>
        <v>-1.8461538461538418E-2</v>
      </c>
      <c r="CS445" s="2207">
        <f t="shared" si="2033"/>
        <v>-0.10563939634630659</v>
      </c>
      <c r="CT445" s="2208">
        <f t="shared" si="2033"/>
        <v>0.7026209677419355</v>
      </c>
      <c r="CU445" s="2207">
        <f t="shared" si="2033"/>
        <v>0.7119140625</v>
      </c>
      <c r="CV445" s="2207">
        <f t="shared" si="2033"/>
        <v>0.41065830721003138</v>
      </c>
      <c r="CW445" s="2207">
        <f t="shared" si="2033"/>
        <v>0.96714031971580816</v>
      </c>
      <c r="CX445" s="2208">
        <f t="shared" si="2033"/>
        <v>8.8217880402605031E-2</v>
      </c>
      <c r="CY445" s="2207">
        <f t="shared" si="2033"/>
        <v>8.5567598402738199E-3</v>
      </c>
      <c r="CZ445" s="2207">
        <f t="shared" si="2033"/>
        <v>3.2222222222222152E-2</v>
      </c>
      <c r="DA445" s="2207">
        <f t="shared" si="2033"/>
        <v>0.15530474040632058</v>
      </c>
      <c r="DB445" s="2208">
        <f t="shared" si="2033"/>
        <v>-1.3601741022850944E-2</v>
      </c>
      <c r="DC445" s="2207">
        <f t="shared" si="2033"/>
        <v>0.10463800904977383</v>
      </c>
      <c r="DD445" s="2207">
        <f t="shared" si="2033"/>
        <v>3.5522066738428393E-2</v>
      </c>
      <c r="DE445" s="2207">
        <f t="shared" si="2033"/>
        <v>-5.3927315357561567E-2</v>
      </c>
      <c r="DF445" s="2208">
        <f t="shared" si="2033"/>
        <v>3.1439602868174266E-2</v>
      </c>
      <c r="DG445" s="2207">
        <f t="shared" si="2033"/>
        <v>0.22222222222222232</v>
      </c>
      <c r="DH445" s="2207">
        <f t="shared" si="2033"/>
        <v>0.28898128898128905</v>
      </c>
      <c r="DI445" s="2209">
        <f t="shared" si="2033"/>
        <v>0.74390747624948372</v>
      </c>
      <c r="DJ445" s="2208">
        <f t="shared" si="2033"/>
        <v>0.80374331550802136</v>
      </c>
      <c r="DK445" s="2207">
        <f t="shared" si="2033"/>
        <v>0.61751152073732718</v>
      </c>
      <c r="DL445" s="2207">
        <f t="shared" si="2033"/>
        <v>0.73064516129032264</v>
      </c>
      <c r="DM445" s="2209">
        <f t="shared" si="2033"/>
        <v>0.2785409758408337</v>
      </c>
      <c r="DN445" s="2207">
        <f t="shared" si="2033"/>
        <v>0.17225022235398746</v>
      </c>
      <c r="DO445" s="2207">
        <f t="shared" si="2033"/>
        <v>-4.0663040663040717E-2</v>
      </c>
      <c r="DP445" s="2207">
        <f t="shared" si="2033"/>
        <v>-3.9142590866728777E-2</v>
      </c>
      <c r="DQ445" s="2209">
        <f t="shared" si="2033"/>
        <v>6.2060022230455703E-2</v>
      </c>
      <c r="DR445" s="2208">
        <f t="shared" si="2033"/>
        <v>-4.8052604957005585E-2</v>
      </c>
      <c r="DS445" s="2207">
        <f t="shared" si="2033"/>
        <v>0.16036717062634986</v>
      </c>
      <c r="DT445" s="2207">
        <f t="shared" si="2033"/>
        <v>5.5286129970901987E-2</v>
      </c>
      <c r="DU445" s="2209">
        <f t="shared" si="2033"/>
        <v>0.12942612942612941</v>
      </c>
      <c r="DV445" s="2207">
        <f t="shared" si="2033"/>
        <v>0.33900106269925612</v>
      </c>
      <c r="DW445" s="2222">
        <v>0.1</v>
      </c>
      <c r="DX445" s="2222">
        <v>0.1</v>
      </c>
      <c r="DY445" s="2223">
        <v>0.1</v>
      </c>
    </row>
    <row r="446" spans="1:129" ht="15" hidden="1" customHeight="1">
      <c r="A446" s="1936" t="s">
        <v>827</v>
      </c>
      <c r="B446" s="2141"/>
      <c r="C446" s="2141"/>
      <c r="D446" s="2141"/>
      <c r="E446" s="2141"/>
      <c r="F446" s="2141"/>
      <c r="G446" s="2141"/>
      <c r="H446" s="2141"/>
      <c r="I446" s="2141"/>
      <c r="J446" s="2141"/>
      <c r="K446" s="2141"/>
      <c r="L446" s="2141"/>
      <c r="M446" s="2141"/>
      <c r="N446" s="2141"/>
      <c r="O446" s="2141"/>
      <c r="P446" s="2141">
        <f>P444/(P135/1000)</f>
        <v>418.48730983840017</v>
      </c>
      <c r="Q446" s="2141">
        <f>Q444/(Q135/1000)</f>
        <v>233.88621341622368</v>
      </c>
      <c r="R446" s="2141">
        <f>R444/((R135+R452)/1000)</f>
        <v>91.624340035794489</v>
      </c>
      <c r="S446" s="2141">
        <f ca="1">S444/((S135+S452)/1000)</f>
        <v>143.41810111518743</v>
      </c>
      <c r="T446" s="2141">
        <f ca="1">T444/((T135+T452)/1000)</f>
        <v>161.22977008596371</v>
      </c>
      <c r="U446" s="2141"/>
      <c r="V446" s="2141"/>
      <c r="W446" s="2141"/>
      <c r="X446" s="2141"/>
      <c r="Y446" s="2141"/>
      <c r="Z446" s="2141"/>
      <c r="AA446" s="2141"/>
      <c r="AB446" s="2141"/>
      <c r="AC446" s="2141"/>
      <c r="AD446" s="2141"/>
      <c r="AE446" s="2141"/>
      <c r="AF446" s="2141"/>
      <c r="AG446" s="2141"/>
      <c r="AH446" s="2201"/>
      <c r="AI446" s="1952"/>
      <c r="AK446" s="2141"/>
      <c r="AL446" s="2141"/>
      <c r="AM446" s="2141"/>
      <c r="AN446" s="2141"/>
      <c r="AO446" s="2141"/>
      <c r="AP446" s="1936"/>
      <c r="AQ446" s="2141"/>
      <c r="AR446" s="2141"/>
      <c r="AS446" s="2141"/>
      <c r="AT446" s="1936"/>
      <c r="AU446" s="2141"/>
      <c r="AV446" s="2141"/>
      <c r="AW446" s="2141"/>
      <c r="AX446" s="1936"/>
      <c r="AY446" s="2141"/>
      <c r="AZ446" s="2141"/>
      <c r="BA446" s="2141"/>
      <c r="BB446" s="1936"/>
      <c r="BC446" s="2141"/>
      <c r="BD446" s="2141"/>
      <c r="BE446" s="2141"/>
      <c r="BF446" s="1936"/>
      <c r="BG446" s="2141"/>
      <c r="BH446" s="2141"/>
      <c r="BI446" s="2141"/>
      <c r="BJ446" s="1936"/>
      <c r="BK446" s="2141"/>
      <c r="BL446" s="2141"/>
      <c r="BM446" s="2141"/>
      <c r="BN446" s="1936"/>
      <c r="BO446" s="2141"/>
      <c r="BP446" s="2141"/>
      <c r="BQ446" s="2141"/>
      <c r="BR446" s="1936"/>
      <c r="BS446" s="2141"/>
      <c r="BT446" s="2141"/>
      <c r="BU446" s="2141"/>
      <c r="BV446" s="1936"/>
      <c r="BW446" s="2141"/>
      <c r="BX446" s="2141"/>
      <c r="BY446" s="2141"/>
      <c r="BZ446" s="1936"/>
      <c r="CA446" s="2141"/>
      <c r="CB446" s="2141"/>
      <c r="CC446" s="2141"/>
      <c r="CD446" s="1936"/>
      <c r="CE446" s="2141"/>
      <c r="CF446" s="2141"/>
      <c r="CG446" s="2141"/>
      <c r="CH446" s="1936">
        <f t="shared" ref="CH446:CO446" si="2034">CH444/((CH135+CH452)/1000)</f>
        <v>189.82888047620494</v>
      </c>
      <c r="CI446" s="2141">
        <f t="shared" si="2034"/>
        <v>196.20851651205575</v>
      </c>
      <c r="CJ446" s="2141">
        <f t="shared" si="2034"/>
        <v>198.17928474899085</v>
      </c>
      <c r="CK446" s="2141">
        <f t="shared" si="2034"/>
        <v>199.07286814814094</v>
      </c>
      <c r="CL446" s="1936">
        <f t="shared" si="2034"/>
        <v>102.56949264344777</v>
      </c>
      <c r="CM446" s="2141">
        <f t="shared" si="2034"/>
        <v>107.47408837847168</v>
      </c>
      <c r="CN446" s="2141">
        <f t="shared" si="2034"/>
        <v>113.9588762213663</v>
      </c>
      <c r="CO446" s="2141">
        <f t="shared" si="2034"/>
        <v>101.17303179237562</v>
      </c>
      <c r="CP446" s="1936">
        <f t="shared" ref="CP446:DC446" si="2035">CP444/((CP257+CP452)/1000)</f>
        <v>105.60201384743665</v>
      </c>
      <c r="CQ446" s="2141">
        <f t="shared" si="2035"/>
        <v>108.92891890733976</v>
      </c>
      <c r="CR446" s="2141">
        <f t="shared" si="2035"/>
        <v>131.01542136731123</v>
      </c>
      <c r="CS446" s="2141">
        <f t="shared" si="2035"/>
        <v>104.44622477126252</v>
      </c>
      <c r="CT446" s="1936">
        <f t="shared" si="2035"/>
        <v>154.67509740272766</v>
      </c>
      <c r="CU446" s="2141">
        <f t="shared" si="2035"/>
        <v>158.20977864859037</v>
      </c>
      <c r="CV446" s="2141">
        <f t="shared" si="2035"/>
        <v>169.25889007636539</v>
      </c>
      <c r="CW446" s="2141">
        <f t="shared" si="2035"/>
        <v>180.49727071421518</v>
      </c>
      <c r="CX446" s="1936">
        <f t="shared" si="2035"/>
        <v>183.49671662675928</v>
      </c>
      <c r="CY446" s="2141">
        <f t="shared" si="2035"/>
        <v>190.65894946530625</v>
      </c>
      <c r="CZ446" s="2141">
        <f t="shared" si="2035"/>
        <v>185.39297343468363</v>
      </c>
      <c r="DA446" s="2141">
        <f t="shared" si="2035"/>
        <v>199.33078136965253</v>
      </c>
      <c r="DB446" s="1936">
        <f t="shared" si="2035"/>
        <v>187.09802948107674</v>
      </c>
      <c r="DC446" s="2141">
        <f t="shared" si="2035"/>
        <v>193.76835513034683</v>
      </c>
      <c r="DD446" s="2141"/>
      <c r="DE446" s="2141"/>
      <c r="DF446" s="1936"/>
      <c r="DG446" s="2141"/>
      <c r="DH446" s="2141"/>
      <c r="DI446" s="2472"/>
      <c r="DJ446" s="1936"/>
      <c r="DK446" s="2141"/>
      <c r="DL446" s="2141"/>
      <c r="DM446" s="2472"/>
      <c r="DN446" s="2141"/>
      <c r="DO446" s="2141"/>
      <c r="DP446" s="2141"/>
      <c r="DQ446" s="2472"/>
      <c r="DR446" s="1936"/>
      <c r="DS446" s="2141"/>
      <c r="DT446" s="2141"/>
      <c r="DU446" s="2472"/>
      <c r="DV446" s="2141"/>
      <c r="DW446" s="2141"/>
      <c r="DX446" s="2141"/>
      <c r="DY446" s="2472"/>
    </row>
    <row r="447" spans="1:129" ht="15" hidden="1" customHeight="1">
      <c r="A447" s="2929" t="s">
        <v>828</v>
      </c>
      <c r="B447" s="2141"/>
      <c r="C447" s="2141"/>
      <c r="D447" s="2141"/>
      <c r="E447" s="2141"/>
      <c r="F447" s="2141"/>
      <c r="G447" s="2141"/>
      <c r="H447" s="2141"/>
      <c r="I447" s="2141"/>
      <c r="J447" s="2141"/>
      <c r="K447" s="2141"/>
      <c r="L447" s="2141"/>
      <c r="M447" s="2141"/>
      <c r="N447" s="2141"/>
      <c r="O447" s="2141"/>
      <c r="P447" s="2141"/>
      <c r="Q447" s="2141"/>
      <c r="R447" s="2141"/>
      <c r="S447" s="2141">
        <f>+SUM(CT447:CW447)</f>
        <v>2160</v>
      </c>
      <c r="T447" s="2141">
        <f>+SUM(CX447:DA447)</f>
        <v>3040</v>
      </c>
      <c r="U447" s="2141"/>
      <c r="V447" s="2141"/>
      <c r="W447" s="2141"/>
      <c r="X447" s="2141"/>
      <c r="Y447" s="2141"/>
      <c r="Z447" s="2141"/>
      <c r="AA447" s="2141"/>
      <c r="AB447" s="2141"/>
      <c r="AC447" s="2141"/>
      <c r="AD447" s="2141"/>
      <c r="AE447" s="2141"/>
      <c r="AF447" s="2141"/>
      <c r="AG447" s="2141"/>
      <c r="AH447" s="2201"/>
      <c r="AI447" s="1952"/>
      <c r="AK447" s="2141"/>
      <c r="AL447" s="2141"/>
      <c r="AM447" s="2141"/>
      <c r="AN447" s="2141"/>
      <c r="AO447" s="2141"/>
      <c r="AP447" s="1936"/>
      <c r="AQ447" s="2141"/>
      <c r="AR447" s="2141"/>
      <c r="AS447" s="2141"/>
      <c r="AT447" s="1936"/>
      <c r="AU447" s="2141"/>
      <c r="AV447" s="2141"/>
      <c r="AW447" s="2141"/>
      <c r="AX447" s="1936"/>
      <c r="AY447" s="2141"/>
      <c r="AZ447" s="2141"/>
      <c r="BA447" s="2141"/>
      <c r="BB447" s="1936"/>
      <c r="BC447" s="2141"/>
      <c r="BD447" s="2141"/>
      <c r="BE447" s="2141"/>
      <c r="BF447" s="1936"/>
      <c r="BG447" s="2141"/>
      <c r="BH447" s="2141"/>
      <c r="BI447" s="2141"/>
      <c r="BJ447" s="1936"/>
      <c r="BK447" s="2141"/>
      <c r="BL447" s="2141"/>
      <c r="BM447" s="2141"/>
      <c r="BN447" s="1936"/>
      <c r="BO447" s="2141"/>
      <c r="BP447" s="2141"/>
      <c r="BQ447" s="2141"/>
      <c r="BR447" s="1936"/>
      <c r="BS447" s="2141"/>
      <c r="BT447" s="2141"/>
      <c r="BU447" s="2141"/>
      <c r="BV447" s="1936"/>
      <c r="BW447" s="2141"/>
      <c r="BX447" s="2141"/>
      <c r="BY447" s="2141"/>
      <c r="BZ447" s="1936"/>
      <c r="CA447" s="2141"/>
      <c r="CB447" s="2141"/>
      <c r="CC447" s="2141"/>
      <c r="CD447" s="1936"/>
      <c r="CE447" s="2141"/>
      <c r="CF447" s="2141"/>
      <c r="CG447" s="2141"/>
      <c r="CH447" s="1936"/>
      <c r="CI447" s="2141"/>
      <c r="CJ447" s="2141"/>
      <c r="CK447" s="2141"/>
      <c r="CL447" s="1936"/>
      <c r="CM447" s="2141"/>
      <c r="CN447" s="2141"/>
      <c r="CO447" s="2141"/>
      <c r="CP447" s="1936"/>
      <c r="CQ447" s="2141"/>
      <c r="CR447" s="2141"/>
      <c r="CS447" s="2141"/>
      <c r="CT447" s="1936">
        <f t="shared" ref="CT447:DC447" si="2036">+CT719*(CT448)/1000</f>
        <v>440</v>
      </c>
      <c r="CU447" s="2141">
        <f t="shared" si="2036"/>
        <v>460</v>
      </c>
      <c r="CV447" s="2141">
        <f t="shared" si="2036"/>
        <v>400</v>
      </c>
      <c r="CW447" s="2141">
        <f t="shared" si="2036"/>
        <v>860</v>
      </c>
      <c r="CX447" s="1936">
        <f t="shared" si="2036"/>
        <v>640</v>
      </c>
      <c r="CY447" s="2141">
        <f t="shared" si="2036"/>
        <v>540</v>
      </c>
      <c r="CZ447" s="2141">
        <f t="shared" si="2036"/>
        <v>620</v>
      </c>
      <c r="DA447" s="2141">
        <f t="shared" si="2036"/>
        <v>1240</v>
      </c>
      <c r="DB447" s="1936">
        <f t="shared" si="2036"/>
        <v>800</v>
      </c>
      <c r="DC447" s="2141">
        <f t="shared" si="2036"/>
        <v>765</v>
      </c>
      <c r="DD447" s="2141"/>
      <c r="DE447" s="2141"/>
      <c r="DF447" s="1936"/>
      <c r="DG447" s="2141"/>
      <c r="DH447" s="2141"/>
      <c r="DI447" s="2472"/>
      <c r="DJ447" s="1936"/>
      <c r="DK447" s="2141"/>
      <c r="DL447" s="2141"/>
      <c r="DM447" s="2472"/>
      <c r="DN447" s="2141"/>
      <c r="DO447" s="2141"/>
      <c r="DP447" s="2141"/>
      <c r="DQ447" s="2472"/>
      <c r="DR447" s="1936"/>
      <c r="DS447" s="2141"/>
      <c r="DT447" s="2141"/>
      <c r="DU447" s="2472"/>
      <c r="DV447" s="2141"/>
      <c r="DW447" s="2141"/>
      <c r="DX447" s="2141"/>
      <c r="DY447" s="2472"/>
    </row>
    <row r="448" spans="1:129" ht="15" hidden="1" customHeight="1">
      <c r="A448" s="2930" t="s">
        <v>829</v>
      </c>
      <c r="B448" s="2141"/>
      <c r="C448" s="2141"/>
      <c r="D448" s="2141"/>
      <c r="E448" s="2141"/>
      <c r="F448" s="2141"/>
      <c r="G448" s="2141"/>
      <c r="H448" s="2141"/>
      <c r="I448" s="2141"/>
      <c r="J448" s="2141"/>
      <c r="K448" s="2141"/>
      <c r="L448" s="2141"/>
      <c r="M448" s="2141"/>
      <c r="N448" s="2141"/>
      <c r="O448" s="2141"/>
      <c r="P448" s="2141"/>
      <c r="Q448" s="2141"/>
      <c r="R448" s="2141"/>
      <c r="S448" s="2141">
        <f>+S737-S739</f>
        <v>200</v>
      </c>
      <c r="T448" s="2141">
        <f>+T737-T739</f>
        <v>200</v>
      </c>
      <c r="U448" s="2141"/>
      <c r="V448" s="2141"/>
      <c r="W448" s="2141"/>
      <c r="X448" s="2141"/>
      <c r="Y448" s="2141"/>
      <c r="Z448" s="2141"/>
      <c r="AA448" s="2141"/>
      <c r="AB448" s="2141"/>
      <c r="AC448" s="2141"/>
      <c r="AD448" s="2141"/>
      <c r="AE448" s="2141"/>
      <c r="AF448" s="2141"/>
      <c r="AG448" s="2141"/>
      <c r="AH448" s="2201"/>
      <c r="AI448" s="1952"/>
      <c r="AK448" s="2141"/>
      <c r="AL448" s="2141"/>
      <c r="AM448" s="2141"/>
      <c r="AN448" s="2141"/>
      <c r="AO448" s="2141"/>
      <c r="AP448" s="1936"/>
      <c r="AQ448" s="2141"/>
      <c r="AR448" s="2141"/>
      <c r="AS448" s="2141"/>
      <c r="AT448" s="1936"/>
      <c r="AU448" s="2141"/>
      <c r="AV448" s="2141"/>
      <c r="AW448" s="2141"/>
      <c r="AX448" s="1936"/>
      <c r="AY448" s="2141"/>
      <c r="AZ448" s="2141"/>
      <c r="BA448" s="2141"/>
      <c r="BB448" s="1936"/>
      <c r="BC448" s="2141"/>
      <c r="BD448" s="2141"/>
      <c r="BE448" s="2141"/>
      <c r="BF448" s="1936"/>
      <c r="BG448" s="2141"/>
      <c r="BH448" s="2141"/>
      <c r="BI448" s="2141"/>
      <c r="BJ448" s="1936"/>
      <c r="BK448" s="2141"/>
      <c r="BL448" s="2141"/>
      <c r="BM448" s="2141"/>
      <c r="BN448" s="1936"/>
      <c r="BO448" s="2141"/>
      <c r="BP448" s="2141"/>
      <c r="BQ448" s="2141"/>
      <c r="BR448" s="1936"/>
      <c r="BS448" s="2141"/>
      <c r="BT448" s="2141"/>
      <c r="BU448" s="2141"/>
      <c r="BV448" s="1936"/>
      <c r="BW448" s="2141"/>
      <c r="BX448" s="2141"/>
      <c r="BY448" s="2141"/>
      <c r="BZ448" s="1936"/>
      <c r="CA448" s="2141"/>
      <c r="CB448" s="2141"/>
      <c r="CC448" s="2141"/>
      <c r="CD448" s="1936"/>
      <c r="CE448" s="2141"/>
      <c r="CF448" s="2141"/>
      <c r="CG448" s="2141"/>
      <c r="CH448" s="1936"/>
      <c r="CI448" s="2141"/>
      <c r="CJ448" s="2141"/>
      <c r="CK448" s="2141"/>
      <c r="CL448" s="1936"/>
      <c r="CM448" s="2141"/>
      <c r="CN448" s="2141"/>
      <c r="CO448" s="2141"/>
      <c r="CP448" s="1936"/>
      <c r="CQ448" s="2141"/>
      <c r="CR448" s="2141"/>
      <c r="CS448" s="2141"/>
      <c r="CT448" s="1936">
        <f t="shared" ref="CT448:DC448" si="2037">+CT737-CT739</f>
        <v>200</v>
      </c>
      <c r="CU448" s="2141">
        <f t="shared" si="2037"/>
        <v>200</v>
      </c>
      <c r="CV448" s="2141">
        <f t="shared" si="2037"/>
        <v>200</v>
      </c>
      <c r="CW448" s="2141">
        <f t="shared" si="2037"/>
        <v>200</v>
      </c>
      <c r="CX448" s="1936">
        <f t="shared" si="2037"/>
        <v>200</v>
      </c>
      <c r="CY448" s="2141">
        <f t="shared" si="2037"/>
        <v>200</v>
      </c>
      <c r="CZ448" s="2141">
        <f t="shared" si="2037"/>
        <v>200</v>
      </c>
      <c r="DA448" s="2141">
        <f t="shared" si="2037"/>
        <v>200</v>
      </c>
      <c r="DB448" s="1936">
        <f t="shared" si="2037"/>
        <v>200</v>
      </c>
      <c r="DC448" s="2141">
        <f t="shared" si="2037"/>
        <v>200</v>
      </c>
      <c r="DD448" s="2141"/>
      <c r="DE448" s="2141"/>
      <c r="DF448" s="1936"/>
      <c r="DG448" s="2141"/>
      <c r="DH448" s="2141"/>
      <c r="DI448" s="2472"/>
      <c r="DJ448" s="1936"/>
      <c r="DK448" s="2141"/>
      <c r="DL448" s="2141"/>
      <c r="DM448" s="2472"/>
      <c r="DN448" s="2141"/>
      <c r="DO448" s="2141"/>
      <c r="DP448" s="2141"/>
      <c r="DQ448" s="2472"/>
      <c r="DR448" s="1936"/>
      <c r="DS448" s="2141"/>
      <c r="DT448" s="2141"/>
      <c r="DU448" s="2472"/>
      <c r="DV448" s="2141"/>
      <c r="DW448" s="2141"/>
      <c r="DX448" s="2141"/>
      <c r="DY448" s="2472"/>
    </row>
    <row r="449" spans="1:129" ht="15" hidden="1" customHeight="1">
      <c r="A449" s="1936" t="s">
        <v>830</v>
      </c>
      <c r="B449" s="2141"/>
      <c r="C449" s="2141"/>
      <c r="D449" s="2141"/>
      <c r="E449" s="2141"/>
      <c r="F449" s="2141"/>
      <c r="G449" s="2141"/>
      <c r="H449" s="2141"/>
      <c r="I449" s="2141"/>
      <c r="J449" s="2141"/>
      <c r="K449" s="2141"/>
      <c r="L449" s="2141"/>
      <c r="M449" s="2141"/>
      <c r="N449" s="2141"/>
      <c r="O449" s="2141"/>
      <c r="P449" s="2141"/>
      <c r="Q449" s="2141">
        <f>+SUM(CL449:CO449)</f>
        <v>4847</v>
      </c>
      <c r="R449" s="2141">
        <f>+SUM(CP449:CS449)</f>
        <v>4418</v>
      </c>
      <c r="S449" s="2141">
        <f>+SUM(CT449:CW449)</f>
        <v>5297</v>
      </c>
      <c r="T449" s="2141">
        <f>+SUM(CX449:DA449)</f>
        <v>4983</v>
      </c>
      <c r="U449" s="2141"/>
      <c r="V449" s="2141"/>
      <c r="W449" s="2141"/>
      <c r="X449" s="2141"/>
      <c r="Y449" s="2141"/>
      <c r="Z449" s="2141"/>
      <c r="AA449" s="2141"/>
      <c r="AB449" s="2141"/>
      <c r="AC449" s="2141"/>
      <c r="AD449" s="2141"/>
      <c r="AE449" s="2141"/>
      <c r="AF449" s="2141"/>
      <c r="AG449" s="2141"/>
      <c r="AH449" s="2201"/>
      <c r="AI449" s="1952"/>
      <c r="AK449" s="2141"/>
      <c r="AL449" s="2141"/>
      <c r="AM449" s="2141"/>
      <c r="AN449" s="2141"/>
      <c r="AO449" s="2141"/>
      <c r="AP449" s="1936"/>
      <c r="AQ449" s="2141"/>
      <c r="AR449" s="2141"/>
      <c r="AS449" s="2141"/>
      <c r="AT449" s="1936"/>
      <c r="AU449" s="2141"/>
      <c r="AV449" s="2141"/>
      <c r="AW449" s="2141"/>
      <c r="AX449" s="1936"/>
      <c r="AY449" s="2141"/>
      <c r="AZ449" s="2141"/>
      <c r="BA449" s="2141"/>
      <c r="BB449" s="1936"/>
      <c r="BC449" s="2141"/>
      <c r="BD449" s="2141"/>
      <c r="BE449" s="2141"/>
      <c r="BF449" s="1936"/>
      <c r="BG449" s="2141"/>
      <c r="BH449" s="2141"/>
      <c r="BI449" s="2141"/>
      <c r="BJ449" s="1936"/>
      <c r="BK449" s="2141"/>
      <c r="BL449" s="2141"/>
      <c r="BM449" s="2141"/>
      <c r="BN449" s="1936"/>
      <c r="BO449" s="2141"/>
      <c r="BP449" s="2141"/>
      <c r="BQ449" s="2141"/>
      <c r="BR449" s="1936"/>
      <c r="BS449" s="2141"/>
      <c r="BT449" s="2141"/>
      <c r="BU449" s="2141"/>
      <c r="BV449" s="1936"/>
      <c r="BW449" s="2141"/>
      <c r="BX449" s="2141"/>
      <c r="BY449" s="2141"/>
      <c r="BZ449" s="1936"/>
      <c r="CA449" s="2141"/>
      <c r="CB449" s="2141"/>
      <c r="CC449" s="2141"/>
      <c r="CD449" s="1936"/>
      <c r="CE449" s="2141"/>
      <c r="CF449" s="2141"/>
      <c r="CG449" s="2141"/>
      <c r="CH449" s="1936"/>
      <c r="CI449" s="2141"/>
      <c r="CJ449" s="2141"/>
      <c r="CK449" s="2141"/>
      <c r="CL449" s="1936">
        <f>+CL444</f>
        <v>1132</v>
      </c>
      <c r="CM449" s="2141">
        <f>+CM444</f>
        <v>1156</v>
      </c>
      <c r="CN449" s="2141">
        <f>+CN444</f>
        <v>1300</v>
      </c>
      <c r="CO449" s="2141">
        <f>+CO444</f>
        <v>1259</v>
      </c>
      <c r="CP449" s="1936">
        <f t="shared" ref="CP449:DC449" si="2038">+CP444-CP447</f>
        <v>992</v>
      </c>
      <c r="CQ449" s="2141">
        <f t="shared" si="2038"/>
        <v>1024</v>
      </c>
      <c r="CR449" s="2141">
        <f t="shared" si="2038"/>
        <v>1276</v>
      </c>
      <c r="CS449" s="2141">
        <f t="shared" si="2038"/>
        <v>1126</v>
      </c>
      <c r="CT449" s="1936">
        <f t="shared" si="2038"/>
        <v>1249</v>
      </c>
      <c r="CU449" s="2141">
        <f t="shared" si="2038"/>
        <v>1293</v>
      </c>
      <c r="CV449" s="2141">
        <f t="shared" si="2038"/>
        <v>1400</v>
      </c>
      <c r="CW449" s="2141">
        <f t="shared" si="2038"/>
        <v>1355</v>
      </c>
      <c r="CX449" s="1936">
        <f t="shared" si="2038"/>
        <v>1198</v>
      </c>
      <c r="CY449" s="2141">
        <f t="shared" si="2038"/>
        <v>1228</v>
      </c>
      <c r="CZ449" s="2141">
        <f t="shared" si="2038"/>
        <v>1238</v>
      </c>
      <c r="DA449" s="2141">
        <f t="shared" si="2038"/>
        <v>1319</v>
      </c>
      <c r="DB449" s="1936">
        <f t="shared" si="2038"/>
        <v>1013</v>
      </c>
      <c r="DC449" s="2141">
        <f t="shared" si="2038"/>
        <v>1188</v>
      </c>
      <c r="DD449" s="2141"/>
      <c r="DE449" s="2141"/>
      <c r="DF449" s="1936"/>
      <c r="DG449" s="2141"/>
      <c r="DH449" s="2141"/>
      <c r="DI449" s="2472"/>
      <c r="DJ449" s="1936"/>
      <c r="DK449" s="2141"/>
      <c r="DL449" s="2141"/>
      <c r="DM449" s="2472"/>
      <c r="DN449" s="2141"/>
      <c r="DO449" s="2141"/>
      <c r="DP449" s="2141"/>
      <c r="DQ449" s="2472"/>
      <c r="DR449" s="1936"/>
      <c r="DS449" s="2141"/>
      <c r="DT449" s="2141"/>
      <c r="DU449" s="2472"/>
      <c r="DV449" s="2141"/>
      <c r="DW449" s="2141"/>
      <c r="DX449" s="2141"/>
      <c r="DY449" s="2472"/>
    </row>
    <row r="450" spans="1:129" ht="15" hidden="1" customHeight="1">
      <c r="A450" s="2929" t="s">
        <v>831</v>
      </c>
      <c r="B450" s="2141"/>
      <c r="C450" s="2141"/>
      <c r="D450" s="2141"/>
      <c r="E450" s="2141"/>
      <c r="F450" s="2141"/>
      <c r="G450" s="2141"/>
      <c r="H450" s="2141"/>
      <c r="I450" s="2141"/>
      <c r="J450" s="2141"/>
      <c r="K450" s="2141"/>
      <c r="L450" s="2141"/>
      <c r="M450" s="2141"/>
      <c r="N450" s="2141"/>
      <c r="O450" s="2141"/>
      <c r="P450" s="2141"/>
      <c r="Q450" s="1936">
        <f>Q449/((Q257+Q452-Q719)/1000)</f>
        <v>124.22513275958777</v>
      </c>
      <c r="R450" s="2141">
        <f>R449/((R257+R452-R719)/1000)</f>
        <v>112.37622742921691</v>
      </c>
      <c r="S450" s="2141">
        <f>S449/((S257+S452-S719)/1000)</f>
        <v>155.30928340394863</v>
      </c>
      <c r="T450" s="2141">
        <f>T449/((T257+T452-T719)/1000)</f>
        <v>184.90109872886006</v>
      </c>
      <c r="U450" s="2141"/>
      <c r="V450" s="2141"/>
      <c r="W450" s="2141"/>
      <c r="X450" s="2141"/>
      <c r="Y450" s="2141"/>
      <c r="Z450" s="2141"/>
      <c r="AA450" s="2141"/>
      <c r="AB450" s="2141"/>
      <c r="AC450" s="2141"/>
      <c r="AD450" s="2141"/>
      <c r="AE450" s="2141"/>
      <c r="AF450" s="2141"/>
      <c r="AG450" s="2141"/>
      <c r="AH450" s="2201"/>
      <c r="AI450" s="1952"/>
      <c r="AK450" s="2141"/>
      <c r="AL450" s="2141"/>
      <c r="AM450" s="2141"/>
      <c r="AN450" s="2141"/>
      <c r="AO450" s="2141"/>
      <c r="AP450" s="1936"/>
      <c r="AQ450" s="2141"/>
      <c r="AR450" s="2141"/>
      <c r="AS450" s="2141"/>
      <c r="AT450" s="1936"/>
      <c r="AU450" s="2141"/>
      <c r="AV450" s="2141"/>
      <c r="AW450" s="2141"/>
      <c r="AX450" s="1936"/>
      <c r="AY450" s="2141"/>
      <c r="AZ450" s="2141"/>
      <c r="BA450" s="2141"/>
      <c r="BB450" s="1936"/>
      <c r="BC450" s="2141"/>
      <c r="BD450" s="2141"/>
      <c r="BE450" s="2141"/>
      <c r="BF450" s="1936"/>
      <c r="BG450" s="2141"/>
      <c r="BH450" s="2141"/>
      <c r="BI450" s="2141"/>
      <c r="BJ450" s="1936"/>
      <c r="BK450" s="2141"/>
      <c r="BL450" s="2141"/>
      <c r="BM450" s="2141"/>
      <c r="BN450" s="1936"/>
      <c r="BO450" s="2141"/>
      <c r="BP450" s="2141"/>
      <c r="BQ450" s="2141"/>
      <c r="BR450" s="1936"/>
      <c r="BS450" s="2141"/>
      <c r="BT450" s="2141"/>
      <c r="BU450" s="2141"/>
      <c r="BV450" s="1936"/>
      <c r="BW450" s="2141"/>
      <c r="BX450" s="2141"/>
      <c r="BY450" s="2141"/>
      <c r="BZ450" s="1936"/>
      <c r="CA450" s="2141"/>
      <c r="CB450" s="2141"/>
      <c r="CC450" s="2141"/>
      <c r="CD450" s="1936"/>
      <c r="CE450" s="2141"/>
      <c r="CF450" s="2141"/>
      <c r="CG450" s="2141"/>
      <c r="CH450" s="1936"/>
      <c r="CI450" s="2141"/>
      <c r="CJ450" s="2141"/>
      <c r="CK450" s="2141"/>
      <c r="CL450" s="1936">
        <f t="shared" ref="CL450:DC450" si="2039">CL449/((CL257+CL452-CL719)/1000)</f>
        <v>117.27317835347846</v>
      </c>
      <c r="CM450" s="2141">
        <f t="shared" si="2039"/>
        <v>120.81239016758539</v>
      </c>
      <c r="CN450" s="2141">
        <f t="shared" si="2039"/>
        <v>132.34153465361047</v>
      </c>
      <c r="CO450" s="2141">
        <f t="shared" si="2039"/>
        <v>126.23364182703091</v>
      </c>
      <c r="CP450" s="1936">
        <f t="shared" si="2039"/>
        <v>105.60201384743665</v>
      </c>
      <c r="CQ450" s="2141">
        <f t="shared" si="2039"/>
        <v>108.92891890733976</v>
      </c>
      <c r="CR450" s="2141">
        <f t="shared" si="2039"/>
        <v>131.01542136731123</v>
      </c>
      <c r="CS450" s="2141">
        <f t="shared" si="2039"/>
        <v>104.44622477126252</v>
      </c>
      <c r="CT450" s="1936">
        <f t="shared" si="2039"/>
        <v>143.23947412924218</v>
      </c>
      <c r="CU450" s="2141">
        <f t="shared" si="2039"/>
        <v>147.26273511875181</v>
      </c>
      <c r="CV450" s="2141">
        <f t="shared" si="2039"/>
        <v>162.13843924264441</v>
      </c>
      <c r="CW450" s="2141">
        <f t="shared" si="2039"/>
        <v>169.9772783657173</v>
      </c>
      <c r="CX450" s="1936">
        <f t="shared" si="2039"/>
        <v>175.74929641600534</v>
      </c>
      <c r="CY450" s="2141">
        <f t="shared" si="2039"/>
        <v>186.82197353803664</v>
      </c>
      <c r="CZ450" s="2141">
        <f t="shared" si="2039"/>
        <v>178.85121122143127</v>
      </c>
      <c r="DA450" s="2141">
        <f t="shared" si="2039"/>
        <v>198.70571623166592</v>
      </c>
      <c r="DB450" s="1936">
        <f t="shared" si="2039"/>
        <v>178.02827412361319</v>
      </c>
      <c r="DC450" s="2141">
        <f t="shared" si="2039"/>
        <v>189.95705523488266</v>
      </c>
      <c r="DD450" s="2141"/>
      <c r="DE450" s="2141"/>
      <c r="DF450" s="1936"/>
      <c r="DG450" s="2141"/>
      <c r="DH450" s="2141"/>
      <c r="DI450" s="2472"/>
      <c r="DJ450" s="1936"/>
      <c r="DK450" s="2141"/>
      <c r="DL450" s="2141"/>
      <c r="DM450" s="2472"/>
      <c r="DN450" s="2141"/>
      <c r="DO450" s="2141"/>
      <c r="DP450" s="2141"/>
      <c r="DQ450" s="2472"/>
      <c r="DR450" s="1936"/>
      <c r="DS450" s="2141"/>
      <c r="DT450" s="2141"/>
      <c r="DU450" s="2472"/>
      <c r="DV450" s="2141"/>
      <c r="DW450" s="2141"/>
      <c r="DX450" s="2141"/>
      <c r="DY450" s="2472"/>
    </row>
    <row r="451" spans="1:129" ht="15" hidden="1" customHeight="1">
      <c r="A451" s="2206" t="s">
        <v>1453</v>
      </c>
      <c r="B451" s="2207"/>
      <c r="C451" s="2207"/>
      <c r="D451" s="2207"/>
      <c r="E451" s="2207"/>
      <c r="F451" s="2207"/>
      <c r="G451" s="2207"/>
      <c r="H451" s="2207"/>
      <c r="I451" s="2207"/>
      <c r="J451" s="2207"/>
      <c r="K451" s="2207"/>
      <c r="L451" s="2207"/>
      <c r="M451" s="2207"/>
      <c r="N451" s="2207"/>
      <c r="O451" s="2207"/>
      <c r="P451" s="2207"/>
      <c r="Q451" s="2207"/>
      <c r="R451" s="2207">
        <f>+R450/Q450-1</f>
        <v>-9.5382512919523155E-2</v>
      </c>
      <c r="S451" s="2207">
        <f>+S450/R450-1</f>
        <v>0.38204749311213715</v>
      </c>
      <c r="T451" s="2207">
        <f>+T450/S450-1</f>
        <v>0.19053474896246336</v>
      </c>
      <c r="U451" s="2207"/>
      <c r="V451" s="2207"/>
      <c r="W451" s="2207"/>
      <c r="X451" s="2207"/>
      <c r="Y451" s="2207"/>
      <c r="Z451" s="2207"/>
      <c r="AA451" s="2222"/>
      <c r="AB451" s="2222"/>
      <c r="AC451" s="2222"/>
      <c r="AD451" s="2222"/>
      <c r="AE451" s="2222"/>
      <c r="AF451" s="2222"/>
      <c r="AG451" s="2222"/>
      <c r="AH451" s="2201"/>
      <c r="AI451" s="1927"/>
      <c r="AK451" s="2207"/>
      <c r="AL451" s="2207"/>
      <c r="AM451" s="2207"/>
      <c r="AN451" s="2207"/>
      <c r="AO451" s="2207"/>
      <c r="AP451" s="2208"/>
      <c r="AQ451" s="2207"/>
      <c r="AR451" s="2207"/>
      <c r="AS451" s="2207"/>
      <c r="AT451" s="2208"/>
      <c r="AU451" s="2207"/>
      <c r="AV451" s="2207"/>
      <c r="AW451" s="2207"/>
      <c r="AX451" s="2208"/>
      <c r="AY451" s="2207"/>
      <c r="AZ451" s="2207"/>
      <c r="BA451" s="2207"/>
      <c r="BB451" s="2208"/>
      <c r="BC451" s="2207"/>
      <c r="BD451" s="2207"/>
      <c r="BE451" s="2207"/>
      <c r="BF451" s="2208"/>
      <c r="BG451" s="2207"/>
      <c r="BH451" s="2207"/>
      <c r="BI451" s="2207"/>
      <c r="BJ451" s="2208"/>
      <c r="BK451" s="2207"/>
      <c r="BL451" s="2207"/>
      <c r="BM451" s="2207"/>
      <c r="BN451" s="2208"/>
      <c r="BO451" s="2207"/>
      <c r="BP451" s="2207"/>
      <c r="BQ451" s="2207"/>
      <c r="BR451" s="2208"/>
      <c r="BS451" s="2207"/>
      <c r="BT451" s="2207"/>
      <c r="BU451" s="2207"/>
      <c r="BV451" s="2208"/>
      <c r="BW451" s="2207"/>
      <c r="BX451" s="2207"/>
      <c r="BY451" s="2207"/>
      <c r="BZ451" s="2208"/>
      <c r="CA451" s="2207"/>
      <c r="CB451" s="2207"/>
      <c r="CC451" s="2207"/>
      <c r="CD451" s="2208"/>
      <c r="CE451" s="2207"/>
      <c r="CF451" s="2207"/>
      <c r="CG451" s="2207"/>
      <c r="CH451" s="2208"/>
      <c r="CI451" s="2207"/>
      <c r="CJ451" s="2207"/>
      <c r="CK451" s="2207"/>
      <c r="CL451" s="2208"/>
      <c r="CM451" s="2207"/>
      <c r="CN451" s="2207"/>
      <c r="CO451" s="2207"/>
      <c r="CP451" s="2208">
        <f t="shared" ref="CP451:DC451" si="2040">+CP450/CL450-1</f>
        <v>-9.952117500272073E-2</v>
      </c>
      <c r="CQ451" s="2207">
        <f t="shared" si="2040"/>
        <v>-9.8363017599117253E-2</v>
      </c>
      <c r="CR451" s="2207">
        <f t="shared" si="2040"/>
        <v>-1.0020386190701114E-2</v>
      </c>
      <c r="CS451" s="2207">
        <f t="shared" si="2040"/>
        <v>-0.17259596364669694</v>
      </c>
      <c r="CT451" s="2208">
        <f t="shared" si="2040"/>
        <v>0.35640854667961563</v>
      </c>
      <c r="CU451" s="2207">
        <f t="shared" si="2040"/>
        <v>0.35191587868434326</v>
      </c>
      <c r="CV451" s="2207">
        <f t="shared" si="2040"/>
        <v>0.23755232437926166</v>
      </c>
      <c r="CW451" s="2207">
        <f t="shared" si="2040"/>
        <v>0.6274142865189043</v>
      </c>
      <c r="CX451" s="2208">
        <f t="shared" si="2040"/>
        <v>0.2269613350955908</v>
      </c>
      <c r="CY451" s="2207">
        <f t="shared" si="2040"/>
        <v>0.26863033874377318</v>
      </c>
      <c r="CZ451" s="2207">
        <f t="shared" si="2040"/>
        <v>0.10307717316666509</v>
      </c>
      <c r="DA451" s="2207">
        <f t="shared" si="2040"/>
        <v>0.16901340074487781</v>
      </c>
      <c r="DB451" s="2208">
        <f t="shared" si="2040"/>
        <v>1.2967208142975473E-2</v>
      </c>
      <c r="DC451" s="2207">
        <f t="shared" si="2040"/>
        <v>1.6781118609731971E-2</v>
      </c>
      <c r="DD451" s="2207"/>
      <c r="DE451" s="2207"/>
      <c r="DF451" s="2208"/>
      <c r="DG451" s="2207"/>
      <c r="DH451" s="2207"/>
      <c r="DI451" s="2209"/>
      <c r="DJ451" s="2208"/>
      <c r="DK451" s="2207"/>
      <c r="DL451" s="2207"/>
      <c r="DM451" s="2209"/>
      <c r="DN451" s="2207"/>
      <c r="DO451" s="2207"/>
      <c r="DP451" s="2207"/>
      <c r="DQ451" s="2209"/>
      <c r="DR451" s="2208"/>
      <c r="DS451" s="2207"/>
      <c r="DT451" s="2207"/>
      <c r="DU451" s="2209"/>
      <c r="DV451" s="2207"/>
      <c r="DW451" s="2222"/>
      <c r="DX451" s="2222"/>
      <c r="DY451" s="2223"/>
    </row>
    <row r="452" spans="1:129" ht="15" hidden="1" customHeight="1">
      <c r="A452" s="2929" t="s">
        <v>832</v>
      </c>
      <c r="B452" s="2141"/>
      <c r="C452" s="2141"/>
      <c r="D452" s="2141"/>
      <c r="E452" s="2141"/>
      <c r="F452" s="2141"/>
      <c r="G452" s="2141"/>
      <c r="H452" s="2141"/>
      <c r="I452" s="2141"/>
      <c r="J452" s="2141"/>
      <c r="K452" s="2141"/>
      <c r="L452" s="2141"/>
      <c r="M452" s="2141"/>
      <c r="N452" s="2141"/>
      <c r="O452" s="2141"/>
      <c r="P452" s="2141"/>
      <c r="Q452" s="2141">
        <f>+SUM(CL452:CO452)</f>
        <v>24920.400000000001</v>
      </c>
      <c r="R452" s="2141">
        <f>+SUM(CP452:CS452)</f>
        <v>26841.530000000002</v>
      </c>
      <c r="S452" s="2141">
        <f>+SUM(CT452:CW452)</f>
        <v>30996.48</v>
      </c>
      <c r="T452" s="2141">
        <f>+SUM(CX452:DA452)</f>
        <v>27320.814000000002</v>
      </c>
      <c r="U452" s="2141">
        <f>+SUM(DB452:DE452)</f>
        <v>26270.918999999998</v>
      </c>
      <c r="V452" s="2141">
        <f>+SUM(DF452:DI452)</f>
        <v>25526.864999999998</v>
      </c>
      <c r="W452" s="2141">
        <f>+SUM(DG452:DJ452)</f>
        <v>25873.120000000003</v>
      </c>
      <c r="X452" s="2141">
        <f>+SUM(DH452:DK452)</f>
        <v>26221.78</v>
      </c>
      <c r="Y452" s="2141">
        <f>+SUM(DI452:DL452)</f>
        <v>26555.75</v>
      </c>
      <c r="Z452" s="2141">
        <f>+SUM(DJ452:DM452)</f>
        <v>26875.55</v>
      </c>
      <c r="AA452" s="2141">
        <f ca="1">+AA453*AA254</f>
        <v>34533.20314688603</v>
      </c>
      <c r="AB452" s="2141">
        <f ca="1">+AB453*AB254</f>
        <v>35056.130026001636</v>
      </c>
      <c r="AC452" s="2141">
        <f t="shared" ref="AC452:AG452" ca="1" si="2041">+AC453*AC254</f>
        <v>35518.5323176479</v>
      </c>
      <c r="AD452" s="2141">
        <f t="shared" ca="1" si="2041"/>
        <v>35930.581369457555</v>
      </c>
      <c r="AE452" s="2141">
        <f t="shared" ca="1" si="2041"/>
        <v>36301.010026700009</v>
      </c>
      <c r="AF452" s="2141">
        <f t="shared" ca="1" si="2041"/>
        <v>36637.341495906214</v>
      </c>
      <c r="AG452" s="2141">
        <f t="shared" ca="1" si="2041"/>
        <v>36946.080990286362</v>
      </c>
      <c r="AH452" s="2201"/>
      <c r="AI452" s="1952"/>
      <c r="AK452" s="2141"/>
      <c r="AL452" s="2141"/>
      <c r="AM452" s="2141"/>
      <c r="AN452" s="2141"/>
      <c r="AO452" s="2141"/>
      <c r="AP452" s="1936"/>
      <c r="AQ452" s="2141"/>
      <c r="AR452" s="2141"/>
      <c r="AS452" s="2141"/>
      <c r="AT452" s="1936"/>
      <c r="AU452" s="2141"/>
      <c r="AV452" s="2141"/>
      <c r="AW452" s="2141"/>
      <c r="AX452" s="1936"/>
      <c r="AY452" s="2141"/>
      <c r="AZ452" s="2141"/>
      <c r="BA452" s="2141"/>
      <c r="BB452" s="1936"/>
      <c r="BC452" s="2141"/>
      <c r="BD452" s="2141"/>
      <c r="BE452" s="2141"/>
      <c r="BF452" s="1936"/>
      <c r="BG452" s="2141"/>
      <c r="BH452" s="2141"/>
      <c r="BI452" s="2141"/>
      <c r="BJ452" s="1936"/>
      <c r="BK452" s="2141"/>
      <c r="BL452" s="2141"/>
      <c r="BM452" s="2141"/>
      <c r="BN452" s="1936"/>
      <c r="BO452" s="2141"/>
      <c r="BP452" s="2141"/>
      <c r="BQ452" s="2141"/>
      <c r="BR452" s="1936"/>
      <c r="BS452" s="2141"/>
      <c r="BT452" s="2141"/>
      <c r="BU452" s="2141"/>
      <c r="BV452" s="1936"/>
      <c r="BW452" s="2141"/>
      <c r="BX452" s="2141"/>
      <c r="BY452" s="2141"/>
      <c r="BZ452" s="1936"/>
      <c r="CA452" s="2141"/>
      <c r="CB452" s="2141"/>
      <c r="CC452" s="2141"/>
      <c r="CD452" s="1936"/>
      <c r="CE452" s="2141"/>
      <c r="CF452" s="2141"/>
      <c r="CG452" s="2141"/>
      <c r="CH452" s="1936">
        <f t="shared" ref="CH452:DV452" si="2042">+CH453*CG254</f>
        <v>5618.3419200000008</v>
      </c>
      <c r="CI452" s="2141">
        <f t="shared" si="2042"/>
        <v>5682.4000000000005</v>
      </c>
      <c r="CJ452" s="2141">
        <f t="shared" si="2042"/>
        <v>5817.04</v>
      </c>
      <c r="CK452" s="2141">
        <f t="shared" si="2042"/>
        <v>6003.36</v>
      </c>
      <c r="CL452" s="1936">
        <f t="shared" si="2042"/>
        <v>6110.8</v>
      </c>
      <c r="CM452" s="2141">
        <f t="shared" si="2042"/>
        <v>6188.32</v>
      </c>
      <c r="CN452" s="2141">
        <f t="shared" si="2042"/>
        <v>6271.6</v>
      </c>
      <c r="CO452" s="2141">
        <f t="shared" si="2042"/>
        <v>6349.68</v>
      </c>
      <c r="CP452" s="1936">
        <f t="shared" si="2042"/>
        <v>6439.6</v>
      </c>
      <c r="CQ452" s="2141">
        <f t="shared" si="2042"/>
        <v>6472.96</v>
      </c>
      <c r="CR452" s="2141">
        <f t="shared" si="2042"/>
        <v>6525.84</v>
      </c>
      <c r="CS452" s="2141">
        <f t="shared" si="2042"/>
        <v>7403.13</v>
      </c>
      <c r="CT452" s="1936">
        <f t="shared" si="2042"/>
        <v>7481.25</v>
      </c>
      <c r="CU452" s="2141">
        <f t="shared" si="2042"/>
        <v>7562.79</v>
      </c>
      <c r="CV452" s="2141">
        <f t="shared" si="2042"/>
        <v>7334.94</v>
      </c>
      <c r="CW452" s="2141">
        <f t="shared" si="2042"/>
        <v>8617.5</v>
      </c>
      <c r="CX452" s="1936">
        <f t="shared" si="2042"/>
        <v>6990.56</v>
      </c>
      <c r="CY452" s="2141">
        <f t="shared" si="2042"/>
        <v>6157.4100000000008</v>
      </c>
      <c r="CZ452" s="2141">
        <f t="shared" si="2042"/>
        <v>6040.9840000000004</v>
      </c>
      <c r="DA452" s="2141">
        <f t="shared" si="2042"/>
        <v>8131.86</v>
      </c>
      <c r="DB452" s="1936">
        <f t="shared" si="2042"/>
        <v>6199.51</v>
      </c>
      <c r="DC452" s="2141">
        <f t="shared" si="2042"/>
        <v>6523.02</v>
      </c>
      <c r="DD452" s="2141">
        <f t="shared" si="2042"/>
        <v>6504.6990000000005</v>
      </c>
      <c r="DE452" s="2141">
        <f t="shared" si="2042"/>
        <v>7043.69</v>
      </c>
      <c r="DF452" s="1936">
        <f t="shared" si="2042"/>
        <v>6288.88</v>
      </c>
      <c r="DG452" s="2141">
        <f t="shared" si="2042"/>
        <v>6322.7449999999999</v>
      </c>
      <c r="DH452" s="2141">
        <f t="shared" si="2042"/>
        <v>6408.5450000000001</v>
      </c>
      <c r="DI452" s="2472">
        <f t="shared" si="2042"/>
        <v>6506.6950000000006</v>
      </c>
      <c r="DJ452" s="1936">
        <f t="shared" si="2042"/>
        <v>6635.1350000000002</v>
      </c>
      <c r="DK452" s="2141">
        <f t="shared" si="2042"/>
        <v>6671.4050000000007</v>
      </c>
      <c r="DL452" s="2141">
        <f t="shared" si="2042"/>
        <v>6742.5150000000003</v>
      </c>
      <c r="DM452" s="2472">
        <f t="shared" si="2042"/>
        <v>6826.4949999999999</v>
      </c>
      <c r="DN452" s="2141">
        <f t="shared" si="2042"/>
        <v>6924.3200000000006</v>
      </c>
      <c r="DO452" s="2141">
        <f t="shared" si="2042"/>
        <v>6966.1150000000007</v>
      </c>
      <c r="DP452" s="2141">
        <f t="shared" si="2042"/>
        <v>7005.7</v>
      </c>
      <c r="DQ452" s="2472">
        <f t="shared" si="2042"/>
        <v>7034.3</v>
      </c>
      <c r="DR452" s="1936">
        <f t="shared" si="2042"/>
        <v>7071.7400000000007</v>
      </c>
      <c r="DS452" s="2141">
        <f t="shared" si="2042"/>
        <v>7051.3950000000004</v>
      </c>
      <c r="DT452" s="2141">
        <f t="shared" si="2042"/>
        <v>7090.72</v>
      </c>
      <c r="DU452" s="2472">
        <f t="shared" si="2042"/>
        <v>7129.59</v>
      </c>
      <c r="DV452" s="2141">
        <f t="shared" si="2042"/>
        <v>7205.51</v>
      </c>
      <c r="DW452" s="2141">
        <f t="shared" ref="DW452" si="2043">+DW453*DV254</f>
        <v>9333.5760000000009</v>
      </c>
      <c r="DX452" s="2141">
        <f t="shared" ref="DX452" ca="1" si="2044">+DX453*DW254</f>
        <v>9372.8964884646484</v>
      </c>
      <c r="DY452" s="2472">
        <f t="shared" ref="DY452" ca="1" si="2045">+DY453*DX254</f>
        <v>9413.614861339991</v>
      </c>
    </row>
    <row r="453" spans="1:129" ht="15" hidden="1" customHeight="1">
      <c r="A453" s="2206" t="s">
        <v>833</v>
      </c>
      <c r="B453" s="2207"/>
      <c r="C453" s="2207"/>
      <c r="D453" s="2207"/>
      <c r="E453" s="2207"/>
      <c r="F453" s="2207"/>
      <c r="G453" s="2207"/>
      <c r="H453" s="2207"/>
      <c r="I453" s="2207"/>
      <c r="J453" s="2207"/>
      <c r="K453" s="2207"/>
      <c r="L453" s="2207"/>
      <c r="M453" s="2207"/>
      <c r="N453" s="2207"/>
      <c r="O453" s="2207"/>
      <c r="P453" s="2207"/>
      <c r="Q453" s="2207">
        <f t="shared" ref="Q453:W453" si="2046">+Q452/Q254</f>
        <v>0.30958941549164548</v>
      </c>
      <c r="R453" s="2207">
        <f t="shared" si="2046"/>
        <v>0.32290562406015039</v>
      </c>
      <c r="S453" s="2207">
        <f t="shared" si="2046"/>
        <v>0.35472385617175162</v>
      </c>
      <c r="T453" s="2207">
        <f t="shared" si="2046"/>
        <v>0.29526438992759108</v>
      </c>
      <c r="U453" s="2207">
        <f t="shared" si="2046"/>
        <v>0.27152843352075406</v>
      </c>
      <c r="V453" s="2207">
        <f t="shared" si="2046"/>
        <v>0.25006970091791647</v>
      </c>
      <c r="W453" s="2207">
        <f t="shared" si="2046"/>
        <v>0.24287623911084413</v>
      </c>
      <c r="X453" s="2207">
        <f>+X452/X254</f>
        <v>0.24101786830398175</v>
      </c>
      <c r="Y453" s="2207">
        <f>+Y452/Y254</f>
        <v>0.23955608277554261</v>
      </c>
      <c r="Z453" s="2207">
        <f ca="1">+Z452/Z254</f>
        <v>0.23757134683138581</v>
      </c>
      <c r="AA453" s="2222">
        <v>0.3</v>
      </c>
      <c r="AB453" s="2222">
        <v>0.3</v>
      </c>
      <c r="AC453" s="2222">
        <v>0.3</v>
      </c>
      <c r="AD453" s="2222">
        <v>0.3</v>
      </c>
      <c r="AE453" s="2222">
        <v>0.3</v>
      </c>
      <c r="AF453" s="2222">
        <v>0.3</v>
      </c>
      <c r="AG453" s="2222">
        <v>0.3</v>
      </c>
      <c r="AH453" s="2201"/>
      <c r="AI453" s="1927"/>
      <c r="AK453" s="2207"/>
      <c r="AL453" s="2207"/>
      <c r="AM453" s="2207"/>
      <c r="AN453" s="2207"/>
      <c r="AO453" s="2207"/>
      <c r="AP453" s="2208"/>
      <c r="AQ453" s="2207"/>
      <c r="AR453" s="2207"/>
      <c r="AS453" s="2207"/>
      <c r="AT453" s="2208"/>
      <c r="AU453" s="2207"/>
      <c r="AV453" s="2207"/>
      <c r="AW453" s="2207"/>
      <c r="AX453" s="2208"/>
      <c r="AY453" s="2207"/>
      <c r="AZ453" s="2207"/>
      <c r="BA453" s="2207"/>
      <c r="BB453" s="2208"/>
      <c r="BC453" s="2207"/>
      <c r="BD453" s="2207"/>
      <c r="BE453" s="2207"/>
      <c r="BF453" s="2208"/>
      <c r="BG453" s="2207"/>
      <c r="BH453" s="2207"/>
      <c r="BI453" s="2207"/>
      <c r="BJ453" s="2208"/>
      <c r="BK453" s="2207"/>
      <c r="BL453" s="2207"/>
      <c r="BM453" s="2207"/>
      <c r="BN453" s="2208"/>
      <c r="BO453" s="2207"/>
      <c r="BP453" s="2207"/>
      <c r="BQ453" s="2207"/>
      <c r="BR453" s="2208"/>
      <c r="BS453" s="2207"/>
      <c r="BT453" s="2207"/>
      <c r="BU453" s="2207"/>
      <c r="BV453" s="2208"/>
      <c r="BW453" s="2207"/>
      <c r="BX453" s="2207"/>
      <c r="BY453" s="2207"/>
      <c r="BZ453" s="2208"/>
      <c r="CA453" s="2207"/>
      <c r="CB453" s="2207"/>
      <c r="CC453" s="2207"/>
      <c r="CD453" s="2208"/>
      <c r="CE453" s="2207"/>
      <c r="CF453" s="2207"/>
      <c r="CG453" s="2207"/>
      <c r="CH453" s="2275">
        <v>0.08</v>
      </c>
      <c r="CI453" s="2932">
        <v>0.08</v>
      </c>
      <c r="CJ453" s="2932">
        <v>0.08</v>
      </c>
      <c r="CK453" s="2932">
        <v>0.08</v>
      </c>
      <c r="CL453" s="2275">
        <v>0.08</v>
      </c>
      <c r="CM453" s="2932">
        <v>0.08</v>
      </c>
      <c r="CN453" s="2932">
        <v>0.08</v>
      </c>
      <c r="CO453" s="2932">
        <v>0.08</v>
      </c>
      <c r="CP453" s="2275">
        <v>0.08</v>
      </c>
      <c r="CQ453" s="2932">
        <v>0.08</v>
      </c>
      <c r="CR453" s="2932">
        <v>0.08</v>
      </c>
      <c r="CS453" s="2932">
        <v>0.09</v>
      </c>
      <c r="CT453" s="2253">
        <v>0.09</v>
      </c>
      <c r="CU453" s="2222">
        <v>0.09</v>
      </c>
      <c r="CV453" s="2222">
        <v>8.5999999999999993E-2</v>
      </c>
      <c r="CW453" s="2222">
        <v>0.1</v>
      </c>
      <c r="CX453" s="2253">
        <v>0.08</v>
      </c>
      <c r="CY453" s="2222">
        <v>7.0000000000000007E-2</v>
      </c>
      <c r="CZ453" s="2222">
        <v>6.8000000000000005E-2</v>
      </c>
      <c r="DA453" s="2222">
        <v>0.09</v>
      </c>
      <c r="DB453" s="2253">
        <v>6.7000000000000004E-2</v>
      </c>
      <c r="DC453" s="2222">
        <v>7.0000000000000007E-2</v>
      </c>
      <c r="DD453" s="2222">
        <v>6.9000000000000006E-2</v>
      </c>
      <c r="DE453" s="2222">
        <v>7.3999999999999996E-2</v>
      </c>
      <c r="DF453" s="2253">
        <v>6.5000000000000002E-2</v>
      </c>
      <c r="DG453" s="2222">
        <v>6.5000000000000002E-2</v>
      </c>
      <c r="DH453" s="2222">
        <v>6.5000000000000002E-2</v>
      </c>
      <c r="DI453" s="2223">
        <v>6.5000000000000002E-2</v>
      </c>
      <c r="DJ453" s="2253">
        <v>6.5000000000000002E-2</v>
      </c>
      <c r="DK453" s="2222">
        <v>6.5000000000000002E-2</v>
      </c>
      <c r="DL453" s="2222">
        <v>6.5000000000000002E-2</v>
      </c>
      <c r="DM453" s="2223">
        <v>6.5000000000000002E-2</v>
      </c>
      <c r="DN453" s="2222">
        <v>6.5000000000000002E-2</v>
      </c>
      <c r="DO453" s="2222">
        <v>6.5000000000000002E-2</v>
      </c>
      <c r="DP453" s="2222">
        <v>6.5000000000000002E-2</v>
      </c>
      <c r="DQ453" s="2223">
        <v>6.5000000000000002E-2</v>
      </c>
      <c r="DR453" s="2253">
        <v>6.5000000000000002E-2</v>
      </c>
      <c r="DS453" s="2222">
        <v>6.5000000000000002E-2</v>
      </c>
      <c r="DT453" s="2222">
        <v>6.5000000000000002E-2</v>
      </c>
      <c r="DU453" s="2223">
        <v>6.5000000000000002E-2</v>
      </c>
      <c r="DV453" s="2222">
        <v>6.5000000000000002E-2</v>
      </c>
      <c r="DW453" s="2222">
        <v>8.4000000000000005E-2</v>
      </c>
      <c r="DX453" s="2222">
        <v>8.4000000000000005E-2</v>
      </c>
      <c r="DY453" s="2223">
        <v>8.4000000000000005E-2</v>
      </c>
    </row>
    <row r="454" spans="1:129" ht="15" hidden="1" customHeight="1">
      <c r="A454" s="2211"/>
      <c r="U454" s="2280"/>
      <c r="V454" s="2280"/>
      <c r="W454" s="2280"/>
      <c r="X454" s="2280"/>
      <c r="Y454" s="2280"/>
      <c r="Z454" s="2280"/>
      <c r="AA454" s="2280"/>
      <c r="AB454" s="2280"/>
      <c r="AC454" s="2280"/>
      <c r="AD454" s="2280"/>
      <c r="AE454" s="2280"/>
      <c r="AF454" s="2280"/>
      <c r="AG454" s="2280"/>
      <c r="AH454" s="2201"/>
      <c r="AI454" s="1927"/>
      <c r="AP454" s="1942"/>
      <c r="AT454" s="1942"/>
      <c r="AX454" s="1942"/>
      <c r="BB454" s="1942"/>
      <c r="BF454" s="1942"/>
      <c r="BJ454" s="1942"/>
      <c r="BN454" s="1942"/>
      <c r="BR454" s="1942"/>
      <c r="BV454" s="1942"/>
      <c r="BZ454" s="1942"/>
      <c r="CD454" s="1942"/>
      <c r="CH454" s="2933"/>
      <c r="CI454" s="2934"/>
      <c r="CJ454" s="2934"/>
      <c r="CK454" s="2934"/>
      <c r="CL454" s="2933"/>
      <c r="CM454" s="2934"/>
      <c r="CN454" s="2934"/>
      <c r="CO454" s="2934"/>
      <c r="CP454" s="2933"/>
      <c r="CQ454" s="2934"/>
      <c r="CR454" s="2934"/>
      <c r="CS454" s="2934"/>
      <c r="CT454" s="2933"/>
      <c r="CU454" s="2934"/>
      <c r="CV454" s="2934"/>
      <c r="CW454" s="2934"/>
      <c r="CX454" s="2933"/>
      <c r="CY454" s="2934"/>
      <c r="CZ454" s="2934"/>
      <c r="DA454" s="2934"/>
      <c r="DB454" s="2202">
        <f t="shared" ref="DB454:DN454" si="2047">+DB444-DB460</f>
        <v>-1952</v>
      </c>
      <c r="DC454" s="2200">
        <f t="shared" si="2047"/>
        <v>-2017</v>
      </c>
      <c r="DD454" s="2200">
        <f t="shared" si="2047"/>
        <v>-1928</v>
      </c>
      <c r="DE454" s="2200">
        <f t="shared" si="2047"/>
        <v>-2345</v>
      </c>
      <c r="DF454" s="2202">
        <f t="shared" si="2047"/>
        <v>-2229</v>
      </c>
      <c r="DG454" s="2200">
        <f t="shared" si="2047"/>
        <v>-2606</v>
      </c>
      <c r="DH454" s="2200">
        <f t="shared" si="2047"/>
        <v>-2726</v>
      </c>
      <c r="DI454" s="2203">
        <f t="shared" si="2047"/>
        <v>-3105</v>
      </c>
      <c r="DJ454" s="2202">
        <f t="shared" si="2047"/>
        <v>-1735</v>
      </c>
      <c r="DK454" s="2200">
        <f t="shared" si="2047"/>
        <v>-1594</v>
      </c>
      <c r="DL454" s="2200">
        <f t="shared" si="2047"/>
        <v>-1424</v>
      </c>
      <c r="DM454" s="2203">
        <f t="shared" si="2047"/>
        <v>-1442</v>
      </c>
      <c r="DN454" s="2200">
        <f t="shared" si="2047"/>
        <v>-1044</v>
      </c>
      <c r="DO454" s="2200">
        <f t="shared" ref="DO454:DP454" si="2048">+DO444-DO460</f>
        <v>-940</v>
      </c>
      <c r="DP454" s="2200">
        <f t="shared" si="2048"/>
        <v>-1116</v>
      </c>
      <c r="DQ454" s="2203">
        <f t="shared" ref="DQ454" si="2049">+DQ444-DQ460</f>
        <v>-1623</v>
      </c>
      <c r="DR454" s="2202">
        <f t="shared" ref="DR454" si="2050">+DR444-DR460</f>
        <v>-1044</v>
      </c>
      <c r="DS454" s="2200">
        <f t="shared" ref="DS454:DT454" si="2051">+DS444-DS460</f>
        <v>-737</v>
      </c>
      <c r="DT454" s="2200">
        <f t="shared" si="2051"/>
        <v>-613</v>
      </c>
      <c r="DU454" s="2203">
        <f t="shared" ref="DU454" si="2052">+DU444-DU460</f>
        <v>-864</v>
      </c>
      <c r="DV454" s="2200">
        <f t="shared" ref="DV454" si="2053">+DV444-DV460</f>
        <v>-269</v>
      </c>
      <c r="DW454" s="2200">
        <f t="shared" ref="DW454:DY454" si="2054">+DW444-DW460</f>
        <v>-278.59393246766103</v>
      </c>
      <c r="DX454" s="2200">
        <f t="shared" ca="1" si="2054"/>
        <v>-158.42474594136274</v>
      </c>
      <c r="DY454" s="2203">
        <f t="shared" ca="1" si="2054"/>
        <v>-186.58946306583402</v>
      </c>
    </row>
    <row r="455" spans="1:129" ht="15" hidden="1" customHeight="1">
      <c r="A455" s="1942"/>
      <c r="AH455" s="2201"/>
      <c r="AI455" s="1927"/>
      <c r="AP455" s="1942"/>
      <c r="AT455" s="1942"/>
      <c r="AX455" s="1942"/>
      <c r="BB455" s="1942"/>
      <c r="BF455" s="1942"/>
      <c r="BJ455" s="1942"/>
      <c r="BN455" s="1942"/>
      <c r="BR455" s="1942"/>
      <c r="BV455" s="1942"/>
      <c r="BZ455" s="1942"/>
      <c r="CD455" s="1942"/>
      <c r="CH455" s="1942"/>
      <c r="CL455" s="1942"/>
      <c r="CP455" s="1942"/>
      <c r="CT455" s="1942"/>
      <c r="CX455" s="1942"/>
      <c r="DB455" s="1942"/>
      <c r="DF455" s="1942"/>
      <c r="DI455" s="2236"/>
      <c r="DJ455" s="1942"/>
      <c r="DM455" s="2236"/>
      <c r="DQ455" s="2236"/>
      <c r="DR455" s="1942"/>
      <c r="DU455" s="2236"/>
      <c r="DY455" s="2236"/>
    </row>
    <row r="456" spans="1:129" ht="15" hidden="1" customHeight="1">
      <c r="A456" s="1942" t="s">
        <v>104</v>
      </c>
      <c r="AH456" s="2201"/>
      <c r="AI456" s="1927"/>
      <c r="AP456" s="1942"/>
      <c r="AT456" s="1942"/>
      <c r="AX456" s="1942"/>
      <c r="BB456" s="1942"/>
      <c r="BF456" s="1942"/>
      <c r="BJ456" s="1942"/>
      <c r="BN456" s="1942"/>
      <c r="BR456" s="1942"/>
      <c r="BV456" s="1942"/>
      <c r="BZ456" s="2879">
        <v>49.33</v>
      </c>
      <c r="CA456" s="2880">
        <v>50.34</v>
      </c>
      <c r="CB456" s="2880">
        <v>51.21</v>
      </c>
      <c r="CC456" s="2880">
        <v>50.78</v>
      </c>
      <c r="CD456" s="2879">
        <v>50.73</v>
      </c>
      <c r="CE456" s="2880">
        <v>51.84</v>
      </c>
      <c r="CF456" s="2880">
        <v>52.17</v>
      </c>
      <c r="CG456" s="2880">
        <v>51.49</v>
      </c>
      <c r="CH456" s="2879">
        <v>51.4</v>
      </c>
      <c r="CI456" s="2880">
        <v>51.93</v>
      </c>
      <c r="CJ456" s="2880">
        <v>52.29</v>
      </c>
      <c r="CK456" s="2280">
        <v>51.87</v>
      </c>
      <c r="CL456" s="1942"/>
      <c r="CP456" s="1942"/>
      <c r="CT456" s="1942"/>
      <c r="CX456" s="1942"/>
      <c r="DB456" s="1942"/>
      <c r="DF456" s="1942"/>
      <c r="DI456" s="2236"/>
      <c r="DJ456" s="1942"/>
      <c r="DM456" s="2236"/>
      <c r="DQ456" s="2236"/>
      <c r="DR456" s="1942"/>
      <c r="DU456" s="2236"/>
      <c r="DY456" s="2236"/>
    </row>
    <row r="457" spans="1:129" ht="15" customHeight="1">
      <c r="A457" s="1942"/>
      <c r="AH457" s="2201"/>
      <c r="AI457" s="1927"/>
      <c r="AP457" s="1942"/>
      <c r="AT457" s="1942"/>
      <c r="AX457" s="1942"/>
      <c r="BB457" s="1942"/>
      <c r="BF457" s="1942"/>
      <c r="BJ457" s="1942"/>
      <c r="BN457" s="1942"/>
      <c r="BR457" s="1942"/>
      <c r="BV457" s="1942"/>
      <c r="BZ457" s="2202"/>
      <c r="CD457" s="1942"/>
      <c r="CH457" s="1942"/>
      <c r="CL457" s="1942"/>
      <c r="CP457" s="1942"/>
      <c r="CT457" s="1942"/>
      <c r="CX457" s="1942"/>
      <c r="DB457" s="1942"/>
      <c r="DF457" s="1942"/>
      <c r="DI457" s="2236"/>
      <c r="DJ457" s="1942"/>
      <c r="DM457" s="2236"/>
      <c r="DQ457" s="2236"/>
      <c r="DR457" s="1942"/>
      <c r="DU457" s="2236"/>
      <c r="DY457" s="2236"/>
    </row>
    <row r="458" spans="1:129" s="1491" customFormat="1">
      <c r="A458" s="198" t="s">
        <v>1624</v>
      </c>
      <c r="B458" s="1476"/>
      <c r="C458" s="1476"/>
      <c r="D458" s="1476"/>
      <c r="E458" s="1476"/>
      <c r="F458" s="1476"/>
      <c r="G458" s="1476"/>
      <c r="H458" s="1476"/>
      <c r="I458" s="1476"/>
      <c r="J458" s="1476"/>
      <c r="K458" s="1476"/>
      <c r="L458" s="1476"/>
      <c r="M458" s="1476"/>
      <c r="N458" s="1476"/>
      <c r="O458" s="1476"/>
      <c r="P458" s="1476"/>
      <c r="Q458" s="1476"/>
      <c r="R458" s="1476"/>
      <c r="S458" s="1476"/>
      <c r="T458" s="1476"/>
      <c r="U458" s="1476"/>
      <c r="V458" s="1476"/>
      <c r="W458" s="1476"/>
      <c r="X458" s="1476"/>
      <c r="Y458" s="1476"/>
      <c r="Z458" s="1476"/>
      <c r="AA458" s="1476"/>
      <c r="AB458" s="1476"/>
      <c r="AC458" s="1476"/>
      <c r="AD458" s="1476"/>
      <c r="AE458" s="1476"/>
      <c r="AF458" s="1476"/>
      <c r="AG458" s="1476"/>
      <c r="AH458" s="2201"/>
      <c r="AI458" s="1927"/>
      <c r="AJ458" s="1561"/>
      <c r="AK458" s="1476"/>
      <c r="AL458" s="1476"/>
      <c r="AM458" s="1476"/>
      <c r="AN458" s="1476"/>
      <c r="AO458" s="1476"/>
      <c r="AP458" s="798"/>
      <c r="AQ458" s="1476"/>
      <c r="AR458" s="1476"/>
      <c r="AS458" s="1476"/>
      <c r="AT458" s="798"/>
      <c r="AU458" s="1476"/>
      <c r="AV458" s="1476"/>
      <c r="AW458" s="1476"/>
      <c r="AX458" s="798"/>
      <c r="AY458" s="1476"/>
      <c r="AZ458" s="1476"/>
      <c r="BA458" s="1476"/>
      <c r="BB458" s="798"/>
      <c r="BC458" s="1476"/>
      <c r="BD458" s="1476"/>
      <c r="BE458" s="1476"/>
      <c r="BF458" s="798"/>
      <c r="BG458" s="1476"/>
      <c r="BH458" s="1476"/>
      <c r="BI458" s="1476"/>
      <c r="BJ458" s="798"/>
      <c r="BK458" s="1476"/>
      <c r="BL458" s="1476"/>
      <c r="BM458" s="1476"/>
      <c r="BN458" s="798"/>
      <c r="BO458" s="1476"/>
      <c r="BP458" s="1476"/>
      <c r="BQ458" s="1476"/>
      <c r="BR458" s="798"/>
      <c r="BS458" s="1476"/>
      <c r="BT458" s="1476"/>
      <c r="BU458" s="1476"/>
      <c r="BV458" s="798"/>
      <c r="BW458" s="1476"/>
      <c r="BX458" s="1476"/>
      <c r="BY458" s="1476"/>
      <c r="BZ458" s="798"/>
      <c r="CA458" s="1476"/>
      <c r="CB458" s="1476"/>
      <c r="CC458" s="1476"/>
      <c r="CD458" s="798"/>
      <c r="CE458" s="1476"/>
      <c r="CF458" s="1476"/>
      <c r="CG458" s="1476"/>
      <c r="CH458" s="798"/>
      <c r="CI458" s="1476"/>
      <c r="CJ458" s="1476"/>
      <c r="CK458" s="1476"/>
      <c r="CL458" s="798"/>
      <c r="CM458" s="1476"/>
      <c r="CN458" s="1476"/>
      <c r="CO458" s="1476"/>
      <c r="CP458" s="798"/>
      <c r="CQ458" s="1476"/>
      <c r="CR458" s="1476"/>
      <c r="CS458" s="1476"/>
      <c r="CT458" s="798"/>
      <c r="CU458" s="1476"/>
      <c r="CV458" s="1476"/>
      <c r="CW458" s="1476"/>
      <c r="CX458" s="798"/>
      <c r="CY458" s="1476"/>
      <c r="CZ458" s="1476"/>
      <c r="DA458" s="1476"/>
      <c r="DB458" s="798"/>
      <c r="DC458" s="1476"/>
      <c r="DD458" s="1476"/>
      <c r="DE458" s="1476"/>
      <c r="DF458" s="798"/>
      <c r="DG458" s="1476"/>
      <c r="DH458" s="1476"/>
      <c r="DI458" s="1477"/>
      <c r="DJ458" s="798"/>
      <c r="DK458" s="1476"/>
      <c r="DL458" s="1476"/>
      <c r="DM458" s="1477"/>
      <c r="DN458" s="1476"/>
      <c r="DO458" s="1476"/>
      <c r="DP458" s="1476"/>
      <c r="DQ458" s="1477"/>
      <c r="DR458" s="798"/>
      <c r="DS458" s="1476"/>
      <c r="DT458" s="1476"/>
      <c r="DU458" s="1477"/>
      <c r="DV458" s="1476"/>
      <c r="DW458" s="1476"/>
      <c r="DX458" s="1476"/>
      <c r="DY458" s="1477"/>
    </row>
    <row r="459" spans="1:129">
      <c r="A459" s="1942"/>
      <c r="AH459" s="2201"/>
      <c r="AI459" s="1927"/>
      <c r="AK459" s="1903">
        <f>AK72</f>
        <v>0</v>
      </c>
      <c r="AL459" s="1903">
        <f>AL72</f>
        <v>0</v>
      </c>
      <c r="AP459" s="1942"/>
      <c r="AT459" s="1942"/>
      <c r="AX459" s="1942"/>
      <c r="BB459" s="1942"/>
      <c r="BF459" s="1942"/>
      <c r="BJ459" s="1942"/>
      <c r="BN459" s="1942"/>
      <c r="BR459" s="1942"/>
      <c r="BV459" s="1942"/>
      <c r="BZ459" s="1942"/>
      <c r="CD459" s="1942"/>
      <c r="CH459" s="1993"/>
      <c r="CI459" s="1992"/>
      <c r="CJ459" s="1992"/>
      <c r="CK459" s="1992"/>
      <c r="CL459" s="1993"/>
      <c r="CM459" s="1992"/>
      <c r="CN459" s="1992"/>
      <c r="CO459" s="1992"/>
      <c r="CP459" s="1993"/>
      <c r="CQ459" s="1992"/>
      <c r="CR459" s="1992"/>
      <c r="CS459" s="1992"/>
      <c r="CT459" s="1993"/>
      <c r="CU459" s="1992"/>
      <c r="CV459" s="1992"/>
      <c r="CW459" s="1992"/>
      <c r="CX459" s="1993"/>
      <c r="CY459" s="1992"/>
      <c r="CZ459" s="1992"/>
      <c r="DA459" s="1992"/>
      <c r="DB459" s="1993"/>
      <c r="DC459" s="1992"/>
      <c r="DD459" s="1992"/>
      <c r="DE459" s="1992"/>
      <c r="DF459" s="1993"/>
      <c r="DG459" s="1992"/>
      <c r="DH459" s="1992"/>
      <c r="DI459" s="1998"/>
      <c r="DJ459" s="1993"/>
      <c r="DK459" s="1992"/>
      <c r="DL459" s="1992"/>
      <c r="DM459" s="1998"/>
      <c r="DN459" s="1992"/>
      <c r="DO459" s="1992"/>
      <c r="DP459" s="1992"/>
      <c r="DQ459" s="1998"/>
      <c r="DR459" s="1993"/>
      <c r="DS459" s="1992"/>
      <c r="DT459" s="1992"/>
      <c r="DU459" s="1998"/>
      <c r="DV459" s="1992"/>
      <c r="DW459" s="1992"/>
      <c r="DX459" s="1992"/>
      <c r="DY459" s="1998"/>
    </row>
    <row r="460" spans="1:129" s="2205" customFormat="1" ht="15" customHeight="1">
      <c r="A460" s="1933" t="s">
        <v>378</v>
      </c>
      <c r="P460" s="1992">
        <f>SUM(CH460:CK460)</f>
        <v>9705.0000000000018</v>
      </c>
      <c r="Q460" s="1992">
        <f>SUM(CL460:CO460)</f>
        <v>12222</v>
      </c>
      <c r="R460" s="1992">
        <f>SUM(CP460:CS460)</f>
        <v>11600.242959912601</v>
      </c>
      <c r="S460" s="1992">
        <f>SUM(CT460:CW460)</f>
        <v>15838.679091653419</v>
      </c>
      <c r="T460" s="1992">
        <f>SUM(CX460:DA460)</f>
        <v>16700</v>
      </c>
      <c r="U460" s="1992">
        <f>SUM(DB460:DE460)</f>
        <v>16353</v>
      </c>
      <c r="V460" s="1992">
        <f>SUM(DF460:DI460)</f>
        <v>21625</v>
      </c>
      <c r="W460" s="1992">
        <f>SUM(DJ460:DM460)</f>
        <v>23119</v>
      </c>
      <c r="X460" s="1992">
        <f>+SUM(DN460:DQ460)</f>
        <v>22238</v>
      </c>
      <c r="Y460" s="1992">
        <f>+SUM(DR460:DU460)</f>
        <v>22147</v>
      </c>
      <c r="Z460" s="1992">
        <f ca="1">+SUM(DV460:DY460)</f>
        <v>22570.108141474862</v>
      </c>
      <c r="AA460" s="1992">
        <f ca="1">+AA363*AA469/1000</f>
        <v>22085.074761576871</v>
      </c>
      <c r="AB460" s="1992">
        <f ca="1">+AB363*AB469/1000</f>
        <v>21837.753662625481</v>
      </c>
      <c r="AC460" s="1992">
        <f t="shared" ref="AC460:AG460" ca="1" si="2055">+AC363*AC469/1000</f>
        <v>21554.982741106847</v>
      </c>
      <c r="AD460" s="1992">
        <f t="shared" ca="1" si="2055"/>
        <v>21243.156889868671</v>
      </c>
      <c r="AE460" s="1992">
        <f t="shared" ca="1" si="2055"/>
        <v>20907.607136641058</v>
      </c>
      <c r="AF460" s="1992">
        <f t="shared" ca="1" si="2055"/>
        <v>20552.777309849014</v>
      </c>
      <c r="AG460" s="1992">
        <f t="shared" ca="1" si="2055"/>
        <v>20182.369903406034</v>
      </c>
      <c r="AH460" s="2220"/>
      <c r="AI460" s="1977"/>
      <c r="AJ460" s="2221"/>
      <c r="AP460" s="1933"/>
      <c r="AT460" s="1933"/>
      <c r="AX460" s="1933"/>
      <c r="BB460" s="1933"/>
      <c r="BF460" s="1933"/>
      <c r="BJ460" s="1933"/>
      <c r="BN460" s="1933"/>
      <c r="BR460" s="2935">
        <v>1064.5</v>
      </c>
      <c r="BS460" s="2936">
        <v>1064.5</v>
      </c>
      <c r="BT460" s="2936">
        <v>1064.5</v>
      </c>
      <c r="BU460" s="2936">
        <v>1064.5</v>
      </c>
      <c r="BV460" s="2935">
        <v>1309.75</v>
      </c>
      <c r="BW460" s="2936">
        <v>1309.75</v>
      </c>
      <c r="BX460" s="2936">
        <v>1309.75</v>
      </c>
      <c r="BY460" s="2936">
        <v>1309.75</v>
      </c>
      <c r="BZ460" s="2935">
        <v>1698.25</v>
      </c>
      <c r="CA460" s="2936">
        <v>1698.25</v>
      </c>
      <c r="CB460" s="2936">
        <v>1698.25</v>
      </c>
      <c r="CC460" s="2936">
        <v>1698.25</v>
      </c>
      <c r="CD460" s="2935">
        <v>2040.5</v>
      </c>
      <c r="CE460" s="2936">
        <v>2040.5</v>
      </c>
      <c r="CF460" s="2936">
        <v>2040.5</v>
      </c>
      <c r="CG460" s="2936">
        <v>2040.5</v>
      </c>
      <c r="CH460" s="2714">
        <v>2177</v>
      </c>
      <c r="CI460" s="2936">
        <f>+(9705-$CH$460)/3</f>
        <v>2509.3333333333335</v>
      </c>
      <c r="CJ460" s="2936">
        <f>+(9705-$CH$460)/3</f>
        <v>2509.3333333333335</v>
      </c>
      <c r="CK460" s="2936">
        <f>+(9705-$CH$460)/3</f>
        <v>2509.3333333333335</v>
      </c>
      <c r="CL460" s="1995">
        <v>2803</v>
      </c>
      <c r="CM460" s="1997">
        <f>8923-CN460-CL460</f>
        <v>2936</v>
      </c>
      <c r="CN460" s="1997">
        <v>3184</v>
      </c>
      <c r="CO460" s="1992">
        <f>12222-CN460-CM460-CL460</f>
        <v>3299</v>
      </c>
      <c r="CP460" s="1995">
        <v>2812</v>
      </c>
      <c r="CQ460" s="1997">
        <v>2851</v>
      </c>
      <c r="CR460" s="1997">
        <v>2939.4084365413114</v>
      </c>
      <c r="CS460" s="2248">
        <v>2997.8345233712907</v>
      </c>
      <c r="CT460" s="2247">
        <v>3538.6790916534196</v>
      </c>
      <c r="CU460" s="2248">
        <v>3800</v>
      </c>
      <c r="CV460" s="2248">
        <v>3700</v>
      </c>
      <c r="CW460" s="2248">
        <v>4800</v>
      </c>
      <c r="CX460" s="2247">
        <v>4000</v>
      </c>
      <c r="CY460" s="2248">
        <v>3600</v>
      </c>
      <c r="CZ460" s="2248">
        <v>3700</v>
      </c>
      <c r="DA460" s="2248">
        <v>5400</v>
      </c>
      <c r="DB460" s="2247">
        <v>3765</v>
      </c>
      <c r="DC460" s="2248">
        <v>3970</v>
      </c>
      <c r="DD460" s="2937">
        <v>3852</v>
      </c>
      <c r="DE460" s="2937">
        <v>4766</v>
      </c>
      <c r="DF460" s="2938">
        <v>4099</v>
      </c>
      <c r="DG460" s="2937">
        <v>4993</v>
      </c>
      <c r="DH460" s="2937">
        <v>5206</v>
      </c>
      <c r="DI460" s="2939">
        <v>7327</v>
      </c>
      <c r="DJ460" s="2938">
        <v>5108</v>
      </c>
      <c r="DK460" s="2937">
        <v>5455</v>
      </c>
      <c r="DL460" s="2937">
        <v>5716</v>
      </c>
      <c r="DM460" s="2939">
        <v>6840</v>
      </c>
      <c r="DN460" s="2937">
        <v>4998</v>
      </c>
      <c r="DO460" s="2937">
        <v>4644</v>
      </c>
      <c r="DP460" s="2937">
        <v>5240</v>
      </c>
      <c r="DQ460" s="2939">
        <v>7356</v>
      </c>
      <c r="DR460" s="2938">
        <v>4808</v>
      </c>
      <c r="DS460" s="2937">
        <v>5035</v>
      </c>
      <c r="DT460" s="2937">
        <v>4965</v>
      </c>
      <c r="DU460" s="2939">
        <v>7339</v>
      </c>
      <c r="DV460" s="2937">
        <v>5309</v>
      </c>
      <c r="DW460" s="1992">
        <f>+DW363*DW469/1000</f>
        <v>5006.3939324676612</v>
      </c>
      <c r="DX460" s="1992">
        <f t="shared" ref="DX460:DY460" ca="1" si="2056">+DX363*DX469/1000</f>
        <v>4945.6247459413635</v>
      </c>
      <c r="DY460" s="1998">
        <f t="shared" ca="1" si="2056"/>
        <v>7309.0894630658349</v>
      </c>
    </row>
    <row r="461" spans="1:129" ht="15" customHeight="1">
      <c r="A461" s="2211" t="s">
        <v>834</v>
      </c>
      <c r="P461" s="2702">
        <f>+P460/P143*1000</f>
        <v>602.44965153517592</v>
      </c>
      <c r="Q461" s="2702">
        <f>+Q460/Q135*1000</f>
        <v>589.75805660678486</v>
      </c>
      <c r="R461" s="2799">
        <f t="shared" ref="R461:Z461" si="2057">R460/Q460-1</f>
        <v>-5.0871955497250765E-2</v>
      </c>
      <c r="S461" s="2799">
        <f t="shared" si="2057"/>
        <v>0.36537477244121019</v>
      </c>
      <c r="T461" s="2799">
        <f t="shared" si="2057"/>
        <v>5.4380854827753566E-2</v>
      </c>
      <c r="U461" s="2799">
        <f t="shared" si="2057"/>
        <v>-2.0778443113772416E-2</v>
      </c>
      <c r="V461" s="2799">
        <f t="shared" si="2057"/>
        <v>0.32238732954198013</v>
      </c>
      <c r="W461" s="2799">
        <f t="shared" si="2057"/>
        <v>6.9086705202312082E-2</v>
      </c>
      <c r="X461" s="2799">
        <f t="shared" si="2057"/>
        <v>-3.8107184566806507E-2</v>
      </c>
      <c r="Y461" s="2799">
        <f t="shared" si="2057"/>
        <v>-4.0920946128248925E-3</v>
      </c>
      <c r="Z461" s="2799">
        <f t="shared" ca="1" si="2057"/>
        <v>1.9104535218082086E-2</v>
      </c>
      <c r="AA461" s="2799">
        <f ca="1">AA460/Z460-1</f>
        <v>-2.1490077799259377E-2</v>
      </c>
      <c r="AB461" s="2799">
        <f ca="1">AB460/AA460-1</f>
        <v>-1.1198562903743214E-2</v>
      </c>
      <c r="AC461" s="2799">
        <f t="shared" ref="AC461:AG461" ca="1" si="2058">AC460/AB460-1</f>
        <v>-1.2948718347463806E-2</v>
      </c>
      <c r="AD461" s="2799">
        <f t="shared" ca="1" si="2058"/>
        <v>-1.4466532169543411E-2</v>
      </c>
      <c r="AE461" s="2799">
        <f t="shared" ca="1" si="2058"/>
        <v>-1.5795663279578043E-2</v>
      </c>
      <c r="AF461" s="2799">
        <f t="shared" ca="1" si="2058"/>
        <v>-1.6971326487678073E-2</v>
      </c>
      <c r="AG461" s="2799">
        <f t="shared" ca="1" si="2058"/>
        <v>-1.8022255623111327E-2</v>
      </c>
      <c r="AH461" s="2201"/>
      <c r="AI461" s="1927"/>
      <c r="AP461" s="1942"/>
      <c r="AT461" s="1942"/>
      <c r="AX461" s="1942"/>
      <c r="BB461" s="1942"/>
      <c r="BF461" s="1942"/>
      <c r="BJ461" s="1942"/>
      <c r="BN461" s="1942"/>
      <c r="BR461" s="2732"/>
      <c r="BS461" s="2731"/>
      <c r="BT461" s="2731"/>
      <c r="BU461" s="2731"/>
      <c r="BV461" s="2940">
        <f t="shared" ref="BV461:DV461" si="2059">BV460/BR460-1</f>
        <v>0.23038985439173332</v>
      </c>
      <c r="BW461" s="2799">
        <f t="shared" si="2059"/>
        <v>0.23038985439173332</v>
      </c>
      <c r="BX461" s="2799">
        <f t="shared" si="2059"/>
        <v>0.23038985439173332</v>
      </c>
      <c r="BY461" s="2799">
        <f t="shared" si="2059"/>
        <v>0.23038985439173332</v>
      </c>
      <c r="BZ461" s="2940">
        <f t="shared" si="2059"/>
        <v>0.29662149265126936</v>
      </c>
      <c r="CA461" s="2799">
        <f t="shared" si="2059"/>
        <v>0.29662149265126936</v>
      </c>
      <c r="CB461" s="2799">
        <f t="shared" si="2059"/>
        <v>0.29662149265126936</v>
      </c>
      <c r="CC461" s="2799">
        <f t="shared" si="2059"/>
        <v>0.29662149265126936</v>
      </c>
      <c r="CD461" s="2940">
        <f t="shared" si="2059"/>
        <v>0.20153098778153988</v>
      </c>
      <c r="CE461" s="2799">
        <f t="shared" si="2059"/>
        <v>0.20153098778153988</v>
      </c>
      <c r="CF461" s="2799">
        <f t="shared" si="2059"/>
        <v>0.20153098778153988</v>
      </c>
      <c r="CG461" s="2799">
        <f t="shared" si="2059"/>
        <v>0.20153098778153988</v>
      </c>
      <c r="CH461" s="2940">
        <f t="shared" si="2059"/>
        <v>6.689536878216118E-2</v>
      </c>
      <c r="CI461" s="2799">
        <f t="shared" si="2059"/>
        <v>0.22976394674507894</v>
      </c>
      <c r="CJ461" s="2799">
        <f t="shared" si="2059"/>
        <v>0.22976394674507894</v>
      </c>
      <c r="CK461" s="2941">
        <f t="shared" si="2059"/>
        <v>0.22976394674507894</v>
      </c>
      <c r="CL461" s="2940">
        <f t="shared" si="2059"/>
        <v>0.28755167661920078</v>
      </c>
      <c r="CM461" s="2799">
        <f t="shared" si="2059"/>
        <v>0.17003188097768329</v>
      </c>
      <c r="CN461" s="2799">
        <f t="shared" si="2059"/>
        <v>0.26886291179596156</v>
      </c>
      <c r="CO461" s="2799">
        <f t="shared" si="2059"/>
        <v>0.31469181721572781</v>
      </c>
      <c r="CP461" s="2940">
        <f t="shared" si="2059"/>
        <v>3.2108455226542709E-3</v>
      </c>
      <c r="CQ461" s="2799">
        <f t="shared" si="2059"/>
        <v>-2.8950953678474112E-2</v>
      </c>
      <c r="CR461" s="2799">
        <f t="shared" si="2059"/>
        <v>-7.6818958372703694E-2</v>
      </c>
      <c r="CS461" s="2799">
        <f t="shared" si="2059"/>
        <v>-9.1289929259990688E-2</v>
      </c>
      <c r="CT461" s="2940">
        <f t="shared" si="2059"/>
        <v>0.25842072960647933</v>
      </c>
      <c r="CU461" s="2799">
        <f t="shared" si="2059"/>
        <v>0.33286566117151883</v>
      </c>
      <c r="CV461" s="2799">
        <f t="shared" si="2059"/>
        <v>0.25875667838582084</v>
      </c>
      <c r="CW461" s="2799">
        <f t="shared" si="2059"/>
        <v>0.60115575512221353</v>
      </c>
      <c r="CX461" s="2940">
        <f t="shared" si="2059"/>
        <v>0.13036528501120226</v>
      </c>
      <c r="CY461" s="2799">
        <f t="shared" si="2059"/>
        <v>-5.2631578947368474E-2</v>
      </c>
      <c r="CZ461" s="2799">
        <f t="shared" si="2059"/>
        <v>0</v>
      </c>
      <c r="DA461" s="2941">
        <f t="shared" si="2059"/>
        <v>0.125</v>
      </c>
      <c r="DB461" s="2940">
        <f t="shared" si="2059"/>
        <v>-5.8749999999999969E-2</v>
      </c>
      <c r="DC461" s="2799">
        <f t="shared" si="2059"/>
        <v>0.10277777777777786</v>
      </c>
      <c r="DD461" s="2799">
        <f t="shared" si="2059"/>
        <v>4.1081081081081106E-2</v>
      </c>
      <c r="DE461" s="2799">
        <f t="shared" si="2059"/>
        <v>-0.1174074074074074</v>
      </c>
      <c r="DF461" s="2940">
        <f t="shared" si="2059"/>
        <v>8.8711819389110325E-2</v>
      </c>
      <c r="DG461" s="2799">
        <f t="shared" si="2059"/>
        <v>0.25768261964735517</v>
      </c>
      <c r="DH461" s="2799">
        <f t="shared" si="2059"/>
        <v>0.35150571131879538</v>
      </c>
      <c r="DI461" s="2941">
        <f t="shared" si="2059"/>
        <v>0.53734788082249274</v>
      </c>
      <c r="DJ461" s="2940">
        <f t="shared" si="2059"/>
        <v>0.24615759941449133</v>
      </c>
      <c r="DK461" s="2799">
        <f t="shared" si="2059"/>
        <v>9.2529541357901035E-2</v>
      </c>
      <c r="DL461" s="2799">
        <f t="shared" si="2059"/>
        <v>9.7963887821744144E-2</v>
      </c>
      <c r="DM461" s="2941">
        <f t="shared" si="2059"/>
        <v>-6.6466493790091397E-2</v>
      </c>
      <c r="DN461" s="2799">
        <f t="shared" si="2059"/>
        <v>-2.1534847298355531E-2</v>
      </c>
      <c r="DO461" s="2799">
        <f t="shared" si="2059"/>
        <v>-0.14867094408799264</v>
      </c>
      <c r="DP461" s="2799">
        <f t="shared" si="2059"/>
        <v>-8.3275017494751524E-2</v>
      </c>
      <c r="DQ461" s="2941">
        <f t="shared" si="2059"/>
        <v>7.5438596491228083E-2</v>
      </c>
      <c r="DR461" s="2940">
        <f t="shared" si="2059"/>
        <v>-3.8015206082433028E-2</v>
      </c>
      <c r="DS461" s="2799">
        <f t="shared" si="2059"/>
        <v>8.4194659776055225E-2</v>
      </c>
      <c r="DT461" s="2799">
        <f t="shared" si="2059"/>
        <v>-5.2480916030534397E-2</v>
      </c>
      <c r="DU461" s="2941">
        <f t="shared" si="2059"/>
        <v>-2.311038607939131E-3</v>
      </c>
      <c r="DV461" s="2799">
        <f t="shared" si="2059"/>
        <v>0.10420133111480867</v>
      </c>
      <c r="DW461" s="2799">
        <f t="shared" ref="DW461" si="2060">DW460/DS460-1</f>
        <v>-5.6814434026492E-3</v>
      </c>
      <c r="DX461" s="2799">
        <f t="shared" ref="DX461" ca="1" si="2061">DX460/DT460-1</f>
        <v>-3.9023673834112094E-3</v>
      </c>
      <c r="DY461" s="2941">
        <f t="shared" ref="DY461" ca="1" si="2062">DY460/DU460-1</f>
        <v>-4.0755602853475015E-3</v>
      </c>
    </row>
    <row r="462" spans="1:129" s="1491" customFormat="1" ht="15" hidden="1" customHeight="1">
      <c r="A462" s="2942"/>
      <c r="B462" s="2237"/>
      <c r="C462" s="2237"/>
      <c r="D462" s="2237"/>
      <c r="E462" s="2237"/>
      <c r="F462" s="2237"/>
      <c r="G462" s="2237"/>
      <c r="H462" s="2237"/>
      <c r="I462" s="2237"/>
      <c r="J462" s="2237"/>
      <c r="K462" s="2237"/>
      <c r="L462" s="2237"/>
      <c r="M462" s="2237"/>
      <c r="N462" s="2237"/>
      <c r="O462" s="2237"/>
      <c r="P462" s="2943"/>
      <c r="Q462" s="2943"/>
      <c r="R462" s="2943"/>
      <c r="S462" s="2943"/>
      <c r="T462" s="2943"/>
      <c r="U462" s="2943"/>
      <c r="V462" s="2943"/>
      <c r="W462" s="2943"/>
      <c r="X462" s="2943"/>
      <c r="Y462" s="2943"/>
      <c r="Z462" s="2943"/>
      <c r="AA462" s="1224"/>
      <c r="AB462" s="1224"/>
      <c r="AC462" s="1224"/>
      <c r="AD462" s="1224"/>
      <c r="AE462" s="1224"/>
      <c r="AF462" s="1224"/>
      <c r="AG462" s="1224"/>
      <c r="AH462" s="2201"/>
      <c r="AI462" s="1950"/>
      <c r="AJ462" s="1561"/>
      <c r="AK462" s="2237"/>
      <c r="AL462" s="2237"/>
      <c r="AM462" s="2237"/>
      <c r="AN462" s="2237"/>
      <c r="AO462" s="2237"/>
      <c r="AP462" s="2239"/>
      <c r="AQ462" s="2237"/>
      <c r="AR462" s="2237"/>
      <c r="AS462" s="2237"/>
      <c r="AT462" s="2239"/>
      <c r="AU462" s="2237"/>
      <c r="AV462" s="2237"/>
      <c r="AW462" s="2237"/>
      <c r="AX462" s="2239"/>
      <c r="AY462" s="2237"/>
      <c r="AZ462" s="2237"/>
      <c r="BA462" s="2237"/>
      <c r="BB462" s="2239"/>
      <c r="BC462" s="2237"/>
      <c r="BD462" s="2237"/>
      <c r="BE462" s="2237"/>
      <c r="BF462" s="2239"/>
      <c r="BG462" s="2237"/>
      <c r="BH462" s="2237"/>
      <c r="BI462" s="2237"/>
      <c r="BJ462" s="2239"/>
      <c r="BK462" s="2237"/>
      <c r="BL462" s="2237"/>
      <c r="BM462" s="2237"/>
      <c r="BN462" s="2239"/>
      <c r="BO462" s="2237"/>
      <c r="BP462" s="2237"/>
      <c r="BQ462" s="2237"/>
      <c r="BR462" s="2947"/>
      <c r="BS462" s="2943"/>
      <c r="BT462" s="2943"/>
      <c r="BU462" s="2943"/>
      <c r="BV462" s="2947"/>
      <c r="BW462" s="2943"/>
      <c r="BX462" s="2943"/>
      <c r="BY462" s="2943"/>
      <c r="BZ462" s="2947"/>
      <c r="CA462" s="2943"/>
      <c r="CB462" s="2943"/>
      <c r="CC462" s="2943"/>
      <c r="CD462" s="2947"/>
      <c r="CE462" s="2943"/>
      <c r="CF462" s="2943"/>
      <c r="CG462" s="2943"/>
      <c r="CH462" s="2947"/>
      <c r="CI462" s="2943"/>
      <c r="CJ462" s="2943"/>
      <c r="CK462" s="2943"/>
      <c r="CL462" s="2947"/>
      <c r="CM462" s="2943"/>
      <c r="CN462" s="2943"/>
      <c r="CO462" s="2943"/>
      <c r="CP462" s="2947"/>
      <c r="CQ462" s="2943">
        <f t="shared" ref="CQ462:DN462" si="2063">+CQ460/(CQ257+CQ452)*1000</f>
        <v>303.27768340315009</v>
      </c>
      <c r="CR462" s="2943">
        <f t="shared" si="2063"/>
        <v>301.8086480282833</v>
      </c>
      <c r="CS462" s="2943">
        <f t="shared" si="2063"/>
        <v>278.07504303293831</v>
      </c>
      <c r="CT462" s="2947">
        <f t="shared" si="2063"/>
        <v>324.06485090496653</v>
      </c>
      <c r="CU462" s="2943">
        <f t="shared" si="2063"/>
        <v>342.95331367064659</v>
      </c>
      <c r="CV462" s="2943">
        <f t="shared" si="2063"/>
        <v>347.92105182363997</v>
      </c>
      <c r="CW462" s="2943">
        <f t="shared" si="2063"/>
        <v>391.14532705563562</v>
      </c>
      <c r="CX462" s="2947">
        <f t="shared" si="2063"/>
        <v>399.3399708961029</v>
      </c>
      <c r="CY462" s="2943">
        <f t="shared" si="2063"/>
        <v>388.21958035922086</v>
      </c>
      <c r="CZ462" s="2943">
        <f t="shared" si="2063"/>
        <v>369.18945194205025</v>
      </c>
      <c r="DA462" s="2943">
        <f t="shared" si="2063"/>
        <v>420.6276746370159</v>
      </c>
      <c r="DB462" s="2947">
        <f t="shared" si="2063"/>
        <v>388.5405852158047</v>
      </c>
      <c r="DC462" s="2943">
        <f t="shared" si="2063"/>
        <v>393.88651810930719</v>
      </c>
      <c r="DD462" s="2943">
        <f t="shared" si="2063"/>
        <v>378.08134084368555</v>
      </c>
      <c r="DE462" s="2943">
        <f t="shared" si="2063"/>
        <v>418.78347390082695</v>
      </c>
      <c r="DF462" s="2947">
        <f t="shared" si="2063"/>
        <v>412.292067036437</v>
      </c>
      <c r="DG462" s="2943">
        <f t="shared" si="2063"/>
        <v>474.37376487531799</v>
      </c>
      <c r="DH462" s="2943">
        <f t="shared" si="2063"/>
        <v>477.39634671666215</v>
      </c>
      <c r="DI462" s="2948">
        <f t="shared" si="2063"/>
        <v>613.1377058919262</v>
      </c>
      <c r="DJ462" s="2947">
        <f t="shared" si="2063"/>
        <v>492.90759240965536</v>
      </c>
      <c r="DK462" s="2943">
        <f t="shared" si="2063"/>
        <v>515.04181752450791</v>
      </c>
      <c r="DL462" s="2943">
        <f t="shared" si="2063"/>
        <v>522.31282274416117</v>
      </c>
      <c r="DM462" s="2948">
        <f t="shared" si="2063"/>
        <v>600.43034001193882</v>
      </c>
      <c r="DN462" s="2943">
        <f t="shared" si="2063"/>
        <v>469.6668511504526</v>
      </c>
      <c r="DO462" s="2943">
        <f t="shared" ref="DO462:DP462" si="2064">+DO460/(DO257+DO452)*1000</f>
        <v>437.62092116734988</v>
      </c>
      <c r="DP462" s="2943">
        <f t="shared" si="2064"/>
        <v>484.40923335767712</v>
      </c>
      <c r="DQ462" s="2948">
        <f t="shared" ref="DQ462" si="2065">+DQ460/(DQ257+DQ452)*1000</f>
        <v>656.43030416388842</v>
      </c>
      <c r="DR462" s="2947">
        <f t="shared" ref="DR462" si="2066">+DR460/(DR257+DR452)*1000</f>
        <v>457.3471142127155</v>
      </c>
      <c r="DS462" s="2943">
        <f t="shared" ref="DS462:DT462" si="2067">+DS460/(DS257+DS452)*1000</f>
        <v>469.10756204091916</v>
      </c>
      <c r="DT462" s="2943">
        <f t="shared" si="2067"/>
        <v>456.47274071207369</v>
      </c>
      <c r="DU462" s="2948">
        <f t="shared" ref="DU462" si="2068">+DU460/(DU257+DU452)*1000</f>
        <v>632.03547459499862</v>
      </c>
      <c r="DV462" s="2943">
        <f t="shared" ref="DV462" si="2069">+DV460/(DV257+DV452)*1000</f>
        <v>485.80688066522288</v>
      </c>
      <c r="DW462" s="1294"/>
      <c r="DX462" s="1294"/>
      <c r="DY462" s="1521"/>
    </row>
    <row r="463" spans="1:129" s="1491" customFormat="1" ht="15" hidden="1" customHeight="1">
      <c r="A463" s="2944"/>
      <c r="B463" s="2242"/>
      <c r="C463" s="2242"/>
      <c r="D463" s="2242"/>
      <c r="E463" s="2242"/>
      <c r="F463" s="2242"/>
      <c r="G463" s="2242"/>
      <c r="H463" s="2242"/>
      <c r="I463" s="2242"/>
      <c r="J463" s="2242"/>
      <c r="K463" s="2242"/>
      <c r="L463" s="2242"/>
      <c r="M463" s="2242"/>
      <c r="N463" s="2242"/>
      <c r="O463" s="2242"/>
      <c r="P463" s="2242"/>
      <c r="Q463" s="2242">
        <f>Q461/P461-1</f>
        <v>-2.1066648301729551E-2</v>
      </c>
      <c r="R463" s="2242"/>
      <c r="S463" s="2242"/>
      <c r="T463" s="2242"/>
      <c r="U463" s="2242"/>
      <c r="V463" s="2242"/>
      <c r="W463" s="2242"/>
      <c r="X463" s="2242"/>
      <c r="Y463" s="2242"/>
      <c r="Z463" s="2242"/>
      <c r="AA463" s="1056"/>
      <c r="AB463" s="1056"/>
      <c r="AC463" s="1056"/>
      <c r="AD463" s="1056"/>
      <c r="AE463" s="1056"/>
      <c r="AF463" s="1056"/>
      <c r="AG463" s="1056"/>
      <c r="AH463" s="2201"/>
      <c r="AI463" s="1950"/>
      <c r="AJ463" s="1561"/>
      <c r="AK463" s="2242"/>
      <c r="AL463" s="2242"/>
      <c r="AM463" s="2242"/>
      <c r="AN463" s="2242"/>
      <c r="AO463" s="2242"/>
      <c r="AP463" s="2243"/>
      <c r="AQ463" s="2242"/>
      <c r="AR463" s="2242"/>
      <c r="AS463" s="2242"/>
      <c r="AT463" s="2243"/>
      <c r="AU463" s="2242"/>
      <c r="AV463" s="2242"/>
      <c r="AW463" s="2242"/>
      <c r="AX463" s="2243"/>
      <c r="AY463" s="2242"/>
      <c r="AZ463" s="2242"/>
      <c r="BA463" s="2242"/>
      <c r="BB463" s="2243"/>
      <c r="BC463" s="2242"/>
      <c r="BD463" s="2242"/>
      <c r="BE463" s="2242"/>
      <c r="BF463" s="2243"/>
      <c r="BG463" s="2242"/>
      <c r="BH463" s="2242"/>
      <c r="BI463" s="2242"/>
      <c r="BJ463" s="2243"/>
      <c r="BK463" s="2242"/>
      <c r="BL463" s="2242"/>
      <c r="BM463" s="2242"/>
      <c r="BN463" s="2243"/>
      <c r="BO463" s="2242"/>
      <c r="BP463" s="2242"/>
      <c r="BQ463" s="2242"/>
      <c r="BR463" s="2243"/>
      <c r="BS463" s="2242"/>
      <c r="BT463" s="2242"/>
      <c r="BU463" s="2242"/>
      <c r="BV463" s="2243" t="e">
        <f t="shared" ref="BV463:CK463" si="2070">BV461/BR461-1</f>
        <v>#DIV/0!</v>
      </c>
      <c r="BW463" s="2242" t="e">
        <f t="shared" si="2070"/>
        <v>#DIV/0!</v>
      </c>
      <c r="BX463" s="2242" t="e">
        <f t="shared" si="2070"/>
        <v>#DIV/0!</v>
      </c>
      <c r="BY463" s="2242" t="e">
        <f t="shared" si="2070"/>
        <v>#DIV/0!</v>
      </c>
      <c r="BZ463" s="2243">
        <f t="shared" si="2070"/>
        <v>0.28747636667594723</v>
      </c>
      <c r="CA463" s="2242">
        <f t="shared" si="2070"/>
        <v>0.28747636667594723</v>
      </c>
      <c r="CB463" s="2242">
        <f t="shared" si="2070"/>
        <v>0.28747636667594723</v>
      </c>
      <c r="CC463" s="2242">
        <f t="shared" si="2070"/>
        <v>0.28747636667594723</v>
      </c>
      <c r="CD463" s="2243">
        <f t="shared" si="2070"/>
        <v>-0.32057860682915873</v>
      </c>
      <c r="CE463" s="2242">
        <f t="shared" si="2070"/>
        <v>-0.32057860682915873</v>
      </c>
      <c r="CF463" s="2242">
        <f t="shared" si="2070"/>
        <v>-0.32057860682915873</v>
      </c>
      <c r="CG463" s="2242">
        <f t="shared" si="2070"/>
        <v>-0.32057860682915873</v>
      </c>
      <c r="CH463" s="2243">
        <f t="shared" si="2070"/>
        <v>-0.66806410508603298</v>
      </c>
      <c r="CI463" s="2242">
        <f t="shared" si="2070"/>
        <v>0.14009239608423729</v>
      </c>
      <c r="CJ463" s="2242">
        <f t="shared" si="2070"/>
        <v>0.14009239608423729</v>
      </c>
      <c r="CK463" s="2242">
        <f t="shared" si="2070"/>
        <v>0.14009239608423729</v>
      </c>
      <c r="CL463" s="2322" t="s">
        <v>1149</v>
      </c>
      <c r="CM463" s="2321" t="s">
        <v>1149</v>
      </c>
      <c r="CN463" s="2321" t="s">
        <v>1149</v>
      </c>
      <c r="CO463" s="2321" t="s">
        <v>1149</v>
      </c>
      <c r="CP463" s="2243">
        <f t="shared" ref="CP463:DV463" si="2071">CP461/CL461-1</f>
        <v>-0.98883384871754254</v>
      </c>
      <c r="CQ463" s="2242">
        <f t="shared" si="2071"/>
        <v>-1.170267796321526</v>
      </c>
      <c r="CR463" s="2242">
        <f t="shared" si="2071"/>
        <v>-1.2857179439870128</v>
      </c>
      <c r="CS463" s="2242">
        <f t="shared" si="2071"/>
        <v>-1.2900931141702028</v>
      </c>
      <c r="CT463" s="2243">
        <f t="shared" si="2071"/>
        <v>79.483700565218655</v>
      </c>
      <c r="CU463" s="2242">
        <f t="shared" si="2071"/>
        <v>-12.497571543524463</v>
      </c>
      <c r="CV463" s="2242">
        <f t="shared" si="2071"/>
        <v>-4.3683960817381458</v>
      </c>
      <c r="CW463" s="2242">
        <f t="shared" si="2071"/>
        <v>-7.585126749415501</v>
      </c>
      <c r="CX463" s="2243">
        <f t="shared" si="2071"/>
        <v>-0.49553085307931255</v>
      </c>
      <c r="CY463" s="2242">
        <f t="shared" si="2071"/>
        <v>-1.1581165770062671</v>
      </c>
      <c r="CZ463" s="2242">
        <f t="shared" si="2071"/>
        <v>-1</v>
      </c>
      <c r="DA463" s="2242">
        <f t="shared" si="2071"/>
        <v>-0.79206719899972045</v>
      </c>
      <c r="DB463" s="2243">
        <f t="shared" si="2071"/>
        <v>-1.4506567833219679</v>
      </c>
      <c r="DC463" s="2242">
        <f t="shared" si="2071"/>
        <v>-2.9527777777777775</v>
      </c>
      <c r="DD463" s="2242" t="e">
        <f t="shared" si="2071"/>
        <v>#DIV/0!</v>
      </c>
      <c r="DE463" s="2242">
        <f t="shared" si="2071"/>
        <v>-1.9392592592592592</v>
      </c>
      <c r="DF463" s="2243">
        <f t="shared" si="2071"/>
        <v>-2.5099884151337934</v>
      </c>
      <c r="DG463" s="2242">
        <f t="shared" si="2071"/>
        <v>1.5071822452175079</v>
      </c>
      <c r="DH463" s="2242">
        <f t="shared" si="2071"/>
        <v>7.5563890255233037</v>
      </c>
      <c r="DI463" s="2244">
        <f t="shared" si="2071"/>
        <v>-5.5767800574786452</v>
      </c>
      <c r="DJ463" s="2243">
        <f t="shared" si="2071"/>
        <v>1.7748004844178409</v>
      </c>
      <c r="DK463" s="2242">
        <f t="shared" si="2071"/>
        <v>-0.64091663813209476</v>
      </c>
      <c r="DL463" s="2242">
        <f t="shared" si="2071"/>
        <v>-0.72130214483799227</v>
      </c>
      <c r="DM463" s="2244">
        <f t="shared" si="2071"/>
        <v>-1.1236935999233018</v>
      </c>
      <c r="DN463" s="2242">
        <f t="shared" si="2071"/>
        <v>-1.087483983226917</v>
      </c>
      <c r="DO463" s="2242">
        <f t="shared" si="2071"/>
        <v>-2.606740311323263</v>
      </c>
      <c r="DP463" s="2242">
        <f t="shared" si="2071"/>
        <v>-1.8500583158385813</v>
      </c>
      <c r="DQ463" s="2244">
        <f t="shared" si="2071"/>
        <v>-2.1349868511113526</v>
      </c>
      <c r="DR463" s="2243">
        <f t="shared" si="2071"/>
        <v>0.7652879333551621</v>
      </c>
      <c r="DS463" s="2242">
        <f t="shared" si="2071"/>
        <v>-1.5663154982470793</v>
      </c>
      <c r="DT463" s="2242">
        <f t="shared" si="2071"/>
        <v>-0.36978799153248998</v>
      </c>
      <c r="DU463" s="2244">
        <f t="shared" si="2071"/>
        <v>-1.0306346978261698</v>
      </c>
      <c r="DV463" s="2242">
        <f t="shared" si="2071"/>
        <v>-3.741043436377963</v>
      </c>
      <c r="DW463" s="1059"/>
      <c r="DX463" s="1059"/>
      <c r="DY463" s="166"/>
    </row>
    <row r="464" spans="1:129" s="1491" customFormat="1" ht="15" hidden="1" customHeight="1">
      <c r="A464" s="2945"/>
      <c r="B464" s="2237"/>
      <c r="C464" s="2237"/>
      <c r="D464" s="2237"/>
      <c r="E464" s="2237"/>
      <c r="F464" s="2237"/>
      <c r="G464" s="2237"/>
      <c r="H464" s="2237"/>
      <c r="I464" s="2237"/>
      <c r="J464" s="2237"/>
      <c r="K464" s="2237"/>
      <c r="L464" s="2237"/>
      <c r="M464" s="2237"/>
      <c r="N464" s="2237"/>
      <c r="O464" s="2237"/>
      <c r="P464" s="2237"/>
      <c r="Q464" s="2237"/>
      <c r="R464" s="2237"/>
      <c r="S464" s="2238"/>
      <c r="T464" s="2238"/>
      <c r="U464" s="2238"/>
      <c r="V464" s="2238"/>
      <c r="W464" s="2238"/>
      <c r="X464" s="2238"/>
      <c r="Y464" s="2238"/>
      <c r="Z464" s="2238"/>
      <c r="AA464" s="1053"/>
      <c r="AB464" s="1053"/>
      <c r="AC464" s="1053"/>
      <c r="AD464" s="1053"/>
      <c r="AE464" s="1053"/>
      <c r="AF464" s="1053"/>
      <c r="AG464" s="1053"/>
      <c r="AH464" s="2201"/>
      <c r="AI464" s="1950"/>
      <c r="AJ464" s="1561"/>
      <c r="AK464" s="2237"/>
      <c r="AL464" s="2237"/>
      <c r="AM464" s="2237"/>
      <c r="AN464" s="2237"/>
      <c r="AO464" s="2237"/>
      <c r="AP464" s="2239"/>
      <c r="AQ464" s="2237"/>
      <c r="AR464" s="2237"/>
      <c r="AS464" s="2237"/>
      <c r="AT464" s="2239"/>
      <c r="AU464" s="2237"/>
      <c r="AV464" s="2237"/>
      <c r="AW464" s="2237"/>
      <c r="AX464" s="2239"/>
      <c r="AY464" s="2237"/>
      <c r="AZ464" s="2237"/>
      <c r="BA464" s="2237"/>
      <c r="BB464" s="2239"/>
      <c r="BC464" s="2237"/>
      <c r="BD464" s="2237"/>
      <c r="BE464" s="2237"/>
      <c r="BF464" s="2239"/>
      <c r="BG464" s="2237"/>
      <c r="BH464" s="2237"/>
      <c r="BI464" s="2237"/>
      <c r="BJ464" s="2239"/>
      <c r="BK464" s="2237"/>
      <c r="BL464" s="2237"/>
      <c r="BM464" s="2237"/>
      <c r="BN464" s="2239"/>
      <c r="BO464" s="2237"/>
      <c r="BP464" s="2237"/>
      <c r="BQ464" s="2237"/>
      <c r="BR464" s="2239"/>
      <c r="BS464" s="2237"/>
      <c r="BT464" s="2237"/>
      <c r="BU464" s="2237"/>
      <c r="BV464" s="2239"/>
      <c r="BW464" s="2237"/>
      <c r="BX464" s="2237"/>
      <c r="BY464" s="2237"/>
      <c r="BZ464" s="2239"/>
      <c r="CA464" s="2237"/>
      <c r="CB464" s="2237"/>
      <c r="CC464" s="2237"/>
      <c r="CD464" s="2949"/>
      <c r="CE464" s="2950"/>
      <c r="CF464" s="2950"/>
      <c r="CG464" s="2950"/>
      <c r="CH464" s="2239"/>
      <c r="CI464" s="2950"/>
      <c r="CJ464" s="2950"/>
      <c r="CK464" s="2950"/>
      <c r="CL464" s="2239"/>
      <c r="CM464" s="2237"/>
      <c r="CN464" s="2237"/>
      <c r="CO464" s="2237"/>
      <c r="CP464" s="2239"/>
      <c r="CQ464" s="2237"/>
      <c r="CR464" s="2237"/>
      <c r="CS464" s="2237"/>
      <c r="CT464" s="2947">
        <f t="shared" ref="CT464:DE464" si="2072">+(CT719*CT737)/1000</f>
        <v>1320</v>
      </c>
      <c r="CU464" s="2943">
        <f t="shared" si="2072"/>
        <v>1380</v>
      </c>
      <c r="CV464" s="2943">
        <f t="shared" si="2072"/>
        <v>1200</v>
      </c>
      <c r="CW464" s="2943">
        <f t="shared" si="2072"/>
        <v>2580</v>
      </c>
      <c r="CX464" s="2947">
        <f t="shared" si="2072"/>
        <v>1920</v>
      </c>
      <c r="CY464" s="2943">
        <f t="shared" si="2072"/>
        <v>1620</v>
      </c>
      <c r="CZ464" s="2943">
        <f t="shared" si="2072"/>
        <v>1860</v>
      </c>
      <c r="DA464" s="2943">
        <f t="shared" si="2072"/>
        <v>3720</v>
      </c>
      <c r="DB464" s="2947">
        <f t="shared" si="2072"/>
        <v>2400</v>
      </c>
      <c r="DC464" s="2943">
        <f t="shared" si="2072"/>
        <v>2295</v>
      </c>
      <c r="DD464" s="2943">
        <f t="shared" si="2072"/>
        <v>2325.6</v>
      </c>
      <c r="DE464" s="2943">
        <f t="shared" si="2072"/>
        <v>3960</v>
      </c>
      <c r="DF464" s="2947">
        <f t="shared" ref="DF464:DK464" si="2073">+(DF719*DF737)/1000</f>
        <v>3960</v>
      </c>
      <c r="DG464" s="2943">
        <f t="shared" si="2073"/>
        <v>3960</v>
      </c>
      <c r="DH464" s="2943">
        <f t="shared" si="2073"/>
        <v>3960</v>
      </c>
      <c r="DI464" s="2948">
        <f t="shared" si="2073"/>
        <v>3960</v>
      </c>
      <c r="DJ464" s="2947">
        <f t="shared" si="2073"/>
        <v>3960</v>
      </c>
      <c r="DK464" s="2943">
        <f t="shared" si="2073"/>
        <v>3960</v>
      </c>
      <c r="DL464" s="2943">
        <f t="shared" ref="DL464:DQ464" si="2074">+(DL719*DL737)/1000</f>
        <v>3960</v>
      </c>
      <c r="DM464" s="2948">
        <f t="shared" si="2074"/>
        <v>3960</v>
      </c>
      <c r="DN464" s="2943">
        <f t="shared" si="2074"/>
        <v>3960</v>
      </c>
      <c r="DO464" s="2943">
        <f t="shared" si="2074"/>
        <v>3960</v>
      </c>
      <c r="DP464" s="2943">
        <f t="shared" si="2074"/>
        <v>3960</v>
      </c>
      <c r="DQ464" s="2948">
        <f t="shared" si="2074"/>
        <v>3960</v>
      </c>
      <c r="DR464" s="2947">
        <f t="shared" ref="DR464" si="2075">+(DR719*DR737)/1000</f>
        <v>3960</v>
      </c>
      <c r="DS464" s="2943">
        <f t="shared" ref="DS464:DT464" si="2076">+(DS719*DS737)/1000</f>
        <v>3960</v>
      </c>
      <c r="DT464" s="2943">
        <f t="shared" si="2076"/>
        <v>3960</v>
      </c>
      <c r="DU464" s="2948">
        <f t="shared" ref="DU464" si="2077">+(DU719*DU737)/1000</f>
        <v>3960</v>
      </c>
      <c r="DV464" s="2943">
        <f t="shared" ref="DV464" si="2078">+(DV719*DV737)/1000</f>
        <v>3960</v>
      </c>
      <c r="DW464" s="1294"/>
      <c r="DX464" s="1294"/>
      <c r="DY464" s="1521"/>
    </row>
    <row r="465" spans="1:129" s="1491" customFormat="1" ht="15" hidden="1" customHeight="1">
      <c r="A465" s="2944"/>
      <c r="B465" s="2242"/>
      <c r="C465" s="2242"/>
      <c r="D465" s="2242"/>
      <c r="E465" s="2242"/>
      <c r="F465" s="2242"/>
      <c r="G465" s="2242"/>
      <c r="H465" s="2242"/>
      <c r="I465" s="2242"/>
      <c r="J465" s="2242"/>
      <c r="K465" s="2242"/>
      <c r="L465" s="2242"/>
      <c r="M465" s="2242"/>
      <c r="N465" s="2242"/>
      <c r="O465" s="2242"/>
      <c r="P465" s="2242"/>
      <c r="Q465" s="2242"/>
      <c r="R465" s="2242"/>
      <c r="S465" s="2242"/>
      <c r="T465" s="2242"/>
      <c r="U465" s="2242"/>
      <c r="V465" s="2242"/>
      <c r="W465" s="2242"/>
      <c r="X465" s="2242"/>
      <c r="Y465" s="2242"/>
      <c r="Z465" s="2242"/>
      <c r="AA465" s="1056"/>
      <c r="AB465" s="1056"/>
      <c r="AC465" s="1056"/>
      <c r="AD465" s="1056"/>
      <c r="AE465" s="1056"/>
      <c r="AF465" s="1056"/>
      <c r="AG465" s="1056"/>
      <c r="AH465" s="2201"/>
      <c r="AI465" s="1950"/>
      <c r="AJ465" s="1561"/>
      <c r="AK465" s="2242"/>
      <c r="AL465" s="2242"/>
      <c r="AM465" s="2242"/>
      <c r="AN465" s="2242"/>
      <c r="AO465" s="2242"/>
      <c r="AP465" s="2243"/>
      <c r="AQ465" s="2242"/>
      <c r="AR465" s="2242"/>
      <c r="AS465" s="2242"/>
      <c r="AT465" s="2243"/>
      <c r="AU465" s="2242"/>
      <c r="AV465" s="2242"/>
      <c r="AW465" s="2242"/>
      <c r="AX465" s="2243"/>
      <c r="AY465" s="2242"/>
      <c r="AZ465" s="2242"/>
      <c r="BA465" s="2242"/>
      <c r="BB465" s="2243"/>
      <c r="BC465" s="2242"/>
      <c r="BD465" s="2242"/>
      <c r="BE465" s="2242"/>
      <c r="BF465" s="2243"/>
      <c r="BG465" s="2242"/>
      <c r="BH465" s="2242"/>
      <c r="BI465" s="2242"/>
      <c r="BJ465" s="2243"/>
      <c r="BK465" s="2242"/>
      <c r="BL465" s="2242"/>
      <c r="BM465" s="2242"/>
      <c r="BN465" s="2243"/>
      <c r="BO465" s="2242"/>
      <c r="BP465" s="2242"/>
      <c r="BQ465" s="2242"/>
      <c r="BR465" s="2243"/>
      <c r="BS465" s="2242"/>
      <c r="BT465" s="2242"/>
      <c r="BU465" s="2242"/>
      <c r="BV465" s="2243"/>
      <c r="BW465" s="2242"/>
      <c r="BX465" s="2242"/>
      <c r="BY465" s="2242"/>
      <c r="BZ465" s="2243"/>
      <c r="CA465" s="2242"/>
      <c r="CB465" s="2242"/>
      <c r="CC465" s="2242"/>
      <c r="CD465" s="2322"/>
      <c r="CE465" s="2321"/>
      <c r="CF465" s="2321"/>
      <c r="CG465" s="2321"/>
      <c r="CH465" s="2243"/>
      <c r="CI465" s="2321"/>
      <c r="CJ465" s="2321"/>
      <c r="CK465" s="2321"/>
      <c r="CL465" s="2243"/>
      <c r="CM465" s="2242"/>
      <c r="CN465" s="2242"/>
      <c r="CO465" s="2242"/>
      <c r="CP465" s="2243"/>
      <c r="CQ465" s="2242"/>
      <c r="CR465" s="2242"/>
      <c r="CS465" s="2242"/>
      <c r="CT465" s="2243"/>
      <c r="CU465" s="2242"/>
      <c r="CV465" s="2242"/>
      <c r="CW465" s="2242"/>
      <c r="CX465" s="2243"/>
      <c r="CY465" s="2242"/>
      <c r="CZ465" s="2242"/>
      <c r="DA465" s="2242"/>
      <c r="DB465" s="2243"/>
      <c r="DC465" s="2242"/>
      <c r="DD465" s="2242"/>
      <c r="DE465" s="2242"/>
      <c r="DF465" s="2243"/>
      <c r="DG465" s="2242"/>
      <c r="DH465" s="2242"/>
      <c r="DI465" s="2244"/>
      <c r="DJ465" s="2243"/>
      <c r="DK465" s="2242"/>
      <c r="DL465" s="2242"/>
      <c r="DM465" s="2244"/>
      <c r="DN465" s="2242"/>
      <c r="DO465" s="2242"/>
      <c r="DP465" s="2242"/>
      <c r="DQ465" s="2244"/>
      <c r="DR465" s="2243"/>
      <c r="DS465" s="2242"/>
      <c r="DT465" s="2242"/>
      <c r="DU465" s="2244"/>
      <c r="DV465" s="2242"/>
      <c r="DW465" s="1065"/>
      <c r="DX465" s="1065"/>
      <c r="DY465" s="564"/>
    </row>
    <row r="466" spans="1:129" s="1491" customFormat="1" ht="15" hidden="1" customHeight="1">
      <c r="A466" s="2945"/>
      <c r="B466" s="2237"/>
      <c r="C466" s="2237"/>
      <c r="D466" s="2237"/>
      <c r="E466" s="2237"/>
      <c r="F466" s="2237"/>
      <c r="G466" s="2237"/>
      <c r="H466" s="2237"/>
      <c r="I466" s="2237"/>
      <c r="J466" s="2237"/>
      <c r="K466" s="2237"/>
      <c r="L466" s="2237"/>
      <c r="M466" s="2237"/>
      <c r="N466" s="2237"/>
      <c r="O466" s="2237"/>
      <c r="P466" s="2237"/>
      <c r="Q466" s="2238">
        <f>+Q460</f>
        <v>12222</v>
      </c>
      <c r="R466" s="2238"/>
      <c r="S466" s="2238"/>
      <c r="T466" s="2238"/>
      <c r="U466" s="2238"/>
      <c r="V466" s="2238"/>
      <c r="W466" s="2238"/>
      <c r="X466" s="2238"/>
      <c r="Y466" s="2238"/>
      <c r="Z466" s="2238"/>
      <c r="AA466" s="1053"/>
      <c r="AB466" s="1053"/>
      <c r="AC466" s="1053"/>
      <c r="AD466" s="1053"/>
      <c r="AE466" s="1053"/>
      <c r="AF466" s="1053"/>
      <c r="AG466" s="1053"/>
      <c r="AH466" s="2201"/>
      <c r="AI466" s="1950"/>
      <c r="AJ466" s="1561"/>
      <c r="AK466" s="2237"/>
      <c r="AL466" s="2237"/>
      <c r="AM466" s="2237"/>
      <c r="AN466" s="2237"/>
      <c r="AO466" s="2237"/>
      <c r="AP466" s="2239"/>
      <c r="AQ466" s="2237"/>
      <c r="AR466" s="2237"/>
      <c r="AS466" s="2237"/>
      <c r="AT466" s="2239"/>
      <c r="AU466" s="2237"/>
      <c r="AV466" s="2237"/>
      <c r="AW466" s="2237"/>
      <c r="AX466" s="2239"/>
      <c r="AY466" s="2237"/>
      <c r="AZ466" s="2237"/>
      <c r="BA466" s="2237"/>
      <c r="BB466" s="2239"/>
      <c r="BC466" s="2237"/>
      <c r="BD466" s="2237"/>
      <c r="BE466" s="2237"/>
      <c r="BF466" s="2239"/>
      <c r="BG466" s="2237"/>
      <c r="BH466" s="2237"/>
      <c r="BI466" s="2237"/>
      <c r="BJ466" s="2239"/>
      <c r="BK466" s="2237"/>
      <c r="BL466" s="2237"/>
      <c r="BM466" s="2237"/>
      <c r="BN466" s="2239"/>
      <c r="BO466" s="2237"/>
      <c r="BP466" s="2237"/>
      <c r="BQ466" s="2237"/>
      <c r="BR466" s="2239"/>
      <c r="BS466" s="2237"/>
      <c r="BT466" s="2237"/>
      <c r="BU466" s="2237"/>
      <c r="BV466" s="2239"/>
      <c r="BW466" s="2237"/>
      <c r="BX466" s="2237"/>
      <c r="BY466" s="2237"/>
      <c r="BZ466" s="2239"/>
      <c r="CA466" s="2237"/>
      <c r="CB466" s="2237"/>
      <c r="CC466" s="2237"/>
      <c r="CD466" s="2949"/>
      <c r="CE466" s="2950"/>
      <c r="CF466" s="2950"/>
      <c r="CG466" s="2950"/>
      <c r="CH466" s="2239"/>
      <c r="CI466" s="2950"/>
      <c r="CJ466" s="2950"/>
      <c r="CK466" s="2950"/>
      <c r="CL466" s="2240">
        <f t="shared" ref="CL466:CS466" si="2079">+CL460</f>
        <v>2803</v>
      </c>
      <c r="CM466" s="2238">
        <f t="shared" si="2079"/>
        <v>2936</v>
      </c>
      <c r="CN466" s="2238">
        <f t="shared" si="2079"/>
        <v>3184</v>
      </c>
      <c r="CO466" s="2238">
        <f t="shared" si="2079"/>
        <v>3299</v>
      </c>
      <c r="CP466" s="2240">
        <f t="shared" si="2079"/>
        <v>2812</v>
      </c>
      <c r="CQ466" s="2238">
        <f t="shared" si="2079"/>
        <v>2851</v>
      </c>
      <c r="CR466" s="2238">
        <f t="shared" si="2079"/>
        <v>2939.4084365413114</v>
      </c>
      <c r="CS466" s="2238">
        <f t="shared" si="2079"/>
        <v>2997.8345233712907</v>
      </c>
      <c r="CT466" s="2240">
        <f t="shared" ref="CT466:DE466" si="2080">+CT460-CT464</f>
        <v>2218.6790916534196</v>
      </c>
      <c r="CU466" s="2238">
        <f t="shared" si="2080"/>
        <v>2420</v>
      </c>
      <c r="CV466" s="2238">
        <f t="shared" si="2080"/>
        <v>2500</v>
      </c>
      <c r="CW466" s="2238">
        <f t="shared" si="2080"/>
        <v>2220</v>
      </c>
      <c r="CX466" s="2240">
        <f t="shared" si="2080"/>
        <v>2080</v>
      </c>
      <c r="CY466" s="2238">
        <f t="shared" si="2080"/>
        <v>1980</v>
      </c>
      <c r="CZ466" s="2238">
        <f t="shared" si="2080"/>
        <v>1840</v>
      </c>
      <c r="DA466" s="2238">
        <f t="shared" si="2080"/>
        <v>1680</v>
      </c>
      <c r="DB466" s="2240">
        <f t="shared" si="2080"/>
        <v>1365</v>
      </c>
      <c r="DC466" s="2238">
        <f t="shared" si="2080"/>
        <v>1675</v>
      </c>
      <c r="DD466" s="2238">
        <f t="shared" si="2080"/>
        <v>1526.4</v>
      </c>
      <c r="DE466" s="2238">
        <f t="shared" si="2080"/>
        <v>806</v>
      </c>
      <c r="DF466" s="2240">
        <f t="shared" ref="DF466:DK466" si="2081">+DF460-DF464</f>
        <v>139</v>
      </c>
      <c r="DG466" s="2238">
        <f t="shared" si="2081"/>
        <v>1033</v>
      </c>
      <c r="DH466" s="2238">
        <f t="shared" si="2081"/>
        <v>1246</v>
      </c>
      <c r="DI466" s="2951">
        <f t="shared" si="2081"/>
        <v>3367</v>
      </c>
      <c r="DJ466" s="2240">
        <f t="shared" si="2081"/>
        <v>1148</v>
      </c>
      <c r="DK466" s="2238">
        <f t="shared" si="2081"/>
        <v>1495</v>
      </c>
      <c r="DL466" s="2238">
        <f t="shared" ref="DL466:DQ466" si="2082">+DL460-DL464</f>
        <v>1756</v>
      </c>
      <c r="DM466" s="2951">
        <f t="shared" si="2082"/>
        <v>2880</v>
      </c>
      <c r="DN466" s="2238">
        <f t="shared" si="2082"/>
        <v>1038</v>
      </c>
      <c r="DO466" s="2238">
        <f t="shared" si="2082"/>
        <v>684</v>
      </c>
      <c r="DP466" s="2238">
        <f t="shared" si="2082"/>
        <v>1280</v>
      </c>
      <c r="DQ466" s="2951">
        <f t="shared" si="2082"/>
        <v>3396</v>
      </c>
      <c r="DR466" s="2240">
        <f t="shared" ref="DR466" si="2083">+DR460-DR464</f>
        <v>848</v>
      </c>
      <c r="DS466" s="2238">
        <f t="shared" ref="DS466:DT466" si="2084">+DS460-DS464</f>
        <v>1075</v>
      </c>
      <c r="DT466" s="2238">
        <f t="shared" si="2084"/>
        <v>1005</v>
      </c>
      <c r="DU466" s="2951">
        <f t="shared" ref="DU466" si="2085">+DU460-DU464</f>
        <v>3379</v>
      </c>
      <c r="DV466" s="2238">
        <f t="shared" ref="DV466" si="2086">+DV460-DV464</f>
        <v>1349</v>
      </c>
      <c r="DW466" s="1070"/>
      <c r="DX466" s="1070"/>
      <c r="DY466" s="608"/>
    </row>
    <row r="467" spans="1:129" s="1491" customFormat="1" ht="15" hidden="1" customHeight="1">
      <c r="A467" s="2946"/>
      <c r="B467" s="2237"/>
      <c r="C467" s="2237"/>
      <c r="D467" s="2237"/>
      <c r="E467" s="2237"/>
      <c r="F467" s="2237"/>
      <c r="G467" s="2237"/>
      <c r="H467" s="2237"/>
      <c r="I467" s="2237"/>
      <c r="J467" s="2237"/>
      <c r="K467" s="2237"/>
      <c r="L467" s="2237"/>
      <c r="M467" s="2237"/>
      <c r="N467" s="2237"/>
      <c r="O467" s="2237"/>
      <c r="P467" s="2237"/>
      <c r="Q467" s="2943">
        <f>+Q466/(Q257+Q452-Q719)*1000</f>
        <v>313.24109193061304</v>
      </c>
      <c r="R467" s="2943"/>
      <c r="S467" s="2943"/>
      <c r="T467" s="2943"/>
      <c r="U467" s="2943"/>
      <c r="V467" s="2943"/>
      <c r="W467" s="2943"/>
      <c r="X467" s="2943"/>
      <c r="Y467" s="2943"/>
      <c r="Z467" s="2943"/>
      <c r="AA467" s="1224"/>
      <c r="AB467" s="1224"/>
      <c r="AC467" s="1224"/>
      <c r="AD467" s="1224"/>
      <c r="AE467" s="1224"/>
      <c r="AF467" s="1224"/>
      <c r="AG467" s="1224"/>
      <c r="AH467" s="2201"/>
      <c r="AI467" s="1950"/>
      <c r="AJ467" s="1561"/>
      <c r="AK467" s="2237"/>
      <c r="AL467" s="2237"/>
      <c r="AM467" s="2237"/>
      <c r="AN467" s="2237"/>
      <c r="AO467" s="2237"/>
      <c r="AP467" s="2239"/>
      <c r="AQ467" s="2237"/>
      <c r="AR467" s="2237"/>
      <c r="AS467" s="2237"/>
      <c r="AT467" s="2239"/>
      <c r="AU467" s="2237"/>
      <c r="AV467" s="2237"/>
      <c r="AW467" s="2237"/>
      <c r="AX467" s="2239"/>
      <c r="AY467" s="2237"/>
      <c r="AZ467" s="2237"/>
      <c r="BA467" s="2237"/>
      <c r="BB467" s="2239"/>
      <c r="BC467" s="2237"/>
      <c r="BD467" s="2237"/>
      <c r="BE467" s="2237"/>
      <c r="BF467" s="2239"/>
      <c r="BG467" s="2237"/>
      <c r="BH467" s="2237"/>
      <c r="BI467" s="2237"/>
      <c r="BJ467" s="2239"/>
      <c r="BK467" s="2237"/>
      <c r="BL467" s="2237"/>
      <c r="BM467" s="2237"/>
      <c r="BN467" s="2239"/>
      <c r="BO467" s="2237"/>
      <c r="BP467" s="2237"/>
      <c r="BQ467" s="2237"/>
      <c r="BR467" s="2239"/>
      <c r="BS467" s="2237"/>
      <c r="BT467" s="2237"/>
      <c r="BU467" s="2237"/>
      <c r="BV467" s="2239"/>
      <c r="BW467" s="2237"/>
      <c r="BX467" s="2237"/>
      <c r="BY467" s="2237"/>
      <c r="BZ467" s="2239"/>
      <c r="CA467" s="2237"/>
      <c r="CB467" s="2237"/>
      <c r="CC467" s="2237"/>
      <c r="CD467" s="2239"/>
      <c r="CE467" s="2237"/>
      <c r="CF467" s="2237"/>
      <c r="CG467" s="2237"/>
      <c r="CH467" s="2239"/>
      <c r="CI467" s="2237"/>
      <c r="CJ467" s="2237"/>
      <c r="CK467" s="2237"/>
      <c r="CL467" s="2947">
        <f t="shared" ref="CL467:CS467" si="2087">+CL460/(CL257+CL452)*1000</f>
        <v>290.38579410318033</v>
      </c>
      <c r="CM467" s="2943">
        <f t="shared" si="2087"/>
        <v>306.83838886853863</v>
      </c>
      <c r="CN467" s="2943">
        <f t="shared" si="2087"/>
        <v>324.13495872084292</v>
      </c>
      <c r="CO467" s="2943">
        <f t="shared" si="2087"/>
        <v>330.77425288909853</v>
      </c>
      <c r="CP467" s="2947">
        <f t="shared" si="2087"/>
        <v>299.34764409172573</v>
      </c>
      <c r="CQ467" s="2943">
        <f t="shared" si="2087"/>
        <v>303.27768340315009</v>
      </c>
      <c r="CR467" s="2943">
        <f t="shared" si="2087"/>
        <v>301.8086480282833</v>
      </c>
      <c r="CS467" s="2943">
        <f t="shared" si="2087"/>
        <v>278.07504303293831</v>
      </c>
      <c r="CT467" s="2947">
        <f t="shared" ref="CT467:DN467" si="2088">+CT466/(CT257+CT452-CT719)*1000</f>
        <v>254.44549747796685</v>
      </c>
      <c r="CU467" s="2943">
        <f t="shared" si="2088"/>
        <v>275.61934956487187</v>
      </c>
      <c r="CV467" s="2943">
        <f t="shared" si="2088"/>
        <v>289.53292721900789</v>
      </c>
      <c r="CW467" s="2943">
        <f t="shared" si="2088"/>
        <v>278.48675865084311</v>
      </c>
      <c r="CX467" s="2947">
        <f t="shared" si="2088"/>
        <v>305.14068159039323</v>
      </c>
      <c r="CY467" s="2943">
        <f t="shared" si="2088"/>
        <v>301.22761205644349</v>
      </c>
      <c r="CZ467" s="2943">
        <f t="shared" si="2088"/>
        <v>265.82086320471211</v>
      </c>
      <c r="DA467" s="2943">
        <f t="shared" si="2088"/>
        <v>253.08991908203089</v>
      </c>
      <c r="DB467" s="2947">
        <f t="shared" si="2088"/>
        <v>239.89002386844226</v>
      </c>
      <c r="DC467" s="2943">
        <f t="shared" si="2088"/>
        <v>267.82665616029334</v>
      </c>
      <c r="DD467" s="2943">
        <f t="shared" si="2088"/>
        <v>241.81422261147381</v>
      </c>
      <c r="DE467" s="2943">
        <f t="shared" si="2088"/>
        <v>168.59869051949065</v>
      </c>
      <c r="DF467" s="2947">
        <f t="shared" si="2088"/>
        <v>41.59209450980611</v>
      </c>
      <c r="DG467" s="2943">
        <f t="shared" si="2088"/>
        <v>263.15416737868583</v>
      </c>
      <c r="DH467" s="2943">
        <f t="shared" si="2088"/>
        <v>289.43190278247187</v>
      </c>
      <c r="DI467" s="2948">
        <f t="shared" si="2088"/>
        <v>629.3449474236221</v>
      </c>
      <c r="DJ467" s="2947">
        <f t="shared" si="2088"/>
        <v>305.07596444663847</v>
      </c>
      <c r="DK467" s="2943">
        <f t="shared" si="2088"/>
        <v>374.55782759466484</v>
      </c>
      <c r="DL467" s="2943">
        <f t="shared" si="2088"/>
        <v>404.26985399527155</v>
      </c>
      <c r="DM467" s="2948">
        <f t="shared" si="2088"/>
        <v>601.02306647227476</v>
      </c>
      <c r="DN467" s="2943">
        <f t="shared" si="2088"/>
        <v>256.82989369320791</v>
      </c>
      <c r="DO467" s="2943">
        <f t="shared" ref="DO467:DP467" si="2089">+DO466/(DO257+DO452-DO719)*1000</f>
        <v>170.49175980173703</v>
      </c>
      <c r="DP467" s="2943">
        <f t="shared" si="2089"/>
        <v>303.51172551158328</v>
      </c>
      <c r="DQ467" s="2948">
        <f t="shared" ref="DQ467" si="2090">+DQ466/(DQ257+DQ452-DQ719)*1000</f>
        <v>737.28893041868287</v>
      </c>
      <c r="DR467" s="2947">
        <f t="shared" ref="DR467" si="2091">+DR466/(DR257+DR452-DR719)*1000</f>
        <v>216.724443878496</v>
      </c>
      <c r="DS467" s="2943">
        <f t="shared" ref="DS467:DT467" si="2092">+DS466/(DS257+DS452-DS719)*1000</f>
        <v>260.0924269287263</v>
      </c>
      <c r="DT467" s="2943">
        <f t="shared" si="2092"/>
        <v>234.98428773468285</v>
      </c>
      <c r="DU467" s="2948">
        <f t="shared" ref="DU467" si="2093">+DU466/(DU257+DU452-DU719)*1000</f>
        <v>674.22366507106381</v>
      </c>
      <c r="DV467" s="2943">
        <f t="shared" ref="DV467" si="2094">+DV466/(DV257+DV452-DV719)*1000</f>
        <v>311.67613185568501</v>
      </c>
      <c r="DW467" s="1294"/>
      <c r="DX467" s="1294"/>
      <c r="DY467" s="1521"/>
    </row>
    <row r="468" spans="1:129" s="1491" customFormat="1" ht="15" hidden="1" customHeight="1">
      <c r="A468" s="2944"/>
      <c r="B468" s="2242"/>
      <c r="C468" s="2242"/>
      <c r="D468" s="2242"/>
      <c r="E468" s="2242"/>
      <c r="F468" s="2242"/>
      <c r="G468" s="2242"/>
      <c r="H468" s="2242"/>
      <c r="I468" s="2242"/>
      <c r="J468" s="2242"/>
      <c r="K468" s="2242"/>
      <c r="L468" s="2242"/>
      <c r="M468" s="2242"/>
      <c r="N468" s="2242"/>
      <c r="O468" s="2242"/>
      <c r="P468" s="2242"/>
      <c r="Q468" s="2242"/>
      <c r="R468" s="2242"/>
      <c r="S468" s="2242"/>
      <c r="T468" s="2242"/>
      <c r="U468" s="2242"/>
      <c r="V468" s="2242"/>
      <c r="W468" s="2242"/>
      <c r="X468" s="2242"/>
      <c r="Y468" s="2242"/>
      <c r="Z468" s="2242"/>
      <c r="AA468" s="1056"/>
      <c r="AB468" s="1056"/>
      <c r="AC468" s="1056"/>
      <c r="AD468" s="1056"/>
      <c r="AE468" s="1056"/>
      <c r="AF468" s="1056"/>
      <c r="AG468" s="1056"/>
      <c r="AH468" s="2201"/>
      <c r="AI468" s="1950"/>
      <c r="AJ468" s="1561"/>
      <c r="AK468" s="2242"/>
      <c r="AL468" s="2242"/>
      <c r="AM468" s="2242"/>
      <c r="AN468" s="2242"/>
      <c r="AO468" s="2242"/>
      <c r="AP468" s="2243"/>
      <c r="AQ468" s="2242"/>
      <c r="AR468" s="2242"/>
      <c r="AS468" s="2242"/>
      <c r="AT468" s="2243"/>
      <c r="AU468" s="2242"/>
      <c r="AV468" s="2242"/>
      <c r="AW468" s="2242"/>
      <c r="AX468" s="2243"/>
      <c r="AY468" s="2242"/>
      <c r="AZ468" s="2242"/>
      <c r="BA468" s="2242"/>
      <c r="BB468" s="2243"/>
      <c r="BC468" s="2242"/>
      <c r="BD468" s="2242"/>
      <c r="BE468" s="2242"/>
      <c r="BF468" s="2243"/>
      <c r="BG468" s="2242"/>
      <c r="BH468" s="2242"/>
      <c r="BI468" s="2242"/>
      <c r="BJ468" s="2243"/>
      <c r="BK468" s="2242"/>
      <c r="BL468" s="2242"/>
      <c r="BM468" s="2242"/>
      <c r="BN468" s="2243"/>
      <c r="BO468" s="2242"/>
      <c r="BP468" s="2242"/>
      <c r="BQ468" s="2242"/>
      <c r="BR468" s="2243"/>
      <c r="BS468" s="2242"/>
      <c r="BT468" s="2242"/>
      <c r="BU468" s="2242"/>
      <c r="BV468" s="2243"/>
      <c r="BW468" s="2242"/>
      <c r="BX468" s="2242"/>
      <c r="BY468" s="2242"/>
      <c r="BZ468" s="2243"/>
      <c r="CA468" s="2242"/>
      <c r="CB468" s="2242"/>
      <c r="CC468" s="2242"/>
      <c r="CD468" s="2243"/>
      <c r="CE468" s="2242"/>
      <c r="CF468" s="2242"/>
      <c r="CG468" s="2242"/>
      <c r="CH468" s="2243"/>
      <c r="CI468" s="2242"/>
      <c r="CJ468" s="2242"/>
      <c r="CK468" s="2242"/>
      <c r="CL468" s="2322"/>
      <c r="CM468" s="2321"/>
      <c r="CN468" s="2321"/>
      <c r="CO468" s="2321"/>
      <c r="CP468" s="2243">
        <f t="shared" ref="CP468:DV468" si="2095">+CP467/CL467-1</f>
        <v>3.0861874687165614E-2</v>
      </c>
      <c r="CQ468" s="2242">
        <f t="shared" si="2095"/>
        <v>-1.1604497985139961E-2</v>
      </c>
      <c r="CR468" s="2242">
        <f t="shared" si="2095"/>
        <v>-6.8879675245976379E-2</v>
      </c>
      <c r="CS468" s="2242">
        <f t="shared" si="2095"/>
        <v>-0.15932077359669561</v>
      </c>
      <c r="CT468" s="2243">
        <f t="shared" si="2095"/>
        <v>-0.15000000000000002</v>
      </c>
      <c r="CU468" s="2242">
        <f t="shared" si="2095"/>
        <v>-9.1198051659843737E-2</v>
      </c>
      <c r="CV468" s="2242">
        <f t="shared" si="2095"/>
        <v>-4.0673853746314825E-2</v>
      </c>
      <c r="CW468" s="2242">
        <f t="shared" si="2095"/>
        <v>1.4805917619009623E-3</v>
      </c>
      <c r="CX468" s="2243">
        <f t="shared" si="2095"/>
        <v>0.19923789029442829</v>
      </c>
      <c r="CY468" s="2242">
        <f t="shared" si="2095"/>
        <v>9.2911700618988124E-2</v>
      </c>
      <c r="CZ468" s="2242">
        <f t="shared" si="2095"/>
        <v>-8.1897641978245672E-2</v>
      </c>
      <c r="DA468" s="2242">
        <f t="shared" si="2095"/>
        <v>-9.1195860413075813E-2</v>
      </c>
      <c r="DB468" s="2243">
        <f t="shared" si="2095"/>
        <v>-0.21383794970196879</v>
      </c>
      <c r="DC468" s="2242">
        <f t="shared" si="2095"/>
        <v>-0.11088278285023734</v>
      </c>
      <c r="DD468" s="2242">
        <f t="shared" si="2095"/>
        <v>-9.0311348416435178E-2</v>
      </c>
      <c r="DE468" s="2242">
        <f t="shared" si="2095"/>
        <v>-0.33383877504482962</v>
      </c>
      <c r="DF468" s="2243">
        <f t="shared" si="2095"/>
        <v>-0.8266201576910277</v>
      </c>
      <c r="DG468" s="2242">
        <f t="shared" si="2095"/>
        <v>-1.7445943763010119E-2</v>
      </c>
      <c r="DH468" s="2242">
        <f t="shared" si="2095"/>
        <v>0.19691844283082571</v>
      </c>
      <c r="DI468" s="2244">
        <f t="shared" si="2095"/>
        <v>2.7327985495288734</v>
      </c>
      <c r="DJ468" s="2243">
        <f t="shared" si="2095"/>
        <v>6.3349507410527535</v>
      </c>
      <c r="DK468" s="2242">
        <f t="shared" si="2095"/>
        <v>0.42333990499062168</v>
      </c>
      <c r="DL468" s="2242">
        <f t="shared" si="2095"/>
        <v>0.39677019053116735</v>
      </c>
      <c r="DM468" s="2244">
        <f t="shared" si="2095"/>
        <v>-4.500215830331189E-2</v>
      </c>
      <c r="DN468" s="2242">
        <f t="shared" si="2095"/>
        <v>-0.15814445048446091</v>
      </c>
      <c r="DO468" s="2242">
        <f t="shared" si="2095"/>
        <v>-0.54481859077248262</v>
      </c>
      <c r="DP468" s="2242">
        <f t="shared" si="2095"/>
        <v>-0.2492348303686942</v>
      </c>
      <c r="DQ468" s="2244">
        <f t="shared" si="2095"/>
        <v>0.22672318509541611</v>
      </c>
      <c r="DR468" s="2243">
        <f t="shared" si="2095"/>
        <v>-0.15615569215092706</v>
      </c>
      <c r="DS468" s="2242">
        <f t="shared" si="2095"/>
        <v>0.52554250851293283</v>
      </c>
      <c r="DT468" s="2242">
        <f t="shared" si="2095"/>
        <v>-0.22578184635665788</v>
      </c>
      <c r="DU468" s="2244">
        <f t="shared" si="2095"/>
        <v>-8.5536704466465108E-2</v>
      </c>
      <c r="DV468" s="2242">
        <f t="shared" si="2095"/>
        <v>0.43812172857816889</v>
      </c>
      <c r="DW468" s="1059"/>
      <c r="DX468" s="1059"/>
      <c r="DY468" s="166"/>
    </row>
    <row r="469" spans="1:129" s="1579" customFormat="1" ht="15" customHeight="1">
      <c r="A469" s="2928" t="s">
        <v>1605</v>
      </c>
      <c r="B469" s="2614"/>
      <c r="C469" s="2614"/>
      <c r="D469" s="2614"/>
      <c r="E469" s="2614"/>
      <c r="F469" s="2614"/>
      <c r="G469" s="2614"/>
      <c r="H469" s="2614"/>
      <c r="I469" s="2614"/>
      <c r="J469" s="2614"/>
      <c r="K469" s="2614"/>
      <c r="L469" s="2614"/>
      <c r="M469" s="2614"/>
      <c r="N469" s="2614"/>
      <c r="O469" s="2614"/>
      <c r="P469" s="2614">
        <f t="shared" ref="P469:X469" si="2096">+P460/P363*1000</f>
        <v>248.72367114980216</v>
      </c>
      <c r="Q469" s="2614">
        <f t="shared" si="2096"/>
        <v>317.39463618646317</v>
      </c>
      <c r="R469" s="2614">
        <f t="shared" si="2096"/>
        <v>267.19341701155901</v>
      </c>
      <c r="S469" s="2614">
        <f t="shared" si="2096"/>
        <v>380.89094150564665</v>
      </c>
      <c r="T469" s="2614">
        <f t="shared" si="2096"/>
        <v>390.22891701029312</v>
      </c>
      <c r="U469" s="2614">
        <f t="shared" si="2096"/>
        <v>371.43290810594834</v>
      </c>
      <c r="V469" s="2614">
        <f t="shared" si="2096"/>
        <v>451.46498723417244</v>
      </c>
      <c r="W469" s="2614">
        <f t="shared" si="2096"/>
        <v>496.94357988391909</v>
      </c>
      <c r="X469" s="2614">
        <f t="shared" si="2096"/>
        <v>516.14614244226527</v>
      </c>
      <c r="Y469" s="2614">
        <f t="shared" ref="Y469:Z469" si="2097">+Y460/Y363*1000</f>
        <v>539.89752314984321</v>
      </c>
      <c r="Z469" s="2614">
        <f t="shared" ca="1" si="2097"/>
        <v>553.83664864509183</v>
      </c>
      <c r="AA469" s="1581">
        <f ca="1">+Z469</f>
        <v>553.83664864509183</v>
      </c>
      <c r="AB469" s="1581">
        <f ca="1">+AA469</f>
        <v>553.83664864509183</v>
      </c>
      <c r="AC469" s="1581">
        <f t="shared" ref="AC469:AG469" ca="1" si="2098">+AB469</f>
        <v>553.83664864509183</v>
      </c>
      <c r="AD469" s="1581">
        <f t="shared" ca="1" si="2098"/>
        <v>553.83664864509183</v>
      </c>
      <c r="AE469" s="1581">
        <f t="shared" ca="1" si="2098"/>
        <v>553.83664864509183</v>
      </c>
      <c r="AF469" s="1581">
        <f t="shared" ca="1" si="2098"/>
        <v>553.83664864509183</v>
      </c>
      <c r="AG469" s="1581">
        <f t="shared" ca="1" si="2098"/>
        <v>553.83664864509183</v>
      </c>
      <c r="AH469" s="2615"/>
      <c r="AI469" s="2613"/>
      <c r="AJ469" s="2616"/>
      <c r="AK469" s="2614"/>
      <c r="AL469" s="2614"/>
      <c r="AM469" s="2614"/>
      <c r="AN469" s="2614"/>
      <c r="AO469" s="2614"/>
      <c r="AP469" s="2612"/>
      <c r="AQ469" s="2614"/>
      <c r="AR469" s="2614"/>
      <c r="AS469" s="2614"/>
      <c r="AT469" s="2612"/>
      <c r="AU469" s="2614"/>
      <c r="AV469" s="2614"/>
      <c r="AW469" s="2614"/>
      <c r="AX469" s="2612"/>
      <c r="AY469" s="2614"/>
      <c r="AZ469" s="2614"/>
      <c r="BA469" s="2614"/>
      <c r="BB469" s="2612"/>
      <c r="BC469" s="2614"/>
      <c r="BD469" s="2614"/>
      <c r="BE469" s="2614"/>
      <c r="BF469" s="2612"/>
      <c r="BG469" s="2614"/>
      <c r="BH469" s="2614"/>
      <c r="BI469" s="2614"/>
      <c r="BJ469" s="2612"/>
      <c r="BK469" s="2614"/>
      <c r="BL469" s="2614"/>
      <c r="BM469" s="2614"/>
      <c r="BN469" s="2612"/>
      <c r="BO469" s="2614"/>
      <c r="BP469" s="2614"/>
      <c r="BQ469" s="2614"/>
      <c r="BR469" s="2612"/>
      <c r="BS469" s="2614"/>
      <c r="BT469" s="2614"/>
      <c r="BU469" s="2614"/>
      <c r="BV469" s="2612"/>
      <c r="BW469" s="2614"/>
      <c r="BX469" s="2614"/>
      <c r="BY469" s="2614"/>
      <c r="BZ469" s="2612"/>
      <c r="CA469" s="2614"/>
      <c r="CB469" s="2614"/>
      <c r="CC469" s="2614"/>
      <c r="CD469" s="2612"/>
      <c r="CE469" s="2614"/>
      <c r="CF469" s="2614"/>
      <c r="CG469" s="2614"/>
      <c r="CH469" s="2612">
        <f t="shared" ref="CH469:DN469" si="2099">+CH460/CH363*1000</f>
        <v>237.61270144095627</v>
      </c>
      <c r="CI469" s="2614">
        <f t="shared" si="2099"/>
        <v>271.62081529242801</v>
      </c>
      <c r="CJ469" s="2614">
        <f t="shared" si="2099"/>
        <v>252.60886265846065</v>
      </c>
      <c r="CK469" s="2614">
        <f t="shared" si="2099"/>
        <v>251.56462217444903</v>
      </c>
      <c r="CL469" s="2952">
        <f t="shared" si="2099"/>
        <v>290.38579410318033</v>
      </c>
      <c r="CM469" s="2625">
        <f t="shared" si="2099"/>
        <v>306.83838886853863</v>
      </c>
      <c r="CN469" s="2625">
        <f t="shared" si="2099"/>
        <v>324.13495872084292</v>
      </c>
      <c r="CO469" s="2625">
        <f t="shared" si="2099"/>
        <v>330.77425288909853</v>
      </c>
      <c r="CP469" s="2612">
        <f t="shared" si="2099"/>
        <v>299.34764409172573</v>
      </c>
      <c r="CQ469" s="2614">
        <f t="shared" si="2099"/>
        <v>303.27768340315009</v>
      </c>
      <c r="CR469" s="2614">
        <f t="shared" si="2099"/>
        <v>301.8086480282833</v>
      </c>
      <c r="CS469" s="2614">
        <f t="shared" si="2099"/>
        <v>278.07504303293831</v>
      </c>
      <c r="CT469" s="2612">
        <f t="shared" si="2099"/>
        <v>324.06485090496653</v>
      </c>
      <c r="CU469" s="2614">
        <f t="shared" si="2099"/>
        <v>342.95331367064659</v>
      </c>
      <c r="CV469" s="2614">
        <f t="shared" si="2099"/>
        <v>347.92105182363997</v>
      </c>
      <c r="CW469" s="2614">
        <f t="shared" si="2099"/>
        <v>391.14532705563562</v>
      </c>
      <c r="CX469" s="2612">
        <f t="shared" si="2099"/>
        <v>399.3399708961029</v>
      </c>
      <c r="CY469" s="2614">
        <f t="shared" si="2099"/>
        <v>388.21958035922086</v>
      </c>
      <c r="CZ469" s="2614">
        <f t="shared" si="2099"/>
        <v>369.18945194205025</v>
      </c>
      <c r="DA469" s="2614">
        <f t="shared" si="2099"/>
        <v>420.6276746370159</v>
      </c>
      <c r="DB469" s="2612">
        <f t="shared" si="2099"/>
        <v>388.5405852158047</v>
      </c>
      <c r="DC469" s="2614">
        <f t="shared" si="2099"/>
        <v>393.88651810930719</v>
      </c>
      <c r="DD469" s="2614">
        <f t="shared" si="2099"/>
        <v>378.08134084368555</v>
      </c>
      <c r="DE469" s="2614">
        <f t="shared" si="2099"/>
        <v>418.78347390082695</v>
      </c>
      <c r="DF469" s="2612">
        <f t="shared" si="2099"/>
        <v>412.292067036437</v>
      </c>
      <c r="DG469" s="2614">
        <f t="shared" si="2099"/>
        <v>449.45160962546936</v>
      </c>
      <c r="DH469" s="2614">
        <f t="shared" si="2099"/>
        <v>448.98136597966595</v>
      </c>
      <c r="DI469" s="2931">
        <f t="shared" si="2099"/>
        <v>480.35172629179704</v>
      </c>
      <c r="DJ469" s="2612">
        <f t="shared" si="2099"/>
        <v>492.90759240965536</v>
      </c>
      <c r="DK469" s="2614">
        <f t="shared" si="2099"/>
        <v>482.32369853062369</v>
      </c>
      <c r="DL469" s="2614">
        <f t="shared" si="2099"/>
        <v>498.6787847588862</v>
      </c>
      <c r="DM469" s="2931">
        <f t="shared" si="2099"/>
        <v>510.93328508051508</v>
      </c>
      <c r="DN469" s="2614">
        <f t="shared" si="2099"/>
        <v>505.05818092392616</v>
      </c>
      <c r="DO469" s="2614">
        <f t="shared" ref="DO469:DP469" si="2100">+DO460/DO363*1000</f>
        <v>492.31196664414682</v>
      </c>
      <c r="DP469" s="2614">
        <f t="shared" si="2100"/>
        <v>494.25848964415269</v>
      </c>
      <c r="DQ469" s="2931">
        <f t="shared" ref="DQ469" si="2101">+DQ460/DQ363*1000</f>
        <v>559.22050925252984</v>
      </c>
      <c r="DR469" s="2612">
        <f t="shared" ref="DR469" si="2102">+DR460/DR363*1000</f>
        <v>528.44138176320553</v>
      </c>
      <c r="DS469" s="2614">
        <f t="shared" ref="DS469:DT469" si="2103">+DS460/DS363*1000</f>
        <v>516.05039197742633</v>
      </c>
      <c r="DT469" s="2614">
        <f t="shared" si="2103"/>
        <v>507.35736128065457</v>
      </c>
      <c r="DU469" s="2931">
        <f t="shared" ref="DU469" si="2104">+DU460/DU363*1000</f>
        <v>592.83531182054958</v>
      </c>
      <c r="DV469" s="2614">
        <f t="shared" ref="DV469" si="2105">+DV460/DV363*1000</f>
        <v>572.99194223740426</v>
      </c>
      <c r="DW469" s="1581">
        <f t="shared" ref="DW469:DY469" si="2106">+DS469+5</f>
        <v>521.05039197742633</v>
      </c>
      <c r="DX469" s="1581">
        <f t="shared" si="2106"/>
        <v>512.35736128065457</v>
      </c>
      <c r="DY469" s="1580">
        <f t="shared" si="2106"/>
        <v>597.83531182054958</v>
      </c>
    </row>
    <row r="470" spans="1:129" s="2614" customFormat="1" ht="15" customHeight="1">
      <c r="A470" s="2928"/>
      <c r="AH470" s="2615"/>
      <c r="AI470" s="2613"/>
      <c r="AJ470" s="2616"/>
      <c r="AP470" s="2612"/>
      <c r="AT470" s="2612"/>
      <c r="AX470" s="2612"/>
      <c r="BB470" s="2612"/>
      <c r="BF470" s="2612"/>
      <c r="BJ470" s="2612"/>
      <c r="BN470" s="2612"/>
      <c r="BR470" s="2612"/>
      <c r="BV470" s="2612"/>
      <c r="BZ470" s="2612"/>
      <c r="CD470" s="2612"/>
      <c r="CH470" s="2612"/>
      <c r="CL470" s="2952"/>
      <c r="CM470" s="2625"/>
      <c r="CN470" s="2625"/>
      <c r="CO470" s="2625"/>
      <c r="CP470" s="2612"/>
      <c r="CT470" s="2612"/>
      <c r="CX470" s="2612"/>
      <c r="DB470" s="2612"/>
      <c r="DF470" s="2612"/>
      <c r="DI470" s="2931"/>
      <c r="DJ470" s="2612"/>
      <c r="DM470" s="2931"/>
      <c r="DQ470" s="2931"/>
      <c r="DR470" s="2612"/>
      <c r="DU470" s="2931"/>
      <c r="DW470" s="3260"/>
      <c r="DX470" s="3260"/>
      <c r="DY470" s="2957"/>
    </row>
    <row r="471" spans="1:129" s="2205" customFormat="1" ht="15" customHeight="1">
      <c r="A471" s="1933" t="s">
        <v>961</v>
      </c>
      <c r="P471" s="1992">
        <f>SUM(CH471:CK471)</f>
        <v>6015.0000000000009</v>
      </c>
      <c r="Q471" s="1992">
        <f>SUM(CL471:CO471)</f>
        <v>7296</v>
      </c>
      <c r="R471" s="1992">
        <f>SUM(CP471:CS471)</f>
        <v>7644.7570400873983</v>
      </c>
      <c r="S471" s="1992">
        <f>SUM(CT471:CW471)</f>
        <v>8247.3209083465808</v>
      </c>
      <c r="T471" s="1992">
        <f>SUM(CX471:DA471)</f>
        <v>7790</v>
      </c>
      <c r="U471" s="1992">
        <f>SUM(DB471:DE471)</f>
        <v>7295</v>
      </c>
      <c r="V471" s="1992">
        <f>SUM(DF471:DI471)</f>
        <v>7200</v>
      </c>
      <c r="W471" s="1992">
        <f>SUM(DJ471:DM471)</f>
        <v>7803</v>
      </c>
      <c r="X471" s="1992">
        <f>+SUM(DN471:DQ471)</f>
        <v>7988</v>
      </c>
      <c r="Y471" s="1992">
        <f>+SUM(DR471:DU471)</f>
        <v>7990</v>
      </c>
      <c r="Z471" s="1992">
        <f ca="1">+SUM(DV471:DY471)</f>
        <v>8299.7222468227737</v>
      </c>
      <c r="AA471" s="2709">
        <f ca="1">+AA103*AA473*12/1000</f>
        <v>8374.262936357587</v>
      </c>
      <c r="AB471" s="2709">
        <f ca="1">+AB103*AB473*12/1000</f>
        <v>8446.8875656929904</v>
      </c>
      <c r="AC471" s="2709">
        <f t="shared" ref="AC471:AG471" ca="1" si="2107">+AC103*AC473*12/1000</f>
        <v>8514.3640584722125</v>
      </c>
      <c r="AD471" s="2709">
        <f t="shared" ca="1" si="2107"/>
        <v>8575.9522436708248</v>
      </c>
      <c r="AE471" s="2709">
        <f t="shared" ca="1" si="2107"/>
        <v>8631.9807798269758</v>
      </c>
      <c r="AF471" s="2709">
        <f t="shared" ca="1" si="2107"/>
        <v>8683.1911114532431</v>
      </c>
      <c r="AG471" s="2709">
        <f t="shared" ca="1" si="2107"/>
        <v>8730.4418352890752</v>
      </c>
      <c r="AH471" s="2220"/>
      <c r="AI471" s="1977"/>
      <c r="AJ471" s="2221"/>
      <c r="AP471" s="1933"/>
      <c r="AT471" s="1933"/>
      <c r="AX471" s="1933"/>
      <c r="BB471" s="1933"/>
      <c r="BF471" s="1933"/>
      <c r="BJ471" s="1933"/>
      <c r="BN471" s="1933"/>
      <c r="BR471" s="2935">
        <v>872.25</v>
      </c>
      <c r="BS471" s="2936">
        <v>872.25</v>
      </c>
      <c r="BT471" s="2936">
        <v>872.25</v>
      </c>
      <c r="BU471" s="2936">
        <v>1064.5</v>
      </c>
      <c r="BV471" s="2935">
        <v>1038.5</v>
      </c>
      <c r="BW471" s="2936">
        <v>1038.5</v>
      </c>
      <c r="BX471" s="2936">
        <v>1038.5</v>
      </c>
      <c r="BY471" s="2936">
        <v>1038.5</v>
      </c>
      <c r="BZ471" s="2935">
        <v>1174.5</v>
      </c>
      <c r="CA471" s="2936">
        <v>1174.5</v>
      </c>
      <c r="CB471" s="2936">
        <v>1174.5</v>
      </c>
      <c r="CC471" s="2936">
        <v>1174.5</v>
      </c>
      <c r="CD471" s="2935">
        <v>1323.5</v>
      </c>
      <c r="CE471" s="2936">
        <v>1323.5</v>
      </c>
      <c r="CF471" s="2936">
        <v>1323.5</v>
      </c>
      <c r="CG471" s="2936">
        <v>1323.5</v>
      </c>
      <c r="CH471" s="2714">
        <v>1408</v>
      </c>
      <c r="CI471" s="2936">
        <f>+(6015-$CH$471)/3</f>
        <v>1535.6666666666667</v>
      </c>
      <c r="CJ471" s="2936">
        <f>+(6015-$CH$471)/3</f>
        <v>1535.6666666666667</v>
      </c>
      <c r="CK471" s="2936">
        <f>+(6015-$CH$471)/3</f>
        <v>1535.6666666666667</v>
      </c>
      <c r="CL471" s="1995">
        <v>1919</v>
      </c>
      <c r="CM471" s="1992">
        <f t="shared" ref="CM471:DN471" si="2108">+CM38-CM460</f>
        <v>1787</v>
      </c>
      <c r="CN471" s="1992">
        <f t="shared" si="2108"/>
        <v>1745</v>
      </c>
      <c r="CO471" s="1992">
        <f t="shared" si="2108"/>
        <v>1845</v>
      </c>
      <c r="CP471" s="1993">
        <f t="shared" si="2108"/>
        <v>1863</v>
      </c>
      <c r="CQ471" s="1992">
        <f t="shared" si="2108"/>
        <v>1885</v>
      </c>
      <c r="CR471" s="1992">
        <f t="shared" si="2108"/>
        <v>2077.5915634586886</v>
      </c>
      <c r="CS471" s="1992">
        <f t="shared" si="2108"/>
        <v>1819.1654766287093</v>
      </c>
      <c r="CT471" s="1993">
        <f t="shared" si="2108"/>
        <v>2341.3209083465804</v>
      </c>
      <c r="CU471" s="1992">
        <f t="shared" si="2108"/>
        <v>2029</v>
      </c>
      <c r="CV471" s="1992">
        <f t="shared" si="2108"/>
        <v>1970</v>
      </c>
      <c r="CW471" s="1992">
        <f t="shared" si="2108"/>
        <v>1907</v>
      </c>
      <c r="CX471" s="1993">
        <f t="shared" si="2108"/>
        <v>1910</v>
      </c>
      <c r="CY471" s="1992">
        <f t="shared" si="2108"/>
        <v>1958</v>
      </c>
      <c r="CZ471" s="1992">
        <f t="shared" si="2108"/>
        <v>1990</v>
      </c>
      <c r="DA471" s="1992">
        <f t="shared" si="2108"/>
        <v>1932</v>
      </c>
      <c r="DB471" s="1993">
        <f t="shared" si="2108"/>
        <v>1886</v>
      </c>
      <c r="DC471" s="1992">
        <f t="shared" si="2108"/>
        <v>1829</v>
      </c>
      <c r="DD471" s="1992">
        <f t="shared" si="2108"/>
        <v>1800</v>
      </c>
      <c r="DE471" s="1992">
        <f t="shared" si="2108"/>
        <v>1780</v>
      </c>
      <c r="DF471" s="1993">
        <f t="shared" si="2108"/>
        <v>1757</v>
      </c>
      <c r="DG471" s="1992">
        <f t="shared" si="2108"/>
        <v>1749</v>
      </c>
      <c r="DH471" s="1992">
        <f t="shared" si="2108"/>
        <v>1837</v>
      </c>
      <c r="DI471" s="1998">
        <f t="shared" si="2108"/>
        <v>1857</v>
      </c>
      <c r="DJ471" s="1993">
        <f t="shared" si="2108"/>
        <v>1851</v>
      </c>
      <c r="DK471" s="1992">
        <f t="shared" si="2108"/>
        <v>1948</v>
      </c>
      <c r="DL471" s="1992">
        <f t="shared" si="2108"/>
        <v>2010</v>
      </c>
      <c r="DM471" s="1998">
        <f t="shared" si="2108"/>
        <v>1994</v>
      </c>
      <c r="DN471" s="1992">
        <f t="shared" si="2108"/>
        <v>1942</v>
      </c>
      <c r="DO471" s="1992">
        <f t="shared" ref="DO471:DP471" si="2109">+DO38-DO460</f>
        <v>1984</v>
      </c>
      <c r="DP471" s="1992">
        <f t="shared" si="2109"/>
        <v>2006</v>
      </c>
      <c r="DQ471" s="1998">
        <f t="shared" ref="DQ471" si="2110">+DQ38-DQ460</f>
        <v>2056</v>
      </c>
      <c r="DR471" s="1993">
        <f t="shared" ref="DR471" si="2111">+DR38-DR460</f>
        <v>1958</v>
      </c>
      <c r="DS471" s="1992">
        <f t="shared" ref="DS471:DT471" si="2112">+DS38-DS460</f>
        <v>1997</v>
      </c>
      <c r="DT471" s="1992">
        <f t="shared" si="2112"/>
        <v>2052</v>
      </c>
      <c r="DU471" s="1998">
        <f t="shared" ref="DU471" si="2113">+DU38-DU460</f>
        <v>1983</v>
      </c>
      <c r="DV471" s="1992">
        <f t="shared" ref="DV471" si="2114">+DV38-DV460</f>
        <v>2215</v>
      </c>
      <c r="DW471" s="2709">
        <f t="shared" ref="DW471:DY471" ca="1" si="2115">+DW103*DW473/1000*3</f>
        <v>2019.6987541941835</v>
      </c>
      <c r="DX471" s="2709">
        <f t="shared" ca="1" si="2115"/>
        <v>2069.682838105346</v>
      </c>
      <c r="DY471" s="2711">
        <f t="shared" ca="1" si="2115"/>
        <v>1995.3406545232438</v>
      </c>
    </row>
    <row r="472" spans="1:129" ht="15" customHeight="1">
      <c r="A472" s="2227" t="s">
        <v>1453</v>
      </c>
      <c r="B472" s="2207"/>
      <c r="C472" s="2207"/>
      <c r="D472" s="2207"/>
      <c r="E472" s="2207"/>
      <c r="F472" s="2207"/>
      <c r="G472" s="2207"/>
      <c r="H472" s="2207"/>
      <c r="I472" s="2207"/>
      <c r="J472" s="2207"/>
      <c r="K472" s="2207"/>
      <c r="L472" s="2207"/>
      <c r="M472" s="2207"/>
      <c r="N472" s="2207"/>
      <c r="O472" s="2207"/>
      <c r="P472" s="2222"/>
      <c r="Q472" s="2207">
        <f t="shared" ref="Q472:V472" si="2116">Q471/P471-1</f>
        <v>0.21296758104738145</v>
      </c>
      <c r="R472" s="2207">
        <f t="shared" si="2116"/>
        <v>4.7801129397943898E-2</v>
      </c>
      <c r="S472" s="2207">
        <f t="shared" si="2116"/>
        <v>7.8820538716858124E-2</v>
      </c>
      <c r="T472" s="2207">
        <f t="shared" si="2116"/>
        <v>-5.5450844392844645E-2</v>
      </c>
      <c r="U472" s="2207">
        <f t="shared" si="2116"/>
        <v>-6.3543003851091129E-2</v>
      </c>
      <c r="V472" s="2207">
        <f t="shared" si="2116"/>
        <v>-1.3022618231665506E-2</v>
      </c>
      <c r="W472" s="2207">
        <f t="shared" ref="W472:AB472" si="2117">W471/V471-1</f>
        <v>8.3749999999999991E-2</v>
      </c>
      <c r="X472" s="2207">
        <f t="shared" si="2117"/>
        <v>2.370882993720369E-2</v>
      </c>
      <c r="Y472" s="2207">
        <f t="shared" si="2117"/>
        <v>2.5037556334495115E-4</v>
      </c>
      <c r="Z472" s="2207">
        <f t="shared" ca="1" si="2117"/>
        <v>3.8763735522249432E-2</v>
      </c>
      <c r="AA472" s="2207">
        <f t="shared" ca="1" si="2117"/>
        <v>8.9811065139375756E-3</v>
      </c>
      <c r="AB472" s="2207">
        <f t="shared" ca="1" si="2117"/>
        <v>8.6723607662348989E-3</v>
      </c>
      <c r="AC472" s="2207">
        <f t="shared" ref="AC472" ca="1" si="2118">AC471/AB471-1</f>
        <v>7.988326144327651E-3</v>
      </c>
      <c r="AD472" s="2207">
        <f t="shared" ref="AD472" ca="1" si="2119">AD471/AC471-1</f>
        <v>7.2334451258668775E-3</v>
      </c>
      <c r="AE472" s="2207">
        <f t="shared" ref="AE472" ca="1" si="2120">AE471/AD471-1</f>
        <v>6.5332145707202027E-3</v>
      </c>
      <c r="AF472" s="2207">
        <f t="shared" ref="AF472" ca="1" si="2121">AF471/AE471-1</f>
        <v>5.9326280876281778E-3</v>
      </c>
      <c r="AG472" s="2207">
        <f t="shared" ref="AG472" ca="1" si="2122">AG471/AF471-1</f>
        <v>5.4416312193690253E-3</v>
      </c>
      <c r="AH472" s="2201"/>
      <c r="AI472" s="1927"/>
      <c r="AK472" s="2207"/>
      <c r="AL472" s="2207"/>
      <c r="AM472" s="2207"/>
      <c r="AN472" s="2207"/>
      <c r="AO472" s="2207"/>
      <c r="AP472" s="2208"/>
      <c r="AQ472" s="2207"/>
      <c r="AR472" s="2207"/>
      <c r="AS472" s="2207"/>
      <c r="AT472" s="2208"/>
      <c r="AU472" s="2207"/>
      <c r="AV472" s="2207"/>
      <c r="AW472" s="2207"/>
      <c r="AX472" s="2208"/>
      <c r="AY472" s="2207"/>
      <c r="AZ472" s="2207"/>
      <c r="BA472" s="2207"/>
      <c r="BB472" s="2208"/>
      <c r="BC472" s="2207"/>
      <c r="BD472" s="2207"/>
      <c r="BE472" s="2207"/>
      <c r="BF472" s="2208"/>
      <c r="BG472" s="2207"/>
      <c r="BH472" s="2207"/>
      <c r="BI472" s="2207"/>
      <c r="BJ472" s="2208"/>
      <c r="BK472" s="2207"/>
      <c r="BL472" s="2207"/>
      <c r="BM472" s="2207"/>
      <c r="BN472" s="2208"/>
      <c r="BO472" s="2207"/>
      <c r="BP472" s="2207"/>
      <c r="BQ472" s="2207"/>
      <c r="BR472" s="2208"/>
      <c r="BS472" s="2207"/>
      <c r="BT472" s="2207"/>
      <c r="BU472" s="2207"/>
      <c r="BV472" s="2208">
        <f t="shared" ref="BV472:CK472" si="2123">BV471/BR471-1</f>
        <v>0.19059902550874175</v>
      </c>
      <c r="BW472" s="2207">
        <f t="shared" si="2123"/>
        <v>0.19059902550874175</v>
      </c>
      <c r="BX472" s="2207">
        <f t="shared" si="2123"/>
        <v>0.19059902550874175</v>
      </c>
      <c r="BY472" s="2207">
        <f t="shared" si="2123"/>
        <v>-2.442461249412875E-2</v>
      </c>
      <c r="BZ472" s="2208">
        <f t="shared" si="2123"/>
        <v>0.13095811266249391</v>
      </c>
      <c r="CA472" s="2207">
        <f t="shared" si="2123"/>
        <v>0.13095811266249391</v>
      </c>
      <c r="CB472" s="2207">
        <f t="shared" si="2123"/>
        <v>0.13095811266249391</v>
      </c>
      <c r="CC472" s="2207">
        <f t="shared" si="2123"/>
        <v>0.13095811266249391</v>
      </c>
      <c r="CD472" s="2208">
        <f t="shared" si="2123"/>
        <v>0.12686249467858657</v>
      </c>
      <c r="CE472" s="2207">
        <f t="shared" si="2123"/>
        <v>0.12686249467858657</v>
      </c>
      <c r="CF472" s="2207">
        <f t="shared" si="2123"/>
        <v>0.12686249467858657</v>
      </c>
      <c r="CG472" s="2207">
        <f t="shared" si="2123"/>
        <v>0.12686249467858657</v>
      </c>
      <c r="CH472" s="2208">
        <f t="shared" si="2123"/>
        <v>6.3845863241405398E-2</v>
      </c>
      <c r="CI472" s="2207">
        <f t="shared" si="2123"/>
        <v>0.16030726608739454</v>
      </c>
      <c r="CJ472" s="2207">
        <f t="shared" si="2123"/>
        <v>0.16030726608739454</v>
      </c>
      <c r="CK472" s="2207">
        <f t="shared" si="2123"/>
        <v>0.16030726608739454</v>
      </c>
      <c r="CL472" s="2229" t="s">
        <v>1149</v>
      </c>
      <c r="CM472" s="1986" t="s">
        <v>1149</v>
      </c>
      <c r="CN472" s="1986" t="s">
        <v>1149</v>
      </c>
      <c r="CO472" s="1986" t="s">
        <v>1149</v>
      </c>
      <c r="CP472" s="2208">
        <f t="shared" ref="CP472:DV472" si="2124">CP471/CL471-1</f>
        <v>-2.9181865554976594E-2</v>
      </c>
      <c r="CQ472" s="2207">
        <f t="shared" si="2124"/>
        <v>5.4840514829322951E-2</v>
      </c>
      <c r="CR472" s="2207">
        <f t="shared" si="2124"/>
        <v>0.19059688450354639</v>
      </c>
      <c r="CS472" s="2207">
        <f t="shared" si="2124"/>
        <v>-1.4002451691756512E-2</v>
      </c>
      <c r="CT472" s="2208">
        <f t="shared" si="2124"/>
        <v>0.25674766953654338</v>
      </c>
      <c r="CU472" s="2207">
        <f t="shared" si="2124"/>
        <v>7.6392572944297132E-2</v>
      </c>
      <c r="CV472" s="2207">
        <f t="shared" si="2124"/>
        <v>-5.178667710778273E-2</v>
      </c>
      <c r="CW472" s="2207">
        <f t="shared" si="2124"/>
        <v>4.8282866237141953E-2</v>
      </c>
      <c r="CX472" s="2208">
        <f t="shared" si="2124"/>
        <v>-0.18422118335379123</v>
      </c>
      <c r="CY472" s="2207">
        <f t="shared" si="2124"/>
        <v>-3.4992607195662884E-2</v>
      </c>
      <c r="CZ472" s="2207">
        <f t="shared" si="2124"/>
        <v>1.0152284263959421E-2</v>
      </c>
      <c r="DA472" s="2207">
        <f t="shared" si="2124"/>
        <v>1.3109596224436304E-2</v>
      </c>
      <c r="DB472" s="2208">
        <f t="shared" si="2124"/>
        <v>-1.2565445026177957E-2</v>
      </c>
      <c r="DC472" s="2207">
        <f t="shared" si="2124"/>
        <v>-6.588355464759954E-2</v>
      </c>
      <c r="DD472" s="2207">
        <f t="shared" si="2124"/>
        <v>-9.5477386934673336E-2</v>
      </c>
      <c r="DE472" s="2207">
        <f t="shared" si="2124"/>
        <v>-7.8674948240165632E-2</v>
      </c>
      <c r="DF472" s="2208">
        <f t="shared" si="2124"/>
        <v>-6.8398727465535547E-2</v>
      </c>
      <c r="DG472" s="2207">
        <f t="shared" si="2124"/>
        <v>-4.3739748496446129E-2</v>
      </c>
      <c r="DH472" s="2207">
        <f t="shared" si="2124"/>
        <v>2.055555555555566E-2</v>
      </c>
      <c r="DI472" s="2209">
        <f t="shared" si="2124"/>
        <v>4.3258426966292118E-2</v>
      </c>
      <c r="DJ472" s="2208">
        <f t="shared" si="2124"/>
        <v>5.3500284575981771E-2</v>
      </c>
      <c r="DK472" s="2207">
        <f t="shared" si="2124"/>
        <v>0.11377930245854784</v>
      </c>
      <c r="DL472" s="2207">
        <f t="shared" si="2124"/>
        <v>9.4175285792052366E-2</v>
      </c>
      <c r="DM472" s="2209">
        <f t="shared" si="2124"/>
        <v>7.3774905761981646E-2</v>
      </c>
      <c r="DN472" s="2207">
        <f t="shared" si="2124"/>
        <v>4.9162614802809257E-2</v>
      </c>
      <c r="DO472" s="2207">
        <f t="shared" si="2124"/>
        <v>1.848049281314168E-2</v>
      </c>
      <c r="DP472" s="2207">
        <f t="shared" si="2124"/>
        <v>-1.9900497512437276E-3</v>
      </c>
      <c r="DQ472" s="2209">
        <f t="shared" si="2124"/>
        <v>3.1093279839518484E-2</v>
      </c>
      <c r="DR472" s="2208">
        <f t="shared" si="2124"/>
        <v>8.2389289392379439E-3</v>
      </c>
      <c r="DS472" s="2207">
        <f t="shared" si="2124"/>
        <v>6.5524193548387455E-3</v>
      </c>
      <c r="DT472" s="2207">
        <f t="shared" si="2124"/>
        <v>2.2931206380857327E-2</v>
      </c>
      <c r="DU472" s="2209">
        <f t="shared" si="2124"/>
        <v>-3.5505836575875471E-2</v>
      </c>
      <c r="DV472" s="2207">
        <f t="shared" si="2124"/>
        <v>0.13125638406537288</v>
      </c>
      <c r="DW472" s="2799">
        <f t="shared" ref="DW472" ca="1" si="2125">DW471/DS471-1</f>
        <v>1.1366426737197566E-2</v>
      </c>
      <c r="DX472" s="2799">
        <f t="shared" ref="DX472" ca="1" si="2126">DX471/DT471-1</f>
        <v>8.6173674977318981E-3</v>
      </c>
      <c r="DY472" s="2941">
        <f t="shared" ref="DY472" ca="1" si="2127">DY471/DU471-1</f>
        <v>6.2232246713280759E-3</v>
      </c>
    </row>
    <row r="473" spans="1:129" s="2614" customFormat="1">
      <c r="A473" s="2928" t="s">
        <v>1550</v>
      </c>
      <c r="P473" s="2800">
        <f t="shared" ref="P473:X473" si="2128">+P471/P103*1000/12</f>
        <v>5.4820364193142668</v>
      </c>
      <c r="Q473" s="2800">
        <f t="shared" si="2128"/>
        <v>6.3008446033473229</v>
      </c>
      <c r="R473" s="2800">
        <f t="shared" si="2128"/>
        <v>6.2306895787996588</v>
      </c>
      <c r="S473" s="2800">
        <f t="shared" si="2128"/>
        <v>6.3834741314467562</v>
      </c>
      <c r="T473" s="2800">
        <f t="shared" si="2128"/>
        <v>5.667301055180161</v>
      </c>
      <c r="U473" s="2800">
        <f t="shared" si="2128"/>
        <v>5.0026882162862014</v>
      </c>
      <c r="V473" s="2800">
        <f t="shared" si="2128"/>
        <v>4.6480640813101344</v>
      </c>
      <c r="W473" s="2800">
        <f t="shared" si="2128"/>
        <v>4.9040680573781614</v>
      </c>
      <c r="X473" s="2800">
        <f t="shared" si="2128"/>
        <v>4.9873505605462354</v>
      </c>
      <c r="Y473" s="2800">
        <f>+Y471/Y103*1000/12</f>
        <v>4.7692381157032679</v>
      </c>
      <c r="Z473" s="2800">
        <f t="shared" ref="Z473" ca="1" si="2129">+Z471/Z103*1000/12</f>
        <v>4.8714773359599564</v>
      </c>
      <c r="AA473" s="2958">
        <f ca="1">+Z473</f>
        <v>4.8714773359599564</v>
      </c>
      <c r="AB473" s="2958">
        <f ca="1">+AA473</f>
        <v>4.8714773359599564</v>
      </c>
      <c r="AC473" s="2958">
        <f t="shared" ref="AC473:AG473" ca="1" si="2130">+AB473</f>
        <v>4.8714773359599564</v>
      </c>
      <c r="AD473" s="2958">
        <f t="shared" ca="1" si="2130"/>
        <v>4.8714773359599564</v>
      </c>
      <c r="AE473" s="2958">
        <f t="shared" ca="1" si="2130"/>
        <v>4.8714773359599564</v>
      </c>
      <c r="AF473" s="2958">
        <f t="shared" ca="1" si="2130"/>
        <v>4.8714773359599564</v>
      </c>
      <c r="AG473" s="2958">
        <f t="shared" ca="1" si="2130"/>
        <v>4.8714773359599564</v>
      </c>
      <c r="AH473" s="2615"/>
      <c r="AI473" s="2613"/>
      <c r="AJ473" s="2616"/>
      <c r="AP473" s="2612"/>
      <c r="AT473" s="2612"/>
      <c r="AX473" s="2612"/>
      <c r="BB473" s="2612"/>
      <c r="BF473" s="2612"/>
      <c r="BJ473" s="2612"/>
      <c r="BN473" s="2612"/>
      <c r="BR473" s="2612"/>
      <c r="BV473" s="2612"/>
      <c r="BZ473" s="2612"/>
      <c r="CD473" s="2612"/>
      <c r="CG473" s="2800">
        <f t="shared" ref="CG473:DN473" si="2131">+CG471/CG103*1000/3</f>
        <v>5.6778206778206775</v>
      </c>
      <c r="CH473" s="2953">
        <f t="shared" si="2131"/>
        <v>5.9056439165156691</v>
      </c>
      <c r="CI473" s="2800">
        <f t="shared" si="2131"/>
        <v>6.2980005522883049</v>
      </c>
      <c r="CJ473" s="2800">
        <f t="shared" si="2131"/>
        <v>6.1154650779997235</v>
      </c>
      <c r="CK473" s="2800">
        <f t="shared" si="2131"/>
        <v>5.5983910853490331</v>
      </c>
      <c r="CL473" s="2954">
        <f t="shared" si="2131"/>
        <v>6.9235487246094456</v>
      </c>
      <c r="CM473" s="2955">
        <f t="shared" si="2131"/>
        <v>6.3899020238861475</v>
      </c>
      <c r="CN473" s="2955">
        <f t="shared" si="2131"/>
        <v>6.1642698431202163</v>
      </c>
      <c r="CO473" s="2955">
        <f t="shared" si="2131"/>
        <v>6.3733872221358618</v>
      </c>
      <c r="CP473" s="2953">
        <f t="shared" si="2131"/>
        <v>6.3355063814158479</v>
      </c>
      <c r="CQ473" s="2800">
        <f t="shared" si="2131"/>
        <v>6.2999652415710807</v>
      </c>
      <c r="CR473" s="2800">
        <f t="shared" si="2131"/>
        <v>6.8502944868974351</v>
      </c>
      <c r="CS473" s="2800">
        <f t="shared" si="2131"/>
        <v>5.9306818086729045</v>
      </c>
      <c r="CT473" s="2953">
        <f t="shared" si="2131"/>
        <v>7.502646582282531</v>
      </c>
      <c r="CU473" s="2800">
        <f t="shared" si="2131"/>
        <v>6.3666886315855535</v>
      </c>
      <c r="CV473" s="2800">
        <f t="shared" si="2131"/>
        <v>6.104835835696246</v>
      </c>
      <c r="CW473" s="2800">
        <f t="shared" si="2131"/>
        <v>5.9041161627888981</v>
      </c>
      <c r="CX473" s="2953">
        <f t="shared" si="2131"/>
        <v>5.8481143658470112</v>
      </c>
      <c r="CY473" s="2800">
        <f t="shared" si="2131"/>
        <v>5.9174637714009393</v>
      </c>
      <c r="CZ473" s="2800">
        <f t="shared" si="2131"/>
        <v>5.9130631152631308</v>
      </c>
      <c r="DA473" s="2800">
        <f t="shared" si="2131"/>
        <v>5.6221954498629367</v>
      </c>
      <c r="DB473" s="2953">
        <f t="shared" si="2131"/>
        <v>5.4071410959925226</v>
      </c>
      <c r="DC473" s="2800">
        <f t="shared" si="2131"/>
        <v>5.1752628660034183</v>
      </c>
      <c r="DD473" s="2800">
        <f t="shared" si="2131"/>
        <v>5.0265990868344987</v>
      </c>
      <c r="DE473" s="2800">
        <f t="shared" si="2131"/>
        <v>4.8826785606521943</v>
      </c>
      <c r="DF473" s="2953">
        <f t="shared" si="2131"/>
        <v>4.7783389221133481</v>
      </c>
      <c r="DG473" s="2800">
        <f t="shared" si="2131"/>
        <v>4.6829566083506036</v>
      </c>
      <c r="DH473" s="2800">
        <f t="shared" si="2131"/>
        <v>4.839852775735924</v>
      </c>
      <c r="DI473" s="2956">
        <f t="shared" si="2131"/>
        <v>4.7952527772182885</v>
      </c>
      <c r="DJ473" s="2953">
        <f t="shared" si="2131"/>
        <v>4.747505059132215</v>
      </c>
      <c r="DK473" s="2800">
        <f t="shared" si="2131"/>
        <v>4.9628044430857026</v>
      </c>
      <c r="DL473" s="2800">
        <f t="shared" si="2131"/>
        <v>5.0866630731036997</v>
      </c>
      <c r="DM473" s="2956">
        <f t="shared" si="2131"/>
        <v>5.0127959535625042</v>
      </c>
      <c r="DN473" s="2800">
        <f t="shared" si="2131"/>
        <v>4.8499923828646923</v>
      </c>
      <c r="DO473" s="2800">
        <f t="shared" ref="DO473:DP473" si="2132">+DO471/DO103*1000/3</f>
        <v>4.9225394745983069</v>
      </c>
      <c r="DP473" s="2800">
        <f t="shared" si="2132"/>
        <v>4.9448450114007514</v>
      </c>
      <c r="DQ473" s="3043">
        <f t="shared" ref="DQ473" si="2133">+DQ471/DQ103*1000/3</f>
        <v>5.0354391069443016</v>
      </c>
      <c r="DR473" s="3067">
        <f t="shared" ref="DR473" si="2134">+DR471/DR103*1000/3</f>
        <v>4.7647206262760475</v>
      </c>
      <c r="DS473" s="3228">
        <f t="shared" ref="DS473:DT473" si="2135">+DS471/DS103*1000/3</f>
        <v>4.8287101516558346</v>
      </c>
      <c r="DT473" s="3228">
        <f t="shared" si="2135"/>
        <v>4.9303338066646001</v>
      </c>
      <c r="DU473" s="3043">
        <f t="shared" ref="DU473" si="2136">+DU471/DU103*1000/3</f>
        <v>4.7346178640498531</v>
      </c>
      <c r="DV473" s="3228">
        <f t="shared" ref="DV473" si="2137">+DV471/DV103*1000/3</f>
        <v>5.2555277949798436</v>
      </c>
      <c r="DW473" s="3271">
        <f t="shared" ref="DW473:DY473" si="2138">+DS473-0.05</f>
        <v>4.7787101516558348</v>
      </c>
      <c r="DX473" s="3271">
        <f t="shared" si="2138"/>
        <v>4.8803338066646003</v>
      </c>
      <c r="DY473" s="2996">
        <f t="shared" si="2138"/>
        <v>4.6846178640498533</v>
      </c>
    </row>
    <row r="474" spans="1:129" s="2614" customFormat="1">
      <c r="A474" s="2623"/>
      <c r="B474" s="2624"/>
      <c r="C474" s="2624"/>
      <c r="D474" s="2624"/>
      <c r="E474" s="2624"/>
      <c r="F474" s="2624"/>
      <c r="G474" s="2624"/>
      <c r="H474" s="2624"/>
      <c r="I474" s="2624"/>
      <c r="J474" s="2624"/>
      <c r="K474" s="2624"/>
      <c r="L474" s="2624"/>
      <c r="M474" s="2624"/>
      <c r="N474" s="2624"/>
      <c r="O474" s="2624"/>
      <c r="P474" s="2624"/>
      <c r="Q474" s="2624"/>
      <c r="R474" s="2624"/>
      <c r="S474" s="2624"/>
      <c r="T474" s="2624"/>
      <c r="U474" s="2624"/>
      <c r="V474" s="2624"/>
      <c r="W474" s="2624"/>
      <c r="X474" s="2624"/>
      <c r="Y474" s="2624"/>
      <c r="Z474" s="2624"/>
      <c r="AA474" s="2624"/>
      <c r="AB474" s="2624"/>
      <c r="AC474" s="2624"/>
      <c r="AD474" s="2624"/>
      <c r="AE474" s="2624"/>
      <c r="AF474" s="2624"/>
      <c r="AG474" s="2624"/>
      <c r="AH474" s="2616"/>
      <c r="AJ474" s="2616"/>
      <c r="CL474" s="2625"/>
      <c r="CM474" s="2625"/>
      <c r="CN474" s="2625"/>
      <c r="CO474" s="2625"/>
      <c r="DJ474" s="2624"/>
      <c r="DK474" s="2624"/>
      <c r="DL474" s="2624"/>
      <c r="DM474" s="2624"/>
      <c r="DN474" s="2624"/>
      <c r="DO474" s="2624"/>
      <c r="DP474" s="2624"/>
      <c r="DQ474" s="2624"/>
      <c r="DR474" s="2624"/>
      <c r="DS474" s="2624"/>
      <c r="DT474" s="2624"/>
      <c r="DU474" s="2624"/>
      <c r="DV474" s="3319"/>
      <c r="DW474" s="2626"/>
      <c r="DX474" s="2626"/>
      <c r="DY474" s="2626"/>
    </row>
    <row r="475" spans="1:129" s="1491" customFormat="1">
      <c r="A475" s="198" t="s">
        <v>1710</v>
      </c>
      <c r="B475" s="1476"/>
      <c r="C475" s="1476"/>
      <c r="D475" s="1476"/>
      <c r="E475" s="1476"/>
      <c r="F475" s="1476"/>
      <c r="G475" s="1476"/>
      <c r="H475" s="1476"/>
      <c r="I475" s="1476"/>
      <c r="J475" s="1476"/>
      <c r="K475" s="1476"/>
      <c r="L475" s="1476"/>
      <c r="M475" s="1476"/>
      <c r="N475" s="1476"/>
      <c r="O475" s="1476"/>
      <c r="P475" s="1476"/>
      <c r="Q475" s="1476"/>
      <c r="R475" s="1476"/>
      <c r="S475" s="1476"/>
      <c r="T475" s="1476"/>
      <c r="U475" s="1476"/>
      <c r="V475" s="1476"/>
      <c r="W475" s="1476"/>
      <c r="X475" s="1476"/>
      <c r="Y475" s="1476"/>
      <c r="Z475" s="1476"/>
      <c r="AA475" s="1476"/>
      <c r="AB475" s="1476"/>
      <c r="AC475" s="1476"/>
      <c r="AD475" s="1476"/>
      <c r="AE475" s="1476"/>
      <c r="AF475" s="1476"/>
      <c r="AG475" s="1476"/>
      <c r="AH475" s="2201"/>
      <c r="AI475" s="1927"/>
      <c r="AJ475" s="1561"/>
      <c r="AK475" s="1476"/>
      <c r="AL475" s="1476"/>
      <c r="AM475" s="1476"/>
      <c r="AN475" s="1476"/>
      <c r="AO475" s="1476"/>
      <c r="AP475" s="798"/>
      <c r="AQ475" s="1476"/>
      <c r="AR475" s="1476"/>
      <c r="AS475" s="1476"/>
      <c r="AT475" s="798"/>
      <c r="AU475" s="1476"/>
      <c r="AV475" s="1476"/>
      <c r="AW475" s="1476"/>
      <c r="AX475" s="798"/>
      <c r="AY475" s="1476"/>
      <c r="AZ475" s="1476"/>
      <c r="BA475" s="1476"/>
      <c r="BB475" s="798"/>
      <c r="BC475" s="1476"/>
      <c r="BD475" s="1476"/>
      <c r="BE475" s="1476"/>
      <c r="BF475" s="798"/>
      <c r="BG475" s="1476"/>
      <c r="BH475" s="1476"/>
      <c r="BI475" s="1476"/>
      <c r="BJ475" s="798"/>
      <c r="BK475" s="1476"/>
      <c r="BL475" s="1476"/>
      <c r="BM475" s="1476"/>
      <c r="BN475" s="798"/>
      <c r="BO475" s="1476"/>
      <c r="BP475" s="1476"/>
      <c r="BQ475" s="1476"/>
      <c r="BR475" s="798"/>
      <c r="BS475" s="1476"/>
      <c r="BT475" s="1476"/>
      <c r="BU475" s="1476"/>
      <c r="BV475" s="798"/>
      <c r="BW475" s="1476"/>
      <c r="BX475" s="1476"/>
      <c r="BY475" s="1476"/>
      <c r="BZ475" s="798"/>
      <c r="CA475" s="1476"/>
      <c r="CB475" s="1476"/>
      <c r="CC475" s="1476"/>
      <c r="CD475" s="798"/>
      <c r="CE475" s="1476"/>
      <c r="CF475" s="1476"/>
      <c r="CG475" s="1476"/>
      <c r="CH475" s="798"/>
      <c r="CI475" s="1476"/>
      <c r="CJ475" s="1476"/>
      <c r="CK475" s="1476"/>
      <c r="CL475" s="798"/>
      <c r="CM475" s="1476"/>
      <c r="CN475" s="1476"/>
      <c r="CO475" s="1476"/>
      <c r="CP475" s="798"/>
      <c r="CQ475" s="1476"/>
      <c r="CR475" s="1476"/>
      <c r="CS475" s="1476"/>
      <c r="CT475" s="798"/>
      <c r="CU475" s="1476"/>
      <c r="CV475" s="1476"/>
      <c r="CW475" s="1476"/>
      <c r="CX475" s="798"/>
      <c r="CY475" s="1476"/>
      <c r="CZ475" s="1476"/>
      <c r="DA475" s="1476"/>
      <c r="DB475" s="798"/>
      <c r="DC475" s="1476"/>
      <c r="DD475" s="1476"/>
      <c r="DE475" s="1476"/>
      <c r="DF475" s="798"/>
      <c r="DG475" s="1476"/>
      <c r="DH475" s="1476"/>
      <c r="DI475" s="1477"/>
      <c r="DJ475" s="798"/>
      <c r="DK475" s="1476"/>
      <c r="DL475" s="1476"/>
      <c r="DM475" s="1477"/>
      <c r="DN475" s="1476"/>
      <c r="DO475" s="1476"/>
      <c r="DP475" s="1476"/>
      <c r="DQ475" s="1477"/>
      <c r="DR475" s="798"/>
      <c r="DS475" s="1476"/>
      <c r="DT475" s="1476"/>
      <c r="DU475" s="1477"/>
      <c r="DV475" s="1476"/>
      <c r="DW475" s="1476"/>
      <c r="DX475" s="1476"/>
      <c r="DY475" s="1477"/>
    </row>
    <row r="476" spans="1:129">
      <c r="A476" s="1942"/>
      <c r="AH476" s="2201"/>
      <c r="AI476" s="1927"/>
      <c r="AP476" s="1942"/>
      <c r="AT476" s="1942"/>
      <c r="AX476" s="1942"/>
      <c r="BB476" s="1942"/>
      <c r="BF476" s="1942"/>
      <c r="BJ476" s="1942"/>
      <c r="BN476" s="1942"/>
      <c r="BR476" s="1942"/>
      <c r="BV476" s="1942"/>
      <c r="BZ476" s="1942"/>
      <c r="CD476" s="1942"/>
      <c r="CH476" s="1993"/>
      <c r="CI476" s="1992"/>
      <c r="CJ476" s="1992"/>
      <c r="CK476" s="1992"/>
      <c r="CL476" s="1993"/>
      <c r="CM476" s="1992"/>
      <c r="CN476" s="1992"/>
      <c r="CO476" s="1992"/>
      <c r="CP476" s="1993"/>
      <c r="CQ476" s="1992"/>
      <c r="CR476" s="1992"/>
      <c r="CS476" s="1992"/>
      <c r="CT476" s="1993"/>
      <c r="CU476" s="1992"/>
      <c r="CV476" s="1992"/>
      <c r="CW476" s="1992"/>
      <c r="CX476" s="1993"/>
      <c r="CY476" s="1992"/>
      <c r="CZ476" s="1992"/>
      <c r="DA476" s="1992"/>
      <c r="DB476" s="1993"/>
      <c r="DC476" s="1992"/>
      <c r="DD476" s="1992"/>
      <c r="DE476" s="1992"/>
      <c r="DF476" s="1993"/>
      <c r="DG476" s="1992"/>
      <c r="DH476" s="1992"/>
      <c r="DI476" s="1998"/>
      <c r="DJ476" s="1993"/>
      <c r="DK476" s="1992"/>
      <c r="DL476" s="1992"/>
      <c r="DM476" s="1998"/>
      <c r="DN476" s="1992"/>
      <c r="DO476" s="1992"/>
      <c r="DP476" s="1992"/>
      <c r="DQ476" s="1998"/>
      <c r="DR476" s="1993"/>
      <c r="DS476" s="1992"/>
      <c r="DT476" s="1992"/>
      <c r="DU476" s="1998"/>
      <c r="DV476" s="1992"/>
      <c r="DW476" s="1992"/>
      <c r="DX476" s="1992"/>
      <c r="DY476" s="1998"/>
    </row>
    <row r="477" spans="1:129" s="2205" customFormat="1" ht="15" customHeight="1">
      <c r="A477" s="1933" t="s">
        <v>1716</v>
      </c>
      <c r="P477" s="1992"/>
      <c r="Q477" s="1992"/>
      <c r="R477" s="1992"/>
      <c r="S477" s="1992"/>
      <c r="T477" s="1992"/>
      <c r="U477" s="1992"/>
      <c r="V477" s="1992"/>
      <c r="W477" s="1992"/>
      <c r="X477" s="1992"/>
      <c r="Y477" s="1992"/>
      <c r="Z477" s="1992"/>
      <c r="AA477" s="1992">
        <f t="shared" ref="AA477:AB477" ca="1" si="2139">+AA246+AA281</f>
        <v>59925.559843098272</v>
      </c>
      <c r="AB477" s="1992">
        <f t="shared" ca="1" si="2139"/>
        <v>60944.331221101871</v>
      </c>
      <c r="AC477" s="1992">
        <f t="shared" ref="AC477:AG477" ca="1" si="2140">+AC246+AC281</f>
        <v>62041.905027799636</v>
      </c>
      <c r="AD477" s="1992">
        <f t="shared" ca="1" si="2140"/>
        <v>63208.996336391392</v>
      </c>
      <c r="AE477" s="1992">
        <f t="shared" ca="1" si="2140"/>
        <v>64451.273018813896</v>
      </c>
      <c r="AF477" s="1992">
        <f t="shared" ca="1" si="2140"/>
        <v>65780.869769470723</v>
      </c>
      <c r="AG477" s="1992">
        <f t="shared" ca="1" si="2140"/>
        <v>67212.624937177126</v>
      </c>
      <c r="AH477" s="2220"/>
      <c r="AI477" s="1977"/>
      <c r="AJ477" s="2221"/>
      <c r="AP477" s="1933"/>
      <c r="AT477" s="1933"/>
      <c r="AX477" s="1933"/>
      <c r="BB477" s="1933"/>
      <c r="BF477" s="1933"/>
      <c r="BJ477" s="1933"/>
      <c r="BN477" s="1933"/>
      <c r="BR477" s="2935"/>
      <c r="BS477" s="2936"/>
      <c r="BT477" s="2936"/>
      <c r="BU477" s="2936"/>
      <c r="BV477" s="2935"/>
      <c r="BW477" s="2936"/>
      <c r="BX477" s="2936"/>
      <c r="BY477" s="2936"/>
      <c r="BZ477" s="2935"/>
      <c r="CA477" s="2936"/>
      <c r="CB477" s="2936"/>
      <c r="CC477" s="2936"/>
      <c r="CD477" s="2935"/>
      <c r="CE477" s="2936"/>
      <c r="CF477" s="2936"/>
      <c r="CG477" s="2936"/>
      <c r="CH477" s="2714"/>
      <c r="CI477" s="2936"/>
      <c r="CJ477" s="2936"/>
      <c r="CK477" s="2936"/>
      <c r="CL477" s="1995"/>
      <c r="CM477" s="1997"/>
      <c r="CN477" s="1997"/>
      <c r="CO477" s="1992"/>
      <c r="CP477" s="1995"/>
      <c r="CQ477" s="1997"/>
      <c r="CR477" s="1997"/>
      <c r="CS477" s="2248"/>
      <c r="CT477" s="2247"/>
      <c r="CU477" s="2248"/>
      <c r="CV477" s="2248"/>
      <c r="CW477" s="2248"/>
      <c r="CX477" s="2247"/>
      <c r="CY477" s="2248"/>
      <c r="CZ477" s="2248"/>
      <c r="DA477" s="2248"/>
      <c r="DB477" s="2247"/>
      <c r="DC477" s="2248"/>
      <c r="DD477" s="2937"/>
      <c r="DE477" s="2937"/>
      <c r="DF477" s="2938"/>
      <c r="DG477" s="2937"/>
      <c r="DH477" s="2937"/>
      <c r="DI477" s="2939"/>
      <c r="DJ477" s="2938"/>
      <c r="DK477" s="2937"/>
      <c r="DL477" s="2937"/>
      <c r="DM477" s="2939"/>
      <c r="DN477" s="2937"/>
      <c r="DO477" s="2937"/>
      <c r="DP477" s="2937"/>
      <c r="DQ477" s="2939"/>
      <c r="DR477" s="1992">
        <f>+DR21</f>
        <v>15007</v>
      </c>
      <c r="DS477" s="1992">
        <f t="shared" ref="DS477:DU477" si="2141">+DS21</f>
        <v>14851</v>
      </c>
      <c r="DT477" s="1992">
        <f t="shared" si="2141"/>
        <v>15070</v>
      </c>
      <c r="DU477" s="1998">
        <f t="shared" si="2141"/>
        <v>15109</v>
      </c>
      <c r="DV477" s="1992">
        <f t="shared" ref="DV477" si="2142">+DV21</f>
        <v>14631</v>
      </c>
      <c r="DW477" s="1992">
        <f ca="1">+DW246+DW281</f>
        <v>14659.390651275204</v>
      </c>
      <c r="DX477" s="1992">
        <f t="shared" ref="DX477:DY477" ca="1" si="2143">+DX246+DX281</f>
        <v>14868.60352297711</v>
      </c>
      <c r="DY477" s="1998">
        <f t="shared" ca="1" si="2143"/>
        <v>14869.379740529916</v>
      </c>
    </row>
    <row r="478" spans="1:129" ht="15" customHeight="1">
      <c r="A478" s="2211" t="s">
        <v>834</v>
      </c>
      <c r="P478" s="2702"/>
      <c r="Q478" s="2702"/>
      <c r="R478" s="2799"/>
      <c r="S478" s="2799"/>
      <c r="T478" s="2799"/>
      <c r="U478" s="2799"/>
      <c r="V478" s="2799"/>
      <c r="W478" s="2799"/>
      <c r="X478" s="2799"/>
      <c r="Y478" s="2799"/>
      <c r="Z478" s="2799"/>
      <c r="AA478" s="2799"/>
      <c r="AB478" s="2799"/>
      <c r="AC478" s="2799"/>
      <c r="AD478" s="2799"/>
      <c r="AE478" s="2799"/>
      <c r="AF478" s="2799"/>
      <c r="AG478" s="2799"/>
      <c r="AH478" s="2201"/>
      <c r="AI478" s="1927"/>
      <c r="AP478" s="1942"/>
      <c r="AT478" s="1942"/>
      <c r="AX478" s="1942"/>
      <c r="BB478" s="1942"/>
      <c r="BF478" s="1942"/>
      <c r="BJ478" s="1942"/>
      <c r="BN478" s="1942"/>
      <c r="BR478" s="2732"/>
      <c r="BS478" s="2731"/>
      <c r="BT478" s="2731"/>
      <c r="BU478" s="2731"/>
      <c r="BV478" s="2940"/>
      <c r="BW478" s="2799"/>
      <c r="BX478" s="2799"/>
      <c r="BY478" s="2799"/>
      <c r="BZ478" s="2940"/>
      <c r="CA478" s="2799"/>
      <c r="CB478" s="2799"/>
      <c r="CC478" s="2799"/>
      <c r="CD478" s="2940"/>
      <c r="CE478" s="2799"/>
      <c r="CF478" s="2799"/>
      <c r="CG478" s="2799"/>
      <c r="CH478" s="2940"/>
      <c r="CI478" s="2799"/>
      <c r="CJ478" s="2799"/>
      <c r="CK478" s="2941"/>
      <c r="CL478" s="2940"/>
      <c r="CM478" s="2799"/>
      <c r="CN478" s="2799"/>
      <c r="CO478" s="2799"/>
      <c r="CP478" s="2940"/>
      <c r="CQ478" s="2799"/>
      <c r="CR478" s="2799"/>
      <c r="CS478" s="2799"/>
      <c r="CT478" s="2940"/>
      <c r="CU478" s="2799"/>
      <c r="CV478" s="2799"/>
      <c r="CW478" s="2799"/>
      <c r="CX478" s="2940"/>
      <c r="CY478" s="2799"/>
      <c r="CZ478" s="2799"/>
      <c r="DA478" s="2941"/>
      <c r="DB478" s="2940"/>
      <c r="DC478" s="2799"/>
      <c r="DD478" s="2799"/>
      <c r="DE478" s="2799"/>
      <c r="DF478" s="2940"/>
      <c r="DG478" s="2799"/>
      <c r="DH478" s="2799"/>
      <c r="DI478" s="2941"/>
      <c r="DJ478" s="2940"/>
      <c r="DK478" s="2799"/>
      <c r="DL478" s="2799"/>
      <c r="DM478" s="2941"/>
      <c r="DN478" s="2799"/>
      <c r="DO478" s="2799"/>
      <c r="DP478" s="2799"/>
      <c r="DQ478" s="2941"/>
      <c r="DR478" s="2940"/>
      <c r="DS478" s="2799"/>
      <c r="DT478" s="2799"/>
      <c r="DU478" s="2941"/>
      <c r="DV478" s="2799"/>
      <c r="DW478" s="2799">
        <f t="shared" ref="DW478" ca="1" si="2144">DW477/DS477-1</f>
        <v>-1.2902117616645059E-2</v>
      </c>
      <c r="DX478" s="2799">
        <f t="shared" ref="DX478" ca="1" si="2145">DX477/DT477-1</f>
        <v>-1.3364066159448629E-2</v>
      </c>
      <c r="DY478" s="2941">
        <f t="shared" ref="DY478" ca="1" si="2146">DY477/DU477-1</f>
        <v>-1.5859438710045914E-2</v>
      </c>
    </row>
    <row r="479" spans="1:129" ht="15" customHeight="1">
      <c r="A479" s="1933" t="s">
        <v>1712</v>
      </c>
      <c r="P479" s="2702"/>
      <c r="Q479" s="2702"/>
      <c r="R479" s="2799"/>
      <c r="S479" s="2799"/>
      <c r="T479" s="2799"/>
      <c r="U479" s="2799"/>
      <c r="V479" s="2799"/>
      <c r="W479" s="2799"/>
      <c r="X479" s="2799"/>
      <c r="Y479" s="2799"/>
      <c r="Z479" s="2799"/>
      <c r="AA479" s="1992">
        <f ca="1">AA433</f>
        <v>20689.43678256034</v>
      </c>
      <c r="AB479" s="1992">
        <f t="shared" ref="AB479" ca="1" si="2147">AB433</f>
        <v>20508.581086799473</v>
      </c>
      <c r="AC479" s="1992">
        <f t="shared" ref="AC479:AG479" ca="1" si="2148">AC433</f>
        <v>20293.199245634241</v>
      </c>
      <c r="AD479" s="1992">
        <f t="shared" ca="1" si="2148"/>
        <v>20049.079123320953</v>
      </c>
      <c r="AE479" s="1992">
        <f t="shared" ca="1" si="2148"/>
        <v>19781.061589141056</v>
      </c>
      <c r="AF479" s="1992">
        <f t="shared" ca="1" si="2148"/>
        <v>19493.195692455978</v>
      </c>
      <c r="AG479" s="1992">
        <f t="shared" ca="1" si="2148"/>
        <v>19188.86702053226</v>
      </c>
      <c r="AI479" s="2207"/>
      <c r="BR479" s="2731"/>
      <c r="BS479" s="2731"/>
      <c r="BT479" s="2731"/>
      <c r="BU479" s="2731"/>
      <c r="BV479" s="2799"/>
      <c r="BW479" s="2799"/>
      <c r="BX479" s="2799"/>
      <c r="BY479" s="2799"/>
      <c r="BZ479" s="2799"/>
      <c r="CA479" s="2799"/>
      <c r="CB479" s="2799"/>
      <c r="CC479" s="2799"/>
      <c r="CD479" s="2799"/>
      <c r="CE479" s="2799"/>
      <c r="CF479" s="2799"/>
      <c r="CG479" s="2799"/>
      <c r="CH479" s="2799"/>
      <c r="CI479" s="2799"/>
      <c r="CJ479" s="2799"/>
      <c r="CK479" s="2799"/>
      <c r="CL479" s="2799"/>
      <c r="CM479" s="2799"/>
      <c r="CN479" s="2799"/>
      <c r="CO479" s="2799"/>
      <c r="CP479" s="2799"/>
      <c r="CQ479" s="2799"/>
      <c r="CR479" s="2799"/>
      <c r="CS479" s="2799"/>
      <c r="CT479" s="2799"/>
      <c r="CU479" s="2799"/>
      <c r="CV479" s="2799"/>
      <c r="CW479" s="2799"/>
      <c r="CX479" s="2799"/>
      <c r="CY479" s="2799"/>
      <c r="CZ479" s="2799"/>
      <c r="DA479" s="2799"/>
      <c r="DB479" s="2799"/>
      <c r="DC479" s="2799"/>
      <c r="DD479" s="2799"/>
      <c r="DE479" s="2799"/>
      <c r="DF479" s="2799"/>
      <c r="DG479" s="2799"/>
      <c r="DH479" s="2799"/>
      <c r="DI479" s="2799"/>
      <c r="DJ479" s="2799"/>
      <c r="DK479" s="2799"/>
      <c r="DL479" s="2799"/>
      <c r="DM479" s="2799"/>
      <c r="DN479" s="2799"/>
      <c r="DO479" s="2799"/>
      <c r="DP479" s="2799"/>
      <c r="DQ479" s="2941"/>
      <c r="DR479" s="1992">
        <f>+DR27</f>
        <v>3764</v>
      </c>
      <c r="DS479" s="1992">
        <f t="shared" ref="DS479:DU479" si="2149">+DS27</f>
        <v>4298</v>
      </c>
      <c r="DT479" s="1992">
        <f t="shared" si="2149"/>
        <v>4352</v>
      </c>
      <c r="DU479" s="1998">
        <f t="shared" si="2149"/>
        <v>6475</v>
      </c>
      <c r="DV479" s="1992">
        <f t="shared" ref="DV479" si="2150">+DV27</f>
        <v>5040</v>
      </c>
      <c r="DW479" s="1992">
        <f t="shared" ref="DW479:DY479" si="2151">DW433</f>
        <v>4904.6265666061236</v>
      </c>
      <c r="DX479" s="1992">
        <f t="shared" ca="1" si="2151"/>
        <v>4970.3774831801165</v>
      </c>
      <c r="DY479" s="1998">
        <f t="shared" ca="1" si="2151"/>
        <v>6350.152591081609</v>
      </c>
    </row>
    <row r="480" spans="1:129" ht="15" customHeight="1">
      <c r="A480" s="2211" t="s">
        <v>834</v>
      </c>
      <c r="P480" s="2702"/>
      <c r="Q480" s="2702"/>
      <c r="R480" s="2799"/>
      <c r="S480" s="2799"/>
      <c r="T480" s="2799"/>
      <c r="U480" s="2799"/>
      <c r="V480" s="2799"/>
      <c r="W480" s="2799"/>
      <c r="X480" s="2799"/>
      <c r="Y480" s="2799"/>
      <c r="Z480" s="2799"/>
      <c r="AA480" s="2799"/>
      <c r="AB480" s="2799"/>
      <c r="AC480" s="2799"/>
      <c r="AD480" s="2799"/>
      <c r="AE480" s="2799"/>
      <c r="AF480" s="2799"/>
      <c r="AG480" s="2799"/>
      <c r="AI480" s="2207"/>
      <c r="BR480" s="2731"/>
      <c r="BS480" s="2731"/>
      <c r="BT480" s="2731"/>
      <c r="BU480" s="2731"/>
      <c r="BV480" s="2799"/>
      <c r="BW480" s="2799"/>
      <c r="BX480" s="2799"/>
      <c r="BY480" s="2799"/>
      <c r="BZ480" s="2799"/>
      <c r="CA480" s="2799"/>
      <c r="CB480" s="2799"/>
      <c r="CC480" s="2799"/>
      <c r="CD480" s="2799"/>
      <c r="CE480" s="2799"/>
      <c r="CF480" s="2799"/>
      <c r="CG480" s="2799"/>
      <c r="CH480" s="2799"/>
      <c r="CI480" s="2799"/>
      <c r="CJ480" s="2799"/>
      <c r="CK480" s="2799"/>
      <c r="CL480" s="2799"/>
      <c r="CM480" s="2799"/>
      <c r="CN480" s="2799"/>
      <c r="CO480" s="2799"/>
      <c r="CP480" s="2799"/>
      <c r="CQ480" s="2799"/>
      <c r="CR480" s="2799"/>
      <c r="CS480" s="2799"/>
      <c r="CT480" s="2799"/>
      <c r="CU480" s="2799"/>
      <c r="CV480" s="2799"/>
      <c r="CW480" s="2799"/>
      <c r="CX480" s="2799"/>
      <c r="CY480" s="2799"/>
      <c r="CZ480" s="2799"/>
      <c r="DA480" s="2799"/>
      <c r="DB480" s="2799"/>
      <c r="DC480" s="2799"/>
      <c r="DD480" s="2799"/>
      <c r="DE480" s="2799"/>
      <c r="DF480" s="2799"/>
      <c r="DG480" s="2799"/>
      <c r="DH480" s="2799"/>
      <c r="DI480" s="2799"/>
      <c r="DJ480" s="2799"/>
      <c r="DK480" s="2799"/>
      <c r="DL480" s="2799"/>
      <c r="DM480" s="2799"/>
      <c r="DN480" s="2799"/>
      <c r="DO480" s="2799"/>
      <c r="DP480" s="2799"/>
      <c r="DQ480" s="2799"/>
      <c r="DR480" s="2940"/>
      <c r="DS480" s="2799"/>
      <c r="DT480" s="2799"/>
      <c r="DU480" s="2941"/>
      <c r="DV480" s="2799"/>
      <c r="DW480" s="2799">
        <f t="shared" ref="DW480" si="2152">DW479/DS479-1</f>
        <v>0.1411415929749007</v>
      </c>
      <c r="DX480" s="2799">
        <f t="shared" ref="DX480" ca="1" si="2153">DX479/DT479-1</f>
        <v>0.14209041433366654</v>
      </c>
      <c r="DY480" s="2941">
        <f t="shared" ref="DY480" ca="1" si="2154">DY479/DU479-1</f>
        <v>-1.9281453114809444E-2</v>
      </c>
    </row>
    <row r="481" spans="1:129" ht="15" customHeight="1">
      <c r="A481" s="2211"/>
      <c r="P481" s="2702"/>
      <c r="Q481" s="2702"/>
      <c r="R481" s="2799"/>
      <c r="S481" s="2799"/>
      <c r="T481" s="2799"/>
      <c r="U481" s="2799"/>
      <c r="V481" s="2799"/>
      <c r="W481" s="2799"/>
      <c r="X481" s="2799"/>
      <c r="Y481" s="2799"/>
      <c r="Z481" s="2799"/>
      <c r="AA481" s="2799"/>
      <c r="AB481" s="2799"/>
      <c r="AC481" s="2799"/>
      <c r="AD481" s="2799"/>
      <c r="AE481" s="2799"/>
      <c r="AF481" s="2799"/>
      <c r="AG481" s="2799"/>
      <c r="AI481" s="2207"/>
      <c r="BR481" s="2731"/>
      <c r="BS481" s="2731"/>
      <c r="BT481" s="2731"/>
      <c r="BU481" s="2731"/>
      <c r="BV481" s="2799"/>
      <c r="BW481" s="2799"/>
      <c r="BX481" s="2799"/>
      <c r="BY481" s="2799"/>
      <c r="BZ481" s="2799"/>
      <c r="CA481" s="2799"/>
      <c r="CB481" s="2799"/>
      <c r="CC481" s="2799"/>
      <c r="CD481" s="2799"/>
      <c r="CE481" s="2799"/>
      <c r="CF481" s="2799"/>
      <c r="CG481" s="2799"/>
      <c r="CH481" s="2799"/>
      <c r="CI481" s="2799"/>
      <c r="CJ481" s="2799"/>
      <c r="CK481" s="2799"/>
      <c r="CL481" s="2799"/>
      <c r="CM481" s="2799"/>
      <c r="CN481" s="2799"/>
      <c r="CO481" s="2799"/>
      <c r="CP481" s="2799"/>
      <c r="CQ481" s="2799"/>
      <c r="CR481" s="2799"/>
      <c r="CS481" s="2799"/>
      <c r="CT481" s="2799"/>
      <c r="CU481" s="2799"/>
      <c r="CV481" s="2799"/>
      <c r="CW481" s="2799"/>
      <c r="CX481" s="2799"/>
      <c r="CY481" s="2799"/>
      <c r="CZ481" s="2799"/>
      <c r="DA481" s="2799"/>
      <c r="DB481" s="2799"/>
      <c r="DC481" s="2799"/>
      <c r="DD481" s="2799"/>
      <c r="DE481" s="2799"/>
      <c r="DF481" s="2799"/>
      <c r="DG481" s="2799"/>
      <c r="DH481" s="2799"/>
      <c r="DI481" s="2799"/>
      <c r="DJ481" s="2799"/>
      <c r="DK481" s="2799"/>
      <c r="DL481" s="2799"/>
      <c r="DM481" s="2799"/>
      <c r="DN481" s="2799"/>
      <c r="DO481" s="2799"/>
      <c r="DP481" s="2799"/>
      <c r="DQ481" s="2799"/>
      <c r="DR481" s="2799"/>
      <c r="DS481" s="2799"/>
      <c r="DT481" s="2799"/>
      <c r="DU481" s="2799"/>
      <c r="DV481" s="2799"/>
      <c r="DW481" s="2799"/>
      <c r="DX481" s="2799"/>
      <c r="DY481" s="2941"/>
    </row>
    <row r="482" spans="1:129" ht="15" customHeight="1">
      <c r="A482" s="3302" t="s">
        <v>1713</v>
      </c>
      <c r="P482" s="2702"/>
      <c r="Q482" s="2702"/>
      <c r="R482" s="2799"/>
      <c r="S482" s="2799"/>
      <c r="T482" s="2799"/>
      <c r="U482" s="2799"/>
      <c r="V482" s="2799"/>
      <c r="W482" s="2799"/>
      <c r="X482" s="2799"/>
      <c r="Y482" s="2799"/>
      <c r="Z482" s="2799"/>
      <c r="AA482" s="2799"/>
      <c r="AB482" s="2799"/>
      <c r="AC482" s="2799"/>
      <c r="AD482" s="2799"/>
      <c r="AE482" s="2799"/>
      <c r="AF482" s="2799"/>
      <c r="AG482" s="2799"/>
      <c r="AI482" s="2207"/>
      <c r="BR482" s="2731"/>
      <c r="BS482" s="2731"/>
      <c r="BT482" s="2731"/>
      <c r="BU482" s="2731"/>
      <c r="BV482" s="2799"/>
      <c r="BW482" s="2799"/>
      <c r="BX482" s="2799"/>
      <c r="BY482" s="2799"/>
      <c r="BZ482" s="2799"/>
      <c r="CA482" s="2799"/>
      <c r="CB482" s="2799"/>
      <c r="CC482" s="2799"/>
      <c r="CD482" s="2799"/>
      <c r="CE482" s="2799"/>
      <c r="CF482" s="2799"/>
      <c r="CG482" s="2799"/>
      <c r="CH482" s="2799"/>
      <c r="CI482" s="2799"/>
      <c r="CJ482" s="2799"/>
      <c r="CK482" s="2799"/>
      <c r="CL482" s="2799"/>
      <c r="CM482" s="2799"/>
      <c r="CN482" s="2799"/>
      <c r="CO482" s="2799"/>
      <c r="CP482" s="2799"/>
      <c r="CQ482" s="2799"/>
      <c r="CR482" s="2799"/>
      <c r="CS482" s="2799"/>
      <c r="CT482" s="2799"/>
      <c r="CU482" s="2799"/>
      <c r="CV482" s="2799"/>
      <c r="CW482" s="2799"/>
      <c r="CX482" s="2799"/>
      <c r="CY482" s="2799"/>
      <c r="CZ482" s="2799"/>
      <c r="DA482" s="2799"/>
      <c r="DB482" s="2799"/>
      <c r="DC482" s="2799"/>
      <c r="DD482" s="2799"/>
      <c r="DE482" s="2799"/>
      <c r="DF482" s="2799"/>
      <c r="DG482" s="2799"/>
      <c r="DH482" s="2799"/>
      <c r="DI482" s="2799"/>
      <c r="DJ482" s="2799"/>
      <c r="DK482" s="2799"/>
      <c r="DL482" s="2799"/>
      <c r="DM482" s="2799"/>
      <c r="DN482" s="2799"/>
      <c r="DO482" s="2799"/>
      <c r="DP482" s="2799"/>
      <c r="DQ482" s="2799"/>
      <c r="DR482" s="2799"/>
      <c r="DS482" s="2799"/>
      <c r="DT482" s="2799"/>
      <c r="DU482" s="2799"/>
      <c r="DV482" s="2799"/>
      <c r="DW482" s="2799"/>
      <c r="DX482" s="2799"/>
      <c r="DY482" s="2941"/>
    </row>
    <row r="483" spans="1:129" ht="15" customHeight="1">
      <c r="A483" s="3301" t="s">
        <v>1718</v>
      </c>
      <c r="P483" s="2702"/>
      <c r="Q483" s="2702"/>
      <c r="R483" s="2799"/>
      <c r="S483" s="2799"/>
      <c r="T483" s="2799"/>
      <c r="U483" s="2799"/>
      <c r="V483" s="2799"/>
      <c r="W483" s="2799"/>
      <c r="X483" s="2799"/>
      <c r="Y483" s="2799"/>
      <c r="Z483" s="2799"/>
      <c r="AA483" s="2584">
        <v>0</v>
      </c>
      <c r="AB483" s="2584">
        <v>0</v>
      </c>
      <c r="AC483" s="2584">
        <v>0</v>
      </c>
      <c r="AD483" s="2584">
        <v>0</v>
      </c>
      <c r="AE483" s="2584">
        <v>0</v>
      </c>
      <c r="AF483" s="2584">
        <v>0</v>
      </c>
      <c r="AG483" s="2584">
        <v>0</v>
      </c>
      <c r="AI483" s="2207"/>
      <c r="BR483" s="2731"/>
      <c r="BS483" s="2731"/>
      <c r="BT483" s="2731"/>
      <c r="BU483" s="2731"/>
      <c r="BV483" s="2799"/>
      <c r="BW483" s="2799"/>
      <c r="BX483" s="2799"/>
      <c r="BY483" s="2799"/>
      <c r="BZ483" s="2799"/>
      <c r="CA483" s="2799"/>
      <c r="CB483" s="2799"/>
      <c r="CC483" s="2799"/>
      <c r="CD483" s="2799"/>
      <c r="CE483" s="2799"/>
      <c r="CF483" s="2799"/>
      <c r="CG483" s="2799"/>
      <c r="CH483" s="2799"/>
      <c r="CI483" s="2799"/>
      <c r="CJ483" s="2799"/>
      <c r="CK483" s="2799"/>
      <c r="CL483" s="2799"/>
      <c r="CM483" s="2799"/>
      <c r="CN483" s="2799"/>
      <c r="CO483" s="2799"/>
      <c r="CP483" s="2799"/>
      <c r="CQ483" s="2799"/>
      <c r="CR483" s="2799"/>
      <c r="CS483" s="2799"/>
      <c r="CT483" s="2799"/>
      <c r="CU483" s="2799"/>
      <c r="CV483" s="2799"/>
      <c r="CW483" s="2799"/>
      <c r="CX483" s="2799"/>
      <c r="CY483" s="2799"/>
      <c r="CZ483" s="2799"/>
      <c r="DA483" s="2799"/>
      <c r="DB483" s="2799"/>
      <c r="DC483" s="2799"/>
      <c r="DD483" s="2799"/>
      <c r="DE483" s="2799"/>
      <c r="DF483" s="2799"/>
      <c r="DG483" s="2799"/>
      <c r="DH483" s="2799"/>
      <c r="DI483" s="2799"/>
      <c r="DJ483" s="2799"/>
      <c r="DK483" s="2799"/>
      <c r="DL483" s="2799"/>
      <c r="DM483" s="2799"/>
      <c r="DN483" s="2799"/>
      <c r="DO483" s="2799"/>
      <c r="DP483" s="2799"/>
      <c r="DQ483" s="2799"/>
      <c r="DR483" s="2799"/>
      <c r="DS483" s="2799"/>
      <c r="DT483" s="2799"/>
      <c r="DU483" s="2799"/>
      <c r="DV483" s="2799"/>
      <c r="DW483" s="2584">
        <v>0</v>
      </c>
      <c r="DX483" s="2584">
        <v>0</v>
      </c>
      <c r="DY483" s="2589">
        <v>0</v>
      </c>
    </row>
    <row r="484" spans="1:129" ht="15" customHeight="1">
      <c r="A484" s="1933" t="s">
        <v>1717</v>
      </c>
      <c r="P484" s="2702"/>
      <c r="Q484" s="2702"/>
      <c r="R484" s="2799"/>
      <c r="S484" s="2799"/>
      <c r="T484" s="2799"/>
      <c r="U484" s="2799"/>
      <c r="V484" s="2799"/>
      <c r="W484" s="2799"/>
      <c r="X484" s="2799"/>
      <c r="Y484" s="2799"/>
      <c r="Z484" s="2799"/>
      <c r="AA484" s="2216">
        <f t="shared" ref="AA484:AB484" ca="1" si="2155">+AA477+AA485</f>
        <v>59925.559843098272</v>
      </c>
      <c r="AB484" s="2216">
        <f t="shared" ca="1" si="2155"/>
        <v>60944.331221101871</v>
      </c>
      <c r="AC484" s="2216">
        <f t="shared" ref="AC484" ca="1" si="2156">+AC477+AC485</f>
        <v>62041.905027799636</v>
      </c>
      <c r="AD484" s="2216">
        <f t="shared" ref="AD484" ca="1" si="2157">+AD477+AD485</f>
        <v>63208.996336391392</v>
      </c>
      <c r="AE484" s="2216">
        <f t="shared" ref="AE484" ca="1" si="2158">+AE477+AE485</f>
        <v>64451.273018813896</v>
      </c>
      <c r="AF484" s="2216">
        <f t="shared" ref="AF484" ca="1" si="2159">+AF477+AF485</f>
        <v>65780.869769470723</v>
      </c>
      <c r="AG484" s="2216">
        <f t="shared" ref="AG484" ca="1" si="2160">+AG477+AG485</f>
        <v>67212.624937177126</v>
      </c>
      <c r="AI484" s="2207"/>
      <c r="BR484" s="2731"/>
      <c r="BS484" s="2731"/>
      <c r="BT484" s="2731"/>
      <c r="BU484" s="2731"/>
      <c r="BV484" s="2799"/>
      <c r="BW484" s="2799"/>
      <c r="BX484" s="2799"/>
      <c r="BY484" s="2799"/>
      <c r="BZ484" s="2799"/>
      <c r="CA484" s="2799"/>
      <c r="CB484" s="2799"/>
      <c r="CC484" s="2799"/>
      <c r="CD484" s="2799"/>
      <c r="CE484" s="2799"/>
      <c r="CF484" s="2799"/>
      <c r="CG484" s="2799"/>
      <c r="CH484" s="2799"/>
      <c r="CI484" s="2799"/>
      <c r="CJ484" s="2799"/>
      <c r="CK484" s="2799"/>
      <c r="CL484" s="2799"/>
      <c r="CM484" s="2799"/>
      <c r="CN484" s="2799"/>
      <c r="CO484" s="2799"/>
      <c r="CP484" s="2799"/>
      <c r="CQ484" s="2799"/>
      <c r="CR484" s="2799"/>
      <c r="CS484" s="2799"/>
      <c r="CT484" s="2799"/>
      <c r="CU484" s="2799"/>
      <c r="CV484" s="2799"/>
      <c r="CW484" s="2799"/>
      <c r="CX484" s="2799"/>
      <c r="CY484" s="2799"/>
      <c r="CZ484" s="2799"/>
      <c r="DA484" s="2799"/>
      <c r="DB484" s="2799"/>
      <c r="DC484" s="2799"/>
      <c r="DD484" s="2799"/>
      <c r="DE484" s="2799"/>
      <c r="DF484" s="2799"/>
      <c r="DG484" s="2799"/>
      <c r="DH484" s="2799"/>
      <c r="DI484" s="2799"/>
      <c r="DJ484" s="2799"/>
      <c r="DK484" s="2799"/>
      <c r="DL484" s="2799"/>
      <c r="DM484" s="2799"/>
      <c r="DN484" s="2799"/>
      <c r="DO484" s="2799"/>
      <c r="DP484" s="2799"/>
      <c r="DQ484" s="2799"/>
      <c r="DR484" s="2799"/>
      <c r="DS484" s="2799"/>
      <c r="DT484" s="2799"/>
      <c r="DU484" s="2799"/>
      <c r="DV484" s="2799"/>
      <c r="DW484" s="2216">
        <f t="shared" ref="DW484:DY484" ca="1" si="2161">+DW477+DW485</f>
        <v>14659.390651275204</v>
      </c>
      <c r="DX484" s="2216">
        <f t="shared" ca="1" si="2161"/>
        <v>14868.60352297711</v>
      </c>
      <c r="DY484" s="2219">
        <f t="shared" ca="1" si="2161"/>
        <v>14869.379740529916</v>
      </c>
    </row>
    <row r="485" spans="1:129" ht="15" customHeight="1">
      <c r="A485" s="3301" t="s">
        <v>1719</v>
      </c>
      <c r="P485" s="2702"/>
      <c r="Q485" s="2702"/>
      <c r="R485" s="2799"/>
      <c r="S485" s="2799"/>
      <c r="T485" s="2799"/>
      <c r="U485" s="2799"/>
      <c r="V485" s="2799"/>
      <c r="W485" s="2799"/>
      <c r="X485" s="2799"/>
      <c r="Y485" s="2799"/>
      <c r="Z485" s="2799"/>
      <c r="AA485" s="2216">
        <f t="shared" ref="AA485:AB485" ca="1" si="2162">+AA483*AA477</f>
        <v>0</v>
      </c>
      <c r="AB485" s="2216">
        <f t="shared" ca="1" si="2162"/>
        <v>0</v>
      </c>
      <c r="AC485" s="2216">
        <f t="shared" ref="AC485:AG485" ca="1" si="2163">+AC483*AC477</f>
        <v>0</v>
      </c>
      <c r="AD485" s="2216">
        <f t="shared" ca="1" si="2163"/>
        <v>0</v>
      </c>
      <c r="AE485" s="2216">
        <f t="shared" ca="1" si="2163"/>
        <v>0</v>
      </c>
      <c r="AF485" s="2216">
        <f t="shared" ca="1" si="2163"/>
        <v>0</v>
      </c>
      <c r="AG485" s="2216">
        <f t="shared" ca="1" si="2163"/>
        <v>0</v>
      </c>
      <c r="AI485" s="2207"/>
      <c r="BR485" s="2731"/>
      <c r="BS485" s="2731"/>
      <c r="BT485" s="2731"/>
      <c r="BU485" s="2731"/>
      <c r="BV485" s="2799"/>
      <c r="BW485" s="2799"/>
      <c r="BX485" s="2799"/>
      <c r="BY485" s="2799"/>
      <c r="BZ485" s="2799"/>
      <c r="CA485" s="2799"/>
      <c r="CB485" s="2799"/>
      <c r="CC485" s="2799"/>
      <c r="CD485" s="2799"/>
      <c r="CE485" s="2799"/>
      <c r="CF485" s="2799"/>
      <c r="CG485" s="2799"/>
      <c r="CH485" s="2799"/>
      <c r="CI485" s="2799"/>
      <c r="CJ485" s="2799"/>
      <c r="CK485" s="2799"/>
      <c r="CL485" s="2799"/>
      <c r="CM485" s="2799"/>
      <c r="CN485" s="2799"/>
      <c r="CO485" s="2799"/>
      <c r="CP485" s="2799"/>
      <c r="CQ485" s="2799"/>
      <c r="CR485" s="2799"/>
      <c r="CS485" s="2799"/>
      <c r="CT485" s="2799"/>
      <c r="CU485" s="2799"/>
      <c r="CV485" s="2799"/>
      <c r="CW485" s="2799"/>
      <c r="CX485" s="2799"/>
      <c r="CY485" s="2799"/>
      <c r="CZ485" s="2799"/>
      <c r="DA485" s="2799"/>
      <c r="DB485" s="2799"/>
      <c r="DC485" s="2799"/>
      <c r="DD485" s="2799"/>
      <c r="DE485" s="2799"/>
      <c r="DF485" s="2799"/>
      <c r="DG485" s="2799"/>
      <c r="DH485" s="2799"/>
      <c r="DI485" s="2799"/>
      <c r="DJ485" s="2799"/>
      <c r="DK485" s="2799"/>
      <c r="DL485" s="2799"/>
      <c r="DM485" s="2799"/>
      <c r="DN485" s="2799"/>
      <c r="DO485" s="2799"/>
      <c r="DP485" s="2799"/>
      <c r="DQ485" s="2799"/>
      <c r="DR485" s="2799"/>
      <c r="DS485" s="2799"/>
      <c r="DT485" s="2799"/>
      <c r="DU485" s="2799"/>
      <c r="DV485" s="2799"/>
      <c r="DW485" s="2216">
        <f t="shared" ref="DW485:DY485" ca="1" si="2164">+DW483*DW477</f>
        <v>0</v>
      </c>
      <c r="DX485" s="2216">
        <f t="shared" ca="1" si="2164"/>
        <v>0</v>
      </c>
      <c r="DY485" s="2219">
        <f t="shared" ca="1" si="2164"/>
        <v>0</v>
      </c>
    </row>
    <row r="486" spans="1:129" ht="15" customHeight="1">
      <c r="A486" s="1933" t="s">
        <v>1714</v>
      </c>
      <c r="P486" s="2702"/>
      <c r="Q486" s="2702"/>
      <c r="R486" s="2799"/>
      <c r="S486" s="2799"/>
      <c r="T486" s="2799"/>
      <c r="U486" s="2799"/>
      <c r="V486" s="2799"/>
      <c r="W486" s="2799"/>
      <c r="X486" s="2799"/>
      <c r="Y486" s="2799"/>
      <c r="Z486" s="2799"/>
      <c r="AA486" s="2216">
        <f t="shared" ref="AA486:AB486" ca="1" si="2165">+AA479+AA487</f>
        <v>20689.43678256034</v>
      </c>
      <c r="AB486" s="2216">
        <f t="shared" ca="1" si="2165"/>
        <v>20508.581086799473</v>
      </c>
      <c r="AC486" s="2216">
        <f t="shared" ref="AC486" ca="1" si="2166">+AC479+AC487</f>
        <v>20293.199245634241</v>
      </c>
      <c r="AD486" s="2216">
        <f t="shared" ref="AD486" ca="1" si="2167">+AD479+AD487</f>
        <v>20049.079123320953</v>
      </c>
      <c r="AE486" s="2216">
        <f t="shared" ref="AE486" ca="1" si="2168">+AE479+AE487</f>
        <v>19781.061589141056</v>
      </c>
      <c r="AF486" s="2216">
        <f t="shared" ref="AF486" ca="1" si="2169">+AF479+AF487</f>
        <v>19493.195692455978</v>
      </c>
      <c r="AG486" s="2216">
        <f t="shared" ref="AG486" ca="1" si="2170">+AG479+AG487</f>
        <v>19188.86702053226</v>
      </c>
      <c r="AI486" s="2207"/>
      <c r="BR486" s="2731"/>
      <c r="BS486" s="2731"/>
      <c r="BT486" s="2731"/>
      <c r="BU486" s="2731"/>
      <c r="BV486" s="2799"/>
      <c r="BW486" s="2799"/>
      <c r="BX486" s="2799"/>
      <c r="BY486" s="2799"/>
      <c r="BZ486" s="2799"/>
      <c r="CA486" s="2799"/>
      <c r="CB486" s="2799"/>
      <c r="CC486" s="2799"/>
      <c r="CD486" s="2799"/>
      <c r="CE486" s="2799"/>
      <c r="CF486" s="2799"/>
      <c r="CG486" s="2799"/>
      <c r="CH486" s="2799"/>
      <c r="CI486" s="2799"/>
      <c r="CJ486" s="2799"/>
      <c r="CK486" s="2799"/>
      <c r="CL486" s="2799"/>
      <c r="CM486" s="2799"/>
      <c r="CN486" s="2799"/>
      <c r="CO486" s="2799"/>
      <c r="CP486" s="2799"/>
      <c r="CQ486" s="2799"/>
      <c r="CR486" s="2799"/>
      <c r="CS486" s="2799"/>
      <c r="CT486" s="2799"/>
      <c r="CU486" s="2799"/>
      <c r="CV486" s="2799"/>
      <c r="CW486" s="2799"/>
      <c r="CX486" s="2799"/>
      <c r="CY486" s="2799"/>
      <c r="CZ486" s="2799"/>
      <c r="DA486" s="2799"/>
      <c r="DB486" s="2799"/>
      <c r="DC486" s="2799"/>
      <c r="DD486" s="2799"/>
      <c r="DE486" s="2799"/>
      <c r="DF486" s="2799"/>
      <c r="DG486" s="2799"/>
      <c r="DH486" s="2799"/>
      <c r="DI486" s="2799"/>
      <c r="DJ486" s="2799"/>
      <c r="DK486" s="2799"/>
      <c r="DL486" s="2799"/>
      <c r="DM486" s="2799"/>
      <c r="DN486" s="2799"/>
      <c r="DO486" s="2799"/>
      <c r="DP486" s="2799"/>
      <c r="DQ486" s="2799"/>
      <c r="DR486" s="2799"/>
      <c r="DS486" s="2799"/>
      <c r="DT486" s="2799"/>
      <c r="DU486" s="2799"/>
      <c r="DV486" s="2799"/>
      <c r="DW486" s="2216">
        <f t="shared" ref="DW486:DY486" ca="1" si="2171">+DW479+DW487</f>
        <v>4904.6265666061236</v>
      </c>
      <c r="DX486" s="2216">
        <f t="shared" ca="1" si="2171"/>
        <v>4970.3774831801165</v>
      </c>
      <c r="DY486" s="2219">
        <f t="shared" ca="1" si="2171"/>
        <v>6350.152591081609</v>
      </c>
    </row>
    <row r="487" spans="1:129" ht="15" customHeight="1">
      <c r="A487" s="3301" t="s">
        <v>1715</v>
      </c>
      <c r="P487" s="2702"/>
      <c r="Q487" s="2702"/>
      <c r="R487" s="2799"/>
      <c r="S487" s="2799"/>
      <c r="T487" s="2799"/>
      <c r="U487" s="2799"/>
      <c r="V487" s="2799"/>
      <c r="W487" s="2799"/>
      <c r="X487" s="2799"/>
      <c r="Y487" s="2799"/>
      <c r="Z487" s="2799"/>
      <c r="AA487" s="2216">
        <f t="shared" ref="AA487:AB487" ca="1" si="2172">-AA485</f>
        <v>0</v>
      </c>
      <c r="AB487" s="2216">
        <f t="shared" ca="1" si="2172"/>
        <v>0</v>
      </c>
      <c r="AC487" s="2216">
        <f t="shared" ref="AC487" ca="1" si="2173">-AC485</f>
        <v>0</v>
      </c>
      <c r="AD487" s="2216">
        <f t="shared" ref="AD487" ca="1" si="2174">-AD485</f>
        <v>0</v>
      </c>
      <c r="AE487" s="2216">
        <f t="shared" ref="AE487" ca="1" si="2175">-AE485</f>
        <v>0</v>
      </c>
      <c r="AF487" s="2216">
        <f t="shared" ref="AF487" ca="1" si="2176">-AF485</f>
        <v>0</v>
      </c>
      <c r="AG487" s="2216">
        <f t="shared" ref="AG487" ca="1" si="2177">-AG485</f>
        <v>0</v>
      </c>
      <c r="AI487" s="2207"/>
      <c r="BR487" s="2731"/>
      <c r="BS487" s="2731"/>
      <c r="BT487" s="2731"/>
      <c r="BU487" s="2731"/>
      <c r="BV487" s="2799"/>
      <c r="BW487" s="2799"/>
      <c r="BX487" s="2799"/>
      <c r="BY487" s="2799"/>
      <c r="BZ487" s="2799"/>
      <c r="CA487" s="2799"/>
      <c r="CB487" s="2799"/>
      <c r="CC487" s="2799"/>
      <c r="CD487" s="2799"/>
      <c r="CE487" s="2799"/>
      <c r="CF487" s="2799"/>
      <c r="CG487" s="2799"/>
      <c r="CH487" s="2799"/>
      <c r="CI487" s="2799"/>
      <c r="CJ487" s="2799"/>
      <c r="CK487" s="2799"/>
      <c r="CL487" s="2799"/>
      <c r="CM487" s="2799"/>
      <c r="CN487" s="2799"/>
      <c r="CO487" s="2799"/>
      <c r="CP487" s="2799"/>
      <c r="CQ487" s="2799"/>
      <c r="CR487" s="2799"/>
      <c r="CS487" s="2799"/>
      <c r="CT487" s="2799"/>
      <c r="CU487" s="2799"/>
      <c r="CV487" s="2799"/>
      <c r="CW487" s="2799"/>
      <c r="CX487" s="2799"/>
      <c r="CY487" s="2799"/>
      <c r="CZ487" s="2799"/>
      <c r="DA487" s="2799"/>
      <c r="DB487" s="2799"/>
      <c r="DC487" s="2799"/>
      <c r="DD487" s="2799"/>
      <c r="DE487" s="2799"/>
      <c r="DF487" s="2799"/>
      <c r="DG487" s="2799"/>
      <c r="DH487" s="2799"/>
      <c r="DI487" s="2799"/>
      <c r="DJ487" s="2799"/>
      <c r="DK487" s="2799"/>
      <c r="DL487" s="2799"/>
      <c r="DM487" s="2799"/>
      <c r="DN487" s="2799"/>
      <c r="DO487" s="2799"/>
      <c r="DP487" s="2799"/>
      <c r="DQ487" s="2799"/>
      <c r="DR487" s="2799"/>
      <c r="DS487" s="2799"/>
      <c r="DT487" s="2799"/>
      <c r="DU487" s="2799"/>
      <c r="DV487" s="2799"/>
      <c r="DW487" s="2216">
        <f t="shared" ref="DW487:DY487" ca="1" si="2178">-DW485</f>
        <v>0</v>
      </c>
      <c r="DX487" s="2216">
        <f t="shared" ca="1" si="2178"/>
        <v>0</v>
      </c>
      <c r="DY487" s="2219">
        <f t="shared" ca="1" si="2178"/>
        <v>0</v>
      </c>
    </row>
    <row r="488" spans="1:129" ht="15" customHeight="1">
      <c r="A488" s="3301"/>
      <c r="P488" s="2702"/>
      <c r="Q488" s="2702"/>
      <c r="R488" s="2799"/>
      <c r="S488" s="2799"/>
      <c r="T488" s="2799"/>
      <c r="U488" s="2799"/>
      <c r="V488" s="2799"/>
      <c r="W488" s="2799"/>
      <c r="X488" s="2799"/>
      <c r="Y488" s="2799"/>
      <c r="Z488" s="2799"/>
      <c r="AA488" s="2216"/>
      <c r="AB488" s="2216"/>
      <c r="AC488" s="2216"/>
      <c r="AD488" s="2216"/>
      <c r="AE488" s="2216"/>
      <c r="AF488" s="2216"/>
      <c r="AG488" s="2216"/>
      <c r="AI488" s="2207"/>
      <c r="BR488" s="2731"/>
      <c r="BS488" s="2731"/>
      <c r="BT488" s="2731"/>
      <c r="BU488" s="2731"/>
      <c r="BV488" s="2799"/>
      <c r="BW488" s="2799"/>
      <c r="BX488" s="2799"/>
      <c r="BY488" s="2799"/>
      <c r="BZ488" s="2799"/>
      <c r="CA488" s="2799"/>
      <c r="CB488" s="2799"/>
      <c r="CC488" s="2799"/>
      <c r="CD488" s="2799"/>
      <c r="CE488" s="2799"/>
      <c r="CF488" s="2799"/>
      <c r="CG488" s="2799"/>
      <c r="CH488" s="2799"/>
      <c r="CI488" s="2799"/>
      <c r="CJ488" s="2799"/>
      <c r="CK488" s="2799"/>
      <c r="CL488" s="2799"/>
      <c r="CM488" s="2799"/>
      <c r="CN488" s="2799"/>
      <c r="CO488" s="2799"/>
      <c r="CP488" s="2799"/>
      <c r="CQ488" s="2799"/>
      <c r="CR488" s="2799"/>
      <c r="CS488" s="2799"/>
      <c r="CT488" s="2799"/>
      <c r="CU488" s="2799"/>
      <c r="CV488" s="2799"/>
      <c r="CW488" s="2799"/>
      <c r="CX488" s="2799"/>
      <c r="CY488" s="2799"/>
      <c r="CZ488" s="2799"/>
      <c r="DA488" s="2799"/>
      <c r="DB488" s="2799"/>
      <c r="DC488" s="2799"/>
      <c r="DD488" s="2799"/>
      <c r="DE488" s="2799"/>
      <c r="DF488" s="2799"/>
      <c r="DG488" s="2799"/>
      <c r="DH488" s="2799"/>
      <c r="DI488" s="2799"/>
      <c r="DJ488" s="2799"/>
      <c r="DK488" s="2799"/>
      <c r="DL488" s="2799"/>
      <c r="DM488" s="2799"/>
      <c r="DN488" s="2799"/>
      <c r="DO488" s="2799"/>
      <c r="DP488" s="2799"/>
      <c r="DQ488" s="2799"/>
      <c r="DR488" s="2799"/>
      <c r="DS488" s="2799"/>
      <c r="DT488" s="2799"/>
      <c r="DU488" s="2799"/>
      <c r="DV488" s="2799"/>
      <c r="DW488" s="2216"/>
      <c r="DX488" s="2216"/>
      <c r="DY488" s="2219"/>
    </row>
    <row r="489" spans="1:129" s="3304" customFormat="1" ht="15" customHeight="1">
      <c r="A489" s="3303" t="s">
        <v>1351</v>
      </c>
      <c r="P489" s="3305"/>
      <c r="Q489" s="3305"/>
      <c r="R489" s="2877"/>
      <c r="S489" s="2877"/>
      <c r="T489" s="2877"/>
      <c r="U489" s="2877"/>
      <c r="V489" s="2877"/>
      <c r="W489" s="2877"/>
      <c r="X489" s="2877"/>
      <c r="Y489" s="2877"/>
      <c r="Z489" s="2877"/>
      <c r="AA489" s="3307">
        <f t="shared" ref="AA489:AB489" ca="1" si="2179">+(AA477+AA479)-(AA484+AA486)</f>
        <v>0</v>
      </c>
      <c r="AB489" s="3307">
        <f t="shared" ca="1" si="2179"/>
        <v>0</v>
      </c>
      <c r="AC489" s="3307">
        <f t="shared" ref="AC489:AG489" ca="1" si="2180">+(AC477+AC479)-(AC484+AC486)</f>
        <v>0</v>
      </c>
      <c r="AD489" s="3307">
        <f t="shared" ca="1" si="2180"/>
        <v>0</v>
      </c>
      <c r="AE489" s="3307">
        <f t="shared" ca="1" si="2180"/>
        <v>0</v>
      </c>
      <c r="AF489" s="3307">
        <f t="shared" ca="1" si="2180"/>
        <v>0</v>
      </c>
      <c r="AG489" s="3307">
        <f t="shared" ca="1" si="2180"/>
        <v>0</v>
      </c>
      <c r="AH489" s="2962"/>
      <c r="AI489" s="2293"/>
      <c r="AJ489" s="2962"/>
      <c r="BR489" s="3306"/>
      <c r="BS489" s="3306"/>
      <c r="BT489" s="3306"/>
      <c r="BU489" s="3306"/>
      <c r="BV489" s="2877"/>
      <c r="BW489" s="2877"/>
      <c r="BX489" s="2877"/>
      <c r="BY489" s="2877"/>
      <c r="BZ489" s="2877"/>
      <c r="CA489" s="2877"/>
      <c r="CB489" s="2877"/>
      <c r="CC489" s="2877"/>
      <c r="CD489" s="2877"/>
      <c r="CE489" s="2877"/>
      <c r="CF489" s="2877"/>
      <c r="CG489" s="2877"/>
      <c r="CH489" s="2877"/>
      <c r="CI489" s="2877"/>
      <c r="CJ489" s="2877"/>
      <c r="CK489" s="2877"/>
      <c r="CL489" s="2877"/>
      <c r="CM489" s="2877"/>
      <c r="CN489" s="2877"/>
      <c r="CO489" s="2877"/>
      <c r="CP489" s="2877"/>
      <c r="CQ489" s="2877"/>
      <c r="CR489" s="2877"/>
      <c r="CS489" s="2877"/>
      <c r="CT489" s="2877"/>
      <c r="CU489" s="2877"/>
      <c r="CV489" s="2877"/>
      <c r="CW489" s="2877"/>
      <c r="CX489" s="2877"/>
      <c r="CY489" s="2877"/>
      <c r="CZ489" s="2877"/>
      <c r="DA489" s="2877"/>
      <c r="DB489" s="2877"/>
      <c r="DC489" s="2877"/>
      <c r="DD489" s="2877"/>
      <c r="DE489" s="2877"/>
      <c r="DF489" s="2877"/>
      <c r="DG489" s="2877"/>
      <c r="DH489" s="2877"/>
      <c r="DI489" s="2877"/>
      <c r="DJ489" s="2877"/>
      <c r="DK489" s="2877"/>
      <c r="DL489" s="2877"/>
      <c r="DM489" s="2877"/>
      <c r="DN489" s="2877"/>
      <c r="DO489" s="2877"/>
      <c r="DP489" s="2877"/>
      <c r="DQ489" s="2877"/>
      <c r="DR489" s="2877"/>
      <c r="DS489" s="2877"/>
      <c r="DT489" s="2877"/>
      <c r="DU489" s="2877"/>
      <c r="DV489" s="2877"/>
      <c r="DW489" s="3307">
        <f t="shared" ref="DW489:DY489" ca="1" si="2181">+(DW477+DW479)-(DW484+DW486)</f>
        <v>0</v>
      </c>
      <c r="DX489" s="3307">
        <f t="shared" ca="1" si="2181"/>
        <v>0</v>
      </c>
      <c r="DY489" s="3308">
        <f t="shared" ca="1" si="2181"/>
        <v>0</v>
      </c>
    </row>
    <row r="490" spans="1:129" ht="15" customHeight="1">
      <c r="A490" s="1933"/>
      <c r="P490" s="2702"/>
      <c r="Q490" s="2702"/>
      <c r="R490" s="2799"/>
      <c r="S490" s="2799"/>
      <c r="T490" s="2799"/>
      <c r="U490" s="2799"/>
      <c r="V490" s="2799"/>
      <c r="W490" s="2799"/>
      <c r="X490" s="2799"/>
      <c r="Y490" s="2799"/>
      <c r="Z490" s="2799"/>
      <c r="AA490" s="2799"/>
      <c r="AB490" s="2799"/>
      <c r="AC490" s="2799"/>
      <c r="AD490" s="2799"/>
      <c r="AE490" s="2799"/>
      <c r="AF490" s="2799"/>
      <c r="AG490" s="2799"/>
      <c r="AI490" s="2207"/>
      <c r="BR490" s="2731"/>
      <c r="BS490" s="2731"/>
      <c r="BT490" s="2731"/>
      <c r="BU490" s="2731"/>
      <c r="BV490" s="2799"/>
      <c r="BW490" s="2799"/>
      <c r="BX490" s="2799"/>
      <c r="BY490" s="2799"/>
      <c r="BZ490" s="2799"/>
      <c r="CA490" s="2799"/>
      <c r="CB490" s="2799"/>
      <c r="CC490" s="2799"/>
      <c r="CD490" s="2799"/>
      <c r="CE490" s="2799"/>
      <c r="CF490" s="2799"/>
      <c r="CG490" s="2799"/>
      <c r="CH490" s="2799"/>
      <c r="CI490" s="2799"/>
      <c r="CJ490" s="2799"/>
      <c r="CK490" s="2799"/>
      <c r="CL490" s="2799"/>
      <c r="CM490" s="2799"/>
      <c r="CN490" s="2799"/>
      <c r="CO490" s="2799"/>
      <c r="CP490" s="2799"/>
      <c r="CQ490" s="2799"/>
      <c r="CR490" s="2799"/>
      <c r="CS490" s="2799"/>
      <c r="CT490" s="2799"/>
      <c r="CU490" s="2799"/>
      <c r="CV490" s="2799"/>
      <c r="CW490" s="2799"/>
      <c r="CX490" s="2799"/>
      <c r="CY490" s="2799"/>
      <c r="CZ490" s="2799"/>
      <c r="DA490" s="2799"/>
      <c r="DB490" s="2799"/>
      <c r="DC490" s="2799"/>
      <c r="DD490" s="2799"/>
      <c r="DE490" s="2799"/>
      <c r="DF490" s="2799"/>
      <c r="DG490" s="2799"/>
      <c r="DH490" s="2799"/>
      <c r="DI490" s="2799"/>
      <c r="DJ490" s="2799"/>
      <c r="DK490" s="2799"/>
      <c r="DL490" s="2799"/>
      <c r="DM490" s="2799"/>
      <c r="DN490" s="2799"/>
      <c r="DO490" s="2799"/>
      <c r="DP490" s="2799"/>
      <c r="DQ490" s="2799"/>
      <c r="DR490" s="2799"/>
      <c r="DS490" s="2799"/>
      <c r="DT490" s="2799"/>
      <c r="DU490" s="2799"/>
      <c r="DV490" s="2799"/>
      <c r="DW490" s="2799"/>
      <c r="DX490" s="2799"/>
      <c r="DY490" s="2941"/>
    </row>
    <row r="491" spans="1:129" ht="15" customHeight="1">
      <c r="A491" s="1933" t="s">
        <v>1711</v>
      </c>
      <c r="P491" s="2702"/>
      <c r="Q491" s="2702"/>
      <c r="R491" s="2799"/>
      <c r="S491" s="2799"/>
      <c r="T491" s="2799"/>
      <c r="U491" s="2799"/>
      <c r="V491" s="2799"/>
      <c r="W491" s="2799"/>
      <c r="X491" s="2799"/>
      <c r="Y491" s="2799"/>
      <c r="Z491" s="2799"/>
      <c r="AA491" s="3309"/>
      <c r="AB491" s="3309"/>
      <c r="AC491" s="2799"/>
      <c r="AD491" s="2799"/>
      <c r="AE491" s="2799"/>
      <c r="AF491" s="2799"/>
      <c r="AG491" s="2799"/>
      <c r="AI491" s="2207"/>
      <c r="BR491" s="2731"/>
      <c r="BS491" s="2731"/>
      <c r="BT491" s="2731"/>
      <c r="BU491" s="2731"/>
      <c r="BV491" s="2799"/>
      <c r="BW491" s="2799"/>
      <c r="BX491" s="2799"/>
      <c r="BY491" s="2799"/>
      <c r="BZ491" s="2799"/>
      <c r="CA491" s="2799"/>
      <c r="CB491" s="2799"/>
      <c r="CC491" s="2799"/>
      <c r="CD491" s="2799"/>
      <c r="CE491" s="2799"/>
      <c r="CF491" s="2799"/>
      <c r="CG491" s="2799"/>
      <c r="CH491" s="2799"/>
      <c r="CI491" s="2799"/>
      <c r="CJ491" s="2799"/>
      <c r="CK491" s="2799"/>
      <c r="CL491" s="2799"/>
      <c r="CM491" s="2799"/>
      <c r="CN491" s="2799"/>
      <c r="CO491" s="2799"/>
      <c r="CP491" s="2799"/>
      <c r="CQ491" s="2799"/>
      <c r="CR491" s="2799"/>
      <c r="CS491" s="2799"/>
      <c r="CT491" s="2799"/>
      <c r="CU491" s="2799"/>
      <c r="CV491" s="2799"/>
      <c r="CW491" s="2799"/>
      <c r="CX491" s="2799"/>
      <c r="CY491" s="2799"/>
      <c r="CZ491" s="2799"/>
      <c r="DA491" s="2799"/>
      <c r="DB491" s="2799"/>
      <c r="DC491" s="2799"/>
      <c r="DD491" s="2799"/>
      <c r="DE491" s="2799"/>
      <c r="DF491" s="2799"/>
      <c r="DG491" s="2799"/>
      <c r="DH491" s="2799"/>
      <c r="DI491" s="2799"/>
      <c r="DJ491" s="2799"/>
      <c r="DK491" s="2799"/>
      <c r="DL491" s="2799"/>
      <c r="DM491" s="2799"/>
      <c r="DN491" s="2799"/>
      <c r="DO491" s="2799"/>
      <c r="DP491" s="2799"/>
      <c r="DQ491" s="2799"/>
      <c r="DR491" s="2799"/>
      <c r="DS491" s="2799"/>
      <c r="DT491" s="2799"/>
      <c r="DU491" s="2799"/>
      <c r="DV491" s="2799"/>
      <c r="DW491" s="3309">
        <v>262.5</v>
      </c>
      <c r="DX491" s="3309">
        <v>262.5</v>
      </c>
      <c r="DY491" s="3310">
        <v>262.5</v>
      </c>
    </row>
    <row r="492" spans="1:129" ht="15" customHeight="1">
      <c r="A492" s="2211" t="s">
        <v>834</v>
      </c>
      <c r="P492" s="2702"/>
      <c r="Q492" s="2702"/>
      <c r="R492" s="2799"/>
      <c r="S492" s="2799"/>
      <c r="T492" s="2799"/>
      <c r="U492" s="2799"/>
      <c r="V492" s="2799"/>
      <c r="W492" s="2799"/>
      <c r="X492" s="2799"/>
      <c r="Y492" s="2799"/>
      <c r="Z492" s="2799"/>
      <c r="AA492" s="2799"/>
      <c r="AB492" s="2799"/>
      <c r="AC492" s="2799"/>
      <c r="AD492" s="2799"/>
      <c r="AE492" s="2799"/>
      <c r="AF492" s="2799"/>
      <c r="AG492" s="2799"/>
      <c r="AI492" s="2207"/>
      <c r="BR492" s="2731"/>
      <c r="BS492" s="2731"/>
      <c r="BT492" s="2731"/>
      <c r="BU492" s="2731"/>
      <c r="BV492" s="2799"/>
      <c r="BW492" s="2799"/>
      <c r="BX492" s="2799"/>
      <c r="BY492" s="2799"/>
      <c r="BZ492" s="2799"/>
      <c r="CA492" s="2799"/>
      <c r="CB492" s="2799"/>
      <c r="CC492" s="2799"/>
      <c r="CD492" s="2799"/>
      <c r="CE492" s="2799"/>
      <c r="CF492" s="2799"/>
      <c r="CG492" s="2799"/>
      <c r="CH492" s="2799"/>
      <c r="CI492" s="2799"/>
      <c r="CJ492" s="2799"/>
      <c r="CK492" s="2799"/>
      <c r="CL492" s="2799"/>
      <c r="CM492" s="2799"/>
      <c r="CN492" s="2799"/>
      <c r="CO492" s="2799"/>
      <c r="CP492" s="2799"/>
      <c r="CQ492" s="2799"/>
      <c r="CR492" s="2799"/>
      <c r="CS492" s="2799"/>
      <c r="CT492" s="2799"/>
      <c r="CU492" s="2799"/>
      <c r="CV492" s="2799"/>
      <c r="CW492" s="2799"/>
      <c r="CX492" s="2799"/>
      <c r="CY492" s="2799"/>
      <c r="CZ492" s="2799"/>
      <c r="DA492" s="2799"/>
      <c r="DB492" s="2799"/>
      <c r="DC492" s="2799"/>
      <c r="DD492" s="2799"/>
      <c r="DE492" s="2799"/>
      <c r="DF492" s="2799"/>
      <c r="DG492" s="2799"/>
      <c r="DH492" s="2799"/>
      <c r="DI492" s="2799"/>
      <c r="DJ492" s="2799"/>
      <c r="DK492" s="2799"/>
      <c r="DL492" s="2799"/>
      <c r="DM492" s="2799"/>
      <c r="DN492" s="2799"/>
      <c r="DO492" s="2799"/>
      <c r="DP492" s="2799"/>
      <c r="DQ492" s="2799"/>
      <c r="DR492" s="2799"/>
      <c r="DS492" s="2799"/>
      <c r="DT492" s="2799"/>
      <c r="DU492" s="2799"/>
      <c r="DV492" s="2799"/>
      <c r="DW492" s="2799"/>
      <c r="DX492" s="2799"/>
      <c r="DY492" s="2941"/>
    </row>
    <row r="493" spans="1:129" s="2614" customFormat="1">
      <c r="A493" s="3299"/>
      <c r="AH493" s="2616"/>
      <c r="AJ493" s="2616"/>
      <c r="CL493" s="2625"/>
      <c r="CM493" s="2625"/>
      <c r="CN493" s="2625"/>
      <c r="CO493" s="2625"/>
      <c r="DW493" s="3300"/>
      <c r="DX493" s="3300"/>
      <c r="DY493" s="3300"/>
    </row>
    <row r="494" spans="1:129" hidden="1" outlineLevel="1">
      <c r="A494" s="2365" t="s">
        <v>836</v>
      </c>
      <c r="B494" s="2627"/>
      <c r="C494" s="2627"/>
      <c r="D494" s="2627"/>
      <c r="E494" s="2627"/>
      <c r="F494" s="2627"/>
      <c r="G494" s="2627"/>
      <c r="H494" s="2627"/>
      <c r="I494" s="2627"/>
      <c r="J494" s="2627"/>
      <c r="K494" s="2627"/>
      <c r="L494" s="2627"/>
      <c r="M494" s="2627"/>
      <c r="N494" s="2627"/>
      <c r="O494" s="2627"/>
      <c r="P494" s="2627"/>
      <c r="Q494" s="2627"/>
      <c r="R494" s="2627"/>
      <c r="S494" s="2627"/>
      <c r="T494" s="2628"/>
      <c r="U494" s="2627"/>
      <c r="V494" s="2627"/>
      <c r="W494" s="2627"/>
      <c r="X494" s="2627"/>
      <c r="Y494" s="2627"/>
      <c r="Z494" s="2627"/>
      <c r="AA494" s="2627"/>
      <c r="AB494" s="2627"/>
      <c r="AC494" s="2627"/>
      <c r="AD494" s="2627"/>
      <c r="AE494" s="2627"/>
      <c r="AF494" s="2627"/>
      <c r="AG494" s="2627"/>
      <c r="AI494" s="1927"/>
      <c r="AK494" s="2627"/>
      <c r="AL494" s="2627"/>
      <c r="AN494" s="2627"/>
      <c r="AO494" s="2627"/>
      <c r="AP494" s="2627"/>
      <c r="AQ494" s="2627"/>
      <c r="AR494" s="2627"/>
      <c r="AS494" s="2627"/>
      <c r="AT494" s="2627"/>
      <c r="AU494" s="2627"/>
      <c r="AV494" s="2627"/>
      <c r="AW494" s="2627"/>
      <c r="AX494" s="2627"/>
      <c r="AY494" s="2627"/>
      <c r="AZ494" s="2627"/>
      <c r="BA494" s="2627"/>
      <c r="BB494" s="2627"/>
      <c r="BC494" s="2627"/>
      <c r="BD494" s="2627"/>
      <c r="BE494" s="2627"/>
      <c r="BF494" s="2627"/>
      <c r="BG494" s="2627"/>
      <c r="BH494" s="2627"/>
      <c r="BI494" s="2627"/>
      <c r="BJ494" s="2627"/>
      <c r="BK494" s="2627"/>
      <c r="BL494" s="2627"/>
      <c r="BM494" s="2627"/>
      <c r="BN494" s="2627"/>
      <c r="BO494" s="2627"/>
      <c r="BP494" s="2627"/>
      <c r="BQ494" s="2627"/>
      <c r="BR494" s="2629"/>
      <c r="BS494" s="2627"/>
      <c r="BT494" s="2627"/>
      <c r="BU494" s="2627"/>
      <c r="BV494" s="2629"/>
      <c r="BW494" s="2627"/>
      <c r="BX494" s="2627"/>
      <c r="BY494" s="2627"/>
      <c r="BZ494" s="2629"/>
      <c r="CA494" s="2627"/>
      <c r="CB494" s="2627"/>
      <c r="CC494" s="2627"/>
      <c r="CD494" s="2629"/>
      <c r="CE494" s="2627"/>
      <c r="CF494" s="2627"/>
      <c r="CG494" s="2627"/>
      <c r="CH494" s="2629"/>
      <c r="CI494" s="2627"/>
      <c r="CJ494" s="2627"/>
      <c r="CK494" s="2627"/>
      <c r="CL494" s="2629"/>
      <c r="CM494" s="2627"/>
      <c r="CN494" s="2627"/>
      <c r="CO494" s="2627"/>
      <c r="CP494" s="2629"/>
      <c r="CQ494" s="2627"/>
      <c r="CR494" s="2627"/>
      <c r="CS494" s="2627"/>
      <c r="CT494" s="2629"/>
      <c r="CU494" s="2627"/>
      <c r="CV494" s="2627"/>
      <c r="CW494" s="2628"/>
      <c r="CX494" s="2627"/>
      <c r="CY494" s="2627"/>
      <c r="CZ494" s="2627"/>
      <c r="DA494" s="2627"/>
      <c r="DB494" s="2629"/>
      <c r="DC494" s="2627"/>
      <c r="DD494" s="2627"/>
      <c r="DE494" s="2627"/>
      <c r="DF494" s="2627"/>
      <c r="DG494" s="2627"/>
      <c r="DH494" s="2627"/>
      <c r="DI494" s="2627"/>
      <c r="DJ494" s="2627"/>
      <c r="DK494" s="2627"/>
      <c r="DL494" s="2627"/>
      <c r="DM494" s="2627"/>
      <c r="DN494" s="2627"/>
      <c r="DO494" s="2627"/>
      <c r="DP494" s="2627"/>
      <c r="DQ494" s="2627"/>
      <c r="DR494" s="2627"/>
      <c r="DS494" s="2627"/>
      <c r="DT494" s="2627"/>
      <c r="DU494" s="2627"/>
      <c r="DV494" s="2627"/>
      <c r="DW494" s="2627"/>
      <c r="DX494" s="2627"/>
      <c r="DY494" s="2628"/>
    </row>
    <row r="495" spans="1:129" hidden="1" outlineLevel="1">
      <c r="T495" s="2236"/>
      <c r="AI495" s="1927"/>
      <c r="BR495" s="1942"/>
      <c r="BV495" s="1942"/>
      <c r="BZ495" s="1942"/>
      <c r="CD495" s="1942"/>
      <c r="CH495" s="1942"/>
      <c r="CL495" s="1942"/>
      <c r="CP495" s="1942"/>
      <c r="CT495" s="1942"/>
      <c r="CW495" s="2236"/>
      <c r="DB495" s="1942"/>
      <c r="DY495" s="2236"/>
    </row>
    <row r="496" spans="1:129" hidden="1" outlineLevel="1">
      <c r="A496" s="2365" t="s">
        <v>837</v>
      </c>
      <c r="B496" s="2627"/>
      <c r="C496" s="2627"/>
      <c r="D496" s="2627"/>
      <c r="E496" s="2627"/>
      <c r="F496" s="2627"/>
      <c r="G496" s="2627"/>
      <c r="H496" s="2627"/>
      <c r="I496" s="2627"/>
      <c r="J496" s="2627"/>
      <c r="K496" s="2627"/>
      <c r="L496" s="2627"/>
      <c r="M496" s="2627"/>
      <c r="N496" s="2627"/>
      <c r="O496" s="2627"/>
      <c r="P496" s="2627"/>
      <c r="Q496" s="2627"/>
      <c r="R496" s="2627"/>
      <c r="S496" s="2627"/>
      <c r="T496" s="2627"/>
      <c r="U496" s="2627"/>
      <c r="V496" s="2627"/>
      <c r="W496" s="2627"/>
      <c r="X496" s="2627"/>
      <c r="Y496" s="2627"/>
      <c r="Z496" s="2627"/>
      <c r="AA496" s="2627"/>
      <c r="AB496" s="2627"/>
      <c r="AC496" s="2627"/>
      <c r="AD496" s="2627"/>
      <c r="AE496" s="2627"/>
      <c r="AF496" s="2627"/>
      <c r="AG496" s="2627"/>
      <c r="AI496" s="1927"/>
      <c r="AK496" s="2627"/>
      <c r="AL496" s="2627"/>
      <c r="AN496" s="2627"/>
      <c r="AO496" s="2627"/>
      <c r="AP496" s="2627"/>
      <c r="AQ496" s="2627"/>
      <c r="AR496" s="2627"/>
      <c r="AS496" s="2627"/>
      <c r="AT496" s="2627"/>
      <c r="AU496" s="2627"/>
      <c r="AV496" s="2627"/>
      <c r="AW496" s="2627"/>
      <c r="AX496" s="2627"/>
      <c r="AY496" s="2627"/>
      <c r="AZ496" s="2627"/>
      <c r="BA496" s="2627"/>
      <c r="BB496" s="2627"/>
      <c r="BC496" s="2627"/>
      <c r="BD496" s="2627"/>
      <c r="BE496" s="2627"/>
      <c r="BF496" s="2627"/>
      <c r="BG496" s="2627"/>
      <c r="BH496" s="2627"/>
      <c r="BI496" s="2627"/>
      <c r="BJ496" s="2627"/>
      <c r="BK496" s="2627"/>
      <c r="BL496" s="2627"/>
      <c r="BM496" s="2627"/>
      <c r="BN496" s="2627"/>
      <c r="BO496" s="2627"/>
      <c r="BP496" s="2627"/>
      <c r="BQ496" s="2627"/>
      <c r="BR496" s="2629"/>
      <c r="BS496" s="2627"/>
      <c r="BT496" s="2627"/>
      <c r="BU496" s="2627"/>
      <c r="BV496" s="2629"/>
      <c r="BW496" s="2627"/>
      <c r="BX496" s="2627"/>
      <c r="BY496" s="2627"/>
      <c r="BZ496" s="2629"/>
      <c r="CA496" s="2627"/>
      <c r="CB496" s="2627"/>
      <c r="CC496" s="2627"/>
      <c r="CD496" s="2629"/>
      <c r="CE496" s="2627"/>
      <c r="CF496" s="2627"/>
      <c r="CG496" s="2627"/>
      <c r="CH496" s="2629"/>
      <c r="CI496" s="2627"/>
      <c r="CJ496" s="2627"/>
      <c r="CK496" s="2627"/>
      <c r="CL496" s="2629"/>
      <c r="CM496" s="2627"/>
      <c r="CN496" s="2627"/>
      <c r="CO496" s="2627"/>
      <c r="CP496" s="2629"/>
      <c r="CQ496" s="2627"/>
      <c r="CR496" s="2627"/>
      <c r="CS496" s="2627"/>
      <c r="CT496" s="2629"/>
      <c r="CU496" s="2627"/>
      <c r="CV496" s="2627"/>
      <c r="CW496" s="2628"/>
      <c r="CX496" s="2627"/>
      <c r="CY496" s="2627"/>
      <c r="CZ496" s="2627"/>
      <c r="DA496" s="2627"/>
      <c r="DB496" s="2629"/>
      <c r="DC496" s="2627"/>
      <c r="DD496" s="2627"/>
      <c r="DE496" s="2627"/>
      <c r="DF496" s="2627"/>
      <c r="DG496" s="2627"/>
      <c r="DH496" s="2627"/>
      <c r="DI496" s="2627"/>
      <c r="DJ496" s="2627"/>
      <c r="DK496" s="2627"/>
      <c r="DL496" s="2627"/>
      <c r="DM496" s="2627"/>
      <c r="DN496" s="2627"/>
      <c r="DO496" s="2627"/>
      <c r="DP496" s="2627"/>
      <c r="DQ496" s="2627"/>
      <c r="DR496" s="2627"/>
      <c r="DS496" s="2627"/>
      <c r="DT496" s="2627"/>
      <c r="DU496" s="2627"/>
      <c r="DV496" s="2627"/>
      <c r="DW496" s="2627"/>
      <c r="DX496" s="2627"/>
      <c r="DY496" s="2628"/>
    </row>
    <row r="497" spans="1:129" hidden="1" outlineLevel="1">
      <c r="A497" s="2237"/>
      <c r="B497" s="2237"/>
      <c r="C497" s="2237"/>
      <c r="D497" s="2237"/>
      <c r="E497" s="2237"/>
      <c r="F497" s="2237"/>
      <c r="G497" s="2237"/>
      <c r="H497" s="2237"/>
      <c r="I497" s="2237"/>
      <c r="J497" s="2237"/>
      <c r="K497" s="2237"/>
      <c r="L497" s="2237"/>
      <c r="M497" s="2237"/>
      <c r="N497" s="2237"/>
      <c r="O497" s="2237"/>
      <c r="P497" s="2237"/>
      <c r="Q497" s="2237"/>
      <c r="R497" s="2237"/>
      <c r="S497" s="2237"/>
      <c r="T497" s="2237"/>
      <c r="U497" s="2237"/>
      <c r="V497" s="2237"/>
      <c r="W497" s="2237"/>
      <c r="X497" s="2237"/>
      <c r="Y497" s="2237"/>
      <c r="Z497" s="2237"/>
      <c r="AA497" s="2237"/>
      <c r="AB497" s="2237"/>
      <c r="AC497" s="2237"/>
      <c r="AD497" s="2237"/>
      <c r="AE497" s="2237"/>
      <c r="AF497" s="2237"/>
      <c r="AG497" s="2237"/>
      <c r="AI497" s="1950"/>
      <c r="AK497" s="2237"/>
      <c r="AL497" s="2237"/>
      <c r="AM497" s="2237"/>
      <c r="AN497" s="2237"/>
      <c r="AO497" s="2237"/>
      <c r="AP497" s="2237"/>
      <c r="AQ497" s="2237"/>
      <c r="AR497" s="2237"/>
      <c r="AS497" s="2237"/>
      <c r="AT497" s="2237"/>
      <c r="AU497" s="2237"/>
      <c r="AV497" s="2237"/>
      <c r="AW497" s="2237"/>
      <c r="AX497" s="2237"/>
      <c r="AY497" s="2237"/>
      <c r="AZ497" s="2237"/>
      <c r="BA497" s="2237"/>
      <c r="BB497" s="2237"/>
      <c r="BC497" s="2237"/>
      <c r="BD497" s="2237"/>
      <c r="BE497" s="2237"/>
      <c r="BF497" s="2237"/>
      <c r="BG497" s="2237"/>
      <c r="BH497" s="2237"/>
      <c r="BI497" s="2237"/>
      <c r="BJ497" s="2237"/>
      <c r="BK497" s="2237"/>
      <c r="BL497" s="2237"/>
      <c r="BM497" s="2237"/>
      <c r="BN497" s="2237"/>
      <c r="BO497" s="2237"/>
      <c r="BP497" s="2237"/>
      <c r="BQ497" s="2237"/>
      <c r="BR497" s="2239"/>
      <c r="BS497" s="2237"/>
      <c r="BT497" s="2237"/>
      <c r="BU497" s="2237"/>
      <c r="BV497" s="2239"/>
      <c r="BW497" s="2237"/>
      <c r="BX497" s="2237"/>
      <c r="BY497" s="2237"/>
      <c r="BZ497" s="2239"/>
      <c r="CA497" s="2237"/>
      <c r="CB497" s="2237"/>
      <c r="CC497" s="2237"/>
      <c r="CD497" s="2239"/>
      <c r="CE497" s="2237"/>
      <c r="CF497" s="2237"/>
      <c r="CG497" s="2237"/>
      <c r="CH497" s="2239"/>
      <c r="CI497" s="2237"/>
      <c r="CJ497" s="2237"/>
      <c r="CK497" s="2237"/>
      <c r="CL497" s="2239"/>
      <c r="CM497" s="2237"/>
      <c r="CN497" s="2237"/>
      <c r="CO497" s="2237"/>
      <c r="CP497" s="2239"/>
      <c r="CQ497" s="2237"/>
      <c r="CR497" s="2237"/>
      <c r="CS497" s="2237"/>
      <c r="CT497" s="2239"/>
      <c r="CU497" s="2237"/>
      <c r="CV497" s="2237"/>
      <c r="CW497" s="2241"/>
      <c r="CX497" s="2237"/>
      <c r="CY497" s="2237"/>
      <c r="CZ497" s="2237"/>
      <c r="DA497" s="2237"/>
      <c r="DB497" s="2239"/>
      <c r="DC497" s="2237"/>
      <c r="DD497" s="2237"/>
      <c r="DE497" s="2237"/>
      <c r="DF497" s="2237"/>
      <c r="DG497" s="2237"/>
      <c r="DH497" s="2237"/>
      <c r="DI497" s="2237"/>
      <c r="DJ497" s="2237"/>
      <c r="DK497" s="2237"/>
      <c r="DL497" s="2237"/>
      <c r="DM497" s="2237"/>
      <c r="DN497" s="2237"/>
      <c r="DO497" s="2237"/>
      <c r="DP497" s="2237"/>
      <c r="DQ497" s="2237"/>
      <c r="DR497" s="2237"/>
      <c r="DS497" s="2237"/>
      <c r="DT497" s="2237"/>
      <c r="DU497" s="2237"/>
      <c r="DV497" s="2237"/>
      <c r="DW497" s="2237"/>
      <c r="DX497" s="2237"/>
      <c r="DY497" s="2241"/>
    </row>
    <row r="498" spans="1:129" hidden="1" outlineLevel="1">
      <c r="A498" s="2630" t="s">
        <v>838</v>
      </c>
      <c r="B498" s="2631"/>
      <c r="C498" s="2631"/>
      <c r="D498" s="2632"/>
      <c r="E498" s="2632"/>
      <c r="F498" s="2631"/>
      <c r="G498" s="2632"/>
      <c r="H498" s="2632"/>
      <c r="I498" s="2631"/>
      <c r="J498" s="2631"/>
      <c r="K498" s="2237"/>
      <c r="L498" s="2237"/>
      <c r="M498" s="2237"/>
      <c r="N498" s="2237"/>
      <c r="O498" s="2237"/>
      <c r="P498" s="2237"/>
      <c r="Q498" s="2237"/>
      <c r="R498" s="2237"/>
      <c r="S498" s="2237"/>
      <c r="T498" s="2237"/>
      <c r="U498" s="2237"/>
      <c r="V498" s="2237"/>
      <c r="W498" s="2237"/>
      <c r="X498" s="2237"/>
      <c r="Y498" s="2237"/>
      <c r="Z498" s="2237"/>
      <c r="AA498" s="2237"/>
      <c r="AB498" s="2237"/>
      <c r="AC498" s="2237"/>
      <c r="AD498" s="2237"/>
      <c r="AE498" s="2237"/>
      <c r="AF498" s="2237"/>
      <c r="AG498" s="2237"/>
      <c r="AI498" s="1950"/>
      <c r="AK498" s="2237"/>
      <c r="AL498" s="2237"/>
      <c r="AM498" s="2237"/>
      <c r="AN498" s="2237"/>
      <c r="AO498" s="2237"/>
      <c r="AP498" s="2237"/>
      <c r="AQ498" s="2237"/>
      <c r="AR498" s="2237"/>
      <c r="AS498" s="2237"/>
      <c r="AT498" s="2237"/>
      <c r="AU498" s="2237"/>
      <c r="AV498" s="2237"/>
      <c r="AW498" s="2237"/>
      <c r="AX498" s="2237"/>
      <c r="AY498" s="2237"/>
      <c r="AZ498" s="2237"/>
      <c r="BA498" s="2237"/>
      <c r="BB498" s="2237"/>
      <c r="BC498" s="2237"/>
      <c r="BD498" s="2237"/>
      <c r="BE498" s="2237"/>
      <c r="BF498" s="2237"/>
      <c r="BG498" s="2237"/>
      <c r="BH498" s="2237"/>
      <c r="BI498" s="2237"/>
      <c r="BJ498" s="2237"/>
      <c r="BK498" s="2237"/>
      <c r="BL498" s="2237"/>
      <c r="BM498" s="2237"/>
      <c r="BN498" s="2237"/>
      <c r="BO498" s="2237"/>
      <c r="BP498" s="2237"/>
      <c r="BQ498" s="2237"/>
      <c r="BR498" s="2239"/>
      <c r="BS498" s="2237"/>
      <c r="BT498" s="2237"/>
      <c r="BU498" s="2237"/>
      <c r="BV498" s="2239"/>
      <c r="BW498" s="2237"/>
      <c r="BX498" s="2237"/>
      <c r="BY498" s="2237"/>
      <c r="BZ498" s="2239"/>
      <c r="CA498" s="2237"/>
      <c r="CB498" s="2237"/>
      <c r="CC498" s="2237"/>
      <c r="CD498" s="2239"/>
      <c r="CE498" s="2237"/>
      <c r="CF498" s="2237"/>
      <c r="CG498" s="2237"/>
      <c r="CH498" s="2239"/>
      <c r="CI498" s="2237"/>
      <c r="CJ498" s="2237"/>
      <c r="CK498" s="2237"/>
      <c r="CL498" s="2239"/>
      <c r="CM498" s="2237"/>
      <c r="CN498" s="2237"/>
      <c r="CO498" s="2237"/>
      <c r="CP498" s="2239"/>
      <c r="CQ498" s="2237"/>
      <c r="CR498" s="2237"/>
      <c r="CS498" s="2237"/>
      <c r="CT498" s="2239"/>
      <c r="CU498" s="2237"/>
      <c r="CV498" s="2237"/>
      <c r="CW498" s="2241"/>
      <c r="CX498" s="2237"/>
      <c r="CY498" s="2237"/>
      <c r="CZ498" s="2237"/>
      <c r="DA498" s="2237"/>
      <c r="DB498" s="2239"/>
      <c r="DC498" s="2237"/>
      <c r="DD498" s="2237"/>
      <c r="DE498" s="2237"/>
      <c r="DF498" s="2237"/>
      <c r="DG498" s="2237"/>
      <c r="DH498" s="2237"/>
      <c r="DI498" s="2237"/>
      <c r="DJ498" s="2237"/>
      <c r="DK498" s="2237"/>
      <c r="DL498" s="2237"/>
      <c r="DM498" s="2237"/>
      <c r="DN498" s="2237"/>
      <c r="DO498" s="2237"/>
      <c r="DP498" s="2237"/>
      <c r="DQ498" s="2237"/>
      <c r="DR498" s="2237"/>
      <c r="DS498" s="2237"/>
      <c r="DT498" s="2237"/>
      <c r="DU498" s="2237"/>
      <c r="DV498" s="2237"/>
      <c r="DW498" s="2237"/>
      <c r="DX498" s="2237"/>
      <c r="DY498" s="2241"/>
    </row>
    <row r="499" spans="1:129" hidden="1" outlineLevel="1">
      <c r="A499" s="2633" t="s">
        <v>839</v>
      </c>
      <c r="B499" s="2633"/>
      <c r="C499" s="2633"/>
      <c r="D499" s="2634"/>
      <c r="E499" s="2635"/>
      <c r="F499" s="2636"/>
      <c r="G499" s="2634"/>
      <c r="H499" s="2635"/>
      <c r="I499" s="2633"/>
      <c r="J499" s="2634"/>
      <c r="K499" s="2635"/>
      <c r="L499" s="2635"/>
      <c r="M499" s="2635"/>
      <c r="N499" s="2635"/>
      <c r="O499" s="2635">
        <f>+CG499</f>
        <v>408</v>
      </c>
      <c r="P499" s="2635">
        <f>+CK499</f>
        <v>9227</v>
      </c>
      <c r="Q499" s="2635">
        <f>+CO499</f>
        <v>607</v>
      </c>
      <c r="R499" s="2635">
        <f>+CS499</f>
        <v>5331</v>
      </c>
      <c r="S499" s="2313">
        <f>+CW499</f>
        <v>12756</v>
      </c>
      <c r="T499" s="2313">
        <v>1354</v>
      </c>
      <c r="U499" s="2635" t="e">
        <f t="shared" ref="U499:V499" si="2182">U570</f>
        <v>#REF!</v>
      </c>
      <c r="V499" s="2635" t="e">
        <f t="shared" si="2182"/>
        <v>#REF!</v>
      </c>
      <c r="W499" s="2635" t="e">
        <f t="shared" ref="W499:AB499" si="2183">W570</f>
        <v>#REF!</v>
      </c>
      <c r="X499" s="2635" t="e">
        <f t="shared" si="2183"/>
        <v>#REF!</v>
      </c>
      <c r="Y499" s="2635" t="e">
        <f t="shared" si="2183"/>
        <v>#REF!</v>
      </c>
      <c r="Z499" s="2635" t="e">
        <f t="shared" ca="1" si="2183"/>
        <v>#REF!</v>
      </c>
      <c r="AA499" s="2635" t="e">
        <f t="shared" ca="1" si="2183"/>
        <v>#REF!</v>
      </c>
      <c r="AB499" s="2635" t="e">
        <f t="shared" ca="1" si="2183"/>
        <v>#REF!</v>
      </c>
      <c r="AC499" s="2635" t="e">
        <f t="shared" ref="AC499:AG499" ca="1" si="2184">AC570</f>
        <v>#REF!</v>
      </c>
      <c r="AD499" s="2635" t="e">
        <f t="shared" ca="1" si="2184"/>
        <v>#REF!</v>
      </c>
      <c r="AE499" s="2635" t="e">
        <f t="shared" ca="1" si="2184"/>
        <v>#REF!</v>
      </c>
      <c r="AF499" s="2635" t="e">
        <f t="shared" ca="1" si="2184"/>
        <v>#REF!</v>
      </c>
      <c r="AG499" s="2635" t="e">
        <f t="shared" ca="1" si="2184"/>
        <v>#REF!</v>
      </c>
      <c r="AI499" s="1949"/>
      <c r="AK499" s="2635"/>
      <c r="AL499" s="2635"/>
      <c r="AM499" s="2635"/>
      <c r="AN499" s="2635"/>
      <c r="AO499" s="2635"/>
      <c r="AP499" s="2635"/>
      <c r="AQ499" s="2635"/>
      <c r="AR499" s="2635"/>
      <c r="AS499" s="2635"/>
      <c r="AT499" s="2635"/>
      <c r="AU499" s="2635"/>
      <c r="AV499" s="2635"/>
      <c r="AW499" s="2635"/>
      <c r="AX499" s="2635"/>
      <c r="AY499" s="2635"/>
      <c r="AZ499" s="2635"/>
      <c r="BA499" s="2635"/>
      <c r="BB499" s="2635"/>
      <c r="BC499" s="2635"/>
      <c r="BD499" s="2635"/>
      <c r="BE499" s="2635"/>
      <c r="BF499" s="2635"/>
      <c r="BG499" s="2635"/>
      <c r="BH499" s="2635"/>
      <c r="BI499" s="2635"/>
      <c r="BJ499" s="2635"/>
      <c r="BK499" s="2635"/>
      <c r="BL499" s="2635"/>
      <c r="BM499" s="2635"/>
      <c r="BN499" s="2635"/>
      <c r="BO499" s="2635"/>
      <c r="BP499" s="2634">
        <v>2046</v>
      </c>
      <c r="BQ499" s="2635">
        <v>137</v>
      </c>
      <c r="BR499" s="2318">
        <v>167</v>
      </c>
      <c r="BS499" s="2635">
        <v>171</v>
      </c>
      <c r="BT499" s="2635">
        <v>177</v>
      </c>
      <c r="BU499" s="2635">
        <v>171</v>
      </c>
      <c r="BV499" s="2318">
        <v>169</v>
      </c>
      <c r="BW499" s="2635">
        <v>200</v>
      </c>
      <c r="BX499" s="2635">
        <v>221</v>
      </c>
      <c r="BY499" s="2635">
        <v>328</v>
      </c>
      <c r="BZ499" s="2318">
        <v>240</v>
      </c>
      <c r="CA499" s="2635">
        <v>253</v>
      </c>
      <c r="CB499" s="2635">
        <f>CB570</f>
        <v>342</v>
      </c>
      <c r="CC499" s="2635">
        <f>CC570</f>
        <v>0</v>
      </c>
      <c r="CD499" s="2318">
        <f>CD570</f>
        <v>0</v>
      </c>
      <c r="CE499" s="2635">
        <f>CE570</f>
        <v>0</v>
      </c>
      <c r="CF499" s="2635">
        <f>CF570</f>
        <v>0</v>
      </c>
      <c r="CG499" s="2635">
        <v>408</v>
      </c>
      <c r="CH499" s="2318">
        <f>CH570</f>
        <v>0</v>
      </c>
      <c r="CI499" s="2635">
        <f>CI570</f>
        <v>0</v>
      </c>
      <c r="CJ499" s="2635">
        <f>CJ570</f>
        <v>0</v>
      </c>
      <c r="CK499" s="2635">
        <v>9227</v>
      </c>
      <c r="CL499" s="2318">
        <f t="shared" ref="CL499:CV499" si="2185">CL570</f>
        <v>1799</v>
      </c>
      <c r="CM499" s="2635">
        <f t="shared" si="2185"/>
        <v>549</v>
      </c>
      <c r="CN499" s="2635">
        <f t="shared" si="2185"/>
        <v>812</v>
      </c>
      <c r="CO499" s="2635">
        <f t="shared" si="2185"/>
        <v>607</v>
      </c>
      <c r="CP499" s="2318">
        <f t="shared" si="2185"/>
        <v>942</v>
      </c>
      <c r="CQ499" s="2635">
        <f t="shared" si="2185"/>
        <v>1016</v>
      </c>
      <c r="CR499" s="2635">
        <f t="shared" si="2185"/>
        <v>2264</v>
      </c>
      <c r="CS499" s="2635">
        <f t="shared" si="2185"/>
        <v>5331</v>
      </c>
      <c r="CT499" s="2318">
        <f t="shared" ca="1" si="2185"/>
        <v>8908.7825778707575</v>
      </c>
      <c r="CU499" s="2635">
        <f t="shared" ca="1" si="2185"/>
        <v>4921.6065248721525</v>
      </c>
      <c r="CV499" s="2635">
        <f t="shared" ca="1" si="2185"/>
        <v>8638.5115248721522</v>
      </c>
      <c r="CW499" s="2314">
        <v>12756</v>
      </c>
      <c r="CX499" s="2635"/>
      <c r="CY499" s="2635"/>
      <c r="CZ499" s="2635"/>
      <c r="DA499" s="2313"/>
      <c r="DB499" s="2318"/>
      <c r="DC499" s="2635"/>
      <c r="DD499" s="2635"/>
      <c r="DE499" s="2635"/>
      <c r="DF499" s="2635"/>
      <c r="DG499" s="2635"/>
      <c r="DH499" s="2635"/>
      <c r="DI499" s="2635"/>
      <c r="DJ499" s="2635"/>
      <c r="DK499" s="2635"/>
      <c r="DL499" s="2635"/>
      <c r="DM499" s="2635"/>
      <c r="DN499" s="2635"/>
      <c r="DO499" s="2635"/>
      <c r="DP499" s="2635"/>
      <c r="DQ499" s="2635"/>
      <c r="DR499" s="2635"/>
      <c r="DS499" s="2635"/>
      <c r="DT499" s="2635"/>
      <c r="DU499" s="2635"/>
      <c r="DV499" s="2635"/>
      <c r="DW499" s="2635"/>
      <c r="DX499" s="2635"/>
      <c r="DY499" s="2637"/>
    </row>
    <row r="500" spans="1:129" hidden="1" outlineLevel="1">
      <c r="A500" s="2633" t="s">
        <v>840</v>
      </c>
      <c r="B500" s="2633"/>
      <c r="C500" s="2633"/>
      <c r="D500" s="2634"/>
      <c r="E500" s="2635"/>
      <c r="F500" s="2636"/>
      <c r="G500" s="2634"/>
      <c r="H500" s="2635"/>
      <c r="I500" s="2633"/>
      <c r="J500" s="2634"/>
      <c r="K500" s="2635"/>
      <c r="L500" s="2635"/>
      <c r="M500" s="2635"/>
      <c r="N500" s="2635"/>
      <c r="O500" s="2635">
        <f>+CG500</f>
        <v>3732</v>
      </c>
      <c r="P500" s="2635">
        <f>+CK500</f>
        <v>4364</v>
      </c>
      <c r="Q500" s="2635">
        <f>+CO500</f>
        <v>5439</v>
      </c>
      <c r="R500" s="2635">
        <f>+CS500</f>
        <v>6007</v>
      </c>
      <c r="S500" s="2313">
        <f>+CW500</f>
        <v>5989</v>
      </c>
      <c r="T500" s="2313">
        <v>6657</v>
      </c>
      <c r="U500" s="2635">
        <f t="shared" ref="U500:Z500" si="2186">U31*(U689/360)</f>
        <v>7109.3229161174668</v>
      </c>
      <c r="V500" s="2635">
        <f t="shared" si="2186"/>
        <v>7690.4547635366689</v>
      </c>
      <c r="W500" s="2635">
        <f t="shared" si="2186"/>
        <v>8044.4160911056042</v>
      </c>
      <c r="X500" s="2635">
        <f t="shared" si="2186"/>
        <v>7825.5812990984341</v>
      </c>
      <c r="Y500" s="2635">
        <f t="shared" si="2186"/>
        <v>7678.6092555491114</v>
      </c>
      <c r="Z500" s="2635">
        <f t="shared" ca="1" si="2186"/>
        <v>7809.3073747688431</v>
      </c>
      <c r="AA500" s="2635">
        <f ca="1">AA25*(AA689/360)</f>
        <v>5528.7425512140189</v>
      </c>
      <c r="AB500" s="2635">
        <f ca="1">AB25*(AB689/360)</f>
        <v>5618.1341400705851</v>
      </c>
      <c r="AC500" s="2635">
        <f t="shared" ref="AC500:AG500" ca="1" si="2187">AC25*(AC689/360)</f>
        <v>5714.4402089163041</v>
      </c>
      <c r="AD500" s="2635">
        <f t="shared" ca="1" si="2187"/>
        <v>5816.8460564580264</v>
      </c>
      <c r="AE500" s="2635">
        <f t="shared" ca="1" si="2187"/>
        <v>5925.8490073053736</v>
      </c>
      <c r="AF500" s="2635">
        <f t="shared" ca="1" si="2187"/>
        <v>6042.5138141952693</v>
      </c>
      <c r="AG500" s="2635">
        <f t="shared" ca="1" si="2187"/>
        <v>6168.1424606789178</v>
      </c>
      <c r="AI500" s="1949"/>
      <c r="AK500" s="2635"/>
      <c r="AL500" s="2635"/>
      <c r="AM500" s="2635"/>
      <c r="AN500" s="2635"/>
      <c r="AO500" s="2635"/>
      <c r="AP500" s="2635"/>
      <c r="AQ500" s="2635"/>
      <c r="AR500" s="2635"/>
      <c r="AS500" s="2635"/>
      <c r="AT500" s="2635"/>
      <c r="AU500" s="2635"/>
      <c r="AV500" s="2635"/>
      <c r="AW500" s="2635"/>
      <c r="AX500" s="2635"/>
      <c r="AY500" s="2635"/>
      <c r="AZ500" s="2635"/>
      <c r="BA500" s="2635"/>
      <c r="BB500" s="2635"/>
      <c r="BC500" s="2635"/>
      <c r="BD500" s="2635"/>
      <c r="BE500" s="2635"/>
      <c r="BF500" s="2635"/>
      <c r="BG500" s="2635"/>
      <c r="BH500" s="2635"/>
      <c r="BI500" s="2635"/>
      <c r="BJ500" s="2635"/>
      <c r="BK500" s="2635"/>
      <c r="BL500" s="2635"/>
      <c r="BM500" s="2635"/>
      <c r="BN500" s="2635"/>
      <c r="BO500" s="2635"/>
      <c r="BP500" s="2634">
        <v>322</v>
      </c>
      <c r="BQ500" s="2635"/>
      <c r="BR500" s="2318"/>
      <c r="BS500" s="2635"/>
      <c r="BT500" s="2635"/>
      <c r="BU500" s="2635"/>
      <c r="BV500" s="2318"/>
      <c r="BW500" s="2635"/>
      <c r="BX500" s="2635"/>
      <c r="BY500" s="2635"/>
      <c r="BZ500" s="2318"/>
      <c r="CA500" s="2635"/>
      <c r="CB500" s="2635"/>
      <c r="CC500" s="2635"/>
      <c r="CD500" s="2318"/>
      <c r="CE500" s="2635"/>
      <c r="CF500" s="2635"/>
      <c r="CG500" s="2635">
        <v>3732</v>
      </c>
      <c r="CH500" s="2318"/>
      <c r="CI500" s="2635"/>
      <c r="CJ500" s="2635"/>
      <c r="CK500" s="2635">
        <v>4364</v>
      </c>
      <c r="CL500" s="2318">
        <f>CL25*(CL689/90)</f>
        <v>4322.8942861591158</v>
      </c>
      <c r="CM500" s="2635">
        <v>4999</v>
      </c>
      <c r="CN500" s="2635">
        <v>5544</v>
      </c>
      <c r="CO500" s="2635">
        <f>4953+842-356</f>
        <v>5439</v>
      </c>
      <c r="CP500" s="2318">
        <v>5391</v>
      </c>
      <c r="CQ500" s="2635">
        <v>5736</v>
      </c>
      <c r="CR500" s="2635">
        <v>6023</v>
      </c>
      <c r="CS500" s="2635">
        <v>6007</v>
      </c>
      <c r="CT500" s="2318">
        <f>CT25*(CT689/90)</f>
        <v>5406.3777777777777</v>
      </c>
      <c r="CU500" s="2635">
        <f>CU25*(CU689/90)</f>
        <v>6536.4444444444443</v>
      </c>
      <c r="CV500" s="2635">
        <f>CV25*(CV689/90)</f>
        <v>7015.4000000000005</v>
      </c>
      <c r="CW500" s="2314">
        <v>5989</v>
      </c>
      <c r="CX500" s="2635"/>
      <c r="CY500" s="2635"/>
      <c r="CZ500" s="2635"/>
      <c r="DA500" s="2313"/>
      <c r="DB500" s="2318"/>
      <c r="DC500" s="2635"/>
      <c r="DD500" s="2635"/>
      <c r="DE500" s="2635"/>
      <c r="DF500" s="2635"/>
      <c r="DG500" s="2635"/>
      <c r="DH500" s="2635"/>
      <c r="DI500" s="2635"/>
      <c r="DJ500" s="2635"/>
      <c r="DK500" s="2635"/>
      <c r="DL500" s="2635"/>
      <c r="DM500" s="2635"/>
      <c r="DN500" s="2635"/>
      <c r="DO500" s="2635"/>
      <c r="DP500" s="2635"/>
      <c r="DQ500" s="2635"/>
      <c r="DR500" s="2635"/>
      <c r="DS500" s="2635"/>
      <c r="DT500" s="2635"/>
      <c r="DU500" s="2635"/>
      <c r="DV500" s="2635"/>
      <c r="DW500" s="2635"/>
      <c r="DX500" s="2635"/>
      <c r="DY500" s="2637"/>
    </row>
    <row r="501" spans="1:129" hidden="1" outlineLevel="1">
      <c r="A501" s="2633" t="s">
        <v>841</v>
      </c>
      <c r="B501" s="2633"/>
      <c r="C501" s="2633"/>
      <c r="D501" s="2634"/>
      <c r="E501" s="2635"/>
      <c r="F501" s="2636"/>
      <c r="G501" s="2634"/>
      <c r="H501" s="2635"/>
      <c r="I501" s="2633"/>
      <c r="J501" s="2634"/>
      <c r="K501" s="2635"/>
      <c r="L501" s="2635"/>
      <c r="M501" s="2635"/>
      <c r="N501" s="2635"/>
      <c r="O501" s="2635">
        <f>+CG501</f>
        <v>252</v>
      </c>
      <c r="P501" s="2635">
        <f>+CK501</f>
        <v>254</v>
      </c>
      <c r="Q501" s="2635">
        <f>+CO501</f>
        <v>282</v>
      </c>
      <c r="R501" s="2635">
        <f>+CS501</f>
        <v>0</v>
      </c>
      <c r="S501" s="2313">
        <f>+CW501</f>
        <v>140</v>
      </c>
      <c r="T501" s="2313">
        <v>106</v>
      </c>
      <c r="U501" s="2635">
        <f t="shared" ref="U501:AB501" si="2188">+T501</f>
        <v>106</v>
      </c>
      <c r="V501" s="2635">
        <f t="shared" si="2188"/>
        <v>106</v>
      </c>
      <c r="W501" s="2635">
        <f t="shared" si="2188"/>
        <v>106</v>
      </c>
      <c r="X501" s="2635">
        <f t="shared" si="2188"/>
        <v>106</v>
      </c>
      <c r="Y501" s="2635">
        <f t="shared" si="2188"/>
        <v>106</v>
      </c>
      <c r="Z501" s="2635">
        <f t="shared" si="2188"/>
        <v>106</v>
      </c>
      <c r="AA501" s="2635">
        <f t="shared" si="2188"/>
        <v>106</v>
      </c>
      <c r="AB501" s="2635">
        <f t="shared" si="2188"/>
        <v>106</v>
      </c>
      <c r="AC501" s="2635">
        <f t="shared" ref="AC501" si="2189">+AB501</f>
        <v>106</v>
      </c>
      <c r="AD501" s="2635">
        <f t="shared" ref="AD501" si="2190">+AC501</f>
        <v>106</v>
      </c>
      <c r="AE501" s="2635">
        <f t="shared" ref="AE501" si="2191">+AD501</f>
        <v>106</v>
      </c>
      <c r="AF501" s="2635">
        <f t="shared" ref="AF501" si="2192">+AE501</f>
        <v>106</v>
      </c>
      <c r="AG501" s="2635">
        <f t="shared" ref="AG501" si="2193">+AF501</f>
        <v>106</v>
      </c>
      <c r="AI501" s="1949"/>
      <c r="AK501" s="2635"/>
      <c r="AL501" s="2635"/>
      <c r="AM501" s="2635"/>
      <c r="AN501" s="2635"/>
      <c r="AO501" s="2635"/>
      <c r="AP501" s="2635"/>
      <c r="AQ501" s="2635"/>
      <c r="AR501" s="2635"/>
      <c r="AS501" s="2635"/>
      <c r="AT501" s="2635"/>
      <c r="AU501" s="2635"/>
      <c r="AV501" s="2635"/>
      <c r="AW501" s="2635"/>
      <c r="AX501" s="2635"/>
      <c r="AY501" s="2635"/>
      <c r="AZ501" s="2635"/>
      <c r="BA501" s="2635"/>
      <c r="BB501" s="2635"/>
      <c r="BC501" s="2635"/>
      <c r="BD501" s="2635"/>
      <c r="BE501" s="2635"/>
      <c r="BF501" s="2635"/>
      <c r="BG501" s="2635"/>
      <c r="BH501" s="2635"/>
      <c r="BI501" s="2635"/>
      <c r="BJ501" s="2635"/>
      <c r="BK501" s="2635"/>
      <c r="BL501" s="2635"/>
      <c r="BM501" s="2635"/>
      <c r="BN501" s="2635"/>
      <c r="BO501" s="2635"/>
      <c r="BP501" s="2634">
        <v>401</v>
      </c>
      <c r="BQ501" s="2635"/>
      <c r="BR501" s="2318"/>
      <c r="BS501" s="2635"/>
      <c r="BT501" s="2635"/>
      <c r="BU501" s="2635"/>
      <c r="BV501" s="2318"/>
      <c r="BW501" s="2635"/>
      <c r="BX501" s="2635"/>
      <c r="BY501" s="2635"/>
      <c r="BZ501" s="2318"/>
      <c r="CA501" s="2635"/>
      <c r="CB501" s="2635"/>
      <c r="CC501" s="2635"/>
      <c r="CD501" s="2318"/>
      <c r="CE501" s="2635"/>
      <c r="CF501" s="2635"/>
      <c r="CG501" s="2635">
        <v>252</v>
      </c>
      <c r="CH501" s="2318"/>
      <c r="CI501" s="2635"/>
      <c r="CJ501" s="2635"/>
      <c r="CK501" s="2635">
        <v>254</v>
      </c>
      <c r="CL501" s="2318">
        <f>+CK501</f>
        <v>254</v>
      </c>
      <c r="CM501" s="2635">
        <v>317</v>
      </c>
      <c r="CN501" s="2635">
        <v>175</v>
      </c>
      <c r="CO501" s="2635">
        <v>282</v>
      </c>
      <c r="CP501" s="2318">
        <v>137</v>
      </c>
      <c r="CQ501" s="2635">
        <v>147</v>
      </c>
      <c r="CR501" s="2635"/>
      <c r="CS501" s="2635"/>
      <c r="CT501" s="2318">
        <f>+CS501</f>
        <v>0</v>
      </c>
      <c r="CU501" s="2635">
        <f>+CT501</f>
        <v>0</v>
      </c>
      <c r="CV501" s="2635">
        <f>+CU501</f>
        <v>0</v>
      </c>
      <c r="CW501" s="2314">
        <v>140</v>
      </c>
      <c r="CX501" s="2635"/>
      <c r="CY501" s="2635"/>
      <c r="CZ501" s="2635"/>
      <c r="DA501" s="2313"/>
      <c r="DB501" s="2318"/>
      <c r="DC501" s="2635"/>
      <c r="DD501" s="2635"/>
      <c r="DE501" s="2635"/>
      <c r="DF501" s="2635"/>
      <c r="DG501" s="2635"/>
      <c r="DH501" s="2635"/>
      <c r="DI501" s="2635"/>
      <c r="DJ501" s="2635"/>
      <c r="DK501" s="2635"/>
      <c r="DL501" s="2635"/>
      <c r="DM501" s="2635"/>
      <c r="DN501" s="2635"/>
      <c r="DO501" s="2635"/>
      <c r="DP501" s="2635"/>
      <c r="DQ501" s="2635"/>
      <c r="DR501" s="2635"/>
      <c r="DS501" s="2635"/>
      <c r="DT501" s="2635"/>
      <c r="DU501" s="2635"/>
      <c r="DV501" s="2635"/>
      <c r="DW501" s="2635"/>
      <c r="DX501" s="2635"/>
      <c r="DY501" s="2637"/>
    </row>
    <row r="502" spans="1:129" hidden="1" outlineLevel="1">
      <c r="A502" s="2633" t="s">
        <v>842</v>
      </c>
      <c r="B502" s="2633"/>
      <c r="C502" s="2633"/>
      <c r="D502" s="2634"/>
      <c r="E502" s="2635"/>
      <c r="F502" s="2636"/>
      <c r="G502" s="2634"/>
      <c r="H502" s="2635"/>
      <c r="I502" s="2633"/>
      <c r="J502" s="2634"/>
      <c r="K502" s="2635"/>
      <c r="L502" s="2635"/>
      <c r="M502" s="2635"/>
      <c r="N502" s="2635"/>
      <c r="O502" s="2635">
        <f>+CG502</f>
        <v>1098</v>
      </c>
      <c r="P502" s="2635">
        <f>+CK502</f>
        <v>1046</v>
      </c>
      <c r="Q502" s="2635">
        <f ca="1">+CO502</f>
        <v>1373</v>
      </c>
      <c r="R502" s="2635">
        <f ca="1">+CS502</f>
        <v>934.4076359832635</v>
      </c>
      <c r="S502" s="2313">
        <f>+CW502</f>
        <v>906</v>
      </c>
      <c r="T502" s="2313">
        <v>1044</v>
      </c>
      <c r="U502" s="2635" t="e">
        <f t="shared" ref="U502:AA502" si="2194">U47*(U691/360)</f>
        <v>#REF!</v>
      </c>
      <c r="V502" s="2635" t="e">
        <f t="shared" si="2194"/>
        <v>#REF!</v>
      </c>
      <c r="W502" s="2635" t="e">
        <f t="shared" si="2194"/>
        <v>#REF!</v>
      </c>
      <c r="X502" s="2635" t="e">
        <f t="shared" si="2194"/>
        <v>#REF!</v>
      </c>
      <c r="Y502" s="2635" t="e">
        <f t="shared" ref="Y502:Z502" si="2195">Y47*(Y691/360)</f>
        <v>#REF!</v>
      </c>
      <c r="Z502" s="2635" t="e">
        <f t="shared" ca="1" si="2195"/>
        <v>#REF!</v>
      </c>
      <c r="AA502" s="2635" t="e">
        <f t="shared" ca="1" si="2194"/>
        <v>#REF!</v>
      </c>
      <c r="AB502" s="2635" t="e">
        <f t="shared" ref="AB502:AG502" ca="1" si="2196">AB47*(AB691/360)</f>
        <v>#REF!</v>
      </c>
      <c r="AC502" s="2635" t="e">
        <f t="shared" ca="1" si="2196"/>
        <v>#REF!</v>
      </c>
      <c r="AD502" s="2635" t="e">
        <f t="shared" ca="1" si="2196"/>
        <v>#REF!</v>
      </c>
      <c r="AE502" s="2635" t="e">
        <f t="shared" ca="1" si="2196"/>
        <v>#REF!</v>
      </c>
      <c r="AF502" s="2635" t="e">
        <f t="shared" ca="1" si="2196"/>
        <v>#REF!</v>
      </c>
      <c r="AG502" s="2635" t="e">
        <f t="shared" ca="1" si="2196"/>
        <v>#REF!</v>
      </c>
      <c r="AI502" s="1949"/>
      <c r="AK502" s="2635"/>
      <c r="AL502" s="2635"/>
      <c r="AM502" s="2635"/>
      <c r="AN502" s="2635"/>
      <c r="AO502" s="2635"/>
      <c r="AP502" s="2635"/>
      <c r="AQ502" s="2635"/>
      <c r="AR502" s="2635"/>
      <c r="AS502" s="2635"/>
      <c r="AT502" s="2635"/>
      <c r="AU502" s="2635"/>
      <c r="AV502" s="2635"/>
      <c r="AW502" s="2635"/>
      <c r="AX502" s="2635"/>
      <c r="AY502" s="2635"/>
      <c r="AZ502" s="2635"/>
      <c r="BA502" s="2635"/>
      <c r="BB502" s="2635"/>
      <c r="BC502" s="2635"/>
      <c r="BD502" s="2635"/>
      <c r="BE502" s="2635"/>
      <c r="BF502" s="2635"/>
      <c r="BG502" s="2635"/>
      <c r="BH502" s="2635"/>
      <c r="BI502" s="2635"/>
      <c r="BJ502" s="2635"/>
      <c r="BK502" s="2635"/>
      <c r="BL502" s="2635"/>
      <c r="BM502" s="2635"/>
      <c r="BN502" s="2635"/>
      <c r="BO502" s="2635"/>
      <c r="BP502" s="2634">
        <v>365</v>
      </c>
      <c r="BQ502" s="2635"/>
      <c r="BR502" s="2318"/>
      <c r="BS502" s="2635"/>
      <c r="BT502" s="2635"/>
      <c r="BU502" s="2635"/>
      <c r="BV502" s="2318"/>
      <c r="BW502" s="2635"/>
      <c r="BX502" s="2635"/>
      <c r="BY502" s="2635"/>
      <c r="BZ502" s="2318"/>
      <c r="CA502" s="2635"/>
      <c r="CB502" s="2635"/>
      <c r="CC502" s="2635"/>
      <c r="CD502" s="2318"/>
      <c r="CE502" s="2635"/>
      <c r="CF502" s="2635"/>
      <c r="CG502" s="2635">
        <v>1098</v>
      </c>
      <c r="CH502" s="2318"/>
      <c r="CI502" s="2635"/>
      <c r="CJ502" s="2635"/>
      <c r="CK502" s="2635">
        <v>1046</v>
      </c>
      <c r="CL502" s="2318">
        <f t="shared" ref="CL502:CV502" si="2197">CL47*(CL691/90)</f>
        <v>1043.4143820224717</v>
      </c>
      <c r="CM502" s="2635">
        <f t="shared" ca="1" si="2197"/>
        <v>1633.9999999999998</v>
      </c>
      <c r="CN502" s="2635">
        <f t="shared" ca="1" si="2197"/>
        <v>1394</v>
      </c>
      <c r="CO502" s="2635">
        <f t="shared" ca="1" si="2197"/>
        <v>1373</v>
      </c>
      <c r="CP502" s="2318">
        <f t="shared" ca="1" si="2197"/>
        <v>1058</v>
      </c>
      <c r="CQ502" s="2635">
        <f t="shared" ca="1" si="2197"/>
        <v>938</v>
      </c>
      <c r="CR502" s="2635">
        <f t="shared" ca="1" si="2197"/>
        <v>948.99999999999989</v>
      </c>
      <c r="CS502" s="2635">
        <f t="shared" ca="1" si="2197"/>
        <v>934.4076359832635</v>
      </c>
      <c r="CT502" s="2318">
        <f t="shared" ca="1" si="2197"/>
        <v>1055.3157949790793</v>
      </c>
      <c r="CU502" s="2635">
        <f t="shared" si="2197"/>
        <v>1475.4166666666667</v>
      </c>
      <c r="CV502" s="2635">
        <f t="shared" si="2197"/>
        <v>1404.9333333333334</v>
      </c>
      <c r="CW502" s="2314">
        <v>906</v>
      </c>
      <c r="CX502" s="2635"/>
      <c r="CY502" s="2635"/>
      <c r="CZ502" s="2635"/>
      <c r="DA502" s="2313"/>
      <c r="DB502" s="2318"/>
      <c r="DC502" s="2635"/>
      <c r="DD502" s="2635"/>
      <c r="DE502" s="2635"/>
      <c r="DF502" s="2635"/>
      <c r="DG502" s="2635"/>
      <c r="DH502" s="2635"/>
      <c r="DI502" s="2635"/>
      <c r="DJ502" s="2635"/>
      <c r="DK502" s="2635"/>
      <c r="DL502" s="2635"/>
      <c r="DM502" s="2635"/>
      <c r="DN502" s="2635"/>
      <c r="DO502" s="2635"/>
      <c r="DP502" s="2635"/>
      <c r="DQ502" s="2635"/>
      <c r="DR502" s="2635"/>
      <c r="DS502" s="2635"/>
      <c r="DT502" s="2635"/>
      <c r="DU502" s="2635"/>
      <c r="DV502" s="2635"/>
      <c r="DW502" s="2635"/>
      <c r="DX502" s="2635"/>
      <c r="DY502" s="2637"/>
    </row>
    <row r="503" spans="1:129" hidden="1" outlineLevel="1">
      <c r="A503" s="2633" t="s">
        <v>843</v>
      </c>
      <c r="B503" s="2633"/>
      <c r="C503" s="2633"/>
      <c r="D503" s="2634"/>
      <c r="E503" s="2635"/>
      <c r="F503" s="2636"/>
      <c r="G503" s="2634"/>
      <c r="H503" s="2635"/>
      <c r="I503" s="2633"/>
      <c r="J503" s="2634"/>
      <c r="K503" s="2635"/>
      <c r="L503" s="2635"/>
      <c r="M503" s="2635"/>
      <c r="N503" s="2635"/>
      <c r="O503" s="2635">
        <f>+CG503</f>
        <v>484</v>
      </c>
      <c r="P503" s="2635">
        <f>+CK503</f>
        <v>734</v>
      </c>
      <c r="Q503" s="2635">
        <f>+CO503</f>
        <v>3393</v>
      </c>
      <c r="R503" s="2635">
        <f>+CS503</f>
        <v>734</v>
      </c>
      <c r="S503" s="2313">
        <f>+CW503</f>
        <v>494</v>
      </c>
      <c r="T503" s="2313">
        <v>525</v>
      </c>
      <c r="U503" s="2635">
        <f t="shared" ref="U503:AB503" si="2198">+T503</f>
        <v>525</v>
      </c>
      <c r="V503" s="2635">
        <f t="shared" si="2198"/>
        <v>525</v>
      </c>
      <c r="W503" s="2635">
        <f t="shared" si="2198"/>
        <v>525</v>
      </c>
      <c r="X503" s="2635">
        <f t="shared" si="2198"/>
        <v>525</v>
      </c>
      <c r="Y503" s="2635">
        <f t="shared" si="2198"/>
        <v>525</v>
      </c>
      <c r="Z503" s="2635">
        <f t="shared" si="2198"/>
        <v>525</v>
      </c>
      <c r="AA503" s="2635">
        <f t="shared" si="2198"/>
        <v>525</v>
      </c>
      <c r="AB503" s="2635">
        <f t="shared" si="2198"/>
        <v>525</v>
      </c>
      <c r="AC503" s="2635">
        <f t="shared" ref="AC503" si="2199">+AB503</f>
        <v>525</v>
      </c>
      <c r="AD503" s="2635">
        <f t="shared" ref="AD503" si="2200">+AC503</f>
        <v>525</v>
      </c>
      <c r="AE503" s="2635">
        <f t="shared" ref="AE503" si="2201">+AD503</f>
        <v>525</v>
      </c>
      <c r="AF503" s="2635">
        <f t="shared" ref="AF503" si="2202">+AE503</f>
        <v>525</v>
      </c>
      <c r="AG503" s="2635">
        <f t="shared" ref="AG503" si="2203">+AF503</f>
        <v>525</v>
      </c>
      <c r="AI503" s="1949"/>
      <c r="AK503" s="2635"/>
      <c r="AL503" s="2635"/>
      <c r="AM503" s="2635"/>
      <c r="AN503" s="2635"/>
      <c r="AO503" s="2635"/>
      <c r="AP503" s="2635"/>
      <c r="AQ503" s="2635"/>
      <c r="AR503" s="2635"/>
      <c r="AS503" s="2635"/>
      <c r="AT503" s="2635"/>
      <c r="AU503" s="2635"/>
      <c r="AV503" s="2635"/>
      <c r="AW503" s="2635"/>
      <c r="AX503" s="2635"/>
      <c r="AY503" s="2635"/>
      <c r="AZ503" s="2635"/>
      <c r="BA503" s="2635"/>
      <c r="BB503" s="2635"/>
      <c r="BC503" s="2635"/>
      <c r="BD503" s="2635"/>
      <c r="BE503" s="2635"/>
      <c r="BF503" s="2635"/>
      <c r="BG503" s="2635"/>
      <c r="BH503" s="2635"/>
      <c r="BI503" s="2635"/>
      <c r="BJ503" s="2635"/>
      <c r="BK503" s="2635"/>
      <c r="BL503" s="2635"/>
      <c r="BM503" s="2635"/>
      <c r="BN503" s="2635"/>
      <c r="BO503" s="2635"/>
      <c r="BP503" s="2634">
        <v>3306</v>
      </c>
      <c r="BQ503" s="2635"/>
      <c r="BR503" s="2318"/>
      <c r="BS503" s="2635"/>
      <c r="BT503" s="2635"/>
      <c r="BU503" s="2635"/>
      <c r="BV503" s="2318"/>
      <c r="BW503" s="2635"/>
      <c r="BX503" s="2635"/>
      <c r="BY503" s="2635"/>
      <c r="BZ503" s="2318"/>
      <c r="CA503" s="2635"/>
      <c r="CB503" s="2635"/>
      <c r="CC503" s="2635"/>
      <c r="CD503" s="2318"/>
      <c r="CE503" s="2635"/>
      <c r="CF503" s="2635"/>
      <c r="CG503" s="2635">
        <f>306+178</f>
        <v>484</v>
      </c>
      <c r="CH503" s="2318"/>
      <c r="CI503" s="2635"/>
      <c r="CJ503" s="2635"/>
      <c r="CK503" s="2635">
        <f>579+155</f>
        <v>734</v>
      </c>
      <c r="CL503" s="2318">
        <f>+CK503</f>
        <v>734</v>
      </c>
      <c r="CM503" s="2635">
        <f>3433+118</f>
        <v>3551</v>
      </c>
      <c r="CN503" s="2635">
        <v>3192</v>
      </c>
      <c r="CO503" s="2635">
        <f>3335+58</f>
        <v>3393</v>
      </c>
      <c r="CP503" s="2318">
        <v>3304</v>
      </c>
      <c r="CQ503" s="2635">
        <v>709</v>
      </c>
      <c r="CR503" s="2635">
        <f>172+585</f>
        <v>757</v>
      </c>
      <c r="CS503" s="2635">
        <f>608+126</f>
        <v>734</v>
      </c>
      <c r="CT503" s="2318">
        <f>+CS503</f>
        <v>734</v>
      </c>
      <c r="CU503" s="2635">
        <f>+CT503</f>
        <v>734</v>
      </c>
      <c r="CV503" s="2635">
        <f>+CU503</f>
        <v>734</v>
      </c>
      <c r="CW503" s="2314">
        <v>494</v>
      </c>
      <c r="CX503" s="2635"/>
      <c r="CY503" s="2635"/>
      <c r="CZ503" s="2635"/>
      <c r="DA503" s="2313"/>
      <c r="DB503" s="2318"/>
      <c r="DC503" s="2635"/>
      <c r="DD503" s="2635"/>
      <c r="DE503" s="2635"/>
      <c r="DF503" s="2635"/>
      <c r="DG503" s="2635"/>
      <c r="DH503" s="2635"/>
      <c r="DI503" s="2635"/>
      <c r="DJ503" s="2635"/>
      <c r="DK503" s="2635"/>
      <c r="DL503" s="2635"/>
      <c r="DM503" s="2635"/>
      <c r="DN503" s="2635"/>
      <c r="DO503" s="2635"/>
      <c r="DP503" s="2635"/>
      <c r="DQ503" s="2635"/>
      <c r="DR503" s="2635"/>
      <c r="DS503" s="2635"/>
      <c r="DT503" s="2635"/>
      <c r="DU503" s="2635"/>
      <c r="DV503" s="2635"/>
      <c r="DW503" s="2635"/>
      <c r="DX503" s="2635"/>
      <c r="DY503" s="2637"/>
    </row>
    <row r="504" spans="1:129" hidden="1" outlineLevel="1">
      <c r="A504" s="2638" t="s">
        <v>110</v>
      </c>
      <c r="B504" s="2638"/>
      <c r="C504" s="2638"/>
      <c r="D504" s="2639"/>
      <c r="E504" s="2640"/>
      <c r="F504" s="2641"/>
      <c r="G504" s="2639"/>
      <c r="H504" s="2640"/>
      <c r="I504" s="2638"/>
      <c r="J504" s="2639"/>
      <c r="K504" s="2640"/>
      <c r="L504" s="2640"/>
      <c r="M504" s="2640"/>
      <c r="N504" s="2640"/>
      <c r="O504" s="2640">
        <f t="shared" ref="O504:V504" si="2204">SUM(O499:O503)</f>
        <v>5974</v>
      </c>
      <c r="P504" s="2640">
        <f t="shared" si="2204"/>
        <v>15625</v>
      </c>
      <c r="Q504" s="2640">
        <f t="shared" ca="1" si="2204"/>
        <v>11094</v>
      </c>
      <c r="R504" s="2640">
        <f t="shared" ca="1" si="2204"/>
        <v>13006.407635983263</v>
      </c>
      <c r="S504" s="2303">
        <f t="shared" si="2204"/>
        <v>20285</v>
      </c>
      <c r="T504" s="2303">
        <f t="shared" si="2204"/>
        <v>9686</v>
      </c>
      <c r="U504" s="2640" t="e">
        <f t="shared" si="2204"/>
        <v>#REF!</v>
      </c>
      <c r="V504" s="2640" t="e">
        <f t="shared" si="2204"/>
        <v>#REF!</v>
      </c>
      <c r="W504" s="2640" t="e">
        <f t="shared" ref="W504:AB504" si="2205">SUM(W499:W503)</f>
        <v>#REF!</v>
      </c>
      <c r="X504" s="2640" t="e">
        <f t="shared" si="2205"/>
        <v>#REF!</v>
      </c>
      <c r="Y504" s="2640" t="e">
        <f t="shared" si="2205"/>
        <v>#REF!</v>
      </c>
      <c r="Z504" s="2640" t="e">
        <f t="shared" ca="1" si="2205"/>
        <v>#REF!</v>
      </c>
      <c r="AA504" s="2640" t="e">
        <f t="shared" ca="1" si="2205"/>
        <v>#REF!</v>
      </c>
      <c r="AB504" s="2640" t="e">
        <f t="shared" ca="1" si="2205"/>
        <v>#REF!</v>
      </c>
      <c r="AC504" s="2640" t="e">
        <f t="shared" ref="AC504:AG504" ca="1" si="2206">SUM(AC499:AC503)</f>
        <v>#REF!</v>
      </c>
      <c r="AD504" s="2640" t="e">
        <f t="shared" ca="1" si="2206"/>
        <v>#REF!</v>
      </c>
      <c r="AE504" s="2640" t="e">
        <f t="shared" ca="1" si="2206"/>
        <v>#REF!</v>
      </c>
      <c r="AF504" s="2640" t="e">
        <f t="shared" ca="1" si="2206"/>
        <v>#REF!</v>
      </c>
      <c r="AG504" s="2640" t="e">
        <f t="shared" ca="1" si="2206"/>
        <v>#REF!</v>
      </c>
      <c r="AI504" s="1949"/>
      <c r="AK504" s="2640"/>
      <c r="AL504" s="2640"/>
      <c r="AM504" s="2640"/>
      <c r="AN504" s="2640"/>
      <c r="AO504" s="2640"/>
      <c r="AP504" s="2640"/>
      <c r="AQ504" s="2640"/>
      <c r="AR504" s="2640"/>
      <c r="AS504" s="2640"/>
      <c r="AT504" s="2640"/>
      <c r="AU504" s="2640"/>
      <c r="AV504" s="2640"/>
      <c r="AW504" s="2640"/>
      <c r="AX504" s="2640"/>
      <c r="AY504" s="2640"/>
      <c r="AZ504" s="2640"/>
      <c r="BA504" s="2640"/>
      <c r="BB504" s="2640"/>
      <c r="BC504" s="2640"/>
      <c r="BD504" s="2640"/>
      <c r="BE504" s="2640"/>
      <c r="BF504" s="2640"/>
      <c r="BG504" s="2640"/>
      <c r="BH504" s="2640"/>
      <c r="BI504" s="2640"/>
      <c r="BJ504" s="2640"/>
      <c r="BK504" s="2640"/>
      <c r="BL504" s="2640"/>
      <c r="BM504" s="2640"/>
      <c r="BN504" s="2640"/>
      <c r="BO504" s="2640"/>
      <c r="BP504" s="2639">
        <v>18476</v>
      </c>
      <c r="BQ504" s="2640"/>
      <c r="BR504" s="2642"/>
      <c r="BS504" s="2640"/>
      <c r="BT504" s="2640"/>
      <c r="BU504" s="2640"/>
      <c r="BV504" s="2642"/>
      <c r="BW504" s="2640"/>
      <c r="BX504" s="2640"/>
      <c r="BY504" s="2640"/>
      <c r="BZ504" s="2642"/>
      <c r="CA504" s="2640"/>
      <c r="CB504" s="2640"/>
      <c r="CC504" s="2640"/>
      <c r="CD504" s="2642"/>
      <c r="CE504" s="2640"/>
      <c r="CF504" s="2640"/>
      <c r="CG504" s="2640">
        <f>SUM(CG499:CG503)</f>
        <v>5974</v>
      </c>
      <c r="CH504" s="2640">
        <f>SUM(CH499:CH503)</f>
        <v>0</v>
      </c>
      <c r="CI504" s="2640"/>
      <c r="CJ504" s="2640"/>
      <c r="CK504" s="2640">
        <f t="shared" ref="CK504:CW504" si="2207">SUM(CK499:CK503)</f>
        <v>15625</v>
      </c>
      <c r="CL504" s="2642">
        <f t="shared" si="2207"/>
        <v>8153.3086681815876</v>
      </c>
      <c r="CM504" s="2640">
        <f t="shared" ca="1" si="2207"/>
        <v>11050</v>
      </c>
      <c r="CN504" s="2640">
        <f t="shared" ca="1" si="2207"/>
        <v>11117</v>
      </c>
      <c r="CO504" s="2640">
        <f t="shared" ca="1" si="2207"/>
        <v>11094</v>
      </c>
      <c r="CP504" s="2642">
        <f t="shared" ca="1" si="2207"/>
        <v>10832</v>
      </c>
      <c r="CQ504" s="2640">
        <f t="shared" ca="1" si="2207"/>
        <v>8546</v>
      </c>
      <c r="CR504" s="2640">
        <f t="shared" ca="1" si="2207"/>
        <v>9993</v>
      </c>
      <c r="CS504" s="2640">
        <f t="shared" ca="1" si="2207"/>
        <v>13006.407635983263</v>
      </c>
      <c r="CT504" s="2642">
        <f t="shared" ca="1" si="2207"/>
        <v>16104.476150627615</v>
      </c>
      <c r="CU504" s="2640">
        <f t="shared" ca="1" si="2207"/>
        <v>13667.467635983263</v>
      </c>
      <c r="CV504" s="2640">
        <f t="shared" ca="1" si="2207"/>
        <v>17792.844858205488</v>
      </c>
      <c r="CW504" s="2304">
        <f t="shared" si="2207"/>
        <v>20285</v>
      </c>
      <c r="CX504" s="2635"/>
      <c r="CY504" s="2635"/>
      <c r="CZ504" s="2635"/>
      <c r="DA504" s="2304"/>
      <c r="DB504" s="2640"/>
      <c r="DC504" s="2640"/>
      <c r="DD504" s="2640"/>
      <c r="DE504" s="2640"/>
      <c r="DF504" s="2640"/>
      <c r="DG504" s="2640"/>
      <c r="DH504" s="2640"/>
      <c r="DI504" s="2640"/>
      <c r="DJ504" s="2640"/>
      <c r="DK504" s="2640"/>
      <c r="DL504" s="2640"/>
      <c r="DM504" s="2640"/>
      <c r="DN504" s="2640"/>
      <c r="DO504" s="2640"/>
      <c r="DP504" s="2640"/>
      <c r="DQ504" s="2640"/>
      <c r="DR504" s="2640"/>
      <c r="DS504" s="2640"/>
      <c r="DT504" s="2640"/>
      <c r="DU504" s="2640"/>
      <c r="DV504" s="2640"/>
      <c r="DW504" s="2640"/>
      <c r="DX504" s="2640"/>
      <c r="DY504" s="2643"/>
    </row>
    <row r="505" spans="1:129" hidden="1" outlineLevel="1">
      <c r="A505" s="2633" t="s">
        <v>111</v>
      </c>
      <c r="B505" s="2633"/>
      <c r="C505" s="2633"/>
      <c r="D505" s="2634"/>
      <c r="E505" s="2635"/>
      <c r="F505" s="2636"/>
      <c r="G505" s="2634"/>
      <c r="H505" s="2635"/>
      <c r="I505" s="2633"/>
      <c r="J505" s="2634"/>
      <c r="K505" s="2635"/>
      <c r="L505" s="2635"/>
      <c r="M505" s="2635"/>
      <c r="N505" s="2635"/>
      <c r="O505" s="2635">
        <f>+CG505</f>
        <v>25971</v>
      </c>
      <c r="P505" s="2635">
        <f>+CK505</f>
        <v>27136</v>
      </c>
      <c r="Q505" s="2635">
        <f>+CO505</f>
        <v>30850</v>
      </c>
      <c r="R505" s="2635">
        <f>+CS505</f>
        <v>32253</v>
      </c>
      <c r="S505" s="2313">
        <f>+CW505</f>
        <v>33451</v>
      </c>
      <c r="T505" s="2313">
        <v>34546</v>
      </c>
      <c r="U505" s="2635">
        <f t="shared" ref="U505:AB505" si="2208">+T505-U550-U52</f>
        <v>35769</v>
      </c>
      <c r="V505" s="2635">
        <f t="shared" si="2208"/>
        <v>37825</v>
      </c>
      <c r="W505" s="2635">
        <f t="shared" si="2208"/>
        <v>40570</v>
      </c>
      <c r="X505" s="2635">
        <f t="shared" si="2208"/>
        <v>42627</v>
      </c>
      <c r="Y505" s="2635">
        <f t="shared" si="2208"/>
        <v>43860</v>
      </c>
      <c r="Z505" s="2635">
        <f t="shared" ca="1" si="2208"/>
        <v>42847.940559966213</v>
      </c>
      <c r="AA505" s="2635">
        <f t="shared" ca="1" si="2208"/>
        <v>44815.599620799847</v>
      </c>
      <c r="AB505" s="2635">
        <f t="shared" ca="1" si="2208"/>
        <v>46935.382766488416</v>
      </c>
      <c r="AC505" s="2635">
        <f t="shared" ref="AC505" ca="1" si="2209">+AB505-AC550-AC52</f>
        <v>49220.463700045366</v>
      </c>
      <c r="AD505" s="2635">
        <f t="shared" ref="AD505" ca="1" si="2210">+AC505-AD550-AD52</f>
        <v>51681.93487437789</v>
      </c>
      <c r="AE505" s="2635">
        <f t="shared" ref="AE505" ca="1" si="2211">+AD505-AE550-AE52</f>
        <v>54331.669303728006</v>
      </c>
      <c r="AF505" s="2635">
        <f t="shared" ref="AF505" ca="1" si="2212">+AE505-AF550-AF52</f>
        <v>57183.507833955977</v>
      </c>
      <c r="AG505" s="2635">
        <f t="shared" ref="AG505" ca="1" si="2213">+AF505-AG550-AG52</f>
        <v>60227.142406950923</v>
      </c>
      <c r="AI505" s="1949"/>
      <c r="AK505" s="2635"/>
      <c r="AL505" s="2635"/>
      <c r="AM505" s="2635"/>
      <c r="AN505" s="2635"/>
      <c r="AO505" s="2635"/>
      <c r="AP505" s="2635"/>
      <c r="AQ505" s="2635"/>
      <c r="AR505" s="2635"/>
      <c r="AS505" s="2635"/>
      <c r="AT505" s="2635"/>
      <c r="AU505" s="2635"/>
      <c r="AV505" s="2635"/>
      <c r="AW505" s="2635"/>
      <c r="AX505" s="2635"/>
      <c r="AY505" s="2635"/>
      <c r="AZ505" s="2635"/>
      <c r="BA505" s="2635"/>
      <c r="BB505" s="2635"/>
      <c r="BC505" s="2635"/>
      <c r="BD505" s="2635"/>
      <c r="BE505" s="2635"/>
      <c r="BF505" s="2635"/>
      <c r="BG505" s="2635"/>
      <c r="BH505" s="2635"/>
      <c r="BI505" s="2635"/>
      <c r="BJ505" s="2635"/>
      <c r="BK505" s="2635"/>
      <c r="BL505" s="2635"/>
      <c r="BM505" s="2635"/>
      <c r="BN505" s="2635"/>
      <c r="BO505" s="2635"/>
      <c r="BP505" s="2634">
        <v>40862</v>
      </c>
      <c r="BQ505" s="2635"/>
      <c r="BR505" s="2318"/>
      <c r="BS505" s="2635"/>
      <c r="BT505" s="2635"/>
      <c r="BU505" s="2635"/>
      <c r="BV505" s="2318"/>
      <c r="BW505" s="2635"/>
      <c r="BX505" s="2635"/>
      <c r="BY505" s="2635"/>
      <c r="BZ505" s="2318"/>
      <c r="CA505" s="2635"/>
      <c r="CB505" s="2635"/>
      <c r="CC505" s="2635"/>
      <c r="CD505" s="2318"/>
      <c r="CE505" s="2635"/>
      <c r="CF505" s="2635"/>
      <c r="CG505" s="2635">
        <v>25971</v>
      </c>
      <c r="CH505" s="2318"/>
      <c r="CI505" s="2635"/>
      <c r="CJ505" s="2635"/>
      <c r="CK505" s="2635">
        <v>27136</v>
      </c>
      <c r="CL505" s="2318">
        <f>+CL510-CL504-SUM(CL506:CL509)</f>
        <v>47495.691331818409</v>
      </c>
      <c r="CM505" s="2635">
        <v>30364</v>
      </c>
      <c r="CN505" s="2635">
        <v>30558</v>
      </c>
      <c r="CO505" s="2635">
        <v>30850</v>
      </c>
      <c r="CP505" s="2318">
        <v>30876</v>
      </c>
      <c r="CQ505" s="2635">
        <v>31398</v>
      </c>
      <c r="CR505" s="2635">
        <v>31855</v>
      </c>
      <c r="CS505" s="2635">
        <v>32253</v>
      </c>
      <c r="CT505" s="2318">
        <f>+CS505-CT550-CT52</f>
        <v>33089</v>
      </c>
      <c r="CU505" s="2635">
        <f>+CT505-CU550-CU52</f>
        <v>33778</v>
      </c>
      <c r="CV505" s="2635">
        <f>+CU505-CV550-CV52</f>
        <v>33522</v>
      </c>
      <c r="CW505" s="2314">
        <v>33451</v>
      </c>
      <c r="CX505" s="2635"/>
      <c r="CY505" s="2635"/>
      <c r="CZ505" s="2635"/>
      <c r="DA505" s="2313"/>
      <c r="DB505" s="2318"/>
      <c r="DC505" s="2635"/>
      <c r="DD505" s="2635"/>
      <c r="DE505" s="2635"/>
      <c r="DF505" s="2635"/>
      <c r="DG505" s="2635"/>
      <c r="DH505" s="2635"/>
      <c r="DI505" s="2635"/>
      <c r="DJ505" s="2635"/>
      <c r="DK505" s="2635"/>
      <c r="DL505" s="2635"/>
      <c r="DM505" s="2635"/>
      <c r="DN505" s="2635"/>
      <c r="DO505" s="2635"/>
      <c r="DP505" s="2635"/>
      <c r="DQ505" s="2635"/>
      <c r="DR505" s="2635"/>
      <c r="DS505" s="2635"/>
      <c r="DT505" s="2635"/>
      <c r="DU505" s="2635"/>
      <c r="DV505" s="2635"/>
      <c r="DW505" s="2635"/>
      <c r="DX505" s="2635"/>
      <c r="DY505" s="2637"/>
    </row>
    <row r="506" spans="1:129" hidden="1" outlineLevel="1">
      <c r="A506" s="2633" t="s">
        <v>112</v>
      </c>
      <c r="B506" s="2633"/>
      <c r="C506" s="2633"/>
      <c r="D506" s="2634"/>
      <c r="E506" s="2635"/>
      <c r="F506" s="2636"/>
      <c r="G506" s="2634"/>
      <c r="H506" s="2635"/>
      <c r="I506" s="2633"/>
      <c r="J506" s="2634"/>
      <c r="K506" s="2635"/>
      <c r="L506" s="2635"/>
      <c r="M506" s="2635"/>
      <c r="N506" s="2635"/>
      <c r="O506" s="2635">
        <f>+CG506</f>
        <v>51485</v>
      </c>
      <c r="P506" s="2635">
        <f>+CK506</f>
        <v>62392</v>
      </c>
      <c r="Q506" s="2635">
        <f>+CO506</f>
        <v>72005</v>
      </c>
      <c r="R506" s="2635">
        <f>+CS506</f>
        <v>72843</v>
      </c>
      <c r="S506" s="2313">
        <f>+CW506</f>
        <v>73097</v>
      </c>
      <c r="T506" s="2313">
        <v>77642</v>
      </c>
      <c r="U506" s="2635">
        <f t="shared" ref="U506:Z506" si="2214">+T506-U552</f>
        <v>75642</v>
      </c>
      <c r="V506" s="2635">
        <f t="shared" si="2214"/>
        <v>75642</v>
      </c>
      <c r="W506" s="2635">
        <f t="shared" si="2214"/>
        <v>75642</v>
      </c>
      <c r="X506" s="2635">
        <f t="shared" si="2214"/>
        <v>75642</v>
      </c>
      <c r="Y506" s="2635">
        <f t="shared" si="2214"/>
        <v>75642</v>
      </c>
      <c r="Z506" s="2635">
        <f t="shared" si="2214"/>
        <v>75642</v>
      </c>
      <c r="AA506" s="2635">
        <f t="shared" ref="AA506:AB509" si="2215">+Z506</f>
        <v>75642</v>
      </c>
      <c r="AB506" s="2635">
        <f t="shared" si="2215"/>
        <v>75642</v>
      </c>
      <c r="AC506" s="2635">
        <f t="shared" ref="AC506:AC509" si="2216">+AB506</f>
        <v>75642</v>
      </c>
      <c r="AD506" s="2635">
        <f t="shared" ref="AD506:AD509" si="2217">+AC506</f>
        <v>75642</v>
      </c>
      <c r="AE506" s="2635">
        <f t="shared" ref="AE506:AE509" si="2218">+AD506</f>
        <v>75642</v>
      </c>
      <c r="AF506" s="2635">
        <f t="shared" ref="AF506:AF509" si="2219">+AE506</f>
        <v>75642</v>
      </c>
      <c r="AG506" s="2635">
        <f t="shared" ref="AG506:AG509" si="2220">+AF506</f>
        <v>75642</v>
      </c>
      <c r="AI506" s="1949"/>
      <c r="AK506" s="2635"/>
      <c r="AL506" s="2635"/>
      <c r="AM506" s="2635"/>
      <c r="AN506" s="2635"/>
      <c r="AO506" s="2635"/>
      <c r="AP506" s="2635"/>
      <c r="AQ506" s="2635"/>
      <c r="AR506" s="2635"/>
      <c r="AS506" s="2635"/>
      <c r="AT506" s="2635"/>
      <c r="AU506" s="2635"/>
      <c r="AV506" s="2635"/>
      <c r="AW506" s="2635"/>
      <c r="AX506" s="2635"/>
      <c r="AY506" s="2635"/>
      <c r="AZ506" s="2635"/>
      <c r="BA506" s="2635"/>
      <c r="BB506" s="2635"/>
      <c r="BC506" s="2635"/>
      <c r="BD506" s="2635"/>
      <c r="BE506" s="2635"/>
      <c r="BF506" s="2635"/>
      <c r="BG506" s="2635"/>
      <c r="BH506" s="2635"/>
      <c r="BI506" s="2635"/>
      <c r="BJ506" s="2635"/>
      <c r="BK506" s="2635"/>
      <c r="BL506" s="2635"/>
      <c r="BM506" s="2635"/>
      <c r="BN506" s="2635"/>
      <c r="BO506" s="2635"/>
      <c r="BP506" s="2634">
        <v>1196</v>
      </c>
      <c r="BQ506" s="2635"/>
      <c r="BR506" s="2318"/>
      <c r="BS506" s="2635"/>
      <c r="BT506" s="2635"/>
      <c r="BU506" s="2635"/>
      <c r="BV506" s="2318"/>
      <c r="BW506" s="2635"/>
      <c r="BX506" s="2635"/>
      <c r="BY506" s="2635"/>
      <c r="BZ506" s="2318"/>
      <c r="CA506" s="2635"/>
      <c r="CB506" s="2635"/>
      <c r="CC506" s="2635"/>
      <c r="CD506" s="2318"/>
      <c r="CE506" s="2635"/>
      <c r="CF506" s="2635"/>
      <c r="CG506" s="2635">
        <v>51485</v>
      </c>
      <c r="CH506" s="2318"/>
      <c r="CI506" s="2635"/>
      <c r="CJ506" s="2635"/>
      <c r="CK506" s="2635">
        <v>62392</v>
      </c>
      <c r="CL506" s="2318">
        <v>71867</v>
      </c>
      <c r="CM506" s="2635">
        <v>71867</v>
      </c>
      <c r="CN506" s="2635">
        <v>71931</v>
      </c>
      <c r="CO506" s="2635">
        <v>72005</v>
      </c>
      <c r="CP506" s="2318">
        <v>72127</v>
      </c>
      <c r="CQ506" s="2635">
        <v>72282</v>
      </c>
      <c r="CR506" s="2635">
        <v>72566</v>
      </c>
      <c r="CS506" s="2635">
        <v>72843</v>
      </c>
      <c r="CT506" s="2318">
        <f t="shared" ref="CT506:CV509" si="2221">+CS506</f>
        <v>72843</v>
      </c>
      <c r="CU506" s="2635">
        <f t="shared" si="2221"/>
        <v>72843</v>
      </c>
      <c r="CV506" s="2635">
        <f t="shared" si="2221"/>
        <v>72843</v>
      </c>
      <c r="CW506" s="2314">
        <v>73097</v>
      </c>
      <c r="CX506" s="2635"/>
      <c r="CY506" s="2635"/>
      <c r="CZ506" s="2635"/>
      <c r="DA506" s="2313"/>
      <c r="DB506" s="2318"/>
      <c r="DC506" s="2635"/>
      <c r="DD506" s="2635"/>
      <c r="DE506" s="2635"/>
      <c r="DF506" s="2635"/>
      <c r="DG506" s="2635"/>
      <c r="DH506" s="2635"/>
      <c r="DI506" s="2635"/>
      <c r="DJ506" s="2635"/>
      <c r="DK506" s="2635"/>
      <c r="DL506" s="2635"/>
      <c r="DM506" s="2635"/>
      <c r="DN506" s="2635"/>
      <c r="DO506" s="2635"/>
      <c r="DP506" s="2635"/>
      <c r="DQ506" s="2635"/>
      <c r="DR506" s="2635"/>
      <c r="DS506" s="2635"/>
      <c r="DT506" s="2635"/>
      <c r="DU506" s="2635"/>
      <c r="DV506" s="2635"/>
      <c r="DW506" s="2635"/>
      <c r="DX506" s="2635"/>
      <c r="DY506" s="2637"/>
    </row>
    <row r="507" spans="1:129" hidden="1" outlineLevel="1">
      <c r="A507" s="2633" t="s">
        <v>113</v>
      </c>
      <c r="B507" s="2633"/>
      <c r="C507" s="2633"/>
      <c r="D507" s="2634"/>
      <c r="E507" s="2635"/>
      <c r="F507" s="2636"/>
      <c r="G507" s="2634"/>
      <c r="H507" s="2635"/>
      <c r="I507" s="2633"/>
      <c r="J507" s="2634"/>
      <c r="K507" s="2635"/>
      <c r="L507" s="2635"/>
      <c r="M507" s="2635"/>
      <c r="N507" s="2635"/>
      <c r="O507" s="2635">
        <f>+CG507</f>
        <v>0</v>
      </c>
      <c r="P507" s="2635">
        <f>+CK507</f>
        <v>955</v>
      </c>
      <c r="Q507" s="2635">
        <f>+CO507</f>
        <v>17303</v>
      </c>
      <c r="R507" s="2635">
        <f>+CS507</f>
        <v>17434</v>
      </c>
      <c r="S507" s="2313">
        <f>+CW507</f>
        <v>17528</v>
      </c>
      <c r="T507" s="2313">
        <v>17737</v>
      </c>
      <c r="U507" s="2635">
        <f t="shared" ref="U507:Z509" si="2222">+T507</f>
        <v>17737</v>
      </c>
      <c r="V507" s="2635">
        <f t="shared" si="2222"/>
        <v>17737</v>
      </c>
      <c r="W507" s="2635">
        <f t="shared" si="2222"/>
        <v>17737</v>
      </c>
      <c r="X507" s="2635">
        <f t="shared" si="2222"/>
        <v>17737</v>
      </c>
      <c r="Y507" s="2635">
        <f t="shared" si="2222"/>
        <v>17737</v>
      </c>
      <c r="Z507" s="2635">
        <f t="shared" si="2222"/>
        <v>17737</v>
      </c>
      <c r="AA507" s="2635">
        <f t="shared" si="2215"/>
        <v>17737</v>
      </c>
      <c r="AB507" s="2635">
        <f t="shared" si="2215"/>
        <v>17737</v>
      </c>
      <c r="AC507" s="2635">
        <f t="shared" si="2216"/>
        <v>17737</v>
      </c>
      <c r="AD507" s="2635">
        <f t="shared" si="2217"/>
        <v>17737</v>
      </c>
      <c r="AE507" s="2635">
        <f t="shared" si="2218"/>
        <v>17737</v>
      </c>
      <c r="AF507" s="2635">
        <f t="shared" si="2219"/>
        <v>17737</v>
      </c>
      <c r="AG507" s="2635">
        <f t="shared" si="2220"/>
        <v>17737</v>
      </c>
      <c r="AI507" s="1949"/>
      <c r="AK507" s="2635"/>
      <c r="AL507" s="2635"/>
      <c r="AM507" s="2635"/>
      <c r="AN507" s="2635"/>
      <c r="AO507" s="2635"/>
      <c r="AP507" s="2635"/>
      <c r="AQ507" s="2635"/>
      <c r="AR507" s="2635"/>
      <c r="AS507" s="2635"/>
      <c r="AT507" s="2635"/>
      <c r="AU507" s="2635"/>
      <c r="AV507" s="2635"/>
      <c r="AW507" s="2635"/>
      <c r="AX507" s="2635"/>
      <c r="AY507" s="2635"/>
      <c r="AZ507" s="2635"/>
      <c r="BA507" s="2635"/>
      <c r="BB507" s="2635"/>
      <c r="BC507" s="2635"/>
      <c r="BD507" s="2635"/>
      <c r="BE507" s="2635"/>
      <c r="BF507" s="2635"/>
      <c r="BG507" s="2635"/>
      <c r="BH507" s="2635"/>
      <c r="BI507" s="2635"/>
      <c r="BJ507" s="2635"/>
      <c r="BK507" s="2635"/>
      <c r="BL507" s="2635"/>
      <c r="BM507" s="2635"/>
      <c r="BN507" s="2635"/>
      <c r="BO507" s="2635"/>
      <c r="BP507" s="2634">
        <v>230</v>
      </c>
      <c r="BQ507" s="2635"/>
      <c r="BR507" s="2318"/>
      <c r="BS507" s="2635"/>
      <c r="BT507" s="2635"/>
      <c r="BU507" s="2635"/>
      <c r="BV507" s="2318"/>
      <c r="BW507" s="2635"/>
      <c r="BX507" s="2635"/>
      <c r="BY507" s="2635"/>
      <c r="BZ507" s="2318"/>
      <c r="CA507" s="2635"/>
      <c r="CB507" s="2635"/>
      <c r="CC507" s="2635"/>
      <c r="CD507" s="2318"/>
      <c r="CE507" s="2635"/>
      <c r="CF507" s="2635"/>
      <c r="CG507" s="2635"/>
      <c r="CH507" s="2318"/>
      <c r="CI507" s="2635"/>
      <c r="CJ507" s="2635"/>
      <c r="CK507" s="2635">
        <v>955</v>
      </c>
      <c r="CL507" s="2318">
        <f>+CK507</f>
        <v>955</v>
      </c>
      <c r="CM507" s="2635">
        <v>16990</v>
      </c>
      <c r="CN507" s="2635">
        <v>17028</v>
      </c>
      <c r="CO507" s="2635">
        <v>17303</v>
      </c>
      <c r="CP507" s="2318">
        <v>17303</v>
      </c>
      <c r="CQ507" s="2635">
        <v>17303</v>
      </c>
      <c r="CR507" s="2635">
        <v>17379</v>
      </c>
      <c r="CS507" s="2635">
        <v>17434</v>
      </c>
      <c r="CT507" s="2318">
        <f t="shared" si="2221"/>
        <v>17434</v>
      </c>
      <c r="CU507" s="2635">
        <f t="shared" si="2221"/>
        <v>17434</v>
      </c>
      <c r="CV507" s="2635">
        <f t="shared" si="2221"/>
        <v>17434</v>
      </c>
      <c r="CW507" s="2314">
        <v>17528</v>
      </c>
      <c r="CX507" s="2635"/>
      <c r="CY507" s="2635"/>
      <c r="CZ507" s="2635"/>
      <c r="DA507" s="2313"/>
      <c r="DB507" s="2318"/>
      <c r="DC507" s="2635"/>
      <c r="DD507" s="2635"/>
      <c r="DE507" s="2635"/>
      <c r="DF507" s="2635"/>
      <c r="DG507" s="2635"/>
      <c r="DH507" s="2635"/>
      <c r="DI507" s="2635"/>
      <c r="DJ507" s="2635"/>
      <c r="DK507" s="2635"/>
      <c r="DL507" s="2635"/>
      <c r="DM507" s="2635"/>
      <c r="DN507" s="2635"/>
      <c r="DO507" s="2635"/>
      <c r="DP507" s="2635"/>
      <c r="DQ507" s="2635"/>
      <c r="DR507" s="2635"/>
      <c r="DS507" s="2635"/>
      <c r="DT507" s="2635"/>
      <c r="DU507" s="2635"/>
      <c r="DV507" s="2635"/>
      <c r="DW507" s="2635"/>
      <c r="DX507" s="2635"/>
      <c r="DY507" s="2637"/>
    </row>
    <row r="508" spans="1:129" hidden="1" outlineLevel="1">
      <c r="A508" s="2633" t="s">
        <v>114</v>
      </c>
      <c r="B508" s="2633"/>
      <c r="C508" s="2633"/>
      <c r="D508" s="2634"/>
      <c r="E508" s="2635"/>
      <c r="F508" s="2636"/>
      <c r="G508" s="2634"/>
      <c r="H508" s="2635"/>
      <c r="I508" s="2633"/>
      <c r="J508" s="2634"/>
      <c r="K508" s="2635"/>
      <c r="L508" s="2635"/>
      <c r="M508" s="2635"/>
      <c r="N508" s="2635"/>
      <c r="O508" s="2635">
        <f>+CG508</f>
        <v>0</v>
      </c>
      <c r="P508" s="2635">
        <f>+CK508</f>
        <v>4781</v>
      </c>
      <c r="Q508" s="2635">
        <f>+CO508</f>
        <v>0</v>
      </c>
      <c r="R508" s="2635">
        <f>+CS508</f>
        <v>0</v>
      </c>
      <c r="S508" s="2313">
        <f>+CW508</f>
        <v>0</v>
      </c>
      <c r="T508" s="2313">
        <f>+S508</f>
        <v>0</v>
      </c>
      <c r="U508" s="2635">
        <f t="shared" si="2222"/>
        <v>0</v>
      </c>
      <c r="V508" s="2635">
        <f t="shared" si="2222"/>
        <v>0</v>
      </c>
      <c r="W508" s="2635">
        <f t="shared" si="2222"/>
        <v>0</v>
      </c>
      <c r="X508" s="2635">
        <f t="shared" si="2222"/>
        <v>0</v>
      </c>
      <c r="Y508" s="2635">
        <f t="shared" si="2222"/>
        <v>0</v>
      </c>
      <c r="Z508" s="2635">
        <f t="shared" si="2222"/>
        <v>0</v>
      </c>
      <c r="AA508" s="2635">
        <f t="shared" si="2215"/>
        <v>0</v>
      </c>
      <c r="AB508" s="2635">
        <f t="shared" si="2215"/>
        <v>0</v>
      </c>
      <c r="AC508" s="2635">
        <f t="shared" si="2216"/>
        <v>0</v>
      </c>
      <c r="AD508" s="2635">
        <f t="shared" si="2217"/>
        <v>0</v>
      </c>
      <c r="AE508" s="2635">
        <f t="shared" si="2218"/>
        <v>0</v>
      </c>
      <c r="AF508" s="2635">
        <f t="shared" si="2219"/>
        <v>0</v>
      </c>
      <c r="AG508" s="2635">
        <f t="shared" si="2220"/>
        <v>0</v>
      </c>
      <c r="AI508" s="1949"/>
      <c r="AK508" s="2635"/>
      <c r="AL508" s="2635"/>
      <c r="AM508" s="2635"/>
      <c r="AN508" s="2635"/>
      <c r="AO508" s="2635"/>
      <c r="AP508" s="2635"/>
      <c r="AQ508" s="2635"/>
      <c r="AR508" s="2635"/>
      <c r="AS508" s="2635"/>
      <c r="AT508" s="2635"/>
      <c r="AU508" s="2635"/>
      <c r="AV508" s="2635"/>
      <c r="AW508" s="2635"/>
      <c r="AX508" s="2635"/>
      <c r="AY508" s="2635"/>
      <c r="AZ508" s="2635"/>
      <c r="BA508" s="2635"/>
      <c r="BB508" s="2635"/>
      <c r="BC508" s="2635"/>
      <c r="BD508" s="2635"/>
      <c r="BE508" s="2635"/>
      <c r="BF508" s="2635"/>
      <c r="BG508" s="2635"/>
      <c r="BH508" s="2635"/>
      <c r="BI508" s="2635"/>
      <c r="BJ508" s="2635"/>
      <c r="BK508" s="2635"/>
      <c r="BL508" s="2635"/>
      <c r="BM508" s="2635"/>
      <c r="BN508" s="2635"/>
      <c r="BO508" s="2635"/>
      <c r="BP508" s="2634">
        <v>450</v>
      </c>
      <c r="BQ508" s="2635"/>
      <c r="BR508" s="2318"/>
      <c r="BS508" s="2635"/>
      <c r="BT508" s="2635"/>
      <c r="BU508" s="2635"/>
      <c r="BV508" s="2318"/>
      <c r="BW508" s="2635"/>
      <c r="BX508" s="2635"/>
      <c r="BY508" s="2635"/>
      <c r="BZ508" s="2318"/>
      <c r="CA508" s="2635"/>
      <c r="CB508" s="2635"/>
      <c r="CC508" s="2635"/>
      <c r="CD508" s="2318"/>
      <c r="CE508" s="2635"/>
      <c r="CF508" s="2635"/>
      <c r="CG508" s="2635"/>
      <c r="CH508" s="2318"/>
      <c r="CI508" s="2635"/>
      <c r="CJ508" s="2635"/>
      <c r="CK508" s="2635">
        <v>4781</v>
      </c>
      <c r="CL508" s="2318">
        <f>+CK508</f>
        <v>4781</v>
      </c>
      <c r="CM508" s="2635">
        <v>0</v>
      </c>
      <c r="CN508" s="2635">
        <f t="shared" ref="CN508:CS508" si="2223">+CM508</f>
        <v>0</v>
      </c>
      <c r="CO508" s="2635">
        <f t="shared" si="2223"/>
        <v>0</v>
      </c>
      <c r="CP508" s="2318">
        <f t="shared" si="2223"/>
        <v>0</v>
      </c>
      <c r="CQ508" s="2635">
        <f t="shared" si="2223"/>
        <v>0</v>
      </c>
      <c r="CR508" s="2635">
        <f t="shared" si="2223"/>
        <v>0</v>
      </c>
      <c r="CS508" s="2635">
        <f t="shared" si="2223"/>
        <v>0</v>
      </c>
      <c r="CT508" s="2318">
        <f t="shared" si="2221"/>
        <v>0</v>
      </c>
      <c r="CU508" s="2635">
        <f t="shared" si="2221"/>
        <v>0</v>
      </c>
      <c r="CV508" s="2635">
        <f t="shared" si="2221"/>
        <v>0</v>
      </c>
      <c r="CW508" s="2314">
        <f>+CV508</f>
        <v>0</v>
      </c>
      <c r="CX508" s="2635"/>
      <c r="CY508" s="2635"/>
      <c r="CZ508" s="2635"/>
      <c r="DA508" s="2313"/>
      <c r="DB508" s="2318"/>
      <c r="DC508" s="2635"/>
      <c r="DD508" s="2635"/>
      <c r="DE508" s="2635"/>
      <c r="DF508" s="2635"/>
      <c r="DG508" s="2635"/>
      <c r="DH508" s="2635"/>
      <c r="DI508" s="2635"/>
      <c r="DJ508" s="2635"/>
      <c r="DK508" s="2635"/>
      <c r="DL508" s="2635"/>
      <c r="DM508" s="2635"/>
      <c r="DN508" s="2635"/>
      <c r="DO508" s="2635"/>
      <c r="DP508" s="2635"/>
      <c r="DQ508" s="2635"/>
      <c r="DR508" s="2635"/>
      <c r="DS508" s="2635"/>
      <c r="DT508" s="2635"/>
      <c r="DU508" s="2635"/>
      <c r="DV508" s="2635"/>
      <c r="DW508" s="2635"/>
      <c r="DX508" s="2635"/>
      <c r="DY508" s="2637"/>
    </row>
    <row r="509" spans="1:129" hidden="1" outlineLevel="1">
      <c r="A509" s="2633" t="s">
        <v>955</v>
      </c>
      <c r="B509" s="2633"/>
      <c r="C509" s="2633"/>
      <c r="D509" s="2634"/>
      <c r="E509" s="2635"/>
      <c r="F509" s="2636"/>
      <c r="G509" s="2634"/>
      <c r="H509" s="2635"/>
      <c r="I509" s="2633"/>
      <c r="J509" s="2634"/>
      <c r="K509" s="2635"/>
      <c r="L509" s="2635"/>
      <c r="M509" s="2635"/>
      <c r="N509" s="2635"/>
      <c r="O509" s="2635">
        <f>+CG509</f>
        <v>563</v>
      </c>
      <c r="P509" s="2635">
        <f>+CK509</f>
        <v>987</v>
      </c>
      <c r="Q509" s="2635">
        <f>+CO509</f>
        <v>3100</v>
      </c>
      <c r="R509" s="2635">
        <f>+CS509</f>
        <v>2370</v>
      </c>
      <c r="S509" s="2313">
        <f>+CW509</f>
        <v>2171</v>
      </c>
      <c r="T509" s="2313">
        <v>2102</v>
      </c>
      <c r="U509" s="2635">
        <f t="shared" si="2222"/>
        <v>2102</v>
      </c>
      <c r="V509" s="2635">
        <f t="shared" si="2222"/>
        <v>2102</v>
      </c>
      <c r="W509" s="2635">
        <f t="shared" si="2222"/>
        <v>2102</v>
      </c>
      <c r="X509" s="2635">
        <f t="shared" si="2222"/>
        <v>2102</v>
      </c>
      <c r="Y509" s="2635">
        <f t="shared" si="2222"/>
        <v>2102</v>
      </c>
      <c r="Z509" s="2635">
        <f t="shared" si="2222"/>
        <v>2102</v>
      </c>
      <c r="AA509" s="2635">
        <f t="shared" si="2215"/>
        <v>2102</v>
      </c>
      <c r="AB509" s="2635">
        <f t="shared" si="2215"/>
        <v>2102</v>
      </c>
      <c r="AC509" s="2635">
        <f t="shared" si="2216"/>
        <v>2102</v>
      </c>
      <c r="AD509" s="2635">
        <f t="shared" si="2217"/>
        <v>2102</v>
      </c>
      <c r="AE509" s="2635">
        <f t="shared" si="2218"/>
        <v>2102</v>
      </c>
      <c r="AF509" s="2635">
        <f t="shared" si="2219"/>
        <v>2102</v>
      </c>
      <c r="AG509" s="2635">
        <f t="shared" si="2220"/>
        <v>2102</v>
      </c>
      <c r="AI509" s="1949"/>
      <c r="AK509" s="2635"/>
      <c r="AL509" s="2635"/>
      <c r="AM509" s="2635"/>
      <c r="AN509" s="2635"/>
      <c r="AO509" s="2635"/>
      <c r="AP509" s="2635"/>
      <c r="AQ509" s="2635"/>
      <c r="AR509" s="2635"/>
      <c r="AS509" s="2635"/>
      <c r="AT509" s="2635"/>
      <c r="AU509" s="2635"/>
      <c r="AV509" s="2635"/>
      <c r="AW509" s="2635"/>
      <c r="AX509" s="2635"/>
      <c r="AY509" s="2635"/>
      <c r="AZ509" s="2635"/>
      <c r="BA509" s="2635"/>
      <c r="BB509" s="2635"/>
      <c r="BC509" s="2635"/>
      <c r="BD509" s="2635"/>
      <c r="BE509" s="2635"/>
      <c r="BF509" s="2635"/>
      <c r="BG509" s="2635"/>
      <c r="BH509" s="2635"/>
      <c r="BI509" s="2635"/>
      <c r="BJ509" s="2635"/>
      <c r="BK509" s="2635"/>
      <c r="BL509" s="2635"/>
      <c r="BM509" s="2635"/>
      <c r="BN509" s="2635"/>
      <c r="BO509" s="2635"/>
      <c r="BP509" s="2634">
        <v>64520</v>
      </c>
      <c r="BQ509" s="2635"/>
      <c r="BR509" s="2318"/>
      <c r="BS509" s="2635"/>
      <c r="BT509" s="2635"/>
      <c r="BU509" s="2635"/>
      <c r="BV509" s="2318"/>
      <c r="BW509" s="2635"/>
      <c r="BX509" s="2635"/>
      <c r="BY509" s="2635"/>
      <c r="BZ509" s="2318"/>
      <c r="CA509" s="2635"/>
      <c r="CB509" s="2635"/>
      <c r="CC509" s="2635"/>
      <c r="CD509" s="2318"/>
      <c r="CE509" s="2635"/>
      <c r="CF509" s="2635"/>
      <c r="CG509" s="2635">
        <v>563</v>
      </c>
      <c r="CH509" s="2318"/>
      <c r="CI509" s="2635"/>
      <c r="CJ509" s="2635"/>
      <c r="CK509" s="2635">
        <v>987</v>
      </c>
      <c r="CL509" s="2318">
        <f>+CK509</f>
        <v>987</v>
      </c>
      <c r="CM509" s="2635">
        <v>3589</v>
      </c>
      <c r="CN509" s="2635">
        <v>3287</v>
      </c>
      <c r="CO509" s="2635">
        <v>3100</v>
      </c>
      <c r="CP509" s="2318">
        <v>2802</v>
      </c>
      <c r="CQ509" s="2635">
        <v>2520</v>
      </c>
      <c r="CR509" s="2635">
        <v>2529</v>
      </c>
      <c r="CS509" s="2635">
        <v>2370</v>
      </c>
      <c r="CT509" s="2318">
        <f t="shared" si="2221"/>
        <v>2370</v>
      </c>
      <c r="CU509" s="2635">
        <f t="shared" si="2221"/>
        <v>2370</v>
      </c>
      <c r="CV509" s="2635">
        <f t="shared" si="2221"/>
        <v>2370</v>
      </c>
      <c r="CW509" s="2314">
        <v>2171</v>
      </c>
      <c r="CX509" s="2635"/>
      <c r="CY509" s="2635"/>
      <c r="CZ509" s="2635"/>
      <c r="DA509" s="2313"/>
      <c r="DB509" s="2318"/>
      <c r="DC509" s="2635"/>
      <c r="DD509" s="2635"/>
      <c r="DE509" s="2635"/>
      <c r="DF509" s="2635"/>
      <c r="DG509" s="2635"/>
      <c r="DH509" s="2635"/>
      <c r="DI509" s="2635"/>
      <c r="DJ509" s="2635"/>
      <c r="DK509" s="2635"/>
      <c r="DL509" s="2635"/>
      <c r="DM509" s="2635"/>
      <c r="DN509" s="2635"/>
      <c r="DO509" s="2635"/>
      <c r="DP509" s="2635"/>
      <c r="DQ509" s="2635"/>
      <c r="DR509" s="2635"/>
      <c r="DS509" s="2635"/>
      <c r="DT509" s="2635"/>
      <c r="DU509" s="2635"/>
      <c r="DV509" s="2635"/>
      <c r="DW509" s="2635"/>
      <c r="DX509" s="2635"/>
      <c r="DY509" s="2637"/>
    </row>
    <row r="510" spans="1:129" hidden="1" outlineLevel="1">
      <c r="A510" s="2638" t="s">
        <v>115</v>
      </c>
      <c r="B510" s="2638"/>
      <c r="C510" s="2638"/>
      <c r="D510" s="2639"/>
      <c r="E510" s="2640"/>
      <c r="F510" s="2641"/>
      <c r="G510" s="2639"/>
      <c r="H510" s="2640"/>
      <c r="I510" s="2638"/>
      <c r="J510" s="2639"/>
      <c r="K510" s="2640"/>
      <c r="L510" s="2640"/>
      <c r="M510" s="2640"/>
      <c r="N510" s="2640"/>
      <c r="O510" s="2640">
        <f t="shared" ref="O510:V510" si="2224">SUM(O505:O509)+O504</f>
        <v>83993</v>
      </c>
      <c r="P510" s="2640">
        <f t="shared" si="2224"/>
        <v>111876</v>
      </c>
      <c r="Q510" s="2640">
        <f t="shared" ca="1" si="2224"/>
        <v>134352</v>
      </c>
      <c r="R510" s="2640">
        <f t="shared" ca="1" si="2224"/>
        <v>137906.40763598325</v>
      </c>
      <c r="S510" s="2303">
        <f t="shared" si="2224"/>
        <v>146532</v>
      </c>
      <c r="T510" s="2303">
        <f t="shared" si="2224"/>
        <v>141713</v>
      </c>
      <c r="U510" s="2640" t="e">
        <f t="shared" si="2224"/>
        <v>#REF!</v>
      </c>
      <c r="V510" s="2640" t="e">
        <f t="shared" si="2224"/>
        <v>#REF!</v>
      </c>
      <c r="W510" s="2640" t="e">
        <f t="shared" ref="W510:AB510" si="2225">SUM(W505:W509)+W504</f>
        <v>#REF!</v>
      </c>
      <c r="X510" s="2640" t="e">
        <f t="shared" si="2225"/>
        <v>#REF!</v>
      </c>
      <c r="Y510" s="2640" t="e">
        <f t="shared" si="2225"/>
        <v>#REF!</v>
      </c>
      <c r="Z510" s="2640" t="e">
        <f t="shared" ca="1" si="2225"/>
        <v>#REF!</v>
      </c>
      <c r="AA510" s="2640" t="e">
        <f t="shared" ca="1" si="2225"/>
        <v>#REF!</v>
      </c>
      <c r="AB510" s="2640" t="e">
        <f t="shared" ca="1" si="2225"/>
        <v>#REF!</v>
      </c>
      <c r="AC510" s="2640" t="e">
        <f t="shared" ref="AC510:AG510" ca="1" si="2226">SUM(AC505:AC509)+AC504</f>
        <v>#REF!</v>
      </c>
      <c r="AD510" s="2640" t="e">
        <f t="shared" ca="1" si="2226"/>
        <v>#REF!</v>
      </c>
      <c r="AE510" s="2640" t="e">
        <f t="shared" ca="1" si="2226"/>
        <v>#REF!</v>
      </c>
      <c r="AF510" s="2640" t="e">
        <f t="shared" ca="1" si="2226"/>
        <v>#REF!</v>
      </c>
      <c r="AG510" s="2640" t="e">
        <f t="shared" ca="1" si="2226"/>
        <v>#REF!</v>
      </c>
      <c r="AI510" s="1949"/>
      <c r="AK510" s="2640"/>
      <c r="AL510" s="2640"/>
      <c r="AM510" s="2640"/>
      <c r="AN510" s="2640"/>
      <c r="AO510" s="2640"/>
      <c r="AP510" s="2640"/>
      <c r="AQ510" s="2640"/>
      <c r="AR510" s="2640"/>
      <c r="AS510" s="2640"/>
      <c r="AT510" s="2640"/>
      <c r="AU510" s="2640"/>
      <c r="AV510" s="2640"/>
      <c r="AW510" s="2640"/>
      <c r="AX510" s="2640"/>
      <c r="AY510" s="2640"/>
      <c r="AZ510" s="2640"/>
      <c r="BA510" s="2640"/>
      <c r="BB510" s="2640"/>
      <c r="BC510" s="2640"/>
      <c r="BD510" s="2640"/>
      <c r="BE510" s="2640"/>
      <c r="BF510" s="2640"/>
      <c r="BG510" s="2640"/>
      <c r="BH510" s="2640"/>
      <c r="BI510" s="2640"/>
      <c r="BJ510" s="2640"/>
      <c r="BK510" s="2640"/>
      <c r="BL510" s="2640"/>
      <c r="BM510" s="2640"/>
      <c r="BN510" s="2640"/>
      <c r="BO510" s="2640"/>
      <c r="BP510" s="2641"/>
      <c r="BQ510" s="2640"/>
      <c r="BR510" s="2642"/>
      <c r="BS510" s="2640"/>
      <c r="BT510" s="2640"/>
      <c r="BU510" s="2640"/>
      <c r="BV510" s="2642"/>
      <c r="BW510" s="2640"/>
      <c r="BX510" s="2640"/>
      <c r="BY510" s="2640"/>
      <c r="BZ510" s="2642"/>
      <c r="CA510" s="2640"/>
      <c r="CB510" s="2640"/>
      <c r="CC510" s="2640"/>
      <c r="CD510" s="2642"/>
      <c r="CE510" s="2640"/>
      <c r="CF510" s="2640"/>
      <c r="CG510" s="2640">
        <f>SUM(CG505:CG509)+CG504</f>
        <v>83993</v>
      </c>
      <c r="CH510" s="2642">
        <v>85149</v>
      </c>
      <c r="CI510" s="2640"/>
      <c r="CJ510" s="2640"/>
      <c r="CK510" s="2640">
        <f>SUM(CK505:CK509)+CK504</f>
        <v>111876</v>
      </c>
      <c r="CL510" s="2642">
        <v>134239</v>
      </c>
      <c r="CM510" s="2640">
        <f t="shared" ref="CM510:CW510" ca="1" si="2227">SUM(CM505:CM509)+CM504</f>
        <v>133860</v>
      </c>
      <c r="CN510" s="2640">
        <f t="shared" ca="1" si="2227"/>
        <v>133921</v>
      </c>
      <c r="CO510" s="2640">
        <f t="shared" ca="1" si="2227"/>
        <v>134352</v>
      </c>
      <c r="CP510" s="2642">
        <f t="shared" ca="1" si="2227"/>
        <v>133940</v>
      </c>
      <c r="CQ510" s="2640">
        <f t="shared" ca="1" si="2227"/>
        <v>132049</v>
      </c>
      <c r="CR510" s="2640">
        <f t="shared" ca="1" si="2227"/>
        <v>134322</v>
      </c>
      <c r="CS510" s="2640">
        <f t="shared" ca="1" si="2227"/>
        <v>137906.40763598325</v>
      </c>
      <c r="CT510" s="2642">
        <f t="shared" ca="1" si="2227"/>
        <v>141840.47615062763</v>
      </c>
      <c r="CU510" s="2640">
        <f t="shared" ca="1" si="2227"/>
        <v>140092.46763598325</v>
      </c>
      <c r="CV510" s="2640">
        <f t="shared" ca="1" si="2227"/>
        <v>143961.8448582055</v>
      </c>
      <c r="CW510" s="2304">
        <f t="shared" si="2227"/>
        <v>146532</v>
      </c>
      <c r="CX510" s="2635"/>
      <c r="CY510" s="2635"/>
      <c r="CZ510" s="2635"/>
      <c r="DA510" s="2303"/>
      <c r="DB510" s="2642"/>
      <c r="DC510" s="2640"/>
      <c r="DD510" s="2640"/>
      <c r="DE510" s="2640"/>
      <c r="DF510" s="2640"/>
      <c r="DG510" s="2640"/>
      <c r="DH510" s="2640"/>
      <c r="DI510" s="2640"/>
      <c r="DJ510" s="2640"/>
      <c r="DK510" s="2640"/>
      <c r="DL510" s="2640"/>
      <c r="DM510" s="2640"/>
      <c r="DN510" s="2640"/>
      <c r="DO510" s="2640"/>
      <c r="DP510" s="2640"/>
      <c r="DQ510" s="2640"/>
      <c r="DR510" s="2640"/>
      <c r="DS510" s="2640"/>
      <c r="DT510" s="2640"/>
      <c r="DU510" s="2640"/>
      <c r="DV510" s="2640"/>
      <c r="DW510" s="2640"/>
      <c r="DX510" s="2640"/>
      <c r="DY510" s="2643"/>
    </row>
    <row r="511" spans="1:129" hidden="1" outlineLevel="1">
      <c r="A511" s="2638"/>
      <c r="B511" s="2638"/>
      <c r="C511" s="2638"/>
      <c r="D511" s="2639"/>
      <c r="E511" s="2640"/>
      <c r="F511" s="2641"/>
      <c r="G511" s="2639"/>
      <c r="H511" s="2640"/>
      <c r="I511" s="2638"/>
      <c r="J511" s="2639"/>
      <c r="K511" s="2640"/>
      <c r="L511" s="2640"/>
      <c r="M511" s="2640"/>
      <c r="N511" s="2640"/>
      <c r="O511" s="2635"/>
      <c r="P511" s="2635"/>
      <c r="Q511" s="2635"/>
      <c r="R511" s="2635"/>
      <c r="S511" s="2303"/>
      <c r="T511" s="2303"/>
      <c r="U511" s="2640"/>
      <c r="V511" s="2640"/>
      <c r="W511" s="2640"/>
      <c r="X511" s="2640"/>
      <c r="Y511" s="2640"/>
      <c r="Z511" s="2640"/>
      <c r="AA511" s="2640"/>
      <c r="AB511" s="2640"/>
      <c r="AC511" s="2640"/>
      <c r="AD511" s="2640"/>
      <c r="AE511" s="2640"/>
      <c r="AF511" s="2640"/>
      <c r="AG511" s="2640"/>
      <c r="AI511" s="1949"/>
      <c r="AK511" s="2640"/>
      <c r="AL511" s="2640"/>
      <c r="AM511" s="2635"/>
      <c r="AN511" s="2640"/>
      <c r="AO511" s="2640"/>
      <c r="AP511" s="2640"/>
      <c r="AQ511" s="2640"/>
      <c r="AR511" s="2640"/>
      <c r="AS511" s="2640"/>
      <c r="AT511" s="2640"/>
      <c r="AU511" s="2640"/>
      <c r="AV511" s="2640"/>
      <c r="AW511" s="2640"/>
      <c r="AX511" s="2640"/>
      <c r="AY511" s="2640"/>
      <c r="AZ511" s="2640"/>
      <c r="BA511" s="2640"/>
      <c r="BB511" s="2640"/>
      <c r="BC511" s="2640"/>
      <c r="BD511" s="2640"/>
      <c r="BE511" s="2640"/>
      <c r="BF511" s="2640"/>
      <c r="BG511" s="2640"/>
      <c r="BH511" s="2640"/>
      <c r="BI511" s="2640"/>
      <c r="BJ511" s="2640"/>
      <c r="BK511" s="2640"/>
      <c r="BL511" s="2640"/>
      <c r="BM511" s="2640"/>
      <c r="BN511" s="2640"/>
      <c r="BO511" s="2640"/>
      <c r="BP511" s="2641"/>
      <c r="BQ511" s="2640"/>
      <c r="BR511" s="2642"/>
      <c r="BS511" s="2640"/>
      <c r="BT511" s="2640"/>
      <c r="BU511" s="2640"/>
      <c r="BV511" s="2642"/>
      <c r="BW511" s="2640"/>
      <c r="BX511" s="2640"/>
      <c r="BY511" s="2640"/>
      <c r="BZ511" s="2642"/>
      <c r="CA511" s="2640"/>
      <c r="CB511" s="2640"/>
      <c r="CC511" s="2640"/>
      <c r="CD511" s="2642"/>
      <c r="CE511" s="2640"/>
      <c r="CF511" s="2640"/>
      <c r="CG511" s="2640"/>
      <c r="CH511" s="2642"/>
      <c r="CI511" s="2640"/>
      <c r="CJ511" s="2640"/>
      <c r="CK511" s="2640"/>
      <c r="CL511" s="2642"/>
      <c r="CM511" s="2640"/>
      <c r="CN511" s="2640"/>
      <c r="CO511" s="2640"/>
      <c r="CP511" s="2642"/>
      <c r="CQ511" s="2640"/>
      <c r="CR511" s="2640"/>
      <c r="CS511" s="2640"/>
      <c r="CT511" s="2642"/>
      <c r="CU511" s="2640"/>
      <c r="CV511" s="2640"/>
      <c r="CW511" s="2304"/>
      <c r="CX511" s="2635"/>
      <c r="CY511" s="2635"/>
      <c r="CZ511" s="2635"/>
      <c r="DA511" s="2303"/>
      <c r="DB511" s="2642"/>
      <c r="DC511" s="2640"/>
      <c r="DD511" s="2640"/>
      <c r="DE511" s="2640"/>
      <c r="DF511" s="2640"/>
      <c r="DG511" s="2640"/>
      <c r="DH511" s="2640"/>
      <c r="DI511" s="2640"/>
      <c r="DJ511" s="2640"/>
      <c r="DK511" s="2640"/>
      <c r="DL511" s="2640"/>
      <c r="DM511" s="2640"/>
      <c r="DN511" s="2640"/>
      <c r="DO511" s="2640"/>
      <c r="DP511" s="2640"/>
      <c r="DQ511" s="2640"/>
      <c r="DR511" s="2640"/>
      <c r="DS511" s="2640"/>
      <c r="DT511" s="2640"/>
      <c r="DU511" s="2640"/>
      <c r="DV511" s="2640"/>
      <c r="DW511" s="2640"/>
      <c r="DX511" s="2640"/>
      <c r="DY511" s="2643"/>
    </row>
    <row r="512" spans="1:129" hidden="1" outlineLevel="1">
      <c r="A512" s="2638" t="s">
        <v>116</v>
      </c>
      <c r="B512" s="2638"/>
      <c r="C512" s="2638"/>
      <c r="D512" s="2641"/>
      <c r="E512" s="2640"/>
      <c r="F512" s="2641"/>
      <c r="G512" s="2641"/>
      <c r="H512" s="2640"/>
      <c r="I512" s="2640"/>
      <c r="J512" s="2641"/>
      <c r="K512" s="2640"/>
      <c r="L512" s="2640"/>
      <c r="M512" s="2640"/>
      <c r="N512" s="2640"/>
      <c r="O512" s="2640"/>
      <c r="P512" s="2640"/>
      <c r="Q512" s="2640"/>
      <c r="R512" s="2640"/>
      <c r="S512" s="2303"/>
      <c r="T512" s="2303"/>
      <c r="U512" s="2640"/>
      <c r="V512" s="2640"/>
      <c r="W512" s="2640"/>
      <c r="X512" s="2640"/>
      <c r="Y512" s="2640"/>
      <c r="Z512" s="2640"/>
      <c r="AA512" s="2640"/>
      <c r="AB512" s="2640"/>
      <c r="AC512" s="2640"/>
      <c r="AD512" s="2640"/>
      <c r="AE512" s="2640"/>
      <c r="AF512" s="2640"/>
      <c r="AG512" s="2640"/>
      <c r="AI512" s="1949"/>
      <c r="AK512" s="2640"/>
      <c r="AL512" s="2640"/>
      <c r="AM512" s="2640"/>
      <c r="AN512" s="2640"/>
      <c r="AO512" s="2640"/>
      <c r="AP512" s="2640"/>
      <c r="AQ512" s="2640"/>
      <c r="AR512" s="2640"/>
      <c r="AS512" s="2640"/>
      <c r="AT512" s="2640"/>
      <c r="AU512" s="2640"/>
      <c r="AV512" s="2640"/>
      <c r="AW512" s="2640"/>
      <c r="AX512" s="2640"/>
      <c r="AY512" s="2640"/>
      <c r="AZ512" s="2640"/>
      <c r="BA512" s="2640"/>
      <c r="BB512" s="2640"/>
      <c r="BC512" s="2640"/>
      <c r="BD512" s="2640"/>
      <c r="BE512" s="2640"/>
      <c r="BF512" s="2640"/>
      <c r="BG512" s="2640"/>
      <c r="BH512" s="2640"/>
      <c r="BI512" s="2640"/>
      <c r="BJ512" s="2640"/>
      <c r="BK512" s="2640"/>
      <c r="BL512" s="2640"/>
      <c r="BM512" s="2640"/>
      <c r="BN512" s="2640"/>
      <c r="BO512" s="2640"/>
      <c r="BP512" s="2641"/>
      <c r="BQ512" s="2640"/>
      <c r="BR512" s="2642"/>
      <c r="BS512" s="2640"/>
      <c r="BT512" s="2640"/>
      <c r="BU512" s="2640"/>
      <c r="BV512" s="2642"/>
      <c r="BW512" s="2640"/>
      <c r="BX512" s="2640"/>
      <c r="BY512" s="2640"/>
      <c r="BZ512" s="2642"/>
      <c r="CA512" s="2640"/>
      <c r="CB512" s="2640"/>
      <c r="CC512" s="2640"/>
      <c r="CD512" s="2642"/>
      <c r="CE512" s="2640"/>
      <c r="CF512" s="2640"/>
      <c r="CG512" s="2640"/>
      <c r="CH512" s="2642"/>
      <c r="CI512" s="2640"/>
      <c r="CJ512" s="2640"/>
      <c r="CK512" s="2640"/>
      <c r="CL512" s="2642"/>
      <c r="CM512" s="2640"/>
      <c r="CN512" s="2640"/>
      <c r="CO512" s="2640"/>
      <c r="CP512" s="2642"/>
      <c r="CQ512" s="2640"/>
      <c r="CR512" s="2640"/>
      <c r="CS512" s="2640"/>
      <c r="CT512" s="2642"/>
      <c r="CU512" s="2640"/>
      <c r="CV512" s="2640"/>
      <c r="CW512" s="2304"/>
      <c r="CX512" s="2635"/>
      <c r="CY512" s="2635"/>
      <c r="CZ512" s="2635"/>
      <c r="DA512" s="2303"/>
      <c r="DB512" s="2642"/>
      <c r="DC512" s="2640"/>
      <c r="DD512" s="2640"/>
      <c r="DE512" s="2640"/>
      <c r="DF512" s="2640"/>
      <c r="DG512" s="2640"/>
      <c r="DH512" s="2640"/>
      <c r="DI512" s="2640"/>
      <c r="DJ512" s="2640"/>
      <c r="DK512" s="2640"/>
      <c r="DL512" s="2640"/>
      <c r="DM512" s="2640"/>
      <c r="DN512" s="2640"/>
      <c r="DO512" s="2640"/>
      <c r="DP512" s="2640"/>
      <c r="DQ512" s="2640"/>
      <c r="DR512" s="2640"/>
      <c r="DS512" s="2640"/>
      <c r="DT512" s="2640"/>
      <c r="DU512" s="2640"/>
      <c r="DV512" s="2640"/>
      <c r="DW512" s="2640"/>
      <c r="DX512" s="2640"/>
      <c r="DY512" s="2643"/>
    </row>
    <row r="513" spans="1:129" hidden="1" outlineLevel="1">
      <c r="A513" s="2633" t="s">
        <v>117</v>
      </c>
      <c r="B513" s="2633"/>
      <c r="C513" s="2633"/>
      <c r="D513" s="2636"/>
      <c r="E513" s="2635"/>
      <c r="F513" s="2636"/>
      <c r="G513" s="2636"/>
      <c r="H513" s="2635"/>
      <c r="I513" s="2635"/>
      <c r="J513" s="2636"/>
      <c r="K513" s="2635"/>
      <c r="L513" s="2635"/>
      <c r="M513" s="2635"/>
      <c r="N513" s="2635"/>
      <c r="O513" s="2635"/>
      <c r="P513" s="2635"/>
      <c r="Q513" s="2635"/>
      <c r="R513" s="2635"/>
      <c r="S513" s="2313"/>
      <c r="T513" s="2313"/>
      <c r="U513" s="2635"/>
      <c r="V513" s="2635"/>
      <c r="W513" s="2635"/>
      <c r="X513" s="2635"/>
      <c r="Y513" s="2635"/>
      <c r="Z513" s="2635"/>
      <c r="AA513" s="2635"/>
      <c r="AB513" s="2635"/>
      <c r="AC513" s="2635"/>
      <c r="AD513" s="2635"/>
      <c r="AE513" s="2635"/>
      <c r="AF513" s="2635"/>
      <c r="AG513" s="2635"/>
      <c r="AI513" s="1949"/>
      <c r="AK513" s="2635"/>
      <c r="AL513" s="2635"/>
      <c r="AM513" s="2635"/>
      <c r="AN513" s="2635"/>
      <c r="AO513" s="2635"/>
      <c r="AP513" s="2635"/>
      <c r="AQ513" s="2635"/>
      <c r="AR513" s="2635"/>
      <c r="AS513" s="2635"/>
      <c r="AT513" s="2635"/>
      <c r="AU513" s="2635"/>
      <c r="AV513" s="2635"/>
      <c r="AW513" s="2635"/>
      <c r="AX513" s="2635"/>
      <c r="AY513" s="2635"/>
      <c r="AZ513" s="2635"/>
      <c r="BA513" s="2635"/>
      <c r="BB513" s="2635"/>
      <c r="BC513" s="2635"/>
      <c r="BD513" s="2635"/>
      <c r="BE513" s="2635"/>
      <c r="BF513" s="2635"/>
      <c r="BG513" s="2635"/>
      <c r="BH513" s="2635"/>
      <c r="BI513" s="2635"/>
      <c r="BJ513" s="2635"/>
      <c r="BK513" s="2635"/>
      <c r="BL513" s="2635"/>
      <c r="BM513" s="2635"/>
      <c r="BN513" s="2635"/>
      <c r="BO513" s="2635"/>
      <c r="BP513" s="2634">
        <v>1580</v>
      </c>
      <c r="BQ513" s="2635"/>
      <c r="BR513" s="2318"/>
      <c r="BS513" s="2635"/>
      <c r="BT513" s="2635"/>
      <c r="BU513" s="2635"/>
      <c r="BV513" s="2318"/>
      <c r="BW513" s="2635"/>
      <c r="BX513" s="2635"/>
      <c r="BY513" s="2635"/>
      <c r="BZ513" s="2318"/>
      <c r="CA513" s="2635"/>
      <c r="CB513" s="2635"/>
      <c r="CC513" s="2635"/>
      <c r="CD513" s="2318"/>
      <c r="CE513" s="2635"/>
      <c r="CF513" s="2635"/>
      <c r="CG513" s="2635"/>
      <c r="CH513" s="2318"/>
      <c r="CI513" s="2635"/>
      <c r="CJ513" s="2635"/>
      <c r="CK513" s="2635"/>
      <c r="CL513" s="2318"/>
      <c r="CM513" s="2635"/>
      <c r="CN513" s="2635"/>
      <c r="CO513" s="2635"/>
      <c r="CP513" s="2318"/>
      <c r="CQ513" s="2635"/>
      <c r="CR513" s="2635"/>
      <c r="CS513" s="2635"/>
      <c r="CT513" s="2318"/>
      <c r="CU513" s="2635"/>
      <c r="CV513" s="2635"/>
      <c r="CW513" s="2314"/>
      <c r="CX513" s="2635"/>
      <c r="CY513" s="2635"/>
      <c r="CZ513" s="2635"/>
      <c r="DA513" s="2313"/>
      <c r="DB513" s="2318"/>
      <c r="DC513" s="2635"/>
      <c r="DD513" s="2635"/>
      <c r="DE513" s="2635"/>
      <c r="DF513" s="2635"/>
      <c r="DG513" s="2635"/>
      <c r="DH513" s="2635"/>
      <c r="DI513" s="2635"/>
      <c r="DJ513" s="2635"/>
      <c r="DK513" s="2635"/>
      <c r="DL513" s="2635"/>
      <c r="DM513" s="2635"/>
      <c r="DN513" s="2635"/>
      <c r="DO513" s="2635"/>
      <c r="DP513" s="2635"/>
      <c r="DQ513" s="2635"/>
      <c r="DR513" s="2635"/>
      <c r="DS513" s="2635"/>
      <c r="DT513" s="2635"/>
      <c r="DU513" s="2635"/>
      <c r="DV513" s="2635"/>
      <c r="DW513" s="2635"/>
      <c r="DX513" s="2635"/>
      <c r="DY513" s="2637"/>
    </row>
    <row r="514" spans="1:129" hidden="1" outlineLevel="1">
      <c r="A514" s="2636" t="s">
        <v>118</v>
      </c>
      <c r="B514" s="2636"/>
      <c r="C514" s="2636"/>
      <c r="D514" s="2636"/>
      <c r="E514" s="2636"/>
      <c r="F514" s="2636"/>
      <c r="G514" s="2634"/>
      <c r="H514" s="2635"/>
      <c r="I514" s="2633"/>
      <c r="J514" s="2634"/>
      <c r="K514" s="2635"/>
      <c r="L514" s="2635"/>
      <c r="M514" s="2635"/>
      <c r="N514" s="2635"/>
      <c r="O514" s="2635">
        <f>+CG514</f>
        <v>0</v>
      </c>
      <c r="P514" s="2635">
        <f t="shared" ref="P514:P523" si="2228">+CK514</f>
        <v>444</v>
      </c>
      <c r="Q514" s="2635">
        <f>+CO514</f>
        <v>0</v>
      </c>
      <c r="R514" s="2635">
        <f>+CS514</f>
        <v>0</v>
      </c>
      <c r="S514" s="2313">
        <f>+CW514</f>
        <v>1553</v>
      </c>
      <c r="T514" s="2313">
        <v>1448</v>
      </c>
      <c r="U514" s="2635">
        <f t="shared" ref="U514:Z514" si="2229">T514</f>
        <v>1448</v>
      </c>
      <c r="V514" s="2635">
        <f t="shared" si="2229"/>
        <v>1448</v>
      </c>
      <c r="W514" s="2635">
        <f t="shared" si="2229"/>
        <v>1448</v>
      </c>
      <c r="X514" s="2635">
        <f t="shared" si="2229"/>
        <v>1448</v>
      </c>
      <c r="Y514" s="2635">
        <f t="shared" si="2229"/>
        <v>1448</v>
      </c>
      <c r="Z514" s="2635">
        <f t="shared" si="2229"/>
        <v>1448</v>
      </c>
      <c r="AA514" s="2635">
        <v>0</v>
      </c>
      <c r="AB514" s="2635">
        <v>0</v>
      </c>
      <c r="AC514" s="2635">
        <v>0</v>
      </c>
      <c r="AD514" s="2635">
        <v>0</v>
      </c>
      <c r="AE514" s="2635">
        <v>0</v>
      </c>
      <c r="AF514" s="2635">
        <v>0</v>
      </c>
      <c r="AG514" s="2635">
        <v>0</v>
      </c>
      <c r="AI514" s="1949"/>
      <c r="AK514" s="2635"/>
      <c r="AL514" s="2635"/>
      <c r="AM514" s="2635"/>
      <c r="AN514" s="2635"/>
      <c r="AO514" s="2635"/>
      <c r="AP514" s="2635"/>
      <c r="AQ514" s="2635"/>
      <c r="AR514" s="2635"/>
      <c r="AS514" s="2635"/>
      <c r="AT514" s="2635"/>
      <c r="AU514" s="2635"/>
      <c r="AV514" s="2635"/>
      <c r="AW514" s="2635"/>
      <c r="AX514" s="2635"/>
      <c r="AY514" s="2635"/>
      <c r="AZ514" s="2635"/>
      <c r="BA514" s="2635"/>
      <c r="BB514" s="2635"/>
      <c r="BC514" s="2635"/>
      <c r="BD514" s="2635"/>
      <c r="BE514" s="2635"/>
      <c r="BF514" s="2635"/>
      <c r="BG514" s="2635"/>
      <c r="BH514" s="2635"/>
      <c r="BI514" s="2635"/>
      <c r="BJ514" s="2635"/>
      <c r="BK514" s="2635"/>
      <c r="BL514" s="2635"/>
      <c r="BM514" s="2635"/>
      <c r="BN514" s="2635"/>
      <c r="BO514" s="2635"/>
      <c r="BP514" s="2634">
        <v>7682</v>
      </c>
      <c r="BQ514" s="2634">
        <v>70</v>
      </c>
      <c r="BR514" s="2644">
        <v>52</v>
      </c>
      <c r="BS514" s="2634">
        <v>1535</v>
      </c>
      <c r="BT514" s="2634">
        <v>1542</v>
      </c>
      <c r="BU514" s="2634">
        <v>1535</v>
      </c>
      <c r="BV514" s="2644">
        <v>1530</v>
      </c>
      <c r="BW514" s="2634">
        <v>2</v>
      </c>
      <c r="BX514" s="2634">
        <v>0</v>
      </c>
      <c r="BY514" s="2634">
        <v>2497</v>
      </c>
      <c r="BZ514" s="2644">
        <v>2498</v>
      </c>
      <c r="CA514" s="2634">
        <v>2499</v>
      </c>
      <c r="CB514" s="2635">
        <v>2499</v>
      </c>
      <c r="CC514" s="2640">
        <f t="shared" ref="CC514:CF515" si="2230">CB514</f>
        <v>2499</v>
      </c>
      <c r="CD514" s="2642">
        <f t="shared" si="2230"/>
        <v>2499</v>
      </c>
      <c r="CE514" s="2640">
        <f t="shared" si="2230"/>
        <v>2499</v>
      </c>
      <c r="CF514" s="2640">
        <f t="shared" si="2230"/>
        <v>2499</v>
      </c>
      <c r="CG514" s="2635">
        <v>0</v>
      </c>
      <c r="CH514" s="2318">
        <f>CG514</f>
        <v>0</v>
      </c>
      <c r="CI514" s="2635">
        <f>CH514</f>
        <v>0</v>
      </c>
      <c r="CJ514" s="2635">
        <f>CI514</f>
        <v>0</v>
      </c>
      <c r="CK514" s="2635">
        <v>444</v>
      </c>
      <c r="CL514" s="2318">
        <v>0</v>
      </c>
      <c r="CM514" s="2635">
        <v>0</v>
      </c>
      <c r="CN514" s="2635">
        <v>0</v>
      </c>
      <c r="CO514" s="2635">
        <v>0</v>
      </c>
      <c r="CP514" s="2318">
        <v>0</v>
      </c>
      <c r="CQ514" s="2635">
        <v>0</v>
      </c>
      <c r="CR514" s="2635">
        <v>0</v>
      </c>
      <c r="CS514" s="2635">
        <v>0</v>
      </c>
      <c r="CT514" s="2318">
        <v>0</v>
      </c>
      <c r="CU514" s="2635">
        <v>0</v>
      </c>
      <c r="CV514" s="2635">
        <v>0</v>
      </c>
      <c r="CW514" s="2314">
        <v>1553</v>
      </c>
      <c r="CX514" s="2635"/>
      <c r="CY514" s="2635"/>
      <c r="CZ514" s="2635"/>
      <c r="DA514" s="2313"/>
      <c r="DB514" s="2318"/>
      <c r="DC514" s="2635"/>
      <c r="DD514" s="2635"/>
      <c r="DE514" s="2635"/>
      <c r="DF514" s="2635"/>
      <c r="DG514" s="2635"/>
      <c r="DH514" s="2635"/>
      <c r="DI514" s="2635"/>
      <c r="DJ514" s="2635"/>
      <c r="DK514" s="2635"/>
      <c r="DL514" s="2635"/>
      <c r="DM514" s="2635"/>
      <c r="DN514" s="2635"/>
      <c r="DO514" s="2635"/>
      <c r="DP514" s="2635"/>
      <c r="DQ514" s="2635"/>
      <c r="DR514" s="2635"/>
      <c r="DS514" s="2635"/>
      <c r="DT514" s="2635"/>
      <c r="DU514" s="2635"/>
      <c r="DV514" s="2635"/>
      <c r="DW514" s="2635"/>
      <c r="DX514" s="2635"/>
      <c r="DY514" s="2637"/>
    </row>
    <row r="515" spans="1:129" hidden="1" outlineLevel="1">
      <c r="A515" s="2633" t="s">
        <v>119</v>
      </c>
      <c r="B515" s="2633"/>
      <c r="C515" s="2633"/>
      <c r="D515" s="2634"/>
      <c r="E515" s="2635"/>
      <c r="F515" s="2636"/>
      <c r="G515" s="2634"/>
      <c r="H515" s="2635"/>
      <c r="I515" s="2633"/>
      <c r="J515" s="2634"/>
      <c r="K515" s="2635"/>
      <c r="L515" s="2635"/>
      <c r="M515" s="2635"/>
      <c r="N515" s="2635"/>
      <c r="O515" s="2635">
        <f>+CG515</f>
        <v>3391</v>
      </c>
      <c r="P515" s="2635">
        <f t="shared" si="2228"/>
        <v>2941</v>
      </c>
      <c r="Q515" s="2635">
        <f>+CO515</f>
        <v>5003</v>
      </c>
      <c r="R515" s="2635">
        <f>+CS515</f>
        <v>0</v>
      </c>
      <c r="S515" s="2313">
        <f>+CW515</f>
        <v>10000</v>
      </c>
      <c r="T515" s="2313">
        <v>0</v>
      </c>
      <c r="U515" s="2635">
        <v>0</v>
      </c>
      <c r="V515" s="2635">
        <v>0</v>
      </c>
      <c r="W515" s="2635">
        <v>0</v>
      </c>
      <c r="X515" s="2635">
        <v>0</v>
      </c>
      <c r="Y515" s="2635">
        <v>0</v>
      </c>
      <c r="Z515" s="2635">
        <v>0</v>
      </c>
      <c r="AA515" s="2635">
        <v>0</v>
      </c>
      <c r="AB515" s="2635">
        <v>0</v>
      </c>
      <c r="AC515" s="2635">
        <v>0</v>
      </c>
      <c r="AD515" s="2635">
        <v>0</v>
      </c>
      <c r="AE515" s="2635">
        <v>0</v>
      </c>
      <c r="AF515" s="2635">
        <v>0</v>
      </c>
      <c r="AG515" s="2635">
        <v>0</v>
      </c>
      <c r="AI515" s="1949"/>
      <c r="AK515" s="2635"/>
      <c r="AL515" s="2635"/>
      <c r="AM515" s="2635"/>
      <c r="AN515" s="2635"/>
      <c r="AO515" s="2635"/>
      <c r="AP515" s="2635"/>
      <c r="AQ515" s="2635"/>
      <c r="AR515" s="2635"/>
      <c r="AS515" s="2635"/>
      <c r="AT515" s="2635"/>
      <c r="AU515" s="2635"/>
      <c r="AV515" s="2635"/>
      <c r="AW515" s="2635"/>
      <c r="AX515" s="2635"/>
      <c r="AY515" s="2635"/>
      <c r="AZ515" s="2635"/>
      <c r="BA515" s="2635"/>
      <c r="BB515" s="2635"/>
      <c r="BC515" s="2635"/>
      <c r="BD515" s="2635"/>
      <c r="BE515" s="2635"/>
      <c r="BF515" s="2635"/>
      <c r="BG515" s="2635"/>
      <c r="BH515" s="2635"/>
      <c r="BI515" s="2635"/>
      <c r="BJ515" s="2635"/>
      <c r="BK515" s="2635"/>
      <c r="BL515" s="2635"/>
      <c r="BM515" s="2635"/>
      <c r="BN515" s="2635"/>
      <c r="BO515" s="2635"/>
      <c r="BP515" s="2634">
        <v>2825</v>
      </c>
      <c r="BQ515" s="2634">
        <v>6897</v>
      </c>
      <c r="BR515" s="2644">
        <v>7478</v>
      </c>
      <c r="BS515" s="2634">
        <v>7521</v>
      </c>
      <c r="BT515" s="2634">
        <v>7597</v>
      </c>
      <c r="BU515" s="2634">
        <v>7689</v>
      </c>
      <c r="BV515" s="2644">
        <v>6465</v>
      </c>
      <c r="BW515" s="2634">
        <v>6877</v>
      </c>
      <c r="BX515" s="2634">
        <v>0</v>
      </c>
      <c r="BY515" s="2634">
        <v>0</v>
      </c>
      <c r="BZ515" s="2644">
        <v>350</v>
      </c>
      <c r="CA515" s="2634">
        <v>350</v>
      </c>
      <c r="CB515" s="2635">
        <v>0</v>
      </c>
      <c r="CC515" s="2640">
        <f t="shared" si="2230"/>
        <v>0</v>
      </c>
      <c r="CD515" s="2642">
        <f t="shared" si="2230"/>
        <v>0</v>
      </c>
      <c r="CE515" s="2640">
        <f t="shared" si="2230"/>
        <v>0</v>
      </c>
      <c r="CF515" s="2640">
        <f t="shared" si="2230"/>
        <v>0</v>
      </c>
      <c r="CG515" s="2635">
        <v>3391</v>
      </c>
      <c r="CH515" s="2318">
        <v>1975</v>
      </c>
      <c r="CI515" s="2635">
        <f>CH515</f>
        <v>1975</v>
      </c>
      <c r="CJ515" s="2635">
        <f>CI515</f>
        <v>1975</v>
      </c>
      <c r="CK515" s="2635">
        <v>2941</v>
      </c>
      <c r="CL515" s="2318">
        <v>18977</v>
      </c>
      <c r="CM515" s="2635">
        <v>0</v>
      </c>
      <c r="CN515" s="2635">
        <f>+CN654</f>
        <v>7748</v>
      </c>
      <c r="CO515" s="2635">
        <v>5003</v>
      </c>
      <c r="CP515" s="2318">
        <v>1800</v>
      </c>
      <c r="CQ515" s="2635">
        <v>0</v>
      </c>
      <c r="CR515" s="2635">
        <v>0</v>
      </c>
      <c r="CS515" s="2635">
        <f>+CS653</f>
        <v>0</v>
      </c>
      <c r="CT515" s="2318">
        <f>+CT653</f>
        <v>0</v>
      </c>
      <c r="CU515" s="2635">
        <f>+CU653</f>
        <v>0</v>
      </c>
      <c r="CV515" s="2635">
        <f>+CV653</f>
        <v>0</v>
      </c>
      <c r="CW515" s="2314">
        <v>10000</v>
      </c>
      <c r="CX515" s="2635"/>
      <c r="CY515" s="2635"/>
      <c r="CZ515" s="2635"/>
      <c r="DA515" s="2313"/>
      <c r="DB515" s="2318"/>
      <c r="DC515" s="2635"/>
      <c r="DD515" s="2635"/>
      <c r="DE515" s="2635"/>
      <c r="DF515" s="2635"/>
      <c r="DG515" s="2635"/>
      <c r="DH515" s="2635"/>
      <c r="DI515" s="2635"/>
      <c r="DJ515" s="2635"/>
      <c r="DK515" s="2635"/>
      <c r="DL515" s="2635"/>
      <c r="DM515" s="2635"/>
      <c r="DN515" s="2635"/>
      <c r="DO515" s="2635"/>
      <c r="DP515" s="2635"/>
      <c r="DQ515" s="2635"/>
      <c r="DR515" s="2635"/>
      <c r="DS515" s="2635"/>
      <c r="DT515" s="2635"/>
      <c r="DU515" s="2635"/>
      <c r="DV515" s="2635"/>
      <c r="DW515" s="2635"/>
      <c r="DX515" s="2635"/>
      <c r="DY515" s="2637"/>
    </row>
    <row r="516" spans="1:129" hidden="1" outlineLevel="1">
      <c r="A516" s="2633" t="s">
        <v>120</v>
      </c>
      <c r="B516" s="2633"/>
      <c r="C516" s="2633"/>
      <c r="D516" s="2634"/>
      <c r="E516" s="2635"/>
      <c r="F516" s="2636"/>
      <c r="G516" s="2634"/>
      <c r="H516" s="2635"/>
      <c r="I516" s="2633"/>
      <c r="J516" s="2634"/>
      <c r="K516" s="2635"/>
      <c r="L516" s="2635"/>
      <c r="M516" s="2635"/>
      <c r="N516" s="2635"/>
      <c r="O516" s="2635">
        <f>+CG516</f>
        <v>5838</v>
      </c>
      <c r="P516" s="2635">
        <f t="shared" si="2228"/>
        <v>5395</v>
      </c>
      <c r="Q516" s="2635">
        <f>+CO516</f>
        <v>6123</v>
      </c>
      <c r="R516" s="2635">
        <f>+CS516</f>
        <v>7139</v>
      </c>
      <c r="S516" s="2313">
        <f>+CW516</f>
        <v>6815</v>
      </c>
      <c r="T516" s="2313">
        <v>7534</v>
      </c>
      <c r="U516" s="2635" t="e">
        <f t="shared" ref="U516:AA516" si="2231">U47*(U692/360)</f>
        <v>#REF!</v>
      </c>
      <c r="V516" s="2635" t="e">
        <f t="shared" si="2231"/>
        <v>#REF!</v>
      </c>
      <c r="W516" s="2635" t="e">
        <f t="shared" si="2231"/>
        <v>#REF!</v>
      </c>
      <c r="X516" s="2635" t="e">
        <f t="shared" si="2231"/>
        <v>#REF!</v>
      </c>
      <c r="Y516" s="2635" t="e">
        <f t="shared" ref="Y516:Z516" si="2232">Y47*(Y692/360)</f>
        <v>#REF!</v>
      </c>
      <c r="Z516" s="2635" t="e">
        <f t="shared" ca="1" si="2232"/>
        <v>#REF!</v>
      </c>
      <c r="AA516" s="2635" t="e">
        <f t="shared" ca="1" si="2231"/>
        <v>#REF!</v>
      </c>
      <c r="AB516" s="2635" t="e">
        <f t="shared" ref="AB516:AG516" ca="1" si="2233">AB47*(AB692/360)</f>
        <v>#REF!</v>
      </c>
      <c r="AC516" s="2635" t="e">
        <f t="shared" ca="1" si="2233"/>
        <v>#REF!</v>
      </c>
      <c r="AD516" s="2635" t="e">
        <f t="shared" ca="1" si="2233"/>
        <v>#REF!</v>
      </c>
      <c r="AE516" s="2635" t="e">
        <f t="shared" ca="1" si="2233"/>
        <v>#REF!</v>
      </c>
      <c r="AF516" s="2635" t="e">
        <f t="shared" ca="1" si="2233"/>
        <v>#REF!</v>
      </c>
      <c r="AG516" s="2635" t="e">
        <f t="shared" ca="1" si="2233"/>
        <v>#REF!</v>
      </c>
      <c r="AI516" s="1949"/>
      <c r="AK516" s="2635"/>
      <c r="AL516" s="2635"/>
      <c r="AM516" s="2635"/>
      <c r="AN516" s="2635"/>
      <c r="AO516" s="2635"/>
      <c r="AP516" s="2635"/>
      <c r="AQ516" s="2635"/>
      <c r="AR516" s="2635"/>
      <c r="AS516" s="2635"/>
      <c r="AT516" s="2635"/>
      <c r="AU516" s="2635"/>
      <c r="AV516" s="2635"/>
      <c r="AW516" s="2635"/>
      <c r="AX516" s="2635"/>
      <c r="AY516" s="2635"/>
      <c r="AZ516" s="2635"/>
      <c r="BA516" s="2635"/>
      <c r="BB516" s="2635"/>
      <c r="BC516" s="2635"/>
      <c r="BD516" s="2635"/>
      <c r="BE516" s="2635"/>
      <c r="BF516" s="2635"/>
      <c r="BG516" s="2635"/>
      <c r="BH516" s="2635"/>
      <c r="BI516" s="2635"/>
      <c r="BJ516" s="2635"/>
      <c r="BK516" s="2635"/>
      <c r="BL516" s="2635"/>
      <c r="BM516" s="2635"/>
      <c r="BN516" s="2635"/>
      <c r="BO516" s="2635"/>
      <c r="BP516" s="2634">
        <v>677</v>
      </c>
      <c r="BQ516" s="2634"/>
      <c r="BR516" s="2644"/>
      <c r="BS516" s="2634"/>
      <c r="BT516" s="2634"/>
      <c r="BU516" s="2634"/>
      <c r="BV516" s="2644"/>
      <c r="BW516" s="2634"/>
      <c r="BX516" s="2634"/>
      <c r="BY516" s="2634"/>
      <c r="BZ516" s="2644"/>
      <c r="CA516" s="2634"/>
      <c r="CB516" s="2635"/>
      <c r="CC516" s="2635"/>
      <c r="CD516" s="2318"/>
      <c r="CE516" s="2635"/>
      <c r="CF516" s="2635"/>
      <c r="CG516" s="2635">
        <v>5838</v>
      </c>
      <c r="CH516" s="2318"/>
      <c r="CI516" s="2635"/>
      <c r="CJ516" s="2635"/>
      <c r="CK516" s="2635">
        <v>5395</v>
      </c>
      <c r="CL516" s="2318">
        <f>CL47*(CL692/90)</f>
        <v>5381.66404494382</v>
      </c>
      <c r="CM516" s="2635">
        <v>6040</v>
      </c>
      <c r="CN516" s="2635">
        <v>6438</v>
      </c>
      <c r="CO516" s="2635">
        <v>6123</v>
      </c>
      <c r="CP516" s="2318">
        <v>6031</v>
      </c>
      <c r="CQ516" s="2635">
        <v>7210</v>
      </c>
      <c r="CR516" s="2635">
        <v>7290</v>
      </c>
      <c r="CS516" s="2635">
        <v>7139</v>
      </c>
      <c r="CT516" s="2318">
        <f>CT47*(CT692/90)</f>
        <v>8106.6935146443511</v>
      </c>
      <c r="CU516" s="2635">
        <f>CU47*(CU692/90)</f>
        <v>7082</v>
      </c>
      <c r="CV516" s="2635">
        <f>CV47*(CV692/90)</f>
        <v>7258.8222222222221</v>
      </c>
      <c r="CW516" s="2314">
        <v>6815</v>
      </c>
      <c r="CX516" s="2635"/>
      <c r="CY516" s="2635"/>
      <c r="CZ516" s="2635"/>
      <c r="DA516" s="2313"/>
      <c r="DB516" s="2318"/>
      <c r="DC516" s="2635"/>
      <c r="DD516" s="2635"/>
      <c r="DE516" s="2635"/>
      <c r="DF516" s="2635"/>
      <c r="DG516" s="2635"/>
      <c r="DH516" s="2635"/>
      <c r="DI516" s="2635"/>
      <c r="DJ516" s="2635"/>
      <c r="DK516" s="2635"/>
      <c r="DL516" s="2635"/>
      <c r="DM516" s="2635"/>
      <c r="DN516" s="2635"/>
      <c r="DO516" s="2635"/>
      <c r="DP516" s="2635"/>
      <c r="DQ516" s="2635"/>
      <c r="DR516" s="2635"/>
      <c r="DS516" s="2635"/>
      <c r="DT516" s="2635"/>
      <c r="DU516" s="2635"/>
      <c r="DV516" s="2635"/>
      <c r="DW516" s="2635"/>
      <c r="DX516" s="2635"/>
      <c r="DY516" s="2637"/>
    </row>
    <row r="517" spans="1:129" hidden="1" outlineLevel="1">
      <c r="A517" s="2633" t="s">
        <v>845</v>
      </c>
      <c r="B517" s="2633"/>
      <c r="C517" s="2633"/>
      <c r="D517" s="2634"/>
      <c r="E517" s="2635"/>
      <c r="F517" s="2636"/>
      <c r="G517" s="2634"/>
      <c r="H517" s="2635"/>
      <c r="I517" s="2633"/>
      <c r="J517" s="2634"/>
      <c r="K517" s="2635"/>
      <c r="L517" s="2635"/>
      <c r="M517" s="2635"/>
      <c r="N517" s="2635"/>
      <c r="O517" s="2635">
        <f>+CG517</f>
        <v>1227</v>
      </c>
      <c r="P517" s="2635">
        <f t="shared" si="2228"/>
        <v>1403</v>
      </c>
      <c r="Q517" s="2635">
        <f>+CO517</f>
        <v>1695</v>
      </c>
      <c r="R517" s="2635">
        <f>+CS517</f>
        <v>2090</v>
      </c>
      <c r="S517" s="2313">
        <f>+CW517</f>
        <v>2299</v>
      </c>
      <c r="T517" s="2313">
        <v>2550</v>
      </c>
      <c r="U517" s="2635">
        <f t="shared" ref="U517:AB518" si="2234">+T517</f>
        <v>2550</v>
      </c>
      <c r="V517" s="2635">
        <f t="shared" si="2234"/>
        <v>2550</v>
      </c>
      <c r="W517" s="2635">
        <f t="shared" si="2234"/>
        <v>2550</v>
      </c>
      <c r="X517" s="2635">
        <f t="shared" si="2234"/>
        <v>2550</v>
      </c>
      <c r="Y517" s="2635">
        <f t="shared" si="2234"/>
        <v>2550</v>
      </c>
      <c r="Z517" s="2635">
        <f t="shared" si="2234"/>
        <v>2550</v>
      </c>
      <c r="AA517" s="2635">
        <f t="shared" si="2234"/>
        <v>2550</v>
      </c>
      <c r="AB517" s="2635">
        <f t="shared" si="2234"/>
        <v>2550</v>
      </c>
      <c r="AC517" s="2635">
        <f t="shared" ref="AC517:AC518" si="2235">+AB517</f>
        <v>2550</v>
      </c>
      <c r="AD517" s="2635">
        <f t="shared" ref="AD517:AD518" si="2236">+AC517</f>
        <v>2550</v>
      </c>
      <c r="AE517" s="2635">
        <f t="shared" ref="AE517:AE518" si="2237">+AD517</f>
        <v>2550</v>
      </c>
      <c r="AF517" s="2635">
        <f t="shared" ref="AF517:AF518" si="2238">+AE517</f>
        <v>2550</v>
      </c>
      <c r="AG517" s="2635">
        <f t="shared" ref="AG517:AG518" si="2239">+AF517</f>
        <v>2550</v>
      </c>
      <c r="AI517" s="1949"/>
      <c r="AK517" s="2635"/>
      <c r="AL517" s="2635"/>
      <c r="AM517" s="2635"/>
      <c r="AN517" s="2635"/>
      <c r="AO517" s="2635"/>
      <c r="AP517" s="2635"/>
      <c r="AQ517" s="2635"/>
      <c r="AR517" s="2635"/>
      <c r="AS517" s="2635"/>
      <c r="AT517" s="2635"/>
      <c r="AU517" s="2635"/>
      <c r="AV517" s="2635"/>
      <c r="AW517" s="2635"/>
      <c r="AX517" s="2635"/>
      <c r="AY517" s="2635"/>
      <c r="AZ517" s="2635"/>
      <c r="BA517" s="2635"/>
      <c r="BB517" s="2635"/>
      <c r="BC517" s="2635"/>
      <c r="BD517" s="2635"/>
      <c r="BE517" s="2635"/>
      <c r="BF517" s="2635"/>
      <c r="BG517" s="2635"/>
      <c r="BH517" s="2635"/>
      <c r="BI517" s="2635"/>
      <c r="BJ517" s="2635"/>
      <c r="BK517" s="2635"/>
      <c r="BL517" s="2635"/>
      <c r="BM517" s="2635"/>
      <c r="BN517" s="2635"/>
      <c r="BO517" s="2635"/>
      <c r="BP517" s="2634">
        <v>145</v>
      </c>
      <c r="BQ517" s="2634"/>
      <c r="BR517" s="2644"/>
      <c r="BS517" s="2634"/>
      <c r="BT517" s="2634"/>
      <c r="BU517" s="2634"/>
      <c r="BV517" s="2644"/>
      <c r="BW517" s="2634"/>
      <c r="BX517" s="2634"/>
      <c r="BY517" s="2634"/>
      <c r="BZ517" s="2644"/>
      <c r="CA517" s="2634"/>
      <c r="CB517" s="2635"/>
      <c r="CC517" s="2635"/>
      <c r="CD517" s="2318"/>
      <c r="CE517" s="2635"/>
      <c r="CF517" s="2635"/>
      <c r="CG517" s="2635">
        <v>1227</v>
      </c>
      <c r="CH517" s="2318"/>
      <c r="CI517" s="2635"/>
      <c r="CJ517" s="2635"/>
      <c r="CK517" s="2635">
        <v>1403</v>
      </c>
      <c r="CL517" s="2318">
        <f>+CK517</f>
        <v>1403</v>
      </c>
      <c r="CM517" s="2635">
        <v>1669</v>
      </c>
      <c r="CN517" s="2635">
        <v>1748</v>
      </c>
      <c r="CO517" s="2635">
        <v>1695</v>
      </c>
      <c r="CP517" s="2318">
        <v>1680</v>
      </c>
      <c r="CQ517" s="2635">
        <v>1948</v>
      </c>
      <c r="CR517" s="2635">
        <v>2023</v>
      </c>
      <c r="CS517" s="2635">
        <v>2090</v>
      </c>
      <c r="CT517" s="2318">
        <f t="shared" ref="CT517:CV518" si="2240">+CS517</f>
        <v>2090</v>
      </c>
      <c r="CU517" s="2635">
        <f t="shared" si="2240"/>
        <v>2090</v>
      </c>
      <c r="CV517" s="2635">
        <f t="shared" si="2240"/>
        <v>2090</v>
      </c>
      <c r="CW517" s="2314">
        <v>2299</v>
      </c>
      <c r="CX517" s="2635"/>
      <c r="CY517" s="2635"/>
      <c r="CZ517" s="2635"/>
      <c r="DA517" s="2313"/>
      <c r="DB517" s="2318"/>
      <c r="DC517" s="2635"/>
      <c r="DD517" s="2635"/>
      <c r="DE517" s="2635"/>
      <c r="DF517" s="2635"/>
      <c r="DG517" s="2635"/>
      <c r="DH517" s="2635"/>
      <c r="DI517" s="2635"/>
      <c r="DJ517" s="2635"/>
      <c r="DK517" s="2635"/>
      <c r="DL517" s="2635"/>
      <c r="DM517" s="2635"/>
      <c r="DN517" s="2635"/>
      <c r="DO517" s="2635"/>
      <c r="DP517" s="2635"/>
      <c r="DQ517" s="2635"/>
      <c r="DR517" s="2635"/>
      <c r="DS517" s="2635"/>
      <c r="DT517" s="2635"/>
      <c r="DU517" s="2635"/>
      <c r="DV517" s="2635"/>
      <c r="DW517" s="2635"/>
      <c r="DX517" s="2635"/>
      <c r="DY517" s="2637"/>
    </row>
    <row r="518" spans="1:129" hidden="1" outlineLevel="1">
      <c r="A518" s="2633" t="s">
        <v>846</v>
      </c>
      <c r="B518" s="2633"/>
      <c r="C518" s="2633"/>
      <c r="D518" s="2634"/>
      <c r="E518" s="2635"/>
      <c r="F518" s="2636"/>
      <c r="G518" s="2634"/>
      <c r="H518" s="2635"/>
      <c r="I518" s="2633"/>
      <c r="J518" s="2634"/>
      <c r="K518" s="2635"/>
      <c r="L518" s="2635"/>
      <c r="M518" s="2635"/>
      <c r="N518" s="2635"/>
      <c r="O518" s="2635">
        <f>+CG518</f>
        <v>147</v>
      </c>
      <c r="P518" s="2635">
        <f t="shared" si="2228"/>
        <v>220</v>
      </c>
      <c r="Q518" s="2635">
        <f>+CO518</f>
        <v>415</v>
      </c>
      <c r="R518" s="2635">
        <f>+CS518</f>
        <v>912</v>
      </c>
      <c r="S518" s="2313">
        <f>+CW518</f>
        <v>453</v>
      </c>
      <c r="T518" s="2313">
        <v>274</v>
      </c>
      <c r="U518" s="2635">
        <f t="shared" si="2234"/>
        <v>274</v>
      </c>
      <c r="V518" s="2635">
        <f t="shared" si="2234"/>
        <v>274</v>
      </c>
      <c r="W518" s="2635">
        <f t="shared" si="2234"/>
        <v>274</v>
      </c>
      <c r="X518" s="2635">
        <f t="shared" si="2234"/>
        <v>274</v>
      </c>
      <c r="Y518" s="2635">
        <f t="shared" si="2234"/>
        <v>274</v>
      </c>
      <c r="Z518" s="2635">
        <f t="shared" si="2234"/>
        <v>274</v>
      </c>
      <c r="AA518" s="2635">
        <f t="shared" si="2234"/>
        <v>274</v>
      </c>
      <c r="AB518" s="2635">
        <f t="shared" si="2234"/>
        <v>274</v>
      </c>
      <c r="AC518" s="2635">
        <f t="shared" si="2235"/>
        <v>274</v>
      </c>
      <c r="AD518" s="2635">
        <f t="shared" si="2236"/>
        <v>274</v>
      </c>
      <c r="AE518" s="2635">
        <f t="shared" si="2237"/>
        <v>274</v>
      </c>
      <c r="AF518" s="2635">
        <f t="shared" si="2238"/>
        <v>274</v>
      </c>
      <c r="AG518" s="2635">
        <f t="shared" si="2239"/>
        <v>274</v>
      </c>
      <c r="AI518" s="1949"/>
      <c r="AK518" s="2635"/>
      <c r="AL518" s="2635"/>
      <c r="AM518" s="2635"/>
      <c r="AN518" s="2635"/>
      <c r="AO518" s="2635"/>
      <c r="AP518" s="2635"/>
      <c r="AQ518" s="2635"/>
      <c r="AR518" s="2635"/>
      <c r="AS518" s="2635"/>
      <c r="AT518" s="2635"/>
      <c r="AU518" s="2635"/>
      <c r="AV518" s="2635"/>
      <c r="AW518" s="2635"/>
      <c r="AX518" s="2635"/>
      <c r="AY518" s="2635"/>
      <c r="AZ518" s="2635"/>
      <c r="BA518" s="2635"/>
      <c r="BB518" s="2635"/>
      <c r="BC518" s="2635"/>
      <c r="BD518" s="2635"/>
      <c r="BE518" s="2635"/>
      <c r="BF518" s="2635"/>
      <c r="BG518" s="2635"/>
      <c r="BH518" s="2635"/>
      <c r="BI518" s="2635"/>
      <c r="BJ518" s="2635"/>
      <c r="BK518" s="2635"/>
      <c r="BL518" s="2635"/>
      <c r="BM518" s="2635"/>
      <c r="BN518" s="2635"/>
      <c r="BO518" s="2635"/>
      <c r="BP518" s="2634">
        <v>12909</v>
      </c>
      <c r="BQ518" s="2634"/>
      <c r="BR518" s="2644"/>
      <c r="BS518" s="2634"/>
      <c r="BT518" s="2634"/>
      <c r="BU518" s="2634"/>
      <c r="BV518" s="2644"/>
      <c r="BW518" s="2634"/>
      <c r="BX518" s="2634"/>
      <c r="BY518" s="2634"/>
      <c r="BZ518" s="2644"/>
      <c r="CA518" s="2634"/>
      <c r="CB518" s="2635"/>
      <c r="CC518" s="2635"/>
      <c r="CD518" s="2318"/>
      <c r="CE518" s="2635"/>
      <c r="CF518" s="2635"/>
      <c r="CG518" s="2635">
        <v>147</v>
      </c>
      <c r="CH518" s="2318"/>
      <c r="CI518" s="2635"/>
      <c r="CJ518" s="2635"/>
      <c r="CK518" s="2635">
        <v>220</v>
      </c>
      <c r="CL518" s="2318">
        <f>+CK518</f>
        <v>220</v>
      </c>
      <c r="CM518" s="2635">
        <v>430</v>
      </c>
      <c r="CN518" s="2635">
        <v>454</v>
      </c>
      <c r="CO518" s="2635">
        <v>415</v>
      </c>
      <c r="CP518" s="2318">
        <v>468</v>
      </c>
      <c r="CQ518" s="2635">
        <v>765</v>
      </c>
      <c r="CR518" s="2635">
        <v>781</v>
      </c>
      <c r="CS518" s="2635">
        <v>912</v>
      </c>
      <c r="CT518" s="2318">
        <f t="shared" si="2240"/>
        <v>912</v>
      </c>
      <c r="CU518" s="2635">
        <f t="shared" si="2240"/>
        <v>912</v>
      </c>
      <c r="CV518" s="2635">
        <f t="shared" si="2240"/>
        <v>912</v>
      </c>
      <c r="CW518" s="2314">
        <v>453</v>
      </c>
      <c r="CX518" s="2635"/>
      <c r="CY518" s="2635"/>
      <c r="CZ518" s="2635"/>
      <c r="DA518" s="2313"/>
      <c r="DB518" s="2318"/>
      <c r="DC518" s="2635"/>
      <c r="DD518" s="2635"/>
      <c r="DE518" s="2635"/>
      <c r="DF518" s="2635"/>
      <c r="DG518" s="2635"/>
      <c r="DH518" s="2635"/>
      <c r="DI518" s="2635"/>
      <c r="DJ518" s="2635"/>
      <c r="DK518" s="2635"/>
      <c r="DL518" s="2635"/>
      <c r="DM518" s="2635"/>
      <c r="DN518" s="2635"/>
      <c r="DO518" s="2635"/>
      <c r="DP518" s="2635"/>
      <c r="DQ518" s="2635"/>
      <c r="DR518" s="2635"/>
      <c r="DS518" s="2635"/>
      <c r="DT518" s="2635"/>
      <c r="DU518" s="2635"/>
      <c r="DV518" s="2635"/>
      <c r="DW518" s="2635"/>
      <c r="DX518" s="2635"/>
      <c r="DY518" s="2637"/>
    </row>
    <row r="519" spans="1:129" hidden="1" outlineLevel="1">
      <c r="A519" s="2638" t="s">
        <v>847</v>
      </c>
      <c r="B519" s="2638"/>
      <c r="C519" s="2638"/>
      <c r="D519" s="2639"/>
      <c r="E519" s="2640"/>
      <c r="F519" s="2641"/>
      <c r="G519" s="2639"/>
      <c r="H519" s="2640"/>
      <c r="I519" s="2638"/>
      <c r="J519" s="2639"/>
      <c r="K519" s="2640"/>
      <c r="L519" s="2640"/>
      <c r="M519" s="2640"/>
      <c r="N519" s="2640"/>
      <c r="O519" s="2640">
        <f>SUM(O514:O518)</f>
        <v>10603</v>
      </c>
      <c r="P519" s="2640">
        <f t="shared" si="2228"/>
        <v>10403</v>
      </c>
      <c r="Q519" s="2640">
        <f t="shared" ref="Q519:V519" si="2241">SUM(Q514:Q518)</f>
        <v>13236</v>
      </c>
      <c r="R519" s="2640">
        <f t="shared" si="2241"/>
        <v>10141</v>
      </c>
      <c r="S519" s="2303">
        <f t="shared" si="2241"/>
        <v>21120</v>
      </c>
      <c r="T519" s="2303">
        <f t="shared" si="2241"/>
        <v>11806</v>
      </c>
      <c r="U519" s="2640" t="e">
        <f t="shared" si="2241"/>
        <v>#REF!</v>
      </c>
      <c r="V519" s="2640" t="e">
        <f t="shared" si="2241"/>
        <v>#REF!</v>
      </c>
      <c r="W519" s="2640" t="e">
        <f t="shared" ref="W519:AB519" si="2242">SUM(W514:W518)</f>
        <v>#REF!</v>
      </c>
      <c r="X519" s="2640" t="e">
        <f t="shared" si="2242"/>
        <v>#REF!</v>
      </c>
      <c r="Y519" s="2640" t="e">
        <f t="shared" si="2242"/>
        <v>#REF!</v>
      </c>
      <c r="Z519" s="2640" t="e">
        <f t="shared" ca="1" si="2242"/>
        <v>#REF!</v>
      </c>
      <c r="AA519" s="2640" t="e">
        <f t="shared" ca="1" si="2242"/>
        <v>#REF!</v>
      </c>
      <c r="AB519" s="2640" t="e">
        <f t="shared" ca="1" si="2242"/>
        <v>#REF!</v>
      </c>
      <c r="AC519" s="2640" t="e">
        <f t="shared" ref="AC519:AG519" ca="1" si="2243">SUM(AC514:AC518)</f>
        <v>#REF!</v>
      </c>
      <c r="AD519" s="2640" t="e">
        <f t="shared" ca="1" si="2243"/>
        <v>#REF!</v>
      </c>
      <c r="AE519" s="2640" t="e">
        <f t="shared" ca="1" si="2243"/>
        <v>#REF!</v>
      </c>
      <c r="AF519" s="2640" t="e">
        <f t="shared" ca="1" si="2243"/>
        <v>#REF!</v>
      </c>
      <c r="AG519" s="2640" t="e">
        <f t="shared" ca="1" si="2243"/>
        <v>#REF!</v>
      </c>
      <c r="AI519" s="1949"/>
      <c r="AK519" s="2640"/>
      <c r="AL519" s="2640"/>
      <c r="AM519" s="2640"/>
      <c r="AN519" s="2640"/>
      <c r="AO519" s="2640"/>
      <c r="AP519" s="2640"/>
      <c r="AQ519" s="2640"/>
      <c r="AR519" s="2640"/>
      <c r="AS519" s="2640"/>
      <c r="AT519" s="2640"/>
      <c r="AU519" s="2640"/>
      <c r="AV519" s="2640"/>
      <c r="AW519" s="2640"/>
      <c r="AX519" s="2640"/>
      <c r="AY519" s="2640"/>
      <c r="AZ519" s="2640"/>
      <c r="BA519" s="2640"/>
      <c r="BB519" s="2640"/>
      <c r="BC519" s="2640"/>
      <c r="BD519" s="2640"/>
      <c r="BE519" s="2640"/>
      <c r="BF519" s="2640"/>
      <c r="BG519" s="2640"/>
      <c r="BH519" s="2640"/>
      <c r="BI519" s="2640"/>
      <c r="BJ519" s="2640"/>
      <c r="BK519" s="2640"/>
      <c r="BL519" s="2640"/>
      <c r="BM519" s="2640"/>
      <c r="BN519" s="2640"/>
      <c r="BO519" s="2640"/>
      <c r="BP519" s="2639">
        <v>2521</v>
      </c>
      <c r="BQ519" s="2639"/>
      <c r="BR519" s="2645"/>
      <c r="BS519" s="2639"/>
      <c r="BT519" s="2639"/>
      <c r="BU519" s="2639"/>
      <c r="BV519" s="2645"/>
      <c r="BW519" s="2639"/>
      <c r="BX519" s="2639"/>
      <c r="BY519" s="2639"/>
      <c r="BZ519" s="2645"/>
      <c r="CA519" s="2639"/>
      <c r="CB519" s="2640"/>
      <c r="CC519" s="2640"/>
      <c r="CD519" s="2642"/>
      <c r="CE519" s="2640"/>
      <c r="CF519" s="2640"/>
      <c r="CG519" s="2640">
        <f>SUM(CG514:CG518)</f>
        <v>10603</v>
      </c>
      <c r="CH519" s="2640">
        <f>SUM(CH514:CH518)</f>
        <v>1975</v>
      </c>
      <c r="CI519" s="2640"/>
      <c r="CJ519" s="2640"/>
      <c r="CK519" s="2640">
        <f t="shared" ref="CK519:CW519" si="2244">SUM(CK514:CK518)</f>
        <v>10403</v>
      </c>
      <c r="CL519" s="2642">
        <f t="shared" si="2244"/>
        <v>25981.66404494382</v>
      </c>
      <c r="CM519" s="2640">
        <f t="shared" si="2244"/>
        <v>8139</v>
      </c>
      <c r="CN519" s="2640">
        <f t="shared" si="2244"/>
        <v>16388</v>
      </c>
      <c r="CO519" s="2640">
        <f t="shared" si="2244"/>
        <v>13236</v>
      </c>
      <c r="CP519" s="2642">
        <f t="shared" si="2244"/>
        <v>9979</v>
      </c>
      <c r="CQ519" s="2640">
        <f t="shared" si="2244"/>
        <v>9923</v>
      </c>
      <c r="CR519" s="2640">
        <f t="shared" si="2244"/>
        <v>10094</v>
      </c>
      <c r="CS519" s="2640">
        <f t="shared" si="2244"/>
        <v>10141</v>
      </c>
      <c r="CT519" s="2642">
        <f t="shared" si="2244"/>
        <v>11108.69351464435</v>
      </c>
      <c r="CU519" s="2640">
        <f t="shared" si="2244"/>
        <v>10084</v>
      </c>
      <c r="CV519" s="2640">
        <f t="shared" si="2244"/>
        <v>10260.822222222221</v>
      </c>
      <c r="CW519" s="2304">
        <f t="shared" si="2244"/>
        <v>21120</v>
      </c>
      <c r="CX519" s="2635"/>
      <c r="CY519" s="2635"/>
      <c r="CZ519" s="2635"/>
      <c r="DA519" s="2303"/>
      <c r="DB519" s="2318"/>
      <c r="DC519" s="2635"/>
      <c r="DD519" s="2635"/>
      <c r="DE519" s="2635"/>
      <c r="DF519" s="2635"/>
      <c r="DG519" s="2635"/>
      <c r="DH519" s="2635"/>
      <c r="DI519" s="2635"/>
      <c r="DJ519" s="2635"/>
      <c r="DK519" s="2635"/>
      <c r="DL519" s="2635"/>
      <c r="DM519" s="2635"/>
      <c r="DN519" s="2635"/>
      <c r="DO519" s="2635"/>
      <c r="DP519" s="2635"/>
      <c r="DQ519" s="2635"/>
      <c r="DR519" s="2635"/>
      <c r="DS519" s="2635"/>
      <c r="DT519" s="2635"/>
      <c r="DU519" s="2635"/>
      <c r="DV519" s="2635"/>
      <c r="DW519" s="2640"/>
      <c r="DX519" s="2640"/>
      <c r="DY519" s="2643"/>
    </row>
    <row r="520" spans="1:129" hidden="1" outlineLevel="1">
      <c r="A520" s="2633" t="s">
        <v>848</v>
      </c>
      <c r="B520" s="2633"/>
      <c r="C520" s="2633"/>
      <c r="D520" s="2634"/>
      <c r="E520" s="2635"/>
      <c r="F520" s="2636"/>
      <c r="G520" s="2634"/>
      <c r="H520" s="2635"/>
      <c r="I520" s="2633"/>
      <c r="J520" s="2634"/>
      <c r="K520" s="2635"/>
      <c r="L520" s="2635"/>
      <c r="M520" s="2635"/>
      <c r="N520" s="2635"/>
      <c r="O520" s="2635">
        <f>+CG520</f>
        <v>0</v>
      </c>
      <c r="P520" s="2635">
        <f t="shared" si="2228"/>
        <v>9938</v>
      </c>
      <c r="Q520" s="2635">
        <f>+CO520</f>
        <v>21659</v>
      </c>
      <c r="R520" s="2635">
        <f>+CS520</f>
        <v>16503</v>
      </c>
      <c r="S520" s="2313">
        <f>+CW520</f>
        <v>10058</v>
      </c>
      <c r="T520" s="2313">
        <v>8665</v>
      </c>
      <c r="U520" s="2635">
        <f t="shared" ref="U520:Z520" si="2245">T520</f>
        <v>8665</v>
      </c>
      <c r="V520" s="2635">
        <f t="shared" si="2245"/>
        <v>8665</v>
      </c>
      <c r="W520" s="2635">
        <f t="shared" si="2245"/>
        <v>8665</v>
      </c>
      <c r="X520" s="2635">
        <f t="shared" si="2245"/>
        <v>8665</v>
      </c>
      <c r="Y520" s="2635">
        <f t="shared" si="2245"/>
        <v>8665</v>
      </c>
      <c r="Z520" s="2635">
        <f t="shared" si="2245"/>
        <v>8665</v>
      </c>
      <c r="AA520" s="2635">
        <f>+AA633</f>
        <v>0</v>
      </c>
      <c r="AB520" s="2635">
        <f>+AB633</f>
        <v>0</v>
      </c>
      <c r="AC520" s="2635">
        <f t="shared" ref="AC520:AG520" si="2246">+AC633</f>
        <v>0</v>
      </c>
      <c r="AD520" s="2635">
        <f t="shared" si="2246"/>
        <v>0</v>
      </c>
      <c r="AE520" s="2635">
        <f t="shared" si="2246"/>
        <v>0</v>
      </c>
      <c r="AF520" s="2635">
        <f t="shared" si="2246"/>
        <v>0</v>
      </c>
      <c r="AG520" s="2635">
        <f t="shared" si="2246"/>
        <v>0</v>
      </c>
      <c r="AI520" s="1949"/>
      <c r="AK520" s="2635"/>
      <c r="AL520" s="2635"/>
      <c r="AM520" s="2635"/>
      <c r="AN520" s="2635"/>
      <c r="AO520" s="2635"/>
      <c r="AP520" s="2635"/>
      <c r="AQ520" s="2635"/>
      <c r="AR520" s="2635"/>
      <c r="AS520" s="2635"/>
      <c r="AT520" s="2635"/>
      <c r="AU520" s="2635"/>
      <c r="AV520" s="2635"/>
      <c r="AW520" s="2635"/>
      <c r="AX520" s="2635"/>
      <c r="AY520" s="2635"/>
      <c r="AZ520" s="2635"/>
      <c r="BA520" s="2635"/>
      <c r="BB520" s="2635"/>
      <c r="BC520" s="2635"/>
      <c r="BD520" s="2635"/>
      <c r="BE520" s="2635"/>
      <c r="BF520" s="2635"/>
      <c r="BG520" s="2635"/>
      <c r="BH520" s="2635"/>
      <c r="BI520" s="2635"/>
      <c r="BJ520" s="2635"/>
      <c r="BK520" s="2635"/>
      <c r="BL520" s="2635"/>
      <c r="BM520" s="2635"/>
      <c r="BN520" s="2635"/>
      <c r="BO520" s="2635"/>
      <c r="BP520" s="2634">
        <v>2781</v>
      </c>
      <c r="BQ520" s="2634">
        <v>4029</v>
      </c>
      <c r="BR520" s="2644">
        <v>4025</v>
      </c>
      <c r="BS520" s="2634">
        <v>2495</v>
      </c>
      <c r="BT520" s="2634">
        <v>2495</v>
      </c>
      <c r="BU520" s="2634">
        <v>2495</v>
      </c>
      <c r="BV520" s="2644">
        <v>2498</v>
      </c>
      <c r="BW520" s="2634">
        <v>2498</v>
      </c>
      <c r="BX520" s="2634">
        <v>2497</v>
      </c>
      <c r="BY520" s="2634">
        <v>0</v>
      </c>
      <c r="BZ520" s="2644">
        <v>0</v>
      </c>
      <c r="CA520" s="2634">
        <v>0</v>
      </c>
      <c r="CB520" s="2635">
        <f>CA520</f>
        <v>0</v>
      </c>
      <c r="CC520" s="2640">
        <f>CB520</f>
        <v>0</v>
      </c>
      <c r="CD520" s="2642">
        <f>CC520</f>
        <v>0</v>
      </c>
      <c r="CE520" s="2640">
        <f>CD520</f>
        <v>0</v>
      </c>
      <c r="CF520" s="2640">
        <f>CE520</f>
        <v>0</v>
      </c>
      <c r="CG520" s="2635">
        <v>0</v>
      </c>
      <c r="CH520" s="2318">
        <f>CG520</f>
        <v>0</v>
      </c>
      <c r="CI520" s="2635">
        <f>CH520</f>
        <v>0</v>
      </c>
      <c r="CJ520" s="2635">
        <f>CI520</f>
        <v>0</v>
      </c>
      <c r="CK520" s="2635">
        <v>9938</v>
      </c>
      <c r="CL520" s="2318">
        <v>0</v>
      </c>
      <c r="CM520" s="2635">
        <f t="shared" ref="CM520:CV520" si="2247">+CM633</f>
        <v>22087</v>
      </c>
      <c r="CN520" s="2635">
        <f t="shared" si="2247"/>
        <v>21685</v>
      </c>
      <c r="CO520" s="2635">
        <f t="shared" si="2247"/>
        <v>21659</v>
      </c>
      <c r="CP520" s="2318">
        <f t="shared" si="2247"/>
        <v>21507</v>
      </c>
      <c r="CQ520" s="2635">
        <f t="shared" si="2247"/>
        <v>17556</v>
      </c>
      <c r="CR520" s="2635">
        <f t="shared" si="2247"/>
        <v>16537</v>
      </c>
      <c r="CS520" s="2635">
        <f t="shared" si="2247"/>
        <v>16503</v>
      </c>
      <c r="CT520" s="2318">
        <f t="shared" si="2247"/>
        <v>16503</v>
      </c>
      <c r="CU520" s="2635">
        <f t="shared" si="2247"/>
        <v>12503</v>
      </c>
      <c r="CV520" s="2635">
        <f t="shared" si="2247"/>
        <v>12503</v>
      </c>
      <c r="CW520" s="2314">
        <v>10058</v>
      </c>
      <c r="CX520" s="2635"/>
      <c r="CY520" s="2635"/>
      <c r="CZ520" s="2635"/>
      <c r="DA520" s="2313"/>
      <c r="DB520" s="2318"/>
      <c r="DC520" s="2635"/>
      <c r="DD520" s="2635"/>
      <c r="DE520" s="2635"/>
      <c r="DF520" s="2635"/>
      <c r="DG520" s="2635"/>
      <c r="DH520" s="2635"/>
      <c r="DI520" s="2635"/>
      <c r="DJ520" s="2635"/>
      <c r="DK520" s="2635"/>
      <c r="DL520" s="2635"/>
      <c r="DM520" s="2635"/>
      <c r="DN520" s="2635"/>
      <c r="DO520" s="2635"/>
      <c r="DP520" s="2635"/>
      <c r="DQ520" s="2635"/>
      <c r="DR520" s="2635"/>
      <c r="DS520" s="2635"/>
      <c r="DT520" s="2635"/>
      <c r="DU520" s="2635"/>
      <c r="DV520" s="2635"/>
      <c r="DW520" s="2635"/>
      <c r="DX520" s="2635"/>
      <c r="DY520" s="2637"/>
    </row>
    <row r="521" spans="1:129" hidden="1" outlineLevel="1">
      <c r="A521" s="2633" t="s">
        <v>849</v>
      </c>
      <c r="B521" s="2633"/>
      <c r="C521" s="2633"/>
      <c r="D521" s="2634"/>
      <c r="E521" s="2635"/>
      <c r="F521" s="2636"/>
      <c r="G521" s="2634"/>
      <c r="H521" s="2635"/>
      <c r="I521" s="2633"/>
      <c r="J521" s="2634"/>
      <c r="K521" s="2635"/>
      <c r="L521" s="2635"/>
      <c r="M521" s="2635"/>
      <c r="N521" s="2635"/>
      <c r="O521" s="2635">
        <f>+CG521</f>
        <v>2578</v>
      </c>
      <c r="P521" s="2635">
        <f t="shared" si="2228"/>
        <v>9363</v>
      </c>
      <c r="Q521" s="2635">
        <f>+CO521</f>
        <v>0</v>
      </c>
      <c r="R521" s="2635">
        <f>+CS521</f>
        <v>0</v>
      </c>
      <c r="S521" s="2313">
        <f>+CW521</f>
        <v>0</v>
      </c>
      <c r="T521" s="2313">
        <v>0</v>
      </c>
      <c r="U521" s="2635">
        <f t="shared" ref="U521:V521" si="2248">+U653</f>
        <v>0</v>
      </c>
      <c r="V521" s="2635">
        <f t="shared" si="2248"/>
        <v>0</v>
      </c>
      <c r="W521" s="2635">
        <f t="shared" ref="W521:AB521" si="2249">+W653</f>
        <v>0</v>
      </c>
      <c r="X521" s="2635">
        <f t="shared" si="2249"/>
        <v>0</v>
      </c>
      <c r="Y521" s="2635">
        <f t="shared" si="2249"/>
        <v>0</v>
      </c>
      <c r="Z521" s="2635">
        <f t="shared" si="2249"/>
        <v>0</v>
      </c>
      <c r="AA521" s="2635">
        <f t="shared" si="2249"/>
        <v>0</v>
      </c>
      <c r="AB521" s="2635">
        <f t="shared" si="2249"/>
        <v>0</v>
      </c>
      <c r="AC521" s="2635">
        <f t="shared" ref="AC521:AG521" si="2250">+AC653</f>
        <v>0</v>
      </c>
      <c r="AD521" s="2635">
        <f t="shared" si="2250"/>
        <v>0</v>
      </c>
      <c r="AE521" s="2635">
        <f t="shared" si="2250"/>
        <v>0</v>
      </c>
      <c r="AF521" s="2635">
        <f t="shared" si="2250"/>
        <v>0</v>
      </c>
      <c r="AG521" s="2635">
        <f t="shared" si="2250"/>
        <v>0</v>
      </c>
      <c r="AI521" s="1949"/>
      <c r="AK521" s="2635"/>
      <c r="AL521" s="2635"/>
      <c r="AM521" s="2635"/>
      <c r="AN521" s="2635"/>
      <c r="AO521" s="2635"/>
      <c r="AP521" s="2635"/>
      <c r="AQ521" s="2635"/>
      <c r="AR521" s="2635"/>
      <c r="AS521" s="2635"/>
      <c r="AT521" s="2635"/>
      <c r="AU521" s="2635"/>
      <c r="AV521" s="2635"/>
      <c r="AW521" s="2635"/>
      <c r="AX521" s="2635"/>
      <c r="AY521" s="2635"/>
      <c r="AZ521" s="2635"/>
      <c r="BA521" s="2635"/>
      <c r="BB521" s="2635"/>
      <c r="BC521" s="2635"/>
      <c r="BD521" s="2635"/>
      <c r="BE521" s="2635"/>
      <c r="BF521" s="2635"/>
      <c r="BG521" s="2635"/>
      <c r="BH521" s="2635"/>
      <c r="BI521" s="2635"/>
      <c r="BJ521" s="2635"/>
      <c r="BK521" s="2635"/>
      <c r="BL521" s="2635"/>
      <c r="BM521" s="2635"/>
      <c r="BN521" s="2635"/>
      <c r="BO521" s="2635"/>
      <c r="BP521" s="2634">
        <v>4195</v>
      </c>
      <c r="BQ521" s="2634">
        <v>2781</v>
      </c>
      <c r="BR521" s="2644">
        <v>2781</v>
      </c>
      <c r="BS521" s="2634">
        <v>2781</v>
      </c>
      <c r="BT521" s="2634">
        <v>2781</v>
      </c>
      <c r="BU521" s="2634">
        <v>2781</v>
      </c>
      <c r="BV521" s="2644">
        <v>5581</v>
      </c>
      <c r="BW521" s="2634">
        <v>9281</v>
      </c>
      <c r="BX521" s="2634">
        <v>15090</v>
      </c>
      <c r="BY521" s="2634">
        <v>13834</v>
      </c>
      <c r="BZ521" s="2644">
        <v>12275</v>
      </c>
      <c r="CA521" s="2634">
        <v>10573</v>
      </c>
      <c r="CB521" s="2635">
        <v>9160</v>
      </c>
      <c r="CC521" s="2640">
        <f>CB521-910</f>
        <v>8250</v>
      </c>
      <c r="CD521" s="2642">
        <f>CC521-500</f>
        <v>7750</v>
      </c>
      <c r="CE521" s="2640">
        <f>CD521-500</f>
        <v>7250</v>
      </c>
      <c r="CF521" s="2640">
        <f>CE521-500</f>
        <v>6750</v>
      </c>
      <c r="CG521" s="2635">
        <v>2578</v>
      </c>
      <c r="CH521" s="2318">
        <v>2978</v>
      </c>
      <c r="CI521" s="2635">
        <f>+CH521</f>
        <v>2978</v>
      </c>
      <c r="CJ521" s="2635">
        <f>+CI521</f>
        <v>2978</v>
      </c>
      <c r="CK521" s="2635">
        <v>9363</v>
      </c>
      <c r="CL521" s="2318">
        <v>16424</v>
      </c>
      <c r="CM521" s="2635">
        <f>+CM653</f>
        <v>10462</v>
      </c>
      <c r="CN521" s="2635">
        <v>0</v>
      </c>
      <c r="CO521" s="2635">
        <v>0</v>
      </c>
      <c r="CP521" s="2318">
        <v>0</v>
      </c>
      <c r="CQ521" s="2635">
        <v>0</v>
      </c>
      <c r="CR521" s="2635">
        <v>0</v>
      </c>
      <c r="CS521" s="2635">
        <v>0</v>
      </c>
      <c r="CT521" s="2318">
        <v>0</v>
      </c>
      <c r="CU521" s="2635">
        <v>0</v>
      </c>
      <c r="CV521" s="2635">
        <v>0</v>
      </c>
      <c r="CW521" s="2314">
        <v>0</v>
      </c>
      <c r="CX521" s="2635"/>
      <c r="CY521" s="2635"/>
      <c r="CZ521" s="2635"/>
      <c r="DA521" s="2313"/>
      <c r="DB521" s="2318"/>
      <c r="DC521" s="2635"/>
      <c r="DD521" s="2635"/>
      <c r="DE521" s="2635"/>
      <c r="DF521" s="2635"/>
      <c r="DG521" s="2635"/>
      <c r="DH521" s="2635"/>
      <c r="DI521" s="2635"/>
      <c r="DJ521" s="2635"/>
      <c r="DK521" s="2635"/>
      <c r="DL521" s="2635"/>
      <c r="DM521" s="2635"/>
      <c r="DN521" s="2635"/>
      <c r="DO521" s="2635"/>
      <c r="DP521" s="2635"/>
      <c r="DQ521" s="2635"/>
      <c r="DR521" s="2635"/>
      <c r="DS521" s="2635"/>
      <c r="DT521" s="2635"/>
      <c r="DU521" s="2635"/>
      <c r="DV521" s="2635"/>
      <c r="DW521" s="2635"/>
      <c r="DX521" s="2635"/>
      <c r="DY521" s="2637"/>
    </row>
    <row r="522" spans="1:129" hidden="1" outlineLevel="1">
      <c r="A522" s="2633" t="s">
        <v>850</v>
      </c>
      <c r="B522" s="2633"/>
      <c r="C522" s="2633"/>
      <c r="D522" s="2634"/>
      <c r="E522" s="2635"/>
      <c r="F522" s="2636"/>
      <c r="G522" s="2634"/>
      <c r="H522" s="2635"/>
      <c r="I522" s="2633"/>
      <c r="J522" s="2634"/>
      <c r="K522" s="2635"/>
      <c r="L522" s="2635"/>
      <c r="M522" s="2635"/>
      <c r="N522" s="2635"/>
      <c r="O522" s="2635">
        <f>+CG522</f>
        <v>5833</v>
      </c>
      <c r="P522" s="2635">
        <f t="shared" si="2228"/>
        <v>6213</v>
      </c>
      <c r="Q522" s="2635">
        <f>+CO522</f>
        <v>10593</v>
      </c>
      <c r="R522" s="2635">
        <f>+CS522</f>
        <v>10514</v>
      </c>
      <c r="S522" s="2313">
        <f>+CW522</f>
        <v>10862</v>
      </c>
      <c r="T522" s="2313">
        <v>10939</v>
      </c>
      <c r="U522" s="2635">
        <f t="shared" ref="U522:AB523" si="2251">+T522</f>
        <v>10939</v>
      </c>
      <c r="V522" s="2635">
        <f t="shared" si="2251"/>
        <v>10939</v>
      </c>
      <c r="W522" s="2635">
        <f t="shared" si="2251"/>
        <v>10939</v>
      </c>
      <c r="X522" s="2635">
        <f t="shared" si="2251"/>
        <v>10939</v>
      </c>
      <c r="Y522" s="2635">
        <f t="shared" si="2251"/>
        <v>10939</v>
      </c>
      <c r="Z522" s="2635">
        <f t="shared" si="2251"/>
        <v>10939</v>
      </c>
      <c r="AA522" s="2635">
        <f t="shared" si="2251"/>
        <v>10939</v>
      </c>
      <c r="AB522" s="2635">
        <f t="shared" si="2251"/>
        <v>10939</v>
      </c>
      <c r="AC522" s="2635">
        <f t="shared" ref="AC522:AC523" si="2252">+AB522</f>
        <v>10939</v>
      </c>
      <c r="AD522" s="2635">
        <f t="shared" ref="AD522:AD523" si="2253">+AC522</f>
        <v>10939</v>
      </c>
      <c r="AE522" s="2635">
        <f t="shared" ref="AE522:AE523" si="2254">+AD522</f>
        <v>10939</v>
      </c>
      <c r="AF522" s="2635">
        <f t="shared" ref="AF522:AF523" si="2255">+AE522</f>
        <v>10939</v>
      </c>
      <c r="AG522" s="2635">
        <f t="shared" ref="AG522:AG523" si="2256">+AF522</f>
        <v>10939</v>
      </c>
      <c r="AI522" s="1949"/>
      <c r="AK522" s="2635"/>
      <c r="AL522" s="2635"/>
      <c r="AM522" s="2635"/>
      <c r="AN522" s="2635"/>
      <c r="AO522" s="2635"/>
      <c r="AP522" s="2635"/>
      <c r="AQ522" s="2635"/>
      <c r="AR522" s="2635"/>
      <c r="AS522" s="2635"/>
      <c r="AT522" s="2635"/>
      <c r="AU522" s="2635"/>
      <c r="AV522" s="2635"/>
      <c r="AW522" s="2635"/>
      <c r="AX522" s="2635"/>
      <c r="AY522" s="2635"/>
      <c r="AZ522" s="2635"/>
      <c r="BA522" s="2635"/>
      <c r="BB522" s="2635"/>
      <c r="BC522" s="2635"/>
      <c r="BD522" s="2635"/>
      <c r="BE522" s="2635"/>
      <c r="BF522" s="2635"/>
      <c r="BG522" s="2635"/>
      <c r="BH522" s="2635"/>
      <c r="BI522" s="2635"/>
      <c r="BJ522" s="2635"/>
      <c r="BK522" s="2635"/>
      <c r="BL522" s="2635"/>
      <c r="BM522" s="2635"/>
      <c r="BN522" s="2635"/>
      <c r="BO522" s="2635"/>
      <c r="BP522" s="2634">
        <v>414</v>
      </c>
      <c r="BQ522" s="2634"/>
      <c r="BR522" s="2644"/>
      <c r="BS522" s="2634"/>
      <c r="BT522" s="2634"/>
      <c r="BU522" s="2634"/>
      <c r="BV522" s="2644"/>
      <c r="BW522" s="2634"/>
      <c r="BX522" s="2634"/>
      <c r="BY522" s="2635"/>
      <c r="BZ522" s="2318"/>
      <c r="CA522" s="2635"/>
      <c r="CB522" s="2635"/>
      <c r="CC522" s="2635"/>
      <c r="CD522" s="2318"/>
      <c r="CE522" s="2635"/>
      <c r="CF522" s="2635"/>
      <c r="CG522" s="2635">
        <v>5833</v>
      </c>
      <c r="CH522" s="2318"/>
      <c r="CI522" s="2635"/>
      <c r="CJ522" s="2635"/>
      <c r="CK522" s="2635">
        <v>6213</v>
      </c>
      <c r="CL522" s="2318">
        <f>+CK522</f>
        <v>6213</v>
      </c>
      <c r="CM522" s="2635">
        <v>10459</v>
      </c>
      <c r="CN522" s="2635">
        <v>10375</v>
      </c>
      <c r="CO522" s="2635">
        <v>10593</v>
      </c>
      <c r="CP522" s="2318">
        <v>10616</v>
      </c>
      <c r="CQ522" s="2635">
        <v>10416</v>
      </c>
      <c r="CR522" s="2635">
        <v>10390</v>
      </c>
      <c r="CS522" s="2635">
        <v>10514</v>
      </c>
      <c r="CT522" s="2318">
        <f t="shared" ref="CT522:CV523" si="2257">+CS522</f>
        <v>10514</v>
      </c>
      <c r="CU522" s="2635">
        <f t="shared" si="2257"/>
        <v>10514</v>
      </c>
      <c r="CV522" s="2635">
        <f t="shared" si="2257"/>
        <v>10514</v>
      </c>
      <c r="CW522" s="2314">
        <v>10862</v>
      </c>
      <c r="CX522" s="2635"/>
      <c r="CY522" s="2635"/>
      <c r="CZ522" s="2635"/>
      <c r="DA522" s="2313"/>
      <c r="DB522" s="2318"/>
      <c r="DC522" s="2635"/>
      <c r="DD522" s="2635"/>
      <c r="DE522" s="2635"/>
      <c r="DF522" s="2635"/>
      <c r="DG522" s="2635"/>
      <c r="DH522" s="2635"/>
      <c r="DI522" s="2635"/>
      <c r="DJ522" s="2635"/>
      <c r="DK522" s="2635"/>
      <c r="DL522" s="2635"/>
      <c r="DM522" s="2635"/>
      <c r="DN522" s="2635"/>
      <c r="DO522" s="2635"/>
      <c r="DP522" s="2635"/>
      <c r="DQ522" s="2635"/>
      <c r="DR522" s="2635"/>
      <c r="DS522" s="2635"/>
      <c r="DT522" s="2635"/>
      <c r="DU522" s="2635"/>
      <c r="DV522" s="2635"/>
      <c r="DW522" s="2635"/>
      <c r="DX522" s="2635"/>
      <c r="DY522" s="2637"/>
    </row>
    <row r="523" spans="1:129" hidden="1" outlineLevel="1">
      <c r="A523" s="2633" t="s">
        <v>851</v>
      </c>
      <c r="B523" s="2633"/>
      <c r="C523" s="2633"/>
      <c r="D523" s="2634"/>
      <c r="E523" s="2635"/>
      <c r="F523" s="2636"/>
      <c r="G523" s="2634"/>
      <c r="H523" s="2635"/>
      <c r="I523" s="2633"/>
      <c r="J523" s="2634"/>
      <c r="K523" s="2635"/>
      <c r="L523" s="2635"/>
      <c r="M523" s="2635"/>
      <c r="N523" s="2635"/>
      <c r="O523" s="2635">
        <f>+CG523</f>
        <v>944</v>
      </c>
      <c r="P523" s="2635">
        <f t="shared" si="2228"/>
        <v>973</v>
      </c>
      <c r="Q523" s="2635">
        <f>+CO523</f>
        <v>1877</v>
      </c>
      <c r="R523" s="2635">
        <f>+CS523</f>
        <v>1464</v>
      </c>
      <c r="S523" s="2313">
        <f>+CW523</f>
        <v>1516</v>
      </c>
      <c r="T523" s="2313">
        <v>2056</v>
      </c>
      <c r="U523" s="2635">
        <f t="shared" si="2251"/>
        <v>2056</v>
      </c>
      <c r="V523" s="2635">
        <f t="shared" si="2251"/>
        <v>2056</v>
      </c>
      <c r="W523" s="2635">
        <f t="shared" si="2251"/>
        <v>2056</v>
      </c>
      <c r="X523" s="2635">
        <f t="shared" si="2251"/>
        <v>2056</v>
      </c>
      <c r="Y523" s="2635">
        <f t="shared" si="2251"/>
        <v>2056</v>
      </c>
      <c r="Z523" s="2635">
        <f t="shared" si="2251"/>
        <v>2056</v>
      </c>
      <c r="AA523" s="2635">
        <f t="shared" si="2251"/>
        <v>2056</v>
      </c>
      <c r="AB523" s="2635">
        <f t="shared" si="2251"/>
        <v>2056</v>
      </c>
      <c r="AC523" s="2635">
        <f t="shared" si="2252"/>
        <v>2056</v>
      </c>
      <c r="AD523" s="2635">
        <f t="shared" si="2253"/>
        <v>2056</v>
      </c>
      <c r="AE523" s="2635">
        <f t="shared" si="2254"/>
        <v>2056</v>
      </c>
      <c r="AF523" s="2635">
        <f t="shared" si="2255"/>
        <v>2056</v>
      </c>
      <c r="AG523" s="2635">
        <f t="shared" si="2256"/>
        <v>2056</v>
      </c>
      <c r="AI523" s="1949"/>
      <c r="AK523" s="2635"/>
      <c r="AL523" s="2635"/>
      <c r="AM523" s="2635"/>
      <c r="AN523" s="2635"/>
      <c r="AO523" s="2635"/>
      <c r="AP523" s="2635"/>
      <c r="AQ523" s="2635"/>
      <c r="AR523" s="2635"/>
      <c r="AS523" s="2635"/>
      <c r="AT523" s="2635"/>
      <c r="AU523" s="2635"/>
      <c r="AV523" s="2635"/>
      <c r="AW523" s="2635"/>
      <c r="AX523" s="2635"/>
      <c r="AY523" s="2635"/>
      <c r="AZ523" s="2635"/>
      <c r="BA523" s="2635"/>
      <c r="BB523" s="2635"/>
      <c r="BC523" s="2635"/>
      <c r="BD523" s="2635"/>
      <c r="BE523" s="2635"/>
      <c r="BF523" s="2635"/>
      <c r="BG523" s="2635"/>
      <c r="BH523" s="2635"/>
      <c r="BI523" s="2635"/>
      <c r="BJ523" s="2635"/>
      <c r="BK523" s="2635"/>
      <c r="BL523" s="2635"/>
      <c r="BM523" s="2635"/>
      <c r="BN523" s="2635"/>
      <c r="BO523" s="2635"/>
      <c r="BP523" s="2634">
        <v>22820</v>
      </c>
      <c r="BQ523" s="2635"/>
      <c r="BR523" s="2318"/>
      <c r="BS523" s="2635"/>
      <c r="BT523" s="2635"/>
      <c r="BU523" s="2635"/>
      <c r="BV523" s="2318"/>
      <c r="BW523" s="2635"/>
      <c r="BX523" s="2635"/>
      <c r="BY523" s="2635"/>
      <c r="BZ523" s="2318"/>
      <c r="CA523" s="2635"/>
      <c r="CB523" s="2635"/>
      <c r="CC523" s="2635"/>
      <c r="CD523" s="2318"/>
      <c r="CE523" s="2635"/>
      <c r="CF523" s="2635"/>
      <c r="CG523" s="2635">
        <v>944</v>
      </c>
      <c r="CH523" s="2318"/>
      <c r="CI523" s="2635"/>
      <c r="CJ523" s="2635"/>
      <c r="CK523" s="2635">
        <v>973</v>
      </c>
      <c r="CL523" s="2318">
        <f>+CK523</f>
        <v>973</v>
      </c>
      <c r="CM523" s="2635">
        <v>1476</v>
      </c>
      <c r="CN523" s="2635">
        <v>1532</v>
      </c>
      <c r="CO523" s="2635">
        <f>1877</f>
        <v>1877</v>
      </c>
      <c r="CP523" s="2318">
        <v>1690</v>
      </c>
      <c r="CQ523" s="2635">
        <v>1659</v>
      </c>
      <c r="CR523" s="2635">
        <v>1529</v>
      </c>
      <c r="CS523" s="2635">
        <v>1464</v>
      </c>
      <c r="CT523" s="2318">
        <f t="shared" si="2257"/>
        <v>1464</v>
      </c>
      <c r="CU523" s="2635">
        <f t="shared" si="2257"/>
        <v>1464</v>
      </c>
      <c r="CV523" s="2635">
        <f t="shared" si="2257"/>
        <v>1464</v>
      </c>
      <c r="CW523" s="2314">
        <v>1516</v>
      </c>
      <c r="CX523" s="2635"/>
      <c r="CY523" s="2635"/>
      <c r="CZ523" s="2635"/>
      <c r="DA523" s="2313"/>
      <c r="DB523" s="2318"/>
      <c r="DC523" s="2635"/>
      <c r="DD523" s="2635"/>
      <c r="DE523" s="2635"/>
      <c r="DF523" s="2635"/>
      <c r="DG523" s="2635"/>
      <c r="DH523" s="2635"/>
      <c r="DI523" s="2635"/>
      <c r="DJ523" s="2635"/>
      <c r="DK523" s="2635"/>
      <c r="DL523" s="2635"/>
      <c r="DM523" s="2635"/>
      <c r="DN523" s="2635"/>
      <c r="DO523" s="2635"/>
      <c r="DP523" s="2635"/>
      <c r="DQ523" s="2635"/>
      <c r="DR523" s="2635"/>
      <c r="DS523" s="2635"/>
      <c r="DT523" s="2635"/>
      <c r="DU523" s="2635"/>
      <c r="DV523" s="2635"/>
      <c r="DW523" s="2635"/>
      <c r="DX523" s="2635"/>
      <c r="DY523" s="2637"/>
    </row>
    <row r="524" spans="1:129" hidden="1" outlineLevel="1">
      <c r="A524" s="2638" t="s">
        <v>852</v>
      </c>
      <c r="B524" s="2638"/>
      <c r="C524" s="2638"/>
      <c r="D524" s="2639"/>
      <c r="E524" s="2640"/>
      <c r="F524" s="2641"/>
      <c r="G524" s="2639"/>
      <c r="H524" s="2640"/>
      <c r="I524" s="2638"/>
      <c r="J524" s="2639"/>
      <c r="K524" s="2640"/>
      <c r="L524" s="2640"/>
      <c r="M524" s="2640"/>
      <c r="N524" s="2640"/>
      <c r="O524" s="2640">
        <f t="shared" ref="O524:V524" si="2258">SUM(O520:O523)+O519</f>
        <v>19958</v>
      </c>
      <c r="P524" s="2640">
        <f t="shared" si="2258"/>
        <v>36890</v>
      </c>
      <c r="Q524" s="2640">
        <f t="shared" si="2258"/>
        <v>47365</v>
      </c>
      <c r="R524" s="2640">
        <f t="shared" si="2258"/>
        <v>38622</v>
      </c>
      <c r="S524" s="2303">
        <f t="shared" si="2258"/>
        <v>43556</v>
      </c>
      <c r="T524" s="2303">
        <f t="shared" si="2258"/>
        <v>33466</v>
      </c>
      <c r="U524" s="2640" t="e">
        <f t="shared" si="2258"/>
        <v>#REF!</v>
      </c>
      <c r="V524" s="2640" t="e">
        <f t="shared" si="2258"/>
        <v>#REF!</v>
      </c>
      <c r="W524" s="2640" t="e">
        <f t="shared" ref="W524:AB524" si="2259">SUM(W520:W523)+W519</f>
        <v>#REF!</v>
      </c>
      <c r="X524" s="2640" t="e">
        <f t="shared" si="2259"/>
        <v>#REF!</v>
      </c>
      <c r="Y524" s="2640" t="e">
        <f t="shared" si="2259"/>
        <v>#REF!</v>
      </c>
      <c r="Z524" s="2640" t="e">
        <f t="shared" ca="1" si="2259"/>
        <v>#REF!</v>
      </c>
      <c r="AA524" s="2640" t="e">
        <f t="shared" ca="1" si="2259"/>
        <v>#REF!</v>
      </c>
      <c r="AB524" s="2640" t="e">
        <f t="shared" ca="1" si="2259"/>
        <v>#REF!</v>
      </c>
      <c r="AC524" s="2640" t="e">
        <f t="shared" ref="AC524:AG524" ca="1" si="2260">SUM(AC520:AC523)+AC519</f>
        <v>#REF!</v>
      </c>
      <c r="AD524" s="2640" t="e">
        <f t="shared" ca="1" si="2260"/>
        <v>#REF!</v>
      </c>
      <c r="AE524" s="2640" t="e">
        <f t="shared" ca="1" si="2260"/>
        <v>#REF!</v>
      </c>
      <c r="AF524" s="2640" t="e">
        <f t="shared" ca="1" si="2260"/>
        <v>#REF!</v>
      </c>
      <c r="AG524" s="2640" t="e">
        <f t="shared" ca="1" si="2260"/>
        <v>#REF!</v>
      </c>
      <c r="AI524" s="1949"/>
      <c r="AK524" s="2640"/>
      <c r="AL524" s="2640"/>
      <c r="AM524" s="2640"/>
      <c r="AN524" s="2640"/>
      <c r="AO524" s="2640"/>
      <c r="AP524" s="2640"/>
      <c r="AQ524" s="2640"/>
      <c r="AR524" s="2640"/>
      <c r="AS524" s="2640"/>
      <c r="AT524" s="2640"/>
      <c r="AU524" s="2640"/>
      <c r="AV524" s="2640"/>
      <c r="AW524" s="2640"/>
      <c r="AX524" s="2640"/>
      <c r="AY524" s="2640"/>
      <c r="AZ524" s="2640"/>
      <c r="BA524" s="2640"/>
      <c r="BB524" s="2640"/>
      <c r="BC524" s="2640"/>
      <c r="BD524" s="2640"/>
      <c r="BE524" s="2640"/>
      <c r="BF524" s="2640"/>
      <c r="BG524" s="2640"/>
      <c r="BH524" s="2640"/>
      <c r="BI524" s="2640"/>
      <c r="BJ524" s="2640"/>
      <c r="BK524" s="2640"/>
      <c r="BL524" s="2640"/>
      <c r="BM524" s="2640"/>
      <c r="BN524" s="2640"/>
      <c r="BO524" s="2640"/>
      <c r="BP524" s="2639">
        <v>1553</v>
      </c>
      <c r="BQ524" s="2640"/>
      <c r="BR524" s="2642"/>
      <c r="BS524" s="2640"/>
      <c r="BT524" s="2640"/>
      <c r="BU524" s="2640"/>
      <c r="BV524" s="2642"/>
      <c r="BW524" s="2640"/>
      <c r="BX524" s="2640"/>
      <c r="BY524" s="2640"/>
      <c r="BZ524" s="2642"/>
      <c r="CA524" s="2640"/>
      <c r="CB524" s="2640"/>
      <c r="CC524" s="2640"/>
      <c r="CD524" s="2642"/>
      <c r="CE524" s="2640"/>
      <c r="CF524" s="2640"/>
      <c r="CG524" s="2640">
        <f>SUM(CG520:CG523)+CG519</f>
        <v>19958</v>
      </c>
      <c r="CH524" s="2640">
        <f>SUM(CH520:CH523)+CH519</f>
        <v>4953</v>
      </c>
      <c r="CI524" s="2640"/>
      <c r="CJ524" s="2640"/>
      <c r="CK524" s="2640">
        <f t="shared" ref="CK524:CW524" si="2261">SUM(CK520:CK523)+CK519</f>
        <v>36890</v>
      </c>
      <c r="CL524" s="2642">
        <f t="shared" si="2261"/>
        <v>49591.66404494382</v>
      </c>
      <c r="CM524" s="2640">
        <f t="shared" si="2261"/>
        <v>52623</v>
      </c>
      <c r="CN524" s="2640">
        <f t="shared" si="2261"/>
        <v>49980</v>
      </c>
      <c r="CO524" s="2640">
        <f t="shared" si="2261"/>
        <v>47365</v>
      </c>
      <c r="CP524" s="2642">
        <f t="shared" si="2261"/>
        <v>43792</v>
      </c>
      <c r="CQ524" s="2640">
        <f t="shared" si="2261"/>
        <v>39554</v>
      </c>
      <c r="CR524" s="2640">
        <f t="shared" si="2261"/>
        <v>38550</v>
      </c>
      <c r="CS524" s="2640">
        <f t="shared" si="2261"/>
        <v>38622</v>
      </c>
      <c r="CT524" s="2642">
        <f t="shared" si="2261"/>
        <v>39589.69351464435</v>
      </c>
      <c r="CU524" s="2640">
        <f t="shared" si="2261"/>
        <v>34565</v>
      </c>
      <c r="CV524" s="2640">
        <f t="shared" si="2261"/>
        <v>34741.822222222225</v>
      </c>
      <c r="CW524" s="2304">
        <f t="shared" si="2261"/>
        <v>43556</v>
      </c>
      <c r="CX524" s="2635"/>
      <c r="CY524" s="2635"/>
      <c r="CZ524" s="2635"/>
      <c r="DA524" s="2303"/>
      <c r="DB524" s="2642"/>
      <c r="DC524" s="2640"/>
      <c r="DD524" s="2640"/>
      <c r="DE524" s="2640"/>
      <c r="DF524" s="2640"/>
      <c r="DG524" s="2640"/>
      <c r="DH524" s="2640"/>
      <c r="DI524" s="2640"/>
      <c r="DJ524" s="2640"/>
      <c r="DK524" s="2640"/>
      <c r="DL524" s="2640"/>
      <c r="DM524" s="2640"/>
      <c r="DN524" s="2640"/>
      <c r="DO524" s="2640"/>
      <c r="DP524" s="2640"/>
      <c r="DQ524" s="2640"/>
      <c r="DR524" s="2640"/>
      <c r="DS524" s="2640"/>
      <c r="DT524" s="2640"/>
      <c r="DU524" s="2640"/>
      <c r="DV524" s="2640"/>
      <c r="DW524" s="2640"/>
      <c r="DX524" s="2640"/>
      <c r="DY524" s="2643"/>
    </row>
    <row r="525" spans="1:129" hidden="1" outlineLevel="1">
      <c r="A525" s="2633" t="s">
        <v>853</v>
      </c>
      <c r="B525" s="2633"/>
      <c r="C525" s="2633"/>
      <c r="D525" s="2634"/>
      <c r="E525" s="2635"/>
      <c r="F525" s="2636"/>
      <c r="G525" s="2634"/>
      <c r="H525" s="2635"/>
      <c r="I525" s="2633"/>
      <c r="J525" s="2634"/>
      <c r="K525" s="2635"/>
      <c r="L525" s="2635"/>
      <c r="M525" s="2635"/>
      <c r="N525" s="2635"/>
      <c r="O525" s="2635">
        <f t="shared" ref="O525:O532" si="2262">+CG525</f>
        <v>1681</v>
      </c>
      <c r="P525" s="2635">
        <f t="shared" ref="P525:P532" si="2263">+CK525</f>
        <v>1692</v>
      </c>
      <c r="Q525" s="2635">
        <f t="shared" ref="Q525:Q530" si="2264">+CO525</f>
        <v>1988</v>
      </c>
      <c r="R525" s="2635">
        <f t="shared" ref="R525:R530" si="2265">+CS525</f>
        <v>1962</v>
      </c>
      <c r="S525" s="2313">
        <f>+CW525</f>
        <v>1952</v>
      </c>
      <c r="T525" s="2313">
        <v>2044</v>
      </c>
      <c r="U525" s="2635">
        <f t="shared" ref="U525:AB525" si="2266">+T525</f>
        <v>2044</v>
      </c>
      <c r="V525" s="2635">
        <f t="shared" si="2266"/>
        <v>2044</v>
      </c>
      <c r="W525" s="2635">
        <f t="shared" si="2266"/>
        <v>2044</v>
      </c>
      <c r="X525" s="2635">
        <f t="shared" si="2266"/>
        <v>2044</v>
      </c>
      <c r="Y525" s="2635">
        <f t="shared" si="2266"/>
        <v>2044</v>
      </c>
      <c r="Z525" s="2635">
        <f t="shared" si="2266"/>
        <v>2044</v>
      </c>
      <c r="AA525" s="2635">
        <f t="shared" si="2266"/>
        <v>2044</v>
      </c>
      <c r="AB525" s="2635">
        <f t="shared" si="2266"/>
        <v>2044</v>
      </c>
      <c r="AC525" s="2635">
        <f t="shared" ref="AC525" si="2267">+AB525</f>
        <v>2044</v>
      </c>
      <c r="AD525" s="2635">
        <f t="shared" ref="AD525" si="2268">+AC525</f>
        <v>2044</v>
      </c>
      <c r="AE525" s="2635">
        <f t="shared" ref="AE525" si="2269">+AD525</f>
        <v>2044</v>
      </c>
      <c r="AF525" s="2635">
        <f t="shared" ref="AF525" si="2270">+AE525</f>
        <v>2044</v>
      </c>
      <c r="AG525" s="2635">
        <f t="shared" ref="AG525" si="2271">+AF525</f>
        <v>2044</v>
      </c>
      <c r="AI525" s="1949"/>
      <c r="AK525" s="2635"/>
      <c r="AL525" s="2635"/>
      <c r="AM525" s="2635"/>
      <c r="AN525" s="2635"/>
      <c r="AO525" s="2635"/>
      <c r="AP525" s="2635"/>
      <c r="AQ525" s="2635"/>
      <c r="AR525" s="2635"/>
      <c r="AS525" s="2635"/>
      <c r="AT525" s="2635"/>
      <c r="AU525" s="2635"/>
      <c r="AV525" s="2635"/>
      <c r="AW525" s="2635"/>
      <c r="AX525" s="2635"/>
      <c r="AY525" s="2635"/>
      <c r="AZ525" s="2635"/>
      <c r="BA525" s="2635"/>
      <c r="BB525" s="2635"/>
      <c r="BC525" s="2635"/>
      <c r="BD525" s="2635"/>
      <c r="BE525" s="2635"/>
      <c r="BF525" s="2635"/>
      <c r="BG525" s="2635"/>
      <c r="BH525" s="2635"/>
      <c r="BI525" s="2635"/>
      <c r="BJ525" s="2635"/>
      <c r="BK525" s="2635"/>
      <c r="BL525" s="2635"/>
      <c r="BM525" s="2635"/>
      <c r="BN525" s="2635"/>
      <c r="BO525" s="2635"/>
      <c r="BP525" s="2634">
        <v>20000</v>
      </c>
      <c r="BQ525" s="2635"/>
      <c r="BR525" s="2318"/>
      <c r="BS525" s="2635"/>
      <c r="BT525" s="2635"/>
      <c r="BU525" s="2635"/>
      <c r="BV525" s="2318"/>
      <c r="BW525" s="2635"/>
      <c r="BX525" s="2635"/>
      <c r="BY525" s="2635"/>
      <c r="BZ525" s="2318"/>
      <c r="CA525" s="2635"/>
      <c r="CB525" s="2635"/>
      <c r="CC525" s="2635"/>
      <c r="CD525" s="2318"/>
      <c r="CE525" s="2635"/>
      <c r="CF525" s="2635"/>
      <c r="CG525" s="2635">
        <v>1681</v>
      </c>
      <c r="CH525" s="2318"/>
      <c r="CI525" s="2635"/>
      <c r="CJ525" s="2635"/>
      <c r="CK525" s="2635">
        <v>1692</v>
      </c>
      <c r="CL525" s="2318">
        <f>+CK525</f>
        <v>1692</v>
      </c>
      <c r="CM525" s="2635">
        <v>1944</v>
      </c>
      <c r="CN525" s="2635">
        <v>1997</v>
      </c>
      <c r="CO525" s="2635">
        <v>1988</v>
      </c>
      <c r="CP525" s="2318">
        <v>1997</v>
      </c>
      <c r="CQ525" s="2635">
        <v>1948</v>
      </c>
      <c r="CR525" s="2635">
        <v>1973</v>
      </c>
      <c r="CS525" s="2635">
        <v>1962</v>
      </c>
      <c r="CT525" s="2318">
        <f>+CS525</f>
        <v>1962</v>
      </c>
      <c r="CU525" s="2635">
        <f>+CT525</f>
        <v>1962</v>
      </c>
      <c r="CV525" s="2635">
        <f>+CU525</f>
        <v>1962</v>
      </c>
      <c r="CW525" s="2314">
        <v>1952</v>
      </c>
      <c r="CX525" s="2635"/>
      <c r="CY525" s="2635"/>
      <c r="CZ525" s="2635"/>
      <c r="DA525" s="2313"/>
      <c r="DB525" s="2318"/>
      <c r="DC525" s="2635"/>
      <c r="DD525" s="2635"/>
      <c r="DE525" s="2635"/>
      <c r="DF525" s="2635"/>
      <c r="DG525" s="2635"/>
      <c r="DH525" s="2635"/>
      <c r="DI525" s="2635"/>
      <c r="DJ525" s="2635"/>
      <c r="DK525" s="2635"/>
      <c r="DL525" s="2635"/>
      <c r="DM525" s="2635"/>
      <c r="DN525" s="2635"/>
      <c r="DO525" s="2635"/>
      <c r="DP525" s="2635"/>
      <c r="DQ525" s="2635"/>
      <c r="DR525" s="2635"/>
      <c r="DS525" s="2635"/>
      <c r="DT525" s="2635"/>
      <c r="DU525" s="2635"/>
      <c r="DV525" s="2635"/>
      <c r="DW525" s="2635"/>
      <c r="DX525" s="2635"/>
      <c r="DY525" s="2637"/>
    </row>
    <row r="526" spans="1:129" hidden="1" outlineLevel="1">
      <c r="A526" s="2633" t="s">
        <v>854</v>
      </c>
      <c r="B526" s="2633"/>
      <c r="C526" s="2633"/>
      <c r="D526" s="2634"/>
      <c r="E526" s="2635"/>
      <c r="F526" s="2636"/>
      <c r="G526" s="2634"/>
      <c r="H526" s="2635"/>
      <c r="I526" s="2633"/>
      <c r="J526" s="2634"/>
      <c r="K526" s="2635"/>
      <c r="L526" s="2635"/>
      <c r="M526" s="2635"/>
      <c r="N526" s="2635"/>
      <c r="O526" s="2635">
        <f t="shared" si="2262"/>
        <v>0</v>
      </c>
      <c r="P526" s="2635">
        <f t="shared" si="2263"/>
        <v>0</v>
      </c>
      <c r="Q526" s="2635">
        <f t="shared" si="2264"/>
        <v>0</v>
      </c>
      <c r="R526" s="2635">
        <f t="shared" si="2265"/>
        <v>0</v>
      </c>
      <c r="S526" s="2313"/>
      <c r="T526" s="2313"/>
      <c r="U526" s="2635"/>
      <c r="V526" s="2635"/>
      <c r="W526" s="2635"/>
      <c r="X526" s="2635"/>
      <c r="Y526" s="2635"/>
      <c r="Z526" s="2635"/>
      <c r="AA526" s="2635"/>
      <c r="AB526" s="2635"/>
      <c r="AC526" s="2635"/>
      <c r="AD526" s="2635"/>
      <c r="AE526" s="2635"/>
      <c r="AF526" s="2635"/>
      <c r="AG526" s="2635"/>
      <c r="AI526" s="1949"/>
      <c r="AK526" s="2635"/>
      <c r="AL526" s="2635"/>
      <c r="AM526" s="2635"/>
      <c r="AN526" s="2635"/>
      <c r="AO526" s="2635"/>
      <c r="AP526" s="2635"/>
      <c r="AQ526" s="2635"/>
      <c r="AR526" s="2635"/>
      <c r="AS526" s="2635"/>
      <c r="AT526" s="2635"/>
      <c r="AU526" s="2635"/>
      <c r="AV526" s="2635"/>
      <c r="AW526" s="2635"/>
      <c r="AX526" s="2635"/>
      <c r="AY526" s="2635"/>
      <c r="AZ526" s="2635"/>
      <c r="BA526" s="2635"/>
      <c r="BB526" s="2635"/>
      <c r="BC526" s="2635"/>
      <c r="BD526" s="2635"/>
      <c r="BE526" s="2635"/>
      <c r="BF526" s="2635"/>
      <c r="BG526" s="2635"/>
      <c r="BH526" s="2635"/>
      <c r="BI526" s="2635"/>
      <c r="BJ526" s="2635"/>
      <c r="BK526" s="2635"/>
      <c r="BL526" s="2635"/>
      <c r="BM526" s="2635"/>
      <c r="BN526" s="2635"/>
      <c r="BO526" s="2635"/>
      <c r="BP526" s="2636"/>
      <c r="BQ526" s="2635"/>
      <c r="BR526" s="2318"/>
      <c r="BS526" s="2635"/>
      <c r="BT526" s="2635"/>
      <c r="BU526" s="2635"/>
      <c r="BV526" s="2318"/>
      <c r="BW526" s="2635"/>
      <c r="BX526" s="2635"/>
      <c r="BY526" s="2635"/>
      <c r="BZ526" s="2318"/>
      <c r="CA526" s="2635"/>
      <c r="CB526" s="2635"/>
      <c r="CC526" s="2635"/>
      <c r="CD526" s="2318"/>
      <c r="CE526" s="2635"/>
      <c r="CF526" s="2635"/>
      <c r="CG526" s="2635"/>
      <c r="CH526" s="2318"/>
      <c r="CI526" s="2635"/>
      <c r="CJ526" s="2635"/>
      <c r="CK526" s="2635"/>
      <c r="CL526" s="2318"/>
      <c r="CM526" s="2635"/>
      <c r="CN526" s="2635"/>
      <c r="CO526" s="2635"/>
      <c r="CP526" s="2318"/>
      <c r="CQ526" s="2635"/>
      <c r="CR526" s="2635"/>
      <c r="CS526" s="2635"/>
      <c r="CT526" s="2318"/>
      <c r="CU526" s="2635"/>
      <c r="CV526" s="2635"/>
      <c r="CW526" s="2314"/>
      <c r="CX526" s="2635"/>
      <c r="CY526" s="2635"/>
      <c r="CZ526" s="2635"/>
      <c r="DA526" s="2313"/>
      <c r="DB526" s="2318"/>
      <c r="DC526" s="2635"/>
      <c r="DD526" s="2635"/>
      <c r="DE526" s="2635"/>
      <c r="DF526" s="2635"/>
      <c r="DG526" s="2635"/>
      <c r="DH526" s="2635"/>
      <c r="DI526" s="2635"/>
      <c r="DJ526" s="2635"/>
      <c r="DK526" s="2635"/>
      <c r="DL526" s="2635"/>
      <c r="DM526" s="2635"/>
      <c r="DN526" s="2635"/>
      <c r="DO526" s="2635"/>
      <c r="DP526" s="2635"/>
      <c r="DQ526" s="2635"/>
      <c r="DR526" s="2635"/>
      <c r="DS526" s="2635"/>
      <c r="DT526" s="2635"/>
      <c r="DU526" s="2635"/>
      <c r="DV526" s="2635"/>
      <c r="DW526" s="2635"/>
      <c r="DX526" s="2635"/>
      <c r="DY526" s="2637"/>
    </row>
    <row r="527" spans="1:129" hidden="1" outlineLevel="1">
      <c r="A527" s="2633" t="s">
        <v>855</v>
      </c>
      <c r="B527" s="2633"/>
      <c r="C527" s="2633"/>
      <c r="D527" s="2636"/>
      <c r="E527" s="2635"/>
      <c r="F527" s="2636"/>
      <c r="G527" s="2636"/>
      <c r="H527" s="2635"/>
      <c r="I527" s="2635"/>
      <c r="J527" s="2636"/>
      <c r="K527" s="2635"/>
      <c r="L527" s="2635"/>
      <c r="M527" s="2635"/>
      <c r="N527" s="2635"/>
      <c r="O527" s="2635">
        <f t="shared" si="2262"/>
        <v>0</v>
      </c>
      <c r="P527" s="2635">
        <f t="shared" si="2263"/>
        <v>0</v>
      </c>
      <c r="Q527" s="2635">
        <f t="shared" si="2264"/>
        <v>0</v>
      </c>
      <c r="R527" s="2635">
        <f t="shared" si="2265"/>
        <v>0</v>
      </c>
      <c r="S527" s="2313"/>
      <c r="T527" s="2313"/>
      <c r="U527" s="2635"/>
      <c r="V527" s="2635"/>
      <c r="W527" s="2635"/>
      <c r="X527" s="2635"/>
      <c r="Y527" s="2635"/>
      <c r="Z527" s="2635"/>
      <c r="AA527" s="2635"/>
      <c r="AB527" s="2635"/>
      <c r="AC527" s="2635"/>
      <c r="AD527" s="2635"/>
      <c r="AE527" s="2635"/>
      <c r="AF527" s="2635"/>
      <c r="AG527" s="2635"/>
      <c r="AI527" s="1949"/>
      <c r="AK527" s="2635"/>
      <c r="AL527" s="2635"/>
      <c r="AM527" s="2635"/>
      <c r="AN527" s="2635"/>
      <c r="AO527" s="2635"/>
      <c r="AP527" s="2635"/>
      <c r="AQ527" s="2635"/>
      <c r="AR527" s="2635"/>
      <c r="AS527" s="2635"/>
      <c r="AT527" s="2635"/>
      <c r="AU527" s="2635"/>
      <c r="AV527" s="2635"/>
      <c r="AW527" s="2635"/>
      <c r="AX527" s="2635"/>
      <c r="AY527" s="2635"/>
      <c r="AZ527" s="2635"/>
      <c r="BA527" s="2635"/>
      <c r="BB527" s="2635"/>
      <c r="BC527" s="2635"/>
      <c r="BD527" s="2635"/>
      <c r="BE527" s="2635"/>
      <c r="BF527" s="2635"/>
      <c r="BG527" s="2635"/>
      <c r="BH527" s="2635"/>
      <c r="BI527" s="2635"/>
      <c r="BJ527" s="2635"/>
      <c r="BK527" s="2635"/>
      <c r="BL527" s="2635"/>
      <c r="BM527" s="2635"/>
      <c r="BN527" s="2635"/>
      <c r="BO527" s="2635"/>
      <c r="BP527" s="2636"/>
      <c r="BQ527" s="2635"/>
      <c r="BR527" s="2318"/>
      <c r="BS527" s="2635"/>
      <c r="BT527" s="2635"/>
      <c r="BU527" s="2635"/>
      <c r="BV527" s="2318"/>
      <c r="BW527" s="2635"/>
      <c r="BX527" s="2635"/>
      <c r="BY527" s="2635"/>
      <c r="BZ527" s="2318"/>
      <c r="CA527" s="2635"/>
      <c r="CB527" s="2635"/>
      <c r="CC527" s="2635"/>
      <c r="CD527" s="2318"/>
      <c r="CE527" s="2635"/>
      <c r="CF527" s="2635"/>
      <c r="CG527" s="2635"/>
      <c r="CH527" s="2318"/>
      <c r="CI527" s="2635"/>
      <c r="CJ527" s="2635"/>
      <c r="CK527" s="2635"/>
      <c r="CL527" s="2318"/>
      <c r="CM527" s="2635"/>
      <c r="CN527" s="2635"/>
      <c r="CO527" s="2635"/>
      <c r="CP527" s="2318"/>
      <c r="CQ527" s="2635"/>
      <c r="CR527" s="2635"/>
      <c r="CS527" s="2635"/>
      <c r="CT527" s="2318"/>
      <c r="CU527" s="2635"/>
      <c r="CV527" s="2635"/>
      <c r="CW527" s="2314"/>
      <c r="CX527" s="2635"/>
      <c r="CY527" s="2635"/>
      <c r="CZ527" s="2635"/>
      <c r="DA527" s="2313"/>
      <c r="DB527" s="2318"/>
      <c r="DC527" s="2635"/>
      <c r="DD527" s="2635"/>
      <c r="DE527" s="2635"/>
      <c r="DF527" s="2635"/>
      <c r="DG527" s="2635"/>
      <c r="DH527" s="2635"/>
      <c r="DI527" s="2635"/>
      <c r="DJ527" s="2635"/>
      <c r="DK527" s="2635"/>
      <c r="DL527" s="2635"/>
      <c r="DM527" s="2635"/>
      <c r="DN527" s="2635"/>
      <c r="DO527" s="2635"/>
      <c r="DP527" s="2635"/>
      <c r="DQ527" s="2635"/>
      <c r="DR527" s="2635"/>
      <c r="DS527" s="2635"/>
      <c r="DT527" s="2635"/>
      <c r="DU527" s="2635"/>
      <c r="DV527" s="2635"/>
      <c r="DW527" s="2635"/>
      <c r="DX527" s="2635"/>
      <c r="DY527" s="2637"/>
    </row>
    <row r="528" spans="1:129" hidden="1" outlineLevel="1">
      <c r="A528" s="2633" t="s">
        <v>856</v>
      </c>
      <c r="B528" s="2633"/>
      <c r="C528" s="2633"/>
      <c r="D528" s="2636"/>
      <c r="E528" s="2635"/>
      <c r="F528" s="2636"/>
      <c r="G528" s="2636"/>
      <c r="H528" s="2635"/>
      <c r="I528" s="2635"/>
      <c r="J528" s="2636"/>
      <c r="K528" s="2635"/>
      <c r="L528" s="2635"/>
      <c r="M528" s="2635"/>
      <c r="N528" s="2635"/>
      <c r="O528" s="2635">
        <f t="shared" si="2262"/>
        <v>62404</v>
      </c>
      <c r="P528" s="2635">
        <f t="shared" si="2263"/>
        <v>73410</v>
      </c>
      <c r="Q528" s="2635">
        <f t="shared" si="2264"/>
        <v>84886</v>
      </c>
      <c r="R528" s="2635">
        <f t="shared" si="2265"/>
        <v>97399</v>
      </c>
      <c r="S528" s="2313">
        <f>+CW528</f>
        <v>100961</v>
      </c>
      <c r="T528" s="2313">
        <v>106119</v>
      </c>
      <c r="U528" s="2635">
        <f t="shared" ref="U528:AB528" si="2272">+T528+U92+U563</f>
        <v>110475.18777777778</v>
      </c>
      <c r="V528" s="2635">
        <f t="shared" si="2272"/>
        <v>-5256.5166666666628</v>
      </c>
      <c r="W528" s="2635">
        <f t="shared" si="2272"/>
        <v>25276.054444444446</v>
      </c>
      <c r="X528" s="2635">
        <f t="shared" si="2272"/>
        <v>45982.413333333338</v>
      </c>
      <c r="Y528" s="2635">
        <f t="shared" si="2272"/>
        <v>61207.491111111114</v>
      </c>
      <c r="Z528" s="2635">
        <f t="shared" ca="1" si="2272"/>
        <v>86860.049419513263</v>
      </c>
      <c r="AA528" s="2635">
        <f t="shared" ca="1" si="2272"/>
        <v>112683.00816316823</v>
      </c>
      <c r="AB528" s="2635">
        <f t="shared" ca="1" si="2272"/>
        <v>139319.42426476144</v>
      </c>
      <c r="AC528" s="2635">
        <f t="shared" ref="AC528" ca="1" si="2273">+AB528+AC92+AC563</f>
        <v>166838.50709145173</v>
      </c>
      <c r="AD528" s="2635">
        <f t="shared" ref="AD528" ca="1" si="2274">+AC528+AD92+AD563</f>
        <v>195301.58699025062</v>
      </c>
      <c r="AE528" s="2635">
        <f t="shared" ref="AE528" ca="1" si="2275">+AD528+AE92+AE563</f>
        <v>224772.35953100701</v>
      </c>
      <c r="AF528" s="2635">
        <f t="shared" ref="AF528" ca="1" si="2276">+AE528+AF92+AF563</f>
        <v>255321.47405251238</v>
      </c>
      <c r="AG528" s="2635">
        <f t="shared" ref="AG528" ca="1" si="2277">+AF528+AG92+AG563</f>
        <v>287004.37251346651</v>
      </c>
      <c r="AI528" s="1949"/>
      <c r="AK528" s="2635"/>
      <c r="AL528" s="2635"/>
      <c r="AM528" s="2635"/>
      <c r="AN528" s="2635"/>
      <c r="AO528" s="2635"/>
      <c r="AP528" s="2635"/>
      <c r="AQ528" s="2635"/>
      <c r="AR528" s="2635"/>
      <c r="AS528" s="2635"/>
      <c r="AT528" s="2635"/>
      <c r="AU528" s="2635"/>
      <c r="AV528" s="2635"/>
      <c r="AW528" s="2635"/>
      <c r="AX528" s="2635"/>
      <c r="AY528" s="2635"/>
      <c r="AZ528" s="2635"/>
      <c r="BA528" s="2635"/>
      <c r="BB528" s="2635"/>
      <c r="BC528" s="2635"/>
      <c r="BD528" s="2635"/>
      <c r="BE528" s="2635"/>
      <c r="BF528" s="2635"/>
      <c r="BG528" s="2635"/>
      <c r="BH528" s="2635"/>
      <c r="BI528" s="2635"/>
      <c r="BJ528" s="2635"/>
      <c r="BK528" s="2635"/>
      <c r="BL528" s="2635"/>
      <c r="BM528" s="2635"/>
      <c r="BN528" s="2635"/>
      <c r="BO528" s="2635"/>
      <c r="BP528" s="2634">
        <v>20143</v>
      </c>
      <c r="BQ528" s="2635"/>
      <c r="BR528" s="2318"/>
      <c r="BS528" s="2635"/>
      <c r="BT528" s="2635"/>
      <c r="BU528" s="2635"/>
      <c r="BV528" s="2318"/>
      <c r="BW528" s="2635"/>
      <c r="BX528" s="2635"/>
      <c r="BY528" s="2635"/>
      <c r="BZ528" s="2318"/>
      <c r="CA528" s="2635"/>
      <c r="CB528" s="2635"/>
      <c r="CC528" s="2635"/>
      <c r="CD528" s="2318"/>
      <c r="CE528" s="2635"/>
      <c r="CF528" s="2635"/>
      <c r="CG528" s="2635">
        <v>62404</v>
      </c>
      <c r="CH528" s="2318"/>
      <c r="CI528" s="2635"/>
      <c r="CJ528" s="2635"/>
      <c r="CK528" s="2635">
        <v>73410</v>
      </c>
      <c r="CL528" s="2318">
        <f>78069-CL525</f>
        <v>76377</v>
      </c>
      <c r="CM528" s="2635">
        <v>79228</v>
      </c>
      <c r="CN528" s="2635">
        <v>81893</v>
      </c>
      <c r="CO528" s="2635">
        <v>84886</v>
      </c>
      <c r="CP528" s="2318">
        <v>88030</v>
      </c>
      <c r="CQ528" s="2635">
        <v>90504</v>
      </c>
      <c r="CR528" s="2635">
        <v>93756</v>
      </c>
      <c r="CS528" s="2635">
        <v>97399</v>
      </c>
      <c r="CT528" s="2318">
        <f>+CS528+CT92+CT563</f>
        <v>100365.375</v>
      </c>
      <c r="CU528" s="2635">
        <f>+CT528+CU92+CU563</f>
        <v>103642.06</v>
      </c>
      <c r="CV528" s="2635">
        <f>+CU528+CV92+CV563</f>
        <v>107334.61499999999</v>
      </c>
      <c r="CW528" s="2314">
        <v>100961</v>
      </c>
      <c r="CX528" s="2635"/>
      <c r="CY528" s="2635"/>
      <c r="CZ528" s="2635"/>
      <c r="DA528" s="2313"/>
      <c r="DB528" s="2318"/>
      <c r="DC528" s="2635"/>
      <c r="DD528" s="2635"/>
      <c r="DE528" s="2635"/>
      <c r="DF528" s="2635"/>
      <c r="DG528" s="2635"/>
      <c r="DH528" s="2635"/>
      <c r="DI528" s="2635"/>
      <c r="DJ528" s="2635"/>
      <c r="DK528" s="2635"/>
      <c r="DL528" s="2635"/>
      <c r="DM528" s="2635"/>
      <c r="DN528" s="2635"/>
      <c r="DO528" s="2635"/>
      <c r="DP528" s="2635"/>
      <c r="DQ528" s="2635"/>
      <c r="DR528" s="2635"/>
      <c r="DS528" s="2635"/>
      <c r="DT528" s="2635"/>
      <c r="DU528" s="2635"/>
      <c r="DV528" s="2635"/>
      <c r="DW528" s="2635"/>
      <c r="DX528" s="2635"/>
      <c r="DY528" s="2637"/>
    </row>
    <row r="529" spans="1:129" hidden="1" outlineLevel="1">
      <c r="A529" s="2633" t="s">
        <v>857</v>
      </c>
      <c r="B529" s="2633"/>
      <c r="C529" s="2633"/>
      <c r="D529" s="2634"/>
      <c r="E529" s="2635"/>
      <c r="F529" s="2636"/>
      <c r="G529" s="2634"/>
      <c r="H529" s="2635"/>
      <c r="I529" s="2633"/>
      <c r="J529" s="2634"/>
      <c r="K529" s="2635"/>
      <c r="L529" s="2635"/>
      <c r="M529" s="2635"/>
      <c r="N529" s="2635"/>
      <c r="O529" s="2635">
        <f t="shared" si="2262"/>
        <v>0</v>
      </c>
      <c r="P529" s="2635">
        <f t="shared" si="2263"/>
        <v>0</v>
      </c>
      <c r="Q529" s="2635">
        <f t="shared" si="2264"/>
        <v>0</v>
      </c>
      <c r="R529" s="2635">
        <f t="shared" si="2265"/>
        <v>0</v>
      </c>
      <c r="S529" s="2313"/>
      <c r="T529" s="2313"/>
      <c r="U529" s="2635"/>
      <c r="V529" s="2635"/>
      <c r="W529" s="2635"/>
      <c r="X529" s="2635"/>
      <c r="Y529" s="2635"/>
      <c r="Z529" s="2635"/>
      <c r="AA529" s="2635"/>
      <c r="AB529" s="2635"/>
      <c r="AC529" s="2635"/>
      <c r="AD529" s="2635"/>
      <c r="AE529" s="2635"/>
      <c r="AF529" s="2635"/>
      <c r="AG529" s="2635"/>
      <c r="AI529" s="1949"/>
      <c r="AK529" s="2635"/>
      <c r="AL529" s="2635"/>
      <c r="AM529" s="2635"/>
      <c r="AN529" s="2635"/>
      <c r="AO529" s="2635"/>
      <c r="AP529" s="2635"/>
      <c r="AQ529" s="2635"/>
      <c r="AR529" s="2635"/>
      <c r="AS529" s="2635"/>
      <c r="AT529" s="2635"/>
      <c r="AU529" s="2635"/>
      <c r="AV529" s="2635"/>
      <c r="AW529" s="2635"/>
      <c r="AX529" s="2635"/>
      <c r="AY529" s="2635"/>
      <c r="AZ529" s="2635"/>
      <c r="BA529" s="2635"/>
      <c r="BB529" s="2635"/>
      <c r="BC529" s="2635"/>
      <c r="BD529" s="2635"/>
      <c r="BE529" s="2635"/>
      <c r="BF529" s="2635"/>
      <c r="BG529" s="2635"/>
      <c r="BH529" s="2635"/>
      <c r="BI529" s="2635"/>
      <c r="BJ529" s="2635"/>
      <c r="BK529" s="2635"/>
      <c r="BL529" s="2635"/>
      <c r="BM529" s="2635"/>
      <c r="BN529" s="2635"/>
      <c r="BO529" s="2635"/>
      <c r="BP529" s="2634">
        <v>4</v>
      </c>
      <c r="BQ529" s="2635"/>
      <c r="BR529" s="2318"/>
      <c r="BS529" s="2635"/>
      <c r="BT529" s="2635"/>
      <c r="BU529" s="2635"/>
      <c r="BV529" s="2318"/>
      <c r="BW529" s="2635"/>
      <c r="BX529" s="2635"/>
      <c r="BY529" s="2635"/>
      <c r="BZ529" s="2318"/>
      <c r="CA529" s="2635"/>
      <c r="CB529" s="2635"/>
      <c r="CC529" s="2635"/>
      <c r="CD529" s="2318"/>
      <c r="CE529" s="2635"/>
      <c r="CF529" s="2635"/>
      <c r="CG529" s="2635"/>
      <c r="CH529" s="2318"/>
      <c r="CI529" s="2635"/>
      <c r="CJ529" s="2635"/>
      <c r="CK529" s="2635"/>
      <c r="CL529" s="2318"/>
      <c r="CM529" s="2635"/>
      <c r="CN529" s="2635"/>
      <c r="CO529" s="2635"/>
      <c r="CP529" s="2318"/>
      <c r="CQ529" s="2635"/>
      <c r="CR529" s="2635"/>
      <c r="CS529" s="2635"/>
      <c r="CT529" s="2318"/>
      <c r="CU529" s="2635"/>
      <c r="CV529" s="2635"/>
      <c r="CW529" s="2314"/>
      <c r="CX529" s="2635"/>
      <c r="CY529" s="2635"/>
      <c r="CZ529" s="2635"/>
      <c r="DA529" s="2313"/>
      <c r="DB529" s="2318"/>
      <c r="DC529" s="2635"/>
      <c r="DD529" s="2635"/>
      <c r="DE529" s="2635"/>
      <c r="DF529" s="2635"/>
      <c r="DG529" s="2635"/>
      <c r="DH529" s="2635"/>
      <c r="DI529" s="2635"/>
      <c r="DJ529" s="2635"/>
      <c r="DK529" s="2635"/>
      <c r="DL529" s="2635"/>
      <c r="DM529" s="2635"/>
      <c r="DN529" s="2635"/>
      <c r="DO529" s="2635"/>
      <c r="DP529" s="2635"/>
      <c r="DQ529" s="2635"/>
      <c r="DR529" s="2635"/>
      <c r="DS529" s="2635"/>
      <c r="DT529" s="2635"/>
      <c r="DU529" s="2635"/>
      <c r="DV529" s="2635"/>
      <c r="DW529" s="2635"/>
      <c r="DX529" s="2635"/>
      <c r="DY529" s="2637"/>
    </row>
    <row r="530" spans="1:129" hidden="1" outlineLevel="1">
      <c r="A530" s="2633" t="s">
        <v>858</v>
      </c>
      <c r="B530" s="2633"/>
      <c r="C530" s="2633"/>
      <c r="D530" s="2634"/>
      <c r="E530" s="2635"/>
      <c r="F530" s="2636"/>
      <c r="G530" s="2634"/>
      <c r="H530" s="2635"/>
      <c r="I530" s="2633"/>
      <c r="J530" s="2634"/>
      <c r="K530" s="2635"/>
      <c r="L530" s="2635"/>
      <c r="M530" s="2635"/>
      <c r="N530" s="2635"/>
      <c r="O530" s="2635">
        <f t="shared" si="2262"/>
        <v>-50</v>
      </c>
      <c r="P530" s="2635">
        <f t="shared" si="2263"/>
        <v>-116</v>
      </c>
      <c r="Q530" s="2635">
        <f t="shared" si="2264"/>
        <v>113</v>
      </c>
      <c r="R530" s="2635">
        <f t="shared" si="2265"/>
        <v>61</v>
      </c>
      <c r="S530" s="2313">
        <f>+CW530</f>
        <v>63</v>
      </c>
      <c r="T530" s="2313">
        <v>84</v>
      </c>
      <c r="U530" s="2635">
        <f t="shared" ref="U530:AB530" si="2278">+T530</f>
        <v>84</v>
      </c>
      <c r="V530" s="2635">
        <f t="shared" si="2278"/>
        <v>84</v>
      </c>
      <c r="W530" s="2635">
        <f t="shared" si="2278"/>
        <v>84</v>
      </c>
      <c r="X530" s="2635">
        <f t="shared" si="2278"/>
        <v>84</v>
      </c>
      <c r="Y530" s="2635">
        <f t="shared" si="2278"/>
        <v>84</v>
      </c>
      <c r="Z530" s="2635">
        <f t="shared" si="2278"/>
        <v>84</v>
      </c>
      <c r="AA530" s="2635">
        <f t="shared" si="2278"/>
        <v>84</v>
      </c>
      <c r="AB530" s="2635">
        <f t="shared" si="2278"/>
        <v>84</v>
      </c>
      <c r="AC530" s="2635">
        <f t="shared" ref="AC530" si="2279">+AB530</f>
        <v>84</v>
      </c>
      <c r="AD530" s="2635">
        <f t="shared" ref="AD530" si="2280">+AC530</f>
        <v>84</v>
      </c>
      <c r="AE530" s="2635">
        <f t="shared" ref="AE530" si="2281">+AD530</f>
        <v>84</v>
      </c>
      <c r="AF530" s="2635">
        <f t="shared" ref="AF530" si="2282">+AE530</f>
        <v>84</v>
      </c>
      <c r="AG530" s="2635">
        <f t="shared" ref="AG530" si="2283">+AF530</f>
        <v>84</v>
      </c>
      <c r="AI530" s="1949"/>
      <c r="AK530" s="2635"/>
      <c r="AL530" s="2635"/>
      <c r="AM530" s="2635"/>
      <c r="AN530" s="2635"/>
      <c r="AO530" s="2635"/>
      <c r="AP530" s="2635"/>
      <c r="AQ530" s="2635"/>
      <c r="AR530" s="2635"/>
      <c r="AS530" s="2635"/>
      <c r="AT530" s="2635"/>
      <c r="AU530" s="2635"/>
      <c r="AV530" s="2635"/>
      <c r="AW530" s="2635"/>
      <c r="AX530" s="2635"/>
      <c r="AY530" s="2635"/>
      <c r="AZ530" s="2635"/>
      <c r="BA530" s="2635"/>
      <c r="BB530" s="2635"/>
      <c r="BC530" s="2635"/>
      <c r="BD530" s="2635"/>
      <c r="BE530" s="2635"/>
      <c r="BF530" s="2635"/>
      <c r="BG530" s="2635"/>
      <c r="BH530" s="2635"/>
      <c r="BI530" s="2635"/>
      <c r="BJ530" s="2635"/>
      <c r="BK530" s="2635"/>
      <c r="BL530" s="2635"/>
      <c r="BM530" s="2635"/>
      <c r="BN530" s="2635"/>
      <c r="BO530" s="2635"/>
      <c r="BP530" s="2634">
        <v>20147</v>
      </c>
      <c r="BQ530" s="2635"/>
      <c r="BR530" s="2318"/>
      <c r="BS530" s="2635"/>
      <c r="BT530" s="2635"/>
      <c r="BU530" s="2635"/>
      <c r="BV530" s="2318"/>
      <c r="BW530" s="2635"/>
      <c r="BX530" s="2635"/>
      <c r="BY530" s="2635"/>
      <c r="BZ530" s="2318"/>
      <c r="CA530" s="2635"/>
      <c r="CB530" s="2635"/>
      <c r="CC530" s="2635"/>
      <c r="CD530" s="2318"/>
      <c r="CE530" s="2635"/>
      <c r="CF530" s="2635"/>
      <c r="CG530" s="2635">
        <v>-50</v>
      </c>
      <c r="CH530" s="2318"/>
      <c r="CI530" s="2635"/>
      <c r="CJ530" s="2635"/>
      <c r="CK530" s="2635">
        <v>-116</v>
      </c>
      <c r="CL530" s="2318">
        <f>134239-CL524-CL525-CL528</f>
        <v>6578.3359550561872</v>
      </c>
      <c r="CM530" s="2635">
        <v>65</v>
      </c>
      <c r="CN530" s="2635">
        <v>51</v>
      </c>
      <c r="CO530" s="2635">
        <v>113</v>
      </c>
      <c r="CP530" s="2318">
        <v>121</v>
      </c>
      <c r="CQ530" s="2635">
        <v>43</v>
      </c>
      <c r="CR530" s="2635">
        <v>43</v>
      </c>
      <c r="CS530" s="2635">
        <v>61</v>
      </c>
      <c r="CT530" s="2318">
        <f>+CS530</f>
        <v>61</v>
      </c>
      <c r="CU530" s="2635">
        <f>+CT530</f>
        <v>61</v>
      </c>
      <c r="CV530" s="2635">
        <f>+CU530</f>
        <v>61</v>
      </c>
      <c r="CW530" s="2314">
        <v>63</v>
      </c>
      <c r="CX530" s="2635"/>
      <c r="CY530" s="2635"/>
      <c r="CZ530" s="2635"/>
      <c r="DA530" s="2313"/>
      <c r="DB530" s="2318"/>
      <c r="DC530" s="2635"/>
      <c r="DD530" s="2635"/>
      <c r="DE530" s="2635"/>
      <c r="DF530" s="2635"/>
      <c r="DG530" s="2635"/>
      <c r="DH530" s="2635"/>
      <c r="DI530" s="2635"/>
      <c r="DJ530" s="2635"/>
      <c r="DK530" s="2635"/>
      <c r="DL530" s="2635"/>
      <c r="DM530" s="2635"/>
      <c r="DN530" s="2635"/>
      <c r="DO530" s="2635"/>
      <c r="DP530" s="2635"/>
      <c r="DQ530" s="2635"/>
      <c r="DR530" s="2635"/>
      <c r="DS530" s="2635"/>
      <c r="DT530" s="2635"/>
      <c r="DU530" s="2635"/>
      <c r="DV530" s="2635"/>
      <c r="DW530" s="2635"/>
      <c r="DX530" s="2635"/>
      <c r="DY530" s="2637"/>
    </row>
    <row r="531" spans="1:129" hidden="1" outlineLevel="1">
      <c r="A531" s="2638" t="s">
        <v>859</v>
      </c>
      <c r="B531" s="2638"/>
      <c r="C531" s="2638"/>
      <c r="D531" s="2639"/>
      <c r="E531" s="2640"/>
      <c r="F531" s="2641"/>
      <c r="G531" s="2639"/>
      <c r="H531" s="2640"/>
      <c r="I531" s="2638"/>
      <c r="J531" s="2639"/>
      <c r="K531" s="2640"/>
      <c r="L531" s="2640"/>
      <c r="M531" s="2640"/>
      <c r="N531" s="2640"/>
      <c r="O531" s="2640">
        <f t="shared" si="2262"/>
        <v>64035</v>
      </c>
      <c r="P531" s="2640">
        <f t="shared" si="2263"/>
        <v>74986</v>
      </c>
      <c r="Q531" s="2640">
        <f t="shared" ref="Q531:V531" si="2284">SUM(Q525:Q530)</f>
        <v>86987</v>
      </c>
      <c r="R531" s="2640">
        <f t="shared" si="2284"/>
        <v>99422</v>
      </c>
      <c r="S531" s="2303">
        <f t="shared" si="2284"/>
        <v>102976</v>
      </c>
      <c r="T531" s="2303">
        <f t="shared" si="2284"/>
        <v>108247</v>
      </c>
      <c r="U531" s="2640">
        <f t="shared" si="2284"/>
        <v>112603.18777777778</v>
      </c>
      <c r="V531" s="2640">
        <f t="shared" si="2284"/>
        <v>-3128.5166666666628</v>
      </c>
      <c r="W531" s="2640">
        <f t="shared" ref="W531:AB531" si="2285">SUM(W525:W530)</f>
        <v>27404.054444444446</v>
      </c>
      <c r="X531" s="2640">
        <f t="shared" si="2285"/>
        <v>48110.413333333338</v>
      </c>
      <c r="Y531" s="2640">
        <f t="shared" si="2285"/>
        <v>63335.491111111114</v>
      </c>
      <c r="Z531" s="2640">
        <f t="shared" ca="1" si="2285"/>
        <v>88988.049419513263</v>
      </c>
      <c r="AA531" s="2640">
        <f t="shared" ca="1" si="2285"/>
        <v>114811.00816316823</v>
      </c>
      <c r="AB531" s="2640">
        <f t="shared" ca="1" si="2285"/>
        <v>141447.42426476144</v>
      </c>
      <c r="AC531" s="2640">
        <f t="shared" ref="AC531:AG531" ca="1" si="2286">SUM(AC525:AC530)</f>
        <v>168966.50709145173</v>
      </c>
      <c r="AD531" s="2640">
        <f t="shared" ca="1" si="2286"/>
        <v>197429.58699025062</v>
      </c>
      <c r="AE531" s="2640">
        <f t="shared" ca="1" si="2286"/>
        <v>226900.35953100701</v>
      </c>
      <c r="AF531" s="2640">
        <f t="shared" ca="1" si="2286"/>
        <v>257449.47405251238</v>
      </c>
      <c r="AG531" s="2640">
        <f t="shared" ca="1" si="2286"/>
        <v>289132.37251346651</v>
      </c>
      <c r="AI531" s="1949"/>
      <c r="AK531" s="2640"/>
      <c r="AL531" s="2640"/>
      <c r="AM531" s="2640"/>
      <c r="AN531" s="2640"/>
      <c r="AO531" s="2640"/>
      <c r="AP531" s="2640"/>
      <c r="AQ531" s="2640"/>
      <c r="AR531" s="2640"/>
      <c r="AS531" s="2640"/>
      <c r="AT531" s="2640"/>
      <c r="AU531" s="2640"/>
      <c r="AV531" s="2640"/>
      <c r="AW531" s="2640"/>
      <c r="AX531" s="2640"/>
      <c r="AY531" s="2640"/>
      <c r="AZ531" s="2640"/>
      <c r="BA531" s="2640"/>
      <c r="BB531" s="2640"/>
      <c r="BC531" s="2640"/>
      <c r="BD531" s="2640"/>
      <c r="BE531" s="2640"/>
      <c r="BF531" s="2640"/>
      <c r="BG531" s="2640"/>
      <c r="BH531" s="2640"/>
      <c r="BI531" s="2640"/>
      <c r="BJ531" s="2640"/>
      <c r="BK531" s="2640"/>
      <c r="BL531" s="2640"/>
      <c r="BM531" s="2640"/>
      <c r="BN531" s="2640"/>
      <c r="BO531" s="2640"/>
      <c r="BP531" s="2639">
        <v>64520</v>
      </c>
      <c r="BQ531" s="2640"/>
      <c r="BR531" s="2642"/>
      <c r="BS531" s="2640"/>
      <c r="BT531" s="2640"/>
      <c r="BU531" s="2640"/>
      <c r="BV531" s="2642"/>
      <c r="BW531" s="2640"/>
      <c r="BX531" s="2640"/>
      <c r="BY531" s="2640"/>
      <c r="BZ531" s="2642"/>
      <c r="CA531" s="2640"/>
      <c r="CB531" s="2640"/>
      <c r="CC531" s="2640"/>
      <c r="CD531" s="2642"/>
      <c r="CE531" s="2640"/>
      <c r="CF531" s="2640"/>
      <c r="CG531" s="2640">
        <f>SUM(CG525:CG530)</f>
        <v>64035</v>
      </c>
      <c r="CH531" s="2642">
        <v>66479</v>
      </c>
      <c r="CI531" s="2640"/>
      <c r="CJ531" s="2640"/>
      <c r="CK531" s="2640">
        <f t="shared" ref="CK531:CW531" si="2287">SUM(CK525:CK530)</f>
        <v>74986</v>
      </c>
      <c r="CL531" s="2642">
        <f t="shared" si="2287"/>
        <v>84647.335955056187</v>
      </c>
      <c r="CM531" s="2640">
        <f t="shared" si="2287"/>
        <v>81237</v>
      </c>
      <c r="CN531" s="2640">
        <f t="shared" si="2287"/>
        <v>83941</v>
      </c>
      <c r="CO531" s="2640">
        <f t="shared" si="2287"/>
        <v>86987</v>
      </c>
      <c r="CP531" s="2642">
        <f t="shared" si="2287"/>
        <v>90148</v>
      </c>
      <c r="CQ531" s="2640">
        <f t="shared" si="2287"/>
        <v>92495</v>
      </c>
      <c r="CR531" s="2640">
        <f t="shared" si="2287"/>
        <v>95772</v>
      </c>
      <c r="CS531" s="2640">
        <f t="shared" si="2287"/>
        <v>99422</v>
      </c>
      <c r="CT531" s="2642">
        <f t="shared" si="2287"/>
        <v>102388.375</v>
      </c>
      <c r="CU531" s="2640">
        <f t="shared" si="2287"/>
        <v>105665.06</v>
      </c>
      <c r="CV531" s="2640">
        <f t="shared" si="2287"/>
        <v>109357.61499999999</v>
      </c>
      <c r="CW531" s="2304">
        <f t="shared" si="2287"/>
        <v>102976</v>
      </c>
      <c r="CX531" s="2635"/>
      <c r="CY531" s="2635"/>
      <c r="CZ531" s="2635"/>
      <c r="DA531" s="2303"/>
      <c r="DB531" s="2642"/>
      <c r="DC531" s="2640"/>
      <c r="DD531" s="2640"/>
      <c r="DE531" s="2640"/>
      <c r="DF531" s="2640"/>
      <c r="DG531" s="2640"/>
      <c r="DH531" s="2640"/>
      <c r="DI531" s="2640"/>
      <c r="DJ531" s="2640"/>
      <c r="DK531" s="2640"/>
      <c r="DL531" s="2640"/>
      <c r="DM531" s="2640"/>
      <c r="DN531" s="2640"/>
      <c r="DO531" s="2640"/>
      <c r="DP531" s="2640"/>
      <c r="DQ531" s="2640"/>
      <c r="DR531" s="2640"/>
      <c r="DS531" s="2640"/>
      <c r="DT531" s="2640"/>
      <c r="DU531" s="2640"/>
      <c r="DV531" s="2640"/>
      <c r="DW531" s="2640"/>
      <c r="DX531" s="2640"/>
      <c r="DY531" s="2643"/>
    </row>
    <row r="532" spans="1:129" hidden="1" outlineLevel="1">
      <c r="A532" s="2638" t="s">
        <v>860</v>
      </c>
      <c r="B532" s="2638"/>
      <c r="C532" s="2638"/>
      <c r="D532" s="2639"/>
      <c r="E532" s="2640"/>
      <c r="F532" s="2641"/>
      <c r="G532" s="2639"/>
      <c r="H532" s="2640"/>
      <c r="I532" s="2638"/>
      <c r="J532" s="2639"/>
      <c r="K532" s="2640"/>
      <c r="L532" s="2640"/>
      <c r="M532" s="2640"/>
      <c r="N532" s="2640"/>
      <c r="O532" s="2640">
        <f t="shared" si="2262"/>
        <v>83993</v>
      </c>
      <c r="P532" s="2640">
        <f t="shared" si="2263"/>
        <v>111876</v>
      </c>
      <c r="Q532" s="2640">
        <f t="shared" ref="Q532:V532" si="2288">+Q531+Q524</f>
        <v>134352</v>
      </c>
      <c r="R532" s="2640">
        <f t="shared" si="2288"/>
        <v>138044</v>
      </c>
      <c r="S532" s="2303">
        <f t="shared" si="2288"/>
        <v>146532</v>
      </c>
      <c r="T532" s="2303">
        <f t="shared" si="2288"/>
        <v>141713</v>
      </c>
      <c r="U532" s="2640" t="e">
        <f t="shared" si="2288"/>
        <v>#REF!</v>
      </c>
      <c r="V532" s="2640" t="e">
        <f t="shared" si="2288"/>
        <v>#REF!</v>
      </c>
      <c r="W532" s="2640" t="e">
        <f t="shared" ref="W532:AB532" si="2289">+W531+W524</f>
        <v>#REF!</v>
      </c>
      <c r="X532" s="2640" t="e">
        <f t="shared" si="2289"/>
        <v>#REF!</v>
      </c>
      <c r="Y532" s="2640" t="e">
        <f t="shared" si="2289"/>
        <v>#REF!</v>
      </c>
      <c r="Z532" s="2640" t="e">
        <f t="shared" ca="1" si="2289"/>
        <v>#REF!</v>
      </c>
      <c r="AA532" s="2640" t="e">
        <f t="shared" ca="1" si="2289"/>
        <v>#REF!</v>
      </c>
      <c r="AB532" s="2640" t="e">
        <f t="shared" ca="1" si="2289"/>
        <v>#REF!</v>
      </c>
      <c r="AC532" s="2640" t="e">
        <f t="shared" ref="AC532:AG532" ca="1" si="2290">+AC531+AC524</f>
        <v>#REF!</v>
      </c>
      <c r="AD532" s="2640" t="e">
        <f t="shared" ca="1" si="2290"/>
        <v>#REF!</v>
      </c>
      <c r="AE532" s="2640" t="e">
        <f t="shared" ca="1" si="2290"/>
        <v>#REF!</v>
      </c>
      <c r="AF532" s="2640" t="e">
        <f t="shared" ca="1" si="2290"/>
        <v>#REF!</v>
      </c>
      <c r="AG532" s="2640" t="e">
        <f t="shared" ca="1" si="2290"/>
        <v>#REF!</v>
      </c>
      <c r="AI532" s="1949"/>
      <c r="AK532" s="2640"/>
      <c r="AL532" s="2640"/>
      <c r="AM532" s="2640"/>
      <c r="AN532" s="2640"/>
      <c r="AO532" s="2640"/>
      <c r="AP532" s="2640"/>
      <c r="AQ532" s="2640"/>
      <c r="AR532" s="2640"/>
      <c r="AS532" s="2640"/>
      <c r="AT532" s="2640"/>
      <c r="AU532" s="2640"/>
      <c r="AV532" s="2640"/>
      <c r="AW532" s="2640"/>
      <c r="AX532" s="2640"/>
      <c r="AY532" s="2640"/>
      <c r="AZ532" s="2640"/>
      <c r="BA532" s="2640"/>
      <c r="BB532" s="2640"/>
      <c r="BC532" s="2640"/>
      <c r="BD532" s="2640"/>
      <c r="BE532" s="2640"/>
      <c r="BF532" s="2640"/>
      <c r="BG532" s="2640"/>
      <c r="BH532" s="2640"/>
      <c r="BI532" s="2640"/>
      <c r="BJ532" s="2640"/>
      <c r="BK532" s="2640"/>
      <c r="BL532" s="2640"/>
      <c r="BM532" s="2640"/>
      <c r="BN532" s="2640"/>
      <c r="BO532" s="2640"/>
      <c r="BP532" s="2640"/>
      <c r="BQ532" s="2640"/>
      <c r="BR532" s="2642"/>
      <c r="BS532" s="2640"/>
      <c r="BT532" s="2640"/>
      <c r="BU532" s="2640"/>
      <c r="BV532" s="2642"/>
      <c r="BW532" s="2640"/>
      <c r="BX532" s="2640"/>
      <c r="BY532" s="2640"/>
      <c r="BZ532" s="2642"/>
      <c r="CA532" s="2640"/>
      <c r="CB532" s="2640"/>
      <c r="CC532" s="2640"/>
      <c r="CD532" s="2642"/>
      <c r="CE532" s="2640"/>
      <c r="CF532" s="2640"/>
      <c r="CG532" s="2640">
        <f>+CG531+CG524</f>
        <v>83993</v>
      </c>
      <c r="CH532" s="2640">
        <f>+CH531+CH524</f>
        <v>71432</v>
      </c>
      <c r="CI532" s="2640"/>
      <c r="CJ532" s="2640"/>
      <c r="CK532" s="2640">
        <f t="shared" ref="CK532:CW532" si="2291">+CK531+CK524</f>
        <v>111876</v>
      </c>
      <c r="CL532" s="2642">
        <f t="shared" si="2291"/>
        <v>134239</v>
      </c>
      <c r="CM532" s="2640">
        <f t="shared" si="2291"/>
        <v>133860</v>
      </c>
      <c r="CN532" s="2640">
        <f t="shared" si="2291"/>
        <v>133921</v>
      </c>
      <c r="CO532" s="2640">
        <f t="shared" si="2291"/>
        <v>134352</v>
      </c>
      <c r="CP532" s="2642">
        <f t="shared" si="2291"/>
        <v>133940</v>
      </c>
      <c r="CQ532" s="2640">
        <f t="shared" si="2291"/>
        <v>132049</v>
      </c>
      <c r="CR532" s="2640">
        <f t="shared" si="2291"/>
        <v>134322</v>
      </c>
      <c r="CS532" s="2640">
        <f t="shared" si="2291"/>
        <v>138044</v>
      </c>
      <c r="CT532" s="2642">
        <f t="shared" si="2291"/>
        <v>141978.06851464434</v>
      </c>
      <c r="CU532" s="2640">
        <f t="shared" si="2291"/>
        <v>140230.06</v>
      </c>
      <c r="CV532" s="2640">
        <f t="shared" si="2291"/>
        <v>144099.43722222222</v>
      </c>
      <c r="CW532" s="2304">
        <f t="shared" si="2291"/>
        <v>146532</v>
      </c>
      <c r="CX532" s="2635"/>
      <c r="CY532" s="2635"/>
      <c r="CZ532" s="2635"/>
      <c r="DA532" s="2303"/>
      <c r="DB532" s="2642"/>
      <c r="DC532" s="2640"/>
      <c r="DD532" s="2640"/>
      <c r="DE532" s="2640"/>
      <c r="DF532" s="2640"/>
      <c r="DG532" s="2640"/>
      <c r="DH532" s="2640"/>
      <c r="DI532" s="2640"/>
      <c r="DJ532" s="2640"/>
      <c r="DK532" s="2640"/>
      <c r="DL532" s="2640"/>
      <c r="DM532" s="2640"/>
      <c r="DN532" s="2640"/>
      <c r="DO532" s="2640"/>
      <c r="DP532" s="2640"/>
      <c r="DQ532" s="2640"/>
      <c r="DR532" s="2640"/>
      <c r="DS532" s="2640"/>
      <c r="DT532" s="2640"/>
      <c r="DU532" s="2640"/>
      <c r="DV532" s="2640"/>
      <c r="DW532" s="2640"/>
      <c r="DX532" s="2640"/>
      <c r="DY532" s="2643"/>
    </row>
    <row r="533" spans="1:129" hidden="1" outlineLevel="1">
      <c r="A533" s="2646" t="s">
        <v>1351</v>
      </c>
      <c r="B533" s="2238"/>
      <c r="C533" s="2238"/>
      <c r="D533" s="2238"/>
      <c r="E533" s="2238"/>
      <c r="F533" s="2238"/>
      <c r="G533" s="2238"/>
      <c r="H533" s="2238"/>
      <c r="I533" s="2238"/>
      <c r="J533" s="2238"/>
      <c r="K533" s="2238"/>
      <c r="L533" s="2238"/>
      <c r="M533" s="2238"/>
      <c r="N533" s="2238"/>
      <c r="O533" s="2238"/>
      <c r="P533" s="2238"/>
      <c r="Q533" s="2238">
        <f t="shared" ref="Q533:V533" ca="1" si="2292">+Q532-Q510</f>
        <v>0</v>
      </c>
      <c r="R533" s="2238">
        <f t="shared" ca="1" si="2292"/>
        <v>137.59236401674571</v>
      </c>
      <c r="S533" s="2215">
        <f t="shared" si="2292"/>
        <v>0</v>
      </c>
      <c r="T533" s="2647">
        <f t="shared" si="2292"/>
        <v>0</v>
      </c>
      <c r="U533" s="2238" t="e">
        <f t="shared" si="2292"/>
        <v>#REF!</v>
      </c>
      <c r="V533" s="2238" t="e">
        <f t="shared" si="2292"/>
        <v>#REF!</v>
      </c>
      <c r="W533" s="2238" t="e">
        <f t="shared" ref="W533:AB533" si="2293">+W532-W510</f>
        <v>#REF!</v>
      </c>
      <c r="X533" s="2238" t="e">
        <f t="shared" si="2293"/>
        <v>#REF!</v>
      </c>
      <c r="Y533" s="2238" t="e">
        <f t="shared" si="2293"/>
        <v>#REF!</v>
      </c>
      <c r="Z533" s="2238" t="e">
        <f t="shared" ca="1" si="2293"/>
        <v>#REF!</v>
      </c>
      <c r="AA533" s="2238" t="e">
        <f t="shared" ca="1" si="2293"/>
        <v>#REF!</v>
      </c>
      <c r="AB533" s="2238" t="e">
        <f t="shared" ca="1" si="2293"/>
        <v>#REF!</v>
      </c>
      <c r="AC533" s="2238" t="e">
        <f t="shared" ref="AC533:AG533" ca="1" si="2294">+AC532-AC510</f>
        <v>#REF!</v>
      </c>
      <c r="AD533" s="2238" t="e">
        <f t="shared" ca="1" si="2294"/>
        <v>#REF!</v>
      </c>
      <c r="AE533" s="2238" t="e">
        <f t="shared" ca="1" si="2294"/>
        <v>#REF!</v>
      </c>
      <c r="AF533" s="2238" t="e">
        <f t="shared" ca="1" si="2294"/>
        <v>#REF!</v>
      </c>
      <c r="AG533" s="2238" t="e">
        <f t="shared" ca="1" si="2294"/>
        <v>#REF!</v>
      </c>
      <c r="AI533" s="2128"/>
      <c r="AK533" s="2238"/>
      <c r="AL533" s="2238"/>
      <c r="AM533" s="2238"/>
      <c r="AN533" s="2238"/>
      <c r="AO533" s="2238"/>
      <c r="AP533" s="2238"/>
      <c r="AQ533" s="2238"/>
      <c r="AR533" s="2238"/>
      <c r="AS533" s="2238"/>
      <c r="AT533" s="2238"/>
      <c r="AU533" s="2238"/>
      <c r="AV533" s="2238"/>
      <c r="AW533" s="2238"/>
      <c r="AX533" s="2238"/>
      <c r="AY533" s="2238"/>
      <c r="AZ533" s="2238"/>
      <c r="BA533" s="2238"/>
      <c r="BB533" s="2238"/>
      <c r="BC533" s="2238"/>
      <c r="BD533" s="2238"/>
      <c r="BE533" s="2238"/>
      <c r="BF533" s="2238"/>
      <c r="BG533" s="2238"/>
      <c r="BH533" s="2238"/>
      <c r="BI533" s="2238"/>
      <c r="BJ533" s="2238"/>
      <c r="BK533" s="2238"/>
      <c r="BL533" s="2238"/>
      <c r="BM533" s="2238"/>
      <c r="BN533" s="2238"/>
      <c r="BO533" s="2238"/>
      <c r="BP533" s="2238"/>
      <c r="BQ533" s="2238"/>
      <c r="BR533" s="2240"/>
      <c r="BS533" s="2238"/>
      <c r="BT533" s="2238"/>
      <c r="BU533" s="2238"/>
      <c r="BV533" s="2240"/>
      <c r="BW533" s="2238"/>
      <c r="BX533" s="2238"/>
      <c r="BY533" s="2238"/>
      <c r="BZ533" s="2240"/>
      <c r="CA533" s="2238"/>
      <c r="CB533" s="2238"/>
      <c r="CC533" s="2238">
        <f>+CC514+CC521</f>
        <v>10749</v>
      </c>
      <c r="CD533" s="2240"/>
      <c r="CE533" s="2238"/>
      <c r="CF533" s="2238"/>
      <c r="CG533" s="2238">
        <f>+CG532-CG510</f>
        <v>0</v>
      </c>
      <c r="CH533" s="2238">
        <f>+CH532-CH510</f>
        <v>-13717</v>
      </c>
      <c r="CI533" s="2238">
        <f>+CI532-CI510</f>
        <v>0</v>
      </c>
      <c r="CJ533" s="2238"/>
      <c r="CK533" s="2238"/>
      <c r="CL533" s="2648">
        <f t="shared" ref="CL533:CW533" si="2295">+CL532-CL510</f>
        <v>0</v>
      </c>
      <c r="CM533" s="2646">
        <f t="shared" ca="1" si="2295"/>
        <v>0</v>
      </c>
      <c r="CN533" s="2646">
        <f t="shared" ca="1" si="2295"/>
        <v>0</v>
      </c>
      <c r="CO533" s="2646">
        <f t="shared" ca="1" si="2295"/>
        <v>0</v>
      </c>
      <c r="CP533" s="2648">
        <f t="shared" ca="1" si="2295"/>
        <v>0</v>
      </c>
      <c r="CQ533" s="2646">
        <f t="shared" ca="1" si="2295"/>
        <v>0</v>
      </c>
      <c r="CR533" s="2646">
        <f t="shared" ca="1" si="2295"/>
        <v>0</v>
      </c>
      <c r="CS533" s="2646">
        <f t="shared" ca="1" si="2295"/>
        <v>137.59236401674571</v>
      </c>
      <c r="CT533" s="2648">
        <f t="shared" ca="1" si="2295"/>
        <v>137.5923640167166</v>
      </c>
      <c r="CU533" s="2646">
        <f t="shared" ca="1" si="2295"/>
        <v>137.59236401674571</v>
      </c>
      <c r="CV533" s="2646">
        <f t="shared" ca="1" si="2295"/>
        <v>137.5923640167166</v>
      </c>
      <c r="CW533" s="2647">
        <f t="shared" si="2295"/>
        <v>0</v>
      </c>
      <c r="CX533" s="2646"/>
      <c r="CY533" s="2646"/>
      <c r="CZ533" s="2646"/>
      <c r="DA533" s="2649"/>
      <c r="DB533" s="2648"/>
      <c r="DC533" s="2646"/>
      <c r="DD533" s="2646"/>
      <c r="DE533" s="2646"/>
      <c r="DF533" s="2646"/>
      <c r="DG533" s="2646"/>
      <c r="DH533" s="2646"/>
      <c r="DI533" s="2646"/>
      <c r="DJ533" s="2646"/>
      <c r="DK533" s="2646"/>
      <c r="DL533" s="2646"/>
      <c r="DM533" s="2646"/>
      <c r="DN533" s="2646"/>
      <c r="DO533" s="2646"/>
      <c r="DP533" s="2646"/>
      <c r="DQ533" s="2646"/>
      <c r="DR533" s="2646"/>
      <c r="DS533" s="2646"/>
      <c r="DT533" s="2646"/>
      <c r="DU533" s="2646"/>
      <c r="DV533" s="2646"/>
      <c r="DW533" s="2646"/>
      <c r="DX533" s="2646"/>
      <c r="DY533" s="2650"/>
    </row>
    <row r="534" spans="1:129" hidden="1" outlineLevel="1">
      <c r="A534" s="2365" t="s">
        <v>121</v>
      </c>
      <c r="B534" s="2627"/>
      <c r="C534" s="2627"/>
      <c r="D534" s="2627"/>
      <c r="E534" s="2627"/>
      <c r="F534" s="2627"/>
      <c r="G534" s="2627"/>
      <c r="H534" s="2627"/>
      <c r="I534" s="2627"/>
      <c r="J534" s="2627"/>
      <c r="K534" s="2627"/>
      <c r="L534" s="2627"/>
      <c r="M534" s="2627"/>
      <c r="N534" s="2627"/>
      <c r="O534" s="2627"/>
      <c r="P534" s="2627"/>
      <c r="Q534" s="2627"/>
      <c r="R534" s="2627"/>
      <c r="S534" s="2627"/>
      <c r="T534" s="2628"/>
      <c r="U534" s="2627"/>
      <c r="V534" s="2627"/>
      <c r="W534" s="2627"/>
      <c r="X534" s="2627"/>
      <c r="Y534" s="2627"/>
      <c r="Z534" s="2627"/>
      <c r="AA534" s="2627"/>
      <c r="AB534" s="2627"/>
      <c r="AC534" s="2627"/>
      <c r="AD534" s="2627"/>
      <c r="AE534" s="2627"/>
      <c r="AF534" s="2627"/>
      <c r="AG534" s="2627"/>
      <c r="AI534" s="1927"/>
      <c r="AK534" s="2627"/>
      <c r="AL534" s="2627"/>
      <c r="AN534" s="2627"/>
      <c r="AO534" s="2627"/>
      <c r="AP534" s="2627"/>
      <c r="AQ534" s="2627"/>
      <c r="AR534" s="2627"/>
      <c r="AS534" s="2627"/>
      <c r="AT534" s="2627"/>
      <c r="AU534" s="2627"/>
      <c r="AV534" s="2627"/>
      <c r="AW534" s="2627"/>
      <c r="AX534" s="2627"/>
      <c r="AY534" s="2627"/>
      <c r="AZ534" s="2627"/>
      <c r="BA534" s="2627"/>
      <c r="BB534" s="2627"/>
      <c r="BC534" s="2627"/>
      <c r="BD534" s="2627"/>
      <c r="BE534" s="2627"/>
      <c r="BF534" s="2627"/>
      <c r="BG534" s="2627"/>
      <c r="BH534" s="2627"/>
      <c r="BI534" s="2627"/>
      <c r="BJ534" s="2627"/>
      <c r="BK534" s="2627"/>
      <c r="BL534" s="2627"/>
      <c r="BM534" s="2627"/>
      <c r="BN534" s="2627"/>
      <c r="BO534" s="2627"/>
      <c r="BP534" s="2627"/>
      <c r="BQ534" s="2627"/>
      <c r="BR534" s="2629"/>
      <c r="BS534" s="2627"/>
      <c r="BT534" s="2627"/>
      <c r="BU534" s="2627"/>
      <c r="BV534" s="2629"/>
      <c r="BW534" s="2627"/>
      <c r="BX534" s="2627"/>
      <c r="BY534" s="2627"/>
      <c r="BZ534" s="2629"/>
      <c r="CA534" s="2627"/>
      <c r="CB534" s="2627"/>
      <c r="CC534" s="2627"/>
      <c r="CD534" s="2629"/>
      <c r="CE534" s="2627"/>
      <c r="CF534" s="2627"/>
      <c r="CG534" s="2627"/>
      <c r="CH534" s="2629"/>
      <c r="CI534" s="2627"/>
      <c r="CJ534" s="2627"/>
      <c r="CK534" s="2627"/>
      <c r="CL534" s="2629"/>
      <c r="CM534" s="2627"/>
      <c r="CN534" s="2627"/>
      <c r="CO534" s="2627"/>
      <c r="CP534" s="2629"/>
      <c r="CQ534" s="2627"/>
      <c r="CR534" s="2627"/>
      <c r="CS534" s="2627"/>
      <c r="CT534" s="2629"/>
      <c r="CU534" s="2627"/>
      <c r="CV534" s="2627"/>
      <c r="CW534" s="2628"/>
      <c r="CX534" s="2627"/>
      <c r="CY534" s="2627"/>
      <c r="CZ534" s="2627"/>
      <c r="DA534" s="2627"/>
      <c r="DB534" s="2629"/>
      <c r="DC534" s="2627"/>
      <c r="DD534" s="2627"/>
      <c r="DE534" s="2627"/>
      <c r="DF534" s="2627"/>
      <c r="DG534" s="2627"/>
      <c r="DH534" s="2627"/>
      <c r="DI534" s="2627"/>
      <c r="DJ534" s="2627"/>
      <c r="DK534" s="2627"/>
      <c r="DL534" s="2627"/>
      <c r="DM534" s="2627"/>
      <c r="DN534" s="2627"/>
      <c r="DO534" s="2627"/>
      <c r="DP534" s="2627"/>
      <c r="DQ534" s="2627"/>
      <c r="DR534" s="2627"/>
      <c r="DS534" s="2627"/>
      <c r="DT534" s="2627"/>
      <c r="DU534" s="2627"/>
      <c r="DV534" s="2627"/>
      <c r="DW534" s="2627"/>
      <c r="DX534" s="2627"/>
      <c r="DY534" s="2628"/>
    </row>
    <row r="535" spans="1:129" hidden="1" outlineLevel="1">
      <c r="A535" s="2651"/>
      <c r="B535" s="2651"/>
      <c r="C535" s="2651"/>
      <c r="D535" s="2651"/>
      <c r="E535" s="2651"/>
      <c r="F535" s="2651"/>
      <c r="G535" s="2651"/>
      <c r="H535" s="2651"/>
      <c r="I535" s="2651"/>
      <c r="J535" s="2651"/>
      <c r="K535" s="2651"/>
      <c r="L535" s="2651"/>
      <c r="M535" s="2651"/>
      <c r="N535" s="2651"/>
      <c r="O535" s="2651"/>
      <c r="P535" s="2651"/>
      <c r="Q535" s="2651"/>
      <c r="R535" s="2651"/>
      <c r="S535" s="2651"/>
      <c r="T535" s="2652"/>
      <c r="U535" s="2651"/>
      <c r="V535" s="2651"/>
      <c r="W535" s="2651"/>
      <c r="X535" s="2651"/>
      <c r="Y535" s="2651"/>
      <c r="Z535" s="2651"/>
      <c r="AA535" s="2651"/>
      <c r="AB535" s="2651"/>
      <c r="AC535" s="2651"/>
      <c r="AD535" s="2651"/>
      <c r="AE535" s="2651"/>
      <c r="AF535" s="2651"/>
      <c r="AG535" s="2651"/>
      <c r="AI535" s="2617"/>
      <c r="AK535" s="2651"/>
      <c r="AL535" s="2651"/>
      <c r="AM535" s="2651"/>
      <c r="AN535" s="2651"/>
      <c r="AO535" s="2651"/>
      <c r="AP535" s="2651"/>
      <c r="AQ535" s="2651"/>
      <c r="AR535" s="2651"/>
      <c r="AS535" s="2651"/>
      <c r="AT535" s="2651"/>
      <c r="AU535" s="2651"/>
      <c r="AV535" s="2651"/>
      <c r="AW535" s="2651"/>
      <c r="AX535" s="2651"/>
      <c r="AY535" s="2651"/>
      <c r="AZ535" s="2651"/>
      <c r="BA535" s="2651"/>
      <c r="BB535" s="2651"/>
      <c r="BC535" s="2651"/>
      <c r="BD535" s="2651"/>
      <c r="BE535" s="2651"/>
      <c r="BF535" s="2651"/>
      <c r="BG535" s="2651"/>
      <c r="BH535" s="2651"/>
      <c r="BI535" s="2651"/>
      <c r="BJ535" s="2651"/>
      <c r="BK535" s="2651"/>
      <c r="BL535" s="2651"/>
      <c r="BM535" s="2651"/>
      <c r="BN535" s="2651"/>
      <c r="BO535" s="2651"/>
      <c r="BP535" s="2651"/>
      <c r="BQ535" s="2651"/>
      <c r="BR535" s="2653"/>
      <c r="BS535" s="2651"/>
      <c r="BT535" s="2651"/>
      <c r="BU535" s="2651"/>
      <c r="BV535" s="2653"/>
      <c r="BW535" s="2651"/>
      <c r="BX535" s="2651"/>
      <c r="BY535" s="2651"/>
      <c r="BZ535" s="2653"/>
      <c r="CA535" s="2651"/>
      <c r="CB535" s="2651"/>
      <c r="CC535" s="2651"/>
      <c r="CD535" s="2651"/>
      <c r="CE535" s="2651"/>
      <c r="CF535" s="2651"/>
      <c r="CG535" s="2651"/>
      <c r="CH535" s="2653"/>
      <c r="CI535" s="2651"/>
      <c r="CJ535" s="2651"/>
      <c r="CK535" s="2651"/>
      <c r="CL535" s="2653"/>
      <c r="CM535" s="2651"/>
      <c r="CN535" s="2651"/>
      <c r="CO535" s="2651"/>
      <c r="CP535" s="2653"/>
      <c r="CQ535" s="2651"/>
      <c r="CR535" s="2651"/>
      <c r="CS535" s="2651"/>
      <c r="CT535" s="2653"/>
      <c r="CU535" s="2651"/>
      <c r="CV535" s="2651"/>
      <c r="CW535" s="2652"/>
      <c r="CX535" s="2651"/>
      <c r="CY535" s="2651"/>
      <c r="CZ535" s="2651"/>
      <c r="DA535" s="2651"/>
      <c r="DB535" s="2653"/>
      <c r="DC535" s="2651"/>
      <c r="DD535" s="2651"/>
      <c r="DE535" s="2651"/>
      <c r="DF535" s="2651"/>
      <c r="DG535" s="2651"/>
      <c r="DH535" s="2651"/>
      <c r="DI535" s="2651"/>
      <c r="DJ535" s="2651"/>
      <c r="DK535" s="2651"/>
      <c r="DL535" s="2651"/>
      <c r="DM535" s="2651"/>
      <c r="DN535" s="2651"/>
      <c r="DO535" s="2651"/>
      <c r="DP535" s="2651"/>
      <c r="DQ535" s="2651"/>
      <c r="DR535" s="2651"/>
      <c r="DS535" s="2651"/>
      <c r="DT535" s="2651"/>
      <c r="DU535" s="2651"/>
      <c r="DV535" s="2651"/>
      <c r="DW535" s="2651"/>
      <c r="DX535" s="2651"/>
      <c r="DY535" s="2652"/>
    </row>
    <row r="536" spans="1:129" hidden="1" outlineLevel="1">
      <c r="A536" s="2654" t="s">
        <v>122</v>
      </c>
      <c r="B536" s="2654"/>
      <c r="C536" s="2654"/>
      <c r="D536" s="2655"/>
      <c r="E536" s="2655"/>
      <c r="F536" s="2656"/>
      <c r="G536" s="2655"/>
      <c r="H536" s="2655"/>
      <c r="I536" s="2656"/>
      <c r="J536" s="2656"/>
      <c r="K536" s="2651"/>
      <c r="L536" s="2651"/>
      <c r="M536" s="2651"/>
      <c r="N536" s="2651"/>
      <c r="O536" s="2651"/>
      <c r="P536" s="2651"/>
      <c r="Q536" s="2651"/>
      <c r="R536" s="2651"/>
      <c r="S536" s="2651"/>
      <c r="T536" s="2652"/>
      <c r="U536" s="2651"/>
      <c r="V536" s="2651"/>
      <c r="W536" s="2651"/>
      <c r="X536" s="2651"/>
      <c r="Y536" s="2651"/>
      <c r="Z536" s="2651"/>
      <c r="AA536" s="2651"/>
      <c r="AB536" s="2651"/>
      <c r="AC536" s="2651"/>
      <c r="AD536" s="2651"/>
      <c r="AE536" s="2651"/>
      <c r="AF536" s="2651"/>
      <c r="AG536" s="2651"/>
      <c r="AI536" s="2617"/>
      <c r="AK536" s="2651"/>
      <c r="AL536" s="2651"/>
      <c r="AM536" s="2651"/>
      <c r="AN536" s="2651"/>
      <c r="AO536" s="2651"/>
      <c r="AP536" s="2651"/>
      <c r="AQ536" s="2651"/>
      <c r="AR536" s="2651"/>
      <c r="AS536" s="2651"/>
      <c r="AT536" s="2651"/>
      <c r="AU536" s="2651"/>
      <c r="AV536" s="2651"/>
      <c r="AW536" s="2651"/>
      <c r="AX536" s="2651"/>
      <c r="AY536" s="2651"/>
      <c r="AZ536" s="2651"/>
      <c r="BA536" s="2651"/>
      <c r="BB536" s="2651"/>
      <c r="BC536" s="2651"/>
      <c r="BD536" s="2651"/>
      <c r="BE536" s="2651"/>
      <c r="BF536" s="2651"/>
      <c r="BG536" s="2651"/>
      <c r="BH536" s="2651"/>
      <c r="BI536" s="2651"/>
      <c r="BJ536" s="2651"/>
      <c r="BK536" s="2651"/>
      <c r="BL536" s="2651"/>
      <c r="BM536" s="2651"/>
      <c r="BN536" s="2651"/>
      <c r="BO536" s="2651"/>
      <c r="BP536" s="2651"/>
      <c r="BQ536" s="2651"/>
      <c r="BR536" s="2653"/>
      <c r="BS536" s="2651"/>
      <c r="BT536" s="2651"/>
      <c r="BU536" s="2651"/>
      <c r="BV536" s="2653"/>
      <c r="BW536" s="2651"/>
      <c r="BX536" s="2651"/>
      <c r="BY536" s="2651"/>
      <c r="BZ536" s="2653"/>
      <c r="CA536" s="2651"/>
      <c r="CB536" s="2651"/>
      <c r="CC536" s="2651"/>
      <c r="CD536" s="2651"/>
      <c r="CE536" s="2651"/>
      <c r="CF536" s="2651"/>
      <c r="CG536" s="2651"/>
      <c r="CH536" s="2653"/>
      <c r="CI536" s="2651"/>
      <c r="CJ536" s="2651"/>
      <c r="CK536" s="2651"/>
      <c r="CL536" s="2653"/>
      <c r="CM536" s="2651"/>
      <c r="CN536" s="2651"/>
      <c r="CO536" s="2651"/>
      <c r="CP536" s="2653"/>
      <c r="CQ536" s="2651"/>
      <c r="CR536" s="2651"/>
      <c r="CS536" s="2651"/>
      <c r="CT536" s="2653"/>
      <c r="CU536" s="2651"/>
      <c r="CV536" s="2651"/>
      <c r="CW536" s="2652"/>
      <c r="CX536" s="2651"/>
      <c r="CY536" s="2651"/>
      <c r="CZ536" s="2651"/>
      <c r="DA536" s="2651"/>
      <c r="DB536" s="2653"/>
      <c r="DC536" s="2651"/>
      <c r="DD536" s="2651"/>
      <c r="DE536" s="2651"/>
      <c r="DF536" s="2651"/>
      <c r="DG536" s="2651"/>
      <c r="DH536" s="2651"/>
      <c r="DI536" s="2651"/>
      <c r="DJ536" s="2651"/>
      <c r="DK536" s="2651"/>
      <c r="DL536" s="2651"/>
      <c r="DM536" s="2651"/>
      <c r="DN536" s="2651"/>
      <c r="DO536" s="2651"/>
      <c r="DP536" s="2651"/>
      <c r="DQ536" s="2651"/>
      <c r="DR536" s="2651"/>
      <c r="DS536" s="2651"/>
      <c r="DT536" s="2651"/>
      <c r="DU536" s="2651"/>
      <c r="DV536" s="2651"/>
      <c r="DW536" s="2651"/>
      <c r="DX536" s="2651"/>
      <c r="DY536" s="2652"/>
    </row>
    <row r="537" spans="1:129" hidden="1" outlineLevel="1">
      <c r="A537" s="2657" t="s">
        <v>123</v>
      </c>
      <c r="B537" s="2657"/>
      <c r="C537" s="2657"/>
      <c r="D537" s="2658"/>
      <c r="E537" s="2659"/>
      <c r="F537" s="2657"/>
      <c r="G537" s="2658"/>
      <c r="H537" s="2659"/>
      <c r="I537" s="2657"/>
      <c r="J537" s="2657"/>
      <c r="K537" s="2659"/>
      <c r="L537" s="2659"/>
      <c r="M537" s="2659"/>
      <c r="N537" s="2659">
        <f>8448+124</f>
        <v>8572</v>
      </c>
      <c r="O537" s="2659">
        <f>O92</f>
        <v>17389.309999999998</v>
      </c>
      <c r="P537" s="2659">
        <f>P92</f>
        <v>6949.5236600742428</v>
      </c>
      <c r="Q537" s="2659">
        <f t="shared" ref="Q537:Q545" si="2296">+SUM(CL537:CO537)</f>
        <v>14684</v>
      </c>
      <c r="R537" s="2313">
        <f t="shared" ref="R537:R545" si="2297">+SUM(CP537:CS537)</f>
        <v>16676</v>
      </c>
      <c r="S537" s="2313">
        <v>16950</v>
      </c>
      <c r="T537" s="2314">
        <v>21175</v>
      </c>
      <c r="U537" s="2659">
        <f t="shared" ref="U537:AA537" si="2298">U92</f>
        <v>23038.41</v>
      </c>
      <c r="V537" s="2659">
        <f t="shared" si="2298"/>
        <v>23732.74</v>
      </c>
      <c r="W537" s="2659">
        <f t="shared" si="2298"/>
        <v>26901.46</v>
      </c>
      <c r="X537" s="2659">
        <f t="shared" si="2298"/>
        <v>26717.47</v>
      </c>
      <c r="Y537" s="2659">
        <f t="shared" ref="Y537:Z537" si="2299">Y92</f>
        <v>26007.3</v>
      </c>
      <c r="Z537" s="2659">
        <f t="shared" ca="1" si="2299"/>
        <v>27610.336086179937</v>
      </c>
      <c r="AA537" s="2659">
        <f t="shared" ca="1" si="2298"/>
        <v>27780.736521432747</v>
      </c>
      <c r="AB537" s="2659">
        <f t="shared" ref="AB537:AG537" ca="1" si="2300">AB92</f>
        <v>28594.193879371</v>
      </c>
      <c r="AC537" s="2659">
        <f t="shared" ca="1" si="2300"/>
        <v>29476.86060446806</v>
      </c>
      <c r="AD537" s="2659">
        <f t="shared" ca="1" si="2300"/>
        <v>30420.857676576667</v>
      </c>
      <c r="AE537" s="2659">
        <f t="shared" ca="1" si="2300"/>
        <v>31428.550318534173</v>
      </c>
      <c r="AF537" s="2659">
        <f t="shared" ca="1" si="2300"/>
        <v>32506.892299283139</v>
      </c>
      <c r="AG537" s="2659">
        <f t="shared" ca="1" si="2300"/>
        <v>33640.676238731918</v>
      </c>
      <c r="AI537" s="2618"/>
      <c r="AK537" s="2659">
        <f t="shared" ref="AK537:BP537" si="2301">AK92</f>
        <v>0</v>
      </c>
      <c r="AL537" s="2659">
        <f t="shared" si="2301"/>
        <v>0</v>
      </c>
      <c r="AM537" s="2659">
        <f t="shared" si="2301"/>
        <v>0</v>
      </c>
      <c r="AN537" s="2659">
        <f t="shared" si="2301"/>
        <v>0</v>
      </c>
      <c r="AO537" s="2659">
        <f t="shared" si="2301"/>
        <v>0</v>
      </c>
      <c r="AP537" s="2659">
        <f t="shared" si="2301"/>
        <v>0</v>
      </c>
      <c r="AQ537" s="2659">
        <f t="shared" si="2301"/>
        <v>0</v>
      </c>
      <c r="AR537" s="2659">
        <f t="shared" si="2301"/>
        <v>0</v>
      </c>
      <c r="AS537" s="2659">
        <f t="shared" si="2301"/>
        <v>0</v>
      </c>
      <c r="AT537" s="2659">
        <f t="shared" si="2301"/>
        <v>0</v>
      </c>
      <c r="AU537" s="2659">
        <f t="shared" si="2301"/>
        <v>0</v>
      </c>
      <c r="AV537" s="2659">
        <f t="shared" si="2301"/>
        <v>0</v>
      </c>
      <c r="AW537" s="2659">
        <f t="shared" si="2301"/>
        <v>0</v>
      </c>
      <c r="AX537" s="2659">
        <f t="shared" si="2301"/>
        <v>147.34178832116791</v>
      </c>
      <c r="AY537" s="2659">
        <f t="shared" si="2301"/>
        <v>194.49116058394165</v>
      </c>
      <c r="AZ537" s="2659">
        <f t="shared" si="2301"/>
        <v>231.46055474452561</v>
      </c>
      <c r="BA537" s="2659">
        <f t="shared" si="2301"/>
        <v>160.73649635036497</v>
      </c>
      <c r="BB537" s="2659">
        <f t="shared" si="2301"/>
        <v>209.4</v>
      </c>
      <c r="BC537" s="2659">
        <f t="shared" si="2301"/>
        <v>198.9</v>
      </c>
      <c r="BD537" s="2659">
        <f t="shared" si="2301"/>
        <v>401.79999999999995</v>
      </c>
      <c r="BE537" s="2659">
        <f t="shared" si="2301"/>
        <v>222.11300000000006</v>
      </c>
      <c r="BF537" s="2659">
        <f t="shared" ca="1" si="2301"/>
        <v>259.7</v>
      </c>
      <c r="BG537" s="2659">
        <f t="shared" ca="1" si="2301"/>
        <v>359.87</v>
      </c>
      <c r="BH537" s="2659">
        <f t="shared" ca="1" si="2301"/>
        <v>364.64000000000004</v>
      </c>
      <c r="BI537" s="2659">
        <f t="shared" ca="1" si="2301"/>
        <v>407.23</v>
      </c>
      <c r="BJ537" s="2659">
        <f t="shared" ca="1" si="2301"/>
        <v>410.22</v>
      </c>
      <c r="BK537" s="2659">
        <f t="shared" ca="1" si="2301"/>
        <v>480.71000000000004</v>
      </c>
      <c r="BL537" s="2659">
        <f t="shared" ca="1" si="2301"/>
        <v>514.1</v>
      </c>
      <c r="BM537" s="2659">
        <f t="shared" ca="1" si="2301"/>
        <v>792.29824295010849</v>
      </c>
      <c r="BN537" s="2659">
        <f t="shared" si="2301"/>
        <v>629</v>
      </c>
      <c r="BO537" s="2659">
        <f t="shared" si="2301"/>
        <v>727</v>
      </c>
      <c r="BP537" s="2659">
        <f t="shared" si="2301"/>
        <v>865</v>
      </c>
      <c r="BQ537" s="2659">
        <f t="shared" ref="BQ537:CI537" si="2302">BQ92</f>
        <v>862</v>
      </c>
      <c r="BR537" s="2659">
        <f t="shared" si="2302"/>
        <v>909</v>
      </c>
      <c r="BS537" s="2659">
        <f t="shared" si="2302"/>
        <v>1298</v>
      </c>
      <c r="BT537" s="2659">
        <f t="shared" si="2302"/>
        <v>1371</v>
      </c>
      <c r="BU537" s="2659">
        <f t="shared" si="2302"/>
        <v>1120</v>
      </c>
      <c r="BV537" s="2659">
        <f t="shared" si="2302"/>
        <v>1236</v>
      </c>
      <c r="BW537" s="2659">
        <f t="shared" si="2302"/>
        <v>1466</v>
      </c>
      <c r="BX537" s="2659">
        <f t="shared" si="2302"/>
        <v>1533</v>
      </c>
      <c r="BY537" s="2659">
        <f t="shared" si="2302"/>
        <v>1917</v>
      </c>
      <c r="BZ537" s="2659">
        <f t="shared" si="2302"/>
        <v>1784</v>
      </c>
      <c r="CA537" s="2659">
        <f t="shared" si="2302"/>
        <v>2041</v>
      </c>
      <c r="CB537" s="2659">
        <f t="shared" si="2302"/>
        <v>2276</v>
      </c>
      <c r="CC537" s="2659">
        <f t="shared" si="2302"/>
        <v>2205</v>
      </c>
      <c r="CD537" s="2659">
        <f t="shared" si="2302"/>
        <v>2445.0563763608088</v>
      </c>
      <c r="CE537" s="2659">
        <f t="shared" si="2302"/>
        <v>2707.7831778123382</v>
      </c>
      <c r="CF537" s="2659">
        <f t="shared" si="2302"/>
        <v>2750.0071280456195</v>
      </c>
      <c r="CG537" s="2659">
        <f t="shared" si="2302"/>
        <v>2702.1533177812339</v>
      </c>
      <c r="CH537" s="2659">
        <f t="shared" si="2302"/>
        <v>3321.9503546099286</v>
      </c>
      <c r="CI537" s="2659">
        <f t="shared" si="2302"/>
        <v>3624.3145965548511</v>
      </c>
      <c r="CJ537" s="2659"/>
      <c r="CK537" s="2659"/>
      <c r="CL537" s="2660">
        <v>3525</v>
      </c>
      <c r="CM537" s="2659">
        <f>CM92</f>
        <v>3530</v>
      </c>
      <c r="CN537" s="2659">
        <f>10867-CM537-CL537</f>
        <v>3812</v>
      </c>
      <c r="CO537" s="2659">
        <f>14684-CN537-CM537-CL537</f>
        <v>3817</v>
      </c>
      <c r="CP537" s="2660">
        <v>4080</v>
      </c>
      <c r="CQ537" s="2659">
        <f>7872-CP537</f>
        <v>3792</v>
      </c>
      <c r="CR537" s="2659">
        <f>12306-CQ537-CP537</f>
        <v>4434</v>
      </c>
      <c r="CS537" s="2661">
        <f>16676-CR537-CQ537-CP537</f>
        <v>4370</v>
      </c>
      <c r="CT537" s="2662">
        <f>CT92</f>
        <v>3833.375</v>
      </c>
      <c r="CU537" s="2661">
        <f>CU92</f>
        <v>4143.6850000000004</v>
      </c>
      <c r="CV537" s="2661">
        <f>CV92</f>
        <v>4559.5550000000003</v>
      </c>
      <c r="CW537" s="2663">
        <f>CW92</f>
        <v>3818.8150000000001</v>
      </c>
      <c r="CX537" s="2661"/>
      <c r="CY537" s="2661"/>
      <c r="CZ537" s="2661"/>
      <c r="DA537" s="2661"/>
      <c r="DB537" s="2662"/>
      <c r="DC537" s="2661"/>
      <c r="DD537" s="2661"/>
      <c r="DE537" s="2661"/>
      <c r="DF537" s="2661"/>
      <c r="DG537" s="2661"/>
      <c r="DH537" s="2661"/>
      <c r="DI537" s="2661"/>
      <c r="DJ537" s="2661"/>
      <c r="DK537" s="2661"/>
      <c r="DL537" s="2661"/>
      <c r="DM537" s="2661"/>
      <c r="DN537" s="2661"/>
      <c r="DO537" s="2661"/>
      <c r="DP537" s="2661"/>
      <c r="DQ537" s="2661"/>
      <c r="DR537" s="2661"/>
      <c r="DS537" s="2661"/>
      <c r="DT537" s="2661"/>
      <c r="DU537" s="2661"/>
      <c r="DV537" s="2661"/>
      <c r="DW537" s="2661"/>
      <c r="DX537" s="2661"/>
      <c r="DY537" s="2663"/>
    </row>
    <row r="538" spans="1:129" hidden="1" outlineLevel="1">
      <c r="A538" s="2657" t="s">
        <v>124</v>
      </c>
      <c r="B538" s="2657"/>
      <c r="C538" s="2657"/>
      <c r="D538" s="2657"/>
      <c r="E538" s="2657"/>
      <c r="F538" s="2657"/>
      <c r="G538" s="2657"/>
      <c r="H538" s="2659"/>
      <c r="I538" s="2657"/>
      <c r="J538" s="2659"/>
      <c r="K538" s="2659"/>
      <c r="L538" s="2659"/>
      <c r="M538" s="2659"/>
      <c r="N538" s="2659">
        <f>SUM(BZ538:CC538)</f>
        <v>0</v>
      </c>
      <c r="O538" s="2659">
        <f>SUM(CD538:CG538)</f>
        <v>0</v>
      </c>
      <c r="P538" s="2659"/>
      <c r="Q538" s="2659">
        <f t="shared" si="2296"/>
        <v>0</v>
      </c>
      <c r="R538" s="2313">
        <f t="shared" si="2297"/>
        <v>0</v>
      </c>
      <c r="S538" s="2313">
        <f t="shared" ref="S538:S544" si="2303">+SUM(CT538:CW538)</f>
        <v>0</v>
      </c>
      <c r="T538" s="2314">
        <f>+SUM(CX538:DA538)</f>
        <v>0</v>
      </c>
      <c r="U538" s="2659"/>
      <c r="V538" s="2659"/>
      <c r="W538" s="2659"/>
      <c r="X538" s="2659"/>
      <c r="Y538" s="2659"/>
      <c r="Z538" s="2659"/>
      <c r="AA538" s="2659"/>
      <c r="AB538" s="2659"/>
      <c r="AC538" s="2659"/>
      <c r="AD538" s="2659"/>
      <c r="AE538" s="2659"/>
      <c r="AF538" s="2659"/>
      <c r="AG538" s="2659"/>
      <c r="AI538" s="2618"/>
      <c r="AK538" s="2659"/>
      <c r="AL538" s="2659"/>
      <c r="AM538" s="2659"/>
      <c r="AN538" s="2659"/>
      <c r="AO538" s="2659"/>
      <c r="AP538" s="2659"/>
      <c r="AQ538" s="2659"/>
      <c r="AR538" s="2659"/>
      <c r="AS538" s="2659"/>
      <c r="AT538" s="2659"/>
      <c r="AU538" s="2659"/>
      <c r="AV538" s="2659"/>
      <c r="AW538" s="2659"/>
      <c r="AX538" s="2659"/>
      <c r="AY538" s="2659"/>
      <c r="AZ538" s="2659"/>
      <c r="BA538" s="2659"/>
      <c r="BB538" s="2659"/>
      <c r="BC538" s="2659"/>
      <c r="BD538" s="2659"/>
      <c r="BE538" s="2659"/>
      <c r="BF538" s="2659"/>
      <c r="BG538" s="2659"/>
      <c r="BH538" s="2659"/>
      <c r="BI538" s="2659"/>
      <c r="BJ538" s="2659"/>
      <c r="BK538" s="2659"/>
      <c r="BL538" s="2659"/>
      <c r="BM538" s="2659"/>
      <c r="BN538" s="2659"/>
      <c r="BO538" s="2659"/>
      <c r="BP538" s="2659"/>
      <c r="BQ538" s="2659"/>
      <c r="BR538" s="2660"/>
      <c r="BS538" s="2659"/>
      <c r="BT538" s="2659"/>
      <c r="BU538" s="2659"/>
      <c r="BV538" s="2660"/>
      <c r="BW538" s="2659"/>
      <c r="BX538" s="2659"/>
      <c r="BY538" s="2659"/>
      <c r="BZ538" s="2660"/>
      <c r="CA538" s="2659"/>
      <c r="CB538" s="2659"/>
      <c r="CC538" s="2659"/>
      <c r="CD538" s="2660"/>
      <c r="CE538" s="2659"/>
      <c r="CF538" s="2659"/>
      <c r="CG538" s="2659"/>
      <c r="CH538" s="2660"/>
      <c r="CI538" s="2659"/>
      <c r="CJ538" s="2659"/>
      <c r="CK538" s="2659"/>
      <c r="CL538" s="2660"/>
      <c r="CM538" s="2659"/>
      <c r="CN538" s="2659"/>
      <c r="CO538" s="2659"/>
      <c r="CP538" s="2660"/>
      <c r="CQ538" s="2659"/>
      <c r="CR538" s="2659"/>
      <c r="CS538" s="2659"/>
      <c r="CT538" s="2660"/>
      <c r="CU538" s="2659"/>
      <c r="CV538" s="2659"/>
      <c r="CW538" s="2664"/>
      <c r="CX538" s="2659"/>
      <c r="CY538" s="2659"/>
      <c r="CZ538" s="2659"/>
      <c r="DA538" s="2659"/>
      <c r="DB538" s="2660"/>
      <c r="DC538" s="2659"/>
      <c r="DD538" s="2659"/>
      <c r="DE538" s="2659"/>
      <c r="DF538" s="2659"/>
      <c r="DG538" s="2659"/>
      <c r="DH538" s="2659"/>
      <c r="DI538" s="2659"/>
      <c r="DJ538" s="2659"/>
      <c r="DK538" s="2659"/>
      <c r="DL538" s="2659"/>
      <c r="DM538" s="2659"/>
      <c r="DN538" s="2659"/>
      <c r="DO538" s="2659"/>
      <c r="DP538" s="2659"/>
      <c r="DQ538" s="2659"/>
      <c r="DR538" s="2659"/>
      <c r="DS538" s="2659"/>
      <c r="DT538" s="2659"/>
      <c r="DU538" s="2659"/>
      <c r="DV538" s="2659"/>
      <c r="DW538" s="2659"/>
      <c r="DX538" s="2659"/>
      <c r="DY538" s="2664"/>
    </row>
    <row r="539" spans="1:129" hidden="1" outlineLevel="1">
      <c r="A539" s="2657" t="s">
        <v>125</v>
      </c>
      <c r="B539" s="2657"/>
      <c r="C539" s="2657"/>
      <c r="D539" s="2658"/>
      <c r="E539" s="2659"/>
      <c r="F539" s="2657"/>
      <c r="G539" s="2658"/>
      <c r="H539" s="2659"/>
      <c r="I539" s="2657"/>
      <c r="J539" s="2657"/>
      <c r="K539" s="2659"/>
      <c r="L539" s="2659"/>
      <c r="M539" s="2659"/>
      <c r="N539" s="2659">
        <f>+N52</f>
        <v>4913</v>
      </c>
      <c r="O539" s="2659">
        <f>+O52</f>
        <v>5154</v>
      </c>
      <c r="P539" s="2659">
        <f>+P52</f>
        <v>6555.476339925759</v>
      </c>
      <c r="Q539" s="2659">
        <f t="shared" si="2296"/>
        <v>7347</v>
      </c>
      <c r="R539" s="2313">
        <f t="shared" si="2297"/>
        <v>7458</v>
      </c>
      <c r="S539" s="2313">
        <f t="shared" si="2303"/>
        <v>7962</v>
      </c>
      <c r="T539" s="2314">
        <v>7960</v>
      </c>
      <c r="U539" s="2659">
        <f t="shared" ref="U539:AA539" si="2304">U52</f>
        <v>8202</v>
      </c>
      <c r="V539" s="2659">
        <f t="shared" si="2304"/>
        <v>8459</v>
      </c>
      <c r="W539" s="2659">
        <f t="shared" si="2304"/>
        <v>8980</v>
      </c>
      <c r="X539" s="2659">
        <f t="shared" si="2304"/>
        <v>9183</v>
      </c>
      <c r="Y539" s="2659">
        <f t="shared" ref="Y539:Z539" si="2305">Y52</f>
        <v>9395</v>
      </c>
      <c r="Z539" s="2659">
        <f t="shared" ca="1" si="2305"/>
        <v>9918.511788103302</v>
      </c>
      <c r="AA539" s="2659">
        <f t="shared" ca="1" si="2304"/>
        <v>10004.15730935504</v>
      </c>
      <c r="AB539" s="2659">
        <f t="shared" ref="AB539:AG539" ca="1" si="2306">AB52</f>
        <v>10045.599786320787</v>
      </c>
      <c r="AC539" s="2659">
        <f t="shared" ca="1" si="2306"/>
        <v>10088.841021724978</v>
      </c>
      <c r="AD539" s="2659">
        <f t="shared" ca="1" si="2306"/>
        <v>10134.19812958184</v>
      </c>
      <c r="AE539" s="2659">
        <f t="shared" ca="1" si="2306"/>
        <v>10181.967444224525</v>
      </c>
      <c r="AF539" s="2659">
        <f t="shared" ca="1" si="2306"/>
        <v>10232.486725971457</v>
      </c>
      <c r="AG539" s="2659">
        <f t="shared" ca="1" si="2306"/>
        <v>10312.724165068708</v>
      </c>
      <c r="AI539" s="2618"/>
      <c r="AK539" s="2659"/>
      <c r="AL539" s="2659"/>
      <c r="AM539" s="2659"/>
      <c r="AN539" s="2659"/>
      <c r="AO539" s="2659"/>
      <c r="AP539" s="2659"/>
      <c r="AQ539" s="2659"/>
      <c r="AR539" s="2659"/>
      <c r="AS539" s="2659"/>
      <c r="AT539" s="2659"/>
      <c r="AU539" s="2659"/>
      <c r="AV539" s="2659"/>
      <c r="AW539" s="2659"/>
      <c r="AX539" s="2659"/>
      <c r="AY539" s="2659"/>
      <c r="AZ539" s="2659"/>
      <c r="BA539" s="2659"/>
      <c r="BB539" s="2659"/>
      <c r="BC539" s="2659"/>
      <c r="BD539" s="2659"/>
      <c r="BE539" s="2659"/>
      <c r="BF539" s="2659"/>
      <c r="BG539" s="2659"/>
      <c r="BH539" s="2659"/>
      <c r="BI539" s="2659"/>
      <c r="BJ539" s="2659"/>
      <c r="BK539" s="2659"/>
      <c r="BL539" s="2659"/>
      <c r="BM539" s="2659"/>
      <c r="BN539" s="2659"/>
      <c r="BO539" s="2659"/>
      <c r="BP539" s="2659"/>
      <c r="BQ539" s="2659"/>
      <c r="BR539" s="2660">
        <v>1055</v>
      </c>
      <c r="BS539" s="2659">
        <f>2158-BR539</f>
        <v>1103</v>
      </c>
      <c r="BT539" s="2659">
        <f>3305-BR539-BS539</f>
        <v>1147</v>
      </c>
      <c r="BU539" s="2659">
        <f>4486-SUM(BR539:BT539)</f>
        <v>1181</v>
      </c>
      <c r="BV539" s="2660">
        <v>1150</v>
      </c>
      <c r="BW539" s="2659">
        <f>2325-BV539</f>
        <v>1175</v>
      </c>
      <c r="BX539" s="2659">
        <f>3524-SUM(BV539:BW539)</f>
        <v>1199</v>
      </c>
      <c r="BY539" s="2659">
        <f>4760-SUM(BV539:BX539)</f>
        <v>1236</v>
      </c>
      <c r="BZ539" s="2660">
        <v>1274</v>
      </c>
      <c r="CA539" s="2659">
        <f>2464-BZ539</f>
        <v>1190</v>
      </c>
      <c r="CB539" s="2659">
        <f>3684-BZ539-CA539</f>
        <v>1220</v>
      </c>
      <c r="CC539" s="2659"/>
      <c r="CD539" s="2660"/>
      <c r="CE539" s="2659"/>
      <c r="CF539" s="2659"/>
      <c r="CG539" s="2659"/>
      <c r="CH539" s="2660"/>
      <c r="CI539" s="2659"/>
      <c r="CJ539" s="2659"/>
      <c r="CK539" s="2659"/>
      <c r="CL539" s="2660">
        <v>1793</v>
      </c>
      <c r="CM539" s="2659">
        <f>CM52</f>
        <v>1727</v>
      </c>
      <c r="CN539" s="2659">
        <f>5466-CM539-CL539</f>
        <v>1946</v>
      </c>
      <c r="CO539" s="2659">
        <f>7347-CN539-CM539-CL539</f>
        <v>1881</v>
      </c>
      <c r="CP539" s="2660">
        <v>1840</v>
      </c>
      <c r="CQ539" s="2659">
        <f>3692-CP539</f>
        <v>1852</v>
      </c>
      <c r="CR539" s="2659">
        <f>5553-CQ539-CP539</f>
        <v>1861</v>
      </c>
      <c r="CS539" s="2659">
        <f>7458-CR539-CQ539-CP539</f>
        <v>1905</v>
      </c>
      <c r="CT539" s="2660">
        <f>CT52</f>
        <v>1899</v>
      </c>
      <c r="CU539" s="2659">
        <f>CU52</f>
        <v>1978</v>
      </c>
      <c r="CV539" s="2659">
        <f>CV52</f>
        <v>2040</v>
      </c>
      <c r="CW539" s="2664">
        <f>CW52</f>
        <v>2045</v>
      </c>
      <c r="CX539" s="2659"/>
      <c r="CY539" s="2659"/>
      <c r="CZ539" s="2659"/>
      <c r="DA539" s="2659"/>
      <c r="DB539" s="2660"/>
      <c r="DC539" s="2659"/>
      <c r="DD539" s="2659"/>
      <c r="DE539" s="2659"/>
      <c r="DF539" s="2659"/>
      <c r="DG539" s="2659"/>
      <c r="DH539" s="2659"/>
      <c r="DI539" s="2659"/>
      <c r="DJ539" s="2659"/>
      <c r="DK539" s="2659"/>
      <c r="DL539" s="2659"/>
      <c r="DM539" s="2659"/>
      <c r="DN539" s="2659"/>
      <c r="DO539" s="2659"/>
      <c r="DP539" s="2659"/>
      <c r="DQ539" s="2659"/>
      <c r="DR539" s="2659"/>
      <c r="DS539" s="2659"/>
      <c r="DT539" s="2659"/>
      <c r="DU539" s="2659"/>
      <c r="DV539" s="2659"/>
      <c r="DW539" s="2659"/>
      <c r="DX539" s="2659"/>
      <c r="DY539" s="2664"/>
    </row>
    <row r="540" spans="1:129" hidden="1" outlineLevel="1">
      <c r="A540" s="2657" t="s">
        <v>126</v>
      </c>
      <c r="B540" s="2657"/>
      <c r="C540" s="2657"/>
      <c r="D540" s="2657"/>
      <c r="E540" s="2657"/>
      <c r="F540" s="2657"/>
      <c r="G540" s="2658"/>
      <c r="H540" s="2659"/>
      <c r="I540" s="2657"/>
      <c r="J540" s="2657"/>
      <c r="K540" s="2659"/>
      <c r="L540" s="2659"/>
      <c r="M540" s="2659"/>
      <c r="N540" s="2659">
        <f>SUM(BZ540:CC540)</f>
        <v>0</v>
      </c>
      <c r="O540" s="2659">
        <f>SUM(CD540:CG540)</f>
        <v>0</v>
      </c>
      <c r="P540" s="2659"/>
      <c r="Q540" s="2659">
        <f t="shared" si="2296"/>
        <v>0</v>
      </c>
      <c r="R540" s="2313">
        <f t="shared" si="2297"/>
        <v>0</v>
      </c>
      <c r="S540" s="2313">
        <f t="shared" si="2303"/>
        <v>0</v>
      </c>
      <c r="T540" s="2314">
        <f>+SUM(CX540:DA540)</f>
        <v>0</v>
      </c>
      <c r="U540" s="2659"/>
      <c r="V540" s="2659"/>
      <c r="W540" s="2659"/>
      <c r="X540" s="2659"/>
      <c r="Y540" s="2659"/>
      <c r="Z540" s="2659"/>
      <c r="AA540" s="2659"/>
      <c r="AB540" s="2659"/>
      <c r="AC540" s="2659"/>
      <c r="AD540" s="2659"/>
      <c r="AE540" s="2659"/>
      <c r="AF540" s="2659"/>
      <c r="AG540" s="2659"/>
      <c r="AI540" s="2618"/>
      <c r="AK540" s="2659"/>
      <c r="AL540" s="2659"/>
      <c r="AM540" s="2659"/>
      <c r="AN540" s="2659"/>
      <c r="AO540" s="2659"/>
      <c r="AP540" s="2659"/>
      <c r="AQ540" s="2659"/>
      <c r="AR540" s="2659"/>
      <c r="AS540" s="2659"/>
      <c r="AT540" s="2659"/>
      <c r="AU540" s="2659"/>
      <c r="AV540" s="2659"/>
      <c r="AW540" s="2659"/>
      <c r="AX540" s="2659"/>
      <c r="AY540" s="2659"/>
      <c r="AZ540" s="2659"/>
      <c r="BA540" s="2659"/>
      <c r="BB540" s="2659"/>
      <c r="BC540" s="2659"/>
      <c r="BD540" s="2659"/>
      <c r="BE540" s="2659"/>
      <c r="BF540" s="2659"/>
      <c r="BG540" s="2659"/>
      <c r="BH540" s="2659"/>
      <c r="BI540" s="2659"/>
      <c r="BJ540" s="2659"/>
      <c r="BK540" s="2659"/>
      <c r="BL540" s="2659"/>
      <c r="BM540" s="2659"/>
      <c r="BN540" s="2659"/>
      <c r="BO540" s="2659"/>
      <c r="BP540" s="2659"/>
      <c r="BQ540" s="2659"/>
      <c r="BR540" s="2660">
        <v>-5</v>
      </c>
      <c r="BS540" s="2659">
        <f>-9-BR540</f>
        <v>-4</v>
      </c>
      <c r="BT540" s="2659">
        <f>-40-BR540-BS540</f>
        <v>-31</v>
      </c>
      <c r="BU540" s="2659">
        <f>-45-SUM(BR540:BT540)</f>
        <v>-5</v>
      </c>
      <c r="BV540" s="2660">
        <v>-5</v>
      </c>
      <c r="BW540" s="2659">
        <f>-11-BV540</f>
        <v>-6</v>
      </c>
      <c r="BX540" s="2659">
        <f>-12-SUM(BV540:BW540)</f>
        <v>-1</v>
      </c>
      <c r="BY540" s="2659">
        <f>-27-SUM(BV540:BX540)</f>
        <v>-15</v>
      </c>
      <c r="BZ540" s="2660"/>
      <c r="CA540" s="2659"/>
      <c r="CB540" s="2659"/>
      <c r="CC540" s="2659"/>
      <c r="CD540" s="2660"/>
      <c r="CE540" s="2659"/>
      <c r="CF540" s="2659"/>
      <c r="CG540" s="2659"/>
      <c r="CH540" s="2660"/>
      <c r="CI540" s="2659"/>
      <c r="CJ540" s="2659"/>
      <c r="CK540" s="2659"/>
      <c r="CL540" s="2660"/>
      <c r="CM540" s="2659"/>
      <c r="CN540" s="2659"/>
      <c r="CO540" s="2659"/>
      <c r="CP540" s="2660"/>
      <c r="CQ540" s="2659"/>
      <c r="CR540" s="2659"/>
      <c r="CS540" s="2659"/>
      <c r="CT540" s="2660"/>
      <c r="CU540" s="2659"/>
      <c r="CV540" s="2659"/>
      <c r="CW540" s="2664"/>
      <c r="CX540" s="2659"/>
      <c r="CY540" s="2659"/>
      <c r="CZ540" s="2659"/>
      <c r="DA540" s="2659"/>
      <c r="DB540" s="2660"/>
      <c r="DC540" s="2659"/>
      <c r="DD540" s="2659"/>
      <c r="DE540" s="2659"/>
      <c r="DF540" s="2659"/>
      <c r="DG540" s="2659"/>
      <c r="DH540" s="2659"/>
      <c r="DI540" s="2659"/>
      <c r="DJ540" s="2659"/>
      <c r="DK540" s="2659"/>
      <c r="DL540" s="2659"/>
      <c r="DM540" s="2659"/>
      <c r="DN540" s="2659"/>
      <c r="DO540" s="2659"/>
      <c r="DP540" s="2659"/>
      <c r="DQ540" s="2659"/>
      <c r="DR540" s="2659"/>
      <c r="DS540" s="2659"/>
      <c r="DT540" s="2659"/>
      <c r="DU540" s="2659"/>
      <c r="DV540" s="2659"/>
      <c r="DW540" s="2659"/>
      <c r="DX540" s="2659"/>
      <c r="DY540" s="2664"/>
    </row>
    <row r="541" spans="1:129" hidden="1" outlineLevel="1">
      <c r="A541" s="2657" t="s">
        <v>127</v>
      </c>
      <c r="B541" s="2657"/>
      <c r="C541" s="2657"/>
      <c r="D541" s="2658"/>
      <c r="E541" s="2659"/>
      <c r="F541" s="2657"/>
      <c r="G541" s="2658"/>
      <c r="H541" s="2659"/>
      <c r="I541" s="2657"/>
      <c r="J541" s="2657"/>
      <c r="K541" s="2659"/>
      <c r="L541" s="2659"/>
      <c r="M541" s="2659"/>
      <c r="N541" s="2659"/>
      <c r="O541" s="2659"/>
      <c r="P541" s="2659"/>
      <c r="Q541" s="2659">
        <f t="shared" si="2296"/>
        <v>0</v>
      </c>
      <c r="R541" s="2313">
        <f t="shared" si="2297"/>
        <v>0</v>
      </c>
      <c r="S541" s="2313">
        <f t="shared" si="2303"/>
        <v>0</v>
      </c>
      <c r="T541" s="2314">
        <f>+SUM(CX541:DA541)</f>
        <v>0</v>
      </c>
      <c r="U541" s="2659"/>
      <c r="V541" s="2659"/>
      <c r="W541" s="2659"/>
      <c r="X541" s="2659"/>
      <c r="Y541" s="2659"/>
      <c r="Z541" s="2659"/>
      <c r="AA541" s="2659"/>
      <c r="AB541" s="2659"/>
      <c r="AC541" s="2659"/>
      <c r="AD541" s="2659"/>
      <c r="AE541" s="2659"/>
      <c r="AF541" s="2659"/>
      <c r="AG541" s="2659"/>
      <c r="AI541" s="2618"/>
      <c r="AK541" s="2659">
        <f>-AK84</f>
        <v>0</v>
      </c>
      <c r="AL541" s="2659">
        <f>-AL84</f>
        <v>0</v>
      </c>
      <c r="AM541" s="2659"/>
      <c r="AN541" s="2659"/>
      <c r="AO541" s="2659"/>
      <c r="AP541" s="2659"/>
      <c r="AQ541" s="2659"/>
      <c r="AR541" s="2659"/>
      <c r="AS541" s="2659"/>
      <c r="AT541" s="2659"/>
      <c r="AU541" s="2659"/>
      <c r="AV541" s="2659"/>
      <c r="AW541" s="2659"/>
      <c r="AX541" s="2659"/>
      <c r="AY541" s="2659"/>
      <c r="AZ541" s="2659"/>
      <c r="BA541" s="2659"/>
      <c r="BB541" s="2659"/>
      <c r="BC541" s="2659"/>
      <c r="BD541" s="2659"/>
      <c r="BE541" s="2659"/>
      <c r="BF541" s="2659"/>
      <c r="BG541" s="2659"/>
      <c r="BH541" s="2659"/>
      <c r="BI541" s="2659"/>
      <c r="BJ541" s="2659"/>
      <c r="BK541" s="2659"/>
      <c r="BL541" s="2659"/>
      <c r="BM541" s="2659"/>
      <c r="BN541" s="2659"/>
      <c r="BO541" s="2659"/>
      <c r="BP541" s="2659"/>
      <c r="BQ541" s="2659"/>
      <c r="BR541" s="2660">
        <v>52</v>
      </c>
      <c r="BS541" s="2659">
        <f>106-BR541</f>
        <v>54</v>
      </c>
      <c r="BT541" s="2659">
        <f>156-BR541-BS541</f>
        <v>50</v>
      </c>
      <c r="BU541" s="2659">
        <f>209-SUM(BR541:BT541)</f>
        <v>53</v>
      </c>
      <c r="BV541" s="2660">
        <v>50</v>
      </c>
      <c r="BW541" s="2659">
        <f>98-BV541</f>
        <v>48</v>
      </c>
      <c r="BX541" s="2659">
        <f>154-SUM(BV541:BW541)</f>
        <v>56</v>
      </c>
      <c r="BY541" s="2659">
        <f>226-SUM(BV541:BX541)</f>
        <v>72</v>
      </c>
      <c r="BZ541" s="2660">
        <v>62</v>
      </c>
      <c r="CA541" s="2659">
        <f>130-BZ541</f>
        <v>68</v>
      </c>
      <c r="CB541" s="2659">
        <f>194-BZ541-CA541</f>
        <v>64</v>
      </c>
      <c r="CC541" s="2659"/>
      <c r="CD541" s="2660"/>
      <c r="CE541" s="2659"/>
      <c r="CF541" s="2659"/>
      <c r="CG541" s="2659"/>
      <c r="CH541" s="2660"/>
      <c r="CI541" s="2659"/>
      <c r="CJ541" s="2659"/>
      <c r="CK541" s="2659"/>
      <c r="CL541" s="2660"/>
      <c r="CM541" s="2659"/>
      <c r="CN541" s="2659"/>
      <c r="CO541" s="2659"/>
      <c r="CP541" s="2660"/>
      <c r="CQ541" s="2659"/>
      <c r="CR541" s="2659"/>
      <c r="CS541" s="2659"/>
      <c r="CT541" s="2660"/>
      <c r="CU541" s="2659"/>
      <c r="CV541" s="2659"/>
      <c r="CW541" s="2664"/>
      <c r="CX541" s="2659"/>
      <c r="CY541" s="2659"/>
      <c r="CZ541" s="2659"/>
      <c r="DA541" s="2659"/>
      <c r="DB541" s="2660"/>
      <c r="DC541" s="2659"/>
      <c r="DD541" s="2659"/>
      <c r="DE541" s="2659"/>
      <c r="DF541" s="2659"/>
      <c r="DG541" s="2659"/>
      <c r="DH541" s="2659"/>
      <c r="DI541" s="2659"/>
      <c r="DJ541" s="2659"/>
      <c r="DK541" s="2659"/>
      <c r="DL541" s="2659"/>
      <c r="DM541" s="2659"/>
      <c r="DN541" s="2659"/>
      <c r="DO541" s="2659"/>
      <c r="DP541" s="2659"/>
      <c r="DQ541" s="2659"/>
      <c r="DR541" s="2659"/>
      <c r="DS541" s="2659"/>
      <c r="DT541" s="2659"/>
      <c r="DU541" s="2659"/>
      <c r="DV541" s="2659"/>
      <c r="DW541" s="2659"/>
      <c r="DX541" s="2659"/>
      <c r="DY541" s="2664"/>
    </row>
    <row r="542" spans="1:129" hidden="1" outlineLevel="1">
      <c r="A542" s="2657" t="s">
        <v>128</v>
      </c>
      <c r="B542" s="2657"/>
      <c r="C542" s="2657"/>
      <c r="D542" s="2658"/>
      <c r="E542" s="2659"/>
      <c r="F542" s="2657"/>
      <c r="G542" s="2658"/>
      <c r="H542" s="2659"/>
      <c r="I542" s="2657"/>
      <c r="J542" s="2657"/>
      <c r="K542" s="2659"/>
      <c r="L542" s="2659"/>
      <c r="M542" s="2659"/>
      <c r="N542" s="2659">
        <f>SUM(BZ542:CC542)</f>
        <v>0</v>
      </c>
      <c r="O542" s="2659">
        <f>SUM(CD542:CG542)</f>
        <v>0</v>
      </c>
      <c r="P542" s="2659"/>
      <c r="Q542" s="2659">
        <f t="shared" si="2296"/>
        <v>0</v>
      </c>
      <c r="R542" s="2313">
        <f t="shared" si="2297"/>
        <v>0</v>
      </c>
      <c r="S542" s="2313">
        <f t="shared" si="2303"/>
        <v>0</v>
      </c>
      <c r="T542" s="2314">
        <f>+SUM(CX542:DA542)</f>
        <v>0</v>
      </c>
      <c r="U542" s="2659"/>
      <c r="V542" s="2659"/>
      <c r="W542" s="2659"/>
      <c r="X542" s="2659"/>
      <c r="Y542" s="2659"/>
      <c r="Z542" s="2659"/>
      <c r="AA542" s="2659"/>
      <c r="AB542" s="2659"/>
      <c r="AC542" s="2659"/>
      <c r="AD542" s="2659"/>
      <c r="AE542" s="2659"/>
      <c r="AF542" s="2659"/>
      <c r="AG542" s="2659"/>
      <c r="AI542" s="2618"/>
      <c r="AK542" s="2659"/>
      <c r="AL542" s="2659"/>
      <c r="AM542" s="2659"/>
      <c r="AN542" s="2659"/>
      <c r="AO542" s="2659"/>
      <c r="AP542" s="2659"/>
      <c r="AQ542" s="2659"/>
      <c r="AR542" s="2659"/>
      <c r="AS542" s="2659"/>
      <c r="AT542" s="2659"/>
      <c r="AU542" s="2659"/>
      <c r="AV542" s="2659"/>
      <c r="AW542" s="2659"/>
      <c r="AX542" s="2659"/>
      <c r="AY542" s="2659"/>
      <c r="AZ542" s="2659"/>
      <c r="BA542" s="2659"/>
      <c r="BB542" s="2659"/>
      <c r="BC542" s="2659"/>
      <c r="BD542" s="2659"/>
      <c r="BE542" s="2659"/>
      <c r="BF542" s="2659"/>
      <c r="BG542" s="2659"/>
      <c r="BH542" s="2659"/>
      <c r="BI542" s="2659"/>
      <c r="BJ542" s="2659"/>
      <c r="BK542" s="2659"/>
      <c r="BL542" s="2659"/>
      <c r="BM542" s="2659"/>
      <c r="BN542" s="2659"/>
      <c r="BO542" s="2659"/>
      <c r="BP542" s="2659"/>
      <c r="BQ542" s="2659"/>
      <c r="BR542" s="2660"/>
      <c r="BS542" s="2659"/>
      <c r="BT542" s="2659"/>
      <c r="BU542" s="2659"/>
      <c r="BV542" s="2660"/>
      <c r="BW542" s="2659"/>
      <c r="BX542" s="2659">
        <f>14-SUM(BV542:BW542)</f>
        <v>14</v>
      </c>
      <c r="BY542" s="2659">
        <f>0-SUM(BV542:BX542)</f>
        <v>-14</v>
      </c>
      <c r="BZ542" s="2660"/>
      <c r="CA542" s="2659"/>
      <c r="CB542" s="2659"/>
      <c r="CC542" s="2659"/>
      <c r="CD542" s="2660"/>
      <c r="CE542" s="2659"/>
      <c r="CF542" s="2659"/>
      <c r="CG542" s="2659"/>
      <c r="CH542" s="2660"/>
      <c r="CI542" s="2659"/>
      <c r="CJ542" s="2659"/>
      <c r="CK542" s="2659"/>
      <c r="CL542" s="2660"/>
      <c r="CM542" s="2659"/>
      <c r="CN542" s="2659"/>
      <c r="CO542" s="2659"/>
      <c r="CP542" s="2660"/>
      <c r="CQ542" s="2659"/>
      <c r="CR542" s="2659"/>
      <c r="CS542" s="2659"/>
      <c r="CT542" s="2660"/>
      <c r="CU542" s="2659"/>
      <c r="CV542" s="2659"/>
      <c r="CW542" s="2664"/>
      <c r="CX542" s="2659"/>
      <c r="CY542" s="2659"/>
      <c r="CZ542" s="2659"/>
      <c r="DA542" s="2659"/>
      <c r="DB542" s="2660"/>
      <c r="DC542" s="2659"/>
      <c r="DD542" s="2659"/>
      <c r="DE542" s="2659"/>
      <c r="DF542" s="2659"/>
      <c r="DG542" s="2659"/>
      <c r="DH542" s="2659"/>
      <c r="DI542" s="2659"/>
      <c r="DJ542" s="2659"/>
      <c r="DK542" s="2659"/>
      <c r="DL542" s="2659"/>
      <c r="DM542" s="2659"/>
      <c r="DN542" s="2659"/>
      <c r="DO542" s="2659"/>
      <c r="DP542" s="2659"/>
      <c r="DQ542" s="2659"/>
      <c r="DR542" s="2659"/>
      <c r="DS542" s="2659"/>
      <c r="DT542" s="2659"/>
      <c r="DU542" s="2659"/>
      <c r="DV542" s="2659"/>
      <c r="DW542" s="2659"/>
      <c r="DX542" s="2659"/>
      <c r="DY542" s="2664"/>
    </row>
    <row r="543" spans="1:129" hidden="1" outlineLevel="1">
      <c r="A543" s="2657" t="s">
        <v>129</v>
      </c>
      <c r="B543" s="2657"/>
      <c r="C543" s="2657"/>
      <c r="D543" s="2658"/>
      <c r="E543" s="2659"/>
      <c r="F543" s="2657"/>
      <c r="G543" s="2658"/>
      <c r="H543" s="2659"/>
      <c r="I543" s="2657"/>
      <c r="J543" s="2657"/>
      <c r="K543" s="2659"/>
      <c r="L543" s="2659"/>
      <c r="M543" s="2659"/>
      <c r="N543" s="2659">
        <f>SUM(BZ543:CC543)</f>
        <v>0</v>
      </c>
      <c r="O543" s="2659">
        <f>SUM(CD543:CG543)</f>
        <v>0</v>
      </c>
      <c r="P543" s="2659"/>
      <c r="Q543" s="2659">
        <f t="shared" si="2296"/>
        <v>0</v>
      </c>
      <c r="R543" s="2313">
        <f t="shared" si="2297"/>
        <v>0</v>
      </c>
      <c r="S543" s="2313">
        <f t="shared" si="2303"/>
        <v>0</v>
      </c>
      <c r="T543" s="2314">
        <f>+SUM(CX543:DA543)</f>
        <v>0</v>
      </c>
      <c r="U543" s="2659"/>
      <c r="V543" s="2659"/>
      <c r="W543" s="2659"/>
      <c r="X543" s="2659"/>
      <c r="Y543" s="2659"/>
      <c r="Z543" s="2659"/>
      <c r="AA543" s="2659"/>
      <c r="AB543" s="2659"/>
      <c r="AC543" s="2659"/>
      <c r="AD543" s="2659"/>
      <c r="AE543" s="2659"/>
      <c r="AF543" s="2659"/>
      <c r="AG543" s="2659"/>
      <c r="AI543" s="2618"/>
      <c r="AK543" s="2659"/>
      <c r="AL543" s="2659"/>
      <c r="AM543" s="2659"/>
      <c r="AN543" s="2659"/>
      <c r="AO543" s="2659"/>
      <c r="AP543" s="2659"/>
      <c r="AQ543" s="2659"/>
      <c r="AR543" s="2659"/>
      <c r="AS543" s="2659"/>
      <c r="AT543" s="2659"/>
      <c r="AU543" s="2659"/>
      <c r="AV543" s="2659"/>
      <c r="AW543" s="2659"/>
      <c r="AX543" s="2659"/>
      <c r="AY543" s="2659"/>
      <c r="AZ543" s="2659"/>
      <c r="BA543" s="2659"/>
      <c r="BB543" s="2659"/>
      <c r="BC543" s="2659"/>
      <c r="BD543" s="2659"/>
      <c r="BE543" s="2659"/>
      <c r="BF543" s="2659"/>
      <c r="BG543" s="2659"/>
      <c r="BH543" s="2659"/>
      <c r="BI543" s="2659"/>
      <c r="BJ543" s="2659"/>
      <c r="BK543" s="2659"/>
      <c r="BL543" s="2659"/>
      <c r="BM543" s="2659"/>
      <c r="BN543" s="2659"/>
      <c r="BO543" s="2659"/>
      <c r="BP543" s="2659"/>
      <c r="BQ543" s="2659"/>
      <c r="BR543" s="2660"/>
      <c r="BS543" s="2659"/>
      <c r="BT543" s="2659"/>
      <c r="BU543" s="2659">
        <f>-2-SUM(BR543:BT543)</f>
        <v>-2</v>
      </c>
      <c r="BV543" s="2660"/>
      <c r="BW543" s="2659"/>
      <c r="BX543" s="2659"/>
      <c r="BY543" s="2659">
        <f>11-SUM(BV543:BX543)</f>
        <v>11</v>
      </c>
      <c r="BZ543" s="2660"/>
      <c r="CA543" s="2659"/>
      <c r="CB543" s="2659"/>
      <c r="CC543" s="2659"/>
      <c r="CD543" s="2660"/>
      <c r="CE543" s="2659"/>
      <c r="CF543" s="2659"/>
      <c r="CG543" s="2659"/>
      <c r="CH543" s="2660"/>
      <c r="CI543" s="2659"/>
      <c r="CJ543" s="2659"/>
      <c r="CK543" s="2659"/>
      <c r="CL543" s="2660"/>
      <c r="CM543" s="2659"/>
      <c r="CN543" s="2659"/>
      <c r="CO543" s="2659"/>
      <c r="CP543" s="2660"/>
      <c r="CQ543" s="2659"/>
      <c r="CR543" s="2659"/>
      <c r="CS543" s="2659"/>
      <c r="CT543" s="2660"/>
      <c r="CU543" s="2659"/>
      <c r="CV543" s="2659"/>
      <c r="CW543" s="2664"/>
      <c r="CX543" s="2659"/>
      <c r="CY543" s="2659"/>
      <c r="CZ543" s="2659"/>
      <c r="DA543" s="2659"/>
      <c r="DB543" s="2660"/>
      <c r="DC543" s="2659"/>
      <c r="DD543" s="2659"/>
      <c r="DE543" s="2659"/>
      <c r="DF543" s="2659"/>
      <c r="DG543" s="2659"/>
      <c r="DH543" s="2659"/>
      <c r="DI543" s="2659"/>
      <c r="DJ543" s="2659"/>
      <c r="DK543" s="2659"/>
      <c r="DL543" s="2659"/>
      <c r="DM543" s="2659"/>
      <c r="DN543" s="2659"/>
      <c r="DO543" s="2659"/>
      <c r="DP543" s="2659"/>
      <c r="DQ543" s="2659"/>
      <c r="DR543" s="2659"/>
      <c r="DS543" s="2659"/>
      <c r="DT543" s="2659"/>
      <c r="DU543" s="2659"/>
      <c r="DV543" s="2659"/>
      <c r="DW543" s="2659"/>
      <c r="DX543" s="2659"/>
      <c r="DY543" s="2664"/>
    </row>
    <row r="544" spans="1:129" hidden="1" outlineLevel="1">
      <c r="A544" s="2657" t="s">
        <v>130</v>
      </c>
      <c r="B544" s="2657"/>
      <c r="C544" s="2657"/>
      <c r="D544" s="2657"/>
      <c r="E544" s="2657"/>
      <c r="F544" s="2657"/>
      <c r="G544" s="2658"/>
      <c r="H544" s="2659"/>
      <c r="I544" s="2657"/>
      <c r="J544" s="2657"/>
      <c r="K544" s="2659"/>
      <c r="L544" s="2659"/>
      <c r="M544" s="2659"/>
      <c r="N544" s="2659">
        <f>SUM(BZ544:CC544)</f>
        <v>0</v>
      </c>
      <c r="O544" s="2659">
        <f>SUM(CD544:CG544)</f>
        <v>0</v>
      </c>
      <c r="P544" s="2659"/>
      <c r="Q544" s="2659">
        <f t="shared" si="2296"/>
        <v>0</v>
      </c>
      <c r="R544" s="2313">
        <f t="shared" si="2297"/>
        <v>0</v>
      </c>
      <c r="S544" s="2313">
        <f t="shared" si="2303"/>
        <v>0</v>
      </c>
      <c r="T544" s="2314">
        <f>+SUM(CX544:DA544)</f>
        <v>0</v>
      </c>
      <c r="U544" s="2659"/>
      <c r="V544" s="2659"/>
      <c r="W544" s="2659"/>
      <c r="X544" s="2659"/>
      <c r="Y544" s="2659"/>
      <c r="Z544" s="2659"/>
      <c r="AA544" s="2659"/>
      <c r="AB544" s="2659"/>
      <c r="AC544" s="2659"/>
      <c r="AD544" s="2659"/>
      <c r="AE544" s="2659"/>
      <c r="AF544" s="2659"/>
      <c r="AG544" s="2659"/>
      <c r="AI544" s="2618"/>
      <c r="AK544" s="2659"/>
      <c r="AL544" s="2659"/>
      <c r="AM544" s="2659"/>
      <c r="AN544" s="2659"/>
      <c r="AO544" s="2659"/>
      <c r="AP544" s="2659"/>
      <c r="AQ544" s="2659"/>
      <c r="AR544" s="2659"/>
      <c r="AS544" s="2659"/>
      <c r="AT544" s="2659"/>
      <c r="AU544" s="2659"/>
      <c r="AV544" s="2659"/>
      <c r="AW544" s="2659"/>
      <c r="AX544" s="2659"/>
      <c r="AY544" s="2659"/>
      <c r="AZ544" s="2659"/>
      <c r="BA544" s="2659"/>
      <c r="BB544" s="2659"/>
      <c r="BC544" s="2659"/>
      <c r="BD544" s="2659"/>
      <c r="BE544" s="2659"/>
      <c r="BF544" s="2659"/>
      <c r="BG544" s="2659"/>
      <c r="BH544" s="2659"/>
      <c r="BI544" s="2659"/>
      <c r="BJ544" s="2659"/>
      <c r="BK544" s="2659"/>
      <c r="BL544" s="2659"/>
      <c r="BM544" s="2659"/>
      <c r="BN544" s="2659"/>
      <c r="BO544" s="2659"/>
      <c r="BP544" s="2659"/>
      <c r="BQ544" s="2659"/>
      <c r="BR544" s="2660"/>
      <c r="BS544" s="2659"/>
      <c r="BT544" s="2659"/>
      <c r="BU544" s="2659"/>
      <c r="BV544" s="2660"/>
      <c r="BW544" s="2659"/>
      <c r="BX544" s="2659"/>
      <c r="BY544" s="2659">
        <f>0-SUM(BV544:BX544)</f>
        <v>0</v>
      </c>
      <c r="BZ544" s="2660"/>
      <c r="CA544" s="2659"/>
      <c r="CB544" s="2659"/>
      <c r="CC544" s="2659"/>
      <c r="CD544" s="2660"/>
      <c r="CE544" s="2659"/>
      <c r="CF544" s="2659"/>
      <c r="CG544" s="2659"/>
      <c r="CH544" s="2660"/>
      <c r="CI544" s="2659"/>
      <c r="CJ544" s="2659"/>
      <c r="CK544" s="2659"/>
      <c r="CL544" s="2660"/>
      <c r="CM544" s="2659"/>
      <c r="CN544" s="2659"/>
      <c r="CO544" s="2659"/>
      <c r="CP544" s="2660"/>
      <c r="CQ544" s="2659"/>
      <c r="CR544" s="2659"/>
      <c r="CS544" s="2659"/>
      <c r="CT544" s="2660"/>
      <c r="CU544" s="2659"/>
      <c r="CV544" s="2659"/>
      <c r="CW544" s="2664"/>
      <c r="CX544" s="2659"/>
      <c r="CY544" s="2659"/>
      <c r="CZ544" s="2659"/>
      <c r="DA544" s="2659"/>
      <c r="DB544" s="2660"/>
      <c r="DC544" s="2659"/>
      <c r="DD544" s="2659"/>
      <c r="DE544" s="2659"/>
      <c r="DF544" s="2659"/>
      <c r="DG544" s="2659"/>
      <c r="DH544" s="2659"/>
      <c r="DI544" s="2659"/>
      <c r="DJ544" s="2659"/>
      <c r="DK544" s="2659"/>
      <c r="DL544" s="2659"/>
      <c r="DM544" s="2659"/>
      <c r="DN544" s="2659"/>
      <c r="DO544" s="2659"/>
      <c r="DP544" s="2659"/>
      <c r="DQ544" s="2659"/>
      <c r="DR544" s="2659"/>
      <c r="DS544" s="2659"/>
      <c r="DT544" s="2659"/>
      <c r="DU544" s="2659"/>
      <c r="DV544" s="2659"/>
      <c r="DW544" s="2659"/>
      <c r="DX544" s="2659"/>
      <c r="DY544" s="2664"/>
    </row>
    <row r="545" spans="1:129" hidden="1" outlineLevel="1">
      <c r="A545" s="2657" t="s">
        <v>131</v>
      </c>
      <c r="B545" s="2657"/>
      <c r="C545" s="2657"/>
      <c r="D545" s="2657"/>
      <c r="E545" s="2657"/>
      <c r="F545" s="2657"/>
      <c r="G545" s="2657"/>
      <c r="H545" s="2657"/>
      <c r="I545" s="2657"/>
      <c r="J545" s="2659"/>
      <c r="K545" s="2659"/>
      <c r="L545" s="2659"/>
      <c r="M545" s="2659"/>
      <c r="N545" s="2661">
        <f>273+122+580-726+10+9+658+133</f>
        <v>1059</v>
      </c>
      <c r="O545" s="2661">
        <f>395+98+689-914-209+14-118+189</f>
        <v>144</v>
      </c>
      <c r="P545" s="2661">
        <f>507+176+181-1032+60-74-510+145</f>
        <v>-547</v>
      </c>
      <c r="Q545" s="2659">
        <f t="shared" si="2296"/>
        <v>-103</v>
      </c>
      <c r="R545" s="2313">
        <f t="shared" si="2297"/>
        <v>1413</v>
      </c>
      <c r="S545" s="2313">
        <f>689+368-624+166+124-728+371</f>
        <v>366</v>
      </c>
      <c r="T545" s="2314">
        <f>634+123-1238-137-107+674-419</f>
        <v>-470</v>
      </c>
      <c r="U545" s="2659" t="e">
        <f t="shared" ref="U545:Z545" si="2307">T500-U500+T502-U502+T503-U503+U516-T516+U517-T517+U518-T518</f>
        <v>#REF!</v>
      </c>
      <c r="V545" s="2659" t="e">
        <f t="shared" si="2307"/>
        <v>#REF!</v>
      </c>
      <c r="W545" s="2659" t="e">
        <f t="shared" si="2307"/>
        <v>#REF!</v>
      </c>
      <c r="X545" s="2659" t="e">
        <f t="shared" si="2307"/>
        <v>#REF!</v>
      </c>
      <c r="Y545" s="2659" t="e">
        <f t="shared" si="2307"/>
        <v>#REF!</v>
      </c>
      <c r="Z545" s="2659" t="e">
        <f t="shared" ca="1" si="2307"/>
        <v>#REF!</v>
      </c>
      <c r="AA545" s="2659" t="e">
        <f ca="1">Z545</f>
        <v>#REF!</v>
      </c>
      <c r="AB545" s="2659" t="e">
        <f ca="1">AA545</f>
        <v>#REF!</v>
      </c>
      <c r="AC545" s="2659" t="e">
        <f t="shared" ref="AC545:AG545" ca="1" si="2308">AB545</f>
        <v>#REF!</v>
      </c>
      <c r="AD545" s="2659" t="e">
        <f t="shared" ca="1" si="2308"/>
        <v>#REF!</v>
      </c>
      <c r="AE545" s="2659" t="e">
        <f t="shared" ca="1" si="2308"/>
        <v>#REF!</v>
      </c>
      <c r="AF545" s="2659" t="e">
        <f t="shared" ca="1" si="2308"/>
        <v>#REF!</v>
      </c>
      <c r="AG545" s="2659" t="e">
        <f t="shared" ca="1" si="2308"/>
        <v>#REF!</v>
      </c>
      <c r="AI545" s="2618"/>
      <c r="AK545" s="2661"/>
      <c r="AL545" s="2661"/>
      <c r="AM545" s="2659"/>
      <c r="AN545" s="2659"/>
      <c r="AO545" s="2659"/>
      <c r="AP545" s="2659"/>
      <c r="AQ545" s="2659"/>
      <c r="AR545" s="2659"/>
      <c r="AS545" s="2659"/>
      <c r="AT545" s="2659"/>
      <c r="AU545" s="2659"/>
      <c r="AV545" s="2659"/>
      <c r="AW545" s="2659"/>
      <c r="AX545" s="2659"/>
      <c r="AY545" s="2659"/>
      <c r="AZ545" s="2659"/>
      <c r="BA545" s="2659"/>
      <c r="BB545" s="2659"/>
      <c r="BC545" s="2659"/>
      <c r="BD545" s="2659"/>
      <c r="BE545" s="2659"/>
      <c r="BF545" s="2659"/>
      <c r="BG545" s="2659"/>
      <c r="BH545" s="2659"/>
      <c r="BI545" s="2659"/>
      <c r="BJ545" s="2659"/>
      <c r="BK545" s="2659"/>
      <c r="BL545" s="2659"/>
      <c r="BM545" s="2659"/>
      <c r="BN545" s="2659"/>
      <c r="BO545" s="2659"/>
      <c r="BP545" s="2659"/>
      <c r="BQ545" s="2659"/>
      <c r="BR545" s="2660">
        <v>269</v>
      </c>
      <c r="BS545" s="2659">
        <f>-109-BR545</f>
        <v>-378</v>
      </c>
      <c r="BT545" s="2659">
        <f>102-BR545-BS545</f>
        <v>211</v>
      </c>
      <c r="BU545" s="2659">
        <f>227+41-597-234+30-45+654+177-65-SUM(BR545:BT545)</f>
        <v>86</v>
      </c>
      <c r="BV545" s="2660">
        <v>588</v>
      </c>
      <c r="BW545" s="2659">
        <f>439-BV545</f>
        <v>-149</v>
      </c>
      <c r="BX545" s="2659">
        <f>283-SUM(BV545:BW545)</f>
        <v>-156</v>
      </c>
      <c r="BY545" s="2659">
        <f>-604-235+54+54+527+43+212-SUM(BV545:BX545)</f>
        <v>-232</v>
      </c>
      <c r="BZ545" s="2660">
        <v>-253</v>
      </c>
      <c r="CA545" s="2659">
        <f>307-BZ545</f>
        <v>560</v>
      </c>
      <c r="CB545" s="2659">
        <f>907-BZ545-CA545</f>
        <v>600</v>
      </c>
      <c r="CC545" s="2661"/>
      <c r="CD545" s="2662"/>
      <c r="CE545" s="2661"/>
      <c r="CF545" s="2661"/>
      <c r="CG545" s="2661"/>
      <c r="CH545" s="2662"/>
      <c r="CI545" s="2661"/>
      <c r="CJ545" s="2661"/>
      <c r="CK545" s="2661"/>
      <c r="CL545" s="2660">
        <f>-141+333</f>
        <v>192</v>
      </c>
      <c r="CM545" s="2659">
        <f>+SUM(CM547-CM539-CM537)</f>
        <v>-349</v>
      </c>
      <c r="CN545" s="2659">
        <f>-1136+1613-CM545-CL545</f>
        <v>634</v>
      </c>
      <c r="CO545" s="2659">
        <f>696+147-1000-127-42-607+830-CN545-CM545-CL545</f>
        <v>-580</v>
      </c>
      <c r="CP545" s="2660">
        <f>-62+674</f>
        <v>612</v>
      </c>
      <c r="CQ545" s="2659">
        <f>1151+508-CP545</f>
        <v>1047</v>
      </c>
      <c r="CR545" s="2659">
        <f>893+750-CQ545-CP545</f>
        <v>-16</v>
      </c>
      <c r="CS545" s="2659">
        <f>746+65-1076+308-104+1505-31-CR545-CQ545-CP545</f>
        <v>-230</v>
      </c>
      <c r="CT545" s="2660">
        <f ca="1">(CS500-CT500)+(CS501-CT501)+(CS502-CT502)+(CS503-CT503)+(CT516-CS516)+(CT517-CS517)+(CT518-CS518)</f>
        <v>1447.4075778707575</v>
      </c>
      <c r="CU545" s="2659">
        <f ca="1">(CT500-CU500)+(CT501-CU501)+(CT502-CU502)+(CT503-CU503)+(CU516-CT516)+(CU517-CT517)+(CU518-CT518)</f>
        <v>-2574.8610529986054</v>
      </c>
      <c r="CV545" s="2659">
        <f>(CU500-CV500)+(CU501-CV501)+(CU502-CV502)+(CU503-CV503)+(CV516-CU516)+(CV517-CU517)+(CV518-CU518)</f>
        <v>-231.65000000000077</v>
      </c>
      <c r="CW545" s="2664">
        <f>(CV500-CW500)+(CV501-CW501)+(CV502-CW502)+(CV503-CW503)+(CW516-CV516)+(CW517-CV517)+(CW518-CV518)</f>
        <v>931.51111111111186</v>
      </c>
      <c r="CX545" s="2659"/>
      <c r="CY545" s="2659"/>
      <c r="CZ545" s="2659"/>
      <c r="DA545" s="2659"/>
      <c r="DB545" s="2660"/>
      <c r="DC545" s="2659"/>
      <c r="DD545" s="2659"/>
      <c r="DE545" s="2659"/>
      <c r="DF545" s="2659"/>
      <c r="DG545" s="2659"/>
      <c r="DH545" s="2659"/>
      <c r="DI545" s="2659"/>
      <c r="DJ545" s="2659"/>
      <c r="DK545" s="2659"/>
      <c r="DL545" s="2659"/>
      <c r="DM545" s="2659"/>
      <c r="DN545" s="2659"/>
      <c r="DO545" s="2659"/>
      <c r="DP545" s="2659"/>
      <c r="DQ545" s="2659"/>
      <c r="DR545" s="2659"/>
      <c r="DS545" s="2659"/>
      <c r="DT545" s="2659"/>
      <c r="DU545" s="2659"/>
      <c r="DV545" s="2659"/>
      <c r="DW545" s="2659"/>
      <c r="DX545" s="2659"/>
      <c r="DY545" s="2664"/>
    </row>
    <row r="546" spans="1:129" hidden="1" outlineLevel="1">
      <c r="A546" s="2657" t="s">
        <v>955</v>
      </c>
      <c r="B546" s="2657"/>
      <c r="C546" s="2657"/>
      <c r="D546" s="2658"/>
      <c r="E546" s="2659"/>
      <c r="F546" s="2657"/>
      <c r="G546" s="2658"/>
      <c r="H546" s="2659"/>
      <c r="I546" s="2657"/>
      <c r="J546" s="2657"/>
      <c r="K546" s="2659"/>
      <c r="L546" s="2659"/>
      <c r="M546" s="2659"/>
      <c r="N546" s="2659">
        <v>0</v>
      </c>
      <c r="O546" s="2659">
        <f>SUM(CD546:CG546)</f>
        <v>0</v>
      </c>
      <c r="P546" s="2659"/>
      <c r="Q546" s="2659"/>
      <c r="R546" s="2313"/>
      <c r="S546" s="2313"/>
      <c r="T546" s="2314">
        <f>+SUM(CX546:DA546)</f>
        <v>0</v>
      </c>
      <c r="U546" s="2659"/>
      <c r="V546" s="2659"/>
      <c r="W546" s="2659"/>
      <c r="X546" s="2659"/>
      <c r="Y546" s="2659"/>
      <c r="Z546" s="2659"/>
      <c r="AA546" s="2659"/>
      <c r="AB546" s="2659"/>
      <c r="AC546" s="2659"/>
      <c r="AD546" s="2659"/>
      <c r="AE546" s="2659"/>
      <c r="AF546" s="2659"/>
      <c r="AG546" s="2659"/>
      <c r="AI546" s="2618"/>
      <c r="AK546" s="2659"/>
      <c r="AL546" s="2659"/>
      <c r="AM546" s="2659"/>
      <c r="AN546" s="2659"/>
      <c r="AO546" s="2659"/>
      <c r="AP546" s="2659"/>
      <c r="AQ546" s="2659"/>
      <c r="AR546" s="2659"/>
      <c r="AS546" s="2659"/>
      <c r="AT546" s="2659"/>
      <c r="AU546" s="2659"/>
      <c r="AV546" s="2659"/>
      <c r="AW546" s="2659"/>
      <c r="AX546" s="2659"/>
      <c r="AY546" s="2659"/>
      <c r="AZ546" s="2659"/>
      <c r="BA546" s="2659"/>
      <c r="BB546" s="2659"/>
      <c r="BC546" s="2659"/>
      <c r="BD546" s="2659"/>
      <c r="BE546" s="2659"/>
      <c r="BF546" s="2659"/>
      <c r="BG546" s="2659"/>
      <c r="BH546" s="2659"/>
      <c r="BI546" s="2659"/>
      <c r="BJ546" s="2659"/>
      <c r="BK546" s="2659"/>
      <c r="BL546" s="2659"/>
      <c r="BM546" s="2659"/>
      <c r="BN546" s="2659"/>
      <c r="BO546" s="2659"/>
      <c r="BP546" s="2659"/>
      <c r="BQ546" s="2659"/>
      <c r="BR546" s="2660"/>
      <c r="BS546" s="2659"/>
      <c r="BT546" s="2659"/>
      <c r="BU546" s="2659"/>
      <c r="BV546" s="2660"/>
      <c r="BW546" s="2659"/>
      <c r="BX546" s="2659"/>
      <c r="BY546" s="2659">
        <f>74+250-SUM(BV546:BX546)</f>
        <v>324</v>
      </c>
      <c r="BZ546" s="2660">
        <v>2</v>
      </c>
      <c r="CA546" s="2659">
        <f>9-BZ546</f>
        <v>7</v>
      </c>
      <c r="CB546" s="2659">
        <f>3-BZ546-CA546</f>
        <v>-6</v>
      </c>
      <c r="CC546" s="2659"/>
      <c r="CD546" s="2660"/>
      <c r="CE546" s="2659"/>
      <c r="CF546" s="2659"/>
      <c r="CG546" s="2659"/>
      <c r="CH546" s="2660"/>
      <c r="CI546" s="2659"/>
      <c r="CJ546" s="2659"/>
      <c r="CK546" s="2659"/>
      <c r="CL546" s="2660"/>
      <c r="CM546" s="2659"/>
      <c r="CN546" s="2659"/>
      <c r="CO546" s="2659"/>
      <c r="CP546" s="2660"/>
      <c r="CQ546" s="2659"/>
      <c r="CR546" s="2659"/>
      <c r="CS546" s="2659"/>
      <c r="CT546" s="2660"/>
      <c r="CU546" s="2659"/>
      <c r="CV546" s="2659"/>
      <c r="CW546" s="2664"/>
      <c r="CX546" s="2659"/>
      <c r="CY546" s="2659"/>
      <c r="CZ546" s="2659"/>
      <c r="DA546" s="2659"/>
      <c r="DB546" s="2660"/>
      <c r="DC546" s="2659"/>
      <c r="DD546" s="2659"/>
      <c r="DE546" s="2659"/>
      <c r="DF546" s="2659"/>
      <c r="DG546" s="2659"/>
      <c r="DH546" s="2659"/>
      <c r="DI546" s="2659"/>
      <c r="DJ546" s="2659"/>
      <c r="DK546" s="2659"/>
      <c r="DL546" s="2659"/>
      <c r="DM546" s="2659"/>
      <c r="DN546" s="2659"/>
      <c r="DO546" s="2659"/>
      <c r="DP546" s="2659"/>
      <c r="DQ546" s="2659"/>
      <c r="DR546" s="2659"/>
      <c r="DS546" s="2659"/>
      <c r="DT546" s="2659"/>
      <c r="DU546" s="2659"/>
      <c r="DV546" s="2659"/>
      <c r="DW546" s="2659"/>
      <c r="DX546" s="2659"/>
      <c r="DY546" s="2664"/>
    </row>
    <row r="547" spans="1:129" hidden="1" outlineLevel="1">
      <c r="A547" s="2665" t="s">
        <v>132</v>
      </c>
      <c r="B547" s="2665"/>
      <c r="C547" s="2665"/>
      <c r="D547" s="2665"/>
      <c r="E547" s="2665"/>
      <c r="F547" s="2665"/>
      <c r="G547" s="2666"/>
      <c r="H547" s="2661"/>
      <c r="I547" s="2665"/>
      <c r="J547" s="2665"/>
      <c r="K547" s="2661"/>
      <c r="L547" s="2661"/>
      <c r="M547" s="2661"/>
      <c r="N547" s="2661">
        <f t="shared" ref="N547:V547" si="2309">SUM(N537:N546)</f>
        <v>14544</v>
      </c>
      <c r="O547" s="2661">
        <f t="shared" si="2309"/>
        <v>22687.309999999998</v>
      </c>
      <c r="P547" s="2661">
        <f t="shared" si="2309"/>
        <v>12958.000000000002</v>
      </c>
      <c r="Q547" s="2661">
        <f t="shared" si="2309"/>
        <v>21928</v>
      </c>
      <c r="R547" s="2303">
        <f t="shared" si="2309"/>
        <v>25547</v>
      </c>
      <c r="S547" s="2303">
        <f t="shared" si="2309"/>
        <v>25278</v>
      </c>
      <c r="T547" s="2304">
        <f t="shared" si="2309"/>
        <v>28665</v>
      </c>
      <c r="U547" s="2661" t="e">
        <f t="shared" si="2309"/>
        <v>#REF!</v>
      </c>
      <c r="V547" s="2661" t="e">
        <f t="shared" si="2309"/>
        <v>#REF!</v>
      </c>
      <c r="W547" s="2661" t="e">
        <f t="shared" ref="W547:AB547" si="2310">SUM(W537:W546)</f>
        <v>#REF!</v>
      </c>
      <c r="X547" s="2661" t="e">
        <f t="shared" si="2310"/>
        <v>#REF!</v>
      </c>
      <c r="Y547" s="2661" t="e">
        <f t="shared" si="2310"/>
        <v>#REF!</v>
      </c>
      <c r="Z547" s="2661" t="e">
        <f t="shared" ca="1" si="2310"/>
        <v>#REF!</v>
      </c>
      <c r="AA547" s="2661" t="e">
        <f t="shared" ca="1" si="2310"/>
        <v>#REF!</v>
      </c>
      <c r="AB547" s="2661" t="e">
        <f t="shared" ca="1" si="2310"/>
        <v>#REF!</v>
      </c>
      <c r="AC547" s="2661" t="e">
        <f t="shared" ref="AC547:AG547" ca="1" si="2311">SUM(AC537:AC546)</f>
        <v>#REF!</v>
      </c>
      <c r="AD547" s="2661" t="e">
        <f t="shared" ca="1" si="2311"/>
        <v>#REF!</v>
      </c>
      <c r="AE547" s="2661" t="e">
        <f t="shared" ca="1" si="2311"/>
        <v>#REF!</v>
      </c>
      <c r="AF547" s="2661" t="e">
        <f t="shared" ca="1" si="2311"/>
        <v>#REF!</v>
      </c>
      <c r="AG547" s="2661" t="e">
        <f t="shared" ca="1" si="2311"/>
        <v>#REF!</v>
      </c>
      <c r="AI547" s="2618"/>
      <c r="AK547" s="2661">
        <f>SUM(AK537:AK546)</f>
        <v>0</v>
      </c>
      <c r="AL547" s="2661">
        <f>SUM(AL537:AL546)</f>
        <v>0</v>
      </c>
      <c r="AM547" s="2659"/>
      <c r="AN547" s="2661"/>
      <c r="AO547" s="2661"/>
      <c r="AP547" s="2661"/>
      <c r="AQ547" s="2661"/>
      <c r="AR547" s="2661"/>
      <c r="AS547" s="2661"/>
      <c r="AT547" s="2661"/>
      <c r="AU547" s="2661"/>
      <c r="AV547" s="2661"/>
      <c r="AW547" s="2661"/>
      <c r="AX547" s="2661"/>
      <c r="AY547" s="2661"/>
      <c r="AZ547" s="2661"/>
      <c r="BA547" s="2661"/>
      <c r="BB547" s="2661"/>
      <c r="BC547" s="2661"/>
      <c r="BD547" s="2661"/>
      <c r="BE547" s="2661"/>
      <c r="BF547" s="2661"/>
      <c r="BG547" s="2661"/>
      <c r="BH547" s="2661"/>
      <c r="BI547" s="2661"/>
      <c r="BJ547" s="2661"/>
      <c r="BK547" s="2661"/>
      <c r="BL547" s="2661"/>
      <c r="BM547" s="2661"/>
      <c r="BN547" s="2661">
        <v>1673</v>
      </c>
      <c r="BO547" s="2661">
        <f>3308-BN547</f>
        <v>1635</v>
      </c>
      <c r="BP547" s="2661">
        <f>5353-BN547-BO547</f>
        <v>2045</v>
      </c>
      <c r="BQ547" s="2661">
        <f>7646-BN547-BO547-BP547</f>
        <v>2293</v>
      </c>
      <c r="BR547" s="2662">
        <v>2280</v>
      </c>
      <c r="BS547" s="2661">
        <f>2207-BR547</f>
        <v>-73</v>
      </c>
      <c r="BT547" s="2661">
        <f>7101-BS547-BR547</f>
        <v>4894</v>
      </c>
      <c r="BU547" s="2661">
        <f>9534-BT547-BS547-BR547</f>
        <v>2433</v>
      </c>
      <c r="BV547" s="2662">
        <f t="shared" ref="BV547:CB547" si="2312">SUM(BV537:BV546)</f>
        <v>3019</v>
      </c>
      <c r="BW547" s="2661">
        <f t="shared" si="2312"/>
        <v>2534</v>
      </c>
      <c r="BX547" s="2661">
        <f t="shared" si="2312"/>
        <v>2645</v>
      </c>
      <c r="BY547" s="2661">
        <f t="shared" si="2312"/>
        <v>3299</v>
      </c>
      <c r="BZ547" s="2662">
        <f t="shared" si="2312"/>
        <v>2869</v>
      </c>
      <c r="CA547" s="2661">
        <f t="shared" si="2312"/>
        <v>3866</v>
      </c>
      <c r="CB547" s="2661">
        <f t="shared" si="2312"/>
        <v>4154</v>
      </c>
      <c r="CC547" s="2661"/>
      <c r="CD547" s="2662"/>
      <c r="CE547" s="2661"/>
      <c r="CF547" s="2661"/>
      <c r="CG547" s="2661"/>
      <c r="CH547" s="2662"/>
      <c r="CI547" s="2661"/>
      <c r="CJ547" s="2661"/>
      <c r="CK547" s="2661"/>
      <c r="CL547" s="2662">
        <f>SUM(CL537:CL546)</f>
        <v>5510</v>
      </c>
      <c r="CM547" s="2661">
        <f>10418-CL547</f>
        <v>4908</v>
      </c>
      <c r="CN547" s="2661">
        <f t="shared" ref="CN547:CW547" si="2313">SUM(CN537:CN546)</f>
        <v>6392</v>
      </c>
      <c r="CO547" s="2661">
        <f t="shared" si="2313"/>
        <v>5118</v>
      </c>
      <c r="CP547" s="2662">
        <f t="shared" si="2313"/>
        <v>6532</v>
      </c>
      <c r="CQ547" s="2661">
        <f t="shared" si="2313"/>
        <v>6691</v>
      </c>
      <c r="CR547" s="2661">
        <f t="shared" si="2313"/>
        <v>6279</v>
      </c>
      <c r="CS547" s="2661">
        <f t="shared" si="2313"/>
        <v>6045</v>
      </c>
      <c r="CT547" s="2662">
        <f t="shared" ca="1" si="2313"/>
        <v>7179.7825778707575</v>
      </c>
      <c r="CU547" s="2661">
        <f t="shared" ca="1" si="2313"/>
        <v>3546.823947001395</v>
      </c>
      <c r="CV547" s="2661">
        <f t="shared" si="2313"/>
        <v>6367.9049999999997</v>
      </c>
      <c r="CW547" s="2663">
        <f t="shared" si="2313"/>
        <v>6795.3261111111124</v>
      </c>
      <c r="CX547" s="2661"/>
      <c r="CY547" s="2661"/>
      <c r="CZ547" s="2661"/>
      <c r="DA547" s="2661"/>
      <c r="DB547" s="2662"/>
      <c r="DC547" s="2661"/>
      <c r="DD547" s="2661"/>
      <c r="DE547" s="2661"/>
      <c r="DF547" s="2661"/>
      <c r="DG547" s="2661"/>
      <c r="DH547" s="2661"/>
      <c r="DI547" s="2661"/>
      <c r="DJ547" s="2661"/>
      <c r="DK547" s="2661"/>
      <c r="DL547" s="2661"/>
      <c r="DM547" s="2661"/>
      <c r="DN547" s="2661"/>
      <c r="DO547" s="2661"/>
      <c r="DP547" s="2661"/>
      <c r="DQ547" s="2661"/>
      <c r="DR547" s="2661"/>
      <c r="DS547" s="2661"/>
      <c r="DT547" s="2661"/>
      <c r="DU547" s="2661"/>
      <c r="DV547" s="2661"/>
      <c r="DW547" s="2661"/>
      <c r="DX547" s="2661"/>
      <c r="DY547" s="2663"/>
    </row>
    <row r="548" spans="1:129" hidden="1" outlineLevel="1">
      <c r="A548" s="2665"/>
      <c r="B548" s="2665"/>
      <c r="C548" s="2665"/>
      <c r="D548" s="2666"/>
      <c r="E548" s="2661"/>
      <c r="F548" s="2665"/>
      <c r="G548" s="2666"/>
      <c r="H548" s="2661"/>
      <c r="I548" s="2665"/>
      <c r="J548" s="2665"/>
      <c r="K548" s="2661"/>
      <c r="L548" s="2661"/>
      <c r="M548" s="2661"/>
      <c r="N548" s="2661"/>
      <c r="O548" s="2661"/>
      <c r="P548" s="2661"/>
      <c r="Q548" s="2661"/>
      <c r="R548" s="2303"/>
      <c r="S548" s="2303"/>
      <c r="T548" s="2304"/>
      <c r="U548" s="2661"/>
      <c r="V548" s="2661"/>
      <c r="W548" s="2661"/>
      <c r="X548" s="2661"/>
      <c r="Y548" s="2661"/>
      <c r="Z548" s="2661"/>
      <c r="AA548" s="2661"/>
      <c r="AB548" s="2661"/>
      <c r="AC548" s="2661"/>
      <c r="AD548" s="2661"/>
      <c r="AE548" s="2661"/>
      <c r="AF548" s="2661"/>
      <c r="AG548" s="2661"/>
      <c r="AI548" s="2618"/>
      <c r="AK548" s="2661"/>
      <c r="AL548" s="2661"/>
      <c r="AM548" s="2659"/>
      <c r="AN548" s="2661"/>
      <c r="AO548" s="2661"/>
      <c r="AP548" s="2661"/>
      <c r="AQ548" s="2661"/>
      <c r="AR548" s="2661"/>
      <c r="AS548" s="2661"/>
      <c r="AT548" s="2661"/>
      <c r="AU548" s="2661"/>
      <c r="AV548" s="2661"/>
      <c r="AW548" s="2661"/>
      <c r="AX548" s="2661"/>
      <c r="AY548" s="2661"/>
      <c r="AZ548" s="2661"/>
      <c r="BA548" s="2661"/>
      <c r="BB548" s="2661"/>
      <c r="BC548" s="2661"/>
      <c r="BD548" s="2661"/>
      <c r="BE548" s="2661"/>
      <c r="BF548" s="2661"/>
      <c r="BG548" s="2661"/>
      <c r="BH548" s="2661"/>
      <c r="BI548" s="2661"/>
      <c r="BJ548" s="2661"/>
      <c r="BK548" s="2661"/>
      <c r="BL548" s="2661"/>
      <c r="BM548" s="2661"/>
      <c r="BN548" s="2661"/>
      <c r="BO548" s="2661"/>
      <c r="BP548" s="2661"/>
      <c r="BQ548" s="2661"/>
      <c r="BR548" s="2662"/>
      <c r="BS548" s="2661"/>
      <c r="BT548" s="2661"/>
      <c r="BU548" s="2661"/>
      <c r="BV548" s="2662"/>
      <c r="BW548" s="2661"/>
      <c r="BX548" s="2661"/>
      <c r="BY548" s="2661"/>
      <c r="BZ548" s="2662"/>
      <c r="CA548" s="2661"/>
      <c r="CB548" s="2661"/>
      <c r="CC548" s="2661"/>
      <c r="CD548" s="2662"/>
      <c r="CE548" s="2661"/>
      <c r="CF548" s="2661"/>
      <c r="CG548" s="2661"/>
      <c r="CH548" s="2662"/>
      <c r="CI548" s="2661"/>
      <c r="CJ548" s="2661"/>
      <c r="CK548" s="2661"/>
      <c r="CL548" s="2662"/>
      <c r="CM548" s="2661"/>
      <c r="CN548" s="2661"/>
      <c r="CO548" s="2661"/>
      <c r="CP548" s="2662"/>
      <c r="CQ548" s="2661"/>
      <c r="CR548" s="2661"/>
      <c r="CS548" s="2661"/>
      <c r="CT548" s="2662"/>
      <c r="CU548" s="2661"/>
      <c r="CV548" s="2661"/>
      <c r="CW548" s="2663"/>
      <c r="CX548" s="2661"/>
      <c r="CY548" s="2661"/>
      <c r="CZ548" s="2661"/>
      <c r="DA548" s="2661"/>
      <c r="DB548" s="2662"/>
      <c r="DC548" s="2661"/>
      <c r="DD548" s="2661"/>
      <c r="DE548" s="2661"/>
      <c r="DF548" s="2661"/>
      <c r="DG548" s="2661"/>
      <c r="DH548" s="2661"/>
      <c r="DI548" s="2661"/>
      <c r="DJ548" s="2661"/>
      <c r="DK548" s="2661"/>
      <c r="DL548" s="2661"/>
      <c r="DM548" s="2661"/>
      <c r="DN548" s="2661"/>
      <c r="DO548" s="2661"/>
      <c r="DP548" s="2661"/>
      <c r="DQ548" s="2661"/>
      <c r="DR548" s="2661"/>
      <c r="DS548" s="2661"/>
      <c r="DT548" s="2661"/>
      <c r="DU548" s="2661"/>
      <c r="DV548" s="2661"/>
      <c r="DW548" s="2661"/>
      <c r="DX548" s="2661"/>
      <c r="DY548" s="2663"/>
    </row>
    <row r="549" spans="1:129" hidden="1" outlineLevel="1">
      <c r="A549" s="2665" t="s">
        <v>133</v>
      </c>
      <c r="B549" s="2665"/>
      <c r="C549" s="2665"/>
      <c r="D549" s="2657"/>
      <c r="E549" s="2659"/>
      <c r="F549" s="2657"/>
      <c r="G549" s="2657"/>
      <c r="H549" s="2659"/>
      <c r="I549" s="2657"/>
      <c r="J549" s="2659"/>
      <c r="K549" s="2659"/>
      <c r="L549" s="2659"/>
      <c r="M549" s="2659"/>
      <c r="N549" s="2659"/>
      <c r="O549" s="2659"/>
      <c r="P549" s="2659"/>
      <c r="Q549" s="2659"/>
      <c r="R549" s="2313"/>
      <c r="S549" s="2313"/>
      <c r="T549" s="2314"/>
      <c r="U549" s="2659"/>
      <c r="V549" s="2659"/>
      <c r="W549" s="2659"/>
      <c r="X549" s="2659"/>
      <c r="Y549" s="2659"/>
      <c r="Z549" s="2659"/>
      <c r="AA549" s="2659"/>
      <c r="AB549" s="2659"/>
      <c r="AC549" s="2659"/>
      <c r="AD549" s="2659"/>
      <c r="AE549" s="2659"/>
      <c r="AF549" s="2659"/>
      <c r="AG549" s="2659"/>
      <c r="AI549" s="2618"/>
      <c r="AK549" s="2659"/>
      <c r="AL549" s="2659"/>
      <c r="AM549" s="2659"/>
      <c r="AN549" s="2659"/>
      <c r="AO549" s="2659"/>
      <c r="AP549" s="2659"/>
      <c r="AQ549" s="2659"/>
      <c r="AR549" s="2659"/>
      <c r="AS549" s="2659"/>
      <c r="AT549" s="2659"/>
      <c r="AU549" s="2659"/>
      <c r="AV549" s="2659"/>
      <c r="AW549" s="2659"/>
      <c r="AX549" s="2659"/>
      <c r="AY549" s="2659"/>
      <c r="AZ549" s="2659"/>
      <c r="BA549" s="2659"/>
      <c r="BB549" s="2659"/>
      <c r="BC549" s="2659"/>
      <c r="BD549" s="2659"/>
      <c r="BE549" s="2659"/>
      <c r="BF549" s="2659"/>
      <c r="BG549" s="2659"/>
      <c r="BH549" s="2659"/>
      <c r="BI549" s="2659"/>
      <c r="BJ549" s="2659"/>
      <c r="BK549" s="2659"/>
      <c r="BL549" s="2659"/>
      <c r="BM549" s="2659"/>
      <c r="BN549" s="2659"/>
      <c r="BO549" s="2659"/>
      <c r="BP549" s="2659"/>
      <c r="BQ549" s="2659"/>
      <c r="BR549" s="2660"/>
      <c r="BS549" s="2659"/>
      <c r="BT549" s="2659"/>
      <c r="BU549" s="2659"/>
      <c r="BV549" s="2660"/>
      <c r="BW549" s="2659"/>
      <c r="BX549" s="2659"/>
      <c r="BY549" s="2659"/>
      <c r="BZ549" s="2660"/>
      <c r="CA549" s="2659"/>
      <c r="CB549" s="2659"/>
      <c r="CC549" s="2659"/>
      <c r="CD549" s="2660"/>
      <c r="CE549" s="2659"/>
      <c r="CF549" s="2659"/>
      <c r="CG549" s="2659"/>
      <c r="CH549" s="2660"/>
      <c r="CI549" s="2659"/>
      <c r="CJ549" s="2659"/>
      <c r="CK549" s="2659"/>
      <c r="CL549" s="2660"/>
      <c r="CM549" s="2659"/>
      <c r="CN549" s="2659"/>
      <c r="CO549" s="2659"/>
      <c r="CP549" s="2660"/>
      <c r="CQ549" s="2659"/>
      <c r="CR549" s="2659"/>
      <c r="CS549" s="2659"/>
      <c r="CT549" s="2660"/>
      <c r="CU549" s="2659"/>
      <c r="CV549" s="2659"/>
      <c r="CW549" s="2664"/>
      <c r="CX549" s="2659"/>
      <c r="CY549" s="2659"/>
      <c r="CZ549" s="2659"/>
      <c r="DA549" s="2659"/>
      <c r="DB549" s="2660"/>
      <c r="DC549" s="2659"/>
      <c r="DD549" s="2659"/>
      <c r="DE549" s="2659"/>
      <c r="DF549" s="2659"/>
      <c r="DG549" s="2659"/>
      <c r="DH549" s="2659"/>
      <c r="DI549" s="2659"/>
      <c r="DJ549" s="2659"/>
      <c r="DK549" s="2659"/>
      <c r="DL549" s="2659"/>
      <c r="DM549" s="2659"/>
      <c r="DN549" s="2659"/>
      <c r="DO549" s="2659"/>
      <c r="DP549" s="2659"/>
      <c r="DQ549" s="2659"/>
      <c r="DR549" s="2659"/>
      <c r="DS549" s="2659"/>
      <c r="DT549" s="2659"/>
      <c r="DU549" s="2659"/>
      <c r="DV549" s="2659"/>
      <c r="DW549" s="2659"/>
      <c r="DX549" s="2659"/>
      <c r="DY549" s="2664"/>
    </row>
    <row r="550" spans="1:129" hidden="1" outlineLevel="1">
      <c r="A550" s="2657" t="s">
        <v>134</v>
      </c>
      <c r="B550" s="2657"/>
      <c r="C550" s="2657"/>
      <c r="D550" s="2658"/>
      <c r="E550" s="2659"/>
      <c r="F550" s="2657"/>
      <c r="G550" s="2658"/>
      <c r="H550" s="2659"/>
      <c r="I550" s="2657"/>
      <c r="J550" s="2657"/>
      <c r="K550" s="2659"/>
      <c r="L550" s="2659"/>
      <c r="M550" s="2659"/>
      <c r="N550" s="2659">
        <f>-Capex!N114</f>
        <v>-6618</v>
      </c>
      <c r="O550" s="2659">
        <f>-Capex!O114</f>
        <v>-6503</v>
      </c>
      <c r="P550" s="2659">
        <f>-Capex!P114</f>
        <v>-6510</v>
      </c>
      <c r="Q550" s="2659">
        <f t="shared" ref="Q550:Q556" si="2314">+SUM(CL550:CO550)</f>
        <v>-7152</v>
      </c>
      <c r="R550" s="2313">
        <v>-8438</v>
      </c>
      <c r="S550" s="2313">
        <v>-8973</v>
      </c>
      <c r="T550" s="2314">
        <v>-8857</v>
      </c>
      <c r="U550" s="2659">
        <f>-Capex!U114</f>
        <v>-9425</v>
      </c>
      <c r="V550" s="2659">
        <f>-Capex!V114</f>
        <v>-10515</v>
      </c>
      <c r="W550" s="2659">
        <f>-Capex!W114</f>
        <v>-11725</v>
      </c>
      <c r="X550" s="2659">
        <f>-Capex!X114</f>
        <v>-11240</v>
      </c>
      <c r="Y550" s="2659">
        <f>-Capex!Y114</f>
        <v>-10628</v>
      </c>
      <c r="Z550" s="2659">
        <f ca="1">-Capex!Z114</f>
        <v>-8906.4523480695134</v>
      </c>
      <c r="AA550" s="2659">
        <f ca="1">-Capex!AA114</f>
        <v>-11971.816370188671</v>
      </c>
      <c r="AB550" s="2659">
        <f ca="1">-Capex!AB114</f>
        <v>-12165.382932009355</v>
      </c>
      <c r="AC550" s="2659">
        <f ca="1">-Capex!AC114</f>
        <v>-12373.92195528193</v>
      </c>
      <c r="AD550" s="2659">
        <f ca="1">-Capex!AD114</f>
        <v>-12595.669303914367</v>
      </c>
      <c r="AE550" s="2659">
        <f ca="1">-Capex!AE114</f>
        <v>-12831.701873574641</v>
      </c>
      <c r="AF550" s="2659">
        <f ca="1">-Capex!AF114</f>
        <v>-13084.32525619944</v>
      </c>
      <c r="AG550" s="2659">
        <f ca="1">-Capex!AG114</f>
        <v>-13356.358738063651</v>
      </c>
      <c r="AI550" s="2618"/>
      <c r="AK550" s="2659"/>
      <c r="AL550" s="2659"/>
      <c r="AM550" s="2659"/>
      <c r="AN550" s="2659"/>
      <c r="AO550" s="2659"/>
      <c r="AP550" s="2659"/>
      <c r="AQ550" s="2659"/>
      <c r="AR550" s="2659"/>
      <c r="AS550" s="2659"/>
      <c r="AT550" s="2659"/>
      <c r="AU550" s="2659"/>
      <c r="AV550" s="2659"/>
      <c r="AW550" s="2659"/>
      <c r="AX550" s="2659"/>
      <c r="AY550" s="2659"/>
      <c r="AZ550" s="2659"/>
      <c r="BA550" s="2659"/>
      <c r="BB550" s="2659"/>
      <c r="BC550" s="2659"/>
      <c r="BD550" s="2659"/>
      <c r="BE550" s="2659"/>
      <c r="BF550" s="2659"/>
      <c r="BG550" s="2659"/>
      <c r="BH550" s="2659"/>
      <c r="BI550" s="2659"/>
      <c r="BJ550" s="2659"/>
      <c r="BK550" s="2659"/>
      <c r="BL550" s="2659"/>
      <c r="BM550" s="2659"/>
      <c r="BN550" s="2659"/>
      <c r="BO550" s="2659"/>
      <c r="BP550" s="2659"/>
      <c r="BQ550" s="2659"/>
      <c r="BR550" s="2660">
        <v>-1314</v>
      </c>
      <c r="BS550" s="2659">
        <f>-2747-BR550</f>
        <v>-1433</v>
      </c>
      <c r="BT550" s="2659">
        <f>-4121-BR550-BS550</f>
        <v>-1374</v>
      </c>
      <c r="BU550" s="2659">
        <f>-5633-BR550-BS550-BT550</f>
        <v>-1512</v>
      </c>
      <c r="BV550" s="2660">
        <v>-1641</v>
      </c>
      <c r="BW550" s="2659">
        <f>-3339-BV550</f>
        <v>-1698</v>
      </c>
      <c r="BX550" s="2659">
        <f>-4962-SUM(BV550:BW550)</f>
        <v>-1623</v>
      </c>
      <c r="BY550" s="2659">
        <f>-6484-SUM(BV550:BX550)</f>
        <v>-1522</v>
      </c>
      <c r="BZ550" s="2660">
        <v>-1581</v>
      </c>
      <c r="CA550" s="2659">
        <f>-3178-BZ550</f>
        <v>-1597</v>
      </c>
      <c r="CB550" s="2659">
        <f>-4801-BZ550-CA550</f>
        <v>-1623</v>
      </c>
      <c r="CC550" s="2659"/>
      <c r="CD550" s="2660"/>
      <c r="CE550" s="2659"/>
      <c r="CF550" s="2659"/>
      <c r="CG550" s="2659"/>
      <c r="CH550" s="2659"/>
      <c r="CI550" s="2659"/>
      <c r="CJ550" s="2659"/>
      <c r="CK550" s="2659"/>
      <c r="CL550" s="2660">
        <f>-Capex!CL114</f>
        <v>-1551</v>
      </c>
      <c r="CM550" s="2659">
        <f>-Capex!CM114</f>
        <v>-1783</v>
      </c>
      <c r="CN550" s="2659">
        <f>-Capex!CN114</f>
        <v>-1800</v>
      </c>
      <c r="CO550" s="2659">
        <f>+-7152-CN550-CM550-CL550</f>
        <v>-2018</v>
      </c>
      <c r="CP550" s="2660">
        <f>-Capex!CP114</f>
        <v>-1770</v>
      </c>
      <c r="CQ550" s="2659">
        <f>-4032-CP550</f>
        <v>-2262</v>
      </c>
      <c r="CR550" s="2659">
        <f>+-6205-CQ550-CP550</f>
        <v>-2173</v>
      </c>
      <c r="CS550" s="2659">
        <f>-8438-CR550-CQ550-CP550</f>
        <v>-2233</v>
      </c>
      <c r="CT550" s="2660">
        <f>-Capex!CT114</f>
        <v>-2735</v>
      </c>
      <c r="CU550" s="2659">
        <f>-Capex!CU114</f>
        <v>-2667</v>
      </c>
      <c r="CV550" s="2659">
        <f>-Capex!CV114</f>
        <v>-1784</v>
      </c>
      <c r="CW550" s="2664">
        <f>-Capex!CW114</f>
        <v>-1787</v>
      </c>
      <c r="CX550" s="2659"/>
      <c r="CY550" s="2659"/>
      <c r="CZ550" s="2659"/>
      <c r="DA550" s="2659"/>
      <c r="DB550" s="2660"/>
      <c r="DC550" s="2659"/>
      <c r="DD550" s="2659"/>
      <c r="DE550" s="2659"/>
      <c r="DF550" s="2659"/>
      <c r="DG550" s="2659"/>
      <c r="DH550" s="2659"/>
      <c r="DI550" s="2659"/>
      <c r="DJ550" s="2659"/>
      <c r="DK550" s="2659"/>
      <c r="DL550" s="2659"/>
      <c r="DM550" s="2659"/>
      <c r="DN550" s="2659"/>
      <c r="DO550" s="2659"/>
      <c r="DP550" s="2659"/>
      <c r="DQ550" s="2659"/>
      <c r="DR550" s="2659"/>
      <c r="DS550" s="2659"/>
      <c r="DT550" s="2659"/>
      <c r="DU550" s="2659"/>
      <c r="DV550" s="2659"/>
      <c r="DW550" s="2659"/>
      <c r="DX550" s="2659"/>
      <c r="DY550" s="2664"/>
    </row>
    <row r="551" spans="1:129" hidden="1" outlineLevel="1">
      <c r="A551" s="2657" t="s">
        <v>135</v>
      </c>
      <c r="B551" s="2657"/>
      <c r="C551" s="2657"/>
      <c r="D551" s="2658"/>
      <c r="E551" s="2659"/>
      <c r="F551" s="2657"/>
      <c r="G551" s="2658"/>
      <c r="H551" s="2659"/>
      <c r="I551" s="2657"/>
      <c r="J551" s="2657"/>
      <c r="K551" s="2659"/>
      <c r="L551" s="2659"/>
      <c r="M551" s="2659"/>
      <c r="N551" s="2659">
        <f>SUM(BZ551:CC551)</f>
        <v>0</v>
      </c>
      <c r="O551" s="2659">
        <f>SUM(CD551:CG551)</f>
        <v>0</v>
      </c>
      <c r="P551" s="2659"/>
      <c r="Q551" s="2659">
        <f t="shared" si="2314"/>
        <v>0</v>
      </c>
      <c r="R551" s="2313">
        <f t="shared" ref="R551:R556" si="2315">+SUM(CP551:CS551)</f>
        <v>2594</v>
      </c>
      <c r="S551" s="2313">
        <f>+SUM(CT551:CW551)</f>
        <v>0</v>
      </c>
      <c r="T551" s="2314">
        <v>0</v>
      </c>
      <c r="U551" s="2659"/>
      <c r="V551" s="2659"/>
      <c r="W551" s="2659"/>
      <c r="X551" s="2659"/>
      <c r="Y551" s="2659"/>
      <c r="Z551" s="2659"/>
      <c r="AA551" s="2659"/>
      <c r="AB551" s="2659"/>
      <c r="AC551" s="2659"/>
      <c r="AD551" s="2659"/>
      <c r="AE551" s="2659"/>
      <c r="AF551" s="2659"/>
      <c r="AG551" s="2659"/>
      <c r="AI551" s="2618"/>
      <c r="AK551" s="2659"/>
      <c r="AL551" s="2659"/>
      <c r="AM551" s="2659"/>
      <c r="AN551" s="2659"/>
      <c r="AO551" s="2659"/>
      <c r="AP551" s="2659"/>
      <c r="AQ551" s="2659"/>
      <c r="AR551" s="2659"/>
      <c r="AS551" s="2659"/>
      <c r="AT551" s="2659"/>
      <c r="AU551" s="2659"/>
      <c r="AV551" s="2659"/>
      <c r="AW551" s="2659"/>
      <c r="AX551" s="2659"/>
      <c r="AY551" s="2659"/>
      <c r="AZ551" s="2659"/>
      <c r="BA551" s="2659"/>
      <c r="BB551" s="2659"/>
      <c r="BC551" s="2659"/>
      <c r="BD551" s="2659"/>
      <c r="BE551" s="2659"/>
      <c r="BF551" s="2659"/>
      <c r="BG551" s="2659"/>
      <c r="BH551" s="2659"/>
      <c r="BI551" s="2659"/>
      <c r="BJ551" s="2659"/>
      <c r="BK551" s="2659"/>
      <c r="BL551" s="2659"/>
      <c r="BM551" s="2659"/>
      <c r="BN551" s="2659"/>
      <c r="BO551" s="2659"/>
      <c r="BP551" s="2659"/>
      <c r="BQ551" s="2659"/>
      <c r="BR551" s="2660"/>
      <c r="BS551" s="2659"/>
      <c r="BT551" s="2659"/>
      <c r="BU551" s="2659"/>
      <c r="BV551" s="2660"/>
      <c r="BW551" s="2659"/>
      <c r="BX551" s="2659"/>
      <c r="BY551" s="2659"/>
      <c r="BZ551" s="2660"/>
      <c r="CA551" s="2659"/>
      <c r="CB551" s="2659"/>
      <c r="CC551" s="2659"/>
      <c r="CD551" s="2660"/>
      <c r="CE551" s="2659"/>
      <c r="CF551" s="2659"/>
      <c r="CG551" s="2659"/>
      <c r="CH551" s="2660"/>
      <c r="CI551" s="2659"/>
      <c r="CJ551" s="2659"/>
      <c r="CK551" s="2659"/>
      <c r="CL551" s="2660"/>
      <c r="CM551" s="2659"/>
      <c r="CN551" s="2659"/>
      <c r="CO551" s="2659"/>
      <c r="CP551" s="2660"/>
      <c r="CQ551" s="2659">
        <v>2594</v>
      </c>
      <c r="CR551" s="2659">
        <f>2594-CQ551-CP551</f>
        <v>0</v>
      </c>
      <c r="CS551" s="2659">
        <f>2594-CR551-CQ551-CP551</f>
        <v>0</v>
      </c>
      <c r="CT551" s="2660"/>
      <c r="CU551" s="2659"/>
      <c r="CV551" s="2659"/>
      <c r="CW551" s="2664"/>
      <c r="CX551" s="2659"/>
      <c r="CY551" s="2659"/>
      <c r="CZ551" s="2659"/>
      <c r="DA551" s="2659"/>
      <c r="DB551" s="2660"/>
      <c r="DC551" s="2659"/>
      <c r="DD551" s="2659"/>
      <c r="DE551" s="2659"/>
      <c r="DF551" s="2659"/>
      <c r="DG551" s="2659"/>
      <c r="DH551" s="2659"/>
      <c r="DI551" s="2659"/>
      <c r="DJ551" s="2659"/>
      <c r="DK551" s="2659"/>
      <c r="DL551" s="2659"/>
      <c r="DM551" s="2659"/>
      <c r="DN551" s="2659"/>
      <c r="DO551" s="2659"/>
      <c r="DP551" s="2659"/>
      <c r="DQ551" s="2659"/>
      <c r="DR551" s="2659"/>
      <c r="DS551" s="2659"/>
      <c r="DT551" s="2659"/>
      <c r="DU551" s="2659"/>
      <c r="DV551" s="2659"/>
      <c r="DW551" s="2659"/>
      <c r="DX551" s="2659"/>
      <c r="DY551" s="2664"/>
    </row>
    <row r="552" spans="1:129" hidden="1" outlineLevel="1">
      <c r="A552" s="2657" t="s">
        <v>136</v>
      </c>
      <c r="B552" s="2657"/>
      <c r="C552" s="2657"/>
      <c r="D552" s="2657"/>
      <c r="E552" s="2657"/>
      <c r="F552" s="2657"/>
      <c r="G552" s="2658"/>
      <c r="H552" s="2659"/>
      <c r="I552" s="2657"/>
      <c r="J552" s="2657"/>
      <c r="K552" s="2659"/>
      <c r="L552" s="2659"/>
      <c r="M552" s="2659"/>
      <c r="N552" s="2659">
        <v>-2809</v>
      </c>
      <c r="O552" s="2659">
        <v>0</v>
      </c>
      <c r="P552" s="2659">
        <f>-9363-914</f>
        <v>-10277</v>
      </c>
      <c r="Q552" s="2659">
        <f t="shared" si="2314"/>
        <v>-4881</v>
      </c>
      <c r="R552" s="2313">
        <f t="shared" si="2315"/>
        <v>-332</v>
      </c>
      <c r="S552" s="2313">
        <f>+SUM(CT552:CW552)</f>
        <v>0</v>
      </c>
      <c r="T552" s="2314">
        <f>-188-4287</f>
        <v>-4475</v>
      </c>
      <c r="U552" s="2313">
        <v>2000</v>
      </c>
      <c r="V552" s="2313">
        <v>0</v>
      </c>
      <c r="W552" s="2313">
        <v>0</v>
      </c>
      <c r="X552" s="2313">
        <v>0</v>
      </c>
      <c r="Y552" s="2313">
        <v>0</v>
      </c>
      <c r="Z552" s="2313">
        <v>0</v>
      </c>
      <c r="AA552" s="2659"/>
      <c r="AB552" s="2659"/>
      <c r="AC552" s="2659"/>
      <c r="AD552" s="2659"/>
      <c r="AE552" s="2659"/>
      <c r="AF552" s="2659"/>
      <c r="AG552" s="2659"/>
      <c r="AI552" s="2618"/>
      <c r="AK552" s="2659"/>
      <c r="AL552" s="2659"/>
      <c r="AM552" s="2659"/>
      <c r="AN552" s="2659"/>
      <c r="AO552" s="2659"/>
      <c r="AP552" s="2659"/>
      <c r="AQ552" s="2659"/>
      <c r="AR552" s="2659"/>
      <c r="AS552" s="2659"/>
      <c r="AT552" s="2659"/>
      <c r="AU552" s="2659"/>
      <c r="AV552" s="2659"/>
      <c r="AW552" s="2659"/>
      <c r="AX552" s="2659"/>
      <c r="AY552" s="2659"/>
      <c r="AZ552" s="2659"/>
      <c r="BA552" s="2659"/>
      <c r="BB552" s="2659"/>
      <c r="BC552" s="2659"/>
      <c r="BD552" s="2659"/>
      <c r="BE552" s="2659"/>
      <c r="BF552" s="2659"/>
      <c r="BG552" s="2659"/>
      <c r="BH552" s="2659"/>
      <c r="BI552" s="2659"/>
      <c r="BJ552" s="2659"/>
      <c r="BK552" s="2659"/>
      <c r="BL552" s="2659"/>
      <c r="BM552" s="2659"/>
      <c r="BN552" s="2659"/>
      <c r="BO552" s="2659"/>
      <c r="BP552" s="2659"/>
      <c r="BQ552" s="2659"/>
      <c r="BR552" s="2660">
        <v>-3</v>
      </c>
      <c r="BS552" s="2659">
        <f>-10-BR552</f>
        <v>-7</v>
      </c>
      <c r="BT552" s="2659">
        <f>-11-BR552-BS552</f>
        <v>-1</v>
      </c>
      <c r="BU552" s="2659">
        <f>-996-BR552-BS552-BT552</f>
        <v>-985</v>
      </c>
      <c r="BV552" s="2660">
        <v>-503</v>
      </c>
      <c r="BW552" s="2659">
        <f>-4099-BV552</f>
        <v>-3596</v>
      </c>
      <c r="BX552" s="2659">
        <f>-4249-SUM(BV552:BW552)</f>
        <v>-150</v>
      </c>
      <c r="BY552" s="2659">
        <f>-4282-SUM(BV552:BX552)</f>
        <v>-33</v>
      </c>
      <c r="BZ552" s="2660">
        <v>-14</v>
      </c>
      <c r="CA552" s="2659">
        <f>-51-BZ552</f>
        <v>-37</v>
      </c>
      <c r="CB552" s="2659">
        <f>-52-BZ552-CA552</f>
        <v>-1</v>
      </c>
      <c r="CC552" s="2661"/>
      <c r="CD552" s="2662"/>
      <c r="CE552" s="2661"/>
      <c r="CF552" s="2661"/>
      <c r="CG552" s="2661"/>
      <c r="CH552" s="2662"/>
      <c r="CI552" s="2661"/>
      <c r="CJ552" s="2661"/>
      <c r="CK552" s="2661"/>
      <c r="CL552" s="2660">
        <v>-4881</v>
      </c>
      <c r="CM552" s="2661"/>
      <c r="CN552" s="2661"/>
      <c r="CO552" s="2661">
        <f>+-4881-CN552-CM552-CL552</f>
        <v>0</v>
      </c>
      <c r="CP552" s="2662"/>
      <c r="CQ552" s="2661"/>
      <c r="CR552" s="2659">
        <f>-235-CQ552-CP552</f>
        <v>-235</v>
      </c>
      <c r="CS552" s="2661">
        <f>-332-CR552-CQ552-CP552</f>
        <v>-97</v>
      </c>
      <c r="CT552" s="2662"/>
      <c r="CU552" s="2661"/>
      <c r="CV552" s="2661"/>
      <c r="CW552" s="2663"/>
      <c r="CX552" s="2661"/>
      <c r="CY552" s="2661"/>
      <c r="CZ552" s="2661"/>
      <c r="DA552" s="2661"/>
      <c r="DB552" s="2662"/>
      <c r="DC552" s="2661"/>
      <c r="DD552" s="2661"/>
      <c r="DE552" s="2661"/>
      <c r="DF552" s="2661"/>
      <c r="DG552" s="2661"/>
      <c r="DH552" s="2661"/>
      <c r="DI552" s="2661"/>
      <c r="DJ552" s="2661"/>
      <c r="DK552" s="2661"/>
      <c r="DL552" s="2661"/>
      <c r="DM552" s="2661"/>
      <c r="DN552" s="2661"/>
      <c r="DO552" s="2661"/>
      <c r="DP552" s="2661"/>
      <c r="DQ552" s="2661"/>
      <c r="DR552" s="2661"/>
      <c r="DS552" s="2661"/>
      <c r="DT552" s="2661"/>
      <c r="DU552" s="2661"/>
      <c r="DV552" s="2661"/>
      <c r="DW552" s="2661"/>
      <c r="DX552" s="2661"/>
      <c r="DY552" s="2663"/>
    </row>
    <row r="553" spans="1:129" hidden="1" outlineLevel="1">
      <c r="A553" s="2657" t="s">
        <v>137</v>
      </c>
      <c r="B553" s="2657"/>
      <c r="C553" s="2657"/>
      <c r="D553" s="2658"/>
      <c r="E553" s="2659"/>
      <c r="F553" s="2657"/>
      <c r="G553" s="2658"/>
      <c r="H553" s="2659"/>
      <c r="I553" s="2657"/>
      <c r="J553" s="2657"/>
      <c r="K553" s="2659"/>
      <c r="L553" s="2659"/>
      <c r="M553" s="2659"/>
      <c r="N553" s="2659"/>
      <c r="O553" s="2659"/>
      <c r="P553" s="2659"/>
      <c r="Q553" s="2659">
        <f t="shared" si="2314"/>
        <v>0</v>
      </c>
      <c r="R553" s="2313">
        <f t="shared" si="2315"/>
        <v>0</v>
      </c>
      <c r="S553" s="2313">
        <f>+SUM(CT553:CW553)</f>
        <v>0</v>
      </c>
      <c r="T553" s="2314">
        <f>+SUM(CX553:DA553)</f>
        <v>0</v>
      </c>
      <c r="U553" s="2659"/>
      <c r="V553" s="2659"/>
      <c r="W553" s="2659"/>
      <c r="X553" s="2659"/>
      <c r="Y553" s="2659"/>
      <c r="Z553" s="2659"/>
      <c r="AA553" s="2659"/>
      <c r="AB553" s="2659"/>
      <c r="AC553" s="2659"/>
      <c r="AD553" s="2659"/>
      <c r="AE553" s="2659"/>
      <c r="AF553" s="2659"/>
      <c r="AG553" s="2659"/>
      <c r="AI553" s="2618"/>
      <c r="AK553" s="2659"/>
      <c r="AL553" s="2659"/>
      <c r="AM553" s="2659"/>
      <c r="AN553" s="2659"/>
      <c r="AO553" s="2659"/>
      <c r="AP553" s="2659"/>
      <c r="AQ553" s="2659"/>
      <c r="AR553" s="2659"/>
      <c r="AS553" s="2659"/>
      <c r="AT553" s="2659"/>
      <c r="AU553" s="2659"/>
      <c r="AV553" s="2659"/>
      <c r="AW553" s="2659"/>
      <c r="AX553" s="2659"/>
      <c r="AY553" s="2659"/>
      <c r="AZ553" s="2659"/>
      <c r="BA553" s="2659"/>
      <c r="BB553" s="2659"/>
      <c r="BC553" s="2659"/>
      <c r="BD553" s="2659"/>
      <c r="BE553" s="2659"/>
      <c r="BF553" s="2659"/>
      <c r="BG553" s="2659"/>
      <c r="BH553" s="2659"/>
      <c r="BI553" s="2659"/>
      <c r="BJ553" s="2659"/>
      <c r="BK553" s="2659"/>
      <c r="BL553" s="2659"/>
      <c r="BM553" s="2659"/>
      <c r="BN553" s="2659"/>
      <c r="BO553" s="2659"/>
      <c r="BP553" s="2659"/>
      <c r="BQ553" s="2659"/>
      <c r="BR553" s="2660"/>
      <c r="BS553" s="2659"/>
      <c r="BT553" s="2659"/>
      <c r="BU553" s="2659"/>
      <c r="BV553" s="2660"/>
      <c r="BW553" s="2659"/>
      <c r="BX553" s="2659"/>
      <c r="BY553" s="2659">
        <f>-307-SUM(BV553:BX553)</f>
        <v>-307</v>
      </c>
      <c r="BZ553" s="2660">
        <v>0</v>
      </c>
      <c r="CA553" s="2659"/>
      <c r="CB553" s="2659">
        <f>-383-BZ553-CA553</f>
        <v>-383</v>
      </c>
      <c r="CC553" s="2659"/>
      <c r="CD553" s="2660"/>
      <c r="CE553" s="2659"/>
      <c r="CF553" s="2659"/>
      <c r="CG553" s="2659"/>
      <c r="CH553" s="2660"/>
      <c r="CI553" s="2659"/>
      <c r="CJ553" s="2659"/>
      <c r="CK553" s="2659"/>
      <c r="CL553" s="2660"/>
      <c r="CM553" s="2659"/>
      <c r="CN553" s="2659"/>
      <c r="CO553" s="2659"/>
      <c r="CP553" s="2660"/>
      <c r="CQ553" s="2659"/>
      <c r="CR553" s="2659"/>
      <c r="CS553" s="2659"/>
      <c r="CT553" s="2660"/>
      <c r="CU553" s="2659"/>
      <c r="CV553" s="2659"/>
      <c r="CW553" s="2664"/>
      <c r="CX553" s="2659"/>
      <c r="CY553" s="2659"/>
      <c r="CZ553" s="2659"/>
      <c r="DA553" s="2659"/>
      <c r="DB553" s="2660"/>
      <c r="DC553" s="2659"/>
      <c r="DD553" s="2659"/>
      <c r="DE553" s="2659"/>
      <c r="DF553" s="2659"/>
      <c r="DG553" s="2659"/>
      <c r="DH553" s="2659"/>
      <c r="DI553" s="2659"/>
      <c r="DJ553" s="2659"/>
      <c r="DK553" s="2659"/>
      <c r="DL553" s="2659"/>
      <c r="DM553" s="2659"/>
      <c r="DN553" s="2659"/>
      <c r="DO553" s="2659"/>
      <c r="DP553" s="2659"/>
      <c r="DQ553" s="2659"/>
      <c r="DR553" s="2659"/>
      <c r="DS553" s="2659"/>
      <c r="DT553" s="2659"/>
      <c r="DU553" s="2659"/>
      <c r="DV553" s="2659"/>
      <c r="DW553" s="2659"/>
      <c r="DX553" s="2659"/>
      <c r="DY553" s="2664"/>
    </row>
    <row r="554" spans="1:129" hidden="1" outlineLevel="1">
      <c r="A554" s="2657" t="s">
        <v>138</v>
      </c>
      <c r="B554" s="2657"/>
      <c r="C554" s="2657"/>
      <c r="D554" s="2658"/>
      <c r="E554" s="2659"/>
      <c r="F554" s="2657"/>
      <c r="G554" s="2658"/>
      <c r="H554" s="2659"/>
      <c r="I554" s="2657"/>
      <c r="J554" s="2657"/>
      <c r="K554" s="2659"/>
      <c r="L554" s="2659"/>
      <c r="M554" s="2659"/>
      <c r="N554" s="2659">
        <f>SUM(BZ554:CC554)</f>
        <v>0</v>
      </c>
      <c r="O554" s="2659">
        <f>SUM(CA554:CD554)</f>
        <v>0</v>
      </c>
      <c r="P554" s="2659">
        <v>-4766</v>
      </c>
      <c r="Q554" s="2659">
        <f t="shared" si="2314"/>
        <v>0</v>
      </c>
      <c r="R554" s="2313">
        <f t="shared" si="2315"/>
        <v>0</v>
      </c>
      <c r="S554" s="2313">
        <f>+SUM(CT554:CW554)</f>
        <v>0</v>
      </c>
      <c r="T554" s="2314">
        <f>+SUM(CX554:DA554)</f>
        <v>0</v>
      </c>
      <c r="U554" s="2659"/>
      <c r="V554" s="2659"/>
      <c r="W554" s="2659"/>
      <c r="X554" s="2659"/>
      <c r="Y554" s="2659"/>
      <c r="Z554" s="2659"/>
      <c r="AA554" s="2659"/>
      <c r="AB554" s="2659"/>
      <c r="AC554" s="2659"/>
      <c r="AD554" s="2659"/>
      <c r="AE554" s="2659"/>
      <c r="AF554" s="2659"/>
      <c r="AG554" s="2659"/>
      <c r="AI554" s="2618"/>
      <c r="AK554" s="2659"/>
      <c r="AL554" s="2659"/>
      <c r="AM554" s="2659"/>
      <c r="AN554" s="2659"/>
      <c r="AO554" s="2659"/>
      <c r="AP554" s="2659"/>
      <c r="AQ554" s="2659"/>
      <c r="AR554" s="2659"/>
      <c r="AS554" s="2659"/>
      <c r="AT554" s="2659"/>
      <c r="AU554" s="2659"/>
      <c r="AV554" s="2659"/>
      <c r="AW554" s="2659"/>
      <c r="AX554" s="2659"/>
      <c r="AY554" s="2659"/>
      <c r="AZ554" s="2659"/>
      <c r="BA554" s="2659"/>
      <c r="BB554" s="2659"/>
      <c r="BC554" s="2659"/>
      <c r="BD554" s="2659"/>
      <c r="BE554" s="2659"/>
      <c r="BF554" s="2659"/>
      <c r="BG554" s="2659"/>
      <c r="BH554" s="2659"/>
      <c r="BI554" s="2659"/>
      <c r="BJ554" s="2659"/>
      <c r="BK554" s="2659"/>
      <c r="BL554" s="2659"/>
      <c r="BM554" s="2659"/>
      <c r="BN554" s="2659"/>
      <c r="BO554" s="2659"/>
      <c r="BP554" s="2659"/>
      <c r="BQ554" s="2659"/>
      <c r="BR554" s="2660"/>
      <c r="BS554" s="2659"/>
      <c r="BT554" s="2659"/>
      <c r="BU554" s="2659"/>
      <c r="BV554" s="2660"/>
      <c r="BW554" s="2659"/>
      <c r="BX554" s="2659"/>
      <c r="BY554" s="2659"/>
      <c r="BZ554" s="2660"/>
      <c r="CA554" s="2659"/>
      <c r="CB554" s="2659"/>
      <c r="CC554" s="2659"/>
      <c r="CD554" s="2660"/>
      <c r="CE554" s="2659"/>
      <c r="CF554" s="2659"/>
      <c r="CG554" s="2659"/>
      <c r="CH554" s="2660"/>
      <c r="CI554" s="2659"/>
      <c r="CJ554" s="2659"/>
      <c r="CK554" s="2659"/>
      <c r="CL554" s="2660"/>
      <c r="CM554" s="2659"/>
      <c r="CN554" s="2659"/>
      <c r="CO554" s="2659"/>
      <c r="CP554" s="2660"/>
      <c r="CQ554" s="2659"/>
      <c r="CR554" s="2659"/>
      <c r="CS554" s="2659"/>
      <c r="CT554" s="2660"/>
      <c r="CU554" s="2659"/>
      <c r="CV554" s="2659"/>
      <c r="CW554" s="2664"/>
      <c r="CX554" s="2659"/>
      <c r="CY554" s="2659"/>
      <c r="CZ554" s="2659"/>
      <c r="DA554" s="2659"/>
      <c r="DB554" s="2660"/>
      <c r="DC554" s="2659"/>
      <c r="DD554" s="2659"/>
      <c r="DE554" s="2659"/>
      <c r="DF554" s="2659"/>
      <c r="DG554" s="2659"/>
      <c r="DH554" s="2659"/>
      <c r="DI554" s="2659"/>
      <c r="DJ554" s="2659"/>
      <c r="DK554" s="2659"/>
      <c r="DL554" s="2659"/>
      <c r="DM554" s="2659"/>
      <c r="DN554" s="2659"/>
      <c r="DO554" s="2659"/>
      <c r="DP554" s="2659"/>
      <c r="DQ554" s="2659"/>
      <c r="DR554" s="2659"/>
      <c r="DS554" s="2659"/>
      <c r="DT554" s="2659"/>
      <c r="DU554" s="2659"/>
      <c r="DV554" s="2659"/>
      <c r="DW554" s="2659"/>
      <c r="DX554" s="2659"/>
      <c r="DY554" s="2664"/>
    </row>
    <row r="555" spans="1:129" hidden="1" outlineLevel="1">
      <c r="A555" s="2657" t="s">
        <v>139</v>
      </c>
      <c r="B555" s="2657"/>
      <c r="C555" s="2657"/>
      <c r="D555" s="2657"/>
      <c r="E555" s="2659"/>
      <c r="F555" s="2657"/>
      <c r="G555" s="2658"/>
      <c r="H555" s="2659"/>
      <c r="I555" s="2657"/>
      <c r="J555" s="2657"/>
      <c r="K555" s="2659"/>
      <c r="L555" s="2659"/>
      <c r="M555" s="2659"/>
      <c r="N555" s="2659">
        <f>SUM(BZ555:CC555)</f>
        <v>0</v>
      </c>
      <c r="O555" s="2659">
        <f>SUM(CA555:CD555)</f>
        <v>0</v>
      </c>
      <c r="P555" s="2659"/>
      <c r="Q555" s="2659">
        <f t="shared" si="2314"/>
        <v>0</v>
      </c>
      <c r="R555" s="2313">
        <f t="shared" si="2315"/>
        <v>0</v>
      </c>
      <c r="S555" s="2313">
        <f>+SUM(CT555:CW555)</f>
        <v>0</v>
      </c>
      <c r="T555" s="2314">
        <f>+SUM(CX555:DA555)</f>
        <v>0</v>
      </c>
      <c r="U555" s="2659"/>
      <c r="V555" s="2659"/>
      <c r="W555" s="2659"/>
      <c r="X555" s="2659"/>
      <c r="Y555" s="2659"/>
      <c r="Z555" s="2659"/>
      <c r="AA555" s="2659"/>
      <c r="AB555" s="2659"/>
      <c r="AC555" s="2659"/>
      <c r="AD555" s="2659"/>
      <c r="AE555" s="2659"/>
      <c r="AF555" s="2659"/>
      <c r="AG555" s="2659"/>
      <c r="AI555" s="2618"/>
      <c r="AK555" s="2659"/>
      <c r="AL555" s="2659"/>
      <c r="AM555" s="2659"/>
      <c r="AN555" s="2659"/>
      <c r="AO555" s="2659"/>
      <c r="AP555" s="2659"/>
      <c r="AQ555" s="2659"/>
      <c r="AR555" s="2659"/>
      <c r="AS555" s="2659"/>
      <c r="AT555" s="2659"/>
      <c r="AU555" s="2659"/>
      <c r="AV555" s="2659"/>
      <c r="AW555" s="2659"/>
      <c r="AX555" s="2659"/>
      <c r="AY555" s="2659"/>
      <c r="AZ555" s="2659"/>
      <c r="BA555" s="2659"/>
      <c r="BB555" s="2659"/>
      <c r="BC555" s="2659"/>
      <c r="BD555" s="2659"/>
      <c r="BE555" s="2659"/>
      <c r="BF555" s="2659"/>
      <c r="BG555" s="2659"/>
      <c r="BH555" s="2659"/>
      <c r="BI555" s="2659"/>
      <c r="BJ555" s="2659"/>
      <c r="BK555" s="2659"/>
      <c r="BL555" s="2659"/>
      <c r="BM555" s="2659"/>
      <c r="BN555" s="2659"/>
      <c r="BO555" s="2659"/>
      <c r="BP555" s="2659"/>
      <c r="BQ555" s="2659"/>
      <c r="BR555" s="2660"/>
      <c r="BS555" s="2659"/>
      <c r="BT555" s="2659"/>
      <c r="BU555" s="2659"/>
      <c r="BV555" s="2660"/>
      <c r="BW555" s="2659"/>
      <c r="BX555" s="2659"/>
      <c r="BY555" s="2659"/>
      <c r="BZ555" s="2660"/>
      <c r="CA555" s="2659"/>
      <c r="CB555" s="2659"/>
      <c r="CC555" s="2659"/>
      <c r="CD555" s="2660"/>
      <c r="CE555" s="2659"/>
      <c r="CF555" s="2659"/>
      <c r="CG555" s="2659"/>
      <c r="CH555" s="2660"/>
      <c r="CI555" s="2659"/>
      <c r="CJ555" s="2659"/>
      <c r="CK555" s="2659"/>
      <c r="CL555" s="2660"/>
      <c r="CM555" s="2659"/>
      <c r="CN555" s="2659"/>
      <c r="CO555" s="2659"/>
      <c r="CP555" s="2660"/>
      <c r="CQ555" s="2659"/>
      <c r="CR555" s="2659"/>
      <c r="CS555" s="2659"/>
      <c r="CT555" s="2660"/>
      <c r="CU555" s="2659"/>
      <c r="CV555" s="2659"/>
      <c r="CW555" s="2664"/>
      <c r="CX555" s="2659"/>
      <c r="CY555" s="2659"/>
      <c r="CZ555" s="2659"/>
      <c r="DA555" s="2659"/>
      <c r="DB555" s="2660"/>
      <c r="DC555" s="2659"/>
      <c r="DD555" s="2659"/>
      <c r="DE555" s="2659"/>
      <c r="DF555" s="2659"/>
      <c r="DG555" s="2659"/>
      <c r="DH555" s="2659"/>
      <c r="DI555" s="2659"/>
      <c r="DJ555" s="2659"/>
      <c r="DK555" s="2659"/>
      <c r="DL555" s="2659"/>
      <c r="DM555" s="2659"/>
      <c r="DN555" s="2659"/>
      <c r="DO555" s="2659"/>
      <c r="DP555" s="2659"/>
      <c r="DQ555" s="2659"/>
      <c r="DR555" s="2659"/>
      <c r="DS555" s="2659"/>
      <c r="DT555" s="2659"/>
      <c r="DU555" s="2659"/>
      <c r="DV555" s="2659"/>
      <c r="DW555" s="2659"/>
      <c r="DX555" s="2659"/>
      <c r="DY555" s="2664"/>
    </row>
    <row r="556" spans="1:129" hidden="1" outlineLevel="1">
      <c r="A556" s="2657" t="s">
        <v>955</v>
      </c>
      <c r="B556" s="2657"/>
      <c r="C556" s="2657"/>
      <c r="D556" s="2658"/>
      <c r="E556" s="2659"/>
      <c r="F556" s="2657"/>
      <c r="G556" s="2658"/>
      <c r="H556" s="2659"/>
      <c r="I556" s="2657"/>
      <c r="J556" s="2657"/>
      <c r="K556" s="2659"/>
      <c r="L556" s="2659"/>
      <c r="M556" s="2659"/>
      <c r="N556" s="2659">
        <v>-160</v>
      </c>
      <c r="O556" s="2659">
        <v>-520</v>
      </c>
      <c r="P556" s="2659">
        <v>-526</v>
      </c>
      <c r="Q556" s="2659">
        <f t="shared" si="2314"/>
        <v>-29</v>
      </c>
      <c r="R556" s="2313">
        <f t="shared" si="2315"/>
        <v>-495</v>
      </c>
      <c r="S556" s="2313">
        <f>-144-26-490</f>
        <v>-660</v>
      </c>
      <c r="T556" s="2314">
        <v>843</v>
      </c>
      <c r="U556" s="2659"/>
      <c r="V556" s="2659"/>
      <c r="W556" s="2659"/>
      <c r="X556" s="2659"/>
      <c r="Y556" s="2659"/>
      <c r="Z556" s="2659"/>
      <c r="AA556" s="2659"/>
      <c r="AB556" s="2659"/>
      <c r="AC556" s="2659"/>
      <c r="AD556" s="2659"/>
      <c r="AE556" s="2659"/>
      <c r="AF556" s="2659"/>
      <c r="AG556" s="2659"/>
      <c r="AI556" s="2618"/>
      <c r="AK556" s="2659"/>
      <c r="AL556" s="2659"/>
      <c r="AM556" s="2659"/>
      <c r="AN556" s="2659"/>
      <c r="AO556" s="2659"/>
      <c r="AP556" s="2659"/>
      <c r="AQ556" s="2659"/>
      <c r="AR556" s="2659"/>
      <c r="AS556" s="2659"/>
      <c r="AT556" s="2659"/>
      <c r="AU556" s="2659"/>
      <c r="AV556" s="2659"/>
      <c r="AW556" s="2659"/>
      <c r="AX556" s="2659"/>
      <c r="AY556" s="2659"/>
      <c r="AZ556" s="2659"/>
      <c r="BA556" s="2659"/>
      <c r="BB556" s="2659"/>
      <c r="BC556" s="2659"/>
      <c r="BD556" s="2659"/>
      <c r="BE556" s="2659"/>
      <c r="BF556" s="2659"/>
      <c r="BG556" s="2659"/>
      <c r="BH556" s="2659"/>
      <c r="BI556" s="2659"/>
      <c r="BJ556" s="2659"/>
      <c r="BK556" s="2659"/>
      <c r="BL556" s="2659"/>
      <c r="BM556" s="2659"/>
      <c r="BN556" s="2659"/>
      <c r="BO556" s="2659"/>
      <c r="BP556" s="2659"/>
      <c r="BQ556" s="2659"/>
      <c r="BR556" s="2660"/>
      <c r="BS556" s="2659"/>
      <c r="BT556" s="2659"/>
      <c r="BU556" s="2659"/>
      <c r="BV556" s="2660"/>
      <c r="BW556" s="2659"/>
      <c r="BX556" s="2659"/>
      <c r="BY556" s="2659">
        <f>-166-SUM(BV556:BX556)</f>
        <v>-166</v>
      </c>
      <c r="BZ556" s="2660">
        <v>181</v>
      </c>
      <c r="CA556" s="2659">
        <f>41-BZ556</f>
        <v>-140</v>
      </c>
      <c r="CB556" s="2659">
        <f>-14-BZ556-CA556</f>
        <v>-55</v>
      </c>
      <c r="CC556" s="2659"/>
      <c r="CD556" s="2660"/>
      <c r="CE556" s="2659"/>
      <c r="CF556" s="2659"/>
      <c r="CG556" s="2659"/>
      <c r="CH556" s="2660"/>
      <c r="CI556" s="2659"/>
      <c r="CJ556" s="2659"/>
      <c r="CK556" s="2659"/>
      <c r="CL556" s="2660">
        <v>-38</v>
      </c>
      <c r="CM556" s="2659">
        <f>+SUM(CM557-CM550-CM551-CM552-CM553-CM554-CM555)</f>
        <v>-139</v>
      </c>
      <c r="CN556" s="2659">
        <f>+-313-CM556-CL556</f>
        <v>-136</v>
      </c>
      <c r="CO556" s="2659">
        <f>+-29-CN556-CM556-CL556</f>
        <v>284</v>
      </c>
      <c r="CP556" s="2660">
        <v>-296</v>
      </c>
      <c r="CQ556" s="2659">
        <f>-324-CP556</f>
        <v>-28</v>
      </c>
      <c r="CR556" s="2659">
        <f>+-561-CQ556-CP556</f>
        <v>-237</v>
      </c>
      <c r="CS556" s="2659">
        <f>-495-CR556-CQ556-CP556</f>
        <v>66</v>
      </c>
      <c r="CT556" s="2660"/>
      <c r="CU556" s="2659"/>
      <c r="CV556" s="2659"/>
      <c r="CW556" s="2664"/>
      <c r="CX556" s="2659"/>
      <c r="CY556" s="2659"/>
      <c r="CZ556" s="2659"/>
      <c r="DA556" s="2659"/>
      <c r="DB556" s="2660"/>
      <c r="DC556" s="2659"/>
      <c r="DD556" s="2659"/>
      <c r="DE556" s="2659"/>
      <c r="DF556" s="2659"/>
      <c r="DG556" s="2659"/>
      <c r="DH556" s="2659"/>
      <c r="DI556" s="2659"/>
      <c r="DJ556" s="2659"/>
      <c r="DK556" s="2659"/>
      <c r="DL556" s="2659"/>
      <c r="DM556" s="2659"/>
      <c r="DN556" s="2659"/>
      <c r="DO556" s="2659"/>
      <c r="DP556" s="2659"/>
      <c r="DQ556" s="2659"/>
      <c r="DR556" s="2659"/>
      <c r="DS556" s="2659"/>
      <c r="DT556" s="2659"/>
      <c r="DU556" s="2659"/>
      <c r="DV556" s="2659"/>
      <c r="DW556" s="2659"/>
      <c r="DX556" s="2659"/>
      <c r="DY556" s="2664"/>
    </row>
    <row r="557" spans="1:129" hidden="1" outlineLevel="1">
      <c r="A557" s="2665" t="s">
        <v>140</v>
      </c>
      <c r="B557" s="2665"/>
      <c r="C557" s="2665"/>
      <c r="D557" s="2666"/>
      <c r="E557" s="2661"/>
      <c r="F557" s="2665"/>
      <c r="G557" s="2666"/>
      <c r="H557" s="2661"/>
      <c r="I557" s="2665"/>
      <c r="J557" s="2665"/>
      <c r="K557" s="2661"/>
      <c r="L557" s="2661"/>
      <c r="M557" s="2661"/>
      <c r="N557" s="2661">
        <f t="shared" ref="N557:V557" si="2316">SUM(N550:N556)</f>
        <v>-9587</v>
      </c>
      <c r="O557" s="2661">
        <f t="shared" si="2316"/>
        <v>-7023</v>
      </c>
      <c r="P557" s="2661">
        <f t="shared" si="2316"/>
        <v>-22079</v>
      </c>
      <c r="Q557" s="2661">
        <f t="shared" si="2316"/>
        <v>-12062</v>
      </c>
      <c r="R557" s="2303">
        <f t="shared" si="2316"/>
        <v>-6671</v>
      </c>
      <c r="S557" s="2303">
        <f t="shared" si="2316"/>
        <v>-9633</v>
      </c>
      <c r="T557" s="2304">
        <f t="shared" si="2316"/>
        <v>-12489</v>
      </c>
      <c r="U557" s="2661">
        <f t="shared" si="2316"/>
        <v>-7425</v>
      </c>
      <c r="V557" s="2661">
        <f t="shared" si="2316"/>
        <v>-10515</v>
      </c>
      <c r="W557" s="2661">
        <f t="shared" ref="W557:AB557" si="2317">SUM(W550:W556)</f>
        <v>-11725</v>
      </c>
      <c r="X557" s="2661">
        <f t="shared" si="2317"/>
        <v>-11240</v>
      </c>
      <c r="Y557" s="2661">
        <f t="shared" si="2317"/>
        <v>-10628</v>
      </c>
      <c r="Z557" s="2661">
        <f t="shared" ca="1" si="2317"/>
        <v>-8906.4523480695134</v>
      </c>
      <c r="AA557" s="2661">
        <f t="shared" ca="1" si="2317"/>
        <v>-11971.816370188671</v>
      </c>
      <c r="AB557" s="2661">
        <f t="shared" ca="1" si="2317"/>
        <v>-12165.382932009355</v>
      </c>
      <c r="AC557" s="2661">
        <f t="shared" ref="AC557:AG557" ca="1" si="2318">SUM(AC550:AC556)</f>
        <v>-12373.92195528193</v>
      </c>
      <c r="AD557" s="2661">
        <f t="shared" ca="1" si="2318"/>
        <v>-12595.669303914367</v>
      </c>
      <c r="AE557" s="2661">
        <f t="shared" ca="1" si="2318"/>
        <v>-12831.701873574641</v>
      </c>
      <c r="AF557" s="2661">
        <f t="shared" ca="1" si="2318"/>
        <v>-13084.32525619944</v>
      </c>
      <c r="AG557" s="2661">
        <f t="shared" ca="1" si="2318"/>
        <v>-13356.358738063651</v>
      </c>
      <c r="AI557" s="2618"/>
      <c r="AK557" s="2661"/>
      <c r="AL557" s="2661"/>
      <c r="AM557" s="2659"/>
      <c r="AN557" s="2661"/>
      <c r="AO557" s="2661"/>
      <c r="AP557" s="2661"/>
      <c r="AQ557" s="2661"/>
      <c r="AR557" s="2661"/>
      <c r="AS557" s="2661"/>
      <c r="AT557" s="2661"/>
      <c r="AU557" s="2661"/>
      <c r="AV557" s="2661"/>
      <c r="AW557" s="2661"/>
      <c r="AX557" s="2661"/>
      <c r="AY557" s="2661"/>
      <c r="AZ557" s="2661"/>
      <c r="BA557" s="2661"/>
      <c r="BB557" s="2661"/>
      <c r="BC557" s="2661"/>
      <c r="BD557" s="2661"/>
      <c r="BE557" s="2661"/>
      <c r="BF557" s="2661"/>
      <c r="BG557" s="2661"/>
      <c r="BH557" s="2661"/>
      <c r="BI557" s="2661"/>
      <c r="BJ557" s="2661"/>
      <c r="BK557" s="2661"/>
      <c r="BL557" s="2661"/>
      <c r="BM557" s="2661"/>
      <c r="BN557" s="2661">
        <v>-1252</v>
      </c>
      <c r="BO557" s="2661">
        <f>-3001-BN557</f>
        <v>-1749</v>
      </c>
      <c r="BP557" s="2661">
        <f>-3992-BN557-BO557</f>
        <v>-991</v>
      </c>
      <c r="BQ557" s="2661">
        <f>-5500-BN557-BO557-BP557</f>
        <v>-1508</v>
      </c>
      <c r="BR557" s="2662">
        <v>-1313</v>
      </c>
      <c r="BS557" s="2661">
        <f>-2752-BR557</f>
        <v>-1439</v>
      </c>
      <c r="BT557" s="2661">
        <f>-4305-BR557-BS557</f>
        <v>-1553</v>
      </c>
      <c r="BU557" s="2661">
        <f>-6649-BT557-BS557-BR557</f>
        <v>-2344</v>
      </c>
      <c r="BV557" s="2662">
        <v>-2782</v>
      </c>
      <c r="BW557" s="2661">
        <f>-7706-BV557</f>
        <v>-4924</v>
      </c>
      <c r="BX557" s="2661">
        <f>-9507-BV557-BW557</f>
        <v>-1801</v>
      </c>
      <c r="BY557" s="2661">
        <f>-11239-SUM(BV557:BX557)</f>
        <v>-1732</v>
      </c>
      <c r="BZ557" s="2662">
        <f>SUM(BZ550:BZ556)</f>
        <v>-1414</v>
      </c>
      <c r="CA557" s="2661">
        <f>SUM(CA550:CA556)</f>
        <v>-1774</v>
      </c>
      <c r="CB557" s="2661">
        <f>SUM(CB550:CB556)</f>
        <v>-2062</v>
      </c>
      <c r="CC557" s="2661"/>
      <c r="CD557" s="2662"/>
      <c r="CE557" s="2661"/>
      <c r="CF557" s="2661"/>
      <c r="CG557" s="2661"/>
      <c r="CH557" s="2662"/>
      <c r="CI557" s="2661"/>
      <c r="CJ557" s="2661"/>
      <c r="CK557" s="2661"/>
      <c r="CL557" s="2662">
        <f>SUM(CL550:CL556)</f>
        <v>-6470</v>
      </c>
      <c r="CM557" s="2661">
        <f>-8392-CL557</f>
        <v>-1922</v>
      </c>
      <c r="CN557" s="2661">
        <f t="shared" ref="CN557:CW557" si="2319">SUM(CN550:CN556)</f>
        <v>-1936</v>
      </c>
      <c r="CO557" s="2661">
        <f t="shared" si="2319"/>
        <v>-1734</v>
      </c>
      <c r="CP557" s="2662">
        <f t="shared" si="2319"/>
        <v>-2066</v>
      </c>
      <c r="CQ557" s="2661">
        <f t="shared" si="2319"/>
        <v>304</v>
      </c>
      <c r="CR557" s="2661">
        <f t="shared" si="2319"/>
        <v>-2645</v>
      </c>
      <c r="CS557" s="2661">
        <f t="shared" si="2319"/>
        <v>-2264</v>
      </c>
      <c r="CT557" s="2662">
        <f t="shared" si="2319"/>
        <v>-2735</v>
      </c>
      <c r="CU557" s="2661">
        <f t="shared" si="2319"/>
        <v>-2667</v>
      </c>
      <c r="CV557" s="2661">
        <f t="shared" si="2319"/>
        <v>-1784</v>
      </c>
      <c r="CW557" s="2663">
        <f t="shared" si="2319"/>
        <v>-1787</v>
      </c>
      <c r="CX557" s="2661"/>
      <c r="CY557" s="2661"/>
      <c r="CZ557" s="2661"/>
      <c r="DA557" s="2661"/>
      <c r="DB557" s="2662"/>
      <c r="DC557" s="2661"/>
      <c r="DD557" s="2661"/>
      <c r="DE557" s="2661"/>
      <c r="DF557" s="2661"/>
      <c r="DG557" s="2661"/>
      <c r="DH557" s="2661"/>
      <c r="DI557" s="2661"/>
      <c r="DJ557" s="2661"/>
      <c r="DK557" s="2661"/>
      <c r="DL557" s="2661"/>
      <c r="DM557" s="2661"/>
      <c r="DN557" s="2661"/>
      <c r="DO557" s="2661"/>
      <c r="DP557" s="2661"/>
      <c r="DQ557" s="2661"/>
      <c r="DR557" s="2661"/>
      <c r="DS557" s="2661"/>
      <c r="DT557" s="2661"/>
      <c r="DU557" s="2661"/>
      <c r="DV557" s="2661"/>
      <c r="DW557" s="2661"/>
      <c r="DX557" s="2661"/>
      <c r="DY557" s="2663"/>
    </row>
    <row r="558" spans="1:129" hidden="1" outlineLevel="1">
      <c r="A558" s="2657"/>
      <c r="B558" s="2657"/>
      <c r="C558" s="2657"/>
      <c r="D558" s="2658"/>
      <c r="E558" s="2659"/>
      <c r="F558" s="2657"/>
      <c r="G558" s="2658"/>
      <c r="H558" s="2659"/>
      <c r="I558" s="2657"/>
      <c r="J558" s="2657"/>
      <c r="K558" s="2659"/>
      <c r="L558" s="2659"/>
      <c r="M558" s="2659"/>
      <c r="N558" s="2659"/>
      <c r="O558" s="2659"/>
      <c r="P558" s="2659"/>
      <c r="Q558" s="2659"/>
      <c r="R558" s="2313"/>
      <c r="S558" s="2313"/>
      <c r="T558" s="2314"/>
      <c r="U558" s="2659"/>
      <c r="V558" s="2659"/>
      <c r="W558" s="2659"/>
      <c r="X558" s="2659"/>
      <c r="Y558" s="2659"/>
      <c r="Z558" s="2659"/>
      <c r="AA558" s="2659"/>
      <c r="AB558" s="2659"/>
      <c r="AC558" s="2659"/>
      <c r="AD558" s="2659"/>
      <c r="AE558" s="2659"/>
      <c r="AF558" s="2659"/>
      <c r="AG558" s="2659"/>
      <c r="AI558" s="2618"/>
      <c r="AK558" s="2659"/>
      <c r="AL558" s="2659"/>
      <c r="AM558" s="2659"/>
      <c r="AN558" s="2659"/>
      <c r="AO558" s="2659"/>
      <c r="AP558" s="2659"/>
      <c r="AQ558" s="2659"/>
      <c r="AR558" s="2659"/>
      <c r="AS558" s="2659"/>
      <c r="AT558" s="2659"/>
      <c r="AU558" s="2659"/>
      <c r="AV558" s="2659"/>
      <c r="AW558" s="2659"/>
      <c r="AX558" s="2659"/>
      <c r="AY558" s="2659"/>
      <c r="AZ558" s="2659"/>
      <c r="BA558" s="2659"/>
      <c r="BB558" s="2659"/>
      <c r="BC558" s="2659"/>
      <c r="BD558" s="2659"/>
      <c r="BE558" s="2659"/>
      <c r="BF558" s="2659"/>
      <c r="BG558" s="2659"/>
      <c r="BH558" s="2659"/>
      <c r="BI558" s="2659"/>
      <c r="BJ558" s="2659"/>
      <c r="BK558" s="2659"/>
      <c r="BL558" s="2659"/>
      <c r="BM558" s="2659"/>
      <c r="BN558" s="2659"/>
      <c r="BO558" s="2659"/>
      <c r="BP558" s="2659"/>
      <c r="BQ558" s="2659"/>
      <c r="BR558" s="2660"/>
      <c r="BS558" s="2659"/>
      <c r="BT558" s="2659"/>
      <c r="BU558" s="2659"/>
      <c r="BV558" s="2660"/>
      <c r="BW558" s="2659"/>
      <c r="BX558" s="2659"/>
      <c r="BY558" s="2659"/>
      <c r="BZ558" s="2660"/>
      <c r="CA558" s="2659"/>
      <c r="CB558" s="2659"/>
      <c r="CC558" s="2659"/>
      <c r="CD558" s="2660"/>
      <c r="CE558" s="2659"/>
      <c r="CF558" s="2659"/>
      <c r="CG558" s="2659"/>
      <c r="CH558" s="2660"/>
      <c r="CI558" s="2659"/>
      <c r="CJ558" s="2659"/>
      <c r="CK558" s="2659"/>
      <c r="CL558" s="2660"/>
      <c r="CM558" s="2659"/>
      <c r="CN558" s="2659"/>
      <c r="CO558" s="2659"/>
      <c r="CP558" s="2660"/>
      <c r="CQ558" s="2659"/>
      <c r="CR558" s="2659"/>
      <c r="CS558" s="2659"/>
      <c r="CT558" s="2660"/>
      <c r="CU558" s="2659"/>
      <c r="CV558" s="2659"/>
      <c r="CW558" s="2664"/>
      <c r="CX558" s="2659"/>
      <c r="CY558" s="2659"/>
      <c r="CZ558" s="2659"/>
      <c r="DA558" s="2659"/>
      <c r="DB558" s="2660"/>
      <c r="DC558" s="2659"/>
      <c r="DD558" s="2659"/>
      <c r="DE558" s="2659"/>
      <c r="DF558" s="2659"/>
      <c r="DG558" s="2659"/>
      <c r="DH558" s="2659"/>
      <c r="DI558" s="2659"/>
      <c r="DJ558" s="2659"/>
      <c r="DK558" s="2659"/>
      <c r="DL558" s="2659"/>
      <c r="DM558" s="2659"/>
      <c r="DN558" s="2659"/>
      <c r="DO558" s="2659"/>
      <c r="DP558" s="2659"/>
      <c r="DQ558" s="2659"/>
      <c r="DR558" s="2659"/>
      <c r="DS558" s="2659"/>
      <c r="DT558" s="2659"/>
      <c r="DU558" s="2659"/>
      <c r="DV558" s="2659"/>
      <c r="DW558" s="2659"/>
      <c r="DX558" s="2659"/>
      <c r="DY558" s="2664"/>
    </row>
    <row r="559" spans="1:129" hidden="1" outlineLevel="1">
      <c r="A559" s="2665" t="s">
        <v>141</v>
      </c>
      <c r="B559" s="2665"/>
      <c r="C559" s="2665"/>
      <c r="D559" s="2657"/>
      <c r="E559" s="2659"/>
      <c r="F559" s="2657"/>
      <c r="G559" s="2657"/>
      <c r="H559" s="2659"/>
      <c r="I559" s="2657"/>
      <c r="J559" s="2659"/>
      <c r="K559" s="2659"/>
      <c r="L559" s="2659"/>
      <c r="M559" s="2659"/>
      <c r="N559" s="2659"/>
      <c r="O559" s="2659"/>
      <c r="P559" s="2659"/>
      <c r="Q559" s="2659"/>
      <c r="R559" s="2313"/>
      <c r="S559" s="2313"/>
      <c r="T559" s="2314"/>
      <c r="U559" s="2659"/>
      <c r="V559" s="2659"/>
      <c r="W559" s="2659"/>
      <c r="X559" s="2659"/>
      <c r="Y559" s="2659"/>
      <c r="Z559" s="2659"/>
      <c r="AA559" s="2659"/>
      <c r="AB559" s="2659"/>
      <c r="AC559" s="2659"/>
      <c r="AD559" s="2659"/>
      <c r="AE559" s="2659"/>
      <c r="AF559" s="2659"/>
      <c r="AG559" s="2659"/>
      <c r="AI559" s="2618"/>
      <c r="AK559" s="2659"/>
      <c r="AL559" s="2659"/>
      <c r="AM559" s="2659"/>
      <c r="AN559" s="2659"/>
      <c r="AO559" s="2659"/>
      <c r="AP559" s="2659"/>
      <c r="AQ559" s="2659"/>
      <c r="AR559" s="2659"/>
      <c r="AS559" s="2659"/>
      <c r="AT559" s="2659"/>
      <c r="AU559" s="2659"/>
      <c r="AV559" s="2659"/>
      <c r="AW559" s="2659"/>
      <c r="AX559" s="2659"/>
      <c r="AY559" s="2659"/>
      <c r="AZ559" s="2659"/>
      <c r="BA559" s="2659"/>
      <c r="BB559" s="2659"/>
      <c r="BC559" s="2659"/>
      <c r="BD559" s="2659"/>
      <c r="BE559" s="2659"/>
      <c r="BF559" s="2659"/>
      <c r="BG559" s="2659"/>
      <c r="BH559" s="2659"/>
      <c r="BI559" s="2659"/>
      <c r="BJ559" s="2659"/>
      <c r="BK559" s="2659"/>
      <c r="BL559" s="2659"/>
      <c r="BM559" s="2659"/>
      <c r="BN559" s="2659"/>
      <c r="BO559" s="2659"/>
      <c r="BP559" s="2659"/>
      <c r="BQ559" s="2659"/>
      <c r="BR559" s="2660"/>
      <c r="BS559" s="2659"/>
      <c r="BT559" s="2659"/>
      <c r="BU559" s="2659"/>
      <c r="BV559" s="2660"/>
      <c r="BW559" s="2659"/>
      <c r="BX559" s="2659"/>
      <c r="BY559" s="2659"/>
      <c r="BZ559" s="2660"/>
      <c r="CA559" s="2659"/>
      <c r="CB559" s="2659"/>
      <c r="CC559" s="2659"/>
      <c r="CD559" s="2660"/>
      <c r="CE559" s="2659"/>
      <c r="CF559" s="2659"/>
      <c r="CG559" s="2659"/>
      <c r="CH559" s="2660"/>
      <c r="CI559" s="2659"/>
      <c r="CJ559" s="2659"/>
      <c r="CK559" s="2659"/>
      <c r="CL559" s="2660"/>
      <c r="CM559" s="2659"/>
      <c r="CN559" s="2659"/>
      <c r="CO559" s="2659"/>
      <c r="CP559" s="2660"/>
      <c r="CQ559" s="2659"/>
      <c r="CR559" s="2659"/>
      <c r="CS559" s="2659"/>
      <c r="CT559" s="2660"/>
      <c r="CU559" s="2659"/>
      <c r="CV559" s="2659"/>
      <c r="CW559" s="2664"/>
      <c r="CX559" s="2659"/>
      <c r="CY559" s="2659"/>
      <c r="CZ559" s="2659"/>
      <c r="DA559" s="2659"/>
      <c r="DB559" s="2660"/>
      <c r="DC559" s="2659"/>
      <c r="DD559" s="2659"/>
      <c r="DE559" s="2659"/>
      <c r="DF559" s="2659"/>
      <c r="DG559" s="2659"/>
      <c r="DH559" s="2659"/>
      <c r="DI559" s="2659"/>
      <c r="DJ559" s="2659"/>
      <c r="DK559" s="2659"/>
      <c r="DL559" s="2659"/>
      <c r="DM559" s="2659"/>
      <c r="DN559" s="2659"/>
      <c r="DO559" s="2659"/>
      <c r="DP559" s="2659"/>
      <c r="DQ559" s="2659"/>
      <c r="DR559" s="2659"/>
      <c r="DS559" s="2659"/>
      <c r="DT559" s="2659"/>
      <c r="DU559" s="2659"/>
      <c r="DV559" s="2659"/>
      <c r="DW559" s="2659"/>
      <c r="DX559" s="2659"/>
      <c r="DY559" s="2664"/>
    </row>
    <row r="560" spans="1:129" hidden="1" outlineLevel="1">
      <c r="A560" s="2657" t="s">
        <v>861</v>
      </c>
      <c r="B560" s="2657"/>
      <c r="C560" s="2657"/>
      <c r="D560" s="2657"/>
      <c r="E560" s="2659"/>
      <c r="F560" s="2657"/>
      <c r="G560" s="2658"/>
      <c r="H560" s="2659"/>
      <c r="I560" s="2657"/>
      <c r="J560" s="2657"/>
      <c r="K560" s="2659"/>
      <c r="L560" s="2659"/>
      <c r="M560" s="2659"/>
      <c r="N560" s="2659">
        <f>2500-350-3051</f>
        <v>-901</v>
      </c>
      <c r="O560" s="2659">
        <f>+-5609-1355</f>
        <v>-6964</v>
      </c>
      <c r="P560" s="2659">
        <f>9363-3891+307</f>
        <v>5779</v>
      </c>
      <c r="Q560" s="2659">
        <f t="shared" ref="Q560:Q565" si="2320">+SUM(CL560:CO560)</f>
        <v>-6748</v>
      </c>
      <c r="R560" s="2313">
        <f t="shared" ref="R560:R565" si="2321">+SUM(CP560:CS560)</f>
        <v>-5005</v>
      </c>
      <c r="S560" s="2313">
        <f>+SUM(CT560:CW560)</f>
        <v>0</v>
      </c>
      <c r="T560" s="2314">
        <f>+SUM(CX560:DA560)</f>
        <v>0</v>
      </c>
      <c r="U560" s="2659"/>
      <c r="V560" s="2659"/>
      <c r="W560" s="2659"/>
      <c r="X560" s="2659"/>
      <c r="Y560" s="2659"/>
      <c r="Z560" s="2659"/>
      <c r="AA560" s="2659">
        <v>0</v>
      </c>
      <c r="AB560" s="2659">
        <v>0</v>
      </c>
      <c r="AC560" s="2659">
        <v>0</v>
      </c>
      <c r="AD560" s="2659">
        <v>0</v>
      </c>
      <c r="AE560" s="2659">
        <v>0</v>
      </c>
      <c r="AF560" s="2659">
        <v>0</v>
      </c>
      <c r="AG560" s="2659">
        <v>0</v>
      </c>
      <c r="AI560" s="2618"/>
      <c r="AK560" s="2659"/>
      <c r="AL560" s="2659"/>
      <c r="AM560" s="2659"/>
      <c r="AN560" s="2659"/>
      <c r="AO560" s="2659"/>
      <c r="AP560" s="2659"/>
      <c r="AQ560" s="2659"/>
      <c r="AR560" s="2659"/>
      <c r="AS560" s="2659"/>
      <c r="AT560" s="2659"/>
      <c r="AU560" s="2659"/>
      <c r="AV560" s="2659"/>
      <c r="AW560" s="2659"/>
      <c r="AX560" s="2659"/>
      <c r="AY560" s="2659"/>
      <c r="AZ560" s="2659"/>
      <c r="BA560" s="2659"/>
      <c r="BB560" s="2659"/>
      <c r="BC560" s="2659"/>
      <c r="BD560" s="2659"/>
      <c r="BE560" s="2659"/>
      <c r="BF560" s="2659"/>
      <c r="BG560" s="2659"/>
      <c r="BH560" s="2659"/>
      <c r="BI560" s="2659"/>
      <c r="BJ560" s="2659"/>
      <c r="BK560" s="2659"/>
      <c r="BL560" s="2659"/>
      <c r="BM560" s="2659"/>
      <c r="BN560" s="2659"/>
      <c r="BO560" s="2659"/>
      <c r="BP560" s="2659"/>
      <c r="BQ560" s="2659"/>
      <c r="BR560" s="2660"/>
      <c r="BS560" s="2659"/>
      <c r="BT560" s="2659"/>
      <c r="BU560" s="2659"/>
      <c r="BV560" s="2660"/>
      <c r="BW560" s="2659"/>
      <c r="BX560" s="2659"/>
      <c r="BY560" s="2659">
        <f>3537-SUM(BV560:BX560)</f>
        <v>3537</v>
      </c>
      <c r="BZ560" s="2660">
        <v>-1209</v>
      </c>
      <c r="CA560" s="2659">
        <f>-2911-BZ560</f>
        <v>-1702</v>
      </c>
      <c r="CB560" s="2659">
        <f>-4674-BZ560-CA560</f>
        <v>-1763</v>
      </c>
      <c r="CC560" s="2659"/>
      <c r="CD560" s="2660"/>
      <c r="CE560" s="2659"/>
      <c r="CF560" s="2659"/>
      <c r="CG560" s="2659"/>
      <c r="CH560" s="2660"/>
      <c r="CI560" s="2659"/>
      <c r="CJ560" s="2659"/>
      <c r="CK560" s="2659"/>
      <c r="CL560" s="2660">
        <v>-464</v>
      </c>
      <c r="CM560" s="2659">
        <f>-1288-CL560</f>
        <v>-824</v>
      </c>
      <c r="CN560" s="2659">
        <f>+-4007-CM560-CL560</f>
        <v>-2719</v>
      </c>
      <c r="CO560" s="2659">
        <f>0-6291-457-CN560-CM560-CL560</f>
        <v>-2741</v>
      </c>
      <c r="CP560" s="2660">
        <v>-3203</v>
      </c>
      <c r="CQ560" s="2659">
        <f>-5003-CP560</f>
        <v>-1800</v>
      </c>
      <c r="CR560" s="2659">
        <f>+-5003-CQ560-CP560</f>
        <v>0</v>
      </c>
      <c r="CS560" s="2659">
        <f>-5005-CR560-CQ560-CP560</f>
        <v>-2</v>
      </c>
      <c r="CT560" s="2660">
        <f>+CT647</f>
        <v>0</v>
      </c>
      <c r="CU560" s="2659">
        <f>+CU647</f>
        <v>0</v>
      </c>
      <c r="CV560" s="2659">
        <f>+CV647</f>
        <v>0</v>
      </c>
      <c r="CW560" s="2664">
        <f>+CW647</f>
        <v>0</v>
      </c>
      <c r="CX560" s="2659"/>
      <c r="CY560" s="2659"/>
      <c r="CZ560" s="2659"/>
      <c r="DA560" s="2659"/>
      <c r="DB560" s="2660"/>
      <c r="DC560" s="2659"/>
      <c r="DD560" s="2659"/>
      <c r="DE560" s="2659"/>
      <c r="DF560" s="2659"/>
      <c r="DG560" s="2659"/>
      <c r="DH560" s="2659"/>
      <c r="DI560" s="2659"/>
      <c r="DJ560" s="2659"/>
      <c r="DK560" s="2659"/>
      <c r="DL560" s="2659"/>
      <c r="DM560" s="2659"/>
      <c r="DN560" s="2659"/>
      <c r="DO560" s="2659"/>
      <c r="DP560" s="2659"/>
      <c r="DQ560" s="2659"/>
      <c r="DR560" s="2659"/>
      <c r="DS560" s="2659"/>
      <c r="DT560" s="2659"/>
      <c r="DU560" s="2659"/>
      <c r="DV560" s="2659"/>
      <c r="DW560" s="2659"/>
      <c r="DX560" s="2659"/>
      <c r="DY560" s="2664"/>
    </row>
    <row r="561" spans="1:129" hidden="1" outlineLevel="1">
      <c r="A561" s="2657" t="s">
        <v>862</v>
      </c>
      <c r="B561" s="2657"/>
      <c r="C561" s="2657"/>
      <c r="D561" s="2658"/>
      <c r="E561" s="2659"/>
      <c r="F561" s="2657"/>
      <c r="G561" s="2658"/>
      <c r="H561" s="2659"/>
      <c r="I561" s="2657"/>
      <c r="J561" s="2657"/>
      <c r="K561" s="2659"/>
      <c r="L561" s="2659"/>
      <c r="M561" s="2659"/>
      <c r="N561" s="2659">
        <v>-2505</v>
      </c>
      <c r="O561" s="2659">
        <f>SUM(CD561:CG561)</f>
        <v>0</v>
      </c>
      <c r="P561" s="2659"/>
      <c r="Q561" s="2659">
        <f t="shared" si="2320"/>
        <v>0</v>
      </c>
      <c r="R561" s="2313">
        <f t="shared" si="2321"/>
        <v>0</v>
      </c>
      <c r="S561" s="2313">
        <f>+SUM(CT561:CW561)</f>
        <v>0</v>
      </c>
      <c r="T561" s="2314">
        <f>+SUM(CX561:DA561)</f>
        <v>0</v>
      </c>
      <c r="U561" s="2659"/>
      <c r="V561" s="2659"/>
      <c r="W561" s="2659"/>
      <c r="X561" s="2659"/>
      <c r="Y561" s="2659"/>
      <c r="Z561" s="2659"/>
      <c r="AA561" s="2659"/>
      <c r="AB561" s="2659"/>
      <c r="AC561" s="2659"/>
      <c r="AD561" s="2659"/>
      <c r="AE561" s="2659"/>
      <c r="AF561" s="2659"/>
      <c r="AG561" s="2659"/>
      <c r="AI561" s="2618"/>
      <c r="AK561" s="2659"/>
      <c r="AL561" s="2659"/>
      <c r="AM561" s="2659"/>
      <c r="AN561" s="2659"/>
      <c r="AO561" s="2659"/>
      <c r="AP561" s="2659"/>
      <c r="AQ561" s="2659"/>
      <c r="AR561" s="2659"/>
      <c r="AS561" s="2659"/>
      <c r="AT561" s="2659"/>
      <c r="AU561" s="2659"/>
      <c r="AV561" s="2659"/>
      <c r="AW561" s="2659"/>
      <c r="AX561" s="2659"/>
      <c r="AY561" s="2659"/>
      <c r="AZ561" s="2659"/>
      <c r="BA561" s="2659"/>
      <c r="BB561" s="2659"/>
      <c r="BC561" s="2659"/>
      <c r="BD561" s="2659"/>
      <c r="BE561" s="2659"/>
      <c r="BF561" s="2659"/>
      <c r="BG561" s="2659"/>
      <c r="BH561" s="2659"/>
      <c r="BI561" s="2659"/>
      <c r="BJ561" s="2659"/>
      <c r="BK561" s="2659"/>
      <c r="BL561" s="2659"/>
      <c r="BM561" s="2659"/>
      <c r="BN561" s="2659"/>
      <c r="BO561" s="2659"/>
      <c r="BP561" s="2659"/>
      <c r="BQ561" s="2659"/>
      <c r="BR561" s="2660"/>
      <c r="BS561" s="2659"/>
      <c r="BT561" s="2659"/>
      <c r="BU561" s="2659"/>
      <c r="BV561" s="2660"/>
      <c r="BW561" s="2659"/>
      <c r="BX561" s="2659"/>
      <c r="BY561" s="2659"/>
      <c r="BZ561" s="2660"/>
      <c r="CA561" s="2659">
        <f>-2-BZ561</f>
        <v>-2</v>
      </c>
      <c r="CB561" s="2659">
        <f>-4-BZ561-CA561</f>
        <v>-2</v>
      </c>
      <c r="CC561" s="2659"/>
      <c r="CD561" s="2660"/>
      <c r="CE561" s="2659"/>
      <c r="CF561" s="2659"/>
      <c r="CG561" s="2659"/>
      <c r="CH561" s="2660"/>
      <c r="CI561" s="2659"/>
      <c r="CJ561" s="2659"/>
      <c r="CK561" s="2659"/>
      <c r="CL561" s="2660"/>
      <c r="CM561" s="2659"/>
      <c r="CN561" s="2659"/>
      <c r="CO561" s="2659"/>
      <c r="CP561" s="2660"/>
      <c r="CQ561" s="2659"/>
      <c r="CR561" s="2659"/>
      <c r="CS561" s="2659"/>
      <c r="CT561" s="2660"/>
      <c r="CU561" s="2659"/>
      <c r="CV561" s="2659"/>
      <c r="CW561" s="2664"/>
      <c r="CX561" s="2659"/>
      <c r="CY561" s="2659"/>
      <c r="CZ561" s="2659"/>
      <c r="DA561" s="2659"/>
      <c r="DB561" s="2660"/>
      <c r="DC561" s="2659"/>
      <c r="DD561" s="2659"/>
      <c r="DE561" s="2659"/>
      <c r="DF561" s="2659"/>
      <c r="DG561" s="2659"/>
      <c r="DH561" s="2659"/>
      <c r="DI561" s="2659"/>
      <c r="DJ561" s="2659"/>
      <c r="DK561" s="2659"/>
      <c r="DL561" s="2659"/>
      <c r="DM561" s="2659"/>
      <c r="DN561" s="2659"/>
      <c r="DO561" s="2659"/>
      <c r="DP561" s="2659"/>
      <c r="DQ561" s="2659"/>
      <c r="DR561" s="2659"/>
      <c r="DS561" s="2659"/>
      <c r="DT561" s="2659"/>
      <c r="DU561" s="2659"/>
      <c r="DV561" s="2659"/>
      <c r="DW561" s="2659"/>
      <c r="DX561" s="2659"/>
      <c r="DY561" s="2664"/>
    </row>
    <row r="562" spans="1:129" hidden="1" outlineLevel="1">
      <c r="A562" s="2657" t="s">
        <v>863</v>
      </c>
      <c r="B562" s="2657"/>
      <c r="C562" s="2657"/>
      <c r="D562" s="2658"/>
      <c r="E562" s="2659"/>
      <c r="F562" s="2657"/>
      <c r="G562" s="2658"/>
      <c r="H562" s="2659"/>
      <c r="I562" s="2657"/>
      <c r="J562" s="2657"/>
      <c r="K562" s="2659"/>
      <c r="L562" s="2659"/>
      <c r="M562" s="2659"/>
      <c r="N562" s="2659">
        <v>0</v>
      </c>
      <c r="O562" s="2659">
        <v>0</v>
      </c>
      <c r="P562" s="2659">
        <f>-1505+10324-69</f>
        <v>8750</v>
      </c>
      <c r="Q562" s="2659">
        <f t="shared" si="2320"/>
        <v>-7805</v>
      </c>
      <c r="R562" s="2313">
        <f t="shared" si="2321"/>
        <v>-5016</v>
      </c>
      <c r="S562" s="2313">
        <v>-4862</v>
      </c>
      <c r="T562" s="2314">
        <v>-1569</v>
      </c>
      <c r="U562" s="2659"/>
      <c r="V562" s="2659"/>
      <c r="W562" s="2659"/>
      <c r="X562" s="2659"/>
      <c r="Y562" s="2659"/>
      <c r="Z562" s="2659"/>
      <c r="AA562" s="2659">
        <f>+AA633-Z633</f>
        <v>0</v>
      </c>
      <c r="AB562" s="2659">
        <f>+AB633-AA633</f>
        <v>0</v>
      </c>
      <c r="AC562" s="2659">
        <f t="shared" ref="AC562:AG562" si="2322">+AC633-AB633</f>
        <v>0</v>
      </c>
      <c r="AD562" s="2659">
        <f t="shared" si="2322"/>
        <v>0</v>
      </c>
      <c r="AE562" s="2659">
        <f t="shared" si="2322"/>
        <v>0</v>
      </c>
      <c r="AF562" s="2659">
        <f t="shared" si="2322"/>
        <v>0</v>
      </c>
      <c r="AG562" s="2659">
        <f t="shared" si="2322"/>
        <v>0</v>
      </c>
      <c r="AI562" s="2618"/>
      <c r="AK562" s="2659"/>
      <c r="AL562" s="2659"/>
      <c r="AM562" s="2659"/>
      <c r="AN562" s="2659"/>
      <c r="AO562" s="2659"/>
      <c r="AP562" s="2659"/>
      <c r="AQ562" s="2659"/>
      <c r="AR562" s="2659"/>
      <c r="AS562" s="2659"/>
      <c r="AT562" s="2659"/>
      <c r="AU562" s="2659"/>
      <c r="AV562" s="2659"/>
      <c r="AW562" s="2659"/>
      <c r="AX562" s="2659"/>
      <c r="AY562" s="2659"/>
      <c r="AZ562" s="2659"/>
      <c r="BA562" s="2659"/>
      <c r="BB562" s="2659"/>
      <c r="BC562" s="2659"/>
      <c r="BD562" s="2659"/>
      <c r="BE562" s="2659"/>
      <c r="BF562" s="2659"/>
      <c r="BG562" s="2659"/>
      <c r="BH562" s="2659"/>
      <c r="BI562" s="2659"/>
      <c r="BJ562" s="2659"/>
      <c r="BK562" s="2659"/>
      <c r="BL562" s="2659"/>
      <c r="BM562" s="2659"/>
      <c r="BN562" s="2659"/>
      <c r="BO562" s="2659"/>
      <c r="BP562" s="2659"/>
      <c r="BQ562" s="2659"/>
      <c r="BR562" s="2660"/>
      <c r="BS562" s="2659"/>
      <c r="BT562" s="2659"/>
      <c r="BU562" s="2659"/>
      <c r="BV562" s="2660"/>
      <c r="BW562" s="2659"/>
      <c r="BX562" s="2659"/>
      <c r="BY562" s="2659"/>
      <c r="BZ562" s="2660"/>
      <c r="CA562" s="2659"/>
      <c r="CB562" s="2659"/>
      <c r="CC562" s="2659"/>
      <c r="CD562" s="2660"/>
      <c r="CE562" s="2659"/>
      <c r="CF562" s="2659"/>
      <c r="CG562" s="2659"/>
      <c r="CH562" s="2660"/>
      <c r="CI562" s="2659"/>
      <c r="CJ562" s="2659"/>
      <c r="CK562" s="2659"/>
      <c r="CL562" s="2660">
        <f>12102+4211-16398-5111</f>
        <v>-5196</v>
      </c>
      <c r="CM562" s="2659">
        <f>+CM633-CL633</f>
        <v>-1987</v>
      </c>
      <c r="CN562" s="2659">
        <f>9223-17026-CM562-CL562</f>
        <v>-620</v>
      </c>
      <c r="CO562" s="2659">
        <f>9223-17028-CN562-CM562-CL562</f>
        <v>-2</v>
      </c>
      <c r="CP562" s="2660">
        <v>0</v>
      </c>
      <c r="CQ562" s="2659">
        <v>-3790</v>
      </c>
      <c r="CR562" s="2659">
        <f>+-5016-CQ562-CP562</f>
        <v>-1226</v>
      </c>
      <c r="CS562" s="2659">
        <f>-5016-CR562-CQ562-CP562</f>
        <v>0</v>
      </c>
      <c r="CT562" s="2660">
        <f>+CT633-CS633</f>
        <v>0</v>
      </c>
      <c r="CU562" s="2659">
        <f>+CU633-CT633</f>
        <v>-4000</v>
      </c>
      <c r="CV562" s="2659">
        <f>+CV633-CU633</f>
        <v>0</v>
      </c>
      <c r="CW562" s="2664">
        <f>+CW633-CV633</f>
        <v>-931</v>
      </c>
      <c r="CX562" s="2659"/>
      <c r="CY562" s="2659"/>
      <c r="CZ562" s="2659"/>
      <c r="DA562" s="2659"/>
      <c r="DB562" s="2660"/>
      <c r="DC562" s="2659"/>
      <c r="DD562" s="2659"/>
      <c r="DE562" s="2659"/>
      <c r="DF562" s="2659"/>
      <c r="DG562" s="2659"/>
      <c r="DH562" s="2659"/>
      <c r="DI562" s="2659"/>
      <c r="DJ562" s="2659"/>
      <c r="DK562" s="2659"/>
      <c r="DL562" s="2659"/>
      <c r="DM562" s="2659"/>
      <c r="DN562" s="2659"/>
      <c r="DO562" s="2659"/>
      <c r="DP562" s="2659"/>
      <c r="DQ562" s="2659"/>
      <c r="DR562" s="2659"/>
      <c r="DS562" s="2659"/>
      <c r="DT562" s="2659"/>
      <c r="DU562" s="2659"/>
      <c r="DV562" s="2659"/>
      <c r="DW562" s="2659"/>
      <c r="DX562" s="2659"/>
      <c r="DY562" s="2664"/>
    </row>
    <row r="563" spans="1:129" hidden="1" outlineLevel="1">
      <c r="A563" s="2657" t="s">
        <v>864</v>
      </c>
      <c r="B563" s="2657"/>
      <c r="C563" s="2657"/>
      <c r="D563" s="2658"/>
      <c r="E563" s="2659"/>
      <c r="F563" s="2657"/>
      <c r="G563" s="2658"/>
      <c r="H563" s="2659"/>
      <c r="I563" s="2657"/>
      <c r="J563" s="2657"/>
      <c r="K563" s="2659"/>
      <c r="L563" s="2659"/>
      <c r="M563" s="2659"/>
      <c r="N563" s="2659">
        <v>-1260</v>
      </c>
      <c r="O563" s="2659">
        <v>-1918</v>
      </c>
      <c r="P563" s="2659">
        <v>-1529</v>
      </c>
      <c r="Q563" s="2659">
        <f t="shared" si="2320"/>
        <v>-2817</v>
      </c>
      <c r="R563" s="2313">
        <f t="shared" si="2321"/>
        <v>-3845</v>
      </c>
      <c r="S563" s="2313">
        <v>-3082</v>
      </c>
      <c r="T563" s="2314">
        <v>-25681</v>
      </c>
      <c r="U563" s="2667">
        <f>CFS!U55/0.45+CFS!U56/0.45</f>
        <v>-18682.222222222223</v>
      </c>
      <c r="V563" s="2667">
        <f>CFS!V55/0.45+CFS!V56/0.45</f>
        <v>-139464.44444444444</v>
      </c>
      <c r="W563" s="2667">
        <f>CFS!W55/0.45+CFS!W56/0.45</f>
        <v>3631.1111111111109</v>
      </c>
      <c r="X563" s="2667">
        <f>CFS!X55/0.45+CFS!X56/0.45</f>
        <v>-6011.1111111111113</v>
      </c>
      <c r="Y563" s="2667">
        <f>CFS!Y55/0.45+CFS!Y56/0.45</f>
        <v>-10782.222222222223</v>
      </c>
      <c r="Z563" s="2667">
        <f>CFS!Z55/0.45+CFS!Z56/0.45</f>
        <v>-1957.7777777777778</v>
      </c>
      <c r="AA563" s="2659">
        <f>+Z563</f>
        <v>-1957.7777777777778</v>
      </c>
      <c r="AB563" s="2659">
        <f>+AA563</f>
        <v>-1957.7777777777778</v>
      </c>
      <c r="AC563" s="2659">
        <f t="shared" ref="AC563:AG563" si="2323">+AB563</f>
        <v>-1957.7777777777778</v>
      </c>
      <c r="AD563" s="2659">
        <f t="shared" si="2323"/>
        <v>-1957.7777777777778</v>
      </c>
      <c r="AE563" s="2659">
        <f t="shared" si="2323"/>
        <v>-1957.7777777777778</v>
      </c>
      <c r="AF563" s="2659">
        <f t="shared" si="2323"/>
        <v>-1957.7777777777778</v>
      </c>
      <c r="AG563" s="2659">
        <f t="shared" si="2323"/>
        <v>-1957.7777777777778</v>
      </c>
      <c r="AI563" s="2618"/>
      <c r="AK563" s="2659"/>
      <c r="AL563" s="2659"/>
      <c r="AM563" s="2659"/>
      <c r="AN563" s="2659"/>
      <c r="AO563" s="2659"/>
      <c r="AP563" s="2659"/>
      <c r="AQ563" s="2659"/>
      <c r="AR563" s="2659"/>
      <c r="AS563" s="2659"/>
      <c r="AT563" s="2659"/>
      <c r="AU563" s="2659"/>
      <c r="AV563" s="2659"/>
      <c r="AW563" s="2659"/>
      <c r="AX563" s="2659"/>
      <c r="AY563" s="2659"/>
      <c r="AZ563" s="2659"/>
      <c r="BA563" s="2659"/>
      <c r="BB563" s="2659"/>
      <c r="BC563" s="2659"/>
      <c r="BD563" s="2659"/>
      <c r="BE563" s="2659"/>
      <c r="BF563" s="2659"/>
      <c r="BG563" s="2659"/>
      <c r="BH563" s="2659"/>
      <c r="BI563" s="2659"/>
      <c r="BJ563" s="2659"/>
      <c r="BK563" s="2659"/>
      <c r="BL563" s="2659"/>
      <c r="BM563" s="2659"/>
      <c r="BN563" s="2659">
        <v>-1225</v>
      </c>
      <c r="BO563" s="2659">
        <f>-1225-BN563</f>
        <v>0</v>
      </c>
      <c r="BP563" s="2659">
        <f>-2373-BN563-BO563</f>
        <v>-1148</v>
      </c>
      <c r="BQ563" s="2659">
        <f>-2373-BN563-BO563-BP563</f>
        <v>0</v>
      </c>
      <c r="BR563" s="2660">
        <v>-1441</v>
      </c>
      <c r="BS563" s="2659">
        <f>-1445-BR563</f>
        <v>-4</v>
      </c>
      <c r="BT563" s="2659">
        <f>-3253-BS563-BR563</f>
        <v>-1808</v>
      </c>
      <c r="BU563" s="2659">
        <f>-3253-BT563-BS563-BR563</f>
        <v>0</v>
      </c>
      <c r="BV563" s="2660">
        <v>-1997</v>
      </c>
      <c r="BW563" s="2659">
        <f>-2126-BV563</f>
        <v>-129</v>
      </c>
      <c r="BX563" s="2659">
        <f>-2316-BV563-BW563</f>
        <v>-190</v>
      </c>
      <c r="BY563" s="2659">
        <f>512-2469-SUM(BV563:BX563)</f>
        <v>359</v>
      </c>
      <c r="BZ563" s="2660">
        <v>-292</v>
      </c>
      <c r="CA563" s="2659">
        <f>-600-BZ563</f>
        <v>-308</v>
      </c>
      <c r="CB563" s="2659">
        <f>-793-BZ563-CA563</f>
        <v>-193</v>
      </c>
      <c r="CC563" s="2659"/>
      <c r="CD563" s="2660"/>
      <c r="CE563" s="2659"/>
      <c r="CF563" s="2659"/>
      <c r="CG563" s="2659"/>
      <c r="CH563" s="2660"/>
      <c r="CI563" s="2659"/>
      <c r="CJ563" s="2659"/>
      <c r="CK563" s="2659"/>
      <c r="CL563" s="2660">
        <v>-336</v>
      </c>
      <c r="CM563" s="2659">
        <f>-535-250-306</f>
        <v>-1091</v>
      </c>
      <c r="CN563" s="2659">
        <f>+-2396-CM563-CL563-CM565-CL565</f>
        <v>-648</v>
      </c>
      <c r="CO563" s="2659">
        <f>+-3138-CN563-CM563-CL563-CL565-CM565</f>
        <v>-742</v>
      </c>
      <c r="CP563" s="2660">
        <f>-(75+92)-700</f>
        <v>-867</v>
      </c>
      <c r="CQ563" s="2659">
        <f>-2114-CP563</f>
        <v>-1247</v>
      </c>
      <c r="CR563" s="2659">
        <f>+-3219-CQ563-CP563</f>
        <v>-1105</v>
      </c>
      <c r="CS563" s="2659">
        <f>-3845-CR563-CQ563-CP563</f>
        <v>-626</v>
      </c>
      <c r="CT563" s="2660">
        <f>-(75+92)-700</f>
        <v>-867</v>
      </c>
      <c r="CU563" s="2659">
        <f>-(75+92)-700</f>
        <v>-867</v>
      </c>
      <c r="CV563" s="2659">
        <f>-(75+92)-700</f>
        <v>-867</v>
      </c>
      <c r="CW563" s="2664">
        <f>-(75+92)-700</f>
        <v>-867</v>
      </c>
      <c r="CX563" s="2659"/>
      <c r="CY563" s="2659"/>
      <c r="CZ563" s="2659"/>
      <c r="DA563" s="2659"/>
      <c r="DB563" s="2660"/>
      <c r="DC563" s="2659"/>
      <c r="DD563" s="2659"/>
      <c r="DE563" s="2659"/>
      <c r="DF563" s="2659"/>
      <c r="DG563" s="2659"/>
      <c r="DH563" s="2659"/>
      <c r="DI563" s="2659"/>
      <c r="DJ563" s="2659"/>
      <c r="DK563" s="2659"/>
      <c r="DL563" s="2659"/>
      <c r="DM563" s="2659"/>
      <c r="DN563" s="2659"/>
      <c r="DO563" s="2659"/>
      <c r="DP563" s="2659"/>
      <c r="DQ563" s="2659"/>
      <c r="DR563" s="2659"/>
      <c r="DS563" s="2659"/>
      <c r="DT563" s="2659"/>
      <c r="DU563" s="2659"/>
      <c r="DV563" s="2659"/>
      <c r="DW563" s="2659"/>
      <c r="DX563" s="2659"/>
      <c r="DY563" s="2664"/>
    </row>
    <row r="564" spans="1:129" hidden="1" outlineLevel="1">
      <c r="A564" s="2657" t="s">
        <v>955</v>
      </c>
      <c r="B564" s="2657"/>
      <c r="C564" s="2657"/>
      <c r="D564" s="2658"/>
      <c r="E564" s="2659"/>
      <c r="F564" s="2657"/>
      <c r="G564" s="2658"/>
      <c r="H564" s="2659"/>
      <c r="I564" s="2657"/>
      <c r="J564" s="2657"/>
      <c r="K564" s="2659"/>
      <c r="L564" s="2659"/>
      <c r="M564" s="2659"/>
      <c r="N564" s="2659">
        <v>0</v>
      </c>
      <c r="O564" s="2659">
        <f>SUM(CD564:CG564)</f>
        <v>0</v>
      </c>
      <c r="P564" s="2659"/>
      <c r="Q564" s="2659">
        <f t="shared" si="2320"/>
        <v>-795</v>
      </c>
      <c r="R564" s="2313">
        <f t="shared" si="2321"/>
        <v>-286</v>
      </c>
      <c r="S564" s="2313">
        <v>-276</v>
      </c>
      <c r="T564" s="2314">
        <v>-328</v>
      </c>
      <c r="U564" s="2659"/>
      <c r="V564" s="2659"/>
      <c r="W564" s="2659"/>
      <c r="X564" s="2659"/>
      <c r="Y564" s="2659"/>
      <c r="Z564" s="2659"/>
      <c r="AA564" s="2659"/>
      <c r="AB564" s="2659"/>
      <c r="AC564" s="2659"/>
      <c r="AD564" s="2659"/>
      <c r="AE564" s="2659"/>
      <c r="AF564" s="2659"/>
      <c r="AG564" s="2659"/>
      <c r="AI564" s="2618"/>
      <c r="AK564" s="2659"/>
      <c r="AL564" s="2659"/>
      <c r="AM564" s="2659"/>
      <c r="AN564" s="2659"/>
      <c r="AO564" s="2659"/>
      <c r="AP564" s="2659"/>
      <c r="AQ564" s="2659"/>
      <c r="AR564" s="2659"/>
      <c r="AS564" s="2659"/>
      <c r="AT564" s="2659"/>
      <c r="AU564" s="2659"/>
      <c r="AV564" s="2659"/>
      <c r="AW564" s="2659"/>
      <c r="AX564" s="2659"/>
      <c r="AY564" s="2659"/>
      <c r="AZ564" s="2659"/>
      <c r="BA564" s="2659"/>
      <c r="BB564" s="2659"/>
      <c r="BC564" s="2659"/>
      <c r="BD564" s="2659"/>
      <c r="BE564" s="2659"/>
      <c r="BF564" s="2659"/>
      <c r="BG564" s="2659"/>
      <c r="BH564" s="2659"/>
      <c r="BI564" s="2659"/>
      <c r="BJ564" s="2659"/>
      <c r="BK564" s="2659"/>
      <c r="BL564" s="2659"/>
      <c r="BM564" s="2659"/>
      <c r="BN564" s="2659"/>
      <c r="BO564" s="2659"/>
      <c r="BP564" s="2659"/>
      <c r="BQ564" s="2659"/>
      <c r="BR564" s="2660"/>
      <c r="BS564" s="2659"/>
      <c r="BT564" s="2659"/>
      <c r="BU564" s="2659"/>
      <c r="BV564" s="2660"/>
      <c r="BW564" s="2659"/>
      <c r="BX564" s="2659"/>
      <c r="BY564" s="2659"/>
      <c r="BZ564" s="2660">
        <v>0</v>
      </c>
      <c r="CA564" s="2659">
        <f>3-BZ564</f>
        <v>3</v>
      </c>
      <c r="CB564" s="2659">
        <f>5-BZ564-CA564</f>
        <v>2</v>
      </c>
      <c r="CC564" s="2659"/>
      <c r="CD564" s="2660"/>
      <c r="CE564" s="2659"/>
      <c r="CF564" s="2659"/>
      <c r="CG564" s="2659"/>
      <c r="CH564" s="2660"/>
      <c r="CI564" s="2659"/>
      <c r="CJ564" s="2659"/>
      <c r="CK564" s="2659"/>
      <c r="CL564" s="2660">
        <f>-237-248</f>
        <v>-485</v>
      </c>
      <c r="CM564" s="2659"/>
      <c r="CN564" s="2659">
        <f>+-691-CL564</f>
        <v>-206</v>
      </c>
      <c r="CO564" s="2659">
        <f>+-795-CN564-CM564-CL564</f>
        <v>-104</v>
      </c>
      <c r="CP564" s="2660">
        <v>-61</v>
      </c>
      <c r="CQ564" s="2659">
        <f>-145-CP564</f>
        <v>-84</v>
      </c>
      <c r="CR564" s="2659">
        <f>+-200-CQ564-CP564</f>
        <v>-55</v>
      </c>
      <c r="CS564" s="2659">
        <f>-286-CR564-CQ564-CP564</f>
        <v>-86</v>
      </c>
      <c r="CT564" s="2660"/>
      <c r="CU564" s="2659"/>
      <c r="CV564" s="2659"/>
      <c r="CW564" s="2664"/>
      <c r="CX564" s="2659"/>
      <c r="CY564" s="2659"/>
      <c r="CZ564" s="2659"/>
      <c r="DA564" s="2659"/>
      <c r="DB564" s="2660"/>
      <c r="DC564" s="2659"/>
      <c r="DD564" s="2659"/>
      <c r="DE564" s="2659"/>
      <c r="DF564" s="2659"/>
      <c r="DG564" s="2659"/>
      <c r="DH564" s="2659"/>
      <c r="DI564" s="2659"/>
      <c r="DJ564" s="2659"/>
      <c r="DK564" s="2659"/>
      <c r="DL564" s="2659"/>
      <c r="DM564" s="2659"/>
      <c r="DN564" s="2659"/>
      <c r="DO564" s="2659"/>
      <c r="DP564" s="2659"/>
      <c r="DQ564" s="2659"/>
      <c r="DR564" s="2659"/>
      <c r="DS564" s="2659"/>
      <c r="DT564" s="2659"/>
      <c r="DU564" s="2659"/>
      <c r="DV564" s="2659"/>
      <c r="DW564" s="2659"/>
      <c r="DX564" s="2659"/>
      <c r="DY564" s="2664"/>
    </row>
    <row r="565" spans="1:129" hidden="1" outlineLevel="1">
      <c r="A565" s="2657" t="s">
        <v>865</v>
      </c>
      <c r="B565" s="2657"/>
      <c r="C565" s="2657"/>
      <c r="D565" s="2658"/>
      <c r="E565" s="2659"/>
      <c r="F565" s="2657"/>
      <c r="G565" s="2658"/>
      <c r="H565" s="2659"/>
      <c r="I565" s="2657"/>
      <c r="J565" s="2657"/>
      <c r="K565" s="2659"/>
      <c r="L565" s="2659"/>
      <c r="M565" s="2659"/>
      <c r="N565" s="2659">
        <v>-236</v>
      </c>
      <c r="O565" s="2659">
        <v>-228</v>
      </c>
      <c r="P565" s="2659">
        <v>-249</v>
      </c>
      <c r="Q565" s="2659">
        <f t="shared" si="2320"/>
        <v>-321</v>
      </c>
      <c r="R565" s="2313">
        <f t="shared" si="2321"/>
        <v>0</v>
      </c>
      <c r="S565" s="2313">
        <f>+SUM(CT565:CW565)</f>
        <v>0</v>
      </c>
      <c r="T565" s="2314"/>
      <c r="U565" s="2659"/>
      <c r="V565" s="2659"/>
      <c r="W565" s="2659"/>
      <c r="X565" s="2659"/>
      <c r="Y565" s="2659"/>
      <c r="Z565" s="2659"/>
      <c r="AA565" s="2659"/>
      <c r="AB565" s="2659"/>
      <c r="AC565" s="2659"/>
      <c r="AD565" s="2659"/>
      <c r="AE565" s="2659"/>
      <c r="AF565" s="2659"/>
      <c r="AG565" s="2659"/>
      <c r="AI565" s="2618"/>
      <c r="AK565" s="2659"/>
      <c r="AL565" s="2659"/>
      <c r="AM565" s="2659"/>
      <c r="AN565" s="2659"/>
      <c r="AO565" s="2659"/>
      <c r="AP565" s="2659"/>
      <c r="AQ565" s="2659"/>
      <c r="AR565" s="2659"/>
      <c r="AS565" s="2659"/>
      <c r="AT565" s="2659"/>
      <c r="AU565" s="2659"/>
      <c r="AV565" s="2659"/>
      <c r="AW565" s="2659"/>
      <c r="AX565" s="2659"/>
      <c r="AY565" s="2659"/>
      <c r="AZ565" s="2659"/>
      <c r="BA565" s="2659"/>
      <c r="BB565" s="2659"/>
      <c r="BC565" s="2659"/>
      <c r="BD565" s="2659"/>
      <c r="BE565" s="2659"/>
      <c r="BF565" s="2659"/>
      <c r="BG565" s="2659"/>
      <c r="BH565" s="2659"/>
      <c r="BI565" s="2659"/>
      <c r="BJ565" s="2659"/>
      <c r="BK565" s="2659"/>
      <c r="BL565" s="2659"/>
      <c r="BM565" s="2659"/>
      <c r="BN565" s="2659"/>
      <c r="BO565" s="2659"/>
      <c r="BP565" s="2659"/>
      <c r="BQ565" s="2659"/>
      <c r="BR565" s="2660"/>
      <c r="BS565" s="2659"/>
      <c r="BT565" s="2659"/>
      <c r="BU565" s="2659"/>
      <c r="BV565" s="2660"/>
      <c r="BW565" s="2659"/>
      <c r="BX565" s="2659"/>
      <c r="BY565" s="2659"/>
      <c r="BZ565" s="2660">
        <f>-41-1</f>
        <v>-42</v>
      </c>
      <c r="CA565" s="2659">
        <f>-112-BZ565</f>
        <v>-70</v>
      </c>
      <c r="CB565" s="2659">
        <f>-159-BZ565-CA565</f>
        <v>-47</v>
      </c>
      <c r="CC565" s="2659"/>
      <c r="CD565" s="2660"/>
      <c r="CE565" s="2659"/>
      <c r="CF565" s="2659"/>
      <c r="CG565" s="2659"/>
      <c r="CH565" s="2660"/>
      <c r="CI565" s="2659"/>
      <c r="CJ565" s="2659"/>
      <c r="CK565" s="2659"/>
      <c r="CL565" s="2660">
        <f>+SUM(CL566-CL560-CL561-CL562-CL563-CL564)</f>
        <v>13</v>
      </c>
      <c r="CM565" s="2659">
        <f>+SUM(CM566-CM560-CM561-CM562-CM563-CM564)</f>
        <v>-334</v>
      </c>
      <c r="CN565" s="2659"/>
      <c r="CO565" s="2659"/>
      <c r="CP565" s="2660"/>
      <c r="CQ565" s="2659"/>
      <c r="CR565" s="2659"/>
      <c r="CS565" s="2659"/>
      <c r="CT565" s="2660"/>
      <c r="CU565" s="2659"/>
      <c r="CV565" s="2659"/>
      <c r="CW565" s="2664"/>
      <c r="CX565" s="2659"/>
      <c r="CY565" s="2659"/>
      <c r="CZ565" s="2659"/>
      <c r="DA565" s="2659"/>
      <c r="DB565" s="2660"/>
      <c r="DC565" s="2659"/>
      <c r="DD565" s="2659"/>
      <c r="DE565" s="2659"/>
      <c r="DF565" s="2659"/>
      <c r="DG565" s="2659"/>
      <c r="DH565" s="2659"/>
      <c r="DI565" s="2659"/>
      <c r="DJ565" s="2659"/>
      <c r="DK565" s="2659"/>
      <c r="DL565" s="2659"/>
      <c r="DM565" s="2659"/>
      <c r="DN565" s="2659"/>
      <c r="DO565" s="2659"/>
      <c r="DP565" s="2659"/>
      <c r="DQ565" s="2659"/>
      <c r="DR565" s="2659"/>
      <c r="DS565" s="2659"/>
      <c r="DT565" s="2659"/>
      <c r="DU565" s="2659"/>
      <c r="DV565" s="2659"/>
      <c r="DW565" s="2659"/>
      <c r="DX565" s="2659"/>
      <c r="DY565" s="2664"/>
    </row>
    <row r="566" spans="1:129" hidden="1" outlineLevel="1">
      <c r="A566" s="2665" t="s">
        <v>866</v>
      </c>
      <c r="B566" s="2665"/>
      <c r="C566" s="2665"/>
      <c r="D566" s="2666"/>
      <c r="E566" s="2661"/>
      <c r="F566" s="2665"/>
      <c r="G566" s="2666"/>
      <c r="H566" s="2661"/>
      <c r="I566" s="2665"/>
      <c r="J566" s="2665"/>
      <c r="K566" s="2661"/>
      <c r="L566" s="2661"/>
      <c r="M566" s="2661"/>
      <c r="N566" s="2661">
        <f t="shared" ref="N566:V566" si="2324">SUM(N560:N565)</f>
        <v>-4902</v>
      </c>
      <c r="O566" s="2661">
        <f t="shared" si="2324"/>
        <v>-9110</v>
      </c>
      <c r="P566" s="2661">
        <f t="shared" si="2324"/>
        <v>12751</v>
      </c>
      <c r="Q566" s="2661">
        <f t="shared" si="2324"/>
        <v>-18486</v>
      </c>
      <c r="R566" s="2303">
        <f t="shared" si="2324"/>
        <v>-14152</v>
      </c>
      <c r="S566" s="2303">
        <f t="shared" si="2324"/>
        <v>-8220</v>
      </c>
      <c r="T566" s="2304">
        <f t="shared" si="2324"/>
        <v>-27578</v>
      </c>
      <c r="U566" s="2661">
        <f t="shared" si="2324"/>
        <v>-18682.222222222223</v>
      </c>
      <c r="V566" s="2661">
        <f t="shared" si="2324"/>
        <v>-139464.44444444444</v>
      </c>
      <c r="W566" s="2661">
        <f t="shared" ref="W566:AB566" si="2325">SUM(W560:W565)</f>
        <v>3631.1111111111109</v>
      </c>
      <c r="X566" s="2661">
        <f t="shared" si="2325"/>
        <v>-6011.1111111111113</v>
      </c>
      <c r="Y566" s="2661">
        <f t="shared" si="2325"/>
        <v>-10782.222222222223</v>
      </c>
      <c r="Z566" s="2661">
        <f t="shared" si="2325"/>
        <v>-1957.7777777777778</v>
      </c>
      <c r="AA566" s="2661">
        <f t="shared" si="2325"/>
        <v>-1957.7777777777778</v>
      </c>
      <c r="AB566" s="2661">
        <f t="shared" si="2325"/>
        <v>-1957.7777777777778</v>
      </c>
      <c r="AC566" s="2661">
        <f t="shared" ref="AC566:AG566" si="2326">SUM(AC560:AC565)</f>
        <v>-1957.7777777777778</v>
      </c>
      <c r="AD566" s="2661">
        <f t="shared" si="2326"/>
        <v>-1957.7777777777778</v>
      </c>
      <c r="AE566" s="2661">
        <f t="shared" si="2326"/>
        <v>-1957.7777777777778</v>
      </c>
      <c r="AF566" s="2661">
        <f t="shared" si="2326"/>
        <v>-1957.7777777777778</v>
      </c>
      <c r="AG566" s="2661">
        <f t="shared" si="2326"/>
        <v>-1957.7777777777778</v>
      </c>
      <c r="AI566" s="2618"/>
      <c r="AK566" s="2661"/>
      <c r="AL566" s="2661"/>
      <c r="AM566" s="2659"/>
      <c r="AN566" s="2661"/>
      <c r="AO566" s="2661"/>
      <c r="AP566" s="2661"/>
      <c r="AQ566" s="2661"/>
      <c r="AR566" s="2661"/>
      <c r="AS566" s="2661"/>
      <c r="AT566" s="2661"/>
      <c r="AU566" s="2661"/>
      <c r="AV566" s="2661"/>
      <c r="AW566" s="2661"/>
      <c r="AX566" s="2661"/>
      <c r="AY566" s="2661"/>
      <c r="AZ566" s="2661"/>
      <c r="BA566" s="2661"/>
      <c r="BB566" s="2661"/>
      <c r="BC566" s="2661"/>
      <c r="BD566" s="2661"/>
      <c r="BE566" s="2661"/>
      <c r="BF566" s="2661"/>
      <c r="BG566" s="2661"/>
      <c r="BH566" s="2661"/>
      <c r="BI566" s="2661"/>
      <c r="BJ566" s="2661"/>
      <c r="BK566" s="2661"/>
      <c r="BL566" s="2661"/>
      <c r="BM566" s="2661"/>
      <c r="BN566" s="2661">
        <v>-342</v>
      </c>
      <c r="BO566" s="2661">
        <f>-241-BN566</f>
        <v>101</v>
      </c>
      <c r="BP566" s="2661">
        <f>-1313-BN566-BO566</f>
        <v>-1072</v>
      </c>
      <c r="BQ566" s="2661">
        <f>-2133-BP566-BO566-BN566</f>
        <v>-820</v>
      </c>
      <c r="BR566" s="2662">
        <v>-937</v>
      </c>
      <c r="BS566" s="2661">
        <f>-1554-BR566</f>
        <v>-617</v>
      </c>
      <c r="BT566" s="2661">
        <f>-2756-BS566-BR566</f>
        <v>-1202</v>
      </c>
      <c r="BU566" s="2661">
        <f>-2851-BT566-BS566-BR566</f>
        <v>-95</v>
      </c>
      <c r="BV566" s="2662">
        <v>-239</v>
      </c>
      <c r="BW566" s="2661">
        <f>2182-BV566</f>
        <v>2421</v>
      </c>
      <c r="BX566" s="2661">
        <f>1359-BV566-BW566</f>
        <v>-823</v>
      </c>
      <c r="BY566" s="2661">
        <f>-101-SUM(BV566:BX566)</f>
        <v>-1460</v>
      </c>
      <c r="BZ566" s="2662">
        <f>SUM(BZ560:BZ565)</f>
        <v>-1543</v>
      </c>
      <c r="CA566" s="2661">
        <f>SUM(CA560:CA565)</f>
        <v>-2079</v>
      </c>
      <c r="CB566" s="2661">
        <f>SUM(CB560:CB565)</f>
        <v>-2003</v>
      </c>
      <c r="CC566" s="2661"/>
      <c r="CD566" s="2662"/>
      <c r="CE566" s="2661"/>
      <c r="CF566" s="2661"/>
      <c r="CG566" s="2661"/>
      <c r="CH566" s="2662"/>
      <c r="CI566" s="2661"/>
      <c r="CJ566" s="2661"/>
      <c r="CK566" s="2661"/>
      <c r="CL566" s="2662">
        <v>-6468</v>
      </c>
      <c r="CM566" s="2661">
        <f>-10704-CL566</f>
        <v>-4236</v>
      </c>
      <c r="CN566" s="2661">
        <f t="shared" ref="CN566:CW566" si="2327">SUM(CN560:CN565)</f>
        <v>-4193</v>
      </c>
      <c r="CO566" s="2661">
        <f t="shared" si="2327"/>
        <v>-3589</v>
      </c>
      <c r="CP566" s="2662">
        <f t="shared" si="2327"/>
        <v>-4131</v>
      </c>
      <c r="CQ566" s="2661">
        <f t="shared" si="2327"/>
        <v>-6921</v>
      </c>
      <c r="CR566" s="2661">
        <f t="shared" si="2327"/>
        <v>-2386</v>
      </c>
      <c r="CS566" s="2661">
        <f t="shared" si="2327"/>
        <v>-714</v>
      </c>
      <c r="CT566" s="2662">
        <f t="shared" si="2327"/>
        <v>-867</v>
      </c>
      <c r="CU566" s="2661">
        <f t="shared" si="2327"/>
        <v>-4867</v>
      </c>
      <c r="CV566" s="2661">
        <f t="shared" si="2327"/>
        <v>-867</v>
      </c>
      <c r="CW566" s="2663">
        <f t="shared" si="2327"/>
        <v>-1798</v>
      </c>
      <c r="CX566" s="2661"/>
      <c r="CY566" s="2661"/>
      <c r="CZ566" s="2661"/>
      <c r="DA566" s="2661"/>
      <c r="DB566" s="2662"/>
      <c r="DC566" s="2661"/>
      <c r="DD566" s="2661"/>
      <c r="DE566" s="2661"/>
      <c r="DF566" s="2661"/>
      <c r="DG566" s="2661"/>
      <c r="DH566" s="2661"/>
      <c r="DI566" s="2661"/>
      <c r="DJ566" s="2661"/>
      <c r="DK566" s="2661"/>
      <c r="DL566" s="2661"/>
      <c r="DM566" s="2661"/>
      <c r="DN566" s="2661"/>
      <c r="DO566" s="2661"/>
      <c r="DP566" s="2661"/>
      <c r="DQ566" s="2661"/>
      <c r="DR566" s="2661"/>
      <c r="DS566" s="2661"/>
      <c r="DT566" s="2661"/>
      <c r="DU566" s="2661"/>
      <c r="DV566" s="2661"/>
      <c r="DW566" s="2661"/>
      <c r="DX566" s="2661"/>
      <c r="DY566" s="2663"/>
    </row>
    <row r="567" spans="1:129" hidden="1" outlineLevel="1">
      <c r="A567" s="2657"/>
      <c r="B567" s="2657"/>
      <c r="C567" s="2657"/>
      <c r="D567" s="2658"/>
      <c r="E567" s="2659"/>
      <c r="F567" s="2657"/>
      <c r="G567" s="2658"/>
      <c r="H567" s="2659"/>
      <c r="I567" s="2657"/>
      <c r="J567" s="2657"/>
      <c r="K567" s="2659"/>
      <c r="L567" s="2659"/>
      <c r="M567" s="2659"/>
      <c r="N567" s="2659"/>
      <c r="O567" s="2659"/>
      <c r="P567" s="2659"/>
      <c r="Q567" s="2659"/>
      <c r="R567" s="2313"/>
      <c r="S567" s="2313"/>
      <c r="T567" s="2314"/>
      <c r="U567" s="2659"/>
      <c r="V567" s="2659"/>
      <c r="W567" s="2659"/>
      <c r="X567" s="2659"/>
      <c r="Y567" s="2659"/>
      <c r="Z567" s="2659"/>
      <c r="AA567" s="2659"/>
      <c r="AB567" s="2659"/>
      <c r="AC567" s="2659"/>
      <c r="AD567" s="2659"/>
      <c r="AE567" s="2659"/>
      <c r="AF567" s="2659"/>
      <c r="AG567" s="2659"/>
      <c r="AI567" s="2618"/>
      <c r="AK567" s="2659"/>
      <c r="AL567" s="2659"/>
      <c r="AM567" s="2659"/>
      <c r="AN567" s="2659"/>
      <c r="AO567" s="2659"/>
      <c r="AP567" s="2659"/>
      <c r="AQ567" s="2659"/>
      <c r="AR567" s="2659"/>
      <c r="AS567" s="2659"/>
      <c r="AT567" s="2659"/>
      <c r="AU567" s="2659"/>
      <c r="AV567" s="2659"/>
      <c r="AW567" s="2659"/>
      <c r="AX567" s="2659"/>
      <c r="AY567" s="2659"/>
      <c r="AZ567" s="2659"/>
      <c r="BA567" s="2659"/>
      <c r="BB567" s="2659"/>
      <c r="BC567" s="2659"/>
      <c r="BD567" s="2659"/>
      <c r="BE567" s="2659"/>
      <c r="BF567" s="2659"/>
      <c r="BG567" s="2659"/>
      <c r="BH567" s="2659"/>
      <c r="BI567" s="2659"/>
      <c r="BJ567" s="2659"/>
      <c r="BK567" s="2659"/>
      <c r="BL567" s="2659"/>
      <c r="BM567" s="2659"/>
      <c r="BN567" s="2659"/>
      <c r="BO567" s="2659"/>
      <c r="BP567" s="2659"/>
      <c r="BQ567" s="2659"/>
      <c r="BR567" s="2660"/>
      <c r="BS567" s="2659"/>
      <c r="BT567" s="2659"/>
      <c r="BU567" s="2659"/>
      <c r="BV567" s="2660"/>
      <c r="BW567" s="2659"/>
      <c r="BX567" s="2659"/>
      <c r="BY567" s="2659"/>
      <c r="BZ567" s="2660"/>
      <c r="CA567" s="2659"/>
      <c r="CB567" s="2659"/>
      <c r="CC567" s="2659"/>
      <c r="CD567" s="2660"/>
      <c r="CE567" s="2659"/>
      <c r="CF567" s="2659"/>
      <c r="CG567" s="2659"/>
      <c r="CH567" s="2660"/>
      <c r="CI567" s="2659"/>
      <c r="CJ567" s="2659"/>
      <c r="CK567" s="2659"/>
      <c r="CL567" s="2660"/>
      <c r="CM567" s="2659"/>
      <c r="CN567" s="2659"/>
      <c r="CO567" s="2659"/>
      <c r="CP567" s="2660"/>
      <c r="CQ567" s="2659"/>
      <c r="CR567" s="2659"/>
      <c r="CS567" s="2659"/>
      <c r="CT567" s="2660"/>
      <c r="CU567" s="2659"/>
      <c r="CV567" s="2659"/>
      <c r="CW567" s="2664"/>
      <c r="CX567" s="2659"/>
      <c r="CY567" s="2659"/>
      <c r="CZ567" s="2659"/>
      <c r="DA567" s="2659"/>
      <c r="DB567" s="2660"/>
      <c r="DC567" s="2659"/>
      <c r="DD567" s="2659"/>
      <c r="DE567" s="2659"/>
      <c r="DF567" s="2659"/>
      <c r="DG567" s="2659"/>
      <c r="DH567" s="2659"/>
      <c r="DI567" s="2659"/>
      <c r="DJ567" s="2659"/>
      <c r="DK567" s="2659"/>
      <c r="DL567" s="2659"/>
      <c r="DM567" s="2659"/>
      <c r="DN567" s="2659"/>
      <c r="DO567" s="2659"/>
      <c r="DP567" s="2659"/>
      <c r="DQ567" s="2659"/>
      <c r="DR567" s="2659"/>
      <c r="DS567" s="2659"/>
      <c r="DT567" s="2659"/>
      <c r="DU567" s="2659"/>
      <c r="DV567" s="2659"/>
      <c r="DW567" s="2659"/>
      <c r="DX567" s="2659"/>
      <c r="DY567" s="2664"/>
    </row>
    <row r="568" spans="1:129" hidden="1" outlineLevel="1">
      <c r="A568" s="2665" t="s">
        <v>867</v>
      </c>
      <c r="B568" s="2665"/>
      <c r="C568" s="2665"/>
      <c r="D568" s="2666"/>
      <c r="E568" s="2661"/>
      <c r="F568" s="2665"/>
      <c r="G568" s="2666"/>
      <c r="H568" s="2661"/>
      <c r="I568" s="2665"/>
      <c r="J568" s="2665"/>
      <c r="K568" s="2661"/>
      <c r="L568" s="2661"/>
      <c r="M568" s="2661"/>
      <c r="N568" s="2661">
        <f t="shared" ref="N568:V568" si="2328">N547+N557+N566</f>
        <v>55</v>
      </c>
      <c r="O568" s="2661">
        <f t="shared" si="2328"/>
        <v>6554.3099999999977</v>
      </c>
      <c r="P568" s="2661">
        <f t="shared" si="2328"/>
        <v>3630.0000000000018</v>
      </c>
      <c r="Q568" s="2661">
        <f t="shared" si="2328"/>
        <v>-8620</v>
      </c>
      <c r="R568" s="2303">
        <f t="shared" si="2328"/>
        <v>4724</v>
      </c>
      <c r="S568" s="2303">
        <f t="shared" si="2328"/>
        <v>7425</v>
      </c>
      <c r="T568" s="2304">
        <f t="shared" si="2328"/>
        <v>-11402</v>
      </c>
      <c r="U568" s="2661" t="e">
        <f t="shared" si="2328"/>
        <v>#REF!</v>
      </c>
      <c r="V568" s="2661" t="e">
        <f t="shared" si="2328"/>
        <v>#REF!</v>
      </c>
      <c r="W568" s="2661" t="e">
        <f t="shared" ref="W568:AB568" si="2329">W547+W557+W566</f>
        <v>#REF!</v>
      </c>
      <c r="X568" s="2661" t="e">
        <f t="shared" si="2329"/>
        <v>#REF!</v>
      </c>
      <c r="Y568" s="2661" t="e">
        <f t="shared" si="2329"/>
        <v>#REF!</v>
      </c>
      <c r="Z568" s="2661" t="e">
        <f t="shared" ca="1" si="2329"/>
        <v>#REF!</v>
      </c>
      <c r="AA568" s="2661" t="e">
        <f t="shared" ca="1" si="2329"/>
        <v>#REF!</v>
      </c>
      <c r="AB568" s="2661" t="e">
        <f t="shared" ca="1" si="2329"/>
        <v>#REF!</v>
      </c>
      <c r="AC568" s="2661" t="e">
        <f t="shared" ref="AC568:AG568" ca="1" si="2330">AC547+AC557+AC566</f>
        <v>#REF!</v>
      </c>
      <c r="AD568" s="2661" t="e">
        <f t="shared" ca="1" si="2330"/>
        <v>#REF!</v>
      </c>
      <c r="AE568" s="2661" t="e">
        <f t="shared" ca="1" si="2330"/>
        <v>#REF!</v>
      </c>
      <c r="AF568" s="2661" t="e">
        <f t="shared" ca="1" si="2330"/>
        <v>#REF!</v>
      </c>
      <c r="AG568" s="2661" t="e">
        <f t="shared" ca="1" si="2330"/>
        <v>#REF!</v>
      </c>
      <c r="AI568" s="2618"/>
      <c r="AK568" s="2661"/>
      <c r="AL568" s="2661"/>
      <c r="AM568" s="2659"/>
      <c r="AN568" s="2661"/>
      <c r="AO568" s="2661"/>
      <c r="AP568" s="2661"/>
      <c r="AQ568" s="2661"/>
      <c r="AR568" s="2661"/>
      <c r="AS568" s="2661"/>
      <c r="AT568" s="2661"/>
      <c r="AU568" s="2661"/>
      <c r="AV568" s="2661"/>
      <c r="AW568" s="2661"/>
      <c r="AX568" s="2661"/>
      <c r="AY568" s="2661"/>
      <c r="AZ568" s="2661"/>
      <c r="BA568" s="2661"/>
      <c r="BB568" s="2661"/>
      <c r="BC568" s="2661"/>
      <c r="BD568" s="2661"/>
      <c r="BE568" s="2661"/>
      <c r="BF568" s="2661"/>
      <c r="BG568" s="2661"/>
      <c r="BH568" s="2661"/>
      <c r="BI568" s="2661"/>
      <c r="BJ568" s="2661"/>
      <c r="BK568" s="2661"/>
      <c r="BL568" s="2661"/>
      <c r="BM568" s="2661"/>
      <c r="BN568" s="2661">
        <v>79</v>
      </c>
      <c r="BO568" s="2661">
        <f>66-BN568</f>
        <v>-13</v>
      </c>
      <c r="BP568" s="2661">
        <f>48-BN568-BO568</f>
        <v>-18</v>
      </c>
      <c r="BQ568" s="2661">
        <f>13-BN568-BO568-BP568</f>
        <v>-35</v>
      </c>
      <c r="BR568" s="2662">
        <v>30</v>
      </c>
      <c r="BS568" s="2661">
        <f>47-BR568</f>
        <v>17</v>
      </c>
      <c r="BT568" s="2661">
        <f>40-BS568-BR568</f>
        <v>-7</v>
      </c>
      <c r="BU568" s="2661">
        <f>34-BR568-BS568-BT568</f>
        <v>-6</v>
      </c>
      <c r="BV568" s="2662">
        <v>-2</v>
      </c>
      <c r="BW568" s="2661">
        <f>29-BV568</f>
        <v>31</v>
      </c>
      <c r="BX568" s="2661">
        <f>50-BV568-BW568</f>
        <v>21</v>
      </c>
      <c r="BY568" s="2661">
        <f>157-SUM(BV568:BX568)</f>
        <v>107</v>
      </c>
      <c r="BZ568" s="2662">
        <f>BZ547+BZ557+BZ566</f>
        <v>-88</v>
      </c>
      <c r="CA568" s="2661">
        <f>CA547+CA557+CA566</f>
        <v>13</v>
      </c>
      <c r="CB568" s="2661">
        <f>CB547+CB557+CB566</f>
        <v>89</v>
      </c>
      <c r="CC568" s="2661"/>
      <c r="CD568" s="2662"/>
      <c r="CE568" s="2661"/>
      <c r="CF568" s="2661"/>
      <c r="CG568" s="2661"/>
      <c r="CH568" s="2662"/>
      <c r="CI568" s="2661"/>
      <c r="CJ568" s="2661"/>
      <c r="CK568" s="2661"/>
      <c r="CL568" s="2662">
        <f t="shared" ref="CL568:CW568" si="2331">CL547+CL557+CL566</f>
        <v>-7428</v>
      </c>
      <c r="CM568" s="2661">
        <f t="shared" si="2331"/>
        <v>-1250</v>
      </c>
      <c r="CN568" s="2661">
        <f t="shared" si="2331"/>
        <v>263</v>
      </c>
      <c r="CO568" s="2661">
        <f t="shared" si="2331"/>
        <v>-205</v>
      </c>
      <c r="CP568" s="2662">
        <f t="shared" si="2331"/>
        <v>335</v>
      </c>
      <c r="CQ568" s="2661">
        <f t="shared" si="2331"/>
        <v>74</v>
      </c>
      <c r="CR568" s="2661">
        <f t="shared" si="2331"/>
        <v>1248</v>
      </c>
      <c r="CS568" s="2661">
        <f t="shared" si="2331"/>
        <v>3067</v>
      </c>
      <c r="CT568" s="2662">
        <f t="shared" ca="1" si="2331"/>
        <v>3577.7825778707575</v>
      </c>
      <c r="CU568" s="2661">
        <f t="shared" ca="1" si="2331"/>
        <v>-3987.176052998605</v>
      </c>
      <c r="CV568" s="2661">
        <f t="shared" si="2331"/>
        <v>3716.9049999999997</v>
      </c>
      <c r="CW568" s="2663">
        <f t="shared" si="2331"/>
        <v>3210.3261111111124</v>
      </c>
      <c r="CX568" s="2661"/>
      <c r="CY568" s="2661"/>
      <c r="CZ568" s="2661"/>
      <c r="DA568" s="2661"/>
      <c r="DB568" s="2662"/>
      <c r="DC568" s="2661"/>
      <c r="DD568" s="2661"/>
      <c r="DE568" s="2661"/>
      <c r="DF568" s="2661"/>
      <c r="DG568" s="2661"/>
      <c r="DH568" s="2661"/>
      <c r="DI568" s="2661"/>
      <c r="DJ568" s="2661"/>
      <c r="DK568" s="2661"/>
      <c r="DL568" s="2661"/>
      <c r="DM568" s="2661"/>
      <c r="DN568" s="2661"/>
      <c r="DO568" s="2661"/>
      <c r="DP568" s="2661"/>
      <c r="DQ568" s="2661"/>
      <c r="DR568" s="2661"/>
      <c r="DS568" s="2661"/>
      <c r="DT568" s="2661"/>
      <c r="DU568" s="2661"/>
      <c r="DV568" s="2661"/>
      <c r="DW568" s="2661"/>
      <c r="DX568" s="2661"/>
      <c r="DY568" s="2663"/>
    </row>
    <row r="569" spans="1:129" hidden="1" outlineLevel="1">
      <c r="A569" s="2665" t="s">
        <v>868</v>
      </c>
      <c r="B569" s="2665"/>
      <c r="C569" s="2665"/>
      <c r="D569" s="2666"/>
      <c r="E569" s="2661"/>
      <c r="F569" s="2665"/>
      <c r="G569" s="2666"/>
      <c r="H569" s="2661"/>
      <c r="I569" s="2665"/>
      <c r="J569" s="2665"/>
      <c r="K569" s="2661"/>
      <c r="L569" s="2661"/>
      <c r="M569" s="2661"/>
      <c r="N569" s="2661">
        <f>+M570</f>
        <v>328</v>
      </c>
      <c r="O569" s="2661">
        <f>N570</f>
        <v>383</v>
      </c>
      <c r="P569" s="2661">
        <f>O570</f>
        <v>6937.3099999999977</v>
      </c>
      <c r="Q569" s="2661">
        <f>+CK570</f>
        <v>9227</v>
      </c>
      <c r="R569" s="2303">
        <f t="shared" ref="R569:AB569" si="2332">Q570</f>
        <v>607</v>
      </c>
      <c r="S569" s="2303">
        <f t="shared" si="2332"/>
        <v>5331</v>
      </c>
      <c r="T569" s="2304">
        <f t="shared" si="2332"/>
        <v>12756</v>
      </c>
      <c r="U569" s="2661">
        <f t="shared" si="2332"/>
        <v>1354</v>
      </c>
      <c r="V569" s="2661" t="e">
        <f t="shared" si="2332"/>
        <v>#REF!</v>
      </c>
      <c r="W569" s="2661" t="e">
        <f t="shared" si="2332"/>
        <v>#REF!</v>
      </c>
      <c r="X569" s="2661" t="e">
        <f t="shared" si="2332"/>
        <v>#REF!</v>
      </c>
      <c r="Y569" s="2661" t="e">
        <f t="shared" si="2332"/>
        <v>#REF!</v>
      </c>
      <c r="Z569" s="2661" t="e">
        <f t="shared" si="2332"/>
        <v>#REF!</v>
      </c>
      <c r="AA569" s="2661" t="e">
        <f t="shared" ca="1" si="2332"/>
        <v>#REF!</v>
      </c>
      <c r="AB569" s="2661" t="e">
        <f t="shared" ca="1" si="2332"/>
        <v>#REF!</v>
      </c>
      <c r="AC569" s="2661" t="e">
        <f t="shared" ref="AC569" ca="1" si="2333">AB570</f>
        <v>#REF!</v>
      </c>
      <c r="AD569" s="2661" t="e">
        <f t="shared" ref="AD569" ca="1" si="2334">AC570</f>
        <v>#REF!</v>
      </c>
      <c r="AE569" s="2661" t="e">
        <f t="shared" ref="AE569" ca="1" si="2335">AD570</f>
        <v>#REF!</v>
      </c>
      <c r="AF569" s="2661" t="e">
        <f t="shared" ref="AF569" ca="1" si="2336">AE570</f>
        <v>#REF!</v>
      </c>
      <c r="AG569" s="2661" t="e">
        <f t="shared" ref="AG569" ca="1" si="2337">AF570</f>
        <v>#REF!</v>
      </c>
      <c r="AI569" s="2618"/>
      <c r="AK569" s="2661"/>
      <c r="AL569" s="2661"/>
      <c r="AM569" s="2659"/>
      <c r="AN569" s="2661"/>
      <c r="AO569" s="2661"/>
      <c r="AP569" s="2661"/>
      <c r="AQ569" s="2661"/>
      <c r="AR569" s="2661"/>
      <c r="AS569" s="2661"/>
      <c r="AT569" s="2661"/>
      <c r="AU569" s="2661"/>
      <c r="AV569" s="2661"/>
      <c r="AW569" s="2661"/>
      <c r="AX569" s="2661"/>
      <c r="AY569" s="2661"/>
      <c r="AZ569" s="2661"/>
      <c r="BA569" s="2661"/>
      <c r="BB569" s="2661"/>
      <c r="BC569" s="2661"/>
      <c r="BD569" s="2661"/>
      <c r="BE569" s="2661"/>
      <c r="BF569" s="2661"/>
      <c r="BG569" s="2661"/>
      <c r="BH569" s="2661"/>
      <c r="BI569" s="2661"/>
      <c r="BJ569" s="2661"/>
      <c r="BK569" s="2661"/>
      <c r="BL569" s="2661"/>
      <c r="BM569" s="2661"/>
      <c r="BN569" s="2661">
        <v>124</v>
      </c>
      <c r="BO569" s="2661">
        <f>BN570</f>
        <v>203</v>
      </c>
      <c r="BP569" s="2661">
        <f>BO570</f>
        <v>190</v>
      </c>
      <c r="BQ569" s="2661">
        <f>BP570</f>
        <v>172</v>
      </c>
      <c r="BR569" s="2662">
        <v>137</v>
      </c>
      <c r="BS569" s="2661">
        <f>BR570</f>
        <v>167</v>
      </c>
      <c r="BT569" s="2661">
        <f>BS570</f>
        <v>184</v>
      </c>
      <c r="BU569" s="2661">
        <f>BT570</f>
        <v>177</v>
      </c>
      <c r="BV569" s="2662">
        <v>171</v>
      </c>
      <c r="BW569" s="2661">
        <f t="shared" ref="BW569:CB569" si="2338">BV570</f>
        <v>169</v>
      </c>
      <c r="BX569" s="2661">
        <f t="shared" si="2338"/>
        <v>200</v>
      </c>
      <c r="BY569" s="2661">
        <f t="shared" si="2338"/>
        <v>221</v>
      </c>
      <c r="BZ569" s="2662">
        <f t="shared" si="2338"/>
        <v>328</v>
      </c>
      <c r="CA569" s="2661">
        <f t="shared" si="2338"/>
        <v>240</v>
      </c>
      <c r="CB569" s="2661">
        <f t="shared" si="2338"/>
        <v>253</v>
      </c>
      <c r="CC569" s="2661"/>
      <c r="CD569" s="2662"/>
      <c r="CE569" s="2661"/>
      <c r="CF569" s="2661"/>
      <c r="CG569" s="2661"/>
      <c r="CH569" s="2662"/>
      <c r="CI569" s="2661"/>
      <c r="CJ569" s="2661"/>
      <c r="CK569" s="2661"/>
      <c r="CL569" s="2662">
        <f t="shared" ref="CL569:CW569" si="2339">CK570</f>
        <v>9227</v>
      </c>
      <c r="CM569" s="2661">
        <f t="shared" si="2339"/>
        <v>1799</v>
      </c>
      <c r="CN569" s="2661">
        <f t="shared" si="2339"/>
        <v>549</v>
      </c>
      <c r="CO569" s="2661">
        <f t="shared" si="2339"/>
        <v>812</v>
      </c>
      <c r="CP569" s="2662">
        <f t="shared" si="2339"/>
        <v>607</v>
      </c>
      <c r="CQ569" s="2661">
        <f t="shared" si="2339"/>
        <v>942</v>
      </c>
      <c r="CR569" s="2661">
        <f t="shared" si="2339"/>
        <v>1016</v>
      </c>
      <c r="CS569" s="2661">
        <f t="shared" si="2339"/>
        <v>2264</v>
      </c>
      <c r="CT569" s="2662">
        <f t="shared" si="2339"/>
        <v>5331</v>
      </c>
      <c r="CU569" s="2661">
        <f t="shared" ca="1" si="2339"/>
        <v>8908.7825778707575</v>
      </c>
      <c r="CV569" s="2661">
        <f t="shared" ca="1" si="2339"/>
        <v>4921.6065248721525</v>
      </c>
      <c r="CW569" s="2663">
        <f t="shared" ca="1" si="2339"/>
        <v>8638.5115248721522</v>
      </c>
      <c r="CX569" s="2661"/>
      <c r="CY569" s="2661"/>
      <c r="CZ569" s="2661"/>
      <c r="DA569" s="2661"/>
      <c r="DB569" s="2662"/>
      <c r="DC569" s="2661"/>
      <c r="DD569" s="2661"/>
      <c r="DE569" s="2661"/>
      <c r="DF569" s="2661"/>
      <c r="DG569" s="2661"/>
      <c r="DH569" s="2661"/>
      <c r="DI569" s="2661"/>
      <c r="DJ569" s="2661"/>
      <c r="DK569" s="2661"/>
      <c r="DL569" s="2661"/>
      <c r="DM569" s="2661"/>
      <c r="DN569" s="2661"/>
      <c r="DO569" s="2661"/>
      <c r="DP569" s="2661"/>
      <c r="DQ569" s="2661"/>
      <c r="DR569" s="2661"/>
      <c r="DS569" s="2661"/>
      <c r="DT569" s="2661"/>
      <c r="DU569" s="2661"/>
      <c r="DV569" s="2661"/>
      <c r="DW569" s="2661"/>
      <c r="DX569" s="2661"/>
      <c r="DY569" s="2663"/>
    </row>
    <row r="570" spans="1:129" hidden="1" outlineLevel="1">
      <c r="A570" s="2665" t="s">
        <v>869</v>
      </c>
      <c r="B570" s="2665"/>
      <c r="C570" s="2665"/>
      <c r="D570" s="2666"/>
      <c r="E570" s="2661"/>
      <c r="F570" s="2665"/>
      <c r="G570" s="2666"/>
      <c r="H570" s="2661"/>
      <c r="I570" s="2665"/>
      <c r="J570" s="2661"/>
      <c r="K570" s="2661"/>
      <c r="L570" s="2661"/>
      <c r="M570" s="2661">
        <v>328</v>
      </c>
      <c r="N570" s="2661">
        <f t="shared" ref="N570:V570" si="2340">N569+N568</f>
        <v>383</v>
      </c>
      <c r="O570" s="2661">
        <f t="shared" si="2340"/>
        <v>6937.3099999999977</v>
      </c>
      <c r="P570" s="2661">
        <f t="shared" si="2340"/>
        <v>10567.31</v>
      </c>
      <c r="Q570" s="2661">
        <f t="shared" si="2340"/>
        <v>607</v>
      </c>
      <c r="R570" s="2303">
        <f t="shared" si="2340"/>
        <v>5331</v>
      </c>
      <c r="S570" s="2303">
        <f t="shared" si="2340"/>
        <v>12756</v>
      </c>
      <c r="T570" s="2304">
        <f t="shared" si="2340"/>
        <v>1354</v>
      </c>
      <c r="U570" s="2661" t="e">
        <f t="shared" si="2340"/>
        <v>#REF!</v>
      </c>
      <c r="V570" s="2661" t="e">
        <f t="shared" si="2340"/>
        <v>#REF!</v>
      </c>
      <c r="W570" s="2661" t="e">
        <f t="shared" ref="W570:AB570" si="2341">W569+W568</f>
        <v>#REF!</v>
      </c>
      <c r="X570" s="2661" t="e">
        <f t="shared" si="2341"/>
        <v>#REF!</v>
      </c>
      <c r="Y570" s="2661" t="e">
        <f t="shared" si="2341"/>
        <v>#REF!</v>
      </c>
      <c r="Z570" s="2661" t="e">
        <f t="shared" ca="1" si="2341"/>
        <v>#REF!</v>
      </c>
      <c r="AA570" s="2661" t="e">
        <f t="shared" ca="1" si="2341"/>
        <v>#REF!</v>
      </c>
      <c r="AB570" s="2661" t="e">
        <f t="shared" ca="1" si="2341"/>
        <v>#REF!</v>
      </c>
      <c r="AC570" s="2661" t="e">
        <f t="shared" ref="AC570:AG570" ca="1" si="2342">AC569+AC568</f>
        <v>#REF!</v>
      </c>
      <c r="AD570" s="2661" t="e">
        <f t="shared" ca="1" si="2342"/>
        <v>#REF!</v>
      </c>
      <c r="AE570" s="2661" t="e">
        <f t="shared" ca="1" si="2342"/>
        <v>#REF!</v>
      </c>
      <c r="AF570" s="2661" t="e">
        <f t="shared" ca="1" si="2342"/>
        <v>#REF!</v>
      </c>
      <c r="AG570" s="2661" t="e">
        <f t="shared" ca="1" si="2342"/>
        <v>#REF!</v>
      </c>
      <c r="AI570" s="2618"/>
      <c r="AK570" s="2661"/>
      <c r="AL570" s="2661"/>
      <c r="AM570" s="2659"/>
      <c r="AN570" s="2661"/>
      <c r="AO570" s="2661"/>
      <c r="AP570" s="2661"/>
      <c r="AQ570" s="2661"/>
      <c r="AR570" s="2661"/>
      <c r="AS570" s="2661"/>
      <c r="AT570" s="2661"/>
      <c r="AU570" s="2661"/>
      <c r="AV570" s="2661"/>
      <c r="AW570" s="2661"/>
      <c r="AX570" s="2661"/>
      <c r="AY570" s="2661"/>
      <c r="AZ570" s="2661"/>
      <c r="BA570" s="2661"/>
      <c r="BB570" s="2661"/>
      <c r="BC570" s="2661"/>
      <c r="BD570" s="2661"/>
      <c r="BE570" s="2661"/>
      <c r="BF570" s="2661"/>
      <c r="BG570" s="2661"/>
      <c r="BH570" s="2661"/>
      <c r="BI570" s="2661"/>
      <c r="BJ570" s="2661"/>
      <c r="BK570" s="2661"/>
      <c r="BL570" s="2661"/>
      <c r="BM570" s="2661"/>
      <c r="BN570" s="2661">
        <v>203</v>
      </c>
      <c r="BO570" s="2661">
        <f>BO569+BO568</f>
        <v>190</v>
      </c>
      <c r="BP570" s="2661">
        <f>BP569+BP568</f>
        <v>172</v>
      </c>
      <c r="BQ570" s="2661">
        <f>BQ569+BQ568</f>
        <v>137</v>
      </c>
      <c r="BR570" s="2662">
        <v>167</v>
      </c>
      <c r="BS570" s="2661">
        <f>BS569+BS568</f>
        <v>184</v>
      </c>
      <c r="BT570" s="2661">
        <f>BT569+BT568</f>
        <v>177</v>
      </c>
      <c r="BU570" s="2661">
        <f>BU569+BU568</f>
        <v>171</v>
      </c>
      <c r="BV570" s="2662">
        <f>BV569+BV568</f>
        <v>169</v>
      </c>
      <c r="BW570" s="2661">
        <f>BW569+BW568</f>
        <v>200</v>
      </c>
      <c r="BX570" s="2661">
        <f>BX568+BX569</f>
        <v>221</v>
      </c>
      <c r="BY570" s="2661">
        <f>BY568+BY569</f>
        <v>328</v>
      </c>
      <c r="BZ570" s="2662">
        <f>BZ568+BZ569</f>
        <v>240</v>
      </c>
      <c r="CA570" s="2661">
        <f>CA568+CA569</f>
        <v>253</v>
      </c>
      <c r="CB570" s="2661">
        <f>CB568+CB569</f>
        <v>342</v>
      </c>
      <c r="CC570" s="2661"/>
      <c r="CD570" s="2662"/>
      <c r="CE570" s="2661"/>
      <c r="CF570" s="2661"/>
      <c r="CG570" s="2661"/>
      <c r="CH570" s="2662"/>
      <c r="CI570" s="2661"/>
      <c r="CJ570" s="2661"/>
      <c r="CK570" s="2661">
        <f>9227</f>
        <v>9227</v>
      </c>
      <c r="CL570" s="2662">
        <f t="shared" ref="CL570:CW570" si="2343">CL568+CL569</f>
        <v>1799</v>
      </c>
      <c r="CM570" s="2661">
        <f t="shared" si="2343"/>
        <v>549</v>
      </c>
      <c r="CN570" s="2661">
        <f t="shared" si="2343"/>
        <v>812</v>
      </c>
      <c r="CO570" s="2661">
        <f t="shared" si="2343"/>
        <v>607</v>
      </c>
      <c r="CP570" s="2662">
        <f t="shared" si="2343"/>
        <v>942</v>
      </c>
      <c r="CQ570" s="2661">
        <f t="shared" si="2343"/>
        <v>1016</v>
      </c>
      <c r="CR570" s="2661">
        <f t="shared" si="2343"/>
        <v>2264</v>
      </c>
      <c r="CS570" s="2661">
        <f t="shared" si="2343"/>
        <v>5331</v>
      </c>
      <c r="CT570" s="2662">
        <f t="shared" ca="1" si="2343"/>
        <v>8908.7825778707575</v>
      </c>
      <c r="CU570" s="2661">
        <f t="shared" ca="1" si="2343"/>
        <v>4921.6065248721525</v>
      </c>
      <c r="CV570" s="2661">
        <f t="shared" ca="1" si="2343"/>
        <v>8638.5115248721522</v>
      </c>
      <c r="CW570" s="2663">
        <f t="shared" ca="1" si="2343"/>
        <v>11848.837635983265</v>
      </c>
      <c r="CX570" s="2661"/>
      <c r="CY570" s="2661"/>
      <c r="CZ570" s="2661"/>
      <c r="DA570" s="2661"/>
      <c r="DB570" s="2662"/>
      <c r="DC570" s="2661"/>
      <c r="DD570" s="2661"/>
      <c r="DE570" s="2661"/>
      <c r="DF570" s="2661"/>
      <c r="DG570" s="2661"/>
      <c r="DH570" s="2661"/>
      <c r="DI570" s="2661"/>
      <c r="DJ570" s="2661"/>
      <c r="DK570" s="2661"/>
      <c r="DL570" s="2661"/>
      <c r="DM570" s="2661"/>
      <c r="DN570" s="2661"/>
      <c r="DO570" s="2661"/>
      <c r="DP570" s="2661"/>
      <c r="DQ570" s="2661"/>
      <c r="DR570" s="2661"/>
      <c r="DS570" s="2661"/>
      <c r="DT570" s="2661"/>
      <c r="DU570" s="2661"/>
      <c r="DV570" s="2661"/>
      <c r="DW570" s="2661"/>
      <c r="DX570" s="2661"/>
      <c r="DY570" s="2663"/>
    </row>
    <row r="571" spans="1:129" hidden="1" outlineLevel="1">
      <c r="A571" s="2668" t="s">
        <v>870</v>
      </c>
      <c r="B571" s="2668"/>
      <c r="C571" s="2668"/>
      <c r="D571" s="2668"/>
      <c r="E571" s="2668"/>
      <c r="F571" s="2668"/>
      <c r="G571" s="2668"/>
      <c r="H571" s="2668"/>
      <c r="I571" s="2668"/>
      <c r="J571" s="2668"/>
      <c r="K571" s="2668"/>
      <c r="L571" s="2668"/>
      <c r="M571" s="2668"/>
      <c r="N571" s="2668"/>
      <c r="O571" s="2668">
        <f t="shared" ref="O571:V571" si="2344">O570-O499</f>
        <v>6529.3099999999977</v>
      </c>
      <c r="P571" s="2668">
        <f t="shared" si="2344"/>
        <v>1340.3099999999995</v>
      </c>
      <c r="Q571" s="2668">
        <f t="shared" si="2344"/>
        <v>0</v>
      </c>
      <c r="R571" s="2215">
        <f t="shared" si="2344"/>
        <v>0</v>
      </c>
      <c r="S571" s="2215">
        <f t="shared" si="2344"/>
        <v>0</v>
      </c>
      <c r="T571" s="2283">
        <f t="shared" si="2344"/>
        <v>0</v>
      </c>
      <c r="U571" s="2668" t="e">
        <f t="shared" si="2344"/>
        <v>#REF!</v>
      </c>
      <c r="V571" s="2668" t="e">
        <f t="shared" si="2344"/>
        <v>#REF!</v>
      </c>
      <c r="W571" s="2668" t="e">
        <f t="shared" ref="W571:AB571" si="2345">W570-W499</f>
        <v>#REF!</v>
      </c>
      <c r="X571" s="2668" t="e">
        <f t="shared" si="2345"/>
        <v>#REF!</v>
      </c>
      <c r="Y571" s="2668" t="e">
        <f t="shared" si="2345"/>
        <v>#REF!</v>
      </c>
      <c r="Z571" s="2668" t="e">
        <f t="shared" ca="1" si="2345"/>
        <v>#REF!</v>
      </c>
      <c r="AA571" s="2668" t="e">
        <f t="shared" ca="1" si="2345"/>
        <v>#REF!</v>
      </c>
      <c r="AB571" s="2668" t="e">
        <f t="shared" ca="1" si="2345"/>
        <v>#REF!</v>
      </c>
      <c r="AC571" s="2668" t="e">
        <f t="shared" ref="AC571:AG571" ca="1" si="2346">AC570-AC499</f>
        <v>#REF!</v>
      </c>
      <c r="AD571" s="2668" t="e">
        <f t="shared" ca="1" si="2346"/>
        <v>#REF!</v>
      </c>
      <c r="AE571" s="2668" t="e">
        <f t="shared" ca="1" si="2346"/>
        <v>#REF!</v>
      </c>
      <c r="AF571" s="2668" t="e">
        <f t="shared" ca="1" si="2346"/>
        <v>#REF!</v>
      </c>
      <c r="AG571" s="2668" t="e">
        <f t="shared" ca="1" si="2346"/>
        <v>#REF!</v>
      </c>
      <c r="AI571" s="2619"/>
      <c r="AK571" s="2668"/>
      <c r="AL571" s="2668"/>
      <c r="AM571" s="2668"/>
      <c r="AN571" s="2668"/>
      <c r="AO571" s="2668"/>
      <c r="AP571" s="2668"/>
      <c r="AQ571" s="2668"/>
      <c r="AR571" s="2668"/>
      <c r="AS571" s="2668"/>
      <c r="AT571" s="2668"/>
      <c r="AU571" s="2668"/>
      <c r="AV571" s="2668"/>
      <c r="AW571" s="2668"/>
      <c r="AX571" s="2668"/>
      <c r="AY571" s="2668"/>
      <c r="AZ571" s="2668"/>
      <c r="BA571" s="2668"/>
      <c r="BB571" s="2668"/>
      <c r="BC571" s="2668"/>
      <c r="BD571" s="2668"/>
      <c r="BE571" s="2668"/>
      <c r="BF571" s="2668"/>
      <c r="BG571" s="2668"/>
      <c r="BH571" s="2668"/>
      <c r="BI571" s="2668"/>
      <c r="BJ571" s="2668"/>
      <c r="BK571" s="2668"/>
      <c r="BL571" s="2668"/>
      <c r="BM571" s="2668"/>
      <c r="BN571" s="2668"/>
      <c r="BO571" s="2668"/>
      <c r="BP571" s="2668"/>
      <c r="BQ571" s="2668"/>
      <c r="BR571" s="2669">
        <f t="shared" ref="BR571:CB571" si="2347">BR499-BR570</f>
        <v>0</v>
      </c>
      <c r="BS571" s="2668">
        <f t="shared" si="2347"/>
        <v>-13</v>
      </c>
      <c r="BT571" s="2668">
        <f t="shared" si="2347"/>
        <v>0</v>
      </c>
      <c r="BU571" s="2668">
        <f t="shared" si="2347"/>
        <v>0</v>
      </c>
      <c r="BV571" s="2669">
        <f t="shared" si="2347"/>
        <v>0</v>
      </c>
      <c r="BW571" s="2668">
        <f t="shared" si="2347"/>
        <v>0</v>
      </c>
      <c r="BX571" s="2668">
        <f t="shared" si="2347"/>
        <v>0</v>
      </c>
      <c r="BY571" s="2668">
        <f t="shared" si="2347"/>
        <v>0</v>
      </c>
      <c r="BZ571" s="2669">
        <f t="shared" si="2347"/>
        <v>0</v>
      </c>
      <c r="CA571" s="2668">
        <f t="shared" si="2347"/>
        <v>0</v>
      </c>
      <c r="CB571" s="2668">
        <f t="shared" si="2347"/>
        <v>0</v>
      </c>
      <c r="CC571" s="2668"/>
      <c r="CD571" s="2669"/>
      <c r="CE571" s="2668"/>
      <c r="CF571" s="2668"/>
      <c r="CG571" s="2668"/>
      <c r="CH571" s="2669">
        <f t="shared" ref="CH571:CW571" si="2348">CH499-CH570</f>
        <v>0</v>
      </c>
      <c r="CI571" s="2668">
        <f t="shared" si="2348"/>
        <v>0</v>
      </c>
      <c r="CJ571" s="2668">
        <f t="shared" si="2348"/>
        <v>0</v>
      </c>
      <c r="CK571" s="2668">
        <f t="shared" si="2348"/>
        <v>0</v>
      </c>
      <c r="CL571" s="2669">
        <f t="shared" si="2348"/>
        <v>0</v>
      </c>
      <c r="CM571" s="2668">
        <f t="shared" si="2348"/>
        <v>0</v>
      </c>
      <c r="CN571" s="2668">
        <f t="shared" si="2348"/>
        <v>0</v>
      </c>
      <c r="CO571" s="2668">
        <f t="shared" si="2348"/>
        <v>0</v>
      </c>
      <c r="CP571" s="2669">
        <f t="shared" si="2348"/>
        <v>0</v>
      </c>
      <c r="CQ571" s="2668">
        <f t="shared" si="2348"/>
        <v>0</v>
      </c>
      <c r="CR571" s="2668">
        <f t="shared" si="2348"/>
        <v>0</v>
      </c>
      <c r="CS571" s="2668">
        <f t="shared" si="2348"/>
        <v>0</v>
      </c>
      <c r="CT571" s="2669">
        <f t="shared" ca="1" si="2348"/>
        <v>0</v>
      </c>
      <c r="CU571" s="2668">
        <f t="shared" ca="1" si="2348"/>
        <v>0</v>
      </c>
      <c r="CV571" s="2668">
        <f t="shared" ca="1" si="2348"/>
        <v>0</v>
      </c>
      <c r="CW571" s="2670">
        <f t="shared" ca="1" si="2348"/>
        <v>907.1623640167345</v>
      </c>
      <c r="CX571" s="2668"/>
      <c r="CY571" s="2668"/>
      <c r="CZ571" s="2668"/>
      <c r="DA571" s="2668"/>
      <c r="DB571" s="2669"/>
      <c r="DC571" s="2668"/>
      <c r="DD571" s="2668"/>
      <c r="DE571" s="2668"/>
      <c r="DF571" s="2668"/>
      <c r="DG571" s="2668"/>
      <c r="DH571" s="2668"/>
      <c r="DI571" s="2668"/>
      <c r="DJ571" s="2668"/>
      <c r="DK571" s="2668"/>
      <c r="DL571" s="2668"/>
      <c r="DM571" s="2668"/>
      <c r="DN571" s="2668"/>
      <c r="DO571" s="2668"/>
      <c r="DP571" s="2668"/>
      <c r="DQ571" s="2668"/>
      <c r="DR571" s="2668"/>
      <c r="DS571" s="2668"/>
      <c r="DT571" s="2668"/>
      <c r="DU571" s="2668"/>
      <c r="DV571" s="2668"/>
      <c r="DW571" s="2668"/>
      <c r="DX571" s="2668"/>
      <c r="DY571" s="2670"/>
    </row>
    <row r="572" spans="1:129" hidden="1" outlineLevel="1">
      <c r="A572" s="2651"/>
      <c r="B572" s="2651"/>
      <c r="C572" s="2651"/>
      <c r="D572" s="2651"/>
      <c r="E572" s="2651"/>
      <c r="F572" s="2651"/>
      <c r="G572" s="2651"/>
      <c r="H572" s="2651"/>
      <c r="I572" s="2651"/>
      <c r="J572" s="2651"/>
      <c r="K572" s="2651"/>
      <c r="L572" s="2651"/>
      <c r="M572" s="2651"/>
      <c r="N572" s="2651"/>
      <c r="O572" s="2651"/>
      <c r="P572" s="2651"/>
      <c r="Q572" s="2651"/>
      <c r="R572" s="2651"/>
      <c r="S572" s="2651"/>
      <c r="T572" s="2652"/>
      <c r="U572" s="2651"/>
      <c r="V572" s="2651"/>
      <c r="W572" s="2651"/>
      <c r="X572" s="2651"/>
      <c r="Y572" s="2651"/>
      <c r="Z572" s="2651"/>
      <c r="AA572" s="2651"/>
      <c r="AB572" s="2651"/>
      <c r="AC572" s="2651"/>
      <c r="AD572" s="2651"/>
      <c r="AE572" s="2651"/>
      <c r="AF572" s="2651"/>
      <c r="AG572" s="2651"/>
      <c r="AI572" s="2617"/>
      <c r="AK572" s="2651"/>
      <c r="AL572" s="2651"/>
      <c r="AM572" s="2651"/>
      <c r="AN572" s="2651"/>
      <c r="AO572" s="2651"/>
      <c r="AP572" s="2651"/>
      <c r="AQ572" s="2651"/>
      <c r="AR572" s="2651"/>
      <c r="AS572" s="2651"/>
      <c r="AT572" s="2651"/>
      <c r="AU572" s="2651"/>
      <c r="AV572" s="2651"/>
      <c r="AW572" s="2651"/>
      <c r="AX572" s="2651"/>
      <c r="AY572" s="2651"/>
      <c r="AZ572" s="2651"/>
      <c r="BA572" s="2651"/>
      <c r="BB572" s="2651"/>
      <c r="BC572" s="2651"/>
      <c r="BD572" s="2651"/>
      <c r="BE572" s="2651"/>
      <c r="BF572" s="2651"/>
      <c r="BG572" s="2651"/>
      <c r="BH572" s="2651"/>
      <c r="BI572" s="2651"/>
      <c r="BJ572" s="2651"/>
      <c r="BK572" s="2651"/>
      <c r="BL572" s="2651"/>
      <c r="BM572" s="2651"/>
      <c r="BN572" s="2651"/>
      <c r="BO572" s="2651"/>
      <c r="BP572" s="2651"/>
      <c r="BQ572" s="2651"/>
      <c r="BR572" s="2651"/>
      <c r="BS572" s="2651"/>
      <c r="BT572" s="2651"/>
      <c r="BU572" s="2651"/>
      <c r="BV572" s="2651"/>
      <c r="BW572" s="2651"/>
      <c r="BX572" s="2651"/>
      <c r="BY572" s="2651"/>
      <c r="BZ572" s="2651"/>
      <c r="CA572" s="2651"/>
      <c r="CB572" s="2651"/>
      <c r="CC572" s="2651"/>
      <c r="CD572" s="2651"/>
      <c r="CE572" s="2651"/>
      <c r="CF572" s="2651"/>
      <c r="CG572" s="2651"/>
      <c r="CH572" s="2651"/>
      <c r="CI572" s="2651"/>
      <c r="CJ572" s="2651"/>
      <c r="CK572" s="2651"/>
      <c r="CL572" s="2651"/>
      <c r="CM572" s="2651"/>
      <c r="CN572" s="2651"/>
      <c r="CO572" s="2651"/>
      <c r="CP572" s="2653"/>
      <c r="CQ572" s="2651"/>
      <c r="CR572" s="2651"/>
      <c r="CS572" s="2651"/>
      <c r="CT572" s="2653"/>
      <c r="CU572" s="2651"/>
      <c r="CV572" s="2651"/>
      <c r="CW572" s="2652"/>
      <c r="CX572" s="2651"/>
      <c r="CY572" s="2651"/>
      <c r="CZ572" s="2651"/>
      <c r="DA572" s="2651"/>
      <c r="DB572" s="2653"/>
      <c r="DC572" s="2651"/>
      <c r="DD572" s="2651"/>
      <c r="DE572" s="2651"/>
      <c r="DF572" s="2651"/>
      <c r="DG572" s="2651"/>
      <c r="DH572" s="2651"/>
      <c r="DI572" s="2651"/>
      <c r="DJ572" s="2651"/>
      <c r="DK572" s="2651"/>
      <c r="DL572" s="2651"/>
      <c r="DM572" s="2651"/>
      <c r="DN572" s="2651"/>
      <c r="DO572" s="2651"/>
      <c r="DP572" s="2651"/>
      <c r="DQ572" s="2651"/>
      <c r="DR572" s="2651"/>
      <c r="DS572" s="2651"/>
      <c r="DT572" s="2651"/>
      <c r="DU572" s="2651"/>
      <c r="DV572" s="2651"/>
      <c r="DW572" s="2651"/>
      <c r="DX572" s="2651"/>
      <c r="DY572" s="2652"/>
    </row>
    <row r="573" spans="1:129" hidden="1" outlineLevel="1">
      <c r="A573" s="2671"/>
      <c r="B573" s="2671"/>
      <c r="C573" s="2671"/>
      <c r="D573" s="2671"/>
      <c r="E573" s="2671"/>
      <c r="F573" s="2671"/>
      <c r="G573" s="2671"/>
      <c r="H573" s="2671"/>
      <c r="I573" s="2671"/>
      <c r="J573" s="2671" t="s">
        <v>1042</v>
      </c>
      <c r="K573" s="2671" t="s">
        <v>1043</v>
      </c>
      <c r="L573" s="2671" t="s">
        <v>1044</v>
      </c>
      <c r="M573" s="2671" t="s">
        <v>1045</v>
      </c>
      <c r="N573" s="2671" t="s">
        <v>1169</v>
      </c>
      <c r="O573" s="2671" t="s">
        <v>1170</v>
      </c>
      <c r="P573" s="2671" t="s">
        <v>1171</v>
      </c>
      <c r="Q573" s="2671" t="s">
        <v>1172</v>
      </c>
      <c r="R573" s="2651" t="s">
        <v>1173</v>
      </c>
      <c r="S573" s="2651" t="s">
        <v>1174</v>
      </c>
      <c r="T573" s="2651" t="s">
        <v>1175</v>
      </c>
      <c r="U573" s="2651" t="s">
        <v>1176</v>
      </c>
      <c r="V573" s="2651" t="s">
        <v>1177</v>
      </c>
      <c r="W573" s="2651" t="s">
        <v>1177</v>
      </c>
      <c r="X573" s="2651" t="s">
        <v>1177</v>
      </c>
      <c r="Y573" s="2651" t="s">
        <v>1177</v>
      </c>
      <c r="Z573" s="2651" t="s">
        <v>1177</v>
      </c>
      <c r="AA573" s="2651" t="s">
        <v>1178</v>
      </c>
      <c r="AB573" s="2651" t="s">
        <v>1178</v>
      </c>
      <c r="AC573" s="2651" t="s">
        <v>1178</v>
      </c>
      <c r="AD573" s="2651" t="s">
        <v>1178</v>
      </c>
      <c r="AE573" s="2651" t="s">
        <v>1178</v>
      </c>
      <c r="AF573" s="2651" t="s">
        <v>1178</v>
      </c>
      <c r="AG573" s="2651" t="s">
        <v>1178</v>
      </c>
      <c r="AI573" s="2617"/>
      <c r="AK573" s="2651"/>
      <c r="AL573" s="2651"/>
      <c r="AM573" s="2651"/>
      <c r="AN573" s="2651"/>
      <c r="AO573" s="2651"/>
      <c r="AP573" s="2651"/>
      <c r="AQ573" s="2651"/>
      <c r="AR573" s="2651"/>
      <c r="AS573" s="2651"/>
      <c r="AT573" s="2651"/>
      <c r="AU573" s="2651"/>
      <c r="AV573" s="2651"/>
      <c r="AW573" s="2651"/>
      <c r="AX573" s="2651"/>
      <c r="AY573" s="2651"/>
      <c r="AZ573" s="2651"/>
      <c r="BA573" s="2651"/>
      <c r="BB573" s="2651"/>
      <c r="BC573" s="2651"/>
      <c r="BD573" s="2651"/>
      <c r="BE573" s="2651"/>
      <c r="BF573" s="2651"/>
      <c r="BG573" s="2651"/>
      <c r="BH573" s="2651"/>
      <c r="BI573" s="2651"/>
      <c r="BJ573" s="2651"/>
      <c r="BK573" s="2651"/>
      <c r="BL573" s="2651"/>
      <c r="BM573" s="2651"/>
      <c r="BN573" s="2651" t="s">
        <v>1046</v>
      </c>
      <c r="BO573" s="2651" t="s">
        <v>1047</v>
      </c>
      <c r="BP573" s="2651" t="s">
        <v>1048</v>
      </c>
      <c r="BQ573" s="2651" t="s">
        <v>1049</v>
      </c>
      <c r="BR573" s="2651" t="s">
        <v>1050</v>
      </c>
      <c r="BS573" s="2651" t="s">
        <v>1051</v>
      </c>
      <c r="BT573" s="2651" t="s">
        <v>1052</v>
      </c>
      <c r="BU573" s="2651" t="s">
        <v>1053</v>
      </c>
      <c r="BV573" s="2651" t="s">
        <v>1054</v>
      </c>
      <c r="BW573" s="2651" t="s">
        <v>1055</v>
      </c>
      <c r="BX573" s="2651" t="s">
        <v>1056</v>
      </c>
      <c r="BY573" s="2651" t="s">
        <v>1057</v>
      </c>
      <c r="BZ573" s="2651" t="s">
        <v>1179</v>
      </c>
      <c r="CA573" s="2651" t="s">
        <v>1180</v>
      </c>
      <c r="CB573" s="2651" t="s">
        <v>1181</v>
      </c>
      <c r="CC573" s="2651" t="s">
        <v>1182</v>
      </c>
      <c r="CD573" s="2651" t="s">
        <v>1183</v>
      </c>
      <c r="CE573" s="2651" t="s">
        <v>1184</v>
      </c>
      <c r="CF573" s="2651" t="s">
        <v>1185</v>
      </c>
      <c r="CG573" s="2651" t="s">
        <v>1186</v>
      </c>
      <c r="CH573" s="2651" t="s">
        <v>1187</v>
      </c>
      <c r="CI573" s="2651" t="s">
        <v>1188</v>
      </c>
      <c r="CJ573" s="2651" t="s">
        <v>1189</v>
      </c>
      <c r="CK573" s="2651" t="s">
        <v>1190</v>
      </c>
      <c r="CL573" s="2651" t="s">
        <v>1191</v>
      </c>
      <c r="CM573" s="2651" t="s">
        <v>1192</v>
      </c>
      <c r="CN573" s="2651" t="s">
        <v>1193</v>
      </c>
      <c r="CO573" s="2651" t="s">
        <v>1194</v>
      </c>
      <c r="CP573" s="2653" t="s">
        <v>1195</v>
      </c>
      <c r="CQ573" s="2651" t="s">
        <v>1196</v>
      </c>
      <c r="CR573" s="2651" t="s">
        <v>1197</v>
      </c>
      <c r="CS573" s="2651" t="s">
        <v>1198</v>
      </c>
      <c r="CT573" s="2653" t="s">
        <v>1199</v>
      </c>
      <c r="CU573" s="2651" t="s">
        <v>1200</v>
      </c>
      <c r="CV573" s="2651" t="s">
        <v>1201</v>
      </c>
      <c r="CW573" s="2652" t="s">
        <v>1202</v>
      </c>
      <c r="CX573" s="2651" t="s">
        <v>1203</v>
      </c>
      <c r="CY573" s="2651" t="s">
        <v>1204</v>
      </c>
      <c r="CZ573" s="2651" t="s">
        <v>1205</v>
      </c>
      <c r="DA573" s="2651" t="s">
        <v>1206</v>
      </c>
      <c r="DB573" s="2653" t="s">
        <v>1207</v>
      </c>
      <c r="DC573" s="2651" t="s">
        <v>1208</v>
      </c>
      <c r="DD573" s="2651" t="s">
        <v>1209</v>
      </c>
      <c r="DE573" s="2651" t="s">
        <v>1209</v>
      </c>
      <c r="DF573" s="2651" t="s">
        <v>1209</v>
      </c>
      <c r="DG573" s="2651" t="s">
        <v>1209</v>
      </c>
      <c r="DH573" s="2651" t="s">
        <v>1209</v>
      </c>
      <c r="DI573" s="2651" t="s">
        <v>1209</v>
      </c>
      <c r="DJ573" s="2651" t="s">
        <v>1209</v>
      </c>
      <c r="DK573" s="2651" t="s">
        <v>1209</v>
      </c>
      <c r="DL573" s="2651" t="s">
        <v>1209</v>
      </c>
      <c r="DM573" s="2651" t="s">
        <v>1209</v>
      </c>
      <c r="DN573" s="2651" t="s">
        <v>1209</v>
      </c>
      <c r="DO573" s="2651" t="s">
        <v>1209</v>
      </c>
      <c r="DP573" s="2651" t="s">
        <v>1209</v>
      </c>
      <c r="DQ573" s="2651" t="s">
        <v>1209</v>
      </c>
      <c r="DR573" s="2651" t="s">
        <v>1209</v>
      </c>
      <c r="DS573" s="2651" t="s">
        <v>1209</v>
      </c>
      <c r="DT573" s="2651" t="s">
        <v>1209</v>
      </c>
      <c r="DU573" s="2651" t="s">
        <v>1209</v>
      </c>
      <c r="DV573" s="2651" t="s">
        <v>1209</v>
      </c>
      <c r="DW573" s="2651" t="s">
        <v>1210</v>
      </c>
      <c r="DX573" s="2651" t="s">
        <v>1210</v>
      </c>
      <c r="DY573" s="2652" t="s">
        <v>1210</v>
      </c>
    </row>
    <row r="574" spans="1:129" hidden="1" outlineLevel="1">
      <c r="A574" s="2651"/>
      <c r="B574" s="2651"/>
      <c r="C574" s="2651"/>
      <c r="D574" s="2651"/>
      <c r="E574" s="2651"/>
      <c r="F574" s="2651"/>
      <c r="G574" s="2651"/>
      <c r="H574" s="2651"/>
      <c r="I574" s="2651"/>
      <c r="J574" s="2651"/>
      <c r="K574" s="2651"/>
      <c r="L574" s="2651"/>
      <c r="M574" s="2651"/>
      <c r="N574" s="2651"/>
      <c r="O574" s="2651"/>
      <c r="P574" s="2651"/>
      <c r="Q574" s="2651"/>
      <c r="R574" s="2651"/>
      <c r="S574" s="2651"/>
      <c r="T574" s="2651"/>
      <c r="U574" s="2651"/>
      <c r="V574" s="2651"/>
      <c r="W574" s="2651"/>
      <c r="X574" s="2651"/>
      <c r="Y574" s="2651"/>
      <c r="Z574" s="2651"/>
      <c r="AA574" s="2651"/>
      <c r="AB574" s="2651"/>
      <c r="AC574" s="2651"/>
      <c r="AD574" s="2651"/>
      <c r="AE574" s="2651"/>
      <c r="AF574" s="2651"/>
      <c r="AG574" s="2651"/>
      <c r="AI574" s="2617"/>
      <c r="AK574" s="2651"/>
      <c r="AL574" s="2651"/>
      <c r="AM574" s="2651"/>
      <c r="AN574" s="2651"/>
      <c r="AO574" s="2651"/>
      <c r="AP574" s="2651"/>
      <c r="AQ574" s="2651"/>
      <c r="AR574" s="2651"/>
      <c r="AS574" s="2651"/>
      <c r="AT574" s="2651"/>
      <c r="AU574" s="2651"/>
      <c r="AV574" s="2651"/>
      <c r="AW574" s="2651"/>
      <c r="AX574" s="2651"/>
      <c r="AY574" s="2651"/>
      <c r="AZ574" s="2651"/>
      <c r="BA574" s="2651"/>
      <c r="BB574" s="2651"/>
      <c r="BC574" s="2651"/>
      <c r="BD574" s="2651"/>
      <c r="BE574" s="2651"/>
      <c r="BF574" s="2651"/>
      <c r="BG574" s="2651"/>
      <c r="BH574" s="2651"/>
      <c r="BI574" s="2651"/>
      <c r="BJ574" s="2651"/>
      <c r="BK574" s="2651"/>
      <c r="BL574" s="2651"/>
      <c r="BM574" s="2651"/>
      <c r="BN574" s="2651"/>
      <c r="BO574" s="2651"/>
      <c r="BP574" s="2651"/>
      <c r="BQ574" s="2651"/>
      <c r="BR574" s="2651"/>
      <c r="BS574" s="2651"/>
      <c r="BT574" s="2651"/>
      <c r="BU574" s="2651"/>
      <c r="BV574" s="2651"/>
      <c r="BW574" s="2651"/>
      <c r="BX574" s="2651"/>
      <c r="BY574" s="2651"/>
      <c r="BZ574" s="2651"/>
      <c r="CA574" s="2651"/>
      <c r="CB574" s="2651"/>
      <c r="CC574" s="2651"/>
      <c r="CD574" s="2651"/>
      <c r="CE574" s="2651"/>
      <c r="CF574" s="2651"/>
      <c r="CG574" s="2651"/>
      <c r="CH574" s="2651"/>
      <c r="CI574" s="2651"/>
      <c r="CJ574" s="2651"/>
      <c r="CK574" s="2651"/>
      <c r="CL574" s="2651"/>
      <c r="CM574" s="2651"/>
      <c r="CN574" s="2651"/>
      <c r="CO574" s="2651"/>
      <c r="CP574" s="2653"/>
      <c r="CQ574" s="2651"/>
      <c r="CR574" s="2651"/>
      <c r="CS574" s="2651"/>
      <c r="CT574" s="2653"/>
      <c r="CU574" s="2651"/>
      <c r="CV574" s="2651"/>
      <c r="CW574" s="2652"/>
      <c r="CX574" s="2651"/>
      <c r="CY574" s="2651"/>
      <c r="CZ574" s="2651"/>
      <c r="DA574" s="2651"/>
      <c r="DB574" s="2653"/>
      <c r="DC574" s="2651"/>
      <c r="DD574" s="2651"/>
      <c r="DE574" s="2651"/>
      <c r="DF574" s="2651"/>
      <c r="DG574" s="2651"/>
      <c r="DH574" s="2651"/>
      <c r="DI574" s="2651"/>
      <c r="DJ574" s="2651"/>
      <c r="DK574" s="2651"/>
      <c r="DL574" s="2651"/>
      <c r="DM574" s="2651"/>
      <c r="DN574" s="2651"/>
      <c r="DO574" s="2651"/>
      <c r="DP574" s="2651"/>
      <c r="DQ574" s="2651"/>
      <c r="DR574" s="2651"/>
      <c r="DS574" s="2651"/>
      <c r="DT574" s="2651"/>
      <c r="DU574" s="2651"/>
      <c r="DV574" s="2651"/>
      <c r="DW574" s="2651"/>
      <c r="DX574" s="2651"/>
      <c r="DY574" s="2652"/>
    </row>
    <row r="575" spans="1:129" hidden="1" outlineLevel="1">
      <c r="A575" s="2672" t="s">
        <v>871</v>
      </c>
      <c r="B575" s="2651"/>
      <c r="C575" s="2651"/>
      <c r="D575" s="2651"/>
      <c r="E575" s="2651"/>
      <c r="F575" s="2651"/>
      <c r="G575" s="2651"/>
      <c r="H575" s="2651"/>
      <c r="I575" s="2651"/>
      <c r="J575" s="2651"/>
      <c r="K575" s="2651"/>
      <c r="L575" s="2651"/>
      <c r="M575" s="2651"/>
      <c r="N575" s="2651"/>
      <c r="O575" s="2651"/>
      <c r="P575" s="2651"/>
      <c r="Q575" s="2651"/>
      <c r="R575" s="2651"/>
      <c r="S575" s="2651"/>
      <c r="T575" s="2651"/>
      <c r="U575" s="2651"/>
      <c r="V575" s="2651"/>
      <c r="W575" s="2651"/>
      <c r="X575" s="2651"/>
      <c r="Y575" s="2651"/>
      <c r="Z575" s="2651"/>
      <c r="AA575" s="2651"/>
      <c r="AB575" s="2651"/>
      <c r="AC575" s="2651"/>
      <c r="AD575" s="2651"/>
      <c r="AE575" s="2651"/>
      <c r="AF575" s="2651"/>
      <c r="AG575" s="2651"/>
      <c r="AI575" s="2617"/>
      <c r="AK575" s="2651"/>
      <c r="AL575" s="2651"/>
      <c r="AM575" s="2651"/>
      <c r="AN575" s="2651"/>
      <c r="AO575" s="2651"/>
      <c r="AP575" s="2651"/>
      <c r="AQ575" s="2651"/>
      <c r="AR575" s="2651"/>
      <c r="AS575" s="2651"/>
      <c r="AT575" s="2651"/>
      <c r="AU575" s="2651"/>
      <c r="AV575" s="2651"/>
      <c r="AW575" s="2651"/>
      <c r="AX575" s="2651"/>
      <c r="AY575" s="2651"/>
      <c r="AZ575" s="2651"/>
      <c r="BA575" s="2651"/>
      <c r="BB575" s="2651"/>
      <c r="BC575" s="2651"/>
      <c r="BD575" s="2651"/>
      <c r="BE575" s="2651"/>
      <c r="BF575" s="2651"/>
      <c r="BG575" s="2651"/>
      <c r="BH575" s="2651"/>
      <c r="BI575" s="2651"/>
      <c r="BJ575" s="2651"/>
      <c r="BK575" s="2651"/>
      <c r="BL575" s="2651"/>
      <c r="BM575" s="2651"/>
      <c r="BN575" s="2651"/>
      <c r="BO575" s="2651"/>
      <c r="BP575" s="2651"/>
      <c r="BQ575" s="2651"/>
      <c r="BR575" s="2651"/>
      <c r="BS575" s="2651"/>
      <c r="BT575" s="2651"/>
      <c r="BU575" s="2651"/>
      <c r="BV575" s="2651"/>
      <c r="BW575" s="2651"/>
      <c r="BX575" s="2651"/>
      <c r="BY575" s="2651"/>
      <c r="BZ575" s="2651"/>
      <c r="CA575" s="2651"/>
      <c r="CB575" s="2651"/>
      <c r="CC575" s="2651"/>
      <c r="CD575" s="2651"/>
      <c r="CE575" s="2651"/>
      <c r="CF575" s="2651"/>
      <c r="CG575" s="2651"/>
      <c r="CH575" s="2651"/>
      <c r="CI575" s="2651"/>
      <c r="CJ575" s="2651"/>
      <c r="CK575" s="2651"/>
      <c r="CL575" s="2673"/>
      <c r="CP575" s="1942"/>
      <c r="CT575" s="1942"/>
      <c r="CW575" s="2236"/>
      <c r="DB575" s="1942"/>
      <c r="DY575" s="2236"/>
    </row>
    <row r="576" spans="1:129" hidden="1" outlineLevel="1">
      <c r="A576" s="2674" t="s">
        <v>872</v>
      </c>
      <c r="O576" s="2675" t="s">
        <v>873</v>
      </c>
      <c r="AI576" s="1927"/>
      <c r="CL576" s="1942"/>
      <c r="CP576" s="1942"/>
      <c r="CT576" s="1942"/>
      <c r="CW576" s="2236"/>
      <c r="DB576" s="1942"/>
      <c r="DY576" s="2236"/>
    </row>
    <row r="577" spans="1:129" hidden="1" outlineLevel="1">
      <c r="A577" s="2676" t="s">
        <v>874</v>
      </c>
      <c r="B577" s="2627"/>
      <c r="C577" s="2627"/>
      <c r="D577" s="2627"/>
      <c r="E577" s="2627"/>
      <c r="F577" s="2627"/>
      <c r="G577" s="2627"/>
      <c r="H577" s="2627"/>
      <c r="I577" s="2627"/>
      <c r="J577" s="2627"/>
      <c r="K577" s="2627"/>
      <c r="L577" s="2627"/>
      <c r="M577" s="2627"/>
      <c r="N577" s="2627"/>
      <c r="O577" s="2627"/>
      <c r="P577" s="2677"/>
      <c r="Q577" s="2678">
        <f>+P579</f>
        <v>4440</v>
      </c>
      <c r="R577" s="2678">
        <f>CS577</f>
        <v>0</v>
      </c>
      <c r="S577" s="2678">
        <f>+R579</f>
        <v>0</v>
      </c>
      <c r="T577" s="2678"/>
      <c r="U577" s="2678"/>
      <c r="V577" s="2678"/>
      <c r="W577" s="2678"/>
      <c r="X577" s="2678"/>
      <c r="Y577" s="2678"/>
      <c r="Z577" s="2678"/>
      <c r="AA577" s="2678"/>
      <c r="AB577" s="2678"/>
      <c r="AC577" s="2678"/>
      <c r="AD577" s="2678"/>
      <c r="AE577" s="2678"/>
      <c r="AF577" s="2678"/>
      <c r="AG577" s="2678"/>
      <c r="AI577" s="2456"/>
      <c r="AK577" s="2627"/>
      <c r="AL577" s="2627"/>
      <c r="AM577" s="2627"/>
      <c r="AN577" s="2627"/>
      <c r="AO577" s="2627"/>
      <c r="AP577" s="2627"/>
      <c r="AQ577" s="2627"/>
      <c r="AR577" s="2627"/>
      <c r="AS577" s="2627"/>
      <c r="AT577" s="2627"/>
      <c r="AU577" s="2627"/>
      <c r="AV577" s="2627"/>
      <c r="AW577" s="2627"/>
      <c r="AX577" s="2627"/>
      <c r="AY577" s="2627"/>
      <c r="AZ577" s="2627"/>
      <c r="BA577" s="2627"/>
      <c r="BB577" s="2627"/>
      <c r="BC577" s="2627"/>
      <c r="BD577" s="2627"/>
      <c r="BE577" s="2627"/>
      <c r="BF577" s="2627"/>
      <c r="BG577" s="2627"/>
      <c r="BH577" s="2627"/>
      <c r="BI577" s="2627"/>
      <c r="BJ577" s="2627"/>
      <c r="BK577" s="2627"/>
      <c r="BL577" s="2627"/>
      <c r="BM577" s="2627"/>
      <c r="BN577" s="2627"/>
      <c r="BO577" s="2627"/>
      <c r="BP577" s="2627"/>
      <c r="BQ577" s="2627"/>
      <c r="BR577" s="2627"/>
      <c r="BS577" s="2627"/>
      <c r="BT577" s="2627"/>
      <c r="BU577" s="2627"/>
      <c r="BV577" s="2627"/>
      <c r="BW577" s="2627"/>
      <c r="BX577" s="2627"/>
      <c r="BY577" s="2627"/>
      <c r="BZ577" s="2627"/>
      <c r="CA577" s="2627"/>
      <c r="CB577" s="2627"/>
      <c r="CC577" s="2627"/>
      <c r="CD577" s="2627"/>
      <c r="CE577" s="2627"/>
      <c r="CF577" s="2627"/>
      <c r="CG577" s="2627"/>
      <c r="CH577" s="2627"/>
      <c r="CI577" s="2627"/>
      <c r="CJ577" s="2627"/>
      <c r="CK577" s="2677">
        <f t="shared" ref="CK577:CW577" si="2349">CJ579</f>
        <v>4440</v>
      </c>
      <c r="CL577" s="2679">
        <f t="shared" si="2349"/>
        <v>4440</v>
      </c>
      <c r="CM577" s="2677">
        <f t="shared" si="2349"/>
        <v>4440</v>
      </c>
      <c r="CN577" s="2677">
        <f t="shared" si="2349"/>
        <v>4440</v>
      </c>
      <c r="CO577" s="2677">
        <f t="shared" si="2349"/>
        <v>3996</v>
      </c>
      <c r="CP577" s="2679">
        <f t="shared" si="2349"/>
        <v>3996</v>
      </c>
      <c r="CQ577" s="2677">
        <f t="shared" si="2349"/>
        <v>3996</v>
      </c>
      <c r="CR577" s="2677">
        <f t="shared" si="2349"/>
        <v>1226</v>
      </c>
      <c r="CS577" s="2677">
        <f t="shared" si="2349"/>
        <v>0</v>
      </c>
      <c r="CT577" s="2679">
        <f t="shared" si="2349"/>
        <v>0</v>
      </c>
      <c r="CU577" s="2677">
        <f t="shared" si="2349"/>
        <v>0</v>
      </c>
      <c r="CV577" s="2677">
        <f t="shared" si="2349"/>
        <v>0</v>
      </c>
      <c r="CW577" s="2680">
        <f t="shared" si="2349"/>
        <v>0</v>
      </c>
      <c r="CX577" s="2677"/>
      <c r="CY577" s="2677"/>
      <c r="CZ577" s="2677"/>
      <c r="DA577" s="2677"/>
      <c r="DB577" s="2679"/>
      <c r="DC577" s="2677"/>
      <c r="DD577" s="2677"/>
      <c r="DE577" s="2677"/>
      <c r="DF577" s="2677"/>
      <c r="DG577" s="2677"/>
      <c r="DH577" s="2677"/>
      <c r="DI577" s="2677"/>
      <c r="DJ577" s="2677"/>
      <c r="DK577" s="2677"/>
      <c r="DL577" s="2677"/>
      <c r="DM577" s="2677"/>
      <c r="DN577" s="2677"/>
      <c r="DO577" s="2677"/>
      <c r="DP577" s="2677"/>
      <c r="DQ577" s="2677"/>
      <c r="DR577" s="2677"/>
      <c r="DS577" s="2677"/>
      <c r="DT577" s="2677"/>
      <c r="DU577" s="2677"/>
      <c r="DV577" s="2677"/>
      <c r="DW577" s="2677"/>
      <c r="DX577" s="2677"/>
      <c r="DY577" s="2680"/>
    </row>
    <row r="578" spans="1:129" hidden="1" outlineLevel="1">
      <c r="A578" s="2676" t="s">
        <v>875</v>
      </c>
      <c r="B578" s="2627"/>
      <c r="C578" s="2627"/>
      <c r="D578" s="2627"/>
      <c r="E578" s="2627"/>
      <c r="F578" s="2627"/>
      <c r="G578" s="2627"/>
      <c r="H578" s="2627"/>
      <c r="I578" s="2627"/>
      <c r="J578" s="2627"/>
      <c r="K578" s="2627"/>
      <c r="L578" s="2627"/>
      <c r="M578" s="2627"/>
      <c r="N578" s="2627"/>
      <c r="O578" s="2681"/>
      <c r="P578" s="2682">
        <v>0</v>
      </c>
      <c r="Q578" s="2682">
        <f>SUM(CL578:CO578)</f>
        <v>-444</v>
      </c>
      <c r="R578" s="2682">
        <f>SUM(CP578:CS578)</f>
        <v>-3996</v>
      </c>
      <c r="S578" s="2682">
        <f>-S577</f>
        <v>0</v>
      </c>
      <c r="T578" s="2682"/>
      <c r="U578" s="2627"/>
      <c r="V578" s="2627"/>
      <c r="W578" s="2627"/>
      <c r="X578" s="2627"/>
      <c r="Y578" s="2627"/>
      <c r="Z578" s="2627"/>
      <c r="AA578" s="2627"/>
      <c r="AB578" s="2627"/>
      <c r="AC578" s="2627"/>
      <c r="AD578" s="2627"/>
      <c r="AE578" s="2627"/>
      <c r="AF578" s="2627"/>
      <c r="AG578" s="2627"/>
      <c r="AI578" s="2456"/>
      <c r="AK578" s="2627"/>
      <c r="AL578" s="2627"/>
      <c r="AM578" s="2627"/>
      <c r="AN578" s="2627"/>
      <c r="AO578" s="2627"/>
      <c r="AP578" s="2627"/>
      <c r="AQ578" s="2627"/>
      <c r="AR578" s="2627"/>
      <c r="AS578" s="2627"/>
      <c r="AT578" s="2627"/>
      <c r="AU578" s="2627"/>
      <c r="AV578" s="2627"/>
      <c r="AW578" s="2627"/>
      <c r="AX578" s="2627"/>
      <c r="AY578" s="2627"/>
      <c r="AZ578" s="2627"/>
      <c r="BA578" s="2627"/>
      <c r="BB578" s="2627"/>
      <c r="BC578" s="2627"/>
      <c r="BD578" s="2627"/>
      <c r="BE578" s="2627"/>
      <c r="BF578" s="2627"/>
      <c r="BG578" s="2627"/>
      <c r="BH578" s="2627"/>
      <c r="BI578" s="2627"/>
      <c r="BJ578" s="2627"/>
      <c r="BK578" s="2627"/>
      <c r="BL578" s="2627"/>
      <c r="BM578" s="2627"/>
      <c r="BN578" s="2627"/>
      <c r="BO578" s="2627"/>
      <c r="BP578" s="2627"/>
      <c r="BQ578" s="2627"/>
      <c r="BR578" s="2627"/>
      <c r="BS578" s="2627"/>
      <c r="BT578" s="2627"/>
      <c r="BU578" s="2627"/>
      <c r="BV578" s="2627"/>
      <c r="BW578" s="2627"/>
      <c r="BX578" s="2627"/>
      <c r="BY578" s="2627"/>
      <c r="BZ578" s="2627"/>
      <c r="CA578" s="2627"/>
      <c r="CB578" s="2627"/>
      <c r="CC578" s="2627"/>
      <c r="CD578" s="2627"/>
      <c r="CE578" s="2627"/>
      <c r="CF578" s="2627"/>
      <c r="CG578" s="2627"/>
      <c r="CH578" s="2627"/>
      <c r="CI578" s="2627"/>
      <c r="CJ578" s="2677">
        <v>4440</v>
      </c>
      <c r="CK578" s="2677"/>
      <c r="CL578" s="2683"/>
      <c r="CM578" s="2682"/>
      <c r="CN578" s="2682">
        <v>-444</v>
      </c>
      <c r="CO578" s="2682"/>
      <c r="CP578" s="2683"/>
      <c r="CQ578" s="2682">
        <v>-2770</v>
      </c>
      <c r="CR578" s="2682">
        <f>-CR577</f>
        <v>-1226</v>
      </c>
      <c r="CS578" s="2682"/>
      <c r="CT578" s="2683"/>
      <c r="CU578" s="2682"/>
      <c r="CV578" s="2682"/>
      <c r="CW578" s="2684"/>
      <c r="CX578" s="2682"/>
      <c r="CY578" s="2682"/>
      <c r="CZ578" s="2682"/>
      <c r="DA578" s="2682"/>
      <c r="DB578" s="2683"/>
      <c r="DC578" s="2682"/>
      <c r="DD578" s="2682"/>
      <c r="DE578" s="2682"/>
      <c r="DF578" s="2682"/>
      <c r="DG578" s="2682"/>
      <c r="DH578" s="2682"/>
      <c r="DI578" s="2682"/>
      <c r="DJ578" s="2682"/>
      <c r="DK578" s="2682"/>
      <c r="DL578" s="2682"/>
      <c r="DM578" s="2682"/>
      <c r="DN578" s="2682"/>
      <c r="DO578" s="2682"/>
      <c r="DP578" s="2682"/>
      <c r="DQ578" s="2682"/>
      <c r="DR578" s="2682"/>
      <c r="DS578" s="2682"/>
      <c r="DT578" s="2682"/>
      <c r="DU578" s="2682"/>
      <c r="DV578" s="2682"/>
      <c r="DW578" s="2682"/>
      <c r="DX578" s="2682"/>
      <c r="DY578" s="2684"/>
    </row>
    <row r="579" spans="1:129" hidden="1" outlineLevel="1">
      <c r="A579" s="2676" t="s">
        <v>876</v>
      </c>
      <c r="B579" s="2627"/>
      <c r="C579" s="2627"/>
      <c r="D579" s="2627"/>
      <c r="E579" s="2627"/>
      <c r="F579" s="2627"/>
      <c r="G579" s="2627"/>
      <c r="H579" s="2627"/>
      <c r="I579" s="2627"/>
      <c r="J579" s="2627"/>
      <c r="K579" s="2627"/>
      <c r="L579" s="2627"/>
      <c r="M579" s="2627"/>
      <c r="N579" s="2627"/>
      <c r="O579" s="2681"/>
      <c r="P579" s="2677">
        <f>CK579</f>
        <v>4440</v>
      </c>
      <c r="Q579" s="2677">
        <f>+CO579</f>
        <v>3996</v>
      </c>
      <c r="R579" s="2678">
        <f>CS579</f>
        <v>0</v>
      </c>
      <c r="S579" s="2678">
        <f>+S577+S578</f>
        <v>0</v>
      </c>
      <c r="T579" s="2678"/>
      <c r="U579" s="2678"/>
      <c r="V579" s="2678"/>
      <c r="W579" s="2678"/>
      <c r="X579" s="2678"/>
      <c r="Y579" s="2678"/>
      <c r="Z579" s="2678"/>
      <c r="AA579" s="2678"/>
      <c r="AB579" s="2678"/>
      <c r="AC579" s="2678"/>
      <c r="AD579" s="2678"/>
      <c r="AE579" s="2678"/>
      <c r="AF579" s="2678"/>
      <c r="AG579" s="2678"/>
      <c r="AI579" s="2456"/>
      <c r="AK579" s="2627"/>
      <c r="AL579" s="2627"/>
      <c r="AM579" s="2627"/>
      <c r="AN579" s="2627"/>
      <c r="AO579" s="2627"/>
      <c r="AP579" s="2627"/>
      <c r="AQ579" s="2627"/>
      <c r="AR579" s="2627"/>
      <c r="AS579" s="2627"/>
      <c r="AT579" s="2627"/>
      <c r="AU579" s="2627"/>
      <c r="AV579" s="2627"/>
      <c r="AW579" s="2627"/>
      <c r="AX579" s="2627"/>
      <c r="AY579" s="2627"/>
      <c r="AZ579" s="2627"/>
      <c r="BA579" s="2627"/>
      <c r="BB579" s="2627"/>
      <c r="BC579" s="2627"/>
      <c r="BD579" s="2627"/>
      <c r="BE579" s="2627"/>
      <c r="BF579" s="2627"/>
      <c r="BG579" s="2627"/>
      <c r="BH579" s="2627"/>
      <c r="BI579" s="2627"/>
      <c r="BJ579" s="2627"/>
      <c r="BK579" s="2627"/>
      <c r="BL579" s="2627"/>
      <c r="BM579" s="2627"/>
      <c r="BN579" s="2627"/>
      <c r="BO579" s="2627"/>
      <c r="BP579" s="2627"/>
      <c r="BQ579" s="2627"/>
      <c r="BR579" s="2627"/>
      <c r="BS579" s="2627"/>
      <c r="BT579" s="2627"/>
      <c r="BU579" s="2627"/>
      <c r="BV579" s="2627"/>
      <c r="BW579" s="2627"/>
      <c r="BX579" s="2627"/>
      <c r="BY579" s="2627"/>
      <c r="BZ579" s="2627"/>
      <c r="CA579" s="2627"/>
      <c r="CB579" s="2627"/>
      <c r="CC579" s="2627"/>
      <c r="CD579" s="2627"/>
      <c r="CE579" s="2627"/>
      <c r="CF579" s="2627"/>
      <c r="CG579" s="2627"/>
      <c r="CH579" s="2627"/>
      <c r="CI579" s="2627"/>
      <c r="CJ579" s="2677">
        <f t="shared" ref="CJ579:CW579" si="2350">CJ578+CJ577</f>
        <v>4440</v>
      </c>
      <c r="CK579" s="2677">
        <f t="shared" si="2350"/>
        <v>4440</v>
      </c>
      <c r="CL579" s="2679">
        <f t="shared" si="2350"/>
        <v>4440</v>
      </c>
      <c r="CM579" s="2677">
        <f t="shared" si="2350"/>
        <v>4440</v>
      </c>
      <c r="CN579" s="2677">
        <f t="shared" si="2350"/>
        <v>3996</v>
      </c>
      <c r="CO579" s="2677">
        <f t="shared" si="2350"/>
        <v>3996</v>
      </c>
      <c r="CP579" s="2679">
        <f t="shared" si="2350"/>
        <v>3996</v>
      </c>
      <c r="CQ579" s="2677">
        <f t="shared" si="2350"/>
        <v>1226</v>
      </c>
      <c r="CR579" s="2677">
        <f t="shared" si="2350"/>
        <v>0</v>
      </c>
      <c r="CS579" s="2677">
        <f t="shared" si="2350"/>
        <v>0</v>
      </c>
      <c r="CT579" s="2679">
        <f t="shared" si="2350"/>
        <v>0</v>
      </c>
      <c r="CU579" s="2677">
        <f t="shared" si="2350"/>
        <v>0</v>
      </c>
      <c r="CV579" s="2677">
        <f t="shared" si="2350"/>
        <v>0</v>
      </c>
      <c r="CW579" s="2680">
        <f t="shared" si="2350"/>
        <v>0</v>
      </c>
      <c r="CX579" s="2677"/>
      <c r="CY579" s="2677"/>
      <c r="CZ579" s="2677"/>
      <c r="DA579" s="2677"/>
      <c r="DB579" s="2679"/>
      <c r="DC579" s="2677"/>
      <c r="DD579" s="2677"/>
      <c r="DE579" s="2677"/>
      <c r="DF579" s="2677"/>
      <c r="DG579" s="2677"/>
      <c r="DH579" s="2677"/>
      <c r="DI579" s="2677"/>
      <c r="DJ579" s="2677"/>
      <c r="DK579" s="2677"/>
      <c r="DL579" s="2677"/>
      <c r="DM579" s="2677"/>
      <c r="DN579" s="2677"/>
      <c r="DO579" s="2677"/>
      <c r="DP579" s="2677"/>
      <c r="DQ579" s="2677"/>
      <c r="DR579" s="2677"/>
      <c r="DS579" s="2677"/>
      <c r="DT579" s="2677"/>
      <c r="DU579" s="2677"/>
      <c r="DV579" s="2677"/>
      <c r="DW579" s="2677"/>
      <c r="DX579" s="2677"/>
      <c r="DY579" s="2680"/>
    </row>
    <row r="580" spans="1:129" hidden="1" outlineLevel="1">
      <c r="A580" s="2685" t="s">
        <v>877</v>
      </c>
      <c r="B580" s="2627"/>
      <c r="C580" s="2627"/>
      <c r="D580" s="2627"/>
      <c r="E580" s="2627"/>
      <c r="F580" s="2627"/>
      <c r="G580" s="2627"/>
      <c r="H580" s="2627"/>
      <c r="I580" s="2627"/>
      <c r="J580" s="2627"/>
      <c r="K580" s="2627"/>
      <c r="L580" s="2627"/>
      <c r="M580" s="2627"/>
      <c r="N580" s="2627"/>
      <c r="O580" s="2681">
        <v>2010</v>
      </c>
      <c r="P580" s="2677"/>
      <c r="Q580" s="2627"/>
      <c r="R580" s="2627"/>
      <c r="S580" s="2627"/>
      <c r="T580" s="2627"/>
      <c r="U580" s="2627"/>
      <c r="V580" s="2627"/>
      <c r="W580" s="2627"/>
      <c r="X580" s="2627"/>
      <c r="Y580" s="2627"/>
      <c r="Z580" s="2627"/>
      <c r="AA580" s="2627"/>
      <c r="AB580" s="2627"/>
      <c r="AC580" s="2627"/>
      <c r="AD580" s="2627"/>
      <c r="AE580" s="2627"/>
      <c r="AF580" s="2627"/>
      <c r="AG580" s="2627"/>
      <c r="AI580" s="2456"/>
      <c r="AK580" s="2627"/>
      <c r="AL580" s="2627"/>
      <c r="AM580" s="2627"/>
      <c r="AN580" s="2627"/>
      <c r="AO580" s="2627"/>
      <c r="AP580" s="2627"/>
      <c r="AQ580" s="2627"/>
      <c r="AR580" s="2627"/>
      <c r="AS580" s="2627"/>
      <c r="AT580" s="2627"/>
      <c r="AU580" s="2627"/>
      <c r="AV580" s="2627"/>
      <c r="AW580" s="2627"/>
      <c r="AX580" s="2627"/>
      <c r="AY580" s="2627"/>
      <c r="AZ580" s="2627"/>
      <c r="BA580" s="2627"/>
      <c r="BB580" s="2627"/>
      <c r="BC580" s="2627"/>
      <c r="BD580" s="2627"/>
      <c r="BE580" s="2627"/>
      <c r="BF580" s="2627"/>
      <c r="BG580" s="2627"/>
      <c r="BH580" s="2627"/>
      <c r="BI580" s="2627"/>
      <c r="BJ580" s="2627"/>
      <c r="BK580" s="2627"/>
      <c r="BL580" s="2627"/>
      <c r="BM580" s="2627"/>
      <c r="BN580" s="2627"/>
      <c r="BO580" s="2627"/>
      <c r="BP580" s="2627"/>
      <c r="BQ580" s="2627"/>
      <c r="BR580" s="2627"/>
      <c r="BS580" s="2627"/>
      <c r="BT580" s="2627"/>
      <c r="BU580" s="2627"/>
      <c r="BV580" s="2627"/>
      <c r="BW580" s="2627"/>
      <c r="BX580" s="2627"/>
      <c r="BY580" s="2627"/>
      <c r="BZ580" s="2627"/>
      <c r="CA580" s="2627"/>
      <c r="CB580" s="2627"/>
      <c r="CC580" s="2627"/>
      <c r="CD580" s="2627"/>
      <c r="CE580" s="2627"/>
      <c r="CF580" s="2627"/>
      <c r="CG580" s="2627"/>
      <c r="CH580" s="2627"/>
      <c r="CI580" s="2627"/>
      <c r="CJ580" s="2627"/>
      <c r="CK580" s="2677"/>
      <c r="CL580" s="2679"/>
      <c r="CM580" s="2627"/>
      <c r="CN580" s="2627"/>
      <c r="CO580" s="2627"/>
      <c r="CP580" s="2629"/>
      <c r="CQ580" s="2627"/>
      <c r="CR580" s="2627"/>
      <c r="CS580" s="2627"/>
      <c r="CT580" s="2629"/>
      <c r="CU580" s="2627"/>
      <c r="CV580" s="2627"/>
      <c r="CW580" s="2628"/>
      <c r="CX580" s="2627"/>
      <c r="CY580" s="2627"/>
      <c r="CZ580" s="2627"/>
      <c r="DA580" s="2627"/>
      <c r="DB580" s="2629"/>
      <c r="DC580" s="2627"/>
      <c r="DD580" s="2627"/>
      <c r="DE580" s="2627"/>
      <c r="DF580" s="2627"/>
      <c r="DG580" s="2627"/>
      <c r="DH580" s="2627"/>
      <c r="DI580" s="2627"/>
      <c r="DJ580" s="2627"/>
      <c r="DK580" s="2627"/>
      <c r="DL580" s="2627"/>
      <c r="DM580" s="2627"/>
      <c r="DN580" s="2627"/>
      <c r="DO580" s="2627"/>
      <c r="DP580" s="2627"/>
      <c r="DQ580" s="2627"/>
      <c r="DR580" s="2627"/>
      <c r="DS580" s="2627"/>
      <c r="DT580" s="2627"/>
      <c r="DU580" s="2627"/>
      <c r="DV580" s="2627"/>
      <c r="DW580" s="2627"/>
      <c r="DX580" s="2627"/>
      <c r="DY580" s="2628"/>
    </row>
    <row r="581" spans="1:129" hidden="1" outlineLevel="1">
      <c r="A581" s="2676" t="s">
        <v>874</v>
      </c>
      <c r="B581" s="2627"/>
      <c r="C581" s="2627"/>
      <c r="D581" s="2627"/>
      <c r="E581" s="2627"/>
      <c r="F581" s="2627"/>
      <c r="G581" s="2627"/>
      <c r="H581" s="2627"/>
      <c r="I581" s="2627"/>
      <c r="J581" s="2627"/>
      <c r="K581" s="2627"/>
      <c r="L581" s="2627"/>
      <c r="M581" s="2627"/>
      <c r="N581" s="2627"/>
      <c r="O581" s="2627"/>
      <c r="P581" s="2677">
        <f>+CK581</f>
        <v>0</v>
      </c>
      <c r="Q581" s="2678">
        <f>+P583</f>
        <v>0</v>
      </c>
      <c r="R581" s="2678">
        <f>CS581</f>
        <v>0</v>
      </c>
      <c r="S581" s="2678">
        <f>+R583</f>
        <v>0</v>
      </c>
      <c r="T581" s="2678"/>
      <c r="U581" s="2678"/>
      <c r="V581" s="2678"/>
      <c r="W581" s="2678"/>
      <c r="X581" s="2678"/>
      <c r="Y581" s="2678"/>
      <c r="Z581" s="2678"/>
      <c r="AA581" s="2678"/>
      <c r="AB581" s="2678"/>
      <c r="AC581" s="2678"/>
      <c r="AD581" s="2678"/>
      <c r="AE581" s="2678"/>
      <c r="AF581" s="2678"/>
      <c r="AG581" s="2678"/>
      <c r="AI581" s="2456"/>
      <c r="AK581" s="2627"/>
      <c r="AL581" s="2627"/>
      <c r="AM581" s="2627"/>
      <c r="AN581" s="2627"/>
      <c r="AO581" s="2627"/>
      <c r="AP581" s="2627"/>
      <c r="AQ581" s="2627"/>
      <c r="AR581" s="2627"/>
      <c r="AS581" s="2627"/>
      <c r="AT581" s="2627"/>
      <c r="AU581" s="2627"/>
      <c r="AV581" s="2627"/>
      <c r="AW581" s="2627"/>
      <c r="AX581" s="2627"/>
      <c r="AY581" s="2627"/>
      <c r="AZ581" s="2627"/>
      <c r="BA581" s="2627"/>
      <c r="BB581" s="2627"/>
      <c r="BC581" s="2627"/>
      <c r="BD581" s="2627"/>
      <c r="BE581" s="2627"/>
      <c r="BF581" s="2627"/>
      <c r="BG581" s="2627"/>
      <c r="BH581" s="2627"/>
      <c r="BI581" s="2627"/>
      <c r="BJ581" s="2627"/>
      <c r="BK581" s="2627"/>
      <c r="BL581" s="2627"/>
      <c r="BM581" s="2627"/>
      <c r="BN581" s="2627"/>
      <c r="BO581" s="2627"/>
      <c r="BP581" s="2627"/>
      <c r="BQ581" s="2627"/>
      <c r="BR581" s="2627"/>
      <c r="BS581" s="2627"/>
      <c r="BT581" s="2627"/>
      <c r="BU581" s="2627"/>
      <c r="BV581" s="2627"/>
      <c r="BW581" s="2627"/>
      <c r="BX581" s="2627"/>
      <c r="BY581" s="2627"/>
      <c r="BZ581" s="2627"/>
      <c r="CA581" s="2627"/>
      <c r="CB581" s="2627"/>
      <c r="CC581" s="2627"/>
      <c r="CD581" s="2627"/>
      <c r="CE581" s="2627"/>
      <c r="CF581" s="2627"/>
      <c r="CG581" s="2627"/>
      <c r="CH581" s="2627"/>
      <c r="CI581" s="2627"/>
      <c r="CJ581" s="2627"/>
      <c r="CK581" s="2677"/>
      <c r="CL581" s="2679">
        <f t="shared" ref="CL581:CW581" si="2351">CK583</f>
        <v>0</v>
      </c>
      <c r="CM581" s="2677">
        <f t="shared" si="2351"/>
        <v>7239</v>
      </c>
      <c r="CN581" s="2677">
        <f t="shared" si="2351"/>
        <v>0</v>
      </c>
      <c r="CO581" s="2677">
        <f t="shared" si="2351"/>
        <v>0</v>
      </c>
      <c r="CP581" s="2679">
        <f t="shared" si="2351"/>
        <v>0</v>
      </c>
      <c r="CQ581" s="2677">
        <f t="shared" si="2351"/>
        <v>0</v>
      </c>
      <c r="CR581" s="2677">
        <f t="shared" si="2351"/>
        <v>0</v>
      </c>
      <c r="CS581" s="2677">
        <f t="shared" si="2351"/>
        <v>0</v>
      </c>
      <c r="CT581" s="2679">
        <f t="shared" si="2351"/>
        <v>0</v>
      </c>
      <c r="CU581" s="2677">
        <f t="shared" si="2351"/>
        <v>0</v>
      </c>
      <c r="CV581" s="2677">
        <f t="shared" si="2351"/>
        <v>0</v>
      </c>
      <c r="CW581" s="2680">
        <f t="shared" si="2351"/>
        <v>0</v>
      </c>
      <c r="CX581" s="2677"/>
      <c r="CY581" s="2677"/>
      <c r="CZ581" s="2677"/>
      <c r="DA581" s="2677"/>
      <c r="DB581" s="2679"/>
      <c r="DC581" s="2677"/>
      <c r="DD581" s="2677"/>
      <c r="DE581" s="2677"/>
      <c r="DF581" s="2677"/>
      <c r="DG581" s="2677"/>
      <c r="DH581" s="2677"/>
      <c r="DI581" s="2677"/>
      <c r="DJ581" s="2677"/>
      <c r="DK581" s="2677"/>
      <c r="DL581" s="2677"/>
      <c r="DM581" s="2677"/>
      <c r="DN581" s="2677"/>
      <c r="DO581" s="2677"/>
      <c r="DP581" s="2677"/>
      <c r="DQ581" s="2677"/>
      <c r="DR581" s="2677"/>
      <c r="DS581" s="2677"/>
      <c r="DT581" s="2677"/>
      <c r="DU581" s="2677"/>
      <c r="DV581" s="2677"/>
      <c r="DW581" s="2677"/>
      <c r="DX581" s="2677"/>
      <c r="DY581" s="2680"/>
    </row>
    <row r="582" spans="1:129" hidden="1" outlineLevel="1">
      <c r="A582" s="2676" t="s">
        <v>875</v>
      </c>
      <c r="B582" s="2627"/>
      <c r="C582" s="2627"/>
      <c r="D582" s="2627"/>
      <c r="E582" s="2627"/>
      <c r="F582" s="2627"/>
      <c r="G582" s="2627"/>
      <c r="H582" s="2627"/>
      <c r="I582" s="2627"/>
      <c r="J582" s="2627"/>
      <c r="K582" s="2627"/>
      <c r="L582" s="2627"/>
      <c r="M582" s="2627"/>
      <c r="N582" s="2627"/>
      <c r="O582" s="2681"/>
      <c r="P582" s="2677"/>
      <c r="Q582" s="2682">
        <f>SUM(CL582:CO582)</f>
        <v>0</v>
      </c>
      <c r="R582" s="2682">
        <f>SUM(CP582:CS582)</f>
        <v>0</v>
      </c>
      <c r="S582" s="2627"/>
      <c r="T582" s="2682"/>
      <c r="U582" s="2627"/>
      <c r="V582" s="2627"/>
      <c r="W582" s="2627"/>
      <c r="X582" s="2627"/>
      <c r="Y582" s="2627"/>
      <c r="Z582" s="2627"/>
      <c r="AA582" s="2627"/>
      <c r="AB582" s="2627"/>
      <c r="AC582" s="2627"/>
      <c r="AD582" s="2627"/>
      <c r="AE582" s="2627"/>
      <c r="AF582" s="2627"/>
      <c r="AG582" s="2627"/>
      <c r="AI582" s="2456"/>
      <c r="AK582" s="2627"/>
      <c r="AL582" s="2627"/>
      <c r="AM582" s="2627"/>
      <c r="AN582" s="2627"/>
      <c r="AO582" s="2627"/>
      <c r="AP582" s="2627"/>
      <c r="AQ582" s="2627"/>
      <c r="AR582" s="2627"/>
      <c r="AS582" s="2627"/>
      <c r="AT582" s="2627"/>
      <c r="AU582" s="2627"/>
      <c r="AV582" s="2627"/>
      <c r="AW582" s="2627"/>
      <c r="AX582" s="2627"/>
      <c r="AY582" s="2627"/>
      <c r="AZ582" s="2627"/>
      <c r="BA582" s="2627"/>
      <c r="BB582" s="2627"/>
      <c r="BC582" s="2627"/>
      <c r="BD582" s="2627"/>
      <c r="BE582" s="2627"/>
      <c r="BF582" s="2627"/>
      <c r="BG582" s="2627"/>
      <c r="BH582" s="2627"/>
      <c r="BI582" s="2627"/>
      <c r="BJ582" s="2627"/>
      <c r="BK582" s="2627"/>
      <c r="BL582" s="2627"/>
      <c r="BM582" s="2627"/>
      <c r="BN582" s="2627"/>
      <c r="BO582" s="2627"/>
      <c r="BP582" s="2627"/>
      <c r="BQ582" s="2627"/>
      <c r="BR582" s="2627"/>
      <c r="BS582" s="2627"/>
      <c r="BT582" s="2627"/>
      <c r="BU582" s="2627"/>
      <c r="BV582" s="2627"/>
      <c r="BW582" s="2627"/>
      <c r="BX582" s="2627"/>
      <c r="BY582" s="2627"/>
      <c r="BZ582" s="2627"/>
      <c r="CA582" s="2627"/>
      <c r="CB582" s="2627"/>
      <c r="CC582" s="2627"/>
      <c r="CD582" s="2627"/>
      <c r="CE582" s="2627"/>
      <c r="CF582" s="2627"/>
      <c r="CG582" s="2627"/>
      <c r="CH582" s="2627"/>
      <c r="CI582" s="2627"/>
      <c r="CJ582" s="2627"/>
      <c r="CK582" s="2677"/>
      <c r="CL582" s="2683">
        <f>12350-4211-900</f>
        <v>7239</v>
      </c>
      <c r="CM582" s="2682">
        <f>-1300-3989-1950</f>
        <v>-7239</v>
      </c>
      <c r="CN582" s="2682"/>
      <c r="CO582" s="2682"/>
      <c r="CP582" s="2683"/>
      <c r="CQ582" s="2682"/>
      <c r="CR582" s="2682"/>
      <c r="CS582" s="2682"/>
      <c r="CT582" s="2683"/>
      <c r="CU582" s="2682"/>
      <c r="CV582" s="2682"/>
      <c r="CW582" s="2684"/>
      <c r="CX582" s="2682"/>
      <c r="CY582" s="2682"/>
      <c r="CZ582" s="2682"/>
      <c r="DA582" s="2682"/>
      <c r="DB582" s="2683"/>
      <c r="DC582" s="2682"/>
      <c r="DD582" s="2682"/>
      <c r="DE582" s="2682"/>
      <c r="DF582" s="2682"/>
      <c r="DG582" s="2682"/>
      <c r="DH582" s="2682"/>
      <c r="DI582" s="2682"/>
      <c r="DJ582" s="2682"/>
      <c r="DK582" s="2682"/>
      <c r="DL582" s="2682"/>
      <c r="DM582" s="2682"/>
      <c r="DN582" s="2682"/>
      <c r="DO582" s="2682"/>
      <c r="DP582" s="2682"/>
      <c r="DQ582" s="2682"/>
      <c r="DR582" s="2682"/>
      <c r="DS582" s="2682"/>
      <c r="DT582" s="2682"/>
      <c r="DU582" s="2682"/>
      <c r="DV582" s="2682"/>
      <c r="DW582" s="2682"/>
      <c r="DX582" s="2682"/>
      <c r="DY582" s="2684"/>
    </row>
    <row r="583" spans="1:129" hidden="1" outlineLevel="1">
      <c r="A583" s="2676" t="s">
        <v>876</v>
      </c>
      <c r="B583" s="2627"/>
      <c r="C583" s="2627"/>
      <c r="D583" s="2627"/>
      <c r="E583" s="2627"/>
      <c r="F583" s="2627"/>
      <c r="G583" s="2627"/>
      <c r="H583" s="2627"/>
      <c r="I583" s="2627"/>
      <c r="J583" s="2627"/>
      <c r="K583" s="2627"/>
      <c r="L583" s="2627"/>
      <c r="M583" s="2627"/>
      <c r="N583" s="2627"/>
      <c r="O583" s="2681"/>
      <c r="P583" s="2677">
        <f>CK583</f>
        <v>0</v>
      </c>
      <c r="Q583" s="2677">
        <f>+CO583</f>
        <v>0</v>
      </c>
      <c r="R583" s="2678">
        <f>CS583</f>
        <v>0</v>
      </c>
      <c r="S583" s="2678">
        <f>+S581+S582</f>
        <v>0</v>
      </c>
      <c r="T583" s="2678"/>
      <c r="U583" s="2678"/>
      <c r="V583" s="2678"/>
      <c r="W583" s="2678"/>
      <c r="X583" s="2678"/>
      <c r="Y583" s="2678"/>
      <c r="Z583" s="2678"/>
      <c r="AA583" s="2678"/>
      <c r="AB583" s="2678"/>
      <c r="AC583" s="2678"/>
      <c r="AD583" s="2678"/>
      <c r="AE583" s="2678"/>
      <c r="AF583" s="2678"/>
      <c r="AG583" s="2678"/>
      <c r="AI583" s="2456"/>
      <c r="AK583" s="2627"/>
      <c r="AL583" s="2627"/>
      <c r="AM583" s="2627"/>
      <c r="AN583" s="2627"/>
      <c r="AO583" s="2627"/>
      <c r="AP583" s="2627"/>
      <c r="AQ583" s="2627"/>
      <c r="AR583" s="2627"/>
      <c r="AS583" s="2627"/>
      <c r="AT583" s="2627"/>
      <c r="AU583" s="2627"/>
      <c r="AV583" s="2627"/>
      <c r="AW583" s="2627"/>
      <c r="AX583" s="2627"/>
      <c r="AY583" s="2627"/>
      <c r="AZ583" s="2627"/>
      <c r="BA583" s="2627"/>
      <c r="BB583" s="2627"/>
      <c r="BC583" s="2627"/>
      <c r="BD583" s="2627"/>
      <c r="BE583" s="2627"/>
      <c r="BF583" s="2627"/>
      <c r="BG583" s="2627"/>
      <c r="BH583" s="2627"/>
      <c r="BI583" s="2627"/>
      <c r="BJ583" s="2627"/>
      <c r="BK583" s="2627"/>
      <c r="BL583" s="2627"/>
      <c r="BM583" s="2627"/>
      <c r="BN583" s="2627"/>
      <c r="BO583" s="2627"/>
      <c r="BP583" s="2627"/>
      <c r="BQ583" s="2627"/>
      <c r="BR583" s="2627"/>
      <c r="BS583" s="2627"/>
      <c r="BT583" s="2627"/>
      <c r="BU583" s="2627"/>
      <c r="BV583" s="2627"/>
      <c r="BW583" s="2627"/>
      <c r="BX583" s="2627"/>
      <c r="BY583" s="2627"/>
      <c r="BZ583" s="2627"/>
      <c r="CA583" s="2627"/>
      <c r="CB583" s="2627"/>
      <c r="CC583" s="2627"/>
      <c r="CD583" s="2627"/>
      <c r="CE583" s="2627"/>
      <c r="CF583" s="2627"/>
      <c r="CG583" s="2627"/>
      <c r="CH583" s="2627"/>
      <c r="CI583" s="2627"/>
      <c r="CJ583" s="2627"/>
      <c r="CK583" s="2677"/>
      <c r="CL583" s="2679">
        <f t="shared" ref="CL583:CW583" si="2352">CL582+CL581</f>
        <v>7239</v>
      </c>
      <c r="CM583" s="2677">
        <f t="shared" si="2352"/>
        <v>0</v>
      </c>
      <c r="CN583" s="2677">
        <f t="shared" si="2352"/>
        <v>0</v>
      </c>
      <c r="CO583" s="2677">
        <f t="shared" si="2352"/>
        <v>0</v>
      </c>
      <c r="CP583" s="2679">
        <f t="shared" si="2352"/>
        <v>0</v>
      </c>
      <c r="CQ583" s="2677">
        <f t="shared" si="2352"/>
        <v>0</v>
      </c>
      <c r="CR583" s="2677">
        <f t="shared" si="2352"/>
        <v>0</v>
      </c>
      <c r="CS583" s="2677">
        <f t="shared" si="2352"/>
        <v>0</v>
      </c>
      <c r="CT583" s="2679">
        <f t="shared" si="2352"/>
        <v>0</v>
      </c>
      <c r="CU583" s="2677">
        <f t="shared" si="2352"/>
        <v>0</v>
      </c>
      <c r="CV583" s="2677">
        <f t="shared" si="2352"/>
        <v>0</v>
      </c>
      <c r="CW583" s="2680">
        <f t="shared" si="2352"/>
        <v>0</v>
      </c>
      <c r="CX583" s="2677"/>
      <c r="CY583" s="2677"/>
      <c r="CZ583" s="2677"/>
      <c r="DA583" s="2677"/>
      <c r="DB583" s="2679"/>
      <c r="DC583" s="2677"/>
      <c r="DD583" s="2677"/>
      <c r="DE583" s="2677"/>
      <c r="DF583" s="2677"/>
      <c r="DG583" s="2677"/>
      <c r="DH583" s="2677"/>
      <c r="DI583" s="2677"/>
      <c r="DJ583" s="2677"/>
      <c r="DK583" s="2677"/>
      <c r="DL583" s="2677"/>
      <c r="DM583" s="2677"/>
      <c r="DN583" s="2677"/>
      <c r="DO583" s="2677"/>
      <c r="DP583" s="2677"/>
      <c r="DQ583" s="2677"/>
      <c r="DR583" s="2677"/>
      <c r="DS583" s="2677"/>
      <c r="DT583" s="2677"/>
      <c r="DU583" s="2677"/>
      <c r="DV583" s="2677"/>
      <c r="DW583" s="2677"/>
      <c r="DX583" s="2677"/>
      <c r="DY583" s="2680"/>
    </row>
    <row r="584" spans="1:129" hidden="1" outlineLevel="1">
      <c r="A584" s="2685" t="s">
        <v>878</v>
      </c>
      <c r="B584" s="2627"/>
      <c r="C584" s="2627"/>
      <c r="D584" s="2627"/>
      <c r="E584" s="2627"/>
      <c r="F584" s="2627"/>
      <c r="G584" s="2627"/>
      <c r="H584" s="2627"/>
      <c r="I584" s="2627"/>
      <c r="J584" s="2627"/>
      <c r="K584" s="2627"/>
      <c r="L584" s="2627"/>
      <c r="M584" s="2627"/>
      <c r="N584" s="2627"/>
      <c r="O584" s="2681">
        <v>2011</v>
      </c>
      <c r="P584" s="2677"/>
      <c r="Q584" s="2627"/>
      <c r="R584" s="2627"/>
      <c r="S584" s="2627"/>
      <c r="T584" s="2627"/>
      <c r="U584" s="2627"/>
      <c r="V584" s="2627"/>
      <c r="W584" s="2627"/>
      <c r="X584" s="2627"/>
      <c r="Y584" s="2627"/>
      <c r="Z584" s="2627"/>
      <c r="AA584" s="2627"/>
      <c r="AB584" s="2627"/>
      <c r="AC584" s="2627"/>
      <c r="AD584" s="2627"/>
      <c r="AE584" s="2627"/>
      <c r="AF584" s="2627"/>
      <c r="AG584" s="2627"/>
      <c r="AI584" s="2456"/>
      <c r="AK584" s="2627"/>
      <c r="AL584" s="2627"/>
      <c r="AM584" s="2627"/>
      <c r="AN584" s="2627"/>
      <c r="AO584" s="2627"/>
      <c r="AP584" s="2627"/>
      <c r="AQ584" s="2627"/>
      <c r="AR584" s="2627"/>
      <c r="AS584" s="2627"/>
      <c r="AT584" s="2627"/>
      <c r="AU584" s="2627"/>
      <c r="AV584" s="2627"/>
      <c r="AW584" s="2627"/>
      <c r="AX584" s="2627"/>
      <c r="AY584" s="2627"/>
      <c r="AZ584" s="2627"/>
      <c r="BA584" s="2627"/>
      <c r="BB584" s="2627"/>
      <c r="BC584" s="2627"/>
      <c r="BD584" s="2627"/>
      <c r="BE584" s="2627"/>
      <c r="BF584" s="2627"/>
      <c r="BG584" s="2627"/>
      <c r="BH584" s="2627"/>
      <c r="BI584" s="2627"/>
      <c r="BJ584" s="2627"/>
      <c r="BK584" s="2627"/>
      <c r="BL584" s="2627"/>
      <c r="BM584" s="2627"/>
      <c r="BN584" s="2627"/>
      <c r="BO584" s="2627"/>
      <c r="BP584" s="2627"/>
      <c r="BQ584" s="2627"/>
      <c r="BR584" s="2627"/>
      <c r="BS584" s="2627"/>
      <c r="BT584" s="2627"/>
      <c r="BU584" s="2627"/>
      <c r="BV584" s="2627"/>
      <c r="BW584" s="2627"/>
      <c r="BX584" s="2627"/>
      <c r="BY584" s="2627"/>
      <c r="BZ584" s="2627"/>
      <c r="CA584" s="2627"/>
      <c r="CB584" s="2627"/>
      <c r="CC584" s="2627"/>
      <c r="CD584" s="2627"/>
      <c r="CE584" s="2627"/>
      <c r="CF584" s="2627"/>
      <c r="CG584" s="2627"/>
      <c r="CH584" s="2627"/>
      <c r="CI584" s="2627"/>
      <c r="CJ584" s="2627"/>
      <c r="CK584" s="2677"/>
      <c r="CL584" s="2679"/>
      <c r="CM584" s="2677"/>
      <c r="CN584" s="2627"/>
      <c r="CO584" s="2627"/>
      <c r="CP584" s="2629"/>
      <c r="CQ584" s="2627"/>
      <c r="CR584" s="2627"/>
      <c r="CS584" s="2627"/>
      <c r="CT584" s="2629"/>
      <c r="CU584" s="2627"/>
      <c r="CV584" s="2627"/>
      <c r="CW584" s="2628"/>
      <c r="CX584" s="2627"/>
      <c r="CY584" s="2627"/>
      <c r="CZ584" s="2627"/>
      <c r="DA584" s="2627"/>
      <c r="DB584" s="2629"/>
      <c r="DC584" s="2627"/>
      <c r="DD584" s="2627"/>
      <c r="DE584" s="2627"/>
      <c r="DF584" s="2627"/>
      <c r="DG584" s="2627"/>
      <c r="DH584" s="2627"/>
      <c r="DI584" s="2627"/>
      <c r="DJ584" s="2627"/>
      <c r="DK584" s="2627"/>
      <c r="DL584" s="2627"/>
      <c r="DM584" s="2627"/>
      <c r="DN584" s="2627"/>
      <c r="DO584" s="2627"/>
      <c r="DP584" s="2627"/>
      <c r="DQ584" s="2627"/>
      <c r="DR584" s="2627"/>
      <c r="DS584" s="2627"/>
      <c r="DT584" s="2627"/>
      <c r="DU584" s="2627"/>
      <c r="DV584" s="2627"/>
      <c r="DW584" s="2627"/>
      <c r="DX584" s="2627"/>
      <c r="DY584" s="2628"/>
    </row>
    <row r="585" spans="1:129" hidden="1" outlineLevel="1">
      <c r="A585" s="2676" t="s">
        <v>874</v>
      </c>
      <c r="B585" s="2627"/>
      <c r="C585" s="2627"/>
      <c r="D585" s="2627"/>
      <c r="E585" s="2627"/>
      <c r="F585" s="2627"/>
      <c r="G585" s="2627"/>
      <c r="H585" s="2627"/>
      <c r="I585" s="2627"/>
      <c r="J585" s="2627"/>
      <c r="K585" s="2627"/>
      <c r="L585" s="2627"/>
      <c r="M585" s="2627"/>
      <c r="N585" s="2627"/>
      <c r="O585" s="2627"/>
      <c r="P585" s="2677">
        <f>+CK585</f>
        <v>0</v>
      </c>
      <c r="Q585" s="2678">
        <f>+P587</f>
        <v>908</v>
      </c>
      <c r="R585" s="2678">
        <f>CS585</f>
        <v>931</v>
      </c>
      <c r="S585" s="2678">
        <f>+R587</f>
        <v>931</v>
      </c>
      <c r="T585" s="2678"/>
      <c r="U585" s="2678"/>
      <c r="V585" s="2678"/>
      <c r="W585" s="2678"/>
      <c r="X585" s="2678"/>
      <c r="Y585" s="2678"/>
      <c r="Z585" s="2678"/>
      <c r="AA585" s="2678"/>
      <c r="AB585" s="2678"/>
      <c r="AC585" s="2678"/>
      <c r="AD585" s="2678"/>
      <c r="AE585" s="2678"/>
      <c r="AF585" s="2678"/>
      <c r="AG585" s="2678"/>
      <c r="AI585" s="2456"/>
      <c r="AK585" s="2627"/>
      <c r="AL585" s="2627"/>
      <c r="AM585" s="2627"/>
      <c r="AN585" s="2627"/>
      <c r="AO585" s="2627"/>
      <c r="AP585" s="2627"/>
      <c r="AQ585" s="2627"/>
      <c r="AR585" s="2627"/>
      <c r="AS585" s="2627"/>
      <c r="AT585" s="2627"/>
      <c r="AU585" s="2627"/>
      <c r="AV585" s="2627"/>
      <c r="AW585" s="2627"/>
      <c r="AX585" s="2627"/>
      <c r="AY585" s="2627"/>
      <c r="AZ585" s="2627"/>
      <c r="BA585" s="2627"/>
      <c r="BB585" s="2627"/>
      <c r="BC585" s="2627"/>
      <c r="BD585" s="2627"/>
      <c r="BE585" s="2627"/>
      <c r="BF585" s="2627"/>
      <c r="BG585" s="2627"/>
      <c r="BH585" s="2627"/>
      <c r="BI585" s="2627"/>
      <c r="BJ585" s="2627"/>
      <c r="BK585" s="2627"/>
      <c r="BL585" s="2627"/>
      <c r="BM585" s="2627"/>
      <c r="BN585" s="2627"/>
      <c r="BO585" s="2627"/>
      <c r="BP585" s="2627"/>
      <c r="BQ585" s="2627"/>
      <c r="BR585" s="2627"/>
      <c r="BS585" s="2627"/>
      <c r="BT585" s="2627"/>
      <c r="BU585" s="2627"/>
      <c r="BV585" s="2627"/>
      <c r="BW585" s="2627"/>
      <c r="BX585" s="2627"/>
      <c r="BY585" s="2627"/>
      <c r="BZ585" s="2627"/>
      <c r="CA585" s="2627"/>
      <c r="CB585" s="2627"/>
      <c r="CC585" s="2627"/>
      <c r="CD585" s="2627"/>
      <c r="CE585" s="2627"/>
      <c r="CF585" s="2627"/>
      <c r="CG585" s="2627"/>
      <c r="CH585" s="2627"/>
      <c r="CI585" s="2627"/>
      <c r="CJ585" s="2627"/>
      <c r="CK585" s="2681"/>
      <c r="CL585" s="2679">
        <f t="shared" ref="CL585:CW585" si="2353">CK587</f>
        <v>908</v>
      </c>
      <c r="CM585" s="2677">
        <f t="shared" si="2353"/>
        <v>861</v>
      </c>
      <c r="CN585" s="2677">
        <f t="shared" si="2353"/>
        <v>861</v>
      </c>
      <c r="CO585" s="2677">
        <f t="shared" si="2353"/>
        <v>952</v>
      </c>
      <c r="CP585" s="2679">
        <f t="shared" si="2353"/>
        <v>931</v>
      </c>
      <c r="CQ585" s="2677">
        <f t="shared" si="2353"/>
        <v>931</v>
      </c>
      <c r="CR585" s="2677">
        <f t="shared" si="2353"/>
        <v>931</v>
      </c>
      <c r="CS585" s="2677">
        <f t="shared" si="2353"/>
        <v>931</v>
      </c>
      <c r="CT585" s="2679">
        <f t="shared" si="2353"/>
        <v>931</v>
      </c>
      <c r="CU585" s="2677">
        <f t="shared" si="2353"/>
        <v>931</v>
      </c>
      <c r="CV585" s="2677">
        <f t="shared" si="2353"/>
        <v>931</v>
      </c>
      <c r="CW585" s="2680">
        <f t="shared" si="2353"/>
        <v>931</v>
      </c>
      <c r="CX585" s="2677"/>
      <c r="CY585" s="2677"/>
      <c r="CZ585" s="2677"/>
      <c r="DA585" s="2677"/>
      <c r="DB585" s="2679"/>
      <c r="DC585" s="2677"/>
      <c r="DD585" s="2677"/>
      <c r="DE585" s="2677"/>
      <c r="DF585" s="2677"/>
      <c r="DG585" s="2677"/>
      <c r="DH585" s="2677"/>
      <c r="DI585" s="2677"/>
      <c r="DJ585" s="2677"/>
      <c r="DK585" s="2677"/>
      <c r="DL585" s="2677"/>
      <c r="DM585" s="2677"/>
      <c r="DN585" s="2677"/>
      <c r="DO585" s="2677"/>
      <c r="DP585" s="2677"/>
      <c r="DQ585" s="2677"/>
      <c r="DR585" s="2677"/>
      <c r="DS585" s="2677"/>
      <c r="DT585" s="2677"/>
      <c r="DU585" s="2677"/>
      <c r="DV585" s="2677"/>
      <c r="DW585" s="2677"/>
      <c r="DX585" s="2677"/>
      <c r="DY585" s="2680"/>
    </row>
    <row r="586" spans="1:129" hidden="1" outlineLevel="1">
      <c r="A586" s="2676" t="s">
        <v>875</v>
      </c>
      <c r="B586" s="2627"/>
      <c r="C586" s="2627"/>
      <c r="D586" s="2627"/>
      <c r="E586" s="2627"/>
      <c r="F586" s="2627"/>
      <c r="G586" s="2627"/>
      <c r="H586" s="2627"/>
      <c r="I586" s="2627"/>
      <c r="J586" s="2627"/>
      <c r="K586" s="2627"/>
      <c r="L586" s="2627"/>
      <c r="M586" s="2627"/>
      <c r="N586" s="2627"/>
      <c r="O586" s="2681"/>
      <c r="P586" s="2677"/>
      <c r="Q586" s="2682">
        <f>SUM(CL586:CO586)</f>
        <v>47</v>
      </c>
      <c r="R586" s="2682">
        <f>SUM(CP586:CS586)</f>
        <v>0</v>
      </c>
      <c r="S586" s="2682">
        <f>+SUM(CT586:CW586)</f>
        <v>-931</v>
      </c>
      <c r="T586" s="2682"/>
      <c r="U586" s="2627"/>
      <c r="V586" s="2627"/>
      <c r="W586" s="2627"/>
      <c r="X586" s="2627"/>
      <c r="Y586" s="2627"/>
      <c r="Z586" s="2627"/>
      <c r="AA586" s="2627"/>
      <c r="AB586" s="2627"/>
      <c r="AC586" s="2627"/>
      <c r="AD586" s="2627"/>
      <c r="AE586" s="2627"/>
      <c r="AF586" s="2627"/>
      <c r="AG586" s="2627"/>
      <c r="AI586" s="2456"/>
      <c r="AK586" s="2627"/>
      <c r="AL586" s="2627"/>
      <c r="AM586" s="2627"/>
      <c r="AN586" s="2627"/>
      <c r="AO586" s="2627"/>
      <c r="AP586" s="2627"/>
      <c r="AQ586" s="2627"/>
      <c r="AR586" s="2627"/>
      <c r="AS586" s="2627"/>
      <c r="AT586" s="2627"/>
      <c r="AU586" s="2627"/>
      <c r="AV586" s="2627"/>
      <c r="AW586" s="2627"/>
      <c r="AX586" s="2627"/>
      <c r="AY586" s="2627"/>
      <c r="AZ586" s="2627"/>
      <c r="BA586" s="2627"/>
      <c r="BB586" s="2627"/>
      <c r="BC586" s="2627"/>
      <c r="BD586" s="2627"/>
      <c r="BE586" s="2627"/>
      <c r="BF586" s="2627"/>
      <c r="BG586" s="2627"/>
      <c r="BH586" s="2627"/>
      <c r="BI586" s="2627"/>
      <c r="BJ586" s="2627"/>
      <c r="BK586" s="2627"/>
      <c r="BL586" s="2627"/>
      <c r="BM586" s="2627"/>
      <c r="BN586" s="2627"/>
      <c r="BO586" s="2627"/>
      <c r="BP586" s="2627"/>
      <c r="BQ586" s="2627"/>
      <c r="BR586" s="2627"/>
      <c r="BS586" s="2627"/>
      <c r="BT586" s="2627"/>
      <c r="BU586" s="2627"/>
      <c r="BV586" s="2627"/>
      <c r="BW586" s="2627"/>
      <c r="BX586" s="2627"/>
      <c r="BY586" s="2627"/>
      <c r="BZ586" s="2627"/>
      <c r="CA586" s="2627"/>
      <c r="CB586" s="2627"/>
      <c r="CC586" s="2627"/>
      <c r="CD586" s="2627"/>
      <c r="CE586" s="2627"/>
      <c r="CF586" s="2627"/>
      <c r="CG586" s="2627"/>
      <c r="CH586" s="2627"/>
      <c r="CI586" s="2627"/>
      <c r="CJ586" s="2627"/>
      <c r="CK586" s="2681">
        <v>908</v>
      </c>
      <c r="CL586" s="2679">
        <f>+CL585-CL587</f>
        <v>47</v>
      </c>
      <c r="CM586" s="2677"/>
      <c r="CN586" s="2677"/>
      <c r="CO586" s="2682"/>
      <c r="CP586" s="2683"/>
      <c r="CQ586" s="2682"/>
      <c r="CR586" s="2682"/>
      <c r="CS586" s="2682"/>
      <c r="CT586" s="2683"/>
      <c r="CU586" s="2682"/>
      <c r="CV586" s="2682"/>
      <c r="CW586" s="2684">
        <v>-931</v>
      </c>
      <c r="CX586" s="2682"/>
      <c r="CY586" s="2682"/>
      <c r="CZ586" s="2682"/>
      <c r="DA586" s="2682"/>
      <c r="DB586" s="2683"/>
      <c r="DC586" s="2682"/>
      <c r="DD586" s="2682"/>
      <c r="DE586" s="2682"/>
      <c r="DF586" s="2682"/>
      <c r="DG586" s="2682"/>
      <c r="DH586" s="2682"/>
      <c r="DI586" s="2682"/>
      <c r="DJ586" s="2682"/>
      <c r="DK586" s="2682"/>
      <c r="DL586" s="2682"/>
      <c r="DM586" s="2682"/>
      <c r="DN586" s="2682"/>
      <c r="DO586" s="2682"/>
      <c r="DP586" s="2682"/>
      <c r="DQ586" s="2682"/>
      <c r="DR586" s="2682"/>
      <c r="DS586" s="2682"/>
      <c r="DT586" s="2682"/>
      <c r="DU586" s="2682"/>
      <c r="DV586" s="2682"/>
      <c r="DW586" s="2682"/>
      <c r="DX586" s="2682"/>
      <c r="DY586" s="2684"/>
    </row>
    <row r="587" spans="1:129" hidden="1" outlineLevel="1">
      <c r="A587" s="2676" t="s">
        <v>876</v>
      </c>
      <c r="B587" s="2627"/>
      <c r="C587" s="2627"/>
      <c r="D587" s="2627"/>
      <c r="E587" s="2627"/>
      <c r="F587" s="2627"/>
      <c r="G587" s="2627"/>
      <c r="H587" s="2627"/>
      <c r="I587" s="2627"/>
      <c r="J587" s="2627"/>
      <c r="K587" s="2627"/>
      <c r="L587" s="2627"/>
      <c r="M587" s="2627"/>
      <c r="N587" s="2627"/>
      <c r="O587" s="2681"/>
      <c r="P587" s="2677">
        <f>CK587</f>
        <v>908</v>
      </c>
      <c r="Q587" s="2677">
        <f>+CO587</f>
        <v>931</v>
      </c>
      <c r="R587" s="2678">
        <f>CS587</f>
        <v>931</v>
      </c>
      <c r="S587" s="2678">
        <f>+S585+S586</f>
        <v>0</v>
      </c>
      <c r="T587" s="2678"/>
      <c r="U587" s="2678"/>
      <c r="V587" s="2678"/>
      <c r="W587" s="2678"/>
      <c r="X587" s="2678"/>
      <c r="Y587" s="2678"/>
      <c r="Z587" s="2678"/>
      <c r="AA587" s="2678"/>
      <c r="AB587" s="2678"/>
      <c r="AC587" s="2678"/>
      <c r="AD587" s="2678"/>
      <c r="AE587" s="2678"/>
      <c r="AF587" s="2678"/>
      <c r="AG587" s="2678"/>
      <c r="AI587" s="2456"/>
      <c r="AK587" s="2627"/>
      <c r="AL587" s="2627"/>
      <c r="AM587" s="2627"/>
      <c r="AN587" s="2627"/>
      <c r="AO587" s="2627"/>
      <c r="AP587" s="2627"/>
      <c r="AQ587" s="2627"/>
      <c r="AR587" s="2627"/>
      <c r="AS587" s="2627"/>
      <c r="AT587" s="2627"/>
      <c r="AU587" s="2627"/>
      <c r="AV587" s="2627"/>
      <c r="AW587" s="2627"/>
      <c r="AX587" s="2627"/>
      <c r="AY587" s="2627"/>
      <c r="AZ587" s="2627"/>
      <c r="BA587" s="2627"/>
      <c r="BB587" s="2627"/>
      <c r="BC587" s="2627"/>
      <c r="BD587" s="2627"/>
      <c r="BE587" s="2627"/>
      <c r="BF587" s="2627"/>
      <c r="BG587" s="2627"/>
      <c r="BH587" s="2627"/>
      <c r="BI587" s="2627"/>
      <c r="BJ587" s="2627"/>
      <c r="BK587" s="2627"/>
      <c r="BL587" s="2627"/>
      <c r="BM587" s="2627"/>
      <c r="BN587" s="2627"/>
      <c r="BO587" s="2627"/>
      <c r="BP587" s="2627"/>
      <c r="BQ587" s="2627"/>
      <c r="BR587" s="2627"/>
      <c r="BS587" s="2627"/>
      <c r="BT587" s="2627"/>
      <c r="BU587" s="2627"/>
      <c r="BV587" s="2627"/>
      <c r="BW587" s="2627"/>
      <c r="BX587" s="2627"/>
      <c r="BY587" s="2627"/>
      <c r="BZ587" s="2627"/>
      <c r="CA587" s="2627"/>
      <c r="CB587" s="2627"/>
      <c r="CC587" s="2627"/>
      <c r="CD587" s="2627"/>
      <c r="CE587" s="2627"/>
      <c r="CF587" s="2627"/>
      <c r="CG587" s="2627"/>
      <c r="CH587" s="2627"/>
      <c r="CI587" s="2627"/>
      <c r="CJ587" s="2627"/>
      <c r="CK587" s="2677">
        <f>CK586+CK585</f>
        <v>908</v>
      </c>
      <c r="CL587" s="2679">
        <v>861</v>
      </c>
      <c r="CM587" s="2677">
        <f>CM586+CM585</f>
        <v>861</v>
      </c>
      <c r="CN587" s="2677">
        <v>952</v>
      </c>
      <c r="CO587" s="2677">
        <v>931</v>
      </c>
      <c r="CP587" s="2679">
        <f t="shared" ref="CP587:CW587" si="2354">CP586+CP585</f>
        <v>931</v>
      </c>
      <c r="CQ587" s="2677">
        <f t="shared" si="2354"/>
        <v>931</v>
      </c>
      <c r="CR587" s="2677">
        <f t="shared" si="2354"/>
        <v>931</v>
      </c>
      <c r="CS587" s="2677">
        <f t="shared" si="2354"/>
        <v>931</v>
      </c>
      <c r="CT587" s="2679">
        <f t="shared" si="2354"/>
        <v>931</v>
      </c>
      <c r="CU587" s="2677">
        <f t="shared" si="2354"/>
        <v>931</v>
      </c>
      <c r="CV587" s="2677">
        <f t="shared" si="2354"/>
        <v>931</v>
      </c>
      <c r="CW587" s="2680">
        <f t="shared" si="2354"/>
        <v>0</v>
      </c>
      <c r="CX587" s="2677"/>
      <c r="CY587" s="2677"/>
      <c r="CZ587" s="2677"/>
      <c r="DA587" s="2677"/>
      <c r="DB587" s="2679"/>
      <c r="DC587" s="2677"/>
      <c r="DD587" s="2677"/>
      <c r="DE587" s="2677"/>
      <c r="DF587" s="2677"/>
      <c r="DG587" s="2677"/>
      <c r="DH587" s="2677"/>
      <c r="DI587" s="2677"/>
      <c r="DJ587" s="2677"/>
      <c r="DK587" s="2677"/>
      <c r="DL587" s="2677"/>
      <c r="DM587" s="2677"/>
      <c r="DN587" s="2677"/>
      <c r="DO587" s="2677"/>
      <c r="DP587" s="2677"/>
      <c r="DQ587" s="2677"/>
      <c r="DR587" s="2677"/>
      <c r="DS587" s="2677"/>
      <c r="DT587" s="2677"/>
      <c r="DU587" s="2677"/>
      <c r="DV587" s="2677"/>
      <c r="DW587" s="2677"/>
      <c r="DX587" s="2677"/>
      <c r="DY587" s="2680"/>
    </row>
    <row r="588" spans="1:129" hidden="1" outlineLevel="1">
      <c r="A588" s="2685" t="s">
        <v>879</v>
      </c>
      <c r="B588" s="2627"/>
      <c r="C588" s="2627"/>
      <c r="D588" s="2627"/>
      <c r="E588" s="2627"/>
      <c r="F588" s="2627"/>
      <c r="G588" s="2627"/>
      <c r="H588" s="2627"/>
      <c r="I588" s="2627"/>
      <c r="J588" s="2627"/>
      <c r="K588" s="2627"/>
      <c r="L588" s="2627"/>
      <c r="M588" s="2627"/>
      <c r="N588" s="2627"/>
      <c r="O588" s="2681">
        <v>2012</v>
      </c>
      <c r="P588" s="2627"/>
      <c r="Q588" s="2627"/>
      <c r="R588" s="2627"/>
      <c r="S588" s="2627"/>
      <c r="T588" s="2627"/>
      <c r="U588" s="2627"/>
      <c r="V588" s="2627"/>
      <c r="W588" s="2627"/>
      <c r="X588" s="2627"/>
      <c r="Y588" s="2627"/>
      <c r="Z588" s="2627"/>
      <c r="AA588" s="2627"/>
      <c r="AB588" s="2627"/>
      <c r="AC588" s="2627"/>
      <c r="AD588" s="2627"/>
      <c r="AE588" s="2627"/>
      <c r="AF588" s="2627"/>
      <c r="AG588" s="2627"/>
      <c r="AI588" s="2456"/>
      <c r="AK588" s="2627"/>
      <c r="AL588" s="2627"/>
      <c r="AM588" s="2627"/>
      <c r="AN588" s="2627"/>
      <c r="AO588" s="2627"/>
      <c r="AP588" s="2627"/>
      <c r="AQ588" s="2627"/>
      <c r="AR588" s="2627"/>
      <c r="AS588" s="2627"/>
      <c r="AT588" s="2627"/>
      <c r="AU588" s="2627"/>
      <c r="AV588" s="2627"/>
      <c r="AW588" s="2627"/>
      <c r="AX588" s="2627"/>
      <c r="AY588" s="2627"/>
      <c r="AZ588" s="2627"/>
      <c r="BA588" s="2627"/>
      <c r="BB588" s="2627"/>
      <c r="BC588" s="2627"/>
      <c r="BD588" s="2627"/>
      <c r="BE588" s="2627"/>
      <c r="BF588" s="2627"/>
      <c r="BG588" s="2627"/>
      <c r="BH588" s="2627"/>
      <c r="BI588" s="2627"/>
      <c r="BJ588" s="2627"/>
      <c r="BK588" s="2627"/>
      <c r="BL588" s="2627"/>
      <c r="BM588" s="2627"/>
      <c r="BN588" s="2627"/>
      <c r="BO588" s="2627"/>
      <c r="BP588" s="2627"/>
      <c r="BQ588" s="2627"/>
      <c r="BR588" s="2627"/>
      <c r="BS588" s="2627"/>
      <c r="BT588" s="2627"/>
      <c r="BU588" s="2627"/>
      <c r="BV588" s="2627"/>
      <c r="BW588" s="2627"/>
      <c r="BX588" s="2627"/>
      <c r="BY588" s="2627"/>
      <c r="BZ588" s="2627"/>
      <c r="CA588" s="2627"/>
      <c r="CB588" s="2627"/>
      <c r="CC588" s="2627"/>
      <c r="CD588" s="2627"/>
      <c r="CE588" s="2627"/>
      <c r="CF588" s="2627"/>
      <c r="CG588" s="2627"/>
      <c r="CH588" s="2627"/>
      <c r="CI588" s="2627"/>
      <c r="CJ588" s="2627"/>
      <c r="CK588" s="2627"/>
      <c r="CL588" s="2629"/>
      <c r="CM588" s="2627"/>
      <c r="CN588" s="2627"/>
      <c r="CO588" s="2627"/>
      <c r="CP588" s="2629"/>
      <c r="CQ588" s="2627"/>
      <c r="CR588" s="2627"/>
      <c r="CS588" s="2627"/>
      <c r="CT588" s="2629"/>
      <c r="CU588" s="2627"/>
      <c r="CV588" s="2627"/>
      <c r="CW588" s="2628"/>
      <c r="CX588" s="2627"/>
      <c r="CY588" s="2627"/>
      <c r="CZ588" s="2627"/>
      <c r="DA588" s="2627"/>
      <c r="DB588" s="2629"/>
      <c r="DC588" s="2627"/>
      <c r="DD588" s="2627"/>
      <c r="DE588" s="2627"/>
      <c r="DF588" s="2627"/>
      <c r="DG588" s="2627"/>
      <c r="DH588" s="2627"/>
      <c r="DI588" s="2627"/>
      <c r="DJ588" s="2627"/>
      <c r="DK588" s="2627"/>
      <c r="DL588" s="2627"/>
      <c r="DM588" s="2627"/>
      <c r="DN588" s="2627"/>
      <c r="DO588" s="2627"/>
      <c r="DP588" s="2627"/>
      <c r="DQ588" s="2627"/>
      <c r="DR588" s="2627"/>
      <c r="DS588" s="2627"/>
      <c r="DT588" s="2627"/>
      <c r="DU588" s="2627"/>
      <c r="DV588" s="2627"/>
      <c r="DW588" s="2627"/>
      <c r="DX588" s="2627"/>
      <c r="DY588" s="2628"/>
    </row>
    <row r="589" spans="1:129" hidden="1" outlineLevel="1">
      <c r="A589" s="2676" t="s">
        <v>874</v>
      </c>
      <c r="B589" s="2627"/>
      <c r="C589" s="2627"/>
      <c r="D589" s="2627"/>
      <c r="E589" s="2627"/>
      <c r="F589" s="2627"/>
      <c r="G589" s="2627"/>
      <c r="H589" s="2627"/>
      <c r="I589" s="2627"/>
      <c r="J589" s="2627"/>
      <c r="K589" s="2627"/>
      <c r="L589" s="2627"/>
      <c r="M589" s="2627"/>
      <c r="N589" s="2627"/>
      <c r="O589" s="2627"/>
      <c r="P589" s="2677">
        <f>+CK589</f>
        <v>0</v>
      </c>
      <c r="Q589" s="2678">
        <f>+P591</f>
        <v>0</v>
      </c>
      <c r="R589" s="2678">
        <f>CS589</f>
        <v>750</v>
      </c>
      <c r="S589" s="2678">
        <f>+R591</f>
        <v>750</v>
      </c>
      <c r="T589" s="2677"/>
      <c r="U589" s="2677"/>
      <c r="V589" s="2677"/>
      <c r="W589" s="2677"/>
      <c r="X589" s="2677"/>
      <c r="Y589" s="2677"/>
      <c r="Z589" s="2677"/>
      <c r="AA589" s="2677"/>
      <c r="AB589" s="2677"/>
      <c r="AC589" s="2677"/>
      <c r="AD589" s="2677"/>
      <c r="AE589" s="2677"/>
      <c r="AF589" s="2677"/>
      <c r="AG589" s="2677"/>
      <c r="AI589" s="2456"/>
      <c r="AK589" s="2627"/>
      <c r="AL589" s="2627"/>
      <c r="AM589" s="2627"/>
      <c r="AN589" s="2627"/>
      <c r="AO589" s="2627"/>
      <c r="AP589" s="2627"/>
      <c r="AQ589" s="2627"/>
      <c r="AR589" s="2627"/>
      <c r="AS589" s="2627"/>
      <c r="AT589" s="2627"/>
      <c r="AU589" s="2627"/>
      <c r="AV589" s="2627"/>
      <c r="AW589" s="2627"/>
      <c r="AX589" s="2627"/>
      <c r="AY589" s="2627"/>
      <c r="AZ589" s="2627"/>
      <c r="BA589" s="2627"/>
      <c r="BB589" s="2627"/>
      <c r="BC589" s="2627"/>
      <c r="BD589" s="2627"/>
      <c r="BE589" s="2627"/>
      <c r="BF589" s="2627"/>
      <c r="BG589" s="2627"/>
      <c r="BH589" s="2627"/>
      <c r="BI589" s="2627"/>
      <c r="BJ589" s="2627"/>
      <c r="BK589" s="2627"/>
      <c r="BL589" s="2627"/>
      <c r="BM589" s="2627"/>
      <c r="BN589" s="2627"/>
      <c r="BO589" s="2627"/>
      <c r="BP589" s="2627"/>
      <c r="BQ589" s="2627"/>
      <c r="BR589" s="2627"/>
      <c r="BS589" s="2627"/>
      <c r="BT589" s="2627"/>
      <c r="BU589" s="2627"/>
      <c r="BV589" s="2627"/>
      <c r="BW589" s="2627"/>
      <c r="BX589" s="2627"/>
      <c r="BY589" s="2627"/>
      <c r="BZ589" s="2627"/>
      <c r="CA589" s="2627"/>
      <c r="CB589" s="2627"/>
      <c r="CC589" s="2627"/>
      <c r="CD589" s="2627"/>
      <c r="CE589" s="2627"/>
      <c r="CF589" s="2627"/>
      <c r="CG589" s="2627"/>
      <c r="CH589" s="2627"/>
      <c r="CI589" s="2627"/>
      <c r="CJ589" s="2627"/>
      <c r="CK589" s="2681">
        <v>0</v>
      </c>
      <c r="CL589" s="2679">
        <f t="shared" ref="CL589:CW589" si="2355">CK591</f>
        <v>0</v>
      </c>
      <c r="CM589" s="2677">
        <f t="shared" si="2355"/>
        <v>750</v>
      </c>
      <c r="CN589" s="2677">
        <f t="shared" si="2355"/>
        <v>750</v>
      </c>
      <c r="CO589" s="2677">
        <f t="shared" si="2355"/>
        <v>750</v>
      </c>
      <c r="CP589" s="2679">
        <f t="shared" si="2355"/>
        <v>750</v>
      </c>
      <c r="CQ589" s="2677">
        <f t="shared" si="2355"/>
        <v>750</v>
      </c>
      <c r="CR589" s="2677">
        <f t="shared" si="2355"/>
        <v>750</v>
      </c>
      <c r="CS589" s="2677">
        <f t="shared" si="2355"/>
        <v>750</v>
      </c>
      <c r="CT589" s="2679">
        <f t="shared" si="2355"/>
        <v>750</v>
      </c>
      <c r="CU589" s="2677">
        <f t="shared" si="2355"/>
        <v>750</v>
      </c>
      <c r="CV589" s="2677">
        <f t="shared" si="2355"/>
        <v>750</v>
      </c>
      <c r="CW589" s="2680">
        <f t="shared" si="2355"/>
        <v>750</v>
      </c>
      <c r="CX589" s="2677"/>
      <c r="CY589" s="2677"/>
      <c r="CZ589" s="2677"/>
      <c r="DA589" s="2677"/>
      <c r="DB589" s="2679"/>
      <c r="DC589" s="2677"/>
      <c r="DD589" s="2677"/>
      <c r="DE589" s="2677"/>
      <c r="DF589" s="2677"/>
      <c r="DG589" s="2677"/>
      <c r="DH589" s="2677"/>
      <c r="DI589" s="2677"/>
      <c r="DJ589" s="2677"/>
      <c r="DK589" s="2677"/>
      <c r="DL589" s="2677"/>
      <c r="DM589" s="2677"/>
      <c r="DN589" s="2677"/>
      <c r="DO589" s="2677"/>
      <c r="DP589" s="2677"/>
      <c r="DQ589" s="2677"/>
      <c r="DR589" s="2677"/>
      <c r="DS589" s="2677"/>
      <c r="DT589" s="2677"/>
      <c r="DU589" s="2677"/>
      <c r="DV589" s="2677"/>
      <c r="DW589" s="2677"/>
      <c r="DX589" s="2677"/>
      <c r="DY589" s="2680"/>
    </row>
    <row r="590" spans="1:129" hidden="1" outlineLevel="1">
      <c r="A590" s="2676" t="s">
        <v>875</v>
      </c>
      <c r="B590" s="2627"/>
      <c r="C590" s="2627"/>
      <c r="D590" s="2627"/>
      <c r="E590" s="2627"/>
      <c r="F590" s="2627"/>
      <c r="G590" s="2627"/>
      <c r="H590" s="2627"/>
      <c r="I590" s="2627"/>
      <c r="J590" s="2627"/>
      <c r="K590" s="2627"/>
      <c r="L590" s="2627"/>
      <c r="M590" s="2627"/>
      <c r="N590" s="2627"/>
      <c r="O590" s="2681"/>
      <c r="P590" s="2677"/>
      <c r="Q590" s="2682">
        <f>SUM(CL590:CO590)</f>
        <v>750</v>
      </c>
      <c r="R590" s="2682">
        <f>SUM(CP590:CS590)</f>
        <v>0</v>
      </c>
      <c r="S590" s="2682"/>
      <c r="T590" s="2682"/>
      <c r="U590" s="2627"/>
      <c r="V590" s="2627"/>
      <c r="W590" s="2627"/>
      <c r="X590" s="2627"/>
      <c r="Y590" s="2627"/>
      <c r="Z590" s="2627"/>
      <c r="AA590" s="2627"/>
      <c r="AB590" s="2627"/>
      <c r="AC590" s="2627"/>
      <c r="AD590" s="2627"/>
      <c r="AE590" s="2627"/>
      <c r="AF590" s="2627"/>
      <c r="AG590" s="2627"/>
      <c r="AI590" s="2456"/>
      <c r="AK590" s="2627"/>
      <c r="AL590" s="2627"/>
      <c r="AM590" s="2627"/>
      <c r="AN590" s="2627"/>
      <c r="AO590" s="2627"/>
      <c r="AP590" s="2627"/>
      <c r="AQ590" s="2627"/>
      <c r="AR590" s="2627"/>
      <c r="AS590" s="2627"/>
      <c r="AT590" s="2627"/>
      <c r="AU590" s="2627"/>
      <c r="AV590" s="2627"/>
      <c r="AW590" s="2627"/>
      <c r="AX590" s="2627"/>
      <c r="AY590" s="2627"/>
      <c r="AZ590" s="2627"/>
      <c r="BA590" s="2627"/>
      <c r="BB590" s="2627"/>
      <c r="BC590" s="2627"/>
      <c r="BD590" s="2627"/>
      <c r="BE590" s="2627"/>
      <c r="BF590" s="2627"/>
      <c r="BG590" s="2627"/>
      <c r="BH590" s="2627"/>
      <c r="BI590" s="2627"/>
      <c r="BJ590" s="2627"/>
      <c r="BK590" s="2627"/>
      <c r="BL590" s="2627"/>
      <c r="BM590" s="2627"/>
      <c r="BN590" s="2627"/>
      <c r="BO590" s="2627"/>
      <c r="BP590" s="2627"/>
      <c r="BQ590" s="2627"/>
      <c r="BR590" s="2627"/>
      <c r="BS590" s="2627"/>
      <c r="BT590" s="2627"/>
      <c r="BU590" s="2627"/>
      <c r="BV590" s="2627"/>
      <c r="BW590" s="2627"/>
      <c r="BX590" s="2627"/>
      <c r="BY590" s="2627"/>
      <c r="BZ590" s="2627"/>
      <c r="CA590" s="2627"/>
      <c r="CB590" s="2627"/>
      <c r="CC590" s="2627"/>
      <c r="CD590" s="2627"/>
      <c r="CE590" s="2627"/>
      <c r="CF590" s="2627"/>
      <c r="CG590" s="2627"/>
      <c r="CH590" s="2627"/>
      <c r="CI590" s="2627"/>
      <c r="CJ590" s="2627"/>
      <c r="CK590" s="2681"/>
      <c r="CL590" s="2683">
        <v>750</v>
      </c>
      <c r="CM590" s="2682"/>
      <c r="CN590" s="2682"/>
      <c r="CO590" s="2682"/>
      <c r="CP590" s="2683"/>
      <c r="CQ590" s="2682"/>
      <c r="CR590" s="2682"/>
      <c r="CS590" s="2682"/>
      <c r="CT590" s="2683"/>
      <c r="CU590" s="2682"/>
      <c r="CV590" s="2682"/>
      <c r="CW590" s="2684"/>
      <c r="CX590" s="2682"/>
      <c r="CY590" s="2682"/>
      <c r="CZ590" s="2682"/>
      <c r="DA590" s="2682"/>
      <c r="DB590" s="2683"/>
      <c r="DC590" s="2682"/>
      <c r="DD590" s="2682"/>
      <c r="DE590" s="2682"/>
      <c r="DF590" s="2682"/>
      <c r="DG590" s="2682"/>
      <c r="DH590" s="2682"/>
      <c r="DI590" s="2682"/>
      <c r="DJ590" s="2682"/>
      <c r="DK590" s="2682"/>
      <c r="DL590" s="2682"/>
      <c r="DM590" s="2682"/>
      <c r="DN590" s="2682"/>
      <c r="DO590" s="2682"/>
      <c r="DP590" s="2682"/>
      <c r="DQ590" s="2682"/>
      <c r="DR590" s="2682"/>
      <c r="DS590" s="2682"/>
      <c r="DT590" s="2682"/>
      <c r="DU590" s="2682"/>
      <c r="DV590" s="2682"/>
      <c r="DW590" s="2682"/>
      <c r="DX590" s="2682"/>
      <c r="DY590" s="2684"/>
    </row>
    <row r="591" spans="1:129" hidden="1" outlineLevel="1">
      <c r="A591" s="2676" t="s">
        <v>876</v>
      </c>
      <c r="B591" s="2627"/>
      <c r="C591" s="2627"/>
      <c r="D591" s="2627"/>
      <c r="E591" s="2627"/>
      <c r="F591" s="2627"/>
      <c r="G591" s="2627"/>
      <c r="H591" s="2627"/>
      <c r="I591" s="2627"/>
      <c r="J591" s="2627"/>
      <c r="K591" s="2627"/>
      <c r="L591" s="2627"/>
      <c r="M591" s="2627"/>
      <c r="N591" s="2627"/>
      <c r="O591" s="2681"/>
      <c r="P591" s="2677">
        <f>CK591</f>
        <v>0</v>
      </c>
      <c r="Q591" s="2677">
        <f>+CO591</f>
        <v>750</v>
      </c>
      <c r="R591" s="2678">
        <f>CS591</f>
        <v>750</v>
      </c>
      <c r="S591" s="2678">
        <f>+S589+S590</f>
        <v>750</v>
      </c>
      <c r="T591" s="2677"/>
      <c r="U591" s="2677"/>
      <c r="V591" s="2677"/>
      <c r="W591" s="2677"/>
      <c r="X591" s="2677"/>
      <c r="Y591" s="2677"/>
      <c r="Z591" s="2677"/>
      <c r="AA591" s="2677"/>
      <c r="AB591" s="2677"/>
      <c r="AC591" s="2677"/>
      <c r="AD591" s="2677"/>
      <c r="AE591" s="2677"/>
      <c r="AF591" s="2677"/>
      <c r="AG591" s="2677"/>
      <c r="AI591" s="2456"/>
      <c r="AK591" s="2627"/>
      <c r="AL591" s="2627"/>
      <c r="AM591" s="2627"/>
      <c r="AN591" s="2627"/>
      <c r="AO591" s="2627"/>
      <c r="AP591" s="2627"/>
      <c r="AQ591" s="2627"/>
      <c r="AR591" s="2627"/>
      <c r="AS591" s="2627"/>
      <c r="AT591" s="2627"/>
      <c r="AU591" s="2627"/>
      <c r="AV591" s="2627"/>
      <c r="AW591" s="2627"/>
      <c r="AX591" s="2627"/>
      <c r="AY591" s="2627"/>
      <c r="AZ591" s="2627"/>
      <c r="BA591" s="2627"/>
      <c r="BB591" s="2627"/>
      <c r="BC591" s="2627"/>
      <c r="BD591" s="2627"/>
      <c r="BE591" s="2627"/>
      <c r="BF591" s="2627"/>
      <c r="BG591" s="2627"/>
      <c r="BH591" s="2627"/>
      <c r="BI591" s="2627"/>
      <c r="BJ591" s="2627"/>
      <c r="BK591" s="2627"/>
      <c r="BL591" s="2627"/>
      <c r="BM591" s="2627"/>
      <c r="BN591" s="2627"/>
      <c r="BO591" s="2627"/>
      <c r="BP591" s="2627"/>
      <c r="BQ591" s="2627"/>
      <c r="BR591" s="2627"/>
      <c r="BS591" s="2627"/>
      <c r="BT591" s="2627"/>
      <c r="BU591" s="2627"/>
      <c r="BV591" s="2627"/>
      <c r="BW591" s="2627"/>
      <c r="BX591" s="2627"/>
      <c r="BY591" s="2627"/>
      <c r="BZ591" s="2627"/>
      <c r="CA591" s="2627"/>
      <c r="CB591" s="2627"/>
      <c r="CC591" s="2627"/>
      <c r="CD591" s="2627"/>
      <c r="CE591" s="2627"/>
      <c r="CF591" s="2627"/>
      <c r="CG591" s="2627"/>
      <c r="CH591" s="2627"/>
      <c r="CI591" s="2627"/>
      <c r="CJ591" s="2627"/>
      <c r="CK591" s="2681">
        <v>0</v>
      </c>
      <c r="CL591" s="2679">
        <f t="shared" ref="CL591:CW591" si="2356">CL590+CL589</f>
        <v>750</v>
      </c>
      <c r="CM591" s="2677">
        <f t="shared" si="2356"/>
        <v>750</v>
      </c>
      <c r="CN591" s="2677">
        <f t="shared" si="2356"/>
        <v>750</v>
      </c>
      <c r="CO591" s="2677">
        <f t="shared" si="2356"/>
        <v>750</v>
      </c>
      <c r="CP591" s="2679">
        <f t="shared" si="2356"/>
        <v>750</v>
      </c>
      <c r="CQ591" s="2677">
        <f t="shared" si="2356"/>
        <v>750</v>
      </c>
      <c r="CR591" s="2677">
        <f t="shared" si="2356"/>
        <v>750</v>
      </c>
      <c r="CS591" s="2677">
        <f t="shared" si="2356"/>
        <v>750</v>
      </c>
      <c r="CT591" s="2679">
        <f t="shared" si="2356"/>
        <v>750</v>
      </c>
      <c r="CU591" s="2677">
        <f t="shared" si="2356"/>
        <v>750</v>
      </c>
      <c r="CV591" s="2677">
        <f t="shared" si="2356"/>
        <v>750</v>
      </c>
      <c r="CW591" s="2680">
        <f t="shared" si="2356"/>
        <v>750</v>
      </c>
      <c r="CX591" s="2677"/>
      <c r="CY591" s="2677"/>
      <c r="CZ591" s="2677"/>
      <c r="DA591" s="2677"/>
      <c r="DB591" s="2679"/>
      <c r="DC591" s="2677"/>
      <c r="DD591" s="2677"/>
      <c r="DE591" s="2677"/>
      <c r="DF591" s="2677"/>
      <c r="DG591" s="2677"/>
      <c r="DH591" s="2677"/>
      <c r="DI591" s="2677"/>
      <c r="DJ591" s="2677"/>
      <c r="DK591" s="2677"/>
      <c r="DL591" s="2677"/>
      <c r="DM591" s="2677"/>
      <c r="DN591" s="2677"/>
      <c r="DO591" s="2677"/>
      <c r="DP591" s="2677"/>
      <c r="DQ591" s="2677"/>
      <c r="DR591" s="2677"/>
      <c r="DS591" s="2677"/>
      <c r="DT591" s="2677"/>
      <c r="DU591" s="2677"/>
      <c r="DV591" s="2677"/>
      <c r="DW591" s="2677"/>
      <c r="DX591" s="2677"/>
      <c r="DY591" s="2680"/>
    </row>
    <row r="592" spans="1:129" hidden="1" outlineLevel="1">
      <c r="A592" s="2685" t="s">
        <v>880</v>
      </c>
      <c r="B592" s="2627"/>
      <c r="C592" s="2627"/>
      <c r="D592" s="2627"/>
      <c r="E592" s="2627"/>
      <c r="F592" s="2627"/>
      <c r="G592" s="2627"/>
      <c r="H592" s="2627"/>
      <c r="I592" s="2627"/>
      <c r="J592" s="2627"/>
      <c r="K592" s="2627"/>
      <c r="L592" s="2627"/>
      <c r="M592" s="2627"/>
      <c r="N592" s="2627"/>
      <c r="O592" s="2681">
        <v>2013</v>
      </c>
      <c r="P592" s="2627"/>
      <c r="Q592" s="2627"/>
      <c r="R592" s="2627"/>
      <c r="S592" s="2627"/>
      <c r="T592" s="2627"/>
      <c r="U592" s="2627"/>
      <c r="V592" s="2627"/>
      <c r="W592" s="2627"/>
      <c r="X592" s="2627"/>
      <c r="Y592" s="2627"/>
      <c r="Z592" s="2627"/>
      <c r="AA592" s="2627"/>
      <c r="AB592" s="2627"/>
      <c r="AC592" s="2627"/>
      <c r="AD592" s="2627"/>
      <c r="AE592" s="2627"/>
      <c r="AF592" s="2627"/>
      <c r="AG592" s="2627"/>
      <c r="AI592" s="2456"/>
      <c r="AK592" s="2627"/>
      <c r="AL592" s="2627"/>
      <c r="AM592" s="2627"/>
      <c r="AN592" s="2627"/>
      <c r="AO592" s="2627"/>
      <c r="AP592" s="2627"/>
      <c r="AQ592" s="2627"/>
      <c r="AR592" s="2627"/>
      <c r="AS592" s="2627"/>
      <c r="AT592" s="2627"/>
      <c r="AU592" s="2627"/>
      <c r="AV592" s="2627"/>
      <c r="AW592" s="2627"/>
      <c r="AX592" s="2627"/>
      <c r="AY592" s="2627"/>
      <c r="AZ592" s="2627"/>
      <c r="BA592" s="2627"/>
      <c r="BB592" s="2627"/>
      <c r="BC592" s="2627"/>
      <c r="BD592" s="2627"/>
      <c r="BE592" s="2627"/>
      <c r="BF592" s="2627"/>
      <c r="BG592" s="2627"/>
      <c r="BH592" s="2627"/>
      <c r="BI592" s="2627"/>
      <c r="BJ592" s="2627"/>
      <c r="BK592" s="2627"/>
      <c r="BL592" s="2627"/>
      <c r="BM592" s="2627"/>
      <c r="BN592" s="2627"/>
      <c r="BO592" s="2627"/>
      <c r="BP592" s="2627"/>
      <c r="BQ592" s="2627"/>
      <c r="BR592" s="2627"/>
      <c r="BS592" s="2627"/>
      <c r="BT592" s="2627"/>
      <c r="BU592" s="2627"/>
      <c r="BV592" s="2627"/>
      <c r="BW592" s="2627"/>
      <c r="BX592" s="2627"/>
      <c r="BY592" s="2627"/>
      <c r="BZ592" s="2627"/>
      <c r="CA592" s="2627"/>
      <c r="CB592" s="2627"/>
      <c r="CC592" s="2627"/>
      <c r="CD592" s="2627"/>
      <c r="CE592" s="2627"/>
      <c r="CF592" s="2627"/>
      <c r="CG592" s="2627"/>
      <c r="CH592" s="2627"/>
      <c r="CI592" s="2627"/>
      <c r="CJ592" s="2627"/>
      <c r="CK592" s="2627"/>
      <c r="CL592" s="2629"/>
      <c r="CM592" s="2627"/>
      <c r="CN592" s="2627"/>
      <c r="CO592" s="2627"/>
      <c r="CP592" s="2629"/>
      <c r="CQ592" s="2627"/>
      <c r="CR592" s="2627"/>
      <c r="CS592" s="2627"/>
      <c r="CT592" s="2629"/>
      <c r="CU592" s="2627"/>
      <c r="CV592" s="2627"/>
      <c r="CW592" s="2628"/>
      <c r="CX592" s="2627"/>
      <c r="CY592" s="2627"/>
      <c r="CZ592" s="2627"/>
      <c r="DA592" s="2627"/>
      <c r="DB592" s="2629"/>
      <c r="DC592" s="2627"/>
      <c r="DD592" s="2627"/>
      <c r="DE592" s="2627"/>
      <c r="DF592" s="2627"/>
      <c r="DG592" s="2627"/>
      <c r="DH592" s="2627"/>
      <c r="DI592" s="2627"/>
      <c r="DJ592" s="2627"/>
      <c r="DK592" s="2627"/>
      <c r="DL592" s="2627"/>
      <c r="DM592" s="2627"/>
      <c r="DN592" s="2627"/>
      <c r="DO592" s="2627"/>
      <c r="DP592" s="2627"/>
      <c r="DQ592" s="2627"/>
      <c r="DR592" s="2627"/>
      <c r="DS592" s="2627"/>
      <c r="DT592" s="2627"/>
      <c r="DU592" s="2627"/>
      <c r="DV592" s="2627"/>
      <c r="DW592" s="2627"/>
      <c r="DX592" s="2627"/>
      <c r="DY592" s="2628"/>
    </row>
    <row r="593" spans="1:129" hidden="1" outlineLevel="1">
      <c r="A593" s="2676" t="s">
        <v>874</v>
      </c>
      <c r="B593" s="2627"/>
      <c r="C593" s="2627"/>
      <c r="D593" s="2627"/>
      <c r="E593" s="2627"/>
      <c r="F593" s="2627"/>
      <c r="G593" s="2627"/>
      <c r="H593" s="2627"/>
      <c r="I593" s="2627"/>
      <c r="J593" s="2627"/>
      <c r="K593" s="2627"/>
      <c r="L593" s="2627"/>
      <c r="M593" s="2627"/>
      <c r="N593" s="2627"/>
      <c r="O593" s="2681"/>
      <c r="P593" s="2677">
        <f>+CK593</f>
        <v>0</v>
      </c>
      <c r="Q593" s="2678">
        <f>+P595</f>
        <v>1250</v>
      </c>
      <c r="R593" s="2678">
        <f>CS593</f>
        <v>1250</v>
      </c>
      <c r="S593" s="2678">
        <f>+R595</f>
        <v>1250</v>
      </c>
      <c r="T593" s="2677"/>
      <c r="U593" s="2677"/>
      <c r="V593" s="2677"/>
      <c r="W593" s="2677"/>
      <c r="X593" s="2677"/>
      <c r="Y593" s="2677"/>
      <c r="Z593" s="2677"/>
      <c r="AA593" s="2677"/>
      <c r="AB593" s="2677"/>
      <c r="AC593" s="2677"/>
      <c r="AD593" s="2677"/>
      <c r="AE593" s="2677"/>
      <c r="AF593" s="2677"/>
      <c r="AG593" s="2677"/>
      <c r="AI593" s="2456"/>
      <c r="AK593" s="2627"/>
      <c r="AL593" s="2627"/>
      <c r="AM593" s="2627"/>
      <c r="AN593" s="2627"/>
      <c r="AO593" s="2627"/>
      <c r="AP593" s="2627"/>
      <c r="AQ593" s="2627"/>
      <c r="AR593" s="2627"/>
      <c r="AS593" s="2627"/>
      <c r="AT593" s="2627"/>
      <c r="AU593" s="2627"/>
      <c r="AV593" s="2627"/>
      <c r="AW593" s="2627"/>
      <c r="AX593" s="2627"/>
      <c r="AY593" s="2627"/>
      <c r="AZ593" s="2627"/>
      <c r="BA593" s="2627"/>
      <c r="BB593" s="2627"/>
      <c r="BC593" s="2627"/>
      <c r="BD593" s="2627"/>
      <c r="BE593" s="2627"/>
      <c r="BF593" s="2627"/>
      <c r="BG593" s="2627"/>
      <c r="BH593" s="2627"/>
      <c r="BI593" s="2627"/>
      <c r="BJ593" s="2627"/>
      <c r="BK593" s="2627"/>
      <c r="BL593" s="2627"/>
      <c r="BM593" s="2627"/>
      <c r="BN593" s="2627"/>
      <c r="BO593" s="2627"/>
      <c r="BP593" s="2627"/>
      <c r="BQ593" s="2627"/>
      <c r="BR593" s="2627"/>
      <c r="BS593" s="2627"/>
      <c r="BT593" s="2627"/>
      <c r="BU593" s="2627"/>
      <c r="BV593" s="2627"/>
      <c r="BW593" s="2627"/>
      <c r="BX593" s="2627"/>
      <c r="BY593" s="2627"/>
      <c r="BZ593" s="2627"/>
      <c r="CA593" s="2627"/>
      <c r="CB593" s="2627"/>
      <c r="CC593" s="2627"/>
      <c r="CD593" s="2627"/>
      <c r="CE593" s="2627"/>
      <c r="CF593" s="2627"/>
      <c r="CG593" s="2627"/>
      <c r="CH593" s="2627"/>
      <c r="CI593" s="2627"/>
      <c r="CJ593" s="2627"/>
      <c r="CK593" s="2677"/>
      <c r="CL593" s="2679">
        <f t="shared" ref="CL593:CW593" si="2357">CK595</f>
        <v>1250</v>
      </c>
      <c r="CM593" s="2677">
        <f t="shared" si="2357"/>
        <v>1250</v>
      </c>
      <c r="CN593" s="2677">
        <f t="shared" si="2357"/>
        <v>1250</v>
      </c>
      <c r="CO593" s="2677">
        <f t="shared" si="2357"/>
        <v>1250</v>
      </c>
      <c r="CP593" s="2679">
        <f t="shared" si="2357"/>
        <v>1250</v>
      </c>
      <c r="CQ593" s="2677">
        <f t="shared" si="2357"/>
        <v>1250</v>
      </c>
      <c r="CR593" s="2677">
        <f t="shared" si="2357"/>
        <v>1250</v>
      </c>
      <c r="CS593" s="2677">
        <f t="shared" si="2357"/>
        <v>1250</v>
      </c>
      <c r="CT593" s="2679">
        <f t="shared" si="2357"/>
        <v>1250</v>
      </c>
      <c r="CU593" s="2677">
        <f t="shared" si="2357"/>
        <v>1250</v>
      </c>
      <c r="CV593" s="2677">
        <f t="shared" si="2357"/>
        <v>1250</v>
      </c>
      <c r="CW593" s="2680">
        <f t="shared" si="2357"/>
        <v>1250</v>
      </c>
      <c r="CX593" s="2677"/>
      <c r="CY593" s="2677"/>
      <c r="CZ593" s="2677"/>
      <c r="DA593" s="2677"/>
      <c r="DB593" s="2679"/>
      <c r="DC593" s="2677"/>
      <c r="DD593" s="2677"/>
      <c r="DE593" s="2677"/>
      <c r="DF593" s="2677"/>
      <c r="DG593" s="2677"/>
      <c r="DH593" s="2677"/>
      <c r="DI593" s="2677"/>
      <c r="DJ593" s="2677"/>
      <c r="DK593" s="2677"/>
      <c r="DL593" s="2677"/>
      <c r="DM593" s="2677"/>
      <c r="DN593" s="2677"/>
      <c r="DO593" s="2677"/>
      <c r="DP593" s="2677"/>
      <c r="DQ593" s="2677"/>
      <c r="DR593" s="2677"/>
      <c r="DS593" s="2677"/>
      <c r="DT593" s="2677"/>
      <c r="DU593" s="2677"/>
      <c r="DV593" s="2677"/>
      <c r="DW593" s="2677"/>
      <c r="DX593" s="2677"/>
      <c r="DY593" s="2680"/>
    </row>
    <row r="594" spans="1:129" hidden="1" outlineLevel="1">
      <c r="A594" s="2676" t="s">
        <v>875</v>
      </c>
      <c r="B594" s="2627"/>
      <c r="C594" s="2627"/>
      <c r="D594" s="2627"/>
      <c r="E594" s="2627"/>
      <c r="F594" s="2627"/>
      <c r="G594" s="2627"/>
      <c r="H594" s="2627"/>
      <c r="I594" s="2627"/>
      <c r="J594" s="2627"/>
      <c r="K594" s="2627"/>
      <c r="L594" s="2627"/>
      <c r="M594" s="2627"/>
      <c r="N594" s="2627"/>
      <c r="O594" s="2681"/>
      <c r="P594" s="2677"/>
      <c r="Q594" s="2682">
        <f>SUM(CL594:CO594)</f>
        <v>0</v>
      </c>
      <c r="R594" s="2682">
        <f>SUM(CP594:CS594)</f>
        <v>0</v>
      </c>
      <c r="S594" s="2682"/>
      <c r="T594" s="2682"/>
      <c r="U594" s="2682"/>
      <c r="V594" s="2682"/>
      <c r="W594" s="2682"/>
      <c r="X594" s="2682"/>
      <c r="Y594" s="2682"/>
      <c r="Z594" s="2682"/>
      <c r="AA594" s="2627"/>
      <c r="AB594" s="2627"/>
      <c r="AC594" s="2627"/>
      <c r="AD594" s="2627"/>
      <c r="AE594" s="2627"/>
      <c r="AF594" s="2627"/>
      <c r="AG594" s="2627"/>
      <c r="AI594" s="2456"/>
      <c r="AK594" s="2627"/>
      <c r="AL594" s="2627"/>
      <c r="AM594" s="2627"/>
      <c r="AN594" s="2627"/>
      <c r="AO594" s="2627"/>
      <c r="AP594" s="2627"/>
      <c r="AQ594" s="2627"/>
      <c r="AR594" s="2627"/>
      <c r="AS594" s="2627"/>
      <c r="AT594" s="2627"/>
      <c r="AU594" s="2627"/>
      <c r="AV594" s="2627"/>
      <c r="AW594" s="2627"/>
      <c r="AX594" s="2627"/>
      <c r="AY594" s="2627"/>
      <c r="AZ594" s="2627"/>
      <c r="BA594" s="2627"/>
      <c r="BB594" s="2627"/>
      <c r="BC594" s="2627"/>
      <c r="BD594" s="2627"/>
      <c r="BE594" s="2627"/>
      <c r="BF594" s="2627"/>
      <c r="BG594" s="2627"/>
      <c r="BH594" s="2627"/>
      <c r="BI594" s="2627"/>
      <c r="BJ594" s="2627"/>
      <c r="BK594" s="2627"/>
      <c r="BL594" s="2627"/>
      <c r="BM594" s="2627"/>
      <c r="BN594" s="2627"/>
      <c r="BO594" s="2627"/>
      <c r="BP594" s="2627"/>
      <c r="BQ594" s="2627"/>
      <c r="BR594" s="2627"/>
      <c r="BS594" s="2627"/>
      <c r="BT594" s="2627"/>
      <c r="BU594" s="2627"/>
      <c r="BV594" s="2627"/>
      <c r="BW594" s="2627"/>
      <c r="BX594" s="2627"/>
      <c r="BY594" s="2627"/>
      <c r="BZ594" s="2627"/>
      <c r="CA594" s="2627"/>
      <c r="CB594" s="2627"/>
      <c r="CC594" s="2627"/>
      <c r="CD594" s="2627"/>
      <c r="CE594" s="2627"/>
      <c r="CF594" s="2627"/>
      <c r="CG594" s="2627"/>
      <c r="CH594" s="2627"/>
      <c r="CI594" s="2627"/>
      <c r="CJ594" s="2627"/>
      <c r="CK594" s="2677">
        <v>1250</v>
      </c>
      <c r="CL594" s="2679"/>
      <c r="CM594" s="2682"/>
      <c r="CN594" s="2682"/>
      <c r="CO594" s="2682"/>
      <c r="CP594" s="2683"/>
      <c r="CQ594" s="2682"/>
      <c r="CR594" s="2682"/>
      <c r="CS594" s="2682"/>
      <c r="CT594" s="2683"/>
      <c r="CU594" s="2682"/>
      <c r="CV594" s="2682"/>
      <c r="CW594" s="2684"/>
      <c r="CX594" s="2682"/>
      <c r="CY594" s="2682"/>
      <c r="CZ594" s="2682"/>
      <c r="DA594" s="2682"/>
      <c r="DB594" s="2683"/>
      <c r="DC594" s="2682"/>
      <c r="DD594" s="2682"/>
      <c r="DE594" s="2682"/>
      <c r="DF594" s="2682"/>
      <c r="DG594" s="2682"/>
      <c r="DH594" s="2682"/>
      <c r="DI594" s="2682"/>
      <c r="DJ594" s="2682"/>
      <c r="DK594" s="2682"/>
      <c r="DL594" s="2682"/>
      <c r="DM594" s="2682"/>
      <c r="DN594" s="2682"/>
      <c r="DO594" s="2682"/>
      <c r="DP594" s="2682"/>
      <c r="DQ594" s="2682"/>
      <c r="DR594" s="2682"/>
      <c r="DS594" s="2682"/>
      <c r="DT594" s="2682"/>
      <c r="DU594" s="2682"/>
      <c r="DV594" s="2682"/>
      <c r="DW594" s="2682"/>
      <c r="DX594" s="2682"/>
      <c r="DY594" s="2682"/>
    </row>
    <row r="595" spans="1:129" hidden="1" outlineLevel="1">
      <c r="A595" s="2676" t="s">
        <v>876</v>
      </c>
      <c r="B595" s="2627"/>
      <c r="C595" s="2627"/>
      <c r="D595" s="2627"/>
      <c r="E595" s="2627"/>
      <c r="F595" s="2627"/>
      <c r="G595" s="2627"/>
      <c r="H595" s="2627"/>
      <c r="I595" s="2627"/>
      <c r="J595" s="2627"/>
      <c r="K595" s="2627"/>
      <c r="L595" s="2627"/>
      <c r="M595" s="2627"/>
      <c r="N595" s="2627"/>
      <c r="O595" s="2681"/>
      <c r="P595" s="2677">
        <f>CK595</f>
        <v>1250</v>
      </c>
      <c r="Q595" s="2677">
        <f>+CO595</f>
        <v>1250</v>
      </c>
      <c r="R595" s="2678">
        <f>CS595</f>
        <v>1250</v>
      </c>
      <c r="S595" s="2678">
        <f>+S593+S594</f>
        <v>1250</v>
      </c>
      <c r="T595" s="2677"/>
      <c r="U595" s="2677"/>
      <c r="V595" s="2677"/>
      <c r="W595" s="2677"/>
      <c r="X595" s="2677"/>
      <c r="Y595" s="2677"/>
      <c r="Z595" s="2677"/>
      <c r="AA595" s="2677"/>
      <c r="AB595" s="2677"/>
      <c r="AC595" s="2677"/>
      <c r="AD595" s="2677"/>
      <c r="AE595" s="2677"/>
      <c r="AF595" s="2677"/>
      <c r="AG595" s="2677"/>
      <c r="AI595" s="2456"/>
      <c r="AK595" s="2627"/>
      <c r="AL595" s="2627"/>
      <c r="AM595" s="2627"/>
      <c r="AN595" s="2627"/>
      <c r="AO595" s="2627"/>
      <c r="AP595" s="2627"/>
      <c r="AQ595" s="2627"/>
      <c r="AR595" s="2627"/>
      <c r="AS595" s="2627"/>
      <c r="AT595" s="2627"/>
      <c r="AU595" s="2627"/>
      <c r="AV595" s="2627"/>
      <c r="AW595" s="2627"/>
      <c r="AX595" s="2627"/>
      <c r="AY595" s="2627"/>
      <c r="AZ595" s="2627"/>
      <c r="BA595" s="2627"/>
      <c r="BB595" s="2627"/>
      <c r="BC595" s="2627"/>
      <c r="BD595" s="2627"/>
      <c r="BE595" s="2627"/>
      <c r="BF595" s="2627"/>
      <c r="BG595" s="2627"/>
      <c r="BH595" s="2627"/>
      <c r="BI595" s="2627"/>
      <c r="BJ595" s="2627"/>
      <c r="BK595" s="2627"/>
      <c r="BL595" s="2627"/>
      <c r="BM595" s="2627"/>
      <c r="BN595" s="2627"/>
      <c r="BO595" s="2627"/>
      <c r="BP595" s="2627"/>
      <c r="BQ595" s="2627"/>
      <c r="BR595" s="2627"/>
      <c r="BS595" s="2627"/>
      <c r="BT595" s="2627"/>
      <c r="BU595" s="2627"/>
      <c r="BV595" s="2627"/>
      <c r="BW595" s="2627"/>
      <c r="BX595" s="2627"/>
      <c r="BY595" s="2627"/>
      <c r="BZ595" s="2627"/>
      <c r="CA595" s="2627"/>
      <c r="CB595" s="2627"/>
      <c r="CC595" s="2627"/>
      <c r="CD595" s="2627"/>
      <c r="CE595" s="2627"/>
      <c r="CF595" s="2627"/>
      <c r="CG595" s="2627"/>
      <c r="CH595" s="2627"/>
      <c r="CI595" s="2627"/>
      <c r="CJ595" s="2627"/>
      <c r="CK595" s="2677">
        <f t="shared" ref="CK595:CW595" si="2358">CK594+CK593</f>
        <v>1250</v>
      </c>
      <c r="CL595" s="2679">
        <f t="shared" si="2358"/>
        <v>1250</v>
      </c>
      <c r="CM595" s="2677">
        <f t="shared" si="2358"/>
        <v>1250</v>
      </c>
      <c r="CN595" s="2677">
        <f t="shared" si="2358"/>
        <v>1250</v>
      </c>
      <c r="CO595" s="2677">
        <f t="shared" si="2358"/>
        <v>1250</v>
      </c>
      <c r="CP595" s="2679">
        <f t="shared" si="2358"/>
        <v>1250</v>
      </c>
      <c r="CQ595" s="2677">
        <f t="shared" si="2358"/>
        <v>1250</v>
      </c>
      <c r="CR595" s="2677">
        <f t="shared" si="2358"/>
        <v>1250</v>
      </c>
      <c r="CS595" s="2677">
        <f t="shared" si="2358"/>
        <v>1250</v>
      </c>
      <c r="CT595" s="2679">
        <f t="shared" si="2358"/>
        <v>1250</v>
      </c>
      <c r="CU595" s="2677">
        <f t="shared" si="2358"/>
        <v>1250</v>
      </c>
      <c r="CV595" s="2677">
        <f t="shared" si="2358"/>
        <v>1250</v>
      </c>
      <c r="CW595" s="2680">
        <f t="shared" si="2358"/>
        <v>1250</v>
      </c>
      <c r="CX595" s="2677"/>
      <c r="CY595" s="2677"/>
      <c r="CZ595" s="2677"/>
      <c r="DA595" s="2677"/>
      <c r="DB595" s="2679"/>
      <c r="DC595" s="2677"/>
      <c r="DD595" s="2677"/>
      <c r="DE595" s="2677"/>
      <c r="DF595" s="2677"/>
      <c r="DG595" s="2677"/>
      <c r="DH595" s="2677"/>
      <c r="DI595" s="2677"/>
      <c r="DJ595" s="2677"/>
      <c r="DK595" s="2677"/>
      <c r="DL595" s="2677"/>
      <c r="DM595" s="2677"/>
      <c r="DN595" s="2677"/>
      <c r="DO595" s="2677"/>
      <c r="DP595" s="2677"/>
      <c r="DQ595" s="2677"/>
      <c r="DR595" s="2677"/>
      <c r="DS595" s="2677"/>
      <c r="DT595" s="2677"/>
      <c r="DU595" s="2677"/>
      <c r="DV595" s="2677"/>
      <c r="DW595" s="2677"/>
      <c r="DX595" s="2677"/>
      <c r="DY595" s="2680"/>
    </row>
    <row r="596" spans="1:129" hidden="1" outlineLevel="1">
      <c r="A596" s="2685" t="s">
        <v>881</v>
      </c>
      <c r="B596" s="2627"/>
      <c r="C596" s="2627"/>
      <c r="D596" s="2627"/>
      <c r="E596" s="2627"/>
      <c r="F596" s="2627"/>
      <c r="G596" s="2627"/>
      <c r="H596" s="2627"/>
      <c r="I596" s="2627"/>
      <c r="J596" s="2627"/>
      <c r="K596" s="2627"/>
      <c r="L596" s="2627"/>
      <c r="M596" s="2627"/>
      <c r="N596" s="2627"/>
      <c r="O596" s="2681">
        <v>2014</v>
      </c>
      <c r="P596" s="2627"/>
      <c r="Q596" s="2627"/>
      <c r="R596" s="2627"/>
      <c r="S596" s="2627"/>
      <c r="T596" s="2627"/>
      <c r="U596" s="2627"/>
      <c r="V596" s="2627"/>
      <c r="W596" s="2627"/>
      <c r="X596" s="2627"/>
      <c r="Y596" s="2627"/>
      <c r="Z596" s="2627"/>
      <c r="AA596" s="2627"/>
      <c r="AB596" s="2627"/>
      <c r="AC596" s="2627"/>
      <c r="AD596" s="2627"/>
      <c r="AE596" s="2627"/>
      <c r="AF596" s="2627"/>
      <c r="AG596" s="2627"/>
      <c r="AI596" s="2456"/>
      <c r="AK596" s="2627"/>
      <c r="AL596" s="2627"/>
      <c r="AM596" s="2627"/>
      <c r="AN596" s="2627"/>
      <c r="AO596" s="2627"/>
      <c r="AP596" s="2627"/>
      <c r="AQ596" s="2627"/>
      <c r="AR596" s="2627"/>
      <c r="AS596" s="2627"/>
      <c r="AT596" s="2627"/>
      <c r="AU596" s="2627"/>
      <c r="AV596" s="2627"/>
      <c r="AW596" s="2627"/>
      <c r="AX596" s="2627"/>
      <c r="AY596" s="2627"/>
      <c r="AZ596" s="2627"/>
      <c r="BA596" s="2627"/>
      <c r="BB596" s="2627"/>
      <c r="BC596" s="2627"/>
      <c r="BD596" s="2627"/>
      <c r="BE596" s="2627"/>
      <c r="BF596" s="2627"/>
      <c r="BG596" s="2627"/>
      <c r="BH596" s="2627"/>
      <c r="BI596" s="2627"/>
      <c r="BJ596" s="2627"/>
      <c r="BK596" s="2627"/>
      <c r="BL596" s="2627"/>
      <c r="BM596" s="2627"/>
      <c r="BN596" s="2627"/>
      <c r="BO596" s="2627"/>
      <c r="BP596" s="2627"/>
      <c r="BQ596" s="2627"/>
      <c r="BR596" s="2627"/>
      <c r="BS596" s="2627"/>
      <c r="BT596" s="2627"/>
      <c r="BU596" s="2627"/>
      <c r="BV596" s="2627"/>
      <c r="BW596" s="2627"/>
      <c r="BX596" s="2627"/>
      <c r="BY596" s="2627"/>
      <c r="BZ596" s="2627"/>
      <c r="CA596" s="2627"/>
      <c r="CB596" s="2627"/>
      <c r="CC596" s="2627"/>
      <c r="CD596" s="2627"/>
      <c r="CE596" s="2627"/>
      <c r="CF596" s="2627"/>
      <c r="CG596" s="2627"/>
      <c r="CH596" s="2627"/>
      <c r="CI596" s="2627"/>
      <c r="CJ596" s="2627"/>
      <c r="CK596" s="2627"/>
      <c r="CL596" s="2629"/>
      <c r="CM596" s="2627"/>
      <c r="CN596" s="2627"/>
      <c r="CO596" s="2627"/>
      <c r="CP596" s="2629"/>
      <c r="CQ596" s="2627"/>
      <c r="CR596" s="2627"/>
      <c r="CS596" s="2627"/>
      <c r="CT596" s="2629"/>
      <c r="CU596" s="2627"/>
      <c r="CV596" s="2627"/>
      <c r="CW596" s="2628"/>
      <c r="CX596" s="2627"/>
      <c r="CY596" s="2627"/>
      <c r="CZ596" s="2627"/>
      <c r="DA596" s="2627"/>
      <c r="DB596" s="2629"/>
      <c r="DC596" s="2627"/>
      <c r="DD596" s="2627"/>
      <c r="DE596" s="2627"/>
      <c r="DF596" s="2627"/>
      <c r="DG596" s="2627"/>
      <c r="DH596" s="2627"/>
      <c r="DI596" s="2627"/>
      <c r="DJ596" s="2627"/>
      <c r="DK596" s="2627"/>
      <c r="DL596" s="2627"/>
      <c r="DM596" s="2627"/>
      <c r="DN596" s="2627"/>
      <c r="DO596" s="2627"/>
      <c r="DP596" s="2627"/>
      <c r="DQ596" s="2627"/>
      <c r="DR596" s="2627"/>
      <c r="DS596" s="2627"/>
      <c r="DT596" s="2627"/>
      <c r="DU596" s="2627"/>
      <c r="DV596" s="2627"/>
      <c r="DW596" s="2627"/>
      <c r="DX596" s="2627"/>
      <c r="DY596" s="2628"/>
    </row>
    <row r="597" spans="1:129" hidden="1" outlineLevel="1">
      <c r="A597" s="2676" t="s">
        <v>874</v>
      </c>
      <c r="B597" s="2627"/>
      <c r="C597" s="2627"/>
      <c r="D597" s="2627"/>
      <c r="E597" s="2627"/>
      <c r="F597" s="2627"/>
      <c r="G597" s="2627"/>
      <c r="H597" s="2627"/>
      <c r="I597" s="2627"/>
      <c r="J597" s="2627"/>
      <c r="K597" s="2627"/>
      <c r="L597" s="2627"/>
      <c r="M597" s="2627"/>
      <c r="N597" s="2627"/>
      <c r="O597" s="2681"/>
      <c r="P597" s="2677">
        <f>+CK597</f>
        <v>0</v>
      </c>
      <c r="Q597" s="2678">
        <f>+P599</f>
        <v>0</v>
      </c>
      <c r="R597" s="2678">
        <f>CS597</f>
        <v>3500</v>
      </c>
      <c r="S597" s="2678">
        <f>+R599</f>
        <v>3500</v>
      </c>
      <c r="T597" s="2677"/>
      <c r="U597" s="2677"/>
      <c r="V597" s="2677"/>
      <c r="W597" s="2677"/>
      <c r="X597" s="2677"/>
      <c r="Y597" s="2677"/>
      <c r="Z597" s="2677"/>
      <c r="AA597" s="2677"/>
      <c r="AB597" s="2677"/>
      <c r="AC597" s="2677"/>
      <c r="AD597" s="2677"/>
      <c r="AE597" s="2677"/>
      <c r="AF597" s="2677"/>
      <c r="AG597" s="2677"/>
      <c r="AI597" s="2456"/>
      <c r="AK597" s="2627"/>
      <c r="AL597" s="2627"/>
      <c r="AM597" s="2627"/>
      <c r="AN597" s="2627"/>
      <c r="AO597" s="2627"/>
      <c r="AP597" s="2627"/>
      <c r="AQ597" s="2627"/>
      <c r="AR597" s="2627"/>
      <c r="AS597" s="2627"/>
      <c r="AT597" s="2627"/>
      <c r="AU597" s="2627"/>
      <c r="AV597" s="2627"/>
      <c r="AW597" s="2627"/>
      <c r="AX597" s="2627"/>
      <c r="AY597" s="2627"/>
      <c r="AZ597" s="2627"/>
      <c r="BA597" s="2627"/>
      <c r="BB597" s="2627"/>
      <c r="BC597" s="2627"/>
      <c r="BD597" s="2627"/>
      <c r="BE597" s="2627"/>
      <c r="BF597" s="2627"/>
      <c r="BG597" s="2627"/>
      <c r="BH597" s="2627"/>
      <c r="BI597" s="2627"/>
      <c r="BJ597" s="2627"/>
      <c r="BK597" s="2627"/>
      <c r="BL597" s="2627"/>
      <c r="BM597" s="2627"/>
      <c r="BN597" s="2627"/>
      <c r="BO597" s="2627"/>
      <c r="BP597" s="2627"/>
      <c r="BQ597" s="2627"/>
      <c r="BR597" s="2627"/>
      <c r="BS597" s="2627"/>
      <c r="BT597" s="2627"/>
      <c r="BU597" s="2627"/>
      <c r="BV597" s="2627"/>
      <c r="BW597" s="2627"/>
      <c r="BX597" s="2627"/>
      <c r="BY597" s="2627"/>
      <c r="BZ597" s="2627"/>
      <c r="CA597" s="2627"/>
      <c r="CB597" s="2627"/>
      <c r="CC597" s="2627"/>
      <c r="CD597" s="2627"/>
      <c r="CE597" s="2627"/>
      <c r="CF597" s="2627"/>
      <c r="CG597" s="2627"/>
      <c r="CH597" s="2627"/>
      <c r="CI597" s="2627"/>
      <c r="CJ597" s="2627"/>
      <c r="CK597" s="2681">
        <v>0</v>
      </c>
      <c r="CL597" s="2679">
        <f t="shared" ref="CL597:CW597" si="2359">CK599</f>
        <v>0</v>
      </c>
      <c r="CM597" s="2677">
        <f t="shared" si="2359"/>
        <v>3500</v>
      </c>
      <c r="CN597" s="2677">
        <f t="shared" si="2359"/>
        <v>3500</v>
      </c>
      <c r="CO597" s="2677">
        <f t="shared" si="2359"/>
        <v>3500</v>
      </c>
      <c r="CP597" s="2679">
        <f t="shared" si="2359"/>
        <v>3500</v>
      </c>
      <c r="CQ597" s="2677">
        <f t="shared" si="2359"/>
        <v>3500</v>
      </c>
      <c r="CR597" s="2677">
        <f t="shared" si="2359"/>
        <v>3500</v>
      </c>
      <c r="CS597" s="2677">
        <f t="shared" si="2359"/>
        <v>3500</v>
      </c>
      <c r="CT597" s="2679">
        <f t="shared" si="2359"/>
        <v>3500</v>
      </c>
      <c r="CU597" s="2677">
        <f t="shared" si="2359"/>
        <v>3500</v>
      </c>
      <c r="CV597" s="2677">
        <f t="shared" si="2359"/>
        <v>3500</v>
      </c>
      <c r="CW597" s="2680">
        <f t="shared" si="2359"/>
        <v>3500</v>
      </c>
      <c r="CX597" s="2677"/>
      <c r="CY597" s="2677"/>
      <c r="CZ597" s="2677"/>
      <c r="DA597" s="2677"/>
      <c r="DB597" s="2679"/>
      <c r="DC597" s="2677"/>
      <c r="DD597" s="2677"/>
      <c r="DE597" s="2677"/>
      <c r="DF597" s="2677"/>
      <c r="DG597" s="2677"/>
      <c r="DH597" s="2677"/>
      <c r="DI597" s="2677"/>
      <c r="DJ597" s="2677"/>
      <c r="DK597" s="2677"/>
      <c r="DL597" s="2677"/>
      <c r="DM597" s="2677"/>
      <c r="DN597" s="2677"/>
      <c r="DO597" s="2677"/>
      <c r="DP597" s="2677"/>
      <c r="DQ597" s="2677"/>
      <c r="DR597" s="2677"/>
      <c r="DS597" s="2677"/>
      <c r="DT597" s="2677"/>
      <c r="DU597" s="2677"/>
      <c r="DV597" s="2677"/>
      <c r="DW597" s="2677"/>
      <c r="DX597" s="2677"/>
      <c r="DY597" s="2680"/>
    </row>
    <row r="598" spans="1:129" hidden="1" outlineLevel="1">
      <c r="A598" s="2676" t="s">
        <v>875</v>
      </c>
      <c r="B598" s="2627"/>
      <c r="C598" s="2627"/>
      <c r="D598" s="2627"/>
      <c r="E598" s="2627"/>
      <c r="F598" s="2627"/>
      <c r="G598" s="2627"/>
      <c r="H598" s="2627"/>
      <c r="I598" s="2627"/>
      <c r="J598" s="2627"/>
      <c r="K598" s="2627"/>
      <c r="L598" s="2627"/>
      <c r="M598" s="2627"/>
      <c r="N598" s="2627"/>
      <c r="O598" s="2681"/>
      <c r="P598" s="2677"/>
      <c r="Q598" s="2682">
        <f>SUM(CL598:CO598)</f>
        <v>3500</v>
      </c>
      <c r="R598" s="2682">
        <f>SUM(CP598:CS598)</f>
        <v>0</v>
      </c>
      <c r="S598" s="2682"/>
      <c r="T598" s="2682"/>
      <c r="U598" s="2682"/>
      <c r="V598" s="2682"/>
      <c r="W598" s="2682"/>
      <c r="X598" s="2682"/>
      <c r="Y598" s="2682"/>
      <c r="Z598" s="2682"/>
      <c r="AA598" s="2627"/>
      <c r="AB598" s="2627"/>
      <c r="AC598" s="2627"/>
      <c r="AD598" s="2627"/>
      <c r="AE598" s="2627"/>
      <c r="AF598" s="2627"/>
      <c r="AG598" s="2627"/>
      <c r="AI598" s="2456"/>
      <c r="AK598" s="2627"/>
      <c r="AL598" s="2627"/>
      <c r="AM598" s="2627"/>
      <c r="AN598" s="2627"/>
      <c r="AO598" s="2627"/>
      <c r="AP598" s="2627"/>
      <c r="AQ598" s="2627"/>
      <c r="AR598" s="2627"/>
      <c r="AS598" s="2627"/>
      <c r="AT598" s="2627"/>
      <c r="AU598" s="2627"/>
      <c r="AV598" s="2627"/>
      <c r="AW598" s="2627"/>
      <c r="AX598" s="2627"/>
      <c r="AY598" s="2627"/>
      <c r="AZ598" s="2627"/>
      <c r="BA598" s="2627"/>
      <c r="BB598" s="2627"/>
      <c r="BC598" s="2627"/>
      <c r="BD598" s="2627"/>
      <c r="BE598" s="2627"/>
      <c r="BF598" s="2627"/>
      <c r="BG598" s="2627"/>
      <c r="BH598" s="2627"/>
      <c r="BI598" s="2627"/>
      <c r="BJ598" s="2627"/>
      <c r="BK598" s="2627"/>
      <c r="BL598" s="2627"/>
      <c r="BM598" s="2627"/>
      <c r="BN598" s="2627"/>
      <c r="BO598" s="2627"/>
      <c r="BP598" s="2627"/>
      <c r="BQ598" s="2627"/>
      <c r="BR598" s="2627"/>
      <c r="BS598" s="2627"/>
      <c r="BT598" s="2627"/>
      <c r="BU598" s="2627"/>
      <c r="BV598" s="2627"/>
      <c r="BW598" s="2627"/>
      <c r="BX598" s="2627"/>
      <c r="BY598" s="2627"/>
      <c r="BZ598" s="2627"/>
      <c r="CA598" s="2627"/>
      <c r="CB598" s="2627"/>
      <c r="CC598" s="2627"/>
      <c r="CD598" s="2627"/>
      <c r="CE598" s="2627"/>
      <c r="CF598" s="2627"/>
      <c r="CG598" s="2627"/>
      <c r="CH598" s="2627"/>
      <c r="CI598" s="2627"/>
      <c r="CJ598" s="2627"/>
      <c r="CK598" s="2681"/>
      <c r="CL598" s="2683">
        <v>3500</v>
      </c>
      <c r="CM598" s="2682"/>
      <c r="CN598" s="2682"/>
      <c r="CO598" s="2682"/>
      <c r="CP598" s="2683"/>
      <c r="CQ598" s="2682"/>
      <c r="CR598" s="2682"/>
      <c r="CS598" s="2682"/>
      <c r="CT598" s="2683"/>
      <c r="CU598" s="2682"/>
      <c r="CV598" s="2682"/>
      <c r="CW598" s="2684"/>
      <c r="CX598" s="2682"/>
      <c r="CY598" s="2682"/>
      <c r="CZ598" s="2682"/>
      <c r="DA598" s="2682"/>
      <c r="DB598" s="2683"/>
      <c r="DC598" s="2682"/>
      <c r="DD598" s="2682"/>
      <c r="DE598" s="2682"/>
      <c r="DF598" s="2682"/>
      <c r="DG598" s="2682"/>
      <c r="DH598" s="2682"/>
      <c r="DI598" s="2682"/>
      <c r="DJ598" s="2682"/>
      <c r="DK598" s="2682"/>
      <c r="DL598" s="2682"/>
      <c r="DM598" s="2682"/>
      <c r="DN598" s="2682"/>
      <c r="DO598" s="2682"/>
      <c r="DP598" s="2682"/>
      <c r="DQ598" s="2682"/>
      <c r="DR598" s="2682"/>
      <c r="DS598" s="2682"/>
      <c r="DT598" s="2682"/>
      <c r="DU598" s="2682"/>
      <c r="DV598" s="2682"/>
      <c r="DW598" s="2682"/>
      <c r="DX598" s="2682"/>
      <c r="DY598" s="2684"/>
    </row>
    <row r="599" spans="1:129" hidden="1" outlineLevel="1">
      <c r="A599" s="2676" t="s">
        <v>876</v>
      </c>
      <c r="B599" s="2627"/>
      <c r="C599" s="2627"/>
      <c r="D599" s="2627"/>
      <c r="E599" s="2627"/>
      <c r="F599" s="2627"/>
      <c r="G599" s="2627"/>
      <c r="H599" s="2627"/>
      <c r="I599" s="2627"/>
      <c r="J599" s="2627"/>
      <c r="K599" s="2627"/>
      <c r="L599" s="2627"/>
      <c r="M599" s="2627"/>
      <c r="N599" s="2627"/>
      <c r="O599" s="2681"/>
      <c r="P599" s="2677">
        <f>CK599</f>
        <v>0</v>
      </c>
      <c r="Q599" s="2677">
        <f>+CO599</f>
        <v>3500</v>
      </c>
      <c r="R599" s="2678">
        <f>CS599</f>
        <v>3500</v>
      </c>
      <c r="S599" s="2678">
        <f>+S597+S598</f>
        <v>3500</v>
      </c>
      <c r="T599" s="2677"/>
      <c r="U599" s="2677"/>
      <c r="V599" s="2677"/>
      <c r="W599" s="2677"/>
      <c r="X599" s="2677"/>
      <c r="Y599" s="2677"/>
      <c r="Z599" s="2677"/>
      <c r="AA599" s="2677"/>
      <c r="AB599" s="2677"/>
      <c r="AC599" s="2677"/>
      <c r="AD599" s="2677"/>
      <c r="AE599" s="2677"/>
      <c r="AF599" s="2677"/>
      <c r="AG599" s="2677"/>
      <c r="AI599" s="2456"/>
      <c r="AK599" s="2627"/>
      <c r="AL599" s="2627"/>
      <c r="AM599" s="2627"/>
      <c r="AN599" s="2627"/>
      <c r="AO599" s="2627"/>
      <c r="AP599" s="2627"/>
      <c r="AQ599" s="2627"/>
      <c r="AR599" s="2627"/>
      <c r="AS599" s="2627"/>
      <c r="AT599" s="2627"/>
      <c r="AU599" s="2627"/>
      <c r="AV599" s="2627"/>
      <c r="AW599" s="2627"/>
      <c r="AX599" s="2627"/>
      <c r="AY599" s="2627"/>
      <c r="AZ599" s="2627"/>
      <c r="BA599" s="2627"/>
      <c r="BB599" s="2627"/>
      <c r="BC599" s="2627"/>
      <c r="BD599" s="2627"/>
      <c r="BE599" s="2627"/>
      <c r="BF599" s="2627"/>
      <c r="BG599" s="2627"/>
      <c r="BH599" s="2627"/>
      <c r="BI599" s="2627"/>
      <c r="BJ599" s="2627"/>
      <c r="BK599" s="2627"/>
      <c r="BL599" s="2627"/>
      <c r="BM599" s="2627"/>
      <c r="BN599" s="2627"/>
      <c r="BO599" s="2627"/>
      <c r="BP599" s="2627"/>
      <c r="BQ599" s="2627"/>
      <c r="BR599" s="2627"/>
      <c r="BS599" s="2627"/>
      <c r="BT599" s="2627"/>
      <c r="BU599" s="2627"/>
      <c r="BV599" s="2627"/>
      <c r="BW599" s="2627"/>
      <c r="BX599" s="2627"/>
      <c r="BY599" s="2627"/>
      <c r="BZ599" s="2627"/>
      <c r="CA599" s="2627"/>
      <c r="CB599" s="2627"/>
      <c r="CC599" s="2627"/>
      <c r="CD599" s="2627"/>
      <c r="CE599" s="2627"/>
      <c r="CF599" s="2627"/>
      <c r="CG599" s="2627"/>
      <c r="CH599" s="2627"/>
      <c r="CI599" s="2627"/>
      <c r="CJ599" s="2627"/>
      <c r="CK599" s="2681"/>
      <c r="CL599" s="2679">
        <f t="shared" ref="CL599:CW599" si="2360">CL598+CL597</f>
        <v>3500</v>
      </c>
      <c r="CM599" s="2677">
        <f t="shared" si="2360"/>
        <v>3500</v>
      </c>
      <c r="CN599" s="2677">
        <f t="shared" si="2360"/>
        <v>3500</v>
      </c>
      <c r="CO599" s="2677">
        <f t="shared" si="2360"/>
        <v>3500</v>
      </c>
      <c r="CP599" s="2679">
        <f t="shared" si="2360"/>
        <v>3500</v>
      </c>
      <c r="CQ599" s="2677">
        <f t="shared" si="2360"/>
        <v>3500</v>
      </c>
      <c r="CR599" s="2677">
        <f t="shared" si="2360"/>
        <v>3500</v>
      </c>
      <c r="CS599" s="2677">
        <f t="shared" si="2360"/>
        <v>3500</v>
      </c>
      <c r="CT599" s="2679">
        <f t="shared" si="2360"/>
        <v>3500</v>
      </c>
      <c r="CU599" s="2677">
        <f t="shared" si="2360"/>
        <v>3500</v>
      </c>
      <c r="CV599" s="2677">
        <f t="shared" si="2360"/>
        <v>3500</v>
      </c>
      <c r="CW599" s="2680">
        <f t="shared" si="2360"/>
        <v>3500</v>
      </c>
      <c r="CX599" s="2677"/>
      <c r="CY599" s="2677"/>
      <c r="CZ599" s="2677"/>
      <c r="DA599" s="2677"/>
      <c r="DB599" s="2679"/>
      <c r="DC599" s="2677"/>
      <c r="DD599" s="2677"/>
      <c r="DE599" s="2677"/>
      <c r="DF599" s="2677"/>
      <c r="DG599" s="2677"/>
      <c r="DH599" s="2677"/>
      <c r="DI599" s="2677"/>
      <c r="DJ599" s="2677"/>
      <c r="DK599" s="2677"/>
      <c r="DL599" s="2677"/>
      <c r="DM599" s="2677"/>
      <c r="DN599" s="2677"/>
      <c r="DO599" s="2677"/>
      <c r="DP599" s="2677"/>
      <c r="DQ599" s="2677"/>
      <c r="DR599" s="2677"/>
      <c r="DS599" s="2677"/>
      <c r="DT599" s="2677"/>
      <c r="DU599" s="2677"/>
      <c r="DV599" s="2677"/>
      <c r="DW599" s="2677"/>
      <c r="DX599" s="2677"/>
      <c r="DY599" s="2680"/>
    </row>
    <row r="600" spans="1:129" hidden="1" outlineLevel="1">
      <c r="A600" s="2685" t="s">
        <v>882</v>
      </c>
      <c r="B600" s="2627"/>
      <c r="C600" s="2627"/>
      <c r="D600" s="2627"/>
      <c r="E600" s="2627"/>
      <c r="F600" s="2627"/>
      <c r="G600" s="2627"/>
      <c r="H600" s="2627"/>
      <c r="I600" s="2627"/>
      <c r="J600" s="2627"/>
      <c r="K600" s="2627"/>
      <c r="L600" s="2627"/>
      <c r="M600" s="2627"/>
      <c r="N600" s="2627"/>
      <c r="O600" s="2681">
        <v>2015</v>
      </c>
      <c r="P600" s="2677"/>
      <c r="Q600" s="2627"/>
      <c r="R600" s="2627"/>
      <c r="S600" s="2627"/>
      <c r="T600" s="2627"/>
      <c r="U600" s="2627"/>
      <c r="V600" s="2627"/>
      <c r="W600" s="2627"/>
      <c r="X600" s="2627"/>
      <c r="Y600" s="2627"/>
      <c r="Z600" s="2627"/>
      <c r="AA600" s="2627"/>
      <c r="AB600" s="2627"/>
      <c r="AC600" s="2627"/>
      <c r="AD600" s="2627"/>
      <c r="AE600" s="2627"/>
      <c r="AF600" s="2627"/>
      <c r="AG600" s="2627"/>
      <c r="AI600" s="2456"/>
      <c r="AK600" s="2627"/>
      <c r="AL600" s="2627"/>
      <c r="AM600" s="2627"/>
      <c r="AN600" s="2627"/>
      <c r="AO600" s="2627"/>
      <c r="AP600" s="2627"/>
      <c r="AQ600" s="2627"/>
      <c r="AR600" s="2627"/>
      <c r="AS600" s="2627"/>
      <c r="AT600" s="2627"/>
      <c r="AU600" s="2627"/>
      <c r="AV600" s="2627"/>
      <c r="AW600" s="2627"/>
      <c r="AX600" s="2627"/>
      <c r="AY600" s="2627"/>
      <c r="AZ600" s="2627"/>
      <c r="BA600" s="2627"/>
      <c r="BB600" s="2627"/>
      <c r="BC600" s="2627"/>
      <c r="BD600" s="2627"/>
      <c r="BE600" s="2627"/>
      <c r="BF600" s="2627"/>
      <c r="BG600" s="2627"/>
      <c r="BH600" s="2627"/>
      <c r="BI600" s="2627"/>
      <c r="BJ600" s="2627"/>
      <c r="BK600" s="2627"/>
      <c r="BL600" s="2627"/>
      <c r="BM600" s="2627"/>
      <c r="BN600" s="2627"/>
      <c r="BO600" s="2627"/>
      <c r="BP600" s="2627"/>
      <c r="BQ600" s="2627"/>
      <c r="BR600" s="2627"/>
      <c r="BS600" s="2627"/>
      <c r="BT600" s="2627"/>
      <c r="BU600" s="2627"/>
      <c r="BV600" s="2627"/>
      <c r="BW600" s="2627"/>
      <c r="BX600" s="2627"/>
      <c r="BY600" s="2627"/>
      <c r="BZ600" s="2627"/>
      <c r="CA600" s="2627"/>
      <c r="CB600" s="2627"/>
      <c r="CC600" s="2627"/>
      <c r="CD600" s="2627"/>
      <c r="CE600" s="2627"/>
      <c r="CF600" s="2627"/>
      <c r="CG600" s="2627"/>
      <c r="CH600" s="2627"/>
      <c r="CI600" s="2627"/>
      <c r="CJ600" s="2627"/>
      <c r="CK600" s="2627"/>
      <c r="CL600" s="2629"/>
      <c r="CM600" s="2627"/>
      <c r="CN600" s="2627"/>
      <c r="CO600" s="2627"/>
      <c r="CP600" s="2629"/>
      <c r="CQ600" s="2627"/>
      <c r="CR600" s="2627"/>
      <c r="CS600" s="2627"/>
      <c r="CT600" s="2629"/>
      <c r="CU600" s="2627"/>
      <c r="CV600" s="2627"/>
      <c r="CW600" s="2628"/>
      <c r="CX600" s="2627"/>
      <c r="CY600" s="2627"/>
      <c r="CZ600" s="2627"/>
      <c r="DA600" s="2627"/>
      <c r="DB600" s="2629"/>
      <c r="DC600" s="2627"/>
      <c r="DD600" s="2627"/>
      <c r="DE600" s="2627"/>
      <c r="DF600" s="2627"/>
      <c r="DG600" s="2627"/>
      <c r="DH600" s="2627"/>
      <c r="DI600" s="2627"/>
      <c r="DJ600" s="2627"/>
      <c r="DK600" s="2627"/>
      <c r="DL600" s="2627"/>
      <c r="DM600" s="2627"/>
      <c r="DN600" s="2627"/>
      <c r="DO600" s="2627"/>
      <c r="DP600" s="2627"/>
      <c r="DQ600" s="2627"/>
      <c r="DR600" s="2627"/>
      <c r="DS600" s="2627"/>
      <c r="DT600" s="2627"/>
      <c r="DU600" s="2627"/>
      <c r="DV600" s="2627"/>
      <c r="DW600" s="2627"/>
      <c r="DX600" s="2627"/>
      <c r="DY600" s="2628"/>
    </row>
    <row r="601" spans="1:129" hidden="1" outlineLevel="1">
      <c r="A601" s="2676" t="s">
        <v>874</v>
      </c>
      <c r="B601" s="2627"/>
      <c r="C601" s="2627"/>
      <c r="D601" s="2627"/>
      <c r="E601" s="2627"/>
      <c r="F601" s="2627"/>
      <c r="G601" s="2627"/>
      <c r="H601" s="2627"/>
      <c r="I601" s="2627"/>
      <c r="J601" s="2627"/>
      <c r="K601" s="2627"/>
      <c r="L601" s="2627"/>
      <c r="M601" s="2627"/>
      <c r="N601" s="2627"/>
      <c r="O601" s="2681"/>
      <c r="P601" s="2677"/>
      <c r="Q601" s="2678">
        <f>+P603</f>
        <v>699</v>
      </c>
      <c r="R601" s="2678">
        <f>CS601</f>
        <v>716</v>
      </c>
      <c r="S601" s="2678">
        <f>+R603</f>
        <v>716</v>
      </c>
      <c r="T601" s="2678"/>
      <c r="U601" s="2678"/>
      <c r="V601" s="2678"/>
      <c r="W601" s="2678"/>
      <c r="X601" s="2678"/>
      <c r="Y601" s="2678"/>
      <c r="Z601" s="2678"/>
      <c r="AA601" s="2678"/>
      <c r="AB601" s="2678"/>
      <c r="AC601" s="2678"/>
      <c r="AD601" s="2678"/>
      <c r="AE601" s="2678"/>
      <c r="AF601" s="2678"/>
      <c r="AG601" s="2678"/>
      <c r="AI601" s="2456"/>
      <c r="AK601" s="2627"/>
      <c r="AL601" s="2627"/>
      <c r="AM601" s="2627"/>
      <c r="AN601" s="2627"/>
      <c r="AO601" s="2627"/>
      <c r="AP601" s="2627"/>
      <c r="AQ601" s="2627"/>
      <c r="AR601" s="2627"/>
      <c r="AS601" s="2627"/>
      <c r="AT601" s="2627"/>
      <c r="AU601" s="2627"/>
      <c r="AV601" s="2627"/>
      <c r="AW601" s="2627"/>
      <c r="AX601" s="2627"/>
      <c r="AY601" s="2627"/>
      <c r="AZ601" s="2627"/>
      <c r="BA601" s="2627"/>
      <c r="BB601" s="2627"/>
      <c r="BC601" s="2627"/>
      <c r="BD601" s="2627"/>
      <c r="BE601" s="2627"/>
      <c r="BF601" s="2627"/>
      <c r="BG601" s="2627"/>
      <c r="BH601" s="2627"/>
      <c r="BI601" s="2627"/>
      <c r="BJ601" s="2627"/>
      <c r="BK601" s="2627"/>
      <c r="BL601" s="2627"/>
      <c r="BM601" s="2627"/>
      <c r="BN601" s="2627"/>
      <c r="BO601" s="2627"/>
      <c r="BP601" s="2627"/>
      <c r="BQ601" s="2627"/>
      <c r="BR601" s="2627"/>
      <c r="BS601" s="2627"/>
      <c r="BT601" s="2627"/>
      <c r="BU601" s="2627"/>
      <c r="BV601" s="2627"/>
      <c r="BW601" s="2627"/>
      <c r="BX601" s="2627"/>
      <c r="BY601" s="2627"/>
      <c r="BZ601" s="2627"/>
      <c r="CA601" s="2627"/>
      <c r="CB601" s="2627"/>
      <c r="CC601" s="2627"/>
      <c r="CD601" s="2627"/>
      <c r="CE601" s="2627"/>
      <c r="CF601" s="2627"/>
      <c r="CG601" s="2627"/>
      <c r="CH601" s="2627"/>
      <c r="CI601" s="2627"/>
      <c r="CJ601" s="2627"/>
      <c r="CK601" s="2681"/>
      <c r="CL601" s="2679">
        <f t="shared" ref="CL601:CW601" si="2361">CK603</f>
        <v>699</v>
      </c>
      <c r="CM601" s="2677">
        <f t="shared" si="2361"/>
        <v>663</v>
      </c>
      <c r="CN601" s="2677">
        <f t="shared" si="2361"/>
        <v>663</v>
      </c>
      <c r="CO601" s="2677">
        <f t="shared" si="2361"/>
        <v>732</v>
      </c>
      <c r="CP601" s="2679">
        <f t="shared" si="2361"/>
        <v>716</v>
      </c>
      <c r="CQ601" s="2677">
        <f t="shared" si="2361"/>
        <v>716</v>
      </c>
      <c r="CR601" s="2677">
        <f t="shared" si="2361"/>
        <v>716</v>
      </c>
      <c r="CS601" s="2677">
        <f t="shared" si="2361"/>
        <v>716</v>
      </c>
      <c r="CT601" s="2679">
        <f t="shared" si="2361"/>
        <v>716</v>
      </c>
      <c r="CU601" s="2677">
        <f t="shared" si="2361"/>
        <v>716</v>
      </c>
      <c r="CV601" s="2677">
        <f t="shared" si="2361"/>
        <v>716</v>
      </c>
      <c r="CW601" s="2680">
        <f t="shared" si="2361"/>
        <v>716</v>
      </c>
      <c r="CX601" s="2677"/>
      <c r="CY601" s="2677"/>
      <c r="CZ601" s="2677"/>
      <c r="DA601" s="2677"/>
      <c r="DB601" s="2679"/>
      <c r="DC601" s="2677"/>
      <c r="DD601" s="2677"/>
      <c r="DE601" s="2677"/>
      <c r="DF601" s="2677"/>
      <c r="DG601" s="2677"/>
      <c r="DH601" s="2677"/>
      <c r="DI601" s="2677"/>
      <c r="DJ601" s="2677"/>
      <c r="DK601" s="2677"/>
      <c r="DL601" s="2677"/>
      <c r="DM601" s="2677"/>
      <c r="DN601" s="2677"/>
      <c r="DO601" s="2677"/>
      <c r="DP601" s="2677"/>
      <c r="DQ601" s="2677"/>
      <c r="DR601" s="2677"/>
      <c r="DS601" s="2677"/>
      <c r="DT601" s="2677"/>
      <c r="DU601" s="2677"/>
      <c r="DV601" s="2677"/>
      <c r="DW601" s="2677"/>
      <c r="DX601" s="2677"/>
      <c r="DY601" s="2680"/>
    </row>
    <row r="602" spans="1:129" hidden="1" outlineLevel="1">
      <c r="A602" s="2676" t="s">
        <v>875</v>
      </c>
      <c r="B602" s="2627"/>
      <c r="C602" s="2627"/>
      <c r="D602" s="2627"/>
      <c r="E602" s="2627"/>
      <c r="F602" s="2627"/>
      <c r="G602" s="2627"/>
      <c r="H602" s="2627"/>
      <c r="I602" s="2627"/>
      <c r="J602" s="2627"/>
      <c r="K602" s="2627"/>
      <c r="L602" s="2627"/>
      <c r="M602" s="2627"/>
      <c r="N602" s="2627"/>
      <c r="O602" s="2681"/>
      <c r="P602" s="2677"/>
      <c r="Q602" s="2682">
        <f>SUM(CL602:CO602)</f>
        <v>36</v>
      </c>
      <c r="R602" s="2682">
        <f>SUM(CP602:CS602)</f>
        <v>0</v>
      </c>
      <c r="S602" s="2627"/>
      <c r="T602" s="2682"/>
      <c r="U602" s="2627"/>
      <c r="V602" s="2627"/>
      <c r="W602" s="2627"/>
      <c r="X602" s="2627"/>
      <c r="Y602" s="2627"/>
      <c r="Z602" s="2627"/>
      <c r="AA602" s="2682"/>
      <c r="AB602" s="2682"/>
      <c r="AC602" s="2682"/>
      <c r="AD602" s="2682"/>
      <c r="AE602" s="2682"/>
      <c r="AF602" s="2682"/>
      <c r="AG602" s="2682"/>
      <c r="AI602" s="2456"/>
      <c r="AK602" s="2627"/>
      <c r="AL602" s="2627"/>
      <c r="AM602" s="2627"/>
      <c r="AN602" s="2627"/>
      <c r="AO602" s="2627"/>
      <c r="AP602" s="2627"/>
      <c r="AQ602" s="2627"/>
      <c r="AR602" s="2627"/>
      <c r="AS602" s="2627"/>
      <c r="AT602" s="2627"/>
      <c r="AU602" s="2627"/>
      <c r="AV602" s="2627"/>
      <c r="AW602" s="2627"/>
      <c r="AX602" s="2627"/>
      <c r="AY602" s="2627"/>
      <c r="AZ602" s="2627"/>
      <c r="BA602" s="2627"/>
      <c r="BB602" s="2627"/>
      <c r="BC602" s="2627"/>
      <c r="BD602" s="2627"/>
      <c r="BE602" s="2627"/>
      <c r="BF602" s="2627"/>
      <c r="BG602" s="2627"/>
      <c r="BH602" s="2627"/>
      <c r="BI602" s="2627"/>
      <c r="BJ602" s="2627"/>
      <c r="BK602" s="2627"/>
      <c r="BL602" s="2627"/>
      <c r="BM602" s="2627"/>
      <c r="BN602" s="2627"/>
      <c r="BO602" s="2627"/>
      <c r="BP602" s="2627"/>
      <c r="BQ602" s="2627"/>
      <c r="BR602" s="2627"/>
      <c r="BS602" s="2627"/>
      <c r="BT602" s="2627"/>
      <c r="BU602" s="2627"/>
      <c r="BV602" s="2627"/>
      <c r="BW602" s="2627"/>
      <c r="BX602" s="2627"/>
      <c r="BY602" s="2627"/>
      <c r="BZ602" s="2627"/>
      <c r="CA602" s="2627"/>
      <c r="CB602" s="2627"/>
      <c r="CC602" s="2627"/>
      <c r="CD602" s="2627"/>
      <c r="CE602" s="2627"/>
      <c r="CF602" s="2627"/>
      <c r="CG602" s="2627"/>
      <c r="CH602" s="2627"/>
      <c r="CI602" s="2627"/>
      <c r="CJ602" s="2627"/>
      <c r="CK602" s="2681">
        <v>699</v>
      </c>
      <c r="CL602" s="2679">
        <f>+CL601-CL603</f>
        <v>36</v>
      </c>
      <c r="CM602" s="2682"/>
      <c r="CN602" s="2682"/>
      <c r="CO602" s="2682"/>
      <c r="CP602" s="2683"/>
      <c r="CQ602" s="2682"/>
      <c r="CR602" s="2682"/>
      <c r="CS602" s="2682"/>
      <c r="CT602" s="2683"/>
      <c r="CU602" s="2682"/>
      <c r="CV602" s="2682"/>
      <c r="CW602" s="2684"/>
      <c r="CX602" s="2682"/>
      <c r="CY602" s="2682"/>
      <c r="CZ602" s="2682"/>
      <c r="DA602" s="2682"/>
      <c r="DB602" s="2683"/>
      <c r="DC602" s="2682"/>
      <c r="DD602" s="2682"/>
      <c r="DE602" s="2682"/>
      <c r="DF602" s="2682"/>
      <c r="DG602" s="2682"/>
      <c r="DH602" s="2682"/>
      <c r="DI602" s="2682"/>
      <c r="DJ602" s="2682"/>
      <c r="DK602" s="2682"/>
      <c r="DL602" s="2682"/>
      <c r="DM602" s="2682"/>
      <c r="DN602" s="2682"/>
      <c r="DO602" s="2682"/>
      <c r="DP602" s="2682"/>
      <c r="DQ602" s="2682"/>
      <c r="DR602" s="2682"/>
      <c r="DS602" s="2682"/>
      <c r="DT602" s="2682"/>
      <c r="DU602" s="2682"/>
      <c r="DV602" s="2682"/>
      <c r="DW602" s="2682"/>
      <c r="DX602" s="2682"/>
      <c r="DY602" s="2684"/>
    </row>
    <row r="603" spans="1:129" hidden="1" outlineLevel="1">
      <c r="A603" s="2676" t="s">
        <v>876</v>
      </c>
      <c r="B603" s="2627"/>
      <c r="C603" s="2627"/>
      <c r="D603" s="2627"/>
      <c r="E603" s="2627"/>
      <c r="F603" s="2627"/>
      <c r="G603" s="2627"/>
      <c r="H603" s="2627"/>
      <c r="I603" s="2627"/>
      <c r="J603" s="2627"/>
      <c r="K603" s="2627"/>
      <c r="L603" s="2627"/>
      <c r="M603" s="2627"/>
      <c r="N603" s="2627"/>
      <c r="O603" s="2681"/>
      <c r="P603" s="2677">
        <f>CK603</f>
        <v>699</v>
      </c>
      <c r="Q603" s="2677">
        <f>+CO603</f>
        <v>716</v>
      </c>
      <c r="R603" s="2678">
        <f>CS603</f>
        <v>716</v>
      </c>
      <c r="S603" s="2678">
        <f>+S601+S602</f>
        <v>716</v>
      </c>
      <c r="T603" s="2678"/>
      <c r="U603" s="2678"/>
      <c r="V603" s="2678"/>
      <c r="W603" s="2678"/>
      <c r="X603" s="2678"/>
      <c r="Y603" s="2678"/>
      <c r="Z603" s="2678"/>
      <c r="AA603" s="2678"/>
      <c r="AB603" s="2678"/>
      <c r="AC603" s="2678"/>
      <c r="AD603" s="2678"/>
      <c r="AE603" s="2678"/>
      <c r="AF603" s="2678"/>
      <c r="AG603" s="2678"/>
      <c r="AI603" s="2456"/>
      <c r="AK603" s="2627"/>
      <c r="AL603" s="2627"/>
      <c r="AM603" s="2627"/>
      <c r="AN603" s="2627"/>
      <c r="AO603" s="2627"/>
      <c r="AP603" s="2627"/>
      <c r="AQ603" s="2627"/>
      <c r="AR603" s="2627"/>
      <c r="AS603" s="2627"/>
      <c r="AT603" s="2627"/>
      <c r="AU603" s="2627"/>
      <c r="AV603" s="2627"/>
      <c r="AW603" s="2627"/>
      <c r="AX603" s="2627"/>
      <c r="AY603" s="2627"/>
      <c r="AZ603" s="2627"/>
      <c r="BA603" s="2627"/>
      <c r="BB603" s="2627"/>
      <c r="BC603" s="2627"/>
      <c r="BD603" s="2627"/>
      <c r="BE603" s="2627"/>
      <c r="BF603" s="2627"/>
      <c r="BG603" s="2627"/>
      <c r="BH603" s="2627"/>
      <c r="BI603" s="2627"/>
      <c r="BJ603" s="2627"/>
      <c r="BK603" s="2627"/>
      <c r="BL603" s="2627"/>
      <c r="BM603" s="2627"/>
      <c r="BN603" s="2627"/>
      <c r="BO603" s="2627"/>
      <c r="BP603" s="2627"/>
      <c r="BQ603" s="2627"/>
      <c r="BR603" s="2627"/>
      <c r="BS603" s="2627"/>
      <c r="BT603" s="2627"/>
      <c r="BU603" s="2627"/>
      <c r="BV603" s="2627"/>
      <c r="BW603" s="2627"/>
      <c r="BX603" s="2627"/>
      <c r="BY603" s="2627"/>
      <c r="BZ603" s="2627"/>
      <c r="CA603" s="2627"/>
      <c r="CB603" s="2627"/>
      <c r="CC603" s="2627"/>
      <c r="CD603" s="2627"/>
      <c r="CE603" s="2627"/>
      <c r="CF603" s="2627"/>
      <c r="CG603" s="2627"/>
      <c r="CH603" s="2627"/>
      <c r="CI603" s="2627"/>
      <c r="CJ603" s="2627"/>
      <c r="CK603" s="2677">
        <f>CK602+CK601</f>
        <v>699</v>
      </c>
      <c r="CL603" s="2686">
        <v>663</v>
      </c>
      <c r="CM603" s="2677">
        <f>CM602+CM601</f>
        <v>663</v>
      </c>
      <c r="CN603" s="2677">
        <v>732</v>
      </c>
      <c r="CO603" s="2677">
        <v>716</v>
      </c>
      <c r="CP603" s="2679">
        <f t="shared" ref="CP603:CW603" si="2362">CP602+CP601</f>
        <v>716</v>
      </c>
      <c r="CQ603" s="2677">
        <f t="shared" si="2362"/>
        <v>716</v>
      </c>
      <c r="CR603" s="2677">
        <f t="shared" si="2362"/>
        <v>716</v>
      </c>
      <c r="CS603" s="2677">
        <f t="shared" si="2362"/>
        <v>716</v>
      </c>
      <c r="CT603" s="2679">
        <f t="shared" si="2362"/>
        <v>716</v>
      </c>
      <c r="CU603" s="2677">
        <f t="shared" si="2362"/>
        <v>716</v>
      </c>
      <c r="CV603" s="2677">
        <f t="shared" si="2362"/>
        <v>716</v>
      </c>
      <c r="CW603" s="2680">
        <f t="shared" si="2362"/>
        <v>716</v>
      </c>
      <c r="CX603" s="2677"/>
      <c r="CY603" s="2677"/>
      <c r="CZ603" s="2677"/>
      <c r="DA603" s="2677"/>
      <c r="DB603" s="2679"/>
      <c r="DC603" s="2677"/>
      <c r="DD603" s="2677"/>
      <c r="DE603" s="2677"/>
      <c r="DF603" s="2677"/>
      <c r="DG603" s="2677"/>
      <c r="DH603" s="2677"/>
      <c r="DI603" s="2677"/>
      <c r="DJ603" s="2677"/>
      <c r="DK603" s="2677"/>
      <c r="DL603" s="2677"/>
      <c r="DM603" s="2677"/>
      <c r="DN603" s="2677"/>
      <c r="DO603" s="2677"/>
      <c r="DP603" s="2677"/>
      <c r="DQ603" s="2677"/>
      <c r="DR603" s="2677"/>
      <c r="DS603" s="2677"/>
      <c r="DT603" s="2677"/>
      <c r="DU603" s="2677"/>
      <c r="DV603" s="2677"/>
      <c r="DW603" s="2677"/>
      <c r="DX603" s="2677"/>
      <c r="DY603" s="2680"/>
    </row>
    <row r="604" spans="1:129" hidden="1" outlineLevel="1">
      <c r="A604" s="2685" t="s">
        <v>883</v>
      </c>
      <c r="B604" s="2627"/>
      <c r="C604" s="2627"/>
      <c r="D604" s="2627"/>
      <c r="E604" s="2627"/>
      <c r="F604" s="2627"/>
      <c r="G604" s="2627"/>
      <c r="H604" s="2627"/>
      <c r="I604" s="2627"/>
      <c r="J604" s="2627"/>
      <c r="K604" s="2627"/>
      <c r="L604" s="2627"/>
      <c r="M604" s="2627"/>
      <c r="N604" s="2627"/>
      <c r="O604" s="2681">
        <v>2018</v>
      </c>
      <c r="P604" s="2627"/>
      <c r="Q604" s="2627"/>
      <c r="R604" s="2627"/>
      <c r="S604" s="2627"/>
      <c r="T604" s="2627"/>
      <c r="U604" s="2627"/>
      <c r="V604" s="2627"/>
      <c r="W604" s="2627"/>
      <c r="X604" s="2627"/>
      <c r="Y604" s="2627"/>
      <c r="Z604" s="2627"/>
      <c r="AA604" s="2627"/>
      <c r="AB604" s="2627"/>
      <c r="AC604" s="2627"/>
      <c r="AD604" s="2627"/>
      <c r="AE604" s="2627"/>
      <c r="AF604" s="2627"/>
      <c r="AG604" s="2627"/>
      <c r="AI604" s="2456"/>
      <c r="AK604" s="2627"/>
      <c r="AL604" s="2627"/>
      <c r="AM604" s="2627"/>
      <c r="AN604" s="2627"/>
      <c r="AO604" s="2627"/>
      <c r="AP604" s="2627"/>
      <c r="AQ604" s="2627"/>
      <c r="AR604" s="2627"/>
      <c r="AS604" s="2627"/>
      <c r="AT604" s="2627"/>
      <c r="AU604" s="2627"/>
      <c r="AV604" s="2627"/>
      <c r="AW604" s="2627"/>
      <c r="AX604" s="2627"/>
      <c r="AY604" s="2627"/>
      <c r="AZ604" s="2627"/>
      <c r="BA604" s="2627"/>
      <c r="BB604" s="2627"/>
      <c r="BC604" s="2627"/>
      <c r="BD604" s="2627"/>
      <c r="BE604" s="2627"/>
      <c r="BF604" s="2627"/>
      <c r="BG604" s="2627"/>
      <c r="BH604" s="2627"/>
      <c r="BI604" s="2627"/>
      <c r="BJ604" s="2627"/>
      <c r="BK604" s="2627"/>
      <c r="BL604" s="2627"/>
      <c r="BM604" s="2627"/>
      <c r="BN604" s="2627"/>
      <c r="BO604" s="2627"/>
      <c r="BP604" s="2627"/>
      <c r="BQ604" s="2627"/>
      <c r="BR604" s="2627"/>
      <c r="BS604" s="2627"/>
      <c r="BT604" s="2627"/>
      <c r="BU604" s="2627"/>
      <c r="BV604" s="2627"/>
      <c r="BW604" s="2627"/>
      <c r="BX604" s="2627"/>
      <c r="BY604" s="2627"/>
      <c r="BZ604" s="2627"/>
      <c r="CA604" s="2627"/>
      <c r="CB604" s="2627"/>
      <c r="CC604" s="2627"/>
      <c r="CD604" s="2627"/>
      <c r="CE604" s="2627"/>
      <c r="CF604" s="2627"/>
      <c r="CG604" s="2627"/>
      <c r="CH604" s="2627"/>
      <c r="CI604" s="2627"/>
      <c r="CJ604" s="2627"/>
      <c r="CK604" s="2627"/>
      <c r="CL604" s="2629"/>
      <c r="CM604" s="2627"/>
      <c r="CN604" s="2627"/>
      <c r="CO604" s="2627"/>
      <c r="CP604" s="2629"/>
      <c r="CQ604" s="2627"/>
      <c r="CR604" s="2627"/>
      <c r="CS604" s="2627"/>
      <c r="CT604" s="2629"/>
      <c r="CU604" s="2627"/>
      <c r="CV604" s="2627"/>
      <c r="CW604" s="2628"/>
      <c r="CX604" s="2627"/>
      <c r="CY604" s="2627"/>
      <c r="CZ604" s="2627"/>
      <c r="DA604" s="2627"/>
      <c r="DB604" s="2629"/>
      <c r="DC604" s="2627"/>
      <c r="DD604" s="2627"/>
      <c r="DE604" s="2627"/>
      <c r="DF604" s="2627"/>
      <c r="DG604" s="2627"/>
      <c r="DH604" s="2627"/>
      <c r="DI604" s="2627"/>
      <c r="DJ604" s="2627"/>
      <c r="DK604" s="2627"/>
      <c r="DL604" s="2627"/>
      <c r="DM604" s="2627"/>
      <c r="DN604" s="2627"/>
      <c r="DO604" s="2627"/>
      <c r="DP604" s="2627"/>
      <c r="DQ604" s="2627"/>
      <c r="DR604" s="2627"/>
      <c r="DS604" s="2627"/>
      <c r="DT604" s="2627"/>
      <c r="DU604" s="2627"/>
      <c r="DV604" s="2627"/>
      <c r="DW604" s="2627"/>
      <c r="DX604" s="2627"/>
      <c r="DY604" s="2628"/>
    </row>
    <row r="605" spans="1:129" hidden="1" outlineLevel="1">
      <c r="A605" s="2676" t="s">
        <v>874</v>
      </c>
      <c r="B605" s="2627"/>
      <c r="C605" s="2627"/>
      <c r="D605" s="2627"/>
      <c r="E605" s="2627"/>
      <c r="F605" s="2627"/>
      <c r="G605" s="2627"/>
      <c r="H605" s="2627"/>
      <c r="I605" s="2627"/>
      <c r="J605" s="2627"/>
      <c r="K605" s="2627"/>
      <c r="L605" s="2627"/>
      <c r="M605" s="2627"/>
      <c r="N605" s="2627"/>
      <c r="O605" s="2627"/>
      <c r="P605" s="2677">
        <f>+CK605</f>
        <v>0</v>
      </c>
      <c r="Q605" s="2678">
        <f>+P607</f>
        <v>2250</v>
      </c>
      <c r="R605" s="2678">
        <f>CS605</f>
        <v>2250</v>
      </c>
      <c r="S605" s="2678">
        <f>+R607</f>
        <v>2250</v>
      </c>
      <c r="T605" s="2677"/>
      <c r="U605" s="2677"/>
      <c r="V605" s="2677"/>
      <c r="W605" s="2677"/>
      <c r="X605" s="2677"/>
      <c r="Y605" s="2677"/>
      <c r="Z605" s="2677"/>
      <c r="AA605" s="2677"/>
      <c r="AB605" s="2677"/>
      <c r="AC605" s="2677"/>
      <c r="AD605" s="2677"/>
      <c r="AE605" s="2677"/>
      <c r="AF605" s="2677"/>
      <c r="AG605" s="2677"/>
      <c r="AI605" s="2456"/>
      <c r="AK605" s="2627"/>
      <c r="AL605" s="2627"/>
      <c r="AM605" s="2627"/>
      <c r="AN605" s="2627"/>
      <c r="AO605" s="2627"/>
      <c r="AP605" s="2627"/>
      <c r="AQ605" s="2627"/>
      <c r="AR605" s="2627"/>
      <c r="AS605" s="2627"/>
      <c r="AT605" s="2627"/>
      <c r="AU605" s="2627"/>
      <c r="AV605" s="2627"/>
      <c r="AW605" s="2627"/>
      <c r="AX605" s="2627"/>
      <c r="AY605" s="2627"/>
      <c r="AZ605" s="2627"/>
      <c r="BA605" s="2627"/>
      <c r="BB605" s="2627"/>
      <c r="BC605" s="2627"/>
      <c r="BD605" s="2627"/>
      <c r="BE605" s="2627"/>
      <c r="BF605" s="2627"/>
      <c r="BG605" s="2627"/>
      <c r="BH605" s="2627"/>
      <c r="BI605" s="2627"/>
      <c r="BJ605" s="2627"/>
      <c r="BK605" s="2627"/>
      <c r="BL605" s="2627"/>
      <c r="BM605" s="2627"/>
      <c r="BN605" s="2627"/>
      <c r="BO605" s="2627"/>
      <c r="BP605" s="2627"/>
      <c r="BQ605" s="2627"/>
      <c r="BR605" s="2627"/>
      <c r="BS605" s="2627"/>
      <c r="BT605" s="2627"/>
      <c r="BU605" s="2627"/>
      <c r="BV605" s="2627"/>
      <c r="BW605" s="2627"/>
      <c r="BX605" s="2627"/>
      <c r="BY605" s="2627"/>
      <c r="BZ605" s="2627"/>
      <c r="CA605" s="2627"/>
      <c r="CB605" s="2627"/>
      <c r="CC605" s="2627"/>
      <c r="CD605" s="2627"/>
      <c r="CE605" s="2627"/>
      <c r="CF605" s="2627"/>
      <c r="CG605" s="2627"/>
      <c r="CH605" s="2627"/>
      <c r="CI605" s="2627"/>
      <c r="CJ605" s="2627"/>
      <c r="CK605" s="2677"/>
      <c r="CL605" s="2679">
        <f t="shared" ref="CL605:CW605" si="2363">CK607</f>
        <v>2250</v>
      </c>
      <c r="CM605" s="2677">
        <f t="shared" si="2363"/>
        <v>2250</v>
      </c>
      <c r="CN605" s="2677">
        <f t="shared" si="2363"/>
        <v>2250</v>
      </c>
      <c r="CO605" s="2677">
        <f t="shared" si="2363"/>
        <v>2250</v>
      </c>
      <c r="CP605" s="2679">
        <f t="shared" si="2363"/>
        <v>2250</v>
      </c>
      <c r="CQ605" s="2677">
        <f t="shared" si="2363"/>
        <v>2250</v>
      </c>
      <c r="CR605" s="2677">
        <f t="shared" si="2363"/>
        <v>2250</v>
      </c>
      <c r="CS605" s="2677">
        <f t="shared" si="2363"/>
        <v>2250</v>
      </c>
      <c r="CT605" s="2679">
        <f t="shared" si="2363"/>
        <v>2250</v>
      </c>
      <c r="CU605" s="2677">
        <f t="shared" si="2363"/>
        <v>2250</v>
      </c>
      <c r="CV605" s="2677">
        <f t="shared" si="2363"/>
        <v>2250</v>
      </c>
      <c r="CW605" s="2680">
        <f t="shared" si="2363"/>
        <v>2250</v>
      </c>
      <c r="CX605" s="2677"/>
      <c r="CY605" s="2677"/>
      <c r="CZ605" s="2677"/>
      <c r="DA605" s="2677"/>
      <c r="DB605" s="2679"/>
      <c r="DC605" s="2677"/>
      <c r="DD605" s="2677"/>
      <c r="DE605" s="2677"/>
      <c r="DF605" s="2677"/>
      <c r="DG605" s="2677"/>
      <c r="DH605" s="2677"/>
      <c r="DI605" s="2677"/>
      <c r="DJ605" s="2677"/>
      <c r="DK605" s="2677"/>
      <c r="DL605" s="2677"/>
      <c r="DM605" s="2677"/>
      <c r="DN605" s="2677"/>
      <c r="DO605" s="2677"/>
      <c r="DP605" s="2677"/>
      <c r="DQ605" s="2677"/>
      <c r="DR605" s="2677"/>
      <c r="DS605" s="2677"/>
      <c r="DT605" s="2677"/>
      <c r="DU605" s="2677"/>
      <c r="DV605" s="2677"/>
      <c r="DW605" s="2677"/>
      <c r="DX605" s="2677"/>
      <c r="DY605" s="2680"/>
    </row>
    <row r="606" spans="1:129" hidden="1" outlineLevel="1">
      <c r="A606" s="2676" t="s">
        <v>875</v>
      </c>
      <c r="B606" s="2627"/>
      <c r="C606" s="2627"/>
      <c r="D606" s="2627"/>
      <c r="E606" s="2627"/>
      <c r="F606" s="2627"/>
      <c r="G606" s="2627"/>
      <c r="H606" s="2627"/>
      <c r="I606" s="2627"/>
      <c r="J606" s="2627"/>
      <c r="K606" s="2627"/>
      <c r="L606" s="2627"/>
      <c r="M606" s="2627"/>
      <c r="N606" s="2627"/>
      <c r="O606" s="2681"/>
      <c r="P606" s="2682">
        <v>0</v>
      </c>
      <c r="Q606" s="2682">
        <f>SUM(CL606:CO606)</f>
        <v>0</v>
      </c>
      <c r="R606" s="2682">
        <f>SUM(CP606:CS606)</f>
        <v>0</v>
      </c>
      <c r="S606" s="2682"/>
      <c r="T606" s="2682"/>
      <c r="U606" s="2682"/>
      <c r="V606" s="2682"/>
      <c r="W606" s="2682"/>
      <c r="X606" s="2682"/>
      <c r="Y606" s="2682"/>
      <c r="Z606" s="2682"/>
      <c r="AA606" s="2682"/>
      <c r="AB606" s="2682"/>
      <c r="AC606" s="2682"/>
      <c r="AD606" s="2682"/>
      <c r="AE606" s="2682"/>
      <c r="AF606" s="2682"/>
      <c r="AG606" s="2682"/>
      <c r="AI606" s="2456"/>
      <c r="AK606" s="2627"/>
      <c r="AL606" s="2627"/>
      <c r="AM606" s="2627"/>
      <c r="AN606" s="2627"/>
      <c r="AO606" s="2627"/>
      <c r="AP606" s="2627"/>
      <c r="AQ606" s="2627"/>
      <c r="AR606" s="2627"/>
      <c r="AS606" s="2627"/>
      <c r="AT606" s="2627"/>
      <c r="AU606" s="2627"/>
      <c r="AV606" s="2627"/>
      <c r="AW606" s="2627"/>
      <c r="AX606" s="2627"/>
      <c r="AY606" s="2627"/>
      <c r="AZ606" s="2627"/>
      <c r="BA606" s="2627"/>
      <c r="BB606" s="2627"/>
      <c r="BC606" s="2627"/>
      <c r="BD606" s="2627"/>
      <c r="BE606" s="2627"/>
      <c r="BF606" s="2627"/>
      <c r="BG606" s="2627"/>
      <c r="BH606" s="2627"/>
      <c r="BI606" s="2627"/>
      <c r="BJ606" s="2627"/>
      <c r="BK606" s="2627"/>
      <c r="BL606" s="2627"/>
      <c r="BM606" s="2627"/>
      <c r="BN606" s="2627"/>
      <c r="BO606" s="2627"/>
      <c r="BP606" s="2627"/>
      <c r="BQ606" s="2627"/>
      <c r="BR606" s="2627"/>
      <c r="BS606" s="2627"/>
      <c r="BT606" s="2627"/>
      <c r="BU606" s="2627"/>
      <c r="BV606" s="2627"/>
      <c r="BW606" s="2627"/>
      <c r="BX606" s="2627"/>
      <c r="BY606" s="2627"/>
      <c r="BZ606" s="2627"/>
      <c r="CA606" s="2627"/>
      <c r="CB606" s="2627"/>
      <c r="CC606" s="2627"/>
      <c r="CD606" s="2627"/>
      <c r="CE606" s="2627"/>
      <c r="CF606" s="2627"/>
      <c r="CG606" s="2627"/>
      <c r="CH606" s="2627"/>
      <c r="CI606" s="2627"/>
      <c r="CJ606" s="2627"/>
      <c r="CK606" s="2677">
        <v>2250</v>
      </c>
      <c r="CL606" s="2679"/>
      <c r="CM606" s="2682"/>
      <c r="CN606" s="2682"/>
      <c r="CO606" s="2682"/>
      <c r="CP606" s="2683"/>
      <c r="CQ606" s="2682"/>
      <c r="CR606" s="2682"/>
      <c r="CS606" s="2682"/>
      <c r="CT606" s="2683"/>
      <c r="CU606" s="2682"/>
      <c r="CV606" s="2682"/>
      <c r="CW606" s="2684"/>
      <c r="CX606" s="2682"/>
      <c r="CY606" s="2682"/>
      <c r="CZ606" s="2682"/>
      <c r="DA606" s="2682"/>
      <c r="DB606" s="2683"/>
      <c r="DC606" s="2682"/>
      <c r="DD606" s="2682"/>
      <c r="DE606" s="2682"/>
      <c r="DF606" s="2682"/>
      <c r="DG606" s="2682"/>
      <c r="DH606" s="2682"/>
      <c r="DI606" s="2682"/>
      <c r="DJ606" s="2682"/>
      <c r="DK606" s="2682"/>
      <c r="DL606" s="2682"/>
      <c r="DM606" s="2682"/>
      <c r="DN606" s="2682"/>
      <c r="DO606" s="2682"/>
      <c r="DP606" s="2682"/>
      <c r="DQ606" s="2682"/>
      <c r="DR606" s="2682"/>
      <c r="DS606" s="2682"/>
      <c r="DT606" s="2682"/>
      <c r="DU606" s="2682"/>
      <c r="DV606" s="2682"/>
      <c r="DW606" s="2682"/>
      <c r="DX606" s="2682"/>
      <c r="DY606" s="2684"/>
    </row>
    <row r="607" spans="1:129" hidden="1" outlineLevel="1">
      <c r="A607" s="2676" t="s">
        <v>876</v>
      </c>
      <c r="B607" s="2627"/>
      <c r="C607" s="2627"/>
      <c r="D607" s="2627"/>
      <c r="E607" s="2627"/>
      <c r="F607" s="2627"/>
      <c r="G607" s="2627"/>
      <c r="H607" s="2627"/>
      <c r="I607" s="2627"/>
      <c r="J607" s="2627"/>
      <c r="K607" s="2627"/>
      <c r="L607" s="2627"/>
      <c r="M607" s="2627"/>
      <c r="N607" s="2627"/>
      <c r="O607" s="2681"/>
      <c r="P607" s="2677">
        <f>CK607</f>
        <v>2250</v>
      </c>
      <c r="Q607" s="2677">
        <f>+CO607</f>
        <v>2250</v>
      </c>
      <c r="R607" s="2678">
        <f>CS607</f>
        <v>2250</v>
      </c>
      <c r="S607" s="2678">
        <f>+S605+S606</f>
        <v>2250</v>
      </c>
      <c r="T607" s="2677"/>
      <c r="U607" s="2677"/>
      <c r="V607" s="2677"/>
      <c r="W607" s="2677"/>
      <c r="X607" s="2677"/>
      <c r="Y607" s="2677"/>
      <c r="Z607" s="2677"/>
      <c r="AA607" s="2677"/>
      <c r="AB607" s="2677"/>
      <c r="AC607" s="2677"/>
      <c r="AD607" s="2677"/>
      <c r="AE607" s="2677"/>
      <c r="AF607" s="2677"/>
      <c r="AG607" s="2677"/>
      <c r="AI607" s="2456"/>
      <c r="AK607" s="2627"/>
      <c r="AL607" s="2627"/>
      <c r="AM607" s="2627"/>
      <c r="AN607" s="2627"/>
      <c r="AO607" s="2627"/>
      <c r="AP607" s="2627"/>
      <c r="AQ607" s="2627"/>
      <c r="AR607" s="2627"/>
      <c r="AS607" s="2627"/>
      <c r="AT607" s="2627"/>
      <c r="AU607" s="2627"/>
      <c r="AV607" s="2627"/>
      <c r="AW607" s="2627"/>
      <c r="AX607" s="2627"/>
      <c r="AY607" s="2627"/>
      <c r="AZ607" s="2627"/>
      <c r="BA607" s="2627"/>
      <c r="BB607" s="2627"/>
      <c r="BC607" s="2627"/>
      <c r="BD607" s="2627"/>
      <c r="BE607" s="2627"/>
      <c r="BF607" s="2627"/>
      <c r="BG607" s="2627"/>
      <c r="BH607" s="2627"/>
      <c r="BI607" s="2627"/>
      <c r="BJ607" s="2627"/>
      <c r="BK607" s="2627"/>
      <c r="BL607" s="2627"/>
      <c r="BM607" s="2627"/>
      <c r="BN607" s="2627"/>
      <c r="BO607" s="2627"/>
      <c r="BP607" s="2627"/>
      <c r="BQ607" s="2627"/>
      <c r="BR607" s="2627"/>
      <c r="BS607" s="2627"/>
      <c r="BT607" s="2627"/>
      <c r="BU607" s="2627"/>
      <c r="BV607" s="2627"/>
      <c r="BW607" s="2627"/>
      <c r="BX607" s="2627"/>
      <c r="BY607" s="2627"/>
      <c r="BZ607" s="2627"/>
      <c r="CA607" s="2627"/>
      <c r="CB607" s="2627"/>
      <c r="CC607" s="2627"/>
      <c r="CD607" s="2627"/>
      <c r="CE607" s="2627"/>
      <c r="CF607" s="2627"/>
      <c r="CG607" s="2627"/>
      <c r="CH607" s="2627"/>
      <c r="CI607" s="2627"/>
      <c r="CJ607" s="2627"/>
      <c r="CK607" s="2677">
        <f t="shared" ref="CK607:CW607" si="2364">CK606+CK605</f>
        <v>2250</v>
      </c>
      <c r="CL607" s="2679">
        <f t="shared" si="2364"/>
        <v>2250</v>
      </c>
      <c r="CM607" s="2677">
        <f t="shared" si="2364"/>
        <v>2250</v>
      </c>
      <c r="CN607" s="2677">
        <f t="shared" si="2364"/>
        <v>2250</v>
      </c>
      <c r="CO607" s="2677">
        <f t="shared" si="2364"/>
        <v>2250</v>
      </c>
      <c r="CP607" s="2679">
        <f t="shared" si="2364"/>
        <v>2250</v>
      </c>
      <c r="CQ607" s="2677">
        <f t="shared" si="2364"/>
        <v>2250</v>
      </c>
      <c r="CR607" s="2677">
        <f t="shared" si="2364"/>
        <v>2250</v>
      </c>
      <c r="CS607" s="2677">
        <f t="shared" si="2364"/>
        <v>2250</v>
      </c>
      <c r="CT607" s="2679">
        <f t="shared" si="2364"/>
        <v>2250</v>
      </c>
      <c r="CU607" s="2677">
        <f t="shared" si="2364"/>
        <v>2250</v>
      </c>
      <c r="CV607" s="2677">
        <f t="shared" si="2364"/>
        <v>2250</v>
      </c>
      <c r="CW607" s="2680">
        <f t="shared" si="2364"/>
        <v>2250</v>
      </c>
      <c r="CX607" s="2677"/>
      <c r="CY607" s="2677"/>
      <c r="CZ607" s="2677"/>
      <c r="DA607" s="2677"/>
      <c r="DB607" s="2679"/>
      <c r="DC607" s="2677"/>
      <c r="DD607" s="2677"/>
      <c r="DE607" s="2677"/>
      <c r="DF607" s="2677"/>
      <c r="DG607" s="2677"/>
      <c r="DH607" s="2677"/>
      <c r="DI607" s="2677"/>
      <c r="DJ607" s="2677"/>
      <c r="DK607" s="2677"/>
      <c r="DL607" s="2677"/>
      <c r="DM607" s="2677"/>
      <c r="DN607" s="2677"/>
      <c r="DO607" s="2677"/>
      <c r="DP607" s="2677"/>
      <c r="DQ607" s="2677"/>
      <c r="DR607" s="2677"/>
      <c r="DS607" s="2677"/>
      <c r="DT607" s="2677"/>
      <c r="DU607" s="2677"/>
      <c r="DV607" s="2677"/>
      <c r="DW607" s="2677"/>
      <c r="DX607" s="2677"/>
      <c r="DY607" s="2680"/>
    </row>
    <row r="608" spans="1:129" hidden="1" outlineLevel="1">
      <c r="A608" s="2685" t="s">
        <v>884</v>
      </c>
      <c r="B608" s="2627"/>
      <c r="C608" s="2627"/>
      <c r="D608" s="2627"/>
      <c r="E608" s="2627"/>
      <c r="F608" s="2627"/>
      <c r="G608" s="2627"/>
      <c r="H608" s="2627"/>
      <c r="I608" s="2627"/>
      <c r="J608" s="2627"/>
      <c r="K608" s="2627"/>
      <c r="L608" s="2627"/>
      <c r="M608" s="2627"/>
      <c r="N608" s="2627"/>
      <c r="O608" s="2681">
        <v>2018</v>
      </c>
      <c r="P608" s="2677">
        <f>+CK609</f>
        <v>0</v>
      </c>
      <c r="Q608" s="2627"/>
      <c r="R608" s="2627"/>
      <c r="S608" s="2627"/>
      <c r="T608" s="2627"/>
      <c r="U608" s="2627"/>
      <c r="V608" s="2627"/>
      <c r="W608" s="2627"/>
      <c r="X608" s="2627"/>
      <c r="Y608" s="2627"/>
      <c r="Z608" s="2627"/>
      <c r="AA608" s="2627"/>
      <c r="AB608" s="2627"/>
      <c r="AC608" s="2627"/>
      <c r="AD608" s="2627"/>
      <c r="AE608" s="2627"/>
      <c r="AF608" s="2627"/>
      <c r="AG608" s="2627"/>
      <c r="AI608" s="2456"/>
      <c r="AK608" s="2627"/>
      <c r="AL608" s="2627"/>
      <c r="AM608" s="2627"/>
      <c r="AN608" s="2627"/>
      <c r="AO608" s="2627"/>
      <c r="AP608" s="2627"/>
      <c r="AQ608" s="2627"/>
      <c r="AR608" s="2627"/>
      <c r="AS608" s="2627"/>
      <c r="AT608" s="2627"/>
      <c r="AU608" s="2627"/>
      <c r="AV608" s="2627"/>
      <c r="AW608" s="2627"/>
      <c r="AX608" s="2627"/>
      <c r="AY608" s="2627"/>
      <c r="AZ608" s="2627"/>
      <c r="BA608" s="2627"/>
      <c r="BB608" s="2627"/>
      <c r="BC608" s="2627"/>
      <c r="BD608" s="2627"/>
      <c r="BE608" s="2627"/>
      <c r="BF608" s="2627"/>
      <c r="BG608" s="2627"/>
      <c r="BH608" s="2627"/>
      <c r="BI608" s="2627"/>
      <c r="BJ608" s="2627"/>
      <c r="BK608" s="2627"/>
      <c r="BL608" s="2627"/>
      <c r="BM608" s="2627"/>
      <c r="BN608" s="2627"/>
      <c r="BO608" s="2627"/>
      <c r="BP608" s="2627"/>
      <c r="BQ608" s="2627"/>
      <c r="BR608" s="2627"/>
      <c r="BS608" s="2627"/>
      <c r="BT608" s="2627"/>
      <c r="BU608" s="2627"/>
      <c r="BV608" s="2627"/>
      <c r="BW608" s="2627"/>
      <c r="BX608" s="2627"/>
      <c r="BY608" s="2627"/>
      <c r="BZ608" s="2627"/>
      <c r="CA608" s="2627"/>
      <c r="CB608" s="2627"/>
      <c r="CC608" s="2627"/>
      <c r="CD608" s="2627"/>
      <c r="CE608" s="2627"/>
      <c r="CF608" s="2627"/>
      <c r="CG608" s="2627"/>
      <c r="CH608" s="2627"/>
      <c r="CI608" s="2627"/>
      <c r="CJ608" s="2627"/>
      <c r="CK608" s="2627"/>
      <c r="CL608" s="2629"/>
      <c r="CM608" s="2627"/>
      <c r="CN608" s="2627"/>
      <c r="CO608" s="2627"/>
      <c r="CP608" s="2629"/>
      <c r="CQ608" s="2627"/>
      <c r="CR608" s="2627"/>
      <c r="CS608" s="2627"/>
      <c r="CT608" s="2629"/>
      <c r="CU608" s="2627"/>
      <c r="CV608" s="2627"/>
      <c r="CW608" s="2628"/>
      <c r="CX608" s="2627"/>
      <c r="CY608" s="2627"/>
      <c r="CZ608" s="2627"/>
      <c r="DA608" s="2627"/>
      <c r="DB608" s="2629"/>
      <c r="DC608" s="2627"/>
      <c r="DD608" s="2627"/>
      <c r="DE608" s="2627"/>
      <c r="DF608" s="2627"/>
      <c r="DG608" s="2627"/>
      <c r="DH608" s="2627"/>
      <c r="DI608" s="2627"/>
      <c r="DJ608" s="2627"/>
      <c r="DK608" s="2627"/>
      <c r="DL608" s="2627"/>
      <c r="DM608" s="2627"/>
      <c r="DN608" s="2627"/>
      <c r="DO608" s="2627"/>
      <c r="DP608" s="2627"/>
      <c r="DQ608" s="2627"/>
      <c r="DR608" s="2627"/>
      <c r="DS608" s="2627"/>
      <c r="DT608" s="2627"/>
      <c r="DU608" s="2627"/>
      <c r="DV608" s="2627"/>
      <c r="DW608" s="2627"/>
      <c r="DX608" s="2627"/>
      <c r="DY608" s="2628"/>
    </row>
    <row r="609" spans="1:129" hidden="1" outlineLevel="1">
      <c r="A609" s="2676" t="s">
        <v>874</v>
      </c>
      <c r="B609" s="2627"/>
      <c r="C609" s="2627"/>
      <c r="D609" s="2627"/>
      <c r="E609" s="2627"/>
      <c r="F609" s="2627"/>
      <c r="G609" s="2627"/>
      <c r="H609" s="2627"/>
      <c r="I609" s="2627"/>
      <c r="J609" s="2627"/>
      <c r="K609" s="2627"/>
      <c r="L609" s="2627"/>
      <c r="M609" s="2627"/>
      <c r="N609" s="2627"/>
      <c r="O609" s="2681"/>
      <c r="P609" s="2677"/>
      <c r="Q609" s="2678">
        <f>+P611</f>
        <v>876</v>
      </c>
      <c r="R609" s="2678">
        <f>CS609</f>
        <v>970</v>
      </c>
      <c r="S609" s="2678">
        <f>+R611</f>
        <v>970</v>
      </c>
      <c r="T609" s="2678"/>
      <c r="U609" s="2678"/>
      <c r="V609" s="2678"/>
      <c r="W609" s="2678"/>
      <c r="X609" s="2678"/>
      <c r="Y609" s="2678"/>
      <c r="Z609" s="2678"/>
      <c r="AA609" s="2678"/>
      <c r="AB609" s="2678"/>
      <c r="AC609" s="2678"/>
      <c r="AD609" s="2678"/>
      <c r="AE609" s="2678"/>
      <c r="AF609" s="2678"/>
      <c r="AG609" s="2678"/>
      <c r="AI609" s="2456"/>
      <c r="AK609" s="2627"/>
      <c r="AL609" s="2627"/>
      <c r="AM609" s="2627"/>
      <c r="AN609" s="2627"/>
      <c r="AO609" s="2627"/>
      <c r="AP609" s="2627"/>
      <c r="AQ609" s="2627"/>
      <c r="AR609" s="2627"/>
      <c r="AS609" s="2627"/>
      <c r="AT609" s="2627"/>
      <c r="AU609" s="2627"/>
      <c r="AV609" s="2627"/>
      <c r="AW609" s="2627"/>
      <c r="AX609" s="2627"/>
      <c r="AY609" s="2627"/>
      <c r="AZ609" s="2627"/>
      <c r="BA609" s="2627"/>
      <c r="BB609" s="2627"/>
      <c r="BC609" s="2627"/>
      <c r="BD609" s="2627"/>
      <c r="BE609" s="2627"/>
      <c r="BF609" s="2627"/>
      <c r="BG609" s="2627"/>
      <c r="BH609" s="2627"/>
      <c r="BI609" s="2627"/>
      <c r="BJ609" s="2627"/>
      <c r="BK609" s="2627"/>
      <c r="BL609" s="2627"/>
      <c r="BM609" s="2627"/>
      <c r="BN609" s="2627"/>
      <c r="BO609" s="2627"/>
      <c r="BP609" s="2627"/>
      <c r="BQ609" s="2627"/>
      <c r="BR609" s="2627"/>
      <c r="BS609" s="2627"/>
      <c r="BT609" s="2627"/>
      <c r="BU609" s="2627"/>
      <c r="BV609" s="2627"/>
      <c r="BW609" s="2627"/>
      <c r="BX609" s="2627"/>
      <c r="BY609" s="2627"/>
      <c r="BZ609" s="2627"/>
      <c r="CA609" s="2627"/>
      <c r="CB609" s="2627"/>
      <c r="CC609" s="2627"/>
      <c r="CD609" s="2627"/>
      <c r="CE609" s="2627"/>
      <c r="CF609" s="2627"/>
      <c r="CG609" s="2627"/>
      <c r="CH609" s="2627"/>
      <c r="CI609" s="2627"/>
      <c r="CJ609" s="2627"/>
      <c r="CK609" s="2681"/>
      <c r="CL609" s="2686">
        <v>859</v>
      </c>
      <c r="CM609" s="2677">
        <f t="shared" ref="CM609:CW609" si="2365">CL611</f>
        <v>859</v>
      </c>
      <c r="CN609" s="2677">
        <f t="shared" si="2365"/>
        <v>859</v>
      </c>
      <c r="CO609" s="2677">
        <f t="shared" si="2365"/>
        <v>959</v>
      </c>
      <c r="CP609" s="2679">
        <f t="shared" si="2365"/>
        <v>970</v>
      </c>
      <c r="CQ609" s="2677">
        <f t="shared" si="2365"/>
        <v>970</v>
      </c>
      <c r="CR609" s="2677">
        <f t="shared" si="2365"/>
        <v>970</v>
      </c>
      <c r="CS609" s="2677">
        <f t="shared" si="2365"/>
        <v>970</v>
      </c>
      <c r="CT609" s="2679">
        <f t="shared" si="2365"/>
        <v>970</v>
      </c>
      <c r="CU609" s="2677">
        <f t="shared" si="2365"/>
        <v>970</v>
      </c>
      <c r="CV609" s="2677">
        <f t="shared" si="2365"/>
        <v>970</v>
      </c>
      <c r="CW609" s="2680">
        <f t="shared" si="2365"/>
        <v>970</v>
      </c>
      <c r="CX609" s="2677"/>
      <c r="CY609" s="2677"/>
      <c r="CZ609" s="2677"/>
      <c r="DA609" s="2677"/>
      <c r="DB609" s="2679"/>
      <c r="DC609" s="2677"/>
      <c r="DD609" s="2677"/>
      <c r="DE609" s="2677"/>
      <c r="DF609" s="2677"/>
      <c r="DG609" s="2677"/>
      <c r="DH609" s="2677"/>
      <c r="DI609" s="2677"/>
      <c r="DJ609" s="2677"/>
      <c r="DK609" s="2677"/>
      <c r="DL609" s="2677"/>
      <c r="DM609" s="2677"/>
      <c r="DN609" s="2677"/>
      <c r="DO609" s="2677"/>
      <c r="DP609" s="2677"/>
      <c r="DQ609" s="2677"/>
      <c r="DR609" s="2677"/>
      <c r="DS609" s="2677"/>
      <c r="DT609" s="2677"/>
      <c r="DU609" s="2677"/>
      <c r="DV609" s="2677"/>
      <c r="DW609" s="2677"/>
      <c r="DX609" s="2677"/>
      <c r="DY609" s="2680"/>
    </row>
    <row r="610" spans="1:129" hidden="1" outlineLevel="1">
      <c r="A610" s="2676" t="s">
        <v>875</v>
      </c>
      <c r="B610" s="2627"/>
      <c r="C610" s="2627"/>
      <c r="D610" s="2627"/>
      <c r="E610" s="2627"/>
      <c r="F610" s="2627"/>
      <c r="G610" s="2627"/>
      <c r="H610" s="2627"/>
      <c r="I610" s="2627"/>
      <c r="J610" s="2627"/>
      <c r="K610" s="2627"/>
      <c r="L610" s="2627"/>
      <c r="M610" s="2627"/>
      <c r="N610" s="2627"/>
      <c r="O610" s="2681"/>
      <c r="P610" s="2677"/>
      <c r="Q610" s="2682">
        <f>SUM(CL610:CO610)</f>
        <v>0</v>
      </c>
      <c r="R610" s="2682">
        <f>SUM(CP610:CS610)</f>
        <v>0</v>
      </c>
      <c r="S610" s="2627"/>
      <c r="T610" s="2682"/>
      <c r="U610" s="2627"/>
      <c r="V610" s="2627"/>
      <c r="W610" s="2627"/>
      <c r="X610" s="2627"/>
      <c r="Y610" s="2627"/>
      <c r="Z610" s="2627"/>
      <c r="AA610" s="2627"/>
      <c r="AB610" s="2627"/>
      <c r="AC610" s="2627"/>
      <c r="AD610" s="2627"/>
      <c r="AE610" s="2627"/>
      <c r="AF610" s="2627"/>
      <c r="AG610" s="2627"/>
      <c r="AI610" s="2456"/>
      <c r="AK610" s="2627"/>
      <c r="AL610" s="2627"/>
      <c r="AM610" s="2627"/>
      <c r="AN610" s="2627"/>
      <c r="AO610" s="2627"/>
      <c r="AP610" s="2627"/>
      <c r="AQ610" s="2627"/>
      <c r="AR610" s="2627"/>
      <c r="AS610" s="2627"/>
      <c r="AT610" s="2627"/>
      <c r="AU610" s="2627"/>
      <c r="AV610" s="2627"/>
      <c r="AW610" s="2627"/>
      <c r="AX610" s="2627"/>
      <c r="AY610" s="2627"/>
      <c r="AZ610" s="2627"/>
      <c r="BA610" s="2627"/>
      <c r="BB610" s="2627"/>
      <c r="BC610" s="2627"/>
      <c r="BD610" s="2627"/>
      <c r="BE610" s="2627"/>
      <c r="BF610" s="2627"/>
      <c r="BG610" s="2627"/>
      <c r="BH610" s="2627"/>
      <c r="BI610" s="2627"/>
      <c r="BJ610" s="2627"/>
      <c r="BK610" s="2627"/>
      <c r="BL610" s="2627"/>
      <c r="BM610" s="2627"/>
      <c r="BN610" s="2627"/>
      <c r="BO610" s="2627"/>
      <c r="BP610" s="2627"/>
      <c r="BQ610" s="2627"/>
      <c r="BR610" s="2627"/>
      <c r="BS610" s="2627"/>
      <c r="BT610" s="2627"/>
      <c r="BU610" s="2627"/>
      <c r="BV610" s="2627"/>
      <c r="BW610" s="2627"/>
      <c r="BX610" s="2627"/>
      <c r="BY610" s="2627"/>
      <c r="BZ610" s="2627"/>
      <c r="CA610" s="2627"/>
      <c r="CB610" s="2627"/>
      <c r="CC610" s="2627"/>
      <c r="CD610" s="2627"/>
      <c r="CE610" s="2627"/>
      <c r="CF610" s="2627"/>
      <c r="CG610" s="2627"/>
      <c r="CH610" s="2627"/>
      <c r="CI610" s="2627"/>
      <c r="CJ610" s="2627"/>
      <c r="CK610" s="2681">
        <v>876</v>
      </c>
      <c r="CL610" s="2679">
        <f>+CL609-CL611</f>
        <v>0</v>
      </c>
      <c r="CM610" s="2682"/>
      <c r="CN610" s="2682"/>
      <c r="CO610" s="2682"/>
      <c r="CP610" s="2683"/>
      <c r="CQ610" s="2682"/>
      <c r="CR610" s="2682"/>
      <c r="CS610" s="2682"/>
      <c r="CT610" s="2683"/>
      <c r="CU610" s="2682"/>
      <c r="CV610" s="2682"/>
      <c r="CW610" s="2684"/>
      <c r="CX610" s="2682"/>
      <c r="CY610" s="2682"/>
      <c r="CZ610" s="2682"/>
      <c r="DA610" s="2682"/>
      <c r="DB610" s="2683"/>
      <c r="DC610" s="2682"/>
      <c r="DD610" s="2682"/>
      <c r="DE610" s="2682"/>
      <c r="DF610" s="2682"/>
      <c r="DG610" s="2682"/>
      <c r="DH610" s="2682"/>
      <c r="DI610" s="2682"/>
      <c r="DJ610" s="2682"/>
      <c r="DK610" s="2682"/>
      <c r="DL610" s="2682"/>
      <c r="DM610" s="2682"/>
      <c r="DN610" s="2682"/>
      <c r="DO610" s="2682"/>
      <c r="DP610" s="2682"/>
      <c r="DQ610" s="2682"/>
      <c r="DR610" s="2682"/>
      <c r="DS610" s="2682"/>
      <c r="DT610" s="2682"/>
      <c r="DU610" s="2682"/>
      <c r="DV610" s="2682"/>
      <c r="DW610" s="2682"/>
      <c r="DX610" s="2682"/>
      <c r="DY610" s="2684"/>
    </row>
    <row r="611" spans="1:129" hidden="1" outlineLevel="1">
      <c r="A611" s="2676" t="s">
        <v>876</v>
      </c>
      <c r="B611" s="2627"/>
      <c r="C611" s="2627"/>
      <c r="D611" s="2627"/>
      <c r="E611" s="2627"/>
      <c r="F611" s="2627"/>
      <c r="G611" s="2627"/>
      <c r="H611" s="2627"/>
      <c r="I611" s="2627"/>
      <c r="J611" s="2627"/>
      <c r="K611" s="2627"/>
      <c r="L611" s="2627"/>
      <c r="M611" s="2627"/>
      <c r="N611" s="2627"/>
      <c r="O611" s="2681"/>
      <c r="P611" s="2677">
        <f>CK611</f>
        <v>876</v>
      </c>
      <c r="Q611" s="2677">
        <f>+CO611</f>
        <v>970</v>
      </c>
      <c r="R611" s="2678">
        <f>CS611</f>
        <v>970</v>
      </c>
      <c r="S611" s="2678">
        <f>+S609+S610</f>
        <v>970</v>
      </c>
      <c r="T611" s="2678"/>
      <c r="U611" s="2678"/>
      <c r="V611" s="2678"/>
      <c r="W611" s="2678"/>
      <c r="X611" s="2678"/>
      <c r="Y611" s="2678"/>
      <c r="Z611" s="2678"/>
      <c r="AA611" s="2678"/>
      <c r="AB611" s="2678"/>
      <c r="AC611" s="2678"/>
      <c r="AD611" s="2678"/>
      <c r="AE611" s="2678"/>
      <c r="AF611" s="2678"/>
      <c r="AG611" s="2678"/>
      <c r="AI611" s="2456"/>
      <c r="AK611" s="2627"/>
      <c r="AL611" s="2627"/>
      <c r="AM611" s="2627"/>
      <c r="AN611" s="2627"/>
      <c r="AO611" s="2627"/>
      <c r="AP611" s="2627"/>
      <c r="AQ611" s="2627"/>
      <c r="AR611" s="2627"/>
      <c r="AS611" s="2627"/>
      <c r="AT611" s="2627"/>
      <c r="AU611" s="2627"/>
      <c r="AV611" s="2627"/>
      <c r="AW611" s="2627"/>
      <c r="AX611" s="2627"/>
      <c r="AY611" s="2627"/>
      <c r="AZ611" s="2627"/>
      <c r="BA611" s="2627"/>
      <c r="BB611" s="2627"/>
      <c r="BC611" s="2627"/>
      <c r="BD611" s="2627"/>
      <c r="BE611" s="2627"/>
      <c r="BF611" s="2627"/>
      <c r="BG611" s="2627"/>
      <c r="BH611" s="2627"/>
      <c r="BI611" s="2627"/>
      <c r="BJ611" s="2627"/>
      <c r="BK611" s="2627"/>
      <c r="BL611" s="2627"/>
      <c r="BM611" s="2627"/>
      <c r="BN611" s="2627"/>
      <c r="BO611" s="2627"/>
      <c r="BP611" s="2627"/>
      <c r="BQ611" s="2627"/>
      <c r="BR611" s="2627"/>
      <c r="BS611" s="2627"/>
      <c r="BT611" s="2627"/>
      <c r="BU611" s="2627"/>
      <c r="BV611" s="2627"/>
      <c r="BW611" s="2627"/>
      <c r="BX611" s="2627"/>
      <c r="BY611" s="2627"/>
      <c r="BZ611" s="2627"/>
      <c r="CA611" s="2627"/>
      <c r="CB611" s="2627"/>
      <c r="CC611" s="2627"/>
      <c r="CD611" s="2627"/>
      <c r="CE611" s="2627"/>
      <c r="CF611" s="2627"/>
      <c r="CG611" s="2627"/>
      <c r="CH611" s="2627"/>
      <c r="CI611" s="2627"/>
      <c r="CJ611" s="2627"/>
      <c r="CK611" s="2677">
        <f>CK610+CK609</f>
        <v>876</v>
      </c>
      <c r="CL611" s="2686">
        <v>859</v>
      </c>
      <c r="CM611" s="2677">
        <f>CM610+CM609</f>
        <v>859</v>
      </c>
      <c r="CN611" s="2677">
        <v>959</v>
      </c>
      <c r="CO611" s="2677">
        <v>970</v>
      </c>
      <c r="CP611" s="2679">
        <f t="shared" ref="CP611:CW611" si="2366">CP610+CP609</f>
        <v>970</v>
      </c>
      <c r="CQ611" s="2677">
        <f t="shared" si="2366"/>
        <v>970</v>
      </c>
      <c r="CR611" s="2677">
        <f t="shared" si="2366"/>
        <v>970</v>
      </c>
      <c r="CS611" s="2677">
        <f t="shared" si="2366"/>
        <v>970</v>
      </c>
      <c r="CT611" s="2679">
        <f t="shared" si="2366"/>
        <v>970</v>
      </c>
      <c r="CU611" s="2677">
        <f t="shared" si="2366"/>
        <v>970</v>
      </c>
      <c r="CV611" s="2677">
        <f t="shared" si="2366"/>
        <v>970</v>
      </c>
      <c r="CW611" s="2680">
        <f t="shared" si="2366"/>
        <v>970</v>
      </c>
      <c r="CX611" s="2677"/>
      <c r="CY611" s="2677"/>
      <c r="CZ611" s="2677"/>
      <c r="DA611" s="2677"/>
      <c r="DB611" s="2679"/>
      <c r="DC611" s="2677"/>
      <c r="DD611" s="2677"/>
      <c r="DE611" s="2677"/>
      <c r="DF611" s="2677"/>
      <c r="DG611" s="2677"/>
      <c r="DH611" s="2677"/>
      <c r="DI611" s="2677"/>
      <c r="DJ611" s="2677"/>
      <c r="DK611" s="2677"/>
      <c r="DL611" s="2677"/>
      <c r="DM611" s="2677"/>
      <c r="DN611" s="2677"/>
      <c r="DO611" s="2677"/>
      <c r="DP611" s="2677"/>
      <c r="DQ611" s="2677"/>
      <c r="DR611" s="2677"/>
      <c r="DS611" s="2677"/>
      <c r="DT611" s="2677"/>
      <c r="DU611" s="2677"/>
      <c r="DV611" s="2677"/>
      <c r="DW611" s="2677"/>
      <c r="DX611" s="2677"/>
      <c r="DY611" s="2680"/>
    </row>
    <row r="612" spans="1:129" hidden="1" outlineLevel="1">
      <c r="A612" s="2685" t="s">
        <v>885</v>
      </c>
      <c r="B612" s="2627"/>
      <c r="C612" s="2627"/>
      <c r="D612" s="2627"/>
      <c r="E612" s="2627"/>
      <c r="F612" s="2627"/>
      <c r="G612" s="2627"/>
      <c r="H612" s="2627"/>
      <c r="I612" s="2627"/>
      <c r="J612" s="2627"/>
      <c r="K612" s="2627"/>
      <c r="L612" s="2627"/>
      <c r="M612" s="2627"/>
      <c r="N612" s="2627"/>
      <c r="O612" s="2681" t="s">
        <v>886</v>
      </c>
      <c r="P612" s="2677"/>
      <c r="Q612" s="2627"/>
      <c r="R612" s="2627"/>
      <c r="S612" s="2627"/>
      <c r="T612" s="2627"/>
      <c r="U612" s="2627"/>
      <c r="V612" s="2627"/>
      <c r="W612" s="2627"/>
      <c r="X612" s="2627"/>
      <c r="Y612" s="2627"/>
      <c r="Z612" s="2627"/>
      <c r="AA612" s="2627"/>
      <c r="AB612" s="2627"/>
      <c r="AC612" s="2627"/>
      <c r="AD612" s="2627"/>
      <c r="AE612" s="2627"/>
      <c r="AF612" s="2627"/>
      <c r="AG612" s="2627"/>
      <c r="AI612" s="2456"/>
      <c r="AK612" s="2627"/>
      <c r="AL612" s="2627"/>
      <c r="AM612" s="2627"/>
      <c r="AN612" s="2627"/>
      <c r="AO612" s="2627"/>
      <c r="AP612" s="2627"/>
      <c r="AQ612" s="2627"/>
      <c r="AR612" s="2627"/>
      <c r="AS612" s="2627"/>
      <c r="AT612" s="2627"/>
      <c r="AU612" s="2627"/>
      <c r="AV612" s="2627"/>
      <c r="AW612" s="2627"/>
      <c r="AX612" s="2627"/>
      <c r="AY612" s="2627"/>
      <c r="AZ612" s="2627"/>
      <c r="BA612" s="2627"/>
      <c r="BB612" s="2627"/>
      <c r="BC612" s="2627"/>
      <c r="BD612" s="2627"/>
      <c r="BE612" s="2627"/>
      <c r="BF612" s="2627"/>
      <c r="BG612" s="2627"/>
      <c r="BH612" s="2627"/>
      <c r="BI612" s="2627"/>
      <c r="BJ612" s="2627"/>
      <c r="BK612" s="2627"/>
      <c r="BL612" s="2627"/>
      <c r="BM612" s="2627"/>
      <c r="BN612" s="2627"/>
      <c r="BO612" s="2627"/>
      <c r="BP612" s="2627"/>
      <c r="BQ612" s="2627"/>
      <c r="BR612" s="2627"/>
      <c r="BS612" s="2627"/>
      <c r="BT612" s="2627"/>
      <c r="BU612" s="2627"/>
      <c r="BV612" s="2627"/>
      <c r="BW612" s="2627"/>
      <c r="BX612" s="2627"/>
      <c r="BY612" s="2627"/>
      <c r="BZ612" s="2627"/>
      <c r="CA612" s="2627"/>
      <c r="CB612" s="2627"/>
      <c r="CC612" s="2627"/>
      <c r="CD612" s="2627"/>
      <c r="CE612" s="2627"/>
      <c r="CF612" s="2627"/>
      <c r="CG612" s="2627"/>
      <c r="CH612" s="2627"/>
      <c r="CI612" s="2627"/>
      <c r="CJ612" s="2627"/>
      <c r="CK612" s="2627"/>
      <c r="CL612" s="2629"/>
      <c r="CM612" s="2627"/>
      <c r="CN612" s="2627"/>
      <c r="CO612" s="2627"/>
      <c r="CP612" s="2629"/>
      <c r="CQ612" s="2627"/>
      <c r="CR612" s="2627"/>
      <c r="CS612" s="2627"/>
      <c r="CT612" s="2629"/>
      <c r="CU612" s="2627"/>
      <c r="CV612" s="2627"/>
      <c r="CW612" s="2628"/>
      <c r="CX612" s="2627"/>
      <c r="CY612" s="2627"/>
      <c r="CZ612" s="2627"/>
      <c r="DA612" s="2627"/>
      <c r="DB612" s="2629"/>
      <c r="DC612" s="2627"/>
      <c r="DD612" s="2627"/>
      <c r="DE612" s="2627"/>
      <c r="DF612" s="2627"/>
      <c r="DG612" s="2627"/>
      <c r="DH612" s="2627"/>
      <c r="DI612" s="2627"/>
      <c r="DJ612" s="2627"/>
      <c r="DK612" s="2627"/>
      <c r="DL612" s="2627"/>
      <c r="DM612" s="2627"/>
      <c r="DN612" s="2627"/>
      <c r="DO612" s="2627"/>
      <c r="DP612" s="2627"/>
      <c r="DQ612" s="2627"/>
      <c r="DR612" s="2627"/>
      <c r="DS612" s="2627"/>
      <c r="DT612" s="2627"/>
      <c r="DU612" s="2627"/>
      <c r="DV612" s="2627"/>
      <c r="DW612" s="2627"/>
      <c r="DX612" s="2627"/>
      <c r="DY612" s="2628"/>
    </row>
    <row r="613" spans="1:129" hidden="1" outlineLevel="1">
      <c r="A613" s="2676" t="s">
        <v>874</v>
      </c>
      <c r="B613" s="2627"/>
      <c r="C613" s="2627"/>
      <c r="D613" s="2627"/>
      <c r="E613" s="2627"/>
      <c r="F613" s="2627"/>
      <c r="G613" s="2627"/>
      <c r="H613" s="2627"/>
      <c r="I613" s="2627"/>
      <c r="J613" s="2627"/>
      <c r="K613" s="2627"/>
      <c r="L613" s="2627"/>
      <c r="M613" s="2627"/>
      <c r="N613" s="2627"/>
      <c r="O613" s="2681"/>
      <c r="P613" s="2677"/>
      <c r="Q613" s="2678">
        <f>+P615</f>
        <v>0</v>
      </c>
      <c r="R613" s="2678">
        <f>CS613</f>
        <v>2300</v>
      </c>
      <c r="S613" s="2678">
        <f>+R615</f>
        <v>2300</v>
      </c>
      <c r="T613" s="2678"/>
      <c r="U613" s="2678"/>
      <c r="V613" s="2678"/>
      <c r="W613" s="2678"/>
      <c r="X613" s="2678"/>
      <c r="Y613" s="2678"/>
      <c r="Z613" s="2678"/>
      <c r="AA613" s="2678"/>
      <c r="AB613" s="2678"/>
      <c r="AC613" s="2678"/>
      <c r="AD613" s="2678"/>
      <c r="AE613" s="2678"/>
      <c r="AF613" s="2678"/>
      <c r="AG613" s="2678"/>
      <c r="AI613" s="2456"/>
      <c r="AK613" s="2627"/>
      <c r="AL613" s="2627"/>
      <c r="AM613" s="2627"/>
      <c r="AN613" s="2627"/>
      <c r="AO613" s="2627"/>
      <c r="AP613" s="2627"/>
      <c r="AQ613" s="2627"/>
      <c r="AR613" s="2627"/>
      <c r="AS613" s="2627"/>
      <c r="AT613" s="2627"/>
      <c r="AU613" s="2627"/>
      <c r="AV613" s="2627"/>
      <c r="AW613" s="2627"/>
      <c r="AX613" s="2627"/>
      <c r="AY613" s="2627"/>
      <c r="AZ613" s="2627"/>
      <c r="BA613" s="2627"/>
      <c r="BB613" s="2627"/>
      <c r="BC613" s="2627"/>
      <c r="BD613" s="2627"/>
      <c r="BE613" s="2627"/>
      <c r="BF613" s="2627"/>
      <c r="BG613" s="2627"/>
      <c r="BH613" s="2627"/>
      <c r="BI613" s="2627"/>
      <c r="BJ613" s="2627"/>
      <c r="BK613" s="2627"/>
      <c r="BL613" s="2627"/>
      <c r="BM613" s="2627"/>
      <c r="BN613" s="2627"/>
      <c r="BO613" s="2627"/>
      <c r="BP613" s="2627"/>
      <c r="BQ613" s="2627"/>
      <c r="BR613" s="2627"/>
      <c r="BS613" s="2627"/>
      <c r="BT613" s="2627"/>
      <c r="BU613" s="2627"/>
      <c r="BV613" s="2627"/>
      <c r="BW613" s="2627"/>
      <c r="BX613" s="2627"/>
      <c r="BY613" s="2627"/>
      <c r="BZ613" s="2627"/>
      <c r="CA613" s="2627"/>
      <c r="CB613" s="2627"/>
      <c r="CC613" s="2627"/>
      <c r="CD613" s="2627"/>
      <c r="CE613" s="2627"/>
      <c r="CF613" s="2627"/>
      <c r="CG613" s="2627"/>
      <c r="CH613" s="2627"/>
      <c r="CI613" s="2627"/>
      <c r="CJ613" s="2627"/>
      <c r="CK613" s="2681">
        <v>0</v>
      </c>
      <c r="CL613" s="2679">
        <f t="shared" ref="CL613:CW613" si="2367">CK615</f>
        <v>0</v>
      </c>
      <c r="CM613" s="2677">
        <f t="shared" si="2367"/>
        <v>2300</v>
      </c>
      <c r="CN613" s="2677">
        <f t="shared" si="2367"/>
        <v>2300</v>
      </c>
      <c r="CO613" s="2677">
        <f t="shared" si="2367"/>
        <v>2300</v>
      </c>
      <c r="CP613" s="2679">
        <f t="shared" si="2367"/>
        <v>2300</v>
      </c>
      <c r="CQ613" s="2677">
        <f t="shared" si="2367"/>
        <v>2300</v>
      </c>
      <c r="CR613" s="2677">
        <f t="shared" si="2367"/>
        <v>2300</v>
      </c>
      <c r="CS613" s="2677">
        <f t="shared" si="2367"/>
        <v>2300</v>
      </c>
      <c r="CT613" s="2679">
        <f t="shared" si="2367"/>
        <v>2300</v>
      </c>
      <c r="CU613" s="2677">
        <f t="shared" si="2367"/>
        <v>2300</v>
      </c>
      <c r="CV613" s="2677">
        <f t="shared" si="2367"/>
        <v>2300</v>
      </c>
      <c r="CW613" s="2680">
        <f t="shared" si="2367"/>
        <v>2300</v>
      </c>
      <c r="CX613" s="2677"/>
      <c r="CY613" s="2677"/>
      <c r="CZ613" s="2677"/>
      <c r="DA613" s="2677"/>
      <c r="DB613" s="2679"/>
      <c r="DC613" s="2677"/>
      <c r="DD613" s="2677"/>
      <c r="DE613" s="2677"/>
      <c r="DF613" s="2677"/>
      <c r="DG613" s="2677"/>
      <c r="DH613" s="2677"/>
      <c r="DI613" s="2677"/>
      <c r="DJ613" s="2677"/>
      <c r="DK613" s="2677"/>
      <c r="DL613" s="2677"/>
      <c r="DM613" s="2677"/>
      <c r="DN613" s="2677"/>
      <c r="DO613" s="2677"/>
      <c r="DP613" s="2677"/>
      <c r="DQ613" s="2677"/>
      <c r="DR613" s="2677"/>
      <c r="DS613" s="2677"/>
      <c r="DT613" s="2677"/>
      <c r="DU613" s="2677"/>
      <c r="DV613" s="2677"/>
      <c r="DW613" s="2677"/>
      <c r="DX613" s="2677"/>
      <c r="DY613" s="2680"/>
    </row>
    <row r="614" spans="1:129" hidden="1" outlineLevel="1">
      <c r="A614" s="2676" t="s">
        <v>875</v>
      </c>
      <c r="B614" s="2627"/>
      <c r="C614" s="2627"/>
      <c r="D614" s="2627"/>
      <c r="E614" s="2627"/>
      <c r="F614" s="2627"/>
      <c r="G614" s="2627"/>
      <c r="H614" s="2627"/>
      <c r="I614" s="2627"/>
      <c r="J614" s="2627"/>
      <c r="K614" s="2627"/>
      <c r="L614" s="2627"/>
      <c r="M614" s="2627"/>
      <c r="N614" s="2627"/>
      <c r="O614" s="2681"/>
      <c r="P614" s="2677"/>
      <c r="Q614" s="2682">
        <f>SUM(CL614:CO614)</f>
        <v>2300</v>
      </c>
      <c r="R614" s="2682">
        <f>SUM(CP614:CS614)</f>
        <v>0</v>
      </c>
      <c r="S614" s="2682"/>
      <c r="T614" s="2682"/>
      <c r="U614" s="2682"/>
      <c r="V614" s="2682"/>
      <c r="W614" s="2682"/>
      <c r="X614" s="2682"/>
      <c r="Y614" s="2682"/>
      <c r="Z614" s="2682"/>
      <c r="AA614" s="2682"/>
      <c r="AB614" s="2682"/>
      <c r="AC614" s="2682"/>
      <c r="AD614" s="2682"/>
      <c r="AE614" s="2682"/>
      <c r="AF614" s="2682"/>
      <c r="AG614" s="2682"/>
      <c r="AI614" s="2456"/>
      <c r="AK614" s="2627"/>
      <c r="AL614" s="2627"/>
      <c r="AM614" s="2627"/>
      <c r="AN614" s="2627"/>
      <c r="AO614" s="2627"/>
      <c r="AP614" s="2627"/>
      <c r="AQ614" s="2627"/>
      <c r="AR614" s="2627"/>
      <c r="AS614" s="2627"/>
      <c r="AT614" s="2627"/>
      <c r="AU614" s="2627"/>
      <c r="AV614" s="2627"/>
      <c r="AW614" s="2627"/>
      <c r="AX614" s="2627"/>
      <c r="AY614" s="2627"/>
      <c r="AZ614" s="2627"/>
      <c r="BA614" s="2627"/>
      <c r="BB614" s="2627"/>
      <c r="BC614" s="2627"/>
      <c r="BD614" s="2627"/>
      <c r="BE614" s="2627"/>
      <c r="BF614" s="2627"/>
      <c r="BG614" s="2627"/>
      <c r="BH614" s="2627"/>
      <c r="BI614" s="2627"/>
      <c r="BJ614" s="2627"/>
      <c r="BK614" s="2627"/>
      <c r="BL614" s="2627"/>
      <c r="BM614" s="2627"/>
      <c r="BN614" s="2627"/>
      <c r="BO614" s="2627"/>
      <c r="BP614" s="2627"/>
      <c r="BQ614" s="2627"/>
      <c r="BR614" s="2627"/>
      <c r="BS614" s="2627"/>
      <c r="BT614" s="2627"/>
      <c r="BU614" s="2627"/>
      <c r="BV614" s="2627"/>
      <c r="BW614" s="2627"/>
      <c r="BX614" s="2627"/>
      <c r="BY614" s="2627"/>
      <c r="BZ614" s="2627"/>
      <c r="CA614" s="2627"/>
      <c r="CB614" s="2627"/>
      <c r="CC614" s="2627"/>
      <c r="CD614" s="2627"/>
      <c r="CE614" s="2627"/>
      <c r="CF614" s="2627"/>
      <c r="CG614" s="2627"/>
      <c r="CH614" s="2627"/>
      <c r="CI614" s="2627"/>
      <c r="CJ614" s="2627"/>
      <c r="CK614" s="2681"/>
      <c r="CL614" s="2683">
        <v>2300</v>
      </c>
      <c r="CM614" s="2682"/>
      <c r="CN614" s="2682"/>
      <c r="CO614" s="2682"/>
      <c r="CP614" s="2683"/>
      <c r="CQ614" s="2682"/>
      <c r="CR614" s="2682"/>
      <c r="CS614" s="2682"/>
      <c r="CT614" s="2683"/>
      <c r="CU614" s="2682"/>
      <c r="CV614" s="2682"/>
      <c r="CW614" s="2684"/>
      <c r="CX614" s="2682"/>
      <c r="CY614" s="2682"/>
      <c r="CZ614" s="2682"/>
      <c r="DA614" s="2682"/>
      <c r="DB614" s="2683"/>
      <c r="DC614" s="2682"/>
      <c r="DD614" s="2682"/>
      <c r="DE614" s="2682"/>
      <c r="DF614" s="2682"/>
      <c r="DG614" s="2682"/>
      <c r="DH614" s="2682"/>
      <c r="DI614" s="2682"/>
      <c r="DJ614" s="2682"/>
      <c r="DK614" s="2682"/>
      <c r="DL614" s="2682"/>
      <c r="DM614" s="2682"/>
      <c r="DN614" s="2682"/>
      <c r="DO614" s="2682"/>
      <c r="DP614" s="2682"/>
      <c r="DQ614" s="2682"/>
      <c r="DR614" s="2682"/>
      <c r="DS614" s="2682"/>
      <c r="DT614" s="2682"/>
      <c r="DU614" s="2682"/>
      <c r="DV614" s="2682"/>
      <c r="DW614" s="2682"/>
      <c r="DX614" s="2682"/>
      <c r="DY614" s="2684"/>
    </row>
    <row r="615" spans="1:129" hidden="1" outlineLevel="1">
      <c r="A615" s="2676" t="s">
        <v>876</v>
      </c>
      <c r="B615" s="2627"/>
      <c r="C615" s="2627"/>
      <c r="D615" s="2627"/>
      <c r="E615" s="2627"/>
      <c r="F615" s="2627"/>
      <c r="G615" s="2627"/>
      <c r="H615" s="2627"/>
      <c r="I615" s="2627"/>
      <c r="J615" s="2627"/>
      <c r="K615" s="2627"/>
      <c r="L615" s="2627"/>
      <c r="M615" s="2627"/>
      <c r="N615" s="2627"/>
      <c r="O615" s="2681"/>
      <c r="P615" s="2677">
        <f>CK615</f>
        <v>0</v>
      </c>
      <c r="Q615" s="2677">
        <f>+CO615</f>
        <v>2300</v>
      </c>
      <c r="R615" s="2678">
        <f>CS615</f>
        <v>2300</v>
      </c>
      <c r="S615" s="2678">
        <f>+S613+S614</f>
        <v>2300</v>
      </c>
      <c r="T615" s="2678"/>
      <c r="U615" s="2678"/>
      <c r="V615" s="2678"/>
      <c r="W615" s="2678"/>
      <c r="X615" s="2678"/>
      <c r="Y615" s="2678"/>
      <c r="Z615" s="2678"/>
      <c r="AA615" s="2678"/>
      <c r="AB615" s="2678"/>
      <c r="AC615" s="2678"/>
      <c r="AD615" s="2678"/>
      <c r="AE615" s="2678"/>
      <c r="AF615" s="2678"/>
      <c r="AG615" s="2678"/>
      <c r="AI615" s="2456"/>
      <c r="AK615" s="2627"/>
      <c r="AL615" s="2627"/>
      <c r="AM615" s="2627"/>
      <c r="AN615" s="2627"/>
      <c r="AO615" s="2627"/>
      <c r="AP615" s="2627"/>
      <c r="AQ615" s="2627"/>
      <c r="AR615" s="2627"/>
      <c r="AS615" s="2627"/>
      <c r="AT615" s="2627"/>
      <c r="AU615" s="2627"/>
      <c r="AV615" s="2627"/>
      <c r="AW615" s="2627"/>
      <c r="AX615" s="2627"/>
      <c r="AY615" s="2627"/>
      <c r="AZ615" s="2627"/>
      <c r="BA615" s="2627"/>
      <c r="BB615" s="2627"/>
      <c r="BC615" s="2627"/>
      <c r="BD615" s="2627"/>
      <c r="BE615" s="2627"/>
      <c r="BF615" s="2627"/>
      <c r="BG615" s="2627"/>
      <c r="BH615" s="2627"/>
      <c r="BI615" s="2627"/>
      <c r="BJ615" s="2627"/>
      <c r="BK615" s="2627"/>
      <c r="BL615" s="2627"/>
      <c r="BM615" s="2627"/>
      <c r="BN615" s="2627"/>
      <c r="BO615" s="2627"/>
      <c r="BP615" s="2627"/>
      <c r="BQ615" s="2627"/>
      <c r="BR615" s="2627"/>
      <c r="BS615" s="2627"/>
      <c r="BT615" s="2627"/>
      <c r="BU615" s="2627"/>
      <c r="BV615" s="2627"/>
      <c r="BW615" s="2627"/>
      <c r="BX615" s="2627"/>
      <c r="BY615" s="2627"/>
      <c r="BZ615" s="2627"/>
      <c r="CA615" s="2627"/>
      <c r="CB615" s="2627"/>
      <c r="CC615" s="2627"/>
      <c r="CD615" s="2627"/>
      <c r="CE615" s="2627"/>
      <c r="CF615" s="2627"/>
      <c r="CG615" s="2627"/>
      <c r="CH615" s="2627"/>
      <c r="CI615" s="2627"/>
      <c r="CJ615" s="2627"/>
      <c r="CK615" s="2681">
        <v>0</v>
      </c>
      <c r="CL615" s="2679">
        <f>CL614+CL613</f>
        <v>2300</v>
      </c>
      <c r="CM615" s="2677">
        <f>CM614+CM613</f>
        <v>2300</v>
      </c>
      <c r="CN615" s="2677">
        <f>CN614+CN613</f>
        <v>2300</v>
      </c>
      <c r="CO615" s="2677">
        <v>2300</v>
      </c>
      <c r="CP615" s="2679">
        <f t="shared" ref="CP615:CW615" si="2368">CP614+CP613</f>
        <v>2300</v>
      </c>
      <c r="CQ615" s="2677">
        <f t="shared" si="2368"/>
        <v>2300</v>
      </c>
      <c r="CR615" s="2677">
        <f t="shared" si="2368"/>
        <v>2300</v>
      </c>
      <c r="CS615" s="2677">
        <f t="shared" si="2368"/>
        <v>2300</v>
      </c>
      <c r="CT615" s="2679">
        <f t="shared" si="2368"/>
        <v>2300</v>
      </c>
      <c r="CU615" s="2677">
        <f t="shared" si="2368"/>
        <v>2300</v>
      </c>
      <c r="CV615" s="2677">
        <f t="shared" si="2368"/>
        <v>2300</v>
      </c>
      <c r="CW615" s="2680">
        <f t="shared" si="2368"/>
        <v>2300</v>
      </c>
      <c r="CX615" s="2677"/>
      <c r="CY615" s="2677"/>
      <c r="CZ615" s="2677"/>
      <c r="DA615" s="2677"/>
      <c r="DB615" s="2679"/>
      <c r="DC615" s="2677"/>
      <c r="DD615" s="2677"/>
      <c r="DE615" s="2677"/>
      <c r="DF615" s="2677"/>
      <c r="DG615" s="2677"/>
      <c r="DH615" s="2677"/>
      <c r="DI615" s="2677"/>
      <c r="DJ615" s="2677"/>
      <c r="DK615" s="2677"/>
      <c r="DL615" s="2677"/>
      <c r="DM615" s="2677"/>
      <c r="DN615" s="2677"/>
      <c r="DO615" s="2677"/>
      <c r="DP615" s="2677"/>
      <c r="DQ615" s="2677"/>
      <c r="DR615" s="2677"/>
      <c r="DS615" s="2677"/>
      <c r="DT615" s="2677"/>
      <c r="DU615" s="2677"/>
      <c r="DV615" s="2677"/>
      <c r="DW615" s="2677"/>
      <c r="DX615" s="2677"/>
      <c r="DY615" s="2680"/>
    </row>
    <row r="616" spans="1:129" hidden="1" outlineLevel="1">
      <c r="A616" s="2685" t="s">
        <v>887</v>
      </c>
      <c r="B616" s="2627"/>
      <c r="C616" s="2627"/>
      <c r="D616" s="2627"/>
      <c r="E616" s="2627"/>
      <c r="F616" s="2627"/>
      <c r="G616" s="2627"/>
      <c r="H616" s="2627"/>
      <c r="I616" s="2627"/>
      <c r="J616" s="2627"/>
      <c r="K616" s="2627"/>
      <c r="L616" s="2627"/>
      <c r="M616" s="2627"/>
      <c r="N616" s="2627"/>
      <c r="O616" s="2681"/>
      <c r="P616" s="2677"/>
      <c r="Q616" s="2627"/>
      <c r="R616" s="2627"/>
      <c r="S616" s="2627"/>
      <c r="T616" s="2627"/>
      <c r="U616" s="2627"/>
      <c r="V616" s="2627"/>
      <c r="W616" s="2627"/>
      <c r="X616" s="2627"/>
      <c r="Y616" s="2627"/>
      <c r="Z616" s="2627"/>
      <c r="AA616" s="2627"/>
      <c r="AB616" s="2627"/>
      <c r="AC616" s="2627"/>
      <c r="AD616" s="2627"/>
      <c r="AE616" s="2627"/>
      <c r="AF616" s="2627"/>
      <c r="AG616" s="2627"/>
      <c r="AI616" s="2456"/>
      <c r="AK616" s="2627"/>
      <c r="AL616" s="2627"/>
      <c r="AM616" s="2627"/>
      <c r="AN616" s="2627"/>
      <c r="AO616" s="2627"/>
      <c r="AP616" s="2627"/>
      <c r="AQ616" s="2627"/>
      <c r="AR616" s="2627"/>
      <c r="AS616" s="2627"/>
      <c r="AT616" s="2627"/>
      <c r="AU616" s="2627"/>
      <c r="AV616" s="2627"/>
      <c r="AW616" s="2627"/>
      <c r="AX616" s="2627"/>
      <c r="AY616" s="2627"/>
      <c r="AZ616" s="2627"/>
      <c r="BA616" s="2627"/>
      <c r="BB616" s="2627"/>
      <c r="BC616" s="2627"/>
      <c r="BD616" s="2627"/>
      <c r="BE616" s="2627"/>
      <c r="BF616" s="2627"/>
      <c r="BG616" s="2627"/>
      <c r="BH616" s="2627"/>
      <c r="BI616" s="2627"/>
      <c r="BJ616" s="2627"/>
      <c r="BK616" s="2627"/>
      <c r="BL616" s="2627"/>
      <c r="BM616" s="2627"/>
      <c r="BN616" s="2627"/>
      <c r="BO616" s="2627"/>
      <c r="BP616" s="2627"/>
      <c r="BQ616" s="2627"/>
      <c r="BR616" s="2627"/>
      <c r="BS616" s="2627"/>
      <c r="BT616" s="2627"/>
      <c r="BU616" s="2627"/>
      <c r="BV616" s="2627"/>
      <c r="BW616" s="2627"/>
      <c r="BX616" s="2627"/>
      <c r="BY616" s="2627"/>
      <c r="BZ616" s="2627"/>
      <c r="CA616" s="2627"/>
      <c r="CB616" s="2627"/>
      <c r="CC616" s="2627"/>
      <c r="CD616" s="2627"/>
      <c r="CE616" s="2627"/>
      <c r="CF616" s="2627"/>
      <c r="CG616" s="2627"/>
      <c r="CH616" s="2627"/>
      <c r="CI616" s="2627"/>
      <c r="CJ616" s="2627"/>
      <c r="CK616" s="2681"/>
      <c r="CL616" s="2679"/>
      <c r="CM616" s="2627"/>
      <c r="CN616" s="2627"/>
      <c r="CO616" s="2627"/>
      <c r="CP616" s="2629"/>
      <c r="CQ616" s="2627"/>
      <c r="CR616" s="2627"/>
      <c r="CS616" s="2627"/>
      <c r="CT616" s="2629"/>
      <c r="CU616" s="2627"/>
      <c r="CV616" s="2627"/>
      <c r="CW616" s="2628"/>
      <c r="CX616" s="2627"/>
      <c r="CY616" s="2627"/>
      <c r="CZ616" s="2627"/>
      <c r="DA616" s="2627"/>
      <c r="DB616" s="2629"/>
      <c r="DC616" s="2627"/>
      <c r="DD616" s="2627"/>
      <c r="DE616" s="2627"/>
      <c r="DF616" s="2627"/>
      <c r="DG616" s="2627"/>
      <c r="DH616" s="2627"/>
      <c r="DI616" s="2627"/>
      <c r="DJ616" s="2627"/>
      <c r="DK616" s="2627"/>
      <c r="DL616" s="2627"/>
      <c r="DM616" s="2627"/>
      <c r="DN616" s="2627"/>
      <c r="DO616" s="2627"/>
      <c r="DP616" s="2627"/>
      <c r="DQ616" s="2627"/>
      <c r="DR616" s="2627"/>
      <c r="DS616" s="2627"/>
      <c r="DT616" s="2627"/>
      <c r="DU616" s="2627"/>
      <c r="DV616" s="2627"/>
      <c r="DW616" s="2627"/>
      <c r="DX616" s="2627"/>
      <c r="DY616" s="2628"/>
    </row>
    <row r="617" spans="1:129" hidden="1" outlineLevel="1">
      <c r="A617" s="2676" t="s">
        <v>874</v>
      </c>
      <c r="B617" s="2627"/>
      <c r="C617" s="2627"/>
      <c r="D617" s="2627"/>
      <c r="E617" s="2627"/>
      <c r="F617" s="2627"/>
      <c r="G617" s="2627"/>
      <c r="H617" s="2627"/>
      <c r="I617" s="2627"/>
      <c r="J617" s="2627"/>
      <c r="K617" s="2627"/>
      <c r="L617" s="2627"/>
      <c r="M617" s="2627"/>
      <c r="N617" s="2627"/>
      <c r="O617" s="2681"/>
      <c r="P617" s="2677"/>
      <c r="Q617" s="2678">
        <f>+P619</f>
        <v>0</v>
      </c>
      <c r="R617" s="2678">
        <f>CS617</f>
        <v>0</v>
      </c>
      <c r="S617" s="2678">
        <f>+R619</f>
        <v>0</v>
      </c>
      <c r="T617" s="2678"/>
      <c r="U617" s="2678"/>
      <c r="V617" s="2678"/>
      <c r="W617" s="2678"/>
      <c r="X617" s="2678"/>
      <c r="Y617" s="2678"/>
      <c r="Z617" s="2678"/>
      <c r="AA617" s="2678"/>
      <c r="AB617" s="2678"/>
      <c r="AC617" s="2678"/>
      <c r="AD617" s="2678"/>
      <c r="AE617" s="2678"/>
      <c r="AF617" s="2678"/>
      <c r="AG617" s="2678"/>
      <c r="AI617" s="2456"/>
      <c r="AK617" s="2627"/>
      <c r="AL617" s="2627"/>
      <c r="AM617" s="2627"/>
      <c r="AN617" s="2627"/>
      <c r="AO617" s="2627"/>
      <c r="AP617" s="2627"/>
      <c r="AQ617" s="2627"/>
      <c r="AR617" s="2627"/>
      <c r="AS617" s="2627"/>
      <c r="AT617" s="2627"/>
      <c r="AU617" s="2627"/>
      <c r="AV617" s="2627"/>
      <c r="AW617" s="2627"/>
      <c r="AX617" s="2627"/>
      <c r="AY617" s="2627"/>
      <c r="AZ617" s="2627"/>
      <c r="BA617" s="2627"/>
      <c r="BB617" s="2627"/>
      <c r="BC617" s="2627"/>
      <c r="BD617" s="2627"/>
      <c r="BE617" s="2627"/>
      <c r="BF617" s="2627"/>
      <c r="BG617" s="2627"/>
      <c r="BH617" s="2627"/>
      <c r="BI617" s="2627"/>
      <c r="BJ617" s="2627"/>
      <c r="BK617" s="2627"/>
      <c r="BL617" s="2627"/>
      <c r="BM617" s="2627"/>
      <c r="BN617" s="2627"/>
      <c r="BO617" s="2627"/>
      <c r="BP617" s="2627"/>
      <c r="BQ617" s="2627"/>
      <c r="BR617" s="2627"/>
      <c r="BS617" s="2627"/>
      <c r="BT617" s="2627"/>
      <c r="BU617" s="2627"/>
      <c r="BV617" s="2627"/>
      <c r="BW617" s="2627"/>
      <c r="BX617" s="2627"/>
      <c r="BY617" s="2627"/>
      <c r="BZ617" s="2627"/>
      <c r="CA617" s="2627"/>
      <c r="CB617" s="2627"/>
      <c r="CC617" s="2627"/>
      <c r="CD617" s="2627"/>
      <c r="CE617" s="2627"/>
      <c r="CF617" s="2627"/>
      <c r="CG617" s="2627"/>
      <c r="CH617" s="2627"/>
      <c r="CI617" s="2627"/>
      <c r="CJ617" s="2627"/>
      <c r="CK617" s="2681"/>
      <c r="CL617" s="2679">
        <v>0</v>
      </c>
      <c r="CM617" s="2677">
        <f t="shared" ref="CM617:CW617" si="2369">CL619</f>
        <v>0</v>
      </c>
      <c r="CN617" s="2677">
        <f t="shared" si="2369"/>
        <v>1000</v>
      </c>
      <c r="CO617" s="2677">
        <f t="shared" si="2369"/>
        <v>1000</v>
      </c>
      <c r="CP617" s="2679">
        <f t="shared" si="2369"/>
        <v>1000</v>
      </c>
      <c r="CQ617" s="2677">
        <f t="shared" si="2369"/>
        <v>1000</v>
      </c>
      <c r="CR617" s="2677">
        <f t="shared" si="2369"/>
        <v>0</v>
      </c>
      <c r="CS617" s="2677">
        <f t="shared" si="2369"/>
        <v>0</v>
      </c>
      <c r="CT617" s="2679">
        <f t="shared" si="2369"/>
        <v>0</v>
      </c>
      <c r="CU617" s="2677">
        <f t="shared" si="2369"/>
        <v>0</v>
      </c>
      <c r="CV617" s="2677">
        <f t="shared" si="2369"/>
        <v>0</v>
      </c>
      <c r="CW617" s="2680">
        <f t="shared" si="2369"/>
        <v>0</v>
      </c>
      <c r="CX617" s="2677"/>
      <c r="CY617" s="2677"/>
      <c r="CZ617" s="2677"/>
      <c r="DA617" s="2677"/>
      <c r="DB617" s="2679"/>
      <c r="DC617" s="2677"/>
      <c r="DD617" s="2677"/>
      <c r="DE617" s="2677"/>
      <c r="DF617" s="2677"/>
      <c r="DG617" s="2677"/>
      <c r="DH617" s="2677"/>
      <c r="DI617" s="2677"/>
      <c r="DJ617" s="2677"/>
      <c r="DK617" s="2677"/>
      <c r="DL617" s="2677"/>
      <c r="DM617" s="2677"/>
      <c r="DN617" s="2677"/>
      <c r="DO617" s="2677"/>
      <c r="DP617" s="2677"/>
      <c r="DQ617" s="2677"/>
      <c r="DR617" s="2677"/>
      <c r="DS617" s="2677"/>
      <c r="DT617" s="2677"/>
      <c r="DU617" s="2677"/>
      <c r="DV617" s="2677"/>
      <c r="DW617" s="2677"/>
      <c r="DX617" s="2677"/>
      <c r="DY617" s="2680"/>
    </row>
    <row r="618" spans="1:129" hidden="1" outlineLevel="1">
      <c r="A618" s="2676" t="s">
        <v>875</v>
      </c>
      <c r="B618" s="2627"/>
      <c r="C618" s="2627"/>
      <c r="D618" s="2627"/>
      <c r="E618" s="2627"/>
      <c r="F618" s="2627"/>
      <c r="G618" s="2627"/>
      <c r="H618" s="2627"/>
      <c r="I618" s="2627"/>
      <c r="J618" s="2627"/>
      <c r="K618" s="2627"/>
      <c r="L618" s="2627"/>
      <c r="M618" s="2627"/>
      <c r="N618" s="2627"/>
      <c r="O618" s="2681"/>
      <c r="P618" s="2677"/>
      <c r="Q618" s="2682">
        <f>SUM(CL618:CO618)</f>
        <v>1000</v>
      </c>
      <c r="R618" s="2682">
        <f>SUM(CP618:CS618)</f>
        <v>-1000</v>
      </c>
      <c r="S618" s="2682">
        <v>0</v>
      </c>
      <c r="T618" s="2682"/>
      <c r="U618" s="2627"/>
      <c r="V618" s="2627"/>
      <c r="W618" s="2627"/>
      <c r="X618" s="2627"/>
      <c r="Y618" s="2627"/>
      <c r="Z618" s="2627"/>
      <c r="AA618" s="2627"/>
      <c r="AB618" s="2627"/>
      <c r="AC618" s="2627"/>
      <c r="AD618" s="2627"/>
      <c r="AE618" s="2627"/>
      <c r="AF618" s="2627"/>
      <c r="AG618" s="2627"/>
      <c r="AI618" s="2456"/>
      <c r="AK618" s="2627"/>
      <c r="AL618" s="2627"/>
      <c r="AM618" s="2627"/>
      <c r="AN618" s="2627"/>
      <c r="AO618" s="2627"/>
      <c r="AP618" s="2627"/>
      <c r="AQ618" s="2627"/>
      <c r="AR618" s="2627"/>
      <c r="AS618" s="2627"/>
      <c r="AT618" s="2627"/>
      <c r="AU618" s="2627"/>
      <c r="AV618" s="2627"/>
      <c r="AW618" s="2627"/>
      <c r="AX618" s="2627"/>
      <c r="AY618" s="2627"/>
      <c r="AZ618" s="2627"/>
      <c r="BA618" s="2627"/>
      <c r="BB618" s="2627"/>
      <c r="BC618" s="2627"/>
      <c r="BD618" s="2627"/>
      <c r="BE618" s="2627"/>
      <c r="BF618" s="2627"/>
      <c r="BG618" s="2627"/>
      <c r="BH618" s="2627"/>
      <c r="BI618" s="2627"/>
      <c r="BJ618" s="2627"/>
      <c r="BK618" s="2627"/>
      <c r="BL618" s="2627"/>
      <c r="BM618" s="2627"/>
      <c r="BN618" s="2627"/>
      <c r="BO618" s="2627"/>
      <c r="BP618" s="2627"/>
      <c r="BQ618" s="2627"/>
      <c r="BR618" s="2627"/>
      <c r="BS618" s="2627"/>
      <c r="BT618" s="2627"/>
      <c r="BU618" s="2627"/>
      <c r="BV618" s="2627"/>
      <c r="BW618" s="2627"/>
      <c r="BX618" s="2627"/>
      <c r="BY618" s="2627"/>
      <c r="BZ618" s="2627"/>
      <c r="CA618" s="2627"/>
      <c r="CB618" s="2627"/>
      <c r="CC618" s="2627"/>
      <c r="CD618" s="2627"/>
      <c r="CE618" s="2627"/>
      <c r="CF618" s="2627"/>
      <c r="CG618" s="2627"/>
      <c r="CH618" s="2627"/>
      <c r="CI618" s="2627"/>
      <c r="CJ618" s="2627"/>
      <c r="CK618" s="2681"/>
      <c r="CL618" s="2679"/>
      <c r="CM618" s="2682">
        <v>1000</v>
      </c>
      <c r="CN618" s="2682"/>
      <c r="CO618" s="2682"/>
      <c r="CP618" s="2683"/>
      <c r="CQ618" s="2682">
        <v>-1000</v>
      </c>
      <c r="CR618" s="2682"/>
      <c r="CS618" s="2682"/>
      <c r="CT618" s="2683"/>
      <c r="CU618" s="2682"/>
      <c r="CV618" s="2682"/>
      <c r="CW618" s="2684"/>
      <c r="CX618" s="2682"/>
      <c r="CY618" s="2682"/>
      <c r="CZ618" s="2682"/>
      <c r="DA618" s="2682"/>
      <c r="DB618" s="2683"/>
      <c r="DC618" s="2682"/>
      <c r="DD618" s="2682"/>
      <c r="DE618" s="2682"/>
      <c r="DF618" s="2682"/>
      <c r="DG618" s="2682"/>
      <c r="DH618" s="2682"/>
      <c r="DI618" s="2682"/>
      <c r="DJ618" s="2682"/>
      <c r="DK618" s="2682"/>
      <c r="DL618" s="2682"/>
      <c r="DM618" s="2682"/>
      <c r="DN618" s="2682"/>
      <c r="DO618" s="2682"/>
      <c r="DP618" s="2682"/>
      <c r="DQ618" s="2682"/>
      <c r="DR618" s="2682"/>
      <c r="DS618" s="2682"/>
      <c r="DT618" s="2682"/>
      <c r="DU618" s="2682"/>
      <c r="DV618" s="2682"/>
      <c r="DW618" s="2682"/>
      <c r="DX618" s="2682"/>
      <c r="DY618" s="2684"/>
    </row>
    <row r="619" spans="1:129" hidden="1" outlineLevel="1">
      <c r="A619" s="2676" t="s">
        <v>876</v>
      </c>
      <c r="B619" s="2627"/>
      <c r="C619" s="2627"/>
      <c r="D619" s="2627"/>
      <c r="E619" s="2627"/>
      <c r="F619" s="2627"/>
      <c r="G619" s="2627"/>
      <c r="H619" s="2627"/>
      <c r="I619" s="2627"/>
      <c r="J619" s="2627"/>
      <c r="K619" s="2627"/>
      <c r="L619" s="2627"/>
      <c r="M619" s="2627"/>
      <c r="N619" s="2627"/>
      <c r="O619" s="2681"/>
      <c r="P619" s="2677">
        <f>CK619</f>
        <v>0</v>
      </c>
      <c r="Q619" s="2677">
        <f>+CO619</f>
        <v>1000</v>
      </c>
      <c r="R619" s="2678">
        <f>CS619</f>
        <v>0</v>
      </c>
      <c r="S619" s="2678">
        <f>+S617+S618</f>
        <v>0</v>
      </c>
      <c r="T619" s="2678"/>
      <c r="U619" s="2678"/>
      <c r="V619" s="2678"/>
      <c r="W619" s="2678"/>
      <c r="X619" s="2678"/>
      <c r="Y619" s="2678"/>
      <c r="Z619" s="2678"/>
      <c r="AA619" s="2678"/>
      <c r="AB619" s="2678"/>
      <c r="AC619" s="2678"/>
      <c r="AD619" s="2678"/>
      <c r="AE619" s="2678"/>
      <c r="AF619" s="2678"/>
      <c r="AG619" s="2678"/>
      <c r="AI619" s="2456"/>
      <c r="AK619" s="2627"/>
      <c r="AL619" s="2627"/>
      <c r="AM619" s="2627"/>
      <c r="AN619" s="2627"/>
      <c r="AO619" s="2627"/>
      <c r="AP619" s="2627"/>
      <c r="AQ619" s="2627"/>
      <c r="AR619" s="2627"/>
      <c r="AS619" s="2627"/>
      <c r="AT619" s="2627"/>
      <c r="AU619" s="2627"/>
      <c r="AV619" s="2627"/>
      <c r="AW619" s="2627"/>
      <c r="AX619" s="2627"/>
      <c r="AY619" s="2627"/>
      <c r="AZ619" s="2627"/>
      <c r="BA619" s="2627"/>
      <c r="BB619" s="2627"/>
      <c r="BC619" s="2627"/>
      <c r="BD619" s="2627"/>
      <c r="BE619" s="2627"/>
      <c r="BF619" s="2627"/>
      <c r="BG619" s="2627"/>
      <c r="BH619" s="2627"/>
      <c r="BI619" s="2627"/>
      <c r="BJ619" s="2627"/>
      <c r="BK619" s="2627"/>
      <c r="BL619" s="2627"/>
      <c r="BM619" s="2627"/>
      <c r="BN619" s="2627"/>
      <c r="BO619" s="2627"/>
      <c r="BP619" s="2627"/>
      <c r="BQ619" s="2627"/>
      <c r="BR619" s="2627"/>
      <c r="BS619" s="2627"/>
      <c r="BT619" s="2627"/>
      <c r="BU619" s="2627"/>
      <c r="BV619" s="2627"/>
      <c r="BW619" s="2627"/>
      <c r="BX619" s="2627"/>
      <c r="BY619" s="2627"/>
      <c r="BZ619" s="2627"/>
      <c r="CA619" s="2627"/>
      <c r="CB619" s="2627"/>
      <c r="CC619" s="2627"/>
      <c r="CD619" s="2627"/>
      <c r="CE619" s="2627"/>
      <c r="CF619" s="2627"/>
      <c r="CG619" s="2627"/>
      <c r="CH619" s="2627"/>
      <c r="CI619" s="2627"/>
      <c r="CJ619" s="2627"/>
      <c r="CK619" s="2681"/>
      <c r="CL619" s="2679">
        <v>0</v>
      </c>
      <c r="CM619" s="2677">
        <f t="shared" ref="CM619:CW619" si="2370">CM618+CM617</f>
        <v>1000</v>
      </c>
      <c r="CN619" s="2677">
        <f t="shared" si="2370"/>
        <v>1000</v>
      </c>
      <c r="CO619" s="2677">
        <f t="shared" si="2370"/>
        <v>1000</v>
      </c>
      <c r="CP619" s="2679">
        <f t="shared" si="2370"/>
        <v>1000</v>
      </c>
      <c r="CQ619" s="2677">
        <f t="shared" si="2370"/>
        <v>0</v>
      </c>
      <c r="CR619" s="2677">
        <f t="shared" si="2370"/>
        <v>0</v>
      </c>
      <c r="CS619" s="2677">
        <f t="shared" si="2370"/>
        <v>0</v>
      </c>
      <c r="CT619" s="2679">
        <f t="shared" si="2370"/>
        <v>0</v>
      </c>
      <c r="CU619" s="2677">
        <f t="shared" si="2370"/>
        <v>0</v>
      </c>
      <c r="CV619" s="2677">
        <f t="shared" si="2370"/>
        <v>0</v>
      </c>
      <c r="CW619" s="2680">
        <f t="shared" si="2370"/>
        <v>0</v>
      </c>
      <c r="CX619" s="2677"/>
      <c r="CY619" s="2677"/>
      <c r="CZ619" s="2677"/>
      <c r="DA619" s="2677"/>
      <c r="DB619" s="2679"/>
      <c r="DC619" s="2677"/>
      <c r="DD619" s="2677"/>
      <c r="DE619" s="2677"/>
      <c r="DF619" s="2677"/>
      <c r="DG619" s="2677"/>
      <c r="DH619" s="2677"/>
      <c r="DI619" s="2677"/>
      <c r="DJ619" s="2677"/>
      <c r="DK619" s="2677"/>
      <c r="DL619" s="2677"/>
      <c r="DM619" s="2677"/>
      <c r="DN619" s="2677"/>
      <c r="DO619" s="2677"/>
      <c r="DP619" s="2677"/>
      <c r="DQ619" s="2677"/>
      <c r="DR619" s="2677"/>
      <c r="DS619" s="2677"/>
      <c r="DT619" s="2677"/>
      <c r="DU619" s="2677"/>
      <c r="DV619" s="2677"/>
      <c r="DW619" s="2677"/>
      <c r="DX619" s="2677"/>
      <c r="DY619" s="2680"/>
    </row>
    <row r="620" spans="1:129" hidden="1" outlineLevel="1">
      <c r="A620" s="2685" t="s">
        <v>888</v>
      </c>
      <c r="B620" s="2627"/>
      <c r="C620" s="2627"/>
      <c r="D620" s="2627"/>
      <c r="E620" s="2627"/>
      <c r="F620" s="2627"/>
      <c r="G620" s="2627"/>
      <c r="H620" s="2627"/>
      <c r="I620" s="2627"/>
      <c r="J620" s="2627"/>
      <c r="K620" s="2627"/>
      <c r="L620" s="2627"/>
      <c r="M620" s="2627"/>
      <c r="N620" s="2627"/>
      <c r="O620" s="2681">
        <v>2011</v>
      </c>
      <c r="P620" s="2677"/>
      <c r="Q620" s="2627"/>
      <c r="R620" s="2627"/>
      <c r="S620" s="2627"/>
      <c r="T620" s="2627"/>
      <c r="U620" s="2627"/>
      <c r="V620" s="2627"/>
      <c r="W620" s="2627"/>
      <c r="X620" s="2627"/>
      <c r="Y620" s="2627"/>
      <c r="Z620" s="2627"/>
      <c r="AA620" s="2627"/>
      <c r="AB620" s="2627"/>
      <c r="AC620" s="2627"/>
      <c r="AD620" s="2627"/>
      <c r="AE620" s="2627"/>
      <c r="AF620" s="2627"/>
      <c r="AG620" s="2627"/>
      <c r="AI620" s="2456"/>
      <c r="AK620" s="2627"/>
      <c r="AL620" s="2627"/>
      <c r="AM620" s="2627"/>
      <c r="AN620" s="2627"/>
      <c r="AO620" s="2627"/>
      <c r="AP620" s="2627"/>
      <c r="AQ620" s="2627"/>
      <c r="AR620" s="2627"/>
      <c r="AS620" s="2627"/>
      <c r="AT620" s="2627"/>
      <c r="AU620" s="2627"/>
      <c r="AV620" s="2627"/>
      <c r="AW620" s="2627"/>
      <c r="AX620" s="2627"/>
      <c r="AY620" s="2627"/>
      <c r="AZ620" s="2627"/>
      <c r="BA620" s="2627"/>
      <c r="BB620" s="2627"/>
      <c r="BC620" s="2627"/>
      <c r="BD620" s="2627"/>
      <c r="BE620" s="2627"/>
      <c r="BF620" s="2627"/>
      <c r="BG620" s="2627"/>
      <c r="BH620" s="2627"/>
      <c r="BI620" s="2627"/>
      <c r="BJ620" s="2627"/>
      <c r="BK620" s="2627"/>
      <c r="BL620" s="2627"/>
      <c r="BM620" s="2627"/>
      <c r="BN620" s="2627"/>
      <c r="BO620" s="2627"/>
      <c r="BP620" s="2627"/>
      <c r="BQ620" s="2627"/>
      <c r="BR620" s="2627"/>
      <c r="BS620" s="2627"/>
      <c r="BT620" s="2627"/>
      <c r="BU620" s="2627"/>
      <c r="BV620" s="2627"/>
      <c r="BW620" s="2627"/>
      <c r="BX620" s="2627"/>
      <c r="BY620" s="2627"/>
      <c r="BZ620" s="2627"/>
      <c r="CA620" s="2627"/>
      <c r="CB620" s="2627"/>
      <c r="CC620" s="2627"/>
      <c r="CD620" s="2627"/>
      <c r="CE620" s="2627"/>
      <c r="CF620" s="2627"/>
      <c r="CG620" s="2627"/>
      <c r="CH620" s="2627"/>
      <c r="CI620" s="2627"/>
      <c r="CJ620" s="2627"/>
      <c r="CK620" s="2681"/>
      <c r="CL620" s="2686"/>
      <c r="CM620" s="2627"/>
      <c r="CN620" s="2627"/>
      <c r="CO620" s="2627"/>
      <c r="CP620" s="2629"/>
      <c r="CQ620" s="2627"/>
      <c r="CR620" s="2627"/>
      <c r="CS620" s="2627"/>
      <c r="CT620" s="2629"/>
      <c r="CU620" s="2627"/>
      <c r="CV620" s="2627"/>
      <c r="CW620" s="2628"/>
      <c r="CX620" s="2627"/>
      <c r="CY620" s="2627"/>
      <c r="CZ620" s="2627"/>
      <c r="DA620" s="2627"/>
      <c r="DB620" s="2629"/>
      <c r="DC620" s="2627"/>
      <c r="DD620" s="2627"/>
      <c r="DE620" s="2627"/>
      <c r="DF620" s="2627"/>
      <c r="DG620" s="2627"/>
      <c r="DH620" s="2627"/>
      <c r="DI620" s="2627"/>
      <c r="DJ620" s="2627"/>
      <c r="DK620" s="2627"/>
      <c r="DL620" s="2627"/>
      <c r="DM620" s="2627"/>
      <c r="DN620" s="2627"/>
      <c r="DO620" s="2627"/>
      <c r="DP620" s="2627"/>
      <c r="DQ620" s="2627"/>
      <c r="DR620" s="2627"/>
      <c r="DS620" s="2627"/>
      <c r="DT620" s="2627"/>
      <c r="DU620" s="2627"/>
      <c r="DV620" s="2627"/>
      <c r="DW620" s="2627"/>
      <c r="DX620" s="2627"/>
      <c r="DY620" s="2628"/>
    </row>
    <row r="621" spans="1:129" hidden="1" outlineLevel="1">
      <c r="A621" s="2676" t="s">
        <v>874</v>
      </c>
      <c r="B621" s="2627"/>
      <c r="C621" s="2627"/>
      <c r="D621" s="2627"/>
      <c r="E621" s="2627"/>
      <c r="F621" s="2627"/>
      <c r="G621" s="2627"/>
      <c r="H621" s="2627"/>
      <c r="I621" s="2627"/>
      <c r="J621" s="2627"/>
      <c r="K621" s="2627"/>
      <c r="L621" s="2627"/>
      <c r="M621" s="2627"/>
      <c r="N621" s="2627"/>
      <c r="O621" s="2681"/>
      <c r="P621" s="2677"/>
      <c r="Q621" s="2678">
        <f>+P623</f>
        <v>0</v>
      </c>
      <c r="R621" s="2678">
        <f>CS621</f>
        <v>1250</v>
      </c>
      <c r="S621" s="2678">
        <f>+R623</f>
        <v>1250</v>
      </c>
      <c r="T621" s="2678"/>
      <c r="U621" s="2678"/>
      <c r="V621" s="2678"/>
      <c r="W621" s="2678"/>
      <c r="X621" s="2678"/>
      <c r="Y621" s="2678"/>
      <c r="Z621" s="2678"/>
      <c r="AA621" s="2678"/>
      <c r="AB621" s="2678"/>
      <c r="AC621" s="2678"/>
      <c r="AD621" s="2678"/>
      <c r="AE621" s="2678"/>
      <c r="AF621" s="2678"/>
      <c r="AG621" s="2678"/>
      <c r="AI621" s="2456"/>
      <c r="AK621" s="2627"/>
      <c r="AL621" s="2627"/>
      <c r="AM621" s="2627"/>
      <c r="AN621" s="2627"/>
      <c r="AO621" s="2627"/>
      <c r="AP621" s="2627"/>
      <c r="AQ621" s="2627"/>
      <c r="AR621" s="2627"/>
      <c r="AS621" s="2627"/>
      <c r="AT621" s="2627"/>
      <c r="AU621" s="2627"/>
      <c r="AV621" s="2627"/>
      <c r="AW621" s="2627"/>
      <c r="AX621" s="2627"/>
      <c r="AY621" s="2627"/>
      <c r="AZ621" s="2627"/>
      <c r="BA621" s="2627"/>
      <c r="BB621" s="2627"/>
      <c r="BC621" s="2627"/>
      <c r="BD621" s="2627"/>
      <c r="BE621" s="2627"/>
      <c r="BF621" s="2627"/>
      <c r="BG621" s="2627"/>
      <c r="BH621" s="2627"/>
      <c r="BI621" s="2627"/>
      <c r="BJ621" s="2627"/>
      <c r="BK621" s="2627"/>
      <c r="BL621" s="2627"/>
      <c r="BM621" s="2627"/>
      <c r="BN621" s="2627"/>
      <c r="BO621" s="2627"/>
      <c r="BP621" s="2627"/>
      <c r="BQ621" s="2627"/>
      <c r="BR621" s="2627"/>
      <c r="BS621" s="2627"/>
      <c r="BT621" s="2627"/>
      <c r="BU621" s="2627"/>
      <c r="BV621" s="2627"/>
      <c r="BW621" s="2627"/>
      <c r="BX621" s="2627"/>
      <c r="BY621" s="2627"/>
      <c r="BZ621" s="2627"/>
      <c r="CA621" s="2627"/>
      <c r="CB621" s="2627"/>
      <c r="CC621" s="2627"/>
      <c r="CD621" s="2627"/>
      <c r="CE621" s="2627"/>
      <c r="CF621" s="2627"/>
      <c r="CG621" s="2627"/>
      <c r="CH621" s="2627"/>
      <c r="CI621" s="2627"/>
      <c r="CJ621" s="2627"/>
      <c r="CK621" s="2681"/>
      <c r="CL621" s="2686">
        <v>0</v>
      </c>
      <c r="CM621" s="2677">
        <v>0</v>
      </c>
      <c r="CN621" s="2677">
        <f t="shared" ref="CN621:CW621" si="2371">CM623</f>
        <v>1250</v>
      </c>
      <c r="CO621" s="2677">
        <f t="shared" si="2371"/>
        <v>1250</v>
      </c>
      <c r="CP621" s="2679">
        <f t="shared" si="2371"/>
        <v>1250</v>
      </c>
      <c r="CQ621" s="2677">
        <f t="shared" si="2371"/>
        <v>1250</v>
      </c>
      <c r="CR621" s="2677">
        <f t="shared" si="2371"/>
        <v>1250</v>
      </c>
      <c r="CS621" s="2677">
        <f t="shared" si="2371"/>
        <v>1250</v>
      </c>
      <c r="CT621" s="2679">
        <f t="shared" si="2371"/>
        <v>1250</v>
      </c>
      <c r="CU621" s="2677">
        <f t="shared" si="2371"/>
        <v>1250</v>
      </c>
      <c r="CV621" s="2677">
        <f t="shared" si="2371"/>
        <v>0</v>
      </c>
      <c r="CW621" s="2680">
        <f t="shared" si="2371"/>
        <v>0</v>
      </c>
      <c r="CX621" s="2677"/>
      <c r="CY621" s="2677"/>
      <c r="CZ621" s="2677"/>
      <c r="DA621" s="2677"/>
      <c r="DB621" s="2679"/>
      <c r="DC621" s="2677"/>
      <c r="DD621" s="2677"/>
      <c r="DE621" s="2677"/>
      <c r="DF621" s="2677"/>
      <c r="DG621" s="2677"/>
      <c r="DH621" s="2677"/>
      <c r="DI621" s="2677"/>
      <c r="DJ621" s="2677"/>
      <c r="DK621" s="2677"/>
      <c r="DL621" s="2677"/>
      <c r="DM621" s="2677"/>
      <c r="DN621" s="2677"/>
      <c r="DO621" s="2677"/>
      <c r="DP621" s="2677"/>
      <c r="DQ621" s="2677"/>
      <c r="DR621" s="2677"/>
      <c r="DS621" s="2677"/>
      <c r="DT621" s="2677"/>
      <c r="DU621" s="2677"/>
      <c r="DV621" s="2677"/>
      <c r="DW621" s="2677"/>
      <c r="DX621" s="2677"/>
      <c r="DY621" s="2680"/>
    </row>
    <row r="622" spans="1:129" hidden="1" outlineLevel="1">
      <c r="A622" s="2676" t="s">
        <v>875</v>
      </c>
      <c r="B622" s="2627"/>
      <c r="C622" s="2627"/>
      <c r="D622" s="2627"/>
      <c r="E622" s="2627"/>
      <c r="F622" s="2627"/>
      <c r="G622" s="2627"/>
      <c r="H622" s="2627"/>
      <c r="I622" s="2627"/>
      <c r="J622" s="2627"/>
      <c r="K622" s="2627"/>
      <c r="L622" s="2627"/>
      <c r="M622" s="2627"/>
      <c r="N622" s="2627"/>
      <c r="O622" s="2681"/>
      <c r="P622" s="2677"/>
      <c r="Q622" s="2682">
        <f>SUM(CL622:CO622)</f>
        <v>1250</v>
      </c>
      <c r="R622" s="2682">
        <f>SUM(CP622:CS622)</f>
        <v>0</v>
      </c>
      <c r="S622" s="2682">
        <f>+SUM(CT622:CW622)</f>
        <v>-1250</v>
      </c>
      <c r="T622" s="2682"/>
      <c r="U622" s="2627"/>
      <c r="V622" s="2627"/>
      <c r="W622" s="2627"/>
      <c r="X622" s="2627"/>
      <c r="Y622" s="2627"/>
      <c r="Z622" s="2627"/>
      <c r="AA622" s="2627"/>
      <c r="AB622" s="2627"/>
      <c r="AC622" s="2627"/>
      <c r="AD622" s="2627"/>
      <c r="AE622" s="2627"/>
      <c r="AF622" s="2627"/>
      <c r="AG622" s="2627"/>
      <c r="AI622" s="2456"/>
      <c r="AK622" s="2627"/>
      <c r="AL622" s="2627"/>
      <c r="AM622" s="2627"/>
      <c r="AN622" s="2627"/>
      <c r="AO622" s="2627"/>
      <c r="AP622" s="2627"/>
      <c r="AQ622" s="2627"/>
      <c r="AR622" s="2627"/>
      <c r="AS622" s="2627"/>
      <c r="AT622" s="2627"/>
      <c r="AU622" s="2627"/>
      <c r="AV622" s="2627"/>
      <c r="AW622" s="2627"/>
      <c r="AX622" s="2627"/>
      <c r="AY622" s="2627"/>
      <c r="AZ622" s="2627"/>
      <c r="BA622" s="2627"/>
      <c r="BB622" s="2627"/>
      <c r="BC622" s="2627"/>
      <c r="BD622" s="2627"/>
      <c r="BE622" s="2627"/>
      <c r="BF622" s="2627"/>
      <c r="BG622" s="2627"/>
      <c r="BH622" s="2627"/>
      <c r="BI622" s="2627"/>
      <c r="BJ622" s="2627"/>
      <c r="BK622" s="2627"/>
      <c r="BL622" s="2627"/>
      <c r="BM622" s="2627"/>
      <c r="BN622" s="2627"/>
      <c r="BO622" s="2627"/>
      <c r="BP622" s="2627"/>
      <c r="BQ622" s="2627"/>
      <c r="BR622" s="2627"/>
      <c r="BS622" s="2627"/>
      <c r="BT622" s="2627"/>
      <c r="BU622" s="2627"/>
      <c r="BV622" s="2627"/>
      <c r="BW622" s="2627"/>
      <c r="BX622" s="2627"/>
      <c r="BY622" s="2627"/>
      <c r="BZ622" s="2627"/>
      <c r="CA622" s="2627"/>
      <c r="CB622" s="2627"/>
      <c r="CC622" s="2627"/>
      <c r="CD622" s="2627"/>
      <c r="CE622" s="2627"/>
      <c r="CF622" s="2627"/>
      <c r="CG622" s="2627"/>
      <c r="CH622" s="2627"/>
      <c r="CI622" s="2627"/>
      <c r="CJ622" s="2627"/>
      <c r="CK622" s="2681"/>
      <c r="CL622" s="2686"/>
      <c r="CM622" s="2677">
        <v>1250</v>
      </c>
      <c r="CN622" s="2682"/>
      <c r="CO622" s="2682"/>
      <c r="CP622" s="2683"/>
      <c r="CQ622" s="2682"/>
      <c r="CR622" s="2682"/>
      <c r="CS622" s="2682"/>
      <c r="CT622" s="2683"/>
      <c r="CU622" s="2682">
        <v>-1250</v>
      </c>
      <c r="CV622" s="2682"/>
      <c r="CW622" s="2684"/>
      <c r="CX622" s="2682"/>
      <c r="CY622" s="2682"/>
      <c r="CZ622" s="2682"/>
      <c r="DA622" s="2682"/>
      <c r="DB622" s="2683"/>
      <c r="DC622" s="2682"/>
      <c r="DD622" s="2682"/>
      <c r="DE622" s="2682"/>
      <c r="DF622" s="2682"/>
      <c r="DG622" s="2682"/>
      <c r="DH622" s="2682"/>
      <c r="DI622" s="2682"/>
      <c r="DJ622" s="2682"/>
      <c r="DK622" s="2682"/>
      <c r="DL622" s="2682"/>
      <c r="DM622" s="2682"/>
      <c r="DN622" s="2682"/>
      <c r="DO622" s="2682"/>
      <c r="DP622" s="2682"/>
      <c r="DQ622" s="2682"/>
      <c r="DR622" s="2682"/>
      <c r="DS622" s="2682"/>
      <c r="DT622" s="2682"/>
      <c r="DU622" s="2682"/>
      <c r="DV622" s="2682"/>
      <c r="DW622" s="2682"/>
      <c r="DX622" s="2682"/>
      <c r="DY622" s="2684"/>
    </row>
    <row r="623" spans="1:129" hidden="1" outlineLevel="1">
      <c r="A623" s="2676" t="s">
        <v>876</v>
      </c>
      <c r="B623" s="2627"/>
      <c r="C623" s="2627"/>
      <c r="D623" s="2627"/>
      <c r="E623" s="2627"/>
      <c r="F623" s="2627"/>
      <c r="G623" s="2627"/>
      <c r="H623" s="2627"/>
      <c r="I623" s="2627"/>
      <c r="J623" s="2627"/>
      <c r="K623" s="2627"/>
      <c r="L623" s="2627"/>
      <c r="M623" s="2627"/>
      <c r="N623" s="2627"/>
      <c r="O623" s="2681"/>
      <c r="P623" s="2677">
        <f>CK623</f>
        <v>0</v>
      </c>
      <c r="Q623" s="2677">
        <f>+CO623</f>
        <v>1250</v>
      </c>
      <c r="R623" s="2678">
        <f>CS623</f>
        <v>1250</v>
      </c>
      <c r="S623" s="2678">
        <f>+S621+S622</f>
        <v>0</v>
      </c>
      <c r="T623" s="2678"/>
      <c r="U623" s="2678"/>
      <c r="V623" s="2678"/>
      <c r="W623" s="2678"/>
      <c r="X623" s="2678"/>
      <c r="Y623" s="2678"/>
      <c r="Z623" s="2678"/>
      <c r="AA623" s="2678"/>
      <c r="AB623" s="2678"/>
      <c r="AC623" s="2678"/>
      <c r="AD623" s="2678"/>
      <c r="AE623" s="2678"/>
      <c r="AF623" s="2678"/>
      <c r="AG623" s="2678"/>
      <c r="AI623" s="2456"/>
      <c r="AK623" s="2627"/>
      <c r="AL623" s="2627"/>
      <c r="AM623" s="2627"/>
      <c r="AN623" s="2627"/>
      <c r="AO623" s="2627"/>
      <c r="AP623" s="2627"/>
      <c r="AQ623" s="2627"/>
      <c r="AR623" s="2627"/>
      <c r="AS623" s="2627"/>
      <c r="AT623" s="2627"/>
      <c r="AU623" s="2627"/>
      <c r="AV623" s="2627"/>
      <c r="AW623" s="2627"/>
      <c r="AX623" s="2627"/>
      <c r="AY623" s="2627"/>
      <c r="AZ623" s="2627"/>
      <c r="BA623" s="2627"/>
      <c r="BB623" s="2627"/>
      <c r="BC623" s="2627"/>
      <c r="BD623" s="2627"/>
      <c r="BE623" s="2627"/>
      <c r="BF623" s="2627"/>
      <c r="BG623" s="2627"/>
      <c r="BH623" s="2627"/>
      <c r="BI623" s="2627"/>
      <c r="BJ623" s="2627"/>
      <c r="BK623" s="2627"/>
      <c r="BL623" s="2627"/>
      <c r="BM623" s="2627"/>
      <c r="BN623" s="2627"/>
      <c r="BO623" s="2627"/>
      <c r="BP623" s="2627"/>
      <c r="BQ623" s="2627"/>
      <c r="BR623" s="2627"/>
      <c r="BS623" s="2627"/>
      <c r="BT623" s="2627"/>
      <c r="BU623" s="2627"/>
      <c r="BV623" s="2627"/>
      <c r="BW623" s="2627"/>
      <c r="BX623" s="2627"/>
      <c r="BY623" s="2627"/>
      <c r="BZ623" s="2627"/>
      <c r="CA623" s="2627"/>
      <c r="CB623" s="2627"/>
      <c r="CC623" s="2627"/>
      <c r="CD623" s="2627"/>
      <c r="CE623" s="2627"/>
      <c r="CF623" s="2627"/>
      <c r="CG623" s="2627"/>
      <c r="CH623" s="2627"/>
      <c r="CI623" s="2627"/>
      <c r="CJ623" s="2627"/>
      <c r="CK623" s="2681"/>
      <c r="CL623" s="2686">
        <v>0</v>
      </c>
      <c r="CM623" s="2677">
        <f t="shared" ref="CM623:CW623" si="2372">CM622+CM621</f>
        <v>1250</v>
      </c>
      <c r="CN623" s="2677">
        <f t="shared" si="2372"/>
        <v>1250</v>
      </c>
      <c r="CO623" s="2677">
        <f t="shared" si="2372"/>
        <v>1250</v>
      </c>
      <c r="CP623" s="2679">
        <f t="shared" si="2372"/>
        <v>1250</v>
      </c>
      <c r="CQ623" s="2677">
        <f t="shared" si="2372"/>
        <v>1250</v>
      </c>
      <c r="CR623" s="2677">
        <f t="shared" si="2372"/>
        <v>1250</v>
      </c>
      <c r="CS623" s="2677">
        <f t="shared" si="2372"/>
        <v>1250</v>
      </c>
      <c r="CT623" s="2679">
        <f t="shared" si="2372"/>
        <v>1250</v>
      </c>
      <c r="CU623" s="2677">
        <f t="shared" si="2372"/>
        <v>0</v>
      </c>
      <c r="CV623" s="2677">
        <f t="shared" si="2372"/>
        <v>0</v>
      </c>
      <c r="CW623" s="2680">
        <f t="shared" si="2372"/>
        <v>0</v>
      </c>
      <c r="CX623" s="2677"/>
      <c r="CY623" s="2677"/>
      <c r="CZ623" s="2677"/>
      <c r="DA623" s="2677"/>
      <c r="DB623" s="2679"/>
      <c r="DC623" s="2677"/>
      <c r="DD623" s="2677"/>
      <c r="DE623" s="2677"/>
      <c r="DF623" s="2677"/>
      <c r="DG623" s="2677"/>
      <c r="DH623" s="2677"/>
      <c r="DI623" s="2677"/>
      <c r="DJ623" s="2677"/>
      <c r="DK623" s="2677"/>
      <c r="DL623" s="2677"/>
      <c r="DM623" s="2677"/>
      <c r="DN623" s="2677"/>
      <c r="DO623" s="2677"/>
      <c r="DP623" s="2677"/>
      <c r="DQ623" s="2677"/>
      <c r="DR623" s="2677"/>
      <c r="DS623" s="2677"/>
      <c r="DT623" s="2677"/>
      <c r="DU623" s="2677"/>
      <c r="DV623" s="2677"/>
      <c r="DW623" s="2677"/>
      <c r="DX623" s="2677"/>
      <c r="DY623" s="2680"/>
    </row>
    <row r="624" spans="1:129" hidden="1" outlineLevel="1">
      <c r="A624" s="2685" t="s">
        <v>889</v>
      </c>
      <c r="B624" s="2627"/>
      <c r="C624" s="2627"/>
      <c r="D624" s="2627"/>
      <c r="E624" s="2627"/>
      <c r="F624" s="2627"/>
      <c r="G624" s="2627"/>
      <c r="H624" s="2627"/>
      <c r="I624" s="2627"/>
      <c r="J624" s="2627"/>
      <c r="K624" s="2627"/>
      <c r="L624" s="2627"/>
      <c r="M624" s="2627"/>
      <c r="N624" s="2627"/>
      <c r="O624" s="2681">
        <v>2011</v>
      </c>
      <c r="P624" s="2677"/>
      <c r="Q624" s="2627"/>
      <c r="R624" s="2627"/>
      <c r="S624" s="2627"/>
      <c r="T624" s="2627"/>
      <c r="U624" s="2627"/>
      <c r="V624" s="2627"/>
      <c r="W624" s="2627"/>
      <c r="X624" s="2627"/>
      <c r="Y624" s="2627"/>
      <c r="Z624" s="2627"/>
      <c r="AA624" s="2627"/>
      <c r="AB624" s="2627"/>
      <c r="AC624" s="2627"/>
      <c r="AD624" s="2627"/>
      <c r="AE624" s="2627"/>
      <c r="AF624" s="2627"/>
      <c r="AG624" s="2627"/>
      <c r="AI624" s="2456"/>
      <c r="AK624" s="2627"/>
      <c r="AL624" s="2627"/>
      <c r="AM624" s="2627"/>
      <c r="AN624" s="2627"/>
      <c r="AO624" s="2627"/>
      <c r="AP624" s="2627"/>
      <c r="AQ624" s="2627"/>
      <c r="AR624" s="2627"/>
      <c r="AS624" s="2627"/>
      <c r="AT624" s="2627"/>
      <c r="AU624" s="2627"/>
      <c r="AV624" s="2627"/>
      <c r="AW624" s="2627"/>
      <c r="AX624" s="2627"/>
      <c r="AY624" s="2627"/>
      <c r="AZ624" s="2627"/>
      <c r="BA624" s="2627"/>
      <c r="BB624" s="2627"/>
      <c r="BC624" s="2627"/>
      <c r="BD624" s="2627"/>
      <c r="BE624" s="2627"/>
      <c r="BF624" s="2627"/>
      <c r="BG624" s="2627"/>
      <c r="BH624" s="2627"/>
      <c r="BI624" s="2627"/>
      <c r="BJ624" s="2627"/>
      <c r="BK624" s="2627"/>
      <c r="BL624" s="2627"/>
      <c r="BM624" s="2627"/>
      <c r="BN624" s="2627"/>
      <c r="BO624" s="2627"/>
      <c r="BP624" s="2627"/>
      <c r="BQ624" s="2627"/>
      <c r="BR624" s="2627"/>
      <c r="BS624" s="2627"/>
      <c r="BT624" s="2627"/>
      <c r="BU624" s="2627"/>
      <c r="BV624" s="2627"/>
      <c r="BW624" s="2627"/>
      <c r="BX624" s="2627"/>
      <c r="BY624" s="2627"/>
      <c r="BZ624" s="2627"/>
      <c r="CA624" s="2627"/>
      <c r="CB624" s="2627"/>
      <c r="CC624" s="2627"/>
      <c r="CD624" s="2627"/>
      <c r="CE624" s="2627"/>
      <c r="CF624" s="2627"/>
      <c r="CG624" s="2627"/>
      <c r="CH624" s="2627"/>
      <c r="CI624" s="2627"/>
      <c r="CJ624" s="2627"/>
      <c r="CK624" s="2681"/>
      <c r="CL624" s="2686"/>
      <c r="CM624" s="2627"/>
      <c r="CN624" s="2627"/>
      <c r="CO624" s="2627"/>
      <c r="CP624" s="2629"/>
      <c r="CQ624" s="2627"/>
      <c r="CR624" s="2627"/>
      <c r="CS624" s="2627"/>
      <c r="CT624" s="2629"/>
      <c r="CU624" s="2627"/>
      <c r="CV624" s="2627"/>
      <c r="CW624" s="2628"/>
      <c r="CX624" s="2627"/>
      <c r="CY624" s="2627"/>
      <c r="CZ624" s="2627"/>
      <c r="DA624" s="2627"/>
      <c r="DB624" s="2629"/>
      <c r="DC624" s="2627"/>
      <c r="DD624" s="2627"/>
      <c r="DE624" s="2627"/>
      <c r="DF624" s="2627"/>
      <c r="DG624" s="2627"/>
      <c r="DH624" s="2627"/>
      <c r="DI624" s="2627"/>
      <c r="DJ624" s="2627"/>
      <c r="DK624" s="2627"/>
      <c r="DL624" s="2627"/>
      <c r="DM624" s="2627"/>
      <c r="DN624" s="2627"/>
      <c r="DO624" s="2627"/>
      <c r="DP624" s="2627"/>
      <c r="DQ624" s="2627"/>
      <c r="DR624" s="2627"/>
      <c r="DS624" s="2627"/>
      <c r="DT624" s="2627"/>
      <c r="DU624" s="2627"/>
      <c r="DV624" s="2627"/>
      <c r="DW624" s="2627"/>
      <c r="DX624" s="2627"/>
      <c r="DY624" s="2628"/>
    </row>
    <row r="625" spans="1:129" hidden="1" outlineLevel="1">
      <c r="A625" s="2676" t="s">
        <v>874</v>
      </c>
      <c r="B625" s="2627"/>
      <c r="C625" s="2627"/>
      <c r="D625" s="2627"/>
      <c r="E625" s="2627"/>
      <c r="F625" s="2627"/>
      <c r="G625" s="2627"/>
      <c r="H625" s="2627"/>
      <c r="I625" s="2627"/>
      <c r="J625" s="2627"/>
      <c r="K625" s="2627"/>
      <c r="L625" s="2627"/>
      <c r="M625" s="2627"/>
      <c r="N625" s="2627"/>
      <c r="O625" s="2681"/>
      <c r="P625" s="2677"/>
      <c r="Q625" s="2678">
        <f>+P627</f>
        <v>0</v>
      </c>
      <c r="R625" s="2678">
        <f>CS625</f>
        <v>2750</v>
      </c>
      <c r="S625" s="2678">
        <f>+R627</f>
        <v>2750</v>
      </c>
      <c r="T625" s="2678"/>
      <c r="U625" s="2678"/>
      <c r="V625" s="2678"/>
      <c r="W625" s="2678"/>
      <c r="X625" s="2678"/>
      <c r="Y625" s="2678"/>
      <c r="Z625" s="2678"/>
      <c r="AA625" s="2678"/>
      <c r="AB625" s="2678"/>
      <c r="AC625" s="2678"/>
      <c r="AD625" s="2678"/>
      <c r="AE625" s="2678"/>
      <c r="AF625" s="2678"/>
      <c r="AG625" s="2678"/>
      <c r="AI625" s="2456"/>
      <c r="AK625" s="2627"/>
      <c r="AL625" s="2627"/>
      <c r="AM625" s="2627"/>
      <c r="AN625" s="2627"/>
      <c r="AO625" s="2627"/>
      <c r="AP625" s="2627"/>
      <c r="AQ625" s="2627"/>
      <c r="AR625" s="2627"/>
      <c r="AS625" s="2627"/>
      <c r="AT625" s="2627"/>
      <c r="AU625" s="2627"/>
      <c r="AV625" s="2627"/>
      <c r="AW625" s="2627"/>
      <c r="AX625" s="2627"/>
      <c r="AY625" s="2627"/>
      <c r="AZ625" s="2627"/>
      <c r="BA625" s="2627"/>
      <c r="BB625" s="2627"/>
      <c r="BC625" s="2627"/>
      <c r="BD625" s="2627"/>
      <c r="BE625" s="2627"/>
      <c r="BF625" s="2627"/>
      <c r="BG625" s="2627"/>
      <c r="BH625" s="2627"/>
      <c r="BI625" s="2627"/>
      <c r="BJ625" s="2627"/>
      <c r="BK625" s="2627"/>
      <c r="BL625" s="2627"/>
      <c r="BM625" s="2627"/>
      <c r="BN625" s="2627"/>
      <c r="BO625" s="2627"/>
      <c r="BP625" s="2627"/>
      <c r="BQ625" s="2627"/>
      <c r="BR625" s="2627"/>
      <c r="BS625" s="2627"/>
      <c r="BT625" s="2627"/>
      <c r="BU625" s="2627"/>
      <c r="BV625" s="2627"/>
      <c r="BW625" s="2627"/>
      <c r="BX625" s="2627"/>
      <c r="BY625" s="2627"/>
      <c r="BZ625" s="2627"/>
      <c r="CA625" s="2627"/>
      <c r="CB625" s="2627"/>
      <c r="CC625" s="2627"/>
      <c r="CD625" s="2627"/>
      <c r="CE625" s="2627"/>
      <c r="CF625" s="2627"/>
      <c r="CG625" s="2627"/>
      <c r="CH625" s="2627"/>
      <c r="CI625" s="2627"/>
      <c r="CJ625" s="2627"/>
      <c r="CK625" s="2681"/>
      <c r="CL625" s="2686">
        <v>0</v>
      </c>
      <c r="CM625" s="2677">
        <v>0</v>
      </c>
      <c r="CN625" s="2677">
        <f t="shared" ref="CN625:CW625" si="2373">CM627</f>
        <v>2750</v>
      </c>
      <c r="CO625" s="2677">
        <f t="shared" si="2373"/>
        <v>2750</v>
      </c>
      <c r="CP625" s="2679">
        <f t="shared" si="2373"/>
        <v>2750</v>
      </c>
      <c r="CQ625" s="2677">
        <f t="shared" si="2373"/>
        <v>2750</v>
      </c>
      <c r="CR625" s="2677">
        <f t="shared" si="2373"/>
        <v>2750</v>
      </c>
      <c r="CS625" s="2677">
        <f t="shared" si="2373"/>
        <v>2750</v>
      </c>
      <c r="CT625" s="2679">
        <f t="shared" si="2373"/>
        <v>2750</v>
      </c>
      <c r="CU625" s="2677">
        <f t="shared" si="2373"/>
        <v>2750</v>
      </c>
      <c r="CV625" s="2677">
        <f t="shared" si="2373"/>
        <v>0</v>
      </c>
      <c r="CW625" s="2680">
        <f t="shared" si="2373"/>
        <v>0</v>
      </c>
      <c r="CX625" s="2677"/>
      <c r="CY625" s="2677"/>
      <c r="CZ625" s="2677"/>
      <c r="DA625" s="2677"/>
      <c r="DB625" s="2679"/>
      <c r="DC625" s="2677"/>
      <c r="DD625" s="2677"/>
      <c r="DE625" s="2677"/>
      <c r="DF625" s="2677"/>
      <c r="DG625" s="2677"/>
      <c r="DH625" s="2677"/>
      <c r="DI625" s="2677"/>
      <c r="DJ625" s="2677"/>
      <c r="DK625" s="2677"/>
      <c r="DL625" s="2677"/>
      <c r="DM625" s="2677"/>
      <c r="DN625" s="2677"/>
      <c r="DO625" s="2677"/>
      <c r="DP625" s="2677"/>
      <c r="DQ625" s="2677"/>
      <c r="DR625" s="2677"/>
      <c r="DS625" s="2677"/>
      <c r="DT625" s="2677"/>
      <c r="DU625" s="2677"/>
      <c r="DV625" s="2677"/>
      <c r="DW625" s="2677"/>
      <c r="DX625" s="2677"/>
      <c r="DY625" s="2680"/>
    </row>
    <row r="626" spans="1:129" hidden="1" outlineLevel="1">
      <c r="A626" s="2676" t="s">
        <v>875</v>
      </c>
      <c r="B626" s="2627"/>
      <c r="C626" s="2627"/>
      <c r="D626" s="2627"/>
      <c r="E626" s="2627"/>
      <c r="F626" s="2627"/>
      <c r="G626" s="2627"/>
      <c r="H626" s="2627"/>
      <c r="I626" s="2627"/>
      <c r="J626" s="2627"/>
      <c r="K626" s="2627"/>
      <c r="L626" s="2627"/>
      <c r="M626" s="2627"/>
      <c r="N626" s="2627"/>
      <c r="O626" s="2681"/>
      <c r="P626" s="2677"/>
      <c r="Q626" s="2682">
        <f>SUM(CL626:CO626)</f>
        <v>2750</v>
      </c>
      <c r="R626" s="2682">
        <f>SUM(CP626:CS626)</f>
        <v>0</v>
      </c>
      <c r="S626" s="2682">
        <f>+SUM(CT626:CW626)</f>
        <v>-2750</v>
      </c>
      <c r="T626" s="2682"/>
      <c r="U626" s="2627"/>
      <c r="V626" s="2627"/>
      <c r="W626" s="2627"/>
      <c r="X626" s="2627"/>
      <c r="Y626" s="2627"/>
      <c r="Z626" s="2627"/>
      <c r="AA626" s="2627"/>
      <c r="AB626" s="2627"/>
      <c r="AC626" s="2627"/>
      <c r="AD626" s="2627"/>
      <c r="AE626" s="2627"/>
      <c r="AF626" s="2627"/>
      <c r="AG626" s="2627"/>
      <c r="AI626" s="2456"/>
      <c r="AK626" s="2627"/>
      <c r="AL626" s="2627"/>
      <c r="AM626" s="2627"/>
      <c r="AN626" s="2627"/>
      <c r="AO626" s="2627"/>
      <c r="AP626" s="2627"/>
      <c r="AQ626" s="2627"/>
      <c r="AR626" s="2627"/>
      <c r="AS626" s="2627"/>
      <c r="AT626" s="2627"/>
      <c r="AU626" s="2627"/>
      <c r="AV626" s="2627"/>
      <c r="AW626" s="2627"/>
      <c r="AX626" s="2627"/>
      <c r="AY626" s="2627"/>
      <c r="AZ626" s="2627"/>
      <c r="BA626" s="2627"/>
      <c r="BB626" s="2627"/>
      <c r="BC626" s="2627"/>
      <c r="BD626" s="2627"/>
      <c r="BE626" s="2627"/>
      <c r="BF626" s="2627"/>
      <c r="BG626" s="2627"/>
      <c r="BH626" s="2627"/>
      <c r="BI626" s="2627"/>
      <c r="BJ626" s="2627"/>
      <c r="BK626" s="2627"/>
      <c r="BL626" s="2627"/>
      <c r="BM626" s="2627"/>
      <c r="BN626" s="2627"/>
      <c r="BO626" s="2627"/>
      <c r="BP626" s="2627"/>
      <c r="BQ626" s="2627"/>
      <c r="BR626" s="2627"/>
      <c r="BS626" s="2627"/>
      <c r="BT626" s="2627"/>
      <c r="BU626" s="2627"/>
      <c r="BV626" s="2627"/>
      <c r="BW626" s="2627"/>
      <c r="BX626" s="2627"/>
      <c r="BY626" s="2627"/>
      <c r="BZ626" s="2627"/>
      <c r="CA626" s="2627"/>
      <c r="CB626" s="2627"/>
      <c r="CC626" s="2627"/>
      <c r="CD626" s="2627"/>
      <c r="CE626" s="2627"/>
      <c r="CF626" s="2627"/>
      <c r="CG626" s="2627"/>
      <c r="CH626" s="2627"/>
      <c r="CI626" s="2627"/>
      <c r="CJ626" s="2627"/>
      <c r="CK626" s="2681"/>
      <c r="CL626" s="2686"/>
      <c r="CM626" s="2682">
        <v>2750</v>
      </c>
      <c r="CN626" s="2682"/>
      <c r="CO626" s="2682"/>
      <c r="CP626" s="2683"/>
      <c r="CQ626" s="2682"/>
      <c r="CR626" s="2682"/>
      <c r="CS626" s="2682"/>
      <c r="CT626" s="2683"/>
      <c r="CU626" s="2682">
        <v>-2750</v>
      </c>
      <c r="CV626" s="2682"/>
      <c r="CW626" s="2684"/>
      <c r="CX626" s="2682"/>
      <c r="CY626" s="2682"/>
      <c r="CZ626" s="2682"/>
      <c r="DA626" s="2682"/>
      <c r="DB626" s="2683"/>
      <c r="DC626" s="2682"/>
      <c r="DD626" s="2682"/>
      <c r="DE626" s="2682"/>
      <c r="DF626" s="2682"/>
      <c r="DG626" s="2682"/>
      <c r="DH626" s="2682"/>
      <c r="DI626" s="2682"/>
      <c r="DJ626" s="2682"/>
      <c r="DK626" s="2682"/>
      <c r="DL626" s="2682"/>
      <c r="DM626" s="2682"/>
      <c r="DN626" s="2682"/>
      <c r="DO626" s="2682"/>
      <c r="DP626" s="2682"/>
      <c r="DQ626" s="2682"/>
      <c r="DR626" s="2682"/>
      <c r="DS626" s="2682"/>
      <c r="DT626" s="2682"/>
      <c r="DU626" s="2682"/>
      <c r="DV626" s="2682"/>
      <c r="DW626" s="2682"/>
      <c r="DX626" s="2682"/>
      <c r="DY626" s="2684"/>
    </row>
    <row r="627" spans="1:129" hidden="1" outlineLevel="1">
      <c r="A627" s="2676" t="s">
        <v>876</v>
      </c>
      <c r="B627" s="2627"/>
      <c r="C627" s="2627"/>
      <c r="D627" s="2627"/>
      <c r="E627" s="2627"/>
      <c r="F627" s="2627"/>
      <c r="G627" s="2627"/>
      <c r="H627" s="2627"/>
      <c r="I627" s="2627"/>
      <c r="J627" s="2627"/>
      <c r="K627" s="2627"/>
      <c r="L627" s="2627"/>
      <c r="M627" s="2627"/>
      <c r="N627" s="2627"/>
      <c r="O627" s="2681"/>
      <c r="P627" s="2677">
        <f>CK627</f>
        <v>0</v>
      </c>
      <c r="Q627" s="2677">
        <f>+CO627</f>
        <v>2750</v>
      </c>
      <c r="R627" s="2678">
        <f>CS627</f>
        <v>2750</v>
      </c>
      <c r="S627" s="2678">
        <f>+S625+S626</f>
        <v>0</v>
      </c>
      <c r="T627" s="2678"/>
      <c r="U627" s="2678"/>
      <c r="V627" s="2678"/>
      <c r="W627" s="2678"/>
      <c r="X627" s="2678"/>
      <c r="Y627" s="2678"/>
      <c r="Z627" s="2678"/>
      <c r="AA627" s="2678"/>
      <c r="AB627" s="2678"/>
      <c r="AC627" s="2678"/>
      <c r="AD627" s="2678"/>
      <c r="AE627" s="2678"/>
      <c r="AF627" s="2678"/>
      <c r="AG627" s="2678"/>
      <c r="AI627" s="2456"/>
      <c r="AK627" s="2627"/>
      <c r="AL627" s="2627"/>
      <c r="AM627" s="2627"/>
      <c r="AN627" s="2627"/>
      <c r="AO627" s="2627"/>
      <c r="AP627" s="2627"/>
      <c r="AQ627" s="2627"/>
      <c r="AR627" s="2627"/>
      <c r="AS627" s="2627"/>
      <c r="AT627" s="2627"/>
      <c r="AU627" s="2627"/>
      <c r="AV627" s="2627"/>
      <c r="AW627" s="2627"/>
      <c r="AX627" s="2627"/>
      <c r="AY627" s="2627"/>
      <c r="AZ627" s="2627"/>
      <c r="BA627" s="2627"/>
      <c r="BB627" s="2627"/>
      <c r="BC627" s="2627"/>
      <c r="BD627" s="2627"/>
      <c r="BE627" s="2627"/>
      <c r="BF627" s="2627"/>
      <c r="BG627" s="2627"/>
      <c r="BH627" s="2627"/>
      <c r="BI627" s="2627"/>
      <c r="BJ627" s="2627"/>
      <c r="BK627" s="2627"/>
      <c r="BL627" s="2627"/>
      <c r="BM627" s="2627"/>
      <c r="BN627" s="2627"/>
      <c r="BO627" s="2627"/>
      <c r="BP627" s="2627"/>
      <c r="BQ627" s="2627"/>
      <c r="BR627" s="2627"/>
      <c r="BS627" s="2627"/>
      <c r="BT627" s="2627"/>
      <c r="BU627" s="2627"/>
      <c r="BV627" s="2627"/>
      <c r="BW627" s="2627"/>
      <c r="BX627" s="2627"/>
      <c r="BY627" s="2627"/>
      <c r="BZ627" s="2627"/>
      <c r="CA627" s="2627"/>
      <c r="CB627" s="2627"/>
      <c r="CC627" s="2627"/>
      <c r="CD627" s="2627"/>
      <c r="CE627" s="2627"/>
      <c r="CF627" s="2627"/>
      <c r="CG627" s="2627"/>
      <c r="CH627" s="2627"/>
      <c r="CI627" s="2627"/>
      <c r="CJ627" s="2627"/>
      <c r="CK627" s="2681"/>
      <c r="CL627" s="2686">
        <v>0</v>
      </c>
      <c r="CM627" s="2677">
        <f t="shared" ref="CM627:CW627" si="2374">CM626+CM625</f>
        <v>2750</v>
      </c>
      <c r="CN627" s="2677">
        <f t="shared" si="2374"/>
        <v>2750</v>
      </c>
      <c r="CO627" s="2677">
        <f t="shared" si="2374"/>
        <v>2750</v>
      </c>
      <c r="CP627" s="2679">
        <f t="shared" si="2374"/>
        <v>2750</v>
      </c>
      <c r="CQ627" s="2677">
        <f t="shared" si="2374"/>
        <v>2750</v>
      </c>
      <c r="CR627" s="2677">
        <f t="shared" si="2374"/>
        <v>2750</v>
      </c>
      <c r="CS627" s="2677">
        <f t="shared" si="2374"/>
        <v>2750</v>
      </c>
      <c r="CT627" s="2679">
        <f t="shared" si="2374"/>
        <v>2750</v>
      </c>
      <c r="CU627" s="2677">
        <f t="shared" si="2374"/>
        <v>0</v>
      </c>
      <c r="CV627" s="2677">
        <f t="shared" si="2374"/>
        <v>0</v>
      </c>
      <c r="CW627" s="2680">
        <f t="shared" si="2374"/>
        <v>0</v>
      </c>
      <c r="CX627" s="2677"/>
      <c r="CY627" s="2677"/>
      <c r="CZ627" s="2677"/>
      <c r="DA627" s="2677"/>
      <c r="DB627" s="2679"/>
      <c r="DC627" s="2677"/>
      <c r="DD627" s="2677"/>
      <c r="DE627" s="2677"/>
      <c r="DF627" s="2677"/>
      <c r="DG627" s="2677"/>
      <c r="DH627" s="2677"/>
      <c r="DI627" s="2677"/>
      <c r="DJ627" s="2677"/>
      <c r="DK627" s="2677"/>
      <c r="DL627" s="2677"/>
      <c r="DM627" s="2677"/>
      <c r="DN627" s="2677"/>
      <c r="DO627" s="2677"/>
      <c r="DP627" s="2677"/>
      <c r="DQ627" s="2677"/>
      <c r="DR627" s="2677"/>
      <c r="DS627" s="2677"/>
      <c r="DT627" s="2677"/>
      <c r="DU627" s="2677"/>
      <c r="DV627" s="2677"/>
      <c r="DW627" s="2677"/>
      <c r="DX627" s="2677"/>
      <c r="DY627" s="2680"/>
    </row>
    <row r="628" spans="1:129" hidden="1" outlineLevel="1">
      <c r="A628" s="2674" t="s">
        <v>890</v>
      </c>
      <c r="P628" s="2687">
        <f>+CK628</f>
        <v>-41</v>
      </c>
      <c r="Q628" s="2687">
        <f>+CO628</f>
        <v>-4</v>
      </c>
      <c r="R628" s="2687">
        <f>+CS628</f>
        <v>-164</v>
      </c>
      <c r="S628" s="2687">
        <f>+CS628</f>
        <v>-164</v>
      </c>
      <c r="T628" s="2687"/>
      <c r="U628" s="2687"/>
      <c r="V628" s="2687"/>
      <c r="W628" s="2687"/>
      <c r="X628" s="2687"/>
      <c r="Y628" s="2687"/>
      <c r="Z628" s="2687"/>
      <c r="AA628" s="2687"/>
      <c r="AB628" s="2687"/>
      <c r="AC628" s="2687"/>
      <c r="AD628" s="2687"/>
      <c r="AE628" s="2687"/>
      <c r="AF628" s="2687"/>
      <c r="AG628" s="2687"/>
      <c r="AI628" s="1927"/>
      <c r="CK628" s="2687">
        <v>-41</v>
      </c>
      <c r="CL628" s="2688">
        <v>-38</v>
      </c>
      <c r="CM628" s="2689">
        <v>214</v>
      </c>
      <c r="CN628" s="2689">
        <v>-4</v>
      </c>
      <c r="CO628" s="2687">
        <v>-4</v>
      </c>
      <c r="CP628" s="2690">
        <v>-156</v>
      </c>
      <c r="CQ628" s="2687">
        <v>-337</v>
      </c>
      <c r="CR628" s="2687">
        <v>-130</v>
      </c>
      <c r="CS628" s="2687">
        <v>-164</v>
      </c>
      <c r="CT628" s="2688">
        <f>+CS628</f>
        <v>-164</v>
      </c>
      <c r="CU628" s="2687">
        <f>+CT628</f>
        <v>-164</v>
      </c>
      <c r="CV628" s="2687">
        <f>+CU628</f>
        <v>-164</v>
      </c>
      <c r="CW628" s="2691">
        <f>+CV628</f>
        <v>-164</v>
      </c>
      <c r="CX628" s="2687"/>
      <c r="CY628" s="2687"/>
      <c r="CZ628" s="2687"/>
      <c r="DA628" s="2687"/>
      <c r="DB628" s="2688"/>
      <c r="DC628" s="2687"/>
      <c r="DD628" s="2687"/>
      <c r="DE628" s="2687"/>
      <c r="DF628" s="2687"/>
      <c r="DG628" s="2687"/>
      <c r="DH628" s="2687"/>
      <c r="DI628" s="2687"/>
      <c r="DJ628" s="2687"/>
      <c r="DK628" s="2687"/>
      <c r="DL628" s="2687"/>
      <c r="DM628" s="2687"/>
      <c r="DN628" s="2687"/>
      <c r="DO628" s="2687"/>
      <c r="DP628" s="2687"/>
      <c r="DQ628" s="2687"/>
      <c r="DR628" s="2687"/>
      <c r="DS628" s="2687"/>
      <c r="DT628" s="2687"/>
      <c r="DU628" s="2687"/>
      <c r="DV628" s="2687"/>
      <c r="DW628" s="2687"/>
      <c r="DX628" s="2687"/>
      <c r="DY628" s="2691"/>
    </row>
    <row r="629" spans="1:129" hidden="1" outlineLevel="1">
      <c r="A629" s="2674"/>
      <c r="P629" s="2692"/>
      <c r="Q629" s="2693">
        <f t="shared" ref="Q629:X629" si="2375">+Q5</f>
        <v>2009</v>
      </c>
      <c r="R629" s="2693">
        <f t="shared" si="2375"/>
        <v>2010</v>
      </c>
      <c r="S629" s="2693">
        <f t="shared" si="2375"/>
        <v>2011</v>
      </c>
      <c r="T629" s="2693">
        <f t="shared" si="2375"/>
        <v>2012</v>
      </c>
      <c r="U629" s="2693">
        <f t="shared" si="2375"/>
        <v>2013</v>
      </c>
      <c r="V629" s="2693" t="str">
        <f t="shared" si="2375"/>
        <v>2014</v>
      </c>
      <c r="W629" s="2693" t="str">
        <f t="shared" si="2375"/>
        <v>2015</v>
      </c>
      <c r="X629" s="2693" t="str">
        <f t="shared" si="2375"/>
        <v>2016</v>
      </c>
      <c r="Y629" s="2693" t="str">
        <f t="shared" ref="Y629:Z629" si="2376">+Y5</f>
        <v>2017</v>
      </c>
      <c r="Z629" s="2693" t="str">
        <f t="shared" si="2376"/>
        <v>2018E</v>
      </c>
      <c r="AA629" s="2693"/>
      <c r="AB629" s="2693"/>
      <c r="AC629" s="2693"/>
      <c r="AD629" s="2693"/>
      <c r="AE629" s="2693"/>
      <c r="AF629" s="2693"/>
      <c r="AG629" s="2693"/>
      <c r="AI629" s="1927"/>
      <c r="CK629" s="2691"/>
      <c r="CL629" s="2693" t="str">
        <f t="shared" ref="CL629:CW629" si="2377">+CL5</f>
        <v>1Q09</v>
      </c>
      <c r="CM629" s="2693" t="str">
        <f t="shared" si="2377"/>
        <v>2Q09</v>
      </c>
      <c r="CN629" s="2693" t="str">
        <f t="shared" si="2377"/>
        <v>3Q09</v>
      </c>
      <c r="CO629" s="2693" t="str">
        <f t="shared" si="2377"/>
        <v>4Q09</v>
      </c>
      <c r="CP629" s="2693" t="str">
        <f t="shared" si="2377"/>
        <v>1Q10</v>
      </c>
      <c r="CQ629" s="2693" t="str">
        <f t="shared" si="2377"/>
        <v>2Q10</v>
      </c>
      <c r="CR629" s="2693" t="str">
        <f t="shared" si="2377"/>
        <v>3Q10</v>
      </c>
      <c r="CS629" s="2693" t="str">
        <f t="shared" si="2377"/>
        <v>4Q10</v>
      </c>
      <c r="CT629" s="2693" t="str">
        <f t="shared" si="2377"/>
        <v>1Q11</v>
      </c>
      <c r="CU629" s="2693" t="str">
        <f t="shared" si="2377"/>
        <v>2Q11</v>
      </c>
      <c r="CV629" s="2693" t="str">
        <f t="shared" si="2377"/>
        <v>3Q11</v>
      </c>
      <c r="CW629" s="2694" t="str">
        <f t="shared" si="2377"/>
        <v>4Q11</v>
      </c>
      <c r="CX629" s="2693"/>
      <c r="CY629" s="2693"/>
      <c r="CZ629" s="2693"/>
      <c r="DA629" s="2693"/>
      <c r="DB629" s="2695"/>
      <c r="DC629" s="2693"/>
      <c r="DD629" s="2693"/>
      <c r="DE629" s="2693"/>
      <c r="DF629" s="2693"/>
      <c r="DG629" s="2693"/>
      <c r="DH629" s="2693"/>
      <c r="DI629" s="2693"/>
      <c r="DJ629" s="2693"/>
      <c r="DK629" s="2693"/>
      <c r="DL629" s="2693"/>
      <c r="DM629" s="2693"/>
      <c r="DN629" s="2693"/>
      <c r="DO629" s="2693"/>
      <c r="DP629" s="2693"/>
      <c r="DQ629" s="2693"/>
      <c r="DR629" s="2693"/>
      <c r="DS629" s="2693"/>
      <c r="DT629" s="2693"/>
      <c r="DU629" s="2693"/>
      <c r="DV629" s="2693"/>
      <c r="DW629" s="2693"/>
      <c r="DX629" s="2693"/>
      <c r="DY629" s="2694"/>
    </row>
    <row r="630" spans="1:129" hidden="1" outlineLevel="1">
      <c r="A630" s="2676" t="s">
        <v>874</v>
      </c>
      <c r="B630" s="2627"/>
      <c r="C630" s="2627"/>
      <c r="D630" s="2627"/>
      <c r="E630" s="2627"/>
      <c r="F630" s="2627"/>
      <c r="G630" s="2627"/>
      <c r="H630" s="2627"/>
      <c r="I630" s="2627"/>
      <c r="J630" s="2627"/>
      <c r="K630" s="2627"/>
      <c r="L630" s="2627"/>
      <c r="M630" s="2627"/>
      <c r="N630" s="2627"/>
      <c r="O630" s="2627"/>
      <c r="P630" s="2677"/>
      <c r="Q630" s="2678">
        <f>+CL630</f>
        <v>10406</v>
      </c>
      <c r="R630" s="2678">
        <f>+Q632</f>
        <v>21663</v>
      </c>
      <c r="S630" s="2678">
        <f>+R632</f>
        <v>16667</v>
      </c>
      <c r="T630" s="2678"/>
      <c r="U630" s="2678"/>
      <c r="V630" s="2678"/>
      <c r="W630" s="2678"/>
      <c r="X630" s="2678"/>
      <c r="Y630" s="2678"/>
      <c r="Z630" s="2678"/>
      <c r="AA630" s="2678"/>
      <c r="AB630" s="2678"/>
      <c r="AC630" s="2678"/>
      <c r="AD630" s="2678"/>
      <c r="AE630" s="2678"/>
      <c r="AF630" s="2678"/>
      <c r="AG630" s="2678"/>
      <c r="AI630" s="2456"/>
      <c r="AK630" s="2627"/>
      <c r="AL630" s="2627"/>
      <c r="AM630" s="2627"/>
      <c r="AN630" s="2627"/>
      <c r="AO630" s="2627"/>
      <c r="AP630" s="2627"/>
      <c r="AQ630" s="2627"/>
      <c r="AR630" s="2627"/>
      <c r="AS630" s="2627"/>
      <c r="AT630" s="2627"/>
      <c r="AU630" s="2627"/>
      <c r="AV630" s="2627"/>
      <c r="AW630" s="2627"/>
      <c r="AX630" s="2627"/>
      <c r="AY630" s="2627"/>
      <c r="AZ630" s="2627"/>
      <c r="BA630" s="2627"/>
      <c r="BB630" s="2627"/>
      <c r="BC630" s="2627"/>
      <c r="BD630" s="2627"/>
      <c r="BE630" s="2627"/>
      <c r="BF630" s="2627"/>
      <c r="BG630" s="2627"/>
      <c r="BH630" s="2627"/>
      <c r="BI630" s="2627"/>
      <c r="BJ630" s="2627"/>
      <c r="BK630" s="2627"/>
      <c r="BL630" s="2627"/>
      <c r="BM630" s="2627"/>
      <c r="BN630" s="2627"/>
      <c r="BO630" s="2627"/>
      <c r="BP630" s="2627"/>
      <c r="BQ630" s="2627"/>
      <c r="BR630" s="2627"/>
      <c r="BS630" s="2627"/>
      <c r="BT630" s="2627"/>
      <c r="BU630" s="2627"/>
      <c r="BV630" s="2627"/>
      <c r="BW630" s="2627"/>
      <c r="BX630" s="2627"/>
      <c r="BY630" s="2627"/>
      <c r="BZ630" s="2627"/>
      <c r="CA630" s="2627"/>
      <c r="CB630" s="2627"/>
      <c r="CC630" s="2627"/>
      <c r="CD630" s="2627"/>
      <c r="CE630" s="2627"/>
      <c r="CF630" s="2627"/>
      <c r="CG630" s="2627"/>
      <c r="CH630" s="2627"/>
      <c r="CI630" s="2627"/>
      <c r="CJ630" s="2627"/>
      <c r="CK630" s="2680">
        <f>+CK577+CK581+CK585+CK589+CK593+CK597+CK601+CK605+CK609+CK613+CK617+CK621+CK625+CK628</f>
        <v>4399</v>
      </c>
      <c r="CL630" s="2677">
        <f>+CL577+CL581+CL585+CL589+CL593+CL597+CL601+CL605+CL609+CL613+CL617+CL621+CL625</f>
        <v>10406</v>
      </c>
      <c r="CM630" s="2677">
        <f t="shared" ref="CM630:CW630" si="2378">+CL632</f>
        <v>24112</v>
      </c>
      <c r="CN630" s="2677">
        <f t="shared" si="2378"/>
        <v>21873</v>
      </c>
      <c r="CO630" s="2677">
        <f t="shared" si="2378"/>
        <v>21689</v>
      </c>
      <c r="CP630" s="2679">
        <f t="shared" si="2378"/>
        <v>21663</v>
      </c>
      <c r="CQ630" s="2677">
        <f t="shared" si="2378"/>
        <v>21663</v>
      </c>
      <c r="CR630" s="2677">
        <f t="shared" si="2378"/>
        <v>17893</v>
      </c>
      <c r="CS630" s="2677">
        <f t="shared" si="2378"/>
        <v>16667</v>
      </c>
      <c r="CT630" s="2679">
        <f t="shared" si="2378"/>
        <v>16667</v>
      </c>
      <c r="CU630" s="2677">
        <f t="shared" si="2378"/>
        <v>16667</v>
      </c>
      <c r="CV630" s="2677">
        <f t="shared" si="2378"/>
        <v>12667</v>
      </c>
      <c r="CW630" s="2680">
        <f t="shared" si="2378"/>
        <v>12667</v>
      </c>
      <c r="CX630" s="2677"/>
      <c r="CY630" s="2677"/>
      <c r="CZ630" s="2677"/>
      <c r="DA630" s="2677"/>
      <c r="DB630" s="2679"/>
      <c r="DC630" s="2677"/>
      <c r="DD630" s="2677"/>
      <c r="DE630" s="2677"/>
      <c r="DF630" s="2677"/>
      <c r="DG630" s="2677"/>
      <c r="DH630" s="2677"/>
      <c r="DI630" s="2677"/>
      <c r="DJ630" s="2677"/>
      <c r="DK630" s="2677"/>
      <c r="DL630" s="2677"/>
      <c r="DM630" s="2677"/>
      <c r="DN630" s="2677"/>
      <c r="DO630" s="2677"/>
      <c r="DP630" s="2677"/>
      <c r="DQ630" s="2677"/>
      <c r="DR630" s="2677"/>
      <c r="DS630" s="2677"/>
      <c r="DT630" s="2677"/>
      <c r="DU630" s="2677"/>
      <c r="DV630" s="2677"/>
      <c r="DW630" s="2677"/>
      <c r="DX630" s="2677"/>
      <c r="DY630" s="2680"/>
    </row>
    <row r="631" spans="1:129" hidden="1" outlineLevel="1">
      <c r="A631" s="2676" t="s">
        <v>875</v>
      </c>
      <c r="B631" s="2627"/>
      <c r="C631" s="2627"/>
      <c r="D631" s="2627"/>
      <c r="E631" s="2627"/>
      <c r="F631" s="2627"/>
      <c r="G631" s="2627"/>
      <c r="H631" s="2627"/>
      <c r="I631" s="2627"/>
      <c r="J631" s="2627"/>
      <c r="K631" s="2627"/>
      <c r="L631" s="2627"/>
      <c r="M631" s="2627"/>
      <c r="N631" s="2627"/>
      <c r="O631" s="2627"/>
      <c r="P631" s="2677"/>
      <c r="Q631" s="2682">
        <f>SUM(CL631:CO631)</f>
        <v>11189</v>
      </c>
      <c r="R631" s="2682">
        <f>SUM(CP631:CS631)</f>
        <v>-4996</v>
      </c>
      <c r="S631" s="2682">
        <f>+S578+S582+S586+S590+S594+S598+S602+S606+S610+S614+S618+S622+S626</f>
        <v>-4931</v>
      </c>
      <c r="T631" s="2682"/>
      <c r="U631" s="2682"/>
      <c r="V631" s="2682"/>
      <c r="W631" s="2682"/>
      <c r="X631" s="2682"/>
      <c r="Y631" s="2682"/>
      <c r="Z631" s="2682"/>
      <c r="AA631" s="2682"/>
      <c r="AB631" s="2682"/>
      <c r="AC631" s="2682"/>
      <c r="AD631" s="2682"/>
      <c r="AE631" s="2682"/>
      <c r="AF631" s="2682"/>
      <c r="AG631" s="2682"/>
      <c r="AI631" s="2456"/>
      <c r="AK631" s="2627"/>
      <c r="AL631" s="2627"/>
      <c r="AM631" s="2627"/>
      <c r="AN631" s="2627"/>
      <c r="AO631" s="2627"/>
      <c r="AP631" s="2627"/>
      <c r="AQ631" s="2627"/>
      <c r="AR631" s="2627"/>
      <c r="AS631" s="2627"/>
      <c r="AT631" s="2627"/>
      <c r="AU631" s="2627"/>
      <c r="AV631" s="2627"/>
      <c r="AW631" s="2627"/>
      <c r="AX631" s="2627"/>
      <c r="AY631" s="2627"/>
      <c r="AZ631" s="2627"/>
      <c r="BA631" s="2627"/>
      <c r="BB631" s="2627"/>
      <c r="BC631" s="2627"/>
      <c r="BD631" s="2627"/>
      <c r="BE631" s="2627"/>
      <c r="BF631" s="2627"/>
      <c r="BG631" s="2627"/>
      <c r="BH631" s="2627"/>
      <c r="BI631" s="2627"/>
      <c r="BJ631" s="2627"/>
      <c r="BK631" s="2627"/>
      <c r="BL631" s="2627"/>
      <c r="BM631" s="2627"/>
      <c r="BN631" s="2627"/>
      <c r="BO631" s="2627"/>
      <c r="BP631" s="2627"/>
      <c r="BQ631" s="2627"/>
      <c r="BR631" s="2627"/>
      <c r="BS631" s="2627"/>
      <c r="BT631" s="2627"/>
      <c r="BU631" s="2627"/>
      <c r="BV631" s="2627"/>
      <c r="BW631" s="2627"/>
      <c r="BX631" s="2627"/>
      <c r="BY631" s="2627"/>
      <c r="BZ631" s="2627"/>
      <c r="CA631" s="2627"/>
      <c r="CB631" s="2627"/>
      <c r="CC631" s="2627"/>
      <c r="CD631" s="2627"/>
      <c r="CE631" s="2627"/>
      <c r="CF631" s="2627"/>
      <c r="CG631" s="2627"/>
      <c r="CH631" s="2627"/>
      <c r="CI631" s="2627"/>
      <c r="CJ631" s="2627"/>
      <c r="CK631" s="2684">
        <f>+CK578+CK582+CK586+CK590+CK594+CK598+CK602+CK606+CK610+CK614+CK618+CK622+CK626+CK629</f>
        <v>5983</v>
      </c>
      <c r="CL631" s="2677">
        <f>+CL578+CL582+CL586+CL590+CL594+CL598+CL602+CL606+CL610+CL614+CL618+CL622+CL626</f>
        <v>13872</v>
      </c>
      <c r="CM631" s="2682">
        <f t="shared" ref="CM631:CW631" si="2379">+CM578+CM582+CM586+CM590+CM594+CM598+CM602+CM606+CM610+CM614+CM618+CM622+CM626</f>
        <v>-2239</v>
      </c>
      <c r="CN631" s="2682">
        <f t="shared" si="2379"/>
        <v>-444</v>
      </c>
      <c r="CO631" s="2682">
        <f t="shared" si="2379"/>
        <v>0</v>
      </c>
      <c r="CP631" s="2683">
        <f t="shared" si="2379"/>
        <v>0</v>
      </c>
      <c r="CQ631" s="2682">
        <f t="shared" si="2379"/>
        <v>-3770</v>
      </c>
      <c r="CR631" s="2682">
        <f t="shared" si="2379"/>
        <v>-1226</v>
      </c>
      <c r="CS631" s="2682">
        <f t="shared" si="2379"/>
        <v>0</v>
      </c>
      <c r="CT631" s="2683">
        <f t="shared" si="2379"/>
        <v>0</v>
      </c>
      <c r="CU631" s="2682">
        <f t="shared" si="2379"/>
        <v>-4000</v>
      </c>
      <c r="CV631" s="2682">
        <f t="shared" si="2379"/>
        <v>0</v>
      </c>
      <c r="CW631" s="2684">
        <f t="shared" si="2379"/>
        <v>-931</v>
      </c>
      <c r="CX631" s="2682"/>
      <c r="CY631" s="2682"/>
      <c r="CZ631" s="2682"/>
      <c r="DA631" s="2682"/>
      <c r="DB631" s="2683"/>
      <c r="DC631" s="2682"/>
      <c r="DD631" s="2682"/>
      <c r="DE631" s="2682"/>
      <c r="DF631" s="2682"/>
      <c r="DG631" s="2682"/>
      <c r="DH631" s="2682"/>
      <c r="DI631" s="2682"/>
      <c r="DJ631" s="2682"/>
      <c r="DK631" s="2682"/>
      <c r="DL631" s="2682"/>
      <c r="DM631" s="2682"/>
      <c r="DN631" s="2682"/>
      <c r="DO631" s="2682"/>
      <c r="DP631" s="2682"/>
      <c r="DQ631" s="2682"/>
      <c r="DR631" s="2682"/>
      <c r="DS631" s="2682"/>
      <c r="DT631" s="2682"/>
      <c r="DU631" s="2682"/>
      <c r="DV631" s="2682"/>
      <c r="DW631" s="2682"/>
      <c r="DX631" s="2682"/>
      <c r="DY631" s="2684"/>
    </row>
    <row r="632" spans="1:129" hidden="1" outlineLevel="1">
      <c r="A632" s="2676" t="s">
        <v>876</v>
      </c>
      <c r="B632" s="2627"/>
      <c r="C632" s="2627"/>
      <c r="D632" s="2627"/>
      <c r="E632" s="2627"/>
      <c r="F632" s="2627"/>
      <c r="G632" s="2627"/>
      <c r="H632" s="2627"/>
      <c r="I632" s="2627"/>
      <c r="J632" s="2627"/>
      <c r="K632" s="2627"/>
      <c r="L632" s="2627"/>
      <c r="M632" s="2627"/>
      <c r="N632" s="2627"/>
      <c r="O632" s="2627"/>
      <c r="P632" s="2677">
        <f>+CK632</f>
        <v>10423</v>
      </c>
      <c r="Q632" s="2678">
        <f>+CO632</f>
        <v>21663</v>
      </c>
      <c r="R632" s="2678">
        <f>CS632</f>
        <v>16667</v>
      </c>
      <c r="S632" s="2677">
        <f>+S579+S583+S587+S591+S595+S599+S603+S607+S611+S615+S619+S623+S627</f>
        <v>11736</v>
      </c>
      <c r="T632" s="2677"/>
      <c r="U632" s="2677"/>
      <c r="V632" s="2677"/>
      <c r="W632" s="2677"/>
      <c r="X632" s="2677"/>
      <c r="Y632" s="2677"/>
      <c r="Z632" s="2677"/>
      <c r="AA632" s="2677"/>
      <c r="AB632" s="2677"/>
      <c r="AC632" s="2677"/>
      <c r="AD632" s="2677"/>
      <c r="AE632" s="2677"/>
      <c r="AF632" s="2677"/>
      <c r="AG632" s="2677"/>
      <c r="AI632" s="2456"/>
      <c r="AK632" s="2627"/>
      <c r="AL632" s="2627"/>
      <c r="AM632" s="2627"/>
      <c r="AN632" s="2627"/>
      <c r="AO632" s="2627"/>
      <c r="AP632" s="2627"/>
      <c r="AQ632" s="2627"/>
      <c r="AR632" s="2627"/>
      <c r="AS632" s="2627"/>
      <c r="AT632" s="2627"/>
      <c r="AU632" s="2627"/>
      <c r="AV632" s="2627"/>
      <c r="AW632" s="2627"/>
      <c r="AX632" s="2627"/>
      <c r="AY632" s="2627"/>
      <c r="AZ632" s="2627"/>
      <c r="BA632" s="2627"/>
      <c r="BB632" s="2627"/>
      <c r="BC632" s="2627"/>
      <c r="BD632" s="2627"/>
      <c r="BE632" s="2627"/>
      <c r="BF632" s="2627"/>
      <c r="BG632" s="2627"/>
      <c r="BH632" s="2627"/>
      <c r="BI632" s="2627"/>
      <c r="BJ632" s="2627"/>
      <c r="BK632" s="2627"/>
      <c r="BL632" s="2627"/>
      <c r="BM632" s="2627"/>
      <c r="BN632" s="2627"/>
      <c r="BO632" s="2627"/>
      <c r="BP632" s="2627"/>
      <c r="BQ632" s="2627"/>
      <c r="BR632" s="2627"/>
      <c r="BS632" s="2627"/>
      <c r="BT632" s="2627"/>
      <c r="BU632" s="2627"/>
      <c r="BV632" s="2627"/>
      <c r="BW632" s="2627"/>
      <c r="BX632" s="2627"/>
      <c r="BY632" s="2627"/>
      <c r="BZ632" s="2627"/>
      <c r="CA632" s="2627"/>
      <c r="CB632" s="2627"/>
      <c r="CC632" s="2627"/>
      <c r="CD632" s="2627"/>
      <c r="CE632" s="2627"/>
      <c r="CF632" s="2627"/>
      <c r="CG632" s="2627"/>
      <c r="CH632" s="2627"/>
      <c r="CI632" s="2627"/>
      <c r="CJ632" s="2627"/>
      <c r="CK632" s="2680">
        <f>+CK579+CK583+CK587+CK591+CK595+CK599+CK603+CK607+CK611+CK615+CK619+CK623+CK627</f>
        <v>10423</v>
      </c>
      <c r="CL632" s="2677">
        <f>+CL579+CL583+CL587+CL591+CL595+CL599+CL603+CL607+CL611+CL615+CL619+CL623+CL627</f>
        <v>24112</v>
      </c>
      <c r="CM632" s="2677">
        <f t="shared" ref="CM632:CW632" si="2380">+CM579+CM583+CM587+CM591+CM595+CM599+CM603+CM607+CM611+CM615+CM619+CM623+CM627</f>
        <v>21873</v>
      </c>
      <c r="CN632" s="2677">
        <f t="shared" si="2380"/>
        <v>21689</v>
      </c>
      <c r="CO632" s="2677">
        <f t="shared" si="2380"/>
        <v>21663</v>
      </c>
      <c r="CP632" s="2679">
        <f t="shared" si="2380"/>
        <v>21663</v>
      </c>
      <c r="CQ632" s="2677">
        <f t="shared" si="2380"/>
        <v>17893</v>
      </c>
      <c r="CR632" s="2677">
        <f t="shared" si="2380"/>
        <v>16667</v>
      </c>
      <c r="CS632" s="2677">
        <f t="shared" si="2380"/>
        <v>16667</v>
      </c>
      <c r="CT632" s="2679">
        <f t="shared" si="2380"/>
        <v>16667</v>
      </c>
      <c r="CU632" s="2677">
        <f t="shared" si="2380"/>
        <v>12667</v>
      </c>
      <c r="CV632" s="2677">
        <f t="shared" si="2380"/>
        <v>12667</v>
      </c>
      <c r="CW632" s="2680">
        <f t="shared" si="2380"/>
        <v>11736</v>
      </c>
      <c r="CX632" s="2677"/>
      <c r="CY632" s="2677"/>
      <c r="CZ632" s="2677"/>
      <c r="DA632" s="2677"/>
      <c r="DB632" s="2679"/>
      <c r="DC632" s="2677"/>
      <c r="DD632" s="2677"/>
      <c r="DE632" s="2677"/>
      <c r="DF632" s="2677"/>
      <c r="DG632" s="2677"/>
      <c r="DH632" s="2677"/>
      <c r="DI632" s="2677"/>
      <c r="DJ632" s="2677"/>
      <c r="DK632" s="2677"/>
      <c r="DL632" s="2677"/>
      <c r="DM632" s="2677"/>
      <c r="DN632" s="2677"/>
      <c r="DO632" s="2677"/>
      <c r="DP632" s="2677"/>
      <c r="DQ632" s="2677"/>
      <c r="DR632" s="2677"/>
      <c r="DS632" s="2677"/>
      <c r="DT632" s="2677"/>
      <c r="DU632" s="2677"/>
      <c r="DV632" s="2677"/>
      <c r="DW632" s="2677"/>
      <c r="DX632" s="2677"/>
      <c r="DY632" s="2680"/>
    </row>
    <row r="633" spans="1:129" hidden="1" outlineLevel="1">
      <c r="A633" s="2205" t="s">
        <v>891</v>
      </c>
      <c r="B633" s="2205"/>
      <c r="C633" s="2205"/>
      <c r="D633" s="2205"/>
      <c r="E633" s="2205"/>
      <c r="F633" s="2205"/>
      <c r="G633" s="2205"/>
      <c r="H633" s="2205"/>
      <c r="I633" s="2205"/>
      <c r="J633" s="2205"/>
      <c r="K633" s="2205"/>
      <c r="L633" s="2205"/>
      <c r="M633" s="2205"/>
      <c r="N633" s="2205"/>
      <c r="O633" s="2205"/>
      <c r="P633" s="2696">
        <f>+P632+P628</f>
        <v>10382</v>
      </c>
      <c r="Q633" s="2696">
        <f>+Q632+Q628</f>
        <v>21659</v>
      </c>
      <c r="R633" s="2696">
        <f>+R632+R628</f>
        <v>16503</v>
      </c>
      <c r="S633" s="2696">
        <f>+S632+S628</f>
        <v>11572</v>
      </c>
      <c r="T633" s="2696">
        <f>T656</f>
        <v>10135</v>
      </c>
      <c r="U633" s="2696"/>
      <c r="V633" s="2696"/>
      <c r="W633" s="2696"/>
      <c r="X633" s="2696"/>
      <c r="Y633" s="2696"/>
      <c r="Z633" s="2696"/>
      <c r="AA633" s="2696"/>
      <c r="AB633" s="2696"/>
      <c r="AC633" s="2696"/>
      <c r="AD633" s="2696"/>
      <c r="AE633" s="2696"/>
      <c r="AF633" s="2696"/>
      <c r="AG633" s="2696"/>
      <c r="AI633" s="1927"/>
      <c r="AK633" s="2205"/>
      <c r="AL633" s="2205"/>
      <c r="AM633" s="2205"/>
      <c r="AN633" s="2205"/>
      <c r="AO633" s="2205"/>
      <c r="AP633" s="2205"/>
      <c r="AQ633" s="2205"/>
      <c r="AR633" s="2205"/>
      <c r="AS633" s="2205"/>
      <c r="AT633" s="2205"/>
      <c r="AU633" s="2205"/>
      <c r="AV633" s="2205"/>
      <c r="AW633" s="2205"/>
      <c r="AX633" s="2205"/>
      <c r="AY633" s="2205"/>
      <c r="AZ633" s="2205"/>
      <c r="BA633" s="2205"/>
      <c r="BB633" s="2205"/>
      <c r="BC633" s="2205"/>
      <c r="BD633" s="2205"/>
      <c r="BE633" s="2205"/>
      <c r="BF633" s="2205"/>
      <c r="BG633" s="2205"/>
      <c r="BH633" s="2205"/>
      <c r="BI633" s="2205"/>
      <c r="BJ633" s="2205"/>
      <c r="BK633" s="2205"/>
      <c r="BL633" s="2205"/>
      <c r="BM633" s="2205"/>
      <c r="BN633" s="2205"/>
      <c r="BO633" s="2205"/>
      <c r="BP633" s="2205"/>
      <c r="BQ633" s="2205"/>
      <c r="BR633" s="2205"/>
      <c r="BS633" s="2205"/>
      <c r="BT633" s="2205"/>
      <c r="BU633" s="2205"/>
      <c r="BV633" s="2205"/>
      <c r="BW633" s="2205"/>
      <c r="BX633" s="2205"/>
      <c r="BY633" s="2205"/>
      <c r="BZ633" s="2205"/>
      <c r="CA633" s="2205"/>
      <c r="CB633" s="2205"/>
      <c r="CC633" s="2205"/>
      <c r="CD633" s="2205"/>
      <c r="CE633" s="2205"/>
      <c r="CF633" s="2205"/>
      <c r="CG633" s="2205"/>
      <c r="CH633" s="2205"/>
      <c r="CI633" s="2205"/>
      <c r="CJ633" s="2205"/>
      <c r="CK633" s="2697">
        <f t="shared" ref="CK633:CW633" si="2381">+CK632+CK628</f>
        <v>10382</v>
      </c>
      <c r="CL633" s="2696">
        <f t="shared" si="2381"/>
        <v>24074</v>
      </c>
      <c r="CM633" s="2696">
        <f t="shared" si="2381"/>
        <v>22087</v>
      </c>
      <c r="CN633" s="2696">
        <f t="shared" si="2381"/>
        <v>21685</v>
      </c>
      <c r="CO633" s="2696">
        <f t="shared" si="2381"/>
        <v>21659</v>
      </c>
      <c r="CP633" s="2698">
        <f t="shared" si="2381"/>
        <v>21507</v>
      </c>
      <c r="CQ633" s="2696">
        <f t="shared" si="2381"/>
        <v>17556</v>
      </c>
      <c r="CR633" s="2696">
        <f t="shared" si="2381"/>
        <v>16537</v>
      </c>
      <c r="CS633" s="2696">
        <f t="shared" si="2381"/>
        <v>16503</v>
      </c>
      <c r="CT633" s="2698">
        <f t="shared" si="2381"/>
        <v>16503</v>
      </c>
      <c r="CU633" s="2696">
        <f t="shared" si="2381"/>
        <v>12503</v>
      </c>
      <c r="CV633" s="2696">
        <f t="shared" si="2381"/>
        <v>12503</v>
      </c>
      <c r="CW633" s="2697">
        <f t="shared" si="2381"/>
        <v>11572</v>
      </c>
      <c r="CX633" s="2696"/>
      <c r="CY633" s="2696"/>
      <c r="CZ633" s="2696"/>
      <c r="DA633" s="2696"/>
      <c r="DB633" s="2698"/>
      <c r="DC633" s="2696"/>
      <c r="DD633" s="2696"/>
      <c r="DE633" s="2696"/>
      <c r="DF633" s="2696"/>
      <c r="DG633" s="2696"/>
      <c r="DH633" s="2696"/>
      <c r="DI633" s="2696"/>
      <c r="DJ633" s="2696"/>
      <c r="DK633" s="2696"/>
      <c r="DL633" s="2696"/>
      <c r="DM633" s="2696"/>
      <c r="DN633" s="2696"/>
      <c r="DO633" s="2696"/>
      <c r="DP633" s="2696"/>
      <c r="DQ633" s="2696"/>
      <c r="DR633" s="2696"/>
      <c r="DS633" s="2696"/>
      <c r="DT633" s="2696"/>
      <c r="DU633" s="2696"/>
      <c r="DV633" s="2696"/>
      <c r="DW633" s="2696"/>
      <c r="DX633" s="2696"/>
      <c r="DY633" s="2697"/>
    </row>
    <row r="634" spans="1:129" hidden="1" outlineLevel="1">
      <c r="A634" s="1903" t="s">
        <v>892</v>
      </c>
      <c r="P634" s="2692">
        <f>+CK634</f>
        <v>444</v>
      </c>
      <c r="Q634" s="2692">
        <f>+CO634</f>
        <v>2998</v>
      </c>
      <c r="R634" s="2692"/>
      <c r="S634" s="2692"/>
      <c r="T634" s="2692"/>
      <c r="U634" s="2692"/>
      <c r="V634" s="2692"/>
      <c r="W634" s="2692"/>
      <c r="X634" s="2692"/>
      <c r="Y634" s="2692"/>
      <c r="Z634" s="2692"/>
      <c r="AA634" s="2692"/>
      <c r="AB634" s="2692"/>
      <c r="AC634" s="2692"/>
      <c r="AD634" s="2692"/>
      <c r="AE634" s="2692"/>
      <c r="AF634" s="2692"/>
      <c r="AG634" s="2692"/>
      <c r="AI634" s="1927"/>
      <c r="AK634" s="2692"/>
      <c r="AL634" s="2692"/>
      <c r="AM634" s="2692"/>
      <c r="AN634" s="2692"/>
      <c r="AO634" s="2692"/>
      <c r="AP634" s="2692"/>
      <c r="AQ634" s="2692"/>
      <c r="AR634" s="2692"/>
      <c r="AS634" s="2692"/>
      <c r="AT634" s="2692"/>
      <c r="AU634" s="2692"/>
      <c r="AV634" s="2692"/>
      <c r="AW634" s="2692"/>
      <c r="AX634" s="2692"/>
      <c r="AY634" s="2692"/>
      <c r="AZ634" s="2692"/>
      <c r="BA634" s="2692"/>
      <c r="BB634" s="2692"/>
      <c r="BC634" s="2692"/>
      <c r="BD634" s="2692"/>
      <c r="BE634" s="2692"/>
      <c r="BF634" s="2692"/>
      <c r="BG634" s="2692"/>
      <c r="BH634" s="2692"/>
      <c r="BI634" s="2692"/>
      <c r="BJ634" s="2692"/>
      <c r="BK634" s="2692"/>
      <c r="BL634" s="2692"/>
      <c r="BM634" s="2692"/>
      <c r="BN634" s="2692"/>
      <c r="BO634" s="2692"/>
      <c r="BP634" s="2692"/>
      <c r="BQ634" s="2692"/>
      <c r="BR634" s="2692"/>
      <c r="BS634" s="2692"/>
      <c r="BT634" s="2692"/>
      <c r="BU634" s="2692"/>
      <c r="BV634" s="2692"/>
      <c r="BW634" s="2692"/>
      <c r="BX634" s="2692"/>
      <c r="BY634" s="2692"/>
      <c r="BZ634" s="2692"/>
      <c r="CA634" s="2692"/>
      <c r="CB634" s="2692"/>
      <c r="CC634" s="2692"/>
      <c r="CD634" s="2692"/>
      <c r="CE634" s="2692"/>
      <c r="CF634" s="2692"/>
      <c r="CG634" s="2692"/>
      <c r="CH634" s="2692"/>
      <c r="CI634" s="2692"/>
      <c r="CJ634" s="2692"/>
      <c r="CK634" s="2699">
        <v>444</v>
      </c>
      <c r="CL634" s="2700">
        <v>7683</v>
      </c>
      <c r="CN634" s="2700">
        <v>2998</v>
      </c>
      <c r="CO634" s="2700">
        <v>2998</v>
      </c>
      <c r="CP634" s="1933"/>
      <c r="CQ634" s="2205"/>
      <c r="CR634" s="2205"/>
      <c r="CS634" s="2205"/>
      <c r="CT634" s="1933"/>
      <c r="CU634" s="2205"/>
      <c r="CV634" s="2205"/>
      <c r="CW634" s="2701"/>
      <c r="CX634" s="2205"/>
      <c r="CY634" s="2205"/>
      <c r="CZ634" s="2205"/>
      <c r="DA634" s="2205"/>
      <c r="DB634" s="1933"/>
      <c r="DC634" s="2205"/>
      <c r="DD634" s="2205"/>
      <c r="DE634" s="2205"/>
      <c r="DF634" s="2205"/>
      <c r="DG634" s="2205"/>
      <c r="DH634" s="2205"/>
      <c r="DI634" s="2205"/>
      <c r="DJ634" s="2205"/>
      <c r="DK634" s="2205"/>
      <c r="DL634" s="2205"/>
      <c r="DM634" s="2205"/>
      <c r="DN634" s="2205"/>
      <c r="DO634" s="2205"/>
      <c r="DP634" s="2205"/>
      <c r="DQ634" s="2205"/>
      <c r="DR634" s="2205"/>
      <c r="DS634" s="2205"/>
      <c r="DT634" s="2205"/>
      <c r="DU634" s="2205"/>
      <c r="DV634" s="2205"/>
      <c r="DW634" s="2205"/>
      <c r="DX634" s="2205"/>
      <c r="DY634" s="2701"/>
    </row>
    <row r="635" spans="1:129" hidden="1" outlineLevel="1">
      <c r="A635" s="2205"/>
      <c r="P635" s="2702"/>
      <c r="AI635" s="1927"/>
      <c r="CK635" s="2703"/>
      <c r="CP635" s="1942"/>
      <c r="CT635" s="1942"/>
      <c r="CW635" s="2236"/>
      <c r="DB635" s="1942"/>
      <c r="DY635" s="2236"/>
    </row>
    <row r="636" spans="1:129" hidden="1" outlineLevel="1">
      <c r="A636" s="2704" t="s">
        <v>893</v>
      </c>
      <c r="AI636" s="1927"/>
      <c r="CL636" s="1942"/>
      <c r="CP636" s="1942"/>
      <c r="CT636" s="1942"/>
      <c r="CW636" s="2236"/>
      <c r="DB636" s="1942"/>
      <c r="DY636" s="2236"/>
    </row>
    <row r="637" spans="1:129" hidden="1" outlineLevel="1">
      <c r="A637" s="2674" t="s">
        <v>894</v>
      </c>
      <c r="O637" s="2703">
        <v>2009</v>
      </c>
      <c r="AI637" s="1927"/>
      <c r="CL637" s="1942"/>
      <c r="CP637" s="1942"/>
      <c r="CT637" s="1942"/>
      <c r="CW637" s="2236"/>
      <c r="DB637" s="1942"/>
      <c r="DY637" s="2236"/>
    </row>
    <row r="638" spans="1:129" hidden="1" outlineLevel="1">
      <c r="A638" s="2705" t="s">
        <v>874</v>
      </c>
      <c r="O638" s="2703"/>
      <c r="P638" s="2692">
        <f>+CK638</f>
        <v>0</v>
      </c>
      <c r="Q638" s="2702">
        <f>+P640</f>
        <v>1931</v>
      </c>
      <c r="R638" s="2702">
        <f>CS638</f>
        <v>0</v>
      </c>
      <c r="S638" s="2702">
        <f>+R640</f>
        <v>0</v>
      </c>
      <c r="T638" s="2702">
        <f>+S640</f>
        <v>0</v>
      </c>
      <c r="U638" s="2702"/>
      <c r="V638" s="2702"/>
      <c r="W638" s="2702"/>
      <c r="X638" s="2702"/>
      <c r="Y638" s="2702"/>
      <c r="Z638" s="2702"/>
      <c r="AA638" s="2702"/>
      <c r="AB638" s="2702"/>
      <c r="AC638" s="2702"/>
      <c r="AD638" s="2702"/>
      <c r="AE638" s="2702"/>
      <c r="AF638" s="2702"/>
      <c r="AG638" s="2702"/>
      <c r="AI638" s="1927"/>
      <c r="CK638" s="2692"/>
      <c r="CL638" s="2706">
        <f t="shared" ref="CL638:CW638" si="2382">CK640</f>
        <v>1931</v>
      </c>
      <c r="CM638" s="2692">
        <f t="shared" si="2382"/>
        <v>1931</v>
      </c>
      <c r="CN638" s="2692">
        <f t="shared" si="2382"/>
        <v>917</v>
      </c>
      <c r="CO638" s="2692">
        <f t="shared" si="2382"/>
        <v>0</v>
      </c>
      <c r="CP638" s="2706">
        <f t="shared" si="2382"/>
        <v>0</v>
      </c>
      <c r="CQ638" s="2692">
        <f t="shared" si="2382"/>
        <v>0</v>
      </c>
      <c r="CR638" s="2692">
        <f t="shared" si="2382"/>
        <v>0</v>
      </c>
      <c r="CS638" s="2692">
        <f t="shared" si="2382"/>
        <v>0</v>
      </c>
      <c r="CT638" s="2706">
        <f t="shared" si="2382"/>
        <v>0</v>
      </c>
      <c r="CU638" s="2692">
        <f t="shared" si="2382"/>
        <v>0</v>
      </c>
      <c r="CV638" s="2692">
        <f t="shared" si="2382"/>
        <v>0</v>
      </c>
      <c r="CW638" s="2707">
        <f t="shared" si="2382"/>
        <v>0</v>
      </c>
      <c r="CX638" s="2692"/>
      <c r="CY638" s="2692"/>
      <c r="CZ638" s="2692"/>
      <c r="DA638" s="2692"/>
      <c r="DB638" s="2706"/>
      <c r="DC638" s="2692"/>
      <c r="DD638" s="2692"/>
      <c r="DE638" s="2692"/>
      <c r="DF638" s="2692"/>
      <c r="DG638" s="2692"/>
      <c r="DH638" s="2692"/>
      <c r="DI638" s="2692"/>
      <c r="DJ638" s="2692"/>
      <c r="DK638" s="2692"/>
      <c r="DL638" s="2692"/>
      <c r="DM638" s="2692"/>
      <c r="DN638" s="2692"/>
      <c r="DO638" s="2692"/>
      <c r="DP638" s="2692"/>
      <c r="DQ638" s="2692"/>
      <c r="DR638" s="2692"/>
      <c r="DS638" s="2692"/>
      <c r="DT638" s="2692"/>
      <c r="DU638" s="2692"/>
      <c r="DV638" s="2692"/>
      <c r="DW638" s="2692"/>
      <c r="DX638" s="2692"/>
      <c r="DY638" s="2707"/>
    </row>
    <row r="639" spans="1:129" hidden="1" outlineLevel="1">
      <c r="A639" s="2705" t="s">
        <v>875</v>
      </c>
      <c r="O639" s="2703"/>
      <c r="P639" s="2692"/>
      <c r="Q639" s="2687">
        <f>SUM(CL639:CO639)</f>
        <v>-1931</v>
      </c>
      <c r="R639" s="2687">
        <f>SUM(CP639:CS639)</f>
        <v>0</v>
      </c>
      <c r="AI639" s="1927"/>
      <c r="CK639" s="2692"/>
      <c r="CL639" s="2706"/>
      <c r="CM639" s="2687">
        <v>-1014</v>
      </c>
      <c r="CN639" s="2687">
        <v>-917</v>
      </c>
      <c r="CO639" s="2687"/>
      <c r="CP639" s="2688"/>
      <c r="CQ639" s="2687"/>
      <c r="CR639" s="2687"/>
      <c r="CS639" s="2687"/>
      <c r="CT639" s="2688"/>
      <c r="CU639" s="2687"/>
      <c r="CV639" s="2687"/>
      <c r="CW639" s="2691"/>
      <c r="CX639" s="2687"/>
      <c r="CY639" s="2687"/>
      <c r="CZ639" s="2687"/>
      <c r="DA639" s="2687"/>
      <c r="DB639" s="2688"/>
      <c r="DC639" s="2687"/>
      <c r="DD639" s="2687"/>
      <c r="DE639" s="2687"/>
      <c r="DF639" s="2687"/>
      <c r="DG639" s="2687"/>
      <c r="DH639" s="2687"/>
      <c r="DI639" s="2687"/>
      <c r="DJ639" s="2687"/>
      <c r="DK639" s="2687"/>
      <c r="DL639" s="2687"/>
      <c r="DM639" s="2687"/>
      <c r="DN639" s="2687"/>
      <c r="DO639" s="2687"/>
      <c r="DP639" s="2687"/>
      <c r="DQ639" s="2687"/>
      <c r="DR639" s="2687"/>
      <c r="DS639" s="2687"/>
      <c r="DT639" s="2687"/>
      <c r="DU639" s="2687"/>
      <c r="DV639" s="2687"/>
      <c r="DW639" s="2687"/>
      <c r="DX639" s="2687"/>
      <c r="DY639" s="2691"/>
    </row>
    <row r="640" spans="1:129" hidden="1" outlineLevel="1">
      <c r="A640" s="2705" t="s">
        <v>876</v>
      </c>
      <c r="O640" s="2703"/>
      <c r="P640" s="2692">
        <f>CK640</f>
        <v>1931</v>
      </c>
      <c r="Q640" s="2692">
        <f>+CO640</f>
        <v>0</v>
      </c>
      <c r="R640" s="2702">
        <f>CS640</f>
        <v>0</v>
      </c>
      <c r="S640" s="2702">
        <f>+S638+S639</f>
        <v>0</v>
      </c>
      <c r="T640" s="2702">
        <f>+T638+T639</f>
        <v>0</v>
      </c>
      <c r="U640" s="2702"/>
      <c r="V640" s="2702"/>
      <c r="W640" s="2702"/>
      <c r="X640" s="2702"/>
      <c r="Y640" s="2702"/>
      <c r="Z640" s="2702"/>
      <c r="AA640" s="2702"/>
      <c r="AB640" s="2702"/>
      <c r="AC640" s="2702"/>
      <c r="AD640" s="2702"/>
      <c r="AE640" s="2702"/>
      <c r="AF640" s="2702"/>
      <c r="AG640" s="2702"/>
      <c r="AI640" s="1927"/>
      <c r="CK640" s="2700">
        <v>1931</v>
      </c>
      <c r="CL640" s="2706">
        <f t="shared" ref="CL640:CW640" si="2383">CL639+CL638</f>
        <v>1931</v>
      </c>
      <c r="CM640" s="2692">
        <f t="shared" si="2383"/>
        <v>917</v>
      </c>
      <c r="CN640" s="2692">
        <f t="shared" si="2383"/>
        <v>0</v>
      </c>
      <c r="CO640" s="2692">
        <f t="shared" si="2383"/>
        <v>0</v>
      </c>
      <c r="CP640" s="2706">
        <f t="shared" si="2383"/>
        <v>0</v>
      </c>
      <c r="CQ640" s="2692">
        <f t="shared" si="2383"/>
        <v>0</v>
      </c>
      <c r="CR640" s="2692">
        <f t="shared" si="2383"/>
        <v>0</v>
      </c>
      <c r="CS640" s="2692">
        <f t="shared" si="2383"/>
        <v>0</v>
      </c>
      <c r="CT640" s="2706">
        <f t="shared" si="2383"/>
        <v>0</v>
      </c>
      <c r="CU640" s="2692">
        <f t="shared" si="2383"/>
        <v>0</v>
      </c>
      <c r="CV640" s="2692">
        <f t="shared" si="2383"/>
        <v>0</v>
      </c>
      <c r="CW640" s="2707">
        <f t="shared" si="2383"/>
        <v>0</v>
      </c>
      <c r="CX640" s="2692"/>
      <c r="CY640" s="2692"/>
      <c r="CZ640" s="2692"/>
      <c r="DA640" s="2692"/>
      <c r="DB640" s="2706"/>
      <c r="DC640" s="2692"/>
      <c r="DD640" s="2692"/>
      <c r="DE640" s="2692"/>
      <c r="DF640" s="2692"/>
      <c r="DG640" s="2692"/>
      <c r="DH640" s="2692"/>
      <c r="DI640" s="2692"/>
      <c r="DJ640" s="2692"/>
      <c r="DK640" s="2692"/>
      <c r="DL640" s="2692"/>
      <c r="DM640" s="2692"/>
      <c r="DN640" s="2692"/>
      <c r="DO640" s="2692"/>
      <c r="DP640" s="2692"/>
      <c r="DQ640" s="2692"/>
      <c r="DR640" s="2692"/>
      <c r="DS640" s="2692"/>
      <c r="DT640" s="2692"/>
      <c r="DU640" s="2692"/>
      <c r="DV640" s="2692"/>
      <c r="DW640" s="2692"/>
      <c r="DX640" s="2692"/>
      <c r="DY640" s="2707"/>
    </row>
    <row r="641" spans="1:129" hidden="1" outlineLevel="1">
      <c r="A641" s="2674" t="s">
        <v>895</v>
      </c>
      <c r="O641" s="2703">
        <v>2009</v>
      </c>
      <c r="AI641" s="1927"/>
      <c r="CL641" s="1942"/>
      <c r="CP641" s="1942"/>
      <c r="CT641" s="1942"/>
      <c r="CW641" s="2236"/>
      <c r="DB641" s="1942"/>
      <c r="DY641" s="2236"/>
    </row>
    <row r="642" spans="1:129" hidden="1" outlineLevel="1">
      <c r="A642" s="2705" t="s">
        <v>874</v>
      </c>
      <c r="O642" s="2703"/>
      <c r="P642" s="2692">
        <f>+CK642</f>
        <v>454</v>
      </c>
      <c r="Q642" s="2702">
        <f>+P644</f>
        <v>454</v>
      </c>
      <c r="R642" s="2702">
        <f>CS642</f>
        <v>0</v>
      </c>
      <c r="S642" s="2702">
        <f>+R644</f>
        <v>0</v>
      </c>
      <c r="T642" s="2702">
        <f>+S644</f>
        <v>0</v>
      </c>
      <c r="U642" s="2702"/>
      <c r="V642" s="2702"/>
      <c r="W642" s="2702"/>
      <c r="X642" s="2702"/>
      <c r="Y642" s="2702"/>
      <c r="Z642" s="2702"/>
      <c r="AA642" s="2702"/>
      <c r="AB642" s="2702"/>
      <c r="AC642" s="2702"/>
      <c r="AD642" s="2702"/>
      <c r="AE642" s="2702"/>
      <c r="AF642" s="2702"/>
      <c r="AG642" s="2702"/>
      <c r="AI642" s="1927"/>
      <c r="CK642" s="2692">
        <v>454</v>
      </c>
      <c r="CL642" s="2706">
        <f t="shared" ref="CL642:CW642" si="2384">CK644</f>
        <v>454</v>
      </c>
      <c r="CM642" s="2692">
        <f t="shared" si="2384"/>
        <v>0</v>
      </c>
      <c r="CN642" s="2692">
        <f t="shared" si="2384"/>
        <v>182</v>
      </c>
      <c r="CO642" s="2692">
        <f t="shared" si="2384"/>
        <v>0</v>
      </c>
      <c r="CP642" s="2706">
        <f t="shared" si="2384"/>
        <v>0</v>
      </c>
      <c r="CQ642" s="2692">
        <f t="shared" si="2384"/>
        <v>0</v>
      </c>
      <c r="CR642" s="2692">
        <f t="shared" si="2384"/>
        <v>0</v>
      </c>
      <c r="CS642" s="2692">
        <f t="shared" si="2384"/>
        <v>0</v>
      </c>
      <c r="CT642" s="2706">
        <f t="shared" si="2384"/>
        <v>0</v>
      </c>
      <c r="CU642" s="2692">
        <f t="shared" si="2384"/>
        <v>0</v>
      </c>
      <c r="CV642" s="2692">
        <f t="shared" si="2384"/>
        <v>0</v>
      </c>
      <c r="CW642" s="2707">
        <f t="shared" si="2384"/>
        <v>0</v>
      </c>
      <c r="CX642" s="2692"/>
      <c r="CY642" s="2692"/>
      <c r="CZ642" s="2692"/>
      <c r="DA642" s="2692"/>
      <c r="DB642" s="2706"/>
      <c r="DC642" s="2692"/>
      <c r="DD642" s="2692"/>
      <c r="DE642" s="2692"/>
      <c r="DF642" s="2692"/>
      <c r="DG642" s="2692"/>
      <c r="DH642" s="2692"/>
      <c r="DI642" s="2692"/>
      <c r="DJ642" s="2692"/>
      <c r="DK642" s="2692"/>
      <c r="DL642" s="2692"/>
      <c r="DM642" s="2692"/>
      <c r="DN642" s="2692"/>
      <c r="DO642" s="2692"/>
      <c r="DP642" s="2692"/>
      <c r="DQ642" s="2692"/>
      <c r="DR642" s="2692"/>
      <c r="DS642" s="2692"/>
      <c r="DT642" s="2692"/>
      <c r="DU642" s="2692"/>
      <c r="DV642" s="2692"/>
      <c r="DW642" s="2692"/>
      <c r="DX642" s="2692"/>
      <c r="DY642" s="2707"/>
    </row>
    <row r="643" spans="1:129" hidden="1" outlineLevel="1">
      <c r="A643" s="2705" t="s">
        <v>875</v>
      </c>
      <c r="O643" s="2703"/>
      <c r="P643" s="2692"/>
      <c r="Q643" s="2687">
        <f>SUM(CL643:CO643)</f>
        <v>-454</v>
      </c>
      <c r="R643" s="2687">
        <f>SUM(CP643:CS643)</f>
        <v>0</v>
      </c>
      <c r="AI643" s="1927"/>
      <c r="CK643" s="2687">
        <v>0</v>
      </c>
      <c r="CL643" s="2688">
        <v>-454</v>
      </c>
      <c r="CM643" s="2708">
        <v>182</v>
      </c>
      <c r="CN643" s="2687">
        <f>-CN642</f>
        <v>-182</v>
      </c>
      <c r="CO643" s="2687"/>
      <c r="CP643" s="2688"/>
      <c r="CQ643" s="2687"/>
      <c r="CR643" s="2687"/>
      <c r="CS643" s="2687"/>
      <c r="CT643" s="2688"/>
      <c r="CU643" s="2687"/>
      <c r="CV643" s="2687"/>
      <c r="CW643" s="2691"/>
      <c r="CX643" s="2687"/>
      <c r="CY643" s="2687"/>
      <c r="CZ643" s="2687"/>
      <c r="DA643" s="2687"/>
      <c r="DB643" s="2688"/>
      <c r="DC643" s="2687"/>
      <c r="DD643" s="2687"/>
      <c r="DE643" s="2687"/>
      <c r="DF643" s="2687"/>
      <c r="DG643" s="2687"/>
      <c r="DH643" s="2687"/>
      <c r="DI643" s="2687"/>
      <c r="DJ643" s="2687"/>
      <c r="DK643" s="2687"/>
      <c r="DL643" s="2687"/>
      <c r="DM643" s="2687"/>
      <c r="DN643" s="2687"/>
      <c r="DO643" s="2687"/>
      <c r="DP643" s="2687"/>
      <c r="DQ643" s="2687"/>
      <c r="DR643" s="2687"/>
      <c r="DS643" s="2687"/>
      <c r="DT643" s="2687"/>
      <c r="DU643" s="2687"/>
      <c r="DV643" s="2687"/>
      <c r="DW643" s="2687"/>
      <c r="DX643" s="2687"/>
      <c r="DY643" s="2691"/>
    </row>
    <row r="644" spans="1:129" hidden="1" outlineLevel="1">
      <c r="A644" s="2705" t="s">
        <v>876</v>
      </c>
      <c r="O644" s="2703"/>
      <c r="P644" s="2692">
        <f>CK644</f>
        <v>454</v>
      </c>
      <c r="Q644" s="2692">
        <f>+CO644</f>
        <v>0</v>
      </c>
      <c r="R644" s="2702">
        <f>CS644</f>
        <v>0</v>
      </c>
      <c r="S644" s="2702">
        <f>+S642+S643</f>
        <v>0</v>
      </c>
      <c r="T644" s="2702">
        <f>+T642+T643</f>
        <v>0</v>
      </c>
      <c r="U644" s="2702"/>
      <c r="V644" s="2702"/>
      <c r="W644" s="2702"/>
      <c r="X644" s="2702"/>
      <c r="Y644" s="2702"/>
      <c r="Z644" s="2702"/>
      <c r="AA644" s="2702"/>
      <c r="AB644" s="2702"/>
      <c r="AC644" s="2702"/>
      <c r="AD644" s="2702"/>
      <c r="AE644" s="2702"/>
      <c r="AF644" s="2702"/>
      <c r="AG644" s="2702"/>
      <c r="AI644" s="1927"/>
      <c r="CK644" s="2692">
        <f t="shared" ref="CK644:CW644" si="2385">CK643+CK642</f>
        <v>454</v>
      </c>
      <c r="CL644" s="2706">
        <f t="shared" si="2385"/>
        <v>0</v>
      </c>
      <c r="CM644" s="2692">
        <f t="shared" si="2385"/>
        <v>182</v>
      </c>
      <c r="CN644" s="2692">
        <f t="shared" si="2385"/>
        <v>0</v>
      </c>
      <c r="CO644" s="2692">
        <f t="shared" si="2385"/>
        <v>0</v>
      </c>
      <c r="CP644" s="2706">
        <f t="shared" si="2385"/>
        <v>0</v>
      </c>
      <c r="CQ644" s="2692">
        <f t="shared" si="2385"/>
        <v>0</v>
      </c>
      <c r="CR644" s="2692">
        <f t="shared" si="2385"/>
        <v>0</v>
      </c>
      <c r="CS644" s="2692">
        <f t="shared" si="2385"/>
        <v>0</v>
      </c>
      <c r="CT644" s="2706">
        <f t="shared" si="2385"/>
        <v>0</v>
      </c>
      <c r="CU644" s="2692">
        <f t="shared" si="2385"/>
        <v>0</v>
      </c>
      <c r="CV644" s="2692">
        <f t="shared" si="2385"/>
        <v>0</v>
      </c>
      <c r="CW644" s="2707">
        <f t="shared" si="2385"/>
        <v>0</v>
      </c>
      <c r="CX644" s="2692"/>
      <c r="CY644" s="2692"/>
      <c r="CZ644" s="2692"/>
      <c r="DA644" s="2692"/>
      <c r="DB644" s="2706"/>
      <c r="DC644" s="2692"/>
      <c r="DD644" s="2692"/>
      <c r="DE644" s="2692"/>
      <c r="DF644" s="2692"/>
      <c r="DG644" s="2692"/>
      <c r="DH644" s="2692"/>
      <c r="DI644" s="2692"/>
      <c r="DJ644" s="2692"/>
      <c r="DK644" s="2692"/>
      <c r="DL644" s="2692"/>
      <c r="DM644" s="2692"/>
      <c r="DN644" s="2692"/>
      <c r="DO644" s="2692"/>
      <c r="DP644" s="2692"/>
      <c r="DQ644" s="2692"/>
      <c r="DR644" s="2692"/>
      <c r="DS644" s="2692"/>
      <c r="DT644" s="2692"/>
      <c r="DU644" s="2692"/>
      <c r="DV644" s="2692"/>
      <c r="DW644" s="2692"/>
      <c r="DX644" s="2692"/>
      <c r="DY644" s="2707"/>
    </row>
    <row r="645" spans="1:129" hidden="1" outlineLevel="1">
      <c r="A645" s="2674" t="s">
        <v>896</v>
      </c>
      <c r="O645" s="2703">
        <v>2010</v>
      </c>
      <c r="P645" s="2205"/>
      <c r="Q645" s="2205"/>
      <c r="R645" s="2205"/>
      <c r="S645" s="2205"/>
      <c r="T645" s="2205"/>
      <c r="U645" s="2205"/>
      <c r="V645" s="2205"/>
      <c r="W645" s="2205"/>
      <c r="X645" s="2205"/>
      <c r="Y645" s="2205"/>
      <c r="Z645" s="2205"/>
      <c r="AA645" s="2205"/>
      <c r="AB645" s="2205"/>
      <c r="AC645" s="2205"/>
      <c r="AD645" s="2205"/>
      <c r="AE645" s="2205"/>
      <c r="AF645" s="2205"/>
      <c r="AG645" s="2205"/>
      <c r="AI645" s="1927"/>
      <c r="AK645" s="2205"/>
      <c r="AL645" s="2205"/>
      <c r="AM645" s="2205"/>
      <c r="AN645" s="2205"/>
      <c r="AO645" s="2205"/>
      <c r="AP645" s="2205"/>
      <c r="AQ645" s="2205"/>
      <c r="AR645" s="2205"/>
      <c r="AS645" s="2205"/>
      <c r="AT645" s="2205"/>
      <c r="AU645" s="2205"/>
      <c r="AV645" s="2205"/>
      <c r="AW645" s="2205"/>
      <c r="AX645" s="2205"/>
      <c r="AY645" s="2205"/>
      <c r="AZ645" s="2205"/>
      <c r="BA645" s="2205"/>
      <c r="BB645" s="2205"/>
      <c r="BC645" s="2205"/>
      <c r="BD645" s="2205"/>
      <c r="BE645" s="2205"/>
      <c r="BF645" s="2205"/>
      <c r="BG645" s="2205"/>
      <c r="BH645" s="2205"/>
      <c r="BI645" s="2205"/>
      <c r="BJ645" s="2205"/>
      <c r="BK645" s="2205"/>
      <c r="BL645" s="2205"/>
      <c r="BM645" s="2205"/>
      <c r="BN645" s="2205"/>
      <c r="BO645" s="2205"/>
      <c r="BP645" s="2205"/>
      <c r="BQ645" s="2205"/>
      <c r="BR645" s="2205"/>
      <c r="BS645" s="2205"/>
      <c r="BT645" s="2205"/>
      <c r="BU645" s="2205"/>
      <c r="BV645" s="2205"/>
      <c r="BW645" s="2205"/>
      <c r="BX645" s="2205"/>
      <c r="BY645" s="2205"/>
      <c r="BZ645" s="2205"/>
      <c r="CA645" s="2205"/>
      <c r="CB645" s="2205"/>
      <c r="CC645" s="2205"/>
      <c r="CD645" s="2205"/>
      <c r="CE645" s="2205"/>
      <c r="CF645" s="2205"/>
      <c r="CG645" s="2205"/>
      <c r="CH645" s="2205"/>
      <c r="CI645" s="2205"/>
      <c r="CJ645" s="2205"/>
      <c r="CK645" s="2205"/>
      <c r="CL645" s="1933"/>
      <c r="CO645" s="2205"/>
      <c r="CP645" s="1933"/>
      <c r="CQ645" s="2205"/>
      <c r="CR645" s="2205"/>
      <c r="CS645" s="2205"/>
      <c r="CT645" s="1933"/>
      <c r="CU645" s="2205"/>
      <c r="CV645" s="2205"/>
      <c r="CW645" s="2701"/>
      <c r="CX645" s="2205"/>
      <c r="CY645" s="2205"/>
      <c r="CZ645" s="2205"/>
      <c r="DA645" s="2205"/>
      <c r="DB645" s="1933"/>
      <c r="DC645" s="2205"/>
      <c r="DD645" s="2205"/>
      <c r="DE645" s="2205"/>
      <c r="DF645" s="2205"/>
      <c r="DG645" s="2205"/>
      <c r="DH645" s="2205"/>
      <c r="DI645" s="2205"/>
      <c r="DJ645" s="2205"/>
      <c r="DK645" s="2205"/>
      <c r="DL645" s="2205"/>
      <c r="DM645" s="2205"/>
      <c r="DN645" s="2205"/>
      <c r="DO645" s="2205"/>
      <c r="DP645" s="2205"/>
      <c r="DQ645" s="2205"/>
      <c r="DR645" s="2205"/>
      <c r="DS645" s="2205"/>
      <c r="DT645" s="2205"/>
      <c r="DU645" s="2205"/>
      <c r="DV645" s="2205"/>
      <c r="DW645" s="2205"/>
      <c r="DX645" s="2205"/>
      <c r="DY645" s="2701"/>
    </row>
    <row r="646" spans="1:129" hidden="1" outlineLevel="1">
      <c r="A646" s="2705" t="s">
        <v>874</v>
      </c>
      <c r="O646" s="2703"/>
      <c r="P646" s="2692">
        <f>+CK646</f>
        <v>9363</v>
      </c>
      <c r="Q646" s="2702">
        <f>+P648</f>
        <v>9363</v>
      </c>
      <c r="R646" s="2702">
        <f>CS646</f>
        <v>0</v>
      </c>
      <c r="S646" s="2702">
        <f>+R648</f>
        <v>0</v>
      </c>
      <c r="T646" s="2702">
        <f>+S648</f>
        <v>0</v>
      </c>
      <c r="U646" s="2702"/>
      <c r="V646" s="2702"/>
      <c r="W646" s="2702"/>
      <c r="X646" s="2702"/>
      <c r="Y646" s="2702"/>
      <c r="Z646" s="2702"/>
      <c r="AA646" s="2702"/>
      <c r="AB646" s="2702"/>
      <c r="AC646" s="2702"/>
      <c r="AD646" s="2702"/>
      <c r="AE646" s="2702"/>
      <c r="AF646" s="2702"/>
      <c r="AG646" s="2702"/>
      <c r="AI646" s="1927"/>
      <c r="CK646" s="2692">
        <v>9363</v>
      </c>
      <c r="CL646" s="2706">
        <f t="shared" ref="CL646:CW646" si="2386">CK648</f>
        <v>9363</v>
      </c>
      <c r="CM646" s="2692">
        <f t="shared" si="2386"/>
        <v>9363</v>
      </c>
      <c r="CN646" s="2692">
        <f t="shared" si="2386"/>
        <v>9363</v>
      </c>
      <c r="CO646" s="2692">
        <f t="shared" si="2386"/>
        <v>7748</v>
      </c>
      <c r="CP646" s="2706">
        <f t="shared" si="2386"/>
        <v>5003</v>
      </c>
      <c r="CQ646" s="2692">
        <f t="shared" si="2386"/>
        <v>1800</v>
      </c>
      <c r="CR646" s="2692">
        <f t="shared" si="2386"/>
        <v>0</v>
      </c>
      <c r="CS646" s="2692">
        <f t="shared" si="2386"/>
        <v>0</v>
      </c>
      <c r="CT646" s="2706">
        <f t="shared" si="2386"/>
        <v>0</v>
      </c>
      <c r="CU646" s="2692">
        <f t="shared" si="2386"/>
        <v>0</v>
      </c>
      <c r="CV646" s="2692">
        <f t="shared" si="2386"/>
        <v>0</v>
      </c>
      <c r="CW646" s="2707">
        <f t="shared" si="2386"/>
        <v>0</v>
      </c>
      <c r="CX646" s="2692"/>
      <c r="CY646" s="2692"/>
      <c r="CZ646" s="2692"/>
      <c r="DA646" s="2692"/>
      <c r="DB646" s="2706"/>
      <c r="DC646" s="2692"/>
      <c r="DD646" s="2692"/>
      <c r="DE646" s="2692"/>
      <c r="DF646" s="2692"/>
      <c r="DG646" s="2692"/>
      <c r="DH646" s="2692"/>
      <c r="DI646" s="2692"/>
      <c r="DJ646" s="2692"/>
      <c r="DK646" s="2692"/>
      <c r="DL646" s="2692"/>
      <c r="DM646" s="2692"/>
      <c r="DN646" s="2692"/>
      <c r="DO646" s="2692"/>
      <c r="DP646" s="2692"/>
      <c r="DQ646" s="2692"/>
      <c r="DR646" s="2692"/>
      <c r="DS646" s="2692"/>
      <c r="DT646" s="2692"/>
      <c r="DU646" s="2692"/>
      <c r="DV646" s="2692"/>
      <c r="DW646" s="2692"/>
      <c r="DX646" s="2692"/>
      <c r="DY646" s="2707"/>
    </row>
    <row r="647" spans="1:129" hidden="1" outlineLevel="1">
      <c r="A647" s="2705" t="s">
        <v>875</v>
      </c>
      <c r="O647" s="2703"/>
      <c r="P647" s="2692"/>
      <c r="Q647" s="2687">
        <f>SUM(CL647:CO647)</f>
        <v>-4360</v>
      </c>
      <c r="R647" s="2687">
        <f>SUM(CP647:CS647)</f>
        <v>-5003</v>
      </c>
      <c r="AI647" s="1927"/>
      <c r="CK647" s="2692"/>
      <c r="CL647" s="2706"/>
      <c r="CM647" s="2687"/>
      <c r="CN647" s="2687">
        <v>-1615</v>
      </c>
      <c r="CO647" s="2687">
        <v>-2745</v>
      </c>
      <c r="CP647" s="2688">
        <v>-3203</v>
      </c>
      <c r="CQ647" s="2687">
        <f>-CQ646</f>
        <v>-1800</v>
      </c>
      <c r="CR647" s="2687">
        <f>-CR646</f>
        <v>0</v>
      </c>
      <c r="CS647" s="2687"/>
      <c r="CT647" s="2688"/>
      <c r="CU647" s="2687"/>
      <c r="CV647" s="2687"/>
      <c r="CW647" s="2691"/>
      <c r="CX647" s="2687"/>
      <c r="CY647" s="2687"/>
      <c r="CZ647" s="2687"/>
      <c r="DA647" s="2687"/>
      <c r="DB647" s="2688"/>
      <c r="DC647" s="2687"/>
      <c r="DD647" s="2687"/>
      <c r="DE647" s="2687"/>
      <c r="DF647" s="2687"/>
      <c r="DG647" s="2687"/>
      <c r="DH647" s="2687"/>
      <c r="DI647" s="2687"/>
      <c r="DJ647" s="2687"/>
      <c r="DK647" s="2687"/>
      <c r="DL647" s="2687"/>
      <c r="DM647" s="2687"/>
      <c r="DN647" s="2687"/>
      <c r="DO647" s="2687"/>
      <c r="DP647" s="2687"/>
      <c r="DQ647" s="2687"/>
      <c r="DR647" s="2687"/>
      <c r="DS647" s="2687"/>
      <c r="DT647" s="2687"/>
      <c r="DU647" s="2687"/>
      <c r="DV647" s="2687"/>
      <c r="DW647" s="2687"/>
      <c r="DX647" s="2687"/>
      <c r="DY647" s="2691"/>
    </row>
    <row r="648" spans="1:129" hidden="1" outlineLevel="1">
      <c r="A648" s="2705" t="s">
        <v>876</v>
      </c>
      <c r="O648" s="2703"/>
      <c r="P648" s="2692">
        <f>CK648</f>
        <v>9363</v>
      </c>
      <c r="Q648" s="2692">
        <f>+CO648</f>
        <v>5003</v>
      </c>
      <c r="R648" s="2702">
        <f>CS648</f>
        <v>0</v>
      </c>
      <c r="S648" s="2702">
        <f>+S646+S647</f>
        <v>0</v>
      </c>
      <c r="T648" s="2702">
        <f>+T646+T647</f>
        <v>0</v>
      </c>
      <c r="U648" s="2702"/>
      <c r="V648" s="2702"/>
      <c r="W648" s="2702"/>
      <c r="X648" s="2702"/>
      <c r="Y648" s="2702"/>
      <c r="Z648" s="2702"/>
      <c r="AA648" s="2702"/>
      <c r="AB648" s="2702"/>
      <c r="AC648" s="2702"/>
      <c r="AD648" s="2702"/>
      <c r="AE648" s="2702"/>
      <c r="AF648" s="2702"/>
      <c r="AG648" s="2702"/>
      <c r="AI648" s="1927"/>
      <c r="CK648" s="2700">
        <v>9363</v>
      </c>
      <c r="CL648" s="2706">
        <f t="shared" ref="CL648:CW648" si="2387">CL647+CL646</f>
        <v>9363</v>
      </c>
      <c r="CM648" s="2692">
        <f t="shared" si="2387"/>
        <v>9363</v>
      </c>
      <c r="CN648" s="2692">
        <f t="shared" si="2387"/>
        <v>7748</v>
      </c>
      <c r="CO648" s="2692">
        <f t="shared" si="2387"/>
        <v>5003</v>
      </c>
      <c r="CP648" s="2706">
        <f t="shared" si="2387"/>
        <v>1800</v>
      </c>
      <c r="CQ648" s="2692">
        <f t="shared" si="2387"/>
        <v>0</v>
      </c>
      <c r="CR648" s="2692">
        <f t="shared" si="2387"/>
        <v>0</v>
      </c>
      <c r="CS648" s="2692">
        <f t="shared" si="2387"/>
        <v>0</v>
      </c>
      <c r="CT648" s="2706">
        <f t="shared" si="2387"/>
        <v>0</v>
      </c>
      <c r="CU648" s="2692">
        <f t="shared" si="2387"/>
        <v>0</v>
      </c>
      <c r="CV648" s="2692">
        <f t="shared" si="2387"/>
        <v>0</v>
      </c>
      <c r="CW648" s="2707">
        <f t="shared" si="2387"/>
        <v>0</v>
      </c>
      <c r="CX648" s="2692"/>
      <c r="CY648" s="2692"/>
      <c r="CZ648" s="2692"/>
      <c r="DA648" s="2692"/>
      <c r="DB648" s="2706"/>
      <c r="DC648" s="2692"/>
      <c r="DD648" s="2692"/>
      <c r="DE648" s="2692"/>
      <c r="DF648" s="2692"/>
      <c r="DG648" s="2692"/>
      <c r="DH648" s="2692"/>
      <c r="DI648" s="2692"/>
      <c r="DJ648" s="2692"/>
      <c r="DK648" s="2692"/>
      <c r="DL648" s="2692"/>
      <c r="DM648" s="2692"/>
      <c r="DN648" s="2692"/>
      <c r="DO648" s="2692"/>
      <c r="DP648" s="2692"/>
      <c r="DQ648" s="2692"/>
      <c r="DR648" s="2692"/>
      <c r="DS648" s="2692"/>
      <c r="DT648" s="2692"/>
      <c r="DU648" s="2692"/>
      <c r="DV648" s="2692"/>
      <c r="DW648" s="2692"/>
      <c r="DX648" s="2692"/>
      <c r="DY648" s="2707"/>
    </row>
    <row r="649" spans="1:129" hidden="1" outlineLevel="1">
      <c r="A649" s="2705"/>
      <c r="O649" s="2703"/>
      <c r="P649" s="2692"/>
      <c r="AI649" s="1927"/>
      <c r="CK649" s="2692"/>
      <c r="CL649" s="2706"/>
      <c r="CM649" s="2692"/>
      <c r="CN649" s="2692"/>
      <c r="CO649" s="2692"/>
      <c r="CP649" s="2706"/>
      <c r="CQ649" s="2692"/>
      <c r="CR649" s="2692"/>
      <c r="CS649" s="2692"/>
      <c r="CT649" s="2706"/>
      <c r="CU649" s="2692"/>
      <c r="CV649" s="2692"/>
      <c r="CW649" s="2707"/>
      <c r="CX649" s="2692"/>
      <c r="CY649" s="2692"/>
      <c r="CZ649" s="2692"/>
      <c r="DA649" s="2692"/>
      <c r="DB649" s="2706"/>
      <c r="DC649" s="2692"/>
      <c r="DD649" s="2692"/>
      <c r="DE649" s="2692"/>
      <c r="DF649" s="2692"/>
      <c r="DG649" s="2692"/>
      <c r="DH649" s="2692"/>
      <c r="DI649" s="2692"/>
      <c r="DJ649" s="2692"/>
      <c r="DK649" s="2692"/>
      <c r="DL649" s="2692"/>
      <c r="DM649" s="2692"/>
      <c r="DN649" s="2692"/>
      <c r="DO649" s="2692"/>
      <c r="DP649" s="2692"/>
      <c r="DQ649" s="2692"/>
      <c r="DR649" s="2692"/>
      <c r="DS649" s="2692"/>
      <c r="DT649" s="2692"/>
      <c r="DU649" s="2692"/>
      <c r="DV649" s="2692"/>
      <c r="DW649" s="2692"/>
      <c r="DX649" s="2692"/>
      <c r="DY649" s="2707"/>
    </row>
    <row r="650" spans="1:129" hidden="1" outlineLevel="1">
      <c r="A650" s="2705" t="s">
        <v>874</v>
      </c>
      <c r="O650" s="2703"/>
      <c r="P650" s="2692"/>
      <c r="Q650" s="2702">
        <f>+CL650</f>
        <v>11748</v>
      </c>
      <c r="R650" s="2702">
        <f>+Q652</f>
        <v>5003</v>
      </c>
      <c r="S650" s="2702">
        <f>+R652</f>
        <v>0</v>
      </c>
      <c r="T650" s="2702">
        <f>+S652</f>
        <v>0</v>
      </c>
      <c r="U650" s="2702"/>
      <c r="V650" s="2702"/>
      <c r="W650" s="2702"/>
      <c r="X650" s="2702"/>
      <c r="Y650" s="2702"/>
      <c r="Z650" s="2702"/>
      <c r="AA650" s="2702"/>
      <c r="AB650" s="2702"/>
      <c r="AC650" s="2702"/>
      <c r="AD650" s="2702"/>
      <c r="AE650" s="2702"/>
      <c r="AF650" s="2702"/>
      <c r="AG650" s="2702"/>
      <c r="AI650" s="1927"/>
      <c r="CK650" s="2692">
        <f>+CK638+CK642+CK646</f>
        <v>9817</v>
      </c>
      <c r="CL650" s="2706">
        <f t="shared" ref="CL650:CW650" si="2388">+CK652</f>
        <v>11748</v>
      </c>
      <c r="CM650" s="2692">
        <f t="shared" si="2388"/>
        <v>11294</v>
      </c>
      <c r="CN650" s="2692">
        <f t="shared" si="2388"/>
        <v>10462</v>
      </c>
      <c r="CO650" s="2692">
        <f t="shared" si="2388"/>
        <v>7748</v>
      </c>
      <c r="CP650" s="2706">
        <f t="shared" si="2388"/>
        <v>5003</v>
      </c>
      <c r="CQ650" s="2692">
        <f t="shared" si="2388"/>
        <v>1800</v>
      </c>
      <c r="CR650" s="2692">
        <f t="shared" si="2388"/>
        <v>0</v>
      </c>
      <c r="CS650" s="2692">
        <f t="shared" si="2388"/>
        <v>0</v>
      </c>
      <c r="CT650" s="2706">
        <f t="shared" si="2388"/>
        <v>0</v>
      </c>
      <c r="CU650" s="2692">
        <f t="shared" si="2388"/>
        <v>0</v>
      </c>
      <c r="CV650" s="2692">
        <f t="shared" si="2388"/>
        <v>0</v>
      </c>
      <c r="CW650" s="2707">
        <f t="shared" si="2388"/>
        <v>0</v>
      </c>
      <c r="CX650" s="2692"/>
      <c r="CY650" s="2692"/>
      <c r="CZ650" s="2692"/>
      <c r="DA650" s="2692"/>
      <c r="DB650" s="2706"/>
      <c r="DC650" s="2692"/>
      <c r="DD650" s="2692"/>
      <c r="DE650" s="2692"/>
      <c r="DF650" s="2692"/>
      <c r="DG650" s="2692"/>
      <c r="DH650" s="2692"/>
      <c r="DI650" s="2692"/>
      <c r="DJ650" s="2692"/>
      <c r="DK650" s="2692"/>
      <c r="DL650" s="2692"/>
      <c r="DM650" s="2692"/>
      <c r="DN650" s="2692"/>
      <c r="DO650" s="2692"/>
      <c r="DP650" s="2692"/>
      <c r="DQ650" s="2692"/>
      <c r="DR650" s="2692"/>
      <c r="DS650" s="2692"/>
      <c r="DT650" s="2692"/>
      <c r="DU650" s="2692"/>
      <c r="DV650" s="2692"/>
      <c r="DW650" s="2692"/>
      <c r="DX650" s="2692"/>
      <c r="DY650" s="2707"/>
    </row>
    <row r="651" spans="1:129" hidden="1" outlineLevel="1">
      <c r="A651" s="2705" t="s">
        <v>875</v>
      </c>
      <c r="O651" s="2703"/>
      <c r="P651" s="2692"/>
      <c r="Q651" s="2687">
        <f>SUM(CL651:CO651)</f>
        <v>-6745</v>
      </c>
      <c r="R651" s="2687">
        <f>SUM(CP651:CS651)</f>
        <v>-5003</v>
      </c>
      <c r="S651" s="2687">
        <f>+S639+S643+S647</f>
        <v>0</v>
      </c>
      <c r="T651" s="2687">
        <f>+T639+T643+T647</f>
        <v>0</v>
      </c>
      <c r="U651" s="2687"/>
      <c r="V651" s="2687"/>
      <c r="W651" s="2687"/>
      <c r="X651" s="2687"/>
      <c r="Y651" s="2687"/>
      <c r="Z651" s="2687"/>
      <c r="AA651" s="2687"/>
      <c r="AB651" s="2687"/>
      <c r="AC651" s="2687"/>
      <c r="AD651" s="2687"/>
      <c r="AE651" s="2687"/>
      <c r="AF651" s="2687"/>
      <c r="AG651" s="2687"/>
      <c r="AI651" s="1927"/>
      <c r="CK651" s="2687">
        <f>+CK639+CK643+CK647</f>
        <v>0</v>
      </c>
      <c r="CL651" s="2688">
        <f t="shared" ref="CL651:CW651" si="2389">+CL639+CL643+CL647</f>
        <v>-454</v>
      </c>
      <c r="CM651" s="2687">
        <f t="shared" si="2389"/>
        <v>-832</v>
      </c>
      <c r="CN651" s="2687">
        <f t="shared" si="2389"/>
        <v>-2714</v>
      </c>
      <c r="CO651" s="2687">
        <f t="shared" si="2389"/>
        <v>-2745</v>
      </c>
      <c r="CP651" s="2688">
        <f t="shared" si="2389"/>
        <v>-3203</v>
      </c>
      <c r="CQ651" s="2687">
        <f t="shared" si="2389"/>
        <v>-1800</v>
      </c>
      <c r="CR651" s="2687">
        <f t="shared" si="2389"/>
        <v>0</v>
      </c>
      <c r="CS651" s="2687">
        <f t="shared" si="2389"/>
        <v>0</v>
      </c>
      <c r="CT651" s="2688">
        <f t="shared" si="2389"/>
        <v>0</v>
      </c>
      <c r="CU651" s="2687">
        <f t="shared" si="2389"/>
        <v>0</v>
      </c>
      <c r="CV651" s="2687">
        <f t="shared" si="2389"/>
        <v>0</v>
      </c>
      <c r="CW651" s="2691">
        <f t="shared" si="2389"/>
        <v>0</v>
      </c>
      <c r="CX651" s="2687"/>
      <c r="CY651" s="2687"/>
      <c r="CZ651" s="2687"/>
      <c r="DA651" s="2687"/>
      <c r="DB651" s="2688"/>
      <c r="DC651" s="2687"/>
      <c r="DD651" s="2687"/>
      <c r="DE651" s="2687"/>
      <c r="DF651" s="2687"/>
      <c r="DG651" s="2687"/>
      <c r="DH651" s="2687"/>
      <c r="DI651" s="2687"/>
      <c r="DJ651" s="2687"/>
      <c r="DK651" s="2687"/>
      <c r="DL651" s="2687"/>
      <c r="DM651" s="2687"/>
      <c r="DN651" s="2687"/>
      <c r="DO651" s="2687"/>
      <c r="DP651" s="2687"/>
      <c r="DQ651" s="2687"/>
      <c r="DR651" s="2687"/>
      <c r="DS651" s="2687"/>
      <c r="DT651" s="2687"/>
      <c r="DU651" s="2687"/>
      <c r="DV651" s="2687"/>
      <c r="DW651" s="2687"/>
      <c r="DX651" s="2687"/>
      <c r="DY651" s="2691"/>
    </row>
    <row r="652" spans="1:129" hidden="1" outlineLevel="1">
      <c r="A652" s="2705" t="s">
        <v>876</v>
      </c>
      <c r="O652" s="2703"/>
      <c r="P652" s="2692">
        <f>+CK652</f>
        <v>11748</v>
      </c>
      <c r="Q652" s="2702">
        <f>+CO652</f>
        <v>5003</v>
      </c>
      <c r="R652" s="2702">
        <f>CS652</f>
        <v>0</v>
      </c>
      <c r="S652" s="2692">
        <f>+S640+S644+S648</f>
        <v>0</v>
      </c>
      <c r="T652" s="2692">
        <f>+T640+T644+T648</f>
        <v>0</v>
      </c>
      <c r="U652" s="2692"/>
      <c r="V652" s="2692"/>
      <c r="W652" s="2692"/>
      <c r="X652" s="2692"/>
      <c r="Y652" s="2692"/>
      <c r="Z652" s="2692"/>
      <c r="AA652" s="2692"/>
      <c r="AB652" s="2692"/>
      <c r="AC652" s="2692"/>
      <c r="AD652" s="2692"/>
      <c r="AE652" s="2692"/>
      <c r="AF652" s="2692"/>
      <c r="AG652" s="2692"/>
      <c r="AI652" s="1927"/>
      <c r="CK652" s="2692">
        <f>+CK640+CK644+CK648</f>
        <v>11748</v>
      </c>
      <c r="CL652" s="2706">
        <f t="shared" ref="CL652:CW652" si="2390">+CL640+CL644+CL648</f>
        <v>11294</v>
      </c>
      <c r="CM652" s="2692">
        <f t="shared" si="2390"/>
        <v>10462</v>
      </c>
      <c r="CN652" s="2692">
        <f t="shared" si="2390"/>
        <v>7748</v>
      </c>
      <c r="CO652" s="2692">
        <f t="shared" si="2390"/>
        <v>5003</v>
      </c>
      <c r="CP652" s="2706">
        <f t="shared" si="2390"/>
        <v>1800</v>
      </c>
      <c r="CQ652" s="2692">
        <f t="shared" si="2390"/>
        <v>0</v>
      </c>
      <c r="CR652" s="2692">
        <f t="shared" si="2390"/>
        <v>0</v>
      </c>
      <c r="CS652" s="2692">
        <f t="shared" si="2390"/>
        <v>0</v>
      </c>
      <c r="CT652" s="2706">
        <f t="shared" si="2390"/>
        <v>0</v>
      </c>
      <c r="CU652" s="2692">
        <f t="shared" si="2390"/>
        <v>0</v>
      </c>
      <c r="CV652" s="2692">
        <f t="shared" si="2390"/>
        <v>0</v>
      </c>
      <c r="CW652" s="2707">
        <f t="shared" si="2390"/>
        <v>0</v>
      </c>
      <c r="CX652" s="2692"/>
      <c r="CY652" s="2692"/>
      <c r="CZ652" s="2692"/>
      <c r="DA652" s="2692"/>
      <c r="DB652" s="2706"/>
      <c r="DC652" s="2692"/>
      <c r="DD652" s="2692"/>
      <c r="DE652" s="2692"/>
      <c r="DF652" s="2692"/>
      <c r="DG652" s="2692"/>
      <c r="DH652" s="2692"/>
      <c r="DI652" s="2692"/>
      <c r="DJ652" s="2692"/>
      <c r="DK652" s="2692"/>
      <c r="DL652" s="2692"/>
      <c r="DM652" s="2692"/>
      <c r="DN652" s="2692"/>
      <c r="DO652" s="2692"/>
      <c r="DP652" s="2692"/>
      <c r="DQ652" s="2692"/>
      <c r="DR652" s="2692"/>
      <c r="DS652" s="2692"/>
      <c r="DT652" s="2692"/>
      <c r="DU652" s="2692"/>
      <c r="DV652" s="2692"/>
      <c r="DW652" s="2692"/>
      <c r="DX652" s="2692"/>
      <c r="DY652" s="2707"/>
    </row>
    <row r="653" spans="1:129" hidden="1" outlineLevel="1">
      <c r="A653" s="2205" t="s">
        <v>897</v>
      </c>
      <c r="B653" s="2205"/>
      <c r="C653" s="2205"/>
      <c r="D653" s="2205"/>
      <c r="E653" s="2205"/>
      <c r="F653" s="2205"/>
      <c r="G653" s="2205"/>
      <c r="H653" s="2205"/>
      <c r="I653" s="2205"/>
      <c r="J653" s="2205"/>
      <c r="K653" s="2205"/>
      <c r="L653" s="2205"/>
      <c r="M653" s="2205"/>
      <c r="N653" s="2205"/>
      <c r="O653" s="2205"/>
      <c r="P653" s="2696">
        <f>+P652</f>
        <v>11748</v>
      </c>
      <c r="Q653" s="2709">
        <f>+Q652</f>
        <v>5003</v>
      </c>
      <c r="R653" s="2709">
        <f>+R652</f>
        <v>0</v>
      </c>
      <c r="S653" s="2709">
        <f>+S652</f>
        <v>0</v>
      </c>
      <c r="T653" s="2709">
        <f>+T652</f>
        <v>0</v>
      </c>
      <c r="U653" s="2709"/>
      <c r="V653" s="2709"/>
      <c r="W653" s="2709"/>
      <c r="X653" s="2709"/>
      <c r="Y653" s="2709"/>
      <c r="Z653" s="2709"/>
      <c r="AA653" s="2709"/>
      <c r="AB653" s="2709"/>
      <c r="AC653" s="2709"/>
      <c r="AD653" s="2709"/>
      <c r="AE653" s="2709"/>
      <c r="AF653" s="2709"/>
      <c r="AG653" s="2709"/>
      <c r="AI653" s="1927"/>
      <c r="AK653" s="2205"/>
      <c r="AL653" s="2205"/>
      <c r="AM653" s="2205"/>
      <c r="AN653" s="2205"/>
      <c r="AO653" s="2205"/>
      <c r="AP653" s="2205"/>
      <c r="AQ653" s="2205"/>
      <c r="AR653" s="2205"/>
      <c r="AS653" s="2205"/>
      <c r="AT653" s="2205"/>
      <c r="AU653" s="2205"/>
      <c r="AV653" s="2205"/>
      <c r="AW653" s="2205"/>
      <c r="AX653" s="2205"/>
      <c r="AY653" s="2205"/>
      <c r="AZ653" s="2205"/>
      <c r="BA653" s="2205"/>
      <c r="BB653" s="2205"/>
      <c r="BC653" s="2205"/>
      <c r="BD653" s="2205"/>
      <c r="BE653" s="2205"/>
      <c r="BF653" s="2205"/>
      <c r="BG653" s="2205"/>
      <c r="BH653" s="2205"/>
      <c r="BI653" s="2205"/>
      <c r="BJ653" s="2205"/>
      <c r="BK653" s="2205"/>
      <c r="BL653" s="2205"/>
      <c r="BM653" s="2205"/>
      <c r="BN653" s="2205"/>
      <c r="BO653" s="2205"/>
      <c r="BP653" s="2205"/>
      <c r="BQ653" s="2205"/>
      <c r="BR653" s="2205"/>
      <c r="BS653" s="2205"/>
      <c r="BT653" s="2205"/>
      <c r="BU653" s="2205"/>
      <c r="BV653" s="2205"/>
      <c r="BW653" s="2205"/>
      <c r="BX653" s="2205"/>
      <c r="BY653" s="2205"/>
      <c r="BZ653" s="2205"/>
      <c r="CA653" s="2205"/>
      <c r="CB653" s="2205"/>
      <c r="CC653" s="2205"/>
      <c r="CD653" s="2205"/>
      <c r="CE653" s="2205"/>
      <c r="CF653" s="2205"/>
      <c r="CG653" s="2205"/>
      <c r="CH653" s="2205"/>
      <c r="CI653" s="2205"/>
      <c r="CJ653" s="2205"/>
      <c r="CK653" s="2709">
        <f t="shared" ref="CK653:CW653" si="2391">+CK652</f>
        <v>11748</v>
      </c>
      <c r="CL653" s="2710">
        <f t="shared" si="2391"/>
        <v>11294</v>
      </c>
      <c r="CM653" s="2709">
        <f t="shared" si="2391"/>
        <v>10462</v>
      </c>
      <c r="CN653" s="2709">
        <f t="shared" si="2391"/>
        <v>7748</v>
      </c>
      <c r="CO653" s="2709">
        <f t="shared" si="2391"/>
        <v>5003</v>
      </c>
      <c r="CP653" s="2710">
        <f t="shared" si="2391"/>
        <v>1800</v>
      </c>
      <c r="CQ653" s="2709">
        <f t="shared" si="2391"/>
        <v>0</v>
      </c>
      <c r="CR653" s="2709">
        <f t="shared" si="2391"/>
        <v>0</v>
      </c>
      <c r="CS653" s="2709">
        <f t="shared" si="2391"/>
        <v>0</v>
      </c>
      <c r="CT653" s="2710">
        <f t="shared" si="2391"/>
        <v>0</v>
      </c>
      <c r="CU653" s="2709">
        <f t="shared" si="2391"/>
        <v>0</v>
      </c>
      <c r="CV653" s="2709">
        <f t="shared" si="2391"/>
        <v>0</v>
      </c>
      <c r="CW653" s="2711">
        <f t="shared" si="2391"/>
        <v>0</v>
      </c>
      <c r="CX653" s="2709"/>
      <c r="CY653" s="2709"/>
      <c r="CZ653" s="2709"/>
      <c r="DA653" s="2709"/>
      <c r="DB653" s="2710"/>
      <c r="DC653" s="2709"/>
      <c r="DD653" s="2709"/>
      <c r="DE653" s="2709"/>
      <c r="DF653" s="2709"/>
      <c r="DG653" s="2709"/>
      <c r="DH653" s="2709"/>
      <c r="DI653" s="2709"/>
      <c r="DJ653" s="2709"/>
      <c r="DK653" s="2709"/>
      <c r="DL653" s="2709"/>
      <c r="DM653" s="2709"/>
      <c r="DN653" s="2709"/>
      <c r="DO653" s="2709"/>
      <c r="DP653" s="2709"/>
      <c r="DQ653" s="2709"/>
      <c r="DR653" s="2709"/>
      <c r="DS653" s="2709"/>
      <c r="DT653" s="2709"/>
      <c r="DU653" s="2709"/>
      <c r="DV653" s="2709"/>
      <c r="DW653" s="2709"/>
      <c r="DX653" s="2709"/>
      <c r="DY653" s="2711"/>
    </row>
    <row r="654" spans="1:129" hidden="1" outlineLevel="1">
      <c r="A654" s="1903" t="s">
        <v>898</v>
      </c>
      <c r="P654" s="2692">
        <f>+CK654</f>
        <v>2385</v>
      </c>
      <c r="Q654" s="2692"/>
      <c r="R654" s="2692"/>
      <c r="S654" s="2692"/>
      <c r="T654" s="2692"/>
      <c r="U654" s="2692"/>
      <c r="V654" s="2692"/>
      <c r="W654" s="2692"/>
      <c r="X654" s="2692"/>
      <c r="Y654" s="2692"/>
      <c r="Z654" s="2692"/>
      <c r="AA654" s="2692"/>
      <c r="AB654" s="2692"/>
      <c r="AC654" s="2692"/>
      <c r="AD654" s="2692"/>
      <c r="AE654" s="2692"/>
      <c r="AF654" s="2692"/>
      <c r="AG654" s="2692"/>
      <c r="AI654" s="1927"/>
      <c r="AK654" s="2692"/>
      <c r="AL654" s="2692"/>
      <c r="AM654" s="2692"/>
      <c r="AN654" s="2692"/>
      <c r="AO654" s="2692"/>
      <c r="AP654" s="2692"/>
      <c r="AQ654" s="2692"/>
      <c r="AR654" s="2692"/>
      <c r="AS654" s="2692"/>
      <c r="AT654" s="2692"/>
      <c r="AU654" s="2692"/>
      <c r="AV654" s="2692"/>
      <c r="AW654" s="2692"/>
      <c r="AX654" s="2692"/>
      <c r="AY654" s="2692"/>
      <c r="AZ654" s="2692"/>
      <c r="BA654" s="2692"/>
      <c r="BB654" s="2692"/>
      <c r="BC654" s="2692"/>
      <c r="BD654" s="2692"/>
      <c r="BE654" s="2692"/>
      <c r="BF654" s="2692"/>
      <c r="BG654" s="2692"/>
      <c r="BH654" s="2692"/>
      <c r="BI654" s="2692"/>
      <c r="BJ654" s="2692"/>
      <c r="BK654" s="2692"/>
      <c r="BL654" s="2692"/>
      <c r="BM654" s="2692"/>
      <c r="BN654" s="2692"/>
      <c r="BO654" s="2692"/>
      <c r="BP654" s="2692"/>
      <c r="BQ654" s="2692"/>
      <c r="BR654" s="2692"/>
      <c r="BS654" s="2692"/>
      <c r="BT654" s="2692"/>
      <c r="BU654" s="2692"/>
      <c r="BV654" s="2692"/>
      <c r="BW654" s="2692"/>
      <c r="BX654" s="2692"/>
      <c r="BY654" s="2692"/>
      <c r="BZ654" s="2692"/>
      <c r="CA654" s="2692"/>
      <c r="CB654" s="2692"/>
      <c r="CC654" s="2692"/>
      <c r="CD654" s="2692"/>
      <c r="CE654" s="2692"/>
      <c r="CF654" s="2692"/>
      <c r="CG654" s="2692"/>
      <c r="CH654" s="2692"/>
      <c r="CI654" s="2692"/>
      <c r="CJ654" s="2692"/>
      <c r="CK654" s="2700">
        <v>2385</v>
      </c>
      <c r="CL654" s="2712">
        <v>11294</v>
      </c>
      <c r="CM654" s="2692"/>
      <c r="CN654" s="2700">
        <v>7748</v>
      </c>
      <c r="CO654" s="2700">
        <v>5003</v>
      </c>
      <c r="CP654" s="1933"/>
      <c r="CQ654" s="2205"/>
      <c r="CR654" s="2205"/>
      <c r="CS654" s="2205"/>
      <c r="CT654" s="1933"/>
      <c r="CU654" s="2205"/>
      <c r="CV654" s="2205"/>
      <c r="CW654" s="2701"/>
      <c r="CX654" s="2205"/>
      <c r="CY654" s="2205"/>
      <c r="CZ654" s="2205"/>
      <c r="DA654" s="2205"/>
      <c r="DB654" s="1933"/>
      <c r="DC654" s="2205"/>
      <c r="DD654" s="2205"/>
      <c r="DE654" s="2205"/>
      <c r="DF654" s="2205"/>
      <c r="DG654" s="2205"/>
      <c r="DH654" s="2205"/>
      <c r="DI654" s="2205"/>
      <c r="DJ654" s="2205"/>
      <c r="DK654" s="2205"/>
      <c r="DL654" s="2205"/>
      <c r="DM654" s="2205"/>
      <c r="DN654" s="2205"/>
      <c r="DO654" s="2205"/>
      <c r="DP654" s="2205"/>
      <c r="DQ654" s="2205"/>
      <c r="DR654" s="2205"/>
      <c r="DS654" s="2205"/>
      <c r="DT654" s="2205"/>
      <c r="DU654" s="2205"/>
      <c r="DV654" s="2205"/>
      <c r="DW654" s="2205"/>
      <c r="DX654" s="2205"/>
      <c r="DY654" s="2701"/>
    </row>
    <row r="655" spans="1:129" hidden="1" outlineLevel="1" collapsed="1">
      <c r="AI655" s="1927"/>
      <c r="CL655" s="1942"/>
      <c r="CP655" s="1942"/>
      <c r="CT655" s="1942"/>
      <c r="CW655" s="2236"/>
      <c r="DB655" s="1942"/>
      <c r="DY655" s="2236"/>
    </row>
    <row r="656" spans="1:129" hidden="1" outlineLevel="1">
      <c r="A656" s="2205" t="s">
        <v>899</v>
      </c>
      <c r="B656" s="2205"/>
      <c r="C656" s="2205"/>
      <c r="D656" s="2205"/>
      <c r="E656" s="2205"/>
      <c r="F656" s="2205"/>
      <c r="G656" s="2205"/>
      <c r="H656" s="2205"/>
      <c r="I656" s="2205"/>
      <c r="J656" s="2205"/>
      <c r="K656" s="2205"/>
      <c r="L656" s="2205"/>
      <c r="M656" s="2205"/>
      <c r="N656" s="2205"/>
      <c r="O656" s="2205"/>
      <c r="P656" s="2709">
        <f>+P653+P633</f>
        <v>22130</v>
      </c>
      <c r="Q656" s="2709">
        <f>+Q653+Q633</f>
        <v>26662</v>
      </c>
      <c r="R656" s="2709">
        <f>+R653+R633</f>
        <v>16503</v>
      </c>
      <c r="S656" s="2709">
        <f>+S653+S633</f>
        <v>11572</v>
      </c>
      <c r="T656" s="2709">
        <f>+DA656</f>
        <v>10135</v>
      </c>
      <c r="U656" s="2709">
        <f t="shared" ref="U656:AB656" si="2392">T656</f>
        <v>10135</v>
      </c>
      <c r="V656" s="2709">
        <f t="shared" si="2392"/>
        <v>10135</v>
      </c>
      <c r="W656" s="2709">
        <f t="shared" si="2392"/>
        <v>10135</v>
      </c>
      <c r="X656" s="2709">
        <f t="shared" si="2392"/>
        <v>10135</v>
      </c>
      <c r="Y656" s="2709">
        <f t="shared" si="2392"/>
        <v>10135</v>
      </c>
      <c r="Z656" s="2709">
        <f t="shared" si="2392"/>
        <v>10135</v>
      </c>
      <c r="AA656" s="2709">
        <f t="shared" si="2392"/>
        <v>10135</v>
      </c>
      <c r="AB656" s="2709">
        <f t="shared" si="2392"/>
        <v>10135</v>
      </c>
      <c r="AC656" s="2709">
        <f t="shared" ref="AC656" si="2393">AB656</f>
        <v>10135</v>
      </c>
      <c r="AD656" s="2709">
        <f t="shared" ref="AD656" si="2394">AC656</f>
        <v>10135</v>
      </c>
      <c r="AE656" s="2709">
        <f t="shared" ref="AE656" si="2395">AD656</f>
        <v>10135</v>
      </c>
      <c r="AF656" s="2709">
        <f t="shared" ref="AF656" si="2396">AE656</f>
        <v>10135</v>
      </c>
      <c r="AG656" s="2709">
        <f t="shared" ref="AG656" si="2397">AF656</f>
        <v>10135</v>
      </c>
      <c r="AI656" s="1927"/>
      <c r="AK656" s="2205"/>
      <c r="AL656" s="2205"/>
      <c r="AM656" s="2205"/>
      <c r="AN656" s="2205"/>
      <c r="AO656" s="2205"/>
      <c r="AP656" s="2205"/>
      <c r="AQ656" s="2205"/>
      <c r="AR656" s="2205"/>
      <c r="AS656" s="2205"/>
      <c r="AT656" s="2205"/>
      <c r="AU656" s="2205"/>
      <c r="AV656" s="2205"/>
      <c r="AW656" s="2205"/>
      <c r="AX656" s="2205"/>
      <c r="AY656" s="2205"/>
      <c r="AZ656" s="2205"/>
      <c r="BA656" s="2205"/>
      <c r="BB656" s="2205"/>
      <c r="BC656" s="2205"/>
      <c r="BD656" s="2205"/>
      <c r="BE656" s="2205"/>
      <c r="BF656" s="2205"/>
      <c r="BG656" s="2205"/>
      <c r="BH656" s="2205"/>
      <c r="BI656" s="2205"/>
      <c r="BJ656" s="2205"/>
      <c r="BK656" s="2205"/>
      <c r="BL656" s="2205"/>
      <c r="BM656" s="2205"/>
      <c r="BN656" s="2205"/>
      <c r="BO656" s="2205"/>
      <c r="BP656" s="2205"/>
      <c r="BQ656" s="2205"/>
      <c r="BR656" s="2205"/>
      <c r="BS656" s="2205"/>
      <c r="BT656" s="2205"/>
      <c r="BU656" s="2205"/>
      <c r="BV656" s="2205"/>
      <c r="BW656" s="2205"/>
      <c r="BX656" s="2205"/>
      <c r="BY656" s="2205"/>
      <c r="BZ656" s="2205"/>
      <c r="CA656" s="2205"/>
      <c r="CB656" s="2205"/>
      <c r="CC656" s="2205"/>
      <c r="CD656" s="2205"/>
      <c r="CE656" s="2205"/>
      <c r="CF656" s="2205"/>
      <c r="CG656" s="2205"/>
      <c r="CH656" s="2205"/>
      <c r="CI656" s="2205"/>
      <c r="CJ656" s="2205"/>
      <c r="CK656" s="2709">
        <f t="shared" ref="CK656:CW656" si="2398">+CK653+CK633</f>
        <v>22130</v>
      </c>
      <c r="CL656" s="2710">
        <f t="shared" si="2398"/>
        <v>35368</v>
      </c>
      <c r="CM656" s="2709">
        <f t="shared" si="2398"/>
        <v>32549</v>
      </c>
      <c r="CN656" s="2709">
        <f t="shared" si="2398"/>
        <v>29433</v>
      </c>
      <c r="CO656" s="2709">
        <f t="shared" si="2398"/>
        <v>26662</v>
      </c>
      <c r="CP656" s="2710">
        <f t="shared" si="2398"/>
        <v>23307</v>
      </c>
      <c r="CQ656" s="2709">
        <f t="shared" si="2398"/>
        <v>17556</v>
      </c>
      <c r="CR656" s="2709">
        <f t="shared" si="2398"/>
        <v>16537</v>
      </c>
      <c r="CS656" s="2709">
        <f t="shared" si="2398"/>
        <v>16503</v>
      </c>
      <c r="CT656" s="2710">
        <f t="shared" si="2398"/>
        <v>16503</v>
      </c>
      <c r="CU656" s="2709">
        <f t="shared" si="2398"/>
        <v>12503</v>
      </c>
      <c r="CV656" s="2709">
        <f t="shared" si="2398"/>
        <v>12503</v>
      </c>
      <c r="CW656" s="2711">
        <f t="shared" si="2398"/>
        <v>11572</v>
      </c>
      <c r="CX656" s="2709"/>
      <c r="CY656" s="2709"/>
      <c r="CZ656" s="2709"/>
      <c r="DA656" s="2713">
        <v>10135</v>
      </c>
      <c r="DB656" s="2714">
        <v>10135</v>
      </c>
      <c r="DC656" s="2713">
        <v>10135</v>
      </c>
      <c r="DD656" s="2713">
        <v>10200</v>
      </c>
      <c r="DE656" s="2713">
        <v>5300</v>
      </c>
      <c r="DF656" s="2713">
        <v>5300</v>
      </c>
      <c r="DG656" s="2713">
        <v>5300</v>
      </c>
      <c r="DH656" s="2713">
        <v>5300</v>
      </c>
      <c r="DI656" s="2713">
        <v>5300</v>
      </c>
      <c r="DJ656" s="2713">
        <v>5300</v>
      </c>
      <c r="DK656" s="2713">
        <v>5300</v>
      </c>
      <c r="DL656" s="2713">
        <v>5300</v>
      </c>
      <c r="DM656" s="2713">
        <v>5300</v>
      </c>
      <c r="DN656" s="2713">
        <v>5300</v>
      </c>
      <c r="DO656" s="2713">
        <v>5300</v>
      </c>
      <c r="DP656" s="2713">
        <v>5300</v>
      </c>
      <c r="DQ656" s="2713">
        <v>5300</v>
      </c>
      <c r="DR656" s="2713">
        <v>5300</v>
      </c>
      <c r="DS656" s="2713">
        <v>5300</v>
      </c>
      <c r="DT656" s="2713">
        <v>5300</v>
      </c>
      <c r="DU656" s="2713">
        <v>5300</v>
      </c>
      <c r="DV656" s="2713">
        <v>5300</v>
      </c>
      <c r="DW656" s="2709">
        <f t="shared" ref="DW656:DW657" si="2399">DV656</f>
        <v>5300</v>
      </c>
      <c r="DX656" s="2709">
        <f t="shared" ref="DX656:DX657" si="2400">DW656</f>
        <v>5300</v>
      </c>
      <c r="DY656" s="2711">
        <f t="shared" ref="DY656:DY657" si="2401">DX656</f>
        <v>5300</v>
      </c>
    </row>
    <row r="657" spans="1:129" hidden="1" outlineLevel="1">
      <c r="A657" s="2205" t="s">
        <v>1289</v>
      </c>
      <c r="B657" s="2205"/>
      <c r="C657" s="2205"/>
      <c r="D657" s="2205"/>
      <c r="E657" s="2205"/>
      <c r="F657" s="2205"/>
      <c r="G657" s="2205"/>
      <c r="H657" s="2205"/>
      <c r="I657" s="2205"/>
      <c r="J657" s="2205"/>
      <c r="K657" s="2205"/>
      <c r="L657" s="2205"/>
      <c r="M657" s="2205"/>
      <c r="N657" s="2205"/>
      <c r="O657" s="2205"/>
      <c r="P657" s="2710">
        <f>+P656-P499</f>
        <v>12903</v>
      </c>
      <c r="Q657" s="2709">
        <f>+Q656-Q499</f>
        <v>26055</v>
      </c>
      <c r="R657" s="2709">
        <f>+R656-R499</f>
        <v>11172</v>
      </c>
      <c r="S657" s="2709">
        <f>+S656-S499</f>
        <v>-1184</v>
      </c>
      <c r="T657" s="2709">
        <f>+T656-T499</f>
        <v>8781</v>
      </c>
      <c r="U657" s="2709">
        <f t="shared" ref="U657:AB657" si="2402">+T657</f>
        <v>8781</v>
      </c>
      <c r="V657" s="2709">
        <f t="shared" si="2402"/>
        <v>8781</v>
      </c>
      <c r="W657" s="2709">
        <f t="shared" si="2402"/>
        <v>8781</v>
      </c>
      <c r="X657" s="2709">
        <f t="shared" si="2402"/>
        <v>8781</v>
      </c>
      <c r="Y657" s="2709">
        <f t="shared" si="2402"/>
        <v>8781</v>
      </c>
      <c r="Z657" s="2709">
        <f t="shared" si="2402"/>
        <v>8781</v>
      </c>
      <c r="AA657" s="2709">
        <f t="shared" si="2402"/>
        <v>8781</v>
      </c>
      <c r="AB657" s="2709">
        <f t="shared" si="2402"/>
        <v>8781</v>
      </c>
      <c r="AC657" s="2709">
        <f t="shared" ref="AC657" si="2403">+AB657</f>
        <v>8781</v>
      </c>
      <c r="AD657" s="2709">
        <f t="shared" ref="AD657" si="2404">+AC657</f>
        <v>8781</v>
      </c>
      <c r="AE657" s="2709">
        <f t="shared" ref="AE657" si="2405">+AD657</f>
        <v>8781</v>
      </c>
      <c r="AF657" s="2709">
        <f t="shared" ref="AF657" si="2406">+AE657</f>
        <v>8781</v>
      </c>
      <c r="AG657" s="2709">
        <f t="shared" ref="AG657" si="2407">+AF657</f>
        <v>8781</v>
      </c>
      <c r="AI657" s="1927"/>
      <c r="AK657" s="2205"/>
      <c r="AL657" s="2205"/>
      <c r="AM657" s="2205"/>
      <c r="AN657" s="2205"/>
      <c r="AO657" s="2205"/>
      <c r="AP657" s="2205"/>
      <c r="AQ657" s="2205"/>
      <c r="AR657" s="2205"/>
      <c r="AS657" s="2205"/>
      <c r="AT657" s="2205"/>
      <c r="AU657" s="2205"/>
      <c r="AV657" s="2205"/>
      <c r="AW657" s="2205"/>
      <c r="AX657" s="2205"/>
      <c r="AY657" s="2205"/>
      <c r="AZ657" s="2205"/>
      <c r="BA657" s="2205"/>
      <c r="BB657" s="2205"/>
      <c r="BC657" s="2205"/>
      <c r="BD657" s="2205"/>
      <c r="BE657" s="2205"/>
      <c r="BF657" s="2205"/>
      <c r="BG657" s="2205"/>
      <c r="BH657" s="2205"/>
      <c r="BI657" s="2205"/>
      <c r="BJ657" s="2205"/>
      <c r="BK657" s="2205"/>
      <c r="BL657" s="2205"/>
      <c r="BM657" s="2205"/>
      <c r="BN657" s="2205"/>
      <c r="BO657" s="2205"/>
      <c r="BP657" s="2205"/>
      <c r="BQ657" s="2205"/>
      <c r="BR657" s="2205"/>
      <c r="BS657" s="2205"/>
      <c r="BT657" s="2205"/>
      <c r="BU657" s="2205"/>
      <c r="BV657" s="2205"/>
      <c r="BW657" s="2205"/>
      <c r="BX657" s="2205"/>
      <c r="BY657" s="2205"/>
      <c r="BZ657" s="2205"/>
      <c r="CA657" s="2205"/>
      <c r="CB657" s="2205"/>
      <c r="CC657" s="2205"/>
      <c r="CD657" s="2205"/>
      <c r="CE657" s="2205"/>
      <c r="CF657" s="2205"/>
      <c r="CG657" s="2205"/>
      <c r="CH657" s="2205"/>
      <c r="CI657" s="2205"/>
      <c r="CJ657" s="2205"/>
      <c r="CK657" s="2709"/>
      <c r="CL657" s="2710">
        <f t="shared" ref="CL657:CW657" si="2408">+CL656-CL499</f>
        <v>33569</v>
      </c>
      <c r="CM657" s="2709">
        <f t="shared" si="2408"/>
        <v>32000</v>
      </c>
      <c r="CN657" s="2709">
        <f t="shared" si="2408"/>
        <v>28621</v>
      </c>
      <c r="CO657" s="2709">
        <f t="shared" si="2408"/>
        <v>26055</v>
      </c>
      <c r="CP657" s="2710">
        <f t="shared" si="2408"/>
        <v>22365</v>
      </c>
      <c r="CQ657" s="2709">
        <f t="shared" si="2408"/>
        <v>16540</v>
      </c>
      <c r="CR657" s="2709">
        <f t="shared" si="2408"/>
        <v>14273</v>
      </c>
      <c r="CS657" s="2709">
        <f t="shared" si="2408"/>
        <v>11172</v>
      </c>
      <c r="CT657" s="2710">
        <f t="shared" ca="1" si="2408"/>
        <v>7594.2174221292425</v>
      </c>
      <c r="CU657" s="2709">
        <f t="shared" ca="1" si="2408"/>
        <v>7581.3934751278475</v>
      </c>
      <c r="CV657" s="2709">
        <f t="shared" ca="1" si="2408"/>
        <v>3864.4884751278478</v>
      </c>
      <c r="CW657" s="2711">
        <f t="shared" si="2408"/>
        <v>-1184</v>
      </c>
      <c r="CX657" s="2709"/>
      <c r="CY657" s="2709"/>
      <c r="CZ657" s="2709"/>
      <c r="DA657" s="2709">
        <f>+DA656-T499</f>
        <v>8781</v>
      </c>
      <c r="DB657" s="2710">
        <f>+DB656-3900</f>
        <v>6235</v>
      </c>
      <c r="DC657" s="2709">
        <f>+DC656-400</f>
        <v>9735</v>
      </c>
      <c r="DD657" s="2709">
        <f>+DD656-6600</f>
        <v>3600</v>
      </c>
      <c r="DE657" s="2709">
        <f t="shared" ref="DE657:DJ657" si="2409">+DE656-3600</f>
        <v>1700</v>
      </c>
      <c r="DF657" s="2709">
        <f t="shared" si="2409"/>
        <v>1700</v>
      </c>
      <c r="DG657" s="2709">
        <f t="shared" si="2409"/>
        <v>1700</v>
      </c>
      <c r="DH657" s="2709">
        <f t="shared" si="2409"/>
        <v>1700</v>
      </c>
      <c r="DI657" s="2709">
        <f t="shared" si="2409"/>
        <v>1700</v>
      </c>
      <c r="DJ657" s="2709">
        <f t="shared" si="2409"/>
        <v>1700</v>
      </c>
      <c r="DK657" s="2709">
        <f t="shared" ref="DK657:DP657" si="2410">+DK656-3600</f>
        <v>1700</v>
      </c>
      <c r="DL657" s="2709">
        <f t="shared" si="2410"/>
        <v>1700</v>
      </c>
      <c r="DM657" s="2709">
        <f t="shared" si="2410"/>
        <v>1700</v>
      </c>
      <c r="DN657" s="2709">
        <f t="shared" si="2410"/>
        <v>1700</v>
      </c>
      <c r="DO657" s="2709">
        <f t="shared" si="2410"/>
        <v>1700</v>
      </c>
      <c r="DP657" s="2709">
        <f t="shared" si="2410"/>
        <v>1700</v>
      </c>
      <c r="DQ657" s="2709">
        <f t="shared" ref="DQ657" si="2411">+DQ656-3600</f>
        <v>1700</v>
      </c>
      <c r="DR657" s="2709">
        <f t="shared" ref="DR657" si="2412">+DR656-3600</f>
        <v>1700</v>
      </c>
      <c r="DS657" s="2709">
        <f t="shared" ref="DS657:DT657" si="2413">+DS656-3600</f>
        <v>1700</v>
      </c>
      <c r="DT657" s="2709">
        <f t="shared" si="2413"/>
        <v>1700</v>
      </c>
      <c r="DU657" s="2709">
        <f t="shared" ref="DU657" si="2414">+DU656-3600</f>
        <v>1700</v>
      </c>
      <c r="DV657" s="2709">
        <f t="shared" ref="DV657" si="2415">+DV656-3600</f>
        <v>1700</v>
      </c>
      <c r="DW657" s="2709">
        <f t="shared" si="2399"/>
        <v>1700</v>
      </c>
      <c r="DX657" s="2709">
        <f t="shared" si="2400"/>
        <v>1700</v>
      </c>
      <c r="DY657" s="2711">
        <f t="shared" si="2401"/>
        <v>1700</v>
      </c>
    </row>
    <row r="658" spans="1:129" hidden="1" outlineLevel="1">
      <c r="A658" s="2205"/>
      <c r="B658" s="2205"/>
      <c r="C658" s="2205"/>
      <c r="D658" s="2205"/>
      <c r="E658" s="2205"/>
      <c r="F658" s="2205"/>
      <c r="G658" s="2205"/>
      <c r="H658" s="2205"/>
      <c r="I658" s="2205"/>
      <c r="J658" s="2205"/>
      <c r="K658" s="2205"/>
      <c r="L658" s="2205"/>
      <c r="M658" s="2205"/>
      <c r="N658" s="2205"/>
      <c r="O658" s="2205"/>
      <c r="P658" s="2709"/>
      <c r="Q658" s="2709"/>
      <c r="R658" s="2709"/>
      <c r="S658" s="2709"/>
      <c r="T658" s="2709"/>
      <c r="U658" s="2709"/>
      <c r="V658" s="2709"/>
      <c r="W658" s="2709"/>
      <c r="X658" s="2709"/>
      <c r="Y658" s="2709"/>
      <c r="Z658" s="2709"/>
      <c r="AA658" s="2709"/>
      <c r="AB658" s="2709"/>
      <c r="AC658" s="2709"/>
      <c r="AD658" s="2709"/>
      <c r="AE658" s="2709"/>
      <c r="AF658" s="2709"/>
      <c r="AG658" s="2709"/>
      <c r="AI658" s="1927"/>
      <c r="AK658" s="2205"/>
      <c r="AL658" s="2205"/>
      <c r="AM658" s="2205"/>
      <c r="AN658" s="2205"/>
      <c r="AO658" s="2205"/>
      <c r="AP658" s="2205"/>
      <c r="AQ658" s="2205"/>
      <c r="AR658" s="2205"/>
      <c r="AS658" s="2205"/>
      <c r="AT658" s="2205"/>
      <c r="AU658" s="2205"/>
      <c r="AV658" s="2205"/>
      <c r="AW658" s="2205"/>
      <c r="AX658" s="2205"/>
      <c r="AY658" s="2205"/>
      <c r="AZ658" s="2205"/>
      <c r="BA658" s="2205"/>
      <c r="BB658" s="2205"/>
      <c r="BC658" s="2205"/>
      <c r="BD658" s="2205"/>
      <c r="BE658" s="2205"/>
      <c r="BF658" s="2205"/>
      <c r="BG658" s="2205"/>
      <c r="BH658" s="2205"/>
      <c r="BI658" s="2205"/>
      <c r="BJ658" s="2205"/>
      <c r="BK658" s="2205"/>
      <c r="BL658" s="2205"/>
      <c r="BM658" s="2205"/>
      <c r="BN658" s="2205"/>
      <c r="BO658" s="2205"/>
      <c r="BP658" s="2205"/>
      <c r="BQ658" s="2205"/>
      <c r="BR658" s="2205"/>
      <c r="BS658" s="2205"/>
      <c r="BT658" s="2205"/>
      <c r="BU658" s="2205"/>
      <c r="BV658" s="2205"/>
      <c r="BW658" s="2205"/>
      <c r="BX658" s="2205"/>
      <c r="BY658" s="2205"/>
      <c r="BZ658" s="2205"/>
      <c r="CA658" s="2205"/>
      <c r="CB658" s="2205"/>
      <c r="CC658" s="2205"/>
      <c r="CD658" s="2205"/>
      <c r="CE658" s="2205"/>
      <c r="CF658" s="2205"/>
      <c r="CG658" s="2205"/>
      <c r="CH658" s="2205"/>
      <c r="CI658" s="2205"/>
      <c r="CJ658" s="2205"/>
      <c r="CK658" s="2709"/>
      <c r="CL658" s="2709"/>
      <c r="CM658" s="2709"/>
      <c r="CN658" s="2709"/>
      <c r="CO658" s="2709"/>
      <c r="CP658" s="2710"/>
      <c r="CQ658" s="2709"/>
      <c r="CR658" s="2709"/>
      <c r="CS658" s="2709"/>
      <c r="CT658" s="2710"/>
      <c r="CU658" s="2709"/>
      <c r="CV658" s="2709"/>
      <c r="CW658" s="2711"/>
      <c r="CX658" s="2709"/>
      <c r="CY658" s="2709"/>
      <c r="CZ658" s="2709"/>
      <c r="DA658" s="2709"/>
      <c r="DB658" s="2710"/>
      <c r="DC658" s="2709"/>
      <c r="DD658" s="2709"/>
      <c r="DE658" s="2709"/>
      <c r="DF658" s="2709"/>
      <c r="DG658" s="2709"/>
      <c r="DH658" s="2709"/>
      <c r="DI658" s="2709"/>
      <c r="DJ658" s="2709"/>
      <c r="DK658" s="2709"/>
      <c r="DL658" s="2709"/>
      <c r="DM658" s="2709"/>
      <c r="DN658" s="2709"/>
      <c r="DO658" s="2709"/>
      <c r="DP658" s="2709"/>
      <c r="DQ658" s="2709"/>
      <c r="DR658" s="2709"/>
      <c r="DS658" s="2709"/>
      <c r="DT658" s="2709"/>
      <c r="DU658" s="2709"/>
      <c r="DV658" s="2709"/>
      <c r="DW658" s="2709"/>
      <c r="DX658" s="2709"/>
      <c r="DY658" s="2711"/>
    </row>
    <row r="659" spans="1:129" hidden="1" outlineLevel="1">
      <c r="A659" s="2704" t="s">
        <v>142</v>
      </c>
      <c r="AI659" s="1927"/>
      <c r="CL659" s="1942"/>
      <c r="CP659" s="1942"/>
      <c r="CT659" s="1942"/>
      <c r="CW659" s="2236"/>
      <c r="DB659" s="1942"/>
      <c r="DY659" s="2236"/>
    </row>
    <row r="660" spans="1:129" hidden="1" outlineLevel="1">
      <c r="A660" s="2715" t="str">
        <f>+A576</f>
        <v>Three-year term loan facility</v>
      </c>
      <c r="B660" s="2716"/>
      <c r="C660" s="2716"/>
      <c r="D660" s="2716"/>
      <c r="E660" s="2716"/>
      <c r="F660" s="2716"/>
      <c r="G660" s="2716"/>
      <c r="H660" s="2716"/>
      <c r="I660" s="2716"/>
      <c r="J660" s="2716"/>
      <c r="K660" s="2716"/>
      <c r="L660" s="2716"/>
      <c r="M660" s="2716"/>
      <c r="N660" s="2716"/>
      <c r="O660" s="2716">
        <v>0.05</v>
      </c>
      <c r="P660" s="2716"/>
      <c r="Q660" s="2716">
        <f t="shared" ref="Q660:Q672" si="2416">+SUM(CL660:CO660)</f>
        <v>213.08958904109591</v>
      </c>
      <c r="R660" s="2716">
        <f t="shared" ref="R660:R672" si="2417">+SUM(CP660:CS660)</f>
        <v>90.0027397260274</v>
      </c>
      <c r="S660" s="2716"/>
      <c r="T660" s="2716"/>
      <c r="U660" s="2716"/>
      <c r="V660" s="2716"/>
      <c r="W660" s="2716"/>
      <c r="X660" s="2716"/>
      <c r="Y660" s="2716"/>
      <c r="Z660" s="2716"/>
      <c r="AA660" s="2716"/>
      <c r="AB660" s="2716"/>
      <c r="AC660" s="2716"/>
      <c r="AD660" s="2716"/>
      <c r="AE660" s="2716"/>
      <c r="AF660" s="2716"/>
      <c r="AG660" s="2716"/>
      <c r="AI660" s="1956"/>
      <c r="AK660" s="2268"/>
      <c r="AL660" s="2268"/>
      <c r="AM660" s="2268"/>
      <c r="AN660" s="2268"/>
      <c r="AO660" s="2268"/>
      <c r="AP660" s="2268"/>
      <c r="AQ660" s="2268"/>
      <c r="AR660" s="2268"/>
      <c r="AS660" s="2268"/>
      <c r="AT660" s="2268"/>
      <c r="AU660" s="2268"/>
      <c r="AV660" s="2268"/>
      <c r="AW660" s="2268"/>
      <c r="AX660" s="2268"/>
      <c r="AY660" s="2268"/>
      <c r="AZ660" s="2268"/>
      <c r="BA660" s="2268"/>
      <c r="BB660" s="2268"/>
      <c r="BC660" s="2268"/>
      <c r="BD660" s="2268"/>
      <c r="BE660" s="2268"/>
      <c r="BF660" s="2268"/>
      <c r="BG660" s="2268"/>
      <c r="BH660" s="2268"/>
      <c r="BI660" s="2268"/>
      <c r="BJ660" s="2268"/>
      <c r="BK660" s="2268"/>
      <c r="BL660" s="2268"/>
      <c r="BM660" s="2268"/>
      <c r="BN660" s="2268"/>
      <c r="BO660" s="2268"/>
      <c r="BP660" s="2268"/>
      <c r="BQ660" s="2268"/>
      <c r="BR660" s="2268"/>
      <c r="BS660" s="2268"/>
      <c r="BT660" s="2268"/>
      <c r="BU660" s="2268"/>
      <c r="BV660" s="2268"/>
      <c r="BW660" s="2268"/>
      <c r="BX660" s="2268"/>
      <c r="BY660" s="2268"/>
      <c r="BZ660" s="2268"/>
      <c r="CA660" s="2268"/>
      <c r="CB660" s="2268"/>
      <c r="CC660" s="2268"/>
      <c r="CD660" s="2268"/>
      <c r="CE660" s="2268"/>
      <c r="CF660" s="2268"/>
      <c r="CG660" s="2268"/>
      <c r="CH660" s="2268"/>
      <c r="CI660" s="2268"/>
      <c r="CJ660" s="2268"/>
      <c r="CK660" s="2268"/>
      <c r="CL660" s="1939">
        <f t="shared" ref="CL660:CW660" si="2418">$O660*AVERAGE(CL577,CL579)*91/365</f>
        <v>55.347945205479455</v>
      </c>
      <c r="CM660" s="2268">
        <f t="shared" si="2418"/>
        <v>55.347945205479455</v>
      </c>
      <c r="CN660" s="2268">
        <f t="shared" si="2418"/>
        <v>52.580547945205481</v>
      </c>
      <c r="CO660" s="2268">
        <f t="shared" si="2418"/>
        <v>49.813150684931507</v>
      </c>
      <c r="CP660" s="1939">
        <f t="shared" si="2418"/>
        <v>49.813150684931507</v>
      </c>
      <c r="CQ660" s="2268">
        <f t="shared" si="2418"/>
        <v>32.548082191780821</v>
      </c>
      <c r="CR660" s="2268">
        <f t="shared" si="2418"/>
        <v>7.6415068493150686</v>
      </c>
      <c r="CS660" s="2268">
        <f t="shared" si="2418"/>
        <v>0</v>
      </c>
      <c r="CT660" s="1939">
        <f t="shared" si="2418"/>
        <v>0</v>
      </c>
      <c r="CU660" s="2268">
        <f t="shared" si="2418"/>
        <v>0</v>
      </c>
      <c r="CV660" s="2268">
        <f t="shared" si="2418"/>
        <v>0</v>
      </c>
      <c r="CW660" s="2273">
        <f t="shared" si="2418"/>
        <v>0</v>
      </c>
      <c r="CX660" s="2268"/>
      <c r="CY660" s="2268"/>
      <c r="CZ660" s="2268"/>
      <c r="DA660" s="2268"/>
      <c r="DB660" s="1939"/>
      <c r="DC660" s="2268"/>
      <c r="DD660" s="2268"/>
      <c r="DE660" s="2268"/>
      <c r="DF660" s="2268"/>
      <c r="DG660" s="2268"/>
      <c r="DH660" s="2268"/>
      <c r="DI660" s="2268"/>
      <c r="DJ660" s="2268"/>
      <c r="DK660" s="2268"/>
      <c r="DL660" s="2268"/>
      <c r="DM660" s="2268"/>
      <c r="DN660" s="2268"/>
      <c r="DO660" s="2268"/>
      <c r="DP660" s="2268"/>
      <c r="DQ660" s="2268"/>
      <c r="DR660" s="2268"/>
      <c r="DS660" s="2268"/>
      <c r="DT660" s="2268"/>
      <c r="DU660" s="2268"/>
      <c r="DV660" s="2268"/>
      <c r="DW660" s="2268"/>
      <c r="DX660" s="2268"/>
      <c r="DY660" s="2273"/>
    </row>
    <row r="661" spans="1:129" hidden="1" outlineLevel="1">
      <c r="A661" s="2715" t="str">
        <f>+A580</f>
        <v>364-Day bridge loan facility</v>
      </c>
      <c r="B661" s="2716"/>
      <c r="C661" s="2716"/>
      <c r="D661" s="2716"/>
      <c r="E661" s="2716"/>
      <c r="F661" s="2716"/>
      <c r="G661" s="2716"/>
      <c r="H661" s="2716"/>
      <c r="I661" s="2716"/>
      <c r="J661" s="2716"/>
      <c r="K661" s="2716"/>
      <c r="L661" s="2716"/>
      <c r="M661" s="2716"/>
      <c r="N661" s="2716"/>
      <c r="O661" s="2716">
        <v>0.05</v>
      </c>
      <c r="P661" s="2716"/>
      <c r="Q661" s="2716">
        <f t="shared" si="2416"/>
        <v>90.239589041095897</v>
      </c>
      <c r="R661" s="2716">
        <f t="shared" si="2417"/>
        <v>0</v>
      </c>
      <c r="S661" s="2716"/>
      <c r="T661" s="2716"/>
      <c r="U661" s="2716"/>
      <c r="V661" s="2716"/>
      <c r="W661" s="2716"/>
      <c r="X661" s="2716"/>
      <c r="Y661" s="2716"/>
      <c r="Z661" s="2716"/>
      <c r="AA661" s="2716"/>
      <c r="AB661" s="2716"/>
      <c r="AC661" s="2716"/>
      <c r="AD661" s="2716"/>
      <c r="AE661" s="2716"/>
      <c r="AF661" s="2716"/>
      <c r="AG661" s="2716"/>
      <c r="AI661" s="1956"/>
      <c r="AK661" s="2268"/>
      <c r="AL661" s="2268"/>
      <c r="AM661" s="2268"/>
      <c r="AN661" s="2268"/>
      <c r="AO661" s="2268"/>
      <c r="AP661" s="2268"/>
      <c r="AQ661" s="2268"/>
      <c r="AR661" s="2268"/>
      <c r="AS661" s="2268"/>
      <c r="AT661" s="2268"/>
      <c r="AU661" s="2268"/>
      <c r="AV661" s="2268"/>
      <c r="AW661" s="2268"/>
      <c r="AX661" s="2268"/>
      <c r="AY661" s="2268"/>
      <c r="AZ661" s="2268"/>
      <c r="BA661" s="2268"/>
      <c r="BB661" s="2268"/>
      <c r="BC661" s="2268"/>
      <c r="BD661" s="2268"/>
      <c r="BE661" s="2268"/>
      <c r="BF661" s="2268"/>
      <c r="BG661" s="2268"/>
      <c r="BH661" s="2268"/>
      <c r="BI661" s="2268"/>
      <c r="BJ661" s="2268"/>
      <c r="BK661" s="2268"/>
      <c r="BL661" s="2268"/>
      <c r="BM661" s="2268"/>
      <c r="BN661" s="2268"/>
      <c r="BO661" s="2268"/>
      <c r="BP661" s="2268"/>
      <c r="BQ661" s="2268"/>
      <c r="BR661" s="2268"/>
      <c r="BS661" s="2268"/>
      <c r="BT661" s="2268"/>
      <c r="BU661" s="2268"/>
      <c r="BV661" s="2268"/>
      <c r="BW661" s="2268"/>
      <c r="BX661" s="2268"/>
      <c r="BY661" s="2268"/>
      <c r="BZ661" s="2268"/>
      <c r="CA661" s="2268"/>
      <c r="CB661" s="2268"/>
      <c r="CC661" s="2268"/>
      <c r="CD661" s="2268"/>
      <c r="CE661" s="2268"/>
      <c r="CF661" s="2268"/>
      <c r="CG661" s="2268"/>
      <c r="CH661" s="2268"/>
      <c r="CI661" s="2268"/>
      <c r="CJ661" s="2268"/>
      <c r="CK661" s="2268"/>
      <c r="CL661" s="1939">
        <f t="shared" ref="CL661:CW661" si="2419">$O661*AVERAGE(CL581,CL583)*91/365</f>
        <v>45.119794520547948</v>
      </c>
      <c r="CM661" s="2268">
        <f t="shared" si="2419"/>
        <v>45.119794520547948</v>
      </c>
      <c r="CN661" s="2268">
        <f t="shared" si="2419"/>
        <v>0</v>
      </c>
      <c r="CO661" s="2268">
        <f t="shared" si="2419"/>
        <v>0</v>
      </c>
      <c r="CP661" s="1939">
        <f t="shared" si="2419"/>
        <v>0</v>
      </c>
      <c r="CQ661" s="2268">
        <f t="shared" si="2419"/>
        <v>0</v>
      </c>
      <c r="CR661" s="2268">
        <f t="shared" si="2419"/>
        <v>0</v>
      </c>
      <c r="CS661" s="2268">
        <f t="shared" si="2419"/>
        <v>0</v>
      </c>
      <c r="CT661" s="1939">
        <f t="shared" si="2419"/>
        <v>0</v>
      </c>
      <c r="CU661" s="2268">
        <f t="shared" si="2419"/>
        <v>0</v>
      </c>
      <c r="CV661" s="2268">
        <f t="shared" si="2419"/>
        <v>0</v>
      </c>
      <c r="CW661" s="2273">
        <f t="shared" si="2419"/>
        <v>0</v>
      </c>
      <c r="CX661" s="2268"/>
      <c r="CY661" s="2268"/>
      <c r="CZ661" s="2268"/>
      <c r="DA661" s="2268"/>
      <c r="DB661" s="1939"/>
      <c r="DC661" s="2268"/>
      <c r="DD661" s="2268"/>
      <c r="DE661" s="2268"/>
      <c r="DF661" s="2268"/>
      <c r="DG661" s="2268"/>
      <c r="DH661" s="2268"/>
      <c r="DI661" s="2268"/>
      <c r="DJ661" s="2268"/>
      <c r="DK661" s="2268"/>
      <c r="DL661" s="2268"/>
      <c r="DM661" s="2268"/>
      <c r="DN661" s="2268"/>
      <c r="DO661" s="2268"/>
      <c r="DP661" s="2268"/>
      <c r="DQ661" s="2268"/>
      <c r="DR661" s="2268"/>
      <c r="DS661" s="2268"/>
      <c r="DT661" s="2268"/>
      <c r="DU661" s="2268"/>
      <c r="DV661" s="2268"/>
      <c r="DW661" s="2268"/>
      <c r="DX661" s="2268"/>
      <c r="DY661" s="2273"/>
    </row>
    <row r="662" spans="1:129" hidden="1" outlineLevel="1">
      <c r="A662" s="2715" t="str">
        <f>+A584</f>
        <v>€650 million 7.625% notes</v>
      </c>
      <c r="B662" s="2716"/>
      <c r="C662" s="2716"/>
      <c r="D662" s="2716"/>
      <c r="E662" s="2716"/>
      <c r="F662" s="2716"/>
      <c r="G662" s="2716"/>
      <c r="H662" s="2716"/>
      <c r="I662" s="2716"/>
      <c r="J662" s="2716"/>
      <c r="K662" s="2716"/>
      <c r="L662" s="2716"/>
      <c r="M662" s="2716"/>
      <c r="N662" s="2716"/>
      <c r="O662" s="2716">
        <v>7.6249999999999998E-2</v>
      </c>
      <c r="P662" s="2716"/>
      <c r="Q662" s="2716">
        <f t="shared" si="2416"/>
        <v>68.313419520547939</v>
      </c>
      <c r="R662" s="2716">
        <f t="shared" si="2417"/>
        <v>70.794260273972597</v>
      </c>
      <c r="S662" s="2716"/>
      <c r="T662" s="2716"/>
      <c r="U662" s="2716"/>
      <c r="V662" s="2716"/>
      <c r="W662" s="2716"/>
      <c r="X662" s="2716"/>
      <c r="Y662" s="2716"/>
      <c r="Z662" s="2716"/>
      <c r="AA662" s="2716"/>
      <c r="AB662" s="2716"/>
      <c r="AC662" s="2716"/>
      <c r="AD662" s="2716"/>
      <c r="AE662" s="2716"/>
      <c r="AF662" s="2716"/>
      <c r="AG662" s="2716"/>
      <c r="AI662" s="1956"/>
      <c r="AK662" s="2268"/>
      <c r="AL662" s="2268"/>
      <c r="AM662" s="2268"/>
      <c r="AN662" s="2268"/>
      <c r="AO662" s="2268"/>
      <c r="AP662" s="2268"/>
      <c r="AQ662" s="2268"/>
      <c r="AR662" s="2268"/>
      <c r="AS662" s="2268"/>
      <c r="AT662" s="2268"/>
      <c r="AU662" s="2268"/>
      <c r="AV662" s="2268"/>
      <c r="AW662" s="2268"/>
      <c r="AX662" s="2268"/>
      <c r="AY662" s="2268"/>
      <c r="AZ662" s="2268"/>
      <c r="BA662" s="2268"/>
      <c r="BB662" s="2268"/>
      <c r="BC662" s="2268"/>
      <c r="BD662" s="2268"/>
      <c r="BE662" s="2268"/>
      <c r="BF662" s="2268"/>
      <c r="BG662" s="2268"/>
      <c r="BH662" s="2268"/>
      <c r="BI662" s="2268"/>
      <c r="BJ662" s="2268"/>
      <c r="BK662" s="2268"/>
      <c r="BL662" s="2268"/>
      <c r="BM662" s="2268"/>
      <c r="BN662" s="2268"/>
      <c r="BO662" s="2268"/>
      <c r="BP662" s="2268"/>
      <c r="BQ662" s="2268"/>
      <c r="BR662" s="2268"/>
      <c r="BS662" s="2268"/>
      <c r="BT662" s="2268"/>
      <c r="BU662" s="2268"/>
      <c r="BV662" s="2268"/>
      <c r="BW662" s="2268"/>
      <c r="BX662" s="2268"/>
      <c r="BY662" s="2268"/>
      <c r="BZ662" s="2268"/>
      <c r="CA662" s="2268"/>
      <c r="CB662" s="2268"/>
      <c r="CC662" s="2268"/>
      <c r="CD662" s="2268"/>
      <c r="CE662" s="2268"/>
      <c r="CF662" s="2268"/>
      <c r="CG662" s="2268"/>
      <c r="CH662" s="2268"/>
      <c r="CI662" s="2268"/>
      <c r="CJ662" s="2268"/>
      <c r="CK662" s="2268"/>
      <c r="CL662" s="1939">
        <f t="shared" ref="CL662:CW662" si="2420">$O662*AVERAGE(CL585,CL587)*91/365</f>
        <v>16.814587328767121</v>
      </c>
      <c r="CM662" s="2268">
        <f t="shared" si="2420"/>
        <v>16.367845890410958</v>
      </c>
      <c r="CN662" s="2268">
        <f t="shared" si="2420"/>
        <v>17.232813356164385</v>
      </c>
      <c r="CO662" s="2268">
        <f t="shared" si="2420"/>
        <v>17.898172945205477</v>
      </c>
      <c r="CP662" s="1939">
        <f t="shared" si="2420"/>
        <v>17.698565068493149</v>
      </c>
      <c r="CQ662" s="2268">
        <f t="shared" si="2420"/>
        <v>17.698565068493149</v>
      </c>
      <c r="CR662" s="2268">
        <f t="shared" si="2420"/>
        <v>17.698565068493149</v>
      </c>
      <c r="CS662" s="2268">
        <f t="shared" si="2420"/>
        <v>17.698565068493149</v>
      </c>
      <c r="CT662" s="1939">
        <f t="shared" si="2420"/>
        <v>17.698565068493149</v>
      </c>
      <c r="CU662" s="2268">
        <f t="shared" si="2420"/>
        <v>17.698565068493149</v>
      </c>
      <c r="CV662" s="2268">
        <f t="shared" si="2420"/>
        <v>17.698565068493149</v>
      </c>
      <c r="CW662" s="2273">
        <f t="shared" si="2420"/>
        <v>8.8492825342465746</v>
      </c>
      <c r="CX662" s="2268"/>
      <c r="CY662" s="2268"/>
      <c r="CZ662" s="2268"/>
      <c r="DA662" s="2268"/>
      <c r="DB662" s="1939"/>
      <c r="DC662" s="2268"/>
      <c r="DD662" s="2268"/>
      <c r="DE662" s="2268"/>
      <c r="DF662" s="2268"/>
      <c r="DG662" s="2268"/>
      <c r="DH662" s="2268"/>
      <c r="DI662" s="2268"/>
      <c r="DJ662" s="2268"/>
      <c r="DK662" s="2268"/>
      <c r="DL662" s="2268"/>
      <c r="DM662" s="2268"/>
      <c r="DN662" s="2268"/>
      <c r="DO662" s="2268"/>
      <c r="DP662" s="2268"/>
      <c r="DQ662" s="2268"/>
      <c r="DR662" s="2268"/>
      <c r="DS662" s="2268"/>
      <c r="DT662" s="2268"/>
      <c r="DU662" s="2268"/>
      <c r="DV662" s="2268"/>
      <c r="DW662" s="2268"/>
      <c r="DX662" s="2268"/>
      <c r="DY662" s="2273"/>
    </row>
    <row r="663" spans="1:129" hidden="1" outlineLevel="1">
      <c r="A663" s="2715" t="str">
        <f>+A588</f>
        <v>$750 million 5.25% notes</v>
      </c>
      <c r="B663" s="2716"/>
      <c r="C663" s="2716"/>
      <c r="D663" s="2716"/>
      <c r="E663" s="2716"/>
      <c r="F663" s="2716"/>
      <c r="G663" s="2716"/>
      <c r="H663" s="2716"/>
      <c r="I663" s="2716"/>
      <c r="J663" s="2716"/>
      <c r="K663" s="2716"/>
      <c r="L663" s="2716"/>
      <c r="M663" s="2716"/>
      <c r="N663" s="2716"/>
      <c r="O663" s="2716">
        <v>5.2499999999999998E-2</v>
      </c>
      <c r="P663" s="2716"/>
      <c r="Q663" s="2716">
        <f t="shared" si="2416"/>
        <v>34.358732876712331</v>
      </c>
      <c r="R663" s="2716">
        <f t="shared" si="2417"/>
        <v>39.267123287671232</v>
      </c>
      <c r="S663" s="2716"/>
      <c r="T663" s="2716"/>
      <c r="U663" s="2716"/>
      <c r="V663" s="2716"/>
      <c r="W663" s="2716"/>
      <c r="X663" s="2716"/>
      <c r="Y663" s="2716"/>
      <c r="Z663" s="2716"/>
      <c r="AA663" s="2716"/>
      <c r="AB663" s="2716"/>
      <c r="AC663" s="2716"/>
      <c r="AD663" s="2716"/>
      <c r="AE663" s="2716"/>
      <c r="AF663" s="2716"/>
      <c r="AG663" s="2716"/>
      <c r="AI663" s="1956"/>
      <c r="AK663" s="2268"/>
      <c r="AL663" s="2268"/>
      <c r="AM663" s="2268"/>
      <c r="AN663" s="2268"/>
      <c r="AO663" s="2268"/>
      <c r="AP663" s="2268"/>
      <c r="AQ663" s="2268"/>
      <c r="AR663" s="2268"/>
      <c r="AS663" s="2268"/>
      <c r="AT663" s="2268"/>
      <c r="AU663" s="2268"/>
      <c r="AV663" s="2268"/>
      <c r="AW663" s="2268"/>
      <c r="AX663" s="2268"/>
      <c r="AY663" s="2268"/>
      <c r="AZ663" s="2268"/>
      <c r="BA663" s="2268"/>
      <c r="BB663" s="2268"/>
      <c r="BC663" s="2268"/>
      <c r="BD663" s="2268"/>
      <c r="BE663" s="2268"/>
      <c r="BF663" s="2268"/>
      <c r="BG663" s="2268"/>
      <c r="BH663" s="2268"/>
      <c r="BI663" s="2268"/>
      <c r="BJ663" s="2268"/>
      <c r="BK663" s="2268"/>
      <c r="BL663" s="2268"/>
      <c r="BM663" s="2268"/>
      <c r="BN663" s="2268"/>
      <c r="BO663" s="2268"/>
      <c r="BP663" s="2268"/>
      <c r="BQ663" s="2268"/>
      <c r="BR663" s="2268"/>
      <c r="BS663" s="2268"/>
      <c r="BT663" s="2268"/>
      <c r="BU663" s="2268"/>
      <c r="BV663" s="2268"/>
      <c r="BW663" s="2268"/>
      <c r="BX663" s="2268"/>
      <c r="BY663" s="2268"/>
      <c r="BZ663" s="2268"/>
      <c r="CA663" s="2268"/>
      <c r="CB663" s="2268"/>
      <c r="CC663" s="2268"/>
      <c r="CD663" s="2268"/>
      <c r="CE663" s="2268"/>
      <c r="CF663" s="2268"/>
      <c r="CG663" s="2268"/>
      <c r="CH663" s="2268"/>
      <c r="CI663" s="2268"/>
      <c r="CJ663" s="2268"/>
      <c r="CK663" s="2268"/>
      <c r="CL663" s="1939">
        <f t="shared" ref="CL663:CW663" si="2421">$O663*AVERAGE(CL589,CL591)*91/365</f>
        <v>4.908390410958904</v>
      </c>
      <c r="CM663" s="2268">
        <f t="shared" si="2421"/>
        <v>9.8167808219178081</v>
      </c>
      <c r="CN663" s="2268">
        <f t="shared" si="2421"/>
        <v>9.8167808219178081</v>
      </c>
      <c r="CO663" s="2268">
        <f t="shared" si="2421"/>
        <v>9.8167808219178081</v>
      </c>
      <c r="CP663" s="1939">
        <f t="shared" si="2421"/>
        <v>9.8167808219178081</v>
      </c>
      <c r="CQ663" s="2268">
        <f t="shared" si="2421"/>
        <v>9.8167808219178081</v>
      </c>
      <c r="CR663" s="2268">
        <f t="shared" si="2421"/>
        <v>9.8167808219178081</v>
      </c>
      <c r="CS663" s="2268">
        <f t="shared" si="2421"/>
        <v>9.8167808219178081</v>
      </c>
      <c r="CT663" s="1939">
        <f t="shared" si="2421"/>
        <v>9.8167808219178081</v>
      </c>
      <c r="CU663" s="2268">
        <f t="shared" si="2421"/>
        <v>9.8167808219178081</v>
      </c>
      <c r="CV663" s="2268">
        <f t="shared" si="2421"/>
        <v>9.8167808219178081</v>
      </c>
      <c r="CW663" s="2273">
        <f t="shared" si="2421"/>
        <v>9.8167808219178081</v>
      </c>
      <c r="CX663" s="2268"/>
      <c r="CY663" s="2268"/>
      <c r="CZ663" s="2268"/>
      <c r="DA663" s="2268"/>
      <c r="DB663" s="1939"/>
      <c r="DC663" s="2268"/>
      <c r="DD663" s="2268"/>
      <c r="DE663" s="2268"/>
      <c r="DF663" s="2268"/>
      <c r="DG663" s="2268"/>
      <c r="DH663" s="2268"/>
      <c r="DI663" s="2268"/>
      <c r="DJ663" s="2268"/>
      <c r="DK663" s="2268"/>
      <c r="DL663" s="2268"/>
      <c r="DM663" s="2268"/>
      <c r="DN663" s="2268"/>
      <c r="DO663" s="2268"/>
      <c r="DP663" s="2268"/>
      <c r="DQ663" s="2268"/>
      <c r="DR663" s="2268"/>
      <c r="DS663" s="2268"/>
      <c r="DT663" s="2268"/>
      <c r="DU663" s="2268"/>
      <c r="DV663" s="2268"/>
      <c r="DW663" s="2268"/>
      <c r="DX663" s="2268"/>
      <c r="DY663" s="2273"/>
    </row>
    <row r="664" spans="1:129" hidden="1" outlineLevel="1">
      <c r="A664" s="2715" t="str">
        <f>+A592</f>
        <v>$1,250 million 7.375% notes</v>
      </c>
      <c r="B664" s="2716"/>
      <c r="C664" s="2716"/>
      <c r="D664" s="2716"/>
      <c r="E664" s="2716"/>
      <c r="F664" s="2716"/>
      <c r="G664" s="2716"/>
      <c r="H664" s="2716"/>
      <c r="I664" s="2716"/>
      <c r="J664" s="2716"/>
      <c r="K664" s="2716"/>
      <c r="L664" s="2716"/>
      <c r="M664" s="2716"/>
      <c r="N664" s="2716"/>
      <c r="O664" s="2716">
        <v>7.3749999999999996E-2</v>
      </c>
      <c r="P664" s="2716"/>
      <c r="Q664" s="2716">
        <f t="shared" si="2416"/>
        <v>91.93493150684931</v>
      </c>
      <c r="R664" s="2716">
        <f t="shared" si="2417"/>
        <v>91.93493150684931</v>
      </c>
      <c r="S664" s="2716"/>
      <c r="T664" s="2716"/>
      <c r="U664" s="2716"/>
      <c r="V664" s="2716"/>
      <c r="W664" s="2716"/>
      <c r="X664" s="2716"/>
      <c r="Y664" s="2716"/>
      <c r="Z664" s="2716"/>
      <c r="AA664" s="2716"/>
      <c r="AB664" s="2716"/>
      <c r="AC664" s="2716"/>
      <c r="AD664" s="2716"/>
      <c r="AE664" s="2716"/>
      <c r="AF664" s="2716"/>
      <c r="AG664" s="2716"/>
      <c r="AI664" s="1956"/>
      <c r="AK664" s="2268"/>
      <c r="AL664" s="2268"/>
      <c r="AM664" s="2268"/>
      <c r="AN664" s="2268"/>
      <c r="AO664" s="2268"/>
      <c r="AP664" s="2268"/>
      <c r="AQ664" s="2268"/>
      <c r="AR664" s="2268"/>
      <c r="AS664" s="2268"/>
      <c r="AT664" s="2268"/>
      <c r="AU664" s="2268"/>
      <c r="AV664" s="2268"/>
      <c r="AW664" s="2268"/>
      <c r="AX664" s="2268"/>
      <c r="AY664" s="2268"/>
      <c r="AZ664" s="2268"/>
      <c r="BA664" s="2268"/>
      <c r="BB664" s="2268"/>
      <c r="BC664" s="2268"/>
      <c r="BD664" s="2268"/>
      <c r="BE664" s="2268"/>
      <c r="BF664" s="2268"/>
      <c r="BG664" s="2268"/>
      <c r="BH664" s="2268"/>
      <c r="BI664" s="2268"/>
      <c r="BJ664" s="2268"/>
      <c r="BK664" s="2268"/>
      <c r="BL664" s="2268"/>
      <c r="BM664" s="2268"/>
      <c r="BN664" s="2268"/>
      <c r="BO664" s="2268"/>
      <c r="BP664" s="2268"/>
      <c r="BQ664" s="2268"/>
      <c r="BR664" s="2268"/>
      <c r="BS664" s="2268"/>
      <c r="BT664" s="2268"/>
      <c r="BU664" s="2268"/>
      <c r="BV664" s="2268"/>
      <c r="BW664" s="2268"/>
      <c r="BX664" s="2268"/>
      <c r="BY664" s="2268"/>
      <c r="BZ664" s="2268"/>
      <c r="CA664" s="2268"/>
      <c r="CB664" s="2268"/>
      <c r="CC664" s="2268"/>
      <c r="CD664" s="2268"/>
      <c r="CE664" s="2268"/>
      <c r="CF664" s="2268"/>
      <c r="CG664" s="2268"/>
      <c r="CH664" s="2268"/>
      <c r="CI664" s="2268"/>
      <c r="CJ664" s="2268"/>
      <c r="CK664" s="2268"/>
      <c r="CL664" s="1939">
        <f t="shared" ref="CL664:CW664" si="2422">$O664*AVERAGE(CL593,CL595)*91/365</f>
        <v>22.983732876712327</v>
      </c>
      <c r="CM664" s="2268">
        <f t="shared" si="2422"/>
        <v>22.983732876712327</v>
      </c>
      <c r="CN664" s="2268">
        <f t="shared" si="2422"/>
        <v>22.983732876712327</v>
      </c>
      <c r="CO664" s="2268">
        <f t="shared" si="2422"/>
        <v>22.983732876712327</v>
      </c>
      <c r="CP664" s="1939">
        <f t="shared" si="2422"/>
        <v>22.983732876712327</v>
      </c>
      <c r="CQ664" s="2268">
        <f t="shared" si="2422"/>
        <v>22.983732876712327</v>
      </c>
      <c r="CR664" s="2268">
        <f t="shared" si="2422"/>
        <v>22.983732876712327</v>
      </c>
      <c r="CS664" s="2268">
        <f t="shared" si="2422"/>
        <v>22.983732876712327</v>
      </c>
      <c r="CT664" s="1939">
        <f t="shared" si="2422"/>
        <v>22.983732876712327</v>
      </c>
      <c r="CU664" s="2268">
        <f t="shared" si="2422"/>
        <v>22.983732876712327</v>
      </c>
      <c r="CV664" s="2268">
        <f t="shared" si="2422"/>
        <v>22.983732876712327</v>
      </c>
      <c r="CW664" s="2273">
        <f t="shared" si="2422"/>
        <v>22.983732876712327</v>
      </c>
      <c r="CX664" s="2268"/>
      <c r="CY664" s="2268"/>
      <c r="CZ664" s="2268"/>
      <c r="DA664" s="2268"/>
      <c r="DB664" s="1939"/>
      <c r="DC664" s="2268"/>
      <c r="DD664" s="2268"/>
      <c r="DE664" s="2268"/>
      <c r="DF664" s="2268"/>
      <c r="DG664" s="2268"/>
      <c r="DH664" s="2268"/>
      <c r="DI664" s="2268"/>
      <c r="DJ664" s="2268"/>
      <c r="DK664" s="2268"/>
      <c r="DL664" s="2268"/>
      <c r="DM664" s="2268"/>
      <c r="DN664" s="2268"/>
      <c r="DO664" s="2268"/>
      <c r="DP664" s="2268"/>
      <c r="DQ664" s="2268"/>
      <c r="DR664" s="2268"/>
      <c r="DS664" s="2268"/>
      <c r="DT664" s="2268"/>
      <c r="DU664" s="2268"/>
      <c r="DV664" s="2268"/>
      <c r="DW664" s="2268"/>
      <c r="DX664" s="2268"/>
      <c r="DY664" s="2273"/>
    </row>
    <row r="665" spans="1:129" hidden="1" outlineLevel="1">
      <c r="A665" s="2715" t="str">
        <f>+A596</f>
        <v>$3,500 million 5.55% notes</v>
      </c>
      <c r="B665" s="2716"/>
      <c r="C665" s="2716"/>
      <c r="D665" s="2716"/>
      <c r="E665" s="2716"/>
      <c r="F665" s="2716"/>
      <c r="G665" s="2716"/>
      <c r="H665" s="2716"/>
      <c r="I665" s="2716"/>
      <c r="J665" s="2716"/>
      <c r="K665" s="2716"/>
      <c r="L665" s="2716"/>
      <c r="M665" s="2716"/>
      <c r="N665" s="2716"/>
      <c r="O665" s="2716">
        <v>5.5500000000000001E-2</v>
      </c>
      <c r="P665" s="2716"/>
      <c r="Q665" s="2716">
        <f t="shared" si="2416"/>
        <v>169.50308219178083</v>
      </c>
      <c r="R665" s="2716">
        <f t="shared" si="2417"/>
        <v>193.7178082191781</v>
      </c>
      <c r="S665" s="2716"/>
      <c r="T665" s="2716"/>
      <c r="U665" s="2716"/>
      <c r="V665" s="2716"/>
      <c r="W665" s="2716"/>
      <c r="X665" s="2716"/>
      <c r="Y665" s="2716"/>
      <c r="Z665" s="2716"/>
      <c r="AA665" s="2716"/>
      <c r="AB665" s="2716"/>
      <c r="AC665" s="2716"/>
      <c r="AD665" s="2716"/>
      <c r="AE665" s="2716"/>
      <c r="AF665" s="2716"/>
      <c r="AG665" s="2716"/>
      <c r="AI665" s="1956"/>
      <c r="AK665" s="2268"/>
      <c r="AL665" s="2268"/>
      <c r="AM665" s="2268"/>
      <c r="AN665" s="2268"/>
      <c r="AO665" s="2268"/>
      <c r="AP665" s="2268"/>
      <c r="AQ665" s="2268"/>
      <c r="AR665" s="2268"/>
      <c r="AS665" s="2268"/>
      <c r="AT665" s="2268"/>
      <c r="AU665" s="2268"/>
      <c r="AV665" s="2268"/>
      <c r="AW665" s="2268"/>
      <c r="AX665" s="2268"/>
      <c r="AY665" s="2268"/>
      <c r="AZ665" s="2268"/>
      <c r="BA665" s="2268"/>
      <c r="BB665" s="2268"/>
      <c r="BC665" s="2268"/>
      <c r="BD665" s="2268"/>
      <c r="BE665" s="2268"/>
      <c r="BF665" s="2268"/>
      <c r="BG665" s="2268"/>
      <c r="BH665" s="2268"/>
      <c r="BI665" s="2268"/>
      <c r="BJ665" s="2268"/>
      <c r="BK665" s="2268"/>
      <c r="BL665" s="2268"/>
      <c r="BM665" s="2268"/>
      <c r="BN665" s="2268"/>
      <c r="BO665" s="2268"/>
      <c r="BP665" s="2268"/>
      <c r="BQ665" s="2268"/>
      <c r="BR665" s="2268"/>
      <c r="BS665" s="2268"/>
      <c r="BT665" s="2268"/>
      <c r="BU665" s="2268"/>
      <c r="BV665" s="2268"/>
      <c r="BW665" s="2268"/>
      <c r="BX665" s="2268"/>
      <c r="BY665" s="2268"/>
      <c r="BZ665" s="2268"/>
      <c r="CA665" s="2268"/>
      <c r="CB665" s="2268"/>
      <c r="CC665" s="2268"/>
      <c r="CD665" s="2268"/>
      <c r="CE665" s="2268"/>
      <c r="CF665" s="2268"/>
      <c r="CG665" s="2268"/>
      <c r="CH665" s="2268"/>
      <c r="CI665" s="2268"/>
      <c r="CJ665" s="2268"/>
      <c r="CK665" s="2268"/>
      <c r="CL665" s="1939">
        <f t="shared" ref="CL665:CW665" si="2423">$O665*AVERAGE(CL597,CL599)*91/365</f>
        <v>24.214726027397262</v>
      </c>
      <c r="CM665" s="2268">
        <f t="shared" si="2423"/>
        <v>48.429452054794524</v>
      </c>
      <c r="CN665" s="2268">
        <f t="shared" si="2423"/>
        <v>48.429452054794524</v>
      </c>
      <c r="CO665" s="2268">
        <f t="shared" si="2423"/>
        <v>48.429452054794524</v>
      </c>
      <c r="CP665" s="1939">
        <f t="shared" si="2423"/>
        <v>48.429452054794524</v>
      </c>
      <c r="CQ665" s="2268">
        <f t="shared" si="2423"/>
        <v>48.429452054794524</v>
      </c>
      <c r="CR665" s="2268">
        <f t="shared" si="2423"/>
        <v>48.429452054794524</v>
      </c>
      <c r="CS665" s="2268">
        <f t="shared" si="2423"/>
        <v>48.429452054794524</v>
      </c>
      <c r="CT665" s="1939">
        <f t="shared" si="2423"/>
        <v>48.429452054794524</v>
      </c>
      <c r="CU665" s="2268">
        <f t="shared" si="2423"/>
        <v>48.429452054794524</v>
      </c>
      <c r="CV665" s="2268">
        <f t="shared" si="2423"/>
        <v>48.429452054794524</v>
      </c>
      <c r="CW665" s="2273">
        <f t="shared" si="2423"/>
        <v>48.429452054794524</v>
      </c>
      <c r="CX665" s="2268"/>
      <c r="CY665" s="2268"/>
      <c r="CZ665" s="2268"/>
      <c r="DA665" s="2268"/>
      <c r="DB665" s="1939"/>
      <c r="DC665" s="2268"/>
      <c r="DD665" s="2268"/>
      <c r="DE665" s="2268"/>
      <c r="DF665" s="2268"/>
      <c r="DG665" s="2268"/>
      <c r="DH665" s="2268"/>
      <c r="DI665" s="2268"/>
      <c r="DJ665" s="2268"/>
      <c r="DK665" s="2268"/>
      <c r="DL665" s="2268"/>
      <c r="DM665" s="2268"/>
      <c r="DN665" s="2268"/>
      <c r="DO665" s="2268"/>
      <c r="DP665" s="2268"/>
      <c r="DQ665" s="2268"/>
      <c r="DR665" s="2268"/>
      <c r="DS665" s="2268"/>
      <c r="DT665" s="2268"/>
      <c r="DU665" s="2268"/>
      <c r="DV665" s="2268"/>
      <c r="DW665" s="2268"/>
      <c r="DX665" s="2268"/>
      <c r="DY665" s="2273"/>
    </row>
    <row r="666" spans="1:129" hidden="1" outlineLevel="1">
      <c r="A666" s="2715" t="str">
        <f>+A600</f>
        <v>€500 million 8.750% notes</v>
      </c>
      <c r="B666" s="2716"/>
      <c r="C666" s="2716"/>
      <c r="D666" s="2716"/>
      <c r="E666" s="2716"/>
      <c r="F666" s="2716"/>
      <c r="G666" s="2716"/>
      <c r="H666" s="2716"/>
      <c r="I666" s="2716"/>
      <c r="J666" s="2716"/>
      <c r="K666" s="2716"/>
      <c r="L666" s="2716"/>
      <c r="M666" s="2716"/>
      <c r="N666" s="2716"/>
      <c r="O666" s="2716">
        <v>8.7499999999999994E-2</v>
      </c>
      <c r="P666" s="2716"/>
      <c r="Q666" s="2716">
        <f t="shared" si="2416"/>
        <v>60.329571917808209</v>
      </c>
      <c r="R666" s="2716">
        <f t="shared" si="2417"/>
        <v>62.478356164383555</v>
      </c>
      <c r="S666" s="2716"/>
      <c r="T666" s="2716"/>
      <c r="U666" s="2716"/>
      <c r="V666" s="2716"/>
      <c r="W666" s="2716"/>
      <c r="X666" s="2716"/>
      <c r="Y666" s="2716"/>
      <c r="Z666" s="2716"/>
      <c r="AA666" s="2716"/>
      <c r="AB666" s="2716"/>
      <c r="AC666" s="2716"/>
      <c r="AD666" s="2716"/>
      <c r="AE666" s="2716"/>
      <c r="AF666" s="2716"/>
      <c r="AG666" s="2716"/>
      <c r="AI666" s="1956"/>
      <c r="AK666" s="2268"/>
      <c r="AL666" s="2268"/>
      <c r="AM666" s="2268"/>
      <c r="AN666" s="2268"/>
      <c r="AO666" s="2268"/>
      <c r="AP666" s="2268"/>
      <c r="AQ666" s="2268"/>
      <c r="AR666" s="2268"/>
      <c r="AS666" s="2268"/>
      <c r="AT666" s="2268"/>
      <c r="AU666" s="2268"/>
      <c r="AV666" s="2268"/>
      <c r="AW666" s="2268"/>
      <c r="AX666" s="2268"/>
      <c r="AY666" s="2268"/>
      <c r="AZ666" s="2268"/>
      <c r="BA666" s="2268"/>
      <c r="BB666" s="2268"/>
      <c r="BC666" s="2268"/>
      <c r="BD666" s="2268"/>
      <c r="BE666" s="2268"/>
      <c r="BF666" s="2268"/>
      <c r="BG666" s="2268"/>
      <c r="BH666" s="2268"/>
      <c r="BI666" s="2268"/>
      <c r="BJ666" s="2268"/>
      <c r="BK666" s="2268"/>
      <c r="BL666" s="2268"/>
      <c r="BM666" s="2268"/>
      <c r="BN666" s="2268"/>
      <c r="BO666" s="2268"/>
      <c r="BP666" s="2268"/>
      <c r="BQ666" s="2268"/>
      <c r="BR666" s="2268"/>
      <c r="BS666" s="2268"/>
      <c r="BT666" s="2268"/>
      <c r="BU666" s="2268"/>
      <c r="BV666" s="2268"/>
      <c r="BW666" s="2268"/>
      <c r="BX666" s="2268"/>
      <c r="BY666" s="2268"/>
      <c r="BZ666" s="2268"/>
      <c r="CA666" s="2268"/>
      <c r="CB666" s="2268"/>
      <c r="CC666" s="2268"/>
      <c r="CD666" s="2268"/>
      <c r="CE666" s="2268"/>
      <c r="CF666" s="2268"/>
      <c r="CG666" s="2268"/>
      <c r="CH666" s="2268"/>
      <c r="CI666" s="2268"/>
      <c r="CJ666" s="2268"/>
      <c r="CK666" s="2268"/>
      <c r="CL666" s="1939">
        <f t="shared" ref="CL666:CW666" si="2424">$O666*AVERAGE(CL601,CL603)*91/365</f>
        <v>14.856061643835615</v>
      </c>
      <c r="CM666" s="2268">
        <f t="shared" si="2424"/>
        <v>14.463390410958903</v>
      </c>
      <c r="CN666" s="2268">
        <f t="shared" si="2424"/>
        <v>15.2160102739726</v>
      </c>
      <c r="CO666" s="2268">
        <f t="shared" si="2424"/>
        <v>15.794109589041094</v>
      </c>
      <c r="CP666" s="1939">
        <f t="shared" si="2424"/>
        <v>15.619589041095889</v>
      </c>
      <c r="CQ666" s="2268">
        <f t="shared" si="2424"/>
        <v>15.619589041095889</v>
      </c>
      <c r="CR666" s="2268">
        <f t="shared" si="2424"/>
        <v>15.619589041095889</v>
      </c>
      <c r="CS666" s="2268">
        <f t="shared" si="2424"/>
        <v>15.619589041095889</v>
      </c>
      <c r="CT666" s="1939">
        <f t="shared" si="2424"/>
        <v>15.619589041095889</v>
      </c>
      <c r="CU666" s="2268">
        <f t="shared" si="2424"/>
        <v>15.619589041095889</v>
      </c>
      <c r="CV666" s="2268">
        <f t="shared" si="2424"/>
        <v>15.619589041095889</v>
      </c>
      <c r="CW666" s="2273">
        <f t="shared" si="2424"/>
        <v>15.619589041095889</v>
      </c>
      <c r="CX666" s="2268"/>
      <c r="CY666" s="2268"/>
      <c r="CZ666" s="2268"/>
      <c r="DA666" s="2268"/>
      <c r="DB666" s="1939"/>
      <c r="DC666" s="2268"/>
      <c r="DD666" s="2268"/>
      <c r="DE666" s="2268"/>
      <c r="DF666" s="2268"/>
      <c r="DG666" s="2268"/>
      <c r="DH666" s="2268"/>
      <c r="DI666" s="2268"/>
      <c r="DJ666" s="2268"/>
      <c r="DK666" s="2268"/>
      <c r="DL666" s="2268"/>
      <c r="DM666" s="2268"/>
      <c r="DN666" s="2268"/>
      <c r="DO666" s="2268"/>
      <c r="DP666" s="2268"/>
      <c r="DQ666" s="2268"/>
      <c r="DR666" s="2268"/>
      <c r="DS666" s="2268"/>
      <c r="DT666" s="2268"/>
      <c r="DU666" s="2268"/>
      <c r="DV666" s="2268"/>
      <c r="DW666" s="2268"/>
      <c r="DX666" s="2268"/>
      <c r="DY666" s="2273"/>
    </row>
    <row r="667" spans="1:129" hidden="1" outlineLevel="1">
      <c r="A667" s="2715" t="str">
        <f>+A604</f>
        <v>$2,250 million 8.500% notes</v>
      </c>
      <c r="B667" s="2716"/>
      <c r="C667" s="2716"/>
      <c r="D667" s="2716"/>
      <c r="E667" s="2716"/>
      <c r="F667" s="2716"/>
      <c r="G667" s="2716"/>
      <c r="H667" s="2716"/>
      <c r="I667" s="2716"/>
      <c r="J667" s="2716"/>
      <c r="K667" s="2716"/>
      <c r="L667" s="2716"/>
      <c r="M667" s="2716"/>
      <c r="N667" s="2716"/>
      <c r="O667" s="2716">
        <v>8.5000000000000006E-2</v>
      </c>
      <c r="P667" s="2716"/>
      <c r="Q667" s="2716">
        <f t="shared" si="2416"/>
        <v>190.72602739726028</v>
      </c>
      <c r="R667" s="2716">
        <f t="shared" si="2417"/>
        <v>190.72602739726028</v>
      </c>
      <c r="S667" s="2716"/>
      <c r="T667" s="2716"/>
      <c r="U667" s="2716"/>
      <c r="V667" s="2716"/>
      <c r="W667" s="2716"/>
      <c r="X667" s="2716"/>
      <c r="Y667" s="2716"/>
      <c r="Z667" s="2716"/>
      <c r="AA667" s="2716"/>
      <c r="AB667" s="2716"/>
      <c r="AC667" s="2716"/>
      <c r="AD667" s="2716"/>
      <c r="AE667" s="2716"/>
      <c r="AF667" s="2716"/>
      <c r="AG667" s="2716"/>
      <c r="AI667" s="1956"/>
      <c r="AK667" s="2268"/>
      <c r="AL667" s="2268"/>
      <c r="AM667" s="2268"/>
      <c r="AN667" s="2268"/>
      <c r="AO667" s="2268"/>
      <c r="AP667" s="2268"/>
      <c r="AQ667" s="2268"/>
      <c r="AR667" s="2268"/>
      <c r="AS667" s="2268"/>
      <c r="AT667" s="2268"/>
      <c r="AU667" s="2268"/>
      <c r="AV667" s="2268"/>
      <c r="AW667" s="2268"/>
      <c r="AX667" s="2268"/>
      <c r="AY667" s="2268"/>
      <c r="AZ667" s="2268"/>
      <c r="BA667" s="2268"/>
      <c r="BB667" s="2268"/>
      <c r="BC667" s="2268"/>
      <c r="BD667" s="2268"/>
      <c r="BE667" s="2268"/>
      <c r="BF667" s="2268"/>
      <c r="BG667" s="2268"/>
      <c r="BH667" s="2268"/>
      <c r="BI667" s="2268"/>
      <c r="BJ667" s="2268"/>
      <c r="BK667" s="2268"/>
      <c r="BL667" s="2268"/>
      <c r="BM667" s="2268"/>
      <c r="BN667" s="2268"/>
      <c r="BO667" s="2268"/>
      <c r="BP667" s="2268"/>
      <c r="BQ667" s="2268"/>
      <c r="BR667" s="2268"/>
      <c r="BS667" s="2268"/>
      <c r="BT667" s="2268"/>
      <c r="BU667" s="2268"/>
      <c r="BV667" s="2268"/>
      <c r="BW667" s="2268"/>
      <c r="BX667" s="2268"/>
      <c r="BY667" s="2268"/>
      <c r="BZ667" s="2268"/>
      <c r="CA667" s="2268"/>
      <c r="CB667" s="2268"/>
      <c r="CC667" s="2268"/>
      <c r="CD667" s="2268"/>
      <c r="CE667" s="2268"/>
      <c r="CF667" s="2268"/>
      <c r="CG667" s="2268"/>
      <c r="CH667" s="2268"/>
      <c r="CI667" s="2268"/>
      <c r="CJ667" s="2268"/>
      <c r="CK667" s="2268"/>
      <c r="CL667" s="1939">
        <f t="shared" ref="CL667:CW667" si="2425">$O667*AVERAGE(CL605,CL607)*91/365</f>
        <v>47.68150684931507</v>
      </c>
      <c r="CM667" s="2268">
        <f t="shared" si="2425"/>
        <v>47.68150684931507</v>
      </c>
      <c r="CN667" s="2268">
        <f t="shared" si="2425"/>
        <v>47.68150684931507</v>
      </c>
      <c r="CO667" s="2268">
        <f t="shared" si="2425"/>
        <v>47.68150684931507</v>
      </c>
      <c r="CP667" s="1939">
        <f t="shared" si="2425"/>
        <v>47.68150684931507</v>
      </c>
      <c r="CQ667" s="2268">
        <f t="shared" si="2425"/>
        <v>47.68150684931507</v>
      </c>
      <c r="CR667" s="2268">
        <f t="shared" si="2425"/>
        <v>47.68150684931507</v>
      </c>
      <c r="CS667" s="2268">
        <f t="shared" si="2425"/>
        <v>47.68150684931507</v>
      </c>
      <c r="CT667" s="1939">
        <f t="shared" si="2425"/>
        <v>47.68150684931507</v>
      </c>
      <c r="CU667" s="2268">
        <f t="shared" si="2425"/>
        <v>47.68150684931507</v>
      </c>
      <c r="CV667" s="2268">
        <f t="shared" si="2425"/>
        <v>47.68150684931507</v>
      </c>
      <c r="CW667" s="2273">
        <f t="shared" si="2425"/>
        <v>47.68150684931507</v>
      </c>
      <c r="CX667" s="2268"/>
      <c r="CY667" s="2268"/>
      <c r="CZ667" s="2268"/>
      <c r="DA667" s="2268"/>
      <c r="DB667" s="1939"/>
      <c r="DC667" s="2268"/>
      <c r="DD667" s="2268"/>
      <c r="DE667" s="2268"/>
      <c r="DF667" s="2268"/>
      <c r="DG667" s="2268"/>
      <c r="DH667" s="2268"/>
      <c r="DI667" s="2268"/>
      <c r="DJ667" s="2268"/>
      <c r="DK667" s="2268"/>
      <c r="DL667" s="2268"/>
      <c r="DM667" s="2268"/>
      <c r="DN667" s="2268"/>
      <c r="DO667" s="2268"/>
      <c r="DP667" s="2268"/>
      <c r="DQ667" s="2268"/>
      <c r="DR667" s="2268"/>
      <c r="DS667" s="2268"/>
      <c r="DT667" s="2268"/>
      <c r="DU667" s="2268"/>
      <c r="DV667" s="2268"/>
      <c r="DW667" s="2268"/>
      <c r="DX667" s="2268"/>
      <c r="DY667" s="2273"/>
    </row>
    <row r="668" spans="1:129" hidden="1" outlineLevel="1">
      <c r="A668" s="2715" t="str">
        <f>+A608</f>
        <v>£600 million 8.875% notes</v>
      </c>
      <c r="B668" s="2716"/>
      <c r="C668" s="2716"/>
      <c r="D668" s="2716"/>
      <c r="E668" s="2716"/>
      <c r="F668" s="2716"/>
      <c r="G668" s="2716"/>
      <c r="H668" s="2716"/>
      <c r="I668" s="2716"/>
      <c r="J668" s="2716"/>
      <c r="K668" s="2716"/>
      <c r="L668" s="2716"/>
      <c r="M668" s="2716"/>
      <c r="N668" s="2716"/>
      <c r="O668" s="2716">
        <v>8.8749999999999996E-2</v>
      </c>
      <c r="P668" s="2716"/>
      <c r="Q668" s="2716">
        <f t="shared" si="2416"/>
        <v>79.468087328767126</v>
      </c>
      <c r="R668" s="2716">
        <f t="shared" si="2417"/>
        <v>85.851643835616429</v>
      </c>
      <c r="S668" s="2716"/>
      <c r="T668" s="2716"/>
      <c r="U668" s="2716"/>
      <c r="V668" s="2716"/>
      <c r="W668" s="2716"/>
      <c r="X668" s="2716"/>
      <c r="Y668" s="2716"/>
      <c r="Z668" s="2716"/>
      <c r="AA668" s="2716"/>
      <c r="AB668" s="2716"/>
      <c r="AC668" s="2716"/>
      <c r="AD668" s="2716"/>
      <c r="AE668" s="2716"/>
      <c r="AF668" s="2716"/>
      <c r="AG668" s="2716"/>
      <c r="AI668" s="1956"/>
      <c r="AK668" s="2268"/>
      <c r="AL668" s="2268"/>
      <c r="AM668" s="2268"/>
      <c r="AN668" s="2268"/>
      <c r="AO668" s="2268"/>
      <c r="AP668" s="2268"/>
      <c r="AQ668" s="2268"/>
      <c r="AR668" s="2268"/>
      <c r="AS668" s="2268"/>
      <c r="AT668" s="2268"/>
      <c r="AU668" s="2268"/>
      <c r="AV668" s="2268"/>
      <c r="AW668" s="2268"/>
      <c r="AX668" s="2268"/>
      <c r="AY668" s="2268"/>
      <c r="AZ668" s="2268"/>
      <c r="BA668" s="2268"/>
      <c r="BB668" s="2268"/>
      <c r="BC668" s="2268"/>
      <c r="BD668" s="2268"/>
      <c r="BE668" s="2268"/>
      <c r="BF668" s="2268"/>
      <c r="BG668" s="2268"/>
      <c r="BH668" s="2268"/>
      <c r="BI668" s="2268"/>
      <c r="BJ668" s="2268"/>
      <c r="BK668" s="2268"/>
      <c r="BL668" s="2268"/>
      <c r="BM668" s="2268"/>
      <c r="BN668" s="2268"/>
      <c r="BO668" s="2268"/>
      <c r="BP668" s="2268"/>
      <c r="BQ668" s="2268"/>
      <c r="BR668" s="2268"/>
      <c r="BS668" s="2268"/>
      <c r="BT668" s="2268"/>
      <c r="BU668" s="2268"/>
      <c r="BV668" s="2268"/>
      <c r="BW668" s="2268"/>
      <c r="BX668" s="2268"/>
      <c r="BY668" s="2268"/>
      <c r="BZ668" s="2268"/>
      <c r="CA668" s="2268"/>
      <c r="CB668" s="2268"/>
      <c r="CC668" s="2268"/>
      <c r="CD668" s="2268"/>
      <c r="CE668" s="2268"/>
      <c r="CF668" s="2268"/>
      <c r="CG668" s="2268"/>
      <c r="CH668" s="2268"/>
      <c r="CI668" s="2268"/>
      <c r="CJ668" s="2268"/>
      <c r="CK668" s="2268"/>
      <c r="CL668" s="1939">
        <f t="shared" ref="CL668:CW668" si="2426">$O668*AVERAGE(CL609,CL611)*91/365</f>
        <v>19.006845890410958</v>
      </c>
      <c r="CM668" s="2268">
        <f t="shared" si="2426"/>
        <v>19.006845890410958</v>
      </c>
      <c r="CN668" s="2268">
        <f t="shared" si="2426"/>
        <v>20.113181506849315</v>
      </c>
      <c r="CO668" s="2268">
        <f t="shared" si="2426"/>
        <v>21.341214041095888</v>
      </c>
      <c r="CP668" s="1939">
        <f t="shared" si="2426"/>
        <v>21.462910958904107</v>
      </c>
      <c r="CQ668" s="2268">
        <f t="shared" si="2426"/>
        <v>21.462910958904107</v>
      </c>
      <c r="CR668" s="2268">
        <f t="shared" si="2426"/>
        <v>21.462910958904107</v>
      </c>
      <c r="CS668" s="2268">
        <f t="shared" si="2426"/>
        <v>21.462910958904107</v>
      </c>
      <c r="CT668" s="1939">
        <f t="shared" si="2426"/>
        <v>21.462910958904107</v>
      </c>
      <c r="CU668" s="2268">
        <f t="shared" si="2426"/>
        <v>21.462910958904107</v>
      </c>
      <c r="CV668" s="2268">
        <f t="shared" si="2426"/>
        <v>21.462910958904107</v>
      </c>
      <c r="CW668" s="2273">
        <f t="shared" si="2426"/>
        <v>21.462910958904107</v>
      </c>
      <c r="CX668" s="2268"/>
      <c r="CY668" s="2268"/>
      <c r="CZ668" s="2268"/>
      <c r="DA668" s="2268"/>
      <c r="DB668" s="1939"/>
      <c r="DC668" s="2268"/>
      <c r="DD668" s="2268"/>
      <c r="DE668" s="2268"/>
      <c r="DF668" s="2268"/>
      <c r="DG668" s="2268"/>
      <c r="DH668" s="2268"/>
      <c r="DI668" s="2268"/>
      <c r="DJ668" s="2268"/>
      <c r="DK668" s="2268"/>
      <c r="DL668" s="2268"/>
      <c r="DM668" s="2268"/>
      <c r="DN668" s="2268"/>
      <c r="DO668" s="2268"/>
      <c r="DP668" s="2268"/>
      <c r="DQ668" s="2268"/>
      <c r="DR668" s="2268"/>
      <c r="DS668" s="2268"/>
      <c r="DT668" s="2268"/>
      <c r="DU668" s="2268"/>
      <c r="DV668" s="2268"/>
      <c r="DW668" s="2268"/>
      <c r="DX668" s="2268"/>
      <c r="DY668" s="2273"/>
    </row>
    <row r="669" spans="1:129" hidden="1" outlineLevel="1">
      <c r="A669" s="2715" t="str">
        <f>+A612</f>
        <v>Assumed Alltel notes</v>
      </c>
      <c r="B669" s="2716"/>
      <c r="C669" s="2716"/>
      <c r="D669" s="2716"/>
      <c r="E669" s="2716"/>
      <c r="F669" s="2716"/>
      <c r="G669" s="2716"/>
      <c r="H669" s="2716"/>
      <c r="I669" s="2716"/>
      <c r="J669" s="2716"/>
      <c r="K669" s="2716"/>
      <c r="L669" s="2716"/>
      <c r="M669" s="2716"/>
      <c r="N669" s="2716"/>
      <c r="O669" s="2716">
        <v>0.05</v>
      </c>
      <c r="P669" s="2716"/>
      <c r="Q669" s="2716">
        <f t="shared" si="2416"/>
        <v>100.34931506849314</v>
      </c>
      <c r="R669" s="2716">
        <f t="shared" si="2417"/>
        <v>114.68493150684931</v>
      </c>
      <c r="S669" s="2716"/>
      <c r="T669" s="2716"/>
      <c r="U669" s="2716"/>
      <c r="V669" s="2716"/>
      <c r="W669" s="2716"/>
      <c r="X669" s="2716"/>
      <c r="Y669" s="2716"/>
      <c r="Z669" s="2716"/>
      <c r="AA669" s="2716"/>
      <c r="AB669" s="2716"/>
      <c r="AC669" s="2716"/>
      <c r="AD669" s="2716"/>
      <c r="AE669" s="2716"/>
      <c r="AF669" s="2716"/>
      <c r="AG669" s="2716"/>
      <c r="AI669" s="1956"/>
      <c r="AK669" s="2268"/>
      <c r="AL669" s="2268"/>
      <c r="AM669" s="2268"/>
      <c r="AN669" s="2268"/>
      <c r="AO669" s="2268"/>
      <c r="AP669" s="2268"/>
      <c r="AQ669" s="2268"/>
      <c r="AR669" s="2268"/>
      <c r="AS669" s="2268"/>
      <c r="AT669" s="2268"/>
      <c r="AU669" s="2268"/>
      <c r="AV669" s="2268"/>
      <c r="AW669" s="2268"/>
      <c r="AX669" s="2268"/>
      <c r="AY669" s="2268"/>
      <c r="AZ669" s="2268"/>
      <c r="BA669" s="2268"/>
      <c r="BB669" s="2268"/>
      <c r="BC669" s="2268"/>
      <c r="BD669" s="2268"/>
      <c r="BE669" s="2268"/>
      <c r="BF669" s="2268"/>
      <c r="BG669" s="2268"/>
      <c r="BH669" s="2268"/>
      <c r="BI669" s="2268"/>
      <c r="BJ669" s="2268"/>
      <c r="BK669" s="2268"/>
      <c r="BL669" s="2268"/>
      <c r="BM669" s="2268"/>
      <c r="BN669" s="2268"/>
      <c r="BO669" s="2268"/>
      <c r="BP669" s="2268"/>
      <c r="BQ669" s="2268"/>
      <c r="BR669" s="2268"/>
      <c r="BS669" s="2268"/>
      <c r="BT669" s="2268"/>
      <c r="BU669" s="2268"/>
      <c r="BV669" s="2268"/>
      <c r="BW669" s="2268"/>
      <c r="BX669" s="2268"/>
      <c r="BY669" s="2268"/>
      <c r="BZ669" s="2268"/>
      <c r="CA669" s="2268"/>
      <c r="CB669" s="2268"/>
      <c r="CC669" s="2268"/>
      <c r="CD669" s="2268"/>
      <c r="CE669" s="2268"/>
      <c r="CF669" s="2268"/>
      <c r="CG669" s="2268"/>
      <c r="CH669" s="2268"/>
      <c r="CI669" s="2268"/>
      <c r="CJ669" s="2268"/>
      <c r="CK669" s="2268"/>
      <c r="CL669" s="1939">
        <f t="shared" ref="CL669:CW669" si="2427">$O669*AVERAGE(CL613,CL615)*91/365</f>
        <v>14.335616438356164</v>
      </c>
      <c r="CM669" s="2268">
        <f t="shared" si="2427"/>
        <v>28.671232876712327</v>
      </c>
      <c r="CN669" s="2268">
        <f t="shared" si="2427"/>
        <v>28.671232876712327</v>
      </c>
      <c r="CO669" s="2268">
        <f t="shared" si="2427"/>
        <v>28.671232876712327</v>
      </c>
      <c r="CP669" s="1939">
        <f t="shared" si="2427"/>
        <v>28.671232876712327</v>
      </c>
      <c r="CQ669" s="2268">
        <f t="shared" si="2427"/>
        <v>28.671232876712327</v>
      </c>
      <c r="CR669" s="2268">
        <f t="shared" si="2427"/>
        <v>28.671232876712327</v>
      </c>
      <c r="CS669" s="2268">
        <f t="shared" si="2427"/>
        <v>28.671232876712327</v>
      </c>
      <c r="CT669" s="1939">
        <f t="shared" si="2427"/>
        <v>28.671232876712327</v>
      </c>
      <c r="CU669" s="2268">
        <f t="shared" si="2427"/>
        <v>28.671232876712327</v>
      </c>
      <c r="CV669" s="2268">
        <f t="shared" si="2427"/>
        <v>28.671232876712327</v>
      </c>
      <c r="CW669" s="2273">
        <f t="shared" si="2427"/>
        <v>28.671232876712327</v>
      </c>
      <c r="CX669" s="2268"/>
      <c r="CY669" s="2268"/>
      <c r="CZ669" s="2268"/>
      <c r="DA669" s="2268"/>
      <c r="DB669" s="1939"/>
      <c r="DC669" s="2268"/>
      <c r="DD669" s="2268"/>
      <c r="DE669" s="2268"/>
      <c r="DF669" s="2268"/>
      <c r="DG669" s="2268"/>
      <c r="DH669" s="2268"/>
      <c r="DI669" s="2268"/>
      <c r="DJ669" s="2268"/>
      <c r="DK669" s="2268"/>
      <c r="DL669" s="2268"/>
      <c r="DM669" s="2268"/>
      <c r="DN669" s="2268"/>
      <c r="DO669" s="2268"/>
      <c r="DP669" s="2268"/>
      <c r="DQ669" s="2268"/>
      <c r="DR669" s="2268"/>
      <c r="DS669" s="2268"/>
      <c r="DT669" s="2268"/>
      <c r="DU669" s="2268"/>
      <c r="DV669" s="2268"/>
      <c r="DW669" s="2268"/>
      <c r="DX669" s="2268"/>
      <c r="DY669" s="2273"/>
    </row>
    <row r="670" spans="1:129" hidden="1" outlineLevel="1">
      <c r="A670" s="2715" t="str">
        <f>+A616</f>
        <v>$1000M  Put Notes</v>
      </c>
      <c r="B670" s="2716"/>
      <c r="C670" s="2716"/>
      <c r="D670" s="2716"/>
      <c r="E670" s="2716"/>
      <c r="F670" s="2716"/>
      <c r="G670" s="2716"/>
      <c r="H670" s="2716"/>
      <c r="I670" s="2716"/>
      <c r="J670" s="2716"/>
      <c r="K670" s="2716"/>
      <c r="L670" s="2716"/>
      <c r="M670" s="2716"/>
      <c r="N670" s="2716"/>
      <c r="O670" s="2716">
        <v>0.05</v>
      </c>
      <c r="P670" s="2716"/>
      <c r="Q670" s="2716">
        <f t="shared" si="2416"/>
        <v>31.164383561643831</v>
      </c>
      <c r="R670" s="2716">
        <f t="shared" si="2417"/>
        <v>18.698630136986299</v>
      </c>
      <c r="S670" s="2716"/>
      <c r="T670" s="2716"/>
      <c r="U670" s="2716"/>
      <c r="V670" s="2716"/>
      <c r="W670" s="2716"/>
      <c r="X670" s="2716"/>
      <c r="Y670" s="2716"/>
      <c r="Z670" s="2716"/>
      <c r="AA670" s="2716"/>
      <c r="AB670" s="2716"/>
      <c r="AC670" s="2716"/>
      <c r="AD670" s="2716"/>
      <c r="AE670" s="2716"/>
      <c r="AF670" s="2716"/>
      <c r="AG670" s="2716"/>
      <c r="AI670" s="1956"/>
      <c r="AK670" s="2268"/>
      <c r="AL670" s="2268"/>
      <c r="AM670" s="2268"/>
      <c r="AN670" s="2268"/>
      <c r="AO670" s="2268"/>
      <c r="AP670" s="2268"/>
      <c r="AQ670" s="2268"/>
      <c r="AR670" s="2268"/>
      <c r="AS670" s="2268"/>
      <c r="AT670" s="2268"/>
      <c r="AU670" s="2268"/>
      <c r="AV670" s="2268"/>
      <c r="AW670" s="2268"/>
      <c r="AX670" s="2268"/>
      <c r="AY670" s="2268"/>
      <c r="AZ670" s="2268"/>
      <c r="BA670" s="2268"/>
      <c r="BB670" s="2268"/>
      <c r="BC670" s="2268"/>
      <c r="BD670" s="2268"/>
      <c r="BE670" s="2268"/>
      <c r="BF670" s="2268"/>
      <c r="BG670" s="2268"/>
      <c r="BH670" s="2268"/>
      <c r="BI670" s="2268"/>
      <c r="BJ670" s="2268"/>
      <c r="BK670" s="2268"/>
      <c r="BL670" s="2268"/>
      <c r="BM670" s="2268"/>
      <c r="BN670" s="2268"/>
      <c r="BO670" s="2268"/>
      <c r="BP670" s="2268"/>
      <c r="BQ670" s="2268"/>
      <c r="BR670" s="2268"/>
      <c r="BS670" s="2268"/>
      <c r="BT670" s="2268"/>
      <c r="BU670" s="2268"/>
      <c r="BV670" s="2268"/>
      <c r="BW670" s="2268"/>
      <c r="BX670" s="2268"/>
      <c r="BY670" s="2268"/>
      <c r="BZ670" s="2268"/>
      <c r="CA670" s="2268"/>
      <c r="CB670" s="2268"/>
      <c r="CC670" s="2268"/>
      <c r="CD670" s="2268"/>
      <c r="CE670" s="2268"/>
      <c r="CF670" s="2268"/>
      <c r="CG670" s="2268"/>
      <c r="CH670" s="2268"/>
      <c r="CI670" s="2268"/>
      <c r="CJ670" s="2268"/>
      <c r="CK670" s="2268"/>
      <c r="CL670" s="1939">
        <f t="shared" ref="CL670:CW670" si="2428">$O670*AVERAGE(CL617,CL619)*91/365</f>
        <v>0</v>
      </c>
      <c r="CM670" s="2268">
        <f t="shared" si="2428"/>
        <v>6.2328767123287667</v>
      </c>
      <c r="CN670" s="2268">
        <f t="shared" si="2428"/>
        <v>12.465753424657533</v>
      </c>
      <c r="CO670" s="2268">
        <f t="shared" si="2428"/>
        <v>12.465753424657533</v>
      </c>
      <c r="CP670" s="1939">
        <f t="shared" si="2428"/>
        <v>12.465753424657533</v>
      </c>
      <c r="CQ670" s="2268">
        <f t="shared" si="2428"/>
        <v>6.2328767123287667</v>
      </c>
      <c r="CR670" s="2268">
        <f t="shared" si="2428"/>
        <v>0</v>
      </c>
      <c r="CS670" s="2268">
        <f t="shared" si="2428"/>
        <v>0</v>
      </c>
      <c r="CT670" s="1939">
        <f t="shared" si="2428"/>
        <v>0</v>
      </c>
      <c r="CU670" s="2268">
        <f t="shared" si="2428"/>
        <v>0</v>
      </c>
      <c r="CV670" s="2268">
        <f t="shared" si="2428"/>
        <v>0</v>
      </c>
      <c r="CW670" s="2273">
        <f t="shared" si="2428"/>
        <v>0</v>
      </c>
      <c r="CX670" s="2268"/>
      <c r="CY670" s="2268"/>
      <c r="CZ670" s="2268"/>
      <c r="DA670" s="2268"/>
      <c r="DB670" s="1939"/>
      <c r="DC670" s="2268"/>
      <c r="DD670" s="2268"/>
      <c r="DE670" s="2268"/>
      <c r="DF670" s="2268"/>
      <c r="DG670" s="2268"/>
      <c r="DH670" s="2268"/>
      <c r="DI670" s="2268"/>
      <c r="DJ670" s="2268"/>
      <c r="DK670" s="2268"/>
      <c r="DL670" s="2268"/>
      <c r="DM670" s="2268"/>
      <c r="DN670" s="2268"/>
      <c r="DO670" s="2268"/>
      <c r="DP670" s="2268"/>
      <c r="DQ670" s="2268"/>
      <c r="DR670" s="2268"/>
      <c r="DS670" s="2268"/>
      <c r="DT670" s="2268"/>
      <c r="DU670" s="2268"/>
      <c r="DV670" s="2268"/>
      <c r="DW670" s="2268"/>
      <c r="DX670" s="2268"/>
      <c r="DY670" s="2273"/>
    </row>
    <row r="671" spans="1:129" hidden="1" outlineLevel="1">
      <c r="A671" s="2715" t="str">
        <f>+A620</f>
        <v>$1,250M floating rate notes</v>
      </c>
      <c r="B671" s="2716"/>
      <c r="C671" s="2716"/>
      <c r="D671" s="2716"/>
      <c r="E671" s="2716"/>
      <c r="F671" s="2716"/>
      <c r="G671" s="2716"/>
      <c r="H671" s="2716"/>
      <c r="I671" s="2716"/>
      <c r="J671" s="2716"/>
      <c r="K671" s="2716"/>
      <c r="L671" s="2716"/>
      <c r="M671" s="2716"/>
      <c r="N671" s="2716"/>
      <c r="O671" s="2716">
        <v>0.05</v>
      </c>
      <c r="P671" s="2716"/>
      <c r="Q671" s="2716">
        <f t="shared" si="2416"/>
        <v>38.955479452054796</v>
      </c>
      <c r="R671" s="2716">
        <f t="shared" si="2417"/>
        <v>62.328767123287669</v>
      </c>
      <c r="S671" s="2716"/>
      <c r="T671" s="2716"/>
      <c r="U671" s="2716"/>
      <c r="V671" s="2716"/>
      <c r="W671" s="2716"/>
      <c r="X671" s="2716"/>
      <c r="Y671" s="2716"/>
      <c r="Z671" s="2716"/>
      <c r="AA671" s="2716"/>
      <c r="AB671" s="2716"/>
      <c r="AC671" s="2716"/>
      <c r="AD671" s="2716"/>
      <c r="AE671" s="2716"/>
      <c r="AF671" s="2716"/>
      <c r="AG671" s="2716"/>
      <c r="AI671" s="1956"/>
      <c r="AK671" s="2268"/>
      <c r="AL671" s="2268"/>
      <c r="AM671" s="2268"/>
      <c r="AN671" s="2268"/>
      <c r="AO671" s="2268"/>
      <c r="AP671" s="2268"/>
      <c r="AQ671" s="2268"/>
      <c r="AR671" s="2268"/>
      <c r="AS671" s="2268"/>
      <c r="AT671" s="2268"/>
      <c r="AU671" s="2268"/>
      <c r="AV671" s="2268"/>
      <c r="AW671" s="2268"/>
      <c r="AX671" s="2268"/>
      <c r="AY671" s="2268"/>
      <c r="AZ671" s="2268"/>
      <c r="BA671" s="2268"/>
      <c r="BB671" s="2268"/>
      <c r="BC671" s="2268"/>
      <c r="BD671" s="2268"/>
      <c r="BE671" s="2268"/>
      <c r="BF671" s="2268"/>
      <c r="BG671" s="2268"/>
      <c r="BH671" s="2268"/>
      <c r="BI671" s="2268"/>
      <c r="BJ671" s="2268"/>
      <c r="BK671" s="2268"/>
      <c r="BL671" s="2268"/>
      <c r="BM671" s="2268"/>
      <c r="BN671" s="2268"/>
      <c r="BO671" s="2268"/>
      <c r="BP671" s="2268"/>
      <c r="BQ671" s="2268"/>
      <c r="BR671" s="2268"/>
      <c r="BS671" s="2268"/>
      <c r="BT671" s="2268"/>
      <c r="BU671" s="2268"/>
      <c r="BV671" s="2268"/>
      <c r="BW671" s="2268"/>
      <c r="BX671" s="2268"/>
      <c r="BY671" s="2268"/>
      <c r="BZ671" s="2268"/>
      <c r="CA671" s="2268"/>
      <c r="CB671" s="2268"/>
      <c r="CC671" s="2268"/>
      <c r="CD671" s="2268"/>
      <c r="CE671" s="2268"/>
      <c r="CF671" s="2268"/>
      <c r="CG671" s="2268"/>
      <c r="CH671" s="2268"/>
      <c r="CI671" s="2268"/>
      <c r="CJ671" s="2268"/>
      <c r="CK671" s="2268"/>
      <c r="CL671" s="1939">
        <f t="shared" ref="CL671:CW671" si="2429">$O671*AVERAGE(CL621,CL623)*91/365</f>
        <v>0</v>
      </c>
      <c r="CM671" s="2268">
        <f t="shared" si="2429"/>
        <v>7.7910958904109586</v>
      </c>
      <c r="CN671" s="2268">
        <f t="shared" si="2429"/>
        <v>15.582191780821917</v>
      </c>
      <c r="CO671" s="2268">
        <f t="shared" si="2429"/>
        <v>15.582191780821917</v>
      </c>
      <c r="CP671" s="1939">
        <f t="shared" si="2429"/>
        <v>15.582191780821917</v>
      </c>
      <c r="CQ671" s="2268">
        <f t="shared" si="2429"/>
        <v>15.582191780821917</v>
      </c>
      <c r="CR671" s="2268">
        <f t="shared" si="2429"/>
        <v>15.582191780821917</v>
      </c>
      <c r="CS671" s="2268">
        <f t="shared" si="2429"/>
        <v>15.582191780821917</v>
      </c>
      <c r="CT671" s="1939">
        <f t="shared" si="2429"/>
        <v>15.582191780821917</v>
      </c>
      <c r="CU671" s="2268">
        <f t="shared" si="2429"/>
        <v>7.7910958904109586</v>
      </c>
      <c r="CV671" s="2268">
        <f t="shared" si="2429"/>
        <v>0</v>
      </c>
      <c r="CW671" s="2273">
        <f t="shared" si="2429"/>
        <v>0</v>
      </c>
      <c r="CX671" s="2268"/>
      <c r="CY671" s="2268"/>
      <c r="CZ671" s="2268"/>
      <c r="DA671" s="2268"/>
      <c r="DB671" s="1939"/>
      <c r="DC671" s="2268"/>
      <c r="DD671" s="2268"/>
      <c r="DE671" s="2268"/>
      <c r="DF671" s="2268"/>
      <c r="DG671" s="2268"/>
      <c r="DH671" s="2268"/>
      <c r="DI671" s="2268"/>
      <c r="DJ671" s="2268"/>
      <c r="DK671" s="2268"/>
      <c r="DL671" s="2268"/>
      <c r="DM671" s="2268"/>
      <c r="DN671" s="2268"/>
      <c r="DO671" s="2268"/>
      <c r="DP671" s="2268"/>
      <c r="DQ671" s="2268"/>
      <c r="DR671" s="2268"/>
      <c r="DS671" s="2268"/>
      <c r="DT671" s="2268"/>
      <c r="DU671" s="2268"/>
      <c r="DV671" s="2268"/>
      <c r="DW671" s="2268"/>
      <c r="DX671" s="2268"/>
      <c r="DY671" s="2273"/>
    </row>
    <row r="672" spans="1:129" hidden="1" outlineLevel="1">
      <c r="A672" s="2715" t="str">
        <f>+A624</f>
        <v xml:space="preserve">$2,750M 3.75% fixed rate </v>
      </c>
      <c r="B672" s="2716"/>
      <c r="C672" s="2716"/>
      <c r="D672" s="2716"/>
      <c r="E672" s="2716"/>
      <c r="F672" s="2716"/>
      <c r="G672" s="2716"/>
      <c r="H672" s="2716"/>
      <c r="I672" s="2716"/>
      <c r="J672" s="2716"/>
      <c r="K672" s="2716"/>
      <c r="L672" s="2716"/>
      <c r="M672" s="2716"/>
      <c r="N672" s="2716"/>
      <c r="O672" s="2716">
        <v>3.7499999999999999E-2</v>
      </c>
      <c r="P672" s="2716"/>
      <c r="Q672" s="2716">
        <f t="shared" si="2416"/>
        <v>64.276541095890408</v>
      </c>
      <c r="R672" s="2716">
        <f t="shared" si="2417"/>
        <v>102.84246575342466</v>
      </c>
      <c r="S672" s="2716"/>
      <c r="T672" s="2716"/>
      <c r="U672" s="2716"/>
      <c r="V672" s="2716"/>
      <c r="W672" s="2716"/>
      <c r="X672" s="2716"/>
      <c r="Y672" s="2716"/>
      <c r="Z672" s="2716"/>
      <c r="AA672" s="2716"/>
      <c r="AB672" s="2716"/>
      <c r="AC672" s="2716"/>
      <c r="AD672" s="2716"/>
      <c r="AE672" s="2716"/>
      <c r="AF672" s="2716"/>
      <c r="AG672" s="2716"/>
      <c r="AI672" s="1956"/>
      <c r="AK672" s="2268"/>
      <c r="AL672" s="2268"/>
      <c r="AM672" s="2268"/>
      <c r="AN672" s="2268"/>
      <c r="AO672" s="2268"/>
      <c r="AP672" s="2268"/>
      <c r="AQ672" s="2268"/>
      <c r="AR672" s="2268"/>
      <c r="AS672" s="2268"/>
      <c r="AT672" s="2268"/>
      <c r="AU672" s="2268"/>
      <c r="AV672" s="2268"/>
      <c r="AW672" s="2268"/>
      <c r="AX672" s="2268"/>
      <c r="AY672" s="2268"/>
      <c r="AZ672" s="2268"/>
      <c r="BA672" s="2268"/>
      <c r="BB672" s="2268"/>
      <c r="BC672" s="2268"/>
      <c r="BD672" s="2268"/>
      <c r="BE672" s="2268"/>
      <c r="BF672" s="2268"/>
      <c r="BG672" s="2268"/>
      <c r="BH672" s="2268"/>
      <c r="BI672" s="2268"/>
      <c r="BJ672" s="2268"/>
      <c r="BK672" s="2268"/>
      <c r="BL672" s="2268"/>
      <c r="BM672" s="2268"/>
      <c r="BN672" s="2268"/>
      <c r="BO672" s="2268"/>
      <c r="BP672" s="2268"/>
      <c r="BQ672" s="2268"/>
      <c r="BR672" s="2268"/>
      <c r="BS672" s="2268"/>
      <c r="BT672" s="2268"/>
      <c r="BU672" s="2268"/>
      <c r="BV672" s="2268"/>
      <c r="BW672" s="2268"/>
      <c r="BX672" s="2268"/>
      <c r="BY672" s="2268"/>
      <c r="BZ672" s="2268"/>
      <c r="CA672" s="2268"/>
      <c r="CB672" s="2268"/>
      <c r="CC672" s="2268"/>
      <c r="CD672" s="2268"/>
      <c r="CE672" s="2268"/>
      <c r="CF672" s="2268"/>
      <c r="CG672" s="2268"/>
      <c r="CH672" s="2268"/>
      <c r="CI672" s="2268"/>
      <c r="CJ672" s="2268"/>
      <c r="CK672" s="2268"/>
      <c r="CL672" s="1939">
        <f t="shared" ref="CL672:CW672" si="2430">$O672*AVERAGE(CL625,CL627)*91/365</f>
        <v>0</v>
      </c>
      <c r="CM672" s="2268">
        <f t="shared" si="2430"/>
        <v>12.855308219178083</v>
      </c>
      <c r="CN672" s="2268">
        <f t="shared" si="2430"/>
        <v>25.710616438356166</v>
      </c>
      <c r="CO672" s="2268">
        <f t="shared" si="2430"/>
        <v>25.710616438356166</v>
      </c>
      <c r="CP672" s="1939">
        <f t="shared" si="2430"/>
        <v>25.710616438356166</v>
      </c>
      <c r="CQ672" s="2268">
        <f t="shared" si="2430"/>
        <v>25.710616438356166</v>
      </c>
      <c r="CR672" s="2268">
        <f t="shared" si="2430"/>
        <v>25.710616438356166</v>
      </c>
      <c r="CS672" s="2268">
        <f t="shared" si="2430"/>
        <v>25.710616438356166</v>
      </c>
      <c r="CT672" s="1939">
        <f t="shared" si="2430"/>
        <v>25.710616438356166</v>
      </c>
      <c r="CU672" s="2268">
        <f t="shared" si="2430"/>
        <v>12.855308219178083</v>
      </c>
      <c r="CV672" s="2268">
        <f t="shared" si="2430"/>
        <v>0</v>
      </c>
      <c r="CW672" s="2273">
        <f t="shared" si="2430"/>
        <v>0</v>
      </c>
      <c r="CX672" s="2268"/>
      <c r="CY672" s="2268"/>
      <c r="CZ672" s="2268"/>
      <c r="DA672" s="2268"/>
      <c r="DB672" s="1939"/>
      <c r="DC672" s="2268"/>
      <c r="DD672" s="2268"/>
      <c r="DE672" s="2268"/>
      <c r="DF672" s="2268"/>
      <c r="DG672" s="2268"/>
      <c r="DH672" s="2268"/>
      <c r="DI672" s="2268"/>
      <c r="DJ672" s="2268"/>
      <c r="DK672" s="2268"/>
      <c r="DL672" s="2268"/>
      <c r="DM672" s="2268"/>
      <c r="DN672" s="2268"/>
      <c r="DO672" s="2268"/>
      <c r="DP672" s="2268"/>
      <c r="DQ672" s="2268"/>
      <c r="DR672" s="2268"/>
      <c r="DS672" s="2268"/>
      <c r="DT672" s="2268"/>
      <c r="DU672" s="2268"/>
      <c r="DV672" s="2268"/>
      <c r="DW672" s="2268"/>
      <c r="DX672" s="2268"/>
      <c r="DY672" s="2273"/>
    </row>
    <row r="673" spans="1:129" hidden="1" outlineLevel="1">
      <c r="A673" s="2717" t="s">
        <v>143</v>
      </c>
      <c r="B673" s="2716"/>
      <c r="C673" s="2716"/>
      <c r="D673" s="2716"/>
      <c r="E673" s="2716"/>
      <c r="F673" s="2716"/>
      <c r="G673" s="2716"/>
      <c r="H673" s="2716"/>
      <c r="I673" s="2716"/>
      <c r="J673" s="2716"/>
      <c r="K673" s="2716"/>
      <c r="L673" s="2716"/>
      <c r="M673" s="2716"/>
      <c r="N673" s="2716"/>
      <c r="O673" s="2716"/>
      <c r="P673" s="2716"/>
      <c r="Q673" s="2718">
        <f>SUM(Q660:Q672)</f>
        <v>1232.70875</v>
      </c>
      <c r="R673" s="2718">
        <f>SUM(R660:R672)</f>
        <v>1123.3276849315068</v>
      </c>
      <c r="S673" s="2718"/>
      <c r="T673" s="2718"/>
      <c r="U673" s="2718"/>
      <c r="V673" s="2718"/>
      <c r="W673" s="2718"/>
      <c r="X673" s="2718"/>
      <c r="Y673" s="2718"/>
      <c r="Z673" s="2718"/>
      <c r="AA673" s="2718"/>
      <c r="AB673" s="2718"/>
      <c r="AC673" s="2718"/>
      <c r="AD673" s="2718"/>
      <c r="AE673" s="2718"/>
      <c r="AF673" s="2718"/>
      <c r="AG673" s="2718"/>
      <c r="AI673" s="1956"/>
      <c r="AK673" s="2268"/>
      <c r="AL673" s="2268"/>
      <c r="AM673" s="2268"/>
      <c r="AN673" s="2268"/>
      <c r="AO673" s="2268"/>
      <c r="AP673" s="2268"/>
      <c r="AQ673" s="2268"/>
      <c r="AR673" s="2268"/>
      <c r="AS673" s="2268"/>
      <c r="AT673" s="2268"/>
      <c r="AU673" s="2268"/>
      <c r="AV673" s="2268"/>
      <c r="AW673" s="2268"/>
      <c r="AX673" s="2268"/>
      <c r="AY673" s="2268"/>
      <c r="AZ673" s="2268"/>
      <c r="BA673" s="2268"/>
      <c r="BB673" s="2268"/>
      <c r="BC673" s="2268"/>
      <c r="BD673" s="2268"/>
      <c r="BE673" s="2268"/>
      <c r="BF673" s="2268"/>
      <c r="BG673" s="2268"/>
      <c r="BH673" s="2268"/>
      <c r="BI673" s="2268"/>
      <c r="BJ673" s="2268"/>
      <c r="BK673" s="2268"/>
      <c r="BL673" s="2268"/>
      <c r="BM673" s="2268"/>
      <c r="BN673" s="2268"/>
      <c r="BO673" s="2268"/>
      <c r="BP673" s="2268"/>
      <c r="BQ673" s="2268"/>
      <c r="BR673" s="2268"/>
      <c r="BS673" s="2268"/>
      <c r="BT673" s="2268"/>
      <c r="BU673" s="2268"/>
      <c r="BV673" s="2268"/>
      <c r="BW673" s="2268"/>
      <c r="BX673" s="2268"/>
      <c r="BY673" s="2268"/>
      <c r="BZ673" s="2268"/>
      <c r="CA673" s="2268"/>
      <c r="CB673" s="2268"/>
      <c r="CC673" s="2268"/>
      <c r="CD673" s="2268"/>
      <c r="CE673" s="2268"/>
      <c r="CF673" s="2268"/>
      <c r="CG673" s="2268"/>
      <c r="CH673" s="2268"/>
      <c r="CI673" s="2268"/>
      <c r="CJ673" s="2268"/>
      <c r="CK673" s="2268"/>
      <c r="CL673" s="2719">
        <f t="shared" ref="CL673:CW673" si="2431">SUM(CL660:CL672)</f>
        <v>265.26920719178082</v>
      </c>
      <c r="CM673" s="2720">
        <f t="shared" si="2431"/>
        <v>334.76780821917811</v>
      </c>
      <c r="CN673" s="2720">
        <f t="shared" si="2431"/>
        <v>316.48382020547945</v>
      </c>
      <c r="CO673" s="2720">
        <f t="shared" si="2431"/>
        <v>316.18791438356163</v>
      </c>
      <c r="CP673" s="2719">
        <f t="shared" si="2431"/>
        <v>315.93548287671229</v>
      </c>
      <c r="CQ673" s="2720">
        <f t="shared" si="2431"/>
        <v>292.43753767123286</v>
      </c>
      <c r="CR673" s="2720">
        <f t="shared" si="2431"/>
        <v>261.29808561643836</v>
      </c>
      <c r="CS673" s="2720">
        <f t="shared" si="2431"/>
        <v>253.65657876712328</v>
      </c>
      <c r="CT673" s="2719">
        <f t="shared" si="2431"/>
        <v>253.65657876712328</v>
      </c>
      <c r="CU673" s="2720">
        <f t="shared" si="2431"/>
        <v>233.01017465753424</v>
      </c>
      <c r="CV673" s="2720">
        <f t="shared" si="2431"/>
        <v>212.36377054794519</v>
      </c>
      <c r="CW673" s="2721">
        <f t="shared" si="2431"/>
        <v>203.51448801369864</v>
      </c>
      <c r="CX673" s="2720"/>
      <c r="CY673" s="2720"/>
      <c r="CZ673" s="2720"/>
      <c r="DA673" s="2720"/>
      <c r="DB673" s="2719"/>
      <c r="DC673" s="2720"/>
      <c r="DD673" s="2720"/>
      <c r="DE673" s="2720"/>
      <c r="DF673" s="2720"/>
      <c r="DG673" s="2720"/>
      <c r="DH673" s="2720"/>
      <c r="DI673" s="2720"/>
      <c r="DJ673" s="2720"/>
      <c r="DK673" s="2720"/>
      <c r="DL673" s="2720"/>
      <c r="DM673" s="2720"/>
      <c r="DN673" s="2720"/>
      <c r="DO673" s="2720"/>
      <c r="DP673" s="2720"/>
      <c r="DQ673" s="2720"/>
      <c r="DR673" s="2720"/>
      <c r="DS673" s="2720"/>
      <c r="DT673" s="2720"/>
      <c r="DU673" s="2720"/>
      <c r="DV673" s="2720"/>
      <c r="DW673" s="2720"/>
      <c r="DX673" s="2720"/>
      <c r="DY673" s="2721"/>
    </row>
    <row r="674" spans="1:129" hidden="1" outlineLevel="1">
      <c r="A674" s="2717" t="str">
        <f>+A636</f>
        <v>Term notes payable to Affiliates:</v>
      </c>
      <c r="B674" s="2716"/>
      <c r="C674" s="2716"/>
      <c r="D674" s="2716"/>
      <c r="E674" s="2716"/>
      <c r="F674" s="2716"/>
      <c r="G674" s="2716"/>
      <c r="H674" s="2716"/>
      <c r="I674" s="2716"/>
      <c r="J674" s="2716"/>
      <c r="K674" s="2716"/>
      <c r="L674" s="2716"/>
      <c r="M674" s="2716"/>
      <c r="N674" s="2716"/>
      <c r="O674" s="2716"/>
      <c r="P674" s="2716"/>
      <c r="Q674" s="2716"/>
      <c r="R674" s="2716"/>
      <c r="S674" s="2716"/>
      <c r="T674" s="2716"/>
      <c r="U674" s="2716"/>
      <c r="V674" s="2716"/>
      <c r="W674" s="2716"/>
      <c r="X674" s="2716"/>
      <c r="Y674" s="2716"/>
      <c r="Z674" s="2716"/>
      <c r="AA674" s="2716"/>
      <c r="AB674" s="2716"/>
      <c r="AC674" s="2716"/>
      <c r="AD674" s="2716"/>
      <c r="AE674" s="2716"/>
      <c r="AF674" s="2716"/>
      <c r="AG674" s="2716"/>
      <c r="AI674" s="1956"/>
      <c r="AK674" s="2268"/>
      <c r="AL674" s="2268"/>
      <c r="AM674" s="2268"/>
      <c r="AN674" s="2268"/>
      <c r="AO674" s="2268"/>
      <c r="AP674" s="2268"/>
      <c r="AQ674" s="2268"/>
      <c r="AR674" s="2268"/>
      <c r="AS674" s="2268"/>
      <c r="AT674" s="2268"/>
      <c r="AU674" s="2268"/>
      <c r="AV674" s="2268"/>
      <c r="AW674" s="2268"/>
      <c r="AX674" s="2268"/>
      <c r="AY674" s="2268"/>
      <c r="AZ674" s="2268"/>
      <c r="BA674" s="2268"/>
      <c r="BB674" s="2268"/>
      <c r="BC674" s="2268"/>
      <c r="BD674" s="2268"/>
      <c r="BE674" s="2268"/>
      <c r="BF674" s="2268"/>
      <c r="BG674" s="2268"/>
      <c r="BH674" s="2268"/>
      <c r="BI674" s="2268"/>
      <c r="BJ674" s="2268"/>
      <c r="BK674" s="2268"/>
      <c r="BL674" s="2268"/>
      <c r="BM674" s="2268"/>
      <c r="BN674" s="2268"/>
      <c r="BO674" s="2268"/>
      <c r="BP674" s="2268"/>
      <c r="BQ674" s="2268"/>
      <c r="BR674" s="2268"/>
      <c r="BS674" s="2268"/>
      <c r="BT674" s="2268"/>
      <c r="BU674" s="2268"/>
      <c r="BV674" s="2268"/>
      <c r="BW674" s="2268"/>
      <c r="BX674" s="2268"/>
      <c r="BY674" s="2268"/>
      <c r="BZ674" s="2268"/>
      <c r="CA674" s="2268"/>
      <c r="CB674" s="2268"/>
      <c r="CC674" s="2268"/>
      <c r="CD674" s="2268"/>
      <c r="CE674" s="2268"/>
      <c r="CF674" s="2268"/>
      <c r="CG674" s="2268"/>
      <c r="CH674" s="2268"/>
      <c r="CI674" s="2268"/>
      <c r="CJ674" s="2268"/>
      <c r="CK674" s="2268"/>
      <c r="CL674" s="1939"/>
      <c r="CM674" s="2268"/>
      <c r="CN674" s="2268"/>
      <c r="CO674" s="2268"/>
      <c r="CP674" s="1939"/>
      <c r="CQ674" s="2268"/>
      <c r="CR674" s="2268"/>
      <c r="CS674" s="2268"/>
      <c r="CT674" s="1939"/>
      <c r="CU674" s="2268"/>
      <c r="CV674" s="2268"/>
      <c r="CW674" s="2273"/>
      <c r="CX674" s="2268"/>
      <c r="CY674" s="2268"/>
      <c r="CZ674" s="2268"/>
      <c r="DA674" s="2268"/>
      <c r="DB674" s="1939"/>
      <c r="DC674" s="2268"/>
      <c r="DD674" s="2268"/>
      <c r="DE674" s="2268"/>
      <c r="DF674" s="2268"/>
      <c r="DG674" s="2268"/>
      <c r="DH674" s="2268"/>
      <c r="DI674" s="2268"/>
      <c r="DJ674" s="2268"/>
      <c r="DK674" s="2268"/>
      <c r="DL674" s="2268"/>
      <c r="DM674" s="2268"/>
      <c r="DN674" s="2268"/>
      <c r="DO674" s="2268"/>
      <c r="DP674" s="2268"/>
      <c r="DQ674" s="2268"/>
      <c r="DR674" s="2268"/>
      <c r="DS674" s="2268"/>
      <c r="DT674" s="2268"/>
      <c r="DU674" s="2268"/>
      <c r="DV674" s="2268"/>
      <c r="DW674" s="2268"/>
      <c r="DX674" s="2268"/>
      <c r="DY674" s="2273"/>
    </row>
    <row r="675" spans="1:129" hidden="1" outlineLevel="1">
      <c r="A675" s="2715" t="str">
        <f>+A637</f>
        <v>$2,43M floating rate</v>
      </c>
      <c r="B675" s="2716"/>
      <c r="C675" s="2716"/>
      <c r="D675" s="2716"/>
      <c r="E675" s="2716"/>
      <c r="F675" s="2716"/>
      <c r="G675" s="2716"/>
      <c r="H675" s="2716"/>
      <c r="I675" s="2716"/>
      <c r="J675" s="2716"/>
      <c r="K675" s="2716"/>
      <c r="L675" s="2716"/>
      <c r="M675" s="2716"/>
      <c r="N675" s="2716"/>
      <c r="O675" s="2716">
        <v>0.05</v>
      </c>
      <c r="P675" s="2716"/>
      <c r="Q675" s="2716">
        <f>+SUM(CL675:CO675)</f>
        <v>47.538150684931509</v>
      </c>
      <c r="R675" s="2716">
        <f>+SUM(CP675:CS675)</f>
        <v>0</v>
      </c>
      <c r="S675" s="2716"/>
      <c r="T675" s="2716"/>
      <c r="U675" s="2716"/>
      <c r="V675" s="2716"/>
      <c r="W675" s="2716"/>
      <c r="X675" s="2716"/>
      <c r="Y675" s="2716"/>
      <c r="Z675" s="2716"/>
      <c r="AA675" s="2716"/>
      <c r="AB675" s="2716"/>
      <c r="AC675" s="2716"/>
      <c r="AD675" s="2716"/>
      <c r="AE675" s="2716"/>
      <c r="AF675" s="2716"/>
      <c r="AG675" s="2716"/>
      <c r="AI675" s="1956"/>
      <c r="AK675" s="2268"/>
      <c r="AL675" s="2268"/>
      <c r="AM675" s="2268"/>
      <c r="AN675" s="2268"/>
      <c r="AO675" s="2268"/>
      <c r="AP675" s="2268"/>
      <c r="AQ675" s="2268"/>
      <c r="AR675" s="2268"/>
      <c r="AS675" s="2268"/>
      <c r="AT675" s="2268"/>
      <c r="AU675" s="2268"/>
      <c r="AV675" s="2268"/>
      <c r="AW675" s="2268"/>
      <c r="AX675" s="2268"/>
      <c r="AY675" s="2268"/>
      <c r="AZ675" s="2268"/>
      <c r="BA675" s="2268"/>
      <c r="BB675" s="2268"/>
      <c r="BC675" s="2268"/>
      <c r="BD675" s="2268"/>
      <c r="BE675" s="2268"/>
      <c r="BF675" s="2268"/>
      <c r="BG675" s="2268"/>
      <c r="BH675" s="2268"/>
      <c r="BI675" s="2268"/>
      <c r="BJ675" s="2268"/>
      <c r="BK675" s="2268"/>
      <c r="BL675" s="2268"/>
      <c r="BM675" s="2268"/>
      <c r="BN675" s="2268"/>
      <c r="BO675" s="2268"/>
      <c r="BP675" s="2268"/>
      <c r="BQ675" s="2268"/>
      <c r="BR675" s="2268"/>
      <c r="BS675" s="2268"/>
      <c r="BT675" s="2268"/>
      <c r="BU675" s="2268"/>
      <c r="BV675" s="2268"/>
      <c r="BW675" s="2268"/>
      <c r="BX675" s="2268"/>
      <c r="BY675" s="2268"/>
      <c r="BZ675" s="2268"/>
      <c r="CA675" s="2268"/>
      <c r="CB675" s="2268"/>
      <c r="CC675" s="2268"/>
      <c r="CD675" s="2268"/>
      <c r="CE675" s="2268"/>
      <c r="CF675" s="2268"/>
      <c r="CG675" s="2268"/>
      <c r="CH675" s="2268"/>
      <c r="CI675" s="2268"/>
      <c r="CJ675" s="2268"/>
      <c r="CK675" s="2268"/>
      <c r="CL675" s="1939">
        <f t="shared" ref="CL675:CW675" si="2432">$O675*AVERAGE(CL638,CL640)*91/365</f>
        <v>24.0713698630137</v>
      </c>
      <c r="CM675" s="2268">
        <f t="shared" si="2432"/>
        <v>17.751232876712329</v>
      </c>
      <c r="CN675" s="2268">
        <f t="shared" si="2432"/>
        <v>5.71554794520548</v>
      </c>
      <c r="CO675" s="2268">
        <f t="shared" si="2432"/>
        <v>0</v>
      </c>
      <c r="CP675" s="1939">
        <f t="shared" si="2432"/>
        <v>0</v>
      </c>
      <c r="CQ675" s="2268">
        <f t="shared" si="2432"/>
        <v>0</v>
      </c>
      <c r="CR675" s="2268">
        <f t="shared" si="2432"/>
        <v>0</v>
      </c>
      <c r="CS675" s="2268">
        <f t="shared" si="2432"/>
        <v>0</v>
      </c>
      <c r="CT675" s="1939">
        <f t="shared" si="2432"/>
        <v>0</v>
      </c>
      <c r="CU675" s="2268">
        <f t="shared" si="2432"/>
        <v>0</v>
      </c>
      <c r="CV675" s="2268">
        <f t="shared" si="2432"/>
        <v>0</v>
      </c>
      <c r="CW675" s="2273">
        <f t="shared" si="2432"/>
        <v>0</v>
      </c>
      <c r="CX675" s="2268"/>
      <c r="CY675" s="2268"/>
      <c r="CZ675" s="2268"/>
      <c r="DA675" s="2268"/>
      <c r="DB675" s="1939"/>
      <c r="DC675" s="2268"/>
      <c r="DD675" s="2268"/>
      <c r="DE675" s="2268"/>
      <c r="DF675" s="2268"/>
      <c r="DG675" s="2268"/>
      <c r="DH675" s="2268"/>
      <c r="DI675" s="2268"/>
      <c r="DJ675" s="2268"/>
      <c r="DK675" s="2268"/>
      <c r="DL675" s="2268"/>
      <c r="DM675" s="2268"/>
      <c r="DN675" s="2268"/>
      <c r="DO675" s="2268"/>
      <c r="DP675" s="2268"/>
      <c r="DQ675" s="2268"/>
      <c r="DR675" s="2268"/>
      <c r="DS675" s="2268"/>
      <c r="DT675" s="2268"/>
      <c r="DU675" s="2268"/>
      <c r="DV675" s="2268"/>
      <c r="DW675" s="2268"/>
      <c r="DX675" s="2268"/>
      <c r="DY675" s="2273"/>
    </row>
    <row r="676" spans="1:129" hidden="1" outlineLevel="1">
      <c r="A676" s="2715" t="str">
        <f>+A641</f>
        <v xml:space="preserve">$9,000M fixed rate </v>
      </c>
      <c r="B676" s="2716"/>
      <c r="C676" s="2716"/>
      <c r="D676" s="2716"/>
      <c r="E676" s="2716"/>
      <c r="F676" s="2716"/>
      <c r="G676" s="2716"/>
      <c r="H676" s="2716"/>
      <c r="I676" s="2716"/>
      <c r="J676" s="2716"/>
      <c r="K676" s="2716"/>
      <c r="L676" s="2716"/>
      <c r="M676" s="2716"/>
      <c r="N676" s="2716"/>
      <c r="O676" s="2716">
        <v>5.8000000000000003E-2</v>
      </c>
      <c r="P676" s="2716"/>
      <c r="Q676" s="2716">
        <f>+SUM(CL676:CO676)</f>
        <v>5.9142520547945203</v>
      </c>
      <c r="R676" s="2716">
        <f>+SUM(CP676:CS676)</f>
        <v>0</v>
      </c>
      <c r="S676" s="2716"/>
      <c r="T676" s="2716"/>
      <c r="U676" s="2716"/>
      <c r="V676" s="2716"/>
      <c r="W676" s="2716"/>
      <c r="X676" s="2716"/>
      <c r="Y676" s="2716"/>
      <c r="Z676" s="2716"/>
      <c r="AA676" s="2716"/>
      <c r="AB676" s="2716"/>
      <c r="AC676" s="2716"/>
      <c r="AD676" s="2716"/>
      <c r="AE676" s="2716"/>
      <c r="AF676" s="2716"/>
      <c r="AG676" s="2716"/>
      <c r="AI676" s="1956"/>
      <c r="AK676" s="2268"/>
      <c r="AL676" s="2268"/>
      <c r="AM676" s="2268"/>
      <c r="AN676" s="2268"/>
      <c r="AO676" s="2268"/>
      <c r="AP676" s="2268"/>
      <c r="AQ676" s="2268"/>
      <c r="AR676" s="2268"/>
      <c r="AS676" s="2268"/>
      <c r="AT676" s="2268"/>
      <c r="AU676" s="2268"/>
      <c r="AV676" s="2268"/>
      <c r="AW676" s="2268"/>
      <c r="AX676" s="2268"/>
      <c r="AY676" s="2268"/>
      <c r="AZ676" s="2268"/>
      <c r="BA676" s="2268"/>
      <c r="BB676" s="2268"/>
      <c r="BC676" s="2268"/>
      <c r="BD676" s="2268"/>
      <c r="BE676" s="2268"/>
      <c r="BF676" s="2268"/>
      <c r="BG676" s="2268"/>
      <c r="BH676" s="2268"/>
      <c r="BI676" s="2268"/>
      <c r="BJ676" s="2268"/>
      <c r="BK676" s="2268"/>
      <c r="BL676" s="2268"/>
      <c r="BM676" s="2268"/>
      <c r="BN676" s="2268"/>
      <c r="BO676" s="2268"/>
      <c r="BP676" s="2268"/>
      <c r="BQ676" s="2268"/>
      <c r="BR676" s="2268"/>
      <c r="BS676" s="2268"/>
      <c r="BT676" s="2268"/>
      <c r="BU676" s="2268"/>
      <c r="BV676" s="2268"/>
      <c r="BW676" s="2268"/>
      <c r="BX676" s="2268"/>
      <c r="BY676" s="2268"/>
      <c r="BZ676" s="2268"/>
      <c r="CA676" s="2268"/>
      <c r="CB676" s="2268"/>
      <c r="CC676" s="2268"/>
      <c r="CD676" s="2268"/>
      <c r="CE676" s="2268"/>
      <c r="CF676" s="2268"/>
      <c r="CG676" s="2268"/>
      <c r="CH676" s="2268"/>
      <c r="CI676" s="2268"/>
      <c r="CJ676" s="2268"/>
      <c r="CK676" s="2268"/>
      <c r="CL676" s="1939">
        <f t="shared" ref="CL676:CW676" si="2433">$O676*AVERAGE(CL642,CL644)*91/365</f>
        <v>3.2824821917808218</v>
      </c>
      <c r="CM676" s="2268">
        <f t="shared" si="2433"/>
        <v>1.3158849315068495</v>
      </c>
      <c r="CN676" s="2268">
        <f t="shared" si="2433"/>
        <v>1.3158849315068495</v>
      </c>
      <c r="CO676" s="2268">
        <f t="shared" si="2433"/>
        <v>0</v>
      </c>
      <c r="CP676" s="1939">
        <f t="shared" si="2433"/>
        <v>0</v>
      </c>
      <c r="CQ676" s="2268">
        <f t="shared" si="2433"/>
        <v>0</v>
      </c>
      <c r="CR676" s="2268">
        <f t="shared" si="2433"/>
        <v>0</v>
      </c>
      <c r="CS676" s="2268">
        <f t="shared" si="2433"/>
        <v>0</v>
      </c>
      <c r="CT676" s="1939">
        <f t="shared" si="2433"/>
        <v>0</v>
      </c>
      <c r="CU676" s="2268">
        <f t="shared" si="2433"/>
        <v>0</v>
      </c>
      <c r="CV676" s="2268">
        <f t="shared" si="2433"/>
        <v>0</v>
      </c>
      <c r="CW676" s="2273">
        <f t="shared" si="2433"/>
        <v>0</v>
      </c>
      <c r="CX676" s="2268"/>
      <c r="CY676" s="2268"/>
      <c r="CZ676" s="2268"/>
      <c r="DA676" s="2268"/>
      <c r="DB676" s="1939"/>
      <c r="DC676" s="2268"/>
      <c r="DD676" s="2268"/>
      <c r="DE676" s="2268"/>
      <c r="DF676" s="2268"/>
      <c r="DG676" s="2268"/>
      <c r="DH676" s="2268"/>
      <c r="DI676" s="2268"/>
      <c r="DJ676" s="2268"/>
      <c r="DK676" s="2268"/>
      <c r="DL676" s="2268"/>
      <c r="DM676" s="2268"/>
      <c r="DN676" s="2268"/>
      <c r="DO676" s="2268"/>
      <c r="DP676" s="2268"/>
      <c r="DQ676" s="2268"/>
      <c r="DR676" s="2268"/>
      <c r="DS676" s="2268"/>
      <c r="DT676" s="2268"/>
      <c r="DU676" s="2268"/>
      <c r="DV676" s="2268"/>
      <c r="DW676" s="2268"/>
      <c r="DX676" s="2268"/>
      <c r="DY676" s="2273"/>
    </row>
    <row r="677" spans="1:129" hidden="1" outlineLevel="1">
      <c r="A677" s="2715" t="str">
        <f>+A645</f>
        <v>$9,363M floating rate</v>
      </c>
      <c r="B677" s="2716"/>
      <c r="C677" s="2716"/>
      <c r="D677" s="2716"/>
      <c r="E677" s="2716"/>
      <c r="F677" s="2716"/>
      <c r="G677" s="2716"/>
      <c r="H677" s="2716"/>
      <c r="I677" s="2716"/>
      <c r="J677" s="2716"/>
      <c r="K677" s="2716"/>
      <c r="L677" s="2716"/>
      <c r="M677" s="2716"/>
      <c r="N677" s="2716"/>
      <c r="O677" s="2716">
        <v>0.05</v>
      </c>
      <c r="P677" s="2716"/>
      <c r="Q677" s="2716">
        <f>+SUM(CL677:CO677)</f>
        <v>419.55986301369865</v>
      </c>
      <c r="R677" s="2716">
        <f>+SUM(CP677:CS677)</f>
        <v>53.62143835616439</v>
      </c>
      <c r="S677" s="2716"/>
      <c r="T677" s="2716"/>
      <c r="U677" s="2716"/>
      <c r="V677" s="2716"/>
      <c r="W677" s="2716"/>
      <c r="X677" s="2716"/>
      <c r="Y677" s="2716"/>
      <c r="Z677" s="2716"/>
      <c r="AA677" s="2716"/>
      <c r="AB677" s="2716"/>
      <c r="AC677" s="2716"/>
      <c r="AD677" s="2716"/>
      <c r="AE677" s="2716"/>
      <c r="AF677" s="2716"/>
      <c r="AG677" s="2716"/>
      <c r="AI677" s="1956"/>
      <c r="AK677" s="2268"/>
      <c r="AL677" s="2268"/>
      <c r="AM677" s="2268"/>
      <c r="AN677" s="2268"/>
      <c r="AO677" s="2268"/>
      <c r="AP677" s="2268"/>
      <c r="AQ677" s="2268"/>
      <c r="AR677" s="2268"/>
      <c r="AS677" s="2268"/>
      <c r="AT677" s="2268"/>
      <c r="AU677" s="2268"/>
      <c r="AV677" s="2268"/>
      <c r="AW677" s="2268"/>
      <c r="AX677" s="2268"/>
      <c r="AY677" s="2268"/>
      <c r="AZ677" s="2268"/>
      <c r="BA677" s="2268"/>
      <c r="BB677" s="2268"/>
      <c r="BC677" s="2268"/>
      <c r="BD677" s="2268"/>
      <c r="BE677" s="2268"/>
      <c r="BF677" s="2268"/>
      <c r="BG677" s="2268"/>
      <c r="BH677" s="2268"/>
      <c r="BI677" s="2268"/>
      <c r="BJ677" s="2268"/>
      <c r="BK677" s="2268"/>
      <c r="BL677" s="2268"/>
      <c r="BM677" s="2268"/>
      <c r="BN677" s="2268"/>
      <c r="BO677" s="2268"/>
      <c r="BP677" s="2268"/>
      <c r="BQ677" s="2268"/>
      <c r="BR677" s="2268"/>
      <c r="BS677" s="2268"/>
      <c r="BT677" s="2268"/>
      <c r="BU677" s="2268"/>
      <c r="BV677" s="2268"/>
      <c r="BW677" s="2268"/>
      <c r="BX677" s="2268"/>
      <c r="BY677" s="2268"/>
      <c r="BZ677" s="2268"/>
      <c r="CA677" s="2268"/>
      <c r="CB677" s="2268"/>
      <c r="CC677" s="2268"/>
      <c r="CD677" s="2268"/>
      <c r="CE677" s="2268"/>
      <c r="CF677" s="2268"/>
      <c r="CG677" s="2268"/>
      <c r="CH677" s="2268"/>
      <c r="CI677" s="2268"/>
      <c r="CJ677" s="2268"/>
      <c r="CK677" s="2268"/>
      <c r="CL677" s="1939">
        <f t="shared" ref="CL677:CW677" si="2434">$O677*AVERAGE(CL646,CL648)*91/365</f>
        <v>116.7168493150685</v>
      </c>
      <c r="CM677" s="2268">
        <f t="shared" si="2434"/>
        <v>116.7168493150685</v>
      </c>
      <c r="CN677" s="2268">
        <f t="shared" si="2434"/>
        <v>106.65075342465754</v>
      </c>
      <c r="CO677" s="2268">
        <f t="shared" si="2434"/>
        <v>79.475410958904121</v>
      </c>
      <c r="CP677" s="1939">
        <f t="shared" si="2434"/>
        <v>42.402260273972608</v>
      </c>
      <c r="CQ677" s="2268">
        <f t="shared" si="2434"/>
        <v>11.219178082191782</v>
      </c>
      <c r="CR677" s="2268">
        <f t="shared" si="2434"/>
        <v>0</v>
      </c>
      <c r="CS677" s="2268">
        <f t="shared" si="2434"/>
        <v>0</v>
      </c>
      <c r="CT677" s="1939">
        <f t="shared" si="2434"/>
        <v>0</v>
      </c>
      <c r="CU677" s="2268">
        <f t="shared" si="2434"/>
        <v>0</v>
      </c>
      <c r="CV677" s="2268">
        <f t="shared" si="2434"/>
        <v>0</v>
      </c>
      <c r="CW677" s="2273">
        <f t="shared" si="2434"/>
        <v>0</v>
      </c>
      <c r="CX677" s="2268"/>
      <c r="CY677" s="2268"/>
      <c r="CZ677" s="2268"/>
      <c r="DA677" s="2268"/>
      <c r="DB677" s="1939"/>
      <c r="DC677" s="2268"/>
      <c r="DD677" s="2268"/>
      <c r="DE677" s="2268"/>
      <c r="DF677" s="2268"/>
      <c r="DG677" s="2268"/>
      <c r="DH677" s="2268"/>
      <c r="DI677" s="2268"/>
      <c r="DJ677" s="2268"/>
      <c r="DK677" s="2268"/>
      <c r="DL677" s="2268"/>
      <c r="DM677" s="2268"/>
      <c r="DN677" s="2268"/>
      <c r="DO677" s="2268"/>
      <c r="DP677" s="2268"/>
      <c r="DQ677" s="2268"/>
      <c r="DR677" s="2268"/>
      <c r="DS677" s="2268"/>
      <c r="DT677" s="2268"/>
      <c r="DU677" s="2268"/>
      <c r="DV677" s="2268"/>
      <c r="DW677" s="2268"/>
      <c r="DX677" s="2268"/>
      <c r="DY677" s="2273"/>
    </row>
    <row r="678" spans="1:129" hidden="1" outlineLevel="1">
      <c r="A678" s="2722" t="s">
        <v>143</v>
      </c>
      <c r="B678" s="2268"/>
      <c r="C678" s="2268"/>
      <c r="D678" s="2268"/>
      <c r="E678" s="2268"/>
      <c r="F678" s="2268"/>
      <c r="G678" s="2268"/>
      <c r="H678" s="2268"/>
      <c r="I678" s="2268"/>
      <c r="J678" s="2268"/>
      <c r="K678" s="2268"/>
      <c r="L678" s="2268"/>
      <c r="M678" s="2268"/>
      <c r="N678" s="2268"/>
      <c r="O678" s="2268"/>
      <c r="P678" s="2268"/>
      <c r="Q678" s="2720">
        <f>SUM(Q675:Q677)</f>
        <v>473.01226575342469</v>
      </c>
      <c r="R678" s="2720">
        <f>SUM(R675:R677)</f>
        <v>53.62143835616439</v>
      </c>
      <c r="S678" s="2720"/>
      <c r="T678" s="2720"/>
      <c r="U678" s="2720"/>
      <c r="V678" s="2720"/>
      <c r="W678" s="2720"/>
      <c r="X678" s="2720"/>
      <c r="Y678" s="2720"/>
      <c r="Z678" s="2720"/>
      <c r="AA678" s="2720"/>
      <c r="AB678" s="2720"/>
      <c r="AC678" s="2720"/>
      <c r="AD678" s="2720"/>
      <c r="AE678" s="2720"/>
      <c r="AF678" s="2720"/>
      <c r="AG678" s="2720"/>
      <c r="AI678" s="1956"/>
      <c r="AK678" s="2268"/>
      <c r="AL678" s="2268"/>
      <c r="AM678" s="2268"/>
      <c r="AN678" s="2268"/>
      <c r="AO678" s="2268"/>
      <c r="AP678" s="2268"/>
      <c r="AQ678" s="2268"/>
      <c r="AR678" s="2268"/>
      <c r="AS678" s="2268"/>
      <c r="AT678" s="2268"/>
      <c r="AU678" s="2268"/>
      <c r="AV678" s="2268"/>
      <c r="AW678" s="2268"/>
      <c r="AX678" s="2268"/>
      <c r="AY678" s="2268"/>
      <c r="AZ678" s="2268"/>
      <c r="BA678" s="2268"/>
      <c r="BB678" s="2268"/>
      <c r="BC678" s="2268"/>
      <c r="BD678" s="2268"/>
      <c r="BE678" s="2268"/>
      <c r="BF678" s="2268"/>
      <c r="BG678" s="2268"/>
      <c r="BH678" s="2268"/>
      <c r="BI678" s="2268"/>
      <c r="BJ678" s="2268"/>
      <c r="BK678" s="2268"/>
      <c r="BL678" s="2268"/>
      <c r="BM678" s="2268"/>
      <c r="BN678" s="2268"/>
      <c r="BO678" s="2268"/>
      <c r="BP678" s="2268"/>
      <c r="BQ678" s="2268"/>
      <c r="BR678" s="2268"/>
      <c r="BS678" s="2268"/>
      <c r="BT678" s="2268"/>
      <c r="BU678" s="2268"/>
      <c r="BV678" s="2268"/>
      <c r="BW678" s="2268"/>
      <c r="BX678" s="2268"/>
      <c r="BY678" s="2268"/>
      <c r="BZ678" s="2268"/>
      <c r="CA678" s="2268"/>
      <c r="CB678" s="2268"/>
      <c r="CC678" s="2268"/>
      <c r="CD678" s="2268"/>
      <c r="CE678" s="2268"/>
      <c r="CF678" s="2268"/>
      <c r="CG678" s="2268"/>
      <c r="CH678" s="2268"/>
      <c r="CI678" s="2268"/>
      <c r="CJ678" s="2268"/>
      <c r="CK678" s="2268"/>
      <c r="CL678" s="2719">
        <f t="shared" ref="CL678:CW678" si="2435">SUM(CL675:CL677)</f>
        <v>144.07070136986303</v>
      </c>
      <c r="CM678" s="2720">
        <f t="shared" si="2435"/>
        <v>135.78396712328768</v>
      </c>
      <c r="CN678" s="2720">
        <f t="shared" si="2435"/>
        <v>113.68218630136987</v>
      </c>
      <c r="CO678" s="2720">
        <f t="shared" si="2435"/>
        <v>79.475410958904121</v>
      </c>
      <c r="CP678" s="2719">
        <f t="shared" si="2435"/>
        <v>42.402260273972608</v>
      </c>
      <c r="CQ678" s="2720">
        <f t="shared" si="2435"/>
        <v>11.219178082191782</v>
      </c>
      <c r="CR678" s="2720">
        <f t="shared" si="2435"/>
        <v>0</v>
      </c>
      <c r="CS678" s="2720">
        <f t="shared" si="2435"/>
        <v>0</v>
      </c>
      <c r="CT678" s="2719">
        <f t="shared" si="2435"/>
        <v>0</v>
      </c>
      <c r="CU678" s="2720">
        <f t="shared" si="2435"/>
        <v>0</v>
      </c>
      <c r="CV678" s="2720">
        <f t="shared" si="2435"/>
        <v>0</v>
      </c>
      <c r="CW678" s="2721">
        <f t="shared" si="2435"/>
        <v>0</v>
      </c>
      <c r="CX678" s="2720"/>
      <c r="CY678" s="2720"/>
      <c r="CZ678" s="2720"/>
      <c r="DA678" s="2720"/>
      <c r="DB678" s="2719"/>
      <c r="DC678" s="2720"/>
      <c r="DD678" s="2720"/>
      <c r="DE678" s="2720"/>
      <c r="DF678" s="2720"/>
      <c r="DG678" s="2720"/>
      <c r="DH678" s="2720"/>
      <c r="DI678" s="2720"/>
      <c r="DJ678" s="2720"/>
      <c r="DK678" s="2720"/>
      <c r="DL678" s="2720"/>
      <c r="DM678" s="2720"/>
      <c r="DN678" s="2720"/>
      <c r="DO678" s="2720"/>
      <c r="DP678" s="2720"/>
      <c r="DQ678" s="2720"/>
      <c r="DR678" s="2720"/>
      <c r="DS678" s="2720"/>
      <c r="DT678" s="2720"/>
      <c r="DU678" s="2720"/>
      <c r="DV678" s="2720"/>
      <c r="DW678" s="2720"/>
      <c r="DX678" s="2720"/>
      <c r="DY678" s="2721"/>
    </row>
    <row r="679" spans="1:129" hidden="1" outlineLevel="1">
      <c r="A679" s="2722" t="s">
        <v>1040</v>
      </c>
      <c r="B679" s="2268"/>
      <c r="C679" s="2268"/>
      <c r="D679" s="2268"/>
      <c r="E679" s="2268"/>
      <c r="F679" s="2268"/>
      <c r="G679" s="2268"/>
      <c r="H679" s="2268"/>
      <c r="I679" s="2268"/>
      <c r="J679" s="2268"/>
      <c r="K679" s="2268"/>
      <c r="L679" s="2268"/>
      <c r="M679" s="2268"/>
      <c r="N679" s="2268"/>
      <c r="O679" s="2268"/>
      <c r="P679" s="2268"/>
      <c r="Q679" s="2268">
        <f>+SUM(CL679:CO679)</f>
        <v>886</v>
      </c>
      <c r="R679" s="2720">
        <f>+R678+R673</f>
        <v>1176.9491232876712</v>
      </c>
      <c r="S679" s="2720">
        <f t="shared" ref="S679:V679" si="2436">S681</f>
        <v>466.47757107493811</v>
      </c>
      <c r="T679" s="2720">
        <f t="shared" si="2436"/>
        <v>360.67065486460132</v>
      </c>
      <c r="U679" s="2720">
        <f t="shared" si="2436"/>
        <v>253.375</v>
      </c>
      <c r="V679" s="2720">
        <f t="shared" si="2436"/>
        <v>253.375</v>
      </c>
      <c r="W679" s="2720">
        <f t="shared" ref="W679:AB679" si="2437">W681</f>
        <v>253.375</v>
      </c>
      <c r="X679" s="2720">
        <f t="shared" si="2437"/>
        <v>253.375</v>
      </c>
      <c r="Y679" s="2720">
        <f t="shared" si="2437"/>
        <v>253.375</v>
      </c>
      <c r="Z679" s="2720">
        <f t="shared" si="2437"/>
        <v>253.375</v>
      </c>
      <c r="AA679" s="2720">
        <f t="shared" si="2437"/>
        <v>253.375</v>
      </c>
      <c r="AB679" s="2720">
        <f t="shared" si="2437"/>
        <v>253.375</v>
      </c>
      <c r="AC679" s="2720">
        <f t="shared" ref="AC679:AG679" si="2438">AC681</f>
        <v>253.375</v>
      </c>
      <c r="AD679" s="2720">
        <f t="shared" si="2438"/>
        <v>253.375</v>
      </c>
      <c r="AE679" s="2720">
        <f t="shared" si="2438"/>
        <v>253.375</v>
      </c>
      <c r="AF679" s="2720">
        <f t="shared" si="2438"/>
        <v>253.375</v>
      </c>
      <c r="AG679" s="2720">
        <f t="shared" si="2438"/>
        <v>253.375</v>
      </c>
      <c r="AI679" s="1956"/>
      <c r="AK679" s="2268"/>
      <c r="AL679" s="2268"/>
      <c r="AM679" s="2268"/>
      <c r="AN679" s="2268"/>
      <c r="AO679" s="2268"/>
      <c r="AP679" s="2268"/>
      <c r="AQ679" s="2268"/>
      <c r="AR679" s="2268"/>
      <c r="AS679" s="2268"/>
      <c r="AT679" s="2268"/>
      <c r="AU679" s="2268"/>
      <c r="AV679" s="2268"/>
      <c r="AW679" s="2268"/>
      <c r="AX679" s="2268"/>
      <c r="AY679" s="2268"/>
      <c r="AZ679" s="2268"/>
      <c r="BA679" s="2268"/>
      <c r="BB679" s="2268"/>
      <c r="BC679" s="2268"/>
      <c r="BD679" s="2268"/>
      <c r="BE679" s="2268"/>
      <c r="BF679" s="2268"/>
      <c r="BG679" s="2268"/>
      <c r="BH679" s="2268"/>
      <c r="BI679" s="2268"/>
      <c r="BJ679" s="2268"/>
      <c r="BK679" s="2268"/>
      <c r="BL679" s="2268"/>
      <c r="BM679" s="2268"/>
      <c r="BN679" s="2268"/>
      <c r="BO679" s="2268"/>
      <c r="BP679" s="2268"/>
      <c r="BQ679" s="2268"/>
      <c r="BR679" s="2268"/>
      <c r="BS679" s="2268"/>
      <c r="BT679" s="2268"/>
      <c r="BU679" s="2268"/>
      <c r="BV679" s="2268"/>
      <c r="BW679" s="2268"/>
      <c r="BX679" s="2268"/>
      <c r="BY679" s="2268"/>
      <c r="BZ679" s="2268"/>
      <c r="CA679" s="2268"/>
      <c r="CB679" s="2268"/>
      <c r="CC679" s="2268"/>
      <c r="CD679" s="2268"/>
      <c r="CE679" s="2268"/>
      <c r="CF679" s="2268"/>
      <c r="CG679" s="2268"/>
      <c r="CH679" s="2268"/>
      <c r="CI679" s="2268"/>
      <c r="CJ679" s="2268"/>
      <c r="CK679" s="2268"/>
      <c r="CL679" s="2269">
        <f>442-208</f>
        <v>234</v>
      </c>
      <c r="CM679" s="2723">
        <f>732-CL679-208-47</f>
        <v>243</v>
      </c>
      <c r="CN679" s="2724">
        <f>958-CM679-CL679-208-47</f>
        <v>226</v>
      </c>
      <c r="CO679" s="2723">
        <f>1141-CN679-CM679-CL679-208-47</f>
        <v>183</v>
      </c>
      <c r="CP679" s="2725">
        <v>151</v>
      </c>
      <c r="CQ679" s="2724">
        <v>105</v>
      </c>
      <c r="CR679" s="2724">
        <v>43</v>
      </c>
      <c r="CS679" s="2720">
        <f>+CS678+CS673</f>
        <v>253.65657876712328</v>
      </c>
      <c r="CT679" s="2719">
        <f>+CT678+CT673</f>
        <v>253.65657876712328</v>
      </c>
      <c r="CU679" s="2720">
        <f>+CU678+CU673</f>
        <v>233.01017465753424</v>
      </c>
      <c r="CV679" s="2720">
        <f>+CV678+CV673</f>
        <v>212.36377054794519</v>
      </c>
      <c r="CW679" s="2721">
        <f>+CW678+CW673</f>
        <v>203.51448801369864</v>
      </c>
      <c r="CX679" s="2720"/>
      <c r="CY679" s="2720"/>
      <c r="CZ679" s="2720"/>
      <c r="DA679" s="2720"/>
      <c r="DB679" s="2719"/>
      <c r="DC679" s="2720"/>
      <c r="DD679" s="2720"/>
      <c r="DE679" s="2720"/>
      <c r="DF679" s="2720"/>
      <c r="DG679" s="2720"/>
      <c r="DH679" s="2720"/>
      <c r="DI679" s="2720"/>
      <c r="DJ679" s="2720"/>
      <c r="DK679" s="2720"/>
      <c r="DL679" s="2720"/>
      <c r="DM679" s="2720"/>
      <c r="DN679" s="2720"/>
      <c r="DO679" s="2720"/>
      <c r="DP679" s="2720"/>
      <c r="DQ679" s="2720"/>
      <c r="DR679" s="2720"/>
      <c r="DS679" s="2720"/>
      <c r="DT679" s="2720"/>
      <c r="DU679" s="2720"/>
      <c r="DV679" s="2720"/>
      <c r="DW679" s="2720"/>
      <c r="DX679" s="2720"/>
      <c r="DY679" s="2721"/>
    </row>
    <row r="680" spans="1:129" hidden="1" outlineLevel="1">
      <c r="A680" s="2726"/>
      <c r="B680" s="2207"/>
      <c r="C680" s="2207"/>
      <c r="D680" s="2207"/>
      <c r="E680" s="2207"/>
      <c r="F680" s="2207"/>
      <c r="G680" s="2207"/>
      <c r="H680" s="2207"/>
      <c r="I680" s="2207"/>
      <c r="J680" s="2207"/>
      <c r="K680" s="2207"/>
      <c r="L680" s="2207"/>
      <c r="M680" s="2207"/>
      <c r="N680" s="2207"/>
      <c r="O680" s="2207"/>
      <c r="P680" s="2207"/>
      <c r="Q680" s="2727">
        <f>+Q679/Q656</f>
        <v>3.3230815392693722E-2</v>
      </c>
      <c r="R680" s="2728">
        <f>+Q680</f>
        <v>3.3230815392693722E-2</v>
      </c>
      <c r="S680" s="2727">
        <f>+R680</f>
        <v>3.3230815392693722E-2</v>
      </c>
      <c r="T680" s="2727">
        <f>+S680</f>
        <v>3.3230815392693722E-2</v>
      </c>
      <c r="U680" s="2727">
        <v>2.5000000000000001E-2</v>
      </c>
      <c r="V680" s="2727">
        <v>2.5000000000000001E-2</v>
      </c>
      <c r="W680" s="2727">
        <v>2.5000000000000001E-2</v>
      </c>
      <c r="X680" s="2727">
        <v>2.5000000000000001E-2</v>
      </c>
      <c r="Y680" s="2727">
        <v>2.5000000000000001E-2</v>
      </c>
      <c r="Z680" s="2727">
        <v>2.5000000000000001E-2</v>
      </c>
      <c r="AA680" s="2727">
        <f t="shared" ref="AA680:AB681" si="2439">+Z680</f>
        <v>2.5000000000000001E-2</v>
      </c>
      <c r="AB680" s="2727">
        <f t="shared" si="2439"/>
        <v>2.5000000000000001E-2</v>
      </c>
      <c r="AC680" s="2727">
        <f t="shared" ref="AC680:AC681" si="2440">+AB680</f>
        <v>2.5000000000000001E-2</v>
      </c>
      <c r="AD680" s="2727">
        <f t="shared" ref="AD680:AD681" si="2441">+AC680</f>
        <v>2.5000000000000001E-2</v>
      </c>
      <c r="AE680" s="2727">
        <f t="shared" ref="AE680:AE681" si="2442">+AD680</f>
        <v>2.5000000000000001E-2</v>
      </c>
      <c r="AF680" s="2727">
        <f t="shared" ref="AF680:AF681" si="2443">+AE680</f>
        <v>2.5000000000000001E-2</v>
      </c>
      <c r="AG680" s="2727">
        <f t="shared" ref="AG680:AG681" si="2444">+AF680</f>
        <v>2.5000000000000001E-2</v>
      </c>
      <c r="AI680" s="1927"/>
      <c r="AK680" s="2207"/>
      <c r="AL680" s="2207"/>
      <c r="AM680" s="2207"/>
      <c r="AN680" s="2207"/>
      <c r="AO680" s="2207"/>
      <c r="AP680" s="2207"/>
      <c r="AQ680" s="2207"/>
      <c r="AR680" s="2207"/>
      <c r="AS680" s="2207"/>
      <c r="AT680" s="2207"/>
      <c r="AU680" s="2207"/>
      <c r="AV680" s="2207"/>
      <c r="AW680" s="2207"/>
      <c r="AX680" s="2207"/>
      <c r="AY680" s="2207"/>
      <c r="AZ680" s="2207"/>
      <c r="BA680" s="2207"/>
      <c r="BB680" s="2207"/>
      <c r="BC680" s="2207"/>
      <c r="BD680" s="2207"/>
      <c r="BE680" s="2207"/>
      <c r="BF680" s="2207"/>
      <c r="BG680" s="2207"/>
      <c r="BH680" s="2207"/>
      <c r="BI680" s="2207"/>
      <c r="BJ680" s="2207"/>
      <c r="BK680" s="2207"/>
      <c r="BL680" s="2207"/>
      <c r="BM680" s="2207"/>
      <c r="BN680" s="2207"/>
      <c r="BO680" s="2207"/>
      <c r="BP680" s="2207"/>
      <c r="BQ680" s="2207"/>
      <c r="BR680" s="2207"/>
      <c r="BS680" s="2207"/>
      <c r="BT680" s="2207"/>
      <c r="BU680" s="2207"/>
      <c r="BV680" s="2207"/>
      <c r="BW680" s="2207"/>
      <c r="BX680" s="2207"/>
      <c r="BY680" s="2207"/>
      <c r="BZ680" s="2207"/>
      <c r="CA680" s="2207"/>
      <c r="CB680" s="2207"/>
      <c r="CC680" s="2207"/>
      <c r="CD680" s="2207"/>
      <c r="CE680" s="2207"/>
      <c r="CF680" s="2207"/>
      <c r="CG680" s="2207"/>
      <c r="CH680" s="2207"/>
      <c r="CI680" s="2207"/>
      <c r="CJ680" s="2207"/>
      <c r="CK680" s="2207"/>
      <c r="CL680" s="2728">
        <f t="shared" ref="CL680:CR680" si="2445">+CL679/(AVERAGE(CK656:CL656))</f>
        <v>8.1394135448189502E-3</v>
      </c>
      <c r="CM680" s="2727">
        <f t="shared" si="2445"/>
        <v>7.1557931004019616E-3</v>
      </c>
      <c r="CN680" s="2727">
        <f t="shared" si="2445"/>
        <v>7.2924397405698428E-3</v>
      </c>
      <c r="CO680" s="2727">
        <f t="shared" si="2445"/>
        <v>6.5246456903467328E-3</v>
      </c>
      <c r="CP680" s="2728">
        <f t="shared" si="2445"/>
        <v>6.043747123216394E-3</v>
      </c>
      <c r="CQ680" s="2727">
        <f t="shared" si="2445"/>
        <v>5.1391234123779458E-3</v>
      </c>
      <c r="CR680" s="2727">
        <f t="shared" si="2445"/>
        <v>2.5225119526002407E-3</v>
      </c>
      <c r="CS680" s="2727">
        <f>+CR680</f>
        <v>2.5225119526002407E-3</v>
      </c>
      <c r="CT680" s="2728">
        <f>+CS680</f>
        <v>2.5225119526002407E-3</v>
      </c>
      <c r="CU680" s="2727">
        <f>+CT680</f>
        <v>2.5225119526002407E-3</v>
      </c>
      <c r="CV680" s="2727">
        <f>+CU680</f>
        <v>2.5225119526002407E-3</v>
      </c>
      <c r="CW680" s="2729">
        <f>+CV680</f>
        <v>2.5225119526002407E-3</v>
      </c>
      <c r="CX680" s="2727"/>
      <c r="CY680" s="2727"/>
      <c r="CZ680" s="2727"/>
      <c r="DA680" s="2727"/>
      <c r="DB680" s="2728"/>
      <c r="DC680" s="2727"/>
      <c r="DD680" s="2727"/>
      <c r="DE680" s="2727"/>
      <c r="DF680" s="2727"/>
      <c r="DG680" s="2727"/>
      <c r="DH680" s="2727"/>
      <c r="DI680" s="2727"/>
      <c r="DJ680" s="2727"/>
      <c r="DK680" s="2727"/>
      <c r="DL680" s="2727"/>
      <c r="DM680" s="2727"/>
      <c r="DN680" s="2727"/>
      <c r="DO680" s="2727"/>
      <c r="DP680" s="2727"/>
      <c r="DQ680" s="2727"/>
      <c r="DR680" s="2727"/>
      <c r="DS680" s="2727"/>
      <c r="DT680" s="2727"/>
      <c r="DU680" s="2727"/>
      <c r="DV680" s="2727"/>
      <c r="DW680" s="2727"/>
      <c r="DX680" s="2727"/>
      <c r="DY680" s="2729"/>
    </row>
    <row r="681" spans="1:129" hidden="1" outlineLevel="1">
      <c r="A681" s="2722" t="s">
        <v>144</v>
      </c>
      <c r="B681" s="2268"/>
      <c r="C681" s="2268"/>
      <c r="D681" s="2268"/>
      <c r="E681" s="2268"/>
      <c r="F681" s="2268"/>
      <c r="G681" s="2268"/>
      <c r="H681" s="2268"/>
      <c r="I681" s="2268"/>
      <c r="J681" s="2268"/>
      <c r="K681" s="2268"/>
      <c r="L681" s="2268"/>
      <c r="M681" s="2268"/>
      <c r="N681" s="2268"/>
      <c r="O681" s="2268"/>
      <c r="P681" s="2268"/>
      <c r="Q681" s="2268"/>
      <c r="R681" s="2720">
        <f t="shared" ref="R681:Z681" si="2446">+R680*AVERAGE(Q656:R656)</f>
        <v>717.2040732128122</v>
      </c>
      <c r="S681" s="2720">
        <f t="shared" si="2446"/>
        <v>466.47757107493811</v>
      </c>
      <c r="T681" s="2720">
        <f t="shared" si="2446"/>
        <v>360.67065486460132</v>
      </c>
      <c r="U681" s="2720">
        <f t="shared" si="2446"/>
        <v>253.375</v>
      </c>
      <c r="V681" s="2720">
        <f t="shared" si="2446"/>
        <v>253.375</v>
      </c>
      <c r="W681" s="2720">
        <f t="shared" si="2446"/>
        <v>253.375</v>
      </c>
      <c r="X681" s="2720">
        <f t="shared" si="2446"/>
        <v>253.375</v>
      </c>
      <c r="Y681" s="2720">
        <f t="shared" si="2446"/>
        <v>253.375</v>
      </c>
      <c r="Z681" s="2720">
        <f t="shared" si="2446"/>
        <v>253.375</v>
      </c>
      <c r="AA681" s="2720">
        <f t="shared" si="2439"/>
        <v>253.375</v>
      </c>
      <c r="AB681" s="2720">
        <f t="shared" si="2439"/>
        <v>253.375</v>
      </c>
      <c r="AC681" s="2720">
        <f t="shared" si="2440"/>
        <v>253.375</v>
      </c>
      <c r="AD681" s="2720">
        <f t="shared" si="2441"/>
        <v>253.375</v>
      </c>
      <c r="AE681" s="2720">
        <f t="shared" si="2442"/>
        <v>253.375</v>
      </c>
      <c r="AF681" s="2720">
        <f t="shared" si="2443"/>
        <v>253.375</v>
      </c>
      <c r="AG681" s="2720">
        <f t="shared" si="2444"/>
        <v>253.375</v>
      </c>
      <c r="AI681" s="1956"/>
      <c r="AK681" s="2268"/>
      <c r="AL681" s="2268"/>
      <c r="AM681" s="2268"/>
      <c r="AN681" s="2268"/>
      <c r="AO681" s="2268"/>
      <c r="AP681" s="2268"/>
      <c r="AQ681" s="2268"/>
      <c r="AR681" s="2268"/>
      <c r="AS681" s="2268"/>
      <c r="AT681" s="2268"/>
      <c r="AU681" s="2268"/>
      <c r="AV681" s="2268"/>
      <c r="AW681" s="2268"/>
      <c r="AX681" s="2268"/>
      <c r="AY681" s="2268"/>
      <c r="AZ681" s="2268"/>
      <c r="BA681" s="2268"/>
      <c r="BB681" s="2268"/>
      <c r="BC681" s="2268"/>
      <c r="BD681" s="2268"/>
      <c r="BE681" s="2268"/>
      <c r="BF681" s="2268"/>
      <c r="BG681" s="2268"/>
      <c r="BH681" s="2268"/>
      <c r="BI681" s="2268"/>
      <c r="BJ681" s="2268"/>
      <c r="BK681" s="2268"/>
      <c r="BL681" s="2268"/>
      <c r="BM681" s="2268"/>
      <c r="BN681" s="2268"/>
      <c r="BO681" s="2268"/>
      <c r="BP681" s="2268"/>
      <c r="BQ681" s="2268"/>
      <c r="BR681" s="2268"/>
      <c r="BS681" s="2268"/>
      <c r="BT681" s="2268"/>
      <c r="BU681" s="2268"/>
      <c r="BV681" s="2268"/>
      <c r="BW681" s="2268"/>
      <c r="BX681" s="2268"/>
      <c r="BY681" s="2268"/>
      <c r="BZ681" s="2268"/>
      <c r="CA681" s="2268"/>
      <c r="CB681" s="2268"/>
      <c r="CC681" s="2268"/>
      <c r="CD681" s="2268"/>
      <c r="CE681" s="2268"/>
      <c r="CF681" s="2268"/>
      <c r="CG681" s="2268"/>
      <c r="CH681" s="2268"/>
      <c r="CI681" s="2268"/>
      <c r="CJ681" s="2268"/>
      <c r="CK681" s="2268"/>
      <c r="CL681" s="2720">
        <f>+CL680*AVERAGE(CK656:CL656)</f>
        <v>234</v>
      </c>
      <c r="CM681" s="2720">
        <f>+CM680*AVERAGE(CL656:CM656)</f>
        <v>243</v>
      </c>
      <c r="CN681" s="2720">
        <f>+CN680*AVERAGE(CM656:CN656)</f>
        <v>226</v>
      </c>
      <c r="CO681" s="2720">
        <f>+CO680*AVERAGE(CN656:CO656)</f>
        <v>183</v>
      </c>
      <c r="CP681" s="2719">
        <f>+CP680*AVERAGE(CO656:CP656)</f>
        <v>151</v>
      </c>
      <c r="CQ681" s="2724">
        <v>105</v>
      </c>
      <c r="CR681" s="2724">
        <v>43</v>
      </c>
      <c r="CS681" s="2720">
        <f>+CS680*AVERAGE(CR656:CS656)</f>
        <v>41.671897456955975</v>
      </c>
      <c r="CT681" s="2719">
        <f>+CT680*AVERAGE(CS656:CT656)</f>
        <v>41.629014753761773</v>
      </c>
      <c r="CU681" s="2720">
        <f>+CU680*AVERAGE(CT656:CU656)</f>
        <v>36.583990848561292</v>
      </c>
      <c r="CV681" s="2720">
        <f>+CV680*AVERAGE(CU656:CV656)</f>
        <v>31.538966943360808</v>
      </c>
      <c r="CW681" s="2721">
        <f>+CW680*AVERAGE(CV656:CW656)</f>
        <v>30.364737629425399</v>
      </c>
      <c r="CX681" s="2720"/>
      <c r="CY681" s="2720"/>
      <c r="CZ681" s="2720"/>
      <c r="DA681" s="2720"/>
      <c r="DB681" s="2719"/>
      <c r="DC681" s="2720"/>
      <c r="DD681" s="2720"/>
      <c r="DE681" s="2720"/>
      <c r="DF681" s="2720"/>
      <c r="DG681" s="2720"/>
      <c r="DH681" s="2720"/>
      <c r="DI681" s="2720"/>
      <c r="DJ681" s="2720"/>
      <c r="DK681" s="2720"/>
      <c r="DL681" s="2720"/>
      <c r="DM681" s="2720"/>
      <c r="DN681" s="2720"/>
      <c r="DO681" s="2720"/>
      <c r="DP681" s="2720"/>
      <c r="DQ681" s="2720"/>
      <c r="DR681" s="2720"/>
      <c r="DS681" s="2720"/>
      <c r="DT681" s="2720"/>
      <c r="DU681" s="2720"/>
      <c r="DV681" s="2720"/>
      <c r="DW681" s="2720"/>
      <c r="DX681" s="2720"/>
      <c r="DY681" s="2721"/>
    </row>
    <row r="682" spans="1:129" hidden="1" outlineLevel="1">
      <c r="A682" s="2268"/>
      <c r="B682" s="2268"/>
      <c r="C682" s="2268"/>
      <c r="D682" s="2268"/>
      <c r="E682" s="2268"/>
      <c r="F682" s="2268"/>
      <c r="G682" s="2268"/>
      <c r="H682" s="2268"/>
      <c r="I682" s="2268"/>
      <c r="J682" s="2268"/>
      <c r="K682" s="2268"/>
      <c r="L682" s="2268"/>
      <c r="M682" s="2268"/>
      <c r="N682" s="2268"/>
      <c r="O682" s="2268"/>
      <c r="P682" s="2268"/>
      <c r="Q682" s="2268"/>
      <c r="R682" s="2268"/>
      <c r="S682" s="2268"/>
      <c r="T682" s="2268"/>
      <c r="U682" s="2268"/>
      <c r="V682" s="2268"/>
      <c r="W682" s="2268"/>
      <c r="X682" s="2268"/>
      <c r="Y682" s="2268"/>
      <c r="Z682" s="2268"/>
      <c r="AA682" s="2268"/>
      <c r="AB682" s="2268"/>
      <c r="AC682" s="2268"/>
      <c r="AD682" s="2268"/>
      <c r="AE682" s="2268"/>
      <c r="AF682" s="2268"/>
      <c r="AG682" s="2268"/>
      <c r="AI682" s="1956"/>
      <c r="AK682" s="2268"/>
      <c r="AL682" s="2268"/>
      <c r="AM682" s="2268"/>
      <c r="AN682" s="2268"/>
      <c r="AO682" s="2268"/>
      <c r="AP682" s="2268"/>
      <c r="AQ682" s="2268"/>
      <c r="AR682" s="2268"/>
      <c r="AS682" s="2268"/>
      <c r="AT682" s="2268"/>
      <c r="AU682" s="2268"/>
      <c r="AV682" s="2268"/>
      <c r="AW682" s="2268"/>
      <c r="AX682" s="2268"/>
      <c r="AY682" s="2268"/>
      <c r="AZ682" s="2268"/>
      <c r="BA682" s="2268"/>
      <c r="BB682" s="2268"/>
      <c r="BC682" s="2268"/>
      <c r="BD682" s="2268"/>
      <c r="BE682" s="2268"/>
      <c r="BF682" s="2268"/>
      <c r="BG682" s="2268"/>
      <c r="BH682" s="2268"/>
      <c r="BI682" s="2268"/>
      <c r="BJ682" s="2268"/>
      <c r="BK682" s="2268"/>
      <c r="BL682" s="2268"/>
      <c r="BM682" s="2268"/>
      <c r="BN682" s="2268"/>
      <c r="BO682" s="2268"/>
      <c r="BP682" s="2268"/>
      <c r="BQ682" s="2268"/>
      <c r="BR682" s="2268"/>
      <c r="BS682" s="2268"/>
      <c r="BT682" s="2268"/>
      <c r="BU682" s="2268"/>
      <c r="BV682" s="2268"/>
      <c r="BW682" s="2268"/>
      <c r="BX682" s="2268"/>
      <c r="BY682" s="2268"/>
      <c r="BZ682" s="2268"/>
      <c r="CA682" s="2268"/>
      <c r="CB682" s="2268"/>
      <c r="CC682" s="2268"/>
      <c r="CD682" s="2268"/>
      <c r="CE682" s="2268"/>
      <c r="CF682" s="2268"/>
      <c r="CG682" s="2268"/>
      <c r="CH682" s="2268"/>
      <c r="CI682" s="2268"/>
      <c r="CJ682" s="2268"/>
      <c r="CK682" s="2268"/>
      <c r="CL682" s="2269"/>
      <c r="CM682" s="2268"/>
      <c r="CN682" s="2268"/>
      <c r="CO682" s="2268"/>
      <c r="CP682" s="1939"/>
      <c r="CQ682" s="2268"/>
      <c r="CR682" s="2268"/>
      <c r="CS682" s="2268"/>
      <c r="CT682" s="1939"/>
      <c r="CU682" s="2268"/>
      <c r="CV682" s="2268"/>
      <c r="CW682" s="2273"/>
      <c r="CX682" s="2268"/>
      <c r="CY682" s="2268"/>
      <c r="CZ682" s="2268"/>
      <c r="DA682" s="2268"/>
      <c r="DB682" s="1939"/>
      <c r="DC682" s="2268"/>
      <c r="DD682" s="2268"/>
      <c r="DE682" s="2268"/>
      <c r="DF682" s="2268"/>
      <c r="DG682" s="2268"/>
      <c r="DH682" s="2268"/>
      <c r="DI682" s="2268"/>
      <c r="DJ682" s="2268"/>
      <c r="DK682" s="2268"/>
      <c r="DL682" s="2268"/>
      <c r="DM682" s="2268"/>
      <c r="DN682" s="2268"/>
      <c r="DO682" s="2268"/>
      <c r="DP682" s="2268"/>
      <c r="DQ682" s="2268"/>
      <c r="DR682" s="2268"/>
      <c r="DS682" s="2268"/>
      <c r="DT682" s="2268"/>
      <c r="DU682" s="2268"/>
      <c r="DV682" s="2268"/>
      <c r="DW682" s="2268"/>
      <c r="DX682" s="2268"/>
      <c r="DY682" s="2273"/>
    </row>
    <row r="683" spans="1:129" hidden="1" outlineLevel="1">
      <c r="A683" s="2722" t="s">
        <v>145</v>
      </c>
      <c r="B683" s="2268"/>
      <c r="C683" s="2268"/>
      <c r="D683" s="2268"/>
      <c r="E683" s="2268"/>
      <c r="F683" s="2268"/>
      <c r="G683" s="2268"/>
      <c r="H683" s="2268"/>
      <c r="I683" s="2268"/>
      <c r="J683" s="2268"/>
      <c r="K683" s="2268"/>
      <c r="L683" s="2268"/>
      <c r="M683" s="2268"/>
      <c r="N683" s="2268"/>
      <c r="O683" s="2268"/>
      <c r="P683" s="2268"/>
      <c r="Q683" s="2268"/>
      <c r="R683" s="2268"/>
      <c r="S683" s="2268"/>
      <c r="T683" s="2268"/>
      <c r="U683" s="2268"/>
      <c r="V683" s="2268"/>
      <c r="W683" s="2268"/>
      <c r="X683" s="2268"/>
      <c r="Y683" s="2268"/>
      <c r="Z683" s="2268"/>
      <c r="AA683" s="2268"/>
      <c r="AB683" s="2268"/>
      <c r="AC683" s="2268"/>
      <c r="AD683" s="2268"/>
      <c r="AE683" s="2268"/>
      <c r="AF683" s="2268"/>
      <c r="AG683" s="2268"/>
      <c r="AI683" s="1956"/>
      <c r="AK683" s="2268"/>
      <c r="AL683" s="2268"/>
      <c r="AM683" s="2268"/>
      <c r="AN683" s="2268"/>
      <c r="AO683" s="2268"/>
      <c r="AP683" s="2268"/>
      <c r="AQ683" s="2268"/>
      <c r="AR683" s="2268"/>
      <c r="AS683" s="2268"/>
      <c r="AT683" s="2268"/>
      <c r="AU683" s="2268"/>
      <c r="AV683" s="2268"/>
      <c r="AW683" s="2268"/>
      <c r="AX683" s="2268"/>
      <c r="AY683" s="2268"/>
      <c r="AZ683" s="2268"/>
      <c r="BA683" s="2268"/>
      <c r="BB683" s="2268"/>
      <c r="BC683" s="2268"/>
      <c r="BD683" s="2268"/>
      <c r="BE683" s="2268"/>
      <c r="BF683" s="2268"/>
      <c r="BG683" s="2268"/>
      <c r="BH683" s="2268"/>
      <c r="BI683" s="2268"/>
      <c r="BJ683" s="2268"/>
      <c r="BK683" s="2268"/>
      <c r="BL683" s="2268"/>
      <c r="BM683" s="2268"/>
      <c r="BN683" s="2268"/>
      <c r="BO683" s="2268"/>
      <c r="BP683" s="2268"/>
      <c r="BQ683" s="2268"/>
      <c r="BR683" s="2268"/>
      <c r="BS683" s="2268"/>
      <c r="BT683" s="2268"/>
      <c r="BU683" s="2268"/>
      <c r="BV683" s="2268"/>
      <c r="BW683" s="2268"/>
      <c r="BX683" s="2268"/>
      <c r="BY683" s="2268"/>
      <c r="BZ683" s="2268"/>
      <c r="CA683" s="2268"/>
      <c r="CB683" s="2268"/>
      <c r="CC683" s="2268"/>
      <c r="CD683" s="2268"/>
      <c r="CE683" s="2268"/>
      <c r="CF683" s="2268"/>
      <c r="CG683" s="2268"/>
      <c r="CH683" s="2268"/>
      <c r="CI683" s="2268"/>
      <c r="CJ683" s="2268"/>
      <c r="CK683" s="2268"/>
      <c r="CL683" s="1939"/>
      <c r="CM683" s="2268"/>
      <c r="CN683" s="2268"/>
      <c r="CO683" s="2268"/>
      <c r="CP683" s="1939"/>
      <c r="CQ683" s="2268"/>
      <c r="CR683" s="2268"/>
      <c r="CS683" s="2268"/>
      <c r="CT683" s="1939"/>
      <c r="CU683" s="2268"/>
      <c r="CV683" s="2268"/>
      <c r="CW683" s="2273"/>
      <c r="CX683" s="2268"/>
      <c r="CY683" s="2268"/>
      <c r="CZ683" s="2268"/>
      <c r="DA683" s="2268"/>
      <c r="DB683" s="1939"/>
      <c r="DC683" s="2268"/>
      <c r="DD683" s="2268"/>
      <c r="DE683" s="2268"/>
      <c r="DF683" s="2268"/>
      <c r="DG683" s="2268"/>
      <c r="DH683" s="2268"/>
      <c r="DI683" s="2268"/>
      <c r="DJ683" s="2268"/>
      <c r="DK683" s="2268"/>
      <c r="DL683" s="2268"/>
      <c r="DM683" s="2268"/>
      <c r="DN683" s="2268"/>
      <c r="DO683" s="2268"/>
      <c r="DP683" s="2268"/>
      <c r="DQ683" s="2268"/>
      <c r="DR683" s="2268"/>
      <c r="DS683" s="2268"/>
      <c r="DT683" s="2268"/>
      <c r="DU683" s="2268"/>
      <c r="DV683" s="2268"/>
      <c r="DW683" s="2268"/>
      <c r="DX683" s="2268"/>
      <c r="DY683" s="2273"/>
    </row>
    <row r="684" spans="1:129" hidden="1" outlineLevel="1">
      <c r="A684" s="2268" t="s">
        <v>145</v>
      </c>
      <c r="B684" s="2268"/>
      <c r="C684" s="2268"/>
      <c r="D684" s="2268"/>
      <c r="E684" s="2268"/>
      <c r="F684" s="2268"/>
      <c r="G684" s="2268"/>
      <c r="H684" s="2268"/>
      <c r="I684" s="2268"/>
      <c r="J684" s="2268"/>
      <c r="K684" s="2268"/>
      <c r="L684" s="2268"/>
      <c r="M684" s="2268"/>
      <c r="N684" s="2268"/>
      <c r="O684" s="2268"/>
      <c r="P684" s="2268"/>
      <c r="Q684" s="2268">
        <f>+SUM(CL684:CO684)</f>
        <v>71</v>
      </c>
      <c r="R684" s="2268">
        <f>+SUM(CP684:CS684)</f>
        <v>112.9420731707317</v>
      </c>
      <c r="S684" s="2268">
        <f>+AVERAGE(R499:S499)*0.02</f>
        <v>180.87</v>
      </c>
      <c r="T684" s="2268">
        <f>+AVERAGE(S499:T499)*0.02</f>
        <v>141.1</v>
      </c>
      <c r="U684" s="2268">
        <f t="shared" ref="U684:AB684" si="2447">AVERAGE(S684:T684)</f>
        <v>160.98500000000001</v>
      </c>
      <c r="V684" s="2268">
        <f t="shared" si="2447"/>
        <v>151.04250000000002</v>
      </c>
      <c r="W684" s="2268">
        <f t="shared" si="2447"/>
        <v>156.01375000000002</v>
      </c>
      <c r="X684" s="2268">
        <f t="shared" si="2447"/>
        <v>153.52812500000002</v>
      </c>
      <c r="Y684" s="2268">
        <f t="shared" si="2447"/>
        <v>154.7709375</v>
      </c>
      <c r="Z684" s="2268">
        <f t="shared" si="2447"/>
        <v>154.14953125</v>
      </c>
      <c r="AA684" s="2268">
        <f t="shared" si="2447"/>
        <v>154.460234375</v>
      </c>
      <c r="AB684" s="2268">
        <f t="shared" si="2447"/>
        <v>154.30488281250001</v>
      </c>
      <c r="AC684" s="2268">
        <f t="shared" ref="AC684" si="2448">AVERAGE(AA684:AB684)</f>
        <v>154.38255859374999</v>
      </c>
      <c r="AD684" s="2268">
        <f t="shared" ref="AD684" si="2449">AVERAGE(AB684:AC684)</f>
        <v>154.343720703125</v>
      </c>
      <c r="AE684" s="2268">
        <f t="shared" ref="AE684" si="2450">AVERAGE(AC684:AD684)</f>
        <v>154.36313964843748</v>
      </c>
      <c r="AF684" s="2268">
        <f t="shared" ref="AF684" si="2451">AVERAGE(AD684:AE684)</f>
        <v>154.35343017578123</v>
      </c>
      <c r="AG684" s="2268">
        <f t="shared" ref="AG684" si="2452">AVERAGE(AE684:AF684)</f>
        <v>154.35828491210935</v>
      </c>
      <c r="AI684" s="1956"/>
      <c r="AK684" s="2268"/>
      <c r="AL684" s="2268"/>
      <c r="AM684" s="2268"/>
      <c r="AN684" s="2268"/>
      <c r="AO684" s="2268"/>
      <c r="AP684" s="2268"/>
      <c r="AQ684" s="2268"/>
      <c r="AR684" s="2268"/>
      <c r="AS684" s="2268"/>
      <c r="AT684" s="2268"/>
      <c r="AU684" s="2268"/>
      <c r="AV684" s="2268"/>
      <c r="AW684" s="2268"/>
      <c r="AX684" s="2268"/>
      <c r="AY684" s="2268"/>
      <c r="AZ684" s="2268"/>
      <c r="BA684" s="2268"/>
      <c r="BB684" s="2268"/>
      <c r="BC684" s="2268"/>
      <c r="BD684" s="2268"/>
      <c r="BE684" s="2268"/>
      <c r="BF684" s="2268"/>
      <c r="BG684" s="2268"/>
      <c r="BH684" s="2268"/>
      <c r="BI684" s="2268"/>
      <c r="BJ684" s="2268"/>
      <c r="BK684" s="2268"/>
      <c r="BL684" s="2268"/>
      <c r="BM684" s="2268"/>
      <c r="BN684" s="2268"/>
      <c r="BO684" s="2268"/>
      <c r="BP684" s="2268"/>
      <c r="BQ684" s="2268"/>
      <c r="BR684" s="2268"/>
      <c r="BS684" s="2268"/>
      <c r="BT684" s="2268"/>
      <c r="BU684" s="2268"/>
      <c r="BV684" s="2268"/>
      <c r="BW684" s="2268"/>
      <c r="BX684" s="2268"/>
      <c r="BY684" s="2268"/>
      <c r="BZ684" s="2268"/>
      <c r="CA684" s="2268"/>
      <c r="CB684" s="2268"/>
      <c r="CC684" s="2268"/>
      <c r="CD684" s="2268"/>
      <c r="CE684" s="2268"/>
      <c r="CF684" s="2268"/>
      <c r="CG684" s="2268"/>
      <c r="CH684" s="2268"/>
      <c r="CI684" s="2268"/>
      <c r="CJ684" s="2268"/>
      <c r="CK684" s="2268"/>
      <c r="CL684" s="2269">
        <v>20</v>
      </c>
      <c r="CM684" s="2272">
        <f>39-CL684</f>
        <v>19</v>
      </c>
      <c r="CN684" s="2270">
        <v>19</v>
      </c>
      <c r="CO684" s="2272">
        <f>71-CN684-CM684-CL684</f>
        <v>13</v>
      </c>
      <c r="CP684" s="2269">
        <v>25</v>
      </c>
      <c r="CQ684" s="2270">
        <v>15</v>
      </c>
      <c r="CR684" s="2270">
        <v>22</v>
      </c>
      <c r="CS684" s="2268">
        <v>50.942073170731703</v>
      </c>
      <c r="CT684" s="1939">
        <v>36.246279131177353</v>
      </c>
      <c r="CU684" s="2268">
        <v>36.18379518472296</v>
      </c>
      <c r="CV684" s="2268">
        <v>18.0533511655984</v>
      </c>
      <c r="CW684" s="2273">
        <v>26.729502586678965</v>
      </c>
      <c r="CX684" s="2268"/>
      <c r="CY684" s="2268"/>
      <c r="CZ684" s="2268"/>
      <c r="DA684" s="2268"/>
      <c r="DB684" s="1939"/>
      <c r="DC684" s="2268"/>
      <c r="DD684" s="2268"/>
      <c r="DE684" s="2268"/>
      <c r="DF684" s="2268"/>
      <c r="DG684" s="2268"/>
      <c r="DH684" s="2268"/>
      <c r="DI684" s="2268"/>
      <c r="DJ684" s="2268"/>
      <c r="DK684" s="2268"/>
      <c r="DL684" s="2268"/>
      <c r="DM684" s="2268"/>
      <c r="DN684" s="2268"/>
      <c r="DO684" s="2268"/>
      <c r="DP684" s="2268"/>
      <c r="DQ684" s="2268"/>
      <c r="DR684" s="2268"/>
      <c r="DS684" s="2268"/>
      <c r="DT684" s="2268"/>
      <c r="DU684" s="2268"/>
      <c r="DV684" s="2268"/>
      <c r="DW684" s="2268"/>
      <c r="DX684" s="2268"/>
      <c r="DY684" s="2268"/>
    </row>
    <row r="685" spans="1:129" hidden="1" outlineLevel="1">
      <c r="A685" s="2207" t="s">
        <v>146</v>
      </c>
      <c r="B685" s="2207"/>
      <c r="C685" s="2207"/>
      <c r="D685" s="2207"/>
      <c r="E685" s="2207"/>
      <c r="F685" s="2207"/>
      <c r="G685" s="2207"/>
      <c r="H685" s="2207"/>
      <c r="I685" s="2207"/>
      <c r="J685" s="2207"/>
      <c r="K685" s="2207"/>
      <c r="L685" s="2207"/>
      <c r="M685" s="2207"/>
      <c r="N685" s="2207"/>
      <c r="O685" s="2207"/>
      <c r="P685" s="2207"/>
      <c r="Q685" s="2207">
        <f>+Q684/AVERAGE(P499:Q499)</f>
        <v>1.4439699003457393E-2</v>
      </c>
      <c r="R685" s="2207">
        <f>+R684/AVERAGE(Q499:R499)</f>
        <v>3.8040442293948033E-2</v>
      </c>
      <c r="S685" s="2207">
        <f>+S684/AVERAGE(R499:S499)</f>
        <v>0.02</v>
      </c>
      <c r="T685" s="2207">
        <f>+T684/AVERAGE(S499:T499)</f>
        <v>0.02</v>
      </c>
      <c r="U685" s="2222">
        <f t="shared" ref="U685:AB685" si="2453">+T685</f>
        <v>0.02</v>
      </c>
      <c r="V685" s="2222">
        <f t="shared" si="2453"/>
        <v>0.02</v>
      </c>
      <c r="W685" s="2222">
        <f t="shared" si="2453"/>
        <v>0.02</v>
      </c>
      <c r="X685" s="2222">
        <f t="shared" si="2453"/>
        <v>0.02</v>
      </c>
      <c r="Y685" s="2222">
        <f t="shared" si="2453"/>
        <v>0.02</v>
      </c>
      <c r="Z685" s="2222">
        <f t="shared" si="2453"/>
        <v>0.02</v>
      </c>
      <c r="AA685" s="2222">
        <f t="shared" si="2453"/>
        <v>0.02</v>
      </c>
      <c r="AB685" s="2222">
        <f t="shared" si="2453"/>
        <v>0.02</v>
      </c>
      <c r="AC685" s="2222">
        <f t="shared" ref="AC685" si="2454">+AB685</f>
        <v>0.02</v>
      </c>
      <c r="AD685" s="2222">
        <f t="shared" ref="AD685" si="2455">+AC685</f>
        <v>0.02</v>
      </c>
      <c r="AE685" s="2222">
        <f t="shared" ref="AE685" si="2456">+AD685</f>
        <v>0.02</v>
      </c>
      <c r="AF685" s="2222">
        <f t="shared" ref="AF685" si="2457">+AE685</f>
        <v>0.02</v>
      </c>
      <c r="AG685" s="2222">
        <f t="shared" ref="AG685" si="2458">+AF685</f>
        <v>0.02</v>
      </c>
      <c r="AI685" s="1927"/>
      <c r="AK685" s="2207"/>
      <c r="AL685" s="2207"/>
      <c r="AM685" s="2207"/>
      <c r="AN685" s="2207"/>
      <c r="AO685" s="2207"/>
      <c r="AP685" s="2207"/>
      <c r="AQ685" s="2207"/>
      <c r="AR685" s="2207"/>
      <c r="AS685" s="2207"/>
      <c r="AT685" s="2207"/>
      <c r="AU685" s="2207"/>
      <c r="AV685" s="2207"/>
      <c r="AW685" s="2207"/>
      <c r="AX685" s="2207"/>
      <c r="AY685" s="2207"/>
      <c r="AZ685" s="2207"/>
      <c r="BA685" s="2207"/>
      <c r="BB685" s="2207"/>
      <c r="BC685" s="2207"/>
      <c r="BD685" s="2207"/>
      <c r="BE685" s="2207"/>
      <c r="BF685" s="2207"/>
      <c r="BG685" s="2207"/>
      <c r="BH685" s="2207"/>
      <c r="BI685" s="2207"/>
      <c r="BJ685" s="2207"/>
      <c r="BK685" s="2207"/>
      <c r="BL685" s="2207"/>
      <c r="BM685" s="2207"/>
      <c r="BN685" s="2207"/>
      <c r="BO685" s="2207"/>
      <c r="BP685" s="2207"/>
      <c r="BQ685" s="2207"/>
      <c r="BR685" s="2207"/>
      <c r="BS685" s="2207"/>
      <c r="BT685" s="2207"/>
      <c r="BU685" s="2207"/>
      <c r="BV685" s="2207"/>
      <c r="BW685" s="2207"/>
      <c r="BX685" s="2207"/>
      <c r="BY685" s="2207"/>
      <c r="BZ685" s="2207"/>
      <c r="CA685" s="2207"/>
      <c r="CB685" s="2207"/>
      <c r="CC685" s="2207"/>
      <c r="CD685" s="2207"/>
      <c r="CE685" s="2207"/>
      <c r="CF685" s="2207"/>
      <c r="CG685" s="2207"/>
      <c r="CH685" s="2207"/>
      <c r="CI685" s="2207"/>
      <c r="CJ685" s="2207"/>
      <c r="CK685" s="2207"/>
      <c r="CL685" s="2208">
        <f t="shared" ref="CL685:CW685" si="2459">+CL684/AVERAGE(CK499:CL499)*4</f>
        <v>1.4511155450752766E-2</v>
      </c>
      <c r="CM685" s="2207">
        <f t="shared" si="2459"/>
        <v>6.4735945485519586E-2</v>
      </c>
      <c r="CN685" s="2207">
        <f t="shared" si="2459"/>
        <v>0.11168258633357825</v>
      </c>
      <c r="CO685" s="2207">
        <f t="shared" si="2459"/>
        <v>7.3291050035236088E-2</v>
      </c>
      <c r="CP685" s="2208">
        <f t="shared" si="2459"/>
        <v>0.12911555842479019</v>
      </c>
      <c r="CQ685" s="2207">
        <f t="shared" si="2459"/>
        <v>6.1287027579162413E-2</v>
      </c>
      <c r="CR685" s="2207">
        <f t="shared" si="2459"/>
        <v>5.3658536585365853E-2</v>
      </c>
      <c r="CS685" s="2209">
        <f t="shared" si="2459"/>
        <v>5.3658536585365853E-2</v>
      </c>
      <c r="CT685" s="2207">
        <f t="shared" ca="1" si="2459"/>
        <v>2.0363389080114553E-2</v>
      </c>
      <c r="CU685" s="2207">
        <f t="shared" ca="1" si="2459"/>
        <v>2.0930022960841684E-2</v>
      </c>
      <c r="CV685" s="2207">
        <f t="shared" ca="1" si="2459"/>
        <v>1.065085191699423E-2</v>
      </c>
      <c r="CW685" s="2209">
        <f t="shared" ca="1" si="2459"/>
        <v>9.994900815792733E-3</v>
      </c>
      <c r="CX685" s="2207"/>
      <c r="CY685" s="2207"/>
      <c r="CZ685" s="2207"/>
      <c r="DA685" s="2207"/>
      <c r="DB685" s="2208"/>
      <c r="DC685" s="2207"/>
      <c r="DD685" s="2207"/>
      <c r="DE685" s="2207"/>
      <c r="DF685" s="2207"/>
      <c r="DG685" s="2207"/>
      <c r="DH685" s="2207"/>
      <c r="DI685" s="2207"/>
      <c r="DJ685" s="2207"/>
      <c r="DK685" s="2207"/>
      <c r="DL685" s="2207"/>
      <c r="DM685" s="2207"/>
      <c r="DN685" s="2207"/>
      <c r="DO685" s="2207"/>
      <c r="DP685" s="2207"/>
      <c r="DQ685" s="2207"/>
      <c r="DR685" s="2207"/>
      <c r="DS685" s="2207"/>
      <c r="DT685" s="2207"/>
      <c r="DU685" s="2207"/>
      <c r="DV685" s="2207"/>
      <c r="DW685" s="2222"/>
      <c r="DX685" s="2222"/>
      <c r="DY685" s="2223"/>
    </row>
    <row r="686" spans="1:129" hidden="1" outlineLevel="1">
      <c r="AI686" s="1927"/>
      <c r="CL686" s="1942"/>
      <c r="CM686" s="2702"/>
      <c r="CP686" s="1942"/>
      <c r="CT686" s="1942"/>
      <c r="CW686" s="2236"/>
      <c r="DB686" s="1942"/>
      <c r="DY686" s="2236"/>
    </row>
    <row r="687" spans="1:129" hidden="1" outlineLevel="1">
      <c r="AI687" s="1927"/>
      <c r="CL687" s="1942"/>
      <c r="CP687" s="1942"/>
      <c r="CT687" s="1942"/>
      <c r="CW687" s="2730">
        <f>+CW719/CW710</f>
        <v>0.55844155844155841</v>
      </c>
      <c r="CX687" s="2731"/>
      <c r="CY687" s="2731"/>
      <c r="CZ687" s="2731"/>
      <c r="DA687" s="2731"/>
      <c r="DB687" s="2732"/>
      <c r="DC687" s="2731"/>
      <c r="DD687" s="2731"/>
      <c r="DE687" s="2731"/>
      <c r="DF687" s="2731"/>
      <c r="DG687" s="2731"/>
      <c r="DH687" s="2731"/>
      <c r="DI687" s="2731"/>
      <c r="DJ687" s="2731"/>
      <c r="DK687" s="2731"/>
      <c r="DL687" s="2731"/>
      <c r="DM687" s="2731"/>
      <c r="DN687" s="2731"/>
      <c r="DO687" s="2731"/>
      <c r="DP687" s="2731"/>
      <c r="DQ687" s="2731"/>
      <c r="DR687" s="2731"/>
      <c r="DS687" s="2731"/>
      <c r="DT687" s="2731"/>
      <c r="DU687" s="2731"/>
      <c r="DV687" s="2731"/>
      <c r="DY687" s="2236"/>
    </row>
    <row r="688" spans="1:129" hidden="1" outlineLevel="1">
      <c r="A688" s="2205" t="s">
        <v>1263</v>
      </c>
      <c r="B688" s="2205"/>
      <c r="AI688" s="1927"/>
      <c r="CL688" s="1942"/>
      <c r="CP688" s="1942"/>
      <c r="CT688" s="1942"/>
      <c r="CW688" s="2236"/>
      <c r="DB688" s="1942"/>
      <c r="DY688" s="2236"/>
    </row>
    <row r="689" spans="1:129" hidden="1" outlineLevel="1">
      <c r="A689" s="2621" t="s">
        <v>1265</v>
      </c>
      <c r="B689" s="2621"/>
      <c r="C689" s="2621"/>
      <c r="D689" s="2621"/>
      <c r="E689" s="2621"/>
      <c r="F689" s="2621"/>
      <c r="G689" s="2621"/>
      <c r="H689" s="2621"/>
      <c r="I689" s="2621"/>
      <c r="J689" s="2621"/>
      <c r="K689" s="2621"/>
      <c r="L689" s="2621"/>
      <c r="M689" s="2621"/>
      <c r="N689" s="2621"/>
      <c r="O689" s="2621"/>
      <c r="P689" s="2621"/>
      <c r="Q689" s="2621">
        <f>Q500/Q31*360</f>
        <v>32.458184832159134</v>
      </c>
      <c r="R689" s="2621">
        <f>R500/R31*360</f>
        <v>34.105382686454178</v>
      </c>
      <c r="S689" s="2621">
        <f>S500/S31*360</f>
        <v>30.732958918949738</v>
      </c>
      <c r="T689" s="2621">
        <f>T500/T31*360</f>
        <v>31.588021300152896</v>
      </c>
      <c r="U689" s="2733">
        <f t="shared" ref="U689:AB693" si="2460">+T689</f>
        <v>31.588021300152896</v>
      </c>
      <c r="V689" s="2733">
        <f t="shared" si="2460"/>
        <v>31.588021300152896</v>
      </c>
      <c r="W689" s="2733">
        <f t="shared" si="2460"/>
        <v>31.588021300152896</v>
      </c>
      <c r="X689" s="2733">
        <f t="shared" si="2460"/>
        <v>31.588021300152896</v>
      </c>
      <c r="Y689" s="2733">
        <f t="shared" si="2460"/>
        <v>31.588021300152896</v>
      </c>
      <c r="Z689" s="2733">
        <f t="shared" si="2460"/>
        <v>31.588021300152896</v>
      </c>
      <c r="AA689" s="2733">
        <f t="shared" si="2460"/>
        <v>31.588021300152896</v>
      </c>
      <c r="AB689" s="2733">
        <f t="shared" si="2460"/>
        <v>31.588021300152896</v>
      </c>
      <c r="AC689" s="2733">
        <f t="shared" ref="AC689:AC693" si="2461">+AB689</f>
        <v>31.588021300152896</v>
      </c>
      <c r="AD689" s="2733">
        <f t="shared" ref="AD689:AD693" si="2462">+AC689</f>
        <v>31.588021300152896</v>
      </c>
      <c r="AE689" s="2733">
        <f t="shared" ref="AE689:AE693" si="2463">+AD689</f>
        <v>31.588021300152896</v>
      </c>
      <c r="AF689" s="2733">
        <f t="shared" ref="AF689:AF693" si="2464">+AE689</f>
        <v>31.588021300152896</v>
      </c>
      <c r="AG689" s="2733">
        <f t="shared" ref="AG689:AG693" si="2465">+AF689</f>
        <v>31.588021300152896</v>
      </c>
      <c r="AI689" s="1975"/>
      <c r="AK689" s="2621"/>
      <c r="AL689" s="2621"/>
      <c r="AM689" s="2621"/>
      <c r="AN689" s="2621"/>
      <c r="AO689" s="2621"/>
      <c r="AP689" s="2621"/>
      <c r="AQ689" s="2621"/>
      <c r="AR689" s="2621"/>
      <c r="AS689" s="2621"/>
      <c r="AT689" s="2621"/>
      <c r="AU689" s="2621"/>
      <c r="AV689" s="2621"/>
      <c r="AW689" s="2621"/>
      <c r="AX689" s="2621"/>
      <c r="AY689" s="2621"/>
      <c r="AZ689" s="2621"/>
      <c r="BA689" s="2621"/>
      <c r="BB689" s="2621"/>
      <c r="BC689" s="2621"/>
      <c r="BD689" s="2621"/>
      <c r="BE689" s="2621"/>
      <c r="BF689" s="2621"/>
      <c r="BG689" s="2621"/>
      <c r="BH689" s="2621"/>
      <c r="BI689" s="2621"/>
      <c r="BJ689" s="2621"/>
      <c r="BK689" s="2621"/>
      <c r="BL689" s="2621"/>
      <c r="BM689" s="2621"/>
      <c r="BN689" s="2621"/>
      <c r="BO689" s="2621"/>
      <c r="BP689" s="2621"/>
      <c r="BQ689" s="2621"/>
      <c r="BR689" s="2621"/>
      <c r="BS689" s="2621"/>
      <c r="BT689" s="2621"/>
      <c r="BU689" s="2621"/>
      <c r="BV689" s="2621"/>
      <c r="BW689" s="2621"/>
      <c r="BX689" s="2621"/>
      <c r="BY689" s="2621"/>
      <c r="BZ689" s="2621"/>
      <c r="CA689" s="2621"/>
      <c r="CB689" s="2621"/>
      <c r="CC689" s="2621"/>
      <c r="CD689" s="2621"/>
      <c r="CE689" s="2621"/>
      <c r="CF689" s="2621"/>
      <c r="CG689" s="2621"/>
      <c r="CH689" s="2621"/>
      <c r="CI689" s="2621"/>
      <c r="CJ689" s="2621"/>
      <c r="CK689" s="2621">
        <f>CK500/CK14*90</f>
        <v>30.574497898178421</v>
      </c>
      <c r="CL689" s="2734">
        <f>+CK689</f>
        <v>30.574497898178421</v>
      </c>
      <c r="CM689" s="2621">
        <f>CM500/CM14*90</f>
        <v>31.806998939554614</v>
      </c>
      <c r="CN689" s="2621">
        <f>CN500/CN14*90</f>
        <v>34.532493598172884</v>
      </c>
      <c r="CO689" s="2621">
        <f>CO500/CO14*90</f>
        <v>33.894889904445371</v>
      </c>
      <c r="CP689" s="2735">
        <f>CP500/CP31*90</f>
        <v>31.686912225705331</v>
      </c>
      <c r="CQ689" s="2621">
        <f>CQ500/CQ31*90</f>
        <v>32.887812957890041</v>
      </c>
      <c r="CR689" s="2621">
        <f>CR500/CR31*90</f>
        <v>33.358153846153847</v>
      </c>
      <c r="CS689" s="2733">
        <f>+CR689</f>
        <v>33.358153846153847</v>
      </c>
      <c r="CT689" s="2736">
        <v>34</v>
      </c>
      <c r="CU689" s="2733">
        <v>40</v>
      </c>
      <c r="CV689" s="2733">
        <v>42</v>
      </c>
      <c r="CW689" s="2737">
        <v>42</v>
      </c>
      <c r="CX689" s="2733"/>
      <c r="CY689" s="2733"/>
      <c r="CZ689" s="2733"/>
      <c r="DA689" s="2733"/>
      <c r="DB689" s="2736"/>
      <c r="DC689" s="2733"/>
      <c r="DD689" s="2733"/>
      <c r="DE689" s="2733"/>
      <c r="DF689" s="2733"/>
      <c r="DG689" s="2733"/>
      <c r="DH689" s="2733"/>
      <c r="DI689" s="2733"/>
      <c r="DJ689" s="2733"/>
      <c r="DK689" s="2733"/>
      <c r="DL689" s="2733"/>
      <c r="DM689" s="2733"/>
      <c r="DN689" s="2733"/>
      <c r="DO689" s="2733"/>
      <c r="DP689" s="2733"/>
      <c r="DQ689" s="2733"/>
      <c r="DR689" s="2733"/>
      <c r="DS689" s="2733"/>
      <c r="DT689" s="2733"/>
      <c r="DU689" s="2733"/>
      <c r="DV689" s="2733"/>
      <c r="DW689" s="2733"/>
      <c r="DX689" s="2733"/>
      <c r="DY689" s="2737"/>
    </row>
    <row r="690" spans="1:129" hidden="1" outlineLevel="1">
      <c r="A690" s="2621" t="s">
        <v>1266</v>
      </c>
      <c r="B690" s="2621"/>
      <c r="C690" s="2621"/>
      <c r="D690" s="2621"/>
      <c r="E690" s="2621"/>
      <c r="F690" s="2621"/>
      <c r="G690" s="2621"/>
      <c r="H690" s="2621"/>
      <c r="I690" s="2621"/>
      <c r="J690" s="2621"/>
      <c r="K690" s="2621"/>
      <c r="L690" s="2621"/>
      <c r="M690" s="2621"/>
      <c r="N690" s="2621"/>
      <c r="O690" s="2621"/>
      <c r="P690" s="2621"/>
      <c r="Q690" s="2621">
        <f>Q503/Q31*360</f>
        <v>20.248321591380027</v>
      </c>
      <c r="R690" s="2621">
        <f>R503/R31*360</f>
        <v>4.1673632248805337</v>
      </c>
      <c r="S690" s="2621">
        <f>S503/S31*360</f>
        <v>2.5349944408016647</v>
      </c>
      <c r="T690" s="2621">
        <f>T503/T31*360</f>
        <v>2.4911688722518055</v>
      </c>
      <c r="U690" s="2733">
        <f t="shared" si="2460"/>
        <v>2.4911688722518055</v>
      </c>
      <c r="V690" s="2733">
        <f t="shared" si="2460"/>
        <v>2.4911688722518055</v>
      </c>
      <c r="W690" s="2733">
        <f t="shared" si="2460"/>
        <v>2.4911688722518055</v>
      </c>
      <c r="X690" s="2733">
        <f t="shared" si="2460"/>
        <v>2.4911688722518055</v>
      </c>
      <c r="Y690" s="2733">
        <f t="shared" si="2460"/>
        <v>2.4911688722518055</v>
      </c>
      <c r="Z690" s="2733">
        <f t="shared" si="2460"/>
        <v>2.4911688722518055</v>
      </c>
      <c r="AA690" s="2733">
        <f t="shared" si="2460"/>
        <v>2.4911688722518055</v>
      </c>
      <c r="AB690" s="2733">
        <f t="shared" si="2460"/>
        <v>2.4911688722518055</v>
      </c>
      <c r="AC690" s="2733">
        <f t="shared" si="2461"/>
        <v>2.4911688722518055</v>
      </c>
      <c r="AD690" s="2733">
        <f t="shared" si="2462"/>
        <v>2.4911688722518055</v>
      </c>
      <c r="AE690" s="2733">
        <f t="shared" si="2463"/>
        <v>2.4911688722518055</v>
      </c>
      <c r="AF690" s="2733">
        <f t="shared" si="2464"/>
        <v>2.4911688722518055</v>
      </c>
      <c r="AG690" s="2733">
        <f t="shared" si="2465"/>
        <v>2.4911688722518055</v>
      </c>
      <c r="AI690" s="1975"/>
      <c r="AK690" s="2621"/>
      <c r="AL690" s="2621"/>
      <c r="AM690" s="2621"/>
      <c r="AN690" s="2621"/>
      <c r="AO690" s="2621"/>
      <c r="AP690" s="2621"/>
      <c r="AQ690" s="2621"/>
      <c r="AR690" s="2621"/>
      <c r="AS690" s="2621"/>
      <c r="AT690" s="2621"/>
      <c r="AU690" s="2621"/>
      <c r="AV690" s="2621"/>
      <c r="AW690" s="2621"/>
      <c r="AX690" s="2621"/>
      <c r="AY690" s="2621"/>
      <c r="AZ690" s="2621"/>
      <c r="BA690" s="2621"/>
      <c r="BB690" s="2621"/>
      <c r="BC690" s="2621"/>
      <c r="BD690" s="2621"/>
      <c r="BE690" s="2621"/>
      <c r="BF690" s="2621"/>
      <c r="BG690" s="2621"/>
      <c r="BH690" s="2621"/>
      <c r="BI690" s="2621"/>
      <c r="BJ690" s="2621"/>
      <c r="BK690" s="2621"/>
      <c r="BL690" s="2621"/>
      <c r="BM690" s="2621"/>
      <c r="BN690" s="2621"/>
      <c r="BO690" s="2621"/>
      <c r="BP690" s="2621"/>
      <c r="BQ690" s="2621"/>
      <c r="BR690" s="2621"/>
      <c r="BS690" s="2621"/>
      <c r="BT690" s="2621"/>
      <c r="BU690" s="2621"/>
      <c r="BV690" s="2621"/>
      <c r="BW690" s="2621"/>
      <c r="BX690" s="2621"/>
      <c r="BY690" s="2621"/>
      <c r="BZ690" s="2621"/>
      <c r="CA690" s="2621"/>
      <c r="CB690" s="2621"/>
      <c r="CC690" s="2621"/>
      <c r="CD690" s="2621"/>
      <c r="CE690" s="2621"/>
      <c r="CF690" s="2621"/>
      <c r="CG690" s="2621"/>
      <c r="CH690" s="2621"/>
      <c r="CI690" s="2621"/>
      <c r="CJ690" s="2621"/>
      <c r="CK690" s="2621">
        <f>CK503/CK14*90</f>
        <v>5.1424567958897711</v>
      </c>
      <c r="CL690" s="2734">
        <f>+CK690</f>
        <v>5.1424567958897711</v>
      </c>
      <c r="CM690" s="2621">
        <f>CM503/CM14*90</f>
        <v>22.593849416755038</v>
      </c>
      <c r="CN690" s="2621">
        <f>CN503/CN14*90</f>
        <v>19.882344798948022</v>
      </c>
      <c r="CO690" s="2621">
        <f>CO503/CO14*90</f>
        <v>21.144578313253014</v>
      </c>
      <c r="CP690" s="2735">
        <f>CP503/CP31*90</f>
        <v>19.420062695924766</v>
      </c>
      <c r="CQ690" s="2621">
        <f>CQ503/CQ31*90</f>
        <v>4.0651079824170226</v>
      </c>
      <c r="CR690" s="2621">
        <f>CR503/CR31*90</f>
        <v>4.1926153846153849</v>
      </c>
      <c r="CS690" s="2733">
        <f>+CR690</f>
        <v>4.1926153846153849</v>
      </c>
      <c r="CT690" s="2736">
        <f>+CS690</f>
        <v>4.1926153846153849</v>
      </c>
      <c r="CU690" s="2733">
        <v>6</v>
      </c>
      <c r="CV690" s="2733">
        <v>8</v>
      </c>
      <c r="CW690" s="2737">
        <v>8</v>
      </c>
      <c r="CX690" s="2733"/>
      <c r="CY690" s="2733"/>
      <c r="CZ690" s="2733"/>
      <c r="DA690" s="2733"/>
      <c r="DB690" s="2736"/>
      <c r="DC690" s="2733"/>
      <c r="DD690" s="2733"/>
      <c r="DE690" s="2733"/>
      <c r="DF690" s="2733"/>
      <c r="DG690" s="2733"/>
      <c r="DH690" s="2733"/>
      <c r="DI690" s="2733"/>
      <c r="DJ690" s="2733"/>
      <c r="DK690" s="2733"/>
      <c r="DL690" s="2733"/>
      <c r="DM690" s="2733"/>
      <c r="DN690" s="2733"/>
      <c r="DO690" s="2733"/>
      <c r="DP690" s="2733"/>
      <c r="DQ690" s="2733"/>
      <c r="DR690" s="2733"/>
      <c r="DS690" s="2733"/>
      <c r="DT690" s="2733"/>
      <c r="DU690" s="2733"/>
      <c r="DV690" s="2733"/>
      <c r="DW690" s="2733"/>
      <c r="DX690" s="2733"/>
      <c r="DY690" s="2737"/>
    </row>
    <row r="691" spans="1:129" hidden="1" outlineLevel="1">
      <c r="A691" s="2621" t="s">
        <v>1267</v>
      </c>
      <c r="B691" s="2621"/>
      <c r="C691" s="2621"/>
      <c r="D691" s="2621"/>
      <c r="E691" s="2621"/>
      <c r="F691" s="2621"/>
      <c r="G691" s="2621"/>
      <c r="H691" s="2621"/>
      <c r="I691" s="2621"/>
      <c r="J691" s="2621"/>
      <c r="K691" s="2621"/>
      <c r="L691" s="2621"/>
      <c r="M691" s="2621"/>
      <c r="N691" s="2621"/>
      <c r="O691" s="2621"/>
      <c r="P691" s="2621"/>
      <c r="Q691" s="2621" t="e">
        <f ca="1">Q502/#REF!*360</f>
        <v>#REF!</v>
      </c>
      <c r="R691" s="2621" t="e">
        <f ca="1">R502/#REF!*360</f>
        <v>#REF!</v>
      </c>
      <c r="S691" s="2621" t="e">
        <f>S502/#REF!*360</f>
        <v>#REF!</v>
      </c>
      <c r="T691" s="2621" t="e">
        <f>T502/#REF!*360</f>
        <v>#REF!</v>
      </c>
      <c r="U691" s="2733" t="e">
        <f t="shared" si="2460"/>
        <v>#REF!</v>
      </c>
      <c r="V691" s="2733" t="e">
        <f t="shared" si="2460"/>
        <v>#REF!</v>
      </c>
      <c r="W691" s="2733" t="e">
        <f t="shared" si="2460"/>
        <v>#REF!</v>
      </c>
      <c r="X691" s="2733" t="e">
        <f t="shared" si="2460"/>
        <v>#REF!</v>
      </c>
      <c r="Y691" s="2733" t="e">
        <f t="shared" si="2460"/>
        <v>#REF!</v>
      </c>
      <c r="Z691" s="2733" t="e">
        <f t="shared" si="2460"/>
        <v>#REF!</v>
      </c>
      <c r="AA691" s="2733" t="e">
        <f t="shared" si="2460"/>
        <v>#REF!</v>
      </c>
      <c r="AB691" s="2733" t="e">
        <f t="shared" si="2460"/>
        <v>#REF!</v>
      </c>
      <c r="AC691" s="2733" t="e">
        <f t="shared" si="2461"/>
        <v>#REF!</v>
      </c>
      <c r="AD691" s="2733" t="e">
        <f t="shared" si="2462"/>
        <v>#REF!</v>
      </c>
      <c r="AE691" s="2733" t="e">
        <f t="shared" si="2463"/>
        <v>#REF!</v>
      </c>
      <c r="AF691" s="2733" t="e">
        <f t="shared" si="2464"/>
        <v>#REF!</v>
      </c>
      <c r="AG691" s="2733" t="e">
        <f t="shared" si="2465"/>
        <v>#REF!</v>
      </c>
      <c r="AI691" s="1975"/>
      <c r="AK691" s="2621"/>
      <c r="AL691" s="2621"/>
      <c r="AM691" s="2621"/>
      <c r="AN691" s="2621"/>
      <c r="AO691" s="2621"/>
      <c r="AP691" s="2621"/>
      <c r="AQ691" s="2621"/>
      <c r="AR691" s="2621"/>
      <c r="AS691" s="2621"/>
      <c r="AT691" s="2621"/>
      <c r="AU691" s="2621"/>
      <c r="AV691" s="2621"/>
      <c r="AW691" s="2621"/>
      <c r="AX691" s="2621"/>
      <c r="AY691" s="2621"/>
      <c r="AZ691" s="2621"/>
      <c r="BA691" s="2621"/>
      <c r="BB691" s="2621"/>
      <c r="BC691" s="2621"/>
      <c r="BD691" s="2621"/>
      <c r="BE691" s="2621"/>
      <c r="BF691" s="2621"/>
      <c r="BG691" s="2621"/>
      <c r="BH691" s="2621"/>
      <c r="BI691" s="2621"/>
      <c r="BJ691" s="2621"/>
      <c r="BK691" s="2621"/>
      <c r="BL691" s="2621"/>
      <c r="BM691" s="2621"/>
      <c r="BN691" s="2621"/>
      <c r="BO691" s="2621"/>
      <c r="BP691" s="2621"/>
      <c r="BQ691" s="2621"/>
      <c r="BR691" s="2621"/>
      <c r="BS691" s="2621"/>
      <c r="BT691" s="2621"/>
      <c r="BU691" s="2621"/>
      <c r="BV691" s="2621"/>
      <c r="BW691" s="2621"/>
      <c r="BX691" s="2621"/>
      <c r="BY691" s="2621"/>
      <c r="BZ691" s="2621"/>
      <c r="CA691" s="2621"/>
      <c r="CB691" s="2621"/>
      <c r="CC691" s="2621"/>
      <c r="CD691" s="2621"/>
      <c r="CE691" s="2621"/>
      <c r="CF691" s="2621"/>
      <c r="CG691" s="2621"/>
      <c r="CH691" s="2621"/>
      <c r="CI691" s="2621"/>
      <c r="CJ691" s="2621"/>
      <c r="CK691" s="2621">
        <f>CK502/CK47*90</f>
        <v>10.57752808988764</v>
      </c>
      <c r="CL691" s="2734">
        <f>+CK691</f>
        <v>10.57752808988764</v>
      </c>
      <c r="CM691" s="2621">
        <f t="shared" ref="CM691:CR691" ca="1" si="2466">CM502/CM47*90</f>
        <v>16.242544731610337</v>
      </c>
      <c r="CN691" s="2621">
        <f t="shared" ca="1" si="2466"/>
        <v>13.44982847341338</v>
      </c>
      <c r="CO691" s="2621">
        <f t="shared" ca="1" si="2466"/>
        <v>13.149941470682132</v>
      </c>
      <c r="CP691" s="2735">
        <f t="shared" ca="1" si="2466"/>
        <v>10.387258645140177</v>
      </c>
      <c r="CQ691" s="2621">
        <f t="shared" ca="1" si="2466"/>
        <v>9.1890715140960051</v>
      </c>
      <c r="CR691" s="2621">
        <f t="shared" ca="1" si="2466"/>
        <v>8.9341004184100417</v>
      </c>
      <c r="CS691" s="2733">
        <f ca="1">+CR691</f>
        <v>8.9341004184100417</v>
      </c>
      <c r="CT691" s="2736">
        <f ca="1">+CS691</f>
        <v>8.9341004184100417</v>
      </c>
      <c r="CU691" s="2733">
        <v>12.5</v>
      </c>
      <c r="CV691" s="2733">
        <v>12</v>
      </c>
      <c r="CW691" s="2737">
        <v>12</v>
      </c>
      <c r="CX691" s="2733"/>
      <c r="CY691" s="2733"/>
      <c r="CZ691" s="2733"/>
      <c r="DA691" s="2733"/>
      <c r="DB691" s="2736"/>
      <c r="DC691" s="2733"/>
      <c r="DD691" s="2733"/>
      <c r="DE691" s="2733"/>
      <c r="DF691" s="2733"/>
      <c r="DG691" s="2733"/>
      <c r="DH691" s="2733"/>
      <c r="DI691" s="2733"/>
      <c r="DJ691" s="2733"/>
      <c r="DK691" s="2733"/>
      <c r="DL691" s="2733"/>
      <c r="DM691" s="2733"/>
      <c r="DN691" s="2733"/>
      <c r="DO691" s="2733"/>
      <c r="DP691" s="2733"/>
      <c r="DQ691" s="2733"/>
      <c r="DR691" s="2733"/>
      <c r="DS691" s="2733"/>
      <c r="DT691" s="2733"/>
      <c r="DU691" s="2733"/>
      <c r="DV691" s="2733"/>
      <c r="DW691" s="2733"/>
      <c r="DX691" s="2733"/>
      <c r="DY691" s="2737"/>
    </row>
    <row r="692" spans="1:129" hidden="1" outlineLevel="1">
      <c r="A692" s="2621" t="s">
        <v>1268</v>
      </c>
      <c r="B692" s="2621"/>
      <c r="C692" s="2621"/>
      <c r="D692" s="2621"/>
      <c r="E692" s="2621"/>
      <c r="F692" s="2621"/>
      <c r="G692" s="2621"/>
      <c r="H692" s="2621"/>
      <c r="I692" s="2621"/>
      <c r="J692" s="2621"/>
      <c r="K692" s="2621"/>
      <c r="L692" s="2621"/>
      <c r="M692" s="2621"/>
      <c r="N692" s="2621"/>
      <c r="O692" s="2621"/>
      <c r="P692" s="2621"/>
      <c r="Q692" s="2621" t="e">
        <f>Q516/#REF!*360</f>
        <v>#REF!</v>
      </c>
      <c r="R692" s="2621" t="e">
        <f>R516/#REF!*360</f>
        <v>#REF!</v>
      </c>
      <c r="S692" s="2621" t="e">
        <f>S516/#REF!*360</f>
        <v>#REF!</v>
      </c>
      <c r="T692" s="2621" t="e">
        <f>T516/#REF!*360</f>
        <v>#REF!</v>
      </c>
      <c r="U692" s="2733" t="e">
        <f t="shared" si="2460"/>
        <v>#REF!</v>
      </c>
      <c r="V692" s="2733" t="e">
        <f t="shared" si="2460"/>
        <v>#REF!</v>
      </c>
      <c r="W692" s="2733" t="e">
        <f t="shared" si="2460"/>
        <v>#REF!</v>
      </c>
      <c r="X692" s="2733" t="e">
        <f t="shared" si="2460"/>
        <v>#REF!</v>
      </c>
      <c r="Y692" s="2733" t="e">
        <f t="shared" si="2460"/>
        <v>#REF!</v>
      </c>
      <c r="Z692" s="2733" t="e">
        <f t="shared" si="2460"/>
        <v>#REF!</v>
      </c>
      <c r="AA692" s="2733" t="e">
        <f t="shared" si="2460"/>
        <v>#REF!</v>
      </c>
      <c r="AB692" s="2733" t="e">
        <f t="shared" si="2460"/>
        <v>#REF!</v>
      </c>
      <c r="AC692" s="2733" t="e">
        <f t="shared" si="2461"/>
        <v>#REF!</v>
      </c>
      <c r="AD692" s="2733" t="e">
        <f t="shared" si="2462"/>
        <v>#REF!</v>
      </c>
      <c r="AE692" s="2733" t="e">
        <f t="shared" si="2463"/>
        <v>#REF!</v>
      </c>
      <c r="AF692" s="2733" t="e">
        <f t="shared" si="2464"/>
        <v>#REF!</v>
      </c>
      <c r="AG692" s="2733" t="e">
        <f t="shared" si="2465"/>
        <v>#REF!</v>
      </c>
      <c r="AI692" s="1975"/>
      <c r="AK692" s="2621"/>
      <c r="AL692" s="2621"/>
      <c r="AM692" s="2621"/>
      <c r="AN692" s="2621"/>
      <c r="AO692" s="2621"/>
      <c r="AP692" s="2621"/>
      <c r="AQ692" s="2621"/>
      <c r="AR692" s="2621"/>
      <c r="AS692" s="2621"/>
      <c r="AT692" s="2621"/>
      <c r="AU692" s="2621"/>
      <c r="AV692" s="2621"/>
      <c r="AW692" s="2621"/>
      <c r="AX692" s="2621"/>
      <c r="AY692" s="2621"/>
      <c r="AZ692" s="2621"/>
      <c r="BA692" s="2621"/>
      <c r="BB692" s="2621"/>
      <c r="BC692" s="2621"/>
      <c r="BD692" s="2621"/>
      <c r="BE692" s="2621"/>
      <c r="BF692" s="2621"/>
      <c r="BG692" s="2621"/>
      <c r="BH692" s="2621"/>
      <c r="BI692" s="2621"/>
      <c r="BJ692" s="2621"/>
      <c r="BK692" s="2621"/>
      <c r="BL692" s="2621"/>
      <c r="BM692" s="2621"/>
      <c r="BN692" s="2621"/>
      <c r="BO692" s="2621"/>
      <c r="BP692" s="2621"/>
      <c r="BQ692" s="2621"/>
      <c r="BR692" s="2621"/>
      <c r="BS692" s="2621"/>
      <c r="BT692" s="2621"/>
      <c r="BU692" s="2621"/>
      <c r="BV692" s="2621"/>
      <c r="BW692" s="2621"/>
      <c r="BX692" s="2621"/>
      <c r="BY692" s="2621"/>
      <c r="BZ692" s="2621"/>
      <c r="CA692" s="2621"/>
      <c r="CB692" s="2621"/>
      <c r="CC692" s="2621"/>
      <c r="CD692" s="2621"/>
      <c r="CE692" s="2621"/>
      <c r="CF692" s="2621"/>
      <c r="CG692" s="2621"/>
      <c r="CH692" s="2621"/>
      <c r="CI692" s="2621"/>
      <c r="CJ692" s="2621"/>
      <c r="CK692" s="2621">
        <f>CK516/CK47*90</f>
        <v>54.556179775280896</v>
      </c>
      <c r="CL692" s="2734">
        <f>+CK692</f>
        <v>54.556179775280896</v>
      </c>
      <c r="CM692" s="2621">
        <f t="shared" ref="CM692:CR692" si="2467">CM516/CM47*90</f>
        <v>60.039761431411534</v>
      </c>
      <c r="CN692" s="2621">
        <f t="shared" si="2467"/>
        <v>62.116209262435682</v>
      </c>
      <c r="CO692" s="2621">
        <f t="shared" si="2467"/>
        <v>58.643183994891984</v>
      </c>
      <c r="CP692" s="2735">
        <f t="shared" si="2467"/>
        <v>59.211301407221555</v>
      </c>
      <c r="CQ692" s="2621">
        <f t="shared" si="2467"/>
        <v>70.632415369543921</v>
      </c>
      <c r="CR692" s="2621">
        <f t="shared" si="2467"/>
        <v>68.629707112970706</v>
      </c>
      <c r="CS692" s="2733">
        <f>+CR692</f>
        <v>68.629707112970706</v>
      </c>
      <c r="CT692" s="2736">
        <f>+CS692</f>
        <v>68.629707112970706</v>
      </c>
      <c r="CU692" s="2733">
        <v>60</v>
      </c>
      <c r="CV692" s="2733">
        <v>62</v>
      </c>
      <c r="CW692" s="2737">
        <v>62</v>
      </c>
      <c r="CX692" s="2733"/>
      <c r="CY692" s="2733"/>
      <c r="CZ692" s="2733"/>
      <c r="DA692" s="2733"/>
      <c r="DB692" s="2736"/>
      <c r="DC692" s="2733"/>
      <c r="DD692" s="2733"/>
      <c r="DE692" s="2733"/>
      <c r="DF692" s="2733"/>
      <c r="DG692" s="2733"/>
      <c r="DH692" s="2733"/>
      <c r="DI692" s="2733"/>
      <c r="DJ692" s="2733"/>
      <c r="DK692" s="2733"/>
      <c r="DL692" s="2733"/>
      <c r="DM692" s="2733"/>
      <c r="DN692" s="2733"/>
      <c r="DO692" s="2733"/>
      <c r="DP692" s="2733"/>
      <c r="DQ692" s="2733"/>
      <c r="DR692" s="2733"/>
      <c r="DS692" s="2733"/>
      <c r="DT692" s="2733"/>
      <c r="DU692" s="2733"/>
      <c r="DV692" s="2733"/>
      <c r="DW692" s="2733"/>
      <c r="DX692" s="2733"/>
      <c r="DY692" s="2737"/>
    </row>
    <row r="693" spans="1:129" hidden="1" outlineLevel="1">
      <c r="A693" s="2621" t="s">
        <v>1269</v>
      </c>
      <c r="B693" s="2621"/>
      <c r="C693" s="2621"/>
      <c r="D693" s="2621"/>
      <c r="E693" s="2621"/>
      <c r="F693" s="2621"/>
      <c r="G693" s="2621"/>
      <c r="H693" s="2621"/>
      <c r="I693" s="2621"/>
      <c r="J693" s="2621"/>
      <c r="K693" s="2621"/>
      <c r="L693" s="2621"/>
      <c r="M693" s="2621"/>
      <c r="N693" s="2621"/>
      <c r="O693" s="2621"/>
      <c r="P693" s="2621"/>
      <c r="Q693" s="2621" t="e">
        <f>Q523/#REF!*360</f>
        <v>#REF!</v>
      </c>
      <c r="R693" s="2621" t="e">
        <f>R523/#REF!*360</f>
        <v>#REF!</v>
      </c>
      <c r="S693" s="2621" t="e">
        <f>S523/#REF!*360</f>
        <v>#REF!</v>
      </c>
      <c r="T693" s="2621" t="e">
        <f>T523/#REF!*360</f>
        <v>#REF!</v>
      </c>
      <c r="U693" s="2733" t="e">
        <f t="shared" si="2460"/>
        <v>#REF!</v>
      </c>
      <c r="V693" s="2733" t="e">
        <f t="shared" si="2460"/>
        <v>#REF!</v>
      </c>
      <c r="W693" s="2733" t="e">
        <f t="shared" si="2460"/>
        <v>#REF!</v>
      </c>
      <c r="X693" s="2733" t="e">
        <f t="shared" si="2460"/>
        <v>#REF!</v>
      </c>
      <c r="Y693" s="2733" t="e">
        <f t="shared" si="2460"/>
        <v>#REF!</v>
      </c>
      <c r="Z693" s="2733" t="e">
        <f t="shared" si="2460"/>
        <v>#REF!</v>
      </c>
      <c r="AA693" s="2733" t="e">
        <f t="shared" si="2460"/>
        <v>#REF!</v>
      </c>
      <c r="AB693" s="2733" t="e">
        <f t="shared" si="2460"/>
        <v>#REF!</v>
      </c>
      <c r="AC693" s="2733" t="e">
        <f t="shared" si="2461"/>
        <v>#REF!</v>
      </c>
      <c r="AD693" s="2733" t="e">
        <f t="shared" si="2462"/>
        <v>#REF!</v>
      </c>
      <c r="AE693" s="2733" t="e">
        <f t="shared" si="2463"/>
        <v>#REF!</v>
      </c>
      <c r="AF693" s="2733" t="e">
        <f t="shared" si="2464"/>
        <v>#REF!</v>
      </c>
      <c r="AG693" s="2733" t="e">
        <f t="shared" si="2465"/>
        <v>#REF!</v>
      </c>
      <c r="AI693" s="1975"/>
      <c r="AK693" s="2621"/>
      <c r="AL693" s="2621"/>
      <c r="AM693" s="2621"/>
      <c r="AN693" s="2621"/>
      <c r="AO693" s="2621"/>
      <c r="AP693" s="2621"/>
      <c r="AQ693" s="2621"/>
      <c r="AR693" s="2621"/>
      <c r="AS693" s="2621"/>
      <c r="AT693" s="2621"/>
      <c r="AU693" s="2621"/>
      <c r="AV693" s="2621"/>
      <c r="AW693" s="2621"/>
      <c r="AX693" s="2621"/>
      <c r="AY693" s="2621"/>
      <c r="AZ693" s="2621"/>
      <c r="BA693" s="2621"/>
      <c r="BB693" s="2621"/>
      <c r="BC693" s="2621"/>
      <c r="BD693" s="2621"/>
      <c r="BE693" s="2621"/>
      <c r="BF693" s="2621"/>
      <c r="BG693" s="2621"/>
      <c r="BH693" s="2621"/>
      <c r="BI693" s="2621"/>
      <c r="BJ693" s="2621"/>
      <c r="BK693" s="2621"/>
      <c r="BL693" s="2621"/>
      <c r="BM693" s="2621"/>
      <c r="BN693" s="2621"/>
      <c r="BO693" s="2621"/>
      <c r="BP693" s="2621"/>
      <c r="BQ693" s="2621"/>
      <c r="BR693" s="2621"/>
      <c r="BS693" s="2621"/>
      <c r="BT693" s="2621"/>
      <c r="BU693" s="2621"/>
      <c r="BV693" s="2621"/>
      <c r="BW693" s="2621"/>
      <c r="BX693" s="2621"/>
      <c r="BY693" s="2621"/>
      <c r="BZ693" s="2621"/>
      <c r="CA693" s="2621"/>
      <c r="CB693" s="2621"/>
      <c r="CC693" s="2621"/>
      <c r="CD693" s="2621"/>
      <c r="CE693" s="2621"/>
      <c r="CF693" s="2621"/>
      <c r="CG693" s="2621"/>
      <c r="CH693" s="2621"/>
      <c r="CI693" s="2621"/>
      <c r="CJ693" s="2621"/>
      <c r="CK693" s="2621">
        <f>CK523/CK47*90</f>
        <v>9.8393258426966295</v>
      </c>
      <c r="CL693" s="2734">
        <f>+CK693</f>
        <v>9.8393258426966295</v>
      </c>
      <c r="CM693" s="2621">
        <f t="shared" ref="CM693:CR693" si="2468">CM523/CM47*90</f>
        <v>14.671968190854871</v>
      </c>
      <c r="CN693" s="2621">
        <f t="shared" si="2468"/>
        <v>14.781303602058319</v>
      </c>
      <c r="CO693" s="2621">
        <f t="shared" si="2468"/>
        <v>17.977013940619347</v>
      </c>
      <c r="CP693" s="2735">
        <f t="shared" si="2468"/>
        <v>16.592123922766447</v>
      </c>
      <c r="CQ693" s="2621">
        <f t="shared" si="2468"/>
        <v>16.252313051050397</v>
      </c>
      <c r="CR693" s="2621">
        <f t="shared" si="2468"/>
        <v>14.394351464435147</v>
      </c>
      <c r="CS693" s="2733">
        <f>+CR693</f>
        <v>14.394351464435147</v>
      </c>
      <c r="CT693" s="2736">
        <f>+CS693</f>
        <v>14.394351464435147</v>
      </c>
      <c r="CU693" s="2733">
        <v>15</v>
      </c>
      <c r="CV693" s="2733">
        <f>+CU693</f>
        <v>15</v>
      </c>
      <c r="CW693" s="2737">
        <f>+CV693</f>
        <v>15</v>
      </c>
      <c r="CX693" s="2733"/>
      <c r="CY693" s="2733"/>
      <c r="CZ693" s="2733"/>
      <c r="DA693" s="2733"/>
      <c r="DB693" s="2736"/>
      <c r="DC693" s="2733"/>
      <c r="DD693" s="2733"/>
      <c r="DE693" s="2733"/>
      <c r="DF693" s="2733"/>
      <c r="DG693" s="2733"/>
      <c r="DH693" s="2733"/>
      <c r="DI693" s="2733"/>
      <c r="DJ693" s="2733"/>
      <c r="DK693" s="2733"/>
      <c r="DL693" s="2733"/>
      <c r="DM693" s="2733"/>
      <c r="DN693" s="2733"/>
      <c r="DO693" s="2733"/>
      <c r="DP693" s="2733"/>
      <c r="DQ693" s="2733"/>
      <c r="DR693" s="2733"/>
      <c r="DS693" s="2733"/>
      <c r="DT693" s="2733"/>
      <c r="DU693" s="2733"/>
      <c r="DV693" s="2733"/>
      <c r="DW693" s="2733"/>
      <c r="DX693" s="2733"/>
      <c r="DY693" s="2737"/>
    </row>
    <row r="694" spans="1:129" hidden="1" outlineLevel="1" collapsed="1">
      <c r="A694" s="2627"/>
      <c r="B694" s="2627"/>
      <c r="C694" s="2627"/>
      <c r="D694" s="2738"/>
      <c r="E694" s="2738"/>
      <c r="F694" s="2738"/>
      <c r="G694" s="2738"/>
      <c r="H694" s="2738"/>
      <c r="I694" s="2738"/>
      <c r="J694" s="2738"/>
      <c r="K694" s="2738"/>
      <c r="L694" s="2738"/>
      <c r="M694" s="2738"/>
      <c r="N694" s="2738"/>
      <c r="O694" s="2738"/>
      <c r="P694" s="2738">
        <f t="shared" ref="P694:AA694" si="2469">+P5</f>
        <v>2008</v>
      </c>
      <c r="Q694" s="2738">
        <f t="shared" si="2469"/>
        <v>2009</v>
      </c>
      <c r="R694" s="2738">
        <f t="shared" si="2469"/>
        <v>2010</v>
      </c>
      <c r="S694" s="2738">
        <f t="shared" si="2469"/>
        <v>2011</v>
      </c>
      <c r="T694" s="2738">
        <f t="shared" si="2469"/>
        <v>2012</v>
      </c>
      <c r="U694" s="2738">
        <f t="shared" si="2469"/>
        <v>2013</v>
      </c>
      <c r="V694" s="2738" t="str">
        <f t="shared" si="2469"/>
        <v>2014</v>
      </c>
      <c r="W694" s="2738" t="str">
        <f t="shared" si="2469"/>
        <v>2015</v>
      </c>
      <c r="X694" s="2738" t="str">
        <f t="shared" si="2469"/>
        <v>2016</v>
      </c>
      <c r="Y694" s="2738" t="str">
        <f t="shared" ref="Y694:Z694" si="2470">+Y5</f>
        <v>2017</v>
      </c>
      <c r="Z694" s="2738" t="str">
        <f t="shared" si="2470"/>
        <v>2018E</v>
      </c>
      <c r="AA694" s="2738" t="str">
        <f t="shared" si="2469"/>
        <v>2019E</v>
      </c>
      <c r="AB694" s="2738" t="str">
        <f t="shared" ref="AB694:AG694" si="2471">+AB5</f>
        <v>2020E</v>
      </c>
      <c r="AC694" s="2738" t="str">
        <f t="shared" si="2471"/>
        <v>2021E</v>
      </c>
      <c r="AD694" s="2738" t="str">
        <f t="shared" si="2471"/>
        <v>2022E</v>
      </c>
      <c r="AE694" s="2738" t="str">
        <f t="shared" si="2471"/>
        <v>2023E</v>
      </c>
      <c r="AF694" s="2738" t="str">
        <f t="shared" si="2471"/>
        <v>2024E</v>
      </c>
      <c r="AG694" s="2738" t="str">
        <f t="shared" si="2471"/>
        <v>2025E</v>
      </c>
      <c r="AI694" s="1927"/>
      <c r="AK694" s="2627">
        <f t="shared" ref="AK694:BP694" si="2472">+AK5</f>
        <v>0</v>
      </c>
      <c r="AL694" s="2627">
        <f t="shared" si="2472"/>
        <v>0</v>
      </c>
      <c r="AM694" s="2627">
        <f t="shared" si="2472"/>
        <v>0</v>
      </c>
      <c r="AN694" s="2738">
        <f t="shared" si="2472"/>
        <v>0</v>
      </c>
      <c r="AO694" s="2627">
        <f t="shared" si="2472"/>
        <v>0</v>
      </c>
      <c r="AP694" s="2738" t="str">
        <f t="shared" si="2472"/>
        <v>1Q97</v>
      </c>
      <c r="AQ694" s="2738" t="str">
        <f t="shared" si="2472"/>
        <v>2Q97</v>
      </c>
      <c r="AR694" s="2738" t="str">
        <f t="shared" si="2472"/>
        <v>3Q97</v>
      </c>
      <c r="AS694" s="2738" t="str">
        <f t="shared" si="2472"/>
        <v>4Q97</v>
      </c>
      <c r="AT694" s="2738" t="str">
        <f t="shared" si="2472"/>
        <v>1Q98</v>
      </c>
      <c r="AU694" s="2738" t="str">
        <f t="shared" si="2472"/>
        <v>2Q98</v>
      </c>
      <c r="AV694" s="2738" t="str">
        <f t="shared" si="2472"/>
        <v>3Q98</v>
      </c>
      <c r="AW694" s="2738" t="str">
        <f t="shared" si="2472"/>
        <v>4Q98</v>
      </c>
      <c r="AX694" s="2738" t="str">
        <f t="shared" si="2472"/>
        <v>1Q99</v>
      </c>
      <c r="AY694" s="2738" t="str">
        <f t="shared" si="2472"/>
        <v>2Q99</v>
      </c>
      <c r="AZ694" s="2738" t="str">
        <f t="shared" si="2472"/>
        <v>3Q99</v>
      </c>
      <c r="BA694" s="2738" t="str">
        <f t="shared" si="2472"/>
        <v>4Q99</v>
      </c>
      <c r="BB694" s="2738" t="str">
        <f t="shared" si="2472"/>
        <v>1Q00</v>
      </c>
      <c r="BC694" s="2738" t="str">
        <f t="shared" si="2472"/>
        <v>2Q00</v>
      </c>
      <c r="BD694" s="2738" t="str">
        <f t="shared" si="2472"/>
        <v>3Q00</v>
      </c>
      <c r="BE694" s="2738" t="str">
        <f t="shared" si="2472"/>
        <v>4Q00</v>
      </c>
      <c r="BF694" s="2738" t="str">
        <f t="shared" si="2472"/>
        <v>1Q01</v>
      </c>
      <c r="BG694" s="2738" t="str">
        <f t="shared" si="2472"/>
        <v>2Q01</v>
      </c>
      <c r="BH694" s="2738" t="str">
        <f t="shared" si="2472"/>
        <v>3Q01</v>
      </c>
      <c r="BI694" s="2738" t="str">
        <f t="shared" si="2472"/>
        <v>4Q01</v>
      </c>
      <c r="BJ694" s="2738" t="str">
        <f t="shared" si="2472"/>
        <v>1Q02</v>
      </c>
      <c r="BK694" s="2738" t="str">
        <f t="shared" si="2472"/>
        <v>2Q02</v>
      </c>
      <c r="BL694" s="2738" t="str">
        <f t="shared" si="2472"/>
        <v>3Q02</v>
      </c>
      <c r="BM694" s="2738" t="str">
        <f t="shared" si="2472"/>
        <v>4Q02</v>
      </c>
      <c r="BN694" s="2738" t="str">
        <f t="shared" si="2472"/>
        <v>1Q03</v>
      </c>
      <c r="BO694" s="2738" t="str">
        <f t="shared" si="2472"/>
        <v>2Q03</v>
      </c>
      <c r="BP694" s="2738" t="str">
        <f t="shared" si="2472"/>
        <v>3Q03</v>
      </c>
      <c r="BQ694" s="2738" t="str">
        <f t="shared" ref="BQ694:CV694" si="2473">+BQ5</f>
        <v>4Q03</v>
      </c>
      <c r="BR694" s="2738" t="str">
        <f t="shared" si="2473"/>
        <v>1Q04</v>
      </c>
      <c r="BS694" s="2738" t="str">
        <f t="shared" si="2473"/>
        <v>2Q04</v>
      </c>
      <c r="BT694" s="2738" t="str">
        <f t="shared" si="2473"/>
        <v>3Q04</v>
      </c>
      <c r="BU694" s="2738" t="str">
        <f t="shared" si="2473"/>
        <v>4Q04</v>
      </c>
      <c r="BV694" s="2738" t="str">
        <f t="shared" si="2473"/>
        <v>1Q05</v>
      </c>
      <c r="BW694" s="2738" t="str">
        <f t="shared" si="2473"/>
        <v>2Q05</v>
      </c>
      <c r="BX694" s="2738" t="str">
        <f t="shared" si="2473"/>
        <v>3Q05</v>
      </c>
      <c r="BY694" s="2738" t="str">
        <f t="shared" si="2473"/>
        <v>4Q05</v>
      </c>
      <c r="BZ694" s="2738" t="str">
        <f t="shared" si="2473"/>
        <v>1Q06</v>
      </c>
      <c r="CA694" s="2738" t="str">
        <f t="shared" si="2473"/>
        <v>2Q06</v>
      </c>
      <c r="CB694" s="2738" t="str">
        <f t="shared" si="2473"/>
        <v>3Q06</v>
      </c>
      <c r="CC694" s="2738" t="str">
        <f t="shared" si="2473"/>
        <v>4Q06</v>
      </c>
      <c r="CD694" s="2738" t="str">
        <f t="shared" si="2473"/>
        <v>1Q07</v>
      </c>
      <c r="CE694" s="2738" t="str">
        <f t="shared" si="2473"/>
        <v>2Q07</v>
      </c>
      <c r="CF694" s="2738" t="str">
        <f t="shared" si="2473"/>
        <v>3Q07</v>
      </c>
      <c r="CG694" s="2738" t="str">
        <f t="shared" si="2473"/>
        <v>4Q07</v>
      </c>
      <c r="CH694" s="2739" t="str">
        <f t="shared" si="2473"/>
        <v>1Q08</v>
      </c>
      <c r="CI694" s="2738" t="str">
        <f t="shared" si="2473"/>
        <v>2Q08</v>
      </c>
      <c r="CJ694" s="2738" t="str">
        <f t="shared" si="2473"/>
        <v>3Q08</v>
      </c>
      <c r="CK694" s="2738" t="str">
        <f t="shared" si="2473"/>
        <v>4Q08</v>
      </c>
      <c r="CL694" s="2739" t="str">
        <f t="shared" si="2473"/>
        <v>1Q09</v>
      </c>
      <c r="CM694" s="2738" t="str">
        <f t="shared" si="2473"/>
        <v>2Q09</v>
      </c>
      <c r="CN694" s="2738" t="str">
        <f t="shared" si="2473"/>
        <v>3Q09</v>
      </c>
      <c r="CO694" s="2738" t="str">
        <f t="shared" si="2473"/>
        <v>4Q09</v>
      </c>
      <c r="CP694" s="2739" t="str">
        <f t="shared" si="2473"/>
        <v>1Q10</v>
      </c>
      <c r="CQ694" s="2738" t="str">
        <f t="shared" si="2473"/>
        <v>2Q10</v>
      </c>
      <c r="CR694" s="2738" t="str">
        <f t="shared" si="2473"/>
        <v>3Q10</v>
      </c>
      <c r="CS694" s="2738" t="str">
        <f t="shared" si="2473"/>
        <v>4Q10</v>
      </c>
      <c r="CT694" s="2739" t="str">
        <f t="shared" si="2473"/>
        <v>1Q11</v>
      </c>
      <c r="CU694" s="2738" t="str">
        <f t="shared" si="2473"/>
        <v>2Q11</v>
      </c>
      <c r="CV694" s="2738" t="str">
        <f t="shared" si="2473"/>
        <v>3Q11</v>
      </c>
      <c r="CW694" s="2740" t="str">
        <f t="shared" ref="CW694:DN694" si="2474">+CW5</f>
        <v>4Q11</v>
      </c>
      <c r="CX694" s="2738" t="str">
        <f t="shared" si="2474"/>
        <v>1Q12</v>
      </c>
      <c r="CY694" s="2738" t="str">
        <f t="shared" si="2474"/>
        <v>2Q12</v>
      </c>
      <c r="CZ694" s="2738" t="str">
        <f t="shared" si="2474"/>
        <v>3Q12</v>
      </c>
      <c r="DA694" s="2738" t="str">
        <f t="shared" si="2474"/>
        <v>4Q12</v>
      </c>
      <c r="DB694" s="2739" t="str">
        <f t="shared" si="2474"/>
        <v>1Q13</v>
      </c>
      <c r="DC694" s="2738" t="str">
        <f t="shared" si="2474"/>
        <v>2Q13</v>
      </c>
      <c r="DD694" s="2738" t="str">
        <f t="shared" si="2474"/>
        <v>3Q13</v>
      </c>
      <c r="DE694" s="2738" t="str">
        <f t="shared" si="2474"/>
        <v>4Q13</v>
      </c>
      <c r="DF694" s="2738" t="str">
        <f t="shared" si="2474"/>
        <v>1Q14</v>
      </c>
      <c r="DG694" s="2738" t="str">
        <f t="shared" si="2474"/>
        <v>2Q14</v>
      </c>
      <c r="DH694" s="2738" t="str">
        <f t="shared" si="2474"/>
        <v>3Q14</v>
      </c>
      <c r="DI694" s="2738" t="str">
        <f t="shared" si="2474"/>
        <v>4Q14</v>
      </c>
      <c r="DJ694" s="2738" t="str">
        <f t="shared" si="2474"/>
        <v>1Q15</v>
      </c>
      <c r="DK694" s="2738" t="str">
        <f t="shared" si="2474"/>
        <v>2Q15</v>
      </c>
      <c r="DL694" s="2738" t="str">
        <f t="shared" si="2474"/>
        <v>3Q15</v>
      </c>
      <c r="DM694" s="2738" t="str">
        <f t="shared" si="2474"/>
        <v>4Q15</v>
      </c>
      <c r="DN694" s="2738" t="str">
        <f t="shared" si="2474"/>
        <v>1Q16</v>
      </c>
      <c r="DO694" s="2738" t="str">
        <f t="shared" ref="DO694:DP694" si="2475">+DO5</f>
        <v>2Q16</v>
      </c>
      <c r="DP694" s="2738" t="str">
        <f t="shared" si="2475"/>
        <v>3Q16</v>
      </c>
      <c r="DQ694" s="2738" t="str">
        <f t="shared" ref="DQ694" si="2476">+DQ5</f>
        <v>4Q16</v>
      </c>
      <c r="DR694" s="2738" t="str">
        <f t="shared" ref="DR694" si="2477">+DR5</f>
        <v>1Q17</v>
      </c>
      <c r="DS694" s="2738" t="str">
        <f t="shared" ref="DS694:DT694" si="2478">+DS5</f>
        <v>2Q17</v>
      </c>
      <c r="DT694" s="2738" t="str">
        <f t="shared" si="2478"/>
        <v>3Q17</v>
      </c>
      <c r="DU694" s="2738" t="str">
        <f t="shared" ref="DU694" si="2479">+DU5</f>
        <v>4Q17</v>
      </c>
      <c r="DV694" s="2738" t="str">
        <f t="shared" ref="DV694" si="2480">+DV5</f>
        <v>1Q18</v>
      </c>
      <c r="DW694" s="2738" t="str">
        <f t="shared" ref="DW694:DY694" si="2481">+DW5</f>
        <v>2Q18E</v>
      </c>
      <c r="DX694" s="2738" t="str">
        <f t="shared" si="2481"/>
        <v>3Q18E</v>
      </c>
      <c r="DY694" s="2740" t="str">
        <f t="shared" si="2481"/>
        <v>4Q18E</v>
      </c>
    </row>
    <row r="695" spans="1:129" hidden="1" outlineLevel="1">
      <c r="A695" s="2205" t="s">
        <v>1420</v>
      </c>
      <c r="AI695" s="1927"/>
      <c r="CL695" s="2281"/>
      <c r="CP695" s="2281"/>
      <c r="CT695" s="1942"/>
      <c r="CW695" s="2236"/>
      <c r="DB695" s="1942"/>
      <c r="DY695" s="2236"/>
    </row>
    <row r="696" spans="1:129" hidden="1" outlineLevel="1">
      <c r="A696" s="1903" t="s">
        <v>147</v>
      </c>
      <c r="Q696" s="2200">
        <f t="shared" ref="Q696:V696" si="2482">+Q547+Q550</f>
        <v>14776</v>
      </c>
      <c r="R696" s="2200">
        <f t="shared" si="2482"/>
        <v>17109</v>
      </c>
      <c r="S696" s="2200">
        <f t="shared" si="2482"/>
        <v>16305</v>
      </c>
      <c r="T696" s="2200">
        <f t="shared" si="2482"/>
        <v>19808</v>
      </c>
      <c r="U696" s="2200" t="e">
        <f t="shared" si="2482"/>
        <v>#REF!</v>
      </c>
      <c r="V696" s="2200" t="e">
        <f t="shared" si="2482"/>
        <v>#REF!</v>
      </c>
      <c r="W696" s="2200" t="e">
        <f t="shared" ref="W696:AB696" si="2483">+W547+W550</f>
        <v>#REF!</v>
      </c>
      <c r="X696" s="2200" t="e">
        <f t="shared" si="2483"/>
        <v>#REF!</v>
      </c>
      <c r="Y696" s="2200" t="e">
        <f t="shared" si="2483"/>
        <v>#REF!</v>
      </c>
      <c r="Z696" s="2200" t="e">
        <f t="shared" ca="1" si="2483"/>
        <v>#REF!</v>
      </c>
      <c r="AA696" s="2200" t="e">
        <f t="shared" ca="1" si="2483"/>
        <v>#REF!</v>
      </c>
      <c r="AB696" s="2200" t="e">
        <f t="shared" ca="1" si="2483"/>
        <v>#REF!</v>
      </c>
      <c r="AC696" s="2200" t="e">
        <f t="shared" ref="AC696:AG696" ca="1" si="2484">+AC547+AC550</f>
        <v>#REF!</v>
      </c>
      <c r="AD696" s="2200" t="e">
        <f t="shared" ca="1" si="2484"/>
        <v>#REF!</v>
      </c>
      <c r="AE696" s="2200" t="e">
        <f t="shared" ca="1" si="2484"/>
        <v>#REF!</v>
      </c>
      <c r="AF696" s="2200" t="e">
        <f t="shared" ca="1" si="2484"/>
        <v>#REF!</v>
      </c>
      <c r="AG696" s="2200" t="e">
        <f t="shared" ca="1" si="2484"/>
        <v>#REF!</v>
      </c>
      <c r="AI696" s="1927"/>
      <c r="CJ696" s="2741" t="s">
        <v>1149</v>
      </c>
      <c r="CK696" s="2741" t="s">
        <v>1149</v>
      </c>
      <c r="CL696" s="2202">
        <f t="shared" ref="CL696:CW696" si="2485">+CL547+CL550</f>
        <v>3959</v>
      </c>
      <c r="CM696" s="2200">
        <f t="shared" si="2485"/>
        <v>3125</v>
      </c>
      <c r="CN696" s="2200">
        <f t="shared" si="2485"/>
        <v>4592</v>
      </c>
      <c r="CO696" s="2200">
        <f t="shared" si="2485"/>
        <v>3100</v>
      </c>
      <c r="CP696" s="2202">
        <f t="shared" si="2485"/>
        <v>4762</v>
      </c>
      <c r="CQ696" s="2200">
        <f t="shared" si="2485"/>
        <v>4429</v>
      </c>
      <c r="CR696" s="2200">
        <f t="shared" si="2485"/>
        <v>4106</v>
      </c>
      <c r="CS696" s="2200">
        <f t="shared" si="2485"/>
        <v>3812</v>
      </c>
      <c r="CT696" s="2202">
        <f t="shared" ca="1" si="2485"/>
        <v>4444.7825778707575</v>
      </c>
      <c r="CU696" s="2200">
        <f t="shared" ca="1" si="2485"/>
        <v>879.82394700139503</v>
      </c>
      <c r="CV696" s="2200">
        <f t="shared" si="2485"/>
        <v>4583.9049999999997</v>
      </c>
      <c r="CW696" s="2203">
        <f t="shared" si="2485"/>
        <v>5008.3261111111124</v>
      </c>
      <c r="CX696" s="2200"/>
      <c r="CY696" s="2200"/>
      <c r="CZ696" s="2200"/>
      <c r="DA696" s="2200"/>
      <c r="DB696" s="2202"/>
      <c r="DC696" s="2200"/>
      <c r="DD696" s="2200"/>
      <c r="DE696" s="2200"/>
      <c r="DF696" s="2200"/>
      <c r="DG696" s="2200"/>
      <c r="DH696" s="2200"/>
      <c r="DI696" s="2200"/>
      <c r="DJ696" s="2200"/>
      <c r="DK696" s="2200"/>
      <c r="DL696" s="2200"/>
      <c r="DM696" s="2200"/>
      <c r="DN696" s="2200"/>
      <c r="DO696" s="2200"/>
      <c r="DP696" s="2200"/>
      <c r="DQ696" s="2200"/>
      <c r="DR696" s="2200"/>
      <c r="DS696" s="2200"/>
      <c r="DT696" s="2200"/>
      <c r="DU696" s="2200"/>
      <c r="DV696" s="2200"/>
      <c r="DW696" s="2200"/>
      <c r="DX696" s="2200"/>
      <c r="DY696" s="2203"/>
    </row>
    <row r="697" spans="1:129" hidden="1" outlineLevel="1">
      <c r="A697" s="1903" t="s">
        <v>148</v>
      </c>
      <c r="P697" s="2278"/>
      <c r="Q697" s="2200">
        <f t="shared" ref="Q697:V697" si="2486">+Q696*0.55</f>
        <v>8126.8000000000011</v>
      </c>
      <c r="R697" s="2200">
        <f t="shared" si="2486"/>
        <v>9409.9500000000007</v>
      </c>
      <c r="S697" s="2200">
        <f t="shared" si="2486"/>
        <v>8967.75</v>
      </c>
      <c r="T697" s="2200">
        <f t="shared" si="2486"/>
        <v>10894.400000000001</v>
      </c>
      <c r="U697" s="2200" t="e">
        <f t="shared" si="2486"/>
        <v>#REF!</v>
      </c>
      <c r="V697" s="2200" t="e">
        <f t="shared" si="2486"/>
        <v>#REF!</v>
      </c>
      <c r="W697" s="2200" t="e">
        <f t="shared" ref="W697:AB697" si="2487">+W696*0.55</f>
        <v>#REF!</v>
      </c>
      <c r="X697" s="2200" t="e">
        <f t="shared" si="2487"/>
        <v>#REF!</v>
      </c>
      <c r="Y697" s="2200" t="e">
        <f t="shared" si="2487"/>
        <v>#REF!</v>
      </c>
      <c r="Z697" s="2200" t="e">
        <f t="shared" ca="1" si="2487"/>
        <v>#REF!</v>
      </c>
      <c r="AA697" s="2200" t="e">
        <f t="shared" ca="1" si="2487"/>
        <v>#REF!</v>
      </c>
      <c r="AB697" s="2200" t="e">
        <f t="shared" ca="1" si="2487"/>
        <v>#REF!</v>
      </c>
      <c r="AC697" s="2200" t="e">
        <f t="shared" ref="AC697:AG697" ca="1" si="2488">+AC696*0.55</f>
        <v>#REF!</v>
      </c>
      <c r="AD697" s="2200" t="e">
        <f t="shared" ca="1" si="2488"/>
        <v>#REF!</v>
      </c>
      <c r="AE697" s="2200" t="e">
        <f t="shared" ca="1" si="2488"/>
        <v>#REF!</v>
      </c>
      <c r="AF697" s="2200" t="e">
        <f t="shared" ca="1" si="2488"/>
        <v>#REF!</v>
      </c>
      <c r="AG697" s="2200" t="e">
        <f t="shared" ca="1" si="2488"/>
        <v>#REF!</v>
      </c>
      <c r="AI697" s="1927"/>
      <c r="CJ697" s="2741" t="s">
        <v>1149</v>
      </c>
      <c r="CK697" s="2741" t="s">
        <v>1149</v>
      </c>
      <c r="CL697" s="2202">
        <f t="shared" ref="CL697:CW697" si="2489">+CL696*0.55</f>
        <v>2177.4500000000003</v>
      </c>
      <c r="CM697" s="2200">
        <f t="shared" si="2489"/>
        <v>1718.7500000000002</v>
      </c>
      <c r="CN697" s="2200">
        <f t="shared" si="2489"/>
        <v>2525.6000000000004</v>
      </c>
      <c r="CO697" s="2200">
        <f t="shared" si="2489"/>
        <v>1705.0000000000002</v>
      </c>
      <c r="CP697" s="2202">
        <f t="shared" si="2489"/>
        <v>2619.1000000000004</v>
      </c>
      <c r="CQ697" s="2200">
        <f t="shared" si="2489"/>
        <v>2435.9500000000003</v>
      </c>
      <c r="CR697" s="2200">
        <f t="shared" si="2489"/>
        <v>2258.3000000000002</v>
      </c>
      <c r="CS697" s="2200">
        <f t="shared" si="2489"/>
        <v>2096.6000000000004</v>
      </c>
      <c r="CT697" s="2202">
        <f t="shared" ca="1" si="2489"/>
        <v>2444.630417828917</v>
      </c>
      <c r="CU697" s="2200">
        <f t="shared" ca="1" si="2489"/>
        <v>483.90317085076731</v>
      </c>
      <c r="CV697" s="2200">
        <f t="shared" si="2489"/>
        <v>2521.1477500000001</v>
      </c>
      <c r="CW697" s="2203">
        <f t="shared" si="2489"/>
        <v>2754.5793611111121</v>
      </c>
      <c r="CX697" s="2200"/>
      <c r="CY697" s="2200"/>
      <c r="CZ697" s="2200"/>
      <c r="DA697" s="2200"/>
      <c r="DB697" s="2202"/>
      <c r="DC697" s="2200"/>
      <c r="DD697" s="2200"/>
      <c r="DE697" s="2200"/>
      <c r="DF697" s="2200"/>
      <c r="DG697" s="2200"/>
      <c r="DH697" s="2200"/>
      <c r="DI697" s="2200"/>
      <c r="DJ697" s="2200"/>
      <c r="DK697" s="2200"/>
      <c r="DL697" s="2200"/>
      <c r="DM697" s="2200"/>
      <c r="DN697" s="2200"/>
      <c r="DO697" s="2200"/>
      <c r="DP697" s="2200"/>
      <c r="DQ697" s="2200"/>
      <c r="DR697" s="2200"/>
      <c r="DS697" s="2200"/>
      <c r="DT697" s="2200"/>
      <c r="DU697" s="2200"/>
      <c r="DV697" s="2200"/>
      <c r="DW697" s="2200"/>
      <c r="DX697" s="2200"/>
      <c r="DY697" s="2203"/>
    </row>
    <row r="698" spans="1:129" hidden="1" outlineLevel="1">
      <c r="A698" s="1903" t="s">
        <v>149</v>
      </c>
      <c r="P698" s="2278"/>
      <c r="Q698" s="2200">
        <f t="shared" ref="Q698:V698" si="2490">+Q696-Q697</f>
        <v>6649.1999999999989</v>
      </c>
      <c r="R698" s="2200">
        <f t="shared" si="2490"/>
        <v>7699.0499999999993</v>
      </c>
      <c r="S698" s="2200">
        <f t="shared" si="2490"/>
        <v>7337.25</v>
      </c>
      <c r="T698" s="2200">
        <f t="shared" si="2490"/>
        <v>8913.5999999999985</v>
      </c>
      <c r="U698" s="2200" t="e">
        <f t="shared" si="2490"/>
        <v>#REF!</v>
      </c>
      <c r="V698" s="2200" t="e">
        <f t="shared" si="2490"/>
        <v>#REF!</v>
      </c>
      <c r="W698" s="2200" t="e">
        <f t="shared" ref="W698:AB698" si="2491">+W696-W697</f>
        <v>#REF!</v>
      </c>
      <c r="X698" s="2200" t="e">
        <f t="shared" si="2491"/>
        <v>#REF!</v>
      </c>
      <c r="Y698" s="2200" t="e">
        <f t="shared" si="2491"/>
        <v>#REF!</v>
      </c>
      <c r="Z698" s="2200" t="e">
        <f t="shared" ca="1" si="2491"/>
        <v>#REF!</v>
      </c>
      <c r="AA698" s="2200" t="e">
        <f t="shared" ca="1" si="2491"/>
        <v>#REF!</v>
      </c>
      <c r="AB698" s="2200" t="e">
        <f t="shared" ca="1" si="2491"/>
        <v>#REF!</v>
      </c>
      <c r="AC698" s="2200" t="e">
        <f t="shared" ref="AC698:AG698" ca="1" si="2492">+AC696-AC697</f>
        <v>#REF!</v>
      </c>
      <c r="AD698" s="2200" t="e">
        <f t="shared" ca="1" si="2492"/>
        <v>#REF!</v>
      </c>
      <c r="AE698" s="2200" t="e">
        <f t="shared" ca="1" si="2492"/>
        <v>#REF!</v>
      </c>
      <c r="AF698" s="2200" t="e">
        <f t="shared" ca="1" si="2492"/>
        <v>#REF!</v>
      </c>
      <c r="AG698" s="2200" t="e">
        <f t="shared" ca="1" si="2492"/>
        <v>#REF!</v>
      </c>
      <c r="AI698" s="1927"/>
      <c r="CJ698" s="2741" t="s">
        <v>1149</v>
      </c>
      <c r="CK698" s="2741" t="s">
        <v>1149</v>
      </c>
      <c r="CL698" s="2202">
        <f t="shared" ref="CL698:CW698" si="2493">+CL696-CL697</f>
        <v>1781.5499999999997</v>
      </c>
      <c r="CM698" s="2200">
        <f t="shared" si="2493"/>
        <v>1406.2499999999998</v>
      </c>
      <c r="CN698" s="2200">
        <f t="shared" si="2493"/>
        <v>2066.3999999999996</v>
      </c>
      <c r="CO698" s="2200">
        <f t="shared" si="2493"/>
        <v>1394.9999999999998</v>
      </c>
      <c r="CP698" s="2202">
        <f t="shared" si="2493"/>
        <v>2142.8999999999996</v>
      </c>
      <c r="CQ698" s="2200">
        <f t="shared" si="2493"/>
        <v>1993.0499999999997</v>
      </c>
      <c r="CR698" s="2200">
        <f t="shared" si="2493"/>
        <v>1847.6999999999998</v>
      </c>
      <c r="CS698" s="2200">
        <f t="shared" si="2493"/>
        <v>1715.3999999999996</v>
      </c>
      <c r="CT698" s="2202">
        <f t="shared" ca="1" si="2493"/>
        <v>2000.1521600418405</v>
      </c>
      <c r="CU698" s="2200">
        <f t="shared" ca="1" si="2493"/>
        <v>395.92077615062772</v>
      </c>
      <c r="CV698" s="2200">
        <f t="shared" si="2493"/>
        <v>2062.7572499999997</v>
      </c>
      <c r="CW698" s="2203">
        <f t="shared" si="2493"/>
        <v>2253.7467500000002</v>
      </c>
      <c r="CX698" s="2200"/>
      <c r="CY698" s="2200"/>
      <c r="CZ698" s="2200"/>
      <c r="DA698" s="2200"/>
      <c r="DB698" s="2202"/>
      <c r="DC698" s="2200"/>
      <c r="DD698" s="2200"/>
      <c r="DE698" s="2200"/>
      <c r="DF698" s="2200"/>
      <c r="DG698" s="2200"/>
      <c r="DH698" s="2200"/>
      <c r="DI698" s="2200"/>
      <c r="DJ698" s="2200"/>
      <c r="DK698" s="2200"/>
      <c r="DL698" s="2200"/>
      <c r="DM698" s="2200"/>
      <c r="DN698" s="2200"/>
      <c r="DO698" s="2200"/>
      <c r="DP698" s="2200"/>
      <c r="DQ698" s="2200"/>
      <c r="DR698" s="2200"/>
      <c r="DS698" s="2200"/>
      <c r="DT698" s="2200"/>
      <c r="DU698" s="2200"/>
      <c r="DV698" s="2200"/>
      <c r="DW698" s="2200"/>
      <c r="DX698" s="2200"/>
      <c r="DY698" s="2203"/>
    </row>
    <row r="699" spans="1:129" hidden="1" outlineLevel="1">
      <c r="A699" s="2278"/>
      <c r="P699" s="2278"/>
      <c r="T699" s="2278"/>
      <c r="U699" s="2278"/>
      <c r="V699" s="2278"/>
      <c r="W699" s="2278"/>
      <c r="X699" s="2278"/>
      <c r="Y699" s="2278"/>
      <c r="Z699" s="2278"/>
      <c r="AI699" s="1927"/>
      <c r="CL699" s="2281"/>
      <c r="CM699" s="2278"/>
      <c r="CN699" s="2278"/>
      <c r="CO699" s="2278"/>
      <c r="CP699" s="2281"/>
      <c r="CT699" s="1942"/>
      <c r="CW699" s="2236"/>
      <c r="DB699" s="1942"/>
      <c r="DY699" s="2236"/>
    </row>
    <row r="700" spans="1:129" hidden="1" outlineLevel="1">
      <c r="A700" s="2205" t="s">
        <v>150</v>
      </c>
      <c r="P700" s="2278"/>
      <c r="T700" s="2278"/>
      <c r="U700" s="2278"/>
      <c r="V700" s="2278"/>
      <c r="W700" s="2278"/>
      <c r="X700" s="2278"/>
      <c r="Y700" s="2278"/>
      <c r="Z700" s="2278"/>
      <c r="AI700" s="2209"/>
      <c r="CL700" s="2281"/>
      <c r="CM700" s="2278"/>
      <c r="CN700" s="2278"/>
      <c r="CO700" s="2278"/>
      <c r="CP700" s="2281"/>
      <c r="CT700" s="1942"/>
      <c r="CW700" s="2236"/>
      <c r="DB700" s="1942"/>
      <c r="DY700" s="2236"/>
    </row>
    <row r="701" spans="1:129" hidden="1" outlineLevel="1">
      <c r="A701" s="1903" t="s">
        <v>147</v>
      </c>
      <c r="P701" s="2278"/>
      <c r="Q701" s="2200">
        <f>+CFS!Q65</f>
        <v>14693</v>
      </c>
      <c r="R701" s="2200">
        <f>+CFS!R65</f>
        <v>16905</v>
      </c>
      <c r="S701" s="2200">
        <f>+CFS!S65</f>
        <v>13536</v>
      </c>
      <c r="T701" s="2200">
        <f>+CFS!T65</f>
        <v>15311</v>
      </c>
      <c r="U701" s="2200">
        <f>+CFS!U65</f>
        <v>22214</v>
      </c>
      <c r="V701" s="2200">
        <f>+CFS!V65</f>
        <v>13440</v>
      </c>
      <c r="W701" s="2200">
        <f>+CFS!W65</f>
        <v>21155</v>
      </c>
      <c r="X701" s="2200">
        <f>+CFS!X65</f>
        <v>5656</v>
      </c>
      <c r="Y701" s="2200">
        <f>+CFS!Y65</f>
        <v>8058</v>
      </c>
      <c r="Z701" s="2200">
        <f ca="1">+CFS!Z65</f>
        <v>16839.495730364531</v>
      </c>
      <c r="AA701" s="2200">
        <f ca="1">+CFS!AA65</f>
        <v>19732.127778748811</v>
      </c>
      <c r="AB701" s="2200">
        <f ca="1">+CFS!AB65</f>
        <v>20412.45136824196</v>
      </c>
      <c r="AC701" s="2200">
        <f ca="1">+CFS!AC65</f>
        <v>22531.643738170795</v>
      </c>
      <c r="AD701" s="2200">
        <f ca="1">+CFS!AD65</f>
        <v>23151.614080204316</v>
      </c>
      <c r="AE701" s="2200">
        <f ca="1">+CFS!AE65</f>
        <v>23824.475903569048</v>
      </c>
      <c r="AF701" s="2200">
        <f ca="1">+CFS!AF65</f>
        <v>24552.39840400204</v>
      </c>
      <c r="AG701" s="2200">
        <f ca="1">+CFS!AG65</f>
        <v>24048.768542985963</v>
      </c>
      <c r="AI701" s="2209"/>
      <c r="CJ701" s="2741" t="s">
        <v>1149</v>
      </c>
      <c r="CK701" s="2741" t="s">
        <v>1149</v>
      </c>
      <c r="CL701" s="2202">
        <f>+CFS!CL65</f>
        <v>2757</v>
      </c>
      <c r="CM701" s="2200">
        <f>+CFS!CM65</f>
        <v>3374</v>
      </c>
      <c r="CN701" s="2200">
        <f>+CFS!CN65</f>
        <v>4668</v>
      </c>
      <c r="CO701" s="2200">
        <f>+CFS!CO65</f>
        <v>3894</v>
      </c>
      <c r="CP701" s="2202">
        <f>+CFS!CP65</f>
        <v>3661</v>
      </c>
      <c r="CQ701" s="2200">
        <f>+CFS!CQ65</f>
        <v>5527</v>
      </c>
      <c r="CR701" s="2200">
        <f>+CFS!CR65</f>
        <v>4182</v>
      </c>
      <c r="CS701" s="2200">
        <f>+CFS!CS65</f>
        <v>3535</v>
      </c>
      <c r="CT701" s="2202">
        <f>+CFS!CT65</f>
        <v>672</v>
      </c>
      <c r="CU701" s="2200">
        <f>+CFS!CU65</f>
        <v>3202</v>
      </c>
      <c r="CV701" s="2200">
        <f>+CFS!CV65</f>
        <v>5092</v>
      </c>
      <c r="CW701" s="2203">
        <f>+CFS!CW65</f>
        <v>4570</v>
      </c>
      <c r="CX701" s="2200"/>
      <c r="CY701" s="2200"/>
      <c r="CZ701" s="2200"/>
      <c r="DA701" s="2200"/>
      <c r="DB701" s="2202"/>
      <c r="DC701" s="2200"/>
      <c r="DD701" s="2200"/>
      <c r="DE701" s="2200"/>
      <c r="DF701" s="2200"/>
      <c r="DG701" s="2200"/>
      <c r="DH701" s="2200"/>
      <c r="DI701" s="2200"/>
      <c r="DJ701" s="2200"/>
      <c r="DK701" s="2200"/>
      <c r="DL701" s="2200"/>
      <c r="DM701" s="2200"/>
      <c r="DN701" s="2200"/>
      <c r="DO701" s="2200"/>
      <c r="DP701" s="2200"/>
      <c r="DQ701" s="2200"/>
      <c r="DR701" s="2200"/>
      <c r="DS701" s="2200"/>
      <c r="DT701" s="2200"/>
      <c r="DU701" s="2200"/>
      <c r="DV701" s="2200"/>
      <c r="DW701" s="2200"/>
      <c r="DX701" s="2200"/>
      <c r="DY701" s="2203"/>
    </row>
    <row r="702" spans="1:129" hidden="1" outlineLevel="1">
      <c r="A702" s="1903" t="s">
        <v>148</v>
      </c>
      <c r="P702" s="2278"/>
      <c r="Q702" s="2200">
        <f t="shared" ref="Q702:V702" si="2494">+Q701-Q698</f>
        <v>8043.8000000000011</v>
      </c>
      <c r="R702" s="2200">
        <f t="shared" si="2494"/>
        <v>9205.9500000000007</v>
      </c>
      <c r="S702" s="2200">
        <f t="shared" si="2494"/>
        <v>6198.75</v>
      </c>
      <c r="T702" s="2200">
        <f t="shared" si="2494"/>
        <v>6397.4000000000015</v>
      </c>
      <c r="U702" s="2200" t="e">
        <f t="shared" si="2494"/>
        <v>#REF!</v>
      </c>
      <c r="V702" s="2200" t="e">
        <f t="shared" si="2494"/>
        <v>#REF!</v>
      </c>
      <c r="W702" s="2200" t="e">
        <f t="shared" ref="W702:AB702" si="2495">+W701-W698</f>
        <v>#REF!</v>
      </c>
      <c r="X702" s="2200" t="e">
        <f t="shared" si="2495"/>
        <v>#REF!</v>
      </c>
      <c r="Y702" s="2200" t="e">
        <f t="shared" si="2495"/>
        <v>#REF!</v>
      </c>
      <c r="Z702" s="2200" t="e">
        <f t="shared" ca="1" si="2495"/>
        <v>#REF!</v>
      </c>
      <c r="AA702" s="2200" t="e">
        <f t="shared" ca="1" si="2495"/>
        <v>#REF!</v>
      </c>
      <c r="AB702" s="2200" t="e">
        <f t="shared" ca="1" si="2495"/>
        <v>#REF!</v>
      </c>
      <c r="AC702" s="2200" t="e">
        <f t="shared" ref="AC702:AG702" ca="1" si="2496">+AC701-AC698</f>
        <v>#REF!</v>
      </c>
      <c r="AD702" s="2200" t="e">
        <f t="shared" ca="1" si="2496"/>
        <v>#REF!</v>
      </c>
      <c r="AE702" s="2200" t="e">
        <f t="shared" ca="1" si="2496"/>
        <v>#REF!</v>
      </c>
      <c r="AF702" s="2200" t="e">
        <f t="shared" ca="1" si="2496"/>
        <v>#REF!</v>
      </c>
      <c r="AG702" s="2200" t="e">
        <f t="shared" ca="1" si="2496"/>
        <v>#REF!</v>
      </c>
      <c r="AI702" s="2209"/>
      <c r="CJ702" s="2741" t="s">
        <v>1149</v>
      </c>
      <c r="CK702" s="2741" t="s">
        <v>1149</v>
      </c>
      <c r="CL702" s="2202">
        <f t="shared" ref="CL702:CW702" si="2497">+CL701-CL698</f>
        <v>975.45000000000027</v>
      </c>
      <c r="CM702" s="2200">
        <f t="shared" si="2497"/>
        <v>1967.7500000000002</v>
      </c>
      <c r="CN702" s="2200">
        <f t="shared" si="2497"/>
        <v>2601.6000000000004</v>
      </c>
      <c r="CO702" s="2200">
        <f t="shared" si="2497"/>
        <v>2499</v>
      </c>
      <c r="CP702" s="2202">
        <f t="shared" si="2497"/>
        <v>1518.1000000000004</v>
      </c>
      <c r="CQ702" s="2200">
        <f t="shared" si="2497"/>
        <v>3533.9500000000003</v>
      </c>
      <c r="CR702" s="2200">
        <f t="shared" si="2497"/>
        <v>2334.3000000000002</v>
      </c>
      <c r="CS702" s="2200">
        <f t="shared" si="2497"/>
        <v>1819.6000000000004</v>
      </c>
      <c r="CT702" s="2202">
        <f t="shared" ca="1" si="2497"/>
        <v>-1328.1521600418405</v>
      </c>
      <c r="CU702" s="2200">
        <f t="shared" ca="1" si="2497"/>
        <v>2806.0792238493723</v>
      </c>
      <c r="CV702" s="2200">
        <f t="shared" si="2497"/>
        <v>3029.2427500000003</v>
      </c>
      <c r="CW702" s="2203">
        <f t="shared" si="2497"/>
        <v>2316.2532499999998</v>
      </c>
      <c r="CX702" s="2200"/>
      <c r="CY702" s="2200"/>
      <c r="CZ702" s="2200"/>
      <c r="DA702" s="2200"/>
      <c r="DB702" s="2202"/>
      <c r="DC702" s="2200"/>
      <c r="DD702" s="2200"/>
      <c r="DE702" s="2200"/>
      <c r="DF702" s="2200"/>
      <c r="DG702" s="2200"/>
      <c r="DH702" s="2200"/>
      <c r="DI702" s="2200"/>
      <c r="DJ702" s="2200"/>
      <c r="DK702" s="2200"/>
      <c r="DL702" s="2200"/>
      <c r="DM702" s="2200"/>
      <c r="DN702" s="2200"/>
      <c r="DO702" s="2200"/>
      <c r="DP702" s="2200"/>
      <c r="DQ702" s="2200"/>
      <c r="DR702" s="2200"/>
      <c r="DS702" s="2200"/>
      <c r="DT702" s="2200"/>
      <c r="DU702" s="2200"/>
      <c r="DV702" s="2200"/>
      <c r="DW702" s="2200"/>
      <c r="DX702" s="2200"/>
      <c r="DY702" s="2203"/>
    </row>
    <row r="703" spans="1:129" hidden="1" outlineLevel="1">
      <c r="A703" s="2621" t="s">
        <v>151</v>
      </c>
      <c r="B703" s="2621"/>
      <c r="C703" s="2621"/>
      <c r="D703" s="2621"/>
      <c r="E703" s="2621"/>
      <c r="F703" s="2621"/>
      <c r="G703" s="2621"/>
      <c r="H703" s="2621"/>
      <c r="I703" s="2621"/>
      <c r="J703" s="2621"/>
      <c r="K703" s="2621"/>
      <c r="L703" s="2621"/>
      <c r="M703" s="2621"/>
      <c r="N703" s="2621"/>
      <c r="O703" s="2621"/>
      <c r="P703" s="2742"/>
      <c r="Q703" s="2621">
        <f>+Q702/IS!Q103</f>
        <v>2.8313269975360793</v>
      </c>
      <c r="R703" s="2621">
        <f>+R702/IS!R103</f>
        <v>3.2495411224849984</v>
      </c>
      <c r="S703" s="2621">
        <f>+S702/IS!S103</f>
        <v>2.1834272631208171</v>
      </c>
      <c r="T703" s="2621">
        <f>+T702/IS!T103</f>
        <v>2.2352900069881207</v>
      </c>
      <c r="U703" s="2621" t="e">
        <f>+U702/IS!U103</f>
        <v>#REF!</v>
      </c>
      <c r="V703" s="2621" t="e">
        <f>+V702/IS!V103</f>
        <v>#REF!</v>
      </c>
      <c r="W703" s="2621" t="e">
        <f>+W702/IS!W103</f>
        <v>#REF!</v>
      </c>
      <c r="X703" s="2621" t="e">
        <f>+X702/IS!X103</f>
        <v>#REF!</v>
      </c>
      <c r="Y703" s="2621" t="e">
        <f>+Y702/IS!Y103</f>
        <v>#REF!</v>
      </c>
      <c r="Z703" s="2621" t="e">
        <f ca="1">+Z702/IS!Z103</f>
        <v>#REF!</v>
      </c>
      <c r="AA703" s="2621" t="e">
        <f ca="1">+AA702/IS!AA103</f>
        <v>#REF!</v>
      </c>
      <c r="AB703" s="2621" t="e">
        <f ca="1">+AB702/IS!AB103</f>
        <v>#REF!</v>
      </c>
      <c r="AC703" s="2621" t="e">
        <f ca="1">+AC702/IS!AC103</f>
        <v>#REF!</v>
      </c>
      <c r="AD703" s="2621" t="e">
        <f ca="1">+AD702/IS!AD103</f>
        <v>#REF!</v>
      </c>
      <c r="AE703" s="2621" t="e">
        <f ca="1">+AE702/IS!AE103</f>
        <v>#REF!</v>
      </c>
      <c r="AF703" s="2621" t="e">
        <f ca="1">+AF702/IS!AF103</f>
        <v>#REF!</v>
      </c>
      <c r="AG703" s="2621" t="e">
        <f ca="1">+AG702/IS!AG103</f>
        <v>#REF!</v>
      </c>
      <c r="AI703" s="2620"/>
      <c r="AK703" s="2621"/>
      <c r="AL703" s="2621"/>
      <c r="AM703" s="2621"/>
      <c r="AN703" s="2621"/>
      <c r="AO703" s="2621"/>
      <c r="AP703" s="2621"/>
      <c r="AQ703" s="2621"/>
      <c r="AR703" s="2621"/>
      <c r="AS703" s="2621"/>
      <c r="AT703" s="2621"/>
      <c r="AU703" s="2621"/>
      <c r="AV703" s="2621"/>
      <c r="AW703" s="2621"/>
      <c r="AX703" s="2621"/>
      <c r="AY703" s="2621"/>
      <c r="AZ703" s="2621"/>
      <c r="BA703" s="2621"/>
      <c r="BB703" s="2621"/>
      <c r="BC703" s="2621"/>
      <c r="BD703" s="2621"/>
      <c r="BE703" s="2621"/>
      <c r="BF703" s="2621"/>
      <c r="BG703" s="2621"/>
      <c r="BH703" s="2621"/>
      <c r="BI703" s="2621"/>
      <c r="BJ703" s="2621"/>
      <c r="BK703" s="2621"/>
      <c r="BL703" s="2621"/>
      <c r="BM703" s="2621"/>
      <c r="BN703" s="2621"/>
      <c r="BO703" s="2621"/>
      <c r="BP703" s="2621"/>
      <c r="BQ703" s="2621"/>
      <c r="BR703" s="2621"/>
      <c r="BS703" s="2621"/>
      <c r="BT703" s="2621"/>
      <c r="BU703" s="2621"/>
      <c r="BV703" s="2621"/>
      <c r="BW703" s="2621"/>
      <c r="BX703" s="2621"/>
      <c r="BY703" s="2621"/>
      <c r="BZ703" s="2621"/>
      <c r="CA703" s="2621"/>
      <c r="CB703" s="2621"/>
      <c r="CC703" s="2621"/>
      <c r="CD703" s="2621"/>
      <c r="CE703" s="2621"/>
      <c r="CF703" s="2621"/>
      <c r="CG703" s="2621"/>
      <c r="CH703" s="2621"/>
      <c r="CI703" s="2621"/>
      <c r="CJ703" s="2622" t="s">
        <v>1149</v>
      </c>
      <c r="CK703" s="2622" t="s">
        <v>1149</v>
      </c>
      <c r="CL703" s="2735">
        <f>+CL702/IS!CI103*4</f>
        <v>1.3733896515311514</v>
      </c>
      <c r="CM703" s="2621">
        <f>+CM702/IS!CJ103*4</f>
        <v>2.7705033438929956</v>
      </c>
      <c r="CN703" s="2621">
        <f>+CN702/IS!CK103*4</f>
        <v>3.6629355860612467</v>
      </c>
      <c r="CO703" s="2621">
        <f>+CO702/IS!CL103*4</f>
        <v>3.5184794086589228</v>
      </c>
      <c r="CP703" s="2735">
        <f>+CP702/IS!CM103*4</f>
        <v>2.1411847672778568</v>
      </c>
      <c r="CQ703" s="2621">
        <f>+CQ702/IS!CN103*4</f>
        <v>5.0002829854969937</v>
      </c>
      <c r="CR703" s="2621">
        <f>+CR702/IS!CO103*4</f>
        <v>3.3005302226935314</v>
      </c>
      <c r="CS703" s="2621">
        <f>+CS702/IS!CP103*4</f>
        <v>2.5727819017320614</v>
      </c>
      <c r="CT703" s="2735">
        <f ca="1">+CT702/IS!CQ103*4</f>
        <v>-1.877246869317089</v>
      </c>
      <c r="CU703" s="2621">
        <f ca="1">+CU702/IS!CR103*4</f>
        <v>3.9633887342505258</v>
      </c>
      <c r="CV703" s="2621">
        <f>+CV702/IS!CS103*4</f>
        <v>4.2755719830628092</v>
      </c>
      <c r="CW703" s="2620">
        <f>+CW702/IS!CT103*4</f>
        <v>3.2680821869488534</v>
      </c>
      <c r="CX703" s="2621"/>
      <c r="CY703" s="2621"/>
      <c r="CZ703" s="2621"/>
      <c r="DA703" s="2621"/>
      <c r="DB703" s="2735"/>
      <c r="DC703" s="2621"/>
      <c r="DD703" s="2621"/>
      <c r="DE703" s="2621"/>
      <c r="DF703" s="2621"/>
      <c r="DG703" s="2621"/>
      <c r="DH703" s="2621"/>
      <c r="DI703" s="2621"/>
      <c r="DJ703" s="2621"/>
      <c r="DK703" s="2621"/>
      <c r="DL703" s="2621"/>
      <c r="DM703" s="2621"/>
      <c r="DN703" s="2621"/>
      <c r="DO703" s="2621"/>
      <c r="DP703" s="2621"/>
      <c r="DQ703" s="2621"/>
      <c r="DR703" s="2621"/>
      <c r="DS703" s="2621"/>
      <c r="DT703" s="2621"/>
      <c r="DU703" s="2621"/>
      <c r="DV703" s="2621"/>
      <c r="DW703" s="2621"/>
      <c r="DX703" s="2621"/>
      <c r="DY703" s="2620"/>
    </row>
    <row r="704" spans="1:129" hidden="1" outlineLevel="1">
      <c r="A704" s="2207" t="s">
        <v>152</v>
      </c>
      <c r="B704" s="2207"/>
      <c r="C704" s="2207"/>
      <c r="D704" s="2207"/>
      <c r="E704" s="2207"/>
      <c r="F704" s="2207"/>
      <c r="G704" s="2207"/>
      <c r="H704" s="2207"/>
      <c r="I704" s="2207"/>
      <c r="J704" s="2207"/>
      <c r="K704" s="2207"/>
      <c r="L704" s="2207"/>
      <c r="M704" s="2207"/>
      <c r="N704" s="2207"/>
      <c r="O704" s="2207"/>
      <c r="P704" s="2233"/>
      <c r="Q704" s="2207">
        <f t="shared" ref="Q704:V704" si="2498">+Q703/$A$707</f>
        <v>5.8197882785942019E-2</v>
      </c>
      <c r="R704" s="2207">
        <f t="shared" si="2498"/>
        <v>6.6794267676978381E-2</v>
      </c>
      <c r="S704" s="2207">
        <f t="shared" si="2498"/>
        <v>4.4880313733213099E-2</v>
      </c>
      <c r="T704" s="2207">
        <f t="shared" si="2498"/>
        <v>4.59463516338771E-2</v>
      </c>
      <c r="U704" s="2207" t="e">
        <f t="shared" si="2498"/>
        <v>#REF!</v>
      </c>
      <c r="V704" s="2207" t="e">
        <f t="shared" si="2498"/>
        <v>#REF!</v>
      </c>
      <c r="W704" s="2207" t="e">
        <f t="shared" ref="W704:AB704" si="2499">+W703/$A$707</f>
        <v>#REF!</v>
      </c>
      <c r="X704" s="2207" t="e">
        <f t="shared" si="2499"/>
        <v>#REF!</v>
      </c>
      <c r="Y704" s="2207" t="e">
        <f t="shared" si="2499"/>
        <v>#REF!</v>
      </c>
      <c r="Z704" s="2207" t="e">
        <f t="shared" ca="1" si="2499"/>
        <v>#REF!</v>
      </c>
      <c r="AA704" s="2207" t="e">
        <f t="shared" ca="1" si="2499"/>
        <v>#REF!</v>
      </c>
      <c r="AB704" s="2207" t="e">
        <f t="shared" ca="1" si="2499"/>
        <v>#REF!</v>
      </c>
      <c r="AC704" s="2207" t="e">
        <f t="shared" ref="AC704:AG704" ca="1" si="2500">+AC703/$A$707</f>
        <v>#REF!</v>
      </c>
      <c r="AD704" s="2207" t="e">
        <f t="shared" ca="1" si="2500"/>
        <v>#REF!</v>
      </c>
      <c r="AE704" s="2207" t="e">
        <f t="shared" ca="1" si="2500"/>
        <v>#REF!</v>
      </c>
      <c r="AF704" s="2207" t="e">
        <f t="shared" ca="1" si="2500"/>
        <v>#REF!</v>
      </c>
      <c r="AG704" s="2207" t="e">
        <f t="shared" ca="1" si="2500"/>
        <v>#REF!</v>
      </c>
      <c r="AI704" s="2209"/>
      <c r="AK704" s="2207"/>
      <c r="AL704" s="2207"/>
      <c r="AM704" s="2207"/>
      <c r="AN704" s="2207"/>
      <c r="AO704" s="2207"/>
      <c r="AP704" s="2207"/>
      <c r="AQ704" s="2207"/>
      <c r="AR704" s="2207"/>
      <c r="AS704" s="2207"/>
      <c r="AT704" s="2207"/>
      <c r="AU704" s="2207"/>
      <c r="AV704" s="2207"/>
      <c r="AW704" s="2207"/>
      <c r="AX704" s="2207"/>
      <c r="AY704" s="2207"/>
      <c r="AZ704" s="2207"/>
      <c r="BA704" s="2207"/>
      <c r="BB704" s="2207"/>
      <c r="BC704" s="2207"/>
      <c r="BD704" s="2207"/>
      <c r="BE704" s="2207"/>
      <c r="BF704" s="2207"/>
      <c r="BG704" s="2207"/>
      <c r="BH704" s="2207"/>
      <c r="BI704" s="2207"/>
      <c r="BJ704" s="2207"/>
      <c r="BK704" s="2207"/>
      <c r="BL704" s="2207"/>
      <c r="BM704" s="2207"/>
      <c r="BN704" s="2207"/>
      <c r="BO704" s="2207"/>
      <c r="BP704" s="2207"/>
      <c r="BQ704" s="2207"/>
      <c r="BR704" s="2207"/>
      <c r="BS704" s="2207"/>
      <c r="BT704" s="2207"/>
      <c r="BU704" s="2207"/>
      <c r="BV704" s="2207"/>
      <c r="BW704" s="2207"/>
      <c r="BX704" s="2207"/>
      <c r="BY704" s="2207"/>
      <c r="BZ704" s="2207"/>
      <c r="CA704" s="2207"/>
      <c r="CB704" s="2207"/>
      <c r="CC704" s="2207"/>
      <c r="CD704" s="2207"/>
      <c r="CE704" s="2207"/>
      <c r="CF704" s="2207"/>
      <c r="CG704" s="2207"/>
      <c r="CH704" s="2207"/>
      <c r="CI704" s="2207"/>
      <c r="CJ704" s="2228" t="s">
        <v>1149</v>
      </c>
      <c r="CK704" s="2228" t="s">
        <v>1149</v>
      </c>
      <c r="CL704" s="2208">
        <f t="shared" ref="CL704:CW704" si="2501">+CL703/$A$707</f>
        <v>2.8230003114720483E-2</v>
      </c>
      <c r="CM704" s="2207">
        <f t="shared" si="2501"/>
        <v>5.6947653522980382E-2</v>
      </c>
      <c r="CN704" s="2207">
        <f t="shared" si="2501"/>
        <v>7.5291584502800546E-2</v>
      </c>
      <c r="CO704" s="2207">
        <f t="shared" si="2501"/>
        <v>7.2322290003266662E-2</v>
      </c>
      <c r="CP704" s="2208">
        <f t="shared" si="2501"/>
        <v>4.4012019882381438E-2</v>
      </c>
      <c r="CQ704" s="2207">
        <f t="shared" si="2501"/>
        <v>0.10278073968133594</v>
      </c>
      <c r="CR704" s="2207">
        <f t="shared" si="2501"/>
        <v>6.7842347845704656E-2</v>
      </c>
      <c r="CS704" s="2207">
        <f t="shared" si="2501"/>
        <v>5.2883492327483281E-2</v>
      </c>
      <c r="CT704" s="2208">
        <f t="shared" ca="1" si="2501"/>
        <v>-3.8586780458727418E-2</v>
      </c>
      <c r="CU704" s="2207">
        <f t="shared" ca="1" si="2501"/>
        <v>8.1467394331973808E-2</v>
      </c>
      <c r="CV704" s="2207">
        <f t="shared" si="2501"/>
        <v>8.7884316198618889E-2</v>
      </c>
      <c r="CW704" s="2209">
        <f t="shared" si="2501"/>
        <v>6.7175378971199462E-2</v>
      </c>
      <c r="CX704" s="2207"/>
      <c r="CY704" s="2207"/>
      <c r="CZ704" s="2207"/>
      <c r="DA704" s="2207"/>
      <c r="DB704" s="2208"/>
      <c r="DC704" s="2207"/>
      <c r="DD704" s="2207"/>
      <c r="DE704" s="2207"/>
      <c r="DF704" s="2207"/>
      <c r="DG704" s="2207"/>
      <c r="DH704" s="2207"/>
      <c r="DI704" s="2207"/>
      <c r="DJ704" s="2207"/>
      <c r="DK704" s="2207"/>
      <c r="DL704" s="2207"/>
      <c r="DM704" s="2207"/>
      <c r="DN704" s="2207"/>
      <c r="DO704" s="2207"/>
      <c r="DP704" s="2207"/>
      <c r="DQ704" s="2207"/>
      <c r="DR704" s="2207"/>
      <c r="DS704" s="2207"/>
      <c r="DT704" s="2207"/>
      <c r="DU704" s="2207"/>
      <c r="DV704" s="2207"/>
      <c r="DW704" s="2207"/>
      <c r="DX704" s="2207"/>
      <c r="DY704" s="2209"/>
    </row>
    <row r="705" spans="1:129" hidden="1" outlineLevel="1">
      <c r="AI705" s="2209"/>
      <c r="CP705" s="1942"/>
      <c r="CT705" s="1942"/>
      <c r="CW705" s="2236"/>
      <c r="DB705" s="1942"/>
      <c r="DY705" s="2236"/>
    </row>
    <row r="706" spans="1:129" hidden="1" outlineLevel="1">
      <c r="A706" s="2743" t="s">
        <v>153</v>
      </c>
      <c r="AI706" s="2209"/>
      <c r="CP706" s="1942"/>
      <c r="CQ706" s="2277"/>
      <c r="CT706" s="1942"/>
      <c r="CW706" s="2236"/>
      <c r="DB706" s="1942"/>
      <c r="DY706" s="2236"/>
    </row>
    <row r="707" spans="1:129" hidden="1" outlineLevel="1">
      <c r="A707" s="2744">
        <f>Valuation!$E$8</f>
        <v>48.65</v>
      </c>
      <c r="AI707" s="2209"/>
      <c r="CP707" s="1942"/>
      <c r="CT707" s="1942"/>
      <c r="CW707" s="2236"/>
      <c r="DB707" s="1942"/>
      <c r="DY707" s="2236"/>
    </row>
    <row r="708" spans="1:129" hidden="1" outlineLevel="1">
      <c r="AI708" s="2209"/>
      <c r="CP708" s="1942"/>
      <c r="CT708" s="1942"/>
      <c r="CW708" s="2236"/>
      <c r="DB708" s="1942"/>
      <c r="DY708" s="2236"/>
    </row>
    <row r="709" spans="1:129" hidden="1" outlineLevel="1">
      <c r="AI709" s="2209"/>
      <c r="CP709" s="1942"/>
      <c r="CT709" s="1942"/>
      <c r="CW709" s="2236"/>
      <c r="DB709" s="1942"/>
      <c r="DY709" s="2236"/>
    </row>
    <row r="710" spans="1:129" hidden="1" outlineLevel="1">
      <c r="A710" s="2205"/>
      <c r="AI710" s="2209"/>
      <c r="CP710" s="1942"/>
      <c r="CT710" s="1942"/>
      <c r="CW710" s="2236">
        <v>7700</v>
      </c>
      <c r="DB710" s="1942"/>
      <c r="DY710" s="2236"/>
    </row>
    <row r="711" spans="1:129" hidden="1" outlineLevel="1">
      <c r="A711" s="2627" t="s">
        <v>154</v>
      </c>
      <c r="P711" s="2200"/>
      <c r="Q711" s="2200"/>
      <c r="R711" s="2200"/>
      <c r="T711" s="2236"/>
      <c r="AI711" s="2209"/>
      <c r="AK711" s="2200"/>
      <c r="AL711" s="2200"/>
      <c r="AM711" s="2200"/>
      <c r="AN711" s="2200"/>
      <c r="AO711" s="2200"/>
      <c r="AP711" s="2200"/>
      <c r="AQ711" s="2200"/>
      <c r="AR711" s="2200"/>
      <c r="AS711" s="2200"/>
      <c r="AT711" s="2200"/>
      <c r="AU711" s="2200"/>
      <c r="AV711" s="2200"/>
      <c r="AW711" s="2200"/>
      <c r="AX711" s="2200"/>
      <c r="AY711" s="2200"/>
      <c r="AZ711" s="2200"/>
      <c r="BA711" s="2200"/>
      <c r="BB711" s="2200"/>
      <c r="BC711" s="2200"/>
      <c r="BD711" s="2200"/>
      <c r="BE711" s="2200"/>
      <c r="BF711" s="2200"/>
      <c r="BG711" s="2200"/>
      <c r="BH711" s="2200"/>
      <c r="BI711" s="2200"/>
      <c r="BJ711" s="2200"/>
      <c r="BK711" s="2200"/>
      <c r="BL711" s="2200"/>
      <c r="BM711" s="2200"/>
      <c r="BN711" s="2200"/>
      <c r="BO711" s="2200"/>
      <c r="BP711" s="2200"/>
      <c r="BQ711" s="2200"/>
      <c r="BR711" s="2200"/>
      <c r="BS711" s="2200"/>
      <c r="BT711" s="2200"/>
      <c r="BU711" s="2200"/>
      <c r="BV711" s="2200"/>
      <c r="BW711" s="2200"/>
      <c r="BX711" s="2200"/>
      <c r="BY711" s="2200"/>
      <c r="BZ711" s="2200"/>
      <c r="CA711" s="2200"/>
      <c r="CB711" s="2200"/>
      <c r="CC711" s="2200"/>
      <c r="CD711" s="2200"/>
      <c r="CE711" s="2200"/>
      <c r="CF711" s="2200"/>
      <c r="CG711" s="2200"/>
      <c r="CH711" s="2200"/>
      <c r="CI711" s="2200"/>
      <c r="CJ711" s="2200"/>
      <c r="CK711" s="2200"/>
      <c r="CL711" s="2202"/>
      <c r="CM711" s="2200"/>
      <c r="CN711" s="2200"/>
      <c r="CO711" s="2200"/>
      <c r="CP711" s="2202"/>
      <c r="CT711" s="1942"/>
      <c r="CW711" s="2236"/>
      <c r="DB711" s="1942"/>
      <c r="DY711" s="2236"/>
    </row>
    <row r="712" spans="1:129" hidden="1" outlineLevel="1">
      <c r="A712" s="2745" t="s">
        <v>155</v>
      </c>
      <c r="R712" s="2746">
        <f>+SUM(CP712:CS712)</f>
        <v>47487</v>
      </c>
      <c r="S712" s="2747">
        <f>+SUM(CT712:CW712)</f>
        <v>93102</v>
      </c>
      <c r="T712" s="2747">
        <f>+SUM(CX712:DA712)</f>
        <v>135791</v>
      </c>
      <c r="U712" s="2747">
        <f>+SUM(DB712:DE712)</f>
        <v>115430</v>
      </c>
      <c r="V712" s="2747">
        <f>+SUM(DF712:DI712)</f>
        <v>104000</v>
      </c>
      <c r="W712" s="2747">
        <f>+SUM(DG712:DJ712)</f>
        <v>104000</v>
      </c>
      <c r="X712" s="2747">
        <f>+SUM(DH712:DK712)</f>
        <v>104000</v>
      </c>
      <c r="Y712" s="2747">
        <f>+SUM(DI712:DL712)</f>
        <v>104000</v>
      </c>
      <c r="Z712" s="2747">
        <f>+SUM(DJ712:DM712)</f>
        <v>104000</v>
      </c>
      <c r="AA712" s="2747">
        <f>+Z712*(1+AA713)</f>
        <v>109200</v>
      </c>
      <c r="AB712" s="2747">
        <f>+AA712*(1+AB713)</f>
        <v>114660</v>
      </c>
      <c r="AC712" s="2747">
        <f t="shared" ref="AC712:AG712" si="2502">+AB712*(1+AC713)</f>
        <v>120393</v>
      </c>
      <c r="AD712" s="2747">
        <f t="shared" si="2502"/>
        <v>126412.65000000001</v>
      </c>
      <c r="AE712" s="2747">
        <f t="shared" si="2502"/>
        <v>132733.2825</v>
      </c>
      <c r="AF712" s="2747">
        <f t="shared" si="2502"/>
        <v>139369.94662500001</v>
      </c>
      <c r="AG712" s="2747">
        <f t="shared" si="2502"/>
        <v>146338.44395625</v>
      </c>
      <c r="AI712" s="2207"/>
      <c r="AK712" s="2200"/>
      <c r="AL712" s="2200"/>
      <c r="AM712" s="2200"/>
      <c r="AN712" s="2200"/>
      <c r="AO712" s="2200"/>
      <c r="AP712" s="2200"/>
      <c r="AQ712" s="2200"/>
      <c r="AR712" s="2200"/>
      <c r="AS712" s="2200"/>
      <c r="AT712" s="2200"/>
      <c r="AU712" s="2200"/>
      <c r="AV712" s="2200"/>
      <c r="AW712" s="2200"/>
      <c r="AX712" s="2200"/>
      <c r="AY712" s="2200"/>
      <c r="AZ712" s="2200"/>
      <c r="BA712" s="2200"/>
      <c r="BB712" s="2200"/>
      <c r="BC712" s="2200"/>
      <c r="BD712" s="2200"/>
      <c r="BE712" s="2200"/>
      <c r="BF712" s="2200"/>
      <c r="BG712" s="2200"/>
      <c r="BH712" s="2200"/>
      <c r="BI712" s="2200"/>
      <c r="BJ712" s="2200"/>
      <c r="BK712" s="2200"/>
      <c r="BL712" s="2200"/>
      <c r="BM712" s="2200"/>
      <c r="BN712" s="2200"/>
      <c r="BO712" s="2200"/>
      <c r="BP712" s="2200"/>
      <c r="BQ712" s="2200"/>
      <c r="BR712" s="2200"/>
      <c r="BS712" s="2200"/>
      <c r="BT712" s="2200"/>
      <c r="BU712" s="2200"/>
      <c r="BV712" s="2200"/>
      <c r="BW712" s="2200"/>
      <c r="BX712" s="2200"/>
      <c r="BY712" s="2200"/>
      <c r="BZ712" s="2200"/>
      <c r="CA712" s="2200"/>
      <c r="CB712" s="2200"/>
      <c r="CC712" s="2200"/>
      <c r="CD712" s="2200"/>
      <c r="CE712" s="2200"/>
      <c r="CF712" s="2200"/>
      <c r="CG712" s="2200"/>
      <c r="CH712" s="2200"/>
      <c r="CI712" s="2200"/>
      <c r="CJ712" s="2200"/>
      <c r="CK712" s="2200"/>
      <c r="CL712" s="2748">
        <v>3793</v>
      </c>
      <c r="CM712" s="2749">
        <v>5208</v>
      </c>
      <c r="CN712" s="2749">
        <v>7367</v>
      </c>
      <c r="CO712" s="2749">
        <v>8737</v>
      </c>
      <c r="CP712" s="2748">
        <v>8752</v>
      </c>
      <c r="CQ712" s="2749">
        <v>8398</v>
      </c>
      <c r="CR712" s="2749">
        <v>14102</v>
      </c>
      <c r="CS712" s="2749">
        <v>16235</v>
      </c>
      <c r="CT712" s="2748">
        <v>18647</v>
      </c>
      <c r="CU712" s="2749">
        <v>20338</v>
      </c>
      <c r="CV712" s="2749">
        <v>17073</v>
      </c>
      <c r="CW712" s="2750">
        <v>37044</v>
      </c>
      <c r="CX712" s="2749">
        <v>35064</v>
      </c>
      <c r="CY712" s="2749">
        <v>26028</v>
      </c>
      <c r="CZ712" s="2749">
        <v>26910</v>
      </c>
      <c r="DA712" s="2749">
        <v>47789</v>
      </c>
      <c r="DB712" s="2748">
        <v>37430</v>
      </c>
      <c r="DC712" s="2749">
        <v>26000</v>
      </c>
      <c r="DD712" s="2749">
        <v>26000</v>
      </c>
      <c r="DE712" s="2749">
        <v>26000</v>
      </c>
      <c r="DF712" s="2749">
        <v>26000</v>
      </c>
      <c r="DG712" s="2749">
        <v>26000</v>
      </c>
      <c r="DH712" s="2749">
        <v>26000</v>
      </c>
      <c r="DI712" s="2749">
        <v>26000</v>
      </c>
      <c r="DJ712" s="2749">
        <v>26000</v>
      </c>
      <c r="DK712" s="2749">
        <v>26000</v>
      </c>
      <c r="DL712" s="2749">
        <v>26000</v>
      </c>
      <c r="DM712" s="2749">
        <v>26000</v>
      </c>
      <c r="DN712" s="2749">
        <v>26000</v>
      </c>
      <c r="DO712" s="2749">
        <v>26000</v>
      </c>
      <c r="DP712" s="2749">
        <v>26000</v>
      </c>
      <c r="DQ712" s="2749">
        <v>26000</v>
      </c>
      <c r="DR712" s="2749">
        <v>26000</v>
      </c>
      <c r="DS712" s="2749">
        <v>26000</v>
      </c>
      <c r="DT712" s="2749">
        <v>26000</v>
      </c>
      <c r="DU712" s="2749">
        <v>26000</v>
      </c>
      <c r="DV712" s="2749">
        <v>26000</v>
      </c>
      <c r="DW712" s="2749">
        <f t="shared" ref="DW712:DY712" si="2503">150000/4</f>
        <v>37500</v>
      </c>
      <c r="DX712" s="2749">
        <f t="shared" si="2503"/>
        <v>37500</v>
      </c>
      <c r="DY712" s="2750">
        <f t="shared" si="2503"/>
        <v>37500</v>
      </c>
    </row>
    <row r="713" spans="1:129" hidden="1" outlineLevel="1">
      <c r="A713" s="2745" t="s">
        <v>156</v>
      </c>
      <c r="S713" s="2213">
        <f t="shared" ref="S713:Z713" si="2504">+S712/R712-1</f>
        <v>0.96057868469265273</v>
      </c>
      <c r="T713" s="2213">
        <f t="shared" si="2504"/>
        <v>0.45851861399325466</v>
      </c>
      <c r="U713" s="2213">
        <f t="shared" si="2504"/>
        <v>-0.14994366342393828</v>
      </c>
      <c r="V713" s="2213">
        <f t="shared" si="2504"/>
        <v>-9.9021051719656916E-2</v>
      </c>
      <c r="W713" s="2213">
        <f t="shared" si="2504"/>
        <v>0</v>
      </c>
      <c r="X713" s="2213">
        <f t="shared" si="2504"/>
        <v>0</v>
      </c>
      <c r="Y713" s="2213">
        <f t="shared" si="2504"/>
        <v>0</v>
      </c>
      <c r="Z713" s="2213">
        <f t="shared" si="2504"/>
        <v>0</v>
      </c>
      <c r="AA713" s="2751">
        <v>0.05</v>
      </c>
      <c r="AB713" s="2751">
        <v>0.05</v>
      </c>
      <c r="AC713" s="2751">
        <v>0.05</v>
      </c>
      <c r="AD713" s="2751">
        <v>0.05</v>
      </c>
      <c r="AE713" s="2751">
        <v>0.05</v>
      </c>
      <c r="AF713" s="2751">
        <v>0.05</v>
      </c>
      <c r="AG713" s="2751">
        <v>0.05</v>
      </c>
      <c r="AI713" s="2207"/>
      <c r="CL713" s="1942"/>
      <c r="CP713" s="2212">
        <f t="shared" ref="CP713:DV713" si="2505">+CP712/CL712-1</f>
        <v>1.3074083838650146</v>
      </c>
      <c r="CQ713" s="2213">
        <f t="shared" si="2505"/>
        <v>0.61251920122887871</v>
      </c>
      <c r="CR713" s="2213">
        <f t="shared" si="2505"/>
        <v>0.91421202660513101</v>
      </c>
      <c r="CS713" s="2213">
        <f t="shared" si="2505"/>
        <v>0.85818930983175012</v>
      </c>
      <c r="CT713" s="2212">
        <f t="shared" si="2505"/>
        <v>1.1305987202925047</v>
      </c>
      <c r="CU713" s="2213">
        <f t="shared" si="2505"/>
        <v>1.4217670874017623</v>
      </c>
      <c r="CV713" s="2213">
        <f t="shared" si="2505"/>
        <v>0.21067933626435975</v>
      </c>
      <c r="CW713" s="2587">
        <f t="shared" si="2505"/>
        <v>1.2817369879889129</v>
      </c>
      <c r="CX713" s="2213">
        <f t="shared" si="2505"/>
        <v>0.88040971738081186</v>
      </c>
      <c r="CY713" s="2213">
        <f t="shared" si="2505"/>
        <v>0.27977185563968932</v>
      </c>
      <c r="CZ713" s="2213">
        <f t="shared" si="2505"/>
        <v>0.57617290458618875</v>
      </c>
      <c r="DA713" s="2213">
        <f t="shared" si="2505"/>
        <v>0.29006046863189727</v>
      </c>
      <c r="DB713" s="2212">
        <f t="shared" si="2505"/>
        <v>6.7476614191193329E-2</v>
      </c>
      <c r="DC713" s="2213">
        <f t="shared" si="2505"/>
        <v>-1.0757645612416988E-3</v>
      </c>
      <c r="DD713" s="2213">
        <f t="shared" si="2505"/>
        <v>-3.3816425120772986E-2</v>
      </c>
      <c r="DE713" s="2213">
        <f t="shared" si="2505"/>
        <v>-0.45594174391596387</v>
      </c>
      <c r="DF713" s="2213">
        <f t="shared" si="2505"/>
        <v>-0.30537002404488378</v>
      </c>
      <c r="DG713" s="2213">
        <f t="shared" si="2505"/>
        <v>0</v>
      </c>
      <c r="DH713" s="2213">
        <f t="shared" si="2505"/>
        <v>0</v>
      </c>
      <c r="DI713" s="2213">
        <f t="shared" si="2505"/>
        <v>0</v>
      </c>
      <c r="DJ713" s="2213">
        <f t="shared" si="2505"/>
        <v>0</v>
      </c>
      <c r="DK713" s="2213">
        <f t="shared" si="2505"/>
        <v>0</v>
      </c>
      <c r="DL713" s="2213">
        <f t="shared" si="2505"/>
        <v>0</v>
      </c>
      <c r="DM713" s="2213">
        <f t="shared" si="2505"/>
        <v>0</v>
      </c>
      <c r="DN713" s="2213">
        <f t="shared" si="2505"/>
        <v>0</v>
      </c>
      <c r="DO713" s="2213">
        <f t="shared" si="2505"/>
        <v>0</v>
      </c>
      <c r="DP713" s="2213">
        <f t="shared" si="2505"/>
        <v>0</v>
      </c>
      <c r="DQ713" s="2213">
        <f t="shared" si="2505"/>
        <v>0</v>
      </c>
      <c r="DR713" s="2213">
        <f t="shared" si="2505"/>
        <v>0</v>
      </c>
      <c r="DS713" s="2213">
        <f t="shared" si="2505"/>
        <v>0</v>
      </c>
      <c r="DT713" s="2213">
        <f t="shared" si="2505"/>
        <v>0</v>
      </c>
      <c r="DU713" s="2213">
        <f t="shared" si="2505"/>
        <v>0</v>
      </c>
      <c r="DV713" s="2213">
        <f t="shared" si="2505"/>
        <v>0</v>
      </c>
      <c r="DW713" s="2213">
        <f t="shared" ref="DW713" si="2506">+DW712/DS712-1</f>
        <v>0.44230769230769229</v>
      </c>
      <c r="DX713" s="2213">
        <f t="shared" ref="DX713" si="2507">+DX712/DT712-1</f>
        <v>0.44230769230769229</v>
      </c>
      <c r="DY713" s="2587">
        <f t="shared" ref="DY713" si="2508">+DY712/DU712-1</f>
        <v>0.44230769230769229</v>
      </c>
    </row>
    <row r="714" spans="1:129" hidden="1" outlineLevel="1">
      <c r="A714" s="2752"/>
      <c r="B714" s="2207"/>
      <c r="C714" s="2207"/>
      <c r="D714" s="2207"/>
      <c r="E714" s="2207"/>
      <c r="F714" s="2207"/>
      <c r="G714" s="2207"/>
      <c r="H714" s="2207"/>
      <c r="I714" s="2207"/>
      <c r="J714" s="2207"/>
      <c r="K714" s="2207"/>
      <c r="L714" s="2207"/>
      <c r="M714" s="2207"/>
      <c r="N714" s="2207"/>
      <c r="O714" s="2207"/>
      <c r="P714" s="2207"/>
      <c r="Q714" s="2207"/>
      <c r="R714" s="2207"/>
      <c r="S714" s="2207"/>
      <c r="T714" s="2207"/>
      <c r="U714" s="2207"/>
      <c r="V714" s="2207"/>
      <c r="W714" s="2207"/>
      <c r="X714" s="2207"/>
      <c r="Y714" s="2207"/>
      <c r="Z714" s="2207"/>
      <c r="AA714" s="2207"/>
      <c r="AB714" s="2207"/>
      <c r="AC714" s="2207"/>
      <c r="AD714" s="2207"/>
      <c r="AE714" s="2207"/>
      <c r="AF714" s="2207"/>
      <c r="AG714" s="2207"/>
      <c r="AI714" s="2207"/>
      <c r="AK714" s="2207"/>
      <c r="AL714" s="2207"/>
      <c r="AM714" s="2207"/>
      <c r="AN714" s="2207"/>
      <c r="AO714" s="2207"/>
      <c r="AP714" s="2207"/>
      <c r="AQ714" s="2207"/>
      <c r="AR714" s="2207"/>
      <c r="AS714" s="2207"/>
      <c r="AT714" s="2207"/>
      <c r="AU714" s="2207"/>
      <c r="AV714" s="2207"/>
      <c r="AW714" s="2207"/>
      <c r="AX714" s="2207"/>
      <c r="AY714" s="2207"/>
      <c r="AZ714" s="2207"/>
      <c r="BA714" s="2207"/>
      <c r="BB714" s="2207"/>
      <c r="BC714" s="2207"/>
      <c r="BD714" s="2207"/>
      <c r="BE714" s="2207"/>
      <c r="BF714" s="2207"/>
      <c r="BG714" s="2207"/>
      <c r="BH714" s="2207"/>
      <c r="BI714" s="2207"/>
      <c r="BJ714" s="2207"/>
      <c r="BK714" s="2207"/>
      <c r="BL714" s="2207"/>
      <c r="BM714" s="2207"/>
      <c r="BN714" s="2207"/>
      <c r="BO714" s="2207"/>
      <c r="BP714" s="2207"/>
      <c r="BQ714" s="2207"/>
      <c r="BR714" s="2207"/>
      <c r="BS714" s="2207"/>
      <c r="BT714" s="2207"/>
      <c r="BU714" s="2207"/>
      <c r="BV714" s="2207"/>
      <c r="BW714" s="2207"/>
      <c r="BX714" s="2207"/>
      <c r="BY714" s="2207"/>
      <c r="BZ714" s="2207"/>
      <c r="CA714" s="2207"/>
      <c r="CB714" s="2207"/>
      <c r="CC714" s="2207"/>
      <c r="CD714" s="2207"/>
      <c r="CE714" s="2207"/>
      <c r="CF714" s="2207"/>
      <c r="CG714" s="2207"/>
      <c r="CH714" s="2207"/>
      <c r="CI714" s="2207"/>
      <c r="CJ714" s="2207"/>
      <c r="CK714" s="2207"/>
      <c r="CL714" s="2208"/>
      <c r="CM714" s="2207"/>
      <c r="CN714" s="2207"/>
      <c r="CO714" s="2207"/>
      <c r="CP714" s="2208"/>
      <c r="CQ714" s="2207"/>
      <c r="CR714" s="2207"/>
      <c r="CS714" s="2207"/>
      <c r="CT714" s="2208"/>
      <c r="CU714" s="2207"/>
      <c r="CV714" s="2207"/>
      <c r="CW714" s="2209"/>
      <c r="CX714" s="2207"/>
      <c r="CY714" s="2207"/>
      <c r="CZ714" s="2207"/>
      <c r="DA714" s="2207"/>
      <c r="DB714" s="2208"/>
      <c r="DC714" s="2207"/>
      <c r="DD714" s="2207"/>
      <c r="DE714" s="2207"/>
      <c r="DF714" s="2207"/>
      <c r="DG714" s="2207"/>
      <c r="DH714" s="2207"/>
      <c r="DI714" s="2207"/>
      <c r="DJ714" s="2207"/>
      <c r="DK714" s="2207"/>
      <c r="DL714" s="2207"/>
      <c r="DM714" s="2207"/>
      <c r="DN714" s="2207"/>
      <c r="DO714" s="2207"/>
      <c r="DP714" s="2207"/>
      <c r="DQ714" s="2207"/>
      <c r="DR714" s="2207"/>
      <c r="DS714" s="2207"/>
      <c r="DT714" s="2207"/>
      <c r="DU714" s="2207"/>
      <c r="DV714" s="2207"/>
      <c r="DW714" s="2207"/>
      <c r="DX714" s="2207"/>
      <c r="DY714" s="2209"/>
    </row>
    <row r="715" spans="1:129" hidden="1" outlineLevel="1">
      <c r="A715" s="2752" t="s">
        <v>157</v>
      </c>
      <c r="B715" s="2207"/>
      <c r="C715" s="2207"/>
      <c r="D715" s="2207"/>
      <c r="E715" s="2207"/>
      <c r="F715" s="2207"/>
      <c r="G715" s="2207"/>
      <c r="H715" s="2207"/>
      <c r="I715" s="2207"/>
      <c r="J715" s="2207"/>
      <c r="K715" s="2207"/>
      <c r="L715" s="2207"/>
      <c r="M715" s="2207"/>
      <c r="N715" s="2207"/>
      <c r="O715" s="2207"/>
      <c r="P715" s="2207"/>
      <c r="Q715" s="2207"/>
      <c r="R715" s="2207"/>
      <c r="S715" s="2213">
        <f t="shared" ref="S715:X715" si="2509">+S719/S712</f>
        <v>0.11600180447251401</v>
      </c>
      <c r="T715" s="2213">
        <f t="shared" si="2509"/>
        <v>0.11193672629261144</v>
      </c>
      <c r="U715" s="2213">
        <f t="shared" si="2509"/>
        <v>0.15854630511998613</v>
      </c>
      <c r="V715" s="2213">
        <f t="shared" si="2509"/>
        <v>0</v>
      </c>
      <c r="W715" s="2213">
        <f t="shared" si="2509"/>
        <v>0</v>
      </c>
      <c r="X715" s="2213">
        <f t="shared" si="2509"/>
        <v>0</v>
      </c>
      <c r="Y715" s="2213">
        <f t="shared" ref="Y715:Z715" si="2510">+Y719/Y712</f>
        <v>0</v>
      </c>
      <c r="Z715" s="2213">
        <f t="shared" si="2510"/>
        <v>0</v>
      </c>
      <c r="AA715" s="2213">
        <f t="shared" ref="AA715:AG715" si="2511">CHOOSE(_switch,AA716,AA717,AA718)</f>
        <v>0.08</v>
      </c>
      <c r="AB715" s="2213">
        <f t="shared" si="2511"/>
        <v>0.08</v>
      </c>
      <c r="AC715" s="2213">
        <f t="shared" si="2511"/>
        <v>0.08</v>
      </c>
      <c r="AD715" s="2213">
        <f t="shared" si="2511"/>
        <v>0.08</v>
      </c>
      <c r="AE715" s="2213">
        <f t="shared" si="2511"/>
        <v>0.08</v>
      </c>
      <c r="AF715" s="2213">
        <f t="shared" si="2511"/>
        <v>0.08</v>
      </c>
      <c r="AG715" s="2213">
        <f t="shared" si="2511"/>
        <v>0.08</v>
      </c>
      <c r="AI715" s="2213"/>
      <c r="AK715" s="2213"/>
      <c r="AL715" s="2213"/>
      <c r="AM715" s="2213"/>
      <c r="AN715" s="2213"/>
      <c r="AO715" s="2213"/>
      <c r="AP715" s="2213"/>
      <c r="AQ715" s="2213"/>
      <c r="AR715" s="2213"/>
      <c r="AS715" s="2213"/>
      <c r="AT715" s="2213"/>
      <c r="AU715" s="2213"/>
      <c r="AV715" s="2213"/>
      <c r="AW715" s="2213"/>
      <c r="AX715" s="2213"/>
      <c r="AY715" s="2213"/>
      <c r="AZ715" s="2213"/>
      <c r="BA715" s="2213"/>
      <c r="BB715" s="2213"/>
      <c r="BC715" s="2213"/>
      <c r="BD715" s="2213"/>
      <c r="BE715" s="2213"/>
      <c r="BF715" s="2213"/>
      <c r="BG715" s="2213"/>
      <c r="BH715" s="2213"/>
      <c r="BI715" s="2213"/>
      <c r="BJ715" s="2213"/>
      <c r="BK715" s="2213"/>
      <c r="BL715" s="2213"/>
      <c r="BM715" s="2213"/>
      <c r="BN715" s="2213"/>
      <c r="BO715" s="2213"/>
      <c r="BP715" s="2213"/>
      <c r="BQ715" s="2213"/>
      <c r="BR715" s="2213"/>
      <c r="BS715" s="2213"/>
      <c r="BT715" s="2213"/>
      <c r="BU715" s="2213"/>
      <c r="BV715" s="2213"/>
      <c r="BW715" s="2213"/>
      <c r="BX715" s="2213"/>
      <c r="BY715" s="2213"/>
      <c r="BZ715" s="2213"/>
      <c r="CA715" s="2213"/>
      <c r="CB715" s="2213"/>
      <c r="CC715" s="2213"/>
      <c r="CD715" s="2213"/>
      <c r="CE715" s="2213"/>
      <c r="CF715" s="2213"/>
      <c r="CG715" s="2213"/>
      <c r="CH715" s="2213"/>
      <c r="CI715" s="2213"/>
      <c r="CJ715" s="2213"/>
      <c r="CK715" s="2213"/>
      <c r="CL715" s="2212"/>
      <c r="CM715" s="2213"/>
      <c r="CN715" s="2213"/>
      <c r="CO715" s="2213"/>
      <c r="CP715" s="2212"/>
      <c r="CQ715" s="2213"/>
      <c r="CR715" s="2213"/>
      <c r="CS715" s="2213"/>
      <c r="CT715" s="2212">
        <f t="shared" ref="CT715:DE715" si="2512">+CT719/CT712</f>
        <v>0.11798144473641872</v>
      </c>
      <c r="CU715" s="2213">
        <f t="shared" si="2512"/>
        <v>0.11308879929196577</v>
      </c>
      <c r="CV715" s="2213">
        <f t="shared" si="2512"/>
        <v>0.11714402858314298</v>
      </c>
      <c r="CW715" s="2587">
        <f t="shared" si="2512"/>
        <v>0.1160781773026671</v>
      </c>
      <c r="CX715" s="2213">
        <f t="shared" si="2512"/>
        <v>9.1261692904403377E-2</v>
      </c>
      <c r="CY715" s="2213">
        <f t="shared" si="2512"/>
        <v>0.1037344398340249</v>
      </c>
      <c r="CZ715" s="2213">
        <f t="shared" si="2512"/>
        <v>0.11519881085098477</v>
      </c>
      <c r="DA715" s="2213">
        <f t="shared" si="2512"/>
        <v>0.12973696875850091</v>
      </c>
      <c r="DB715" s="2212">
        <f t="shared" si="2512"/>
        <v>0.10686615014694095</v>
      </c>
      <c r="DC715" s="2213">
        <f t="shared" si="2512"/>
        <v>0.14711538461538462</v>
      </c>
      <c r="DD715" s="2213">
        <f t="shared" si="2512"/>
        <v>0.14907692307692308</v>
      </c>
      <c r="DE715" s="2213">
        <f t="shared" si="2512"/>
        <v>0.25384615384615383</v>
      </c>
      <c r="DF715" s="2213">
        <f t="shared" ref="DF715:DK715" si="2513">+DF719/DF712</f>
        <v>0.25384615384615383</v>
      </c>
      <c r="DG715" s="2213">
        <f t="shared" si="2513"/>
        <v>0.25384615384615383</v>
      </c>
      <c r="DH715" s="2213">
        <f t="shared" si="2513"/>
        <v>0.25384615384615383</v>
      </c>
      <c r="DI715" s="2213">
        <f t="shared" si="2513"/>
        <v>0.25384615384615383</v>
      </c>
      <c r="DJ715" s="2213">
        <f t="shared" si="2513"/>
        <v>0.25384615384615383</v>
      </c>
      <c r="DK715" s="2213">
        <f t="shared" si="2513"/>
        <v>0.25384615384615383</v>
      </c>
      <c r="DL715" s="2213">
        <f t="shared" ref="DL715:DQ715" si="2514">+DL719/DL712</f>
        <v>0.25384615384615383</v>
      </c>
      <c r="DM715" s="2213">
        <f t="shared" si="2514"/>
        <v>0.25384615384615383</v>
      </c>
      <c r="DN715" s="2213">
        <f t="shared" si="2514"/>
        <v>0.25384615384615383</v>
      </c>
      <c r="DO715" s="2213">
        <f t="shared" si="2514"/>
        <v>0.25384615384615383</v>
      </c>
      <c r="DP715" s="2213">
        <f t="shared" si="2514"/>
        <v>0.25384615384615383</v>
      </c>
      <c r="DQ715" s="2213">
        <f t="shared" si="2514"/>
        <v>0.25384615384615383</v>
      </c>
      <c r="DR715" s="2213">
        <f t="shared" ref="DR715" si="2515">+DR719/DR712</f>
        <v>0.25384615384615383</v>
      </c>
      <c r="DS715" s="2213">
        <f t="shared" ref="DS715:DT715" si="2516">+DS719/DS712</f>
        <v>0.25384615384615383</v>
      </c>
      <c r="DT715" s="2213">
        <f t="shared" si="2516"/>
        <v>0.25384615384615383</v>
      </c>
      <c r="DU715" s="2213">
        <f t="shared" ref="DU715" si="2517">+DU719/DU712</f>
        <v>0.25384615384615383</v>
      </c>
      <c r="DV715" s="2213">
        <f t="shared" ref="DV715" si="2518">+DV719/DV712</f>
        <v>0.25384615384615383</v>
      </c>
      <c r="DW715" s="2213">
        <f>CHOOSE(_switch,DW716,DW717,DW718)</f>
        <v>0.15</v>
      </c>
      <c r="DX715" s="2213">
        <f>CHOOSE(_switch,DX716,DX717,DX718)</f>
        <v>0.15</v>
      </c>
      <c r="DY715" s="2587">
        <f>CHOOSE(_switch,DY716,DY717,DY718)</f>
        <v>0.15</v>
      </c>
    </row>
    <row r="716" spans="1:129" hidden="1" outlineLevel="1">
      <c r="A716" s="1944" t="s">
        <v>1106</v>
      </c>
      <c r="B716" s="2207"/>
      <c r="C716" s="2207"/>
      <c r="D716" s="2207"/>
      <c r="E716" s="2207"/>
      <c r="F716" s="2207"/>
      <c r="G716" s="2207"/>
      <c r="H716" s="2207"/>
      <c r="I716" s="2207"/>
      <c r="J716" s="2207"/>
      <c r="K716" s="2207"/>
      <c r="L716" s="2207"/>
      <c r="M716" s="2207"/>
      <c r="N716" s="2207"/>
      <c r="O716" s="2207"/>
      <c r="P716" s="2207"/>
      <c r="Q716" s="2207"/>
      <c r="R716" s="2207"/>
      <c r="S716" s="2753"/>
      <c r="T716" s="2753"/>
      <c r="U716" s="2753"/>
      <c r="V716" s="2753"/>
      <c r="W716" s="2753"/>
      <c r="X716" s="2753"/>
      <c r="Y716" s="2753"/>
      <c r="Z716" s="2753"/>
      <c r="AA716" s="2754">
        <v>0.08</v>
      </c>
      <c r="AB716" s="2754">
        <v>0.08</v>
      </c>
      <c r="AC716" s="2754">
        <v>0.08</v>
      </c>
      <c r="AD716" s="2754">
        <v>0.08</v>
      </c>
      <c r="AE716" s="2754">
        <v>0.08</v>
      </c>
      <c r="AF716" s="2754">
        <v>0.08</v>
      </c>
      <c r="AG716" s="2754">
        <v>0.08</v>
      </c>
      <c r="AI716" s="2207"/>
      <c r="AK716" s="2207"/>
      <c r="AL716" s="2207"/>
      <c r="AM716" s="2207"/>
      <c r="AN716" s="2207"/>
      <c r="AO716" s="2207"/>
      <c r="AP716" s="2207"/>
      <c r="AQ716" s="2207"/>
      <c r="AR716" s="2207"/>
      <c r="AS716" s="2207"/>
      <c r="AT716" s="2207"/>
      <c r="AU716" s="2207"/>
      <c r="AV716" s="2207"/>
      <c r="AW716" s="2207"/>
      <c r="AX716" s="2207"/>
      <c r="AY716" s="2207"/>
      <c r="AZ716" s="2207"/>
      <c r="BA716" s="2207"/>
      <c r="BB716" s="2207"/>
      <c r="BC716" s="2207"/>
      <c r="BD716" s="2207"/>
      <c r="BE716" s="2207"/>
      <c r="BF716" s="2207"/>
      <c r="BG716" s="2207"/>
      <c r="BH716" s="2207"/>
      <c r="BI716" s="2207"/>
      <c r="BJ716" s="2207"/>
      <c r="BK716" s="2207"/>
      <c r="BL716" s="2207"/>
      <c r="BM716" s="2207"/>
      <c r="BN716" s="2207"/>
      <c r="BO716" s="2207"/>
      <c r="BP716" s="2207"/>
      <c r="BQ716" s="2207"/>
      <c r="BR716" s="2207"/>
      <c r="BS716" s="2207"/>
      <c r="BT716" s="2207"/>
      <c r="BU716" s="2207"/>
      <c r="BV716" s="2207"/>
      <c r="BW716" s="2207"/>
      <c r="BX716" s="2207"/>
      <c r="BY716" s="2207"/>
      <c r="BZ716" s="2207"/>
      <c r="CA716" s="2207"/>
      <c r="CB716" s="2207"/>
      <c r="CC716" s="2207"/>
      <c r="CD716" s="2207"/>
      <c r="CE716" s="2207"/>
      <c r="CF716" s="2207"/>
      <c r="CG716" s="2207"/>
      <c r="CH716" s="2207"/>
      <c r="CI716" s="2207"/>
      <c r="CJ716" s="2207"/>
      <c r="CK716" s="2207"/>
      <c r="CL716" s="2208"/>
      <c r="CM716" s="2207"/>
      <c r="CN716" s="2207"/>
      <c r="CO716" s="2207"/>
      <c r="CP716" s="2208"/>
      <c r="CQ716" s="2207"/>
      <c r="CR716" s="2207"/>
      <c r="CS716" s="2207"/>
      <c r="CT716" s="2208"/>
      <c r="CU716" s="2207"/>
      <c r="CV716" s="2207"/>
      <c r="CW716" s="2209"/>
      <c r="CX716" s="2207"/>
      <c r="CY716" s="2207"/>
      <c r="CZ716" s="2207"/>
      <c r="DA716" s="2207"/>
      <c r="DB716" s="2208"/>
      <c r="DC716" s="2207"/>
      <c r="DD716" s="2207"/>
      <c r="DE716" s="2207"/>
      <c r="DF716" s="2207"/>
      <c r="DG716" s="2207"/>
      <c r="DH716" s="2207"/>
      <c r="DI716" s="2207"/>
      <c r="DJ716" s="2207"/>
      <c r="DK716" s="2207"/>
      <c r="DL716" s="2207"/>
      <c r="DM716" s="2207"/>
      <c r="DN716" s="2207"/>
      <c r="DO716" s="2207"/>
      <c r="DP716" s="2207"/>
      <c r="DQ716" s="2207"/>
      <c r="DR716" s="2207"/>
      <c r="DS716" s="2207"/>
      <c r="DT716" s="2207"/>
      <c r="DU716" s="2207"/>
      <c r="DV716" s="2207"/>
      <c r="DW716" s="2754">
        <v>0.15</v>
      </c>
      <c r="DX716" s="2754">
        <v>0.15</v>
      </c>
      <c r="DY716" s="2755">
        <v>0.15</v>
      </c>
    </row>
    <row r="717" spans="1:129" hidden="1" outlineLevel="1">
      <c r="A717" s="1944" t="s">
        <v>1107</v>
      </c>
      <c r="B717" s="2207"/>
      <c r="C717" s="2207"/>
      <c r="D717" s="2207"/>
      <c r="E717" s="2207"/>
      <c r="F717" s="2207"/>
      <c r="G717" s="2207"/>
      <c r="H717" s="2207"/>
      <c r="I717" s="2207"/>
      <c r="J717" s="2207"/>
      <c r="K717" s="2207"/>
      <c r="L717" s="2207"/>
      <c r="M717" s="2207"/>
      <c r="N717" s="2207"/>
      <c r="O717" s="2207"/>
      <c r="P717" s="2207"/>
      <c r="Q717" s="2207"/>
      <c r="R717" s="2207"/>
      <c r="S717" s="2753"/>
      <c r="T717" s="2753"/>
      <c r="U717" s="2753"/>
      <c r="V717" s="2753"/>
      <c r="W717" s="2753"/>
      <c r="X717" s="2753"/>
      <c r="Y717" s="2753"/>
      <c r="Z717" s="2753"/>
      <c r="AA717" s="2754">
        <f>AA716+0.03</f>
        <v>0.11</v>
      </c>
      <c r="AB717" s="2754">
        <f>AB716+0.03</f>
        <v>0.11</v>
      </c>
      <c r="AC717" s="2754">
        <f t="shared" ref="AC717:AG717" si="2519">AC716+0.03</f>
        <v>0.11</v>
      </c>
      <c r="AD717" s="2754">
        <f t="shared" si="2519"/>
        <v>0.11</v>
      </c>
      <c r="AE717" s="2754">
        <f t="shared" si="2519"/>
        <v>0.11</v>
      </c>
      <c r="AF717" s="2754">
        <f t="shared" si="2519"/>
        <v>0.11</v>
      </c>
      <c r="AG717" s="2754">
        <f t="shared" si="2519"/>
        <v>0.11</v>
      </c>
      <c r="AI717" s="2207"/>
      <c r="AK717" s="2207"/>
      <c r="AL717" s="2207"/>
      <c r="AM717" s="2207"/>
      <c r="AN717" s="2207"/>
      <c r="AO717" s="2207"/>
      <c r="AP717" s="2207"/>
      <c r="AQ717" s="2207"/>
      <c r="AR717" s="2207"/>
      <c r="AS717" s="2207"/>
      <c r="AT717" s="2207"/>
      <c r="AU717" s="2207"/>
      <c r="AV717" s="2207"/>
      <c r="AW717" s="2207"/>
      <c r="AX717" s="2207"/>
      <c r="AY717" s="2207"/>
      <c r="AZ717" s="2207"/>
      <c r="BA717" s="2207"/>
      <c r="BB717" s="2207"/>
      <c r="BC717" s="2207"/>
      <c r="BD717" s="2207"/>
      <c r="BE717" s="2207"/>
      <c r="BF717" s="2207"/>
      <c r="BG717" s="2207"/>
      <c r="BH717" s="2207"/>
      <c r="BI717" s="2207"/>
      <c r="BJ717" s="2207"/>
      <c r="BK717" s="2207"/>
      <c r="BL717" s="2207"/>
      <c r="BM717" s="2207"/>
      <c r="BN717" s="2207"/>
      <c r="BO717" s="2207"/>
      <c r="BP717" s="2207"/>
      <c r="BQ717" s="2207"/>
      <c r="BR717" s="2207"/>
      <c r="BS717" s="2207"/>
      <c r="BT717" s="2207"/>
      <c r="BU717" s="2207"/>
      <c r="BV717" s="2207"/>
      <c r="BW717" s="2207"/>
      <c r="BX717" s="2207"/>
      <c r="BY717" s="2207"/>
      <c r="BZ717" s="2207"/>
      <c r="CA717" s="2207"/>
      <c r="CB717" s="2207"/>
      <c r="CC717" s="2207"/>
      <c r="CD717" s="2207"/>
      <c r="CE717" s="2207"/>
      <c r="CF717" s="2207"/>
      <c r="CG717" s="2207"/>
      <c r="CH717" s="2207"/>
      <c r="CI717" s="2207"/>
      <c r="CJ717" s="2207"/>
      <c r="CK717" s="2207"/>
      <c r="CL717" s="2208"/>
      <c r="CM717" s="2207"/>
      <c r="CN717" s="2207"/>
      <c r="CO717" s="2207"/>
      <c r="CP717" s="2208"/>
      <c r="CQ717" s="2207"/>
      <c r="CR717" s="2207"/>
      <c r="CS717" s="2207"/>
      <c r="CT717" s="2208"/>
      <c r="CU717" s="2207"/>
      <c r="CV717" s="2207"/>
      <c r="CW717" s="2209"/>
      <c r="CX717" s="2207"/>
      <c r="CY717" s="2207"/>
      <c r="CZ717" s="2207"/>
      <c r="DA717" s="2207"/>
      <c r="DB717" s="2208"/>
      <c r="DC717" s="2207"/>
      <c r="DD717" s="2207"/>
      <c r="DE717" s="2207"/>
      <c r="DF717" s="2207"/>
      <c r="DG717" s="2207"/>
      <c r="DH717" s="2207"/>
      <c r="DI717" s="2207"/>
      <c r="DJ717" s="2207"/>
      <c r="DK717" s="2207"/>
      <c r="DL717" s="2207"/>
      <c r="DM717" s="2207"/>
      <c r="DN717" s="2207"/>
      <c r="DO717" s="2207"/>
      <c r="DP717" s="2207"/>
      <c r="DQ717" s="2207"/>
      <c r="DR717" s="2207"/>
      <c r="DS717" s="2207"/>
      <c r="DT717" s="2207"/>
      <c r="DU717" s="2207"/>
      <c r="DV717" s="2207"/>
      <c r="DW717" s="2754">
        <f t="shared" ref="DW717:DY717" si="2520">DW716+0.03</f>
        <v>0.18</v>
      </c>
      <c r="DX717" s="2754">
        <f t="shared" si="2520"/>
        <v>0.18</v>
      </c>
      <c r="DY717" s="2755">
        <f t="shared" si="2520"/>
        <v>0.18</v>
      </c>
    </row>
    <row r="718" spans="1:129" hidden="1" outlineLevel="1">
      <c r="A718" s="1944" t="s">
        <v>1109</v>
      </c>
      <c r="B718" s="2207"/>
      <c r="C718" s="2207"/>
      <c r="D718" s="2207"/>
      <c r="E718" s="2207"/>
      <c r="F718" s="2207"/>
      <c r="G718" s="2207"/>
      <c r="H718" s="2207"/>
      <c r="I718" s="2207"/>
      <c r="J718" s="2207"/>
      <c r="K718" s="2207"/>
      <c r="L718" s="2207"/>
      <c r="M718" s="2207"/>
      <c r="N718" s="2207"/>
      <c r="O718" s="2207"/>
      <c r="P718" s="2207"/>
      <c r="Q718" s="2207"/>
      <c r="R718" s="2207"/>
      <c r="S718" s="2753"/>
      <c r="T718" s="2753"/>
      <c r="U718" s="2753"/>
      <c r="V718" s="2753"/>
      <c r="W718" s="2753"/>
      <c r="X718" s="2753"/>
      <c r="Y718" s="2753"/>
      <c r="Z718" s="2753"/>
      <c r="AA718" s="2754">
        <f>AA716-0.02</f>
        <v>0.06</v>
      </c>
      <c r="AB718" s="2754">
        <f>AB716-0.02</f>
        <v>0.06</v>
      </c>
      <c r="AC718" s="2754">
        <f t="shared" ref="AC718:AG718" si="2521">AC716-0.02</f>
        <v>0.06</v>
      </c>
      <c r="AD718" s="2754">
        <f t="shared" si="2521"/>
        <v>0.06</v>
      </c>
      <c r="AE718" s="2754">
        <f t="shared" si="2521"/>
        <v>0.06</v>
      </c>
      <c r="AF718" s="2754">
        <f t="shared" si="2521"/>
        <v>0.06</v>
      </c>
      <c r="AG718" s="2754">
        <f t="shared" si="2521"/>
        <v>0.06</v>
      </c>
      <c r="AI718" s="2207"/>
      <c r="AK718" s="2207"/>
      <c r="AL718" s="2207"/>
      <c r="AM718" s="2207"/>
      <c r="AN718" s="2207"/>
      <c r="AO718" s="2207"/>
      <c r="AP718" s="2207"/>
      <c r="AQ718" s="2207"/>
      <c r="AR718" s="2207"/>
      <c r="AS718" s="2207"/>
      <c r="AT718" s="2207"/>
      <c r="AU718" s="2207"/>
      <c r="AV718" s="2207"/>
      <c r="AW718" s="2207"/>
      <c r="AX718" s="2207"/>
      <c r="AY718" s="2207"/>
      <c r="AZ718" s="2207"/>
      <c r="BA718" s="2207"/>
      <c r="BB718" s="2207"/>
      <c r="BC718" s="2207"/>
      <c r="BD718" s="2207"/>
      <c r="BE718" s="2207"/>
      <c r="BF718" s="2207"/>
      <c r="BG718" s="2207"/>
      <c r="BH718" s="2207"/>
      <c r="BI718" s="2207"/>
      <c r="BJ718" s="2207"/>
      <c r="BK718" s="2207"/>
      <c r="BL718" s="2207"/>
      <c r="BM718" s="2207"/>
      <c r="BN718" s="2207"/>
      <c r="BO718" s="2207"/>
      <c r="BP718" s="2207"/>
      <c r="BQ718" s="2207"/>
      <c r="BR718" s="2207"/>
      <c r="BS718" s="2207"/>
      <c r="BT718" s="2207"/>
      <c r="BU718" s="2207"/>
      <c r="BV718" s="2207"/>
      <c r="BW718" s="2207"/>
      <c r="BX718" s="2207"/>
      <c r="BY718" s="2207"/>
      <c r="BZ718" s="2207"/>
      <c r="CA718" s="2207"/>
      <c r="CB718" s="2207"/>
      <c r="CC718" s="2207"/>
      <c r="CD718" s="2207"/>
      <c r="CE718" s="2207"/>
      <c r="CF718" s="2207"/>
      <c r="CG718" s="2207"/>
      <c r="CH718" s="2207"/>
      <c r="CI718" s="2207"/>
      <c r="CJ718" s="2207"/>
      <c r="CK718" s="2207"/>
      <c r="CL718" s="2208"/>
      <c r="CM718" s="2207"/>
      <c r="CN718" s="2207"/>
      <c r="CO718" s="2207"/>
      <c r="CP718" s="2208"/>
      <c r="CQ718" s="2207"/>
      <c r="CR718" s="2207"/>
      <c r="CS718" s="2207"/>
      <c r="CT718" s="2208"/>
      <c r="CU718" s="2207"/>
      <c r="CV718" s="2207"/>
      <c r="CW718" s="2209"/>
      <c r="CX718" s="2207"/>
      <c r="CY718" s="2207"/>
      <c r="CZ718" s="2207"/>
      <c r="DA718" s="2207"/>
      <c r="DB718" s="2208"/>
      <c r="DC718" s="2207"/>
      <c r="DD718" s="2207"/>
      <c r="DE718" s="2207"/>
      <c r="DF718" s="2207"/>
      <c r="DG718" s="2207"/>
      <c r="DH718" s="2207"/>
      <c r="DI718" s="2207"/>
      <c r="DJ718" s="2207"/>
      <c r="DK718" s="2207"/>
      <c r="DL718" s="2207"/>
      <c r="DM718" s="2207"/>
      <c r="DN718" s="2207"/>
      <c r="DO718" s="2207"/>
      <c r="DP718" s="2207"/>
      <c r="DQ718" s="2207"/>
      <c r="DR718" s="2207"/>
      <c r="DS718" s="2207"/>
      <c r="DT718" s="2207"/>
      <c r="DU718" s="2207"/>
      <c r="DV718" s="2207"/>
      <c r="DW718" s="2754">
        <f t="shared" ref="DW718:DY718" si="2522">DW716-0.02</f>
        <v>0.13</v>
      </c>
      <c r="DX718" s="2754">
        <f t="shared" si="2522"/>
        <v>0.13</v>
      </c>
      <c r="DY718" s="2755">
        <f t="shared" si="2522"/>
        <v>0.13</v>
      </c>
    </row>
    <row r="719" spans="1:129" hidden="1" outlineLevel="1">
      <c r="A719" s="2756" t="s">
        <v>158</v>
      </c>
      <c r="R719" s="2746">
        <f>+SUM(CP719:CS719)</f>
        <v>0</v>
      </c>
      <c r="S719" s="2746">
        <f>+SUM(CT719:CW719)</f>
        <v>10800</v>
      </c>
      <c r="T719" s="2746">
        <f>+SUM(CX719:DA719)</f>
        <v>15200</v>
      </c>
      <c r="U719" s="2746">
        <f>+SUM(DB719:DE719)</f>
        <v>18301</v>
      </c>
      <c r="V719" s="2746"/>
      <c r="W719" s="2746"/>
      <c r="X719" s="2746"/>
      <c r="Y719" s="2746"/>
      <c r="Z719" s="2746"/>
      <c r="AA719" s="2746"/>
      <c r="AB719" s="2746"/>
      <c r="AC719" s="2746"/>
      <c r="AD719" s="2746"/>
      <c r="AE719" s="2746"/>
      <c r="AF719" s="2746"/>
      <c r="AG719" s="2746"/>
      <c r="AI719" s="2207"/>
      <c r="AK719" s="2200"/>
      <c r="AL719" s="2200"/>
      <c r="AM719" s="2200"/>
      <c r="AN719" s="2200"/>
      <c r="AO719" s="2200"/>
      <c r="AP719" s="2200"/>
      <c r="AQ719" s="2200"/>
      <c r="AR719" s="2200"/>
      <c r="AS719" s="2200"/>
      <c r="AT719" s="2200"/>
      <c r="AU719" s="2200"/>
      <c r="AV719" s="2200"/>
      <c r="AW719" s="2200"/>
      <c r="AX719" s="2200"/>
      <c r="AY719" s="2200"/>
      <c r="AZ719" s="2200"/>
      <c r="BA719" s="2200"/>
      <c r="BB719" s="2200"/>
      <c r="BC719" s="2200"/>
      <c r="BD719" s="2200"/>
      <c r="BE719" s="2200"/>
      <c r="BF719" s="2200"/>
      <c r="BG719" s="2200"/>
      <c r="BH719" s="2200"/>
      <c r="BI719" s="2200"/>
      <c r="BJ719" s="2200"/>
      <c r="BK719" s="2200"/>
      <c r="BL719" s="2200"/>
      <c r="BM719" s="2200"/>
      <c r="BN719" s="2200"/>
      <c r="BO719" s="2200"/>
      <c r="BP719" s="2200"/>
      <c r="BQ719" s="2200"/>
      <c r="BR719" s="2200"/>
      <c r="BS719" s="2200"/>
      <c r="BT719" s="2200"/>
      <c r="BU719" s="2200"/>
      <c r="BV719" s="2200"/>
      <c r="BW719" s="2200"/>
      <c r="BX719" s="2200"/>
      <c r="BY719" s="2200"/>
      <c r="BZ719" s="2200"/>
      <c r="CA719" s="2200"/>
      <c r="CB719" s="2200"/>
      <c r="CC719" s="2200"/>
      <c r="CD719" s="2200"/>
      <c r="CE719" s="2200"/>
      <c r="CF719" s="2200"/>
      <c r="CG719" s="2200"/>
      <c r="CH719" s="2200"/>
      <c r="CI719" s="2200"/>
      <c r="CJ719" s="2200"/>
      <c r="CK719" s="2200"/>
      <c r="CL719" s="2748">
        <v>0</v>
      </c>
      <c r="CM719" s="2749">
        <v>0</v>
      </c>
      <c r="CN719" s="2749">
        <v>0</v>
      </c>
      <c r="CO719" s="2749">
        <v>0</v>
      </c>
      <c r="CP719" s="2748">
        <v>0</v>
      </c>
      <c r="CQ719" s="2749">
        <v>0</v>
      </c>
      <c r="CR719" s="2749">
        <v>0</v>
      </c>
      <c r="CS719" s="2749">
        <v>0</v>
      </c>
      <c r="CT719" s="2214">
        <v>2200</v>
      </c>
      <c r="CU719" s="2749">
        <v>2300</v>
      </c>
      <c r="CV719" s="2749">
        <v>2000</v>
      </c>
      <c r="CW719" s="2750">
        <v>4300</v>
      </c>
      <c r="CX719" s="2749">
        <v>3200</v>
      </c>
      <c r="CY719" s="2749">
        <v>2700</v>
      </c>
      <c r="CZ719" s="2749">
        <v>3100</v>
      </c>
      <c r="DA719" s="2749">
        <v>6200</v>
      </c>
      <c r="DB719" s="2748">
        <v>4000</v>
      </c>
      <c r="DC719" s="2749">
        <f>7500*0.51</f>
        <v>3825</v>
      </c>
      <c r="DD719" s="2749">
        <f>7600*0.51</f>
        <v>3876</v>
      </c>
      <c r="DE719" s="2750">
        <v>6600</v>
      </c>
      <c r="DF719" s="2749">
        <v>6600</v>
      </c>
      <c r="DG719" s="2750">
        <v>6600</v>
      </c>
      <c r="DH719" s="2750">
        <v>6600</v>
      </c>
      <c r="DI719" s="2750">
        <v>6600</v>
      </c>
      <c r="DJ719" s="2749">
        <v>6600</v>
      </c>
      <c r="DK719" s="2750">
        <v>6600</v>
      </c>
      <c r="DL719" s="2750">
        <v>6600</v>
      </c>
      <c r="DM719" s="2750">
        <v>6600</v>
      </c>
      <c r="DN719" s="2749">
        <v>6600</v>
      </c>
      <c r="DO719" s="2749">
        <v>6600</v>
      </c>
      <c r="DP719" s="2749">
        <v>6600</v>
      </c>
      <c r="DQ719" s="2749">
        <v>6600</v>
      </c>
      <c r="DR719" s="2749">
        <v>6600</v>
      </c>
      <c r="DS719" s="2749">
        <v>6600</v>
      </c>
      <c r="DT719" s="2749">
        <v>6600</v>
      </c>
      <c r="DU719" s="2749">
        <v>6600</v>
      </c>
      <c r="DV719" s="2749">
        <v>6600</v>
      </c>
      <c r="DW719" s="2746"/>
      <c r="DX719" s="2746"/>
      <c r="DY719" s="2757"/>
    </row>
    <row r="720" spans="1:129" hidden="1" outlineLevel="1">
      <c r="A720" s="2205" t="s">
        <v>159</v>
      </c>
      <c r="R720" s="2307">
        <v>0</v>
      </c>
      <c r="S720" s="2746">
        <f>+SUM(CT720:CW720)</f>
        <v>2261.5</v>
      </c>
      <c r="T720" s="2746">
        <f>+SUM(CX720:DA720)</f>
        <v>4167</v>
      </c>
      <c r="U720" s="2746">
        <f>+SUM(DB720:DE720)</f>
        <v>5490.3</v>
      </c>
      <c r="V720" s="2746">
        <f>+SUM(DF720:DI720)</f>
        <v>7920</v>
      </c>
      <c r="W720" s="2746">
        <f>+SUM(DG720:DJ720)</f>
        <v>7920</v>
      </c>
      <c r="X720" s="2746">
        <f>+SUM(DH720:DK720)</f>
        <v>7920</v>
      </c>
      <c r="Y720" s="2746">
        <f>+SUM(DI720:DL720)</f>
        <v>7920</v>
      </c>
      <c r="Z720" s="2746">
        <f>+SUM(DJ720:DM720)</f>
        <v>7920</v>
      </c>
      <c r="AA720" s="2746">
        <f>+AA722*AA719</f>
        <v>0</v>
      </c>
      <c r="AB720" s="2746">
        <f>+AB722*AB719</f>
        <v>0</v>
      </c>
      <c r="AC720" s="2746">
        <f t="shared" ref="AC720:AG720" si="2523">+AC722*AC719</f>
        <v>0</v>
      </c>
      <c r="AD720" s="2746">
        <f t="shared" si="2523"/>
        <v>0</v>
      </c>
      <c r="AE720" s="2746">
        <f t="shared" si="2523"/>
        <v>0</v>
      </c>
      <c r="AF720" s="2746">
        <f t="shared" si="2523"/>
        <v>0</v>
      </c>
      <c r="AG720" s="2746">
        <f t="shared" si="2523"/>
        <v>0</v>
      </c>
      <c r="AI720" s="2207"/>
      <c r="CL720" s="1942"/>
      <c r="CP720" s="1942"/>
      <c r="CS720" s="1903">
        <v>0</v>
      </c>
      <c r="CT720" s="2758">
        <f>+CT722*CT719</f>
        <v>484</v>
      </c>
      <c r="CU720" s="2746">
        <f t="shared" ref="CU720:DF720" si="2524">+CU722*CU719</f>
        <v>517.5</v>
      </c>
      <c r="CV720" s="2746">
        <f t="shared" si="2524"/>
        <v>400</v>
      </c>
      <c r="CW720" s="2757">
        <f t="shared" si="2524"/>
        <v>860</v>
      </c>
      <c r="CX720" s="2746">
        <f t="shared" si="2524"/>
        <v>640</v>
      </c>
      <c r="CY720" s="2746">
        <f t="shared" si="2524"/>
        <v>675</v>
      </c>
      <c r="CZ720" s="2746">
        <f t="shared" si="2524"/>
        <v>992</v>
      </c>
      <c r="DA720" s="2746">
        <f t="shared" si="2524"/>
        <v>1860</v>
      </c>
      <c r="DB720" s="2758">
        <f t="shared" si="2524"/>
        <v>1200</v>
      </c>
      <c r="DC720" s="2746">
        <f t="shared" si="2524"/>
        <v>1147.5</v>
      </c>
      <c r="DD720" s="2746">
        <f t="shared" si="2524"/>
        <v>1162.8</v>
      </c>
      <c r="DE720" s="2746">
        <f t="shared" si="2524"/>
        <v>1980</v>
      </c>
      <c r="DF720" s="2746">
        <f t="shared" si="2524"/>
        <v>1980</v>
      </c>
      <c r="DG720" s="2746">
        <f>+DG722*DG719</f>
        <v>1980</v>
      </c>
      <c r="DH720" s="2746">
        <f>+DH722*DH719</f>
        <v>1980</v>
      </c>
      <c r="DI720" s="2746">
        <f>+DI722*DI719</f>
        <v>1980</v>
      </c>
      <c r="DJ720" s="2746">
        <f t="shared" ref="DJ720:DM720" si="2525">+DJ722*DJ719</f>
        <v>1980</v>
      </c>
      <c r="DK720" s="2746">
        <f t="shared" si="2525"/>
        <v>1980</v>
      </c>
      <c r="DL720" s="2746">
        <f t="shared" si="2525"/>
        <v>1980</v>
      </c>
      <c r="DM720" s="2746">
        <f t="shared" si="2525"/>
        <v>1980</v>
      </c>
      <c r="DN720" s="2746">
        <f t="shared" ref="DN720:DO720" si="2526">+DN722*DN719</f>
        <v>1980</v>
      </c>
      <c r="DO720" s="2746">
        <f t="shared" si="2526"/>
        <v>1980</v>
      </c>
      <c r="DP720" s="2746">
        <f t="shared" ref="DP720:DQ720" si="2527">+DP722*DP719</f>
        <v>1980</v>
      </c>
      <c r="DQ720" s="2746">
        <f t="shared" si="2527"/>
        <v>1980</v>
      </c>
      <c r="DR720" s="2746">
        <f t="shared" ref="DR720" si="2528">+DR722*DR719</f>
        <v>1980</v>
      </c>
      <c r="DS720" s="2746">
        <f t="shared" ref="DS720:DT720" si="2529">+DS722*DS719</f>
        <v>1980</v>
      </c>
      <c r="DT720" s="2746">
        <f t="shared" si="2529"/>
        <v>1980</v>
      </c>
      <c r="DU720" s="2746">
        <f t="shared" ref="DU720" si="2530">+DU722*DU719</f>
        <v>1980</v>
      </c>
      <c r="DV720" s="2746">
        <f t="shared" ref="DV720" si="2531">+DV722*DV719</f>
        <v>1980</v>
      </c>
      <c r="DW720" s="2746">
        <f t="shared" ref="DW720:DY720" si="2532">+DW722*DW719</f>
        <v>0</v>
      </c>
      <c r="DX720" s="2746">
        <f t="shared" si="2532"/>
        <v>0</v>
      </c>
      <c r="DY720" s="2757">
        <f t="shared" si="2532"/>
        <v>0</v>
      </c>
    </row>
    <row r="721" spans="1:129" hidden="1" outlineLevel="1">
      <c r="A721" s="2759" t="s">
        <v>160</v>
      </c>
      <c r="R721" s="2307"/>
      <c r="S721" s="2746">
        <f t="shared" ref="S721:AB721" si="2533">+AVERAGE(R720:S720)</f>
        <v>1130.75</v>
      </c>
      <c r="T721" s="2746">
        <f t="shared" si="2533"/>
        <v>3214.25</v>
      </c>
      <c r="U721" s="2746">
        <f t="shared" si="2533"/>
        <v>4828.6499999999996</v>
      </c>
      <c r="V721" s="2746">
        <f t="shared" si="2533"/>
        <v>6705.15</v>
      </c>
      <c r="W721" s="2746">
        <f t="shared" si="2533"/>
        <v>7920</v>
      </c>
      <c r="X721" s="2746">
        <f t="shared" si="2533"/>
        <v>7920</v>
      </c>
      <c r="Y721" s="2746">
        <f t="shared" si="2533"/>
        <v>7920</v>
      </c>
      <c r="Z721" s="2746">
        <f t="shared" si="2533"/>
        <v>7920</v>
      </c>
      <c r="AA721" s="2746">
        <f t="shared" si="2533"/>
        <v>3960</v>
      </c>
      <c r="AB721" s="2746">
        <f t="shared" si="2533"/>
        <v>0</v>
      </c>
      <c r="AC721" s="2746">
        <f t="shared" ref="AC721" si="2534">+AVERAGE(AB720:AC720)</f>
        <v>0</v>
      </c>
      <c r="AD721" s="2746">
        <f t="shared" ref="AD721" si="2535">+AVERAGE(AC720:AD720)</f>
        <v>0</v>
      </c>
      <c r="AE721" s="2746">
        <f t="shared" ref="AE721" si="2536">+AVERAGE(AD720:AE720)</f>
        <v>0</v>
      </c>
      <c r="AF721" s="2746">
        <f t="shared" ref="AF721" si="2537">+AVERAGE(AE720:AF720)</f>
        <v>0</v>
      </c>
      <c r="AG721" s="2746">
        <f t="shared" ref="AG721" si="2538">+AVERAGE(AF720:AG720)</f>
        <v>0</v>
      </c>
      <c r="AI721" s="2207"/>
      <c r="CL721" s="1942"/>
      <c r="CP721" s="1942"/>
      <c r="CT721" s="2758">
        <f t="shared" ref="CT721:DV721" si="2539">+AVERAGE(CS720:CT720)</f>
        <v>242</v>
      </c>
      <c r="CU721" s="2746">
        <f t="shared" si="2539"/>
        <v>500.75</v>
      </c>
      <c r="CV721" s="2746">
        <f t="shared" si="2539"/>
        <v>458.75</v>
      </c>
      <c r="CW721" s="2757">
        <f t="shared" si="2539"/>
        <v>630</v>
      </c>
      <c r="CX721" s="2746">
        <f t="shared" si="2539"/>
        <v>750</v>
      </c>
      <c r="CY721" s="2746">
        <f t="shared" si="2539"/>
        <v>657.5</v>
      </c>
      <c r="CZ721" s="2746">
        <f t="shared" si="2539"/>
        <v>833.5</v>
      </c>
      <c r="DA721" s="2746">
        <f t="shared" si="2539"/>
        <v>1426</v>
      </c>
      <c r="DB721" s="2758">
        <f t="shared" si="2539"/>
        <v>1530</v>
      </c>
      <c r="DC721" s="2746">
        <f t="shared" si="2539"/>
        <v>1173.75</v>
      </c>
      <c r="DD721" s="2746">
        <f t="shared" si="2539"/>
        <v>1155.1500000000001</v>
      </c>
      <c r="DE721" s="2746">
        <f t="shared" si="2539"/>
        <v>1571.4</v>
      </c>
      <c r="DF721" s="2746">
        <f t="shared" si="2539"/>
        <v>1980</v>
      </c>
      <c r="DG721" s="2746">
        <f t="shared" si="2539"/>
        <v>1980</v>
      </c>
      <c r="DH721" s="2746">
        <f t="shared" si="2539"/>
        <v>1980</v>
      </c>
      <c r="DI721" s="2746">
        <f t="shared" si="2539"/>
        <v>1980</v>
      </c>
      <c r="DJ721" s="2746">
        <f t="shared" si="2539"/>
        <v>1980</v>
      </c>
      <c r="DK721" s="2746">
        <f t="shared" si="2539"/>
        <v>1980</v>
      </c>
      <c r="DL721" s="2746">
        <f t="shared" si="2539"/>
        <v>1980</v>
      </c>
      <c r="DM721" s="2746">
        <f t="shared" si="2539"/>
        <v>1980</v>
      </c>
      <c r="DN721" s="2746">
        <f t="shared" si="2539"/>
        <v>1980</v>
      </c>
      <c r="DO721" s="2746">
        <f t="shared" si="2539"/>
        <v>1980</v>
      </c>
      <c r="DP721" s="2746">
        <f t="shared" si="2539"/>
        <v>1980</v>
      </c>
      <c r="DQ721" s="2746">
        <f t="shared" si="2539"/>
        <v>1980</v>
      </c>
      <c r="DR721" s="2746">
        <f t="shared" si="2539"/>
        <v>1980</v>
      </c>
      <c r="DS721" s="2746">
        <f t="shared" si="2539"/>
        <v>1980</v>
      </c>
      <c r="DT721" s="2746">
        <f t="shared" si="2539"/>
        <v>1980</v>
      </c>
      <c r="DU721" s="2746">
        <f t="shared" si="2539"/>
        <v>1980</v>
      </c>
      <c r="DV721" s="2746">
        <f t="shared" si="2539"/>
        <v>1980</v>
      </c>
      <c r="DW721" s="2746">
        <f t="shared" ref="DW721" si="2540">+AVERAGE(DV720:DW720)</f>
        <v>990</v>
      </c>
      <c r="DX721" s="2746">
        <f t="shared" ref="DX721" si="2541">+AVERAGE(DW720:DX720)</f>
        <v>0</v>
      </c>
      <c r="DY721" s="2757">
        <f t="shared" ref="DY721" si="2542">+AVERAGE(DX720:DY720)</f>
        <v>0</v>
      </c>
    </row>
    <row r="722" spans="1:129" hidden="1" outlineLevel="1">
      <c r="A722" s="2207" t="s">
        <v>161</v>
      </c>
      <c r="B722" s="2207"/>
      <c r="C722" s="2207"/>
      <c r="D722" s="2207"/>
      <c r="E722" s="2207"/>
      <c r="F722" s="2207"/>
      <c r="G722" s="2207"/>
      <c r="H722" s="2207"/>
      <c r="I722" s="2207"/>
      <c r="J722" s="2207"/>
      <c r="K722" s="2207"/>
      <c r="L722" s="2207"/>
      <c r="M722" s="2207"/>
      <c r="N722" s="2207"/>
      <c r="O722" s="2207"/>
      <c r="P722" s="2207"/>
      <c r="Q722" s="2207"/>
      <c r="R722" s="2207"/>
      <c r="S722" s="2207">
        <f>+AVERAGE(CT722:CW722)</f>
        <v>0.21124999999999999</v>
      </c>
      <c r="T722" s="2207">
        <f>+AVERAGE(CX722:DA722)</f>
        <v>0.26750000000000002</v>
      </c>
      <c r="U722" s="2207">
        <f>+AVERAGE(DB722:DE722)</f>
        <v>0.3</v>
      </c>
      <c r="V722" s="2207">
        <f>+AVERAGE(DF722:DI722)</f>
        <v>0.3</v>
      </c>
      <c r="W722" s="2207">
        <f>+AVERAGE(DG722:DJ722)</f>
        <v>0.3</v>
      </c>
      <c r="X722" s="2207">
        <f>+AVERAGE(DH722:DK722)</f>
        <v>0.3</v>
      </c>
      <c r="Y722" s="2207">
        <f>+AVERAGE(DI722:DL722)</f>
        <v>0.3</v>
      </c>
      <c r="Z722" s="2207">
        <f>+AVERAGE(DJ722:DM722)</f>
        <v>0.3</v>
      </c>
      <c r="AA722" s="2213">
        <f t="shared" ref="AA722:AG722" si="2543">CHOOSE(_switch,AA723,AA724,AA725)</f>
        <v>0.1</v>
      </c>
      <c r="AB722" s="2213">
        <f t="shared" si="2543"/>
        <v>0.1</v>
      </c>
      <c r="AC722" s="2213">
        <f t="shared" si="2543"/>
        <v>0.1</v>
      </c>
      <c r="AD722" s="2213">
        <f t="shared" si="2543"/>
        <v>0.1</v>
      </c>
      <c r="AE722" s="2213">
        <f t="shared" si="2543"/>
        <v>0.1</v>
      </c>
      <c r="AF722" s="2213">
        <f t="shared" si="2543"/>
        <v>0.1</v>
      </c>
      <c r="AG722" s="2213">
        <f t="shared" si="2543"/>
        <v>0.1</v>
      </c>
      <c r="AI722" s="2213"/>
      <c r="AK722" s="2213"/>
      <c r="AL722" s="2213"/>
      <c r="AM722" s="2213"/>
      <c r="AN722" s="2213"/>
      <c r="AO722" s="2213"/>
      <c r="AP722" s="2213"/>
      <c r="AQ722" s="2213"/>
      <c r="AR722" s="2213"/>
      <c r="AS722" s="2213"/>
      <c r="AT722" s="2213"/>
      <c r="AU722" s="2213"/>
      <c r="AV722" s="2213"/>
      <c r="AW722" s="2213"/>
      <c r="AX722" s="2213"/>
      <c r="AY722" s="2213"/>
      <c r="AZ722" s="2213"/>
      <c r="BA722" s="2213"/>
      <c r="BB722" s="2213"/>
      <c r="BC722" s="2213"/>
      <c r="BD722" s="2213"/>
      <c r="BE722" s="2213"/>
      <c r="BF722" s="2213"/>
      <c r="BG722" s="2213"/>
      <c r="BH722" s="2213"/>
      <c r="BI722" s="2213"/>
      <c r="BJ722" s="2213"/>
      <c r="BK722" s="2213"/>
      <c r="BL722" s="2213"/>
      <c r="BM722" s="2213"/>
      <c r="BN722" s="2213"/>
      <c r="BO722" s="2213"/>
      <c r="BP722" s="2213"/>
      <c r="BQ722" s="2213"/>
      <c r="BR722" s="2213"/>
      <c r="BS722" s="2213"/>
      <c r="BT722" s="2213"/>
      <c r="BU722" s="2213"/>
      <c r="BV722" s="2213"/>
      <c r="BW722" s="2213"/>
      <c r="BX722" s="2213"/>
      <c r="BY722" s="2213"/>
      <c r="BZ722" s="2213"/>
      <c r="CA722" s="2213"/>
      <c r="CB722" s="2213"/>
      <c r="CC722" s="2213"/>
      <c r="CD722" s="2213"/>
      <c r="CE722" s="2213"/>
      <c r="CF722" s="2213"/>
      <c r="CG722" s="2213"/>
      <c r="CH722" s="2213"/>
      <c r="CI722" s="2213"/>
      <c r="CJ722" s="2213"/>
      <c r="CK722" s="2213"/>
      <c r="CL722" s="2212"/>
      <c r="CM722" s="2213"/>
      <c r="CN722" s="2213"/>
      <c r="CO722" s="2213"/>
      <c r="CP722" s="2212"/>
      <c r="CQ722" s="2213"/>
      <c r="CR722" s="2213"/>
      <c r="CS722" s="2213"/>
      <c r="CT722" s="2760">
        <v>0.22</v>
      </c>
      <c r="CU722" s="2751">
        <v>0.22500000000000001</v>
      </c>
      <c r="CV722" s="2751">
        <v>0.2</v>
      </c>
      <c r="CW722" s="2761">
        <v>0.2</v>
      </c>
      <c r="CX722" s="2751">
        <v>0.2</v>
      </c>
      <c r="CY722" s="2751">
        <v>0.25</v>
      </c>
      <c r="CZ722" s="2751">
        <v>0.32</v>
      </c>
      <c r="DA722" s="2751">
        <v>0.3</v>
      </c>
      <c r="DB722" s="2762">
        <v>0.3</v>
      </c>
      <c r="DC722" s="2751">
        <v>0.3</v>
      </c>
      <c r="DD722" s="2751">
        <v>0.3</v>
      </c>
      <c r="DE722" s="2751">
        <v>0.3</v>
      </c>
      <c r="DF722" s="2751">
        <v>0.3</v>
      </c>
      <c r="DG722" s="2751">
        <v>0.3</v>
      </c>
      <c r="DH722" s="2751">
        <v>0.3</v>
      </c>
      <c r="DI722" s="2751">
        <v>0.3</v>
      </c>
      <c r="DJ722" s="2751">
        <v>0.3</v>
      </c>
      <c r="DK722" s="2751">
        <v>0.3</v>
      </c>
      <c r="DL722" s="2751">
        <v>0.3</v>
      </c>
      <c r="DM722" s="2751">
        <v>0.3</v>
      </c>
      <c r="DN722" s="2751">
        <v>0.3</v>
      </c>
      <c r="DO722" s="2751">
        <v>0.3</v>
      </c>
      <c r="DP722" s="2751">
        <v>0.3</v>
      </c>
      <c r="DQ722" s="2751">
        <v>0.3</v>
      </c>
      <c r="DR722" s="2751">
        <v>0.3</v>
      </c>
      <c r="DS722" s="2751">
        <v>0.3</v>
      </c>
      <c r="DT722" s="2751">
        <v>0.3</v>
      </c>
      <c r="DU722" s="2751">
        <v>0.3</v>
      </c>
      <c r="DV722" s="2751">
        <v>0.3</v>
      </c>
      <c r="DW722" s="2213">
        <f>CHOOSE(_switch,DW723,DW724,DW725)</f>
        <v>0.25</v>
      </c>
      <c r="DX722" s="2213">
        <f>CHOOSE(_switch,DX723,DX724,DX725)</f>
        <v>0.25</v>
      </c>
      <c r="DY722" s="2587">
        <f>CHOOSE(_switch,DY723,DY724,DY725)</f>
        <v>0.25</v>
      </c>
    </row>
    <row r="723" spans="1:129" hidden="1" outlineLevel="1">
      <c r="A723" s="1944" t="s">
        <v>1106</v>
      </c>
      <c r="B723" s="2207"/>
      <c r="C723" s="2207"/>
      <c r="D723" s="2207"/>
      <c r="E723" s="2207"/>
      <c r="F723" s="2207"/>
      <c r="G723" s="2207"/>
      <c r="H723" s="2207"/>
      <c r="I723" s="2207"/>
      <c r="J723" s="2207"/>
      <c r="K723" s="2207"/>
      <c r="L723" s="2207"/>
      <c r="M723" s="2207"/>
      <c r="N723" s="2207"/>
      <c r="O723" s="2207"/>
      <c r="P723" s="2207"/>
      <c r="Q723" s="2207"/>
      <c r="R723" s="2207"/>
      <c r="S723" s="2753"/>
      <c r="T723" s="2753"/>
      <c r="U723" s="2753"/>
      <c r="V723" s="2753"/>
      <c r="W723" s="2753"/>
      <c r="X723" s="2753"/>
      <c r="Y723" s="2753"/>
      <c r="Z723" s="2753"/>
      <c r="AA723" s="2754">
        <v>0.1</v>
      </c>
      <c r="AB723" s="2754">
        <v>0.1</v>
      </c>
      <c r="AC723" s="2754">
        <v>0.1</v>
      </c>
      <c r="AD723" s="2754">
        <v>0.1</v>
      </c>
      <c r="AE723" s="2754">
        <v>0.1</v>
      </c>
      <c r="AF723" s="2754">
        <v>0.1</v>
      </c>
      <c r="AG723" s="2754">
        <v>0.1</v>
      </c>
      <c r="AI723" s="2213"/>
      <c r="AK723" s="2213"/>
      <c r="AL723" s="2213"/>
      <c r="AM723" s="2213"/>
      <c r="AN723" s="2213"/>
      <c r="AO723" s="2213"/>
      <c r="AP723" s="2213"/>
      <c r="AQ723" s="2213"/>
      <c r="AR723" s="2213"/>
      <c r="AS723" s="2213"/>
      <c r="AT723" s="2213"/>
      <c r="AU723" s="2213"/>
      <c r="AV723" s="2213"/>
      <c r="AW723" s="2213"/>
      <c r="AX723" s="2213"/>
      <c r="AY723" s="2213"/>
      <c r="AZ723" s="2213"/>
      <c r="BA723" s="2213"/>
      <c r="BB723" s="2213"/>
      <c r="BC723" s="2213"/>
      <c r="BD723" s="2213"/>
      <c r="BE723" s="2213"/>
      <c r="BF723" s="2213"/>
      <c r="BG723" s="2213"/>
      <c r="BH723" s="2213"/>
      <c r="BI723" s="2213"/>
      <c r="BJ723" s="2213"/>
      <c r="BK723" s="2213"/>
      <c r="BL723" s="2213"/>
      <c r="BM723" s="2213"/>
      <c r="BN723" s="2213"/>
      <c r="BO723" s="2213"/>
      <c r="BP723" s="2213"/>
      <c r="BQ723" s="2213"/>
      <c r="BR723" s="2213"/>
      <c r="BS723" s="2213"/>
      <c r="BT723" s="2213"/>
      <c r="BU723" s="2213"/>
      <c r="BV723" s="2213"/>
      <c r="BW723" s="2213"/>
      <c r="BX723" s="2213"/>
      <c r="BY723" s="2213"/>
      <c r="BZ723" s="2213"/>
      <c r="CA723" s="2213"/>
      <c r="CB723" s="2213"/>
      <c r="CC723" s="2213"/>
      <c r="CD723" s="2213"/>
      <c r="CE723" s="2213"/>
      <c r="CF723" s="2213"/>
      <c r="CG723" s="2213"/>
      <c r="CH723" s="2213"/>
      <c r="CI723" s="2213"/>
      <c r="CJ723" s="2213"/>
      <c r="CK723" s="2213"/>
      <c r="CL723" s="2212"/>
      <c r="CM723" s="2213"/>
      <c r="CN723" s="2213"/>
      <c r="CO723" s="2213"/>
      <c r="CP723" s="2212"/>
      <c r="CQ723" s="2213"/>
      <c r="CR723" s="2213"/>
      <c r="CS723" s="2213"/>
      <c r="CT723" s="2212"/>
      <c r="CU723" s="2213"/>
      <c r="CV723" s="2213"/>
      <c r="CW723" s="2587"/>
      <c r="CX723" s="2213"/>
      <c r="CY723" s="2213"/>
      <c r="CZ723" s="2213"/>
      <c r="DA723" s="2213"/>
      <c r="DB723" s="2212"/>
      <c r="DC723" s="2213"/>
      <c r="DD723" s="2213"/>
      <c r="DE723" s="2213"/>
      <c r="DF723" s="2213"/>
      <c r="DG723" s="2213"/>
      <c r="DH723" s="2213"/>
      <c r="DI723" s="2213"/>
      <c r="DJ723" s="2213"/>
      <c r="DK723" s="2213"/>
      <c r="DL723" s="2213"/>
      <c r="DM723" s="2213"/>
      <c r="DN723" s="2213"/>
      <c r="DO723" s="2213"/>
      <c r="DP723" s="2213"/>
      <c r="DQ723" s="2213"/>
      <c r="DR723" s="2213"/>
      <c r="DS723" s="2213"/>
      <c r="DT723" s="2213"/>
      <c r="DU723" s="2213"/>
      <c r="DV723" s="2213"/>
      <c r="DW723" s="2754">
        <v>0.25</v>
      </c>
      <c r="DX723" s="2754">
        <v>0.25</v>
      </c>
      <c r="DY723" s="2755">
        <v>0.25</v>
      </c>
    </row>
    <row r="724" spans="1:129" hidden="1" outlineLevel="1">
      <c r="A724" s="1944" t="s">
        <v>1107</v>
      </c>
      <c r="B724" s="2207"/>
      <c r="C724" s="2207"/>
      <c r="D724" s="2207"/>
      <c r="E724" s="2207"/>
      <c r="F724" s="2207"/>
      <c r="G724" s="2207"/>
      <c r="H724" s="2207"/>
      <c r="I724" s="2207"/>
      <c r="J724" s="2207"/>
      <c r="K724" s="2207"/>
      <c r="L724" s="2207"/>
      <c r="M724" s="2207"/>
      <c r="N724" s="2207"/>
      <c r="O724" s="2207"/>
      <c r="P724" s="2207"/>
      <c r="Q724" s="2207"/>
      <c r="R724" s="2207"/>
      <c r="S724" s="2753"/>
      <c r="T724" s="2753"/>
      <c r="U724" s="2753"/>
      <c r="V724" s="2753"/>
      <c r="W724" s="2753"/>
      <c r="X724" s="2753"/>
      <c r="Y724" s="2753"/>
      <c r="Z724" s="2753"/>
      <c r="AA724" s="2754">
        <f>+Z724-5%</f>
        <v>-0.05</v>
      </c>
      <c r="AB724" s="2754">
        <f>+AA724-5%</f>
        <v>-0.1</v>
      </c>
      <c r="AC724" s="2754">
        <f t="shared" ref="AC724:AG724" si="2544">+AB724-5%</f>
        <v>-0.15000000000000002</v>
      </c>
      <c r="AD724" s="2754">
        <f t="shared" si="2544"/>
        <v>-0.2</v>
      </c>
      <c r="AE724" s="2754">
        <f t="shared" si="2544"/>
        <v>-0.25</v>
      </c>
      <c r="AF724" s="2754">
        <f t="shared" si="2544"/>
        <v>-0.3</v>
      </c>
      <c r="AG724" s="2754">
        <f t="shared" si="2544"/>
        <v>-0.35</v>
      </c>
      <c r="AI724" s="2213"/>
      <c r="AK724" s="2213"/>
      <c r="AL724" s="2213"/>
      <c r="AM724" s="2213"/>
      <c r="AN724" s="2213"/>
      <c r="AO724" s="2213"/>
      <c r="AP724" s="2213"/>
      <c r="AQ724" s="2213"/>
      <c r="AR724" s="2213"/>
      <c r="AS724" s="2213"/>
      <c r="AT724" s="2213"/>
      <c r="AU724" s="2213"/>
      <c r="AV724" s="2213"/>
      <c r="AW724" s="2213"/>
      <c r="AX724" s="2213"/>
      <c r="AY724" s="2213"/>
      <c r="AZ724" s="2213"/>
      <c r="BA724" s="2213"/>
      <c r="BB724" s="2213"/>
      <c r="BC724" s="2213"/>
      <c r="BD724" s="2213"/>
      <c r="BE724" s="2213"/>
      <c r="BF724" s="2213"/>
      <c r="BG724" s="2213"/>
      <c r="BH724" s="2213"/>
      <c r="BI724" s="2213"/>
      <c r="BJ724" s="2213"/>
      <c r="BK724" s="2213"/>
      <c r="BL724" s="2213"/>
      <c r="BM724" s="2213"/>
      <c r="BN724" s="2213"/>
      <c r="BO724" s="2213"/>
      <c r="BP724" s="2213"/>
      <c r="BQ724" s="2213"/>
      <c r="BR724" s="2213"/>
      <c r="BS724" s="2213"/>
      <c r="BT724" s="2213"/>
      <c r="BU724" s="2213"/>
      <c r="BV724" s="2213"/>
      <c r="BW724" s="2213"/>
      <c r="BX724" s="2213"/>
      <c r="BY724" s="2213"/>
      <c r="BZ724" s="2213"/>
      <c r="CA724" s="2213"/>
      <c r="CB724" s="2213"/>
      <c r="CC724" s="2213"/>
      <c r="CD724" s="2213"/>
      <c r="CE724" s="2213"/>
      <c r="CF724" s="2213"/>
      <c r="CG724" s="2213"/>
      <c r="CH724" s="2213"/>
      <c r="CI724" s="2213"/>
      <c r="CJ724" s="2213"/>
      <c r="CK724" s="2213"/>
      <c r="CL724" s="2212"/>
      <c r="CM724" s="2213"/>
      <c r="CN724" s="2213"/>
      <c r="CO724" s="2213"/>
      <c r="CP724" s="2212"/>
      <c r="CQ724" s="2213"/>
      <c r="CR724" s="2213"/>
      <c r="CS724" s="2213"/>
      <c r="CT724" s="2212"/>
      <c r="CU724" s="2213"/>
      <c r="CV724" s="2213"/>
      <c r="CW724" s="2587"/>
      <c r="CX724" s="2213"/>
      <c r="CY724" s="2213"/>
      <c r="CZ724" s="2213"/>
      <c r="DA724" s="2213"/>
      <c r="DB724" s="2212"/>
      <c r="DC724" s="2213"/>
      <c r="DD724" s="2213"/>
      <c r="DE724" s="2213"/>
      <c r="DF724" s="2213"/>
      <c r="DG724" s="2213"/>
      <c r="DH724" s="2213"/>
      <c r="DI724" s="2213"/>
      <c r="DJ724" s="2213"/>
      <c r="DK724" s="2213"/>
      <c r="DL724" s="2213"/>
      <c r="DM724" s="2213"/>
      <c r="DN724" s="2213"/>
      <c r="DO724" s="2213"/>
      <c r="DP724" s="2213"/>
      <c r="DQ724" s="2213"/>
      <c r="DR724" s="2213"/>
      <c r="DS724" s="2213"/>
      <c r="DT724" s="2213"/>
      <c r="DU724" s="2213"/>
      <c r="DV724" s="2213"/>
      <c r="DW724" s="2754">
        <f t="shared" ref="DW724:DY724" si="2545">+DW723+0.1</f>
        <v>0.35</v>
      </c>
      <c r="DX724" s="2754">
        <f t="shared" si="2545"/>
        <v>0.35</v>
      </c>
      <c r="DY724" s="2755">
        <f t="shared" si="2545"/>
        <v>0.35</v>
      </c>
    </row>
    <row r="725" spans="1:129" hidden="1" outlineLevel="1">
      <c r="A725" s="1944" t="s">
        <v>1109</v>
      </c>
      <c r="B725" s="2207"/>
      <c r="C725" s="2207"/>
      <c r="D725" s="2207"/>
      <c r="E725" s="2207"/>
      <c r="F725" s="2207"/>
      <c r="G725" s="2207"/>
      <c r="H725" s="2207"/>
      <c r="I725" s="2207"/>
      <c r="J725" s="2207"/>
      <c r="K725" s="2207"/>
      <c r="L725" s="2207"/>
      <c r="M725" s="2207"/>
      <c r="N725" s="2207"/>
      <c r="O725" s="2207"/>
      <c r="P725" s="2207"/>
      <c r="Q725" s="2207"/>
      <c r="R725" s="2207"/>
      <c r="S725" s="2753"/>
      <c r="T725" s="2753"/>
      <c r="U725" s="2753"/>
      <c r="V725" s="2753"/>
      <c r="W725" s="2753"/>
      <c r="X725" s="2753"/>
      <c r="Y725" s="2753"/>
      <c r="Z725" s="2753"/>
      <c r="AA725" s="2754">
        <f>+AA724</f>
        <v>-0.05</v>
      </c>
      <c r="AB725" s="2754">
        <f>+AB724</f>
        <v>-0.1</v>
      </c>
      <c r="AC725" s="2754">
        <f t="shared" ref="AC725:AG725" si="2546">+AC724</f>
        <v>-0.15000000000000002</v>
      </c>
      <c r="AD725" s="2754">
        <f t="shared" si="2546"/>
        <v>-0.2</v>
      </c>
      <c r="AE725" s="2754">
        <f t="shared" si="2546"/>
        <v>-0.25</v>
      </c>
      <c r="AF725" s="2754">
        <f t="shared" si="2546"/>
        <v>-0.3</v>
      </c>
      <c r="AG725" s="2754">
        <f t="shared" si="2546"/>
        <v>-0.35</v>
      </c>
      <c r="AI725" s="2213"/>
      <c r="AK725" s="2213"/>
      <c r="AL725" s="2213"/>
      <c r="AM725" s="2213"/>
      <c r="AN725" s="2213"/>
      <c r="AO725" s="2213"/>
      <c r="AP725" s="2213"/>
      <c r="AQ725" s="2213"/>
      <c r="AR725" s="2213"/>
      <c r="AS725" s="2213"/>
      <c r="AT725" s="2213"/>
      <c r="AU725" s="2213"/>
      <c r="AV725" s="2213"/>
      <c r="AW725" s="2213"/>
      <c r="AX725" s="2213"/>
      <c r="AY725" s="2213"/>
      <c r="AZ725" s="2213"/>
      <c r="BA725" s="2213"/>
      <c r="BB725" s="2213"/>
      <c r="BC725" s="2213"/>
      <c r="BD725" s="2213"/>
      <c r="BE725" s="2213"/>
      <c r="BF725" s="2213"/>
      <c r="BG725" s="2213"/>
      <c r="BH725" s="2213"/>
      <c r="BI725" s="2213"/>
      <c r="BJ725" s="2213"/>
      <c r="BK725" s="2213"/>
      <c r="BL725" s="2213"/>
      <c r="BM725" s="2213"/>
      <c r="BN725" s="2213"/>
      <c r="BO725" s="2213"/>
      <c r="BP725" s="2213"/>
      <c r="BQ725" s="2213"/>
      <c r="BR725" s="2213"/>
      <c r="BS725" s="2213"/>
      <c r="BT725" s="2213"/>
      <c r="BU725" s="2213"/>
      <c r="BV725" s="2213"/>
      <c r="BW725" s="2213"/>
      <c r="BX725" s="2213"/>
      <c r="BY725" s="2213"/>
      <c r="BZ725" s="2213"/>
      <c r="CA725" s="2213"/>
      <c r="CB725" s="2213"/>
      <c r="CC725" s="2213"/>
      <c r="CD725" s="2213"/>
      <c r="CE725" s="2213"/>
      <c r="CF725" s="2213"/>
      <c r="CG725" s="2213"/>
      <c r="CH725" s="2213"/>
      <c r="CI725" s="2213"/>
      <c r="CJ725" s="2213"/>
      <c r="CK725" s="2213"/>
      <c r="CL725" s="2212"/>
      <c r="CM725" s="2213"/>
      <c r="CN725" s="2213"/>
      <c r="CO725" s="2213"/>
      <c r="CP725" s="2212"/>
      <c r="CQ725" s="2213"/>
      <c r="CR725" s="2213"/>
      <c r="CS725" s="2213"/>
      <c r="CT725" s="2212"/>
      <c r="CU725" s="2213"/>
      <c r="CV725" s="2213"/>
      <c r="CW725" s="2587"/>
      <c r="CX725" s="2213"/>
      <c r="CY725" s="2213"/>
      <c r="CZ725" s="2213"/>
      <c r="DA725" s="2213"/>
      <c r="DB725" s="2212"/>
      <c r="DC725" s="2213"/>
      <c r="DD725" s="2213"/>
      <c r="DE725" s="2213"/>
      <c r="DF725" s="2213"/>
      <c r="DG725" s="2213"/>
      <c r="DH725" s="2213"/>
      <c r="DI725" s="2213"/>
      <c r="DJ725" s="2213"/>
      <c r="DK725" s="2213"/>
      <c r="DL725" s="2213"/>
      <c r="DM725" s="2213"/>
      <c r="DN725" s="2213"/>
      <c r="DO725" s="2213"/>
      <c r="DP725" s="2213"/>
      <c r="DQ725" s="2213"/>
      <c r="DR725" s="2213"/>
      <c r="DS725" s="2213"/>
      <c r="DT725" s="2213"/>
      <c r="DU725" s="2213"/>
      <c r="DV725" s="2213"/>
      <c r="DW725" s="2754">
        <f t="shared" ref="DW725:DY725" si="2547">+DW723-0.05</f>
        <v>0.2</v>
      </c>
      <c r="DX725" s="2754">
        <f t="shared" si="2547"/>
        <v>0.2</v>
      </c>
      <c r="DY725" s="2755">
        <f t="shared" si="2547"/>
        <v>0.2</v>
      </c>
    </row>
    <row r="726" spans="1:129" hidden="1" outlineLevel="1">
      <c r="A726" s="2756" t="s">
        <v>832</v>
      </c>
      <c r="R726" s="2307">
        <v>0</v>
      </c>
      <c r="S726" s="2746">
        <f>+SUM(CT726:CW726)</f>
        <v>8538.5</v>
      </c>
      <c r="T726" s="2746">
        <f>+SUM(CX726:DA726)</f>
        <v>11033</v>
      </c>
      <c r="U726" s="2746">
        <f>+SUM(DB726:DE726)</f>
        <v>12810.7</v>
      </c>
      <c r="V726" s="2746">
        <f>+SUM(DF726:DI726)</f>
        <v>18480</v>
      </c>
      <c r="W726" s="2746">
        <f>+SUM(DG726:DJ726)</f>
        <v>18480</v>
      </c>
      <c r="X726" s="2746">
        <f>+SUM(DH726:DK726)</f>
        <v>18480</v>
      </c>
      <c r="Y726" s="2746">
        <f>+SUM(DI726:DL726)</f>
        <v>18480</v>
      </c>
      <c r="Z726" s="2746">
        <f>+SUM(DJ726:DM726)</f>
        <v>18480</v>
      </c>
      <c r="AA726" s="2746">
        <f>+AA719-AA720</f>
        <v>0</v>
      </c>
      <c r="AB726" s="2746">
        <f>+AB719-AB720</f>
        <v>0</v>
      </c>
      <c r="AC726" s="2746">
        <f t="shared" ref="AC726:AG726" si="2548">+AC719-AC720</f>
        <v>0</v>
      </c>
      <c r="AD726" s="2746">
        <f t="shared" si="2548"/>
        <v>0</v>
      </c>
      <c r="AE726" s="2746">
        <f t="shared" si="2548"/>
        <v>0</v>
      </c>
      <c r="AF726" s="2746">
        <f t="shared" si="2548"/>
        <v>0</v>
      </c>
      <c r="AG726" s="2746">
        <f t="shared" si="2548"/>
        <v>0</v>
      </c>
      <c r="AI726" s="2207"/>
      <c r="CL726" s="1942"/>
      <c r="CP726" s="1942"/>
      <c r="CS726" s="1903">
        <v>0</v>
      </c>
      <c r="CT726" s="2758">
        <f t="shared" ref="CT726:DE726" si="2549">+CT719-CT720</f>
        <v>1716</v>
      </c>
      <c r="CU726" s="2746">
        <f t="shared" si="2549"/>
        <v>1782.5</v>
      </c>
      <c r="CV726" s="2746">
        <f t="shared" si="2549"/>
        <v>1600</v>
      </c>
      <c r="CW726" s="2757">
        <f t="shared" si="2549"/>
        <v>3440</v>
      </c>
      <c r="CX726" s="2746">
        <f t="shared" si="2549"/>
        <v>2560</v>
      </c>
      <c r="CY726" s="2746">
        <f t="shared" si="2549"/>
        <v>2025</v>
      </c>
      <c r="CZ726" s="2746">
        <f t="shared" si="2549"/>
        <v>2108</v>
      </c>
      <c r="DA726" s="2746">
        <f t="shared" si="2549"/>
        <v>4340</v>
      </c>
      <c r="DB726" s="2758">
        <f t="shared" si="2549"/>
        <v>2800</v>
      </c>
      <c r="DC726" s="2746">
        <f t="shared" si="2549"/>
        <v>2677.5</v>
      </c>
      <c r="DD726" s="2746">
        <f t="shared" si="2549"/>
        <v>2713.2</v>
      </c>
      <c r="DE726" s="2746">
        <f t="shared" si="2549"/>
        <v>4620</v>
      </c>
      <c r="DF726" s="2746">
        <f>+DF719-DF720</f>
        <v>4620</v>
      </c>
      <c r="DG726" s="2746">
        <f>+DG719-DG720</f>
        <v>4620</v>
      </c>
      <c r="DH726" s="2746">
        <f>+DH719-DH720</f>
        <v>4620</v>
      </c>
      <c r="DI726" s="2746">
        <f>+DI719-DI720</f>
        <v>4620</v>
      </c>
      <c r="DJ726" s="2746">
        <f t="shared" ref="DJ726:DM726" si="2550">+DJ719-DJ720</f>
        <v>4620</v>
      </c>
      <c r="DK726" s="2746">
        <f t="shared" si="2550"/>
        <v>4620</v>
      </c>
      <c r="DL726" s="2746">
        <f t="shared" si="2550"/>
        <v>4620</v>
      </c>
      <c r="DM726" s="2746">
        <f t="shared" si="2550"/>
        <v>4620</v>
      </c>
      <c r="DN726" s="2746">
        <f t="shared" ref="DN726:DO726" si="2551">+DN719-DN720</f>
        <v>4620</v>
      </c>
      <c r="DO726" s="2746">
        <f t="shared" si="2551"/>
        <v>4620</v>
      </c>
      <c r="DP726" s="2746">
        <f t="shared" ref="DP726:DQ726" si="2552">+DP719-DP720</f>
        <v>4620</v>
      </c>
      <c r="DQ726" s="2746">
        <f t="shared" si="2552"/>
        <v>4620</v>
      </c>
      <c r="DR726" s="2746">
        <f t="shared" ref="DR726" si="2553">+DR719-DR720</f>
        <v>4620</v>
      </c>
      <c r="DS726" s="2746">
        <f t="shared" ref="DS726:DT726" si="2554">+DS719-DS720</f>
        <v>4620</v>
      </c>
      <c r="DT726" s="2746">
        <f t="shared" si="2554"/>
        <v>4620</v>
      </c>
      <c r="DU726" s="2746">
        <f t="shared" ref="DU726" si="2555">+DU719-DU720</f>
        <v>4620</v>
      </c>
      <c r="DV726" s="2746">
        <f t="shared" ref="DV726" si="2556">+DV719-DV720</f>
        <v>4620</v>
      </c>
      <c r="DW726" s="2746">
        <f t="shared" ref="DW726:DY726" si="2557">+DW719-DW720</f>
        <v>0</v>
      </c>
      <c r="DX726" s="2746">
        <f t="shared" si="2557"/>
        <v>0</v>
      </c>
      <c r="DY726" s="2757">
        <f t="shared" si="2557"/>
        <v>0</v>
      </c>
    </row>
    <row r="727" spans="1:129" hidden="1" outlineLevel="1">
      <c r="A727" s="2759" t="s">
        <v>162</v>
      </c>
      <c r="R727" s="2307"/>
      <c r="S727" s="2746">
        <f t="shared" ref="S727:AB727" si="2558">+AVERAGE(R726:S726)</f>
        <v>4269.25</v>
      </c>
      <c r="T727" s="2746">
        <f t="shared" si="2558"/>
        <v>9785.75</v>
      </c>
      <c r="U727" s="2746">
        <f t="shared" si="2558"/>
        <v>11921.85</v>
      </c>
      <c r="V727" s="2746">
        <f t="shared" si="2558"/>
        <v>15645.35</v>
      </c>
      <c r="W727" s="2746">
        <f t="shared" si="2558"/>
        <v>18480</v>
      </c>
      <c r="X727" s="2746">
        <f t="shared" si="2558"/>
        <v>18480</v>
      </c>
      <c r="Y727" s="2746">
        <f t="shared" si="2558"/>
        <v>18480</v>
      </c>
      <c r="Z727" s="2746">
        <f t="shared" si="2558"/>
        <v>18480</v>
      </c>
      <c r="AA727" s="2746">
        <f t="shared" si="2558"/>
        <v>9240</v>
      </c>
      <c r="AB727" s="2746">
        <f t="shared" si="2558"/>
        <v>0</v>
      </c>
      <c r="AC727" s="2746">
        <f t="shared" ref="AC727" si="2559">+AVERAGE(AB726:AC726)</f>
        <v>0</v>
      </c>
      <c r="AD727" s="2746">
        <f t="shared" ref="AD727" si="2560">+AVERAGE(AC726:AD726)</f>
        <v>0</v>
      </c>
      <c r="AE727" s="2746">
        <f t="shared" ref="AE727" si="2561">+AVERAGE(AD726:AE726)</f>
        <v>0</v>
      </c>
      <c r="AF727" s="2746">
        <f t="shared" ref="AF727" si="2562">+AVERAGE(AE726:AF726)</f>
        <v>0</v>
      </c>
      <c r="AG727" s="2746">
        <f t="shared" ref="AG727" si="2563">+AVERAGE(AF726:AG726)</f>
        <v>0</v>
      </c>
      <c r="AI727" s="2207"/>
      <c r="CL727" s="1942"/>
      <c r="CP727" s="1942"/>
      <c r="CT727" s="2758">
        <f t="shared" ref="CT727:DV727" si="2564">+AVERAGE(CS726:CT726)</f>
        <v>858</v>
      </c>
      <c r="CU727" s="2746">
        <f t="shared" si="2564"/>
        <v>1749.25</v>
      </c>
      <c r="CV727" s="2746">
        <f t="shared" si="2564"/>
        <v>1691.25</v>
      </c>
      <c r="CW727" s="2757">
        <f t="shared" si="2564"/>
        <v>2520</v>
      </c>
      <c r="CX727" s="2746">
        <f t="shared" si="2564"/>
        <v>3000</v>
      </c>
      <c r="CY727" s="2746">
        <f t="shared" si="2564"/>
        <v>2292.5</v>
      </c>
      <c r="CZ727" s="2746">
        <f t="shared" si="2564"/>
        <v>2066.5</v>
      </c>
      <c r="DA727" s="2746">
        <f t="shared" si="2564"/>
        <v>3224</v>
      </c>
      <c r="DB727" s="2758">
        <f t="shared" si="2564"/>
        <v>3570</v>
      </c>
      <c r="DC727" s="2746">
        <f t="shared" si="2564"/>
        <v>2738.75</v>
      </c>
      <c r="DD727" s="2746">
        <f t="shared" si="2564"/>
        <v>2695.35</v>
      </c>
      <c r="DE727" s="2746">
        <f t="shared" si="2564"/>
        <v>3666.6</v>
      </c>
      <c r="DF727" s="2746">
        <f t="shared" si="2564"/>
        <v>4620</v>
      </c>
      <c r="DG727" s="2746">
        <f t="shared" si="2564"/>
        <v>4620</v>
      </c>
      <c r="DH727" s="2746">
        <f t="shared" si="2564"/>
        <v>4620</v>
      </c>
      <c r="DI727" s="2746">
        <f t="shared" si="2564"/>
        <v>4620</v>
      </c>
      <c r="DJ727" s="2746">
        <f t="shared" si="2564"/>
        <v>4620</v>
      </c>
      <c r="DK727" s="2746">
        <f t="shared" si="2564"/>
        <v>4620</v>
      </c>
      <c r="DL727" s="2746">
        <f t="shared" si="2564"/>
        <v>4620</v>
      </c>
      <c r="DM727" s="2746">
        <f t="shared" si="2564"/>
        <v>4620</v>
      </c>
      <c r="DN727" s="2746">
        <f t="shared" si="2564"/>
        <v>4620</v>
      </c>
      <c r="DO727" s="2746">
        <f t="shared" si="2564"/>
        <v>4620</v>
      </c>
      <c r="DP727" s="2746">
        <f t="shared" si="2564"/>
        <v>4620</v>
      </c>
      <c r="DQ727" s="2746">
        <f t="shared" si="2564"/>
        <v>4620</v>
      </c>
      <c r="DR727" s="2746">
        <f t="shared" si="2564"/>
        <v>4620</v>
      </c>
      <c r="DS727" s="2746">
        <f t="shared" si="2564"/>
        <v>4620</v>
      </c>
      <c r="DT727" s="2746">
        <f t="shared" si="2564"/>
        <v>4620</v>
      </c>
      <c r="DU727" s="2746">
        <f t="shared" si="2564"/>
        <v>4620</v>
      </c>
      <c r="DV727" s="2746">
        <f t="shared" si="2564"/>
        <v>4620</v>
      </c>
      <c r="DW727" s="2746">
        <f t="shared" ref="DW727" si="2565">+AVERAGE(DV726:DW726)</f>
        <v>2310</v>
      </c>
      <c r="DX727" s="2746">
        <f t="shared" ref="DX727" si="2566">+AVERAGE(DW726:DX726)</f>
        <v>0</v>
      </c>
      <c r="DY727" s="2757">
        <f t="shared" ref="DY727" si="2567">+AVERAGE(DX726:DY726)</f>
        <v>0</v>
      </c>
    </row>
    <row r="728" spans="1:129" hidden="1" outlineLevel="1">
      <c r="A728" s="2763" t="s">
        <v>163</v>
      </c>
      <c r="S728" s="2746">
        <f t="shared" ref="S728:V728" si="2568">+S726*S730</f>
        <v>8538.5</v>
      </c>
      <c r="T728" s="2746">
        <f t="shared" si="2568"/>
        <v>11033</v>
      </c>
      <c r="U728" s="2746">
        <f t="shared" si="2568"/>
        <v>12810.7</v>
      </c>
      <c r="V728" s="2746">
        <f t="shared" si="2568"/>
        <v>18480</v>
      </c>
      <c r="W728" s="2746">
        <f t="shared" ref="W728:AB728" si="2569">+W726*W730</f>
        <v>18480</v>
      </c>
      <c r="X728" s="2746">
        <f t="shared" si="2569"/>
        <v>18480</v>
      </c>
      <c r="Y728" s="2746">
        <f t="shared" si="2569"/>
        <v>18480</v>
      </c>
      <c r="Z728" s="2746">
        <f t="shared" si="2569"/>
        <v>18480</v>
      </c>
      <c r="AA728" s="2746">
        <f t="shared" si="2569"/>
        <v>0</v>
      </c>
      <c r="AB728" s="2746">
        <f t="shared" si="2569"/>
        <v>0</v>
      </c>
      <c r="AC728" s="2746">
        <f t="shared" ref="AC728:AG728" si="2570">+AC726*AC730</f>
        <v>0</v>
      </c>
      <c r="AD728" s="2746">
        <f t="shared" si="2570"/>
        <v>0</v>
      </c>
      <c r="AE728" s="2746">
        <f t="shared" si="2570"/>
        <v>0</v>
      </c>
      <c r="AF728" s="2746">
        <f t="shared" si="2570"/>
        <v>0</v>
      </c>
      <c r="AG728" s="2746">
        <f t="shared" si="2570"/>
        <v>0</v>
      </c>
      <c r="AI728" s="2207"/>
      <c r="CL728" s="1942"/>
      <c r="CP728" s="1942"/>
      <c r="CT728" s="2758">
        <f t="shared" ref="CT728:DE728" si="2571">+CT726*CT730</f>
        <v>1716</v>
      </c>
      <c r="CU728" s="2746">
        <f t="shared" si="2571"/>
        <v>1782.5</v>
      </c>
      <c r="CV728" s="2746">
        <f t="shared" si="2571"/>
        <v>1600</v>
      </c>
      <c r="CW728" s="2757">
        <f t="shared" si="2571"/>
        <v>3440</v>
      </c>
      <c r="CX728" s="2746">
        <f t="shared" si="2571"/>
        <v>2560</v>
      </c>
      <c r="CY728" s="2746">
        <f t="shared" si="2571"/>
        <v>2025</v>
      </c>
      <c r="CZ728" s="2746">
        <f t="shared" si="2571"/>
        <v>2108</v>
      </c>
      <c r="DA728" s="2746">
        <f t="shared" si="2571"/>
        <v>4340</v>
      </c>
      <c r="DB728" s="2758">
        <f t="shared" si="2571"/>
        <v>2800</v>
      </c>
      <c r="DC728" s="2746">
        <f t="shared" si="2571"/>
        <v>2677.5</v>
      </c>
      <c r="DD728" s="2746">
        <f t="shared" si="2571"/>
        <v>2713.2</v>
      </c>
      <c r="DE728" s="2746">
        <f t="shared" si="2571"/>
        <v>4620</v>
      </c>
      <c r="DF728" s="2746">
        <f>+DF726*DF730</f>
        <v>4620</v>
      </c>
      <c r="DG728" s="2746">
        <f>+DG726*DG730</f>
        <v>4620</v>
      </c>
      <c r="DH728" s="2746">
        <f>+DH726*DH730</f>
        <v>4620</v>
      </c>
      <c r="DI728" s="2746">
        <f>+DI726*DI730</f>
        <v>4620</v>
      </c>
      <c r="DJ728" s="2746">
        <f t="shared" ref="DJ728:DM728" si="2572">+DJ726*DJ730</f>
        <v>4620</v>
      </c>
      <c r="DK728" s="2746">
        <f t="shared" si="2572"/>
        <v>4620</v>
      </c>
      <c r="DL728" s="2746">
        <f t="shared" si="2572"/>
        <v>4620</v>
      </c>
      <c r="DM728" s="2746">
        <f t="shared" si="2572"/>
        <v>4620</v>
      </c>
      <c r="DN728" s="2746">
        <f t="shared" ref="DN728:DO728" si="2573">+DN726*DN730</f>
        <v>4620</v>
      </c>
      <c r="DO728" s="2746">
        <f t="shared" si="2573"/>
        <v>4620</v>
      </c>
      <c r="DP728" s="2746">
        <f t="shared" ref="DP728:DQ728" si="2574">+DP726*DP730</f>
        <v>4620</v>
      </c>
      <c r="DQ728" s="2746">
        <f t="shared" si="2574"/>
        <v>4620</v>
      </c>
      <c r="DR728" s="2746">
        <f t="shared" ref="DR728" si="2575">+DR726*DR730</f>
        <v>4620</v>
      </c>
      <c r="DS728" s="2746">
        <f t="shared" ref="DS728:DT728" si="2576">+DS726*DS730</f>
        <v>4620</v>
      </c>
      <c r="DT728" s="2746">
        <f t="shared" si="2576"/>
        <v>4620</v>
      </c>
      <c r="DU728" s="2746">
        <f t="shared" ref="DU728" si="2577">+DU726*DU730</f>
        <v>4620</v>
      </c>
      <c r="DV728" s="2746">
        <f t="shared" ref="DV728" si="2578">+DV726*DV730</f>
        <v>4620</v>
      </c>
      <c r="DW728" s="2746">
        <f t="shared" ref="DW728:DY728" si="2579">+DW726*DW730</f>
        <v>0</v>
      </c>
      <c r="DX728" s="2746">
        <f t="shared" si="2579"/>
        <v>0</v>
      </c>
      <c r="DY728" s="2757">
        <f t="shared" si="2579"/>
        <v>0</v>
      </c>
    </row>
    <row r="729" spans="1:129" hidden="1" outlineLevel="1">
      <c r="A729" s="2752" t="s">
        <v>164</v>
      </c>
      <c r="B729" s="2207"/>
      <c r="C729" s="2207"/>
      <c r="D729" s="2207"/>
      <c r="E729" s="2207"/>
      <c r="F729" s="2207"/>
      <c r="G729" s="2207"/>
      <c r="H729" s="2207"/>
      <c r="I729" s="2207"/>
      <c r="J729" s="2207"/>
      <c r="K729" s="2207"/>
      <c r="L729" s="2207"/>
      <c r="M729" s="2207"/>
      <c r="N729" s="2207"/>
      <c r="O729" s="2207"/>
      <c r="P729" s="2207"/>
      <c r="Q729" s="2207"/>
      <c r="R729" s="2207"/>
      <c r="S729" s="2752">
        <f t="shared" ref="S729:V729" si="2580">1-S722</f>
        <v>0.78875000000000006</v>
      </c>
      <c r="T729" s="2752">
        <f t="shared" si="2580"/>
        <v>0.73249999999999993</v>
      </c>
      <c r="U729" s="2752">
        <f t="shared" si="2580"/>
        <v>0.7</v>
      </c>
      <c r="V729" s="2752">
        <f t="shared" si="2580"/>
        <v>0.7</v>
      </c>
      <c r="W729" s="2752">
        <f t="shared" ref="W729:AB729" si="2581">1-W722</f>
        <v>0.7</v>
      </c>
      <c r="X729" s="2752">
        <f t="shared" si="2581"/>
        <v>0.7</v>
      </c>
      <c r="Y729" s="2752">
        <f t="shared" si="2581"/>
        <v>0.7</v>
      </c>
      <c r="Z729" s="2752">
        <f t="shared" si="2581"/>
        <v>0.7</v>
      </c>
      <c r="AA729" s="2752">
        <f t="shared" si="2581"/>
        <v>0.9</v>
      </c>
      <c r="AB729" s="2752">
        <f t="shared" si="2581"/>
        <v>0.9</v>
      </c>
      <c r="AC729" s="2752">
        <f t="shared" ref="AC729:AG729" si="2582">1-AC722</f>
        <v>0.9</v>
      </c>
      <c r="AD729" s="2752">
        <f t="shared" si="2582"/>
        <v>0.9</v>
      </c>
      <c r="AE729" s="2752">
        <f t="shared" si="2582"/>
        <v>0.9</v>
      </c>
      <c r="AF729" s="2752">
        <f t="shared" si="2582"/>
        <v>0.9</v>
      </c>
      <c r="AG729" s="2752">
        <f t="shared" si="2582"/>
        <v>0.9</v>
      </c>
      <c r="AI729" s="2207"/>
      <c r="AK729" s="2207"/>
      <c r="AL729" s="2207"/>
      <c r="AM729" s="2207"/>
      <c r="AN729" s="2207"/>
      <c r="AO729" s="2207"/>
      <c r="AP729" s="2207"/>
      <c r="AQ729" s="2207"/>
      <c r="AR729" s="2207"/>
      <c r="AS729" s="2207"/>
      <c r="AT729" s="2207"/>
      <c r="AU729" s="2207"/>
      <c r="AV729" s="2207"/>
      <c r="AW729" s="2207"/>
      <c r="AX729" s="2207"/>
      <c r="AY729" s="2207"/>
      <c r="AZ729" s="2207"/>
      <c r="BA729" s="2207"/>
      <c r="BB729" s="2207"/>
      <c r="BC729" s="2207"/>
      <c r="BD729" s="2207"/>
      <c r="BE729" s="2207"/>
      <c r="BF729" s="2207"/>
      <c r="BG729" s="2207"/>
      <c r="BH729" s="2207"/>
      <c r="BI729" s="2207"/>
      <c r="BJ729" s="2207"/>
      <c r="BK729" s="2207"/>
      <c r="BL729" s="2207"/>
      <c r="BM729" s="2207"/>
      <c r="BN729" s="2207"/>
      <c r="BO729" s="2207"/>
      <c r="BP729" s="2207"/>
      <c r="BQ729" s="2207"/>
      <c r="BR729" s="2207"/>
      <c r="BS729" s="2207"/>
      <c r="BT729" s="2207"/>
      <c r="BU729" s="2207"/>
      <c r="BV729" s="2207"/>
      <c r="BW729" s="2207"/>
      <c r="BX729" s="2207"/>
      <c r="BY729" s="2207"/>
      <c r="BZ729" s="2207"/>
      <c r="CA729" s="2207"/>
      <c r="CB729" s="2207"/>
      <c r="CC729" s="2207"/>
      <c r="CD729" s="2207"/>
      <c r="CE729" s="2207"/>
      <c r="CF729" s="2207"/>
      <c r="CG729" s="2207"/>
      <c r="CH729" s="2207"/>
      <c r="CI729" s="2207"/>
      <c r="CJ729" s="2207"/>
      <c r="CK729" s="2207"/>
      <c r="CL729" s="2208"/>
      <c r="CM729" s="2207"/>
      <c r="CN729" s="2207"/>
      <c r="CO729" s="2207"/>
      <c r="CP729" s="2208"/>
      <c r="CQ729" s="2207"/>
      <c r="CR729" s="2207"/>
      <c r="CS729" s="2207"/>
      <c r="CT729" s="2764">
        <f t="shared" ref="CT729:DE729" si="2583">1-CT722</f>
        <v>0.78</v>
      </c>
      <c r="CU729" s="2752">
        <f t="shared" si="2583"/>
        <v>0.77500000000000002</v>
      </c>
      <c r="CV729" s="2752">
        <f t="shared" si="2583"/>
        <v>0.8</v>
      </c>
      <c r="CW729" s="2765">
        <f t="shared" si="2583"/>
        <v>0.8</v>
      </c>
      <c r="CX729" s="2752">
        <f t="shared" si="2583"/>
        <v>0.8</v>
      </c>
      <c r="CY729" s="2752">
        <f t="shared" si="2583"/>
        <v>0.75</v>
      </c>
      <c r="CZ729" s="2752">
        <f t="shared" si="2583"/>
        <v>0.67999999999999994</v>
      </c>
      <c r="DA729" s="2752">
        <f t="shared" si="2583"/>
        <v>0.7</v>
      </c>
      <c r="DB729" s="2764">
        <f t="shared" si="2583"/>
        <v>0.7</v>
      </c>
      <c r="DC729" s="2752">
        <f t="shared" si="2583"/>
        <v>0.7</v>
      </c>
      <c r="DD729" s="2752">
        <f t="shared" si="2583"/>
        <v>0.7</v>
      </c>
      <c r="DE729" s="2752">
        <f t="shared" si="2583"/>
        <v>0.7</v>
      </c>
      <c r="DF729" s="2752">
        <f>1-DF722</f>
        <v>0.7</v>
      </c>
      <c r="DG729" s="2752">
        <f>1-DG722</f>
        <v>0.7</v>
      </c>
      <c r="DH729" s="2752">
        <f>1-DH722</f>
        <v>0.7</v>
      </c>
      <c r="DI729" s="2752">
        <f>1-DI722</f>
        <v>0.7</v>
      </c>
      <c r="DJ729" s="2752">
        <f t="shared" ref="DJ729:DM729" si="2584">1-DJ722</f>
        <v>0.7</v>
      </c>
      <c r="DK729" s="2752">
        <f t="shared" si="2584"/>
        <v>0.7</v>
      </c>
      <c r="DL729" s="2752">
        <f t="shared" si="2584"/>
        <v>0.7</v>
      </c>
      <c r="DM729" s="2752">
        <f t="shared" si="2584"/>
        <v>0.7</v>
      </c>
      <c r="DN729" s="2752">
        <f t="shared" ref="DN729:DO729" si="2585">1-DN722</f>
        <v>0.7</v>
      </c>
      <c r="DO729" s="2752">
        <f t="shared" si="2585"/>
        <v>0.7</v>
      </c>
      <c r="DP729" s="2752">
        <f t="shared" ref="DP729:DQ729" si="2586">1-DP722</f>
        <v>0.7</v>
      </c>
      <c r="DQ729" s="2752">
        <f t="shared" si="2586"/>
        <v>0.7</v>
      </c>
      <c r="DR729" s="2752">
        <f t="shared" ref="DR729" si="2587">1-DR722</f>
        <v>0.7</v>
      </c>
      <c r="DS729" s="2752">
        <f t="shared" ref="DS729:DT729" si="2588">1-DS722</f>
        <v>0.7</v>
      </c>
      <c r="DT729" s="2752">
        <f t="shared" si="2588"/>
        <v>0.7</v>
      </c>
      <c r="DU729" s="2752">
        <f t="shared" ref="DU729" si="2589">1-DU722</f>
        <v>0.7</v>
      </c>
      <c r="DV729" s="2752">
        <f t="shared" ref="DV729" si="2590">1-DV722</f>
        <v>0.7</v>
      </c>
      <c r="DW729" s="2752">
        <f t="shared" ref="DW729:DY729" si="2591">1-DW722</f>
        <v>0.75</v>
      </c>
      <c r="DX729" s="2752">
        <f t="shared" si="2591"/>
        <v>0.75</v>
      </c>
      <c r="DY729" s="2765">
        <f t="shared" si="2591"/>
        <v>0.75</v>
      </c>
    </row>
    <row r="730" spans="1:129" hidden="1" outlineLevel="1">
      <c r="A730" s="2766" t="s">
        <v>165</v>
      </c>
      <c r="B730" s="2766"/>
      <c r="C730" s="2766"/>
      <c r="D730" s="2766"/>
      <c r="E730" s="2207"/>
      <c r="F730" s="2207"/>
      <c r="G730" s="2207"/>
      <c r="H730" s="2207"/>
      <c r="I730" s="2207"/>
      <c r="J730" s="2207"/>
      <c r="K730" s="2207"/>
      <c r="L730" s="2207"/>
      <c r="M730" s="2207"/>
      <c r="N730" s="2207"/>
      <c r="O730" s="2207"/>
      <c r="P730" s="2207"/>
      <c r="Q730" s="2207"/>
      <c r="R730" s="2207"/>
      <c r="S730" s="2767">
        <f>+AVERAGE(CT730:CW730)</f>
        <v>1</v>
      </c>
      <c r="T730" s="2767">
        <f>+AVERAGE(CX730:DA730)</f>
        <v>1</v>
      </c>
      <c r="U730" s="2767">
        <f>+AVERAGE(DB730:DE730)</f>
        <v>1</v>
      </c>
      <c r="V730" s="2767">
        <f>+AVERAGE(DF730:DI730)</f>
        <v>1</v>
      </c>
      <c r="W730" s="2767">
        <f>+AVERAGE(DG730:DJ730)</f>
        <v>1</v>
      </c>
      <c r="X730" s="2767">
        <f>+AVERAGE(DH730:DK730)</f>
        <v>1</v>
      </c>
      <c r="Y730" s="2767">
        <f>+AVERAGE(DI730:DL730)</f>
        <v>1</v>
      </c>
      <c r="Z730" s="2767">
        <f>+AVERAGE(DJ730:DM730)</f>
        <v>1</v>
      </c>
      <c r="AA730" s="2767">
        <v>0.5</v>
      </c>
      <c r="AB730" s="2767">
        <v>0.5</v>
      </c>
      <c r="AC730" s="2767">
        <v>0.5</v>
      </c>
      <c r="AD730" s="2767">
        <v>0.5</v>
      </c>
      <c r="AE730" s="2767">
        <v>0.5</v>
      </c>
      <c r="AF730" s="2767">
        <v>0.5</v>
      </c>
      <c r="AG730" s="2767">
        <v>0.5</v>
      </c>
      <c r="AI730" s="2207"/>
      <c r="AK730" s="2207"/>
      <c r="AL730" s="2207"/>
      <c r="AM730" s="2207"/>
      <c r="AN730" s="2207"/>
      <c r="AO730" s="2207"/>
      <c r="AP730" s="2207"/>
      <c r="AQ730" s="2207"/>
      <c r="AR730" s="2207"/>
      <c r="AS730" s="2207"/>
      <c r="AT730" s="2207"/>
      <c r="AU730" s="2207"/>
      <c r="AV730" s="2207"/>
      <c r="AW730" s="2207"/>
      <c r="AX730" s="2207"/>
      <c r="AY730" s="2207"/>
      <c r="AZ730" s="2207"/>
      <c r="BA730" s="2207"/>
      <c r="BB730" s="2207"/>
      <c r="BC730" s="2207"/>
      <c r="BD730" s="2207"/>
      <c r="BE730" s="2207"/>
      <c r="BF730" s="2207"/>
      <c r="BG730" s="2207"/>
      <c r="BH730" s="2207"/>
      <c r="BI730" s="2207"/>
      <c r="BJ730" s="2207"/>
      <c r="BK730" s="2207"/>
      <c r="BL730" s="2207"/>
      <c r="BM730" s="2207"/>
      <c r="BN730" s="2207"/>
      <c r="BO730" s="2207"/>
      <c r="BP730" s="2207"/>
      <c r="BQ730" s="2207"/>
      <c r="BR730" s="2207"/>
      <c r="BS730" s="2207"/>
      <c r="BT730" s="2207"/>
      <c r="BU730" s="2207"/>
      <c r="BV730" s="2207"/>
      <c r="BW730" s="2207"/>
      <c r="BX730" s="2207"/>
      <c r="BY730" s="2207"/>
      <c r="BZ730" s="2207"/>
      <c r="CA730" s="2207"/>
      <c r="CB730" s="2207"/>
      <c r="CC730" s="2207"/>
      <c r="CD730" s="2207"/>
      <c r="CE730" s="2207"/>
      <c r="CF730" s="2207"/>
      <c r="CG730" s="2207"/>
      <c r="CH730" s="2207"/>
      <c r="CI730" s="2207"/>
      <c r="CJ730" s="2207"/>
      <c r="CK730" s="2207"/>
      <c r="CL730" s="2208"/>
      <c r="CM730" s="2207"/>
      <c r="CN730" s="2207"/>
      <c r="CO730" s="2207"/>
      <c r="CP730" s="2208"/>
      <c r="CQ730" s="2207"/>
      <c r="CR730" s="2207"/>
      <c r="CS730" s="2207"/>
      <c r="CT730" s="2768">
        <v>1</v>
      </c>
      <c r="CU730" s="2767">
        <v>1</v>
      </c>
      <c r="CV730" s="2767">
        <v>1</v>
      </c>
      <c r="CW730" s="2769">
        <v>1</v>
      </c>
      <c r="CX730" s="2767">
        <v>1</v>
      </c>
      <c r="CY730" s="2767">
        <v>1</v>
      </c>
      <c r="CZ730" s="2767">
        <v>1</v>
      </c>
      <c r="DA730" s="2767">
        <v>1</v>
      </c>
      <c r="DB730" s="2768">
        <v>1</v>
      </c>
      <c r="DC730" s="2767">
        <v>1</v>
      </c>
      <c r="DD730" s="2767">
        <v>1</v>
      </c>
      <c r="DE730" s="2767">
        <v>1</v>
      </c>
      <c r="DF730" s="2767">
        <v>1</v>
      </c>
      <c r="DG730" s="2767">
        <v>1</v>
      </c>
      <c r="DH730" s="2767">
        <v>1</v>
      </c>
      <c r="DI730" s="2767">
        <v>1</v>
      </c>
      <c r="DJ730" s="2767">
        <v>1</v>
      </c>
      <c r="DK730" s="2767">
        <v>1</v>
      </c>
      <c r="DL730" s="2767">
        <v>1</v>
      </c>
      <c r="DM730" s="2767">
        <v>1</v>
      </c>
      <c r="DN730" s="2767">
        <v>1</v>
      </c>
      <c r="DO730" s="2767">
        <v>1</v>
      </c>
      <c r="DP730" s="2767">
        <v>1</v>
      </c>
      <c r="DQ730" s="2767">
        <v>1</v>
      </c>
      <c r="DR730" s="2767">
        <v>1</v>
      </c>
      <c r="DS730" s="2767">
        <v>1</v>
      </c>
      <c r="DT730" s="2767">
        <v>1</v>
      </c>
      <c r="DU730" s="2767">
        <v>1</v>
      </c>
      <c r="DV730" s="2767">
        <v>1</v>
      </c>
      <c r="DW730" s="2767">
        <v>0.8</v>
      </c>
      <c r="DX730" s="2767">
        <v>0.8</v>
      </c>
      <c r="DY730" s="2769">
        <v>0.8</v>
      </c>
    </row>
    <row r="731" spans="1:129" hidden="1" outlineLevel="1">
      <c r="A731" s="2756" t="s">
        <v>1496</v>
      </c>
      <c r="S731" s="2746">
        <f t="shared" ref="S731:AB731" ca="1" si="2592">+AVERAGE(R733:S733)*S732*3</f>
        <v>32.303090727816553</v>
      </c>
      <c r="T731" s="2746">
        <f t="shared" ca="1" si="2592"/>
        <v>164.56871297506186</v>
      </c>
      <c r="U731" s="2746">
        <f t="shared" ca="1" si="2592"/>
        <v>313.17337358553925</v>
      </c>
      <c r="V731" s="2746">
        <f t="shared" ca="1" si="2592"/>
        <v>510.62079980528051</v>
      </c>
      <c r="W731" s="2746">
        <f t="shared" ca="1" si="2592"/>
        <v>742.58138995137563</v>
      </c>
      <c r="X731" s="2746">
        <f t="shared" ca="1" si="2592"/>
        <v>972.46368710462366</v>
      </c>
      <c r="Y731" s="2746">
        <f t="shared" ca="1" si="2592"/>
        <v>1200.2863121081659</v>
      </c>
      <c r="Z731" s="2746">
        <f t="shared" ca="1" si="2592"/>
        <v>1426.067718968322</v>
      </c>
      <c r="AA731" s="2746">
        <f t="shared" ca="1" si="2592"/>
        <v>2544.9965495996103</v>
      </c>
      <c r="AB731" s="2746">
        <f t="shared" ca="1" si="2592"/>
        <v>2507.1057821117752</v>
      </c>
      <c r="AC731" s="2746">
        <f t="shared" ref="AC731" ca="1" si="2593">+AVERAGE(AB733:AC733)*AC732*3</f>
        <v>2469.7791451572575</v>
      </c>
      <c r="AD731" s="2746">
        <f t="shared" ref="AD731" ca="1" si="2594">+AVERAGE(AC733:AD733)*AD732*3</f>
        <v>2433.0082397703004</v>
      </c>
      <c r="AE731" s="2746">
        <f t="shared" ref="AE731" ca="1" si="2595">+AVERAGE(AD733:AE733)*AE732*3</f>
        <v>2396.7847920317845</v>
      </c>
      <c r="AF731" s="2746">
        <f t="shared" ref="AF731" ca="1" si="2596">+AVERAGE(AE733:AF733)*AF732*3</f>
        <v>2361.10065120749</v>
      </c>
      <c r="AG731" s="2746">
        <f t="shared" ref="AG731" ca="1" si="2597">+AVERAGE(AF733:AG733)*AG732*3</f>
        <v>2325.9477879140786</v>
      </c>
      <c r="AI731" s="2207"/>
      <c r="CL731" s="1942"/>
      <c r="CP731" s="1942"/>
      <c r="CT731" s="2758">
        <f t="shared" ref="CT731:DV731" ca="1" si="2598">+AVERAGE(CS733:CT733)*CT732*3</f>
        <v>0</v>
      </c>
      <c r="CU731" s="2746">
        <f t="shared" ca="1" si="2598"/>
        <v>10.034947578632051</v>
      </c>
      <c r="CV731" s="2746">
        <f t="shared" ca="1" si="2598"/>
        <v>16.445227316289667</v>
      </c>
      <c r="CW731" s="2757">
        <f t="shared" ca="1" si="2598"/>
        <v>25.831811757678718</v>
      </c>
      <c r="CX731" s="2746">
        <f t="shared" ca="1" si="2598"/>
        <v>36.987582666043139</v>
      </c>
      <c r="CY731" s="2746">
        <f t="shared" ca="1" si="2598"/>
        <v>45.713530995550748</v>
      </c>
      <c r="CZ731" s="2746">
        <f t="shared" ca="1" si="2598"/>
        <v>54.263565351030877</v>
      </c>
      <c r="DA731" s="2746">
        <f t="shared" ca="1" si="2598"/>
        <v>68.030124815780667</v>
      </c>
      <c r="DB731" s="2758">
        <f t="shared" ca="1" si="2598"/>
        <v>83.103424491819254</v>
      </c>
      <c r="DC731" s="2746">
        <f t="shared" ca="1" si="2598"/>
        <v>94.574407743466324</v>
      </c>
      <c r="DD731" s="2746">
        <f t="shared" ca="1" si="2598"/>
        <v>105.82530816959674</v>
      </c>
      <c r="DE731" s="2746">
        <f t="shared" ca="1" si="2598"/>
        <v>121.19877204926846</v>
      </c>
      <c r="DF731" s="2746">
        <f t="shared" ca="1" si="2598"/>
        <v>140.60606479400354</v>
      </c>
      <c r="DG731" s="2746">
        <f t="shared" ca="1" si="2598"/>
        <v>159.95522286251875</v>
      </c>
      <c r="DH731" s="2746">
        <f t="shared" ca="1" si="2598"/>
        <v>179.24642039762853</v>
      </c>
      <c r="DI731" s="2746">
        <f t="shared" ca="1" si="2598"/>
        <v>198.47983102050136</v>
      </c>
      <c r="DJ731" s="2746">
        <f t="shared" ca="1" si="2598"/>
        <v>217.65562783222225</v>
      </c>
      <c r="DK731" s="2746">
        <f t="shared" ca="1" si="2598"/>
        <v>236.77398341535087</v>
      </c>
      <c r="DL731" s="2746">
        <f t="shared" ca="1" si="2598"/>
        <v>255.83506983547466</v>
      </c>
      <c r="DM731" s="2746">
        <f t="shared" ca="1" si="2598"/>
        <v>274.83905864275732</v>
      </c>
      <c r="DN731" s="2746">
        <f t="shared" ca="1" si="2598"/>
        <v>293.7861208734829</v>
      </c>
      <c r="DO731" s="2746">
        <f t="shared" ca="1" si="2598"/>
        <v>312.67642705159534</v>
      </c>
      <c r="DP731" s="2746">
        <f t="shared" ca="1" si="2598"/>
        <v>331.51014719023254</v>
      </c>
      <c r="DQ731" s="2746">
        <f t="shared" ca="1" si="2598"/>
        <v>350.28745079325734</v>
      </c>
      <c r="DR731" s="2746">
        <f t="shared" ca="1" si="2598"/>
        <v>369.00850685678233</v>
      </c>
      <c r="DS731" s="2746">
        <f t="shared" ca="1" si="2598"/>
        <v>387.67348387069103</v>
      </c>
      <c r="DT731" s="2746">
        <f t="shared" ca="1" si="2598"/>
        <v>406.28254982015483</v>
      </c>
      <c r="DU731" s="2746">
        <f t="shared" ca="1" si="2598"/>
        <v>424.83587218714399</v>
      </c>
      <c r="DV731" s="2746">
        <f t="shared" ca="1" si="2598"/>
        <v>443.33361795193525</v>
      </c>
      <c r="DW731" s="2746">
        <f t="shared" ref="DW731" ca="1" si="2599">+AVERAGE(DV733:DW733)*DW732*3</f>
        <v>902.42994521437186</v>
      </c>
      <c r="DX731" s="2746">
        <f t="shared" ref="DX731" ca="1" si="2600">+AVERAGE(DW733:DX733)*DX732*3</f>
        <v>897.03156069663896</v>
      </c>
      <c r="DY731" s="2757">
        <f t="shared" ref="DY731" ca="1" si="2601">+AVERAGE(DX733:DY733)*DY732*3</f>
        <v>891.66546960573169</v>
      </c>
    </row>
    <row r="732" spans="1:129" hidden="1" outlineLevel="1">
      <c r="A732" s="2752" t="s">
        <v>166</v>
      </c>
      <c r="B732" s="2207"/>
      <c r="C732" s="2207"/>
      <c r="D732" s="2207"/>
      <c r="E732" s="2207"/>
      <c r="F732" s="2207"/>
      <c r="G732" s="2207"/>
      <c r="H732" s="2207"/>
      <c r="I732" s="2207"/>
      <c r="J732" s="2207"/>
      <c r="K732" s="2207"/>
      <c r="L732" s="2207"/>
      <c r="M732" s="2207"/>
      <c r="N732" s="2207"/>
      <c r="O732" s="2207"/>
      <c r="P732" s="2207"/>
      <c r="Q732" s="2207"/>
      <c r="R732" s="2207"/>
      <c r="S732" s="2767">
        <v>1E-3</v>
      </c>
      <c r="T732" s="2767">
        <v>3.0000000000000001E-3</v>
      </c>
      <c r="U732" s="2767">
        <v>3.0000000000000001E-3</v>
      </c>
      <c r="V732" s="2767">
        <v>3.0000000000000001E-3</v>
      </c>
      <c r="W732" s="2767">
        <v>3.0000000000000001E-3</v>
      </c>
      <c r="X732" s="2767">
        <v>3.0000000000000001E-3</v>
      </c>
      <c r="Y732" s="2767">
        <v>3.0000000000000001E-3</v>
      </c>
      <c r="Z732" s="2767">
        <v>3.0000000000000001E-3</v>
      </c>
      <c r="AA732" s="2767">
        <v>5.0000000000000001E-3</v>
      </c>
      <c r="AB732" s="2767">
        <v>5.0000000000000001E-3</v>
      </c>
      <c r="AC732" s="2767">
        <v>5.0000000000000001E-3</v>
      </c>
      <c r="AD732" s="2767">
        <v>5.0000000000000001E-3</v>
      </c>
      <c r="AE732" s="2767">
        <v>5.0000000000000001E-3</v>
      </c>
      <c r="AF732" s="2767">
        <v>5.0000000000000001E-3</v>
      </c>
      <c r="AG732" s="2767">
        <v>5.0000000000000001E-3</v>
      </c>
      <c r="AI732" s="2207"/>
      <c r="AK732" s="2207"/>
      <c r="AL732" s="2207"/>
      <c r="AM732" s="2207"/>
      <c r="AN732" s="2207"/>
      <c r="AO732" s="2207"/>
      <c r="AP732" s="2207"/>
      <c r="AQ732" s="2207"/>
      <c r="AR732" s="2207"/>
      <c r="AS732" s="2207"/>
      <c r="AT732" s="2207"/>
      <c r="AU732" s="2207"/>
      <c r="AV732" s="2207"/>
      <c r="AW732" s="2207"/>
      <c r="AX732" s="2207"/>
      <c r="AY732" s="2207"/>
      <c r="AZ732" s="2207"/>
      <c r="BA732" s="2207"/>
      <c r="BB732" s="2207"/>
      <c r="BC732" s="2207"/>
      <c r="BD732" s="2207"/>
      <c r="BE732" s="2207"/>
      <c r="BF732" s="2207"/>
      <c r="BG732" s="2207"/>
      <c r="BH732" s="2207"/>
      <c r="BI732" s="2207"/>
      <c r="BJ732" s="2207"/>
      <c r="BK732" s="2207"/>
      <c r="BL732" s="2207"/>
      <c r="BM732" s="2207"/>
      <c r="BN732" s="2207"/>
      <c r="BO732" s="2207"/>
      <c r="BP732" s="2207"/>
      <c r="BQ732" s="2207"/>
      <c r="BR732" s="2207"/>
      <c r="BS732" s="2207"/>
      <c r="BT732" s="2207"/>
      <c r="BU732" s="2207"/>
      <c r="BV732" s="2207"/>
      <c r="BW732" s="2207"/>
      <c r="BX732" s="2207"/>
      <c r="BY732" s="2207"/>
      <c r="BZ732" s="2207"/>
      <c r="CA732" s="2207"/>
      <c r="CB732" s="2207"/>
      <c r="CC732" s="2207"/>
      <c r="CD732" s="2207"/>
      <c r="CE732" s="2207"/>
      <c r="CF732" s="2207"/>
      <c r="CG732" s="2207"/>
      <c r="CH732" s="2207"/>
      <c r="CI732" s="2207"/>
      <c r="CJ732" s="2207"/>
      <c r="CK732" s="2207"/>
      <c r="CL732" s="2208"/>
      <c r="CM732" s="2207"/>
      <c r="CN732" s="2207"/>
      <c r="CO732" s="2207"/>
      <c r="CP732" s="2208"/>
      <c r="CQ732" s="2207"/>
      <c r="CR732" s="2207"/>
      <c r="CS732" s="2207"/>
      <c r="CT732" s="2768">
        <v>0</v>
      </c>
      <c r="CU732" s="2767">
        <v>1E-3</v>
      </c>
      <c r="CV732" s="2767">
        <v>1E-3</v>
      </c>
      <c r="CW732" s="2769">
        <v>1E-3</v>
      </c>
      <c r="CX732" s="2767">
        <v>1E-3</v>
      </c>
      <c r="CY732" s="2767">
        <v>1E-3</v>
      </c>
      <c r="CZ732" s="2767">
        <v>1E-3</v>
      </c>
      <c r="DA732" s="2767">
        <v>1E-3</v>
      </c>
      <c r="DB732" s="2768">
        <v>1E-3</v>
      </c>
      <c r="DC732" s="2767">
        <v>1E-3</v>
      </c>
      <c r="DD732" s="2767">
        <v>1E-3</v>
      </c>
      <c r="DE732" s="2767">
        <v>1E-3</v>
      </c>
      <c r="DF732" s="2767">
        <v>1E-3</v>
      </c>
      <c r="DG732" s="2767">
        <v>1E-3</v>
      </c>
      <c r="DH732" s="2767">
        <v>1E-3</v>
      </c>
      <c r="DI732" s="2767">
        <v>1E-3</v>
      </c>
      <c r="DJ732" s="2767">
        <v>1E-3</v>
      </c>
      <c r="DK732" s="2767">
        <v>1E-3</v>
      </c>
      <c r="DL732" s="2767">
        <v>1E-3</v>
      </c>
      <c r="DM732" s="2767">
        <v>1E-3</v>
      </c>
      <c r="DN732" s="2767">
        <v>1E-3</v>
      </c>
      <c r="DO732" s="2767">
        <v>1E-3</v>
      </c>
      <c r="DP732" s="2767">
        <v>1E-3</v>
      </c>
      <c r="DQ732" s="2767">
        <v>1E-3</v>
      </c>
      <c r="DR732" s="2767">
        <v>1E-3</v>
      </c>
      <c r="DS732" s="2767">
        <v>1E-3</v>
      </c>
      <c r="DT732" s="2767">
        <v>1E-3</v>
      </c>
      <c r="DU732" s="2767">
        <v>1E-3</v>
      </c>
      <c r="DV732" s="2767">
        <v>1E-3</v>
      </c>
      <c r="DW732" s="2767">
        <v>2E-3</v>
      </c>
      <c r="DX732" s="2767">
        <v>2E-3</v>
      </c>
      <c r="DY732" s="2769">
        <v>2E-3</v>
      </c>
    </row>
    <row r="733" spans="1:129" hidden="1" outlineLevel="1">
      <c r="A733" s="2756" t="s">
        <v>167</v>
      </c>
      <c r="S733" s="2770">
        <f t="shared" ref="S733:AB733" ca="1" si="2602">+R733+S720+S728-S731</f>
        <v>10767.696909272183</v>
      </c>
      <c r="T733" s="2770">
        <f t="shared" ca="1" si="2602"/>
        <v>25803.128196297122</v>
      </c>
      <c r="U733" s="2770">
        <f t="shared" ca="1" si="2602"/>
        <v>43790.954822711588</v>
      </c>
      <c r="V733" s="2770">
        <f t="shared" ca="1" si="2602"/>
        <v>69680.334022906303</v>
      </c>
      <c r="W733" s="2770">
        <f t="shared" ca="1" si="2602"/>
        <v>95337.752632954929</v>
      </c>
      <c r="X733" s="2770">
        <f t="shared" ca="1" si="2602"/>
        <v>120765.28894585031</v>
      </c>
      <c r="Y733" s="2770">
        <f t="shared" ca="1" si="2602"/>
        <v>145965.00263374214</v>
      </c>
      <c r="Z733" s="2770">
        <f t="shared" ca="1" si="2602"/>
        <v>170938.93491477382</v>
      </c>
      <c r="AA733" s="2770">
        <f t="shared" ca="1" si="2602"/>
        <v>168393.93836517422</v>
      </c>
      <c r="AB733" s="2770">
        <f t="shared" ca="1" si="2602"/>
        <v>165886.83258306244</v>
      </c>
      <c r="AC733" s="2770">
        <f t="shared" ref="AC733" ca="1" si="2603">+AB733+AC720+AC728-AC731</f>
        <v>163417.05343790518</v>
      </c>
      <c r="AD733" s="2770">
        <f t="shared" ref="AD733" ca="1" si="2604">+AC733+AD720+AD728-AD731</f>
        <v>160984.04519813487</v>
      </c>
      <c r="AE733" s="2770">
        <f t="shared" ref="AE733" ca="1" si="2605">+AD733+AE720+AE728-AE731</f>
        <v>158587.2604061031</v>
      </c>
      <c r="AF733" s="2770">
        <f t="shared" ref="AF733" ca="1" si="2606">+AE733+AF720+AF728-AF731</f>
        <v>156226.15975489561</v>
      </c>
      <c r="AG733" s="2770">
        <f t="shared" ref="AG733" ca="1" si="2607">+AF733+AG720+AG728-AG731</f>
        <v>153900.21196698153</v>
      </c>
      <c r="AI733" s="2207"/>
      <c r="CL733" s="1942"/>
      <c r="CP733" s="1942"/>
      <c r="CT733" s="2771">
        <f t="shared" ref="CT733:DE733" ca="1" si="2608">+CS733+CT720+CT728-CT731</f>
        <v>2200</v>
      </c>
      <c r="CU733" s="2770">
        <f t="shared" ca="1" si="2608"/>
        <v>4489.9650524213675</v>
      </c>
      <c r="CV733" s="2770">
        <f t="shared" ca="1" si="2608"/>
        <v>6473.5198251050779</v>
      </c>
      <c r="CW733" s="2772">
        <f t="shared" ca="1" si="2608"/>
        <v>10747.688013347401</v>
      </c>
      <c r="CX733" s="2770">
        <f t="shared" ca="1" si="2608"/>
        <v>13910.700430681358</v>
      </c>
      <c r="CY733" s="2770">
        <f t="shared" ca="1" si="2608"/>
        <v>16564.986899685806</v>
      </c>
      <c r="CZ733" s="2770">
        <f t="shared" ca="1" si="2608"/>
        <v>19610.723334334776</v>
      </c>
      <c r="DA733" s="2770">
        <f t="shared" ca="1" si="2608"/>
        <v>25742.693209518995</v>
      </c>
      <c r="DB733" s="2771">
        <f t="shared" ca="1" si="2608"/>
        <v>29659.589785027176</v>
      </c>
      <c r="DC733" s="2770">
        <f t="shared" ca="1" si="2608"/>
        <v>33390.015377283707</v>
      </c>
      <c r="DD733" s="2770">
        <f t="shared" ca="1" si="2608"/>
        <v>37160.190069114113</v>
      </c>
      <c r="DE733" s="2770">
        <f t="shared" ca="1" si="2608"/>
        <v>43638.991297064844</v>
      </c>
      <c r="DF733" s="2770">
        <f t="shared" ref="DF733:DV733" ca="1" si="2609">+DE733+DF720+DF728-DF731</f>
        <v>50098.385232270841</v>
      </c>
      <c r="DG733" s="2770">
        <f t="shared" ca="1" si="2609"/>
        <v>56538.430009408323</v>
      </c>
      <c r="DH733" s="2770">
        <f t="shared" ca="1" si="2609"/>
        <v>62959.183589010696</v>
      </c>
      <c r="DI733" s="2770">
        <f t="shared" ca="1" si="2609"/>
        <v>69360.703757990195</v>
      </c>
      <c r="DJ733" s="2770">
        <f t="shared" ca="1" si="2609"/>
        <v>75743.048130157971</v>
      </c>
      <c r="DK733" s="2770">
        <f t="shared" ca="1" si="2609"/>
        <v>82106.274146742624</v>
      </c>
      <c r="DL733" s="2770">
        <f t="shared" ca="1" si="2609"/>
        <v>88450.439076907147</v>
      </c>
      <c r="DM733" s="2770">
        <f t="shared" ca="1" si="2609"/>
        <v>94775.600018264391</v>
      </c>
      <c r="DN733" s="2770">
        <f t="shared" ca="1" si="2609"/>
        <v>101081.81389739091</v>
      </c>
      <c r="DO733" s="2770">
        <f t="shared" ca="1" si="2609"/>
        <v>107369.13747033931</v>
      </c>
      <c r="DP733" s="2770">
        <f t="shared" ca="1" si="2609"/>
        <v>113637.62732314908</v>
      </c>
      <c r="DQ733" s="2770">
        <f t="shared" ca="1" si="2609"/>
        <v>119887.33987235582</v>
      </c>
      <c r="DR733" s="2770">
        <f t="shared" ca="1" si="2609"/>
        <v>126118.33136549903</v>
      </c>
      <c r="DS733" s="2770">
        <f t="shared" ca="1" si="2609"/>
        <v>132330.65788162834</v>
      </c>
      <c r="DT733" s="2770">
        <f t="shared" ca="1" si="2609"/>
        <v>138524.3753318082</v>
      </c>
      <c r="DU733" s="2770">
        <f t="shared" ca="1" si="2609"/>
        <v>144699.53945962107</v>
      </c>
      <c r="DV733" s="2770">
        <f t="shared" ca="1" si="2609"/>
        <v>150856.20584166914</v>
      </c>
      <c r="DW733" s="2770">
        <f t="shared" ref="DW733" ca="1" si="2610">+DV733+DW720+DW728-DW731</f>
        <v>149953.77589645478</v>
      </c>
      <c r="DX733" s="2770">
        <f t="shared" ref="DX733" ca="1" si="2611">+DW733+DX720+DX728-DX731</f>
        <v>149056.74433575815</v>
      </c>
      <c r="DY733" s="2772">
        <f t="shared" ref="DY733" ca="1" si="2612">+DX733+DY720+DY728-DY731</f>
        <v>148165.07886615241</v>
      </c>
    </row>
    <row r="734" spans="1:129" hidden="1" outlineLevel="1">
      <c r="A734" s="2763" t="s">
        <v>168</v>
      </c>
      <c r="S734" s="2746">
        <f t="shared" ref="S734:AB734" ca="1" si="2613">+AVERAGE(R733:S733)</f>
        <v>10767.696909272183</v>
      </c>
      <c r="T734" s="2746">
        <f t="shared" ca="1" si="2613"/>
        <v>18285.412552784652</v>
      </c>
      <c r="U734" s="2746">
        <f t="shared" ca="1" si="2613"/>
        <v>34797.041509504357</v>
      </c>
      <c r="V734" s="2746">
        <f t="shared" ca="1" si="2613"/>
        <v>56735.644422808946</v>
      </c>
      <c r="W734" s="2746">
        <f t="shared" ca="1" si="2613"/>
        <v>82509.043327930616</v>
      </c>
      <c r="X734" s="2746">
        <f t="shared" ca="1" si="2613"/>
        <v>108051.52078940262</v>
      </c>
      <c r="Y734" s="2746">
        <f t="shared" ca="1" si="2613"/>
        <v>133365.14578979622</v>
      </c>
      <c r="Z734" s="2746">
        <f t="shared" ca="1" si="2613"/>
        <v>158451.96877425798</v>
      </c>
      <c r="AA734" s="2746">
        <f t="shared" ca="1" si="2613"/>
        <v>169666.43663997401</v>
      </c>
      <c r="AB734" s="2746">
        <f t="shared" ca="1" si="2613"/>
        <v>167140.38547411835</v>
      </c>
      <c r="AC734" s="2746">
        <f t="shared" ref="AC734" ca="1" si="2614">+AVERAGE(AB733:AC733)</f>
        <v>164651.94301048381</v>
      </c>
      <c r="AD734" s="2746">
        <f t="shared" ref="AD734" ca="1" si="2615">+AVERAGE(AC733:AD733)</f>
        <v>162200.54931802003</v>
      </c>
      <c r="AE734" s="2746">
        <f t="shared" ref="AE734" ca="1" si="2616">+AVERAGE(AD733:AE733)</f>
        <v>159785.65280211897</v>
      </c>
      <c r="AF734" s="2746">
        <f t="shared" ref="AF734" ca="1" si="2617">+AVERAGE(AE733:AF733)</f>
        <v>157406.71008049935</v>
      </c>
      <c r="AG734" s="2746">
        <f t="shared" ref="AG734" ca="1" si="2618">+AVERAGE(AF733:AG733)</f>
        <v>155063.18586093857</v>
      </c>
      <c r="AI734" s="2207"/>
      <c r="CL734" s="1942"/>
      <c r="CP734" s="1942"/>
      <c r="CT734" s="2758">
        <f t="shared" ref="CT734:DV734" ca="1" si="2619">+AVERAGE(CS733:CT733)</f>
        <v>2200</v>
      </c>
      <c r="CU734" s="2746">
        <f t="shared" ca="1" si="2619"/>
        <v>3344.9825262106838</v>
      </c>
      <c r="CV734" s="2746">
        <f t="shared" ca="1" si="2619"/>
        <v>5481.7424387632227</v>
      </c>
      <c r="CW734" s="2757">
        <f t="shared" ca="1" si="2619"/>
        <v>8610.6039192262397</v>
      </c>
      <c r="CX734" s="2746">
        <f t="shared" ca="1" si="2619"/>
        <v>12329.194222014379</v>
      </c>
      <c r="CY734" s="2746">
        <f t="shared" ca="1" si="2619"/>
        <v>15237.843665183582</v>
      </c>
      <c r="CZ734" s="2746">
        <f t="shared" ca="1" si="2619"/>
        <v>18087.855117010291</v>
      </c>
      <c r="DA734" s="2746">
        <f t="shared" ca="1" si="2619"/>
        <v>22676.708271926887</v>
      </c>
      <c r="DB734" s="2758">
        <f t="shared" ca="1" si="2619"/>
        <v>27701.141497273085</v>
      </c>
      <c r="DC734" s="2746">
        <f t="shared" ca="1" si="2619"/>
        <v>31524.80258115544</v>
      </c>
      <c r="DD734" s="2746">
        <f t="shared" ca="1" si="2619"/>
        <v>35275.102723198914</v>
      </c>
      <c r="DE734" s="2746">
        <f t="shared" ca="1" si="2619"/>
        <v>40399.590683089482</v>
      </c>
      <c r="DF734" s="2746">
        <f t="shared" ca="1" si="2619"/>
        <v>46868.688264667842</v>
      </c>
      <c r="DG734" s="2746">
        <f t="shared" ca="1" si="2619"/>
        <v>53318.407620839585</v>
      </c>
      <c r="DH734" s="2746">
        <f t="shared" ca="1" si="2619"/>
        <v>59748.806799209509</v>
      </c>
      <c r="DI734" s="2746">
        <f t="shared" ca="1" si="2619"/>
        <v>66159.943673500442</v>
      </c>
      <c r="DJ734" s="2746">
        <f t="shared" ca="1" si="2619"/>
        <v>72551.875944074083</v>
      </c>
      <c r="DK734" s="2746">
        <f t="shared" ca="1" si="2619"/>
        <v>78924.66113845029</v>
      </c>
      <c r="DL734" s="2746">
        <f t="shared" ca="1" si="2619"/>
        <v>85278.356611824885</v>
      </c>
      <c r="DM734" s="2746">
        <f t="shared" ca="1" si="2619"/>
        <v>91613.019547585776</v>
      </c>
      <c r="DN734" s="2746">
        <f t="shared" ca="1" si="2619"/>
        <v>97928.706957827642</v>
      </c>
      <c r="DO734" s="2746">
        <f t="shared" ca="1" si="2619"/>
        <v>104225.47568386511</v>
      </c>
      <c r="DP734" s="2746">
        <f t="shared" ca="1" si="2619"/>
        <v>110503.38239674419</v>
      </c>
      <c r="DQ734" s="2746">
        <f t="shared" ca="1" si="2619"/>
        <v>116762.48359775245</v>
      </c>
      <c r="DR734" s="2746">
        <f t="shared" ca="1" si="2619"/>
        <v>123002.83561892743</v>
      </c>
      <c r="DS734" s="2746">
        <f t="shared" ca="1" si="2619"/>
        <v>129224.49462356369</v>
      </c>
      <c r="DT734" s="2746">
        <f t="shared" ca="1" si="2619"/>
        <v>135427.51660671827</v>
      </c>
      <c r="DU734" s="2746">
        <f t="shared" ca="1" si="2619"/>
        <v>141611.95739571465</v>
      </c>
      <c r="DV734" s="2746">
        <f t="shared" ca="1" si="2619"/>
        <v>147777.87265064509</v>
      </c>
      <c r="DW734" s="2746">
        <f t="shared" ref="DW734" ca="1" si="2620">+AVERAGE(DV733:DW733)</f>
        <v>150404.99086906196</v>
      </c>
      <c r="DX734" s="2746">
        <f t="shared" ref="DX734" ca="1" si="2621">+AVERAGE(DW733:DX733)</f>
        <v>149505.26011610648</v>
      </c>
      <c r="DY734" s="2757">
        <f t="shared" ref="DY734" ca="1" si="2622">+AVERAGE(DX733:DY733)</f>
        <v>148610.9116009553</v>
      </c>
    </row>
    <row r="735" spans="1:129" hidden="1" outlineLevel="1">
      <c r="A735" s="2773" t="s">
        <v>169</v>
      </c>
      <c r="S735" s="2746"/>
      <c r="T735" s="2746"/>
      <c r="U735" s="2746"/>
      <c r="V735" s="2746"/>
      <c r="W735" s="2746"/>
      <c r="X735" s="2746"/>
      <c r="Y735" s="2746"/>
      <c r="Z735" s="2746"/>
      <c r="AA735" s="2746"/>
      <c r="AB735" s="2746"/>
      <c r="AC735" s="2746"/>
      <c r="AD735" s="2746"/>
      <c r="AE735" s="2746"/>
      <c r="AF735" s="2746"/>
      <c r="AG735" s="2746"/>
      <c r="AI735" s="2207"/>
      <c r="CL735" s="1942"/>
      <c r="CP735" s="1942"/>
      <c r="CT735" s="2758"/>
      <c r="CU735" s="2746"/>
      <c r="CV735" s="2746"/>
      <c r="CW735" s="2757"/>
      <c r="CX735" s="2746"/>
      <c r="CY735" s="2746"/>
      <c r="CZ735" s="2746"/>
      <c r="DA735" s="2746"/>
      <c r="DB735" s="2758"/>
      <c r="DC735" s="2746"/>
      <c r="DD735" s="2746"/>
      <c r="DE735" s="2746"/>
      <c r="DF735" s="2746"/>
      <c r="DG735" s="2746"/>
      <c r="DH735" s="2746"/>
      <c r="DI735" s="2746"/>
      <c r="DJ735" s="2746"/>
      <c r="DK735" s="2746"/>
      <c r="DL735" s="2746"/>
      <c r="DM735" s="2746"/>
      <c r="DN735" s="2746"/>
      <c r="DO735" s="2746"/>
      <c r="DP735" s="2746"/>
      <c r="DQ735" s="2746"/>
      <c r="DR735" s="2746"/>
      <c r="DS735" s="2746"/>
      <c r="DT735" s="2746"/>
      <c r="DU735" s="2746"/>
      <c r="DV735" s="2746"/>
      <c r="DW735" s="2746"/>
      <c r="DX735" s="2746"/>
      <c r="DY735" s="2757"/>
    </row>
    <row r="736" spans="1:129" hidden="1" outlineLevel="1">
      <c r="A736" s="2756" t="s">
        <v>170</v>
      </c>
      <c r="AI736" s="2207"/>
      <c r="CL736" s="1942"/>
      <c r="CP736" s="1942"/>
      <c r="CT736" s="1942"/>
      <c r="CW736" s="2236"/>
      <c r="DB736" s="1942"/>
      <c r="DY736" s="2236"/>
    </row>
    <row r="737" spans="1:129" hidden="1" outlineLevel="1">
      <c r="A737" s="2774" t="s">
        <v>171</v>
      </c>
      <c r="B737" s="2614"/>
      <c r="C737" s="2614"/>
      <c r="D737" s="2614"/>
      <c r="E737" s="2614"/>
      <c r="F737" s="2614"/>
      <c r="G737" s="2614"/>
      <c r="H737" s="2614"/>
      <c r="I737" s="2614"/>
      <c r="J737" s="2614"/>
      <c r="K737" s="2614"/>
      <c r="L737" s="2614"/>
      <c r="M737" s="2614"/>
      <c r="N737" s="2614"/>
      <c r="O737" s="2614"/>
      <c r="P737" s="2614"/>
      <c r="Q737" s="2614"/>
      <c r="R737" s="2614"/>
      <c r="S737" s="2775">
        <v>600</v>
      </c>
      <c r="T737" s="2775">
        <f t="shared" ref="T737:AB737" si="2623">+S737</f>
        <v>600</v>
      </c>
      <c r="U737" s="2775">
        <f t="shared" si="2623"/>
        <v>600</v>
      </c>
      <c r="V737" s="2775">
        <f t="shared" si="2623"/>
        <v>600</v>
      </c>
      <c r="W737" s="2775">
        <f t="shared" si="2623"/>
        <v>600</v>
      </c>
      <c r="X737" s="2775">
        <f t="shared" si="2623"/>
        <v>600</v>
      </c>
      <c r="Y737" s="2775">
        <f t="shared" si="2623"/>
        <v>600</v>
      </c>
      <c r="Z737" s="2775">
        <f t="shared" si="2623"/>
        <v>600</v>
      </c>
      <c r="AA737" s="2775">
        <f t="shared" si="2623"/>
        <v>600</v>
      </c>
      <c r="AB737" s="2775">
        <f t="shared" si="2623"/>
        <v>600</v>
      </c>
      <c r="AC737" s="2775">
        <f t="shared" ref="AC737" si="2624">+AB737</f>
        <v>600</v>
      </c>
      <c r="AD737" s="2775">
        <f t="shared" ref="AD737" si="2625">+AC737</f>
        <v>600</v>
      </c>
      <c r="AE737" s="2775">
        <f t="shared" ref="AE737" si="2626">+AD737</f>
        <v>600</v>
      </c>
      <c r="AF737" s="2775">
        <f t="shared" ref="AF737" si="2627">+AE737</f>
        <v>600</v>
      </c>
      <c r="AG737" s="2775">
        <f t="shared" ref="AG737" si="2628">+AF737</f>
        <v>600</v>
      </c>
      <c r="AI737" s="2614"/>
      <c r="AK737" s="2614"/>
      <c r="AL737" s="2614"/>
      <c r="AM737" s="2614"/>
      <c r="AN737" s="2614"/>
      <c r="AO737" s="2614"/>
      <c r="AP737" s="2614"/>
      <c r="AQ737" s="2614"/>
      <c r="AR737" s="2614"/>
      <c r="AS737" s="2614"/>
      <c r="AT737" s="2614"/>
      <c r="AU737" s="2614"/>
      <c r="AV737" s="2614"/>
      <c r="AW737" s="2614"/>
      <c r="AX737" s="2614"/>
      <c r="AY737" s="2614"/>
      <c r="AZ737" s="2614"/>
      <c r="BA737" s="2614"/>
      <c r="BB737" s="2614"/>
      <c r="BC737" s="2614"/>
      <c r="BD737" s="2614"/>
      <c r="BE737" s="2614"/>
      <c r="BF737" s="2614"/>
      <c r="BG737" s="2614"/>
      <c r="BH737" s="2614"/>
      <c r="BI737" s="2614"/>
      <c r="BJ737" s="2614"/>
      <c r="BK737" s="2614"/>
      <c r="BL737" s="2614"/>
      <c r="BM737" s="2614"/>
      <c r="BN737" s="2614"/>
      <c r="BO737" s="2614"/>
      <c r="BP737" s="2614"/>
      <c r="BQ737" s="2614"/>
      <c r="BR737" s="2614"/>
      <c r="BS737" s="2614"/>
      <c r="BT737" s="2614"/>
      <c r="BU737" s="2614"/>
      <c r="BV737" s="2614"/>
      <c r="BW737" s="2614"/>
      <c r="BX737" s="2614"/>
      <c r="BY737" s="2614"/>
      <c r="BZ737" s="2614"/>
      <c r="CA737" s="2614"/>
      <c r="CB737" s="2614"/>
      <c r="CC737" s="2614"/>
      <c r="CD737" s="2614"/>
      <c r="CE737" s="2614"/>
      <c r="CF737" s="2614"/>
      <c r="CG737" s="2614"/>
      <c r="CH737" s="2614"/>
      <c r="CI737" s="2614"/>
      <c r="CJ737" s="2614"/>
      <c r="CK737" s="2614"/>
      <c r="CL737" s="2612"/>
      <c r="CM737" s="2614"/>
      <c r="CN737" s="2614"/>
      <c r="CO737" s="2614"/>
      <c r="CP737" s="2612"/>
      <c r="CQ737" s="2614"/>
      <c r="CR737" s="2614"/>
      <c r="CS737" s="2614"/>
      <c r="CT737" s="2776">
        <v>600</v>
      </c>
      <c r="CU737" s="2775">
        <v>600</v>
      </c>
      <c r="CV737" s="2775">
        <v>600</v>
      </c>
      <c r="CW737" s="2777">
        <v>600</v>
      </c>
      <c r="CX737" s="2775">
        <v>600</v>
      </c>
      <c r="CY737" s="2775">
        <v>600</v>
      </c>
      <c r="CZ737" s="2775">
        <v>600</v>
      </c>
      <c r="DA737" s="2775">
        <v>600</v>
      </c>
      <c r="DB737" s="2776">
        <v>600</v>
      </c>
      <c r="DC737" s="2775">
        <v>600</v>
      </c>
      <c r="DD737" s="2775">
        <v>600</v>
      </c>
      <c r="DE737" s="2775">
        <v>600</v>
      </c>
      <c r="DF737" s="2775">
        <v>600</v>
      </c>
      <c r="DG737" s="2775">
        <v>600</v>
      </c>
      <c r="DH737" s="2775">
        <v>600</v>
      </c>
      <c r="DI737" s="2775">
        <v>600</v>
      </c>
      <c r="DJ737" s="2775">
        <v>600</v>
      </c>
      <c r="DK737" s="2775">
        <v>600</v>
      </c>
      <c r="DL737" s="2775">
        <v>600</v>
      </c>
      <c r="DM737" s="2775">
        <v>600</v>
      </c>
      <c r="DN737" s="2775">
        <v>600</v>
      </c>
      <c r="DO737" s="2775">
        <v>600</v>
      </c>
      <c r="DP737" s="2775">
        <v>600</v>
      </c>
      <c r="DQ737" s="2775">
        <v>600</v>
      </c>
      <c r="DR737" s="2775">
        <v>600</v>
      </c>
      <c r="DS737" s="2775">
        <v>600</v>
      </c>
      <c r="DT737" s="2775">
        <v>600</v>
      </c>
      <c r="DU737" s="2775">
        <v>600</v>
      </c>
      <c r="DV737" s="2775">
        <v>600</v>
      </c>
      <c r="DW737" s="2775">
        <v>600</v>
      </c>
      <c r="DX737" s="2775">
        <v>600</v>
      </c>
      <c r="DY737" s="2777">
        <v>600</v>
      </c>
    </row>
    <row r="738" spans="1:129" hidden="1" outlineLevel="1">
      <c r="A738" s="2745" t="s">
        <v>172</v>
      </c>
      <c r="S738" s="2746">
        <f t="shared" ref="S738:V738" si="2629">+S719*S739/1000</f>
        <v>4320</v>
      </c>
      <c r="T738" s="2746">
        <f t="shared" si="2629"/>
        <v>6080</v>
      </c>
      <c r="U738" s="2746">
        <f t="shared" si="2629"/>
        <v>7320.4</v>
      </c>
      <c r="V738" s="2746">
        <f t="shared" si="2629"/>
        <v>0</v>
      </c>
      <c r="W738" s="2746">
        <f t="shared" ref="W738:AB738" si="2630">+W719*W739/1000</f>
        <v>0</v>
      </c>
      <c r="X738" s="2746">
        <f t="shared" si="2630"/>
        <v>0</v>
      </c>
      <c r="Y738" s="2746">
        <f t="shared" si="2630"/>
        <v>0</v>
      </c>
      <c r="Z738" s="2746">
        <f t="shared" si="2630"/>
        <v>0</v>
      </c>
      <c r="AA738" s="2746">
        <f t="shared" si="2630"/>
        <v>0</v>
      </c>
      <c r="AB738" s="2746">
        <f t="shared" si="2630"/>
        <v>0</v>
      </c>
      <c r="AC738" s="2746">
        <f t="shared" ref="AC738:AG738" si="2631">+AC719*AC739/1000</f>
        <v>0</v>
      </c>
      <c r="AD738" s="2746">
        <f t="shared" si="2631"/>
        <v>0</v>
      </c>
      <c r="AE738" s="2746">
        <f t="shared" si="2631"/>
        <v>0</v>
      </c>
      <c r="AF738" s="2746">
        <f t="shared" si="2631"/>
        <v>0</v>
      </c>
      <c r="AG738" s="2746">
        <f t="shared" si="2631"/>
        <v>0</v>
      </c>
      <c r="AI738" s="2207"/>
      <c r="CL738" s="1942"/>
      <c r="CP738" s="1942"/>
      <c r="CT738" s="2758">
        <f t="shared" ref="CT738:DE738" si="2632">+CT719*CT739/1000</f>
        <v>880</v>
      </c>
      <c r="CU738" s="2746">
        <f t="shared" si="2632"/>
        <v>920</v>
      </c>
      <c r="CV738" s="2746">
        <f t="shared" si="2632"/>
        <v>800</v>
      </c>
      <c r="CW738" s="2757">
        <f t="shared" si="2632"/>
        <v>1720</v>
      </c>
      <c r="CX738" s="2746">
        <f t="shared" si="2632"/>
        <v>1280</v>
      </c>
      <c r="CY738" s="2746">
        <f t="shared" si="2632"/>
        <v>1080</v>
      </c>
      <c r="CZ738" s="2746">
        <f t="shared" si="2632"/>
        <v>1240</v>
      </c>
      <c r="DA738" s="2746">
        <f t="shared" si="2632"/>
        <v>2480</v>
      </c>
      <c r="DB738" s="2758">
        <f t="shared" si="2632"/>
        <v>1600</v>
      </c>
      <c r="DC738" s="2746">
        <f t="shared" si="2632"/>
        <v>1530</v>
      </c>
      <c r="DD738" s="2746">
        <f t="shared" si="2632"/>
        <v>1550.4</v>
      </c>
      <c r="DE738" s="2746">
        <f t="shared" si="2632"/>
        <v>2640</v>
      </c>
      <c r="DF738" s="2746">
        <f>+DF719*DF739/1000</f>
        <v>2640</v>
      </c>
      <c r="DG738" s="2746">
        <f>+DG719*DG739/1000</f>
        <v>2640</v>
      </c>
      <c r="DH738" s="2746">
        <f>+DH719*DH739/1000</f>
        <v>2640</v>
      </c>
      <c r="DI738" s="2746">
        <f>+DI719*DI739/1000</f>
        <v>2640</v>
      </c>
      <c r="DJ738" s="2746">
        <f t="shared" ref="DJ738:DM738" si="2633">+DJ719*DJ739/1000</f>
        <v>2640</v>
      </c>
      <c r="DK738" s="2746">
        <f t="shared" si="2633"/>
        <v>2640</v>
      </c>
      <c r="DL738" s="2746">
        <f t="shared" si="2633"/>
        <v>2640</v>
      </c>
      <c r="DM738" s="2746">
        <f t="shared" si="2633"/>
        <v>2640</v>
      </c>
      <c r="DN738" s="2746">
        <f t="shared" ref="DN738:DO738" si="2634">+DN719*DN739/1000</f>
        <v>2640</v>
      </c>
      <c r="DO738" s="2746">
        <f t="shared" si="2634"/>
        <v>2640</v>
      </c>
      <c r="DP738" s="2746">
        <f t="shared" ref="DP738:DQ738" si="2635">+DP719*DP739/1000</f>
        <v>2640</v>
      </c>
      <c r="DQ738" s="2746">
        <f t="shared" si="2635"/>
        <v>2640</v>
      </c>
      <c r="DR738" s="2746">
        <f t="shared" ref="DR738" si="2636">+DR719*DR739/1000</f>
        <v>2640</v>
      </c>
      <c r="DS738" s="2746">
        <f t="shared" ref="DS738:DT738" si="2637">+DS719*DS739/1000</f>
        <v>2640</v>
      </c>
      <c r="DT738" s="2746">
        <f t="shared" si="2637"/>
        <v>2640</v>
      </c>
      <c r="DU738" s="2746">
        <f t="shared" ref="DU738" si="2638">+DU719*DU739/1000</f>
        <v>2640</v>
      </c>
      <c r="DV738" s="2746">
        <f t="shared" ref="DV738" si="2639">+DV719*DV739/1000</f>
        <v>2640</v>
      </c>
      <c r="DW738" s="2746">
        <f t="shared" ref="DW738:DY738" si="2640">+DW719*DW739/1000</f>
        <v>0</v>
      </c>
      <c r="DX738" s="2746">
        <f t="shared" si="2640"/>
        <v>0</v>
      </c>
      <c r="DY738" s="2757">
        <f t="shared" si="2640"/>
        <v>0</v>
      </c>
    </row>
    <row r="739" spans="1:129" hidden="1" outlineLevel="1">
      <c r="A739" s="2778" t="s">
        <v>173</v>
      </c>
      <c r="B739" s="2614"/>
      <c r="C739" s="2614"/>
      <c r="D739" s="2614"/>
      <c r="E739" s="2614"/>
      <c r="F739" s="2614"/>
      <c r="G739" s="2614"/>
      <c r="H739" s="2614"/>
      <c r="I739" s="2614"/>
      <c r="J739" s="2614"/>
      <c r="K739" s="2614"/>
      <c r="L739" s="2614"/>
      <c r="M739" s="2614"/>
      <c r="N739" s="2614"/>
      <c r="O739" s="2614"/>
      <c r="P739" s="2614"/>
      <c r="Q739" s="2614"/>
      <c r="R739" s="2614"/>
      <c r="S739" s="2775">
        <v>400</v>
      </c>
      <c r="T739" s="2775">
        <f t="shared" ref="T739:AB739" si="2641">+S739</f>
        <v>400</v>
      </c>
      <c r="U739" s="2775">
        <f t="shared" si="2641"/>
        <v>400</v>
      </c>
      <c r="V739" s="2775">
        <f t="shared" si="2641"/>
        <v>400</v>
      </c>
      <c r="W739" s="2775">
        <f t="shared" si="2641"/>
        <v>400</v>
      </c>
      <c r="X739" s="2775">
        <f t="shared" si="2641"/>
        <v>400</v>
      </c>
      <c r="Y739" s="2775">
        <f t="shared" si="2641"/>
        <v>400</v>
      </c>
      <c r="Z739" s="2775">
        <f t="shared" si="2641"/>
        <v>400</v>
      </c>
      <c r="AA739" s="2775">
        <f t="shared" si="2641"/>
        <v>400</v>
      </c>
      <c r="AB739" s="2775">
        <f t="shared" si="2641"/>
        <v>400</v>
      </c>
      <c r="AC739" s="2775">
        <f t="shared" ref="AC739" si="2642">+AB739</f>
        <v>400</v>
      </c>
      <c r="AD739" s="2775">
        <f t="shared" ref="AD739" si="2643">+AC739</f>
        <v>400</v>
      </c>
      <c r="AE739" s="2775">
        <f t="shared" ref="AE739" si="2644">+AD739</f>
        <v>400</v>
      </c>
      <c r="AF739" s="2775">
        <f t="shared" ref="AF739" si="2645">+AE739</f>
        <v>400</v>
      </c>
      <c r="AG739" s="2775">
        <f t="shared" ref="AG739" si="2646">+AF739</f>
        <v>400</v>
      </c>
      <c r="AI739" s="2614"/>
      <c r="AK739" s="2614"/>
      <c r="AL739" s="2614"/>
      <c r="AM739" s="2614"/>
      <c r="AN739" s="2614"/>
      <c r="AO739" s="2614"/>
      <c r="AP739" s="2614"/>
      <c r="AQ739" s="2614"/>
      <c r="AR739" s="2614"/>
      <c r="AS739" s="2614"/>
      <c r="AT739" s="2614"/>
      <c r="AU739" s="2614"/>
      <c r="AV739" s="2614"/>
      <c r="AW739" s="2614"/>
      <c r="AX739" s="2614"/>
      <c r="AY739" s="2614"/>
      <c r="AZ739" s="2614"/>
      <c r="BA739" s="2614"/>
      <c r="BB739" s="2614"/>
      <c r="BC739" s="2614"/>
      <c r="BD739" s="2614"/>
      <c r="BE739" s="2614"/>
      <c r="BF739" s="2614"/>
      <c r="BG739" s="2614"/>
      <c r="BH739" s="2614"/>
      <c r="BI739" s="2614"/>
      <c r="BJ739" s="2614"/>
      <c r="BK739" s="2614"/>
      <c r="BL739" s="2614"/>
      <c r="BM739" s="2614"/>
      <c r="BN739" s="2614"/>
      <c r="BO739" s="2614"/>
      <c r="BP739" s="2614"/>
      <c r="BQ739" s="2614"/>
      <c r="BR739" s="2614"/>
      <c r="BS739" s="2614"/>
      <c r="BT739" s="2614"/>
      <c r="BU739" s="2614"/>
      <c r="BV739" s="2614"/>
      <c r="BW739" s="2614"/>
      <c r="BX739" s="2614"/>
      <c r="BY739" s="2614"/>
      <c r="BZ739" s="2614"/>
      <c r="CA739" s="2614"/>
      <c r="CB739" s="2614"/>
      <c r="CC739" s="2614"/>
      <c r="CD739" s="2614"/>
      <c r="CE739" s="2614"/>
      <c r="CF739" s="2614"/>
      <c r="CG739" s="2614"/>
      <c r="CH739" s="2614"/>
      <c r="CI739" s="2614"/>
      <c r="CJ739" s="2614"/>
      <c r="CK739" s="2614"/>
      <c r="CL739" s="2612"/>
      <c r="CM739" s="2614"/>
      <c r="CN739" s="2614"/>
      <c r="CO739" s="2614"/>
      <c r="CP739" s="2612"/>
      <c r="CQ739" s="2614"/>
      <c r="CR739" s="2614"/>
      <c r="CS739" s="2614"/>
      <c r="CT739" s="2776">
        <v>400</v>
      </c>
      <c r="CU739" s="2775">
        <v>400</v>
      </c>
      <c r="CV739" s="2775">
        <v>400</v>
      </c>
      <c r="CW739" s="2777">
        <v>400</v>
      </c>
      <c r="CX739" s="2775">
        <v>400</v>
      </c>
      <c r="CY739" s="2775">
        <v>400</v>
      </c>
      <c r="CZ739" s="2775">
        <v>400</v>
      </c>
      <c r="DA739" s="2775">
        <v>400</v>
      </c>
      <c r="DB739" s="2776">
        <v>400</v>
      </c>
      <c r="DC739" s="2775">
        <v>400</v>
      </c>
      <c r="DD739" s="2775">
        <v>400</v>
      </c>
      <c r="DE739" s="2775">
        <v>400</v>
      </c>
      <c r="DF739" s="2775">
        <v>400</v>
      </c>
      <c r="DG739" s="2775">
        <v>400</v>
      </c>
      <c r="DH739" s="2775">
        <v>400</v>
      </c>
      <c r="DI739" s="2775">
        <v>400</v>
      </c>
      <c r="DJ739" s="2775">
        <v>400</v>
      </c>
      <c r="DK739" s="2775">
        <v>400</v>
      </c>
      <c r="DL739" s="2775">
        <v>400</v>
      </c>
      <c r="DM739" s="2775">
        <v>400</v>
      </c>
      <c r="DN739" s="2775">
        <v>400</v>
      </c>
      <c r="DO739" s="2775">
        <v>400</v>
      </c>
      <c r="DP739" s="2775">
        <v>400</v>
      </c>
      <c r="DQ739" s="2775">
        <v>400</v>
      </c>
      <c r="DR739" s="2775">
        <v>400</v>
      </c>
      <c r="DS739" s="2775">
        <v>400</v>
      </c>
      <c r="DT739" s="2775">
        <v>400</v>
      </c>
      <c r="DU739" s="2775">
        <v>400</v>
      </c>
      <c r="DV739" s="2775">
        <v>400</v>
      </c>
      <c r="DW739" s="2775">
        <v>400</v>
      </c>
      <c r="DX739" s="2775">
        <v>400</v>
      </c>
      <c r="DY739" s="2777">
        <v>400</v>
      </c>
    </row>
    <row r="740" spans="1:129" hidden="1" outlineLevel="1">
      <c r="A740" s="2745" t="s">
        <v>174</v>
      </c>
      <c r="S740" s="2746">
        <f t="shared" ref="S740:V740" si="2647">+S726*S741/1000</f>
        <v>1707.7</v>
      </c>
      <c r="T740" s="2746">
        <f t="shared" si="2647"/>
        <v>2206.6</v>
      </c>
      <c r="U740" s="2746">
        <f t="shared" si="2647"/>
        <v>2562.14</v>
      </c>
      <c r="V740" s="2746">
        <f t="shared" si="2647"/>
        <v>3696</v>
      </c>
      <c r="W740" s="2746">
        <f t="shared" ref="W740:AB740" si="2648">+W726*W741/1000</f>
        <v>3696</v>
      </c>
      <c r="X740" s="2746">
        <f t="shared" si="2648"/>
        <v>3696</v>
      </c>
      <c r="Y740" s="2746">
        <f t="shared" si="2648"/>
        <v>3696</v>
      </c>
      <c r="Z740" s="2746">
        <f t="shared" si="2648"/>
        <v>3696</v>
      </c>
      <c r="AA740" s="2746">
        <f t="shared" si="2648"/>
        <v>0</v>
      </c>
      <c r="AB740" s="2746">
        <f t="shared" si="2648"/>
        <v>0</v>
      </c>
      <c r="AC740" s="2746">
        <f t="shared" ref="AC740:AG740" si="2649">+AC726*AC741/1000</f>
        <v>0</v>
      </c>
      <c r="AD740" s="2746">
        <f t="shared" si="2649"/>
        <v>0</v>
      </c>
      <c r="AE740" s="2746">
        <f t="shared" si="2649"/>
        <v>0</v>
      </c>
      <c r="AF740" s="2746">
        <f t="shared" si="2649"/>
        <v>0</v>
      </c>
      <c r="AG740" s="2746">
        <f t="shared" si="2649"/>
        <v>0</v>
      </c>
      <c r="AI740" s="2207"/>
      <c r="CL740" s="1942"/>
      <c r="CP740" s="1942"/>
      <c r="CT740" s="2758">
        <f t="shared" ref="CT740:DE740" si="2650">+CT726*CT741/1000</f>
        <v>343.2</v>
      </c>
      <c r="CU740" s="2746">
        <f t="shared" si="2650"/>
        <v>356.5</v>
      </c>
      <c r="CV740" s="2746">
        <f t="shared" si="2650"/>
        <v>320</v>
      </c>
      <c r="CW740" s="2757">
        <f t="shared" si="2650"/>
        <v>688</v>
      </c>
      <c r="CX740" s="2746">
        <f t="shared" si="2650"/>
        <v>512</v>
      </c>
      <c r="CY740" s="2746">
        <f t="shared" si="2650"/>
        <v>405</v>
      </c>
      <c r="CZ740" s="2746">
        <f t="shared" si="2650"/>
        <v>421.6</v>
      </c>
      <c r="DA740" s="2746">
        <f t="shared" si="2650"/>
        <v>868</v>
      </c>
      <c r="DB740" s="2758">
        <f t="shared" si="2650"/>
        <v>560</v>
      </c>
      <c r="DC740" s="2746">
        <f t="shared" si="2650"/>
        <v>535.5</v>
      </c>
      <c r="DD740" s="2746">
        <f t="shared" si="2650"/>
        <v>542.64</v>
      </c>
      <c r="DE740" s="2746">
        <f t="shared" si="2650"/>
        <v>924</v>
      </c>
      <c r="DF740" s="2746">
        <f>+DF726*DF741/1000</f>
        <v>924</v>
      </c>
      <c r="DG740" s="2746">
        <f>+DG726*DG741/1000</f>
        <v>924</v>
      </c>
      <c r="DH740" s="2746">
        <f>+DH726*DH741/1000</f>
        <v>924</v>
      </c>
      <c r="DI740" s="2746">
        <f>+DI726*DI741/1000</f>
        <v>924</v>
      </c>
      <c r="DJ740" s="2746">
        <f t="shared" ref="DJ740:DM740" si="2651">+DJ726*DJ741/1000</f>
        <v>924</v>
      </c>
      <c r="DK740" s="2746">
        <f t="shared" si="2651"/>
        <v>924</v>
      </c>
      <c r="DL740" s="2746">
        <f t="shared" si="2651"/>
        <v>924</v>
      </c>
      <c r="DM740" s="2746">
        <f t="shared" si="2651"/>
        <v>924</v>
      </c>
      <c r="DN740" s="2746">
        <f t="shared" ref="DN740:DO740" si="2652">+DN726*DN741/1000</f>
        <v>924</v>
      </c>
      <c r="DO740" s="2746">
        <f t="shared" si="2652"/>
        <v>924</v>
      </c>
      <c r="DP740" s="2746">
        <f t="shared" ref="DP740:DQ740" si="2653">+DP726*DP741/1000</f>
        <v>924</v>
      </c>
      <c r="DQ740" s="2746">
        <f t="shared" si="2653"/>
        <v>924</v>
      </c>
      <c r="DR740" s="2746">
        <f t="shared" ref="DR740" si="2654">+DR726*DR741/1000</f>
        <v>924</v>
      </c>
      <c r="DS740" s="2746">
        <f t="shared" ref="DS740:DT740" si="2655">+DS726*DS741/1000</f>
        <v>924</v>
      </c>
      <c r="DT740" s="2746">
        <f t="shared" si="2655"/>
        <v>924</v>
      </c>
      <c r="DU740" s="2746">
        <f t="shared" ref="DU740" si="2656">+DU726*DU741/1000</f>
        <v>924</v>
      </c>
      <c r="DV740" s="2746">
        <f t="shared" ref="DV740" si="2657">+DV726*DV741/1000</f>
        <v>924</v>
      </c>
      <c r="DW740" s="2746">
        <f t="shared" ref="DW740:DY740" si="2658">+DW726*DW741/1000</f>
        <v>0</v>
      </c>
      <c r="DX740" s="2746">
        <f t="shared" si="2658"/>
        <v>0</v>
      </c>
      <c r="DY740" s="2757">
        <f t="shared" si="2658"/>
        <v>0</v>
      </c>
    </row>
    <row r="741" spans="1:129" hidden="1" outlineLevel="1">
      <c r="A741" s="2778" t="s">
        <v>175</v>
      </c>
      <c r="B741" s="2614"/>
      <c r="C741" s="2614"/>
      <c r="D741" s="2614"/>
      <c r="E741" s="2614"/>
      <c r="F741" s="2614"/>
      <c r="G741" s="2614"/>
      <c r="H741" s="2614"/>
      <c r="I741" s="2614"/>
      <c r="J741" s="2614"/>
      <c r="K741" s="2614"/>
      <c r="L741" s="2614"/>
      <c r="M741" s="2614"/>
      <c r="N741" s="2614"/>
      <c r="O741" s="2614"/>
      <c r="P741" s="2614"/>
      <c r="Q741" s="2614"/>
      <c r="R741" s="2614"/>
      <c r="S741" s="2775">
        <v>200</v>
      </c>
      <c r="T741" s="2775">
        <f t="shared" ref="T741:AB741" si="2659">+S741</f>
        <v>200</v>
      </c>
      <c r="U741" s="2775">
        <f t="shared" si="2659"/>
        <v>200</v>
      </c>
      <c r="V741" s="2775">
        <f t="shared" si="2659"/>
        <v>200</v>
      </c>
      <c r="W741" s="2775">
        <f t="shared" si="2659"/>
        <v>200</v>
      </c>
      <c r="X741" s="2775">
        <f t="shared" si="2659"/>
        <v>200</v>
      </c>
      <c r="Y741" s="2775">
        <f t="shared" si="2659"/>
        <v>200</v>
      </c>
      <c r="Z741" s="2775">
        <f t="shared" si="2659"/>
        <v>200</v>
      </c>
      <c r="AA741" s="2775">
        <f t="shared" si="2659"/>
        <v>200</v>
      </c>
      <c r="AB741" s="2775">
        <f t="shared" si="2659"/>
        <v>200</v>
      </c>
      <c r="AC741" s="2775">
        <f t="shared" ref="AC741" si="2660">+AB741</f>
        <v>200</v>
      </c>
      <c r="AD741" s="2775">
        <f t="shared" ref="AD741" si="2661">+AC741</f>
        <v>200</v>
      </c>
      <c r="AE741" s="2775">
        <f t="shared" ref="AE741" si="2662">+AD741</f>
        <v>200</v>
      </c>
      <c r="AF741" s="2775">
        <f t="shared" ref="AF741" si="2663">+AE741</f>
        <v>200</v>
      </c>
      <c r="AG741" s="2775">
        <f t="shared" ref="AG741" si="2664">+AF741</f>
        <v>200</v>
      </c>
      <c r="AI741" s="2614"/>
      <c r="AK741" s="2614"/>
      <c r="AL741" s="2614"/>
      <c r="AM741" s="2614"/>
      <c r="AN741" s="2614"/>
      <c r="AO741" s="2614"/>
      <c r="AP741" s="2614"/>
      <c r="AQ741" s="2614"/>
      <c r="AR741" s="2614"/>
      <c r="AS741" s="2614"/>
      <c r="AT741" s="2614"/>
      <c r="AU741" s="2614"/>
      <c r="AV741" s="2614"/>
      <c r="AW741" s="2614"/>
      <c r="AX741" s="2614"/>
      <c r="AY741" s="2614"/>
      <c r="AZ741" s="2614"/>
      <c r="BA741" s="2614"/>
      <c r="BB741" s="2614"/>
      <c r="BC741" s="2614"/>
      <c r="BD741" s="2614"/>
      <c r="BE741" s="2614"/>
      <c r="BF741" s="2614"/>
      <c r="BG741" s="2614"/>
      <c r="BH741" s="2614"/>
      <c r="BI741" s="2614"/>
      <c r="BJ741" s="2614"/>
      <c r="BK741" s="2614"/>
      <c r="BL741" s="2614"/>
      <c r="BM741" s="2614"/>
      <c r="BN741" s="2614"/>
      <c r="BO741" s="2614"/>
      <c r="BP741" s="2614"/>
      <c r="BQ741" s="2614"/>
      <c r="BR741" s="2614"/>
      <c r="BS741" s="2614"/>
      <c r="BT741" s="2614"/>
      <c r="BU741" s="2614"/>
      <c r="BV741" s="2614"/>
      <c r="BW741" s="2614"/>
      <c r="BX741" s="2614"/>
      <c r="BY741" s="2614"/>
      <c r="BZ741" s="2614"/>
      <c r="CA741" s="2614"/>
      <c r="CB741" s="2614"/>
      <c r="CC741" s="2614"/>
      <c r="CD741" s="2614"/>
      <c r="CE741" s="2614"/>
      <c r="CF741" s="2614"/>
      <c r="CG741" s="2614"/>
      <c r="CH741" s="2614"/>
      <c r="CI741" s="2614"/>
      <c r="CJ741" s="2614"/>
      <c r="CK741" s="2614"/>
      <c r="CL741" s="2612"/>
      <c r="CM741" s="2614"/>
      <c r="CN741" s="2614"/>
      <c r="CO741" s="2614"/>
      <c r="CP741" s="2612"/>
      <c r="CQ741" s="2614"/>
      <c r="CR741" s="2614"/>
      <c r="CS741" s="2614"/>
      <c r="CT741" s="2776">
        <v>200</v>
      </c>
      <c r="CU741" s="2775">
        <v>200</v>
      </c>
      <c r="CV741" s="2775">
        <v>200</v>
      </c>
      <c r="CW741" s="2777">
        <v>200</v>
      </c>
      <c r="CX741" s="2775">
        <v>200</v>
      </c>
      <c r="CY741" s="2775">
        <v>200</v>
      </c>
      <c r="CZ741" s="2775">
        <v>200</v>
      </c>
      <c r="DA741" s="2775">
        <v>200</v>
      </c>
      <c r="DB741" s="2776">
        <v>200</v>
      </c>
      <c r="DC741" s="2775">
        <v>200</v>
      </c>
      <c r="DD741" s="2775">
        <v>200</v>
      </c>
      <c r="DE741" s="2775">
        <v>200</v>
      </c>
      <c r="DF741" s="2775">
        <v>200</v>
      </c>
      <c r="DG741" s="2775">
        <v>200</v>
      </c>
      <c r="DH741" s="2775">
        <v>200</v>
      </c>
      <c r="DI741" s="2775">
        <v>200</v>
      </c>
      <c r="DJ741" s="2775">
        <v>200</v>
      </c>
      <c r="DK741" s="2775">
        <v>200</v>
      </c>
      <c r="DL741" s="2775">
        <v>200</v>
      </c>
      <c r="DM741" s="2775">
        <v>200</v>
      </c>
      <c r="DN741" s="2775">
        <v>200</v>
      </c>
      <c r="DO741" s="2775">
        <v>200</v>
      </c>
      <c r="DP741" s="2775">
        <v>200</v>
      </c>
      <c r="DQ741" s="2775">
        <v>200</v>
      </c>
      <c r="DR741" s="2775">
        <v>200</v>
      </c>
      <c r="DS741" s="2775">
        <v>200</v>
      </c>
      <c r="DT741" s="2775">
        <v>200</v>
      </c>
      <c r="DU741" s="2775">
        <v>200</v>
      </c>
      <c r="DV741" s="2775">
        <v>200</v>
      </c>
      <c r="DW741" s="2775">
        <v>200</v>
      </c>
      <c r="DX741" s="2775">
        <v>200</v>
      </c>
      <c r="DY741" s="2777">
        <v>200</v>
      </c>
    </row>
    <row r="742" spans="1:129" hidden="1" outlineLevel="1">
      <c r="A742" s="1903" t="s">
        <v>176</v>
      </c>
      <c r="S742" s="2779">
        <f t="shared" ref="S742:V742" si="2665">(S738-S740)</f>
        <v>2612.3000000000002</v>
      </c>
      <c r="T742" s="2779">
        <f t="shared" si="2665"/>
        <v>3873.4</v>
      </c>
      <c r="U742" s="2779">
        <f t="shared" si="2665"/>
        <v>4758.26</v>
      </c>
      <c r="V742" s="2779">
        <f t="shared" si="2665"/>
        <v>-3696</v>
      </c>
      <c r="W742" s="2779">
        <f t="shared" ref="W742:AB742" si="2666">(W738-W740)</f>
        <v>-3696</v>
      </c>
      <c r="X742" s="2779">
        <f t="shared" si="2666"/>
        <v>-3696</v>
      </c>
      <c r="Y742" s="2779">
        <f t="shared" si="2666"/>
        <v>-3696</v>
      </c>
      <c r="Z742" s="2779">
        <f t="shared" si="2666"/>
        <v>-3696</v>
      </c>
      <c r="AA742" s="2779">
        <f t="shared" si="2666"/>
        <v>0</v>
      </c>
      <c r="AB742" s="2779">
        <f t="shared" si="2666"/>
        <v>0</v>
      </c>
      <c r="AC742" s="2779">
        <f t="shared" ref="AC742:AG742" si="2667">(AC738-AC740)</f>
        <v>0</v>
      </c>
      <c r="AD742" s="2779">
        <f t="shared" si="2667"/>
        <v>0</v>
      </c>
      <c r="AE742" s="2779">
        <f t="shared" si="2667"/>
        <v>0</v>
      </c>
      <c r="AF742" s="2779">
        <f t="shared" si="2667"/>
        <v>0</v>
      </c>
      <c r="AG742" s="2779">
        <f t="shared" si="2667"/>
        <v>0</v>
      </c>
      <c r="AI742" s="2207"/>
      <c r="CL742" s="1942"/>
      <c r="CP742" s="1942"/>
      <c r="CT742" s="2780">
        <f t="shared" ref="CT742:DE742" si="2668">(CT738-CT740)</f>
        <v>536.79999999999995</v>
      </c>
      <c r="CU742" s="2779">
        <f t="shared" si="2668"/>
        <v>563.5</v>
      </c>
      <c r="CV742" s="2779">
        <f t="shared" si="2668"/>
        <v>480</v>
      </c>
      <c r="CW742" s="2781">
        <f t="shared" si="2668"/>
        <v>1032</v>
      </c>
      <c r="CX742" s="2779">
        <f t="shared" si="2668"/>
        <v>768</v>
      </c>
      <c r="CY742" s="2779">
        <f t="shared" si="2668"/>
        <v>675</v>
      </c>
      <c r="CZ742" s="2779">
        <f t="shared" si="2668"/>
        <v>818.4</v>
      </c>
      <c r="DA742" s="2779">
        <f t="shared" si="2668"/>
        <v>1612</v>
      </c>
      <c r="DB742" s="2780">
        <f t="shared" si="2668"/>
        <v>1040</v>
      </c>
      <c r="DC742" s="2779">
        <f t="shared" si="2668"/>
        <v>994.5</v>
      </c>
      <c r="DD742" s="2779">
        <f t="shared" si="2668"/>
        <v>1007.7600000000001</v>
      </c>
      <c r="DE742" s="2779">
        <f t="shared" si="2668"/>
        <v>1716</v>
      </c>
      <c r="DF742" s="2779">
        <f>(DF738-DF740)</f>
        <v>1716</v>
      </c>
      <c r="DG742" s="2779">
        <f>(DG738-DG740)</f>
        <v>1716</v>
      </c>
      <c r="DH742" s="2779">
        <f>(DH738-DH740)</f>
        <v>1716</v>
      </c>
      <c r="DI742" s="2779">
        <f>(DI738-DI740)</f>
        <v>1716</v>
      </c>
      <c r="DJ742" s="2779">
        <f t="shared" ref="DJ742:DM742" si="2669">(DJ738-DJ740)</f>
        <v>1716</v>
      </c>
      <c r="DK742" s="2779">
        <f t="shared" si="2669"/>
        <v>1716</v>
      </c>
      <c r="DL742" s="2779">
        <f t="shared" si="2669"/>
        <v>1716</v>
      </c>
      <c r="DM742" s="2779">
        <f t="shared" si="2669"/>
        <v>1716</v>
      </c>
      <c r="DN742" s="2779">
        <f t="shared" ref="DN742:DO742" si="2670">(DN738-DN740)</f>
        <v>1716</v>
      </c>
      <c r="DO742" s="2779">
        <f t="shared" si="2670"/>
        <v>1716</v>
      </c>
      <c r="DP742" s="2779">
        <f t="shared" ref="DP742:DQ742" si="2671">(DP738-DP740)</f>
        <v>1716</v>
      </c>
      <c r="DQ742" s="2779">
        <f t="shared" si="2671"/>
        <v>1716</v>
      </c>
      <c r="DR742" s="2779">
        <f t="shared" ref="DR742" si="2672">(DR738-DR740)</f>
        <v>1716</v>
      </c>
      <c r="DS742" s="2779">
        <f t="shared" ref="DS742:DT742" si="2673">(DS738-DS740)</f>
        <v>1716</v>
      </c>
      <c r="DT742" s="2779">
        <f t="shared" si="2673"/>
        <v>1716</v>
      </c>
      <c r="DU742" s="2779">
        <f t="shared" ref="DU742" si="2674">(DU738-DU740)</f>
        <v>1716</v>
      </c>
      <c r="DV742" s="2779">
        <f t="shared" ref="DV742" si="2675">(DV738-DV740)</f>
        <v>1716</v>
      </c>
      <c r="DW742" s="2779">
        <f t="shared" ref="DW742:DY742" si="2676">(DW738-DW740)</f>
        <v>0</v>
      </c>
      <c r="DX742" s="2779">
        <f t="shared" si="2676"/>
        <v>0</v>
      </c>
      <c r="DY742" s="2781">
        <f t="shared" si="2676"/>
        <v>0</v>
      </c>
    </row>
    <row r="743" spans="1:129" hidden="1" outlineLevel="1">
      <c r="A743" s="1903" t="s">
        <v>177</v>
      </c>
      <c r="S743" s="2779">
        <f t="shared" ref="S743:V743" si="2677">S742*0.55</f>
        <v>1436.7650000000003</v>
      </c>
      <c r="T743" s="2779">
        <f t="shared" si="2677"/>
        <v>2130.3700000000003</v>
      </c>
      <c r="U743" s="2779">
        <f t="shared" si="2677"/>
        <v>2617.0430000000001</v>
      </c>
      <c r="V743" s="2779">
        <f t="shared" si="2677"/>
        <v>-2032.8000000000002</v>
      </c>
      <c r="W743" s="2779">
        <f t="shared" ref="W743:AB743" si="2678">W742*0.55</f>
        <v>-2032.8000000000002</v>
      </c>
      <c r="X743" s="2779">
        <f t="shared" si="2678"/>
        <v>-2032.8000000000002</v>
      </c>
      <c r="Y743" s="2779">
        <f t="shared" si="2678"/>
        <v>-2032.8000000000002</v>
      </c>
      <c r="Z743" s="2779">
        <f t="shared" si="2678"/>
        <v>-2032.8000000000002</v>
      </c>
      <c r="AA743" s="2779">
        <f t="shared" si="2678"/>
        <v>0</v>
      </c>
      <c r="AB743" s="2779">
        <f t="shared" si="2678"/>
        <v>0</v>
      </c>
      <c r="AC743" s="2779">
        <f t="shared" ref="AC743:AG743" si="2679">AC742*0.55</f>
        <v>0</v>
      </c>
      <c r="AD743" s="2779">
        <f t="shared" si="2679"/>
        <v>0</v>
      </c>
      <c r="AE743" s="2779">
        <f t="shared" si="2679"/>
        <v>0</v>
      </c>
      <c r="AF743" s="2779">
        <f t="shared" si="2679"/>
        <v>0</v>
      </c>
      <c r="AG743" s="2779">
        <f t="shared" si="2679"/>
        <v>0</v>
      </c>
      <c r="AI743" s="2207"/>
      <c r="CL743" s="1942"/>
      <c r="CP743" s="1942"/>
      <c r="CT743" s="2780">
        <f t="shared" ref="CT743:DF743" si="2680">+CT742*0.55</f>
        <v>295.24</v>
      </c>
      <c r="CU743" s="2779">
        <f t="shared" si="2680"/>
        <v>309.92500000000001</v>
      </c>
      <c r="CV743" s="2779">
        <f t="shared" si="2680"/>
        <v>264</v>
      </c>
      <c r="CW743" s="2781">
        <f t="shared" si="2680"/>
        <v>567.6</v>
      </c>
      <c r="CX743" s="2779">
        <f t="shared" si="2680"/>
        <v>422.40000000000003</v>
      </c>
      <c r="CY743" s="2779">
        <f t="shared" si="2680"/>
        <v>371.25000000000006</v>
      </c>
      <c r="CZ743" s="2779">
        <f t="shared" si="2680"/>
        <v>450.12</v>
      </c>
      <c r="DA743" s="2779">
        <f t="shared" si="2680"/>
        <v>886.6</v>
      </c>
      <c r="DB743" s="2780">
        <f t="shared" si="2680"/>
        <v>572</v>
      </c>
      <c r="DC743" s="2779">
        <f t="shared" si="2680"/>
        <v>546.97500000000002</v>
      </c>
      <c r="DD743" s="2779">
        <f t="shared" si="2680"/>
        <v>554.26800000000014</v>
      </c>
      <c r="DE743" s="2779">
        <f t="shared" si="2680"/>
        <v>943.80000000000007</v>
      </c>
      <c r="DF743" s="2779">
        <f t="shared" si="2680"/>
        <v>943.80000000000007</v>
      </c>
      <c r="DG743" s="2779">
        <f>+DG742*0.55</f>
        <v>943.80000000000007</v>
      </c>
      <c r="DH743" s="2779">
        <f>+DH742*0.55</f>
        <v>943.80000000000007</v>
      </c>
      <c r="DI743" s="2779">
        <f>+DI742*0.55</f>
        <v>943.80000000000007</v>
      </c>
      <c r="DJ743" s="2779">
        <f t="shared" ref="DJ743:DM743" si="2681">+DJ742*0.55</f>
        <v>943.80000000000007</v>
      </c>
      <c r="DK743" s="2779">
        <f t="shared" si="2681"/>
        <v>943.80000000000007</v>
      </c>
      <c r="DL743" s="2779">
        <f t="shared" si="2681"/>
        <v>943.80000000000007</v>
      </c>
      <c r="DM743" s="2779">
        <f t="shared" si="2681"/>
        <v>943.80000000000007</v>
      </c>
      <c r="DN743" s="2779">
        <f t="shared" ref="DN743:DO743" si="2682">+DN742*0.55</f>
        <v>943.80000000000007</v>
      </c>
      <c r="DO743" s="2779">
        <f t="shared" si="2682"/>
        <v>943.80000000000007</v>
      </c>
      <c r="DP743" s="2779">
        <f t="shared" ref="DP743:DQ743" si="2683">+DP742*0.55</f>
        <v>943.80000000000007</v>
      </c>
      <c r="DQ743" s="2779">
        <f t="shared" si="2683"/>
        <v>943.80000000000007</v>
      </c>
      <c r="DR743" s="2779">
        <f t="shared" ref="DR743" si="2684">+DR742*0.55</f>
        <v>943.80000000000007</v>
      </c>
      <c r="DS743" s="2779">
        <f t="shared" ref="DS743:DT743" si="2685">+DS742*0.55</f>
        <v>943.80000000000007</v>
      </c>
      <c r="DT743" s="2779">
        <f t="shared" si="2685"/>
        <v>943.80000000000007</v>
      </c>
      <c r="DU743" s="2779">
        <f t="shared" ref="DU743" si="2686">+DU742*0.55</f>
        <v>943.80000000000007</v>
      </c>
      <c r="DV743" s="2779">
        <f t="shared" ref="DV743" si="2687">+DV742*0.55</f>
        <v>943.80000000000007</v>
      </c>
      <c r="DW743" s="2779">
        <f t="shared" ref="DW743:DY743" si="2688">+DW742*0.55</f>
        <v>0</v>
      </c>
      <c r="DX743" s="2779">
        <f t="shared" si="2688"/>
        <v>0</v>
      </c>
      <c r="DY743" s="2781">
        <f t="shared" si="2688"/>
        <v>0</v>
      </c>
    </row>
    <row r="744" spans="1:129" hidden="1" outlineLevel="1">
      <c r="A744" s="2213" t="s">
        <v>178</v>
      </c>
      <c r="B744" s="2213"/>
      <c r="C744" s="2213"/>
      <c r="D744" s="2213"/>
      <c r="E744" s="2213"/>
      <c r="F744" s="2213"/>
      <c r="G744" s="2213"/>
      <c r="H744" s="2213"/>
      <c r="I744" s="2213"/>
      <c r="J744" s="2213"/>
      <c r="K744" s="2213"/>
      <c r="L744" s="2213"/>
      <c r="M744" s="2213"/>
      <c r="N744" s="2213"/>
      <c r="O744" s="2213"/>
      <c r="P744" s="2213"/>
      <c r="Q744" s="2213"/>
      <c r="R744" s="2213"/>
      <c r="S744" s="2782">
        <f>+IS!S79</f>
        <v>0.30514293050325231</v>
      </c>
      <c r="T744" s="2782">
        <f>+IS!T79</f>
        <v>0.30129388516851457</v>
      </c>
      <c r="U744" s="2782">
        <f>+IS!U79</f>
        <v>0.30806384087627414</v>
      </c>
      <c r="V744" s="2782">
        <f>+IS!V79</f>
        <v>0.30479303258635876</v>
      </c>
      <c r="W744" s="2782">
        <f>+IS!W79</f>
        <v>0.38685478619492081</v>
      </c>
      <c r="X744" s="2782">
        <f>+IS!X79</f>
        <v>0.35157533084492704</v>
      </c>
      <c r="Y744" s="2782">
        <f>+IS!Y79</f>
        <v>0.3191138450566105</v>
      </c>
      <c r="Z744" s="2782">
        <f ca="1">+IS!Z79</f>
        <v>0.24621328907294515</v>
      </c>
      <c r="AA744" s="2782">
        <f>+IS!AA79</f>
        <v>0.25</v>
      </c>
      <c r="AB744" s="2782">
        <f>+IS!AB79</f>
        <v>0.25</v>
      </c>
      <c r="AC744" s="2782">
        <f>+IS!AC79</f>
        <v>0.25</v>
      </c>
      <c r="AD744" s="2782">
        <f>+IS!AD79</f>
        <v>0.25</v>
      </c>
      <c r="AE744" s="2782">
        <f>+IS!AE79</f>
        <v>0.25</v>
      </c>
      <c r="AF744" s="2782">
        <f>+IS!AF79</f>
        <v>0.25</v>
      </c>
      <c r="AG744" s="2782">
        <f>+IS!AG79</f>
        <v>0.25</v>
      </c>
      <c r="AI744" s="2213"/>
      <c r="AK744" s="2213"/>
      <c r="AL744" s="2213"/>
      <c r="AM744" s="2213"/>
      <c r="AN744" s="2213"/>
      <c r="AO744" s="2213"/>
      <c r="AP744" s="2213"/>
      <c r="AQ744" s="2213"/>
      <c r="AR744" s="2213"/>
      <c r="AS744" s="2213"/>
      <c r="AT744" s="2213"/>
      <c r="AU744" s="2213"/>
      <c r="AV744" s="2213"/>
      <c r="AW744" s="2213"/>
      <c r="AX744" s="2213"/>
      <c r="AY744" s="2213"/>
      <c r="AZ744" s="2213"/>
      <c r="BA744" s="2213"/>
      <c r="BB744" s="2213"/>
      <c r="BC744" s="2213"/>
      <c r="BD744" s="2213"/>
      <c r="BE744" s="2213"/>
      <c r="BF744" s="2213"/>
      <c r="BG744" s="2213"/>
      <c r="BH744" s="2213"/>
      <c r="BI744" s="2213"/>
      <c r="BJ744" s="2213"/>
      <c r="BK744" s="2213"/>
      <c r="BL744" s="2213"/>
      <c r="BM744" s="2213"/>
      <c r="BN744" s="2213"/>
      <c r="BO744" s="2213"/>
      <c r="BP744" s="2213"/>
      <c r="BQ744" s="2213"/>
      <c r="BR744" s="2213"/>
      <c r="BS744" s="2213"/>
      <c r="BT744" s="2213"/>
      <c r="BU744" s="2213"/>
      <c r="BV744" s="2213"/>
      <c r="BW744" s="2213"/>
      <c r="BX744" s="2213"/>
      <c r="BY744" s="2213"/>
      <c r="BZ744" s="2213"/>
      <c r="CA744" s="2213"/>
      <c r="CB744" s="2213"/>
      <c r="CC744" s="2213"/>
      <c r="CD744" s="2213"/>
      <c r="CE744" s="2213"/>
      <c r="CF744" s="2213"/>
      <c r="CG744" s="2213"/>
      <c r="CH744" s="2213"/>
      <c r="CI744" s="2213"/>
      <c r="CJ744" s="2213"/>
      <c r="CK744" s="2213"/>
      <c r="CL744" s="2212"/>
      <c r="CM744" s="2213"/>
      <c r="CN744" s="2213"/>
      <c r="CO744" s="2213"/>
      <c r="CP744" s="2212"/>
      <c r="CQ744" s="2213"/>
      <c r="CR744" s="2213"/>
      <c r="CS744" s="2213"/>
      <c r="CT744" s="2783">
        <f>+IS!CQ79</f>
        <v>0.30009727626459143</v>
      </c>
      <c r="CU744" s="2782">
        <f>+IS!CR79</f>
        <v>0.30376460406750322</v>
      </c>
      <c r="CV744" s="2782">
        <f>+IS!CS79</f>
        <v>0.30225706713780914</v>
      </c>
      <c r="CW744" s="2784">
        <f>+IS!CT79</f>
        <v>0.31456730769230778</v>
      </c>
      <c r="CX744" s="2782">
        <f>+IS!CU79</f>
        <v>0.30119817578772801</v>
      </c>
      <c r="CY744" s="2782">
        <f>+IS!CV79</f>
        <v>0.30624855268236201</v>
      </c>
      <c r="CZ744" s="2782">
        <f>+IS!CW79</f>
        <v>0.30214263803680985</v>
      </c>
      <c r="DA744" s="2782">
        <f>+IS!CX79</f>
        <v>0.2914005340453939</v>
      </c>
      <c r="DB744" s="2783">
        <f>+IS!CY79</f>
        <v>0.30791161796151106</v>
      </c>
      <c r="DC744" s="2782">
        <f>+IS!CZ79</f>
        <v>0.30120776179324188</v>
      </c>
      <c r="DD744" s="2782">
        <f>+IS!DA79</f>
        <v>0.3007662713427236</v>
      </c>
      <c r="DE744" s="2782">
        <f>+IS!DB79</f>
        <v>0.32393632416787271</v>
      </c>
      <c r="DF744" s="2782">
        <f>+IS!DC79</f>
        <v>0.20387531592249369</v>
      </c>
      <c r="DG744" s="2782">
        <f>+IS!DD79</f>
        <v>0.34108372662122005</v>
      </c>
      <c r="DH744" s="2782">
        <f>+IS!DE79</f>
        <v>0.33531210649397375</v>
      </c>
      <c r="DI744" s="2782">
        <f>+IS!DF79</f>
        <v>0.32789569160997734</v>
      </c>
      <c r="DJ744" s="2782">
        <f>+IS!DG79</f>
        <v>0.38882402001668059</v>
      </c>
      <c r="DK744" s="2782">
        <f>+IS!DH79</f>
        <v>0.38167170191339378</v>
      </c>
      <c r="DL744" s="2782">
        <f>+IS!DI79</f>
        <v>0.38550157519482675</v>
      </c>
      <c r="DM744" s="2782">
        <f>+IS!DJ79</f>
        <v>0.39224707978618095</v>
      </c>
      <c r="DN744" s="2782">
        <f>+IS!DK79</f>
        <v>0.38163085937499996</v>
      </c>
      <c r="DO744" s="2782">
        <f>+IS!DL79</f>
        <v>0.34985668521328611</v>
      </c>
      <c r="DP744" s="2782">
        <f>+IS!DM79</f>
        <v>0.34005763688760809</v>
      </c>
      <c r="DQ744" s="2782">
        <f>+IS!DN79</f>
        <v>0.33206470028544244</v>
      </c>
      <c r="DR744" s="2782">
        <f>+IS!DO79</f>
        <v>0.25782901056676272</v>
      </c>
      <c r="DS744" s="2782">
        <f>+IS!DP79</f>
        <v>0.33104866346812883</v>
      </c>
      <c r="DT744" s="2782">
        <f>+IS!DQ79</f>
        <v>0.33599334995843722</v>
      </c>
      <c r="DU744" s="2782">
        <f>+IS!DR79</f>
        <v>0.34659724804760134</v>
      </c>
      <c r="DV744" s="2782">
        <f>+IS!DS79</f>
        <v>0.23501351566226744</v>
      </c>
      <c r="DW744" s="2782">
        <f>+IS!DT79</f>
        <v>0.25</v>
      </c>
      <c r="DX744" s="2782">
        <f>+IS!DU79</f>
        <v>0.25</v>
      </c>
      <c r="DY744" s="2784">
        <f>+IS!DV79</f>
        <v>0.25</v>
      </c>
    </row>
    <row r="745" spans="1:129" hidden="1" outlineLevel="1">
      <c r="A745" s="2621" t="s">
        <v>179</v>
      </c>
      <c r="B745" s="2621"/>
      <c r="C745" s="2621"/>
      <c r="D745" s="2621"/>
      <c r="E745" s="2621"/>
      <c r="F745" s="2621"/>
      <c r="G745" s="2621"/>
      <c r="H745" s="2621"/>
      <c r="I745" s="2621"/>
      <c r="J745" s="2621"/>
      <c r="K745" s="2621"/>
      <c r="L745" s="2621"/>
      <c r="M745" s="2621"/>
      <c r="N745" s="2621"/>
      <c r="O745" s="2621"/>
      <c r="P745" s="2621"/>
      <c r="Q745" s="2621"/>
      <c r="R745" s="2621"/>
      <c r="S745" s="2785">
        <f>-(1-S744)*S743/IS!S103</f>
        <v>-0.35165421537706759</v>
      </c>
      <c r="T745" s="2785">
        <f>-(1-T744)*T743/IS!T103</f>
        <v>-0.5200917350990748</v>
      </c>
      <c r="U745" s="2785">
        <f>-(1-U744)*U743/IS!U103</f>
        <v>-0.63007191429423548</v>
      </c>
      <c r="V745" s="2785">
        <f>-(1-V744)*V743/IS!V103</f>
        <v>0.33949113527318475</v>
      </c>
      <c r="W745" s="2785">
        <f>-(1-W744)*W743/IS!W103</f>
        <v>0.30448310507462201</v>
      </c>
      <c r="X745" s="2785">
        <f>-(1-X744)*X743/IS!X103</f>
        <v>0.32261339226786578</v>
      </c>
      <c r="Y745" s="2785">
        <f>-(1-Y744)*Y743/IS!Y103</f>
        <v>0.33866047853411363</v>
      </c>
      <c r="Z745" s="2785">
        <f ca="1">-(1-Z744)*Z743/IS!Z103</f>
        <v>0.37117927079923507</v>
      </c>
      <c r="AA745" s="2785">
        <f>-(1-AA744)*AA743/IS!AA103</f>
        <v>0</v>
      </c>
      <c r="AB745" s="2785">
        <f>-(1-AB744)*AB743/IS!AB103</f>
        <v>0</v>
      </c>
      <c r="AC745" s="2785">
        <f>-(1-AC744)*AC743/IS!AC103</f>
        <v>0</v>
      </c>
      <c r="AD745" s="2785">
        <f>-(1-AD744)*AD743/IS!AD103</f>
        <v>0</v>
      </c>
      <c r="AE745" s="2785">
        <f>-(1-AE744)*AE743/IS!AE103</f>
        <v>0</v>
      </c>
      <c r="AF745" s="2785">
        <f>-(1-AF744)*AF743/IS!AF103</f>
        <v>0</v>
      </c>
      <c r="AG745" s="2785">
        <f>-(1-AG744)*AG743/IS!AG103</f>
        <v>0</v>
      </c>
      <c r="AI745" s="2621"/>
      <c r="AK745" s="2621"/>
      <c r="AL745" s="2621"/>
      <c r="AM745" s="2621"/>
      <c r="AN745" s="2621"/>
      <c r="AO745" s="2621"/>
      <c r="AP745" s="2621"/>
      <c r="AQ745" s="2621"/>
      <c r="AR745" s="2621"/>
      <c r="AS745" s="2621"/>
      <c r="AT745" s="2621"/>
      <c r="AU745" s="2621"/>
      <c r="AV745" s="2621"/>
      <c r="AW745" s="2621"/>
      <c r="AX745" s="2621"/>
      <c r="AY745" s="2621"/>
      <c r="AZ745" s="2621"/>
      <c r="BA745" s="2621"/>
      <c r="BB745" s="2621"/>
      <c r="BC745" s="2621"/>
      <c r="BD745" s="2621"/>
      <c r="BE745" s="2621"/>
      <c r="BF745" s="2621"/>
      <c r="BG745" s="2621"/>
      <c r="BH745" s="2621"/>
      <c r="BI745" s="2621"/>
      <c r="BJ745" s="2621"/>
      <c r="BK745" s="2621"/>
      <c r="BL745" s="2621"/>
      <c r="BM745" s="2621"/>
      <c r="BN745" s="2621"/>
      <c r="BO745" s="2621"/>
      <c r="BP745" s="2621"/>
      <c r="BQ745" s="2621"/>
      <c r="BR745" s="2621"/>
      <c r="BS745" s="2621"/>
      <c r="BT745" s="2621"/>
      <c r="BU745" s="2621"/>
      <c r="BV745" s="2621"/>
      <c r="BW745" s="2621"/>
      <c r="BX745" s="2621"/>
      <c r="BY745" s="2621"/>
      <c r="BZ745" s="2621"/>
      <c r="CA745" s="2621"/>
      <c r="CB745" s="2621"/>
      <c r="CC745" s="2621"/>
      <c r="CD745" s="2621"/>
      <c r="CE745" s="2621"/>
      <c r="CF745" s="2621"/>
      <c r="CG745" s="2621"/>
      <c r="CH745" s="2621"/>
      <c r="CI745" s="2621"/>
      <c r="CJ745" s="2621"/>
      <c r="CK745" s="2621"/>
      <c r="CL745" s="2735"/>
      <c r="CM745" s="2621"/>
      <c r="CN745" s="2621"/>
      <c r="CO745" s="2621"/>
      <c r="CP745" s="2735"/>
      <c r="CQ745" s="2621"/>
      <c r="CR745" s="2621"/>
      <c r="CS745" s="2621"/>
      <c r="CT745" s="2786">
        <f>-(1-CT744)*CT743/IS!CQ103</f>
        <v>-7.301741348255901E-2</v>
      </c>
      <c r="CU745" s="2787">
        <f>-(1-CU744)*CU743/IS!CR103</f>
        <v>-7.619376945069882E-2</v>
      </c>
      <c r="CV745" s="2787">
        <f>-(1-CV744)*CV743/IS!CS103</f>
        <v>-6.4997930231340303E-2</v>
      </c>
      <c r="CW745" s="2788">
        <f>-(1-CW744)*CW743/IS!CT103</f>
        <v>-0.13723160358160358</v>
      </c>
      <c r="CX745" s="2787">
        <f>-(1-CX744)*CX743/IS!CU103</f>
        <v>-0.10360613918822877</v>
      </c>
      <c r="CY745" s="2787">
        <f>-(1-CY744)*CY743/IS!CV103</f>
        <v>-9.0117293497786272E-2</v>
      </c>
      <c r="CZ745" s="2787">
        <f>-(1-CZ744)*CZ743/IS!CW103</f>
        <v>-0.10960207807636815</v>
      </c>
      <c r="DA745" s="2787">
        <f>-(1-DA744)*DA743/IS!CX103</f>
        <v>-0.21951232932052891</v>
      </c>
      <c r="DB745" s="2786">
        <f>-(1-DB744)*DB743/IS!CY103</f>
        <v>-0.1378393295703397</v>
      </c>
      <c r="DC745" s="2787">
        <f>-(1-DC744)*DC743/IS!CZ103</f>
        <v>-0.13308561437783481</v>
      </c>
      <c r="DD745" s="2787">
        <f>-(1-DD744)*DD743/IS!DA103</f>
        <v>-0.13485138493925239</v>
      </c>
      <c r="DE745" s="2787">
        <f>-(1-DE744)*DE743/IS!DB103</f>
        <v>-0.22193700773925626</v>
      </c>
      <c r="DF745" s="2787">
        <f>-(1-DF744)*DF743/IS!DC103</f>
        <v>-0.18105601851381939</v>
      </c>
      <c r="DG745" s="2787">
        <f>-(1-DG744)*DG743/IS!DD103</f>
        <v>-0.14974360192990427</v>
      </c>
      <c r="DH745" s="2787">
        <f>-(1-DH744)*DH743/IS!DE103</f>
        <v>-0.15083732481149018</v>
      </c>
      <c r="DI745" s="2787">
        <f>-(1-DI744)*DI743/IS!DF103</f>
        <v>-0.15259370850577422</v>
      </c>
      <c r="DJ745" s="2787">
        <f>-(1-DJ744)*DJ743/IS!DG103</f>
        <v>-0.13997279541573815</v>
      </c>
      <c r="DK745" s="2787">
        <f>-(1-DK744)*DK743/IS!DH103</f>
        <v>-0.14285881217481983</v>
      </c>
      <c r="DL745" s="2787">
        <f>-(1-DL744)*DL743/IS!DI103</f>
        <v>-0.14242721348996135</v>
      </c>
      <c r="DM745" s="2787">
        <f>-(1-DM744)*DM743/IS!DJ103</f>
        <v>-0.14072551670701727</v>
      </c>
      <c r="DN745" s="2787">
        <f>-(1-DN744)*DN743/IS!DK103</f>
        <v>-0.14286824845088741</v>
      </c>
      <c r="DO745" s="2787">
        <f>-(1-DO744)*DO743/IS!DL103</f>
        <v>-0.15020936609441876</v>
      </c>
      <c r="DP745" s="2787">
        <f>-(1-DP744)*DP743/IS!DM103</f>
        <v>-0.15243602601700332</v>
      </c>
      <c r="DQ745" s="2787">
        <f>-(1-DQ744)*DQ743/IS!DN103</f>
        <v>-0.15424451575008552</v>
      </c>
      <c r="DR745" s="2787">
        <f>-(1-DR744)*DR743/IS!DO103</f>
        <v>-0.17138756540912392</v>
      </c>
      <c r="DS745" s="2787">
        <f>-(1-DS744)*DS743/IS!DP103</f>
        <v>-0.15466836634463008</v>
      </c>
      <c r="DT745" s="2787">
        <f>-(1-DT744)*DT743/IS!DQ103</f>
        <v>-0.15326228327445021</v>
      </c>
      <c r="DU745" s="2787">
        <f>-(1-DU744)*DU743/IS!DR103</f>
        <v>-0.15077787708867332</v>
      </c>
      <c r="DV745" s="2787">
        <f>-(1-DV744)*DV743/IS!DS103</f>
        <v>-0.17579601751106694</v>
      </c>
      <c r="DW745" s="2787">
        <f>-(1-DW744)*DW743/IS!DT103</f>
        <v>0</v>
      </c>
      <c r="DX745" s="2787">
        <f>-(1-DX744)*DX743/IS!DU103</f>
        <v>0</v>
      </c>
      <c r="DY745" s="2788">
        <f>-(1-DY744)*DY743/IS!DV103</f>
        <v>0</v>
      </c>
    </row>
    <row r="746" spans="1:129" hidden="1" outlineLevel="1">
      <c r="A746" s="2205" t="s">
        <v>180</v>
      </c>
      <c r="AI746" s="2207"/>
      <c r="CL746" s="1942"/>
      <c r="CP746" s="1942"/>
      <c r="CT746" s="1942"/>
      <c r="CW746" s="2236"/>
      <c r="DB746" s="1942"/>
      <c r="DY746" s="2236"/>
    </row>
    <row r="747" spans="1:129" hidden="1" outlineLevel="1">
      <c r="A747" s="2745" t="s">
        <v>163</v>
      </c>
      <c r="R747" s="2307">
        <v>0</v>
      </c>
      <c r="S747" s="2746">
        <f t="shared" ref="S747:V747" si="2689">+S728</f>
        <v>8538.5</v>
      </c>
      <c r="T747" s="2746">
        <f t="shared" si="2689"/>
        <v>11033</v>
      </c>
      <c r="U747" s="2746">
        <f t="shared" si="2689"/>
        <v>12810.7</v>
      </c>
      <c r="V747" s="2746">
        <f t="shared" si="2689"/>
        <v>18480</v>
      </c>
      <c r="W747" s="2746">
        <f t="shared" ref="W747:AB747" si="2690">+W728</f>
        <v>18480</v>
      </c>
      <c r="X747" s="2746">
        <f t="shared" si="2690"/>
        <v>18480</v>
      </c>
      <c r="Y747" s="2746">
        <f t="shared" si="2690"/>
        <v>18480</v>
      </c>
      <c r="Z747" s="2746">
        <f t="shared" si="2690"/>
        <v>18480</v>
      </c>
      <c r="AA747" s="2746">
        <f t="shared" si="2690"/>
        <v>0</v>
      </c>
      <c r="AB747" s="2746">
        <f t="shared" si="2690"/>
        <v>0</v>
      </c>
      <c r="AC747" s="2746">
        <f t="shared" ref="AC747:AG747" si="2691">+AC728</f>
        <v>0</v>
      </c>
      <c r="AD747" s="2746">
        <f t="shared" si="2691"/>
        <v>0</v>
      </c>
      <c r="AE747" s="2746">
        <f t="shared" si="2691"/>
        <v>0</v>
      </c>
      <c r="AF747" s="2746">
        <f t="shared" si="2691"/>
        <v>0</v>
      </c>
      <c r="AG747" s="2746">
        <f t="shared" si="2691"/>
        <v>0</v>
      </c>
      <c r="AI747" s="2207"/>
      <c r="CL747" s="1942"/>
      <c r="CP747" s="1942"/>
      <c r="CT747" s="2758">
        <f t="shared" ref="CT747:DE747" si="2692">+CT728</f>
        <v>1716</v>
      </c>
      <c r="CU747" s="2746">
        <f t="shared" si="2692"/>
        <v>1782.5</v>
      </c>
      <c r="CV747" s="2746">
        <f t="shared" si="2692"/>
        <v>1600</v>
      </c>
      <c r="CW747" s="2757">
        <f t="shared" si="2692"/>
        <v>3440</v>
      </c>
      <c r="CX747" s="2746">
        <f t="shared" si="2692"/>
        <v>2560</v>
      </c>
      <c r="CY747" s="2746">
        <f t="shared" si="2692"/>
        <v>2025</v>
      </c>
      <c r="CZ747" s="2746">
        <f t="shared" si="2692"/>
        <v>2108</v>
      </c>
      <c r="DA747" s="2746">
        <f t="shared" si="2692"/>
        <v>4340</v>
      </c>
      <c r="DB747" s="2758">
        <f t="shared" si="2692"/>
        <v>2800</v>
      </c>
      <c r="DC747" s="2746">
        <f t="shared" si="2692"/>
        <v>2677.5</v>
      </c>
      <c r="DD747" s="2746">
        <f t="shared" si="2692"/>
        <v>2713.2</v>
      </c>
      <c r="DE747" s="2746">
        <f t="shared" si="2692"/>
        <v>4620</v>
      </c>
      <c r="DF747" s="2746">
        <f>+DF728</f>
        <v>4620</v>
      </c>
      <c r="DG747" s="2746">
        <f>+DG728</f>
        <v>4620</v>
      </c>
      <c r="DH747" s="2746">
        <f>+DH728</f>
        <v>4620</v>
      </c>
      <c r="DI747" s="2746">
        <f>+DI728</f>
        <v>4620</v>
      </c>
      <c r="DJ747" s="2746">
        <f t="shared" ref="DJ747:DM747" si="2693">+DJ728</f>
        <v>4620</v>
      </c>
      <c r="DK747" s="2746">
        <f t="shared" si="2693"/>
        <v>4620</v>
      </c>
      <c r="DL747" s="2746">
        <f t="shared" si="2693"/>
        <v>4620</v>
      </c>
      <c r="DM747" s="2746">
        <f t="shared" si="2693"/>
        <v>4620</v>
      </c>
      <c r="DN747" s="2746">
        <f t="shared" ref="DN747:DO747" si="2694">+DN728</f>
        <v>4620</v>
      </c>
      <c r="DO747" s="2746">
        <f t="shared" si="2694"/>
        <v>4620</v>
      </c>
      <c r="DP747" s="2746">
        <f t="shared" ref="DP747:DQ747" si="2695">+DP728</f>
        <v>4620</v>
      </c>
      <c r="DQ747" s="2746">
        <f t="shared" si="2695"/>
        <v>4620</v>
      </c>
      <c r="DR747" s="2746">
        <f t="shared" ref="DR747" si="2696">+DR728</f>
        <v>4620</v>
      </c>
      <c r="DS747" s="2746">
        <f t="shared" ref="DS747:DT747" si="2697">+DS728</f>
        <v>4620</v>
      </c>
      <c r="DT747" s="2746">
        <f t="shared" si="2697"/>
        <v>4620</v>
      </c>
      <c r="DU747" s="2746">
        <f t="shared" ref="DU747" si="2698">+DU728</f>
        <v>4620</v>
      </c>
      <c r="DV747" s="2746">
        <f t="shared" ref="DV747" si="2699">+DV728</f>
        <v>4620</v>
      </c>
      <c r="DW747" s="2746">
        <f t="shared" ref="DW747:DY747" si="2700">+DW728</f>
        <v>0</v>
      </c>
      <c r="DX747" s="2746">
        <f t="shared" si="2700"/>
        <v>0</v>
      </c>
      <c r="DY747" s="2757">
        <f t="shared" si="2700"/>
        <v>0</v>
      </c>
    </row>
    <row r="748" spans="1:129" hidden="1" outlineLevel="1">
      <c r="A748" s="1903" t="s">
        <v>181</v>
      </c>
      <c r="S748" s="2782">
        <f>+AVERAGE(CT748:CW748)</f>
        <v>0.52</v>
      </c>
      <c r="T748" s="2782">
        <f>+AVERAGE(CX748:DA748)</f>
        <v>0.5</v>
      </c>
      <c r="U748" s="2782">
        <f>+AVERAGE(DB748:DE748)</f>
        <v>0.5</v>
      </c>
      <c r="V748" s="2782">
        <f>+AVERAGE(DF748:DI748)</f>
        <v>0.5</v>
      </c>
      <c r="W748" s="2782">
        <f>+AVERAGE(DG748:DJ748)</f>
        <v>0.5</v>
      </c>
      <c r="X748" s="2782">
        <f>+AVERAGE(DH748:DK748)</f>
        <v>0.5</v>
      </c>
      <c r="Y748" s="2782">
        <f>+AVERAGE(DI748:DL748)</f>
        <v>0.5</v>
      </c>
      <c r="Z748" s="2782">
        <f>+AVERAGE(DJ748:DM748)</f>
        <v>0.5</v>
      </c>
      <c r="AA748" s="2754">
        <v>0.2</v>
      </c>
      <c r="AB748" s="2754">
        <v>0.2</v>
      </c>
      <c r="AC748" s="2754">
        <v>0.2</v>
      </c>
      <c r="AD748" s="2754">
        <v>0.2</v>
      </c>
      <c r="AE748" s="2754">
        <v>0.2</v>
      </c>
      <c r="AF748" s="2754">
        <v>0.2</v>
      </c>
      <c r="AG748" s="2754">
        <v>0.2</v>
      </c>
      <c r="AI748" s="2207"/>
      <c r="CL748" s="1942"/>
      <c r="CP748" s="1942"/>
      <c r="CT748" s="2760">
        <v>0.48</v>
      </c>
      <c r="CU748" s="2754">
        <v>0.6</v>
      </c>
      <c r="CV748" s="2754">
        <v>0.5</v>
      </c>
      <c r="CW748" s="2755">
        <v>0.5</v>
      </c>
      <c r="CX748" s="2754">
        <v>0.5</v>
      </c>
      <c r="CY748" s="2754">
        <v>0.5</v>
      </c>
      <c r="CZ748" s="2754">
        <v>0.5</v>
      </c>
      <c r="DA748" s="2754">
        <v>0.5</v>
      </c>
      <c r="DB748" s="2760">
        <v>0.5</v>
      </c>
      <c r="DC748" s="2754">
        <v>0.5</v>
      </c>
      <c r="DD748" s="2754">
        <v>0.5</v>
      </c>
      <c r="DE748" s="2754">
        <v>0.5</v>
      </c>
      <c r="DF748" s="2754">
        <v>0.5</v>
      </c>
      <c r="DG748" s="2754">
        <v>0.5</v>
      </c>
      <c r="DH748" s="2754">
        <v>0.5</v>
      </c>
      <c r="DI748" s="2754">
        <v>0.5</v>
      </c>
      <c r="DJ748" s="2754">
        <v>0.5</v>
      </c>
      <c r="DK748" s="2754">
        <v>0.5</v>
      </c>
      <c r="DL748" s="2754">
        <v>0.5</v>
      </c>
      <c r="DM748" s="2754">
        <v>0.5</v>
      </c>
      <c r="DN748" s="2754">
        <v>0.5</v>
      </c>
      <c r="DO748" s="2754">
        <v>0.5</v>
      </c>
      <c r="DP748" s="2754">
        <v>0.5</v>
      </c>
      <c r="DQ748" s="2754">
        <v>0.5</v>
      </c>
      <c r="DR748" s="2754">
        <v>0.5</v>
      </c>
      <c r="DS748" s="2754">
        <v>0.5</v>
      </c>
      <c r="DT748" s="2754">
        <v>0.5</v>
      </c>
      <c r="DU748" s="2754">
        <v>0.5</v>
      </c>
      <c r="DV748" s="2754">
        <v>0.5</v>
      </c>
      <c r="DW748" s="2754">
        <v>0.3</v>
      </c>
      <c r="DX748" s="2754">
        <v>0.3</v>
      </c>
      <c r="DY748" s="2755">
        <v>0.3</v>
      </c>
    </row>
    <row r="749" spans="1:129" hidden="1" outlineLevel="1">
      <c r="A749" s="2745" t="s">
        <v>182</v>
      </c>
      <c r="R749" s="2307">
        <v>0</v>
      </c>
      <c r="S749" s="2746">
        <f t="shared" ref="S749:V749" si="2701">+S747*S748</f>
        <v>4440.0200000000004</v>
      </c>
      <c r="T749" s="2746">
        <f t="shared" si="2701"/>
        <v>5516.5</v>
      </c>
      <c r="U749" s="2746">
        <f t="shared" si="2701"/>
        <v>6405.35</v>
      </c>
      <c r="V749" s="2746">
        <f t="shared" si="2701"/>
        <v>9240</v>
      </c>
      <c r="W749" s="2746">
        <f t="shared" ref="W749:AB749" si="2702">+W747*W748</f>
        <v>9240</v>
      </c>
      <c r="X749" s="2746">
        <f t="shared" si="2702"/>
        <v>9240</v>
      </c>
      <c r="Y749" s="2746">
        <f t="shared" si="2702"/>
        <v>9240</v>
      </c>
      <c r="Z749" s="2746">
        <f t="shared" si="2702"/>
        <v>9240</v>
      </c>
      <c r="AA749" s="2746">
        <f t="shared" si="2702"/>
        <v>0</v>
      </c>
      <c r="AB749" s="2746">
        <f t="shared" si="2702"/>
        <v>0</v>
      </c>
      <c r="AC749" s="2746">
        <f t="shared" ref="AC749:AG749" si="2703">+AC747*AC748</f>
        <v>0</v>
      </c>
      <c r="AD749" s="2746">
        <f t="shared" si="2703"/>
        <v>0</v>
      </c>
      <c r="AE749" s="2746">
        <f t="shared" si="2703"/>
        <v>0</v>
      </c>
      <c r="AF749" s="2746">
        <f t="shared" si="2703"/>
        <v>0</v>
      </c>
      <c r="AG749" s="2746">
        <f t="shared" si="2703"/>
        <v>0</v>
      </c>
      <c r="AI749" s="2207"/>
      <c r="CL749" s="1942"/>
      <c r="CP749" s="1942"/>
      <c r="CS749" s="1903">
        <v>0</v>
      </c>
      <c r="CT749" s="2758">
        <f t="shared" ref="CT749:DF749" si="2704">+CT747*CT748</f>
        <v>823.68</v>
      </c>
      <c r="CU749" s="2746">
        <f t="shared" si="2704"/>
        <v>1069.5</v>
      </c>
      <c r="CV749" s="2746">
        <f t="shared" si="2704"/>
        <v>800</v>
      </c>
      <c r="CW749" s="2757">
        <f t="shared" si="2704"/>
        <v>1720</v>
      </c>
      <c r="CX749" s="2746">
        <f t="shared" si="2704"/>
        <v>1280</v>
      </c>
      <c r="CY749" s="2746">
        <f t="shared" si="2704"/>
        <v>1012.5</v>
      </c>
      <c r="CZ749" s="2746">
        <f t="shared" si="2704"/>
        <v>1054</v>
      </c>
      <c r="DA749" s="2746">
        <f t="shared" si="2704"/>
        <v>2170</v>
      </c>
      <c r="DB749" s="2758">
        <f t="shared" si="2704"/>
        <v>1400</v>
      </c>
      <c r="DC749" s="2746">
        <f t="shared" si="2704"/>
        <v>1338.75</v>
      </c>
      <c r="DD749" s="2746">
        <f t="shared" si="2704"/>
        <v>1356.6</v>
      </c>
      <c r="DE749" s="2746">
        <f t="shared" si="2704"/>
        <v>2310</v>
      </c>
      <c r="DF749" s="2746">
        <f t="shared" si="2704"/>
        <v>2310</v>
      </c>
      <c r="DG749" s="2746">
        <f>+DG747*DG748</f>
        <v>2310</v>
      </c>
      <c r="DH749" s="2746">
        <f>+DH747*DH748</f>
        <v>2310</v>
      </c>
      <c r="DI749" s="2746">
        <f>+DI747*DI748</f>
        <v>2310</v>
      </c>
      <c r="DJ749" s="2746">
        <f t="shared" ref="DJ749:DM749" si="2705">+DJ747*DJ748</f>
        <v>2310</v>
      </c>
      <c r="DK749" s="2746">
        <f t="shared" si="2705"/>
        <v>2310</v>
      </c>
      <c r="DL749" s="2746">
        <f t="shared" si="2705"/>
        <v>2310</v>
      </c>
      <c r="DM749" s="2746">
        <f t="shared" si="2705"/>
        <v>2310</v>
      </c>
      <c r="DN749" s="2746">
        <f t="shared" ref="DN749:DO749" si="2706">+DN747*DN748</f>
        <v>2310</v>
      </c>
      <c r="DO749" s="2746">
        <f t="shared" si="2706"/>
        <v>2310</v>
      </c>
      <c r="DP749" s="2746">
        <f t="shared" ref="DP749:DQ749" si="2707">+DP747*DP748</f>
        <v>2310</v>
      </c>
      <c r="DQ749" s="2746">
        <f t="shared" si="2707"/>
        <v>2310</v>
      </c>
      <c r="DR749" s="2746">
        <f t="shared" ref="DR749" si="2708">+DR747*DR748</f>
        <v>2310</v>
      </c>
      <c r="DS749" s="2746">
        <f t="shared" ref="DS749:DT749" si="2709">+DS747*DS748</f>
        <v>2310</v>
      </c>
      <c r="DT749" s="2746">
        <f t="shared" si="2709"/>
        <v>2310</v>
      </c>
      <c r="DU749" s="2746">
        <f t="shared" ref="DU749" si="2710">+DU747*DU748</f>
        <v>2310</v>
      </c>
      <c r="DV749" s="2746">
        <f t="shared" ref="DV749" si="2711">+DV747*DV748</f>
        <v>2310</v>
      </c>
      <c r="DW749" s="2746">
        <f t="shared" ref="DW749:DY749" si="2712">+DW747*DW748</f>
        <v>0</v>
      </c>
      <c r="DX749" s="2746">
        <f t="shared" si="2712"/>
        <v>0</v>
      </c>
      <c r="DY749" s="2757">
        <f t="shared" si="2712"/>
        <v>0</v>
      </c>
    </row>
    <row r="750" spans="1:129" hidden="1" outlineLevel="1">
      <c r="A750" s="2759" t="s">
        <v>162</v>
      </c>
      <c r="S750" s="2746">
        <f t="shared" ref="S750:AB750" si="2713">+AVERAGE(R749:S749)</f>
        <v>2220.0100000000002</v>
      </c>
      <c r="T750" s="2746">
        <f t="shared" si="2713"/>
        <v>4978.26</v>
      </c>
      <c r="U750" s="2746">
        <f t="shared" si="2713"/>
        <v>5960.9250000000002</v>
      </c>
      <c r="V750" s="2746">
        <f t="shared" si="2713"/>
        <v>7822.6750000000002</v>
      </c>
      <c r="W750" s="2746">
        <f t="shared" si="2713"/>
        <v>9240</v>
      </c>
      <c r="X750" s="2746">
        <f t="shared" si="2713"/>
        <v>9240</v>
      </c>
      <c r="Y750" s="2746">
        <f t="shared" si="2713"/>
        <v>9240</v>
      </c>
      <c r="Z750" s="2746">
        <f t="shared" si="2713"/>
        <v>9240</v>
      </c>
      <c r="AA750" s="2746">
        <f t="shared" si="2713"/>
        <v>4620</v>
      </c>
      <c r="AB750" s="2746">
        <f t="shared" si="2713"/>
        <v>0</v>
      </c>
      <c r="AC750" s="2746">
        <f t="shared" ref="AC750" si="2714">+AVERAGE(AB749:AC749)</f>
        <v>0</v>
      </c>
      <c r="AD750" s="2746">
        <f t="shared" ref="AD750" si="2715">+AVERAGE(AC749:AD749)</f>
        <v>0</v>
      </c>
      <c r="AE750" s="2746">
        <f t="shared" ref="AE750" si="2716">+AVERAGE(AD749:AE749)</f>
        <v>0</v>
      </c>
      <c r="AF750" s="2746">
        <f t="shared" ref="AF750" si="2717">+AVERAGE(AE749:AF749)</f>
        <v>0</v>
      </c>
      <c r="AG750" s="2746">
        <f t="shared" ref="AG750" si="2718">+AVERAGE(AF749:AG749)</f>
        <v>0</v>
      </c>
      <c r="AI750" s="2207"/>
      <c r="CL750" s="1942"/>
      <c r="CP750" s="1942"/>
      <c r="CT750" s="2758">
        <f t="shared" ref="CT750:DV750" si="2719">+AVERAGE(CS749:CT749)</f>
        <v>411.84</v>
      </c>
      <c r="CU750" s="2746">
        <f t="shared" si="2719"/>
        <v>946.58999999999992</v>
      </c>
      <c r="CV750" s="2746">
        <f t="shared" si="2719"/>
        <v>934.75</v>
      </c>
      <c r="CW750" s="2757">
        <f t="shared" si="2719"/>
        <v>1260</v>
      </c>
      <c r="CX750" s="2746">
        <f t="shared" si="2719"/>
        <v>1500</v>
      </c>
      <c r="CY750" s="2746">
        <f t="shared" si="2719"/>
        <v>1146.25</v>
      </c>
      <c r="CZ750" s="2746">
        <f t="shared" si="2719"/>
        <v>1033.25</v>
      </c>
      <c r="DA750" s="2746">
        <f t="shared" si="2719"/>
        <v>1612</v>
      </c>
      <c r="DB750" s="2758">
        <f t="shared" si="2719"/>
        <v>1785</v>
      </c>
      <c r="DC750" s="2746">
        <f t="shared" si="2719"/>
        <v>1369.375</v>
      </c>
      <c r="DD750" s="2746">
        <f t="shared" si="2719"/>
        <v>1347.675</v>
      </c>
      <c r="DE750" s="2746">
        <f t="shared" si="2719"/>
        <v>1833.3</v>
      </c>
      <c r="DF750" s="2746">
        <f t="shared" si="2719"/>
        <v>2310</v>
      </c>
      <c r="DG750" s="2746">
        <f t="shared" si="2719"/>
        <v>2310</v>
      </c>
      <c r="DH750" s="2746">
        <f t="shared" si="2719"/>
        <v>2310</v>
      </c>
      <c r="DI750" s="2746">
        <f t="shared" si="2719"/>
        <v>2310</v>
      </c>
      <c r="DJ750" s="2746">
        <f t="shared" si="2719"/>
        <v>2310</v>
      </c>
      <c r="DK750" s="2746">
        <f t="shared" si="2719"/>
        <v>2310</v>
      </c>
      <c r="DL750" s="2746">
        <f t="shared" si="2719"/>
        <v>2310</v>
      </c>
      <c r="DM750" s="2746">
        <f t="shared" si="2719"/>
        <v>2310</v>
      </c>
      <c r="DN750" s="2746">
        <f t="shared" si="2719"/>
        <v>2310</v>
      </c>
      <c r="DO750" s="2746">
        <f t="shared" si="2719"/>
        <v>2310</v>
      </c>
      <c r="DP750" s="2746">
        <f t="shared" si="2719"/>
        <v>2310</v>
      </c>
      <c r="DQ750" s="2746">
        <f t="shared" si="2719"/>
        <v>2310</v>
      </c>
      <c r="DR750" s="2746">
        <f t="shared" si="2719"/>
        <v>2310</v>
      </c>
      <c r="DS750" s="2746">
        <f t="shared" si="2719"/>
        <v>2310</v>
      </c>
      <c r="DT750" s="2746">
        <f t="shared" si="2719"/>
        <v>2310</v>
      </c>
      <c r="DU750" s="2746">
        <f t="shared" si="2719"/>
        <v>2310</v>
      </c>
      <c r="DV750" s="2746">
        <f t="shared" si="2719"/>
        <v>2310</v>
      </c>
      <c r="DW750" s="2746">
        <f t="shared" ref="DW750" si="2720">+AVERAGE(DV749:DW749)</f>
        <v>1155</v>
      </c>
      <c r="DX750" s="2746">
        <f t="shared" ref="DX750" si="2721">+AVERAGE(DW749:DX749)</f>
        <v>0</v>
      </c>
      <c r="DY750" s="2757">
        <f t="shared" ref="DY750" si="2722">+AVERAGE(DX749:DY749)</f>
        <v>0</v>
      </c>
    </row>
    <row r="751" spans="1:129" hidden="1" outlineLevel="1">
      <c r="A751" s="2582" t="s">
        <v>183</v>
      </c>
      <c r="S751" s="2747">
        <f>+AVERAGE(CT751:CW751)</f>
        <v>40</v>
      </c>
      <c r="T751" s="2747">
        <f>+AVERAGE(CX751:DA751)</f>
        <v>40</v>
      </c>
      <c r="U751" s="2747">
        <f>+AVERAGE(DB751:DE751)</f>
        <v>40</v>
      </c>
      <c r="V751" s="2747">
        <f>+AVERAGE(DF751:DI751)</f>
        <v>40</v>
      </c>
      <c r="W751" s="2747">
        <f>+AVERAGE(DG751:DJ751)</f>
        <v>40</v>
      </c>
      <c r="X751" s="2747">
        <f>+AVERAGE(DH751:DK751)</f>
        <v>40</v>
      </c>
      <c r="Y751" s="2747">
        <f>+AVERAGE(DI751:DL751)</f>
        <v>40</v>
      </c>
      <c r="Z751" s="2747">
        <f>+AVERAGE(DJ751:DM751)</f>
        <v>40</v>
      </c>
      <c r="AA751" s="2789">
        <f>+Z751</f>
        <v>40</v>
      </c>
      <c r="AB751" s="2789">
        <f>+AA751</f>
        <v>40</v>
      </c>
      <c r="AC751" s="2789">
        <f t="shared" ref="AC751:AG751" si="2723">+AB751</f>
        <v>40</v>
      </c>
      <c r="AD751" s="2789">
        <f t="shared" si="2723"/>
        <v>40</v>
      </c>
      <c r="AE751" s="2789">
        <f t="shared" si="2723"/>
        <v>40</v>
      </c>
      <c r="AF751" s="2789">
        <f t="shared" si="2723"/>
        <v>40</v>
      </c>
      <c r="AG751" s="2789">
        <f t="shared" si="2723"/>
        <v>40</v>
      </c>
      <c r="AI751" s="2207"/>
      <c r="CL751" s="1942"/>
      <c r="CP751" s="1942"/>
      <c r="CT751" s="2790">
        <v>40</v>
      </c>
      <c r="CU751" s="2789">
        <v>40</v>
      </c>
      <c r="CV751" s="2789">
        <v>40</v>
      </c>
      <c r="CW751" s="2791">
        <v>40</v>
      </c>
      <c r="CX751" s="2789">
        <v>40</v>
      </c>
      <c r="CY751" s="2789">
        <v>40</v>
      </c>
      <c r="CZ751" s="2789">
        <v>40</v>
      </c>
      <c r="DA751" s="2789">
        <v>40</v>
      </c>
      <c r="DB751" s="2790">
        <v>40</v>
      </c>
      <c r="DC751" s="2789">
        <v>40</v>
      </c>
      <c r="DD751" s="2789">
        <v>40</v>
      </c>
      <c r="DE751" s="2789">
        <v>40</v>
      </c>
      <c r="DF751" s="2789">
        <v>40</v>
      </c>
      <c r="DG751" s="2789">
        <v>40</v>
      </c>
      <c r="DH751" s="2789">
        <v>40</v>
      </c>
      <c r="DI751" s="2789">
        <v>40</v>
      </c>
      <c r="DJ751" s="2789">
        <v>40</v>
      </c>
      <c r="DK751" s="2789">
        <v>40</v>
      </c>
      <c r="DL751" s="2789">
        <v>40</v>
      </c>
      <c r="DM751" s="2789">
        <v>40</v>
      </c>
      <c r="DN751" s="2789">
        <v>40</v>
      </c>
      <c r="DO751" s="2789">
        <v>40</v>
      </c>
      <c r="DP751" s="2789">
        <v>40</v>
      </c>
      <c r="DQ751" s="2789">
        <v>40</v>
      </c>
      <c r="DR751" s="2789">
        <v>40</v>
      </c>
      <c r="DS751" s="2789">
        <v>40</v>
      </c>
      <c r="DT751" s="2789">
        <v>40</v>
      </c>
      <c r="DU751" s="2789">
        <v>40</v>
      </c>
      <c r="DV751" s="2789">
        <v>40</v>
      </c>
      <c r="DW751" s="2789">
        <v>40</v>
      </c>
      <c r="DX751" s="2789">
        <v>40</v>
      </c>
      <c r="DY751" s="2791">
        <v>40</v>
      </c>
    </row>
    <row r="752" spans="1:129" hidden="1" outlineLevel="1">
      <c r="A752" s="1903" t="s">
        <v>184</v>
      </c>
      <c r="S752" s="2747">
        <f>+S753</f>
        <v>848.10119999999984</v>
      </c>
      <c r="T752" s="2747">
        <f t="shared" ref="T752:V752" si="2724">+T750*T751*12/1000</f>
        <v>2389.5648000000001</v>
      </c>
      <c r="U752" s="2747">
        <f t="shared" si="2724"/>
        <v>2861.2440000000001</v>
      </c>
      <c r="V752" s="2747">
        <f t="shared" si="2724"/>
        <v>3754.884</v>
      </c>
      <c r="W752" s="2747">
        <f t="shared" ref="W752:AB752" si="2725">+W750*W751*12/1000</f>
        <v>4435.2</v>
      </c>
      <c r="X752" s="2747">
        <f t="shared" si="2725"/>
        <v>4435.2</v>
      </c>
      <c r="Y752" s="2747">
        <f t="shared" si="2725"/>
        <v>4435.2</v>
      </c>
      <c r="Z752" s="2747">
        <f t="shared" si="2725"/>
        <v>4435.2</v>
      </c>
      <c r="AA752" s="2747">
        <f t="shared" si="2725"/>
        <v>2217.6</v>
      </c>
      <c r="AB752" s="2747">
        <f t="shared" si="2725"/>
        <v>0</v>
      </c>
      <c r="AC752" s="2747">
        <f t="shared" ref="AC752:AG752" si="2726">+AC750*AC751*12/1000</f>
        <v>0</v>
      </c>
      <c r="AD752" s="2747">
        <f t="shared" si="2726"/>
        <v>0</v>
      </c>
      <c r="AE752" s="2747">
        <f t="shared" si="2726"/>
        <v>0</v>
      </c>
      <c r="AF752" s="2747">
        <f t="shared" si="2726"/>
        <v>0</v>
      </c>
      <c r="AG752" s="2747">
        <f t="shared" si="2726"/>
        <v>0</v>
      </c>
      <c r="AI752" s="2207"/>
      <c r="CL752" s="1942"/>
      <c r="CP752" s="1942"/>
      <c r="CT752" s="2792">
        <f>+CT750*CT751*2/1000</f>
        <v>32.947199999999995</v>
      </c>
      <c r="CU752" s="2747">
        <f t="shared" ref="CU752:DF752" si="2727">+CU750*CU751*3/1000</f>
        <v>113.59079999999999</v>
      </c>
      <c r="CV752" s="2747">
        <f t="shared" si="2727"/>
        <v>112.17</v>
      </c>
      <c r="CW752" s="2793">
        <f t="shared" si="2727"/>
        <v>151.19999999999999</v>
      </c>
      <c r="CX752" s="2747">
        <f t="shared" si="2727"/>
        <v>180</v>
      </c>
      <c r="CY752" s="2747">
        <f t="shared" si="2727"/>
        <v>137.55000000000001</v>
      </c>
      <c r="CZ752" s="2747">
        <f t="shared" si="2727"/>
        <v>123.99</v>
      </c>
      <c r="DA752" s="2747">
        <f t="shared" si="2727"/>
        <v>193.44</v>
      </c>
      <c r="DB752" s="2792">
        <f t="shared" si="2727"/>
        <v>214.2</v>
      </c>
      <c r="DC752" s="2747">
        <f t="shared" si="2727"/>
        <v>164.32499999999999</v>
      </c>
      <c r="DD752" s="2747">
        <f t="shared" si="2727"/>
        <v>161.721</v>
      </c>
      <c r="DE752" s="2747">
        <f t="shared" si="2727"/>
        <v>219.99600000000001</v>
      </c>
      <c r="DF752" s="2747">
        <f t="shared" si="2727"/>
        <v>277.2</v>
      </c>
      <c r="DG752" s="2747">
        <f>+DG750*DG751*3/1000</f>
        <v>277.2</v>
      </c>
      <c r="DH752" s="2747">
        <f>+DH750*DH751*3/1000</f>
        <v>277.2</v>
      </c>
      <c r="DI752" s="2747">
        <f>+DI750*DI751*3/1000</f>
        <v>277.2</v>
      </c>
      <c r="DJ752" s="2747">
        <f t="shared" ref="DJ752:DM752" si="2728">+DJ750*DJ751*3/1000</f>
        <v>277.2</v>
      </c>
      <c r="DK752" s="2747">
        <f t="shared" si="2728"/>
        <v>277.2</v>
      </c>
      <c r="DL752" s="2747">
        <f t="shared" si="2728"/>
        <v>277.2</v>
      </c>
      <c r="DM752" s="2747">
        <f t="shared" si="2728"/>
        <v>277.2</v>
      </c>
      <c r="DN752" s="2747">
        <f t="shared" ref="DN752:DO752" si="2729">+DN750*DN751*3/1000</f>
        <v>277.2</v>
      </c>
      <c r="DO752" s="2747">
        <f t="shared" si="2729"/>
        <v>277.2</v>
      </c>
      <c r="DP752" s="2747">
        <f t="shared" ref="DP752:DQ752" si="2730">+DP750*DP751*3/1000</f>
        <v>277.2</v>
      </c>
      <c r="DQ752" s="2747">
        <f t="shared" si="2730"/>
        <v>277.2</v>
      </c>
      <c r="DR752" s="2747">
        <f t="shared" ref="DR752" si="2731">+DR750*DR751*3/1000</f>
        <v>277.2</v>
      </c>
      <c r="DS752" s="2747">
        <f t="shared" ref="DS752:DT752" si="2732">+DS750*DS751*3/1000</f>
        <v>277.2</v>
      </c>
      <c r="DT752" s="2747">
        <f t="shared" si="2732"/>
        <v>277.2</v>
      </c>
      <c r="DU752" s="2747">
        <f t="shared" ref="DU752" si="2733">+DU750*DU751*3/1000</f>
        <v>277.2</v>
      </c>
      <c r="DV752" s="2747">
        <f t="shared" ref="DV752" si="2734">+DV750*DV751*3/1000</f>
        <v>277.2</v>
      </c>
      <c r="DW752" s="2747">
        <f t="shared" ref="DW752:DY752" si="2735">+DW750*DW751*3/1000</f>
        <v>138.6</v>
      </c>
      <c r="DX752" s="2747">
        <f t="shared" si="2735"/>
        <v>0</v>
      </c>
      <c r="DY752" s="2793">
        <f t="shared" si="2735"/>
        <v>0</v>
      </c>
    </row>
    <row r="753" spans="1:129" hidden="1" outlineLevel="1">
      <c r="A753" s="2759" t="s">
        <v>185</v>
      </c>
      <c r="S753" s="2747">
        <f>+SUM(CT753:CW753)</f>
        <v>848.10119999999984</v>
      </c>
      <c r="T753" s="2747">
        <f>+SUM(CX753:DA753)</f>
        <v>3213.7019999999993</v>
      </c>
      <c r="U753" s="2747">
        <f>+SUM(DB753:DE753)</f>
        <v>5224.6638000000003</v>
      </c>
      <c r="V753" s="2747">
        <f>+SUM(DF753:DI753)</f>
        <v>6778.8180000000011</v>
      </c>
      <c r="W753" s="2747">
        <f>+SUM(DG753:DJ753)</f>
        <v>7218.438000000001</v>
      </c>
      <c r="X753" s="2747">
        <f>+SUM(DH753:DK753)</f>
        <v>7631.2830000000004</v>
      </c>
      <c r="Y753" s="2747">
        <f>+SUM(DI753:DL753)</f>
        <v>8006.3970000000008</v>
      </c>
      <c r="Z753" s="2747">
        <f>+SUM(DJ753:DM753)</f>
        <v>8354.9549999999999</v>
      </c>
      <c r="AA753" s="2747">
        <f>+SUM(Z752:AA752)</f>
        <v>6652.7999999999993</v>
      </c>
      <c r="AB753" s="2747">
        <f>+SUM(AA752:AB752)</f>
        <v>2217.6</v>
      </c>
      <c r="AC753" s="2747">
        <f t="shared" ref="AC753:AG753" si="2736">+SUM(AB752:AC752)</f>
        <v>0</v>
      </c>
      <c r="AD753" s="2747">
        <f t="shared" si="2736"/>
        <v>0</v>
      </c>
      <c r="AE753" s="2747">
        <f t="shared" si="2736"/>
        <v>0</v>
      </c>
      <c r="AF753" s="2747">
        <f t="shared" si="2736"/>
        <v>0</v>
      </c>
      <c r="AG753" s="2747">
        <f t="shared" si="2736"/>
        <v>0</v>
      </c>
      <c r="AI753" s="2207"/>
      <c r="CL753" s="1942"/>
      <c r="CP753" s="1942"/>
      <c r="CT753" s="2792">
        <f t="shared" ref="CT753:DV753" si="2737">+SUM(CM752:CT752)</f>
        <v>32.947199999999995</v>
      </c>
      <c r="CU753" s="2747">
        <f t="shared" si="2737"/>
        <v>146.53799999999998</v>
      </c>
      <c r="CV753" s="2747">
        <f t="shared" si="2737"/>
        <v>258.70799999999997</v>
      </c>
      <c r="CW753" s="2793">
        <f t="shared" si="2737"/>
        <v>409.90799999999996</v>
      </c>
      <c r="CX753" s="2747">
        <f t="shared" si="2737"/>
        <v>589.9079999999999</v>
      </c>
      <c r="CY753" s="2747">
        <f t="shared" si="2737"/>
        <v>727.45799999999986</v>
      </c>
      <c r="CZ753" s="2747">
        <f t="shared" si="2737"/>
        <v>851.44799999999987</v>
      </c>
      <c r="DA753" s="2747">
        <f t="shared" si="2737"/>
        <v>1044.8879999999999</v>
      </c>
      <c r="DB753" s="2792">
        <f t="shared" si="2737"/>
        <v>1226.1408000000001</v>
      </c>
      <c r="DC753" s="2747">
        <f t="shared" si="2737"/>
        <v>1276.8750000000002</v>
      </c>
      <c r="DD753" s="2747">
        <f t="shared" si="2737"/>
        <v>1326.4260000000002</v>
      </c>
      <c r="DE753" s="2747">
        <f t="shared" si="2737"/>
        <v>1395.2220000000002</v>
      </c>
      <c r="DF753" s="2747">
        <f t="shared" si="2737"/>
        <v>1492.4220000000003</v>
      </c>
      <c r="DG753" s="2747">
        <f t="shared" si="2737"/>
        <v>1632.0720000000001</v>
      </c>
      <c r="DH753" s="2747">
        <f t="shared" si="2737"/>
        <v>1785.2819999999999</v>
      </c>
      <c r="DI753" s="2747">
        <f t="shared" si="2737"/>
        <v>1869.0420000000001</v>
      </c>
      <c r="DJ753" s="2747">
        <f t="shared" si="2737"/>
        <v>1932.0420000000001</v>
      </c>
      <c r="DK753" s="2747">
        <f t="shared" si="2737"/>
        <v>2044.9170000000001</v>
      </c>
      <c r="DL753" s="2747">
        <f t="shared" si="2737"/>
        <v>2160.3960000000002</v>
      </c>
      <c r="DM753" s="2747">
        <f t="shared" si="2737"/>
        <v>2217.6</v>
      </c>
      <c r="DN753" s="2747">
        <f t="shared" si="2737"/>
        <v>2217.6</v>
      </c>
      <c r="DO753" s="2747">
        <f t="shared" si="2737"/>
        <v>2217.6</v>
      </c>
      <c r="DP753" s="2747">
        <f t="shared" si="2737"/>
        <v>2217.6</v>
      </c>
      <c r="DQ753" s="2747">
        <f t="shared" si="2737"/>
        <v>2217.6</v>
      </c>
      <c r="DR753" s="2747">
        <f t="shared" si="2737"/>
        <v>2217.6</v>
      </c>
      <c r="DS753" s="2747">
        <f t="shared" si="2737"/>
        <v>2217.6</v>
      </c>
      <c r="DT753" s="2747">
        <f t="shared" si="2737"/>
        <v>2217.6</v>
      </c>
      <c r="DU753" s="2747">
        <f t="shared" si="2737"/>
        <v>2217.6</v>
      </c>
      <c r="DV753" s="2747">
        <f t="shared" si="2737"/>
        <v>2217.6</v>
      </c>
      <c r="DW753" s="2747">
        <f t="shared" ref="DW753" si="2738">+SUM(DL752:DW752)</f>
        <v>3187.7999999999993</v>
      </c>
      <c r="DX753" s="2747">
        <f t="shared" ref="DX753" si="2739">+SUM(DM752:DX752)</f>
        <v>2910.5999999999995</v>
      </c>
      <c r="DY753" s="2793">
        <f t="shared" ref="DY753" si="2740">+SUM(DN752:DY752)</f>
        <v>2633.3999999999996</v>
      </c>
    </row>
    <row r="754" spans="1:129" hidden="1" outlineLevel="1">
      <c r="A754" s="1903" t="s">
        <v>186</v>
      </c>
      <c r="S754" s="2747">
        <f t="shared" ref="S754:V754" si="2741">+S752*S756</f>
        <v>466.45565999999997</v>
      </c>
      <c r="T754" s="2747">
        <f t="shared" si="2741"/>
        <v>1433.7388800000001</v>
      </c>
      <c r="U754" s="2747">
        <f t="shared" si="2741"/>
        <v>1716.7464</v>
      </c>
      <c r="V754" s="2747">
        <f t="shared" si="2741"/>
        <v>2252.9303999999997</v>
      </c>
      <c r="W754" s="2747">
        <f t="shared" ref="W754:AB754" si="2742">+W752*W756</f>
        <v>2661.12</v>
      </c>
      <c r="X754" s="2747">
        <f t="shared" si="2742"/>
        <v>2661.12</v>
      </c>
      <c r="Y754" s="2747">
        <f t="shared" si="2742"/>
        <v>2661.12</v>
      </c>
      <c r="Z754" s="2747">
        <f t="shared" si="2742"/>
        <v>2661.12</v>
      </c>
      <c r="AA754" s="2747">
        <f t="shared" si="2742"/>
        <v>1330.56</v>
      </c>
      <c r="AB754" s="2747">
        <f t="shared" si="2742"/>
        <v>0</v>
      </c>
      <c r="AC754" s="2747">
        <f t="shared" ref="AC754:AG754" si="2743">+AC752*AC756</f>
        <v>0</v>
      </c>
      <c r="AD754" s="2747">
        <f t="shared" si="2743"/>
        <v>0</v>
      </c>
      <c r="AE754" s="2747">
        <f t="shared" si="2743"/>
        <v>0</v>
      </c>
      <c r="AF754" s="2747">
        <f t="shared" si="2743"/>
        <v>0</v>
      </c>
      <c r="AG754" s="2747">
        <f t="shared" si="2743"/>
        <v>0</v>
      </c>
      <c r="AI754" s="2207"/>
      <c r="CL754" s="1942"/>
      <c r="CP754" s="1942"/>
      <c r="CT754" s="2792">
        <f t="shared" ref="CT754:DE754" si="2744">+CT752*CT756</f>
        <v>18.12096</v>
      </c>
      <c r="CU754" s="2747">
        <f t="shared" si="2744"/>
        <v>62.474939999999997</v>
      </c>
      <c r="CV754" s="2747">
        <f t="shared" si="2744"/>
        <v>61.693500000000007</v>
      </c>
      <c r="CW754" s="2793">
        <f t="shared" si="2744"/>
        <v>83.16</v>
      </c>
      <c r="CX754" s="2747">
        <f t="shared" si="2744"/>
        <v>99.000000000000014</v>
      </c>
      <c r="CY754" s="2747">
        <f t="shared" si="2744"/>
        <v>75.652500000000018</v>
      </c>
      <c r="CZ754" s="2747">
        <f t="shared" si="2744"/>
        <v>68.194500000000005</v>
      </c>
      <c r="DA754" s="2747">
        <f t="shared" si="2744"/>
        <v>106.39200000000001</v>
      </c>
      <c r="DB754" s="2792">
        <f t="shared" si="2744"/>
        <v>117.81</v>
      </c>
      <c r="DC754" s="2747">
        <f t="shared" si="2744"/>
        <v>90.378749999999997</v>
      </c>
      <c r="DD754" s="2747">
        <f t="shared" si="2744"/>
        <v>88.946550000000016</v>
      </c>
      <c r="DE754" s="2747">
        <f t="shared" si="2744"/>
        <v>120.99780000000001</v>
      </c>
      <c r="DF754" s="2747">
        <f>+DF752*DF756</f>
        <v>152.46</v>
      </c>
      <c r="DG754" s="2747">
        <f>+DG752*DG756</f>
        <v>152.46</v>
      </c>
      <c r="DH754" s="2747">
        <f>+DH752*DH756</f>
        <v>152.46</v>
      </c>
      <c r="DI754" s="2747">
        <f>+DI752*DI756</f>
        <v>152.46</v>
      </c>
      <c r="DJ754" s="2747">
        <f t="shared" ref="DJ754:DM754" si="2745">+DJ752*DJ756</f>
        <v>152.46</v>
      </c>
      <c r="DK754" s="2747">
        <f t="shared" si="2745"/>
        <v>152.46</v>
      </c>
      <c r="DL754" s="2747">
        <f t="shared" si="2745"/>
        <v>152.46</v>
      </c>
      <c r="DM754" s="2747">
        <f t="shared" si="2745"/>
        <v>152.46</v>
      </c>
      <c r="DN754" s="2747">
        <f t="shared" ref="DN754:DO754" si="2746">+DN752*DN756</f>
        <v>152.46</v>
      </c>
      <c r="DO754" s="2747">
        <f t="shared" si="2746"/>
        <v>152.46</v>
      </c>
      <c r="DP754" s="2747">
        <f t="shared" ref="DP754:DQ754" si="2747">+DP752*DP756</f>
        <v>152.46</v>
      </c>
      <c r="DQ754" s="2747">
        <f t="shared" si="2747"/>
        <v>152.46</v>
      </c>
      <c r="DR754" s="2747">
        <f t="shared" ref="DR754" si="2748">+DR752*DR756</f>
        <v>152.46</v>
      </c>
      <c r="DS754" s="2747">
        <f t="shared" ref="DS754:DT754" si="2749">+DS752*DS756</f>
        <v>152.46</v>
      </c>
      <c r="DT754" s="2747">
        <f t="shared" si="2749"/>
        <v>152.46</v>
      </c>
      <c r="DU754" s="2747">
        <f t="shared" ref="DU754" si="2750">+DU752*DU756</f>
        <v>152.46</v>
      </c>
      <c r="DV754" s="2747">
        <f t="shared" ref="DV754" si="2751">+DV752*DV756</f>
        <v>152.46</v>
      </c>
      <c r="DW754" s="2747">
        <f t="shared" ref="DW754:DY754" si="2752">+DW752*DW756</f>
        <v>83.16</v>
      </c>
      <c r="DX754" s="2747">
        <f t="shared" si="2752"/>
        <v>0</v>
      </c>
      <c r="DY754" s="2793">
        <f t="shared" si="2752"/>
        <v>0</v>
      </c>
    </row>
    <row r="755" spans="1:129" hidden="1" outlineLevel="1">
      <c r="A755" s="2759" t="s">
        <v>187</v>
      </c>
      <c r="S755" s="2747">
        <f>+SUM(CT755:CW755)</f>
        <v>466.45565999999997</v>
      </c>
      <c r="T755" s="2747">
        <f t="shared" ref="T755:AB755" si="2753">+S754+T754</f>
        <v>1900.19454</v>
      </c>
      <c r="U755" s="2747">
        <f t="shared" si="2753"/>
        <v>3150.4852799999999</v>
      </c>
      <c r="V755" s="2747">
        <f t="shared" si="2753"/>
        <v>3969.6767999999997</v>
      </c>
      <c r="W755" s="2747">
        <f t="shared" si="2753"/>
        <v>4914.0504000000001</v>
      </c>
      <c r="X755" s="2747">
        <f t="shared" si="2753"/>
        <v>5322.24</v>
      </c>
      <c r="Y755" s="2747">
        <f t="shared" si="2753"/>
        <v>5322.24</v>
      </c>
      <c r="Z755" s="2747">
        <f t="shared" si="2753"/>
        <v>5322.24</v>
      </c>
      <c r="AA755" s="2747">
        <f t="shared" si="2753"/>
        <v>3991.68</v>
      </c>
      <c r="AB755" s="2747">
        <f t="shared" si="2753"/>
        <v>1330.56</v>
      </c>
      <c r="AC755" s="2747">
        <f t="shared" ref="AC755" si="2754">+AB754+AC754</f>
        <v>0</v>
      </c>
      <c r="AD755" s="2747">
        <f t="shared" ref="AD755" si="2755">+AC754+AD754</f>
        <v>0</v>
      </c>
      <c r="AE755" s="2747">
        <f t="shared" ref="AE755" si="2756">+AD754+AE754</f>
        <v>0</v>
      </c>
      <c r="AF755" s="2747">
        <f t="shared" ref="AF755" si="2757">+AE754+AF754</f>
        <v>0</v>
      </c>
      <c r="AG755" s="2747">
        <f t="shared" ref="AG755" si="2758">+AF754+AG754</f>
        <v>0</v>
      </c>
      <c r="AI755" s="2207"/>
      <c r="CL755" s="1942"/>
      <c r="CP755" s="1942"/>
      <c r="CT755" s="2792">
        <f t="shared" ref="CT755:DV755" si="2759">+SUM(CM754:CT754)</f>
        <v>18.12096</v>
      </c>
      <c r="CU755" s="2747">
        <f t="shared" si="2759"/>
        <v>80.5959</v>
      </c>
      <c r="CV755" s="2747">
        <f t="shared" si="2759"/>
        <v>142.2894</v>
      </c>
      <c r="CW755" s="2793">
        <f t="shared" si="2759"/>
        <v>225.4494</v>
      </c>
      <c r="CX755" s="2747">
        <f t="shared" si="2759"/>
        <v>324.44940000000003</v>
      </c>
      <c r="CY755" s="2747">
        <f t="shared" si="2759"/>
        <v>400.10190000000006</v>
      </c>
      <c r="CZ755" s="2747">
        <f t="shared" si="2759"/>
        <v>468.29640000000006</v>
      </c>
      <c r="DA755" s="2747">
        <f t="shared" si="2759"/>
        <v>574.68840000000012</v>
      </c>
      <c r="DB755" s="2792">
        <f t="shared" si="2759"/>
        <v>674.37743999999998</v>
      </c>
      <c r="DC755" s="2747">
        <f t="shared" si="2759"/>
        <v>702.28125</v>
      </c>
      <c r="DD755" s="2747">
        <f t="shared" si="2759"/>
        <v>729.53430000000003</v>
      </c>
      <c r="DE755" s="2747">
        <f t="shared" si="2759"/>
        <v>767.37210000000005</v>
      </c>
      <c r="DF755" s="2747">
        <f t="shared" si="2759"/>
        <v>820.83210000000008</v>
      </c>
      <c r="DG755" s="2747">
        <f t="shared" si="2759"/>
        <v>897.63960000000009</v>
      </c>
      <c r="DH755" s="2747">
        <f t="shared" si="2759"/>
        <v>981.90510000000006</v>
      </c>
      <c r="DI755" s="2747">
        <f t="shared" si="2759"/>
        <v>1027.9731000000002</v>
      </c>
      <c r="DJ755" s="2747">
        <f t="shared" si="2759"/>
        <v>1062.6231000000002</v>
      </c>
      <c r="DK755" s="2747">
        <f t="shared" si="2759"/>
        <v>1124.7043500000002</v>
      </c>
      <c r="DL755" s="2747">
        <f t="shared" si="2759"/>
        <v>1188.2178000000001</v>
      </c>
      <c r="DM755" s="2747">
        <f t="shared" si="2759"/>
        <v>1219.68</v>
      </c>
      <c r="DN755" s="2747">
        <f t="shared" si="2759"/>
        <v>1219.68</v>
      </c>
      <c r="DO755" s="2747">
        <f t="shared" si="2759"/>
        <v>1219.68</v>
      </c>
      <c r="DP755" s="2747">
        <f t="shared" si="2759"/>
        <v>1219.68</v>
      </c>
      <c r="DQ755" s="2747">
        <f t="shared" si="2759"/>
        <v>1219.68</v>
      </c>
      <c r="DR755" s="2747">
        <f t="shared" si="2759"/>
        <v>1219.68</v>
      </c>
      <c r="DS755" s="2747">
        <f t="shared" si="2759"/>
        <v>1219.68</v>
      </c>
      <c r="DT755" s="2747">
        <f t="shared" si="2759"/>
        <v>1219.68</v>
      </c>
      <c r="DU755" s="2747">
        <f t="shared" si="2759"/>
        <v>1219.68</v>
      </c>
      <c r="DV755" s="2747">
        <f t="shared" si="2759"/>
        <v>1219.68</v>
      </c>
      <c r="DW755" s="2747">
        <f t="shared" ref="DW755" si="2760">+SUM(DL754:DW754)</f>
        <v>1760.2200000000003</v>
      </c>
      <c r="DX755" s="2747">
        <f t="shared" ref="DX755" si="2761">+SUM(DM754:DX754)</f>
        <v>1607.7600000000002</v>
      </c>
      <c r="DY755" s="2793">
        <f t="shared" ref="DY755" si="2762">+SUM(DN754:DY754)</f>
        <v>1455.3000000000002</v>
      </c>
    </row>
    <row r="756" spans="1:129" hidden="1" outlineLevel="1">
      <c r="A756" s="1903" t="s">
        <v>188</v>
      </c>
      <c r="S756" s="2782">
        <f>+AVERAGE(CT756:CW756)</f>
        <v>0.55000000000000004</v>
      </c>
      <c r="T756" s="2754">
        <v>0.6</v>
      </c>
      <c r="U756" s="2754">
        <v>0.6</v>
      </c>
      <c r="V756" s="2754">
        <v>0.6</v>
      </c>
      <c r="W756" s="2754">
        <v>0.6</v>
      </c>
      <c r="X756" s="2754">
        <v>0.6</v>
      </c>
      <c r="Y756" s="2754">
        <v>0.6</v>
      </c>
      <c r="Z756" s="2754">
        <v>0.6</v>
      </c>
      <c r="AA756" s="2754">
        <v>0.6</v>
      </c>
      <c r="AB756" s="2754">
        <v>0.6</v>
      </c>
      <c r="AC756" s="2754">
        <v>0.6</v>
      </c>
      <c r="AD756" s="2754">
        <v>0.6</v>
      </c>
      <c r="AE756" s="2754">
        <v>0.6</v>
      </c>
      <c r="AF756" s="2754">
        <v>0.6</v>
      </c>
      <c r="AG756" s="2754">
        <v>0.6</v>
      </c>
      <c r="AI756" s="2207"/>
      <c r="CL756" s="1942"/>
      <c r="CP756" s="1942"/>
      <c r="CT756" s="2760">
        <v>0.55000000000000004</v>
      </c>
      <c r="CU756" s="2754">
        <v>0.55000000000000004</v>
      </c>
      <c r="CV756" s="2754">
        <v>0.55000000000000004</v>
      </c>
      <c r="CW756" s="2755">
        <v>0.55000000000000004</v>
      </c>
      <c r="CX756" s="2754">
        <v>0.55000000000000004</v>
      </c>
      <c r="CY756" s="2754">
        <v>0.55000000000000004</v>
      </c>
      <c r="CZ756" s="2754">
        <v>0.55000000000000004</v>
      </c>
      <c r="DA756" s="2754">
        <v>0.55000000000000004</v>
      </c>
      <c r="DB756" s="2760">
        <v>0.55000000000000004</v>
      </c>
      <c r="DC756" s="2754">
        <v>0.55000000000000004</v>
      </c>
      <c r="DD756" s="2754">
        <v>0.55000000000000004</v>
      </c>
      <c r="DE756" s="2754">
        <v>0.55000000000000004</v>
      </c>
      <c r="DF756" s="2754">
        <v>0.55000000000000004</v>
      </c>
      <c r="DG756" s="2754">
        <v>0.55000000000000004</v>
      </c>
      <c r="DH756" s="2754">
        <v>0.55000000000000004</v>
      </c>
      <c r="DI756" s="2754">
        <v>0.55000000000000004</v>
      </c>
      <c r="DJ756" s="2754">
        <v>0.55000000000000004</v>
      </c>
      <c r="DK756" s="2754">
        <v>0.55000000000000004</v>
      </c>
      <c r="DL756" s="2754">
        <v>0.55000000000000004</v>
      </c>
      <c r="DM756" s="2754">
        <v>0.55000000000000004</v>
      </c>
      <c r="DN756" s="2754">
        <v>0.55000000000000004</v>
      </c>
      <c r="DO756" s="2754">
        <v>0.55000000000000004</v>
      </c>
      <c r="DP756" s="2754">
        <v>0.55000000000000004</v>
      </c>
      <c r="DQ756" s="2754">
        <v>0.55000000000000004</v>
      </c>
      <c r="DR756" s="2754">
        <v>0.55000000000000004</v>
      </c>
      <c r="DS756" s="2754">
        <v>0.55000000000000004</v>
      </c>
      <c r="DT756" s="2754">
        <v>0.55000000000000004</v>
      </c>
      <c r="DU756" s="2754">
        <v>0.55000000000000004</v>
      </c>
      <c r="DV756" s="2754">
        <v>0.55000000000000004</v>
      </c>
      <c r="DW756" s="2754">
        <v>0.6</v>
      </c>
      <c r="DX756" s="2754">
        <v>0.6</v>
      </c>
      <c r="DY756" s="2755">
        <v>0.6</v>
      </c>
    </row>
    <row r="757" spans="1:129" hidden="1" outlineLevel="1">
      <c r="A757" s="1903" t="s">
        <v>189</v>
      </c>
      <c r="S757" s="2747">
        <f t="shared" ref="S757:V757" si="2763">+S755*0.55</f>
        <v>256.550613</v>
      </c>
      <c r="T757" s="2747">
        <f t="shared" si="2763"/>
        <v>1045.1069970000001</v>
      </c>
      <c r="U757" s="2747">
        <f t="shared" si="2763"/>
        <v>1732.7669040000001</v>
      </c>
      <c r="V757" s="2747">
        <f t="shared" si="2763"/>
        <v>2183.32224</v>
      </c>
      <c r="W757" s="2747">
        <f t="shared" ref="W757:AB757" si="2764">+W755*0.55</f>
        <v>2702.7277200000003</v>
      </c>
      <c r="X757" s="2747">
        <f t="shared" si="2764"/>
        <v>2927.232</v>
      </c>
      <c r="Y757" s="2747">
        <f t="shared" si="2764"/>
        <v>2927.232</v>
      </c>
      <c r="Z757" s="2747">
        <f t="shared" si="2764"/>
        <v>2927.232</v>
      </c>
      <c r="AA757" s="2747">
        <f t="shared" si="2764"/>
        <v>2195.424</v>
      </c>
      <c r="AB757" s="2747">
        <f t="shared" si="2764"/>
        <v>731.80799999999999</v>
      </c>
      <c r="AC757" s="2747">
        <f t="shared" ref="AC757:AG757" si="2765">+AC755*0.55</f>
        <v>0</v>
      </c>
      <c r="AD757" s="2747">
        <f t="shared" si="2765"/>
        <v>0</v>
      </c>
      <c r="AE757" s="2747">
        <f t="shared" si="2765"/>
        <v>0</v>
      </c>
      <c r="AF757" s="2747">
        <f t="shared" si="2765"/>
        <v>0</v>
      </c>
      <c r="AG757" s="2747">
        <f t="shared" si="2765"/>
        <v>0</v>
      </c>
      <c r="AI757" s="2207"/>
      <c r="CL757" s="1942"/>
      <c r="CP757" s="1942"/>
      <c r="CT757" s="2792">
        <f>+CT755*0.55</f>
        <v>9.9665280000000003</v>
      </c>
      <c r="CU757" s="2747">
        <f t="shared" ref="CU757:DE757" si="2766">+CU754*0.55</f>
        <v>34.361217000000003</v>
      </c>
      <c r="CV757" s="2747">
        <f t="shared" si="2766"/>
        <v>33.931425000000004</v>
      </c>
      <c r="CW757" s="2793">
        <f t="shared" si="2766"/>
        <v>45.738</v>
      </c>
      <c r="CX757" s="2747">
        <f t="shared" si="2766"/>
        <v>54.45000000000001</v>
      </c>
      <c r="CY757" s="2747">
        <f t="shared" si="2766"/>
        <v>41.608875000000012</v>
      </c>
      <c r="CZ757" s="2747">
        <f t="shared" si="2766"/>
        <v>37.506975000000004</v>
      </c>
      <c r="DA757" s="2747">
        <f t="shared" si="2766"/>
        <v>58.515600000000013</v>
      </c>
      <c r="DB757" s="2792">
        <f t="shared" si="2766"/>
        <v>64.795500000000004</v>
      </c>
      <c r="DC757" s="2747">
        <f t="shared" si="2766"/>
        <v>49.708312500000005</v>
      </c>
      <c r="DD757" s="2747">
        <f t="shared" si="2766"/>
        <v>48.920602500000015</v>
      </c>
      <c r="DE757" s="2747">
        <f t="shared" si="2766"/>
        <v>66.548790000000011</v>
      </c>
      <c r="DF757" s="2747">
        <f>+DF754*0.55</f>
        <v>83.853000000000009</v>
      </c>
      <c r="DG757" s="2747">
        <f>+DG754*0.55</f>
        <v>83.853000000000009</v>
      </c>
      <c r="DH757" s="2747">
        <f>+DH754*0.55</f>
        <v>83.853000000000009</v>
      </c>
      <c r="DI757" s="2747">
        <f>+DI754*0.55</f>
        <v>83.853000000000009</v>
      </c>
      <c r="DJ757" s="2747">
        <f t="shared" ref="DJ757:DM757" si="2767">+DJ754*0.55</f>
        <v>83.853000000000009</v>
      </c>
      <c r="DK757" s="2747">
        <f t="shared" si="2767"/>
        <v>83.853000000000009</v>
      </c>
      <c r="DL757" s="2747">
        <f t="shared" si="2767"/>
        <v>83.853000000000009</v>
      </c>
      <c r="DM757" s="2747">
        <f t="shared" si="2767"/>
        <v>83.853000000000009</v>
      </c>
      <c r="DN757" s="2747">
        <f t="shared" ref="DN757:DO757" si="2768">+DN754*0.55</f>
        <v>83.853000000000009</v>
      </c>
      <c r="DO757" s="2747">
        <f t="shared" si="2768"/>
        <v>83.853000000000009</v>
      </c>
      <c r="DP757" s="2747">
        <f t="shared" ref="DP757:DQ757" si="2769">+DP754*0.55</f>
        <v>83.853000000000009</v>
      </c>
      <c r="DQ757" s="2747">
        <f t="shared" si="2769"/>
        <v>83.853000000000009</v>
      </c>
      <c r="DR757" s="2747">
        <f t="shared" ref="DR757" si="2770">+DR754*0.55</f>
        <v>83.853000000000009</v>
      </c>
      <c r="DS757" s="2747">
        <f t="shared" ref="DS757:DT757" si="2771">+DS754*0.55</f>
        <v>83.853000000000009</v>
      </c>
      <c r="DT757" s="2747">
        <f t="shared" si="2771"/>
        <v>83.853000000000009</v>
      </c>
      <c r="DU757" s="2747">
        <f t="shared" ref="DU757" si="2772">+DU754*0.55</f>
        <v>83.853000000000009</v>
      </c>
      <c r="DV757" s="2747">
        <f t="shared" ref="DV757" si="2773">+DV754*0.55</f>
        <v>83.853000000000009</v>
      </c>
      <c r="DW757" s="2747">
        <f t="shared" ref="DW757:DY757" si="2774">+DW754*0.55</f>
        <v>45.738</v>
      </c>
      <c r="DX757" s="2747">
        <f t="shared" si="2774"/>
        <v>0</v>
      </c>
      <c r="DY757" s="2793">
        <f t="shared" si="2774"/>
        <v>0</v>
      </c>
    </row>
    <row r="758" spans="1:129" hidden="1" outlineLevel="1">
      <c r="A758" s="2621" t="s">
        <v>190</v>
      </c>
      <c r="B758" s="2621"/>
      <c r="C758" s="2621"/>
      <c r="D758" s="2621"/>
      <c r="E758" s="2621"/>
      <c r="F758" s="2621"/>
      <c r="G758" s="2621"/>
      <c r="H758" s="2621"/>
      <c r="I758" s="2621"/>
      <c r="J758" s="2621"/>
      <c r="K758" s="2621"/>
      <c r="L758" s="2621"/>
      <c r="M758" s="2621"/>
      <c r="N758" s="2621"/>
      <c r="O758" s="2621"/>
      <c r="P758" s="2621"/>
      <c r="Q758" s="2621"/>
      <c r="R758" s="2621"/>
      <c r="S758" s="2785"/>
      <c r="T758" s="2785"/>
      <c r="U758" s="2785"/>
      <c r="V758" s="2785"/>
      <c r="W758" s="2785"/>
      <c r="X758" s="2785"/>
      <c r="Y758" s="2785"/>
      <c r="Z758" s="2785"/>
      <c r="AA758" s="2785"/>
      <c r="AB758" s="2785"/>
      <c r="AC758" s="2785"/>
      <c r="AD758" s="2785"/>
      <c r="AE758" s="2785"/>
      <c r="AF758" s="2785"/>
      <c r="AG758" s="2785"/>
      <c r="AI758" s="2621"/>
      <c r="AK758" s="2621"/>
      <c r="AL758" s="2621"/>
      <c r="AM758" s="2621"/>
      <c r="AN758" s="2621"/>
      <c r="AO758" s="2621"/>
      <c r="AP758" s="2621"/>
      <c r="AQ758" s="2621"/>
      <c r="AR758" s="2621"/>
      <c r="AS758" s="2621"/>
      <c r="AT758" s="2621"/>
      <c r="AU758" s="2621"/>
      <c r="AV758" s="2621"/>
      <c r="AW758" s="2621"/>
      <c r="AX758" s="2621"/>
      <c r="AY758" s="2621"/>
      <c r="AZ758" s="2621"/>
      <c r="BA758" s="2621"/>
      <c r="BB758" s="2621"/>
      <c r="BC758" s="2621"/>
      <c r="BD758" s="2621"/>
      <c r="BE758" s="2621"/>
      <c r="BF758" s="2621"/>
      <c r="BG758" s="2621"/>
      <c r="BH758" s="2621"/>
      <c r="BI758" s="2621"/>
      <c r="BJ758" s="2621"/>
      <c r="BK758" s="2621"/>
      <c r="BL758" s="2621"/>
      <c r="BM758" s="2621"/>
      <c r="BN758" s="2621"/>
      <c r="BO758" s="2621"/>
      <c r="BP758" s="2621"/>
      <c r="BQ758" s="2621"/>
      <c r="BR758" s="2621"/>
      <c r="BS758" s="2621"/>
      <c r="BT758" s="2621"/>
      <c r="BU758" s="2621"/>
      <c r="BV758" s="2621"/>
      <c r="BW758" s="2621"/>
      <c r="BX758" s="2621"/>
      <c r="BY758" s="2621"/>
      <c r="BZ758" s="2621"/>
      <c r="CA758" s="2621"/>
      <c r="CB758" s="2621"/>
      <c r="CC758" s="2621"/>
      <c r="CD758" s="2621"/>
      <c r="CE758" s="2621"/>
      <c r="CF758" s="2621"/>
      <c r="CG758" s="2621"/>
      <c r="CH758" s="2621"/>
      <c r="CI758" s="2621"/>
      <c r="CJ758" s="2621"/>
      <c r="CK758" s="2621"/>
      <c r="CL758" s="2735"/>
      <c r="CM758" s="2621"/>
      <c r="CN758" s="2621"/>
      <c r="CO758" s="2621"/>
      <c r="CP758" s="2735"/>
      <c r="CQ758" s="2621"/>
      <c r="CR758" s="2621"/>
      <c r="CS758" s="2621"/>
      <c r="CT758" s="2786">
        <f>CT757*(1-CT744)/IS!CQ103</f>
        <v>2.464876358086648E-3</v>
      </c>
      <c r="CU758" s="2787">
        <f>CU757*(1-CU744)/IS!CR103</f>
        <v>8.4475619783606765E-3</v>
      </c>
      <c r="CV758" s="2787">
        <f>CV757*(1-CV744)/IS!CS103</f>
        <v>8.3540621015149863E-3</v>
      </c>
      <c r="CW758" s="2788">
        <f>CW757*(1-CW744)/IS!CT103</f>
        <v>1.1058314102564101E-2</v>
      </c>
      <c r="CX758" s="2787">
        <f>CX757*(1-CX744)/IS!CU103</f>
        <v>1.3355478879732615E-2</v>
      </c>
      <c r="CY758" s="2787">
        <f>CY757*(1-CY744)/IS!CV103</f>
        <v>1.0100145994579668E-2</v>
      </c>
      <c r="CZ758" s="2787">
        <f>CZ757*(1-CZ744)/IS!CW103</f>
        <v>9.132769933258662E-3</v>
      </c>
      <c r="DA758" s="2787">
        <f>DA757*(1-DA744)/IS!CX103</f>
        <v>1.4487813735154911E-2</v>
      </c>
      <c r="DB758" s="2786">
        <f>DB757*(1-DB744)/IS!CY103</f>
        <v>1.5614280208347809E-2</v>
      </c>
      <c r="DC758" s="2787">
        <f>DC757*(1-DC744)/IS!CZ103</f>
        <v>1.2094631946154588E-2</v>
      </c>
      <c r="DD758" s="2787">
        <f>DD757*(1-DD744)/IS!DA103</f>
        <v>1.1902204347333155E-2</v>
      </c>
      <c r="DE758" s="2787">
        <f>DE757*(1-DE744)/IS!DB103</f>
        <v>1.5649119857245326E-2</v>
      </c>
      <c r="DF758" s="2787">
        <f>DF757*(1-DF744)/IS!DC103</f>
        <v>1.6086130875650879E-2</v>
      </c>
      <c r="DG758" s="2787">
        <f>DG757*(1-DG744)/IS!DD103</f>
        <v>1.3304143094541497E-2</v>
      </c>
      <c r="DH758" s="2787">
        <f>DH757*(1-DH744)/IS!DE103</f>
        <v>1.3401316165943936E-2</v>
      </c>
      <c r="DI758" s="2787">
        <f>DI757*(1-DI744)/IS!DF103</f>
        <v>1.3557364101859173E-2</v>
      </c>
      <c r="DJ758" s="2787">
        <f>DJ757*(1-DJ744)/IS!DG103</f>
        <v>1.2436044515782891E-2</v>
      </c>
      <c r="DK758" s="2787">
        <f>DK757*(1-DK744)/IS!DH103</f>
        <v>1.2692456004762841E-2</v>
      </c>
      <c r="DL758" s="2787">
        <f>DL757*(1-DL744)/IS!DI103</f>
        <v>1.2654110121608103E-2</v>
      </c>
      <c r="DM758" s="2787">
        <f>DM757*(1-DM744)/IS!DJ103</f>
        <v>1.2502920907431152E-2</v>
      </c>
      <c r="DN758" s="2787">
        <f>DN757*(1-DN744)/IS!DK103</f>
        <v>1.2693294381598073E-2</v>
      </c>
      <c r="DO758" s="2787">
        <f>DO757*(1-DO744)/IS!DL103</f>
        <v>1.3345524449157976E-2</v>
      </c>
      <c r="DP758" s="2787">
        <f>DP757*(1-DP744)/IS!DM103</f>
        <v>1.3543354619202988E-2</v>
      </c>
      <c r="DQ758" s="2787">
        <f>DQ757*(1-DQ744)/IS!DN103</f>
        <v>1.3704031976257598E-2</v>
      </c>
      <c r="DR758" s="2787">
        <f>DR757*(1-DR744)/IS!DO103</f>
        <v>1.522712600365678E-2</v>
      </c>
      <c r="DS758" s="2787">
        <f>DS757*(1-DS744)/IS!DP103</f>
        <v>1.3741689471388289E-2</v>
      </c>
      <c r="DT758" s="2787">
        <f>DT757*(1-DT744)/IS!DQ103</f>
        <v>1.3616764398614617E-2</v>
      </c>
      <c r="DU758" s="2787">
        <f>DU757*(1-DU744)/IS!DR103</f>
        <v>1.3396034464416746E-2</v>
      </c>
      <c r="DV758" s="2787">
        <f>DV757*(1-DV744)/IS!DS103</f>
        <v>1.5618800017329411E-2</v>
      </c>
      <c r="DW758" s="2787">
        <f>DW757*(1-DW744)/IS!DT103</f>
        <v>8.2973937231662336E-3</v>
      </c>
      <c r="DX758" s="2787">
        <f>DX757*(1-DX744)/IS!DU103</f>
        <v>0</v>
      </c>
      <c r="DY758" s="2788">
        <f>DY757*(1-DY744)/IS!DV103</f>
        <v>0</v>
      </c>
    </row>
    <row r="759" spans="1:129" hidden="1" outlineLevel="1">
      <c r="A759" s="2621" t="s">
        <v>191</v>
      </c>
      <c r="B759" s="2621"/>
      <c r="C759" s="2621"/>
      <c r="D759" s="2621"/>
      <c r="E759" s="2621"/>
      <c r="F759" s="2621"/>
      <c r="G759" s="2621"/>
      <c r="H759" s="2621"/>
      <c r="I759" s="2621"/>
      <c r="J759" s="2621"/>
      <c r="K759" s="2621"/>
      <c r="L759" s="2621"/>
      <c r="M759" s="2621"/>
      <c r="N759" s="2621"/>
      <c r="O759" s="2621"/>
      <c r="P759" s="2621"/>
      <c r="Q759" s="2621"/>
      <c r="R759" s="2621"/>
      <c r="S759" s="2785">
        <f>+SUM(CT759:CW759)</f>
        <v>6.2968629673022691E-2</v>
      </c>
      <c r="T759" s="2785">
        <f>T757*(1-T744)/IS!T103</f>
        <v>0.25514418220023449</v>
      </c>
      <c r="U759" s="2785">
        <f>U757*(1-U744)/IS!U103</f>
        <v>0.41717608775590459</v>
      </c>
      <c r="V759" s="2785">
        <f>V757*(1-V744)/IS!V103</f>
        <v>0.3646293515962184</v>
      </c>
      <c r="W759" s="2785">
        <f>W757*(1-W744)/IS!W103</f>
        <v>0.40482828038019164</v>
      </c>
      <c r="X759" s="2785">
        <f>X757*(1-X744)/IS!X103</f>
        <v>0.46456328486572668</v>
      </c>
      <c r="Y759" s="2785">
        <f>Y757*(1-Y744)/IS!Y103</f>
        <v>0.48767108908912354</v>
      </c>
      <c r="Z759" s="2785">
        <f ca="1">Z757*(1-Z744)/IS!Z103</f>
        <v>0.5344981499508985</v>
      </c>
      <c r="AA759" s="2785">
        <f>AA757*(1-AA744)/IS!AA103</f>
        <v>0.39873484124963604</v>
      </c>
      <c r="AB759" s="2785">
        <f>AB757*(1-AB744)/IS!AB103</f>
        <v>0.13286397665163999</v>
      </c>
      <c r="AC759" s="2785">
        <f>AC757*(1-AC744)/IS!AC103</f>
        <v>0</v>
      </c>
      <c r="AD759" s="2785">
        <f>AD757*(1-AD744)/IS!AD103</f>
        <v>0</v>
      </c>
      <c r="AE759" s="2785">
        <f>AE757*(1-AE744)/IS!AE103</f>
        <v>0</v>
      </c>
      <c r="AF759" s="2785">
        <f>AF757*(1-AF744)/IS!AF103</f>
        <v>0</v>
      </c>
      <c r="AG759" s="2785">
        <f>AG757*(1-AG744)/IS!AG103</f>
        <v>0</v>
      </c>
      <c r="AI759" s="2621"/>
      <c r="AK759" s="2621"/>
      <c r="AL759" s="2621"/>
      <c r="AM759" s="2621"/>
      <c r="AN759" s="2621"/>
      <c r="AO759" s="2621"/>
      <c r="AP759" s="2621"/>
      <c r="AQ759" s="2621"/>
      <c r="AR759" s="2621"/>
      <c r="AS759" s="2621"/>
      <c r="AT759" s="2621"/>
      <c r="AU759" s="2621"/>
      <c r="AV759" s="2621"/>
      <c r="AW759" s="2621"/>
      <c r="AX759" s="2621"/>
      <c r="AY759" s="2621"/>
      <c r="AZ759" s="2621"/>
      <c r="BA759" s="2621"/>
      <c r="BB759" s="2621"/>
      <c r="BC759" s="2621"/>
      <c r="BD759" s="2621"/>
      <c r="BE759" s="2621"/>
      <c r="BF759" s="2621"/>
      <c r="BG759" s="2621"/>
      <c r="BH759" s="2621"/>
      <c r="BI759" s="2621"/>
      <c r="BJ759" s="2621"/>
      <c r="BK759" s="2621"/>
      <c r="BL759" s="2621"/>
      <c r="BM759" s="2621"/>
      <c r="BN759" s="2621"/>
      <c r="BO759" s="2621"/>
      <c r="BP759" s="2621"/>
      <c r="BQ759" s="2621"/>
      <c r="BR759" s="2621"/>
      <c r="BS759" s="2621"/>
      <c r="BT759" s="2621"/>
      <c r="BU759" s="2621"/>
      <c r="BV759" s="2621"/>
      <c r="BW759" s="2621"/>
      <c r="BX759" s="2621"/>
      <c r="BY759" s="2621"/>
      <c r="BZ759" s="2621"/>
      <c r="CA759" s="2621"/>
      <c r="CB759" s="2621"/>
      <c r="CC759" s="2621"/>
      <c r="CD759" s="2621"/>
      <c r="CE759" s="2621"/>
      <c r="CF759" s="2621"/>
      <c r="CG759" s="2621"/>
      <c r="CH759" s="2621"/>
      <c r="CI759" s="2621"/>
      <c r="CJ759" s="2621"/>
      <c r="CK759" s="2621"/>
      <c r="CL759" s="2735"/>
      <c r="CM759" s="2621"/>
      <c r="CN759" s="2621"/>
      <c r="CO759" s="2621"/>
      <c r="CP759" s="2735"/>
      <c r="CQ759" s="2621"/>
      <c r="CR759" s="2621"/>
      <c r="CS759" s="2621"/>
      <c r="CT759" s="2786">
        <f t="shared" ref="CT759:DV759" si="2775">+SUM(CM758:CT758)</f>
        <v>2.464876358086648E-3</v>
      </c>
      <c r="CU759" s="2787">
        <f t="shared" si="2775"/>
        <v>1.0912438336447325E-2</v>
      </c>
      <c r="CV759" s="2787">
        <f t="shared" si="2775"/>
        <v>1.9266500437962311E-2</v>
      </c>
      <c r="CW759" s="2788">
        <f t="shared" si="2775"/>
        <v>3.0324814540526414E-2</v>
      </c>
      <c r="CX759" s="2787">
        <f t="shared" si="2775"/>
        <v>4.3680293420259031E-2</v>
      </c>
      <c r="CY759" s="2787">
        <f t="shared" si="2775"/>
        <v>5.3780439414838697E-2</v>
      </c>
      <c r="CZ759" s="2787">
        <f t="shared" si="2775"/>
        <v>6.2913209348097354E-2</v>
      </c>
      <c r="DA759" s="2787">
        <f t="shared" si="2775"/>
        <v>7.7401023083252266E-2</v>
      </c>
      <c r="DB759" s="2786">
        <f t="shared" si="2775"/>
        <v>9.0550426933513437E-2</v>
      </c>
      <c r="DC759" s="2787">
        <f t="shared" si="2775"/>
        <v>9.419749690130734E-2</v>
      </c>
      <c r="DD759" s="2787">
        <f t="shared" si="2775"/>
        <v>9.7745639147125529E-2</v>
      </c>
      <c r="DE759" s="2787">
        <f t="shared" si="2775"/>
        <v>0.10233644490180674</v>
      </c>
      <c r="DF759" s="2787">
        <f t="shared" si="2775"/>
        <v>0.10506709689772499</v>
      </c>
      <c r="DG759" s="2787">
        <f t="shared" si="2775"/>
        <v>0.10827109399768681</v>
      </c>
      <c r="DH759" s="2787">
        <f t="shared" si="2775"/>
        <v>0.11253964023037209</v>
      </c>
      <c r="DI759" s="2787">
        <f t="shared" si="2775"/>
        <v>0.11160919059707637</v>
      </c>
      <c r="DJ759" s="2787">
        <f t="shared" si="2775"/>
        <v>0.10843095490451145</v>
      </c>
      <c r="DK759" s="2787">
        <f t="shared" si="2775"/>
        <v>0.10902877896311972</v>
      </c>
      <c r="DL759" s="2787">
        <f t="shared" si="2775"/>
        <v>0.10978068473739466</v>
      </c>
      <c r="DM759" s="2787">
        <f t="shared" si="2775"/>
        <v>0.1066344857875805</v>
      </c>
      <c r="DN759" s="2787">
        <f t="shared" si="2775"/>
        <v>0.10324164929352767</v>
      </c>
      <c r="DO759" s="2787">
        <f t="shared" si="2775"/>
        <v>0.10328303064814416</v>
      </c>
      <c r="DP759" s="2787">
        <f t="shared" si="2775"/>
        <v>0.1034250691014032</v>
      </c>
      <c r="DQ759" s="2787">
        <f t="shared" si="2775"/>
        <v>0.10357173697580162</v>
      </c>
      <c r="DR759" s="2787">
        <f t="shared" si="2775"/>
        <v>0.1063628184636755</v>
      </c>
      <c r="DS759" s="2787">
        <f t="shared" si="2775"/>
        <v>0.10741205193030096</v>
      </c>
      <c r="DT759" s="2787">
        <f t="shared" si="2775"/>
        <v>0.10837470620730746</v>
      </c>
      <c r="DU759" s="2787">
        <f t="shared" si="2775"/>
        <v>0.10926781976429306</v>
      </c>
      <c r="DV759" s="2787">
        <f t="shared" si="2775"/>
        <v>0.11219332540002441</v>
      </c>
      <c r="DW759" s="2787">
        <f t="shared" ref="DW759" si="2776">+SUM(DL758:DW758)</f>
        <v>0.15834104453382797</v>
      </c>
      <c r="DX759" s="2787">
        <f t="shared" ref="DX759" si="2777">+SUM(DM758:DX758)</f>
        <v>0.14568693441221986</v>
      </c>
      <c r="DY759" s="2788">
        <f t="shared" ref="DY759" si="2778">+SUM(DN758:DY758)</f>
        <v>0.1331840135047887</v>
      </c>
    </row>
    <row r="760" spans="1:129" hidden="1" outlineLevel="1">
      <c r="A760" s="2205" t="s">
        <v>192</v>
      </c>
      <c r="T760" s="1942"/>
      <c r="AI760" s="2207"/>
      <c r="CL760" s="1942"/>
      <c r="CP760" s="1942"/>
      <c r="CT760" s="1942"/>
      <c r="CW760" s="2236"/>
      <c r="DB760" s="1942"/>
      <c r="DY760" s="2236"/>
    </row>
    <row r="761" spans="1:129" hidden="1" outlineLevel="1">
      <c r="A761" s="1903" t="s">
        <v>193</v>
      </c>
      <c r="S761" s="2747">
        <f>+AVERAGE(CT761:CW761)</f>
        <v>80</v>
      </c>
      <c r="T761" s="2790">
        <f t="shared" ref="T761:AB761" si="2779">+S761</f>
        <v>80</v>
      </c>
      <c r="U761" s="2789">
        <f t="shared" si="2779"/>
        <v>80</v>
      </c>
      <c r="V761" s="2789">
        <f t="shared" si="2779"/>
        <v>80</v>
      </c>
      <c r="W761" s="2789">
        <f t="shared" si="2779"/>
        <v>80</v>
      </c>
      <c r="X761" s="2789">
        <f t="shared" si="2779"/>
        <v>80</v>
      </c>
      <c r="Y761" s="2789">
        <f t="shared" si="2779"/>
        <v>80</v>
      </c>
      <c r="Z761" s="2789">
        <f t="shared" si="2779"/>
        <v>80</v>
      </c>
      <c r="AA761" s="2789">
        <f t="shared" si="2779"/>
        <v>80</v>
      </c>
      <c r="AB761" s="2789">
        <f t="shared" si="2779"/>
        <v>80</v>
      </c>
      <c r="AC761" s="2789">
        <f t="shared" ref="AC761" si="2780">+AB761</f>
        <v>80</v>
      </c>
      <c r="AD761" s="2789">
        <f t="shared" ref="AD761" si="2781">+AC761</f>
        <v>80</v>
      </c>
      <c r="AE761" s="2789">
        <f t="shared" ref="AE761" si="2782">+AD761</f>
        <v>80</v>
      </c>
      <c r="AF761" s="2789">
        <f t="shared" ref="AF761" si="2783">+AE761</f>
        <v>80</v>
      </c>
      <c r="AG761" s="2789">
        <f t="shared" ref="AG761" si="2784">+AF761</f>
        <v>80</v>
      </c>
      <c r="AI761" s="2207"/>
      <c r="CL761" s="1942"/>
      <c r="CP761" s="1942"/>
      <c r="CT761" s="2790">
        <v>80</v>
      </c>
      <c r="CU761" s="2789">
        <v>80</v>
      </c>
      <c r="CV761" s="2789">
        <v>80</v>
      </c>
      <c r="CW761" s="2791">
        <v>80</v>
      </c>
      <c r="CX761" s="2789">
        <v>80</v>
      </c>
      <c r="CY761" s="2789">
        <v>80</v>
      </c>
      <c r="CZ761" s="2789">
        <v>80</v>
      </c>
      <c r="DA761" s="2789">
        <v>80</v>
      </c>
      <c r="DB761" s="2790">
        <v>80</v>
      </c>
      <c r="DC761" s="2789">
        <v>80</v>
      </c>
      <c r="DD761" s="2789">
        <v>80</v>
      </c>
      <c r="DE761" s="2789">
        <v>80</v>
      </c>
      <c r="DF761" s="2789">
        <v>80</v>
      </c>
      <c r="DG761" s="2789">
        <v>80</v>
      </c>
      <c r="DH761" s="2789">
        <v>80</v>
      </c>
      <c r="DI761" s="2789">
        <v>80</v>
      </c>
      <c r="DJ761" s="2789">
        <v>80</v>
      </c>
      <c r="DK761" s="2789">
        <v>80</v>
      </c>
      <c r="DL761" s="2789">
        <v>80</v>
      </c>
      <c r="DM761" s="2789">
        <v>80</v>
      </c>
      <c r="DN761" s="2789">
        <v>80</v>
      </c>
      <c r="DO761" s="2789">
        <v>80</v>
      </c>
      <c r="DP761" s="2789">
        <v>80</v>
      </c>
      <c r="DQ761" s="2789">
        <v>80</v>
      </c>
      <c r="DR761" s="2789">
        <v>80</v>
      </c>
      <c r="DS761" s="2789">
        <v>80</v>
      </c>
      <c r="DT761" s="2789">
        <v>80</v>
      </c>
      <c r="DU761" s="2789">
        <v>80</v>
      </c>
      <c r="DV761" s="2789">
        <v>80</v>
      </c>
      <c r="DW761" s="2789">
        <v>80</v>
      </c>
      <c r="DX761" s="2789">
        <v>80</v>
      </c>
      <c r="DY761" s="2791">
        <v>80</v>
      </c>
    </row>
    <row r="762" spans="1:129" hidden="1" outlineLevel="1">
      <c r="A762" s="1903" t="s">
        <v>184</v>
      </c>
      <c r="S762" s="2747">
        <f>+S763</f>
        <v>886.81999999999994</v>
      </c>
      <c r="T762" s="2792">
        <f t="shared" ref="T762:V762" si="2785">+((T721*T761*12)/1000)</f>
        <v>3085.68</v>
      </c>
      <c r="U762" s="2747">
        <f t="shared" si="2785"/>
        <v>4635.5039999999999</v>
      </c>
      <c r="V762" s="2747">
        <f t="shared" si="2785"/>
        <v>6436.9440000000004</v>
      </c>
      <c r="W762" s="2747">
        <f t="shared" ref="W762:AB762" si="2786">+((W721*W761*12)/1000)</f>
        <v>7603.2</v>
      </c>
      <c r="X762" s="2747">
        <f t="shared" si="2786"/>
        <v>7603.2</v>
      </c>
      <c r="Y762" s="2747">
        <f t="shared" si="2786"/>
        <v>7603.2</v>
      </c>
      <c r="Z762" s="2747">
        <f t="shared" si="2786"/>
        <v>7603.2</v>
      </c>
      <c r="AA762" s="2747">
        <f t="shared" si="2786"/>
        <v>3801.6</v>
      </c>
      <c r="AB762" s="2747">
        <f t="shared" si="2786"/>
        <v>0</v>
      </c>
      <c r="AC762" s="2747">
        <f t="shared" ref="AC762:AG762" si="2787">+((AC721*AC761*12)/1000)</f>
        <v>0</v>
      </c>
      <c r="AD762" s="2747">
        <f t="shared" si="2787"/>
        <v>0</v>
      </c>
      <c r="AE762" s="2747">
        <f t="shared" si="2787"/>
        <v>0</v>
      </c>
      <c r="AF762" s="2747">
        <f t="shared" si="2787"/>
        <v>0</v>
      </c>
      <c r="AG762" s="2747">
        <f t="shared" si="2787"/>
        <v>0</v>
      </c>
      <c r="AI762" s="2207"/>
      <c r="CL762" s="1942"/>
      <c r="CP762" s="1942"/>
      <c r="CT762" s="2792">
        <f>+((CT721*CT761*2)/1000)</f>
        <v>38.72</v>
      </c>
      <c r="CU762" s="2747">
        <f t="shared" ref="CU762:DF762" si="2788">+((CU721*CU761*3)/1000)</f>
        <v>120.18</v>
      </c>
      <c r="CV762" s="2747">
        <f t="shared" si="2788"/>
        <v>110.1</v>
      </c>
      <c r="CW762" s="2793">
        <f t="shared" si="2788"/>
        <v>151.19999999999999</v>
      </c>
      <c r="CX762" s="2747">
        <f t="shared" si="2788"/>
        <v>180</v>
      </c>
      <c r="CY762" s="2747">
        <f t="shared" si="2788"/>
        <v>157.80000000000001</v>
      </c>
      <c r="CZ762" s="2747">
        <f t="shared" si="2788"/>
        <v>200.04</v>
      </c>
      <c r="DA762" s="2747">
        <f t="shared" si="2788"/>
        <v>342.24</v>
      </c>
      <c r="DB762" s="2792">
        <f t="shared" si="2788"/>
        <v>367.2</v>
      </c>
      <c r="DC762" s="2747">
        <f t="shared" si="2788"/>
        <v>281.7</v>
      </c>
      <c r="DD762" s="2747">
        <f t="shared" si="2788"/>
        <v>277.23599999999999</v>
      </c>
      <c r="DE762" s="2747">
        <f t="shared" si="2788"/>
        <v>377.13600000000002</v>
      </c>
      <c r="DF762" s="2747">
        <f t="shared" si="2788"/>
        <v>475.2</v>
      </c>
      <c r="DG762" s="2747">
        <f>+((DG721*DG761*3)/1000)</f>
        <v>475.2</v>
      </c>
      <c r="DH762" s="2747">
        <f>+((DH721*DH761*3)/1000)</f>
        <v>475.2</v>
      </c>
      <c r="DI762" s="2747">
        <f>+((DI721*DI761*3)/1000)</f>
        <v>475.2</v>
      </c>
      <c r="DJ762" s="2747">
        <f t="shared" ref="DJ762:DM762" si="2789">+((DJ721*DJ761*3)/1000)</f>
        <v>475.2</v>
      </c>
      <c r="DK762" s="2747">
        <f t="shared" si="2789"/>
        <v>475.2</v>
      </c>
      <c r="DL762" s="2747">
        <f t="shared" si="2789"/>
        <v>475.2</v>
      </c>
      <c r="DM762" s="2747">
        <f t="shared" si="2789"/>
        <v>475.2</v>
      </c>
      <c r="DN762" s="2747">
        <f t="shared" ref="DN762:DO762" si="2790">+((DN721*DN761*3)/1000)</f>
        <v>475.2</v>
      </c>
      <c r="DO762" s="2747">
        <f t="shared" si="2790"/>
        <v>475.2</v>
      </c>
      <c r="DP762" s="2747">
        <f t="shared" ref="DP762:DQ762" si="2791">+((DP721*DP761*3)/1000)</f>
        <v>475.2</v>
      </c>
      <c r="DQ762" s="2747">
        <f t="shared" si="2791"/>
        <v>475.2</v>
      </c>
      <c r="DR762" s="2747">
        <f t="shared" ref="DR762" si="2792">+((DR721*DR761*3)/1000)</f>
        <v>475.2</v>
      </c>
      <c r="DS762" s="2747">
        <f t="shared" ref="DS762:DT762" si="2793">+((DS721*DS761*3)/1000)</f>
        <v>475.2</v>
      </c>
      <c r="DT762" s="2747">
        <f t="shared" si="2793"/>
        <v>475.2</v>
      </c>
      <c r="DU762" s="2747">
        <f t="shared" ref="DU762" si="2794">+((DU721*DU761*3)/1000)</f>
        <v>475.2</v>
      </c>
      <c r="DV762" s="2747">
        <f t="shared" ref="DV762" si="2795">+((DV721*DV761*3)/1000)</f>
        <v>475.2</v>
      </c>
      <c r="DW762" s="2747">
        <f t="shared" ref="DW762:DY762" si="2796">+((DW721*DW761*3)/1000)</f>
        <v>237.6</v>
      </c>
      <c r="DX762" s="2747">
        <f t="shared" si="2796"/>
        <v>0</v>
      </c>
      <c r="DY762" s="2793">
        <f t="shared" si="2796"/>
        <v>0</v>
      </c>
    </row>
    <row r="763" spans="1:129" hidden="1" outlineLevel="1">
      <c r="A763" s="2759" t="s">
        <v>185</v>
      </c>
      <c r="S763" s="2747">
        <f>+SUM(CT763:CW763)</f>
        <v>886.81999999999994</v>
      </c>
      <c r="T763" s="2792">
        <f>+SUM(CX763:DA763)</f>
        <v>3616.5199999999995</v>
      </c>
      <c r="U763" s="2747">
        <f>+SUM(DB763:DE763)</f>
        <v>7559.808</v>
      </c>
      <c r="V763" s="2747">
        <f>+SUM(DF763:DI763)</f>
        <v>11549.687999999998</v>
      </c>
      <c r="W763" s="2747">
        <f>+SUM(DG763:DJ763)</f>
        <v>12383.207999999999</v>
      </c>
      <c r="X763" s="2747">
        <f>+SUM(DH763:DK763)</f>
        <v>13092.828</v>
      </c>
      <c r="Y763" s="2747">
        <f>+SUM(DI763:DL763)</f>
        <v>13725.251999999999</v>
      </c>
      <c r="Z763" s="2747">
        <f>+SUM(DJ763:DM763)</f>
        <v>14322.779999999999</v>
      </c>
      <c r="AA763" s="2747">
        <f>+SUM(Z762:AA762)</f>
        <v>11404.8</v>
      </c>
      <c r="AB763" s="2747">
        <f>+SUM(AA762:AB762)</f>
        <v>3801.6</v>
      </c>
      <c r="AC763" s="2747">
        <f t="shared" ref="AC763:AG763" si="2797">+SUM(AB762:AC762)</f>
        <v>0</v>
      </c>
      <c r="AD763" s="2747">
        <f t="shared" si="2797"/>
        <v>0</v>
      </c>
      <c r="AE763" s="2747">
        <f t="shared" si="2797"/>
        <v>0</v>
      </c>
      <c r="AF763" s="2747">
        <f t="shared" si="2797"/>
        <v>0</v>
      </c>
      <c r="AG763" s="2747">
        <f t="shared" si="2797"/>
        <v>0</v>
      </c>
      <c r="AI763" s="2207"/>
      <c r="CL763" s="1942"/>
      <c r="CP763" s="1942"/>
      <c r="CT763" s="2792">
        <f t="shared" ref="CT763:DV763" si="2798">+SUM(CM762:CT762)</f>
        <v>38.72</v>
      </c>
      <c r="CU763" s="2747">
        <f t="shared" si="2798"/>
        <v>158.9</v>
      </c>
      <c r="CV763" s="2747">
        <f t="shared" si="2798"/>
        <v>269</v>
      </c>
      <c r="CW763" s="2793">
        <f t="shared" si="2798"/>
        <v>420.2</v>
      </c>
      <c r="CX763" s="2747">
        <f t="shared" si="2798"/>
        <v>600.20000000000005</v>
      </c>
      <c r="CY763" s="2747">
        <f t="shared" si="2798"/>
        <v>758</v>
      </c>
      <c r="CZ763" s="2747">
        <f t="shared" si="2798"/>
        <v>958.04</v>
      </c>
      <c r="DA763" s="2747">
        <f t="shared" si="2798"/>
        <v>1300.28</v>
      </c>
      <c r="DB763" s="2792">
        <f t="shared" si="2798"/>
        <v>1628.76</v>
      </c>
      <c r="DC763" s="2747">
        <f t="shared" si="2798"/>
        <v>1790.28</v>
      </c>
      <c r="DD763" s="2747">
        <f t="shared" si="2798"/>
        <v>1957.4160000000002</v>
      </c>
      <c r="DE763" s="2747">
        <f t="shared" si="2798"/>
        <v>2183.3519999999999</v>
      </c>
      <c r="DF763" s="2747">
        <f t="shared" si="2798"/>
        <v>2478.5519999999997</v>
      </c>
      <c r="DG763" s="2747">
        <f t="shared" si="2798"/>
        <v>2795.9519999999998</v>
      </c>
      <c r="DH763" s="2747">
        <f t="shared" si="2798"/>
        <v>3071.1119999999996</v>
      </c>
      <c r="DI763" s="2747">
        <f t="shared" si="2798"/>
        <v>3204.0719999999997</v>
      </c>
      <c r="DJ763" s="2747">
        <f t="shared" si="2798"/>
        <v>3312.0719999999997</v>
      </c>
      <c r="DK763" s="2747">
        <f t="shared" si="2798"/>
        <v>3505.5719999999997</v>
      </c>
      <c r="DL763" s="2747">
        <f t="shared" si="2798"/>
        <v>3703.5359999999996</v>
      </c>
      <c r="DM763" s="2747">
        <f t="shared" si="2798"/>
        <v>3801.5999999999995</v>
      </c>
      <c r="DN763" s="2747">
        <f t="shared" si="2798"/>
        <v>3801.5999999999995</v>
      </c>
      <c r="DO763" s="2747">
        <f t="shared" si="2798"/>
        <v>3801.5999999999995</v>
      </c>
      <c r="DP763" s="2747">
        <f t="shared" si="2798"/>
        <v>3801.5999999999995</v>
      </c>
      <c r="DQ763" s="2747">
        <f t="shared" si="2798"/>
        <v>3801.5999999999995</v>
      </c>
      <c r="DR763" s="2747">
        <f t="shared" si="2798"/>
        <v>3801.5999999999995</v>
      </c>
      <c r="DS763" s="2747">
        <f t="shared" si="2798"/>
        <v>3801.5999999999995</v>
      </c>
      <c r="DT763" s="2747">
        <f t="shared" si="2798"/>
        <v>3801.5999999999995</v>
      </c>
      <c r="DU763" s="2747">
        <f t="shared" si="2798"/>
        <v>3801.5999999999995</v>
      </c>
      <c r="DV763" s="2747">
        <f t="shared" si="2798"/>
        <v>3801.5999999999995</v>
      </c>
      <c r="DW763" s="2747">
        <f t="shared" ref="DW763" si="2799">+SUM(DL762:DW762)</f>
        <v>5464.7999999999993</v>
      </c>
      <c r="DX763" s="2747">
        <f t="shared" ref="DX763" si="2800">+SUM(DM762:DX762)</f>
        <v>4989.5999999999995</v>
      </c>
      <c r="DY763" s="2793">
        <f t="shared" ref="DY763" si="2801">+SUM(DN762:DY762)</f>
        <v>4514.3999999999996</v>
      </c>
    </row>
    <row r="764" spans="1:129" hidden="1" outlineLevel="1">
      <c r="A764" s="1903" t="s">
        <v>186</v>
      </c>
      <c r="S764" s="2747">
        <f t="shared" ref="S764:V764" si="2802">+S762*S766</f>
        <v>487.75099999999998</v>
      </c>
      <c r="T764" s="2792">
        <f t="shared" si="2802"/>
        <v>1697.124</v>
      </c>
      <c r="U764" s="2747">
        <f t="shared" si="2802"/>
        <v>2549.5272</v>
      </c>
      <c r="V764" s="2747">
        <f t="shared" si="2802"/>
        <v>3540.3192000000004</v>
      </c>
      <c r="W764" s="2747">
        <f t="shared" ref="W764:AB764" si="2803">+W762*W766</f>
        <v>4181.76</v>
      </c>
      <c r="X764" s="2747">
        <f t="shared" si="2803"/>
        <v>4181.76</v>
      </c>
      <c r="Y764" s="2747">
        <f t="shared" si="2803"/>
        <v>4181.76</v>
      </c>
      <c r="Z764" s="2747">
        <f t="shared" si="2803"/>
        <v>4181.76</v>
      </c>
      <c r="AA764" s="2747">
        <f t="shared" si="2803"/>
        <v>2090.88</v>
      </c>
      <c r="AB764" s="2747">
        <f t="shared" si="2803"/>
        <v>0</v>
      </c>
      <c r="AC764" s="2747">
        <f t="shared" ref="AC764:AG764" si="2804">+AC762*AC766</f>
        <v>0</v>
      </c>
      <c r="AD764" s="2747">
        <f t="shared" si="2804"/>
        <v>0</v>
      </c>
      <c r="AE764" s="2747">
        <f t="shared" si="2804"/>
        <v>0</v>
      </c>
      <c r="AF764" s="2747">
        <f t="shared" si="2804"/>
        <v>0</v>
      </c>
      <c r="AG764" s="2747">
        <f t="shared" si="2804"/>
        <v>0</v>
      </c>
      <c r="AI764" s="2207"/>
      <c r="CL764" s="1942"/>
      <c r="CP764" s="1942"/>
      <c r="CT764" s="2792">
        <f t="shared" ref="CT764:DE764" si="2805">+CT762*CT766</f>
        <v>21.295999999999999</v>
      </c>
      <c r="CU764" s="2747">
        <f t="shared" si="2805"/>
        <v>66.099000000000004</v>
      </c>
      <c r="CV764" s="2747">
        <f t="shared" si="2805"/>
        <v>60.555</v>
      </c>
      <c r="CW764" s="2793">
        <f t="shared" si="2805"/>
        <v>83.16</v>
      </c>
      <c r="CX764" s="2747">
        <f t="shared" si="2805"/>
        <v>99.000000000000014</v>
      </c>
      <c r="CY764" s="2747">
        <f t="shared" si="2805"/>
        <v>86.79</v>
      </c>
      <c r="CZ764" s="2747">
        <f t="shared" si="2805"/>
        <v>110.02200000000001</v>
      </c>
      <c r="DA764" s="2747">
        <f t="shared" si="2805"/>
        <v>188.23200000000003</v>
      </c>
      <c r="DB764" s="2792">
        <f t="shared" si="2805"/>
        <v>201.96</v>
      </c>
      <c r="DC764" s="2747">
        <f t="shared" si="2805"/>
        <v>154.935</v>
      </c>
      <c r="DD764" s="2747">
        <f t="shared" si="2805"/>
        <v>152.47980000000001</v>
      </c>
      <c r="DE764" s="2747">
        <f t="shared" si="2805"/>
        <v>207.42480000000003</v>
      </c>
      <c r="DF764" s="2747">
        <f>+DF762*DF766</f>
        <v>261.36</v>
      </c>
      <c r="DG764" s="2747">
        <f>+DG762*DG766</f>
        <v>261.36</v>
      </c>
      <c r="DH764" s="2747">
        <f>+DH762*DH766</f>
        <v>261.36</v>
      </c>
      <c r="DI764" s="2747">
        <f>+DI762*DI766</f>
        <v>261.36</v>
      </c>
      <c r="DJ764" s="2747">
        <f t="shared" ref="DJ764:DM764" si="2806">+DJ762*DJ766</f>
        <v>261.36</v>
      </c>
      <c r="DK764" s="2747">
        <f t="shared" si="2806"/>
        <v>261.36</v>
      </c>
      <c r="DL764" s="2747">
        <f t="shared" si="2806"/>
        <v>261.36</v>
      </c>
      <c r="DM764" s="2747">
        <f t="shared" si="2806"/>
        <v>261.36</v>
      </c>
      <c r="DN764" s="2747">
        <f t="shared" ref="DN764:DO764" si="2807">+DN762*DN766</f>
        <v>261.36</v>
      </c>
      <c r="DO764" s="2747">
        <f t="shared" si="2807"/>
        <v>261.36</v>
      </c>
      <c r="DP764" s="2747">
        <f t="shared" ref="DP764:DQ764" si="2808">+DP762*DP766</f>
        <v>261.36</v>
      </c>
      <c r="DQ764" s="2747">
        <f t="shared" si="2808"/>
        <v>261.36</v>
      </c>
      <c r="DR764" s="2747">
        <f t="shared" ref="DR764" si="2809">+DR762*DR766</f>
        <v>261.36</v>
      </c>
      <c r="DS764" s="2747">
        <f t="shared" ref="DS764:DT764" si="2810">+DS762*DS766</f>
        <v>261.36</v>
      </c>
      <c r="DT764" s="2747">
        <f t="shared" si="2810"/>
        <v>261.36</v>
      </c>
      <c r="DU764" s="2747">
        <f t="shared" ref="DU764" si="2811">+DU762*DU766</f>
        <v>261.36</v>
      </c>
      <c r="DV764" s="2747">
        <f t="shared" ref="DV764" si="2812">+DV762*DV766</f>
        <v>261.36</v>
      </c>
      <c r="DW764" s="2747">
        <f t="shared" ref="DW764:DY764" si="2813">+DW762*DW766</f>
        <v>130.68</v>
      </c>
      <c r="DX764" s="2747">
        <f t="shared" si="2813"/>
        <v>0</v>
      </c>
      <c r="DY764" s="2793">
        <f t="shared" si="2813"/>
        <v>0</v>
      </c>
    </row>
    <row r="765" spans="1:129" hidden="1" outlineLevel="1">
      <c r="A765" s="2759" t="s">
        <v>187</v>
      </c>
      <c r="S765" s="2747">
        <f>+SUM(CT765:CW765)</f>
        <v>487.75100000000003</v>
      </c>
      <c r="T765" s="2792">
        <f t="shared" ref="T765:Z765" si="2814">+S764+T764</f>
        <v>2184.875</v>
      </c>
      <c r="U765" s="2747">
        <f t="shared" si="2814"/>
        <v>4246.6512000000002</v>
      </c>
      <c r="V765" s="2747">
        <f t="shared" si="2814"/>
        <v>6089.8464000000004</v>
      </c>
      <c r="W765" s="2747">
        <f t="shared" si="2814"/>
        <v>7722.0792000000001</v>
      </c>
      <c r="X765" s="2747">
        <f t="shared" si="2814"/>
        <v>8363.52</v>
      </c>
      <c r="Y765" s="2747">
        <f t="shared" si="2814"/>
        <v>8363.52</v>
      </c>
      <c r="Z765" s="2747">
        <f t="shared" si="2814"/>
        <v>8363.52</v>
      </c>
      <c r="AA765" s="2747">
        <f>+SUM(Z764:AA764)</f>
        <v>6272.64</v>
      </c>
      <c r="AB765" s="2747">
        <f>+SUM(AA764:AB764)</f>
        <v>2090.88</v>
      </c>
      <c r="AC765" s="2747">
        <f t="shared" ref="AC765:AG765" si="2815">+SUM(AB764:AC764)</f>
        <v>0</v>
      </c>
      <c r="AD765" s="2747">
        <f t="shared" si="2815"/>
        <v>0</v>
      </c>
      <c r="AE765" s="2747">
        <f t="shared" si="2815"/>
        <v>0</v>
      </c>
      <c r="AF765" s="2747">
        <f t="shared" si="2815"/>
        <v>0</v>
      </c>
      <c r="AG765" s="2747">
        <f t="shared" si="2815"/>
        <v>0</v>
      </c>
      <c r="AI765" s="2207"/>
      <c r="CL765" s="1942"/>
      <c r="CP765" s="1942"/>
      <c r="CT765" s="2792">
        <f t="shared" ref="CT765:DV765" si="2816">+SUM(CM764:CT764)</f>
        <v>21.295999999999999</v>
      </c>
      <c r="CU765" s="2747">
        <f t="shared" si="2816"/>
        <v>87.39500000000001</v>
      </c>
      <c r="CV765" s="2747">
        <f t="shared" si="2816"/>
        <v>147.95000000000002</v>
      </c>
      <c r="CW765" s="2793">
        <f t="shared" si="2816"/>
        <v>231.11</v>
      </c>
      <c r="CX765" s="2747">
        <f t="shared" si="2816"/>
        <v>330.11</v>
      </c>
      <c r="CY765" s="2747">
        <f t="shared" si="2816"/>
        <v>416.90000000000003</v>
      </c>
      <c r="CZ765" s="2747">
        <f t="shared" si="2816"/>
        <v>526.92200000000003</v>
      </c>
      <c r="DA765" s="2747">
        <f t="shared" si="2816"/>
        <v>715.154</v>
      </c>
      <c r="DB765" s="2792">
        <f t="shared" si="2816"/>
        <v>895.8180000000001</v>
      </c>
      <c r="DC765" s="2747">
        <f t="shared" si="2816"/>
        <v>984.654</v>
      </c>
      <c r="DD765" s="2747">
        <f t="shared" si="2816"/>
        <v>1076.5788000000002</v>
      </c>
      <c r="DE765" s="2747">
        <f t="shared" si="2816"/>
        <v>1200.8436000000002</v>
      </c>
      <c r="DF765" s="2747">
        <f t="shared" si="2816"/>
        <v>1363.2036000000003</v>
      </c>
      <c r="DG765" s="2747">
        <f t="shared" si="2816"/>
        <v>1537.7736000000004</v>
      </c>
      <c r="DH765" s="2747">
        <f t="shared" si="2816"/>
        <v>1689.1116000000002</v>
      </c>
      <c r="DI765" s="2747">
        <f t="shared" si="2816"/>
        <v>1762.2396000000003</v>
      </c>
      <c r="DJ765" s="2747">
        <f t="shared" si="2816"/>
        <v>1821.6396000000004</v>
      </c>
      <c r="DK765" s="2747">
        <f t="shared" si="2816"/>
        <v>1928.0646000000006</v>
      </c>
      <c r="DL765" s="2747">
        <f t="shared" si="2816"/>
        <v>2036.9448000000002</v>
      </c>
      <c r="DM765" s="2747">
        <f t="shared" si="2816"/>
        <v>2090.8800000000006</v>
      </c>
      <c r="DN765" s="2747">
        <f t="shared" si="2816"/>
        <v>2090.8800000000006</v>
      </c>
      <c r="DO765" s="2747">
        <f t="shared" si="2816"/>
        <v>2090.8800000000006</v>
      </c>
      <c r="DP765" s="2747">
        <f t="shared" si="2816"/>
        <v>2090.8800000000006</v>
      </c>
      <c r="DQ765" s="2747">
        <f t="shared" si="2816"/>
        <v>2090.8800000000006</v>
      </c>
      <c r="DR765" s="2747">
        <f t="shared" si="2816"/>
        <v>2090.8800000000006</v>
      </c>
      <c r="DS765" s="2747">
        <f t="shared" si="2816"/>
        <v>2090.8800000000006</v>
      </c>
      <c r="DT765" s="2747">
        <f t="shared" si="2816"/>
        <v>2090.8800000000006</v>
      </c>
      <c r="DU765" s="2747">
        <f t="shared" si="2816"/>
        <v>2090.8800000000006</v>
      </c>
      <c r="DV765" s="2747">
        <f t="shared" si="2816"/>
        <v>2090.8800000000006</v>
      </c>
      <c r="DW765" s="2747">
        <f t="shared" ref="DW765" si="2817">+SUM(DL764:DW764)</f>
        <v>3005.6400000000008</v>
      </c>
      <c r="DX765" s="2747">
        <f t="shared" ref="DX765" si="2818">+SUM(DM764:DX764)</f>
        <v>2744.2800000000007</v>
      </c>
      <c r="DY765" s="2793">
        <f t="shared" ref="DY765" si="2819">+SUM(DN764:DY764)</f>
        <v>2482.9200000000005</v>
      </c>
    </row>
    <row r="766" spans="1:129" hidden="1" outlineLevel="1">
      <c r="A766" s="1903" t="s">
        <v>188</v>
      </c>
      <c r="S766" s="2782">
        <f>+AVERAGE(CT766:CW766)</f>
        <v>0.55000000000000004</v>
      </c>
      <c r="T766" s="2760">
        <f t="shared" ref="T766:AB766" si="2820">+S766</f>
        <v>0.55000000000000004</v>
      </c>
      <c r="U766" s="2754">
        <f t="shared" si="2820"/>
        <v>0.55000000000000004</v>
      </c>
      <c r="V766" s="2754">
        <f t="shared" si="2820"/>
        <v>0.55000000000000004</v>
      </c>
      <c r="W766" s="2754">
        <f t="shared" si="2820"/>
        <v>0.55000000000000004</v>
      </c>
      <c r="X766" s="2754">
        <f t="shared" si="2820"/>
        <v>0.55000000000000004</v>
      </c>
      <c r="Y766" s="2754">
        <f t="shared" si="2820"/>
        <v>0.55000000000000004</v>
      </c>
      <c r="Z766" s="2754">
        <f t="shared" si="2820"/>
        <v>0.55000000000000004</v>
      </c>
      <c r="AA766" s="2754">
        <f t="shared" si="2820"/>
        <v>0.55000000000000004</v>
      </c>
      <c r="AB766" s="2754">
        <f t="shared" si="2820"/>
        <v>0.55000000000000004</v>
      </c>
      <c r="AC766" s="2754">
        <f t="shared" ref="AC766" si="2821">+AB766</f>
        <v>0.55000000000000004</v>
      </c>
      <c r="AD766" s="2754">
        <f t="shared" ref="AD766" si="2822">+AC766</f>
        <v>0.55000000000000004</v>
      </c>
      <c r="AE766" s="2754">
        <f t="shared" ref="AE766" si="2823">+AD766</f>
        <v>0.55000000000000004</v>
      </c>
      <c r="AF766" s="2754">
        <f t="shared" ref="AF766" si="2824">+AE766</f>
        <v>0.55000000000000004</v>
      </c>
      <c r="AG766" s="2754">
        <f t="shared" ref="AG766" si="2825">+AF766</f>
        <v>0.55000000000000004</v>
      </c>
      <c r="AI766" s="2207"/>
      <c r="CL766" s="1942"/>
      <c r="CP766" s="1942"/>
      <c r="CT766" s="2760">
        <v>0.55000000000000004</v>
      </c>
      <c r="CU766" s="2754">
        <v>0.55000000000000004</v>
      </c>
      <c r="CV766" s="2754">
        <v>0.55000000000000004</v>
      </c>
      <c r="CW766" s="2755">
        <v>0.55000000000000004</v>
      </c>
      <c r="CX766" s="2754">
        <v>0.55000000000000004</v>
      </c>
      <c r="CY766" s="2754">
        <v>0.55000000000000004</v>
      </c>
      <c r="CZ766" s="2754">
        <v>0.55000000000000004</v>
      </c>
      <c r="DA766" s="2754">
        <v>0.55000000000000004</v>
      </c>
      <c r="DB766" s="2760">
        <v>0.55000000000000004</v>
      </c>
      <c r="DC766" s="2754">
        <v>0.55000000000000004</v>
      </c>
      <c r="DD766" s="2754">
        <v>0.55000000000000004</v>
      </c>
      <c r="DE766" s="2754">
        <v>0.55000000000000004</v>
      </c>
      <c r="DF766" s="2754">
        <v>0.55000000000000004</v>
      </c>
      <c r="DG766" s="2754">
        <v>0.55000000000000004</v>
      </c>
      <c r="DH766" s="2754">
        <v>0.55000000000000004</v>
      </c>
      <c r="DI766" s="2754">
        <v>0.55000000000000004</v>
      </c>
      <c r="DJ766" s="2754">
        <v>0.55000000000000004</v>
      </c>
      <c r="DK766" s="2754">
        <v>0.55000000000000004</v>
      </c>
      <c r="DL766" s="2754">
        <v>0.55000000000000004</v>
      </c>
      <c r="DM766" s="2754">
        <v>0.55000000000000004</v>
      </c>
      <c r="DN766" s="2754">
        <v>0.55000000000000004</v>
      </c>
      <c r="DO766" s="2754">
        <v>0.55000000000000004</v>
      </c>
      <c r="DP766" s="2754">
        <v>0.55000000000000004</v>
      </c>
      <c r="DQ766" s="2754">
        <v>0.55000000000000004</v>
      </c>
      <c r="DR766" s="2754">
        <v>0.55000000000000004</v>
      </c>
      <c r="DS766" s="2754">
        <v>0.55000000000000004</v>
      </c>
      <c r="DT766" s="2754">
        <v>0.55000000000000004</v>
      </c>
      <c r="DU766" s="2754">
        <v>0.55000000000000004</v>
      </c>
      <c r="DV766" s="2754">
        <v>0.55000000000000004</v>
      </c>
      <c r="DW766" s="2754">
        <v>0.55000000000000004</v>
      </c>
      <c r="DX766" s="2754">
        <v>0.55000000000000004</v>
      </c>
      <c r="DY766" s="2755">
        <v>0.55000000000000004</v>
      </c>
    </row>
    <row r="767" spans="1:129" hidden="1" outlineLevel="1">
      <c r="A767" s="1903" t="s">
        <v>189</v>
      </c>
      <c r="S767" s="2747">
        <f t="shared" ref="S767:V767" si="2826">+S765*0.55</f>
        <v>268.26305000000002</v>
      </c>
      <c r="T767" s="2792">
        <f t="shared" si="2826"/>
        <v>1201.6812500000001</v>
      </c>
      <c r="U767" s="2747">
        <f t="shared" si="2826"/>
        <v>2335.6581600000004</v>
      </c>
      <c r="V767" s="2747">
        <f t="shared" si="2826"/>
        <v>3349.4155200000005</v>
      </c>
      <c r="W767" s="2747">
        <f t="shared" ref="W767:AB767" si="2827">+W765*0.55</f>
        <v>4247.1435600000004</v>
      </c>
      <c r="X767" s="2747">
        <f t="shared" si="2827"/>
        <v>4599.9360000000006</v>
      </c>
      <c r="Y767" s="2747">
        <f t="shared" si="2827"/>
        <v>4599.9360000000006</v>
      </c>
      <c r="Z767" s="2747">
        <f t="shared" si="2827"/>
        <v>4599.9360000000006</v>
      </c>
      <c r="AA767" s="2747">
        <f t="shared" si="2827"/>
        <v>3449.9520000000007</v>
      </c>
      <c r="AB767" s="2747">
        <f t="shared" si="2827"/>
        <v>1149.9840000000002</v>
      </c>
      <c r="AC767" s="2747">
        <f t="shared" ref="AC767:AG767" si="2828">+AC765*0.55</f>
        <v>0</v>
      </c>
      <c r="AD767" s="2747">
        <f t="shared" si="2828"/>
        <v>0</v>
      </c>
      <c r="AE767" s="2747">
        <f t="shared" si="2828"/>
        <v>0</v>
      </c>
      <c r="AF767" s="2747">
        <f t="shared" si="2828"/>
        <v>0</v>
      </c>
      <c r="AG767" s="2747">
        <f t="shared" si="2828"/>
        <v>0</v>
      </c>
      <c r="AI767" s="2207"/>
      <c r="CL767" s="1942"/>
      <c r="CP767" s="1942"/>
      <c r="CT767" s="2792">
        <f t="shared" ref="CT767:DE767" si="2829">+CT764*0.55</f>
        <v>11.712800000000001</v>
      </c>
      <c r="CU767" s="2747">
        <f t="shared" si="2829"/>
        <v>36.354450000000007</v>
      </c>
      <c r="CV767" s="2747">
        <f t="shared" si="2829"/>
        <v>33.305250000000001</v>
      </c>
      <c r="CW767" s="2793">
        <f t="shared" si="2829"/>
        <v>45.738</v>
      </c>
      <c r="CX767" s="2747">
        <f t="shared" si="2829"/>
        <v>54.45000000000001</v>
      </c>
      <c r="CY767" s="2747">
        <f t="shared" si="2829"/>
        <v>47.734500000000004</v>
      </c>
      <c r="CZ767" s="2747">
        <f t="shared" si="2829"/>
        <v>60.512100000000011</v>
      </c>
      <c r="DA767" s="2747">
        <f t="shared" si="2829"/>
        <v>103.52760000000002</v>
      </c>
      <c r="DB767" s="2792">
        <f t="shared" si="2829"/>
        <v>111.07800000000002</v>
      </c>
      <c r="DC767" s="2747">
        <f t="shared" si="2829"/>
        <v>85.214250000000007</v>
      </c>
      <c r="DD767" s="2747">
        <f t="shared" si="2829"/>
        <v>83.863890000000012</v>
      </c>
      <c r="DE767" s="2747">
        <f t="shared" si="2829"/>
        <v>114.08364000000003</v>
      </c>
      <c r="DF767" s="2747">
        <f>+DF764*0.55</f>
        <v>143.74800000000002</v>
      </c>
      <c r="DG767" s="2747">
        <f>+DG764*0.55</f>
        <v>143.74800000000002</v>
      </c>
      <c r="DH767" s="2747">
        <f>+DH764*0.55</f>
        <v>143.74800000000002</v>
      </c>
      <c r="DI767" s="2747">
        <f>+DI764*0.55</f>
        <v>143.74800000000002</v>
      </c>
      <c r="DJ767" s="2747">
        <f t="shared" ref="DJ767:DM767" si="2830">+DJ764*0.55</f>
        <v>143.74800000000002</v>
      </c>
      <c r="DK767" s="2747">
        <f t="shared" si="2830"/>
        <v>143.74800000000002</v>
      </c>
      <c r="DL767" s="2747">
        <f t="shared" si="2830"/>
        <v>143.74800000000002</v>
      </c>
      <c r="DM767" s="2747">
        <f t="shared" si="2830"/>
        <v>143.74800000000002</v>
      </c>
      <c r="DN767" s="2747">
        <f t="shared" ref="DN767:DO767" si="2831">+DN764*0.55</f>
        <v>143.74800000000002</v>
      </c>
      <c r="DO767" s="2747">
        <f t="shared" si="2831"/>
        <v>143.74800000000002</v>
      </c>
      <c r="DP767" s="2747">
        <f t="shared" ref="DP767:DQ767" si="2832">+DP764*0.55</f>
        <v>143.74800000000002</v>
      </c>
      <c r="DQ767" s="2747">
        <f t="shared" si="2832"/>
        <v>143.74800000000002</v>
      </c>
      <c r="DR767" s="2747">
        <f t="shared" ref="DR767" si="2833">+DR764*0.55</f>
        <v>143.74800000000002</v>
      </c>
      <c r="DS767" s="2747">
        <f t="shared" ref="DS767:DT767" si="2834">+DS764*0.55</f>
        <v>143.74800000000002</v>
      </c>
      <c r="DT767" s="2747">
        <f t="shared" si="2834"/>
        <v>143.74800000000002</v>
      </c>
      <c r="DU767" s="2747">
        <f t="shared" ref="DU767" si="2835">+DU764*0.55</f>
        <v>143.74800000000002</v>
      </c>
      <c r="DV767" s="2747">
        <f t="shared" ref="DV767" si="2836">+DV764*0.55</f>
        <v>143.74800000000002</v>
      </c>
      <c r="DW767" s="2747">
        <f t="shared" ref="DW767:DY767" si="2837">+DW764*0.55</f>
        <v>71.874000000000009</v>
      </c>
      <c r="DX767" s="2747">
        <f t="shared" si="2837"/>
        <v>0</v>
      </c>
      <c r="DY767" s="2793">
        <f t="shared" si="2837"/>
        <v>0</v>
      </c>
    </row>
    <row r="768" spans="1:129" hidden="1" outlineLevel="1">
      <c r="A768" s="2622" t="s">
        <v>194</v>
      </c>
      <c r="B768" s="2622"/>
      <c r="C768" s="2622"/>
      <c r="D768" s="2622"/>
      <c r="E768" s="2622"/>
      <c r="F768" s="2622"/>
      <c r="G768" s="2622"/>
      <c r="H768" s="2622"/>
      <c r="I768" s="2622"/>
      <c r="J768" s="2622"/>
      <c r="K768" s="2622"/>
      <c r="L768" s="2622"/>
      <c r="M768" s="2622"/>
      <c r="N768" s="2622"/>
      <c r="O768" s="2622"/>
      <c r="P768" s="2622"/>
      <c r="Q768" s="2622"/>
      <c r="R768" s="2622"/>
      <c r="S768" s="2787"/>
      <c r="T768" s="2786"/>
      <c r="U768" s="2787"/>
      <c r="V768" s="2787"/>
      <c r="W768" s="2787"/>
      <c r="X768" s="2787"/>
      <c r="Y768" s="2787"/>
      <c r="Z768" s="2787"/>
      <c r="AA768" s="2787"/>
      <c r="AB768" s="2787"/>
      <c r="AC768" s="2787"/>
      <c r="AD768" s="2787"/>
      <c r="AE768" s="2787"/>
      <c r="AF768" s="2787"/>
      <c r="AG768" s="2787"/>
      <c r="AI768" s="2622"/>
      <c r="AK768" s="2622"/>
      <c r="AL768" s="2622"/>
      <c r="AM768" s="2622"/>
      <c r="AN768" s="2622"/>
      <c r="AO768" s="2622"/>
      <c r="AP768" s="2622"/>
      <c r="AQ768" s="2622"/>
      <c r="AR768" s="2622"/>
      <c r="AS768" s="2622"/>
      <c r="AT768" s="2622"/>
      <c r="AU768" s="2622"/>
      <c r="AV768" s="2622"/>
      <c r="AW768" s="2622"/>
      <c r="AX768" s="2622"/>
      <c r="AY768" s="2622"/>
      <c r="AZ768" s="2622"/>
      <c r="BA768" s="2622"/>
      <c r="BB768" s="2622"/>
      <c r="BC768" s="2622"/>
      <c r="BD768" s="2622"/>
      <c r="BE768" s="2622"/>
      <c r="BF768" s="2622"/>
      <c r="BG768" s="2622"/>
      <c r="BH768" s="2622"/>
      <c r="BI768" s="2622"/>
      <c r="BJ768" s="2622"/>
      <c r="BK768" s="2622"/>
      <c r="BL768" s="2622"/>
      <c r="BM768" s="2622"/>
      <c r="BN768" s="2622"/>
      <c r="BO768" s="2622"/>
      <c r="BP768" s="2622"/>
      <c r="BQ768" s="2622"/>
      <c r="BR768" s="2622"/>
      <c r="BS768" s="2622"/>
      <c r="BT768" s="2622"/>
      <c r="BU768" s="2622"/>
      <c r="BV768" s="2622"/>
      <c r="BW768" s="2622"/>
      <c r="BX768" s="2622"/>
      <c r="BY768" s="2622"/>
      <c r="BZ768" s="2622"/>
      <c r="CA768" s="2622"/>
      <c r="CB768" s="2622"/>
      <c r="CC768" s="2622"/>
      <c r="CD768" s="2622"/>
      <c r="CE768" s="2622"/>
      <c r="CF768" s="2622"/>
      <c r="CG768" s="2622"/>
      <c r="CH768" s="2622"/>
      <c r="CI768" s="2622"/>
      <c r="CJ768" s="2622"/>
      <c r="CK768" s="2622"/>
      <c r="CL768" s="2794"/>
      <c r="CM768" s="2622"/>
      <c r="CN768" s="2622"/>
      <c r="CO768" s="2622"/>
      <c r="CP768" s="2794"/>
      <c r="CQ768" s="2622"/>
      <c r="CR768" s="2622"/>
      <c r="CS768" s="2622"/>
      <c r="CT768" s="2786">
        <f>CT767*(1-CT744)/IS!CQ103</f>
        <v>2.8967564037343085E-3</v>
      </c>
      <c r="CU768" s="2787">
        <f>CU767*(1-CU744)/IS!CR103</f>
        <v>8.9375900034103679E-3</v>
      </c>
      <c r="CV768" s="2787">
        <f>CV767*(1-CV744)/IS!CS103</f>
        <v>8.1998951357475248E-3</v>
      </c>
      <c r="CW768" s="2788">
        <f>CW767*(1-CW744)/IS!CT103</f>
        <v>1.1058314102564101E-2</v>
      </c>
      <c r="CX768" s="2787">
        <f>CX767*(1-CX744)/IS!CU103</f>
        <v>1.3355478879732615E-2</v>
      </c>
      <c r="CY768" s="2787">
        <f>CY767*(1-CY744)/IS!CV103</f>
        <v>1.158708133729314E-2</v>
      </c>
      <c r="CZ768" s="2787">
        <f>CZ767*(1-CZ744)/IS!CW103</f>
        <v>1.4734408399460143E-2</v>
      </c>
      <c r="DA768" s="2787">
        <f>DA767*(1-DA744)/IS!CX103</f>
        <v>2.5632285839120229E-2</v>
      </c>
      <c r="DB768" s="2786">
        <f>DB767*(1-DB744)/IS!CY103</f>
        <v>2.6767337500024819E-2</v>
      </c>
      <c r="DC768" s="2787">
        <f>DC767*(1-DC744)/IS!CZ103</f>
        <v>2.0733654764836438E-2</v>
      </c>
      <c r="DD768" s="2787">
        <f>DD767*(1-DD744)/IS!DA103</f>
        <v>2.0403778881142549E-2</v>
      </c>
      <c r="DE768" s="2787">
        <f>DE767*(1-DE744)/IS!DB103</f>
        <v>2.6827062612420564E-2</v>
      </c>
      <c r="DF768" s="2787">
        <f>DF767*(1-DF744)/IS!DC103</f>
        <v>2.7576224358258648E-2</v>
      </c>
      <c r="DG768" s="2787">
        <f>DG767*(1-DG744)/IS!DD103</f>
        <v>2.2807102447785426E-2</v>
      </c>
      <c r="DH768" s="2787">
        <f>DH767*(1-DH744)/IS!DE103</f>
        <v>2.2973684855903891E-2</v>
      </c>
      <c r="DI768" s="2787">
        <f>DI767*(1-DI744)/IS!DF103</f>
        <v>2.3241195603187152E-2</v>
      </c>
      <c r="DJ768" s="2787">
        <f>DJ767*(1-DJ744)/IS!DG103</f>
        <v>2.1318933455627812E-2</v>
      </c>
      <c r="DK768" s="2787">
        <f>DK767*(1-DK744)/IS!DH103</f>
        <v>2.175849600816487E-2</v>
      </c>
      <c r="DL768" s="2787">
        <f>DL767*(1-DL744)/IS!DI103</f>
        <v>2.1692760208471034E-2</v>
      </c>
      <c r="DM768" s="2787">
        <f>DM767*(1-DM744)/IS!DJ103</f>
        <v>2.1433578698453401E-2</v>
      </c>
      <c r="DN768" s="2787">
        <f>DN767*(1-DN744)/IS!DK103</f>
        <v>2.17599332255967E-2</v>
      </c>
      <c r="DO768" s="2787">
        <f>DO767*(1-DO744)/IS!DL103</f>
        <v>2.2878041912842245E-2</v>
      </c>
      <c r="DP768" s="2787">
        <f>DP767*(1-DP744)/IS!DM103</f>
        <v>2.3217179347205123E-2</v>
      </c>
      <c r="DQ768" s="2787">
        <f>DQ767*(1-DQ744)/IS!DN103</f>
        <v>2.3492626245013023E-2</v>
      </c>
      <c r="DR768" s="2787">
        <f>DR767*(1-DR744)/IS!DO103</f>
        <v>2.6103644577697337E-2</v>
      </c>
      <c r="DS768" s="2787">
        <f>DS767*(1-DS744)/IS!DP103</f>
        <v>2.3557181950951356E-2</v>
      </c>
      <c r="DT768" s="2787">
        <f>DT767*(1-DT744)/IS!DQ103</f>
        <v>2.3343024683339347E-2</v>
      </c>
      <c r="DU768" s="2787">
        <f>DU767*(1-DU744)/IS!DR103</f>
        <v>2.2964630510428706E-2</v>
      </c>
      <c r="DV768" s="2787">
        <f>DV767*(1-DV744)/IS!DS103</f>
        <v>2.6775085743993277E-2</v>
      </c>
      <c r="DW768" s="2787">
        <f>DW767*(1-DW744)/IS!DT103</f>
        <v>1.303876156497551E-2</v>
      </c>
      <c r="DX768" s="2787">
        <f>DX767*(1-DX744)/IS!DU103</f>
        <v>0</v>
      </c>
      <c r="DY768" s="2788">
        <f>DY767*(1-DY744)/IS!DV103</f>
        <v>0</v>
      </c>
    </row>
    <row r="769" spans="1:129" hidden="1" outlineLevel="1">
      <c r="A769" s="2622" t="s">
        <v>191</v>
      </c>
      <c r="B769" s="2622"/>
      <c r="C769" s="2622"/>
      <c r="D769" s="2622"/>
      <c r="E769" s="2622"/>
      <c r="F769" s="2622"/>
      <c r="G769" s="2622"/>
      <c r="H769" s="2622"/>
      <c r="I769" s="2622"/>
      <c r="J769" s="2622"/>
      <c r="K769" s="2622"/>
      <c r="L769" s="2622"/>
      <c r="M769" s="2622"/>
      <c r="N769" s="2622"/>
      <c r="O769" s="2622"/>
      <c r="P769" s="2622"/>
      <c r="Q769" s="2622"/>
      <c r="R769" s="2622"/>
      <c r="S769" s="2787">
        <f>S767*(1-S744)/IS!S103</f>
        <v>6.5658498336477467E-2</v>
      </c>
      <c r="T769" s="2786">
        <f>T767*(1-T744)/IS!T103</f>
        <v>0.29336898583275439</v>
      </c>
      <c r="U769" s="2787">
        <f>U767*(1-U744)/IS!U103</f>
        <v>0.56232649139053204</v>
      </c>
      <c r="V769" s="2787">
        <f>V767*(1-V744)/IS!V103</f>
        <v>0.55937469371626547</v>
      </c>
      <c r="W769" s="2787">
        <f>W767*(1-W744)/IS!W103</f>
        <v>0.63615872631172976</v>
      </c>
      <c r="X769" s="2787">
        <f>X767*(1-X744)/IS!X103</f>
        <v>0.73002801907471337</v>
      </c>
      <c r="Y769" s="2787">
        <f>Y767*(1-Y744)/IS!Y103</f>
        <v>0.7663402828543372</v>
      </c>
      <c r="Z769" s="2787">
        <f ca="1">Z767*(1-Z744)/IS!Z103</f>
        <v>0.83992566420855475</v>
      </c>
      <c r="AA769" s="2787">
        <f>AA767*(1-AA744)/IS!AA103</f>
        <v>0.6265833219637138</v>
      </c>
      <c r="AB769" s="2787">
        <f>AB767*(1-AB744)/IS!AB103</f>
        <v>0.20878624902400569</v>
      </c>
      <c r="AC769" s="2787">
        <f>AC767*(1-AC744)/IS!AC103</f>
        <v>0</v>
      </c>
      <c r="AD769" s="2787">
        <f>AD767*(1-AD744)/IS!AD103</f>
        <v>0</v>
      </c>
      <c r="AE769" s="2787">
        <f>AE767*(1-AE744)/IS!AE103</f>
        <v>0</v>
      </c>
      <c r="AF769" s="2787">
        <f>AF767*(1-AF744)/IS!AF103</f>
        <v>0</v>
      </c>
      <c r="AG769" s="2787">
        <f>AG767*(1-AG744)/IS!AG103</f>
        <v>0</v>
      </c>
      <c r="AI769" s="2622"/>
      <c r="AK769" s="2622"/>
      <c r="AL769" s="2622"/>
      <c r="AM769" s="2622"/>
      <c r="AN769" s="2622"/>
      <c r="AO769" s="2622"/>
      <c r="AP769" s="2622"/>
      <c r="AQ769" s="2622"/>
      <c r="AR769" s="2622"/>
      <c r="AS769" s="2622"/>
      <c r="AT769" s="2622"/>
      <c r="AU769" s="2622"/>
      <c r="AV769" s="2622"/>
      <c r="AW769" s="2622"/>
      <c r="AX769" s="2622"/>
      <c r="AY769" s="2622"/>
      <c r="AZ769" s="2622"/>
      <c r="BA769" s="2622"/>
      <c r="BB769" s="2622"/>
      <c r="BC769" s="2622"/>
      <c r="BD769" s="2622"/>
      <c r="BE769" s="2622"/>
      <c r="BF769" s="2622"/>
      <c r="BG769" s="2622"/>
      <c r="BH769" s="2622"/>
      <c r="BI769" s="2622"/>
      <c r="BJ769" s="2622"/>
      <c r="BK769" s="2622"/>
      <c r="BL769" s="2622"/>
      <c r="BM769" s="2622"/>
      <c r="BN769" s="2622"/>
      <c r="BO769" s="2622"/>
      <c r="BP769" s="2622"/>
      <c r="BQ769" s="2622"/>
      <c r="BR769" s="2622"/>
      <c r="BS769" s="2622"/>
      <c r="BT769" s="2622"/>
      <c r="BU769" s="2622"/>
      <c r="BV769" s="2622"/>
      <c r="BW769" s="2622"/>
      <c r="BX769" s="2622"/>
      <c r="BY769" s="2622"/>
      <c r="BZ769" s="2622"/>
      <c r="CA769" s="2622"/>
      <c r="CB769" s="2622"/>
      <c r="CC769" s="2622"/>
      <c r="CD769" s="2622"/>
      <c r="CE769" s="2622"/>
      <c r="CF769" s="2622"/>
      <c r="CG769" s="2622"/>
      <c r="CH769" s="2622"/>
      <c r="CI769" s="2622"/>
      <c r="CJ769" s="2622"/>
      <c r="CK769" s="2622"/>
      <c r="CL769" s="2794"/>
      <c r="CM769" s="2622"/>
      <c r="CN769" s="2622"/>
      <c r="CO769" s="2622"/>
      <c r="CP769" s="2794"/>
      <c r="CQ769" s="2622"/>
      <c r="CR769" s="2622"/>
      <c r="CS769" s="2622"/>
      <c r="CT769" s="2786">
        <f t="shared" ref="CT769:DV769" si="2838">+SUM(CM768:CT768)</f>
        <v>2.8967564037343085E-3</v>
      </c>
      <c r="CU769" s="2787">
        <f t="shared" si="2838"/>
        <v>1.1834346407144676E-2</v>
      </c>
      <c r="CV769" s="2787">
        <f t="shared" si="2838"/>
        <v>2.0034241542892201E-2</v>
      </c>
      <c r="CW769" s="2788">
        <f t="shared" si="2838"/>
        <v>3.10925556454563E-2</v>
      </c>
      <c r="CX769" s="2787">
        <f t="shared" si="2838"/>
        <v>4.4448034525188918E-2</v>
      </c>
      <c r="CY769" s="2787">
        <f t="shared" si="2838"/>
        <v>5.6035115862482054E-2</v>
      </c>
      <c r="CZ769" s="2787">
        <f t="shared" si="2838"/>
        <v>7.076952426194219E-2</v>
      </c>
      <c r="DA769" s="2787">
        <f t="shared" si="2838"/>
        <v>9.6401810101062413E-2</v>
      </c>
      <c r="DB769" s="2786">
        <f t="shared" si="2838"/>
        <v>0.12027239119735293</v>
      </c>
      <c r="DC769" s="2787">
        <f t="shared" si="2838"/>
        <v>0.132068455958779</v>
      </c>
      <c r="DD769" s="2787">
        <f t="shared" si="2838"/>
        <v>0.14427233970417402</v>
      </c>
      <c r="DE769" s="2787">
        <f t="shared" si="2838"/>
        <v>0.16004108821403049</v>
      </c>
      <c r="DF769" s="2787">
        <f t="shared" si="2838"/>
        <v>0.17426183369255652</v>
      </c>
      <c r="DG769" s="2787">
        <f t="shared" si="2838"/>
        <v>0.1854818548030488</v>
      </c>
      <c r="DH769" s="2787">
        <f t="shared" si="2838"/>
        <v>0.19372113125949256</v>
      </c>
      <c r="DI769" s="2787">
        <f t="shared" si="2838"/>
        <v>0.19133004102355949</v>
      </c>
      <c r="DJ769" s="2787">
        <f t="shared" si="2838"/>
        <v>0.18588163697916249</v>
      </c>
      <c r="DK769" s="2787">
        <f t="shared" si="2838"/>
        <v>0.1869064782224909</v>
      </c>
      <c r="DL769" s="2787">
        <f t="shared" si="2838"/>
        <v>0.18819545954981939</v>
      </c>
      <c r="DM769" s="2787">
        <f t="shared" si="2838"/>
        <v>0.18280197563585221</v>
      </c>
      <c r="DN769" s="2787">
        <f t="shared" si="2838"/>
        <v>0.17698568450319027</v>
      </c>
      <c r="DO769" s="2787">
        <f t="shared" si="2838"/>
        <v>0.17705662396824709</v>
      </c>
      <c r="DP769" s="2787">
        <f t="shared" si="2838"/>
        <v>0.17730011845954832</v>
      </c>
      <c r="DQ769" s="2787">
        <f t="shared" si="2838"/>
        <v>0.17755154910137422</v>
      </c>
      <c r="DR769" s="2787">
        <f t="shared" si="2838"/>
        <v>0.18233626022344376</v>
      </c>
      <c r="DS769" s="2787">
        <f t="shared" si="2838"/>
        <v>0.18413494616623025</v>
      </c>
      <c r="DT769" s="2787">
        <f t="shared" si="2838"/>
        <v>0.18578521064109854</v>
      </c>
      <c r="DU769" s="2787">
        <f t="shared" si="2838"/>
        <v>0.18731626245307384</v>
      </c>
      <c r="DV769" s="2787">
        <f t="shared" si="2838"/>
        <v>0.19233141497147044</v>
      </c>
      <c r="DW769" s="2787">
        <f t="shared" ref="DW769" si="2839">+SUM(DL768:DW768)</f>
        <v>0.27025644866896709</v>
      </c>
      <c r="DX769" s="2787">
        <f t="shared" ref="DX769" si="2840">+SUM(DM768:DX768)</f>
        <v>0.24856368846049606</v>
      </c>
      <c r="DY769" s="2788">
        <f t="shared" ref="DY769" si="2841">+SUM(DN768:DY768)</f>
        <v>0.22713010976204265</v>
      </c>
    </row>
    <row r="770" spans="1:129" hidden="1" outlineLevel="1">
      <c r="A770" s="2795" t="s">
        <v>195</v>
      </c>
      <c r="B770" s="2795"/>
      <c r="C770" s="2795"/>
      <c r="D770" s="2795"/>
      <c r="E770" s="2795"/>
      <c r="F770" s="2795"/>
      <c r="G770" s="2795"/>
      <c r="H770" s="2795"/>
      <c r="I770" s="2795"/>
      <c r="J770" s="2795"/>
      <c r="K770" s="2795"/>
      <c r="L770" s="2795"/>
      <c r="M770" s="2795"/>
      <c r="N770" s="2795"/>
      <c r="O770" s="2795"/>
      <c r="P770" s="2795"/>
      <c r="Q770" s="2795"/>
      <c r="R770" s="2795"/>
      <c r="S770" s="2795">
        <f t="shared" ref="S770:V770" si="2842">+S745+S759+S769</f>
        <v>-0.22302708736756743</v>
      </c>
      <c r="T770" s="2796">
        <f t="shared" si="2842"/>
        <v>2.8421432933914081E-2</v>
      </c>
      <c r="U770" s="2795">
        <f t="shared" si="2842"/>
        <v>0.34943066485220114</v>
      </c>
      <c r="V770" s="2795">
        <f t="shared" si="2842"/>
        <v>1.2634951805856685</v>
      </c>
      <c r="W770" s="2795">
        <f t="shared" ref="W770:AB770" si="2843">+W745+W759+W769</f>
        <v>1.3454701117665433</v>
      </c>
      <c r="X770" s="2795">
        <f t="shared" si="2843"/>
        <v>1.5172046962083057</v>
      </c>
      <c r="Y770" s="2795">
        <f t="shared" si="2843"/>
        <v>1.5926718504775743</v>
      </c>
      <c r="Z770" s="2795">
        <f t="shared" ca="1" si="2843"/>
        <v>1.7456030849586883</v>
      </c>
      <c r="AA770" s="2795">
        <f t="shared" si="2843"/>
        <v>1.0253181632133499</v>
      </c>
      <c r="AB770" s="2795">
        <f t="shared" si="2843"/>
        <v>0.34165022567564568</v>
      </c>
      <c r="AC770" s="2795">
        <f t="shared" ref="AC770:AG770" si="2844">+AC745+AC759+AC769</f>
        <v>0</v>
      </c>
      <c r="AD770" s="2795">
        <f t="shared" si="2844"/>
        <v>0</v>
      </c>
      <c r="AE770" s="2795">
        <f t="shared" si="2844"/>
        <v>0</v>
      </c>
      <c r="AF770" s="2795">
        <f t="shared" si="2844"/>
        <v>0</v>
      </c>
      <c r="AG770" s="2795">
        <f t="shared" si="2844"/>
        <v>0</v>
      </c>
      <c r="AI770" s="2621"/>
      <c r="AK770" s="2621"/>
      <c r="AL770" s="2621"/>
      <c r="AM770" s="2621"/>
      <c r="AN770" s="2621"/>
      <c r="AO770" s="2621"/>
      <c r="AP770" s="2621"/>
      <c r="AQ770" s="2621"/>
      <c r="AR770" s="2621"/>
      <c r="AS770" s="2621"/>
      <c r="AT770" s="2621"/>
      <c r="AU770" s="2621"/>
      <c r="AV770" s="2621"/>
      <c r="AW770" s="2621"/>
      <c r="AX770" s="2621"/>
      <c r="AY770" s="2621"/>
      <c r="AZ770" s="2621"/>
      <c r="BA770" s="2621"/>
      <c r="BB770" s="2621"/>
      <c r="BC770" s="2621"/>
      <c r="BD770" s="2621"/>
      <c r="BE770" s="2621"/>
      <c r="BF770" s="2621"/>
      <c r="BG770" s="2621"/>
      <c r="BH770" s="2621"/>
      <c r="BI770" s="2621"/>
      <c r="BJ770" s="2621"/>
      <c r="BK770" s="2621"/>
      <c r="BL770" s="2621"/>
      <c r="BM770" s="2621"/>
      <c r="BN770" s="2621"/>
      <c r="BO770" s="2621"/>
      <c r="BP770" s="2621"/>
      <c r="BQ770" s="2621"/>
      <c r="BR770" s="2621"/>
      <c r="BS770" s="2621"/>
      <c r="BT770" s="2621"/>
      <c r="BU770" s="2621"/>
      <c r="BV770" s="2621"/>
      <c r="BW770" s="2621"/>
      <c r="BX770" s="2621"/>
      <c r="BY770" s="2621"/>
      <c r="BZ770" s="2621"/>
      <c r="CA770" s="2621"/>
      <c r="CB770" s="2621"/>
      <c r="CC770" s="2621"/>
      <c r="CD770" s="2621"/>
      <c r="CE770" s="2621"/>
      <c r="CF770" s="2621"/>
      <c r="CG770" s="2621"/>
      <c r="CH770" s="2621"/>
      <c r="CI770" s="2621"/>
      <c r="CJ770" s="2621"/>
      <c r="CK770" s="2621"/>
      <c r="CL770" s="2735"/>
      <c r="CM770" s="2621"/>
      <c r="CN770" s="2621"/>
      <c r="CO770" s="2621"/>
      <c r="CP770" s="2735"/>
      <c r="CQ770" s="2621"/>
      <c r="CR770" s="2621"/>
      <c r="CS770" s="2621"/>
      <c r="CT770" s="2796">
        <f t="shared" ref="CT770:DF770" si="2845">+CT745+CT759+CT769</f>
        <v>-6.7655780720738051E-2</v>
      </c>
      <c r="CU770" s="2795">
        <f t="shared" si="2845"/>
        <v>-5.344698470710682E-2</v>
      </c>
      <c r="CV770" s="2795">
        <f t="shared" si="2845"/>
        <v>-2.5697188250485791E-2</v>
      </c>
      <c r="CW770" s="2797">
        <f t="shared" si="2845"/>
        <v>-7.5814233395620878E-2</v>
      </c>
      <c r="CX770" s="2795">
        <f t="shared" si="2845"/>
        <v>-1.5477811242780817E-2</v>
      </c>
      <c r="CY770" s="2795">
        <f t="shared" si="2845"/>
        <v>1.969826177953448E-2</v>
      </c>
      <c r="CZ770" s="2795">
        <f t="shared" si="2845"/>
        <v>2.4080655533671391E-2</v>
      </c>
      <c r="DA770" s="2795">
        <f t="shared" si="2845"/>
        <v>-4.5709496136214223E-2</v>
      </c>
      <c r="DB770" s="2796">
        <f t="shared" si="2845"/>
        <v>7.2983488560526666E-2</v>
      </c>
      <c r="DC770" s="2795">
        <f t="shared" si="2845"/>
        <v>9.3180338482251532E-2</v>
      </c>
      <c r="DD770" s="2795">
        <f t="shared" si="2845"/>
        <v>0.10716659391204716</v>
      </c>
      <c r="DE770" s="2795">
        <f t="shared" si="2845"/>
        <v>4.0440525376580966E-2</v>
      </c>
      <c r="DF770" s="2795">
        <f t="shared" si="2845"/>
        <v>9.8272912076462118E-2</v>
      </c>
      <c r="DG770" s="2795">
        <f>+DG745+DG759+DG769</f>
        <v>0.14400934687083133</v>
      </c>
      <c r="DH770" s="2795">
        <f>+DH745+DH759+DH769</f>
        <v>0.15542344667837449</v>
      </c>
      <c r="DI770" s="2795">
        <f>+DI745+DI759+DI769</f>
        <v>0.15034552311486166</v>
      </c>
      <c r="DJ770" s="2795">
        <f t="shared" ref="DJ770:DM770" si="2846">+DJ745+DJ759+DJ769</f>
        <v>0.15433979646793577</v>
      </c>
      <c r="DK770" s="2795">
        <f t="shared" si="2846"/>
        <v>0.15307644501079079</v>
      </c>
      <c r="DL770" s="2795">
        <f t="shared" si="2846"/>
        <v>0.15554893079725271</v>
      </c>
      <c r="DM770" s="2795">
        <f t="shared" si="2846"/>
        <v>0.14871094471641544</v>
      </c>
      <c r="DN770" s="2795">
        <f t="shared" ref="DN770:DO770" si="2847">+DN745+DN759+DN769</f>
        <v>0.13735908534583052</v>
      </c>
      <c r="DO770" s="2795">
        <f t="shared" si="2847"/>
        <v>0.1301302885219725</v>
      </c>
      <c r="DP770" s="2795">
        <f t="shared" ref="DP770:DQ770" si="2848">+DP745+DP759+DP769</f>
        <v>0.1282891615439482</v>
      </c>
      <c r="DQ770" s="2795">
        <f t="shared" si="2848"/>
        <v>0.12687877032709033</v>
      </c>
      <c r="DR770" s="2795">
        <f t="shared" ref="DR770" si="2849">+DR745+DR759+DR769</f>
        <v>0.11731151327799534</v>
      </c>
      <c r="DS770" s="2795">
        <f t="shared" ref="DS770:DT770" si="2850">+DS745+DS759+DS769</f>
        <v>0.13687863175190113</v>
      </c>
      <c r="DT770" s="2795">
        <f t="shared" si="2850"/>
        <v>0.14089763357395579</v>
      </c>
      <c r="DU770" s="2795">
        <f t="shared" ref="DU770" si="2851">+DU745+DU759+DU769</f>
        <v>0.14580620512869358</v>
      </c>
      <c r="DV770" s="2795">
        <f t="shared" ref="DV770" si="2852">+DV745+DV759+DV769</f>
        <v>0.12872872286042791</v>
      </c>
      <c r="DW770" s="2795">
        <f t="shared" ref="DW770:DY770" si="2853">+DW745+DW759+DW769</f>
        <v>0.42859749320279505</v>
      </c>
      <c r="DX770" s="2795">
        <f t="shared" si="2853"/>
        <v>0.39425062287271595</v>
      </c>
      <c r="DY770" s="2795">
        <f t="shared" si="2853"/>
        <v>0.36031412326683132</v>
      </c>
    </row>
    <row r="771" spans="1:129" hidden="1" outlineLevel="1">
      <c r="AI771" s="2207"/>
      <c r="CL771" s="1942"/>
      <c r="CP771" s="1942"/>
      <c r="CT771" s="1942"/>
    </row>
    <row r="772" spans="1:129" hidden="1" outlineLevel="1">
      <c r="T772" s="2798"/>
      <c r="AI772" s="2207"/>
      <c r="CL772" s="1942"/>
      <c r="CP772" s="1942"/>
    </row>
    <row r="773" spans="1:129" hidden="1" outlineLevel="1">
      <c r="A773" s="2307" t="s">
        <v>196</v>
      </c>
      <c r="S773" s="2798"/>
      <c r="T773" s="2798"/>
      <c r="U773" s="2798"/>
      <c r="V773" s="2798"/>
      <c r="W773" s="2798"/>
      <c r="X773" s="2798"/>
      <c r="Y773" s="2798"/>
      <c r="Z773" s="2798"/>
      <c r="AA773" s="2798"/>
      <c r="AB773" s="2798"/>
      <c r="AC773" s="2798"/>
      <c r="AD773" s="2798"/>
      <c r="AE773" s="2798"/>
      <c r="AF773" s="2798"/>
      <c r="AG773" s="2798"/>
      <c r="AI773" s="2207"/>
      <c r="CL773" s="1942"/>
      <c r="CP773" s="1942"/>
    </row>
    <row r="774" spans="1:129" hidden="1" outlineLevel="1">
      <c r="A774" s="2307" t="s">
        <v>1106</v>
      </c>
      <c r="AI774" s="2207"/>
    </row>
    <row r="775" spans="1:129" hidden="1" outlineLevel="1">
      <c r="A775" s="2307" t="s">
        <v>1107</v>
      </c>
      <c r="AI775" s="2207"/>
      <c r="CV775" s="2215"/>
      <c r="CW775" s="2215"/>
      <c r="CX775" s="2215"/>
    </row>
    <row r="776" spans="1:129" hidden="1" outlineLevel="1">
      <c r="A776" s="2307" t="s">
        <v>1109</v>
      </c>
      <c r="AI776" s="2207"/>
      <c r="CV776" s="2215"/>
      <c r="CW776" s="2215"/>
      <c r="CX776" s="2215"/>
    </row>
    <row r="777" spans="1:129" ht="15" hidden="1" customHeight="1" outlineLevel="1">
      <c r="CX777" s="2200"/>
      <c r="CY777" s="2200"/>
      <c r="CZ777" s="2200"/>
      <c r="DA777" s="2200"/>
      <c r="DB777" s="2200"/>
      <c r="DC777" s="2200"/>
      <c r="DD777" s="2200"/>
      <c r="DE777" s="2200"/>
      <c r="DF777" s="2200"/>
      <c r="DG777" s="2200"/>
      <c r="DH777" s="2200"/>
      <c r="DI777" s="2200"/>
      <c r="DJ777" s="2200"/>
      <c r="DK777" s="2200"/>
      <c r="DL777" s="2200"/>
      <c r="DM777" s="2200"/>
      <c r="DN777" s="2200"/>
      <c r="DO777" s="2200"/>
      <c r="DP777" s="2200"/>
      <c r="DQ777" s="2200"/>
      <c r="DR777" s="2200"/>
      <c r="DS777" s="2200"/>
      <c r="DT777" s="2200"/>
      <c r="DU777" s="2200"/>
      <c r="DV777" s="2200"/>
      <c r="DW777" s="2200"/>
      <c r="DX777" s="2200"/>
      <c r="DY777" s="2200"/>
    </row>
    <row r="778" spans="1:129" ht="15" customHeight="1" collapsed="1">
      <c r="V778" s="2141"/>
      <c r="W778" s="2141"/>
      <c r="X778" s="2141"/>
      <c r="Y778" s="2141"/>
      <c r="Z778" s="2141"/>
      <c r="AA778" s="2141"/>
      <c r="AB778" s="2141"/>
      <c r="AC778" s="2141"/>
      <c r="AD778" s="2141"/>
      <c r="AE778" s="2141"/>
      <c r="AF778" s="2141"/>
      <c r="AG778" s="2141"/>
      <c r="CX778" s="2141"/>
      <c r="CY778" s="2141"/>
      <c r="CZ778" s="2141"/>
      <c r="DA778" s="2141"/>
      <c r="DB778" s="2141"/>
      <c r="DC778" s="2141"/>
      <c r="DD778" s="2141"/>
      <c r="DE778" s="2141"/>
      <c r="DF778" s="2731"/>
      <c r="DG778" s="2141"/>
      <c r="DH778" s="2141"/>
      <c r="DI778" s="2731"/>
      <c r="DJ778" s="2731"/>
      <c r="DK778" s="2731"/>
      <c r="DL778" s="2731"/>
      <c r="DM778" s="2731"/>
      <c r="DN778" s="2731"/>
      <c r="DO778" s="2731"/>
      <c r="DP778" s="2731"/>
      <c r="DQ778" s="2731"/>
      <c r="DR778" s="2731"/>
      <c r="DS778" s="2731"/>
      <c r="DT778" s="2731"/>
      <c r="DU778" s="2731"/>
      <c r="DV778" s="2731"/>
      <c r="DW778" s="2141"/>
      <c r="DX778" s="2141"/>
      <c r="DY778" s="2141"/>
    </row>
    <row r="779" spans="1:129" ht="15" customHeight="1">
      <c r="DI779" s="2731"/>
      <c r="DJ779" s="2731"/>
      <c r="DK779" s="2731"/>
      <c r="DL779" s="2731"/>
      <c r="DM779" s="2731"/>
      <c r="DN779" s="2731"/>
      <c r="DO779" s="2731"/>
      <c r="DP779" s="2731"/>
      <c r="DQ779" s="2731"/>
      <c r="DR779" s="2731"/>
      <c r="DS779" s="2731"/>
      <c r="DT779" s="2731"/>
      <c r="DU779" s="2731"/>
      <c r="DV779" s="2731"/>
    </row>
    <row r="780" spans="1:129" ht="15" customHeight="1">
      <c r="V780" s="2141"/>
      <c r="W780" s="2141"/>
      <c r="X780" s="2141"/>
      <c r="Y780" s="2141"/>
      <c r="Z780" s="2141"/>
      <c r="AA780" s="2141"/>
      <c r="AB780" s="2141"/>
      <c r="AC780" s="2141"/>
      <c r="AD780" s="2141"/>
      <c r="AE780" s="2141"/>
      <c r="AF780" s="2141"/>
      <c r="AG780" s="2141"/>
      <c r="CX780" s="2141"/>
      <c r="CY780" s="2141"/>
      <c r="CZ780" s="2141"/>
      <c r="DA780" s="2141"/>
      <c r="DB780" s="2141"/>
      <c r="DC780" s="2141"/>
      <c r="DD780" s="2141"/>
      <c r="DE780" s="2141"/>
      <c r="DF780" s="2141"/>
      <c r="DG780" s="2141"/>
      <c r="DH780" s="2141"/>
      <c r="DI780" s="2731"/>
      <c r="DJ780" s="2731"/>
      <c r="DK780" s="2731"/>
      <c r="DL780" s="2731"/>
      <c r="DM780" s="2731"/>
      <c r="DN780" s="2731"/>
      <c r="DO780" s="2731"/>
      <c r="DP780" s="2731"/>
      <c r="DQ780" s="2731"/>
      <c r="DR780" s="2731"/>
      <c r="DS780" s="2731"/>
      <c r="DT780" s="2731"/>
      <c r="DU780" s="2731"/>
      <c r="DV780" s="2731"/>
      <c r="DW780" s="2141"/>
      <c r="DX780" s="2141"/>
      <c r="DY780" s="2141"/>
    </row>
    <row r="781" spans="1:129" ht="15" customHeight="1">
      <c r="DI781" s="2731"/>
      <c r="DJ781" s="2731"/>
      <c r="DK781" s="2731"/>
      <c r="DL781" s="2731"/>
      <c r="DM781" s="2731"/>
      <c r="DN781" s="2731"/>
      <c r="DO781" s="2731"/>
      <c r="DP781" s="2731"/>
      <c r="DQ781" s="2731"/>
      <c r="DR781" s="2731"/>
      <c r="DS781" s="2731"/>
      <c r="DT781" s="2731"/>
      <c r="DU781" s="2731"/>
      <c r="DV781" s="2731"/>
    </row>
    <row r="782" spans="1:129" ht="15" customHeight="1">
      <c r="DI782" s="2731"/>
      <c r="DJ782" s="2731"/>
      <c r="DK782" s="2731"/>
      <c r="DL782" s="2731"/>
      <c r="DM782" s="2731"/>
      <c r="DN782" s="2731"/>
      <c r="DO782" s="2731"/>
      <c r="DP782" s="2731"/>
      <c r="DQ782" s="2731"/>
      <c r="DR782" s="2731"/>
      <c r="DS782" s="2731"/>
      <c r="DT782" s="2731"/>
      <c r="DU782" s="2731"/>
      <c r="DV782" s="2731"/>
    </row>
    <row r="783" spans="1:129" ht="15" customHeight="1">
      <c r="V783" s="2799"/>
      <c r="W783" s="2799"/>
      <c r="X783" s="2799"/>
      <c r="Y783" s="2799"/>
      <c r="Z783" s="2799"/>
      <c r="AA783" s="2799"/>
      <c r="AB783" s="2799"/>
      <c r="AC783" s="2799"/>
      <c r="AD783" s="2799"/>
      <c r="AE783" s="2799"/>
      <c r="AF783" s="2799"/>
      <c r="AG783" s="2799"/>
      <c r="DB783" s="2799"/>
      <c r="DC783" s="2799"/>
      <c r="DD783" s="2799"/>
      <c r="DE783" s="2799"/>
      <c r="DF783" s="2799"/>
      <c r="DG783" s="2799"/>
      <c r="DH783" s="2799"/>
      <c r="DI783" s="2731"/>
      <c r="DJ783" s="2731"/>
      <c r="DK783" s="2731"/>
      <c r="DL783" s="2731"/>
      <c r="DM783" s="2731"/>
      <c r="DN783" s="2731"/>
      <c r="DO783" s="2731"/>
      <c r="DP783" s="2731"/>
      <c r="DQ783" s="2731"/>
      <c r="DR783" s="2731"/>
      <c r="DS783" s="2731"/>
      <c r="DT783" s="2731"/>
      <c r="DU783" s="2731"/>
      <c r="DV783" s="2731"/>
      <c r="DW783" s="2799"/>
      <c r="DX783" s="2799"/>
      <c r="DY783" s="2799"/>
    </row>
    <row r="785" spans="22:129" ht="15" customHeight="1">
      <c r="V785" s="2800"/>
      <c r="W785" s="2800"/>
      <c r="X785" s="2800"/>
      <c r="Y785" s="2800"/>
      <c r="Z785" s="2800"/>
      <c r="AA785" s="2800"/>
      <c r="AB785" s="2800"/>
      <c r="AC785" s="2800"/>
      <c r="AD785" s="2800"/>
      <c r="AE785" s="2800"/>
      <c r="AF785" s="2800"/>
      <c r="AG785" s="2800"/>
      <c r="CX785" s="2800"/>
      <c r="CY785" s="2800"/>
      <c r="CZ785" s="2800"/>
      <c r="DA785" s="2800"/>
      <c r="DB785" s="2800"/>
      <c r="DC785" s="2800"/>
      <c r="DD785" s="2800"/>
      <c r="DE785" s="2800"/>
      <c r="DF785" s="2800"/>
      <c r="DG785" s="2800"/>
      <c r="DH785" s="2800"/>
      <c r="DI785" s="2800"/>
      <c r="DJ785" s="2800"/>
      <c r="DK785" s="2800"/>
      <c r="DL785" s="2800"/>
      <c r="DM785" s="2800"/>
      <c r="DN785" s="2800"/>
      <c r="DO785" s="2800"/>
      <c r="DP785" s="2800"/>
      <c r="DQ785" s="2800"/>
      <c r="DR785" s="2800"/>
      <c r="DS785" s="2800"/>
      <c r="DT785" s="2800"/>
      <c r="DU785" s="2800"/>
      <c r="DV785" s="2800"/>
      <c r="DW785" s="2800"/>
      <c r="DX785" s="2800"/>
      <c r="DY785" s="2800"/>
    </row>
  </sheetData>
  <phoneticPr fontId="76" type="noConversion"/>
  <pageMargins left="0" right="0" top="0" bottom="0" header="0" footer="0"/>
  <pageSetup scale="70" orientation="portrait" r:id="rId1"/>
  <headerFooter alignWithMargins="0"/>
  <rowBreaks count="6" manualBreakCount="6">
    <brk id="82" max="16383" man="1"/>
    <brk id="152" max="16383" man="1"/>
    <brk id="243" max="16383" man="1"/>
    <brk id="338" max="110" man="1"/>
    <brk id="693" max="107" man="1"/>
    <brk id="745" max="107"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indexed="56"/>
    <pageSetUpPr fitToPage="1"/>
  </sheetPr>
  <dimension ref="A1:EA376"/>
  <sheetViews>
    <sheetView showGridLines="0" zoomScale="85" zoomScaleNormal="85" zoomScaleSheetLayoutView="85" workbookViewId="0">
      <pane xSplit="2" ySplit="6" topLeftCell="X7" activePane="bottomRight" state="frozen"/>
      <selection activeCell="W8" sqref="W8"/>
      <selection pane="topRight" activeCell="W8" sqref="W8"/>
      <selection pane="bottomLeft" activeCell="W8" sqref="W8"/>
      <selection pane="bottomRight" activeCell="X8" sqref="X8"/>
    </sheetView>
  </sheetViews>
  <sheetFormatPr defaultColWidth="7.44140625" defaultRowHeight="15" customHeight="1" outlineLevelRow="2" outlineLevelCol="1"/>
  <cols>
    <col min="1" max="1" width="24.6640625" style="89" customWidth="1"/>
    <col min="2" max="9" width="2.5546875" hidden="1" customWidth="1" outlineLevel="1"/>
    <col min="10" max="16" width="7.44140625" hidden="1" customWidth="1" outlineLevel="1"/>
    <col min="17" max="17" width="7.44140625" style="1074" hidden="1" customWidth="1" outlineLevel="1"/>
    <col min="18" max="18" width="7.44140625" hidden="1" customWidth="1" outlineLevel="1" collapsed="1"/>
    <col min="19" max="19" width="7.44140625" hidden="1" customWidth="1" outlineLevel="1"/>
    <col min="20" max="20" width="7.44140625" hidden="1" customWidth="1" outlineLevel="1" collapsed="1"/>
    <col min="21" max="21" width="7.44140625" style="1074" hidden="1" customWidth="1" outlineLevel="1" collapsed="1"/>
    <col min="22" max="22" width="7.44140625" hidden="1" customWidth="1" outlineLevel="1"/>
    <col min="23" max="23" width="7.44140625" hidden="1" customWidth="1" outlineLevel="1" collapsed="1"/>
    <col min="24" max="24" width="7.44140625" customWidth="1" collapsed="1"/>
    <col min="25" max="26" width="7.44140625" customWidth="1"/>
    <col min="27" max="27" width="7.44140625" style="1074" customWidth="1"/>
    <col min="28" max="33" width="7.44140625" style="1074" hidden="1" customWidth="1" outlineLevel="1"/>
    <col min="34" max="34" width="2.5546875" style="1958" customWidth="1" collapsed="1"/>
    <col min="35" max="35" width="8.6640625" customWidth="1"/>
    <col min="36" max="36" width="2.5546875" style="1958" customWidth="1"/>
    <col min="37" max="69" width="2.5546875" hidden="1" customWidth="1" outlineLevel="1"/>
    <col min="70" max="70" width="7.44140625" hidden="1" customWidth="1" outlineLevel="1" collapsed="1"/>
    <col min="71" max="97" width="7.44140625" hidden="1" customWidth="1" outlineLevel="1"/>
    <col min="98" max="98" width="7.44140625" hidden="1" customWidth="1" outlineLevel="1" collapsed="1"/>
    <col min="99" max="101" width="7.44140625" hidden="1" customWidth="1" outlineLevel="1"/>
    <col min="102" max="102" width="7.44140625" hidden="1" customWidth="1" outlineLevel="1" collapsed="1"/>
    <col min="103" max="105" width="7.44140625" hidden="1" customWidth="1" outlineLevel="1"/>
    <col min="106" max="106" width="7.44140625" hidden="1" customWidth="1" outlineLevel="1" collapsed="1"/>
    <col min="107" max="109" width="7.44140625" hidden="1" customWidth="1" outlineLevel="1"/>
    <col min="110" max="110" width="7.44140625" hidden="1" customWidth="1" outlineLevel="1" collapsed="1"/>
    <col min="111" max="113" width="7.44140625" style="1074" hidden="1" customWidth="1" outlineLevel="1"/>
    <col min="114" max="114" width="7.44140625" style="1074" hidden="1" customWidth="1" outlineLevel="1" collapsed="1"/>
    <col min="115" max="117" width="7.44140625" style="1074" hidden="1" customWidth="1" outlineLevel="1"/>
    <col min="118" max="118" width="7.44140625" style="1074" hidden="1" customWidth="1" outlineLevel="1" collapsed="1"/>
    <col min="119" max="121" width="7.44140625" style="1074" hidden="1" customWidth="1" outlineLevel="1"/>
    <col min="122" max="122" width="7.44140625" style="1074" collapsed="1"/>
    <col min="123" max="129" width="7.44140625" style="1074"/>
    <col min="130" max="130" width="7.44140625" style="86"/>
  </cols>
  <sheetData>
    <row r="1" spans="1:130" ht="15" customHeight="1">
      <c r="A1" s="1595" t="s">
        <v>1111</v>
      </c>
      <c r="B1" s="91"/>
      <c r="C1" s="86"/>
      <c r="D1" s="86"/>
      <c r="E1" s="86"/>
      <c r="F1" s="86"/>
      <c r="G1" s="86"/>
      <c r="H1" s="86"/>
      <c r="I1" s="86"/>
      <c r="J1" s="86"/>
      <c r="K1" s="119"/>
      <c r="L1" s="119"/>
      <c r="M1" s="119"/>
      <c r="N1" s="581"/>
      <c r="O1" s="581"/>
      <c r="P1" s="86"/>
      <c r="Q1" s="1064"/>
      <c r="R1" s="86"/>
      <c r="S1" s="86"/>
      <c r="T1" s="86"/>
      <c r="U1" s="1064"/>
      <c r="V1" s="1904"/>
      <c r="W1" s="220"/>
      <c r="X1" s="220"/>
      <c r="Y1" s="220"/>
      <c r="Z1" s="220"/>
      <c r="AA1" s="1064"/>
      <c r="AB1" s="1064"/>
      <c r="AC1" s="1064"/>
      <c r="AD1" s="1064"/>
      <c r="AE1" s="1064"/>
      <c r="AF1" s="1064"/>
      <c r="AG1" s="1064"/>
      <c r="AH1" s="1946"/>
      <c r="AI1" s="562"/>
      <c r="AJ1" s="194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1064"/>
      <c r="DH1" s="1064"/>
      <c r="DI1" s="1064"/>
      <c r="DJ1" s="1064"/>
      <c r="DK1" s="1064"/>
      <c r="DL1" s="1064"/>
      <c r="DM1" s="1064"/>
      <c r="DN1" s="1064"/>
      <c r="DO1" s="1064"/>
      <c r="DP1" s="1064"/>
      <c r="DQ1" s="1064"/>
      <c r="DR1" s="1064"/>
      <c r="DS1" s="1064"/>
      <c r="DT1" s="1064"/>
      <c r="DU1" s="1064"/>
      <c r="DV1" s="1064"/>
      <c r="DW1" s="1064"/>
      <c r="DX1" s="1064"/>
      <c r="DY1" s="1064"/>
    </row>
    <row r="2" spans="1:130" ht="15" customHeight="1">
      <c r="A2" s="1595" t="s">
        <v>1112</v>
      </c>
      <c r="B2" s="91"/>
      <c r="C2" s="86"/>
      <c r="D2" s="86"/>
      <c r="E2" s="86"/>
      <c r="F2" s="86"/>
      <c r="G2" s="86"/>
      <c r="H2" s="86"/>
      <c r="I2" s="86"/>
      <c r="J2" s="86"/>
      <c r="K2" s="119"/>
      <c r="L2" s="119"/>
      <c r="M2" s="119"/>
      <c r="N2" s="581"/>
      <c r="O2" s="581"/>
      <c r="P2" s="86"/>
      <c r="Q2" s="1070"/>
      <c r="R2" s="149"/>
      <c r="S2" s="91"/>
      <c r="T2" s="91"/>
      <c r="U2" s="1064"/>
      <c r="V2" s="1904"/>
      <c r="W2" s="220"/>
      <c r="X2" s="220"/>
      <c r="Y2" s="220"/>
      <c r="Z2" s="220"/>
      <c r="AA2" s="220"/>
      <c r="AB2" s="220"/>
      <c r="AC2" s="220"/>
      <c r="AD2" s="220"/>
      <c r="AE2" s="220"/>
      <c r="AF2" s="220"/>
      <c r="AG2" s="220"/>
      <c r="AH2" s="1946"/>
      <c r="AI2" s="220"/>
      <c r="AJ2" s="194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1064"/>
      <c r="DH2" s="1064"/>
      <c r="DI2" s="1064"/>
      <c r="DJ2" s="1064"/>
      <c r="DK2" s="1064"/>
      <c r="DL2" s="1064"/>
      <c r="DM2" s="1064"/>
      <c r="DN2" s="1064"/>
      <c r="DO2" s="1064"/>
      <c r="DP2" s="1064"/>
      <c r="DQ2" s="1064"/>
      <c r="DR2" s="1064"/>
      <c r="DS2" s="1064"/>
      <c r="DT2" s="1064"/>
      <c r="DU2" s="1064"/>
      <c r="DV2" s="1064"/>
      <c r="DW2" s="1064"/>
      <c r="DX2" s="1064"/>
      <c r="DY2" s="1064"/>
    </row>
    <row r="3" spans="1:130" ht="15" customHeight="1">
      <c r="A3" s="1603" t="s">
        <v>1113</v>
      </c>
      <c r="B3" s="91"/>
      <c r="C3" s="86"/>
      <c r="D3" s="86"/>
      <c r="E3" s="86"/>
      <c r="F3" s="86"/>
      <c r="G3" s="86"/>
      <c r="H3" s="86"/>
      <c r="I3" s="86"/>
      <c r="J3" s="86"/>
      <c r="K3" s="119"/>
      <c r="L3" s="119"/>
      <c r="M3" s="119"/>
      <c r="N3" s="581"/>
      <c r="O3" s="581"/>
      <c r="P3" s="86"/>
      <c r="Q3" s="1261"/>
      <c r="R3" s="582"/>
      <c r="S3" s="86"/>
      <c r="T3" s="86"/>
      <c r="U3" s="1064"/>
      <c r="V3" s="1904"/>
      <c r="W3" s="220"/>
      <c r="X3" s="220"/>
      <c r="Y3" s="220"/>
      <c r="Z3" s="220"/>
      <c r="AA3" s="220"/>
      <c r="AB3" s="220"/>
      <c r="AC3" s="220"/>
      <c r="AD3" s="220"/>
      <c r="AE3" s="220"/>
      <c r="AF3" s="220"/>
      <c r="AG3" s="220"/>
      <c r="AH3" s="1903"/>
      <c r="AI3" s="220"/>
      <c r="AJ3" s="1903"/>
      <c r="AK3" s="86"/>
      <c r="AL3" s="86"/>
      <c r="AM3" s="86"/>
      <c r="AN3" s="86"/>
      <c r="AO3" s="86"/>
      <c r="AP3" s="86"/>
      <c r="AQ3" s="86"/>
      <c r="AR3" s="86"/>
      <c r="AS3" s="86"/>
      <c r="AT3" s="86"/>
      <c r="AU3" s="86"/>
      <c r="AV3" s="86"/>
      <c r="AW3" s="86"/>
      <c r="AX3" s="86"/>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1302"/>
      <c r="DA3" s="1302"/>
      <c r="DB3" s="1302"/>
      <c r="DC3" s="1302"/>
      <c r="DD3" s="1302"/>
      <c r="DE3" s="1302"/>
      <c r="DF3" s="1302"/>
      <c r="DG3" s="1302"/>
      <c r="DH3" s="1302"/>
      <c r="DI3" s="1302"/>
      <c r="DJ3" s="1302"/>
      <c r="DK3" s="1302"/>
      <c r="DL3" s="1302"/>
      <c r="DM3" s="1302"/>
      <c r="DN3" s="1302"/>
      <c r="DO3" s="1302"/>
      <c r="DP3" s="1302"/>
      <c r="DQ3" s="1302"/>
      <c r="DR3" s="1302"/>
      <c r="DS3" s="1302"/>
      <c r="DT3" s="1302"/>
      <c r="DU3" s="1302"/>
      <c r="DV3" s="1302"/>
      <c r="DW3" s="1302"/>
      <c r="DX3" s="1302"/>
      <c r="DY3" s="1302"/>
    </row>
    <row r="4" spans="1:130" ht="15" customHeight="1">
      <c r="A4" s="1595"/>
      <c r="B4" s="91"/>
      <c r="C4" s="86"/>
      <c r="D4" s="86"/>
      <c r="E4" s="86"/>
      <c r="F4" s="86"/>
      <c r="G4" s="86"/>
      <c r="H4" s="86"/>
      <c r="I4" s="86"/>
      <c r="J4" s="86"/>
      <c r="K4" s="119"/>
      <c r="L4" s="119"/>
      <c r="M4" s="119"/>
      <c r="N4" s="581"/>
      <c r="O4" s="581"/>
      <c r="P4" s="86"/>
      <c r="Q4" s="444" t="s">
        <v>197</v>
      </c>
      <c r="R4" s="445"/>
      <c r="S4" s="86"/>
      <c r="T4" s="1430"/>
      <c r="U4" s="1430"/>
      <c r="V4" s="1430"/>
      <c r="W4" s="1533"/>
      <c r="X4" s="2145"/>
      <c r="Y4" s="1533"/>
      <c r="Z4" s="1533"/>
      <c r="AA4" s="1533"/>
      <c r="AB4" s="1533"/>
      <c r="AC4" s="1533"/>
      <c r="AD4" s="1533"/>
      <c r="AE4" s="1533"/>
      <c r="AF4" s="1533"/>
      <c r="AG4" s="1533"/>
      <c r="AH4" s="1903"/>
      <c r="AI4" s="220"/>
      <c r="AJ4" s="1903"/>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124"/>
      <c r="BW4" s="124"/>
      <c r="BX4" s="124"/>
      <c r="BY4" s="124"/>
      <c r="BZ4" s="124"/>
      <c r="CA4" s="124"/>
      <c r="CB4" s="124"/>
      <c r="CC4" s="124"/>
      <c r="CD4" s="124"/>
      <c r="CE4" s="124"/>
      <c r="CF4" s="124"/>
      <c r="CG4" s="124"/>
      <c r="CH4" s="124"/>
      <c r="CI4" s="124"/>
      <c r="CJ4" s="124"/>
      <c r="CK4" s="124"/>
      <c r="CL4" s="124"/>
      <c r="CM4" s="124"/>
      <c r="CN4" s="124"/>
      <c r="CO4" s="124"/>
      <c r="CP4" s="124"/>
      <c r="CQ4" s="124"/>
      <c r="CR4" s="124"/>
      <c r="CS4" s="124"/>
      <c r="CT4" s="124"/>
      <c r="CU4" s="124"/>
      <c r="CV4" s="124"/>
      <c r="CW4" s="124"/>
      <c r="CX4" s="124"/>
      <c r="CY4" s="124"/>
      <c r="CZ4" s="124"/>
      <c r="DA4" s="124"/>
      <c r="DB4" s="124"/>
      <c r="DC4" s="124"/>
      <c r="DD4" s="124"/>
      <c r="DE4" s="124"/>
      <c r="DF4" s="124"/>
      <c r="DG4" s="124"/>
      <c r="DH4" s="124"/>
      <c r="DI4" s="124"/>
      <c r="DJ4" s="124"/>
      <c r="DK4" s="124"/>
      <c r="DL4" s="124"/>
      <c r="DM4" s="1556"/>
      <c r="DN4" s="1556"/>
      <c r="DO4" s="1556"/>
      <c r="DP4" s="1556"/>
      <c r="DQ4" s="1556"/>
      <c r="DR4" s="1556"/>
      <c r="DS4" s="1556"/>
      <c r="DT4" s="1556"/>
      <c r="DU4" s="1556"/>
      <c r="DV4" s="1556"/>
      <c r="DW4" s="1556"/>
      <c r="DX4" s="1556"/>
      <c r="DY4" s="1556"/>
    </row>
    <row r="5" spans="1:130" ht="23.25" customHeight="1">
      <c r="A5" s="2441"/>
      <c r="B5" s="2442"/>
      <c r="C5" s="2442"/>
      <c r="D5" s="348"/>
      <c r="E5" s="348"/>
      <c r="F5" s="348"/>
      <c r="G5" s="348"/>
      <c r="H5" s="348"/>
      <c r="I5" s="348"/>
      <c r="J5" s="348">
        <v>2002</v>
      </c>
      <c r="K5" s="348">
        <f>IS!K5</f>
        <v>2003</v>
      </c>
      <c r="L5" s="348">
        <f>IS!L5</f>
        <v>2004</v>
      </c>
      <c r="M5" s="348">
        <f>IS!M5</f>
        <v>2005</v>
      </c>
      <c r="N5" s="348">
        <f>IS!N5</f>
        <v>2006</v>
      </c>
      <c r="O5" s="348">
        <f>IS!O5</f>
        <v>2007</v>
      </c>
      <c r="P5" s="348">
        <f>IS!P5</f>
        <v>2008</v>
      </c>
      <c r="Q5" s="1073">
        <f>IS!Q5</f>
        <v>2009</v>
      </c>
      <c r="R5" s="348">
        <f>IS!R5</f>
        <v>2010</v>
      </c>
      <c r="S5" s="348">
        <f>IS!S5</f>
        <v>2011</v>
      </c>
      <c r="T5" s="348">
        <f>IS!T5</f>
        <v>2012</v>
      </c>
      <c r="U5" s="1073">
        <f>IS!U5</f>
        <v>2013</v>
      </c>
      <c r="V5" s="348" t="str">
        <f>IS!V5</f>
        <v>2014</v>
      </c>
      <c r="W5" s="348" t="str">
        <f>IS!W5</f>
        <v>2015</v>
      </c>
      <c r="X5" s="348" t="str">
        <f>IS!X5</f>
        <v>2016</v>
      </c>
      <c r="Y5" s="348" t="str">
        <f>IS!Y5</f>
        <v>2017</v>
      </c>
      <c r="Z5" s="348" t="str">
        <f>IS!Z5</f>
        <v>2018E</v>
      </c>
      <c r="AA5" s="1073" t="str">
        <f>IS!AA5</f>
        <v>2019E</v>
      </c>
      <c r="AB5" s="1073" t="str">
        <f>IS!AB5</f>
        <v>2020E</v>
      </c>
      <c r="AC5" s="1073" t="str">
        <f>IS!AC5</f>
        <v>2021E</v>
      </c>
      <c r="AD5" s="1073" t="str">
        <f>IS!AD5</f>
        <v>2022E</v>
      </c>
      <c r="AE5" s="1073" t="str">
        <f>IS!AE5</f>
        <v>2023E</v>
      </c>
      <c r="AF5" s="1073" t="str">
        <f>IS!AF5</f>
        <v>2024E</v>
      </c>
      <c r="AG5" s="1073" t="str">
        <f>IS!AG5</f>
        <v>2025E</v>
      </c>
      <c r="AH5" s="1947"/>
      <c r="AI5" s="583" t="s">
        <v>1682</v>
      </c>
      <c r="AJ5" s="1947"/>
      <c r="AK5" s="2442"/>
      <c r="AL5" s="2442"/>
      <c r="AM5" s="2442"/>
      <c r="AN5" s="2442"/>
      <c r="AO5" s="2442"/>
      <c r="AP5" s="348"/>
      <c r="AQ5" s="348"/>
      <c r="AR5" s="348"/>
      <c r="AS5" s="348"/>
      <c r="AT5" s="348"/>
      <c r="AU5" s="348"/>
      <c r="AV5" s="348"/>
      <c r="AW5" s="348"/>
      <c r="AX5" s="348"/>
      <c r="AY5" s="348"/>
      <c r="AZ5" s="348"/>
      <c r="BA5" s="348"/>
      <c r="BB5" s="348"/>
      <c r="BC5" s="348"/>
      <c r="BD5" s="348"/>
      <c r="BE5" s="348"/>
      <c r="BF5" s="348"/>
      <c r="BG5" s="348"/>
      <c r="BH5" s="348"/>
      <c r="BI5" s="348"/>
      <c r="BJ5" s="348"/>
      <c r="BK5" s="348"/>
      <c r="BL5" s="348"/>
      <c r="BM5" s="348"/>
      <c r="BN5" s="348"/>
      <c r="BO5" s="348"/>
      <c r="BP5" s="348"/>
      <c r="BQ5" s="348"/>
      <c r="BR5" s="1296" t="str">
        <f>IS!BO5</f>
        <v>1Q04</v>
      </c>
      <c r="BS5" s="233" t="str">
        <f>IS!BP5</f>
        <v>2Q04</v>
      </c>
      <c r="BT5" s="233" t="str">
        <f>IS!BQ5</f>
        <v>3Q04</v>
      </c>
      <c r="BU5" s="233" t="str">
        <f>IS!BR5</f>
        <v>4Q04</v>
      </c>
      <c r="BV5" s="1296" t="str">
        <f>IS!BS5</f>
        <v>1Q05</v>
      </c>
      <c r="BW5" s="233" t="str">
        <f>IS!BT5</f>
        <v>2Q05</v>
      </c>
      <c r="BX5" s="233" t="str">
        <f>IS!BU5</f>
        <v>3Q05</v>
      </c>
      <c r="BY5" s="233" t="str">
        <f>IS!BV5</f>
        <v>4Q05</v>
      </c>
      <c r="BZ5" s="1296" t="str">
        <f>IS!BW5</f>
        <v>1Q06</v>
      </c>
      <c r="CA5" s="233" t="str">
        <f>IS!BX5</f>
        <v>2Q06</v>
      </c>
      <c r="CB5" s="233" t="str">
        <f>IS!BY5</f>
        <v>3Q06</v>
      </c>
      <c r="CC5" s="233" t="str">
        <f>IS!BZ5</f>
        <v>4Q06</v>
      </c>
      <c r="CD5" s="1296" t="str">
        <f>IS!CA5</f>
        <v>1Q07</v>
      </c>
      <c r="CE5" s="233" t="str">
        <f>IS!CB5</f>
        <v>2Q07</v>
      </c>
      <c r="CF5" s="233" t="str">
        <f>IS!CC5</f>
        <v>3Q07</v>
      </c>
      <c r="CG5" s="432" t="str">
        <f>IS!CD5</f>
        <v>4Q07</v>
      </c>
      <c r="CH5" s="1296" t="str">
        <f>IS!CE5</f>
        <v>1Q08</v>
      </c>
      <c r="CI5" s="233" t="str">
        <f>IS!CF5</f>
        <v>2Q08</v>
      </c>
      <c r="CJ5" s="233" t="str">
        <f>IS!CG5</f>
        <v>3Q08</v>
      </c>
      <c r="CK5" s="432" t="str">
        <f>IS!CH5</f>
        <v>4Q08</v>
      </c>
      <c r="CL5" s="1296" t="str">
        <f>IS!CI5</f>
        <v>1Q09</v>
      </c>
      <c r="CM5" s="233" t="str">
        <f>IS!CJ5</f>
        <v>2Q09</v>
      </c>
      <c r="CN5" s="233" t="str">
        <f>IS!CK5</f>
        <v>3Q09</v>
      </c>
      <c r="CO5" s="233" t="str">
        <f>IS!CL5</f>
        <v>4Q09</v>
      </c>
      <c r="CP5" s="1296" t="str">
        <f>IS!CM5</f>
        <v>1Q10</v>
      </c>
      <c r="CQ5" s="233" t="str">
        <f>IS!CN5</f>
        <v>2Q10</v>
      </c>
      <c r="CR5" s="233" t="str">
        <f>IS!CO5</f>
        <v>3Q10</v>
      </c>
      <c r="CS5" s="233" t="str">
        <f>IS!CP5</f>
        <v>4Q10</v>
      </c>
      <c r="CT5" s="1296" t="str">
        <f>IS!CQ5</f>
        <v>1Q11</v>
      </c>
      <c r="CU5" s="233" t="str">
        <f>IS!CR5</f>
        <v>2Q11</v>
      </c>
      <c r="CV5" s="233" t="str">
        <f>IS!CS5</f>
        <v>3Q11</v>
      </c>
      <c r="CW5" s="432" t="str">
        <f>IS!CT5</f>
        <v>4Q11</v>
      </c>
      <c r="CX5" s="1296" t="str">
        <f>IS!CU5</f>
        <v>1Q12</v>
      </c>
      <c r="CY5" s="233" t="str">
        <f>IS!CV5</f>
        <v>2Q12</v>
      </c>
      <c r="CZ5" s="233" t="str">
        <f>IS!CW5</f>
        <v>3Q12</v>
      </c>
      <c r="DA5" s="233" t="str">
        <f>IS!CX5</f>
        <v>4Q12</v>
      </c>
      <c r="DB5" s="1296" t="str">
        <f>IS!CY5</f>
        <v>1Q13</v>
      </c>
      <c r="DC5" s="233" t="str">
        <f>IS!CZ5</f>
        <v>2Q13</v>
      </c>
      <c r="DD5" s="233" t="str">
        <f>IS!DA5</f>
        <v>3Q13</v>
      </c>
      <c r="DE5" s="233" t="str">
        <f>IS!DB5</f>
        <v>4Q13</v>
      </c>
      <c r="DF5" s="1296" t="str">
        <f>IS!DC5</f>
        <v>1Q14</v>
      </c>
      <c r="DG5" s="233" t="str">
        <f>IS!DD5</f>
        <v>2Q14</v>
      </c>
      <c r="DH5" s="233" t="str">
        <f>IS!DE5</f>
        <v>3Q14</v>
      </c>
      <c r="DI5" s="432" t="str">
        <f>IS!DF5</f>
        <v>4Q14</v>
      </c>
      <c r="DJ5" s="1296" t="str">
        <f>IS!DG5</f>
        <v>1Q15</v>
      </c>
      <c r="DK5" s="233" t="str">
        <f>IS!DH5</f>
        <v>2Q15</v>
      </c>
      <c r="DL5" s="233" t="str">
        <f>IS!DI5</f>
        <v>3Q15</v>
      </c>
      <c r="DM5" s="432" t="str">
        <f>IS!DJ5</f>
        <v>4Q15</v>
      </c>
      <c r="DN5" s="432" t="str">
        <f>IS!DK5</f>
        <v>1Q16</v>
      </c>
      <c r="DO5" s="432" t="str">
        <f>IS!DL5</f>
        <v>2Q16</v>
      </c>
      <c r="DP5" s="432" t="str">
        <f>IS!DM5</f>
        <v>3Q16</v>
      </c>
      <c r="DQ5" s="432" t="str">
        <f>IS!DN5</f>
        <v>4Q16</v>
      </c>
      <c r="DR5" s="432" t="str">
        <f>IS!DO5</f>
        <v>1Q17</v>
      </c>
      <c r="DS5" s="432" t="str">
        <f>IS!DP5</f>
        <v>2Q17</v>
      </c>
      <c r="DT5" s="432" t="str">
        <f>IS!DQ5</f>
        <v>3Q17</v>
      </c>
      <c r="DU5" s="432" t="str">
        <f>IS!DR5</f>
        <v>4Q17</v>
      </c>
      <c r="DV5" s="432" t="str">
        <f>IS!DS5</f>
        <v>1Q18</v>
      </c>
      <c r="DW5" s="432" t="str">
        <f>IS!DT5</f>
        <v>2Q18E</v>
      </c>
      <c r="DX5" s="432" t="str">
        <f>IS!DU5</f>
        <v>3Q18E</v>
      </c>
      <c r="DY5" s="432" t="str">
        <f>IS!DV5</f>
        <v>4Q18E</v>
      </c>
    </row>
    <row r="6" spans="1:130" ht="15" hidden="1" customHeight="1" outlineLevel="1">
      <c r="A6" s="1596" t="s">
        <v>1212</v>
      </c>
      <c r="B6" s="128"/>
      <c r="C6" s="128"/>
      <c r="D6" s="128"/>
      <c r="E6" s="128"/>
      <c r="F6" s="128"/>
      <c r="G6" s="128"/>
      <c r="H6" s="130"/>
      <c r="I6" s="130"/>
      <c r="J6" s="130">
        <f>IS!J6</f>
        <v>3.06</v>
      </c>
      <c r="K6" s="130">
        <f>IS!K6</f>
        <v>2.59</v>
      </c>
      <c r="L6" s="130">
        <f>IS!L6</f>
        <v>2.4900000000000002</v>
      </c>
      <c r="M6" s="130">
        <f>IS!M6</f>
        <v>1</v>
      </c>
      <c r="N6" s="130">
        <f>IS!N6</f>
        <v>2.61</v>
      </c>
      <c r="O6" s="130">
        <f>IS!O6</f>
        <v>2.3866533099135196</v>
      </c>
      <c r="P6" s="130">
        <f>IS!P6</f>
        <v>2.538231328484017</v>
      </c>
      <c r="Q6" s="1036">
        <f>IS!Q6</f>
        <v>1.9136349876803944</v>
      </c>
      <c r="R6" s="130">
        <f>IS!R6</f>
        <v>2.0773481954809991</v>
      </c>
      <c r="S6" s="130">
        <f>IS!S6</f>
        <v>2.1540899052696991</v>
      </c>
      <c r="T6" s="1036">
        <f>IS!T6</f>
        <v>2.2251970649895183</v>
      </c>
      <c r="U6" s="1036">
        <f>IS!U6</f>
        <v>2.8220215727209466</v>
      </c>
      <c r="V6" s="130">
        <f>IS!V6</f>
        <v>3.4132820851600503</v>
      </c>
      <c r="W6" s="130">
        <f>IS!W6</f>
        <v>3.4502992549163305</v>
      </c>
      <c r="X6" s="130">
        <f>IS!X6</f>
        <v>3.7416043566052744</v>
      </c>
      <c r="Y6" s="130">
        <f>IS!Y6</f>
        <v>3.7374602397846832</v>
      </c>
      <c r="Z6" s="130">
        <f ca="1">IS!Z6</f>
        <v>4.5447318949672786</v>
      </c>
      <c r="AA6" s="1036">
        <f ca="1">IS!AA6</f>
        <v>4.7340805279717273</v>
      </c>
      <c r="AB6" s="1036">
        <f ca="1">IS!AB6</f>
        <v>4.949467505016357</v>
      </c>
      <c r="AC6" s="1036">
        <f ca="1">IS!AC6</f>
        <v>5.1589882052989253</v>
      </c>
      <c r="AD6" s="1036">
        <f ca="1">IS!AD6</f>
        <v>5.3885502047206435</v>
      </c>
      <c r="AE6" s="1036">
        <f ca="1">IS!AE6</f>
        <v>5.6328247202620876</v>
      </c>
      <c r="AF6" s="1036">
        <f ca="1">IS!AF6</f>
        <v>5.8930980122776537</v>
      </c>
      <c r="AG6" s="1036">
        <f ca="1">IS!AG6</f>
        <v>6.1637765370324633</v>
      </c>
      <c r="AH6" s="1947"/>
      <c r="AI6" s="606"/>
      <c r="AJ6" s="1947"/>
      <c r="AK6" s="609"/>
      <c r="AL6" s="609"/>
      <c r="AM6" s="609"/>
      <c r="AN6" s="609"/>
      <c r="AO6" s="609"/>
      <c r="AP6" s="130"/>
      <c r="AQ6" s="130"/>
      <c r="AR6" s="130"/>
      <c r="AS6" s="130"/>
      <c r="AT6" s="130"/>
      <c r="AU6" s="130"/>
      <c r="AV6" s="130"/>
      <c r="AW6" s="130"/>
      <c r="AX6" s="130"/>
      <c r="AY6" s="130"/>
      <c r="AZ6" s="130"/>
      <c r="BA6" s="130"/>
      <c r="BB6" s="130"/>
      <c r="BC6" s="130"/>
      <c r="BD6" s="130"/>
      <c r="BE6" s="130"/>
      <c r="BF6" s="130"/>
      <c r="BG6" s="130"/>
      <c r="BH6" s="130"/>
      <c r="BI6" s="130"/>
      <c r="BJ6" s="130"/>
      <c r="BK6" s="130"/>
      <c r="BL6" s="130"/>
      <c r="BM6" s="130"/>
      <c r="BN6" s="130"/>
      <c r="BO6" s="130"/>
      <c r="BP6" s="130"/>
      <c r="BQ6" s="130"/>
      <c r="BR6" s="131">
        <f>IS!BO6</f>
        <v>0.57428872497365646</v>
      </c>
      <c r="BS6" s="1036">
        <f>IS!BP6</f>
        <v>0.63161609033168664</v>
      </c>
      <c r="BT6" s="1036">
        <f>IS!BQ6</f>
        <v>0.64290780141843973</v>
      </c>
      <c r="BU6" s="1036">
        <f>IS!BR6</f>
        <v>0.6415161176053843</v>
      </c>
      <c r="BV6" s="131">
        <f>IS!BS6</f>
        <v>0.60262318326834452</v>
      </c>
      <c r="BW6" s="1036">
        <f>IS!BT6</f>
        <v>0.61653068463994321</v>
      </c>
      <c r="BX6" s="1036">
        <f>IS!BU6</f>
        <v>0.6340078097266596</v>
      </c>
      <c r="BY6" s="1036">
        <f>IS!BV6</f>
        <v>0.61079545454545459</v>
      </c>
      <c r="BZ6" s="131">
        <f>IS!BW6</f>
        <v>0.67530600364649018</v>
      </c>
      <c r="CA6" s="1036">
        <f>IS!BX6</f>
        <v>0.63953882672092233</v>
      </c>
      <c r="CB6" s="1036">
        <f>IS!BY6</f>
        <v>0.68114950393431406</v>
      </c>
      <c r="CC6" s="1036">
        <f>IS!BZ6</f>
        <v>0.61870503597122306</v>
      </c>
      <c r="CD6" s="131">
        <f>IS!CA6</f>
        <v>0.55994503607007906</v>
      </c>
      <c r="CE6" s="1036">
        <f>IS!CB6</f>
        <v>0.58479532163742687</v>
      </c>
      <c r="CF6" s="1036">
        <f>IS!CC6</f>
        <v>0.62551724137931031</v>
      </c>
      <c r="CG6" s="132">
        <f>IS!CD6</f>
        <v>0.61639571082670352</v>
      </c>
      <c r="CH6" s="131">
        <f>IS!CE6</f>
        <v>0.60767888307155327</v>
      </c>
      <c r="CI6" s="1036">
        <f>IS!CF6</f>
        <v>0.66783584707120314</v>
      </c>
      <c r="CJ6" s="1036">
        <f>IS!CG6</f>
        <v>0.65553602811950795</v>
      </c>
      <c r="CK6" s="132">
        <f>IS!CH6</f>
        <v>0.60718057022175287</v>
      </c>
      <c r="CL6" s="131">
        <f>IS!CI6</f>
        <v>0.47437486800422379</v>
      </c>
      <c r="CM6" s="1036">
        <f>IS!CJ6</f>
        <v>0.51500422386483635</v>
      </c>
      <c r="CN6" s="1036">
        <f>IS!CK6</f>
        <v>0.48104963041182691</v>
      </c>
      <c r="CO6" s="1036">
        <f>IS!CL6</f>
        <v>0.44320626539950719</v>
      </c>
      <c r="CP6" s="131">
        <f>IS!CM6</f>
        <v>0.47732157968970379</v>
      </c>
      <c r="CQ6" s="1036">
        <f>IS!CN6</f>
        <v>0.51364803678811444</v>
      </c>
      <c r="CR6" s="1036">
        <f>IS!CO6</f>
        <v>0.54674690703428763</v>
      </c>
      <c r="CS6" s="1036">
        <f>IS!CP6</f>
        <v>0.53963167196889361</v>
      </c>
      <c r="CT6" s="131">
        <f>IS!CQ6</f>
        <v>0.50918727915194351</v>
      </c>
      <c r="CU6" s="1036">
        <f>IS!CR6</f>
        <v>0.5692090395480226</v>
      </c>
      <c r="CV6" s="1036">
        <f>IS!CS6</f>
        <v>0.55881792519407203</v>
      </c>
      <c r="CW6" s="132">
        <f>IS!CT6</f>
        <v>0.51687566137566132</v>
      </c>
      <c r="CX6" s="131">
        <f>IS!CU6</f>
        <v>0.59301860301860299</v>
      </c>
      <c r="CY6" s="1036">
        <f>IS!CV6</f>
        <v>0.63033939818054585</v>
      </c>
      <c r="CZ6" s="1036">
        <f>IS!CW6</f>
        <v>0.6364312630844382</v>
      </c>
      <c r="DA6" s="1036">
        <f>IS!CX6</f>
        <v>0.37228581411600281</v>
      </c>
      <c r="DB6" s="131">
        <f>IS!CY6</f>
        <v>0.67757660167130918</v>
      </c>
      <c r="DC6" s="1036">
        <f>IS!CZ6</f>
        <v>0.72865250696378836</v>
      </c>
      <c r="DD6" s="1036">
        <f>IS!DA6</f>
        <v>0.76658315935977728</v>
      </c>
      <c r="DE6" s="1036">
        <f>IS!DB6</f>
        <v>0.64996173913043476</v>
      </c>
      <c r="DF6" s="131">
        <f>IS!DC6</f>
        <v>0.91084337349397593</v>
      </c>
      <c r="DG6" s="1036">
        <f>IS!DD6</f>
        <v>0.90769564170479167</v>
      </c>
      <c r="DH6" s="1036">
        <f>IS!DE6</f>
        <v>0.88843471988458766</v>
      </c>
      <c r="DI6" s="132">
        <f>IS!DF6</f>
        <v>0.71300938176569639</v>
      </c>
      <c r="DJ6" s="131">
        <f>IS!DG6</f>
        <v>0.88910458626546951</v>
      </c>
      <c r="DK6" s="1036">
        <f>IS!DH6</f>
        <v>0.90183598531211751</v>
      </c>
      <c r="DL6" s="1036">
        <f>IS!DI6</f>
        <v>0.91012770137524557</v>
      </c>
      <c r="DM6" s="132">
        <f>IS!DJ6</f>
        <v>0.7531305201177626</v>
      </c>
      <c r="DN6" s="1036">
        <f>IS!DK6</f>
        <v>0.93005140758873939</v>
      </c>
      <c r="DO6" s="1036">
        <f>IS!DL6</f>
        <v>0.94394124847001226</v>
      </c>
      <c r="DP6" s="1036">
        <f>IS!DM6</f>
        <v>1.0088105726872247</v>
      </c>
      <c r="DQ6" s="132">
        <f>IS!DN6</f>
        <v>0.85882065084413994</v>
      </c>
      <c r="DR6" s="132">
        <f>IS!DO6</f>
        <v>0.94519207242476144</v>
      </c>
      <c r="DS6" s="132">
        <f>IS!DP6</f>
        <v>0.95639392454679084</v>
      </c>
      <c r="DT6" s="132">
        <f>IS!DQ6</f>
        <v>0.97676693568109563</v>
      </c>
      <c r="DU6" s="132">
        <f>IS!DR6</f>
        <v>0.85916870415647917</v>
      </c>
      <c r="DV6" s="132">
        <f>IS!DS6</f>
        <v>1.1714146579011444</v>
      </c>
      <c r="DW6" s="132">
        <f ca="1">IS!DT6</f>
        <v>1.1606189746252034</v>
      </c>
      <c r="DX6" s="132">
        <f ca="1">IS!DU6</f>
        <v>1.2111746666504053</v>
      </c>
      <c r="DY6" s="132">
        <f ca="1">IS!DV6</f>
        <v>1.0018026868648913</v>
      </c>
    </row>
    <row r="7" spans="1:130" ht="15" hidden="1" customHeight="1" outlineLevel="1">
      <c r="A7" s="2443" t="s">
        <v>1213</v>
      </c>
      <c r="B7" s="2444"/>
      <c r="C7" s="2444"/>
      <c r="D7" s="134"/>
      <c r="E7" s="134"/>
      <c r="F7" s="2445"/>
      <c r="G7" s="2445"/>
      <c r="H7" s="2445"/>
      <c r="I7" s="2445"/>
      <c r="J7" s="2445">
        <f>IS!J7</f>
        <v>1.9999999999999796E-2</v>
      </c>
      <c r="K7" s="2445">
        <f>IS!K7</f>
        <v>-0.15359477124182996</v>
      </c>
      <c r="L7" s="2445">
        <f>IS!L7</f>
        <v>-3.8610038610038422E-2</v>
      </c>
      <c r="M7" s="2445">
        <f>IS!M7</f>
        <v>-0.59839357429718887</v>
      </c>
      <c r="N7" s="2445">
        <f>IS!N7</f>
        <v>1.6099999999999999</v>
      </c>
      <c r="O7" s="2445">
        <f>IS!O7</f>
        <v>-8.5573444477578642E-2</v>
      </c>
      <c r="P7" s="2445">
        <f>IS!P7</f>
        <v>6.3510698408052235E-2</v>
      </c>
      <c r="Q7" s="1474" t="str">
        <f>IS!Q7</f>
        <v>na</v>
      </c>
      <c r="R7" s="2445">
        <f>IS!R7</f>
        <v>8.5550906444832986E-2</v>
      </c>
      <c r="S7" s="2445">
        <f>IS!S7</f>
        <v>3.6942150553114672E-2</v>
      </c>
      <c r="T7" s="1474">
        <f>IS!T7</f>
        <v>3.3010302655364976E-2</v>
      </c>
      <c r="U7" s="1474">
        <f>IS!U7</f>
        <v>0.26821197866996083</v>
      </c>
      <c r="V7" s="2445">
        <f>IS!V7</f>
        <v>0.20951665223062776</v>
      </c>
      <c r="W7" s="2445">
        <f>IS!W7</f>
        <v>1.0845036780645856E-2</v>
      </c>
      <c r="X7" s="2445">
        <f>IS!X7</f>
        <v>8.4428937946140037E-2</v>
      </c>
      <c r="Y7" s="2445">
        <f>IS!Y7</f>
        <v>-1.1075775056962334E-3</v>
      </c>
      <c r="Z7" s="2445">
        <f ca="1">IS!Z7</f>
        <v>0.21599471389402725</v>
      </c>
      <c r="AA7" s="1474">
        <f ca="1">IS!AA7</f>
        <v>4.1663323025529442E-2</v>
      </c>
      <c r="AB7" s="1474">
        <f ca="1">IS!AB7</f>
        <v>4.5497108841304534E-2</v>
      </c>
      <c r="AC7" s="1474">
        <f ca="1">IS!AC7</f>
        <v>4.2331968049131863E-2</v>
      </c>
      <c r="AD7" s="1474">
        <f ca="1">IS!AD7</f>
        <v>4.4497484833543322E-2</v>
      </c>
      <c r="AE7" s="1474">
        <f ca="1">IS!AE7</f>
        <v>4.5332140605732318E-2</v>
      </c>
      <c r="AF7" s="1474">
        <f ca="1">IS!AF7</f>
        <v>4.6206531348175206E-2</v>
      </c>
      <c r="AG7" s="1474">
        <f ca="1">IS!AG7</f>
        <v>4.5931447973693862E-2</v>
      </c>
      <c r="AH7" s="1927"/>
      <c r="AI7" s="606"/>
      <c r="AJ7" s="1927"/>
      <c r="AK7" s="2444"/>
      <c r="AL7" s="2444"/>
      <c r="AM7" s="2444"/>
      <c r="AN7" s="2445"/>
      <c r="AO7" s="2444"/>
      <c r="AP7" s="134"/>
      <c r="AQ7" s="134"/>
      <c r="AR7" s="134"/>
      <c r="AS7" s="134"/>
      <c r="AT7" s="134"/>
      <c r="AU7" s="134"/>
      <c r="AV7" s="134"/>
      <c r="AW7" s="134"/>
      <c r="AX7" s="134"/>
      <c r="AY7" s="134"/>
      <c r="AZ7" s="134"/>
      <c r="BA7" s="134"/>
      <c r="BB7" s="134"/>
      <c r="BC7" s="134"/>
      <c r="BD7" s="134"/>
      <c r="BE7" s="134"/>
      <c r="BF7" s="134"/>
      <c r="BG7" s="134"/>
      <c r="BH7" s="134"/>
      <c r="BI7" s="134"/>
      <c r="BJ7" s="134"/>
      <c r="BK7" s="134"/>
      <c r="BL7" s="134"/>
      <c r="BM7" s="134"/>
      <c r="BN7" s="2445"/>
      <c r="BO7" s="134"/>
      <c r="BP7" s="2445"/>
      <c r="BQ7" s="2445"/>
      <c r="BR7" s="1829">
        <f>IS!BO7</f>
        <v>-0.15545775739168177</v>
      </c>
      <c r="BS7" s="1474">
        <f>IS!BP7</f>
        <v>-5.7289417415393173E-2</v>
      </c>
      <c r="BT7" s="1474">
        <f>IS!BQ7</f>
        <v>3.6948066803935031E-2</v>
      </c>
      <c r="BU7" s="1474">
        <f>IS!BR7</f>
        <v>0.1254668729919024</v>
      </c>
      <c r="BV7" s="1829">
        <f>IS!BS7</f>
        <v>4.9338350314970691E-2</v>
      </c>
      <c r="BW7" s="1474">
        <f>IS!BT7</f>
        <v>-2.3883821078436229E-2</v>
      </c>
      <c r="BX7" s="1474">
        <f>IS!BU7</f>
        <v>-1.3843340634760004E-2</v>
      </c>
      <c r="BY7" s="1474">
        <f>IS!BV7</f>
        <v>-4.7887593494302383E-2</v>
      </c>
      <c r="BZ7" s="1829">
        <f>IS!BW7</f>
        <v>0.12061072722749944</v>
      </c>
      <c r="CA7" s="1474">
        <f>IS!BX7</f>
        <v>3.731872987703122E-2</v>
      </c>
      <c r="CB7" s="1474">
        <f>IS!BY7</f>
        <v>7.4355068635477473E-2</v>
      </c>
      <c r="CC7" s="1474">
        <f>IS!BZ7</f>
        <v>1.2949640287769792E-2</v>
      </c>
      <c r="CD7" s="1829">
        <f>IS!CA7</f>
        <v>-0.17082769433929157</v>
      </c>
      <c r="CE7" s="1474">
        <f>IS!CB7</f>
        <v>-8.5598407471488946E-2</v>
      </c>
      <c r="CF7" s="1474">
        <f>IS!CC7</f>
        <v>-8.1674085107120042E-2</v>
      </c>
      <c r="CG7" s="1475">
        <f>IS!CD7</f>
        <v>-3.732513896374634E-3</v>
      </c>
      <c r="CH7" s="1829">
        <f>IS!CE7</f>
        <v>8.5247379522264577E-2</v>
      </c>
      <c r="CI7" s="1474">
        <f>IS!CF7</f>
        <v>0.14199929849175752</v>
      </c>
      <c r="CJ7" s="1474">
        <f>IS!CG7</f>
        <v>4.7990342638684291E-2</v>
      </c>
      <c r="CK7" s="1475">
        <f>IS!CH7</f>
        <v>-1.4950040117234775E-2</v>
      </c>
      <c r="CL7" s="1829" t="str">
        <f>IS!CI7</f>
        <v>na</v>
      </c>
      <c r="CM7" s="1474" t="str">
        <f>IS!CJ7</f>
        <v>na</v>
      </c>
      <c r="CN7" s="1474" t="str">
        <f>IS!CK7</f>
        <v>na</v>
      </c>
      <c r="CO7" s="1474" t="str">
        <f>IS!CL7</f>
        <v>na</v>
      </c>
      <c r="CP7" s="1829">
        <f>IS!CM7</f>
        <v>6.2117786675279785E-3</v>
      </c>
      <c r="CQ7" s="1474">
        <f>IS!CN7</f>
        <v>-2.6333513666051411E-3</v>
      </c>
      <c r="CR7" s="1474">
        <f>IS!CO7</f>
        <v>0.13657068308360865</v>
      </c>
      <c r="CS7" s="1474">
        <f>IS!CP7</f>
        <v>0.21756327492904082</v>
      </c>
      <c r="CT7" s="1829">
        <f>IS!CQ7</f>
        <v>6.6759394123674154E-2</v>
      </c>
      <c r="CU7" s="1474">
        <f>IS!CR7</f>
        <v>0.10816940546942599</v>
      </c>
      <c r="CV7" s="1474">
        <f>IS!CS7</f>
        <v>2.2077890161758873E-2</v>
      </c>
      <c r="CW7" s="1475">
        <f>IS!CT7</f>
        <v>-4.2169523723848523E-2</v>
      </c>
      <c r="CX7" s="1829">
        <f>IS!CU7</f>
        <v>0.16463750627525764</v>
      </c>
      <c r="CY7" s="1474">
        <f>IS!CV7</f>
        <v>0.10739527025267104</v>
      </c>
      <c r="CZ7" s="1474">
        <f>IS!CW7</f>
        <v>0.13888841855495571</v>
      </c>
      <c r="DA7" s="1474">
        <f>IS!CX7</f>
        <v>-0.27973816154321052</v>
      </c>
      <c r="DB7" s="1829">
        <f>IS!CY7</f>
        <v>0.14258911646664418</v>
      </c>
      <c r="DC7" s="1474">
        <f>IS!CZ7</f>
        <v>0.15596852912418302</v>
      </c>
      <c r="DD7" s="1474">
        <f>IS!DA7</f>
        <v>0.20450267581853732</v>
      </c>
      <c r="DE7" s="1474">
        <f>IS!DB7</f>
        <v>0.74586759550260284</v>
      </c>
      <c r="DF7" s="1829">
        <f>IS!DC7</f>
        <v>0.34426627372800556</v>
      </c>
      <c r="DG7" s="1474">
        <f>IS!DD7</f>
        <v>0.24571813454269931</v>
      </c>
      <c r="DH7" s="1474">
        <f>IS!DE7</f>
        <v>0.15895413176905215</v>
      </c>
      <c r="DI7" s="1475">
        <f>IS!DF7</f>
        <v>9.7002083106632275E-2</v>
      </c>
      <c r="DJ7" s="1829">
        <f>IS!DG7</f>
        <v>-2.3866657936058577E-2</v>
      </c>
      <c r="DK7" s="1474">
        <f>IS!DH7</f>
        <v>-6.4555299413675549E-3</v>
      </c>
      <c r="DL7" s="1474">
        <f>IS!DI7</f>
        <v>2.4417079842935285E-2</v>
      </c>
      <c r="DM7" s="1475">
        <f>IS!DJ7</f>
        <v>5.6270140867866525E-2</v>
      </c>
      <c r="DN7" s="1474">
        <f>IS!DK7</f>
        <v>4.6053998546177644E-2</v>
      </c>
      <c r="DO7" s="1474">
        <f>IS!DL7</f>
        <v>4.6688382193268207E-2</v>
      </c>
      <c r="DP7" s="1474">
        <f>IS!DM7</f>
        <v>0.1084274999682624</v>
      </c>
      <c r="DQ7" s="1475">
        <f>IS!DN7</f>
        <v>0.14033441469063179</v>
      </c>
      <c r="DR7" s="1475">
        <f>IS!DO7</f>
        <v>1.6279384894729576E-2</v>
      </c>
      <c r="DS7" s="1475">
        <f>IS!DP7</f>
        <v>1.3192215190259482E-2</v>
      </c>
      <c r="DT7" s="1475">
        <f>IS!DQ7</f>
        <v>-3.1763779914372514E-2</v>
      </c>
      <c r="DU7" s="1475">
        <f>IS!DR7</f>
        <v>4.0526891382630659E-4</v>
      </c>
      <c r="DV7" s="1475">
        <f>IS!DS7</f>
        <v>0.23934033311984915</v>
      </c>
      <c r="DW7" s="1475">
        <f ca="1">IS!DT7</f>
        <v>0.2135365405789138</v>
      </c>
      <c r="DX7" s="1475">
        <f ca="1">IS!DU7</f>
        <v>0.23998327790022711</v>
      </c>
      <c r="DY7" s="1475">
        <f ca="1">IS!DV7</f>
        <v>0.16601394117171475</v>
      </c>
    </row>
    <row r="8" spans="1:130" collapsed="1">
      <c r="A8" s="1597" t="s">
        <v>1557</v>
      </c>
      <c r="B8" s="139"/>
      <c r="C8" s="796"/>
      <c r="D8" s="796"/>
      <c r="E8" s="796"/>
      <c r="F8" s="796"/>
      <c r="G8" s="796"/>
      <c r="H8" s="796"/>
      <c r="I8" s="796"/>
      <c r="J8" s="796"/>
      <c r="K8" s="796"/>
      <c r="L8" s="796"/>
      <c r="M8" s="796"/>
      <c r="N8" s="796"/>
      <c r="O8" s="796"/>
      <c r="P8" s="796"/>
      <c r="Q8" s="1476"/>
      <c r="R8" s="796"/>
      <c r="S8" s="796"/>
      <c r="T8" s="1476"/>
      <c r="U8" s="1476"/>
      <c r="V8" s="796"/>
      <c r="W8" s="796"/>
      <c r="X8" s="796"/>
      <c r="Y8" s="796"/>
      <c r="Z8" s="796"/>
      <c r="AA8" s="1476"/>
      <c r="AB8" s="1476"/>
      <c r="AC8" s="1476"/>
      <c r="AD8" s="1476"/>
      <c r="AE8" s="1476"/>
      <c r="AF8" s="1476"/>
      <c r="AG8" s="1476"/>
      <c r="AH8" s="1947"/>
      <c r="AI8" s="2446"/>
      <c r="AJ8" s="1947"/>
      <c r="AK8" s="796"/>
      <c r="AL8" s="796"/>
      <c r="AM8" s="796"/>
      <c r="AN8" s="796"/>
      <c r="AO8" s="796"/>
      <c r="AP8" s="796"/>
      <c r="AQ8" s="796"/>
      <c r="AR8" s="796"/>
      <c r="AS8" s="796"/>
      <c r="AT8" s="796"/>
      <c r="AU8" s="796"/>
      <c r="AV8" s="796"/>
      <c r="AW8" s="796"/>
      <c r="AX8" s="796"/>
      <c r="AY8" s="796"/>
      <c r="AZ8" s="796"/>
      <c r="BA8" s="796"/>
      <c r="BB8" s="796"/>
      <c r="BC8" s="796"/>
      <c r="BD8" s="796"/>
      <c r="BE8" s="796"/>
      <c r="BF8" s="796"/>
      <c r="BG8" s="796"/>
      <c r="BH8" s="796"/>
      <c r="BI8" s="796"/>
      <c r="BJ8" s="796"/>
      <c r="BK8" s="796"/>
      <c r="BL8" s="796"/>
      <c r="BM8" s="796"/>
      <c r="BN8" s="796"/>
      <c r="BO8" s="796"/>
      <c r="BP8" s="796"/>
      <c r="BQ8" s="796"/>
      <c r="BR8" s="798"/>
      <c r="BS8" s="1476"/>
      <c r="BT8" s="1476"/>
      <c r="BU8" s="1476"/>
      <c r="BV8" s="798"/>
      <c r="BW8" s="1476"/>
      <c r="BX8" s="1476"/>
      <c r="BY8" s="1476"/>
      <c r="BZ8" s="798"/>
      <c r="CA8" s="1476"/>
      <c r="CB8" s="1476"/>
      <c r="CC8" s="1476"/>
      <c r="CD8" s="798"/>
      <c r="CE8" s="1476"/>
      <c r="CF8" s="1476"/>
      <c r="CG8" s="1477"/>
      <c r="CH8" s="798"/>
      <c r="CI8" s="1476"/>
      <c r="CJ8" s="1476"/>
      <c r="CK8" s="1477"/>
      <c r="CL8" s="798"/>
      <c r="CM8" s="1476"/>
      <c r="CN8" s="1476"/>
      <c r="CO8" s="1476"/>
      <c r="CP8" s="798"/>
      <c r="CQ8" s="1476"/>
      <c r="CR8" s="1476"/>
      <c r="CS8" s="1476"/>
      <c r="CT8" s="798"/>
      <c r="CU8" s="1476"/>
      <c r="CV8" s="1476"/>
      <c r="CW8" s="1477"/>
      <c r="CX8" s="798"/>
      <c r="CY8" s="1476"/>
      <c r="CZ8" s="1476"/>
      <c r="DA8" s="1476"/>
      <c r="DB8" s="798"/>
      <c r="DC8" s="1476"/>
      <c r="DD8" s="1476"/>
      <c r="DE8" s="1476"/>
      <c r="DF8" s="798"/>
      <c r="DG8" s="1476"/>
      <c r="DH8" s="1476"/>
      <c r="DI8" s="1477"/>
      <c r="DJ8" s="798"/>
      <c r="DK8" s="1476"/>
      <c r="DL8" s="1476"/>
      <c r="DM8" s="1476"/>
      <c r="DN8" s="798"/>
      <c r="DO8" s="1476"/>
      <c r="DP8" s="1476"/>
      <c r="DQ8" s="1476"/>
      <c r="DR8" s="1476"/>
      <c r="DS8" s="1476"/>
      <c r="DT8" s="1476"/>
      <c r="DU8" s="1477"/>
      <c r="DV8" s="1476"/>
      <c r="DW8" s="1476"/>
      <c r="DX8" s="1476"/>
      <c r="DY8" s="1476"/>
    </row>
    <row r="9" spans="1:130" hidden="1" outlineLevel="1">
      <c r="A9" s="1598"/>
      <c r="B9" s="99"/>
      <c r="C9" s="99"/>
      <c r="D9" s="99"/>
      <c r="E9" s="99"/>
      <c r="F9" s="99"/>
      <c r="G9" s="99"/>
      <c r="H9" s="99"/>
      <c r="I9" s="99"/>
      <c r="J9" s="99"/>
      <c r="K9" s="99"/>
      <c r="L9" s="99"/>
      <c r="M9" s="99"/>
      <c r="N9" s="99"/>
      <c r="O9" s="99"/>
      <c r="P9" s="112"/>
      <c r="Q9" s="1039"/>
      <c r="R9" s="112"/>
      <c r="S9" s="112"/>
      <c r="T9" s="1039"/>
      <c r="U9" s="1039"/>
      <c r="V9" s="112"/>
      <c r="W9" s="112"/>
      <c r="X9" s="112"/>
      <c r="Y9" s="112"/>
      <c r="Z9" s="112"/>
      <c r="AA9" s="1039"/>
      <c r="AB9" s="1039"/>
      <c r="AC9" s="1039"/>
      <c r="AD9" s="1039"/>
      <c r="AE9" s="1039"/>
      <c r="AF9" s="1039"/>
      <c r="AG9" s="1039"/>
      <c r="AH9" s="1948"/>
      <c r="AI9" s="475"/>
      <c r="AJ9" s="1948"/>
      <c r="AK9" s="99"/>
      <c r="AL9" s="99"/>
      <c r="AM9" s="99"/>
      <c r="AN9" s="99"/>
      <c r="AO9" s="99"/>
      <c r="AP9" s="99"/>
      <c r="AQ9" s="99"/>
      <c r="AR9" s="99"/>
      <c r="AS9" s="99"/>
      <c r="AT9" s="99"/>
      <c r="AU9" s="99"/>
      <c r="AV9" s="99"/>
      <c r="AW9" s="99"/>
      <c r="AX9" s="99"/>
      <c r="AY9" s="99"/>
      <c r="AZ9" s="99"/>
      <c r="BA9" s="99"/>
      <c r="BB9" s="99"/>
      <c r="BC9" s="99"/>
      <c r="BD9" s="99"/>
      <c r="BE9" s="99"/>
      <c r="BF9" s="99"/>
      <c r="BG9" s="99"/>
      <c r="BH9" s="99"/>
      <c r="BI9" s="99"/>
      <c r="BJ9" s="99"/>
      <c r="BK9" s="99"/>
      <c r="BL9" s="99"/>
      <c r="BM9" s="99"/>
      <c r="BN9" s="99"/>
      <c r="BO9" s="99"/>
      <c r="BP9" s="99"/>
      <c r="BQ9" s="99"/>
      <c r="BR9" s="479"/>
      <c r="BS9" s="1040"/>
      <c r="BT9" s="1040"/>
      <c r="BU9" s="1040"/>
      <c r="BV9" s="2447" t="s">
        <v>199</v>
      </c>
      <c r="BW9" s="2448"/>
      <c r="BX9" s="2448"/>
      <c r="BY9" s="2448"/>
      <c r="BZ9" s="2449" t="s">
        <v>200</v>
      </c>
      <c r="CA9" s="2450"/>
      <c r="CB9" s="2450"/>
      <c r="CC9" s="2450"/>
      <c r="CD9" s="2449"/>
      <c r="CE9" s="2450"/>
      <c r="CF9" s="2450"/>
      <c r="CG9" s="2451"/>
      <c r="CH9" s="2449"/>
      <c r="CI9" s="1040"/>
      <c r="CJ9" s="1040"/>
      <c r="CK9" s="480"/>
      <c r="CL9" s="186"/>
      <c r="CM9" s="1040"/>
      <c r="CN9" s="1040"/>
      <c r="CO9" s="1040"/>
      <c r="CP9" s="153"/>
      <c r="CQ9" s="1039"/>
      <c r="CR9" s="1039"/>
      <c r="CS9" s="1039"/>
      <c r="CT9" s="153"/>
      <c r="CU9" s="1039"/>
      <c r="CV9" s="1039"/>
      <c r="CW9" s="187"/>
      <c r="CX9" s="153"/>
      <c r="CY9" s="1039"/>
      <c r="CZ9" s="1039"/>
      <c r="DA9" s="1039"/>
      <c r="DB9" s="153"/>
      <c r="DC9" s="1039"/>
      <c r="DD9" s="1039"/>
      <c r="DE9" s="1039"/>
      <c r="DF9" s="153"/>
      <c r="DG9" s="1039"/>
      <c r="DH9" s="1039"/>
      <c r="DI9" s="187"/>
      <c r="DJ9" s="153"/>
      <c r="DK9" s="1039"/>
      <c r="DL9" s="1039"/>
      <c r="DM9" s="1039"/>
      <c r="DN9" s="1039"/>
      <c r="DO9" s="1039"/>
      <c r="DP9" s="187"/>
      <c r="DQ9" s="187"/>
      <c r="DR9" s="1039"/>
      <c r="DS9" s="1039"/>
      <c r="DT9" s="1039"/>
      <c r="DU9" s="187"/>
      <c r="DV9" s="1039"/>
      <c r="DW9" s="187"/>
      <c r="DX9" s="187"/>
      <c r="DY9" s="187"/>
    </row>
    <row r="10" spans="1:130" s="170" customFormat="1" hidden="1" outlineLevel="1">
      <c r="A10" s="1599" t="s">
        <v>201</v>
      </c>
      <c r="B10" s="545"/>
      <c r="C10" s="545"/>
      <c r="D10" s="545"/>
      <c r="E10" s="545"/>
      <c r="F10" s="545"/>
      <c r="G10" s="545"/>
      <c r="H10" s="545"/>
      <c r="I10" s="545"/>
      <c r="J10" s="545"/>
      <c r="K10" s="545"/>
      <c r="L10" s="545"/>
      <c r="M10" s="545">
        <f>SUM(BV10:BY10)</f>
        <v>23466</v>
      </c>
      <c r="N10" s="545">
        <f>SUM(BZ10:CC10)</f>
        <v>21542</v>
      </c>
      <c r="O10" s="545">
        <f>SUM(CD10:CG10)</f>
        <v>21289</v>
      </c>
      <c r="P10" s="545">
        <f>SUM(CH10:CK10)</f>
        <v>20974</v>
      </c>
      <c r="Q10" s="1124">
        <f ca="1">SUM(CL10:CO10)</f>
        <v>24083.691955699735</v>
      </c>
      <c r="R10" s="545"/>
      <c r="S10" s="545"/>
      <c r="T10" s="1124"/>
      <c r="U10" s="1124"/>
      <c r="V10" s="545"/>
      <c r="W10" s="545"/>
      <c r="X10" s="545"/>
      <c r="Y10" s="545"/>
      <c r="Z10" s="545"/>
      <c r="AA10" s="1124"/>
      <c r="AB10" s="1124"/>
      <c r="AC10" s="1124"/>
      <c r="AD10" s="1124"/>
      <c r="AE10" s="1124"/>
      <c r="AF10" s="1124"/>
      <c r="AG10" s="1124"/>
      <c r="AH10" s="1949"/>
      <c r="AI10" s="546"/>
      <c r="AJ10" s="1949"/>
      <c r="AK10" s="545"/>
      <c r="AL10" s="545"/>
      <c r="AM10" s="545"/>
      <c r="AN10" s="545"/>
      <c r="AO10" s="545"/>
      <c r="AP10" s="545"/>
      <c r="AQ10" s="545"/>
      <c r="AR10" s="545"/>
      <c r="AS10" s="545"/>
      <c r="AT10" s="545"/>
      <c r="AU10" s="545"/>
      <c r="AV10" s="545"/>
      <c r="AW10" s="545"/>
      <c r="AX10" s="545"/>
      <c r="AY10" s="545"/>
      <c r="AZ10" s="545"/>
      <c r="BA10" s="545"/>
      <c r="BB10" s="545"/>
      <c r="BC10" s="545"/>
      <c r="BD10" s="545"/>
      <c r="BE10" s="545"/>
      <c r="BF10" s="545"/>
      <c r="BG10" s="545"/>
      <c r="BH10" s="545"/>
      <c r="BI10" s="545"/>
      <c r="BJ10" s="545"/>
      <c r="BK10" s="545"/>
      <c r="BL10" s="545"/>
      <c r="BM10" s="545"/>
      <c r="BN10" s="545"/>
      <c r="BO10" s="545"/>
      <c r="BP10" s="545"/>
      <c r="BQ10" s="545"/>
      <c r="BR10" s="547"/>
      <c r="BS10" s="1124"/>
      <c r="BT10" s="1124"/>
      <c r="BU10" s="1124"/>
      <c r="BV10" s="547">
        <f>NormInputs!BL140</f>
        <v>5898</v>
      </c>
      <c r="BW10" s="1124">
        <f>NormInputs!BM140</f>
        <v>5920</v>
      </c>
      <c r="BX10" s="1124">
        <f>NormInputs!BN140</f>
        <v>5886</v>
      </c>
      <c r="BY10" s="1124">
        <f>NormInputs!BO140</f>
        <v>5762</v>
      </c>
      <c r="BZ10" s="547">
        <f>NormInputs!BP140</f>
        <v>5415</v>
      </c>
      <c r="CA10" s="1124">
        <f>NormInputs!BQ140</f>
        <v>5429</v>
      </c>
      <c r="CB10" s="1124">
        <f>NormInputs!BR140</f>
        <v>5410</v>
      </c>
      <c r="CC10" s="1124">
        <f>NormInputs!BS140</f>
        <v>5288</v>
      </c>
      <c r="CD10" s="547">
        <f>NormInputs!BT140</f>
        <v>5336</v>
      </c>
      <c r="CE10" s="1124">
        <f>NormInputs!BU140</f>
        <v>5367</v>
      </c>
      <c r="CF10" s="1124">
        <f>NormInputs!BV140</f>
        <v>5329</v>
      </c>
      <c r="CG10" s="548">
        <f>NormInputs!BW140</f>
        <v>5257</v>
      </c>
      <c r="CH10" s="547">
        <f>NormInputs!BX140</f>
        <v>5224</v>
      </c>
      <c r="CI10" s="1124">
        <f>NormInputs!BY140</f>
        <v>5247</v>
      </c>
      <c r="CJ10" s="1124">
        <f>NormInputs!BZ140</f>
        <v>5277</v>
      </c>
      <c r="CK10" s="548">
        <f>NormInputs!CA140</f>
        <v>5226</v>
      </c>
      <c r="CL10" s="547">
        <f>CL233</f>
        <v>5427.0642521672526</v>
      </c>
      <c r="CM10" s="1124">
        <f ca="1">CM233</f>
        <v>6162.5529053364444</v>
      </c>
      <c r="CN10" s="1124">
        <f>CN233</f>
        <v>6263.5597776823661</v>
      </c>
      <c r="CO10" s="1124">
        <f>CO233</f>
        <v>6230.5150205136715</v>
      </c>
      <c r="CP10" s="547">
        <f>CP233</f>
        <v>6123.5813812574706</v>
      </c>
      <c r="CQ10" s="1124"/>
      <c r="CR10" s="1124"/>
      <c r="CS10" s="1124"/>
      <c r="CT10" s="547"/>
      <c r="CU10" s="1124"/>
      <c r="CV10" s="1124"/>
      <c r="CW10" s="548"/>
      <c r="CX10" s="547"/>
      <c r="CY10" s="1124"/>
      <c r="CZ10" s="1124"/>
      <c r="DA10" s="1124"/>
      <c r="DB10" s="547"/>
      <c r="DC10" s="1124"/>
      <c r="DD10" s="1124"/>
      <c r="DE10" s="1124"/>
      <c r="DF10" s="547"/>
      <c r="DG10" s="1124"/>
      <c r="DH10" s="1124"/>
      <c r="DI10" s="548"/>
      <c r="DJ10" s="547"/>
      <c r="DK10" s="1124"/>
      <c r="DL10" s="1124"/>
      <c r="DM10" s="1124"/>
      <c r="DN10" s="1124"/>
      <c r="DO10" s="1124"/>
      <c r="DP10" s="548"/>
      <c r="DQ10" s="548"/>
      <c r="DR10" s="1124"/>
      <c r="DS10" s="1124"/>
      <c r="DT10" s="1124"/>
      <c r="DU10" s="548"/>
      <c r="DV10" s="1124"/>
      <c r="DW10" s="548"/>
      <c r="DX10" s="548"/>
      <c r="DY10" s="548"/>
      <c r="DZ10" s="220"/>
    </row>
    <row r="11" spans="1:130" s="120" customFormat="1" hidden="1" outlineLevel="1">
      <c r="A11" s="1599" t="s">
        <v>202</v>
      </c>
      <c r="B11" s="540"/>
      <c r="C11" s="540"/>
      <c r="D11" s="540"/>
      <c r="E11" s="540"/>
      <c r="F11" s="540"/>
      <c r="G11" s="540"/>
      <c r="H11" s="540"/>
      <c r="I11" s="540"/>
      <c r="J11" s="540"/>
      <c r="K11" s="540"/>
      <c r="L11" s="540"/>
      <c r="M11" s="540"/>
      <c r="N11" s="540">
        <f>N10/M10-1</f>
        <v>-8.1990965652433356E-2</v>
      </c>
      <c r="O11" s="540">
        <f>O10/N10-1</f>
        <v>-1.1744499118002016E-2</v>
      </c>
      <c r="P11" s="540">
        <f>P10/O10-1</f>
        <v>-1.4796373714124678E-2</v>
      </c>
      <c r="Q11" s="1056">
        <f ca="1">Q10/P10-1</f>
        <v>0.14826413443786279</v>
      </c>
      <c r="R11" s="540"/>
      <c r="S11" s="540"/>
      <c r="T11" s="1056"/>
      <c r="U11" s="1056"/>
      <c r="V11" s="540"/>
      <c r="W11" s="540"/>
      <c r="X11" s="540"/>
      <c r="Y11" s="540"/>
      <c r="Z11" s="540"/>
      <c r="AA11" s="1056"/>
      <c r="AB11" s="1056"/>
      <c r="AC11" s="1056"/>
      <c r="AD11" s="1056"/>
      <c r="AE11" s="1056"/>
      <c r="AF11" s="1056"/>
      <c r="AG11" s="1056"/>
      <c r="AH11" s="1950"/>
      <c r="AI11" s="475"/>
      <c r="AJ11" s="1950"/>
      <c r="AK11" s="540"/>
      <c r="AL11" s="540"/>
      <c r="AM11" s="540"/>
      <c r="AN11" s="540"/>
      <c r="AO11" s="540"/>
      <c r="AP11" s="540"/>
      <c r="AQ11" s="540"/>
      <c r="AR11" s="540"/>
      <c r="AS11" s="540"/>
      <c r="AT11" s="540"/>
      <c r="AU11" s="540"/>
      <c r="AV11" s="540"/>
      <c r="AW11" s="540"/>
      <c r="AX11" s="540"/>
      <c r="AY11" s="540"/>
      <c r="AZ11" s="540"/>
      <c r="BA11" s="540"/>
      <c r="BB11" s="540"/>
      <c r="BC11" s="540"/>
      <c r="BD11" s="540"/>
      <c r="BE11" s="540"/>
      <c r="BF11" s="540"/>
      <c r="BG11" s="540"/>
      <c r="BH11" s="540"/>
      <c r="BI11" s="540"/>
      <c r="BJ11" s="540"/>
      <c r="BK11" s="540"/>
      <c r="BL11" s="540"/>
      <c r="BM11" s="540"/>
      <c r="BN11" s="540"/>
      <c r="BO11" s="540"/>
      <c r="BP11" s="540"/>
      <c r="BQ11" s="540"/>
      <c r="BR11" s="541"/>
      <c r="BS11" s="1056"/>
      <c r="BT11" s="1056"/>
      <c r="BU11" s="1056"/>
      <c r="BV11" s="541"/>
      <c r="BW11" s="1056"/>
      <c r="BX11" s="1056"/>
      <c r="BY11" s="1056"/>
      <c r="BZ11" s="541"/>
      <c r="CA11" s="1056"/>
      <c r="CB11" s="1056"/>
      <c r="CC11" s="1056"/>
      <c r="CD11" s="541">
        <f t="shared" ref="CD11:CP11" si="0">CD10/BZ10-1</f>
        <v>-1.4589104339796877E-2</v>
      </c>
      <c r="CE11" s="1056">
        <f t="shared" si="0"/>
        <v>-1.142015104070726E-2</v>
      </c>
      <c r="CF11" s="1056">
        <f t="shared" si="0"/>
        <v>-1.4972273567467664E-2</v>
      </c>
      <c r="CG11" s="543">
        <f t="shared" si="0"/>
        <v>-5.8623298033282367E-3</v>
      </c>
      <c r="CH11" s="541">
        <f t="shared" si="0"/>
        <v>-2.0989505247376306E-2</v>
      </c>
      <c r="CI11" s="1056">
        <f t="shared" si="0"/>
        <v>-2.2358859698155431E-2</v>
      </c>
      <c r="CJ11" s="1056">
        <f t="shared" si="0"/>
        <v>-9.7579283167573694E-3</v>
      </c>
      <c r="CK11" s="543">
        <f t="shared" si="0"/>
        <v>-5.8968993722655627E-3</v>
      </c>
      <c r="CL11" s="541">
        <f t="shared" si="0"/>
        <v>3.88714112111892E-2</v>
      </c>
      <c r="CM11" s="1056">
        <f t="shared" ca="1" si="0"/>
        <v>0.17449073858136921</v>
      </c>
      <c r="CN11" s="1056">
        <f t="shared" si="0"/>
        <v>0.1869546669854778</v>
      </c>
      <c r="CO11" s="1056">
        <f t="shared" si="0"/>
        <v>0.19221489102825706</v>
      </c>
      <c r="CP11" s="541">
        <f t="shared" si="0"/>
        <v>0.12834141936168719</v>
      </c>
      <c r="CQ11" s="1056"/>
      <c r="CR11" s="1056"/>
      <c r="CS11" s="1056"/>
      <c r="CT11" s="541"/>
      <c r="CU11" s="1056"/>
      <c r="CV11" s="1056"/>
      <c r="CW11" s="543"/>
      <c r="CX11" s="541"/>
      <c r="CY11" s="1056"/>
      <c r="CZ11" s="1056"/>
      <c r="DA11" s="1056"/>
      <c r="DB11" s="541"/>
      <c r="DC11" s="1056"/>
      <c r="DD11" s="1056"/>
      <c r="DE11" s="1056"/>
      <c r="DF11" s="541"/>
      <c r="DG11" s="1056"/>
      <c r="DH11" s="1056"/>
      <c r="DI11" s="543"/>
      <c r="DJ11" s="541"/>
      <c r="DK11" s="1056"/>
      <c r="DL11" s="1056"/>
      <c r="DM11" s="1056"/>
      <c r="DN11" s="1056"/>
      <c r="DO11" s="1056"/>
      <c r="DP11" s="543"/>
      <c r="DQ11" s="543"/>
      <c r="DR11" s="1056"/>
      <c r="DS11" s="1056"/>
      <c r="DT11" s="1056"/>
      <c r="DU11" s="543"/>
      <c r="DV11" s="1056"/>
      <c r="DW11" s="543"/>
      <c r="DX11" s="543"/>
      <c r="DY11" s="543"/>
      <c r="DZ11" s="562"/>
    </row>
    <row r="12" spans="1:130" s="170" customFormat="1" hidden="1" outlineLevel="1">
      <c r="A12" s="1599" t="s">
        <v>203</v>
      </c>
      <c r="B12" s="545"/>
      <c r="C12" s="545"/>
      <c r="D12" s="545"/>
      <c r="E12" s="545"/>
      <c r="F12" s="545"/>
      <c r="G12" s="545"/>
      <c r="H12" s="545"/>
      <c r="I12" s="545"/>
      <c r="J12" s="545"/>
      <c r="K12" s="545"/>
      <c r="L12" s="545"/>
      <c r="M12" s="545">
        <f>SUM(BV12:BY12)</f>
        <v>8480</v>
      </c>
      <c r="N12" s="545">
        <f>SUM(BZ12:CC12)</f>
        <v>8017</v>
      </c>
      <c r="O12" s="545">
        <f>SUM(CD12:CG12)</f>
        <v>7774</v>
      </c>
      <c r="P12" s="545">
        <f>P248</f>
        <v>7571</v>
      </c>
      <c r="Q12" s="1124">
        <f>Q248</f>
        <v>7349.448039375</v>
      </c>
      <c r="R12" s="545"/>
      <c r="S12" s="545"/>
      <c r="T12" s="1124"/>
      <c r="U12" s="1124"/>
      <c r="V12" s="545"/>
      <c r="W12" s="545"/>
      <c r="X12" s="545"/>
      <c r="Y12" s="545"/>
      <c r="Z12" s="545"/>
      <c r="AA12" s="1124"/>
      <c r="AB12" s="1124"/>
      <c r="AC12" s="1124"/>
      <c r="AD12" s="1124"/>
      <c r="AE12" s="1124"/>
      <c r="AF12" s="1124"/>
      <c r="AG12" s="1124"/>
      <c r="AH12" s="1949"/>
      <c r="AI12" s="546"/>
      <c r="AJ12" s="1949"/>
      <c r="AK12" s="545"/>
      <c r="AL12" s="545"/>
      <c r="AM12" s="545"/>
      <c r="AN12" s="545"/>
      <c r="AO12" s="545"/>
      <c r="AP12" s="545"/>
      <c r="AQ12" s="545"/>
      <c r="AR12" s="545"/>
      <c r="AS12" s="545"/>
      <c r="AT12" s="545"/>
      <c r="AU12" s="545"/>
      <c r="AV12" s="545"/>
      <c r="AW12" s="545"/>
      <c r="AX12" s="545"/>
      <c r="AY12" s="545"/>
      <c r="AZ12" s="545"/>
      <c r="BA12" s="545"/>
      <c r="BB12" s="545"/>
      <c r="BC12" s="545"/>
      <c r="BD12" s="545"/>
      <c r="BE12" s="545"/>
      <c r="BF12" s="545"/>
      <c r="BG12" s="545"/>
      <c r="BH12" s="545"/>
      <c r="BI12" s="545"/>
      <c r="BJ12" s="545"/>
      <c r="BK12" s="545"/>
      <c r="BL12" s="545"/>
      <c r="BM12" s="545"/>
      <c r="BN12" s="545"/>
      <c r="BO12" s="545"/>
      <c r="BP12" s="545"/>
      <c r="BQ12" s="545"/>
      <c r="BR12" s="547"/>
      <c r="BS12" s="1124"/>
      <c r="BT12" s="1124"/>
      <c r="BU12" s="1124"/>
      <c r="BV12" s="547">
        <f>NormInputs!BL141</f>
        <v>2111</v>
      </c>
      <c r="BW12" s="1124">
        <f>NormInputs!BM141</f>
        <v>2108</v>
      </c>
      <c r="BX12" s="1124">
        <f>NormInputs!BN141</f>
        <v>2132</v>
      </c>
      <c r="BY12" s="1124">
        <f>NormInputs!BO141</f>
        <v>2129</v>
      </c>
      <c r="BZ12" s="547">
        <f>NormInputs!BP141</f>
        <v>1987</v>
      </c>
      <c r="CA12" s="1124">
        <f>NormInputs!BQ141</f>
        <v>2021</v>
      </c>
      <c r="CB12" s="1124">
        <f>NormInputs!BR141</f>
        <v>2025</v>
      </c>
      <c r="CC12" s="1124">
        <f>NormInputs!BS141</f>
        <v>1984</v>
      </c>
      <c r="CD12" s="547">
        <f>NormInputs!BT141</f>
        <v>1919</v>
      </c>
      <c r="CE12" s="1124">
        <f>NormInputs!BU141</f>
        <v>1956</v>
      </c>
      <c r="CF12" s="1124">
        <f>NormInputs!BV141</f>
        <v>1967</v>
      </c>
      <c r="CG12" s="548">
        <f>NormInputs!BW141</f>
        <v>1932</v>
      </c>
      <c r="CH12" s="547">
        <f>NormInputs!BX141</f>
        <v>1912</v>
      </c>
      <c r="CI12" s="1124">
        <f>NormInputs!BY141</f>
        <v>1895</v>
      </c>
      <c r="CJ12" s="1124">
        <f>NormInputs!BZ141</f>
        <v>1882</v>
      </c>
      <c r="CK12" s="548">
        <f>NormInputs!CA141</f>
        <v>1882</v>
      </c>
      <c r="CL12" s="547">
        <f>CL248</f>
        <v>1838.0575281249999</v>
      </c>
      <c r="CM12" s="1124">
        <f>CM248</f>
        <v>1842.109465</v>
      </c>
      <c r="CN12" s="1124">
        <f>CN248</f>
        <v>1815.2687528125</v>
      </c>
      <c r="CO12" s="1124">
        <f>CO248</f>
        <v>1854.0122934374999</v>
      </c>
      <c r="CP12" s="547">
        <f>CP248</f>
        <v>1760.2098156562497</v>
      </c>
      <c r="CQ12" s="1124"/>
      <c r="CR12" s="1124"/>
      <c r="CS12" s="1124"/>
      <c r="CT12" s="547"/>
      <c r="CU12" s="1124"/>
      <c r="CV12" s="1124"/>
      <c r="CW12" s="548"/>
      <c r="CX12" s="547"/>
      <c r="CY12" s="1124"/>
      <c r="CZ12" s="1124"/>
      <c r="DA12" s="1124"/>
      <c r="DB12" s="547"/>
      <c r="DC12" s="1124"/>
      <c r="DD12" s="1124"/>
      <c r="DE12" s="1124"/>
      <c r="DF12" s="547"/>
      <c r="DG12" s="1124"/>
      <c r="DH12" s="1124"/>
      <c r="DI12" s="548"/>
      <c r="DJ12" s="547"/>
      <c r="DK12" s="1124"/>
      <c r="DL12" s="1124"/>
      <c r="DM12" s="1124"/>
      <c r="DN12" s="1124"/>
      <c r="DO12" s="1124"/>
      <c r="DP12" s="548"/>
      <c r="DQ12" s="548"/>
      <c r="DR12" s="1124"/>
      <c r="DS12" s="1124"/>
      <c r="DT12" s="1124"/>
      <c r="DU12" s="548"/>
      <c r="DV12" s="1124"/>
      <c r="DW12" s="548"/>
      <c r="DX12" s="548"/>
      <c r="DY12" s="548"/>
      <c r="DZ12" s="220"/>
    </row>
    <row r="13" spans="1:130" s="120" customFormat="1" hidden="1" outlineLevel="1">
      <c r="A13" s="1599" t="s">
        <v>202</v>
      </c>
      <c r="B13" s="540"/>
      <c r="C13" s="540"/>
      <c r="D13" s="540"/>
      <c r="E13" s="540"/>
      <c r="F13" s="540"/>
      <c r="G13" s="540"/>
      <c r="H13" s="540"/>
      <c r="I13" s="540"/>
      <c r="J13" s="540"/>
      <c r="K13" s="540"/>
      <c r="L13" s="540"/>
      <c r="M13" s="540"/>
      <c r="N13" s="540">
        <f>N12/M12-1</f>
        <v>-5.4599056603773621E-2</v>
      </c>
      <c r="O13" s="540">
        <f>O12/N12-1</f>
        <v>-3.0310589996257908E-2</v>
      </c>
      <c r="P13" s="540">
        <f>P12/O12-1</f>
        <v>-2.6112683303318729E-2</v>
      </c>
      <c r="Q13" s="1056">
        <f>Q12/P12-1</f>
        <v>-2.92632361147801E-2</v>
      </c>
      <c r="R13" s="540"/>
      <c r="S13" s="540"/>
      <c r="T13" s="1056"/>
      <c r="U13" s="1056"/>
      <c r="V13" s="540"/>
      <c r="W13" s="540"/>
      <c r="X13" s="540"/>
      <c r="Y13" s="540"/>
      <c r="Z13" s="540"/>
      <c r="AA13" s="1056"/>
      <c r="AB13" s="1056"/>
      <c r="AC13" s="1056"/>
      <c r="AD13" s="1056"/>
      <c r="AE13" s="1056"/>
      <c r="AF13" s="1056"/>
      <c r="AG13" s="1056"/>
      <c r="AH13" s="1950"/>
      <c r="AI13" s="475"/>
      <c r="AJ13" s="1950"/>
      <c r="AK13" s="540"/>
      <c r="AL13" s="540"/>
      <c r="AM13" s="540"/>
      <c r="AN13" s="540"/>
      <c r="AO13" s="540"/>
      <c r="AP13" s="540"/>
      <c r="AQ13" s="540"/>
      <c r="AR13" s="540"/>
      <c r="AS13" s="540"/>
      <c r="AT13" s="540"/>
      <c r="AU13" s="540"/>
      <c r="AV13" s="540"/>
      <c r="AW13" s="540"/>
      <c r="AX13" s="540"/>
      <c r="AY13" s="540"/>
      <c r="AZ13" s="540"/>
      <c r="BA13" s="540"/>
      <c r="BB13" s="540"/>
      <c r="BC13" s="540"/>
      <c r="BD13" s="540"/>
      <c r="BE13" s="540"/>
      <c r="BF13" s="540"/>
      <c r="BG13" s="540"/>
      <c r="BH13" s="540"/>
      <c r="BI13" s="540"/>
      <c r="BJ13" s="540"/>
      <c r="BK13" s="540"/>
      <c r="BL13" s="540"/>
      <c r="BM13" s="540"/>
      <c r="BN13" s="540"/>
      <c r="BO13" s="540"/>
      <c r="BP13" s="540"/>
      <c r="BQ13" s="540"/>
      <c r="BR13" s="541"/>
      <c r="BS13" s="1056"/>
      <c r="BT13" s="1056"/>
      <c r="BU13" s="1056"/>
      <c r="BV13" s="541"/>
      <c r="BW13" s="1056"/>
      <c r="BX13" s="1056"/>
      <c r="BY13" s="1056"/>
      <c r="BZ13" s="541"/>
      <c r="CA13" s="1056"/>
      <c r="CB13" s="1056"/>
      <c r="CC13" s="1056"/>
      <c r="CD13" s="541">
        <f t="shared" ref="CD13:CP13" si="1">CD12/BZ12-1</f>
        <v>-3.4222445898339227E-2</v>
      </c>
      <c r="CE13" s="1056">
        <f t="shared" si="1"/>
        <v>-3.216229589312225E-2</v>
      </c>
      <c r="CF13" s="1056">
        <f t="shared" si="1"/>
        <v>-2.8641975308641987E-2</v>
      </c>
      <c r="CG13" s="543">
        <f t="shared" si="1"/>
        <v>-2.6209677419354871E-2</v>
      </c>
      <c r="CH13" s="541">
        <f t="shared" si="1"/>
        <v>-3.6477331943720603E-3</v>
      </c>
      <c r="CI13" s="1056">
        <f t="shared" si="1"/>
        <v>-3.1186094069529657E-2</v>
      </c>
      <c r="CJ13" s="1056">
        <f t="shared" si="1"/>
        <v>-4.3213014743263889E-2</v>
      </c>
      <c r="CK13" s="543">
        <f t="shared" si="1"/>
        <v>-2.5879917184264967E-2</v>
      </c>
      <c r="CL13" s="541">
        <f t="shared" si="1"/>
        <v>-3.8672840938807629E-2</v>
      </c>
      <c r="CM13" s="1056">
        <f t="shared" si="1"/>
        <v>-2.7910572559366797E-2</v>
      </c>
      <c r="CN13" s="1056">
        <f t="shared" si="1"/>
        <v>-3.545762337274172E-2</v>
      </c>
      <c r="CO13" s="1056">
        <f t="shared" si="1"/>
        <v>-1.487125747210416E-2</v>
      </c>
      <c r="CP13" s="541">
        <f t="shared" si="1"/>
        <v>-4.2353251341465059E-2</v>
      </c>
      <c r="CQ13" s="1056"/>
      <c r="CR13" s="1056"/>
      <c r="CS13" s="1056"/>
      <c r="CT13" s="541"/>
      <c r="CU13" s="1056"/>
      <c r="CV13" s="1056"/>
      <c r="CW13" s="543"/>
      <c r="CX13" s="541"/>
      <c r="CY13" s="1056"/>
      <c r="CZ13" s="1056"/>
      <c r="DA13" s="1056"/>
      <c r="DB13" s="541"/>
      <c r="DC13" s="1056"/>
      <c r="DD13" s="1056"/>
      <c r="DE13" s="1056"/>
      <c r="DF13" s="541"/>
      <c r="DG13" s="1056"/>
      <c r="DH13" s="1056"/>
      <c r="DI13" s="543"/>
      <c r="DJ13" s="541"/>
      <c r="DK13" s="1056"/>
      <c r="DL13" s="1056"/>
      <c r="DM13" s="1056"/>
      <c r="DN13" s="1056"/>
      <c r="DO13" s="1056"/>
      <c r="DP13" s="543"/>
      <c r="DQ13" s="543"/>
      <c r="DR13" s="1056"/>
      <c r="DS13" s="1056"/>
      <c r="DT13" s="1056"/>
      <c r="DU13" s="543"/>
      <c r="DV13" s="1056"/>
      <c r="DW13" s="543"/>
      <c r="DX13" s="543"/>
      <c r="DY13" s="543"/>
      <c r="DZ13" s="562"/>
    </row>
    <row r="14" spans="1:130" s="170" customFormat="1" hidden="1" outlineLevel="1">
      <c r="A14" s="1599" t="s">
        <v>204</v>
      </c>
      <c r="B14" s="545"/>
      <c r="C14" s="545"/>
      <c r="D14" s="545"/>
      <c r="E14" s="545"/>
      <c r="F14" s="545"/>
      <c r="G14" s="545"/>
      <c r="H14" s="545"/>
      <c r="I14" s="545"/>
      <c r="J14" s="545"/>
      <c r="K14" s="545"/>
      <c r="L14" s="545"/>
      <c r="M14" s="545">
        <f>SUM(BV14:BY14)</f>
        <v>3191</v>
      </c>
      <c r="N14" s="545">
        <f>SUM(BZ14:CC14)</f>
        <v>2200</v>
      </c>
      <c r="O14" s="545">
        <f>SUM(CD14:CG14)</f>
        <v>1717</v>
      </c>
      <c r="P14" s="545">
        <f>SUM(CH14:CK14)</f>
        <v>1367</v>
      </c>
      <c r="Q14" s="1124">
        <f>SUM(CL14:CO14)</f>
        <v>1107.27</v>
      </c>
      <c r="R14" s="545"/>
      <c r="S14" s="545"/>
      <c r="T14" s="1124"/>
      <c r="U14" s="1124"/>
      <c r="V14" s="545"/>
      <c r="W14" s="545"/>
      <c r="X14" s="545"/>
      <c r="Y14" s="545"/>
      <c r="Z14" s="545"/>
      <c r="AA14" s="1124"/>
      <c r="AB14" s="1124"/>
      <c r="AC14" s="1124"/>
      <c r="AD14" s="1124"/>
      <c r="AE14" s="1124"/>
      <c r="AF14" s="1124"/>
      <c r="AG14" s="1124"/>
      <c r="AH14" s="1949"/>
      <c r="AI14" s="546"/>
      <c r="AJ14" s="1949"/>
      <c r="AK14" s="545"/>
      <c r="AL14" s="545"/>
      <c r="AM14" s="545"/>
      <c r="AN14" s="545"/>
      <c r="AO14" s="545"/>
      <c r="AP14" s="545"/>
      <c r="AQ14" s="545"/>
      <c r="AR14" s="545"/>
      <c r="AS14" s="545"/>
      <c r="AT14" s="545"/>
      <c r="AU14" s="545"/>
      <c r="AV14" s="545"/>
      <c r="AW14" s="545"/>
      <c r="AX14" s="545"/>
      <c r="AY14" s="545"/>
      <c r="AZ14" s="545"/>
      <c r="BA14" s="545"/>
      <c r="BB14" s="545"/>
      <c r="BC14" s="545"/>
      <c r="BD14" s="545"/>
      <c r="BE14" s="545"/>
      <c r="BF14" s="545"/>
      <c r="BG14" s="545"/>
      <c r="BH14" s="545"/>
      <c r="BI14" s="545"/>
      <c r="BJ14" s="545"/>
      <c r="BK14" s="545"/>
      <c r="BL14" s="545"/>
      <c r="BM14" s="545"/>
      <c r="BN14" s="545"/>
      <c r="BO14" s="545"/>
      <c r="BP14" s="545"/>
      <c r="BQ14" s="545"/>
      <c r="BR14" s="547"/>
      <c r="BS14" s="1124"/>
      <c r="BT14" s="1124"/>
      <c r="BU14" s="1124"/>
      <c r="BV14" s="547">
        <f>NormInputs!BL142</f>
        <v>810</v>
      </c>
      <c r="BW14" s="1124">
        <f>NormInputs!BM142</f>
        <v>780</v>
      </c>
      <c r="BX14" s="1124">
        <f>NormInputs!BN142</f>
        <v>767</v>
      </c>
      <c r="BY14" s="1124">
        <f>NormInputs!BO142</f>
        <v>834</v>
      </c>
      <c r="BZ14" s="547">
        <f>NormInputs!BP142</f>
        <v>557</v>
      </c>
      <c r="CA14" s="1124">
        <f>NormInputs!BQ142</f>
        <v>570</v>
      </c>
      <c r="CB14" s="1124">
        <f>NormInputs!BR142</f>
        <v>536</v>
      </c>
      <c r="CC14" s="1124">
        <f>NormInputs!BS142</f>
        <v>537</v>
      </c>
      <c r="CD14" s="547">
        <f>NormInputs!BT142</f>
        <v>444</v>
      </c>
      <c r="CE14" s="1124">
        <f>NormInputs!BU142</f>
        <v>429</v>
      </c>
      <c r="CF14" s="1124">
        <f>NormInputs!BV142</f>
        <v>447</v>
      </c>
      <c r="CG14" s="548">
        <f>NormInputs!BW142</f>
        <v>397</v>
      </c>
      <c r="CH14" s="547">
        <f>NormInputs!BX142</f>
        <v>372</v>
      </c>
      <c r="CI14" s="1124">
        <f>NormInputs!BY142</f>
        <v>357</v>
      </c>
      <c r="CJ14" s="1124">
        <f>NormInputs!BZ142</f>
        <v>338</v>
      </c>
      <c r="CK14" s="548">
        <f>NormInputs!CA142</f>
        <v>300</v>
      </c>
      <c r="CL14" s="547">
        <f>(1+CL15)*CH14</f>
        <v>301.32</v>
      </c>
      <c r="CM14" s="1124">
        <f>(1+CM15)*CI14</f>
        <v>289.17</v>
      </c>
      <c r="CN14" s="1124">
        <f>(1+CN15)*CJ14</f>
        <v>273.78000000000003</v>
      </c>
      <c r="CO14" s="1124">
        <f>(1+CO15)*CK14</f>
        <v>243.00000000000003</v>
      </c>
      <c r="CP14" s="547">
        <f>(1+CP15)*CL14</f>
        <v>244.06920000000002</v>
      </c>
      <c r="CQ14" s="1124"/>
      <c r="CR14" s="1124"/>
      <c r="CS14" s="1124"/>
      <c r="CT14" s="547"/>
      <c r="CU14" s="1124"/>
      <c r="CV14" s="1124"/>
      <c r="CW14" s="548"/>
      <c r="CX14" s="547"/>
      <c r="CY14" s="1124"/>
      <c r="CZ14" s="1124"/>
      <c r="DA14" s="1124"/>
      <c r="DB14" s="547"/>
      <c r="DC14" s="1124"/>
      <c r="DD14" s="1124"/>
      <c r="DE14" s="1124"/>
      <c r="DF14" s="547"/>
      <c r="DG14" s="1124"/>
      <c r="DH14" s="1124"/>
      <c r="DI14" s="548"/>
      <c r="DJ14" s="547"/>
      <c r="DK14" s="1124"/>
      <c r="DL14" s="1124"/>
      <c r="DM14" s="1124"/>
      <c r="DN14" s="1124"/>
      <c r="DO14" s="1124"/>
      <c r="DP14" s="548"/>
      <c r="DQ14" s="548"/>
      <c r="DR14" s="1124"/>
      <c r="DS14" s="1124"/>
      <c r="DT14" s="1124"/>
      <c r="DU14" s="548"/>
      <c r="DV14" s="1124"/>
      <c r="DW14" s="548"/>
      <c r="DX14" s="548"/>
      <c r="DY14" s="548"/>
      <c r="DZ14" s="220"/>
    </row>
    <row r="15" spans="1:130" s="120" customFormat="1" hidden="1" outlineLevel="1">
      <c r="A15" s="1599" t="s">
        <v>202</v>
      </c>
      <c r="B15" s="540"/>
      <c r="C15" s="540"/>
      <c r="D15" s="540"/>
      <c r="E15" s="540"/>
      <c r="F15" s="540"/>
      <c r="G15" s="540"/>
      <c r="H15" s="540"/>
      <c r="I15" s="540"/>
      <c r="J15" s="540"/>
      <c r="K15" s="540"/>
      <c r="L15" s="540"/>
      <c r="M15" s="540"/>
      <c r="N15" s="540">
        <f>N14/M14-1</f>
        <v>-0.31056095267941086</v>
      </c>
      <c r="O15" s="540">
        <f>O14/N14-1</f>
        <v>-0.2195454545454546</v>
      </c>
      <c r="P15" s="540">
        <f>P14/O14-1</f>
        <v>-0.20384391380314504</v>
      </c>
      <c r="Q15" s="1056">
        <f>Q14/P14-1</f>
        <v>-0.19000000000000006</v>
      </c>
      <c r="R15" s="540"/>
      <c r="S15" s="540"/>
      <c r="T15" s="1056"/>
      <c r="U15" s="1056"/>
      <c r="V15" s="540"/>
      <c r="W15" s="540"/>
      <c r="X15" s="540"/>
      <c r="Y15" s="540"/>
      <c r="Z15" s="540"/>
      <c r="AA15" s="1056"/>
      <c r="AB15" s="1056"/>
      <c r="AC15" s="1056"/>
      <c r="AD15" s="1056"/>
      <c r="AE15" s="1056"/>
      <c r="AF15" s="1056"/>
      <c r="AG15" s="1056"/>
      <c r="AH15" s="1950"/>
      <c r="AI15" s="475"/>
      <c r="AJ15" s="1950"/>
      <c r="AK15" s="540"/>
      <c r="AL15" s="540"/>
      <c r="AM15" s="540"/>
      <c r="AN15" s="540"/>
      <c r="AO15" s="540"/>
      <c r="AP15" s="540"/>
      <c r="AQ15" s="540"/>
      <c r="AR15" s="540"/>
      <c r="AS15" s="540"/>
      <c r="AT15" s="540"/>
      <c r="AU15" s="540"/>
      <c r="AV15" s="540"/>
      <c r="AW15" s="540"/>
      <c r="AX15" s="540"/>
      <c r="AY15" s="540"/>
      <c r="AZ15" s="540"/>
      <c r="BA15" s="540"/>
      <c r="BB15" s="540"/>
      <c r="BC15" s="540"/>
      <c r="BD15" s="540"/>
      <c r="BE15" s="540"/>
      <c r="BF15" s="540"/>
      <c r="BG15" s="540"/>
      <c r="BH15" s="540"/>
      <c r="BI15" s="540"/>
      <c r="BJ15" s="540"/>
      <c r="BK15" s="540"/>
      <c r="BL15" s="540"/>
      <c r="BM15" s="540"/>
      <c r="BN15" s="540"/>
      <c r="BO15" s="540"/>
      <c r="BP15" s="540"/>
      <c r="BQ15" s="540"/>
      <c r="BR15" s="541"/>
      <c r="BS15" s="1056"/>
      <c r="BT15" s="1056"/>
      <c r="BU15" s="1056"/>
      <c r="BV15" s="541"/>
      <c r="BW15" s="1056"/>
      <c r="BX15" s="1056"/>
      <c r="BY15" s="1056"/>
      <c r="BZ15" s="541"/>
      <c r="CA15" s="1056"/>
      <c r="CB15" s="1056"/>
      <c r="CC15" s="1056"/>
      <c r="CD15" s="541">
        <f t="shared" ref="CD15:CK15" si="2">CD14/BZ14-1</f>
        <v>-0.20287253141831241</v>
      </c>
      <c r="CE15" s="1056">
        <f t="shared" si="2"/>
        <v>-0.24736842105263157</v>
      </c>
      <c r="CF15" s="1056">
        <f t="shared" si="2"/>
        <v>-0.16604477611940294</v>
      </c>
      <c r="CG15" s="543">
        <f t="shared" si="2"/>
        <v>-0.26070763500931093</v>
      </c>
      <c r="CH15" s="541">
        <f t="shared" si="2"/>
        <v>-0.16216216216216217</v>
      </c>
      <c r="CI15" s="1056">
        <f t="shared" si="2"/>
        <v>-0.16783216783216781</v>
      </c>
      <c r="CJ15" s="1056">
        <f t="shared" si="2"/>
        <v>-0.24384787472035796</v>
      </c>
      <c r="CK15" s="543">
        <f t="shared" si="2"/>
        <v>-0.24433249370277077</v>
      </c>
      <c r="CL15" s="541">
        <v>-0.19</v>
      </c>
      <c r="CM15" s="1056">
        <f>+CL15</f>
        <v>-0.19</v>
      </c>
      <c r="CN15" s="1056">
        <f>+CM15</f>
        <v>-0.19</v>
      </c>
      <c r="CO15" s="1056">
        <f>+CN15</f>
        <v>-0.19</v>
      </c>
      <c r="CP15" s="541">
        <f>+CO15</f>
        <v>-0.19</v>
      </c>
      <c r="CQ15" s="1056"/>
      <c r="CR15" s="1056"/>
      <c r="CS15" s="1056"/>
      <c r="CT15" s="541"/>
      <c r="CU15" s="1056"/>
      <c r="CV15" s="1056"/>
      <c r="CW15" s="543"/>
      <c r="CX15" s="541"/>
      <c r="CY15" s="1056"/>
      <c r="CZ15" s="1056"/>
      <c r="DA15" s="1056"/>
      <c r="DB15" s="541"/>
      <c r="DC15" s="1056"/>
      <c r="DD15" s="1056"/>
      <c r="DE15" s="1056"/>
      <c r="DF15" s="541"/>
      <c r="DG15" s="1056"/>
      <c r="DH15" s="1056"/>
      <c r="DI15" s="543"/>
      <c r="DJ15" s="541"/>
      <c r="DK15" s="1056"/>
      <c r="DL15" s="1056"/>
      <c r="DM15" s="1056"/>
      <c r="DN15" s="1056"/>
      <c r="DO15" s="1056"/>
      <c r="DP15" s="543"/>
      <c r="DQ15" s="543"/>
      <c r="DR15" s="1056"/>
      <c r="DS15" s="1056"/>
      <c r="DT15" s="1056"/>
      <c r="DU15" s="543"/>
      <c r="DV15" s="1056"/>
      <c r="DW15" s="543"/>
      <c r="DX15" s="543"/>
      <c r="DY15" s="543"/>
      <c r="DZ15" s="562"/>
    </row>
    <row r="16" spans="1:130" s="170" customFormat="1" hidden="1" outlineLevel="1">
      <c r="A16" s="1599" t="s">
        <v>205</v>
      </c>
      <c r="B16" s="545"/>
      <c r="C16" s="545"/>
      <c r="D16" s="545"/>
      <c r="E16" s="545"/>
      <c r="F16" s="545"/>
      <c r="G16" s="545"/>
      <c r="H16" s="545"/>
      <c r="I16" s="545"/>
      <c r="J16" s="545"/>
      <c r="K16" s="545"/>
      <c r="L16" s="545"/>
      <c r="M16" s="545">
        <f>M10+M12+M14</f>
        <v>35137</v>
      </c>
      <c r="N16" s="545">
        <f>N10+N12+N14</f>
        <v>31759</v>
      </c>
      <c r="O16" s="545">
        <f>O10+O12+O14</f>
        <v>30780</v>
      </c>
      <c r="P16" s="545">
        <f>P10+P12+P14</f>
        <v>29912</v>
      </c>
      <c r="Q16" s="1124">
        <f ca="1">Q10+Q12+Q14</f>
        <v>32540.409995074737</v>
      </c>
      <c r="R16" s="545"/>
      <c r="S16" s="545"/>
      <c r="T16" s="1124"/>
      <c r="U16" s="1124"/>
      <c r="V16" s="545"/>
      <c r="W16" s="545"/>
      <c r="X16" s="545"/>
      <c r="Y16" s="545"/>
      <c r="Z16" s="545"/>
      <c r="AA16" s="1124"/>
      <c r="AB16" s="1124"/>
      <c r="AC16" s="1124"/>
      <c r="AD16" s="1124"/>
      <c r="AE16" s="1124"/>
      <c r="AF16" s="1124"/>
      <c r="AG16" s="1124"/>
      <c r="AH16" s="1949"/>
      <c r="AI16" s="546"/>
      <c r="AJ16" s="1949"/>
      <c r="AK16" s="545"/>
      <c r="AL16" s="545"/>
      <c r="AM16" s="545"/>
      <c r="AN16" s="545"/>
      <c r="AO16" s="545"/>
      <c r="AP16" s="545"/>
      <c r="AQ16" s="545"/>
      <c r="AR16" s="545"/>
      <c r="AS16" s="545"/>
      <c r="AT16" s="545"/>
      <c r="AU16" s="545"/>
      <c r="AV16" s="545"/>
      <c r="AW16" s="545"/>
      <c r="AX16" s="545"/>
      <c r="AY16" s="545"/>
      <c r="AZ16" s="545"/>
      <c r="BA16" s="545"/>
      <c r="BB16" s="545"/>
      <c r="BC16" s="545"/>
      <c r="BD16" s="545"/>
      <c r="BE16" s="545"/>
      <c r="BF16" s="545"/>
      <c r="BG16" s="545"/>
      <c r="BH16" s="545"/>
      <c r="BI16" s="545"/>
      <c r="BJ16" s="545"/>
      <c r="BK16" s="545"/>
      <c r="BL16" s="545"/>
      <c r="BM16" s="545"/>
      <c r="BN16" s="545"/>
      <c r="BO16" s="545"/>
      <c r="BP16" s="545"/>
      <c r="BQ16" s="545"/>
      <c r="BR16" s="547"/>
      <c r="BS16" s="1124"/>
      <c r="BT16" s="1124"/>
      <c r="BU16" s="1124"/>
      <c r="BV16" s="547">
        <f t="shared" ref="BV16:CP16" si="3">BV10+BV12+BV14</f>
        <v>8819</v>
      </c>
      <c r="BW16" s="1124">
        <f t="shared" si="3"/>
        <v>8808</v>
      </c>
      <c r="BX16" s="1124">
        <f t="shared" si="3"/>
        <v>8785</v>
      </c>
      <c r="BY16" s="1124">
        <f t="shared" si="3"/>
        <v>8725</v>
      </c>
      <c r="BZ16" s="547">
        <f t="shared" si="3"/>
        <v>7959</v>
      </c>
      <c r="CA16" s="1124">
        <f t="shared" si="3"/>
        <v>8020</v>
      </c>
      <c r="CB16" s="1124">
        <f t="shared" si="3"/>
        <v>7971</v>
      </c>
      <c r="CC16" s="1124">
        <f t="shared" si="3"/>
        <v>7809</v>
      </c>
      <c r="CD16" s="547">
        <f t="shared" si="3"/>
        <v>7699</v>
      </c>
      <c r="CE16" s="1124">
        <f t="shared" si="3"/>
        <v>7752</v>
      </c>
      <c r="CF16" s="1124">
        <f t="shared" si="3"/>
        <v>7743</v>
      </c>
      <c r="CG16" s="548">
        <f t="shared" si="3"/>
        <v>7586</v>
      </c>
      <c r="CH16" s="547">
        <f t="shared" si="3"/>
        <v>7508</v>
      </c>
      <c r="CI16" s="1124">
        <f t="shared" si="3"/>
        <v>7499</v>
      </c>
      <c r="CJ16" s="1124">
        <f t="shared" si="3"/>
        <v>7497</v>
      </c>
      <c r="CK16" s="548">
        <f t="shared" si="3"/>
        <v>7408</v>
      </c>
      <c r="CL16" s="547">
        <f t="shared" si="3"/>
        <v>7566.4417802922526</v>
      </c>
      <c r="CM16" s="1124">
        <f t="shared" ca="1" si="3"/>
        <v>8293.832370336444</v>
      </c>
      <c r="CN16" s="1124">
        <f t="shared" si="3"/>
        <v>8352.6085304948665</v>
      </c>
      <c r="CO16" s="1124">
        <f t="shared" si="3"/>
        <v>8327.5273139511719</v>
      </c>
      <c r="CP16" s="547">
        <f t="shared" si="3"/>
        <v>8127.8603969137203</v>
      </c>
      <c r="CQ16" s="1124"/>
      <c r="CR16" s="1124"/>
      <c r="CS16" s="1124"/>
      <c r="CT16" s="547"/>
      <c r="CU16" s="1124"/>
      <c r="CV16" s="1124"/>
      <c r="CW16" s="548"/>
      <c r="CX16" s="547"/>
      <c r="CY16" s="1124"/>
      <c r="CZ16" s="1124"/>
      <c r="DA16" s="1124"/>
      <c r="DB16" s="547"/>
      <c r="DC16" s="1124"/>
      <c r="DD16" s="1124"/>
      <c r="DE16" s="1124"/>
      <c r="DF16" s="547"/>
      <c r="DG16" s="1124"/>
      <c r="DH16" s="1124"/>
      <c r="DI16" s="548"/>
      <c r="DJ16" s="547"/>
      <c r="DK16" s="1124"/>
      <c r="DL16" s="1124"/>
      <c r="DM16" s="1124"/>
      <c r="DN16" s="1124"/>
      <c r="DO16" s="1124"/>
      <c r="DP16" s="548"/>
      <c r="DQ16" s="548"/>
      <c r="DR16" s="1124"/>
      <c r="DS16" s="1124"/>
      <c r="DT16" s="1124"/>
      <c r="DU16" s="548"/>
      <c r="DV16" s="1124"/>
      <c r="DW16" s="548"/>
      <c r="DX16" s="548"/>
      <c r="DY16" s="548"/>
      <c r="DZ16" s="220"/>
    </row>
    <row r="17" spans="1:130" s="120" customFormat="1" hidden="1" outlineLevel="1">
      <c r="A17" s="1599" t="s">
        <v>202</v>
      </c>
      <c r="B17" s="540"/>
      <c r="C17" s="540"/>
      <c r="D17" s="540"/>
      <c r="E17" s="540"/>
      <c r="F17" s="540"/>
      <c r="G17" s="540"/>
      <c r="H17" s="540"/>
      <c r="I17" s="540"/>
      <c r="J17" s="540"/>
      <c r="K17" s="540"/>
      <c r="L17" s="540"/>
      <c r="M17" s="540"/>
      <c r="N17" s="540">
        <f>N16/M16-1</f>
        <v>-9.613797421521475E-2</v>
      </c>
      <c r="O17" s="540">
        <f>O16/N16-1</f>
        <v>-3.0825907616738535E-2</v>
      </c>
      <c r="P17" s="540">
        <f>P16/O16-1</f>
        <v>-2.8200129954515929E-2</v>
      </c>
      <c r="Q17" s="1056">
        <f ca="1">Q16/P16-1</f>
        <v>8.7871422675673161E-2</v>
      </c>
      <c r="R17" s="540"/>
      <c r="S17" s="540"/>
      <c r="T17" s="1056"/>
      <c r="U17" s="1056"/>
      <c r="V17" s="540"/>
      <c r="W17" s="540"/>
      <c r="X17" s="540"/>
      <c r="Y17" s="540"/>
      <c r="Z17" s="540"/>
      <c r="AA17" s="1056"/>
      <c r="AB17" s="1056"/>
      <c r="AC17" s="1056"/>
      <c r="AD17" s="1056"/>
      <c r="AE17" s="1056"/>
      <c r="AF17" s="1056"/>
      <c r="AG17" s="1056"/>
      <c r="AH17" s="1950"/>
      <c r="AI17" s="475"/>
      <c r="AJ17" s="1950"/>
      <c r="AK17" s="540"/>
      <c r="AL17" s="540"/>
      <c r="AM17" s="540"/>
      <c r="AN17" s="540"/>
      <c r="AO17" s="540"/>
      <c r="AP17" s="540"/>
      <c r="AQ17" s="540"/>
      <c r="AR17" s="540"/>
      <c r="AS17" s="540"/>
      <c r="AT17" s="540"/>
      <c r="AU17" s="540"/>
      <c r="AV17" s="540"/>
      <c r="AW17" s="540"/>
      <c r="AX17" s="540"/>
      <c r="AY17" s="540"/>
      <c r="AZ17" s="540"/>
      <c r="BA17" s="540"/>
      <c r="BB17" s="540"/>
      <c r="BC17" s="540"/>
      <c r="BD17" s="540"/>
      <c r="BE17" s="540"/>
      <c r="BF17" s="540"/>
      <c r="BG17" s="540"/>
      <c r="BH17" s="540"/>
      <c r="BI17" s="540"/>
      <c r="BJ17" s="540"/>
      <c r="BK17" s="540"/>
      <c r="BL17" s="540"/>
      <c r="BM17" s="540"/>
      <c r="BN17" s="540"/>
      <c r="BO17" s="540"/>
      <c r="BP17" s="540"/>
      <c r="BQ17" s="540"/>
      <c r="BR17" s="541"/>
      <c r="BS17" s="1056"/>
      <c r="BT17" s="1056"/>
      <c r="BU17" s="1056"/>
      <c r="BV17" s="541"/>
      <c r="BW17" s="1056"/>
      <c r="BX17" s="1056"/>
      <c r="BY17" s="1056"/>
      <c r="BZ17" s="541"/>
      <c r="CA17" s="1056"/>
      <c r="CB17" s="1056"/>
      <c r="CC17" s="1056"/>
      <c r="CD17" s="541">
        <f t="shared" ref="CD17:CP17" si="4">CD16/BZ16-1</f>
        <v>-3.2667420530217317E-2</v>
      </c>
      <c r="CE17" s="1056">
        <f t="shared" si="4"/>
        <v>-3.3416458852867814E-2</v>
      </c>
      <c r="CF17" s="1056">
        <f t="shared" si="4"/>
        <v>-2.8603688370342439E-2</v>
      </c>
      <c r="CG17" s="543">
        <f t="shared" si="4"/>
        <v>-2.8556793443462625E-2</v>
      </c>
      <c r="CH17" s="541">
        <f t="shared" si="4"/>
        <v>-2.4808416677490563E-2</v>
      </c>
      <c r="CI17" s="1056">
        <f t="shared" si="4"/>
        <v>-3.2636738906088758E-2</v>
      </c>
      <c r="CJ17" s="1056">
        <f t="shared" si="4"/>
        <v>-3.1770631538163507E-2</v>
      </c>
      <c r="CK17" s="543">
        <f t="shared" si="4"/>
        <v>-2.3464276298444497E-2</v>
      </c>
      <c r="CL17" s="541">
        <f t="shared" si="4"/>
        <v>7.7839345088241974E-3</v>
      </c>
      <c r="CM17" s="1056">
        <f t="shared" ca="1" si="4"/>
        <v>0.10599178161574141</v>
      </c>
      <c r="CN17" s="1056">
        <f t="shared" si="4"/>
        <v>0.11412678811456134</v>
      </c>
      <c r="CO17" s="1056">
        <f t="shared" si="4"/>
        <v>0.12412625728282567</v>
      </c>
      <c r="CP17" s="541">
        <f t="shared" si="4"/>
        <v>7.4198498174366856E-2</v>
      </c>
      <c r="CQ17" s="1056"/>
      <c r="CR17" s="1056"/>
      <c r="CS17" s="1056"/>
      <c r="CT17" s="541"/>
      <c r="CU17" s="1056"/>
      <c r="CV17" s="1056"/>
      <c r="CW17" s="543"/>
      <c r="CX17" s="541"/>
      <c r="CY17" s="1056"/>
      <c r="CZ17" s="1056"/>
      <c r="DA17" s="1056"/>
      <c r="DB17" s="541"/>
      <c r="DC17" s="1056"/>
      <c r="DD17" s="1056"/>
      <c r="DE17" s="1056"/>
      <c r="DF17" s="541"/>
      <c r="DG17" s="1056"/>
      <c r="DH17" s="1056"/>
      <c r="DI17" s="543"/>
      <c r="DJ17" s="541"/>
      <c r="DK17" s="1056"/>
      <c r="DL17" s="1056"/>
      <c r="DM17" s="1056"/>
      <c r="DN17" s="1056"/>
      <c r="DO17" s="1056"/>
      <c r="DP17" s="543"/>
      <c r="DQ17" s="543"/>
      <c r="DR17" s="1056"/>
      <c r="DS17" s="1056"/>
      <c r="DT17" s="1056"/>
      <c r="DU17" s="543"/>
      <c r="DV17" s="1056"/>
      <c r="DW17" s="543"/>
      <c r="DX17" s="543"/>
      <c r="DY17" s="543"/>
      <c r="DZ17" s="562"/>
    </row>
    <row r="18" spans="1:130" hidden="1" outlineLevel="1">
      <c r="A18" s="1600" t="s">
        <v>206</v>
      </c>
      <c r="B18" s="99"/>
      <c r="C18" s="99"/>
      <c r="D18" s="99"/>
      <c r="E18" s="99"/>
      <c r="F18" s="99"/>
      <c r="G18" s="99"/>
      <c r="H18" s="99"/>
      <c r="I18" s="99"/>
      <c r="J18" s="99"/>
      <c r="K18" s="99"/>
      <c r="L18" s="99"/>
      <c r="M18" s="99"/>
      <c r="N18" s="99"/>
      <c r="O18" s="99"/>
      <c r="P18" s="99"/>
      <c r="Q18" s="1040"/>
      <c r="R18" s="99"/>
      <c r="S18" s="99"/>
      <c r="T18" s="1040"/>
      <c r="U18" s="1040"/>
      <c r="V18" s="99"/>
      <c r="W18" s="99"/>
      <c r="X18" s="99"/>
      <c r="Y18" s="99"/>
      <c r="Z18" s="99"/>
      <c r="AA18" s="1040"/>
      <c r="AB18" s="1040"/>
      <c r="AC18" s="1040"/>
      <c r="AD18" s="1040"/>
      <c r="AE18" s="1040"/>
      <c r="AF18" s="1040"/>
      <c r="AG18" s="1040"/>
      <c r="AH18" s="1951"/>
      <c r="AI18" s="475"/>
      <c r="AJ18" s="1951"/>
      <c r="AK18" s="99"/>
      <c r="AL18" s="99"/>
      <c r="AM18" s="99"/>
      <c r="AN18" s="99"/>
      <c r="AO18" s="99"/>
      <c r="AP18" s="99"/>
      <c r="AQ18" s="99"/>
      <c r="AR18" s="99"/>
      <c r="AS18" s="99"/>
      <c r="AT18" s="99"/>
      <c r="AU18" s="99"/>
      <c r="AV18" s="99"/>
      <c r="AW18" s="99"/>
      <c r="AX18" s="99"/>
      <c r="AY18" s="99"/>
      <c r="AZ18" s="99"/>
      <c r="BA18" s="99"/>
      <c r="BB18" s="99"/>
      <c r="BC18" s="99"/>
      <c r="BD18" s="99"/>
      <c r="BE18" s="99"/>
      <c r="BF18" s="99"/>
      <c r="BG18" s="99"/>
      <c r="BH18" s="99"/>
      <c r="BI18" s="99"/>
      <c r="BJ18" s="99"/>
      <c r="BK18" s="99"/>
      <c r="BL18" s="99"/>
      <c r="BM18" s="99"/>
      <c r="BN18" s="99"/>
      <c r="BO18" s="99"/>
      <c r="BP18" s="99"/>
      <c r="BQ18" s="99"/>
      <c r="BR18" s="479"/>
      <c r="BS18" s="1040"/>
      <c r="BT18" s="1040"/>
      <c r="BU18" s="1040"/>
      <c r="BV18" s="479"/>
      <c r="BW18" s="1040"/>
      <c r="BX18" s="1040"/>
      <c r="BY18" s="1040"/>
      <c r="BZ18" s="479"/>
      <c r="CA18" s="1040"/>
      <c r="CB18" s="1040"/>
      <c r="CC18" s="1040"/>
      <c r="CD18" s="479"/>
      <c r="CE18" s="1040"/>
      <c r="CF18" s="1040"/>
      <c r="CG18" s="480"/>
      <c r="CH18" s="479"/>
      <c r="CI18" s="1040"/>
      <c r="CJ18" s="1040"/>
      <c r="CK18" s="480"/>
      <c r="CL18" s="479"/>
      <c r="CM18" s="1040"/>
      <c r="CN18" s="1040"/>
      <c r="CO18" s="1040"/>
      <c r="CP18" s="479"/>
      <c r="CQ18" s="1040"/>
      <c r="CR18" s="1040"/>
      <c r="CS18" s="1040"/>
      <c r="CT18" s="479"/>
      <c r="CU18" s="1040"/>
      <c r="CV18" s="1040"/>
      <c r="CW18" s="480"/>
      <c r="CX18" s="479"/>
      <c r="CY18" s="1040"/>
      <c r="CZ18" s="1040"/>
      <c r="DA18" s="1040"/>
      <c r="DB18" s="479"/>
      <c r="DC18" s="1040"/>
      <c r="DD18" s="1040"/>
      <c r="DE18" s="1040"/>
      <c r="DF18" s="479"/>
      <c r="DG18" s="1040"/>
      <c r="DH18" s="1040"/>
      <c r="DI18" s="480"/>
      <c r="DJ18" s="479"/>
      <c r="DK18" s="1040"/>
      <c r="DL18" s="1040"/>
      <c r="DM18" s="1040"/>
      <c r="DN18" s="1040"/>
      <c r="DO18" s="1040"/>
      <c r="DP18" s="480"/>
      <c r="DQ18" s="480"/>
      <c r="DR18" s="1040"/>
      <c r="DS18" s="1040"/>
      <c r="DT18" s="1040"/>
      <c r="DU18" s="480"/>
      <c r="DV18" s="1040"/>
      <c r="DW18" s="480"/>
      <c r="DX18" s="480"/>
      <c r="DY18" s="480"/>
    </row>
    <row r="19" spans="1:130" s="170" customFormat="1" hidden="1" outlineLevel="1">
      <c r="A19" s="1599" t="s">
        <v>207</v>
      </c>
      <c r="B19" s="545"/>
      <c r="C19" s="545"/>
      <c r="D19" s="545"/>
      <c r="E19" s="545"/>
      <c r="F19" s="545"/>
      <c r="G19" s="545"/>
      <c r="H19" s="545"/>
      <c r="I19" s="545"/>
      <c r="J19" s="545"/>
      <c r="K19" s="545"/>
      <c r="L19" s="545"/>
      <c r="M19" s="545">
        <f>SUM(BV19:BY19)</f>
        <v>14580</v>
      </c>
      <c r="N19" s="545">
        <f>SUM(BZ19:CC19)</f>
        <v>14270</v>
      </c>
      <c r="O19" s="545">
        <f>SUM(CD19:CG19)</f>
        <v>14550</v>
      </c>
      <c r="P19" s="545">
        <f>SUM(CH19:CK19)</f>
        <v>14411</v>
      </c>
      <c r="Q19" s="1124">
        <f ca="1">SUM(CL19:CO19)</f>
        <v>14061.57220427303</v>
      </c>
      <c r="R19" s="545"/>
      <c r="S19" s="545"/>
      <c r="T19" s="1124"/>
      <c r="U19" s="1124"/>
      <c r="V19" s="545"/>
      <c r="W19" s="545"/>
      <c r="X19" s="545"/>
      <c r="Y19" s="545"/>
      <c r="Z19" s="545"/>
      <c r="AA19" s="1124"/>
      <c r="AB19" s="1124"/>
      <c r="AC19" s="1124"/>
      <c r="AD19" s="1124"/>
      <c r="AE19" s="1124"/>
      <c r="AF19" s="1124"/>
      <c r="AG19" s="1124"/>
      <c r="AH19" s="1949"/>
      <c r="AI19" s="546"/>
      <c r="AJ19" s="1949"/>
      <c r="AK19" s="545"/>
      <c r="AL19" s="545"/>
      <c r="AM19" s="545"/>
      <c r="AN19" s="545"/>
      <c r="AO19" s="545"/>
      <c r="AP19" s="545"/>
      <c r="AQ19" s="545"/>
      <c r="AR19" s="545"/>
      <c r="AS19" s="545"/>
      <c r="AT19" s="545"/>
      <c r="AU19" s="545"/>
      <c r="AV19" s="545"/>
      <c r="AW19" s="545"/>
      <c r="AX19" s="545"/>
      <c r="AY19" s="545"/>
      <c r="AZ19" s="545"/>
      <c r="BA19" s="545"/>
      <c r="BB19" s="545"/>
      <c r="BC19" s="545"/>
      <c r="BD19" s="545"/>
      <c r="BE19" s="545"/>
      <c r="BF19" s="545"/>
      <c r="BG19" s="545"/>
      <c r="BH19" s="545"/>
      <c r="BI19" s="545"/>
      <c r="BJ19" s="545"/>
      <c r="BK19" s="545"/>
      <c r="BL19" s="545"/>
      <c r="BM19" s="545"/>
      <c r="BN19" s="545"/>
      <c r="BO19" s="545"/>
      <c r="BP19" s="545"/>
      <c r="BQ19" s="545"/>
      <c r="BR19" s="547"/>
      <c r="BS19" s="1124"/>
      <c r="BT19" s="1124"/>
      <c r="BU19" s="1124"/>
      <c r="BV19" s="547">
        <f>NormInputs!BL146</f>
        <v>3695</v>
      </c>
      <c r="BW19" s="1124">
        <f>NormInputs!BM146</f>
        <v>3699</v>
      </c>
      <c r="BX19" s="1124">
        <f>NormInputs!BN146</f>
        <v>3617</v>
      </c>
      <c r="BY19" s="1124">
        <f>NormInputs!BO146</f>
        <v>3569</v>
      </c>
      <c r="BZ19" s="547">
        <f>NormInputs!BP146</f>
        <v>3454</v>
      </c>
      <c r="CA19" s="1124">
        <f>NormInputs!BQ146</f>
        <v>3536</v>
      </c>
      <c r="CB19" s="1124">
        <f>NormInputs!BR146</f>
        <v>3597</v>
      </c>
      <c r="CC19" s="1124">
        <f>NormInputs!BS146</f>
        <v>3683</v>
      </c>
      <c r="CD19" s="547">
        <f>NormInputs!BT146</f>
        <v>3538</v>
      </c>
      <c r="CE19" s="1124">
        <f>NormInputs!BU146</f>
        <v>3638</v>
      </c>
      <c r="CF19" s="1124">
        <f>NormInputs!BV146</f>
        <v>3686</v>
      </c>
      <c r="CG19" s="548">
        <f>NormInputs!BW146</f>
        <v>3688</v>
      </c>
      <c r="CH19" s="547">
        <f>NormInputs!BX146</f>
        <v>3536</v>
      </c>
      <c r="CI19" s="1124">
        <f>NormInputs!BY146</f>
        <v>3613</v>
      </c>
      <c r="CJ19" s="1124">
        <f>NormInputs!BZ146</f>
        <v>3655</v>
      </c>
      <c r="CK19" s="548">
        <f>NormInputs!CA146</f>
        <v>3607</v>
      </c>
      <c r="CL19" s="547">
        <f>CL273</f>
        <v>3425.5020829697301</v>
      </c>
      <c r="CM19" s="1124">
        <f ca="1">CM273</f>
        <v>3538.0691890513954</v>
      </c>
      <c r="CN19" s="1124">
        <f>CN273</f>
        <v>3575.3229250516438</v>
      </c>
      <c r="CO19" s="1124">
        <f>CO273</f>
        <v>3522.678007200263</v>
      </c>
      <c r="CP19" s="547">
        <f>CP273</f>
        <v>3349.6618209218068</v>
      </c>
      <c r="CQ19" s="1124"/>
      <c r="CR19" s="1124"/>
      <c r="CS19" s="1124"/>
      <c r="CT19" s="547"/>
      <c r="CU19" s="1124"/>
      <c r="CV19" s="1124"/>
      <c r="CW19" s="548"/>
      <c r="CX19" s="547"/>
      <c r="CY19" s="1124"/>
      <c r="CZ19" s="1124"/>
      <c r="DA19" s="1124"/>
      <c r="DB19" s="547"/>
      <c r="DC19" s="1124"/>
      <c r="DD19" s="1124"/>
      <c r="DE19" s="1124"/>
      <c r="DF19" s="547"/>
      <c r="DG19" s="1124"/>
      <c r="DH19" s="1124"/>
      <c r="DI19" s="548"/>
      <c r="DJ19" s="547"/>
      <c r="DK19" s="1124">
        <v>0.14499999999999999</v>
      </c>
      <c r="DL19" s="1124">
        <v>0.14499999999999999</v>
      </c>
      <c r="DM19" s="1124">
        <v>0.14499999999999999</v>
      </c>
      <c r="DN19" s="1124"/>
      <c r="DO19" s="1124"/>
      <c r="DP19" s="548"/>
      <c r="DQ19" s="548"/>
      <c r="DR19" s="1124"/>
      <c r="DS19" s="1124"/>
      <c r="DT19" s="1124"/>
      <c r="DU19" s="548"/>
      <c r="DV19" s="1124"/>
      <c r="DW19" s="548"/>
      <c r="DX19" s="548"/>
      <c r="DY19" s="548"/>
      <c r="DZ19" s="220"/>
    </row>
    <row r="20" spans="1:130" s="120" customFormat="1" hidden="1" outlineLevel="1">
      <c r="A20" s="1599" t="s">
        <v>202</v>
      </c>
      <c r="B20" s="540"/>
      <c r="C20" s="540"/>
      <c r="D20" s="540"/>
      <c r="E20" s="540"/>
      <c r="F20" s="540"/>
      <c r="G20" s="540"/>
      <c r="H20" s="540"/>
      <c r="I20" s="540"/>
      <c r="J20" s="540"/>
      <c r="K20" s="540"/>
      <c r="L20" s="540"/>
      <c r="M20" s="540"/>
      <c r="N20" s="540">
        <f>N19/M19-1</f>
        <v>-2.1262002743484221E-2</v>
      </c>
      <c r="O20" s="540">
        <f>O19/N19-1</f>
        <v>1.9621583742116311E-2</v>
      </c>
      <c r="P20" s="540">
        <f>P19/O19-1</f>
        <v>-9.5532646048109848E-3</v>
      </c>
      <c r="Q20" s="1056">
        <f ca="1">Q19/P19-1</f>
        <v>-2.4247296907013327E-2</v>
      </c>
      <c r="R20" s="540"/>
      <c r="S20" s="540"/>
      <c r="T20" s="1056"/>
      <c r="U20" s="1056"/>
      <c r="V20" s="540"/>
      <c r="W20" s="540"/>
      <c r="X20" s="540"/>
      <c r="Y20" s="540"/>
      <c r="Z20" s="540"/>
      <c r="AA20" s="1056"/>
      <c r="AB20" s="1056"/>
      <c r="AC20" s="1056"/>
      <c r="AD20" s="1056"/>
      <c r="AE20" s="1056"/>
      <c r="AF20" s="1056"/>
      <c r="AG20" s="1056"/>
      <c r="AH20" s="1950"/>
      <c r="AI20" s="475"/>
      <c r="AJ20" s="1950"/>
      <c r="AK20" s="540"/>
      <c r="AL20" s="540"/>
      <c r="AM20" s="540"/>
      <c r="AN20" s="540"/>
      <c r="AO20" s="540"/>
      <c r="AP20" s="540"/>
      <c r="AQ20" s="540"/>
      <c r="AR20" s="540"/>
      <c r="AS20" s="540"/>
      <c r="AT20" s="540"/>
      <c r="AU20" s="540"/>
      <c r="AV20" s="540"/>
      <c r="AW20" s="540"/>
      <c r="AX20" s="540"/>
      <c r="AY20" s="540"/>
      <c r="AZ20" s="540"/>
      <c r="BA20" s="540"/>
      <c r="BB20" s="540"/>
      <c r="BC20" s="540"/>
      <c r="BD20" s="540"/>
      <c r="BE20" s="540"/>
      <c r="BF20" s="540"/>
      <c r="BG20" s="540"/>
      <c r="BH20" s="540"/>
      <c r="BI20" s="540"/>
      <c r="BJ20" s="540"/>
      <c r="BK20" s="540"/>
      <c r="BL20" s="540"/>
      <c r="BM20" s="540"/>
      <c r="BN20" s="540"/>
      <c r="BO20" s="540"/>
      <c r="BP20" s="540"/>
      <c r="BQ20" s="540"/>
      <c r="BR20" s="541"/>
      <c r="BS20" s="1056"/>
      <c r="BT20" s="1056"/>
      <c r="BU20" s="1056"/>
      <c r="BV20" s="541"/>
      <c r="BW20" s="1056"/>
      <c r="BX20" s="1056"/>
      <c r="BY20" s="1056"/>
      <c r="BZ20" s="541"/>
      <c r="CA20" s="1056"/>
      <c r="CB20" s="1056"/>
      <c r="CC20" s="1056"/>
      <c r="CD20" s="541">
        <f t="shared" ref="CD20:CP20" si="5">CD19/BZ19-1</f>
        <v>2.4319629415170851E-2</v>
      </c>
      <c r="CE20" s="1056">
        <f t="shared" si="5"/>
        <v>2.8846153846153744E-2</v>
      </c>
      <c r="CF20" s="1056">
        <f t="shared" si="5"/>
        <v>2.4742841256602643E-2</v>
      </c>
      <c r="CG20" s="543">
        <f t="shared" si="5"/>
        <v>1.357588922074493E-3</v>
      </c>
      <c r="CH20" s="541">
        <f t="shared" si="5"/>
        <v>-5.6529112492931244E-4</v>
      </c>
      <c r="CI20" s="1056">
        <f t="shared" si="5"/>
        <v>-6.8719076415613145E-3</v>
      </c>
      <c r="CJ20" s="1056">
        <f t="shared" si="5"/>
        <v>-8.4102007596310591E-3</v>
      </c>
      <c r="CK20" s="543">
        <f t="shared" si="5"/>
        <v>-2.1963123644251681E-2</v>
      </c>
      <c r="CL20" s="541">
        <f t="shared" si="5"/>
        <v>-3.1249410924850118E-2</v>
      </c>
      <c r="CM20" s="1056">
        <f t="shared" ca="1" si="5"/>
        <v>-2.073922251552851E-2</v>
      </c>
      <c r="CN20" s="1056">
        <f t="shared" si="5"/>
        <v>-2.1799473310083806E-2</v>
      </c>
      <c r="CO20" s="1056">
        <f t="shared" si="5"/>
        <v>-2.3377319877942115E-2</v>
      </c>
      <c r="CP20" s="541">
        <f t="shared" si="5"/>
        <v>-2.2139896637334289E-2</v>
      </c>
      <c r="CQ20" s="1056"/>
      <c r="CR20" s="1056"/>
      <c r="CS20" s="1056"/>
      <c r="CT20" s="541"/>
      <c r="CU20" s="1056"/>
      <c r="CV20" s="1056"/>
      <c r="CW20" s="543"/>
      <c r="CX20" s="541"/>
      <c r="CY20" s="1056"/>
      <c r="CZ20" s="1056"/>
      <c r="DA20" s="1056"/>
      <c r="DB20" s="541"/>
      <c r="DC20" s="1056"/>
      <c r="DD20" s="1056"/>
      <c r="DE20" s="1056"/>
      <c r="DF20" s="541"/>
      <c r="DG20" s="1056"/>
      <c r="DH20" s="1056"/>
      <c r="DI20" s="543"/>
      <c r="DJ20" s="541"/>
      <c r="DK20" s="1056"/>
      <c r="DL20" s="1056"/>
      <c r="DM20" s="1056"/>
      <c r="DN20" s="1056"/>
      <c r="DO20" s="1056"/>
      <c r="DP20" s="543"/>
      <c r="DQ20" s="543"/>
      <c r="DR20" s="1056"/>
      <c r="DS20" s="1056"/>
      <c r="DT20" s="1056"/>
      <c r="DU20" s="543"/>
      <c r="DV20" s="1056"/>
      <c r="DW20" s="543"/>
      <c r="DX20" s="543"/>
      <c r="DY20" s="543"/>
      <c r="DZ20" s="562"/>
    </row>
    <row r="21" spans="1:130" s="170" customFormat="1" hidden="1" outlineLevel="1">
      <c r="A21" s="1599" t="s">
        <v>203</v>
      </c>
      <c r="B21" s="545"/>
      <c r="C21" s="545"/>
      <c r="D21" s="545"/>
      <c r="E21" s="545"/>
      <c r="F21" s="545"/>
      <c r="G21" s="545"/>
      <c r="H21" s="545"/>
      <c r="I21" s="545"/>
      <c r="J21" s="545"/>
      <c r="K21" s="545"/>
      <c r="L21" s="545"/>
      <c r="M21" s="545">
        <f>SUM(BV21:BY21)</f>
        <v>3581</v>
      </c>
      <c r="N21" s="545">
        <f>SUM(BZ21:CC21)</f>
        <v>3313</v>
      </c>
      <c r="O21" s="545">
        <f>SUM(CD21:CG21)</f>
        <v>3345</v>
      </c>
      <c r="P21" s="545">
        <f>SUM(CH21:CK21)</f>
        <v>3341</v>
      </c>
      <c r="Q21" s="1124">
        <f>SUM(CL21:CO21)</f>
        <v>3304.2979956250001</v>
      </c>
      <c r="R21" s="545"/>
      <c r="S21" s="545"/>
      <c r="T21" s="1124"/>
      <c r="U21" s="1124"/>
      <c r="V21" s="545"/>
      <c r="W21" s="545"/>
      <c r="X21" s="545"/>
      <c r="Y21" s="545"/>
      <c r="Z21" s="545"/>
      <c r="AA21" s="1124"/>
      <c r="AB21" s="1124"/>
      <c r="AC21" s="1124"/>
      <c r="AD21" s="1124"/>
      <c r="AE21" s="1124"/>
      <c r="AF21" s="1124"/>
      <c r="AG21" s="1124"/>
      <c r="AH21" s="1949"/>
      <c r="AI21" s="546"/>
      <c r="AJ21" s="1949"/>
      <c r="AK21" s="545"/>
      <c r="AL21" s="545"/>
      <c r="AM21" s="545"/>
      <c r="AN21" s="545"/>
      <c r="AO21" s="545"/>
      <c r="AP21" s="545"/>
      <c r="AQ21" s="545"/>
      <c r="AR21" s="545"/>
      <c r="AS21" s="545"/>
      <c r="AT21" s="545"/>
      <c r="AU21" s="545"/>
      <c r="AV21" s="545"/>
      <c r="AW21" s="545"/>
      <c r="AX21" s="545"/>
      <c r="AY21" s="545"/>
      <c r="AZ21" s="545"/>
      <c r="BA21" s="545"/>
      <c r="BB21" s="545"/>
      <c r="BC21" s="545"/>
      <c r="BD21" s="545"/>
      <c r="BE21" s="545"/>
      <c r="BF21" s="545"/>
      <c r="BG21" s="545"/>
      <c r="BH21" s="545"/>
      <c r="BI21" s="545"/>
      <c r="BJ21" s="545"/>
      <c r="BK21" s="545"/>
      <c r="BL21" s="545"/>
      <c r="BM21" s="545"/>
      <c r="BN21" s="545"/>
      <c r="BO21" s="545"/>
      <c r="BP21" s="545"/>
      <c r="BQ21" s="545"/>
      <c r="BR21" s="547"/>
      <c r="BS21" s="1124"/>
      <c r="BT21" s="1124"/>
      <c r="BU21" s="1124"/>
      <c r="BV21" s="547">
        <f>NormInputs!BL147</f>
        <v>879</v>
      </c>
      <c r="BW21" s="1124">
        <f>NormInputs!BM147</f>
        <v>908</v>
      </c>
      <c r="BX21" s="1124">
        <f>NormInputs!BN147</f>
        <v>916</v>
      </c>
      <c r="BY21" s="1124">
        <f>NormInputs!BO147</f>
        <v>878</v>
      </c>
      <c r="BZ21" s="547">
        <f>NormInputs!BP147</f>
        <v>836</v>
      </c>
      <c r="CA21" s="1124">
        <f>NormInputs!BQ147</f>
        <v>831</v>
      </c>
      <c r="CB21" s="1124">
        <f>NormInputs!BR147</f>
        <v>806</v>
      </c>
      <c r="CC21" s="1124">
        <f>NormInputs!BS147</f>
        <v>840</v>
      </c>
      <c r="CD21" s="547">
        <f>NormInputs!BT147</f>
        <v>850</v>
      </c>
      <c r="CE21" s="1124">
        <f>NormInputs!BU147</f>
        <v>844</v>
      </c>
      <c r="CF21" s="1124">
        <f>NormInputs!BV147</f>
        <v>836</v>
      </c>
      <c r="CG21" s="548">
        <f>NormInputs!BW147</f>
        <v>815</v>
      </c>
      <c r="CH21" s="547">
        <f>NormInputs!BX147</f>
        <v>834</v>
      </c>
      <c r="CI21" s="1124">
        <f>NormInputs!BY147</f>
        <v>846</v>
      </c>
      <c r="CJ21" s="1124">
        <f>NormInputs!BZ147</f>
        <v>851</v>
      </c>
      <c r="CK21" s="548">
        <f>NormInputs!CA147</f>
        <v>810</v>
      </c>
      <c r="CL21" s="547">
        <f>CL292</f>
        <v>823.17898593749999</v>
      </c>
      <c r="CM21" s="1124">
        <f>CM292</f>
        <v>836.12864812499993</v>
      </c>
      <c r="CN21" s="1124">
        <f>CN292</f>
        <v>842.29335953124996</v>
      </c>
      <c r="CO21" s="1124">
        <f>CO292</f>
        <v>802.69700203124989</v>
      </c>
      <c r="CP21" s="547">
        <f>CP292</f>
        <v>799.05038585156251</v>
      </c>
      <c r="CQ21" s="1124"/>
      <c r="CR21" s="1124"/>
      <c r="CS21" s="1124"/>
      <c r="CT21" s="547"/>
      <c r="CU21" s="1124"/>
      <c r="CV21" s="1124"/>
      <c r="CW21" s="548"/>
      <c r="CX21" s="547"/>
      <c r="CY21" s="1124"/>
      <c r="CZ21" s="1124"/>
      <c r="DA21" s="1124"/>
      <c r="DB21" s="547"/>
      <c r="DC21" s="1124"/>
      <c r="DD21" s="1124"/>
      <c r="DE21" s="1124"/>
      <c r="DF21" s="547"/>
      <c r="DG21" s="1124"/>
      <c r="DH21" s="1124"/>
      <c r="DI21" s="548"/>
      <c r="DJ21" s="547"/>
      <c r="DK21" s="1124"/>
      <c r="DL21" s="1124"/>
      <c r="DM21" s="1124"/>
      <c r="DN21" s="1124"/>
      <c r="DO21" s="1124"/>
      <c r="DP21" s="548"/>
      <c r="DQ21" s="548"/>
      <c r="DR21" s="1124"/>
      <c r="DS21" s="1124"/>
      <c r="DT21" s="1124"/>
      <c r="DU21" s="548"/>
      <c r="DV21" s="1124"/>
      <c r="DW21" s="548"/>
      <c r="DX21" s="548"/>
      <c r="DY21" s="548"/>
      <c r="DZ21" s="220"/>
    </row>
    <row r="22" spans="1:130" s="120" customFormat="1" hidden="1" outlineLevel="1">
      <c r="A22" s="1599" t="s">
        <v>202</v>
      </c>
      <c r="B22" s="540"/>
      <c r="C22" s="540"/>
      <c r="D22" s="540"/>
      <c r="E22" s="540"/>
      <c r="F22" s="540"/>
      <c r="G22" s="540"/>
      <c r="H22" s="540"/>
      <c r="I22" s="540"/>
      <c r="J22" s="540"/>
      <c r="K22" s="540"/>
      <c r="L22" s="540"/>
      <c r="M22" s="540"/>
      <c r="N22" s="540">
        <f>N21/M21-1</f>
        <v>-7.4839430326724354E-2</v>
      </c>
      <c r="O22" s="540">
        <f>O21/N21-1</f>
        <v>9.6589194083911423E-3</v>
      </c>
      <c r="P22" s="540">
        <f>P21/O21-1</f>
        <v>-1.1958146487294208E-3</v>
      </c>
      <c r="Q22" s="1056">
        <f>Q21/P21-1</f>
        <v>-1.0985335041903577E-2</v>
      </c>
      <c r="R22" s="540"/>
      <c r="S22" s="540"/>
      <c r="T22" s="1056"/>
      <c r="U22" s="1056"/>
      <c r="V22" s="540"/>
      <c r="W22" s="540"/>
      <c r="X22" s="540"/>
      <c r="Y22" s="540"/>
      <c r="Z22" s="540"/>
      <c r="AA22" s="1056"/>
      <c r="AB22" s="1056"/>
      <c r="AC22" s="1056"/>
      <c r="AD22" s="1056"/>
      <c r="AE22" s="1056"/>
      <c r="AF22" s="1056"/>
      <c r="AG22" s="1056"/>
      <c r="AH22" s="1950"/>
      <c r="AI22" s="475"/>
      <c r="AJ22" s="1950"/>
      <c r="AK22" s="540"/>
      <c r="AL22" s="540"/>
      <c r="AM22" s="540"/>
      <c r="AN22" s="540"/>
      <c r="AO22" s="540"/>
      <c r="AP22" s="540"/>
      <c r="AQ22" s="540"/>
      <c r="AR22" s="540"/>
      <c r="AS22" s="540"/>
      <c r="AT22" s="540"/>
      <c r="AU22" s="540"/>
      <c r="AV22" s="540"/>
      <c r="AW22" s="540"/>
      <c r="AX22" s="540"/>
      <c r="AY22" s="540"/>
      <c r="AZ22" s="540"/>
      <c r="BA22" s="540"/>
      <c r="BB22" s="540"/>
      <c r="BC22" s="540"/>
      <c r="BD22" s="540"/>
      <c r="BE22" s="540"/>
      <c r="BF22" s="540"/>
      <c r="BG22" s="540"/>
      <c r="BH22" s="540"/>
      <c r="BI22" s="540"/>
      <c r="BJ22" s="540"/>
      <c r="BK22" s="540"/>
      <c r="BL22" s="540"/>
      <c r="BM22" s="540"/>
      <c r="BN22" s="540"/>
      <c r="BO22" s="540"/>
      <c r="BP22" s="540"/>
      <c r="BQ22" s="540"/>
      <c r="BR22" s="541"/>
      <c r="BS22" s="1056"/>
      <c r="BT22" s="1056"/>
      <c r="BU22" s="1056"/>
      <c r="BV22" s="541"/>
      <c r="BW22" s="1056"/>
      <c r="BX22" s="1056"/>
      <c r="BY22" s="1056"/>
      <c r="BZ22" s="541"/>
      <c r="CA22" s="1056"/>
      <c r="CB22" s="1056"/>
      <c r="CC22" s="1056"/>
      <c r="CD22" s="541">
        <f t="shared" ref="CD22:CP22" si="6">CD21/BZ21-1</f>
        <v>1.674641148325362E-2</v>
      </c>
      <c r="CE22" s="1056">
        <f t="shared" si="6"/>
        <v>1.564380264741283E-2</v>
      </c>
      <c r="CF22" s="1056">
        <f t="shared" si="6"/>
        <v>3.7220843672456594E-2</v>
      </c>
      <c r="CG22" s="543">
        <f t="shared" si="6"/>
        <v>-2.9761904761904767E-2</v>
      </c>
      <c r="CH22" s="541">
        <f t="shared" si="6"/>
        <v>-1.8823529411764683E-2</v>
      </c>
      <c r="CI22" s="1056">
        <f t="shared" si="6"/>
        <v>2.3696682464455776E-3</v>
      </c>
      <c r="CJ22" s="1056">
        <f t="shared" si="6"/>
        <v>1.7942583732057482E-2</v>
      </c>
      <c r="CK22" s="543">
        <f t="shared" si="6"/>
        <v>-6.1349693251533388E-3</v>
      </c>
      <c r="CL22" s="541">
        <f t="shared" si="6"/>
        <v>-1.2974837005395701E-2</v>
      </c>
      <c r="CM22" s="1056">
        <f t="shared" si="6"/>
        <v>-1.1668264627659686E-2</v>
      </c>
      <c r="CN22" s="1056">
        <f t="shared" si="6"/>
        <v>-1.0231069881022403E-2</v>
      </c>
      <c r="CO22" s="1056">
        <f t="shared" si="6"/>
        <v>-9.0160468750001277E-3</v>
      </c>
      <c r="CP22" s="541">
        <f t="shared" si="6"/>
        <v>-2.9311486928274677E-2</v>
      </c>
      <c r="CQ22" s="1056"/>
      <c r="CR22" s="1056"/>
      <c r="CS22" s="1056"/>
      <c r="CT22" s="541"/>
      <c r="CU22" s="1056"/>
      <c r="CV22" s="1056"/>
      <c r="CW22" s="543"/>
      <c r="CX22" s="541"/>
      <c r="CY22" s="1056"/>
      <c r="CZ22" s="1056"/>
      <c r="DA22" s="1056"/>
      <c r="DB22" s="541"/>
      <c r="DC22" s="1056"/>
      <c r="DD22" s="1056"/>
      <c r="DE22" s="1056"/>
      <c r="DF22" s="541"/>
      <c r="DG22" s="1056"/>
      <c r="DH22" s="1056"/>
      <c r="DI22" s="543"/>
      <c r="DJ22" s="541"/>
      <c r="DK22" s="1056"/>
      <c r="DL22" s="1056"/>
      <c r="DM22" s="1056"/>
      <c r="DN22" s="1056"/>
      <c r="DO22" s="1056"/>
      <c r="DP22" s="543"/>
      <c r="DQ22" s="543"/>
      <c r="DR22" s="1056"/>
      <c r="DS22" s="1056"/>
      <c r="DT22" s="1056"/>
      <c r="DU22" s="543"/>
      <c r="DV22" s="1056"/>
      <c r="DW22" s="543"/>
      <c r="DX22" s="543"/>
      <c r="DY22" s="543"/>
      <c r="DZ22" s="562"/>
    </row>
    <row r="23" spans="1:130" s="170" customFormat="1" hidden="1" outlineLevel="1">
      <c r="A23" s="1599" t="s">
        <v>208</v>
      </c>
      <c r="B23" s="545"/>
      <c r="C23" s="545"/>
      <c r="D23" s="545"/>
      <c r="E23" s="545"/>
      <c r="F23" s="545"/>
      <c r="G23" s="545"/>
      <c r="H23" s="545"/>
      <c r="I23" s="545"/>
      <c r="J23" s="545"/>
      <c r="K23" s="545"/>
      <c r="L23" s="545"/>
      <c r="M23" s="545">
        <f>SUM(BV23:BY23)</f>
        <v>3493</v>
      </c>
      <c r="N23" s="545">
        <f>SUM(BZ23:CC23)</f>
        <v>3143</v>
      </c>
      <c r="O23" s="545">
        <f>SUM(CD23:CG23)</f>
        <v>3214</v>
      </c>
      <c r="P23" s="545">
        <f>SUM(CH23:CK23)</f>
        <v>3374</v>
      </c>
      <c r="Q23" s="1124">
        <f>SUM(CL23:CO23)</f>
        <v>3239.04</v>
      </c>
      <c r="R23" s="545"/>
      <c r="S23" s="545"/>
      <c r="T23" s="1124"/>
      <c r="U23" s="1124"/>
      <c r="V23" s="545"/>
      <c r="W23" s="545"/>
      <c r="X23" s="545"/>
      <c r="Y23" s="545"/>
      <c r="Z23" s="545"/>
      <c r="AA23" s="1124"/>
      <c r="AB23" s="1124"/>
      <c r="AC23" s="1124"/>
      <c r="AD23" s="1124"/>
      <c r="AE23" s="1124"/>
      <c r="AF23" s="1124"/>
      <c r="AG23" s="1124"/>
      <c r="AH23" s="1949"/>
      <c r="AI23" s="546"/>
      <c r="AJ23" s="1949"/>
      <c r="AK23" s="545"/>
      <c r="AL23" s="545"/>
      <c r="AM23" s="545"/>
      <c r="AN23" s="545"/>
      <c r="AO23" s="545"/>
      <c r="AP23" s="545"/>
      <c r="AQ23" s="545"/>
      <c r="AR23" s="545"/>
      <c r="AS23" s="545"/>
      <c r="AT23" s="545"/>
      <c r="AU23" s="545"/>
      <c r="AV23" s="545"/>
      <c r="AW23" s="545"/>
      <c r="AX23" s="545"/>
      <c r="AY23" s="545"/>
      <c r="AZ23" s="545"/>
      <c r="BA23" s="545"/>
      <c r="BB23" s="545"/>
      <c r="BC23" s="545"/>
      <c r="BD23" s="545"/>
      <c r="BE23" s="545"/>
      <c r="BF23" s="545"/>
      <c r="BG23" s="545"/>
      <c r="BH23" s="545"/>
      <c r="BI23" s="545"/>
      <c r="BJ23" s="545"/>
      <c r="BK23" s="545"/>
      <c r="BL23" s="545"/>
      <c r="BM23" s="545"/>
      <c r="BN23" s="545"/>
      <c r="BO23" s="545"/>
      <c r="BP23" s="545"/>
      <c r="BQ23" s="545"/>
      <c r="BR23" s="547"/>
      <c r="BS23" s="1124"/>
      <c r="BT23" s="1124"/>
      <c r="BU23" s="1124"/>
      <c r="BV23" s="547">
        <f>NormInputs!BL148</f>
        <v>955</v>
      </c>
      <c r="BW23" s="1124">
        <f>NormInputs!BM148</f>
        <v>919</v>
      </c>
      <c r="BX23" s="1124">
        <f>NormInputs!BN148</f>
        <v>817</v>
      </c>
      <c r="BY23" s="1124">
        <f>NormInputs!BO148</f>
        <v>802</v>
      </c>
      <c r="BZ23" s="547">
        <f>NormInputs!BP148</f>
        <v>779</v>
      </c>
      <c r="CA23" s="1124">
        <f>NormInputs!BQ148</f>
        <v>779</v>
      </c>
      <c r="CB23" s="1124">
        <f>NormInputs!BR148</f>
        <v>793</v>
      </c>
      <c r="CC23" s="1124">
        <f>NormInputs!BS148</f>
        <v>792</v>
      </c>
      <c r="CD23" s="547">
        <f>NormInputs!BT148</f>
        <v>798</v>
      </c>
      <c r="CE23" s="1124">
        <f>NormInputs!BU148</f>
        <v>789</v>
      </c>
      <c r="CF23" s="1124">
        <f>NormInputs!BV148</f>
        <v>789</v>
      </c>
      <c r="CG23" s="548">
        <f>NormInputs!BW148</f>
        <v>838</v>
      </c>
      <c r="CH23" s="547">
        <f>NormInputs!BX148</f>
        <v>844</v>
      </c>
      <c r="CI23" s="1124">
        <f>NormInputs!BY148</f>
        <v>859</v>
      </c>
      <c r="CJ23" s="1124">
        <f>NormInputs!BZ148</f>
        <v>871</v>
      </c>
      <c r="CK23" s="548">
        <f>NormInputs!CA148</f>
        <v>800</v>
      </c>
      <c r="CL23" s="547">
        <f>(1+CL24)*CH23</f>
        <v>810.24</v>
      </c>
      <c r="CM23" s="1124">
        <f>(1+CM24)*CI23</f>
        <v>824.64</v>
      </c>
      <c r="CN23" s="1124">
        <f>(1+CN24)*CJ23</f>
        <v>836.16</v>
      </c>
      <c r="CO23" s="1124">
        <f>(1+CO24)*CK23</f>
        <v>768</v>
      </c>
      <c r="CP23" s="547">
        <f>(1+CP24)*CL23</f>
        <v>777.83039999999994</v>
      </c>
      <c r="CQ23" s="1124"/>
      <c r="CR23" s="1124"/>
      <c r="CS23" s="1124"/>
      <c r="CT23" s="547"/>
      <c r="CU23" s="1124"/>
      <c r="CV23" s="1124"/>
      <c r="CW23" s="548"/>
      <c r="CX23" s="547"/>
      <c r="CY23" s="1124"/>
      <c r="CZ23" s="1124"/>
      <c r="DA23" s="1124"/>
      <c r="DB23" s="547"/>
      <c r="DC23" s="1124"/>
      <c r="DD23" s="1124"/>
      <c r="DE23" s="1124"/>
      <c r="DF23" s="547"/>
      <c r="DG23" s="1124"/>
      <c r="DH23" s="1124"/>
      <c r="DI23" s="548"/>
      <c r="DJ23" s="547"/>
      <c r="DK23" s="1124"/>
      <c r="DL23" s="1124"/>
      <c r="DM23" s="1124"/>
      <c r="DN23" s="1124"/>
      <c r="DO23" s="1124"/>
      <c r="DP23" s="548"/>
      <c r="DQ23" s="548"/>
      <c r="DR23" s="1124"/>
      <c r="DS23" s="1124"/>
      <c r="DT23" s="1124"/>
      <c r="DU23" s="548"/>
      <c r="DV23" s="1124"/>
      <c r="DW23" s="548"/>
      <c r="DX23" s="548"/>
      <c r="DY23" s="548"/>
      <c r="DZ23" s="220"/>
    </row>
    <row r="24" spans="1:130" s="120" customFormat="1" hidden="1" outlineLevel="1">
      <c r="A24" s="1599" t="s">
        <v>202</v>
      </c>
      <c r="B24" s="540"/>
      <c r="C24" s="540"/>
      <c r="D24" s="540"/>
      <c r="E24" s="540"/>
      <c r="F24" s="540"/>
      <c r="G24" s="540"/>
      <c r="H24" s="540"/>
      <c r="I24" s="540"/>
      <c r="J24" s="540"/>
      <c r="K24" s="540"/>
      <c r="L24" s="540"/>
      <c r="M24" s="540"/>
      <c r="N24" s="540">
        <f>N23/M23-1</f>
        <v>-0.1002004008016032</v>
      </c>
      <c r="O24" s="540">
        <f>O23/N23-1</f>
        <v>2.2589882278078344E-2</v>
      </c>
      <c r="P24" s="540">
        <f>P23/O23-1</f>
        <v>4.9782202862476588E-2</v>
      </c>
      <c r="Q24" s="1056">
        <f>Q23/P23-1</f>
        <v>-4.0000000000000036E-2</v>
      </c>
      <c r="R24" s="540"/>
      <c r="S24" s="540"/>
      <c r="T24" s="1056"/>
      <c r="U24" s="1056"/>
      <c r="V24" s="540"/>
      <c r="W24" s="540"/>
      <c r="X24" s="540"/>
      <c r="Y24" s="540"/>
      <c r="Z24" s="540"/>
      <c r="AA24" s="1056"/>
      <c r="AB24" s="1056"/>
      <c r="AC24" s="1056"/>
      <c r="AD24" s="1056"/>
      <c r="AE24" s="1056"/>
      <c r="AF24" s="1056"/>
      <c r="AG24" s="1056"/>
      <c r="AH24" s="1950"/>
      <c r="AI24" s="475"/>
      <c r="AJ24" s="1950"/>
      <c r="AK24" s="540"/>
      <c r="AL24" s="540"/>
      <c r="AM24" s="540"/>
      <c r="AN24" s="540"/>
      <c r="AO24" s="540"/>
      <c r="AP24" s="540"/>
      <c r="AQ24" s="540"/>
      <c r="AR24" s="540"/>
      <c r="AS24" s="540"/>
      <c r="AT24" s="540"/>
      <c r="AU24" s="540"/>
      <c r="AV24" s="540"/>
      <c r="AW24" s="540"/>
      <c r="AX24" s="540"/>
      <c r="AY24" s="540"/>
      <c r="AZ24" s="540"/>
      <c r="BA24" s="540"/>
      <c r="BB24" s="540"/>
      <c r="BC24" s="540"/>
      <c r="BD24" s="540"/>
      <c r="BE24" s="540"/>
      <c r="BF24" s="540"/>
      <c r="BG24" s="540"/>
      <c r="BH24" s="540"/>
      <c r="BI24" s="540"/>
      <c r="BJ24" s="540"/>
      <c r="BK24" s="540"/>
      <c r="BL24" s="540"/>
      <c r="BM24" s="540"/>
      <c r="BN24" s="540"/>
      <c r="BO24" s="540"/>
      <c r="BP24" s="540"/>
      <c r="BQ24" s="540"/>
      <c r="BR24" s="541"/>
      <c r="BS24" s="1056"/>
      <c r="BT24" s="1056"/>
      <c r="BU24" s="1056"/>
      <c r="BV24" s="541"/>
      <c r="BW24" s="1056"/>
      <c r="BX24" s="1056"/>
      <c r="BY24" s="1056"/>
      <c r="BZ24" s="541"/>
      <c r="CA24" s="1056"/>
      <c r="CB24" s="1056"/>
      <c r="CC24" s="1056"/>
      <c r="CD24" s="541">
        <f t="shared" ref="CD24:CK24" si="7">CD23/BZ23-1</f>
        <v>2.4390243902439046E-2</v>
      </c>
      <c r="CE24" s="1056">
        <f t="shared" si="7"/>
        <v>1.2836970474968012E-2</v>
      </c>
      <c r="CF24" s="1056">
        <f t="shared" si="7"/>
        <v>-5.0441361916772065E-3</v>
      </c>
      <c r="CG24" s="543">
        <f t="shared" si="7"/>
        <v>5.8080808080808177E-2</v>
      </c>
      <c r="CH24" s="541">
        <f t="shared" si="7"/>
        <v>5.7644110275689275E-2</v>
      </c>
      <c r="CI24" s="1056">
        <f t="shared" si="7"/>
        <v>8.8719898605830183E-2</v>
      </c>
      <c r="CJ24" s="1056">
        <f t="shared" si="7"/>
        <v>0.10392902408111526</v>
      </c>
      <c r="CK24" s="543">
        <f t="shared" si="7"/>
        <v>-4.534606205250602E-2</v>
      </c>
      <c r="CL24" s="541">
        <v>-0.04</v>
      </c>
      <c r="CM24" s="1056">
        <f>+CL24</f>
        <v>-0.04</v>
      </c>
      <c r="CN24" s="1056">
        <f>+CM24</f>
        <v>-0.04</v>
      </c>
      <c r="CO24" s="1056">
        <f>+CN24</f>
        <v>-0.04</v>
      </c>
      <c r="CP24" s="541">
        <f>+CO24</f>
        <v>-0.04</v>
      </c>
      <c r="CQ24" s="1056"/>
      <c r="CR24" s="1056"/>
      <c r="CS24" s="1056"/>
      <c r="CT24" s="541"/>
      <c r="CU24" s="1056"/>
      <c r="CV24" s="1056"/>
      <c r="CW24" s="543"/>
      <c r="CX24" s="541"/>
      <c r="CY24" s="1056"/>
      <c r="CZ24" s="1056"/>
      <c r="DA24" s="1056"/>
      <c r="DB24" s="541"/>
      <c r="DC24" s="1056"/>
      <c r="DD24" s="1056"/>
      <c r="DE24" s="1056"/>
      <c r="DF24" s="541"/>
      <c r="DG24" s="1056"/>
      <c r="DH24" s="1056"/>
      <c r="DI24" s="543"/>
      <c r="DJ24" s="541"/>
      <c r="DK24" s="1056"/>
      <c r="DL24" s="1056"/>
      <c r="DM24" s="1056"/>
      <c r="DN24" s="1056"/>
      <c r="DO24" s="1056"/>
      <c r="DP24" s="543"/>
      <c r="DQ24" s="543"/>
      <c r="DR24" s="1056"/>
      <c r="DS24" s="1056"/>
      <c r="DT24" s="1056"/>
      <c r="DU24" s="543"/>
      <c r="DV24" s="1056"/>
      <c r="DW24" s="543"/>
      <c r="DX24" s="543"/>
      <c r="DY24" s="543"/>
      <c r="DZ24" s="562"/>
    </row>
    <row r="25" spans="1:130" s="170" customFormat="1" hidden="1" outlineLevel="1">
      <c r="A25" s="1599" t="s">
        <v>205</v>
      </c>
      <c r="B25" s="545"/>
      <c r="C25" s="545"/>
      <c r="D25" s="545"/>
      <c r="E25" s="545"/>
      <c r="F25" s="545"/>
      <c r="G25" s="545"/>
      <c r="H25" s="545"/>
      <c r="I25" s="545"/>
      <c r="J25" s="545"/>
      <c r="K25" s="545"/>
      <c r="L25" s="545"/>
      <c r="M25" s="545">
        <f>M19+M21+M23</f>
        <v>21654</v>
      </c>
      <c r="N25" s="545">
        <f>N19+N21+N23</f>
        <v>20726</v>
      </c>
      <c r="O25" s="545">
        <f>O19+O21+O23</f>
        <v>21109</v>
      </c>
      <c r="P25" s="545">
        <f>P19+P21+P23</f>
        <v>21126</v>
      </c>
      <c r="Q25" s="1124">
        <f ca="1">Q19+Q21+Q23</f>
        <v>20604.910199898033</v>
      </c>
      <c r="R25" s="545"/>
      <c r="S25" s="545"/>
      <c r="T25" s="1124"/>
      <c r="U25" s="1124"/>
      <c r="V25" s="545"/>
      <c r="W25" s="545"/>
      <c r="X25" s="545"/>
      <c r="Y25" s="545"/>
      <c r="Z25" s="545"/>
      <c r="AA25" s="1124"/>
      <c r="AB25" s="1124"/>
      <c r="AC25" s="1124"/>
      <c r="AD25" s="1124"/>
      <c r="AE25" s="1124"/>
      <c r="AF25" s="1124"/>
      <c r="AG25" s="1124"/>
      <c r="AH25" s="1949"/>
      <c r="AI25" s="546"/>
      <c r="AJ25" s="1949"/>
      <c r="AK25" s="545"/>
      <c r="AL25" s="545"/>
      <c r="AM25" s="545"/>
      <c r="AN25" s="545"/>
      <c r="AO25" s="545"/>
      <c r="AP25" s="545"/>
      <c r="AQ25" s="545"/>
      <c r="AR25" s="545"/>
      <c r="AS25" s="545"/>
      <c r="AT25" s="545"/>
      <c r="AU25" s="545"/>
      <c r="AV25" s="545"/>
      <c r="AW25" s="545"/>
      <c r="AX25" s="545"/>
      <c r="AY25" s="545"/>
      <c r="AZ25" s="545"/>
      <c r="BA25" s="545"/>
      <c r="BB25" s="545"/>
      <c r="BC25" s="545"/>
      <c r="BD25" s="545"/>
      <c r="BE25" s="545"/>
      <c r="BF25" s="545"/>
      <c r="BG25" s="545"/>
      <c r="BH25" s="545"/>
      <c r="BI25" s="545"/>
      <c r="BJ25" s="545"/>
      <c r="BK25" s="545"/>
      <c r="BL25" s="545"/>
      <c r="BM25" s="545"/>
      <c r="BN25" s="545"/>
      <c r="BO25" s="545"/>
      <c r="BP25" s="545"/>
      <c r="BQ25" s="545"/>
      <c r="BR25" s="547"/>
      <c r="BS25" s="1124"/>
      <c r="BT25" s="1124"/>
      <c r="BU25" s="1124"/>
      <c r="BV25" s="547">
        <f t="shared" ref="BV25:CP25" si="8">BV19+BV21+BV23</f>
        <v>5529</v>
      </c>
      <c r="BW25" s="1124">
        <f t="shared" si="8"/>
        <v>5526</v>
      </c>
      <c r="BX25" s="1124">
        <f t="shared" si="8"/>
        <v>5350</v>
      </c>
      <c r="BY25" s="1124">
        <f t="shared" si="8"/>
        <v>5249</v>
      </c>
      <c r="BZ25" s="547">
        <f t="shared" si="8"/>
        <v>5069</v>
      </c>
      <c r="CA25" s="1124">
        <f t="shared" si="8"/>
        <v>5146</v>
      </c>
      <c r="CB25" s="1124">
        <f t="shared" si="8"/>
        <v>5196</v>
      </c>
      <c r="CC25" s="1124">
        <f t="shared" si="8"/>
        <v>5315</v>
      </c>
      <c r="CD25" s="547">
        <f t="shared" si="8"/>
        <v>5186</v>
      </c>
      <c r="CE25" s="1124">
        <f t="shared" si="8"/>
        <v>5271</v>
      </c>
      <c r="CF25" s="1124">
        <f t="shared" si="8"/>
        <v>5311</v>
      </c>
      <c r="CG25" s="548">
        <f t="shared" si="8"/>
        <v>5341</v>
      </c>
      <c r="CH25" s="547">
        <f t="shared" si="8"/>
        <v>5214</v>
      </c>
      <c r="CI25" s="1124">
        <f t="shared" si="8"/>
        <v>5318</v>
      </c>
      <c r="CJ25" s="1124">
        <f t="shared" si="8"/>
        <v>5377</v>
      </c>
      <c r="CK25" s="548">
        <f t="shared" si="8"/>
        <v>5217</v>
      </c>
      <c r="CL25" s="547">
        <f t="shared" si="8"/>
        <v>5058.9210689072297</v>
      </c>
      <c r="CM25" s="1124">
        <f t="shared" ca="1" si="8"/>
        <v>5198.8378371763956</v>
      </c>
      <c r="CN25" s="1124">
        <f t="shared" si="8"/>
        <v>5253.7762845828938</v>
      </c>
      <c r="CO25" s="1124">
        <f t="shared" si="8"/>
        <v>5093.3750092315131</v>
      </c>
      <c r="CP25" s="547">
        <f t="shared" si="8"/>
        <v>4926.5426067733688</v>
      </c>
      <c r="CQ25" s="1124"/>
      <c r="CR25" s="1124"/>
      <c r="CS25" s="1124"/>
      <c r="CT25" s="547"/>
      <c r="CU25" s="1124"/>
      <c r="CV25" s="1124"/>
      <c r="CW25" s="548"/>
      <c r="CX25" s="547"/>
      <c r="CY25" s="1124"/>
      <c r="CZ25" s="1124"/>
      <c r="DA25" s="1124"/>
      <c r="DB25" s="547"/>
      <c r="DC25" s="1124"/>
      <c r="DD25" s="1124"/>
      <c r="DE25" s="1124"/>
      <c r="DF25" s="547"/>
      <c r="DG25" s="1124"/>
      <c r="DH25" s="1124"/>
      <c r="DI25" s="548"/>
      <c r="DJ25" s="547"/>
      <c r="DK25" s="1124"/>
      <c r="DL25" s="1124"/>
      <c r="DM25" s="1124"/>
      <c r="DN25" s="1124"/>
      <c r="DO25" s="1124"/>
      <c r="DP25" s="548"/>
      <c r="DQ25" s="548"/>
      <c r="DR25" s="1124"/>
      <c r="DS25" s="1124"/>
      <c r="DT25" s="1124"/>
      <c r="DU25" s="548"/>
      <c r="DV25" s="1124"/>
      <c r="DW25" s="548"/>
      <c r="DX25" s="548"/>
      <c r="DY25" s="548"/>
      <c r="DZ25" s="220"/>
    </row>
    <row r="26" spans="1:130" s="120" customFormat="1" hidden="1" outlineLevel="1">
      <c r="A26" s="1599" t="s">
        <v>202</v>
      </c>
      <c r="B26" s="540"/>
      <c r="C26" s="540"/>
      <c r="D26" s="540"/>
      <c r="E26" s="540"/>
      <c r="F26" s="540"/>
      <c r="G26" s="540"/>
      <c r="H26" s="540"/>
      <c r="I26" s="540"/>
      <c r="J26" s="540"/>
      <c r="K26" s="540"/>
      <c r="L26" s="540"/>
      <c r="M26" s="540"/>
      <c r="N26" s="540">
        <f>N25/M25-1</f>
        <v>-4.285582340445182E-2</v>
      </c>
      <c r="O26" s="540">
        <f>O25/N25-1</f>
        <v>1.8479204863456555E-2</v>
      </c>
      <c r="P26" s="540">
        <f>P25/O25-1</f>
        <v>8.0534369226392677E-4</v>
      </c>
      <c r="Q26" s="1056">
        <f ca="1">Q25/P25-1</f>
        <v>-2.4665805173812672E-2</v>
      </c>
      <c r="R26" s="540"/>
      <c r="S26" s="540"/>
      <c r="T26" s="1056"/>
      <c r="U26" s="1056"/>
      <c r="V26" s="540"/>
      <c r="W26" s="540"/>
      <c r="X26" s="540"/>
      <c r="Y26" s="540"/>
      <c r="Z26" s="540"/>
      <c r="AA26" s="1056"/>
      <c r="AB26" s="1056"/>
      <c r="AC26" s="1056"/>
      <c r="AD26" s="1056"/>
      <c r="AE26" s="1056"/>
      <c r="AF26" s="1056"/>
      <c r="AG26" s="1056"/>
      <c r="AH26" s="1950"/>
      <c r="AI26" s="475"/>
      <c r="AJ26" s="1950"/>
      <c r="AK26" s="540"/>
      <c r="AL26" s="540"/>
      <c r="AM26" s="540"/>
      <c r="AN26" s="540"/>
      <c r="AO26" s="540"/>
      <c r="AP26" s="540"/>
      <c r="AQ26" s="540"/>
      <c r="AR26" s="540"/>
      <c r="AS26" s="540"/>
      <c r="AT26" s="540"/>
      <c r="AU26" s="540"/>
      <c r="AV26" s="540"/>
      <c r="AW26" s="540"/>
      <c r="AX26" s="540"/>
      <c r="AY26" s="540"/>
      <c r="AZ26" s="540"/>
      <c r="BA26" s="540"/>
      <c r="BB26" s="540"/>
      <c r="BC26" s="540"/>
      <c r="BD26" s="540"/>
      <c r="BE26" s="540"/>
      <c r="BF26" s="540"/>
      <c r="BG26" s="540"/>
      <c r="BH26" s="540"/>
      <c r="BI26" s="540"/>
      <c r="BJ26" s="540"/>
      <c r="BK26" s="540"/>
      <c r="BL26" s="540"/>
      <c r="BM26" s="540"/>
      <c r="BN26" s="540"/>
      <c r="BO26" s="540"/>
      <c r="BP26" s="540"/>
      <c r="BQ26" s="540"/>
      <c r="BR26" s="541"/>
      <c r="BS26" s="1056"/>
      <c r="BT26" s="1056"/>
      <c r="BU26" s="1056"/>
      <c r="BV26" s="541"/>
      <c r="BW26" s="1056"/>
      <c r="BX26" s="1056"/>
      <c r="BY26" s="1056"/>
      <c r="BZ26" s="541"/>
      <c r="CA26" s="1056"/>
      <c r="CB26" s="1056"/>
      <c r="CC26" s="1056"/>
      <c r="CD26" s="541">
        <f t="shared" ref="CD26:CP26" si="9">CD25/BZ25-1</f>
        <v>2.3081475636220095E-2</v>
      </c>
      <c r="CE26" s="1056">
        <f t="shared" si="9"/>
        <v>2.4290711232024975E-2</v>
      </c>
      <c r="CF26" s="1056">
        <f t="shared" si="9"/>
        <v>2.2132409545804421E-2</v>
      </c>
      <c r="CG26" s="543">
        <f t="shared" si="9"/>
        <v>4.8918156161805726E-3</v>
      </c>
      <c r="CH26" s="541">
        <f t="shared" si="9"/>
        <v>5.3991515618974084E-3</v>
      </c>
      <c r="CI26" s="1056">
        <f t="shared" si="9"/>
        <v>8.9167140959969249E-3</v>
      </c>
      <c r="CJ26" s="1056">
        <f t="shared" si="9"/>
        <v>1.2427038222556863E-2</v>
      </c>
      <c r="CK26" s="543">
        <f t="shared" si="9"/>
        <v>-2.3216626099981319E-2</v>
      </c>
      <c r="CL26" s="541">
        <f t="shared" si="9"/>
        <v>-2.9742794609276979E-2</v>
      </c>
      <c r="CM26" s="1056">
        <f t="shared" ca="1" si="9"/>
        <v>-2.2407326593381738E-2</v>
      </c>
      <c r="CN26" s="1056">
        <f t="shared" si="9"/>
        <v>-2.291681521612543E-2</v>
      </c>
      <c r="CO26" s="1056">
        <f t="shared" si="9"/>
        <v>-2.3696567139828817E-2</v>
      </c>
      <c r="CP26" s="541">
        <f t="shared" si="9"/>
        <v>-2.6167331004129712E-2</v>
      </c>
      <c r="CQ26" s="1056"/>
      <c r="CR26" s="1056"/>
      <c r="CS26" s="1056"/>
      <c r="CT26" s="541"/>
      <c r="CU26" s="1056"/>
      <c r="CV26" s="1056"/>
      <c r="CW26" s="543"/>
      <c r="CX26" s="541"/>
      <c r="CY26" s="1056"/>
      <c r="CZ26" s="1056"/>
      <c r="DA26" s="1056"/>
      <c r="DB26" s="541"/>
      <c r="DC26" s="1056"/>
      <c r="DD26" s="1056"/>
      <c r="DE26" s="1056"/>
      <c r="DF26" s="541"/>
      <c r="DG26" s="1056"/>
      <c r="DH26" s="1056"/>
      <c r="DI26" s="543"/>
      <c r="DJ26" s="541"/>
      <c r="DK26" s="1056"/>
      <c r="DL26" s="1056"/>
      <c r="DM26" s="1056"/>
      <c r="DN26" s="1056"/>
      <c r="DO26" s="1056"/>
      <c r="DP26" s="543"/>
      <c r="DQ26" s="543"/>
      <c r="DR26" s="1056"/>
      <c r="DS26" s="1056"/>
      <c r="DT26" s="1056"/>
      <c r="DU26" s="543"/>
      <c r="DV26" s="1056"/>
      <c r="DW26" s="543"/>
      <c r="DX26" s="543"/>
      <c r="DY26" s="543"/>
      <c r="DZ26" s="562"/>
    </row>
    <row r="27" spans="1:130" s="170" customFormat="1" hidden="1" outlineLevel="1">
      <c r="A27" s="1599" t="s">
        <v>209</v>
      </c>
      <c r="B27" s="545"/>
      <c r="C27" s="545"/>
      <c r="D27" s="545"/>
      <c r="E27" s="545"/>
      <c r="F27" s="545"/>
      <c r="G27" s="545"/>
      <c r="H27" s="545"/>
      <c r="I27" s="545"/>
      <c r="J27" s="545"/>
      <c r="K27" s="545"/>
      <c r="L27" s="545"/>
      <c r="M27" s="545">
        <f>M16+M25</f>
        <v>56791</v>
      </c>
      <c r="N27" s="545">
        <f>N16+N25</f>
        <v>52485</v>
      </c>
      <c r="O27" s="545">
        <f>O16+O25</f>
        <v>51889</v>
      </c>
      <c r="P27" s="545">
        <f>P16+P25</f>
        <v>51038</v>
      </c>
      <c r="Q27" s="1124">
        <f ca="1">Q16+Q25</f>
        <v>53145.320194972766</v>
      </c>
      <c r="R27" s="545"/>
      <c r="S27" s="545"/>
      <c r="T27" s="1124"/>
      <c r="U27" s="1124"/>
      <c r="V27" s="545"/>
      <c r="W27" s="545"/>
      <c r="X27" s="545"/>
      <c r="Y27" s="545"/>
      <c r="Z27" s="545"/>
      <c r="AA27" s="1124"/>
      <c r="AB27" s="1124"/>
      <c r="AC27" s="1124"/>
      <c r="AD27" s="1124"/>
      <c r="AE27" s="1124"/>
      <c r="AF27" s="1124"/>
      <c r="AG27" s="1124"/>
      <c r="AH27" s="1949"/>
      <c r="AI27" s="546"/>
      <c r="AJ27" s="1949"/>
      <c r="AK27" s="545"/>
      <c r="AL27" s="545"/>
      <c r="AM27" s="545"/>
      <c r="AN27" s="545"/>
      <c r="AO27" s="545"/>
      <c r="AP27" s="545"/>
      <c r="AQ27" s="545"/>
      <c r="AR27" s="545"/>
      <c r="AS27" s="545"/>
      <c r="AT27" s="545"/>
      <c r="AU27" s="545"/>
      <c r="AV27" s="545"/>
      <c r="AW27" s="545"/>
      <c r="AX27" s="545"/>
      <c r="AY27" s="545"/>
      <c r="AZ27" s="545"/>
      <c r="BA27" s="545"/>
      <c r="BB27" s="545"/>
      <c r="BC27" s="545"/>
      <c r="BD27" s="545"/>
      <c r="BE27" s="545"/>
      <c r="BF27" s="545"/>
      <c r="BG27" s="545"/>
      <c r="BH27" s="545"/>
      <c r="BI27" s="545"/>
      <c r="BJ27" s="545"/>
      <c r="BK27" s="545"/>
      <c r="BL27" s="545"/>
      <c r="BM27" s="545"/>
      <c r="BN27" s="545"/>
      <c r="BO27" s="545"/>
      <c r="BP27" s="545"/>
      <c r="BQ27" s="545"/>
      <c r="BR27" s="547">
        <v>14914</v>
      </c>
      <c r="BS27" s="1124">
        <v>14728</v>
      </c>
      <c r="BT27" s="1124">
        <v>14591</v>
      </c>
      <c r="BU27" s="1124">
        <v>14507</v>
      </c>
      <c r="BV27" s="547">
        <f t="shared" ref="BV27:CP27" si="10">BV16+BV25</f>
        <v>14348</v>
      </c>
      <c r="BW27" s="1124">
        <f t="shared" si="10"/>
        <v>14334</v>
      </c>
      <c r="BX27" s="1124">
        <f t="shared" si="10"/>
        <v>14135</v>
      </c>
      <c r="BY27" s="1124">
        <f t="shared" si="10"/>
        <v>13974</v>
      </c>
      <c r="BZ27" s="547">
        <f t="shared" si="10"/>
        <v>13028</v>
      </c>
      <c r="CA27" s="1124">
        <f t="shared" si="10"/>
        <v>13166</v>
      </c>
      <c r="CB27" s="1124">
        <f t="shared" si="10"/>
        <v>13167</v>
      </c>
      <c r="CC27" s="1124">
        <f t="shared" si="10"/>
        <v>13124</v>
      </c>
      <c r="CD27" s="547">
        <f t="shared" si="10"/>
        <v>12885</v>
      </c>
      <c r="CE27" s="1124">
        <f t="shared" si="10"/>
        <v>13023</v>
      </c>
      <c r="CF27" s="1124">
        <f t="shared" si="10"/>
        <v>13054</v>
      </c>
      <c r="CG27" s="548">
        <f t="shared" si="10"/>
        <v>12927</v>
      </c>
      <c r="CH27" s="547">
        <f t="shared" si="10"/>
        <v>12722</v>
      </c>
      <c r="CI27" s="1124">
        <f t="shared" si="10"/>
        <v>12817</v>
      </c>
      <c r="CJ27" s="1124">
        <f t="shared" si="10"/>
        <v>12874</v>
      </c>
      <c r="CK27" s="548">
        <f t="shared" si="10"/>
        <v>12625</v>
      </c>
      <c r="CL27" s="547">
        <f t="shared" si="10"/>
        <v>12625.362849199482</v>
      </c>
      <c r="CM27" s="1124">
        <f t="shared" ca="1" si="10"/>
        <v>13492.67020751284</v>
      </c>
      <c r="CN27" s="1124">
        <f t="shared" si="10"/>
        <v>13606.384815077759</v>
      </c>
      <c r="CO27" s="1124">
        <f t="shared" si="10"/>
        <v>13420.902323182685</v>
      </c>
      <c r="CP27" s="547">
        <f t="shared" si="10"/>
        <v>13054.40300368709</v>
      </c>
      <c r="CQ27" s="1124"/>
      <c r="CR27" s="1124"/>
      <c r="CS27" s="1124"/>
      <c r="CT27" s="547"/>
      <c r="CU27" s="1124"/>
      <c r="CV27" s="1124"/>
      <c r="CW27" s="548"/>
      <c r="CX27" s="547"/>
      <c r="CY27" s="1124"/>
      <c r="CZ27" s="1124"/>
      <c r="DA27" s="1124"/>
      <c r="DB27" s="547"/>
      <c r="DC27" s="1124"/>
      <c r="DD27" s="1124"/>
      <c r="DE27" s="1124"/>
      <c r="DF27" s="547"/>
      <c r="DG27" s="1124"/>
      <c r="DH27" s="1124"/>
      <c r="DI27" s="548"/>
      <c r="DJ27" s="547"/>
      <c r="DK27" s="1124"/>
      <c r="DL27" s="1124"/>
      <c r="DM27" s="1124"/>
      <c r="DN27" s="1124"/>
      <c r="DO27" s="1124"/>
      <c r="DP27" s="548"/>
      <c r="DQ27" s="548"/>
      <c r="DR27" s="1124"/>
      <c r="DS27" s="1124"/>
      <c r="DT27" s="1124"/>
      <c r="DU27" s="548"/>
      <c r="DV27" s="1124"/>
      <c r="DW27" s="548"/>
      <c r="DX27" s="548"/>
      <c r="DY27" s="548"/>
      <c r="DZ27" s="220"/>
    </row>
    <row r="28" spans="1:130" s="120" customFormat="1" hidden="1" outlineLevel="1">
      <c r="A28" s="1599" t="s">
        <v>202</v>
      </c>
      <c r="B28" s="540"/>
      <c r="C28" s="540"/>
      <c r="D28" s="540"/>
      <c r="E28" s="540"/>
      <c r="F28" s="540"/>
      <c r="G28" s="540"/>
      <c r="H28" s="540"/>
      <c r="I28" s="540"/>
      <c r="J28" s="540"/>
      <c r="K28" s="540"/>
      <c r="L28" s="540"/>
      <c r="M28" s="540"/>
      <c r="N28" s="540">
        <f>N27/M27-1</f>
        <v>-7.582187318413125E-2</v>
      </c>
      <c r="O28" s="540">
        <f>O27/N27-1</f>
        <v>-1.1355625416785697E-2</v>
      </c>
      <c r="P28" s="540">
        <f>P27/O27-1</f>
        <v>-1.6400393146909775E-2</v>
      </c>
      <c r="Q28" s="1056">
        <f ca="1">Q27/P27-1</f>
        <v>4.1289239291758317E-2</v>
      </c>
      <c r="R28" s="540"/>
      <c r="S28" s="540"/>
      <c r="T28" s="1056"/>
      <c r="U28" s="1056"/>
      <c r="V28" s="540"/>
      <c r="W28" s="540"/>
      <c r="X28" s="540"/>
      <c r="Y28" s="540"/>
      <c r="Z28" s="540"/>
      <c r="AA28" s="1056"/>
      <c r="AB28" s="1056"/>
      <c r="AC28" s="1056"/>
      <c r="AD28" s="1056"/>
      <c r="AE28" s="1056"/>
      <c r="AF28" s="1056"/>
      <c r="AG28" s="1056"/>
      <c r="AH28" s="1950"/>
      <c r="AI28" s="475"/>
      <c r="AJ28" s="1950"/>
      <c r="AK28" s="540"/>
      <c r="AL28" s="540"/>
      <c r="AM28" s="540"/>
      <c r="AN28" s="540"/>
      <c r="AO28" s="540"/>
      <c r="AP28" s="540"/>
      <c r="AQ28" s="540"/>
      <c r="AR28" s="540"/>
      <c r="AS28" s="540"/>
      <c r="AT28" s="540"/>
      <c r="AU28" s="540"/>
      <c r="AV28" s="540"/>
      <c r="AW28" s="540"/>
      <c r="AX28" s="540"/>
      <c r="AY28" s="540"/>
      <c r="AZ28" s="540"/>
      <c r="BA28" s="540"/>
      <c r="BB28" s="540"/>
      <c r="BC28" s="540"/>
      <c r="BD28" s="540"/>
      <c r="BE28" s="540"/>
      <c r="BF28" s="540"/>
      <c r="BG28" s="540"/>
      <c r="BH28" s="540"/>
      <c r="BI28" s="540"/>
      <c r="BJ28" s="540"/>
      <c r="BK28" s="540"/>
      <c r="BL28" s="540"/>
      <c r="BM28" s="540"/>
      <c r="BN28" s="540"/>
      <c r="BO28" s="540"/>
      <c r="BP28" s="540"/>
      <c r="BQ28" s="540"/>
      <c r="BR28" s="541"/>
      <c r="BS28" s="1056"/>
      <c r="BT28" s="1056"/>
      <c r="BU28" s="1056"/>
      <c r="BV28" s="541"/>
      <c r="BW28" s="1056"/>
      <c r="BX28" s="1056"/>
      <c r="BY28" s="1056"/>
      <c r="BZ28" s="541">
        <f t="shared" ref="BZ28:CP28" si="11">BZ27/BV27-1</f>
        <v>-9.1998884862001695E-2</v>
      </c>
      <c r="CA28" s="1056">
        <f t="shared" si="11"/>
        <v>-8.1484582112459902E-2</v>
      </c>
      <c r="CB28" s="1056">
        <f t="shared" si="11"/>
        <v>-6.848249027237352E-2</v>
      </c>
      <c r="CC28" s="1056">
        <f t="shared" si="11"/>
        <v>-6.0827250608272543E-2</v>
      </c>
      <c r="CD28" s="541">
        <f t="shared" si="11"/>
        <v>-1.0976358612219794E-2</v>
      </c>
      <c r="CE28" s="1056">
        <f t="shared" si="11"/>
        <v>-1.0861309433389033E-2</v>
      </c>
      <c r="CF28" s="1056">
        <f t="shared" si="11"/>
        <v>-8.5820612136401353E-3</v>
      </c>
      <c r="CG28" s="543">
        <f t="shared" si="11"/>
        <v>-1.5010667479427031E-2</v>
      </c>
      <c r="CH28" s="541">
        <f t="shared" si="11"/>
        <v>-1.2650368645712118E-2</v>
      </c>
      <c r="CI28" s="1056">
        <f t="shared" si="11"/>
        <v>-1.5818167856868626E-2</v>
      </c>
      <c r="CJ28" s="1056">
        <f t="shared" si="11"/>
        <v>-1.378887697257547E-2</v>
      </c>
      <c r="CK28" s="543">
        <f t="shared" si="11"/>
        <v>-2.3361955596812867E-2</v>
      </c>
      <c r="CL28" s="541">
        <f t="shared" si="11"/>
        <v>-7.5960659330700508E-3</v>
      </c>
      <c r="CM28" s="1056">
        <f t="shared" ca="1" si="11"/>
        <v>5.2716720567437036E-2</v>
      </c>
      <c r="CN28" s="1056">
        <f t="shared" si="11"/>
        <v>5.6888676019710926E-2</v>
      </c>
      <c r="CO28" s="1056">
        <f t="shared" si="11"/>
        <v>6.304176817288587E-2</v>
      </c>
      <c r="CP28" s="541">
        <f t="shared" si="11"/>
        <v>3.3982401901012427E-2</v>
      </c>
      <c r="CQ28" s="1056"/>
      <c r="CR28" s="1056"/>
      <c r="CS28" s="1056"/>
      <c r="CT28" s="541"/>
      <c r="CU28" s="1056"/>
      <c r="CV28" s="1056"/>
      <c r="CW28" s="543"/>
      <c r="CX28" s="541"/>
      <c r="CY28" s="1056"/>
      <c r="CZ28" s="1056"/>
      <c r="DA28" s="1056"/>
      <c r="DB28" s="541"/>
      <c r="DC28" s="1056"/>
      <c r="DD28" s="1056"/>
      <c r="DE28" s="1056"/>
      <c r="DF28" s="541"/>
      <c r="DG28" s="1056"/>
      <c r="DH28" s="1056"/>
      <c r="DI28" s="543"/>
      <c r="DJ28" s="541"/>
      <c r="DK28" s="1056"/>
      <c r="DL28" s="1056"/>
      <c r="DM28" s="1056"/>
      <c r="DN28" s="1056"/>
      <c r="DO28" s="1056"/>
      <c r="DP28" s="543"/>
      <c r="DQ28" s="543"/>
      <c r="DR28" s="1056"/>
      <c r="DS28" s="1056"/>
      <c r="DT28" s="1056"/>
      <c r="DU28" s="543"/>
      <c r="DV28" s="1056"/>
      <c r="DW28" s="543"/>
      <c r="DX28" s="543"/>
      <c r="DY28" s="543"/>
      <c r="DZ28" s="562"/>
    </row>
    <row r="29" spans="1:130" s="170" customFormat="1" hidden="1" outlineLevel="1">
      <c r="A29" s="1599" t="s">
        <v>210</v>
      </c>
      <c r="B29" s="545"/>
      <c r="C29" s="545"/>
      <c r="D29" s="545"/>
      <c r="E29" s="545"/>
      <c r="F29" s="545"/>
      <c r="G29" s="545"/>
      <c r="H29" s="545"/>
      <c r="I29" s="545"/>
      <c r="J29" s="545"/>
      <c r="K29" s="545"/>
      <c r="L29" s="545"/>
      <c r="M29" s="545">
        <f>SUM(BV29:BY29)</f>
        <v>-2991</v>
      </c>
      <c r="N29" s="545">
        <f>SUM(BZ29:CC29)</f>
        <v>-2981</v>
      </c>
      <c r="O29" s="545">
        <f>SUM(CD29:CG29)</f>
        <v>-2760</v>
      </c>
      <c r="P29" s="545">
        <f>SUM(CH29:CK29)</f>
        <v>-2824</v>
      </c>
      <c r="Q29" s="1124">
        <f>SUM(CL29:CO29)</f>
        <v>-2840</v>
      </c>
      <c r="R29" s="545"/>
      <c r="S29" s="545"/>
      <c r="T29" s="1124"/>
      <c r="U29" s="1124"/>
      <c r="V29" s="545"/>
      <c r="W29" s="545"/>
      <c r="X29" s="545"/>
      <c r="Y29" s="545"/>
      <c r="Z29" s="545"/>
      <c r="AA29" s="1124"/>
      <c r="AB29" s="1124"/>
      <c r="AC29" s="1124"/>
      <c r="AD29" s="1124"/>
      <c r="AE29" s="1124"/>
      <c r="AF29" s="1124"/>
      <c r="AG29" s="1124"/>
      <c r="AH29" s="1949"/>
      <c r="AI29" s="546"/>
      <c r="AJ29" s="1949"/>
      <c r="AK29" s="545"/>
      <c r="AL29" s="545"/>
      <c r="AM29" s="545"/>
      <c r="AN29" s="545"/>
      <c r="AO29" s="545"/>
      <c r="AP29" s="545"/>
      <c r="AQ29" s="545"/>
      <c r="AR29" s="545"/>
      <c r="AS29" s="545"/>
      <c r="AT29" s="545"/>
      <c r="AU29" s="545"/>
      <c r="AV29" s="545"/>
      <c r="AW29" s="545"/>
      <c r="AX29" s="545"/>
      <c r="AY29" s="545"/>
      <c r="AZ29" s="545"/>
      <c r="BA29" s="545"/>
      <c r="BB29" s="545"/>
      <c r="BC29" s="545"/>
      <c r="BD29" s="545"/>
      <c r="BE29" s="545"/>
      <c r="BF29" s="545"/>
      <c r="BG29" s="545"/>
      <c r="BH29" s="545"/>
      <c r="BI29" s="545"/>
      <c r="BJ29" s="545"/>
      <c r="BK29" s="545"/>
      <c r="BL29" s="545"/>
      <c r="BM29" s="545"/>
      <c r="BN29" s="545"/>
      <c r="BO29" s="545"/>
      <c r="BP29" s="545"/>
      <c r="BQ29" s="545"/>
      <c r="BR29" s="547">
        <v>-745</v>
      </c>
      <c r="BS29" s="1124">
        <v>-745</v>
      </c>
      <c r="BT29" s="1124">
        <v>-745</v>
      </c>
      <c r="BU29" s="1124">
        <v>-745</v>
      </c>
      <c r="BV29" s="547">
        <f>NormInputs!BL150</f>
        <v>-733</v>
      </c>
      <c r="BW29" s="1124">
        <f>NormInputs!BM150</f>
        <v>-730</v>
      </c>
      <c r="BX29" s="1124">
        <f>NormInputs!BN150</f>
        <v>-732</v>
      </c>
      <c r="BY29" s="1124">
        <f>NormInputs!BO150</f>
        <v>-796</v>
      </c>
      <c r="BZ29" s="547">
        <f>NormInputs!BP150</f>
        <v>-886</v>
      </c>
      <c r="CA29" s="1124">
        <f>NormInputs!BQ150</f>
        <v>-709</v>
      </c>
      <c r="CB29" s="1124">
        <f>NormInputs!BR150</f>
        <v>-684</v>
      </c>
      <c r="CC29" s="1124">
        <f>NormInputs!BS150</f>
        <v>-702</v>
      </c>
      <c r="CD29" s="547">
        <f>NormInputs!BT150</f>
        <v>-707</v>
      </c>
      <c r="CE29" s="1124">
        <f>NormInputs!BU150</f>
        <v>-693</v>
      </c>
      <c r="CF29" s="1124">
        <f>NormInputs!BV150</f>
        <v>-682</v>
      </c>
      <c r="CG29" s="548">
        <f>NormInputs!BW150</f>
        <v>-678</v>
      </c>
      <c r="CH29" s="547">
        <f>NormInputs!BX150</f>
        <v>-696</v>
      </c>
      <c r="CI29" s="1124">
        <f>NormInputs!BY150</f>
        <v>-704</v>
      </c>
      <c r="CJ29" s="1124">
        <f>NormInputs!BZ150</f>
        <v>-716</v>
      </c>
      <c r="CK29" s="548">
        <f>NormInputs!CA150</f>
        <v>-708</v>
      </c>
      <c r="CL29" s="547">
        <v>-710</v>
      </c>
      <c r="CM29" s="1124">
        <f>+CL29</f>
        <v>-710</v>
      </c>
      <c r="CN29" s="1124">
        <f>+CM29</f>
        <v>-710</v>
      </c>
      <c r="CO29" s="1124">
        <f>+CN29</f>
        <v>-710</v>
      </c>
      <c r="CP29" s="547">
        <f>+CO29</f>
        <v>-710</v>
      </c>
      <c r="CQ29" s="1124"/>
      <c r="CR29" s="1124"/>
      <c r="CS29" s="1124"/>
      <c r="CT29" s="547"/>
      <c r="CU29" s="1124"/>
      <c r="CV29" s="1124"/>
      <c r="CW29" s="548"/>
      <c r="CX29" s="547"/>
      <c r="CY29" s="1124"/>
      <c r="CZ29" s="1124"/>
      <c r="DA29" s="1124"/>
      <c r="DB29" s="547"/>
      <c r="DC29" s="1124"/>
      <c r="DD29" s="1124"/>
      <c r="DE29" s="1124"/>
      <c r="DF29" s="547"/>
      <c r="DG29" s="1124"/>
      <c r="DH29" s="1124"/>
      <c r="DI29" s="548"/>
      <c r="DJ29" s="547"/>
      <c r="DK29" s="1124"/>
      <c r="DL29" s="1124"/>
      <c r="DM29" s="1124"/>
      <c r="DN29" s="1124"/>
      <c r="DO29" s="1124"/>
      <c r="DP29" s="548"/>
      <c r="DQ29" s="548"/>
      <c r="DR29" s="1124"/>
      <c r="DS29" s="1124"/>
      <c r="DT29" s="1124"/>
      <c r="DU29" s="548"/>
      <c r="DV29" s="1124"/>
      <c r="DW29" s="548"/>
      <c r="DX29" s="548"/>
      <c r="DY29" s="548"/>
      <c r="DZ29" s="220"/>
    </row>
    <row r="30" spans="1:130" s="170" customFormat="1" hidden="1" outlineLevel="1">
      <c r="A30" s="1599" t="s">
        <v>211</v>
      </c>
      <c r="B30" s="545"/>
      <c r="C30" s="545"/>
      <c r="D30" s="545"/>
      <c r="E30" s="545"/>
      <c r="F30" s="545"/>
      <c r="G30" s="545"/>
      <c r="H30" s="545"/>
      <c r="I30" s="545"/>
      <c r="J30" s="545"/>
      <c r="K30" s="545"/>
      <c r="L30" s="545"/>
      <c r="M30" s="545"/>
      <c r="N30" s="545"/>
      <c r="O30" s="545">
        <f>O16+O25+O29</f>
        <v>49129</v>
      </c>
      <c r="P30" s="545">
        <f>P16+P25+P29</f>
        <v>48214</v>
      </c>
      <c r="Q30" s="1124">
        <f ca="1">Q16+Q25+Q29</f>
        <v>50305.320194972766</v>
      </c>
      <c r="R30" s="545"/>
      <c r="S30" s="545"/>
      <c r="T30" s="1124"/>
      <c r="U30" s="1124"/>
      <c r="V30" s="545"/>
      <c r="W30" s="545"/>
      <c r="X30" s="545"/>
      <c r="Y30" s="545"/>
      <c r="Z30" s="545"/>
      <c r="AA30" s="1124"/>
      <c r="AB30" s="1124"/>
      <c r="AC30" s="1124"/>
      <c r="AD30" s="1124"/>
      <c r="AE30" s="1124"/>
      <c r="AF30" s="1124"/>
      <c r="AG30" s="1124"/>
      <c r="AH30" s="1949"/>
      <c r="AI30" s="546"/>
      <c r="AJ30" s="1949"/>
      <c r="AK30" s="545"/>
      <c r="AL30" s="545"/>
      <c r="AM30" s="545"/>
      <c r="AN30" s="545"/>
      <c r="AO30" s="545"/>
      <c r="AP30" s="545"/>
      <c r="AQ30" s="545"/>
      <c r="AR30" s="545"/>
      <c r="AS30" s="545"/>
      <c r="AT30" s="545"/>
      <c r="AU30" s="545"/>
      <c r="AV30" s="545"/>
      <c r="AW30" s="545"/>
      <c r="AX30" s="545"/>
      <c r="AY30" s="545"/>
      <c r="AZ30" s="545"/>
      <c r="BA30" s="545"/>
      <c r="BB30" s="545"/>
      <c r="BC30" s="545"/>
      <c r="BD30" s="545"/>
      <c r="BE30" s="545"/>
      <c r="BF30" s="545"/>
      <c r="BG30" s="545"/>
      <c r="BH30" s="545"/>
      <c r="BI30" s="545"/>
      <c r="BJ30" s="545"/>
      <c r="BK30" s="545"/>
      <c r="BL30" s="545"/>
      <c r="BM30" s="545"/>
      <c r="BN30" s="545"/>
      <c r="BO30" s="545"/>
      <c r="BP30" s="545"/>
      <c r="BQ30" s="545"/>
      <c r="BR30" s="547">
        <f>BR27+BR29</f>
        <v>14169</v>
      </c>
      <c r="BS30" s="1124">
        <f>BS27+BS29</f>
        <v>13983</v>
      </c>
      <c r="BT30" s="1124">
        <f>BT27+BT29</f>
        <v>13846</v>
      </c>
      <c r="BU30" s="1124">
        <f>BU27+BU29</f>
        <v>13762</v>
      </c>
      <c r="BV30" s="547">
        <f t="shared" ref="BV30:CP30" si="12">BV16+BV25+BV29</f>
        <v>13615</v>
      </c>
      <c r="BW30" s="1124">
        <f t="shared" si="12"/>
        <v>13604</v>
      </c>
      <c r="BX30" s="1124">
        <f t="shared" si="12"/>
        <v>13403</v>
      </c>
      <c r="BY30" s="1124">
        <f t="shared" si="12"/>
        <v>13178</v>
      </c>
      <c r="BZ30" s="547">
        <f t="shared" si="12"/>
        <v>12142</v>
      </c>
      <c r="CA30" s="1124">
        <f t="shared" si="12"/>
        <v>12457</v>
      </c>
      <c r="CB30" s="1124">
        <f t="shared" si="12"/>
        <v>12483</v>
      </c>
      <c r="CC30" s="1124">
        <f t="shared" si="12"/>
        <v>12422</v>
      </c>
      <c r="CD30" s="547">
        <f t="shared" si="12"/>
        <v>12178</v>
      </c>
      <c r="CE30" s="1124">
        <f t="shared" si="12"/>
        <v>12330</v>
      </c>
      <c r="CF30" s="1124">
        <f t="shared" si="12"/>
        <v>12372</v>
      </c>
      <c r="CG30" s="548">
        <f t="shared" si="12"/>
        <v>12249</v>
      </c>
      <c r="CH30" s="547">
        <f t="shared" si="12"/>
        <v>12026</v>
      </c>
      <c r="CI30" s="1124">
        <f t="shared" si="12"/>
        <v>12113</v>
      </c>
      <c r="CJ30" s="1124">
        <f t="shared" si="12"/>
        <v>12158</v>
      </c>
      <c r="CK30" s="548">
        <f t="shared" si="12"/>
        <v>11917</v>
      </c>
      <c r="CL30" s="547">
        <f t="shared" si="12"/>
        <v>11915.362849199482</v>
      </c>
      <c r="CM30" s="1124">
        <f t="shared" ca="1" si="12"/>
        <v>12782.67020751284</v>
      </c>
      <c r="CN30" s="1124">
        <f t="shared" si="12"/>
        <v>12896.384815077759</v>
      </c>
      <c r="CO30" s="1124">
        <f t="shared" si="12"/>
        <v>12710.902323182685</v>
      </c>
      <c r="CP30" s="547">
        <f t="shared" si="12"/>
        <v>12344.40300368709</v>
      </c>
      <c r="CQ30" s="1124"/>
      <c r="CR30" s="1124"/>
      <c r="CS30" s="1124"/>
      <c r="CT30" s="547"/>
      <c r="CU30" s="1124"/>
      <c r="CV30" s="1124"/>
      <c r="CW30" s="548"/>
      <c r="CX30" s="547"/>
      <c r="CY30" s="1124"/>
      <c r="CZ30" s="1124"/>
      <c r="DA30" s="1124"/>
      <c r="DB30" s="547"/>
      <c r="DC30" s="1124"/>
      <c r="DD30" s="1124"/>
      <c r="DE30" s="1124"/>
      <c r="DF30" s="547"/>
      <c r="DG30" s="1124"/>
      <c r="DH30" s="1124"/>
      <c r="DI30" s="548"/>
      <c r="DJ30" s="547"/>
      <c r="DK30" s="1124"/>
      <c r="DL30" s="1124"/>
      <c r="DM30" s="1124"/>
      <c r="DN30" s="1124"/>
      <c r="DO30" s="1124"/>
      <c r="DP30" s="548"/>
      <c r="DQ30" s="548"/>
      <c r="DR30" s="1124"/>
      <c r="DS30" s="1124"/>
      <c r="DT30" s="1124"/>
      <c r="DU30" s="548"/>
      <c r="DV30" s="1124"/>
      <c r="DW30" s="548"/>
      <c r="DX30" s="548"/>
      <c r="DY30" s="548"/>
      <c r="DZ30" s="220"/>
    </row>
    <row r="31" spans="1:130" s="120" customFormat="1" hidden="1" outlineLevel="1">
      <c r="A31" s="1599" t="s">
        <v>202</v>
      </c>
      <c r="B31" s="540"/>
      <c r="C31" s="540"/>
      <c r="D31" s="540"/>
      <c r="E31" s="540"/>
      <c r="F31" s="540"/>
      <c r="G31" s="540"/>
      <c r="H31" s="540"/>
      <c r="I31" s="540"/>
      <c r="J31" s="540"/>
      <c r="K31" s="540"/>
      <c r="L31" s="540"/>
      <c r="M31" s="540"/>
      <c r="N31" s="540"/>
      <c r="O31" s="540"/>
      <c r="P31" s="540"/>
      <c r="Q31" s="1056">
        <f ca="1">Q30/P30-1</f>
        <v>4.337578701150635E-2</v>
      </c>
      <c r="R31" s="540"/>
      <c r="S31" s="540"/>
      <c r="T31" s="1056"/>
      <c r="U31" s="1056"/>
      <c r="V31" s="540"/>
      <c r="W31" s="540"/>
      <c r="X31" s="540"/>
      <c r="Y31" s="540"/>
      <c r="Z31" s="540"/>
      <c r="AA31" s="1056"/>
      <c r="AB31" s="1056"/>
      <c r="AC31" s="1056"/>
      <c r="AD31" s="1056"/>
      <c r="AE31" s="1056"/>
      <c r="AF31" s="1056"/>
      <c r="AG31" s="1056"/>
      <c r="AH31" s="1950"/>
      <c r="AI31" s="475"/>
      <c r="AJ31" s="1950"/>
      <c r="AK31" s="540"/>
      <c r="AL31" s="540"/>
      <c r="AM31" s="540"/>
      <c r="AN31" s="540"/>
      <c r="AO31" s="540"/>
      <c r="AP31" s="540"/>
      <c r="AQ31" s="540"/>
      <c r="AR31" s="540"/>
      <c r="AS31" s="540"/>
      <c r="AT31" s="540"/>
      <c r="AU31" s="540"/>
      <c r="AV31" s="540"/>
      <c r="AW31" s="540"/>
      <c r="AX31" s="540"/>
      <c r="AY31" s="540"/>
      <c r="AZ31" s="540"/>
      <c r="BA31" s="540"/>
      <c r="BB31" s="540"/>
      <c r="BC31" s="540"/>
      <c r="BD31" s="540"/>
      <c r="BE31" s="540"/>
      <c r="BF31" s="540"/>
      <c r="BG31" s="540"/>
      <c r="BH31" s="540"/>
      <c r="BI31" s="540"/>
      <c r="BJ31" s="540"/>
      <c r="BK31" s="540"/>
      <c r="BL31" s="540"/>
      <c r="BM31" s="540"/>
      <c r="BN31" s="540"/>
      <c r="BO31" s="540"/>
      <c r="BP31" s="540"/>
      <c r="BQ31" s="540"/>
      <c r="BR31" s="541"/>
      <c r="BS31" s="1056"/>
      <c r="BT31" s="1056"/>
      <c r="BU31" s="1056"/>
      <c r="BV31" s="541"/>
      <c r="BW31" s="1056"/>
      <c r="BX31" s="1056"/>
      <c r="BY31" s="1056"/>
      <c r="BZ31" s="541"/>
      <c r="CA31" s="1056"/>
      <c r="CB31" s="1056"/>
      <c r="CC31" s="1056"/>
      <c r="CD31" s="541"/>
      <c r="CE31" s="1056"/>
      <c r="CF31" s="1056"/>
      <c r="CG31" s="543"/>
      <c r="CH31" s="541">
        <f t="shared" ref="CH31:CP31" si="13">CH30/CD30-1</f>
        <v>-1.248152405977998E-2</v>
      </c>
      <c r="CI31" s="1056">
        <f t="shared" si="13"/>
        <v>-1.7599351175993538E-2</v>
      </c>
      <c r="CJ31" s="1056">
        <f t="shared" si="13"/>
        <v>-1.7297122534755904E-2</v>
      </c>
      <c r="CK31" s="543">
        <f t="shared" si="13"/>
        <v>-2.710425340844147E-2</v>
      </c>
      <c r="CL31" s="541">
        <f t="shared" si="13"/>
        <v>-9.1998296025709303E-3</v>
      </c>
      <c r="CM31" s="1056">
        <f t="shared" ca="1" si="13"/>
        <v>5.5285247875244803E-2</v>
      </c>
      <c r="CN31" s="1056">
        <f t="shared" si="13"/>
        <v>6.0732424336055191E-2</v>
      </c>
      <c r="CO31" s="1056">
        <f t="shared" si="13"/>
        <v>6.6619310496155437E-2</v>
      </c>
      <c r="CP31" s="541">
        <f t="shared" si="13"/>
        <v>3.6007309212277239E-2</v>
      </c>
      <c r="CQ31" s="1056"/>
      <c r="CR31" s="1056"/>
      <c r="CS31" s="1056"/>
      <c r="CT31" s="541"/>
      <c r="CU31" s="1056"/>
      <c r="CV31" s="1056"/>
      <c r="CW31" s="543"/>
      <c r="CX31" s="541"/>
      <c r="CY31" s="1056"/>
      <c r="CZ31" s="1056"/>
      <c r="DA31" s="1056"/>
      <c r="DB31" s="541"/>
      <c r="DC31" s="1056"/>
      <c r="DD31" s="1056"/>
      <c r="DE31" s="1056"/>
      <c r="DF31" s="541"/>
      <c r="DG31" s="1056"/>
      <c r="DH31" s="1056"/>
      <c r="DI31" s="543"/>
      <c r="DJ31" s="541"/>
      <c r="DK31" s="1056"/>
      <c r="DL31" s="1056"/>
      <c r="DM31" s="1056"/>
      <c r="DN31" s="1056"/>
      <c r="DO31" s="1056"/>
      <c r="DP31" s="543"/>
      <c r="DQ31" s="543"/>
      <c r="DR31" s="1056"/>
      <c r="DS31" s="1056"/>
      <c r="DT31" s="1056"/>
      <c r="DU31" s="543"/>
      <c r="DV31" s="1056"/>
      <c r="DW31" s="543"/>
      <c r="DX31" s="543"/>
      <c r="DY31" s="543"/>
      <c r="DZ31" s="562"/>
    </row>
    <row r="32" spans="1:130" hidden="1" outlineLevel="1">
      <c r="A32" s="1603"/>
      <c r="B32" s="86"/>
      <c r="C32" s="86"/>
      <c r="D32" s="86"/>
      <c r="E32" s="86"/>
      <c r="F32" s="86"/>
      <c r="G32" s="86"/>
      <c r="H32" s="86"/>
      <c r="I32" s="86"/>
      <c r="J32" s="86"/>
      <c r="K32" s="86"/>
      <c r="L32" s="544"/>
      <c r="M32" s="86"/>
      <c r="N32" s="86"/>
      <c r="O32" s="86"/>
      <c r="P32" s="86"/>
      <c r="Q32" s="1064"/>
      <c r="R32" s="86"/>
      <c r="S32" s="86"/>
      <c r="T32" s="1064"/>
      <c r="U32" s="1064"/>
      <c r="V32" s="86"/>
      <c r="W32" s="86"/>
      <c r="X32" s="86"/>
      <c r="Y32" s="86"/>
      <c r="Z32" s="86"/>
      <c r="AA32" s="1064"/>
      <c r="AB32" s="1064"/>
      <c r="AC32" s="1064"/>
      <c r="AD32" s="1064"/>
      <c r="AE32" s="1064"/>
      <c r="AF32" s="1064"/>
      <c r="AG32" s="1064"/>
      <c r="AH32" s="1947"/>
      <c r="AI32" s="606"/>
      <c r="AJ32" s="1947"/>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586"/>
      <c r="BO32" s="86"/>
      <c r="BP32" s="586"/>
      <c r="BQ32" s="586"/>
      <c r="BR32" s="587"/>
      <c r="BS32" s="1314"/>
      <c r="BT32" s="1314"/>
      <c r="BU32" s="1314"/>
      <c r="BV32" s="569"/>
      <c r="BW32" s="1064"/>
      <c r="BX32" s="1064"/>
      <c r="BY32" s="1064"/>
      <c r="BZ32" s="569"/>
      <c r="CA32" s="1064"/>
      <c r="CB32" s="1064"/>
      <c r="CC32" s="1064"/>
      <c r="CD32" s="569"/>
      <c r="CE32" s="1064"/>
      <c r="CF32" s="1064"/>
      <c r="CG32" s="568"/>
      <c r="CH32" s="569"/>
      <c r="CI32" s="1064"/>
      <c r="CJ32" s="1064"/>
      <c r="CK32" s="568"/>
      <c r="CL32" s="569"/>
      <c r="CM32" s="1064"/>
      <c r="CN32" s="1064"/>
      <c r="CO32" s="1064"/>
      <c r="CP32" s="569"/>
      <c r="CQ32" s="1064"/>
      <c r="CR32" s="1064"/>
      <c r="CS32" s="1064"/>
      <c r="CT32" s="569"/>
      <c r="CU32" s="1064"/>
      <c r="CV32" s="1064"/>
      <c r="CW32" s="568"/>
      <c r="CX32" s="569"/>
      <c r="CY32" s="1064"/>
      <c r="CZ32" s="1064"/>
      <c r="DA32" s="1064"/>
      <c r="DB32" s="569"/>
      <c r="DC32" s="1064"/>
      <c r="DD32" s="1064"/>
      <c r="DE32" s="1064"/>
      <c r="DF32" s="569"/>
      <c r="DG32" s="1064"/>
      <c r="DH32" s="1064"/>
      <c r="DI32" s="568"/>
      <c r="DJ32" s="569"/>
      <c r="DK32" s="1064"/>
      <c r="DL32" s="1064"/>
      <c r="DM32" s="1064"/>
      <c r="DN32" s="1064"/>
      <c r="DO32" s="1064"/>
      <c r="DP32" s="568"/>
      <c r="DQ32" s="568"/>
      <c r="DR32" s="1064"/>
      <c r="DS32" s="1064"/>
      <c r="DT32" s="1064"/>
      <c r="DU32" s="568"/>
      <c r="DV32" s="1064"/>
      <c r="DW32" s="568"/>
      <c r="DX32" s="568"/>
      <c r="DY32" s="568"/>
    </row>
    <row r="33" spans="1:130" collapsed="1">
      <c r="A33" s="2452" t="s">
        <v>230</v>
      </c>
      <c r="B33" s="796"/>
      <c r="C33" s="796"/>
      <c r="D33" s="796"/>
      <c r="E33" s="796"/>
      <c r="F33" s="796"/>
      <c r="G33" s="796"/>
      <c r="H33" s="796"/>
      <c r="I33" s="796"/>
      <c r="J33" s="796"/>
      <c r="K33" s="796"/>
      <c r="L33" s="796"/>
      <c r="M33" s="796"/>
      <c r="N33" s="796"/>
      <c r="O33" s="2453"/>
      <c r="P33" s="2453"/>
      <c r="Q33" s="1292" t="s">
        <v>197</v>
      </c>
      <c r="R33" s="589"/>
      <c r="S33" s="796"/>
      <c r="T33" s="1476"/>
      <c r="U33" s="1476"/>
      <c r="V33" s="796"/>
      <c r="W33" s="796"/>
      <c r="X33" s="796"/>
      <c r="Y33" s="796"/>
      <c r="Z33" s="796"/>
      <c r="AA33" s="1476"/>
      <c r="AB33" s="1476"/>
      <c r="AC33" s="1476"/>
      <c r="AD33" s="1476"/>
      <c r="AE33" s="1476"/>
      <c r="AF33" s="1476"/>
      <c r="AG33" s="1476"/>
      <c r="AH33" s="1947"/>
      <c r="AI33" s="1534"/>
      <c r="AJ33" s="1947"/>
      <c r="AK33" s="796"/>
      <c r="AL33" s="796"/>
      <c r="AM33" s="796"/>
      <c r="AN33" s="796"/>
      <c r="AO33" s="796"/>
      <c r="AP33" s="796"/>
      <c r="AQ33" s="796"/>
      <c r="AR33" s="796"/>
      <c r="AS33" s="796"/>
      <c r="AT33" s="796"/>
      <c r="AU33" s="796"/>
      <c r="AV33" s="796"/>
      <c r="AW33" s="796"/>
      <c r="AX33" s="796"/>
      <c r="AY33" s="796"/>
      <c r="AZ33" s="796"/>
      <c r="BA33" s="796"/>
      <c r="BB33" s="796"/>
      <c r="BC33" s="796"/>
      <c r="BD33" s="796"/>
      <c r="BE33" s="796"/>
      <c r="BF33" s="796"/>
      <c r="BG33" s="796"/>
      <c r="BH33" s="796"/>
      <c r="BI33" s="796"/>
      <c r="BJ33" s="796"/>
      <c r="BK33" s="796"/>
      <c r="BL33" s="796"/>
      <c r="BM33" s="796"/>
      <c r="BN33" s="796"/>
      <c r="BO33" s="796"/>
      <c r="BP33" s="796"/>
      <c r="BQ33" s="796"/>
      <c r="BR33" s="2454"/>
      <c r="BS33" s="1476"/>
      <c r="BT33" s="1476"/>
      <c r="BU33" s="1476"/>
      <c r="BV33" s="798"/>
      <c r="BW33" s="1476"/>
      <c r="BX33" s="1476"/>
      <c r="BY33" s="1476"/>
      <c r="BZ33" s="798"/>
      <c r="CA33" s="1476"/>
      <c r="CB33" s="1476"/>
      <c r="CC33" s="1476"/>
      <c r="CD33" s="798"/>
      <c r="CE33" s="1476"/>
      <c r="CF33" s="1476"/>
      <c r="CG33" s="1477"/>
      <c r="CH33" s="798"/>
      <c r="CI33" s="1476"/>
      <c r="CJ33" s="1476"/>
      <c r="CK33" s="1477"/>
      <c r="CL33" s="590"/>
      <c r="CM33" s="1476"/>
      <c r="CN33" s="1476"/>
      <c r="CO33" s="1277" t="s">
        <v>231</v>
      </c>
      <c r="CP33" s="798"/>
      <c r="CQ33" s="1277" t="s">
        <v>231</v>
      </c>
      <c r="CR33" s="1476"/>
      <c r="CS33" s="1476"/>
      <c r="CT33" s="798"/>
      <c r="CU33" s="1476"/>
      <c r="CV33" s="1476"/>
      <c r="CW33" s="1477"/>
      <c r="CX33" s="798"/>
      <c r="CY33" s="1476"/>
      <c r="CZ33" s="1476"/>
      <c r="DA33" s="1476"/>
      <c r="DB33" s="798"/>
      <c r="DC33" s="1476"/>
      <c r="DD33" s="1476"/>
      <c r="DE33" s="1476"/>
      <c r="DF33" s="798"/>
      <c r="DG33" s="1476"/>
      <c r="DH33" s="1476"/>
      <c r="DI33" s="1477"/>
      <c r="DJ33" s="798"/>
      <c r="DK33" s="1476"/>
      <c r="DL33" s="1476"/>
      <c r="DM33" s="1476"/>
      <c r="DN33" s="1476"/>
      <c r="DO33" s="1476"/>
      <c r="DP33" s="1476"/>
      <c r="DQ33" s="1476"/>
      <c r="DR33" s="1476"/>
      <c r="DS33" s="1476"/>
      <c r="DT33" s="1476"/>
      <c r="DU33" s="1477"/>
      <c r="DV33" s="1476"/>
      <c r="DW33" s="1476"/>
      <c r="DX33" s="1476"/>
      <c r="DY33" s="1477"/>
    </row>
    <row r="34" spans="1:130" ht="15" hidden="1" customHeight="1" outlineLevel="1">
      <c r="A34" s="1603" t="s">
        <v>1565</v>
      </c>
      <c r="B34" s="220"/>
      <c r="C34" s="220"/>
      <c r="D34" s="220"/>
      <c r="E34" s="220"/>
      <c r="F34" s="220"/>
      <c r="G34" s="220"/>
      <c r="H34" s="220"/>
      <c r="I34" s="220"/>
      <c r="J34" s="220"/>
      <c r="K34" s="220"/>
      <c r="L34" s="220"/>
      <c r="M34" s="220"/>
      <c r="N34" s="220"/>
      <c r="O34" s="220"/>
      <c r="P34" s="220"/>
      <c r="Q34" s="1302">
        <f>+CO34</f>
        <v>13662</v>
      </c>
      <c r="R34" s="220">
        <f>+CS34</f>
        <v>12574</v>
      </c>
      <c r="S34" s="220">
        <f>+CW34</f>
        <v>11790</v>
      </c>
      <c r="T34" s="1302">
        <f>+DA34</f>
        <v>11209</v>
      </c>
      <c r="U34" s="1302">
        <f>+DE34</f>
        <v>10729</v>
      </c>
      <c r="V34" s="220">
        <f>+DI34</f>
        <v>10198</v>
      </c>
      <c r="W34" s="220">
        <f>+DM34</f>
        <v>9538</v>
      </c>
      <c r="X34" s="220">
        <f>+DQ34</f>
        <v>7125</v>
      </c>
      <c r="Y34" s="220">
        <f>+DU34</f>
        <v>6613</v>
      </c>
      <c r="Z34" s="220">
        <f>+DY34</f>
        <v>0</v>
      </c>
      <c r="AA34" s="2550">
        <f>+Lines!AA11</f>
        <v>0</v>
      </c>
      <c r="AB34" s="2550">
        <f>+Lines!AB11</f>
        <v>0</v>
      </c>
      <c r="AC34" s="2550">
        <f>+Lines!AC11</f>
        <v>0</v>
      </c>
      <c r="AD34" s="2550">
        <f>+Lines!AD11</f>
        <v>0</v>
      </c>
      <c r="AE34" s="2550">
        <f>+Lines!AE11</f>
        <v>0</v>
      </c>
      <c r="AF34" s="2550">
        <f>+Lines!AF11</f>
        <v>0</v>
      </c>
      <c r="AG34" s="2550">
        <f>+Lines!AG11</f>
        <v>0</v>
      </c>
      <c r="AH34" s="1952"/>
      <c r="AI34" s="606"/>
      <c r="AJ34" s="1952"/>
      <c r="AK34" s="220"/>
      <c r="AL34" s="220"/>
      <c r="AM34" s="220"/>
      <c r="AN34" s="220"/>
      <c r="AO34" s="220"/>
      <c r="AP34" s="220"/>
      <c r="AQ34" s="220"/>
      <c r="AR34" s="220"/>
      <c r="AS34" s="220"/>
      <c r="AT34" s="220"/>
      <c r="AU34" s="220"/>
      <c r="AV34" s="220"/>
      <c r="AW34" s="220"/>
      <c r="AX34" s="220"/>
      <c r="AY34" s="220"/>
      <c r="AZ34" s="220"/>
      <c r="BA34" s="220"/>
      <c r="BB34" s="220"/>
      <c r="BC34" s="220"/>
      <c r="BD34" s="220"/>
      <c r="BE34" s="220"/>
      <c r="BF34" s="220"/>
      <c r="BG34" s="220"/>
      <c r="BH34" s="220"/>
      <c r="BI34" s="220"/>
      <c r="BJ34" s="220"/>
      <c r="BK34" s="220"/>
      <c r="BL34" s="220"/>
      <c r="BM34" s="220"/>
      <c r="BN34" s="220"/>
      <c r="BO34" s="220"/>
      <c r="BP34" s="220"/>
      <c r="BQ34" s="220"/>
      <c r="BR34" s="1452"/>
      <c r="BS34" s="1302"/>
      <c r="BT34" s="1302"/>
      <c r="BU34" s="1302"/>
      <c r="BV34" s="1452"/>
      <c r="BW34" s="1302"/>
      <c r="BX34" s="1302"/>
      <c r="BY34" s="1302"/>
      <c r="BZ34" s="1452"/>
      <c r="CA34" s="1302"/>
      <c r="CB34" s="1302"/>
      <c r="CC34" s="1302"/>
      <c r="CD34" s="1452"/>
      <c r="CE34" s="1302"/>
      <c r="CF34" s="1302"/>
      <c r="CG34" s="1482"/>
      <c r="CH34" s="1452"/>
      <c r="CI34" s="1302"/>
      <c r="CJ34" s="1302"/>
      <c r="CK34" s="1482">
        <f>+(CL35*2)-CL34</f>
        <v>15111.429858429859</v>
      </c>
      <c r="CL34" s="1452">
        <f>+Lines!CL11</f>
        <v>14747</v>
      </c>
      <c r="CM34" s="1302">
        <f>+Lines!CM11</f>
        <v>14391</v>
      </c>
      <c r="CN34" s="1302">
        <f>+Lines!CN11</f>
        <v>14030</v>
      </c>
      <c r="CO34" s="1302">
        <f>+Lines!CO11</f>
        <v>13662</v>
      </c>
      <c r="CP34" s="1452">
        <f>+Lines!CP11</f>
        <v>13351</v>
      </c>
      <c r="CQ34" s="1302">
        <f>+Lines!CQ11</f>
        <v>13085</v>
      </c>
      <c r="CR34" s="1302">
        <f>+Lines!CR11</f>
        <v>12825</v>
      </c>
      <c r="CS34" s="1302">
        <f>+Lines!CS11</f>
        <v>12574</v>
      </c>
      <c r="CT34" s="1452">
        <f>+Lines!CT11</f>
        <v>12336</v>
      </c>
      <c r="CU34" s="1302">
        <f>+Lines!CU11</f>
        <v>12141</v>
      </c>
      <c r="CV34" s="1302">
        <f>+Lines!CV11</f>
        <v>11916</v>
      </c>
      <c r="CW34" s="1482">
        <f>+Lines!CW11</f>
        <v>11790</v>
      </c>
      <c r="CX34" s="1452">
        <f>+Lines!CX11</f>
        <v>11642</v>
      </c>
      <c r="CY34" s="1302">
        <f>+Lines!CY11</f>
        <v>11491</v>
      </c>
      <c r="CZ34" s="1302">
        <f>+Lines!CZ11</f>
        <v>11322</v>
      </c>
      <c r="DA34" s="1302">
        <f>+Lines!DA11</f>
        <v>11209</v>
      </c>
      <c r="DB34" s="1452">
        <f>+Lines!DB11</f>
        <v>11124</v>
      </c>
      <c r="DC34" s="1302">
        <f>+Lines!DC11</f>
        <v>11017</v>
      </c>
      <c r="DD34" s="1302">
        <f>+Lines!DD11</f>
        <v>10890</v>
      </c>
      <c r="DE34" s="1302">
        <f>+Lines!DE11</f>
        <v>10729</v>
      </c>
      <c r="DF34" s="1452">
        <f>+Lines!DF11</f>
        <v>10574</v>
      </c>
      <c r="DG34" s="1302">
        <f>+Lines!DG11</f>
        <v>10447</v>
      </c>
      <c r="DH34" s="1302">
        <f>+Lines!DH11</f>
        <v>10308</v>
      </c>
      <c r="DI34" s="1482">
        <f>+Lines!DI11</f>
        <v>10198</v>
      </c>
      <c r="DJ34" s="2972">
        <f>+Lines!DJ11</f>
        <v>10058</v>
      </c>
      <c r="DK34" s="2550">
        <f>+Lines!DK11</f>
        <v>9855</v>
      </c>
      <c r="DL34" s="2550">
        <f>+Lines!DL11</f>
        <v>9685</v>
      </c>
      <c r="DM34" s="2550">
        <f>+Lines!DM11</f>
        <v>9538</v>
      </c>
      <c r="DN34" s="2972">
        <f>+Lines!DN11</f>
        <v>9373</v>
      </c>
      <c r="DO34" s="2550">
        <f>+Lines!DO11</f>
        <v>7380</v>
      </c>
      <c r="DP34" s="2550">
        <f>+Lines!DP11</f>
        <v>7241</v>
      </c>
      <c r="DQ34" s="2551">
        <f>+Lines!DQ11</f>
        <v>7125</v>
      </c>
      <c r="DR34" s="2550">
        <f>+Lines!DR11</f>
        <v>6982</v>
      </c>
      <c r="DS34" s="2550">
        <f>+Lines!DS11</f>
        <v>6871</v>
      </c>
      <c r="DT34" s="2550">
        <f>+Lines!DT11</f>
        <v>6750</v>
      </c>
      <c r="DU34" s="2551">
        <f>+Lines!DU11</f>
        <v>6613</v>
      </c>
      <c r="DV34" s="2550">
        <f>+Lines!DV11</f>
        <v>0</v>
      </c>
      <c r="DW34" s="2550">
        <f>+Lines!DW11</f>
        <v>0</v>
      </c>
      <c r="DX34" s="2550">
        <f>+Lines!DX11</f>
        <v>0</v>
      </c>
      <c r="DY34" s="2551">
        <f>+Lines!DY11</f>
        <v>0</v>
      </c>
    </row>
    <row r="35" spans="1:130" s="1543" customFormat="1" ht="15" hidden="1" customHeight="1" outlineLevel="1">
      <c r="A35" s="1612" t="s">
        <v>1561</v>
      </c>
      <c r="B35" s="220"/>
      <c r="C35" s="220"/>
      <c r="D35" s="220"/>
      <c r="E35" s="220"/>
      <c r="F35" s="220"/>
      <c r="G35" s="220"/>
      <c r="H35" s="220"/>
      <c r="I35" s="220"/>
      <c r="J35" s="220"/>
      <c r="K35" s="220"/>
      <c r="L35" s="220"/>
      <c r="M35" s="220"/>
      <c r="N35" s="220"/>
      <c r="O35" s="220"/>
      <c r="P35" s="220"/>
      <c r="Q35" s="1302"/>
      <c r="R35" s="220">
        <f t="shared" ref="R35:AA35" si="14">+AVERAGE(Q34:R34)</f>
        <v>13118</v>
      </c>
      <c r="S35" s="220">
        <f t="shared" si="14"/>
        <v>12182</v>
      </c>
      <c r="T35" s="1302">
        <f t="shared" si="14"/>
        <v>11499.5</v>
      </c>
      <c r="U35" s="1302">
        <f t="shared" si="14"/>
        <v>10969</v>
      </c>
      <c r="V35" s="220">
        <f t="shared" si="14"/>
        <v>10463.5</v>
      </c>
      <c r="W35" s="220">
        <f>+AVERAGE(V34:W34)</f>
        <v>9868</v>
      </c>
      <c r="X35" s="220">
        <f>+AVERAGE(W34:X34)</f>
        <v>8331.5</v>
      </c>
      <c r="Y35" s="220">
        <f>+AVERAGE(X34:Y34)</f>
        <v>6869</v>
      </c>
      <c r="Z35" s="220">
        <f>+AVERAGE(Y34:Z34)</f>
        <v>3306.5</v>
      </c>
      <c r="AA35" s="1302">
        <f t="shared" si="14"/>
        <v>0</v>
      </c>
      <c r="AB35" s="1302">
        <f t="shared" ref="AB35" si="15">+AVERAGE(AA34:AB34)</f>
        <v>0</v>
      </c>
      <c r="AC35" s="1302">
        <f t="shared" ref="AC35" si="16">+AVERAGE(AB34:AC34)</f>
        <v>0</v>
      </c>
      <c r="AD35" s="1302">
        <f t="shared" ref="AD35" si="17">+AVERAGE(AC34:AD34)</f>
        <v>0</v>
      </c>
      <c r="AE35" s="1302">
        <f t="shared" ref="AE35" si="18">+AVERAGE(AD34:AE34)</f>
        <v>0</v>
      </c>
      <c r="AF35" s="1302">
        <f t="shared" ref="AF35" si="19">+AVERAGE(AE34:AF34)</f>
        <v>0</v>
      </c>
      <c r="AG35" s="1302">
        <f t="shared" ref="AG35" si="20">+AVERAGE(AF34:AG34)</f>
        <v>0</v>
      </c>
      <c r="AH35" s="1952"/>
      <c r="AI35" s="606"/>
      <c r="AJ35" s="1952"/>
      <c r="AK35" s="220"/>
      <c r="AL35" s="220"/>
      <c r="AM35" s="220"/>
      <c r="AN35" s="220"/>
      <c r="AO35" s="220"/>
      <c r="AP35" s="220"/>
      <c r="AQ35" s="220"/>
      <c r="AR35" s="220"/>
      <c r="AS35" s="220"/>
      <c r="AT35" s="220"/>
      <c r="AU35" s="220"/>
      <c r="AV35" s="220"/>
      <c r="AW35" s="220"/>
      <c r="AX35" s="220"/>
      <c r="AY35" s="220"/>
      <c r="AZ35" s="220"/>
      <c r="BA35" s="220"/>
      <c r="BB35" s="220"/>
      <c r="BC35" s="220"/>
      <c r="BD35" s="220"/>
      <c r="BE35" s="220"/>
      <c r="BF35" s="220"/>
      <c r="BG35" s="220"/>
      <c r="BH35" s="220"/>
      <c r="BI35" s="220"/>
      <c r="BJ35" s="220"/>
      <c r="BK35" s="220"/>
      <c r="BL35" s="220"/>
      <c r="BM35" s="220"/>
      <c r="BN35" s="220"/>
      <c r="BO35" s="220"/>
      <c r="BP35" s="220"/>
      <c r="BQ35" s="220"/>
      <c r="BR35" s="1452"/>
      <c r="BS35" s="1302"/>
      <c r="BT35" s="1302"/>
      <c r="BU35" s="1302"/>
      <c r="BV35" s="1452"/>
      <c r="BW35" s="1302"/>
      <c r="BX35" s="1302"/>
      <c r="BY35" s="1302"/>
      <c r="BZ35" s="1452"/>
      <c r="CA35" s="1302"/>
      <c r="CB35" s="1302"/>
      <c r="CC35" s="1302"/>
      <c r="CD35" s="1452"/>
      <c r="CE35" s="1302"/>
      <c r="CF35" s="1302"/>
      <c r="CG35" s="1482"/>
      <c r="CH35" s="1452"/>
      <c r="CI35" s="1302"/>
      <c r="CJ35" s="1302"/>
      <c r="CK35" s="1482"/>
      <c r="CL35" s="1452">
        <f>+CL53/CL49/3*1000</f>
        <v>14929.21492921493</v>
      </c>
      <c r="CM35" s="1302">
        <f t="shared" ref="CM35:DM35" si="21">+AVERAGE(CL34:CM34)</f>
        <v>14569</v>
      </c>
      <c r="CN35" s="1302">
        <f t="shared" si="21"/>
        <v>14210.5</v>
      </c>
      <c r="CO35" s="1302">
        <f t="shared" si="21"/>
        <v>13846</v>
      </c>
      <c r="CP35" s="1452">
        <f t="shared" si="21"/>
        <v>13506.5</v>
      </c>
      <c r="CQ35" s="1302">
        <f t="shared" si="21"/>
        <v>13218</v>
      </c>
      <c r="CR35" s="1302">
        <f t="shared" si="21"/>
        <v>12955</v>
      </c>
      <c r="CS35" s="1302">
        <f t="shared" si="21"/>
        <v>12699.5</v>
      </c>
      <c r="CT35" s="1452">
        <f t="shared" si="21"/>
        <v>12455</v>
      </c>
      <c r="CU35" s="1302">
        <f t="shared" si="21"/>
        <v>12238.5</v>
      </c>
      <c r="CV35" s="1302">
        <f t="shared" si="21"/>
        <v>12028.5</v>
      </c>
      <c r="CW35" s="1482">
        <f t="shared" si="21"/>
        <v>11853</v>
      </c>
      <c r="CX35" s="1452">
        <f t="shared" si="21"/>
        <v>11716</v>
      </c>
      <c r="CY35" s="1302">
        <f t="shared" si="21"/>
        <v>11566.5</v>
      </c>
      <c r="CZ35" s="1302">
        <f t="shared" si="21"/>
        <v>11406.5</v>
      </c>
      <c r="DA35" s="1302">
        <f t="shared" si="21"/>
        <v>11265.5</v>
      </c>
      <c r="DB35" s="1452">
        <f t="shared" si="21"/>
        <v>11166.5</v>
      </c>
      <c r="DC35" s="1302">
        <f t="shared" si="21"/>
        <v>11070.5</v>
      </c>
      <c r="DD35" s="1302">
        <f t="shared" si="21"/>
        <v>10953.5</v>
      </c>
      <c r="DE35" s="1302">
        <f t="shared" si="21"/>
        <v>10809.5</v>
      </c>
      <c r="DF35" s="1452">
        <f t="shared" si="21"/>
        <v>10651.5</v>
      </c>
      <c r="DG35" s="1302">
        <f t="shared" si="21"/>
        <v>10510.5</v>
      </c>
      <c r="DH35" s="1302">
        <f t="shared" si="21"/>
        <v>10377.5</v>
      </c>
      <c r="DI35" s="1482">
        <f t="shared" si="21"/>
        <v>10253</v>
      </c>
      <c r="DJ35" s="1452">
        <f t="shared" si="21"/>
        <v>10128</v>
      </c>
      <c r="DK35" s="1302">
        <f t="shared" si="21"/>
        <v>9956.5</v>
      </c>
      <c r="DL35" s="1302">
        <f t="shared" si="21"/>
        <v>9770</v>
      </c>
      <c r="DM35" s="1302">
        <f t="shared" si="21"/>
        <v>9611.5</v>
      </c>
      <c r="DN35" s="1452">
        <f>+AVERAGE(DM34:DN34)</f>
        <v>9455.5</v>
      </c>
      <c r="DO35" s="2988">
        <f>+DO34</f>
        <v>7380</v>
      </c>
      <c r="DP35" s="1302">
        <f>+AVERAGE(DO34:DP34)</f>
        <v>7310.5</v>
      </c>
      <c r="DQ35" s="1482">
        <f>+AVERAGE(DP34:DQ34)</f>
        <v>7183</v>
      </c>
      <c r="DR35" s="1302">
        <f t="shared" ref="DR35:DV35" si="22">+AVERAGE(DQ34:DR34)</f>
        <v>7053.5</v>
      </c>
      <c r="DS35" s="1302">
        <f t="shared" si="22"/>
        <v>6926.5</v>
      </c>
      <c r="DT35" s="1302">
        <f t="shared" si="22"/>
        <v>6810.5</v>
      </c>
      <c r="DU35" s="1482">
        <f t="shared" si="22"/>
        <v>6681.5</v>
      </c>
      <c r="DV35" s="1302">
        <f t="shared" si="22"/>
        <v>3306.5</v>
      </c>
      <c r="DW35" s="1302">
        <f t="shared" ref="DW35" si="23">+AVERAGE(DV34:DW34)</f>
        <v>0</v>
      </c>
      <c r="DX35" s="1302">
        <f t="shared" ref="DX35" si="24">+AVERAGE(DW34:DX34)</f>
        <v>0</v>
      </c>
      <c r="DY35" s="1482">
        <f t="shared" ref="DY35" si="25">+AVERAGE(DX34:DY34)</f>
        <v>0</v>
      </c>
      <c r="DZ35" s="86"/>
    </row>
    <row r="36" spans="1:130" ht="15" hidden="1" customHeight="1" outlineLevel="1">
      <c r="A36" s="1603" t="s">
        <v>1566</v>
      </c>
      <c r="B36" s="220"/>
      <c r="C36" s="220"/>
      <c r="D36" s="220"/>
      <c r="E36" s="220"/>
      <c r="F36" s="220"/>
      <c r="G36" s="220"/>
      <c r="H36" s="220"/>
      <c r="I36" s="220"/>
      <c r="J36" s="220"/>
      <c r="K36" s="220"/>
      <c r="L36" s="220"/>
      <c r="M36" s="220"/>
      <c r="N36" s="220"/>
      <c r="O36" s="220">
        <f>+CG36</f>
        <v>18573</v>
      </c>
      <c r="P36" s="220">
        <f>+CK36</f>
        <v>16189.531999999999</v>
      </c>
      <c r="Q36" s="1302">
        <f>+CO36</f>
        <v>14965</v>
      </c>
      <c r="R36" s="220">
        <f>+CS36</f>
        <v>13616</v>
      </c>
      <c r="S36" s="220">
        <f>+CW36</f>
        <v>12626</v>
      </c>
      <c r="T36" s="1302">
        <f>+DA36</f>
        <v>11849</v>
      </c>
      <c r="U36" s="1302">
        <f>+DE36</f>
        <v>11229</v>
      </c>
      <c r="V36" s="220">
        <f>+DI36</f>
        <v>10615</v>
      </c>
      <c r="W36" s="220">
        <f>+DM36</f>
        <v>9885</v>
      </c>
      <c r="X36" s="220">
        <f>+DQ36</f>
        <v>7355</v>
      </c>
      <c r="Y36" s="220">
        <f>+DU36</f>
        <v>6804</v>
      </c>
      <c r="Z36" s="220">
        <f>+DY36</f>
        <v>0</v>
      </c>
      <c r="AA36" s="1302">
        <f>+Lines!AA21</f>
        <v>0</v>
      </c>
      <c r="AB36" s="1302">
        <f>+Lines!AB21</f>
        <v>0</v>
      </c>
      <c r="AC36" s="1302">
        <f>+Lines!AC21</f>
        <v>0</v>
      </c>
      <c r="AD36" s="1302">
        <f>+Lines!AD21</f>
        <v>0</v>
      </c>
      <c r="AE36" s="1302">
        <f>+Lines!AE21</f>
        <v>0</v>
      </c>
      <c r="AF36" s="1302">
        <f>+Lines!AF21</f>
        <v>0</v>
      </c>
      <c r="AG36" s="1302">
        <f>+Lines!AG21</f>
        <v>0</v>
      </c>
      <c r="AH36" s="1952"/>
      <c r="AI36" s="606"/>
      <c r="AJ36" s="1952"/>
      <c r="AK36" s="220"/>
      <c r="AL36" s="220"/>
      <c r="AM36" s="220"/>
      <c r="AN36" s="220"/>
      <c r="AO36" s="220"/>
      <c r="AP36" s="220"/>
      <c r="AQ36" s="220"/>
      <c r="AR36" s="220"/>
      <c r="AS36" s="220"/>
      <c r="AT36" s="220"/>
      <c r="AU36" s="220"/>
      <c r="AV36" s="220"/>
      <c r="AW36" s="220"/>
      <c r="AX36" s="220"/>
      <c r="AY36" s="220"/>
      <c r="AZ36" s="220"/>
      <c r="BA36" s="220"/>
      <c r="BB36" s="220"/>
      <c r="BC36" s="220"/>
      <c r="BD36" s="220"/>
      <c r="BE36" s="220"/>
      <c r="BF36" s="220"/>
      <c r="BG36" s="220"/>
      <c r="BH36" s="220"/>
      <c r="BI36" s="220"/>
      <c r="BJ36" s="220"/>
      <c r="BK36" s="220"/>
      <c r="BL36" s="220"/>
      <c r="BM36" s="220"/>
      <c r="BN36" s="220"/>
      <c r="BO36" s="220"/>
      <c r="BP36" s="220"/>
      <c r="BQ36" s="220"/>
      <c r="BR36" s="1452"/>
      <c r="BS36" s="1302"/>
      <c r="BT36" s="1302"/>
      <c r="BU36" s="1302"/>
      <c r="BV36" s="1452"/>
      <c r="BW36" s="1302"/>
      <c r="BX36" s="1302"/>
      <c r="BY36" s="1302"/>
      <c r="BZ36" s="1452"/>
      <c r="CA36" s="1302"/>
      <c r="CB36" s="1302"/>
      <c r="CC36" s="1302"/>
      <c r="CD36" s="1452">
        <f>+Lines!CD21</f>
        <v>26018</v>
      </c>
      <c r="CE36" s="1302">
        <f>+Lines!CE21</f>
        <v>25316</v>
      </c>
      <c r="CF36" s="1302">
        <f>+Lines!CF21</f>
        <v>24567</v>
      </c>
      <c r="CG36" s="1482">
        <f>+Lines!CG21</f>
        <v>18573</v>
      </c>
      <c r="CH36" s="1452">
        <f>+Lines!CH21</f>
        <v>18000</v>
      </c>
      <c r="CI36" s="1302">
        <f>+Lines!CI21</f>
        <v>17357.679054054053</v>
      </c>
      <c r="CJ36" s="1302">
        <f>+Lines!CJ21</f>
        <v>16720.023728813561</v>
      </c>
      <c r="CK36" s="1482">
        <f>+Lines!CK21</f>
        <v>16189.531999999999</v>
      </c>
      <c r="CL36" s="1452">
        <f>+Lines!CL21</f>
        <v>16252</v>
      </c>
      <c r="CM36" s="1302">
        <f>+Lines!CM21</f>
        <v>15828</v>
      </c>
      <c r="CN36" s="1302">
        <f>+Lines!CN21</f>
        <v>15394</v>
      </c>
      <c r="CO36" s="1302">
        <f>+Lines!CO21</f>
        <v>14965</v>
      </c>
      <c r="CP36" s="1452">
        <f>+Lines!CP21</f>
        <v>14587</v>
      </c>
      <c r="CQ36" s="1302">
        <f>+Lines!CQ21</f>
        <v>14252</v>
      </c>
      <c r="CR36" s="1302">
        <f>+Lines!CR21</f>
        <v>13919</v>
      </c>
      <c r="CS36" s="1302">
        <f>+Lines!CS21</f>
        <v>13616</v>
      </c>
      <c r="CT36" s="1452">
        <f>+Lines!CT21</f>
        <v>13327</v>
      </c>
      <c r="CU36" s="1302">
        <f>+Lines!CU21</f>
        <v>13087</v>
      </c>
      <c r="CV36" s="1302">
        <f>+Lines!CV21</f>
        <v>12809</v>
      </c>
      <c r="CW36" s="1482">
        <f>+Lines!CW21</f>
        <v>12626</v>
      </c>
      <c r="CX36" s="1452">
        <f>+Lines!CX21</f>
        <v>12421</v>
      </c>
      <c r="CY36" s="1302">
        <f>+Lines!CY21</f>
        <v>12222</v>
      </c>
      <c r="CZ36" s="1302">
        <f>+Lines!CZ21</f>
        <v>12005</v>
      </c>
      <c r="DA36" s="1302">
        <f>+Lines!DA21</f>
        <v>11849</v>
      </c>
      <c r="DB36" s="1452">
        <f>+Lines!DB21</f>
        <v>11725</v>
      </c>
      <c r="DC36" s="1302">
        <f>+Lines!DC21</f>
        <v>11583</v>
      </c>
      <c r="DD36" s="1302">
        <f>+Lines!DD21</f>
        <v>11421</v>
      </c>
      <c r="DE36" s="1302">
        <f>+Lines!DE21</f>
        <v>11229</v>
      </c>
      <c r="DF36" s="1452">
        <f>+Lines!DF21</f>
        <v>11048</v>
      </c>
      <c r="DG36" s="1302">
        <f>+Lines!DG21</f>
        <v>10903</v>
      </c>
      <c r="DH36" s="1302">
        <f>+Lines!DH21</f>
        <v>10743</v>
      </c>
      <c r="DI36" s="1482">
        <f>+Lines!DI21</f>
        <v>10615</v>
      </c>
      <c r="DJ36" s="2972">
        <f>+Lines!DJ21</f>
        <v>10457</v>
      </c>
      <c r="DK36" s="2550">
        <f>+Lines!DK21</f>
        <v>10239</v>
      </c>
      <c r="DL36" s="2550">
        <f>+Lines!DL21</f>
        <v>10051</v>
      </c>
      <c r="DM36" s="2550">
        <f>+Lines!DM21</f>
        <v>9885</v>
      </c>
      <c r="DN36" s="2972">
        <f>+Lines!DN21</f>
        <v>9702</v>
      </c>
      <c r="DO36" s="2550">
        <f>+Lines!DO21</f>
        <v>7634</v>
      </c>
      <c r="DP36" s="1302">
        <f>+Lines!DP21</f>
        <v>7482</v>
      </c>
      <c r="DQ36" s="1482">
        <f>+Lines!DQ21</f>
        <v>7355</v>
      </c>
      <c r="DR36" s="1302">
        <f>+Lines!DR21</f>
        <v>7200</v>
      </c>
      <c r="DS36" s="1302">
        <f>+Lines!DS21</f>
        <v>7079</v>
      </c>
      <c r="DT36" s="1302">
        <f>+Lines!DT21</f>
        <v>6950</v>
      </c>
      <c r="DU36" s="1482">
        <f>+Lines!DU21</f>
        <v>6804</v>
      </c>
      <c r="DV36" s="1302">
        <f>+Lines!DV21</f>
        <v>0</v>
      </c>
      <c r="DW36" s="1302">
        <f>+Lines!DW21</f>
        <v>0</v>
      </c>
      <c r="DX36" s="1302">
        <f>+Lines!DX21</f>
        <v>0</v>
      </c>
      <c r="DY36" s="1482">
        <f>+Lines!DY21</f>
        <v>0</v>
      </c>
    </row>
    <row r="37" spans="1:130" ht="15" hidden="1" customHeight="1" outlineLevel="2">
      <c r="A37" s="1599" t="s">
        <v>233</v>
      </c>
      <c r="B37" s="99"/>
      <c r="C37" s="99"/>
      <c r="D37" s="99"/>
      <c r="E37" s="99"/>
      <c r="F37" s="99"/>
      <c r="G37" s="99"/>
      <c r="H37" s="99"/>
      <c r="I37" s="99"/>
      <c r="J37" s="99"/>
      <c r="K37" s="99"/>
      <c r="L37" s="99"/>
      <c r="M37" s="99"/>
      <c r="N37" s="99"/>
      <c r="O37" s="478">
        <f>+CG37</f>
        <v>7094</v>
      </c>
      <c r="P37" s="478">
        <f>+CK37</f>
        <v>7676</v>
      </c>
      <c r="Q37" s="1053">
        <f>+CO37</f>
        <v>8160</v>
      </c>
      <c r="R37" s="99"/>
      <c r="S37" s="99"/>
      <c r="T37" s="1040"/>
      <c r="U37" s="1040"/>
      <c r="V37" s="99"/>
      <c r="W37" s="99"/>
      <c r="X37" s="99"/>
      <c r="Y37" s="99"/>
      <c r="Z37" s="99"/>
      <c r="AA37" s="1040"/>
      <c r="AB37" s="1040"/>
      <c r="AC37" s="1040"/>
      <c r="AD37" s="1040"/>
      <c r="AE37" s="1040"/>
      <c r="AF37" s="1040"/>
      <c r="AG37" s="1040"/>
      <c r="AH37" s="1951"/>
      <c r="AI37" s="475"/>
      <c r="AJ37" s="1951"/>
      <c r="AK37" s="99"/>
      <c r="AL37" s="99"/>
      <c r="AM37" s="99"/>
      <c r="AN37" s="99"/>
      <c r="AO37" s="99"/>
      <c r="AP37" s="99"/>
      <c r="AQ37" s="99"/>
      <c r="AR37" s="99"/>
      <c r="AS37" s="99"/>
      <c r="AT37" s="99"/>
      <c r="AU37" s="99"/>
      <c r="AV37" s="99"/>
      <c r="AW37" s="99"/>
      <c r="AX37" s="99"/>
      <c r="AY37" s="99"/>
      <c r="AZ37" s="99"/>
      <c r="BA37" s="99"/>
      <c r="BB37" s="99"/>
      <c r="BC37" s="99"/>
      <c r="BD37" s="99"/>
      <c r="BE37" s="99"/>
      <c r="BF37" s="99"/>
      <c r="BG37" s="99"/>
      <c r="BH37" s="99"/>
      <c r="BI37" s="99"/>
      <c r="BJ37" s="99"/>
      <c r="BK37" s="99"/>
      <c r="BL37" s="99"/>
      <c r="BM37" s="99"/>
      <c r="BN37" s="99"/>
      <c r="BO37" s="99"/>
      <c r="BP37" s="99"/>
      <c r="BQ37" s="99"/>
      <c r="BR37" s="481"/>
      <c r="BS37" s="1040"/>
      <c r="BT37" s="1040"/>
      <c r="BU37" s="1040"/>
      <c r="BV37" s="479"/>
      <c r="BW37" s="1040"/>
      <c r="BX37" s="1040"/>
      <c r="BY37" s="1040"/>
      <c r="BZ37" s="479"/>
      <c r="CA37" s="1040"/>
      <c r="CB37" s="1040"/>
      <c r="CC37" s="1040"/>
      <c r="CD37" s="479">
        <f>+FiOS!CD45*CD38</f>
        <v>7190</v>
      </c>
      <c r="CE37" s="1040">
        <f>+FiOS!CE45*CE38</f>
        <v>7471</v>
      </c>
      <c r="CF37" s="1040">
        <f>+FiOS!CF45*CF38</f>
        <v>7751</v>
      </c>
      <c r="CG37" s="480">
        <f>+FiOS!CG45*CG38</f>
        <v>7094</v>
      </c>
      <c r="CH37" s="479">
        <f>+FiOS!CH45*CH38</f>
        <v>7320</v>
      </c>
      <c r="CI37" s="1040">
        <f>+FiOS!CI45*CI38</f>
        <v>7367</v>
      </c>
      <c r="CJ37" s="1040">
        <f>+FiOS!CJ45*CJ38</f>
        <v>7473.0186915887853</v>
      </c>
      <c r="CK37" s="480">
        <f>+FiOS!CK45*CK38</f>
        <v>7676</v>
      </c>
      <c r="CL37" s="479">
        <f>+FiOS!CL45*CL38</f>
        <v>7896</v>
      </c>
      <c r="CM37" s="1040">
        <f>+FiOS!CM45*CM38</f>
        <v>8064</v>
      </c>
      <c r="CN37" s="1040">
        <f>+FiOS!CN45*CN38</f>
        <v>8119</v>
      </c>
      <c r="CO37" s="1040">
        <f>+FiOS!CO45*CO38</f>
        <v>8160</v>
      </c>
      <c r="CP37" s="479"/>
      <c r="CQ37" s="1040"/>
      <c r="CR37" s="1040"/>
      <c r="CS37" s="1040"/>
      <c r="CT37" s="479"/>
      <c r="CU37" s="1040"/>
      <c r="CV37" s="1040"/>
      <c r="CW37" s="480"/>
      <c r="CX37" s="479"/>
      <c r="CY37" s="1040"/>
      <c r="CZ37" s="1040"/>
      <c r="DA37" s="1040"/>
      <c r="DB37" s="479"/>
      <c r="DC37" s="1040"/>
      <c r="DD37" s="1040"/>
      <c r="DE37" s="1040"/>
      <c r="DF37" s="479"/>
      <c r="DG37" s="1040"/>
      <c r="DH37" s="1040"/>
      <c r="DI37" s="480"/>
      <c r="DJ37" s="479"/>
      <c r="DK37" s="1040"/>
      <c r="DL37" s="1040"/>
      <c r="DM37" s="1040"/>
      <c r="DN37" s="479"/>
      <c r="DO37" s="1040"/>
      <c r="DP37" s="1040"/>
      <c r="DQ37" s="480"/>
      <c r="DR37" s="1040"/>
      <c r="DS37" s="1040"/>
      <c r="DT37" s="1040"/>
      <c r="DU37" s="480"/>
      <c r="DV37" s="1040"/>
      <c r="DW37" s="1040"/>
      <c r="DX37" s="1040"/>
      <c r="DY37" s="480"/>
    </row>
    <row r="38" spans="1:130" ht="15" hidden="1" customHeight="1" outlineLevel="2">
      <c r="A38" s="1601" t="s">
        <v>234</v>
      </c>
      <c r="B38" s="99"/>
      <c r="C38" s="99"/>
      <c r="D38" s="99"/>
      <c r="E38" s="99"/>
      <c r="F38" s="99"/>
      <c r="G38" s="99"/>
      <c r="H38" s="99"/>
      <c r="I38" s="99"/>
      <c r="J38" s="99"/>
      <c r="K38" s="99"/>
      <c r="L38" s="99"/>
      <c r="M38" s="99"/>
      <c r="N38" s="99"/>
      <c r="O38" s="585">
        <f>AVERAGE(CD38:CG38)</f>
        <v>1</v>
      </c>
      <c r="P38" s="585">
        <f>AVERAGE(CH38:CK38)</f>
        <v>1</v>
      </c>
      <c r="Q38" s="1293">
        <f>AVERAGE(CL38:CO38)</f>
        <v>1</v>
      </c>
      <c r="R38" s="585"/>
      <c r="S38" s="99"/>
      <c r="T38" s="1040"/>
      <c r="U38" s="1040"/>
      <c r="V38" s="99"/>
      <c r="W38" s="99"/>
      <c r="X38" s="99"/>
      <c r="Y38" s="99"/>
      <c r="Z38" s="99"/>
      <c r="AA38" s="1040"/>
      <c r="AB38" s="1040"/>
      <c r="AC38" s="1040"/>
      <c r="AD38" s="1040"/>
      <c r="AE38" s="1040"/>
      <c r="AF38" s="1040"/>
      <c r="AG38" s="1040"/>
      <c r="AH38" s="1951"/>
      <c r="AI38" s="475"/>
      <c r="AJ38" s="1951"/>
      <c r="AK38" s="99"/>
      <c r="AL38" s="99"/>
      <c r="AM38" s="99"/>
      <c r="AN38" s="99"/>
      <c r="AO38" s="99"/>
      <c r="AP38" s="99"/>
      <c r="AQ38" s="99"/>
      <c r="AR38" s="99"/>
      <c r="AS38" s="99"/>
      <c r="AT38" s="99"/>
      <c r="AU38" s="99"/>
      <c r="AV38" s="99"/>
      <c r="AW38" s="99"/>
      <c r="AX38" s="99"/>
      <c r="AY38" s="99"/>
      <c r="AZ38" s="99"/>
      <c r="BA38" s="99"/>
      <c r="BB38" s="99"/>
      <c r="BC38" s="99"/>
      <c r="BD38" s="99"/>
      <c r="BE38" s="99"/>
      <c r="BF38" s="99"/>
      <c r="BG38" s="99"/>
      <c r="BH38" s="99"/>
      <c r="BI38" s="99"/>
      <c r="BJ38" s="99"/>
      <c r="BK38" s="99"/>
      <c r="BL38" s="99"/>
      <c r="BM38" s="99"/>
      <c r="BN38" s="99"/>
      <c r="BO38" s="99"/>
      <c r="BP38" s="99"/>
      <c r="BQ38" s="99"/>
      <c r="BR38" s="481"/>
      <c r="BS38" s="1040"/>
      <c r="BT38" s="1040"/>
      <c r="BU38" s="1040"/>
      <c r="BV38" s="479"/>
      <c r="BW38" s="1040"/>
      <c r="BX38" s="1040"/>
      <c r="BY38" s="1040"/>
      <c r="BZ38" s="479"/>
      <c r="CA38" s="1040"/>
      <c r="CB38" s="1040"/>
      <c r="CC38" s="1040"/>
      <c r="CD38" s="479">
        <v>1</v>
      </c>
      <c r="CE38" s="1040">
        <v>1</v>
      </c>
      <c r="CF38" s="1040">
        <v>1</v>
      </c>
      <c r="CG38" s="480">
        <v>1</v>
      </c>
      <c r="CH38" s="479">
        <v>1</v>
      </c>
      <c r="CI38" s="1040">
        <v>1</v>
      </c>
      <c r="CJ38" s="1040">
        <v>1</v>
      </c>
      <c r="CK38" s="480">
        <v>1</v>
      </c>
      <c r="CL38" s="479">
        <v>1</v>
      </c>
      <c r="CM38" s="1040">
        <v>1</v>
      </c>
      <c r="CN38" s="1040">
        <v>1</v>
      </c>
      <c r="CO38" s="1040">
        <v>1</v>
      </c>
      <c r="CP38" s="479"/>
      <c r="CQ38" s="1040"/>
      <c r="CR38" s="1040"/>
      <c r="CS38" s="1040"/>
      <c r="CT38" s="479"/>
      <c r="CU38" s="1040"/>
      <c r="CV38" s="1040"/>
      <c r="CW38" s="480"/>
      <c r="CX38" s="479"/>
      <c r="CY38" s="1040"/>
      <c r="CZ38" s="1040"/>
      <c r="DA38" s="1040"/>
      <c r="DB38" s="479"/>
      <c r="DC38" s="1040"/>
      <c r="DD38" s="1040"/>
      <c r="DE38" s="1040"/>
      <c r="DF38" s="479"/>
      <c r="DG38" s="1040"/>
      <c r="DH38" s="1040"/>
      <c r="DI38" s="480"/>
      <c r="DJ38" s="479"/>
      <c r="DK38" s="1040"/>
      <c r="DL38" s="1040"/>
      <c r="DM38" s="1040"/>
      <c r="DN38" s="479"/>
      <c r="DO38" s="1040"/>
      <c r="DP38" s="1040"/>
      <c r="DQ38" s="480"/>
      <c r="DR38" s="1040"/>
      <c r="DS38" s="1040"/>
      <c r="DT38" s="1040"/>
      <c r="DU38" s="480"/>
      <c r="DV38" s="1040"/>
      <c r="DW38" s="1040"/>
      <c r="DX38" s="1040"/>
      <c r="DY38" s="480"/>
    </row>
    <row r="39" spans="1:130" ht="15" hidden="1" customHeight="1" outlineLevel="2">
      <c r="A39" s="1599" t="s">
        <v>235</v>
      </c>
      <c r="B39" s="99"/>
      <c r="C39" s="99"/>
      <c r="D39" s="99"/>
      <c r="E39" s="99"/>
      <c r="F39" s="99"/>
      <c r="G39" s="99"/>
      <c r="H39" s="99"/>
      <c r="I39" s="99"/>
      <c r="J39" s="99"/>
      <c r="K39" s="99"/>
      <c r="L39" s="99"/>
      <c r="M39" s="99"/>
      <c r="N39" s="99"/>
      <c r="O39" s="478">
        <f>+CG39</f>
        <v>917</v>
      </c>
      <c r="P39" s="478">
        <f>+CK39</f>
        <v>1849</v>
      </c>
      <c r="Q39" s="1053">
        <f>+CO39</f>
        <v>2750</v>
      </c>
      <c r="R39" s="99"/>
      <c r="S39" s="99"/>
      <c r="T39" s="1040"/>
      <c r="U39" s="1040"/>
      <c r="V39" s="99"/>
      <c r="W39" s="99"/>
      <c r="X39" s="99"/>
      <c r="Y39" s="99"/>
      <c r="Z39" s="99"/>
      <c r="AA39" s="1040"/>
      <c r="AB39" s="1040"/>
      <c r="AC39" s="1040"/>
      <c r="AD39" s="1040"/>
      <c r="AE39" s="1040"/>
      <c r="AF39" s="1040"/>
      <c r="AG39" s="1040"/>
      <c r="AH39" s="1951"/>
      <c r="AI39" s="475"/>
      <c r="AJ39" s="1951"/>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481"/>
      <c r="BS39" s="1040"/>
      <c r="BT39" s="1040"/>
      <c r="BU39" s="1040"/>
      <c r="BV39" s="479"/>
      <c r="BW39" s="1040"/>
      <c r="BX39" s="1040"/>
      <c r="BY39" s="1040"/>
      <c r="BZ39" s="479"/>
      <c r="CA39" s="1040"/>
      <c r="CB39" s="1040"/>
      <c r="CC39" s="1040"/>
      <c r="CD39" s="479">
        <f>+FiOS!CD63/1000*CD40</f>
        <v>348</v>
      </c>
      <c r="CE39" s="1040">
        <f>+FiOS!CE63/1000*CE40</f>
        <v>515</v>
      </c>
      <c r="CF39" s="1040">
        <f>+FiOS!CF63/1000*CF40</f>
        <v>717</v>
      </c>
      <c r="CG39" s="480">
        <f>+FiOS!CG63/1000*CG40</f>
        <v>917</v>
      </c>
      <c r="CH39" s="479">
        <f>+FiOS!CH63/1000*CH40</f>
        <v>1166</v>
      </c>
      <c r="CI39" s="1040">
        <f>+FiOS!CI63/1000*CI40</f>
        <v>1335.2727272727273</v>
      </c>
      <c r="CJ39" s="1040">
        <f>+FiOS!CJ63/1000*CJ40</f>
        <v>1555.5555555555554</v>
      </c>
      <c r="CK39" s="480">
        <f>+FiOS!CK63/1000*CK40</f>
        <v>1849</v>
      </c>
      <c r="CL39" s="479">
        <f>+FiOS!CL63/1000*CL40</f>
        <v>2130</v>
      </c>
      <c r="CM39" s="1040">
        <f>+FiOS!CM63/1000*CM40</f>
        <v>2414.1999999999998</v>
      </c>
      <c r="CN39" s="1040">
        <f>+FiOS!CN63/1000*CN40</f>
        <v>2601</v>
      </c>
      <c r="CO39" s="1040">
        <f>+FiOS!CO63/1000*CO40</f>
        <v>2750</v>
      </c>
      <c r="CP39" s="479"/>
      <c r="CQ39" s="1040"/>
      <c r="CR39" s="1040"/>
      <c r="CS39" s="1040"/>
      <c r="CT39" s="479"/>
      <c r="CU39" s="1040"/>
      <c r="CV39" s="1040"/>
      <c r="CW39" s="480"/>
      <c r="CX39" s="479"/>
      <c r="CY39" s="1040"/>
      <c r="CZ39" s="1040"/>
      <c r="DA39" s="1040"/>
      <c r="DB39" s="479"/>
      <c r="DC39" s="1040"/>
      <c r="DD39" s="1040"/>
      <c r="DE39" s="1040"/>
      <c r="DF39" s="479"/>
      <c r="DG39" s="1040"/>
      <c r="DH39" s="1040"/>
      <c r="DI39" s="480"/>
      <c r="DJ39" s="479"/>
      <c r="DK39" s="1040"/>
      <c r="DL39" s="1040"/>
      <c r="DM39" s="1040"/>
      <c r="DN39" s="479"/>
      <c r="DO39" s="1040"/>
      <c r="DP39" s="1040"/>
      <c r="DQ39" s="480"/>
      <c r="DR39" s="1040"/>
      <c r="DS39" s="1040"/>
      <c r="DT39" s="1040"/>
      <c r="DU39" s="480"/>
      <c r="DV39" s="1040"/>
      <c r="DW39" s="1040"/>
      <c r="DX39" s="1040"/>
      <c r="DY39" s="480"/>
    </row>
    <row r="40" spans="1:130" ht="15" hidden="1" customHeight="1" outlineLevel="2">
      <c r="A40" s="1601" t="s">
        <v>234</v>
      </c>
      <c r="B40" s="99"/>
      <c r="C40" s="99"/>
      <c r="D40" s="99"/>
      <c r="E40" s="99"/>
      <c r="F40" s="99"/>
      <c r="G40" s="99"/>
      <c r="H40" s="99"/>
      <c r="I40" s="99"/>
      <c r="J40" s="99"/>
      <c r="K40" s="99"/>
      <c r="L40" s="99"/>
      <c r="M40" s="99"/>
      <c r="N40" s="99"/>
      <c r="O40" s="585">
        <f>AVERAGE(CD40:CG40)</f>
        <v>1</v>
      </c>
      <c r="P40" s="585">
        <f>AVERAGE(CH40:CK40)</f>
        <v>1</v>
      </c>
      <c r="Q40" s="1293">
        <f>AVERAGE(CL40:CO40)</f>
        <v>1</v>
      </c>
      <c r="R40" s="585"/>
      <c r="S40" s="99"/>
      <c r="T40" s="1040"/>
      <c r="U40" s="1040"/>
      <c r="V40" s="99"/>
      <c r="W40" s="99"/>
      <c r="X40" s="99"/>
      <c r="Y40" s="99"/>
      <c r="Z40" s="99"/>
      <c r="AA40" s="1040"/>
      <c r="AB40" s="1040"/>
      <c r="AC40" s="1040"/>
      <c r="AD40" s="1040"/>
      <c r="AE40" s="1040"/>
      <c r="AF40" s="1040"/>
      <c r="AG40" s="1040"/>
      <c r="AH40" s="1951"/>
      <c r="AI40" s="475"/>
      <c r="AJ40" s="1951"/>
      <c r="AK40" s="99"/>
      <c r="AL40" s="99"/>
      <c r="AM40" s="99"/>
      <c r="AN40" s="99"/>
      <c r="AO40" s="99"/>
      <c r="AP40" s="99"/>
      <c r="AQ40" s="99"/>
      <c r="AR40" s="99"/>
      <c r="AS40" s="99"/>
      <c r="AT40" s="99"/>
      <c r="AU40" s="99"/>
      <c r="AV40" s="99"/>
      <c r="AW40" s="99"/>
      <c r="AX40" s="99"/>
      <c r="AY40" s="99"/>
      <c r="AZ40" s="99"/>
      <c r="BA40" s="99"/>
      <c r="BB40" s="99"/>
      <c r="BC40" s="99"/>
      <c r="BD40" s="99"/>
      <c r="BE40" s="99"/>
      <c r="BF40" s="99"/>
      <c r="BG40" s="99"/>
      <c r="BH40" s="99"/>
      <c r="BI40" s="99"/>
      <c r="BJ40" s="99"/>
      <c r="BK40" s="99"/>
      <c r="BL40" s="99"/>
      <c r="BM40" s="99"/>
      <c r="BN40" s="99"/>
      <c r="BO40" s="99"/>
      <c r="BP40" s="99"/>
      <c r="BQ40" s="99"/>
      <c r="BR40" s="481"/>
      <c r="BS40" s="1040"/>
      <c r="BT40" s="1040"/>
      <c r="BU40" s="1040"/>
      <c r="BV40" s="479"/>
      <c r="BW40" s="1040"/>
      <c r="BX40" s="1040"/>
      <c r="BY40" s="1040"/>
      <c r="BZ40" s="479"/>
      <c r="CA40" s="1040"/>
      <c r="CB40" s="1040"/>
      <c r="CC40" s="1040"/>
      <c r="CD40" s="479">
        <v>1</v>
      </c>
      <c r="CE40" s="1040">
        <v>1</v>
      </c>
      <c r="CF40" s="1040">
        <v>1</v>
      </c>
      <c r="CG40" s="480">
        <v>1</v>
      </c>
      <c r="CH40" s="479">
        <v>1</v>
      </c>
      <c r="CI40" s="1040">
        <v>1</v>
      </c>
      <c r="CJ40" s="1040">
        <v>1</v>
      </c>
      <c r="CK40" s="480">
        <v>1</v>
      </c>
      <c r="CL40" s="479">
        <v>1</v>
      </c>
      <c r="CM40" s="1040">
        <v>1</v>
      </c>
      <c r="CN40" s="1040">
        <v>1</v>
      </c>
      <c r="CO40" s="1040">
        <v>1</v>
      </c>
      <c r="CP40" s="479"/>
      <c r="CQ40" s="1040"/>
      <c r="CR40" s="1040"/>
      <c r="CS40" s="1040"/>
      <c r="CT40" s="479"/>
      <c r="CU40" s="1040"/>
      <c r="CV40" s="1040"/>
      <c r="CW40" s="480"/>
      <c r="CX40" s="479"/>
      <c r="CY40" s="1040"/>
      <c r="CZ40" s="1040"/>
      <c r="DA40" s="1040"/>
      <c r="DB40" s="479"/>
      <c r="DC40" s="1040"/>
      <c r="DD40" s="1040"/>
      <c r="DE40" s="1040"/>
      <c r="DF40" s="479"/>
      <c r="DG40" s="1040"/>
      <c r="DH40" s="1040"/>
      <c r="DI40" s="480"/>
      <c r="DJ40" s="479"/>
      <c r="DK40" s="1040"/>
      <c r="DL40" s="1040"/>
      <c r="DM40" s="1040"/>
      <c r="DN40" s="479"/>
      <c r="DO40" s="1040"/>
      <c r="DP40" s="1040"/>
      <c r="DQ40" s="480"/>
      <c r="DR40" s="1040"/>
      <c r="DS40" s="1040"/>
      <c r="DT40" s="1040"/>
      <c r="DU40" s="480"/>
      <c r="DV40" s="1040"/>
      <c r="DW40" s="1040"/>
      <c r="DX40" s="1040"/>
      <c r="DY40" s="480"/>
    </row>
    <row r="41" spans="1:130" ht="15" hidden="1" customHeight="1" outlineLevel="2">
      <c r="A41" s="1599" t="s">
        <v>236</v>
      </c>
      <c r="B41" s="99"/>
      <c r="C41" s="99"/>
      <c r="D41" s="99"/>
      <c r="E41" s="99"/>
      <c r="F41" s="99"/>
      <c r="G41" s="99"/>
      <c r="H41" s="99"/>
      <c r="I41" s="99"/>
      <c r="J41" s="99"/>
      <c r="K41" s="99"/>
      <c r="L41" s="99"/>
      <c r="M41" s="99"/>
      <c r="N41" s="99"/>
      <c r="O41" s="478">
        <f>+CG41</f>
        <v>26585</v>
      </c>
      <c r="P41" s="478">
        <f>+CK41</f>
        <v>25715.531999999999</v>
      </c>
      <c r="Q41" s="1053">
        <f>+CO41</f>
        <v>25876</v>
      </c>
      <c r="R41" s="99"/>
      <c r="S41" s="99"/>
      <c r="T41" s="1040"/>
      <c r="U41" s="1040"/>
      <c r="V41" s="99"/>
      <c r="W41" s="99"/>
      <c r="X41" s="99"/>
      <c r="Y41" s="99"/>
      <c r="Z41" s="99"/>
      <c r="AA41" s="1040"/>
      <c r="AB41" s="1040"/>
      <c r="AC41" s="1040"/>
      <c r="AD41" s="1040"/>
      <c r="AE41" s="1040"/>
      <c r="AF41" s="1040"/>
      <c r="AG41" s="1040"/>
      <c r="AH41" s="1951"/>
      <c r="AI41" s="475"/>
      <c r="AJ41" s="1951"/>
      <c r="AK41" s="99"/>
      <c r="AL41" s="99"/>
      <c r="AM41" s="99"/>
      <c r="AN41" s="99"/>
      <c r="AO41" s="99"/>
      <c r="AP41" s="99"/>
      <c r="AQ41" s="99"/>
      <c r="AR41" s="99"/>
      <c r="AS41" s="99"/>
      <c r="AT41" s="99"/>
      <c r="AU41" s="99"/>
      <c r="AV41" s="99"/>
      <c r="AW41" s="99"/>
      <c r="AX41" s="99"/>
      <c r="AY41" s="99"/>
      <c r="AZ41" s="99"/>
      <c r="BA41" s="99"/>
      <c r="BB41" s="99"/>
      <c r="BC41" s="99"/>
      <c r="BD41" s="99"/>
      <c r="BE41" s="99"/>
      <c r="BF41" s="99"/>
      <c r="BG41" s="99"/>
      <c r="BH41" s="99"/>
      <c r="BI41" s="99"/>
      <c r="BJ41" s="99"/>
      <c r="BK41" s="99"/>
      <c r="BL41" s="99"/>
      <c r="BM41" s="99"/>
      <c r="BN41" s="99"/>
      <c r="BO41" s="99"/>
      <c r="BP41" s="99"/>
      <c r="BQ41" s="99"/>
      <c r="BR41" s="481"/>
      <c r="BS41" s="1040"/>
      <c r="BT41" s="1040"/>
      <c r="BU41" s="1040"/>
      <c r="BV41" s="479"/>
      <c r="BW41" s="1040"/>
      <c r="BX41" s="1040"/>
      <c r="BY41" s="1040"/>
      <c r="BZ41" s="479"/>
      <c r="CA41" s="1040"/>
      <c r="CB41" s="1040"/>
      <c r="CC41" s="1040"/>
      <c r="CD41" s="479">
        <f t="shared" ref="CD41:CO41" si="26">SUM(CD36:CD39)</f>
        <v>33557</v>
      </c>
      <c r="CE41" s="1040">
        <f t="shared" si="26"/>
        <v>33303</v>
      </c>
      <c r="CF41" s="1040">
        <f t="shared" si="26"/>
        <v>33036</v>
      </c>
      <c r="CG41" s="480">
        <f t="shared" si="26"/>
        <v>26585</v>
      </c>
      <c r="CH41" s="479">
        <f t="shared" si="26"/>
        <v>26487</v>
      </c>
      <c r="CI41" s="1040">
        <f t="shared" si="26"/>
        <v>26060.951781326781</v>
      </c>
      <c r="CJ41" s="1040">
        <f t="shared" si="26"/>
        <v>25749.597975957902</v>
      </c>
      <c r="CK41" s="480">
        <f t="shared" si="26"/>
        <v>25715.531999999999</v>
      </c>
      <c r="CL41" s="479">
        <f t="shared" si="26"/>
        <v>26279</v>
      </c>
      <c r="CM41" s="1040">
        <f t="shared" si="26"/>
        <v>26307.200000000001</v>
      </c>
      <c r="CN41" s="1040">
        <f t="shared" si="26"/>
        <v>26115</v>
      </c>
      <c r="CO41" s="1040">
        <f t="shared" si="26"/>
        <v>25876</v>
      </c>
      <c r="CP41" s="479"/>
      <c r="CQ41" s="1040"/>
      <c r="CR41" s="1040"/>
      <c r="CS41" s="1040"/>
      <c r="CT41" s="479"/>
      <c r="CU41" s="1040"/>
      <c r="CV41" s="1040"/>
      <c r="CW41" s="480"/>
      <c r="CX41" s="479"/>
      <c r="CY41" s="1040"/>
      <c r="CZ41" s="1040"/>
      <c r="DA41" s="1040"/>
      <c r="DB41" s="479"/>
      <c r="DC41" s="1040"/>
      <c r="DD41" s="1040"/>
      <c r="DE41" s="1040"/>
      <c r="DF41" s="479"/>
      <c r="DG41" s="1040"/>
      <c r="DH41" s="1040"/>
      <c r="DI41" s="480"/>
      <c r="DJ41" s="479"/>
      <c r="DK41" s="1040"/>
      <c r="DL41" s="1040"/>
      <c r="DM41" s="1040"/>
      <c r="DN41" s="479"/>
      <c r="DO41" s="1040"/>
      <c r="DP41" s="1040"/>
      <c r="DQ41" s="480"/>
      <c r="DR41" s="1040"/>
      <c r="DS41" s="1040"/>
      <c r="DT41" s="1040"/>
      <c r="DU41" s="480"/>
      <c r="DV41" s="1040"/>
      <c r="DW41" s="1040"/>
      <c r="DX41" s="1040"/>
      <c r="DY41" s="480"/>
    </row>
    <row r="42" spans="1:130" s="120" customFormat="1" ht="15" hidden="1" customHeight="1" outlineLevel="2">
      <c r="A42" s="1599" t="s">
        <v>834</v>
      </c>
      <c r="B42" s="540"/>
      <c r="C42" s="540"/>
      <c r="D42" s="540"/>
      <c r="E42" s="540"/>
      <c r="F42" s="540"/>
      <c r="G42" s="540"/>
      <c r="H42" s="540"/>
      <c r="I42" s="540"/>
      <c r="J42" s="540"/>
      <c r="K42" s="540"/>
      <c r="L42" s="540"/>
      <c r="M42" s="540"/>
      <c r="N42" s="540"/>
      <c r="O42" s="540"/>
      <c r="P42" s="540">
        <f>+P41/O41-1</f>
        <v>-3.2705209704720684E-2</v>
      </c>
      <c r="Q42" s="1056">
        <f>+Q41/P41-1</f>
        <v>6.2401197844166312E-3</v>
      </c>
      <c r="R42" s="540"/>
      <c r="S42" s="540"/>
      <c r="T42" s="1056"/>
      <c r="U42" s="1056"/>
      <c r="V42" s="540"/>
      <c r="W42" s="540"/>
      <c r="X42" s="540"/>
      <c r="Y42" s="540"/>
      <c r="Z42" s="540"/>
      <c r="AA42" s="1056"/>
      <c r="AB42" s="1056"/>
      <c r="AC42" s="1056"/>
      <c r="AD42" s="1056"/>
      <c r="AE42" s="1056"/>
      <c r="AF42" s="1056"/>
      <c r="AG42" s="1056"/>
      <c r="AH42" s="1950"/>
      <c r="AI42" s="475"/>
      <c r="AJ42" s="1950"/>
      <c r="AK42" s="540"/>
      <c r="AL42" s="540"/>
      <c r="AM42" s="540"/>
      <c r="AN42" s="540"/>
      <c r="AO42" s="540"/>
      <c r="AP42" s="540"/>
      <c r="AQ42" s="540"/>
      <c r="AR42" s="540"/>
      <c r="AS42" s="540"/>
      <c r="AT42" s="540"/>
      <c r="AU42" s="540"/>
      <c r="AV42" s="540"/>
      <c r="AW42" s="540"/>
      <c r="AX42" s="540"/>
      <c r="AY42" s="540"/>
      <c r="AZ42" s="540"/>
      <c r="BA42" s="540"/>
      <c r="BB42" s="540"/>
      <c r="BC42" s="540"/>
      <c r="BD42" s="540"/>
      <c r="BE42" s="540"/>
      <c r="BF42" s="540"/>
      <c r="BG42" s="540"/>
      <c r="BH42" s="540"/>
      <c r="BI42" s="540"/>
      <c r="BJ42" s="540"/>
      <c r="BK42" s="540"/>
      <c r="BL42" s="540"/>
      <c r="BM42" s="540"/>
      <c r="BN42" s="540"/>
      <c r="BO42" s="540"/>
      <c r="BP42" s="540"/>
      <c r="BQ42" s="540"/>
      <c r="BR42" s="541"/>
      <c r="BS42" s="1056"/>
      <c r="BT42" s="1056"/>
      <c r="BU42" s="1056"/>
      <c r="BV42" s="541"/>
      <c r="BW42" s="1056"/>
      <c r="BX42" s="1056"/>
      <c r="BY42" s="1056"/>
      <c r="BZ42" s="541"/>
      <c r="CA42" s="1056"/>
      <c r="CB42" s="1056"/>
      <c r="CC42" s="1056"/>
      <c r="CD42" s="541"/>
      <c r="CE42" s="1056"/>
      <c r="CF42" s="1056"/>
      <c r="CG42" s="543"/>
      <c r="CH42" s="541">
        <f t="shared" ref="CH42:CO42" si="27">CH41/CD41-1</f>
        <v>-0.21068629496081293</v>
      </c>
      <c r="CI42" s="1056">
        <f t="shared" si="27"/>
        <v>-0.21745933455464128</v>
      </c>
      <c r="CJ42" s="1056">
        <f t="shared" si="27"/>
        <v>-0.22055945102440055</v>
      </c>
      <c r="CK42" s="543">
        <f t="shared" si="27"/>
        <v>-3.2705209704720684E-2</v>
      </c>
      <c r="CL42" s="541">
        <f t="shared" si="27"/>
        <v>-7.852908974213757E-3</v>
      </c>
      <c r="CM42" s="1056">
        <f t="shared" si="27"/>
        <v>9.4489342039174584E-3</v>
      </c>
      <c r="CN42" s="1056">
        <f t="shared" si="27"/>
        <v>1.419059141751533E-2</v>
      </c>
      <c r="CO42" s="1056">
        <f t="shared" si="27"/>
        <v>6.2401197844166312E-3</v>
      </c>
      <c r="CP42" s="541"/>
      <c r="CQ42" s="1056"/>
      <c r="CR42" s="1056"/>
      <c r="CS42" s="1056"/>
      <c r="CT42" s="541"/>
      <c r="CU42" s="1056"/>
      <c r="CV42" s="1056"/>
      <c r="CW42" s="543"/>
      <c r="CX42" s="541"/>
      <c r="CY42" s="1056"/>
      <c r="CZ42" s="1056"/>
      <c r="DA42" s="1056"/>
      <c r="DB42" s="541"/>
      <c r="DC42" s="1056"/>
      <c r="DD42" s="1056"/>
      <c r="DE42" s="1056"/>
      <c r="DF42" s="541"/>
      <c r="DG42" s="1056"/>
      <c r="DH42" s="1056"/>
      <c r="DI42" s="543"/>
      <c r="DJ42" s="541"/>
      <c r="DK42" s="1056"/>
      <c r="DL42" s="1056"/>
      <c r="DM42" s="1056"/>
      <c r="DN42" s="541"/>
      <c r="DO42" s="1056"/>
      <c r="DP42" s="1056"/>
      <c r="DQ42" s="543"/>
      <c r="DR42" s="1056"/>
      <c r="DS42" s="1056"/>
      <c r="DT42" s="1056"/>
      <c r="DU42" s="543"/>
      <c r="DV42" s="1056"/>
      <c r="DW42" s="1056"/>
      <c r="DX42" s="1056"/>
      <c r="DY42" s="543"/>
      <c r="DZ42" s="562"/>
    </row>
    <row r="43" spans="1:130" ht="15" hidden="1" customHeight="1" outlineLevel="2">
      <c r="A43" s="1601" t="s">
        <v>237</v>
      </c>
      <c r="B43" s="99"/>
      <c r="C43" s="99"/>
      <c r="D43" s="99"/>
      <c r="E43" s="99"/>
      <c r="F43" s="99"/>
      <c r="G43" s="99"/>
      <c r="H43" s="99"/>
      <c r="I43" s="99"/>
      <c r="J43" s="99"/>
      <c r="K43" s="99"/>
      <c r="L43" s="99"/>
      <c r="M43" s="99"/>
      <c r="N43" s="99"/>
      <c r="O43" s="478">
        <f>+AVERAGE(N41:O41)</f>
        <v>26585</v>
      </c>
      <c r="P43" s="478">
        <f>+AVERAGE(O41:P41)</f>
        <v>26150.266</v>
      </c>
      <c r="Q43" s="1053">
        <f>+AVERAGE(P41:Q41)</f>
        <v>25795.766</v>
      </c>
      <c r="R43" s="478"/>
      <c r="S43" s="478"/>
      <c r="T43" s="1053"/>
      <c r="U43" s="1053"/>
      <c r="V43" s="478"/>
      <c r="W43" s="478"/>
      <c r="X43" s="478"/>
      <c r="Y43" s="478"/>
      <c r="Z43" s="478"/>
      <c r="AA43" s="1053"/>
      <c r="AB43" s="1053"/>
      <c r="AC43" s="1053"/>
      <c r="AD43" s="1053"/>
      <c r="AE43" s="1053"/>
      <c r="AF43" s="1053"/>
      <c r="AG43" s="1053"/>
      <c r="AH43" s="1951"/>
      <c r="AI43" s="475"/>
      <c r="AJ43" s="1951"/>
      <c r="AK43" s="99"/>
      <c r="AL43" s="99"/>
      <c r="AM43" s="99"/>
      <c r="AN43" s="99"/>
      <c r="AO43" s="99"/>
      <c r="AP43" s="99"/>
      <c r="AQ43" s="99"/>
      <c r="AR43" s="99"/>
      <c r="AS43" s="99"/>
      <c r="AT43" s="99"/>
      <c r="AU43" s="99"/>
      <c r="AV43" s="99"/>
      <c r="AW43" s="99"/>
      <c r="AX43" s="99"/>
      <c r="AY43" s="99"/>
      <c r="AZ43" s="99"/>
      <c r="BA43" s="99"/>
      <c r="BB43" s="99"/>
      <c r="BC43" s="99"/>
      <c r="BD43" s="99"/>
      <c r="BE43" s="99"/>
      <c r="BF43" s="99"/>
      <c r="BG43" s="99"/>
      <c r="BH43" s="99"/>
      <c r="BI43" s="99"/>
      <c r="BJ43" s="99"/>
      <c r="BK43" s="99"/>
      <c r="BL43" s="99"/>
      <c r="BM43" s="99"/>
      <c r="BN43" s="99"/>
      <c r="BO43" s="99"/>
      <c r="BP43" s="99"/>
      <c r="BQ43" s="99"/>
      <c r="BR43" s="481"/>
      <c r="BS43" s="1040"/>
      <c r="BT43" s="1040"/>
      <c r="BU43" s="1040"/>
      <c r="BV43" s="479"/>
      <c r="BW43" s="1040"/>
      <c r="BX43" s="1040"/>
      <c r="BY43" s="1040"/>
      <c r="BZ43" s="479"/>
      <c r="CA43" s="1040"/>
      <c r="CB43" s="1040"/>
      <c r="CC43" s="1040"/>
      <c r="CD43" s="479">
        <f t="shared" ref="CD43:CO43" si="28">+AVERAGE(CC41:CD41)</f>
        <v>33557</v>
      </c>
      <c r="CE43" s="1040">
        <f t="shared" si="28"/>
        <v>33430</v>
      </c>
      <c r="CF43" s="1040">
        <f t="shared" si="28"/>
        <v>33169.5</v>
      </c>
      <c r="CG43" s="480">
        <f t="shared" si="28"/>
        <v>29810.5</v>
      </c>
      <c r="CH43" s="479">
        <f t="shared" si="28"/>
        <v>26536</v>
      </c>
      <c r="CI43" s="1040">
        <f t="shared" si="28"/>
        <v>26273.975890663391</v>
      </c>
      <c r="CJ43" s="1040">
        <f t="shared" si="28"/>
        <v>25905.27487864234</v>
      </c>
      <c r="CK43" s="480">
        <f t="shared" si="28"/>
        <v>25732.564987978949</v>
      </c>
      <c r="CL43" s="479">
        <f t="shared" si="28"/>
        <v>25997.266</v>
      </c>
      <c r="CM43" s="1040">
        <f t="shared" si="28"/>
        <v>26293.1</v>
      </c>
      <c r="CN43" s="1040">
        <f t="shared" si="28"/>
        <v>26211.1</v>
      </c>
      <c r="CO43" s="1040">
        <f t="shared" si="28"/>
        <v>25995.5</v>
      </c>
      <c r="CP43" s="479"/>
      <c r="CQ43" s="1040"/>
      <c r="CR43" s="1040"/>
      <c r="CS43" s="1040"/>
      <c r="CT43" s="479"/>
      <c r="CU43" s="1040"/>
      <c r="CV43" s="1040"/>
      <c r="CW43" s="480"/>
      <c r="CX43" s="479"/>
      <c r="CY43" s="1040"/>
      <c r="CZ43" s="1040"/>
      <c r="DA43" s="1040"/>
      <c r="DB43" s="479"/>
      <c r="DC43" s="1040"/>
      <c r="DD43" s="1040"/>
      <c r="DE43" s="1040"/>
      <c r="DF43" s="479"/>
      <c r="DG43" s="1040"/>
      <c r="DH43" s="1040"/>
      <c r="DI43" s="480"/>
      <c r="DJ43" s="479"/>
      <c r="DK43" s="1040"/>
      <c r="DL43" s="1040"/>
      <c r="DM43" s="1040"/>
      <c r="DN43" s="479"/>
      <c r="DO43" s="1040"/>
      <c r="DP43" s="1040"/>
      <c r="DQ43" s="480"/>
      <c r="DR43" s="1040"/>
      <c r="DS43" s="1040"/>
      <c r="DT43" s="1040"/>
      <c r="DU43" s="480"/>
      <c r="DV43" s="1040"/>
      <c r="DW43" s="1040"/>
      <c r="DX43" s="1040"/>
      <c r="DY43" s="480"/>
    </row>
    <row r="44" spans="1:130" ht="15" hidden="1" customHeight="1" outlineLevel="2">
      <c r="A44" s="1599" t="s">
        <v>20</v>
      </c>
      <c r="B44" s="99"/>
      <c r="C44" s="99"/>
      <c r="D44" s="99"/>
      <c r="E44" s="99"/>
      <c r="F44" s="99"/>
      <c r="G44" s="99"/>
      <c r="H44" s="99"/>
      <c r="I44" s="99"/>
      <c r="J44" s="99"/>
      <c r="K44" s="99"/>
      <c r="L44" s="99"/>
      <c r="M44" s="99"/>
      <c r="N44" s="99"/>
      <c r="O44" s="478"/>
      <c r="P44" s="478">
        <f>+P41-O41</f>
        <v>-869.46800000000076</v>
      </c>
      <c r="Q44" s="1053">
        <f>+Q41-P41</f>
        <v>160.46800000000076</v>
      </c>
      <c r="R44" s="478"/>
      <c r="S44" s="478"/>
      <c r="T44" s="1053"/>
      <c r="U44" s="1053"/>
      <c r="V44" s="478"/>
      <c r="W44" s="478"/>
      <c r="X44" s="478"/>
      <c r="Y44" s="478"/>
      <c r="Z44" s="478"/>
      <c r="AA44" s="1053"/>
      <c r="AB44" s="1053"/>
      <c r="AC44" s="1053"/>
      <c r="AD44" s="1053"/>
      <c r="AE44" s="1053"/>
      <c r="AF44" s="1053"/>
      <c r="AG44" s="1053"/>
      <c r="AH44" s="1951"/>
      <c r="AI44" s="475"/>
      <c r="AJ44" s="1951"/>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481"/>
      <c r="BS44" s="1040"/>
      <c r="BT44" s="1040"/>
      <c r="BU44" s="1040"/>
      <c r="BV44" s="479"/>
      <c r="BW44" s="1040"/>
      <c r="BX44" s="1040"/>
      <c r="BY44" s="1040"/>
      <c r="BZ44" s="479"/>
      <c r="CA44" s="1040"/>
      <c r="CB44" s="1040"/>
      <c r="CC44" s="1040"/>
      <c r="CD44" s="479"/>
      <c r="CE44" s="1040">
        <f t="shared" ref="CE44:CO44" si="29">+CE41-CD41</f>
        <v>-254</v>
      </c>
      <c r="CF44" s="1040">
        <f t="shared" si="29"/>
        <v>-267</v>
      </c>
      <c r="CG44" s="480">
        <f t="shared" si="29"/>
        <v>-6451</v>
      </c>
      <c r="CH44" s="479">
        <f t="shared" si="29"/>
        <v>-98</v>
      </c>
      <c r="CI44" s="1040">
        <f t="shared" si="29"/>
        <v>-426.0482186732188</v>
      </c>
      <c r="CJ44" s="1040">
        <f t="shared" si="29"/>
        <v>-311.35380536887897</v>
      </c>
      <c r="CK44" s="480">
        <f t="shared" si="29"/>
        <v>-34.065975957902992</v>
      </c>
      <c r="CL44" s="479">
        <f t="shared" si="29"/>
        <v>563.46800000000076</v>
      </c>
      <c r="CM44" s="1040">
        <f t="shared" si="29"/>
        <v>28.200000000000728</v>
      </c>
      <c r="CN44" s="1040">
        <f t="shared" si="29"/>
        <v>-192.20000000000073</v>
      </c>
      <c r="CO44" s="1040">
        <f t="shared" si="29"/>
        <v>-239</v>
      </c>
      <c r="CP44" s="479"/>
      <c r="CQ44" s="1040"/>
      <c r="CR44" s="1040"/>
      <c r="CS44" s="1040"/>
      <c r="CT44" s="479"/>
      <c r="CU44" s="1040"/>
      <c r="CV44" s="1040"/>
      <c r="CW44" s="480"/>
      <c r="CX44" s="479"/>
      <c r="CY44" s="1040"/>
      <c r="CZ44" s="1040"/>
      <c r="DA44" s="1040"/>
      <c r="DB44" s="479"/>
      <c r="DC44" s="1040"/>
      <c r="DD44" s="1040"/>
      <c r="DE44" s="1040"/>
      <c r="DF44" s="479"/>
      <c r="DG44" s="1040"/>
      <c r="DH44" s="1040"/>
      <c r="DI44" s="480"/>
      <c r="DJ44" s="479"/>
      <c r="DK44" s="1040"/>
      <c r="DL44" s="1040"/>
      <c r="DM44" s="1040"/>
      <c r="DN44" s="479"/>
      <c r="DO44" s="1040"/>
      <c r="DP44" s="1040"/>
      <c r="DQ44" s="480"/>
      <c r="DR44" s="1040"/>
      <c r="DS44" s="1040"/>
      <c r="DT44" s="1040"/>
      <c r="DU44" s="480"/>
      <c r="DV44" s="1040"/>
      <c r="DW44" s="1040"/>
      <c r="DX44" s="1040"/>
      <c r="DY44" s="480"/>
    </row>
    <row r="45" spans="1:130" ht="15" hidden="1" customHeight="1" outlineLevel="2">
      <c r="A45" s="1602"/>
      <c r="B45" s="99"/>
      <c r="C45" s="99"/>
      <c r="D45" s="99"/>
      <c r="E45" s="99"/>
      <c r="F45" s="99"/>
      <c r="G45" s="99"/>
      <c r="H45" s="99"/>
      <c r="I45" s="99"/>
      <c r="J45" s="99"/>
      <c r="K45" s="99"/>
      <c r="L45" s="99"/>
      <c r="M45" s="99"/>
      <c r="N45" s="99"/>
      <c r="O45" s="478"/>
      <c r="P45" s="478"/>
      <c r="Q45" s="1053"/>
      <c r="R45" s="99"/>
      <c r="S45" s="99"/>
      <c r="T45" s="1040"/>
      <c r="U45" s="1040"/>
      <c r="V45" s="99"/>
      <c r="W45" s="99"/>
      <c r="X45" s="99"/>
      <c r="Y45" s="99"/>
      <c r="Z45" s="99"/>
      <c r="AA45" s="1040"/>
      <c r="AB45" s="1040"/>
      <c r="AC45" s="1040"/>
      <c r="AD45" s="1040"/>
      <c r="AE45" s="1040"/>
      <c r="AF45" s="1040"/>
      <c r="AG45" s="1040"/>
      <c r="AH45" s="1951"/>
      <c r="AI45" s="475"/>
      <c r="AJ45" s="1951"/>
      <c r="AK45" s="99"/>
      <c r="AL45" s="99"/>
      <c r="AM45" s="99"/>
      <c r="AN45" s="99"/>
      <c r="AO45" s="99"/>
      <c r="AP45" s="99"/>
      <c r="AQ45" s="99"/>
      <c r="AR45" s="99"/>
      <c r="AS45" s="99"/>
      <c r="AT45" s="99"/>
      <c r="AU45" s="99"/>
      <c r="AV45" s="99"/>
      <c r="AW45" s="99"/>
      <c r="AX45" s="99"/>
      <c r="AY45" s="99"/>
      <c r="AZ45" s="99"/>
      <c r="BA45" s="99"/>
      <c r="BB45" s="99"/>
      <c r="BC45" s="99"/>
      <c r="BD45" s="99"/>
      <c r="BE45" s="99"/>
      <c r="BF45" s="99"/>
      <c r="BG45" s="99"/>
      <c r="BH45" s="99"/>
      <c r="BI45" s="99"/>
      <c r="BJ45" s="99"/>
      <c r="BK45" s="99"/>
      <c r="BL45" s="99"/>
      <c r="BM45" s="99"/>
      <c r="BN45" s="99"/>
      <c r="BO45" s="99"/>
      <c r="BP45" s="99"/>
      <c r="BQ45" s="99"/>
      <c r="BR45" s="481"/>
      <c r="BS45" s="1040"/>
      <c r="BT45" s="1040"/>
      <c r="BU45" s="1040"/>
      <c r="BV45" s="479"/>
      <c r="BW45" s="1040"/>
      <c r="BX45" s="1040"/>
      <c r="BY45" s="1040"/>
      <c r="BZ45" s="479"/>
      <c r="CA45" s="1040"/>
      <c r="CB45" s="1040"/>
      <c r="CC45" s="1040"/>
      <c r="CD45" s="479"/>
      <c r="CE45" s="1040"/>
      <c r="CF45" s="1040"/>
      <c r="CG45" s="480"/>
      <c r="CH45" s="479"/>
      <c r="CI45" s="1040"/>
      <c r="CJ45" s="1040"/>
      <c r="CK45" s="480"/>
      <c r="CL45" s="479"/>
      <c r="CM45" s="1040"/>
      <c r="CN45" s="1040"/>
      <c r="CO45" s="1040"/>
      <c r="CP45" s="479"/>
      <c r="CQ45" s="1040"/>
      <c r="CR45" s="1040"/>
      <c r="CS45" s="1040"/>
      <c r="CT45" s="479"/>
      <c r="CU45" s="1040"/>
      <c r="CV45" s="1040"/>
      <c r="CW45" s="480"/>
      <c r="CX45" s="479"/>
      <c r="CY45" s="1040"/>
      <c r="CZ45" s="1040"/>
      <c r="DA45" s="1040"/>
      <c r="DB45" s="479"/>
      <c r="DC45" s="1040"/>
      <c r="DD45" s="1040"/>
      <c r="DE45" s="1040"/>
      <c r="DF45" s="479"/>
      <c r="DG45" s="1040"/>
      <c r="DH45" s="1040"/>
      <c r="DI45" s="480"/>
      <c r="DJ45" s="479"/>
      <c r="DK45" s="1040"/>
      <c r="DL45" s="1040"/>
      <c r="DM45" s="1040"/>
      <c r="DN45" s="479"/>
      <c r="DO45" s="1040"/>
      <c r="DP45" s="1040"/>
      <c r="DQ45" s="480"/>
      <c r="DR45" s="1040"/>
      <c r="DS45" s="1040"/>
      <c r="DT45" s="1040"/>
      <c r="DU45" s="480"/>
      <c r="DV45" s="1040"/>
      <c r="DW45" s="1040"/>
      <c r="DX45" s="1040"/>
      <c r="DY45" s="480"/>
    </row>
    <row r="46" spans="1:130" ht="15" hidden="1" customHeight="1" outlineLevel="2">
      <c r="A46" s="1599" t="s">
        <v>238</v>
      </c>
      <c r="B46" s="99"/>
      <c r="C46" s="99"/>
      <c r="D46" s="99"/>
      <c r="E46" s="99"/>
      <c r="F46" s="99"/>
      <c r="G46" s="99"/>
      <c r="H46" s="99"/>
      <c r="I46" s="99"/>
      <c r="J46" s="99"/>
      <c r="K46" s="99"/>
      <c r="L46" s="99"/>
      <c r="M46" s="99"/>
      <c r="N46" s="99"/>
      <c r="O46" s="592"/>
      <c r="P46" s="592"/>
      <c r="Q46" s="1054"/>
      <c r="R46" s="592"/>
      <c r="S46" s="592"/>
      <c r="T46" s="1054"/>
      <c r="U46" s="1054"/>
      <c r="V46" s="592"/>
      <c r="W46" s="592"/>
      <c r="X46" s="592"/>
      <c r="Y46" s="592"/>
      <c r="Z46" s="592"/>
      <c r="AA46" s="1054"/>
      <c r="AB46" s="1054"/>
      <c r="AC46" s="1054"/>
      <c r="AD46" s="1054"/>
      <c r="AE46" s="1054"/>
      <c r="AF46" s="1054"/>
      <c r="AG46" s="1054"/>
      <c r="AH46" s="1951"/>
      <c r="AI46" s="475"/>
      <c r="AJ46" s="1951"/>
      <c r="AK46" s="99"/>
      <c r="AL46" s="99"/>
      <c r="AM46" s="99"/>
      <c r="AN46" s="99"/>
      <c r="AO46" s="99"/>
      <c r="AP46" s="99"/>
      <c r="AQ46" s="99"/>
      <c r="AR46" s="99"/>
      <c r="AS46" s="99"/>
      <c r="AT46" s="99"/>
      <c r="AU46" s="99"/>
      <c r="AV46" s="99"/>
      <c r="AW46" s="99"/>
      <c r="AX46" s="99"/>
      <c r="AY46" s="99"/>
      <c r="AZ46" s="99"/>
      <c r="BA46" s="99"/>
      <c r="BB46" s="99"/>
      <c r="BC46" s="99"/>
      <c r="BD46" s="99"/>
      <c r="BE46" s="99"/>
      <c r="BF46" s="99"/>
      <c r="BG46" s="99"/>
      <c r="BH46" s="99"/>
      <c r="BI46" s="99"/>
      <c r="BJ46" s="99"/>
      <c r="BK46" s="99"/>
      <c r="BL46" s="99"/>
      <c r="BM46" s="99"/>
      <c r="BN46" s="99"/>
      <c r="BO46" s="99"/>
      <c r="BP46" s="99"/>
      <c r="BQ46" s="99"/>
      <c r="BR46" s="481"/>
      <c r="BS46" s="1040"/>
      <c r="BT46" s="1040"/>
      <c r="BU46" s="1040"/>
      <c r="BV46" s="479"/>
      <c r="BW46" s="1040"/>
      <c r="BX46" s="1040"/>
      <c r="BY46" s="1040"/>
      <c r="BZ46" s="479"/>
      <c r="CA46" s="1040"/>
      <c r="CB46" s="1040"/>
      <c r="CC46" s="1040"/>
      <c r="CD46" s="593"/>
      <c r="CE46" s="1054"/>
      <c r="CF46" s="1054"/>
      <c r="CG46" s="594"/>
      <c r="CH46" s="593"/>
      <c r="CI46" s="1054"/>
      <c r="CJ46" s="1054"/>
      <c r="CK46" s="594"/>
      <c r="CL46" s="593"/>
      <c r="CM46" s="1054"/>
      <c r="CN46" s="1054"/>
      <c r="CO46" s="1054"/>
      <c r="CP46" s="593"/>
      <c r="CQ46" s="1054"/>
      <c r="CR46" s="1054"/>
      <c r="CS46" s="1054"/>
      <c r="CT46" s="593"/>
      <c r="CU46" s="1054"/>
      <c r="CV46" s="1054"/>
      <c r="CW46" s="594"/>
      <c r="CX46" s="593"/>
      <c r="CY46" s="1054"/>
      <c r="CZ46" s="1054"/>
      <c r="DA46" s="1054"/>
      <c r="DB46" s="593"/>
      <c r="DC46" s="1054"/>
      <c r="DD46" s="1054"/>
      <c r="DE46" s="1054"/>
      <c r="DF46" s="593"/>
      <c r="DG46" s="1054"/>
      <c r="DH46" s="1054"/>
      <c r="DI46" s="594"/>
      <c r="DJ46" s="593"/>
      <c r="DK46" s="1054"/>
      <c r="DL46" s="1054"/>
      <c r="DM46" s="1054"/>
      <c r="DN46" s="593"/>
      <c r="DO46" s="1054"/>
      <c r="DP46" s="1054"/>
      <c r="DQ46" s="594"/>
      <c r="DR46" s="1054"/>
      <c r="DS46" s="1054"/>
      <c r="DT46" s="1054"/>
      <c r="DU46" s="594"/>
      <c r="DV46" s="1054"/>
      <c r="DW46" s="1054"/>
      <c r="DX46" s="1054"/>
      <c r="DY46" s="594"/>
    </row>
    <row r="47" spans="1:130" s="120" customFormat="1" ht="15" hidden="1" customHeight="1" outlineLevel="2">
      <c r="A47" s="1599" t="s">
        <v>834</v>
      </c>
      <c r="B47" s="540"/>
      <c r="C47" s="540"/>
      <c r="D47" s="540"/>
      <c r="E47" s="540"/>
      <c r="F47" s="540"/>
      <c r="G47" s="540"/>
      <c r="H47" s="540"/>
      <c r="I47" s="540"/>
      <c r="J47" s="540"/>
      <c r="K47" s="540"/>
      <c r="L47" s="540"/>
      <c r="M47" s="540"/>
      <c r="N47" s="540"/>
      <c r="O47" s="540"/>
      <c r="P47" s="540"/>
      <c r="Q47" s="1305"/>
      <c r="R47" s="540"/>
      <c r="S47" s="540"/>
      <c r="T47" s="1056"/>
      <c r="U47" s="1056"/>
      <c r="V47" s="540"/>
      <c r="W47" s="540"/>
      <c r="X47" s="540"/>
      <c r="Y47" s="540"/>
      <c r="Z47" s="540"/>
      <c r="AA47" s="1056"/>
      <c r="AB47" s="1056"/>
      <c r="AC47" s="1056"/>
      <c r="AD47" s="1056"/>
      <c r="AE47" s="1056"/>
      <c r="AF47" s="1056"/>
      <c r="AG47" s="1056"/>
      <c r="AH47" s="1950"/>
      <c r="AI47" s="475"/>
      <c r="AJ47" s="1950"/>
      <c r="AK47" s="540"/>
      <c r="AL47" s="540"/>
      <c r="AM47" s="540"/>
      <c r="AN47" s="540"/>
      <c r="AO47" s="540"/>
      <c r="AP47" s="540"/>
      <c r="AQ47" s="540"/>
      <c r="AR47" s="540"/>
      <c r="AS47" s="540"/>
      <c r="AT47" s="540"/>
      <c r="AU47" s="540"/>
      <c r="AV47" s="540"/>
      <c r="AW47" s="540"/>
      <c r="AX47" s="540"/>
      <c r="AY47" s="540"/>
      <c r="AZ47" s="540"/>
      <c r="BA47" s="540"/>
      <c r="BB47" s="540"/>
      <c r="BC47" s="540"/>
      <c r="BD47" s="540"/>
      <c r="BE47" s="540"/>
      <c r="BF47" s="540"/>
      <c r="BG47" s="540"/>
      <c r="BH47" s="540"/>
      <c r="BI47" s="540"/>
      <c r="BJ47" s="540"/>
      <c r="BK47" s="540"/>
      <c r="BL47" s="540"/>
      <c r="BM47" s="540"/>
      <c r="BN47" s="540"/>
      <c r="BO47" s="540"/>
      <c r="BP47" s="540"/>
      <c r="BQ47" s="540"/>
      <c r="BR47" s="541"/>
      <c r="BS47" s="1056"/>
      <c r="BT47" s="1056"/>
      <c r="BU47" s="1056"/>
      <c r="BV47" s="541"/>
      <c r="BW47" s="1056"/>
      <c r="BX47" s="1056"/>
      <c r="BY47" s="1056"/>
      <c r="BZ47" s="541"/>
      <c r="CA47" s="1056"/>
      <c r="CB47" s="1056"/>
      <c r="CC47" s="1056"/>
      <c r="CD47" s="541"/>
      <c r="CE47" s="1056"/>
      <c r="CF47" s="1056"/>
      <c r="CG47" s="543"/>
      <c r="CH47" s="541"/>
      <c r="CI47" s="1056"/>
      <c r="CJ47" s="1056"/>
      <c r="CK47" s="543"/>
      <c r="CL47" s="542"/>
      <c r="CM47" s="1305"/>
      <c r="CN47" s="1305"/>
      <c r="CO47" s="1305"/>
      <c r="CP47" s="541"/>
      <c r="CQ47" s="1056"/>
      <c r="CR47" s="1056"/>
      <c r="CS47" s="1056"/>
      <c r="CT47" s="541"/>
      <c r="CU47" s="1056"/>
      <c r="CV47" s="1056"/>
      <c r="CW47" s="543"/>
      <c r="CX47" s="541"/>
      <c r="CY47" s="1056"/>
      <c r="CZ47" s="1056"/>
      <c r="DA47" s="1056"/>
      <c r="DB47" s="541"/>
      <c r="DC47" s="1056"/>
      <c r="DD47" s="1056"/>
      <c r="DE47" s="1056"/>
      <c r="DF47" s="541"/>
      <c r="DG47" s="1056"/>
      <c r="DH47" s="1056"/>
      <c r="DI47" s="543"/>
      <c r="DJ47" s="541"/>
      <c r="DK47" s="1056"/>
      <c r="DL47" s="1056"/>
      <c r="DM47" s="1056"/>
      <c r="DN47" s="541"/>
      <c r="DO47" s="1056"/>
      <c r="DP47" s="1056"/>
      <c r="DQ47" s="543"/>
      <c r="DR47" s="1056"/>
      <c r="DS47" s="1056"/>
      <c r="DT47" s="1056"/>
      <c r="DU47" s="543"/>
      <c r="DV47" s="1056"/>
      <c r="DW47" s="1056"/>
      <c r="DX47" s="1056"/>
      <c r="DY47" s="543"/>
      <c r="DZ47" s="562"/>
    </row>
    <row r="48" spans="1:130" ht="15" hidden="1" customHeight="1" outlineLevel="2">
      <c r="A48" s="1603"/>
      <c r="B48" s="86"/>
      <c r="C48" s="86"/>
      <c r="D48" s="86"/>
      <c r="E48" s="86"/>
      <c r="F48" s="86"/>
      <c r="G48" s="86"/>
      <c r="H48" s="86"/>
      <c r="I48" s="86"/>
      <c r="J48" s="86"/>
      <c r="K48" s="86"/>
      <c r="L48" s="86"/>
      <c r="M48" s="86"/>
      <c r="N48" s="86"/>
      <c r="O48" s="217"/>
      <c r="P48" s="86"/>
      <c r="Q48" s="1103"/>
      <c r="R48" s="86"/>
      <c r="S48" s="86"/>
      <c r="T48" s="1064"/>
      <c r="U48" s="1064"/>
      <c r="V48" s="86"/>
      <c r="W48" s="86"/>
      <c r="X48" s="86"/>
      <c r="Y48" s="86"/>
      <c r="Z48" s="86"/>
      <c r="AA48" s="1043"/>
      <c r="AB48" s="1043"/>
      <c r="AC48" s="1043"/>
      <c r="AD48" s="1043"/>
      <c r="AE48" s="1043"/>
      <c r="AF48" s="1043"/>
      <c r="AG48" s="1043"/>
      <c r="AH48" s="1947"/>
      <c r="AI48" s="606"/>
      <c r="AJ48" s="1947"/>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607"/>
      <c r="BS48" s="1064"/>
      <c r="BT48" s="1064"/>
      <c r="BU48" s="1064"/>
      <c r="BV48" s="569"/>
      <c r="BW48" s="1064"/>
      <c r="BX48" s="1064"/>
      <c r="BY48" s="1064"/>
      <c r="BZ48" s="569"/>
      <c r="CA48" s="1064"/>
      <c r="CB48" s="1064"/>
      <c r="CC48" s="1064"/>
      <c r="CD48" s="569"/>
      <c r="CE48" s="1064"/>
      <c r="CF48" s="1064"/>
      <c r="CG48" s="568"/>
      <c r="CH48" s="569"/>
      <c r="CI48" s="1064"/>
      <c r="CJ48" s="1064"/>
      <c r="CK48" s="568"/>
      <c r="CL48" s="164"/>
      <c r="CM48" s="1103"/>
      <c r="CN48" s="1103"/>
      <c r="CO48" s="1103"/>
      <c r="CP48" s="569"/>
      <c r="CQ48" s="1064"/>
      <c r="CR48" s="1064"/>
      <c r="CS48" s="1064"/>
      <c r="CT48" s="496"/>
      <c r="CU48" s="1043"/>
      <c r="CV48" s="1043"/>
      <c r="CW48" s="497"/>
      <c r="CX48" s="496"/>
      <c r="CY48" s="1043"/>
      <c r="CZ48" s="1043"/>
      <c r="DA48" s="1043"/>
      <c r="DB48" s="496"/>
      <c r="DC48" s="1043"/>
      <c r="DD48" s="1043"/>
      <c r="DE48" s="1043"/>
      <c r="DF48" s="496"/>
      <c r="DG48" s="1043"/>
      <c r="DH48" s="1043"/>
      <c r="DI48" s="497"/>
      <c r="DJ48" s="496"/>
      <c r="DK48" s="1043"/>
      <c r="DL48" s="1043"/>
      <c r="DM48" s="1043"/>
      <c r="DN48" s="496"/>
      <c r="DO48" s="1043"/>
      <c r="DP48" s="1043"/>
      <c r="DQ48" s="497"/>
      <c r="DR48" s="1043"/>
      <c r="DS48" s="1043"/>
      <c r="DT48" s="1043"/>
      <c r="DU48" s="497"/>
      <c r="DV48" s="1043"/>
      <c r="DW48" s="1043"/>
      <c r="DX48" s="1043"/>
      <c r="DY48" s="497"/>
    </row>
    <row r="49" spans="1:130" ht="15" hidden="1" customHeight="1" outlineLevel="2">
      <c r="A49" s="1603" t="s">
        <v>1560</v>
      </c>
      <c r="B49" s="86"/>
      <c r="C49" s="86"/>
      <c r="D49" s="86"/>
      <c r="E49" s="86"/>
      <c r="F49" s="86"/>
      <c r="G49" s="86"/>
      <c r="H49" s="86"/>
      <c r="I49" s="86"/>
      <c r="J49" s="86"/>
      <c r="K49" s="86"/>
      <c r="L49" s="86"/>
      <c r="M49" s="86"/>
      <c r="N49" s="86"/>
      <c r="O49" s="217"/>
      <c r="P49" s="86"/>
      <c r="Q49" s="1103"/>
      <c r="R49" s="86"/>
      <c r="S49" s="86"/>
      <c r="T49" s="1064"/>
      <c r="U49" s="1064"/>
      <c r="V49" s="86"/>
      <c r="W49" s="86"/>
      <c r="X49" s="86"/>
      <c r="Y49" s="86"/>
      <c r="Z49" s="86"/>
      <c r="AA49" s="1043"/>
      <c r="AB49" s="1043"/>
      <c r="AC49" s="1043"/>
      <c r="AD49" s="1043"/>
      <c r="AE49" s="1043"/>
      <c r="AF49" s="1043"/>
      <c r="AG49" s="1043"/>
      <c r="AH49" s="1947"/>
      <c r="AI49" s="606"/>
      <c r="AJ49" s="1947"/>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607"/>
      <c r="BS49" s="1064"/>
      <c r="BT49" s="1064"/>
      <c r="BU49" s="1064"/>
      <c r="BV49" s="569"/>
      <c r="BW49" s="1064"/>
      <c r="BX49" s="1064"/>
      <c r="BY49" s="1064"/>
      <c r="BZ49" s="569"/>
      <c r="CA49" s="1064"/>
      <c r="CB49" s="1064"/>
      <c r="CC49" s="1064"/>
      <c r="CD49" s="569"/>
      <c r="CE49" s="1064"/>
      <c r="CF49" s="1064"/>
      <c r="CG49" s="568"/>
      <c r="CH49" s="569"/>
      <c r="CI49" s="1064"/>
      <c r="CJ49" s="1064"/>
      <c r="CK49" s="568"/>
      <c r="CL49" s="595">
        <v>72.52</v>
      </c>
      <c r="CM49" s="1297">
        <v>75.349999999999994</v>
      </c>
      <c r="CN49" s="1297">
        <v>78.040000000000006</v>
      </c>
      <c r="CO49" s="1297">
        <v>80.23</v>
      </c>
      <c r="CP49" s="595">
        <v>81.93</v>
      </c>
      <c r="CQ49" s="1297">
        <v>84.48</v>
      </c>
      <c r="CR49" s="1297">
        <v>86.55</v>
      </c>
      <c r="CS49" s="1297">
        <v>88.85</v>
      </c>
      <c r="CT49" s="595">
        <v>90.55</v>
      </c>
      <c r="CU49" s="1297">
        <v>92.44</v>
      </c>
      <c r="CV49" s="1297">
        <v>94.2</v>
      </c>
      <c r="CW49" s="596">
        <v>96.43</v>
      </c>
      <c r="CX49" s="595">
        <v>97.88</v>
      </c>
      <c r="CY49" s="1297">
        <v>100.26</v>
      </c>
      <c r="CZ49" s="1297">
        <v>103.86</v>
      </c>
      <c r="DA49" s="1297">
        <v>105.63</v>
      </c>
      <c r="DB49" s="595">
        <v>107.95</v>
      </c>
      <c r="DC49" s="1297">
        <v>110.46</v>
      </c>
      <c r="DD49" s="1297">
        <v>113.65</v>
      </c>
      <c r="DE49" s="1297">
        <v>117.88</v>
      </c>
      <c r="DF49" s="595">
        <v>120.17</v>
      </c>
      <c r="DG49" s="1297">
        <v>122.57</v>
      </c>
      <c r="DH49" s="1297">
        <v>125.32</v>
      </c>
      <c r="DI49" s="596">
        <v>129.29</v>
      </c>
      <c r="DJ49" s="595"/>
      <c r="DK49" s="1297"/>
      <c r="DL49" s="1297"/>
      <c r="DM49" s="1297"/>
      <c r="DN49" s="496"/>
      <c r="DO49" s="1043"/>
      <c r="DP49" s="1043"/>
      <c r="DQ49" s="497"/>
      <c r="DR49" s="1043"/>
      <c r="DS49" s="1043"/>
      <c r="DT49" s="1043"/>
      <c r="DU49" s="497"/>
      <c r="DV49" s="1043"/>
      <c r="DW49" s="1043"/>
      <c r="DX49" s="1043"/>
      <c r="DY49" s="497"/>
    </row>
    <row r="50" spans="1:130" ht="15" hidden="1" customHeight="1" outlineLevel="1">
      <c r="A50" s="1603" t="s">
        <v>238</v>
      </c>
      <c r="B50" s="86"/>
      <c r="C50" s="86"/>
      <c r="D50" s="86"/>
      <c r="E50" s="86"/>
      <c r="F50" s="86"/>
      <c r="G50" s="86"/>
      <c r="H50" s="86"/>
      <c r="I50" s="86"/>
      <c r="J50" s="86"/>
      <c r="K50" s="86"/>
      <c r="L50" s="86"/>
      <c r="M50" s="86"/>
      <c r="N50" s="86"/>
      <c r="O50" s="217"/>
      <c r="P50" s="86"/>
      <c r="Q50" s="1519"/>
      <c r="R50" s="2455">
        <f t="shared" ref="R50:W50" si="30">+R53/12/R35*1000</f>
        <v>85.245464247598733</v>
      </c>
      <c r="S50" s="2455">
        <f t="shared" si="30"/>
        <v>93.074481475400859</v>
      </c>
      <c r="T50" s="1519">
        <f t="shared" si="30"/>
        <v>102.33053611026565</v>
      </c>
      <c r="U50" s="1519">
        <f t="shared" si="30"/>
        <v>112.75716412921263</v>
      </c>
      <c r="V50" s="2455">
        <f t="shared" si="30"/>
        <v>124.10601933706057</v>
      </c>
      <c r="W50" s="2455">
        <f t="shared" si="30"/>
        <v>136.15558708282663</v>
      </c>
      <c r="X50" s="2455">
        <f>+X53/12/X35*1000</f>
        <v>135.9599111804597</v>
      </c>
      <c r="Y50" s="2455">
        <f>+Y53/12/Y35*1000</f>
        <v>155.00800698791673</v>
      </c>
      <c r="Z50" s="2455">
        <f>+Z53/12/Z35*1000</f>
        <v>314.88327949112977</v>
      </c>
      <c r="AA50" s="1229">
        <f>+Z50*(1+AA51)</f>
        <v>638.07950619518863</v>
      </c>
      <c r="AB50" s="1229">
        <f t="shared" ref="AB50:AG50" si="31">+AA50*(1+AB51)</f>
        <v>1289.8139718476307</v>
      </c>
      <c r="AC50" s="1229">
        <f t="shared" si="31"/>
        <v>2600.7810101246491</v>
      </c>
      <c r="AD50" s="1229">
        <f t="shared" si="31"/>
        <v>5231.2111602704772</v>
      </c>
      <c r="AE50" s="1229">
        <f t="shared" si="31"/>
        <v>10495.902547674388</v>
      </c>
      <c r="AF50" s="1229">
        <f t="shared" si="31"/>
        <v>21006.500313375502</v>
      </c>
      <c r="AG50" s="1229">
        <f t="shared" si="31"/>
        <v>41937.379135879142</v>
      </c>
      <c r="AH50" s="1947"/>
      <c r="AI50" s="606"/>
      <c r="AJ50" s="1947"/>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607"/>
      <c r="BS50" s="1064"/>
      <c r="BT50" s="1064"/>
      <c r="BU50" s="1064"/>
      <c r="BV50" s="569"/>
      <c r="BW50" s="1064"/>
      <c r="BX50" s="1064"/>
      <c r="BY50" s="1064"/>
      <c r="BZ50" s="569"/>
      <c r="CA50" s="1064"/>
      <c r="CB50" s="1064"/>
      <c r="CC50" s="1064"/>
      <c r="CD50" s="569"/>
      <c r="CE50" s="1064"/>
      <c r="CF50" s="1064"/>
      <c r="CG50" s="568"/>
      <c r="CH50" s="569"/>
      <c r="CI50" s="1064"/>
      <c r="CJ50" s="1064"/>
      <c r="CK50" s="568"/>
      <c r="CL50" s="1527">
        <f t="shared" ref="CL50:DJ50" si="32">+CL53/3/CL35*1000</f>
        <v>72.52</v>
      </c>
      <c r="CM50" s="1519">
        <f t="shared" si="32"/>
        <v>75.365502093486171</v>
      </c>
      <c r="CN50" s="1519">
        <f t="shared" si="32"/>
        <v>78.040885260898619</v>
      </c>
      <c r="CO50" s="1519">
        <f t="shared" si="32"/>
        <v>80.239780442004914</v>
      </c>
      <c r="CP50" s="1527">
        <f t="shared" si="32"/>
        <v>81.935858043657987</v>
      </c>
      <c r="CQ50" s="1519">
        <f t="shared" si="32"/>
        <v>84.480758561557479</v>
      </c>
      <c r="CR50" s="1519">
        <f t="shared" si="32"/>
        <v>86.556027273896817</v>
      </c>
      <c r="CS50" s="1519">
        <f t="shared" si="32"/>
        <v>88.848642335000065</v>
      </c>
      <c r="CT50" s="1527">
        <f t="shared" si="32"/>
        <v>90.539274722333744</v>
      </c>
      <c r="CU50" s="1519">
        <f t="shared" si="32"/>
        <v>92.440522395173701</v>
      </c>
      <c r="CV50" s="1519">
        <f t="shared" si="32"/>
        <v>94.220670352357587</v>
      </c>
      <c r="CW50" s="1523">
        <f t="shared" si="32"/>
        <v>96.431283219438114</v>
      </c>
      <c r="CX50" s="1527">
        <f t="shared" si="32"/>
        <v>97.900307272106517</v>
      </c>
      <c r="CY50" s="1519">
        <f t="shared" si="32"/>
        <v>100.98128215103965</v>
      </c>
      <c r="CZ50" s="1519">
        <f t="shared" si="32"/>
        <v>104.61871155335407</v>
      </c>
      <c r="DA50" s="1519">
        <f t="shared" si="32"/>
        <v>106.40155045640822</v>
      </c>
      <c r="DB50" s="1527">
        <f t="shared" si="32"/>
        <v>107.94190958074</v>
      </c>
      <c r="DC50" s="1519">
        <f t="shared" si="32"/>
        <v>110.4737816720112</v>
      </c>
      <c r="DD50" s="1519">
        <f t="shared" si="32"/>
        <v>113.66229972155018</v>
      </c>
      <c r="DE50" s="1519">
        <f t="shared" si="32"/>
        <v>117.85929043896573</v>
      </c>
      <c r="DF50" s="1527">
        <f t="shared" si="32"/>
        <v>120.17086795287049</v>
      </c>
      <c r="DG50" s="1519">
        <f t="shared" si="32"/>
        <v>122.54412254412254</v>
      </c>
      <c r="DH50" s="1519">
        <f t="shared" si="32"/>
        <v>125.33526057977998</v>
      </c>
      <c r="DI50" s="1523">
        <f t="shared" si="32"/>
        <v>129.29549075067462</v>
      </c>
      <c r="DJ50" s="1527">
        <f t="shared" si="32"/>
        <v>131.38493944181147</v>
      </c>
      <c r="DK50" s="1519">
        <f>+DK53/3/DK35*1000</f>
        <v>135.15458912937947</v>
      </c>
      <c r="DL50" s="1519">
        <f>+DL53/3/DL35*1000</f>
        <v>136.88161037188672</v>
      </c>
      <c r="DM50" s="1519">
        <f>+DM53/3/DM35*1000</f>
        <v>141.56652620992216</v>
      </c>
      <c r="DN50" s="631">
        <f t="shared" ref="DN50:DO50" si="33">+DN53/3/DN35*1000</f>
        <v>141.78696702095783</v>
      </c>
      <c r="DO50" s="1229">
        <f t="shared" si="33"/>
        <v>142.95392953929539</v>
      </c>
      <c r="DP50" s="2277">
        <f t="shared" ref="DP50:DU50" si="34">+DP53/3/DP35*1000</f>
        <v>144.72334313658436</v>
      </c>
      <c r="DQ50" s="2885">
        <f t="shared" si="34"/>
        <v>149.98375794700451</v>
      </c>
      <c r="DR50" s="2277">
        <f t="shared" si="34"/>
        <v>151.27241794853617</v>
      </c>
      <c r="DS50" s="2277">
        <f t="shared" si="34"/>
        <v>153.22794099954282</v>
      </c>
      <c r="DT50" s="2277">
        <f t="shared" si="34"/>
        <v>156.81668012627563</v>
      </c>
      <c r="DU50" s="2885">
        <f t="shared" si="34"/>
        <v>159.04612237770959</v>
      </c>
      <c r="DV50" s="3426"/>
      <c r="DW50" s="3426"/>
      <c r="DX50" s="3426"/>
      <c r="DY50" s="3427"/>
      <c r="DZ50" s="430"/>
    </row>
    <row r="51" spans="1:130" s="1615" customFormat="1" ht="15" hidden="1" customHeight="1" outlineLevel="1">
      <c r="A51" s="1614" t="s">
        <v>1453</v>
      </c>
      <c r="B51" s="295"/>
      <c r="C51" s="295"/>
      <c r="D51" s="295"/>
      <c r="E51" s="295"/>
      <c r="F51" s="295"/>
      <c r="G51" s="295"/>
      <c r="H51" s="295"/>
      <c r="I51" s="295"/>
      <c r="J51" s="295"/>
      <c r="K51" s="295"/>
      <c r="L51" s="295"/>
      <c r="M51" s="295"/>
      <c r="N51" s="295"/>
      <c r="O51" s="295"/>
      <c r="P51" s="295"/>
      <c r="Q51" s="1102"/>
      <c r="R51" s="295"/>
      <c r="S51" s="295">
        <f t="shared" ref="S51:Z51" si="35">+S50/R50-1</f>
        <v>9.1840865633184166E-2</v>
      </c>
      <c r="T51" s="1130">
        <f t="shared" si="35"/>
        <v>9.9447823808839875E-2</v>
      </c>
      <c r="U51" s="1130">
        <f t="shared" si="35"/>
        <v>0.10189165829945246</v>
      </c>
      <c r="V51" s="295">
        <f t="shared" si="35"/>
        <v>0.10064863989345163</v>
      </c>
      <c r="W51" s="295">
        <f t="shared" si="35"/>
        <v>9.7090921215034154E-2</v>
      </c>
      <c r="X51" s="295">
        <f t="shared" si="35"/>
        <v>-1.4371492684166487E-3</v>
      </c>
      <c r="Y51" s="295">
        <f t="shared" si="35"/>
        <v>0.14010082561891712</v>
      </c>
      <c r="Z51" s="295">
        <f t="shared" si="35"/>
        <v>1.0314000909364363</v>
      </c>
      <c r="AA51" s="1618">
        <f>+Z51-0.005</f>
        <v>1.0264000909364364</v>
      </c>
      <c r="AB51" s="1618">
        <f t="shared" ref="AB51:AG51" si="36">+AA51-0.005</f>
        <v>1.0214000909364365</v>
      </c>
      <c r="AC51" s="1618">
        <f t="shared" si="36"/>
        <v>1.0164000909364366</v>
      </c>
      <c r="AD51" s="1618">
        <f t="shared" si="36"/>
        <v>1.0114000909364367</v>
      </c>
      <c r="AE51" s="1618">
        <f t="shared" si="36"/>
        <v>1.0064000909364368</v>
      </c>
      <c r="AF51" s="1618">
        <f t="shared" si="36"/>
        <v>1.0014000909364369</v>
      </c>
      <c r="AG51" s="1618">
        <f t="shared" si="36"/>
        <v>0.99640009093643689</v>
      </c>
      <c r="AH51" s="1953"/>
      <c r="AI51" s="1243"/>
      <c r="AJ51" s="1953"/>
      <c r="AK51" s="295"/>
      <c r="AL51" s="295"/>
      <c r="AM51" s="295"/>
      <c r="AN51" s="295"/>
      <c r="AO51" s="295"/>
      <c r="AP51" s="295"/>
      <c r="AQ51" s="295"/>
      <c r="AR51" s="295"/>
      <c r="AS51" s="295"/>
      <c r="AT51" s="295"/>
      <c r="AU51" s="295"/>
      <c r="AV51" s="295"/>
      <c r="AW51" s="295"/>
      <c r="AX51" s="295"/>
      <c r="AY51" s="295"/>
      <c r="AZ51" s="295"/>
      <c r="BA51" s="295"/>
      <c r="BB51" s="295"/>
      <c r="BC51" s="295"/>
      <c r="BD51" s="295"/>
      <c r="BE51" s="295"/>
      <c r="BF51" s="295"/>
      <c r="BG51" s="295"/>
      <c r="BH51" s="295"/>
      <c r="BI51" s="295"/>
      <c r="BJ51" s="295"/>
      <c r="BK51" s="295"/>
      <c r="BL51" s="295"/>
      <c r="BM51" s="295"/>
      <c r="BN51" s="295"/>
      <c r="BO51" s="295"/>
      <c r="BP51" s="295"/>
      <c r="BQ51" s="295"/>
      <c r="BR51" s="298"/>
      <c r="BS51" s="1130"/>
      <c r="BT51" s="1130"/>
      <c r="BU51" s="1130"/>
      <c r="BV51" s="298"/>
      <c r="BW51" s="1130"/>
      <c r="BX51" s="1130"/>
      <c r="BY51" s="1130"/>
      <c r="BZ51" s="298"/>
      <c r="CA51" s="1130"/>
      <c r="CB51" s="1130"/>
      <c r="CC51" s="1130"/>
      <c r="CD51" s="298"/>
      <c r="CE51" s="1130"/>
      <c r="CF51" s="1130"/>
      <c r="CG51" s="299"/>
      <c r="CH51" s="298"/>
      <c r="CI51" s="1130"/>
      <c r="CJ51" s="1130"/>
      <c r="CK51" s="299"/>
      <c r="CL51" s="1616"/>
      <c r="CM51" s="1102"/>
      <c r="CN51" s="1102"/>
      <c r="CO51" s="1102"/>
      <c r="CP51" s="298">
        <f t="shared" ref="CP51:DM51" si="37">CP50/CL50-1</f>
        <v>0.12983808664724195</v>
      </c>
      <c r="CQ51" s="1130">
        <f t="shared" si="37"/>
        <v>0.12094733286277859</v>
      </c>
      <c r="CR51" s="1130">
        <f t="shared" si="37"/>
        <v>0.10911129447764734</v>
      </c>
      <c r="CS51" s="1130">
        <f t="shared" si="37"/>
        <v>0.10728920051342117</v>
      </c>
      <c r="CT51" s="298">
        <f t="shared" si="37"/>
        <v>0.10500185003361517</v>
      </c>
      <c r="CU51" s="1130">
        <f t="shared" si="37"/>
        <v>9.4219843300960449E-2</v>
      </c>
      <c r="CV51" s="1130">
        <f t="shared" si="37"/>
        <v>8.85512346148567E-2</v>
      </c>
      <c r="CW51" s="299">
        <f t="shared" si="37"/>
        <v>8.5343351177477933E-2</v>
      </c>
      <c r="CX51" s="298">
        <f t="shared" si="37"/>
        <v>8.1302093178320822E-2</v>
      </c>
      <c r="CY51" s="1130">
        <f t="shared" si="37"/>
        <v>9.2391946027252869E-2</v>
      </c>
      <c r="CZ51" s="1130">
        <f t="shared" si="37"/>
        <v>0.11035838698781131</v>
      </c>
      <c r="DA51" s="1130">
        <f t="shared" si="37"/>
        <v>0.10339245630779237</v>
      </c>
      <c r="DB51" s="298">
        <f t="shared" si="37"/>
        <v>0.1025696710095465</v>
      </c>
      <c r="DC51" s="1130">
        <f t="shared" si="37"/>
        <v>9.4002564819620993E-2</v>
      </c>
      <c r="DD51" s="1130">
        <f t="shared" si="37"/>
        <v>8.6443314335638677E-2</v>
      </c>
      <c r="DE51" s="1130">
        <f t="shared" si="37"/>
        <v>0.10768395698568001</v>
      </c>
      <c r="DF51" s="298">
        <f t="shared" si="37"/>
        <v>0.1132920329057483</v>
      </c>
      <c r="DG51" s="1130">
        <f t="shared" si="37"/>
        <v>0.10925977810687537</v>
      </c>
      <c r="DH51" s="1130">
        <f t="shared" si="37"/>
        <v>0.10269861587198403</v>
      </c>
      <c r="DI51" s="299">
        <f t="shared" si="37"/>
        <v>9.7032658767203461E-2</v>
      </c>
      <c r="DJ51" s="298">
        <f t="shared" si="37"/>
        <v>9.3317720675355265E-2</v>
      </c>
      <c r="DK51" s="1130">
        <f t="shared" si="37"/>
        <v>0.10290551944436555</v>
      </c>
      <c r="DL51" s="1130">
        <f t="shared" si="37"/>
        <v>9.2123714736740858E-2</v>
      </c>
      <c r="DM51" s="299">
        <f t="shared" si="37"/>
        <v>9.49069096532551E-2</v>
      </c>
      <c r="DN51" s="1130">
        <f t="shared" ref="DN51" si="38">DN50/DJ50-1</f>
        <v>7.9172145782761216E-2</v>
      </c>
      <c r="DO51" s="1130">
        <f t="shared" ref="DO51" si="39">DO50/DK50-1</f>
        <v>5.7706811586322404E-2</v>
      </c>
      <c r="DP51" s="1130">
        <f t="shared" ref="DP51" si="40">DP50/DL50-1</f>
        <v>5.7288431538705886E-2</v>
      </c>
      <c r="DQ51" s="299">
        <f t="shared" ref="DQ51" si="41">DQ50/DM50-1</f>
        <v>5.9457782587677865E-2</v>
      </c>
      <c r="DR51" s="1618">
        <f t="shared" ref="DR51" si="42">DR50/DN50-1</f>
        <v>6.6899314703418922E-2</v>
      </c>
      <c r="DS51" s="1618">
        <f t="shared" ref="DS51" si="43">DS50/DO50-1</f>
        <v>7.1869388224290232E-2</v>
      </c>
      <c r="DT51" s="1618">
        <f t="shared" ref="DT51" si="44">DT50/DP50-1</f>
        <v>8.3561758093703142E-2</v>
      </c>
      <c r="DU51" s="1617">
        <f t="shared" ref="DU51" si="45">DU50/DQ50-1</f>
        <v>6.0422305419945532E-2</v>
      </c>
      <c r="DV51" s="3428"/>
      <c r="DW51" s="3428"/>
      <c r="DX51" s="3428"/>
      <c r="DY51" s="3429"/>
      <c r="DZ51" s="105"/>
    </row>
    <row r="52" spans="1:130" s="1958" customFormat="1" ht="15" customHeight="1" collapsed="1">
      <c r="A52" s="2371"/>
      <c r="B52" s="1946"/>
      <c r="C52" s="1946"/>
      <c r="D52" s="1946"/>
      <c r="E52" s="1946"/>
      <c r="F52" s="1946"/>
      <c r="G52" s="1946"/>
      <c r="H52" s="1946"/>
      <c r="I52" s="1946"/>
      <c r="J52" s="1946"/>
      <c r="K52" s="1946"/>
      <c r="L52" s="1946"/>
      <c r="M52" s="1946"/>
      <c r="N52" s="1946"/>
      <c r="P52" s="1946"/>
      <c r="Q52" s="2286"/>
      <c r="R52" s="1946"/>
      <c r="S52" s="1946"/>
      <c r="T52" s="1903"/>
      <c r="U52" s="1903"/>
      <c r="V52" s="1946"/>
      <c r="W52" s="1946"/>
      <c r="X52" s="1946"/>
      <c r="Y52" s="1946"/>
      <c r="Z52" s="1946"/>
      <c r="AA52" s="2280"/>
      <c r="AB52" s="2280"/>
      <c r="AC52" s="2280"/>
      <c r="AD52" s="2280"/>
      <c r="AE52" s="2280"/>
      <c r="AF52" s="2280"/>
      <c r="AG52" s="2280"/>
      <c r="AH52" s="1947"/>
      <c r="AI52" s="1927"/>
      <c r="AJ52" s="1947"/>
      <c r="AK52" s="1946"/>
      <c r="AL52" s="1946"/>
      <c r="AM52" s="1946"/>
      <c r="AN52" s="1946"/>
      <c r="AO52" s="1946"/>
      <c r="AP52" s="1946"/>
      <c r="AQ52" s="1946"/>
      <c r="AR52" s="1946"/>
      <c r="AS52" s="1946"/>
      <c r="AT52" s="1946"/>
      <c r="AU52" s="1946"/>
      <c r="AV52" s="1946"/>
      <c r="AW52" s="1946"/>
      <c r="AX52" s="1946"/>
      <c r="AY52" s="1946"/>
      <c r="AZ52" s="1946"/>
      <c r="BA52" s="1946"/>
      <c r="BB52" s="1946"/>
      <c r="BC52" s="1946"/>
      <c r="BD52" s="1946"/>
      <c r="BE52" s="1946"/>
      <c r="BF52" s="1946"/>
      <c r="BG52" s="1946"/>
      <c r="BH52" s="1946"/>
      <c r="BI52" s="1946"/>
      <c r="BJ52" s="1946"/>
      <c r="BK52" s="1946"/>
      <c r="BL52" s="1946"/>
      <c r="BM52" s="1946"/>
      <c r="BN52" s="1946"/>
      <c r="BO52" s="1946"/>
      <c r="BP52" s="1946"/>
      <c r="BQ52" s="1946"/>
      <c r="BR52" s="3084" t="s">
        <v>1675</v>
      </c>
      <c r="BS52" s="3076"/>
      <c r="BT52" s="3076"/>
      <c r="BU52" s="3076"/>
      <c r="BV52" s="3077"/>
      <c r="BW52" s="3076"/>
      <c r="BX52" s="3076"/>
      <c r="BY52" s="3076"/>
      <c r="BZ52" s="3077"/>
      <c r="CA52" s="3076"/>
      <c r="CB52" s="3076"/>
      <c r="CC52" s="3076"/>
      <c r="CD52" s="3077"/>
      <c r="CE52" s="3076"/>
      <c r="CF52" s="3076"/>
      <c r="CG52" s="3078"/>
      <c r="CH52" s="3077"/>
      <c r="CI52" s="3076"/>
      <c r="CJ52" s="3076"/>
      <c r="CK52" s="3078"/>
      <c r="CL52" s="3079"/>
      <c r="CM52" s="3080"/>
      <c r="CN52" s="3080"/>
      <c r="CO52" s="3080"/>
      <c r="CP52" s="3077"/>
      <c r="CQ52" s="3076"/>
      <c r="CR52" s="3076"/>
      <c r="CS52" s="3076"/>
      <c r="CT52" s="3081"/>
      <c r="CU52" s="3076"/>
      <c r="CV52" s="3082"/>
      <c r="CW52" s="3083"/>
      <c r="CX52" s="3081"/>
      <c r="CY52" s="3082"/>
      <c r="CZ52" s="3082"/>
      <c r="DA52" s="3082"/>
      <c r="DB52" s="3081"/>
      <c r="DC52" s="3082"/>
      <c r="DD52" s="3082"/>
      <c r="DE52" s="3082"/>
      <c r="DF52" s="3081"/>
      <c r="DG52" s="3082"/>
      <c r="DH52" s="3082"/>
      <c r="DI52" s="3083"/>
      <c r="DJ52" s="2279"/>
      <c r="DK52" s="2280"/>
      <c r="DL52" s="2280"/>
      <c r="DM52" s="2280"/>
      <c r="DN52" s="2279"/>
      <c r="DO52" s="2280"/>
      <c r="DP52" s="2280"/>
      <c r="DQ52" s="2289"/>
      <c r="DR52" s="2280"/>
      <c r="DS52" s="2280"/>
      <c r="DT52" s="2280"/>
      <c r="DU52" s="2289"/>
      <c r="DV52" s="2280"/>
      <c r="DW52" s="2280"/>
      <c r="DX52" s="2280"/>
      <c r="DY52" s="2289"/>
      <c r="DZ52" s="1946"/>
    </row>
    <row r="53" spans="1:130" s="1958" customFormat="1" ht="15" customHeight="1">
      <c r="A53" s="2336" t="s">
        <v>1677</v>
      </c>
      <c r="B53" s="2960"/>
      <c r="C53" s="2960"/>
      <c r="D53" s="2960"/>
      <c r="E53" s="2960"/>
      <c r="F53" s="2960"/>
      <c r="G53" s="2960"/>
      <c r="H53" s="2960"/>
      <c r="I53" s="2960"/>
      <c r="J53" s="2960"/>
      <c r="K53" s="2960"/>
      <c r="L53" s="2960"/>
      <c r="M53" s="2960"/>
      <c r="N53" s="2960"/>
      <c r="O53" s="2960"/>
      <c r="P53" s="2960"/>
      <c r="Q53" s="2216">
        <f>SUM(CL53:CO53)</f>
        <v>13202</v>
      </c>
      <c r="R53" s="2216">
        <f>SUM(CP53:CS53)</f>
        <v>13419</v>
      </c>
      <c r="S53" s="2216">
        <f>SUM(CT53:CW53)</f>
        <v>13606</v>
      </c>
      <c r="T53" s="2216">
        <f>SUM(CX53:DA53)</f>
        <v>14121</v>
      </c>
      <c r="U53" s="2216">
        <f>SUM(DB53:DE53)</f>
        <v>14842</v>
      </c>
      <c r="V53" s="2216">
        <f>SUM(DF53:DI53)</f>
        <v>15583</v>
      </c>
      <c r="W53" s="2216">
        <f>SUM(DJ53:DM53)</f>
        <v>16123</v>
      </c>
      <c r="X53" s="2216">
        <f>SUM(DN53:DQ53)</f>
        <v>13593</v>
      </c>
      <c r="Y53" s="2216">
        <f>SUM(DR53:DU53)</f>
        <v>12777</v>
      </c>
      <c r="Z53" s="2216">
        <f>SUM(DV53:DY53)</f>
        <v>12493.938763649046</v>
      </c>
      <c r="AA53" s="2162">
        <f>+FiOS!S93+Lines!AA104+Lines!AA73</f>
        <v>12386.870721908934</v>
      </c>
      <c r="AB53" s="2162">
        <f>+FiOS!T93+Lines!AB104+Lines!AB73</f>
        <v>12272.242040459918</v>
      </c>
      <c r="AC53" s="2162">
        <f>+FiOS!U93+Lines!AC104+Lines!AC73</f>
        <v>12167.614817371408</v>
      </c>
      <c r="AD53" s="2162">
        <f>+FiOS!V93+Lines!AD104+Lines!AD73</f>
        <v>12069.280037088165</v>
      </c>
      <c r="AE53" s="2162">
        <f>+FiOS!W93+Lines!AE104+Lines!AE73</f>
        <v>11974.304884106226</v>
      </c>
      <c r="AF53" s="2162">
        <f>+FiOS!X93+Lines!AF104+Lines!AF73</f>
        <v>11880.368240879752</v>
      </c>
      <c r="AG53" s="2162">
        <f>+FiOS!Y93+Lines!AG104+Lines!AG73</f>
        <v>11785.631330185362</v>
      </c>
      <c r="AH53" s="1952"/>
      <c r="AI53" s="2125">
        <f>(AA53/W53)^(1/4)-1</f>
        <v>-6.3777794147744649E-2</v>
      </c>
      <c r="AJ53" s="1952"/>
      <c r="BR53" s="1936"/>
      <c r="BS53" s="2141"/>
      <c r="BT53" s="2141"/>
      <c r="BU53" s="2141"/>
      <c r="BV53" s="1936"/>
      <c r="BW53" s="2141"/>
      <c r="BX53" s="2141"/>
      <c r="BY53" s="2141"/>
      <c r="BZ53" s="1936"/>
      <c r="CA53" s="2141"/>
      <c r="CB53" s="2141"/>
      <c r="CC53" s="2141"/>
      <c r="CD53" s="1936"/>
      <c r="CE53" s="2141"/>
      <c r="CF53" s="2141"/>
      <c r="CH53" s="1936"/>
      <c r="CI53" s="2141"/>
      <c r="CJ53" s="2141"/>
      <c r="CL53" s="1936">
        <f>+NormInputs!CB154</f>
        <v>3248</v>
      </c>
      <c r="CM53" s="2141">
        <f>+NormInputs!CC154</f>
        <v>3294</v>
      </c>
      <c r="CN53" s="2141">
        <f>+NormInputs!CD154</f>
        <v>3327</v>
      </c>
      <c r="CO53" s="2141">
        <f>+NormInputs!CE154</f>
        <v>3333</v>
      </c>
      <c r="CP53" s="1936">
        <f>+NormInputs!CF154</f>
        <v>3320</v>
      </c>
      <c r="CQ53" s="2141">
        <f>+NormInputs!CG154</f>
        <v>3350</v>
      </c>
      <c r="CR53" s="2141">
        <f>+NormInputs!CH154</f>
        <v>3364</v>
      </c>
      <c r="CS53" s="2472">
        <f>+NormInputs!CI154</f>
        <v>3385</v>
      </c>
      <c r="CT53" s="2141">
        <f>+NormInputs!CJ154</f>
        <v>3383</v>
      </c>
      <c r="CU53" s="2141">
        <f>+NormInputs!CK154</f>
        <v>3394</v>
      </c>
      <c r="CV53" s="2141">
        <f>+NormInputs!CL154</f>
        <v>3400</v>
      </c>
      <c r="CW53" s="2472">
        <f>+NormInputs!CM154</f>
        <v>3429</v>
      </c>
      <c r="CX53" s="1936">
        <f>+NormInputs!CN154</f>
        <v>3441</v>
      </c>
      <c r="CY53" s="2141">
        <f>+NormInputs!CO154</f>
        <v>3504</v>
      </c>
      <c r="CZ53" s="2141">
        <f>+NormInputs!CP154</f>
        <v>3580</v>
      </c>
      <c r="DA53" s="2141">
        <f>+NormInputs!CQ154</f>
        <v>3596</v>
      </c>
      <c r="DB53" s="1936">
        <f>+NormInputs!CR154</f>
        <v>3616</v>
      </c>
      <c r="DC53" s="2141">
        <f>+NormInputs!CS154</f>
        <v>3669</v>
      </c>
      <c r="DD53" s="2141">
        <f>+NormInputs!CT154</f>
        <v>3735</v>
      </c>
      <c r="DE53" s="2141">
        <f>+NormInputs!CU154</f>
        <v>3822</v>
      </c>
      <c r="DF53" s="1936">
        <f>+NormInputs!CV154</f>
        <v>3840</v>
      </c>
      <c r="DG53" s="2141">
        <f>+NormInputs!CW154</f>
        <v>3864</v>
      </c>
      <c r="DH53" s="2141">
        <f>+NormInputs!CX154</f>
        <v>3902</v>
      </c>
      <c r="DI53" s="2141">
        <f>+NormInputs!CY154</f>
        <v>3977</v>
      </c>
      <c r="DJ53" s="2504">
        <f>+NormInputs!CZ154</f>
        <v>3992</v>
      </c>
      <c r="DK53" s="2505">
        <f>+NormInputs!DA154</f>
        <v>4037</v>
      </c>
      <c r="DL53" s="2505">
        <f>+NormInputs!DB154</f>
        <v>4012</v>
      </c>
      <c r="DM53" s="2506">
        <f>+NormInputs!DC154</f>
        <v>4082</v>
      </c>
      <c r="DN53" s="2505">
        <f>+NormInputs!DD154</f>
        <v>4022</v>
      </c>
      <c r="DO53" s="2505">
        <f>+NormInputs!DE154</f>
        <v>3165</v>
      </c>
      <c r="DP53" s="2505">
        <f>+NormInputs!DF154</f>
        <v>3174</v>
      </c>
      <c r="DQ53" s="2506">
        <f>+NormInputs!DG154</f>
        <v>3232</v>
      </c>
      <c r="DR53" s="2505">
        <f>+NormInputs!DH154</f>
        <v>3201</v>
      </c>
      <c r="DS53" s="2505">
        <f>+NormInputs!DI154</f>
        <v>3184</v>
      </c>
      <c r="DT53" s="2505">
        <f>+NormInputs!DJ154</f>
        <v>3204</v>
      </c>
      <c r="DU53" s="2506">
        <f>+NormInputs!DK154</f>
        <v>3188</v>
      </c>
      <c r="DV53" s="2505">
        <f>+NormInputs!DL154</f>
        <v>3150</v>
      </c>
      <c r="DW53" s="2505">
        <f>+FiOS!DW93+Lines!DW104+Lines!DW73</f>
        <v>3133.7405337462874</v>
      </c>
      <c r="DX53" s="2505">
        <f>+FiOS!DX93+Lines!DX104+Lines!DX73</f>
        <v>3115.3077766780875</v>
      </c>
      <c r="DY53" s="2506">
        <f>+FiOS!DY93+Lines!DY104+Lines!DY73</f>
        <v>3094.8904532246706</v>
      </c>
      <c r="DZ53" s="2965"/>
    </row>
    <row r="54" spans="1:130" s="2959" customFormat="1" ht="15" customHeight="1">
      <c r="A54" s="2290" t="s">
        <v>1453</v>
      </c>
      <c r="B54" s="2291"/>
      <c r="C54" s="2291"/>
      <c r="D54" s="2291"/>
      <c r="E54" s="2291"/>
      <c r="F54" s="2291"/>
      <c r="G54" s="2291"/>
      <c r="H54" s="2291"/>
      <c r="I54" s="2291"/>
      <c r="J54" s="2291"/>
      <c r="K54" s="2291"/>
      <c r="L54" s="2291"/>
      <c r="M54" s="2291"/>
      <c r="N54" s="2291"/>
      <c r="O54" s="2291"/>
      <c r="P54" s="2291"/>
      <c r="Q54" s="2292"/>
      <c r="R54" s="2291">
        <f t="shared" ref="R54:AA54" si="46">+R53/Q53-1</f>
        <v>1.6436903499469802E-2</v>
      </c>
      <c r="S54" s="2291">
        <f t="shared" si="46"/>
        <v>1.3935464639690087E-2</v>
      </c>
      <c r="T54" s="2293">
        <f t="shared" si="46"/>
        <v>3.7850948111127547E-2</v>
      </c>
      <c r="U54" s="2293">
        <f t="shared" si="46"/>
        <v>5.1058706890446892E-2</v>
      </c>
      <c r="V54" s="2293">
        <f t="shared" si="46"/>
        <v>4.9925885999191566E-2</v>
      </c>
      <c r="W54" s="2293">
        <f>+W53/V53-1</f>
        <v>3.4653147660912431E-2</v>
      </c>
      <c r="X54" s="2293">
        <f>+X53/W53-1</f>
        <v>-0.15691868758915839</v>
      </c>
      <c r="Y54" s="2293">
        <f>+Y53/X53-1</f>
        <v>-6.0030898256455578E-2</v>
      </c>
      <c r="Z54" s="2293">
        <f>+Z53/Y53-1</f>
        <v>-2.2153966999370223E-2</v>
      </c>
      <c r="AA54" s="2293">
        <f t="shared" si="46"/>
        <v>-8.5695987282750075E-3</v>
      </c>
      <c r="AB54" s="2293">
        <f t="shared" ref="AB54" si="47">+AB53/AA53-1</f>
        <v>-9.2540468066942827E-3</v>
      </c>
      <c r="AC54" s="2293">
        <f t="shared" ref="AC54" si="48">+AC53/AB53-1</f>
        <v>-8.5255182177443878E-3</v>
      </c>
      <c r="AD54" s="2293">
        <f t="shared" ref="AD54" si="49">+AD53/AC53-1</f>
        <v>-8.0816809012439483E-3</v>
      </c>
      <c r="AE54" s="2293">
        <f t="shared" ref="AE54" si="50">+AE53/AD53-1</f>
        <v>-7.8691647463714487E-3</v>
      </c>
      <c r="AF54" s="2293">
        <f t="shared" ref="AF54" si="51">+AF53/AE53-1</f>
        <v>-7.844851466172198E-3</v>
      </c>
      <c r="AG54" s="2293">
        <f t="shared" ref="AG54" si="52">+AG53/AF53-1</f>
        <v>-7.9742402569984439E-3</v>
      </c>
      <c r="AH54" s="1953"/>
      <c r="AI54" s="1953"/>
      <c r="AJ54" s="1953"/>
      <c r="AK54" s="2291"/>
      <c r="AL54" s="2291"/>
      <c r="AM54" s="2291"/>
      <c r="AN54" s="2291"/>
      <c r="AO54" s="2291"/>
      <c r="AP54" s="2291"/>
      <c r="AQ54" s="2291"/>
      <c r="AR54" s="2291"/>
      <c r="AS54" s="2291"/>
      <c r="AT54" s="2291"/>
      <c r="AU54" s="2291"/>
      <c r="AV54" s="2291"/>
      <c r="AW54" s="2291"/>
      <c r="AX54" s="2291"/>
      <c r="AY54" s="2291"/>
      <c r="AZ54" s="2291"/>
      <c r="BA54" s="2291"/>
      <c r="BB54" s="2291"/>
      <c r="BC54" s="2291"/>
      <c r="BD54" s="2291"/>
      <c r="BE54" s="2291"/>
      <c r="BF54" s="2291"/>
      <c r="BG54" s="2291"/>
      <c r="BH54" s="2291"/>
      <c r="BI54" s="2291"/>
      <c r="BJ54" s="2291"/>
      <c r="BK54" s="2291"/>
      <c r="BL54" s="2291"/>
      <c r="BM54" s="2291"/>
      <c r="BN54" s="2291"/>
      <c r="BO54" s="2291"/>
      <c r="BP54" s="2291"/>
      <c r="BQ54" s="2291"/>
      <c r="BR54" s="2294"/>
      <c r="BS54" s="2293"/>
      <c r="BT54" s="2293"/>
      <c r="BU54" s="2293"/>
      <c r="BV54" s="2294"/>
      <c r="BW54" s="2293"/>
      <c r="BX54" s="2293"/>
      <c r="BY54" s="2293"/>
      <c r="BZ54" s="2294"/>
      <c r="CA54" s="2293"/>
      <c r="CB54" s="2293"/>
      <c r="CC54" s="2293"/>
      <c r="CD54" s="2294"/>
      <c r="CE54" s="2293"/>
      <c r="CF54" s="2293"/>
      <c r="CG54" s="2295"/>
      <c r="CH54" s="2294"/>
      <c r="CI54" s="2293"/>
      <c r="CJ54" s="2293"/>
      <c r="CK54" s="2295"/>
      <c r="CL54" s="2294"/>
      <c r="CM54" s="2292"/>
      <c r="CN54" s="2292"/>
      <c r="CO54" s="2292"/>
      <c r="CP54" s="2294">
        <f t="shared" ref="CP54:DV54" si="53">CP53/CL53-1</f>
        <v>2.2167487684729092E-2</v>
      </c>
      <c r="CQ54" s="2293">
        <f t="shared" si="53"/>
        <v>1.7000607164541659E-2</v>
      </c>
      <c r="CR54" s="2293">
        <f t="shared" si="53"/>
        <v>1.1121130147279779E-2</v>
      </c>
      <c r="CS54" s="2295">
        <f t="shared" si="53"/>
        <v>1.5601560156015548E-2</v>
      </c>
      <c r="CT54" s="2293">
        <f t="shared" si="53"/>
        <v>1.897590361445789E-2</v>
      </c>
      <c r="CU54" s="2293">
        <f t="shared" si="53"/>
        <v>1.3134328358209046E-2</v>
      </c>
      <c r="CV54" s="2293">
        <f t="shared" si="53"/>
        <v>1.0701545778834642E-2</v>
      </c>
      <c r="CW54" s="2295">
        <f t="shared" si="53"/>
        <v>1.2998522895125486E-2</v>
      </c>
      <c r="CX54" s="2294">
        <f t="shared" si="53"/>
        <v>1.7144546260715376E-2</v>
      </c>
      <c r="CY54" s="2293">
        <f t="shared" ref="CY54" si="54">CY53/CU53-1</f>
        <v>3.2410135533293971E-2</v>
      </c>
      <c r="CZ54" s="2293">
        <f t="shared" ref="CZ54" si="55">CZ53/CV53-1</f>
        <v>5.2941176470588269E-2</v>
      </c>
      <c r="DA54" s="2295">
        <f t="shared" ref="DA54" si="56">DA53/CW53-1</f>
        <v>4.8702245552639356E-2</v>
      </c>
      <c r="DB54" s="2293">
        <f t="shared" ref="DB54" si="57">DB53/CX53-1</f>
        <v>5.0857308921825162E-2</v>
      </c>
      <c r="DC54" s="2293">
        <f t="shared" ref="DC54" si="58">DC53/CY53-1</f>
        <v>4.7089041095890405E-2</v>
      </c>
      <c r="DD54" s="2293">
        <f t="shared" ref="DD54" si="59">DD53/CZ53-1</f>
        <v>4.3296089385474801E-2</v>
      </c>
      <c r="DE54" s="2295">
        <f t="shared" ref="DE54" si="60">DE53/DA53-1</f>
        <v>6.2847608453837633E-2</v>
      </c>
      <c r="DF54" s="2293">
        <f t="shared" ref="DF54" si="61">DF53/DB53-1</f>
        <v>6.1946902654867353E-2</v>
      </c>
      <c r="DG54" s="2293">
        <f t="shared" si="53"/>
        <v>5.3147996729353997E-2</v>
      </c>
      <c r="DH54" s="2293">
        <f t="shared" si="53"/>
        <v>4.4712182061579675E-2</v>
      </c>
      <c r="DI54" s="2295">
        <f t="shared" si="53"/>
        <v>4.055468341182622E-2</v>
      </c>
      <c r="DJ54" s="2294">
        <f t="shared" si="53"/>
        <v>3.9583333333333304E-2</v>
      </c>
      <c r="DK54" s="2293">
        <f t="shared" si="53"/>
        <v>4.4772256728778492E-2</v>
      </c>
      <c r="DL54" s="2293">
        <f t="shared" si="53"/>
        <v>2.8190671450538218E-2</v>
      </c>
      <c r="DM54" s="2295">
        <f t="shared" si="53"/>
        <v>2.6401810409856674E-2</v>
      </c>
      <c r="DN54" s="2293">
        <f t="shared" si="53"/>
        <v>7.5150300601203313E-3</v>
      </c>
      <c r="DO54" s="2293">
        <f t="shared" si="53"/>
        <v>-0.21600198166955664</v>
      </c>
      <c r="DP54" s="2293">
        <f t="shared" si="53"/>
        <v>-0.20887337986041876</v>
      </c>
      <c r="DQ54" s="2295">
        <f t="shared" si="53"/>
        <v>-0.20823125918667318</v>
      </c>
      <c r="DR54" s="2293">
        <f t="shared" si="53"/>
        <v>-0.20412729985082045</v>
      </c>
      <c r="DS54" s="2293">
        <f t="shared" si="53"/>
        <v>6.0031595576619523E-3</v>
      </c>
      <c r="DT54" s="2293">
        <f t="shared" si="53"/>
        <v>9.4517958412099201E-3</v>
      </c>
      <c r="DU54" s="2295">
        <f t="shared" si="53"/>
        <v>-1.3613861386138626E-2</v>
      </c>
      <c r="DV54" s="2293">
        <f t="shared" si="53"/>
        <v>-1.5932521087160256E-2</v>
      </c>
      <c r="DW54" s="2293">
        <f t="shared" ref="DW54" si="62">DW53/DS53-1</f>
        <v>-1.5785008245512766E-2</v>
      </c>
      <c r="DX54" s="2293">
        <f t="shared" ref="DX54" si="63">DX53/DT53-1</f>
        <v>-2.7681717641046322E-2</v>
      </c>
      <c r="DY54" s="2295">
        <f t="shared" ref="DY54" si="64">DY53/DU53-1</f>
        <v>-2.9206256830404453E-2</v>
      </c>
      <c r="DZ54" s="1958"/>
    </row>
    <row r="55" spans="1:130" s="2959" customFormat="1" ht="15" customHeight="1">
      <c r="A55" s="2290"/>
      <c r="B55" s="2291"/>
      <c r="C55" s="2291"/>
      <c r="D55" s="2291"/>
      <c r="E55" s="2291"/>
      <c r="F55" s="2291"/>
      <c r="G55" s="2291"/>
      <c r="H55" s="2291"/>
      <c r="I55" s="2291"/>
      <c r="J55" s="2291"/>
      <c r="K55" s="2291"/>
      <c r="L55" s="2291"/>
      <c r="M55" s="2291"/>
      <c r="N55" s="2291"/>
      <c r="O55" s="2291"/>
      <c r="P55" s="2291"/>
      <c r="Q55" s="2292"/>
      <c r="R55" s="2291"/>
      <c r="S55" s="2291"/>
      <c r="T55" s="2293"/>
      <c r="U55" s="2293"/>
      <c r="V55" s="2293"/>
      <c r="W55" s="2293"/>
      <c r="X55" s="2293"/>
      <c r="Y55" s="2293"/>
      <c r="Z55" s="2293"/>
      <c r="AA55" s="2293"/>
      <c r="AB55" s="2293"/>
      <c r="AC55" s="2293"/>
      <c r="AD55" s="2293"/>
      <c r="AE55" s="2293"/>
      <c r="AF55" s="2293"/>
      <c r="AG55" s="2293"/>
      <c r="AH55" s="1953"/>
      <c r="AI55" s="1953"/>
      <c r="AJ55" s="1953"/>
      <c r="AK55" s="2291"/>
      <c r="AL55" s="2291"/>
      <c r="AM55" s="2291"/>
      <c r="AN55" s="2291"/>
      <c r="AO55" s="2291"/>
      <c r="AP55" s="2291"/>
      <c r="AQ55" s="2291"/>
      <c r="AR55" s="2291"/>
      <c r="AS55" s="2291"/>
      <c r="AT55" s="2291"/>
      <c r="AU55" s="2291"/>
      <c r="AV55" s="2291"/>
      <c r="AW55" s="2291"/>
      <c r="AX55" s="2291"/>
      <c r="AY55" s="2291"/>
      <c r="AZ55" s="2291"/>
      <c r="BA55" s="2291"/>
      <c r="BB55" s="2291"/>
      <c r="BC55" s="2291"/>
      <c r="BD55" s="2291"/>
      <c r="BE55" s="2291"/>
      <c r="BF55" s="2291"/>
      <c r="BG55" s="2291"/>
      <c r="BH55" s="2291"/>
      <c r="BI55" s="2291"/>
      <c r="BJ55" s="2291"/>
      <c r="BK55" s="2291"/>
      <c r="BL55" s="2291"/>
      <c r="BM55" s="2291"/>
      <c r="BN55" s="2291"/>
      <c r="BO55" s="2291"/>
      <c r="BP55" s="2291"/>
      <c r="BQ55" s="2291"/>
      <c r="BR55" s="2293"/>
      <c r="BS55" s="2293"/>
      <c r="BT55" s="2293"/>
      <c r="BU55" s="2293"/>
      <c r="BV55" s="2293"/>
      <c r="BW55" s="2293"/>
      <c r="BX55" s="2293"/>
      <c r="BY55" s="2293"/>
      <c r="BZ55" s="2293"/>
      <c r="CA55" s="2293"/>
      <c r="CB55" s="2293"/>
      <c r="CC55" s="2293"/>
      <c r="CD55" s="2293"/>
      <c r="CE55" s="2293"/>
      <c r="CF55" s="2293"/>
      <c r="CG55" s="2293"/>
      <c r="CH55" s="2294"/>
      <c r="CI55" s="2293"/>
      <c r="CJ55" s="2293"/>
      <c r="CK55" s="2295"/>
      <c r="CL55" s="2294"/>
      <c r="CM55" s="2292"/>
      <c r="CN55" s="2292"/>
      <c r="CO55" s="2292"/>
      <c r="CP55" s="2294"/>
      <c r="CQ55" s="2293"/>
      <c r="CR55" s="2293"/>
      <c r="CS55" s="2295"/>
      <c r="CT55" s="2293"/>
      <c r="CU55" s="2293"/>
      <c r="CV55" s="2293"/>
      <c r="CW55" s="2295"/>
      <c r="CX55" s="2293"/>
      <c r="CY55" s="2293"/>
      <c r="CZ55" s="2293"/>
      <c r="DA55" s="2295"/>
      <c r="DB55" s="2293"/>
      <c r="DC55" s="2293"/>
      <c r="DD55" s="2293"/>
      <c r="DE55" s="2295"/>
      <c r="DF55" s="2293"/>
      <c r="DG55" s="2293"/>
      <c r="DH55" s="2293"/>
      <c r="DI55" s="2295"/>
      <c r="DJ55" s="2293"/>
      <c r="DK55" s="2293"/>
      <c r="DL55" s="2293"/>
      <c r="DM55" s="2295"/>
      <c r="DN55" s="2293"/>
      <c r="DO55" s="2293"/>
      <c r="DP55" s="2293"/>
      <c r="DQ55" s="2295"/>
      <c r="DR55" s="2293"/>
      <c r="DS55" s="2293"/>
      <c r="DT55" s="2293"/>
      <c r="DU55" s="2295"/>
      <c r="DV55" s="2293"/>
      <c r="DW55" s="2293"/>
      <c r="DX55" s="2293"/>
      <c r="DY55" s="2295"/>
      <c r="DZ55" s="3061"/>
    </row>
    <row r="56" spans="1:130" s="3061" customFormat="1" ht="15" customHeight="1">
      <c r="A56" s="2336" t="s">
        <v>1678</v>
      </c>
      <c r="B56" s="2960"/>
      <c r="C56" s="2960"/>
      <c r="D56" s="2960"/>
      <c r="E56" s="2960"/>
      <c r="F56" s="2960"/>
      <c r="G56" s="2960"/>
      <c r="H56" s="2960"/>
      <c r="I56" s="2960"/>
      <c r="J56" s="2960"/>
      <c r="K56" s="2960"/>
      <c r="L56" s="2960"/>
      <c r="M56" s="2960"/>
      <c r="N56" s="2960"/>
      <c r="O56" s="2960"/>
      <c r="P56" s="2960"/>
      <c r="Q56" s="2216"/>
      <c r="R56" s="2216"/>
      <c r="S56" s="2216"/>
      <c r="T56" s="2216"/>
      <c r="U56" s="2216"/>
      <c r="V56" s="2216"/>
      <c r="W56" s="2216">
        <f>SUM(DJ56:DM56)</f>
        <v>10154</v>
      </c>
      <c r="X56" s="2216">
        <f>SUM(DN56:DQ56)</f>
        <v>9842</v>
      </c>
      <c r="Y56" s="2216">
        <f>SUM(DR56:DU56)</f>
        <v>9401</v>
      </c>
      <c r="Z56" s="2216">
        <f>SUM(DV56:DY56)</f>
        <v>8962.4275000000016</v>
      </c>
      <c r="AA56" s="2162">
        <f>+Z56*(1+AA57)</f>
        <v>8783.1789500000014</v>
      </c>
      <c r="AB56" s="2162">
        <f t="shared" ref="AB56:AG56" si="65">+AA56*(1+AB57)</f>
        <v>8607.5153710000013</v>
      </c>
      <c r="AC56" s="2162">
        <f t="shared" si="65"/>
        <v>8435.3650635800004</v>
      </c>
      <c r="AD56" s="2162">
        <f t="shared" si="65"/>
        <v>8266.6577623083995</v>
      </c>
      <c r="AE56" s="2162">
        <f t="shared" si="65"/>
        <v>8101.3246070622317</v>
      </c>
      <c r="AF56" s="2162">
        <f t="shared" si="65"/>
        <v>7939.2981149209872</v>
      </c>
      <c r="AG56" s="2162">
        <f t="shared" si="65"/>
        <v>7780.5121526225676</v>
      </c>
      <c r="AH56" s="1952"/>
      <c r="AI56" s="2125">
        <f>(AA56/W56)^(1/4)-1</f>
        <v>-3.5607902384190648E-2</v>
      </c>
      <c r="AJ56" s="1952"/>
      <c r="BR56" s="1936"/>
      <c r="BS56" s="2141"/>
      <c r="BT56" s="2141"/>
      <c r="BU56" s="2141"/>
      <c r="BV56" s="1936"/>
      <c r="BW56" s="2141"/>
      <c r="BX56" s="2141"/>
      <c r="BY56" s="2141"/>
      <c r="BZ56" s="1936"/>
      <c r="CA56" s="2141"/>
      <c r="CB56" s="2141"/>
      <c r="CC56" s="2141"/>
      <c r="CD56" s="1936"/>
      <c r="CE56" s="2141"/>
      <c r="CF56" s="2141"/>
      <c r="CH56" s="1936"/>
      <c r="CI56" s="2141"/>
      <c r="CJ56" s="2141"/>
      <c r="CL56" s="1936"/>
      <c r="CM56" s="2141"/>
      <c r="CN56" s="2141"/>
      <c r="CO56" s="2141"/>
      <c r="CP56" s="1936"/>
      <c r="CQ56" s="2141"/>
      <c r="CR56" s="2141"/>
      <c r="CS56" s="2472"/>
      <c r="CT56" s="2141"/>
      <c r="CU56" s="2141"/>
      <c r="CV56" s="2141"/>
      <c r="CW56" s="2472"/>
      <c r="CX56" s="1936"/>
      <c r="CY56" s="2141"/>
      <c r="CZ56" s="2141"/>
      <c r="DA56" s="2141"/>
      <c r="DB56" s="1936"/>
      <c r="DC56" s="2141"/>
      <c r="DD56" s="2141"/>
      <c r="DE56" s="2141"/>
      <c r="DF56" s="1936"/>
      <c r="DG56" s="2141"/>
      <c r="DH56" s="2141"/>
      <c r="DI56" s="2141"/>
      <c r="DJ56" s="2504">
        <f>+NormInputs!CZ155</f>
        <v>2571</v>
      </c>
      <c r="DK56" s="2505">
        <f>+NormInputs!DA155</f>
        <v>2534</v>
      </c>
      <c r="DL56" s="2505">
        <f>+NormInputs!DB155</f>
        <v>2515</v>
      </c>
      <c r="DM56" s="2506">
        <f>+NormInputs!DC155</f>
        <v>2534</v>
      </c>
      <c r="DN56" s="2505">
        <f>+NormInputs!DD155</f>
        <v>2501</v>
      </c>
      <c r="DO56" s="2505">
        <f>+NormInputs!DE155</f>
        <v>2454</v>
      </c>
      <c r="DP56" s="2505">
        <f>+NormInputs!DF155</f>
        <v>2445</v>
      </c>
      <c r="DQ56" s="2506">
        <f>+NormInputs!DG155</f>
        <v>2442</v>
      </c>
      <c r="DR56" s="2505">
        <f>+NormInputs!DH155</f>
        <v>2466</v>
      </c>
      <c r="DS56" s="2505">
        <f>+NormInputs!DI155</f>
        <v>2388</v>
      </c>
      <c r="DT56" s="2505">
        <f>+NormInputs!DJ155</f>
        <v>2262</v>
      </c>
      <c r="DU56" s="2506">
        <f>+NormInputs!DK155</f>
        <v>2285</v>
      </c>
      <c r="DV56" s="2505">
        <f>+NormInputs!DL155</f>
        <v>2240</v>
      </c>
      <c r="DW56" s="2216">
        <f t="shared" ref="DW56" si="66">+DS56*(1+DW57)</f>
        <v>2220.8399999999997</v>
      </c>
      <c r="DX56" s="2216">
        <f t="shared" ref="DX56" si="67">+DT56*(1+DX57)</f>
        <v>2233.7249999999999</v>
      </c>
      <c r="DY56" s="2219">
        <f t="shared" ref="DY56" si="68">+DU56*(1+DY57)</f>
        <v>2267.8625000000002</v>
      </c>
      <c r="DZ56" s="2965"/>
    </row>
    <row r="57" spans="1:130" s="2959" customFormat="1" ht="15" customHeight="1">
      <c r="A57" s="2290" t="s">
        <v>1453</v>
      </c>
      <c r="B57" s="2291"/>
      <c r="C57" s="2291"/>
      <c r="D57" s="2291"/>
      <c r="E57" s="2291"/>
      <c r="F57" s="2291"/>
      <c r="G57" s="2291"/>
      <c r="H57" s="2291"/>
      <c r="I57" s="2291"/>
      <c r="J57" s="2291"/>
      <c r="K57" s="2291"/>
      <c r="L57" s="2291"/>
      <c r="M57" s="2291"/>
      <c r="N57" s="2291"/>
      <c r="O57" s="2291"/>
      <c r="P57" s="2291"/>
      <c r="Q57" s="2292"/>
      <c r="R57" s="2291"/>
      <c r="S57" s="2291"/>
      <c r="T57" s="2293"/>
      <c r="U57" s="2293"/>
      <c r="V57" s="2293"/>
      <c r="W57" s="3092" t="s">
        <v>1149</v>
      </c>
      <c r="X57" s="2293">
        <f>+X56/W56-1</f>
        <v>-3.072680716958831E-2</v>
      </c>
      <c r="Y57" s="2293">
        <f>+Y56/X56-1</f>
        <v>-4.4807965860597432E-2</v>
      </c>
      <c r="Z57" s="2293">
        <f>+Z56/Y56-1</f>
        <v>-4.6651685990851899E-2</v>
      </c>
      <c r="AA57" s="2222">
        <v>-0.02</v>
      </c>
      <c r="AB57" s="2222">
        <f t="shared" ref="AB57:AG57" si="69">+AA57</f>
        <v>-0.02</v>
      </c>
      <c r="AC57" s="2222">
        <f t="shared" si="69"/>
        <v>-0.02</v>
      </c>
      <c r="AD57" s="2222">
        <f t="shared" si="69"/>
        <v>-0.02</v>
      </c>
      <c r="AE57" s="2222">
        <f t="shared" si="69"/>
        <v>-0.02</v>
      </c>
      <c r="AF57" s="2222">
        <f t="shared" si="69"/>
        <v>-0.02</v>
      </c>
      <c r="AG57" s="2222">
        <f t="shared" si="69"/>
        <v>-0.02</v>
      </c>
      <c r="AH57" s="1953"/>
      <c r="AI57" s="1953"/>
      <c r="AJ57" s="1953"/>
      <c r="AK57" s="2291"/>
      <c r="AL57" s="2291"/>
      <c r="AM57" s="2291"/>
      <c r="AN57" s="2291"/>
      <c r="AO57" s="2291"/>
      <c r="AP57" s="2291"/>
      <c r="AQ57" s="2291"/>
      <c r="AR57" s="2291"/>
      <c r="AS57" s="2291"/>
      <c r="AT57" s="2291"/>
      <c r="AU57" s="2291"/>
      <c r="AV57" s="2291"/>
      <c r="AW57" s="2291"/>
      <c r="AX57" s="2291"/>
      <c r="AY57" s="2291"/>
      <c r="AZ57" s="2291"/>
      <c r="BA57" s="2291"/>
      <c r="BB57" s="2291"/>
      <c r="BC57" s="2291"/>
      <c r="BD57" s="2291"/>
      <c r="BE57" s="2291"/>
      <c r="BF57" s="2291"/>
      <c r="BG57" s="2291"/>
      <c r="BH57" s="2291"/>
      <c r="BI57" s="2291"/>
      <c r="BJ57" s="2291"/>
      <c r="BK57" s="2291"/>
      <c r="BL57" s="2291"/>
      <c r="BM57" s="2291"/>
      <c r="BN57" s="2291"/>
      <c r="BO57" s="2291"/>
      <c r="BP57" s="2291"/>
      <c r="BQ57" s="2291"/>
      <c r="BR57" s="2294"/>
      <c r="BS57" s="2293"/>
      <c r="BT57" s="2293"/>
      <c r="BU57" s="2293"/>
      <c r="BV57" s="2294"/>
      <c r="BW57" s="2293"/>
      <c r="BX57" s="2293"/>
      <c r="BY57" s="2293"/>
      <c r="BZ57" s="2294"/>
      <c r="CA57" s="2293"/>
      <c r="CB57" s="2293"/>
      <c r="CC57" s="2293"/>
      <c r="CD57" s="2294"/>
      <c r="CE57" s="2293"/>
      <c r="CF57" s="2293"/>
      <c r="CG57" s="2295"/>
      <c r="CH57" s="2294"/>
      <c r="CI57" s="2293"/>
      <c r="CJ57" s="2293"/>
      <c r="CK57" s="2295"/>
      <c r="CL57" s="2294"/>
      <c r="CM57" s="2292"/>
      <c r="CN57" s="2292"/>
      <c r="CO57" s="2292"/>
      <c r="CP57" s="2294"/>
      <c r="CQ57" s="2293"/>
      <c r="CR57" s="2293"/>
      <c r="CS57" s="2295"/>
      <c r="CT57" s="2293"/>
      <c r="CU57" s="2293"/>
      <c r="CV57" s="2293"/>
      <c r="CW57" s="2295"/>
      <c r="CX57" s="2294"/>
      <c r="CY57" s="2293"/>
      <c r="CZ57" s="2293"/>
      <c r="DA57" s="2295"/>
      <c r="DB57" s="2293"/>
      <c r="DC57" s="2293"/>
      <c r="DD57" s="2293"/>
      <c r="DE57" s="2295"/>
      <c r="DF57" s="2293"/>
      <c r="DG57" s="2293"/>
      <c r="DH57" s="2293"/>
      <c r="DI57" s="2295"/>
      <c r="DJ57" s="3093" t="s">
        <v>1149</v>
      </c>
      <c r="DK57" s="3092" t="s">
        <v>1149</v>
      </c>
      <c r="DL57" s="3092" t="s">
        <v>1149</v>
      </c>
      <c r="DM57" s="3094" t="s">
        <v>1149</v>
      </c>
      <c r="DN57" s="2293">
        <f t="shared" ref="DN57" si="70">DN56/DJ56-1</f>
        <v>-2.7226760015558127E-2</v>
      </c>
      <c r="DO57" s="2293">
        <f t="shared" ref="DO57" si="71">DO56/DK56-1</f>
        <v>-3.1570639305445902E-2</v>
      </c>
      <c r="DP57" s="2293">
        <f t="shared" ref="DP57" si="72">DP56/DL56-1</f>
        <v>-2.7833001988071593E-2</v>
      </c>
      <c r="DQ57" s="2295">
        <f t="shared" ref="DQ57" si="73">DQ56/DM56-1</f>
        <v>-3.630623520126286E-2</v>
      </c>
      <c r="DR57" s="2293">
        <f t="shared" ref="DR57:DV57" si="74">DR56/DN56-1</f>
        <v>-1.3994402239104309E-2</v>
      </c>
      <c r="DS57" s="2293">
        <f t="shared" si="74"/>
        <v>-2.6894865525672329E-2</v>
      </c>
      <c r="DT57" s="2293">
        <f t="shared" si="74"/>
        <v>-7.4846625766871178E-2</v>
      </c>
      <c r="DU57" s="2295">
        <f t="shared" si="74"/>
        <v>-6.429156429156424E-2</v>
      </c>
      <c r="DV57" s="2293">
        <f t="shared" si="74"/>
        <v>-9.1646390916463871E-2</v>
      </c>
      <c r="DW57" s="2222">
        <v>-7.0000000000000007E-2</v>
      </c>
      <c r="DX57" s="2222">
        <v>-1.2500000000000001E-2</v>
      </c>
      <c r="DY57" s="2223">
        <v>-7.4999999999999997E-3</v>
      </c>
      <c r="DZ57" s="3061"/>
    </row>
    <row r="58" spans="1:130" s="1958" customFormat="1" ht="15" customHeight="1">
      <c r="A58" s="2327"/>
      <c r="Y58" s="2994"/>
      <c r="Z58" s="3249"/>
      <c r="AB58" s="3145"/>
      <c r="AC58" s="3145"/>
      <c r="AD58" s="3145"/>
      <c r="AE58" s="3145"/>
      <c r="AF58" s="3145"/>
      <c r="AG58" s="3145"/>
      <c r="AH58" s="1952"/>
      <c r="AI58" s="1927"/>
      <c r="AJ58" s="1952"/>
      <c r="CH58" s="2306"/>
      <c r="CI58" s="2307"/>
      <c r="CJ58" s="2307"/>
      <c r="CK58" s="2308"/>
      <c r="CL58" s="2309"/>
      <c r="CO58" s="2310"/>
      <c r="CP58" s="2311"/>
      <c r="CQ58" s="2310"/>
      <c r="CS58" s="2961"/>
      <c r="CW58" s="2961"/>
      <c r="DA58" s="2961"/>
      <c r="DE58" s="2961"/>
      <c r="DI58" s="2961"/>
      <c r="DM58" s="2961"/>
      <c r="DN58" s="1561"/>
      <c r="DO58" s="1561"/>
      <c r="DP58" s="1561"/>
      <c r="DQ58" s="2961"/>
      <c r="DR58" s="1561"/>
      <c r="DS58" s="1561"/>
      <c r="DT58" s="1561"/>
      <c r="DU58" s="2961"/>
      <c r="DV58" s="1561"/>
      <c r="DW58" s="1561"/>
      <c r="DX58" s="1561"/>
      <c r="DY58" s="2961"/>
      <c r="DZ58" s="1946"/>
    </row>
    <row r="59" spans="1:130" s="2960" customFormat="1" ht="15" customHeight="1">
      <c r="A59" s="2301" t="s">
        <v>1680</v>
      </c>
      <c r="B59" s="2162"/>
      <c r="C59" s="2162"/>
      <c r="D59" s="2162"/>
      <c r="E59" s="2162"/>
      <c r="F59" s="2162"/>
      <c r="G59" s="2162"/>
      <c r="H59" s="2162"/>
      <c r="I59" s="2162"/>
      <c r="J59" s="2162"/>
      <c r="K59" s="2162"/>
      <c r="L59" s="2162"/>
      <c r="M59" s="2162"/>
      <c r="N59" s="2162"/>
      <c r="O59" s="2162"/>
      <c r="P59" s="2162"/>
      <c r="Q59" s="2216"/>
      <c r="R59" s="2216"/>
      <c r="S59" s="2216"/>
      <c r="T59" s="2216"/>
      <c r="U59" s="2216"/>
      <c r="V59" s="2216"/>
      <c r="W59" s="2216">
        <f>SUM(DJ59:DM59)</f>
        <v>5299</v>
      </c>
      <c r="X59" s="2216">
        <f>SUM(DN59:DQ59)</f>
        <v>5038</v>
      </c>
      <c r="Y59" s="2216">
        <f>SUM(DR59:DU59)</f>
        <v>4945</v>
      </c>
      <c r="Z59" s="2216">
        <f>SUM(DV59:DY59)</f>
        <v>4840.2519754190589</v>
      </c>
      <c r="AA59" s="2216">
        <f t="shared" ref="AA59" si="75">+Z59*(1+AA60)</f>
        <v>4737.7227877751466</v>
      </c>
      <c r="AB59" s="2216">
        <f t="shared" ref="AB59" si="76">+AA59*(1+AB60)</f>
        <v>4637.365436302638</v>
      </c>
      <c r="AC59" s="2216">
        <f t="shared" ref="AC59" si="77">+AB59*(1+AC60)</f>
        <v>4539.1339158349665</v>
      </c>
      <c r="AD59" s="2216">
        <f t="shared" ref="AD59" si="78">+AC59*(1+AD60)</f>
        <v>4442.9831957152364</v>
      </c>
      <c r="AE59" s="2216">
        <f t="shared" ref="AE59" si="79">+AD59*(1+AE60)</f>
        <v>4348.8691991535607</v>
      </c>
      <c r="AF59" s="2216">
        <f t="shared" ref="AF59" si="80">+AE59*(1+AF60)</f>
        <v>4256.7487830216623</v>
      </c>
      <c r="AG59" s="2216">
        <f t="shared" ref="AG59" si="81">+AF59*(1+AG60)</f>
        <v>4166.5797180754853</v>
      </c>
      <c r="AH59" s="1955"/>
      <c r="AI59" s="2125">
        <f>(AA59/W59)^(1/4)-1</f>
        <v>-2.7602280665211976E-2</v>
      </c>
      <c r="AJ59" s="1955"/>
      <c r="AK59" s="2162"/>
      <c r="AL59" s="2162"/>
      <c r="AM59" s="2162"/>
      <c r="AN59" s="2162"/>
      <c r="AO59" s="2162"/>
      <c r="AP59" s="2162"/>
      <c r="AQ59" s="2162"/>
      <c r="AR59" s="2162"/>
      <c r="AS59" s="2162"/>
      <c r="AT59" s="2162"/>
      <c r="AU59" s="2162"/>
      <c r="AV59" s="2162"/>
      <c r="AW59" s="2162"/>
      <c r="AX59" s="2162"/>
      <c r="AY59" s="2162"/>
      <c r="AZ59" s="2162"/>
      <c r="BA59" s="2162"/>
      <c r="BB59" s="2162"/>
      <c r="BC59" s="2162"/>
      <c r="BD59" s="2162"/>
      <c r="BE59" s="2162"/>
      <c r="BF59" s="2162"/>
      <c r="BG59" s="2162"/>
      <c r="BH59" s="2162"/>
      <c r="BI59" s="2162"/>
      <c r="BJ59" s="2162"/>
      <c r="BK59" s="2162"/>
      <c r="BL59" s="2162"/>
      <c r="BM59" s="2162"/>
      <c r="BN59" s="2162"/>
      <c r="BO59" s="2162"/>
      <c r="BP59" s="2162"/>
      <c r="BQ59" s="2162"/>
      <c r="BR59" s="1937"/>
      <c r="BS59" s="2216"/>
      <c r="BT59" s="2216"/>
      <c r="BU59" s="2216"/>
      <c r="BV59" s="1937"/>
      <c r="BW59" s="2216"/>
      <c r="BX59" s="2216"/>
      <c r="BY59" s="2216"/>
      <c r="BZ59" s="1937"/>
      <c r="CA59" s="2216"/>
      <c r="CB59" s="2216"/>
      <c r="CC59" s="2216"/>
      <c r="CD59" s="2302"/>
      <c r="CE59" s="2303"/>
      <c r="CF59" s="2303"/>
      <c r="CG59" s="2304"/>
      <c r="CH59" s="1937"/>
      <c r="CI59" s="2216"/>
      <c r="CJ59" s="2216"/>
      <c r="CK59" s="2219"/>
      <c r="CL59" s="1937"/>
      <c r="CM59" s="2216"/>
      <c r="CN59" s="2216"/>
      <c r="CO59" s="2216"/>
      <c r="CP59" s="1937"/>
      <c r="CQ59" s="2216"/>
      <c r="CR59" s="2216"/>
      <c r="CS59" s="2219"/>
      <c r="CT59" s="2216"/>
      <c r="CU59" s="2216"/>
      <c r="CV59" s="2216"/>
      <c r="CW59" s="2219"/>
      <c r="CX59" s="1937"/>
      <c r="CY59" s="2216"/>
      <c r="CZ59" s="2216"/>
      <c r="DA59" s="2219"/>
      <c r="DB59" s="2216"/>
      <c r="DC59" s="2216"/>
      <c r="DD59" s="2216"/>
      <c r="DE59" s="2219"/>
      <c r="DF59" s="2216"/>
      <c r="DG59" s="2216"/>
      <c r="DH59" s="2216"/>
      <c r="DI59" s="2219"/>
      <c r="DJ59" s="2504">
        <f>+NormInputs!CZ156</f>
        <v>1348</v>
      </c>
      <c r="DK59" s="2505">
        <f>+NormInputs!DA156</f>
        <v>1319</v>
      </c>
      <c r="DL59" s="2505">
        <f>+NormInputs!DB156</f>
        <v>1298</v>
      </c>
      <c r="DM59" s="2506">
        <f>+NormInputs!DC156</f>
        <v>1334</v>
      </c>
      <c r="DN59" s="2505">
        <f>+NormInputs!DD156</f>
        <v>1292</v>
      </c>
      <c r="DO59" s="2505">
        <f>+NormInputs!DE156</f>
        <v>1265</v>
      </c>
      <c r="DP59" s="2505">
        <f>+NormInputs!DF156</f>
        <v>1248</v>
      </c>
      <c r="DQ59" s="2506">
        <f>+NormInputs!DG156</f>
        <v>1233</v>
      </c>
      <c r="DR59" s="2505">
        <f>+NormInputs!DH156</f>
        <v>1256</v>
      </c>
      <c r="DS59" s="2505">
        <f>+NormInputs!DI156</f>
        <v>1236</v>
      </c>
      <c r="DT59" s="2505">
        <f>+NormInputs!DJ156</f>
        <v>1244</v>
      </c>
      <c r="DU59" s="2506">
        <f>+NormInputs!DK156</f>
        <v>1209</v>
      </c>
      <c r="DV59" s="2505">
        <f>+NormInputs!DL156</f>
        <v>1228</v>
      </c>
      <c r="DW59" s="2216">
        <f t="shared" ref="DW59" si="82">+DS59*(1+DW60)</f>
        <v>1207.6648221343874</v>
      </c>
      <c r="DX59" s="2216">
        <f t="shared" ref="DX59" si="83">+DT59*(1+DX60)</f>
        <v>1219.1199999999999</v>
      </c>
      <c r="DY59" s="2219">
        <f t="shared" ref="DY59" si="84">+DU59*(1+DY60)</f>
        <v>1185.4671532846717</v>
      </c>
      <c r="DZ59" s="2965"/>
    </row>
    <row r="60" spans="1:130" s="1958" customFormat="1" ht="15" customHeight="1">
      <c r="A60" s="2290" t="s">
        <v>1453</v>
      </c>
      <c r="P60" s="2207"/>
      <c r="Q60" s="2207"/>
      <c r="R60" s="2207"/>
      <c r="S60" s="2207"/>
      <c r="T60" s="2207"/>
      <c r="U60" s="2315"/>
      <c r="V60" s="2207"/>
      <c r="W60" s="3092" t="s">
        <v>1149</v>
      </c>
      <c r="X60" s="2207">
        <f>+X59/W59-1</f>
        <v>-4.9254576335157618E-2</v>
      </c>
      <c r="Y60" s="2207">
        <f>+Y59/X59-1</f>
        <v>-1.8459706232632045E-2</v>
      </c>
      <c r="Z60" s="2207">
        <f>+Z59/Y59-1</f>
        <v>-2.1182613666519967E-2</v>
      </c>
      <c r="AA60" s="2526">
        <f>+Z60</f>
        <v>-2.1182613666519967E-2</v>
      </c>
      <c r="AB60" s="2526">
        <f t="shared" ref="AB60:AG60" si="85">+AA60</f>
        <v>-2.1182613666519967E-2</v>
      </c>
      <c r="AC60" s="2526">
        <f t="shared" si="85"/>
        <v>-2.1182613666519967E-2</v>
      </c>
      <c r="AD60" s="2526">
        <f t="shared" si="85"/>
        <v>-2.1182613666519967E-2</v>
      </c>
      <c r="AE60" s="2526">
        <f t="shared" si="85"/>
        <v>-2.1182613666519967E-2</v>
      </c>
      <c r="AF60" s="2526">
        <f t="shared" si="85"/>
        <v>-2.1182613666519967E-2</v>
      </c>
      <c r="AG60" s="2526">
        <f t="shared" si="85"/>
        <v>-2.1182613666519967E-2</v>
      </c>
      <c r="AH60" s="1927"/>
      <c r="AI60" s="1927"/>
      <c r="AJ60" s="1927"/>
      <c r="BR60" s="2208"/>
      <c r="BS60" s="2207"/>
      <c r="BT60" s="2207"/>
      <c r="BU60" s="2207"/>
      <c r="BV60" s="2208"/>
      <c r="BW60" s="2207"/>
      <c r="BX60" s="2207"/>
      <c r="BY60" s="2207"/>
      <c r="BZ60" s="2208"/>
      <c r="CA60" s="2207"/>
      <c r="CB60" s="2207"/>
      <c r="CC60" s="2207"/>
      <c r="CD60" s="2208"/>
      <c r="CE60" s="2207"/>
      <c r="CF60" s="2207"/>
      <c r="CG60" s="2209"/>
      <c r="CH60" s="2208"/>
      <c r="CI60" s="2207"/>
      <c r="CJ60" s="2207"/>
      <c r="CK60" s="2209"/>
      <c r="CL60" s="2229"/>
      <c r="CM60" s="1986"/>
      <c r="CN60" s="1986"/>
      <c r="CO60" s="1986"/>
      <c r="CP60" s="2208"/>
      <c r="CQ60" s="2207"/>
      <c r="CR60" s="2207"/>
      <c r="CS60" s="2209"/>
      <c r="CT60" s="2207"/>
      <c r="CU60" s="2207"/>
      <c r="CV60" s="2207"/>
      <c r="CW60" s="2209"/>
      <c r="CX60" s="2208"/>
      <c r="CY60" s="2293"/>
      <c r="CZ60" s="2293"/>
      <c r="DA60" s="2295"/>
      <c r="DB60" s="2293"/>
      <c r="DC60" s="2293"/>
      <c r="DD60" s="2293"/>
      <c r="DE60" s="2295"/>
      <c r="DF60" s="2293"/>
      <c r="DG60" s="2207"/>
      <c r="DH60" s="2207"/>
      <c r="DI60" s="2295"/>
      <c r="DJ60" s="3093" t="s">
        <v>1149</v>
      </c>
      <c r="DK60" s="3092" t="s">
        <v>1149</v>
      </c>
      <c r="DL60" s="3092" t="s">
        <v>1149</v>
      </c>
      <c r="DM60" s="3094" t="s">
        <v>1149</v>
      </c>
      <c r="DN60" s="2207">
        <f t="shared" ref="DN60:DV60" si="86">DN59/DJ59-1</f>
        <v>-4.1543026706231445E-2</v>
      </c>
      <c r="DO60" s="2207">
        <f t="shared" si="86"/>
        <v>-4.0940106141015953E-2</v>
      </c>
      <c r="DP60" s="2207">
        <f t="shared" si="86"/>
        <v>-3.8520801232665658E-2</v>
      </c>
      <c r="DQ60" s="2209">
        <f t="shared" si="86"/>
        <v>-7.5712143928035935E-2</v>
      </c>
      <c r="DR60" s="2207">
        <f t="shared" si="86"/>
        <v>-2.786377708978327E-2</v>
      </c>
      <c r="DS60" s="2207">
        <f t="shared" si="86"/>
        <v>-2.292490118577073E-2</v>
      </c>
      <c r="DT60" s="2207">
        <f t="shared" si="86"/>
        <v>-3.2051282051281937E-3</v>
      </c>
      <c r="DU60" s="2209">
        <f t="shared" si="86"/>
        <v>-1.9464720194647178E-2</v>
      </c>
      <c r="DV60" s="2207">
        <f t="shared" si="86"/>
        <v>-2.2292993630573243E-2</v>
      </c>
      <c r="DW60" s="2222">
        <f t="shared" ref="DW60:DY60" si="87">+DS60</f>
        <v>-2.292490118577073E-2</v>
      </c>
      <c r="DX60" s="2222">
        <v>-0.02</v>
      </c>
      <c r="DY60" s="2223">
        <f t="shared" si="87"/>
        <v>-1.9464720194647178E-2</v>
      </c>
      <c r="DZ60" s="1946"/>
    </row>
    <row r="61" spans="1:130" s="1958" customFormat="1" ht="15" hidden="1" customHeight="1">
      <c r="A61" s="2371"/>
      <c r="B61" s="1946"/>
      <c r="C61" s="1946"/>
      <c r="D61" s="1946"/>
      <c r="E61" s="1946"/>
      <c r="F61" s="1946"/>
      <c r="G61" s="1946"/>
      <c r="H61" s="1946"/>
      <c r="I61" s="1946"/>
      <c r="J61" s="1946"/>
      <c r="K61" s="1946"/>
      <c r="L61" s="1946"/>
      <c r="M61" s="1946"/>
      <c r="N61" s="1946"/>
      <c r="P61" s="1946"/>
      <c r="Q61" s="1903"/>
      <c r="R61" s="1903"/>
      <c r="S61" s="1903"/>
      <c r="T61" s="1903"/>
      <c r="U61" s="1903"/>
      <c r="V61" s="1946"/>
      <c r="W61" s="1946"/>
      <c r="X61" s="1946"/>
      <c r="Y61" s="1946"/>
      <c r="Z61" s="1946"/>
      <c r="AA61" s="1903"/>
      <c r="AB61" s="1903"/>
      <c r="AC61" s="1903"/>
      <c r="AD61" s="1903"/>
      <c r="AE61" s="1903"/>
      <c r="AF61" s="1903"/>
      <c r="AG61" s="1903"/>
      <c r="AH61" s="1947"/>
      <c r="AI61" s="1927"/>
      <c r="AJ61" s="1947"/>
      <c r="AK61" s="1946"/>
      <c r="AL61" s="1946"/>
      <c r="AM61" s="1946"/>
      <c r="AN61" s="1946"/>
      <c r="AO61" s="1946"/>
      <c r="AP61" s="1946"/>
      <c r="AQ61" s="1946"/>
      <c r="AR61" s="1946"/>
      <c r="AS61" s="1946"/>
      <c r="AT61" s="1946"/>
      <c r="AU61" s="1946"/>
      <c r="AV61" s="1946"/>
      <c r="AW61" s="1946"/>
      <c r="AX61" s="1946"/>
      <c r="AY61" s="1946"/>
      <c r="AZ61" s="1946"/>
      <c r="BA61" s="1946"/>
      <c r="BB61" s="1946"/>
      <c r="BC61" s="1946"/>
      <c r="BD61" s="1946"/>
      <c r="BE61" s="1946"/>
      <c r="BF61" s="1946"/>
      <c r="BG61" s="1946"/>
      <c r="BH61" s="1946"/>
      <c r="BI61" s="1946"/>
      <c r="BJ61" s="1946"/>
      <c r="BK61" s="1946"/>
      <c r="BL61" s="1946"/>
      <c r="BM61" s="1946"/>
      <c r="BN61" s="1946"/>
      <c r="BO61" s="1946"/>
      <c r="BP61" s="1946"/>
      <c r="BQ61" s="1946"/>
      <c r="BR61" s="2202"/>
      <c r="BS61" s="1903"/>
      <c r="BT61" s="1903"/>
      <c r="BU61" s="1903"/>
      <c r="BV61" s="1942"/>
      <c r="BW61" s="1903"/>
      <c r="BX61" s="1903"/>
      <c r="BY61" s="1903"/>
      <c r="BZ61" s="1942"/>
      <c r="CA61" s="1903"/>
      <c r="CB61" s="1903"/>
      <c r="CC61" s="1903"/>
      <c r="CD61" s="1942"/>
      <c r="CE61" s="1903"/>
      <c r="CF61" s="1903"/>
      <c r="CG61" s="2236"/>
      <c r="CH61" s="1942"/>
      <c r="CI61" s="1903"/>
      <c r="CJ61" s="1903"/>
      <c r="CK61" s="2236"/>
      <c r="CL61" s="2288"/>
      <c r="CM61" s="2286"/>
      <c r="CN61" s="2286"/>
      <c r="CO61" s="2286"/>
      <c r="CP61" s="1942"/>
      <c r="CQ61" s="1903"/>
      <c r="CR61" s="1903"/>
      <c r="CS61" s="2236"/>
      <c r="CT61" s="1903"/>
      <c r="CU61" s="1903"/>
      <c r="CV61" s="1903"/>
      <c r="CW61" s="2236"/>
      <c r="CX61" s="1942"/>
      <c r="CY61" s="1903"/>
      <c r="CZ61" s="1903"/>
      <c r="DA61" s="2236"/>
      <c r="DB61" s="1903"/>
      <c r="DC61" s="1903"/>
      <c r="DD61" s="1903"/>
      <c r="DE61" s="2236"/>
      <c r="DF61" s="1903"/>
      <c r="DG61" s="1903"/>
      <c r="DH61" s="1903"/>
      <c r="DI61" s="2236"/>
      <c r="DJ61" s="1942"/>
      <c r="DK61" s="1903"/>
      <c r="DL61" s="1903"/>
      <c r="DM61" s="2236"/>
      <c r="DN61" s="1903"/>
      <c r="DO61" s="1903"/>
      <c r="DP61" s="1903"/>
      <c r="DQ61" s="2236"/>
      <c r="DR61" s="1903"/>
      <c r="DS61" s="1903"/>
      <c r="DT61" s="1903"/>
      <c r="DU61" s="2236"/>
      <c r="DV61" s="1903"/>
      <c r="DW61" s="1903"/>
      <c r="DX61" s="1903"/>
      <c r="DY61" s="2236"/>
      <c r="DZ61" s="1946"/>
    </row>
    <row r="62" spans="1:130" s="1958" customFormat="1" ht="15" hidden="1" customHeight="1">
      <c r="A62" s="2316" t="s">
        <v>240</v>
      </c>
      <c r="B62" s="2317"/>
      <c r="C62" s="2317"/>
      <c r="D62" s="2317"/>
      <c r="E62" s="2317"/>
      <c r="F62" s="2317"/>
      <c r="G62" s="2317"/>
      <c r="H62" s="2317"/>
      <c r="I62" s="2317"/>
      <c r="J62" s="2317"/>
      <c r="K62" s="2317"/>
      <c r="L62" s="2317"/>
      <c r="M62" s="2317"/>
      <c r="N62" s="2317"/>
      <c r="O62" s="2161"/>
      <c r="P62" s="2161"/>
      <c r="Q62" s="2238"/>
      <c r="R62" s="2237"/>
      <c r="S62" s="2237"/>
      <c r="T62" s="2237"/>
      <c r="U62" s="2237"/>
      <c r="V62" s="2317"/>
      <c r="W62" s="2317"/>
      <c r="X62" s="2317"/>
      <c r="Y62" s="2317"/>
      <c r="Z62" s="2317"/>
      <c r="AA62" s="2237"/>
      <c r="AB62" s="2237"/>
      <c r="AC62" s="2237"/>
      <c r="AD62" s="2237"/>
      <c r="AE62" s="2237"/>
      <c r="AF62" s="2237"/>
      <c r="AG62" s="2237"/>
      <c r="AH62" s="1951"/>
      <c r="AI62" s="1950"/>
      <c r="AJ62" s="1951"/>
      <c r="AK62" s="2317"/>
      <c r="AL62" s="2317"/>
      <c r="AM62" s="2317"/>
      <c r="AN62" s="2317"/>
      <c r="AO62" s="2317"/>
      <c r="AP62" s="2317"/>
      <c r="AQ62" s="2317"/>
      <c r="AR62" s="2317"/>
      <c r="AS62" s="2317"/>
      <c r="AT62" s="2317"/>
      <c r="AU62" s="2317"/>
      <c r="AV62" s="2317"/>
      <c r="AW62" s="2317"/>
      <c r="AX62" s="2317"/>
      <c r="AY62" s="2317"/>
      <c r="AZ62" s="2317"/>
      <c r="BA62" s="2317"/>
      <c r="BB62" s="2317"/>
      <c r="BC62" s="2317"/>
      <c r="BD62" s="2317"/>
      <c r="BE62" s="2317"/>
      <c r="BF62" s="2317"/>
      <c r="BG62" s="2317"/>
      <c r="BH62" s="2317"/>
      <c r="BI62" s="2317"/>
      <c r="BJ62" s="2317"/>
      <c r="BK62" s="2317"/>
      <c r="BL62" s="2317"/>
      <c r="BM62" s="2317"/>
      <c r="BN62" s="2317"/>
      <c r="BO62" s="2317"/>
      <c r="BP62" s="2317"/>
      <c r="BQ62" s="2317"/>
      <c r="BR62" s="2240"/>
      <c r="BS62" s="2237"/>
      <c r="BT62" s="2237"/>
      <c r="BU62" s="2237"/>
      <c r="BV62" s="2239"/>
      <c r="BW62" s="2237"/>
      <c r="BX62" s="2237"/>
      <c r="BY62" s="2237"/>
      <c r="BZ62" s="2239"/>
      <c r="CA62" s="2237"/>
      <c r="CB62" s="2237"/>
      <c r="CC62" s="2237"/>
      <c r="CD62" s="2239"/>
      <c r="CE62" s="2237"/>
      <c r="CF62" s="2237"/>
      <c r="CG62" s="2241"/>
      <c r="CH62" s="2239"/>
      <c r="CI62" s="2237"/>
      <c r="CJ62" s="2237"/>
      <c r="CK62" s="2241"/>
      <c r="CL62" s="2239"/>
      <c r="CM62" s="2237"/>
      <c r="CN62" s="2237"/>
      <c r="CO62" s="2237"/>
      <c r="CP62" s="2239"/>
      <c r="CQ62" s="2237"/>
      <c r="CR62" s="2237"/>
      <c r="CS62" s="2241"/>
      <c r="CT62" s="2635"/>
      <c r="CU62" s="2237"/>
      <c r="CV62" s="2237"/>
      <c r="CW62" s="2241"/>
      <c r="CX62" s="2239"/>
      <c r="CY62" s="2237"/>
      <c r="CZ62" s="2237"/>
      <c r="DA62" s="2241"/>
      <c r="DB62" s="2237"/>
      <c r="DC62" s="2237"/>
      <c r="DD62" s="2237"/>
      <c r="DE62" s="2241"/>
      <c r="DF62" s="2237"/>
      <c r="DG62" s="2237"/>
      <c r="DH62" s="2237"/>
      <c r="DI62" s="2241"/>
      <c r="DJ62" s="2239"/>
      <c r="DK62" s="2237"/>
      <c r="DL62" s="2237"/>
      <c r="DM62" s="2241"/>
      <c r="DN62" s="2237"/>
      <c r="DO62" s="2237"/>
      <c r="DP62" s="2237"/>
      <c r="DQ62" s="2241"/>
      <c r="DR62" s="2237"/>
      <c r="DS62" s="2237"/>
      <c r="DT62" s="2237"/>
      <c r="DU62" s="2241"/>
      <c r="DV62" s="2237"/>
      <c r="DW62" s="2280"/>
      <c r="DX62" s="2280"/>
      <c r="DY62" s="2289"/>
      <c r="DZ62" s="1946"/>
    </row>
    <row r="63" spans="1:130" s="1958" customFormat="1" ht="15" hidden="1" customHeight="1">
      <c r="A63" s="2316" t="s">
        <v>184</v>
      </c>
      <c r="B63" s="2317"/>
      <c r="C63" s="2317"/>
      <c r="D63" s="2317"/>
      <c r="E63" s="2317"/>
      <c r="F63" s="2317"/>
      <c r="G63" s="2317"/>
      <c r="H63" s="2317"/>
      <c r="I63" s="2317"/>
      <c r="J63" s="2317"/>
      <c r="K63" s="2317"/>
      <c r="L63" s="2317"/>
      <c r="M63" s="2317"/>
      <c r="N63" s="2317"/>
      <c r="O63" s="2161"/>
      <c r="P63" s="2317"/>
      <c r="Q63" s="2238">
        <f>SUM(CL63:CO63)</f>
        <v>278.73199999999997</v>
      </c>
      <c r="R63" s="2237">
        <f>SUM(CP63:CS63)</f>
        <v>340.70699999999999</v>
      </c>
      <c r="S63" s="2237">
        <f>SUM(CT63:CW63)</f>
        <v>409.00399999999996</v>
      </c>
      <c r="T63" s="2237"/>
      <c r="U63" s="2237"/>
      <c r="V63" s="2317"/>
      <c r="W63" s="2317"/>
      <c r="X63" s="2317"/>
      <c r="Y63" s="2317"/>
      <c r="Z63" s="2317"/>
      <c r="AA63" s="2237"/>
      <c r="AB63" s="2237"/>
      <c r="AC63" s="2237"/>
      <c r="AD63" s="2237"/>
      <c r="AE63" s="2237"/>
      <c r="AF63" s="2237"/>
      <c r="AG63" s="2237"/>
      <c r="AH63" s="1951"/>
      <c r="AI63" s="1950"/>
      <c r="AJ63" s="1951"/>
      <c r="AK63" s="2317"/>
      <c r="AL63" s="2317"/>
      <c r="AM63" s="2317"/>
      <c r="AN63" s="2317"/>
      <c r="AO63" s="2317"/>
      <c r="AP63" s="2317"/>
      <c r="AQ63" s="2317"/>
      <c r="AR63" s="2317"/>
      <c r="AS63" s="2317"/>
      <c r="AT63" s="2317"/>
      <c r="AU63" s="2317"/>
      <c r="AV63" s="2317"/>
      <c r="AW63" s="2317"/>
      <c r="AX63" s="2317"/>
      <c r="AY63" s="2317"/>
      <c r="AZ63" s="2317"/>
      <c r="BA63" s="2317"/>
      <c r="BB63" s="2317"/>
      <c r="BC63" s="2317"/>
      <c r="BD63" s="2317"/>
      <c r="BE63" s="2317"/>
      <c r="BF63" s="2317"/>
      <c r="BG63" s="2317"/>
      <c r="BH63" s="2317"/>
      <c r="BI63" s="2317"/>
      <c r="BJ63" s="2317"/>
      <c r="BK63" s="2317"/>
      <c r="BL63" s="2317"/>
      <c r="BM63" s="2317"/>
      <c r="BN63" s="2317"/>
      <c r="BO63" s="2317"/>
      <c r="BP63" s="2317"/>
      <c r="BQ63" s="2317"/>
      <c r="BR63" s="2240"/>
      <c r="BS63" s="2237"/>
      <c r="BT63" s="2237"/>
      <c r="BU63" s="2237"/>
      <c r="BV63" s="2239"/>
      <c r="BW63" s="2237"/>
      <c r="BX63" s="2237"/>
      <c r="BY63" s="2237"/>
      <c r="BZ63" s="2239"/>
      <c r="CA63" s="2237"/>
      <c r="CB63" s="2237"/>
      <c r="CC63" s="2237"/>
      <c r="CD63" s="2239"/>
      <c r="CE63" s="2237"/>
      <c r="CF63" s="2237"/>
      <c r="CG63" s="2241"/>
      <c r="CH63" s="2239"/>
      <c r="CI63" s="2237"/>
      <c r="CJ63" s="2237">
        <v>59.581000000000003</v>
      </c>
      <c r="CK63" s="2241">
        <v>65.876999999999995</v>
      </c>
      <c r="CL63" s="2239">
        <v>68.896000000000001</v>
      </c>
      <c r="CM63" s="2237">
        <v>65.760999999999996</v>
      </c>
      <c r="CN63" s="2237">
        <v>69.802999999999997</v>
      </c>
      <c r="CO63" s="2237">
        <v>74.272000000000006</v>
      </c>
      <c r="CP63" s="2239">
        <v>82.510999999999996</v>
      </c>
      <c r="CQ63" s="2237">
        <v>79.046999999999997</v>
      </c>
      <c r="CR63" s="2237">
        <v>84.873999999999995</v>
      </c>
      <c r="CS63" s="2241">
        <v>94.275000000000006</v>
      </c>
      <c r="CT63" s="3090">
        <f>357.2-CS63-CR63-CQ63</f>
        <v>99.003999999999962</v>
      </c>
      <c r="CU63" s="2237">
        <v>98</v>
      </c>
      <c r="CV63" s="2237">
        <v>101</v>
      </c>
      <c r="CW63" s="2241">
        <v>111</v>
      </c>
      <c r="CX63" s="2239"/>
      <c r="CY63" s="2237"/>
      <c r="CZ63" s="2237"/>
      <c r="DA63" s="2241"/>
      <c r="DB63" s="2237"/>
      <c r="DC63" s="2237"/>
      <c r="DD63" s="2237"/>
      <c r="DE63" s="2241"/>
      <c r="DF63" s="2237"/>
      <c r="DG63" s="2237"/>
      <c r="DH63" s="2237"/>
      <c r="DI63" s="2241"/>
      <c r="DJ63" s="2239"/>
      <c r="DK63" s="2237"/>
      <c r="DL63" s="2237"/>
      <c r="DM63" s="2241"/>
      <c r="DN63" s="2237"/>
      <c r="DO63" s="2237"/>
      <c r="DP63" s="2237"/>
      <c r="DQ63" s="2241"/>
      <c r="DR63" s="2237"/>
      <c r="DS63" s="2237"/>
      <c r="DT63" s="2237"/>
      <c r="DU63" s="2241"/>
      <c r="DV63" s="2237"/>
      <c r="DW63" s="1903"/>
      <c r="DX63" s="1903"/>
      <c r="DY63" s="2236"/>
      <c r="DZ63" s="1946"/>
    </row>
    <row r="64" spans="1:130" s="1958" customFormat="1" ht="15" hidden="1" customHeight="1">
      <c r="A64" s="2319" t="s">
        <v>241</v>
      </c>
      <c r="B64" s="2320"/>
      <c r="C64" s="2320"/>
      <c r="D64" s="2320"/>
      <c r="E64" s="2320"/>
      <c r="F64" s="2320"/>
      <c r="G64" s="2320"/>
      <c r="H64" s="2320"/>
      <c r="I64" s="2320"/>
      <c r="J64" s="2320"/>
      <c r="K64" s="2320"/>
      <c r="L64" s="2320"/>
      <c r="M64" s="2320"/>
      <c r="N64" s="2320"/>
      <c r="O64" s="2320"/>
      <c r="P64" s="2320"/>
      <c r="Q64" s="2242"/>
      <c r="R64" s="2242">
        <f>+R63/Q63-1</f>
        <v>0.22234619634631136</v>
      </c>
      <c r="S64" s="2242">
        <f>+S63/R63-1</f>
        <v>0.20045669739688354</v>
      </c>
      <c r="T64" s="2242"/>
      <c r="U64" s="2242"/>
      <c r="V64" s="2320"/>
      <c r="W64" s="2320"/>
      <c r="X64" s="2320"/>
      <c r="Y64" s="2320"/>
      <c r="Z64" s="2320"/>
      <c r="AA64" s="2242"/>
      <c r="AB64" s="2242"/>
      <c r="AC64" s="2242"/>
      <c r="AD64" s="2242"/>
      <c r="AE64" s="2242"/>
      <c r="AF64" s="2242"/>
      <c r="AG64" s="2242"/>
      <c r="AH64" s="1950"/>
      <c r="AI64" s="1950"/>
      <c r="AJ64" s="1950"/>
      <c r="AK64" s="2320"/>
      <c r="AL64" s="2320"/>
      <c r="AM64" s="2320"/>
      <c r="AN64" s="2320"/>
      <c r="AO64" s="2320"/>
      <c r="AP64" s="2320"/>
      <c r="AQ64" s="2320"/>
      <c r="AR64" s="2320"/>
      <c r="AS64" s="2320"/>
      <c r="AT64" s="2320"/>
      <c r="AU64" s="2320"/>
      <c r="AV64" s="2320"/>
      <c r="AW64" s="2320"/>
      <c r="AX64" s="2320"/>
      <c r="AY64" s="2320"/>
      <c r="AZ64" s="2320"/>
      <c r="BA64" s="2320"/>
      <c r="BB64" s="2320"/>
      <c r="BC64" s="2320"/>
      <c r="BD64" s="2320"/>
      <c r="BE64" s="2320"/>
      <c r="BF64" s="2320"/>
      <c r="BG64" s="2320"/>
      <c r="BH64" s="2320"/>
      <c r="BI64" s="2320"/>
      <c r="BJ64" s="2320"/>
      <c r="BK64" s="2320"/>
      <c r="BL64" s="2320"/>
      <c r="BM64" s="2320"/>
      <c r="BN64" s="2320"/>
      <c r="BO64" s="2320"/>
      <c r="BP64" s="2320"/>
      <c r="BQ64" s="2320"/>
      <c r="BR64" s="2243"/>
      <c r="BS64" s="2242"/>
      <c r="BT64" s="2242"/>
      <c r="BU64" s="2242"/>
      <c r="BV64" s="2243"/>
      <c r="BW64" s="2242"/>
      <c r="BX64" s="2242"/>
      <c r="BY64" s="2242"/>
      <c r="BZ64" s="2243"/>
      <c r="CA64" s="2242"/>
      <c r="CB64" s="2242"/>
      <c r="CC64" s="2242"/>
      <c r="CD64" s="2243"/>
      <c r="CE64" s="2242"/>
      <c r="CF64" s="2242"/>
      <c r="CG64" s="2244"/>
      <c r="CH64" s="2243"/>
      <c r="CI64" s="2321"/>
      <c r="CJ64" s="2321"/>
      <c r="CK64" s="2244"/>
      <c r="CL64" s="2322"/>
      <c r="CM64" s="2321"/>
      <c r="CN64" s="2242">
        <f t="shared" ref="CN64:CW64" si="88">CN63/CJ63-1</f>
        <v>0.1715647605780366</v>
      </c>
      <c r="CO64" s="2242">
        <f t="shared" si="88"/>
        <v>0.12743446119282931</v>
      </c>
      <c r="CP64" s="2243">
        <f t="shared" si="88"/>
        <v>0.19761669763121215</v>
      </c>
      <c r="CQ64" s="2242">
        <f t="shared" si="88"/>
        <v>0.20203464059244847</v>
      </c>
      <c r="CR64" s="2242">
        <f t="shared" si="88"/>
        <v>0.21590762574674449</v>
      </c>
      <c r="CS64" s="2244">
        <f t="shared" si="88"/>
        <v>0.26932087462300736</v>
      </c>
      <c r="CT64" s="2242">
        <f t="shared" si="88"/>
        <v>0.19988849971518907</v>
      </c>
      <c r="CU64" s="2242">
        <f t="shared" si="88"/>
        <v>0.23976874517692015</v>
      </c>
      <c r="CV64" s="2242">
        <f t="shared" si="88"/>
        <v>0.18999929306972696</v>
      </c>
      <c r="CW64" s="2244">
        <f t="shared" si="88"/>
        <v>0.17740652346857599</v>
      </c>
      <c r="CX64" s="2243"/>
      <c r="CY64" s="2242"/>
      <c r="CZ64" s="2242"/>
      <c r="DA64" s="2244"/>
      <c r="DB64" s="2242"/>
      <c r="DC64" s="2242"/>
      <c r="DD64" s="2242"/>
      <c r="DE64" s="2244"/>
      <c r="DF64" s="2242"/>
      <c r="DG64" s="2242"/>
      <c r="DH64" s="2242"/>
      <c r="DI64" s="2244"/>
      <c r="DJ64" s="2243"/>
      <c r="DK64" s="2242"/>
      <c r="DL64" s="2242"/>
      <c r="DM64" s="2244"/>
      <c r="DN64" s="2242"/>
      <c r="DO64" s="2242"/>
      <c r="DP64" s="2242"/>
      <c r="DQ64" s="2244"/>
      <c r="DR64" s="2242"/>
      <c r="DS64" s="2242"/>
      <c r="DT64" s="2242"/>
      <c r="DU64" s="2244"/>
      <c r="DV64" s="2242"/>
      <c r="DW64" s="2207"/>
      <c r="DX64" s="2207"/>
      <c r="DY64" s="2209"/>
      <c r="DZ64" s="1946"/>
    </row>
    <row r="65" spans="1:131" s="1958" customFormat="1" ht="15" hidden="1" customHeight="1">
      <c r="A65" s="2316" t="s">
        <v>971</v>
      </c>
      <c r="B65" s="2317"/>
      <c r="C65" s="2317"/>
      <c r="D65" s="2317"/>
      <c r="E65" s="2317"/>
      <c r="F65" s="2317"/>
      <c r="G65" s="2317"/>
      <c r="H65" s="2317"/>
      <c r="I65" s="2317"/>
      <c r="J65" s="2317"/>
      <c r="K65" s="2317"/>
      <c r="L65" s="2317"/>
      <c r="M65" s="2317"/>
      <c r="N65" s="2317"/>
      <c r="O65" s="2161"/>
      <c r="P65" s="2317"/>
      <c r="Q65" s="2238">
        <f>SUM(CL65:CO65)</f>
        <v>76.537000000000006</v>
      </c>
      <c r="R65" s="2237">
        <f>SUM(CP65:CS65)</f>
        <v>97.238</v>
      </c>
      <c r="S65" s="2237"/>
      <c r="T65" s="2237"/>
      <c r="U65" s="2237"/>
      <c r="V65" s="2317"/>
      <c r="W65" s="2317"/>
      <c r="X65" s="2317"/>
      <c r="Y65" s="2317"/>
      <c r="Z65" s="2317"/>
      <c r="AA65" s="2237"/>
      <c r="AB65" s="2237"/>
      <c r="AC65" s="2237"/>
      <c r="AD65" s="2237"/>
      <c r="AE65" s="2237"/>
      <c r="AF65" s="2237"/>
      <c r="AG65" s="2237"/>
      <c r="AH65" s="1951"/>
      <c r="AI65" s="1950"/>
      <c r="AJ65" s="1951"/>
      <c r="AK65" s="2317"/>
      <c r="AL65" s="2317"/>
      <c r="AM65" s="2317"/>
      <c r="AN65" s="2317"/>
      <c r="AO65" s="2317"/>
      <c r="AP65" s="2317"/>
      <c r="AQ65" s="2317"/>
      <c r="AR65" s="2317"/>
      <c r="AS65" s="2317"/>
      <c r="AT65" s="2317"/>
      <c r="AU65" s="2317"/>
      <c r="AV65" s="2317"/>
      <c r="AW65" s="2317"/>
      <c r="AX65" s="2317"/>
      <c r="AY65" s="2317"/>
      <c r="AZ65" s="2317"/>
      <c r="BA65" s="2317"/>
      <c r="BB65" s="2317"/>
      <c r="BC65" s="2317"/>
      <c r="BD65" s="2317"/>
      <c r="BE65" s="2317"/>
      <c r="BF65" s="2317"/>
      <c r="BG65" s="2317"/>
      <c r="BH65" s="2317"/>
      <c r="BI65" s="2317"/>
      <c r="BJ65" s="2317"/>
      <c r="BK65" s="2317"/>
      <c r="BL65" s="2317"/>
      <c r="BM65" s="2317"/>
      <c r="BN65" s="2317"/>
      <c r="BO65" s="2317"/>
      <c r="BP65" s="2317"/>
      <c r="BQ65" s="2317"/>
      <c r="BR65" s="2240"/>
      <c r="BS65" s="2237"/>
      <c r="BT65" s="2237"/>
      <c r="BU65" s="2237"/>
      <c r="BV65" s="2239"/>
      <c r="BW65" s="2237"/>
      <c r="BX65" s="2237"/>
      <c r="BY65" s="2237"/>
      <c r="BZ65" s="2239"/>
      <c r="CA65" s="2237"/>
      <c r="CB65" s="2237"/>
      <c r="CC65" s="2237"/>
      <c r="CD65" s="2239"/>
      <c r="CE65" s="2237"/>
      <c r="CF65" s="2237"/>
      <c r="CG65" s="2241"/>
      <c r="CH65" s="2239"/>
      <c r="CI65" s="2237"/>
      <c r="CJ65" s="2237">
        <v>9.8729999999999993</v>
      </c>
      <c r="CK65" s="2241">
        <v>18.364000000000001</v>
      </c>
      <c r="CL65" s="2239">
        <v>22.088000000000001</v>
      </c>
      <c r="CM65" s="2237">
        <v>16.7</v>
      </c>
      <c r="CN65" s="2237">
        <v>17.975000000000001</v>
      </c>
      <c r="CO65" s="2237">
        <v>19.774000000000001</v>
      </c>
      <c r="CP65" s="2239">
        <v>26.523</v>
      </c>
      <c r="CQ65" s="2237">
        <v>19.244</v>
      </c>
      <c r="CR65" s="2237">
        <v>22.946000000000002</v>
      </c>
      <c r="CS65" s="2241">
        <v>28.524999999999999</v>
      </c>
      <c r="CT65" s="3090">
        <f>102-CS65-CR65-CQ65</f>
        <v>31.284999999999997</v>
      </c>
      <c r="CU65" s="2237"/>
      <c r="CV65" s="2237"/>
      <c r="CW65" s="2241"/>
      <c r="CX65" s="2239"/>
      <c r="CY65" s="2237"/>
      <c r="CZ65" s="2237"/>
      <c r="DA65" s="2241"/>
      <c r="DB65" s="2237"/>
      <c r="DC65" s="2237"/>
      <c r="DD65" s="2237"/>
      <c r="DE65" s="2241"/>
      <c r="DF65" s="2237"/>
      <c r="DG65" s="2237"/>
      <c r="DH65" s="2237"/>
      <c r="DI65" s="2241"/>
      <c r="DJ65" s="2239"/>
      <c r="DK65" s="2237"/>
      <c r="DL65" s="2237"/>
      <c r="DM65" s="2241"/>
      <c r="DN65" s="2237"/>
      <c r="DO65" s="2237"/>
      <c r="DP65" s="2237"/>
      <c r="DQ65" s="2241"/>
      <c r="DR65" s="2237"/>
      <c r="DS65" s="2237"/>
      <c r="DT65" s="2237"/>
      <c r="DU65" s="2241"/>
      <c r="DV65" s="2237"/>
      <c r="DW65" s="1903"/>
      <c r="DX65" s="1903"/>
      <c r="DY65" s="2236"/>
      <c r="DZ65" s="1946"/>
    </row>
    <row r="66" spans="1:131" s="1958" customFormat="1" ht="15" hidden="1" customHeight="1">
      <c r="A66" s="2323" t="s">
        <v>241</v>
      </c>
      <c r="B66" s="2320"/>
      <c r="C66" s="2320"/>
      <c r="D66" s="2320"/>
      <c r="E66" s="2320"/>
      <c r="F66" s="2320"/>
      <c r="G66" s="2320"/>
      <c r="H66" s="2320"/>
      <c r="I66" s="2320"/>
      <c r="J66" s="2320"/>
      <c r="K66" s="2320"/>
      <c r="L66" s="2320"/>
      <c r="M66" s="2320"/>
      <c r="N66" s="2320"/>
      <c r="O66" s="2320"/>
      <c r="P66" s="2320"/>
      <c r="Q66" s="2242"/>
      <c r="R66" s="2242">
        <f>+R65/Q65-1</f>
        <v>0.27047049139631807</v>
      </c>
      <c r="S66" s="2242"/>
      <c r="T66" s="2242"/>
      <c r="U66" s="2242"/>
      <c r="V66" s="2320"/>
      <c r="W66" s="2320"/>
      <c r="X66" s="2320"/>
      <c r="Y66" s="2320"/>
      <c r="Z66" s="2320"/>
      <c r="AA66" s="2242"/>
      <c r="AB66" s="2242"/>
      <c r="AC66" s="2242"/>
      <c r="AD66" s="2242"/>
      <c r="AE66" s="2242"/>
      <c r="AF66" s="2242"/>
      <c r="AG66" s="2242"/>
      <c r="AH66" s="1950"/>
      <c r="AI66" s="1950"/>
      <c r="AJ66" s="1950"/>
      <c r="AK66" s="2320"/>
      <c r="AL66" s="2320"/>
      <c r="AM66" s="2320"/>
      <c r="AN66" s="2320"/>
      <c r="AO66" s="2320"/>
      <c r="AP66" s="2320"/>
      <c r="AQ66" s="2320"/>
      <c r="AR66" s="2320"/>
      <c r="AS66" s="2320"/>
      <c r="AT66" s="2320"/>
      <c r="AU66" s="2320"/>
      <c r="AV66" s="2320"/>
      <c r="AW66" s="2320"/>
      <c r="AX66" s="2320"/>
      <c r="AY66" s="2320"/>
      <c r="AZ66" s="2320"/>
      <c r="BA66" s="2320"/>
      <c r="BB66" s="2320"/>
      <c r="BC66" s="2320"/>
      <c r="BD66" s="2320"/>
      <c r="BE66" s="2320"/>
      <c r="BF66" s="2320"/>
      <c r="BG66" s="2320"/>
      <c r="BH66" s="2320"/>
      <c r="BI66" s="2320"/>
      <c r="BJ66" s="2320"/>
      <c r="BK66" s="2320"/>
      <c r="BL66" s="2320"/>
      <c r="BM66" s="2320"/>
      <c r="BN66" s="2320"/>
      <c r="BO66" s="2320"/>
      <c r="BP66" s="2320"/>
      <c r="BQ66" s="2320"/>
      <c r="BR66" s="2243"/>
      <c r="BS66" s="2242"/>
      <c r="BT66" s="2242"/>
      <c r="BU66" s="2242"/>
      <c r="BV66" s="2243"/>
      <c r="BW66" s="2242"/>
      <c r="BX66" s="2242"/>
      <c r="BY66" s="2242"/>
      <c r="BZ66" s="2243"/>
      <c r="CA66" s="2242"/>
      <c r="CB66" s="2242"/>
      <c r="CC66" s="2242"/>
      <c r="CD66" s="2243"/>
      <c r="CE66" s="2242"/>
      <c r="CF66" s="2242"/>
      <c r="CG66" s="2244"/>
      <c r="CH66" s="2243"/>
      <c r="CI66" s="2242"/>
      <c r="CJ66" s="2242"/>
      <c r="CK66" s="2244"/>
      <c r="CL66" s="2243"/>
      <c r="CM66" s="2242"/>
      <c r="CN66" s="2242">
        <f t="shared" ref="CN66:CT66" si="89">CN65/CJ65-1</f>
        <v>0.82062189810594588</v>
      </c>
      <c r="CO66" s="2242">
        <f t="shared" si="89"/>
        <v>7.6780657808756203E-2</v>
      </c>
      <c r="CP66" s="2243">
        <f t="shared" si="89"/>
        <v>0.20078775805867433</v>
      </c>
      <c r="CQ66" s="2242">
        <f t="shared" si="89"/>
        <v>0.15233532934131744</v>
      </c>
      <c r="CR66" s="2242">
        <f t="shared" si="89"/>
        <v>0.27655076495132125</v>
      </c>
      <c r="CS66" s="2244">
        <f t="shared" si="89"/>
        <v>0.44255082431475667</v>
      </c>
      <c r="CT66" s="2242">
        <f t="shared" si="89"/>
        <v>0.179542284055348</v>
      </c>
      <c r="CU66" s="2324"/>
      <c r="CV66" s="2324"/>
      <c r="CW66" s="2244"/>
      <c r="CX66" s="2326"/>
      <c r="CY66" s="2324"/>
      <c r="CZ66" s="2324"/>
      <c r="DA66" s="2325"/>
      <c r="DB66" s="2324"/>
      <c r="DC66" s="2324"/>
      <c r="DD66" s="2324"/>
      <c r="DE66" s="2325"/>
      <c r="DF66" s="2324"/>
      <c r="DG66" s="2324"/>
      <c r="DH66" s="2324"/>
      <c r="DI66" s="2325"/>
      <c r="DJ66" s="2326"/>
      <c r="DK66" s="2324"/>
      <c r="DL66" s="2324"/>
      <c r="DM66" s="2325"/>
      <c r="DN66" s="2324"/>
      <c r="DO66" s="2324"/>
      <c r="DP66" s="2324"/>
      <c r="DQ66" s="2325"/>
      <c r="DR66" s="2324"/>
      <c r="DS66" s="2324"/>
      <c r="DT66" s="2324"/>
      <c r="DU66" s="2325"/>
      <c r="DV66" s="2324"/>
      <c r="DW66" s="2207"/>
      <c r="DX66" s="2207"/>
      <c r="DY66" s="2209"/>
      <c r="DZ66" s="1946"/>
    </row>
    <row r="67" spans="1:131" s="1958" customFormat="1" ht="15" hidden="1" customHeight="1">
      <c r="A67" s="2323" t="s">
        <v>242</v>
      </c>
      <c r="B67" s="2320"/>
      <c r="C67" s="2320"/>
      <c r="D67" s="2320"/>
      <c r="E67" s="2320"/>
      <c r="F67" s="2320"/>
      <c r="G67" s="2320"/>
      <c r="H67" s="2320"/>
      <c r="I67" s="2320"/>
      <c r="J67" s="2320"/>
      <c r="K67" s="2320"/>
      <c r="L67" s="2320"/>
      <c r="M67" s="2320"/>
      <c r="N67" s="2320"/>
      <c r="O67" s="2320"/>
      <c r="P67" s="2320"/>
      <c r="Q67" s="2242"/>
      <c r="R67" s="2242">
        <f>+R65/R63</f>
        <v>0.28540065217327498</v>
      </c>
      <c r="S67" s="2242"/>
      <c r="T67" s="2242"/>
      <c r="U67" s="2242"/>
      <c r="V67" s="2320"/>
      <c r="W67" s="2320"/>
      <c r="X67" s="2320"/>
      <c r="Y67" s="2320"/>
      <c r="Z67" s="2320"/>
      <c r="AA67" s="2242"/>
      <c r="AB67" s="2242"/>
      <c r="AC67" s="2242"/>
      <c r="AD67" s="2242"/>
      <c r="AE67" s="2242"/>
      <c r="AF67" s="2242"/>
      <c r="AG67" s="2242"/>
      <c r="AH67" s="1950"/>
      <c r="AI67" s="1950"/>
      <c r="AJ67" s="1950"/>
      <c r="AK67" s="2320"/>
      <c r="AL67" s="2320"/>
      <c r="AM67" s="2320"/>
      <c r="AN67" s="2320"/>
      <c r="AO67" s="2320"/>
      <c r="AP67" s="2320"/>
      <c r="AQ67" s="2320"/>
      <c r="AR67" s="2320"/>
      <c r="AS67" s="2320"/>
      <c r="AT67" s="2320"/>
      <c r="AU67" s="2320"/>
      <c r="AV67" s="2320"/>
      <c r="AW67" s="2320"/>
      <c r="AX67" s="2320"/>
      <c r="AY67" s="2320"/>
      <c r="AZ67" s="2320"/>
      <c r="BA67" s="2320"/>
      <c r="BB67" s="2320"/>
      <c r="BC67" s="2320"/>
      <c r="BD67" s="2320"/>
      <c r="BE67" s="2320"/>
      <c r="BF67" s="2320"/>
      <c r="BG67" s="2320"/>
      <c r="BH67" s="2320"/>
      <c r="BI67" s="2320"/>
      <c r="BJ67" s="2320"/>
      <c r="BK67" s="2320"/>
      <c r="BL67" s="2320"/>
      <c r="BM67" s="2320"/>
      <c r="BN67" s="2320"/>
      <c r="BO67" s="2320"/>
      <c r="BP67" s="2320"/>
      <c r="BQ67" s="2320"/>
      <c r="BR67" s="2243"/>
      <c r="BS67" s="2242"/>
      <c r="BT67" s="2242"/>
      <c r="BU67" s="2242"/>
      <c r="BV67" s="2243"/>
      <c r="BW67" s="2242"/>
      <c r="BX67" s="2242"/>
      <c r="BY67" s="2242"/>
      <c r="BZ67" s="2243"/>
      <c r="CA67" s="2242"/>
      <c r="CB67" s="2242"/>
      <c r="CC67" s="2242"/>
      <c r="CD67" s="2243"/>
      <c r="CE67" s="2242"/>
      <c r="CF67" s="2242"/>
      <c r="CG67" s="2244"/>
      <c r="CH67" s="2243"/>
      <c r="CI67" s="2242"/>
      <c r="CJ67" s="2242">
        <f t="shared" ref="CJ67:CT67" si="90">+CJ65/CJ63</f>
        <v>0.16570718853325722</v>
      </c>
      <c r="CK67" s="2244">
        <f t="shared" si="90"/>
        <v>0.27876193512151437</v>
      </c>
      <c r="CL67" s="2243">
        <f t="shared" si="90"/>
        <v>0.32059916395726895</v>
      </c>
      <c r="CM67" s="2242">
        <f t="shared" si="90"/>
        <v>0.25394990952084062</v>
      </c>
      <c r="CN67" s="2242">
        <f t="shared" si="90"/>
        <v>0.25751042218815812</v>
      </c>
      <c r="CO67" s="2242">
        <f t="shared" si="90"/>
        <v>0.26623761309780264</v>
      </c>
      <c r="CP67" s="2243">
        <f t="shared" si="90"/>
        <v>0.32144804935099563</v>
      </c>
      <c r="CQ67" s="2242">
        <f t="shared" si="90"/>
        <v>0.24345009930800662</v>
      </c>
      <c r="CR67" s="2242">
        <f t="shared" si="90"/>
        <v>0.27035370077997978</v>
      </c>
      <c r="CS67" s="2244">
        <f t="shared" si="90"/>
        <v>0.30257226199946963</v>
      </c>
      <c r="CT67" s="2242">
        <f t="shared" si="90"/>
        <v>0.31599733344107317</v>
      </c>
      <c r="CU67" s="2242"/>
      <c r="CV67" s="2242"/>
      <c r="CW67" s="2244"/>
      <c r="CX67" s="2243"/>
      <c r="CY67" s="2242"/>
      <c r="CZ67" s="2242"/>
      <c r="DA67" s="2244"/>
      <c r="DB67" s="2242"/>
      <c r="DC67" s="2242"/>
      <c r="DD67" s="2242"/>
      <c r="DE67" s="2244"/>
      <c r="DF67" s="2242"/>
      <c r="DG67" s="2242"/>
      <c r="DH67" s="2242"/>
      <c r="DI67" s="2244"/>
      <c r="DJ67" s="2243"/>
      <c r="DK67" s="2242"/>
      <c r="DL67" s="2242"/>
      <c r="DM67" s="2244"/>
      <c r="DN67" s="2242"/>
      <c r="DO67" s="2242"/>
      <c r="DP67" s="2242"/>
      <c r="DQ67" s="2244"/>
      <c r="DR67" s="2242"/>
      <c r="DS67" s="2242"/>
      <c r="DT67" s="2242"/>
      <c r="DU67" s="2244"/>
      <c r="DV67" s="2242"/>
      <c r="DW67" s="2207"/>
      <c r="DX67" s="2207"/>
      <c r="DY67" s="2209"/>
      <c r="DZ67" s="1946"/>
    </row>
    <row r="68" spans="1:131" s="1958" customFormat="1" ht="15" customHeight="1">
      <c r="A68" s="2327"/>
      <c r="R68" s="3061"/>
      <c r="S68" s="3061"/>
      <c r="Y68" s="2994"/>
      <c r="Z68" s="3249"/>
      <c r="AB68" s="3145"/>
      <c r="AC68" s="3145"/>
      <c r="AD68" s="3145"/>
      <c r="AE68" s="3145"/>
      <c r="AF68" s="3145"/>
      <c r="AG68" s="3145"/>
      <c r="AH68" s="1947"/>
      <c r="AI68" s="2456"/>
      <c r="AJ68" s="1947"/>
      <c r="CH68" s="2306"/>
      <c r="CI68" s="2307"/>
      <c r="CJ68" s="2307"/>
      <c r="CK68" s="2308"/>
      <c r="CL68" s="2309"/>
      <c r="CO68" s="2310"/>
      <c r="CP68" s="2311"/>
      <c r="CQ68" s="2310"/>
      <c r="CS68" s="2961"/>
      <c r="CW68" s="2961"/>
      <c r="DA68" s="2961"/>
      <c r="DE68" s="2961"/>
      <c r="DI68" s="2961"/>
      <c r="DM68" s="2961"/>
      <c r="DN68" s="1561"/>
      <c r="DO68" s="1561"/>
      <c r="DP68" s="1561"/>
      <c r="DQ68" s="2961"/>
      <c r="DR68" s="1561"/>
      <c r="DS68" s="1561"/>
      <c r="DT68" s="1561"/>
      <c r="DU68" s="2961"/>
      <c r="DV68" s="1561"/>
      <c r="DW68" s="1561"/>
      <c r="DX68" s="1561"/>
      <c r="DY68" s="2961"/>
      <c r="DZ68" s="1946"/>
    </row>
    <row r="69" spans="1:131" s="2960" customFormat="1" ht="15" customHeight="1">
      <c r="A69" s="2301" t="s">
        <v>1679</v>
      </c>
      <c r="B69" s="2162"/>
      <c r="C69" s="2162"/>
      <c r="D69" s="2162"/>
      <c r="E69" s="2162"/>
      <c r="F69" s="2162"/>
      <c r="G69" s="2162"/>
      <c r="H69" s="2162"/>
      <c r="I69" s="2162"/>
      <c r="J69" s="2162"/>
      <c r="K69" s="2162"/>
      <c r="L69" s="2162"/>
      <c r="M69" s="2162"/>
      <c r="N69" s="2162"/>
      <c r="O69" s="2162"/>
      <c r="P69" s="2162"/>
      <c r="Q69" s="2216"/>
      <c r="R69" s="2216"/>
      <c r="S69" s="2216"/>
      <c r="T69" s="2216"/>
      <c r="U69" s="2216"/>
      <c r="V69" s="2162"/>
      <c r="W69" s="2162">
        <f>SUM(DJ69:DM69)</f>
        <v>3611</v>
      </c>
      <c r="X69" s="2162">
        <f>SUM(DN69:DQ69)</f>
        <v>3402</v>
      </c>
      <c r="Y69" s="2162">
        <f>SUM(DR69:DU69)</f>
        <v>3599</v>
      </c>
      <c r="Z69" s="2162">
        <f>SUM(DV69:DY69)</f>
        <v>3552.9100000000003</v>
      </c>
      <c r="AA69" s="2216">
        <f>+Z69*(1+AA70)</f>
        <v>3514.5160639844407</v>
      </c>
      <c r="AB69" s="2216">
        <f t="shared" ref="AB69:AG69" si="91">+AA69*(1+AB70)</f>
        <v>3483.5660578349762</v>
      </c>
      <c r="AC69" s="2216">
        <f t="shared" si="91"/>
        <v>3459.8557399264669</v>
      </c>
      <c r="AD69" s="2216">
        <f t="shared" si="91"/>
        <v>3443.2265138666594</v>
      </c>
      <c r="AE69" s="2216">
        <f t="shared" si="91"/>
        <v>3433.5636664673671</v>
      </c>
      <c r="AF69" s="2216">
        <f t="shared" si="91"/>
        <v>3430.7950635887655</v>
      </c>
      <c r="AG69" s="2216">
        <f t="shared" si="91"/>
        <v>3434.8902832590011</v>
      </c>
      <c r="AH69" s="1955"/>
      <c r="AI69" s="2125">
        <f>(AA69/W69)^(1/4)-1</f>
        <v>-6.747856253411344E-3</v>
      </c>
      <c r="AJ69" s="1955"/>
      <c r="AK69" s="2162"/>
      <c r="AL69" s="2162"/>
      <c r="AM69" s="2162"/>
      <c r="AN69" s="2162"/>
      <c r="AO69" s="2162"/>
      <c r="AP69" s="2162"/>
      <c r="AQ69" s="2162"/>
      <c r="AR69" s="2162"/>
      <c r="AS69" s="2162"/>
      <c r="AT69" s="2162"/>
      <c r="AU69" s="2162"/>
      <c r="AV69" s="2162"/>
      <c r="AW69" s="2162"/>
      <c r="AX69" s="2162"/>
      <c r="AY69" s="2162"/>
      <c r="AZ69" s="2162"/>
      <c r="BA69" s="2162"/>
      <c r="BB69" s="2162"/>
      <c r="BC69" s="2162"/>
      <c r="BD69" s="2162"/>
      <c r="BE69" s="2162"/>
      <c r="BF69" s="2162"/>
      <c r="BG69" s="2162"/>
      <c r="BH69" s="2162"/>
      <c r="BI69" s="2162"/>
      <c r="BJ69" s="2162"/>
      <c r="BK69" s="2162"/>
      <c r="BL69" s="2162"/>
      <c r="BM69" s="2162"/>
      <c r="BN69" s="2162"/>
      <c r="BO69" s="2162"/>
      <c r="BP69" s="2162"/>
      <c r="BQ69" s="2162"/>
      <c r="BR69" s="1937"/>
      <c r="BS69" s="2216"/>
      <c r="BT69" s="2216"/>
      <c r="BU69" s="2216"/>
      <c r="BV69" s="1937"/>
      <c r="BW69" s="2216"/>
      <c r="BX69" s="2216"/>
      <c r="BY69" s="2216"/>
      <c r="BZ69" s="1937"/>
      <c r="CA69" s="2216"/>
      <c r="CB69" s="2216"/>
      <c r="CC69" s="2216"/>
      <c r="CD69" s="2302"/>
      <c r="CE69" s="2303"/>
      <c r="CF69" s="2303"/>
      <c r="CG69" s="2304"/>
      <c r="CH69" s="1937"/>
      <c r="CI69" s="2216"/>
      <c r="CJ69" s="2216"/>
      <c r="CK69" s="2219"/>
      <c r="CL69" s="1937"/>
      <c r="CM69" s="2216"/>
      <c r="CN69" s="2216"/>
      <c r="CO69" s="2216"/>
      <c r="CP69" s="1937"/>
      <c r="CQ69" s="2216"/>
      <c r="CR69" s="2216"/>
      <c r="CS69" s="2219"/>
      <c r="CT69" s="2216"/>
      <c r="CU69" s="2216"/>
      <c r="CV69" s="2216"/>
      <c r="CW69" s="2219"/>
      <c r="CX69" s="1937"/>
      <c r="CY69" s="2216"/>
      <c r="CZ69" s="2216"/>
      <c r="DA69" s="2219"/>
      <c r="DB69" s="2216"/>
      <c r="DC69" s="2216"/>
      <c r="DD69" s="2216"/>
      <c r="DE69" s="2219"/>
      <c r="DF69" s="2216"/>
      <c r="DG69" s="2216"/>
      <c r="DH69" s="2216"/>
      <c r="DI69" s="2219"/>
      <c r="DJ69" s="2504">
        <f>+NormInputs!CZ157</f>
        <v>914</v>
      </c>
      <c r="DK69" s="2505">
        <f>+NormInputs!DA157</f>
        <v>906</v>
      </c>
      <c r="DL69" s="2505">
        <f>+NormInputs!DB157</f>
        <v>900</v>
      </c>
      <c r="DM69" s="2506">
        <f>+NormInputs!DC157</f>
        <v>891</v>
      </c>
      <c r="DN69" s="2505">
        <f>+NormInputs!DD157</f>
        <v>870</v>
      </c>
      <c r="DO69" s="2505">
        <f>+NormInputs!DE157</f>
        <v>854</v>
      </c>
      <c r="DP69" s="2505">
        <f>+NormInputs!DF157</f>
        <v>845</v>
      </c>
      <c r="DQ69" s="2506">
        <f>+NormInputs!DG157</f>
        <v>833</v>
      </c>
      <c r="DR69" s="2505">
        <f>+NormInputs!DH157</f>
        <v>890</v>
      </c>
      <c r="DS69" s="2505">
        <f>+NormInputs!DI157</f>
        <v>921</v>
      </c>
      <c r="DT69" s="2505">
        <f>+NormInputs!DJ157</f>
        <v>903</v>
      </c>
      <c r="DU69" s="2506">
        <f>+NormInputs!DK157</f>
        <v>885</v>
      </c>
      <c r="DV69" s="2505">
        <f>+NormInputs!DL157</f>
        <v>871</v>
      </c>
      <c r="DW69" s="2216">
        <f t="shared" ref="DW69" si="92">+DS69*(1+DW70)</f>
        <v>911.79</v>
      </c>
      <c r="DX69" s="2216">
        <f t="shared" ref="DX69" si="93">+DT69*(1+DX70)</f>
        <v>893.97</v>
      </c>
      <c r="DY69" s="2219">
        <f t="shared" ref="DY69" si="94">+DU69*(1+DY70)</f>
        <v>876.15</v>
      </c>
      <c r="DZ69" s="2965"/>
    </row>
    <row r="70" spans="1:131" s="2959" customFormat="1" ht="15" customHeight="1">
      <c r="A70" s="2290" t="s">
        <v>1453</v>
      </c>
      <c r="B70" s="2291"/>
      <c r="C70" s="2291"/>
      <c r="D70" s="2291"/>
      <c r="E70" s="2291"/>
      <c r="F70" s="2291"/>
      <c r="G70" s="2291"/>
      <c r="H70" s="2291"/>
      <c r="I70" s="2291"/>
      <c r="J70" s="2291"/>
      <c r="K70" s="2291"/>
      <c r="L70" s="2291"/>
      <c r="M70" s="2291"/>
      <c r="N70" s="2291"/>
      <c r="O70" s="2291"/>
      <c r="P70" s="2291"/>
      <c r="Q70" s="2293"/>
      <c r="R70" s="2293"/>
      <c r="S70" s="2293"/>
      <c r="T70" s="2293"/>
      <c r="U70" s="2293"/>
      <c r="V70" s="2291"/>
      <c r="W70" s="3092" t="s">
        <v>1149</v>
      </c>
      <c r="X70" s="2291">
        <f>+X69/W69-1</f>
        <v>-5.7878703960121847E-2</v>
      </c>
      <c r="Y70" s="2291">
        <f>+Y69/X69-1</f>
        <v>5.7907113462668969E-2</v>
      </c>
      <c r="Z70" s="2291">
        <f>+Z69/Y69-1</f>
        <v>-1.2806335093081378E-2</v>
      </c>
      <c r="AA70" s="2298">
        <f>+Z70+0.002</f>
        <v>-1.0806335093081378E-2</v>
      </c>
      <c r="AB70" s="2298">
        <f t="shared" ref="AB70:AG70" si="95">+AA70+0.002</f>
        <v>-8.8063350930813779E-3</v>
      </c>
      <c r="AC70" s="2298">
        <f t="shared" si="95"/>
        <v>-6.8063350930813778E-3</v>
      </c>
      <c r="AD70" s="2298">
        <f t="shared" si="95"/>
        <v>-4.8063350930813778E-3</v>
      </c>
      <c r="AE70" s="2298">
        <f t="shared" si="95"/>
        <v>-2.8063350930813778E-3</v>
      </c>
      <c r="AF70" s="2298">
        <f t="shared" si="95"/>
        <v>-8.0633509308137771E-4</v>
      </c>
      <c r="AG70" s="2298">
        <f t="shared" si="95"/>
        <v>1.1936649069186223E-3</v>
      </c>
      <c r="AH70" s="1953"/>
      <c r="AI70" s="1953"/>
      <c r="AJ70" s="1953"/>
      <c r="AK70" s="2291"/>
      <c r="AL70" s="2291"/>
      <c r="AM70" s="2291"/>
      <c r="AN70" s="2291"/>
      <c r="AO70" s="2291"/>
      <c r="AP70" s="2291"/>
      <c r="AQ70" s="2291"/>
      <c r="AR70" s="2291"/>
      <c r="AS70" s="2291"/>
      <c r="AT70" s="2291"/>
      <c r="AU70" s="2291"/>
      <c r="AV70" s="2291"/>
      <c r="AW70" s="2291"/>
      <c r="AX70" s="2291"/>
      <c r="AY70" s="2291"/>
      <c r="AZ70" s="2291"/>
      <c r="BA70" s="2291"/>
      <c r="BB70" s="2291"/>
      <c r="BC70" s="2291"/>
      <c r="BD70" s="2291"/>
      <c r="BE70" s="2291"/>
      <c r="BF70" s="2291"/>
      <c r="BG70" s="2291"/>
      <c r="BH70" s="2291"/>
      <c r="BI70" s="2291"/>
      <c r="BJ70" s="2291"/>
      <c r="BK70" s="2291"/>
      <c r="BL70" s="2291"/>
      <c r="BM70" s="2291"/>
      <c r="BN70" s="2291"/>
      <c r="BO70" s="2291"/>
      <c r="BP70" s="2291"/>
      <c r="BQ70" s="2291"/>
      <c r="BR70" s="2294"/>
      <c r="BS70" s="2293"/>
      <c r="BT70" s="2293"/>
      <c r="BU70" s="2293"/>
      <c r="BV70" s="2294"/>
      <c r="BW70" s="2293"/>
      <c r="BX70" s="2293"/>
      <c r="BY70" s="2293"/>
      <c r="BZ70" s="2294"/>
      <c r="CA70" s="2293"/>
      <c r="CB70" s="2293"/>
      <c r="CC70" s="2293"/>
      <c r="CD70" s="2294"/>
      <c r="CE70" s="2293"/>
      <c r="CF70" s="2293"/>
      <c r="CG70" s="2295"/>
      <c r="CH70" s="2294"/>
      <c r="CI70" s="2293"/>
      <c r="CJ70" s="2293"/>
      <c r="CK70" s="2295"/>
      <c r="CL70" s="2305"/>
      <c r="CM70" s="2292"/>
      <c r="CN70" s="2292"/>
      <c r="CO70" s="2292"/>
      <c r="CP70" s="2294"/>
      <c r="CQ70" s="2293"/>
      <c r="CR70" s="2293"/>
      <c r="CS70" s="2295"/>
      <c r="CT70" s="2293"/>
      <c r="CU70" s="2293"/>
      <c r="CV70" s="2293"/>
      <c r="CW70" s="2295"/>
      <c r="CX70" s="2294"/>
      <c r="CY70" s="2293"/>
      <c r="CZ70" s="2293"/>
      <c r="DA70" s="2295"/>
      <c r="DB70" s="2293"/>
      <c r="DC70" s="2293"/>
      <c r="DD70" s="2293"/>
      <c r="DE70" s="2295"/>
      <c r="DF70" s="2293"/>
      <c r="DG70" s="2293"/>
      <c r="DH70" s="2293"/>
      <c r="DI70" s="2295"/>
      <c r="DJ70" s="3093" t="s">
        <v>1149</v>
      </c>
      <c r="DK70" s="3092" t="s">
        <v>1149</v>
      </c>
      <c r="DL70" s="3092" t="s">
        <v>1149</v>
      </c>
      <c r="DM70" s="3094" t="s">
        <v>1149</v>
      </c>
      <c r="DN70" s="2293">
        <f t="shared" ref="DN70:DV70" si="96">DN69/DJ69-1</f>
        <v>-4.8140043763676199E-2</v>
      </c>
      <c r="DO70" s="2293">
        <f t="shared" si="96"/>
        <v>-5.739514348785868E-2</v>
      </c>
      <c r="DP70" s="2293">
        <f t="shared" si="96"/>
        <v>-6.1111111111111116E-2</v>
      </c>
      <c r="DQ70" s="2295">
        <f t="shared" si="96"/>
        <v>-6.5095398428731799E-2</v>
      </c>
      <c r="DR70" s="2293">
        <f t="shared" si="96"/>
        <v>2.2988505747126409E-2</v>
      </c>
      <c r="DS70" s="2293">
        <f t="shared" si="96"/>
        <v>7.8454332552693185E-2</v>
      </c>
      <c r="DT70" s="2293">
        <f t="shared" si="96"/>
        <v>6.8639053254437865E-2</v>
      </c>
      <c r="DU70" s="2295">
        <f t="shared" si="96"/>
        <v>6.2424969987995294E-2</v>
      </c>
      <c r="DV70" s="2293">
        <f t="shared" si="96"/>
        <v>-2.1348314606741581E-2</v>
      </c>
      <c r="DW70" s="2298">
        <v>-0.01</v>
      </c>
      <c r="DX70" s="2298">
        <v>-0.01</v>
      </c>
      <c r="DY70" s="2300">
        <v>-0.01</v>
      </c>
      <c r="DZ70" s="1958"/>
    </row>
    <row r="71" spans="1:131" s="1958" customFormat="1" ht="15" customHeight="1">
      <c r="A71" s="2327"/>
      <c r="R71" s="3061"/>
      <c r="S71" s="3061"/>
      <c r="Y71" s="2994"/>
      <c r="Z71" s="3249"/>
      <c r="AB71" s="3145"/>
      <c r="AC71" s="3145"/>
      <c r="AD71" s="3145"/>
      <c r="AE71" s="3145"/>
      <c r="AF71" s="3145"/>
      <c r="AG71" s="3145"/>
      <c r="AH71" s="1947"/>
      <c r="AI71" s="2456"/>
      <c r="AJ71" s="1947"/>
      <c r="CH71" s="2306"/>
      <c r="CI71" s="2307"/>
      <c r="CJ71" s="2307"/>
      <c r="CK71" s="2308"/>
      <c r="CL71" s="2309"/>
      <c r="CO71" s="2310"/>
      <c r="CP71" s="2329"/>
      <c r="CQ71" s="2310"/>
      <c r="CS71" s="2961"/>
      <c r="CW71" s="2961"/>
      <c r="DA71" s="2961"/>
      <c r="DE71" s="2961"/>
      <c r="DI71" s="2961"/>
      <c r="DM71" s="2961"/>
      <c r="DN71" s="1561"/>
      <c r="DO71" s="1561"/>
      <c r="DP71" s="1561"/>
      <c r="DQ71" s="2961"/>
      <c r="DR71" s="1561"/>
      <c r="DS71" s="1561"/>
      <c r="DT71" s="1561"/>
      <c r="DU71" s="2961"/>
      <c r="DV71" s="1561"/>
      <c r="DW71" s="1561"/>
      <c r="DX71" s="1561"/>
      <c r="DY71" s="2961"/>
      <c r="DZ71" s="1946"/>
    </row>
    <row r="72" spans="1:131" s="2960" customFormat="1" ht="15" customHeight="1">
      <c r="A72" s="2330" t="s">
        <v>712</v>
      </c>
      <c r="B72" s="2216"/>
      <c r="C72" s="2216"/>
      <c r="D72" s="2216"/>
      <c r="E72" s="2216"/>
      <c r="F72" s="2216"/>
      <c r="G72" s="2216"/>
      <c r="H72" s="2216"/>
      <c r="I72" s="2216"/>
      <c r="J72" s="2216"/>
      <c r="K72" s="2216"/>
      <c r="L72" s="2216"/>
      <c r="M72" s="2216"/>
      <c r="N72" s="2216"/>
      <c r="O72" s="2216"/>
      <c r="P72" s="2216"/>
      <c r="Q72" s="2216"/>
      <c r="R72" s="2216"/>
      <c r="S72" s="2216"/>
      <c r="T72" s="2216"/>
      <c r="U72" s="2216"/>
      <c r="V72" s="2216"/>
      <c r="W72" s="2216">
        <f>SUM(DJ72:DM72)</f>
        <v>334</v>
      </c>
      <c r="X72" s="2216">
        <f>SUM(DN72:DQ72)</f>
        <v>312</v>
      </c>
      <c r="Y72" s="2216">
        <f>SUM(DR72:DU72)</f>
        <v>235</v>
      </c>
      <c r="Z72" s="2216">
        <f>SUM(DV72:DY72)</f>
        <v>272</v>
      </c>
      <c r="AA72" s="2216">
        <f>+Z72*(1+AA73)</f>
        <v>272</v>
      </c>
      <c r="AB72" s="2216">
        <f t="shared" ref="AB72:AG72" si="97">+AA72*(1+AB73)</f>
        <v>272</v>
      </c>
      <c r="AC72" s="2216">
        <f t="shared" si="97"/>
        <v>272</v>
      </c>
      <c r="AD72" s="2216">
        <f t="shared" si="97"/>
        <v>272</v>
      </c>
      <c r="AE72" s="2216">
        <f t="shared" si="97"/>
        <v>272</v>
      </c>
      <c r="AF72" s="2216">
        <f t="shared" si="97"/>
        <v>272</v>
      </c>
      <c r="AG72" s="2216">
        <f t="shared" si="97"/>
        <v>272</v>
      </c>
      <c r="AH72" s="1955"/>
      <c r="AI72" s="2125">
        <f>(AA72/W72)^(1/4)-1</f>
        <v>-5.0039364602907255E-2</v>
      </c>
      <c r="AJ72" s="1955"/>
      <c r="AK72" s="2162"/>
      <c r="AL72" s="2162"/>
      <c r="AM72" s="2162"/>
      <c r="AN72" s="2162"/>
      <c r="AO72" s="2162"/>
      <c r="AP72" s="2162"/>
      <c r="AQ72" s="2162"/>
      <c r="AR72" s="2162"/>
      <c r="AS72" s="2162"/>
      <c r="AT72" s="2162"/>
      <c r="AU72" s="2162"/>
      <c r="AV72" s="2162"/>
      <c r="AW72" s="2162"/>
      <c r="AX72" s="2162"/>
      <c r="AY72" s="2162"/>
      <c r="AZ72" s="2162"/>
      <c r="BA72" s="2162"/>
      <c r="BB72" s="2162"/>
      <c r="BC72" s="2162"/>
      <c r="BD72" s="2162"/>
      <c r="BE72" s="2162"/>
      <c r="BF72" s="2162"/>
      <c r="BG72" s="2162"/>
      <c r="BH72" s="2162"/>
      <c r="BI72" s="2162"/>
      <c r="BJ72" s="2162"/>
      <c r="BK72" s="2162"/>
      <c r="BL72" s="2162"/>
      <c r="BM72" s="2162"/>
      <c r="BN72" s="2162"/>
      <c r="BO72" s="2162"/>
      <c r="BP72" s="2162"/>
      <c r="BQ72" s="2162"/>
      <c r="BR72" s="1937"/>
      <c r="BS72" s="2216"/>
      <c r="BT72" s="2216"/>
      <c r="BU72" s="2216"/>
      <c r="BV72" s="1937"/>
      <c r="BW72" s="2216"/>
      <c r="BX72" s="2216"/>
      <c r="BY72" s="2216"/>
      <c r="BZ72" s="1937"/>
      <c r="CA72" s="2216"/>
      <c r="CB72" s="2216"/>
      <c r="CC72" s="2216"/>
      <c r="CD72" s="2302"/>
      <c r="CE72" s="2303"/>
      <c r="CF72" s="2303"/>
      <c r="CG72" s="2304"/>
      <c r="CH72" s="1937"/>
      <c r="CI72" s="2216"/>
      <c r="CJ72" s="2216"/>
      <c r="CK72" s="2219"/>
      <c r="CL72" s="1937"/>
      <c r="CM72" s="2216"/>
      <c r="CN72" s="2216"/>
      <c r="CO72" s="2216"/>
      <c r="CP72" s="1937"/>
      <c r="CQ72" s="2216"/>
      <c r="CR72" s="2216"/>
      <c r="CS72" s="2219"/>
      <c r="CT72" s="2216"/>
      <c r="CU72" s="2216"/>
      <c r="CV72" s="2216"/>
      <c r="CW72" s="2219"/>
      <c r="CX72" s="1937"/>
      <c r="CY72" s="2216"/>
      <c r="CZ72" s="2216"/>
      <c r="DA72" s="2219"/>
      <c r="DB72" s="2216"/>
      <c r="DC72" s="2216"/>
      <c r="DD72" s="2216"/>
      <c r="DE72" s="2219"/>
      <c r="DF72" s="2216"/>
      <c r="DG72" s="2216"/>
      <c r="DH72" s="2216"/>
      <c r="DI72" s="2219"/>
      <c r="DJ72" s="2504">
        <f>+NormInputs!CZ158</f>
        <v>89</v>
      </c>
      <c r="DK72" s="2505">
        <f>+NormInputs!DA158</f>
        <v>80</v>
      </c>
      <c r="DL72" s="2505">
        <f>+NormInputs!DB158</f>
        <v>86</v>
      </c>
      <c r="DM72" s="2506">
        <f>+NormInputs!DC158</f>
        <v>79</v>
      </c>
      <c r="DN72" s="2505">
        <f>+NormInputs!DD158</f>
        <v>80</v>
      </c>
      <c r="DO72" s="2505">
        <f>+NormInputs!DE158</f>
        <v>85</v>
      </c>
      <c r="DP72" s="2505">
        <f>+NormInputs!DF158</f>
        <v>75</v>
      </c>
      <c r="DQ72" s="2506">
        <f>+NormInputs!DG158</f>
        <v>72</v>
      </c>
      <c r="DR72" s="2505">
        <f>+NormInputs!DH158</f>
        <v>63</v>
      </c>
      <c r="DS72" s="2505">
        <f>+NormInputs!DI158</f>
        <v>73</v>
      </c>
      <c r="DT72" s="2505">
        <f>+NormInputs!DJ158</f>
        <v>49</v>
      </c>
      <c r="DU72" s="2506">
        <f>+NormInputs!DK158</f>
        <v>50</v>
      </c>
      <c r="DV72" s="2505">
        <f>+NormInputs!DL158</f>
        <v>68</v>
      </c>
      <c r="DW72" s="2303">
        <f t="shared" ref="DW72" si="98">+DV72</f>
        <v>68</v>
      </c>
      <c r="DX72" s="2303">
        <f t="shared" ref="DX72" si="99">+DW72</f>
        <v>68</v>
      </c>
      <c r="DY72" s="2304">
        <f t="shared" ref="DY72" si="100">+DX72</f>
        <v>68</v>
      </c>
      <c r="DZ72" s="2965"/>
    </row>
    <row r="73" spans="1:131" s="2962" customFormat="1" ht="15" customHeight="1">
      <c r="A73" s="2331" t="s">
        <v>1453</v>
      </c>
      <c r="B73" s="2293"/>
      <c r="C73" s="2293"/>
      <c r="D73" s="2293"/>
      <c r="E73" s="2293"/>
      <c r="F73" s="2293"/>
      <c r="G73" s="2293"/>
      <c r="H73" s="2293"/>
      <c r="I73" s="2293"/>
      <c r="J73" s="2293"/>
      <c r="K73" s="2293"/>
      <c r="L73" s="2293"/>
      <c r="M73" s="2293"/>
      <c r="N73" s="2293"/>
      <c r="O73" s="2293"/>
      <c r="P73" s="2293"/>
      <c r="Q73" s="2293"/>
      <c r="R73" s="2293"/>
      <c r="S73" s="2293"/>
      <c r="T73" s="2293"/>
      <c r="U73" s="2293"/>
      <c r="V73" s="2293"/>
      <c r="W73" s="3092" t="s">
        <v>1149</v>
      </c>
      <c r="X73" s="2293">
        <f>+X72/W72-1</f>
        <v>-6.5868263473053856E-2</v>
      </c>
      <c r="Y73" s="2293">
        <f>+Y72/X72-1</f>
        <v>-0.24679487179487181</v>
      </c>
      <c r="Z73" s="2293">
        <f>+Z72/Y72-1</f>
        <v>0.15744680851063819</v>
      </c>
      <c r="AA73" s="2298">
        <v>0</v>
      </c>
      <c r="AB73" s="2298">
        <v>0</v>
      </c>
      <c r="AC73" s="2298">
        <v>0</v>
      </c>
      <c r="AD73" s="2298">
        <v>0</v>
      </c>
      <c r="AE73" s="2298">
        <v>0</v>
      </c>
      <c r="AF73" s="2298">
        <v>0</v>
      </c>
      <c r="AG73" s="2298">
        <v>0</v>
      </c>
      <c r="AH73" s="1953"/>
      <c r="AI73" s="1953"/>
      <c r="AJ73" s="1953"/>
      <c r="AK73" s="2293"/>
      <c r="AL73" s="2293"/>
      <c r="AM73" s="2293"/>
      <c r="AN73" s="2293"/>
      <c r="AO73" s="2293"/>
      <c r="AP73" s="2293"/>
      <c r="AQ73" s="2293"/>
      <c r="AR73" s="2293"/>
      <c r="AS73" s="2293"/>
      <c r="AT73" s="2293"/>
      <c r="AU73" s="2293"/>
      <c r="AV73" s="2293"/>
      <c r="AW73" s="2293"/>
      <c r="AX73" s="2293"/>
      <c r="AY73" s="2293"/>
      <c r="AZ73" s="2293"/>
      <c r="BA73" s="2293"/>
      <c r="BB73" s="2293"/>
      <c r="BC73" s="2293"/>
      <c r="BD73" s="2293"/>
      <c r="BE73" s="2293"/>
      <c r="BF73" s="2293"/>
      <c r="BG73" s="2293"/>
      <c r="BH73" s="2293"/>
      <c r="BI73" s="2293"/>
      <c r="BJ73" s="2293"/>
      <c r="BK73" s="2293"/>
      <c r="BL73" s="2293"/>
      <c r="BM73" s="2293"/>
      <c r="BN73" s="2293"/>
      <c r="BO73" s="2293"/>
      <c r="BP73" s="2293"/>
      <c r="BQ73" s="2293"/>
      <c r="BR73" s="2294"/>
      <c r="BS73" s="2293"/>
      <c r="BT73" s="2293"/>
      <c r="BU73" s="2293"/>
      <c r="BV73" s="2294"/>
      <c r="BW73" s="2293"/>
      <c r="BX73" s="2293"/>
      <c r="BY73" s="2293"/>
      <c r="BZ73" s="2294"/>
      <c r="CA73" s="2293"/>
      <c r="CB73" s="2293"/>
      <c r="CC73" s="2293"/>
      <c r="CD73" s="2294"/>
      <c r="CE73" s="2293"/>
      <c r="CF73" s="2293"/>
      <c r="CG73" s="2295"/>
      <c r="CH73" s="2294"/>
      <c r="CI73" s="2293"/>
      <c r="CJ73" s="2293"/>
      <c r="CK73" s="2295"/>
      <c r="CL73" s="2305"/>
      <c r="CM73" s="2292"/>
      <c r="CN73" s="2292"/>
      <c r="CO73" s="2292"/>
      <c r="CP73" s="2294"/>
      <c r="CQ73" s="2293"/>
      <c r="CR73" s="2293"/>
      <c r="CS73" s="2293"/>
      <c r="CT73" s="2294"/>
      <c r="CU73" s="2293"/>
      <c r="CV73" s="2293"/>
      <c r="CW73" s="2295"/>
      <c r="CX73" s="2294"/>
      <c r="CY73" s="2293"/>
      <c r="CZ73" s="2293"/>
      <c r="DA73" s="2295"/>
      <c r="DB73" s="2293"/>
      <c r="DC73" s="2293"/>
      <c r="DD73" s="2293"/>
      <c r="DE73" s="2295"/>
      <c r="DF73" s="2293"/>
      <c r="DG73" s="2293"/>
      <c r="DH73" s="2293"/>
      <c r="DI73" s="2295"/>
      <c r="DJ73" s="3093" t="s">
        <v>1149</v>
      </c>
      <c r="DK73" s="3092" t="s">
        <v>1149</v>
      </c>
      <c r="DL73" s="3092" t="s">
        <v>1149</v>
      </c>
      <c r="DM73" s="3094" t="s">
        <v>1149</v>
      </c>
      <c r="DN73" s="2293">
        <f t="shared" ref="DN73:DV73" si="101">DN72/DJ72-1</f>
        <v>-0.101123595505618</v>
      </c>
      <c r="DO73" s="2293">
        <f t="shared" si="101"/>
        <v>6.25E-2</v>
      </c>
      <c r="DP73" s="2293">
        <f t="shared" si="101"/>
        <v>-0.12790697674418605</v>
      </c>
      <c r="DQ73" s="2295">
        <f t="shared" si="101"/>
        <v>-8.8607594936708889E-2</v>
      </c>
      <c r="DR73" s="2293">
        <f t="shared" si="101"/>
        <v>-0.21250000000000002</v>
      </c>
      <c r="DS73" s="2293">
        <f t="shared" si="101"/>
        <v>-0.14117647058823535</v>
      </c>
      <c r="DT73" s="2293">
        <f t="shared" si="101"/>
        <v>-0.34666666666666668</v>
      </c>
      <c r="DU73" s="2295">
        <f t="shared" si="101"/>
        <v>-0.30555555555555558</v>
      </c>
      <c r="DV73" s="2293">
        <f t="shared" si="101"/>
        <v>7.9365079365079305E-2</v>
      </c>
      <c r="DW73" s="2293">
        <f t="shared" ref="DW73" si="102">DW72/DS72-1</f>
        <v>-6.8493150684931559E-2</v>
      </c>
      <c r="DX73" s="2293">
        <f t="shared" ref="DX73" si="103">DX72/DT72-1</f>
        <v>0.38775510204081631</v>
      </c>
      <c r="DY73" s="2295">
        <f t="shared" ref="DY73" si="104">DY72/DU72-1</f>
        <v>0.3600000000000001</v>
      </c>
      <c r="DZ73" s="1958"/>
    </row>
    <row r="74" spans="1:131" s="1958" customFormat="1" ht="15" customHeight="1">
      <c r="A74" s="2371"/>
      <c r="B74" s="1946"/>
      <c r="C74" s="1946"/>
      <c r="D74" s="1946"/>
      <c r="E74" s="1946"/>
      <c r="F74" s="1946"/>
      <c r="G74" s="1946"/>
      <c r="H74" s="1946"/>
      <c r="I74" s="1946"/>
      <c r="J74" s="1946"/>
      <c r="K74" s="1946"/>
      <c r="L74" s="2332"/>
      <c r="M74" s="1946"/>
      <c r="N74" s="1946"/>
      <c r="O74" s="1946"/>
      <c r="P74" s="1946"/>
      <c r="Q74" s="1903"/>
      <c r="R74" s="1903"/>
      <c r="S74" s="1903"/>
      <c r="T74" s="1903"/>
      <c r="U74" s="1903"/>
      <c r="V74" s="1946"/>
      <c r="W74" s="1946"/>
      <c r="X74" s="1946"/>
      <c r="Y74" s="1946"/>
      <c r="Z74" s="1946"/>
      <c r="AA74" s="1903"/>
      <c r="AB74" s="1903"/>
      <c r="AC74" s="1903"/>
      <c r="AD74" s="1903"/>
      <c r="AE74" s="1903"/>
      <c r="AF74" s="1903"/>
      <c r="AG74" s="1903"/>
      <c r="AH74" s="1947"/>
      <c r="AI74" s="1927"/>
      <c r="AJ74" s="1947"/>
      <c r="AK74" s="1946"/>
      <c r="AL74" s="1946"/>
      <c r="AM74" s="1946"/>
      <c r="AN74" s="1946"/>
      <c r="AO74" s="1946"/>
      <c r="AP74" s="1946"/>
      <c r="AQ74" s="1946"/>
      <c r="AR74" s="1946"/>
      <c r="AS74" s="1946"/>
      <c r="AT74" s="1946"/>
      <c r="AU74" s="1946"/>
      <c r="AV74" s="1946"/>
      <c r="AW74" s="1946"/>
      <c r="AX74" s="1946"/>
      <c r="AY74" s="1946"/>
      <c r="AZ74" s="1946"/>
      <c r="BA74" s="1946"/>
      <c r="BB74" s="1946"/>
      <c r="BC74" s="1946"/>
      <c r="BD74" s="1946"/>
      <c r="BE74" s="1946"/>
      <c r="BF74" s="1946"/>
      <c r="BG74" s="1946"/>
      <c r="BH74" s="1946"/>
      <c r="BI74" s="1946"/>
      <c r="BJ74" s="1946"/>
      <c r="BK74" s="1946"/>
      <c r="BL74" s="1946"/>
      <c r="BM74" s="1946"/>
      <c r="BN74" s="2333"/>
      <c r="BO74" s="1946"/>
      <c r="BP74" s="2333"/>
      <c r="BQ74" s="2333"/>
      <c r="BR74" s="2334"/>
      <c r="BS74" s="2335"/>
      <c r="BT74" s="2335"/>
      <c r="BU74" s="2335"/>
      <c r="BV74" s="1942"/>
      <c r="BW74" s="1903"/>
      <c r="BX74" s="1903"/>
      <c r="BY74" s="1903"/>
      <c r="BZ74" s="1942"/>
      <c r="CA74" s="1903"/>
      <c r="CB74" s="1903"/>
      <c r="CC74" s="1903"/>
      <c r="CD74" s="1942"/>
      <c r="CE74" s="1903"/>
      <c r="CF74" s="1903"/>
      <c r="CG74" s="2236"/>
      <c r="CH74" s="1942"/>
      <c r="CI74" s="1903"/>
      <c r="CJ74" s="1903"/>
      <c r="CK74" s="2236"/>
      <c r="CL74" s="1942"/>
      <c r="CM74" s="1903"/>
      <c r="CN74" s="1903"/>
      <c r="CO74" s="1903"/>
      <c r="CP74" s="1942"/>
      <c r="CQ74" s="1903"/>
      <c r="CR74" s="1903"/>
      <c r="CS74" s="1903"/>
      <c r="CT74" s="1942"/>
      <c r="CU74" s="1903"/>
      <c r="CV74" s="1903"/>
      <c r="CW74" s="2236"/>
      <c r="CX74" s="1942"/>
      <c r="CY74" s="1903"/>
      <c r="CZ74" s="1903"/>
      <c r="DA74" s="1903"/>
      <c r="DB74" s="1942"/>
      <c r="DC74" s="1903"/>
      <c r="DD74" s="1903"/>
      <c r="DE74" s="1903"/>
      <c r="DF74" s="1942"/>
      <c r="DG74" s="1903"/>
      <c r="DH74" s="1903"/>
      <c r="DI74" s="1903"/>
      <c r="DJ74" s="1942"/>
      <c r="DK74" s="1903"/>
      <c r="DL74" s="1903"/>
      <c r="DM74" s="2236"/>
      <c r="DN74" s="1903"/>
      <c r="DO74" s="1903"/>
      <c r="DP74" s="1903"/>
      <c r="DQ74" s="2236"/>
      <c r="DR74" s="1903"/>
      <c r="DS74" s="1903"/>
      <c r="DT74" s="1903"/>
      <c r="DU74" s="2236"/>
      <c r="DV74" s="1903"/>
      <c r="DW74" s="1903"/>
      <c r="DX74" s="1903"/>
      <c r="DY74" s="2236"/>
      <c r="DZ74" s="1946"/>
    </row>
    <row r="75" spans="1:131" s="1958" customFormat="1" ht="15" customHeight="1">
      <c r="A75" s="2336" t="s">
        <v>1557</v>
      </c>
      <c r="B75" s="2162"/>
      <c r="C75" s="2162"/>
      <c r="D75" s="2162"/>
      <c r="E75" s="2162"/>
      <c r="F75" s="2162"/>
      <c r="G75" s="2162"/>
      <c r="H75" s="2162"/>
      <c r="I75" s="2162"/>
      <c r="J75" s="2162"/>
      <c r="K75" s="2162"/>
      <c r="L75" s="2337">
        <f>+L161</f>
        <v>55760</v>
      </c>
      <c r="M75" s="2162">
        <f t="shared" ref="M75:V75" si="105">+M161</f>
        <v>53800</v>
      </c>
      <c r="N75" s="2162">
        <f t="shared" si="105"/>
        <v>49504</v>
      </c>
      <c r="O75" s="2162">
        <f t="shared" si="105"/>
        <v>49129</v>
      </c>
      <c r="P75" s="2162">
        <f t="shared" si="105"/>
        <v>48214</v>
      </c>
      <c r="Q75" s="2216">
        <f t="shared" si="105"/>
        <v>42353</v>
      </c>
      <c r="R75" s="2216">
        <f t="shared" si="105"/>
        <v>41227</v>
      </c>
      <c r="S75" s="2216">
        <f t="shared" si="105"/>
        <v>40682</v>
      </c>
      <c r="T75" s="2216">
        <f t="shared" si="105"/>
        <v>39523</v>
      </c>
      <c r="U75" s="2216">
        <f t="shared" si="105"/>
        <v>38624</v>
      </c>
      <c r="V75" s="2162">
        <f t="shared" si="105"/>
        <v>38429</v>
      </c>
      <c r="W75" s="2162">
        <f>SUM(DJ75:DM75)</f>
        <v>35521</v>
      </c>
      <c r="X75" s="2162">
        <f>SUM(DN75:DQ75)</f>
        <v>32187</v>
      </c>
      <c r="Y75" s="2162">
        <f>SUM(DR75:DU75)</f>
        <v>30957</v>
      </c>
      <c r="Z75" s="2162">
        <f>SUM(DV75:DY75)</f>
        <v>30121.528239068102</v>
      </c>
      <c r="AA75" s="2216">
        <f>+AA53+AA59+AA69+AA72+AA56</f>
        <v>29694.288523668522</v>
      </c>
      <c r="AB75" s="2216">
        <f t="shared" ref="AB75:AG75" si="106">+AB53+AB59+AB69+AB72+AB56</f>
        <v>29272.688905597533</v>
      </c>
      <c r="AC75" s="2216">
        <f t="shared" si="106"/>
        <v>28873.969536712844</v>
      </c>
      <c r="AD75" s="2216">
        <f t="shared" si="106"/>
        <v>28494.147508978458</v>
      </c>
      <c r="AE75" s="2216">
        <f t="shared" si="106"/>
        <v>28130.062356789385</v>
      </c>
      <c r="AF75" s="2216">
        <f t="shared" si="106"/>
        <v>27779.210202411166</v>
      </c>
      <c r="AG75" s="2216">
        <f t="shared" si="106"/>
        <v>27439.613484142417</v>
      </c>
      <c r="AH75" s="1952"/>
      <c r="AI75" s="2125">
        <f>(AA75/W75)^(1/4)-1</f>
        <v>-4.3803972525871759E-2</v>
      </c>
      <c r="AJ75" s="1952"/>
      <c r="AK75" s="2162"/>
      <c r="AL75" s="2162"/>
      <c r="AM75" s="2162"/>
      <c r="AN75" s="2162"/>
      <c r="AO75" s="2162"/>
      <c r="AP75" s="2162"/>
      <c r="AQ75" s="2162"/>
      <c r="AR75" s="2162"/>
      <c r="AS75" s="2162"/>
      <c r="AT75" s="2162"/>
      <c r="AU75" s="2162"/>
      <c r="AV75" s="2162"/>
      <c r="AW75" s="2162"/>
      <c r="AX75" s="2162"/>
      <c r="AY75" s="2162"/>
      <c r="AZ75" s="2162"/>
      <c r="BA75" s="2162"/>
      <c r="BB75" s="2162"/>
      <c r="BC75" s="2162"/>
      <c r="BD75" s="2162"/>
      <c r="BE75" s="2162"/>
      <c r="BF75" s="2162"/>
      <c r="BG75" s="2162"/>
      <c r="BH75" s="2162"/>
      <c r="BI75" s="2162"/>
      <c r="BJ75" s="2162"/>
      <c r="BK75" s="2162"/>
      <c r="BL75" s="2162"/>
      <c r="BM75" s="2162"/>
      <c r="BN75" s="2162"/>
      <c r="BO75" s="2162"/>
      <c r="BP75" s="2162"/>
      <c r="BQ75" s="2162"/>
      <c r="BR75" s="1937">
        <f>+BR161</f>
        <v>14169</v>
      </c>
      <c r="BS75" s="2216">
        <f t="shared" ref="BS75:DI75" si="107">+BS161</f>
        <v>13983</v>
      </c>
      <c r="BT75" s="2216">
        <f t="shared" si="107"/>
        <v>13846</v>
      </c>
      <c r="BU75" s="2216">
        <f t="shared" si="107"/>
        <v>13762</v>
      </c>
      <c r="BV75" s="1937">
        <f t="shared" si="107"/>
        <v>13615</v>
      </c>
      <c r="BW75" s="2216">
        <f t="shared" si="107"/>
        <v>13604</v>
      </c>
      <c r="BX75" s="2216">
        <f t="shared" si="107"/>
        <v>13403</v>
      </c>
      <c r="BY75" s="2216">
        <f t="shared" si="107"/>
        <v>13178</v>
      </c>
      <c r="BZ75" s="1937">
        <f t="shared" si="107"/>
        <v>12142</v>
      </c>
      <c r="CA75" s="2216">
        <f t="shared" si="107"/>
        <v>12457</v>
      </c>
      <c r="CB75" s="2216">
        <f t="shared" si="107"/>
        <v>12483</v>
      </c>
      <c r="CC75" s="2216">
        <f t="shared" si="107"/>
        <v>12422</v>
      </c>
      <c r="CD75" s="1937">
        <f t="shared" si="107"/>
        <v>12178</v>
      </c>
      <c r="CE75" s="2216">
        <f t="shared" si="107"/>
        <v>12330</v>
      </c>
      <c r="CF75" s="2216">
        <f t="shared" si="107"/>
        <v>12372</v>
      </c>
      <c r="CG75" s="2219">
        <f t="shared" si="107"/>
        <v>12249</v>
      </c>
      <c r="CH75" s="1937">
        <f t="shared" si="107"/>
        <v>12026</v>
      </c>
      <c r="CI75" s="2216">
        <f t="shared" si="107"/>
        <v>12113</v>
      </c>
      <c r="CJ75" s="2216">
        <f t="shared" si="107"/>
        <v>12158</v>
      </c>
      <c r="CK75" s="2219">
        <f t="shared" si="107"/>
        <v>11917</v>
      </c>
      <c r="CL75" s="1937">
        <f t="shared" si="107"/>
        <v>10542</v>
      </c>
      <c r="CM75" s="2216">
        <f t="shared" si="107"/>
        <v>10563</v>
      </c>
      <c r="CN75" s="2216">
        <f t="shared" si="107"/>
        <v>10667</v>
      </c>
      <c r="CO75" s="2216">
        <f t="shared" si="107"/>
        <v>10581</v>
      </c>
      <c r="CP75" s="1937">
        <f t="shared" si="107"/>
        <v>10375</v>
      </c>
      <c r="CQ75" s="2216">
        <f t="shared" si="107"/>
        <v>10277</v>
      </c>
      <c r="CR75" s="2216">
        <f t="shared" si="107"/>
        <v>10286</v>
      </c>
      <c r="CS75" s="2216">
        <f t="shared" si="107"/>
        <v>10289</v>
      </c>
      <c r="CT75" s="1937">
        <f t="shared" si="107"/>
        <v>10147</v>
      </c>
      <c r="CU75" s="2216">
        <f t="shared" si="107"/>
        <v>10247</v>
      </c>
      <c r="CV75" s="2216">
        <f t="shared" si="107"/>
        <v>10149</v>
      </c>
      <c r="CW75" s="2219">
        <f t="shared" si="107"/>
        <v>10139</v>
      </c>
      <c r="CX75" s="1937">
        <f t="shared" si="107"/>
        <v>9945</v>
      </c>
      <c r="CY75" s="2216">
        <f t="shared" si="107"/>
        <v>9904</v>
      </c>
      <c r="CZ75" s="2216">
        <f t="shared" si="107"/>
        <v>9914</v>
      </c>
      <c r="DA75" s="2216">
        <f t="shared" si="107"/>
        <v>9760</v>
      </c>
      <c r="DB75" s="1937">
        <f t="shared" si="107"/>
        <v>9650</v>
      </c>
      <c r="DC75" s="2216">
        <f t="shared" si="107"/>
        <v>9605</v>
      </c>
      <c r="DD75" s="2216">
        <f t="shared" si="107"/>
        <v>9657</v>
      </c>
      <c r="DE75" s="2216">
        <f t="shared" si="107"/>
        <v>9712</v>
      </c>
      <c r="DF75" s="1937">
        <f t="shared" si="107"/>
        <v>9662</v>
      </c>
      <c r="DG75" s="2216">
        <f t="shared" si="107"/>
        <v>9631</v>
      </c>
      <c r="DH75" s="2216">
        <f t="shared" si="107"/>
        <v>9576</v>
      </c>
      <c r="DI75" s="2216">
        <f t="shared" si="107"/>
        <v>9560</v>
      </c>
      <c r="DJ75" s="1937">
        <f t="shared" ref="DJ75:DP75" si="108">+DJ53+DJ59+DJ69+DJ72+DJ56</f>
        <v>8914</v>
      </c>
      <c r="DK75" s="2216">
        <f t="shared" si="108"/>
        <v>8876</v>
      </c>
      <c r="DL75" s="2216">
        <f t="shared" si="108"/>
        <v>8811</v>
      </c>
      <c r="DM75" s="2219">
        <f t="shared" si="108"/>
        <v>8920</v>
      </c>
      <c r="DN75" s="2216">
        <f t="shared" si="108"/>
        <v>8765</v>
      </c>
      <c r="DO75" s="2216">
        <f t="shared" si="108"/>
        <v>7823</v>
      </c>
      <c r="DP75" s="2216">
        <f t="shared" si="108"/>
        <v>7787</v>
      </c>
      <c r="DQ75" s="2219">
        <f>+DQ53+DQ59+DQ69+DQ72+DQ56</f>
        <v>7812</v>
      </c>
      <c r="DR75" s="2216">
        <f t="shared" ref="DR75" si="109">+DR53+DR59+DR69+DR72+DR56</f>
        <v>7876</v>
      </c>
      <c r="DS75" s="2216">
        <f t="shared" ref="DS75:DT75" si="110">+DS53+DS59+DS69+DS72+DS56</f>
        <v>7802</v>
      </c>
      <c r="DT75" s="2216">
        <f t="shared" si="110"/>
        <v>7662</v>
      </c>
      <c r="DU75" s="2219">
        <f t="shared" ref="DU75:DV75" si="111">+DU53+DU59+DU69+DU72+DU56</f>
        <v>7617</v>
      </c>
      <c r="DV75" s="2216">
        <f t="shared" si="111"/>
        <v>7557</v>
      </c>
      <c r="DW75" s="2216">
        <f t="shared" ref="DW75:DY75" si="112">+DW53+DW59+DW69+DW72+DW56</f>
        <v>7542.0353558806746</v>
      </c>
      <c r="DX75" s="2216">
        <f t="shared" si="112"/>
        <v>7530.1227766780867</v>
      </c>
      <c r="DY75" s="2219">
        <f t="shared" si="112"/>
        <v>7492.3701065093419</v>
      </c>
      <c r="DZ75" s="2965"/>
      <c r="EA75" s="3273"/>
    </row>
    <row r="76" spans="1:131" s="2959" customFormat="1" ht="15" customHeight="1">
      <c r="A76" s="2338" t="s">
        <v>1453</v>
      </c>
      <c r="B76" s="2339"/>
      <c r="C76" s="2339"/>
      <c r="D76" s="2339"/>
      <c r="E76" s="2339"/>
      <c r="F76" s="2339"/>
      <c r="G76" s="2339"/>
      <c r="H76" s="2339"/>
      <c r="I76" s="2339"/>
      <c r="J76" s="2339"/>
      <c r="K76" s="2339"/>
      <c r="L76" s="2340"/>
      <c r="M76" s="2339">
        <f>M75/L75-1</f>
        <v>-3.5150645624103305E-2</v>
      </c>
      <c r="N76" s="2339">
        <f>N75/M75-1</f>
        <v>-7.9851301115241635E-2</v>
      </c>
      <c r="O76" s="2339">
        <f>O75/N75-1</f>
        <v>-7.5751454427924747E-3</v>
      </c>
      <c r="P76" s="2339">
        <f>P75/O75-1</f>
        <v>-1.862443770481792E-2</v>
      </c>
      <c r="Q76" s="2292" t="s">
        <v>1149</v>
      </c>
      <c r="R76" s="2341">
        <f t="shared" ref="R76:AA76" si="113">R75/Q75-1</f>
        <v>-2.6586074186008113E-2</v>
      </c>
      <c r="S76" s="2341">
        <f t="shared" si="113"/>
        <v>-1.3219492080432715E-2</v>
      </c>
      <c r="T76" s="2341">
        <f t="shared" si="113"/>
        <v>-2.8489258148566954E-2</v>
      </c>
      <c r="U76" s="2341">
        <f t="shared" si="113"/>
        <v>-2.274624901955824E-2</v>
      </c>
      <c r="V76" s="2339">
        <f t="shared" si="113"/>
        <v>-5.0486743993372052E-3</v>
      </c>
      <c r="W76" s="2339">
        <f>W75/V75-1</f>
        <v>-7.5672018527674467E-2</v>
      </c>
      <c r="X76" s="2339">
        <f>X75/W75-1</f>
        <v>-9.3859970158497785E-2</v>
      </c>
      <c r="Y76" s="2339">
        <f>Y75/X75-1</f>
        <v>-3.821418585143066E-2</v>
      </c>
      <c r="Z76" s="2339">
        <f>Z75/Y75-1</f>
        <v>-2.6988137123490574E-2</v>
      </c>
      <c r="AA76" s="2341">
        <f t="shared" si="113"/>
        <v>-1.4183865838700793E-2</v>
      </c>
      <c r="AB76" s="2341">
        <f t="shared" ref="AB76" si="114">AB75/AA75-1</f>
        <v>-1.4198003691347605E-2</v>
      </c>
      <c r="AC76" s="2341">
        <f t="shared" ref="AC76" si="115">AC75/AB75-1</f>
        <v>-1.3620865857951525E-2</v>
      </c>
      <c r="AD76" s="2341">
        <f t="shared" ref="AD76" si="116">AD75/AC75-1</f>
        <v>-1.3154479062930657E-2</v>
      </c>
      <c r="AE76" s="2341">
        <f t="shared" ref="AE76" si="117">AE75/AD75-1</f>
        <v>-1.2777541495998412E-2</v>
      </c>
      <c r="AF76" s="2341">
        <f t="shared" ref="AF76" si="118">AF75/AE75-1</f>
        <v>-1.2472498280599709E-2</v>
      </c>
      <c r="AG76" s="2341">
        <f t="shared" ref="AG76" si="119">AG75/AF75-1</f>
        <v>-1.2224851455253871E-2</v>
      </c>
      <c r="AH76" s="1953"/>
      <c r="AI76" s="1976"/>
      <c r="AJ76" s="1953"/>
      <c r="AK76" s="2339"/>
      <c r="AL76" s="2339"/>
      <c r="AM76" s="2339"/>
      <c r="AN76" s="2339"/>
      <c r="AO76" s="2339"/>
      <c r="AP76" s="2339"/>
      <c r="AQ76" s="2339"/>
      <c r="AR76" s="2339"/>
      <c r="AS76" s="2339"/>
      <c r="AT76" s="2339"/>
      <c r="AU76" s="2339"/>
      <c r="AV76" s="2339"/>
      <c r="AW76" s="2339"/>
      <c r="AX76" s="2339"/>
      <c r="AY76" s="2339"/>
      <c r="AZ76" s="2339"/>
      <c r="BA76" s="2339"/>
      <c r="BB76" s="2339"/>
      <c r="BC76" s="2339"/>
      <c r="BD76" s="2339"/>
      <c r="BE76" s="2339"/>
      <c r="BF76" s="2339"/>
      <c r="BG76" s="2339"/>
      <c r="BH76" s="2339"/>
      <c r="BI76" s="2339"/>
      <c r="BJ76" s="2339"/>
      <c r="BK76" s="2339"/>
      <c r="BL76" s="2339"/>
      <c r="BM76" s="2339"/>
      <c r="BN76" s="2340"/>
      <c r="BO76" s="2339"/>
      <c r="BP76" s="2340"/>
      <c r="BQ76" s="2340"/>
      <c r="BR76" s="2342"/>
      <c r="BS76" s="2343"/>
      <c r="BT76" s="2343"/>
      <c r="BU76" s="2343"/>
      <c r="BV76" s="2344">
        <f t="shared" ref="BV76:CK76" si="120">BV75/BR75-1</f>
        <v>-3.9099442444773813E-2</v>
      </c>
      <c r="BW76" s="2341">
        <f t="shared" si="120"/>
        <v>-2.7104340985482422E-2</v>
      </c>
      <c r="BX76" s="2341">
        <f t="shared" si="120"/>
        <v>-3.1994799942221541E-2</v>
      </c>
      <c r="BY76" s="2341">
        <f t="shared" si="120"/>
        <v>-4.2435692486557208E-2</v>
      </c>
      <c r="BZ76" s="2344">
        <f t="shared" si="120"/>
        <v>-0.10818949687844293</v>
      </c>
      <c r="CA76" s="2341">
        <f t="shared" si="120"/>
        <v>-8.4313437224345811E-2</v>
      </c>
      <c r="CB76" s="2341">
        <f t="shared" si="120"/>
        <v>-6.8641348951727243E-2</v>
      </c>
      <c r="CC76" s="2341">
        <f t="shared" si="120"/>
        <v>-5.7368341174685034E-2</v>
      </c>
      <c r="CD76" s="2344">
        <f t="shared" si="120"/>
        <v>2.9649151704826959E-3</v>
      </c>
      <c r="CE76" s="2341">
        <f t="shared" si="120"/>
        <v>-1.0195071044392656E-2</v>
      </c>
      <c r="CF76" s="2341">
        <f t="shared" si="120"/>
        <v>-8.8920932468157243E-3</v>
      </c>
      <c r="CG76" s="2345">
        <f t="shared" si="120"/>
        <v>-1.392690388021256E-2</v>
      </c>
      <c r="CH76" s="2344">
        <f t="shared" si="120"/>
        <v>-1.248152405977998E-2</v>
      </c>
      <c r="CI76" s="2341">
        <f t="shared" si="120"/>
        <v>-1.7599351175993538E-2</v>
      </c>
      <c r="CJ76" s="2341">
        <f t="shared" si="120"/>
        <v>-1.7297122534755904E-2</v>
      </c>
      <c r="CK76" s="2345">
        <f t="shared" si="120"/>
        <v>-2.710425340844147E-2</v>
      </c>
      <c r="CL76" s="2305" t="s">
        <v>1149</v>
      </c>
      <c r="CM76" s="2292" t="s">
        <v>1149</v>
      </c>
      <c r="CN76" s="2292" t="s">
        <v>1149</v>
      </c>
      <c r="CO76" s="2292" t="s">
        <v>1149</v>
      </c>
      <c r="CP76" s="2344">
        <f t="shared" ref="CP76:DV76" si="121">CP75/CL75-1</f>
        <v>-1.5841396319484002E-2</v>
      </c>
      <c r="CQ76" s="2341">
        <f t="shared" si="121"/>
        <v>-2.7075641389756711E-2</v>
      </c>
      <c r="CR76" s="2341">
        <f t="shared" si="121"/>
        <v>-3.5717633823942996E-2</v>
      </c>
      <c r="CS76" s="2341">
        <f t="shared" si="121"/>
        <v>-2.7596635478688181E-2</v>
      </c>
      <c r="CT76" s="2344">
        <f t="shared" si="121"/>
        <v>-2.1975903614457781E-2</v>
      </c>
      <c r="CU76" s="2341">
        <f t="shared" si="121"/>
        <v>-2.9191398267977009E-3</v>
      </c>
      <c r="CV76" s="2341">
        <f t="shared" si="121"/>
        <v>-1.3319074470153569E-2</v>
      </c>
      <c r="CW76" s="2345">
        <f t="shared" si="121"/>
        <v>-1.457867625619591E-2</v>
      </c>
      <c r="CX76" s="2344">
        <f t="shared" si="121"/>
        <v>-1.9907361781807409E-2</v>
      </c>
      <c r="CY76" s="2341">
        <f t="shared" si="121"/>
        <v>-3.3473211671708802E-2</v>
      </c>
      <c r="CZ76" s="2341">
        <f t="shared" si="121"/>
        <v>-2.3154990639471906E-2</v>
      </c>
      <c r="DA76" s="2341">
        <f t="shared" si="121"/>
        <v>-3.7380412269454544E-2</v>
      </c>
      <c r="DB76" s="2344">
        <f t="shared" si="121"/>
        <v>-2.9663147310206139E-2</v>
      </c>
      <c r="DC76" s="2341">
        <f t="shared" si="121"/>
        <v>-3.0189822294022672E-2</v>
      </c>
      <c r="DD76" s="2341">
        <f t="shared" si="121"/>
        <v>-2.5922937260439816E-2</v>
      </c>
      <c r="DE76" s="2341">
        <f t="shared" si="121"/>
        <v>-4.9180327868852958E-3</v>
      </c>
      <c r="DF76" s="2344">
        <f t="shared" si="121"/>
        <v>1.2435233160621451E-3</v>
      </c>
      <c r="DG76" s="2341">
        <f t="shared" si="121"/>
        <v>2.7069234773555717E-3</v>
      </c>
      <c r="DH76" s="2341">
        <f t="shared" si="121"/>
        <v>-8.3876980428704284E-3</v>
      </c>
      <c r="DI76" s="2341">
        <f t="shared" si="121"/>
        <v>-1.565074135090605E-2</v>
      </c>
      <c r="DJ76" s="2344">
        <f t="shared" si="121"/>
        <v>-7.7416683916373463E-2</v>
      </c>
      <c r="DK76" s="2341">
        <f t="shared" si="121"/>
        <v>-7.8392690270999932E-2</v>
      </c>
      <c r="DL76" s="2341">
        <f t="shared" si="121"/>
        <v>-7.9887218045112784E-2</v>
      </c>
      <c r="DM76" s="2345">
        <f t="shared" si="121"/>
        <v>-6.6945606694560622E-2</v>
      </c>
      <c r="DN76" s="2341">
        <f t="shared" si="121"/>
        <v>-1.6715279335876132E-2</v>
      </c>
      <c r="DO76" s="2341">
        <f t="shared" si="121"/>
        <v>-0.11863452005407837</v>
      </c>
      <c r="DP76" s="2341">
        <f t="shared" si="121"/>
        <v>-0.11621836340937464</v>
      </c>
      <c r="DQ76" s="2345">
        <f t="shared" si="121"/>
        <v>-0.1242152466367713</v>
      </c>
      <c r="DR76" s="2341">
        <f t="shared" si="121"/>
        <v>-0.10142612664004569</v>
      </c>
      <c r="DS76" s="2341">
        <f t="shared" si="121"/>
        <v>-2.6843921769141854E-3</v>
      </c>
      <c r="DT76" s="2341">
        <f t="shared" si="121"/>
        <v>-1.6052395017336574E-2</v>
      </c>
      <c r="DU76" s="2345">
        <f t="shared" si="121"/>
        <v>-2.4961597542242697E-2</v>
      </c>
      <c r="DV76" s="2341">
        <f t="shared" si="121"/>
        <v>-4.0502793296089412E-2</v>
      </c>
      <c r="DW76" s="2341">
        <f t="shared" ref="DW76" si="122">DW75/DS75-1</f>
        <v>-3.3320256872510279E-2</v>
      </c>
      <c r="DX76" s="2341">
        <f t="shared" ref="DX76" si="123">DX75/DT75-1</f>
        <v>-1.7211853735566884E-2</v>
      </c>
      <c r="DY76" s="2345">
        <f t="shared" ref="DY76" si="124">DY75/DU75-1</f>
        <v>-1.6362070827183661E-2</v>
      </c>
      <c r="DZ76" s="1958"/>
    </row>
    <row r="77" spans="1:131" s="1958" customFormat="1" ht="15" customHeight="1" outlineLevel="1">
      <c r="A77" s="2371"/>
      <c r="B77" s="1946"/>
      <c r="C77" s="1946"/>
      <c r="D77" s="1946"/>
      <c r="E77" s="1946"/>
      <c r="F77" s="1946"/>
      <c r="G77" s="1946"/>
      <c r="H77" s="1946"/>
      <c r="I77" s="1946"/>
      <c r="J77" s="1946"/>
      <c r="K77" s="1946"/>
      <c r="L77" s="2332"/>
      <c r="M77" s="1946"/>
      <c r="N77" s="1946"/>
      <c r="O77" s="1946"/>
      <c r="P77" s="1946"/>
      <c r="Q77" s="1903"/>
      <c r="R77" s="1903"/>
      <c r="S77" s="1903"/>
      <c r="T77" s="1903"/>
      <c r="U77" s="1903"/>
      <c r="V77" s="1946"/>
      <c r="W77" s="1946"/>
      <c r="X77" s="1946"/>
      <c r="Y77" s="1946"/>
      <c r="Z77" s="1946"/>
      <c r="AA77" s="1903"/>
      <c r="AB77" s="1903"/>
      <c r="AC77" s="1903"/>
      <c r="AD77" s="1903"/>
      <c r="AE77" s="1903"/>
      <c r="AF77" s="1903"/>
      <c r="AG77" s="1903"/>
      <c r="AH77" s="1947"/>
      <c r="AI77" s="1927"/>
      <c r="AJ77" s="1947"/>
      <c r="AK77" s="1946"/>
      <c r="AL77" s="1946"/>
      <c r="AM77" s="1946"/>
      <c r="AN77" s="1946"/>
      <c r="AO77" s="1946"/>
      <c r="AP77" s="1946"/>
      <c r="AQ77" s="1946"/>
      <c r="AR77" s="1946"/>
      <c r="AS77" s="1946"/>
      <c r="AT77" s="1946"/>
      <c r="AU77" s="1946"/>
      <c r="AV77" s="1946"/>
      <c r="AW77" s="1946"/>
      <c r="AX77" s="1946"/>
      <c r="AY77" s="1946"/>
      <c r="AZ77" s="1946"/>
      <c r="BA77" s="1946"/>
      <c r="BB77" s="1946"/>
      <c r="BC77" s="1946"/>
      <c r="BD77" s="1946"/>
      <c r="BE77" s="1946"/>
      <c r="BF77" s="1946"/>
      <c r="BG77" s="1946"/>
      <c r="BH77" s="1946"/>
      <c r="BI77" s="1946"/>
      <c r="BJ77" s="1946"/>
      <c r="BK77" s="1946"/>
      <c r="BL77" s="1946"/>
      <c r="BM77" s="1946"/>
      <c r="BN77" s="2333"/>
      <c r="BO77" s="1946"/>
      <c r="BP77" s="2333"/>
      <c r="BQ77" s="2333"/>
      <c r="BR77" s="2346"/>
      <c r="BS77" s="2347"/>
      <c r="BT77" s="2347"/>
      <c r="BU77" s="2347"/>
      <c r="BV77" s="1942"/>
      <c r="BW77" s="1903"/>
      <c r="BX77" s="1903"/>
      <c r="BY77" s="1903"/>
      <c r="BZ77" s="1942"/>
      <c r="CA77" s="1903"/>
      <c r="CB77" s="1903"/>
      <c r="CC77" s="1903"/>
      <c r="CD77" s="1942"/>
      <c r="CE77" s="1903"/>
      <c r="CF77" s="1903"/>
      <c r="CG77" s="2236"/>
      <c r="CH77" s="1942"/>
      <c r="CI77" s="1903"/>
      <c r="CJ77" s="1903"/>
      <c r="CK77" s="2236"/>
      <c r="CL77" s="1942"/>
      <c r="CM77" s="1903"/>
      <c r="CN77" s="1903"/>
      <c r="CO77" s="1903"/>
      <c r="CP77" s="1942"/>
      <c r="CQ77" s="1903"/>
      <c r="CR77" s="1903"/>
      <c r="CS77" s="1903"/>
      <c r="CT77" s="1942"/>
      <c r="CU77" s="1903"/>
      <c r="CV77" s="1903"/>
      <c r="CW77" s="2236"/>
      <c r="CX77" s="1942"/>
      <c r="CY77" s="1903"/>
      <c r="CZ77" s="1903"/>
      <c r="DA77" s="1903"/>
      <c r="DB77" s="1942"/>
      <c r="DC77" s="1903"/>
      <c r="DD77" s="1903"/>
      <c r="DE77" s="1903"/>
      <c r="DF77" s="1942"/>
      <c r="DG77" s="1903"/>
      <c r="DH77" s="1903"/>
      <c r="DI77" s="1903"/>
      <c r="DJ77" s="1942"/>
      <c r="DK77" s="1903"/>
      <c r="DL77" s="1903"/>
      <c r="DM77" s="2236"/>
      <c r="DN77" s="1903"/>
      <c r="DO77" s="1903"/>
      <c r="DP77" s="1903"/>
      <c r="DQ77" s="2236"/>
      <c r="DR77" s="1903"/>
      <c r="DS77" s="1903"/>
      <c r="DT77" s="1903"/>
      <c r="DU77" s="2236"/>
      <c r="DV77" s="1903"/>
      <c r="DW77" s="1903"/>
      <c r="DX77" s="1903"/>
      <c r="DY77" s="2236"/>
      <c r="DZ77" s="1946"/>
    </row>
    <row r="78" spans="1:131" s="1958" customFormat="1" ht="15" customHeight="1" outlineLevel="1">
      <c r="A78" s="2371" t="s">
        <v>960</v>
      </c>
      <c r="B78" s="1946"/>
      <c r="C78" s="1946"/>
      <c r="D78" s="1946"/>
      <c r="E78" s="1946"/>
      <c r="F78" s="1946"/>
      <c r="G78" s="1946"/>
      <c r="H78" s="1946"/>
      <c r="I78" s="1946"/>
      <c r="J78" s="1946"/>
      <c r="K78" s="1946"/>
      <c r="L78" s="2332"/>
      <c r="M78" s="1946"/>
      <c r="N78" s="1946"/>
      <c r="O78" s="1946"/>
      <c r="P78" s="2287"/>
      <c r="Q78" s="2280"/>
      <c r="R78" s="2280"/>
      <c r="S78" s="2280"/>
      <c r="T78" s="2280"/>
      <c r="U78" s="2280"/>
      <c r="V78" s="2287"/>
      <c r="W78" s="2287"/>
      <c r="X78" s="2287"/>
      <c r="Y78" s="2287"/>
      <c r="Z78" s="2287"/>
      <c r="AA78" s="2280"/>
      <c r="AB78" s="2280"/>
      <c r="AC78" s="2280"/>
      <c r="AD78" s="2280"/>
      <c r="AE78" s="2280"/>
      <c r="AF78" s="2280"/>
      <c r="AG78" s="2280"/>
      <c r="AH78" s="1947"/>
      <c r="AI78" s="1927"/>
      <c r="AJ78" s="1947"/>
      <c r="AK78" s="1946"/>
      <c r="AL78" s="1946"/>
      <c r="AM78" s="1946"/>
      <c r="AN78" s="1946"/>
      <c r="AO78" s="1946"/>
      <c r="AP78" s="1946"/>
      <c r="AQ78" s="1946"/>
      <c r="AR78" s="1946"/>
      <c r="AS78" s="1946"/>
      <c r="AT78" s="1946"/>
      <c r="AU78" s="1946"/>
      <c r="AV78" s="1946"/>
      <c r="AW78" s="1946"/>
      <c r="AX78" s="1946"/>
      <c r="AY78" s="1946"/>
      <c r="AZ78" s="1946"/>
      <c r="BA78" s="1946"/>
      <c r="BB78" s="1946"/>
      <c r="BC78" s="1946"/>
      <c r="BD78" s="1946"/>
      <c r="BE78" s="1946"/>
      <c r="BF78" s="1946"/>
      <c r="BG78" s="1946"/>
      <c r="BH78" s="1946"/>
      <c r="BI78" s="1946"/>
      <c r="BJ78" s="1946"/>
      <c r="BK78" s="1946"/>
      <c r="BL78" s="1946"/>
      <c r="BM78" s="1946"/>
      <c r="BN78" s="2332"/>
      <c r="BO78" s="1946"/>
      <c r="BP78" s="2332"/>
      <c r="BQ78" s="2332"/>
      <c r="BR78" s="2346"/>
      <c r="BS78" s="2347"/>
      <c r="BT78" s="2347"/>
      <c r="BU78" s="2347"/>
      <c r="BV78" s="3484" t="s">
        <v>212</v>
      </c>
      <c r="BW78" s="3484"/>
      <c r="BX78" s="3484"/>
      <c r="BY78" s="3484"/>
      <c r="BZ78" s="2348" t="s">
        <v>200</v>
      </c>
      <c r="CA78" s="2349"/>
      <c r="CB78" s="2349"/>
      <c r="CC78" s="2349"/>
      <c r="CD78" s="2348"/>
      <c r="CE78" s="2349"/>
      <c r="CF78" s="2349"/>
      <c r="CG78" s="2350"/>
      <c r="CH78" s="2348"/>
      <c r="CI78" s="1903"/>
      <c r="CJ78" s="1903"/>
      <c r="CK78" s="2236"/>
      <c r="CL78" s="1942"/>
      <c r="CM78" s="1903"/>
      <c r="CN78" s="1903"/>
      <c r="CO78" s="1903"/>
      <c r="CP78" s="1942"/>
      <c r="CQ78" s="1903"/>
      <c r="CR78" s="1903"/>
      <c r="CS78" s="1903"/>
      <c r="CT78" s="1942"/>
      <c r="CU78" s="1903"/>
      <c r="CV78" s="1903"/>
      <c r="CW78" s="2236"/>
      <c r="CX78" s="1942"/>
      <c r="CY78" s="1903"/>
      <c r="CZ78" s="1903"/>
      <c r="DA78" s="1903"/>
      <c r="DB78" s="1942"/>
      <c r="DC78" s="1903"/>
      <c r="DD78" s="1903"/>
      <c r="DE78" s="1903"/>
      <c r="DF78" s="1942"/>
      <c r="DG78" s="1903"/>
      <c r="DH78" s="1903"/>
      <c r="DI78" s="1903"/>
      <c r="DJ78" s="1942"/>
      <c r="DK78" s="1903"/>
      <c r="DL78" s="1903"/>
      <c r="DM78" s="2236"/>
      <c r="DN78" s="1903"/>
      <c r="DO78" s="1903"/>
      <c r="DP78" s="1903"/>
      <c r="DQ78" s="2236"/>
      <c r="DR78" s="1903"/>
      <c r="DS78" s="1903"/>
      <c r="DT78" s="1903"/>
      <c r="DU78" s="2236"/>
      <c r="DV78" s="1903"/>
      <c r="DW78" s="1903"/>
      <c r="DX78" s="1903"/>
      <c r="DY78" s="2236"/>
      <c r="DZ78" s="1946"/>
    </row>
    <row r="79" spans="1:131" s="1958" customFormat="1" ht="15" customHeight="1" outlineLevel="1">
      <c r="A79" s="2371" t="s">
        <v>213</v>
      </c>
      <c r="B79" s="1946"/>
      <c r="C79" s="1946"/>
      <c r="D79" s="1946"/>
      <c r="E79" s="1946"/>
      <c r="F79" s="1946"/>
      <c r="G79" s="1946"/>
      <c r="H79" s="1946"/>
      <c r="I79" s="1946"/>
      <c r="J79" s="1946"/>
      <c r="K79" s="1946"/>
      <c r="L79" s="2332"/>
      <c r="M79" s="1946"/>
      <c r="N79" s="1946"/>
      <c r="O79" s="1946"/>
      <c r="P79" s="2287"/>
      <c r="Q79" s="2280"/>
      <c r="R79" s="2280"/>
      <c r="S79" s="2280"/>
      <c r="T79" s="2280"/>
      <c r="U79" s="2280"/>
      <c r="V79" s="2287"/>
      <c r="W79" s="2287"/>
      <c r="X79" s="2287"/>
      <c r="Y79" s="2287"/>
      <c r="Z79" s="2287"/>
      <c r="AA79" s="2280"/>
      <c r="AB79" s="2280"/>
      <c r="AC79" s="2280"/>
      <c r="AD79" s="2280"/>
      <c r="AE79" s="2280"/>
      <c r="AF79" s="2280"/>
      <c r="AG79" s="2280"/>
      <c r="AH79" s="1947"/>
      <c r="AI79" s="1927"/>
      <c r="AJ79" s="1947"/>
      <c r="AK79" s="1946"/>
      <c r="AL79" s="1946"/>
      <c r="AM79" s="1946"/>
      <c r="AN79" s="1946"/>
      <c r="AO79" s="1946"/>
      <c r="AP79" s="1946"/>
      <c r="AQ79" s="1946"/>
      <c r="AR79" s="1946"/>
      <c r="AS79" s="1946"/>
      <c r="AT79" s="1946"/>
      <c r="AU79" s="1946"/>
      <c r="AV79" s="1946"/>
      <c r="AW79" s="1946"/>
      <c r="AX79" s="1946"/>
      <c r="AY79" s="1946"/>
      <c r="AZ79" s="1946"/>
      <c r="BA79" s="1946"/>
      <c r="BB79" s="1946"/>
      <c r="BC79" s="1946"/>
      <c r="BD79" s="1946"/>
      <c r="BE79" s="1946"/>
      <c r="BF79" s="1946"/>
      <c r="BG79" s="1946"/>
      <c r="BH79" s="1946"/>
      <c r="BI79" s="1946"/>
      <c r="BJ79" s="1946"/>
      <c r="BK79" s="1946"/>
      <c r="BL79" s="1946"/>
      <c r="BM79" s="1946"/>
      <c r="BN79" s="2332"/>
      <c r="BO79" s="1946"/>
      <c r="BP79" s="2332"/>
      <c r="BQ79" s="2332"/>
      <c r="BR79" s="2346"/>
      <c r="BS79" s="2347"/>
      <c r="BT79" s="2347"/>
      <c r="BU79" s="2347"/>
      <c r="BV79" s="2202">
        <f>IS!BS53</f>
        <v>18419</v>
      </c>
      <c r="BW79" s="2200">
        <f>IS!BT53</f>
        <v>18599</v>
      </c>
      <c r="BX79" s="2200">
        <f>IS!BU53</f>
        <v>18677</v>
      </c>
      <c r="BY79" s="2200">
        <f>IS!BV53</f>
        <v>18686</v>
      </c>
      <c r="BZ79" s="2202"/>
      <c r="CA79" s="2200"/>
      <c r="CB79" s="1903"/>
      <c r="CC79" s="1903"/>
      <c r="CD79" s="1942"/>
      <c r="CE79" s="2200"/>
      <c r="CF79" s="1903"/>
      <c r="CG79" s="2236"/>
      <c r="CH79" s="1942"/>
      <c r="CI79" s="1903"/>
      <c r="CJ79" s="1903"/>
      <c r="CK79" s="2236"/>
      <c r="CL79" s="1942"/>
      <c r="CM79" s="1903"/>
      <c r="CN79" s="1903"/>
      <c r="CO79" s="1903"/>
      <c r="CP79" s="1942"/>
      <c r="CQ79" s="1903"/>
      <c r="CR79" s="1903"/>
      <c r="CS79" s="1903"/>
      <c r="CT79" s="1942"/>
      <c r="CU79" s="1903"/>
      <c r="CV79" s="1903"/>
      <c r="CW79" s="2236"/>
      <c r="CX79" s="1942"/>
      <c r="CY79" s="1903"/>
      <c r="CZ79" s="1903"/>
      <c r="DA79" s="1903"/>
      <c r="DB79" s="1942"/>
      <c r="DC79" s="1903"/>
      <c r="DD79" s="1903"/>
      <c r="DE79" s="1903"/>
      <c r="DF79" s="1942"/>
      <c r="DG79" s="1903"/>
      <c r="DH79" s="1903"/>
      <c r="DI79" s="1903"/>
      <c r="DJ79" s="1942"/>
      <c r="DK79" s="1903"/>
      <c r="DL79" s="1903"/>
      <c r="DM79" s="2236"/>
      <c r="DN79" s="1903"/>
      <c r="DO79" s="1903"/>
      <c r="DP79" s="1903"/>
      <c r="DQ79" s="2236"/>
      <c r="DR79" s="1903"/>
      <c r="DS79" s="1903"/>
      <c r="DT79" s="1903"/>
      <c r="DU79" s="2236"/>
      <c r="DV79" s="1903"/>
      <c r="DW79" s="1903"/>
      <c r="DX79" s="1903"/>
      <c r="DY79" s="2236"/>
      <c r="DZ79" s="1946"/>
    </row>
    <row r="80" spans="1:131" s="1958" customFormat="1" ht="15" customHeight="1" outlineLevel="1">
      <c r="A80" s="2371" t="s">
        <v>214</v>
      </c>
      <c r="B80" s="1946"/>
      <c r="C80" s="1946"/>
      <c r="D80" s="1946"/>
      <c r="E80" s="1946"/>
      <c r="F80" s="1946"/>
      <c r="G80" s="1946"/>
      <c r="H80" s="1946"/>
      <c r="I80" s="1946"/>
      <c r="J80" s="1946"/>
      <c r="K80" s="1946"/>
      <c r="L80" s="2332"/>
      <c r="M80" s="1946"/>
      <c r="N80" s="1946"/>
      <c r="O80" s="1946"/>
      <c r="P80" s="1946"/>
      <c r="Q80" s="1903"/>
      <c r="R80" s="1903"/>
      <c r="S80" s="1903"/>
      <c r="T80" s="1903"/>
      <c r="U80" s="1903"/>
      <c r="V80" s="1946"/>
      <c r="W80" s="1946"/>
      <c r="X80" s="1946"/>
      <c r="Y80" s="1946"/>
      <c r="Z80" s="1946"/>
      <c r="AA80" s="1903"/>
      <c r="AB80" s="1903"/>
      <c r="AC80" s="1903"/>
      <c r="AD80" s="1903"/>
      <c r="AE80" s="1903"/>
      <c r="AF80" s="1903"/>
      <c r="AG80" s="1903"/>
      <c r="AH80" s="1947"/>
      <c r="AI80" s="1927"/>
      <c r="AJ80" s="1947"/>
      <c r="AK80" s="1946"/>
      <c r="AL80" s="1946"/>
      <c r="AM80" s="1946"/>
      <c r="AN80" s="1946"/>
      <c r="AO80" s="1946"/>
      <c r="AP80" s="1946"/>
      <c r="AQ80" s="1946"/>
      <c r="AR80" s="1946"/>
      <c r="AS80" s="1946"/>
      <c r="AT80" s="1946"/>
      <c r="AU80" s="1946"/>
      <c r="AV80" s="1946"/>
      <c r="AW80" s="1946"/>
      <c r="AX80" s="1946"/>
      <c r="AY80" s="1946"/>
      <c r="AZ80" s="1946"/>
      <c r="BA80" s="1946"/>
      <c r="BB80" s="1946"/>
      <c r="BC80" s="1946"/>
      <c r="BD80" s="1946"/>
      <c r="BE80" s="1946"/>
      <c r="BF80" s="1946"/>
      <c r="BG80" s="1946"/>
      <c r="BH80" s="1946"/>
      <c r="BI80" s="1946"/>
      <c r="BJ80" s="1946"/>
      <c r="BK80" s="1946"/>
      <c r="BL80" s="1946"/>
      <c r="BM80" s="1946"/>
      <c r="BN80" s="2332"/>
      <c r="BO80" s="1946"/>
      <c r="BP80" s="2332"/>
      <c r="BQ80" s="2332"/>
      <c r="BR80" s="2346"/>
      <c r="BS80" s="2347"/>
      <c r="BT80" s="2347"/>
      <c r="BU80" s="2347"/>
      <c r="BV80" s="2202">
        <v>-5187</v>
      </c>
      <c r="BW80" s="2200">
        <v>-5353</v>
      </c>
      <c r="BX80" s="2200">
        <v>-5749</v>
      </c>
      <c r="BY80" s="2200">
        <v>-5664</v>
      </c>
      <c r="BZ80" s="2202"/>
      <c r="CA80" s="2200"/>
      <c r="CB80" s="1903"/>
      <c r="CC80" s="1903"/>
      <c r="CD80" s="1942"/>
      <c r="CE80" s="2200"/>
      <c r="CF80" s="1903"/>
      <c r="CG80" s="2236"/>
      <c r="CH80" s="1942"/>
      <c r="CI80" s="1903"/>
      <c r="CJ80" s="1903"/>
      <c r="CK80" s="2236"/>
      <c r="CL80" s="1942"/>
      <c r="CM80" s="1903"/>
      <c r="CN80" s="1903"/>
      <c r="CO80" s="1903"/>
      <c r="CP80" s="1942"/>
      <c r="CQ80" s="1903"/>
      <c r="CR80" s="1903"/>
      <c r="CS80" s="1903"/>
      <c r="CT80" s="1942"/>
      <c r="CU80" s="1903"/>
      <c r="CV80" s="1903"/>
      <c r="CW80" s="2236"/>
      <c r="CX80" s="1942"/>
      <c r="CY80" s="1903"/>
      <c r="CZ80" s="1903"/>
      <c r="DA80" s="1903"/>
      <c r="DB80" s="1942"/>
      <c r="DC80" s="1903"/>
      <c r="DD80" s="1903"/>
      <c r="DE80" s="1903"/>
      <c r="DF80" s="1942"/>
      <c r="DG80" s="1903"/>
      <c r="DH80" s="1903"/>
      <c r="DI80" s="1903"/>
      <c r="DJ80" s="1942"/>
      <c r="DK80" s="1903"/>
      <c r="DL80" s="1903"/>
      <c r="DM80" s="2236"/>
      <c r="DN80" s="1903"/>
      <c r="DO80" s="1903"/>
      <c r="DP80" s="1903"/>
      <c r="DQ80" s="2236"/>
      <c r="DR80" s="1903"/>
      <c r="DS80" s="1903"/>
      <c r="DT80" s="1903"/>
      <c r="DU80" s="2236"/>
      <c r="DV80" s="1903"/>
      <c r="DW80" s="1903"/>
      <c r="DX80" s="1903"/>
      <c r="DY80" s="2236"/>
      <c r="DZ80" s="1946"/>
    </row>
    <row r="81" spans="1:130" s="2960" customFormat="1" ht="15" customHeight="1" outlineLevel="1">
      <c r="A81" s="2336" t="s">
        <v>960</v>
      </c>
      <c r="B81" s="2162"/>
      <c r="C81" s="2162"/>
      <c r="D81" s="2162"/>
      <c r="E81" s="2162"/>
      <c r="F81" s="2162"/>
      <c r="G81" s="2162"/>
      <c r="H81" s="2162"/>
      <c r="I81" s="2162"/>
      <c r="J81" s="2162"/>
      <c r="K81" s="2162"/>
      <c r="L81" s="2337"/>
      <c r="M81" s="2162"/>
      <c r="N81" s="2162">
        <f>SUM(BZ81:CC81)</f>
        <v>45113</v>
      </c>
      <c r="O81" s="2162">
        <f>SUM(CD81:CG81)</f>
        <v>44635</v>
      </c>
      <c r="P81" s="2162">
        <f>SUM(CH81:CK81)</f>
        <v>44352</v>
      </c>
      <c r="Q81" s="2216">
        <f>SUM(CL81:CO81)</f>
        <v>40878</v>
      </c>
      <c r="R81" s="2216">
        <f>SUM(CP81:CS81)</f>
        <v>40459</v>
      </c>
      <c r="S81" s="2216">
        <f>SUM(CT81:CW81)</f>
        <v>39723</v>
      </c>
      <c r="T81" s="2216">
        <f t="shared" ref="T81:X81" si="125">T127+T93</f>
        <v>39512</v>
      </c>
      <c r="U81" s="2216">
        <f t="shared" si="125"/>
        <v>38294</v>
      </c>
      <c r="V81" s="2162">
        <f t="shared" si="125"/>
        <v>37394</v>
      </c>
      <c r="W81" s="2162">
        <f t="shared" si="125"/>
        <v>35545</v>
      </c>
      <c r="X81" s="2162">
        <f t="shared" si="125"/>
        <v>31990</v>
      </c>
      <c r="Y81" s="2162">
        <f t="shared" ref="Y81:Z81" si="126">Y127+Y93</f>
        <v>30469</v>
      </c>
      <c r="Z81" s="2162">
        <f t="shared" ca="1" si="126"/>
        <v>29870.613635050282</v>
      </c>
      <c r="AA81" s="2216">
        <f ca="1">AA127+AA93</f>
        <v>29376.306572849717</v>
      </c>
      <c r="AB81" s="2216">
        <f t="shared" ref="AB81:AG81" ca="1" si="127">AB127+AB93</f>
        <v>28973.027492956371</v>
      </c>
      <c r="AC81" s="2216">
        <f t="shared" ca="1" si="127"/>
        <v>28583.130002545546</v>
      </c>
      <c r="AD81" s="2216">
        <f t="shared" ca="1" si="127"/>
        <v>28205.043538648708</v>
      </c>
      <c r="AE81" s="2216">
        <f t="shared" ca="1" si="127"/>
        <v>27837.517691351226</v>
      </c>
      <c r="AF81" s="2216">
        <f t="shared" ca="1" si="127"/>
        <v>27479.576832533559</v>
      </c>
      <c r="AG81" s="2216">
        <f t="shared" ca="1" si="127"/>
        <v>27141.017699984586</v>
      </c>
      <c r="AH81" s="1955"/>
      <c r="AI81" s="2125">
        <f ca="1">(AA81/V81)^(1/5)-1</f>
        <v>-4.7118152582047435E-2</v>
      </c>
      <c r="AJ81" s="1955"/>
      <c r="AK81" s="2162"/>
      <c r="AL81" s="2162"/>
      <c r="AM81" s="2162"/>
      <c r="AN81" s="2162"/>
      <c r="AO81" s="2162"/>
      <c r="AP81" s="2162"/>
      <c r="AQ81" s="2162"/>
      <c r="AR81" s="2162"/>
      <c r="AS81" s="2162"/>
      <c r="AT81" s="2162"/>
      <c r="AU81" s="2162"/>
      <c r="AV81" s="2162"/>
      <c r="AW81" s="2162"/>
      <c r="AX81" s="2162"/>
      <c r="AY81" s="2162"/>
      <c r="AZ81" s="2162"/>
      <c r="BA81" s="2162"/>
      <c r="BB81" s="2162"/>
      <c r="BC81" s="2162"/>
      <c r="BD81" s="2162"/>
      <c r="BE81" s="2162"/>
      <c r="BF81" s="2162"/>
      <c r="BG81" s="2162"/>
      <c r="BH81" s="2162"/>
      <c r="BI81" s="2162"/>
      <c r="BJ81" s="2162"/>
      <c r="BK81" s="2162"/>
      <c r="BL81" s="2162"/>
      <c r="BM81" s="2162"/>
      <c r="BN81" s="2337"/>
      <c r="BO81" s="2162"/>
      <c r="BP81" s="2337"/>
      <c r="BQ81" s="2337"/>
      <c r="BR81" s="2351"/>
      <c r="BS81" s="2352"/>
      <c r="BT81" s="2352"/>
      <c r="BU81" s="2352"/>
      <c r="BV81" s="1937"/>
      <c r="BW81" s="2216"/>
      <c r="BX81" s="2216"/>
      <c r="BY81" s="2216"/>
      <c r="BZ81" s="1937">
        <f>NormInputs!BP201</f>
        <v>11109</v>
      </c>
      <c r="CA81" s="2216">
        <f>NormInputs!BQ201</f>
        <v>11276</v>
      </c>
      <c r="CB81" s="2216">
        <f>NormInputs!BR201</f>
        <v>11418</v>
      </c>
      <c r="CC81" s="2216">
        <f>NormInputs!BS201</f>
        <v>11310</v>
      </c>
      <c r="CD81" s="1937">
        <f>NormInputs!BT201</f>
        <v>11095</v>
      </c>
      <c r="CE81" s="2216">
        <f>NormInputs!BU201</f>
        <v>11243</v>
      </c>
      <c r="CF81" s="2216">
        <f>NormInputs!BV201</f>
        <v>11237</v>
      </c>
      <c r="CG81" s="2219">
        <f>NormInputs!BW201</f>
        <v>11060</v>
      </c>
      <c r="CH81" s="1937">
        <f>NormInputs!BX201</f>
        <v>10986</v>
      </c>
      <c r="CI81" s="2216">
        <f>NormInputs!BY201</f>
        <v>11050</v>
      </c>
      <c r="CJ81" s="2216">
        <f>NormInputs!BZ201</f>
        <v>11112</v>
      </c>
      <c r="CK81" s="2219">
        <f>NormInputs!CA201</f>
        <v>11204</v>
      </c>
      <c r="CL81" s="1937">
        <f>NormInputs!CB201</f>
        <v>10095</v>
      </c>
      <c r="CM81" s="2216">
        <f>NormInputs!CC201</f>
        <v>10128</v>
      </c>
      <c r="CN81" s="2216">
        <f>NormInputs!CD201</f>
        <v>10333</v>
      </c>
      <c r="CO81" s="2216">
        <f>NormInputs!CE201</f>
        <v>10322</v>
      </c>
      <c r="CP81" s="1937">
        <f>NormInputs!CF201</f>
        <v>10254</v>
      </c>
      <c r="CQ81" s="2216">
        <f>NormInputs!CG201</f>
        <v>10070</v>
      </c>
      <c r="CR81" s="2216">
        <f>NormInputs!CH201</f>
        <v>10099</v>
      </c>
      <c r="CS81" s="2216">
        <f>NormInputs!CI201</f>
        <v>10036</v>
      </c>
      <c r="CT81" s="1937">
        <f>NormInputs!CJ201</f>
        <v>9859</v>
      </c>
      <c r="CU81" s="2216">
        <f>NormInputs!CK201</f>
        <v>9929</v>
      </c>
      <c r="CV81" s="2216">
        <f>NormInputs!CL201</f>
        <v>10096</v>
      </c>
      <c r="CW81" s="2219">
        <f>NormInputs!CM201</f>
        <v>9839</v>
      </c>
      <c r="CX81" s="1937">
        <f>NormInputs!CN201</f>
        <v>9788</v>
      </c>
      <c r="CY81" s="2216">
        <f>NormInputs!CO201</f>
        <v>9743</v>
      </c>
      <c r="CZ81" s="2216">
        <f>NormInputs!CP201</f>
        <v>9873</v>
      </c>
      <c r="DA81" s="2216">
        <f>NormInputs!CQ201</f>
        <v>10108</v>
      </c>
      <c r="DB81" s="1937">
        <f>NormInputs!CR201</f>
        <v>9647</v>
      </c>
      <c r="DC81" s="2216">
        <f>NormInputs!CS201</f>
        <v>9539</v>
      </c>
      <c r="DD81" s="2216">
        <f>NormInputs!CT201</f>
        <v>9510</v>
      </c>
      <c r="DE81" s="2216">
        <f>NormInputs!CU201</f>
        <v>9598</v>
      </c>
      <c r="DF81" s="1937">
        <f>NormInputs!CV201</f>
        <v>9521</v>
      </c>
      <c r="DG81" s="2216">
        <f>NormInputs!CW201</f>
        <v>9378</v>
      </c>
      <c r="DH81" s="2216">
        <f>NormInputs!CX201</f>
        <v>9351</v>
      </c>
      <c r="DI81" s="2216">
        <f>NormInputs!CY201</f>
        <v>9144</v>
      </c>
      <c r="DJ81" s="2504">
        <f>NormInputs!CZ201</f>
        <v>9064</v>
      </c>
      <c r="DK81" s="2505">
        <f>NormInputs!DA201</f>
        <v>8919</v>
      </c>
      <c r="DL81" s="2505">
        <f>NormInputs!DB201</f>
        <v>8778</v>
      </c>
      <c r="DM81" s="2506">
        <f>NormInputs!DC201</f>
        <v>8784</v>
      </c>
      <c r="DN81" s="2505">
        <f>NormInputs!DD201</f>
        <v>8701</v>
      </c>
      <c r="DO81" s="2505">
        <f>NormInputs!DE201</f>
        <v>8286</v>
      </c>
      <c r="DP81" s="2505">
        <f>NormInputs!DF201</f>
        <v>7631</v>
      </c>
      <c r="DQ81" s="2506">
        <f>NormInputs!DG201</f>
        <v>7398</v>
      </c>
      <c r="DR81" s="2505">
        <f>NormInputs!DH201</f>
        <v>7583</v>
      </c>
      <c r="DS81" s="2505">
        <f>NormInputs!DI201</f>
        <v>7734</v>
      </c>
      <c r="DT81" s="2505">
        <f>NormInputs!DJ201</f>
        <v>7597</v>
      </c>
      <c r="DU81" s="2506">
        <f>NormInputs!DK201</f>
        <v>7555</v>
      </c>
      <c r="DV81" s="2505">
        <f>NormInputs!DL201</f>
        <v>7488</v>
      </c>
      <c r="DW81" s="2216">
        <f ca="1">DW127+DW93</f>
        <v>7493.337535283863</v>
      </c>
      <c r="DX81" s="2216">
        <f ca="1">DX127+DX93</f>
        <v>7438.0831942704062</v>
      </c>
      <c r="DY81" s="2219">
        <f t="shared" ref="DY81" ca="1" si="128">DY127+DY93</f>
        <v>7451.1929054960146</v>
      </c>
      <c r="DZ81" s="2965"/>
    </row>
    <row r="82" spans="1:130" s="2959" customFormat="1" ht="15" customHeight="1" outlineLevel="1">
      <c r="A82" s="2290" t="s">
        <v>290</v>
      </c>
      <c r="B82" s="2291"/>
      <c r="C82" s="2291"/>
      <c r="D82" s="2291"/>
      <c r="E82" s="2291"/>
      <c r="F82" s="2291"/>
      <c r="G82" s="2291"/>
      <c r="H82" s="2291"/>
      <c r="I82" s="2291"/>
      <c r="J82" s="2291"/>
      <c r="K82" s="2291"/>
      <c r="L82" s="2353"/>
      <c r="M82" s="2291"/>
      <c r="N82" s="2291">
        <f t="shared" ref="N82:V82" si="129">N81/N75</f>
        <v>0.91130009696186165</v>
      </c>
      <c r="O82" s="2291">
        <f t="shared" si="129"/>
        <v>0.90852653219076307</v>
      </c>
      <c r="P82" s="2291">
        <f t="shared" si="129"/>
        <v>0.91989878458539009</v>
      </c>
      <c r="Q82" s="2293">
        <f t="shared" si="129"/>
        <v>0.96517365948102851</v>
      </c>
      <c r="R82" s="2293">
        <f t="shared" si="129"/>
        <v>0.98137143134353699</v>
      </c>
      <c r="S82" s="2293">
        <f t="shared" si="129"/>
        <v>0.97642692099700112</v>
      </c>
      <c r="T82" s="2293">
        <f t="shared" si="129"/>
        <v>0.99972168104647929</v>
      </c>
      <c r="U82" s="2293">
        <f t="shared" si="129"/>
        <v>0.99145608947804476</v>
      </c>
      <c r="V82" s="2291">
        <f t="shared" si="129"/>
        <v>0.97306721486377479</v>
      </c>
      <c r="W82" s="2291">
        <f>W81/W75</f>
        <v>1.0006756566538104</v>
      </c>
      <c r="X82" s="2291">
        <f>X81/X75</f>
        <v>0.99387951657501472</v>
      </c>
      <c r="Y82" s="2291">
        <f>Y81/Y75</f>
        <v>0.98423619859805533</v>
      </c>
      <c r="Z82" s="2291">
        <f ca="1">Z81/Z75</f>
        <v>0.99166992451291436</v>
      </c>
      <c r="AA82" s="2293">
        <f ca="1">AA81/AA75</f>
        <v>0.98929147770065784</v>
      </c>
      <c r="AB82" s="2293">
        <f t="shared" ref="AB82:AG82" ca="1" si="130">AB81/AB75</f>
        <v>0.98976310602666018</v>
      </c>
      <c r="AC82" s="2293">
        <f t="shared" ca="1" si="130"/>
        <v>0.98992727571463635</v>
      </c>
      <c r="AD82" s="2293">
        <f t="shared" ca="1" si="130"/>
        <v>0.98985391753732399</v>
      </c>
      <c r="AE82" s="2293">
        <f t="shared" ca="1" si="130"/>
        <v>0.98960028379149501</v>
      </c>
      <c r="AF82" s="2293">
        <f t="shared" ca="1" si="130"/>
        <v>0.98921375490180063</v>
      </c>
      <c r="AG82" s="2293">
        <f t="shared" ca="1" si="130"/>
        <v>0.9891180761591124</v>
      </c>
      <c r="AH82" s="1953"/>
      <c r="AI82" s="1953"/>
      <c r="AJ82" s="1953"/>
      <c r="AK82" s="2291"/>
      <c r="AL82" s="2291"/>
      <c r="AM82" s="2291"/>
      <c r="AN82" s="2291"/>
      <c r="AO82" s="2291"/>
      <c r="AP82" s="2291"/>
      <c r="AQ82" s="2291"/>
      <c r="AR82" s="2291"/>
      <c r="AS82" s="2291"/>
      <c r="AT82" s="2291"/>
      <c r="AU82" s="2291"/>
      <c r="AV82" s="2291"/>
      <c r="AW82" s="2291"/>
      <c r="AX82" s="2291"/>
      <c r="AY82" s="2291"/>
      <c r="AZ82" s="2291"/>
      <c r="BA82" s="2291"/>
      <c r="BB82" s="2291"/>
      <c r="BC82" s="2291"/>
      <c r="BD82" s="2291"/>
      <c r="BE82" s="2291"/>
      <c r="BF82" s="2291"/>
      <c r="BG82" s="2291"/>
      <c r="BH82" s="2291"/>
      <c r="BI82" s="2291"/>
      <c r="BJ82" s="2291"/>
      <c r="BK82" s="2291"/>
      <c r="BL82" s="2291"/>
      <c r="BM82" s="2291"/>
      <c r="BN82" s="2353"/>
      <c r="BO82" s="2291"/>
      <c r="BP82" s="2353"/>
      <c r="BQ82" s="2353"/>
      <c r="BR82" s="2354"/>
      <c r="BS82" s="2355"/>
      <c r="BT82" s="2355"/>
      <c r="BU82" s="2355"/>
      <c r="BV82" s="2294"/>
      <c r="BW82" s="2293"/>
      <c r="BX82" s="2293"/>
      <c r="BY82" s="2293"/>
      <c r="BZ82" s="2294">
        <f t="shared" ref="BZ82:DF82" si="131">BZ81/BZ75</f>
        <v>0.91492340635809588</v>
      </c>
      <c r="CA82" s="2293">
        <f t="shared" si="131"/>
        <v>0.90519386690214332</v>
      </c>
      <c r="CB82" s="2293">
        <f t="shared" si="131"/>
        <v>0.91468397019947123</v>
      </c>
      <c r="CC82" s="2293">
        <f t="shared" si="131"/>
        <v>0.91048140396071486</v>
      </c>
      <c r="CD82" s="2294">
        <f t="shared" si="131"/>
        <v>0.911069141074068</v>
      </c>
      <c r="CE82" s="2293">
        <f t="shared" si="131"/>
        <v>0.91184103811841033</v>
      </c>
      <c r="CF82" s="2293">
        <f t="shared" si="131"/>
        <v>0.90826058842547686</v>
      </c>
      <c r="CG82" s="2295">
        <f t="shared" si="131"/>
        <v>0.9029308514980815</v>
      </c>
      <c r="CH82" s="2294">
        <f t="shared" si="131"/>
        <v>0.91352070513886574</v>
      </c>
      <c r="CI82" s="2293">
        <f t="shared" si="131"/>
        <v>0.91224304466275907</v>
      </c>
      <c r="CJ82" s="2293">
        <f t="shared" si="131"/>
        <v>0.91396611284750784</v>
      </c>
      <c r="CK82" s="2295">
        <f t="shared" si="131"/>
        <v>0.94016950574809099</v>
      </c>
      <c r="CL82" s="2294">
        <f t="shared" si="131"/>
        <v>0.95759817871371655</v>
      </c>
      <c r="CM82" s="2293">
        <f t="shared" si="131"/>
        <v>0.95881851746662883</v>
      </c>
      <c r="CN82" s="2293">
        <f t="shared" si="131"/>
        <v>0.96868847848504736</v>
      </c>
      <c r="CO82" s="2293">
        <f t="shared" si="131"/>
        <v>0.97552216236650602</v>
      </c>
      <c r="CP82" s="2294">
        <f t="shared" si="131"/>
        <v>0.98833734939759033</v>
      </c>
      <c r="CQ82" s="2293">
        <f t="shared" si="131"/>
        <v>0.9798579351950959</v>
      </c>
      <c r="CR82" s="2293">
        <f t="shared" si="131"/>
        <v>0.98181994944584872</v>
      </c>
      <c r="CS82" s="2293">
        <f t="shared" si="131"/>
        <v>0.97541063271454953</v>
      </c>
      <c r="CT82" s="2294">
        <f t="shared" si="131"/>
        <v>0.97161722676653195</v>
      </c>
      <c r="CU82" s="2293">
        <f t="shared" si="131"/>
        <v>0.96896652678832829</v>
      </c>
      <c r="CV82" s="2293">
        <f t="shared" si="131"/>
        <v>0.99477781062173609</v>
      </c>
      <c r="CW82" s="2295">
        <f t="shared" si="131"/>
        <v>0.97041128316402014</v>
      </c>
      <c r="CX82" s="2294">
        <f t="shared" si="131"/>
        <v>0.98421317244846651</v>
      </c>
      <c r="CY82" s="2293">
        <f t="shared" si="131"/>
        <v>0.98374394184168013</v>
      </c>
      <c r="CZ82" s="2293">
        <f t="shared" si="131"/>
        <v>0.99586443413354853</v>
      </c>
      <c r="DA82" s="2293">
        <f t="shared" si="131"/>
        <v>1.035655737704918</v>
      </c>
      <c r="DB82" s="2294">
        <f t="shared" si="131"/>
        <v>0.99968911917098446</v>
      </c>
      <c r="DC82" s="2293">
        <f t="shared" si="131"/>
        <v>0.99312857886517436</v>
      </c>
      <c r="DD82" s="2293">
        <f t="shared" si="131"/>
        <v>0.98477788132960542</v>
      </c>
      <c r="DE82" s="2293">
        <f t="shared" si="131"/>
        <v>0.98826194398682043</v>
      </c>
      <c r="DF82" s="2294">
        <f t="shared" si="131"/>
        <v>0.9854067480852825</v>
      </c>
      <c r="DG82" s="2293">
        <f>DG81/DG75</f>
        <v>0.97373066140587683</v>
      </c>
      <c r="DH82" s="2293">
        <f>DH81/DH75</f>
        <v>0.97650375939849621</v>
      </c>
      <c r="DI82" s="2293">
        <f>DI81/DI75</f>
        <v>0.95648535564853554</v>
      </c>
      <c r="DJ82" s="2294">
        <f t="shared" ref="DJ82:DM82" si="132">DJ81/DJ75</f>
        <v>1.0168274624186673</v>
      </c>
      <c r="DK82" s="2293">
        <f t="shared" si="132"/>
        <v>1.0048445245606128</v>
      </c>
      <c r="DL82" s="2293">
        <f t="shared" si="132"/>
        <v>0.99625468164794007</v>
      </c>
      <c r="DM82" s="2295">
        <f t="shared" si="132"/>
        <v>0.98475336322869955</v>
      </c>
      <c r="DN82" s="2293">
        <f t="shared" ref="DN82:DO82" si="133">DN81/DN75</f>
        <v>0.99269823160296633</v>
      </c>
      <c r="DO82" s="2293">
        <f t="shared" si="133"/>
        <v>1.0591844560910137</v>
      </c>
      <c r="DP82" s="2293">
        <f t="shared" ref="DP82:DQ82" si="134">DP81/DP75</f>
        <v>0.97996661101836391</v>
      </c>
      <c r="DQ82" s="2295">
        <f t="shared" si="134"/>
        <v>0.94700460829493083</v>
      </c>
      <c r="DR82" s="2293">
        <f t="shared" ref="DR82:DS82" si="135">DR81/DR75</f>
        <v>0.962798374809548</v>
      </c>
      <c r="DS82" s="2293">
        <f t="shared" si="135"/>
        <v>0.99128428608049213</v>
      </c>
      <c r="DT82" s="2293">
        <f t="shared" ref="DT82:DU82" si="136">DT81/DT75</f>
        <v>0.99151657530670845</v>
      </c>
      <c r="DU82" s="2295">
        <f t="shared" si="136"/>
        <v>0.99186031245897333</v>
      </c>
      <c r="DV82" s="2293">
        <f t="shared" ref="DV82" si="137">DV81/DV75</f>
        <v>0.99086939261611751</v>
      </c>
      <c r="DW82" s="2293">
        <f t="shared" ref="DW82:DY82" ca="1" si="138">DW81/DW75</f>
        <v>0.99354314607411098</v>
      </c>
      <c r="DX82" s="2293">
        <f t="shared" ca="1" si="138"/>
        <v>0.987777147181087</v>
      </c>
      <c r="DY82" s="2295">
        <f t="shared" ca="1" si="138"/>
        <v>0.99450411546306916</v>
      </c>
      <c r="DZ82" s="1958"/>
    </row>
    <row r="83" spans="1:130" s="1958" customFormat="1" ht="15" customHeight="1" outlineLevel="1">
      <c r="A83" s="2371"/>
      <c r="B83" s="1946"/>
      <c r="C83" s="1946"/>
      <c r="D83" s="1946"/>
      <c r="E83" s="1946"/>
      <c r="F83" s="1946"/>
      <c r="G83" s="1946"/>
      <c r="H83" s="1946"/>
      <c r="I83" s="1946"/>
      <c r="J83" s="1946"/>
      <c r="K83" s="1946"/>
      <c r="L83" s="2332"/>
      <c r="M83" s="1946"/>
      <c r="N83" s="1946"/>
      <c r="O83" s="1946"/>
      <c r="P83" s="1946"/>
      <c r="Q83" s="1903"/>
      <c r="R83" s="1903"/>
      <c r="S83" s="1903"/>
      <c r="T83" s="1903"/>
      <c r="U83" s="1903"/>
      <c r="V83" s="1946"/>
      <c r="W83" s="1946"/>
      <c r="X83" s="1946"/>
      <c r="Y83" s="1946"/>
      <c r="Z83" s="1946"/>
      <c r="AA83" s="1903"/>
      <c r="AB83" s="1903"/>
      <c r="AC83" s="1903"/>
      <c r="AD83" s="1903"/>
      <c r="AE83" s="1903"/>
      <c r="AF83" s="1903"/>
      <c r="AG83" s="1903"/>
      <c r="AH83" s="1947"/>
      <c r="AI83" s="1927"/>
      <c r="AJ83" s="1947"/>
      <c r="AK83" s="1946"/>
      <c r="AL83" s="1946"/>
      <c r="AM83" s="1946"/>
      <c r="AN83" s="1946"/>
      <c r="AO83" s="1946"/>
      <c r="AP83" s="1946"/>
      <c r="AQ83" s="1946"/>
      <c r="AR83" s="1946"/>
      <c r="AS83" s="1946"/>
      <c r="AT83" s="1946"/>
      <c r="AU83" s="1946"/>
      <c r="AV83" s="1946"/>
      <c r="AW83" s="1946"/>
      <c r="AX83" s="1946"/>
      <c r="AY83" s="1946"/>
      <c r="AZ83" s="1946"/>
      <c r="BA83" s="1946"/>
      <c r="BB83" s="1946"/>
      <c r="BC83" s="1946"/>
      <c r="BD83" s="1946"/>
      <c r="BE83" s="1946"/>
      <c r="BF83" s="1946"/>
      <c r="BG83" s="1946"/>
      <c r="BH83" s="1946"/>
      <c r="BI83" s="1946"/>
      <c r="BJ83" s="1946"/>
      <c r="BK83" s="1946"/>
      <c r="BL83" s="1946"/>
      <c r="BM83" s="1946"/>
      <c r="BN83" s="2332"/>
      <c r="BO83" s="1946"/>
      <c r="BP83" s="2332"/>
      <c r="BQ83" s="2332"/>
      <c r="BR83" s="2346"/>
      <c r="BS83" s="2347"/>
      <c r="BT83" s="2347"/>
      <c r="BU83" s="2347"/>
      <c r="BV83" s="1942"/>
      <c r="BW83" s="1903"/>
      <c r="BX83" s="1903"/>
      <c r="BY83" s="1903"/>
      <c r="BZ83" s="1942"/>
      <c r="CA83" s="1903"/>
      <c r="CB83" s="1903"/>
      <c r="CC83" s="1903"/>
      <c r="CD83" s="1942"/>
      <c r="CE83" s="1903"/>
      <c r="CF83" s="1903"/>
      <c r="CG83" s="2236"/>
      <c r="CH83" s="1942"/>
      <c r="CI83" s="1903"/>
      <c r="CJ83" s="1903"/>
      <c r="CK83" s="2236"/>
      <c r="CL83" s="1942"/>
      <c r="CM83" s="1903"/>
      <c r="CN83" s="1903"/>
      <c r="CO83" s="1903"/>
      <c r="CP83" s="1942"/>
      <c r="CQ83" s="1903"/>
      <c r="CR83" s="1903"/>
      <c r="CS83" s="1903"/>
      <c r="CT83" s="1942"/>
      <c r="CU83" s="1903"/>
      <c r="CV83" s="1903"/>
      <c r="CW83" s="2236"/>
      <c r="CX83" s="1942"/>
      <c r="CY83" s="1903"/>
      <c r="CZ83" s="1903"/>
      <c r="DA83" s="1903"/>
      <c r="DB83" s="1942"/>
      <c r="DC83" s="1903"/>
      <c r="DD83" s="1903"/>
      <c r="DE83" s="1903"/>
      <c r="DF83" s="1942"/>
      <c r="DG83" s="1903"/>
      <c r="DH83" s="1903"/>
      <c r="DI83" s="1903"/>
      <c r="DJ83" s="1942"/>
      <c r="DK83" s="1903"/>
      <c r="DL83" s="1903"/>
      <c r="DM83" s="2236"/>
      <c r="DN83" s="1903"/>
      <c r="DO83" s="1903"/>
      <c r="DP83" s="1903"/>
      <c r="DQ83" s="2236"/>
      <c r="DR83" s="1903"/>
      <c r="DS83" s="1903"/>
      <c r="DT83" s="1903"/>
      <c r="DU83" s="2236"/>
      <c r="DV83" s="1903"/>
      <c r="DW83" s="1903"/>
      <c r="DX83" s="1903"/>
      <c r="DY83" s="2236"/>
      <c r="DZ83" s="1946"/>
    </row>
    <row r="84" spans="1:130" s="2960" customFormat="1" ht="15" customHeight="1" outlineLevel="1">
      <c r="A84" s="2336" t="s">
        <v>215</v>
      </c>
      <c r="B84" s="2162"/>
      <c r="C84" s="2162"/>
      <c r="D84" s="2162"/>
      <c r="E84" s="2162"/>
      <c r="F84" s="2162"/>
      <c r="G84" s="2162"/>
      <c r="H84" s="2162"/>
      <c r="I84" s="2162"/>
      <c r="J84" s="2162"/>
      <c r="K84" s="2162"/>
      <c r="L84" s="2337"/>
      <c r="M84" s="2162"/>
      <c r="N84" s="2162">
        <f>SUM(BZ84:CC84)</f>
        <v>11998</v>
      </c>
      <c r="O84" s="2162">
        <f>SUM(CD84:CG84)</f>
        <v>11527</v>
      </c>
      <c r="P84" s="2162">
        <f>SUM(CH84:CK84)</f>
        <v>11047</v>
      </c>
      <c r="Q84" s="2216">
        <f>SUM(CL84:CO84)</f>
        <v>9947</v>
      </c>
      <c r="R84" s="2216">
        <f>SUM(CP84:CS84)</f>
        <v>9372</v>
      </c>
      <c r="S84" s="2216">
        <f>SUM(CT84:CW84)</f>
        <v>9107</v>
      </c>
      <c r="T84" s="2216">
        <f>SUM(CX84:DA84)</f>
        <v>8880</v>
      </c>
      <c r="U84" s="2216">
        <f>SUM(DB84:DE84)</f>
        <v>8571</v>
      </c>
      <c r="V84" s="2162">
        <f>SUM(DF84:DI84)</f>
        <v>8180</v>
      </c>
      <c r="W84" s="2162">
        <f>SUM(DJ84:DM84)</f>
        <v>7989</v>
      </c>
      <c r="X84" s="2162">
        <f>SUM(DN84:DQ84)</f>
        <v>6765</v>
      </c>
      <c r="Y84" s="2162">
        <f>SUM(DR84:DU84)</f>
        <v>6327</v>
      </c>
      <c r="Z84" s="2162">
        <f>SUM(DV84:DY84)</f>
        <v>6040.7453800088078</v>
      </c>
      <c r="AA84" s="2216">
        <f>AA85*AA75</f>
        <v>5955.0642579730111</v>
      </c>
      <c r="AB84" s="2216">
        <f t="shared" ref="AB84:AG84" si="139">AB85*AB75</f>
        <v>5870.5142336560984</v>
      </c>
      <c r="AC84" s="2216">
        <f t="shared" si="139"/>
        <v>5790.5527467622733</v>
      </c>
      <c r="AD84" s="2216">
        <f t="shared" si="139"/>
        <v>5714.3810418921939</v>
      </c>
      <c r="AE84" s="2216">
        <f t="shared" si="139"/>
        <v>5641.3653010054695</v>
      </c>
      <c r="AF84" s="2216">
        <f t="shared" si="139"/>
        <v>5571.0033819884438</v>
      </c>
      <c r="AG84" s="2216">
        <f t="shared" si="139"/>
        <v>5502.8986931869176</v>
      </c>
      <c r="AH84" s="1955"/>
      <c r="AI84" s="2125">
        <f>(AA84/V84)^(1/5)-1</f>
        <v>-6.1516525431030478E-2</v>
      </c>
      <c r="AJ84" s="1955"/>
      <c r="AK84" s="2162"/>
      <c r="AL84" s="2162"/>
      <c r="AM84" s="2162"/>
      <c r="AN84" s="2162"/>
      <c r="AO84" s="2162"/>
      <c r="AP84" s="2162"/>
      <c r="AQ84" s="2162"/>
      <c r="AR84" s="2162"/>
      <c r="AS84" s="2162"/>
      <c r="AT84" s="2162"/>
      <c r="AU84" s="2162"/>
      <c r="AV84" s="2162"/>
      <c r="AW84" s="2162"/>
      <c r="AX84" s="2162"/>
      <c r="AY84" s="2162"/>
      <c r="AZ84" s="2162"/>
      <c r="BA84" s="2162"/>
      <c r="BB84" s="2162"/>
      <c r="BC84" s="2162"/>
      <c r="BD84" s="2162"/>
      <c r="BE84" s="2162"/>
      <c r="BF84" s="2162"/>
      <c r="BG84" s="2162"/>
      <c r="BH84" s="2162"/>
      <c r="BI84" s="2162"/>
      <c r="BJ84" s="2162"/>
      <c r="BK84" s="2162"/>
      <c r="BL84" s="2162"/>
      <c r="BM84" s="2162"/>
      <c r="BN84" s="2337"/>
      <c r="BO84" s="2162"/>
      <c r="BP84" s="2337"/>
      <c r="BQ84" s="2337"/>
      <c r="BR84" s="2351"/>
      <c r="BS84" s="2352"/>
      <c r="BT84" s="2352"/>
      <c r="BU84" s="2352"/>
      <c r="BV84" s="1937"/>
      <c r="BW84" s="2216"/>
      <c r="BX84" s="2216"/>
      <c r="BY84" s="2216"/>
      <c r="BZ84" s="1937">
        <f>NormInputs!BP198</f>
        <v>2998</v>
      </c>
      <c r="CA84" s="2216">
        <f>NormInputs!BQ198</f>
        <v>3025</v>
      </c>
      <c r="CB84" s="2216">
        <f>NormInputs!BR198</f>
        <v>3055</v>
      </c>
      <c r="CC84" s="2216">
        <f>NormInputs!BS198</f>
        <v>2920</v>
      </c>
      <c r="CD84" s="1937">
        <f>NormInputs!BT198</f>
        <v>2970</v>
      </c>
      <c r="CE84" s="2216">
        <f>NormInputs!BU198</f>
        <v>3051</v>
      </c>
      <c r="CF84" s="2216">
        <f>NormInputs!BV198</f>
        <v>2922</v>
      </c>
      <c r="CG84" s="2219">
        <f>NormInputs!BW198</f>
        <v>2584</v>
      </c>
      <c r="CH84" s="1937">
        <f>NormInputs!BX198</f>
        <v>2696</v>
      </c>
      <c r="CI84" s="2216">
        <f>NormInputs!BY198</f>
        <v>2808</v>
      </c>
      <c r="CJ84" s="2216">
        <f>NormInputs!BZ198</f>
        <v>2689</v>
      </c>
      <c r="CK84" s="2219">
        <f>NormInputs!CA198</f>
        <v>2854</v>
      </c>
      <c r="CL84" s="1937">
        <f>NormInputs!CB198</f>
        <v>2555</v>
      </c>
      <c r="CM84" s="2216">
        <f>NormInputs!CC198</f>
        <v>2517</v>
      </c>
      <c r="CN84" s="2216">
        <f>NormInputs!CD198</f>
        <v>2407</v>
      </c>
      <c r="CO84" s="2216">
        <f>NormInputs!CE198</f>
        <v>2468</v>
      </c>
      <c r="CP84" s="1937">
        <f>NormInputs!CF198</f>
        <v>2450</v>
      </c>
      <c r="CQ84" s="2216">
        <f>NormInputs!CG198</f>
        <v>2359</v>
      </c>
      <c r="CR84" s="2216">
        <f>NormInputs!CH198</f>
        <v>2296</v>
      </c>
      <c r="CS84" s="2216">
        <f>NormInputs!CI198</f>
        <v>2267</v>
      </c>
      <c r="CT84" s="1937">
        <f>NormInputs!CJ198</f>
        <v>2290</v>
      </c>
      <c r="CU84" s="2216">
        <f>NormInputs!CK198</f>
        <v>2308</v>
      </c>
      <c r="CV84" s="2216">
        <f>NormInputs!CL198</f>
        <v>2296</v>
      </c>
      <c r="CW84" s="2219">
        <f>NormInputs!CM198</f>
        <v>2213</v>
      </c>
      <c r="CX84" s="1937">
        <f>NormInputs!CN198</f>
        <v>2126</v>
      </c>
      <c r="CY84" s="2216">
        <f>NormInputs!CO198</f>
        <v>2141</v>
      </c>
      <c r="CZ84" s="2216">
        <f>NormInputs!CP198</f>
        <v>2303</v>
      </c>
      <c r="DA84" s="2216">
        <f>NormInputs!CQ198</f>
        <v>2310</v>
      </c>
      <c r="DB84" s="1937">
        <f>NormInputs!CR198</f>
        <v>2259</v>
      </c>
      <c r="DC84" s="2216">
        <f>NormInputs!CS198</f>
        <v>2164</v>
      </c>
      <c r="DD84" s="2216">
        <f>NormInputs!CT198</f>
        <v>2094</v>
      </c>
      <c r="DE84" s="2216">
        <f>NormInputs!CU198</f>
        <v>2054</v>
      </c>
      <c r="DF84" s="1937">
        <f>NormInputs!CV198</f>
        <v>2149</v>
      </c>
      <c r="DG84" s="2216">
        <f>NormInputs!CW198</f>
        <v>2031</v>
      </c>
      <c r="DH84" s="2216">
        <f>NormInputs!CX198</f>
        <v>2048</v>
      </c>
      <c r="DI84" s="2216">
        <f>NormInputs!CY198</f>
        <v>1952</v>
      </c>
      <c r="DJ84" s="2504">
        <f>NormInputs!CZ198</f>
        <v>2031</v>
      </c>
      <c r="DK84" s="2505">
        <f>NormInputs!DA198</f>
        <v>2007</v>
      </c>
      <c r="DL84" s="2505">
        <f>NormInputs!DB198</f>
        <v>1952</v>
      </c>
      <c r="DM84" s="2506">
        <f>NormInputs!DC198</f>
        <v>1999</v>
      </c>
      <c r="DN84" s="2505">
        <f>NormInputs!DD198</f>
        <v>1950</v>
      </c>
      <c r="DO84" s="2505">
        <f>NormInputs!DE198</f>
        <v>1617</v>
      </c>
      <c r="DP84" s="2505">
        <f>NormInputs!DF198</f>
        <v>1693</v>
      </c>
      <c r="DQ84" s="2506">
        <f>NormInputs!DG198</f>
        <v>1505</v>
      </c>
      <c r="DR84" s="2505">
        <f>NormInputs!DH198</f>
        <v>1611</v>
      </c>
      <c r="DS84" s="2505">
        <f>NormInputs!DI198</f>
        <v>1606</v>
      </c>
      <c r="DT84" s="2505">
        <f>NormInputs!DJ198</f>
        <v>1552</v>
      </c>
      <c r="DU84" s="2506">
        <f>NormInputs!DK198</f>
        <v>1558</v>
      </c>
      <c r="DV84" s="2505">
        <f>NormInputs!DL198</f>
        <v>1479</v>
      </c>
      <c r="DW84" s="2216">
        <f t="shared" ref="DW84:DY84" si="140">DW85*DW75</f>
        <v>1524.731409229438</v>
      </c>
      <c r="DX84" s="2216">
        <f t="shared" si="140"/>
        <v>1522.3231092390438</v>
      </c>
      <c r="DY84" s="2219">
        <f t="shared" si="140"/>
        <v>1514.6908615403265</v>
      </c>
      <c r="DZ84" s="2965"/>
    </row>
    <row r="85" spans="1:130" s="2959" customFormat="1" ht="15" customHeight="1" outlineLevel="1">
      <c r="A85" s="2290" t="s">
        <v>290</v>
      </c>
      <c r="B85" s="2291"/>
      <c r="C85" s="2291"/>
      <c r="D85" s="2291"/>
      <c r="E85" s="2291"/>
      <c r="F85" s="2291"/>
      <c r="G85" s="2291"/>
      <c r="H85" s="2291"/>
      <c r="I85" s="2291"/>
      <c r="J85" s="2291"/>
      <c r="K85" s="2291"/>
      <c r="L85" s="2353"/>
      <c r="M85" s="2291"/>
      <c r="N85" s="2291">
        <f t="shared" ref="N85:V85" si="141">N84/N75</f>
        <v>0.24236425339366516</v>
      </c>
      <c r="O85" s="2291">
        <f t="shared" si="141"/>
        <v>0.23462720592725275</v>
      </c>
      <c r="P85" s="2291">
        <f t="shared" si="141"/>
        <v>0.22912432073671549</v>
      </c>
      <c r="Q85" s="2293">
        <f t="shared" si="141"/>
        <v>0.23485939602861663</v>
      </c>
      <c r="R85" s="2356">
        <f t="shared" si="141"/>
        <v>0.22732675188590001</v>
      </c>
      <c r="S85" s="2356">
        <f t="shared" si="141"/>
        <v>0.22385821739344181</v>
      </c>
      <c r="T85" s="2356">
        <f t="shared" si="141"/>
        <v>0.22467930066037498</v>
      </c>
      <c r="U85" s="2356">
        <f t="shared" si="141"/>
        <v>0.22190865782932892</v>
      </c>
      <c r="V85" s="2357">
        <f t="shared" si="141"/>
        <v>0.21286007962736475</v>
      </c>
      <c r="W85" s="2357">
        <f>W84/W75</f>
        <v>0.22490920863714423</v>
      </c>
      <c r="X85" s="2357">
        <f>X84/X75</f>
        <v>0.21017802218286885</v>
      </c>
      <c r="Y85" s="2357">
        <f>Y84/Y75</f>
        <v>0.20438026940595019</v>
      </c>
      <c r="Z85" s="2357">
        <f>Z84/Z75</f>
        <v>0.20054578014982205</v>
      </c>
      <c r="AA85" s="2358">
        <f>Z85</f>
        <v>0.20054578014982205</v>
      </c>
      <c r="AB85" s="2358">
        <f t="shared" ref="AB85:AG85" si="142">AA85</f>
        <v>0.20054578014982205</v>
      </c>
      <c r="AC85" s="2358">
        <f t="shared" si="142"/>
        <v>0.20054578014982205</v>
      </c>
      <c r="AD85" s="2358">
        <f t="shared" si="142"/>
        <v>0.20054578014982205</v>
      </c>
      <c r="AE85" s="2358">
        <f t="shared" si="142"/>
        <v>0.20054578014982205</v>
      </c>
      <c r="AF85" s="2358">
        <f t="shared" si="142"/>
        <v>0.20054578014982205</v>
      </c>
      <c r="AG85" s="2358">
        <f t="shared" si="142"/>
        <v>0.20054578014982205</v>
      </c>
      <c r="AH85" s="1953"/>
      <c r="AI85" s="1953"/>
      <c r="AJ85" s="1953"/>
      <c r="AK85" s="2291"/>
      <c r="AL85" s="2291"/>
      <c r="AM85" s="2291"/>
      <c r="AN85" s="2291"/>
      <c r="AO85" s="2291"/>
      <c r="AP85" s="2291"/>
      <c r="AQ85" s="2291"/>
      <c r="AR85" s="2291"/>
      <c r="AS85" s="2291"/>
      <c r="AT85" s="2291"/>
      <c r="AU85" s="2291"/>
      <c r="AV85" s="2291"/>
      <c r="AW85" s="2291"/>
      <c r="AX85" s="2291"/>
      <c r="AY85" s="2291"/>
      <c r="AZ85" s="2291"/>
      <c r="BA85" s="2291"/>
      <c r="BB85" s="2291"/>
      <c r="BC85" s="2291"/>
      <c r="BD85" s="2291"/>
      <c r="BE85" s="2291"/>
      <c r="BF85" s="2291"/>
      <c r="BG85" s="2291"/>
      <c r="BH85" s="2291"/>
      <c r="BI85" s="2291"/>
      <c r="BJ85" s="2291"/>
      <c r="BK85" s="2291"/>
      <c r="BL85" s="2291"/>
      <c r="BM85" s="2291"/>
      <c r="BN85" s="2353"/>
      <c r="BO85" s="2291"/>
      <c r="BP85" s="2353"/>
      <c r="BQ85" s="2353"/>
      <c r="BR85" s="2354"/>
      <c r="BS85" s="2355"/>
      <c r="BT85" s="2355"/>
      <c r="BU85" s="2355"/>
      <c r="BV85" s="2359">
        <v>0.38</v>
      </c>
      <c r="BW85" s="2360">
        <f>BV85</f>
        <v>0.38</v>
      </c>
      <c r="BX85" s="2360">
        <f>BW85</f>
        <v>0.38</v>
      </c>
      <c r="BY85" s="2360">
        <f>BX85</f>
        <v>0.38</v>
      </c>
      <c r="BZ85" s="2294">
        <f t="shared" ref="BZ85:DF85" si="143">BZ84/BZ75</f>
        <v>0.24691154669741394</v>
      </c>
      <c r="CA85" s="2293">
        <f t="shared" si="143"/>
        <v>0.24283535361644057</v>
      </c>
      <c r="CB85" s="2293">
        <f t="shared" si="143"/>
        <v>0.24473283665785467</v>
      </c>
      <c r="CC85" s="2293">
        <f t="shared" si="143"/>
        <v>0.23506681693769119</v>
      </c>
      <c r="CD85" s="2294">
        <f t="shared" si="143"/>
        <v>0.2438824109049105</v>
      </c>
      <c r="CE85" s="2293">
        <f t="shared" si="143"/>
        <v>0.24744525547445256</v>
      </c>
      <c r="CF85" s="2293">
        <f t="shared" si="143"/>
        <v>0.2361784675072745</v>
      </c>
      <c r="CG85" s="2295">
        <f t="shared" si="143"/>
        <v>0.21095599640787002</v>
      </c>
      <c r="CH85" s="2294">
        <f t="shared" si="143"/>
        <v>0.22418094129386329</v>
      </c>
      <c r="CI85" s="2293">
        <f t="shared" si="143"/>
        <v>0.23181705605547759</v>
      </c>
      <c r="CJ85" s="2293">
        <f t="shared" si="143"/>
        <v>0.22117124527060372</v>
      </c>
      <c r="CK85" s="2295">
        <f t="shared" si="143"/>
        <v>0.23948980448099355</v>
      </c>
      <c r="CL85" s="2294">
        <f t="shared" si="143"/>
        <v>0.24236387782204516</v>
      </c>
      <c r="CM85" s="2293">
        <f t="shared" si="143"/>
        <v>0.2382845782448168</v>
      </c>
      <c r="CN85" s="2293">
        <f t="shared" si="143"/>
        <v>0.22564919846254805</v>
      </c>
      <c r="CO85" s="2293">
        <f t="shared" si="143"/>
        <v>0.23324827521028257</v>
      </c>
      <c r="CP85" s="2294">
        <f t="shared" si="143"/>
        <v>0.236144578313253</v>
      </c>
      <c r="CQ85" s="2293">
        <f t="shared" si="143"/>
        <v>0.22954169504719277</v>
      </c>
      <c r="CR85" s="2293">
        <f t="shared" si="143"/>
        <v>0.22321602177717287</v>
      </c>
      <c r="CS85" s="2293">
        <f t="shared" si="143"/>
        <v>0.22033239381864128</v>
      </c>
      <c r="CT85" s="2294">
        <f t="shared" si="143"/>
        <v>0.22568246772445058</v>
      </c>
      <c r="CU85" s="2293">
        <f t="shared" si="143"/>
        <v>0.22523665463062359</v>
      </c>
      <c r="CV85" s="2293">
        <f t="shared" si="143"/>
        <v>0.22622918514139323</v>
      </c>
      <c r="CW85" s="2295">
        <f t="shared" si="143"/>
        <v>0.21826610119341158</v>
      </c>
      <c r="CX85" s="2294">
        <f t="shared" si="143"/>
        <v>0.21377576671694318</v>
      </c>
      <c r="CY85" s="2293">
        <f t="shared" si="143"/>
        <v>0.21617528271405492</v>
      </c>
      <c r="CZ85" s="2293">
        <f t="shared" si="143"/>
        <v>0.23229776074238451</v>
      </c>
      <c r="DA85" s="2293">
        <f t="shared" si="143"/>
        <v>0.23668032786885246</v>
      </c>
      <c r="DB85" s="2294">
        <f t="shared" si="143"/>
        <v>0.23409326424870466</v>
      </c>
      <c r="DC85" s="2293">
        <f t="shared" si="143"/>
        <v>0.22529932326913066</v>
      </c>
      <c r="DD85" s="2293">
        <f t="shared" si="143"/>
        <v>0.21683752718235477</v>
      </c>
      <c r="DE85" s="2293">
        <f t="shared" si="143"/>
        <v>0.21149093904448105</v>
      </c>
      <c r="DF85" s="2294">
        <f t="shared" si="143"/>
        <v>0.22241771889877873</v>
      </c>
      <c r="DG85" s="2293">
        <f t="shared" ref="DG85:DL85" si="144">DG84/DG75</f>
        <v>0.21088152839788185</v>
      </c>
      <c r="DH85" s="2293">
        <f t="shared" si="144"/>
        <v>0.21386800334168754</v>
      </c>
      <c r="DI85" s="2293">
        <f t="shared" si="144"/>
        <v>0.20418410041841004</v>
      </c>
      <c r="DJ85" s="2294">
        <f t="shared" si="144"/>
        <v>0.22784384114875478</v>
      </c>
      <c r="DK85" s="2293">
        <f t="shared" si="144"/>
        <v>0.22611536728255971</v>
      </c>
      <c r="DL85" s="2293">
        <f t="shared" si="144"/>
        <v>0.22154125524912041</v>
      </c>
      <c r="DM85" s="2295">
        <f t="shared" ref="DM85:DR85" si="145">DM84/DM75</f>
        <v>0.22410313901345291</v>
      </c>
      <c r="DN85" s="2293">
        <f t="shared" si="145"/>
        <v>0.22247575584711923</v>
      </c>
      <c r="DO85" s="2293">
        <f t="shared" si="145"/>
        <v>0.2066981976223955</v>
      </c>
      <c r="DP85" s="2293">
        <f t="shared" si="145"/>
        <v>0.21741363811480674</v>
      </c>
      <c r="DQ85" s="2295">
        <f t="shared" si="145"/>
        <v>0.19265232974910393</v>
      </c>
      <c r="DR85" s="2293">
        <f t="shared" si="145"/>
        <v>0.20454545454545456</v>
      </c>
      <c r="DS85" s="2293">
        <f t="shared" ref="DS85:DT85" si="146">DS84/DS75</f>
        <v>0.20584465521661113</v>
      </c>
      <c r="DT85" s="2293">
        <f t="shared" si="146"/>
        <v>0.20255807883059254</v>
      </c>
      <c r="DU85" s="2295">
        <f t="shared" ref="DU85:DV85" si="147">DU84/DU75</f>
        <v>0.20454247078902454</v>
      </c>
      <c r="DV85" s="2293">
        <f t="shared" si="147"/>
        <v>0.19571258435887257</v>
      </c>
      <c r="DW85" s="2358">
        <f>+AVERAGE(DS85:DV85)</f>
        <v>0.2021644472987752</v>
      </c>
      <c r="DX85" s="2358">
        <f t="shared" ref="DX85:DY85" si="148">+DW85</f>
        <v>0.2021644472987752</v>
      </c>
      <c r="DY85" s="2361">
        <f t="shared" si="148"/>
        <v>0.2021644472987752</v>
      </c>
      <c r="DZ85" s="1958"/>
    </row>
    <row r="86" spans="1:130" s="1958" customFormat="1" ht="15" customHeight="1" outlineLevel="1">
      <c r="A86" s="2371"/>
      <c r="B86" s="1946"/>
      <c r="C86" s="1946"/>
      <c r="D86" s="1946"/>
      <c r="E86" s="1946"/>
      <c r="F86" s="1946"/>
      <c r="G86" s="1946"/>
      <c r="H86" s="1946"/>
      <c r="I86" s="1946"/>
      <c r="J86" s="1946"/>
      <c r="K86" s="1946"/>
      <c r="L86" s="2332"/>
      <c r="M86" s="1946"/>
      <c r="N86" s="1946"/>
      <c r="O86" s="1946"/>
      <c r="P86" s="1946"/>
      <c r="Q86" s="1903"/>
      <c r="R86" s="1903"/>
      <c r="S86" s="1903"/>
      <c r="T86" s="1903"/>
      <c r="U86" s="1903"/>
      <c r="V86" s="1946"/>
      <c r="W86" s="1946"/>
      <c r="X86" s="1946"/>
      <c r="Y86" s="1946"/>
      <c r="Z86" s="1946"/>
      <c r="AA86" s="1903"/>
      <c r="AB86" s="1903"/>
      <c r="AC86" s="1903"/>
      <c r="AD86" s="1903"/>
      <c r="AE86" s="1903"/>
      <c r="AF86" s="1903"/>
      <c r="AG86" s="1903"/>
      <c r="AH86" s="1947"/>
      <c r="AI86" s="1927"/>
      <c r="AJ86" s="1947"/>
      <c r="AK86" s="1946"/>
      <c r="AL86" s="1946"/>
      <c r="AM86" s="1946"/>
      <c r="AN86" s="1946"/>
      <c r="AO86" s="1946"/>
      <c r="AP86" s="1946"/>
      <c r="AQ86" s="1946"/>
      <c r="AR86" s="1946"/>
      <c r="AS86" s="1946"/>
      <c r="AT86" s="1946"/>
      <c r="AU86" s="1946"/>
      <c r="AV86" s="1946"/>
      <c r="AW86" s="1946"/>
      <c r="AX86" s="1946"/>
      <c r="AY86" s="1946"/>
      <c r="AZ86" s="1946"/>
      <c r="BA86" s="1946"/>
      <c r="BB86" s="1946"/>
      <c r="BC86" s="1946"/>
      <c r="BD86" s="1946"/>
      <c r="BE86" s="1946"/>
      <c r="BF86" s="1946"/>
      <c r="BG86" s="1946"/>
      <c r="BH86" s="1946"/>
      <c r="BI86" s="1946"/>
      <c r="BJ86" s="1946"/>
      <c r="BK86" s="1946"/>
      <c r="BL86" s="1946"/>
      <c r="BM86" s="1946"/>
      <c r="BN86" s="2332"/>
      <c r="BO86" s="1946"/>
      <c r="BP86" s="2332"/>
      <c r="BQ86" s="2332"/>
      <c r="BR86" s="2346"/>
      <c r="BS86" s="2347"/>
      <c r="BT86" s="2347"/>
      <c r="BU86" s="2347"/>
      <c r="BV86" s="1942"/>
      <c r="BW86" s="1903"/>
      <c r="BX86" s="1903"/>
      <c r="BY86" s="1903"/>
      <c r="BZ86" s="1942"/>
      <c r="CA86" s="1903"/>
      <c r="CB86" s="1903"/>
      <c r="CC86" s="1903"/>
      <c r="CD86" s="1942"/>
      <c r="CE86" s="1903"/>
      <c r="CF86" s="1903"/>
      <c r="CG86" s="2236"/>
      <c r="CH86" s="1942"/>
      <c r="CI86" s="1903"/>
      <c r="CJ86" s="1903"/>
      <c r="CK86" s="2236"/>
      <c r="CL86" s="1942"/>
      <c r="CM86" s="1903"/>
      <c r="CN86" s="1903"/>
      <c r="CO86" s="1903"/>
      <c r="CP86" s="1942"/>
      <c r="CQ86" s="1903"/>
      <c r="CR86" s="1903"/>
      <c r="CS86" s="1903"/>
      <c r="CT86" s="1942"/>
      <c r="CU86" s="1903"/>
      <c r="CV86" s="1903"/>
      <c r="CW86" s="2236"/>
      <c r="CX86" s="1942"/>
      <c r="CY86" s="1903"/>
      <c r="CZ86" s="1903"/>
      <c r="DA86" s="1903"/>
      <c r="DB86" s="1942"/>
      <c r="DC86" s="1903"/>
      <c r="DD86" s="1903"/>
      <c r="DE86" s="1903"/>
      <c r="DF86" s="1942"/>
      <c r="DG86" s="1903"/>
      <c r="DH86" s="1903"/>
      <c r="DI86" s="1903"/>
      <c r="DJ86" s="1942"/>
      <c r="DK86" s="1903"/>
      <c r="DL86" s="1903"/>
      <c r="DM86" s="2236"/>
      <c r="DN86" s="1903"/>
      <c r="DO86" s="1903"/>
      <c r="DP86" s="1903"/>
      <c r="DQ86" s="2236"/>
      <c r="DR86" s="1903"/>
      <c r="DS86" s="1903"/>
      <c r="DT86" s="1903"/>
      <c r="DU86" s="2236"/>
      <c r="DV86" s="1903"/>
      <c r="DW86" s="1903"/>
      <c r="DX86" s="1903"/>
      <c r="DY86" s="2236"/>
      <c r="DZ86" s="1946"/>
    </row>
    <row r="87" spans="1:130" s="2960" customFormat="1" ht="15" customHeight="1" outlineLevel="1">
      <c r="A87" s="2336" t="s">
        <v>961</v>
      </c>
      <c r="B87" s="2162"/>
      <c r="C87" s="2162"/>
      <c r="D87" s="2162"/>
      <c r="E87" s="2162"/>
      <c r="F87" s="2162"/>
      <c r="G87" s="2162"/>
      <c r="H87" s="2162"/>
      <c r="I87" s="2162"/>
      <c r="J87" s="2162"/>
      <c r="K87" s="2162"/>
      <c r="L87" s="2337"/>
      <c r="M87" s="2162"/>
      <c r="N87" s="2162">
        <f>SUM(BZ87:CC87)</f>
        <v>23806</v>
      </c>
      <c r="O87" s="2162">
        <f>SUM(CD87:CG87)</f>
        <v>24181</v>
      </c>
      <c r="P87" s="2162">
        <f>SUM(CH87:CK87)</f>
        <v>24274</v>
      </c>
      <c r="Q87" s="2216">
        <f>SUM(CL87:CO87)</f>
        <v>22693</v>
      </c>
      <c r="R87" s="2216">
        <f>SUM(CP87:CS87)</f>
        <v>22618</v>
      </c>
      <c r="S87" s="2216">
        <f>SUM(CT87:CW87)</f>
        <v>22158</v>
      </c>
      <c r="T87" s="2216">
        <f>SUM(CX87:DA87)</f>
        <v>22208</v>
      </c>
      <c r="U87" s="2216">
        <f>SUM(DB87:DE87)</f>
        <v>21396</v>
      </c>
      <c r="V87" s="2162">
        <f>SUM(DF87:DI87)</f>
        <v>21332</v>
      </c>
      <c r="W87" s="2162">
        <f>SUM(DJ87:DM87)</f>
        <v>20878</v>
      </c>
      <c r="X87" s="2162">
        <f>SUM(DN87:DQ87)</f>
        <v>19138</v>
      </c>
      <c r="Y87" s="2162">
        <f>SUM(DR87:DU87)</f>
        <v>18017</v>
      </c>
      <c r="Z87" s="2162">
        <f ca="1">SUM(DV87:DY87)</f>
        <v>17651.926936490585</v>
      </c>
      <c r="AA87" s="2216">
        <f ca="1">AA81-AA84-AA93</f>
        <v>17319.496295199562</v>
      </c>
      <c r="AB87" s="2216">
        <f t="shared" ref="AB87:AG87" ca="1" si="149">AB81-AB84-AB93</f>
        <v>17097.110859932789</v>
      </c>
      <c r="AC87" s="2216">
        <f t="shared" ca="1" si="149"/>
        <v>16881.860909259267</v>
      </c>
      <c r="AD87" s="2216">
        <f t="shared" ca="1" si="149"/>
        <v>16672.919345972841</v>
      </c>
      <c r="AE87" s="2216">
        <f t="shared" ca="1" si="149"/>
        <v>16469.634532182732</v>
      </c>
      <c r="AF87" s="2216">
        <f t="shared" ca="1" si="149"/>
        <v>16271.49123817898</v>
      </c>
      <c r="AG87" s="2216">
        <f t="shared" ca="1" si="149"/>
        <v>16078.080355913256</v>
      </c>
      <c r="AH87" s="1955"/>
      <c r="AI87" s="2125">
        <f ca="1">(AA87/V87)^(1/5)-1</f>
        <v>-4.0818626705442562E-2</v>
      </c>
      <c r="AJ87" s="1955"/>
      <c r="AK87" s="2162"/>
      <c r="AL87" s="2162"/>
      <c r="AM87" s="2162"/>
      <c r="AN87" s="2162"/>
      <c r="AO87" s="2162"/>
      <c r="AP87" s="2162"/>
      <c r="AQ87" s="2162"/>
      <c r="AR87" s="2162"/>
      <c r="AS87" s="2162"/>
      <c r="AT87" s="2162"/>
      <c r="AU87" s="2162"/>
      <c r="AV87" s="2162"/>
      <c r="AW87" s="2162"/>
      <c r="AX87" s="2162"/>
      <c r="AY87" s="2162"/>
      <c r="AZ87" s="2162"/>
      <c r="BA87" s="2162"/>
      <c r="BB87" s="2162"/>
      <c r="BC87" s="2162"/>
      <c r="BD87" s="2162"/>
      <c r="BE87" s="2162"/>
      <c r="BF87" s="2162"/>
      <c r="BG87" s="2162"/>
      <c r="BH87" s="2162"/>
      <c r="BI87" s="2162"/>
      <c r="BJ87" s="2162"/>
      <c r="BK87" s="2162"/>
      <c r="BL87" s="2162"/>
      <c r="BM87" s="2162"/>
      <c r="BN87" s="2337"/>
      <c r="BO87" s="2162"/>
      <c r="BP87" s="2337"/>
      <c r="BQ87" s="2337"/>
      <c r="BR87" s="2351"/>
      <c r="BS87" s="2352"/>
      <c r="BT87" s="2352"/>
      <c r="BU87" s="2352"/>
      <c r="BV87" s="1937"/>
      <c r="BW87" s="2216"/>
      <c r="BX87" s="2216"/>
      <c r="BY87" s="2216"/>
      <c r="BZ87" s="1937">
        <f>NormInputs!BP197</f>
        <v>5798</v>
      </c>
      <c r="CA87" s="2216">
        <f>NormInputs!BQ197</f>
        <v>5912</v>
      </c>
      <c r="CB87" s="2216">
        <f>NormInputs!BR197</f>
        <v>6055</v>
      </c>
      <c r="CC87" s="2216">
        <f>NormInputs!BS197</f>
        <v>6041</v>
      </c>
      <c r="CD87" s="1937">
        <f>NormInputs!BT197</f>
        <v>5922</v>
      </c>
      <c r="CE87" s="2216">
        <f>NormInputs!BU197</f>
        <v>5986</v>
      </c>
      <c r="CF87" s="2216">
        <f>NormInputs!BV197</f>
        <v>6085</v>
      </c>
      <c r="CG87" s="2219">
        <f>NormInputs!BW197</f>
        <v>6188</v>
      </c>
      <c r="CH87" s="1937">
        <f>NormInputs!BX197</f>
        <v>6081</v>
      </c>
      <c r="CI87" s="2216">
        <f>NormInputs!BY197</f>
        <v>5997</v>
      </c>
      <c r="CJ87" s="2216">
        <f>NormInputs!BZ197</f>
        <v>6155</v>
      </c>
      <c r="CK87" s="2219">
        <f>NormInputs!CA197</f>
        <v>6041</v>
      </c>
      <c r="CL87" s="1937">
        <f>NormInputs!CB197</f>
        <v>5542</v>
      </c>
      <c r="CM87" s="2216">
        <f>NormInputs!CC197</f>
        <v>5572</v>
      </c>
      <c r="CN87" s="2216">
        <f>NormInputs!CD197</f>
        <v>5851</v>
      </c>
      <c r="CO87" s="2216">
        <f>NormInputs!CE197</f>
        <v>5728</v>
      </c>
      <c r="CP87" s="1937">
        <f>NormInputs!CF197</f>
        <v>5741</v>
      </c>
      <c r="CQ87" s="2216">
        <f>NormInputs!CG197</f>
        <v>5611</v>
      </c>
      <c r="CR87" s="2216">
        <f>NormInputs!CH197</f>
        <v>5658</v>
      </c>
      <c r="CS87" s="2216">
        <f>NormInputs!CI197</f>
        <v>5608</v>
      </c>
      <c r="CT87" s="1937">
        <f>NormInputs!CJ197</f>
        <v>5462</v>
      </c>
      <c r="CU87" s="2216">
        <f>NormInputs!CK197</f>
        <v>5504</v>
      </c>
      <c r="CV87" s="2216">
        <f>NormInputs!CL197</f>
        <v>5681</v>
      </c>
      <c r="CW87" s="2219">
        <f>NormInputs!CM197</f>
        <v>5511</v>
      </c>
      <c r="CX87" s="1937">
        <f>NormInputs!CN197</f>
        <v>5572</v>
      </c>
      <c r="CY87" s="2216">
        <f>NormInputs!CO197</f>
        <v>5500</v>
      </c>
      <c r="CZ87" s="2216">
        <f>NormInputs!CP197</f>
        <v>5463</v>
      </c>
      <c r="DA87" s="2216">
        <f>NormInputs!CQ197</f>
        <v>5673</v>
      </c>
      <c r="DB87" s="1937">
        <f>NormInputs!CR197</f>
        <v>5293</v>
      </c>
      <c r="DC87" s="2216">
        <f>NormInputs!CS197</f>
        <v>5290</v>
      </c>
      <c r="DD87" s="2216">
        <f>NormInputs!CT197</f>
        <v>5342</v>
      </c>
      <c r="DE87" s="2216">
        <f>NormInputs!CU197</f>
        <v>5471</v>
      </c>
      <c r="DF87" s="1937">
        <f>NormInputs!CV197</f>
        <v>5339</v>
      </c>
      <c r="DG87" s="2216">
        <f>NormInputs!CW197</f>
        <v>5342</v>
      </c>
      <c r="DH87" s="2216">
        <f>NormInputs!CX197</f>
        <v>5325</v>
      </c>
      <c r="DI87" s="2216">
        <f>NormInputs!CY197</f>
        <v>5326</v>
      </c>
      <c r="DJ87" s="2504">
        <f>NormInputs!CZ197</f>
        <v>5287</v>
      </c>
      <c r="DK87" s="2505">
        <f>NormInputs!DA197</f>
        <v>5206</v>
      </c>
      <c r="DL87" s="2505">
        <f>NormInputs!DB197</f>
        <v>5203</v>
      </c>
      <c r="DM87" s="2506">
        <f>NormInputs!DC197</f>
        <v>5182</v>
      </c>
      <c r="DN87" s="2505">
        <f>NormInputs!DD197</f>
        <v>5163</v>
      </c>
      <c r="DO87" s="2505">
        <f>NormInputs!DE197</f>
        <v>5107</v>
      </c>
      <c r="DP87" s="2505">
        <f>NormInputs!DF197</f>
        <v>4440</v>
      </c>
      <c r="DQ87" s="2506">
        <f>NormInputs!DG197</f>
        <v>4428</v>
      </c>
      <c r="DR87" s="2505">
        <f>NormInputs!DH197</f>
        <v>4480</v>
      </c>
      <c r="DS87" s="2505">
        <f>NormInputs!DI197</f>
        <v>4576</v>
      </c>
      <c r="DT87" s="2505">
        <f>NormInputs!DJ197</f>
        <v>4496</v>
      </c>
      <c r="DU87" s="2506">
        <f>NormInputs!DK197</f>
        <v>4465</v>
      </c>
      <c r="DV87" s="2505">
        <f>NormInputs!DL197</f>
        <v>4475</v>
      </c>
      <c r="DW87" s="2216">
        <f t="shared" ref="DW87:DY87" ca="1" si="150">DW81-DW84-DW93</f>
        <v>4429.40171587433</v>
      </c>
      <c r="DX87" s="2216">
        <f t="shared" ca="1" si="150"/>
        <v>4367.9739419549824</v>
      </c>
      <c r="DY87" s="2219">
        <f t="shared" ca="1" si="150"/>
        <v>4379.5512786612726</v>
      </c>
      <c r="DZ87" s="2965"/>
    </row>
    <row r="88" spans="1:130" s="2959" customFormat="1" ht="15" customHeight="1" outlineLevel="1">
      <c r="A88" s="2290" t="s">
        <v>290</v>
      </c>
      <c r="B88" s="2291"/>
      <c r="C88" s="2291"/>
      <c r="D88" s="2291"/>
      <c r="E88" s="2291"/>
      <c r="F88" s="2291"/>
      <c r="G88" s="2291"/>
      <c r="H88" s="2291"/>
      <c r="I88" s="2291"/>
      <c r="J88" s="2291"/>
      <c r="K88" s="2291"/>
      <c r="L88" s="2353"/>
      <c r="M88" s="2291"/>
      <c r="N88" s="2291">
        <f t="shared" ref="N88:V88" si="151">N87/N75</f>
        <v>0.48089043309631546</v>
      </c>
      <c r="O88" s="2291">
        <f t="shared" si="151"/>
        <v>0.49219401982535771</v>
      </c>
      <c r="P88" s="2291">
        <f t="shared" si="151"/>
        <v>0.50346372422947694</v>
      </c>
      <c r="Q88" s="2293">
        <f t="shared" si="151"/>
        <v>0.53580620026916626</v>
      </c>
      <c r="R88" s="2293">
        <f t="shared" si="151"/>
        <v>0.5486210493123439</v>
      </c>
      <c r="S88" s="2293">
        <f t="shared" si="151"/>
        <v>0.54466348753748584</v>
      </c>
      <c r="T88" s="2293">
        <f t="shared" si="151"/>
        <v>0.56190066543531614</v>
      </c>
      <c r="U88" s="2293">
        <f t="shared" si="151"/>
        <v>0.55395608947804476</v>
      </c>
      <c r="V88" s="2291">
        <f t="shared" si="151"/>
        <v>0.55510161596710816</v>
      </c>
      <c r="W88" s="2291">
        <f>W87/W75</f>
        <v>0.58776498409391631</v>
      </c>
      <c r="X88" s="2291">
        <f>X87/X75</f>
        <v>0.59458787709323635</v>
      </c>
      <c r="Y88" s="2291">
        <f>Y87/Y75</f>
        <v>0.58200083987466489</v>
      </c>
      <c r="Z88" s="2291">
        <f ca="1">Z87/Z75</f>
        <v>0.5860236172743637</v>
      </c>
      <c r="AA88" s="2293">
        <f ca="1">AA87/AA75</f>
        <v>0.58326018760795217</v>
      </c>
      <c r="AB88" s="2293">
        <f t="shared" ref="AB88:AG88" ca="1" si="152">AB87/AB75</f>
        <v>0.58406355887119998</v>
      </c>
      <c r="AC88" s="2293">
        <f t="shared" ca="1" si="152"/>
        <v>0.58467405694926078</v>
      </c>
      <c r="AD88" s="2293">
        <f t="shared" ca="1" si="152"/>
        <v>0.5851348716686201</v>
      </c>
      <c r="AE88" s="2293">
        <f t="shared" ca="1" si="152"/>
        <v>0.58548162187801445</v>
      </c>
      <c r="AF88" s="2293">
        <f t="shared" ca="1" si="152"/>
        <v>0.58574347937245008</v>
      </c>
      <c r="AG88" s="2293">
        <f t="shared" ca="1" si="152"/>
        <v>0.58594412655283623</v>
      </c>
      <c r="AH88" s="1953"/>
      <c r="AI88" s="1953"/>
      <c r="AJ88" s="1953"/>
      <c r="AK88" s="2291"/>
      <c r="AL88" s="2291"/>
      <c r="AM88" s="2291"/>
      <c r="AN88" s="2291"/>
      <c r="AO88" s="2291"/>
      <c r="AP88" s="2291"/>
      <c r="AQ88" s="2291"/>
      <c r="AR88" s="2291"/>
      <c r="AS88" s="2291"/>
      <c r="AT88" s="2291"/>
      <c r="AU88" s="2291"/>
      <c r="AV88" s="2291"/>
      <c r="AW88" s="2291"/>
      <c r="AX88" s="2291"/>
      <c r="AY88" s="2291"/>
      <c r="AZ88" s="2291"/>
      <c r="BA88" s="2291"/>
      <c r="BB88" s="2291"/>
      <c r="BC88" s="2291"/>
      <c r="BD88" s="2291"/>
      <c r="BE88" s="2291"/>
      <c r="BF88" s="2291"/>
      <c r="BG88" s="2291"/>
      <c r="BH88" s="2291"/>
      <c r="BI88" s="2291"/>
      <c r="BJ88" s="2291"/>
      <c r="BK88" s="2291"/>
      <c r="BL88" s="2291"/>
      <c r="BM88" s="2291"/>
      <c r="BN88" s="2353"/>
      <c r="BO88" s="2291"/>
      <c r="BP88" s="2353"/>
      <c r="BQ88" s="2353"/>
      <c r="BR88" s="2354"/>
      <c r="BS88" s="2355"/>
      <c r="BT88" s="2355"/>
      <c r="BU88" s="2355"/>
      <c r="BV88" s="2294"/>
      <c r="BW88" s="2293"/>
      <c r="BX88" s="2293"/>
      <c r="BY88" s="2293"/>
      <c r="BZ88" s="2294">
        <f t="shared" ref="BZ88:DF88" si="153">BZ87/BZ75</f>
        <v>0.47751605995717344</v>
      </c>
      <c r="CA88" s="2293">
        <f t="shared" si="153"/>
        <v>0.47459259853897406</v>
      </c>
      <c r="CB88" s="2293">
        <f t="shared" si="153"/>
        <v>0.48505968116638626</v>
      </c>
      <c r="CC88" s="2293">
        <f t="shared" si="153"/>
        <v>0.48631460312349056</v>
      </c>
      <c r="CD88" s="2294">
        <f t="shared" si="153"/>
        <v>0.48628674659221549</v>
      </c>
      <c r="CE88" s="2293">
        <f t="shared" si="153"/>
        <v>0.48548256285482561</v>
      </c>
      <c r="CF88" s="2293">
        <f t="shared" si="153"/>
        <v>0.4918364047849984</v>
      </c>
      <c r="CG88" s="2295">
        <f t="shared" si="153"/>
        <v>0.50518409666095188</v>
      </c>
      <c r="CH88" s="2294">
        <f t="shared" si="153"/>
        <v>0.50565441543322798</v>
      </c>
      <c r="CI88" s="2293">
        <f t="shared" si="153"/>
        <v>0.49508792206720054</v>
      </c>
      <c r="CJ88" s="2293">
        <f t="shared" si="153"/>
        <v>0.50625102812962663</v>
      </c>
      <c r="CK88" s="2295">
        <f t="shared" si="153"/>
        <v>0.50692288327599233</v>
      </c>
      <c r="CL88" s="2294">
        <f t="shared" si="153"/>
        <v>0.52570669702143802</v>
      </c>
      <c r="CM88" s="2293">
        <f t="shared" si="153"/>
        <v>0.52750165672630878</v>
      </c>
      <c r="CN88" s="2293">
        <f t="shared" si="153"/>
        <v>0.5485141089340958</v>
      </c>
      <c r="CO88" s="2293">
        <f t="shared" si="153"/>
        <v>0.54134769870522637</v>
      </c>
      <c r="CP88" s="2294">
        <f t="shared" si="153"/>
        <v>0.55334939759036139</v>
      </c>
      <c r="CQ88" s="2293">
        <f t="shared" si="153"/>
        <v>0.54597645227206382</v>
      </c>
      <c r="CR88" s="2293">
        <f t="shared" si="153"/>
        <v>0.55006805366517597</v>
      </c>
      <c r="CS88" s="2293">
        <f t="shared" si="153"/>
        <v>0.54504810963164541</v>
      </c>
      <c r="CT88" s="2294">
        <f t="shared" si="153"/>
        <v>0.53828717847639695</v>
      </c>
      <c r="CU88" s="2293">
        <f t="shared" si="153"/>
        <v>0.53713281936176438</v>
      </c>
      <c r="CV88" s="2293">
        <f t="shared" si="153"/>
        <v>0.55975958222484978</v>
      </c>
      <c r="CW88" s="2295">
        <f t="shared" si="153"/>
        <v>0.54354472827695044</v>
      </c>
      <c r="CX88" s="2294">
        <f t="shared" si="153"/>
        <v>0.56028154851684264</v>
      </c>
      <c r="CY88" s="2293">
        <f t="shared" si="153"/>
        <v>0.55533117932148623</v>
      </c>
      <c r="CZ88" s="2293">
        <f t="shared" si="153"/>
        <v>0.55103893483962074</v>
      </c>
      <c r="DA88" s="2293">
        <f t="shared" si="153"/>
        <v>0.58125000000000004</v>
      </c>
      <c r="DB88" s="2294">
        <f t="shared" si="153"/>
        <v>0.54849740932642488</v>
      </c>
      <c r="DC88" s="2293">
        <f t="shared" si="153"/>
        <v>0.55075481520041647</v>
      </c>
      <c r="DD88" s="2293">
        <f t="shared" si="153"/>
        <v>0.55317386351869113</v>
      </c>
      <c r="DE88" s="2293">
        <f t="shared" si="153"/>
        <v>0.56332372322899504</v>
      </c>
      <c r="DF88" s="2294">
        <f t="shared" si="153"/>
        <v>0.55257710618919476</v>
      </c>
      <c r="DG88" s="2293">
        <f>DG87/DG75</f>
        <v>0.55466722043401517</v>
      </c>
      <c r="DH88" s="2293">
        <f>DH87/DH75</f>
        <v>0.55607769423558895</v>
      </c>
      <c r="DI88" s="2293">
        <f>DI87/DI75</f>
        <v>0.55711297071129706</v>
      </c>
      <c r="DJ88" s="2294">
        <f t="shared" ref="DJ88:DM88" si="154">DJ87/DJ75</f>
        <v>0.59311195871662559</v>
      </c>
      <c r="DK88" s="2293">
        <f t="shared" si="154"/>
        <v>0.58652546191978372</v>
      </c>
      <c r="DL88" s="2293">
        <f t="shared" si="154"/>
        <v>0.59051186017478152</v>
      </c>
      <c r="DM88" s="2295">
        <f t="shared" si="154"/>
        <v>0.58094170403587442</v>
      </c>
      <c r="DN88" s="2293">
        <f t="shared" ref="DN88:DO88" si="155">DN87/DN75</f>
        <v>0.58904734740444953</v>
      </c>
      <c r="DO88" s="2293">
        <f t="shared" si="155"/>
        <v>0.65281861178575995</v>
      </c>
      <c r="DP88" s="2293">
        <f t="shared" ref="DP88:DQ88" si="156">DP87/DP75</f>
        <v>0.57018107101579552</v>
      </c>
      <c r="DQ88" s="2295">
        <f t="shared" si="156"/>
        <v>0.56682027649769584</v>
      </c>
      <c r="DR88" s="2293">
        <f t="shared" ref="DR88:DS88" si="157">DR87/DR75</f>
        <v>0.56881665820213301</v>
      </c>
      <c r="DS88" s="2293">
        <f t="shared" si="157"/>
        <v>0.5865162778774673</v>
      </c>
      <c r="DT88" s="2293">
        <f t="shared" ref="DT88:DU88" si="158">DT87/DT75</f>
        <v>0.58679196032367531</v>
      </c>
      <c r="DU88" s="2295">
        <f t="shared" si="158"/>
        <v>0.58618878823683862</v>
      </c>
      <c r="DV88" s="2293">
        <f t="shared" ref="DV88" si="159">DV87/DV75</f>
        <v>0.59216620351991534</v>
      </c>
      <c r="DW88" s="2356">
        <f t="shared" ref="DW88:DY88" ca="1" si="160">DW87/DW75</f>
        <v>0.58729527334032416</v>
      </c>
      <c r="DX88" s="2356">
        <f t="shared" ca="1" si="160"/>
        <v>0.58006676272042323</v>
      </c>
      <c r="DY88" s="2362">
        <f t="shared" ca="1" si="160"/>
        <v>0.58453482895303521</v>
      </c>
      <c r="DZ88" s="1958"/>
    </row>
    <row r="89" spans="1:130" s="1958" customFormat="1" ht="15" customHeight="1" outlineLevel="1">
      <c r="A89" s="2371"/>
      <c r="B89" s="1946"/>
      <c r="C89" s="1946"/>
      <c r="D89" s="1946"/>
      <c r="E89" s="1946"/>
      <c r="F89" s="1946"/>
      <c r="G89" s="1946"/>
      <c r="H89" s="1946"/>
      <c r="I89" s="1946"/>
      <c r="J89" s="1946"/>
      <c r="K89" s="1946"/>
      <c r="L89" s="2332"/>
      <c r="M89" s="1946"/>
      <c r="N89" s="1946"/>
      <c r="O89" s="1946"/>
      <c r="P89" s="1946"/>
      <c r="Q89" s="1903"/>
      <c r="R89" s="1903"/>
      <c r="S89" s="1903"/>
      <c r="T89" s="1903"/>
      <c r="U89" s="1903"/>
      <c r="V89" s="1946"/>
      <c r="W89" s="1946"/>
      <c r="X89" s="1946"/>
      <c r="Y89" s="1946"/>
      <c r="Z89" s="1946"/>
      <c r="AA89" s="1903"/>
      <c r="AB89" s="1903"/>
      <c r="AC89" s="1903"/>
      <c r="AD89" s="1903"/>
      <c r="AE89" s="1903"/>
      <c r="AF89" s="1903"/>
      <c r="AG89" s="1903"/>
      <c r="AH89" s="1947"/>
      <c r="AI89" s="1927"/>
      <c r="AJ89" s="1947"/>
      <c r="AK89" s="1946"/>
      <c r="AL89" s="1946"/>
      <c r="AM89" s="1946"/>
      <c r="AN89" s="1946"/>
      <c r="AO89" s="1946"/>
      <c r="AP89" s="1946"/>
      <c r="AQ89" s="1946"/>
      <c r="AR89" s="1946"/>
      <c r="AS89" s="1946"/>
      <c r="AT89" s="1946"/>
      <c r="AU89" s="1946"/>
      <c r="AV89" s="1946"/>
      <c r="AW89" s="1946"/>
      <c r="AX89" s="1946"/>
      <c r="AY89" s="1946"/>
      <c r="AZ89" s="1946"/>
      <c r="BA89" s="1946"/>
      <c r="BB89" s="1946"/>
      <c r="BC89" s="1946"/>
      <c r="BD89" s="1946"/>
      <c r="BE89" s="1946"/>
      <c r="BF89" s="1946"/>
      <c r="BG89" s="1946"/>
      <c r="BH89" s="1946"/>
      <c r="BI89" s="1946"/>
      <c r="BJ89" s="1946"/>
      <c r="BK89" s="1946"/>
      <c r="BL89" s="1946"/>
      <c r="BM89" s="1946"/>
      <c r="BN89" s="2332"/>
      <c r="BO89" s="1946"/>
      <c r="BP89" s="2332"/>
      <c r="BQ89" s="2332"/>
      <c r="BR89" s="2346"/>
      <c r="BS89" s="2347"/>
      <c r="BT89" s="2347"/>
      <c r="BU89" s="2347"/>
      <c r="BV89" s="1942"/>
      <c r="BW89" s="1903"/>
      <c r="BX89" s="1903"/>
      <c r="BY89" s="1903"/>
      <c r="BZ89" s="1942"/>
      <c r="CA89" s="1903"/>
      <c r="CB89" s="1903"/>
      <c r="CC89" s="1903"/>
      <c r="CD89" s="1942"/>
      <c r="CE89" s="1903"/>
      <c r="CF89" s="1903"/>
      <c r="CG89" s="2236"/>
      <c r="CH89" s="1942"/>
      <c r="CI89" s="1903"/>
      <c r="CJ89" s="1903"/>
      <c r="CK89" s="2236"/>
      <c r="CL89" s="1942"/>
      <c r="CM89" s="1903"/>
      <c r="CN89" s="1903"/>
      <c r="CO89" s="1903"/>
      <c r="CP89" s="1942"/>
      <c r="CQ89" s="1903"/>
      <c r="CR89" s="1903"/>
      <c r="CS89" s="1903"/>
      <c r="CT89" s="1942"/>
      <c r="CU89" s="1903"/>
      <c r="CV89" s="1903"/>
      <c r="CW89" s="2236"/>
      <c r="CX89" s="1942"/>
      <c r="CY89" s="1903"/>
      <c r="CZ89" s="1903"/>
      <c r="DA89" s="1903"/>
      <c r="DB89" s="1942"/>
      <c r="DC89" s="1903"/>
      <c r="DD89" s="1903"/>
      <c r="DE89" s="1903"/>
      <c r="DF89" s="1942"/>
      <c r="DG89" s="1903"/>
      <c r="DH89" s="1903"/>
      <c r="DI89" s="1903"/>
      <c r="DJ89" s="1942"/>
      <c r="DK89" s="1903"/>
      <c r="DL89" s="1903"/>
      <c r="DM89" s="2236"/>
      <c r="DN89" s="1903"/>
      <c r="DO89" s="1903"/>
      <c r="DP89" s="1903"/>
      <c r="DQ89" s="2236"/>
      <c r="DR89" s="1903"/>
      <c r="DS89" s="1903"/>
      <c r="DT89" s="1903"/>
      <c r="DU89" s="2236"/>
      <c r="DV89" s="1903"/>
      <c r="DW89" s="1903"/>
      <c r="DX89" s="1903"/>
      <c r="DY89" s="2236"/>
      <c r="DZ89" s="1946"/>
    </row>
    <row r="90" spans="1:130" s="1958" customFormat="1" ht="15" customHeight="1" outlineLevel="1">
      <c r="A90" s="2371" t="s">
        <v>216</v>
      </c>
      <c r="B90" s="1946"/>
      <c r="C90" s="1946"/>
      <c r="D90" s="1946"/>
      <c r="E90" s="1946"/>
      <c r="F90" s="1946"/>
      <c r="G90" s="1946"/>
      <c r="H90" s="1946"/>
      <c r="I90" s="1946"/>
      <c r="J90" s="1946"/>
      <c r="K90" s="1946"/>
      <c r="L90" s="2332"/>
      <c r="M90" s="1946"/>
      <c r="N90" s="1946"/>
      <c r="O90" s="1946"/>
      <c r="P90" s="1946"/>
      <c r="Q90" s="1903"/>
      <c r="R90" s="1903"/>
      <c r="S90" s="1903"/>
      <c r="T90" s="1903"/>
      <c r="U90" s="1903"/>
      <c r="V90" s="1946"/>
      <c r="W90" s="1946"/>
      <c r="X90" s="1946"/>
      <c r="Y90" s="1946"/>
      <c r="Z90" s="1946"/>
      <c r="AA90" s="1903"/>
      <c r="AB90" s="1903"/>
      <c r="AC90" s="1903"/>
      <c r="AD90" s="1903"/>
      <c r="AE90" s="1903"/>
      <c r="AF90" s="1903"/>
      <c r="AG90" s="1903"/>
      <c r="AH90" s="1947"/>
      <c r="AI90" s="1927"/>
      <c r="AJ90" s="1947"/>
      <c r="AK90" s="1946"/>
      <c r="AL90" s="1946"/>
      <c r="AM90" s="1946"/>
      <c r="AN90" s="1946"/>
      <c r="AO90" s="1946"/>
      <c r="AP90" s="1946"/>
      <c r="AQ90" s="1946"/>
      <c r="AR90" s="1946"/>
      <c r="AS90" s="1946"/>
      <c r="AT90" s="1946"/>
      <c r="AU90" s="1946"/>
      <c r="AV90" s="1946"/>
      <c r="AW90" s="1946"/>
      <c r="AX90" s="1946"/>
      <c r="AY90" s="1946"/>
      <c r="AZ90" s="1946"/>
      <c r="BA90" s="1946"/>
      <c r="BB90" s="1946"/>
      <c r="BC90" s="1946"/>
      <c r="BD90" s="1946"/>
      <c r="BE90" s="1946"/>
      <c r="BF90" s="1946"/>
      <c r="BG90" s="1946"/>
      <c r="BH90" s="1946"/>
      <c r="BI90" s="1946"/>
      <c r="BJ90" s="1946"/>
      <c r="BK90" s="1946"/>
      <c r="BL90" s="1946"/>
      <c r="BM90" s="1946"/>
      <c r="BN90" s="2332"/>
      <c r="BO90" s="1946"/>
      <c r="BP90" s="2332"/>
      <c r="BQ90" s="2332"/>
      <c r="BR90" s="2346"/>
      <c r="BS90" s="2347"/>
      <c r="BT90" s="2347"/>
      <c r="BU90" s="2347"/>
      <c r="BV90" s="3484" t="s">
        <v>212</v>
      </c>
      <c r="BW90" s="3484"/>
      <c r="BX90" s="3484"/>
      <c r="BY90" s="3484"/>
      <c r="BZ90" s="1942"/>
      <c r="CA90" s="1903"/>
      <c r="CB90" s="1903"/>
      <c r="CC90" s="1903"/>
      <c r="CD90" s="1942"/>
      <c r="CE90" s="1903"/>
      <c r="CF90" s="1903"/>
      <c r="CG90" s="2236"/>
      <c r="CH90" s="1942"/>
      <c r="CI90" s="1903"/>
      <c r="CJ90" s="1903"/>
      <c r="CK90" s="2236"/>
      <c r="CL90" s="1942"/>
      <c r="CM90" s="1903"/>
      <c r="CN90" s="1903"/>
      <c r="CO90" s="1903"/>
      <c r="CP90" s="1942"/>
      <c r="CQ90" s="1903"/>
      <c r="CR90" s="1903"/>
      <c r="CS90" s="1903"/>
      <c r="CT90" s="1942"/>
      <c r="CU90" s="1903"/>
      <c r="CV90" s="1903"/>
      <c r="CW90" s="2236"/>
      <c r="CX90" s="1942"/>
      <c r="CY90" s="1903"/>
      <c r="CZ90" s="1903"/>
      <c r="DA90" s="1903"/>
      <c r="DB90" s="1942"/>
      <c r="DC90" s="1903"/>
      <c r="DD90" s="1903"/>
      <c r="DE90" s="1903"/>
      <c r="DF90" s="1942"/>
      <c r="DG90" s="1903"/>
      <c r="DH90" s="1903"/>
      <c r="DI90" s="1903"/>
      <c r="DJ90" s="1942"/>
      <c r="DK90" s="1903"/>
      <c r="DL90" s="1903"/>
      <c r="DM90" s="2236"/>
      <c r="DN90" s="1903"/>
      <c r="DO90" s="1903"/>
      <c r="DP90" s="1903"/>
      <c r="DQ90" s="2236"/>
      <c r="DR90" s="1903"/>
      <c r="DS90" s="1903"/>
      <c r="DT90" s="1903"/>
      <c r="DU90" s="2236"/>
      <c r="DV90" s="1903"/>
      <c r="DW90" s="1903"/>
      <c r="DX90" s="1903"/>
      <c r="DY90" s="2236"/>
      <c r="DZ90" s="1946"/>
    </row>
    <row r="91" spans="1:130" s="1958" customFormat="1" ht="15" customHeight="1" outlineLevel="1">
      <c r="A91" s="2371" t="s">
        <v>217</v>
      </c>
      <c r="B91" s="1946"/>
      <c r="C91" s="1946"/>
      <c r="D91" s="1946"/>
      <c r="E91" s="1946"/>
      <c r="F91" s="1946"/>
      <c r="G91" s="1946"/>
      <c r="H91" s="1946"/>
      <c r="I91" s="1946"/>
      <c r="J91" s="1946"/>
      <c r="K91" s="1946"/>
      <c r="L91" s="2332"/>
      <c r="M91" s="1946"/>
      <c r="N91" s="1946"/>
      <c r="O91" s="1946"/>
      <c r="P91" s="1946"/>
      <c r="Q91" s="1903"/>
      <c r="R91" s="1903"/>
      <c r="S91" s="1903"/>
      <c r="T91" s="1903"/>
      <c r="U91" s="1903"/>
      <c r="V91" s="1946"/>
      <c r="W91" s="1946"/>
      <c r="X91" s="1946"/>
      <c r="Y91" s="1946"/>
      <c r="Z91" s="1946"/>
      <c r="AA91" s="1903"/>
      <c r="AB91" s="1903"/>
      <c r="AC91" s="1903"/>
      <c r="AD91" s="1903"/>
      <c r="AE91" s="1903"/>
      <c r="AF91" s="1903"/>
      <c r="AG91" s="1903"/>
      <c r="AH91" s="1947"/>
      <c r="AI91" s="1927"/>
      <c r="AJ91" s="1947"/>
      <c r="AK91" s="1946"/>
      <c r="AL91" s="1946"/>
      <c r="AM91" s="1946"/>
      <c r="AN91" s="1946"/>
      <c r="AO91" s="1946"/>
      <c r="AP91" s="1946"/>
      <c r="AQ91" s="1946"/>
      <c r="AR91" s="1946"/>
      <c r="AS91" s="1946"/>
      <c r="AT91" s="1946"/>
      <c r="AU91" s="1946"/>
      <c r="AV91" s="1946"/>
      <c r="AW91" s="1946"/>
      <c r="AX91" s="1946"/>
      <c r="AY91" s="1946"/>
      <c r="AZ91" s="1946"/>
      <c r="BA91" s="1946"/>
      <c r="BB91" s="1946"/>
      <c r="BC91" s="1946"/>
      <c r="BD91" s="1946"/>
      <c r="BE91" s="1946"/>
      <c r="BF91" s="1946"/>
      <c r="BG91" s="1946"/>
      <c r="BH91" s="1946"/>
      <c r="BI91" s="1946"/>
      <c r="BJ91" s="1946"/>
      <c r="BK91" s="1946"/>
      <c r="BL91" s="1946"/>
      <c r="BM91" s="1946"/>
      <c r="BN91" s="2332"/>
      <c r="BO91" s="1946"/>
      <c r="BP91" s="2332"/>
      <c r="BQ91" s="2332"/>
      <c r="BR91" s="2346"/>
      <c r="BS91" s="2347"/>
      <c r="BT91" s="2347"/>
      <c r="BU91" s="2347"/>
      <c r="BV91" s="2202">
        <f>IS!BS48</f>
        <v>3671</v>
      </c>
      <c r="BW91" s="2200">
        <f>IS!BT48</f>
        <v>3705</v>
      </c>
      <c r="BX91" s="2200">
        <f>IS!BU48</f>
        <v>3728</v>
      </c>
      <c r="BY91" s="2200">
        <f>IS!BV48</f>
        <v>3784</v>
      </c>
      <c r="BZ91" s="2202">
        <f>IS!BW48</f>
        <v>3599</v>
      </c>
      <c r="CA91" s="2200">
        <f>IS!BX48</f>
        <v>3539</v>
      </c>
      <c r="CB91" s="2200">
        <f>IS!BY48</f>
        <v>3537</v>
      </c>
      <c r="CC91" s="2200">
        <f>IS!BZ48</f>
        <v>3589</v>
      </c>
      <c r="CD91" s="2202">
        <f>IS!CA48</f>
        <v>3469</v>
      </c>
      <c r="CE91" s="2200">
        <f>IS!CB48</f>
        <v>3509</v>
      </c>
      <c r="CF91" s="2200">
        <f>IS!CC48</f>
        <v>3540</v>
      </c>
      <c r="CG91" s="2203">
        <f>IS!CD48</f>
        <v>3602</v>
      </c>
      <c r="CH91" s="2202">
        <f>IS!CE48</f>
        <v>3522</v>
      </c>
      <c r="CI91" s="2200">
        <f>IS!CF48</f>
        <v>3584</v>
      </c>
      <c r="CJ91" s="2200">
        <f>IS!CG48</f>
        <v>3652</v>
      </c>
      <c r="CK91" s="2236">
        <f>IS!CH48</f>
        <v>3747</v>
      </c>
      <c r="CL91" s="1942">
        <f>IS!CI48</f>
        <v>3766</v>
      </c>
      <c r="CM91" s="2200">
        <f>IS!CJ48</f>
        <v>3780</v>
      </c>
      <c r="CN91" s="2200">
        <f>IS!CK48</f>
        <v>3849</v>
      </c>
      <c r="CO91" s="2200">
        <f>IS!CL48</f>
        <v>3938</v>
      </c>
      <c r="CP91" s="2202">
        <f>IS!CM48</f>
        <v>3889</v>
      </c>
      <c r="CQ91" s="2200">
        <f>IS!CN48</f>
        <v>3944</v>
      </c>
      <c r="CR91" s="2200">
        <f>IS!CO48</f>
        <v>3998</v>
      </c>
      <c r="CS91" s="2200">
        <f>IS!CP48</f>
        <v>4059</v>
      </c>
      <c r="CT91" s="2202">
        <f>IS!CQ48</f>
        <v>4024</v>
      </c>
      <c r="CU91" s="2200">
        <f>IS!CR48</f>
        <v>4113</v>
      </c>
      <c r="CV91" s="2200">
        <f>IS!CS48</f>
        <v>4179</v>
      </c>
      <c r="CW91" s="2203">
        <f>IS!CT48</f>
        <v>4180</v>
      </c>
      <c r="CX91" s="2202">
        <f>IS!CU48</f>
        <v>4028</v>
      </c>
      <c r="CY91" s="2200">
        <f>IS!CV48</f>
        <v>4128</v>
      </c>
      <c r="CZ91" s="2200">
        <f>IS!CW48</f>
        <v>4167</v>
      </c>
      <c r="DA91" s="2200">
        <f>IS!CX48</f>
        <v>4137</v>
      </c>
      <c r="DB91" s="2202">
        <f>IS!CY48</f>
        <v>4118</v>
      </c>
      <c r="DC91" s="2200">
        <f>IS!CZ48</f>
        <v>4151</v>
      </c>
      <c r="DD91" s="2200">
        <f>IS!DA48</f>
        <v>4154</v>
      </c>
      <c r="DE91" s="2200">
        <f>IS!DB48</f>
        <v>4183</v>
      </c>
      <c r="DF91" s="2202">
        <f>IS!DC48</f>
        <v>4137</v>
      </c>
      <c r="DG91" s="2200">
        <f>IS!DD48</f>
        <v>4161</v>
      </c>
      <c r="DH91" s="2200">
        <f>IS!DE48</f>
        <v>4167</v>
      </c>
      <c r="DI91" s="2200">
        <f>IS!DF48</f>
        <v>4068</v>
      </c>
      <c r="DJ91" s="2976">
        <f>IS!DG48</f>
        <v>3989</v>
      </c>
      <c r="DK91" s="2974">
        <f>IS!DH48</f>
        <v>3980</v>
      </c>
      <c r="DL91" s="2974">
        <f>IS!DI48</f>
        <v>4009</v>
      </c>
      <c r="DM91" s="2975">
        <f>IS!DJ48</f>
        <v>4039</v>
      </c>
      <c r="DN91" s="2974">
        <f>IS!DK48</f>
        <v>4017</v>
      </c>
      <c r="DO91" s="2974">
        <f>IS!DL48</f>
        <v>3982</v>
      </c>
      <c r="DP91" s="2974">
        <f>IS!DM48</f>
        <v>3942</v>
      </c>
      <c r="DQ91" s="2975">
        <f>IS!DN48</f>
        <v>3987</v>
      </c>
      <c r="DR91" s="2974">
        <f>IS!DO48</f>
        <v>4059</v>
      </c>
      <c r="DS91" s="2974">
        <f>IS!DP48</f>
        <v>4167</v>
      </c>
      <c r="DT91" s="2974">
        <f>IS!DQ48</f>
        <v>4272</v>
      </c>
      <c r="DU91" s="2975">
        <f>IS!DR48</f>
        <v>4456</v>
      </c>
      <c r="DV91" s="2974">
        <f>IS!DS48</f>
        <v>4324</v>
      </c>
      <c r="DW91" s="1903"/>
      <c r="DX91" s="1903"/>
      <c r="DY91" s="2236"/>
      <c r="DZ91" s="1946"/>
    </row>
    <row r="92" spans="1:130" s="1958" customFormat="1" ht="15" customHeight="1" outlineLevel="1">
      <c r="A92" s="2371" t="s">
        <v>214</v>
      </c>
      <c r="B92" s="1946"/>
      <c r="C92" s="1946"/>
      <c r="D92" s="1946"/>
      <c r="E92" s="1946"/>
      <c r="F92" s="1946"/>
      <c r="G92" s="1946"/>
      <c r="H92" s="1946"/>
      <c r="I92" s="1946"/>
      <c r="J92" s="1946"/>
      <c r="K92" s="1946"/>
      <c r="L92" s="2332"/>
      <c r="M92" s="1946"/>
      <c r="N92" s="1946"/>
      <c r="O92" s="1946"/>
      <c r="P92" s="1946"/>
      <c r="Q92" s="1903"/>
      <c r="R92" s="1903"/>
      <c r="S92" s="1903"/>
      <c r="T92" s="1903"/>
      <c r="U92" s="1903"/>
      <c r="V92" s="1946"/>
      <c r="W92" s="1946"/>
      <c r="X92" s="1946"/>
      <c r="Y92" s="1946"/>
      <c r="Z92" s="1946"/>
      <c r="AA92" s="1903"/>
      <c r="AB92" s="1903"/>
      <c r="AC92" s="1903"/>
      <c r="AD92" s="1903"/>
      <c r="AE92" s="1903"/>
      <c r="AF92" s="1903"/>
      <c r="AG92" s="1903"/>
      <c r="AH92" s="1947"/>
      <c r="AI92" s="1927"/>
      <c r="AJ92" s="1947"/>
      <c r="AK92" s="1946"/>
      <c r="AL92" s="1946"/>
      <c r="AM92" s="1946"/>
      <c r="AN92" s="1946"/>
      <c r="AO92" s="1946"/>
      <c r="AP92" s="1946"/>
      <c r="AQ92" s="1946"/>
      <c r="AR92" s="1946"/>
      <c r="AS92" s="1946"/>
      <c r="AT92" s="1946"/>
      <c r="AU92" s="1946"/>
      <c r="AV92" s="1946"/>
      <c r="AW92" s="1946"/>
      <c r="AX92" s="1946"/>
      <c r="AY92" s="1946"/>
      <c r="AZ92" s="1946"/>
      <c r="BA92" s="1946"/>
      <c r="BB92" s="1946"/>
      <c r="BC92" s="1946"/>
      <c r="BD92" s="1946"/>
      <c r="BE92" s="1946"/>
      <c r="BF92" s="1946"/>
      <c r="BG92" s="1946"/>
      <c r="BH92" s="1946"/>
      <c r="BI92" s="1946"/>
      <c r="BJ92" s="1946"/>
      <c r="BK92" s="1946"/>
      <c r="BL92" s="1946"/>
      <c r="BM92" s="1946"/>
      <c r="BN92" s="2332"/>
      <c r="BO92" s="1946"/>
      <c r="BP92" s="2332"/>
      <c r="BQ92" s="2332"/>
      <c r="BR92" s="2346"/>
      <c r="BS92" s="2347"/>
      <c r="BT92" s="2347"/>
      <c r="BU92" s="2347"/>
      <c r="BV92" s="2202">
        <v>-1173</v>
      </c>
      <c r="BW92" s="2200">
        <v>-1198</v>
      </c>
      <c r="BX92" s="2200">
        <v>-1222</v>
      </c>
      <c r="BY92" s="2200">
        <v>-1259</v>
      </c>
      <c r="BZ92" s="2202">
        <v>-1286</v>
      </c>
      <c r="CA92" s="2200">
        <v>-1200</v>
      </c>
      <c r="CB92" s="2200">
        <v>-1229</v>
      </c>
      <c r="CC92" s="2200">
        <v>-1240</v>
      </c>
      <c r="CD92" s="2202">
        <v>-1266</v>
      </c>
      <c r="CE92" s="2200">
        <v>-1303</v>
      </c>
      <c r="CF92" s="2200">
        <v>-1310</v>
      </c>
      <c r="CG92" s="2203">
        <v>-1314</v>
      </c>
      <c r="CH92" s="2202">
        <v>-1313</v>
      </c>
      <c r="CI92" s="2200">
        <v>-1339</v>
      </c>
      <c r="CJ92" s="2200">
        <v>-1384</v>
      </c>
      <c r="CK92" s="2203">
        <v>-1438</v>
      </c>
      <c r="CL92" s="2202">
        <v>-1768</v>
      </c>
      <c r="CM92" s="2200">
        <v>-1741</v>
      </c>
      <c r="CN92" s="2200">
        <v>-1774</v>
      </c>
      <c r="CO92" s="2200">
        <v>-1812</v>
      </c>
      <c r="CP92" s="2202">
        <v>-1826</v>
      </c>
      <c r="CQ92" s="2200">
        <v>-1844</v>
      </c>
      <c r="CR92" s="2200">
        <v>-1853</v>
      </c>
      <c r="CS92" s="2200">
        <v>-1898</v>
      </c>
      <c r="CT92" s="2202">
        <v>-1917</v>
      </c>
      <c r="CU92" s="2200">
        <v>-1996</v>
      </c>
      <c r="CV92" s="2200">
        <v>-2060</v>
      </c>
      <c r="CW92" s="2203">
        <v>-2065</v>
      </c>
      <c r="CX92" s="2202">
        <v>-1938</v>
      </c>
      <c r="CY92" s="2200">
        <v>-2026</v>
      </c>
      <c r="CZ92" s="2200">
        <v>-2060</v>
      </c>
      <c r="DA92" s="2200">
        <v>-2012</v>
      </c>
      <c r="DB92" s="2202">
        <v>-2023</v>
      </c>
      <c r="DC92" s="2200">
        <v>-2066</v>
      </c>
      <c r="DD92" s="2200">
        <v>-2080</v>
      </c>
      <c r="DE92" s="2200">
        <v>-2110</v>
      </c>
      <c r="DF92" s="2202">
        <v>-2104</v>
      </c>
      <c r="DG92" s="2200">
        <v>-2156</v>
      </c>
      <c r="DH92" s="2200">
        <v>-2189</v>
      </c>
      <c r="DI92" s="2200">
        <v>-2202</v>
      </c>
      <c r="DJ92" s="2976">
        <v>-2243</v>
      </c>
      <c r="DK92" s="2974">
        <v>-2274</v>
      </c>
      <c r="DL92" s="2974">
        <v>-2386</v>
      </c>
      <c r="DM92" s="2975">
        <v>-2436</v>
      </c>
      <c r="DN92" s="2974">
        <v>-2429</v>
      </c>
      <c r="DO92" s="2974">
        <v>-2420</v>
      </c>
      <c r="DP92" s="2974">
        <v>-2444</v>
      </c>
      <c r="DQ92" s="2975">
        <v>-2522</v>
      </c>
      <c r="DR92" s="2974">
        <v>-2567</v>
      </c>
      <c r="DS92" s="2974">
        <v>-2615</v>
      </c>
      <c r="DT92" s="2974">
        <v>-2723</v>
      </c>
      <c r="DU92" s="2975">
        <v>-2924</v>
      </c>
      <c r="DV92" s="2974">
        <v>-2790</v>
      </c>
      <c r="DW92" s="1903"/>
      <c r="DX92" s="1903"/>
      <c r="DY92" s="2236"/>
      <c r="DZ92" s="1946"/>
    </row>
    <row r="93" spans="1:130" s="2960" customFormat="1" ht="15" customHeight="1" outlineLevel="1">
      <c r="A93" s="2336" t="s">
        <v>216</v>
      </c>
      <c r="B93" s="2162"/>
      <c r="C93" s="2162"/>
      <c r="D93" s="2162"/>
      <c r="E93" s="2162"/>
      <c r="F93" s="2162"/>
      <c r="G93" s="2162"/>
      <c r="H93" s="2162"/>
      <c r="I93" s="2162"/>
      <c r="J93" s="2162"/>
      <c r="K93" s="2162"/>
      <c r="L93" s="2337"/>
      <c r="M93" s="2162"/>
      <c r="N93" s="2162">
        <f>SUM(BZ93:CC93)</f>
        <v>9309</v>
      </c>
      <c r="O93" s="2162">
        <f>SUM(CD93:CG93)</f>
        <v>8927</v>
      </c>
      <c r="P93" s="2162">
        <f>SUM(CH93:CK93)</f>
        <v>9031</v>
      </c>
      <c r="Q93" s="2216">
        <f>SUM(CL93:CO93)</f>
        <v>8238</v>
      </c>
      <c r="R93" s="2216">
        <f>SUM(CP93:CS93)</f>
        <v>8469</v>
      </c>
      <c r="S93" s="2216">
        <f>SUM(CT93:CW93)</f>
        <v>8458</v>
      </c>
      <c r="T93" s="2216">
        <f>SUM(CX93:DA93)</f>
        <v>8424</v>
      </c>
      <c r="U93" s="2216">
        <f>SUM(DB93:DE93)</f>
        <v>8327</v>
      </c>
      <c r="V93" s="2162">
        <f>SUM(DF93:DI93)</f>
        <v>7882</v>
      </c>
      <c r="W93" s="2162">
        <f>SUM(DJ93:DM93)</f>
        <v>6678</v>
      </c>
      <c r="X93" s="2162">
        <f>SUM(DN93:DQ93)</f>
        <v>6113</v>
      </c>
      <c r="Y93" s="2162">
        <f>SUM(DR93:DU93)</f>
        <v>6125</v>
      </c>
      <c r="Z93" s="2162">
        <f ca="1">SUM(DV93:DY93)</f>
        <v>6177.9413185508929</v>
      </c>
      <c r="AA93" s="2216">
        <f ca="1">Capex!AA40+AA94</f>
        <v>6101.7460196771408</v>
      </c>
      <c r="AB93" s="2216">
        <f ca="1">Capex!AB40+AB94</f>
        <v>6005.4023993674818</v>
      </c>
      <c r="AC93" s="2216">
        <f ca="1">Capex!AC40+AC94</f>
        <v>5910.7163465240037</v>
      </c>
      <c r="AD93" s="2216">
        <f ca="1">Capex!AD40+AD94</f>
        <v>5817.7431507836745</v>
      </c>
      <c r="AE93" s="2216">
        <f ca="1">Capex!AE40+AE94</f>
        <v>5726.5178581630253</v>
      </c>
      <c r="AF93" s="2216">
        <f ca="1">Capex!AF40+AF94</f>
        <v>5637.0822123661355</v>
      </c>
      <c r="AG93" s="2216">
        <f ca="1">Capex!AG40+AG94</f>
        <v>5560.0386508844113</v>
      </c>
      <c r="AH93" s="1955"/>
      <c r="AI93" s="2125">
        <f ca="1">(AA93/V93)^(1/5)-1</f>
        <v>-4.9912642320674716E-2</v>
      </c>
      <c r="AJ93" s="1966"/>
      <c r="AK93" s="2162"/>
      <c r="AL93" s="2162"/>
      <c r="AM93" s="2162"/>
      <c r="AN93" s="2162"/>
      <c r="AO93" s="2162"/>
      <c r="AP93" s="2162"/>
      <c r="AQ93" s="2162"/>
      <c r="AR93" s="2162"/>
      <c r="AS93" s="2162"/>
      <c r="AT93" s="2162"/>
      <c r="AU93" s="2162"/>
      <c r="AV93" s="2162"/>
      <c r="AW93" s="2162"/>
      <c r="AX93" s="2162"/>
      <c r="AY93" s="2162"/>
      <c r="AZ93" s="2162"/>
      <c r="BA93" s="2162"/>
      <c r="BB93" s="2162"/>
      <c r="BC93" s="2162"/>
      <c r="BD93" s="2162"/>
      <c r="BE93" s="2162"/>
      <c r="BF93" s="2162"/>
      <c r="BG93" s="2162"/>
      <c r="BH93" s="2162"/>
      <c r="BI93" s="2162"/>
      <c r="BJ93" s="2162"/>
      <c r="BK93" s="2162"/>
      <c r="BL93" s="2162"/>
      <c r="BM93" s="2162"/>
      <c r="BN93" s="2337"/>
      <c r="BO93" s="2162"/>
      <c r="BP93" s="2337"/>
      <c r="BQ93" s="2337"/>
      <c r="BR93" s="2351"/>
      <c r="BS93" s="2352"/>
      <c r="BT93" s="2352"/>
      <c r="BU93" s="2352"/>
      <c r="BV93" s="1937"/>
      <c r="BW93" s="2216"/>
      <c r="BX93" s="2216"/>
      <c r="BY93" s="2216"/>
      <c r="BZ93" s="1937">
        <f>NormInputs!BP200</f>
        <v>2313</v>
      </c>
      <c r="CA93" s="2216">
        <f>NormInputs!BQ200</f>
        <v>2339</v>
      </c>
      <c r="CB93" s="2216">
        <f>NormInputs!BR200</f>
        <v>2308</v>
      </c>
      <c r="CC93" s="2216">
        <f>NormInputs!BS200</f>
        <v>2349</v>
      </c>
      <c r="CD93" s="1937">
        <f>NormInputs!BT200</f>
        <v>2203</v>
      </c>
      <c r="CE93" s="2216">
        <f>NormInputs!BU200</f>
        <v>2206</v>
      </c>
      <c r="CF93" s="2216">
        <f>NormInputs!BV200</f>
        <v>2230</v>
      </c>
      <c r="CG93" s="2219">
        <f>NormInputs!BW200</f>
        <v>2288</v>
      </c>
      <c r="CH93" s="1937">
        <f>NormInputs!BX200</f>
        <v>2209</v>
      </c>
      <c r="CI93" s="2216">
        <f>NormInputs!BY200</f>
        <v>2245</v>
      </c>
      <c r="CJ93" s="2216">
        <f>NormInputs!BZ200</f>
        <v>2268</v>
      </c>
      <c r="CK93" s="2219">
        <f>NormInputs!CA200</f>
        <v>2309</v>
      </c>
      <c r="CL93" s="1937">
        <f>NormInputs!CB200</f>
        <v>1998</v>
      </c>
      <c r="CM93" s="2216">
        <f>NormInputs!CC200</f>
        <v>2039</v>
      </c>
      <c r="CN93" s="2216">
        <f>NormInputs!CD200</f>
        <v>2075</v>
      </c>
      <c r="CO93" s="2216">
        <f>NormInputs!CE200</f>
        <v>2126</v>
      </c>
      <c r="CP93" s="1937">
        <f>NormInputs!CF200</f>
        <v>2063</v>
      </c>
      <c r="CQ93" s="2216">
        <f>NormInputs!CG200</f>
        <v>2100</v>
      </c>
      <c r="CR93" s="2216">
        <f>NormInputs!CH200</f>
        <v>2145</v>
      </c>
      <c r="CS93" s="2216">
        <f>NormInputs!CI200</f>
        <v>2161</v>
      </c>
      <c r="CT93" s="1937">
        <f>NormInputs!CJ200</f>
        <v>2107</v>
      </c>
      <c r="CU93" s="2216">
        <f>NormInputs!CK200</f>
        <v>2117</v>
      </c>
      <c r="CV93" s="2216">
        <f>NormInputs!CL200</f>
        <v>2119</v>
      </c>
      <c r="CW93" s="2219">
        <f>NormInputs!CM200</f>
        <v>2115</v>
      </c>
      <c r="CX93" s="1937">
        <f>NormInputs!CN200</f>
        <v>2090</v>
      </c>
      <c r="CY93" s="2216">
        <f>NormInputs!CO200</f>
        <v>2102</v>
      </c>
      <c r="CZ93" s="2216">
        <f>NormInputs!CP200</f>
        <v>2107</v>
      </c>
      <c r="DA93" s="2216">
        <f>NormInputs!CQ200</f>
        <v>2125</v>
      </c>
      <c r="DB93" s="1937">
        <f>NormInputs!CR200</f>
        <v>2095</v>
      </c>
      <c r="DC93" s="2216">
        <f>NormInputs!CS200</f>
        <v>2085</v>
      </c>
      <c r="DD93" s="2216">
        <f>NormInputs!CT200</f>
        <v>2074</v>
      </c>
      <c r="DE93" s="2216">
        <f>NormInputs!CU200</f>
        <v>2073</v>
      </c>
      <c r="DF93" s="1937">
        <f>NormInputs!CV200</f>
        <v>2033</v>
      </c>
      <c r="DG93" s="2216">
        <f>NormInputs!CW200</f>
        <v>2005</v>
      </c>
      <c r="DH93" s="2216">
        <f>NormInputs!CX200</f>
        <v>1978</v>
      </c>
      <c r="DI93" s="2216">
        <f>NormInputs!CY200</f>
        <v>1866</v>
      </c>
      <c r="DJ93" s="2504">
        <f>NormInputs!CZ200</f>
        <v>1746</v>
      </c>
      <c r="DK93" s="2505">
        <f>NormInputs!DA200</f>
        <v>1706</v>
      </c>
      <c r="DL93" s="2505">
        <f>NormInputs!DB200</f>
        <v>1623</v>
      </c>
      <c r="DM93" s="2506">
        <f>NormInputs!DC200</f>
        <v>1603</v>
      </c>
      <c r="DN93" s="2505">
        <f>NormInputs!DD200</f>
        <v>1588</v>
      </c>
      <c r="DO93" s="2505">
        <f>NormInputs!DE200</f>
        <v>1562</v>
      </c>
      <c r="DP93" s="2505">
        <f>NormInputs!DF200</f>
        <v>1498</v>
      </c>
      <c r="DQ93" s="2506">
        <f>NormInputs!DG200</f>
        <v>1465</v>
      </c>
      <c r="DR93" s="2505">
        <f>NormInputs!DH200</f>
        <v>1492</v>
      </c>
      <c r="DS93" s="2505">
        <f>NormInputs!DI200</f>
        <v>1552</v>
      </c>
      <c r="DT93" s="2505">
        <f>NormInputs!DJ200</f>
        <v>1549</v>
      </c>
      <c r="DU93" s="2506">
        <f>NormInputs!DK200</f>
        <v>1532</v>
      </c>
      <c r="DV93" s="2505">
        <f>NormInputs!DL200</f>
        <v>1534</v>
      </c>
      <c r="DW93" s="2216">
        <f ca="1">Capex!DW40+DW94</f>
        <v>1539.2044101800952</v>
      </c>
      <c r="DX93" s="2216">
        <f ca="1">Capex!DX40+DX94</f>
        <v>1547.786143076381</v>
      </c>
      <c r="DY93" s="2219">
        <f ca="1">Capex!DY40+DY94</f>
        <v>1556.9507652944162</v>
      </c>
      <c r="DZ93" s="2965"/>
    </row>
    <row r="94" spans="1:130" s="1958" customFormat="1" ht="15" customHeight="1" outlineLevel="1">
      <c r="A94" s="2371" t="s">
        <v>218</v>
      </c>
      <c r="B94" s="1946"/>
      <c r="C94" s="1946"/>
      <c r="D94" s="1946"/>
      <c r="E94" s="1946"/>
      <c r="F94" s="1946"/>
      <c r="G94" s="1946"/>
      <c r="H94" s="1946"/>
      <c r="I94" s="1946"/>
      <c r="J94" s="1946"/>
      <c r="K94" s="1946"/>
      <c r="L94" s="1958">
        <f>Capex!L31-Wless!L58</f>
        <v>802</v>
      </c>
      <c r="M94" s="1958">
        <f>Capex!M31-Wless!M58</f>
        <v>891</v>
      </c>
      <c r="N94" s="1958">
        <f>Capex!N31-Wless!N58</f>
        <v>1217</v>
      </c>
      <c r="O94" s="1958">
        <f>Capex!O31-Wless!O58</f>
        <v>1255</v>
      </c>
      <c r="P94" s="1958">
        <f>Capex!P31-Wless!P58</f>
        <v>1303</v>
      </c>
      <c r="Q94" s="2200">
        <f>Capex!Q31-Wless!Q58</f>
        <v>1895</v>
      </c>
      <c r="R94" s="2200">
        <f>Capex!R31-Wless!R58</f>
        <v>1737</v>
      </c>
      <c r="S94" s="2200">
        <f>Capex!S31-Wless!S58</f>
        <v>1430</v>
      </c>
      <c r="T94" s="2200">
        <f>Capex!T31-Wless!T58</f>
        <v>1465</v>
      </c>
      <c r="U94" s="2974">
        <f>Capex!U31-Wless!U58</f>
        <v>1504</v>
      </c>
      <c r="V94" s="2974">
        <f>Capex!V31-Wless!V58</f>
        <v>1504</v>
      </c>
      <c r="W94" s="2974">
        <f>Capex!W31-Wless!W58</f>
        <v>1504</v>
      </c>
      <c r="X94" s="2974">
        <f>Capex!X31-Wless!X58</f>
        <v>1504</v>
      </c>
      <c r="Y94" s="2974">
        <f>Capex!Y31-Wless!Y58</f>
        <v>1504</v>
      </c>
      <c r="Z94" s="2974">
        <f>Capex!Z31-Wless!Z58</f>
        <v>1504</v>
      </c>
      <c r="AA94" s="2974">
        <f>Capex!AA31-Wless!AA58</f>
        <v>1504</v>
      </c>
      <c r="AB94" s="2974">
        <f>Capex!AB31-Wless!AB58</f>
        <v>1504</v>
      </c>
      <c r="AC94" s="2974">
        <f>Capex!AC31-Wless!AC58</f>
        <v>1504</v>
      </c>
      <c r="AD94" s="2974">
        <f>Capex!AD31-Wless!AD58</f>
        <v>1504</v>
      </c>
      <c r="AE94" s="2974">
        <f>Capex!AE31-Wless!AE58</f>
        <v>1504</v>
      </c>
      <c r="AF94" s="2974">
        <f>Capex!AF31-Wless!AF58</f>
        <v>1504</v>
      </c>
      <c r="AG94" s="2974">
        <f>Capex!AG31-Wless!AG58</f>
        <v>1504</v>
      </c>
      <c r="AH94" s="1952"/>
      <c r="AI94" s="1927"/>
      <c r="AJ94" s="1947"/>
      <c r="AK94" s="1946"/>
      <c r="AL94" s="1946"/>
      <c r="AM94" s="1946"/>
      <c r="AN94" s="1946"/>
      <c r="AO94" s="1946"/>
      <c r="AP94" s="1946"/>
      <c r="AQ94" s="1946"/>
      <c r="AR94" s="1946"/>
      <c r="AS94" s="1946"/>
      <c r="AT94" s="1946"/>
      <c r="AU94" s="1946"/>
      <c r="AV94" s="1946"/>
      <c r="AW94" s="1946"/>
      <c r="AX94" s="1946"/>
      <c r="AY94" s="1946"/>
      <c r="AZ94" s="1946"/>
      <c r="BA94" s="1946"/>
      <c r="BB94" s="1946"/>
      <c r="BC94" s="1946"/>
      <c r="BD94" s="1946"/>
      <c r="BE94" s="1946"/>
      <c r="BF94" s="1946"/>
      <c r="BG94" s="1946"/>
      <c r="BH94" s="1946"/>
      <c r="BI94" s="1946"/>
      <c r="BJ94" s="1946"/>
      <c r="BK94" s="1946"/>
      <c r="BL94" s="1946"/>
      <c r="BM94" s="1946"/>
      <c r="BN94" s="2333"/>
      <c r="BO94" s="1946"/>
      <c r="BP94" s="2333"/>
      <c r="BQ94" s="2333"/>
      <c r="BR94" s="2202"/>
      <c r="BS94" s="2200"/>
      <c r="BT94" s="2200"/>
      <c r="BU94" s="2200"/>
      <c r="BV94" s="2202">
        <f>Capex!BV31-Wless!BV58</f>
        <v>222.75</v>
      </c>
      <c r="BW94" s="2200">
        <f>Capex!BW31-Wless!BW58</f>
        <v>222.75</v>
      </c>
      <c r="BX94" s="2200">
        <f>Capex!BX31-Wless!BX58</f>
        <v>222.75</v>
      </c>
      <c r="BY94" s="2200">
        <f>Capex!BY31-Wless!BY58</f>
        <v>222.75</v>
      </c>
      <c r="BZ94" s="2202">
        <f>Capex!BZ31-Wless!BZ58</f>
        <v>304.25</v>
      </c>
      <c r="CA94" s="2200">
        <f>Capex!CA31-Wless!CA58</f>
        <v>304.25</v>
      </c>
      <c r="CB94" s="2200">
        <f>Capex!CB31-Wless!CB58</f>
        <v>304.25</v>
      </c>
      <c r="CC94" s="2200">
        <f>Capex!CC31-Wless!CC58</f>
        <v>304.25</v>
      </c>
      <c r="CD94" s="2202">
        <f>Capex!CD31-Wless!CD58</f>
        <v>313.75</v>
      </c>
      <c r="CE94" s="2200">
        <f>Capex!CE31-Wless!CE58</f>
        <v>313.75</v>
      </c>
      <c r="CF94" s="2200">
        <f>Capex!CF31-Wless!CF58</f>
        <v>313.75</v>
      </c>
      <c r="CG94" s="2203">
        <f>Capex!CG31-Wless!CG58</f>
        <v>313.75</v>
      </c>
      <c r="CH94" s="2202">
        <f>Capex!CH31-Wless!CH58</f>
        <v>325.75</v>
      </c>
      <c r="CI94" s="2200">
        <f>Capex!CI31-Wless!CI58</f>
        <v>325.75</v>
      </c>
      <c r="CJ94" s="2200">
        <f>Capex!CJ31-Wless!CJ58</f>
        <v>325.75</v>
      </c>
      <c r="CK94" s="2203">
        <f>Capex!CK31-Wless!CK58</f>
        <v>325.75</v>
      </c>
      <c r="CL94" s="2202">
        <f>Capex!CL31-Wless!CL58</f>
        <v>473.75</v>
      </c>
      <c r="CM94" s="2200">
        <f>Capex!CM31-Wless!CM58</f>
        <v>473.75</v>
      </c>
      <c r="CN94" s="2200">
        <f>Capex!CN31-Wless!CN58</f>
        <v>472.75</v>
      </c>
      <c r="CO94" s="2200">
        <f>Capex!CO31-Wless!CO58</f>
        <v>473.75</v>
      </c>
      <c r="CP94" s="2202">
        <f>Capex!CP31-Wless!CP58</f>
        <v>434.25</v>
      </c>
      <c r="CQ94" s="2200">
        <f>Capex!CQ31-Wless!CQ58</f>
        <v>433.25</v>
      </c>
      <c r="CR94" s="2200">
        <f>Capex!CR31-Wless!CR58</f>
        <v>433</v>
      </c>
      <c r="CS94" s="2200">
        <f>Capex!CS31-Wless!CS58</f>
        <v>432</v>
      </c>
      <c r="CT94" s="2202">
        <f>Capex!CT31-Wless!CT58</f>
        <v>354.25</v>
      </c>
      <c r="CU94" s="2200">
        <f>Capex!CU31-Wless!CU58</f>
        <v>353.25</v>
      </c>
      <c r="CV94" s="2200">
        <f>Capex!CV31-Wless!CV58</f>
        <v>352.25</v>
      </c>
      <c r="CW94" s="2203">
        <f>Capex!CW31-Wless!CW58</f>
        <v>352.25</v>
      </c>
      <c r="CX94" s="2202">
        <f>Capex!CX31-Wless!CX58</f>
        <v>343</v>
      </c>
      <c r="CY94" s="2200">
        <f>Capex!CY31-Wless!CY58</f>
        <v>343</v>
      </c>
      <c r="CZ94" s="2200">
        <f>Capex!CZ31-Wless!CZ58</f>
        <v>379</v>
      </c>
      <c r="DA94" s="2200">
        <f>Capex!DA31-Wless!DA58</f>
        <v>379</v>
      </c>
      <c r="DB94" s="2202">
        <f>Capex!DB31-Wless!DB58</f>
        <v>376</v>
      </c>
      <c r="DC94" s="2200">
        <f>Capex!DC31-Wless!DC58</f>
        <v>376</v>
      </c>
      <c r="DD94" s="2200">
        <f>Capex!DD31-Wless!DD58</f>
        <v>376</v>
      </c>
      <c r="DE94" s="2200">
        <f>Capex!DE31-Wless!DE58</f>
        <v>376</v>
      </c>
      <c r="DF94" s="2202">
        <f>Capex!DF31-Wless!DF58</f>
        <v>376</v>
      </c>
      <c r="DG94" s="2200">
        <f>Capex!DG31-Wless!DG58</f>
        <v>376</v>
      </c>
      <c r="DH94" s="2200">
        <f>Capex!DH31-Wless!DH58</f>
        <v>376</v>
      </c>
      <c r="DI94" s="2200">
        <f>Capex!DI31-Wless!DI58</f>
        <v>376</v>
      </c>
      <c r="DJ94" s="2976">
        <f>Capex!DJ31-Wless!DJ58</f>
        <v>376</v>
      </c>
      <c r="DK94" s="2974">
        <f>Capex!DK31-Wless!DK58</f>
        <v>376</v>
      </c>
      <c r="DL94" s="2974">
        <f>Capex!DL31-Wless!DL58</f>
        <v>376</v>
      </c>
      <c r="DM94" s="2975">
        <f>Capex!DM31-Wless!DM58</f>
        <v>376</v>
      </c>
      <c r="DN94" s="2974">
        <f>Capex!DN31-Wless!DN58</f>
        <v>376</v>
      </c>
      <c r="DO94" s="2974">
        <f>Capex!DO31-Wless!DO58</f>
        <v>376</v>
      </c>
      <c r="DP94" s="2974">
        <f>Capex!DP31-Wless!DP58</f>
        <v>376</v>
      </c>
      <c r="DQ94" s="2975">
        <f>Capex!DQ31-Wless!DQ58</f>
        <v>376</v>
      </c>
      <c r="DR94" s="2974">
        <f>Capex!DR31-Wless!DR58</f>
        <v>376</v>
      </c>
      <c r="DS94" s="2974">
        <f>Capex!DS31-Wless!DS58</f>
        <v>376</v>
      </c>
      <c r="DT94" s="2974">
        <f>Capex!DT31-Wless!DT58</f>
        <v>376</v>
      </c>
      <c r="DU94" s="2975">
        <f>Capex!DU31-Wless!DU58</f>
        <v>376</v>
      </c>
      <c r="DV94" s="2974">
        <f>Capex!DV31-Wless!DV58</f>
        <v>376</v>
      </c>
      <c r="DW94" s="2200">
        <f>Capex!DW31-Wless!DW58</f>
        <v>376</v>
      </c>
      <c r="DX94" s="2200">
        <f>Capex!DX31-Wless!DX58</f>
        <v>376</v>
      </c>
      <c r="DY94" s="2203">
        <f>Capex!DY31-Wless!DY58</f>
        <v>376</v>
      </c>
      <c r="DZ94" s="1946"/>
    </row>
    <row r="95" spans="1:130" s="1958" customFormat="1" ht="15" customHeight="1" outlineLevel="1">
      <c r="A95" s="2371"/>
      <c r="B95" s="1946"/>
      <c r="C95" s="1946"/>
      <c r="D95" s="1946"/>
      <c r="E95" s="1946"/>
      <c r="F95" s="1946"/>
      <c r="G95" s="1946"/>
      <c r="H95" s="1946"/>
      <c r="I95" s="1946"/>
      <c r="J95" s="1946"/>
      <c r="K95" s="1946"/>
      <c r="L95" s="2333"/>
      <c r="Q95" s="2200"/>
      <c r="R95" s="2200"/>
      <c r="S95" s="2200"/>
      <c r="T95" s="2200"/>
      <c r="U95" s="2200"/>
      <c r="Y95" s="2994"/>
      <c r="Z95" s="3249"/>
      <c r="AA95" s="2200"/>
      <c r="AB95" s="2200"/>
      <c r="AC95" s="2200"/>
      <c r="AD95" s="2200"/>
      <c r="AE95" s="2200"/>
      <c r="AF95" s="2200"/>
      <c r="AG95" s="2200"/>
      <c r="AH95" s="1952"/>
      <c r="AI95" s="1927"/>
      <c r="AJ95" s="1947"/>
      <c r="AK95" s="1946"/>
      <c r="AL95" s="1946"/>
      <c r="AM95" s="1946"/>
      <c r="AN95" s="1946"/>
      <c r="AO95" s="1946"/>
      <c r="AP95" s="1946"/>
      <c r="AQ95" s="1946"/>
      <c r="AR95" s="1946"/>
      <c r="AS95" s="1946"/>
      <c r="AT95" s="1946"/>
      <c r="AU95" s="1946"/>
      <c r="AV95" s="1946"/>
      <c r="AW95" s="1946"/>
      <c r="AX95" s="1946"/>
      <c r="AY95" s="1946"/>
      <c r="AZ95" s="1946"/>
      <c r="BA95" s="1946"/>
      <c r="BB95" s="1946"/>
      <c r="BC95" s="1946"/>
      <c r="BD95" s="1946"/>
      <c r="BE95" s="1946"/>
      <c r="BF95" s="1946"/>
      <c r="BG95" s="1946"/>
      <c r="BH95" s="1946"/>
      <c r="BI95" s="1946"/>
      <c r="BJ95" s="1946"/>
      <c r="BK95" s="1946"/>
      <c r="BL95" s="1946"/>
      <c r="BM95" s="1946"/>
      <c r="BN95" s="2333"/>
      <c r="BO95" s="1946"/>
      <c r="BP95" s="2333"/>
      <c r="BQ95" s="2333"/>
      <c r="BR95" s="2334"/>
      <c r="BS95" s="2335"/>
      <c r="BT95" s="2335"/>
      <c r="BU95" s="2335"/>
      <c r="BV95" s="2202"/>
      <c r="BW95" s="2200"/>
      <c r="BX95" s="2200"/>
      <c r="BY95" s="2200"/>
      <c r="BZ95" s="2202"/>
      <c r="CA95" s="2200"/>
      <c r="CB95" s="2200"/>
      <c r="CC95" s="2200"/>
      <c r="CD95" s="2202"/>
      <c r="CE95" s="2200"/>
      <c r="CF95" s="2200"/>
      <c r="CG95" s="2203"/>
      <c r="CH95" s="2202"/>
      <c r="CI95" s="2200"/>
      <c r="CJ95" s="2200"/>
      <c r="CK95" s="2203"/>
      <c r="CL95" s="2202"/>
      <c r="CM95" s="2200"/>
      <c r="CN95" s="2200"/>
      <c r="CO95" s="2200"/>
      <c r="CP95" s="2202"/>
      <c r="CQ95" s="2200"/>
      <c r="CR95" s="2200"/>
      <c r="CS95" s="2200"/>
      <c r="CT95" s="2202"/>
      <c r="CU95" s="2200"/>
      <c r="CV95" s="2200"/>
      <c r="CW95" s="2203"/>
      <c r="CX95" s="2202"/>
      <c r="CY95" s="2200"/>
      <c r="CZ95" s="2200"/>
      <c r="DA95" s="2200"/>
      <c r="DB95" s="2202"/>
      <c r="DC95" s="2200"/>
      <c r="DD95" s="2200"/>
      <c r="DE95" s="2200"/>
      <c r="DF95" s="2202"/>
      <c r="DG95" s="2200"/>
      <c r="DH95" s="2200"/>
      <c r="DI95" s="2200"/>
      <c r="DJ95" s="2202"/>
      <c r="DK95" s="2200"/>
      <c r="DL95" s="2200"/>
      <c r="DM95" s="2203"/>
      <c r="DN95" s="2200"/>
      <c r="DO95" s="2200"/>
      <c r="DP95" s="2200"/>
      <c r="DQ95" s="2203"/>
      <c r="DR95" s="2200"/>
      <c r="DS95" s="2200"/>
      <c r="DT95" s="2200"/>
      <c r="DU95" s="2203"/>
      <c r="DV95" s="2200"/>
      <c r="DW95" s="2200"/>
      <c r="DX95" s="2200"/>
      <c r="DY95" s="2203"/>
      <c r="DZ95" s="1946"/>
    </row>
    <row r="96" spans="1:130" s="1958" customFormat="1" ht="15" customHeight="1" outlineLevel="1">
      <c r="A96" s="2363" t="s">
        <v>221</v>
      </c>
      <c r="B96" s="2364"/>
      <c r="C96" s="2364"/>
      <c r="D96" s="2364"/>
      <c r="E96" s="2364"/>
      <c r="F96" s="2364"/>
      <c r="G96" s="2364"/>
      <c r="H96" s="2364"/>
      <c r="I96" s="2364"/>
      <c r="J96" s="2364"/>
      <c r="K96" s="2364"/>
      <c r="L96" s="2364"/>
      <c r="M96" s="2364"/>
      <c r="N96" s="2364"/>
      <c r="O96" s="2364"/>
      <c r="P96" s="2364"/>
      <c r="Q96" s="2365"/>
      <c r="R96" s="2365"/>
      <c r="S96" s="2365"/>
      <c r="T96" s="2365"/>
      <c r="U96" s="2365"/>
      <c r="V96" s="2364"/>
      <c r="W96" s="2364"/>
      <c r="X96" s="2364"/>
      <c r="Y96" s="2364"/>
      <c r="Z96" s="2364"/>
      <c r="AA96" s="2365"/>
      <c r="AB96" s="2365"/>
      <c r="AC96" s="2365"/>
      <c r="AD96" s="2365"/>
      <c r="AE96" s="2365"/>
      <c r="AF96" s="2365"/>
      <c r="AG96" s="2365"/>
      <c r="AH96" s="1947"/>
      <c r="AI96" s="2457"/>
      <c r="AJ96" s="1947"/>
      <c r="AK96" s="2364"/>
      <c r="AL96" s="2364"/>
      <c r="AM96" s="2364"/>
      <c r="AN96" s="2364"/>
      <c r="AO96" s="2364"/>
      <c r="AP96" s="2364"/>
      <c r="AQ96" s="2364"/>
      <c r="AR96" s="2364"/>
      <c r="AS96" s="2364"/>
      <c r="AT96" s="2364"/>
      <c r="AU96" s="2364"/>
      <c r="AV96" s="2364"/>
      <c r="AW96" s="2364"/>
      <c r="AX96" s="2364"/>
      <c r="AY96" s="2364"/>
      <c r="AZ96" s="2364"/>
      <c r="BA96" s="2364"/>
      <c r="BB96" s="2364"/>
      <c r="BC96" s="2364"/>
      <c r="BD96" s="2364"/>
      <c r="BE96" s="2364"/>
      <c r="BF96" s="2364"/>
      <c r="BG96" s="2364"/>
      <c r="BH96" s="2364"/>
      <c r="BI96" s="2364"/>
      <c r="BJ96" s="2364"/>
      <c r="BK96" s="2364"/>
      <c r="BL96" s="2364"/>
      <c r="BM96" s="2364"/>
      <c r="BN96" s="2364"/>
      <c r="BO96" s="2364"/>
      <c r="BP96" s="2364"/>
      <c r="BQ96" s="2364"/>
      <c r="BR96" s="2366"/>
      <c r="BS96" s="2365"/>
      <c r="BT96" s="2365"/>
      <c r="BU96" s="2365"/>
      <c r="BV96" s="2366"/>
      <c r="BW96" s="2365"/>
      <c r="BX96" s="2365"/>
      <c r="BY96" s="2365"/>
      <c r="BZ96" s="2366"/>
      <c r="CA96" s="2365"/>
      <c r="CB96" s="2365"/>
      <c r="CC96" s="2365"/>
      <c r="CD96" s="2366"/>
      <c r="CE96" s="2365"/>
      <c r="CF96" s="2365"/>
      <c r="CG96" s="2367"/>
      <c r="CH96" s="2366"/>
      <c r="CI96" s="2365"/>
      <c r="CJ96" s="2365"/>
      <c r="CK96" s="2367"/>
      <c r="CL96" s="2366"/>
      <c r="CM96" s="2365"/>
      <c r="CN96" s="2365"/>
      <c r="CO96" s="2365"/>
      <c r="CP96" s="2366"/>
      <c r="CQ96" s="2365"/>
      <c r="CR96" s="2365"/>
      <c r="CS96" s="2365"/>
      <c r="CT96" s="2366"/>
      <c r="CU96" s="2365"/>
      <c r="CV96" s="2365"/>
      <c r="CW96" s="2367"/>
      <c r="CX96" s="2366"/>
      <c r="CY96" s="2365"/>
      <c r="CZ96" s="2365"/>
      <c r="DA96" s="2365"/>
      <c r="DB96" s="2366"/>
      <c r="DC96" s="2365"/>
      <c r="DD96" s="2365"/>
      <c r="DE96" s="2365"/>
      <c r="DF96" s="2366"/>
      <c r="DG96" s="2365"/>
      <c r="DH96" s="2365"/>
      <c r="DI96" s="2365"/>
      <c r="DJ96" s="2366"/>
      <c r="DK96" s="2365"/>
      <c r="DL96" s="2365"/>
      <c r="DM96" s="2367"/>
      <c r="DN96" s="2365"/>
      <c r="DO96" s="2365"/>
      <c r="DP96" s="2365"/>
      <c r="DQ96" s="2367"/>
      <c r="DR96" s="2365"/>
      <c r="DS96" s="2365"/>
      <c r="DT96" s="2365"/>
      <c r="DU96" s="2367"/>
      <c r="DV96" s="2365"/>
      <c r="DW96" s="2365"/>
      <c r="DX96" s="2365"/>
      <c r="DY96" s="2367"/>
      <c r="DZ96" s="1946"/>
    </row>
    <row r="97" spans="1:130" s="1958" customFormat="1" ht="15" customHeight="1" outlineLevel="1">
      <c r="A97" s="2371"/>
      <c r="B97" s="1946"/>
      <c r="C97" s="1946"/>
      <c r="D97" s="1946"/>
      <c r="E97" s="1946"/>
      <c r="F97" s="1946"/>
      <c r="G97" s="1946"/>
      <c r="H97" s="1946"/>
      <c r="I97" s="1946"/>
      <c r="J97" s="1946"/>
      <c r="K97" s="1946"/>
      <c r="L97" s="1946"/>
      <c r="M97" s="1946"/>
      <c r="N97" s="1946"/>
      <c r="O97" s="1946"/>
      <c r="P97" s="1946"/>
      <c r="Q97" s="1903"/>
      <c r="R97" s="1903"/>
      <c r="S97" s="1903"/>
      <c r="T97" s="1903"/>
      <c r="U97" s="1903"/>
      <c r="V97" s="1946"/>
      <c r="W97" s="1946"/>
      <c r="X97" s="1946"/>
      <c r="Y97" s="1946"/>
      <c r="Z97" s="1946"/>
      <c r="AA97" s="1903"/>
      <c r="AB97" s="1903"/>
      <c r="AC97" s="1903"/>
      <c r="AD97" s="1903"/>
      <c r="AE97" s="1903"/>
      <c r="AF97" s="1903"/>
      <c r="AG97" s="1903"/>
      <c r="AH97" s="1947"/>
      <c r="AI97" s="1927"/>
      <c r="AJ97" s="1947"/>
      <c r="AK97" s="1946"/>
      <c r="AL97" s="1946"/>
      <c r="AM97" s="1946"/>
      <c r="AN97" s="1946"/>
      <c r="AO97" s="1946"/>
      <c r="AP97" s="1946"/>
      <c r="AQ97" s="1946"/>
      <c r="AR97" s="1946"/>
      <c r="AS97" s="1946"/>
      <c r="AT97" s="1946"/>
      <c r="AU97" s="1946"/>
      <c r="AV97" s="1946"/>
      <c r="AW97" s="1946"/>
      <c r="AX97" s="1946"/>
      <c r="AY97" s="1946"/>
      <c r="AZ97" s="1946"/>
      <c r="BA97" s="1946"/>
      <c r="BB97" s="1946"/>
      <c r="BC97" s="1946"/>
      <c r="BD97" s="1946"/>
      <c r="BE97" s="1946"/>
      <c r="BF97" s="1946"/>
      <c r="BG97" s="1946"/>
      <c r="BH97" s="1946"/>
      <c r="BI97" s="1946"/>
      <c r="BJ97" s="1946"/>
      <c r="BK97" s="1946"/>
      <c r="BL97" s="1946"/>
      <c r="BM97" s="1946"/>
      <c r="BN97" s="1946"/>
      <c r="BO97" s="1946"/>
      <c r="BP97" s="1946"/>
      <c r="BQ97" s="1946"/>
      <c r="BR97" s="1942"/>
      <c r="BS97" s="1903"/>
      <c r="BT97" s="1903"/>
      <c r="BU97" s="1903"/>
      <c r="BV97" s="1942"/>
      <c r="BW97" s="1903"/>
      <c r="BX97" s="1903"/>
      <c r="BY97" s="1903"/>
      <c r="BZ97" s="1942"/>
      <c r="CA97" s="1903"/>
      <c r="CB97" s="1903"/>
      <c r="CC97" s="1903"/>
      <c r="CD97" s="1942"/>
      <c r="CE97" s="1903"/>
      <c r="CF97" s="1903"/>
      <c r="CG97" s="2236"/>
      <c r="CH97" s="1942"/>
      <c r="CI97" s="2200"/>
      <c r="CJ97" s="2200"/>
      <c r="CK97" s="2203"/>
      <c r="CL97" s="2202"/>
      <c r="CM97" s="2200"/>
      <c r="CN97" s="2200"/>
      <c r="CO97" s="2200"/>
      <c r="CP97" s="2202"/>
      <c r="CQ97" s="2200"/>
      <c r="CR97" s="2200"/>
      <c r="CS97" s="2200"/>
      <c r="CT97" s="2202"/>
      <c r="CU97" s="2200"/>
      <c r="CV97" s="2200"/>
      <c r="CW97" s="2203"/>
      <c r="CX97" s="2202"/>
      <c r="CY97" s="2200"/>
      <c r="CZ97" s="2200"/>
      <c r="DA97" s="2200"/>
      <c r="DB97" s="2202"/>
      <c r="DC97" s="2200"/>
      <c r="DD97" s="2200"/>
      <c r="DE97" s="2200"/>
      <c r="DF97" s="2202"/>
      <c r="DG97" s="2200"/>
      <c r="DH97" s="2200"/>
      <c r="DI97" s="2200"/>
      <c r="DJ97" s="2202"/>
      <c r="DK97" s="2200"/>
      <c r="DL97" s="2200"/>
      <c r="DM97" s="2203"/>
      <c r="DN97" s="2200"/>
      <c r="DO97" s="2200"/>
      <c r="DP97" s="2200"/>
      <c r="DQ97" s="2203"/>
      <c r="DR97" s="2200"/>
      <c r="DS97" s="2200"/>
      <c r="DT97" s="2200"/>
      <c r="DU97" s="2203"/>
      <c r="DV97" s="2200"/>
      <c r="DW97" s="2200"/>
      <c r="DX97" s="2200"/>
      <c r="DY97" s="2203"/>
      <c r="DZ97" s="1946"/>
    </row>
    <row r="98" spans="1:130" s="1958" customFormat="1" ht="15" customHeight="1" outlineLevel="1">
      <c r="A98" s="2371" t="s">
        <v>222</v>
      </c>
      <c r="B98" s="1946"/>
      <c r="C98" s="1946"/>
      <c r="D98" s="1946"/>
      <c r="E98" s="1946"/>
      <c r="F98" s="1946"/>
      <c r="G98" s="1946"/>
      <c r="H98" s="1946"/>
      <c r="I98" s="1946"/>
      <c r="J98" s="1946"/>
      <c r="K98" s="1946"/>
      <c r="L98" s="1946"/>
      <c r="M98" s="1946"/>
      <c r="N98" s="1946"/>
      <c r="O98" s="1946"/>
      <c r="P98" s="1946"/>
      <c r="Q98" s="1903"/>
      <c r="R98" s="1903"/>
      <c r="S98" s="1903"/>
      <c r="T98" s="1903"/>
      <c r="U98" s="1903"/>
      <c r="V98" s="1946"/>
      <c r="W98" s="1946"/>
      <c r="X98" s="1946"/>
      <c r="Y98" s="1946"/>
      <c r="Z98" s="1946"/>
      <c r="AA98" s="1903"/>
      <c r="AB98" s="1903"/>
      <c r="AC98" s="1903"/>
      <c r="AD98" s="1903"/>
      <c r="AE98" s="1903"/>
      <c r="AF98" s="1903"/>
      <c r="AG98" s="1903"/>
      <c r="AH98" s="1947"/>
      <c r="AI98" s="1927"/>
      <c r="AJ98" s="1947"/>
      <c r="AK98" s="1946"/>
      <c r="AL98" s="1946"/>
      <c r="AM98" s="1946"/>
      <c r="AN98" s="1946"/>
      <c r="AO98" s="1946"/>
      <c r="AP98" s="1946"/>
      <c r="AQ98" s="1946"/>
      <c r="AR98" s="1946"/>
      <c r="AS98" s="1946"/>
      <c r="AT98" s="1946"/>
      <c r="AU98" s="1946"/>
      <c r="AV98" s="1946"/>
      <c r="AW98" s="1946"/>
      <c r="AX98" s="1946"/>
      <c r="AY98" s="1946"/>
      <c r="AZ98" s="1946"/>
      <c r="BA98" s="1946"/>
      <c r="BB98" s="1946"/>
      <c r="BC98" s="1946"/>
      <c r="BD98" s="1946"/>
      <c r="BE98" s="1946"/>
      <c r="BF98" s="1946"/>
      <c r="BG98" s="1946"/>
      <c r="BH98" s="1946"/>
      <c r="BI98" s="1946"/>
      <c r="BJ98" s="1946"/>
      <c r="BK98" s="1946"/>
      <c r="BL98" s="1946"/>
      <c r="BM98" s="1946"/>
      <c r="BN98" s="1946"/>
      <c r="BO98" s="1946"/>
      <c r="BP98" s="1946"/>
      <c r="BQ98" s="1946"/>
      <c r="BR98" s="1942"/>
      <c r="BS98" s="1903"/>
      <c r="BT98" s="1903"/>
      <c r="BU98" s="1903"/>
      <c r="BV98" s="3484" t="s">
        <v>212</v>
      </c>
      <c r="BW98" s="3484"/>
      <c r="BX98" s="3484"/>
      <c r="BY98" s="3484"/>
      <c r="BZ98" s="1942"/>
      <c r="CA98" s="1903"/>
      <c r="CB98" s="1903"/>
      <c r="CC98" s="1903"/>
      <c r="CD98" s="1942"/>
      <c r="CE98" s="1903"/>
      <c r="CF98" s="1903"/>
      <c r="CG98" s="2236"/>
      <c r="CH98" s="1942"/>
      <c r="CI98" s="1903"/>
      <c r="CJ98" s="1903"/>
      <c r="CK98" s="2236"/>
      <c r="CL98" s="1942"/>
      <c r="CM98" s="1903"/>
      <c r="CN98" s="1903"/>
      <c r="CO98" s="1903"/>
      <c r="CP98" s="1942"/>
      <c r="CQ98" s="1903"/>
      <c r="CR98" s="1903"/>
      <c r="CS98" s="1903"/>
      <c r="CT98" s="1942"/>
      <c r="CU98" s="1903"/>
      <c r="CV98" s="1903"/>
      <c r="CW98" s="2236"/>
      <c r="CX98" s="1942"/>
      <c r="CY98" s="1903"/>
      <c r="CZ98" s="1903"/>
      <c r="DA98" s="1903"/>
      <c r="DB98" s="1942"/>
      <c r="DC98" s="1903"/>
      <c r="DD98" s="1903"/>
      <c r="DE98" s="1903"/>
      <c r="DF98" s="1942"/>
      <c r="DG98" s="1903"/>
      <c r="DH98" s="1903"/>
      <c r="DI98" s="1903"/>
      <c r="DJ98" s="1942"/>
      <c r="DK98" s="1903"/>
      <c r="DL98" s="1903"/>
      <c r="DM98" s="2236"/>
      <c r="DN98" s="1903"/>
      <c r="DO98" s="1903"/>
      <c r="DP98" s="1903"/>
      <c r="DQ98" s="2236"/>
      <c r="DR98" s="1903"/>
      <c r="DS98" s="1903"/>
      <c r="DT98" s="1903"/>
      <c r="DU98" s="2236"/>
      <c r="DV98" s="1903"/>
      <c r="DW98" s="1903"/>
      <c r="DX98" s="1903"/>
      <c r="DY98" s="2236"/>
      <c r="DZ98" s="1946"/>
    </row>
    <row r="99" spans="1:130" s="1958" customFormat="1" ht="15" customHeight="1" outlineLevel="1">
      <c r="A99" s="2371" t="s">
        <v>223</v>
      </c>
      <c r="B99" s="1946"/>
      <c r="C99" s="1946"/>
      <c r="D99" s="1946"/>
      <c r="E99" s="1946"/>
      <c r="F99" s="1946"/>
      <c r="G99" s="1946"/>
      <c r="H99" s="1946"/>
      <c r="I99" s="1946"/>
      <c r="J99" s="1946"/>
      <c r="K99" s="1946"/>
      <c r="L99" s="1946"/>
      <c r="M99" s="1946"/>
      <c r="N99" s="1946"/>
      <c r="O99" s="1946"/>
      <c r="P99" s="1946"/>
      <c r="Q99" s="1903"/>
      <c r="R99" s="1903"/>
      <c r="S99" s="1903"/>
      <c r="T99" s="1903"/>
      <c r="U99" s="1903"/>
      <c r="V99" s="1946"/>
      <c r="W99" s="1946"/>
      <c r="X99" s="1946"/>
      <c r="Y99" s="1946"/>
      <c r="Z99" s="1946"/>
      <c r="AA99" s="1903"/>
      <c r="AB99" s="1903"/>
      <c r="AC99" s="1903"/>
      <c r="AD99" s="1903"/>
      <c r="AE99" s="1903"/>
      <c r="AF99" s="1903"/>
      <c r="AG99" s="1903"/>
      <c r="AH99" s="1947"/>
      <c r="AI99" s="1927"/>
      <c r="AJ99" s="1947"/>
      <c r="AK99" s="1946"/>
      <c r="AL99" s="1946"/>
      <c r="AM99" s="1946"/>
      <c r="AN99" s="1946"/>
      <c r="AO99" s="1946"/>
      <c r="AP99" s="1946"/>
      <c r="AQ99" s="1946"/>
      <c r="AR99" s="1946"/>
      <c r="AS99" s="1946"/>
      <c r="AT99" s="1946"/>
      <c r="AU99" s="1946"/>
      <c r="AV99" s="1946"/>
      <c r="AW99" s="1946"/>
      <c r="AX99" s="1946"/>
      <c r="AY99" s="1946"/>
      <c r="AZ99" s="1946"/>
      <c r="BA99" s="1946"/>
      <c r="BB99" s="1946"/>
      <c r="BC99" s="1946"/>
      <c r="BD99" s="1946"/>
      <c r="BE99" s="1946"/>
      <c r="BF99" s="1946"/>
      <c r="BG99" s="1946"/>
      <c r="BH99" s="1946"/>
      <c r="BI99" s="1946"/>
      <c r="BJ99" s="1946"/>
      <c r="BK99" s="1946"/>
      <c r="BL99" s="1946"/>
      <c r="BM99" s="1946"/>
      <c r="BN99" s="1946"/>
      <c r="BO99" s="1946"/>
      <c r="BP99" s="1946"/>
      <c r="BQ99" s="1946"/>
      <c r="BR99" s="2202">
        <f>NormInputs!BH133</f>
        <v>202116</v>
      </c>
      <c r="BS99" s="2200">
        <f>NormInputs!BI133</f>
        <v>204828</v>
      </c>
      <c r="BT99" s="2200">
        <f>NormInputs!BJ133</f>
        <v>206616</v>
      </c>
      <c r="BU99" s="2200">
        <f>NormInputs!BK133</f>
        <v>208747</v>
      </c>
      <c r="BV99" s="2202">
        <f>NormInputs!BL133</f>
        <v>196628</v>
      </c>
      <c r="BW99" s="2200">
        <f>NormInputs!BM133</f>
        <v>198899</v>
      </c>
      <c r="BX99" s="2200">
        <f>NormInputs!BN133</f>
        <v>199347</v>
      </c>
      <c r="BY99" s="2200">
        <f>NormInputs!BO133</f>
        <v>201083</v>
      </c>
      <c r="BZ99" s="2202">
        <f t="shared" ref="BZ99:CH99" si="161">BZ101-BZ100</f>
        <v>201083</v>
      </c>
      <c r="CA99" s="2200">
        <f t="shared" si="161"/>
        <v>201083</v>
      </c>
      <c r="CB99" s="2200">
        <f t="shared" si="161"/>
        <v>201083</v>
      </c>
      <c r="CC99" s="2200">
        <f t="shared" si="161"/>
        <v>201083</v>
      </c>
      <c r="CD99" s="2202">
        <f t="shared" si="161"/>
        <v>201083</v>
      </c>
      <c r="CE99" s="2200">
        <f t="shared" si="161"/>
        <v>201083</v>
      </c>
      <c r="CF99" s="2200">
        <f t="shared" si="161"/>
        <v>201083</v>
      </c>
      <c r="CG99" s="2203">
        <f t="shared" si="161"/>
        <v>201083</v>
      </c>
      <c r="CH99" s="2202">
        <f t="shared" si="161"/>
        <v>201083</v>
      </c>
      <c r="CI99" s="1903"/>
      <c r="CJ99" s="1903"/>
      <c r="CK99" s="2236"/>
      <c r="CL99" s="1942"/>
      <c r="CM99" s="1903"/>
      <c r="CN99" s="1903"/>
      <c r="CO99" s="1903"/>
      <c r="CP99" s="1942"/>
      <c r="CQ99" s="1903"/>
      <c r="CR99" s="1903"/>
      <c r="CS99" s="1903"/>
      <c r="CT99" s="1942"/>
      <c r="CU99" s="1903"/>
      <c r="CV99" s="1903"/>
      <c r="CW99" s="2236"/>
      <c r="CX99" s="1942"/>
      <c r="CY99" s="1903"/>
      <c r="CZ99" s="1903"/>
      <c r="DA99" s="1903"/>
      <c r="DB99" s="1942"/>
      <c r="DC99" s="1903"/>
      <c r="DD99" s="1903"/>
      <c r="DE99" s="1903"/>
      <c r="DF99" s="1942"/>
      <c r="DG99" s="1903"/>
      <c r="DH99" s="1903"/>
      <c r="DI99" s="1903"/>
      <c r="DJ99" s="1942"/>
      <c r="DK99" s="1903"/>
      <c r="DL99" s="1903"/>
      <c r="DM99" s="2236"/>
      <c r="DN99" s="1903"/>
      <c r="DO99" s="1903"/>
      <c r="DP99" s="1903"/>
      <c r="DQ99" s="2236"/>
      <c r="DR99" s="1903"/>
      <c r="DS99" s="1903"/>
      <c r="DT99" s="1903"/>
      <c r="DU99" s="2236"/>
      <c r="DV99" s="1903"/>
      <c r="DW99" s="1903"/>
      <c r="DX99" s="1903"/>
      <c r="DY99" s="2236"/>
      <c r="DZ99" s="1946"/>
    </row>
    <row r="100" spans="1:130" s="1958" customFormat="1" ht="15" customHeight="1" outlineLevel="1">
      <c r="A100" s="2371" t="s">
        <v>224</v>
      </c>
      <c r="B100" s="1946"/>
      <c r="C100" s="1946"/>
      <c r="D100" s="1946"/>
      <c r="E100" s="1946"/>
      <c r="F100" s="1946"/>
      <c r="G100" s="1946"/>
      <c r="H100" s="1946"/>
      <c r="I100" s="1946"/>
      <c r="J100" s="1946"/>
      <c r="K100" s="1946"/>
      <c r="L100" s="1946"/>
      <c r="M100" s="1946"/>
      <c r="N100" s="1946"/>
      <c r="O100" s="1946"/>
      <c r="P100" s="1946"/>
      <c r="Q100" s="1903"/>
      <c r="R100" s="1903"/>
      <c r="S100" s="1903"/>
      <c r="T100" s="1903"/>
      <c r="U100" s="1903"/>
      <c r="V100" s="1946"/>
      <c r="W100" s="1946"/>
      <c r="X100" s="1946"/>
      <c r="Y100" s="1946"/>
      <c r="Z100" s="1946"/>
      <c r="AA100" s="1903"/>
      <c r="AB100" s="1903"/>
      <c r="AC100" s="1903"/>
      <c r="AD100" s="1903"/>
      <c r="AE100" s="1903"/>
      <c r="AF100" s="1903"/>
      <c r="AG100" s="1903"/>
      <c r="AH100" s="1947"/>
      <c r="AI100" s="1927"/>
      <c r="AJ100" s="1947"/>
      <c r="AK100" s="1946"/>
      <c r="AL100" s="1946"/>
      <c r="AM100" s="1946"/>
      <c r="AN100" s="1946"/>
      <c r="AO100" s="1946"/>
      <c r="AP100" s="1946"/>
      <c r="AQ100" s="1946"/>
      <c r="AR100" s="1946"/>
      <c r="AS100" s="1946"/>
      <c r="AT100" s="1946"/>
      <c r="AU100" s="1946"/>
      <c r="AV100" s="1946"/>
      <c r="AW100" s="1946"/>
      <c r="AX100" s="1946"/>
      <c r="AY100" s="1946"/>
      <c r="AZ100" s="1946"/>
      <c r="BA100" s="1946"/>
      <c r="BB100" s="1946"/>
      <c r="BC100" s="1946"/>
      <c r="BD100" s="1946"/>
      <c r="BE100" s="1946"/>
      <c r="BF100" s="1946"/>
      <c r="BG100" s="1946"/>
      <c r="BH100" s="1946"/>
      <c r="BI100" s="1946"/>
      <c r="BJ100" s="1946"/>
      <c r="BK100" s="1946"/>
      <c r="BL100" s="1946"/>
      <c r="BM100" s="1946"/>
      <c r="BN100" s="1946"/>
      <c r="BO100" s="1946"/>
      <c r="BP100" s="1946"/>
      <c r="BQ100" s="1946"/>
      <c r="BR100" s="2202">
        <f>BS100+899</f>
        <v>42798</v>
      </c>
      <c r="BS100" s="2200">
        <f>BT100+899</f>
        <v>41899</v>
      </c>
      <c r="BT100" s="2200">
        <v>41000</v>
      </c>
      <c r="BU100" s="2368">
        <f>BT100-899</f>
        <v>40101</v>
      </c>
      <c r="BV100" s="2369">
        <f>BU100-899</f>
        <v>39202</v>
      </c>
      <c r="BW100" s="2368">
        <f>BV100-899</f>
        <v>38303</v>
      </c>
      <c r="BX100" s="2368">
        <f>BW100-899</f>
        <v>37404</v>
      </c>
      <c r="BY100" s="2368">
        <f>BX100-899</f>
        <v>36505</v>
      </c>
      <c r="BZ100" s="2369">
        <f t="shared" ref="BZ100:CH100" si="162">BZ101-BY99</f>
        <v>32922</v>
      </c>
      <c r="CA100" s="2368">
        <f t="shared" si="162"/>
        <v>33217</v>
      </c>
      <c r="CB100" s="2368">
        <f t="shared" si="162"/>
        <v>31108</v>
      </c>
      <c r="CC100" s="2368">
        <f t="shared" si="162"/>
        <v>34189</v>
      </c>
      <c r="CD100" s="2369">
        <f t="shared" si="162"/>
        <v>34990</v>
      </c>
      <c r="CE100" s="2368">
        <f t="shared" si="162"/>
        <v>34796</v>
      </c>
      <c r="CF100" s="2368">
        <f t="shared" si="162"/>
        <v>34169</v>
      </c>
      <c r="CG100" s="2370">
        <f t="shared" si="162"/>
        <v>31334</v>
      </c>
      <c r="CH100" s="2369">
        <f t="shared" si="162"/>
        <v>29145</v>
      </c>
      <c r="CI100" s="1903"/>
      <c r="CJ100" s="1903"/>
      <c r="CK100" s="2236"/>
      <c r="CL100" s="1942"/>
      <c r="CM100" s="1903"/>
      <c r="CN100" s="1903"/>
      <c r="CO100" s="1903"/>
      <c r="CQ100" s="1903"/>
      <c r="CR100" s="1903"/>
      <c r="CS100" s="1903"/>
      <c r="CT100" s="1942"/>
      <c r="CU100" s="1903"/>
      <c r="CV100" s="1903"/>
      <c r="CW100" s="2236"/>
      <c r="CX100" s="1942"/>
      <c r="CY100" s="1903"/>
      <c r="CZ100" s="1903"/>
      <c r="DA100" s="1903"/>
      <c r="DB100" s="1942"/>
      <c r="DC100" s="1903"/>
      <c r="DD100" s="1903"/>
      <c r="DE100" s="1903"/>
      <c r="DF100" s="1942"/>
      <c r="DG100" s="1903"/>
      <c r="DH100" s="1903"/>
      <c r="DI100" s="1903"/>
      <c r="DJ100" s="1942"/>
      <c r="DK100" s="1903"/>
      <c r="DL100" s="1903"/>
      <c r="DM100" s="2236"/>
      <c r="DN100" s="1903"/>
      <c r="DO100" s="1903"/>
      <c r="DP100" s="1903"/>
      <c r="DQ100" s="2236"/>
      <c r="DR100" s="1903"/>
      <c r="DS100" s="1903"/>
      <c r="DT100" s="1903"/>
      <c r="DU100" s="2236"/>
      <c r="DV100" s="1903"/>
      <c r="DW100" s="1903"/>
      <c r="DX100" s="1903"/>
      <c r="DY100" s="2236"/>
      <c r="DZ100" s="1946"/>
    </row>
    <row r="101" spans="1:130" s="1958" customFormat="1" ht="15" customHeight="1" outlineLevel="1">
      <c r="A101" s="2371" t="s">
        <v>1567</v>
      </c>
      <c r="L101" s="1958">
        <f>BU101</f>
        <v>248848</v>
      </c>
      <c r="M101" s="1958">
        <f>BY101</f>
        <v>237588</v>
      </c>
      <c r="N101" s="1958">
        <f>CC101</f>
        <v>235272</v>
      </c>
      <c r="O101" s="1958">
        <f>CG101</f>
        <v>232417</v>
      </c>
      <c r="P101" s="1958">
        <f>CK101</f>
        <v>223880</v>
      </c>
      <c r="Q101" s="2141">
        <f>CO101</f>
        <v>222927</v>
      </c>
      <c r="R101" s="2141">
        <f>+CS101</f>
        <v>194400</v>
      </c>
      <c r="S101" s="2141">
        <f>+CW101</f>
        <v>193900</v>
      </c>
      <c r="T101" s="2141">
        <f>+DA101</f>
        <v>183400</v>
      </c>
      <c r="U101" s="2141">
        <f>+DE101</f>
        <v>176800</v>
      </c>
      <c r="V101" s="2141">
        <f>+DI101</f>
        <v>177300</v>
      </c>
      <c r="W101" s="2141">
        <f>+DM101</f>
        <v>177700</v>
      </c>
      <c r="X101" s="2141">
        <f>+DQ101</f>
        <v>160900</v>
      </c>
      <c r="Y101" s="2141">
        <f>+DU101</f>
        <v>155400</v>
      </c>
      <c r="Z101" s="2141">
        <f>+DY101</f>
        <v>151700</v>
      </c>
      <c r="AA101" s="2141">
        <f>Z101*(1+AA103)</f>
        <v>150183</v>
      </c>
      <c r="AB101" s="2141">
        <f t="shared" ref="AB101:AG101" si="163">AA101*(1+AB103)</f>
        <v>148681.17000000001</v>
      </c>
      <c r="AC101" s="2141">
        <f t="shared" si="163"/>
        <v>147194.35830000002</v>
      </c>
      <c r="AD101" s="2141">
        <f t="shared" si="163"/>
        <v>145722.41471700001</v>
      </c>
      <c r="AE101" s="2141">
        <f t="shared" si="163"/>
        <v>144265.19056983001</v>
      </c>
      <c r="AF101" s="2141">
        <f t="shared" si="163"/>
        <v>142822.53866413172</v>
      </c>
      <c r="AG101" s="2141">
        <f t="shared" si="163"/>
        <v>141394.31327749041</v>
      </c>
      <c r="AH101" s="1952"/>
      <c r="AI101" s="1927"/>
      <c r="AJ101" s="1952"/>
      <c r="BR101" s="1936">
        <f>BR99+BR100</f>
        <v>244914</v>
      </c>
      <c r="BS101" s="2141">
        <f>BS99+BS100</f>
        <v>246727</v>
      </c>
      <c r="BT101" s="2141">
        <f>BT99+BT100</f>
        <v>247616</v>
      </c>
      <c r="BU101" s="2141">
        <f>BU99+BU100</f>
        <v>248848</v>
      </c>
      <c r="BV101" s="1936">
        <f>SUM(BV99:BV100)</f>
        <v>235830</v>
      </c>
      <c r="BW101" s="2141">
        <f>SUM(BW99:BW100)</f>
        <v>237202</v>
      </c>
      <c r="BX101" s="2141">
        <f>SUM(BX99:BX100)</f>
        <v>236751</v>
      </c>
      <c r="BY101" s="2141">
        <f>SUM(BY99:BY100)</f>
        <v>237588</v>
      </c>
      <c r="BZ101" s="1936">
        <f>NormInputs!BP133</f>
        <v>234005</v>
      </c>
      <c r="CA101" s="2141">
        <f>NormInputs!BQ133</f>
        <v>234300</v>
      </c>
      <c r="CB101" s="2141">
        <f>NormInputs!BR133</f>
        <v>232191</v>
      </c>
      <c r="CC101" s="2141">
        <f>NormInputs!BS133</f>
        <v>235272</v>
      </c>
      <c r="CD101" s="1936">
        <f>NormInputs!BT133</f>
        <v>236073</v>
      </c>
      <c r="CE101" s="2141">
        <f>NormInputs!BU133</f>
        <v>235879</v>
      </c>
      <c r="CF101" s="2141">
        <f>NormInputs!BV133</f>
        <v>235252</v>
      </c>
      <c r="CG101" s="1958">
        <f>NormInputs!BW133</f>
        <v>232417</v>
      </c>
      <c r="CH101" s="1936">
        <f>NormInputs!BX133</f>
        <v>230228</v>
      </c>
      <c r="CI101" s="2141">
        <f>NormInputs!BY133</f>
        <v>228633</v>
      </c>
      <c r="CJ101" s="2141">
        <f>NormInputs!BZ133</f>
        <v>228315</v>
      </c>
      <c r="CK101" s="1958">
        <f>NormInputs!CA133</f>
        <v>223880</v>
      </c>
      <c r="CL101" s="1936">
        <f>NormInputs!CB133</f>
        <v>237255</v>
      </c>
      <c r="CM101" s="2141">
        <f>NormInputs!CC133</f>
        <v>235326</v>
      </c>
      <c r="CN101" s="2141">
        <f>NormInputs!CD133</f>
        <v>230340</v>
      </c>
      <c r="CO101" s="2141">
        <f>NormInputs!CE133</f>
        <v>222927</v>
      </c>
      <c r="CP101" s="1936">
        <f>NormInputs!CF133</f>
        <v>217100</v>
      </c>
      <c r="CQ101" s="2141">
        <f>NormInputs!CG133</f>
        <v>210800</v>
      </c>
      <c r="CR101" s="2141">
        <f>NormInputs!CH133</f>
        <v>195100</v>
      </c>
      <c r="CS101" s="2141">
        <f>NormInputs!CI133</f>
        <v>194400</v>
      </c>
      <c r="CT101" s="1936">
        <f>NormInputs!CJ133</f>
        <v>196200</v>
      </c>
      <c r="CU101" s="2141">
        <f>NormInputs!CK133</f>
        <v>195900</v>
      </c>
      <c r="CV101" s="2141">
        <f>NormInputs!CL133</f>
        <v>195400</v>
      </c>
      <c r="CW101" s="1958">
        <f>NormInputs!CM133</f>
        <v>193900</v>
      </c>
      <c r="CX101" s="1936">
        <f>NormInputs!CN133</f>
        <v>191800</v>
      </c>
      <c r="CY101" s="2141">
        <f>NormInputs!CO133</f>
        <v>188200</v>
      </c>
      <c r="CZ101" s="2141">
        <f>NormInputs!CP133</f>
        <v>184500</v>
      </c>
      <c r="DA101" s="2141">
        <f>NormInputs!CQ133</f>
        <v>183400</v>
      </c>
      <c r="DB101" s="1936">
        <f>NormInputs!CR133</f>
        <v>181900</v>
      </c>
      <c r="DC101" s="2141">
        <f>NormInputs!CS133</f>
        <v>180900</v>
      </c>
      <c r="DD101" s="2141">
        <f>NormInputs!CT133</f>
        <v>178300</v>
      </c>
      <c r="DE101" s="2141">
        <f>NormInputs!CU133</f>
        <v>176800</v>
      </c>
      <c r="DF101" s="1936">
        <f>NormInputs!CV133</f>
        <v>176900</v>
      </c>
      <c r="DG101" s="2141">
        <f>NormInputs!CW133</f>
        <v>177800</v>
      </c>
      <c r="DH101" s="2141">
        <f>NormInputs!CX133</f>
        <v>178500</v>
      </c>
      <c r="DI101" s="2141">
        <f>NormInputs!CY133</f>
        <v>177300</v>
      </c>
      <c r="DJ101" s="2501">
        <f>NormInputs!CZ133</f>
        <v>176200</v>
      </c>
      <c r="DK101" s="2502">
        <f>NormInputs!DA133</f>
        <v>178500</v>
      </c>
      <c r="DL101" s="2502">
        <f>NormInputs!DB133</f>
        <v>177900</v>
      </c>
      <c r="DM101" s="2503">
        <f>NormInputs!DC133</f>
        <v>177700</v>
      </c>
      <c r="DN101" s="2502">
        <f>NormInputs!DD133</f>
        <v>173300</v>
      </c>
      <c r="DO101" s="2502">
        <f>NormInputs!DE133</f>
        <v>162700</v>
      </c>
      <c r="DP101" s="2502">
        <f>NormInputs!DF133</f>
        <v>162000</v>
      </c>
      <c r="DQ101" s="2503">
        <f>NormInputs!DG133</f>
        <v>160900</v>
      </c>
      <c r="DR101" s="2502">
        <f>NormInputs!DH133</f>
        <v>161000</v>
      </c>
      <c r="DS101" s="2502">
        <f>NormInputs!DI133</f>
        <v>163400</v>
      </c>
      <c r="DT101" s="2502">
        <f>NormInputs!DJ133</f>
        <v>160100</v>
      </c>
      <c r="DU101" s="2503">
        <f>NormInputs!DK133</f>
        <v>155400</v>
      </c>
      <c r="DV101" s="2502">
        <f>NormInputs!DL133</f>
        <v>154700</v>
      </c>
      <c r="DW101" s="2141">
        <f t="shared" ref="DW101" si="164">DV101+DW102</f>
        <v>153700</v>
      </c>
      <c r="DX101" s="2141">
        <f t="shared" ref="DX101" si="165">DW101+DX102</f>
        <v>152700</v>
      </c>
      <c r="DY101" s="2472">
        <f t="shared" ref="DY101" si="166">DX101+DY102</f>
        <v>151700</v>
      </c>
    </row>
    <row r="102" spans="1:130" s="1958" customFormat="1" ht="15" customHeight="1" outlineLevel="1">
      <c r="A102" s="2372" t="s">
        <v>1568</v>
      </c>
      <c r="M102" s="1958">
        <f t="shared" ref="M102:AA102" si="167">M101-L101</f>
        <v>-11260</v>
      </c>
      <c r="N102" s="1958">
        <f t="shared" si="167"/>
        <v>-2316</v>
      </c>
      <c r="O102" s="1958">
        <f t="shared" si="167"/>
        <v>-2855</v>
      </c>
      <c r="P102" s="1958">
        <f t="shared" si="167"/>
        <v>-8537</v>
      </c>
      <c r="Q102" s="2141">
        <f t="shared" si="167"/>
        <v>-953</v>
      </c>
      <c r="R102" s="2141">
        <f t="shared" si="167"/>
        <v>-28527</v>
      </c>
      <c r="S102" s="2141">
        <f t="shared" si="167"/>
        <v>-500</v>
      </c>
      <c r="T102" s="2141">
        <f t="shared" si="167"/>
        <v>-10500</v>
      </c>
      <c r="U102" s="2141">
        <f t="shared" si="167"/>
        <v>-6600</v>
      </c>
      <c r="V102" s="2141">
        <f t="shared" si="167"/>
        <v>500</v>
      </c>
      <c r="W102" s="2141">
        <f>W101-V101</f>
        <v>400</v>
      </c>
      <c r="X102" s="2141">
        <f>X101-W101</f>
        <v>-16800</v>
      </c>
      <c r="Y102" s="2141">
        <f>Y101-X101</f>
        <v>-5500</v>
      </c>
      <c r="Z102" s="2141">
        <f>Z101-Y101</f>
        <v>-3700</v>
      </c>
      <c r="AA102" s="2141">
        <f t="shared" si="167"/>
        <v>-1517</v>
      </c>
      <c r="AB102" s="2141">
        <f t="shared" ref="AB102" si="168">AB101-AA101</f>
        <v>-1501.8299999999872</v>
      </c>
      <c r="AC102" s="2141">
        <f t="shared" ref="AC102" si="169">AC101-AB101</f>
        <v>-1486.8116999999911</v>
      </c>
      <c r="AD102" s="2141">
        <f t="shared" ref="AD102" si="170">AD101-AC101</f>
        <v>-1471.9435830000148</v>
      </c>
      <c r="AE102" s="2141">
        <f t="shared" ref="AE102" si="171">AE101-AD101</f>
        <v>-1457.2241471699963</v>
      </c>
      <c r="AF102" s="2141">
        <f t="shared" ref="AF102" si="172">AF101-AE101</f>
        <v>-1442.6519056982943</v>
      </c>
      <c r="AG102" s="2141">
        <f t="shared" ref="AG102" si="173">AG101-AF101</f>
        <v>-1428.2253866413084</v>
      </c>
      <c r="AH102" s="1952"/>
      <c r="AI102" s="1927"/>
      <c r="AJ102" s="1952"/>
      <c r="BR102" s="1936"/>
      <c r="BS102" s="2141">
        <f t="shared" ref="BS102:CQ102" si="174">BS101-BR101</f>
        <v>1813</v>
      </c>
      <c r="BT102" s="2141">
        <f t="shared" si="174"/>
        <v>889</v>
      </c>
      <c r="BU102" s="2141">
        <f t="shared" si="174"/>
        <v>1232</v>
      </c>
      <c r="BV102" s="1936">
        <f t="shared" si="174"/>
        <v>-13018</v>
      </c>
      <c r="BW102" s="2141">
        <f t="shared" si="174"/>
        <v>1372</v>
      </c>
      <c r="BX102" s="2141">
        <f t="shared" si="174"/>
        <v>-451</v>
      </c>
      <c r="BY102" s="2141">
        <f t="shared" si="174"/>
        <v>837</v>
      </c>
      <c r="BZ102" s="1936">
        <f t="shared" si="174"/>
        <v>-3583</v>
      </c>
      <c r="CA102" s="2141">
        <f t="shared" si="174"/>
        <v>295</v>
      </c>
      <c r="CB102" s="2141">
        <f t="shared" si="174"/>
        <v>-2109</v>
      </c>
      <c r="CC102" s="2141">
        <f t="shared" si="174"/>
        <v>3081</v>
      </c>
      <c r="CD102" s="1936">
        <f t="shared" si="174"/>
        <v>801</v>
      </c>
      <c r="CE102" s="2141">
        <f t="shared" si="174"/>
        <v>-194</v>
      </c>
      <c r="CF102" s="2141">
        <f t="shared" si="174"/>
        <v>-627</v>
      </c>
      <c r="CG102" s="1958">
        <f t="shared" si="174"/>
        <v>-2835</v>
      </c>
      <c r="CH102" s="1936">
        <f t="shared" si="174"/>
        <v>-2189</v>
      </c>
      <c r="CI102" s="2141">
        <f t="shared" si="174"/>
        <v>-1595</v>
      </c>
      <c r="CJ102" s="2141">
        <f t="shared" si="174"/>
        <v>-318</v>
      </c>
      <c r="CK102" s="1958">
        <f t="shared" si="174"/>
        <v>-4435</v>
      </c>
      <c r="CL102" s="1936">
        <f t="shared" si="174"/>
        <v>13375</v>
      </c>
      <c r="CM102" s="2141">
        <f t="shared" si="174"/>
        <v>-1929</v>
      </c>
      <c r="CN102" s="2141">
        <f t="shared" si="174"/>
        <v>-4986</v>
      </c>
      <c r="CO102" s="2141">
        <f t="shared" si="174"/>
        <v>-7413</v>
      </c>
      <c r="CP102" s="1936">
        <f t="shared" si="174"/>
        <v>-5827</v>
      </c>
      <c r="CQ102" s="2141">
        <f t="shared" si="174"/>
        <v>-6300</v>
      </c>
      <c r="CR102" s="2141">
        <f>CR101-CQ101+9200</f>
        <v>-6500</v>
      </c>
      <c r="CS102" s="2141">
        <f t="shared" ref="CS102:DV102" si="175">CS101-CR101</f>
        <v>-700</v>
      </c>
      <c r="CT102" s="1936">
        <f t="shared" si="175"/>
        <v>1800</v>
      </c>
      <c r="CU102" s="2141">
        <f t="shared" si="175"/>
        <v>-300</v>
      </c>
      <c r="CV102" s="2141">
        <f t="shared" si="175"/>
        <v>-500</v>
      </c>
      <c r="CW102" s="1958">
        <f t="shared" si="175"/>
        <v>-1500</v>
      </c>
      <c r="CX102" s="1936">
        <f t="shared" si="175"/>
        <v>-2100</v>
      </c>
      <c r="CY102" s="2141">
        <f t="shared" si="175"/>
        <v>-3600</v>
      </c>
      <c r="CZ102" s="2141">
        <f t="shared" si="175"/>
        <v>-3700</v>
      </c>
      <c r="DA102" s="2141">
        <f t="shared" si="175"/>
        <v>-1100</v>
      </c>
      <c r="DB102" s="1936">
        <f t="shared" si="175"/>
        <v>-1500</v>
      </c>
      <c r="DC102" s="2141">
        <f t="shared" si="175"/>
        <v>-1000</v>
      </c>
      <c r="DD102" s="2141">
        <f t="shared" si="175"/>
        <v>-2600</v>
      </c>
      <c r="DE102" s="2141">
        <f t="shared" si="175"/>
        <v>-1500</v>
      </c>
      <c r="DF102" s="1936">
        <f t="shared" si="175"/>
        <v>100</v>
      </c>
      <c r="DG102" s="2141">
        <f t="shared" si="175"/>
        <v>900</v>
      </c>
      <c r="DH102" s="2141">
        <f t="shared" si="175"/>
        <v>700</v>
      </c>
      <c r="DI102" s="2141">
        <f t="shared" si="175"/>
        <v>-1200</v>
      </c>
      <c r="DJ102" s="1936">
        <f t="shared" si="175"/>
        <v>-1100</v>
      </c>
      <c r="DK102" s="2141">
        <f t="shared" si="175"/>
        <v>2300</v>
      </c>
      <c r="DL102" s="2141">
        <f t="shared" si="175"/>
        <v>-600</v>
      </c>
      <c r="DM102" s="2472">
        <f t="shared" si="175"/>
        <v>-200</v>
      </c>
      <c r="DN102" s="2141">
        <f t="shared" si="175"/>
        <v>-4400</v>
      </c>
      <c r="DO102" s="2141">
        <f t="shared" si="175"/>
        <v>-10600</v>
      </c>
      <c r="DP102" s="2141">
        <f t="shared" si="175"/>
        <v>-700</v>
      </c>
      <c r="DQ102" s="2472">
        <f t="shared" si="175"/>
        <v>-1100</v>
      </c>
      <c r="DR102" s="2141">
        <f t="shared" si="175"/>
        <v>100</v>
      </c>
      <c r="DS102" s="2141">
        <f t="shared" si="175"/>
        <v>2400</v>
      </c>
      <c r="DT102" s="2141">
        <f t="shared" si="175"/>
        <v>-3300</v>
      </c>
      <c r="DU102" s="2472">
        <f t="shared" si="175"/>
        <v>-4700</v>
      </c>
      <c r="DV102" s="2141">
        <f t="shared" si="175"/>
        <v>-700</v>
      </c>
      <c r="DW102" s="2313">
        <v>-1000</v>
      </c>
      <c r="DX102" s="2313">
        <v>-1000</v>
      </c>
      <c r="DY102" s="2314">
        <v>-1000</v>
      </c>
      <c r="DZ102" s="1946"/>
    </row>
    <row r="103" spans="1:130" s="1958" customFormat="1" ht="15" customHeight="1" outlineLevel="1">
      <c r="A103" s="2372" t="s">
        <v>949</v>
      </c>
      <c r="M103" s="1958">
        <f t="shared" ref="M103:V103" si="176">M101/L101-1</f>
        <v>-4.5248505111554094E-2</v>
      </c>
      <c r="N103" s="1958">
        <f t="shared" si="176"/>
        <v>-9.7479670690439058E-3</v>
      </c>
      <c r="O103" s="1958">
        <f t="shared" si="176"/>
        <v>-1.2134890679723842E-2</v>
      </c>
      <c r="P103" s="1958">
        <f t="shared" si="176"/>
        <v>-3.6731392281975972E-2</v>
      </c>
      <c r="Q103" s="2207">
        <f t="shared" si="176"/>
        <v>-4.2567446846525359E-3</v>
      </c>
      <c r="R103" s="2207">
        <f t="shared" si="176"/>
        <v>-0.12796565691908113</v>
      </c>
      <c r="S103" s="2207">
        <f t="shared" si="176"/>
        <v>-2.5720164609053242E-3</v>
      </c>
      <c r="T103" s="2207">
        <f t="shared" si="176"/>
        <v>-5.4151624548736454E-2</v>
      </c>
      <c r="U103" s="2207">
        <f t="shared" si="176"/>
        <v>-3.598691384950925E-2</v>
      </c>
      <c r="V103" s="2207">
        <f t="shared" si="176"/>
        <v>2.8280542986425239E-3</v>
      </c>
      <c r="W103" s="2207">
        <f>W101/V101-1</f>
        <v>2.256063169768785E-3</v>
      </c>
      <c r="X103" s="2207">
        <f>X101/W101-1</f>
        <v>-9.4541361845807526E-2</v>
      </c>
      <c r="Y103" s="2207">
        <f>Y101/X101-1</f>
        <v>-3.4182722187694248E-2</v>
      </c>
      <c r="Z103" s="2207">
        <f>Z101/Y101-1</f>
        <v>-2.3809523809523836E-2</v>
      </c>
      <c r="AA103" s="2222">
        <v>-0.01</v>
      </c>
      <c r="AB103" s="2222">
        <v>-0.01</v>
      </c>
      <c r="AC103" s="2222">
        <v>-0.01</v>
      </c>
      <c r="AD103" s="2222">
        <v>-0.01</v>
      </c>
      <c r="AE103" s="2222">
        <v>-0.01</v>
      </c>
      <c r="AF103" s="2222">
        <v>-0.01</v>
      </c>
      <c r="AG103" s="2222">
        <v>-0.01</v>
      </c>
      <c r="AH103" s="1927"/>
      <c r="AI103" s="1927"/>
      <c r="AJ103" s="1927"/>
      <c r="BR103" s="2208"/>
      <c r="BS103" s="2207"/>
      <c r="BT103" s="2207"/>
      <c r="BU103" s="2207"/>
      <c r="BV103" s="2208">
        <f t="shared" ref="BV103:DV103" si="177">BV101/BU101-1</f>
        <v>-5.2313058573908555E-2</v>
      </c>
      <c r="BW103" s="2207">
        <f t="shared" si="177"/>
        <v>5.8177500742060406E-3</v>
      </c>
      <c r="BX103" s="2207">
        <f t="shared" si="177"/>
        <v>-1.9013330410367901E-3</v>
      </c>
      <c r="BY103" s="2207">
        <f t="shared" si="177"/>
        <v>3.5353599351217735E-3</v>
      </c>
      <c r="BZ103" s="2208">
        <f t="shared" si="177"/>
        <v>-1.5080727982894726E-2</v>
      </c>
      <c r="CA103" s="2207">
        <f t="shared" si="177"/>
        <v>1.2606568235722371E-3</v>
      </c>
      <c r="CB103" s="2207">
        <f t="shared" si="177"/>
        <v>-9.0012804097311383E-3</v>
      </c>
      <c r="CC103" s="2207">
        <f t="shared" si="177"/>
        <v>1.3269248162073533E-2</v>
      </c>
      <c r="CD103" s="2208">
        <f t="shared" si="177"/>
        <v>3.4045700295828318E-3</v>
      </c>
      <c r="CE103" s="2207">
        <f t="shared" si="177"/>
        <v>-8.2177970373575882E-4</v>
      </c>
      <c r="CF103" s="2207">
        <f t="shared" si="177"/>
        <v>-2.658142522225404E-3</v>
      </c>
      <c r="CG103" s="2209">
        <f t="shared" si="177"/>
        <v>-1.205090711237311E-2</v>
      </c>
      <c r="CH103" s="2208">
        <f t="shared" si="177"/>
        <v>-9.4184160366926895E-3</v>
      </c>
      <c r="CI103" s="2207">
        <f t="shared" si="177"/>
        <v>-6.9279149364976922E-3</v>
      </c>
      <c r="CJ103" s="2207">
        <f t="shared" si="177"/>
        <v>-1.390875332957231E-3</v>
      </c>
      <c r="CK103" s="2209">
        <f t="shared" si="177"/>
        <v>-1.9424917329128655E-2</v>
      </c>
      <c r="CL103" s="2208">
        <f t="shared" si="177"/>
        <v>5.9741825978202545E-2</v>
      </c>
      <c r="CM103" s="2207">
        <f t="shared" si="177"/>
        <v>-8.1304925080609713E-3</v>
      </c>
      <c r="CN103" s="2207">
        <f t="shared" si="177"/>
        <v>-2.118762907626015E-2</v>
      </c>
      <c r="CO103" s="2207">
        <f t="shared" si="177"/>
        <v>-3.2182860119822854E-2</v>
      </c>
      <c r="CP103" s="2208">
        <f t="shared" si="177"/>
        <v>-2.6138601425578778E-2</v>
      </c>
      <c r="CQ103" s="2207">
        <f t="shared" si="177"/>
        <v>-2.9018885306310471E-2</v>
      </c>
      <c r="CR103" s="2207">
        <f t="shared" si="177"/>
        <v>-7.4478178368121428E-2</v>
      </c>
      <c r="CS103" s="2207">
        <f t="shared" si="177"/>
        <v>-3.5879036391593955E-3</v>
      </c>
      <c r="CT103" s="2208">
        <f t="shared" si="177"/>
        <v>9.2592592592593004E-3</v>
      </c>
      <c r="CU103" s="2207">
        <f t="shared" si="177"/>
        <v>-1.5290519877675379E-3</v>
      </c>
      <c r="CV103" s="2207">
        <f t="shared" si="177"/>
        <v>-2.5523226135784061E-3</v>
      </c>
      <c r="CW103" s="2209">
        <f t="shared" si="177"/>
        <v>-7.6765609007164448E-3</v>
      </c>
      <c r="CX103" s="2208">
        <f t="shared" si="177"/>
        <v>-1.0830324909747335E-2</v>
      </c>
      <c r="CY103" s="2207">
        <f t="shared" si="177"/>
        <v>-1.8769551616266922E-2</v>
      </c>
      <c r="CZ103" s="2207">
        <f t="shared" si="177"/>
        <v>-1.9659936238044629E-2</v>
      </c>
      <c r="DA103" s="2207">
        <f t="shared" si="177"/>
        <v>-5.9620596205962606E-3</v>
      </c>
      <c r="DB103" s="2208">
        <f t="shared" si="177"/>
        <v>-8.1788440567066578E-3</v>
      </c>
      <c r="DC103" s="2207">
        <f t="shared" si="177"/>
        <v>-5.4975261132490516E-3</v>
      </c>
      <c r="DD103" s="2207">
        <f t="shared" si="177"/>
        <v>-1.4372581536760687E-2</v>
      </c>
      <c r="DE103" s="2207">
        <f t="shared" si="177"/>
        <v>-8.4127874369041011E-3</v>
      </c>
      <c r="DF103" s="2208">
        <f t="shared" si="177"/>
        <v>5.6561085972850478E-4</v>
      </c>
      <c r="DG103" s="2207">
        <f t="shared" si="177"/>
        <v>5.087620124364145E-3</v>
      </c>
      <c r="DH103" s="2207">
        <f t="shared" si="177"/>
        <v>3.937007874015741E-3</v>
      </c>
      <c r="DI103" s="2207">
        <f t="shared" si="177"/>
        <v>-6.7226890756302282E-3</v>
      </c>
      <c r="DJ103" s="2208">
        <f t="shared" si="177"/>
        <v>-6.2041737168641031E-3</v>
      </c>
      <c r="DK103" s="2207">
        <f t="shared" si="177"/>
        <v>1.3053348467650494E-2</v>
      </c>
      <c r="DL103" s="2207">
        <f t="shared" si="177"/>
        <v>-3.3613445378151141E-3</v>
      </c>
      <c r="DM103" s="2209">
        <f t="shared" si="177"/>
        <v>-1.1242270938729426E-3</v>
      </c>
      <c r="DN103" s="2207">
        <f t="shared" si="177"/>
        <v>-2.4760832864378135E-2</v>
      </c>
      <c r="DO103" s="2207">
        <f t="shared" si="177"/>
        <v>-6.1165608770917479E-2</v>
      </c>
      <c r="DP103" s="2207">
        <f t="shared" si="177"/>
        <v>-4.3023970497848563E-3</v>
      </c>
      <c r="DQ103" s="2209">
        <f t="shared" si="177"/>
        <v>-6.790123456790087E-3</v>
      </c>
      <c r="DR103" s="2207">
        <f t="shared" si="177"/>
        <v>6.2150403977634383E-4</v>
      </c>
      <c r="DS103" s="2207">
        <f t="shared" si="177"/>
        <v>1.4906832298136719E-2</v>
      </c>
      <c r="DT103" s="2207">
        <f t="shared" si="177"/>
        <v>-2.0195838433292534E-2</v>
      </c>
      <c r="DU103" s="2209">
        <f t="shared" si="177"/>
        <v>-2.9356652092442204E-2</v>
      </c>
      <c r="DV103" s="2207">
        <f t="shared" si="177"/>
        <v>-4.5045045045044585E-3</v>
      </c>
      <c r="DW103" s="2207">
        <f t="shared" ref="DW103" si="178">DW101/DV101-1</f>
        <v>-6.4641241111829117E-3</v>
      </c>
      <c r="DX103" s="2207">
        <f t="shared" ref="DX103" si="179">DX101/DW101-1</f>
        <v>-6.5061808718281933E-3</v>
      </c>
      <c r="DY103" s="2209">
        <f t="shared" ref="DY103" si="180">DY101/DX101-1</f>
        <v>-6.5487884741323166E-3</v>
      </c>
      <c r="DZ103" s="1946"/>
    </row>
    <row r="104" spans="1:130" s="1958" customFormat="1" ht="15" customHeight="1" outlineLevel="1">
      <c r="A104" s="2372" t="s">
        <v>1569</v>
      </c>
      <c r="L104" s="1958">
        <f>AVERAGE(BR104:BU104)</f>
        <v>246534.5</v>
      </c>
      <c r="M104" s="1958">
        <f>AVERAGE(BV104:BY104)</f>
        <v>238250.25</v>
      </c>
      <c r="N104" s="1958">
        <f>AVERAGE(BZ104:CC104)</f>
        <v>234231.5</v>
      </c>
      <c r="O104" s="1958">
        <f>AVERAGE(CD104:CG104)</f>
        <v>235262.125</v>
      </c>
      <c r="P104" s="1958">
        <f>AVERAGE(CH104:CK104)</f>
        <v>228831.125</v>
      </c>
      <c r="Q104" s="2141">
        <f>AVERAGE(CL104:CO104)</f>
        <v>231581.125</v>
      </c>
      <c r="R104" s="2141">
        <f>AVERAGE(CP104:CS104)</f>
        <v>207915.875</v>
      </c>
      <c r="S104" s="2141">
        <f>AVERAGE(CT104:CW104)</f>
        <v>195412.5</v>
      </c>
      <c r="T104" s="2141">
        <f>AVERAGE(CX104:DA104)</f>
        <v>188287.5</v>
      </c>
      <c r="U104" s="2141">
        <f>AVERAGE(DB104:DE104)</f>
        <v>180300</v>
      </c>
      <c r="V104" s="2141">
        <f>AVERAGE(DF104:DI104)</f>
        <v>177562.5</v>
      </c>
      <c r="W104" s="2141">
        <f>AVERAGE(DJ104:DM104)</f>
        <v>177525</v>
      </c>
      <c r="X104" s="2141">
        <f>AVERAGE(DN104:DQ104)</f>
        <v>166825</v>
      </c>
      <c r="Y104" s="2141">
        <f>AVERAGE(DR104:DU104)</f>
        <v>160662.5</v>
      </c>
      <c r="Z104" s="2141">
        <f>AVERAGE(DV104:DY104)</f>
        <v>153662.5</v>
      </c>
      <c r="AA104" s="2141">
        <f>AVERAGE(Z101:AA101)</f>
        <v>150941.5</v>
      </c>
      <c r="AB104" s="2141">
        <f t="shared" ref="AB104:AG104" si="181">AVERAGE(AA101:AB101)</f>
        <v>149432.08500000002</v>
      </c>
      <c r="AC104" s="2141">
        <f t="shared" si="181"/>
        <v>147937.76415</v>
      </c>
      <c r="AD104" s="2141">
        <f t="shared" si="181"/>
        <v>146458.38650850003</v>
      </c>
      <c r="AE104" s="2141">
        <f t="shared" si="181"/>
        <v>144993.80264341499</v>
      </c>
      <c r="AF104" s="2141">
        <f t="shared" si="181"/>
        <v>143543.86461698086</v>
      </c>
      <c r="AG104" s="2141">
        <f t="shared" si="181"/>
        <v>142108.42597081105</v>
      </c>
      <c r="AH104" s="1952"/>
      <c r="AI104" s="1927"/>
      <c r="AJ104" s="1952"/>
      <c r="BR104" s="1936">
        <f>BR101</f>
        <v>244914</v>
      </c>
      <c r="BS104" s="2141">
        <f t="shared" ref="BS104:DV104" si="182">AVERAGE(BR101:BS101)</f>
        <v>245820.5</v>
      </c>
      <c r="BT104" s="2141">
        <f t="shared" si="182"/>
        <v>247171.5</v>
      </c>
      <c r="BU104" s="2141">
        <f t="shared" si="182"/>
        <v>248232</v>
      </c>
      <c r="BV104" s="1936">
        <f t="shared" si="182"/>
        <v>242339</v>
      </c>
      <c r="BW104" s="2141">
        <f t="shared" si="182"/>
        <v>236516</v>
      </c>
      <c r="BX104" s="2141">
        <f t="shared" si="182"/>
        <v>236976.5</v>
      </c>
      <c r="BY104" s="2141">
        <f t="shared" si="182"/>
        <v>237169.5</v>
      </c>
      <c r="BZ104" s="1936">
        <f t="shared" si="182"/>
        <v>235796.5</v>
      </c>
      <c r="CA104" s="2141">
        <f t="shared" si="182"/>
        <v>234152.5</v>
      </c>
      <c r="CB104" s="2141">
        <f t="shared" si="182"/>
        <v>233245.5</v>
      </c>
      <c r="CC104" s="2141">
        <f t="shared" si="182"/>
        <v>233731.5</v>
      </c>
      <c r="CD104" s="1936">
        <f t="shared" si="182"/>
        <v>235672.5</v>
      </c>
      <c r="CE104" s="2141">
        <f t="shared" si="182"/>
        <v>235976</v>
      </c>
      <c r="CF104" s="2141">
        <f t="shared" si="182"/>
        <v>235565.5</v>
      </c>
      <c r="CG104" s="1958">
        <f t="shared" si="182"/>
        <v>233834.5</v>
      </c>
      <c r="CH104" s="1936">
        <f t="shared" si="182"/>
        <v>231322.5</v>
      </c>
      <c r="CI104" s="2141">
        <f t="shared" si="182"/>
        <v>229430.5</v>
      </c>
      <c r="CJ104" s="2141">
        <f t="shared" si="182"/>
        <v>228474</v>
      </c>
      <c r="CK104" s="1958">
        <f t="shared" si="182"/>
        <v>226097.5</v>
      </c>
      <c r="CL104" s="1936">
        <f t="shared" si="182"/>
        <v>230567.5</v>
      </c>
      <c r="CM104" s="2141">
        <f t="shared" si="182"/>
        <v>236290.5</v>
      </c>
      <c r="CN104" s="2141">
        <f t="shared" si="182"/>
        <v>232833</v>
      </c>
      <c r="CO104" s="2141">
        <f t="shared" si="182"/>
        <v>226633.5</v>
      </c>
      <c r="CP104" s="1936">
        <f t="shared" si="182"/>
        <v>220013.5</v>
      </c>
      <c r="CQ104" s="2141">
        <f t="shared" si="182"/>
        <v>213950</v>
      </c>
      <c r="CR104" s="2141">
        <f t="shared" si="182"/>
        <v>202950</v>
      </c>
      <c r="CS104" s="2141">
        <f t="shared" si="182"/>
        <v>194750</v>
      </c>
      <c r="CT104" s="1936">
        <f t="shared" si="182"/>
        <v>195300</v>
      </c>
      <c r="CU104" s="2141">
        <f t="shared" si="182"/>
        <v>196050</v>
      </c>
      <c r="CV104" s="2141">
        <f t="shared" si="182"/>
        <v>195650</v>
      </c>
      <c r="CW104" s="1958">
        <f t="shared" si="182"/>
        <v>194650</v>
      </c>
      <c r="CX104" s="1936">
        <f t="shared" si="182"/>
        <v>192850</v>
      </c>
      <c r="CY104" s="2141">
        <f t="shared" si="182"/>
        <v>190000</v>
      </c>
      <c r="CZ104" s="2141">
        <f t="shared" si="182"/>
        <v>186350</v>
      </c>
      <c r="DA104" s="2141">
        <f t="shared" si="182"/>
        <v>183950</v>
      </c>
      <c r="DB104" s="1936">
        <f t="shared" si="182"/>
        <v>182650</v>
      </c>
      <c r="DC104" s="2141">
        <f t="shared" si="182"/>
        <v>181400</v>
      </c>
      <c r="DD104" s="2141">
        <f t="shared" si="182"/>
        <v>179600</v>
      </c>
      <c r="DE104" s="2141">
        <f t="shared" si="182"/>
        <v>177550</v>
      </c>
      <c r="DF104" s="1936">
        <f t="shared" si="182"/>
        <v>176850</v>
      </c>
      <c r="DG104" s="2141">
        <f t="shared" si="182"/>
        <v>177350</v>
      </c>
      <c r="DH104" s="2141">
        <f t="shared" si="182"/>
        <v>178150</v>
      </c>
      <c r="DI104" s="2141">
        <f t="shared" si="182"/>
        <v>177900</v>
      </c>
      <c r="DJ104" s="1936">
        <f t="shared" si="182"/>
        <v>176750</v>
      </c>
      <c r="DK104" s="2141">
        <f t="shared" si="182"/>
        <v>177350</v>
      </c>
      <c r="DL104" s="2141">
        <f t="shared" si="182"/>
        <v>178200</v>
      </c>
      <c r="DM104" s="2472">
        <f t="shared" si="182"/>
        <v>177800</v>
      </c>
      <c r="DN104" s="2141">
        <f t="shared" si="182"/>
        <v>175500</v>
      </c>
      <c r="DO104" s="2141">
        <f t="shared" si="182"/>
        <v>168000</v>
      </c>
      <c r="DP104" s="2141">
        <f t="shared" si="182"/>
        <v>162350</v>
      </c>
      <c r="DQ104" s="2472">
        <f t="shared" si="182"/>
        <v>161450</v>
      </c>
      <c r="DR104" s="2141">
        <f t="shared" si="182"/>
        <v>160950</v>
      </c>
      <c r="DS104" s="2141">
        <f t="shared" si="182"/>
        <v>162200</v>
      </c>
      <c r="DT104" s="2141">
        <f t="shared" si="182"/>
        <v>161750</v>
      </c>
      <c r="DU104" s="2472">
        <f t="shared" si="182"/>
        <v>157750</v>
      </c>
      <c r="DV104" s="2141">
        <f t="shared" si="182"/>
        <v>155050</v>
      </c>
      <c r="DW104" s="2141">
        <f t="shared" ref="DW104" si="183">AVERAGE(DV101:DW101)</f>
        <v>154200</v>
      </c>
      <c r="DX104" s="2141">
        <f t="shared" ref="DX104" si="184">AVERAGE(DW101:DX101)</f>
        <v>153200</v>
      </c>
      <c r="DY104" s="2472">
        <f t="shared" ref="DY104" si="185">AVERAGE(DX101:DY101)</f>
        <v>152200</v>
      </c>
      <c r="DZ104" s="1946"/>
    </row>
    <row r="105" spans="1:130" s="1958" customFormat="1" ht="15" customHeight="1" outlineLevel="1">
      <c r="A105" s="2372" t="s">
        <v>1570</v>
      </c>
      <c r="L105" s="1958">
        <f t="shared" ref="L105:S105" si="186">L107*1000/L104</f>
        <v>68.069376158306454</v>
      </c>
      <c r="M105" s="1958">
        <f t="shared" si="186"/>
        <v>69.154390950817486</v>
      </c>
      <c r="N105" s="1958">
        <f t="shared" si="186"/>
        <v>70.540517830045076</v>
      </c>
      <c r="O105" s="1958">
        <f t="shared" si="186"/>
        <v>71.952662390830426</v>
      </c>
      <c r="P105" s="1958">
        <f t="shared" si="186"/>
        <v>73.386562672317524</v>
      </c>
      <c r="Q105" s="2268">
        <f t="shared" si="186"/>
        <v>74.580956669692981</v>
      </c>
      <c r="R105" s="3061">
        <f t="shared" si="186"/>
        <v>75.862966001781572</v>
      </c>
      <c r="S105" s="3061">
        <f t="shared" si="186"/>
        <v>77.404307692801993</v>
      </c>
      <c r="T105" s="1958">
        <f>T107*1000/T104</f>
        <v>78.94280825516779</v>
      </c>
      <c r="U105" s="2268">
        <f>SUM(DB105:DE105)</f>
        <v>80.531763330158356</v>
      </c>
      <c r="V105" s="2268">
        <f>SUM(DF105:DI105)</f>
        <v>82.14239859676151</v>
      </c>
      <c r="W105" s="2268">
        <f>SUM(DJ105:DM105)</f>
        <v>83.785246568696749</v>
      </c>
      <c r="X105" s="2268">
        <f>SUM(DN105:DQ105)</f>
        <v>85.460951500070678</v>
      </c>
      <c r="Y105" s="2268">
        <f>SUM(DR105:DU105)</f>
        <v>87.170170530072113</v>
      </c>
      <c r="Z105" s="2268">
        <f>SUM(DV105:DY105)</f>
        <v>87.929131262415439</v>
      </c>
      <c r="AA105" s="2268">
        <f>Z105*(1+AA106)</f>
        <v>88.694700005156534</v>
      </c>
      <c r="AB105" s="2268">
        <f t="shared" ref="AB105:AG105" si="187">AA105*(1+AB106)</f>
        <v>89.466934291972137</v>
      </c>
      <c r="AC105" s="2268">
        <f t="shared" si="187"/>
        <v>90.245892157464922</v>
      </c>
      <c r="AD105" s="2268">
        <f t="shared" si="187"/>
        <v>91.031632141524909</v>
      </c>
      <c r="AE105" s="2268">
        <f t="shared" si="187"/>
        <v>91.82421329372886</v>
      </c>
      <c r="AF105" s="2268">
        <f t="shared" si="187"/>
        <v>92.62369517777789</v>
      </c>
      <c r="AG105" s="2268">
        <f t="shared" si="187"/>
        <v>93.430137875973813</v>
      </c>
      <c r="AH105" s="1956"/>
      <c r="AI105" s="1927"/>
      <c r="AJ105" s="1956"/>
      <c r="BR105" s="1939">
        <v>17</v>
      </c>
      <c r="BS105" s="2268">
        <v>17</v>
      </c>
      <c r="BT105" s="2268">
        <f>BS105+0.023</f>
        <v>17.023</v>
      </c>
      <c r="BU105" s="2268">
        <f>BT105+0.023</f>
        <v>17.045999999999999</v>
      </c>
      <c r="BV105" s="1939">
        <f>BU105+0.023</f>
        <v>17.068999999999999</v>
      </c>
      <c r="BW105" s="2268">
        <f t="shared" ref="BW105:DG105" si="188">BS105*(1+BW106)</f>
        <v>17.34</v>
      </c>
      <c r="BX105" s="2268">
        <f t="shared" si="188"/>
        <v>17.36346</v>
      </c>
      <c r="BY105" s="2268">
        <f t="shared" si="188"/>
        <v>17.38692</v>
      </c>
      <c r="BZ105" s="1939">
        <f t="shared" si="188"/>
        <v>17.41038</v>
      </c>
      <c r="CA105" s="2268">
        <f t="shared" si="188"/>
        <v>17.686800000000002</v>
      </c>
      <c r="CB105" s="2268">
        <f t="shared" si="188"/>
        <v>17.710729199999999</v>
      </c>
      <c r="CC105" s="2268">
        <f t="shared" si="188"/>
        <v>17.734658400000001</v>
      </c>
      <c r="CD105" s="1939">
        <f t="shared" si="188"/>
        <v>17.758587600000002</v>
      </c>
      <c r="CE105" s="2268">
        <f t="shared" si="188"/>
        <v>18.040536000000003</v>
      </c>
      <c r="CF105" s="2268">
        <f t="shared" si="188"/>
        <v>18.064943784</v>
      </c>
      <c r="CG105" s="2273">
        <f t="shared" si="188"/>
        <v>18.089351568000001</v>
      </c>
      <c r="CH105" s="1939">
        <f t="shared" si="188"/>
        <v>18.113759352000002</v>
      </c>
      <c r="CI105" s="2268">
        <f t="shared" si="188"/>
        <v>18.400625098560003</v>
      </c>
      <c r="CJ105" s="2268">
        <f t="shared" si="188"/>
        <v>18.425520061928641</v>
      </c>
      <c r="CK105" s="2273">
        <f t="shared" si="188"/>
        <v>18.450415025297282</v>
      </c>
      <c r="CL105" s="1939">
        <f t="shared" si="188"/>
        <v>18.475309988665924</v>
      </c>
      <c r="CM105" s="2268">
        <f t="shared" si="188"/>
        <v>18.676634475038401</v>
      </c>
      <c r="CN105" s="2268">
        <f t="shared" si="188"/>
        <v>18.701902862857569</v>
      </c>
      <c r="CO105" s="2268">
        <f t="shared" si="188"/>
        <v>18.72717125067674</v>
      </c>
      <c r="CP105" s="1939">
        <f t="shared" si="188"/>
        <v>18.752439638495911</v>
      </c>
      <c r="CQ105" s="2268">
        <f t="shared" si="188"/>
        <v>18.956783992163977</v>
      </c>
      <c r="CR105" s="2268">
        <f t="shared" si="188"/>
        <v>19.075940920114721</v>
      </c>
      <c r="CS105" s="2268">
        <f t="shared" si="188"/>
        <v>19.101714675690275</v>
      </c>
      <c r="CT105" s="1939">
        <f t="shared" si="188"/>
        <v>19.127488431265828</v>
      </c>
      <c r="CU105" s="2268">
        <f t="shared" si="188"/>
        <v>19.335919672007257</v>
      </c>
      <c r="CV105" s="2268">
        <f t="shared" si="188"/>
        <v>19.457459738517016</v>
      </c>
      <c r="CW105" s="2273">
        <f t="shared" si="188"/>
        <v>19.483748969204079</v>
      </c>
      <c r="CX105" s="1939">
        <f t="shared" si="188"/>
        <v>19.510038199891145</v>
      </c>
      <c r="CY105" s="2268">
        <f t="shared" si="188"/>
        <v>19.722638065447402</v>
      </c>
      <c r="CZ105" s="2268">
        <f t="shared" si="188"/>
        <v>19.846608933287357</v>
      </c>
      <c r="DA105" s="2268">
        <f t="shared" si="188"/>
        <v>19.873423948588162</v>
      </c>
      <c r="DB105" s="1939">
        <f t="shared" si="188"/>
        <v>19.900238963888967</v>
      </c>
      <c r="DC105" s="2268">
        <f t="shared" si="188"/>
        <v>20.11709082675635</v>
      </c>
      <c r="DD105" s="2268">
        <f t="shared" si="188"/>
        <v>20.243541111953103</v>
      </c>
      <c r="DE105" s="2268">
        <f t="shared" si="188"/>
        <v>20.270892427559925</v>
      </c>
      <c r="DF105" s="1939">
        <f t="shared" si="188"/>
        <v>20.298243743166747</v>
      </c>
      <c r="DG105" s="2268">
        <f t="shared" si="188"/>
        <v>20.519432643291477</v>
      </c>
      <c r="DH105" s="2268">
        <f t="shared" ref="DH105:DV105" si="189">DD105*(1+DH106)</f>
        <v>20.648411934192165</v>
      </c>
      <c r="DI105" s="2268">
        <f t="shared" si="189"/>
        <v>20.676310276111124</v>
      </c>
      <c r="DJ105" s="1939">
        <f t="shared" si="189"/>
        <v>20.704208618030083</v>
      </c>
      <c r="DK105" s="2268">
        <f t="shared" si="189"/>
        <v>20.929821296157307</v>
      </c>
      <c r="DL105" s="2268">
        <f t="shared" si="189"/>
        <v>21.06138017287601</v>
      </c>
      <c r="DM105" s="2273">
        <f t="shared" si="189"/>
        <v>21.089836481633348</v>
      </c>
      <c r="DN105" s="2268">
        <f t="shared" si="189"/>
        <v>21.118292790390687</v>
      </c>
      <c r="DO105" s="2268">
        <f t="shared" si="189"/>
        <v>21.348417722080455</v>
      </c>
      <c r="DP105" s="2268">
        <f t="shared" si="189"/>
        <v>21.482607776333531</v>
      </c>
      <c r="DQ105" s="2273">
        <f t="shared" si="189"/>
        <v>21.511633211266016</v>
      </c>
      <c r="DR105" s="2268">
        <f t="shared" si="189"/>
        <v>21.540658646198501</v>
      </c>
      <c r="DS105" s="2268">
        <f t="shared" si="189"/>
        <v>21.775386076522064</v>
      </c>
      <c r="DT105" s="2268">
        <f t="shared" si="189"/>
        <v>21.912259931860202</v>
      </c>
      <c r="DU105" s="2273">
        <f t="shared" si="189"/>
        <v>21.941865875491338</v>
      </c>
      <c r="DV105" s="2268">
        <f t="shared" si="189"/>
        <v>21.97147181912247</v>
      </c>
      <c r="DW105" s="2268">
        <f t="shared" ref="DW105" si="190">DS105*(1+DW106)</f>
        <v>21.884263006904671</v>
      </c>
      <c r="DX105" s="2268">
        <f t="shared" ref="DX105" si="191">DT105*(1+DX106)</f>
        <v>22.0218212315195</v>
      </c>
      <c r="DY105" s="2273">
        <f t="shared" ref="DY105" si="192">DU105*(1+DY106)</f>
        <v>22.051575204868794</v>
      </c>
      <c r="DZ105" s="1946"/>
    </row>
    <row r="106" spans="1:130" s="1958" customFormat="1" ht="15" customHeight="1" outlineLevel="1">
      <c r="A106" s="2372" t="s">
        <v>1453</v>
      </c>
      <c r="M106" s="1958">
        <f t="shared" ref="M106:V106" si="193">M105/L105-1</f>
        <v>1.5939837467992213E-2</v>
      </c>
      <c r="N106" s="1958">
        <f t="shared" si="193"/>
        <v>2.0043946019471237E-2</v>
      </c>
      <c r="O106" s="1958">
        <f t="shared" si="193"/>
        <v>2.0018914011769251E-2</v>
      </c>
      <c r="P106" s="1958">
        <f t="shared" si="193"/>
        <v>1.9928383938018657E-2</v>
      </c>
      <c r="Q106" s="2207">
        <f t="shared" si="193"/>
        <v>1.627537731544404E-2</v>
      </c>
      <c r="R106" s="2207">
        <f t="shared" si="193"/>
        <v>1.7189499697173316E-2</v>
      </c>
      <c r="S106" s="2207">
        <f>S105/R105-1</f>
        <v>2.0317445682050295E-2</v>
      </c>
      <c r="T106" s="2207">
        <f>T105/S105-1</f>
        <v>1.9876162040899814E-2</v>
      </c>
      <c r="U106" s="2207">
        <f>U105/T105-1</f>
        <v>2.0127926914565331E-2</v>
      </c>
      <c r="V106" s="2207">
        <f t="shared" si="193"/>
        <v>1.9999999999999796E-2</v>
      </c>
      <c r="W106" s="2207">
        <f>W105/V105-1</f>
        <v>2.0000000000000018E-2</v>
      </c>
      <c r="X106" s="2207">
        <f>X105/W105-1</f>
        <v>2.0000000000000018E-2</v>
      </c>
      <c r="Y106" s="2207">
        <f>Y105/X105-1</f>
        <v>2.000000000000024E-2</v>
      </c>
      <c r="Z106" s="2207">
        <f>Z105/Y105-1</f>
        <v>8.7066565056390655E-3</v>
      </c>
      <c r="AA106" s="2222">
        <f>+Z106</f>
        <v>8.7066565056390655E-3</v>
      </c>
      <c r="AB106" s="2222">
        <f t="shared" ref="AB106:AG106" si="194">+AA106</f>
        <v>8.7066565056390655E-3</v>
      </c>
      <c r="AC106" s="2222">
        <f t="shared" si="194"/>
        <v>8.7066565056390655E-3</v>
      </c>
      <c r="AD106" s="2222">
        <f t="shared" si="194"/>
        <v>8.7066565056390655E-3</v>
      </c>
      <c r="AE106" s="2222">
        <f t="shared" si="194"/>
        <v>8.7066565056390655E-3</v>
      </c>
      <c r="AF106" s="2222">
        <f t="shared" si="194"/>
        <v>8.7066565056390655E-3</v>
      </c>
      <c r="AG106" s="2222">
        <f t="shared" si="194"/>
        <v>8.7066565056390655E-3</v>
      </c>
      <c r="AH106" s="1927"/>
      <c r="AI106" s="1927"/>
      <c r="AJ106" s="1927"/>
      <c r="BR106" s="2208"/>
      <c r="BS106" s="2207"/>
      <c r="BT106" s="2207"/>
      <c r="BU106" s="2207"/>
      <c r="BV106" s="2208"/>
      <c r="BW106" s="2222">
        <v>0.02</v>
      </c>
      <c r="BX106" s="2222">
        <v>0.02</v>
      </c>
      <c r="BY106" s="2222">
        <v>0.02</v>
      </c>
      <c r="BZ106" s="2253">
        <f t="shared" ref="BZ106:CH106" si="195">BY106</f>
        <v>0.02</v>
      </c>
      <c r="CA106" s="2222">
        <f t="shared" si="195"/>
        <v>0.02</v>
      </c>
      <c r="CB106" s="2222">
        <f t="shared" si="195"/>
        <v>0.02</v>
      </c>
      <c r="CC106" s="2222">
        <f t="shared" si="195"/>
        <v>0.02</v>
      </c>
      <c r="CD106" s="2253">
        <f t="shared" si="195"/>
        <v>0.02</v>
      </c>
      <c r="CE106" s="2222">
        <f t="shared" si="195"/>
        <v>0.02</v>
      </c>
      <c r="CF106" s="2222">
        <f t="shared" si="195"/>
        <v>0.02</v>
      </c>
      <c r="CG106" s="2223">
        <f t="shared" si="195"/>
        <v>0.02</v>
      </c>
      <c r="CH106" s="2253">
        <f t="shared" si="195"/>
        <v>0.02</v>
      </c>
      <c r="CI106" s="2222">
        <v>1.9959999999999999E-2</v>
      </c>
      <c r="CJ106" s="2222">
        <v>1.9959999999999999E-2</v>
      </c>
      <c r="CK106" s="2223">
        <v>1.9959999999999999E-2</v>
      </c>
      <c r="CL106" s="2253">
        <f>+CK106</f>
        <v>1.9959999999999999E-2</v>
      </c>
      <c r="CM106" s="2222">
        <v>1.4999999999999999E-2</v>
      </c>
      <c r="CN106" s="2222">
        <f>+CM106</f>
        <v>1.4999999999999999E-2</v>
      </c>
      <c r="CO106" s="2222">
        <f>+CN106</f>
        <v>1.4999999999999999E-2</v>
      </c>
      <c r="CP106" s="2253">
        <f>+CO106</f>
        <v>1.4999999999999999E-2</v>
      </c>
      <c r="CQ106" s="2222">
        <f>+CP106</f>
        <v>1.4999999999999999E-2</v>
      </c>
      <c r="CR106" s="2222">
        <v>0.02</v>
      </c>
      <c r="CS106" s="2222">
        <f t="shared" ref="CS106:DE106" si="196">+CR106</f>
        <v>0.02</v>
      </c>
      <c r="CT106" s="2253">
        <f t="shared" si="196"/>
        <v>0.02</v>
      </c>
      <c r="CU106" s="2222">
        <f t="shared" si="196"/>
        <v>0.02</v>
      </c>
      <c r="CV106" s="2222">
        <f t="shared" si="196"/>
        <v>0.02</v>
      </c>
      <c r="CW106" s="2223">
        <f t="shared" si="196"/>
        <v>0.02</v>
      </c>
      <c r="CX106" s="2253">
        <f t="shared" si="196"/>
        <v>0.02</v>
      </c>
      <c r="CY106" s="2222">
        <f t="shared" si="196"/>
        <v>0.02</v>
      </c>
      <c r="CZ106" s="2222">
        <f t="shared" si="196"/>
        <v>0.02</v>
      </c>
      <c r="DA106" s="2222">
        <f t="shared" si="196"/>
        <v>0.02</v>
      </c>
      <c r="DB106" s="2253">
        <f t="shared" si="196"/>
        <v>0.02</v>
      </c>
      <c r="DC106" s="2222">
        <f t="shared" si="196"/>
        <v>0.02</v>
      </c>
      <c r="DD106" s="2222">
        <f t="shared" si="196"/>
        <v>0.02</v>
      </c>
      <c r="DE106" s="2222">
        <f t="shared" si="196"/>
        <v>0.02</v>
      </c>
      <c r="DF106" s="2253">
        <f t="shared" ref="DF106:DV106" si="197">+DE106</f>
        <v>0.02</v>
      </c>
      <c r="DG106" s="2222">
        <f t="shared" si="197"/>
        <v>0.02</v>
      </c>
      <c r="DH106" s="2222">
        <f t="shared" si="197"/>
        <v>0.02</v>
      </c>
      <c r="DI106" s="2222">
        <f t="shared" si="197"/>
        <v>0.02</v>
      </c>
      <c r="DJ106" s="2253">
        <f t="shared" si="197"/>
        <v>0.02</v>
      </c>
      <c r="DK106" s="2222">
        <f t="shared" si="197"/>
        <v>0.02</v>
      </c>
      <c r="DL106" s="2222">
        <f t="shared" si="197"/>
        <v>0.02</v>
      </c>
      <c r="DM106" s="2223">
        <f t="shared" si="197"/>
        <v>0.02</v>
      </c>
      <c r="DN106" s="2222">
        <f t="shared" si="197"/>
        <v>0.02</v>
      </c>
      <c r="DO106" s="2222">
        <f t="shared" si="197"/>
        <v>0.02</v>
      </c>
      <c r="DP106" s="2222">
        <f t="shared" si="197"/>
        <v>0.02</v>
      </c>
      <c r="DQ106" s="2223">
        <f t="shared" si="197"/>
        <v>0.02</v>
      </c>
      <c r="DR106" s="2222">
        <f t="shared" si="197"/>
        <v>0.02</v>
      </c>
      <c r="DS106" s="2222">
        <f t="shared" si="197"/>
        <v>0.02</v>
      </c>
      <c r="DT106" s="2222">
        <f t="shared" si="197"/>
        <v>0.02</v>
      </c>
      <c r="DU106" s="2223">
        <f t="shared" si="197"/>
        <v>0.02</v>
      </c>
      <c r="DV106" s="2222">
        <f t="shared" si="197"/>
        <v>0.02</v>
      </c>
      <c r="DW106" s="2222">
        <v>5.0000000000000001E-3</v>
      </c>
      <c r="DX106" s="2222">
        <v>5.0000000000000001E-3</v>
      </c>
      <c r="DY106" s="2223">
        <v>5.0000000000000001E-3</v>
      </c>
      <c r="DZ106" s="1946"/>
    </row>
    <row r="107" spans="1:130" s="2960" customFormat="1" ht="15" customHeight="1" outlineLevel="1">
      <c r="A107" s="2336" t="s">
        <v>1571</v>
      </c>
      <c r="B107" s="2162"/>
      <c r="C107" s="2162"/>
      <c r="D107" s="2162"/>
      <c r="E107" s="2162"/>
      <c r="F107" s="2162"/>
      <c r="G107" s="2162"/>
      <c r="H107" s="2162"/>
      <c r="I107" s="2162"/>
      <c r="J107" s="2162"/>
      <c r="K107" s="2162"/>
      <c r="L107" s="2162">
        <f>SUM(BR107:BU107)</f>
        <v>16781.449616500002</v>
      </c>
      <c r="M107" s="2162">
        <f>SUM(BV107:BY107)</f>
        <v>16476.050932630002</v>
      </c>
      <c r="N107" s="2162">
        <f>SUM(BZ107:CC107)</f>
        <v>16522.811302108203</v>
      </c>
      <c r="O107" s="2162">
        <f>SUM(CD107:CG107)</f>
        <v>16927.736253474348</v>
      </c>
      <c r="P107" s="2162">
        <f>SUM(CH107:CK107)</f>
        <v>16793.129696189426</v>
      </c>
      <c r="Q107" s="2216">
        <f>SUM(CL107:CO107)</f>
        <v>17271.541849143756</v>
      </c>
      <c r="R107" s="2216">
        <f>SUM(CP107:CS107)</f>
        <v>15773.114956355666</v>
      </c>
      <c r="S107" s="2216">
        <f>SUM(CT107:CW107)</f>
        <v>15125.769277019668</v>
      </c>
      <c r="T107" s="2216">
        <f>SUM(CX107:DA107)</f>
        <v>14863.944009344905</v>
      </c>
      <c r="U107" s="2216">
        <f>SUM(DB107:DE107)</f>
        <v>14518.855856947961</v>
      </c>
      <c r="V107" s="2162">
        <f>SUM(DF107:DI107)</f>
        <v>14585.695969463286</v>
      </c>
      <c r="W107" s="2162">
        <f>SUM(DJ107:DM107)</f>
        <v>14874.28355335123</v>
      </c>
      <c r="X107" s="2162">
        <f>SUM(DN107:DQ107)</f>
        <v>14253.549116469731</v>
      </c>
      <c r="Y107" s="2162">
        <f>SUM(DR107:DU107)</f>
        <v>14004.574016554674</v>
      </c>
      <c r="Z107" s="2162">
        <f>SUM(DV107:DY107)</f>
        <v>13511.222820069457</v>
      </c>
      <c r="AA107" s="2216">
        <f>AA105*AA104/1000</f>
        <v>13387.711060828336</v>
      </c>
      <c r="AB107" s="2216">
        <f t="shared" ref="AB107:AG107" si="198">AB105*AB104/1000</f>
        <v>13369.230529807397</v>
      </c>
      <c r="AC107" s="2216">
        <f t="shared" si="198"/>
        <v>13350.77550949738</v>
      </c>
      <c r="AD107" s="2216">
        <f t="shared" si="198"/>
        <v>13332.345964683049</v>
      </c>
      <c r="AE107" s="2216">
        <f t="shared" si="198"/>
        <v>13313.941860197765</v>
      </c>
      <c r="AF107" s="2216">
        <f t="shared" si="198"/>
        <v>13295.563160923453</v>
      </c>
      <c r="AG107" s="2216">
        <f t="shared" si="198"/>
        <v>13277.209831790493</v>
      </c>
      <c r="AH107" s="1955"/>
      <c r="AI107" s="1977"/>
      <c r="AJ107" s="1955"/>
      <c r="AK107" s="2162"/>
      <c r="AL107" s="2162"/>
      <c r="AM107" s="2162"/>
      <c r="AN107" s="2162"/>
      <c r="AO107" s="2162"/>
      <c r="AP107" s="2162"/>
      <c r="AQ107" s="2162"/>
      <c r="AR107" s="2162"/>
      <c r="AS107" s="2162"/>
      <c r="AT107" s="2162"/>
      <c r="AU107" s="2162"/>
      <c r="AV107" s="2162"/>
      <c r="AW107" s="2162"/>
      <c r="AX107" s="2162"/>
      <c r="AY107" s="2162"/>
      <c r="AZ107" s="2162"/>
      <c r="BA107" s="2162"/>
      <c r="BB107" s="2162"/>
      <c r="BC107" s="2162"/>
      <c r="BD107" s="2162"/>
      <c r="BE107" s="2162"/>
      <c r="BF107" s="2162"/>
      <c r="BG107" s="2162"/>
      <c r="BH107" s="2162"/>
      <c r="BI107" s="2162"/>
      <c r="BJ107" s="2162"/>
      <c r="BK107" s="2162"/>
      <c r="BL107" s="2162"/>
      <c r="BM107" s="2162"/>
      <c r="BN107" s="2162"/>
      <c r="BO107" s="2162"/>
      <c r="BP107" s="2162"/>
      <c r="BQ107" s="2162"/>
      <c r="BR107" s="1937">
        <f t="shared" ref="BR107:DE107" si="199">(BR105/1000)*BR104</f>
        <v>4163.5380000000005</v>
      </c>
      <c r="BS107" s="2216">
        <f t="shared" si="199"/>
        <v>4178.9485000000004</v>
      </c>
      <c r="BT107" s="2216">
        <f t="shared" si="199"/>
        <v>4207.6004444999999</v>
      </c>
      <c r="BU107" s="2216">
        <f t="shared" si="199"/>
        <v>4231.3626719999993</v>
      </c>
      <c r="BV107" s="1937">
        <f t="shared" si="199"/>
        <v>4136.4843909999991</v>
      </c>
      <c r="BW107" s="2216">
        <f t="shared" si="199"/>
        <v>4101.1874400000006</v>
      </c>
      <c r="BX107" s="2216">
        <f t="shared" si="199"/>
        <v>4114.7319786899998</v>
      </c>
      <c r="BY107" s="2216">
        <f t="shared" si="199"/>
        <v>4123.6471229400004</v>
      </c>
      <c r="BZ107" s="1937">
        <f t="shared" si="199"/>
        <v>4105.30666767</v>
      </c>
      <c r="CA107" s="2216">
        <f t="shared" si="199"/>
        <v>4141.408437000001</v>
      </c>
      <c r="CB107" s="2216">
        <f t="shared" si="199"/>
        <v>4130.9478876186004</v>
      </c>
      <c r="CC107" s="2216">
        <f t="shared" si="199"/>
        <v>4145.1483098196004</v>
      </c>
      <c r="CD107" s="1937">
        <f t="shared" si="199"/>
        <v>4185.2107361609997</v>
      </c>
      <c r="CE107" s="2216">
        <f t="shared" si="199"/>
        <v>4257.1335231360008</v>
      </c>
      <c r="CF107" s="2216">
        <f t="shared" si="199"/>
        <v>4255.4775149498519</v>
      </c>
      <c r="CG107" s="2219">
        <f t="shared" si="199"/>
        <v>4229.9144792274965</v>
      </c>
      <c r="CH107" s="1937">
        <f t="shared" si="199"/>
        <v>4190.1200977030203</v>
      </c>
      <c r="CI107" s="2216">
        <f t="shared" si="199"/>
        <v>4221.6646166751707</v>
      </c>
      <c r="CJ107" s="2216">
        <f t="shared" si="199"/>
        <v>4209.7522706290838</v>
      </c>
      <c r="CK107" s="2219">
        <f t="shared" si="199"/>
        <v>4171.592711182152</v>
      </c>
      <c r="CL107" s="1937">
        <f t="shared" si="199"/>
        <v>4259.80603581173</v>
      </c>
      <c r="CM107" s="2216">
        <f t="shared" si="199"/>
        <v>4413.1112984240617</v>
      </c>
      <c r="CN107" s="2216">
        <f t="shared" si="199"/>
        <v>4354.4201492677166</v>
      </c>
      <c r="CO107" s="2216">
        <f t="shared" si="199"/>
        <v>4244.2043656402475</v>
      </c>
      <c r="CP107" s="1937">
        <f t="shared" si="199"/>
        <v>4125.78987840422</v>
      </c>
      <c r="CQ107" s="2216">
        <f t="shared" si="199"/>
        <v>4055.8039351234829</v>
      </c>
      <c r="CR107" s="2216">
        <f t="shared" si="199"/>
        <v>3871.4622097372826</v>
      </c>
      <c r="CS107" s="2216">
        <f t="shared" si="199"/>
        <v>3720.0589330906805</v>
      </c>
      <c r="CT107" s="1937">
        <f t="shared" si="199"/>
        <v>3735.5984906262161</v>
      </c>
      <c r="CU107" s="2216">
        <f t="shared" si="199"/>
        <v>3790.8070516970233</v>
      </c>
      <c r="CV107" s="2216">
        <f t="shared" si="199"/>
        <v>3806.851997840854</v>
      </c>
      <c r="CW107" s="2219">
        <f t="shared" si="199"/>
        <v>3792.5117368555743</v>
      </c>
      <c r="CX107" s="1937">
        <f t="shared" si="199"/>
        <v>3762.5108668490075</v>
      </c>
      <c r="CY107" s="2216">
        <f t="shared" si="199"/>
        <v>3747.3012324350061</v>
      </c>
      <c r="CZ107" s="2216">
        <f t="shared" si="199"/>
        <v>3698.4155747180985</v>
      </c>
      <c r="DA107" s="2216">
        <f t="shared" si="199"/>
        <v>3655.7163353427923</v>
      </c>
      <c r="DB107" s="1937">
        <f t="shared" si="199"/>
        <v>3634.7786467543197</v>
      </c>
      <c r="DC107" s="2216">
        <f t="shared" si="199"/>
        <v>3649.2402759736015</v>
      </c>
      <c r="DD107" s="2216">
        <f t="shared" si="199"/>
        <v>3635.7399837067774</v>
      </c>
      <c r="DE107" s="2216">
        <f t="shared" si="199"/>
        <v>3599.0969505132643</v>
      </c>
      <c r="DF107" s="1937">
        <f>(DF105/1000)*DF104</f>
        <v>3589.7444059790391</v>
      </c>
      <c r="DG107" s="2216">
        <f>(DG105/1000)*DG104</f>
        <v>3639.1213792877434</v>
      </c>
      <c r="DH107" s="2216">
        <f>(DH105/1000)*DH104</f>
        <v>3678.5145860763346</v>
      </c>
      <c r="DI107" s="2216">
        <f>(DI105/1000)*DI104</f>
        <v>3678.3155981201689</v>
      </c>
      <c r="DJ107" s="1937">
        <f t="shared" ref="DJ107:DM107" si="200">(DJ105/1000)*DJ104</f>
        <v>3659.4688732368172</v>
      </c>
      <c r="DK107" s="2216">
        <f t="shared" si="200"/>
        <v>3711.9038068734985</v>
      </c>
      <c r="DL107" s="2216">
        <f t="shared" si="200"/>
        <v>3753.1379468065047</v>
      </c>
      <c r="DM107" s="2219">
        <f t="shared" si="200"/>
        <v>3749.7729264344093</v>
      </c>
      <c r="DN107" s="2216">
        <f t="shared" ref="DN107:DO107" si="201">(DN105/1000)*DN104</f>
        <v>3706.2603847135656</v>
      </c>
      <c r="DO107" s="2216">
        <f t="shared" si="201"/>
        <v>3586.5341773095165</v>
      </c>
      <c r="DP107" s="2216">
        <f t="shared" ref="DP107:DQ107" si="202">(DP105/1000)*DP104</f>
        <v>3487.7013724877484</v>
      </c>
      <c r="DQ107" s="2219">
        <f t="shared" si="202"/>
        <v>3473.0531819588987</v>
      </c>
      <c r="DR107" s="2216">
        <f t="shared" ref="DR107:DS107" si="203">(DR105/1000)*DR104</f>
        <v>3466.9690091056486</v>
      </c>
      <c r="DS107" s="2216">
        <f t="shared" si="203"/>
        <v>3531.9676216118787</v>
      </c>
      <c r="DT107" s="2216">
        <f t="shared" ref="DT107:DU107" si="204">(DT105/1000)*DT104</f>
        <v>3544.308043978388</v>
      </c>
      <c r="DU107" s="2219">
        <f t="shared" si="204"/>
        <v>3461.3293418587582</v>
      </c>
      <c r="DV107" s="2216">
        <f t="shared" ref="DV107" si="205">(DV105/1000)*DV104</f>
        <v>3406.676705554939</v>
      </c>
      <c r="DW107" s="2216">
        <f t="shared" ref="DW107:DY107" si="206">(DW105/1000)*DW104</f>
        <v>3374.5533556647006</v>
      </c>
      <c r="DX107" s="2216">
        <f t="shared" si="206"/>
        <v>3373.7430126687873</v>
      </c>
      <c r="DY107" s="2219">
        <f t="shared" si="206"/>
        <v>3356.2497461810303</v>
      </c>
      <c r="DZ107" s="2965"/>
    </row>
    <row r="108" spans="1:130" s="1958" customFormat="1" ht="15" customHeight="1" outlineLevel="1">
      <c r="A108" s="2336"/>
      <c r="B108" s="2189"/>
      <c r="C108" s="1946"/>
      <c r="D108" s="1946"/>
      <c r="E108" s="1946"/>
      <c r="F108" s="1946"/>
      <c r="G108" s="1946"/>
      <c r="H108" s="1946"/>
      <c r="I108" s="1946"/>
      <c r="J108" s="1946"/>
      <c r="K108" s="1946"/>
      <c r="L108" s="1946"/>
      <c r="M108" s="1946"/>
      <c r="N108" s="1946"/>
      <c r="O108" s="1946"/>
      <c r="P108" s="1946"/>
      <c r="Q108" s="1903"/>
      <c r="R108" s="1903"/>
      <c r="S108" s="1903"/>
      <c r="T108" s="1903"/>
      <c r="U108" s="1903"/>
      <c r="V108" s="1946"/>
      <c r="W108" s="1946"/>
      <c r="X108" s="1946"/>
      <c r="Y108" s="1946"/>
      <c r="Z108" s="1946"/>
      <c r="AA108" s="1903"/>
      <c r="AB108" s="1903"/>
      <c r="AC108" s="1903"/>
      <c r="AD108" s="1903"/>
      <c r="AE108" s="1903"/>
      <c r="AF108" s="1903"/>
      <c r="AG108" s="1903"/>
      <c r="AH108" s="1947"/>
      <c r="AI108" s="1927"/>
      <c r="AJ108" s="1947"/>
      <c r="AK108" s="1946"/>
      <c r="AL108" s="1946"/>
      <c r="AM108" s="1946"/>
      <c r="AN108" s="1946"/>
      <c r="AO108" s="1946"/>
      <c r="AP108" s="1946"/>
      <c r="AQ108" s="1946"/>
      <c r="AR108" s="1946"/>
      <c r="AS108" s="1946"/>
      <c r="AT108" s="1946"/>
      <c r="AU108" s="1946"/>
      <c r="AV108" s="1946"/>
      <c r="AW108" s="1946"/>
      <c r="AX108" s="1946"/>
      <c r="AY108" s="1946"/>
      <c r="AZ108" s="1946"/>
      <c r="BA108" s="1946"/>
      <c r="BB108" s="1946"/>
      <c r="BC108" s="1946"/>
      <c r="BD108" s="1946"/>
      <c r="BE108" s="1946"/>
      <c r="BF108" s="1946"/>
      <c r="BG108" s="1946"/>
      <c r="BH108" s="1946"/>
      <c r="BI108" s="1946"/>
      <c r="BJ108" s="1946"/>
      <c r="BK108" s="1946"/>
      <c r="BL108" s="1946"/>
      <c r="BM108" s="1946"/>
      <c r="BN108" s="1946"/>
      <c r="BO108" s="1946"/>
      <c r="BP108" s="1946"/>
      <c r="BQ108" s="1946"/>
      <c r="BR108" s="1942"/>
      <c r="BS108" s="1903"/>
      <c r="BT108" s="1903"/>
      <c r="BU108" s="1903"/>
      <c r="BV108" s="1942"/>
      <c r="BW108" s="1903"/>
      <c r="BX108" s="1903"/>
      <c r="BY108" s="1903"/>
      <c r="BZ108" s="1942"/>
      <c r="CA108" s="1903"/>
      <c r="CB108" s="1903"/>
      <c r="CC108" s="1903"/>
      <c r="CD108" s="1942"/>
      <c r="CE108" s="1903"/>
      <c r="CF108" s="1903"/>
      <c r="CG108" s="2236"/>
      <c r="CH108" s="1942"/>
      <c r="CI108" s="1903"/>
      <c r="CJ108" s="1903"/>
      <c r="CK108" s="2236"/>
      <c r="CL108" s="1942"/>
      <c r="CM108" s="1903"/>
      <c r="CN108" s="1903"/>
      <c r="CO108" s="1903"/>
      <c r="CP108" s="1942"/>
      <c r="CQ108" s="1903"/>
      <c r="CR108" s="1903"/>
      <c r="CS108" s="1903"/>
      <c r="CT108" s="1942"/>
      <c r="CU108" s="1903"/>
      <c r="CV108" s="1903"/>
      <c r="CW108" s="2236"/>
      <c r="CX108" s="1942"/>
      <c r="CY108" s="1903"/>
      <c r="CZ108" s="1903"/>
      <c r="DA108" s="1903"/>
      <c r="DB108" s="1942"/>
      <c r="DC108" s="1903"/>
      <c r="DD108" s="1903"/>
      <c r="DE108" s="1903"/>
      <c r="DF108" s="1942"/>
      <c r="DG108" s="1903"/>
      <c r="DH108" s="1903"/>
      <c r="DI108" s="1903"/>
      <c r="DJ108" s="1942"/>
      <c r="DK108" s="1903"/>
      <c r="DL108" s="1903"/>
      <c r="DM108" s="2236"/>
      <c r="DN108" s="1903"/>
      <c r="DO108" s="1903"/>
      <c r="DP108" s="1903"/>
      <c r="DQ108" s="2236"/>
      <c r="DR108" s="1903"/>
      <c r="DS108" s="1903"/>
      <c r="DT108" s="1903"/>
      <c r="DU108" s="2236"/>
      <c r="DV108" s="1903"/>
      <c r="DW108" s="1903"/>
      <c r="DX108" s="1903"/>
      <c r="DY108" s="2236"/>
      <c r="DZ108" s="1946"/>
    </row>
    <row r="109" spans="1:130" s="1958" customFormat="1" ht="15" customHeight="1" outlineLevel="1">
      <c r="A109" s="2336" t="s">
        <v>1572</v>
      </c>
      <c r="B109" s="2162"/>
      <c r="Q109" s="2141"/>
      <c r="R109" s="2141"/>
      <c r="S109" s="2141"/>
      <c r="T109" s="2141"/>
      <c r="U109" s="2141"/>
      <c r="Y109" s="2994"/>
      <c r="Z109" s="3249"/>
      <c r="AA109" s="2141"/>
      <c r="AB109" s="2141"/>
      <c r="AC109" s="2141"/>
      <c r="AD109" s="2141"/>
      <c r="AE109" s="2141"/>
      <c r="AF109" s="2141"/>
      <c r="AG109" s="2141"/>
      <c r="AH109" s="1952"/>
      <c r="AI109" s="1927"/>
      <c r="AJ109" s="1952"/>
      <c r="BR109" s="1936"/>
      <c r="BS109" s="2141"/>
      <c r="BT109" s="2141"/>
      <c r="BU109" s="2141"/>
      <c r="BV109" s="1936"/>
      <c r="BW109" s="2141"/>
      <c r="BX109" s="2141"/>
      <c r="BY109" s="2141"/>
      <c r="BZ109" s="1936"/>
      <c r="CA109" s="2141"/>
      <c r="CB109" s="2141"/>
      <c r="CC109" s="2141"/>
      <c r="CD109" s="1936"/>
      <c r="CE109" s="2141"/>
      <c r="CF109" s="2141"/>
      <c r="CH109" s="1936"/>
      <c r="CI109" s="2141"/>
      <c r="CJ109" s="2141"/>
      <c r="CL109" s="1936"/>
      <c r="CM109" s="2141">
        <f>NormInputs!CC134</f>
        <v>118700</v>
      </c>
      <c r="CN109" s="2141">
        <f>NormInputs!CD134</f>
        <v>115100</v>
      </c>
      <c r="CO109" s="2141">
        <f>NormInputs!CE134</f>
        <v>110100</v>
      </c>
      <c r="CP109" s="1936">
        <f>NormInputs!CF134</f>
        <v>108000</v>
      </c>
      <c r="CQ109" s="2141">
        <f>NormInputs!CG134</f>
        <v>103400</v>
      </c>
      <c r="CR109" s="2141">
        <f>NormInputs!CH134</f>
        <v>97500</v>
      </c>
      <c r="CS109" s="2141">
        <f>NormInputs!CI134</f>
        <v>92300</v>
      </c>
      <c r="CT109" s="1936">
        <f>NormInputs!CJ134</f>
        <v>92000</v>
      </c>
      <c r="CU109" s="2141">
        <f>NormInputs!CK134</f>
        <v>93200</v>
      </c>
      <c r="CV109" s="2141">
        <f>NormInputs!CL134</f>
        <v>92800</v>
      </c>
      <c r="CW109" s="1958">
        <f>NormInputs!CM134</f>
        <v>91800</v>
      </c>
      <c r="CX109" s="1936">
        <f>NormInputs!CN134</f>
        <v>90800</v>
      </c>
      <c r="CY109" s="2141">
        <f>NormInputs!CO134</f>
        <v>88600</v>
      </c>
      <c r="CZ109" s="2141">
        <f>NormInputs!CP134</f>
        <v>87400</v>
      </c>
      <c r="DA109" s="2141">
        <f>NormInputs!CQ134</f>
        <v>86400</v>
      </c>
      <c r="DB109" s="1936">
        <f>NormInputs!CR134</f>
        <v>85200</v>
      </c>
      <c r="DC109" s="2141">
        <f>NormInputs!CS134</f>
        <v>84700</v>
      </c>
      <c r="DD109" s="2141">
        <f>NormInputs!CT134</f>
        <v>83600</v>
      </c>
      <c r="DE109" s="2141">
        <f>NormInputs!CU134</f>
        <v>81900</v>
      </c>
      <c r="DF109" s="1936">
        <f>NormInputs!CV134</f>
        <v>80900</v>
      </c>
      <c r="DG109" s="2141">
        <f>NormInputs!CW134</f>
        <v>80600</v>
      </c>
      <c r="DH109" s="2141">
        <f>NormInputs!CX134</f>
        <v>79400</v>
      </c>
      <c r="DI109" s="2141">
        <f>NormInputs!CY134</f>
        <v>76800</v>
      </c>
      <c r="DJ109" s="1936">
        <f>NormInputs!CZ134</f>
        <v>75500</v>
      </c>
      <c r="DK109" s="2141">
        <f>NormInputs!DA134</f>
        <v>72700</v>
      </c>
      <c r="DL109" s="2141">
        <f>NormInputs!DB134</f>
        <v>71400</v>
      </c>
      <c r="DM109" s="2472">
        <f>NormInputs!DC134</f>
        <v>70900</v>
      </c>
      <c r="DN109" s="2141">
        <f>NormInputs!DD134</f>
        <v>69200</v>
      </c>
      <c r="DO109" s="2141">
        <f>NormInputs!DE134</f>
        <v>59300</v>
      </c>
      <c r="DP109" s="2141">
        <f>NormInputs!DF134</f>
        <v>59200</v>
      </c>
      <c r="DQ109" s="2472">
        <f>NormInputs!DG134</f>
        <v>58900</v>
      </c>
      <c r="DR109" s="2141">
        <f>NormInputs!DH134</f>
        <v>60800</v>
      </c>
      <c r="DS109" s="2141">
        <f>NormInputs!DI134</f>
        <v>59700</v>
      </c>
      <c r="DT109" s="2141">
        <f>NormInputs!DJ134</f>
        <v>58200</v>
      </c>
      <c r="DU109" s="2472">
        <f>NormInputs!DK134</f>
        <v>57100</v>
      </c>
      <c r="DV109" s="2141">
        <f>NormInputs!DL134</f>
        <v>57200</v>
      </c>
      <c r="DW109" s="1561"/>
      <c r="DX109" s="1561"/>
      <c r="DY109" s="1561"/>
      <c r="DZ109" s="2965"/>
    </row>
    <row r="110" spans="1:130" s="1958" customFormat="1" ht="15" customHeight="1" outlineLevel="1">
      <c r="A110" s="2372" t="s">
        <v>1568</v>
      </c>
      <c r="B110" s="2162"/>
      <c r="Q110" s="2141"/>
      <c r="R110" s="2141"/>
      <c r="S110" s="2141"/>
      <c r="T110" s="2141"/>
      <c r="U110" s="2141"/>
      <c r="Y110" s="2994"/>
      <c r="Z110" s="3249"/>
      <c r="AA110" s="2141"/>
      <c r="AB110" s="2141"/>
      <c r="AC110" s="2141"/>
      <c r="AD110" s="2141"/>
      <c r="AE110" s="2141"/>
      <c r="AF110" s="2141"/>
      <c r="AG110" s="2141"/>
      <c r="AH110" s="1952"/>
      <c r="AI110" s="1927"/>
      <c r="AJ110" s="1952"/>
      <c r="BR110" s="1936"/>
      <c r="BS110" s="2141"/>
      <c r="BT110" s="2141"/>
      <c r="BU110" s="2141"/>
      <c r="BV110" s="1936"/>
      <c r="BW110" s="2141"/>
      <c r="BX110" s="2141"/>
      <c r="BY110" s="2141"/>
      <c r="BZ110" s="1936"/>
      <c r="CA110" s="2141"/>
      <c r="CB110" s="2141"/>
      <c r="CC110" s="2141"/>
      <c r="CD110" s="1936"/>
      <c r="CE110" s="2141"/>
      <c r="CF110" s="2141"/>
      <c r="CH110" s="1936"/>
      <c r="CI110" s="2141"/>
      <c r="CJ110" s="2141"/>
      <c r="CL110" s="1936"/>
      <c r="CM110" s="2141"/>
      <c r="CN110" s="2141">
        <f t="shared" ref="CN110:DV110" si="207">+CN109-CM109</f>
        <v>-3600</v>
      </c>
      <c r="CO110" s="2141">
        <f t="shared" si="207"/>
        <v>-5000</v>
      </c>
      <c r="CP110" s="1936">
        <f t="shared" si="207"/>
        <v>-2100</v>
      </c>
      <c r="CQ110" s="2141">
        <f t="shared" si="207"/>
        <v>-4600</v>
      </c>
      <c r="CR110" s="2141">
        <f t="shared" si="207"/>
        <v>-5900</v>
      </c>
      <c r="CS110" s="2141">
        <f t="shared" si="207"/>
        <v>-5200</v>
      </c>
      <c r="CT110" s="1936">
        <f t="shared" si="207"/>
        <v>-300</v>
      </c>
      <c r="CU110" s="2141">
        <f t="shared" si="207"/>
        <v>1200</v>
      </c>
      <c r="CV110" s="2141">
        <f t="shared" si="207"/>
        <v>-400</v>
      </c>
      <c r="CW110" s="1958">
        <f t="shared" si="207"/>
        <v>-1000</v>
      </c>
      <c r="CX110" s="1936">
        <f t="shared" si="207"/>
        <v>-1000</v>
      </c>
      <c r="CY110" s="2141">
        <f t="shared" si="207"/>
        <v>-2200</v>
      </c>
      <c r="CZ110" s="2141">
        <f t="shared" si="207"/>
        <v>-1200</v>
      </c>
      <c r="DA110" s="2141">
        <f t="shared" si="207"/>
        <v>-1000</v>
      </c>
      <c r="DB110" s="1936">
        <f t="shared" si="207"/>
        <v>-1200</v>
      </c>
      <c r="DC110" s="2141">
        <f t="shared" si="207"/>
        <v>-500</v>
      </c>
      <c r="DD110" s="2141">
        <f t="shared" si="207"/>
        <v>-1100</v>
      </c>
      <c r="DE110" s="2141">
        <f t="shared" si="207"/>
        <v>-1700</v>
      </c>
      <c r="DF110" s="1936">
        <f t="shared" si="207"/>
        <v>-1000</v>
      </c>
      <c r="DG110" s="2141">
        <f t="shared" si="207"/>
        <v>-300</v>
      </c>
      <c r="DH110" s="2141">
        <f t="shared" si="207"/>
        <v>-1200</v>
      </c>
      <c r="DI110" s="2141">
        <f t="shared" si="207"/>
        <v>-2600</v>
      </c>
      <c r="DJ110" s="1936">
        <f t="shared" si="207"/>
        <v>-1300</v>
      </c>
      <c r="DK110" s="2141">
        <f t="shared" si="207"/>
        <v>-2800</v>
      </c>
      <c r="DL110" s="2141">
        <f t="shared" si="207"/>
        <v>-1300</v>
      </c>
      <c r="DM110" s="2472">
        <f t="shared" si="207"/>
        <v>-500</v>
      </c>
      <c r="DN110" s="2141">
        <f t="shared" si="207"/>
        <v>-1700</v>
      </c>
      <c r="DO110" s="2141">
        <f t="shared" si="207"/>
        <v>-9900</v>
      </c>
      <c r="DP110" s="2141">
        <f t="shared" si="207"/>
        <v>-100</v>
      </c>
      <c r="DQ110" s="2472">
        <f t="shared" si="207"/>
        <v>-300</v>
      </c>
      <c r="DR110" s="2141">
        <f t="shared" si="207"/>
        <v>1900</v>
      </c>
      <c r="DS110" s="2141">
        <f t="shared" si="207"/>
        <v>-1100</v>
      </c>
      <c r="DT110" s="2141">
        <f t="shared" si="207"/>
        <v>-1500</v>
      </c>
      <c r="DU110" s="2472">
        <f t="shared" si="207"/>
        <v>-1100</v>
      </c>
      <c r="DV110" s="2141">
        <f t="shared" si="207"/>
        <v>100</v>
      </c>
      <c r="DW110" s="1561"/>
      <c r="DX110" s="1561"/>
      <c r="DY110" s="1561"/>
      <c r="DZ110" s="1946"/>
    </row>
    <row r="111" spans="1:130" s="1958" customFormat="1" ht="15" customHeight="1" outlineLevel="1">
      <c r="A111" s="2371"/>
      <c r="Q111" s="2141"/>
      <c r="R111" s="2141"/>
      <c r="S111" s="2141"/>
      <c r="T111" s="2141"/>
      <c r="U111" s="2141"/>
      <c r="Y111" s="2994"/>
      <c r="Z111" s="3249"/>
      <c r="AA111" s="2141"/>
      <c r="AB111" s="2141"/>
      <c r="AC111" s="2141"/>
      <c r="AD111" s="2141"/>
      <c r="AE111" s="2141"/>
      <c r="AF111" s="2141"/>
      <c r="AG111" s="2141"/>
      <c r="AH111" s="1952"/>
      <c r="AI111" s="1927"/>
      <c r="AJ111" s="1952"/>
      <c r="BR111" s="1936"/>
      <c r="BS111" s="2141"/>
      <c r="BT111" s="2141"/>
      <c r="BU111" s="2141"/>
      <c r="BV111" s="1936"/>
      <c r="BW111" s="2141"/>
      <c r="BX111" s="2141"/>
      <c r="BY111" s="2141"/>
      <c r="BZ111" s="1936"/>
      <c r="CA111" s="2141"/>
      <c r="CB111" s="2141"/>
      <c r="CC111" s="2141"/>
      <c r="CD111" s="1936"/>
      <c r="CE111" s="2141"/>
      <c r="CF111" s="2141"/>
      <c r="CH111" s="1936"/>
      <c r="CI111" s="2141"/>
      <c r="CJ111" s="2141"/>
      <c r="CL111" s="1936"/>
      <c r="CM111" s="2141"/>
      <c r="CN111" s="2141"/>
      <c r="CO111" s="2141"/>
      <c r="CP111" s="1936"/>
      <c r="CQ111" s="2141"/>
      <c r="CR111" s="2141"/>
      <c r="CS111" s="2141"/>
      <c r="CT111" s="1936"/>
      <c r="CU111" s="2141"/>
      <c r="CV111" s="2141"/>
      <c r="CX111" s="1936"/>
      <c r="CY111" s="2141"/>
      <c r="CZ111" s="2141"/>
      <c r="DA111" s="2141"/>
      <c r="DB111" s="1936"/>
      <c r="DC111" s="2141"/>
      <c r="DD111" s="2141"/>
      <c r="DE111" s="2141"/>
      <c r="DF111" s="1936"/>
      <c r="DG111" s="2141"/>
      <c r="DH111" s="2141"/>
      <c r="DI111" s="2141"/>
      <c r="DJ111" s="1936"/>
      <c r="DK111" s="2141">
        <v>0.18</v>
      </c>
      <c r="DL111" s="2141">
        <v>0.185</v>
      </c>
      <c r="DM111" s="2472"/>
      <c r="DN111" s="2141"/>
      <c r="DO111" s="2141"/>
      <c r="DP111" s="2141"/>
      <c r="DQ111" s="2472"/>
      <c r="DR111" s="2141"/>
      <c r="DS111" s="2141"/>
      <c r="DT111" s="2141"/>
      <c r="DU111" s="2472"/>
      <c r="DV111" s="2141"/>
      <c r="DW111" s="1561"/>
      <c r="DX111" s="1561"/>
      <c r="DY111" s="1561"/>
      <c r="DZ111" s="1946"/>
    </row>
    <row r="112" spans="1:130" s="2960" customFormat="1" ht="15" customHeight="1" outlineLevel="1">
      <c r="A112" s="2336" t="s">
        <v>1573</v>
      </c>
      <c r="B112" s="2162"/>
      <c r="C112" s="2162"/>
      <c r="D112" s="2162"/>
      <c r="E112" s="2162"/>
      <c r="F112" s="2162"/>
      <c r="G112" s="2162"/>
      <c r="H112" s="2162"/>
      <c r="I112" s="2162"/>
      <c r="J112" s="2162"/>
      <c r="K112" s="2162"/>
      <c r="L112" s="2328"/>
      <c r="M112" s="2328">
        <f>'Pension - NEW'!E18</f>
        <v>96</v>
      </c>
      <c r="N112" s="2328">
        <f>'Pension - NEW'!F18</f>
        <v>-268</v>
      </c>
      <c r="O112" s="2328">
        <f>'Pension - NEW'!G18</f>
        <v>-617</v>
      </c>
      <c r="P112" s="2328">
        <f>'Pension - NEW'!H18</f>
        <v>-341</v>
      </c>
      <c r="Q112" s="2303">
        <f>'Pension - NEW'!I13+'Pension - NEW'!I14</f>
        <v>496</v>
      </c>
      <c r="R112" s="2303">
        <f>'Pension - NEW'!J13+'Pension - NEW'!J14</f>
        <v>462</v>
      </c>
      <c r="S112" s="2303">
        <f>'Pension - NEW'!K13+'Pension - NEW'!K14</f>
        <v>379</v>
      </c>
      <c r="T112" s="2303">
        <f>'Pension - NEW'!L13+'Pension - NEW'!L14</f>
        <v>357</v>
      </c>
      <c r="U112" s="2303">
        <f>'Pension - NEW'!M13+'Pension - NEW'!M14</f>
        <v>401</v>
      </c>
      <c r="V112" s="2328">
        <f>'Pension - NEW'!N13+'Pension - NEW'!N14</f>
        <v>319</v>
      </c>
      <c r="W112" s="2328">
        <f>'Pension - NEW'!O13+'Pension - NEW'!O14</f>
        <v>369</v>
      </c>
      <c r="X112" s="2328">
        <f>'Pension - NEW'!P13+'Pension - NEW'!P14</f>
        <v>343</v>
      </c>
      <c r="Y112" s="2328">
        <f>'Pension - NEW'!Q13+'Pension - NEW'!Q14</f>
        <v>343</v>
      </c>
      <c r="Z112" s="2328">
        <f>'Pension - NEW'!R13+'Pension - NEW'!R14</f>
        <v>343</v>
      </c>
      <c r="AA112" s="2303">
        <f>'Pension - NEW'!S13+'Pension - NEW'!S14</f>
        <v>343</v>
      </c>
      <c r="AB112" s="2303">
        <f>'Pension - NEW'!T13+'Pension - NEW'!T14</f>
        <v>343</v>
      </c>
      <c r="AC112" s="2303">
        <f>'Pension - NEW'!U13+'Pension - NEW'!U14</f>
        <v>343</v>
      </c>
      <c r="AD112" s="2303">
        <f>'Pension - NEW'!V13+'Pension - NEW'!V14</f>
        <v>343</v>
      </c>
      <c r="AE112" s="2303">
        <f>'Pension - NEW'!W13+'Pension - NEW'!W14</f>
        <v>343</v>
      </c>
      <c r="AF112" s="2303">
        <f>'Pension - NEW'!X13+'Pension - NEW'!X14</f>
        <v>343</v>
      </c>
      <c r="AG112" s="2303">
        <f>'Pension - NEW'!Y13+'Pension - NEW'!Y14</f>
        <v>343</v>
      </c>
      <c r="AH112" s="1955"/>
      <c r="AI112" s="1977"/>
      <c r="AJ112" s="1955"/>
      <c r="AK112" s="2162"/>
      <c r="AL112" s="2162"/>
      <c r="AM112" s="2162"/>
      <c r="AN112" s="2162"/>
      <c r="AO112" s="2162"/>
      <c r="AP112" s="2162"/>
      <c r="AQ112" s="2162"/>
      <c r="AR112" s="2162"/>
      <c r="AS112" s="2162"/>
      <c r="AT112" s="2162"/>
      <c r="AU112" s="2162"/>
      <c r="AV112" s="2162"/>
      <c r="AW112" s="2162"/>
      <c r="AX112" s="2162"/>
      <c r="AY112" s="2162"/>
      <c r="AZ112" s="2162"/>
      <c r="BA112" s="2162"/>
      <c r="BB112" s="2162"/>
      <c r="BC112" s="2162"/>
      <c r="BD112" s="2162"/>
      <c r="BE112" s="2162"/>
      <c r="BF112" s="2162"/>
      <c r="BG112" s="2162"/>
      <c r="BH112" s="2162"/>
      <c r="BI112" s="2162"/>
      <c r="BJ112" s="2162"/>
      <c r="BK112" s="2162"/>
      <c r="BL112" s="2162"/>
      <c r="BM112" s="2162"/>
      <c r="BN112" s="2162"/>
      <c r="BO112" s="2162"/>
      <c r="BP112" s="2162"/>
      <c r="BQ112" s="2162"/>
      <c r="BR112" s="2302">
        <f>$L$112/4</f>
        <v>0</v>
      </c>
      <c r="BS112" s="2303">
        <f>$L$112/4</f>
        <v>0</v>
      </c>
      <c r="BT112" s="2303">
        <f>$L$112/4</f>
        <v>0</v>
      </c>
      <c r="BU112" s="2303">
        <f>$L$112/4</f>
        <v>0</v>
      </c>
      <c r="BV112" s="2302">
        <f>$M$112/4</f>
        <v>24</v>
      </c>
      <c r="BW112" s="2303">
        <f>$M$112/4</f>
        <v>24</v>
      </c>
      <c r="BX112" s="2303">
        <f>$M$112/4</f>
        <v>24</v>
      </c>
      <c r="BY112" s="2303">
        <f>$M$112/4</f>
        <v>24</v>
      </c>
      <c r="BZ112" s="2302">
        <f>$N$112/4</f>
        <v>-67</v>
      </c>
      <c r="CA112" s="2303">
        <f>$N$112/4</f>
        <v>-67</v>
      </c>
      <c r="CB112" s="2303">
        <f>$N$112/4</f>
        <v>-67</v>
      </c>
      <c r="CC112" s="2303">
        <f>$N$112/4</f>
        <v>-67</v>
      </c>
      <c r="CD112" s="2302">
        <f>$O$112/4</f>
        <v>-154.25</v>
      </c>
      <c r="CE112" s="2303">
        <f>$O$112/4</f>
        <v>-154.25</v>
      </c>
      <c r="CF112" s="2303">
        <f>$O$112/4</f>
        <v>-154.25</v>
      </c>
      <c r="CG112" s="2304">
        <f>$O$112/4</f>
        <v>-154.25</v>
      </c>
      <c r="CH112" s="2302">
        <f>$P$112/4</f>
        <v>-85.25</v>
      </c>
      <c r="CI112" s="2303">
        <f>$P$112/4</f>
        <v>-85.25</v>
      </c>
      <c r="CJ112" s="2303">
        <f>$P$112/4</f>
        <v>-85.25</v>
      </c>
      <c r="CK112" s="2304">
        <f>$P$112/4</f>
        <v>-85.25</v>
      </c>
      <c r="CL112" s="2302">
        <f>$Q$112/4</f>
        <v>124</v>
      </c>
      <c r="CM112" s="2303">
        <f>$Q$112/4</f>
        <v>124</v>
      </c>
      <c r="CN112" s="2303">
        <f>$Q$112/4</f>
        <v>124</v>
      </c>
      <c r="CO112" s="2303">
        <f>$Q$112/4</f>
        <v>124</v>
      </c>
      <c r="CP112" s="2302">
        <f>$R$112/4</f>
        <v>115.5</v>
      </c>
      <c r="CQ112" s="2303">
        <f>$R$112/4</f>
        <v>115.5</v>
      </c>
      <c r="CR112" s="2303">
        <f>$R$112/4</f>
        <v>115.5</v>
      </c>
      <c r="CS112" s="2303">
        <f>$R$112/4</f>
        <v>115.5</v>
      </c>
      <c r="CT112" s="2302">
        <f>$S$112/4</f>
        <v>94.75</v>
      </c>
      <c r="CU112" s="2303">
        <f>$S$112/4</f>
        <v>94.75</v>
      </c>
      <c r="CV112" s="2303">
        <f>$S$112/4</f>
        <v>94.75</v>
      </c>
      <c r="CW112" s="2304">
        <f>$S$112/4</f>
        <v>94.75</v>
      </c>
      <c r="CX112" s="2302">
        <f>$T$112/4</f>
        <v>89.25</v>
      </c>
      <c r="CY112" s="2303">
        <f>$T$112/4</f>
        <v>89.25</v>
      </c>
      <c r="CZ112" s="2303">
        <f>$T$112/4</f>
        <v>89.25</v>
      </c>
      <c r="DA112" s="2304">
        <f>$T$112/4</f>
        <v>89.25</v>
      </c>
      <c r="DB112" s="2302">
        <f>$U$112/4</f>
        <v>100.25</v>
      </c>
      <c r="DC112" s="2303">
        <f>$U$112/4</f>
        <v>100.25</v>
      </c>
      <c r="DD112" s="2303">
        <f>$U$112/4</f>
        <v>100.25</v>
      </c>
      <c r="DE112" s="2303">
        <f>$U$112/4</f>
        <v>100.25</v>
      </c>
      <c r="DF112" s="2302">
        <f>$V$112/4</f>
        <v>79.75</v>
      </c>
      <c r="DG112" s="2303">
        <f>$V$112/4</f>
        <v>79.75</v>
      </c>
      <c r="DH112" s="2303">
        <f>$V$112/4</f>
        <v>79.75</v>
      </c>
      <c r="DI112" s="2303">
        <f>$V$112/4</f>
        <v>79.75</v>
      </c>
      <c r="DJ112" s="2302">
        <f t="shared" ref="DJ112:DQ112" si="208">$W$112/4</f>
        <v>92.25</v>
      </c>
      <c r="DK112" s="2303">
        <f t="shared" si="208"/>
        <v>92.25</v>
      </c>
      <c r="DL112" s="2303">
        <f t="shared" si="208"/>
        <v>92.25</v>
      </c>
      <c r="DM112" s="2304">
        <f t="shared" si="208"/>
        <v>92.25</v>
      </c>
      <c r="DN112" s="2303">
        <f t="shared" si="208"/>
        <v>92.25</v>
      </c>
      <c r="DO112" s="2303">
        <f t="shared" si="208"/>
        <v>92.25</v>
      </c>
      <c r="DP112" s="2303">
        <f t="shared" si="208"/>
        <v>92.25</v>
      </c>
      <c r="DQ112" s="2304">
        <f t="shared" si="208"/>
        <v>92.25</v>
      </c>
      <c r="DR112" s="2303">
        <f>$Y$112/4</f>
        <v>85.75</v>
      </c>
      <c r="DS112" s="2303">
        <f t="shared" ref="DS112:DV112" si="209">$Y$112/4</f>
        <v>85.75</v>
      </c>
      <c r="DT112" s="2303">
        <f t="shared" si="209"/>
        <v>85.75</v>
      </c>
      <c r="DU112" s="2304">
        <f t="shared" si="209"/>
        <v>85.75</v>
      </c>
      <c r="DV112" s="2303">
        <f t="shared" si="209"/>
        <v>85.75</v>
      </c>
      <c r="DW112" s="2303">
        <f t="shared" ref="DW112:DY112" si="210">$Z$112/4</f>
        <v>85.75</v>
      </c>
      <c r="DX112" s="2303">
        <f t="shared" si="210"/>
        <v>85.75</v>
      </c>
      <c r="DY112" s="2304">
        <f t="shared" si="210"/>
        <v>85.75</v>
      </c>
      <c r="DZ112" s="2965"/>
    </row>
    <row r="113" spans="1:130" s="2959" customFormat="1" ht="15" customHeight="1" outlineLevel="1">
      <c r="A113" s="2290" t="s">
        <v>1453</v>
      </c>
      <c r="B113" s="2291"/>
      <c r="C113" s="2291"/>
      <c r="D113" s="2291"/>
      <c r="E113" s="2291"/>
      <c r="F113" s="2291"/>
      <c r="G113" s="2291"/>
      <c r="H113" s="2291"/>
      <c r="I113" s="2291"/>
      <c r="J113" s="2291"/>
      <c r="K113" s="2291"/>
      <c r="L113" s="2291"/>
      <c r="M113" s="2291" t="e">
        <f t="shared" ref="M113:AA113" si="211">M112/L112-1</f>
        <v>#DIV/0!</v>
      </c>
      <c r="N113" s="2291">
        <f t="shared" si="211"/>
        <v>-3.7916666666666665</v>
      </c>
      <c r="O113" s="2291">
        <f t="shared" si="211"/>
        <v>1.3022388059701493</v>
      </c>
      <c r="P113" s="2291">
        <f t="shared" si="211"/>
        <v>-0.44732576985413286</v>
      </c>
      <c r="Q113" s="2293">
        <f t="shared" si="211"/>
        <v>-2.4545454545454546</v>
      </c>
      <c r="R113" s="2293">
        <f t="shared" si="211"/>
        <v>-6.8548387096774244E-2</v>
      </c>
      <c r="S113" s="2293">
        <f t="shared" si="211"/>
        <v>-0.17965367965367962</v>
      </c>
      <c r="T113" s="2293">
        <f t="shared" si="211"/>
        <v>-5.8047493403693973E-2</v>
      </c>
      <c r="U113" s="2293">
        <f t="shared" si="211"/>
        <v>0.12324929971988796</v>
      </c>
      <c r="V113" s="2291">
        <f t="shared" si="211"/>
        <v>-0.20448877805486287</v>
      </c>
      <c r="W113" s="2291">
        <f>W112/V112-1</f>
        <v>0.15673981191222564</v>
      </c>
      <c r="X113" s="2291">
        <f>X112/W112-1</f>
        <v>-7.0460704607046121E-2</v>
      </c>
      <c r="Y113" s="2291">
        <f>Y112/X112-1</f>
        <v>0</v>
      </c>
      <c r="Z113" s="2291">
        <f>Z112/Y112-1</f>
        <v>0</v>
      </c>
      <c r="AA113" s="2293">
        <f t="shared" si="211"/>
        <v>0</v>
      </c>
      <c r="AB113" s="2293">
        <f t="shared" ref="AB113" si="212">AB112/AA112-1</f>
        <v>0</v>
      </c>
      <c r="AC113" s="2293">
        <f t="shared" ref="AC113" si="213">AC112/AB112-1</f>
        <v>0</v>
      </c>
      <c r="AD113" s="2293">
        <f t="shared" ref="AD113" si="214">AD112/AC112-1</f>
        <v>0</v>
      </c>
      <c r="AE113" s="2293">
        <f t="shared" ref="AE113" si="215">AE112/AD112-1</f>
        <v>0</v>
      </c>
      <c r="AF113" s="2293">
        <f t="shared" ref="AF113" si="216">AF112/AE112-1</f>
        <v>0</v>
      </c>
      <c r="AG113" s="2293">
        <f t="shared" ref="AG113" si="217">AG112/AF112-1</f>
        <v>0</v>
      </c>
      <c r="AH113" s="1953"/>
      <c r="AI113" s="1953"/>
      <c r="AJ113" s="1953"/>
      <c r="AK113" s="2291"/>
      <c r="AL113" s="2291"/>
      <c r="AM113" s="2291"/>
      <c r="AN113" s="2291"/>
      <c r="AO113" s="2291"/>
      <c r="AP113" s="2291"/>
      <c r="AQ113" s="2291"/>
      <c r="AR113" s="2291"/>
      <c r="AS113" s="2291"/>
      <c r="AT113" s="2291"/>
      <c r="AU113" s="2291"/>
      <c r="AV113" s="2291"/>
      <c r="AW113" s="2291"/>
      <c r="AX113" s="2291"/>
      <c r="AY113" s="2291"/>
      <c r="AZ113" s="2291"/>
      <c r="BA113" s="2291"/>
      <c r="BB113" s="2291"/>
      <c r="BC113" s="2291"/>
      <c r="BD113" s="2291"/>
      <c r="BE113" s="2291"/>
      <c r="BF113" s="2291"/>
      <c r="BG113" s="2291"/>
      <c r="BH113" s="2291"/>
      <c r="BI113" s="2291"/>
      <c r="BJ113" s="2291"/>
      <c r="BK113" s="2291"/>
      <c r="BL113" s="2291"/>
      <c r="BM113" s="2291"/>
      <c r="BN113" s="2291"/>
      <c r="BO113" s="2291"/>
      <c r="BP113" s="2291"/>
      <c r="BQ113" s="2291"/>
      <c r="BR113" s="2294"/>
      <c r="BS113" s="2293"/>
      <c r="BT113" s="2293"/>
      <c r="BU113" s="2293"/>
      <c r="BV113" s="2294"/>
      <c r="BW113" s="2293"/>
      <c r="BX113" s="2293"/>
      <c r="BY113" s="2293"/>
      <c r="BZ113" s="2294">
        <f t="shared" ref="BZ113:DV113" si="218">BZ112/BV112-1</f>
        <v>-3.7916666666666665</v>
      </c>
      <c r="CA113" s="2293">
        <f t="shared" si="218"/>
        <v>-3.7916666666666665</v>
      </c>
      <c r="CB113" s="2293">
        <f t="shared" si="218"/>
        <v>-3.7916666666666665</v>
      </c>
      <c r="CC113" s="2293">
        <f t="shared" si="218"/>
        <v>-3.7916666666666665</v>
      </c>
      <c r="CD113" s="2294">
        <f t="shared" si="218"/>
        <v>1.3022388059701493</v>
      </c>
      <c r="CE113" s="2293">
        <f t="shared" si="218"/>
        <v>1.3022388059701493</v>
      </c>
      <c r="CF113" s="2293">
        <f t="shared" si="218"/>
        <v>1.3022388059701493</v>
      </c>
      <c r="CG113" s="2295">
        <f t="shared" si="218"/>
        <v>1.3022388059701493</v>
      </c>
      <c r="CH113" s="2294">
        <f t="shared" si="218"/>
        <v>-0.44732576985413286</v>
      </c>
      <c r="CI113" s="2293">
        <f t="shared" si="218"/>
        <v>-0.44732576985413286</v>
      </c>
      <c r="CJ113" s="2293">
        <f t="shared" si="218"/>
        <v>-0.44732576985413286</v>
      </c>
      <c r="CK113" s="2295">
        <f t="shared" si="218"/>
        <v>-0.44732576985413286</v>
      </c>
      <c r="CL113" s="2294">
        <f t="shared" si="218"/>
        <v>-2.4545454545454546</v>
      </c>
      <c r="CM113" s="2293">
        <f t="shared" si="218"/>
        <v>-2.4545454545454546</v>
      </c>
      <c r="CN113" s="2293">
        <f t="shared" si="218"/>
        <v>-2.4545454545454546</v>
      </c>
      <c r="CO113" s="2293">
        <f t="shared" si="218"/>
        <v>-2.4545454545454546</v>
      </c>
      <c r="CP113" s="2294">
        <f t="shared" si="218"/>
        <v>-6.8548387096774244E-2</v>
      </c>
      <c r="CQ113" s="2293">
        <f t="shared" si="218"/>
        <v>-6.8548387096774244E-2</v>
      </c>
      <c r="CR113" s="2293">
        <f t="shared" si="218"/>
        <v>-6.8548387096774244E-2</v>
      </c>
      <c r="CS113" s="2293">
        <f t="shared" si="218"/>
        <v>-6.8548387096774244E-2</v>
      </c>
      <c r="CT113" s="2294">
        <f t="shared" si="218"/>
        <v>-0.17965367965367962</v>
      </c>
      <c r="CU113" s="2293">
        <f t="shared" si="218"/>
        <v>-0.17965367965367962</v>
      </c>
      <c r="CV113" s="2293">
        <f t="shared" si="218"/>
        <v>-0.17965367965367962</v>
      </c>
      <c r="CW113" s="2295">
        <f t="shared" si="218"/>
        <v>-0.17965367965367962</v>
      </c>
      <c r="CX113" s="2294">
        <f t="shared" si="218"/>
        <v>-5.8047493403693973E-2</v>
      </c>
      <c r="CY113" s="2293">
        <f t="shared" si="218"/>
        <v>-5.8047493403693973E-2</v>
      </c>
      <c r="CZ113" s="2293">
        <f t="shared" si="218"/>
        <v>-5.8047493403693973E-2</v>
      </c>
      <c r="DA113" s="2295">
        <f t="shared" si="218"/>
        <v>-5.8047493403693973E-2</v>
      </c>
      <c r="DB113" s="2294">
        <f t="shared" si="218"/>
        <v>0.12324929971988796</v>
      </c>
      <c r="DC113" s="2293">
        <f t="shared" si="218"/>
        <v>0.12324929971988796</v>
      </c>
      <c r="DD113" s="2293">
        <f t="shared" si="218"/>
        <v>0.12324929971988796</v>
      </c>
      <c r="DE113" s="2293">
        <f t="shared" si="218"/>
        <v>0.12324929971988796</v>
      </c>
      <c r="DF113" s="2294">
        <f t="shared" si="218"/>
        <v>-0.20448877805486287</v>
      </c>
      <c r="DG113" s="2293">
        <f t="shared" si="218"/>
        <v>-0.20448877805486287</v>
      </c>
      <c r="DH113" s="2293">
        <f t="shared" si="218"/>
        <v>-0.20448877805486287</v>
      </c>
      <c r="DI113" s="2293">
        <f t="shared" si="218"/>
        <v>-0.20448877805486287</v>
      </c>
      <c r="DJ113" s="2294">
        <f t="shared" si="218"/>
        <v>0.15673981191222564</v>
      </c>
      <c r="DK113" s="2293">
        <f t="shared" si="218"/>
        <v>0.15673981191222564</v>
      </c>
      <c r="DL113" s="2293">
        <f t="shared" si="218"/>
        <v>0.15673981191222564</v>
      </c>
      <c r="DM113" s="2295">
        <f t="shared" si="218"/>
        <v>0.15673981191222564</v>
      </c>
      <c r="DN113" s="2293">
        <f t="shared" si="218"/>
        <v>0</v>
      </c>
      <c r="DO113" s="2293">
        <f t="shared" si="218"/>
        <v>0</v>
      </c>
      <c r="DP113" s="2293">
        <f t="shared" si="218"/>
        <v>0</v>
      </c>
      <c r="DQ113" s="2295">
        <f t="shared" si="218"/>
        <v>0</v>
      </c>
      <c r="DR113" s="2293">
        <f t="shared" si="218"/>
        <v>-7.0460704607046121E-2</v>
      </c>
      <c r="DS113" s="2293">
        <f t="shared" si="218"/>
        <v>-7.0460704607046121E-2</v>
      </c>
      <c r="DT113" s="2293">
        <f t="shared" si="218"/>
        <v>-7.0460704607046121E-2</v>
      </c>
      <c r="DU113" s="2295">
        <f t="shared" si="218"/>
        <v>-7.0460704607046121E-2</v>
      </c>
      <c r="DV113" s="2293">
        <f t="shared" si="218"/>
        <v>0</v>
      </c>
      <c r="DW113" s="2293">
        <f t="shared" ref="DW113" si="219">DW112/DS112-1</f>
        <v>0</v>
      </c>
      <c r="DX113" s="2293">
        <f t="shared" ref="DX113" si="220">DX112/DT112-1</f>
        <v>0</v>
      </c>
      <c r="DY113" s="2295">
        <f t="shared" ref="DY113" si="221">DY112/DU112-1</f>
        <v>0</v>
      </c>
      <c r="DZ113" s="1958"/>
    </row>
    <row r="114" spans="1:130" s="1958" customFormat="1" ht="15" customHeight="1" outlineLevel="1">
      <c r="A114" s="2371"/>
      <c r="B114" s="1946"/>
      <c r="C114" s="1946"/>
      <c r="D114" s="1946"/>
      <c r="E114" s="1946"/>
      <c r="F114" s="1946"/>
      <c r="G114" s="1946"/>
      <c r="H114" s="1946"/>
      <c r="I114" s="1946"/>
      <c r="J114" s="1946"/>
      <c r="K114" s="1946"/>
      <c r="L114" s="1946"/>
      <c r="M114" s="1946"/>
      <c r="N114" s="1946"/>
      <c r="O114" s="1946"/>
      <c r="P114" s="1946"/>
      <c r="Q114" s="1903"/>
      <c r="R114" s="1903"/>
      <c r="S114" s="1903"/>
      <c r="T114" s="1903"/>
      <c r="U114" s="1903"/>
      <c r="V114" s="1946"/>
      <c r="W114" s="1946"/>
      <c r="X114" s="1946"/>
      <c r="Y114" s="1946"/>
      <c r="Z114" s="1946"/>
      <c r="AA114" s="1903"/>
      <c r="AB114" s="1903"/>
      <c r="AC114" s="1903"/>
      <c r="AD114" s="1903"/>
      <c r="AE114" s="1903"/>
      <c r="AF114" s="1903"/>
      <c r="AG114" s="1903"/>
      <c r="AH114" s="1947"/>
      <c r="AI114" s="1927"/>
      <c r="AJ114" s="1947"/>
      <c r="AK114" s="1946"/>
      <c r="AL114" s="1946"/>
      <c r="AM114" s="1946"/>
      <c r="AN114" s="1946"/>
      <c r="AO114" s="1946"/>
      <c r="AP114" s="1946"/>
      <c r="AQ114" s="1946"/>
      <c r="AR114" s="1946"/>
      <c r="AS114" s="1946"/>
      <c r="AT114" s="1946"/>
      <c r="AU114" s="1946"/>
      <c r="AV114" s="1946"/>
      <c r="AW114" s="1946"/>
      <c r="AX114" s="1946"/>
      <c r="AY114" s="1946"/>
      <c r="AZ114" s="1946"/>
      <c r="BA114" s="1946"/>
      <c r="BB114" s="1946"/>
      <c r="BC114" s="1946"/>
      <c r="BD114" s="1946"/>
      <c r="BE114" s="1946"/>
      <c r="BF114" s="1946"/>
      <c r="BG114" s="1946"/>
      <c r="BH114" s="1946"/>
      <c r="BI114" s="1946"/>
      <c r="BJ114" s="1946"/>
      <c r="BK114" s="1946"/>
      <c r="BL114" s="1946"/>
      <c r="BM114" s="1946"/>
      <c r="BN114" s="1946"/>
      <c r="BO114" s="1946"/>
      <c r="BP114" s="1946"/>
      <c r="BQ114" s="1946"/>
      <c r="BR114" s="1942"/>
      <c r="BS114" s="1903"/>
      <c r="BT114" s="1903"/>
      <c r="BU114" s="1903"/>
      <c r="BV114" s="1942"/>
      <c r="BW114" s="1903"/>
      <c r="BX114" s="1903"/>
      <c r="BY114" s="1903"/>
      <c r="BZ114" s="1942"/>
      <c r="CA114" s="1903"/>
      <c r="CB114" s="1903"/>
      <c r="CC114" s="1903"/>
      <c r="CD114" s="1942"/>
      <c r="CE114" s="1903"/>
      <c r="CF114" s="1903"/>
      <c r="CG114" s="2236"/>
      <c r="CH114" s="1942"/>
      <c r="CI114" s="1903"/>
      <c r="CJ114" s="1903"/>
      <c r="CK114" s="2236"/>
      <c r="CL114" s="1942"/>
      <c r="CM114" s="1903"/>
      <c r="CN114" s="1903"/>
      <c r="CO114" s="1903"/>
      <c r="CP114" s="1942"/>
      <c r="CQ114" s="1903"/>
      <c r="CR114" s="1903"/>
      <c r="CS114" s="1903"/>
      <c r="CT114" s="1942"/>
      <c r="CU114" s="1903"/>
      <c r="CV114" s="1903"/>
      <c r="CW114" s="2236"/>
      <c r="CX114" s="1942"/>
      <c r="CY114" s="1903"/>
      <c r="CZ114" s="1903"/>
      <c r="DA114" s="2236"/>
      <c r="DB114" s="1942"/>
      <c r="DC114" s="1903"/>
      <c r="DD114" s="1903"/>
      <c r="DE114" s="1903"/>
      <c r="DF114" s="1942"/>
      <c r="DG114" s="1903"/>
      <c r="DH114" s="1903"/>
      <c r="DI114" s="1903"/>
      <c r="DJ114" s="1942"/>
      <c r="DK114" s="1903"/>
      <c r="DL114" s="1903"/>
      <c r="DM114" s="2236"/>
      <c r="DN114" s="1903"/>
      <c r="DO114" s="1903"/>
      <c r="DP114" s="1903"/>
      <c r="DQ114" s="2236"/>
      <c r="DR114" s="1903"/>
      <c r="DS114" s="1903"/>
      <c r="DT114" s="1903"/>
      <c r="DU114" s="2236"/>
      <c r="DV114" s="1903"/>
      <c r="DW114" s="1903"/>
      <c r="DX114" s="1903"/>
      <c r="DY114" s="2236"/>
      <c r="DZ114" s="1946"/>
    </row>
    <row r="115" spans="1:130" s="2960" customFormat="1" ht="15" customHeight="1" outlineLevel="1">
      <c r="A115" s="2336" t="s">
        <v>1574</v>
      </c>
      <c r="B115" s="2162"/>
      <c r="C115" s="2162"/>
      <c r="D115" s="2162"/>
      <c r="E115" s="2162"/>
      <c r="F115" s="2162"/>
      <c r="G115" s="2162"/>
      <c r="H115" s="2162"/>
      <c r="I115" s="2162"/>
      <c r="J115" s="2162"/>
      <c r="K115" s="2162"/>
      <c r="L115" s="2328"/>
      <c r="M115" s="2328">
        <f>'OPEB - NEW'!E19</f>
        <v>1766</v>
      </c>
      <c r="N115" s="2328">
        <f>'OPEB - NEW'!F19</f>
        <v>1887</v>
      </c>
      <c r="O115" s="2328">
        <f>'OPEB - NEW'!G19</f>
        <v>2021</v>
      </c>
      <c r="P115" s="2328">
        <f>'OPEB - NEW'!H19</f>
        <v>2043</v>
      </c>
      <c r="Q115" s="2303">
        <f>'OPEB - NEW'!I13+'OPEB - NEW'!I14</f>
        <v>712</v>
      </c>
      <c r="R115" s="2303">
        <f>'OPEB - NEW'!J13+'OPEB - NEW'!J14</f>
        <v>680</v>
      </c>
      <c r="S115" s="2303">
        <f>'OPEB - NEW'!K13+'OPEB - NEW'!K14</f>
        <v>242</v>
      </c>
      <c r="T115" s="2303">
        <f>'OPEB - NEW'!L13+'OPEB - NEW'!L14</f>
        <v>270</v>
      </c>
      <c r="U115" s="2303">
        <f>'OPEB - NEW'!M13+'OPEB - NEW'!M14</f>
        <v>71</v>
      </c>
      <c r="V115" s="2328">
        <f>'OPEB - NEW'!N13+'OPEB - NEW'!N14</f>
        <v>5</v>
      </c>
      <c r="W115" s="2328">
        <f>'OPEB - NEW'!O13+'OPEB - NEW'!O14</f>
        <v>37</v>
      </c>
      <c r="X115" s="2328">
        <f>'OPEB - NEW'!P13+'OPEB - NEW'!P14</f>
        <v>-464</v>
      </c>
      <c r="Y115" s="2328">
        <f>'OPEB - NEW'!Q13+'OPEB - NEW'!Q14</f>
        <v>-464</v>
      </c>
      <c r="Z115" s="2328">
        <f>'OPEB - NEW'!R13+'OPEB - NEW'!R14</f>
        <v>-464</v>
      </c>
      <c r="AA115" s="2303">
        <f>'OPEB - NEW'!S13+'OPEB - NEW'!S14</f>
        <v>-464</v>
      </c>
      <c r="AB115" s="2303">
        <f>'OPEB - NEW'!T13+'OPEB - NEW'!T14</f>
        <v>-464</v>
      </c>
      <c r="AC115" s="2303">
        <f>'OPEB - NEW'!U13+'OPEB - NEW'!U14</f>
        <v>-464</v>
      </c>
      <c r="AD115" s="2303">
        <f>'OPEB - NEW'!V13+'OPEB - NEW'!V14</f>
        <v>-464</v>
      </c>
      <c r="AE115" s="2303">
        <f>'OPEB - NEW'!W13+'OPEB - NEW'!W14</f>
        <v>-464</v>
      </c>
      <c r="AF115" s="2303">
        <f>'OPEB - NEW'!X13+'OPEB - NEW'!X14</f>
        <v>-464</v>
      </c>
      <c r="AG115" s="2303">
        <f>'OPEB - NEW'!Y13+'OPEB - NEW'!Y14</f>
        <v>-464</v>
      </c>
      <c r="AH115" s="1955"/>
      <c r="AI115" s="1977"/>
      <c r="AJ115" s="1955"/>
      <c r="AK115" s="2162"/>
      <c r="AL115" s="2162"/>
      <c r="AM115" s="2162"/>
      <c r="AN115" s="2162"/>
      <c r="AO115" s="2162"/>
      <c r="AP115" s="2162"/>
      <c r="AQ115" s="2162"/>
      <c r="AR115" s="2162"/>
      <c r="AS115" s="2162"/>
      <c r="AT115" s="2162"/>
      <c r="AU115" s="2162"/>
      <c r="AV115" s="2162"/>
      <c r="AW115" s="2162"/>
      <c r="AX115" s="2162"/>
      <c r="AY115" s="2162"/>
      <c r="AZ115" s="2162"/>
      <c r="BA115" s="2162"/>
      <c r="BB115" s="2162"/>
      <c r="BC115" s="2162"/>
      <c r="BD115" s="2162"/>
      <c r="BE115" s="2162"/>
      <c r="BF115" s="2162"/>
      <c r="BG115" s="2162"/>
      <c r="BH115" s="2162"/>
      <c r="BI115" s="2162"/>
      <c r="BJ115" s="2162"/>
      <c r="BK115" s="2162"/>
      <c r="BL115" s="2162"/>
      <c r="BM115" s="2162"/>
      <c r="BN115" s="2162"/>
      <c r="BO115" s="2162"/>
      <c r="BP115" s="2162"/>
      <c r="BQ115" s="2162"/>
      <c r="BR115" s="2302">
        <f>$L$115/4</f>
        <v>0</v>
      </c>
      <c r="BS115" s="2303">
        <f>$L$115/4</f>
        <v>0</v>
      </c>
      <c r="BT115" s="2303">
        <f>$L$115/4</f>
        <v>0</v>
      </c>
      <c r="BU115" s="2303">
        <f>$L$115/4</f>
        <v>0</v>
      </c>
      <c r="BV115" s="2302">
        <f>$M$115/4</f>
        <v>441.5</v>
      </c>
      <c r="BW115" s="2303">
        <f>$M$115/4</f>
        <v>441.5</v>
      </c>
      <c r="BX115" s="2303">
        <f>$M$115/4</f>
        <v>441.5</v>
      </c>
      <c r="BY115" s="2303">
        <f>$M$115/4</f>
        <v>441.5</v>
      </c>
      <c r="BZ115" s="2302">
        <f>$N$115/4</f>
        <v>471.75</v>
      </c>
      <c r="CA115" s="2303">
        <f>$N$115/4</f>
        <v>471.75</v>
      </c>
      <c r="CB115" s="2303">
        <f>$N$115/4</f>
        <v>471.75</v>
      </c>
      <c r="CC115" s="2303">
        <f>$N$115/4</f>
        <v>471.75</v>
      </c>
      <c r="CD115" s="2302">
        <f>$O$115/4</f>
        <v>505.25</v>
      </c>
      <c r="CE115" s="2303">
        <f>$O$115/4</f>
        <v>505.25</v>
      </c>
      <c r="CF115" s="2303">
        <f>$O$115/4</f>
        <v>505.25</v>
      </c>
      <c r="CG115" s="2304">
        <f>$O$115/4</f>
        <v>505.25</v>
      </c>
      <c r="CH115" s="2302">
        <f>$P$115/4</f>
        <v>510.75</v>
      </c>
      <c r="CI115" s="2303">
        <f>$P$115/4</f>
        <v>510.75</v>
      </c>
      <c r="CJ115" s="2303">
        <f>$P$115/4</f>
        <v>510.75</v>
      </c>
      <c r="CK115" s="2304">
        <f>$P$115/4</f>
        <v>510.75</v>
      </c>
      <c r="CL115" s="2302">
        <f>$Q$115/4</f>
        <v>178</v>
      </c>
      <c r="CM115" s="2303">
        <f>$Q$115/4</f>
        <v>178</v>
      </c>
      <c r="CN115" s="2303">
        <f>$Q$115/4</f>
        <v>178</v>
      </c>
      <c r="CO115" s="2303">
        <f>$Q$115/4</f>
        <v>178</v>
      </c>
      <c r="CP115" s="2302">
        <f>$R$115/4</f>
        <v>170</v>
      </c>
      <c r="CQ115" s="2303">
        <f>$R$115/4</f>
        <v>170</v>
      </c>
      <c r="CR115" s="2303">
        <f>$R$115/4</f>
        <v>170</v>
      </c>
      <c r="CS115" s="2303">
        <f>$R$115/4</f>
        <v>170</v>
      </c>
      <c r="CT115" s="2302">
        <f>$S$115/4</f>
        <v>60.5</v>
      </c>
      <c r="CU115" s="2303">
        <f>$S$115/4</f>
        <v>60.5</v>
      </c>
      <c r="CV115" s="2303">
        <f>$S$115/4</f>
        <v>60.5</v>
      </c>
      <c r="CW115" s="2304">
        <f>$S$115/4</f>
        <v>60.5</v>
      </c>
      <c r="CX115" s="2302">
        <f>$T$115/4</f>
        <v>67.5</v>
      </c>
      <c r="CY115" s="2303">
        <f>$T$115/4</f>
        <v>67.5</v>
      </c>
      <c r="CZ115" s="2303">
        <f>$T$115/4</f>
        <v>67.5</v>
      </c>
      <c r="DA115" s="2304">
        <f>$T$115/4</f>
        <v>67.5</v>
      </c>
      <c r="DB115" s="2302">
        <f>$U$115/4</f>
        <v>17.75</v>
      </c>
      <c r="DC115" s="2303">
        <f>$U$115/4</f>
        <v>17.75</v>
      </c>
      <c r="DD115" s="2303">
        <f>$U$115/4</f>
        <v>17.75</v>
      </c>
      <c r="DE115" s="2303">
        <f>$U$115/4</f>
        <v>17.75</v>
      </c>
      <c r="DF115" s="2302">
        <f>$V$115/4</f>
        <v>1.25</v>
      </c>
      <c r="DG115" s="2303">
        <f>$V$115/4</f>
        <v>1.25</v>
      </c>
      <c r="DH115" s="2303">
        <f>$V$115/4</f>
        <v>1.25</v>
      </c>
      <c r="DI115" s="2303">
        <f>$V$115/4</f>
        <v>1.25</v>
      </c>
      <c r="DJ115" s="2302">
        <f t="shared" ref="DJ115:DM115" si="222">$W$115/4</f>
        <v>9.25</v>
      </c>
      <c r="DK115" s="2303">
        <f t="shared" si="222"/>
        <v>9.25</v>
      </c>
      <c r="DL115" s="2303">
        <f t="shared" si="222"/>
        <v>9.25</v>
      </c>
      <c r="DM115" s="2304">
        <f t="shared" si="222"/>
        <v>9.25</v>
      </c>
      <c r="DN115" s="2303">
        <f>$X$115/4</f>
        <v>-116</v>
      </c>
      <c r="DO115" s="2303">
        <f t="shared" ref="DO115:DQ115" si="223">$X$115/4</f>
        <v>-116</v>
      </c>
      <c r="DP115" s="2303">
        <f t="shared" si="223"/>
        <v>-116</v>
      </c>
      <c r="DQ115" s="2304">
        <f t="shared" si="223"/>
        <v>-116</v>
      </c>
      <c r="DR115" s="2303">
        <f>$Y$115/4</f>
        <v>-116</v>
      </c>
      <c r="DS115" s="2303">
        <f t="shared" ref="DS115:DV115" si="224">$Y$115/4</f>
        <v>-116</v>
      </c>
      <c r="DT115" s="2303">
        <f t="shared" si="224"/>
        <v>-116</v>
      </c>
      <c r="DU115" s="2304">
        <f t="shared" si="224"/>
        <v>-116</v>
      </c>
      <c r="DV115" s="2303">
        <f t="shared" si="224"/>
        <v>-116</v>
      </c>
      <c r="DW115" s="2303">
        <f t="shared" ref="DW115:DY115" si="225">+$Z$115/4</f>
        <v>-116</v>
      </c>
      <c r="DX115" s="2303">
        <f t="shared" si="225"/>
        <v>-116</v>
      </c>
      <c r="DY115" s="2304">
        <f t="shared" si="225"/>
        <v>-116</v>
      </c>
      <c r="DZ115" s="2965"/>
    </row>
    <row r="116" spans="1:130" s="2959" customFormat="1" ht="15" customHeight="1" outlineLevel="1">
      <c r="A116" s="2290" t="s">
        <v>1453</v>
      </c>
      <c r="B116" s="2291"/>
      <c r="C116" s="2291"/>
      <c r="D116" s="2291"/>
      <c r="E116" s="2291"/>
      <c r="F116" s="2291"/>
      <c r="G116" s="2291"/>
      <c r="H116" s="2291"/>
      <c r="I116" s="2291"/>
      <c r="J116" s="2291"/>
      <c r="K116" s="2291"/>
      <c r="L116" s="2291"/>
      <c r="M116" s="2291" t="e">
        <f t="shared" ref="M116:AA116" si="226">M115/L115-1</f>
        <v>#DIV/0!</v>
      </c>
      <c r="N116" s="2291">
        <f t="shared" si="226"/>
        <v>6.8516421291053176E-2</v>
      </c>
      <c r="O116" s="2291">
        <f t="shared" si="226"/>
        <v>7.1012188659247411E-2</v>
      </c>
      <c r="P116" s="2291">
        <f t="shared" si="226"/>
        <v>1.0885700148441257E-2</v>
      </c>
      <c r="Q116" s="2293">
        <f t="shared" si="226"/>
        <v>-0.65149290259422421</v>
      </c>
      <c r="R116" s="2293">
        <f t="shared" si="226"/>
        <v>-4.49438202247191E-2</v>
      </c>
      <c r="S116" s="2293">
        <f t="shared" si="226"/>
        <v>-0.64411764705882346</v>
      </c>
      <c r="T116" s="2293">
        <f t="shared" si="226"/>
        <v>0.11570247933884303</v>
      </c>
      <c r="U116" s="2293">
        <f t="shared" si="226"/>
        <v>-0.73703703703703705</v>
      </c>
      <c r="V116" s="2291">
        <f t="shared" si="226"/>
        <v>-0.92957746478873238</v>
      </c>
      <c r="W116" s="2291">
        <f>W115/V115-1</f>
        <v>6.4</v>
      </c>
      <c r="X116" s="2291">
        <f>X115/W115-1</f>
        <v>-13.54054054054054</v>
      </c>
      <c r="Y116" s="2291">
        <f>Y115/X115-1</f>
        <v>0</v>
      </c>
      <c r="Z116" s="2291">
        <f>Z115/Y115-1</f>
        <v>0</v>
      </c>
      <c r="AA116" s="2293">
        <f t="shared" si="226"/>
        <v>0</v>
      </c>
      <c r="AB116" s="2293">
        <f t="shared" ref="AB116" si="227">AB115/AA115-1</f>
        <v>0</v>
      </c>
      <c r="AC116" s="2293">
        <f t="shared" ref="AC116" si="228">AC115/AB115-1</f>
        <v>0</v>
      </c>
      <c r="AD116" s="2293">
        <f t="shared" ref="AD116" si="229">AD115/AC115-1</f>
        <v>0</v>
      </c>
      <c r="AE116" s="2293">
        <f t="shared" ref="AE116" si="230">AE115/AD115-1</f>
        <v>0</v>
      </c>
      <c r="AF116" s="2293">
        <f t="shared" ref="AF116" si="231">AF115/AE115-1</f>
        <v>0</v>
      </c>
      <c r="AG116" s="2293">
        <f t="shared" ref="AG116" si="232">AG115/AF115-1</f>
        <v>0</v>
      </c>
      <c r="AH116" s="1953"/>
      <c r="AI116" s="1953"/>
      <c r="AJ116" s="1953"/>
      <c r="AK116" s="2291"/>
      <c r="AL116" s="2291"/>
      <c r="AM116" s="2291"/>
      <c r="AN116" s="2291"/>
      <c r="AO116" s="2291"/>
      <c r="AP116" s="2291"/>
      <c r="AQ116" s="2291"/>
      <c r="AR116" s="2291"/>
      <c r="AS116" s="2291"/>
      <c r="AT116" s="2291"/>
      <c r="AU116" s="2291"/>
      <c r="AV116" s="2291"/>
      <c r="AW116" s="2291"/>
      <c r="AX116" s="2291"/>
      <c r="AY116" s="2291"/>
      <c r="AZ116" s="2291"/>
      <c r="BA116" s="2291"/>
      <c r="BB116" s="2291"/>
      <c r="BC116" s="2291"/>
      <c r="BD116" s="2291"/>
      <c r="BE116" s="2291"/>
      <c r="BF116" s="2291"/>
      <c r="BG116" s="2291"/>
      <c r="BH116" s="2291"/>
      <c r="BI116" s="2291"/>
      <c r="BJ116" s="2291"/>
      <c r="BK116" s="2291"/>
      <c r="BL116" s="2291"/>
      <c r="BM116" s="2291"/>
      <c r="BN116" s="2291"/>
      <c r="BO116" s="2291"/>
      <c r="BP116" s="2291"/>
      <c r="BQ116" s="2291"/>
      <c r="BR116" s="2294"/>
      <c r="BS116" s="2293"/>
      <c r="BT116" s="2293"/>
      <c r="BU116" s="2293"/>
      <c r="BV116" s="2294"/>
      <c r="BW116" s="2293"/>
      <c r="BX116" s="2293"/>
      <c r="BY116" s="2293"/>
      <c r="BZ116" s="2294">
        <f t="shared" ref="BZ116:DV116" si="233">BZ115/BV115-1</f>
        <v>6.8516421291053176E-2</v>
      </c>
      <c r="CA116" s="2293">
        <f t="shared" si="233"/>
        <v>6.8516421291053176E-2</v>
      </c>
      <c r="CB116" s="2293">
        <f t="shared" si="233"/>
        <v>6.8516421291053176E-2</v>
      </c>
      <c r="CC116" s="2293">
        <f t="shared" si="233"/>
        <v>6.8516421291053176E-2</v>
      </c>
      <c r="CD116" s="2294">
        <f t="shared" si="233"/>
        <v>7.1012188659247411E-2</v>
      </c>
      <c r="CE116" s="2293">
        <f t="shared" si="233"/>
        <v>7.1012188659247411E-2</v>
      </c>
      <c r="CF116" s="2293">
        <f t="shared" si="233"/>
        <v>7.1012188659247411E-2</v>
      </c>
      <c r="CG116" s="2295">
        <f t="shared" si="233"/>
        <v>7.1012188659247411E-2</v>
      </c>
      <c r="CH116" s="2294">
        <f t="shared" si="233"/>
        <v>1.0885700148441257E-2</v>
      </c>
      <c r="CI116" s="2293">
        <f t="shared" si="233"/>
        <v>1.0885700148441257E-2</v>
      </c>
      <c r="CJ116" s="2293">
        <f t="shared" si="233"/>
        <v>1.0885700148441257E-2</v>
      </c>
      <c r="CK116" s="2295">
        <f t="shared" si="233"/>
        <v>1.0885700148441257E-2</v>
      </c>
      <c r="CL116" s="2294">
        <f t="shared" si="233"/>
        <v>-0.65149290259422421</v>
      </c>
      <c r="CM116" s="2293">
        <f t="shared" si="233"/>
        <v>-0.65149290259422421</v>
      </c>
      <c r="CN116" s="2293">
        <f t="shared" si="233"/>
        <v>-0.65149290259422421</v>
      </c>
      <c r="CO116" s="2293">
        <f t="shared" si="233"/>
        <v>-0.65149290259422421</v>
      </c>
      <c r="CP116" s="2294">
        <f t="shared" si="233"/>
        <v>-4.49438202247191E-2</v>
      </c>
      <c r="CQ116" s="2293">
        <f t="shared" si="233"/>
        <v>-4.49438202247191E-2</v>
      </c>
      <c r="CR116" s="2293">
        <f t="shared" si="233"/>
        <v>-4.49438202247191E-2</v>
      </c>
      <c r="CS116" s="2293">
        <f t="shared" si="233"/>
        <v>-4.49438202247191E-2</v>
      </c>
      <c r="CT116" s="2294">
        <f t="shared" si="233"/>
        <v>-0.64411764705882346</v>
      </c>
      <c r="CU116" s="2293">
        <f t="shared" si="233"/>
        <v>-0.64411764705882346</v>
      </c>
      <c r="CV116" s="2293">
        <f t="shared" si="233"/>
        <v>-0.64411764705882346</v>
      </c>
      <c r="CW116" s="2295">
        <f t="shared" si="233"/>
        <v>-0.64411764705882346</v>
      </c>
      <c r="CX116" s="2294">
        <f t="shared" si="233"/>
        <v>0.11570247933884303</v>
      </c>
      <c r="CY116" s="2293">
        <f t="shared" si="233"/>
        <v>0.11570247933884303</v>
      </c>
      <c r="CZ116" s="2293">
        <f t="shared" si="233"/>
        <v>0.11570247933884303</v>
      </c>
      <c r="DA116" s="2295">
        <f t="shared" si="233"/>
        <v>0.11570247933884303</v>
      </c>
      <c r="DB116" s="2294">
        <f t="shared" si="233"/>
        <v>-0.73703703703703705</v>
      </c>
      <c r="DC116" s="2293">
        <f t="shared" si="233"/>
        <v>-0.73703703703703705</v>
      </c>
      <c r="DD116" s="2293">
        <f t="shared" si="233"/>
        <v>-0.73703703703703705</v>
      </c>
      <c r="DE116" s="2293">
        <f t="shared" si="233"/>
        <v>-0.73703703703703705</v>
      </c>
      <c r="DF116" s="2294">
        <f t="shared" si="233"/>
        <v>-0.92957746478873238</v>
      </c>
      <c r="DG116" s="2293">
        <f t="shared" si="233"/>
        <v>-0.92957746478873238</v>
      </c>
      <c r="DH116" s="2293">
        <f t="shared" si="233"/>
        <v>-0.92957746478873238</v>
      </c>
      <c r="DI116" s="2293">
        <f t="shared" si="233"/>
        <v>-0.92957746478873238</v>
      </c>
      <c r="DJ116" s="2294">
        <f t="shared" si="233"/>
        <v>6.4</v>
      </c>
      <c r="DK116" s="2293">
        <f t="shared" si="233"/>
        <v>6.4</v>
      </c>
      <c r="DL116" s="2293">
        <f t="shared" si="233"/>
        <v>6.4</v>
      </c>
      <c r="DM116" s="2295">
        <f t="shared" si="233"/>
        <v>6.4</v>
      </c>
      <c r="DN116" s="2293">
        <f t="shared" si="233"/>
        <v>-13.54054054054054</v>
      </c>
      <c r="DO116" s="2293">
        <f t="shared" si="233"/>
        <v>-13.54054054054054</v>
      </c>
      <c r="DP116" s="2293">
        <f t="shared" si="233"/>
        <v>-13.54054054054054</v>
      </c>
      <c r="DQ116" s="2295">
        <f t="shared" si="233"/>
        <v>-13.54054054054054</v>
      </c>
      <c r="DR116" s="2293">
        <f t="shared" si="233"/>
        <v>0</v>
      </c>
      <c r="DS116" s="2293">
        <f t="shared" si="233"/>
        <v>0</v>
      </c>
      <c r="DT116" s="2293">
        <f t="shared" si="233"/>
        <v>0</v>
      </c>
      <c r="DU116" s="2295">
        <f t="shared" si="233"/>
        <v>0</v>
      </c>
      <c r="DV116" s="2293">
        <f t="shared" si="233"/>
        <v>0</v>
      </c>
      <c r="DW116" s="2293">
        <f t="shared" ref="DW116" si="234">DW115/DS115-1</f>
        <v>0</v>
      </c>
      <c r="DX116" s="2293">
        <f t="shared" ref="DX116" si="235">DX115/DT115-1</f>
        <v>0</v>
      </c>
      <c r="DY116" s="2295">
        <f t="shared" ref="DY116" si="236">DY115/DU115-1</f>
        <v>0</v>
      </c>
      <c r="DZ116" s="1958"/>
    </row>
    <row r="117" spans="1:130" s="1958" customFormat="1" ht="15" customHeight="1" outlineLevel="1">
      <c r="A117" s="2371"/>
      <c r="B117" s="1946"/>
      <c r="C117" s="1946"/>
      <c r="D117" s="1946"/>
      <c r="E117" s="1946"/>
      <c r="F117" s="1946"/>
      <c r="G117" s="1946"/>
      <c r="H117" s="1946"/>
      <c r="I117" s="1946"/>
      <c r="J117" s="1946"/>
      <c r="K117" s="1946"/>
      <c r="L117" s="1946"/>
      <c r="M117" s="1946"/>
      <c r="N117" s="1946"/>
      <c r="O117" s="1946"/>
      <c r="P117" s="1946"/>
      <c r="Q117" s="1903"/>
      <c r="R117" s="1903"/>
      <c r="S117" s="1903"/>
      <c r="T117" s="1903"/>
      <c r="U117" s="1903"/>
      <c r="V117" s="1946"/>
      <c r="W117" s="1946"/>
      <c r="X117" s="1946"/>
      <c r="Y117" s="1946"/>
      <c r="Z117" s="1946"/>
      <c r="AA117" s="1903"/>
      <c r="AB117" s="1903"/>
      <c r="AC117" s="1903"/>
      <c r="AD117" s="1903"/>
      <c r="AE117" s="1903"/>
      <c r="AF117" s="1903"/>
      <c r="AG117" s="1903"/>
      <c r="AH117" s="1947"/>
      <c r="AI117" s="1927"/>
      <c r="AJ117" s="1947"/>
      <c r="AK117" s="1946"/>
      <c r="AL117" s="1946"/>
      <c r="AM117" s="1946"/>
      <c r="AN117" s="1946"/>
      <c r="AO117" s="1946"/>
      <c r="AP117" s="1946"/>
      <c r="AQ117" s="1946"/>
      <c r="AR117" s="1946"/>
      <c r="AS117" s="1946"/>
      <c r="AT117" s="1946"/>
      <c r="AU117" s="1946"/>
      <c r="AV117" s="1946"/>
      <c r="AW117" s="1946"/>
      <c r="AX117" s="1946"/>
      <c r="AY117" s="1946"/>
      <c r="AZ117" s="1946"/>
      <c r="BA117" s="1946"/>
      <c r="BB117" s="1946"/>
      <c r="BC117" s="1946"/>
      <c r="BD117" s="1946"/>
      <c r="BE117" s="1946"/>
      <c r="BF117" s="1946"/>
      <c r="BG117" s="1946"/>
      <c r="BH117" s="1946"/>
      <c r="BI117" s="1946"/>
      <c r="BJ117" s="1946"/>
      <c r="BK117" s="1946"/>
      <c r="BL117" s="1946"/>
      <c r="BM117" s="1946"/>
      <c r="BN117" s="1946"/>
      <c r="BO117" s="1946"/>
      <c r="BP117" s="1946"/>
      <c r="BQ117" s="1946"/>
      <c r="BR117" s="1942"/>
      <c r="BS117" s="1903"/>
      <c r="BT117" s="1903"/>
      <c r="BU117" s="1903"/>
      <c r="BV117" s="1942"/>
      <c r="BW117" s="1903"/>
      <c r="BX117" s="1903"/>
      <c r="BY117" s="1903"/>
      <c r="BZ117" s="1942"/>
      <c r="CA117" s="1903"/>
      <c r="CB117" s="1903"/>
      <c r="CC117" s="1903"/>
      <c r="CD117" s="1942"/>
      <c r="CE117" s="1903"/>
      <c r="CF117" s="1903"/>
      <c r="CG117" s="2236"/>
      <c r="CH117" s="1942"/>
      <c r="CI117" s="1903"/>
      <c r="CJ117" s="1903"/>
      <c r="CK117" s="2236"/>
      <c r="CL117" s="1942"/>
      <c r="CM117" s="1903"/>
      <c r="CN117" s="1903"/>
      <c r="CO117" s="1903"/>
      <c r="CP117" s="1942"/>
      <c r="CQ117" s="1903"/>
      <c r="CR117" s="1903"/>
      <c r="CS117" s="1903"/>
      <c r="CT117" s="1942"/>
      <c r="CU117" s="1903"/>
      <c r="CV117" s="1903"/>
      <c r="CW117" s="2236"/>
      <c r="CX117" s="1942"/>
      <c r="CY117" s="1903"/>
      <c r="CZ117" s="1903"/>
      <c r="DA117" s="1903"/>
      <c r="DB117" s="1942"/>
      <c r="DC117" s="1903"/>
      <c r="DD117" s="1903"/>
      <c r="DE117" s="1903"/>
      <c r="DF117" s="1942"/>
      <c r="DG117" s="1903"/>
      <c r="DH117" s="1903"/>
      <c r="DI117" s="1903"/>
      <c r="DJ117" s="1942"/>
      <c r="DK117" s="1903"/>
      <c r="DL117" s="1903"/>
      <c r="DM117" s="2236"/>
      <c r="DN117" s="1903"/>
      <c r="DO117" s="1903"/>
      <c r="DP117" s="1903"/>
      <c r="DQ117" s="2236"/>
      <c r="DR117" s="1903"/>
      <c r="DS117" s="1903"/>
      <c r="DT117" s="1903"/>
      <c r="DU117" s="2236"/>
      <c r="DV117" s="1903"/>
      <c r="DW117" s="1903"/>
      <c r="DX117" s="1903"/>
      <c r="DY117" s="2236"/>
      <c r="DZ117" s="1946"/>
    </row>
    <row r="118" spans="1:130" s="1958" customFormat="1" ht="15" customHeight="1" outlineLevel="1">
      <c r="A118" s="2336" t="s">
        <v>226</v>
      </c>
      <c r="B118" s="2162"/>
      <c r="M118" s="1958">
        <f t="shared" ref="M118:V118" si="237">M107+M112+M115</f>
        <v>18338.050932630002</v>
      </c>
      <c r="N118" s="1958">
        <f t="shared" si="237"/>
        <v>18141.811302108203</v>
      </c>
      <c r="O118" s="1958">
        <f t="shared" si="237"/>
        <v>18331.736253474348</v>
      </c>
      <c r="P118" s="1958">
        <f t="shared" si="237"/>
        <v>18495.129696189426</v>
      </c>
      <c r="Q118" s="2141">
        <f t="shared" si="237"/>
        <v>18479.541849143756</v>
      </c>
      <c r="R118" s="2141">
        <f t="shared" si="237"/>
        <v>16915.114956355668</v>
      </c>
      <c r="S118" s="2141">
        <f t="shared" si="237"/>
        <v>15746.769277019668</v>
      </c>
      <c r="T118" s="2141">
        <f t="shared" si="237"/>
        <v>15490.944009344905</v>
      </c>
      <c r="U118" s="2141">
        <f t="shared" si="237"/>
        <v>14990.855856947961</v>
      </c>
      <c r="V118" s="2141">
        <f t="shared" si="237"/>
        <v>14909.695969463286</v>
      </c>
      <c r="W118" s="2141">
        <f>W107+W112+W115</f>
        <v>15280.28355335123</v>
      </c>
      <c r="X118" s="2141">
        <f>X107+X112+X115</f>
        <v>14132.549116469731</v>
      </c>
      <c r="Y118" s="2141">
        <f>Y107+Y112+Y115</f>
        <v>13883.574016554674</v>
      </c>
      <c r="Z118" s="2141">
        <f>Z107+Z112+Z115</f>
        <v>13390.222820069457</v>
      </c>
      <c r="AA118" s="2141">
        <f>AA107+AA112+AA115</f>
        <v>13266.711060828336</v>
      </c>
      <c r="AB118" s="2141">
        <f t="shared" ref="AB118:AG118" si="238">AB107+AB112+AB115</f>
        <v>13248.230529807397</v>
      </c>
      <c r="AC118" s="2141">
        <f t="shared" si="238"/>
        <v>13229.77550949738</v>
      </c>
      <c r="AD118" s="2141">
        <f t="shared" si="238"/>
        <v>13211.345964683049</v>
      </c>
      <c r="AE118" s="2141">
        <f t="shared" si="238"/>
        <v>13192.941860197765</v>
      </c>
      <c r="AF118" s="2141">
        <f t="shared" si="238"/>
        <v>13174.563160923453</v>
      </c>
      <c r="AG118" s="2141">
        <f t="shared" si="238"/>
        <v>13156.209831790493</v>
      </c>
      <c r="AH118" s="1952"/>
      <c r="AI118" s="1927"/>
      <c r="AJ118" s="1952"/>
      <c r="BR118" s="1936">
        <f t="shared" ref="BR118:DE118" si="239">BR107+BR112+BR115</f>
        <v>4163.5380000000005</v>
      </c>
      <c r="BS118" s="2141">
        <f t="shared" si="239"/>
        <v>4178.9485000000004</v>
      </c>
      <c r="BT118" s="2141">
        <f t="shared" si="239"/>
        <v>4207.6004444999999</v>
      </c>
      <c r="BU118" s="2141">
        <f t="shared" si="239"/>
        <v>4231.3626719999993</v>
      </c>
      <c r="BV118" s="1936">
        <f t="shared" si="239"/>
        <v>4601.9843909999991</v>
      </c>
      <c r="BW118" s="2141">
        <f t="shared" si="239"/>
        <v>4566.6874400000006</v>
      </c>
      <c r="BX118" s="2141">
        <f t="shared" si="239"/>
        <v>4580.2319786899998</v>
      </c>
      <c r="BY118" s="2141">
        <f t="shared" si="239"/>
        <v>4589.1471229400004</v>
      </c>
      <c r="BZ118" s="1936">
        <f t="shared" si="239"/>
        <v>4510.05666767</v>
      </c>
      <c r="CA118" s="2141">
        <f t="shared" si="239"/>
        <v>4546.158437000001</v>
      </c>
      <c r="CB118" s="2141">
        <f t="shared" si="239"/>
        <v>4535.6978876186004</v>
      </c>
      <c r="CC118" s="2141">
        <f t="shared" si="239"/>
        <v>4549.8983098196004</v>
      </c>
      <c r="CD118" s="1936">
        <f t="shared" si="239"/>
        <v>4536.2107361609997</v>
      </c>
      <c r="CE118" s="2141">
        <f t="shared" si="239"/>
        <v>4608.1335231360008</v>
      </c>
      <c r="CF118" s="2141">
        <f t="shared" si="239"/>
        <v>4606.4775149498519</v>
      </c>
      <c r="CG118" s="1958">
        <f t="shared" si="239"/>
        <v>4580.9144792274965</v>
      </c>
      <c r="CH118" s="1936">
        <f t="shared" si="239"/>
        <v>4615.6200977030203</v>
      </c>
      <c r="CI118" s="2141">
        <f t="shared" si="239"/>
        <v>4647.1646166751707</v>
      </c>
      <c r="CJ118" s="2141">
        <f t="shared" si="239"/>
        <v>4635.2522706290838</v>
      </c>
      <c r="CK118" s="1958">
        <f t="shared" si="239"/>
        <v>4597.092711182152</v>
      </c>
      <c r="CL118" s="1936">
        <f t="shared" si="239"/>
        <v>4561.80603581173</v>
      </c>
      <c r="CM118" s="2141">
        <f t="shared" si="239"/>
        <v>4715.1112984240617</v>
      </c>
      <c r="CN118" s="2141">
        <f t="shared" si="239"/>
        <v>4656.4201492677166</v>
      </c>
      <c r="CO118" s="2141">
        <f t="shared" si="239"/>
        <v>4546.2043656402475</v>
      </c>
      <c r="CP118" s="1936">
        <f t="shared" si="239"/>
        <v>4411.28987840422</v>
      </c>
      <c r="CQ118" s="2141">
        <f t="shared" si="239"/>
        <v>4341.3039351234829</v>
      </c>
      <c r="CR118" s="2141">
        <f t="shared" si="239"/>
        <v>4156.962209737283</v>
      </c>
      <c r="CS118" s="2141">
        <f t="shared" si="239"/>
        <v>4005.5589330906805</v>
      </c>
      <c r="CT118" s="1936">
        <f t="shared" si="239"/>
        <v>3890.8484906262161</v>
      </c>
      <c r="CU118" s="2141">
        <f t="shared" si="239"/>
        <v>3946.0570516970233</v>
      </c>
      <c r="CV118" s="2141">
        <f t="shared" si="239"/>
        <v>3962.101997840854</v>
      </c>
      <c r="CW118" s="1958">
        <f t="shared" si="239"/>
        <v>3947.7617368555743</v>
      </c>
      <c r="CX118" s="1936">
        <f t="shared" si="239"/>
        <v>3919.2608668490075</v>
      </c>
      <c r="CY118" s="2141">
        <f t="shared" si="239"/>
        <v>3904.0512324350061</v>
      </c>
      <c r="CZ118" s="2141">
        <f t="shared" si="239"/>
        <v>3855.1655747180985</v>
      </c>
      <c r="DA118" s="2141">
        <f t="shared" si="239"/>
        <v>3812.4663353427923</v>
      </c>
      <c r="DB118" s="1936">
        <f t="shared" si="239"/>
        <v>3752.7786467543197</v>
      </c>
      <c r="DC118" s="2141">
        <f t="shared" si="239"/>
        <v>3767.2402759736015</v>
      </c>
      <c r="DD118" s="2141">
        <f t="shared" si="239"/>
        <v>3753.7399837067774</v>
      </c>
      <c r="DE118" s="2141">
        <f t="shared" si="239"/>
        <v>3717.0969505132643</v>
      </c>
      <c r="DF118" s="1936">
        <f t="shared" ref="DF118:DM118" si="240">DF107+DF112+DF115</f>
        <v>3670.7444059790391</v>
      </c>
      <c r="DG118" s="2141">
        <f t="shared" si="240"/>
        <v>3720.1213792877434</v>
      </c>
      <c r="DH118" s="2141">
        <f t="shared" si="240"/>
        <v>3759.5145860763346</v>
      </c>
      <c r="DI118" s="2141">
        <f t="shared" si="240"/>
        <v>3759.3155981201689</v>
      </c>
      <c r="DJ118" s="1936">
        <f t="shared" si="240"/>
        <v>3760.9688732368172</v>
      </c>
      <c r="DK118" s="2141">
        <f t="shared" si="240"/>
        <v>3813.4038068734985</v>
      </c>
      <c r="DL118" s="2141">
        <f t="shared" si="240"/>
        <v>3854.6379468065047</v>
      </c>
      <c r="DM118" s="2472">
        <f t="shared" si="240"/>
        <v>3851.2729264344093</v>
      </c>
      <c r="DN118" s="2141">
        <f t="shared" ref="DN118:DO118" si="241">DN107+DN112+DN115</f>
        <v>3682.5103847135656</v>
      </c>
      <c r="DO118" s="2141">
        <f t="shared" si="241"/>
        <v>3562.7841773095165</v>
      </c>
      <c r="DP118" s="2141">
        <f t="shared" ref="DP118:DQ118" si="242">DP107+DP112+DP115</f>
        <v>3463.9513724877484</v>
      </c>
      <c r="DQ118" s="2472">
        <f t="shared" si="242"/>
        <v>3449.3031819588987</v>
      </c>
      <c r="DR118" s="2141">
        <f t="shared" ref="DR118:DS118" si="243">DR107+DR112+DR115</f>
        <v>3436.7190091056486</v>
      </c>
      <c r="DS118" s="2141">
        <f t="shared" si="243"/>
        <v>3501.7176216118787</v>
      </c>
      <c r="DT118" s="2141">
        <f t="shared" ref="DT118:DU118" si="244">DT107+DT112+DT115</f>
        <v>3514.058043978388</v>
      </c>
      <c r="DU118" s="2472">
        <f t="shared" si="244"/>
        <v>3431.0793418587582</v>
      </c>
      <c r="DV118" s="2141">
        <f t="shared" ref="DV118" si="245">DV107+DV112+DV115</f>
        <v>3376.426705554939</v>
      </c>
      <c r="DW118" s="2141">
        <f t="shared" ref="DW118:DY118" si="246">DW107+DW112+DW115</f>
        <v>3344.3033556647006</v>
      </c>
      <c r="DX118" s="2141">
        <f t="shared" si="246"/>
        <v>3343.4930126687873</v>
      </c>
      <c r="DY118" s="2472">
        <f t="shared" si="246"/>
        <v>3325.9997461810303</v>
      </c>
      <c r="DZ118" s="2965"/>
    </row>
    <row r="119" spans="1:130" s="1958" customFormat="1" ht="15" customHeight="1" outlineLevel="1">
      <c r="A119" s="2290" t="s">
        <v>290</v>
      </c>
      <c r="B119" s="2162"/>
      <c r="Q119" s="2141"/>
      <c r="R119" s="2141"/>
      <c r="S119" s="2141"/>
      <c r="T119" s="2141"/>
      <c r="U119" s="2293">
        <f t="shared" ref="U119:AA119" si="247">+U118/U75</f>
        <v>0.38812282148270405</v>
      </c>
      <c r="V119" s="2293">
        <f t="shared" si="247"/>
        <v>0.38798032656231718</v>
      </c>
      <c r="W119" s="2293">
        <f t="shared" si="247"/>
        <v>0.43017605228882155</v>
      </c>
      <c r="X119" s="2293">
        <f t="shared" si="247"/>
        <v>0.439076307716461</v>
      </c>
      <c r="Y119" s="2293">
        <f t="shared" ref="Y119:Z119" si="248">+Y118/Y75</f>
        <v>0.44847931054542345</v>
      </c>
      <c r="Z119" s="2293">
        <f t="shared" si="248"/>
        <v>0.44453995540313007</v>
      </c>
      <c r="AA119" s="2293">
        <f t="shared" si="247"/>
        <v>0.44677652573671861</v>
      </c>
      <c r="AB119" s="2293">
        <f t="shared" ref="AB119:AG119" si="249">+AB118/AB75</f>
        <v>0.45257989699996659</v>
      </c>
      <c r="AC119" s="2293">
        <f t="shared" si="249"/>
        <v>0.45819039507802717</v>
      </c>
      <c r="AD119" s="2293">
        <f t="shared" si="249"/>
        <v>0.4636512097973865</v>
      </c>
      <c r="AE119" s="2293">
        <f t="shared" si="249"/>
        <v>0.46899796000678107</v>
      </c>
      <c r="AF119" s="2293">
        <f t="shared" si="249"/>
        <v>0.4742598175012166</v>
      </c>
      <c r="AG119" s="2293">
        <f t="shared" si="249"/>
        <v>0.47946046468160264</v>
      </c>
      <c r="AH119" s="1952"/>
      <c r="AI119" s="1927"/>
      <c r="AJ119" s="1952"/>
      <c r="BR119" s="1936"/>
      <c r="BS119" s="2141"/>
      <c r="BT119" s="2141"/>
      <c r="BU119" s="2141"/>
      <c r="BV119" s="1936"/>
      <c r="BW119" s="2141"/>
      <c r="BX119" s="2141"/>
      <c r="BY119" s="2141"/>
      <c r="BZ119" s="1936"/>
      <c r="CA119" s="2141"/>
      <c r="CB119" s="2141"/>
      <c r="CC119" s="2141"/>
      <c r="CD119" s="1936"/>
      <c r="CE119" s="2141"/>
      <c r="CF119" s="2141"/>
      <c r="CH119" s="1936"/>
      <c r="CI119" s="2141"/>
      <c r="CJ119" s="2141"/>
      <c r="CL119" s="1936"/>
      <c r="CM119" s="2141"/>
      <c r="CN119" s="2141"/>
      <c r="CO119" s="2141"/>
      <c r="CP119" s="1936"/>
      <c r="CQ119" s="2141"/>
      <c r="CR119" s="2141"/>
      <c r="CS119" s="2141"/>
      <c r="CT119" s="1936"/>
      <c r="CU119" s="2141"/>
      <c r="CV119" s="2141"/>
      <c r="CX119" s="1936"/>
      <c r="CY119" s="2141"/>
      <c r="CZ119" s="2141"/>
      <c r="DA119" s="2141"/>
      <c r="DB119" s="1936"/>
      <c r="DC119" s="2141"/>
      <c r="DD119" s="2141"/>
      <c r="DE119" s="2141"/>
      <c r="DF119" s="1936"/>
      <c r="DG119" s="2141"/>
      <c r="DH119" s="2141"/>
      <c r="DI119" s="2141"/>
      <c r="DJ119" s="2293">
        <f t="shared" ref="DJ119:DM119" si="250">+DJ118/DJ75</f>
        <v>0.42191708248113274</v>
      </c>
      <c r="DK119" s="2293">
        <f t="shared" si="250"/>
        <v>0.4296308930682175</v>
      </c>
      <c r="DL119" s="2293">
        <f t="shared" si="250"/>
        <v>0.4374801891733634</v>
      </c>
      <c r="DM119" s="2295">
        <f t="shared" si="250"/>
        <v>0.43175705453300556</v>
      </c>
      <c r="DN119" s="2293">
        <f t="shared" ref="DN119:DO119" si="251">+DN118/DN75</f>
        <v>0.42013809295077759</v>
      </c>
      <c r="DO119" s="2293">
        <f t="shared" si="251"/>
        <v>0.45542428445730748</v>
      </c>
      <c r="DP119" s="2293">
        <f t="shared" ref="DP119:DQ119" si="252">+DP118/DP75</f>
        <v>0.44483772601614852</v>
      </c>
      <c r="DQ119" s="2295">
        <f t="shared" si="252"/>
        <v>0.44153906579094965</v>
      </c>
      <c r="DR119" s="2293">
        <f t="shared" ref="DR119:DS119" si="253">+DR118/DR75</f>
        <v>0.43635335311143331</v>
      </c>
      <c r="DS119" s="2293">
        <f t="shared" si="253"/>
        <v>0.44882307377747738</v>
      </c>
      <c r="DT119" s="2293">
        <f t="shared" ref="DT119:DU119" si="254">+DT118/DT75</f>
        <v>0.45863456590686347</v>
      </c>
      <c r="DU119" s="2295">
        <f t="shared" si="254"/>
        <v>0.45045022211615571</v>
      </c>
      <c r="DV119" s="2293">
        <f t="shared" ref="DV119" si="255">+DV118/DV75</f>
        <v>0.4467945885344633</v>
      </c>
      <c r="DW119" s="2293">
        <f t="shared" ref="DW119:DY119" si="256">+DW118/DW75</f>
        <v>0.44342186132249845</v>
      </c>
      <c r="DX119" s="2293">
        <f t="shared" si="256"/>
        <v>0.4440157367717939</v>
      </c>
      <c r="DY119" s="2295">
        <f t="shared" si="256"/>
        <v>0.44391823934210278</v>
      </c>
    </row>
    <row r="120" spans="1:130" s="1958" customFormat="1" ht="15" customHeight="1" outlineLevel="1">
      <c r="A120" s="2371"/>
      <c r="B120" s="1946"/>
      <c r="C120" s="1946"/>
      <c r="D120" s="1946"/>
      <c r="E120" s="1946"/>
      <c r="F120" s="1946"/>
      <c r="G120" s="1946"/>
      <c r="H120" s="1946"/>
      <c r="I120" s="1946"/>
      <c r="J120" s="1946"/>
      <c r="K120" s="1946"/>
      <c r="L120" s="1946"/>
      <c r="M120" s="1946"/>
      <c r="N120" s="1946"/>
      <c r="O120" s="1946"/>
      <c r="P120" s="1946"/>
      <c r="Q120" s="1903"/>
      <c r="R120" s="1903"/>
      <c r="S120" s="1903"/>
      <c r="T120" s="1903"/>
      <c r="U120" s="1903"/>
      <c r="V120" s="1946"/>
      <c r="W120" s="1946"/>
      <c r="X120" s="1946"/>
      <c r="Y120" s="1946"/>
      <c r="Z120" s="1946"/>
      <c r="AA120" s="1903"/>
      <c r="AB120" s="1903"/>
      <c r="AC120" s="1903"/>
      <c r="AD120" s="1903"/>
      <c r="AE120" s="1903"/>
      <c r="AF120" s="1903"/>
      <c r="AG120" s="1903"/>
      <c r="AH120" s="1947"/>
      <c r="AI120" s="1927"/>
      <c r="AJ120" s="1947"/>
      <c r="AK120" s="1946"/>
      <c r="AL120" s="1946"/>
      <c r="AM120" s="1946"/>
      <c r="AN120" s="1946"/>
      <c r="AO120" s="1946"/>
      <c r="AP120" s="1946"/>
      <c r="AQ120" s="1946"/>
      <c r="AR120" s="1946"/>
      <c r="AS120" s="1946"/>
      <c r="AT120" s="1946"/>
      <c r="AU120" s="1946"/>
      <c r="AV120" s="1946"/>
      <c r="AW120" s="1946"/>
      <c r="AX120" s="1946"/>
      <c r="AY120" s="1946"/>
      <c r="AZ120" s="1946"/>
      <c r="BA120" s="1946"/>
      <c r="BB120" s="1946"/>
      <c r="BC120" s="1946"/>
      <c r="BD120" s="1946"/>
      <c r="BE120" s="1946"/>
      <c r="BF120" s="1946"/>
      <c r="BG120" s="1946"/>
      <c r="BH120" s="1946"/>
      <c r="BI120" s="1946"/>
      <c r="BJ120" s="1946"/>
      <c r="BK120" s="1946"/>
      <c r="BL120" s="1946"/>
      <c r="BM120" s="1946"/>
      <c r="BN120" s="1946"/>
      <c r="BO120" s="1946"/>
      <c r="BP120" s="1946"/>
      <c r="BQ120" s="1946"/>
      <c r="BR120" s="1942"/>
      <c r="BS120" s="1903"/>
      <c r="BT120" s="1903"/>
      <c r="BU120" s="1903"/>
      <c r="BV120" s="1942"/>
      <c r="BW120" s="1903"/>
      <c r="BX120" s="1903"/>
      <c r="BY120" s="1903"/>
      <c r="BZ120" s="1942"/>
      <c r="CA120" s="1903"/>
      <c r="CB120" s="1903"/>
      <c r="CC120" s="1903"/>
      <c r="CD120" s="1942"/>
      <c r="CE120" s="1903"/>
      <c r="CF120" s="1903"/>
      <c r="CG120" s="2236"/>
      <c r="CH120" s="1942"/>
      <c r="CI120" s="1903"/>
      <c r="CJ120" s="1903"/>
      <c r="CK120" s="2236"/>
      <c r="CL120" s="1942"/>
      <c r="CM120" s="1903"/>
      <c r="CN120" s="1903"/>
      <c r="CO120" s="1903"/>
      <c r="CP120" s="1942"/>
      <c r="CQ120" s="1903"/>
      <c r="CR120" s="1903"/>
      <c r="CS120" s="1903"/>
      <c r="CT120" s="1942"/>
      <c r="CU120" s="1903"/>
      <c r="CV120" s="1903"/>
      <c r="CW120" s="2236"/>
      <c r="CX120" s="1942"/>
      <c r="CY120" s="1903"/>
      <c r="CZ120" s="1903"/>
      <c r="DA120" s="1903"/>
      <c r="DB120" s="1942"/>
      <c r="DC120" s="1903"/>
      <c r="DD120" s="1903"/>
      <c r="DE120" s="1903"/>
      <c r="DF120" s="1942"/>
      <c r="DG120" s="1903"/>
      <c r="DH120" s="1903"/>
      <c r="DI120" s="1903"/>
      <c r="DJ120" s="1942"/>
      <c r="DK120" s="1903"/>
      <c r="DL120" s="1903"/>
      <c r="DM120" s="2236"/>
      <c r="DN120" s="1903"/>
      <c r="DO120" s="1903"/>
      <c r="DP120" s="1903"/>
      <c r="DQ120" s="2236"/>
      <c r="DR120" s="1903"/>
      <c r="DS120" s="1903"/>
      <c r="DT120" s="1903"/>
      <c r="DU120" s="2236"/>
      <c r="DV120" s="1903"/>
      <c r="DW120" s="1903"/>
      <c r="DX120" s="1903"/>
      <c r="DY120" s="2236"/>
      <c r="DZ120" s="1946"/>
    </row>
    <row r="121" spans="1:130" s="1958" customFormat="1" ht="15" customHeight="1" outlineLevel="1">
      <c r="A121" s="2336" t="s">
        <v>1575</v>
      </c>
      <c r="M121" s="1958">
        <f>SUM(BV121:BY121)</f>
        <v>-18338.050932630002</v>
      </c>
      <c r="N121" s="1958">
        <f>SUM(BZ121:CC121)</f>
        <v>17662.188697891797</v>
      </c>
      <c r="O121" s="1958">
        <f>SUM(CD121:CG121)</f>
        <v>17376.263746525652</v>
      </c>
      <c r="P121" s="1958">
        <f>SUM(CH121:CK121)</f>
        <v>16825.870303810574</v>
      </c>
      <c r="Q121" s="2141">
        <f>SUM(CL121:CO121)</f>
        <v>14160.458150856244</v>
      </c>
      <c r="R121" s="2141">
        <f>SUM(CP121:CS121)</f>
        <v>15074.885043644334</v>
      </c>
      <c r="S121" s="2141">
        <f>SUM(CT121:CW121)</f>
        <v>15518.230722980332</v>
      </c>
      <c r="T121" s="2141">
        <f>SUM(CX121:DA121)</f>
        <v>15597.055990655095</v>
      </c>
      <c r="U121" s="2141">
        <f>SUM(DB121:DE121)</f>
        <v>14976.144143052039</v>
      </c>
      <c r="V121" s="2141">
        <f>SUM(DF121:DI121)</f>
        <v>14602.304030536712</v>
      </c>
      <c r="W121" s="2141">
        <f>SUM(DJ121:DM121)</f>
        <v>13586.71644664877</v>
      </c>
      <c r="X121" s="2141">
        <f>SUM(DN121:DQ121)</f>
        <v>11744.450883530269</v>
      </c>
      <c r="Y121" s="2141">
        <f>SUM(DR121:DU121)</f>
        <v>10460.425983445326</v>
      </c>
      <c r="Z121" s="2141">
        <f>SUM(DV121:DY121)</f>
        <v>10302.449496429934</v>
      </c>
      <c r="AA121" s="2141">
        <f>AA122*AA75</f>
        <v>10007.849492344238</v>
      </c>
      <c r="AB121" s="2141">
        <f t="shared" ref="AB121:AG121" si="257">AB122*AB75</f>
        <v>9719.3945637814941</v>
      </c>
      <c r="AC121" s="2141">
        <f t="shared" si="257"/>
        <v>9442.6381465241593</v>
      </c>
      <c r="AD121" s="2141">
        <f t="shared" si="257"/>
        <v>9175.9544231819837</v>
      </c>
      <c r="AE121" s="2141">
        <f t="shared" si="257"/>
        <v>8918.0579729904384</v>
      </c>
      <c r="AF121" s="2141">
        <f t="shared" si="257"/>
        <v>8667.9314592439714</v>
      </c>
      <c r="AG121" s="2141">
        <f t="shared" si="257"/>
        <v>8424.7692173096802</v>
      </c>
      <c r="AH121" s="1952"/>
      <c r="AI121" s="1927"/>
      <c r="AJ121" s="1952"/>
      <c r="BR121" s="1936">
        <f t="shared" ref="BR121:DH121" si="258">BR81-BR118-BR93</f>
        <v>-4163.5380000000005</v>
      </c>
      <c r="BS121" s="2141">
        <f t="shared" si="258"/>
        <v>-4178.9485000000004</v>
      </c>
      <c r="BT121" s="2141">
        <f t="shared" si="258"/>
        <v>-4207.6004444999999</v>
      </c>
      <c r="BU121" s="2141">
        <f t="shared" si="258"/>
        <v>-4231.3626719999993</v>
      </c>
      <c r="BV121" s="1936">
        <f t="shared" si="258"/>
        <v>-4601.9843909999991</v>
      </c>
      <c r="BW121" s="2141">
        <f t="shared" si="258"/>
        <v>-4566.6874400000006</v>
      </c>
      <c r="BX121" s="2141">
        <f t="shared" si="258"/>
        <v>-4580.2319786899998</v>
      </c>
      <c r="BY121" s="2141">
        <f t="shared" si="258"/>
        <v>-4589.1471229400004</v>
      </c>
      <c r="BZ121" s="1936">
        <f t="shared" si="258"/>
        <v>4285.94333233</v>
      </c>
      <c r="CA121" s="2141">
        <f t="shared" si="258"/>
        <v>4390.841562999999</v>
      </c>
      <c r="CB121" s="2141">
        <f t="shared" si="258"/>
        <v>4574.3021123813996</v>
      </c>
      <c r="CC121" s="2141">
        <f t="shared" si="258"/>
        <v>4411.1016901803996</v>
      </c>
      <c r="CD121" s="1936">
        <f t="shared" si="258"/>
        <v>4355.7892638390003</v>
      </c>
      <c r="CE121" s="2141">
        <f t="shared" si="258"/>
        <v>4428.8664768639992</v>
      </c>
      <c r="CF121" s="2141">
        <f t="shared" si="258"/>
        <v>4400.5224850501481</v>
      </c>
      <c r="CG121" s="1958">
        <f t="shared" si="258"/>
        <v>4191.0855207725035</v>
      </c>
      <c r="CH121" s="1936">
        <f t="shared" si="258"/>
        <v>4161.3799022969797</v>
      </c>
      <c r="CI121" s="2141">
        <f t="shared" si="258"/>
        <v>4157.8353833248293</v>
      </c>
      <c r="CJ121" s="2141">
        <f t="shared" si="258"/>
        <v>4208.7477293709162</v>
      </c>
      <c r="CK121" s="1958">
        <f t="shared" si="258"/>
        <v>4297.907288817848</v>
      </c>
      <c r="CL121" s="1936">
        <f t="shared" si="258"/>
        <v>3535.19396418827</v>
      </c>
      <c r="CM121" s="2141">
        <f t="shared" si="258"/>
        <v>3373.8887015759383</v>
      </c>
      <c r="CN121" s="2141">
        <f t="shared" si="258"/>
        <v>3601.5798507322834</v>
      </c>
      <c r="CO121" s="2141">
        <f t="shared" si="258"/>
        <v>3649.7956343597525</v>
      </c>
      <c r="CP121" s="1936">
        <f t="shared" si="258"/>
        <v>3779.71012159578</v>
      </c>
      <c r="CQ121" s="2141">
        <f t="shared" si="258"/>
        <v>3628.6960648765171</v>
      </c>
      <c r="CR121" s="2141">
        <f t="shared" si="258"/>
        <v>3797.037790262717</v>
      </c>
      <c r="CS121" s="2141">
        <f t="shared" si="258"/>
        <v>3869.4410669093195</v>
      </c>
      <c r="CT121" s="1936">
        <f t="shared" si="258"/>
        <v>3861.1515093737835</v>
      </c>
      <c r="CU121" s="2141">
        <f t="shared" si="258"/>
        <v>3865.9429483029762</v>
      </c>
      <c r="CV121" s="2141">
        <f t="shared" si="258"/>
        <v>4014.898002159146</v>
      </c>
      <c r="CW121" s="1958">
        <f t="shared" si="258"/>
        <v>3776.2382631444252</v>
      </c>
      <c r="CX121" s="1936">
        <f t="shared" si="258"/>
        <v>3778.7391331509925</v>
      </c>
      <c r="CY121" s="2141">
        <f t="shared" si="258"/>
        <v>3736.9487675649943</v>
      </c>
      <c r="CZ121" s="2141">
        <f t="shared" si="258"/>
        <v>3910.8344252819015</v>
      </c>
      <c r="DA121" s="2141">
        <f t="shared" si="258"/>
        <v>4170.5336646572077</v>
      </c>
      <c r="DB121" s="1936">
        <f t="shared" si="258"/>
        <v>3799.2213532456808</v>
      </c>
      <c r="DC121" s="2141">
        <f t="shared" si="258"/>
        <v>3686.7597240263985</v>
      </c>
      <c r="DD121" s="2141">
        <f t="shared" si="258"/>
        <v>3682.2600162932231</v>
      </c>
      <c r="DE121" s="2141">
        <f t="shared" si="258"/>
        <v>3807.9030494867357</v>
      </c>
      <c r="DF121" s="1936">
        <f t="shared" si="258"/>
        <v>3817.2555940209604</v>
      </c>
      <c r="DG121" s="2141">
        <f t="shared" si="258"/>
        <v>3652.8786207122566</v>
      </c>
      <c r="DH121" s="2141">
        <f t="shared" si="258"/>
        <v>3613.485413923665</v>
      </c>
      <c r="DI121" s="2141">
        <f t="shared" ref="DI121:DN121" si="259">DI81-DI118-DI93</f>
        <v>3518.6844018798311</v>
      </c>
      <c r="DJ121" s="1936">
        <f t="shared" si="259"/>
        <v>3557.0311267631823</v>
      </c>
      <c r="DK121" s="2141">
        <f t="shared" si="259"/>
        <v>3399.596193126501</v>
      </c>
      <c r="DL121" s="2141">
        <f t="shared" si="259"/>
        <v>3300.3620531934957</v>
      </c>
      <c r="DM121" s="2472">
        <f t="shared" si="259"/>
        <v>3329.7270735655911</v>
      </c>
      <c r="DN121" s="2141">
        <f t="shared" si="259"/>
        <v>3430.4896152864349</v>
      </c>
      <c r="DO121" s="2141">
        <f t="shared" ref="DO121:DP121" si="260">DO81-DO118-DO93</f>
        <v>3161.215822690483</v>
      </c>
      <c r="DP121" s="2141">
        <f t="shared" si="260"/>
        <v>2669.0486275122512</v>
      </c>
      <c r="DQ121" s="2472">
        <f t="shared" ref="DQ121:DR121" si="261">DQ81-DQ118-DQ93</f>
        <v>2483.6968180411013</v>
      </c>
      <c r="DR121" s="2141">
        <f t="shared" si="261"/>
        <v>2654.2809908943509</v>
      </c>
      <c r="DS121" s="2141">
        <f t="shared" ref="DS121:DT121" si="262">DS81-DS118-DS93</f>
        <v>2680.2823783881213</v>
      </c>
      <c r="DT121" s="2141">
        <f t="shared" si="262"/>
        <v>2533.941956021612</v>
      </c>
      <c r="DU121" s="2472">
        <f t="shared" ref="DU121:DV121" si="263">DU81-DU118-DU93</f>
        <v>2591.9206581412418</v>
      </c>
      <c r="DV121" s="2141">
        <f t="shared" si="263"/>
        <v>2577.573294445061</v>
      </c>
      <c r="DW121" s="2141">
        <f t="shared" ref="DW121:DY121" si="264">DW122*DW75</f>
        <v>2609.8297694390681</v>
      </c>
      <c r="DX121" s="2141">
        <f t="shared" si="264"/>
        <v>2546.8040385252375</v>
      </c>
      <c r="DY121" s="2472">
        <f t="shared" si="264"/>
        <v>2568.2423940205676</v>
      </c>
    </row>
    <row r="122" spans="1:130" s="2959" customFormat="1" ht="15" customHeight="1" outlineLevel="1">
      <c r="A122" s="2290" t="s">
        <v>290</v>
      </c>
      <c r="B122" s="2291"/>
      <c r="C122" s="2291"/>
      <c r="D122" s="2291"/>
      <c r="E122" s="2291"/>
      <c r="F122" s="2291"/>
      <c r="G122" s="2291"/>
      <c r="H122" s="2291"/>
      <c r="I122" s="2291"/>
      <c r="J122" s="2291"/>
      <c r="K122" s="2291"/>
      <c r="L122" s="2291"/>
      <c r="M122" s="2291">
        <f t="shared" ref="M122:W122" si="265">M121/M75</f>
        <v>-0.34085596529052048</v>
      </c>
      <c r="N122" s="2291">
        <f t="shared" si="265"/>
        <v>0.35678306193220338</v>
      </c>
      <c r="O122" s="2291">
        <f t="shared" si="265"/>
        <v>0.35368649364989418</v>
      </c>
      <c r="P122" s="2291">
        <f t="shared" si="265"/>
        <v>0.34898308175655562</v>
      </c>
      <c r="Q122" s="2293">
        <f t="shared" si="265"/>
        <v>0.33434368641787465</v>
      </c>
      <c r="R122" s="2293">
        <f t="shared" si="265"/>
        <v>0.36565563935392664</v>
      </c>
      <c r="S122" s="2293">
        <f t="shared" si="265"/>
        <v>0.38145201128214767</v>
      </c>
      <c r="T122" s="2293">
        <f t="shared" si="265"/>
        <v>0.39463239102940301</v>
      </c>
      <c r="U122" s="2293">
        <f t="shared" si="265"/>
        <v>0.3877419258246696</v>
      </c>
      <c r="V122" s="2291">
        <f t="shared" si="265"/>
        <v>0.37998136903215574</v>
      </c>
      <c r="W122" s="2291">
        <f t="shared" si="265"/>
        <v>0.38249814044223895</v>
      </c>
      <c r="X122" s="2291">
        <f>X121/X75</f>
        <v>0.36488181202132131</v>
      </c>
      <c r="Y122" s="2291">
        <f>Y121/Y75</f>
        <v>0.33790179873519161</v>
      </c>
      <c r="Z122" s="2291">
        <f>Z121/Z75</f>
        <v>0.34202944202105562</v>
      </c>
      <c r="AA122" s="2293">
        <f t="shared" ref="AA122:AG122" si="266">CHOOSE(_switch,AA123,AA124,AA125)</f>
        <v>0.33702944202105561</v>
      </c>
      <c r="AB122" s="2293">
        <f t="shared" si="266"/>
        <v>0.33202944202105561</v>
      </c>
      <c r="AC122" s="2293">
        <f t="shared" si="266"/>
        <v>0.32702944202105561</v>
      </c>
      <c r="AD122" s="2293">
        <f t="shared" si="266"/>
        <v>0.3220294420210556</v>
      </c>
      <c r="AE122" s="2293">
        <f t="shared" si="266"/>
        <v>0.3170294420210556</v>
      </c>
      <c r="AF122" s="2293">
        <f t="shared" si="266"/>
        <v>0.31202944202105559</v>
      </c>
      <c r="AG122" s="2293">
        <f t="shared" si="266"/>
        <v>0.30702944202105559</v>
      </c>
      <c r="AH122" s="1953"/>
      <c r="AI122" s="1953"/>
      <c r="AJ122" s="1953"/>
      <c r="AK122" s="2291"/>
      <c r="AL122" s="2291"/>
      <c r="AM122" s="2291"/>
      <c r="AN122" s="2291"/>
      <c r="AO122" s="2291"/>
      <c r="AP122" s="2291"/>
      <c r="AQ122" s="2291"/>
      <c r="AR122" s="2291"/>
      <c r="AS122" s="2291"/>
      <c r="AT122" s="2291"/>
      <c r="AU122" s="2291"/>
      <c r="AV122" s="2291"/>
      <c r="AW122" s="2291"/>
      <c r="AX122" s="2291"/>
      <c r="AY122" s="2291"/>
      <c r="AZ122" s="2291"/>
      <c r="BA122" s="2291"/>
      <c r="BB122" s="2291"/>
      <c r="BC122" s="2291"/>
      <c r="BD122" s="2291"/>
      <c r="BE122" s="2291"/>
      <c r="BF122" s="2291"/>
      <c r="BG122" s="2291"/>
      <c r="BH122" s="2291"/>
      <c r="BI122" s="2291"/>
      <c r="BJ122" s="2291"/>
      <c r="BK122" s="2291"/>
      <c r="BL122" s="2291"/>
      <c r="BM122" s="2291"/>
      <c r="BN122" s="2291"/>
      <c r="BO122" s="2291"/>
      <c r="BP122" s="2291"/>
      <c r="BQ122" s="2291"/>
      <c r="BR122" s="2294">
        <f t="shared" ref="BR122:DH122" si="267">BR121/BR75</f>
        <v>-0.29384840143976287</v>
      </c>
      <c r="BS122" s="2293">
        <f t="shared" si="267"/>
        <v>-0.29885922191232211</v>
      </c>
      <c r="BT122" s="2293">
        <f t="shared" si="267"/>
        <v>-0.30388563083200926</v>
      </c>
      <c r="BU122" s="2293">
        <f t="shared" si="267"/>
        <v>-0.30746713210289195</v>
      </c>
      <c r="BV122" s="2294">
        <f t="shared" si="267"/>
        <v>-0.33800840183621</v>
      </c>
      <c r="BW122" s="2293">
        <f t="shared" si="267"/>
        <v>-0.33568710967362547</v>
      </c>
      <c r="BX122" s="2293">
        <f t="shared" si="267"/>
        <v>-0.34173184948817426</v>
      </c>
      <c r="BY122" s="2293">
        <f t="shared" si="267"/>
        <v>-0.3482430659386857</v>
      </c>
      <c r="BZ122" s="2294">
        <f t="shared" si="267"/>
        <v>0.35298495571816835</v>
      </c>
      <c r="CA122" s="2293">
        <f t="shared" si="267"/>
        <v>0.35247985574375845</v>
      </c>
      <c r="CB122" s="2293">
        <f t="shared" si="267"/>
        <v>0.3664425308324441</v>
      </c>
      <c r="CC122" s="2293">
        <f t="shared" si="267"/>
        <v>0.35510398407506033</v>
      </c>
      <c r="CD122" s="2294">
        <f t="shared" si="267"/>
        <v>0.35767689799958946</v>
      </c>
      <c r="CE122" s="2293">
        <f t="shared" si="267"/>
        <v>0.35919436146504452</v>
      </c>
      <c r="CF122" s="2293">
        <f t="shared" si="267"/>
        <v>0.35568400299467734</v>
      </c>
      <c r="CG122" s="2295">
        <f t="shared" si="267"/>
        <v>0.34215736148032522</v>
      </c>
      <c r="CH122" s="2294">
        <f t="shared" si="267"/>
        <v>0.34603192269224842</v>
      </c>
      <c r="CI122" s="2293">
        <f t="shared" si="267"/>
        <v>0.34325397369147437</v>
      </c>
      <c r="CJ122" s="2293">
        <f t="shared" si="267"/>
        <v>0.34617105851052116</v>
      </c>
      <c r="CK122" s="2295">
        <f t="shared" si="267"/>
        <v>0.36065346050330183</v>
      </c>
      <c r="CL122" s="2294">
        <f t="shared" si="267"/>
        <v>0.33534376438894614</v>
      </c>
      <c r="CM122" s="2293">
        <f t="shared" si="267"/>
        <v>0.31940629570916768</v>
      </c>
      <c r="CN122" s="2293">
        <f t="shared" si="267"/>
        <v>0.33763755983240679</v>
      </c>
      <c r="CO122" s="2293">
        <f t="shared" si="267"/>
        <v>0.34493862908607431</v>
      </c>
      <c r="CP122" s="2294">
        <f t="shared" si="267"/>
        <v>0.36430940931043665</v>
      </c>
      <c r="CQ122" s="2293">
        <f t="shared" si="267"/>
        <v>0.3530890400775048</v>
      </c>
      <c r="CR122" s="2293">
        <f t="shared" si="267"/>
        <v>0.36914619777004831</v>
      </c>
      <c r="CS122" s="2293">
        <f t="shared" si="267"/>
        <v>0.37607552404600247</v>
      </c>
      <c r="CT122" s="2294">
        <f t="shared" si="267"/>
        <v>0.3805214851063155</v>
      </c>
      <c r="CU122" s="2293">
        <f t="shared" si="267"/>
        <v>0.37727558781135712</v>
      </c>
      <c r="CV122" s="2293">
        <f t="shared" si="267"/>
        <v>0.39559542833374184</v>
      </c>
      <c r="CW122" s="2295">
        <f t="shared" si="267"/>
        <v>0.3724468155779096</v>
      </c>
      <c r="CX122" s="2294">
        <f t="shared" si="267"/>
        <v>0.37996371374067295</v>
      </c>
      <c r="CY122" s="2293">
        <f t="shared" si="267"/>
        <v>0.3773171211192442</v>
      </c>
      <c r="CZ122" s="2293">
        <f t="shared" si="267"/>
        <v>0.39447593557412763</v>
      </c>
      <c r="DA122" s="2293">
        <f t="shared" si="267"/>
        <v>0.42730877711651721</v>
      </c>
      <c r="DB122" s="2294">
        <f t="shared" si="267"/>
        <v>0.39370169463685811</v>
      </c>
      <c r="DC122" s="2293">
        <f t="shared" si="267"/>
        <v>0.38383755585907325</v>
      </c>
      <c r="DD122" s="2293">
        <f t="shared" si="267"/>
        <v>0.38130475471608399</v>
      </c>
      <c r="DE122" s="2293">
        <f t="shared" si="267"/>
        <v>0.3920822744529176</v>
      </c>
      <c r="DF122" s="2294">
        <f t="shared" si="267"/>
        <v>0.39507923763412961</v>
      </c>
      <c r="DG122" s="2293">
        <f t="shared" si="267"/>
        <v>0.37928342027954071</v>
      </c>
      <c r="DH122" s="2293">
        <f t="shared" si="267"/>
        <v>0.37734810086922149</v>
      </c>
      <c r="DI122" s="2293">
        <f t="shared" ref="DI122:DN122" si="268">DI121/DI75</f>
        <v>0.36806322195395724</v>
      </c>
      <c r="DJ122" s="2294">
        <f t="shared" si="268"/>
        <v>0.39903871738424751</v>
      </c>
      <c r="DK122" s="2293">
        <f t="shared" si="268"/>
        <v>0.38300993613412587</v>
      </c>
      <c r="DL122" s="2293">
        <f t="shared" si="268"/>
        <v>0.37457292625053862</v>
      </c>
      <c r="DM122" s="2295">
        <f t="shared" si="268"/>
        <v>0.37328778851632188</v>
      </c>
      <c r="DN122" s="2293">
        <f t="shared" si="268"/>
        <v>0.3913850103007912</v>
      </c>
      <c r="DO122" s="2293">
        <f t="shared" ref="DO122:DP122" si="269">DO121/DO75</f>
        <v>0.40409252495084791</v>
      </c>
      <c r="DP122" s="2293">
        <f t="shared" si="269"/>
        <v>0.34275698311445374</v>
      </c>
      <c r="DQ122" s="2295">
        <f t="shared" ref="DQ122:DR122" si="270">DQ121/DQ75</f>
        <v>0.31793354045585015</v>
      </c>
      <c r="DR122" s="2293">
        <f t="shared" si="270"/>
        <v>0.33700875963615423</v>
      </c>
      <c r="DS122" s="2293">
        <f t="shared" ref="DS122:DT122" si="271">DS121/DS75</f>
        <v>0.34353785931660102</v>
      </c>
      <c r="DT122" s="2293">
        <f t="shared" si="271"/>
        <v>0.33071547324740436</v>
      </c>
      <c r="DU122" s="2295">
        <f t="shared" ref="DU122:DV122" si="272">DU121/DU75</f>
        <v>0.34028103690970746</v>
      </c>
      <c r="DV122" s="2293">
        <f t="shared" si="272"/>
        <v>0.3410841993443246</v>
      </c>
      <c r="DW122" s="2293">
        <f>CHOOSE(_switch,DW123,DW124,DW125)</f>
        <v>0.34603785931660103</v>
      </c>
      <c r="DX122" s="2293">
        <f>CHOOSE(_switch,DX123,DX124,DX125)</f>
        <v>0.33821547324740436</v>
      </c>
      <c r="DY122" s="2295">
        <f>CHOOSE(_switch,DY123,DY124,DY125)</f>
        <v>0.34278103690970746</v>
      </c>
      <c r="DZ122" s="1958"/>
    </row>
    <row r="123" spans="1:130" s="2963" customFormat="1" ht="15" customHeight="1" outlineLevel="1">
      <c r="A123" s="2291" t="s">
        <v>1106</v>
      </c>
      <c r="B123" s="2291"/>
      <c r="C123" s="2291"/>
      <c r="D123" s="2291"/>
      <c r="E123" s="2291"/>
      <c r="F123" s="2291"/>
      <c r="G123" s="2291"/>
      <c r="H123" s="2291"/>
      <c r="I123" s="2291"/>
      <c r="J123" s="2291"/>
      <c r="K123" s="2291"/>
      <c r="L123" s="2291"/>
      <c r="M123" s="2291"/>
      <c r="N123" s="2291"/>
      <c r="O123" s="2291"/>
      <c r="P123" s="2291"/>
      <c r="Q123" s="2298"/>
      <c r="R123" s="2298"/>
      <c r="S123" s="2298"/>
      <c r="T123" s="2298"/>
      <c r="U123" s="2298"/>
      <c r="V123" s="2297"/>
      <c r="W123" s="2297"/>
      <c r="X123" s="2297"/>
      <c r="Y123" s="2297"/>
      <c r="Z123" s="2297"/>
      <c r="AA123" s="2298">
        <f>+Z122-0.005</f>
        <v>0.33702944202105561</v>
      </c>
      <c r="AB123" s="2298">
        <f t="shared" ref="AB123:AG123" si="273">+AA123-0.005</f>
        <v>0.33202944202105561</v>
      </c>
      <c r="AC123" s="2298">
        <f t="shared" si="273"/>
        <v>0.32702944202105561</v>
      </c>
      <c r="AD123" s="2298">
        <f t="shared" si="273"/>
        <v>0.3220294420210556</v>
      </c>
      <c r="AE123" s="2298">
        <f t="shared" si="273"/>
        <v>0.3170294420210556</v>
      </c>
      <c r="AF123" s="2298">
        <f t="shared" si="273"/>
        <v>0.31202944202105559</v>
      </c>
      <c r="AG123" s="2298">
        <f t="shared" si="273"/>
        <v>0.30702944202105559</v>
      </c>
      <c r="AH123" s="1953"/>
      <c r="AI123" s="1953"/>
      <c r="AJ123" s="1953"/>
      <c r="AK123" s="2291"/>
      <c r="AL123" s="2291"/>
      <c r="AM123" s="2291"/>
      <c r="AN123" s="2291"/>
      <c r="AO123" s="2291"/>
      <c r="AP123" s="2291"/>
      <c r="AQ123" s="2291"/>
      <c r="AR123" s="2291"/>
      <c r="AS123" s="2291"/>
      <c r="AT123" s="2291"/>
      <c r="AU123" s="2291"/>
      <c r="AV123" s="2291"/>
      <c r="AW123" s="2291"/>
      <c r="AX123" s="2291"/>
      <c r="AY123" s="2291"/>
      <c r="AZ123" s="2291"/>
      <c r="BA123" s="2291"/>
      <c r="BB123" s="2291"/>
      <c r="BC123" s="2291"/>
      <c r="BD123" s="2291"/>
      <c r="BE123" s="2291"/>
      <c r="BF123" s="2291"/>
      <c r="BG123" s="2291"/>
      <c r="BH123" s="2291"/>
      <c r="BI123" s="2291"/>
      <c r="BJ123" s="2291"/>
      <c r="BK123" s="2291"/>
      <c r="BL123" s="2291"/>
      <c r="BM123" s="2291"/>
      <c r="BN123" s="2291"/>
      <c r="BO123" s="2291"/>
      <c r="BP123" s="2291"/>
      <c r="BQ123" s="2291"/>
      <c r="BR123" s="2294"/>
      <c r="BS123" s="2293"/>
      <c r="BT123" s="2293"/>
      <c r="BU123" s="2293"/>
      <c r="BV123" s="2294"/>
      <c r="BW123" s="2293"/>
      <c r="BX123" s="2293"/>
      <c r="BY123" s="2293"/>
      <c r="BZ123" s="2294"/>
      <c r="CA123" s="2293"/>
      <c r="CB123" s="2293"/>
      <c r="CC123" s="2293"/>
      <c r="CD123" s="2299"/>
      <c r="CE123" s="2298"/>
      <c r="CF123" s="2298"/>
      <c r="CG123" s="2300"/>
      <c r="CH123" s="2299"/>
      <c r="CI123" s="2298"/>
      <c r="CJ123" s="2298"/>
      <c r="CK123" s="2300"/>
      <c r="CL123" s="2299"/>
      <c r="CM123" s="2298"/>
      <c r="CN123" s="2298"/>
      <c r="CO123" s="2298"/>
      <c r="CP123" s="2299"/>
      <c r="CQ123" s="2298"/>
      <c r="CR123" s="2298"/>
      <c r="CS123" s="2298"/>
      <c r="CT123" s="2299"/>
      <c r="CU123" s="2298"/>
      <c r="CV123" s="2298"/>
      <c r="CW123" s="2300"/>
      <c r="CX123" s="2299"/>
      <c r="CY123" s="2298"/>
      <c r="CZ123" s="2298"/>
      <c r="DA123" s="2298"/>
      <c r="DB123" s="2299"/>
      <c r="DC123" s="2298"/>
      <c r="DD123" s="2298"/>
      <c r="DE123" s="2298"/>
      <c r="DF123" s="2299"/>
      <c r="DG123" s="2298"/>
      <c r="DH123" s="2298"/>
      <c r="DI123" s="2298"/>
      <c r="DJ123" s="2299"/>
      <c r="DK123" s="2298"/>
      <c r="DL123" s="2298"/>
      <c r="DM123" s="2300"/>
      <c r="DN123" s="2298"/>
      <c r="DO123" s="2298"/>
      <c r="DP123" s="2298"/>
      <c r="DQ123" s="2300"/>
      <c r="DR123" s="2298"/>
      <c r="DS123" s="2298"/>
      <c r="DT123" s="2298"/>
      <c r="DU123" s="2300"/>
      <c r="DV123" s="2298"/>
      <c r="DW123" s="2298">
        <f t="shared" ref="DW123:DY123" si="274">+DS122+0.0025</f>
        <v>0.34603785931660103</v>
      </c>
      <c r="DX123" s="2298">
        <f>+DT122+0.0075</f>
        <v>0.33821547324740436</v>
      </c>
      <c r="DY123" s="2300">
        <f t="shared" si="274"/>
        <v>0.34278103690970746</v>
      </c>
      <c r="DZ123" s="2291"/>
    </row>
    <row r="124" spans="1:130" s="2963" customFormat="1" ht="15" customHeight="1" outlineLevel="1">
      <c r="A124" s="2291" t="s">
        <v>1107</v>
      </c>
      <c r="B124" s="2291"/>
      <c r="C124" s="2291"/>
      <c r="D124" s="2291"/>
      <c r="E124" s="2291"/>
      <c r="F124" s="2291"/>
      <c r="G124" s="2291"/>
      <c r="H124" s="2291"/>
      <c r="I124" s="2291"/>
      <c r="J124" s="2291"/>
      <c r="K124" s="2291"/>
      <c r="L124" s="2291"/>
      <c r="M124" s="2291"/>
      <c r="N124" s="2291"/>
      <c r="O124" s="2291"/>
      <c r="P124" s="2297"/>
      <c r="Q124" s="2298"/>
      <c r="R124" s="2298"/>
      <c r="S124" s="2298"/>
      <c r="T124" s="2298"/>
      <c r="U124" s="2298"/>
      <c r="V124" s="2297"/>
      <c r="W124" s="2297"/>
      <c r="X124" s="2297"/>
      <c r="Y124" s="2297"/>
      <c r="Z124" s="2297"/>
      <c r="AA124" s="2298">
        <f t="shared" ref="AA124" si="275">+AA123</f>
        <v>0.33702944202105561</v>
      </c>
      <c r="AB124" s="2298">
        <f t="shared" ref="AB124:AG124" si="276">+AB123</f>
        <v>0.33202944202105561</v>
      </c>
      <c r="AC124" s="2298">
        <f t="shared" si="276"/>
        <v>0.32702944202105561</v>
      </c>
      <c r="AD124" s="2298">
        <f t="shared" si="276"/>
        <v>0.3220294420210556</v>
      </c>
      <c r="AE124" s="2298">
        <f t="shared" si="276"/>
        <v>0.3170294420210556</v>
      </c>
      <c r="AF124" s="2298">
        <f t="shared" si="276"/>
        <v>0.31202944202105559</v>
      </c>
      <c r="AG124" s="2298">
        <f t="shared" si="276"/>
        <v>0.30702944202105559</v>
      </c>
      <c r="AH124" s="1953"/>
      <c r="AI124" s="1953"/>
      <c r="AJ124" s="1953"/>
      <c r="AK124" s="2291"/>
      <c r="AL124" s="2291"/>
      <c r="AM124" s="2291"/>
      <c r="AN124" s="2291"/>
      <c r="AO124" s="2291"/>
      <c r="AP124" s="2291"/>
      <c r="AQ124" s="2291"/>
      <c r="AR124" s="2291"/>
      <c r="AS124" s="2291"/>
      <c r="AT124" s="2291"/>
      <c r="AU124" s="2291"/>
      <c r="AV124" s="2291"/>
      <c r="AW124" s="2291"/>
      <c r="AX124" s="2291"/>
      <c r="AY124" s="2291"/>
      <c r="AZ124" s="2291"/>
      <c r="BA124" s="2291"/>
      <c r="BB124" s="2291"/>
      <c r="BC124" s="2291"/>
      <c r="BD124" s="2291"/>
      <c r="BE124" s="2291"/>
      <c r="BF124" s="2291"/>
      <c r="BG124" s="2291"/>
      <c r="BH124" s="2291"/>
      <c r="BI124" s="2291"/>
      <c r="BJ124" s="2291"/>
      <c r="BK124" s="2291"/>
      <c r="BL124" s="2291"/>
      <c r="BM124" s="2291"/>
      <c r="BN124" s="2291"/>
      <c r="BO124" s="2291"/>
      <c r="BP124" s="2291"/>
      <c r="BQ124" s="2291"/>
      <c r="BR124" s="2294"/>
      <c r="BS124" s="2293"/>
      <c r="BT124" s="2293"/>
      <c r="BU124" s="2293"/>
      <c r="BV124" s="2294"/>
      <c r="BW124" s="2293"/>
      <c r="BX124" s="2293"/>
      <c r="BY124" s="2293"/>
      <c r="BZ124" s="2294"/>
      <c r="CA124" s="2293"/>
      <c r="CB124" s="2293"/>
      <c r="CC124" s="2293"/>
      <c r="CD124" s="2299"/>
      <c r="CE124" s="2298"/>
      <c r="CF124" s="2298"/>
      <c r="CG124" s="2300"/>
      <c r="CH124" s="2299"/>
      <c r="CI124" s="2298"/>
      <c r="CJ124" s="2298"/>
      <c r="CK124" s="2300"/>
      <c r="CL124" s="2299"/>
      <c r="CM124" s="2298"/>
      <c r="CN124" s="2298"/>
      <c r="CO124" s="2298"/>
      <c r="CP124" s="2299"/>
      <c r="CQ124" s="2298"/>
      <c r="CR124" s="2298"/>
      <c r="CS124" s="2298"/>
      <c r="CT124" s="2299"/>
      <c r="CU124" s="2298"/>
      <c r="CV124" s="2298"/>
      <c r="CW124" s="2300"/>
      <c r="CX124" s="2299"/>
      <c r="CY124" s="2298"/>
      <c r="CZ124" s="2298"/>
      <c r="DA124" s="2298"/>
      <c r="DB124" s="2299"/>
      <c r="DC124" s="2298"/>
      <c r="DD124" s="2298"/>
      <c r="DE124" s="2298"/>
      <c r="DF124" s="2299"/>
      <c r="DG124" s="2298"/>
      <c r="DH124" s="2298"/>
      <c r="DI124" s="2298"/>
      <c r="DJ124" s="2299"/>
      <c r="DK124" s="2298"/>
      <c r="DL124" s="2298"/>
      <c r="DM124" s="2300"/>
      <c r="DN124" s="2298"/>
      <c r="DO124" s="2298"/>
      <c r="DP124" s="2298"/>
      <c r="DQ124" s="2300"/>
      <c r="DR124" s="2298"/>
      <c r="DS124" s="2298"/>
      <c r="DT124" s="2298"/>
      <c r="DU124" s="2300"/>
      <c r="DV124" s="2298"/>
      <c r="DW124" s="2298">
        <f t="shared" ref="DW124:DY124" si="277">+DW123</f>
        <v>0.34603785931660103</v>
      </c>
      <c r="DX124" s="2298">
        <f t="shared" si="277"/>
        <v>0.33821547324740436</v>
      </c>
      <c r="DY124" s="2300">
        <f t="shared" si="277"/>
        <v>0.34278103690970746</v>
      </c>
      <c r="DZ124" s="2291"/>
    </row>
    <row r="125" spans="1:130" s="2963" customFormat="1" ht="15" customHeight="1" outlineLevel="1">
      <c r="A125" s="2291" t="s">
        <v>1109</v>
      </c>
      <c r="B125" s="2291"/>
      <c r="C125" s="2291"/>
      <c r="D125" s="2291"/>
      <c r="E125" s="2291"/>
      <c r="F125" s="2291"/>
      <c r="G125" s="2291"/>
      <c r="H125" s="2291"/>
      <c r="I125" s="2291"/>
      <c r="J125" s="2291"/>
      <c r="K125" s="2291"/>
      <c r="L125" s="2291"/>
      <c r="M125" s="2291"/>
      <c r="N125" s="2291"/>
      <c r="O125" s="2291"/>
      <c r="P125" s="2297"/>
      <c r="Q125" s="2298"/>
      <c r="R125" s="2298"/>
      <c r="S125" s="2298"/>
      <c r="T125" s="2298"/>
      <c r="U125" s="2298"/>
      <c r="V125" s="2297"/>
      <c r="W125" s="2297"/>
      <c r="X125" s="2297"/>
      <c r="Y125" s="2297"/>
      <c r="Z125" s="2297"/>
      <c r="AA125" s="2298">
        <f>+AA123</f>
        <v>0.33702944202105561</v>
      </c>
      <c r="AB125" s="2298">
        <f t="shared" ref="AB125:AG125" si="278">+AB123</f>
        <v>0.33202944202105561</v>
      </c>
      <c r="AC125" s="2298">
        <f t="shared" si="278"/>
        <v>0.32702944202105561</v>
      </c>
      <c r="AD125" s="2298">
        <f t="shared" si="278"/>
        <v>0.3220294420210556</v>
      </c>
      <c r="AE125" s="2298">
        <f t="shared" si="278"/>
        <v>0.3170294420210556</v>
      </c>
      <c r="AF125" s="2298">
        <f t="shared" si="278"/>
        <v>0.31202944202105559</v>
      </c>
      <c r="AG125" s="2298">
        <f t="shared" si="278"/>
        <v>0.30702944202105559</v>
      </c>
      <c r="AH125" s="1953"/>
      <c r="AI125" s="1953"/>
      <c r="AJ125" s="1953"/>
      <c r="AK125" s="2291"/>
      <c r="AL125" s="2291"/>
      <c r="AM125" s="2291"/>
      <c r="AN125" s="2291"/>
      <c r="AO125" s="2291"/>
      <c r="AP125" s="2291"/>
      <c r="AQ125" s="2291"/>
      <c r="AR125" s="2291"/>
      <c r="AS125" s="2291"/>
      <c r="AT125" s="2291"/>
      <c r="AU125" s="2291"/>
      <c r="AV125" s="2291"/>
      <c r="AW125" s="2291"/>
      <c r="AX125" s="2291"/>
      <c r="AY125" s="2291"/>
      <c r="AZ125" s="2291"/>
      <c r="BA125" s="2291"/>
      <c r="BB125" s="2291"/>
      <c r="BC125" s="2291"/>
      <c r="BD125" s="2291"/>
      <c r="BE125" s="2291"/>
      <c r="BF125" s="2291"/>
      <c r="BG125" s="2291"/>
      <c r="BH125" s="2291"/>
      <c r="BI125" s="2291"/>
      <c r="BJ125" s="2291"/>
      <c r="BK125" s="2291"/>
      <c r="BL125" s="2291"/>
      <c r="BM125" s="2291"/>
      <c r="BN125" s="2291"/>
      <c r="BO125" s="2291"/>
      <c r="BP125" s="2291"/>
      <c r="BQ125" s="2291"/>
      <c r="BR125" s="2294"/>
      <c r="BS125" s="2293"/>
      <c r="BT125" s="2293"/>
      <c r="BU125" s="2293"/>
      <c r="BV125" s="2294"/>
      <c r="BW125" s="2293"/>
      <c r="BX125" s="2293"/>
      <c r="BY125" s="2293"/>
      <c r="BZ125" s="2294"/>
      <c r="CA125" s="2293"/>
      <c r="CB125" s="2293"/>
      <c r="CC125" s="2293"/>
      <c r="CD125" s="2299"/>
      <c r="CE125" s="2298"/>
      <c r="CF125" s="2298"/>
      <c r="CG125" s="2300"/>
      <c r="CH125" s="2299"/>
      <c r="CI125" s="2298"/>
      <c r="CJ125" s="2298"/>
      <c r="CK125" s="2300"/>
      <c r="CL125" s="2299"/>
      <c r="CM125" s="2298"/>
      <c r="CN125" s="2298"/>
      <c r="CO125" s="2298"/>
      <c r="CP125" s="2299"/>
      <c r="CQ125" s="2298"/>
      <c r="CR125" s="2298"/>
      <c r="CS125" s="2298"/>
      <c r="CT125" s="2299"/>
      <c r="CU125" s="2298"/>
      <c r="CV125" s="2298"/>
      <c r="CW125" s="2300"/>
      <c r="CX125" s="2299"/>
      <c r="CY125" s="2298"/>
      <c r="CZ125" s="2298"/>
      <c r="DA125" s="2298"/>
      <c r="DB125" s="2299"/>
      <c r="DC125" s="2298"/>
      <c r="DD125" s="2298"/>
      <c r="DE125" s="2298"/>
      <c r="DF125" s="2299"/>
      <c r="DG125" s="2298"/>
      <c r="DH125" s="2298"/>
      <c r="DI125" s="2298"/>
      <c r="DJ125" s="2299"/>
      <c r="DK125" s="2298"/>
      <c r="DL125" s="2298"/>
      <c r="DM125" s="2300"/>
      <c r="DN125" s="2298"/>
      <c r="DO125" s="2298"/>
      <c r="DP125" s="2298"/>
      <c r="DQ125" s="2300"/>
      <c r="DR125" s="2298"/>
      <c r="DS125" s="2298"/>
      <c r="DT125" s="2298"/>
      <c r="DU125" s="2300"/>
      <c r="DV125" s="2298"/>
      <c r="DW125" s="2298">
        <f t="shared" ref="DW125:DY125" si="279">+DW123</f>
        <v>0.34603785931660103</v>
      </c>
      <c r="DX125" s="2298">
        <f t="shared" si="279"/>
        <v>0.33821547324740436</v>
      </c>
      <c r="DY125" s="2300">
        <f t="shared" si="279"/>
        <v>0.34278103690970746</v>
      </c>
      <c r="DZ125" s="2291"/>
    </row>
    <row r="126" spans="1:130" s="1958" customFormat="1" ht="15" customHeight="1">
      <c r="A126" s="2371"/>
      <c r="B126" s="1946"/>
      <c r="C126" s="1946"/>
      <c r="D126" s="1946"/>
      <c r="E126" s="1946"/>
      <c r="F126" s="1946"/>
      <c r="G126" s="1946"/>
      <c r="H126" s="1946"/>
      <c r="I126" s="1946"/>
      <c r="J126" s="1946"/>
      <c r="K126" s="1946"/>
      <c r="L126" s="1946"/>
      <c r="M126" s="1946"/>
      <c r="N126" s="2287"/>
      <c r="O126" s="2373"/>
      <c r="P126" s="2287"/>
      <c r="Q126" s="2280"/>
      <c r="R126" s="2280"/>
      <c r="S126" s="2280"/>
      <c r="T126" s="2280"/>
      <c r="U126" s="2280"/>
      <c r="V126" s="2287"/>
      <c r="W126" s="2287"/>
      <c r="X126" s="2287"/>
      <c r="Y126" s="2287"/>
      <c r="Z126" s="2287"/>
      <c r="AA126" s="2374"/>
      <c r="AB126" s="2374"/>
      <c r="AC126" s="2374"/>
      <c r="AD126" s="2374"/>
      <c r="AE126" s="2374"/>
      <c r="AF126" s="2374"/>
      <c r="AG126" s="2374"/>
      <c r="AH126" s="1947"/>
      <c r="AI126" s="1927"/>
      <c r="AJ126" s="1947"/>
      <c r="AK126" s="1946"/>
      <c r="AL126" s="1946"/>
      <c r="AM126" s="1946"/>
      <c r="AN126" s="1946"/>
      <c r="AO126" s="1946"/>
      <c r="AP126" s="1946"/>
      <c r="AQ126" s="1946"/>
      <c r="AR126" s="1946"/>
      <c r="AS126" s="1946"/>
      <c r="AT126" s="1946"/>
      <c r="AU126" s="1946"/>
      <c r="AV126" s="1946"/>
      <c r="AW126" s="1946"/>
      <c r="AX126" s="1946"/>
      <c r="AY126" s="1946"/>
      <c r="AZ126" s="1946"/>
      <c r="BA126" s="1946"/>
      <c r="BB126" s="1946"/>
      <c r="BC126" s="1946"/>
      <c r="BD126" s="1946"/>
      <c r="BE126" s="1946"/>
      <c r="BF126" s="1946"/>
      <c r="BG126" s="1946"/>
      <c r="BH126" s="1946"/>
      <c r="BI126" s="1946"/>
      <c r="BJ126" s="1946"/>
      <c r="BK126" s="1946"/>
      <c r="BL126" s="1946"/>
      <c r="BM126" s="1946"/>
      <c r="BN126" s="1946"/>
      <c r="BO126" s="1946"/>
      <c r="BP126" s="1946"/>
      <c r="BQ126" s="1946"/>
      <c r="BR126" s="1942"/>
      <c r="BS126" s="1903"/>
      <c r="BT126" s="1903"/>
      <c r="BU126" s="1903"/>
      <c r="BV126" s="1942"/>
      <c r="BW126" s="1903"/>
      <c r="BX126" s="1903"/>
      <c r="BY126" s="1903"/>
      <c r="BZ126" s="1942"/>
      <c r="CA126" s="1903"/>
      <c r="CB126" s="1903"/>
      <c r="CC126" s="2280"/>
      <c r="CD126" s="2279"/>
      <c r="CE126" s="2280"/>
      <c r="CF126" s="2280"/>
      <c r="CG126" s="2289"/>
      <c r="CH126" s="2279"/>
      <c r="CI126" s="2280"/>
      <c r="CJ126" s="2280"/>
      <c r="CK126" s="2289"/>
      <c r="CL126" s="2279"/>
      <c r="CM126" s="2280"/>
      <c r="CN126" s="2280"/>
      <c r="CO126" s="2280"/>
      <c r="CP126" s="2279"/>
      <c r="CQ126" s="2280"/>
      <c r="CR126" s="2280"/>
      <c r="CS126" s="2280"/>
      <c r="CT126" s="2279"/>
      <c r="CU126" s="2280"/>
      <c r="CV126" s="2280"/>
      <c r="CW126" s="2289"/>
      <c r="CX126" s="2279"/>
      <c r="CY126" s="2280"/>
      <c r="CZ126" s="2280"/>
      <c r="DA126" s="2280"/>
      <c r="DB126" s="2279"/>
      <c r="DC126" s="2280"/>
      <c r="DD126" s="2280"/>
      <c r="DE126" s="2280"/>
      <c r="DF126" s="2279"/>
      <c r="DG126" s="2280"/>
      <c r="DH126" s="2280"/>
      <c r="DI126" s="2280"/>
      <c r="DJ126" s="2279"/>
      <c r="DK126" s="2280"/>
      <c r="DL126" s="2280"/>
      <c r="DM126" s="2289"/>
      <c r="DN126" s="2280"/>
      <c r="DO126" s="2280"/>
      <c r="DP126" s="2280"/>
      <c r="DQ126" s="2289"/>
      <c r="DR126" s="2280"/>
      <c r="DS126" s="2280"/>
      <c r="DT126" s="2280"/>
      <c r="DU126" s="2289"/>
      <c r="DV126" s="2280"/>
      <c r="DW126" s="2280"/>
      <c r="DX126" s="2280"/>
      <c r="DY126" s="2289"/>
      <c r="DZ126" s="1946"/>
    </row>
    <row r="127" spans="1:130" s="1958" customFormat="1" ht="15" customHeight="1">
      <c r="A127" s="2336" t="s">
        <v>227</v>
      </c>
      <c r="B127" s="2162"/>
      <c r="L127" s="2162"/>
      <c r="M127" s="2162"/>
      <c r="N127" s="2162">
        <f t="shared" ref="N127:AA127" si="280">N118+N121</f>
        <v>35804</v>
      </c>
      <c r="O127" s="2162">
        <f t="shared" si="280"/>
        <v>35708</v>
      </c>
      <c r="P127" s="2162">
        <f t="shared" si="280"/>
        <v>35321</v>
      </c>
      <c r="Q127" s="2216">
        <f t="shared" si="280"/>
        <v>32640</v>
      </c>
      <c r="R127" s="2216">
        <f t="shared" si="280"/>
        <v>31990</v>
      </c>
      <c r="S127" s="2216">
        <f t="shared" si="280"/>
        <v>31265</v>
      </c>
      <c r="T127" s="2216">
        <f t="shared" si="280"/>
        <v>31088</v>
      </c>
      <c r="U127" s="2216">
        <f t="shared" si="280"/>
        <v>29967</v>
      </c>
      <c r="V127" s="2162">
        <f t="shared" si="280"/>
        <v>29512</v>
      </c>
      <c r="W127" s="2162">
        <f t="shared" si="280"/>
        <v>28867</v>
      </c>
      <c r="X127" s="2162">
        <f t="shared" si="280"/>
        <v>25877</v>
      </c>
      <c r="Y127" s="2162">
        <f t="shared" ref="Y127:Z127" si="281">Y118+Y121</f>
        <v>24344</v>
      </c>
      <c r="Z127" s="2162">
        <f t="shared" si="281"/>
        <v>23692.672316499389</v>
      </c>
      <c r="AA127" s="2216">
        <f t="shared" si="280"/>
        <v>23274.560553172574</v>
      </c>
      <c r="AB127" s="2216">
        <f t="shared" ref="AB127:AG127" si="282">AB118+AB121</f>
        <v>22967.625093588889</v>
      </c>
      <c r="AC127" s="2216">
        <f t="shared" si="282"/>
        <v>22672.413656021541</v>
      </c>
      <c r="AD127" s="2216">
        <f t="shared" si="282"/>
        <v>22387.300387865034</v>
      </c>
      <c r="AE127" s="2216">
        <f t="shared" si="282"/>
        <v>22110.999833188202</v>
      </c>
      <c r="AF127" s="2216">
        <f t="shared" si="282"/>
        <v>21842.494620167425</v>
      </c>
      <c r="AG127" s="2216">
        <f t="shared" si="282"/>
        <v>21580.979049100173</v>
      </c>
      <c r="AH127" s="1952"/>
      <c r="AI127" s="2125">
        <f>(AA127/W127)^(1/4)-1</f>
        <v>-5.2411111738792759E-2</v>
      </c>
      <c r="AJ127" s="1952"/>
      <c r="BR127" s="1937"/>
      <c r="BS127" s="2216"/>
      <c r="BT127" s="2216"/>
      <c r="BU127" s="2216"/>
      <c r="BV127" s="1937"/>
      <c r="BW127" s="2216"/>
      <c r="BX127" s="2216"/>
      <c r="BY127" s="2216"/>
      <c r="BZ127" s="1937">
        <f t="shared" ref="BZ127:DN127" si="283">BZ118+BZ121</f>
        <v>8796</v>
      </c>
      <c r="CA127" s="2216">
        <f t="shared" si="283"/>
        <v>8937</v>
      </c>
      <c r="CB127" s="2216">
        <f t="shared" si="283"/>
        <v>9110</v>
      </c>
      <c r="CC127" s="2216">
        <f t="shared" si="283"/>
        <v>8961</v>
      </c>
      <c r="CD127" s="1937">
        <f t="shared" si="283"/>
        <v>8892</v>
      </c>
      <c r="CE127" s="2216">
        <f t="shared" si="283"/>
        <v>9037</v>
      </c>
      <c r="CF127" s="2216">
        <f t="shared" si="283"/>
        <v>9007</v>
      </c>
      <c r="CG127" s="2219">
        <f t="shared" si="283"/>
        <v>8772</v>
      </c>
      <c r="CH127" s="1937">
        <f t="shared" si="283"/>
        <v>8777</v>
      </c>
      <c r="CI127" s="2216">
        <f t="shared" si="283"/>
        <v>8805</v>
      </c>
      <c r="CJ127" s="2216">
        <f t="shared" si="283"/>
        <v>8844</v>
      </c>
      <c r="CK127" s="2219">
        <f t="shared" si="283"/>
        <v>8895</v>
      </c>
      <c r="CL127" s="1937">
        <f t="shared" si="283"/>
        <v>8097</v>
      </c>
      <c r="CM127" s="2216">
        <f t="shared" si="283"/>
        <v>8089</v>
      </c>
      <c r="CN127" s="2216">
        <f t="shared" si="283"/>
        <v>8258</v>
      </c>
      <c r="CO127" s="2216">
        <f t="shared" si="283"/>
        <v>8196</v>
      </c>
      <c r="CP127" s="1937">
        <f t="shared" si="283"/>
        <v>8191</v>
      </c>
      <c r="CQ127" s="2216">
        <f t="shared" si="283"/>
        <v>7970</v>
      </c>
      <c r="CR127" s="2216">
        <f t="shared" si="283"/>
        <v>7954</v>
      </c>
      <c r="CS127" s="2216">
        <f t="shared" si="283"/>
        <v>7875</v>
      </c>
      <c r="CT127" s="1937">
        <f t="shared" si="283"/>
        <v>7752</v>
      </c>
      <c r="CU127" s="2216">
        <f t="shared" si="283"/>
        <v>7812</v>
      </c>
      <c r="CV127" s="2216">
        <f t="shared" si="283"/>
        <v>7977</v>
      </c>
      <c r="CW127" s="2219">
        <f t="shared" si="283"/>
        <v>7724</v>
      </c>
      <c r="CX127" s="1937">
        <f t="shared" si="283"/>
        <v>7698</v>
      </c>
      <c r="CY127" s="2216">
        <f t="shared" si="283"/>
        <v>7641</v>
      </c>
      <c r="CZ127" s="2216">
        <f t="shared" si="283"/>
        <v>7766</v>
      </c>
      <c r="DA127" s="2216">
        <f t="shared" si="283"/>
        <v>7983</v>
      </c>
      <c r="DB127" s="1937">
        <f t="shared" si="283"/>
        <v>7552</v>
      </c>
      <c r="DC127" s="2216">
        <f t="shared" si="283"/>
        <v>7454</v>
      </c>
      <c r="DD127" s="2216">
        <f t="shared" si="283"/>
        <v>7436</v>
      </c>
      <c r="DE127" s="2216">
        <f t="shared" si="283"/>
        <v>7525</v>
      </c>
      <c r="DF127" s="1937">
        <f t="shared" si="283"/>
        <v>7488</v>
      </c>
      <c r="DG127" s="2216">
        <f t="shared" si="283"/>
        <v>7373</v>
      </c>
      <c r="DH127" s="2216">
        <f t="shared" si="283"/>
        <v>7373</v>
      </c>
      <c r="DI127" s="2216">
        <f t="shared" si="283"/>
        <v>7278</v>
      </c>
      <c r="DJ127" s="1937">
        <f t="shared" si="283"/>
        <v>7318</v>
      </c>
      <c r="DK127" s="2216">
        <f t="shared" si="283"/>
        <v>7213</v>
      </c>
      <c r="DL127" s="2216">
        <f t="shared" si="283"/>
        <v>7155</v>
      </c>
      <c r="DM127" s="2219">
        <f t="shared" si="283"/>
        <v>7181</v>
      </c>
      <c r="DN127" s="2216">
        <f t="shared" si="283"/>
        <v>7113</v>
      </c>
      <c r="DO127" s="2216">
        <f t="shared" ref="DO127:DP127" si="284">DO118+DO121</f>
        <v>6724</v>
      </c>
      <c r="DP127" s="2216">
        <f t="shared" si="284"/>
        <v>6133</v>
      </c>
      <c r="DQ127" s="2219">
        <f t="shared" ref="DQ127:DR127" si="285">DQ118+DQ121</f>
        <v>5933</v>
      </c>
      <c r="DR127" s="2216">
        <f t="shared" si="285"/>
        <v>6091</v>
      </c>
      <c r="DS127" s="2216">
        <f t="shared" ref="DS127:DT127" si="286">DS118+DS121</f>
        <v>6182</v>
      </c>
      <c r="DT127" s="2216">
        <f t="shared" si="286"/>
        <v>6048</v>
      </c>
      <c r="DU127" s="2219">
        <f t="shared" ref="DU127:DV127" si="287">DU118+DU121</f>
        <v>6023</v>
      </c>
      <c r="DV127" s="2216">
        <f t="shared" si="287"/>
        <v>5954</v>
      </c>
      <c r="DW127" s="2216">
        <f t="shared" ref="DW127:DY127" si="288">DW118+DW121</f>
        <v>5954.1331251037682</v>
      </c>
      <c r="DX127" s="2216">
        <f t="shared" si="288"/>
        <v>5890.2970511940248</v>
      </c>
      <c r="DY127" s="2219">
        <f t="shared" si="288"/>
        <v>5894.242140201598</v>
      </c>
    </row>
    <row r="128" spans="1:130" s="2959" customFormat="1" ht="15" customHeight="1">
      <c r="A128" s="2290" t="s">
        <v>1453</v>
      </c>
      <c r="B128" s="2291"/>
      <c r="C128" s="2291"/>
      <c r="D128" s="2291"/>
      <c r="E128" s="2291"/>
      <c r="F128" s="2291"/>
      <c r="G128" s="2291"/>
      <c r="H128" s="2291"/>
      <c r="I128" s="2291"/>
      <c r="J128" s="2291"/>
      <c r="K128" s="2291"/>
      <c r="L128" s="2291"/>
      <c r="M128" s="2291"/>
      <c r="N128" s="2291"/>
      <c r="O128" s="2291">
        <f t="shared" ref="O128:AA128" si="289">O127/N127-1</f>
        <v>-2.6812646631660941E-3</v>
      </c>
      <c r="P128" s="2291">
        <f t="shared" si="289"/>
        <v>-1.083790747171498E-2</v>
      </c>
      <c r="Q128" s="2293">
        <f t="shared" si="289"/>
        <v>-7.5903853231788498E-2</v>
      </c>
      <c r="R128" s="2293">
        <f t="shared" si="289"/>
        <v>-1.9914215686274495E-2</v>
      </c>
      <c r="S128" s="2293">
        <f t="shared" si="289"/>
        <v>-2.2663332291341098E-2</v>
      </c>
      <c r="T128" s="2293">
        <f t="shared" si="289"/>
        <v>-5.6612825843594949E-3</v>
      </c>
      <c r="U128" s="2293">
        <f t="shared" si="289"/>
        <v>-3.605892949047862E-2</v>
      </c>
      <c r="V128" s="2291">
        <f t="shared" si="289"/>
        <v>-1.5183368371875727E-2</v>
      </c>
      <c r="W128" s="2291">
        <f>W127/V127-1</f>
        <v>-2.185551640010841E-2</v>
      </c>
      <c r="X128" s="2291">
        <f>X127/W127-1</f>
        <v>-0.10357848061800667</v>
      </c>
      <c r="Y128" s="2291">
        <f>Y127/X127-1</f>
        <v>-5.9241797735440693E-2</v>
      </c>
      <c r="Z128" s="2291">
        <f>Z127/Y127-1</f>
        <v>-2.6755162812217015E-2</v>
      </c>
      <c r="AA128" s="2293">
        <f t="shared" si="289"/>
        <v>-1.7647302834456813E-2</v>
      </c>
      <c r="AB128" s="2293">
        <f t="shared" ref="AB128" si="290">AB127/AA127-1</f>
        <v>-1.3187594192486052E-2</v>
      </c>
      <c r="AC128" s="2293">
        <f t="shared" ref="AC128" si="291">AC127/AB127-1</f>
        <v>-1.2853372360634441E-2</v>
      </c>
      <c r="AD128" s="2293">
        <f t="shared" ref="AD128" si="292">AD127/AC127-1</f>
        <v>-1.2575338139209746E-2</v>
      </c>
      <c r="AE128" s="2293">
        <f t="shared" ref="AE128" si="293">AE127/AD127-1</f>
        <v>-1.234184336163191E-2</v>
      </c>
      <c r="AF128" s="2293">
        <f t="shared" ref="AF128" si="294">AF127/AE127-1</f>
        <v>-1.2143512959452707E-2</v>
      </c>
      <c r="AG128" s="2293">
        <f t="shared" ref="AG128" si="295">AG127/AF127-1</f>
        <v>-1.1972788622128916E-2</v>
      </c>
      <c r="AH128" s="1953"/>
      <c r="AI128" s="1953"/>
      <c r="AJ128" s="1953"/>
      <c r="AK128" s="2291"/>
      <c r="AL128" s="2291"/>
      <c r="AM128" s="2291"/>
      <c r="AN128" s="2291"/>
      <c r="AO128" s="2291"/>
      <c r="AP128" s="2291"/>
      <c r="AQ128" s="2291"/>
      <c r="AR128" s="2291"/>
      <c r="AS128" s="2291"/>
      <c r="AT128" s="2291"/>
      <c r="AU128" s="2291"/>
      <c r="AV128" s="2291"/>
      <c r="AW128" s="2291"/>
      <c r="AX128" s="2291"/>
      <c r="AY128" s="2291"/>
      <c r="AZ128" s="2291"/>
      <c r="BA128" s="2291"/>
      <c r="BB128" s="2291"/>
      <c r="BC128" s="2291"/>
      <c r="BD128" s="2291"/>
      <c r="BE128" s="2291"/>
      <c r="BF128" s="2291"/>
      <c r="BG128" s="2291"/>
      <c r="BH128" s="2291"/>
      <c r="BI128" s="2291"/>
      <c r="BJ128" s="2291"/>
      <c r="BK128" s="2291"/>
      <c r="BL128" s="2291"/>
      <c r="BM128" s="2291"/>
      <c r="BN128" s="2291"/>
      <c r="BO128" s="2291"/>
      <c r="BP128" s="2291"/>
      <c r="BQ128" s="2291"/>
      <c r="BR128" s="2344"/>
      <c r="BS128" s="2341"/>
      <c r="BT128" s="2341"/>
      <c r="BU128" s="2341"/>
      <c r="BV128" s="2294"/>
      <c r="BW128" s="2293"/>
      <c r="BX128" s="2293"/>
      <c r="BY128" s="2293"/>
      <c r="BZ128" s="2294"/>
      <c r="CA128" s="2293"/>
      <c r="CB128" s="2293"/>
      <c r="CC128" s="2293"/>
      <c r="CD128" s="2294">
        <f t="shared" ref="CD128:CK128" si="296">CD127/BZ127-1</f>
        <v>1.0914051841746319E-2</v>
      </c>
      <c r="CE128" s="2293">
        <f t="shared" si="296"/>
        <v>1.1189437171310379E-2</v>
      </c>
      <c r="CF128" s="2293">
        <f t="shared" si="296"/>
        <v>-1.1306256860592723E-2</v>
      </c>
      <c r="CG128" s="2295">
        <f t="shared" si="296"/>
        <v>-2.1091396049548017E-2</v>
      </c>
      <c r="CH128" s="2294">
        <f t="shared" si="296"/>
        <v>-1.2932973459289232E-2</v>
      </c>
      <c r="CI128" s="2293">
        <f t="shared" si="296"/>
        <v>-2.5672236361624412E-2</v>
      </c>
      <c r="CJ128" s="2293">
        <f t="shared" si="296"/>
        <v>-1.809703563894749E-2</v>
      </c>
      <c r="CK128" s="2295">
        <f t="shared" si="296"/>
        <v>1.4021887824897439E-2</v>
      </c>
      <c r="CL128" s="2305" t="s">
        <v>1149</v>
      </c>
      <c r="CM128" s="2292" t="s">
        <v>1149</v>
      </c>
      <c r="CN128" s="2292" t="s">
        <v>1149</v>
      </c>
      <c r="CO128" s="2292" t="s">
        <v>1149</v>
      </c>
      <c r="CP128" s="2294">
        <f t="shared" ref="CP128:DV128" si="297">CP127/CL127-1</f>
        <v>1.1609237989378851E-2</v>
      </c>
      <c r="CQ128" s="2293">
        <f t="shared" si="297"/>
        <v>-1.4711336382742024E-2</v>
      </c>
      <c r="CR128" s="2293">
        <f t="shared" si="297"/>
        <v>-3.6812787599903141E-2</v>
      </c>
      <c r="CS128" s="2293">
        <f t="shared" si="297"/>
        <v>-3.9165446559297212E-2</v>
      </c>
      <c r="CT128" s="2294">
        <f t="shared" si="297"/>
        <v>-5.3595409595897925E-2</v>
      </c>
      <c r="CU128" s="2293">
        <f t="shared" si="297"/>
        <v>-1.9824341279799262E-2</v>
      </c>
      <c r="CV128" s="2293">
        <f t="shared" si="297"/>
        <v>2.8916268544127988E-3</v>
      </c>
      <c r="CW128" s="2295">
        <f t="shared" si="297"/>
        <v>-1.9174603174603178E-2</v>
      </c>
      <c r="CX128" s="2294">
        <f t="shared" si="297"/>
        <v>-6.9659442724457898E-3</v>
      </c>
      <c r="CY128" s="2293">
        <f t="shared" si="297"/>
        <v>-2.188940092165903E-2</v>
      </c>
      <c r="CZ128" s="2293">
        <f t="shared" si="297"/>
        <v>-2.6451046759433328E-2</v>
      </c>
      <c r="DA128" s="2293">
        <f t="shared" si="297"/>
        <v>3.3531848783014073E-2</v>
      </c>
      <c r="DB128" s="2294">
        <f t="shared" si="297"/>
        <v>-1.8965965185762546E-2</v>
      </c>
      <c r="DC128" s="2293">
        <f t="shared" si="297"/>
        <v>-2.4473236487370764E-2</v>
      </c>
      <c r="DD128" s="2293">
        <f t="shared" si="297"/>
        <v>-4.2492917847025469E-2</v>
      </c>
      <c r="DE128" s="2293">
        <f t="shared" si="297"/>
        <v>-5.7371915320055145E-2</v>
      </c>
      <c r="DF128" s="2294">
        <f t="shared" si="297"/>
        <v>-8.4745762711864181E-3</v>
      </c>
      <c r="DG128" s="2293">
        <f t="shared" si="297"/>
        <v>-1.0866648779178978E-2</v>
      </c>
      <c r="DH128" s="2293">
        <f t="shared" si="297"/>
        <v>-8.4722969338354437E-3</v>
      </c>
      <c r="DI128" s="2293">
        <f t="shared" si="297"/>
        <v>-3.2823920265780737E-2</v>
      </c>
      <c r="DJ128" s="2294">
        <f t="shared" si="297"/>
        <v>-2.2702991452991483E-2</v>
      </c>
      <c r="DK128" s="2293">
        <f t="shared" si="297"/>
        <v>-2.1700800217008043E-2</v>
      </c>
      <c r="DL128" s="2293">
        <f t="shared" si="297"/>
        <v>-2.9567340295673428E-2</v>
      </c>
      <c r="DM128" s="2295">
        <f t="shared" si="297"/>
        <v>-1.3327837317944513E-2</v>
      </c>
      <c r="DN128" s="2293">
        <f t="shared" si="297"/>
        <v>-2.8013118338343856E-2</v>
      </c>
      <c r="DO128" s="2293">
        <f t="shared" si="297"/>
        <v>-6.7794260363233105E-2</v>
      </c>
      <c r="DP128" s="2293">
        <f t="shared" si="297"/>
        <v>-0.14283717679944097</v>
      </c>
      <c r="DQ128" s="2295">
        <f t="shared" si="297"/>
        <v>-0.17379195098175737</v>
      </c>
      <c r="DR128" s="2293">
        <f t="shared" si="297"/>
        <v>-0.14368058484465063</v>
      </c>
      <c r="DS128" s="2293">
        <f t="shared" si="297"/>
        <v>-8.0606781677572847E-2</v>
      </c>
      <c r="DT128" s="2293">
        <f t="shared" si="297"/>
        <v>-1.385944888309143E-2</v>
      </c>
      <c r="DU128" s="2295">
        <f t="shared" si="297"/>
        <v>1.5169391538850441E-2</v>
      </c>
      <c r="DV128" s="2293">
        <f t="shared" si="297"/>
        <v>-2.2492201608931173E-2</v>
      </c>
      <c r="DW128" s="2293">
        <f t="shared" ref="DW128" si="298">DW127/DS127-1</f>
        <v>-3.6859733888099599E-2</v>
      </c>
      <c r="DX128" s="2293">
        <f t="shared" ref="DX128" si="299">DX127/DT127-1</f>
        <v>-2.6075223016860938E-2</v>
      </c>
      <c r="DY128" s="2295">
        <f t="shared" ref="DY128" si="300">DY127/DU127-1</f>
        <v>-2.137769546710977E-2</v>
      </c>
      <c r="DZ128" s="1958"/>
    </row>
    <row r="129" spans="1:130" s="2959" customFormat="1" ht="15" hidden="1" customHeight="1">
      <c r="A129" s="2290" t="s">
        <v>290</v>
      </c>
      <c r="B129" s="2291"/>
      <c r="C129" s="2291"/>
      <c r="D129" s="2291"/>
      <c r="E129" s="2291"/>
      <c r="F129" s="2291"/>
      <c r="G129" s="2291"/>
      <c r="H129" s="2291"/>
      <c r="I129" s="2291"/>
      <c r="J129" s="2291"/>
      <c r="K129" s="2291"/>
      <c r="L129" s="2291"/>
      <c r="M129" s="2291">
        <f t="shared" ref="M129:AA129" si="301">M127/M75</f>
        <v>0</v>
      </c>
      <c r="N129" s="2291">
        <f t="shared" si="301"/>
        <v>0.72325468648998059</v>
      </c>
      <c r="O129" s="2291">
        <f t="shared" si="301"/>
        <v>0.72682122575261043</v>
      </c>
      <c r="P129" s="2291">
        <f t="shared" si="301"/>
        <v>0.73258804496619234</v>
      </c>
      <c r="Q129" s="2293">
        <f t="shared" si="301"/>
        <v>0.77066559629778297</v>
      </c>
      <c r="R129" s="2293">
        <f t="shared" si="301"/>
        <v>0.77594780119824391</v>
      </c>
      <c r="S129" s="2293">
        <f t="shared" si="301"/>
        <v>0.76852170493092764</v>
      </c>
      <c r="T129" s="2293">
        <f t="shared" si="301"/>
        <v>0.78657996609569114</v>
      </c>
      <c r="U129" s="2293">
        <f t="shared" si="301"/>
        <v>0.77586474730737365</v>
      </c>
      <c r="V129" s="2291">
        <f t="shared" si="301"/>
        <v>0.76796169559447292</v>
      </c>
      <c r="W129" s="2291">
        <f t="shared" si="301"/>
        <v>0.81267419273106045</v>
      </c>
      <c r="X129" s="2291">
        <f t="shared" si="301"/>
        <v>0.80395811973778231</v>
      </c>
      <c r="Y129" s="2291">
        <f t="shared" ref="Y129:Z129" si="302">Y127/Y75</f>
        <v>0.786381109280615</v>
      </c>
      <c r="Z129" s="2291">
        <f t="shared" si="302"/>
        <v>0.78656939742418563</v>
      </c>
      <c r="AA129" s="2293">
        <f t="shared" si="301"/>
        <v>0.78380596775777422</v>
      </c>
      <c r="AB129" s="2293">
        <f t="shared" ref="AB129:AG129" si="303">AB127/AB75</f>
        <v>0.78460933902102215</v>
      </c>
      <c r="AC129" s="2293">
        <f t="shared" si="303"/>
        <v>0.78521983709908283</v>
      </c>
      <c r="AD129" s="2293">
        <f t="shared" si="303"/>
        <v>0.78568065181844216</v>
      </c>
      <c r="AE129" s="2293">
        <f t="shared" si="303"/>
        <v>0.7860274020278365</v>
      </c>
      <c r="AF129" s="2293">
        <f t="shared" si="303"/>
        <v>0.78628925952227213</v>
      </c>
      <c r="AG129" s="2293">
        <f t="shared" si="303"/>
        <v>0.78648990670265828</v>
      </c>
      <c r="AH129" s="1953"/>
      <c r="AI129" s="1953"/>
      <c r="AJ129" s="1953"/>
      <c r="AK129" s="2291"/>
      <c r="AL129" s="2291"/>
      <c r="AM129" s="2291"/>
      <c r="AN129" s="2291"/>
      <c r="AO129" s="2291"/>
      <c r="AP129" s="2291"/>
      <c r="AQ129" s="2291"/>
      <c r="AR129" s="2291"/>
      <c r="AS129" s="2291"/>
      <c r="AT129" s="2291"/>
      <c r="AU129" s="2291"/>
      <c r="AV129" s="2291"/>
      <c r="AW129" s="2291"/>
      <c r="AX129" s="2291"/>
      <c r="AY129" s="2291"/>
      <c r="AZ129" s="2291"/>
      <c r="BA129" s="2291"/>
      <c r="BB129" s="2291"/>
      <c r="BC129" s="2291"/>
      <c r="BD129" s="2291"/>
      <c r="BE129" s="2291"/>
      <c r="BF129" s="2291"/>
      <c r="BG129" s="2291"/>
      <c r="BH129" s="2291"/>
      <c r="BI129" s="2291"/>
      <c r="BJ129" s="2291"/>
      <c r="BK129" s="2291"/>
      <c r="BL129" s="2291"/>
      <c r="BM129" s="2291"/>
      <c r="BN129" s="2291"/>
      <c r="BO129" s="2291"/>
      <c r="BP129" s="2291"/>
      <c r="BQ129" s="2291"/>
      <c r="BR129" s="2294"/>
      <c r="BS129" s="2293"/>
      <c r="BT129" s="2293"/>
      <c r="BU129" s="2293"/>
      <c r="BV129" s="2294"/>
      <c r="BW129" s="2293"/>
      <c r="BX129" s="2293"/>
      <c r="BY129" s="2293"/>
      <c r="BZ129" s="2294">
        <f t="shared" ref="BZ129:DN129" si="304">BZ127/BZ75</f>
        <v>0.72442760665458739</v>
      </c>
      <c r="CA129" s="2293">
        <f t="shared" si="304"/>
        <v>0.71742795215541466</v>
      </c>
      <c r="CB129" s="2293">
        <f t="shared" si="304"/>
        <v>0.72979251782424093</v>
      </c>
      <c r="CC129" s="2293">
        <f t="shared" si="304"/>
        <v>0.72138142006118178</v>
      </c>
      <c r="CD129" s="2294">
        <f t="shared" si="304"/>
        <v>0.73016915749712596</v>
      </c>
      <c r="CE129" s="2293">
        <f t="shared" si="304"/>
        <v>0.73292781832927822</v>
      </c>
      <c r="CF129" s="2293">
        <f t="shared" si="304"/>
        <v>0.72801487229227291</v>
      </c>
      <c r="CG129" s="2295">
        <f t="shared" si="304"/>
        <v>0.71614009306882198</v>
      </c>
      <c r="CH129" s="2294">
        <f t="shared" si="304"/>
        <v>0.72983535672709132</v>
      </c>
      <c r="CI129" s="2293">
        <f t="shared" si="304"/>
        <v>0.72690497812267807</v>
      </c>
      <c r="CJ129" s="2293">
        <f t="shared" si="304"/>
        <v>0.72742227340023025</v>
      </c>
      <c r="CK129" s="2295">
        <f t="shared" si="304"/>
        <v>0.74641268775698577</v>
      </c>
      <c r="CL129" s="2294">
        <f t="shared" si="304"/>
        <v>0.76807057484348318</v>
      </c>
      <c r="CM129" s="2293">
        <f t="shared" si="304"/>
        <v>0.76578623497112563</v>
      </c>
      <c r="CN129" s="2293">
        <f t="shared" si="304"/>
        <v>0.77416330739664385</v>
      </c>
      <c r="CO129" s="2293">
        <f t="shared" si="304"/>
        <v>0.77459597391550894</v>
      </c>
      <c r="CP129" s="2294">
        <f t="shared" si="304"/>
        <v>0.78949397590361448</v>
      </c>
      <c r="CQ129" s="2293">
        <f t="shared" si="304"/>
        <v>0.77551814731925661</v>
      </c>
      <c r="CR129" s="2293">
        <f t="shared" si="304"/>
        <v>0.77328407544234878</v>
      </c>
      <c r="CS129" s="2293">
        <f t="shared" si="304"/>
        <v>0.76538050345028674</v>
      </c>
      <c r="CT129" s="2294">
        <f t="shared" si="304"/>
        <v>0.76396964620084751</v>
      </c>
      <c r="CU129" s="2293">
        <f t="shared" si="304"/>
        <v>0.76236947399238797</v>
      </c>
      <c r="CV129" s="2293">
        <f t="shared" si="304"/>
        <v>0.78598876736624301</v>
      </c>
      <c r="CW129" s="2295">
        <f t="shared" si="304"/>
        <v>0.76181082947036194</v>
      </c>
      <c r="CX129" s="2294">
        <f t="shared" si="304"/>
        <v>0.77405731523378585</v>
      </c>
      <c r="CY129" s="2293">
        <f t="shared" si="304"/>
        <v>0.77150646203554119</v>
      </c>
      <c r="CZ129" s="2293">
        <f t="shared" si="304"/>
        <v>0.78333669558200525</v>
      </c>
      <c r="DA129" s="2293">
        <f t="shared" si="304"/>
        <v>0.81793032786885245</v>
      </c>
      <c r="DB129" s="2294">
        <f t="shared" si="304"/>
        <v>0.78259067357512957</v>
      </c>
      <c r="DC129" s="2293">
        <f t="shared" si="304"/>
        <v>0.77605413846954707</v>
      </c>
      <c r="DD129" s="2293">
        <f t="shared" si="304"/>
        <v>0.77001139070104585</v>
      </c>
      <c r="DE129" s="2293">
        <f t="shared" si="304"/>
        <v>0.77481466227347606</v>
      </c>
      <c r="DF129" s="2294">
        <f t="shared" si="304"/>
        <v>0.77499482508797346</v>
      </c>
      <c r="DG129" s="2293">
        <f t="shared" si="304"/>
        <v>0.76554874883189705</v>
      </c>
      <c r="DH129" s="2293">
        <f t="shared" si="304"/>
        <v>0.76994569757727649</v>
      </c>
      <c r="DI129" s="2293">
        <f t="shared" si="304"/>
        <v>0.76129707112970713</v>
      </c>
      <c r="DJ129" s="2294">
        <f t="shared" si="304"/>
        <v>0.82095579986538025</v>
      </c>
      <c r="DK129" s="2293">
        <f t="shared" si="304"/>
        <v>0.81264082920234337</v>
      </c>
      <c r="DL129" s="2293">
        <f t="shared" si="304"/>
        <v>0.81205311542390191</v>
      </c>
      <c r="DM129" s="2295">
        <f t="shared" si="304"/>
        <v>0.80504484304932733</v>
      </c>
      <c r="DN129" s="2293">
        <f t="shared" si="304"/>
        <v>0.81152310325156873</v>
      </c>
      <c r="DO129" s="2293">
        <f t="shared" ref="DO129:DP129" si="305">DO127/DO75</f>
        <v>0.85951680940815545</v>
      </c>
      <c r="DP129" s="2293">
        <f t="shared" si="305"/>
        <v>0.78759470913060226</v>
      </c>
      <c r="DQ129" s="2295">
        <f t="shared" ref="DQ129:DR129" si="306">DQ127/DQ75</f>
        <v>0.7594726062467998</v>
      </c>
      <c r="DR129" s="2293">
        <f t="shared" si="306"/>
        <v>0.77336211274758759</v>
      </c>
      <c r="DS129" s="2293">
        <f t="shared" ref="DS129:DT129" si="307">DS127/DS75</f>
        <v>0.7923609330940784</v>
      </c>
      <c r="DT129" s="2293">
        <f t="shared" si="307"/>
        <v>0.78935003915426782</v>
      </c>
      <c r="DU129" s="2295">
        <f t="shared" ref="DU129:DV129" si="308">DU127/DU75</f>
        <v>0.79073125902586316</v>
      </c>
      <c r="DV129" s="2293">
        <f t="shared" si="308"/>
        <v>0.78787878787878785</v>
      </c>
      <c r="DW129" s="2293">
        <f t="shared" ref="DW129:DY129" si="309">DW127/DW75</f>
        <v>0.78945972063909942</v>
      </c>
      <c r="DX129" s="2293">
        <f t="shared" si="309"/>
        <v>0.78223121001919826</v>
      </c>
      <c r="DY129" s="2295">
        <f t="shared" si="309"/>
        <v>0.78669927625181024</v>
      </c>
      <c r="DZ129" s="1958"/>
    </row>
    <row r="130" spans="1:130" s="1958" customFormat="1" ht="15" hidden="1" customHeight="1">
      <c r="A130" s="2371" t="s">
        <v>228</v>
      </c>
      <c r="B130" s="1946"/>
      <c r="C130" s="1946"/>
      <c r="D130" s="1946"/>
      <c r="E130" s="1946"/>
      <c r="F130" s="1946"/>
      <c r="G130" s="1946"/>
      <c r="H130" s="1946"/>
      <c r="I130" s="1946"/>
      <c r="J130" s="1946"/>
      <c r="K130" s="1946"/>
      <c r="L130" s="2375"/>
      <c r="M130" s="2375">
        <f t="shared" ref="M130:AA130" si="310">M127-M81+M93</f>
        <v>0</v>
      </c>
      <c r="N130" s="2375">
        <f t="shared" si="310"/>
        <v>0</v>
      </c>
      <c r="O130" s="2375">
        <f t="shared" si="310"/>
        <v>0</v>
      </c>
      <c r="P130" s="2375">
        <f t="shared" si="310"/>
        <v>0</v>
      </c>
      <c r="Q130" s="2368">
        <f t="shared" si="310"/>
        <v>0</v>
      </c>
      <c r="R130" s="2368">
        <f t="shared" si="310"/>
        <v>0</v>
      </c>
      <c r="S130" s="2368">
        <f t="shared" si="310"/>
        <v>0</v>
      </c>
      <c r="T130" s="2368">
        <f t="shared" si="310"/>
        <v>0</v>
      </c>
      <c r="U130" s="2368">
        <f t="shared" si="310"/>
        <v>0</v>
      </c>
      <c r="V130" s="2375">
        <f t="shared" si="310"/>
        <v>0</v>
      </c>
      <c r="W130" s="2375">
        <f t="shared" si="310"/>
        <v>0</v>
      </c>
      <c r="X130" s="2375">
        <f t="shared" si="310"/>
        <v>0</v>
      </c>
      <c r="Y130" s="2375">
        <f t="shared" ref="Y130:Z130" si="311">Y127-Y81+Y93</f>
        <v>0</v>
      </c>
      <c r="Z130" s="2375">
        <f t="shared" ca="1" si="311"/>
        <v>0</v>
      </c>
      <c r="AA130" s="2368">
        <f t="shared" ca="1" si="310"/>
        <v>0</v>
      </c>
      <c r="AB130" s="2368">
        <f t="shared" ref="AB130:AG130" ca="1" si="312">AB127-AB81+AB93</f>
        <v>0</v>
      </c>
      <c r="AC130" s="2368">
        <f t="shared" ca="1" si="312"/>
        <v>0</v>
      </c>
      <c r="AD130" s="2368">
        <f t="shared" ca="1" si="312"/>
        <v>0</v>
      </c>
      <c r="AE130" s="2368">
        <f t="shared" ca="1" si="312"/>
        <v>0</v>
      </c>
      <c r="AF130" s="2368">
        <f t="shared" ca="1" si="312"/>
        <v>0</v>
      </c>
      <c r="AG130" s="2368">
        <f t="shared" ca="1" si="312"/>
        <v>0</v>
      </c>
      <c r="AH130" s="1947"/>
      <c r="AI130" s="1927"/>
      <c r="AJ130" s="1947"/>
      <c r="AK130" s="1946"/>
      <c r="AL130" s="1946"/>
      <c r="AM130" s="1946"/>
      <c r="AN130" s="1946"/>
      <c r="AO130" s="1946"/>
      <c r="AP130" s="1946"/>
      <c r="AQ130" s="1946"/>
      <c r="AR130" s="1946"/>
      <c r="AS130" s="1946"/>
      <c r="AT130" s="1946"/>
      <c r="AU130" s="1946"/>
      <c r="AV130" s="1946"/>
      <c r="AW130" s="1946"/>
      <c r="AX130" s="1946"/>
      <c r="AY130" s="1946"/>
      <c r="AZ130" s="1946"/>
      <c r="BA130" s="1946"/>
      <c r="BB130" s="1946"/>
      <c r="BC130" s="1946"/>
      <c r="BD130" s="1946"/>
      <c r="BE130" s="1946"/>
      <c r="BF130" s="1946"/>
      <c r="BG130" s="1946"/>
      <c r="BH130" s="1946"/>
      <c r="BI130" s="1946"/>
      <c r="BJ130" s="1946"/>
      <c r="BK130" s="1946"/>
      <c r="BL130" s="1946"/>
      <c r="BM130" s="1946"/>
      <c r="BN130" s="1946"/>
      <c r="BO130" s="1946"/>
      <c r="BP130" s="1946"/>
      <c r="BQ130" s="1946"/>
      <c r="BR130" s="2369"/>
      <c r="BS130" s="2368"/>
      <c r="BT130" s="2368"/>
      <c r="BU130" s="2368"/>
      <c r="BV130" s="2369"/>
      <c r="BW130" s="2368"/>
      <c r="BX130" s="2368"/>
      <c r="BY130" s="2368"/>
      <c r="BZ130" s="2369">
        <f t="shared" ref="BZ130:DN130" si="313">BZ127-BZ81+BZ93</f>
        <v>0</v>
      </c>
      <c r="CA130" s="2368">
        <f t="shared" si="313"/>
        <v>0</v>
      </c>
      <c r="CB130" s="2368">
        <f t="shared" si="313"/>
        <v>0</v>
      </c>
      <c r="CC130" s="2368">
        <f t="shared" si="313"/>
        <v>0</v>
      </c>
      <c r="CD130" s="2369">
        <f t="shared" si="313"/>
        <v>0</v>
      </c>
      <c r="CE130" s="2368">
        <f t="shared" si="313"/>
        <v>0</v>
      </c>
      <c r="CF130" s="2368">
        <f t="shared" si="313"/>
        <v>0</v>
      </c>
      <c r="CG130" s="2370">
        <f t="shared" si="313"/>
        <v>0</v>
      </c>
      <c r="CH130" s="2369">
        <f t="shared" si="313"/>
        <v>0</v>
      </c>
      <c r="CI130" s="2368">
        <f t="shared" si="313"/>
        <v>0</v>
      </c>
      <c r="CJ130" s="2368">
        <f t="shared" si="313"/>
        <v>0</v>
      </c>
      <c r="CK130" s="2370">
        <f t="shared" si="313"/>
        <v>0</v>
      </c>
      <c r="CL130" s="2369">
        <f t="shared" si="313"/>
        <v>0</v>
      </c>
      <c r="CM130" s="2368">
        <f t="shared" si="313"/>
        <v>0</v>
      </c>
      <c r="CN130" s="2368">
        <f t="shared" si="313"/>
        <v>0</v>
      </c>
      <c r="CO130" s="2368">
        <f t="shared" si="313"/>
        <v>0</v>
      </c>
      <c r="CP130" s="2369">
        <f t="shared" si="313"/>
        <v>0</v>
      </c>
      <c r="CQ130" s="2368">
        <f t="shared" si="313"/>
        <v>0</v>
      </c>
      <c r="CR130" s="2368">
        <f t="shared" si="313"/>
        <v>0</v>
      </c>
      <c r="CS130" s="2368">
        <f t="shared" si="313"/>
        <v>0</v>
      </c>
      <c r="CT130" s="2369">
        <f t="shared" si="313"/>
        <v>0</v>
      </c>
      <c r="CU130" s="2368">
        <f t="shared" si="313"/>
        <v>0</v>
      </c>
      <c r="CV130" s="2368">
        <f t="shared" si="313"/>
        <v>0</v>
      </c>
      <c r="CW130" s="2370">
        <f t="shared" si="313"/>
        <v>0</v>
      </c>
      <c r="CX130" s="2369">
        <f t="shared" si="313"/>
        <v>0</v>
      </c>
      <c r="CY130" s="2368">
        <f t="shared" si="313"/>
        <v>0</v>
      </c>
      <c r="CZ130" s="2368">
        <f t="shared" si="313"/>
        <v>0</v>
      </c>
      <c r="DA130" s="2368">
        <f t="shared" si="313"/>
        <v>0</v>
      </c>
      <c r="DB130" s="2369">
        <f t="shared" si="313"/>
        <v>0</v>
      </c>
      <c r="DC130" s="2368">
        <f t="shared" si="313"/>
        <v>0</v>
      </c>
      <c r="DD130" s="2368">
        <f t="shared" si="313"/>
        <v>0</v>
      </c>
      <c r="DE130" s="2368">
        <f t="shared" si="313"/>
        <v>0</v>
      </c>
      <c r="DF130" s="2369">
        <f t="shared" si="313"/>
        <v>0</v>
      </c>
      <c r="DG130" s="2368">
        <f t="shared" si="313"/>
        <v>0</v>
      </c>
      <c r="DH130" s="2368">
        <f t="shared" si="313"/>
        <v>0</v>
      </c>
      <c r="DI130" s="2368">
        <f t="shared" si="313"/>
        <v>0</v>
      </c>
      <c r="DJ130" s="2369">
        <f t="shared" si="313"/>
        <v>0</v>
      </c>
      <c r="DK130" s="2368">
        <f t="shared" si="313"/>
        <v>0</v>
      </c>
      <c r="DL130" s="2368">
        <f t="shared" si="313"/>
        <v>0</v>
      </c>
      <c r="DM130" s="2370">
        <f t="shared" si="313"/>
        <v>0</v>
      </c>
      <c r="DN130" s="2368">
        <f t="shared" si="313"/>
        <v>0</v>
      </c>
      <c r="DO130" s="2368">
        <f t="shared" ref="DO130:DP130" si="314">DO127-DO81+DO93</f>
        <v>0</v>
      </c>
      <c r="DP130" s="2368">
        <f t="shared" si="314"/>
        <v>0</v>
      </c>
      <c r="DQ130" s="2370">
        <f t="shared" ref="DQ130:DR130" si="315">DQ127-DQ81+DQ93</f>
        <v>0</v>
      </c>
      <c r="DR130" s="2368">
        <f t="shared" si="315"/>
        <v>0</v>
      </c>
      <c r="DS130" s="2368">
        <f t="shared" ref="DS130:DT130" si="316">DS127-DS81+DS93</f>
        <v>0</v>
      </c>
      <c r="DT130" s="2368">
        <f t="shared" si="316"/>
        <v>0</v>
      </c>
      <c r="DU130" s="2370">
        <f t="shared" ref="DU130:DV130" si="317">DU127-DU81+DU93</f>
        <v>0</v>
      </c>
      <c r="DV130" s="2368">
        <f t="shared" si="317"/>
        <v>0</v>
      </c>
      <c r="DW130" s="2368">
        <f t="shared" ref="DW130:DY130" ca="1" si="318">DW127-DW81+DW93</f>
        <v>0</v>
      </c>
      <c r="DX130" s="2368">
        <f t="shared" ca="1" si="318"/>
        <v>0</v>
      </c>
      <c r="DY130" s="2370">
        <f t="shared" ca="1" si="318"/>
        <v>0</v>
      </c>
      <c r="DZ130" s="1946"/>
    </row>
    <row r="131" spans="1:130" s="1958" customFormat="1" ht="15" hidden="1" customHeight="1">
      <c r="A131" s="1958" t="s">
        <v>229</v>
      </c>
      <c r="N131" s="1958">
        <f t="shared" ref="N131:AA131" si="319">N134</f>
        <v>0.27674531351001941</v>
      </c>
      <c r="O131" s="1958">
        <f t="shared" si="319"/>
        <v>0.27317877424738951</v>
      </c>
      <c r="P131" s="1958">
        <f t="shared" si="319"/>
        <v>0.2674119550338076</v>
      </c>
      <c r="Q131" s="1958">
        <f t="shared" si="319"/>
        <v>0.22933440370221708</v>
      </c>
      <c r="R131" s="3061">
        <f t="shared" si="319"/>
        <v>0.22405219880175614</v>
      </c>
      <c r="S131" s="3061">
        <f t="shared" si="319"/>
        <v>0.2314782950690723</v>
      </c>
      <c r="T131" s="1958">
        <f t="shared" si="319"/>
        <v>0.21342003390430889</v>
      </c>
      <c r="U131" s="1958">
        <f t="shared" si="319"/>
        <v>0.22413525269262635</v>
      </c>
      <c r="V131" s="1958">
        <f t="shared" si="319"/>
        <v>0.23203830440552708</v>
      </c>
      <c r="W131" s="1958">
        <f t="shared" si="319"/>
        <v>0.18732580726893949</v>
      </c>
      <c r="X131" s="1958">
        <f>X134</f>
        <v>0.19604188026221767</v>
      </c>
      <c r="Y131" s="2994">
        <f>Y134</f>
        <v>0.21361889071938495</v>
      </c>
      <c r="Z131" s="3249">
        <f ca="1">Z134</f>
        <v>0.21343060257581434</v>
      </c>
      <c r="AA131" s="1958">
        <f t="shared" ca="1" si="319"/>
        <v>0.21619403224222572</v>
      </c>
      <c r="AB131" s="3145">
        <f t="shared" ref="AB131:AG131" ca="1" si="320">AB134</f>
        <v>0.21539066097897783</v>
      </c>
      <c r="AC131" s="3145">
        <f t="shared" ca="1" si="320"/>
        <v>0.21478016290091709</v>
      </c>
      <c r="AD131" s="3145">
        <f t="shared" ca="1" si="320"/>
        <v>0.2143193481815579</v>
      </c>
      <c r="AE131" s="3145">
        <f t="shared" ca="1" si="320"/>
        <v>0.21397259797216348</v>
      </c>
      <c r="AF131" s="3145">
        <f t="shared" ca="1" si="320"/>
        <v>0.21371074047772784</v>
      </c>
      <c r="AG131" s="3145">
        <f t="shared" ca="1" si="320"/>
        <v>0.21351009329734169</v>
      </c>
      <c r="AH131" s="1957"/>
      <c r="AI131" s="1957"/>
      <c r="AJ131" s="1957"/>
      <c r="BZ131" s="1958">
        <f t="shared" ref="BZ131:DH131" si="321">BZ134</f>
        <v>0.27557239334541261</v>
      </c>
      <c r="CA131" s="1958">
        <f t="shared" si="321"/>
        <v>0.28257204784458539</v>
      </c>
      <c r="CB131" s="1958">
        <f t="shared" si="321"/>
        <v>0.27020748217575902</v>
      </c>
      <c r="CC131" s="1958">
        <f t="shared" si="321"/>
        <v>0.27861857993881822</v>
      </c>
      <c r="CD131" s="1958">
        <f t="shared" si="321"/>
        <v>0.26983084250287404</v>
      </c>
      <c r="CE131" s="1958">
        <f t="shared" si="321"/>
        <v>0.26707218167072183</v>
      </c>
      <c r="CF131" s="1958">
        <f t="shared" si="321"/>
        <v>0.27198512770772715</v>
      </c>
      <c r="CG131" s="1958">
        <f t="shared" si="321"/>
        <v>0.28385990693117807</v>
      </c>
      <c r="CH131" s="1958">
        <f t="shared" si="321"/>
        <v>0.27016464327290868</v>
      </c>
      <c r="CI131" s="1958">
        <f t="shared" si="321"/>
        <v>0.27309502187732188</v>
      </c>
      <c r="CJ131" s="1958">
        <f t="shared" si="321"/>
        <v>0.2725777265997697</v>
      </c>
      <c r="CK131" s="1958">
        <f t="shared" si="321"/>
        <v>0.25358731224301417</v>
      </c>
      <c r="CL131" s="1958">
        <f t="shared" si="321"/>
        <v>0.23192942515651679</v>
      </c>
      <c r="CM131" s="1958">
        <f t="shared" si="321"/>
        <v>0.23421376502887437</v>
      </c>
      <c r="CN131" s="1958">
        <f t="shared" si="321"/>
        <v>0.22583669260335615</v>
      </c>
      <c r="CO131" s="1958">
        <f t="shared" si="321"/>
        <v>0.22540402608449106</v>
      </c>
      <c r="CP131" s="1958">
        <f t="shared" si="321"/>
        <v>0.21050602409638555</v>
      </c>
      <c r="CQ131" s="1958">
        <f t="shared" si="321"/>
        <v>0.22448185268074342</v>
      </c>
      <c r="CR131" s="1958">
        <f t="shared" si="321"/>
        <v>0.22671592455765119</v>
      </c>
      <c r="CS131" s="1958">
        <f t="shared" si="321"/>
        <v>0.23461949654971329</v>
      </c>
      <c r="CT131" s="1958">
        <f t="shared" si="321"/>
        <v>0.23603035379915246</v>
      </c>
      <c r="CU131" s="1958">
        <f t="shared" si="321"/>
        <v>0.23763052600761198</v>
      </c>
      <c r="CV131" s="1958">
        <f t="shared" si="321"/>
        <v>0.21401123263375701</v>
      </c>
      <c r="CW131" s="1958">
        <f t="shared" si="321"/>
        <v>0.23818917052963803</v>
      </c>
      <c r="CX131" s="1958">
        <f t="shared" si="321"/>
        <v>0.22594268476621418</v>
      </c>
      <c r="CY131" s="1958">
        <f t="shared" si="321"/>
        <v>0.22849353796445881</v>
      </c>
      <c r="CZ131" s="1958">
        <f t="shared" si="321"/>
        <v>0.21666330441799475</v>
      </c>
      <c r="DA131" s="1958">
        <f t="shared" si="321"/>
        <v>0.18206967213114755</v>
      </c>
      <c r="DB131" s="1958">
        <f t="shared" si="321"/>
        <v>0.21740932642487046</v>
      </c>
      <c r="DC131" s="1958">
        <f t="shared" si="321"/>
        <v>0.2239458615304529</v>
      </c>
      <c r="DD131" s="1958">
        <f t="shared" si="321"/>
        <v>0.22998860929895412</v>
      </c>
      <c r="DE131" s="1958">
        <f t="shared" si="321"/>
        <v>0.22518533772652388</v>
      </c>
      <c r="DF131" s="1958">
        <f t="shared" si="321"/>
        <v>0.22500517491202648</v>
      </c>
      <c r="DG131" s="1958">
        <f t="shared" si="321"/>
        <v>0.234451251168103</v>
      </c>
      <c r="DH131" s="1958">
        <f t="shared" si="321"/>
        <v>0.23005430242272348</v>
      </c>
      <c r="DI131" s="3061">
        <f t="shared" ref="DI131:DM131" si="322">DI134</f>
        <v>0.23870292887029287</v>
      </c>
      <c r="DJ131" s="1958">
        <f t="shared" si="322"/>
        <v>0.17904420013461969</v>
      </c>
      <c r="DK131" s="1958">
        <f t="shared" si="322"/>
        <v>0.1873591707976566</v>
      </c>
      <c r="DL131" s="1958">
        <f t="shared" si="322"/>
        <v>0.18794688457609807</v>
      </c>
      <c r="DM131" s="2961">
        <f t="shared" si="322"/>
        <v>0.19495515695067264</v>
      </c>
      <c r="DN131" s="1561">
        <f t="shared" ref="DN131:DO131" si="323">DN134</f>
        <v>0.18847689674843127</v>
      </c>
      <c r="DO131" s="1561">
        <f t="shared" si="323"/>
        <v>0.14048319059184455</v>
      </c>
      <c r="DP131" s="1561">
        <f t="shared" ref="DP131:DQ131" si="324">DP134</f>
        <v>0.21240529086939772</v>
      </c>
      <c r="DQ131" s="2961">
        <f t="shared" si="324"/>
        <v>0.2405273937532002</v>
      </c>
      <c r="DR131" s="1561">
        <f t="shared" ref="DR131:DS131" si="325">DR134</f>
        <v>0.22663788725241238</v>
      </c>
      <c r="DS131" s="1561">
        <f t="shared" si="325"/>
        <v>0.20763906690592157</v>
      </c>
      <c r="DT131" s="1561">
        <f t="shared" ref="DT131:DU131" si="326">DT134</f>
        <v>0.21064996084573218</v>
      </c>
      <c r="DU131" s="2961">
        <f t="shared" si="326"/>
        <v>0.20926874097413681</v>
      </c>
      <c r="DV131" s="1561">
        <f t="shared" ref="DV131" si="327">DV134</f>
        <v>0.21212121212121213</v>
      </c>
      <c r="DW131" s="1561">
        <f t="shared" ref="DW131:DY131" ca="1" si="328">DW134</f>
        <v>0.21054027936090064</v>
      </c>
      <c r="DX131" s="1561">
        <f t="shared" ca="1" si="328"/>
        <v>0.21776878998080168</v>
      </c>
      <c r="DY131" s="1561">
        <f t="shared" ca="1" si="328"/>
        <v>0.21330072374818965</v>
      </c>
      <c r="DZ131" s="1946"/>
    </row>
    <row r="132" spans="1:130" s="1958" customFormat="1" ht="15" customHeight="1">
      <c r="A132" s="2371"/>
      <c r="B132" s="1946"/>
      <c r="C132" s="1946"/>
      <c r="D132" s="1946"/>
      <c r="E132" s="1946"/>
      <c r="F132" s="1946"/>
      <c r="G132" s="1946"/>
      <c r="H132" s="1946"/>
      <c r="I132" s="1946"/>
      <c r="J132" s="1946"/>
      <c r="K132" s="1946"/>
      <c r="L132" s="2332"/>
      <c r="M132" s="1946"/>
      <c r="N132" s="1946"/>
      <c r="O132" s="1946"/>
      <c r="P132" s="1946"/>
      <c r="Q132" s="1903"/>
      <c r="R132" s="1903"/>
      <c r="S132" s="1903"/>
      <c r="T132" s="1903"/>
      <c r="U132" s="1903"/>
      <c r="V132" s="1946"/>
      <c r="W132" s="1946"/>
      <c r="X132" s="1946"/>
      <c r="Y132" s="1946"/>
      <c r="Z132" s="1946"/>
      <c r="AA132" s="1903"/>
      <c r="AB132" s="1903"/>
      <c r="AC132" s="1903"/>
      <c r="AD132" s="1903"/>
      <c r="AE132" s="1903"/>
      <c r="AF132" s="1903"/>
      <c r="AG132" s="1903"/>
      <c r="AH132" s="1952"/>
      <c r="AI132" s="1927"/>
      <c r="AJ132" s="1947"/>
      <c r="AK132" s="1946"/>
      <c r="AL132" s="1946"/>
      <c r="AM132" s="1946"/>
      <c r="AN132" s="1946"/>
      <c r="AO132" s="1946"/>
      <c r="AP132" s="1946"/>
      <c r="AQ132" s="1946"/>
      <c r="AR132" s="1946"/>
      <c r="AS132" s="1946"/>
      <c r="AT132" s="1946"/>
      <c r="AU132" s="1946"/>
      <c r="AV132" s="1946"/>
      <c r="AW132" s="1946"/>
      <c r="AX132" s="1946"/>
      <c r="AY132" s="1946"/>
      <c r="AZ132" s="1946"/>
      <c r="BA132" s="1946"/>
      <c r="BB132" s="1946"/>
      <c r="BC132" s="1946"/>
      <c r="BD132" s="1946"/>
      <c r="BE132" s="1946"/>
      <c r="BF132" s="1946"/>
      <c r="BG132" s="1946"/>
      <c r="BH132" s="1946"/>
      <c r="BI132" s="1946"/>
      <c r="BJ132" s="1946"/>
      <c r="BK132" s="1946"/>
      <c r="BL132" s="1946"/>
      <c r="BM132" s="1946"/>
      <c r="BN132" s="2332"/>
      <c r="BO132" s="1946"/>
      <c r="BP132" s="2332"/>
      <c r="BQ132" s="2332"/>
      <c r="BR132" s="2346"/>
      <c r="BS132" s="2347"/>
      <c r="BT132" s="2347"/>
      <c r="BU132" s="2347"/>
      <c r="BV132" s="1942"/>
      <c r="BW132" s="1903"/>
      <c r="BX132" s="1903"/>
      <c r="BY132" s="1903"/>
      <c r="BZ132" s="1942"/>
      <c r="CA132" s="1903"/>
      <c r="CB132" s="1903"/>
      <c r="CC132" s="1903"/>
      <c r="CD132" s="1942"/>
      <c r="CE132" s="1903"/>
      <c r="CF132" s="1903"/>
      <c r="CG132" s="2236"/>
      <c r="CH132" s="1942"/>
      <c r="CI132" s="1903"/>
      <c r="CJ132" s="1903"/>
      <c r="CK132" s="2236"/>
      <c r="CL132" s="2202"/>
      <c r="CM132" s="2200"/>
      <c r="CN132" s="2200"/>
      <c r="CO132" s="2200"/>
      <c r="CP132" s="2202"/>
      <c r="CQ132" s="2200"/>
      <c r="CR132" s="2200"/>
      <c r="CS132" s="2200"/>
      <c r="CT132" s="2202"/>
      <c r="CU132" s="2200"/>
      <c r="CV132" s="2200"/>
      <c r="CW132" s="2203"/>
      <c r="CX132" s="2202"/>
      <c r="CY132" s="2200"/>
      <c r="CZ132" s="2200"/>
      <c r="DA132" s="2200"/>
      <c r="DB132" s="2202"/>
      <c r="DC132" s="2200"/>
      <c r="DD132" s="2200"/>
      <c r="DE132" s="2200"/>
      <c r="DF132" s="2202"/>
      <c r="DG132" s="2200"/>
      <c r="DH132" s="2200"/>
      <c r="DI132" s="2200"/>
      <c r="DJ132" s="2202"/>
      <c r="DK132" s="2200"/>
      <c r="DL132" s="2200"/>
      <c r="DM132" s="2203"/>
      <c r="DN132" s="2200"/>
      <c r="DO132" s="2200"/>
      <c r="DP132" s="2200"/>
      <c r="DQ132" s="2203"/>
      <c r="DR132" s="2200"/>
      <c r="DS132" s="2200"/>
      <c r="DT132" s="2200"/>
      <c r="DU132" s="2203"/>
      <c r="DV132" s="2200"/>
      <c r="DW132" s="1903"/>
      <c r="DX132" s="1903"/>
      <c r="DY132" s="2236"/>
      <c r="DZ132" s="1946"/>
    </row>
    <row r="133" spans="1:130" s="1958" customFormat="1" ht="15" customHeight="1">
      <c r="A133" s="2336" t="s">
        <v>971</v>
      </c>
      <c r="B133" s="2162"/>
      <c r="C133" s="2162"/>
      <c r="D133" s="2162"/>
      <c r="E133" s="2162"/>
      <c r="F133" s="2162"/>
      <c r="G133" s="2162"/>
      <c r="H133" s="2162"/>
      <c r="I133" s="2162"/>
      <c r="J133" s="2162"/>
      <c r="K133" s="2162"/>
      <c r="L133" s="2337"/>
      <c r="M133" s="2162">
        <f>SUM(BV133:BY133)</f>
        <v>0</v>
      </c>
      <c r="N133" s="2162">
        <f>SUM(BZ133:CC133)</f>
        <v>13700</v>
      </c>
      <c r="O133" s="2162">
        <f>SUM(CD133:CG133)</f>
        <v>13421</v>
      </c>
      <c r="P133" s="2162">
        <f>SUM(CH133:CK133)</f>
        <v>12893</v>
      </c>
      <c r="Q133" s="2216">
        <f>SUM(CL133:CO133)</f>
        <v>9713</v>
      </c>
      <c r="R133" s="2216">
        <f t="shared" ref="R133:X133" si="329">R75-R81+R93</f>
        <v>9237</v>
      </c>
      <c r="S133" s="2216">
        <f t="shared" si="329"/>
        <v>9417</v>
      </c>
      <c r="T133" s="2216">
        <f t="shared" si="329"/>
        <v>8435</v>
      </c>
      <c r="U133" s="2216">
        <f t="shared" si="329"/>
        <v>8657</v>
      </c>
      <c r="V133" s="2162">
        <f t="shared" si="329"/>
        <v>8917</v>
      </c>
      <c r="W133" s="2162">
        <f t="shared" si="329"/>
        <v>6654</v>
      </c>
      <c r="X133" s="2162">
        <f t="shared" si="329"/>
        <v>6310</v>
      </c>
      <c r="Y133" s="2162">
        <f t="shared" ref="Y133:Z133" si="330">Y75-Y81+Y93</f>
        <v>6613</v>
      </c>
      <c r="Z133" s="2162">
        <f t="shared" ca="1" si="330"/>
        <v>6428.8559225687131</v>
      </c>
      <c r="AA133" s="2216">
        <f ca="1">AA75-AA81+AA93</f>
        <v>6419.7279704959456</v>
      </c>
      <c r="AB133" s="2216">
        <f t="shared" ref="AB133:AG133" ca="1" si="331">AB75-AB81+AB93</f>
        <v>6305.0638120086442</v>
      </c>
      <c r="AC133" s="2216">
        <f t="shared" ca="1" si="331"/>
        <v>6201.5558806913023</v>
      </c>
      <c r="AD133" s="2216">
        <f t="shared" ca="1" si="331"/>
        <v>6106.8471211134247</v>
      </c>
      <c r="AE133" s="2216">
        <f t="shared" ca="1" si="331"/>
        <v>6019.0625236011847</v>
      </c>
      <c r="AF133" s="2216">
        <f t="shared" ca="1" si="331"/>
        <v>5936.7155822437426</v>
      </c>
      <c r="AG133" s="2216">
        <f t="shared" ca="1" si="331"/>
        <v>5858.6344350422423</v>
      </c>
      <c r="AH133" s="1952"/>
      <c r="AI133" s="2125">
        <f ca="1">(AA133/W133)^(1/4)-1</f>
        <v>-8.9205816406453531E-3</v>
      </c>
      <c r="AJ133" s="1947"/>
      <c r="AK133" s="2162"/>
      <c r="AL133" s="2162"/>
      <c r="AM133" s="2162"/>
      <c r="AN133" s="2162"/>
      <c r="AO133" s="2162"/>
      <c r="AP133" s="2162"/>
      <c r="AQ133" s="2162"/>
      <c r="AR133" s="2162"/>
      <c r="AS133" s="2162"/>
      <c r="AT133" s="2162"/>
      <c r="AU133" s="2162"/>
      <c r="AV133" s="2162"/>
      <c r="AW133" s="2162"/>
      <c r="AX133" s="2162"/>
      <c r="AY133" s="2162"/>
      <c r="AZ133" s="2162"/>
      <c r="BA133" s="2162"/>
      <c r="BB133" s="2162"/>
      <c r="BC133" s="2162"/>
      <c r="BD133" s="2162"/>
      <c r="BE133" s="2162"/>
      <c r="BF133" s="2162"/>
      <c r="BG133" s="2162"/>
      <c r="BH133" s="2162"/>
      <c r="BI133" s="2162"/>
      <c r="BJ133" s="2162"/>
      <c r="BK133" s="2162"/>
      <c r="BL133" s="2162"/>
      <c r="BM133" s="2162"/>
      <c r="BN133" s="2162"/>
      <c r="BO133" s="2162"/>
      <c r="BP133" s="2162"/>
      <c r="BQ133" s="2162"/>
      <c r="BR133" s="1937"/>
      <c r="BS133" s="2216"/>
      <c r="BT133" s="2216"/>
      <c r="BU133" s="2216"/>
      <c r="BV133" s="1937"/>
      <c r="BW133" s="2216"/>
      <c r="BX133" s="2216"/>
      <c r="BY133" s="2216"/>
      <c r="BZ133" s="1937">
        <f t="shared" ref="BZ133:DN133" si="332">BZ75-BZ81+BZ93</f>
        <v>3346</v>
      </c>
      <c r="CA133" s="2216">
        <f t="shared" si="332"/>
        <v>3520</v>
      </c>
      <c r="CB133" s="2216">
        <f t="shared" si="332"/>
        <v>3373</v>
      </c>
      <c r="CC133" s="2216">
        <f t="shared" si="332"/>
        <v>3461</v>
      </c>
      <c r="CD133" s="1937">
        <f t="shared" si="332"/>
        <v>3286</v>
      </c>
      <c r="CE133" s="2216">
        <f t="shared" si="332"/>
        <v>3293</v>
      </c>
      <c r="CF133" s="2216">
        <f t="shared" si="332"/>
        <v>3365</v>
      </c>
      <c r="CG133" s="2219">
        <f t="shared" si="332"/>
        <v>3477</v>
      </c>
      <c r="CH133" s="1937">
        <f t="shared" si="332"/>
        <v>3249</v>
      </c>
      <c r="CI133" s="2216">
        <f t="shared" si="332"/>
        <v>3308</v>
      </c>
      <c r="CJ133" s="2216">
        <f t="shared" si="332"/>
        <v>3314</v>
      </c>
      <c r="CK133" s="2219">
        <f t="shared" si="332"/>
        <v>3022</v>
      </c>
      <c r="CL133" s="1937">
        <f t="shared" si="332"/>
        <v>2445</v>
      </c>
      <c r="CM133" s="2216">
        <f t="shared" si="332"/>
        <v>2474</v>
      </c>
      <c r="CN133" s="2216">
        <f t="shared" si="332"/>
        <v>2409</v>
      </c>
      <c r="CO133" s="2216">
        <f t="shared" si="332"/>
        <v>2385</v>
      </c>
      <c r="CP133" s="1937">
        <f t="shared" si="332"/>
        <v>2184</v>
      </c>
      <c r="CQ133" s="2216">
        <f t="shared" si="332"/>
        <v>2307</v>
      </c>
      <c r="CR133" s="2216">
        <f t="shared" si="332"/>
        <v>2332</v>
      </c>
      <c r="CS133" s="2216">
        <f t="shared" si="332"/>
        <v>2414</v>
      </c>
      <c r="CT133" s="1937">
        <f t="shared" si="332"/>
        <v>2395</v>
      </c>
      <c r="CU133" s="2216">
        <f t="shared" si="332"/>
        <v>2435</v>
      </c>
      <c r="CV133" s="2216">
        <f t="shared" si="332"/>
        <v>2172</v>
      </c>
      <c r="CW133" s="2219">
        <f t="shared" si="332"/>
        <v>2415</v>
      </c>
      <c r="CX133" s="1937">
        <f t="shared" si="332"/>
        <v>2247</v>
      </c>
      <c r="CY133" s="2216">
        <f t="shared" si="332"/>
        <v>2263</v>
      </c>
      <c r="CZ133" s="2216">
        <f t="shared" si="332"/>
        <v>2148</v>
      </c>
      <c r="DA133" s="2216">
        <f t="shared" si="332"/>
        <v>1777</v>
      </c>
      <c r="DB133" s="1937">
        <f t="shared" si="332"/>
        <v>2098</v>
      </c>
      <c r="DC133" s="2216">
        <f t="shared" si="332"/>
        <v>2151</v>
      </c>
      <c r="DD133" s="2216">
        <f t="shared" si="332"/>
        <v>2221</v>
      </c>
      <c r="DE133" s="2216">
        <f t="shared" si="332"/>
        <v>2187</v>
      </c>
      <c r="DF133" s="1937">
        <f t="shared" si="332"/>
        <v>2174</v>
      </c>
      <c r="DG133" s="2216">
        <f t="shared" si="332"/>
        <v>2258</v>
      </c>
      <c r="DH133" s="2216">
        <f t="shared" si="332"/>
        <v>2203</v>
      </c>
      <c r="DI133" s="2216">
        <f t="shared" si="332"/>
        <v>2282</v>
      </c>
      <c r="DJ133" s="1937">
        <f t="shared" si="332"/>
        <v>1596</v>
      </c>
      <c r="DK133" s="2216">
        <f t="shared" si="332"/>
        <v>1663</v>
      </c>
      <c r="DL133" s="2216">
        <f t="shared" si="332"/>
        <v>1656</v>
      </c>
      <c r="DM133" s="2219">
        <f t="shared" si="332"/>
        <v>1739</v>
      </c>
      <c r="DN133" s="2216">
        <f t="shared" si="332"/>
        <v>1652</v>
      </c>
      <c r="DO133" s="2216">
        <f t="shared" ref="DO133:DP133" si="333">DO75-DO81+DO93</f>
        <v>1099</v>
      </c>
      <c r="DP133" s="2216">
        <f t="shared" si="333"/>
        <v>1654</v>
      </c>
      <c r="DQ133" s="2219">
        <f t="shared" ref="DQ133:DR133" si="334">DQ75-DQ81+DQ93</f>
        <v>1879</v>
      </c>
      <c r="DR133" s="2216">
        <f t="shared" si="334"/>
        <v>1785</v>
      </c>
      <c r="DS133" s="2216">
        <f t="shared" ref="DS133:DT133" si="335">DS75-DS81+DS93</f>
        <v>1620</v>
      </c>
      <c r="DT133" s="2216">
        <f t="shared" si="335"/>
        <v>1614</v>
      </c>
      <c r="DU133" s="2219">
        <f t="shared" ref="DU133:DV133" si="336">DU75-DU81+DU93</f>
        <v>1594</v>
      </c>
      <c r="DV133" s="2216">
        <f t="shared" si="336"/>
        <v>1603</v>
      </c>
      <c r="DW133" s="2216">
        <f ca="1">DW75-DW81+DW93</f>
        <v>1587.9022307769069</v>
      </c>
      <c r="DX133" s="2216">
        <f ca="1">DX75-DX81+DX93</f>
        <v>1639.8257254840614</v>
      </c>
      <c r="DY133" s="2219">
        <f t="shared" ref="DY133" ca="1" si="337">DY75-DY81+DY93</f>
        <v>1598.1279663077435</v>
      </c>
      <c r="DZ133" s="2965"/>
    </row>
    <row r="134" spans="1:130" s="2959" customFormat="1" ht="15" customHeight="1">
      <c r="A134" s="2338" t="s">
        <v>219</v>
      </c>
      <c r="B134" s="2339"/>
      <c r="C134" s="2339"/>
      <c r="D134" s="2339"/>
      <c r="E134" s="2339"/>
      <c r="F134" s="2339"/>
      <c r="G134" s="2339"/>
      <c r="H134" s="2339"/>
      <c r="I134" s="2339"/>
      <c r="J134" s="2339"/>
      <c r="K134" s="2339"/>
      <c r="L134" s="2340"/>
      <c r="M134" s="2339"/>
      <c r="N134" s="2339">
        <f t="shared" ref="N134:AA134" si="338">N133/N75</f>
        <v>0.27674531351001941</v>
      </c>
      <c r="O134" s="2339">
        <f t="shared" si="338"/>
        <v>0.27317877424738951</v>
      </c>
      <c r="P134" s="2339">
        <f t="shared" si="338"/>
        <v>0.2674119550338076</v>
      </c>
      <c r="Q134" s="2341">
        <f t="shared" si="338"/>
        <v>0.22933440370221708</v>
      </c>
      <c r="R134" s="2341">
        <f t="shared" si="338"/>
        <v>0.22405219880175614</v>
      </c>
      <c r="S134" s="2341">
        <f t="shared" si="338"/>
        <v>0.2314782950690723</v>
      </c>
      <c r="T134" s="2341">
        <f t="shared" si="338"/>
        <v>0.21342003390430889</v>
      </c>
      <c r="U134" s="2341">
        <f t="shared" si="338"/>
        <v>0.22413525269262635</v>
      </c>
      <c r="V134" s="2339">
        <f t="shared" si="338"/>
        <v>0.23203830440552708</v>
      </c>
      <c r="W134" s="2339">
        <f t="shared" si="338"/>
        <v>0.18732580726893949</v>
      </c>
      <c r="X134" s="2339">
        <f t="shared" si="338"/>
        <v>0.19604188026221767</v>
      </c>
      <c r="Y134" s="2339">
        <f t="shared" ref="Y134:Z134" si="339">Y133/Y75</f>
        <v>0.21361889071938495</v>
      </c>
      <c r="Z134" s="2339">
        <f t="shared" ca="1" si="339"/>
        <v>0.21343060257581434</v>
      </c>
      <c r="AA134" s="2341">
        <f t="shared" ca="1" si="338"/>
        <v>0.21619403224222572</v>
      </c>
      <c r="AB134" s="2341">
        <f t="shared" ref="AB134:AG134" ca="1" si="340">AB133/AB75</f>
        <v>0.21539066097897783</v>
      </c>
      <c r="AC134" s="2341">
        <f t="shared" ca="1" si="340"/>
        <v>0.21478016290091709</v>
      </c>
      <c r="AD134" s="2341">
        <f t="shared" ca="1" si="340"/>
        <v>0.2143193481815579</v>
      </c>
      <c r="AE134" s="2341">
        <f t="shared" ca="1" si="340"/>
        <v>0.21397259797216348</v>
      </c>
      <c r="AF134" s="2341">
        <f t="shared" ca="1" si="340"/>
        <v>0.21371074047772784</v>
      </c>
      <c r="AG134" s="2341">
        <f t="shared" ca="1" si="340"/>
        <v>0.21351009329734169</v>
      </c>
      <c r="AH134" s="1954"/>
      <c r="AI134" s="1979"/>
      <c r="AJ134" s="1969"/>
      <c r="AK134" s="2339"/>
      <c r="AL134" s="2339"/>
      <c r="AM134" s="2339"/>
      <c r="AN134" s="2339"/>
      <c r="AO134" s="2339"/>
      <c r="AP134" s="2339"/>
      <c r="AQ134" s="2339"/>
      <c r="AR134" s="2339"/>
      <c r="AS134" s="2339"/>
      <c r="AT134" s="2339"/>
      <c r="AU134" s="2339"/>
      <c r="AV134" s="2339"/>
      <c r="AW134" s="2339"/>
      <c r="AX134" s="2339"/>
      <c r="AY134" s="2339"/>
      <c r="AZ134" s="2339"/>
      <c r="BA134" s="2339"/>
      <c r="BB134" s="2339"/>
      <c r="BC134" s="2339"/>
      <c r="BD134" s="2339"/>
      <c r="BE134" s="2339"/>
      <c r="BF134" s="2339"/>
      <c r="BG134" s="2339"/>
      <c r="BH134" s="2339"/>
      <c r="BI134" s="2339"/>
      <c r="BJ134" s="2339"/>
      <c r="BK134" s="2339"/>
      <c r="BL134" s="2339"/>
      <c r="BM134" s="2339"/>
      <c r="BN134" s="2340"/>
      <c r="BO134" s="2339"/>
      <c r="BP134" s="2340"/>
      <c r="BQ134" s="2340"/>
      <c r="BR134" s="2342"/>
      <c r="BS134" s="2343"/>
      <c r="BT134" s="2343"/>
      <c r="BU134" s="2343"/>
      <c r="BV134" s="2344"/>
      <c r="BW134" s="2341"/>
      <c r="BX134" s="2341"/>
      <c r="BY134" s="2341"/>
      <c r="BZ134" s="2376">
        <f t="shared" ref="BZ134:DN134" si="341">BZ133/BZ75</f>
        <v>0.27557239334541261</v>
      </c>
      <c r="CA134" s="2377">
        <f t="shared" si="341"/>
        <v>0.28257204784458539</v>
      </c>
      <c r="CB134" s="2377">
        <f t="shared" si="341"/>
        <v>0.27020748217575902</v>
      </c>
      <c r="CC134" s="2377">
        <f t="shared" si="341"/>
        <v>0.27861857993881822</v>
      </c>
      <c r="CD134" s="2344">
        <f t="shared" si="341"/>
        <v>0.26983084250287404</v>
      </c>
      <c r="CE134" s="2341">
        <f t="shared" si="341"/>
        <v>0.26707218167072183</v>
      </c>
      <c r="CF134" s="2341">
        <f t="shared" si="341"/>
        <v>0.27198512770772715</v>
      </c>
      <c r="CG134" s="2345">
        <f t="shared" si="341"/>
        <v>0.28385990693117807</v>
      </c>
      <c r="CH134" s="2344">
        <f t="shared" si="341"/>
        <v>0.27016464327290868</v>
      </c>
      <c r="CI134" s="2341">
        <f t="shared" si="341"/>
        <v>0.27309502187732188</v>
      </c>
      <c r="CJ134" s="2341">
        <f t="shared" si="341"/>
        <v>0.2725777265997697</v>
      </c>
      <c r="CK134" s="2345">
        <f t="shared" si="341"/>
        <v>0.25358731224301417</v>
      </c>
      <c r="CL134" s="2344">
        <f t="shared" si="341"/>
        <v>0.23192942515651679</v>
      </c>
      <c r="CM134" s="2341">
        <f t="shared" si="341"/>
        <v>0.23421376502887437</v>
      </c>
      <c r="CN134" s="2341">
        <f t="shared" si="341"/>
        <v>0.22583669260335615</v>
      </c>
      <c r="CO134" s="2341">
        <f t="shared" si="341"/>
        <v>0.22540402608449106</v>
      </c>
      <c r="CP134" s="2344">
        <f t="shared" si="341"/>
        <v>0.21050602409638555</v>
      </c>
      <c r="CQ134" s="2341">
        <f t="shared" si="341"/>
        <v>0.22448185268074342</v>
      </c>
      <c r="CR134" s="2341">
        <f t="shared" si="341"/>
        <v>0.22671592455765119</v>
      </c>
      <c r="CS134" s="2341">
        <f t="shared" si="341"/>
        <v>0.23461949654971329</v>
      </c>
      <c r="CT134" s="2344">
        <f t="shared" si="341"/>
        <v>0.23603035379915246</v>
      </c>
      <c r="CU134" s="2341">
        <f t="shared" si="341"/>
        <v>0.23763052600761198</v>
      </c>
      <c r="CV134" s="2341">
        <f t="shared" si="341"/>
        <v>0.21401123263375701</v>
      </c>
      <c r="CW134" s="2345">
        <f t="shared" si="341"/>
        <v>0.23818917052963803</v>
      </c>
      <c r="CX134" s="2344">
        <f t="shared" si="341"/>
        <v>0.22594268476621418</v>
      </c>
      <c r="CY134" s="2341">
        <f t="shared" si="341"/>
        <v>0.22849353796445881</v>
      </c>
      <c r="CZ134" s="2341">
        <f t="shared" si="341"/>
        <v>0.21666330441799475</v>
      </c>
      <c r="DA134" s="2341">
        <f t="shared" si="341"/>
        <v>0.18206967213114755</v>
      </c>
      <c r="DB134" s="2344">
        <f t="shared" si="341"/>
        <v>0.21740932642487046</v>
      </c>
      <c r="DC134" s="2341">
        <f t="shared" si="341"/>
        <v>0.2239458615304529</v>
      </c>
      <c r="DD134" s="2341">
        <f t="shared" si="341"/>
        <v>0.22998860929895412</v>
      </c>
      <c r="DE134" s="2341">
        <f t="shared" si="341"/>
        <v>0.22518533772652388</v>
      </c>
      <c r="DF134" s="2344">
        <f t="shared" si="341"/>
        <v>0.22500517491202648</v>
      </c>
      <c r="DG134" s="2341">
        <f t="shared" si="341"/>
        <v>0.234451251168103</v>
      </c>
      <c r="DH134" s="2341">
        <f t="shared" si="341"/>
        <v>0.23005430242272348</v>
      </c>
      <c r="DI134" s="2341">
        <f t="shared" si="341"/>
        <v>0.23870292887029287</v>
      </c>
      <c r="DJ134" s="2344">
        <f t="shared" si="341"/>
        <v>0.17904420013461969</v>
      </c>
      <c r="DK134" s="2341">
        <f t="shared" si="341"/>
        <v>0.1873591707976566</v>
      </c>
      <c r="DL134" s="2341">
        <f t="shared" si="341"/>
        <v>0.18794688457609807</v>
      </c>
      <c r="DM134" s="2345">
        <f t="shared" si="341"/>
        <v>0.19495515695067264</v>
      </c>
      <c r="DN134" s="2341">
        <f t="shared" si="341"/>
        <v>0.18847689674843127</v>
      </c>
      <c r="DO134" s="2341">
        <f t="shared" ref="DO134:DP134" si="342">DO133/DO75</f>
        <v>0.14048319059184455</v>
      </c>
      <c r="DP134" s="2341">
        <f t="shared" si="342"/>
        <v>0.21240529086939772</v>
      </c>
      <c r="DQ134" s="2345">
        <f t="shared" ref="DQ134:DR134" si="343">DQ133/DQ75</f>
        <v>0.2405273937532002</v>
      </c>
      <c r="DR134" s="2341">
        <f t="shared" si="343"/>
        <v>0.22663788725241238</v>
      </c>
      <c r="DS134" s="2341">
        <f t="shared" ref="DS134:DT134" si="344">DS133/DS75</f>
        <v>0.20763906690592157</v>
      </c>
      <c r="DT134" s="2341">
        <f t="shared" si="344"/>
        <v>0.21064996084573218</v>
      </c>
      <c r="DU134" s="2345">
        <f t="shared" ref="DU134:DV134" si="345">DU133/DU75</f>
        <v>0.20926874097413681</v>
      </c>
      <c r="DV134" s="2341">
        <f t="shared" si="345"/>
        <v>0.21212121212121213</v>
      </c>
      <c r="DW134" s="2341">
        <f t="shared" ref="DW134:DY134" ca="1" si="346">DW133/DW75</f>
        <v>0.21054027936090064</v>
      </c>
      <c r="DX134" s="2341">
        <f t="shared" ca="1" si="346"/>
        <v>0.21776878998080168</v>
      </c>
      <c r="DY134" s="2345">
        <f t="shared" ca="1" si="346"/>
        <v>0.21330072374818965</v>
      </c>
      <c r="DZ134" s="2341"/>
    </row>
    <row r="135" spans="1:130" s="2959" customFormat="1" ht="15" customHeight="1">
      <c r="A135" s="2378" t="s">
        <v>1453</v>
      </c>
      <c r="B135" s="2379"/>
      <c r="C135" s="2379"/>
      <c r="D135" s="2379"/>
      <c r="E135" s="2379"/>
      <c r="F135" s="2379"/>
      <c r="G135" s="2379"/>
      <c r="H135" s="2379"/>
      <c r="I135" s="2379"/>
      <c r="J135" s="2379"/>
      <c r="K135" s="2379"/>
      <c r="L135" s="2380"/>
      <c r="M135" s="2379"/>
      <c r="N135" s="2379"/>
      <c r="O135" s="2379"/>
      <c r="P135" s="2379">
        <f>P133/O133-1</f>
        <v>-3.934133075031665E-2</v>
      </c>
      <c r="Q135" s="2379" t="s">
        <v>1149</v>
      </c>
      <c r="R135" s="2379">
        <f t="shared" ref="R135:AA135" si="347">R133/Q133-1</f>
        <v>-4.9006486152578965E-2</v>
      </c>
      <c r="S135" s="2379">
        <f t="shared" si="347"/>
        <v>1.9486846378694356E-2</v>
      </c>
      <c r="T135" s="2379">
        <f t="shared" si="347"/>
        <v>-0.10427949453116703</v>
      </c>
      <c r="U135" s="2379">
        <f t="shared" si="347"/>
        <v>2.631890930646108E-2</v>
      </c>
      <c r="V135" s="2379">
        <f t="shared" si="347"/>
        <v>3.003349890262208E-2</v>
      </c>
      <c r="W135" s="2379">
        <f>W133/V133-1</f>
        <v>-0.25378490523718744</v>
      </c>
      <c r="X135" s="2379">
        <f>X133/W133-1</f>
        <v>-5.1698226630598088E-2</v>
      </c>
      <c r="Y135" s="2379">
        <f>Y133/X133-1</f>
        <v>4.8019017432646693E-2</v>
      </c>
      <c r="Z135" s="2379">
        <f ca="1">Z133/Y133-1</f>
        <v>-2.784577006370581E-2</v>
      </c>
      <c r="AA135" s="2379">
        <f t="shared" ca="1" si="347"/>
        <v>-1.419840821245244E-3</v>
      </c>
      <c r="AB135" s="2379">
        <f t="shared" ref="AB135" ca="1" si="348">AB133/AA133-1</f>
        <v>-1.7861217642597849E-2</v>
      </c>
      <c r="AC135" s="2379">
        <f t="shared" ref="AC135" ca="1" si="349">AC133/AB133-1</f>
        <v>-1.6416635010132685E-2</v>
      </c>
      <c r="AD135" s="2379">
        <f t="shared" ref="AD135" ca="1" si="350">AD133/AC133-1</f>
        <v>-1.5271773954783741E-2</v>
      </c>
      <c r="AE135" s="2379">
        <f t="shared" ref="AE135" ca="1" si="351">AE133/AD133-1</f>
        <v>-1.4374782235621941E-2</v>
      </c>
      <c r="AF135" s="2379">
        <f t="shared" ref="AF135" ca="1" si="352">AF133/AE133-1</f>
        <v>-1.3681024417764975E-2</v>
      </c>
      <c r="AG135" s="2379">
        <f t="shared" ref="AG135" ca="1" si="353">AG133/AF133-1</f>
        <v>-1.3152246578063242E-2</v>
      </c>
      <c r="AH135" s="1954"/>
      <c r="AI135" s="1980"/>
      <c r="AJ135" s="1969"/>
      <c r="AK135" s="2379"/>
      <c r="AL135" s="2379"/>
      <c r="AM135" s="2379"/>
      <c r="AN135" s="2379"/>
      <c r="AO135" s="2379"/>
      <c r="AP135" s="2379"/>
      <c r="AQ135" s="2379"/>
      <c r="AR135" s="2379"/>
      <c r="AS135" s="2379"/>
      <c r="AT135" s="2379"/>
      <c r="AU135" s="2379"/>
      <c r="AV135" s="2379"/>
      <c r="AW135" s="2379"/>
      <c r="AX135" s="2379"/>
      <c r="AY135" s="2379"/>
      <c r="AZ135" s="2379"/>
      <c r="BA135" s="2379"/>
      <c r="BB135" s="2379"/>
      <c r="BC135" s="2379"/>
      <c r="BD135" s="2379"/>
      <c r="BE135" s="2379"/>
      <c r="BF135" s="2379"/>
      <c r="BG135" s="2379"/>
      <c r="BH135" s="2379"/>
      <c r="BI135" s="2379"/>
      <c r="BJ135" s="2379"/>
      <c r="BK135" s="2379"/>
      <c r="BL135" s="2379"/>
      <c r="BM135" s="2379"/>
      <c r="BN135" s="2380"/>
      <c r="BO135" s="2379"/>
      <c r="BP135" s="2380"/>
      <c r="BQ135" s="2380"/>
      <c r="BR135" s="2381"/>
      <c r="BS135" s="2380"/>
      <c r="BT135" s="2380"/>
      <c r="BU135" s="2380"/>
      <c r="BV135" s="2382"/>
      <c r="BW135" s="2379"/>
      <c r="BX135" s="2379"/>
      <c r="BY135" s="2379"/>
      <c r="BZ135" s="2383"/>
      <c r="CA135" s="2384"/>
      <c r="CB135" s="2384"/>
      <c r="CC135" s="2384"/>
      <c r="CD135" s="2382">
        <f t="shared" ref="CD135:CK135" si="354">CD133/BZ133-1</f>
        <v>-1.7931858936042988E-2</v>
      </c>
      <c r="CE135" s="2379">
        <f t="shared" si="354"/>
        <v>-6.4488636363636331E-2</v>
      </c>
      <c r="CF135" s="2379">
        <f t="shared" si="354"/>
        <v>-2.3717758671805145E-3</v>
      </c>
      <c r="CG135" s="2385">
        <f t="shared" si="354"/>
        <v>4.6229413464315972E-3</v>
      </c>
      <c r="CH135" s="2382">
        <f t="shared" si="354"/>
        <v>-1.1259890444309195E-2</v>
      </c>
      <c r="CI135" s="2379">
        <f t="shared" si="354"/>
        <v>4.5551169146673676E-3</v>
      </c>
      <c r="CJ135" s="2379">
        <f t="shared" si="354"/>
        <v>-1.5156017830609159E-2</v>
      </c>
      <c r="CK135" s="2385">
        <f t="shared" si="354"/>
        <v>-0.13085993672706353</v>
      </c>
      <c r="CL135" s="2382" t="s">
        <v>1149</v>
      </c>
      <c r="CM135" s="2379" t="s">
        <v>1149</v>
      </c>
      <c r="CN135" s="2379" t="s">
        <v>1149</v>
      </c>
      <c r="CO135" s="2379" t="s">
        <v>1149</v>
      </c>
      <c r="CP135" s="2382">
        <f t="shared" ref="CP135:DV135" si="355">CP133/CL133-1</f>
        <v>-0.10674846625766876</v>
      </c>
      <c r="CQ135" s="2379">
        <f t="shared" si="355"/>
        <v>-6.7502021018593372E-2</v>
      </c>
      <c r="CR135" s="2379">
        <f t="shared" si="355"/>
        <v>-3.1963470319634757E-2</v>
      </c>
      <c r="CS135" s="2379">
        <f t="shared" si="355"/>
        <v>1.2159329140461139E-2</v>
      </c>
      <c r="CT135" s="2382">
        <f t="shared" si="355"/>
        <v>9.6611721611721713E-2</v>
      </c>
      <c r="CU135" s="2379">
        <f t="shared" si="355"/>
        <v>5.5483311660164736E-2</v>
      </c>
      <c r="CV135" s="2379">
        <f t="shared" si="355"/>
        <v>-6.8610634648370472E-2</v>
      </c>
      <c r="CW135" s="2385">
        <f t="shared" si="355"/>
        <v>4.1425020712515526E-4</v>
      </c>
      <c r="CX135" s="2382">
        <f t="shared" si="355"/>
        <v>-6.1795407098121036E-2</v>
      </c>
      <c r="CY135" s="2379">
        <f t="shared" si="355"/>
        <v>-7.0636550308008195E-2</v>
      </c>
      <c r="CZ135" s="2379">
        <f t="shared" si="355"/>
        <v>-1.1049723756906049E-2</v>
      </c>
      <c r="DA135" s="2379">
        <f t="shared" si="355"/>
        <v>-0.26418219461697723</v>
      </c>
      <c r="DB135" s="2382">
        <f t="shared" si="355"/>
        <v>-6.6310636404094403E-2</v>
      </c>
      <c r="DC135" s="2379">
        <f t="shared" si="355"/>
        <v>-4.9491825011047319E-2</v>
      </c>
      <c r="DD135" s="2379">
        <f t="shared" si="355"/>
        <v>3.3985102420856617E-2</v>
      </c>
      <c r="DE135" s="2379">
        <f t="shared" si="355"/>
        <v>0.23072594259988755</v>
      </c>
      <c r="DF135" s="2382">
        <f t="shared" si="355"/>
        <v>3.6224976167778866E-2</v>
      </c>
      <c r="DG135" s="2379">
        <f t="shared" si="355"/>
        <v>4.9744304974430387E-2</v>
      </c>
      <c r="DH135" s="2379">
        <f t="shared" si="355"/>
        <v>-8.1044574515983792E-3</v>
      </c>
      <c r="DI135" s="2379">
        <f t="shared" si="355"/>
        <v>4.3438500228623722E-2</v>
      </c>
      <c r="DJ135" s="2382">
        <f t="shared" si="355"/>
        <v>-0.26586936522539095</v>
      </c>
      <c r="DK135" s="2379">
        <f t="shared" si="355"/>
        <v>-0.26350752878653672</v>
      </c>
      <c r="DL135" s="2379">
        <f t="shared" si="355"/>
        <v>-0.24829777576032686</v>
      </c>
      <c r="DM135" s="2385">
        <f t="shared" si="355"/>
        <v>-0.23794916739702021</v>
      </c>
      <c r="DN135" s="2379">
        <f t="shared" si="355"/>
        <v>3.5087719298245723E-2</v>
      </c>
      <c r="DO135" s="2379">
        <f t="shared" si="355"/>
        <v>-0.33914612146722789</v>
      </c>
      <c r="DP135" s="2379">
        <f t="shared" si="355"/>
        <v>-1.2077294685990392E-3</v>
      </c>
      <c r="DQ135" s="2385">
        <f t="shared" si="355"/>
        <v>8.0506037952846388E-2</v>
      </c>
      <c r="DR135" s="2379">
        <f t="shared" si="355"/>
        <v>8.0508474576271194E-2</v>
      </c>
      <c r="DS135" s="2379">
        <f t="shared" si="355"/>
        <v>0.47406733393994549</v>
      </c>
      <c r="DT135" s="2379">
        <f t="shared" si="355"/>
        <v>-2.4183796856106388E-2</v>
      </c>
      <c r="DU135" s="2385">
        <f t="shared" si="355"/>
        <v>-0.15167642362959022</v>
      </c>
      <c r="DV135" s="2379">
        <f t="shared" si="355"/>
        <v>-0.10196078431372546</v>
      </c>
      <c r="DW135" s="2379">
        <f t="shared" ref="DW135" ca="1" si="356">DW133/DS133-1</f>
        <v>-1.9813437792032818E-2</v>
      </c>
      <c r="DX135" s="2379">
        <f t="shared" ref="DX135" ca="1" si="357">DX133/DT133-1</f>
        <v>1.6001069073148244E-2</v>
      </c>
      <c r="DY135" s="2385">
        <f t="shared" ref="DY135" ca="1" si="358">DY133/DU133-1</f>
        <v>2.5896902808930644E-3</v>
      </c>
      <c r="DZ135" s="1958"/>
    </row>
    <row r="136" spans="1:130" ht="15" hidden="1" customHeight="1">
      <c r="A136" s="2371" t="s">
        <v>220</v>
      </c>
      <c r="Q136" s="2207"/>
      <c r="T136" s="2207"/>
      <c r="U136" s="2207"/>
      <c r="Y136" s="2995"/>
      <c r="Z136" s="3250"/>
      <c r="AA136" s="2207"/>
      <c r="AB136" s="2207"/>
      <c r="AC136" s="2207"/>
      <c r="AD136" s="2207"/>
      <c r="AE136" s="2207"/>
      <c r="AF136" s="2207"/>
      <c r="AG136" s="2207"/>
      <c r="AH136" s="1952"/>
      <c r="AI136" s="1927"/>
      <c r="AJ136" s="1947"/>
      <c r="BR136" s="2208"/>
      <c r="BS136" s="2207"/>
      <c r="BT136" s="2207"/>
      <c r="BU136" s="2207"/>
      <c r="BV136" s="2208"/>
      <c r="BW136" s="2207"/>
      <c r="BX136" s="2207"/>
      <c r="BY136" s="2207"/>
      <c r="BZ136" s="2208"/>
      <c r="CA136" s="2207"/>
      <c r="CB136" s="2207"/>
      <c r="CC136" s="2207"/>
      <c r="CD136" s="2208"/>
      <c r="CE136" s="2207"/>
      <c r="CF136" s="2207"/>
      <c r="CG136" s="2209"/>
      <c r="CH136" s="2208"/>
      <c r="CI136" s="2207"/>
      <c r="CJ136" s="2207"/>
      <c r="CK136" s="2209"/>
      <c r="CL136" s="2208">
        <f t="shared" ref="CL136:DN136" si="359">(CL133-CL93)/CL75</f>
        <v>4.2401821286283441E-2</v>
      </c>
      <c r="CM136" s="2207">
        <f t="shared" si="359"/>
        <v>4.11814825333712E-2</v>
      </c>
      <c r="CN136" s="2207">
        <f t="shared" si="359"/>
        <v>3.1311521514952659E-2</v>
      </c>
      <c r="CO136" s="2207">
        <f t="shared" si="359"/>
        <v>2.4477837633493999E-2</v>
      </c>
      <c r="CP136" s="2208">
        <f t="shared" si="359"/>
        <v>1.1662650602409638E-2</v>
      </c>
      <c r="CQ136" s="2207">
        <f t="shared" si="359"/>
        <v>2.0142064804904155E-2</v>
      </c>
      <c r="CR136" s="2207">
        <f t="shared" si="359"/>
        <v>1.8180050554151273E-2</v>
      </c>
      <c r="CS136" s="2207">
        <f t="shared" si="359"/>
        <v>2.458936728545048E-2</v>
      </c>
      <c r="CT136" s="2208">
        <f t="shared" si="359"/>
        <v>2.8382773233468019E-2</v>
      </c>
      <c r="CU136" s="2207">
        <f t="shared" si="359"/>
        <v>3.103347321167171E-2</v>
      </c>
      <c r="CV136" s="2207">
        <f t="shared" si="359"/>
        <v>5.2221893782638685E-3</v>
      </c>
      <c r="CW136" s="2209">
        <f t="shared" si="359"/>
        <v>2.958871683597988E-2</v>
      </c>
      <c r="CX136" s="2208">
        <f t="shared" si="359"/>
        <v>1.5786827551533433E-2</v>
      </c>
      <c r="CY136" s="2207">
        <f t="shared" si="359"/>
        <v>1.6256058158319871E-2</v>
      </c>
      <c r="CZ136" s="2207">
        <f t="shared" si="359"/>
        <v>4.1355658664514825E-3</v>
      </c>
      <c r="DA136" s="2207">
        <f t="shared" si="359"/>
        <v>-3.5655737704918034E-2</v>
      </c>
      <c r="DB136" s="2208">
        <f t="shared" si="359"/>
        <v>3.1088082901554402E-4</v>
      </c>
      <c r="DC136" s="2207">
        <f t="shared" si="359"/>
        <v>6.8714211348256116E-3</v>
      </c>
      <c r="DD136" s="2207">
        <f t="shared" si="359"/>
        <v>1.5222118670394533E-2</v>
      </c>
      <c r="DE136" s="2207">
        <f t="shared" si="359"/>
        <v>1.1738056013179572E-2</v>
      </c>
      <c r="DF136" s="2208">
        <f t="shared" si="359"/>
        <v>1.4593251914717449E-2</v>
      </c>
      <c r="DG136" s="2207">
        <f t="shared" si="359"/>
        <v>2.6269338594123143E-2</v>
      </c>
      <c r="DH136" s="2207">
        <f t="shared" si="359"/>
        <v>2.3496240601503758E-2</v>
      </c>
      <c r="DI136" s="2207">
        <f t="shared" si="359"/>
        <v>4.3514644351464432E-2</v>
      </c>
      <c r="DJ136" s="2207">
        <f t="shared" si="359"/>
        <v>-1.6827462418667265E-2</v>
      </c>
      <c r="DK136" s="2207">
        <f t="shared" si="359"/>
        <v>-4.8445245606128888E-3</v>
      </c>
      <c r="DL136" s="2207">
        <f t="shared" si="359"/>
        <v>3.7453183520599251E-3</v>
      </c>
      <c r="DM136" s="2207">
        <f t="shared" si="359"/>
        <v>1.5246636771300448E-2</v>
      </c>
      <c r="DN136" s="2207">
        <f t="shared" si="359"/>
        <v>7.301768397033657E-3</v>
      </c>
      <c r="DO136" s="2207">
        <f t="shared" ref="DO136:DP136" si="360">(DO133-DO93)/DO75</f>
        <v>-5.9184456091013679E-2</v>
      </c>
      <c r="DP136" s="2207">
        <f t="shared" si="360"/>
        <v>2.003338898163606E-2</v>
      </c>
      <c r="DQ136" s="2207">
        <f t="shared" ref="DQ136:DR136" si="361">(DQ133-DQ93)/DQ75</f>
        <v>5.2995391705069124E-2</v>
      </c>
      <c r="DR136" s="2207">
        <f t="shared" si="361"/>
        <v>3.7201625190452003E-2</v>
      </c>
      <c r="DS136" s="2207">
        <f t="shared" ref="DS136:DT136" si="362">(DS133-DS93)/DS75</f>
        <v>8.7157139195078188E-3</v>
      </c>
      <c r="DT136" s="2207">
        <f t="shared" si="362"/>
        <v>8.4834246932915681E-3</v>
      </c>
      <c r="DU136" s="2207">
        <f t="shared" ref="DU136:DV136" si="363">(DU133-DU93)/DU75</f>
        <v>8.1396875410266502E-3</v>
      </c>
      <c r="DV136" s="2207">
        <f t="shared" si="363"/>
        <v>9.1306073838824924E-3</v>
      </c>
      <c r="DW136" s="2233">
        <f t="shared" ref="DW136:DY136" ca="1" si="364">(DW133-DW93)/DW75</f>
        <v>6.4568539258889838E-3</v>
      </c>
      <c r="DX136" s="2233">
        <f t="shared" ca="1" si="364"/>
        <v>1.2222852818912959E-2</v>
      </c>
      <c r="DY136" s="2235">
        <f t="shared" ca="1" si="364"/>
        <v>5.4958845369307979E-3</v>
      </c>
      <c r="DZ136" s="1946"/>
    </row>
    <row r="137" spans="1:130" ht="15" customHeight="1">
      <c r="A137"/>
      <c r="B137" s="1958"/>
      <c r="C137" s="1958"/>
      <c r="D137" s="1958"/>
      <c r="E137" s="1958"/>
      <c r="F137" s="1958"/>
      <c r="G137" s="1958"/>
      <c r="H137" s="1958"/>
      <c r="I137" s="1958"/>
      <c r="J137" s="1958"/>
      <c r="K137" s="1958"/>
      <c r="L137" s="1958"/>
      <c r="M137" s="1958"/>
      <c r="N137" s="1958"/>
      <c r="O137" s="1958"/>
      <c r="P137" s="1958"/>
      <c r="Q137" s="1561"/>
      <c r="R137" s="1958"/>
      <c r="S137" s="1958"/>
      <c r="T137" s="1958"/>
      <c r="U137" s="1561"/>
      <c r="V137" s="1958"/>
      <c r="W137" s="1958"/>
      <c r="X137" s="1958"/>
      <c r="Y137" s="2994"/>
      <c r="Z137" s="3249"/>
      <c r="AA137" s="1561"/>
      <c r="AB137" s="1561"/>
      <c r="AC137" s="1561"/>
      <c r="AD137" s="1561"/>
      <c r="AE137" s="1561"/>
      <c r="AF137" s="1561"/>
      <c r="AG137" s="1561"/>
      <c r="AI137" s="1958"/>
      <c r="AK137" s="1958"/>
      <c r="AL137" s="1958"/>
      <c r="AM137" s="1958"/>
      <c r="AN137" s="1958"/>
      <c r="AO137" s="1958"/>
      <c r="AP137" s="1958"/>
      <c r="AQ137" s="1958"/>
      <c r="AR137" s="1958"/>
      <c r="AS137" s="1958"/>
      <c r="AT137" s="1958"/>
      <c r="AU137" s="1958"/>
      <c r="AV137" s="1958"/>
      <c r="AW137" s="1958"/>
      <c r="AX137" s="1958"/>
      <c r="AY137" s="1958"/>
      <c r="AZ137" s="1958"/>
      <c r="BA137" s="1958"/>
      <c r="BB137" s="1958"/>
      <c r="BC137" s="1958"/>
      <c r="BD137" s="1958"/>
      <c r="BE137" s="1958"/>
      <c r="BF137" s="1958"/>
      <c r="BG137" s="1958"/>
      <c r="BH137" s="1958"/>
      <c r="BI137" s="1958"/>
      <c r="BJ137" s="1958"/>
      <c r="BK137" s="1958"/>
      <c r="BL137" s="1958"/>
      <c r="BM137" s="1958"/>
      <c r="BN137" s="1958"/>
      <c r="BO137" s="1958"/>
      <c r="BP137" s="1958"/>
      <c r="BQ137" s="1958"/>
      <c r="BR137" s="1958"/>
      <c r="BS137" s="1958"/>
      <c r="BT137" s="1958"/>
      <c r="BU137" s="1958"/>
      <c r="BV137" s="1958"/>
      <c r="BW137" s="1958"/>
      <c r="BX137" s="1958"/>
      <c r="BY137" s="1958"/>
      <c r="BZ137" s="1958"/>
      <c r="CA137" s="1958"/>
      <c r="CB137" s="1958"/>
      <c r="CC137" s="1958"/>
      <c r="CD137" s="1958"/>
      <c r="CE137" s="1958"/>
      <c r="CF137" s="1958"/>
      <c r="CG137" s="1958"/>
      <c r="CH137" s="1958"/>
      <c r="CI137" s="1958"/>
      <c r="CJ137" s="1958"/>
      <c r="CK137" s="1958"/>
      <c r="CL137" s="1958"/>
      <c r="CM137" s="1958"/>
      <c r="CN137" s="1958"/>
      <c r="CO137" s="1958"/>
      <c r="CP137" s="1958"/>
      <c r="CQ137" s="1958"/>
      <c r="CR137" s="1958"/>
      <c r="CS137" s="1958"/>
      <c r="CT137" s="1958"/>
      <c r="CU137" s="1958"/>
      <c r="CV137" s="1958"/>
      <c r="CW137" s="1958"/>
      <c r="CX137" s="1958"/>
      <c r="CY137" s="1958"/>
      <c r="CZ137" s="1958"/>
      <c r="DA137" s="1958"/>
      <c r="DB137" s="1958"/>
      <c r="DC137" s="1958"/>
      <c r="DD137" s="1958"/>
      <c r="DE137" s="1958"/>
      <c r="DF137" s="1958"/>
      <c r="DG137" s="1561"/>
      <c r="DH137" s="1561"/>
      <c r="DI137" s="1561"/>
      <c r="DJ137" s="1561"/>
      <c r="DK137" s="1561"/>
      <c r="DL137" s="1561"/>
      <c r="DM137" s="1561"/>
      <c r="DN137" s="1561"/>
      <c r="DO137" s="1561"/>
      <c r="DP137" s="2992"/>
      <c r="DQ137" s="2992"/>
      <c r="DR137" s="2992"/>
      <c r="DS137" s="2992"/>
      <c r="DT137" s="2992"/>
      <c r="DU137" s="2992"/>
      <c r="DV137" s="2992"/>
      <c r="DW137" s="1561"/>
      <c r="DX137" s="1561"/>
      <c r="DY137" s="1561"/>
      <c r="DZ137" s="1946"/>
    </row>
    <row r="138" spans="1:130" ht="15" customHeight="1">
      <c r="A138"/>
      <c r="B138" s="1958"/>
      <c r="C138" s="1958"/>
      <c r="D138" s="1958"/>
      <c r="E138" s="1958"/>
      <c r="F138" s="1958"/>
      <c r="G138" s="1958"/>
      <c r="H138" s="1958"/>
      <c r="I138" s="1958"/>
      <c r="J138" s="1958"/>
      <c r="K138" s="1958"/>
      <c r="L138" s="1958"/>
      <c r="M138" s="1958"/>
      <c r="N138" s="1958"/>
      <c r="O138" s="1958"/>
      <c r="P138" s="1958"/>
      <c r="Q138" s="1561"/>
      <c r="R138" s="1958"/>
      <c r="S138" s="1958"/>
      <c r="T138" s="1958"/>
      <c r="U138" s="1561"/>
      <c r="W138" s="1958"/>
      <c r="X138" s="1958"/>
      <c r="Y138" s="2994"/>
      <c r="Z138" s="3249"/>
      <c r="AA138" s="1561"/>
      <c r="AB138" s="1561"/>
      <c r="AC138" s="1561"/>
      <c r="AD138" s="1561"/>
      <c r="AE138" s="1561"/>
      <c r="AF138" s="1561"/>
      <c r="AG138" s="1561"/>
      <c r="AI138" s="1958"/>
      <c r="AK138" s="1958"/>
      <c r="AL138" s="1958"/>
      <c r="AM138" s="1958"/>
      <c r="AN138" s="1958"/>
      <c r="AO138" s="1958"/>
      <c r="AP138" s="1958"/>
      <c r="AQ138" s="1958"/>
      <c r="AR138" s="1958"/>
      <c r="AS138" s="1958"/>
      <c r="AT138" s="1958"/>
      <c r="AU138" s="1958"/>
      <c r="AV138" s="1958"/>
      <c r="AW138" s="1958"/>
      <c r="AX138" s="1958"/>
      <c r="AY138" s="1958"/>
      <c r="AZ138" s="1958"/>
      <c r="BA138" s="1958"/>
      <c r="BB138" s="1958"/>
      <c r="BC138" s="1958"/>
      <c r="BD138" s="1958"/>
      <c r="BE138" s="1958"/>
      <c r="BF138" s="1958"/>
      <c r="BG138" s="1958"/>
      <c r="BH138" s="1958"/>
      <c r="BI138" s="1958"/>
      <c r="BJ138" s="1958"/>
      <c r="BK138" s="1958"/>
      <c r="BL138" s="1958"/>
      <c r="BM138" s="1958"/>
      <c r="BN138" s="1958"/>
      <c r="BO138" s="1958"/>
      <c r="BP138" s="1958"/>
      <c r="BQ138" s="1958"/>
      <c r="BR138" s="1958"/>
      <c r="BS138" s="1958"/>
      <c r="BT138" s="1958"/>
      <c r="BU138" s="1958"/>
      <c r="BV138" s="1958"/>
      <c r="BW138" s="1958"/>
      <c r="BX138" s="1958"/>
      <c r="BY138" s="1958"/>
      <c r="BZ138" s="1958"/>
      <c r="CA138" s="1958"/>
      <c r="CB138" s="1958"/>
      <c r="CD138" s="1958"/>
      <c r="CE138" s="1958"/>
      <c r="CF138" s="1958"/>
      <c r="CH138" s="1958"/>
      <c r="CI138" s="1958"/>
      <c r="CJ138" s="1958"/>
      <c r="CL138" s="1958"/>
      <c r="CM138" s="1958"/>
      <c r="CN138" s="1958"/>
      <c r="CP138" s="1958"/>
      <c r="CQ138" s="1958"/>
      <c r="CR138" s="1958"/>
      <c r="CT138" s="1958"/>
      <c r="CU138" s="1958"/>
      <c r="CV138" s="1958"/>
      <c r="CX138" s="1958"/>
      <c r="CY138" s="1958"/>
      <c r="CZ138" s="1958"/>
      <c r="DB138" s="1958"/>
      <c r="DC138" s="1958"/>
      <c r="DD138" s="1958"/>
      <c r="DG138"/>
      <c r="DH138"/>
      <c r="DI138"/>
      <c r="DJ138" s="1561"/>
      <c r="DK138" s="1561"/>
      <c r="DL138" s="1561"/>
      <c r="DM138" s="1561"/>
      <c r="DN138" s="1561"/>
      <c r="DO138" s="1561"/>
      <c r="DP138" s="1561"/>
      <c r="DQ138" s="1561"/>
      <c r="DR138" s="1561"/>
      <c r="DS138" s="1561"/>
      <c r="DT138" s="1561"/>
      <c r="DU138" s="1561"/>
      <c r="DV138" s="1561"/>
      <c r="DW138" s="1561"/>
      <c r="DX138" s="1561"/>
      <c r="DY138" s="1561"/>
      <c r="DZ138" s="1946"/>
    </row>
    <row r="139" spans="1:130" s="2143" customFormat="1" ht="15" hidden="1" customHeight="1" outlineLevel="1">
      <c r="A139" s="3073" t="s">
        <v>1675</v>
      </c>
      <c r="B139" s="3073"/>
      <c r="C139" s="3073"/>
      <c r="D139" s="3073"/>
      <c r="E139" s="3073"/>
      <c r="F139" s="3073"/>
      <c r="G139" s="3073"/>
      <c r="H139" s="3073"/>
      <c r="I139" s="3073"/>
      <c r="J139" s="3073"/>
      <c r="K139" s="3073"/>
      <c r="L139" s="3073"/>
      <c r="M139" s="3073"/>
      <c r="N139" s="3073"/>
      <c r="O139" s="3073"/>
      <c r="P139" s="3073"/>
      <c r="Q139" s="3073"/>
      <c r="R139" s="3073"/>
      <c r="S139" s="3073"/>
      <c r="T139" s="3073"/>
      <c r="U139" s="3073"/>
      <c r="V139" s="3073"/>
      <c r="W139" s="3073"/>
      <c r="X139" s="3073"/>
      <c r="Y139" s="3073"/>
      <c r="Z139" s="3073"/>
      <c r="AA139" s="3073"/>
      <c r="AB139" s="3073"/>
      <c r="AC139" s="3073"/>
      <c r="AD139" s="3073"/>
      <c r="AE139" s="3073"/>
      <c r="AF139" s="3073"/>
      <c r="AG139" s="3073"/>
      <c r="AH139" s="3073"/>
      <c r="AI139" s="3074"/>
      <c r="AJ139" s="3073"/>
      <c r="AK139" s="3073"/>
      <c r="AL139" s="3073"/>
      <c r="AM139" s="3073"/>
      <c r="AN139" s="3073"/>
      <c r="AO139" s="3073"/>
      <c r="AP139" s="3073"/>
      <c r="AQ139" s="3073"/>
      <c r="AR139" s="3073"/>
      <c r="AS139" s="3073"/>
      <c r="AT139" s="3073"/>
      <c r="AU139" s="3073"/>
      <c r="AV139" s="3073"/>
      <c r="AW139" s="3073"/>
      <c r="AX139" s="3073"/>
      <c r="AY139" s="3073"/>
      <c r="AZ139" s="3073"/>
      <c r="BA139" s="3073"/>
      <c r="BB139" s="3073"/>
      <c r="BC139" s="3073"/>
      <c r="BD139" s="3073"/>
      <c r="BE139" s="3073"/>
      <c r="BF139" s="3073"/>
      <c r="BG139" s="3073"/>
      <c r="BH139" s="3073"/>
      <c r="BI139" s="3073"/>
      <c r="BJ139" s="3073"/>
      <c r="BK139" s="3073"/>
      <c r="BL139" s="3073"/>
      <c r="BM139" s="3073"/>
      <c r="BN139" s="3073"/>
      <c r="BO139" s="3073"/>
      <c r="BP139" s="3073"/>
      <c r="BQ139" s="3073"/>
      <c r="BR139" s="3073"/>
      <c r="BS139" s="3073"/>
      <c r="BT139" s="3073"/>
      <c r="BU139" s="3073"/>
      <c r="BV139" s="3073"/>
      <c r="BW139" s="3073"/>
      <c r="BX139" s="3073"/>
      <c r="BY139" s="3073"/>
      <c r="BZ139" s="3073"/>
      <c r="CA139" s="3073"/>
      <c r="CB139" s="3073"/>
      <c r="CC139" s="3073"/>
      <c r="CD139" s="3073"/>
      <c r="CE139" s="3073"/>
      <c r="CF139" s="3073"/>
      <c r="CG139" s="3073"/>
      <c r="CH139" s="3073"/>
      <c r="CI139" s="3073"/>
      <c r="CJ139" s="3073"/>
      <c r="CK139" s="3073"/>
      <c r="CL139" s="3073"/>
      <c r="CM139" s="3073"/>
      <c r="CN139" s="3073"/>
      <c r="CO139" s="3073"/>
      <c r="CP139" s="3073"/>
      <c r="CQ139" s="3073"/>
      <c r="CR139" s="3073"/>
      <c r="CS139" s="3073"/>
      <c r="CT139" s="3073"/>
      <c r="CU139" s="3073"/>
      <c r="CV139" s="3073"/>
      <c r="CW139" s="3073"/>
      <c r="CX139" s="3073"/>
      <c r="CY139" s="3073"/>
      <c r="CZ139" s="3073"/>
      <c r="DA139" s="3073"/>
      <c r="DB139" s="3073"/>
      <c r="DC139" s="3073"/>
      <c r="DD139" s="3073"/>
      <c r="DE139" s="3073"/>
      <c r="DF139" s="3073"/>
      <c r="DG139" s="3073"/>
      <c r="DH139" s="3073"/>
      <c r="DI139" s="3073"/>
      <c r="DJ139" s="3073"/>
      <c r="DK139" s="3073"/>
      <c r="DL139" s="3073"/>
      <c r="DM139" s="3073"/>
      <c r="DN139" s="3075"/>
      <c r="DO139" s="3075"/>
      <c r="DP139" s="3075"/>
      <c r="DQ139" s="3075"/>
      <c r="DR139" s="2293"/>
      <c r="DS139" s="2291"/>
      <c r="DT139" s="2291"/>
      <c r="DU139" s="2291"/>
      <c r="DV139" s="2293"/>
      <c r="DW139" s="2293"/>
      <c r="DX139" s="2293"/>
      <c r="DY139" s="2293"/>
      <c r="DZ139" s="2141"/>
    </row>
    <row r="140" spans="1:130" s="3088" customFormat="1" ht="15" hidden="1" customHeight="1" outlineLevel="1">
      <c r="A140" s="3085"/>
      <c r="B140" s="3085"/>
      <c r="C140" s="3085"/>
      <c r="D140" s="3085"/>
      <c r="E140" s="3085"/>
      <c r="F140" s="3085"/>
      <c r="G140" s="3085"/>
      <c r="H140" s="3085"/>
      <c r="I140" s="3085"/>
      <c r="J140" s="3085"/>
      <c r="K140" s="3085"/>
      <c r="L140" s="3085"/>
      <c r="M140" s="3085"/>
      <c r="N140" s="3085"/>
      <c r="O140" s="3085"/>
      <c r="P140" s="3085"/>
      <c r="Q140" s="3085"/>
      <c r="R140" s="3085"/>
      <c r="S140" s="3085"/>
      <c r="T140" s="3085"/>
      <c r="U140" s="3085"/>
      <c r="V140" s="3085"/>
      <c r="W140" s="3085"/>
      <c r="X140" s="3085"/>
      <c r="Y140" s="3085"/>
      <c r="Z140" s="3085"/>
      <c r="AA140" s="3085"/>
      <c r="AB140" s="3085"/>
      <c r="AC140" s="3085"/>
      <c r="AD140" s="3085"/>
      <c r="AE140" s="3085"/>
      <c r="AF140" s="3085"/>
      <c r="AG140" s="3085"/>
      <c r="AH140" s="3085"/>
      <c r="AI140" s="3086"/>
      <c r="AJ140" s="3085"/>
      <c r="AK140" s="3085"/>
      <c r="AL140" s="3085"/>
      <c r="AM140" s="3085"/>
      <c r="AN140" s="3085"/>
      <c r="AO140" s="3085"/>
      <c r="AP140" s="3085"/>
      <c r="AQ140" s="3085"/>
      <c r="AR140" s="3085"/>
      <c r="AS140" s="3085"/>
      <c r="AT140" s="3085"/>
      <c r="AU140" s="3085"/>
      <c r="AV140" s="3085"/>
      <c r="AW140" s="3085"/>
      <c r="AX140" s="3085"/>
      <c r="AY140" s="3085"/>
      <c r="AZ140" s="3085"/>
      <c r="BA140" s="3085"/>
      <c r="BB140" s="3085"/>
      <c r="BC140" s="3085"/>
      <c r="BD140" s="3085"/>
      <c r="BE140" s="3085"/>
      <c r="BF140" s="3085"/>
      <c r="BG140" s="3085"/>
      <c r="BH140" s="3085"/>
      <c r="BI140" s="3085"/>
      <c r="BJ140" s="3085"/>
      <c r="BK140" s="3085"/>
      <c r="BL140" s="3085"/>
      <c r="BM140" s="3085"/>
      <c r="BN140" s="3085"/>
      <c r="BO140" s="3085"/>
      <c r="BP140" s="3085"/>
      <c r="BQ140" s="3085"/>
      <c r="BR140" s="3085"/>
      <c r="BS140" s="3085"/>
      <c r="BT140" s="3085"/>
      <c r="BU140" s="3085"/>
      <c r="BV140" s="3085"/>
      <c r="BW140" s="3085"/>
      <c r="BX140" s="3085"/>
      <c r="BY140" s="3085"/>
      <c r="BZ140" s="3085"/>
      <c r="CA140" s="3085"/>
      <c r="CB140" s="3085"/>
      <c r="CC140" s="3085"/>
      <c r="CD140" s="3085"/>
      <c r="CE140" s="3085"/>
      <c r="CF140" s="3085"/>
      <c r="CG140" s="3085"/>
      <c r="CH140" s="3085"/>
      <c r="CI140" s="3085"/>
      <c r="CJ140" s="3085"/>
      <c r="CK140" s="3085"/>
      <c r="CL140" s="3085"/>
      <c r="CM140" s="3085"/>
      <c r="CN140" s="3085"/>
      <c r="CO140" s="3085"/>
      <c r="CP140" s="3085"/>
      <c r="CQ140" s="3085"/>
      <c r="CR140" s="3085"/>
      <c r="CS140" s="3085"/>
      <c r="CT140" s="3085"/>
      <c r="CU140" s="3085"/>
      <c r="CV140" s="3085"/>
      <c r="CW140" s="3085"/>
      <c r="CX140" s="3085"/>
      <c r="CY140" s="3085"/>
      <c r="CZ140" s="3085"/>
      <c r="DA140" s="3085"/>
      <c r="DB140" s="3085"/>
      <c r="DC140" s="3085"/>
      <c r="DD140" s="3085"/>
      <c r="DE140" s="3085"/>
      <c r="DF140" s="3085"/>
      <c r="DG140" s="3085"/>
      <c r="DH140" s="3085"/>
      <c r="DI140" s="3085"/>
      <c r="DJ140" s="3085"/>
      <c r="DK140" s="3085"/>
      <c r="DL140" s="3085"/>
      <c r="DM140" s="3085"/>
      <c r="DN140" s="3087"/>
      <c r="DO140" s="3089" t="s">
        <v>1676</v>
      </c>
      <c r="DP140" s="3087"/>
      <c r="DQ140" s="3087"/>
      <c r="DR140" s="2293"/>
      <c r="DS140" s="2291"/>
      <c r="DT140" s="2291"/>
      <c r="DU140" s="2291"/>
      <c r="DV140" s="2293"/>
      <c r="DW140" s="2293"/>
      <c r="DX140" s="2293"/>
      <c r="DY140" s="2293"/>
      <c r="DZ140" s="2141"/>
    </row>
    <row r="141" spans="1:130" s="2142" customFormat="1" ht="15" hidden="1" customHeight="1" outlineLevel="1">
      <c r="A141" s="2371" t="s">
        <v>239</v>
      </c>
      <c r="B141" s="3061"/>
      <c r="C141" s="3061"/>
      <c r="D141" s="3061"/>
      <c r="E141" s="3061"/>
      <c r="F141" s="3061"/>
      <c r="G141" s="3061"/>
      <c r="H141" s="3061"/>
      <c r="I141" s="3061"/>
      <c r="J141" s="3061"/>
      <c r="K141" s="3061"/>
      <c r="L141" s="3061"/>
      <c r="M141" s="3061"/>
      <c r="N141" s="3061"/>
      <c r="O141" s="3061"/>
      <c r="P141" s="3061"/>
      <c r="Q141" s="2141">
        <v>13202</v>
      </c>
      <c r="R141" s="3061">
        <v>13419</v>
      </c>
      <c r="S141" s="3061">
        <v>13606</v>
      </c>
      <c r="T141" s="2141">
        <v>14121</v>
      </c>
      <c r="U141" s="2141">
        <v>14842</v>
      </c>
      <c r="V141" s="2141">
        <v>15583</v>
      </c>
      <c r="W141" s="2141">
        <v>16123</v>
      </c>
      <c r="X141" s="2141">
        <v>13593</v>
      </c>
      <c r="Y141" s="2141"/>
      <c r="Z141" s="2141"/>
      <c r="AA141"/>
      <c r="AB141" s="3146"/>
      <c r="AC141" s="3146"/>
      <c r="AD141" s="3146"/>
      <c r="AE141" s="3146"/>
      <c r="AF141" s="3146"/>
      <c r="AG141" s="3146"/>
      <c r="AH141" s="1952"/>
      <c r="AI141" s="2125"/>
      <c r="AJ141" s="1952"/>
      <c r="AK141" s="3061"/>
      <c r="AL141" s="3061"/>
      <c r="AM141" s="3061"/>
      <c r="AN141" s="3061"/>
      <c r="AO141" s="3061"/>
      <c r="AP141" s="3061"/>
      <c r="AQ141" s="3061"/>
      <c r="AR141" s="3061"/>
      <c r="AS141" s="3061"/>
      <c r="AT141" s="3061"/>
      <c r="AU141" s="3061"/>
      <c r="AV141" s="3061"/>
      <c r="AW141" s="3061"/>
      <c r="AX141" s="3061"/>
      <c r="AY141" s="3061"/>
      <c r="AZ141" s="3061"/>
      <c r="BA141" s="3061"/>
      <c r="BB141" s="3061"/>
      <c r="BC141" s="3061"/>
      <c r="BD141" s="3061"/>
      <c r="BE141" s="3061"/>
      <c r="BF141" s="3061"/>
      <c r="BG141" s="3061"/>
      <c r="BH141" s="3061"/>
      <c r="BI141" s="3061"/>
      <c r="BJ141" s="3061"/>
      <c r="BK141" s="3061"/>
      <c r="BL141" s="3061"/>
      <c r="BM141" s="3061"/>
      <c r="BN141" s="3061"/>
      <c r="BO141" s="3061"/>
      <c r="BP141" s="3061"/>
      <c r="BQ141" s="3061"/>
      <c r="BR141" s="1936"/>
      <c r="BS141" s="2141"/>
      <c r="BT141" s="2141"/>
      <c r="BU141" s="2141"/>
      <c r="BV141" s="1936"/>
      <c r="BW141" s="2141"/>
      <c r="BX141" s="2141"/>
      <c r="BY141" s="2141"/>
      <c r="BZ141" s="1936"/>
      <c r="CA141" s="2141"/>
      <c r="CB141" s="2141"/>
      <c r="CC141" s="2141"/>
      <c r="CD141" s="1936"/>
      <c r="CE141" s="2141"/>
      <c r="CF141" s="2141"/>
      <c r="CG141" s="3061"/>
      <c r="CH141" s="1936"/>
      <c r="CI141" s="2141"/>
      <c r="CJ141" s="2141"/>
      <c r="CK141" s="3061"/>
      <c r="CL141" s="1936">
        <v>3248</v>
      </c>
      <c r="CM141" s="2141">
        <v>3294</v>
      </c>
      <c r="CN141" s="2141">
        <v>3327</v>
      </c>
      <c r="CO141" s="2141">
        <v>3333</v>
      </c>
      <c r="CP141" s="1936">
        <v>3320</v>
      </c>
      <c r="CQ141" s="2141">
        <v>3350</v>
      </c>
      <c r="CR141" s="2141">
        <v>3364</v>
      </c>
      <c r="CS141" s="2141">
        <v>3385</v>
      </c>
      <c r="CT141" s="1936">
        <v>3383</v>
      </c>
      <c r="CU141" s="2141">
        <v>3394</v>
      </c>
      <c r="CV141" s="2141">
        <v>3400</v>
      </c>
      <c r="CW141" s="3061">
        <v>3429</v>
      </c>
      <c r="CX141" s="1936">
        <v>3441</v>
      </c>
      <c r="CY141" s="2141">
        <v>3504</v>
      </c>
      <c r="CZ141" s="2141">
        <v>3580</v>
      </c>
      <c r="DA141" s="2141">
        <v>3596</v>
      </c>
      <c r="DB141" s="1936">
        <v>3616</v>
      </c>
      <c r="DC141" s="2141">
        <v>3669</v>
      </c>
      <c r="DD141" s="2141">
        <v>3735</v>
      </c>
      <c r="DE141" s="2141">
        <v>3822</v>
      </c>
      <c r="DF141" s="1936">
        <v>3840</v>
      </c>
      <c r="DG141" s="2141">
        <v>3864</v>
      </c>
      <c r="DH141" s="2141">
        <v>3902</v>
      </c>
      <c r="DI141" s="2141">
        <v>3977</v>
      </c>
      <c r="DJ141" s="2501">
        <v>3992</v>
      </c>
      <c r="DK141" s="2502">
        <v>4037</v>
      </c>
      <c r="DL141" s="2502">
        <v>4012</v>
      </c>
      <c r="DM141" s="2503">
        <v>4082</v>
      </c>
      <c r="DN141" s="2502">
        <v>4022</v>
      </c>
      <c r="DO141" s="2502">
        <v>3165</v>
      </c>
      <c r="DP141" s="2502">
        <v>3174</v>
      </c>
      <c r="DQ141" s="2503">
        <v>3232</v>
      </c>
      <c r="DR141" s="1486"/>
      <c r="DS141" s="1486"/>
      <c r="DT141" s="1486"/>
      <c r="DU141" s="1486"/>
      <c r="DV141" s="1486"/>
      <c r="DW141" s="1486"/>
      <c r="DX141" s="1486"/>
      <c r="DY141" s="1486"/>
      <c r="DZ141" s="1064"/>
    </row>
    <row r="142" spans="1:130" s="2142" customFormat="1" ht="15" hidden="1" customHeight="1" outlineLevel="1">
      <c r="A142" s="2290" t="s">
        <v>1453</v>
      </c>
      <c r="B142" s="2291"/>
      <c r="C142" s="2291"/>
      <c r="D142" s="2291"/>
      <c r="E142" s="2291"/>
      <c r="F142" s="2291"/>
      <c r="G142" s="2291"/>
      <c r="H142" s="2291"/>
      <c r="I142" s="2291"/>
      <c r="J142" s="2291"/>
      <c r="K142" s="2291"/>
      <c r="L142" s="2291"/>
      <c r="M142" s="2291"/>
      <c r="N142" s="2291"/>
      <c r="O142" s="2291"/>
      <c r="P142" s="2291"/>
      <c r="Q142" s="2292"/>
      <c r="R142" s="2291">
        <v>1.6436903499469802E-2</v>
      </c>
      <c r="S142" s="2291">
        <v>1.3935464639690087E-2</v>
      </c>
      <c r="T142" s="2293">
        <v>3.7850948111127547E-2</v>
      </c>
      <c r="U142" s="2293">
        <v>5.1058706890446892E-2</v>
      </c>
      <c r="V142" s="2293">
        <v>4.9925885999191566E-2</v>
      </c>
      <c r="W142" s="2293">
        <v>3.4653147660912431E-2</v>
      </c>
      <c r="X142" s="2293">
        <v>-0.15691868758915839</v>
      </c>
      <c r="Y142" s="2293"/>
      <c r="Z142" s="2293"/>
      <c r="AA142"/>
      <c r="AB142" s="3146"/>
      <c r="AC142" s="3146"/>
      <c r="AD142" s="3146"/>
      <c r="AE142" s="3146"/>
      <c r="AF142" s="3146"/>
      <c r="AG142" s="3146"/>
      <c r="AH142" s="1953"/>
      <c r="AI142" s="1953"/>
      <c r="AJ142" s="1953"/>
      <c r="AK142" s="2291"/>
      <c r="AL142" s="2291"/>
      <c r="AM142" s="2291"/>
      <c r="AN142" s="2291"/>
      <c r="AO142" s="2291"/>
      <c r="AP142" s="2291"/>
      <c r="AQ142" s="2291"/>
      <c r="AR142" s="2291"/>
      <c r="AS142" s="2291"/>
      <c r="AT142" s="2291"/>
      <c r="AU142" s="2291"/>
      <c r="AV142" s="2291"/>
      <c r="AW142" s="2291"/>
      <c r="AX142" s="2291"/>
      <c r="AY142" s="2291"/>
      <c r="AZ142" s="2291"/>
      <c r="BA142" s="2291"/>
      <c r="BB142" s="2291"/>
      <c r="BC142" s="2291"/>
      <c r="BD142" s="2291"/>
      <c r="BE142" s="2291"/>
      <c r="BF142" s="2291"/>
      <c r="BG142" s="2291"/>
      <c r="BH142" s="2291"/>
      <c r="BI142" s="2291"/>
      <c r="BJ142" s="2291"/>
      <c r="BK142" s="2291"/>
      <c r="BL142" s="2291"/>
      <c r="BM142" s="2291"/>
      <c r="BN142" s="2291"/>
      <c r="BO142" s="2291"/>
      <c r="BP142" s="2291"/>
      <c r="BQ142" s="2291"/>
      <c r="BR142" s="2294"/>
      <c r="BS142" s="2293"/>
      <c r="BT142" s="2293"/>
      <c r="BU142" s="2293"/>
      <c r="BV142" s="2294"/>
      <c r="BW142" s="2293"/>
      <c r="BX142" s="2293"/>
      <c r="BY142" s="2293"/>
      <c r="BZ142" s="2294"/>
      <c r="CA142" s="2293"/>
      <c r="CB142" s="2293"/>
      <c r="CC142" s="2293"/>
      <c r="CD142" s="2294"/>
      <c r="CE142" s="2293"/>
      <c r="CF142" s="2293"/>
      <c r="CG142" s="2295"/>
      <c r="CH142" s="2294"/>
      <c r="CI142" s="2293"/>
      <c r="CJ142" s="2293"/>
      <c r="CK142" s="2295"/>
      <c r="CL142" s="2294"/>
      <c r="CM142" s="2292"/>
      <c r="CN142" s="2292"/>
      <c r="CO142" s="2292"/>
      <c r="CP142" s="2294">
        <v>2.2167487684729092E-2</v>
      </c>
      <c r="CQ142" s="2293">
        <v>1.7000607164541659E-2</v>
      </c>
      <c r="CR142" s="2293">
        <v>1.1121130147279779E-2</v>
      </c>
      <c r="CS142" s="2293">
        <v>1.5601560156015548E-2</v>
      </c>
      <c r="CT142" s="2294">
        <v>1.897590361445789E-2</v>
      </c>
      <c r="CU142" s="2293">
        <v>1.3134328358209046E-2</v>
      </c>
      <c r="CV142" s="2293">
        <v>1.0701545778834642E-2</v>
      </c>
      <c r="CW142" s="2295">
        <v>1.2998522895125486E-2</v>
      </c>
      <c r="CX142" s="2294">
        <v>1.7144546260715376E-2</v>
      </c>
      <c r="CY142" s="2293">
        <v>3.2410135533293971E-2</v>
      </c>
      <c r="CZ142" s="2293">
        <v>5.2941176470588269E-2</v>
      </c>
      <c r="DA142" s="2295">
        <v>4.8702245552639356E-2</v>
      </c>
      <c r="DB142" s="2293">
        <v>5.0857308921825162E-2</v>
      </c>
      <c r="DC142" s="2293">
        <v>4.7089041095890405E-2</v>
      </c>
      <c r="DD142" s="2293">
        <v>4.3296089385474801E-2</v>
      </c>
      <c r="DE142" s="2295">
        <v>6.2847608453837633E-2</v>
      </c>
      <c r="DF142" s="2293">
        <v>6.1946902654867353E-2</v>
      </c>
      <c r="DG142" s="2293">
        <v>5.3147996729353997E-2</v>
      </c>
      <c r="DH142" s="2293">
        <v>4.4712182061579675E-2</v>
      </c>
      <c r="DI142" s="2295">
        <v>4.055468341182622E-2</v>
      </c>
      <c r="DJ142" s="2294">
        <v>3.9583333333333304E-2</v>
      </c>
      <c r="DK142" s="2293">
        <v>4.4772256728778492E-2</v>
      </c>
      <c r="DL142" s="2293">
        <v>2.8190671450538218E-2</v>
      </c>
      <c r="DM142" s="2295">
        <v>2.6401810409856674E-2</v>
      </c>
      <c r="DN142" s="2293">
        <v>7.5150300601203313E-3</v>
      </c>
      <c r="DO142" s="2293">
        <v>-0.21600198166955664</v>
      </c>
      <c r="DP142" s="2293">
        <v>-0.20887337986041876</v>
      </c>
      <c r="DQ142" s="2295">
        <v>-0.20823125918667318</v>
      </c>
      <c r="DR142" s="1486"/>
      <c r="DS142" s="1486"/>
      <c r="DT142" s="1486"/>
      <c r="DU142" s="1486"/>
      <c r="DV142" s="1486"/>
      <c r="DW142" s="1486"/>
      <c r="DX142" s="1486"/>
      <c r="DY142" s="1486"/>
      <c r="DZ142" s="1064"/>
    </row>
    <row r="143" spans="1:130" s="2142" customFormat="1" ht="15" hidden="1" customHeight="1" outlineLevel="1">
      <c r="A143" s="2296" t="s">
        <v>1558</v>
      </c>
      <c r="B143" s="3061"/>
      <c r="C143" s="3061"/>
      <c r="D143" s="3061"/>
      <c r="E143" s="3061"/>
      <c r="F143" s="3061"/>
      <c r="G143" s="3061"/>
      <c r="H143" s="3061"/>
      <c r="I143" s="3061"/>
      <c r="J143" s="3061"/>
      <c r="K143" s="3061"/>
      <c r="L143" s="3061"/>
      <c r="M143" s="3061"/>
      <c r="N143" s="3061"/>
      <c r="O143" s="3061"/>
      <c r="P143" s="3061"/>
      <c r="Q143" s="2141">
        <v>2913</v>
      </c>
      <c r="R143" s="3061">
        <v>2837</v>
      </c>
      <c r="S143" s="3061">
        <v>2731</v>
      </c>
      <c r="T143" s="2141">
        <v>2589</v>
      </c>
      <c r="U143" s="2141">
        <v>2541</v>
      </c>
      <c r="V143" s="2141">
        <v>2464</v>
      </c>
      <c r="W143" s="2141">
        <v>2350</v>
      </c>
      <c r="X143" s="2141">
        <v>1797</v>
      </c>
      <c r="Y143" s="2141"/>
      <c r="Z143" s="2141"/>
      <c r="AA143"/>
      <c r="AB143" s="3146"/>
      <c r="AC143" s="3146"/>
      <c r="AD143" s="3146"/>
      <c r="AE143" s="3146"/>
      <c r="AF143" s="3146"/>
      <c r="AG143" s="3146"/>
      <c r="AH143" s="1952"/>
      <c r="AI143" s="2125"/>
      <c r="AJ143" s="1952"/>
      <c r="AK143" s="3061"/>
      <c r="AL143" s="3061"/>
      <c r="AM143" s="3061"/>
      <c r="AN143" s="3061"/>
      <c r="AO143" s="3061"/>
      <c r="AP143" s="3061"/>
      <c r="AQ143" s="3061"/>
      <c r="AR143" s="3061"/>
      <c r="AS143" s="3061"/>
      <c r="AT143" s="3061"/>
      <c r="AU143" s="3061"/>
      <c r="AV143" s="3061"/>
      <c r="AW143" s="3061"/>
      <c r="AX143" s="3061"/>
      <c r="AY143" s="3061"/>
      <c r="AZ143" s="3061"/>
      <c r="BA143" s="3061"/>
      <c r="BB143" s="3061"/>
      <c r="BC143" s="3061"/>
      <c r="BD143" s="3061"/>
      <c r="BE143" s="3061"/>
      <c r="BF143" s="3061"/>
      <c r="BG143" s="3061"/>
      <c r="BH143" s="3061"/>
      <c r="BI143" s="3061"/>
      <c r="BJ143" s="3061"/>
      <c r="BK143" s="3061"/>
      <c r="BL143" s="3061"/>
      <c r="BM143" s="3061"/>
      <c r="BN143" s="3061"/>
      <c r="BO143" s="3061"/>
      <c r="BP143" s="3061"/>
      <c r="BQ143" s="3061"/>
      <c r="BR143" s="1936"/>
      <c r="BS143" s="2141"/>
      <c r="BT143" s="2141"/>
      <c r="BU143" s="2141"/>
      <c r="BV143" s="1936"/>
      <c r="BW143" s="2141"/>
      <c r="BX143" s="2141"/>
      <c r="BY143" s="2141"/>
      <c r="BZ143" s="1936"/>
      <c r="CA143" s="2141"/>
      <c r="CB143" s="2141"/>
      <c r="CC143" s="2141"/>
      <c r="CD143" s="1936"/>
      <c r="CE143" s="2141"/>
      <c r="CF143" s="2141"/>
      <c r="CG143" s="3061"/>
      <c r="CH143" s="1936"/>
      <c r="CI143" s="2141"/>
      <c r="CJ143" s="2141"/>
      <c r="CK143" s="3061"/>
      <c r="CL143" s="1936">
        <v>742</v>
      </c>
      <c r="CM143" s="2141">
        <v>737</v>
      </c>
      <c r="CN143" s="2141">
        <v>720</v>
      </c>
      <c r="CO143" s="2141">
        <v>714</v>
      </c>
      <c r="CP143" s="1936">
        <v>708</v>
      </c>
      <c r="CQ143" s="2141">
        <v>720</v>
      </c>
      <c r="CR143" s="2141">
        <v>709</v>
      </c>
      <c r="CS143" s="2141">
        <v>700</v>
      </c>
      <c r="CT143" s="1936">
        <v>695</v>
      </c>
      <c r="CU143" s="2141">
        <v>682</v>
      </c>
      <c r="CV143" s="2141">
        <v>670</v>
      </c>
      <c r="CW143" s="3061">
        <v>684</v>
      </c>
      <c r="CX143" s="1936">
        <v>662</v>
      </c>
      <c r="CY143" s="2141">
        <v>625</v>
      </c>
      <c r="CZ143" s="2141">
        <v>656</v>
      </c>
      <c r="DA143" s="2472">
        <v>646</v>
      </c>
      <c r="DB143" s="2141">
        <v>638</v>
      </c>
      <c r="DC143" s="2141">
        <v>635</v>
      </c>
      <c r="DD143" s="2141">
        <v>639</v>
      </c>
      <c r="DE143" s="2472">
        <v>629</v>
      </c>
      <c r="DF143" s="2141">
        <v>624</v>
      </c>
      <c r="DG143" s="2141">
        <v>621</v>
      </c>
      <c r="DH143" s="2141">
        <v>613</v>
      </c>
      <c r="DI143" s="2472">
        <v>606</v>
      </c>
      <c r="DJ143" s="2501">
        <v>600</v>
      </c>
      <c r="DK143" s="2502">
        <v>593</v>
      </c>
      <c r="DL143" s="2502">
        <v>585</v>
      </c>
      <c r="DM143" s="2503">
        <v>572</v>
      </c>
      <c r="DN143" s="2502">
        <v>568</v>
      </c>
      <c r="DO143" s="2502">
        <v>408</v>
      </c>
      <c r="DP143" s="2502">
        <v>411</v>
      </c>
      <c r="DQ143" s="2503">
        <v>410</v>
      </c>
      <c r="DR143" s="1486"/>
      <c r="DS143" s="1486"/>
      <c r="DT143" s="1486"/>
      <c r="DU143" s="1486"/>
      <c r="DV143" s="1486"/>
      <c r="DW143" s="1486"/>
      <c r="DX143" s="1486"/>
      <c r="DY143" s="1486"/>
      <c r="DZ143" s="1064"/>
    </row>
    <row r="144" spans="1:130" s="2142" customFormat="1" ht="15" hidden="1" customHeight="1" outlineLevel="1">
      <c r="A144" s="2290" t="s">
        <v>1453</v>
      </c>
      <c r="B144" s="2291"/>
      <c r="C144" s="2291"/>
      <c r="D144" s="2291"/>
      <c r="E144" s="2291"/>
      <c r="F144" s="2291"/>
      <c r="G144" s="2291"/>
      <c r="H144" s="2291"/>
      <c r="I144" s="2291"/>
      <c r="J144" s="2291"/>
      <c r="K144" s="2291"/>
      <c r="L144" s="2291"/>
      <c r="M144" s="2291"/>
      <c r="N144" s="2291"/>
      <c r="O144" s="2291"/>
      <c r="P144" s="2291"/>
      <c r="Q144" s="2292"/>
      <c r="R144" s="2291">
        <v>-2.6089941640920045E-2</v>
      </c>
      <c r="S144" s="2291">
        <v>-3.736341205498761E-2</v>
      </c>
      <c r="T144" s="2293">
        <v>-5.1995606005126316E-2</v>
      </c>
      <c r="U144" s="2293">
        <v>-1.8539976825028948E-2</v>
      </c>
      <c r="V144" s="2293">
        <v>-3.0303030303030276E-2</v>
      </c>
      <c r="W144" s="2293">
        <v>-4.6266233766233733E-2</v>
      </c>
      <c r="X144" s="2293">
        <v>-0.23531914893617023</v>
      </c>
      <c r="Y144" s="2293"/>
      <c r="Z144" s="2293"/>
      <c r="AA144"/>
      <c r="AB144" s="3146"/>
      <c r="AC144" s="3146"/>
      <c r="AD144" s="3146"/>
      <c r="AE144" s="3146"/>
      <c r="AF144" s="3146"/>
      <c r="AG144" s="3146"/>
      <c r="AH144" s="1954"/>
      <c r="AI144" s="1953"/>
      <c r="AJ144" s="1954"/>
      <c r="AK144" s="2291"/>
      <c r="AL144" s="2291"/>
      <c r="AM144" s="2291"/>
      <c r="AN144" s="2291"/>
      <c r="AO144" s="2291"/>
      <c r="AP144" s="2291"/>
      <c r="AQ144" s="2291"/>
      <c r="AR144" s="2291"/>
      <c r="AS144" s="2291"/>
      <c r="AT144" s="2291"/>
      <c r="AU144" s="2291"/>
      <c r="AV144" s="2291"/>
      <c r="AW144" s="2291"/>
      <c r="AX144" s="2291"/>
      <c r="AY144" s="2291"/>
      <c r="AZ144" s="2291"/>
      <c r="BA144" s="2291"/>
      <c r="BB144" s="2291"/>
      <c r="BC144" s="2291"/>
      <c r="BD144" s="2291"/>
      <c r="BE144" s="2291"/>
      <c r="BF144" s="2291"/>
      <c r="BG144" s="2291"/>
      <c r="BH144" s="2291"/>
      <c r="BI144" s="2291"/>
      <c r="BJ144" s="2291"/>
      <c r="BK144" s="2291"/>
      <c r="BL144" s="2291"/>
      <c r="BM144" s="2291"/>
      <c r="BN144" s="2291"/>
      <c r="BO144" s="2291"/>
      <c r="BP144" s="2291"/>
      <c r="BQ144" s="2291"/>
      <c r="BR144" s="2294"/>
      <c r="BS144" s="2293"/>
      <c r="BT144" s="2293"/>
      <c r="BU144" s="2293"/>
      <c r="BV144" s="2294"/>
      <c r="BW144" s="2293"/>
      <c r="BX144" s="2293"/>
      <c r="BY144" s="2293"/>
      <c r="BZ144" s="2294"/>
      <c r="CA144" s="2293"/>
      <c r="CB144" s="2293"/>
      <c r="CC144" s="2293"/>
      <c r="CD144" s="2294"/>
      <c r="CE144" s="2293"/>
      <c r="CF144" s="2293"/>
      <c r="CG144" s="2295"/>
      <c r="CH144" s="2294"/>
      <c r="CI144" s="2293"/>
      <c r="CJ144" s="2293"/>
      <c r="CK144" s="2295"/>
      <c r="CL144" s="2294"/>
      <c r="CM144" s="2293"/>
      <c r="CN144" s="2293"/>
      <c r="CO144" s="2293"/>
      <c r="CP144" s="2294">
        <v>-4.5822102425876032E-2</v>
      </c>
      <c r="CQ144" s="2293">
        <v>-2.3066485753052923E-2</v>
      </c>
      <c r="CR144" s="2293">
        <v>-1.5277777777777724E-2</v>
      </c>
      <c r="CS144" s="2293">
        <v>-1.9607843137254943E-2</v>
      </c>
      <c r="CT144" s="2294">
        <v>-1.836158192090398E-2</v>
      </c>
      <c r="CU144" s="2293">
        <v>-5.2777777777777812E-2</v>
      </c>
      <c r="CV144" s="2293">
        <v>-5.5007052186177741E-2</v>
      </c>
      <c r="CW144" s="2295">
        <v>-2.2857142857142909E-2</v>
      </c>
      <c r="CX144" s="2294">
        <v>-4.7482014388489202E-2</v>
      </c>
      <c r="CY144" s="2293">
        <v>-8.3577712609970711E-2</v>
      </c>
      <c r="CZ144" s="2293">
        <v>-2.0895522388059695E-2</v>
      </c>
      <c r="DA144" s="2295">
        <v>-5.555555555555558E-2</v>
      </c>
      <c r="DB144" s="2293">
        <v>-3.6253776435045348E-2</v>
      </c>
      <c r="DC144" s="2293">
        <v>1.6000000000000014E-2</v>
      </c>
      <c r="DD144" s="2293">
        <v>-2.5914634146341431E-2</v>
      </c>
      <c r="DE144" s="2295">
        <v>-2.6315789473684181E-2</v>
      </c>
      <c r="DF144" s="2293">
        <v>-2.1943573667711602E-2</v>
      </c>
      <c r="DG144" s="2293">
        <v>-2.2047244094488216E-2</v>
      </c>
      <c r="DH144" s="2293">
        <v>-4.0688575899843538E-2</v>
      </c>
      <c r="DI144" s="2295">
        <v>-3.6565977742448297E-2</v>
      </c>
      <c r="DJ144" s="2294">
        <v>-3.8461538461538436E-2</v>
      </c>
      <c r="DK144" s="2293">
        <v>-4.5088566827697241E-2</v>
      </c>
      <c r="DL144" s="2293">
        <v>-4.5676998368678667E-2</v>
      </c>
      <c r="DM144" s="2295">
        <v>-5.6105610561056118E-2</v>
      </c>
      <c r="DN144" s="2293">
        <v>-5.3333333333333344E-2</v>
      </c>
      <c r="DO144" s="2293">
        <v>-0.31197301854974702</v>
      </c>
      <c r="DP144" s="2293">
        <v>-0.29743589743589749</v>
      </c>
      <c r="DQ144" s="2295">
        <v>-0.28321678321678323</v>
      </c>
      <c r="DR144" s="1486"/>
      <c r="DS144" s="1486"/>
      <c r="DT144" s="1486"/>
      <c r="DU144" s="1486"/>
      <c r="DV144" s="1486"/>
      <c r="DW144" s="1486"/>
      <c r="DX144" s="1486"/>
      <c r="DY144" s="1486"/>
      <c r="DZ144" s="1064"/>
    </row>
    <row r="145" spans="1:130" s="1543" customFormat="1" ht="15" hidden="1" customHeight="1" outlineLevel="1">
      <c r="A145" s="2301" t="s">
        <v>1559</v>
      </c>
      <c r="B145" s="2162"/>
      <c r="C145" s="2162"/>
      <c r="D145" s="2162"/>
      <c r="E145" s="2162"/>
      <c r="F145" s="2162"/>
      <c r="G145" s="2162"/>
      <c r="H145" s="2162"/>
      <c r="I145" s="2162"/>
      <c r="J145" s="2162"/>
      <c r="K145" s="2162"/>
      <c r="L145" s="2162"/>
      <c r="M145" s="2162"/>
      <c r="N145" s="2162"/>
      <c r="O145" s="2162">
        <v>19570</v>
      </c>
      <c r="P145" s="2162">
        <v>18368</v>
      </c>
      <c r="Q145" s="2216">
        <v>16115</v>
      </c>
      <c r="R145" s="2162">
        <v>16256</v>
      </c>
      <c r="S145" s="2162">
        <v>16337</v>
      </c>
      <c r="T145" s="2216">
        <v>16710</v>
      </c>
      <c r="U145" s="2216">
        <v>17383</v>
      </c>
      <c r="V145" s="2216">
        <v>18047</v>
      </c>
      <c r="W145" s="2216">
        <v>18473</v>
      </c>
      <c r="X145" s="2216">
        <v>15390</v>
      </c>
      <c r="Y145" s="2216"/>
      <c r="Z145" s="2216"/>
      <c r="AA145"/>
      <c r="AB145" s="3146"/>
      <c r="AC145" s="3146"/>
      <c r="AD145" s="3146"/>
      <c r="AE145" s="3146"/>
      <c r="AF145" s="3146"/>
      <c r="AG145" s="3146"/>
      <c r="AH145" s="1955"/>
      <c r="AI145" s="2125"/>
      <c r="AJ145" s="1955"/>
      <c r="AK145" s="2162"/>
      <c r="AL145" s="2162"/>
      <c r="AM145" s="2162"/>
      <c r="AN145" s="2162"/>
      <c r="AO145" s="2162"/>
      <c r="AP145" s="2162"/>
      <c r="AQ145" s="2162"/>
      <c r="AR145" s="2162"/>
      <c r="AS145" s="2162"/>
      <c r="AT145" s="2162"/>
      <c r="AU145" s="2162"/>
      <c r="AV145" s="2162"/>
      <c r="AW145" s="2162"/>
      <c r="AX145" s="2162"/>
      <c r="AY145" s="2162"/>
      <c r="AZ145" s="2162"/>
      <c r="BA145" s="2162"/>
      <c r="BB145" s="2162"/>
      <c r="BC145" s="2162"/>
      <c r="BD145" s="2162"/>
      <c r="BE145" s="2162"/>
      <c r="BF145" s="2162"/>
      <c r="BG145" s="2162"/>
      <c r="BH145" s="2162"/>
      <c r="BI145" s="2162"/>
      <c r="BJ145" s="2162"/>
      <c r="BK145" s="2162"/>
      <c r="BL145" s="2162"/>
      <c r="BM145" s="2162"/>
      <c r="BN145" s="2162"/>
      <c r="BO145" s="2162"/>
      <c r="BP145" s="2162"/>
      <c r="BQ145" s="2162"/>
      <c r="BR145" s="1937"/>
      <c r="BS145" s="2216"/>
      <c r="BT145" s="2216"/>
      <c r="BU145" s="2216"/>
      <c r="BV145" s="1937"/>
      <c r="BW145" s="2216"/>
      <c r="BX145" s="2216"/>
      <c r="BY145" s="2216"/>
      <c r="BZ145" s="1937"/>
      <c r="CA145" s="2216"/>
      <c r="CB145" s="2216"/>
      <c r="CC145" s="2216"/>
      <c r="CD145" s="2302">
        <v>4843</v>
      </c>
      <c r="CE145" s="2303">
        <v>4926</v>
      </c>
      <c r="CF145" s="2303">
        <v>4921</v>
      </c>
      <c r="CG145" s="2304">
        <v>4880</v>
      </c>
      <c r="CH145" s="1937">
        <v>4533</v>
      </c>
      <c r="CI145" s="2216">
        <v>4584</v>
      </c>
      <c r="CJ145" s="2216">
        <v>4626</v>
      </c>
      <c r="CK145" s="2219">
        <v>4625</v>
      </c>
      <c r="CL145" s="1937">
        <v>3990</v>
      </c>
      <c r="CM145" s="2216">
        <v>4031</v>
      </c>
      <c r="CN145" s="2216">
        <v>4047</v>
      </c>
      <c r="CO145" s="2216">
        <v>4047</v>
      </c>
      <c r="CP145" s="1937">
        <v>4028</v>
      </c>
      <c r="CQ145" s="2216">
        <v>4070</v>
      </c>
      <c r="CR145" s="2216">
        <v>4073</v>
      </c>
      <c r="CS145" s="2216">
        <v>4085</v>
      </c>
      <c r="CT145" s="1937">
        <v>4078</v>
      </c>
      <c r="CU145" s="2216">
        <v>4076</v>
      </c>
      <c r="CV145" s="2216">
        <v>4070</v>
      </c>
      <c r="CW145" s="2219">
        <v>4113</v>
      </c>
      <c r="CX145" s="1937">
        <v>4103</v>
      </c>
      <c r="CY145" s="2216">
        <v>4129</v>
      </c>
      <c r="CZ145" s="2216">
        <v>4236</v>
      </c>
      <c r="DA145" s="2219">
        <v>4242</v>
      </c>
      <c r="DB145" s="2216">
        <v>4254</v>
      </c>
      <c r="DC145" s="2216">
        <v>4304</v>
      </c>
      <c r="DD145" s="2216">
        <v>4374</v>
      </c>
      <c r="DE145" s="2219">
        <v>4451</v>
      </c>
      <c r="DF145" s="2216">
        <v>4464</v>
      </c>
      <c r="DG145" s="2216">
        <v>4485</v>
      </c>
      <c r="DH145" s="2216">
        <v>4515</v>
      </c>
      <c r="DI145" s="2219">
        <v>4583</v>
      </c>
      <c r="DJ145" s="1937">
        <v>4592</v>
      </c>
      <c r="DK145" s="2216">
        <v>4630</v>
      </c>
      <c r="DL145" s="2216">
        <v>4597</v>
      </c>
      <c r="DM145" s="2219">
        <v>4654</v>
      </c>
      <c r="DN145" s="2216">
        <v>4590</v>
      </c>
      <c r="DO145" s="2216">
        <v>3573</v>
      </c>
      <c r="DP145" s="2216">
        <v>3585</v>
      </c>
      <c r="DQ145" s="2219">
        <v>3642</v>
      </c>
      <c r="DR145" s="2142"/>
      <c r="DS145" s="2142"/>
      <c r="DT145" s="2142"/>
      <c r="DU145" s="2142"/>
      <c r="DV145" s="2142"/>
      <c r="DW145" s="2142"/>
      <c r="DX145" s="2142"/>
      <c r="DY145" s="2142"/>
      <c r="DZ145" s="86"/>
    </row>
    <row r="146" spans="1:130" s="1543" customFormat="1" ht="15" hidden="1" customHeight="1" outlineLevel="1">
      <c r="A146" s="2290" t="s">
        <v>1453</v>
      </c>
      <c r="B146" s="2291"/>
      <c r="C146" s="2291"/>
      <c r="D146" s="2291"/>
      <c r="E146" s="2291"/>
      <c r="F146" s="2291"/>
      <c r="G146" s="2291"/>
      <c r="H146" s="2291"/>
      <c r="I146" s="2291"/>
      <c r="J146" s="2291"/>
      <c r="K146" s="2291"/>
      <c r="L146" s="2291"/>
      <c r="M146" s="2291"/>
      <c r="N146" s="2291"/>
      <c r="O146" s="2291"/>
      <c r="P146" s="2291">
        <v>-6.1420541645375581E-2</v>
      </c>
      <c r="Q146" s="2292" t="s">
        <v>1149</v>
      </c>
      <c r="R146" s="2291">
        <v>8.7496121625814105E-3</v>
      </c>
      <c r="S146" s="2291">
        <v>4.9827755905511584E-3</v>
      </c>
      <c r="T146" s="2293">
        <v>2.2831609230580918E-2</v>
      </c>
      <c r="U146" s="2293">
        <v>4.0275284260921529E-2</v>
      </c>
      <c r="V146" s="2293">
        <v>3.8198239659437361E-2</v>
      </c>
      <c r="W146" s="2293">
        <v>2.3605031307142532E-2</v>
      </c>
      <c r="X146" s="2293">
        <v>-0.16689222107941315</v>
      </c>
      <c r="Y146" s="2293"/>
      <c r="Z146" s="2293"/>
      <c r="AA146"/>
      <c r="AB146" s="3146"/>
      <c r="AC146" s="3146"/>
      <c r="AD146" s="3146"/>
      <c r="AE146" s="3146"/>
      <c r="AF146" s="3146"/>
      <c r="AG146" s="3146"/>
      <c r="AH146" s="1954"/>
      <c r="AI146" s="1953"/>
      <c r="AJ146" s="1954"/>
      <c r="AK146" s="2291"/>
      <c r="AL146" s="2291"/>
      <c r="AM146" s="2291"/>
      <c r="AN146" s="2291"/>
      <c r="AO146" s="2291"/>
      <c r="AP146" s="2291"/>
      <c r="AQ146" s="2291"/>
      <c r="AR146" s="2291"/>
      <c r="AS146" s="2291"/>
      <c r="AT146" s="2291"/>
      <c r="AU146" s="2291"/>
      <c r="AV146" s="2291"/>
      <c r="AW146" s="2291"/>
      <c r="AX146" s="2291"/>
      <c r="AY146" s="2291"/>
      <c r="AZ146" s="2291"/>
      <c r="BA146" s="2291"/>
      <c r="BB146" s="2291"/>
      <c r="BC146" s="2291"/>
      <c r="BD146" s="2291"/>
      <c r="BE146" s="2291"/>
      <c r="BF146" s="2291"/>
      <c r="BG146" s="2291"/>
      <c r="BH146" s="2291"/>
      <c r="BI146" s="2291"/>
      <c r="BJ146" s="2291"/>
      <c r="BK146" s="2291"/>
      <c r="BL146" s="2291"/>
      <c r="BM146" s="2291"/>
      <c r="BN146" s="2291"/>
      <c r="BO146" s="2291"/>
      <c r="BP146" s="2291"/>
      <c r="BQ146" s="2291"/>
      <c r="BR146" s="2294"/>
      <c r="BS146" s="2293"/>
      <c r="BT146" s="2293"/>
      <c r="BU146" s="2293"/>
      <c r="BV146" s="2294"/>
      <c r="BW146" s="2293"/>
      <c r="BX146" s="2293"/>
      <c r="BY146" s="2293"/>
      <c r="BZ146" s="2294"/>
      <c r="CA146" s="2293"/>
      <c r="CB146" s="2293"/>
      <c r="CC146" s="2293"/>
      <c r="CD146" s="2294"/>
      <c r="CE146" s="2293"/>
      <c r="CF146" s="2293"/>
      <c r="CG146" s="2295"/>
      <c r="CH146" s="2294">
        <v>-6.4009911212058679E-2</v>
      </c>
      <c r="CI146" s="2293">
        <v>-6.9427527405602874E-2</v>
      </c>
      <c r="CJ146" s="2293">
        <v>-5.9947165210323061E-2</v>
      </c>
      <c r="CK146" s="2295">
        <v>-5.2254098360655754E-2</v>
      </c>
      <c r="CL146" s="2305" t="s">
        <v>1149</v>
      </c>
      <c r="CM146" s="2292" t="s">
        <v>1149</v>
      </c>
      <c r="CN146" s="2292" t="s">
        <v>1149</v>
      </c>
      <c r="CO146" s="2292" t="s">
        <v>1149</v>
      </c>
      <c r="CP146" s="2294">
        <v>9.52380952380949E-3</v>
      </c>
      <c r="CQ146" s="2293">
        <v>9.675018605804997E-3</v>
      </c>
      <c r="CR146" s="2293">
        <v>6.4245119841859211E-3</v>
      </c>
      <c r="CS146" s="2293">
        <v>9.3896713615022609E-3</v>
      </c>
      <c r="CT146" s="2294">
        <v>1.2413108242303794E-2</v>
      </c>
      <c r="CU146" s="2293">
        <v>1.4742014742015197E-3</v>
      </c>
      <c r="CV146" s="2293">
        <v>-7.3655781978887447E-4</v>
      </c>
      <c r="CW146" s="2295">
        <v>6.854345165238751E-3</v>
      </c>
      <c r="CX146" s="2294">
        <v>6.1304561059343232E-3</v>
      </c>
      <c r="CY146" s="2293">
        <v>1.3002944062806776E-2</v>
      </c>
      <c r="CZ146" s="2293">
        <v>4.0786240786240713E-2</v>
      </c>
      <c r="DA146" s="2295">
        <v>3.1363967906637535E-2</v>
      </c>
      <c r="DB146" s="2293">
        <v>3.6802339751401458E-2</v>
      </c>
      <c r="DC146" s="2293">
        <v>4.2383143618309527E-2</v>
      </c>
      <c r="DD146" s="2293">
        <v>3.2577903682719622E-2</v>
      </c>
      <c r="DE146" s="2295">
        <v>4.9269212635549176E-2</v>
      </c>
      <c r="DF146" s="2293">
        <v>4.9365303244005565E-2</v>
      </c>
      <c r="DG146" s="2293">
        <v>4.2053903345725008E-2</v>
      </c>
      <c r="DH146" s="2293">
        <v>3.2235939643347145E-2</v>
      </c>
      <c r="DI146" s="2295">
        <v>2.965625702089425E-2</v>
      </c>
      <c r="DJ146" s="2294">
        <v>2.8673835125448077E-2</v>
      </c>
      <c r="DK146" s="2293">
        <v>3.2329988851727887E-2</v>
      </c>
      <c r="DL146" s="2293">
        <v>1.8161683277962304E-2</v>
      </c>
      <c r="DM146" s="2295">
        <v>1.5492035784420599E-2</v>
      </c>
      <c r="DN146" s="2293">
        <v>-4.3554006968637982E-4</v>
      </c>
      <c r="DO146" s="2293">
        <v>-0.22829373650107987</v>
      </c>
      <c r="DP146" s="2293">
        <v>-0.2201435718947139</v>
      </c>
      <c r="DQ146" s="2295">
        <v>-0.21744735711216157</v>
      </c>
      <c r="DR146" s="2142"/>
      <c r="DS146" s="2142"/>
      <c r="DT146" s="2142"/>
      <c r="DU146" s="2142"/>
      <c r="DV146" s="2142"/>
      <c r="DW146" s="2142"/>
      <c r="DX146" s="2142"/>
      <c r="DY146" s="2142"/>
      <c r="DZ146" s="86"/>
    </row>
    <row r="147" spans="1:130" s="1543" customFormat="1" ht="15" hidden="1" customHeight="1" outlineLevel="1">
      <c r="A147" s="2327"/>
      <c r="B147" s="3061"/>
      <c r="C147" s="3061"/>
      <c r="D147" s="3061"/>
      <c r="E147" s="3061"/>
      <c r="F147" s="3061"/>
      <c r="G147" s="3061"/>
      <c r="H147" s="3061"/>
      <c r="I147" s="3061"/>
      <c r="J147" s="3061"/>
      <c r="K147" s="3061"/>
      <c r="L147" s="3061"/>
      <c r="M147" s="3061"/>
      <c r="N147" s="3061"/>
      <c r="O147" s="3061"/>
      <c r="P147" s="3061"/>
      <c r="Q147" s="3061"/>
      <c r="R147" s="3061"/>
      <c r="S147" s="3061"/>
      <c r="T147" s="3061"/>
      <c r="U147" s="3061"/>
      <c r="V147" s="3061"/>
      <c r="W147" s="3061"/>
      <c r="X147" s="3061"/>
      <c r="Y147" s="3061"/>
      <c r="Z147" s="3249"/>
      <c r="AA147"/>
      <c r="AB147" s="3146"/>
      <c r="AC147" s="3146"/>
      <c r="AD147" s="3146"/>
      <c r="AE147" s="3146"/>
      <c r="AF147" s="3146"/>
      <c r="AG147" s="3146"/>
      <c r="AH147" s="1952"/>
      <c r="AI147" s="1927"/>
      <c r="AJ147" s="1952"/>
      <c r="AK147" s="3061"/>
      <c r="AL147" s="3061"/>
      <c r="AM147" s="3061"/>
      <c r="AN147" s="3061"/>
      <c r="AO147" s="3061"/>
      <c r="AP147" s="3061"/>
      <c r="AQ147" s="3061"/>
      <c r="AR147" s="3061"/>
      <c r="AS147" s="3061"/>
      <c r="AT147" s="3061"/>
      <c r="AU147" s="3061"/>
      <c r="AV147" s="3061"/>
      <c r="AW147" s="3061"/>
      <c r="AX147" s="3061"/>
      <c r="AY147" s="3061"/>
      <c r="AZ147" s="3061"/>
      <c r="BA147" s="3061"/>
      <c r="BB147" s="3061"/>
      <c r="BC147" s="3061"/>
      <c r="BD147" s="3061"/>
      <c r="BE147" s="3061"/>
      <c r="BF147" s="3061"/>
      <c r="BG147" s="3061"/>
      <c r="BH147" s="3061"/>
      <c r="BI147" s="3061"/>
      <c r="BJ147" s="3061"/>
      <c r="BK147" s="3061"/>
      <c r="BL147" s="3061"/>
      <c r="BM147" s="3061"/>
      <c r="BN147" s="3061"/>
      <c r="BO147" s="3061"/>
      <c r="BP147" s="3061"/>
      <c r="BQ147" s="3061"/>
      <c r="BR147" s="3061"/>
      <c r="BS147" s="3061"/>
      <c r="BT147" s="3061"/>
      <c r="BU147" s="3061"/>
      <c r="BV147" s="3061"/>
      <c r="BW147" s="3061"/>
      <c r="BX147" s="3061"/>
      <c r="BY147" s="3061"/>
      <c r="BZ147" s="3061"/>
      <c r="CA147" s="3061"/>
      <c r="CB147" s="3061"/>
      <c r="CC147" s="3061"/>
      <c r="CD147" s="3061"/>
      <c r="CE147" s="3061"/>
      <c r="CF147" s="3061"/>
      <c r="CG147" s="3061"/>
      <c r="CH147" s="2306"/>
      <c r="CI147" s="2307"/>
      <c r="CJ147" s="2307"/>
      <c r="CK147" s="2308"/>
      <c r="CL147" s="2309"/>
      <c r="CM147" s="3061"/>
      <c r="CN147" s="3061"/>
      <c r="CO147" s="2310"/>
      <c r="CP147" s="2311"/>
      <c r="CQ147" s="2310"/>
      <c r="CR147" s="3061"/>
      <c r="CS147" s="3061"/>
      <c r="CT147" s="3061"/>
      <c r="CU147" s="3061"/>
      <c r="CV147" s="3061"/>
      <c r="CW147" s="3061"/>
      <c r="CX147" s="3061"/>
      <c r="CY147" s="3061"/>
      <c r="CZ147" s="3061"/>
      <c r="DA147" s="2961"/>
      <c r="DB147" s="3061"/>
      <c r="DC147" s="3061"/>
      <c r="DD147" s="3061"/>
      <c r="DE147" s="2961"/>
      <c r="DF147" s="3061"/>
      <c r="DG147" s="3061"/>
      <c r="DH147" s="3061"/>
      <c r="DI147" s="2961"/>
      <c r="DJ147" s="3061"/>
      <c r="DK147" s="3061"/>
      <c r="DL147" s="3061"/>
      <c r="DM147" s="2961"/>
      <c r="DN147" s="1561"/>
      <c r="DO147" s="1561"/>
      <c r="DP147" s="1561"/>
      <c r="DQ147" s="2961"/>
      <c r="DR147" s="2142"/>
      <c r="DS147" s="2142"/>
      <c r="DT147" s="2142"/>
      <c r="DU147" s="2142"/>
      <c r="DV147" s="2142"/>
      <c r="DW147" s="2142"/>
      <c r="DX147" s="2142"/>
      <c r="DY147" s="2142"/>
      <c r="DZ147" s="86"/>
    </row>
    <row r="148" spans="1:130" s="1543" customFormat="1" ht="15" hidden="1" customHeight="1" outlineLevel="1">
      <c r="A148" s="2296" t="s">
        <v>1562</v>
      </c>
      <c r="B148" s="3061"/>
      <c r="C148" s="3061"/>
      <c r="D148" s="3061"/>
      <c r="E148" s="3061"/>
      <c r="F148" s="3061"/>
      <c r="G148" s="3061"/>
      <c r="H148" s="3061"/>
      <c r="I148" s="3061"/>
      <c r="J148" s="3061"/>
      <c r="K148" s="3061"/>
      <c r="L148" s="3061"/>
      <c r="M148" s="3061"/>
      <c r="N148" s="3061"/>
      <c r="O148" s="3061"/>
      <c r="P148" s="3061"/>
      <c r="Q148" s="2141">
        <v>6195</v>
      </c>
      <c r="R148" s="3061">
        <v>6601.9</v>
      </c>
      <c r="S148" s="3061">
        <v>7599</v>
      </c>
      <c r="T148" s="2141">
        <v>7957</v>
      </c>
      <c r="U148" s="2141">
        <v>8140</v>
      </c>
      <c r="V148" s="2141">
        <v>8324</v>
      </c>
      <c r="W148" s="2141">
        <v>8165</v>
      </c>
      <c r="X148" s="2528"/>
      <c r="Y148" s="3061"/>
      <c r="Z148" s="3249"/>
      <c r="AA148"/>
      <c r="AB148" s="3146"/>
      <c r="AC148" s="3146"/>
      <c r="AD148" s="3146"/>
      <c r="AE148" s="3146"/>
      <c r="AF148" s="3146"/>
      <c r="AG148" s="3146"/>
      <c r="AH148" s="1952"/>
      <c r="AI148" s="2125"/>
      <c r="AJ148" s="1952"/>
      <c r="AK148" s="3061"/>
      <c r="AL148" s="3061"/>
      <c r="AM148" s="3061"/>
      <c r="AN148" s="3061"/>
      <c r="AO148" s="3061"/>
      <c r="AP148" s="3061"/>
      <c r="AQ148" s="3061"/>
      <c r="AR148" s="3061"/>
      <c r="AS148" s="3061"/>
      <c r="AT148" s="3061"/>
      <c r="AU148" s="3061"/>
      <c r="AV148" s="3061"/>
      <c r="AW148" s="3061"/>
      <c r="AX148" s="3061"/>
      <c r="AY148" s="3061"/>
      <c r="AZ148" s="3061"/>
      <c r="BA148" s="3061"/>
      <c r="BB148" s="3061"/>
      <c r="BC148" s="3061"/>
      <c r="BD148" s="3061"/>
      <c r="BE148" s="3061"/>
      <c r="BF148" s="3061"/>
      <c r="BG148" s="3061"/>
      <c r="BH148" s="3061"/>
      <c r="BI148" s="3061"/>
      <c r="BJ148" s="3061"/>
      <c r="BK148" s="3061"/>
      <c r="BL148" s="3061"/>
      <c r="BM148" s="3061"/>
      <c r="BN148" s="3061"/>
      <c r="BO148" s="3061"/>
      <c r="BP148" s="3061"/>
      <c r="BQ148" s="3061"/>
      <c r="BR148" s="1936"/>
      <c r="BS148" s="2141"/>
      <c r="BT148" s="2141"/>
      <c r="BU148" s="2141"/>
      <c r="BV148" s="1936"/>
      <c r="BW148" s="2141"/>
      <c r="BX148" s="2141"/>
      <c r="BY148" s="2141"/>
      <c r="BZ148" s="1936"/>
      <c r="CA148" s="2141"/>
      <c r="CB148" s="2141"/>
      <c r="CC148" s="2141"/>
      <c r="CD148" s="2312"/>
      <c r="CE148" s="2313"/>
      <c r="CF148" s="2313"/>
      <c r="CG148" s="2314"/>
      <c r="CH148" s="1936"/>
      <c r="CI148" s="2141"/>
      <c r="CJ148" s="2141"/>
      <c r="CK148" s="3061"/>
      <c r="CL148" s="1936">
        <v>1495</v>
      </c>
      <c r="CM148" s="2141">
        <v>1533</v>
      </c>
      <c r="CN148" s="2141">
        <v>1561</v>
      </c>
      <c r="CO148" s="2141">
        <v>1606</v>
      </c>
      <c r="CP148" s="1936">
        <v>1572.9</v>
      </c>
      <c r="CQ148" s="2141">
        <v>1620</v>
      </c>
      <c r="CR148" s="2141">
        <v>1674</v>
      </c>
      <c r="CS148" s="2141">
        <v>1735</v>
      </c>
      <c r="CT148" s="1936">
        <v>1774</v>
      </c>
      <c r="CU148" s="2141">
        <v>1900</v>
      </c>
      <c r="CV148" s="2141">
        <v>1935</v>
      </c>
      <c r="CW148" s="3061">
        <v>1990</v>
      </c>
      <c r="CX148" s="1936">
        <v>1969</v>
      </c>
      <c r="CY148" s="2141">
        <v>1977</v>
      </c>
      <c r="CZ148" s="2141">
        <v>2007</v>
      </c>
      <c r="DA148" s="2472">
        <v>2004</v>
      </c>
      <c r="DB148" s="2141">
        <v>2007</v>
      </c>
      <c r="DC148" s="2141">
        <v>2004</v>
      </c>
      <c r="DD148" s="2141">
        <v>2048</v>
      </c>
      <c r="DE148" s="2472">
        <v>2081</v>
      </c>
      <c r="DF148" s="2141">
        <v>2071</v>
      </c>
      <c r="DG148" s="2141">
        <v>2075</v>
      </c>
      <c r="DH148" s="2141">
        <v>2067</v>
      </c>
      <c r="DI148" s="2472">
        <v>2111</v>
      </c>
      <c r="DJ148" s="2501">
        <v>2048</v>
      </c>
      <c r="DK148" s="2502">
        <v>2030</v>
      </c>
      <c r="DL148" s="2502">
        <v>2012</v>
      </c>
      <c r="DM148" s="2503">
        <v>2075</v>
      </c>
      <c r="DN148" s="2527"/>
      <c r="DO148" s="2527"/>
      <c r="DP148" s="2527"/>
      <c r="DQ148" s="3044"/>
      <c r="DR148" s="2142"/>
      <c r="DS148" s="2142"/>
      <c r="DT148" s="2142"/>
      <c r="DU148" s="2142"/>
      <c r="DV148" s="2142"/>
      <c r="DW148" s="2142"/>
      <c r="DX148" s="2142"/>
      <c r="DY148" s="2142"/>
      <c r="DZ148" s="86"/>
    </row>
    <row r="149" spans="1:130" s="1543" customFormat="1" ht="15" hidden="1" customHeight="1" outlineLevel="1">
      <c r="A149" s="2290" t="s">
        <v>1453</v>
      </c>
      <c r="B149" s="3061"/>
      <c r="C149" s="3061"/>
      <c r="D149" s="3061"/>
      <c r="E149" s="3061"/>
      <c r="F149" s="3061"/>
      <c r="G149" s="3061"/>
      <c r="H149" s="3061"/>
      <c r="I149" s="3061"/>
      <c r="J149" s="3061"/>
      <c r="K149" s="3061"/>
      <c r="L149" s="3061"/>
      <c r="M149" s="3061"/>
      <c r="N149" s="3061"/>
      <c r="O149" s="3061"/>
      <c r="P149" s="3061"/>
      <c r="Q149" s="2207"/>
      <c r="R149" s="3061">
        <v>6.568200161420501E-2</v>
      </c>
      <c r="S149" s="3061">
        <v>0.15103227858646751</v>
      </c>
      <c r="T149" s="2207">
        <v>4.7111462034478135E-2</v>
      </c>
      <c r="U149" s="2315" t="s">
        <v>1149</v>
      </c>
      <c r="V149" s="2207">
        <v>2.2604422604422636E-2</v>
      </c>
      <c r="W149" s="2207">
        <v>-1.9101393560788105E-2</v>
      </c>
      <c r="X149" s="2529"/>
      <c r="Y149" s="3061"/>
      <c r="Z149" s="3249"/>
      <c r="AA149"/>
      <c r="AB149" s="3146"/>
      <c r="AC149" s="3146"/>
      <c r="AD149" s="3146"/>
      <c r="AE149" s="3146"/>
      <c r="AF149" s="3146"/>
      <c r="AG149" s="3146"/>
      <c r="AH149" s="1927"/>
      <c r="AI149" s="1927"/>
      <c r="AJ149" s="1927"/>
      <c r="AK149" s="3061"/>
      <c r="AL149" s="3061"/>
      <c r="AM149" s="3061"/>
      <c r="AN149" s="3061"/>
      <c r="AO149" s="3061"/>
      <c r="AP149" s="3061"/>
      <c r="AQ149" s="3061"/>
      <c r="AR149" s="3061"/>
      <c r="AS149" s="3061"/>
      <c r="AT149" s="3061"/>
      <c r="AU149" s="3061"/>
      <c r="AV149" s="3061"/>
      <c r="AW149" s="3061"/>
      <c r="AX149" s="3061"/>
      <c r="AY149" s="3061"/>
      <c r="AZ149" s="3061"/>
      <c r="BA149" s="3061"/>
      <c r="BB149" s="3061"/>
      <c r="BC149" s="3061"/>
      <c r="BD149" s="3061"/>
      <c r="BE149" s="3061"/>
      <c r="BF149" s="3061"/>
      <c r="BG149" s="3061"/>
      <c r="BH149" s="3061"/>
      <c r="BI149" s="3061"/>
      <c r="BJ149" s="3061"/>
      <c r="BK149" s="3061"/>
      <c r="BL149" s="3061"/>
      <c r="BM149" s="3061"/>
      <c r="BN149" s="3061"/>
      <c r="BO149" s="3061"/>
      <c r="BP149" s="3061"/>
      <c r="BQ149" s="3061"/>
      <c r="BR149" s="2208"/>
      <c r="BS149" s="2207"/>
      <c r="BT149" s="2207"/>
      <c r="BU149" s="2207"/>
      <c r="BV149" s="2208"/>
      <c r="BW149" s="2207"/>
      <c r="BX149" s="2207"/>
      <c r="BY149" s="2207"/>
      <c r="BZ149" s="2208"/>
      <c r="CA149" s="2207"/>
      <c r="CB149" s="2207"/>
      <c r="CC149" s="2207"/>
      <c r="CD149" s="2253"/>
      <c r="CE149" s="2222"/>
      <c r="CF149" s="2222"/>
      <c r="CG149" s="2223"/>
      <c r="CH149" s="2208"/>
      <c r="CI149" s="2207"/>
      <c r="CJ149" s="2207"/>
      <c r="CK149" s="2209"/>
      <c r="CL149" s="2208"/>
      <c r="CM149" s="2207"/>
      <c r="CN149" s="2207"/>
      <c r="CO149" s="2207"/>
      <c r="CP149" s="2208">
        <v>5.2107023411371189E-2</v>
      </c>
      <c r="CQ149" s="2207">
        <v>5.6751467710371761E-2</v>
      </c>
      <c r="CR149" s="2207">
        <v>7.238949391415761E-2</v>
      </c>
      <c r="CS149" s="2207">
        <v>8.0323785803237957E-2</v>
      </c>
      <c r="CT149" s="2208">
        <v>0.12785301036302354</v>
      </c>
      <c r="CU149" s="2207">
        <v>0.17283950617283961</v>
      </c>
      <c r="CV149" s="2207">
        <v>0.15591397849462374</v>
      </c>
      <c r="CW149" s="2209">
        <v>0.14697406340057628</v>
      </c>
      <c r="CX149" s="2208">
        <v>0.10992108229988728</v>
      </c>
      <c r="CY149" s="2293">
        <v>4.0526315789473744E-2</v>
      </c>
      <c r="CZ149" s="2293">
        <v>3.7209302325581506E-2</v>
      </c>
      <c r="DA149" s="2295">
        <v>7.0351758793969488E-3</v>
      </c>
      <c r="DB149" s="2293">
        <v>1.9299136617572321E-2</v>
      </c>
      <c r="DC149" s="2293">
        <v>1.365705614567525E-2</v>
      </c>
      <c r="DD149" s="2293">
        <v>2.0428500249128012E-2</v>
      </c>
      <c r="DE149" s="2295">
        <v>3.8423153692614731E-2</v>
      </c>
      <c r="DF149" s="2293">
        <v>3.1888390632785146E-2</v>
      </c>
      <c r="DG149" s="2207">
        <v>3.5429141716566859E-2</v>
      </c>
      <c r="DH149" s="2207">
        <v>9.27734375E-3</v>
      </c>
      <c r="DI149" s="2295">
        <v>1.4416146083613635E-2</v>
      </c>
      <c r="DJ149" s="2208">
        <v>-1.1105746016417228E-2</v>
      </c>
      <c r="DK149" s="2207">
        <v>-2.168674698795181E-2</v>
      </c>
      <c r="DL149" s="2207">
        <v>-2.6608611514271852E-2</v>
      </c>
      <c r="DM149" s="2209">
        <v>-1.7053529133112311E-2</v>
      </c>
      <c r="DN149" s="2529"/>
      <c r="DO149" s="2529"/>
      <c r="DP149" s="2529"/>
      <c r="DQ149" s="3045"/>
      <c r="DR149" s="2142"/>
      <c r="DS149" s="2142"/>
      <c r="DT149" s="2142"/>
      <c r="DU149" s="2142"/>
      <c r="DV149" s="2142"/>
      <c r="DW149" s="2142"/>
      <c r="DX149" s="2142"/>
      <c r="DY149" s="2142"/>
      <c r="DZ149" s="86"/>
    </row>
    <row r="150" spans="1:130" s="1543" customFormat="1" ht="15" hidden="1" customHeight="1" outlineLevel="1">
      <c r="A150" s="2296" t="s">
        <v>1563</v>
      </c>
      <c r="B150" s="3061"/>
      <c r="C150" s="3061"/>
      <c r="D150" s="3061"/>
      <c r="E150" s="3061"/>
      <c r="F150" s="3061"/>
      <c r="G150" s="3061"/>
      <c r="H150" s="3061"/>
      <c r="I150" s="3061"/>
      <c r="J150" s="3061"/>
      <c r="K150" s="3061"/>
      <c r="L150" s="3061"/>
      <c r="M150" s="3061"/>
      <c r="N150" s="3061"/>
      <c r="O150" s="3061"/>
      <c r="P150" s="3061"/>
      <c r="Q150" s="2141">
        <v>9094</v>
      </c>
      <c r="R150" s="3061">
        <v>8714.1</v>
      </c>
      <c r="S150" s="3061">
        <v>8023</v>
      </c>
      <c r="T150" s="2141">
        <v>7191</v>
      </c>
      <c r="U150" s="2141">
        <v>6022</v>
      </c>
      <c r="V150" s="2141">
        <v>5325</v>
      </c>
      <c r="W150" s="2141">
        <v>4778</v>
      </c>
      <c r="X150" s="2528"/>
      <c r="Y150" s="3061"/>
      <c r="Z150" s="3249"/>
      <c r="AA150"/>
      <c r="AB150" s="3146"/>
      <c r="AC150" s="3146"/>
      <c r="AD150" s="3146"/>
      <c r="AE150" s="3146"/>
      <c r="AF150" s="3146"/>
      <c r="AG150" s="3146"/>
      <c r="AH150" s="1952"/>
      <c r="AI150" s="2125"/>
      <c r="AJ150" s="1952"/>
      <c r="AK150" s="3061"/>
      <c r="AL150" s="3061"/>
      <c r="AM150" s="3061"/>
      <c r="AN150" s="3061"/>
      <c r="AO150" s="3061"/>
      <c r="AP150" s="3061"/>
      <c r="AQ150" s="3061"/>
      <c r="AR150" s="3061"/>
      <c r="AS150" s="3061"/>
      <c r="AT150" s="3061"/>
      <c r="AU150" s="3061"/>
      <c r="AV150" s="3061"/>
      <c r="AW150" s="3061"/>
      <c r="AX150" s="3061"/>
      <c r="AY150" s="3061"/>
      <c r="AZ150" s="3061"/>
      <c r="BA150" s="3061"/>
      <c r="BB150" s="3061"/>
      <c r="BC150" s="3061"/>
      <c r="BD150" s="3061"/>
      <c r="BE150" s="3061"/>
      <c r="BF150" s="3061"/>
      <c r="BG150" s="3061"/>
      <c r="BH150" s="3061"/>
      <c r="BI150" s="3061"/>
      <c r="BJ150" s="3061"/>
      <c r="BK150" s="3061"/>
      <c r="BL150" s="3061"/>
      <c r="BM150" s="3061"/>
      <c r="BN150" s="3061"/>
      <c r="BO150" s="3061"/>
      <c r="BP150" s="3061"/>
      <c r="BQ150" s="3061"/>
      <c r="BR150" s="1936"/>
      <c r="BS150" s="2141"/>
      <c r="BT150" s="2141"/>
      <c r="BU150" s="2141"/>
      <c r="BV150" s="1936"/>
      <c r="BW150" s="2141"/>
      <c r="BX150" s="2141"/>
      <c r="BY150" s="2141"/>
      <c r="BZ150" s="1936"/>
      <c r="CA150" s="2141"/>
      <c r="CB150" s="2141"/>
      <c r="CC150" s="2141"/>
      <c r="CD150" s="2312"/>
      <c r="CE150" s="2313"/>
      <c r="CF150" s="2313"/>
      <c r="CG150" s="2314"/>
      <c r="CH150" s="1936"/>
      <c r="CI150" s="2141"/>
      <c r="CJ150" s="2141"/>
      <c r="CK150" s="3061"/>
      <c r="CL150" s="1936">
        <v>2325</v>
      </c>
      <c r="CM150" s="2141">
        <v>2247</v>
      </c>
      <c r="CN150" s="2141">
        <v>2308</v>
      </c>
      <c r="CO150" s="2141">
        <v>2214</v>
      </c>
      <c r="CP150" s="1936">
        <v>2206.1</v>
      </c>
      <c r="CQ150" s="2141">
        <v>2199</v>
      </c>
      <c r="CR150" s="2141">
        <v>2167</v>
      </c>
      <c r="CS150" s="2141">
        <v>2142</v>
      </c>
      <c r="CT150" s="1936">
        <v>2042</v>
      </c>
      <c r="CU150" s="2141">
        <v>2056</v>
      </c>
      <c r="CV150" s="2141">
        <v>1986</v>
      </c>
      <c r="CW150" s="3061">
        <v>1939</v>
      </c>
      <c r="CX150" s="1936">
        <v>1883</v>
      </c>
      <c r="CY150" s="2141">
        <v>1875</v>
      </c>
      <c r="CZ150" s="2141">
        <v>1800</v>
      </c>
      <c r="DA150" s="2472">
        <v>1633</v>
      </c>
      <c r="DB150" s="2141">
        <v>1583</v>
      </c>
      <c r="DC150" s="2141">
        <v>1509</v>
      </c>
      <c r="DD150" s="2141">
        <v>1485</v>
      </c>
      <c r="DE150" s="2472">
        <v>1445</v>
      </c>
      <c r="DF150" s="2141">
        <v>1400</v>
      </c>
      <c r="DG150" s="2141">
        <v>1369</v>
      </c>
      <c r="DH150" s="2141">
        <v>1308</v>
      </c>
      <c r="DI150" s="2472">
        <v>1248</v>
      </c>
      <c r="DJ150" s="2501">
        <v>1215</v>
      </c>
      <c r="DK150" s="2502">
        <v>1195</v>
      </c>
      <c r="DL150" s="2502">
        <v>1196</v>
      </c>
      <c r="DM150" s="2503">
        <v>1172</v>
      </c>
      <c r="DN150" s="2527"/>
      <c r="DO150" s="2527"/>
      <c r="DP150" s="2527"/>
      <c r="DQ150" s="3044"/>
      <c r="DR150" s="2142"/>
      <c r="DS150" s="2142"/>
      <c r="DT150" s="2142"/>
      <c r="DU150" s="2142"/>
      <c r="DV150" s="2142"/>
      <c r="DW150" s="2142"/>
      <c r="DX150" s="2142"/>
      <c r="DY150" s="2142"/>
      <c r="DZ150" s="86"/>
    </row>
    <row r="151" spans="1:130" s="1543" customFormat="1" ht="15" hidden="1" customHeight="1" outlineLevel="1">
      <c r="A151" s="2290" t="s">
        <v>1453</v>
      </c>
      <c r="B151" s="3061"/>
      <c r="C151" s="3061"/>
      <c r="D151" s="3061"/>
      <c r="E151" s="3061"/>
      <c r="F151" s="3061"/>
      <c r="G151" s="3061"/>
      <c r="H151" s="3061"/>
      <c r="I151" s="3061"/>
      <c r="J151" s="3061"/>
      <c r="K151" s="3061"/>
      <c r="L151" s="3061"/>
      <c r="M151" s="3061"/>
      <c r="N151" s="3061"/>
      <c r="O151" s="3061"/>
      <c r="P151" s="3061"/>
      <c r="Q151" s="2207"/>
      <c r="R151" s="3061">
        <v>-4.1774796569166495E-2</v>
      </c>
      <c r="S151" s="3061">
        <v>-7.9308247552816735E-2</v>
      </c>
      <c r="T151" s="2207">
        <v>-0.10370185716066305</v>
      </c>
      <c r="U151" s="2315" t="s">
        <v>1149</v>
      </c>
      <c r="V151" s="2207">
        <v>-0.11574227831285289</v>
      </c>
      <c r="W151" s="2207">
        <v>-0.10272300469483564</v>
      </c>
      <c r="X151" s="2529"/>
      <c r="Y151" s="3061"/>
      <c r="Z151" s="3249"/>
      <c r="AA151"/>
      <c r="AB151" s="3146"/>
      <c r="AC151" s="3146"/>
      <c r="AD151" s="3146"/>
      <c r="AE151" s="3146"/>
      <c r="AF151" s="3146"/>
      <c r="AG151" s="3146"/>
      <c r="AH151" s="1927"/>
      <c r="AI151" s="1927"/>
      <c r="AJ151" s="1927"/>
      <c r="AK151" s="3061"/>
      <c r="AL151" s="3061"/>
      <c r="AM151" s="3061"/>
      <c r="AN151" s="3061"/>
      <c r="AO151" s="3061"/>
      <c r="AP151" s="3061"/>
      <c r="AQ151" s="3061"/>
      <c r="AR151" s="3061"/>
      <c r="AS151" s="3061"/>
      <c r="AT151" s="3061"/>
      <c r="AU151" s="3061"/>
      <c r="AV151" s="3061"/>
      <c r="AW151" s="3061"/>
      <c r="AX151" s="3061"/>
      <c r="AY151" s="3061"/>
      <c r="AZ151" s="3061"/>
      <c r="BA151" s="3061"/>
      <c r="BB151" s="3061"/>
      <c r="BC151" s="3061"/>
      <c r="BD151" s="3061"/>
      <c r="BE151" s="3061"/>
      <c r="BF151" s="3061"/>
      <c r="BG151" s="3061"/>
      <c r="BH151" s="3061"/>
      <c r="BI151" s="3061"/>
      <c r="BJ151" s="3061"/>
      <c r="BK151" s="3061"/>
      <c r="BL151" s="3061"/>
      <c r="BM151" s="3061"/>
      <c r="BN151" s="3061"/>
      <c r="BO151" s="3061"/>
      <c r="BP151" s="3061"/>
      <c r="BQ151" s="3061"/>
      <c r="BR151" s="2208"/>
      <c r="BS151" s="2207"/>
      <c r="BT151" s="2207"/>
      <c r="BU151" s="2207"/>
      <c r="BV151" s="2208"/>
      <c r="BW151" s="2207"/>
      <c r="BX151" s="2207"/>
      <c r="BY151" s="2207"/>
      <c r="BZ151" s="2208"/>
      <c r="CA151" s="2207"/>
      <c r="CB151" s="2207"/>
      <c r="CC151" s="2207"/>
      <c r="CD151" s="2253"/>
      <c r="CE151" s="2222"/>
      <c r="CF151" s="2222"/>
      <c r="CG151" s="2223"/>
      <c r="CH151" s="2208"/>
      <c r="CI151" s="2207"/>
      <c r="CJ151" s="2207"/>
      <c r="CK151" s="2209"/>
      <c r="CL151" s="2208"/>
      <c r="CM151" s="2207"/>
      <c r="CN151" s="2207"/>
      <c r="CO151" s="2207"/>
      <c r="CP151" s="2208">
        <v>-5.1139784946236611E-2</v>
      </c>
      <c r="CQ151" s="2207">
        <v>-2.1361815754339153E-2</v>
      </c>
      <c r="CR151" s="2207">
        <v>-6.1091854419410785E-2</v>
      </c>
      <c r="CS151" s="2207">
        <v>-3.2520325203251987E-2</v>
      </c>
      <c r="CT151" s="2208">
        <v>-7.4384660713476269E-2</v>
      </c>
      <c r="CU151" s="2207">
        <v>-6.5029558890404737E-2</v>
      </c>
      <c r="CV151" s="2207">
        <v>-8.3525611444393189E-2</v>
      </c>
      <c r="CW151" s="2209">
        <v>-9.4771241830065356E-2</v>
      </c>
      <c r="CX151" s="2208">
        <v>-7.7864838393731595E-2</v>
      </c>
      <c r="CY151" s="2293">
        <v>-8.8035019455252939E-2</v>
      </c>
      <c r="CZ151" s="2293">
        <v>-9.3655589123867067E-2</v>
      </c>
      <c r="DA151" s="2295">
        <v>-0.15781330582774622</v>
      </c>
      <c r="DB151" s="2293">
        <v>-0.15932023366967607</v>
      </c>
      <c r="DC151" s="2293">
        <v>-0.19520000000000004</v>
      </c>
      <c r="DD151" s="2293">
        <v>-0.17500000000000004</v>
      </c>
      <c r="DE151" s="2295">
        <v>-0.11512553582363749</v>
      </c>
      <c r="DF151" s="2293">
        <v>-0.1156032849020846</v>
      </c>
      <c r="DG151" s="2207">
        <v>-9.2776673293571865E-2</v>
      </c>
      <c r="DH151" s="2207">
        <v>-0.11919191919191918</v>
      </c>
      <c r="DI151" s="2295">
        <v>-0.13633217993079583</v>
      </c>
      <c r="DJ151" s="2208">
        <v>-0.13214285714285712</v>
      </c>
      <c r="DK151" s="2207">
        <v>-0.127100073046019</v>
      </c>
      <c r="DL151" s="2207">
        <v>-8.5626911314984677E-2</v>
      </c>
      <c r="DM151" s="2209">
        <v>-6.0897435897435903E-2</v>
      </c>
      <c r="DN151" s="2529"/>
      <c r="DO151" s="2529"/>
      <c r="DP151" s="2529"/>
      <c r="DQ151" s="3045"/>
      <c r="DR151" s="2142"/>
      <c r="DS151" s="2142"/>
      <c r="DT151" s="2142"/>
      <c r="DU151" s="2142"/>
      <c r="DV151" s="2142"/>
      <c r="DW151" s="2142"/>
      <c r="DX151" s="2142"/>
      <c r="DY151" s="2142"/>
      <c r="DZ151" s="86"/>
    </row>
    <row r="152" spans="1:130" ht="15" hidden="1" customHeight="1" outlineLevel="1">
      <c r="A152" s="2301" t="s">
        <v>1564</v>
      </c>
      <c r="B152" s="2162"/>
      <c r="C152" s="2162"/>
      <c r="D152" s="2162"/>
      <c r="E152" s="2162"/>
      <c r="F152" s="2162"/>
      <c r="G152" s="2162"/>
      <c r="H152" s="2162"/>
      <c r="I152" s="2162"/>
      <c r="J152" s="2162"/>
      <c r="K152" s="2162"/>
      <c r="L152" s="2162"/>
      <c r="M152" s="2162"/>
      <c r="N152" s="2162"/>
      <c r="O152" s="2162">
        <v>15710</v>
      </c>
      <c r="P152" s="2162">
        <v>17136</v>
      </c>
      <c r="Q152" s="2216">
        <v>15289</v>
      </c>
      <c r="R152" s="2162">
        <v>15316</v>
      </c>
      <c r="S152" s="2162">
        <v>15622</v>
      </c>
      <c r="T152" s="2216">
        <v>15148</v>
      </c>
      <c r="U152" s="2216">
        <v>14162</v>
      </c>
      <c r="V152" s="2216">
        <v>13649</v>
      </c>
      <c r="W152" s="2216">
        <v>12943</v>
      </c>
      <c r="X152" s="2216">
        <v>11826</v>
      </c>
      <c r="Y152" s="3061"/>
      <c r="Z152" s="3249"/>
      <c r="AA152"/>
      <c r="AB152" s="3146"/>
      <c r="AC152" s="3146"/>
      <c r="AD152" s="3146"/>
      <c r="AE152" s="3146"/>
      <c r="AF152" s="3146"/>
      <c r="AG152" s="3146"/>
      <c r="AH152" s="1955"/>
      <c r="AI152" s="2125"/>
      <c r="AJ152" s="1955"/>
      <c r="AK152" s="2162"/>
      <c r="AL152" s="2162"/>
      <c r="AM152" s="2162"/>
      <c r="AN152" s="2162"/>
      <c r="AO152" s="2162"/>
      <c r="AP152" s="2162"/>
      <c r="AQ152" s="2162"/>
      <c r="AR152" s="2162"/>
      <c r="AS152" s="2162"/>
      <c r="AT152" s="2162"/>
      <c r="AU152" s="2162"/>
      <c r="AV152" s="2162"/>
      <c r="AW152" s="2162"/>
      <c r="AX152" s="2162"/>
      <c r="AY152" s="2162"/>
      <c r="AZ152" s="2162"/>
      <c r="BA152" s="2162"/>
      <c r="BB152" s="2162"/>
      <c r="BC152" s="2162"/>
      <c r="BD152" s="2162"/>
      <c r="BE152" s="2162"/>
      <c r="BF152" s="2162"/>
      <c r="BG152" s="2162"/>
      <c r="BH152" s="2162"/>
      <c r="BI152" s="2162"/>
      <c r="BJ152" s="2162"/>
      <c r="BK152" s="2162"/>
      <c r="BL152" s="2162"/>
      <c r="BM152" s="2162"/>
      <c r="BN152" s="2162"/>
      <c r="BO152" s="2162"/>
      <c r="BP152" s="2162"/>
      <c r="BQ152" s="2162"/>
      <c r="BR152" s="1937"/>
      <c r="BS152" s="2216"/>
      <c r="BT152" s="2216"/>
      <c r="BU152" s="2216"/>
      <c r="BV152" s="1937"/>
      <c r="BW152" s="2216"/>
      <c r="BX152" s="2216"/>
      <c r="BY152" s="2216"/>
      <c r="BZ152" s="1937"/>
      <c r="CA152" s="2216"/>
      <c r="CB152" s="2216"/>
      <c r="CC152" s="2216"/>
      <c r="CD152" s="2302">
        <v>3797</v>
      </c>
      <c r="CE152" s="2303">
        <v>3908</v>
      </c>
      <c r="CF152" s="2303">
        <v>3984</v>
      </c>
      <c r="CG152" s="2304">
        <v>4021</v>
      </c>
      <c r="CH152" s="1937">
        <v>4216</v>
      </c>
      <c r="CI152" s="2216">
        <v>4316</v>
      </c>
      <c r="CJ152" s="2216">
        <v>4359</v>
      </c>
      <c r="CK152" s="2219">
        <v>4245</v>
      </c>
      <c r="CL152" s="1937">
        <v>3820</v>
      </c>
      <c r="CM152" s="2216">
        <v>3780</v>
      </c>
      <c r="CN152" s="2216">
        <v>3869</v>
      </c>
      <c r="CO152" s="2216">
        <v>3820</v>
      </c>
      <c r="CP152" s="1937">
        <v>3779</v>
      </c>
      <c r="CQ152" s="2216">
        <v>3819</v>
      </c>
      <c r="CR152" s="2216">
        <v>3841</v>
      </c>
      <c r="CS152" s="2216">
        <v>3877</v>
      </c>
      <c r="CT152" s="1937">
        <v>3816</v>
      </c>
      <c r="CU152" s="2216">
        <v>3956</v>
      </c>
      <c r="CV152" s="2216">
        <v>3921</v>
      </c>
      <c r="CW152" s="2219">
        <v>3929</v>
      </c>
      <c r="CX152" s="1937">
        <v>3852</v>
      </c>
      <c r="CY152" s="2216">
        <v>3852</v>
      </c>
      <c r="CZ152" s="2216">
        <v>3807</v>
      </c>
      <c r="DA152" s="2219">
        <v>3637</v>
      </c>
      <c r="DB152" s="2216">
        <v>3590</v>
      </c>
      <c r="DC152" s="2216">
        <v>3513</v>
      </c>
      <c r="DD152" s="2216">
        <v>3533</v>
      </c>
      <c r="DE152" s="2219">
        <v>3526</v>
      </c>
      <c r="DF152" s="2216">
        <v>3471</v>
      </c>
      <c r="DG152" s="2216">
        <v>3444</v>
      </c>
      <c r="DH152" s="2216">
        <v>3375</v>
      </c>
      <c r="DI152" s="2219">
        <v>3359</v>
      </c>
      <c r="DJ152" s="1937">
        <v>3263</v>
      </c>
      <c r="DK152" s="2216">
        <v>3225</v>
      </c>
      <c r="DL152" s="2216">
        <v>3208</v>
      </c>
      <c r="DM152" s="2219">
        <v>3247</v>
      </c>
      <c r="DN152" s="2505">
        <v>3161</v>
      </c>
      <c r="DO152" s="2505">
        <v>2907</v>
      </c>
      <c r="DP152" s="2505">
        <v>2886</v>
      </c>
      <c r="DQ152" s="2506">
        <v>2872</v>
      </c>
    </row>
    <row r="153" spans="1:130" ht="15" hidden="1" customHeight="1" outlineLevel="1">
      <c r="A153" s="2290" t="s">
        <v>1453</v>
      </c>
      <c r="B153" s="3061"/>
      <c r="C153" s="3061"/>
      <c r="D153" s="3061"/>
      <c r="E153" s="3061"/>
      <c r="F153" s="3061"/>
      <c r="G153" s="3061"/>
      <c r="H153" s="3061"/>
      <c r="I153" s="3061"/>
      <c r="J153" s="3061"/>
      <c r="K153" s="3061"/>
      <c r="L153" s="3061"/>
      <c r="M153" s="3061"/>
      <c r="N153" s="3061"/>
      <c r="O153" s="3061"/>
      <c r="P153" s="3061">
        <v>9.0770210057288248E-2</v>
      </c>
      <c r="Q153" s="2207">
        <v>-0.10778478057889818</v>
      </c>
      <c r="R153" s="3061">
        <v>1.7659755379684228E-3</v>
      </c>
      <c r="S153" s="3061">
        <v>1.9979106816401249E-2</v>
      </c>
      <c r="T153" s="2207">
        <v>-3.0341825630521013E-2</v>
      </c>
      <c r="U153" s="2315" t="s">
        <v>1149</v>
      </c>
      <c r="V153" s="2207">
        <v>-3.622369721790708E-2</v>
      </c>
      <c r="W153" s="2207">
        <v>-5.1725401128287829E-2</v>
      </c>
      <c r="X153" s="2207">
        <v>-8.6301475701151209E-2</v>
      </c>
      <c r="Y153" s="2207"/>
      <c r="Z153" s="2207"/>
      <c r="AA153"/>
      <c r="AB153" s="3146"/>
      <c r="AC153" s="3146"/>
      <c r="AD153" s="3146"/>
      <c r="AE153" s="3146"/>
      <c r="AF153" s="3146"/>
      <c r="AG153" s="3146"/>
      <c r="AH153" s="1927"/>
      <c r="AI153" s="1927"/>
      <c r="AJ153" s="1927"/>
      <c r="AK153" s="3061"/>
      <c r="AL153" s="3061"/>
      <c r="AM153" s="3061"/>
      <c r="AN153" s="3061"/>
      <c r="AO153" s="3061"/>
      <c r="AP153" s="3061"/>
      <c r="AQ153" s="3061"/>
      <c r="AR153" s="3061"/>
      <c r="AS153" s="3061"/>
      <c r="AT153" s="3061"/>
      <c r="AU153" s="3061"/>
      <c r="AV153" s="3061"/>
      <c r="AW153" s="3061"/>
      <c r="AX153" s="3061"/>
      <c r="AY153" s="3061"/>
      <c r="AZ153" s="3061"/>
      <c r="BA153" s="3061"/>
      <c r="BB153" s="3061"/>
      <c r="BC153" s="3061"/>
      <c r="BD153" s="3061"/>
      <c r="BE153" s="3061"/>
      <c r="BF153" s="3061"/>
      <c r="BG153" s="3061"/>
      <c r="BH153" s="3061"/>
      <c r="BI153" s="3061"/>
      <c r="BJ153" s="3061"/>
      <c r="BK153" s="3061"/>
      <c r="BL153" s="3061"/>
      <c r="BM153" s="3061"/>
      <c r="BN153" s="3061"/>
      <c r="BO153" s="3061"/>
      <c r="BP153" s="3061"/>
      <c r="BQ153" s="3061"/>
      <c r="BR153" s="2208"/>
      <c r="BS153" s="2207"/>
      <c r="BT153" s="2207"/>
      <c r="BU153" s="2207"/>
      <c r="BV153" s="2208"/>
      <c r="BW153" s="2207"/>
      <c r="BX153" s="2207"/>
      <c r="BY153" s="2207"/>
      <c r="BZ153" s="2208"/>
      <c r="CA153" s="2207"/>
      <c r="CB153" s="2207"/>
      <c r="CC153" s="2207"/>
      <c r="CD153" s="2208"/>
      <c r="CE153" s="2207"/>
      <c r="CF153" s="2207"/>
      <c r="CG153" s="2209"/>
      <c r="CH153" s="2208"/>
      <c r="CI153" s="2207"/>
      <c r="CJ153" s="2207"/>
      <c r="CK153" s="2209"/>
      <c r="CL153" s="2229" t="s">
        <v>1149</v>
      </c>
      <c r="CM153" s="1986" t="s">
        <v>1149</v>
      </c>
      <c r="CN153" s="1986" t="s">
        <v>1149</v>
      </c>
      <c r="CO153" s="1986" t="s">
        <v>1149</v>
      </c>
      <c r="CP153" s="2208">
        <v>-1.0732984293193693E-2</v>
      </c>
      <c r="CQ153" s="2207">
        <v>1.0317460317460281E-2</v>
      </c>
      <c r="CR153" s="2207">
        <v>-7.2370121478417815E-3</v>
      </c>
      <c r="CS153" s="2207">
        <v>1.4921465968586345E-2</v>
      </c>
      <c r="CT153" s="2208">
        <v>9.7909499867689931E-3</v>
      </c>
      <c r="CU153" s="2207">
        <v>3.5873265252683861E-2</v>
      </c>
      <c r="CV153" s="2207">
        <v>2.0827909398594135E-2</v>
      </c>
      <c r="CW153" s="2209">
        <v>1.3412432293010035E-2</v>
      </c>
      <c r="CX153" s="2208">
        <v>9.4339622641510523E-3</v>
      </c>
      <c r="CY153" s="2293">
        <v>-2.6289180990899941E-2</v>
      </c>
      <c r="CZ153" s="2293">
        <v>-2.9074215761285438E-2</v>
      </c>
      <c r="DA153" s="2295">
        <v>-7.4319165181980118E-2</v>
      </c>
      <c r="DB153" s="2293">
        <v>-6.8016614745586734E-2</v>
      </c>
      <c r="DC153" s="2293">
        <v>-8.8006230529594998E-2</v>
      </c>
      <c r="DD153" s="2293">
        <v>-7.1972681901759872E-2</v>
      </c>
      <c r="DE153" s="2295">
        <v>-3.0519659059664583E-2</v>
      </c>
      <c r="DF153" s="2293">
        <v>-3.3147632311977704E-2</v>
      </c>
      <c r="DG153" s="2207">
        <v>-1.964133219470543E-2</v>
      </c>
      <c r="DH153" s="2207">
        <v>-4.4721200113218229E-2</v>
      </c>
      <c r="DI153" s="2295">
        <v>-4.736245036868969E-2</v>
      </c>
      <c r="DJ153" s="2208">
        <v>-5.9925093632958837E-2</v>
      </c>
      <c r="DK153" s="2207">
        <v>-6.3588850174216005E-2</v>
      </c>
      <c r="DL153" s="2207">
        <v>-4.948148148148146E-2</v>
      </c>
      <c r="DM153" s="2209">
        <v>-3.3343256921702924E-2</v>
      </c>
      <c r="DN153" s="2207">
        <v>-3.1259577076310108E-2</v>
      </c>
      <c r="DO153" s="2207">
        <v>-9.8604651162790713E-2</v>
      </c>
      <c r="DP153" s="2207">
        <v>-0.10037406483790523</v>
      </c>
      <c r="DQ153" s="2209">
        <v>-0.11549122266707734</v>
      </c>
    </row>
    <row r="154" spans="1:130" ht="15" hidden="1" customHeight="1" outlineLevel="1">
      <c r="A154" s="2371"/>
      <c r="B154" s="1946"/>
      <c r="C154" s="1946"/>
      <c r="D154" s="1946"/>
      <c r="E154" s="1946"/>
      <c r="F154" s="1946"/>
      <c r="G154" s="1946"/>
      <c r="H154" s="1946"/>
      <c r="I154" s="1946"/>
      <c r="J154" s="1946"/>
      <c r="K154" s="1946"/>
      <c r="L154" s="1946"/>
      <c r="M154" s="1946"/>
      <c r="N154" s="1946"/>
      <c r="O154" s="3061"/>
      <c r="P154" s="1946"/>
      <c r="Q154" s="1903"/>
      <c r="R154" s="1946"/>
      <c r="S154" s="1946"/>
      <c r="T154" s="1903"/>
      <c r="U154" s="1903"/>
      <c r="V154" s="1946"/>
      <c r="W154" s="1946"/>
      <c r="X154" s="1946"/>
      <c r="Y154" s="1946"/>
      <c r="Z154" s="1946"/>
      <c r="AA154"/>
      <c r="AB154" s="3146"/>
      <c r="AC154" s="3146"/>
      <c r="AD154" s="3146"/>
      <c r="AE154" s="3146"/>
      <c r="AF154" s="3146"/>
      <c r="AG154" s="3146"/>
      <c r="AH154" s="1947"/>
      <c r="AI154" s="1927"/>
      <c r="AJ154" s="1947"/>
      <c r="AK154" s="1946"/>
      <c r="AL154" s="1946"/>
      <c r="AM154" s="1946"/>
      <c r="AN154" s="1946"/>
      <c r="AO154" s="1946"/>
      <c r="AP154" s="1946"/>
      <c r="AQ154" s="1946"/>
      <c r="AR154" s="1946"/>
      <c r="AS154" s="1946"/>
      <c r="AT154" s="1946"/>
      <c r="AU154" s="1946"/>
      <c r="AV154" s="1946"/>
      <c r="AW154" s="1946"/>
      <c r="AX154" s="1946"/>
      <c r="AY154" s="1946"/>
      <c r="AZ154" s="1946"/>
      <c r="BA154" s="1946"/>
      <c r="BB154" s="1946"/>
      <c r="BC154" s="1946"/>
      <c r="BD154" s="1946"/>
      <c r="BE154" s="1946"/>
      <c r="BF154" s="1946"/>
      <c r="BG154" s="1946"/>
      <c r="BH154" s="1946"/>
      <c r="BI154" s="1946"/>
      <c r="BJ154" s="1946"/>
      <c r="BK154" s="1946"/>
      <c r="BL154" s="1946"/>
      <c r="BM154" s="1946"/>
      <c r="BN154" s="1946"/>
      <c r="BO154" s="1946"/>
      <c r="BP154" s="1946"/>
      <c r="BQ154" s="1946"/>
      <c r="BR154" s="2202"/>
      <c r="BS154" s="1903"/>
      <c r="BT154" s="1903"/>
      <c r="BU154" s="1903"/>
      <c r="BV154" s="1942"/>
      <c r="BW154" s="1903"/>
      <c r="BX154" s="1903"/>
      <c r="BY154" s="1903"/>
      <c r="BZ154" s="1942"/>
      <c r="CA154" s="1903"/>
      <c r="CB154" s="1903"/>
      <c r="CC154" s="1903"/>
      <c r="CD154" s="1942"/>
      <c r="CE154" s="1903"/>
      <c r="CF154" s="1903"/>
      <c r="CG154" s="2236"/>
      <c r="CH154" s="1942"/>
      <c r="CI154" s="1903"/>
      <c r="CJ154" s="1903"/>
      <c r="CK154" s="2236"/>
      <c r="CL154" s="2288"/>
      <c r="CM154" s="2286"/>
      <c r="CN154" s="2286"/>
      <c r="CO154" s="2286"/>
      <c r="CP154" s="1942"/>
      <c r="CQ154" s="1903"/>
      <c r="CR154" s="1903"/>
      <c r="CS154" s="1903"/>
      <c r="CT154" s="1942"/>
      <c r="CU154" s="1903"/>
      <c r="CV154" s="1903"/>
      <c r="CW154" s="2236"/>
      <c r="CX154" s="1942"/>
      <c r="CY154" s="1903"/>
      <c r="CZ154" s="1903"/>
      <c r="DA154" s="2236"/>
      <c r="DB154" s="1903"/>
      <c r="DC154" s="1903"/>
      <c r="DD154" s="1903"/>
      <c r="DE154" s="2236"/>
      <c r="DF154" s="1903"/>
      <c r="DG154" s="1903"/>
      <c r="DH154" s="1903"/>
      <c r="DI154" s="2236"/>
      <c r="DJ154" s="1942"/>
      <c r="DK154" s="1903"/>
      <c r="DL154" s="1903"/>
      <c r="DM154" s="2236"/>
      <c r="DN154" s="1903"/>
      <c r="DO154" s="1903"/>
      <c r="DP154" s="1903"/>
      <c r="DQ154" s="2236"/>
    </row>
    <row r="155" spans="1:130" ht="15" hidden="1" customHeight="1" outlineLevel="1">
      <c r="A155" s="2301" t="s">
        <v>711</v>
      </c>
      <c r="B155" s="2162"/>
      <c r="C155" s="2162"/>
      <c r="D155" s="2162"/>
      <c r="E155" s="2162"/>
      <c r="F155" s="2162"/>
      <c r="G155" s="2162"/>
      <c r="H155" s="2162"/>
      <c r="I155" s="2162"/>
      <c r="J155" s="2162"/>
      <c r="K155" s="2162"/>
      <c r="L155" s="2162"/>
      <c r="M155" s="2162"/>
      <c r="N155" s="2162"/>
      <c r="O155" s="2162">
        <v>10750</v>
      </c>
      <c r="P155" s="2162">
        <v>10431</v>
      </c>
      <c r="Q155" s="2216">
        <v>9435</v>
      </c>
      <c r="R155" s="2162">
        <v>8746</v>
      </c>
      <c r="S155" s="2162">
        <v>7973</v>
      </c>
      <c r="T155" s="2216">
        <v>7134</v>
      </c>
      <c r="U155" s="2216">
        <v>6569</v>
      </c>
      <c r="V155" s="2162">
        <v>6190</v>
      </c>
      <c r="W155" s="2162">
        <v>5979</v>
      </c>
      <c r="X155" s="2162">
        <v>5183</v>
      </c>
      <c r="Y155" s="2162"/>
      <c r="Z155" s="2162"/>
      <c r="AA155"/>
      <c r="AB155" s="3146"/>
      <c r="AC155" s="3146"/>
      <c r="AD155" s="3146"/>
      <c r="AE155" s="3146"/>
      <c r="AF155" s="3146"/>
      <c r="AG155" s="3146"/>
      <c r="AH155" s="1955"/>
      <c r="AI155" s="2125"/>
      <c r="AJ155" s="1955"/>
      <c r="AK155" s="2162"/>
      <c r="AL155" s="2162"/>
      <c r="AM155" s="2162"/>
      <c r="AN155" s="2162"/>
      <c r="AO155" s="2162"/>
      <c r="AP155" s="2162"/>
      <c r="AQ155" s="2162"/>
      <c r="AR155" s="2162"/>
      <c r="AS155" s="2162"/>
      <c r="AT155" s="2162"/>
      <c r="AU155" s="2162"/>
      <c r="AV155" s="2162"/>
      <c r="AW155" s="2162"/>
      <c r="AX155" s="2162"/>
      <c r="AY155" s="2162"/>
      <c r="AZ155" s="2162"/>
      <c r="BA155" s="2162"/>
      <c r="BB155" s="2162"/>
      <c r="BC155" s="2162"/>
      <c r="BD155" s="2162"/>
      <c r="BE155" s="2162"/>
      <c r="BF155" s="2162"/>
      <c r="BG155" s="2162"/>
      <c r="BH155" s="2162"/>
      <c r="BI155" s="2162"/>
      <c r="BJ155" s="2162"/>
      <c r="BK155" s="2162"/>
      <c r="BL155" s="2162"/>
      <c r="BM155" s="2162"/>
      <c r="BN155" s="2162"/>
      <c r="BO155" s="2162"/>
      <c r="BP155" s="2162"/>
      <c r="BQ155" s="2162"/>
      <c r="BR155" s="1937"/>
      <c r="BS155" s="2216"/>
      <c r="BT155" s="2216"/>
      <c r="BU155" s="2216"/>
      <c r="BV155" s="1937"/>
      <c r="BW155" s="2216"/>
      <c r="BX155" s="2216"/>
      <c r="BY155" s="2216"/>
      <c r="BZ155" s="1937"/>
      <c r="CA155" s="2216"/>
      <c r="CB155" s="2216"/>
      <c r="CC155" s="2216"/>
      <c r="CD155" s="2302">
        <v>2682</v>
      </c>
      <c r="CE155" s="2303">
        <v>2706</v>
      </c>
      <c r="CF155" s="2303">
        <v>2700</v>
      </c>
      <c r="CG155" s="2304">
        <v>2662</v>
      </c>
      <c r="CH155" s="1937">
        <v>2649</v>
      </c>
      <c r="CI155" s="2216">
        <v>2624</v>
      </c>
      <c r="CJ155" s="2216">
        <v>2610</v>
      </c>
      <c r="CK155" s="2219">
        <v>2548</v>
      </c>
      <c r="CL155" s="1937">
        <v>2269</v>
      </c>
      <c r="CM155" s="2216">
        <v>2389</v>
      </c>
      <c r="CN155" s="2216">
        <v>2396</v>
      </c>
      <c r="CO155" s="2216">
        <v>2381</v>
      </c>
      <c r="CP155" s="1937">
        <v>2299</v>
      </c>
      <c r="CQ155" s="2216">
        <v>2192</v>
      </c>
      <c r="CR155" s="2216">
        <v>2157</v>
      </c>
      <c r="CS155" s="2216">
        <v>2098</v>
      </c>
      <c r="CT155" s="1937">
        <v>2042</v>
      </c>
      <c r="CU155" s="2216">
        <v>2030</v>
      </c>
      <c r="CV155" s="2216">
        <v>1963</v>
      </c>
      <c r="CW155" s="2219">
        <v>1938</v>
      </c>
      <c r="CX155" s="1937">
        <v>1861</v>
      </c>
      <c r="CY155" s="2216">
        <v>1788</v>
      </c>
      <c r="CZ155" s="2216">
        <v>1747</v>
      </c>
      <c r="DA155" s="2219">
        <v>1738</v>
      </c>
      <c r="DB155" s="2216">
        <v>1699</v>
      </c>
      <c r="DC155" s="2216">
        <v>1654</v>
      </c>
      <c r="DD155" s="2216">
        <v>1623</v>
      </c>
      <c r="DE155" s="2219">
        <v>1593</v>
      </c>
      <c r="DF155" s="2216">
        <v>1583</v>
      </c>
      <c r="DG155" s="2216">
        <v>1562</v>
      </c>
      <c r="DH155" s="2216">
        <v>1544</v>
      </c>
      <c r="DI155" s="2219">
        <v>1501</v>
      </c>
      <c r="DJ155" s="2504">
        <v>1524</v>
      </c>
      <c r="DK155" s="2505">
        <v>1491</v>
      </c>
      <c r="DL155" s="2505">
        <v>1466</v>
      </c>
      <c r="DM155" s="2506">
        <v>1498</v>
      </c>
      <c r="DN155" s="2505">
        <v>1463</v>
      </c>
      <c r="DO155" s="2505">
        <v>1256</v>
      </c>
      <c r="DP155" s="2505">
        <v>1239</v>
      </c>
      <c r="DQ155" s="2506">
        <v>1225</v>
      </c>
    </row>
    <row r="156" spans="1:130" ht="15" hidden="1" customHeight="1" outlineLevel="1">
      <c r="A156" s="2290" t="s">
        <v>1453</v>
      </c>
      <c r="B156" s="2291"/>
      <c r="C156" s="2291"/>
      <c r="D156" s="2291"/>
      <c r="E156" s="2291"/>
      <c r="F156" s="2291"/>
      <c r="G156" s="2291"/>
      <c r="H156" s="2291"/>
      <c r="I156" s="2291"/>
      <c r="J156" s="2291"/>
      <c r="K156" s="2291"/>
      <c r="L156" s="2291"/>
      <c r="M156" s="2291"/>
      <c r="N156" s="2291"/>
      <c r="O156" s="2291"/>
      <c r="P156" s="2291">
        <v>-2.9674418604651143E-2</v>
      </c>
      <c r="Q156" s="2293">
        <v>-9.5484613172274968E-2</v>
      </c>
      <c r="R156" s="2291">
        <v>-7.3025967143614201E-2</v>
      </c>
      <c r="S156" s="2291">
        <v>-8.8383260919277395E-2</v>
      </c>
      <c r="T156" s="2293">
        <v>-0.10523015176219741</v>
      </c>
      <c r="U156" s="2293">
        <v>-7.9198205775161234E-2</v>
      </c>
      <c r="V156" s="2291">
        <v>-5.7695235195615813E-2</v>
      </c>
      <c r="W156" s="2291">
        <v>-3.4087237479806132E-2</v>
      </c>
      <c r="X156" s="2291">
        <v>-0.13313263087472826</v>
      </c>
      <c r="Y156" s="2291"/>
      <c r="Z156" s="2291"/>
      <c r="AA156"/>
      <c r="AB156" s="3146"/>
      <c r="AC156" s="3146"/>
      <c r="AD156" s="3146"/>
      <c r="AE156" s="3146"/>
      <c r="AF156" s="3146"/>
      <c r="AG156" s="3146"/>
      <c r="AH156" s="1953"/>
      <c r="AI156" s="1953"/>
      <c r="AJ156" s="1953"/>
      <c r="AK156" s="2291"/>
      <c r="AL156" s="2291"/>
      <c r="AM156" s="2291"/>
      <c r="AN156" s="2291"/>
      <c r="AO156" s="2291"/>
      <c r="AP156" s="2291"/>
      <c r="AQ156" s="2291"/>
      <c r="AR156" s="2291"/>
      <c r="AS156" s="2291"/>
      <c r="AT156" s="2291"/>
      <c r="AU156" s="2291"/>
      <c r="AV156" s="2291"/>
      <c r="AW156" s="2291"/>
      <c r="AX156" s="2291"/>
      <c r="AY156" s="2291"/>
      <c r="AZ156" s="2291"/>
      <c r="BA156" s="2291"/>
      <c r="BB156" s="2291"/>
      <c r="BC156" s="2291"/>
      <c r="BD156" s="2291"/>
      <c r="BE156" s="2291"/>
      <c r="BF156" s="2291"/>
      <c r="BG156" s="2291"/>
      <c r="BH156" s="2291"/>
      <c r="BI156" s="2291"/>
      <c r="BJ156" s="2291"/>
      <c r="BK156" s="2291"/>
      <c r="BL156" s="2291"/>
      <c r="BM156" s="2291"/>
      <c r="BN156" s="2291"/>
      <c r="BO156" s="2291"/>
      <c r="BP156" s="2291"/>
      <c r="BQ156" s="2291"/>
      <c r="BR156" s="2294"/>
      <c r="BS156" s="2293"/>
      <c r="BT156" s="2293"/>
      <c r="BU156" s="2293"/>
      <c r="BV156" s="2294"/>
      <c r="BW156" s="2293"/>
      <c r="BX156" s="2293"/>
      <c r="BY156" s="2293"/>
      <c r="BZ156" s="2294"/>
      <c r="CA156" s="2293"/>
      <c r="CB156" s="2293"/>
      <c r="CC156" s="2293"/>
      <c r="CD156" s="2294"/>
      <c r="CE156" s="2293"/>
      <c r="CF156" s="2293"/>
      <c r="CG156" s="2295"/>
      <c r="CH156" s="2294"/>
      <c r="CI156" s="2293"/>
      <c r="CJ156" s="2293"/>
      <c r="CK156" s="2295"/>
      <c r="CL156" s="2305" t="s">
        <v>1149</v>
      </c>
      <c r="CM156" s="2292" t="s">
        <v>1149</v>
      </c>
      <c r="CN156" s="2292" t="s">
        <v>1149</v>
      </c>
      <c r="CO156" s="2292" t="s">
        <v>1149</v>
      </c>
      <c r="CP156" s="2294">
        <v>1.3221683561040143E-2</v>
      </c>
      <c r="CQ156" s="2293">
        <v>-8.2461280870657183E-2</v>
      </c>
      <c r="CR156" s="2293">
        <v>-9.9749582637729595E-2</v>
      </c>
      <c r="CS156" s="2293">
        <v>-0.11885762284754309</v>
      </c>
      <c r="CT156" s="2294">
        <v>-0.11178773379730322</v>
      </c>
      <c r="CU156" s="2293">
        <v>-7.3905109489051046E-2</v>
      </c>
      <c r="CV156" s="2293">
        <v>-8.9939731108020449E-2</v>
      </c>
      <c r="CW156" s="2295">
        <v>-7.6263107721639689E-2</v>
      </c>
      <c r="CX156" s="2294">
        <v>-8.8638589618021513E-2</v>
      </c>
      <c r="CY156" s="2293">
        <v>-0.11921182266009855</v>
      </c>
      <c r="CZ156" s="2293">
        <v>-0.11003565970453388</v>
      </c>
      <c r="DA156" s="2295">
        <v>-0.10319917440660475</v>
      </c>
      <c r="DB156" s="2293">
        <v>-8.7049973132724334E-2</v>
      </c>
      <c r="DC156" s="2293">
        <v>-7.4944071588366912E-2</v>
      </c>
      <c r="DD156" s="2293">
        <v>-7.0978820835718381E-2</v>
      </c>
      <c r="DE156" s="2295">
        <v>-8.3429228998849303E-2</v>
      </c>
      <c r="DF156" s="2293">
        <v>-6.8275456150676872E-2</v>
      </c>
      <c r="DG156" s="2293">
        <v>-5.5622732769044725E-2</v>
      </c>
      <c r="DH156" s="2293">
        <v>-4.8675292667898939E-2</v>
      </c>
      <c r="DI156" s="2295">
        <v>-5.7752667922159495E-2</v>
      </c>
      <c r="DJ156" s="2294">
        <v>-3.7271004421983611E-2</v>
      </c>
      <c r="DK156" s="2293">
        <v>-4.5454545454545414E-2</v>
      </c>
      <c r="DL156" s="2293">
        <v>-5.0518134715025864E-2</v>
      </c>
      <c r="DM156" s="2295">
        <v>-1.9986675549633626E-3</v>
      </c>
      <c r="DN156" s="2293">
        <v>-4.0026246719160108E-2</v>
      </c>
      <c r="DO156" s="2293">
        <v>-0.15761234071093222</v>
      </c>
      <c r="DP156" s="2293">
        <v>-0.15484311050477495</v>
      </c>
      <c r="DQ156" s="2295">
        <v>-0.18224299065420557</v>
      </c>
    </row>
    <row r="157" spans="1:130" ht="15" hidden="1" customHeight="1" outlineLevel="1">
      <c r="A157" s="2327"/>
      <c r="B157" s="3061"/>
      <c r="C157" s="3061"/>
      <c r="D157" s="3061"/>
      <c r="E157" s="3061"/>
      <c r="F157" s="3061"/>
      <c r="G157" s="3061"/>
      <c r="H157" s="3061"/>
      <c r="I157" s="3061"/>
      <c r="J157" s="3061"/>
      <c r="K157" s="3061"/>
      <c r="L157" s="3061"/>
      <c r="M157" s="3061"/>
      <c r="N157" s="3061"/>
      <c r="O157" s="3061"/>
      <c r="P157" s="3061"/>
      <c r="Q157" s="3061"/>
      <c r="R157" s="3061"/>
      <c r="S157" s="3061"/>
      <c r="T157" s="3061"/>
      <c r="U157" s="3061"/>
      <c r="V157" s="3061"/>
      <c r="W157" s="3061"/>
      <c r="X157" s="3061"/>
      <c r="Y157" s="3061"/>
      <c r="Z157" s="3249"/>
      <c r="AA157"/>
      <c r="AB157" s="3146"/>
      <c r="AC157" s="3146"/>
      <c r="AD157" s="3146"/>
      <c r="AE157" s="3146"/>
      <c r="AF157" s="3146"/>
      <c r="AG157" s="3146"/>
      <c r="AH157" s="1947"/>
      <c r="AI157" s="2456"/>
      <c r="AJ157" s="1947"/>
      <c r="AK157" s="3061"/>
      <c r="AL157" s="3061"/>
      <c r="AM157" s="3061"/>
      <c r="AN157" s="3061"/>
      <c r="AO157" s="3061"/>
      <c r="AP157" s="3061"/>
      <c r="AQ157" s="3061"/>
      <c r="AR157" s="3061"/>
      <c r="AS157" s="3061"/>
      <c r="AT157" s="3061"/>
      <c r="AU157" s="3061"/>
      <c r="AV157" s="3061"/>
      <c r="AW157" s="3061"/>
      <c r="AX157" s="3061"/>
      <c r="AY157" s="3061"/>
      <c r="AZ157" s="3061"/>
      <c r="BA157" s="3061"/>
      <c r="BB157" s="3061"/>
      <c r="BC157" s="3061"/>
      <c r="BD157" s="3061"/>
      <c r="BE157" s="3061"/>
      <c r="BF157" s="3061"/>
      <c r="BG157" s="3061"/>
      <c r="BH157" s="3061"/>
      <c r="BI157" s="3061"/>
      <c r="BJ157" s="3061"/>
      <c r="BK157" s="3061"/>
      <c r="BL157" s="3061"/>
      <c r="BM157" s="3061"/>
      <c r="BN157" s="3061"/>
      <c r="BO157" s="3061"/>
      <c r="BP157" s="3061"/>
      <c r="BQ157" s="3061"/>
      <c r="BR157" s="3061"/>
      <c r="BS157" s="3061"/>
      <c r="BT157" s="3061"/>
      <c r="BU157" s="3061"/>
      <c r="BV157" s="3061"/>
      <c r="BW157" s="3061"/>
      <c r="BX157" s="3061"/>
      <c r="BY157" s="3061"/>
      <c r="BZ157" s="3061"/>
      <c r="CA157" s="3061"/>
      <c r="CB157" s="3061"/>
      <c r="CC157" s="3061"/>
      <c r="CD157" s="3061"/>
      <c r="CE157" s="3061"/>
      <c r="CF157" s="3061"/>
      <c r="CG157" s="3061"/>
      <c r="CH157" s="2306"/>
      <c r="CI157" s="2307"/>
      <c r="CJ157" s="2307"/>
      <c r="CK157" s="2308"/>
      <c r="CL157" s="2309"/>
      <c r="CM157" s="3061"/>
      <c r="CN157" s="3061"/>
      <c r="CO157" s="2310"/>
      <c r="CP157" s="2329"/>
      <c r="CQ157" s="2310"/>
      <c r="CR157" s="3061"/>
      <c r="CS157" s="3061"/>
      <c r="CT157" s="3061"/>
      <c r="CU157" s="3061"/>
      <c r="CV157" s="3061"/>
      <c r="CW157" s="3061"/>
      <c r="CX157" s="3061"/>
      <c r="CY157" s="3061"/>
      <c r="CZ157" s="3061"/>
      <c r="DA157" s="2961"/>
      <c r="DB157" s="3061"/>
      <c r="DC157" s="3061"/>
      <c r="DD157" s="3061"/>
      <c r="DE157" s="2961"/>
      <c r="DF157" s="3061"/>
      <c r="DG157" s="3061"/>
      <c r="DH157" s="3061"/>
      <c r="DI157" s="2961"/>
      <c r="DJ157" s="3061"/>
      <c r="DK157" s="3061"/>
      <c r="DL157" s="3061"/>
      <c r="DM157" s="2961"/>
      <c r="DN157" s="1561"/>
      <c r="DO157" s="1561"/>
      <c r="DP157" s="1561"/>
      <c r="DQ157" s="2961"/>
    </row>
    <row r="158" spans="1:130" s="1074" customFormat="1" ht="15" hidden="1" customHeight="1" outlineLevel="1">
      <c r="A158" s="2330" t="s">
        <v>712</v>
      </c>
      <c r="B158" s="2216"/>
      <c r="C158" s="2216"/>
      <c r="D158" s="2216"/>
      <c r="E158" s="2216"/>
      <c r="F158" s="2216"/>
      <c r="G158" s="2216"/>
      <c r="H158" s="2216"/>
      <c r="I158" s="2216"/>
      <c r="J158" s="2216"/>
      <c r="K158" s="2216"/>
      <c r="L158" s="2216"/>
      <c r="M158" s="2216"/>
      <c r="N158" s="2216"/>
      <c r="O158" s="2216">
        <v>3099</v>
      </c>
      <c r="P158" s="2216">
        <v>2279</v>
      </c>
      <c r="Q158" s="2216">
        <v>1514</v>
      </c>
      <c r="R158" s="2216">
        <v>909</v>
      </c>
      <c r="S158" s="2216">
        <v>750</v>
      </c>
      <c r="T158" s="2216">
        <v>531</v>
      </c>
      <c r="U158" s="2216">
        <v>510</v>
      </c>
      <c r="V158" s="2216">
        <v>543</v>
      </c>
      <c r="W158" s="2216">
        <v>325</v>
      </c>
      <c r="X158" s="2216">
        <v>313</v>
      </c>
      <c r="Y158" s="2216"/>
      <c r="Z158" s="2216"/>
      <c r="AA158"/>
      <c r="AB158" s="3146"/>
      <c r="AC158" s="3146"/>
      <c r="AD158" s="3146"/>
      <c r="AE158" s="3146"/>
      <c r="AF158" s="3146"/>
      <c r="AG158" s="3146"/>
      <c r="AH158" s="1955"/>
      <c r="AI158" s="2125"/>
      <c r="AJ158" s="1955"/>
      <c r="AK158" s="2162"/>
      <c r="AL158" s="2162"/>
      <c r="AM158" s="2162"/>
      <c r="AN158" s="2162"/>
      <c r="AO158" s="2162"/>
      <c r="AP158" s="2162"/>
      <c r="AQ158" s="2162"/>
      <c r="AR158" s="2162"/>
      <c r="AS158" s="2162"/>
      <c r="AT158" s="2162"/>
      <c r="AU158" s="2162"/>
      <c r="AV158" s="2162"/>
      <c r="AW158" s="2162"/>
      <c r="AX158" s="2162"/>
      <c r="AY158" s="2162"/>
      <c r="AZ158" s="2162"/>
      <c r="BA158" s="2162"/>
      <c r="BB158" s="2162"/>
      <c r="BC158" s="2162"/>
      <c r="BD158" s="2162"/>
      <c r="BE158" s="2162"/>
      <c r="BF158" s="2162"/>
      <c r="BG158" s="2162"/>
      <c r="BH158" s="2162"/>
      <c r="BI158" s="2162"/>
      <c r="BJ158" s="2162"/>
      <c r="BK158" s="2162"/>
      <c r="BL158" s="2162"/>
      <c r="BM158" s="2162"/>
      <c r="BN158" s="2162"/>
      <c r="BO158" s="2162"/>
      <c r="BP158" s="2162"/>
      <c r="BQ158" s="2162"/>
      <c r="BR158" s="1937"/>
      <c r="BS158" s="2216"/>
      <c r="BT158" s="2216"/>
      <c r="BU158" s="2216"/>
      <c r="BV158" s="1937"/>
      <c r="BW158" s="2216"/>
      <c r="BX158" s="2216"/>
      <c r="BY158" s="2216"/>
      <c r="BZ158" s="1937"/>
      <c r="CA158" s="2216"/>
      <c r="CB158" s="2216"/>
      <c r="CC158" s="2216"/>
      <c r="CD158" s="2302">
        <v>856</v>
      </c>
      <c r="CE158" s="2303">
        <v>790</v>
      </c>
      <c r="CF158" s="2303">
        <v>767</v>
      </c>
      <c r="CG158" s="2304">
        <v>686</v>
      </c>
      <c r="CH158" s="1937">
        <v>628</v>
      </c>
      <c r="CI158" s="2216">
        <v>589</v>
      </c>
      <c r="CJ158" s="2216">
        <v>563</v>
      </c>
      <c r="CK158" s="2219">
        <v>499</v>
      </c>
      <c r="CL158" s="1937">
        <v>463</v>
      </c>
      <c r="CM158" s="2216">
        <v>363</v>
      </c>
      <c r="CN158" s="2216">
        <v>355</v>
      </c>
      <c r="CO158" s="2216">
        <v>333</v>
      </c>
      <c r="CP158" s="1937">
        <v>269</v>
      </c>
      <c r="CQ158" s="2216">
        <v>196</v>
      </c>
      <c r="CR158" s="2216">
        <v>215</v>
      </c>
      <c r="CS158" s="2216">
        <v>229</v>
      </c>
      <c r="CT158" s="1937">
        <v>211</v>
      </c>
      <c r="CU158" s="2216">
        <v>185</v>
      </c>
      <c r="CV158" s="2216">
        <v>195</v>
      </c>
      <c r="CW158" s="2219">
        <v>159</v>
      </c>
      <c r="CX158" s="1937">
        <v>129</v>
      </c>
      <c r="CY158" s="2216">
        <v>135</v>
      </c>
      <c r="CZ158" s="2216">
        <v>124</v>
      </c>
      <c r="DA158" s="2219">
        <v>143</v>
      </c>
      <c r="DB158" s="2216">
        <v>107</v>
      </c>
      <c r="DC158" s="2216">
        <v>134</v>
      </c>
      <c r="DD158" s="2216">
        <v>127</v>
      </c>
      <c r="DE158" s="2219">
        <v>142</v>
      </c>
      <c r="DF158" s="2216">
        <v>144</v>
      </c>
      <c r="DG158" s="2216">
        <v>140</v>
      </c>
      <c r="DH158" s="2216">
        <v>142</v>
      </c>
      <c r="DI158" s="2219">
        <v>117</v>
      </c>
      <c r="DJ158" s="2504">
        <v>90</v>
      </c>
      <c r="DK158" s="2505">
        <v>77</v>
      </c>
      <c r="DL158" s="2505">
        <v>84</v>
      </c>
      <c r="DM158" s="2506">
        <v>74</v>
      </c>
      <c r="DN158" s="2505">
        <v>76</v>
      </c>
      <c r="DO158" s="2505">
        <v>87</v>
      </c>
      <c r="DP158" s="2505">
        <v>77</v>
      </c>
      <c r="DQ158" s="2506">
        <v>73</v>
      </c>
      <c r="DR158" s="1064"/>
      <c r="DS158" s="1064"/>
      <c r="DT158" s="1064"/>
      <c r="DU158" s="1064"/>
      <c r="DV158" s="1064"/>
      <c r="DW158" s="1064"/>
      <c r="DX158" s="1064"/>
      <c r="DY158" s="1064"/>
      <c r="DZ158" s="1064"/>
    </row>
    <row r="159" spans="1:130" ht="15" hidden="1" customHeight="1" outlineLevel="1">
      <c r="A159" s="2331" t="s">
        <v>1453</v>
      </c>
      <c r="B159" s="2293"/>
      <c r="C159" s="2293"/>
      <c r="D159" s="2293"/>
      <c r="E159" s="2293"/>
      <c r="F159" s="2293"/>
      <c r="G159" s="2293"/>
      <c r="H159" s="2293"/>
      <c r="I159" s="2293"/>
      <c r="J159" s="2293"/>
      <c r="K159" s="2293"/>
      <c r="L159" s="2293"/>
      <c r="M159" s="2293"/>
      <c r="N159" s="2293"/>
      <c r="O159" s="2293"/>
      <c r="P159" s="2293">
        <v>-0.26460148434979025</v>
      </c>
      <c r="Q159" s="2293">
        <v>-0.33567354102676616</v>
      </c>
      <c r="R159" s="2293">
        <v>-0.39960369881109647</v>
      </c>
      <c r="S159" s="2293">
        <v>-0.17491749174917492</v>
      </c>
      <c r="T159" s="2293">
        <v>-0.29200000000000004</v>
      </c>
      <c r="U159" s="2293">
        <v>-3.9548022598870025E-2</v>
      </c>
      <c r="V159" s="2293">
        <v>6.4705882352941169E-2</v>
      </c>
      <c r="W159" s="2293">
        <v>-0.40147329650092078</v>
      </c>
      <c r="X159" s="2293">
        <v>-3.6923076923076947E-2</v>
      </c>
      <c r="Y159" s="2293"/>
      <c r="Z159" s="2293"/>
      <c r="AA159"/>
      <c r="AB159" s="3146"/>
      <c r="AC159" s="3146"/>
      <c r="AD159" s="3146"/>
      <c r="AE159" s="3146"/>
      <c r="AF159" s="3146"/>
      <c r="AG159" s="3146"/>
      <c r="AH159" s="1953"/>
      <c r="AI159" s="1953"/>
      <c r="AJ159" s="1953"/>
      <c r="AK159" s="2293"/>
      <c r="AL159" s="2293"/>
      <c r="AM159" s="2293"/>
      <c r="AN159" s="2293"/>
      <c r="AO159" s="2293"/>
      <c r="AP159" s="2293"/>
      <c r="AQ159" s="2293"/>
      <c r="AR159" s="2293"/>
      <c r="AS159" s="2293"/>
      <c r="AT159" s="2293"/>
      <c r="AU159" s="2293"/>
      <c r="AV159" s="2293"/>
      <c r="AW159" s="2293"/>
      <c r="AX159" s="2293"/>
      <c r="AY159" s="2293"/>
      <c r="AZ159" s="2293"/>
      <c r="BA159" s="2293"/>
      <c r="BB159" s="2293"/>
      <c r="BC159" s="2293"/>
      <c r="BD159" s="2293"/>
      <c r="BE159" s="2293"/>
      <c r="BF159" s="2293"/>
      <c r="BG159" s="2293"/>
      <c r="BH159" s="2293"/>
      <c r="BI159" s="2293"/>
      <c r="BJ159" s="2293"/>
      <c r="BK159" s="2293"/>
      <c r="BL159" s="2293"/>
      <c r="BM159" s="2293"/>
      <c r="BN159" s="2293"/>
      <c r="BO159" s="2293"/>
      <c r="BP159" s="2293"/>
      <c r="BQ159" s="2293"/>
      <c r="BR159" s="2294"/>
      <c r="BS159" s="2293"/>
      <c r="BT159" s="2293"/>
      <c r="BU159" s="2293"/>
      <c r="BV159" s="2294"/>
      <c r="BW159" s="2293"/>
      <c r="BX159" s="2293"/>
      <c r="BY159" s="2293"/>
      <c r="BZ159" s="2294"/>
      <c r="CA159" s="2293"/>
      <c r="CB159" s="2293"/>
      <c r="CC159" s="2293"/>
      <c r="CD159" s="2294"/>
      <c r="CE159" s="2293"/>
      <c r="CF159" s="2293"/>
      <c r="CG159" s="2295"/>
      <c r="CH159" s="2294"/>
      <c r="CI159" s="2293"/>
      <c r="CJ159" s="2293"/>
      <c r="CK159" s="2295"/>
      <c r="CL159" s="2305" t="s">
        <v>1149</v>
      </c>
      <c r="CM159" s="2292" t="s">
        <v>1149</v>
      </c>
      <c r="CN159" s="2292" t="s">
        <v>1149</v>
      </c>
      <c r="CO159" s="2292" t="s">
        <v>1149</v>
      </c>
      <c r="CP159" s="2294">
        <v>-0.41900647948164149</v>
      </c>
      <c r="CQ159" s="2293">
        <v>-0.46005509641873277</v>
      </c>
      <c r="CR159" s="2293">
        <v>-0.39436619718309862</v>
      </c>
      <c r="CS159" s="2293">
        <v>-0.31231231231231227</v>
      </c>
      <c r="CT159" s="2294">
        <v>-0.21561338289962828</v>
      </c>
      <c r="CU159" s="2293">
        <v>-5.6122448979591844E-2</v>
      </c>
      <c r="CV159" s="2293">
        <v>-9.3023255813953543E-2</v>
      </c>
      <c r="CW159" s="2295">
        <v>-0.30567685589519655</v>
      </c>
      <c r="CX159" s="2294">
        <v>-0.38862559241706163</v>
      </c>
      <c r="CY159" s="2293">
        <v>-0.27027027027027029</v>
      </c>
      <c r="CZ159" s="2293">
        <v>-0.36410256410256414</v>
      </c>
      <c r="DA159" s="2295">
        <v>-0.10062893081761004</v>
      </c>
      <c r="DB159" s="2293">
        <v>-0.1705426356589147</v>
      </c>
      <c r="DC159" s="2293">
        <v>-7.4074074074074181E-3</v>
      </c>
      <c r="DD159" s="2293">
        <v>2.4193548387096753E-2</v>
      </c>
      <c r="DE159" s="2295">
        <v>-6.9930069930069783E-3</v>
      </c>
      <c r="DF159" s="2293">
        <v>0.34579439252336441</v>
      </c>
      <c r="DG159" s="2293">
        <v>4.4776119402984982E-2</v>
      </c>
      <c r="DH159" s="2293">
        <v>0.11811023622047245</v>
      </c>
      <c r="DI159" s="2295">
        <v>-0.176056338028169</v>
      </c>
      <c r="DJ159" s="2294">
        <v>-0.375</v>
      </c>
      <c r="DK159" s="2293">
        <v>-0.44999999999999996</v>
      </c>
      <c r="DL159" s="2293">
        <v>-0.40845070422535212</v>
      </c>
      <c r="DM159" s="2295">
        <v>-0.36752136752136755</v>
      </c>
      <c r="DN159" s="2293">
        <v>-0.15555555555555556</v>
      </c>
      <c r="DO159" s="2293">
        <v>0.12987012987012991</v>
      </c>
      <c r="DP159" s="2293">
        <v>-8.333333333333337E-2</v>
      </c>
      <c r="DQ159" s="2295">
        <v>-1.3513513513513487E-2</v>
      </c>
    </row>
    <row r="160" spans="1:130" ht="15" hidden="1" customHeight="1" outlineLevel="1">
      <c r="A160" s="2371"/>
      <c r="B160" s="1946"/>
      <c r="C160" s="1946"/>
      <c r="D160" s="1946"/>
      <c r="E160" s="1946"/>
      <c r="F160" s="1946"/>
      <c r="G160" s="1946"/>
      <c r="H160" s="1946"/>
      <c r="I160" s="1946"/>
      <c r="J160" s="1946"/>
      <c r="K160" s="1946"/>
      <c r="L160" s="2332"/>
      <c r="M160" s="1946"/>
      <c r="N160" s="1946"/>
      <c r="O160" s="1946"/>
      <c r="P160" s="1946"/>
      <c r="Q160" s="1903"/>
      <c r="R160" s="1946"/>
      <c r="S160" s="1946"/>
      <c r="T160" s="1903"/>
      <c r="U160" s="1903"/>
      <c r="V160" s="1946"/>
      <c r="W160" s="1946"/>
      <c r="X160" s="1946"/>
      <c r="Y160" s="1946"/>
      <c r="Z160" s="1946"/>
      <c r="AA160"/>
      <c r="AB160" s="3146"/>
      <c r="AC160" s="3146"/>
      <c r="AD160" s="3146"/>
      <c r="AE160" s="3146"/>
      <c r="AF160" s="3146"/>
      <c r="AG160" s="3146"/>
      <c r="AH160" s="1947"/>
      <c r="AI160" s="1927"/>
      <c r="AJ160" s="1947"/>
      <c r="AK160" s="1946"/>
      <c r="AL160" s="1946"/>
      <c r="AM160" s="1946"/>
      <c r="AN160" s="1946"/>
      <c r="AO160" s="1946"/>
      <c r="AP160" s="1946"/>
      <c r="AQ160" s="1946"/>
      <c r="AR160" s="1946"/>
      <c r="AS160" s="1946"/>
      <c r="AT160" s="1946"/>
      <c r="AU160" s="1946"/>
      <c r="AV160" s="1946"/>
      <c r="AW160" s="1946"/>
      <c r="AX160" s="1946"/>
      <c r="AY160" s="1946"/>
      <c r="AZ160" s="1946"/>
      <c r="BA160" s="1946"/>
      <c r="BB160" s="1946"/>
      <c r="BC160" s="1946"/>
      <c r="BD160" s="1946"/>
      <c r="BE160" s="1946"/>
      <c r="BF160" s="1946"/>
      <c r="BG160" s="1946"/>
      <c r="BH160" s="1946"/>
      <c r="BI160" s="1946"/>
      <c r="BJ160" s="1946"/>
      <c r="BK160" s="1946"/>
      <c r="BL160" s="1946"/>
      <c r="BM160" s="1946"/>
      <c r="BN160" s="2333"/>
      <c r="BO160" s="1946"/>
      <c r="BP160" s="2333"/>
      <c r="BQ160" s="2333"/>
      <c r="BR160" s="2334"/>
      <c r="BS160" s="2335"/>
      <c r="BT160" s="2335"/>
      <c r="BU160" s="2335"/>
      <c r="BV160" s="1942"/>
      <c r="BW160" s="1903"/>
      <c r="BX160" s="1903"/>
      <c r="BY160" s="1903"/>
      <c r="BZ160" s="1942"/>
      <c r="CA160" s="1903"/>
      <c r="CB160" s="1903"/>
      <c r="CC160" s="1903"/>
      <c r="CD160" s="1942"/>
      <c r="CE160" s="1903"/>
      <c r="CF160" s="1903"/>
      <c r="CG160" s="2236"/>
      <c r="CH160" s="1942"/>
      <c r="CI160" s="1903"/>
      <c r="CJ160" s="1903"/>
      <c r="CK160" s="2236"/>
      <c r="CL160" s="1942"/>
      <c r="CM160" s="1903"/>
      <c r="CN160" s="1903"/>
      <c r="CO160" s="1903"/>
      <c r="CP160" s="1942"/>
      <c r="CQ160" s="1903"/>
      <c r="CR160" s="1903"/>
      <c r="CS160" s="1903"/>
      <c r="CT160" s="1942"/>
      <c r="CU160" s="1903"/>
      <c r="CV160" s="1903"/>
      <c r="CW160" s="2236"/>
      <c r="CX160" s="1942"/>
      <c r="CY160" s="1903"/>
      <c r="CZ160" s="1903"/>
      <c r="DA160" s="1903"/>
      <c r="DB160" s="1942"/>
      <c r="DC160" s="1903"/>
      <c r="DD160" s="1903"/>
      <c r="DE160" s="1903"/>
      <c r="DF160" s="1942"/>
      <c r="DG160" s="1903"/>
      <c r="DH160" s="1903"/>
      <c r="DI160" s="1903"/>
      <c r="DJ160" s="1942"/>
      <c r="DK160" s="1903"/>
      <c r="DL160" s="1903"/>
      <c r="DM160" s="2236"/>
      <c r="DN160" s="1903"/>
      <c r="DO160" s="1903"/>
      <c r="DP160" s="1903"/>
      <c r="DQ160" s="2236"/>
    </row>
    <row r="161" spans="1:121" ht="15" hidden="1" customHeight="1" outlineLevel="1">
      <c r="A161" s="2336" t="s">
        <v>1557</v>
      </c>
      <c r="B161" s="2162"/>
      <c r="C161" s="2162"/>
      <c r="D161" s="2162"/>
      <c r="E161" s="2162"/>
      <c r="F161" s="2162"/>
      <c r="G161" s="2162"/>
      <c r="H161" s="2162"/>
      <c r="I161" s="2162"/>
      <c r="J161" s="2162"/>
      <c r="K161" s="2162"/>
      <c r="L161" s="2337">
        <v>55760</v>
      </c>
      <c r="M161" s="2162">
        <v>53800</v>
      </c>
      <c r="N161" s="2162">
        <v>49504</v>
      </c>
      <c r="O161" s="2162">
        <v>49129</v>
      </c>
      <c r="P161" s="2162">
        <v>48214</v>
      </c>
      <c r="Q161" s="2216">
        <v>42353</v>
      </c>
      <c r="R161" s="2162">
        <v>41227</v>
      </c>
      <c r="S161" s="2162">
        <v>40682</v>
      </c>
      <c r="T161" s="2216">
        <v>39523</v>
      </c>
      <c r="U161" s="2216">
        <v>38624</v>
      </c>
      <c r="V161" s="2162">
        <v>38429</v>
      </c>
      <c r="W161" s="2162">
        <v>37720</v>
      </c>
      <c r="X161" s="2162">
        <v>32712</v>
      </c>
      <c r="Y161" s="2162"/>
      <c r="Z161" s="2162"/>
      <c r="AA161"/>
      <c r="AB161" s="3146"/>
      <c r="AC161" s="3146"/>
      <c r="AD161" s="3146"/>
      <c r="AE161" s="3146"/>
      <c r="AF161" s="3146"/>
      <c r="AG161" s="3146"/>
      <c r="AH161" s="1952"/>
      <c r="AI161" s="2125"/>
      <c r="AJ161" s="1952"/>
      <c r="AK161" s="2162"/>
      <c r="AL161" s="2162"/>
      <c r="AM161" s="2162"/>
      <c r="AN161" s="2162"/>
      <c r="AO161" s="2162"/>
      <c r="AP161" s="2162"/>
      <c r="AQ161" s="2162"/>
      <c r="AR161" s="2162"/>
      <c r="AS161" s="2162"/>
      <c r="AT161" s="2162"/>
      <c r="AU161" s="2162"/>
      <c r="AV161" s="2162"/>
      <c r="AW161" s="2162"/>
      <c r="AX161" s="2162"/>
      <c r="AY161" s="2162"/>
      <c r="AZ161" s="2162"/>
      <c r="BA161" s="2162"/>
      <c r="BB161" s="2162"/>
      <c r="BC161" s="2162"/>
      <c r="BD161" s="2162"/>
      <c r="BE161" s="2162"/>
      <c r="BF161" s="2162"/>
      <c r="BG161" s="2162"/>
      <c r="BH161" s="2162"/>
      <c r="BI161" s="2162"/>
      <c r="BJ161" s="2162"/>
      <c r="BK161" s="2162"/>
      <c r="BL161" s="2162"/>
      <c r="BM161" s="2162"/>
      <c r="BN161" s="2162"/>
      <c r="BO161" s="2162"/>
      <c r="BP161" s="2162"/>
      <c r="BQ161" s="2162"/>
      <c r="BR161" s="1937">
        <v>14169</v>
      </c>
      <c r="BS161" s="2216">
        <v>13983</v>
      </c>
      <c r="BT161" s="2216">
        <v>13846</v>
      </c>
      <c r="BU161" s="2216">
        <v>13762</v>
      </c>
      <c r="BV161" s="1937">
        <v>13615</v>
      </c>
      <c r="BW161" s="2216">
        <v>13604</v>
      </c>
      <c r="BX161" s="2216">
        <v>13403</v>
      </c>
      <c r="BY161" s="2216">
        <v>13178</v>
      </c>
      <c r="BZ161" s="1937">
        <v>12142</v>
      </c>
      <c r="CA161" s="2216">
        <v>12457</v>
      </c>
      <c r="CB161" s="2216">
        <v>12483</v>
      </c>
      <c r="CC161" s="2216">
        <v>12422</v>
      </c>
      <c r="CD161" s="1937">
        <v>12178</v>
      </c>
      <c r="CE161" s="2216">
        <v>12330</v>
      </c>
      <c r="CF161" s="2216">
        <v>12372</v>
      </c>
      <c r="CG161" s="2219">
        <v>12249</v>
      </c>
      <c r="CH161" s="1937">
        <v>12026</v>
      </c>
      <c r="CI161" s="2216">
        <v>12113</v>
      </c>
      <c r="CJ161" s="2216">
        <v>12158</v>
      </c>
      <c r="CK161" s="2219">
        <v>11917</v>
      </c>
      <c r="CL161" s="1937">
        <v>10542</v>
      </c>
      <c r="CM161" s="2216">
        <v>10563</v>
      </c>
      <c r="CN161" s="2216">
        <v>10667</v>
      </c>
      <c r="CO161" s="2216">
        <v>10581</v>
      </c>
      <c r="CP161" s="1937">
        <v>10375</v>
      </c>
      <c r="CQ161" s="2216">
        <v>10277</v>
      </c>
      <c r="CR161" s="2216">
        <v>10286</v>
      </c>
      <c r="CS161" s="2216">
        <v>10289</v>
      </c>
      <c r="CT161" s="1937">
        <v>10147</v>
      </c>
      <c r="CU161" s="2216">
        <v>10247</v>
      </c>
      <c r="CV161" s="2216">
        <v>10149</v>
      </c>
      <c r="CW161" s="2219">
        <v>10139</v>
      </c>
      <c r="CX161" s="1937">
        <v>9945</v>
      </c>
      <c r="CY161" s="2216">
        <v>9904</v>
      </c>
      <c r="CZ161" s="2216">
        <v>9914</v>
      </c>
      <c r="DA161" s="2216">
        <v>9760</v>
      </c>
      <c r="DB161" s="1937">
        <v>9650</v>
      </c>
      <c r="DC161" s="2216">
        <v>9605</v>
      </c>
      <c r="DD161" s="2216">
        <v>9657</v>
      </c>
      <c r="DE161" s="2216">
        <v>9712</v>
      </c>
      <c r="DF161" s="1937">
        <v>9662</v>
      </c>
      <c r="DG161" s="2216">
        <v>9631</v>
      </c>
      <c r="DH161" s="2216">
        <v>9576</v>
      </c>
      <c r="DI161" s="2216">
        <v>9560</v>
      </c>
      <c r="DJ161" s="1937">
        <v>9469</v>
      </c>
      <c r="DK161" s="2216">
        <v>9423</v>
      </c>
      <c r="DL161" s="2216">
        <v>9355</v>
      </c>
      <c r="DM161" s="2219">
        <v>9473</v>
      </c>
      <c r="DN161" s="2216">
        <v>9290</v>
      </c>
      <c r="DO161" s="2216">
        <v>7823</v>
      </c>
      <c r="DP161" s="2216">
        <v>7787</v>
      </c>
      <c r="DQ161" s="2219">
        <v>7812</v>
      </c>
    </row>
    <row r="162" spans="1:121" ht="15" hidden="1" customHeight="1" outlineLevel="1">
      <c r="A162" s="2338" t="s">
        <v>1453</v>
      </c>
      <c r="B162" s="2339"/>
      <c r="C162" s="2339"/>
      <c r="D162" s="2339"/>
      <c r="E162" s="2339"/>
      <c r="F162" s="2339"/>
      <c r="G162" s="2339"/>
      <c r="H162" s="2339"/>
      <c r="I162" s="2339"/>
      <c r="J162" s="2339"/>
      <c r="K162" s="2339"/>
      <c r="L162" s="2340"/>
      <c r="M162" s="2339">
        <v>-3.5150645624103305E-2</v>
      </c>
      <c r="N162" s="2339">
        <v>-7.9851301115241635E-2</v>
      </c>
      <c r="O162" s="2339">
        <v>-7.5751454427924747E-3</v>
      </c>
      <c r="P162" s="2339">
        <v>-1.862443770481792E-2</v>
      </c>
      <c r="Q162" s="2292" t="s">
        <v>1149</v>
      </c>
      <c r="R162" s="2339">
        <v>-2.6586074186008113E-2</v>
      </c>
      <c r="S162" s="2339">
        <v>-1.3219492080432715E-2</v>
      </c>
      <c r="T162" s="2341">
        <v>-2.8489258148566954E-2</v>
      </c>
      <c r="U162" s="2341">
        <v>-2.274624901955824E-2</v>
      </c>
      <c r="V162" s="2339">
        <v>-5.0486743993372052E-3</v>
      </c>
      <c r="W162" s="2339">
        <v>-1.8449608368679926E-2</v>
      </c>
      <c r="X162" s="2339">
        <v>-0.13276776246023325</v>
      </c>
      <c r="Y162" s="2339"/>
      <c r="Z162" s="2339"/>
      <c r="AA162"/>
      <c r="AB162" s="3146"/>
      <c r="AC162" s="3146"/>
      <c r="AD162" s="3146"/>
      <c r="AE162" s="3146"/>
      <c r="AF162" s="3146"/>
      <c r="AG162" s="3146"/>
      <c r="AH162" s="1953"/>
      <c r="AI162" s="1976"/>
      <c r="AJ162" s="1953"/>
      <c r="AK162" s="2339"/>
      <c r="AL162" s="2339"/>
      <c r="AM162" s="2339"/>
      <c r="AN162" s="2339"/>
      <c r="AO162" s="2339"/>
      <c r="AP162" s="2339"/>
      <c r="AQ162" s="2339"/>
      <c r="AR162" s="2339"/>
      <c r="AS162" s="2339"/>
      <c r="AT162" s="2339"/>
      <c r="AU162" s="2339"/>
      <c r="AV162" s="2339"/>
      <c r="AW162" s="2339"/>
      <c r="AX162" s="2339"/>
      <c r="AY162" s="2339"/>
      <c r="AZ162" s="2339"/>
      <c r="BA162" s="2339"/>
      <c r="BB162" s="2339"/>
      <c r="BC162" s="2339"/>
      <c r="BD162" s="2339"/>
      <c r="BE162" s="2339"/>
      <c r="BF162" s="2339"/>
      <c r="BG162" s="2339"/>
      <c r="BH162" s="2339"/>
      <c r="BI162" s="2339"/>
      <c r="BJ162" s="2339"/>
      <c r="BK162" s="2339"/>
      <c r="BL162" s="2339"/>
      <c r="BM162" s="2339"/>
      <c r="BN162" s="2340"/>
      <c r="BO162" s="2339"/>
      <c r="BP162" s="2340"/>
      <c r="BQ162" s="2340"/>
      <c r="BR162" s="2342"/>
      <c r="BS162" s="2343"/>
      <c r="BT162" s="2343"/>
      <c r="BU162" s="2343"/>
      <c r="BV162" s="2344">
        <v>-3.9099442444773813E-2</v>
      </c>
      <c r="BW162" s="2341">
        <v>-2.7104340985482422E-2</v>
      </c>
      <c r="BX162" s="2341">
        <v>-3.1994799942221541E-2</v>
      </c>
      <c r="BY162" s="2341">
        <v>-4.2435692486557208E-2</v>
      </c>
      <c r="BZ162" s="2344">
        <v>-0.10818949687844293</v>
      </c>
      <c r="CA162" s="2341">
        <v>-8.4313437224345811E-2</v>
      </c>
      <c r="CB162" s="2341">
        <v>-6.8641348951727243E-2</v>
      </c>
      <c r="CC162" s="2341">
        <v>-5.7368341174685034E-2</v>
      </c>
      <c r="CD162" s="2344">
        <v>2.9649151704826959E-3</v>
      </c>
      <c r="CE162" s="2341">
        <v>-1.0195071044392656E-2</v>
      </c>
      <c r="CF162" s="2341">
        <v>-8.8920932468157243E-3</v>
      </c>
      <c r="CG162" s="2345">
        <v>-1.392690388021256E-2</v>
      </c>
      <c r="CH162" s="2344">
        <v>-1.248152405977998E-2</v>
      </c>
      <c r="CI162" s="2341">
        <v>-1.7599351175993538E-2</v>
      </c>
      <c r="CJ162" s="2341">
        <v>-1.7297122534755904E-2</v>
      </c>
      <c r="CK162" s="2345">
        <v>-2.710425340844147E-2</v>
      </c>
      <c r="CL162" s="2305" t="s">
        <v>1149</v>
      </c>
      <c r="CM162" s="2292" t="s">
        <v>1149</v>
      </c>
      <c r="CN162" s="2292" t="s">
        <v>1149</v>
      </c>
      <c r="CO162" s="2292" t="s">
        <v>1149</v>
      </c>
      <c r="CP162" s="2344">
        <v>-1.5841396319484002E-2</v>
      </c>
      <c r="CQ162" s="2341">
        <v>-2.7075641389756711E-2</v>
      </c>
      <c r="CR162" s="2341">
        <v>-3.5717633823942996E-2</v>
      </c>
      <c r="CS162" s="2341">
        <v>-2.7596635478688181E-2</v>
      </c>
      <c r="CT162" s="2344">
        <v>-2.1975903614457781E-2</v>
      </c>
      <c r="CU162" s="2341">
        <v>-2.9191398267977009E-3</v>
      </c>
      <c r="CV162" s="2341">
        <v>-1.3319074470153569E-2</v>
      </c>
      <c r="CW162" s="2345">
        <v>-1.457867625619591E-2</v>
      </c>
      <c r="CX162" s="2344">
        <v>-1.9907361781807409E-2</v>
      </c>
      <c r="CY162" s="2341">
        <v>-3.3473211671708802E-2</v>
      </c>
      <c r="CZ162" s="2341">
        <v>-2.3154990639471906E-2</v>
      </c>
      <c r="DA162" s="2341">
        <v>-3.7380412269454544E-2</v>
      </c>
      <c r="DB162" s="2344">
        <v>-2.9663147310206139E-2</v>
      </c>
      <c r="DC162" s="2341">
        <v>-3.0189822294022672E-2</v>
      </c>
      <c r="DD162" s="2341">
        <v>-2.5922937260439816E-2</v>
      </c>
      <c r="DE162" s="2341">
        <v>-4.9180327868852958E-3</v>
      </c>
      <c r="DF162" s="2344">
        <v>1.2435233160621451E-3</v>
      </c>
      <c r="DG162" s="2341">
        <v>2.7069234773555717E-3</v>
      </c>
      <c r="DH162" s="2341">
        <v>-8.3876980428704284E-3</v>
      </c>
      <c r="DI162" s="2341">
        <v>-1.565074135090605E-2</v>
      </c>
      <c r="DJ162" s="2344">
        <v>-1.9975160422272875E-2</v>
      </c>
      <c r="DK162" s="2341">
        <v>-2.1596926591215815E-2</v>
      </c>
      <c r="DL162" s="2341">
        <v>-2.3078529657477032E-2</v>
      </c>
      <c r="DM162" s="2345">
        <v>-9.1004184100418328E-3</v>
      </c>
      <c r="DN162" s="2341">
        <v>-1.8903791319041074E-2</v>
      </c>
      <c r="DO162" s="2341">
        <v>-0.16979730446779162</v>
      </c>
      <c r="DP162" s="2341">
        <v>-0.1676109032602886</v>
      </c>
      <c r="DQ162" s="2345">
        <v>-0.17534044125409054</v>
      </c>
    </row>
    <row r="163" spans="1:121" ht="15" hidden="1" customHeight="1" outlineLevel="1">
      <c r="Z163" s="3250"/>
      <c r="AA163"/>
      <c r="AB163" s="3146"/>
      <c r="AC163" s="3146"/>
      <c r="AD163" s="3146"/>
      <c r="AE163" s="3146"/>
      <c r="AF163" s="3146"/>
      <c r="AG163" s="3146"/>
    </row>
    <row r="164" spans="1:121" ht="15" customHeight="1" collapsed="1">
      <c r="Z164" s="3250"/>
    </row>
    <row r="165" spans="1:121" ht="15" customHeight="1">
      <c r="Z165" s="3250"/>
    </row>
    <row r="166" spans="1:121" ht="15" customHeight="1">
      <c r="Z166" s="3250"/>
    </row>
    <row r="167" spans="1:121" ht="15" customHeight="1">
      <c r="Z167" s="3250"/>
    </row>
    <row r="168" spans="1:121" ht="15" customHeight="1">
      <c r="Z168" s="3250"/>
    </row>
    <row r="169" spans="1:121" ht="15" customHeight="1">
      <c r="Z169" s="3250"/>
    </row>
    <row r="170" spans="1:121" ht="15" customHeight="1">
      <c r="Z170" s="3250"/>
    </row>
    <row r="171" spans="1:121" ht="15" customHeight="1">
      <c r="Z171" s="3250"/>
    </row>
    <row r="172" spans="1:121" ht="15" customHeight="1">
      <c r="Z172" s="3250"/>
    </row>
    <row r="173" spans="1:121" ht="15" customHeight="1">
      <c r="Z173" s="3250"/>
    </row>
    <row r="174" spans="1:121" ht="15" customHeight="1">
      <c r="Z174" s="3250"/>
    </row>
    <row r="175" spans="1:121" ht="15" customHeight="1">
      <c r="Z175" s="3250"/>
    </row>
    <row r="176" spans="1:121" ht="15" customHeight="1">
      <c r="Z176" s="3250"/>
    </row>
    <row r="177" spans="26:26" ht="15" customHeight="1">
      <c r="Z177" s="3250"/>
    </row>
    <row r="178" spans="26:26" ht="15" customHeight="1">
      <c r="Z178" s="3250"/>
    </row>
    <row r="179" spans="26:26" ht="15" customHeight="1">
      <c r="Z179" s="3250"/>
    </row>
    <row r="180" spans="26:26" ht="15" customHeight="1">
      <c r="Z180" s="3250"/>
    </row>
    <row r="181" spans="26:26" ht="15" customHeight="1">
      <c r="Z181" s="3250"/>
    </row>
    <row r="205" spans="1:129" ht="15" customHeight="1">
      <c r="A205" s="1603"/>
      <c r="B205" s="86"/>
      <c r="C205" s="86"/>
      <c r="D205" s="86"/>
      <c r="E205" s="86"/>
      <c r="F205" s="86"/>
      <c r="G205" s="86"/>
      <c r="H205" s="86"/>
      <c r="I205" s="86"/>
      <c r="J205" s="86"/>
      <c r="K205" s="86"/>
      <c r="L205" s="86"/>
      <c r="M205" s="86"/>
      <c r="N205" s="86"/>
      <c r="O205" s="86"/>
      <c r="P205" s="86"/>
      <c r="Q205" s="1064"/>
      <c r="R205" s="86"/>
      <c r="S205" s="86"/>
      <c r="T205" s="1064"/>
      <c r="U205" s="1064"/>
      <c r="V205" s="86"/>
      <c r="W205" s="86"/>
      <c r="X205" s="86"/>
      <c r="Y205" s="86"/>
      <c r="Z205" s="86"/>
      <c r="AA205" s="1064"/>
      <c r="AB205" s="1064"/>
      <c r="AC205" s="1064"/>
      <c r="AD205" s="1064"/>
      <c r="AE205" s="1064"/>
      <c r="AF205" s="1064"/>
      <c r="AG205" s="1064"/>
      <c r="AH205" s="1947"/>
      <c r="AI205" s="606"/>
      <c r="AJ205" s="1947"/>
      <c r="AK205" s="86"/>
      <c r="AL205" s="86"/>
      <c r="AM205" s="86"/>
      <c r="AN205" s="86"/>
      <c r="AO205" s="86"/>
      <c r="AP205" s="86"/>
      <c r="AQ205" s="86"/>
      <c r="AR205" s="86"/>
      <c r="AS205" s="86"/>
      <c r="AT205" s="86"/>
      <c r="AU205" s="86"/>
      <c r="AV205" s="86"/>
      <c r="AW205" s="86"/>
      <c r="AX205" s="86"/>
      <c r="AY205" s="86"/>
      <c r="AZ205" s="86"/>
      <c r="BA205" s="86"/>
      <c r="BB205" s="86"/>
      <c r="BC205" s="86"/>
      <c r="BD205" s="86"/>
      <c r="BE205" s="86"/>
      <c r="BF205" s="86"/>
      <c r="BG205" s="86"/>
      <c r="BH205" s="86"/>
      <c r="BI205" s="86"/>
      <c r="BJ205" s="86"/>
      <c r="BK205" s="86"/>
      <c r="BL205" s="86"/>
      <c r="BM205" s="86"/>
      <c r="BN205" s="86"/>
      <c r="BO205" s="86"/>
      <c r="BP205" s="86"/>
      <c r="BQ205" s="86"/>
      <c r="BR205" s="607"/>
      <c r="BS205" s="1064"/>
      <c r="BT205" s="1064"/>
      <c r="BU205" s="1064"/>
      <c r="BV205" s="569"/>
      <c r="BW205" s="1064"/>
      <c r="BX205" s="1064"/>
      <c r="BY205" s="1064"/>
      <c r="BZ205" s="569"/>
      <c r="CA205" s="1064"/>
      <c r="CB205" s="1064"/>
      <c r="CC205" s="1064"/>
      <c r="CD205" s="569"/>
      <c r="CE205" s="1064"/>
      <c r="CF205" s="1064"/>
      <c r="CG205" s="568"/>
      <c r="CH205" s="569"/>
      <c r="CI205" s="1064"/>
      <c r="CJ205" s="1064"/>
      <c r="CK205" s="568"/>
      <c r="CL205" s="569"/>
      <c r="CM205" s="1064"/>
      <c r="CN205" s="1064"/>
      <c r="CO205" s="1064"/>
      <c r="CP205" s="569"/>
      <c r="CQ205" s="1064"/>
      <c r="CR205" s="1064"/>
      <c r="CS205" s="1064"/>
      <c r="CT205" s="569"/>
      <c r="CU205" s="1064"/>
      <c r="CV205" s="1064"/>
      <c r="CW205" s="568"/>
      <c r="CX205" s="569"/>
      <c r="CY205" s="1064"/>
      <c r="CZ205" s="1064"/>
      <c r="DA205" s="1064"/>
      <c r="DB205" s="569"/>
      <c r="DC205" s="1064"/>
      <c r="DD205" s="1064"/>
      <c r="DE205" s="1064"/>
      <c r="DF205" s="1064"/>
      <c r="DG205" s="1064"/>
      <c r="DH205" s="1064"/>
      <c r="DI205" s="1064"/>
      <c r="DJ205" s="1064"/>
      <c r="DK205" s="1064"/>
      <c r="DL205" s="1064"/>
      <c r="DM205" s="568"/>
      <c r="DN205" s="568"/>
      <c r="DO205" s="568"/>
      <c r="DP205" s="568"/>
      <c r="DQ205" s="568"/>
      <c r="DR205" s="568"/>
      <c r="DS205" s="568"/>
      <c r="DT205" s="568"/>
      <c r="DU205" s="568"/>
      <c r="DV205" s="568"/>
      <c r="DW205" s="568"/>
      <c r="DX205" s="568"/>
      <c r="DY205" s="568"/>
    </row>
    <row r="206" spans="1:129" ht="15" customHeight="1">
      <c r="A206" s="1604" t="s">
        <v>243</v>
      </c>
      <c r="B206" s="139"/>
      <c r="C206" s="139"/>
      <c r="D206" s="139"/>
      <c r="E206" s="139"/>
      <c r="F206" s="139"/>
      <c r="G206" s="139"/>
      <c r="H206" s="139"/>
      <c r="I206" s="139"/>
      <c r="J206" s="139"/>
      <c r="K206" s="139"/>
      <c r="L206" s="139"/>
      <c r="M206" s="139"/>
      <c r="N206" s="139"/>
      <c r="O206" s="139"/>
      <c r="P206" s="139"/>
      <c r="Q206" s="1048"/>
      <c r="R206" s="139"/>
      <c r="S206" s="139"/>
      <c r="T206" s="1048"/>
      <c r="U206" s="1048"/>
      <c r="V206" s="139"/>
      <c r="W206" s="139"/>
      <c r="X206" s="139"/>
      <c r="Y206" s="139"/>
      <c r="Z206" s="139"/>
      <c r="AA206" s="1048"/>
      <c r="AB206" s="1048"/>
      <c r="AC206" s="1048"/>
      <c r="AD206" s="1048"/>
      <c r="AE206" s="1048"/>
      <c r="AF206" s="1048"/>
      <c r="AG206" s="1048"/>
      <c r="AH206" s="1960"/>
      <c r="AI206" s="606"/>
      <c r="AJ206" s="1947"/>
      <c r="AK206" s="139"/>
      <c r="AL206" s="139"/>
      <c r="AM206" s="139"/>
      <c r="AN206" s="139"/>
      <c r="AO206" s="139"/>
      <c r="AP206" s="139"/>
      <c r="AQ206" s="139"/>
      <c r="AR206" s="139"/>
      <c r="AS206" s="139"/>
      <c r="AT206" s="139"/>
      <c r="AU206" s="139"/>
      <c r="AV206" s="139"/>
      <c r="AW206" s="139"/>
      <c r="AX206" s="139"/>
      <c r="AY206" s="139"/>
      <c r="AZ206" s="139"/>
      <c r="BA206" s="139"/>
      <c r="BB206" s="139"/>
      <c r="BC206" s="139"/>
      <c r="BD206" s="139"/>
      <c r="BE206" s="139"/>
      <c r="BF206" s="139"/>
      <c r="BG206" s="139"/>
      <c r="BH206" s="139"/>
      <c r="BI206" s="139"/>
      <c r="BJ206" s="139"/>
      <c r="BK206" s="139"/>
      <c r="BL206" s="139"/>
      <c r="BM206" s="139"/>
      <c r="BN206" s="139"/>
      <c r="BO206" s="139"/>
      <c r="BP206" s="139"/>
      <c r="BQ206" s="139"/>
      <c r="BR206" s="198"/>
      <c r="BS206" s="1048"/>
      <c r="BT206" s="1048"/>
      <c r="BU206" s="1048"/>
      <c r="BV206" s="198"/>
      <c r="BW206" s="1048"/>
      <c r="BX206" s="1048"/>
      <c r="BY206" s="1048"/>
      <c r="BZ206" s="198"/>
      <c r="CA206" s="1048"/>
      <c r="CB206" s="1048"/>
      <c r="CC206" s="1048"/>
      <c r="CD206" s="198"/>
      <c r="CE206" s="1048"/>
      <c r="CF206" s="1048"/>
      <c r="CG206" s="199"/>
      <c r="CH206" s="198"/>
      <c r="CI206" s="1048"/>
      <c r="CJ206" s="1048"/>
      <c r="CK206" s="199"/>
      <c r="CL206" s="198"/>
      <c r="CM206" s="1048"/>
      <c r="CN206" s="1048"/>
      <c r="CO206" s="1048"/>
      <c r="CP206" s="198"/>
      <c r="CQ206" s="1064"/>
      <c r="CR206" s="1299"/>
      <c r="CS206" s="1299"/>
      <c r="CT206" s="597"/>
      <c r="CU206" s="1299"/>
      <c r="CV206" s="1299"/>
      <c r="CW206" s="598"/>
      <c r="CX206" s="597"/>
      <c r="CY206" s="1299"/>
      <c r="CZ206" s="1299"/>
      <c r="DA206" s="1299"/>
      <c r="DB206" s="597"/>
      <c r="DC206" s="1299"/>
      <c r="DD206" s="1299"/>
      <c r="DE206" s="1299"/>
      <c r="DF206" s="1299"/>
      <c r="DG206" s="1299"/>
      <c r="DH206" s="1299"/>
      <c r="DI206" s="1299"/>
      <c r="DJ206" s="1299"/>
      <c r="DK206" s="1299"/>
      <c r="DL206" s="1299"/>
      <c r="DM206" s="598"/>
      <c r="DN206" s="598"/>
      <c r="DO206" s="598"/>
      <c r="DP206" s="598"/>
      <c r="DQ206" s="598"/>
      <c r="DR206" s="598"/>
      <c r="DS206" s="598"/>
      <c r="DT206" s="598"/>
      <c r="DU206" s="598"/>
      <c r="DV206" s="598"/>
      <c r="DW206" s="598"/>
      <c r="DX206" s="598"/>
      <c r="DY206" s="598"/>
    </row>
    <row r="207" spans="1:129" ht="15" customHeight="1">
      <c r="A207" s="1603" t="s">
        <v>232</v>
      </c>
      <c r="B207" s="86"/>
      <c r="C207" s="86"/>
      <c r="D207" s="86"/>
      <c r="E207" s="86"/>
      <c r="F207" s="86"/>
      <c r="G207" s="86"/>
      <c r="H207" s="86"/>
      <c r="I207" s="86"/>
      <c r="J207" s="86"/>
      <c r="K207" s="86"/>
      <c r="L207" s="86"/>
      <c r="M207" s="86"/>
      <c r="N207" s="86"/>
      <c r="O207" s="86"/>
      <c r="P207" s="86"/>
      <c r="Q207" s="1064"/>
      <c r="R207" s="86"/>
      <c r="S207" s="86"/>
      <c r="T207" s="1064"/>
      <c r="U207" s="1064"/>
      <c r="V207" s="86"/>
      <c r="W207" s="86"/>
      <c r="X207" s="86"/>
      <c r="Y207" s="86"/>
      <c r="Z207" s="86"/>
      <c r="AA207" s="1064"/>
      <c r="AB207" s="1064"/>
      <c r="AC207" s="1064"/>
      <c r="AD207" s="1064"/>
      <c r="AE207" s="1064"/>
      <c r="AF207" s="1064"/>
      <c r="AG207" s="1064"/>
      <c r="AH207" s="1947"/>
      <c r="AI207" s="606"/>
      <c r="AJ207" s="1947"/>
      <c r="AK207" s="86"/>
      <c r="AL207" s="86"/>
      <c r="AM207" s="86"/>
      <c r="AN207" s="86"/>
      <c r="AO207" s="86"/>
      <c r="AP207" s="86"/>
      <c r="AQ207" s="86"/>
      <c r="AR207" s="86"/>
      <c r="AS207" s="86"/>
      <c r="AT207" s="86"/>
      <c r="AU207" s="86"/>
      <c r="AV207" s="86"/>
      <c r="AW207" s="86"/>
      <c r="AX207" s="86"/>
      <c r="AY207" s="86"/>
      <c r="AZ207" s="86"/>
      <c r="BA207" s="86"/>
      <c r="BB207" s="86"/>
      <c r="BC207" s="86"/>
      <c r="BD207" s="86"/>
      <c r="BE207" s="86"/>
      <c r="BF207" s="86"/>
      <c r="BG207" s="86"/>
      <c r="BH207" s="86"/>
      <c r="BI207" s="86"/>
      <c r="BJ207" s="86"/>
      <c r="BK207" s="86"/>
      <c r="BL207" s="86"/>
      <c r="BM207" s="86"/>
      <c r="BN207" s="86"/>
      <c r="BO207" s="86"/>
      <c r="BP207" s="86"/>
      <c r="BQ207" s="86"/>
      <c r="BR207" s="569"/>
      <c r="BS207" s="1064"/>
      <c r="BT207" s="1064"/>
      <c r="BU207" s="1064"/>
      <c r="BV207" s="569"/>
      <c r="BW207" s="1064"/>
      <c r="BX207" s="1064"/>
      <c r="BY207" s="1064"/>
      <c r="BZ207" s="569"/>
      <c r="CA207" s="1064"/>
      <c r="CB207" s="1064"/>
      <c r="CC207" s="1064"/>
      <c r="CD207" s="569"/>
      <c r="CE207" s="1064"/>
      <c r="CF207" s="1064"/>
      <c r="CG207" s="568"/>
      <c r="CH207" s="569"/>
      <c r="CI207" s="1064"/>
      <c r="CJ207" s="1064"/>
      <c r="CK207" s="568"/>
      <c r="CL207" s="569"/>
      <c r="CM207" s="1064"/>
      <c r="CN207" s="1064"/>
      <c r="CO207" s="1064"/>
      <c r="CP207" s="569"/>
      <c r="CQ207" s="1064"/>
      <c r="CR207" s="1064"/>
      <c r="CS207" s="1064"/>
      <c r="CT207" s="569"/>
      <c r="CU207" s="1064"/>
      <c r="CV207" s="1064"/>
      <c r="CW207" s="568"/>
      <c r="CX207" s="569"/>
      <c r="CY207" s="1064"/>
      <c r="CZ207" s="1064"/>
      <c r="DA207" s="1064"/>
      <c r="DB207" s="569"/>
      <c r="DC207" s="1064"/>
      <c r="DD207" s="1064"/>
      <c r="DE207" s="1064"/>
      <c r="DF207" s="1064"/>
      <c r="DG207" s="1064"/>
      <c r="DH207" s="1064"/>
      <c r="DI207" s="1064"/>
      <c r="DJ207" s="1064"/>
      <c r="DK207" s="1064"/>
      <c r="DL207" s="1064"/>
      <c r="DM207" s="568"/>
      <c r="DN207" s="568"/>
      <c r="DO207" s="568"/>
      <c r="DP207" s="568"/>
      <c r="DQ207" s="568"/>
      <c r="DR207" s="568"/>
      <c r="DS207" s="568"/>
      <c r="DT207" s="568"/>
      <c r="DU207" s="568"/>
      <c r="DV207" s="568"/>
      <c r="DW207" s="568"/>
      <c r="DX207" s="568"/>
      <c r="DY207" s="568"/>
    </row>
    <row r="208" spans="1:129" ht="15" customHeight="1">
      <c r="A208" s="1603" t="s">
        <v>244</v>
      </c>
      <c r="B208" s="86"/>
      <c r="C208" s="86"/>
      <c r="D208" s="86"/>
      <c r="E208" s="86"/>
      <c r="F208" s="86"/>
      <c r="G208" s="86"/>
      <c r="H208" s="86"/>
      <c r="I208" s="86"/>
      <c r="J208" s="86"/>
      <c r="K208" s="86"/>
      <c r="L208" s="86"/>
      <c r="M208" s="86"/>
      <c r="N208" s="86"/>
      <c r="O208" s="217">
        <f>Lines!O11</f>
        <v>14817</v>
      </c>
      <c r="P208" s="217">
        <f>Lines!P11</f>
        <v>13316.531999999999</v>
      </c>
      <c r="Q208" s="1070">
        <f>Lines!Q11</f>
        <v>13662</v>
      </c>
      <c r="R208" s="217"/>
      <c r="S208" s="217"/>
      <c r="T208" s="1070"/>
      <c r="U208" s="1070"/>
      <c r="V208" s="217"/>
      <c r="W208" s="217"/>
      <c r="X208" s="217"/>
      <c r="Y208" s="217"/>
      <c r="Z208" s="217"/>
      <c r="AA208" s="1070"/>
      <c r="AB208" s="1070"/>
      <c r="AC208" s="1070"/>
      <c r="AD208" s="1070"/>
      <c r="AE208" s="1070"/>
      <c r="AF208" s="1070"/>
      <c r="AG208" s="1070"/>
      <c r="AH208" s="1974"/>
      <c r="AI208" s="606"/>
      <c r="AJ208" s="1947"/>
      <c r="AK208" s="86"/>
      <c r="AL208" s="86"/>
      <c r="AM208" s="86"/>
      <c r="AN208" s="86"/>
      <c r="AO208" s="86"/>
      <c r="AP208" s="86"/>
      <c r="AQ208" s="86"/>
      <c r="AR208" s="86"/>
      <c r="AS208" s="86"/>
      <c r="AT208" s="86"/>
      <c r="AU208" s="86"/>
      <c r="AV208" s="86"/>
      <c r="AW208" s="86"/>
      <c r="AX208" s="86"/>
      <c r="AY208" s="86"/>
      <c r="AZ208" s="86"/>
      <c r="BA208" s="86"/>
      <c r="BB208" s="86"/>
      <c r="BC208" s="86"/>
      <c r="BD208" s="86"/>
      <c r="BE208" s="86"/>
      <c r="BF208" s="86"/>
      <c r="BG208" s="86"/>
      <c r="BH208" s="86"/>
      <c r="BI208" s="86"/>
      <c r="BJ208" s="86"/>
      <c r="BK208" s="86"/>
      <c r="BL208" s="86"/>
      <c r="BM208" s="86"/>
      <c r="BN208" s="86"/>
      <c r="BO208" s="86"/>
      <c r="BP208" s="86"/>
      <c r="BQ208" s="86"/>
      <c r="BR208" s="607">
        <f>Lines!BR11</f>
        <v>26418.505390439597</v>
      </c>
      <c r="BS208" s="1070">
        <f>Lines!BS11</f>
        <v>25800.873149508421</v>
      </c>
      <c r="BT208" s="1070">
        <f>Lines!BT11</f>
        <v>25368.302288394167</v>
      </c>
      <c r="BU208" s="1070">
        <f>Lines!BU11</f>
        <v>24979.492807096849</v>
      </c>
      <c r="BV208" s="607">
        <f>Lines!BV11</f>
        <v>24722.165148604359</v>
      </c>
      <c r="BW208" s="1070">
        <f>Lines!BW11</f>
        <v>24212.519629336646</v>
      </c>
      <c r="BX208" s="1070">
        <f>Lines!BX11</f>
        <v>23763.456249293708</v>
      </c>
      <c r="BY208" s="1070">
        <f>Lines!BY11</f>
        <v>23391.076641428408</v>
      </c>
      <c r="BZ208" s="607">
        <f>Lines!BZ11</f>
        <v>23953</v>
      </c>
      <c r="CA208" s="1070">
        <f>Lines!CA11</f>
        <v>23522</v>
      </c>
      <c r="CB208" s="1070">
        <f>Lines!CB11</f>
        <v>23104</v>
      </c>
      <c r="CC208" s="1070">
        <f>Lines!CC11</f>
        <v>22738</v>
      </c>
      <c r="CD208" s="607">
        <f>Lines!CD11</f>
        <v>21419</v>
      </c>
      <c r="CE208" s="1070">
        <f>Lines!CE11</f>
        <v>21039</v>
      </c>
      <c r="CF208" s="1070">
        <f>Lines!CF11</f>
        <v>20575</v>
      </c>
      <c r="CG208" s="608">
        <f>Lines!CG11</f>
        <v>14817</v>
      </c>
      <c r="CH208" s="607">
        <f>Lines!CH11</f>
        <v>14480</v>
      </c>
      <c r="CI208" s="1070">
        <f>Lines!CI11</f>
        <v>14054.679054054053</v>
      </c>
      <c r="CJ208" s="1070">
        <f>Lines!CJ11</f>
        <v>13637.02372881356</v>
      </c>
      <c r="CK208" s="608">
        <f>Lines!CK11</f>
        <v>13316.531999999999</v>
      </c>
      <c r="CL208" s="607">
        <f>Lines!CL11</f>
        <v>14747</v>
      </c>
      <c r="CM208" s="1070">
        <f>Lines!CM11</f>
        <v>14391</v>
      </c>
      <c r="CN208" s="1070">
        <f>Lines!CN11</f>
        <v>14030</v>
      </c>
      <c r="CO208" s="1070">
        <f>Lines!CO11</f>
        <v>13662</v>
      </c>
      <c r="CP208" s="607">
        <f>Lines!CP11</f>
        <v>13351</v>
      </c>
      <c r="CQ208" s="1064"/>
      <c r="CR208" s="1064"/>
      <c r="CS208" s="1064"/>
      <c r="CT208" s="569"/>
      <c r="CU208" s="1064"/>
      <c r="CV208" s="1064"/>
      <c r="CW208" s="568"/>
      <c r="CX208" s="569"/>
      <c r="CY208" s="1064"/>
      <c r="CZ208" s="1064"/>
      <c r="DA208" s="1064"/>
      <c r="DB208" s="569"/>
      <c r="DC208" s="1064"/>
      <c r="DD208" s="1064"/>
      <c r="DE208" s="1064"/>
      <c r="DF208" s="1064"/>
      <c r="DG208" s="1064"/>
      <c r="DH208" s="1064"/>
      <c r="DI208" s="1064"/>
      <c r="DJ208" s="1064"/>
      <c r="DK208" s="1064"/>
      <c r="DL208" s="1064"/>
      <c r="DM208" s="568"/>
      <c r="DN208" s="568"/>
      <c r="DO208" s="568"/>
      <c r="DP208" s="568"/>
      <c r="DQ208" s="568"/>
      <c r="DR208" s="568"/>
      <c r="DS208" s="568"/>
      <c r="DT208" s="568"/>
      <c r="DU208" s="568"/>
      <c r="DV208" s="568"/>
      <c r="DW208" s="568"/>
      <c r="DX208" s="568"/>
      <c r="DY208" s="568"/>
    </row>
    <row r="209" spans="1:130" ht="15" customHeight="1">
      <c r="A209" s="1603" t="s">
        <v>245</v>
      </c>
      <c r="B209" s="86"/>
      <c r="C209" s="86"/>
      <c r="D209" s="86"/>
      <c r="E209" s="86"/>
      <c r="F209" s="86"/>
      <c r="G209" s="86"/>
      <c r="H209" s="86"/>
      <c r="I209" s="86"/>
      <c r="J209" s="86"/>
      <c r="K209" s="86"/>
      <c r="L209" s="86"/>
      <c r="M209" s="86"/>
      <c r="N209" s="86"/>
      <c r="O209" s="86"/>
      <c r="P209" s="86"/>
      <c r="Q209" s="1064"/>
      <c r="R209" s="86"/>
      <c r="S209" s="86"/>
      <c r="T209" s="1064"/>
      <c r="U209" s="1064"/>
      <c r="V209" s="86"/>
      <c r="W209" s="86"/>
      <c r="X209" s="86"/>
      <c r="Y209" s="86"/>
      <c r="Z209" s="86"/>
      <c r="AA209" s="1064"/>
      <c r="AB209" s="1064"/>
      <c r="AC209" s="1064"/>
      <c r="AD209" s="1064"/>
      <c r="AE209" s="1064"/>
      <c r="AF209" s="1064"/>
      <c r="AG209" s="1064"/>
      <c r="AH209" s="1947"/>
      <c r="AI209" s="606"/>
      <c r="AJ209" s="1947"/>
      <c r="AK209" s="86"/>
      <c r="AL209" s="86"/>
      <c r="AM209" s="86"/>
      <c r="AN209" s="86"/>
      <c r="AO209" s="86"/>
      <c r="AP209" s="86"/>
      <c r="AQ209" s="86"/>
      <c r="AR209" s="86"/>
      <c r="AS209" s="86"/>
      <c r="AT209" s="86"/>
      <c r="AU209" s="86"/>
      <c r="AV209" s="86"/>
      <c r="AW209" s="86"/>
      <c r="AX209" s="86"/>
      <c r="AY209" s="86"/>
      <c r="AZ209" s="86"/>
      <c r="BA209" s="86"/>
      <c r="BB209" s="86"/>
      <c r="BC209" s="86"/>
      <c r="BD209" s="86"/>
      <c r="BE209" s="86"/>
      <c r="BF209" s="86"/>
      <c r="BG209" s="86"/>
      <c r="BH209" s="86"/>
      <c r="BI209" s="86"/>
      <c r="BJ209" s="86"/>
      <c r="BK209" s="86"/>
      <c r="BL209" s="86"/>
      <c r="BM209" s="86"/>
      <c r="BN209" s="86"/>
      <c r="BO209" s="86"/>
      <c r="BP209" s="86"/>
      <c r="BQ209" s="86"/>
      <c r="BR209" s="607">
        <f t="shared" ref="BR209:BX209" si="365">(1-BS210)*BS209</f>
        <v>1541.9300348735831</v>
      </c>
      <c r="BS209" s="1070">
        <f t="shared" si="365"/>
        <v>1585.9851787271139</v>
      </c>
      <c r="BT209" s="1070">
        <f t="shared" si="365"/>
        <v>1467.0362903225803</v>
      </c>
      <c r="BU209" s="1070">
        <f t="shared" si="365"/>
        <v>1425.1209677419354</v>
      </c>
      <c r="BV209" s="607">
        <f t="shared" si="365"/>
        <v>1383.2056451612902</v>
      </c>
      <c r="BW209" s="1070">
        <f t="shared" si="365"/>
        <v>1341.2903225806451</v>
      </c>
      <c r="BX209" s="1070">
        <f t="shared" si="365"/>
        <v>1260</v>
      </c>
      <c r="BY209" s="1070">
        <v>1200</v>
      </c>
      <c r="BZ209" s="607"/>
      <c r="CA209" s="1070"/>
      <c r="CB209" s="1070"/>
      <c r="CC209" s="1070"/>
      <c r="CD209" s="607"/>
      <c r="CE209" s="1070"/>
      <c r="CF209" s="1070"/>
      <c r="CG209" s="608"/>
      <c r="CH209" s="607"/>
      <c r="CI209" s="1070"/>
      <c r="CJ209" s="1070"/>
      <c r="CK209" s="608"/>
      <c r="CL209" s="607"/>
      <c r="CM209" s="1070"/>
      <c r="CN209" s="1070"/>
      <c r="CO209" s="1070"/>
      <c r="CP209" s="607"/>
      <c r="CQ209" s="1064"/>
      <c r="CR209" s="1064"/>
      <c r="CS209" s="1064"/>
      <c r="CT209" s="569"/>
      <c r="CU209" s="1064"/>
      <c r="CV209" s="1064"/>
      <c r="CW209" s="568"/>
      <c r="CX209" s="569"/>
      <c r="CY209" s="1064"/>
      <c r="CZ209" s="1064"/>
      <c r="DA209" s="1064"/>
      <c r="DB209" s="569"/>
      <c r="DC209" s="1064"/>
      <c r="DD209" s="1064"/>
      <c r="DE209" s="1064"/>
      <c r="DF209" s="1064"/>
      <c r="DG209" s="1064"/>
      <c r="DH209" s="1064"/>
      <c r="DI209" s="1064"/>
      <c r="DJ209" s="1064"/>
      <c r="DK209" s="1064"/>
      <c r="DL209" s="1064"/>
      <c r="DM209" s="568"/>
      <c r="DN209" s="568"/>
      <c r="DO209" s="568"/>
      <c r="DP209" s="568"/>
      <c r="DQ209" s="568"/>
      <c r="DR209" s="568"/>
      <c r="DS209" s="568"/>
      <c r="DT209" s="568"/>
      <c r="DU209" s="568"/>
      <c r="DV209" s="568"/>
      <c r="DW209" s="568"/>
      <c r="DX209" s="568"/>
      <c r="DY209" s="568"/>
    </row>
    <row r="210" spans="1:130" s="120" customFormat="1" ht="15" customHeight="1">
      <c r="A210" s="1603" t="s">
        <v>246</v>
      </c>
      <c r="B210" s="562"/>
      <c r="C210" s="562"/>
      <c r="D210" s="562"/>
      <c r="E210" s="562"/>
      <c r="F210" s="562"/>
      <c r="G210" s="562"/>
      <c r="H210" s="562"/>
      <c r="I210" s="562"/>
      <c r="J210" s="562"/>
      <c r="K210" s="562"/>
      <c r="L210" s="562"/>
      <c r="M210" s="562"/>
      <c r="N210" s="562"/>
      <c r="O210" s="562"/>
      <c r="P210" s="562"/>
      <c r="Q210" s="1065"/>
      <c r="R210" s="562"/>
      <c r="S210" s="562"/>
      <c r="T210" s="1065"/>
      <c r="U210" s="1065"/>
      <c r="V210" s="562"/>
      <c r="W210" s="562"/>
      <c r="X210" s="562"/>
      <c r="Y210" s="562"/>
      <c r="Z210" s="562"/>
      <c r="AA210" s="1065"/>
      <c r="AB210" s="1065"/>
      <c r="AC210" s="1065"/>
      <c r="AD210" s="1065"/>
      <c r="AE210" s="1065"/>
      <c r="AF210" s="1065"/>
      <c r="AG210" s="1065"/>
      <c r="AH210" s="1927"/>
      <c r="AI210" s="606"/>
      <c r="AJ210" s="1927"/>
      <c r="AK210" s="562"/>
      <c r="AL210" s="562"/>
      <c r="AM210" s="562"/>
      <c r="AN210" s="562"/>
      <c r="AO210" s="562"/>
      <c r="AP210" s="562"/>
      <c r="AQ210" s="562"/>
      <c r="AR210" s="562"/>
      <c r="AS210" s="562"/>
      <c r="AT210" s="562"/>
      <c r="AU210" s="562"/>
      <c r="AV210" s="562"/>
      <c r="AW210" s="562"/>
      <c r="AX210" s="562"/>
      <c r="AY210" s="562"/>
      <c r="AZ210" s="562"/>
      <c r="BA210" s="562"/>
      <c r="BB210" s="562"/>
      <c r="BC210" s="562"/>
      <c r="BD210" s="562"/>
      <c r="BE210" s="562"/>
      <c r="BF210" s="562"/>
      <c r="BG210" s="562"/>
      <c r="BH210" s="562"/>
      <c r="BI210" s="562"/>
      <c r="BJ210" s="562"/>
      <c r="BK210" s="562"/>
      <c r="BL210" s="562"/>
      <c r="BM210" s="562"/>
      <c r="BN210" s="562"/>
      <c r="BO210" s="562"/>
      <c r="BP210" s="562"/>
      <c r="BQ210" s="562"/>
      <c r="BR210" s="563"/>
      <c r="BS210" s="1313">
        <v>2.7777777777777679E-2</v>
      </c>
      <c r="BT210" s="1313">
        <v>-8.108108108108103E-2</v>
      </c>
      <c r="BU210" s="1313">
        <v>-2.9411764705882359E-2</v>
      </c>
      <c r="BV210" s="162">
        <v>-3.0303030303030276E-2</v>
      </c>
      <c r="BW210" s="1313">
        <v>-3.125E-2</v>
      </c>
      <c r="BX210" s="1313">
        <v>-6.4516129032258118E-2</v>
      </c>
      <c r="BY210" s="1313">
        <v>-0.05</v>
      </c>
      <c r="BZ210" s="162">
        <v>-0.05</v>
      </c>
      <c r="CA210" s="1313">
        <v>-0.05</v>
      </c>
      <c r="CB210" s="1313">
        <v>-0.05</v>
      </c>
      <c r="CC210" s="1313">
        <v>-0.05</v>
      </c>
      <c r="CD210" s="162">
        <v>-0.05</v>
      </c>
      <c r="CE210" s="1313">
        <v>-0.05</v>
      </c>
      <c r="CF210" s="1313">
        <v>-0.05</v>
      </c>
      <c r="CG210" s="1343">
        <v>-0.05</v>
      </c>
      <c r="CH210" s="162">
        <v>-0.05</v>
      </c>
      <c r="CI210" s="1313">
        <v>-0.05</v>
      </c>
      <c r="CJ210" s="1313">
        <v>-0.05</v>
      </c>
      <c r="CK210" s="1343">
        <v>-0.05</v>
      </c>
      <c r="CL210" s="162">
        <f>+CK210</f>
        <v>-0.05</v>
      </c>
      <c r="CM210" s="1313">
        <f>+CL210</f>
        <v>-0.05</v>
      </c>
      <c r="CN210" s="1313">
        <f>+CM210</f>
        <v>-0.05</v>
      </c>
      <c r="CO210" s="1313">
        <f>+CN210</f>
        <v>-0.05</v>
      </c>
      <c r="CP210" s="162">
        <f>+CO210</f>
        <v>-0.05</v>
      </c>
      <c r="CQ210" s="1065"/>
      <c r="CR210" s="1065"/>
      <c r="CS210" s="1065"/>
      <c r="CT210" s="563"/>
      <c r="CU210" s="1065"/>
      <c r="CV210" s="1065"/>
      <c r="CW210" s="564"/>
      <c r="CX210" s="563"/>
      <c r="CY210" s="1065"/>
      <c r="CZ210" s="1065"/>
      <c r="DA210" s="1065"/>
      <c r="DB210" s="563"/>
      <c r="DC210" s="1065"/>
      <c r="DD210" s="1065"/>
      <c r="DE210" s="1065"/>
      <c r="DF210" s="1065"/>
      <c r="DG210" s="1065"/>
      <c r="DH210" s="1065"/>
      <c r="DI210" s="1065"/>
      <c r="DJ210" s="1065"/>
      <c r="DK210" s="1065"/>
      <c r="DL210" s="1065"/>
      <c r="DM210" s="564"/>
      <c r="DN210" s="564"/>
      <c r="DO210" s="564"/>
      <c r="DP210" s="564"/>
      <c r="DQ210" s="564"/>
      <c r="DR210" s="564"/>
      <c r="DS210" s="564"/>
      <c r="DT210" s="564"/>
      <c r="DU210" s="564"/>
      <c r="DV210" s="564"/>
      <c r="DW210" s="564"/>
      <c r="DX210" s="564"/>
      <c r="DY210" s="564"/>
      <c r="DZ210" s="562"/>
    </row>
    <row r="211" spans="1:130" ht="15" customHeight="1">
      <c r="A211" s="1603" t="s">
        <v>247</v>
      </c>
      <c r="B211" s="86"/>
      <c r="C211" s="86"/>
      <c r="D211" s="86"/>
      <c r="E211" s="86"/>
      <c r="F211" s="86"/>
      <c r="G211" s="86"/>
      <c r="H211" s="86"/>
      <c r="I211" s="86"/>
      <c r="J211" s="86"/>
      <c r="K211" s="86"/>
      <c r="L211" s="217">
        <f>BU211</f>
        <v>26404.613774838785</v>
      </c>
      <c r="M211" s="217">
        <f>BY211</f>
        <v>24591.076641428408</v>
      </c>
      <c r="N211" s="217">
        <f>CC211</f>
        <v>22738</v>
      </c>
      <c r="O211" s="217">
        <f>O208</f>
        <v>14817</v>
      </c>
      <c r="P211" s="217">
        <f>P208</f>
        <v>13316.531999999999</v>
      </c>
      <c r="Q211" s="1070">
        <f>Q208</f>
        <v>13662</v>
      </c>
      <c r="R211" s="217"/>
      <c r="S211" s="217"/>
      <c r="T211" s="1070"/>
      <c r="U211" s="1070"/>
      <c r="V211" s="217"/>
      <c r="W211" s="217"/>
      <c r="X211" s="217"/>
      <c r="Y211" s="217"/>
      <c r="Z211" s="217"/>
      <c r="AA211" s="1070"/>
      <c r="AB211" s="1070"/>
      <c r="AC211" s="1070"/>
      <c r="AD211" s="1070"/>
      <c r="AE211" s="1070"/>
      <c r="AF211" s="1070"/>
      <c r="AG211" s="1070"/>
      <c r="AH211" s="1974"/>
      <c r="AI211" s="606"/>
      <c r="AJ211" s="1947"/>
      <c r="AK211" s="86"/>
      <c r="AL211" s="86"/>
      <c r="AM211" s="86"/>
      <c r="AN211" s="86"/>
      <c r="AO211" s="86"/>
      <c r="AP211" s="86"/>
      <c r="AQ211" s="86"/>
      <c r="AR211" s="86"/>
      <c r="AS211" s="86"/>
      <c r="AT211" s="86"/>
      <c r="AU211" s="86"/>
      <c r="AV211" s="86"/>
      <c r="AW211" s="86"/>
      <c r="AX211" s="86"/>
      <c r="AY211" s="86"/>
      <c r="AZ211" s="86"/>
      <c r="BA211" s="86"/>
      <c r="BB211" s="86"/>
      <c r="BC211" s="86"/>
      <c r="BD211" s="86"/>
      <c r="BE211" s="86"/>
      <c r="BF211" s="86"/>
      <c r="BG211" s="86"/>
      <c r="BH211" s="86"/>
      <c r="BI211" s="86"/>
      <c r="BJ211" s="86"/>
      <c r="BK211" s="86"/>
      <c r="BL211" s="86"/>
      <c r="BM211" s="86"/>
      <c r="BN211" s="86"/>
      <c r="BO211" s="86"/>
      <c r="BP211" s="86"/>
      <c r="BQ211" s="86"/>
      <c r="BR211" s="607">
        <f t="shared" ref="BR211:CP211" si="366">BR208+BR209</f>
        <v>27960.435425313179</v>
      </c>
      <c r="BS211" s="1070">
        <f t="shared" si="366"/>
        <v>27386.858328235536</v>
      </c>
      <c r="BT211" s="1070">
        <f t="shared" si="366"/>
        <v>26835.338578716746</v>
      </c>
      <c r="BU211" s="1070">
        <f t="shared" si="366"/>
        <v>26404.613774838785</v>
      </c>
      <c r="BV211" s="607">
        <f t="shared" si="366"/>
        <v>26105.370793765651</v>
      </c>
      <c r="BW211" s="1070">
        <f t="shared" si="366"/>
        <v>25553.80995191729</v>
      </c>
      <c r="BX211" s="1070">
        <f t="shared" si="366"/>
        <v>25023.456249293708</v>
      </c>
      <c r="BY211" s="1070">
        <f t="shared" si="366"/>
        <v>24591.076641428408</v>
      </c>
      <c r="BZ211" s="607">
        <f t="shared" si="366"/>
        <v>23953</v>
      </c>
      <c r="CA211" s="1070">
        <f t="shared" si="366"/>
        <v>23522</v>
      </c>
      <c r="CB211" s="1070">
        <f t="shared" si="366"/>
        <v>23104</v>
      </c>
      <c r="CC211" s="1070">
        <f t="shared" si="366"/>
        <v>22738</v>
      </c>
      <c r="CD211" s="607">
        <f t="shared" si="366"/>
        <v>21419</v>
      </c>
      <c r="CE211" s="1070">
        <f t="shared" si="366"/>
        <v>21039</v>
      </c>
      <c r="CF211" s="1070">
        <f t="shared" si="366"/>
        <v>20575</v>
      </c>
      <c r="CG211" s="608">
        <f t="shared" si="366"/>
        <v>14817</v>
      </c>
      <c r="CH211" s="607">
        <f t="shared" si="366"/>
        <v>14480</v>
      </c>
      <c r="CI211" s="1070">
        <f t="shared" si="366"/>
        <v>14054.679054054053</v>
      </c>
      <c r="CJ211" s="1070">
        <f t="shared" si="366"/>
        <v>13637.02372881356</v>
      </c>
      <c r="CK211" s="608">
        <f t="shared" si="366"/>
        <v>13316.531999999999</v>
      </c>
      <c r="CL211" s="607">
        <f t="shared" si="366"/>
        <v>14747</v>
      </c>
      <c r="CM211" s="1070">
        <f t="shared" si="366"/>
        <v>14391</v>
      </c>
      <c r="CN211" s="1070">
        <f t="shared" si="366"/>
        <v>14030</v>
      </c>
      <c r="CO211" s="1070">
        <f t="shared" si="366"/>
        <v>13662</v>
      </c>
      <c r="CP211" s="607">
        <f t="shared" si="366"/>
        <v>13351</v>
      </c>
      <c r="CQ211" s="1064"/>
      <c r="CR211" s="1064"/>
      <c r="CS211" s="1064"/>
      <c r="CT211" s="569"/>
      <c r="CU211" s="1064"/>
      <c r="CV211" s="1064"/>
      <c r="CW211" s="568"/>
      <c r="CX211" s="569"/>
      <c r="CY211" s="1064"/>
      <c r="CZ211" s="1064"/>
      <c r="DA211" s="1064"/>
      <c r="DB211" s="569"/>
      <c r="DC211" s="1064"/>
      <c r="DD211" s="1064"/>
      <c r="DE211" s="1064"/>
      <c r="DF211" s="1064"/>
      <c r="DG211" s="1064"/>
      <c r="DH211" s="1064"/>
      <c r="DI211" s="1064"/>
      <c r="DJ211" s="1064"/>
      <c r="DK211" s="1064"/>
      <c r="DL211" s="1064"/>
      <c r="DM211" s="568"/>
      <c r="DN211" s="568"/>
      <c r="DO211" s="568"/>
      <c r="DP211" s="568"/>
      <c r="DQ211" s="568"/>
      <c r="DR211" s="568"/>
      <c r="DS211" s="568"/>
      <c r="DT211" s="568"/>
      <c r="DU211" s="568"/>
      <c r="DV211" s="568"/>
      <c r="DW211" s="568"/>
      <c r="DX211" s="568"/>
      <c r="DY211" s="568"/>
    </row>
    <row r="212" spans="1:130" ht="15" customHeight="1">
      <c r="A212" s="1603" t="s">
        <v>248</v>
      </c>
      <c r="B212" s="86"/>
      <c r="C212" s="86"/>
      <c r="D212" s="86"/>
      <c r="E212" s="86"/>
      <c r="F212" s="86"/>
      <c r="G212" s="86"/>
      <c r="H212" s="86"/>
      <c r="I212" s="86"/>
      <c r="J212" s="86"/>
      <c r="K212" s="86"/>
      <c r="L212" s="217">
        <f>AVERAGE(BR212:BU212)</f>
        <v>27341.289233085361</v>
      </c>
      <c r="M212" s="217">
        <f>AVERAGE(BV212:BY212)</f>
        <v>25545.120550777559</v>
      </c>
      <c r="N212" s="217">
        <f>AVERAGE(BZ212:CC212)</f>
        <v>23560.88458017855</v>
      </c>
      <c r="O212" s="217">
        <f>AVERAGE(CD212:CG212)</f>
        <v>20452.625</v>
      </c>
      <c r="P212" s="217">
        <f>AVERAGE(CH212:CK212)</f>
        <v>14059.617195716904</v>
      </c>
      <c r="Q212" s="1070">
        <f>AVERAGE(P211:Q211)</f>
        <v>13489.266</v>
      </c>
      <c r="R212" s="217"/>
      <c r="S212" s="217"/>
      <c r="T212" s="1070"/>
      <c r="U212" s="1070"/>
      <c r="V212" s="217"/>
      <c r="W212" s="217"/>
      <c r="X212" s="217"/>
      <c r="Y212" s="217"/>
      <c r="Z212" s="217"/>
      <c r="AA212" s="1070"/>
      <c r="AB212" s="1070"/>
      <c r="AC212" s="1070"/>
      <c r="AD212" s="1070"/>
      <c r="AE212" s="1070"/>
      <c r="AF212" s="1070"/>
      <c r="AG212" s="1070"/>
      <c r="AH212" s="1974"/>
      <c r="AI212" s="606"/>
      <c r="AJ212" s="1947"/>
      <c r="AK212" s="86"/>
      <c r="AL212" s="86"/>
      <c r="AM212" s="86"/>
      <c r="AN212" s="86"/>
      <c r="AO212" s="86"/>
      <c r="AP212" s="86"/>
      <c r="AQ212" s="86"/>
      <c r="AR212" s="86"/>
      <c r="AS212" s="86"/>
      <c r="AT212" s="86"/>
      <c r="AU212" s="86"/>
      <c r="AV212" s="86"/>
      <c r="AW212" s="86"/>
      <c r="AX212" s="86"/>
      <c r="AY212" s="86"/>
      <c r="AZ212" s="86"/>
      <c r="BA212" s="86"/>
      <c r="BB212" s="86"/>
      <c r="BC212" s="86"/>
      <c r="BD212" s="86"/>
      <c r="BE212" s="86"/>
      <c r="BF212" s="86"/>
      <c r="BG212" s="86"/>
      <c r="BH212" s="86"/>
      <c r="BI212" s="86"/>
      <c r="BJ212" s="86"/>
      <c r="BK212" s="86"/>
      <c r="BL212" s="86"/>
      <c r="BM212" s="86"/>
      <c r="BN212" s="86"/>
      <c r="BO212" s="86"/>
      <c r="BP212" s="86"/>
      <c r="BQ212" s="86"/>
      <c r="BR212" s="607">
        <f>BR211</f>
        <v>27960.435425313179</v>
      </c>
      <c r="BS212" s="1070">
        <f t="shared" ref="BS212:CP212" si="367">AVERAGE(BR211:BS211)</f>
        <v>27673.646876774357</v>
      </c>
      <c r="BT212" s="1070">
        <f t="shared" si="367"/>
        <v>27111.098453476141</v>
      </c>
      <c r="BU212" s="1070">
        <f t="shared" si="367"/>
        <v>26619.976176777767</v>
      </c>
      <c r="BV212" s="607">
        <f t="shared" si="367"/>
        <v>26254.992284302218</v>
      </c>
      <c r="BW212" s="1070">
        <f t="shared" si="367"/>
        <v>25829.590372841471</v>
      </c>
      <c r="BX212" s="1070">
        <f t="shared" si="367"/>
        <v>25288.633100605497</v>
      </c>
      <c r="BY212" s="1070">
        <f t="shared" si="367"/>
        <v>24807.266445361056</v>
      </c>
      <c r="BZ212" s="607">
        <f t="shared" si="367"/>
        <v>24272.038320714204</v>
      </c>
      <c r="CA212" s="1070">
        <f t="shared" si="367"/>
        <v>23737.5</v>
      </c>
      <c r="CB212" s="1070">
        <f t="shared" si="367"/>
        <v>23313</v>
      </c>
      <c r="CC212" s="1070">
        <f t="shared" si="367"/>
        <v>22921</v>
      </c>
      <c r="CD212" s="607">
        <f t="shared" si="367"/>
        <v>22078.5</v>
      </c>
      <c r="CE212" s="1070">
        <f t="shared" si="367"/>
        <v>21229</v>
      </c>
      <c r="CF212" s="1070">
        <f t="shared" si="367"/>
        <v>20807</v>
      </c>
      <c r="CG212" s="608">
        <f t="shared" si="367"/>
        <v>17696</v>
      </c>
      <c r="CH212" s="607">
        <f t="shared" si="367"/>
        <v>14648.5</v>
      </c>
      <c r="CI212" s="1070">
        <f t="shared" si="367"/>
        <v>14267.339527027027</v>
      </c>
      <c r="CJ212" s="1070">
        <f t="shared" si="367"/>
        <v>13845.851391433807</v>
      </c>
      <c r="CK212" s="608">
        <f t="shared" si="367"/>
        <v>13476.77786440678</v>
      </c>
      <c r="CL212" s="607">
        <f t="shared" si="367"/>
        <v>14031.766</v>
      </c>
      <c r="CM212" s="1070">
        <f t="shared" si="367"/>
        <v>14569</v>
      </c>
      <c r="CN212" s="1070">
        <f t="shared" si="367"/>
        <v>14210.5</v>
      </c>
      <c r="CO212" s="1070">
        <f t="shared" si="367"/>
        <v>13846</v>
      </c>
      <c r="CP212" s="607">
        <f t="shared" si="367"/>
        <v>13506.5</v>
      </c>
      <c r="CQ212" s="1064"/>
      <c r="CR212" s="1064"/>
      <c r="CS212" s="1064"/>
      <c r="CT212" s="569"/>
      <c r="CU212" s="1064"/>
      <c r="CV212" s="1064"/>
      <c r="CW212" s="568"/>
      <c r="CX212" s="569"/>
      <c r="CY212" s="1064"/>
      <c r="CZ212" s="1064"/>
      <c r="DA212" s="1064"/>
      <c r="DB212" s="569"/>
      <c r="DC212" s="1064"/>
      <c r="DD212" s="1064"/>
      <c r="DE212" s="1064"/>
      <c r="DF212" s="1064"/>
      <c r="DG212" s="1064"/>
      <c r="DH212" s="1064"/>
      <c r="DI212" s="1064"/>
      <c r="DJ212" s="1064"/>
      <c r="DK212" s="1064"/>
      <c r="DL212" s="1064"/>
      <c r="DM212" s="568"/>
      <c r="DN212" s="568"/>
      <c r="DO212" s="568"/>
      <c r="DP212" s="568"/>
      <c r="DQ212" s="568"/>
      <c r="DR212" s="568"/>
      <c r="DS212" s="568"/>
      <c r="DT212" s="568"/>
      <c r="DU212" s="568"/>
      <c r="DV212" s="568"/>
      <c r="DW212" s="568"/>
      <c r="DX212" s="568"/>
      <c r="DY212" s="568"/>
    </row>
    <row r="213" spans="1:130" ht="15" customHeight="1">
      <c r="A213" s="1603"/>
      <c r="B213" s="86"/>
      <c r="C213" s="86"/>
      <c r="D213" s="86"/>
      <c r="E213" s="86"/>
      <c r="F213" s="86"/>
      <c r="G213" s="86"/>
      <c r="H213" s="86"/>
      <c r="I213" s="86"/>
      <c r="J213" s="86"/>
      <c r="K213" s="86"/>
      <c r="L213" s="86"/>
      <c r="M213" s="86"/>
      <c r="N213" s="86"/>
      <c r="O213" s="86"/>
      <c r="P213" s="86"/>
      <c r="Q213" s="1064"/>
      <c r="R213" s="86"/>
      <c r="S213" s="86"/>
      <c r="T213" s="1064"/>
      <c r="U213" s="1064"/>
      <c r="V213" s="86"/>
      <c r="W213" s="86"/>
      <c r="X213" s="86"/>
      <c r="Y213" s="86"/>
      <c r="Z213" s="86"/>
      <c r="AA213" s="1064"/>
      <c r="AB213" s="1064"/>
      <c r="AC213" s="1064"/>
      <c r="AD213" s="1064"/>
      <c r="AE213" s="1064"/>
      <c r="AF213" s="1064"/>
      <c r="AG213" s="1064"/>
      <c r="AH213" s="1947"/>
      <c r="AI213" s="606"/>
      <c r="AJ213" s="1947"/>
      <c r="AK213" s="86"/>
      <c r="AL213" s="86"/>
      <c r="AM213" s="86"/>
      <c r="AN213" s="86"/>
      <c r="AO213" s="86"/>
      <c r="AP213" s="86"/>
      <c r="AQ213" s="86"/>
      <c r="AR213" s="86"/>
      <c r="AS213" s="86"/>
      <c r="AT213" s="86"/>
      <c r="AU213" s="86"/>
      <c r="AV213" s="86"/>
      <c r="AW213" s="86"/>
      <c r="AX213" s="86"/>
      <c r="AY213" s="86"/>
      <c r="AZ213" s="86"/>
      <c r="BA213" s="86"/>
      <c r="BB213" s="86"/>
      <c r="BC213" s="86"/>
      <c r="BD213" s="86"/>
      <c r="BE213" s="86"/>
      <c r="BF213" s="86"/>
      <c r="BG213" s="86"/>
      <c r="BH213" s="86"/>
      <c r="BI213" s="86"/>
      <c r="BJ213" s="86"/>
      <c r="BK213" s="86"/>
      <c r="BL213" s="86"/>
      <c r="BM213" s="86"/>
      <c r="BN213" s="86"/>
      <c r="BO213" s="86"/>
      <c r="BP213" s="86"/>
      <c r="BQ213" s="86"/>
      <c r="BR213" s="569"/>
      <c r="BS213" s="1064"/>
      <c r="BT213" s="1064"/>
      <c r="BU213" s="1064"/>
      <c r="BV213" s="569"/>
      <c r="BW213" s="1064"/>
      <c r="BX213" s="1064"/>
      <c r="BY213" s="1064"/>
      <c r="BZ213" s="569"/>
      <c r="CA213" s="1064"/>
      <c r="CB213" s="1064"/>
      <c r="CC213" s="1064"/>
      <c r="CD213" s="569"/>
      <c r="CE213" s="1064"/>
      <c r="CF213" s="1064"/>
      <c r="CG213" s="568"/>
      <c r="CH213" s="569"/>
      <c r="CI213" s="1064"/>
      <c r="CJ213" s="1064"/>
      <c r="CK213" s="568"/>
      <c r="CL213" s="569"/>
      <c r="CM213" s="1064"/>
      <c r="CN213" s="1064"/>
      <c r="CO213" s="1064"/>
      <c r="CP213" s="569"/>
      <c r="CQ213" s="1064"/>
      <c r="CR213" s="1064"/>
      <c r="CS213" s="1064"/>
      <c r="CT213" s="569"/>
      <c r="CU213" s="1064"/>
      <c r="CV213" s="1064"/>
      <c r="CW213" s="568"/>
      <c r="CX213" s="569"/>
      <c r="CY213" s="1064"/>
      <c r="CZ213" s="1064"/>
      <c r="DA213" s="1064"/>
      <c r="DB213" s="569"/>
      <c r="DC213" s="1064"/>
      <c r="DD213" s="1064"/>
      <c r="DE213" s="1064"/>
      <c r="DF213" s="1064"/>
      <c r="DG213" s="1064"/>
      <c r="DH213" s="1064"/>
      <c r="DI213" s="1064"/>
      <c r="DJ213" s="1064"/>
      <c r="DK213" s="1064"/>
      <c r="DL213" s="1064"/>
      <c r="DM213" s="568"/>
      <c r="DN213" s="568"/>
      <c r="DO213" s="568"/>
      <c r="DP213" s="568"/>
      <c r="DQ213" s="568"/>
      <c r="DR213" s="568"/>
      <c r="DS213" s="568"/>
      <c r="DT213" s="568"/>
      <c r="DU213" s="568"/>
      <c r="DV213" s="568"/>
      <c r="DW213" s="568"/>
      <c r="DX213" s="568"/>
      <c r="DY213" s="568"/>
    </row>
    <row r="214" spans="1:130" ht="15" customHeight="1">
      <c r="A214" s="1603" t="s">
        <v>249</v>
      </c>
      <c r="B214" s="86"/>
      <c r="C214" s="86"/>
      <c r="D214" s="86"/>
      <c r="E214" s="86"/>
      <c r="F214" s="86"/>
      <c r="G214" s="86"/>
      <c r="H214" s="86"/>
      <c r="I214" s="86"/>
      <c r="J214" s="86"/>
      <c r="K214" s="86"/>
      <c r="L214" s="86"/>
      <c r="M214" s="86"/>
      <c r="N214" s="86"/>
      <c r="O214" s="86"/>
      <c r="P214" s="599"/>
      <c r="Q214" s="1064"/>
      <c r="R214" s="86"/>
      <c r="S214" s="86"/>
      <c r="T214" s="1064"/>
      <c r="U214" s="1064"/>
      <c r="V214" s="86"/>
      <c r="W214" s="86"/>
      <c r="X214" s="86"/>
      <c r="Y214" s="86"/>
      <c r="Z214" s="86"/>
      <c r="AA214" s="1064"/>
      <c r="AB214" s="1064"/>
      <c r="AC214" s="1064"/>
      <c r="AD214" s="1064"/>
      <c r="AE214" s="1064"/>
      <c r="AF214" s="1064"/>
      <c r="AG214" s="1064"/>
      <c r="AH214" s="1947"/>
      <c r="AI214" s="606"/>
      <c r="AJ214" s="1947"/>
      <c r="AK214" s="86"/>
      <c r="AL214" s="86"/>
      <c r="AM214" s="86"/>
      <c r="AN214" s="86"/>
      <c r="AO214" s="86"/>
      <c r="AP214" s="86"/>
      <c r="AQ214" s="86"/>
      <c r="AR214" s="86"/>
      <c r="AS214" s="86"/>
      <c r="AT214" s="86"/>
      <c r="AU214" s="86"/>
      <c r="AV214" s="86"/>
      <c r="AW214" s="86"/>
      <c r="AX214" s="86"/>
      <c r="AY214" s="86"/>
      <c r="AZ214" s="86"/>
      <c r="BA214" s="86"/>
      <c r="BB214" s="86"/>
      <c r="BC214" s="86"/>
      <c r="BD214" s="86"/>
      <c r="BE214" s="86"/>
      <c r="BF214" s="86"/>
      <c r="BG214" s="86"/>
      <c r="BH214" s="86"/>
      <c r="BI214" s="86"/>
      <c r="BJ214" s="86"/>
      <c r="BK214" s="86"/>
      <c r="BL214" s="86"/>
      <c r="BM214" s="86"/>
      <c r="BN214" s="86"/>
      <c r="BO214" s="86"/>
      <c r="BP214" s="86"/>
      <c r="BQ214" s="86"/>
      <c r="BR214" s="569"/>
      <c r="BS214" s="1064"/>
      <c r="BT214" s="1064"/>
      <c r="BU214" s="1064"/>
      <c r="BV214" s="569"/>
      <c r="BW214" s="1064"/>
      <c r="BX214" s="1064"/>
      <c r="BY214" s="1064"/>
      <c r="BZ214" s="569"/>
      <c r="CA214" s="1064"/>
      <c r="CB214" s="1064"/>
      <c r="CC214" s="1064"/>
      <c r="CD214" s="569"/>
      <c r="CE214" s="1064"/>
      <c r="CF214" s="1064"/>
      <c r="CG214" s="568"/>
      <c r="CH214" s="569"/>
      <c r="CI214" s="1064"/>
      <c r="CJ214" s="1064"/>
      <c r="CK214" s="568"/>
      <c r="CL214" s="569"/>
      <c r="CM214" s="1064"/>
      <c r="CN214" s="1064"/>
      <c r="CO214" s="1064"/>
      <c r="CP214" s="569"/>
      <c r="CQ214" s="1064"/>
      <c r="CR214" s="1064"/>
      <c r="CS214" s="1064"/>
      <c r="CT214" s="569"/>
      <c r="CU214" s="1064"/>
      <c r="CV214" s="1064"/>
      <c r="CW214" s="568"/>
      <c r="CX214" s="569"/>
      <c r="CY214" s="1064"/>
      <c r="CZ214" s="1064"/>
      <c r="DA214" s="1064"/>
      <c r="DB214" s="569"/>
      <c r="DC214" s="1064"/>
      <c r="DD214" s="1064"/>
      <c r="DE214" s="1064"/>
      <c r="DF214" s="1064"/>
      <c r="DG214" s="1064"/>
      <c r="DH214" s="1064"/>
      <c r="DI214" s="1064"/>
      <c r="DJ214" s="1064"/>
      <c r="DK214" s="1064"/>
      <c r="DL214" s="1064"/>
      <c r="DM214" s="568"/>
      <c r="DN214" s="568"/>
      <c r="DO214" s="568"/>
      <c r="DP214" s="568"/>
      <c r="DQ214" s="568"/>
      <c r="DR214" s="568"/>
      <c r="DS214" s="568"/>
      <c r="DT214" s="568"/>
      <c r="DU214" s="568"/>
      <c r="DV214" s="568"/>
      <c r="DW214" s="568"/>
      <c r="DX214" s="568"/>
      <c r="DY214" s="568"/>
    </row>
    <row r="215" spans="1:130" ht="15" customHeight="1">
      <c r="A215" s="1603" t="s">
        <v>250</v>
      </c>
      <c r="B215" s="86"/>
      <c r="C215" s="86"/>
      <c r="D215" s="86"/>
      <c r="E215" s="86"/>
      <c r="F215" s="86"/>
      <c r="G215" s="86"/>
      <c r="H215" s="86"/>
      <c r="I215" s="86"/>
      <c r="J215" s="86"/>
      <c r="K215" s="86"/>
      <c r="L215" s="217">
        <f>BU215</f>
        <v>3559</v>
      </c>
      <c r="M215" s="217">
        <f>BY215</f>
        <v>4975</v>
      </c>
      <c r="N215" s="217">
        <f>CC215</f>
        <v>6099</v>
      </c>
      <c r="O215" s="217">
        <f>CG215</f>
        <v>5640</v>
      </c>
      <c r="P215" s="217">
        <f>CK215</f>
        <v>5305</v>
      </c>
      <c r="Q215" s="1070">
        <f>CO215</f>
        <v>4874</v>
      </c>
      <c r="R215" s="217"/>
      <c r="S215" s="217"/>
      <c r="T215" s="1070"/>
      <c r="U215" s="1070"/>
      <c r="V215" s="217"/>
      <c r="W215" s="217"/>
      <c r="X215" s="217"/>
      <c r="Y215" s="217"/>
      <c r="Z215" s="217"/>
      <c r="AA215" s="1070"/>
      <c r="AB215" s="1070"/>
      <c r="AC215" s="1070"/>
      <c r="AD215" s="1070"/>
      <c r="AE215" s="1070"/>
      <c r="AF215" s="1070"/>
      <c r="AG215" s="1070"/>
      <c r="AH215" s="1974"/>
      <c r="AI215" s="606"/>
      <c r="AJ215" s="1947"/>
      <c r="AK215" s="86"/>
      <c r="AL215" s="86"/>
      <c r="AM215" s="86"/>
      <c r="AN215" s="86"/>
      <c r="AO215" s="86"/>
      <c r="AP215" s="86"/>
      <c r="AQ215" s="86"/>
      <c r="AR215" s="86"/>
      <c r="AS215" s="86"/>
      <c r="AT215" s="86"/>
      <c r="AU215" s="86"/>
      <c r="AV215" s="86"/>
      <c r="AW215" s="86"/>
      <c r="AX215" s="86"/>
      <c r="AY215" s="86"/>
      <c r="AZ215" s="86"/>
      <c r="BA215" s="86"/>
      <c r="BB215" s="86"/>
      <c r="BC215" s="86"/>
      <c r="BD215" s="86"/>
      <c r="BE215" s="86"/>
      <c r="BF215" s="86"/>
      <c r="BG215" s="86"/>
      <c r="BH215" s="86"/>
      <c r="BI215" s="86"/>
      <c r="BJ215" s="86"/>
      <c r="BK215" s="86"/>
      <c r="BL215" s="86"/>
      <c r="BM215" s="86"/>
      <c r="BN215" s="86"/>
      <c r="BO215" s="86"/>
      <c r="BP215" s="86"/>
      <c r="BQ215" s="86"/>
      <c r="BR215" s="607">
        <f>Lines!BR90</f>
        <v>2664</v>
      </c>
      <c r="BS215" s="1070">
        <f>Lines!BS90</f>
        <v>2944</v>
      </c>
      <c r="BT215" s="1070">
        <f>Lines!BT90</f>
        <v>3253</v>
      </c>
      <c r="BU215" s="1070">
        <f>Lines!BU90</f>
        <v>3559</v>
      </c>
      <c r="BV215" s="607">
        <f>Lines!BV90</f>
        <v>3864</v>
      </c>
      <c r="BW215" s="1070">
        <f>Lines!BW90</f>
        <v>4142</v>
      </c>
      <c r="BX215" s="1070">
        <f>Lines!BX90</f>
        <v>4531</v>
      </c>
      <c r="BY215" s="1070">
        <f>Lines!BY90</f>
        <v>4975</v>
      </c>
      <c r="BZ215" s="607">
        <f>Lines!BZ90</f>
        <v>5269</v>
      </c>
      <c r="CA215" s="1070">
        <f>Lines!CA90</f>
        <v>5582</v>
      </c>
      <c r="CB215" s="1070">
        <f>Lines!CB90</f>
        <v>5868</v>
      </c>
      <c r="CC215" s="1070">
        <f>Lines!CC90</f>
        <v>6099</v>
      </c>
      <c r="CD215" s="607">
        <f>Lines!CD90</f>
        <v>6337</v>
      </c>
      <c r="CE215" s="1070">
        <f>Lines!CE90</f>
        <v>6417</v>
      </c>
      <c r="CF215" s="1070">
        <f>Lines!CF90</f>
        <v>6470</v>
      </c>
      <c r="CG215" s="608">
        <f>Lines!CG90</f>
        <v>5640</v>
      </c>
      <c r="CH215" s="607">
        <f>Lines!CH90</f>
        <v>5615</v>
      </c>
      <c r="CI215" s="1070">
        <f>Lines!CI90</f>
        <v>5483</v>
      </c>
      <c r="CJ215" s="1070">
        <f>Lines!CJ90</f>
        <v>5373.0186915887853</v>
      </c>
      <c r="CK215" s="608">
        <f>Lines!CK90</f>
        <v>5305</v>
      </c>
      <c r="CL215" s="607">
        <f>Lines!CL90</f>
        <v>5243</v>
      </c>
      <c r="CM215" s="1070">
        <f>Lines!CM90</f>
        <v>5122</v>
      </c>
      <c r="CN215" s="1070">
        <f>Lines!CN90</f>
        <v>4983</v>
      </c>
      <c r="CO215" s="1070">
        <f>Lines!CO90</f>
        <v>4874</v>
      </c>
      <c r="CP215" s="607">
        <f>Lines!CP90</f>
        <v>4775</v>
      </c>
      <c r="CQ215" s="1064"/>
      <c r="CR215" s="1064"/>
      <c r="CS215" s="1064"/>
      <c r="CT215" s="569"/>
      <c r="CU215" s="1064"/>
      <c r="CV215" s="1064"/>
      <c r="CW215" s="568"/>
      <c r="CX215" s="569"/>
      <c r="CY215" s="1064"/>
      <c r="CZ215" s="1064"/>
      <c r="DA215" s="1064"/>
      <c r="DB215" s="569"/>
      <c r="DC215" s="1064"/>
      <c r="DD215" s="1064"/>
      <c r="DE215" s="1064"/>
      <c r="DF215" s="1064"/>
      <c r="DG215" s="1064"/>
      <c r="DH215" s="1064"/>
      <c r="DI215" s="1064"/>
      <c r="DJ215" s="1064"/>
      <c r="DK215" s="1064"/>
      <c r="DL215" s="1064"/>
      <c r="DM215" s="568"/>
      <c r="DN215" s="568"/>
      <c r="DO215" s="568"/>
      <c r="DP215" s="568"/>
      <c r="DQ215" s="568"/>
      <c r="DR215" s="568"/>
      <c r="DS215" s="568"/>
      <c r="DT215" s="568"/>
      <c r="DU215" s="568"/>
      <c r="DV215" s="568"/>
      <c r="DW215" s="568"/>
      <c r="DX215" s="568"/>
      <c r="DY215" s="568"/>
    </row>
    <row r="216" spans="1:130" ht="15" customHeight="1">
      <c r="A216" s="1603" t="s">
        <v>251</v>
      </c>
      <c r="B216" s="86"/>
      <c r="C216" s="86"/>
      <c r="D216" s="86"/>
      <c r="E216" s="86"/>
      <c r="F216" s="86"/>
      <c r="G216" s="86"/>
      <c r="H216" s="86"/>
      <c r="I216" s="86"/>
      <c r="J216" s="86"/>
      <c r="K216" s="86"/>
      <c r="L216" s="572">
        <f>BU216</f>
        <v>0.9</v>
      </c>
      <c r="M216" s="572">
        <f>BY216</f>
        <v>0.9</v>
      </c>
      <c r="N216" s="572">
        <f>CC216</f>
        <v>0.9</v>
      </c>
      <c r="O216" s="572">
        <f>CG216</f>
        <v>0.9</v>
      </c>
      <c r="P216" s="509">
        <f>O216</f>
        <v>0.9</v>
      </c>
      <c r="Q216" s="1057">
        <f>P216</f>
        <v>0.9</v>
      </c>
      <c r="R216" s="509"/>
      <c r="S216" s="509"/>
      <c r="T216" s="1057"/>
      <c r="U216" s="1057"/>
      <c r="V216" s="509"/>
      <c r="W216" s="509"/>
      <c r="X216" s="509"/>
      <c r="Y216" s="509"/>
      <c r="Z216" s="509"/>
      <c r="AA216" s="1057"/>
      <c r="AB216" s="1057"/>
      <c r="AC216" s="1057"/>
      <c r="AD216" s="1057"/>
      <c r="AE216" s="1057"/>
      <c r="AF216" s="1057"/>
      <c r="AG216" s="1057"/>
      <c r="AH216" s="1973"/>
      <c r="AI216" s="606"/>
      <c r="AJ216" s="1947"/>
      <c r="AK216" s="86"/>
      <c r="AL216" s="86"/>
      <c r="AM216" s="86"/>
      <c r="AN216" s="86"/>
      <c r="AO216" s="86"/>
      <c r="AP216" s="86"/>
      <c r="AQ216" s="86"/>
      <c r="AR216" s="86"/>
      <c r="AS216" s="86"/>
      <c r="AT216" s="86"/>
      <c r="AU216" s="86"/>
      <c r="AV216" s="86"/>
      <c r="AW216" s="86"/>
      <c r="AX216" s="86"/>
      <c r="AY216" s="86"/>
      <c r="AZ216" s="86"/>
      <c r="BA216" s="86"/>
      <c r="BB216" s="86"/>
      <c r="BC216" s="86"/>
      <c r="BD216" s="86"/>
      <c r="BE216" s="86"/>
      <c r="BF216" s="86"/>
      <c r="BG216" s="86"/>
      <c r="BH216" s="86"/>
      <c r="BI216" s="86"/>
      <c r="BJ216" s="86"/>
      <c r="BK216" s="86"/>
      <c r="BL216" s="86"/>
      <c r="BM216" s="86"/>
      <c r="BN216" s="86"/>
      <c r="BO216" s="86"/>
      <c r="BP216" s="86"/>
      <c r="BQ216" s="86"/>
      <c r="BR216" s="511">
        <v>0.9</v>
      </c>
      <c r="BS216" s="1057">
        <f t="shared" ref="BS216:CP216" si="368">BR216</f>
        <v>0.9</v>
      </c>
      <c r="BT216" s="1057">
        <f t="shared" si="368"/>
        <v>0.9</v>
      </c>
      <c r="BU216" s="1057">
        <f t="shared" si="368"/>
        <v>0.9</v>
      </c>
      <c r="BV216" s="511">
        <f t="shared" si="368"/>
        <v>0.9</v>
      </c>
      <c r="BW216" s="1057">
        <f t="shared" si="368"/>
        <v>0.9</v>
      </c>
      <c r="BX216" s="1057">
        <f t="shared" si="368"/>
        <v>0.9</v>
      </c>
      <c r="BY216" s="1057">
        <f t="shared" si="368"/>
        <v>0.9</v>
      </c>
      <c r="BZ216" s="511">
        <f t="shared" si="368"/>
        <v>0.9</v>
      </c>
      <c r="CA216" s="1057">
        <f t="shared" si="368"/>
        <v>0.9</v>
      </c>
      <c r="CB216" s="1057">
        <f t="shared" si="368"/>
        <v>0.9</v>
      </c>
      <c r="CC216" s="1057">
        <f t="shared" si="368"/>
        <v>0.9</v>
      </c>
      <c r="CD216" s="511">
        <f t="shared" si="368"/>
        <v>0.9</v>
      </c>
      <c r="CE216" s="1057">
        <f t="shared" si="368"/>
        <v>0.9</v>
      </c>
      <c r="CF216" s="1057">
        <f t="shared" si="368"/>
        <v>0.9</v>
      </c>
      <c r="CG216" s="116">
        <f t="shared" si="368"/>
        <v>0.9</v>
      </c>
      <c r="CH216" s="511">
        <f t="shared" si="368"/>
        <v>0.9</v>
      </c>
      <c r="CI216" s="1057">
        <f t="shared" si="368"/>
        <v>0.9</v>
      </c>
      <c r="CJ216" s="1057">
        <f t="shared" si="368"/>
        <v>0.9</v>
      </c>
      <c r="CK216" s="116">
        <f t="shared" si="368"/>
        <v>0.9</v>
      </c>
      <c r="CL216" s="511">
        <f t="shared" si="368"/>
        <v>0.9</v>
      </c>
      <c r="CM216" s="1057">
        <f t="shared" si="368"/>
        <v>0.9</v>
      </c>
      <c r="CN216" s="1057">
        <f t="shared" si="368"/>
        <v>0.9</v>
      </c>
      <c r="CO216" s="1057">
        <f t="shared" si="368"/>
        <v>0.9</v>
      </c>
      <c r="CP216" s="511">
        <f t="shared" si="368"/>
        <v>0.9</v>
      </c>
      <c r="CQ216" s="1064"/>
      <c r="CR216" s="1064"/>
      <c r="CS216" s="1064"/>
      <c r="CT216" s="569"/>
      <c r="CU216" s="1064"/>
      <c r="CV216" s="1064"/>
      <c r="CW216" s="568"/>
      <c r="CX216" s="569"/>
      <c r="CY216" s="1064"/>
      <c r="CZ216" s="1064"/>
      <c r="DA216" s="1064"/>
      <c r="DB216" s="569"/>
      <c r="DC216" s="1064"/>
      <c r="DD216" s="1064"/>
      <c r="DE216" s="1064"/>
      <c r="DF216" s="1064"/>
      <c r="DG216" s="1064"/>
      <c r="DH216" s="1064"/>
      <c r="DI216" s="1064"/>
      <c r="DJ216" s="1064"/>
      <c r="DK216" s="1064"/>
      <c r="DL216" s="1064"/>
      <c r="DM216" s="568"/>
      <c r="DN216" s="568"/>
      <c r="DO216" s="568"/>
      <c r="DP216" s="568"/>
      <c r="DQ216" s="568"/>
      <c r="DR216" s="568"/>
      <c r="DS216" s="568"/>
      <c r="DT216" s="568"/>
      <c r="DU216" s="568"/>
      <c r="DV216" s="568"/>
      <c r="DW216" s="568"/>
      <c r="DX216" s="568"/>
      <c r="DY216" s="568"/>
    </row>
    <row r="217" spans="1:130" ht="15" customHeight="1">
      <c r="A217" s="1603" t="s">
        <v>252</v>
      </c>
      <c r="B217" s="220"/>
      <c r="C217" s="220"/>
      <c r="D217" s="220"/>
      <c r="E217" s="220"/>
      <c r="F217" s="220"/>
      <c r="G217" s="220"/>
      <c r="H217" s="220"/>
      <c r="I217" s="220"/>
      <c r="J217" s="220"/>
      <c r="K217" s="220"/>
      <c r="L217" s="220">
        <f>BU217</f>
        <v>3203.1</v>
      </c>
      <c r="M217" s="220">
        <f>BY217</f>
        <v>4477.5</v>
      </c>
      <c r="N217" s="220">
        <f>CC217</f>
        <v>5489.1</v>
      </c>
      <c r="O217" s="220">
        <f>CG217</f>
        <v>5076</v>
      </c>
      <c r="P217" s="220">
        <f>CK217</f>
        <v>4774.5</v>
      </c>
      <c r="Q217" s="1302">
        <f>CO217</f>
        <v>4386.6000000000004</v>
      </c>
      <c r="R217" s="220"/>
      <c r="S217" s="220"/>
      <c r="T217" s="1302"/>
      <c r="U217" s="1302"/>
      <c r="V217" s="220"/>
      <c r="W217" s="220"/>
      <c r="X217" s="220"/>
      <c r="Y217" s="220"/>
      <c r="Z217" s="220"/>
      <c r="AA217" s="1302"/>
      <c r="AB217" s="1302"/>
      <c r="AC217" s="1302"/>
      <c r="AD217" s="1302"/>
      <c r="AE217" s="1302"/>
      <c r="AF217" s="1302"/>
      <c r="AG217" s="1302"/>
      <c r="AH217" s="1952"/>
      <c r="AI217" s="606"/>
      <c r="AJ217" s="1952"/>
      <c r="AK217" s="220"/>
      <c r="AL217" s="220"/>
      <c r="AM217" s="220"/>
      <c r="AN217" s="220"/>
      <c r="AO217" s="220"/>
      <c r="AP217" s="220"/>
      <c r="AQ217" s="220"/>
      <c r="AR217" s="220"/>
      <c r="AS217" s="220"/>
      <c r="AT217" s="220"/>
      <c r="AU217" s="220"/>
      <c r="AV217" s="220"/>
      <c r="AW217" s="220"/>
      <c r="AX217" s="220"/>
      <c r="AY217" s="220"/>
      <c r="AZ217" s="220"/>
      <c r="BA217" s="220"/>
      <c r="BB217" s="220"/>
      <c r="BC217" s="220"/>
      <c r="BD217" s="220"/>
      <c r="BE217" s="220"/>
      <c r="BF217" s="220"/>
      <c r="BG217" s="220"/>
      <c r="BH217" s="220"/>
      <c r="BI217" s="220"/>
      <c r="BJ217" s="220"/>
      <c r="BK217" s="220"/>
      <c r="BL217" s="220"/>
      <c r="BM217" s="220"/>
      <c r="BN217" s="220"/>
      <c r="BO217" s="220"/>
      <c r="BP217" s="220"/>
      <c r="BQ217" s="220"/>
      <c r="BR217" s="1452">
        <f t="shared" ref="BR217:CP217" si="369">BR216*BR215</f>
        <v>2397.6</v>
      </c>
      <c r="BS217" s="1302">
        <f t="shared" si="369"/>
        <v>2649.6</v>
      </c>
      <c r="BT217" s="1302">
        <f t="shared" si="369"/>
        <v>2927.7000000000003</v>
      </c>
      <c r="BU217" s="1302">
        <f t="shared" si="369"/>
        <v>3203.1</v>
      </c>
      <c r="BV217" s="1452">
        <f t="shared" si="369"/>
        <v>3477.6</v>
      </c>
      <c r="BW217" s="1302">
        <f t="shared" si="369"/>
        <v>3727.8</v>
      </c>
      <c r="BX217" s="1302">
        <f t="shared" si="369"/>
        <v>4077.9</v>
      </c>
      <c r="BY217" s="1302">
        <f t="shared" si="369"/>
        <v>4477.5</v>
      </c>
      <c r="BZ217" s="1452">
        <f t="shared" si="369"/>
        <v>4742.1000000000004</v>
      </c>
      <c r="CA217" s="1302">
        <f t="shared" si="369"/>
        <v>5023.8</v>
      </c>
      <c r="CB217" s="1302">
        <f t="shared" si="369"/>
        <v>5281.2</v>
      </c>
      <c r="CC217" s="1302">
        <f t="shared" si="369"/>
        <v>5489.1</v>
      </c>
      <c r="CD217" s="1452">
        <f t="shared" si="369"/>
        <v>5703.3</v>
      </c>
      <c r="CE217" s="1302">
        <f t="shared" si="369"/>
        <v>5775.3</v>
      </c>
      <c r="CF217" s="1302">
        <f t="shared" si="369"/>
        <v>5823</v>
      </c>
      <c r="CG217" s="1482">
        <f t="shared" si="369"/>
        <v>5076</v>
      </c>
      <c r="CH217" s="1452">
        <f t="shared" si="369"/>
        <v>5053.5</v>
      </c>
      <c r="CI217" s="1302">
        <f t="shared" si="369"/>
        <v>4934.7</v>
      </c>
      <c r="CJ217" s="1302">
        <f t="shared" si="369"/>
        <v>4835.7168224299066</v>
      </c>
      <c r="CK217" s="1482">
        <f t="shared" si="369"/>
        <v>4774.5</v>
      </c>
      <c r="CL217" s="1452">
        <f t="shared" si="369"/>
        <v>4718.7</v>
      </c>
      <c r="CM217" s="1302">
        <f t="shared" si="369"/>
        <v>4609.8</v>
      </c>
      <c r="CN217" s="1302">
        <f t="shared" si="369"/>
        <v>4484.7</v>
      </c>
      <c r="CO217" s="1302">
        <f t="shared" si="369"/>
        <v>4386.6000000000004</v>
      </c>
      <c r="CP217" s="1452">
        <f t="shared" si="369"/>
        <v>4297.5</v>
      </c>
      <c r="CQ217" s="1302"/>
      <c r="CR217" s="1302"/>
      <c r="CS217" s="1302"/>
      <c r="CT217" s="1452"/>
      <c r="CU217" s="1302"/>
      <c r="CV217" s="1302"/>
      <c r="CW217" s="1482"/>
      <c r="CX217" s="1452"/>
      <c r="CY217" s="1302"/>
      <c r="CZ217" s="1302"/>
      <c r="DA217" s="1302"/>
      <c r="DB217" s="1452"/>
      <c r="DC217" s="1302"/>
      <c r="DD217" s="1302"/>
      <c r="DE217" s="1302"/>
      <c r="DF217" s="1302"/>
      <c r="DG217" s="1302"/>
      <c r="DH217" s="1302"/>
      <c r="DI217" s="1302"/>
      <c r="DJ217" s="1302"/>
      <c r="DK217" s="1302"/>
      <c r="DL217" s="1302"/>
      <c r="DM217" s="1482"/>
      <c r="DN217" s="1482"/>
      <c r="DO217" s="1482"/>
      <c r="DP217" s="1482"/>
      <c r="DQ217" s="1482"/>
      <c r="DR217" s="1482"/>
      <c r="DS217" s="1482"/>
      <c r="DT217" s="1482"/>
      <c r="DU217" s="1482"/>
      <c r="DV217" s="1482"/>
      <c r="DW217" s="1482"/>
      <c r="DX217" s="1482"/>
      <c r="DY217" s="1482"/>
    </row>
    <row r="218" spans="1:130" ht="15" customHeight="1">
      <c r="A218" s="1603" t="s">
        <v>253</v>
      </c>
      <c r="B218" s="86"/>
      <c r="C218" s="86"/>
      <c r="D218" s="86"/>
      <c r="E218" s="86"/>
      <c r="F218" s="86"/>
      <c r="G218" s="86"/>
      <c r="H218" s="86"/>
      <c r="I218" s="86"/>
      <c r="J218" s="86"/>
      <c r="K218" s="86"/>
      <c r="L218" s="217">
        <f>AVERAGE(BR218:BU218)</f>
        <v>2693.8125</v>
      </c>
      <c r="M218" s="217">
        <f>AVERAGE(BV218:BY218)</f>
        <v>3780.8999999999996</v>
      </c>
      <c r="N218" s="217">
        <f>AVERAGE(BZ218:CC218)</f>
        <v>5007.6000000000004</v>
      </c>
      <c r="O218" s="217">
        <f>AVERAGE(CD218:CG218)</f>
        <v>5646.0375000000004</v>
      </c>
      <c r="P218" s="217">
        <f>AVERAGE(O217:P217)</f>
        <v>4925.25</v>
      </c>
      <c r="Q218" s="1070">
        <f>AVERAGE(P217:Q217)</f>
        <v>4580.55</v>
      </c>
      <c r="R218" s="217"/>
      <c r="S218" s="217"/>
      <c r="T218" s="1070"/>
      <c r="U218" s="1070"/>
      <c r="V218" s="217"/>
      <c r="W218" s="217"/>
      <c r="X218" s="217"/>
      <c r="Y218" s="217"/>
      <c r="Z218" s="217"/>
      <c r="AA218" s="1070"/>
      <c r="AB218" s="1070"/>
      <c r="AC218" s="1070"/>
      <c r="AD218" s="1070"/>
      <c r="AE218" s="1070"/>
      <c r="AF218" s="1070"/>
      <c r="AG218" s="1070"/>
      <c r="AH218" s="1974"/>
      <c r="AI218" s="606"/>
      <c r="AJ218" s="1947"/>
      <c r="AK218" s="86"/>
      <c r="AL218" s="86"/>
      <c r="AM218" s="86"/>
      <c r="AN218" s="86"/>
      <c r="AO218" s="86"/>
      <c r="AP218" s="86"/>
      <c r="AQ218" s="86"/>
      <c r="AR218" s="86"/>
      <c r="AS218" s="86"/>
      <c r="AT218" s="86"/>
      <c r="AU218" s="86"/>
      <c r="AV218" s="86"/>
      <c r="AW218" s="86"/>
      <c r="AX218" s="86"/>
      <c r="AY218" s="86"/>
      <c r="AZ218" s="86"/>
      <c r="BA218" s="86"/>
      <c r="BB218" s="86"/>
      <c r="BC218" s="86"/>
      <c r="BD218" s="86"/>
      <c r="BE218" s="86"/>
      <c r="BF218" s="86"/>
      <c r="BG218" s="86"/>
      <c r="BH218" s="86"/>
      <c r="BI218" s="86"/>
      <c r="BJ218" s="86"/>
      <c r="BK218" s="86"/>
      <c r="BL218" s="86"/>
      <c r="BM218" s="86"/>
      <c r="BN218" s="86"/>
      <c r="BO218" s="86"/>
      <c r="BP218" s="86"/>
      <c r="BQ218" s="86"/>
      <c r="BR218" s="607">
        <f>BR217</f>
        <v>2397.6</v>
      </c>
      <c r="BS218" s="1070">
        <f t="shared" ref="BS218:CP218" si="370">AVERAGE(BR217:BS217)</f>
        <v>2523.6</v>
      </c>
      <c r="BT218" s="1070">
        <f t="shared" si="370"/>
        <v>2788.65</v>
      </c>
      <c r="BU218" s="1070">
        <f t="shared" si="370"/>
        <v>3065.4</v>
      </c>
      <c r="BV218" s="607">
        <f t="shared" si="370"/>
        <v>3340.35</v>
      </c>
      <c r="BW218" s="1070">
        <f t="shared" si="370"/>
        <v>3602.7</v>
      </c>
      <c r="BX218" s="1070">
        <f t="shared" si="370"/>
        <v>3902.8500000000004</v>
      </c>
      <c r="BY218" s="1070">
        <f t="shared" si="370"/>
        <v>4277.7</v>
      </c>
      <c r="BZ218" s="607">
        <f t="shared" si="370"/>
        <v>4609.8</v>
      </c>
      <c r="CA218" s="1070">
        <f t="shared" si="370"/>
        <v>4882.9500000000007</v>
      </c>
      <c r="CB218" s="1070">
        <f t="shared" si="370"/>
        <v>5152.5</v>
      </c>
      <c r="CC218" s="1070">
        <f t="shared" si="370"/>
        <v>5385.15</v>
      </c>
      <c r="CD218" s="607">
        <f t="shared" si="370"/>
        <v>5596.2000000000007</v>
      </c>
      <c r="CE218" s="1070">
        <f t="shared" si="370"/>
        <v>5739.3</v>
      </c>
      <c r="CF218" s="1070">
        <f t="shared" si="370"/>
        <v>5799.15</v>
      </c>
      <c r="CG218" s="608">
        <f t="shared" si="370"/>
        <v>5449.5</v>
      </c>
      <c r="CH218" s="607">
        <f t="shared" si="370"/>
        <v>5064.75</v>
      </c>
      <c r="CI218" s="1070">
        <f t="shared" si="370"/>
        <v>4994.1000000000004</v>
      </c>
      <c r="CJ218" s="1070">
        <f t="shared" si="370"/>
        <v>4885.2084112149532</v>
      </c>
      <c r="CK218" s="608">
        <f t="shared" si="370"/>
        <v>4805.1084112149529</v>
      </c>
      <c r="CL218" s="607">
        <f t="shared" si="370"/>
        <v>4746.6000000000004</v>
      </c>
      <c r="CM218" s="1070">
        <f t="shared" si="370"/>
        <v>4664.25</v>
      </c>
      <c r="CN218" s="1070">
        <f t="shared" si="370"/>
        <v>4547.25</v>
      </c>
      <c r="CO218" s="1070">
        <f t="shared" si="370"/>
        <v>4435.6499999999996</v>
      </c>
      <c r="CP218" s="607">
        <f t="shared" si="370"/>
        <v>4342.05</v>
      </c>
      <c r="CQ218" s="1064"/>
      <c r="CR218" s="1064"/>
      <c r="CS218" s="1064"/>
      <c r="CT218" s="569"/>
      <c r="CU218" s="1064"/>
      <c r="CV218" s="1064"/>
      <c r="CW218" s="568"/>
      <c r="CX218" s="569"/>
      <c r="CY218" s="1064"/>
      <c r="CZ218" s="1064"/>
      <c r="DA218" s="1064"/>
      <c r="DB218" s="569"/>
      <c r="DC218" s="1064"/>
      <c r="DD218" s="1064"/>
      <c r="DE218" s="1064"/>
      <c r="DF218" s="1064"/>
      <c r="DG218" s="1064"/>
      <c r="DH218" s="1064"/>
      <c r="DI218" s="1064"/>
      <c r="DJ218" s="1064"/>
      <c r="DK218" s="1064"/>
      <c r="DL218" s="1064"/>
      <c r="DM218" s="568"/>
      <c r="DN218" s="568"/>
      <c r="DO218" s="568"/>
      <c r="DP218" s="568"/>
      <c r="DQ218" s="568"/>
      <c r="DR218" s="568"/>
      <c r="DS218" s="568"/>
      <c r="DT218" s="568"/>
      <c r="DU218" s="568"/>
      <c r="DV218" s="568"/>
      <c r="DW218" s="568"/>
      <c r="DX218" s="568"/>
      <c r="DY218" s="568"/>
    </row>
    <row r="219" spans="1:130" s="1342" customFormat="1" ht="15" customHeight="1">
      <c r="A219" s="1603" t="s">
        <v>254</v>
      </c>
      <c r="B219" s="2144"/>
      <c r="C219" s="2144"/>
      <c r="D219" s="2144"/>
      <c r="E219" s="2144"/>
      <c r="F219" s="2144"/>
      <c r="G219" s="2144"/>
      <c r="H219" s="2144"/>
      <c r="I219" s="2144"/>
      <c r="J219" s="2144"/>
      <c r="K219" s="2144"/>
      <c r="L219" s="2144">
        <f t="shared" ref="L219:Q219" si="371">(L220/12)/(L218/1000)</f>
        <v>36.308206306118187</v>
      </c>
      <c r="M219" s="2144">
        <f t="shared" si="371"/>
        <v>35.390475482028101</v>
      </c>
      <c r="N219" s="2144">
        <f t="shared" si="371"/>
        <v>34.993439971243717</v>
      </c>
      <c r="O219" s="2144">
        <f t="shared" si="371"/>
        <v>32.064228813103007</v>
      </c>
      <c r="P219" s="2144">
        <f t="shared" si="371"/>
        <v>31.884677849741482</v>
      </c>
      <c r="Q219" s="1341">
        <f t="shared" si="371"/>
        <v>33.395913154533837</v>
      </c>
      <c r="R219" s="1337"/>
      <c r="S219" s="1337"/>
      <c r="T219" s="1338"/>
      <c r="U219" s="1338"/>
      <c r="V219" s="1337"/>
      <c r="W219" s="1337"/>
      <c r="X219" s="1337"/>
      <c r="Y219" s="1337"/>
      <c r="Z219" s="1337"/>
      <c r="AA219" s="1338"/>
      <c r="AB219" s="1338"/>
      <c r="AC219" s="1338"/>
      <c r="AD219" s="1338"/>
      <c r="AE219" s="1338"/>
      <c r="AF219" s="1338"/>
      <c r="AG219" s="1338"/>
      <c r="AH219" s="1970"/>
      <c r="AI219" s="2458"/>
      <c r="AJ219" s="1970"/>
      <c r="AK219" s="2144"/>
      <c r="AL219" s="2144"/>
      <c r="AM219" s="2144"/>
      <c r="AN219" s="2144"/>
      <c r="AO219" s="2144"/>
      <c r="AP219" s="2144"/>
      <c r="AQ219" s="2144"/>
      <c r="AR219" s="2144"/>
      <c r="AS219" s="2144"/>
      <c r="AT219" s="2144"/>
      <c r="AU219" s="2144"/>
      <c r="AV219" s="2144"/>
      <c r="AW219" s="2144"/>
      <c r="AX219" s="2144"/>
      <c r="AY219" s="2144"/>
      <c r="AZ219" s="2144"/>
      <c r="BA219" s="2144"/>
      <c r="BB219" s="2144"/>
      <c r="BC219" s="2144"/>
      <c r="BD219" s="2144"/>
      <c r="BE219" s="2144"/>
      <c r="BF219" s="2144"/>
      <c r="BG219" s="2144"/>
      <c r="BH219" s="2144"/>
      <c r="BI219" s="2144"/>
      <c r="BJ219" s="2144"/>
      <c r="BK219" s="2144"/>
      <c r="BL219" s="2144"/>
      <c r="BM219" s="2144"/>
      <c r="BN219" s="2144"/>
      <c r="BO219" s="2144"/>
      <c r="BP219" s="2144"/>
      <c r="BQ219" s="2144"/>
      <c r="BR219" s="1339">
        <v>35</v>
      </c>
      <c r="BS219" s="1338">
        <f>BR219</f>
        <v>35</v>
      </c>
      <c r="BT219" s="1338">
        <f>BS219</f>
        <v>35</v>
      </c>
      <c r="BU219" s="1338">
        <f>BT219</f>
        <v>35</v>
      </c>
      <c r="BV219" s="1339">
        <f>BU219-1.05</f>
        <v>33.950000000000003</v>
      </c>
      <c r="BW219" s="1338">
        <f>BV219</f>
        <v>33.950000000000003</v>
      </c>
      <c r="BX219" s="1338">
        <f>BW219</f>
        <v>33.950000000000003</v>
      </c>
      <c r="BY219" s="1338">
        <v>33.984000000000002</v>
      </c>
      <c r="BZ219" s="1339">
        <v>33.6</v>
      </c>
      <c r="CA219" s="1338">
        <v>34.6</v>
      </c>
      <c r="CB219" s="1338">
        <f>CA219-0.3</f>
        <v>34.300000000000004</v>
      </c>
      <c r="CC219" s="1338">
        <f>CB219-0.3</f>
        <v>34.000000000000007</v>
      </c>
      <c r="CD219" s="1339">
        <f>0.98*CC219</f>
        <v>33.320000000000007</v>
      </c>
      <c r="CE219" s="1338">
        <f>0.98*CD219</f>
        <v>32.653600000000004</v>
      </c>
      <c r="CF219" s="1338">
        <f>0.98*CE219</f>
        <v>32.000528000000003</v>
      </c>
      <c r="CG219" s="1340">
        <f>0.98*CF219</f>
        <v>31.360517440000002</v>
      </c>
      <c r="CH219" s="1339">
        <v>32.200000000000003</v>
      </c>
      <c r="CI219" s="1338">
        <v>32</v>
      </c>
      <c r="CJ219" s="1338">
        <v>32</v>
      </c>
      <c r="CK219" s="1340">
        <v>32</v>
      </c>
      <c r="CL219" s="1339">
        <v>33.5</v>
      </c>
      <c r="CM219" s="1338">
        <v>33.5</v>
      </c>
      <c r="CN219" s="1338">
        <v>33.5</v>
      </c>
      <c r="CO219" s="1338">
        <v>34</v>
      </c>
      <c r="CP219" s="1339">
        <v>34</v>
      </c>
      <c r="CQ219" s="1341"/>
      <c r="CR219" s="1341"/>
      <c r="CS219" s="1341"/>
      <c r="CT219" s="2459"/>
      <c r="CU219" s="1341"/>
      <c r="CV219" s="1341"/>
      <c r="CW219" s="2460"/>
      <c r="CX219" s="2459"/>
      <c r="CY219" s="1341"/>
      <c r="CZ219" s="1341"/>
      <c r="DA219" s="1341"/>
      <c r="DB219" s="2459"/>
      <c r="DC219" s="1341"/>
      <c r="DD219" s="1341"/>
      <c r="DE219" s="1341"/>
      <c r="DF219" s="1341"/>
      <c r="DG219" s="1341"/>
      <c r="DH219" s="1341"/>
      <c r="DI219" s="1341"/>
      <c r="DJ219" s="1341"/>
      <c r="DK219" s="1341"/>
      <c r="DL219" s="1341"/>
      <c r="DM219" s="2460"/>
      <c r="DN219" s="2460"/>
      <c r="DO219" s="2460"/>
      <c r="DP219" s="2460"/>
      <c r="DQ219" s="2460"/>
      <c r="DR219" s="2460"/>
      <c r="DS219" s="2460"/>
      <c r="DT219" s="2460"/>
      <c r="DU219" s="2460"/>
      <c r="DV219" s="2460"/>
      <c r="DW219" s="2460"/>
      <c r="DX219" s="2460"/>
      <c r="DY219" s="2460"/>
      <c r="DZ219" s="2144"/>
    </row>
    <row r="220" spans="1:130" ht="15" customHeight="1">
      <c r="A220" s="1603" t="s">
        <v>255</v>
      </c>
      <c r="B220" s="220"/>
      <c r="C220" s="220"/>
      <c r="D220" s="220"/>
      <c r="E220" s="220"/>
      <c r="F220" s="220"/>
      <c r="G220" s="220"/>
      <c r="H220" s="220"/>
      <c r="I220" s="220"/>
      <c r="J220" s="220"/>
      <c r="K220" s="220"/>
      <c r="L220" s="220">
        <f>SUM(BR220:BU220)</f>
        <v>1173.69</v>
      </c>
      <c r="M220" s="220">
        <f>SUM(BV220:BY220)</f>
        <v>1605.6941850000003</v>
      </c>
      <c r="N220" s="220">
        <f>SUM(BZ220:CC220)</f>
        <v>2102.7978000000007</v>
      </c>
      <c r="O220" s="220">
        <f>SUM(CD220:CG220)</f>
        <v>2172.4300594483207</v>
      </c>
      <c r="P220" s="220">
        <f>SUM(CH220:CK220)</f>
        <v>1884.4801149532709</v>
      </c>
      <c r="Q220" s="1302">
        <f>SUM(CL220:CO220)</f>
        <v>1835.6597999999999</v>
      </c>
      <c r="R220" s="220"/>
      <c r="S220" s="220"/>
      <c r="T220" s="1302"/>
      <c r="U220" s="1302"/>
      <c r="V220" s="220"/>
      <c r="W220" s="220"/>
      <c r="X220" s="220"/>
      <c r="Y220" s="220"/>
      <c r="Z220" s="220"/>
      <c r="AA220" s="1302"/>
      <c r="AB220" s="1302"/>
      <c r="AC220" s="1302"/>
      <c r="AD220" s="1302"/>
      <c r="AE220" s="1302"/>
      <c r="AF220" s="1302"/>
      <c r="AG220" s="1302"/>
      <c r="AH220" s="1952"/>
      <c r="AI220" s="606"/>
      <c r="AJ220" s="1952"/>
      <c r="AK220" s="220"/>
      <c r="AL220" s="220"/>
      <c r="AM220" s="220"/>
      <c r="AN220" s="220"/>
      <c r="AO220" s="220"/>
      <c r="AP220" s="220"/>
      <c r="AQ220" s="220"/>
      <c r="AR220" s="220"/>
      <c r="AS220" s="220"/>
      <c r="AT220" s="220"/>
      <c r="AU220" s="220"/>
      <c r="AV220" s="220"/>
      <c r="AW220" s="220"/>
      <c r="AX220" s="220"/>
      <c r="AY220" s="220"/>
      <c r="AZ220" s="220"/>
      <c r="BA220" s="220"/>
      <c r="BB220" s="220"/>
      <c r="BC220" s="220"/>
      <c r="BD220" s="220"/>
      <c r="BE220" s="220"/>
      <c r="BF220" s="220"/>
      <c r="BG220" s="220"/>
      <c r="BH220" s="220"/>
      <c r="BI220" s="220"/>
      <c r="BJ220" s="220"/>
      <c r="BK220" s="220"/>
      <c r="BL220" s="220"/>
      <c r="BM220" s="220"/>
      <c r="BN220" s="220"/>
      <c r="BO220" s="220"/>
      <c r="BP220" s="220"/>
      <c r="BQ220" s="220"/>
      <c r="BR220" s="1452">
        <f t="shared" ref="BR220:CP220" si="372">BR219*3*(BR217/1000)</f>
        <v>251.74799999999996</v>
      </c>
      <c r="BS220" s="1302">
        <f t="shared" si="372"/>
        <v>278.20799999999997</v>
      </c>
      <c r="BT220" s="1302">
        <f t="shared" si="372"/>
        <v>307.4085</v>
      </c>
      <c r="BU220" s="1302">
        <f t="shared" si="372"/>
        <v>336.32550000000003</v>
      </c>
      <c r="BV220" s="1452">
        <f t="shared" si="372"/>
        <v>354.19355999999999</v>
      </c>
      <c r="BW220" s="1302">
        <f t="shared" si="372"/>
        <v>379.67643000000004</v>
      </c>
      <c r="BX220" s="1302">
        <f t="shared" si="372"/>
        <v>415.33411500000011</v>
      </c>
      <c r="BY220" s="1302">
        <f t="shared" si="372"/>
        <v>456.49007999999998</v>
      </c>
      <c r="BZ220" s="1452">
        <f t="shared" si="372"/>
        <v>478.00368000000014</v>
      </c>
      <c r="CA220" s="1302">
        <f t="shared" si="372"/>
        <v>521.47044000000005</v>
      </c>
      <c r="CB220" s="1302">
        <f t="shared" si="372"/>
        <v>543.4354800000001</v>
      </c>
      <c r="CC220" s="1302">
        <f t="shared" si="372"/>
        <v>559.88820000000021</v>
      </c>
      <c r="CD220" s="1452">
        <f t="shared" si="372"/>
        <v>570.1018680000002</v>
      </c>
      <c r="CE220" s="1302">
        <f t="shared" si="372"/>
        <v>565.7530082400001</v>
      </c>
      <c r="CF220" s="1302">
        <f t="shared" si="372"/>
        <v>559.01722363200008</v>
      </c>
      <c r="CG220" s="1482">
        <f t="shared" si="372"/>
        <v>477.55795957632006</v>
      </c>
      <c r="CH220" s="1452">
        <f t="shared" si="372"/>
        <v>488.16810000000004</v>
      </c>
      <c r="CI220" s="1302">
        <f t="shared" si="372"/>
        <v>473.73119999999994</v>
      </c>
      <c r="CJ220" s="1302">
        <f t="shared" si="372"/>
        <v>464.22881495327107</v>
      </c>
      <c r="CK220" s="1482">
        <f t="shared" si="372"/>
        <v>458.35199999999998</v>
      </c>
      <c r="CL220" s="1452">
        <f t="shared" si="372"/>
        <v>474.22935000000001</v>
      </c>
      <c r="CM220" s="1302">
        <f t="shared" si="372"/>
        <v>463.28489999999999</v>
      </c>
      <c r="CN220" s="1302">
        <f t="shared" si="372"/>
        <v>450.71235000000001</v>
      </c>
      <c r="CO220" s="1302">
        <f t="shared" si="372"/>
        <v>447.43320000000006</v>
      </c>
      <c r="CP220" s="1452">
        <f t="shared" si="372"/>
        <v>438.34500000000003</v>
      </c>
      <c r="CQ220" s="1302"/>
      <c r="CR220" s="1302"/>
      <c r="CS220" s="1302"/>
      <c r="CT220" s="1452"/>
      <c r="CU220" s="1302"/>
      <c r="CV220" s="1302"/>
      <c r="CW220" s="1482"/>
      <c r="CX220" s="1452"/>
      <c r="CY220" s="1302"/>
      <c r="CZ220" s="1302"/>
      <c r="DA220" s="1302"/>
      <c r="DB220" s="1452"/>
      <c r="DC220" s="1302"/>
      <c r="DD220" s="1302"/>
      <c r="DE220" s="1302"/>
      <c r="DF220" s="1302"/>
      <c r="DG220" s="1302"/>
      <c r="DH220" s="1302"/>
      <c r="DI220" s="1302"/>
      <c r="DJ220" s="1302"/>
      <c r="DK220" s="1302"/>
      <c r="DL220" s="1302"/>
      <c r="DM220" s="1482"/>
      <c r="DN220" s="1482"/>
      <c r="DO220" s="1482"/>
      <c r="DP220" s="1482"/>
      <c r="DQ220" s="1482"/>
      <c r="DR220" s="1482"/>
      <c r="DS220" s="1482"/>
      <c r="DT220" s="1482"/>
      <c r="DU220" s="1482"/>
      <c r="DV220" s="1482"/>
      <c r="DW220" s="1482"/>
      <c r="DX220" s="1482"/>
      <c r="DY220" s="1482"/>
    </row>
    <row r="221" spans="1:130" ht="15" customHeight="1">
      <c r="A221" s="1603" t="s">
        <v>834</v>
      </c>
      <c r="B221" s="562"/>
      <c r="C221" s="562"/>
      <c r="D221" s="562"/>
      <c r="E221" s="562"/>
      <c r="F221" s="562"/>
      <c r="G221" s="562"/>
      <c r="H221" s="562"/>
      <c r="I221" s="562"/>
      <c r="J221" s="562"/>
      <c r="K221" s="562"/>
      <c r="L221" s="562"/>
      <c r="M221" s="562">
        <f>M220/L220-1</f>
        <v>0.36807349896480357</v>
      </c>
      <c r="N221" s="562">
        <f>N220/M220-1</f>
        <v>0.30958797736444454</v>
      </c>
      <c r="O221" s="562">
        <f>O220/N220-1</f>
        <v>3.3114101340756541E-2</v>
      </c>
      <c r="P221" s="562">
        <f>P220/O220-1</f>
        <v>-0.13254739467569943</v>
      </c>
      <c r="Q221" s="1065">
        <f>Q220/P220-1</f>
        <v>-2.5906516373340294E-2</v>
      </c>
      <c r="R221" s="562"/>
      <c r="S221" s="562"/>
      <c r="T221" s="1065"/>
      <c r="U221" s="1065"/>
      <c r="V221" s="562"/>
      <c r="W221" s="562"/>
      <c r="X221" s="562"/>
      <c r="Y221" s="562"/>
      <c r="Z221" s="562"/>
      <c r="AA221" s="1065"/>
      <c r="AB221" s="1065"/>
      <c r="AC221" s="1065"/>
      <c r="AD221" s="1065"/>
      <c r="AE221" s="1065"/>
      <c r="AF221" s="1065"/>
      <c r="AG221" s="1065"/>
      <c r="AH221" s="1927"/>
      <c r="AI221" s="606"/>
      <c r="AJ221" s="1927"/>
      <c r="AK221" s="562"/>
      <c r="AL221" s="562"/>
      <c r="AM221" s="562"/>
      <c r="AN221" s="562"/>
      <c r="AO221" s="562"/>
      <c r="AP221" s="562"/>
      <c r="AQ221" s="562"/>
      <c r="AR221" s="562"/>
      <c r="AS221" s="562"/>
      <c r="AT221" s="562"/>
      <c r="AU221" s="562"/>
      <c r="AV221" s="562"/>
      <c r="AW221" s="562"/>
      <c r="AX221" s="562"/>
      <c r="AY221" s="562"/>
      <c r="AZ221" s="562"/>
      <c r="BA221" s="562"/>
      <c r="BB221" s="562"/>
      <c r="BC221" s="562"/>
      <c r="BD221" s="562"/>
      <c r="BE221" s="562"/>
      <c r="BF221" s="562"/>
      <c r="BG221" s="562"/>
      <c r="BH221" s="562"/>
      <c r="BI221" s="562"/>
      <c r="BJ221" s="562"/>
      <c r="BK221" s="562"/>
      <c r="BL221" s="562"/>
      <c r="BM221" s="562"/>
      <c r="BN221" s="562"/>
      <c r="BO221" s="562"/>
      <c r="BP221" s="562"/>
      <c r="BQ221" s="562"/>
      <c r="BR221" s="563"/>
      <c r="BS221" s="1065"/>
      <c r="BT221" s="1065"/>
      <c r="BU221" s="1065"/>
      <c r="BV221" s="563">
        <f t="shared" ref="BV221:CP221" si="373">BV220/BR220-1</f>
        <v>0.40693693693693711</v>
      </c>
      <c r="BW221" s="1065">
        <f t="shared" si="373"/>
        <v>0.36472146739130462</v>
      </c>
      <c r="BX221" s="1065">
        <f t="shared" si="373"/>
        <v>0.35108207808177094</v>
      </c>
      <c r="BY221" s="1065">
        <f t="shared" si="373"/>
        <v>0.35728655721912239</v>
      </c>
      <c r="BZ221" s="563">
        <f t="shared" si="373"/>
        <v>0.34955497214573916</v>
      </c>
      <c r="CA221" s="1065">
        <f t="shared" si="373"/>
        <v>0.37346013288209656</v>
      </c>
      <c r="CB221" s="1065">
        <f t="shared" si="373"/>
        <v>0.30842967233741425</v>
      </c>
      <c r="CC221" s="1065">
        <f t="shared" si="373"/>
        <v>0.22650682792493604</v>
      </c>
      <c r="CD221" s="563">
        <f t="shared" si="373"/>
        <v>0.19267255013601581</v>
      </c>
      <c r="CE221" s="1065">
        <f t="shared" si="373"/>
        <v>8.4918654717993203E-2</v>
      </c>
      <c r="CF221" s="1065">
        <f t="shared" si="373"/>
        <v>2.8672665303340006E-2</v>
      </c>
      <c r="CG221" s="564">
        <f t="shared" si="373"/>
        <v>-0.14704764348253829</v>
      </c>
      <c r="CH221" s="563">
        <f t="shared" si="373"/>
        <v>-0.14371776799721014</v>
      </c>
      <c r="CI221" s="1065">
        <f t="shared" si="373"/>
        <v>-0.16265367907856221</v>
      </c>
      <c r="CJ221" s="1065">
        <f t="shared" si="373"/>
        <v>-0.16956259068884794</v>
      </c>
      <c r="CK221" s="564">
        <f t="shared" si="373"/>
        <v>-4.021702327683796E-2</v>
      </c>
      <c r="CL221" s="563">
        <f t="shared" si="373"/>
        <v>-2.8553176661891722E-2</v>
      </c>
      <c r="CM221" s="1065">
        <f t="shared" si="373"/>
        <v>-2.2051112529636985E-2</v>
      </c>
      <c r="CN221" s="1065">
        <f t="shared" si="373"/>
        <v>-2.9115954283517764E-2</v>
      </c>
      <c r="CO221" s="1065">
        <f t="shared" si="373"/>
        <v>-2.3821866163996064E-2</v>
      </c>
      <c r="CP221" s="563">
        <f t="shared" si="373"/>
        <v>-7.5668766599958359E-2</v>
      </c>
      <c r="CQ221" s="1065"/>
      <c r="CR221" s="1065"/>
      <c r="CS221" s="1065"/>
      <c r="CT221" s="563"/>
      <c r="CU221" s="1065"/>
      <c r="CV221" s="1065"/>
      <c r="CW221" s="564"/>
      <c r="CX221" s="563"/>
      <c r="CY221" s="1065"/>
      <c r="CZ221" s="1065"/>
      <c r="DA221" s="1065"/>
      <c r="DB221" s="563"/>
      <c r="DC221" s="1065"/>
      <c r="DD221" s="1065"/>
      <c r="DE221" s="1065"/>
      <c r="DF221" s="1065"/>
      <c r="DG221" s="1065"/>
      <c r="DH221" s="1065"/>
      <c r="DI221" s="1065"/>
      <c r="DJ221" s="1065"/>
      <c r="DK221" s="1065"/>
      <c r="DL221" s="1065"/>
      <c r="DM221" s="564"/>
      <c r="DN221" s="564"/>
      <c r="DO221" s="564"/>
      <c r="DP221" s="564"/>
      <c r="DQ221" s="564"/>
      <c r="DR221" s="564"/>
      <c r="DS221" s="564"/>
      <c r="DT221" s="564"/>
      <c r="DU221" s="564"/>
      <c r="DV221" s="564"/>
      <c r="DW221" s="564"/>
      <c r="DX221" s="564"/>
      <c r="DY221" s="564"/>
    </row>
    <row r="222" spans="1:130" ht="15" customHeight="1">
      <c r="A222" s="1603"/>
      <c r="B222" s="86"/>
      <c r="C222" s="86"/>
      <c r="D222" s="86"/>
      <c r="E222" s="86"/>
      <c r="F222" s="86"/>
      <c r="G222" s="86"/>
      <c r="H222" s="86"/>
      <c r="I222" s="86"/>
      <c r="J222" s="86"/>
      <c r="K222" s="86"/>
      <c r="L222" s="86"/>
      <c r="M222" s="86"/>
      <c r="N222" s="86"/>
      <c r="O222" s="86"/>
      <c r="P222" s="86"/>
      <c r="Q222" s="1064"/>
      <c r="R222" s="86"/>
      <c r="S222" s="86"/>
      <c r="T222" s="1064"/>
      <c r="U222" s="1064"/>
      <c r="V222" s="86"/>
      <c r="W222" s="86"/>
      <c r="X222" s="86"/>
      <c r="Y222" s="86"/>
      <c r="Z222" s="86"/>
      <c r="AA222" s="1064"/>
      <c r="AB222" s="1064"/>
      <c r="AC222" s="1064"/>
      <c r="AD222" s="1064"/>
      <c r="AE222" s="1064"/>
      <c r="AF222" s="1064"/>
      <c r="AG222" s="1064"/>
      <c r="AH222" s="1947"/>
      <c r="AI222" s="606"/>
      <c r="AJ222" s="1947"/>
      <c r="AK222" s="86"/>
      <c r="AL222" s="86"/>
      <c r="AM222" s="86"/>
      <c r="AN222" s="86"/>
      <c r="AO222" s="86"/>
      <c r="AP222" s="86"/>
      <c r="AQ222" s="86"/>
      <c r="AR222" s="86"/>
      <c r="AS222" s="86"/>
      <c r="AT222" s="86"/>
      <c r="AU222" s="86"/>
      <c r="AV222" s="86"/>
      <c r="AW222" s="86"/>
      <c r="AX222" s="86"/>
      <c r="AY222" s="86"/>
      <c r="AZ222" s="86"/>
      <c r="BA222" s="86"/>
      <c r="BB222" s="86"/>
      <c r="BC222" s="86"/>
      <c r="BD222" s="86"/>
      <c r="BE222" s="86"/>
      <c r="BF222" s="86"/>
      <c r="BG222" s="86"/>
      <c r="BH222" s="86"/>
      <c r="BI222" s="86"/>
      <c r="BJ222" s="86"/>
      <c r="BK222" s="86"/>
      <c r="BL222" s="86"/>
      <c r="BM222" s="86"/>
      <c r="BN222" s="86"/>
      <c r="BO222" s="86"/>
      <c r="BP222" s="86"/>
      <c r="BQ222" s="86"/>
      <c r="BR222" s="569"/>
      <c r="BS222" s="1064"/>
      <c r="BT222" s="1064"/>
      <c r="BU222" s="1064"/>
      <c r="BV222" s="569"/>
      <c r="BW222" s="1064"/>
      <c r="BX222" s="1064"/>
      <c r="BY222" s="1064"/>
      <c r="BZ222" s="569"/>
      <c r="CA222" s="1064"/>
      <c r="CB222" s="1064"/>
      <c r="CC222" s="1064"/>
      <c r="CD222" s="569"/>
      <c r="CE222" s="1064"/>
      <c r="CF222" s="1064"/>
      <c r="CG222" s="568"/>
      <c r="CH222" s="569"/>
      <c r="CI222" s="1064"/>
      <c r="CJ222" s="1064"/>
      <c r="CK222" s="568"/>
      <c r="CL222" s="569"/>
      <c r="CM222" s="1064"/>
      <c r="CN222" s="1064"/>
      <c r="CO222" s="1064"/>
      <c r="CP222" s="569"/>
      <c r="CQ222" s="1064"/>
      <c r="CR222" s="1064"/>
      <c r="CS222" s="1064"/>
      <c r="CT222" s="569"/>
      <c r="CU222" s="1064"/>
      <c r="CV222" s="1064"/>
      <c r="CW222" s="568"/>
      <c r="CX222" s="569"/>
      <c r="CY222" s="1064"/>
      <c r="CZ222" s="1064"/>
      <c r="DA222" s="1064"/>
      <c r="DB222" s="569"/>
      <c r="DC222" s="1064"/>
      <c r="DD222" s="1064"/>
      <c r="DE222" s="1064"/>
      <c r="DF222" s="1064"/>
      <c r="DG222" s="1064"/>
      <c r="DH222" s="1064"/>
      <c r="DI222" s="1064"/>
      <c r="DJ222" s="1064"/>
      <c r="DK222" s="1064"/>
      <c r="DL222" s="1064"/>
      <c r="DM222" s="568"/>
      <c r="DN222" s="568"/>
      <c r="DO222" s="568"/>
      <c r="DP222" s="568"/>
      <c r="DQ222" s="568"/>
      <c r="DR222" s="568"/>
      <c r="DS222" s="568"/>
      <c r="DT222" s="568"/>
      <c r="DU222" s="568"/>
      <c r="DV222" s="568"/>
      <c r="DW222" s="568"/>
      <c r="DX222" s="568"/>
      <c r="DY222" s="568"/>
    </row>
    <row r="223" spans="1:130" ht="15" customHeight="1">
      <c r="A223" s="1603" t="s">
        <v>256</v>
      </c>
      <c r="B223" s="86"/>
      <c r="C223" s="86"/>
      <c r="D223" s="86"/>
      <c r="E223" s="86"/>
      <c r="F223" s="86"/>
      <c r="G223" s="86"/>
      <c r="H223" s="86"/>
      <c r="I223" s="86"/>
      <c r="J223" s="86"/>
      <c r="K223" s="86"/>
      <c r="L223" s="86"/>
      <c r="M223" s="86"/>
      <c r="N223" s="217">
        <f>SUM(BZ223:CC223)</f>
        <v>171.61200000000002</v>
      </c>
      <c r="O223" s="217">
        <f>SUM(CD223:CG223)</f>
        <v>459.91800000000006</v>
      </c>
      <c r="P223" s="217">
        <f>SUM(CH223:CK223)</f>
        <v>820.96199999999999</v>
      </c>
      <c r="Q223" s="1070">
        <f ca="1">SUM(CL223:CO223)</f>
        <v>2595.823925945997</v>
      </c>
      <c r="R223" s="217"/>
      <c r="S223" s="217"/>
      <c r="T223" s="1070"/>
      <c r="U223" s="1070"/>
      <c r="V223" s="217"/>
      <c r="W223" s="217"/>
      <c r="X223" s="217"/>
      <c r="Y223" s="217"/>
      <c r="Z223" s="217"/>
      <c r="AA223" s="1070"/>
      <c r="AB223" s="1070"/>
      <c r="AC223" s="1070"/>
      <c r="AD223" s="1070"/>
      <c r="AE223" s="1070"/>
      <c r="AF223" s="1070"/>
      <c r="AG223" s="1070"/>
      <c r="AH223" s="1947"/>
      <c r="AI223" s="606"/>
      <c r="AJ223" s="1947"/>
      <c r="AK223" s="86"/>
      <c r="AL223" s="86"/>
      <c r="AM223" s="86"/>
      <c r="AN223" s="86"/>
      <c r="AO223" s="86"/>
      <c r="AP223" s="86"/>
      <c r="AQ223" s="86"/>
      <c r="AR223" s="86"/>
      <c r="AS223" s="86"/>
      <c r="AT223" s="86"/>
      <c r="AU223" s="86"/>
      <c r="AV223" s="86"/>
      <c r="AW223" s="86"/>
      <c r="AX223" s="86"/>
      <c r="AY223" s="86"/>
      <c r="AZ223" s="86"/>
      <c r="BA223" s="86"/>
      <c r="BB223" s="86"/>
      <c r="BC223" s="86"/>
      <c r="BD223" s="86"/>
      <c r="BE223" s="86"/>
      <c r="BF223" s="86"/>
      <c r="BG223" s="86"/>
      <c r="BH223" s="86"/>
      <c r="BI223" s="86"/>
      <c r="BJ223" s="86"/>
      <c r="BK223" s="86"/>
      <c r="BL223" s="86"/>
      <c r="BM223" s="86"/>
      <c r="BN223" s="86"/>
      <c r="BO223" s="86"/>
      <c r="BP223" s="86"/>
      <c r="BQ223" s="86"/>
      <c r="BR223" s="569"/>
      <c r="BS223" s="1064"/>
      <c r="BT223" s="1064"/>
      <c r="BU223" s="1064"/>
      <c r="BV223" s="569"/>
      <c r="BW223" s="1064"/>
      <c r="BX223" s="1064"/>
      <c r="BY223" s="1064"/>
      <c r="BZ223" s="607">
        <f>(FiOS!BZ44*BZ216)</f>
        <v>23.382000000000001</v>
      </c>
      <c r="CA223" s="1070">
        <f>(FiOS!CA44*CA216)</f>
        <v>34.506000000000007</v>
      </c>
      <c r="CB223" s="1070">
        <f>(FiOS!CB44*CB216)</f>
        <v>48.438000000000002</v>
      </c>
      <c r="CC223" s="1070">
        <f>(FiOS!CC44*CC216)</f>
        <v>65.286000000000001</v>
      </c>
      <c r="CD223" s="607">
        <f>(FiOS!CD44*CD216)</f>
        <v>83.160000000000011</v>
      </c>
      <c r="CE223" s="1070">
        <f>(FiOS!CE44*CE216)</f>
        <v>102.97800000000001</v>
      </c>
      <c r="CF223" s="1070">
        <f>(FiOS!CF44*CF216)</f>
        <v>126.09</v>
      </c>
      <c r="CG223" s="608">
        <f>(FiOS!CG44*CG216)</f>
        <v>147.69</v>
      </c>
      <c r="CH223" s="607">
        <f>(FiOS!CH44*CH216)</f>
        <v>170.58599999999998</v>
      </c>
      <c r="CI223" s="1070">
        <f>(FiOS!CI44*CI216)</f>
        <v>193.80600000000001</v>
      </c>
      <c r="CJ223" s="1070">
        <f>(FiOS!CJ44*CJ216)</f>
        <v>215.136</v>
      </c>
      <c r="CK223" s="608">
        <f>(FiOS!CK44*CK216)</f>
        <v>241.434</v>
      </c>
      <c r="CL223" s="607">
        <f>(FiOS!CL44*CL216)</f>
        <v>271.29599999999999</v>
      </c>
      <c r="CM223" s="1070">
        <f ca="1">(FiOS!CM44*CM216)</f>
        <v>711.41527241855999</v>
      </c>
      <c r="CN223" s="1070">
        <f>(FiOS!CN44*CN216)</f>
        <v>775.66680088914279</v>
      </c>
      <c r="CO223" s="1070">
        <f>(FiOS!CO44*CO216)</f>
        <v>837.4458526382939</v>
      </c>
      <c r="CP223" s="607">
        <f>(FiOS!CP44*CP216)</f>
        <v>891.66029484319267</v>
      </c>
      <c r="CQ223" s="1064"/>
      <c r="CR223" s="1064"/>
      <c r="CS223" s="1064"/>
      <c r="CT223" s="569"/>
      <c r="CU223" s="1064"/>
      <c r="CV223" s="1064"/>
      <c r="CW223" s="568"/>
      <c r="CX223" s="569"/>
      <c r="CY223" s="1064"/>
      <c r="CZ223" s="1064"/>
      <c r="DA223" s="1064"/>
      <c r="DB223" s="569"/>
      <c r="DC223" s="1064"/>
      <c r="DD223" s="1064"/>
      <c r="DE223" s="1064"/>
      <c r="DF223" s="1064"/>
      <c r="DG223" s="1064"/>
      <c r="DH223" s="1064"/>
      <c r="DI223" s="1064"/>
      <c r="DJ223" s="1064"/>
      <c r="DK223" s="1064"/>
      <c r="DL223" s="1064"/>
      <c r="DM223" s="568"/>
      <c r="DN223" s="568"/>
      <c r="DO223" s="568"/>
      <c r="DP223" s="568"/>
      <c r="DQ223" s="568"/>
      <c r="DR223" s="568"/>
      <c r="DS223" s="568"/>
      <c r="DT223" s="568"/>
      <c r="DU223" s="568"/>
      <c r="DV223" s="568"/>
      <c r="DW223" s="568"/>
      <c r="DX223" s="568"/>
      <c r="DY223" s="568"/>
    </row>
    <row r="224" spans="1:130" ht="15" customHeight="1">
      <c r="A224" s="1603" t="s">
        <v>834</v>
      </c>
      <c r="B224" s="562"/>
      <c r="C224" s="562"/>
      <c r="D224" s="562"/>
      <c r="E224" s="562"/>
      <c r="F224" s="562"/>
      <c r="G224" s="562"/>
      <c r="H224" s="562"/>
      <c r="I224" s="562"/>
      <c r="J224" s="562"/>
      <c r="K224" s="562"/>
      <c r="L224" s="562"/>
      <c r="M224" s="562"/>
      <c r="N224" s="562"/>
      <c r="O224" s="562">
        <f>O223/N223-1</f>
        <v>1.6799874134675896</v>
      </c>
      <c r="P224" s="562">
        <f>P223/O223-1</f>
        <v>0.78501819889632474</v>
      </c>
      <c r="Q224" s="1065">
        <f ca="1">Q223/P223-1</f>
        <v>2.1619294509928557</v>
      </c>
      <c r="R224" s="562"/>
      <c r="S224" s="562"/>
      <c r="T224" s="1065"/>
      <c r="U224" s="1065"/>
      <c r="V224" s="562"/>
      <c r="W224" s="562"/>
      <c r="X224" s="562"/>
      <c r="Y224" s="562"/>
      <c r="Z224" s="562"/>
      <c r="AA224" s="1065"/>
      <c r="AB224" s="1065"/>
      <c r="AC224" s="1065"/>
      <c r="AD224" s="1065"/>
      <c r="AE224" s="1065"/>
      <c r="AF224" s="1065"/>
      <c r="AG224" s="1065"/>
      <c r="AH224" s="1927"/>
      <c r="AI224" s="606"/>
      <c r="AJ224" s="1927"/>
      <c r="AK224" s="562"/>
      <c r="AL224" s="562"/>
      <c r="AM224" s="562"/>
      <c r="AN224" s="562"/>
      <c r="AO224" s="562"/>
      <c r="AP224" s="562"/>
      <c r="AQ224" s="562"/>
      <c r="AR224" s="562"/>
      <c r="AS224" s="562"/>
      <c r="AT224" s="562"/>
      <c r="AU224" s="562"/>
      <c r="AV224" s="562"/>
      <c r="AW224" s="562"/>
      <c r="AX224" s="562"/>
      <c r="AY224" s="562"/>
      <c r="AZ224" s="562"/>
      <c r="BA224" s="562"/>
      <c r="BB224" s="562"/>
      <c r="BC224" s="562"/>
      <c r="BD224" s="562"/>
      <c r="BE224" s="562"/>
      <c r="BF224" s="562"/>
      <c r="BG224" s="562"/>
      <c r="BH224" s="562"/>
      <c r="BI224" s="562"/>
      <c r="BJ224" s="562"/>
      <c r="BK224" s="562"/>
      <c r="BL224" s="562"/>
      <c r="BM224" s="562"/>
      <c r="BN224" s="562"/>
      <c r="BO224" s="562"/>
      <c r="BP224" s="562"/>
      <c r="BQ224" s="562"/>
      <c r="BR224" s="563"/>
      <c r="BS224" s="1065"/>
      <c r="BT224" s="1065"/>
      <c r="BU224" s="1065"/>
      <c r="BV224" s="563"/>
      <c r="BW224" s="1065"/>
      <c r="BX224" s="1065"/>
      <c r="BY224" s="1065"/>
      <c r="BZ224" s="563"/>
      <c r="CA224" s="1065"/>
      <c r="CB224" s="1065"/>
      <c r="CC224" s="1065"/>
      <c r="CD224" s="563">
        <f t="shared" ref="CD224:CP224" si="374">CD223/BZ223-1</f>
        <v>2.5565819861431871</v>
      </c>
      <c r="CE224" s="1065">
        <f t="shared" si="374"/>
        <v>1.9843505477308292</v>
      </c>
      <c r="CF224" s="1065">
        <f t="shared" si="374"/>
        <v>1.6031215161649945</v>
      </c>
      <c r="CG224" s="564">
        <f t="shared" si="374"/>
        <v>1.2622001654259716</v>
      </c>
      <c r="CH224" s="563">
        <f t="shared" si="374"/>
        <v>1.051298701298701</v>
      </c>
      <c r="CI224" s="1065">
        <f t="shared" si="374"/>
        <v>0.88201363398007326</v>
      </c>
      <c r="CJ224" s="1065">
        <f t="shared" si="374"/>
        <v>0.70620985010706638</v>
      </c>
      <c r="CK224" s="564">
        <f t="shared" si="374"/>
        <v>0.63473491773308965</v>
      </c>
      <c r="CL224" s="563">
        <f t="shared" si="374"/>
        <v>0.59037670148781274</v>
      </c>
      <c r="CM224" s="1065">
        <f t="shared" ca="1" si="374"/>
        <v>2.6707597928782389</v>
      </c>
      <c r="CN224" s="1065">
        <f t="shared" si="374"/>
        <v>2.6054718916831345</v>
      </c>
      <c r="CO224" s="1065">
        <f t="shared" si="374"/>
        <v>2.4686326393063691</v>
      </c>
      <c r="CP224" s="563">
        <f t="shared" si="374"/>
        <v>2.2866695227470832</v>
      </c>
      <c r="CQ224" s="1065"/>
      <c r="CR224" s="1065"/>
      <c r="CS224" s="1065"/>
      <c r="CT224" s="563"/>
      <c r="CU224" s="1065"/>
      <c r="CV224" s="1065"/>
      <c r="CW224" s="564"/>
      <c r="CX224" s="563"/>
      <c r="CY224" s="1065"/>
      <c r="CZ224" s="1065"/>
      <c r="DA224" s="1065"/>
      <c r="DB224" s="563"/>
      <c r="DC224" s="1065"/>
      <c r="DD224" s="1065"/>
      <c r="DE224" s="1065"/>
      <c r="DF224" s="1065"/>
      <c r="DG224" s="1065"/>
      <c r="DH224" s="1065"/>
      <c r="DI224" s="1065"/>
      <c r="DJ224" s="1065"/>
      <c r="DK224" s="1065"/>
      <c r="DL224" s="1065"/>
      <c r="DM224" s="564"/>
      <c r="DN224" s="564"/>
      <c r="DO224" s="564"/>
      <c r="DP224" s="564"/>
      <c r="DQ224" s="564"/>
      <c r="DR224" s="564"/>
      <c r="DS224" s="564"/>
      <c r="DT224" s="564"/>
      <c r="DU224" s="564"/>
      <c r="DV224" s="564"/>
      <c r="DW224" s="564"/>
      <c r="DX224" s="564"/>
      <c r="DY224" s="564"/>
    </row>
    <row r="225" spans="1:129" ht="15" customHeight="1">
      <c r="A225" s="1603" t="s">
        <v>257</v>
      </c>
      <c r="B225" s="86"/>
      <c r="C225" s="86"/>
      <c r="D225" s="86"/>
      <c r="E225" s="86"/>
      <c r="F225" s="86"/>
      <c r="G225" s="86"/>
      <c r="H225" s="86"/>
      <c r="I225" s="86"/>
      <c r="J225" s="86"/>
      <c r="K225" s="86"/>
      <c r="L225" s="86"/>
      <c r="M225" s="86"/>
      <c r="N225" s="217">
        <f>SUM(BZ225:CC225)</f>
        <v>57.9285</v>
      </c>
      <c r="O225" s="217">
        <f>SUM(CD225:CG225)</f>
        <v>404.83800000000002</v>
      </c>
      <c r="P225" s="217">
        <f>SUM(CH225:CK225)</f>
        <v>1024.4661160516364</v>
      </c>
      <c r="Q225" s="1070">
        <f ca="1">SUM(CL225:CO225)</f>
        <v>1749.5934127330115</v>
      </c>
      <c r="R225" s="217"/>
      <c r="S225" s="217"/>
      <c r="T225" s="1070"/>
      <c r="U225" s="1070"/>
      <c r="V225" s="217"/>
      <c r="W225" s="217"/>
      <c r="X225" s="217"/>
      <c r="Y225" s="217"/>
      <c r="Z225" s="217"/>
      <c r="AA225" s="1070"/>
      <c r="AB225" s="1070"/>
      <c r="AC225" s="1070"/>
      <c r="AD225" s="1070"/>
      <c r="AE225" s="1070"/>
      <c r="AF225" s="1070"/>
      <c r="AG225" s="1070"/>
      <c r="AH225" s="1947"/>
      <c r="AI225" s="606"/>
      <c r="AJ225" s="1947"/>
      <c r="AK225" s="86"/>
      <c r="AL225" s="86"/>
      <c r="AM225" s="86"/>
      <c r="AN225" s="86"/>
      <c r="AO225" s="86"/>
      <c r="AP225" s="86"/>
      <c r="AQ225" s="86"/>
      <c r="AR225" s="86"/>
      <c r="AS225" s="86"/>
      <c r="AT225" s="86"/>
      <c r="AU225" s="86"/>
      <c r="AV225" s="86"/>
      <c r="AW225" s="86"/>
      <c r="AX225" s="86"/>
      <c r="AY225" s="86"/>
      <c r="AZ225" s="86"/>
      <c r="BA225" s="86"/>
      <c r="BB225" s="86"/>
      <c r="BC225" s="86"/>
      <c r="BD225" s="86"/>
      <c r="BE225" s="86"/>
      <c r="BF225" s="86"/>
      <c r="BG225" s="86"/>
      <c r="BH225" s="86"/>
      <c r="BI225" s="86"/>
      <c r="BJ225" s="86"/>
      <c r="BK225" s="86"/>
      <c r="BL225" s="86"/>
      <c r="BM225" s="86"/>
      <c r="BN225" s="86"/>
      <c r="BO225" s="86"/>
      <c r="BP225" s="86"/>
      <c r="BQ225" s="86"/>
      <c r="BR225" s="569"/>
      <c r="BS225" s="1064"/>
      <c r="BT225" s="1064"/>
      <c r="BU225" s="1064"/>
      <c r="BV225" s="569"/>
      <c r="BW225" s="1064"/>
      <c r="BX225" s="1064"/>
      <c r="BY225" s="1064"/>
      <c r="BZ225" s="607">
        <f>BZ216*FiOS!BZ91</f>
        <v>3.7800000000000002</v>
      </c>
      <c r="CA225" s="1070">
        <f>CA216*FiOS!CA91</f>
        <v>7.0875000000000004</v>
      </c>
      <c r="CB225" s="1070">
        <f>CB216*FiOS!CB91</f>
        <v>16.348500000000001</v>
      </c>
      <c r="CC225" s="1070">
        <f>CC216*FiOS!CC91</f>
        <v>30.712500000000002</v>
      </c>
      <c r="CD225" s="607">
        <f>CD216*FiOS!CD91</f>
        <v>52.447499999999998</v>
      </c>
      <c r="CE225" s="1070">
        <f>CE216*FiOS!CE91</f>
        <v>81.5535</v>
      </c>
      <c r="CF225" s="1070">
        <f>CF216*FiOS!CF91</f>
        <v>116.42400000000002</v>
      </c>
      <c r="CG225" s="608">
        <f>CG216*FiOS!CG91</f>
        <v>154.41300000000001</v>
      </c>
      <c r="CH225" s="607">
        <f>CH216*FiOS!CH91</f>
        <v>196.84350000000001</v>
      </c>
      <c r="CI225" s="1070">
        <f>CI216*FiOS!CI91</f>
        <v>236.37027272727278</v>
      </c>
      <c r="CJ225" s="1070">
        <f>CJ216*FiOS!CJ91</f>
        <v>272.09053963636364</v>
      </c>
      <c r="CK225" s="608">
        <f>CK216*FiOS!CK91</f>
        <v>319.16180368799996</v>
      </c>
      <c r="CL225" s="607">
        <f>CL216*FiOS!CL91</f>
        <v>371.52133867900801</v>
      </c>
      <c r="CM225" s="1070">
        <f ca="1">CM216*FiOS!CM91</f>
        <v>419.88472758144007</v>
      </c>
      <c r="CN225" s="1070">
        <f>CN216*FiOS!CN91</f>
        <v>464.5331991108572</v>
      </c>
      <c r="CO225" s="1070">
        <f>CO216*FiOS!CO91</f>
        <v>493.65414736170612</v>
      </c>
      <c r="CP225" s="607">
        <f>CP216*FiOS!CP91</f>
        <v>520.43970515680735</v>
      </c>
      <c r="CQ225" s="1064"/>
      <c r="CR225" s="1064"/>
      <c r="CS225" s="1064"/>
      <c r="CT225" s="569"/>
      <c r="CU225" s="1064"/>
      <c r="CV225" s="1064"/>
      <c r="CW225" s="568"/>
      <c r="CX225" s="569"/>
      <c r="CY225" s="1064"/>
      <c r="CZ225" s="1064"/>
      <c r="DA225" s="1064"/>
      <c r="DB225" s="569"/>
      <c r="DC225" s="1064"/>
      <c r="DD225" s="1064"/>
      <c r="DE225" s="1064"/>
      <c r="DF225" s="1064"/>
      <c r="DG225" s="1064"/>
      <c r="DH225" s="1064"/>
      <c r="DI225" s="1064"/>
      <c r="DJ225" s="1064"/>
      <c r="DK225" s="1064"/>
      <c r="DL225" s="1064"/>
      <c r="DM225" s="568"/>
      <c r="DN225" s="568"/>
      <c r="DO225" s="568"/>
      <c r="DP225" s="568"/>
      <c r="DQ225" s="568"/>
      <c r="DR225" s="568"/>
      <c r="DS225" s="568"/>
      <c r="DT225" s="568"/>
      <c r="DU225" s="568"/>
      <c r="DV225" s="568"/>
      <c r="DW225" s="568"/>
      <c r="DX225" s="568"/>
      <c r="DY225" s="568"/>
    </row>
    <row r="226" spans="1:129" ht="15" customHeight="1">
      <c r="A226" s="1603" t="s">
        <v>834</v>
      </c>
      <c r="B226" s="562"/>
      <c r="C226" s="562"/>
      <c r="D226" s="562"/>
      <c r="E226" s="562"/>
      <c r="F226" s="562"/>
      <c r="G226" s="562"/>
      <c r="H226" s="562"/>
      <c r="I226" s="562"/>
      <c r="J226" s="562"/>
      <c r="K226" s="562"/>
      <c r="L226" s="562"/>
      <c r="M226" s="562"/>
      <c r="N226" s="562"/>
      <c r="O226" s="562">
        <f>O225/N225-1</f>
        <v>5.9885807504078308</v>
      </c>
      <c r="P226" s="562">
        <f>P225/O225-1</f>
        <v>1.5305581888351298</v>
      </c>
      <c r="Q226" s="1065">
        <f ca="1">Q225/P225-1</f>
        <v>0.70780993662930114</v>
      </c>
      <c r="R226" s="562"/>
      <c r="S226" s="562"/>
      <c r="T226" s="1065"/>
      <c r="U226" s="1065"/>
      <c r="V226" s="562"/>
      <c r="W226" s="562"/>
      <c r="X226" s="562"/>
      <c r="Y226" s="562"/>
      <c r="Z226" s="562"/>
      <c r="AA226" s="1065"/>
      <c r="AB226" s="1065"/>
      <c r="AC226" s="1065"/>
      <c r="AD226" s="1065"/>
      <c r="AE226" s="1065"/>
      <c r="AF226" s="1065"/>
      <c r="AG226" s="1065"/>
      <c r="AH226" s="1927"/>
      <c r="AI226" s="606"/>
      <c r="AJ226" s="1927"/>
      <c r="AK226" s="562"/>
      <c r="AL226" s="562"/>
      <c r="AM226" s="562"/>
      <c r="AN226" s="562"/>
      <c r="AO226" s="562"/>
      <c r="AP226" s="562"/>
      <c r="AQ226" s="562"/>
      <c r="AR226" s="562"/>
      <c r="AS226" s="562"/>
      <c r="AT226" s="562"/>
      <c r="AU226" s="562"/>
      <c r="AV226" s="562"/>
      <c r="AW226" s="562"/>
      <c r="AX226" s="562"/>
      <c r="AY226" s="562"/>
      <c r="AZ226" s="562"/>
      <c r="BA226" s="562"/>
      <c r="BB226" s="562"/>
      <c r="BC226" s="562"/>
      <c r="BD226" s="562"/>
      <c r="BE226" s="562"/>
      <c r="BF226" s="562"/>
      <c r="BG226" s="562"/>
      <c r="BH226" s="562"/>
      <c r="BI226" s="562"/>
      <c r="BJ226" s="562"/>
      <c r="BK226" s="562"/>
      <c r="BL226" s="562"/>
      <c r="BM226" s="562"/>
      <c r="BN226" s="562"/>
      <c r="BO226" s="562"/>
      <c r="BP226" s="562"/>
      <c r="BQ226" s="562"/>
      <c r="BR226" s="563"/>
      <c r="BS226" s="1065"/>
      <c r="BT226" s="1065"/>
      <c r="BU226" s="1065"/>
      <c r="BV226" s="563"/>
      <c r="BW226" s="1065"/>
      <c r="BX226" s="1065"/>
      <c r="BY226" s="1065"/>
      <c r="BZ226" s="563"/>
      <c r="CA226" s="1065"/>
      <c r="CB226" s="1065"/>
      <c r="CC226" s="1065"/>
      <c r="CD226" s="563">
        <f t="shared" ref="CD226:CP226" si="375">CD225/BZ225-1</f>
        <v>12.874999999999998</v>
      </c>
      <c r="CE226" s="1065">
        <f t="shared" si="375"/>
        <v>10.506666666666666</v>
      </c>
      <c r="CF226" s="1065">
        <f t="shared" si="375"/>
        <v>6.1213872832369951</v>
      </c>
      <c r="CG226" s="564">
        <f t="shared" si="375"/>
        <v>4.0276923076923081</v>
      </c>
      <c r="CH226" s="563">
        <f t="shared" si="375"/>
        <v>2.7531531531531535</v>
      </c>
      <c r="CI226" s="1065">
        <f t="shared" si="375"/>
        <v>1.8983461497945862</v>
      </c>
      <c r="CJ226" s="1065">
        <f t="shared" si="375"/>
        <v>1.3370657221566309</v>
      </c>
      <c r="CK226" s="564">
        <f t="shared" si="375"/>
        <v>1.0669360979192164</v>
      </c>
      <c r="CL226" s="563">
        <f t="shared" si="375"/>
        <v>0.88739449704464723</v>
      </c>
      <c r="CM226" s="1065">
        <f t="shared" ca="1" si="375"/>
        <v>0.77638551048214399</v>
      </c>
      <c r="CN226" s="1065">
        <f t="shared" si="375"/>
        <v>0.70727434967670777</v>
      </c>
      <c r="CO226" s="1065">
        <f t="shared" si="375"/>
        <v>0.54672063404016535</v>
      </c>
      <c r="CP226" s="563">
        <f t="shared" si="375"/>
        <v>0.40083395211510009</v>
      </c>
      <c r="CQ226" s="1065"/>
      <c r="CR226" s="1065"/>
      <c r="CS226" s="1065"/>
      <c r="CT226" s="563"/>
      <c r="CU226" s="1065"/>
      <c r="CV226" s="1065"/>
      <c r="CW226" s="564"/>
      <c r="CX226" s="563"/>
      <c r="CY226" s="1065"/>
      <c r="CZ226" s="1065"/>
      <c r="DA226" s="1065"/>
      <c r="DB226" s="563"/>
      <c r="DC226" s="1065"/>
      <c r="DD226" s="1065"/>
      <c r="DE226" s="1065"/>
      <c r="DF226" s="1065"/>
      <c r="DG226" s="1065"/>
      <c r="DH226" s="1065"/>
      <c r="DI226" s="1065"/>
      <c r="DJ226" s="1065"/>
      <c r="DK226" s="1065"/>
      <c r="DL226" s="1065"/>
      <c r="DM226" s="564"/>
      <c r="DN226" s="564"/>
      <c r="DO226" s="564"/>
      <c r="DP226" s="564"/>
      <c r="DQ226" s="564"/>
      <c r="DR226" s="564"/>
      <c r="DS226" s="564"/>
      <c r="DT226" s="564"/>
      <c r="DU226" s="564"/>
      <c r="DV226" s="564"/>
      <c r="DW226" s="564"/>
      <c r="DX226" s="564"/>
      <c r="DY226" s="564"/>
    </row>
    <row r="227" spans="1:129" ht="15" customHeight="1">
      <c r="A227" s="1603"/>
      <c r="B227" s="86"/>
      <c r="C227" s="86"/>
      <c r="D227" s="86"/>
      <c r="E227" s="86"/>
      <c r="F227" s="86"/>
      <c r="G227" s="86"/>
      <c r="H227" s="86"/>
      <c r="I227" s="86"/>
      <c r="J227" s="86"/>
      <c r="K227" s="86"/>
      <c r="L227" s="86"/>
      <c r="M227" s="86"/>
      <c r="N227" s="86"/>
      <c r="O227" s="86"/>
      <c r="P227" s="86"/>
      <c r="Q227" s="1064"/>
      <c r="R227" s="86"/>
      <c r="S227" s="86"/>
      <c r="T227" s="1064"/>
      <c r="U227" s="1064"/>
      <c r="V227" s="86"/>
      <c r="W227" s="86"/>
      <c r="X227" s="86"/>
      <c r="Y227" s="86"/>
      <c r="Z227" s="86"/>
      <c r="AA227" s="1064"/>
      <c r="AB227" s="1064"/>
      <c r="AC227" s="1064"/>
      <c r="AD227" s="1064"/>
      <c r="AE227" s="1064"/>
      <c r="AF227" s="1064"/>
      <c r="AG227" s="1064"/>
      <c r="AH227" s="1947"/>
      <c r="AI227" s="606"/>
      <c r="AJ227" s="1947"/>
      <c r="AK227" s="86"/>
      <c r="AL227" s="86"/>
      <c r="AM227" s="86"/>
      <c r="AN227" s="86"/>
      <c r="AO227" s="86"/>
      <c r="AP227" s="86"/>
      <c r="AQ227" s="86"/>
      <c r="AR227" s="86"/>
      <c r="AS227" s="86"/>
      <c r="AT227" s="86"/>
      <c r="AU227" s="86"/>
      <c r="AV227" s="86"/>
      <c r="AW227" s="86"/>
      <c r="AX227" s="86"/>
      <c r="AY227" s="86"/>
      <c r="AZ227" s="86"/>
      <c r="BA227" s="86"/>
      <c r="BB227" s="86"/>
      <c r="BC227" s="86"/>
      <c r="BD227" s="86"/>
      <c r="BE227" s="86"/>
      <c r="BF227" s="86"/>
      <c r="BG227" s="86"/>
      <c r="BH227" s="86"/>
      <c r="BI227" s="86"/>
      <c r="BJ227" s="86"/>
      <c r="BK227" s="86"/>
      <c r="BL227" s="86"/>
      <c r="BM227" s="86"/>
      <c r="BN227" s="86"/>
      <c r="BO227" s="86"/>
      <c r="BP227" s="86"/>
      <c r="BQ227" s="86"/>
      <c r="BR227" s="569"/>
      <c r="BS227" s="1064"/>
      <c r="BT227" s="1064"/>
      <c r="BU227" s="1064"/>
      <c r="BV227" s="569"/>
      <c r="BW227" s="1064"/>
      <c r="BX227" s="1064"/>
      <c r="BY227" s="1064"/>
      <c r="BZ227" s="569"/>
      <c r="CA227" s="1064"/>
      <c r="CB227" s="1064"/>
      <c r="CC227" s="1064"/>
      <c r="CD227" s="569"/>
      <c r="CE227" s="1064"/>
      <c r="CF227" s="1064"/>
      <c r="CG227" s="568"/>
      <c r="CH227" s="569"/>
      <c r="CI227" s="1064"/>
      <c r="CJ227" s="1064"/>
      <c r="CK227" s="568"/>
      <c r="CL227" s="569"/>
      <c r="CM227" s="1064"/>
      <c r="CN227" s="1064"/>
      <c r="CO227" s="1064"/>
      <c r="CP227" s="569"/>
      <c r="CQ227" s="1064"/>
      <c r="CR227" s="1064"/>
      <c r="CS227" s="1064"/>
      <c r="CT227" s="569"/>
      <c r="CU227" s="1064"/>
      <c r="CV227" s="1064"/>
      <c r="CW227" s="568"/>
      <c r="CX227" s="569"/>
      <c r="CY227" s="1064"/>
      <c r="CZ227" s="1064"/>
      <c r="DA227" s="1064"/>
      <c r="DB227" s="569"/>
      <c r="DC227" s="1064"/>
      <c r="DD227" s="1064"/>
      <c r="DE227" s="1064"/>
      <c r="DF227" s="1064"/>
      <c r="DG227" s="1064"/>
      <c r="DH227" s="1064"/>
      <c r="DI227" s="1064"/>
      <c r="DJ227" s="1064"/>
      <c r="DK227" s="1064"/>
      <c r="DL227" s="1064"/>
      <c r="DM227" s="568"/>
      <c r="DN227" s="568"/>
      <c r="DO227" s="568"/>
      <c r="DP227" s="568"/>
      <c r="DQ227" s="568"/>
      <c r="DR227" s="568"/>
      <c r="DS227" s="568"/>
      <c r="DT227" s="568"/>
      <c r="DU227" s="568"/>
      <c r="DV227" s="568"/>
      <c r="DW227" s="568"/>
      <c r="DX227" s="568"/>
      <c r="DY227" s="568"/>
    </row>
    <row r="228" spans="1:129" ht="15" customHeight="1">
      <c r="A228" s="1603" t="s">
        <v>258</v>
      </c>
      <c r="B228" s="601"/>
      <c r="C228" s="601"/>
      <c r="D228" s="601"/>
      <c r="E228" s="601"/>
      <c r="F228" s="601"/>
      <c r="G228" s="601"/>
      <c r="H228" s="601"/>
      <c r="I228" s="601"/>
      <c r="J228" s="601"/>
      <c r="K228" s="601"/>
      <c r="L228" s="601"/>
      <c r="M228" s="601">
        <f>(M230/12)/(M212/1000)</f>
        <v>71.312724777669928</v>
      </c>
      <c r="N228" s="601">
        <f>(N230/12)/(N212/1000)</f>
        <v>67.943337875072913</v>
      </c>
      <c r="O228" s="601">
        <f>(O230/12)/(O212/1000)</f>
        <v>74.366224142180911</v>
      </c>
      <c r="P228" s="601">
        <f>(P230/12)/(P212/1000)</f>
        <v>102.20816309664713</v>
      </c>
      <c r="Q228" s="1303" t="e">
        <f ca="1">P228*(1+Q229)</f>
        <v>#DIV/0!</v>
      </c>
      <c r="R228" s="601"/>
      <c r="S228" s="601"/>
      <c r="T228" s="1303"/>
      <c r="U228" s="1303"/>
      <c r="V228" s="601"/>
      <c r="W228" s="601"/>
      <c r="X228" s="601"/>
      <c r="Y228" s="601"/>
      <c r="Z228" s="601"/>
      <c r="AA228" s="1303"/>
      <c r="AB228" s="1303"/>
      <c r="AC228" s="1303"/>
      <c r="AD228" s="1303"/>
      <c r="AE228" s="1303"/>
      <c r="AF228" s="1303"/>
      <c r="AG228" s="1303"/>
      <c r="AH228" s="1971"/>
      <c r="AI228" s="606"/>
      <c r="AJ228" s="1971"/>
      <c r="AK228" s="601"/>
      <c r="AL228" s="601"/>
      <c r="AM228" s="601"/>
      <c r="AN228" s="601"/>
      <c r="AO228" s="601"/>
      <c r="AP228" s="601"/>
      <c r="AQ228" s="601"/>
      <c r="AR228" s="601"/>
      <c r="AS228" s="601"/>
      <c r="AT228" s="601"/>
      <c r="AU228" s="601"/>
      <c r="AV228" s="601"/>
      <c r="AW228" s="601"/>
      <c r="AX228" s="601"/>
      <c r="AY228" s="601"/>
      <c r="AZ228" s="601"/>
      <c r="BA228" s="601"/>
      <c r="BB228" s="601"/>
      <c r="BC228" s="601"/>
      <c r="BD228" s="601"/>
      <c r="BE228" s="601"/>
      <c r="BF228" s="601"/>
      <c r="BG228" s="601"/>
      <c r="BH228" s="601"/>
      <c r="BI228" s="601"/>
      <c r="BJ228" s="601"/>
      <c r="BK228" s="601"/>
      <c r="BL228" s="601"/>
      <c r="BM228" s="601"/>
      <c r="BN228" s="601"/>
      <c r="BO228" s="601"/>
      <c r="BP228" s="601"/>
      <c r="BQ228" s="601"/>
      <c r="BR228" s="1526"/>
      <c r="BS228" s="1303"/>
      <c r="BT228" s="1303"/>
      <c r="BU228" s="1303"/>
      <c r="BV228" s="1526">
        <f t="shared" ref="BV228:CK228" si="376">(BV230/3)/(BV212/1000)</f>
        <v>70.384156277390161</v>
      </c>
      <c r="BW228" s="1303">
        <f t="shared" si="376"/>
        <v>71.498405382190072</v>
      </c>
      <c r="BX228" s="1303">
        <f t="shared" si="376"/>
        <v>72.109682154245732</v>
      </c>
      <c r="BY228" s="1303">
        <f t="shared" si="376"/>
        <v>71.289729183256142</v>
      </c>
      <c r="BZ228" s="1526">
        <f t="shared" si="376"/>
        <v>67.427853333738597</v>
      </c>
      <c r="CA228" s="1303">
        <f t="shared" si="376"/>
        <v>68.329802492539926</v>
      </c>
      <c r="CB228" s="1303">
        <f t="shared" si="376"/>
        <v>68.656658230743943</v>
      </c>
      <c r="CC228" s="1303">
        <f t="shared" si="376"/>
        <v>67.363455637479461</v>
      </c>
      <c r="CD228" s="1526">
        <f t="shared" si="376"/>
        <v>69.906479637052641</v>
      </c>
      <c r="CE228" s="1303">
        <f t="shared" si="376"/>
        <v>72.490704410005179</v>
      </c>
      <c r="CF228" s="1303">
        <f t="shared" si="376"/>
        <v>72.531179833197157</v>
      </c>
      <c r="CG228" s="1532">
        <f t="shared" si="376"/>
        <v>84.338062093574422</v>
      </c>
      <c r="CH228" s="1526">
        <f t="shared" si="376"/>
        <v>99.404999374224886</v>
      </c>
      <c r="CI228" s="1303">
        <f t="shared" si="376"/>
        <v>101.46933885946252</v>
      </c>
      <c r="CJ228" s="1303">
        <f t="shared" si="376"/>
        <v>104.13575694079998</v>
      </c>
      <c r="CK228" s="1532">
        <f t="shared" si="376"/>
        <v>104.05682620975132</v>
      </c>
      <c r="CL228" s="1526">
        <f>CH228*(1+CL229)</f>
        <v>102.38714935545164</v>
      </c>
      <c r="CM228" s="1303">
        <f>CI228*(1+CM229)</f>
        <v>104.51341902524641</v>
      </c>
      <c r="CN228" s="1303">
        <f>CJ228*(1+CN229)</f>
        <v>107.25982964902398</v>
      </c>
      <c r="CO228" s="1303">
        <f>CK228*(1+CO229)</f>
        <v>107.17853099604386</v>
      </c>
      <c r="CP228" s="1526">
        <f>CL228*(1+CP229)</f>
        <v>105.4587638361152</v>
      </c>
      <c r="CQ228" s="1303"/>
      <c r="CR228" s="1303"/>
      <c r="CS228" s="1303"/>
      <c r="CT228" s="1526"/>
      <c r="CU228" s="1303"/>
      <c r="CV228" s="1303"/>
      <c r="CW228" s="1532"/>
      <c r="CX228" s="1526"/>
      <c r="CY228" s="1303"/>
      <c r="CZ228" s="1303"/>
      <c r="DA228" s="1303"/>
      <c r="DB228" s="1526"/>
      <c r="DC228" s="1303"/>
      <c r="DD228" s="1303"/>
      <c r="DE228" s="1303"/>
      <c r="DF228" s="1303"/>
      <c r="DG228" s="1303"/>
      <c r="DH228" s="1303"/>
      <c r="DI228" s="1303"/>
      <c r="DJ228" s="1303"/>
      <c r="DK228" s="1303"/>
      <c r="DL228" s="1303"/>
      <c r="DM228" s="1532"/>
      <c r="DN228" s="1532"/>
      <c r="DO228" s="1532"/>
      <c r="DP228" s="1532"/>
      <c r="DQ228" s="1532"/>
      <c r="DR228" s="1532"/>
      <c r="DS228" s="1532"/>
      <c r="DT228" s="1532"/>
      <c r="DU228" s="1532"/>
      <c r="DV228" s="1532"/>
      <c r="DW228" s="1532"/>
      <c r="DX228" s="1532"/>
      <c r="DY228" s="1532"/>
    </row>
    <row r="229" spans="1:129" ht="15" customHeight="1">
      <c r="A229" s="1603" t="s">
        <v>834</v>
      </c>
      <c r="B229" s="562"/>
      <c r="C229" s="562"/>
      <c r="D229" s="562"/>
      <c r="E229" s="562"/>
      <c r="F229" s="562"/>
      <c r="G229" s="562"/>
      <c r="H229" s="562"/>
      <c r="I229" s="562"/>
      <c r="J229" s="562"/>
      <c r="K229" s="562"/>
      <c r="L229" s="562"/>
      <c r="M229" s="562"/>
      <c r="N229" s="562">
        <f>N228/M228-1</f>
        <v>-4.7248046026872159E-2</v>
      </c>
      <c r="O229" s="562">
        <f>O228/N228-1</f>
        <v>9.4532980980677195E-2</v>
      </c>
      <c r="P229" s="562">
        <f>P228/O228-1</f>
        <v>0.3743895737026417</v>
      </c>
      <c r="Q229" s="1065" t="e">
        <f ca="1">Q228/P228-1</f>
        <v>#DIV/0!</v>
      </c>
      <c r="R229" s="110"/>
      <c r="S229" s="110"/>
      <c r="T229" s="1059"/>
      <c r="U229" s="1059"/>
      <c r="V229" s="110"/>
      <c r="W229" s="110"/>
      <c r="X229" s="110"/>
      <c r="Y229" s="110"/>
      <c r="Z229" s="110"/>
      <c r="AA229" s="1059"/>
      <c r="AB229" s="1059"/>
      <c r="AC229" s="1059"/>
      <c r="AD229" s="1059"/>
      <c r="AE229" s="1059"/>
      <c r="AF229" s="1059"/>
      <c r="AG229" s="1059"/>
      <c r="AH229" s="1927"/>
      <c r="AI229" s="606"/>
      <c r="AJ229" s="1927"/>
      <c r="AK229" s="562"/>
      <c r="AL229" s="562"/>
      <c r="AM229" s="562"/>
      <c r="AN229" s="562"/>
      <c r="AO229" s="562"/>
      <c r="AP229" s="562"/>
      <c r="AQ229" s="562"/>
      <c r="AR229" s="562"/>
      <c r="AS229" s="562"/>
      <c r="AT229" s="562"/>
      <c r="AU229" s="562"/>
      <c r="AV229" s="562"/>
      <c r="AW229" s="562"/>
      <c r="AX229" s="562"/>
      <c r="AY229" s="562"/>
      <c r="AZ229" s="562"/>
      <c r="BA229" s="562"/>
      <c r="BB229" s="562"/>
      <c r="BC229" s="562"/>
      <c r="BD229" s="562"/>
      <c r="BE229" s="562"/>
      <c r="BF229" s="562"/>
      <c r="BG229" s="562"/>
      <c r="BH229" s="562"/>
      <c r="BI229" s="562"/>
      <c r="BJ229" s="562"/>
      <c r="BK229" s="562"/>
      <c r="BL229" s="562"/>
      <c r="BM229" s="562"/>
      <c r="BN229" s="562"/>
      <c r="BO229" s="562"/>
      <c r="BP229" s="562"/>
      <c r="BQ229" s="562"/>
      <c r="BR229" s="563"/>
      <c r="BS229" s="1065"/>
      <c r="BT229" s="1065"/>
      <c r="BU229" s="1065"/>
      <c r="BV229" s="563"/>
      <c r="BW229" s="1065"/>
      <c r="BX229" s="1065"/>
      <c r="BY229" s="1065"/>
      <c r="BZ229" s="563">
        <f t="shared" ref="BZ229:CK229" si="377">BZ228/BV228-1</f>
        <v>-4.2002392299774316E-2</v>
      </c>
      <c r="CA229" s="1065">
        <f t="shared" si="377"/>
        <v>-4.4317112706396489E-2</v>
      </c>
      <c r="CB229" s="1065">
        <f t="shared" si="377"/>
        <v>-4.7885718260629928E-2</v>
      </c>
      <c r="CC229" s="1065">
        <f t="shared" si="377"/>
        <v>-5.5074883728115642E-2</v>
      </c>
      <c r="CD229" s="563">
        <f t="shared" si="377"/>
        <v>3.6759679876592344E-2</v>
      </c>
      <c r="CE229" s="1065">
        <f t="shared" si="377"/>
        <v>6.0894394037206867E-2</v>
      </c>
      <c r="CF229" s="1065">
        <f t="shared" si="377"/>
        <v>5.6433297254748105E-2</v>
      </c>
      <c r="CG229" s="564">
        <f t="shared" si="377"/>
        <v>0.25198538726167552</v>
      </c>
      <c r="CH229" s="563">
        <f t="shared" si="377"/>
        <v>0.42197118050180138</v>
      </c>
      <c r="CI229" s="1065">
        <f t="shared" si="377"/>
        <v>0.39975655755191841</v>
      </c>
      <c r="CJ229" s="1065">
        <f t="shared" si="377"/>
        <v>0.43573780517958105</v>
      </c>
      <c r="CK229" s="166">
        <f t="shared" si="377"/>
        <v>0.23380622730338074</v>
      </c>
      <c r="CL229" s="165">
        <v>0.03</v>
      </c>
      <c r="CM229" s="1059">
        <v>0.03</v>
      </c>
      <c r="CN229" s="1059">
        <f>+CM229</f>
        <v>0.03</v>
      </c>
      <c r="CO229" s="1059">
        <f>+CN229</f>
        <v>0.03</v>
      </c>
      <c r="CP229" s="165">
        <f>+CO229</f>
        <v>0.03</v>
      </c>
      <c r="CQ229" s="1065"/>
      <c r="CR229" s="1065"/>
      <c r="CS229" s="1065"/>
      <c r="CT229" s="563"/>
      <c r="CU229" s="1065"/>
      <c r="CV229" s="1065"/>
      <c r="CW229" s="564"/>
      <c r="CX229" s="563"/>
      <c r="CY229" s="1065"/>
      <c r="CZ229" s="1065"/>
      <c r="DA229" s="1065"/>
      <c r="DB229" s="563"/>
      <c r="DC229" s="1065"/>
      <c r="DD229" s="1065"/>
      <c r="DE229" s="1065"/>
      <c r="DF229" s="1065"/>
      <c r="DG229" s="1065"/>
      <c r="DH229" s="1065"/>
      <c r="DI229" s="1065"/>
      <c r="DJ229" s="1065"/>
      <c r="DK229" s="1065"/>
      <c r="DL229" s="1065"/>
      <c r="DM229" s="564"/>
      <c r="DN229" s="564"/>
      <c r="DO229" s="564"/>
      <c r="DP229" s="564"/>
      <c r="DQ229" s="564"/>
      <c r="DR229" s="564"/>
      <c r="DS229" s="564"/>
      <c r="DT229" s="564"/>
      <c r="DU229" s="564"/>
      <c r="DV229" s="564"/>
      <c r="DW229" s="564"/>
      <c r="DX229" s="564"/>
      <c r="DY229" s="564"/>
    </row>
    <row r="230" spans="1:129" ht="15" customHeight="1">
      <c r="A230" s="1603" t="s">
        <v>259</v>
      </c>
      <c r="B230" s="220"/>
      <c r="C230" s="220"/>
      <c r="D230" s="220"/>
      <c r="E230" s="220"/>
      <c r="F230" s="220"/>
      <c r="G230" s="220"/>
      <c r="H230" s="220"/>
      <c r="I230" s="220"/>
      <c r="J230" s="220"/>
      <c r="K230" s="220"/>
      <c r="L230" s="220"/>
      <c r="M230" s="220">
        <f>SUM(BV230:BY230)</f>
        <v>21860.305815000003</v>
      </c>
      <c r="N230" s="220">
        <f>SUM(BZ230:CC230)</f>
        <v>19209.661700000001</v>
      </c>
      <c r="O230" s="220">
        <f>SUM(CD230:CG230)</f>
        <v>18251.813940551678</v>
      </c>
      <c r="P230" s="220">
        <f>SUM(CH230:CK230)</f>
        <v>17244.091768995095</v>
      </c>
      <c r="Q230" s="1302">
        <f>SUM(CL230:CO230)</f>
        <v>17902.614817020727</v>
      </c>
      <c r="R230" s="220"/>
      <c r="S230" s="220"/>
      <c r="T230" s="1302"/>
      <c r="U230" s="1302"/>
      <c r="V230" s="220"/>
      <c r="W230" s="220"/>
      <c r="X230" s="220"/>
      <c r="Y230" s="220"/>
      <c r="Z230" s="220"/>
      <c r="AA230" s="1302"/>
      <c r="AB230" s="1302"/>
      <c r="AC230" s="1302"/>
      <c r="AD230" s="1302"/>
      <c r="AE230" s="1302"/>
      <c r="AF230" s="1302"/>
      <c r="AG230" s="1302"/>
      <c r="AH230" s="1952"/>
      <c r="AI230" s="606"/>
      <c r="AJ230" s="1952"/>
      <c r="AK230" s="220"/>
      <c r="AL230" s="220"/>
      <c r="AM230" s="220"/>
      <c r="AN230" s="220"/>
      <c r="AO230" s="220"/>
      <c r="AP230" s="220"/>
      <c r="AQ230" s="220"/>
      <c r="AR230" s="220"/>
      <c r="AS230" s="220"/>
      <c r="AT230" s="220"/>
      <c r="AU230" s="220"/>
      <c r="AV230" s="220"/>
      <c r="AW230" s="220"/>
      <c r="AX230" s="220"/>
      <c r="AY230" s="220"/>
      <c r="AZ230" s="220"/>
      <c r="BA230" s="220"/>
      <c r="BB230" s="220"/>
      <c r="BC230" s="220"/>
      <c r="BD230" s="220"/>
      <c r="BE230" s="220"/>
      <c r="BF230" s="220"/>
      <c r="BG230" s="220"/>
      <c r="BH230" s="220"/>
      <c r="BI230" s="220"/>
      <c r="BJ230" s="220"/>
      <c r="BK230" s="220"/>
      <c r="BL230" s="220"/>
      <c r="BM230" s="220"/>
      <c r="BN230" s="220"/>
      <c r="BO230" s="220"/>
      <c r="BP230" s="220"/>
      <c r="BQ230" s="220"/>
      <c r="BR230" s="1452"/>
      <c r="BS230" s="1302"/>
      <c r="BT230" s="1302"/>
      <c r="BU230" s="1302"/>
      <c r="BV230" s="1452">
        <f t="shared" ref="BV230:CK230" si="378">BV10-BV220-BV223-BV225</f>
        <v>5543.8064400000003</v>
      </c>
      <c r="BW230" s="1302">
        <f t="shared" si="378"/>
        <v>5540.3235699999996</v>
      </c>
      <c r="BX230" s="1302">
        <f t="shared" si="378"/>
        <v>5470.6658850000003</v>
      </c>
      <c r="BY230" s="1302">
        <f t="shared" si="378"/>
        <v>5305.5099200000004</v>
      </c>
      <c r="BZ230" s="1452">
        <f t="shared" si="378"/>
        <v>4909.8343200000008</v>
      </c>
      <c r="CA230" s="1302">
        <f t="shared" si="378"/>
        <v>4865.93606</v>
      </c>
      <c r="CB230" s="1302">
        <f t="shared" si="378"/>
        <v>4801.7780199999997</v>
      </c>
      <c r="CC230" s="1302">
        <f t="shared" si="378"/>
        <v>4632.1133</v>
      </c>
      <c r="CD230" s="1452">
        <f t="shared" si="378"/>
        <v>4630.2906320000002</v>
      </c>
      <c r="CE230" s="1302">
        <f t="shared" si="378"/>
        <v>4616.7154917600001</v>
      </c>
      <c r="CF230" s="1302">
        <f t="shared" si="378"/>
        <v>4527.4687763679995</v>
      </c>
      <c r="CG230" s="1482">
        <f t="shared" si="378"/>
        <v>4477.3390404236798</v>
      </c>
      <c r="CH230" s="1452">
        <f t="shared" si="378"/>
        <v>4368.4023999999999</v>
      </c>
      <c r="CI230" s="1302">
        <f t="shared" si="378"/>
        <v>4343.0925272727272</v>
      </c>
      <c r="CJ230" s="1302">
        <f t="shared" si="378"/>
        <v>4325.5446454103649</v>
      </c>
      <c r="CK230" s="1482">
        <f t="shared" si="378"/>
        <v>4207.052196312</v>
      </c>
      <c r="CL230" s="1452">
        <f>CL228*3*(CL212/1000)</f>
        <v>4310.0175634882444</v>
      </c>
      <c r="CM230" s="1302">
        <f>CM228*3*(CM212/1000)</f>
        <v>4567.9680053364445</v>
      </c>
      <c r="CN230" s="1302">
        <f>CN228*3*(CN212/1000)</f>
        <v>4572.6474276823665</v>
      </c>
      <c r="CO230" s="1302">
        <f>CO228*3*(CO212/1000)</f>
        <v>4451.9818205136708</v>
      </c>
      <c r="CP230" s="1452">
        <f>CP228*3*(CP212/1000)</f>
        <v>4273.13638125747</v>
      </c>
      <c r="CQ230" s="1302"/>
      <c r="CR230" s="1302"/>
      <c r="CS230" s="1302"/>
      <c r="CT230" s="1452"/>
      <c r="CU230" s="1302"/>
      <c r="CV230" s="1302"/>
      <c r="CW230" s="1482"/>
      <c r="CX230" s="1452"/>
      <c r="CY230" s="1302"/>
      <c r="CZ230" s="1302"/>
      <c r="DA230" s="1302"/>
      <c r="DB230" s="1452"/>
      <c r="DC230" s="1302"/>
      <c r="DD230" s="1302"/>
      <c r="DE230" s="1302"/>
      <c r="DF230" s="1302"/>
      <c r="DG230" s="1302"/>
      <c r="DH230" s="1302"/>
      <c r="DI230" s="1302"/>
      <c r="DJ230" s="1302"/>
      <c r="DK230" s="1302"/>
      <c r="DL230" s="1302"/>
      <c r="DM230" s="1482"/>
      <c r="DN230" s="1482"/>
      <c r="DO230" s="1482"/>
      <c r="DP230" s="1482"/>
      <c r="DQ230" s="1482"/>
      <c r="DR230" s="1482"/>
      <c r="DS230" s="1482"/>
      <c r="DT230" s="1482"/>
      <c r="DU230" s="1482"/>
      <c r="DV230" s="1482"/>
      <c r="DW230" s="1482"/>
      <c r="DX230" s="1482"/>
      <c r="DY230" s="1482"/>
    </row>
    <row r="231" spans="1:129" ht="15" customHeight="1">
      <c r="A231" s="1603" t="s">
        <v>834</v>
      </c>
      <c r="B231" s="562"/>
      <c r="C231" s="562"/>
      <c r="D231" s="562"/>
      <c r="E231" s="562"/>
      <c r="F231" s="562"/>
      <c r="G231" s="562"/>
      <c r="H231" s="562"/>
      <c r="I231" s="562"/>
      <c r="J231" s="562"/>
      <c r="K231" s="562"/>
      <c r="L231" s="562"/>
      <c r="M231" s="562"/>
      <c r="N231" s="562">
        <f>N230/M230-1</f>
        <v>-0.12125375268909533</v>
      </c>
      <c r="O231" s="562">
        <f>O230/N230-1</f>
        <v>-4.9862812495460207E-2</v>
      </c>
      <c r="P231" s="562">
        <f>P230/O230-1</f>
        <v>-5.5212165477845354E-2</v>
      </c>
      <c r="Q231" s="1065">
        <f>Q230/P230-1</f>
        <v>3.8188328898229207E-2</v>
      </c>
      <c r="R231" s="562"/>
      <c r="S231" s="562"/>
      <c r="T231" s="1065"/>
      <c r="U231" s="1065"/>
      <c r="V231" s="562"/>
      <c r="W231" s="562"/>
      <c r="X231" s="562"/>
      <c r="Y231" s="562"/>
      <c r="Z231" s="562"/>
      <c r="AA231" s="1065"/>
      <c r="AB231" s="1065"/>
      <c r="AC231" s="1065"/>
      <c r="AD231" s="1065"/>
      <c r="AE231" s="1065"/>
      <c r="AF231" s="1065"/>
      <c r="AG231" s="1065"/>
      <c r="AH231" s="1927"/>
      <c r="AI231" s="606"/>
      <c r="AJ231" s="1927"/>
      <c r="AK231" s="562"/>
      <c r="AL231" s="562"/>
      <c r="AM231" s="562"/>
      <c r="AN231" s="562"/>
      <c r="AO231" s="562"/>
      <c r="AP231" s="562"/>
      <c r="AQ231" s="562"/>
      <c r="AR231" s="562"/>
      <c r="AS231" s="562"/>
      <c r="AT231" s="562"/>
      <c r="AU231" s="562"/>
      <c r="AV231" s="562"/>
      <c r="AW231" s="562"/>
      <c r="AX231" s="562"/>
      <c r="AY231" s="562"/>
      <c r="AZ231" s="562"/>
      <c r="BA231" s="562"/>
      <c r="BB231" s="562"/>
      <c r="BC231" s="562"/>
      <c r="BD231" s="562"/>
      <c r="BE231" s="562"/>
      <c r="BF231" s="562"/>
      <c r="BG231" s="562"/>
      <c r="BH231" s="562"/>
      <c r="BI231" s="562"/>
      <c r="BJ231" s="562"/>
      <c r="BK231" s="562"/>
      <c r="BL231" s="562"/>
      <c r="BM231" s="562"/>
      <c r="BN231" s="562"/>
      <c r="BO231" s="562"/>
      <c r="BP231" s="562"/>
      <c r="BQ231" s="562"/>
      <c r="BR231" s="563"/>
      <c r="BS231" s="1065"/>
      <c r="BT231" s="1065"/>
      <c r="BU231" s="1065"/>
      <c r="BV231" s="563"/>
      <c r="BW231" s="1065"/>
      <c r="BX231" s="1065"/>
      <c r="BY231" s="1065"/>
      <c r="BZ231" s="563">
        <f t="shared" ref="BZ231:CP231" si="379">BZ230/BV230-1</f>
        <v>-0.11435682808579428</v>
      </c>
      <c r="CA231" s="1065">
        <f t="shared" si="379"/>
        <v>-0.1217234880741811</v>
      </c>
      <c r="CB231" s="1065">
        <f t="shared" si="379"/>
        <v>-0.12226808930774258</v>
      </c>
      <c r="CC231" s="1065">
        <f t="shared" si="379"/>
        <v>-0.12692401487395588</v>
      </c>
      <c r="CD231" s="563">
        <f t="shared" si="379"/>
        <v>-5.6935462539192239E-2</v>
      </c>
      <c r="CE231" s="1065">
        <f t="shared" si="379"/>
        <v>-5.1217394796593374E-2</v>
      </c>
      <c r="CF231" s="1065">
        <f t="shared" si="379"/>
        <v>-5.7126598207886348E-2</v>
      </c>
      <c r="CG231" s="564">
        <f t="shared" si="379"/>
        <v>-3.3413314733972577E-2</v>
      </c>
      <c r="CH231" s="563">
        <f t="shared" si="379"/>
        <v>-5.6559782703506145E-2</v>
      </c>
      <c r="CI231" s="1065">
        <f t="shared" si="379"/>
        <v>-5.926788535608063E-2</v>
      </c>
      <c r="CJ231" s="1065">
        <f t="shared" si="379"/>
        <v>-4.4599784323553271E-2</v>
      </c>
      <c r="CK231" s="564">
        <f t="shared" si="379"/>
        <v>-6.0367741122884233E-2</v>
      </c>
      <c r="CL231" s="563">
        <f t="shared" si="379"/>
        <v>-1.3365260606888141E-2</v>
      </c>
      <c r="CM231" s="1065">
        <f t="shared" si="379"/>
        <v>5.1777731340421074E-2</v>
      </c>
      <c r="CN231" s="1065">
        <f t="shared" si="379"/>
        <v>5.7126397373840732E-2</v>
      </c>
      <c r="CO231" s="1065">
        <f t="shared" si="379"/>
        <v>5.8218822294713091E-2</v>
      </c>
      <c r="CP231" s="563">
        <f t="shared" si="379"/>
        <v>-8.5570839764571582E-3</v>
      </c>
      <c r="CQ231" s="1065"/>
      <c r="CR231" s="1065"/>
      <c r="CS231" s="1065"/>
      <c r="CT231" s="563"/>
      <c r="CU231" s="1065"/>
      <c r="CV231" s="1065"/>
      <c r="CW231" s="564"/>
      <c r="CX231" s="563"/>
      <c r="CY231" s="1065"/>
      <c r="CZ231" s="1065"/>
      <c r="DA231" s="1065"/>
      <c r="DB231" s="563"/>
      <c r="DC231" s="1065"/>
      <c r="DD231" s="1065"/>
      <c r="DE231" s="1065"/>
      <c r="DF231" s="1065"/>
      <c r="DG231" s="1065"/>
      <c r="DH231" s="1065"/>
      <c r="DI231" s="1065"/>
      <c r="DJ231" s="1065"/>
      <c r="DK231" s="1065"/>
      <c r="DL231" s="1065"/>
      <c r="DM231" s="564"/>
      <c r="DN231" s="564"/>
      <c r="DO231" s="564"/>
      <c r="DP231" s="564"/>
      <c r="DQ231" s="564"/>
      <c r="DR231" s="564"/>
      <c r="DS231" s="564"/>
      <c r="DT231" s="564"/>
      <c r="DU231" s="564"/>
      <c r="DV231" s="564"/>
      <c r="DW231" s="564"/>
      <c r="DX231" s="564"/>
      <c r="DY231" s="564"/>
    </row>
    <row r="232" spans="1:129" ht="15" customHeight="1">
      <c r="A232" s="1603"/>
      <c r="B232" s="86"/>
      <c r="C232" s="86"/>
      <c r="D232" s="86"/>
      <c r="E232" s="86"/>
      <c r="F232" s="86"/>
      <c r="G232" s="86"/>
      <c r="H232" s="86"/>
      <c r="I232" s="86"/>
      <c r="J232" s="86"/>
      <c r="K232" s="86"/>
      <c r="L232" s="86"/>
      <c r="M232" s="86"/>
      <c r="N232" s="86"/>
      <c r="O232" s="86"/>
      <c r="P232" s="86"/>
      <c r="Q232" s="1064"/>
      <c r="R232" s="86"/>
      <c r="S232" s="86"/>
      <c r="T232" s="1064"/>
      <c r="U232" s="1064"/>
      <c r="V232" s="86"/>
      <c r="W232" s="86"/>
      <c r="X232" s="86"/>
      <c r="Y232" s="86"/>
      <c r="Z232" s="86"/>
      <c r="AA232" s="1064"/>
      <c r="AB232" s="1064"/>
      <c r="AC232" s="1064"/>
      <c r="AD232" s="1064"/>
      <c r="AE232" s="1064"/>
      <c r="AF232" s="1064"/>
      <c r="AG232" s="1064"/>
      <c r="AH232" s="1947"/>
      <c r="AI232" s="606"/>
      <c r="AJ232" s="1947"/>
      <c r="AK232" s="86"/>
      <c r="AL232" s="86"/>
      <c r="AM232" s="86"/>
      <c r="AN232" s="86"/>
      <c r="AO232" s="86"/>
      <c r="AP232" s="86"/>
      <c r="AQ232" s="86"/>
      <c r="AR232" s="86"/>
      <c r="AS232" s="86"/>
      <c r="AT232" s="86"/>
      <c r="AU232" s="86"/>
      <c r="AV232" s="86"/>
      <c r="AW232" s="86"/>
      <c r="AX232" s="86"/>
      <c r="AY232" s="86"/>
      <c r="AZ232" s="86"/>
      <c r="BA232" s="86"/>
      <c r="BB232" s="86"/>
      <c r="BC232" s="86"/>
      <c r="BD232" s="86"/>
      <c r="BE232" s="86"/>
      <c r="BF232" s="86"/>
      <c r="BG232" s="86"/>
      <c r="BH232" s="86"/>
      <c r="BI232" s="86"/>
      <c r="BJ232" s="86"/>
      <c r="BK232" s="86"/>
      <c r="BL232" s="86"/>
      <c r="BM232" s="86"/>
      <c r="BN232" s="86"/>
      <c r="BO232" s="86"/>
      <c r="BP232" s="86"/>
      <c r="BQ232" s="86"/>
      <c r="BR232" s="569"/>
      <c r="BS232" s="1064"/>
      <c r="BT232" s="1064"/>
      <c r="BU232" s="1064"/>
      <c r="BV232" s="569"/>
      <c r="BW232" s="1064"/>
      <c r="BX232" s="1064"/>
      <c r="BY232" s="1064"/>
      <c r="BZ232" s="569"/>
      <c r="CA232" s="1064"/>
      <c r="CB232" s="1064"/>
      <c r="CC232" s="1064"/>
      <c r="CD232" s="569"/>
      <c r="CE232" s="1064"/>
      <c r="CF232" s="1064"/>
      <c r="CG232" s="568"/>
      <c r="CH232" s="569"/>
      <c r="CI232" s="1064"/>
      <c r="CJ232" s="1064"/>
      <c r="CK232" s="568"/>
      <c r="CL232" s="569"/>
      <c r="CM232" s="1064"/>
      <c r="CN232" s="1064"/>
      <c r="CO232" s="1064"/>
      <c r="CP232" s="569"/>
      <c r="CQ232" s="1064"/>
      <c r="CR232" s="1064"/>
      <c r="CS232" s="1064"/>
      <c r="CT232" s="569"/>
      <c r="CU232" s="1064"/>
      <c r="CV232" s="1064"/>
      <c r="CW232" s="568"/>
      <c r="CX232" s="569"/>
      <c r="CY232" s="1064"/>
      <c r="CZ232" s="1064"/>
      <c r="DA232" s="1064"/>
      <c r="DB232" s="569"/>
      <c r="DC232" s="1064"/>
      <c r="DD232" s="1064"/>
      <c r="DE232" s="1064"/>
      <c r="DF232" s="1064"/>
      <c r="DG232" s="1064"/>
      <c r="DH232" s="1064"/>
      <c r="DI232" s="1064"/>
      <c r="DJ232" s="1064"/>
      <c r="DK232" s="1064"/>
      <c r="DL232" s="1064"/>
      <c r="DM232" s="568"/>
      <c r="DN232" s="568"/>
      <c r="DO232" s="568"/>
      <c r="DP232" s="568"/>
      <c r="DQ232" s="568"/>
      <c r="DR232" s="568"/>
      <c r="DS232" s="568"/>
      <c r="DT232" s="568"/>
      <c r="DU232" s="568"/>
      <c r="DV232" s="568"/>
      <c r="DW232" s="568"/>
      <c r="DX232" s="568"/>
      <c r="DY232" s="568"/>
    </row>
    <row r="233" spans="1:129" ht="15" customHeight="1">
      <c r="A233" s="1595" t="s">
        <v>260</v>
      </c>
      <c r="B233" s="169"/>
      <c r="C233" s="220"/>
      <c r="D233" s="220"/>
      <c r="E233" s="220"/>
      <c r="F233" s="220"/>
      <c r="G233" s="220"/>
      <c r="H233" s="220"/>
      <c r="I233" s="220"/>
      <c r="J233" s="220"/>
      <c r="K233" s="220"/>
      <c r="L233" s="220"/>
      <c r="M233" s="169">
        <f>SUM(BV233:BY233)</f>
        <v>23466</v>
      </c>
      <c r="N233" s="169">
        <f>SUM(BZ233:CC233)</f>
        <v>21542</v>
      </c>
      <c r="O233" s="169">
        <f>SUM(CD233:CG233)</f>
        <v>21289</v>
      </c>
      <c r="P233" s="169">
        <f>P220+P230+P223+P225</f>
        <v>20974.000000000004</v>
      </c>
      <c r="Q233" s="1051">
        <f ca="1">Q220+Q230+Q223+Q225</f>
        <v>24083.691955699738</v>
      </c>
      <c r="R233" s="169"/>
      <c r="S233" s="169"/>
      <c r="T233" s="1051"/>
      <c r="U233" s="1051"/>
      <c r="V233" s="169"/>
      <c r="W233" s="169"/>
      <c r="X233" s="169"/>
      <c r="Y233" s="169"/>
      <c r="Z233" s="169"/>
      <c r="AA233" s="1051"/>
      <c r="AB233" s="1051"/>
      <c r="AC233" s="1051"/>
      <c r="AD233" s="1051"/>
      <c r="AE233" s="1051"/>
      <c r="AF233" s="1051"/>
      <c r="AG233" s="1051"/>
      <c r="AH233" s="1952"/>
      <c r="AI233" s="606"/>
      <c r="AJ233" s="1952"/>
      <c r="AK233" s="220"/>
      <c r="AL233" s="220"/>
      <c r="AM233" s="220"/>
      <c r="AN233" s="220"/>
      <c r="AO233" s="220"/>
      <c r="AP233" s="220"/>
      <c r="AQ233" s="220"/>
      <c r="AR233" s="220"/>
      <c r="AS233" s="220"/>
      <c r="AT233" s="220"/>
      <c r="AU233" s="220"/>
      <c r="AV233" s="220"/>
      <c r="AW233" s="220"/>
      <c r="AX233" s="220"/>
      <c r="AY233" s="220"/>
      <c r="AZ233" s="220"/>
      <c r="BA233" s="220"/>
      <c r="BB233" s="220"/>
      <c r="BC233" s="220"/>
      <c r="BD233" s="220"/>
      <c r="BE233" s="220"/>
      <c r="BF233" s="220"/>
      <c r="BG233" s="220"/>
      <c r="BH233" s="220"/>
      <c r="BI233" s="220"/>
      <c r="BJ233" s="220"/>
      <c r="BK233" s="220"/>
      <c r="BL233" s="220"/>
      <c r="BM233" s="220"/>
      <c r="BN233" s="220"/>
      <c r="BO233" s="220"/>
      <c r="BP233" s="220"/>
      <c r="BQ233" s="220"/>
      <c r="BR233" s="1452"/>
      <c r="BS233" s="1302"/>
      <c r="BT233" s="1302"/>
      <c r="BU233" s="1302"/>
      <c r="BV233" s="178">
        <f t="shared" ref="BV233:CP233" si="380">BV230+BV220+BV223+BV225</f>
        <v>5898</v>
      </c>
      <c r="BW233" s="1051">
        <f t="shared" si="380"/>
        <v>5920</v>
      </c>
      <c r="BX233" s="1051">
        <f t="shared" si="380"/>
        <v>5886</v>
      </c>
      <c r="BY233" s="1051">
        <f t="shared" si="380"/>
        <v>5762</v>
      </c>
      <c r="BZ233" s="178">
        <f t="shared" si="380"/>
        <v>5415</v>
      </c>
      <c r="CA233" s="1051">
        <f t="shared" si="380"/>
        <v>5429</v>
      </c>
      <c r="CB233" s="1051">
        <f t="shared" si="380"/>
        <v>5410</v>
      </c>
      <c r="CC233" s="1051">
        <f t="shared" si="380"/>
        <v>5288</v>
      </c>
      <c r="CD233" s="178">
        <f t="shared" si="380"/>
        <v>5336</v>
      </c>
      <c r="CE233" s="1051">
        <f t="shared" si="380"/>
        <v>5367</v>
      </c>
      <c r="CF233" s="1051">
        <f t="shared" si="380"/>
        <v>5329</v>
      </c>
      <c r="CG233" s="179">
        <f t="shared" si="380"/>
        <v>5257</v>
      </c>
      <c r="CH233" s="178">
        <f t="shared" si="380"/>
        <v>5224</v>
      </c>
      <c r="CI233" s="1051">
        <f t="shared" si="380"/>
        <v>5247</v>
      </c>
      <c r="CJ233" s="1051">
        <f t="shared" si="380"/>
        <v>5277</v>
      </c>
      <c r="CK233" s="179">
        <f t="shared" si="380"/>
        <v>5226</v>
      </c>
      <c r="CL233" s="178">
        <f t="shared" si="380"/>
        <v>5427.0642521672526</v>
      </c>
      <c r="CM233" s="1051">
        <f t="shared" ca="1" si="380"/>
        <v>6162.5529053364444</v>
      </c>
      <c r="CN233" s="1051">
        <f t="shared" si="380"/>
        <v>6263.5597776823661</v>
      </c>
      <c r="CO233" s="1051">
        <f t="shared" si="380"/>
        <v>6230.5150205136715</v>
      </c>
      <c r="CP233" s="178">
        <f t="shared" si="380"/>
        <v>6123.5813812574706</v>
      </c>
      <c r="CQ233" s="1302"/>
      <c r="CR233" s="1302"/>
      <c r="CS233" s="1302"/>
      <c r="CT233" s="1452"/>
      <c r="CU233" s="1302"/>
      <c r="CV233" s="1302"/>
      <c r="CW233" s="1482"/>
      <c r="CX233" s="1452"/>
      <c r="CY233" s="1302"/>
      <c r="CZ233" s="1302"/>
      <c r="DA233" s="1302"/>
      <c r="DB233" s="1452"/>
      <c r="DC233" s="1302"/>
      <c r="DD233" s="1302"/>
      <c r="DE233" s="1302"/>
      <c r="DF233" s="1302"/>
      <c r="DG233" s="1302"/>
      <c r="DH233" s="1302"/>
      <c r="DI233" s="1302"/>
      <c r="DJ233" s="1302"/>
      <c r="DK233" s="1302"/>
      <c r="DL233" s="1302"/>
      <c r="DM233" s="1482"/>
      <c r="DN233" s="1482"/>
      <c r="DO233" s="1482"/>
      <c r="DP233" s="1482"/>
      <c r="DQ233" s="1482"/>
      <c r="DR233" s="1482"/>
      <c r="DS233" s="1482"/>
      <c r="DT233" s="1482"/>
      <c r="DU233" s="1482"/>
      <c r="DV233" s="1482"/>
      <c r="DW233" s="1482"/>
      <c r="DX233" s="1482"/>
      <c r="DY233" s="1482"/>
    </row>
    <row r="234" spans="1:129" ht="15" customHeight="1">
      <c r="A234" s="1603" t="s">
        <v>834</v>
      </c>
      <c r="B234" s="562"/>
      <c r="C234" s="562"/>
      <c r="D234" s="562"/>
      <c r="E234" s="562"/>
      <c r="F234" s="562"/>
      <c r="G234" s="562"/>
      <c r="H234" s="562"/>
      <c r="I234" s="562"/>
      <c r="J234" s="562"/>
      <c r="K234" s="562"/>
      <c r="L234" s="562"/>
      <c r="M234" s="562"/>
      <c r="N234" s="562">
        <f>N233/M233-1</f>
        <v>-8.1990965652433356E-2</v>
      </c>
      <c r="O234" s="562">
        <f>O233/N233-1</f>
        <v>-1.1744499118002016E-2</v>
      </c>
      <c r="P234" s="562">
        <f>P233/O233-1</f>
        <v>-1.4796373714124456E-2</v>
      </c>
      <c r="Q234" s="1065">
        <f ca="1">Q233/P233-1</f>
        <v>0.14826413443786279</v>
      </c>
      <c r="R234" s="562"/>
      <c r="S234" s="562"/>
      <c r="T234" s="1065"/>
      <c r="U234" s="1065"/>
      <c r="V234" s="562"/>
      <c r="W234" s="562"/>
      <c r="X234" s="562"/>
      <c r="Y234" s="562"/>
      <c r="Z234" s="562"/>
      <c r="AA234" s="1065"/>
      <c r="AB234" s="1065"/>
      <c r="AC234" s="1065"/>
      <c r="AD234" s="1065"/>
      <c r="AE234" s="1065"/>
      <c r="AF234" s="1065"/>
      <c r="AG234" s="1065"/>
      <c r="AH234" s="1927"/>
      <c r="AI234" s="606"/>
      <c r="AJ234" s="1927"/>
      <c r="AK234" s="562"/>
      <c r="AL234" s="562"/>
      <c r="AM234" s="562"/>
      <c r="AN234" s="562"/>
      <c r="AO234" s="562"/>
      <c r="AP234" s="562"/>
      <c r="AQ234" s="562"/>
      <c r="AR234" s="562"/>
      <c r="AS234" s="562"/>
      <c r="AT234" s="562"/>
      <c r="AU234" s="562"/>
      <c r="AV234" s="562"/>
      <c r="AW234" s="562"/>
      <c r="AX234" s="562"/>
      <c r="AY234" s="562"/>
      <c r="AZ234" s="562"/>
      <c r="BA234" s="562"/>
      <c r="BB234" s="562"/>
      <c r="BC234" s="562"/>
      <c r="BD234" s="562"/>
      <c r="BE234" s="562"/>
      <c r="BF234" s="562"/>
      <c r="BG234" s="562"/>
      <c r="BH234" s="562"/>
      <c r="BI234" s="562"/>
      <c r="BJ234" s="562"/>
      <c r="BK234" s="562"/>
      <c r="BL234" s="562"/>
      <c r="BM234" s="562"/>
      <c r="BN234" s="562"/>
      <c r="BO234" s="562"/>
      <c r="BP234" s="562"/>
      <c r="BQ234" s="562"/>
      <c r="BR234" s="563"/>
      <c r="BS234" s="1065"/>
      <c r="BT234" s="1065"/>
      <c r="BU234" s="1065"/>
      <c r="BV234" s="563"/>
      <c r="BW234" s="1065"/>
      <c r="BX234" s="1065"/>
      <c r="BY234" s="1065"/>
      <c r="BZ234" s="563">
        <f t="shared" ref="BZ234:CP234" si="381">BZ233/BV233-1</f>
        <v>-8.1892166836215696E-2</v>
      </c>
      <c r="CA234" s="1065">
        <f t="shared" si="381"/>
        <v>-8.2939189189189189E-2</v>
      </c>
      <c r="CB234" s="1065">
        <f t="shared" si="381"/>
        <v>-8.0869860686374473E-2</v>
      </c>
      <c r="CC234" s="1065">
        <f t="shared" si="381"/>
        <v>-8.2263103089205147E-2</v>
      </c>
      <c r="CD234" s="563">
        <f t="shared" si="381"/>
        <v>-1.4589104339796877E-2</v>
      </c>
      <c r="CE234" s="1065">
        <f t="shared" si="381"/>
        <v>-1.142015104070726E-2</v>
      </c>
      <c r="CF234" s="1065">
        <f t="shared" si="381"/>
        <v>-1.4972273567467664E-2</v>
      </c>
      <c r="CG234" s="564">
        <f t="shared" si="381"/>
        <v>-5.8623298033282367E-3</v>
      </c>
      <c r="CH234" s="563">
        <f t="shared" si="381"/>
        <v>-2.0989505247376306E-2</v>
      </c>
      <c r="CI234" s="1065">
        <f t="shared" si="381"/>
        <v>-2.2358859698155431E-2</v>
      </c>
      <c r="CJ234" s="1065">
        <f t="shared" si="381"/>
        <v>-9.7579283167573694E-3</v>
      </c>
      <c r="CK234" s="564">
        <f t="shared" si="381"/>
        <v>-5.8968993722655627E-3</v>
      </c>
      <c r="CL234" s="563">
        <f t="shared" si="381"/>
        <v>3.88714112111892E-2</v>
      </c>
      <c r="CM234" s="1065">
        <f t="shared" ca="1" si="381"/>
        <v>0.17449073858136921</v>
      </c>
      <c r="CN234" s="1065">
        <f t="shared" si="381"/>
        <v>0.1869546669854778</v>
      </c>
      <c r="CO234" s="1065">
        <f t="shared" si="381"/>
        <v>0.19221489102825706</v>
      </c>
      <c r="CP234" s="563">
        <f t="shared" si="381"/>
        <v>0.12834141936168719</v>
      </c>
      <c r="CQ234" s="1065"/>
      <c r="CR234" s="1065"/>
      <c r="CS234" s="1065"/>
      <c r="CT234" s="563"/>
      <c r="CU234" s="1065"/>
      <c r="CV234" s="1065"/>
      <c r="CW234" s="564"/>
      <c r="CX234" s="563"/>
      <c r="CY234" s="1065"/>
      <c r="CZ234" s="1065"/>
      <c r="DA234" s="1065"/>
      <c r="DB234" s="563"/>
      <c r="DC234" s="1065"/>
      <c r="DD234" s="1065"/>
      <c r="DE234" s="1065"/>
      <c r="DF234" s="1065"/>
      <c r="DG234" s="1065"/>
      <c r="DH234" s="1065"/>
      <c r="DI234" s="1065"/>
      <c r="DJ234" s="1065"/>
      <c r="DK234" s="1065"/>
      <c r="DL234" s="1065"/>
      <c r="DM234" s="564"/>
      <c r="DN234" s="564"/>
      <c r="DO234" s="564"/>
      <c r="DP234" s="564"/>
      <c r="DQ234" s="564"/>
      <c r="DR234" s="564"/>
      <c r="DS234" s="564"/>
      <c r="DT234" s="564"/>
      <c r="DU234" s="564"/>
      <c r="DV234" s="564"/>
      <c r="DW234" s="564"/>
      <c r="DX234" s="564"/>
      <c r="DY234" s="564"/>
    </row>
    <row r="235" spans="1:129" ht="15" customHeight="1">
      <c r="A235" s="1605" t="s">
        <v>228</v>
      </c>
      <c r="B235" s="86"/>
      <c r="C235" s="86"/>
      <c r="D235" s="86"/>
      <c r="E235" s="86"/>
      <c r="F235" s="86"/>
      <c r="G235" s="86"/>
      <c r="H235" s="86"/>
      <c r="I235" s="86"/>
      <c r="J235" s="86"/>
      <c r="K235" s="86"/>
      <c r="L235" s="86"/>
      <c r="M235" s="86"/>
      <c r="N235" s="86"/>
      <c r="O235" s="86"/>
      <c r="P235" s="184">
        <f>P233-P10</f>
        <v>0</v>
      </c>
      <c r="Q235" s="1052">
        <f ca="1">Q233-Q10</f>
        <v>0</v>
      </c>
      <c r="R235" s="184"/>
      <c r="S235" s="184"/>
      <c r="T235" s="1052"/>
      <c r="U235" s="1052"/>
      <c r="V235" s="184"/>
      <c r="W235" s="184"/>
      <c r="X235" s="184"/>
      <c r="Y235" s="184"/>
      <c r="Z235" s="184"/>
      <c r="AA235" s="1052"/>
      <c r="AB235" s="1052"/>
      <c r="AC235" s="1052"/>
      <c r="AD235" s="1052"/>
      <c r="AE235" s="1052"/>
      <c r="AF235" s="1052"/>
      <c r="AG235" s="1052"/>
      <c r="AH235" s="1947"/>
      <c r="AI235" s="606"/>
      <c r="AJ235" s="1947"/>
      <c r="AK235" s="86"/>
      <c r="AL235" s="86"/>
      <c r="AM235" s="86"/>
      <c r="AN235" s="86"/>
      <c r="AO235" s="86"/>
      <c r="AP235" s="86"/>
      <c r="AQ235" s="86"/>
      <c r="AR235" s="86"/>
      <c r="AS235" s="86"/>
      <c r="AT235" s="86"/>
      <c r="AU235" s="86"/>
      <c r="AV235" s="86"/>
      <c r="AW235" s="86"/>
      <c r="AX235" s="86"/>
      <c r="AY235" s="86"/>
      <c r="AZ235" s="86"/>
      <c r="BA235" s="86"/>
      <c r="BB235" s="86"/>
      <c r="BC235" s="86"/>
      <c r="BD235" s="86"/>
      <c r="BE235" s="86"/>
      <c r="BF235" s="86"/>
      <c r="BG235" s="86"/>
      <c r="BH235" s="86"/>
      <c r="BI235" s="86"/>
      <c r="BJ235" s="86"/>
      <c r="BK235" s="86"/>
      <c r="BL235" s="86"/>
      <c r="BM235" s="86"/>
      <c r="BN235" s="86"/>
      <c r="BO235" s="86"/>
      <c r="BP235" s="86"/>
      <c r="BQ235" s="86"/>
      <c r="BR235" s="569"/>
      <c r="BS235" s="1064"/>
      <c r="BT235" s="1064"/>
      <c r="BU235" s="1064"/>
      <c r="BV235" s="203">
        <f t="shared" ref="BV235:CP235" si="382">BV233-BV10</f>
        <v>0</v>
      </c>
      <c r="BW235" s="1052">
        <f t="shared" si="382"/>
        <v>0</v>
      </c>
      <c r="BX235" s="1052">
        <f t="shared" si="382"/>
        <v>0</v>
      </c>
      <c r="BY235" s="1052">
        <f t="shared" si="382"/>
        <v>0</v>
      </c>
      <c r="BZ235" s="203">
        <f t="shared" si="382"/>
        <v>0</v>
      </c>
      <c r="CA235" s="1052">
        <f t="shared" si="382"/>
        <v>0</v>
      </c>
      <c r="CB235" s="1052">
        <f t="shared" si="382"/>
        <v>0</v>
      </c>
      <c r="CC235" s="1052">
        <f t="shared" si="382"/>
        <v>0</v>
      </c>
      <c r="CD235" s="203">
        <f t="shared" si="382"/>
        <v>0</v>
      </c>
      <c r="CE235" s="1052">
        <f t="shared" si="382"/>
        <v>0</v>
      </c>
      <c r="CF235" s="1052">
        <f t="shared" si="382"/>
        <v>0</v>
      </c>
      <c r="CG235" s="202">
        <f t="shared" si="382"/>
        <v>0</v>
      </c>
      <c r="CH235" s="203">
        <f t="shared" si="382"/>
        <v>0</v>
      </c>
      <c r="CI235" s="1052">
        <f t="shared" si="382"/>
        <v>0</v>
      </c>
      <c r="CJ235" s="1052">
        <f t="shared" si="382"/>
        <v>0</v>
      </c>
      <c r="CK235" s="202">
        <f t="shared" si="382"/>
        <v>0</v>
      </c>
      <c r="CL235" s="203">
        <f t="shared" si="382"/>
        <v>0</v>
      </c>
      <c r="CM235" s="1052">
        <f t="shared" ca="1" si="382"/>
        <v>0</v>
      </c>
      <c r="CN235" s="1052">
        <f t="shared" si="382"/>
        <v>0</v>
      </c>
      <c r="CO235" s="1052">
        <f t="shared" si="382"/>
        <v>0</v>
      </c>
      <c r="CP235" s="203">
        <f t="shared" si="382"/>
        <v>0</v>
      </c>
      <c r="CQ235" s="1064"/>
      <c r="CR235" s="1064"/>
      <c r="CS235" s="1064"/>
      <c r="CT235" s="569"/>
      <c r="CU235" s="1064"/>
      <c r="CV235" s="1064"/>
      <c r="CW235" s="568"/>
      <c r="CX235" s="569"/>
      <c r="CY235" s="1064"/>
      <c r="CZ235" s="1064"/>
      <c r="DA235" s="1064"/>
      <c r="DB235" s="569"/>
      <c r="DC235" s="1064"/>
      <c r="DD235" s="1064"/>
      <c r="DE235" s="1064"/>
      <c r="DF235" s="1064"/>
      <c r="DG235" s="1064"/>
      <c r="DH235" s="1064"/>
      <c r="DI235" s="1064"/>
      <c r="DJ235" s="1064"/>
      <c r="DK235" s="1064"/>
      <c r="DL235" s="1064"/>
      <c r="DM235" s="568"/>
      <c r="DN235" s="568"/>
      <c r="DO235" s="568"/>
      <c r="DP235" s="568"/>
      <c r="DQ235" s="568"/>
      <c r="DR235" s="568"/>
      <c r="DS235" s="568"/>
      <c r="DT235" s="568"/>
      <c r="DU235" s="568"/>
      <c r="DV235" s="568"/>
      <c r="DW235" s="568"/>
      <c r="DX235" s="568"/>
      <c r="DY235" s="568"/>
    </row>
    <row r="236" spans="1:129" ht="15" customHeight="1">
      <c r="A236" s="1605"/>
      <c r="B236" s="86"/>
      <c r="C236" s="86"/>
      <c r="D236" s="86"/>
      <c r="E236" s="86"/>
      <c r="F236" s="86"/>
      <c r="G236" s="86"/>
      <c r="H236" s="86"/>
      <c r="I236" s="86"/>
      <c r="J236" s="86"/>
      <c r="K236" s="86"/>
      <c r="L236" s="86"/>
      <c r="M236" s="86"/>
      <c r="N236" s="86"/>
      <c r="O236" s="86"/>
      <c r="P236" s="86"/>
      <c r="Q236" s="1064"/>
      <c r="R236" s="86"/>
      <c r="S236" s="86"/>
      <c r="T236" s="1064"/>
      <c r="U236" s="1064"/>
      <c r="V236" s="86"/>
      <c r="W236" s="86"/>
      <c r="X236" s="86"/>
      <c r="Y236" s="86"/>
      <c r="Z236" s="86"/>
      <c r="AA236" s="1064"/>
      <c r="AB236" s="1064"/>
      <c r="AC236" s="1064"/>
      <c r="AD236" s="1064"/>
      <c r="AE236" s="1064"/>
      <c r="AF236" s="1064"/>
      <c r="AG236" s="1064"/>
      <c r="AH236" s="1947"/>
      <c r="AI236" s="606"/>
      <c r="AJ236" s="1947"/>
      <c r="AK236" s="86"/>
      <c r="AL236" s="86"/>
      <c r="AM236" s="86"/>
      <c r="AN236" s="86"/>
      <c r="AO236" s="86"/>
      <c r="AP236" s="86"/>
      <c r="AQ236" s="86"/>
      <c r="AR236" s="86"/>
      <c r="AS236" s="86"/>
      <c r="AT236" s="86"/>
      <c r="AU236" s="86"/>
      <c r="AV236" s="86"/>
      <c r="AW236" s="86"/>
      <c r="AX236" s="86"/>
      <c r="AY236" s="86"/>
      <c r="AZ236" s="86"/>
      <c r="BA236" s="86"/>
      <c r="BB236" s="86"/>
      <c r="BC236" s="86"/>
      <c r="BD236" s="86"/>
      <c r="BE236" s="86"/>
      <c r="BF236" s="86"/>
      <c r="BG236" s="86"/>
      <c r="BH236" s="86"/>
      <c r="BI236" s="86"/>
      <c r="BJ236" s="86"/>
      <c r="BK236" s="86"/>
      <c r="BL236" s="86"/>
      <c r="BM236" s="86"/>
      <c r="BN236" s="86"/>
      <c r="BO236" s="86"/>
      <c r="BP236" s="86"/>
      <c r="BQ236" s="86"/>
      <c r="BR236" s="569"/>
      <c r="BS236" s="1064"/>
      <c r="BT236" s="1064"/>
      <c r="BU236" s="1064"/>
      <c r="BV236" s="203"/>
      <c r="BW236" s="1052"/>
      <c r="BX236" s="1052"/>
      <c r="BY236" s="1052"/>
      <c r="BZ236" s="203"/>
      <c r="CA236" s="1052"/>
      <c r="CB236" s="1052"/>
      <c r="CC236" s="1052"/>
      <c r="CD236" s="203"/>
      <c r="CE236" s="1052"/>
      <c r="CF236" s="1052"/>
      <c r="CG236" s="202"/>
      <c r="CH236" s="203"/>
      <c r="CI236" s="1052"/>
      <c r="CJ236" s="1052"/>
      <c r="CK236" s="202"/>
      <c r="CL236" s="203"/>
      <c r="CM236" s="1052"/>
      <c r="CN236" s="1052"/>
      <c r="CO236" s="1052"/>
      <c r="CP236" s="203"/>
      <c r="CQ236" s="1064"/>
      <c r="CR236" s="1064"/>
      <c r="CS236" s="1064"/>
      <c r="CT236" s="569"/>
      <c r="CU236" s="1064"/>
      <c r="CV236" s="1064"/>
      <c r="CW236" s="568"/>
      <c r="CX236" s="569"/>
      <c r="CY236" s="1064"/>
      <c r="CZ236" s="1064"/>
      <c r="DA236" s="1064"/>
      <c r="DB236" s="569"/>
      <c r="DC236" s="1064"/>
      <c r="DD236" s="1064"/>
      <c r="DE236" s="1064"/>
      <c r="DF236" s="1064"/>
      <c r="DG236" s="1064"/>
      <c r="DH236" s="1064"/>
      <c r="DI236" s="1064"/>
      <c r="DJ236" s="1064"/>
      <c r="DK236" s="1064"/>
      <c r="DL236" s="1064"/>
      <c r="DM236" s="568"/>
      <c r="DN236" s="568"/>
      <c r="DO236" s="568"/>
      <c r="DP236" s="568"/>
      <c r="DQ236" s="568"/>
      <c r="DR236" s="568"/>
      <c r="DS236" s="568"/>
      <c r="DT236" s="568"/>
      <c r="DU236" s="568"/>
      <c r="DV236" s="568"/>
      <c r="DW236" s="568"/>
      <c r="DX236" s="568"/>
      <c r="DY236" s="568"/>
    </row>
    <row r="237" spans="1:129" ht="15" customHeight="1">
      <c r="A237" s="1604" t="s">
        <v>261</v>
      </c>
      <c r="B237" s="139"/>
      <c r="C237" s="139"/>
      <c r="D237" s="139"/>
      <c r="E237" s="139"/>
      <c r="F237" s="139"/>
      <c r="G237" s="139"/>
      <c r="H237" s="139"/>
      <c r="I237" s="139"/>
      <c r="J237" s="139"/>
      <c r="K237" s="139"/>
      <c r="L237" s="139"/>
      <c r="M237" s="139"/>
      <c r="N237" s="139"/>
      <c r="O237" s="139"/>
      <c r="P237" s="139"/>
      <c r="Q237" s="1048"/>
      <c r="R237" s="139"/>
      <c r="S237" s="139"/>
      <c r="T237" s="1048"/>
      <c r="U237" s="1048"/>
      <c r="V237" s="139"/>
      <c r="W237" s="139"/>
      <c r="X237" s="139"/>
      <c r="Y237" s="139"/>
      <c r="Z237" s="139"/>
      <c r="AA237" s="1048"/>
      <c r="AB237" s="1048"/>
      <c r="AC237" s="1048"/>
      <c r="AD237" s="1048"/>
      <c r="AE237" s="1048"/>
      <c r="AF237" s="1048"/>
      <c r="AG237" s="1048"/>
      <c r="AH237" s="1960"/>
      <c r="AI237" s="606"/>
      <c r="AJ237" s="1947"/>
      <c r="AK237" s="139"/>
      <c r="AL237" s="139"/>
      <c r="AM237" s="139"/>
      <c r="AN237" s="139"/>
      <c r="AO237" s="139"/>
      <c r="AP237" s="139"/>
      <c r="AQ237" s="139"/>
      <c r="AR237" s="139"/>
      <c r="AS237" s="139"/>
      <c r="AT237" s="139"/>
      <c r="AU237" s="139"/>
      <c r="AV237" s="139"/>
      <c r="AW237" s="139"/>
      <c r="AX237" s="139"/>
      <c r="AY237" s="139"/>
      <c r="AZ237" s="139"/>
      <c r="BA237" s="139"/>
      <c r="BB237" s="139"/>
      <c r="BC237" s="139"/>
      <c r="BD237" s="139"/>
      <c r="BE237" s="139"/>
      <c r="BF237" s="139"/>
      <c r="BG237" s="139"/>
      <c r="BH237" s="139"/>
      <c r="BI237" s="139"/>
      <c r="BJ237" s="139"/>
      <c r="BK237" s="139"/>
      <c r="BL237" s="139"/>
      <c r="BM237" s="139"/>
      <c r="BN237" s="139"/>
      <c r="BO237" s="139"/>
      <c r="BP237" s="139"/>
      <c r="BQ237" s="139"/>
      <c r="BR237" s="198"/>
      <c r="BS237" s="1048"/>
      <c r="BT237" s="1048"/>
      <c r="BU237" s="1048"/>
      <c r="BV237" s="198"/>
      <c r="BW237" s="1048"/>
      <c r="BX237" s="1048"/>
      <c r="BY237" s="1048"/>
      <c r="BZ237" s="198"/>
      <c r="CA237" s="1048"/>
      <c r="CB237" s="1048"/>
      <c r="CC237" s="1048"/>
      <c r="CD237" s="198"/>
      <c r="CE237" s="1048"/>
      <c r="CF237" s="1048"/>
      <c r="CG237" s="199"/>
      <c r="CH237" s="198"/>
      <c r="CI237" s="1048"/>
      <c r="CJ237" s="1048"/>
      <c r="CK237" s="199"/>
      <c r="CL237" s="198"/>
      <c r="CM237" s="1048"/>
      <c r="CN237" s="1048"/>
      <c r="CO237" s="1048"/>
      <c r="CP237" s="198"/>
      <c r="CQ237" s="1064"/>
      <c r="CR237" s="1299"/>
      <c r="CS237" s="1299"/>
      <c r="CT237" s="597"/>
      <c r="CU237" s="1299"/>
      <c r="CV237" s="1299"/>
      <c r="CW237" s="598"/>
      <c r="CX237" s="597"/>
      <c r="CY237" s="1299"/>
      <c r="CZ237" s="1299"/>
      <c r="DA237" s="1299"/>
      <c r="DB237" s="597"/>
      <c r="DC237" s="1299"/>
      <c r="DD237" s="1299"/>
      <c r="DE237" s="1299"/>
      <c r="DF237" s="1299"/>
      <c r="DG237" s="1299"/>
      <c r="DH237" s="1299"/>
      <c r="DI237" s="1299"/>
      <c r="DJ237" s="1299"/>
      <c r="DK237" s="1299"/>
      <c r="DL237" s="1299"/>
      <c r="DM237" s="598"/>
      <c r="DN237" s="598"/>
      <c r="DO237" s="598"/>
      <c r="DP237" s="598"/>
      <c r="DQ237" s="598"/>
      <c r="DR237" s="598"/>
      <c r="DS237" s="598"/>
      <c r="DT237" s="598"/>
      <c r="DU237" s="598"/>
      <c r="DV237" s="598"/>
      <c r="DW237" s="598"/>
      <c r="DX237" s="598"/>
      <c r="DY237" s="598"/>
    </row>
    <row r="238" spans="1:129" ht="15" customHeight="1">
      <c r="A238" s="1605"/>
      <c r="B238" s="86"/>
      <c r="C238" s="86"/>
      <c r="D238" s="86"/>
      <c r="E238" s="86"/>
      <c r="F238" s="86"/>
      <c r="G238" s="86"/>
      <c r="H238" s="86"/>
      <c r="I238" s="86"/>
      <c r="J238" s="86"/>
      <c r="K238" s="86"/>
      <c r="L238" s="86"/>
      <c r="M238" s="86"/>
      <c r="N238" s="86"/>
      <c r="O238" s="86"/>
      <c r="P238" s="86"/>
      <c r="Q238" s="1064"/>
      <c r="R238" s="86"/>
      <c r="S238" s="86"/>
      <c r="T238" s="1064"/>
      <c r="U238" s="1064"/>
      <c r="V238" s="86"/>
      <c r="W238" s="86"/>
      <c r="X238" s="86"/>
      <c r="Y238" s="86"/>
      <c r="Z238" s="86"/>
      <c r="AA238" s="1064"/>
      <c r="AB238" s="1064"/>
      <c r="AC238" s="1064"/>
      <c r="AD238" s="1064"/>
      <c r="AE238" s="1064"/>
      <c r="AF238" s="1064"/>
      <c r="AG238" s="1064"/>
      <c r="AH238" s="1947"/>
      <c r="AI238" s="606"/>
      <c r="AJ238" s="1947"/>
      <c r="AK238" s="86"/>
      <c r="AL238" s="86"/>
      <c r="AM238" s="86"/>
      <c r="AN238" s="86"/>
      <c r="AO238" s="86"/>
      <c r="AP238" s="86"/>
      <c r="AQ238" s="86"/>
      <c r="AR238" s="86"/>
      <c r="AS238" s="86"/>
      <c r="AT238" s="86"/>
      <c r="AU238" s="86"/>
      <c r="AV238" s="86"/>
      <c r="AW238" s="86"/>
      <c r="AX238" s="86"/>
      <c r="AY238" s="86"/>
      <c r="AZ238" s="86"/>
      <c r="BA238" s="86"/>
      <c r="BB238" s="86"/>
      <c r="BC238" s="86"/>
      <c r="BD238" s="86"/>
      <c r="BE238" s="86"/>
      <c r="BF238" s="86"/>
      <c r="BG238" s="86"/>
      <c r="BH238" s="86"/>
      <c r="BI238" s="86"/>
      <c r="BJ238" s="86"/>
      <c r="BK238" s="86"/>
      <c r="BL238" s="86"/>
      <c r="BM238" s="86"/>
      <c r="BN238" s="86"/>
      <c r="BO238" s="86"/>
      <c r="BP238" s="86"/>
      <c r="BQ238" s="86"/>
      <c r="BR238" s="569"/>
      <c r="BS238" s="1064"/>
      <c r="BT238" s="1064"/>
      <c r="BU238" s="1064"/>
      <c r="BV238" s="203"/>
      <c r="BW238" s="1052"/>
      <c r="BX238" s="1052"/>
      <c r="BY238" s="1052"/>
      <c r="BZ238" s="203"/>
      <c r="CA238" s="1052"/>
      <c r="CB238" s="1052"/>
      <c r="CC238" s="1052"/>
      <c r="CD238" s="203"/>
      <c r="CE238" s="1052"/>
      <c r="CF238" s="1052"/>
      <c r="CG238" s="202"/>
      <c r="CH238" s="203"/>
      <c r="CI238" s="1052"/>
      <c r="CJ238" s="1052"/>
      <c r="CK238" s="202"/>
      <c r="CL238" s="203"/>
      <c r="CM238" s="1052"/>
      <c r="CN238" s="1052"/>
      <c r="CO238" s="1052"/>
      <c r="CP238" s="203"/>
      <c r="CQ238" s="1064"/>
      <c r="CR238" s="1064"/>
      <c r="CS238" s="1064"/>
      <c r="CT238" s="569"/>
      <c r="CU238" s="1064"/>
      <c r="CV238" s="1064"/>
      <c r="CW238" s="568"/>
      <c r="CX238" s="569"/>
      <c r="CY238" s="1064"/>
      <c r="CZ238" s="1064"/>
      <c r="DA238" s="1064"/>
      <c r="DB238" s="569"/>
      <c r="DC238" s="1064"/>
      <c r="DD238" s="1064"/>
      <c r="DE238" s="1064"/>
      <c r="DF238" s="1064"/>
      <c r="DG238" s="1064"/>
      <c r="DH238" s="1064"/>
      <c r="DI238" s="1064"/>
      <c r="DJ238" s="1064"/>
      <c r="DK238" s="1064"/>
      <c r="DL238" s="1064"/>
      <c r="DM238" s="568"/>
      <c r="DN238" s="568"/>
      <c r="DO238" s="568"/>
      <c r="DP238" s="568"/>
      <c r="DQ238" s="568"/>
      <c r="DR238" s="568"/>
      <c r="DS238" s="568"/>
      <c r="DT238" s="568"/>
      <c r="DU238" s="568"/>
      <c r="DV238" s="568"/>
      <c r="DW238" s="568"/>
      <c r="DX238" s="568"/>
      <c r="DY238" s="568"/>
    </row>
    <row r="239" spans="1:129" ht="15" customHeight="1">
      <c r="A239" s="1603" t="s">
        <v>262</v>
      </c>
      <c r="B239" s="602"/>
      <c r="C239" s="602"/>
      <c r="D239" s="602"/>
      <c r="E239" s="602"/>
      <c r="F239" s="602"/>
      <c r="G239" s="602"/>
      <c r="H239" s="602"/>
      <c r="I239" s="602"/>
      <c r="J239" s="602"/>
      <c r="K239" s="602"/>
      <c r="L239" s="602">
        <f>BU239</f>
        <v>4932</v>
      </c>
      <c r="M239" s="602">
        <f>BY239</f>
        <v>4138.5</v>
      </c>
      <c r="N239" s="602">
        <f>CC239</f>
        <v>2517.75</v>
      </c>
      <c r="O239" s="602">
        <f>CG239</f>
        <v>2112.75</v>
      </c>
      <c r="P239" s="602">
        <f>CK239</f>
        <v>1775.25</v>
      </c>
      <c r="Q239" s="1294">
        <f>CO239</f>
        <v>1642.5</v>
      </c>
      <c r="R239" s="602"/>
      <c r="S239" s="602"/>
      <c r="T239" s="1294"/>
      <c r="U239" s="1294"/>
      <c r="V239" s="602"/>
      <c r="W239" s="602"/>
      <c r="X239" s="602"/>
      <c r="Y239" s="602"/>
      <c r="Z239" s="602"/>
      <c r="AA239" s="1294"/>
      <c r="AB239" s="1294"/>
      <c r="AC239" s="1294"/>
      <c r="AD239" s="1294"/>
      <c r="AE239" s="1294"/>
      <c r="AF239" s="1294"/>
      <c r="AG239" s="1294"/>
      <c r="AH239" s="1972"/>
      <c r="AI239" s="606"/>
      <c r="AJ239" s="1972"/>
      <c r="AK239" s="602"/>
      <c r="AL239" s="602"/>
      <c r="AM239" s="602"/>
      <c r="AN239" s="602"/>
      <c r="AO239" s="602"/>
      <c r="AP239" s="602"/>
      <c r="AQ239" s="602"/>
      <c r="AR239" s="602"/>
      <c r="AS239" s="602"/>
      <c r="AT239" s="602"/>
      <c r="AU239" s="602"/>
      <c r="AV239" s="602"/>
      <c r="AW239" s="602"/>
      <c r="AX239" s="602"/>
      <c r="AY239" s="602"/>
      <c r="AZ239" s="602"/>
      <c r="BA239" s="602"/>
      <c r="BB239" s="602"/>
      <c r="BC239" s="602"/>
      <c r="BD239" s="602"/>
      <c r="BE239" s="602"/>
      <c r="BF239" s="602"/>
      <c r="BG239" s="602"/>
      <c r="BH239" s="602"/>
      <c r="BI239" s="602"/>
      <c r="BJ239" s="602"/>
      <c r="BK239" s="602"/>
      <c r="BL239" s="602"/>
      <c r="BM239" s="602"/>
      <c r="BN239" s="602"/>
      <c r="BO239" s="602"/>
      <c r="BP239" s="602"/>
      <c r="BQ239" s="602"/>
      <c r="BR239" s="2461">
        <f>Lines!BR44*Lines!BR40+Lines!BR43</f>
        <v>4673.25</v>
      </c>
      <c r="BS239" s="1294">
        <f>Lines!BS44*Lines!BS40+Lines!BS43</f>
        <v>4947.75</v>
      </c>
      <c r="BT239" s="1294">
        <f>Lines!BT44*Lines!BT40+Lines!BT43</f>
        <v>4995.75</v>
      </c>
      <c r="BU239" s="1294">
        <f>Lines!BU44*Lines!BU40+Lines!BU43</f>
        <v>4932</v>
      </c>
      <c r="BV239" s="2461">
        <f>Lines!BV44*Lines!BV40+Lines!BV43</f>
        <v>4782</v>
      </c>
      <c r="BW239" s="1294">
        <f>Lines!BW44*Lines!BW40+Lines!BW43</f>
        <v>4629</v>
      </c>
      <c r="BX239" s="1294">
        <f>Lines!BX44*Lines!BX40+Lines!BX43</f>
        <v>4380.75</v>
      </c>
      <c r="BY239" s="1294">
        <f>Lines!BY44*Lines!BY40+Lines!BY43</f>
        <v>4138.5</v>
      </c>
      <c r="BZ239" s="2461">
        <f>Lines!BZ44*Lines!BZ40+Lines!BZ43</f>
        <v>2894.25</v>
      </c>
      <c r="CA239" s="1294">
        <f>Lines!CA44*Lines!CA40+Lines!CA43</f>
        <v>2756.25</v>
      </c>
      <c r="CB239" s="1294">
        <f>Lines!CB44*Lines!CB40+Lines!CB43</f>
        <v>2623.5</v>
      </c>
      <c r="CC239" s="1294">
        <f>Lines!CC44*Lines!CC40+Lines!CC43</f>
        <v>2517.75</v>
      </c>
      <c r="CD239" s="2461">
        <f>Lines!CD44*Lines!CD40+Lines!CD43</f>
        <v>2415.75</v>
      </c>
      <c r="CE239" s="1294">
        <f>Lines!CE44*Lines!CE40+Lines!CE43</f>
        <v>2296.5</v>
      </c>
      <c r="CF239" s="1294">
        <f>Lines!CF44*Lines!CF40+Lines!CF43</f>
        <v>2203.5</v>
      </c>
      <c r="CG239" s="1521">
        <f>Lines!CG44*Lines!CG40+Lines!CG43</f>
        <v>2112.75</v>
      </c>
      <c r="CH239" s="2461">
        <f>Lines!CH44*Lines!CH40+Lines!CH43</f>
        <v>2019.75</v>
      </c>
      <c r="CI239" s="1294">
        <f>Lines!CI44*Lines!CI40+Lines!CI43</f>
        <v>1931.25</v>
      </c>
      <c r="CJ239" s="1294">
        <f>Lines!CJ44*Lines!CJ40+Lines!CJ43</f>
        <v>1849.5</v>
      </c>
      <c r="CK239" s="1521">
        <f>Lines!CK44*Lines!CK40+Lines!CK43</f>
        <v>1775.25</v>
      </c>
      <c r="CL239" s="2461">
        <f>Lines!CL44*Lines!CL40+Lines!CL43</f>
        <v>1725</v>
      </c>
      <c r="CM239" s="1294">
        <f>Lines!CM44*Lines!CM40+Lines!CM43</f>
        <v>1687.5</v>
      </c>
      <c r="CN239" s="1294">
        <f>Lines!CN44*Lines!CN40+Lines!CN43</f>
        <v>1665</v>
      </c>
      <c r="CO239" s="1294">
        <f>Lines!CO44*Lines!CO40+Lines!CO43</f>
        <v>1642.5</v>
      </c>
      <c r="CP239" s="2461">
        <f>Lines!CP44*Lines!CP40+Lines!CP43</f>
        <v>0</v>
      </c>
      <c r="CQ239" s="1294"/>
      <c r="CR239" s="1294"/>
      <c r="CS239" s="1294"/>
      <c r="CT239" s="2461"/>
      <c r="CU239" s="1294"/>
      <c r="CV239" s="1294"/>
      <c r="CW239" s="1521"/>
      <c r="CX239" s="2461"/>
      <c r="CY239" s="1294"/>
      <c r="CZ239" s="1294"/>
      <c r="DA239" s="1294"/>
      <c r="DB239" s="2461"/>
      <c r="DC239" s="1294"/>
      <c r="DD239" s="1294"/>
      <c r="DE239" s="1294"/>
      <c r="DF239" s="1294"/>
      <c r="DG239" s="1294"/>
      <c r="DH239" s="1294"/>
      <c r="DI239" s="1294"/>
      <c r="DJ239" s="1294"/>
      <c r="DK239" s="1294"/>
      <c r="DL239" s="1294"/>
      <c r="DM239" s="1521"/>
      <c r="DN239" s="1521"/>
      <c r="DO239" s="1521"/>
      <c r="DP239" s="1521"/>
      <c r="DQ239" s="1521"/>
      <c r="DR239" s="1521"/>
      <c r="DS239" s="1521"/>
      <c r="DT239" s="1521"/>
      <c r="DU239" s="1521"/>
      <c r="DV239" s="1521"/>
      <c r="DW239" s="1521"/>
      <c r="DX239" s="1521"/>
      <c r="DY239" s="1521"/>
    </row>
    <row r="240" spans="1:129" ht="15" customHeight="1">
      <c r="A240" s="1603" t="s">
        <v>834</v>
      </c>
      <c r="B240" s="562"/>
      <c r="C240" s="562"/>
      <c r="D240" s="562"/>
      <c r="E240" s="562"/>
      <c r="F240" s="562"/>
      <c r="G240" s="562"/>
      <c r="H240" s="562"/>
      <c r="I240" s="562"/>
      <c r="J240" s="562"/>
      <c r="K240" s="562"/>
      <c r="L240" s="562"/>
      <c r="M240" s="562">
        <f>M239/L239-1</f>
        <v>-0.16088807785888082</v>
      </c>
      <c r="N240" s="562">
        <f>N239/M239-1</f>
        <v>-0.39162740123233053</v>
      </c>
      <c r="O240" s="562">
        <f>O239/N239-1</f>
        <v>-0.16085790884718498</v>
      </c>
      <c r="P240" s="562">
        <f>P239/O239-1</f>
        <v>-0.15974440894568687</v>
      </c>
      <c r="Q240" s="1065">
        <f>Q239/P239-1</f>
        <v>-7.4778200253485472E-2</v>
      </c>
      <c r="R240" s="562"/>
      <c r="S240" s="562"/>
      <c r="T240" s="1065"/>
      <c r="U240" s="1065"/>
      <c r="V240" s="562"/>
      <c r="W240" s="562"/>
      <c r="X240" s="562"/>
      <c r="Y240" s="562"/>
      <c r="Z240" s="562"/>
      <c r="AA240" s="1065"/>
      <c r="AB240" s="1065"/>
      <c r="AC240" s="1065"/>
      <c r="AD240" s="1065"/>
      <c r="AE240" s="1065"/>
      <c r="AF240" s="1065"/>
      <c r="AG240" s="1065"/>
      <c r="AH240" s="1927"/>
      <c r="AI240" s="606"/>
      <c r="AJ240" s="1927"/>
      <c r="AK240" s="562"/>
      <c r="AL240" s="562"/>
      <c r="AM240" s="562"/>
      <c r="AN240" s="562"/>
      <c r="AO240" s="562"/>
      <c r="AP240" s="562"/>
      <c r="AQ240" s="562"/>
      <c r="AR240" s="562"/>
      <c r="AS240" s="562"/>
      <c r="AT240" s="562"/>
      <c r="AU240" s="562"/>
      <c r="AV240" s="562"/>
      <c r="AW240" s="562"/>
      <c r="AX240" s="562"/>
      <c r="AY240" s="562"/>
      <c r="AZ240" s="562"/>
      <c r="BA240" s="562"/>
      <c r="BB240" s="562"/>
      <c r="BC240" s="562"/>
      <c r="BD240" s="562"/>
      <c r="BE240" s="562"/>
      <c r="BF240" s="562"/>
      <c r="BG240" s="562"/>
      <c r="BH240" s="562"/>
      <c r="BI240" s="562"/>
      <c r="BJ240" s="562"/>
      <c r="BK240" s="562"/>
      <c r="BL240" s="562"/>
      <c r="BM240" s="562"/>
      <c r="BN240" s="562"/>
      <c r="BO240" s="562"/>
      <c r="BP240" s="562"/>
      <c r="BQ240" s="562"/>
      <c r="BR240" s="563"/>
      <c r="BS240" s="1065"/>
      <c r="BT240" s="1065"/>
      <c r="BU240" s="1065"/>
      <c r="BV240" s="563">
        <f t="shared" ref="BV240:CP240" si="383">BV239/BR239-1</f>
        <v>2.3270743058898979E-2</v>
      </c>
      <c r="BW240" s="1065">
        <f t="shared" si="383"/>
        <v>-6.4423222676974423E-2</v>
      </c>
      <c r="BX240" s="1065">
        <f t="shared" si="383"/>
        <v>-0.12310463894310164</v>
      </c>
      <c r="BY240" s="1065">
        <f t="shared" si="383"/>
        <v>-0.16088807785888082</v>
      </c>
      <c r="BZ240" s="563">
        <f t="shared" si="383"/>
        <v>-0.3947616060225847</v>
      </c>
      <c r="CA240" s="1065">
        <f t="shared" si="383"/>
        <v>-0.40456902138690864</v>
      </c>
      <c r="CB240" s="1065">
        <f t="shared" si="383"/>
        <v>-0.40112994350282483</v>
      </c>
      <c r="CC240" s="1065">
        <f t="shared" si="383"/>
        <v>-0.39162740123233053</v>
      </c>
      <c r="CD240" s="563">
        <f t="shared" si="383"/>
        <v>-0.16532780513086287</v>
      </c>
      <c r="CE240" s="1065">
        <f t="shared" si="383"/>
        <v>-0.16680272108843541</v>
      </c>
      <c r="CF240" s="1065">
        <f t="shared" si="383"/>
        <v>-0.16009148084619784</v>
      </c>
      <c r="CG240" s="564">
        <f t="shared" si="383"/>
        <v>-0.16085790884718498</v>
      </c>
      <c r="CH240" s="563">
        <f t="shared" si="383"/>
        <v>-0.16392424712822107</v>
      </c>
      <c r="CI240" s="1065">
        <f t="shared" si="383"/>
        <v>-0.15904637491835405</v>
      </c>
      <c r="CJ240" s="1065">
        <f t="shared" si="383"/>
        <v>-0.16065350578624915</v>
      </c>
      <c r="CK240" s="564">
        <f t="shared" si="383"/>
        <v>-0.15974440894568687</v>
      </c>
      <c r="CL240" s="563">
        <f t="shared" si="383"/>
        <v>-0.14593390271073148</v>
      </c>
      <c r="CM240" s="1065">
        <f t="shared" si="383"/>
        <v>-0.12621359223300976</v>
      </c>
      <c r="CN240" s="1065">
        <f t="shared" si="383"/>
        <v>-9.9756690997566899E-2</v>
      </c>
      <c r="CO240" s="1065">
        <f t="shared" si="383"/>
        <v>-7.4778200253485472E-2</v>
      </c>
      <c r="CP240" s="563">
        <f t="shared" si="383"/>
        <v>-1</v>
      </c>
      <c r="CQ240" s="1065"/>
      <c r="CR240" s="1065"/>
      <c r="CS240" s="1065"/>
      <c r="CT240" s="563"/>
      <c r="CU240" s="1065"/>
      <c r="CV240" s="1065"/>
      <c r="CW240" s="564"/>
      <c r="CX240" s="563"/>
      <c r="CY240" s="1065"/>
      <c r="CZ240" s="1065"/>
      <c r="DA240" s="1065"/>
      <c r="DB240" s="563"/>
      <c r="DC240" s="1065"/>
      <c r="DD240" s="1065"/>
      <c r="DE240" s="1065"/>
      <c r="DF240" s="1065"/>
      <c r="DG240" s="1065"/>
      <c r="DH240" s="1065"/>
      <c r="DI240" s="1065"/>
      <c r="DJ240" s="1065"/>
      <c r="DK240" s="1065"/>
      <c r="DL240" s="1065"/>
      <c r="DM240" s="564"/>
      <c r="DN240" s="564"/>
      <c r="DO240" s="564"/>
      <c r="DP240" s="564"/>
      <c r="DQ240" s="564"/>
      <c r="DR240" s="564"/>
      <c r="DS240" s="564"/>
      <c r="DT240" s="564"/>
      <c r="DU240" s="564"/>
      <c r="DV240" s="564"/>
      <c r="DW240" s="564"/>
      <c r="DX240" s="564"/>
      <c r="DY240" s="564"/>
    </row>
    <row r="241" spans="1:129" ht="15" customHeight="1">
      <c r="A241" s="1603" t="s">
        <v>263</v>
      </c>
      <c r="B241" s="602"/>
      <c r="C241" s="602"/>
      <c r="D241" s="602"/>
      <c r="E241" s="602"/>
      <c r="F241" s="602"/>
      <c r="G241" s="602"/>
      <c r="H241" s="602"/>
      <c r="I241" s="602"/>
      <c r="J241" s="602"/>
      <c r="K241" s="602"/>
      <c r="L241" s="602">
        <f>AVERAGE(BR241:BU241)</f>
        <v>4854.84375</v>
      </c>
      <c r="M241" s="602">
        <f>AVERAGE(BV241:BY241)</f>
        <v>4581.75</v>
      </c>
      <c r="N241" s="602">
        <f>AVERAGE(BZ241:CC241)</f>
        <v>2900.53125</v>
      </c>
      <c r="O241" s="602">
        <f>AVERAGE(CD241:CG241)</f>
        <v>2307.75</v>
      </c>
      <c r="P241" s="602">
        <f>AVERAGE(CH241:CK241)</f>
        <v>1936.125</v>
      </c>
      <c r="Q241" s="1294">
        <f>AVERAGE(P239:Q239)</f>
        <v>1708.875</v>
      </c>
      <c r="R241" s="602"/>
      <c r="S241" s="602"/>
      <c r="T241" s="1294"/>
      <c r="U241" s="1294"/>
      <c r="V241" s="602"/>
      <c r="W241" s="602"/>
      <c r="X241" s="602"/>
      <c r="Y241" s="602"/>
      <c r="Z241" s="602"/>
      <c r="AA241" s="1294"/>
      <c r="AB241" s="1294"/>
      <c r="AC241" s="1294"/>
      <c r="AD241" s="1294"/>
      <c r="AE241" s="1294"/>
      <c r="AF241" s="1294"/>
      <c r="AG241" s="1294"/>
      <c r="AH241" s="1972"/>
      <c r="AI241" s="606"/>
      <c r="AJ241" s="1972"/>
      <c r="AK241" s="602"/>
      <c r="AL241" s="602"/>
      <c r="AM241" s="602"/>
      <c r="AN241" s="602"/>
      <c r="AO241" s="602"/>
      <c r="AP241" s="602"/>
      <c r="AQ241" s="602"/>
      <c r="AR241" s="602"/>
      <c r="AS241" s="602"/>
      <c r="AT241" s="602"/>
      <c r="AU241" s="602"/>
      <c r="AV241" s="602"/>
      <c r="AW241" s="602"/>
      <c r="AX241" s="602"/>
      <c r="AY241" s="602"/>
      <c r="AZ241" s="602"/>
      <c r="BA241" s="602"/>
      <c r="BB241" s="602"/>
      <c r="BC241" s="602"/>
      <c r="BD241" s="602"/>
      <c r="BE241" s="602"/>
      <c r="BF241" s="602"/>
      <c r="BG241" s="602"/>
      <c r="BH241" s="602"/>
      <c r="BI241" s="602"/>
      <c r="BJ241" s="602"/>
      <c r="BK241" s="602"/>
      <c r="BL241" s="602"/>
      <c r="BM241" s="602"/>
      <c r="BN241" s="602"/>
      <c r="BO241" s="602"/>
      <c r="BP241" s="602"/>
      <c r="BQ241" s="602"/>
      <c r="BR241" s="2461">
        <f>BR239</f>
        <v>4673.25</v>
      </c>
      <c r="BS241" s="1294">
        <f t="shared" ref="BS241:CP241" si="384">AVERAGE(BR239:BS239)</f>
        <v>4810.5</v>
      </c>
      <c r="BT241" s="1294">
        <f t="shared" si="384"/>
        <v>4971.75</v>
      </c>
      <c r="BU241" s="1294">
        <f t="shared" si="384"/>
        <v>4963.875</v>
      </c>
      <c r="BV241" s="2461">
        <f t="shared" si="384"/>
        <v>4857</v>
      </c>
      <c r="BW241" s="1294">
        <f t="shared" si="384"/>
        <v>4705.5</v>
      </c>
      <c r="BX241" s="1294">
        <f t="shared" si="384"/>
        <v>4504.875</v>
      </c>
      <c r="BY241" s="1294">
        <f t="shared" si="384"/>
        <v>4259.625</v>
      </c>
      <c r="BZ241" s="2461">
        <f t="shared" si="384"/>
        <v>3516.375</v>
      </c>
      <c r="CA241" s="1294">
        <f t="shared" si="384"/>
        <v>2825.25</v>
      </c>
      <c r="CB241" s="1294">
        <f t="shared" si="384"/>
        <v>2689.875</v>
      </c>
      <c r="CC241" s="1294">
        <f t="shared" si="384"/>
        <v>2570.625</v>
      </c>
      <c r="CD241" s="2461">
        <f t="shared" si="384"/>
        <v>2466.75</v>
      </c>
      <c r="CE241" s="1294">
        <f t="shared" si="384"/>
        <v>2356.125</v>
      </c>
      <c r="CF241" s="1294">
        <f t="shared" si="384"/>
        <v>2250</v>
      </c>
      <c r="CG241" s="1521">
        <f t="shared" si="384"/>
        <v>2158.125</v>
      </c>
      <c r="CH241" s="2461">
        <f t="shared" si="384"/>
        <v>2066.25</v>
      </c>
      <c r="CI241" s="1294">
        <f t="shared" si="384"/>
        <v>1975.5</v>
      </c>
      <c r="CJ241" s="1294">
        <f t="shared" si="384"/>
        <v>1890.375</v>
      </c>
      <c r="CK241" s="1521">
        <f t="shared" si="384"/>
        <v>1812.375</v>
      </c>
      <c r="CL241" s="2461">
        <f t="shared" si="384"/>
        <v>1750.125</v>
      </c>
      <c r="CM241" s="1294">
        <f t="shared" si="384"/>
        <v>1706.25</v>
      </c>
      <c r="CN241" s="1294">
        <f t="shared" si="384"/>
        <v>1676.25</v>
      </c>
      <c r="CO241" s="1294">
        <f t="shared" si="384"/>
        <v>1653.75</v>
      </c>
      <c r="CP241" s="2461">
        <f t="shared" si="384"/>
        <v>821.25</v>
      </c>
      <c r="CQ241" s="1294"/>
      <c r="CR241" s="1294"/>
      <c r="CS241" s="1294"/>
      <c r="CT241" s="2461"/>
      <c r="CU241" s="1294"/>
      <c r="CV241" s="1294"/>
      <c r="CW241" s="1521"/>
      <c r="CX241" s="2461"/>
      <c r="CY241" s="1294"/>
      <c r="CZ241" s="1294"/>
      <c r="DA241" s="1294"/>
      <c r="DB241" s="2461"/>
      <c r="DC241" s="1294"/>
      <c r="DD241" s="1294"/>
      <c r="DE241" s="1294"/>
      <c r="DF241" s="1294"/>
      <c r="DG241" s="1294"/>
      <c r="DH241" s="1294"/>
      <c r="DI241" s="1294"/>
      <c r="DJ241" s="1294"/>
      <c r="DK241" s="1294"/>
      <c r="DL241" s="1294"/>
      <c r="DM241" s="1521"/>
      <c r="DN241" s="1521"/>
      <c r="DO241" s="1521"/>
      <c r="DP241" s="1521"/>
      <c r="DQ241" s="1521"/>
      <c r="DR241" s="1521"/>
      <c r="DS241" s="1521"/>
      <c r="DT241" s="1521"/>
      <c r="DU241" s="1521"/>
      <c r="DV241" s="1521"/>
      <c r="DW241" s="1521"/>
      <c r="DX241" s="1521"/>
      <c r="DY241" s="1521"/>
    </row>
    <row r="242" spans="1:129" ht="15" customHeight="1">
      <c r="A242" s="1603" t="s">
        <v>264</v>
      </c>
      <c r="B242" s="86"/>
      <c r="C242" s="86"/>
      <c r="D242" s="86"/>
      <c r="E242" s="86"/>
      <c r="F242" s="86"/>
      <c r="G242" s="86"/>
      <c r="H242" s="86"/>
      <c r="I242" s="86"/>
      <c r="J242" s="86"/>
      <c r="K242" s="86"/>
      <c r="L242" s="86">
        <f t="shared" ref="L242:Q242" si="385">(L243/12)/(L241/1000)</f>
        <v>22</v>
      </c>
      <c r="M242" s="86">
        <f t="shared" si="385"/>
        <v>22</v>
      </c>
      <c r="N242" s="86">
        <f t="shared" si="385"/>
        <v>21.74351142570865</v>
      </c>
      <c r="O242" s="86">
        <f t="shared" si="385"/>
        <v>21.750000000000004</v>
      </c>
      <c r="P242" s="86">
        <f t="shared" si="385"/>
        <v>21.749999999999996</v>
      </c>
      <c r="Q242" s="1064">
        <f t="shared" si="385"/>
        <v>21.593688281764319</v>
      </c>
      <c r="R242" s="520"/>
      <c r="S242" s="520"/>
      <c r="T242" s="1060"/>
      <c r="U242" s="1060"/>
      <c r="V242" s="520"/>
      <c r="W242" s="520"/>
      <c r="X242" s="520"/>
      <c r="Y242" s="520"/>
      <c r="Z242" s="520"/>
      <c r="AA242" s="1060"/>
      <c r="AB242" s="1060"/>
      <c r="AC242" s="1060"/>
      <c r="AD242" s="1060"/>
      <c r="AE242" s="1060"/>
      <c r="AF242" s="1060"/>
      <c r="AG242" s="1060"/>
      <c r="AH242" s="1947"/>
      <c r="AI242" s="606"/>
      <c r="AJ242" s="1947"/>
      <c r="AK242" s="86"/>
      <c r="AL242" s="86"/>
      <c r="AM242" s="86"/>
      <c r="AN242" s="86"/>
      <c r="AO242" s="86"/>
      <c r="AP242" s="86"/>
      <c r="AQ242" s="86"/>
      <c r="AR242" s="86"/>
      <c r="AS242" s="86"/>
      <c r="AT242" s="86"/>
      <c r="AU242" s="86"/>
      <c r="AV242" s="86"/>
      <c r="AW242" s="86"/>
      <c r="AX242" s="86"/>
      <c r="AY242" s="86"/>
      <c r="AZ242" s="86"/>
      <c r="BA242" s="86"/>
      <c r="BB242" s="86"/>
      <c r="BC242" s="86"/>
      <c r="BD242" s="86"/>
      <c r="BE242" s="86"/>
      <c r="BF242" s="86"/>
      <c r="BG242" s="86"/>
      <c r="BH242" s="86"/>
      <c r="BI242" s="86"/>
      <c r="BJ242" s="86"/>
      <c r="BK242" s="86"/>
      <c r="BL242" s="86"/>
      <c r="BM242" s="86"/>
      <c r="BN242" s="86"/>
      <c r="BO242" s="86"/>
      <c r="BP242" s="86"/>
      <c r="BQ242" s="86"/>
      <c r="BR242" s="496">
        <v>22</v>
      </c>
      <c r="BS242" s="1043">
        <v>22</v>
      </c>
      <c r="BT242" s="1043">
        <v>22</v>
      </c>
      <c r="BU242" s="1043">
        <v>22</v>
      </c>
      <c r="BV242" s="496">
        <v>22</v>
      </c>
      <c r="BW242" s="1043">
        <v>22</v>
      </c>
      <c r="BX242" s="1043">
        <v>22</v>
      </c>
      <c r="BY242" s="1043">
        <v>22</v>
      </c>
      <c r="BZ242" s="496">
        <v>21.5</v>
      </c>
      <c r="CA242" s="1043">
        <v>22.5</v>
      </c>
      <c r="CB242" s="1043">
        <v>21.5</v>
      </c>
      <c r="CC242" s="1043">
        <v>21.5</v>
      </c>
      <c r="CD242" s="496">
        <v>21.75</v>
      </c>
      <c r="CE242" s="1043">
        <v>21.75</v>
      </c>
      <c r="CF242" s="1043">
        <v>21.75</v>
      </c>
      <c r="CG242" s="497">
        <v>21.75</v>
      </c>
      <c r="CH242" s="496">
        <v>21.75</v>
      </c>
      <c r="CI242" s="1043">
        <v>21.75</v>
      </c>
      <c r="CJ242" s="1043">
        <v>21.75</v>
      </c>
      <c r="CK242" s="497">
        <v>21.75</v>
      </c>
      <c r="CL242" s="496">
        <v>21.75</v>
      </c>
      <c r="CM242" s="1043">
        <v>21.75</v>
      </c>
      <c r="CN242" s="1043">
        <v>21.75</v>
      </c>
      <c r="CO242" s="1043">
        <v>21.75</v>
      </c>
      <c r="CP242" s="496">
        <v>21.75</v>
      </c>
      <c r="CQ242" s="1064"/>
      <c r="CR242" s="1064"/>
      <c r="CS242" s="1064"/>
      <c r="CT242" s="569"/>
      <c r="CU242" s="1064"/>
      <c r="CV242" s="1064"/>
      <c r="CW242" s="568"/>
      <c r="CX242" s="569"/>
      <c r="CY242" s="1064"/>
      <c r="CZ242" s="1064"/>
      <c r="DA242" s="1064"/>
      <c r="DB242" s="569"/>
      <c r="DC242" s="1064"/>
      <c r="DD242" s="1064"/>
      <c r="DE242" s="1064"/>
      <c r="DF242" s="1064"/>
      <c r="DG242" s="1064"/>
      <c r="DH242" s="1064"/>
      <c r="DI242" s="1064"/>
      <c r="DJ242" s="1064"/>
      <c r="DK242" s="1064"/>
      <c r="DL242" s="1064"/>
      <c r="DM242" s="568"/>
      <c r="DN242" s="568"/>
      <c r="DO242" s="568"/>
      <c r="DP242" s="568"/>
      <c r="DQ242" s="568"/>
      <c r="DR242" s="568"/>
      <c r="DS242" s="568"/>
      <c r="DT242" s="568"/>
      <c r="DU242" s="568"/>
      <c r="DV242" s="568"/>
      <c r="DW242" s="568"/>
      <c r="DX242" s="568"/>
      <c r="DY242" s="568"/>
    </row>
    <row r="243" spans="1:129" ht="15" customHeight="1">
      <c r="A243" s="1603" t="s">
        <v>265</v>
      </c>
      <c r="B243" s="86"/>
      <c r="C243" s="86"/>
      <c r="D243" s="86"/>
      <c r="E243" s="86"/>
      <c r="F243" s="86"/>
      <c r="G243" s="86"/>
      <c r="H243" s="86"/>
      <c r="I243" s="86"/>
      <c r="J243" s="86"/>
      <c r="K243" s="86"/>
      <c r="L243" s="2462">
        <f>SUM(BR243:BU243)</f>
        <v>1281.67875</v>
      </c>
      <c r="M243" s="2462">
        <f>SUM(BV243:BY243)</f>
        <v>1209.5820000000001</v>
      </c>
      <c r="N243" s="2462">
        <f>SUM(BZ243:CC243)</f>
        <v>756.81281249999995</v>
      </c>
      <c r="O243" s="2462">
        <f>SUM(CD243:CG243)</f>
        <v>602.32275000000004</v>
      </c>
      <c r="P243" s="2462">
        <f>SUM(CH243:CK243)</f>
        <v>505.32862499999993</v>
      </c>
      <c r="Q243" s="2463">
        <f>SUM(CL243:CO243)</f>
        <v>442.81096875000003</v>
      </c>
      <c r="R243" s="2462"/>
      <c r="S243" s="2462"/>
      <c r="T243" s="2463"/>
      <c r="U243" s="2463"/>
      <c r="V243" s="2462"/>
      <c r="W243" s="2462"/>
      <c r="X243" s="2462"/>
      <c r="Y243" s="2462"/>
      <c r="Z243" s="2462"/>
      <c r="AA243" s="2463"/>
      <c r="AB243" s="2463"/>
      <c r="AC243" s="2463"/>
      <c r="AD243" s="2463"/>
      <c r="AE243" s="2463"/>
      <c r="AF243" s="2463"/>
      <c r="AG243" s="2463"/>
      <c r="AH243" s="2464"/>
      <c r="AI243" s="606"/>
      <c r="AJ243" s="1947"/>
      <c r="AK243" s="86"/>
      <c r="AL243" s="86"/>
      <c r="AM243" s="86"/>
      <c r="AN243" s="86"/>
      <c r="AO243" s="86"/>
      <c r="AP243" s="86"/>
      <c r="AQ243" s="86"/>
      <c r="AR243" s="86"/>
      <c r="AS243" s="86"/>
      <c r="AT243" s="86"/>
      <c r="AU243" s="86"/>
      <c r="AV243" s="86"/>
      <c r="AW243" s="86"/>
      <c r="AX243" s="86"/>
      <c r="AY243" s="86"/>
      <c r="AZ243" s="86"/>
      <c r="BA243" s="86"/>
      <c r="BB243" s="86"/>
      <c r="BC243" s="86"/>
      <c r="BD243" s="86"/>
      <c r="BE243" s="86"/>
      <c r="BF243" s="86"/>
      <c r="BG243" s="86"/>
      <c r="BH243" s="86"/>
      <c r="BI243" s="86"/>
      <c r="BJ243" s="86"/>
      <c r="BK243" s="86"/>
      <c r="BL243" s="86"/>
      <c r="BM243" s="86"/>
      <c r="BN243" s="86"/>
      <c r="BO243" s="86"/>
      <c r="BP243" s="86"/>
      <c r="BQ243" s="86"/>
      <c r="BR243" s="2465">
        <f t="shared" ref="BR243:CP243" si="386">BR242*3*(BR241/1000)</f>
        <v>308.43450000000001</v>
      </c>
      <c r="BS243" s="2463">
        <f t="shared" si="386"/>
        <v>317.49299999999999</v>
      </c>
      <c r="BT243" s="2463">
        <f t="shared" si="386"/>
        <v>328.13549999999998</v>
      </c>
      <c r="BU243" s="2463">
        <f t="shared" si="386"/>
        <v>327.61574999999999</v>
      </c>
      <c r="BV243" s="2465">
        <f t="shared" si="386"/>
        <v>320.56200000000001</v>
      </c>
      <c r="BW243" s="2463">
        <f t="shared" si="386"/>
        <v>310.56299999999999</v>
      </c>
      <c r="BX243" s="2463">
        <f t="shared" si="386"/>
        <v>297.32175000000001</v>
      </c>
      <c r="BY243" s="2463">
        <f t="shared" si="386"/>
        <v>281.13524999999998</v>
      </c>
      <c r="BZ243" s="2465">
        <f t="shared" si="386"/>
        <v>226.80618749999999</v>
      </c>
      <c r="CA243" s="2463">
        <f t="shared" si="386"/>
        <v>190.704375</v>
      </c>
      <c r="CB243" s="2463">
        <f t="shared" si="386"/>
        <v>173.49693749999997</v>
      </c>
      <c r="CC243" s="2463">
        <f t="shared" si="386"/>
        <v>165.80531250000001</v>
      </c>
      <c r="CD243" s="2465">
        <f t="shared" si="386"/>
        <v>160.95543750000002</v>
      </c>
      <c r="CE243" s="2463">
        <f t="shared" si="386"/>
        <v>153.73715625</v>
      </c>
      <c r="CF243" s="2463">
        <f t="shared" si="386"/>
        <v>146.8125</v>
      </c>
      <c r="CG243" s="2466">
        <f t="shared" si="386"/>
        <v>140.81765625</v>
      </c>
      <c r="CH243" s="2465">
        <f t="shared" si="386"/>
        <v>134.8228125</v>
      </c>
      <c r="CI243" s="2463">
        <f t="shared" si="386"/>
        <v>128.901375</v>
      </c>
      <c r="CJ243" s="2463">
        <f t="shared" si="386"/>
        <v>123.34696874999999</v>
      </c>
      <c r="CK243" s="2466">
        <f t="shared" si="386"/>
        <v>118.25746875</v>
      </c>
      <c r="CL243" s="2465">
        <f t="shared" si="386"/>
        <v>114.19565625</v>
      </c>
      <c r="CM243" s="2463">
        <f t="shared" si="386"/>
        <v>111.3328125</v>
      </c>
      <c r="CN243" s="2463">
        <f t="shared" si="386"/>
        <v>109.37531250000001</v>
      </c>
      <c r="CO243" s="2463">
        <f t="shared" si="386"/>
        <v>107.90718750000001</v>
      </c>
      <c r="CP243" s="2465">
        <f t="shared" si="386"/>
        <v>53.586562499999999</v>
      </c>
      <c r="CQ243" s="1064"/>
      <c r="CR243" s="1064"/>
      <c r="CS243" s="1064"/>
      <c r="CT243" s="569"/>
      <c r="CU243" s="1064"/>
      <c r="CV243" s="1064"/>
      <c r="CW243" s="568"/>
      <c r="CX243" s="569"/>
      <c r="CY243" s="1064"/>
      <c r="CZ243" s="1064"/>
      <c r="DA243" s="1064"/>
      <c r="DB243" s="569"/>
      <c r="DC243" s="1064"/>
      <c r="DD243" s="1064"/>
      <c r="DE243" s="1064"/>
      <c r="DF243" s="1064"/>
      <c r="DG243" s="1064"/>
      <c r="DH243" s="1064"/>
      <c r="DI243" s="1064"/>
      <c r="DJ243" s="1064"/>
      <c r="DK243" s="1064"/>
      <c r="DL243" s="1064"/>
      <c r="DM243" s="568"/>
      <c r="DN243" s="568"/>
      <c r="DO243" s="568"/>
      <c r="DP243" s="568"/>
      <c r="DQ243" s="568"/>
      <c r="DR243" s="568"/>
      <c r="DS243" s="568"/>
      <c r="DT243" s="568"/>
      <c r="DU243" s="568"/>
      <c r="DV243" s="568"/>
      <c r="DW243" s="568"/>
      <c r="DX243" s="568"/>
      <c r="DY243" s="568"/>
    </row>
    <row r="244" spans="1:129" ht="15" customHeight="1">
      <c r="A244" s="1605"/>
      <c r="B244" s="86"/>
      <c r="C244" s="86"/>
      <c r="D244" s="86"/>
      <c r="E244" s="86"/>
      <c r="F244" s="86"/>
      <c r="G244" s="86"/>
      <c r="H244" s="86"/>
      <c r="I244" s="86"/>
      <c r="J244" s="86"/>
      <c r="K244" s="86"/>
      <c r="L244" s="86"/>
      <c r="M244" s="86"/>
      <c r="N244" s="86"/>
      <c r="O244" s="86"/>
      <c r="P244" s="86"/>
      <c r="Q244" s="1064"/>
      <c r="R244" s="86"/>
      <c r="S244" s="86"/>
      <c r="T244" s="1064"/>
      <c r="U244" s="1064"/>
      <c r="V244" s="86"/>
      <c r="W244" s="86"/>
      <c r="X244" s="86"/>
      <c r="Y244" s="86"/>
      <c r="Z244" s="86"/>
      <c r="AA244" s="1064"/>
      <c r="AB244" s="1064"/>
      <c r="AC244" s="1064"/>
      <c r="AD244" s="1064"/>
      <c r="AE244" s="1064"/>
      <c r="AF244" s="1064"/>
      <c r="AG244" s="1064"/>
      <c r="AH244" s="1947"/>
      <c r="AI244" s="606"/>
      <c r="AJ244" s="1947"/>
      <c r="AK244" s="86"/>
      <c r="AL244" s="86"/>
      <c r="AM244" s="86"/>
      <c r="AN244" s="86"/>
      <c r="AO244" s="86"/>
      <c r="AP244" s="86"/>
      <c r="AQ244" s="86"/>
      <c r="AR244" s="86"/>
      <c r="AS244" s="86"/>
      <c r="AT244" s="86"/>
      <c r="AU244" s="86"/>
      <c r="AV244" s="86"/>
      <c r="AW244" s="86"/>
      <c r="AX244" s="86"/>
      <c r="AY244" s="86"/>
      <c r="AZ244" s="86"/>
      <c r="BA244" s="86"/>
      <c r="BB244" s="86"/>
      <c r="BC244" s="86"/>
      <c r="BD244" s="86"/>
      <c r="BE244" s="86"/>
      <c r="BF244" s="86"/>
      <c r="BG244" s="86"/>
      <c r="BH244" s="86"/>
      <c r="BI244" s="86"/>
      <c r="BJ244" s="86"/>
      <c r="BK244" s="86"/>
      <c r="BL244" s="86"/>
      <c r="BM244" s="86"/>
      <c r="BN244" s="86"/>
      <c r="BO244" s="86"/>
      <c r="BP244" s="86"/>
      <c r="BQ244" s="86"/>
      <c r="BR244" s="569"/>
      <c r="BS244" s="1064"/>
      <c r="BT244" s="1064"/>
      <c r="BU244" s="1064"/>
      <c r="BV244" s="203"/>
      <c r="BW244" s="1052"/>
      <c r="BX244" s="1052"/>
      <c r="BY244" s="1052"/>
      <c r="BZ244" s="203"/>
      <c r="CA244" s="1052"/>
      <c r="CB244" s="1052"/>
      <c r="CC244" s="1052"/>
      <c r="CD244" s="203"/>
      <c r="CE244" s="1052"/>
      <c r="CF244" s="1052"/>
      <c r="CG244" s="202"/>
      <c r="CH244" s="203"/>
      <c r="CI244" s="1052"/>
      <c r="CJ244" s="1052"/>
      <c r="CK244" s="202"/>
      <c r="CL244" s="203"/>
      <c r="CM244" s="1052"/>
      <c r="CN244" s="1052"/>
      <c r="CO244" s="1052"/>
      <c r="CP244" s="203"/>
      <c r="CQ244" s="1064"/>
      <c r="CR244" s="1064"/>
      <c r="CS244" s="1064"/>
      <c r="CT244" s="569"/>
      <c r="CU244" s="1064"/>
      <c r="CV244" s="1064"/>
      <c r="CW244" s="568"/>
      <c r="CX244" s="569"/>
      <c r="CY244" s="1064"/>
      <c r="CZ244" s="1064"/>
      <c r="DA244" s="1064"/>
      <c r="DB244" s="569"/>
      <c r="DC244" s="1064"/>
      <c r="DD244" s="1064"/>
      <c r="DE244" s="1064"/>
      <c r="DF244" s="1064"/>
      <c r="DG244" s="1064"/>
      <c r="DH244" s="1064"/>
      <c r="DI244" s="1064"/>
      <c r="DJ244" s="1064"/>
      <c r="DK244" s="1064"/>
      <c r="DL244" s="1064"/>
      <c r="DM244" s="568"/>
      <c r="DN244" s="568"/>
      <c r="DO244" s="568"/>
      <c r="DP244" s="568"/>
      <c r="DQ244" s="568"/>
      <c r="DR244" s="568"/>
      <c r="DS244" s="568"/>
      <c r="DT244" s="568"/>
      <c r="DU244" s="568"/>
      <c r="DV244" s="568"/>
      <c r="DW244" s="568"/>
      <c r="DX244" s="568"/>
      <c r="DY244" s="568"/>
    </row>
    <row r="245" spans="1:129" ht="15" customHeight="1">
      <c r="A245" s="1603" t="s">
        <v>266</v>
      </c>
      <c r="B245" s="602"/>
      <c r="C245" s="602"/>
      <c r="D245" s="602"/>
      <c r="E245" s="602"/>
      <c r="F245" s="602"/>
      <c r="G245" s="602"/>
      <c r="H245" s="602"/>
      <c r="I245" s="602"/>
      <c r="J245" s="602"/>
      <c r="K245" s="602"/>
      <c r="L245" s="602"/>
      <c r="M245" s="602">
        <f>SUM(BV245:BY245)</f>
        <v>7270.4179999999997</v>
      </c>
      <c r="N245" s="602">
        <f>SUM(BZ245:CC245)</f>
        <v>7260.1871874999997</v>
      </c>
      <c r="O245" s="602">
        <f>SUM(CD245:CG245)</f>
        <v>7171.6772499999997</v>
      </c>
      <c r="P245" s="602">
        <f>SUM(CH245:CK245)</f>
        <v>7065.6713749999999</v>
      </c>
      <c r="Q245" s="1294">
        <f>SUM(CL245:CO245)</f>
        <v>6906.637070625</v>
      </c>
      <c r="R245" s="602"/>
      <c r="S245" s="602"/>
      <c r="T245" s="1294"/>
      <c r="U245" s="1294"/>
      <c r="V245" s="602"/>
      <c r="W245" s="602"/>
      <c r="X245" s="602"/>
      <c r="Y245" s="602"/>
      <c r="Z245" s="602"/>
      <c r="AA245" s="1294"/>
      <c r="AB245" s="1294"/>
      <c r="AC245" s="1294"/>
      <c r="AD245" s="1294"/>
      <c r="AE245" s="1294"/>
      <c r="AF245" s="1294"/>
      <c r="AG245" s="1294"/>
      <c r="AH245" s="1972"/>
      <c r="AI245" s="606"/>
      <c r="AJ245" s="1972"/>
      <c r="AK245" s="602"/>
      <c r="AL245" s="602"/>
      <c r="AM245" s="602"/>
      <c r="AN245" s="602"/>
      <c r="AO245" s="602"/>
      <c r="AP245" s="602"/>
      <c r="AQ245" s="602"/>
      <c r="AR245" s="602"/>
      <c r="AS245" s="602"/>
      <c r="AT245" s="602"/>
      <c r="AU245" s="602"/>
      <c r="AV245" s="602"/>
      <c r="AW245" s="602"/>
      <c r="AX245" s="602"/>
      <c r="AY245" s="602"/>
      <c r="AZ245" s="602"/>
      <c r="BA245" s="602"/>
      <c r="BB245" s="602"/>
      <c r="BC245" s="602"/>
      <c r="BD245" s="602"/>
      <c r="BE245" s="602"/>
      <c r="BF245" s="602"/>
      <c r="BG245" s="602"/>
      <c r="BH245" s="602"/>
      <c r="BI245" s="602"/>
      <c r="BJ245" s="602"/>
      <c r="BK245" s="602"/>
      <c r="BL245" s="602"/>
      <c r="BM245" s="602"/>
      <c r="BN245" s="602"/>
      <c r="BO245" s="602"/>
      <c r="BP245" s="602"/>
      <c r="BQ245" s="602"/>
      <c r="BR245" s="2461"/>
      <c r="BS245" s="1294"/>
      <c r="BT245" s="1294"/>
      <c r="BU245" s="1294"/>
      <c r="BV245" s="2461">
        <f t="shared" ref="BV245:CK245" si="387">BV12-BV243</f>
        <v>1790.4380000000001</v>
      </c>
      <c r="BW245" s="1294">
        <f t="shared" si="387"/>
        <v>1797.4369999999999</v>
      </c>
      <c r="BX245" s="1294">
        <f t="shared" si="387"/>
        <v>1834.6782499999999</v>
      </c>
      <c r="BY245" s="1294">
        <f t="shared" si="387"/>
        <v>1847.86475</v>
      </c>
      <c r="BZ245" s="2461">
        <f t="shared" si="387"/>
        <v>1760.1938124999999</v>
      </c>
      <c r="CA245" s="1294">
        <f t="shared" si="387"/>
        <v>1830.295625</v>
      </c>
      <c r="CB245" s="1294">
        <f t="shared" si="387"/>
        <v>1851.5030624999999</v>
      </c>
      <c r="CC245" s="1294">
        <f t="shared" si="387"/>
        <v>1818.1946874999999</v>
      </c>
      <c r="CD245" s="2461">
        <f t="shared" si="387"/>
        <v>1758.0445625</v>
      </c>
      <c r="CE245" s="1294">
        <f t="shared" si="387"/>
        <v>1802.26284375</v>
      </c>
      <c r="CF245" s="1294">
        <f t="shared" si="387"/>
        <v>1820.1875</v>
      </c>
      <c r="CG245" s="1521">
        <f t="shared" si="387"/>
        <v>1791.18234375</v>
      </c>
      <c r="CH245" s="2461">
        <f t="shared" si="387"/>
        <v>1777.1771874999999</v>
      </c>
      <c r="CI245" s="1294">
        <f t="shared" si="387"/>
        <v>1766.0986250000001</v>
      </c>
      <c r="CJ245" s="1294">
        <f t="shared" si="387"/>
        <v>1758.6530312499999</v>
      </c>
      <c r="CK245" s="1521">
        <f t="shared" si="387"/>
        <v>1763.74253125</v>
      </c>
      <c r="CL245" s="2461">
        <f>CH245*(1+CL246)</f>
        <v>1723.8618718749999</v>
      </c>
      <c r="CM245" s="1294">
        <f>CI245*(1+CM246)</f>
        <v>1730.7766525</v>
      </c>
      <c r="CN245" s="1294">
        <f>CJ245*(1+CN246)</f>
        <v>1705.8934403124999</v>
      </c>
      <c r="CO245" s="1294">
        <f>CK245*(1+CO246)</f>
        <v>1746.1051059375</v>
      </c>
      <c r="CP245" s="2461">
        <f>CL245*(1+CP246)</f>
        <v>1706.6232531562498</v>
      </c>
      <c r="CQ245" s="1294"/>
      <c r="CR245" s="1294"/>
      <c r="CS245" s="1294"/>
      <c r="CT245" s="2461"/>
      <c r="CU245" s="1294"/>
      <c r="CV245" s="1294"/>
      <c r="CW245" s="1521"/>
      <c r="CX245" s="2461"/>
      <c r="CY245" s="1294"/>
      <c r="CZ245" s="1294"/>
      <c r="DA245" s="1294"/>
      <c r="DB245" s="2461"/>
      <c r="DC245" s="1294"/>
      <c r="DD245" s="1294"/>
      <c r="DE245" s="1294"/>
      <c r="DF245" s="1294"/>
      <c r="DG245" s="1294"/>
      <c r="DH245" s="1294"/>
      <c r="DI245" s="1294"/>
      <c r="DJ245" s="1294"/>
      <c r="DK245" s="1294"/>
      <c r="DL245" s="1294"/>
      <c r="DM245" s="1521"/>
      <c r="DN245" s="1521"/>
      <c r="DO245" s="1521"/>
      <c r="DP245" s="1521"/>
      <c r="DQ245" s="1521"/>
      <c r="DR245" s="1521"/>
      <c r="DS245" s="1521"/>
      <c r="DT245" s="1521"/>
      <c r="DU245" s="1521"/>
      <c r="DV245" s="1521"/>
      <c r="DW245" s="1521"/>
      <c r="DX245" s="1521"/>
      <c r="DY245" s="1521"/>
    </row>
    <row r="246" spans="1:129" ht="15" customHeight="1">
      <c r="A246" s="1603" t="s">
        <v>834</v>
      </c>
      <c r="B246" s="562"/>
      <c r="C246" s="562"/>
      <c r="D246" s="562"/>
      <c r="E246" s="562"/>
      <c r="F246" s="562"/>
      <c r="G246" s="562"/>
      <c r="H246" s="562"/>
      <c r="I246" s="562"/>
      <c r="J246" s="562"/>
      <c r="K246" s="562"/>
      <c r="L246" s="562"/>
      <c r="M246" s="562"/>
      <c r="N246" s="562">
        <f>N245/M245-1</f>
        <v>-1.4071835347018169E-3</v>
      </c>
      <c r="O246" s="562">
        <f>O245/N245-1</f>
        <v>-1.2191137117289363E-2</v>
      </c>
      <c r="P246" s="562">
        <f>P245/O245-1</f>
        <v>-1.4781183160466393E-2</v>
      </c>
      <c r="Q246" s="1065">
        <f>Q245/P245-1</f>
        <v>-2.2508024493992251E-2</v>
      </c>
      <c r="R246" s="110"/>
      <c r="S246" s="110"/>
      <c r="T246" s="1059"/>
      <c r="U246" s="1059"/>
      <c r="V246" s="110"/>
      <c r="W246" s="110"/>
      <c r="X246" s="110"/>
      <c r="Y246" s="110"/>
      <c r="Z246" s="110"/>
      <c r="AA246" s="1059"/>
      <c r="AB246" s="1059"/>
      <c r="AC246" s="1059"/>
      <c r="AD246" s="1059"/>
      <c r="AE246" s="1059"/>
      <c r="AF246" s="1059"/>
      <c r="AG246" s="1059"/>
      <c r="AH246" s="1927"/>
      <c r="AI246" s="606"/>
      <c r="AJ246" s="1927"/>
      <c r="AK246" s="562"/>
      <c r="AL246" s="562"/>
      <c r="AM246" s="562"/>
      <c r="AN246" s="562"/>
      <c r="AO246" s="562"/>
      <c r="AP246" s="562"/>
      <c r="AQ246" s="562"/>
      <c r="AR246" s="562"/>
      <c r="AS246" s="562"/>
      <c r="AT246" s="562"/>
      <c r="AU246" s="562"/>
      <c r="AV246" s="562"/>
      <c r="AW246" s="562"/>
      <c r="AX246" s="562"/>
      <c r="AY246" s="562"/>
      <c r="AZ246" s="562"/>
      <c r="BA246" s="562"/>
      <c r="BB246" s="562"/>
      <c r="BC246" s="562"/>
      <c r="BD246" s="562"/>
      <c r="BE246" s="562"/>
      <c r="BF246" s="562"/>
      <c r="BG246" s="562"/>
      <c r="BH246" s="562"/>
      <c r="BI246" s="562"/>
      <c r="BJ246" s="562"/>
      <c r="BK246" s="562"/>
      <c r="BL246" s="562"/>
      <c r="BM246" s="562"/>
      <c r="BN246" s="562"/>
      <c r="BO246" s="562"/>
      <c r="BP246" s="562"/>
      <c r="BQ246" s="562"/>
      <c r="BR246" s="563"/>
      <c r="BS246" s="1065"/>
      <c r="BT246" s="1065"/>
      <c r="BU246" s="1065"/>
      <c r="BV246" s="162"/>
      <c r="BW246" s="1313"/>
      <c r="BX246" s="1313"/>
      <c r="BY246" s="1313"/>
      <c r="BZ246" s="563">
        <f t="shared" ref="BZ246:CK246" si="388">BZ245/BV245-1</f>
        <v>-1.6892060769487793E-2</v>
      </c>
      <c r="CA246" s="1065">
        <f t="shared" si="388"/>
        <v>1.8280821525316293E-2</v>
      </c>
      <c r="CB246" s="1065">
        <f t="shared" si="388"/>
        <v>9.170443100854353E-3</v>
      </c>
      <c r="CC246" s="1065">
        <f t="shared" si="388"/>
        <v>-1.6056403749246329E-2</v>
      </c>
      <c r="CD246" s="563">
        <f t="shared" si="388"/>
        <v>-1.2210303119674082E-3</v>
      </c>
      <c r="CE246" s="1065">
        <f t="shared" si="388"/>
        <v>-1.5315985498244311E-2</v>
      </c>
      <c r="CF246" s="1065">
        <f t="shared" si="388"/>
        <v>-1.6913589361130188E-2</v>
      </c>
      <c r="CG246" s="564">
        <f t="shared" si="388"/>
        <v>-1.485668390503414E-2</v>
      </c>
      <c r="CH246" s="563">
        <f t="shared" si="388"/>
        <v>1.0882901041366466E-2</v>
      </c>
      <c r="CI246" s="1065">
        <f t="shared" si="388"/>
        <v>-2.0066006950879789E-2</v>
      </c>
      <c r="CJ246" s="1065">
        <f t="shared" si="388"/>
        <v>-3.380666483535355E-2</v>
      </c>
      <c r="CK246" s="564">
        <f t="shared" si="388"/>
        <v>-1.5319385318723233E-2</v>
      </c>
      <c r="CL246" s="165">
        <v>-0.03</v>
      </c>
      <c r="CM246" s="1059">
        <v>-0.02</v>
      </c>
      <c r="CN246" s="1059">
        <v>-0.03</v>
      </c>
      <c r="CO246" s="1059">
        <v>-0.01</v>
      </c>
      <c r="CP246" s="165">
        <v>-0.01</v>
      </c>
      <c r="CQ246" s="1065"/>
      <c r="CR246" s="1065"/>
      <c r="CS246" s="1065"/>
      <c r="CT246" s="563"/>
      <c r="CU246" s="1065"/>
      <c r="CV246" s="1065"/>
      <c r="CW246" s="564"/>
      <c r="CX246" s="563"/>
      <c r="CY246" s="1065"/>
      <c r="CZ246" s="1065"/>
      <c r="DA246" s="1065"/>
      <c r="DB246" s="563"/>
      <c r="DC246" s="1065"/>
      <c r="DD246" s="1065"/>
      <c r="DE246" s="1065"/>
      <c r="DF246" s="1065"/>
      <c r="DG246" s="1065"/>
      <c r="DH246" s="1065"/>
      <c r="DI246" s="1065"/>
      <c r="DJ246" s="1065"/>
      <c r="DK246" s="1065"/>
      <c r="DL246" s="1065"/>
      <c r="DM246" s="564"/>
      <c r="DN246" s="564"/>
      <c r="DO246" s="564"/>
      <c r="DP246" s="564"/>
      <c r="DQ246" s="564"/>
      <c r="DR246" s="564"/>
      <c r="DS246" s="564"/>
      <c r="DT246" s="564"/>
      <c r="DU246" s="564"/>
      <c r="DV246" s="564"/>
      <c r="DW246" s="564"/>
      <c r="DX246" s="564"/>
      <c r="DY246" s="564"/>
    </row>
    <row r="247" spans="1:129" ht="15" customHeight="1">
      <c r="A247" s="1605"/>
      <c r="B247" s="86"/>
      <c r="C247" s="86"/>
      <c r="D247" s="86"/>
      <c r="E247" s="86"/>
      <c r="F247" s="86"/>
      <c r="G247" s="86"/>
      <c r="H247" s="86"/>
      <c r="I247" s="86"/>
      <c r="J247" s="86"/>
      <c r="K247" s="86"/>
      <c r="L247" s="86"/>
      <c r="M247" s="86"/>
      <c r="N247" s="86"/>
      <c r="O247" s="86"/>
      <c r="P247" s="86"/>
      <c r="Q247" s="1064"/>
      <c r="R247" s="86"/>
      <c r="S247" s="86"/>
      <c r="T247" s="1064"/>
      <c r="U247" s="1064"/>
      <c r="V247" s="86"/>
      <c r="W247" s="86"/>
      <c r="X247" s="86"/>
      <c r="Y247" s="86"/>
      <c r="Z247" s="86"/>
      <c r="AA247" s="1064"/>
      <c r="AB247" s="1064"/>
      <c r="AC247" s="1064"/>
      <c r="AD247" s="1064"/>
      <c r="AE247" s="1064"/>
      <c r="AF247" s="1064"/>
      <c r="AG247" s="1064"/>
      <c r="AH247" s="1947"/>
      <c r="AI247" s="606"/>
      <c r="AJ247" s="1947"/>
      <c r="AK247" s="86"/>
      <c r="AL247" s="86"/>
      <c r="AM247" s="86"/>
      <c r="AN247" s="86"/>
      <c r="AO247" s="86"/>
      <c r="AP247" s="86"/>
      <c r="AQ247" s="86"/>
      <c r="AR247" s="86"/>
      <c r="AS247" s="86"/>
      <c r="AT247" s="86"/>
      <c r="AU247" s="86"/>
      <c r="AV247" s="86"/>
      <c r="AW247" s="86"/>
      <c r="AX247" s="86"/>
      <c r="AY247" s="86"/>
      <c r="AZ247" s="86"/>
      <c r="BA247" s="86"/>
      <c r="BB247" s="86"/>
      <c r="BC247" s="86"/>
      <c r="BD247" s="86"/>
      <c r="BE247" s="86"/>
      <c r="BF247" s="86"/>
      <c r="BG247" s="86"/>
      <c r="BH247" s="86"/>
      <c r="BI247" s="86"/>
      <c r="BJ247" s="86"/>
      <c r="BK247" s="86"/>
      <c r="BL247" s="86"/>
      <c r="BM247" s="86"/>
      <c r="BN247" s="86"/>
      <c r="BO247" s="86"/>
      <c r="BP247" s="86"/>
      <c r="BQ247" s="86"/>
      <c r="BR247" s="569"/>
      <c r="BS247" s="1064"/>
      <c r="BT247" s="1064"/>
      <c r="BU247" s="1064"/>
      <c r="BV247" s="203"/>
      <c r="BW247" s="1052"/>
      <c r="BX247" s="1052"/>
      <c r="BY247" s="1052"/>
      <c r="BZ247" s="203"/>
      <c r="CA247" s="1052"/>
      <c r="CB247" s="1052"/>
      <c r="CC247" s="1052"/>
      <c r="CD247" s="203"/>
      <c r="CE247" s="1052"/>
      <c r="CF247" s="1052"/>
      <c r="CG247" s="202"/>
      <c r="CH247" s="203"/>
      <c r="CI247" s="1052"/>
      <c r="CJ247" s="1052"/>
      <c r="CK247" s="202"/>
      <c r="CL247" s="203"/>
      <c r="CM247" s="1052"/>
      <c r="CN247" s="1052"/>
      <c r="CO247" s="1052"/>
      <c r="CP247" s="203"/>
      <c r="CQ247" s="1064"/>
      <c r="CR247" s="1064"/>
      <c r="CS247" s="1064"/>
      <c r="CT247" s="569"/>
      <c r="CU247" s="1064"/>
      <c r="CV247" s="1064"/>
      <c r="CW247" s="568"/>
      <c r="CX247" s="569"/>
      <c r="CY247" s="1064"/>
      <c r="CZ247" s="1064"/>
      <c r="DA247" s="1064"/>
      <c r="DB247" s="569"/>
      <c r="DC247" s="1064"/>
      <c r="DD247" s="1064"/>
      <c r="DE247" s="1064"/>
      <c r="DF247" s="1064"/>
      <c r="DG247" s="1064"/>
      <c r="DH247" s="1064"/>
      <c r="DI247" s="1064"/>
      <c r="DJ247" s="1064"/>
      <c r="DK247" s="1064"/>
      <c r="DL247" s="1064"/>
      <c r="DM247" s="568"/>
      <c r="DN247" s="568"/>
      <c r="DO247" s="568"/>
      <c r="DP247" s="568"/>
      <c r="DQ247" s="568"/>
      <c r="DR247" s="568"/>
      <c r="DS247" s="568"/>
      <c r="DT247" s="568"/>
      <c r="DU247" s="568"/>
      <c r="DV247" s="568"/>
      <c r="DW247" s="568"/>
      <c r="DX247" s="568"/>
      <c r="DY247" s="568"/>
    </row>
    <row r="248" spans="1:129" ht="15" customHeight="1">
      <c r="A248" s="1595" t="s">
        <v>267</v>
      </c>
      <c r="B248" s="91"/>
      <c r="C248" s="91"/>
      <c r="D248" s="86"/>
      <c r="E248" s="86"/>
      <c r="F248" s="86"/>
      <c r="G248" s="86"/>
      <c r="H248" s="86"/>
      <c r="I248" s="86"/>
      <c r="J248" s="86"/>
      <c r="K248" s="86"/>
      <c r="L248" s="86"/>
      <c r="M248" s="604">
        <f>M243+M245</f>
        <v>8480</v>
      </c>
      <c r="N248" s="604">
        <f>N243+N245</f>
        <v>8017</v>
      </c>
      <c r="O248" s="604">
        <f>O243+O245</f>
        <v>7774</v>
      </c>
      <c r="P248" s="604">
        <f>P243+P245</f>
        <v>7571</v>
      </c>
      <c r="Q248" s="1061">
        <f>Q243+Q245</f>
        <v>7349.448039375</v>
      </c>
      <c r="R248" s="604"/>
      <c r="S248" s="604"/>
      <c r="T248" s="1061"/>
      <c r="U248" s="1061"/>
      <c r="V248" s="604"/>
      <c r="W248" s="604"/>
      <c r="X248" s="604"/>
      <c r="Y248" s="604"/>
      <c r="Z248" s="604"/>
      <c r="AA248" s="1061"/>
      <c r="AB248" s="1061"/>
      <c r="AC248" s="1061"/>
      <c r="AD248" s="1061"/>
      <c r="AE248" s="1061"/>
      <c r="AF248" s="1061"/>
      <c r="AG248" s="1061"/>
      <c r="AH248" s="2464"/>
      <c r="AI248" s="606"/>
      <c r="AJ248" s="1947"/>
      <c r="AK248" s="86"/>
      <c r="AL248" s="86"/>
      <c r="AM248" s="86"/>
      <c r="AN248" s="86"/>
      <c r="AO248" s="86"/>
      <c r="AP248" s="86"/>
      <c r="AQ248" s="86"/>
      <c r="AR248" s="86"/>
      <c r="AS248" s="86"/>
      <c r="AT248" s="86"/>
      <c r="AU248" s="86"/>
      <c r="AV248" s="86"/>
      <c r="AW248" s="86"/>
      <c r="AX248" s="86"/>
      <c r="AY248" s="86"/>
      <c r="AZ248" s="86"/>
      <c r="BA248" s="86"/>
      <c r="BB248" s="86"/>
      <c r="BC248" s="86"/>
      <c r="BD248" s="86"/>
      <c r="BE248" s="86"/>
      <c r="BF248" s="86"/>
      <c r="BG248" s="86"/>
      <c r="BH248" s="86"/>
      <c r="BI248" s="86"/>
      <c r="BJ248" s="86"/>
      <c r="BK248" s="86"/>
      <c r="BL248" s="86"/>
      <c r="BM248" s="86"/>
      <c r="BN248" s="86"/>
      <c r="BO248" s="86"/>
      <c r="BP248" s="86"/>
      <c r="BQ248" s="86"/>
      <c r="BR248" s="569"/>
      <c r="BS248" s="1064"/>
      <c r="BT248" s="1064"/>
      <c r="BU248" s="1064"/>
      <c r="BV248" s="150">
        <f t="shared" ref="BV248:CP248" si="389">BV243+BV245</f>
        <v>2111</v>
      </c>
      <c r="BW248" s="1113">
        <f t="shared" si="389"/>
        <v>2108</v>
      </c>
      <c r="BX248" s="1113">
        <f t="shared" si="389"/>
        <v>2132</v>
      </c>
      <c r="BY248" s="1113">
        <f t="shared" si="389"/>
        <v>2129</v>
      </c>
      <c r="BZ248" s="150">
        <f t="shared" si="389"/>
        <v>1987</v>
      </c>
      <c r="CA248" s="1113">
        <f t="shared" si="389"/>
        <v>2021</v>
      </c>
      <c r="CB248" s="1113">
        <f t="shared" si="389"/>
        <v>2025</v>
      </c>
      <c r="CC248" s="1113">
        <f t="shared" si="389"/>
        <v>1984</v>
      </c>
      <c r="CD248" s="150">
        <f t="shared" si="389"/>
        <v>1919</v>
      </c>
      <c r="CE248" s="1113">
        <f t="shared" si="389"/>
        <v>1956</v>
      </c>
      <c r="CF248" s="1113">
        <f t="shared" si="389"/>
        <v>1967</v>
      </c>
      <c r="CG248" s="155">
        <f t="shared" si="389"/>
        <v>1932</v>
      </c>
      <c r="CH248" s="150">
        <f t="shared" si="389"/>
        <v>1912</v>
      </c>
      <c r="CI248" s="1113">
        <f t="shared" si="389"/>
        <v>1895</v>
      </c>
      <c r="CJ248" s="1113">
        <f t="shared" si="389"/>
        <v>1882</v>
      </c>
      <c r="CK248" s="155">
        <f t="shared" si="389"/>
        <v>1882</v>
      </c>
      <c r="CL248" s="150">
        <f t="shared" si="389"/>
        <v>1838.0575281249999</v>
      </c>
      <c r="CM248" s="1113">
        <f t="shared" si="389"/>
        <v>1842.109465</v>
      </c>
      <c r="CN248" s="1113">
        <f t="shared" si="389"/>
        <v>1815.2687528125</v>
      </c>
      <c r="CO248" s="1113">
        <f t="shared" si="389"/>
        <v>1854.0122934374999</v>
      </c>
      <c r="CP248" s="150">
        <f t="shared" si="389"/>
        <v>1760.2098156562497</v>
      </c>
      <c r="CQ248" s="1064"/>
      <c r="CR248" s="1064"/>
      <c r="CS248" s="1064"/>
      <c r="CT248" s="569"/>
      <c r="CU248" s="1064"/>
      <c r="CV248" s="1064"/>
      <c r="CW248" s="568"/>
      <c r="CX248" s="569"/>
      <c r="CY248" s="1064"/>
      <c r="CZ248" s="1064"/>
      <c r="DA248" s="1064"/>
      <c r="DB248" s="569"/>
      <c r="DC248" s="1064"/>
      <c r="DD248" s="1064"/>
      <c r="DE248" s="1064"/>
      <c r="DF248" s="1064"/>
      <c r="DG248" s="1064"/>
      <c r="DH248" s="1064"/>
      <c r="DI248" s="1064"/>
      <c r="DJ248" s="1064"/>
      <c r="DK248" s="1064"/>
      <c r="DL248" s="1064"/>
      <c r="DM248" s="568"/>
      <c r="DN248" s="568"/>
      <c r="DO248" s="568"/>
      <c r="DP248" s="568"/>
      <c r="DQ248" s="568"/>
      <c r="DR248" s="568"/>
      <c r="DS248" s="568"/>
      <c r="DT248" s="568"/>
      <c r="DU248" s="568"/>
      <c r="DV248" s="568"/>
      <c r="DW248" s="568"/>
      <c r="DX248" s="568"/>
      <c r="DY248" s="568"/>
    </row>
    <row r="249" spans="1:129" ht="15" customHeight="1">
      <c r="A249" s="1603" t="s">
        <v>834</v>
      </c>
      <c r="B249" s="562"/>
      <c r="C249" s="562"/>
      <c r="D249" s="562"/>
      <c r="E249" s="562"/>
      <c r="F249" s="562"/>
      <c r="G249" s="562"/>
      <c r="H249" s="562"/>
      <c r="I249" s="562"/>
      <c r="J249" s="562"/>
      <c r="K249" s="562"/>
      <c r="L249" s="562"/>
      <c r="M249" s="562"/>
      <c r="N249" s="562">
        <f>N248/M248-1</f>
        <v>-5.4599056603773621E-2</v>
      </c>
      <c r="O249" s="562">
        <f>O248/N248-1</f>
        <v>-3.0310589996257908E-2</v>
      </c>
      <c r="P249" s="562">
        <f>P248/O248-1</f>
        <v>-2.6112683303318729E-2</v>
      </c>
      <c r="Q249" s="1065">
        <f>Q248/P248-1</f>
        <v>-2.92632361147801E-2</v>
      </c>
      <c r="R249" s="562"/>
      <c r="S249" s="562"/>
      <c r="T249" s="1065"/>
      <c r="U249" s="1065"/>
      <c r="V249" s="562"/>
      <c r="W249" s="562"/>
      <c r="X249" s="562"/>
      <c r="Y249" s="562"/>
      <c r="Z249" s="562"/>
      <c r="AA249" s="1065"/>
      <c r="AB249" s="1065"/>
      <c r="AC249" s="1065"/>
      <c r="AD249" s="1065"/>
      <c r="AE249" s="1065"/>
      <c r="AF249" s="1065"/>
      <c r="AG249" s="1065"/>
      <c r="AH249" s="1927"/>
      <c r="AI249" s="606"/>
      <c r="AJ249" s="1927"/>
      <c r="AK249" s="562"/>
      <c r="AL249" s="562"/>
      <c r="AM249" s="562"/>
      <c r="AN249" s="562"/>
      <c r="AO249" s="562"/>
      <c r="AP249" s="562"/>
      <c r="AQ249" s="562"/>
      <c r="AR249" s="562"/>
      <c r="AS249" s="562"/>
      <c r="AT249" s="562"/>
      <c r="AU249" s="562"/>
      <c r="AV249" s="562"/>
      <c r="AW249" s="562"/>
      <c r="AX249" s="562"/>
      <c r="AY249" s="562"/>
      <c r="AZ249" s="562"/>
      <c r="BA249" s="562"/>
      <c r="BB249" s="562"/>
      <c r="BC249" s="562"/>
      <c r="BD249" s="562"/>
      <c r="BE249" s="562"/>
      <c r="BF249" s="562"/>
      <c r="BG249" s="562"/>
      <c r="BH249" s="562"/>
      <c r="BI249" s="562"/>
      <c r="BJ249" s="562"/>
      <c r="BK249" s="562"/>
      <c r="BL249" s="562"/>
      <c r="BM249" s="562"/>
      <c r="BN249" s="562"/>
      <c r="BO249" s="562"/>
      <c r="BP249" s="562"/>
      <c r="BQ249" s="562"/>
      <c r="BR249" s="563"/>
      <c r="BS249" s="1065"/>
      <c r="BT249" s="1065"/>
      <c r="BU249" s="1065"/>
      <c r="BV249" s="162"/>
      <c r="BW249" s="1313"/>
      <c r="BX249" s="1313"/>
      <c r="BY249" s="1313"/>
      <c r="BZ249" s="563">
        <f t="shared" ref="BZ249:CP249" si="390">BZ248/BV248-1</f>
        <v>-5.8739933680720058E-2</v>
      </c>
      <c r="CA249" s="1065">
        <f t="shared" si="390"/>
        <v>-4.127134724857684E-2</v>
      </c>
      <c r="CB249" s="1065">
        <f t="shared" si="390"/>
        <v>-5.018761726078802E-2</v>
      </c>
      <c r="CC249" s="1065">
        <f t="shared" si="390"/>
        <v>-6.8107092531704994E-2</v>
      </c>
      <c r="CD249" s="563">
        <f t="shared" si="390"/>
        <v>-3.4222445898339227E-2</v>
      </c>
      <c r="CE249" s="1065">
        <f t="shared" si="390"/>
        <v>-3.216229589312225E-2</v>
      </c>
      <c r="CF249" s="1065">
        <f t="shared" si="390"/>
        <v>-2.8641975308641987E-2</v>
      </c>
      <c r="CG249" s="564">
        <f t="shared" si="390"/>
        <v>-2.6209677419354871E-2</v>
      </c>
      <c r="CH249" s="563">
        <f t="shared" si="390"/>
        <v>-3.6477331943720603E-3</v>
      </c>
      <c r="CI249" s="1065">
        <f t="shared" si="390"/>
        <v>-3.1186094069529657E-2</v>
      </c>
      <c r="CJ249" s="1065">
        <f t="shared" si="390"/>
        <v>-4.3213014743263889E-2</v>
      </c>
      <c r="CK249" s="564">
        <f t="shared" si="390"/>
        <v>-2.5879917184264967E-2</v>
      </c>
      <c r="CL249" s="563">
        <f t="shared" si="390"/>
        <v>-3.8672840938807629E-2</v>
      </c>
      <c r="CM249" s="1065">
        <f t="shared" si="390"/>
        <v>-2.7910572559366797E-2</v>
      </c>
      <c r="CN249" s="1065">
        <f t="shared" si="390"/>
        <v>-3.545762337274172E-2</v>
      </c>
      <c r="CO249" s="1065">
        <f t="shared" si="390"/>
        <v>-1.487125747210416E-2</v>
      </c>
      <c r="CP249" s="563">
        <f t="shared" si="390"/>
        <v>-4.2353251341465059E-2</v>
      </c>
      <c r="CQ249" s="1065"/>
      <c r="CR249" s="1065"/>
      <c r="CS249" s="1065"/>
      <c r="CT249" s="563"/>
      <c r="CU249" s="1065"/>
      <c r="CV249" s="1065"/>
      <c r="CW249" s="564"/>
      <c r="CX249" s="563"/>
      <c r="CY249" s="1065"/>
      <c r="CZ249" s="1065"/>
      <c r="DA249" s="1065"/>
      <c r="DB249" s="563"/>
      <c r="DC249" s="1065"/>
      <c r="DD249" s="1065"/>
      <c r="DE249" s="1065"/>
      <c r="DF249" s="1065"/>
      <c r="DG249" s="1065"/>
      <c r="DH249" s="1065"/>
      <c r="DI249" s="1065"/>
      <c r="DJ249" s="1065"/>
      <c r="DK249" s="1065"/>
      <c r="DL249" s="1065"/>
      <c r="DM249" s="564"/>
      <c r="DN249" s="564"/>
      <c r="DO249" s="564"/>
      <c r="DP249" s="564"/>
      <c r="DQ249" s="564"/>
      <c r="DR249" s="564"/>
      <c r="DS249" s="564"/>
      <c r="DT249" s="564"/>
      <c r="DU249" s="564"/>
      <c r="DV249" s="564"/>
      <c r="DW249" s="564"/>
      <c r="DX249" s="564"/>
      <c r="DY249" s="564"/>
    </row>
    <row r="250" spans="1:129" ht="15" customHeight="1">
      <c r="A250" s="1605" t="s">
        <v>228</v>
      </c>
      <c r="B250" s="86"/>
      <c r="C250" s="86"/>
      <c r="D250" s="86"/>
      <c r="E250" s="86"/>
      <c r="F250" s="86"/>
      <c r="G250" s="86"/>
      <c r="H250" s="86"/>
      <c r="I250" s="86"/>
      <c r="J250" s="86"/>
      <c r="K250" s="86"/>
      <c r="L250" s="86"/>
      <c r="M250" s="86"/>
      <c r="N250" s="86"/>
      <c r="O250" s="86"/>
      <c r="P250" s="184">
        <f>P248-P12</f>
        <v>0</v>
      </c>
      <c r="Q250" s="1052">
        <f>Q248-Q12</f>
        <v>0</v>
      </c>
      <c r="R250" s="184"/>
      <c r="S250" s="184"/>
      <c r="T250" s="1052"/>
      <c r="U250" s="1052"/>
      <c r="V250" s="184"/>
      <c r="W250" s="184"/>
      <c r="X250" s="184"/>
      <c r="Y250" s="184"/>
      <c r="Z250" s="184"/>
      <c r="AA250" s="1052"/>
      <c r="AB250" s="1052"/>
      <c r="AC250" s="1052"/>
      <c r="AD250" s="1052"/>
      <c r="AE250" s="1052"/>
      <c r="AF250" s="1052"/>
      <c r="AG250" s="1052"/>
      <c r="AH250" s="1947"/>
      <c r="AI250" s="606"/>
      <c r="AJ250" s="1947"/>
      <c r="AK250" s="86"/>
      <c r="AL250" s="86"/>
      <c r="AM250" s="86"/>
      <c r="AN250" s="86"/>
      <c r="AO250" s="86"/>
      <c r="AP250" s="86"/>
      <c r="AQ250" s="86"/>
      <c r="AR250" s="86"/>
      <c r="AS250" s="86"/>
      <c r="AT250" s="86"/>
      <c r="AU250" s="86"/>
      <c r="AV250" s="86"/>
      <c r="AW250" s="86"/>
      <c r="AX250" s="86"/>
      <c r="AY250" s="86"/>
      <c r="AZ250" s="86"/>
      <c r="BA250" s="86"/>
      <c r="BB250" s="86"/>
      <c r="BC250" s="86"/>
      <c r="BD250" s="86"/>
      <c r="BE250" s="86"/>
      <c r="BF250" s="86"/>
      <c r="BG250" s="86"/>
      <c r="BH250" s="86"/>
      <c r="BI250" s="86"/>
      <c r="BJ250" s="86"/>
      <c r="BK250" s="86"/>
      <c r="BL250" s="86"/>
      <c r="BM250" s="86"/>
      <c r="BN250" s="86"/>
      <c r="BO250" s="86"/>
      <c r="BP250" s="86"/>
      <c r="BQ250" s="86"/>
      <c r="BR250" s="569"/>
      <c r="BS250" s="1064"/>
      <c r="BT250" s="1064"/>
      <c r="BU250" s="1064"/>
      <c r="BV250" s="203">
        <f t="shared" ref="BV250:CP250" si="391">BV248-BV12</f>
        <v>0</v>
      </c>
      <c r="BW250" s="1052">
        <f t="shared" si="391"/>
        <v>0</v>
      </c>
      <c r="BX250" s="1052">
        <f t="shared" si="391"/>
        <v>0</v>
      </c>
      <c r="BY250" s="1052">
        <f t="shared" si="391"/>
        <v>0</v>
      </c>
      <c r="BZ250" s="203">
        <f t="shared" si="391"/>
        <v>0</v>
      </c>
      <c r="CA250" s="1052">
        <f t="shared" si="391"/>
        <v>0</v>
      </c>
      <c r="CB250" s="1052">
        <f t="shared" si="391"/>
        <v>0</v>
      </c>
      <c r="CC250" s="1052">
        <f t="shared" si="391"/>
        <v>0</v>
      </c>
      <c r="CD250" s="203">
        <f t="shared" si="391"/>
        <v>0</v>
      </c>
      <c r="CE250" s="1052">
        <f t="shared" si="391"/>
        <v>0</v>
      </c>
      <c r="CF250" s="1052">
        <f t="shared" si="391"/>
        <v>0</v>
      </c>
      <c r="CG250" s="202">
        <f t="shared" si="391"/>
        <v>0</v>
      </c>
      <c r="CH250" s="203">
        <f t="shared" si="391"/>
        <v>0</v>
      </c>
      <c r="CI250" s="1052">
        <f t="shared" si="391"/>
        <v>0</v>
      </c>
      <c r="CJ250" s="1052">
        <f t="shared" si="391"/>
        <v>0</v>
      </c>
      <c r="CK250" s="202">
        <f t="shared" si="391"/>
        <v>0</v>
      </c>
      <c r="CL250" s="203">
        <f t="shared" si="391"/>
        <v>0</v>
      </c>
      <c r="CM250" s="1052">
        <f t="shared" si="391"/>
        <v>0</v>
      </c>
      <c r="CN250" s="1052">
        <f t="shared" si="391"/>
        <v>0</v>
      </c>
      <c r="CO250" s="1052">
        <f t="shared" si="391"/>
        <v>0</v>
      </c>
      <c r="CP250" s="203">
        <f t="shared" si="391"/>
        <v>0</v>
      </c>
      <c r="CQ250" s="1064"/>
      <c r="CR250" s="1064"/>
      <c r="CS250" s="1064"/>
      <c r="CT250" s="569"/>
      <c r="CU250" s="1064"/>
      <c r="CV250" s="1064"/>
      <c r="CW250" s="568"/>
      <c r="CX250" s="569"/>
      <c r="CY250" s="1064"/>
      <c r="CZ250" s="1064"/>
      <c r="DA250" s="1064"/>
      <c r="DB250" s="569"/>
      <c r="DC250" s="1064"/>
      <c r="DD250" s="1064"/>
      <c r="DE250" s="1064"/>
      <c r="DF250" s="1064"/>
      <c r="DG250" s="1064"/>
      <c r="DH250" s="1064"/>
      <c r="DI250" s="1064"/>
      <c r="DJ250" s="1064"/>
      <c r="DK250" s="1064"/>
      <c r="DL250" s="1064"/>
      <c r="DM250" s="568"/>
      <c r="DN250" s="568"/>
      <c r="DO250" s="568"/>
      <c r="DP250" s="568"/>
      <c r="DQ250" s="568"/>
      <c r="DR250" s="568"/>
      <c r="DS250" s="568"/>
      <c r="DT250" s="568"/>
      <c r="DU250" s="568"/>
      <c r="DV250" s="568"/>
      <c r="DW250" s="568"/>
      <c r="DX250" s="568"/>
      <c r="DY250" s="568"/>
    </row>
    <row r="251" spans="1:129" ht="15" customHeight="1">
      <c r="A251" s="1605"/>
      <c r="B251" s="86"/>
      <c r="C251" s="86"/>
      <c r="D251" s="86"/>
      <c r="E251" s="86"/>
      <c r="F251" s="86"/>
      <c r="G251" s="86"/>
      <c r="H251" s="86"/>
      <c r="I251" s="86"/>
      <c r="J251" s="86"/>
      <c r="K251" s="86"/>
      <c r="L251" s="86"/>
      <c r="M251" s="86"/>
      <c r="N251" s="86"/>
      <c r="O251" s="86"/>
      <c r="P251" s="86"/>
      <c r="Q251" s="1064"/>
      <c r="R251" s="86"/>
      <c r="S251" s="86"/>
      <c r="T251" s="1064"/>
      <c r="U251" s="1064"/>
      <c r="V251" s="86"/>
      <c r="W251" s="86"/>
      <c r="X251" s="86"/>
      <c r="Y251" s="86"/>
      <c r="Z251" s="86"/>
      <c r="AA251" s="1064"/>
      <c r="AB251" s="1064"/>
      <c r="AC251" s="1064"/>
      <c r="AD251" s="1064"/>
      <c r="AE251" s="1064"/>
      <c r="AF251" s="1064"/>
      <c r="AG251" s="1064"/>
      <c r="AH251" s="1947"/>
      <c r="AI251" s="606"/>
      <c r="AJ251" s="1947"/>
      <c r="AK251" s="86"/>
      <c r="AL251" s="86"/>
      <c r="AM251" s="86"/>
      <c r="AN251" s="86"/>
      <c r="AO251" s="86"/>
      <c r="AP251" s="86"/>
      <c r="AQ251" s="86"/>
      <c r="AR251" s="86"/>
      <c r="AS251" s="86"/>
      <c r="AT251" s="86"/>
      <c r="AU251" s="86"/>
      <c r="AV251" s="86"/>
      <c r="AW251" s="86"/>
      <c r="AX251" s="86"/>
      <c r="AY251" s="86"/>
      <c r="AZ251" s="86"/>
      <c r="BA251" s="86"/>
      <c r="BB251" s="86"/>
      <c r="BC251" s="86"/>
      <c r="BD251" s="86"/>
      <c r="BE251" s="86"/>
      <c r="BF251" s="86"/>
      <c r="BG251" s="86"/>
      <c r="BH251" s="86"/>
      <c r="BI251" s="86"/>
      <c r="BJ251" s="86"/>
      <c r="BK251" s="86"/>
      <c r="BL251" s="86"/>
      <c r="BM251" s="86"/>
      <c r="BN251" s="86"/>
      <c r="BO251" s="86"/>
      <c r="BP251" s="86"/>
      <c r="BQ251" s="86"/>
      <c r="BR251" s="569"/>
      <c r="BS251" s="1064"/>
      <c r="BT251" s="1064"/>
      <c r="BU251" s="1064"/>
      <c r="BV251" s="569"/>
      <c r="BW251" s="1064"/>
      <c r="BX251" s="1064"/>
      <c r="BY251" s="1064"/>
      <c r="BZ251" s="569"/>
      <c r="CA251" s="1064"/>
      <c r="CB251" s="1064"/>
      <c r="CC251" s="1064"/>
      <c r="CD251" s="569"/>
      <c r="CE251" s="1064"/>
      <c r="CF251" s="1064"/>
      <c r="CG251" s="568"/>
      <c r="CH251" s="569"/>
      <c r="CI251" s="1064"/>
      <c r="CJ251" s="1064"/>
      <c r="CK251" s="568"/>
      <c r="CL251" s="569"/>
      <c r="CM251" s="1064"/>
      <c r="CN251" s="1064"/>
      <c r="CO251" s="1064"/>
      <c r="CP251" s="569"/>
      <c r="CQ251" s="1064"/>
      <c r="CR251" s="1064"/>
      <c r="CS251" s="1064"/>
      <c r="CT251" s="569"/>
      <c r="CU251" s="1064"/>
      <c r="CV251" s="1064"/>
      <c r="CW251" s="568"/>
      <c r="CX251" s="569"/>
      <c r="CY251" s="1064"/>
      <c r="CZ251" s="1064"/>
      <c r="DA251" s="1064"/>
      <c r="DB251" s="569"/>
      <c r="DC251" s="1064"/>
      <c r="DD251" s="1064"/>
      <c r="DE251" s="1064"/>
      <c r="DF251" s="1064"/>
      <c r="DG251" s="1064"/>
      <c r="DH251" s="1064"/>
      <c r="DI251" s="1064"/>
      <c r="DJ251" s="1064"/>
      <c r="DK251" s="1064"/>
      <c r="DL251" s="1064"/>
      <c r="DM251" s="568"/>
      <c r="DN251" s="568"/>
      <c r="DO251" s="568"/>
      <c r="DP251" s="568"/>
      <c r="DQ251" s="568"/>
      <c r="DR251" s="568"/>
      <c r="DS251" s="568"/>
      <c r="DT251" s="568"/>
      <c r="DU251" s="568"/>
      <c r="DV251" s="568"/>
      <c r="DW251" s="568"/>
      <c r="DX251" s="568"/>
      <c r="DY251" s="568"/>
    </row>
    <row r="252" spans="1:129" ht="15" customHeight="1">
      <c r="A252" s="1604" t="s">
        <v>268</v>
      </c>
      <c r="B252" s="139"/>
      <c r="C252" s="139"/>
      <c r="D252" s="139"/>
      <c r="E252" s="139"/>
      <c r="F252" s="139"/>
      <c r="G252" s="139"/>
      <c r="H252" s="139"/>
      <c r="I252" s="139"/>
      <c r="J252" s="139"/>
      <c r="K252" s="139"/>
      <c r="L252" s="139"/>
      <c r="M252" s="139"/>
      <c r="N252" s="139"/>
      <c r="O252" s="139"/>
      <c r="P252" s="139"/>
      <c r="Q252" s="1048"/>
      <c r="R252" s="139"/>
      <c r="S252" s="139"/>
      <c r="T252" s="1048"/>
      <c r="U252" s="1048"/>
      <c r="V252" s="139"/>
      <c r="W252" s="139"/>
      <c r="X252" s="139"/>
      <c r="Y252" s="139"/>
      <c r="Z252" s="139"/>
      <c r="AA252" s="1048"/>
      <c r="AB252" s="1048"/>
      <c r="AC252" s="1048"/>
      <c r="AD252" s="1048"/>
      <c r="AE252" s="1048"/>
      <c r="AF252" s="1048"/>
      <c r="AG252" s="1048"/>
      <c r="AH252" s="1960"/>
      <c r="AI252" s="606"/>
      <c r="AJ252" s="1947"/>
      <c r="AK252" s="139"/>
      <c r="AL252" s="139"/>
      <c r="AM252" s="139"/>
      <c r="AN252" s="139"/>
      <c r="AO252" s="139"/>
      <c r="AP252" s="139"/>
      <c r="AQ252" s="139"/>
      <c r="AR252" s="139"/>
      <c r="AS252" s="139"/>
      <c r="AT252" s="139"/>
      <c r="AU252" s="139"/>
      <c r="AV252" s="139"/>
      <c r="AW252" s="139"/>
      <c r="AX252" s="139"/>
      <c r="AY252" s="139"/>
      <c r="AZ252" s="139"/>
      <c r="BA252" s="139"/>
      <c r="BB252" s="139"/>
      <c r="BC252" s="139"/>
      <c r="BD252" s="139"/>
      <c r="BE252" s="139"/>
      <c r="BF252" s="139"/>
      <c r="BG252" s="139"/>
      <c r="BH252" s="139"/>
      <c r="BI252" s="139"/>
      <c r="BJ252" s="139"/>
      <c r="BK252" s="139"/>
      <c r="BL252" s="139"/>
      <c r="BM252" s="139"/>
      <c r="BN252" s="139"/>
      <c r="BO252" s="139"/>
      <c r="BP252" s="139"/>
      <c r="BQ252" s="139"/>
      <c r="BR252" s="198"/>
      <c r="BS252" s="1048"/>
      <c r="BT252" s="1048"/>
      <c r="BU252" s="1048"/>
      <c r="BV252" s="198"/>
      <c r="BW252" s="1048"/>
      <c r="BX252" s="1048"/>
      <c r="BY252" s="1048"/>
      <c r="BZ252" s="198"/>
      <c r="CA252" s="1048"/>
      <c r="CB252" s="1048"/>
      <c r="CC252" s="1048"/>
      <c r="CD252" s="198"/>
      <c r="CE252" s="1048"/>
      <c r="CF252" s="1048"/>
      <c r="CG252" s="199"/>
      <c r="CH252" s="198"/>
      <c r="CI252" s="1048"/>
      <c r="CJ252" s="1048"/>
      <c r="CK252" s="199"/>
      <c r="CL252" s="198"/>
      <c r="CM252" s="1048"/>
      <c r="CN252" s="1048"/>
      <c r="CO252" s="1048"/>
      <c r="CP252" s="198"/>
      <c r="CQ252" s="1064"/>
      <c r="CR252" s="1299"/>
      <c r="CS252" s="1299"/>
      <c r="CT252" s="597"/>
      <c r="CU252" s="1299"/>
      <c r="CV252" s="1299"/>
      <c r="CW252" s="598"/>
      <c r="CX252" s="597"/>
      <c r="CY252" s="1299"/>
      <c r="CZ252" s="1299"/>
      <c r="DA252" s="1299"/>
      <c r="DB252" s="597"/>
      <c r="DC252" s="1299"/>
      <c r="DD252" s="1299"/>
      <c r="DE252" s="1299"/>
      <c r="DF252" s="1299"/>
      <c r="DG252" s="1299"/>
      <c r="DH252" s="1299"/>
      <c r="DI252" s="1299"/>
      <c r="DJ252" s="1299"/>
      <c r="DK252" s="1299"/>
      <c r="DL252" s="1299"/>
      <c r="DM252" s="598"/>
      <c r="DN252" s="598"/>
      <c r="DO252" s="598"/>
      <c r="DP252" s="598"/>
      <c r="DQ252" s="598"/>
      <c r="DR252" s="598"/>
      <c r="DS252" s="598"/>
      <c r="DT252" s="598"/>
      <c r="DU252" s="598"/>
      <c r="DV252" s="598"/>
      <c r="DW252" s="598"/>
      <c r="DX252" s="598"/>
      <c r="DY252" s="598"/>
    </row>
    <row r="253" spans="1:129" ht="15" customHeight="1">
      <c r="A253" s="1603"/>
      <c r="B253" s="86"/>
      <c r="C253" s="86"/>
      <c r="D253" s="86"/>
      <c r="E253" s="86"/>
      <c r="F253" s="86"/>
      <c r="G253" s="86"/>
      <c r="H253" s="86"/>
      <c r="I253" s="86"/>
      <c r="J253" s="86"/>
      <c r="K253" s="86"/>
      <c r="L253" s="86"/>
      <c r="M253" s="86"/>
      <c r="N253" s="86"/>
      <c r="O253" s="86"/>
      <c r="P253" s="86"/>
      <c r="Q253" s="1064"/>
      <c r="R253" s="86"/>
      <c r="S253" s="86"/>
      <c r="T253" s="1064"/>
      <c r="U253" s="1064"/>
      <c r="V253" s="86"/>
      <c r="W253" s="86"/>
      <c r="X253" s="86"/>
      <c r="Y253" s="86"/>
      <c r="Z253" s="86"/>
      <c r="AA253" s="1064"/>
      <c r="AB253" s="1064"/>
      <c r="AC253" s="1064"/>
      <c r="AD253" s="1064"/>
      <c r="AE253" s="1064"/>
      <c r="AF253" s="1064"/>
      <c r="AG253" s="1064"/>
      <c r="AH253" s="1947"/>
      <c r="AI253" s="606"/>
      <c r="AJ253" s="1947"/>
      <c r="AK253" s="86"/>
      <c r="AL253" s="86"/>
      <c r="AM253" s="86"/>
      <c r="AN253" s="86"/>
      <c r="AO253" s="86"/>
      <c r="AP253" s="86"/>
      <c r="AQ253" s="86"/>
      <c r="AR253" s="86"/>
      <c r="AS253" s="86"/>
      <c r="AT253" s="86"/>
      <c r="AU253" s="86"/>
      <c r="AV253" s="86"/>
      <c r="AW253" s="86"/>
      <c r="AX253" s="86"/>
      <c r="AY253" s="86"/>
      <c r="AZ253" s="86"/>
      <c r="BA253" s="86"/>
      <c r="BB253" s="86"/>
      <c r="BC253" s="86"/>
      <c r="BD253" s="86"/>
      <c r="BE253" s="86"/>
      <c r="BF253" s="86"/>
      <c r="BG253" s="86"/>
      <c r="BH253" s="86"/>
      <c r="BI253" s="86"/>
      <c r="BJ253" s="86"/>
      <c r="BK253" s="86"/>
      <c r="BL253" s="86"/>
      <c r="BM253" s="86"/>
      <c r="BN253" s="86"/>
      <c r="BO253" s="86"/>
      <c r="BP253" s="86"/>
      <c r="BQ253" s="86"/>
      <c r="BR253" s="569"/>
      <c r="BS253" s="1064"/>
      <c r="BT253" s="1064"/>
      <c r="BU253" s="1064"/>
      <c r="BV253" s="569"/>
      <c r="BW253" s="1064"/>
      <c r="BX253" s="1064"/>
      <c r="BY253" s="1064"/>
      <c r="BZ253" s="569"/>
      <c r="CA253" s="1064"/>
      <c r="CB253" s="1064"/>
      <c r="CC253" s="1064"/>
      <c r="CD253" s="569"/>
      <c r="CE253" s="1064"/>
      <c r="CF253" s="1064"/>
      <c r="CG253" s="568"/>
      <c r="CH253" s="569"/>
      <c r="CI253" s="1064"/>
      <c r="CJ253" s="1064"/>
      <c r="CK253" s="568"/>
      <c r="CL253" s="569"/>
      <c r="CM253" s="1064"/>
      <c r="CN253" s="1064"/>
      <c r="CO253" s="1064"/>
      <c r="CP253" s="569"/>
      <c r="CQ253" s="1064"/>
      <c r="CR253" s="1064"/>
      <c r="CS253" s="1064"/>
      <c r="CT253" s="569"/>
      <c r="CU253" s="1064"/>
      <c r="CV253" s="1064"/>
      <c r="CW253" s="568"/>
      <c r="CX253" s="569"/>
      <c r="CY253" s="1064"/>
      <c r="CZ253" s="1064"/>
      <c r="DA253" s="1064"/>
      <c r="DB253" s="569"/>
      <c r="DC253" s="1064"/>
      <c r="DD253" s="1064"/>
      <c r="DE253" s="1064"/>
      <c r="DF253" s="1064"/>
      <c r="DG253" s="1064"/>
      <c r="DH253" s="1064"/>
      <c r="DI253" s="1064"/>
      <c r="DJ253" s="1064"/>
      <c r="DK253" s="1064"/>
      <c r="DL253" s="1064"/>
      <c r="DM253" s="568"/>
      <c r="DN253" s="568"/>
      <c r="DO253" s="568"/>
      <c r="DP253" s="568"/>
      <c r="DQ253" s="568"/>
      <c r="DR253" s="568"/>
      <c r="DS253" s="568"/>
      <c r="DT253" s="568"/>
      <c r="DU253" s="568"/>
      <c r="DV253" s="568"/>
      <c r="DW253" s="568"/>
      <c r="DX253" s="568"/>
      <c r="DY253" s="568"/>
    </row>
    <row r="254" spans="1:129" ht="15" customHeight="1">
      <c r="A254" s="1603" t="s">
        <v>269</v>
      </c>
      <c r="B254" s="220"/>
      <c r="C254" s="220"/>
      <c r="D254" s="220"/>
      <c r="E254" s="220"/>
      <c r="F254" s="220"/>
      <c r="G254" s="220"/>
      <c r="H254" s="220"/>
      <c r="I254" s="220"/>
      <c r="J254" s="220"/>
      <c r="K254" s="220"/>
      <c r="L254" s="220">
        <f>Lines!L30</f>
        <v>16529.599999999999</v>
      </c>
      <c r="M254" s="220">
        <f>Lines!M30</f>
        <v>16155.7</v>
      </c>
      <c r="N254" s="220">
        <f>Lines!N30</f>
        <v>15520.32</v>
      </c>
      <c r="O254" s="220">
        <f>Lines!O30</f>
        <v>15036.92</v>
      </c>
      <c r="P254" s="220">
        <f>Lines!P30</f>
        <v>14397.92</v>
      </c>
      <c r="Q254" s="1302">
        <f>Lines!Q30</f>
        <v>12014.4</v>
      </c>
      <c r="R254" s="220"/>
      <c r="S254" s="220"/>
      <c r="T254" s="1302"/>
      <c r="U254" s="1302"/>
      <c r="V254" s="220"/>
      <c r="W254" s="220"/>
      <c r="X254" s="220"/>
      <c r="Y254" s="220"/>
      <c r="Z254" s="220"/>
      <c r="AA254" s="1302"/>
      <c r="AB254" s="1302"/>
      <c r="AC254" s="1302"/>
      <c r="AD254" s="1302"/>
      <c r="AE254" s="1302"/>
      <c r="AF254" s="1302"/>
      <c r="AG254" s="1302"/>
      <c r="AH254" s="1952"/>
      <c r="AI254" s="606"/>
      <c r="AJ254" s="1952"/>
      <c r="AK254" s="220"/>
      <c r="AL254" s="220"/>
      <c r="AM254" s="220"/>
      <c r="AN254" s="220"/>
      <c r="AO254" s="220"/>
      <c r="AP254" s="220"/>
      <c r="AQ254" s="220"/>
      <c r="AR254" s="220"/>
      <c r="AS254" s="220"/>
      <c r="AT254" s="220"/>
      <c r="AU254" s="220"/>
      <c r="AV254" s="220"/>
      <c r="AW254" s="220"/>
      <c r="AX254" s="220"/>
      <c r="AY254" s="220"/>
      <c r="AZ254" s="220"/>
      <c r="BA254" s="220"/>
      <c r="BB254" s="220"/>
      <c r="BC254" s="220"/>
      <c r="BD254" s="220"/>
      <c r="BE254" s="220"/>
      <c r="BF254" s="220"/>
      <c r="BG254" s="220"/>
      <c r="BH254" s="220"/>
      <c r="BI254" s="220"/>
      <c r="BJ254" s="220"/>
      <c r="BK254" s="220"/>
      <c r="BL254" s="220"/>
      <c r="BM254" s="220"/>
      <c r="BN254" s="220"/>
      <c r="BO254" s="220"/>
      <c r="BP254" s="220"/>
      <c r="BQ254" s="220"/>
      <c r="BR254" s="1452">
        <f>Lines!BR30</f>
        <v>17030.45</v>
      </c>
      <c r="BS254" s="1302">
        <f>Lines!BS30</f>
        <v>16782</v>
      </c>
      <c r="BT254" s="1302">
        <f>Lines!BT30</f>
        <v>16628.95</v>
      </c>
      <c r="BU254" s="1302">
        <f>Lines!BU30</f>
        <v>16529.599999999999</v>
      </c>
      <c r="BV254" s="1452">
        <f>Lines!BV30</f>
        <v>16338.9</v>
      </c>
      <c r="BW254" s="1302">
        <f>Lines!BW30</f>
        <v>16329.7</v>
      </c>
      <c r="BX254" s="1302">
        <f>Lines!BX30</f>
        <v>16232.1</v>
      </c>
      <c r="BY254" s="1302">
        <f>Lines!BY30</f>
        <v>16155.7</v>
      </c>
      <c r="BZ254" s="1452">
        <f>Lines!BZ30</f>
        <v>15796.84</v>
      </c>
      <c r="CA254" s="1302">
        <f>Lines!CA30</f>
        <v>15699</v>
      </c>
      <c r="CB254" s="1302">
        <f>Lines!CB30</f>
        <v>15637.48</v>
      </c>
      <c r="CC254" s="1302">
        <f>Lines!CC30</f>
        <v>15520.32</v>
      </c>
      <c r="CD254" s="1452">
        <f>Lines!CD30</f>
        <v>15375.96</v>
      </c>
      <c r="CE254" s="1302">
        <f>Lines!CE30</f>
        <v>15286.12</v>
      </c>
      <c r="CF254" s="1302">
        <f>Lines!CF30</f>
        <v>15144.88</v>
      </c>
      <c r="CG254" s="1482">
        <f>Lines!CG30</f>
        <v>15036.92</v>
      </c>
      <c r="CH254" s="1452">
        <f>Lines!CH30</f>
        <v>14885.68</v>
      </c>
      <c r="CI254" s="1302">
        <f>Lines!CI30</f>
        <v>14777</v>
      </c>
      <c r="CJ254" s="1302">
        <f>Lines!CJ30</f>
        <v>14600.16</v>
      </c>
      <c r="CK254" s="1482">
        <f>Lines!CK30</f>
        <v>14397.92</v>
      </c>
      <c r="CL254" s="1452">
        <f>Lines!CL30</f>
        <v>12587</v>
      </c>
      <c r="CM254" s="1302">
        <f>Lines!CM30</f>
        <v>12384</v>
      </c>
      <c r="CN254" s="1302">
        <f>Lines!CN30</f>
        <v>12186.2</v>
      </c>
      <c r="CO254" s="1302">
        <f>Lines!CO30</f>
        <v>12014.4</v>
      </c>
      <c r="CP254" s="1452">
        <f>Lines!CP30</f>
        <v>0</v>
      </c>
      <c r="CQ254" s="1302"/>
      <c r="CR254" s="1302"/>
      <c r="CS254" s="1302"/>
      <c r="CT254" s="1452"/>
      <c r="CU254" s="1302"/>
      <c r="CV254" s="1302"/>
      <c r="CW254" s="1482"/>
      <c r="CX254" s="1452"/>
      <c r="CY254" s="1302"/>
      <c r="CZ254" s="1302"/>
      <c r="DA254" s="1302"/>
      <c r="DB254" s="1452"/>
      <c r="DC254" s="1302"/>
      <c r="DD254" s="1302"/>
      <c r="DE254" s="1302"/>
      <c r="DF254" s="1302"/>
      <c r="DG254" s="1302"/>
      <c r="DH254" s="1302"/>
      <c r="DI254" s="1302"/>
      <c r="DJ254" s="1302"/>
      <c r="DK254" s="1302"/>
      <c r="DL254" s="1302"/>
      <c r="DM254" s="1482"/>
      <c r="DN254" s="1482"/>
      <c r="DO254" s="1482"/>
      <c r="DP254" s="1482"/>
      <c r="DQ254" s="1482"/>
      <c r="DR254" s="1482"/>
      <c r="DS254" s="1482"/>
      <c r="DT254" s="1482"/>
      <c r="DU254" s="1482"/>
      <c r="DV254" s="1482"/>
      <c r="DW254" s="1482"/>
      <c r="DX254" s="1482"/>
      <c r="DY254" s="1482"/>
    </row>
    <row r="255" spans="1:129" ht="15" customHeight="1">
      <c r="A255" s="1603" t="s">
        <v>270</v>
      </c>
      <c r="B255" s="220"/>
      <c r="C255" s="220"/>
      <c r="D255" s="220"/>
      <c r="E255" s="220"/>
      <c r="F255" s="220"/>
      <c r="G255" s="220"/>
      <c r="H255" s="220"/>
      <c r="I255" s="220"/>
      <c r="J255" s="220"/>
      <c r="K255" s="220"/>
      <c r="L255" s="220">
        <f>AVERAGE(BR255:BU255)</f>
        <v>16805.356250000001</v>
      </c>
      <c r="M255" s="220">
        <f>AVERAGE(BV255:BY255)</f>
        <v>16310.837500000001</v>
      </c>
      <c r="N255" s="220">
        <f>AVERAGE(BZ255:CC255)</f>
        <v>15742.8325</v>
      </c>
      <c r="O255" s="220">
        <f>AVERAGE(CD255:CG255)</f>
        <v>15271.395</v>
      </c>
      <c r="P255" s="220">
        <f>AVERAGE(CH255:CK255)</f>
        <v>14745.065000000001</v>
      </c>
      <c r="Q255" s="1302">
        <f>AVERAGE(CL255:CO255)</f>
        <v>12590.84</v>
      </c>
      <c r="R255" s="220"/>
      <c r="S255" s="220"/>
      <c r="T255" s="1302"/>
      <c r="U255" s="1302"/>
      <c r="V255" s="220"/>
      <c r="W255" s="220"/>
      <c r="X255" s="220"/>
      <c r="Y255" s="220"/>
      <c r="Z255" s="220"/>
      <c r="AA255" s="1302"/>
      <c r="AB255" s="1302"/>
      <c r="AC255" s="1302"/>
      <c r="AD255" s="1302"/>
      <c r="AE255" s="1302"/>
      <c r="AF255" s="1302"/>
      <c r="AG255" s="1302"/>
      <c r="AH255" s="1952"/>
      <c r="AI255" s="606"/>
      <c r="AJ255" s="1952"/>
      <c r="AK255" s="220"/>
      <c r="AL255" s="220"/>
      <c r="AM255" s="220"/>
      <c r="AN255" s="220"/>
      <c r="AO255" s="220"/>
      <c r="AP255" s="220"/>
      <c r="AQ255" s="220"/>
      <c r="AR255" s="220"/>
      <c r="AS255" s="220"/>
      <c r="AT255" s="220"/>
      <c r="AU255" s="220"/>
      <c r="AV255" s="220"/>
      <c r="AW255" s="220"/>
      <c r="AX255" s="220"/>
      <c r="AY255" s="220"/>
      <c r="AZ255" s="220"/>
      <c r="BA255" s="220"/>
      <c r="BB255" s="220"/>
      <c r="BC255" s="220"/>
      <c r="BD255" s="220"/>
      <c r="BE255" s="220"/>
      <c r="BF255" s="220"/>
      <c r="BG255" s="220"/>
      <c r="BH255" s="220"/>
      <c r="BI255" s="220"/>
      <c r="BJ255" s="220"/>
      <c r="BK255" s="220"/>
      <c r="BL255" s="220"/>
      <c r="BM255" s="220"/>
      <c r="BN255" s="220"/>
      <c r="BO255" s="220"/>
      <c r="BP255" s="220"/>
      <c r="BQ255" s="220"/>
      <c r="BR255" s="1452">
        <f>BR254</f>
        <v>17030.45</v>
      </c>
      <c r="BS255" s="1302">
        <f t="shared" ref="BS255:CP255" si="392">AVERAGE(BR254:BS254)</f>
        <v>16906.224999999999</v>
      </c>
      <c r="BT255" s="1302">
        <f t="shared" si="392"/>
        <v>16705.474999999999</v>
      </c>
      <c r="BU255" s="1302">
        <f t="shared" si="392"/>
        <v>16579.275000000001</v>
      </c>
      <c r="BV255" s="1452">
        <f t="shared" si="392"/>
        <v>16434.25</v>
      </c>
      <c r="BW255" s="1302">
        <f t="shared" si="392"/>
        <v>16334.3</v>
      </c>
      <c r="BX255" s="1302">
        <f t="shared" si="392"/>
        <v>16280.900000000001</v>
      </c>
      <c r="BY255" s="1302">
        <f t="shared" si="392"/>
        <v>16193.900000000001</v>
      </c>
      <c r="BZ255" s="1452">
        <f t="shared" si="392"/>
        <v>15976.27</v>
      </c>
      <c r="CA255" s="1302">
        <f t="shared" si="392"/>
        <v>15747.92</v>
      </c>
      <c r="CB255" s="1302">
        <f t="shared" si="392"/>
        <v>15668.24</v>
      </c>
      <c r="CC255" s="1302">
        <f t="shared" si="392"/>
        <v>15578.9</v>
      </c>
      <c r="CD255" s="1452">
        <f t="shared" si="392"/>
        <v>15448.14</v>
      </c>
      <c r="CE255" s="1302">
        <f t="shared" si="392"/>
        <v>15331.04</v>
      </c>
      <c r="CF255" s="1302">
        <f t="shared" si="392"/>
        <v>15215.5</v>
      </c>
      <c r="CG255" s="1482">
        <f t="shared" si="392"/>
        <v>15090.9</v>
      </c>
      <c r="CH255" s="1452">
        <f t="shared" si="392"/>
        <v>14961.3</v>
      </c>
      <c r="CI255" s="1302">
        <f t="shared" si="392"/>
        <v>14831.34</v>
      </c>
      <c r="CJ255" s="1302">
        <f t="shared" si="392"/>
        <v>14688.58</v>
      </c>
      <c r="CK255" s="1482">
        <f t="shared" si="392"/>
        <v>14499.04</v>
      </c>
      <c r="CL255" s="1452">
        <f t="shared" si="392"/>
        <v>13492.46</v>
      </c>
      <c r="CM255" s="1302">
        <f t="shared" si="392"/>
        <v>12485.5</v>
      </c>
      <c r="CN255" s="1302">
        <f t="shared" si="392"/>
        <v>12285.1</v>
      </c>
      <c r="CO255" s="1302">
        <f t="shared" si="392"/>
        <v>12100.3</v>
      </c>
      <c r="CP255" s="1452">
        <f t="shared" si="392"/>
        <v>6007.2</v>
      </c>
      <c r="CQ255" s="1302"/>
      <c r="CR255" s="1302"/>
      <c r="CS255" s="1302"/>
      <c r="CT255" s="1452"/>
      <c r="CU255" s="1302"/>
      <c r="CV255" s="1302"/>
      <c r="CW255" s="1482"/>
      <c r="CX255" s="1452"/>
      <c r="CY255" s="1302"/>
      <c r="CZ255" s="1302"/>
      <c r="DA255" s="1302"/>
      <c r="DB255" s="1452"/>
      <c r="DC255" s="1302"/>
      <c r="DD255" s="1302"/>
      <c r="DE255" s="1302"/>
      <c r="DF255" s="1302"/>
      <c r="DG255" s="1302"/>
      <c r="DH255" s="1302"/>
      <c r="DI255" s="1302"/>
      <c r="DJ255" s="1302"/>
      <c r="DK255" s="1302"/>
      <c r="DL255" s="1302"/>
      <c r="DM255" s="1482"/>
      <c r="DN255" s="1482"/>
      <c r="DO255" s="1482"/>
      <c r="DP255" s="1482"/>
      <c r="DQ255" s="1482"/>
      <c r="DR255" s="1482"/>
      <c r="DS255" s="1482"/>
      <c r="DT255" s="1482"/>
      <c r="DU255" s="1482"/>
      <c r="DV255" s="1482"/>
      <c r="DW255" s="1482"/>
      <c r="DX255" s="1482"/>
      <c r="DY255" s="1482"/>
    </row>
    <row r="256" spans="1:129" ht="15" customHeight="1">
      <c r="A256" s="1603"/>
      <c r="B256" s="220"/>
      <c r="C256" s="220"/>
      <c r="D256" s="220"/>
      <c r="E256" s="220"/>
      <c r="F256" s="220"/>
      <c r="G256" s="220"/>
      <c r="H256" s="220"/>
      <c r="I256" s="220"/>
      <c r="J256" s="220"/>
      <c r="K256" s="220"/>
      <c r="L256" s="220"/>
      <c r="M256" s="220"/>
      <c r="N256" s="220"/>
      <c r="O256" s="220"/>
      <c r="P256" s="220"/>
      <c r="Q256" s="1302"/>
      <c r="R256" s="220"/>
      <c r="S256" s="220"/>
      <c r="T256" s="1302"/>
      <c r="U256" s="1302"/>
      <c r="V256" s="220"/>
      <c r="W256" s="220"/>
      <c r="X256" s="220"/>
      <c r="Y256" s="220"/>
      <c r="Z256" s="220"/>
      <c r="AA256" s="1302"/>
      <c r="AB256" s="1302"/>
      <c r="AC256" s="1302"/>
      <c r="AD256" s="1302"/>
      <c r="AE256" s="1302"/>
      <c r="AF256" s="1302"/>
      <c r="AG256" s="1302"/>
      <c r="AH256" s="1952"/>
      <c r="AI256" s="606"/>
      <c r="AJ256" s="1952"/>
      <c r="AK256" s="220"/>
      <c r="AL256" s="220"/>
      <c r="AM256" s="220"/>
      <c r="AN256" s="220"/>
      <c r="AO256" s="220"/>
      <c r="AP256" s="220"/>
      <c r="AQ256" s="220"/>
      <c r="AR256" s="220"/>
      <c r="AS256" s="220"/>
      <c r="AT256" s="220"/>
      <c r="AU256" s="220"/>
      <c r="AV256" s="220"/>
      <c r="AW256" s="220"/>
      <c r="AX256" s="220"/>
      <c r="AY256" s="220"/>
      <c r="AZ256" s="220"/>
      <c r="BA256" s="220"/>
      <c r="BB256" s="220"/>
      <c r="BC256" s="220"/>
      <c r="BD256" s="220"/>
      <c r="BE256" s="220"/>
      <c r="BF256" s="220"/>
      <c r="BG256" s="220"/>
      <c r="BH256" s="220"/>
      <c r="BI256" s="220"/>
      <c r="BJ256" s="220"/>
      <c r="BK256" s="220"/>
      <c r="BL256" s="220"/>
      <c r="BM256" s="220"/>
      <c r="BN256" s="220"/>
      <c r="BO256" s="220"/>
      <c r="BP256" s="220"/>
      <c r="BQ256" s="220"/>
      <c r="BR256" s="1452"/>
      <c r="BS256" s="1302"/>
      <c r="BT256" s="1302"/>
      <c r="BU256" s="1302"/>
      <c r="BV256" s="1452"/>
      <c r="BW256" s="1302"/>
      <c r="BX256" s="1302"/>
      <c r="BY256" s="1302"/>
      <c r="BZ256" s="1452"/>
      <c r="CA256" s="1302"/>
      <c r="CB256" s="1302"/>
      <c r="CC256" s="1302"/>
      <c r="CD256" s="1452"/>
      <c r="CE256" s="1302"/>
      <c r="CF256" s="1302"/>
      <c r="CG256" s="1482"/>
      <c r="CH256" s="1452"/>
      <c r="CI256" s="1302"/>
      <c r="CJ256" s="1302"/>
      <c r="CK256" s="1482"/>
      <c r="CL256" s="1452"/>
      <c r="CM256" s="1302"/>
      <c r="CN256" s="1302"/>
      <c r="CO256" s="1302"/>
      <c r="CP256" s="1452"/>
      <c r="CQ256" s="1302"/>
      <c r="CR256" s="1302"/>
      <c r="CS256" s="1302"/>
      <c r="CT256" s="1452"/>
      <c r="CU256" s="1302"/>
      <c r="CV256" s="1302"/>
      <c r="CW256" s="1482"/>
      <c r="CX256" s="1452"/>
      <c r="CY256" s="1302"/>
      <c r="CZ256" s="1302"/>
      <c r="DA256" s="1302"/>
      <c r="DB256" s="1452"/>
      <c r="DC256" s="1302"/>
      <c r="DD256" s="1302"/>
      <c r="DE256" s="1302"/>
      <c r="DF256" s="1302"/>
      <c r="DG256" s="1302"/>
      <c r="DH256" s="1302"/>
      <c r="DI256" s="1302"/>
      <c r="DJ256" s="1302"/>
      <c r="DK256" s="1302"/>
      <c r="DL256" s="1302"/>
      <c r="DM256" s="1482"/>
      <c r="DN256" s="1482"/>
      <c r="DO256" s="1482"/>
      <c r="DP256" s="1482"/>
      <c r="DQ256" s="1482"/>
      <c r="DR256" s="1482"/>
      <c r="DS256" s="1482"/>
      <c r="DT256" s="1482"/>
      <c r="DU256" s="1482"/>
      <c r="DV256" s="1482"/>
      <c r="DW256" s="1482"/>
      <c r="DX256" s="1482"/>
      <c r="DY256" s="1482"/>
    </row>
    <row r="257" spans="1:130" ht="15" customHeight="1">
      <c r="A257" s="1603" t="s">
        <v>250</v>
      </c>
      <c r="B257" s="220"/>
      <c r="C257" s="220"/>
      <c r="D257" s="220"/>
      <c r="E257" s="220"/>
      <c r="F257" s="220"/>
      <c r="G257" s="220"/>
      <c r="H257" s="220"/>
      <c r="I257" s="220"/>
      <c r="J257" s="220"/>
      <c r="K257" s="220"/>
      <c r="L257" s="220">
        <f t="shared" ref="L257:Q257" si="393">L215</f>
        <v>3559</v>
      </c>
      <c r="M257" s="220">
        <f t="shared" si="393"/>
        <v>4975</v>
      </c>
      <c r="N257" s="220">
        <f t="shared" si="393"/>
        <v>6099</v>
      </c>
      <c r="O257" s="220">
        <f t="shared" si="393"/>
        <v>5640</v>
      </c>
      <c r="P257" s="220">
        <f t="shared" si="393"/>
        <v>5305</v>
      </c>
      <c r="Q257" s="1302">
        <f t="shared" si="393"/>
        <v>4874</v>
      </c>
      <c r="R257" s="220"/>
      <c r="S257" s="220"/>
      <c r="T257" s="1302"/>
      <c r="U257" s="1302"/>
      <c r="V257" s="220"/>
      <c r="W257" s="220"/>
      <c r="X257" s="220"/>
      <c r="Y257" s="220"/>
      <c r="Z257" s="220"/>
      <c r="AA257" s="1302"/>
      <c r="AB257" s="1302"/>
      <c r="AC257" s="1302"/>
      <c r="AD257" s="1302"/>
      <c r="AE257" s="1302"/>
      <c r="AF257" s="1302"/>
      <c r="AG257" s="1302"/>
      <c r="AH257" s="1952"/>
      <c r="AI257" s="606"/>
      <c r="AJ257" s="1952"/>
      <c r="AK257" s="220"/>
      <c r="AL257" s="220"/>
      <c r="AM257" s="220"/>
      <c r="AN257" s="220"/>
      <c r="AO257" s="220"/>
      <c r="AP257" s="220"/>
      <c r="AQ257" s="220"/>
      <c r="AR257" s="220"/>
      <c r="AS257" s="220"/>
      <c r="AT257" s="220"/>
      <c r="AU257" s="220"/>
      <c r="AV257" s="220"/>
      <c r="AW257" s="220"/>
      <c r="AX257" s="220"/>
      <c r="AY257" s="220"/>
      <c r="AZ257" s="220"/>
      <c r="BA257" s="220"/>
      <c r="BB257" s="220"/>
      <c r="BC257" s="220"/>
      <c r="BD257" s="220"/>
      <c r="BE257" s="220"/>
      <c r="BF257" s="220"/>
      <c r="BG257" s="220"/>
      <c r="BH257" s="220"/>
      <c r="BI257" s="220"/>
      <c r="BJ257" s="220"/>
      <c r="BK257" s="220"/>
      <c r="BL257" s="220"/>
      <c r="BM257" s="220"/>
      <c r="BN257" s="220"/>
      <c r="BO257" s="220"/>
      <c r="BP257" s="220"/>
      <c r="BQ257" s="220"/>
      <c r="BR257" s="1452">
        <f t="shared" ref="BR257:CP257" si="394">BR215</f>
        <v>2664</v>
      </c>
      <c r="BS257" s="1302">
        <f t="shared" si="394"/>
        <v>2944</v>
      </c>
      <c r="BT257" s="1302">
        <f t="shared" si="394"/>
        <v>3253</v>
      </c>
      <c r="BU257" s="1302">
        <f t="shared" si="394"/>
        <v>3559</v>
      </c>
      <c r="BV257" s="1452">
        <f t="shared" si="394"/>
        <v>3864</v>
      </c>
      <c r="BW257" s="1302">
        <f t="shared" si="394"/>
        <v>4142</v>
      </c>
      <c r="BX257" s="1302">
        <f t="shared" si="394"/>
        <v>4531</v>
      </c>
      <c r="BY257" s="1302">
        <f t="shared" si="394"/>
        <v>4975</v>
      </c>
      <c r="BZ257" s="1452">
        <f t="shared" si="394"/>
        <v>5269</v>
      </c>
      <c r="CA257" s="1302">
        <f t="shared" si="394"/>
        <v>5582</v>
      </c>
      <c r="CB257" s="1302">
        <f t="shared" si="394"/>
        <v>5868</v>
      </c>
      <c r="CC257" s="1302">
        <f t="shared" si="394"/>
        <v>6099</v>
      </c>
      <c r="CD257" s="1452">
        <f t="shared" si="394"/>
        <v>6337</v>
      </c>
      <c r="CE257" s="1302">
        <f t="shared" si="394"/>
        <v>6417</v>
      </c>
      <c r="CF257" s="1302">
        <f t="shared" si="394"/>
        <v>6470</v>
      </c>
      <c r="CG257" s="1482">
        <f t="shared" si="394"/>
        <v>5640</v>
      </c>
      <c r="CH257" s="1452">
        <f t="shared" si="394"/>
        <v>5615</v>
      </c>
      <c r="CI257" s="1302">
        <f t="shared" si="394"/>
        <v>5483</v>
      </c>
      <c r="CJ257" s="1302">
        <f t="shared" si="394"/>
        <v>5373.0186915887853</v>
      </c>
      <c r="CK257" s="1482">
        <f t="shared" si="394"/>
        <v>5305</v>
      </c>
      <c r="CL257" s="1452">
        <f t="shared" si="394"/>
        <v>5243</v>
      </c>
      <c r="CM257" s="1302">
        <f t="shared" si="394"/>
        <v>5122</v>
      </c>
      <c r="CN257" s="1302">
        <f t="shared" si="394"/>
        <v>4983</v>
      </c>
      <c r="CO257" s="1302">
        <f t="shared" si="394"/>
        <v>4874</v>
      </c>
      <c r="CP257" s="1452">
        <f t="shared" si="394"/>
        <v>4775</v>
      </c>
      <c r="CQ257" s="1302"/>
      <c r="CR257" s="1302"/>
      <c r="CS257" s="1302"/>
      <c r="CT257" s="1452"/>
      <c r="CU257" s="1302"/>
      <c r="CV257" s="1302"/>
      <c r="CW257" s="1482"/>
      <c r="CX257" s="1452"/>
      <c r="CY257" s="1302"/>
      <c r="CZ257" s="1302"/>
      <c r="DA257" s="1302"/>
      <c r="DB257" s="1452"/>
      <c r="DC257" s="1302"/>
      <c r="DD257" s="1302"/>
      <c r="DE257" s="1302"/>
      <c r="DF257" s="1302"/>
      <c r="DG257" s="1302"/>
      <c r="DH257" s="1302"/>
      <c r="DI257" s="1302"/>
      <c r="DJ257" s="1302"/>
      <c r="DK257" s="1302"/>
      <c r="DL257" s="1302"/>
      <c r="DM257" s="1482"/>
      <c r="DN257" s="1482"/>
      <c r="DO257" s="1482"/>
      <c r="DP257" s="1482"/>
      <c r="DQ257" s="1482"/>
      <c r="DR257" s="1482"/>
      <c r="DS257" s="1482"/>
      <c r="DT257" s="1482"/>
      <c r="DU257" s="1482"/>
      <c r="DV257" s="1482"/>
      <c r="DW257" s="1482"/>
      <c r="DX257" s="1482"/>
      <c r="DY257" s="1482"/>
    </row>
    <row r="258" spans="1:130" ht="15" customHeight="1">
      <c r="A258" s="1603" t="s">
        <v>251</v>
      </c>
      <c r="B258" s="572"/>
      <c r="C258" s="572"/>
      <c r="D258" s="572"/>
      <c r="E258" s="572"/>
      <c r="F258" s="572"/>
      <c r="G258" s="572"/>
      <c r="H258" s="572"/>
      <c r="I258" s="572"/>
      <c r="J258" s="572"/>
      <c r="K258" s="572"/>
      <c r="L258" s="572">
        <f>BU258</f>
        <v>9.9999999999999978E-2</v>
      </c>
      <c r="M258" s="572">
        <f>BY258</f>
        <v>9.9999999999999978E-2</v>
      </c>
      <c r="N258" s="572">
        <f>CC258</f>
        <v>9.9999999999999978E-2</v>
      </c>
      <c r="O258" s="572">
        <f>CG258</f>
        <v>9.9999999999999978E-2</v>
      </c>
      <c r="P258" s="572">
        <f>CK258</f>
        <v>9.9999999999999978E-2</v>
      </c>
      <c r="Q258" s="1227">
        <f>1-Q216</f>
        <v>9.9999999999999978E-2</v>
      </c>
      <c r="R258" s="572"/>
      <c r="S258" s="572"/>
      <c r="T258" s="1227"/>
      <c r="U258" s="1227"/>
      <c r="V258" s="572"/>
      <c r="W258" s="572"/>
      <c r="X258" s="572"/>
      <c r="Y258" s="572"/>
      <c r="Z258" s="572"/>
      <c r="AA258" s="1227"/>
      <c r="AB258" s="1227"/>
      <c r="AC258" s="1227"/>
      <c r="AD258" s="1227"/>
      <c r="AE258" s="1227"/>
      <c r="AF258" s="1227"/>
      <c r="AG258" s="1227"/>
      <c r="AH258" s="1973"/>
      <c r="AI258" s="606"/>
      <c r="AJ258" s="1973"/>
      <c r="AK258" s="572"/>
      <c r="AL258" s="572"/>
      <c r="AM258" s="572"/>
      <c r="AN258" s="572"/>
      <c r="AO258" s="572"/>
      <c r="AP258" s="572"/>
      <c r="AQ258" s="572"/>
      <c r="AR258" s="572"/>
      <c r="AS258" s="572"/>
      <c r="AT258" s="572"/>
      <c r="AU258" s="572"/>
      <c r="AV258" s="572"/>
      <c r="AW258" s="572"/>
      <c r="AX258" s="572"/>
      <c r="AY258" s="572"/>
      <c r="AZ258" s="572"/>
      <c r="BA258" s="572"/>
      <c r="BB258" s="572"/>
      <c r="BC258" s="572"/>
      <c r="BD258" s="572"/>
      <c r="BE258" s="572"/>
      <c r="BF258" s="572"/>
      <c r="BG258" s="572"/>
      <c r="BH258" s="572"/>
      <c r="BI258" s="572"/>
      <c r="BJ258" s="572"/>
      <c r="BK258" s="572"/>
      <c r="BL258" s="572"/>
      <c r="BM258" s="572"/>
      <c r="BN258" s="572"/>
      <c r="BO258" s="572"/>
      <c r="BP258" s="572"/>
      <c r="BQ258" s="572"/>
      <c r="BR258" s="574">
        <f t="shared" ref="BR258:CP258" si="395">1-BR216</f>
        <v>9.9999999999999978E-2</v>
      </c>
      <c r="BS258" s="1227">
        <f t="shared" si="395"/>
        <v>9.9999999999999978E-2</v>
      </c>
      <c r="BT258" s="1227">
        <f t="shared" si="395"/>
        <v>9.9999999999999978E-2</v>
      </c>
      <c r="BU258" s="1227">
        <f t="shared" si="395"/>
        <v>9.9999999999999978E-2</v>
      </c>
      <c r="BV258" s="574">
        <f t="shared" si="395"/>
        <v>9.9999999999999978E-2</v>
      </c>
      <c r="BW258" s="1227">
        <f t="shared" si="395"/>
        <v>9.9999999999999978E-2</v>
      </c>
      <c r="BX258" s="1227">
        <f t="shared" si="395"/>
        <v>9.9999999999999978E-2</v>
      </c>
      <c r="BY258" s="1227">
        <f t="shared" si="395"/>
        <v>9.9999999999999978E-2</v>
      </c>
      <c r="BZ258" s="574">
        <f t="shared" si="395"/>
        <v>9.9999999999999978E-2</v>
      </c>
      <c r="CA258" s="1227">
        <f t="shared" si="395"/>
        <v>9.9999999999999978E-2</v>
      </c>
      <c r="CB258" s="1227">
        <f t="shared" si="395"/>
        <v>9.9999999999999978E-2</v>
      </c>
      <c r="CC258" s="1227">
        <f t="shared" si="395"/>
        <v>9.9999999999999978E-2</v>
      </c>
      <c r="CD258" s="574">
        <f t="shared" si="395"/>
        <v>9.9999999999999978E-2</v>
      </c>
      <c r="CE258" s="1227">
        <f t="shared" si="395"/>
        <v>9.9999999999999978E-2</v>
      </c>
      <c r="CF258" s="1227">
        <f t="shared" si="395"/>
        <v>9.9999999999999978E-2</v>
      </c>
      <c r="CG258" s="575">
        <f t="shared" si="395"/>
        <v>9.9999999999999978E-2</v>
      </c>
      <c r="CH258" s="574">
        <f t="shared" si="395"/>
        <v>9.9999999999999978E-2</v>
      </c>
      <c r="CI258" s="1227">
        <f t="shared" si="395"/>
        <v>9.9999999999999978E-2</v>
      </c>
      <c r="CJ258" s="1227">
        <f t="shared" si="395"/>
        <v>9.9999999999999978E-2</v>
      </c>
      <c r="CK258" s="575">
        <f t="shared" si="395"/>
        <v>9.9999999999999978E-2</v>
      </c>
      <c r="CL258" s="574">
        <f t="shared" si="395"/>
        <v>9.9999999999999978E-2</v>
      </c>
      <c r="CM258" s="1227">
        <f t="shared" si="395"/>
        <v>9.9999999999999978E-2</v>
      </c>
      <c r="CN258" s="1227">
        <f t="shared" si="395"/>
        <v>9.9999999999999978E-2</v>
      </c>
      <c r="CO258" s="1227">
        <f t="shared" si="395"/>
        <v>9.9999999999999978E-2</v>
      </c>
      <c r="CP258" s="574">
        <f t="shared" si="395"/>
        <v>9.9999999999999978E-2</v>
      </c>
      <c r="CQ258" s="1227"/>
      <c r="CR258" s="1227"/>
      <c r="CS258" s="1227"/>
      <c r="CT258" s="574"/>
      <c r="CU258" s="1227"/>
      <c r="CV258" s="1227"/>
      <c r="CW258" s="575"/>
      <c r="CX258" s="574"/>
      <c r="CY258" s="1227"/>
      <c r="CZ258" s="1227"/>
      <c r="DA258" s="1227"/>
      <c r="DB258" s="574"/>
      <c r="DC258" s="1227"/>
      <c r="DD258" s="1227"/>
      <c r="DE258" s="1227"/>
      <c r="DF258" s="1227"/>
      <c r="DG258" s="1227"/>
      <c r="DH258" s="1227"/>
      <c r="DI258" s="1227"/>
      <c r="DJ258" s="1227"/>
      <c r="DK258" s="1227"/>
      <c r="DL258" s="1227"/>
      <c r="DM258" s="575"/>
      <c r="DN258" s="575"/>
      <c r="DO258" s="575"/>
      <c r="DP258" s="575"/>
      <c r="DQ258" s="575"/>
      <c r="DR258" s="575"/>
      <c r="DS258" s="575"/>
      <c r="DT258" s="575"/>
      <c r="DU258" s="575"/>
      <c r="DV258" s="575"/>
      <c r="DW258" s="575"/>
      <c r="DX258" s="575"/>
      <c r="DY258" s="575"/>
    </row>
    <row r="259" spans="1:130" ht="15" customHeight="1">
      <c r="A259" s="1603" t="s">
        <v>271</v>
      </c>
      <c r="B259" s="220"/>
      <c r="C259" s="220"/>
      <c r="D259" s="220"/>
      <c r="E259" s="220"/>
      <c r="F259" s="220"/>
      <c r="G259" s="220"/>
      <c r="H259" s="220"/>
      <c r="I259" s="220"/>
      <c r="J259" s="220"/>
      <c r="K259" s="220"/>
      <c r="L259" s="220">
        <f t="shared" ref="L259:Q259" si="396">L258*L257</f>
        <v>355.89999999999992</v>
      </c>
      <c r="M259" s="220">
        <f t="shared" si="396"/>
        <v>497.49999999999989</v>
      </c>
      <c r="N259" s="220">
        <f t="shared" si="396"/>
        <v>609.89999999999986</v>
      </c>
      <c r="O259" s="220">
        <f t="shared" si="396"/>
        <v>563.99999999999989</v>
      </c>
      <c r="P259" s="220">
        <f t="shared" si="396"/>
        <v>530.49999999999989</v>
      </c>
      <c r="Q259" s="1302">
        <f t="shared" si="396"/>
        <v>487.39999999999986</v>
      </c>
      <c r="R259" s="220"/>
      <c r="S259" s="220"/>
      <c r="T259" s="1302"/>
      <c r="U259" s="1302"/>
      <c r="V259" s="220"/>
      <c r="W259" s="220"/>
      <c r="X259" s="220"/>
      <c r="Y259" s="220"/>
      <c r="Z259" s="220"/>
      <c r="AA259" s="1302"/>
      <c r="AB259" s="1302"/>
      <c r="AC259" s="1302"/>
      <c r="AD259" s="1302"/>
      <c r="AE259" s="1302"/>
      <c r="AF259" s="1302"/>
      <c r="AG259" s="1302"/>
      <c r="AH259" s="1952"/>
      <c r="AI259" s="606"/>
      <c r="AJ259" s="1952"/>
      <c r="AK259" s="220"/>
      <c r="AL259" s="220"/>
      <c r="AM259" s="220"/>
      <c r="AN259" s="220"/>
      <c r="AO259" s="220"/>
      <c r="AP259" s="220"/>
      <c r="AQ259" s="220"/>
      <c r="AR259" s="220"/>
      <c r="AS259" s="220"/>
      <c r="AT259" s="220"/>
      <c r="AU259" s="220"/>
      <c r="AV259" s="220"/>
      <c r="AW259" s="220"/>
      <c r="AX259" s="220"/>
      <c r="AY259" s="220"/>
      <c r="AZ259" s="220"/>
      <c r="BA259" s="220"/>
      <c r="BB259" s="220"/>
      <c r="BC259" s="220"/>
      <c r="BD259" s="220"/>
      <c r="BE259" s="220"/>
      <c r="BF259" s="220"/>
      <c r="BG259" s="220"/>
      <c r="BH259" s="220"/>
      <c r="BI259" s="220"/>
      <c r="BJ259" s="220"/>
      <c r="BK259" s="220"/>
      <c r="BL259" s="220"/>
      <c r="BM259" s="220"/>
      <c r="BN259" s="220"/>
      <c r="BO259" s="220"/>
      <c r="BP259" s="220"/>
      <c r="BQ259" s="220"/>
      <c r="BR259" s="1452">
        <f t="shared" ref="BR259:CP259" si="397">BR258*BR257</f>
        <v>266.39999999999992</v>
      </c>
      <c r="BS259" s="1302">
        <f t="shared" si="397"/>
        <v>294.39999999999992</v>
      </c>
      <c r="BT259" s="1302">
        <f t="shared" si="397"/>
        <v>325.29999999999995</v>
      </c>
      <c r="BU259" s="1302">
        <f t="shared" si="397"/>
        <v>355.89999999999992</v>
      </c>
      <c r="BV259" s="1452">
        <f t="shared" si="397"/>
        <v>386.39999999999992</v>
      </c>
      <c r="BW259" s="1302">
        <f t="shared" si="397"/>
        <v>414.19999999999993</v>
      </c>
      <c r="BX259" s="1302">
        <f t="shared" si="397"/>
        <v>453.09999999999991</v>
      </c>
      <c r="BY259" s="1302">
        <f t="shared" si="397"/>
        <v>497.49999999999989</v>
      </c>
      <c r="BZ259" s="1452">
        <f t="shared" si="397"/>
        <v>526.89999999999986</v>
      </c>
      <c r="CA259" s="1302">
        <f t="shared" si="397"/>
        <v>558.19999999999993</v>
      </c>
      <c r="CB259" s="1302">
        <f t="shared" si="397"/>
        <v>586.79999999999984</v>
      </c>
      <c r="CC259" s="1302">
        <f t="shared" si="397"/>
        <v>609.89999999999986</v>
      </c>
      <c r="CD259" s="1452">
        <f t="shared" si="397"/>
        <v>633.69999999999982</v>
      </c>
      <c r="CE259" s="1302">
        <f t="shared" si="397"/>
        <v>641.69999999999982</v>
      </c>
      <c r="CF259" s="1302">
        <f t="shared" si="397"/>
        <v>646.99999999999989</v>
      </c>
      <c r="CG259" s="1482">
        <f t="shared" si="397"/>
        <v>563.99999999999989</v>
      </c>
      <c r="CH259" s="1452">
        <f t="shared" si="397"/>
        <v>561.49999999999989</v>
      </c>
      <c r="CI259" s="1302">
        <f t="shared" si="397"/>
        <v>548.29999999999984</v>
      </c>
      <c r="CJ259" s="1302">
        <f t="shared" si="397"/>
        <v>537.30186915887839</v>
      </c>
      <c r="CK259" s="1482">
        <f t="shared" si="397"/>
        <v>530.49999999999989</v>
      </c>
      <c r="CL259" s="1452">
        <f t="shared" si="397"/>
        <v>524.29999999999984</v>
      </c>
      <c r="CM259" s="1302">
        <f t="shared" si="397"/>
        <v>512.19999999999993</v>
      </c>
      <c r="CN259" s="1302">
        <f t="shared" si="397"/>
        <v>498.2999999999999</v>
      </c>
      <c r="CO259" s="1302">
        <f t="shared" si="397"/>
        <v>487.39999999999986</v>
      </c>
      <c r="CP259" s="1452">
        <f t="shared" si="397"/>
        <v>477.49999999999989</v>
      </c>
      <c r="CQ259" s="1302"/>
      <c r="CR259" s="1302"/>
      <c r="CS259" s="1302"/>
      <c r="CT259" s="1452"/>
      <c r="CU259" s="1302"/>
      <c r="CV259" s="1302"/>
      <c r="CW259" s="1482"/>
      <c r="CX259" s="1452"/>
      <c r="CY259" s="1302"/>
      <c r="CZ259" s="1302"/>
      <c r="DA259" s="1302"/>
      <c r="DB259" s="1452"/>
      <c r="DC259" s="1302"/>
      <c r="DD259" s="1302"/>
      <c r="DE259" s="1302"/>
      <c r="DF259" s="1302"/>
      <c r="DG259" s="1302"/>
      <c r="DH259" s="1302"/>
      <c r="DI259" s="1302"/>
      <c r="DJ259" s="1302"/>
      <c r="DK259" s="1302"/>
      <c r="DL259" s="1302"/>
      <c r="DM259" s="1482"/>
      <c r="DN259" s="1482"/>
      <c r="DO259" s="1482"/>
      <c r="DP259" s="1482"/>
      <c r="DQ259" s="1482"/>
      <c r="DR259" s="1482"/>
      <c r="DS259" s="1482"/>
      <c r="DT259" s="1482"/>
      <c r="DU259" s="1482"/>
      <c r="DV259" s="1482"/>
      <c r="DW259" s="1482"/>
      <c r="DX259" s="1482"/>
      <c r="DY259" s="1482"/>
    </row>
    <row r="260" spans="1:130" ht="15" customHeight="1">
      <c r="A260" s="1603" t="s">
        <v>272</v>
      </c>
      <c r="B260" s="220"/>
      <c r="C260" s="220"/>
      <c r="D260" s="220"/>
      <c r="E260" s="220"/>
      <c r="F260" s="220"/>
      <c r="G260" s="220"/>
      <c r="H260" s="220"/>
      <c r="I260" s="220"/>
      <c r="J260" s="220"/>
      <c r="K260" s="220"/>
      <c r="L260" s="220">
        <f>AVERAGE(BR260:BU260)</f>
        <v>299.31249999999989</v>
      </c>
      <c r="M260" s="220">
        <f>AVERAGE(BV260:BY260)</f>
        <v>420.09999999999991</v>
      </c>
      <c r="N260" s="220">
        <f>AVERAGE(BZ260:CC260)</f>
        <v>556.39999999999986</v>
      </c>
      <c r="O260" s="220">
        <f>AVERAGE(CD260:CG260)</f>
        <v>627.33749999999986</v>
      </c>
      <c r="P260" s="220">
        <f>AVERAGE(CH260:CK260)</f>
        <v>548.58796728971947</v>
      </c>
      <c r="Q260" s="1302">
        <f>AVERAGE(CL260:CO260)</f>
        <v>510.93749999999989</v>
      </c>
      <c r="R260" s="220"/>
      <c r="S260" s="220"/>
      <c r="T260" s="1302"/>
      <c r="U260" s="1302"/>
      <c r="V260" s="220"/>
      <c r="W260" s="220"/>
      <c r="X260" s="220"/>
      <c r="Y260" s="220"/>
      <c r="Z260" s="220"/>
      <c r="AA260" s="1302"/>
      <c r="AB260" s="1302"/>
      <c r="AC260" s="1302"/>
      <c r="AD260" s="1302"/>
      <c r="AE260" s="1302"/>
      <c r="AF260" s="1302"/>
      <c r="AG260" s="1302"/>
      <c r="AH260" s="1952"/>
      <c r="AI260" s="606"/>
      <c r="AJ260" s="1952"/>
      <c r="AK260" s="220"/>
      <c r="AL260" s="220"/>
      <c r="AM260" s="220"/>
      <c r="AN260" s="220"/>
      <c r="AO260" s="220"/>
      <c r="AP260" s="220"/>
      <c r="AQ260" s="220"/>
      <c r="AR260" s="220"/>
      <c r="AS260" s="220"/>
      <c r="AT260" s="220"/>
      <c r="AU260" s="220"/>
      <c r="AV260" s="220"/>
      <c r="AW260" s="220"/>
      <c r="AX260" s="220"/>
      <c r="AY260" s="220"/>
      <c r="AZ260" s="220"/>
      <c r="BA260" s="220"/>
      <c r="BB260" s="220"/>
      <c r="BC260" s="220"/>
      <c r="BD260" s="220"/>
      <c r="BE260" s="220"/>
      <c r="BF260" s="220"/>
      <c r="BG260" s="220"/>
      <c r="BH260" s="220"/>
      <c r="BI260" s="220"/>
      <c r="BJ260" s="220"/>
      <c r="BK260" s="220"/>
      <c r="BL260" s="220"/>
      <c r="BM260" s="220"/>
      <c r="BN260" s="220"/>
      <c r="BO260" s="220"/>
      <c r="BP260" s="220"/>
      <c r="BQ260" s="220"/>
      <c r="BR260" s="1452">
        <f>BR259</f>
        <v>266.39999999999992</v>
      </c>
      <c r="BS260" s="1302">
        <f t="shared" ref="BS260:CP260" si="398">AVERAGE(BR259:BS259)</f>
        <v>280.39999999999992</v>
      </c>
      <c r="BT260" s="1302">
        <f t="shared" si="398"/>
        <v>309.84999999999991</v>
      </c>
      <c r="BU260" s="1302">
        <f t="shared" si="398"/>
        <v>340.59999999999991</v>
      </c>
      <c r="BV260" s="1452">
        <f t="shared" si="398"/>
        <v>371.14999999999992</v>
      </c>
      <c r="BW260" s="1302">
        <f t="shared" si="398"/>
        <v>400.29999999999995</v>
      </c>
      <c r="BX260" s="1302">
        <f t="shared" si="398"/>
        <v>433.64999999999992</v>
      </c>
      <c r="BY260" s="1302">
        <f t="shared" si="398"/>
        <v>475.2999999999999</v>
      </c>
      <c r="BZ260" s="1452">
        <f t="shared" si="398"/>
        <v>512.19999999999982</v>
      </c>
      <c r="CA260" s="1302">
        <f t="shared" si="398"/>
        <v>542.54999999999995</v>
      </c>
      <c r="CB260" s="1302">
        <f t="shared" si="398"/>
        <v>572.49999999999989</v>
      </c>
      <c r="CC260" s="1302">
        <f t="shared" si="398"/>
        <v>598.34999999999991</v>
      </c>
      <c r="CD260" s="1452">
        <f t="shared" si="398"/>
        <v>621.79999999999984</v>
      </c>
      <c r="CE260" s="1302">
        <f t="shared" si="398"/>
        <v>637.69999999999982</v>
      </c>
      <c r="CF260" s="1302">
        <f t="shared" si="398"/>
        <v>644.34999999999991</v>
      </c>
      <c r="CG260" s="1482">
        <f t="shared" si="398"/>
        <v>605.49999999999989</v>
      </c>
      <c r="CH260" s="1452">
        <f t="shared" si="398"/>
        <v>562.74999999999989</v>
      </c>
      <c r="CI260" s="1302">
        <f t="shared" si="398"/>
        <v>554.89999999999986</v>
      </c>
      <c r="CJ260" s="1302">
        <f t="shared" si="398"/>
        <v>542.80093457943917</v>
      </c>
      <c r="CK260" s="1482">
        <f t="shared" si="398"/>
        <v>533.90093457943908</v>
      </c>
      <c r="CL260" s="1452">
        <f t="shared" si="398"/>
        <v>527.39999999999986</v>
      </c>
      <c r="CM260" s="1302">
        <f t="shared" si="398"/>
        <v>518.24999999999989</v>
      </c>
      <c r="CN260" s="1302">
        <f t="shared" si="398"/>
        <v>505.24999999999989</v>
      </c>
      <c r="CO260" s="1302">
        <f t="shared" si="398"/>
        <v>492.84999999999991</v>
      </c>
      <c r="CP260" s="1452">
        <f t="shared" si="398"/>
        <v>482.44999999999987</v>
      </c>
      <c r="CQ260" s="1302"/>
      <c r="CR260" s="1302"/>
      <c r="CS260" s="1302"/>
      <c r="CT260" s="1452"/>
      <c r="CU260" s="1302"/>
      <c r="CV260" s="1302"/>
      <c r="CW260" s="1482"/>
      <c r="CX260" s="1452"/>
      <c r="CY260" s="1302"/>
      <c r="CZ260" s="1302"/>
      <c r="DA260" s="1302"/>
      <c r="DB260" s="1452"/>
      <c r="DC260" s="1302"/>
      <c r="DD260" s="1302"/>
      <c r="DE260" s="1302"/>
      <c r="DF260" s="1302"/>
      <c r="DG260" s="1302"/>
      <c r="DH260" s="1302"/>
      <c r="DI260" s="1302"/>
      <c r="DJ260" s="1302"/>
      <c r="DK260" s="1302"/>
      <c r="DL260" s="1302"/>
      <c r="DM260" s="1482"/>
      <c r="DN260" s="1482"/>
      <c r="DO260" s="1482"/>
      <c r="DP260" s="1482"/>
      <c r="DQ260" s="1482"/>
      <c r="DR260" s="1482"/>
      <c r="DS260" s="1482"/>
      <c r="DT260" s="1482"/>
      <c r="DU260" s="1482"/>
      <c r="DV260" s="1482"/>
      <c r="DW260" s="1482"/>
      <c r="DX260" s="1482"/>
      <c r="DY260" s="1482"/>
    </row>
    <row r="261" spans="1:130" s="1342" customFormat="1" ht="15" customHeight="1">
      <c r="A261" s="1603" t="s">
        <v>254</v>
      </c>
      <c r="B261" s="2144"/>
      <c r="C261" s="2144"/>
      <c r="D261" s="2144"/>
      <c r="E261" s="2144"/>
      <c r="F261" s="2144"/>
      <c r="G261" s="2144"/>
      <c r="H261" s="2144"/>
      <c r="I261" s="2144"/>
      <c r="J261" s="2144"/>
      <c r="K261" s="2144"/>
      <c r="L261" s="2144">
        <f t="shared" ref="L261:Q261" si="399">(L262/12)/(L260/1000)</f>
        <v>35.000000000000007</v>
      </c>
      <c r="M261" s="2144">
        <f t="shared" si="399"/>
        <v>33.959616876934064</v>
      </c>
      <c r="N261" s="2144">
        <f t="shared" si="399"/>
        <v>34.131380301941057</v>
      </c>
      <c r="O261" s="2144">
        <f t="shared" si="399"/>
        <v>34.155069639548095</v>
      </c>
      <c r="P261" s="2144">
        <f t="shared" si="399"/>
        <v>33.455315352166934</v>
      </c>
      <c r="Q261" s="1341">
        <f t="shared" si="399"/>
        <v>33.46</v>
      </c>
      <c r="R261" s="1337"/>
      <c r="S261" s="1337"/>
      <c r="T261" s="1338"/>
      <c r="U261" s="1338"/>
      <c r="V261" s="1337"/>
      <c r="W261" s="1337"/>
      <c r="X261" s="1337"/>
      <c r="Y261" s="1337"/>
      <c r="Z261" s="1337"/>
      <c r="AA261" s="1338"/>
      <c r="AB261" s="1338"/>
      <c r="AC261" s="1338"/>
      <c r="AD261" s="1338"/>
      <c r="AE261" s="1338"/>
      <c r="AF261" s="1338"/>
      <c r="AG261" s="1338"/>
      <c r="AH261" s="1970"/>
      <c r="AI261" s="2458"/>
      <c r="AJ261" s="1970"/>
      <c r="AK261" s="2144"/>
      <c r="AL261" s="2144"/>
      <c r="AM261" s="2144"/>
      <c r="AN261" s="2144"/>
      <c r="AO261" s="2144"/>
      <c r="AP261" s="2144"/>
      <c r="AQ261" s="2144"/>
      <c r="AR261" s="2144"/>
      <c r="AS261" s="2144"/>
      <c r="AT261" s="2144"/>
      <c r="AU261" s="2144"/>
      <c r="AV261" s="2144"/>
      <c r="AW261" s="2144"/>
      <c r="AX261" s="2144"/>
      <c r="AY261" s="2144"/>
      <c r="AZ261" s="2144"/>
      <c r="BA261" s="2144"/>
      <c r="BB261" s="2144"/>
      <c r="BC261" s="2144"/>
      <c r="BD261" s="2144"/>
      <c r="BE261" s="2144"/>
      <c r="BF261" s="2144"/>
      <c r="BG261" s="2144"/>
      <c r="BH261" s="2144"/>
      <c r="BI261" s="2144"/>
      <c r="BJ261" s="2144"/>
      <c r="BK261" s="2144"/>
      <c r="BL261" s="2144"/>
      <c r="BM261" s="2144"/>
      <c r="BN261" s="2144"/>
      <c r="BO261" s="2144"/>
      <c r="BP261" s="2144"/>
      <c r="BQ261" s="2144"/>
      <c r="BR261" s="1350">
        <v>35</v>
      </c>
      <c r="BS261" s="1351">
        <f>BR261</f>
        <v>35</v>
      </c>
      <c r="BT261" s="1351">
        <f>BS261</f>
        <v>35</v>
      </c>
      <c r="BU261" s="1351">
        <f>BT261</f>
        <v>35</v>
      </c>
      <c r="BV261" s="1350">
        <f>BU261-1.05</f>
        <v>33.950000000000003</v>
      </c>
      <c r="BW261" s="1351">
        <f>BV261</f>
        <v>33.950000000000003</v>
      </c>
      <c r="BX261" s="1351">
        <f>BW261</f>
        <v>33.950000000000003</v>
      </c>
      <c r="BY261" s="1351">
        <v>33.984000000000002</v>
      </c>
      <c r="BZ261" s="1350">
        <v>33.6</v>
      </c>
      <c r="CA261" s="1351">
        <v>34.6</v>
      </c>
      <c r="CB261" s="1351">
        <f>CA261-0.3</f>
        <v>34.300000000000004</v>
      </c>
      <c r="CC261" s="1351">
        <f>CB261-0.3</f>
        <v>34.000000000000007</v>
      </c>
      <c r="CD261" s="1350">
        <f>0.995*CC261</f>
        <v>33.830000000000005</v>
      </c>
      <c r="CE261" s="1351">
        <v>33.6</v>
      </c>
      <c r="CF261" s="1351">
        <v>34.6</v>
      </c>
      <c r="CG261" s="1352">
        <v>34.6</v>
      </c>
      <c r="CH261" s="1350">
        <v>33.460435962029948</v>
      </c>
      <c r="CI261" s="1351">
        <v>33.460435962029898</v>
      </c>
      <c r="CJ261" s="1351">
        <v>33.450000000000003</v>
      </c>
      <c r="CK261" s="1352">
        <v>33.450000000000003</v>
      </c>
      <c r="CL261" s="1350">
        <v>33.46</v>
      </c>
      <c r="CM261" s="1351">
        <v>33.46</v>
      </c>
      <c r="CN261" s="1351">
        <v>33.46</v>
      </c>
      <c r="CO261" s="1351">
        <v>33.46</v>
      </c>
      <c r="CP261" s="1350">
        <v>33.46</v>
      </c>
      <c r="CQ261" s="1341"/>
      <c r="CR261" s="1341"/>
      <c r="CS261" s="1341"/>
      <c r="CT261" s="2459"/>
      <c r="CU261" s="1341"/>
      <c r="CV261" s="1341"/>
      <c r="CW261" s="2460"/>
      <c r="CX261" s="2459"/>
      <c r="CY261" s="1341"/>
      <c r="CZ261" s="1341"/>
      <c r="DA261" s="1341"/>
      <c r="DB261" s="2459"/>
      <c r="DC261" s="1341"/>
      <c r="DD261" s="1341"/>
      <c r="DE261" s="1341"/>
      <c r="DF261" s="1341"/>
      <c r="DG261" s="1341"/>
      <c r="DH261" s="1341"/>
      <c r="DI261" s="1341"/>
      <c r="DJ261" s="1341"/>
      <c r="DK261" s="1341"/>
      <c r="DL261" s="1341"/>
      <c r="DM261" s="2460"/>
      <c r="DN261" s="2460"/>
      <c r="DO261" s="2460"/>
      <c r="DP261" s="2460"/>
      <c r="DQ261" s="2460"/>
      <c r="DR261" s="2460"/>
      <c r="DS261" s="2460"/>
      <c r="DT261" s="2460"/>
      <c r="DU261" s="2460"/>
      <c r="DV261" s="2460"/>
      <c r="DW261" s="2460"/>
      <c r="DX261" s="2460"/>
      <c r="DY261" s="2460"/>
      <c r="DZ261" s="2144"/>
    </row>
    <row r="262" spans="1:130" ht="15" customHeight="1">
      <c r="A262" s="1603" t="s">
        <v>255</v>
      </c>
      <c r="B262" s="86"/>
      <c r="C262" s="86"/>
      <c r="D262" s="86"/>
      <c r="E262" s="86"/>
      <c r="F262" s="86"/>
      <c r="G262" s="86"/>
      <c r="H262" s="86"/>
      <c r="I262" s="86"/>
      <c r="J262" s="86"/>
      <c r="K262" s="86"/>
      <c r="L262" s="2462">
        <f>SUM(BR262:BU262)</f>
        <v>125.71124999999996</v>
      </c>
      <c r="M262" s="2462">
        <f>SUM(BV262:BY262)</f>
        <v>171.19722059999998</v>
      </c>
      <c r="N262" s="2462">
        <f>SUM(BZ262:CC262)</f>
        <v>227.88839999999999</v>
      </c>
      <c r="O262" s="2462">
        <f>SUM(CD262:CG262)</f>
        <v>257.12107199999997</v>
      </c>
      <c r="P262" s="2462">
        <f>SUM(CH262:CK262)</f>
        <v>220.23820132898163</v>
      </c>
      <c r="Q262" s="2463">
        <f>SUM(CL262:CO262)</f>
        <v>205.15162499999997</v>
      </c>
      <c r="R262" s="2462"/>
      <c r="S262" s="2462"/>
      <c r="T262" s="2463"/>
      <c r="U262" s="2463"/>
      <c r="V262" s="2462"/>
      <c r="W262" s="2462"/>
      <c r="X262" s="2462"/>
      <c r="Y262" s="2462"/>
      <c r="Z262" s="2462"/>
      <c r="AA262" s="2463"/>
      <c r="AB262" s="2463"/>
      <c r="AC262" s="2463"/>
      <c r="AD262" s="2463"/>
      <c r="AE262" s="2463"/>
      <c r="AF262" s="2463"/>
      <c r="AG262" s="2463"/>
      <c r="AH262" s="2464"/>
      <c r="AI262" s="606"/>
      <c r="AJ262" s="1947"/>
      <c r="AK262" s="86"/>
      <c r="AL262" s="86"/>
      <c r="AM262" s="86"/>
      <c r="AN262" s="86"/>
      <c r="AO262" s="86"/>
      <c r="AP262" s="86"/>
      <c r="AQ262" s="86"/>
      <c r="AR262" s="86"/>
      <c r="AS262" s="86"/>
      <c r="AT262" s="86"/>
      <c r="AU262" s="86"/>
      <c r="AV262" s="86"/>
      <c r="AW262" s="86"/>
      <c r="AX262" s="86"/>
      <c r="AY262" s="86"/>
      <c r="AZ262" s="86"/>
      <c r="BA262" s="86"/>
      <c r="BB262" s="86"/>
      <c r="BC262" s="86"/>
      <c r="BD262" s="86"/>
      <c r="BE262" s="86"/>
      <c r="BF262" s="86"/>
      <c r="BG262" s="86"/>
      <c r="BH262" s="86"/>
      <c r="BI262" s="86"/>
      <c r="BJ262" s="86"/>
      <c r="BK262" s="86"/>
      <c r="BL262" s="86"/>
      <c r="BM262" s="86"/>
      <c r="BN262" s="86"/>
      <c r="BO262" s="86"/>
      <c r="BP262" s="86"/>
      <c r="BQ262" s="86"/>
      <c r="BR262" s="2465">
        <f t="shared" ref="BR262:CP262" si="400">BR261*3*(BR260/1000)</f>
        <v>27.971999999999991</v>
      </c>
      <c r="BS262" s="2463">
        <f t="shared" si="400"/>
        <v>29.441999999999993</v>
      </c>
      <c r="BT262" s="2463">
        <f t="shared" si="400"/>
        <v>32.534249999999993</v>
      </c>
      <c r="BU262" s="2463">
        <f t="shared" si="400"/>
        <v>35.762999999999991</v>
      </c>
      <c r="BV262" s="2465">
        <f t="shared" si="400"/>
        <v>37.801627499999995</v>
      </c>
      <c r="BW262" s="2463">
        <f t="shared" si="400"/>
        <v>40.770554999999995</v>
      </c>
      <c r="BX262" s="2463">
        <f t="shared" si="400"/>
        <v>44.167252499999996</v>
      </c>
      <c r="BY262" s="2463">
        <f t="shared" si="400"/>
        <v>48.457785599999987</v>
      </c>
      <c r="BZ262" s="2465">
        <f t="shared" si="400"/>
        <v>51.629759999999983</v>
      </c>
      <c r="CA262" s="2463">
        <f t="shared" si="400"/>
        <v>56.316690000000001</v>
      </c>
      <c r="CB262" s="2463">
        <f t="shared" si="400"/>
        <v>58.910249999999991</v>
      </c>
      <c r="CC262" s="2463">
        <f t="shared" si="400"/>
        <v>61.031700000000008</v>
      </c>
      <c r="CD262" s="2465">
        <f t="shared" si="400"/>
        <v>63.106481999999986</v>
      </c>
      <c r="CE262" s="2463">
        <f t="shared" si="400"/>
        <v>64.280159999999995</v>
      </c>
      <c r="CF262" s="2463">
        <f t="shared" si="400"/>
        <v>66.883529999999993</v>
      </c>
      <c r="CG262" s="2466">
        <f t="shared" si="400"/>
        <v>62.850899999999996</v>
      </c>
      <c r="CH262" s="2465">
        <f t="shared" si="400"/>
        <v>56.489581012897048</v>
      </c>
      <c r="CI262" s="2463">
        <f t="shared" si="400"/>
        <v>55.701587745991162</v>
      </c>
      <c r="CJ262" s="2463">
        <f t="shared" si="400"/>
        <v>54.470073785046722</v>
      </c>
      <c r="CK262" s="2466">
        <f t="shared" si="400"/>
        <v>53.57695878504672</v>
      </c>
      <c r="CL262" s="2465">
        <f t="shared" si="400"/>
        <v>52.940411999999988</v>
      </c>
      <c r="CM262" s="2463">
        <f t="shared" si="400"/>
        <v>52.021934999999985</v>
      </c>
      <c r="CN262" s="2463">
        <f t="shared" si="400"/>
        <v>50.716994999999983</v>
      </c>
      <c r="CO262" s="2463">
        <f t="shared" si="400"/>
        <v>49.47228299999999</v>
      </c>
      <c r="CP262" s="2465">
        <f t="shared" si="400"/>
        <v>48.428330999999986</v>
      </c>
      <c r="CQ262" s="1064"/>
      <c r="CR262" s="1064"/>
      <c r="CS262" s="1064"/>
      <c r="CT262" s="569"/>
      <c r="CU262" s="1064"/>
      <c r="CV262" s="1064"/>
      <c r="CW262" s="568"/>
      <c r="CX262" s="569"/>
      <c r="CY262" s="1064"/>
      <c r="CZ262" s="1064"/>
      <c r="DA262" s="1064"/>
      <c r="DB262" s="569"/>
      <c r="DC262" s="1064"/>
      <c r="DD262" s="1064"/>
      <c r="DE262" s="1064"/>
      <c r="DF262" s="1064"/>
      <c r="DG262" s="1064"/>
      <c r="DH262" s="1064"/>
      <c r="DI262" s="1064"/>
      <c r="DJ262" s="1064"/>
      <c r="DK262" s="1064"/>
      <c r="DL262" s="1064"/>
      <c r="DM262" s="568"/>
      <c r="DN262" s="568"/>
      <c r="DO262" s="568"/>
      <c r="DP262" s="568"/>
      <c r="DQ262" s="568"/>
      <c r="DR262" s="568"/>
      <c r="DS262" s="568"/>
      <c r="DT262" s="568"/>
      <c r="DU262" s="568"/>
      <c r="DV262" s="568"/>
      <c r="DW262" s="568"/>
      <c r="DX262" s="568"/>
      <c r="DY262" s="568"/>
    </row>
    <row r="263" spans="1:130" ht="15" customHeight="1">
      <c r="A263" s="1603"/>
      <c r="B263" s="562"/>
      <c r="C263" s="562"/>
      <c r="D263" s="562"/>
      <c r="E263" s="562"/>
      <c r="F263" s="562"/>
      <c r="G263" s="562"/>
      <c r="H263" s="562"/>
      <c r="I263" s="562"/>
      <c r="J263" s="562"/>
      <c r="K263" s="562"/>
      <c r="L263" s="562"/>
      <c r="M263" s="562">
        <f>M262/L262-1</f>
        <v>0.36182895802881632</v>
      </c>
      <c r="N263" s="562">
        <f>N262/M262-1</f>
        <v>0.3311454426731506</v>
      </c>
      <c r="O263" s="562">
        <f>O262/N262-1</f>
        <v>0.12827626153854244</v>
      </c>
      <c r="P263" s="562">
        <f>P262/O262-1</f>
        <v>-0.14344553864888343</v>
      </c>
      <c r="Q263" s="1065">
        <f>Q262/P262-1</f>
        <v>-6.8501178441999877E-2</v>
      </c>
      <c r="R263" s="562"/>
      <c r="S263" s="562"/>
      <c r="T263" s="1065"/>
      <c r="U263" s="1065"/>
      <c r="V263" s="562"/>
      <c r="W263" s="562"/>
      <c r="X263" s="562"/>
      <c r="Y263" s="562"/>
      <c r="Z263" s="562"/>
      <c r="AA263" s="1065"/>
      <c r="AB263" s="1065"/>
      <c r="AC263" s="1065"/>
      <c r="AD263" s="1065"/>
      <c r="AE263" s="1065"/>
      <c r="AF263" s="1065"/>
      <c r="AG263" s="1065"/>
      <c r="AH263" s="1927"/>
      <c r="AI263" s="606"/>
      <c r="AJ263" s="1927"/>
      <c r="AK263" s="562"/>
      <c r="AL263" s="562"/>
      <c r="AM263" s="562"/>
      <c r="AN263" s="562"/>
      <c r="AO263" s="562"/>
      <c r="AP263" s="562"/>
      <c r="AQ263" s="562"/>
      <c r="AR263" s="562"/>
      <c r="AS263" s="562"/>
      <c r="AT263" s="562"/>
      <c r="AU263" s="562"/>
      <c r="AV263" s="562"/>
      <c r="AW263" s="562"/>
      <c r="AX263" s="562"/>
      <c r="AY263" s="562"/>
      <c r="AZ263" s="562"/>
      <c r="BA263" s="562"/>
      <c r="BB263" s="562"/>
      <c r="BC263" s="562"/>
      <c r="BD263" s="562"/>
      <c r="BE263" s="562"/>
      <c r="BF263" s="562"/>
      <c r="BG263" s="562"/>
      <c r="BH263" s="562"/>
      <c r="BI263" s="562"/>
      <c r="BJ263" s="562"/>
      <c r="BK263" s="562"/>
      <c r="BL263" s="562"/>
      <c r="BM263" s="562"/>
      <c r="BN263" s="562"/>
      <c r="BO263" s="562"/>
      <c r="BP263" s="562"/>
      <c r="BQ263" s="562"/>
      <c r="BR263" s="563"/>
      <c r="BS263" s="1065"/>
      <c r="BT263" s="1065"/>
      <c r="BU263" s="1065"/>
      <c r="BV263" s="563">
        <f t="shared" ref="BV263:CP263" si="401">BV262/BR262-1</f>
        <v>0.35140953453453472</v>
      </c>
      <c r="BW263" s="1065">
        <f t="shared" si="401"/>
        <v>0.38477532097004286</v>
      </c>
      <c r="BX263" s="1065">
        <f t="shared" si="401"/>
        <v>0.35756172341455561</v>
      </c>
      <c r="BY263" s="1065">
        <f t="shared" si="401"/>
        <v>0.35496981796829119</v>
      </c>
      <c r="BZ263" s="563">
        <f t="shared" si="401"/>
        <v>0.36580786105042673</v>
      </c>
      <c r="CA263" s="1065">
        <f t="shared" si="401"/>
        <v>0.38130790714033713</v>
      </c>
      <c r="CB263" s="1065">
        <f t="shared" si="401"/>
        <v>0.33379928941697234</v>
      </c>
      <c r="CC263" s="1065">
        <f t="shared" si="401"/>
        <v>0.25948181998642594</v>
      </c>
      <c r="CD263" s="563">
        <f t="shared" si="401"/>
        <v>0.22228888919878775</v>
      </c>
      <c r="CE263" s="1065">
        <f t="shared" si="401"/>
        <v>0.14140515005409582</v>
      </c>
      <c r="CF263" s="1065">
        <f t="shared" si="401"/>
        <v>0.13534622582657518</v>
      </c>
      <c r="CG263" s="564">
        <f t="shared" si="401"/>
        <v>2.9807460713039191E-2</v>
      </c>
      <c r="CH263" s="563">
        <f t="shared" si="401"/>
        <v>-0.10485295293600649</v>
      </c>
      <c r="CI263" s="1065">
        <f t="shared" si="401"/>
        <v>-0.1334559878819348</v>
      </c>
      <c r="CJ263" s="1065">
        <f t="shared" si="401"/>
        <v>-0.18559810187879244</v>
      </c>
      <c r="CK263" s="564">
        <f t="shared" si="401"/>
        <v>-0.14755462873170111</v>
      </c>
      <c r="CL263" s="563">
        <f t="shared" si="401"/>
        <v>-6.2828736720259126E-2</v>
      </c>
      <c r="CM263" s="1065">
        <f t="shared" si="401"/>
        <v>-6.6060105194326368E-2</v>
      </c>
      <c r="CN263" s="1065">
        <f t="shared" si="401"/>
        <v>-6.8901665157594216E-2</v>
      </c>
      <c r="CO263" s="1065">
        <f t="shared" si="401"/>
        <v>-7.6612705874457787E-2</v>
      </c>
      <c r="CP263" s="563">
        <f t="shared" si="401"/>
        <v>-8.5229427379598044E-2</v>
      </c>
      <c r="CQ263" s="1065"/>
      <c r="CR263" s="1065"/>
      <c r="CS263" s="1065"/>
      <c r="CT263" s="563"/>
      <c r="CU263" s="1065"/>
      <c r="CV263" s="1065"/>
      <c r="CW263" s="564"/>
      <c r="CX263" s="563"/>
      <c r="CY263" s="1065"/>
      <c r="CZ263" s="1065"/>
      <c r="DA263" s="1065"/>
      <c r="DB263" s="563"/>
      <c r="DC263" s="1065"/>
      <c r="DD263" s="1065"/>
      <c r="DE263" s="1065"/>
      <c r="DF263" s="1065"/>
      <c r="DG263" s="1065"/>
      <c r="DH263" s="1065"/>
      <c r="DI263" s="1065"/>
      <c r="DJ263" s="1065"/>
      <c r="DK263" s="1065"/>
      <c r="DL263" s="1065"/>
      <c r="DM263" s="564"/>
      <c r="DN263" s="564"/>
      <c r="DO263" s="564"/>
      <c r="DP263" s="564"/>
      <c r="DQ263" s="564"/>
      <c r="DR263" s="564"/>
      <c r="DS263" s="564"/>
      <c r="DT263" s="564"/>
      <c r="DU263" s="564"/>
      <c r="DV263" s="564"/>
      <c r="DW263" s="564"/>
      <c r="DX263" s="564"/>
      <c r="DY263" s="564"/>
    </row>
    <row r="264" spans="1:130" ht="15" customHeight="1">
      <c r="A264" s="1603"/>
      <c r="B264" s="86"/>
      <c r="C264" s="86"/>
      <c r="D264" s="86"/>
      <c r="E264" s="86"/>
      <c r="F264" s="86"/>
      <c r="G264" s="86"/>
      <c r="H264" s="86"/>
      <c r="I264" s="86"/>
      <c r="J264" s="86"/>
      <c r="K264" s="86"/>
      <c r="L264" s="86"/>
      <c r="M264" s="86"/>
      <c r="N264" s="86"/>
      <c r="O264" s="86"/>
      <c r="P264" s="86"/>
      <c r="Q264" s="1064"/>
      <c r="R264" s="86"/>
      <c r="S264" s="86"/>
      <c r="T264" s="1064"/>
      <c r="U264" s="1064"/>
      <c r="V264" s="86"/>
      <c r="W264" s="86"/>
      <c r="X264" s="86"/>
      <c r="Y264" s="86"/>
      <c r="Z264" s="86"/>
      <c r="AA264" s="1064"/>
      <c r="AB264" s="1064"/>
      <c r="AC264" s="1064"/>
      <c r="AD264" s="1064"/>
      <c r="AE264" s="1064"/>
      <c r="AF264" s="1064"/>
      <c r="AG264" s="1064"/>
      <c r="AH264" s="1947"/>
      <c r="AI264" s="606"/>
      <c r="AJ264" s="1947"/>
      <c r="AK264" s="86"/>
      <c r="AL264" s="86"/>
      <c r="AM264" s="86"/>
      <c r="AN264" s="86"/>
      <c r="AO264" s="86"/>
      <c r="AP264" s="86"/>
      <c r="AQ264" s="86"/>
      <c r="AR264" s="86"/>
      <c r="AS264" s="86"/>
      <c r="AT264" s="86"/>
      <c r="AU264" s="86"/>
      <c r="AV264" s="86"/>
      <c r="AW264" s="86"/>
      <c r="AX264" s="86"/>
      <c r="AY264" s="86"/>
      <c r="AZ264" s="86"/>
      <c r="BA264" s="86"/>
      <c r="BB264" s="86"/>
      <c r="BC264" s="86"/>
      <c r="BD264" s="86"/>
      <c r="BE264" s="86"/>
      <c r="BF264" s="86"/>
      <c r="BG264" s="86"/>
      <c r="BH264" s="86"/>
      <c r="BI264" s="86"/>
      <c r="BJ264" s="86"/>
      <c r="BK264" s="86"/>
      <c r="BL264" s="86"/>
      <c r="BM264" s="86"/>
      <c r="BN264" s="86"/>
      <c r="BO264" s="86"/>
      <c r="BP264" s="86"/>
      <c r="BQ264" s="86"/>
      <c r="BR264" s="569"/>
      <c r="BS264" s="1064"/>
      <c r="BT264" s="1064"/>
      <c r="BU264" s="1064"/>
      <c r="BV264" s="569"/>
      <c r="BW264" s="1064"/>
      <c r="BX264" s="1064"/>
      <c r="BY264" s="1064"/>
      <c r="BZ264" s="569"/>
      <c r="CA264" s="1064"/>
      <c r="CB264" s="1064"/>
      <c r="CC264" s="1064"/>
      <c r="CD264" s="569"/>
      <c r="CE264" s="1064"/>
      <c r="CF264" s="1064"/>
      <c r="CG264" s="568"/>
      <c r="CH264" s="569"/>
      <c r="CI264" s="1064"/>
      <c r="CJ264" s="1064"/>
      <c r="CK264" s="568"/>
      <c r="CL264" s="569"/>
      <c r="CM264" s="1064"/>
      <c r="CN264" s="1064"/>
      <c r="CO264" s="1064"/>
      <c r="CP264" s="569"/>
      <c r="CQ264" s="1064"/>
      <c r="CR264" s="1064"/>
      <c r="CS264" s="1064"/>
      <c r="CT264" s="569"/>
      <c r="CU264" s="1064"/>
      <c r="CV264" s="1064"/>
      <c r="CW264" s="568"/>
      <c r="CX264" s="569"/>
      <c r="CY264" s="1064"/>
      <c r="CZ264" s="1064"/>
      <c r="DA264" s="1064"/>
      <c r="DB264" s="569"/>
      <c r="DC264" s="1064"/>
      <c r="DD264" s="1064"/>
      <c r="DE264" s="1064"/>
      <c r="DF264" s="1064"/>
      <c r="DG264" s="1064"/>
      <c r="DH264" s="1064"/>
      <c r="DI264" s="1064"/>
      <c r="DJ264" s="1064"/>
      <c r="DK264" s="1064"/>
      <c r="DL264" s="1064"/>
      <c r="DM264" s="568"/>
      <c r="DN264" s="568"/>
      <c r="DO264" s="568"/>
      <c r="DP264" s="568"/>
      <c r="DQ264" s="568"/>
      <c r="DR264" s="568"/>
      <c r="DS264" s="568"/>
      <c r="DT264" s="568"/>
      <c r="DU264" s="568"/>
      <c r="DV264" s="568"/>
      <c r="DW264" s="568"/>
      <c r="DX264" s="568"/>
      <c r="DY264" s="568"/>
    </row>
    <row r="265" spans="1:130" ht="15" customHeight="1">
      <c r="A265" s="1603" t="s">
        <v>256</v>
      </c>
      <c r="B265" s="86"/>
      <c r="C265" s="86"/>
      <c r="D265" s="86"/>
      <c r="E265" s="86"/>
      <c r="F265" s="86"/>
      <c r="G265" s="86"/>
      <c r="H265" s="86"/>
      <c r="I265" s="86"/>
      <c r="J265" s="86"/>
      <c r="K265" s="86"/>
      <c r="L265" s="86"/>
      <c r="M265" s="86"/>
      <c r="N265" s="217">
        <f>SUM(BZ265:CC265)</f>
        <v>19.067999999999994</v>
      </c>
      <c r="O265" s="217">
        <f>SUM(CD265:CG265)</f>
        <v>51.10199999999999</v>
      </c>
      <c r="P265" s="217">
        <f>SUM(CH265:CK265)</f>
        <v>91.217999999999975</v>
      </c>
      <c r="Q265" s="1070">
        <f ca="1">SUM(CL265:CO265)</f>
        <v>288.42488066066625</v>
      </c>
      <c r="R265" s="217"/>
      <c r="S265" s="217"/>
      <c r="T265" s="1070"/>
      <c r="U265" s="1070"/>
      <c r="V265" s="217"/>
      <c r="W265" s="217"/>
      <c r="X265" s="217"/>
      <c r="Y265" s="217"/>
      <c r="Z265" s="217"/>
      <c r="AA265" s="1070"/>
      <c r="AB265" s="1070"/>
      <c r="AC265" s="1070"/>
      <c r="AD265" s="1070"/>
      <c r="AE265" s="1070"/>
      <c r="AF265" s="1070"/>
      <c r="AG265" s="1070"/>
      <c r="AH265" s="1947"/>
      <c r="AI265" s="606"/>
      <c r="AJ265" s="1947"/>
      <c r="AK265" s="86"/>
      <c r="AL265" s="86"/>
      <c r="AM265" s="86"/>
      <c r="AN265" s="86"/>
      <c r="AO265" s="86"/>
      <c r="AP265" s="86"/>
      <c r="AQ265" s="86"/>
      <c r="AR265" s="86"/>
      <c r="AS265" s="86"/>
      <c r="AT265" s="86"/>
      <c r="AU265" s="86"/>
      <c r="AV265" s="86"/>
      <c r="AW265" s="86"/>
      <c r="AX265" s="86"/>
      <c r="AY265" s="86"/>
      <c r="AZ265" s="86"/>
      <c r="BA265" s="86"/>
      <c r="BB265" s="86"/>
      <c r="BC265" s="86"/>
      <c r="BD265" s="86"/>
      <c r="BE265" s="86"/>
      <c r="BF265" s="86"/>
      <c r="BG265" s="86"/>
      <c r="BH265" s="86"/>
      <c r="BI265" s="86"/>
      <c r="BJ265" s="86"/>
      <c r="BK265" s="86"/>
      <c r="BL265" s="86"/>
      <c r="BM265" s="86"/>
      <c r="BN265" s="86"/>
      <c r="BO265" s="86"/>
      <c r="BP265" s="86"/>
      <c r="BQ265" s="86"/>
      <c r="BR265" s="569"/>
      <c r="BS265" s="1064"/>
      <c r="BT265" s="1064"/>
      <c r="BU265" s="1064"/>
      <c r="BV265" s="569"/>
      <c r="BW265" s="1064"/>
      <c r="BX265" s="1064"/>
      <c r="BY265" s="1064"/>
      <c r="BZ265" s="607">
        <f>BZ258*FiOS!BZ44</f>
        <v>2.5979999999999994</v>
      </c>
      <c r="CA265" s="1070">
        <f>CA258*FiOS!CA44</f>
        <v>3.8339999999999996</v>
      </c>
      <c r="CB265" s="1070">
        <f>CB258*FiOS!CB44</f>
        <v>5.3819999999999988</v>
      </c>
      <c r="CC265" s="1070">
        <f>CC258*FiOS!CC44</f>
        <v>7.2539999999999987</v>
      </c>
      <c r="CD265" s="607">
        <f>CD258*FiOS!CD44</f>
        <v>9.2399999999999984</v>
      </c>
      <c r="CE265" s="1070">
        <f>CE258*FiOS!CE44</f>
        <v>11.441999999999998</v>
      </c>
      <c r="CF265" s="1070">
        <f>CF258*FiOS!CF44</f>
        <v>14.009999999999996</v>
      </c>
      <c r="CG265" s="608">
        <f>CG258*FiOS!CG44</f>
        <v>16.409999999999997</v>
      </c>
      <c r="CH265" s="607">
        <f>CH258*FiOS!CH44</f>
        <v>18.953999999999994</v>
      </c>
      <c r="CI265" s="1070">
        <f>CI258*FiOS!CI44</f>
        <v>21.533999999999995</v>
      </c>
      <c r="CJ265" s="1070">
        <f>CJ258*FiOS!CJ44</f>
        <v>23.903999999999993</v>
      </c>
      <c r="CK265" s="608">
        <f>CK258*FiOS!CK44</f>
        <v>26.825999999999993</v>
      </c>
      <c r="CL265" s="607">
        <f>CL258*FiOS!CL44</f>
        <v>30.143999999999995</v>
      </c>
      <c r="CM265" s="1070">
        <f ca="1">CM258*FiOS!CM44</f>
        <v>79.04614137983998</v>
      </c>
      <c r="CN265" s="1070">
        <f>CN258*FiOS!CN44</f>
        <v>86.185200098793629</v>
      </c>
      <c r="CO265" s="1070">
        <f>CO258*FiOS!CO44</f>
        <v>93.049539182032632</v>
      </c>
      <c r="CP265" s="607">
        <f>CP258*FiOS!CP44</f>
        <v>99.073366093688051</v>
      </c>
      <c r="CQ265" s="1064"/>
      <c r="CR265" s="1064"/>
      <c r="CS265" s="1064"/>
      <c r="CT265" s="569"/>
      <c r="CU265" s="1064"/>
      <c r="CV265" s="1064"/>
      <c r="CW265" s="568"/>
      <c r="CX265" s="569"/>
      <c r="CY265" s="1064"/>
      <c r="CZ265" s="1064"/>
      <c r="DA265" s="1064"/>
      <c r="DB265" s="569"/>
      <c r="DC265" s="1064"/>
      <c r="DD265" s="1064"/>
      <c r="DE265" s="1064"/>
      <c r="DF265" s="1064"/>
      <c r="DG265" s="1064"/>
      <c r="DH265" s="1064"/>
      <c r="DI265" s="1064"/>
      <c r="DJ265" s="1064"/>
      <c r="DK265" s="1064"/>
      <c r="DL265" s="1064"/>
      <c r="DM265" s="568"/>
      <c r="DN265" s="568"/>
      <c r="DO265" s="568"/>
      <c r="DP265" s="568"/>
      <c r="DQ265" s="568"/>
      <c r="DR265" s="568"/>
      <c r="DS265" s="568"/>
      <c r="DT265" s="568"/>
      <c r="DU265" s="568"/>
      <c r="DV265" s="568"/>
      <c r="DW265" s="568"/>
      <c r="DX265" s="568"/>
      <c r="DY265" s="568"/>
    </row>
    <row r="266" spans="1:130" ht="15" customHeight="1">
      <c r="A266" s="1603" t="s">
        <v>834</v>
      </c>
      <c r="B266" s="562"/>
      <c r="C266" s="562"/>
      <c r="D266" s="562"/>
      <c r="E266" s="562"/>
      <c r="F266" s="562"/>
      <c r="G266" s="562"/>
      <c r="H266" s="562"/>
      <c r="I266" s="562"/>
      <c r="J266" s="562"/>
      <c r="K266" s="562"/>
      <c r="L266" s="562"/>
      <c r="M266" s="562"/>
      <c r="N266" s="562"/>
      <c r="O266" s="562">
        <f>O265/N265-1</f>
        <v>1.6799874134675901</v>
      </c>
      <c r="P266" s="562">
        <f>P265/O265-1</f>
        <v>0.78501819889632496</v>
      </c>
      <c r="Q266" s="1065">
        <f ca="1">Q265/P265-1</f>
        <v>2.1619294509928557</v>
      </c>
      <c r="R266" s="562"/>
      <c r="S266" s="562"/>
      <c r="T266" s="1065"/>
      <c r="U266" s="1065"/>
      <c r="V266" s="562"/>
      <c r="W266" s="562"/>
      <c r="X266" s="562"/>
      <c r="Y266" s="562"/>
      <c r="Z266" s="562"/>
      <c r="AA266" s="1065"/>
      <c r="AB266" s="1065"/>
      <c r="AC266" s="1065"/>
      <c r="AD266" s="1065"/>
      <c r="AE266" s="1065"/>
      <c r="AF266" s="1065"/>
      <c r="AG266" s="1065"/>
      <c r="AH266" s="1927"/>
      <c r="AI266" s="606"/>
      <c r="AJ266" s="1927"/>
      <c r="AK266" s="562"/>
      <c r="AL266" s="562"/>
      <c r="AM266" s="562"/>
      <c r="AN266" s="562"/>
      <c r="AO266" s="562"/>
      <c r="AP266" s="562"/>
      <c r="AQ266" s="562"/>
      <c r="AR266" s="562"/>
      <c r="AS266" s="562"/>
      <c r="AT266" s="562"/>
      <c r="AU266" s="562"/>
      <c r="AV266" s="562"/>
      <c r="AW266" s="562"/>
      <c r="AX266" s="562"/>
      <c r="AY266" s="562"/>
      <c r="AZ266" s="562"/>
      <c r="BA266" s="562"/>
      <c r="BB266" s="562"/>
      <c r="BC266" s="562"/>
      <c r="BD266" s="562"/>
      <c r="BE266" s="562"/>
      <c r="BF266" s="562"/>
      <c r="BG266" s="562"/>
      <c r="BH266" s="562"/>
      <c r="BI266" s="562"/>
      <c r="BJ266" s="562"/>
      <c r="BK266" s="562"/>
      <c r="BL266" s="562"/>
      <c r="BM266" s="562"/>
      <c r="BN266" s="562"/>
      <c r="BO266" s="562"/>
      <c r="BP266" s="562"/>
      <c r="BQ266" s="562"/>
      <c r="BR266" s="563"/>
      <c r="BS266" s="1065"/>
      <c r="BT266" s="1065"/>
      <c r="BU266" s="1065"/>
      <c r="BV266" s="563"/>
      <c r="BW266" s="1065"/>
      <c r="BX266" s="1065"/>
      <c r="BY266" s="1065"/>
      <c r="BZ266" s="563"/>
      <c r="CA266" s="1065"/>
      <c r="CB266" s="1065"/>
      <c r="CC266" s="1065"/>
      <c r="CD266" s="563"/>
      <c r="CE266" s="1065">
        <f t="shared" ref="CE266:CP266" si="402">CE265/CA265-1</f>
        <v>1.9843505477308292</v>
      </c>
      <c r="CF266" s="1065">
        <f t="shared" si="402"/>
        <v>1.6031215161649941</v>
      </c>
      <c r="CG266" s="564">
        <f t="shared" si="402"/>
        <v>1.262200165425972</v>
      </c>
      <c r="CH266" s="563">
        <f t="shared" si="402"/>
        <v>1.051298701298701</v>
      </c>
      <c r="CI266" s="1065">
        <f t="shared" si="402"/>
        <v>0.88201363398007326</v>
      </c>
      <c r="CJ266" s="1065">
        <f t="shared" si="402"/>
        <v>0.70620985010706638</v>
      </c>
      <c r="CK266" s="564">
        <f t="shared" si="402"/>
        <v>0.63473491773308943</v>
      </c>
      <c r="CL266" s="563">
        <f t="shared" si="402"/>
        <v>0.59037670148781296</v>
      </c>
      <c r="CM266" s="1065">
        <f t="shared" ca="1" si="402"/>
        <v>2.6707597928782389</v>
      </c>
      <c r="CN266" s="1065">
        <f t="shared" si="402"/>
        <v>2.605471891683135</v>
      </c>
      <c r="CO266" s="1065">
        <f t="shared" si="402"/>
        <v>2.4686326393063691</v>
      </c>
      <c r="CP266" s="563">
        <f t="shared" si="402"/>
        <v>2.2866695227470828</v>
      </c>
      <c r="CQ266" s="1065"/>
      <c r="CR266" s="1065"/>
      <c r="CS266" s="1065"/>
      <c r="CT266" s="563"/>
      <c r="CU266" s="1065"/>
      <c r="CV266" s="1065"/>
      <c r="CW266" s="564"/>
      <c r="CX266" s="563"/>
      <c r="CY266" s="1065"/>
      <c r="CZ266" s="1065"/>
      <c r="DA266" s="1065"/>
      <c r="DB266" s="563"/>
      <c r="DC266" s="1065"/>
      <c r="DD266" s="1065"/>
      <c r="DE266" s="1065"/>
      <c r="DF266" s="1065"/>
      <c r="DG266" s="1065"/>
      <c r="DH266" s="1065"/>
      <c r="DI266" s="1065"/>
      <c r="DJ266" s="1065"/>
      <c r="DK266" s="1065"/>
      <c r="DL266" s="1065"/>
      <c r="DM266" s="564"/>
      <c r="DN266" s="564"/>
      <c r="DO266" s="564"/>
      <c r="DP266" s="564"/>
      <c r="DQ266" s="564"/>
      <c r="DR266" s="564"/>
      <c r="DS266" s="564"/>
      <c r="DT266" s="564"/>
      <c r="DU266" s="564"/>
      <c r="DV266" s="564"/>
      <c r="DW266" s="564"/>
      <c r="DX266" s="564"/>
      <c r="DY266" s="564"/>
    </row>
    <row r="267" spans="1:130" ht="15" customHeight="1">
      <c r="A267" s="1603" t="s">
        <v>257</v>
      </c>
      <c r="B267" s="86"/>
      <c r="C267" s="86"/>
      <c r="D267" s="86"/>
      <c r="E267" s="86"/>
      <c r="F267" s="86"/>
      <c r="G267" s="86"/>
      <c r="H267" s="86"/>
      <c r="I267" s="86"/>
      <c r="J267" s="86"/>
      <c r="K267" s="86"/>
      <c r="L267" s="86"/>
      <c r="M267" s="86"/>
      <c r="N267" s="217">
        <f>SUM(BZ267:CC267)</f>
        <v>6.4364999999999988</v>
      </c>
      <c r="O267" s="217">
        <f>SUM(CD267:CG267)</f>
        <v>44.981999999999992</v>
      </c>
      <c r="P267" s="217">
        <f>SUM(CH267:CK267)</f>
        <v>113.8295684501818</v>
      </c>
      <c r="Q267" s="1070">
        <f ca="1">SUM(CL267:CO267)</f>
        <v>194.39926808144565</v>
      </c>
      <c r="R267" s="217"/>
      <c r="S267" s="217"/>
      <c r="T267" s="1070"/>
      <c r="U267" s="1070"/>
      <c r="V267" s="217"/>
      <c r="W267" s="217"/>
      <c r="X267" s="217"/>
      <c r="Y267" s="217"/>
      <c r="Z267" s="217"/>
      <c r="AA267" s="1070"/>
      <c r="AB267" s="1070"/>
      <c r="AC267" s="1070"/>
      <c r="AD267" s="1070"/>
      <c r="AE267" s="1070"/>
      <c r="AF267" s="1070"/>
      <c r="AG267" s="1070"/>
      <c r="AH267" s="1947"/>
      <c r="AI267" s="606"/>
      <c r="AJ267" s="1947"/>
      <c r="AK267" s="86"/>
      <c r="AL267" s="86"/>
      <c r="AM267" s="86"/>
      <c r="AN267" s="86"/>
      <c r="AO267" s="86"/>
      <c r="AP267" s="86"/>
      <c r="AQ267" s="86"/>
      <c r="AR267" s="86"/>
      <c r="AS267" s="86"/>
      <c r="AT267" s="86"/>
      <c r="AU267" s="86"/>
      <c r="AV267" s="86"/>
      <c r="AW267" s="86"/>
      <c r="AX267" s="86"/>
      <c r="AY267" s="86"/>
      <c r="AZ267" s="86"/>
      <c r="BA267" s="86"/>
      <c r="BB267" s="86"/>
      <c r="BC267" s="86"/>
      <c r="BD267" s="86"/>
      <c r="BE267" s="86"/>
      <c r="BF267" s="86"/>
      <c r="BG267" s="86"/>
      <c r="BH267" s="86"/>
      <c r="BI267" s="86"/>
      <c r="BJ267" s="86"/>
      <c r="BK267" s="86"/>
      <c r="BL267" s="86"/>
      <c r="BM267" s="86"/>
      <c r="BN267" s="86"/>
      <c r="BO267" s="86"/>
      <c r="BP267" s="86"/>
      <c r="BQ267" s="86"/>
      <c r="BR267" s="569"/>
      <c r="BS267" s="1064"/>
      <c r="BT267" s="1064"/>
      <c r="BU267" s="1064"/>
      <c r="BV267" s="569"/>
      <c r="BW267" s="1064"/>
      <c r="BX267" s="1064"/>
      <c r="BY267" s="1064"/>
      <c r="BZ267" s="607">
        <f>BZ258*FiOS!BZ91</f>
        <v>0.41999999999999993</v>
      </c>
      <c r="CA267" s="1070">
        <f>CA258*FiOS!CA91</f>
        <v>0.78749999999999987</v>
      </c>
      <c r="CB267" s="1070">
        <f>CB258*FiOS!CB91</f>
        <v>1.8164999999999996</v>
      </c>
      <c r="CC267" s="1070">
        <f>CC258*FiOS!CC91</f>
        <v>3.4124999999999992</v>
      </c>
      <c r="CD267" s="607">
        <f>CD258*FiOS!CD91</f>
        <v>5.8274999999999988</v>
      </c>
      <c r="CE267" s="1070">
        <f>CE258*FiOS!CE91</f>
        <v>9.061499999999997</v>
      </c>
      <c r="CF267" s="1070">
        <f>CF258*FiOS!CF91</f>
        <v>12.935999999999998</v>
      </c>
      <c r="CG267" s="608">
        <f>CG258*FiOS!CG91</f>
        <v>17.156999999999996</v>
      </c>
      <c r="CH267" s="607">
        <f>CH258*FiOS!CH91</f>
        <v>21.871499999999994</v>
      </c>
      <c r="CI267" s="1070">
        <f>CI258*FiOS!CI91</f>
        <v>26.263363636363636</v>
      </c>
      <c r="CJ267" s="1070">
        <f>CJ258*FiOS!CJ91</f>
        <v>30.232282181818174</v>
      </c>
      <c r="CK267" s="608">
        <f>CK258*FiOS!CK91</f>
        <v>35.462422631999985</v>
      </c>
      <c r="CL267" s="607">
        <f>CL258*FiOS!CL91</f>
        <v>41.28014874211199</v>
      </c>
      <c r="CM267" s="1070">
        <f ca="1">CM258*FiOS!CM91</f>
        <v>46.653858620160001</v>
      </c>
      <c r="CN267" s="1070">
        <f>CN258*FiOS!CN91</f>
        <v>51.614799901206347</v>
      </c>
      <c r="CO267" s="1070">
        <f>CO258*FiOS!CO91</f>
        <v>54.850460817967338</v>
      </c>
      <c r="CP267" s="607">
        <f>CP258*FiOS!CP91</f>
        <v>57.826633906311919</v>
      </c>
      <c r="CQ267" s="1064"/>
      <c r="CR267" s="1064"/>
      <c r="CS267" s="1064"/>
      <c r="CT267" s="569"/>
      <c r="CU267" s="1064"/>
      <c r="CV267" s="1064"/>
      <c r="CW267" s="568"/>
      <c r="CX267" s="569"/>
      <c r="CY267" s="1064"/>
      <c r="CZ267" s="1064"/>
      <c r="DA267" s="1064"/>
      <c r="DB267" s="569"/>
      <c r="DC267" s="1064"/>
      <c r="DD267" s="1064"/>
      <c r="DE267" s="1064"/>
      <c r="DF267" s="1064"/>
      <c r="DG267" s="1064"/>
      <c r="DH267" s="1064"/>
      <c r="DI267" s="1064"/>
      <c r="DJ267" s="1064"/>
      <c r="DK267" s="1064"/>
      <c r="DL267" s="1064"/>
      <c r="DM267" s="568"/>
      <c r="DN267" s="568"/>
      <c r="DO267" s="568"/>
      <c r="DP267" s="568"/>
      <c r="DQ267" s="568"/>
      <c r="DR267" s="568"/>
      <c r="DS267" s="568"/>
      <c r="DT267" s="568"/>
      <c r="DU267" s="568"/>
      <c r="DV267" s="568"/>
      <c r="DW267" s="568"/>
      <c r="DX267" s="568"/>
      <c r="DY267" s="568"/>
    </row>
    <row r="268" spans="1:130" ht="15" customHeight="1">
      <c r="A268" s="1603" t="s">
        <v>834</v>
      </c>
      <c r="B268" s="562"/>
      <c r="C268" s="562"/>
      <c r="D268" s="562"/>
      <c r="E268" s="562"/>
      <c r="F268" s="562"/>
      <c r="G268" s="562"/>
      <c r="H268" s="562"/>
      <c r="I268" s="562"/>
      <c r="J268" s="562"/>
      <c r="K268" s="562"/>
      <c r="L268" s="562"/>
      <c r="M268" s="562"/>
      <c r="N268" s="562"/>
      <c r="O268" s="562">
        <f>O267/N267-1</f>
        <v>5.9885807504078308</v>
      </c>
      <c r="P268" s="562">
        <f>P267/O267-1</f>
        <v>1.5305581888351298</v>
      </c>
      <c r="Q268" s="1065">
        <f ca="1">Q267/P267-1</f>
        <v>0.70780993662930092</v>
      </c>
      <c r="R268" s="562"/>
      <c r="S268" s="562"/>
      <c r="T268" s="1065"/>
      <c r="U268" s="1065"/>
      <c r="V268" s="562"/>
      <c r="W268" s="562"/>
      <c r="X268" s="562"/>
      <c r="Y268" s="562"/>
      <c r="Z268" s="562"/>
      <c r="AA268" s="1065"/>
      <c r="AB268" s="1065"/>
      <c r="AC268" s="1065"/>
      <c r="AD268" s="1065"/>
      <c r="AE268" s="1065"/>
      <c r="AF268" s="1065"/>
      <c r="AG268" s="1065"/>
      <c r="AH268" s="1927"/>
      <c r="AI268" s="606"/>
      <c r="AJ268" s="1927"/>
      <c r="AK268" s="562"/>
      <c r="AL268" s="562"/>
      <c r="AM268" s="562"/>
      <c r="AN268" s="562"/>
      <c r="AO268" s="562"/>
      <c r="AP268" s="562"/>
      <c r="AQ268" s="562"/>
      <c r="AR268" s="562"/>
      <c r="AS268" s="562"/>
      <c r="AT268" s="562"/>
      <c r="AU268" s="562"/>
      <c r="AV268" s="562"/>
      <c r="AW268" s="562"/>
      <c r="AX268" s="562"/>
      <c r="AY268" s="562"/>
      <c r="AZ268" s="562"/>
      <c r="BA268" s="562"/>
      <c r="BB268" s="562"/>
      <c r="BC268" s="562"/>
      <c r="BD268" s="562"/>
      <c r="BE268" s="562"/>
      <c r="BF268" s="562"/>
      <c r="BG268" s="562"/>
      <c r="BH268" s="562"/>
      <c r="BI268" s="562"/>
      <c r="BJ268" s="562"/>
      <c r="BK268" s="562"/>
      <c r="BL268" s="562"/>
      <c r="BM268" s="562"/>
      <c r="BN268" s="562"/>
      <c r="BO268" s="562"/>
      <c r="BP268" s="562"/>
      <c r="BQ268" s="562"/>
      <c r="BR268" s="563"/>
      <c r="BS268" s="1065"/>
      <c r="BT268" s="1065"/>
      <c r="BU268" s="1065"/>
      <c r="BV268" s="563"/>
      <c r="BW268" s="1065"/>
      <c r="BX268" s="1065"/>
      <c r="BY268" s="1065"/>
      <c r="BZ268" s="563"/>
      <c r="CA268" s="1065"/>
      <c r="CB268" s="1065"/>
      <c r="CC268" s="1065"/>
      <c r="CD268" s="563"/>
      <c r="CE268" s="1065">
        <f t="shared" ref="CE268:CP268" si="403">CE267/CA267-1</f>
        <v>10.506666666666664</v>
      </c>
      <c r="CF268" s="1065">
        <f t="shared" si="403"/>
        <v>6.1213872832369951</v>
      </c>
      <c r="CG268" s="564">
        <f t="shared" si="403"/>
        <v>4.0276923076923081</v>
      </c>
      <c r="CH268" s="563">
        <f t="shared" si="403"/>
        <v>2.753153153153153</v>
      </c>
      <c r="CI268" s="1065">
        <f t="shared" si="403"/>
        <v>1.8983461497945862</v>
      </c>
      <c r="CJ268" s="1065">
        <f t="shared" si="403"/>
        <v>1.3370657221566309</v>
      </c>
      <c r="CK268" s="564">
        <f t="shared" si="403"/>
        <v>1.0669360979192164</v>
      </c>
      <c r="CL268" s="563">
        <f t="shared" si="403"/>
        <v>0.88739449704464723</v>
      </c>
      <c r="CM268" s="1065">
        <f t="shared" ca="1" si="403"/>
        <v>0.77638551048214421</v>
      </c>
      <c r="CN268" s="1065">
        <f t="shared" si="403"/>
        <v>0.70727434967670777</v>
      </c>
      <c r="CO268" s="1065">
        <f t="shared" si="403"/>
        <v>0.5467206340401658</v>
      </c>
      <c r="CP268" s="563">
        <f t="shared" si="403"/>
        <v>0.40083395211510009</v>
      </c>
      <c r="CQ268" s="1065"/>
      <c r="CR268" s="1065"/>
      <c r="CS268" s="1065"/>
      <c r="CT268" s="563"/>
      <c r="CU268" s="1065"/>
      <c r="CV268" s="1065"/>
      <c r="CW268" s="564"/>
      <c r="CX268" s="563"/>
      <c r="CY268" s="1065"/>
      <c r="CZ268" s="1065"/>
      <c r="DA268" s="1065"/>
      <c r="DB268" s="563"/>
      <c r="DC268" s="1065"/>
      <c r="DD268" s="1065"/>
      <c r="DE268" s="1065"/>
      <c r="DF268" s="1065"/>
      <c r="DG268" s="1065"/>
      <c r="DH268" s="1065"/>
      <c r="DI268" s="1065"/>
      <c r="DJ268" s="1065"/>
      <c r="DK268" s="1065"/>
      <c r="DL268" s="1065"/>
      <c r="DM268" s="564"/>
      <c r="DN268" s="564"/>
      <c r="DO268" s="564"/>
      <c r="DP268" s="564"/>
      <c r="DQ268" s="564"/>
      <c r="DR268" s="564"/>
      <c r="DS268" s="564"/>
      <c r="DT268" s="564"/>
      <c r="DU268" s="564"/>
      <c r="DV268" s="564"/>
      <c r="DW268" s="564"/>
      <c r="DX268" s="564"/>
      <c r="DY268" s="564"/>
    </row>
    <row r="269" spans="1:130" ht="15" customHeight="1">
      <c r="A269" s="1603"/>
      <c r="B269" s="86"/>
      <c r="C269" s="86"/>
      <c r="D269" s="86"/>
      <c r="E269" s="86"/>
      <c r="F269" s="86"/>
      <c r="G269" s="86"/>
      <c r="H269" s="86"/>
      <c r="I269" s="86"/>
      <c r="J269" s="86"/>
      <c r="K269" s="86"/>
      <c r="L269" s="86"/>
      <c r="M269" s="86"/>
      <c r="N269" s="86"/>
      <c r="O269" s="86"/>
      <c r="P269" s="86"/>
      <c r="Q269" s="1064"/>
      <c r="R269" s="86"/>
      <c r="S269" s="86"/>
      <c r="T269" s="1064"/>
      <c r="U269" s="1064"/>
      <c r="V269" s="86"/>
      <c r="W269" s="86"/>
      <c r="X269" s="86"/>
      <c r="Y269" s="86"/>
      <c r="Z269" s="86"/>
      <c r="AA269" s="1064"/>
      <c r="AB269" s="1064"/>
      <c r="AC269" s="1064"/>
      <c r="AD269" s="1064"/>
      <c r="AE269" s="1064"/>
      <c r="AF269" s="1064"/>
      <c r="AG269" s="1064"/>
      <c r="AH269" s="1947"/>
      <c r="AI269" s="606"/>
      <c r="AJ269" s="1947"/>
      <c r="AK269" s="86"/>
      <c r="AL269" s="86"/>
      <c r="AM269" s="86"/>
      <c r="AN269" s="86"/>
      <c r="AO269" s="86"/>
      <c r="AP269" s="86"/>
      <c r="AQ269" s="86"/>
      <c r="AR269" s="86"/>
      <c r="AS269" s="86"/>
      <c r="AT269" s="86"/>
      <c r="AU269" s="86"/>
      <c r="AV269" s="86"/>
      <c r="AW269" s="86"/>
      <c r="AX269" s="86"/>
      <c r="AY269" s="86"/>
      <c r="AZ269" s="86"/>
      <c r="BA269" s="86"/>
      <c r="BB269" s="86"/>
      <c r="BC269" s="86"/>
      <c r="BD269" s="86"/>
      <c r="BE269" s="86"/>
      <c r="BF269" s="86"/>
      <c r="BG269" s="86"/>
      <c r="BH269" s="86"/>
      <c r="BI269" s="86"/>
      <c r="BJ269" s="86"/>
      <c r="BK269" s="86"/>
      <c r="BL269" s="86"/>
      <c r="BM269" s="86"/>
      <c r="BN269" s="86"/>
      <c r="BO269" s="86"/>
      <c r="BP269" s="86"/>
      <c r="BQ269" s="86"/>
      <c r="BR269" s="569"/>
      <c r="BS269" s="1064"/>
      <c r="BT269" s="1064"/>
      <c r="BU269" s="1064"/>
      <c r="BV269" s="569"/>
      <c r="BW269" s="1064"/>
      <c r="BX269" s="1064"/>
      <c r="BY269" s="1064"/>
      <c r="BZ269" s="569"/>
      <c r="CA269" s="1064"/>
      <c r="CB269" s="1064"/>
      <c r="CC269" s="1064"/>
      <c r="CD269" s="569"/>
      <c r="CE269" s="1064"/>
      <c r="CF269" s="1064"/>
      <c r="CG269" s="568"/>
      <c r="CH269" s="569"/>
      <c r="CI269" s="1064"/>
      <c r="CJ269" s="1064"/>
      <c r="CK269" s="568"/>
      <c r="CL269" s="569"/>
      <c r="CM269" s="1064"/>
      <c r="CN269" s="1064"/>
      <c r="CO269" s="1064"/>
      <c r="CP269" s="569"/>
      <c r="CQ269" s="1064"/>
      <c r="CR269" s="1064"/>
      <c r="CS269" s="1064"/>
      <c r="CT269" s="569"/>
      <c r="CU269" s="1064"/>
      <c r="CV269" s="1064"/>
      <c r="CW269" s="568"/>
      <c r="CX269" s="569"/>
      <c r="CY269" s="1064"/>
      <c r="CZ269" s="1064"/>
      <c r="DA269" s="1064"/>
      <c r="DB269" s="569"/>
      <c r="DC269" s="1064"/>
      <c r="DD269" s="1064"/>
      <c r="DE269" s="1064"/>
      <c r="DF269" s="1064"/>
      <c r="DG269" s="1064"/>
      <c r="DH269" s="1064"/>
      <c r="DI269" s="1064"/>
      <c r="DJ269" s="1064"/>
      <c r="DK269" s="1064"/>
      <c r="DL269" s="1064"/>
      <c r="DM269" s="568"/>
      <c r="DN269" s="568"/>
      <c r="DO269" s="568"/>
      <c r="DP269" s="568"/>
      <c r="DQ269" s="568"/>
      <c r="DR269" s="568"/>
      <c r="DS269" s="568"/>
      <c r="DT269" s="568"/>
      <c r="DU269" s="568"/>
      <c r="DV269" s="568"/>
      <c r="DW269" s="568"/>
      <c r="DX269" s="568"/>
      <c r="DY269" s="568"/>
    </row>
    <row r="270" spans="1:130" ht="15" customHeight="1">
      <c r="A270" s="1603" t="s">
        <v>273</v>
      </c>
      <c r="B270" s="86"/>
      <c r="C270" s="86"/>
      <c r="D270" s="86"/>
      <c r="E270" s="86"/>
      <c r="F270" s="86"/>
      <c r="G270" s="86"/>
      <c r="H270" s="86"/>
      <c r="I270" s="86"/>
      <c r="J270" s="86"/>
      <c r="K270" s="86"/>
      <c r="L270" s="86"/>
      <c r="M270" s="2462">
        <f>SUM(BV270:BY270)</f>
        <v>14408.802779400001</v>
      </c>
      <c r="N270" s="2462">
        <f>SUM(BZ270:CC270)</f>
        <v>14016.607100000001</v>
      </c>
      <c r="O270" s="2462">
        <f>SUM(CD270:CG270)</f>
        <v>14196.794927999999</v>
      </c>
      <c r="P270" s="2462">
        <f>SUM(CH270:CK270)</f>
        <v>13985.714230220836</v>
      </c>
      <c r="Q270" s="2463">
        <f>SUM(CL270:CO270)</f>
        <v>13373.596430530921</v>
      </c>
      <c r="R270" s="2462"/>
      <c r="S270" s="2462"/>
      <c r="T270" s="2463"/>
      <c r="U270" s="2463"/>
      <c r="V270" s="2462"/>
      <c r="W270" s="2462"/>
      <c r="X270" s="2462"/>
      <c r="Y270" s="2462"/>
      <c r="Z270" s="2462"/>
      <c r="AA270" s="2463"/>
      <c r="AB270" s="2463"/>
      <c r="AC270" s="2463"/>
      <c r="AD270" s="2463"/>
      <c r="AE270" s="2463"/>
      <c r="AF270" s="2463"/>
      <c r="AG270" s="2463"/>
      <c r="AH270" s="2464"/>
      <c r="AI270" s="606"/>
      <c r="AJ270" s="1947"/>
      <c r="AK270" s="86"/>
      <c r="AL270" s="86"/>
      <c r="AM270" s="86"/>
      <c r="AN270" s="86"/>
      <c r="AO270" s="86"/>
      <c r="AP270" s="86"/>
      <c r="AQ270" s="86"/>
      <c r="AR270" s="86"/>
      <c r="AS270" s="86"/>
      <c r="AT270" s="86"/>
      <c r="AU270" s="86"/>
      <c r="AV270" s="86"/>
      <c r="AW270" s="86"/>
      <c r="AX270" s="86"/>
      <c r="AY270" s="86"/>
      <c r="AZ270" s="86"/>
      <c r="BA270" s="86"/>
      <c r="BB270" s="86"/>
      <c r="BC270" s="86"/>
      <c r="BD270" s="86"/>
      <c r="BE270" s="86"/>
      <c r="BF270" s="86"/>
      <c r="BG270" s="86"/>
      <c r="BH270" s="86"/>
      <c r="BI270" s="86"/>
      <c r="BJ270" s="86"/>
      <c r="BK270" s="86"/>
      <c r="BL270" s="86"/>
      <c r="BM270" s="86"/>
      <c r="BN270" s="86"/>
      <c r="BO270" s="86"/>
      <c r="BP270" s="86"/>
      <c r="BQ270" s="86"/>
      <c r="BR270" s="2465"/>
      <c r="BS270" s="2463"/>
      <c r="BT270" s="2463"/>
      <c r="BU270" s="2463"/>
      <c r="BV270" s="2465">
        <f t="shared" ref="BV270:CK270" si="404">BV19-BV262-BV265-BV267</f>
        <v>3657.1983725</v>
      </c>
      <c r="BW270" s="2463">
        <f t="shared" si="404"/>
        <v>3658.2294449999999</v>
      </c>
      <c r="BX270" s="2463">
        <f t="shared" si="404"/>
        <v>3572.8327475000001</v>
      </c>
      <c r="BY270" s="2463">
        <f t="shared" si="404"/>
        <v>3520.5422143999999</v>
      </c>
      <c r="BZ270" s="2465">
        <f t="shared" si="404"/>
        <v>3399.3522400000002</v>
      </c>
      <c r="CA270" s="2463">
        <f t="shared" si="404"/>
        <v>3475.0618100000002</v>
      </c>
      <c r="CB270" s="2463">
        <f t="shared" si="404"/>
        <v>3530.8912500000001</v>
      </c>
      <c r="CC270" s="2463">
        <f t="shared" si="404"/>
        <v>3611.3018000000002</v>
      </c>
      <c r="CD270" s="2465">
        <f t="shared" si="404"/>
        <v>3459.8260180000002</v>
      </c>
      <c r="CE270" s="2463">
        <f t="shared" si="404"/>
        <v>3553.2163400000004</v>
      </c>
      <c r="CF270" s="2463">
        <f t="shared" si="404"/>
        <v>3592.1704699999996</v>
      </c>
      <c r="CG270" s="2466">
        <f t="shared" si="404"/>
        <v>3591.5821000000001</v>
      </c>
      <c r="CH270" s="2465">
        <f t="shared" si="404"/>
        <v>3438.6849189871027</v>
      </c>
      <c r="CI270" s="2463">
        <f t="shared" si="404"/>
        <v>3509.5010486176452</v>
      </c>
      <c r="CJ270" s="2463">
        <f t="shared" si="404"/>
        <v>3546.3936440331349</v>
      </c>
      <c r="CK270" s="2466">
        <f t="shared" si="404"/>
        <v>3491.134618582953</v>
      </c>
      <c r="CL270" s="2465">
        <f>CH270*(1+CL271)</f>
        <v>3301.1375222276183</v>
      </c>
      <c r="CM270" s="2463">
        <f>CI270*(1+CM271)</f>
        <v>3360.3472540513953</v>
      </c>
      <c r="CN270" s="2463">
        <f>CJ270*(1+CN271)</f>
        <v>3386.8059300516438</v>
      </c>
      <c r="CO270" s="2463">
        <f>CK270*(1+CO271)</f>
        <v>3325.3057242002628</v>
      </c>
      <c r="CP270" s="2465">
        <f>CL270*(1+CP271)</f>
        <v>3144.3334899218066</v>
      </c>
      <c r="CQ270" s="1064"/>
      <c r="CR270" s="1064"/>
      <c r="CS270" s="1064"/>
      <c r="CT270" s="569"/>
      <c r="CU270" s="1064"/>
      <c r="CV270" s="1064"/>
      <c r="CW270" s="568"/>
      <c r="CX270" s="569"/>
      <c r="CY270" s="1064"/>
      <c r="CZ270" s="1064"/>
      <c r="DA270" s="1064"/>
      <c r="DB270" s="569"/>
      <c r="DC270" s="1064"/>
      <c r="DD270" s="1064"/>
      <c r="DE270" s="1064"/>
      <c r="DF270" s="1064"/>
      <c r="DG270" s="1064"/>
      <c r="DH270" s="1064"/>
      <c r="DI270" s="1064"/>
      <c r="DJ270" s="1064"/>
      <c r="DK270" s="1064"/>
      <c r="DL270" s="1064"/>
      <c r="DM270" s="568"/>
      <c r="DN270" s="568"/>
      <c r="DO270" s="568"/>
      <c r="DP270" s="568"/>
      <c r="DQ270" s="568"/>
      <c r="DR270" s="568"/>
      <c r="DS270" s="568"/>
      <c r="DT270" s="568"/>
      <c r="DU270" s="568"/>
      <c r="DV270" s="568"/>
      <c r="DW270" s="568"/>
      <c r="DX270" s="568"/>
      <c r="DY270" s="568"/>
    </row>
    <row r="271" spans="1:130" ht="15" customHeight="1">
      <c r="A271" s="1603" t="s">
        <v>834</v>
      </c>
      <c r="B271" s="562"/>
      <c r="C271" s="562"/>
      <c r="D271" s="562"/>
      <c r="E271" s="562"/>
      <c r="F271" s="562"/>
      <c r="G271" s="562"/>
      <c r="H271" s="562"/>
      <c r="I271" s="562"/>
      <c r="J271" s="562"/>
      <c r="K271" s="562"/>
      <c r="L271" s="562"/>
      <c r="M271" s="562"/>
      <c r="N271" s="562">
        <f>N270/M270-1</f>
        <v>-2.7219171877396642E-2</v>
      </c>
      <c r="O271" s="562">
        <f>O270/N270-1</f>
        <v>1.2855309898784251E-2</v>
      </c>
      <c r="P271" s="562">
        <f>P270/O270-1</f>
        <v>-1.4868193761315429E-2</v>
      </c>
      <c r="Q271" s="1065">
        <f>Q270/P270-1</f>
        <v>-4.3767360723503734E-2</v>
      </c>
      <c r="R271" s="110"/>
      <c r="S271" s="110"/>
      <c r="T271" s="1059"/>
      <c r="U271" s="1059"/>
      <c r="V271" s="110"/>
      <c r="W271" s="110"/>
      <c r="X271" s="110"/>
      <c r="Y271" s="110"/>
      <c r="Z271" s="110"/>
      <c r="AA271" s="1059"/>
      <c r="AB271" s="1059"/>
      <c r="AC271" s="1059"/>
      <c r="AD271" s="1059"/>
      <c r="AE271" s="1059"/>
      <c r="AF271" s="1059"/>
      <c r="AG271" s="1059"/>
      <c r="AH271" s="1927"/>
      <c r="AI271" s="606"/>
      <c r="AJ271" s="1927"/>
      <c r="AK271" s="562"/>
      <c r="AL271" s="562"/>
      <c r="AM271" s="562"/>
      <c r="AN271" s="562"/>
      <c r="AO271" s="562"/>
      <c r="AP271" s="562"/>
      <c r="AQ271" s="562"/>
      <c r="AR271" s="562"/>
      <c r="AS271" s="562"/>
      <c r="AT271" s="562"/>
      <c r="AU271" s="562"/>
      <c r="AV271" s="562"/>
      <c r="AW271" s="562"/>
      <c r="AX271" s="562"/>
      <c r="AY271" s="562"/>
      <c r="AZ271" s="562"/>
      <c r="BA271" s="562"/>
      <c r="BB271" s="562"/>
      <c r="BC271" s="562"/>
      <c r="BD271" s="562"/>
      <c r="BE271" s="562"/>
      <c r="BF271" s="562"/>
      <c r="BG271" s="562"/>
      <c r="BH271" s="562"/>
      <c r="BI271" s="562"/>
      <c r="BJ271" s="562"/>
      <c r="BK271" s="562"/>
      <c r="BL271" s="562"/>
      <c r="BM271" s="562"/>
      <c r="BN271" s="562"/>
      <c r="BO271" s="562"/>
      <c r="BP271" s="562"/>
      <c r="BQ271" s="562"/>
      <c r="BR271" s="563"/>
      <c r="BS271" s="1065"/>
      <c r="BT271" s="1065"/>
      <c r="BU271" s="1065"/>
      <c r="BV271" s="563"/>
      <c r="BW271" s="1065"/>
      <c r="BX271" s="1065"/>
      <c r="BY271" s="1065"/>
      <c r="BZ271" s="563">
        <f t="shared" ref="BZ271:CK271" si="405">BZ270/BV270-1</f>
        <v>-7.0503731610199849E-2</v>
      </c>
      <c r="CA271" s="1065">
        <f t="shared" si="405"/>
        <v>-5.007002369694169E-2</v>
      </c>
      <c r="CB271" s="1065">
        <f t="shared" si="405"/>
        <v>-1.173900388406024E-2</v>
      </c>
      <c r="CC271" s="1065">
        <f t="shared" si="405"/>
        <v>2.5780002077171016E-2</v>
      </c>
      <c r="CD271" s="563">
        <f t="shared" si="405"/>
        <v>1.7789794563919603E-2</v>
      </c>
      <c r="CE271" s="1065">
        <f t="shared" si="405"/>
        <v>2.2490112197457668E-2</v>
      </c>
      <c r="CF271" s="1065">
        <f t="shared" si="405"/>
        <v>1.7355170596092151E-2</v>
      </c>
      <c r="CG271" s="564">
        <f t="shared" si="405"/>
        <v>-5.4605516492695072E-3</v>
      </c>
      <c r="CH271" s="563">
        <f t="shared" si="405"/>
        <v>-6.1104514801927357E-3</v>
      </c>
      <c r="CI271" s="1065">
        <f t="shared" si="405"/>
        <v>-1.2303019911913182E-2</v>
      </c>
      <c r="CJ271" s="1065">
        <f t="shared" si="405"/>
        <v>-1.2743500440519084E-2</v>
      </c>
      <c r="CK271" s="564">
        <f t="shared" si="405"/>
        <v>-2.7967474672804249E-2</v>
      </c>
      <c r="CL271" s="165">
        <v>-0.04</v>
      </c>
      <c r="CM271" s="1059">
        <v>-4.2500000000000003E-2</v>
      </c>
      <c r="CN271" s="1059">
        <v>-4.4999999999999998E-2</v>
      </c>
      <c r="CO271" s="1059">
        <v>-4.7500000000000001E-2</v>
      </c>
      <c r="CP271" s="165">
        <v>-4.7500000000000001E-2</v>
      </c>
      <c r="CQ271" s="1065"/>
      <c r="CR271" s="1065"/>
      <c r="CS271" s="1065"/>
      <c r="CT271" s="563"/>
      <c r="CU271" s="1065"/>
      <c r="CV271" s="1065"/>
      <c r="CW271" s="564"/>
      <c r="CX271" s="563"/>
      <c r="CY271" s="1065"/>
      <c r="CZ271" s="1065"/>
      <c r="DA271" s="1065"/>
      <c r="DB271" s="563"/>
      <c r="DC271" s="1065"/>
      <c r="DD271" s="1065"/>
      <c r="DE271" s="1065"/>
      <c r="DF271" s="1065"/>
      <c r="DG271" s="1065"/>
      <c r="DH271" s="1065"/>
      <c r="DI271" s="1065"/>
      <c r="DJ271" s="1065"/>
      <c r="DK271" s="1065"/>
      <c r="DL271" s="1065"/>
      <c r="DM271" s="564"/>
      <c r="DN271" s="564"/>
      <c r="DO271" s="564"/>
      <c r="DP271" s="564"/>
      <c r="DQ271" s="564"/>
      <c r="DR271" s="564"/>
      <c r="DS271" s="564"/>
      <c r="DT271" s="564"/>
      <c r="DU271" s="564"/>
      <c r="DV271" s="564"/>
      <c r="DW271" s="564"/>
      <c r="DX271" s="564"/>
      <c r="DY271" s="564"/>
    </row>
    <row r="272" spans="1:130" ht="15" customHeight="1">
      <c r="A272" s="1603"/>
      <c r="B272" s="86"/>
      <c r="C272" s="86"/>
      <c r="D272" s="86"/>
      <c r="E272" s="86"/>
      <c r="F272" s="86"/>
      <c r="G272" s="86"/>
      <c r="H272" s="86"/>
      <c r="I272" s="86"/>
      <c r="J272" s="86"/>
      <c r="K272" s="86"/>
      <c r="L272" s="86"/>
      <c r="M272" s="86"/>
      <c r="N272" s="86"/>
      <c r="O272" s="86"/>
      <c r="P272" s="86"/>
      <c r="Q272" s="1064"/>
      <c r="R272" s="86"/>
      <c r="S272" s="86"/>
      <c r="T272" s="1064"/>
      <c r="U272" s="1064"/>
      <c r="V272" s="86"/>
      <c r="W272" s="86"/>
      <c r="X272" s="86"/>
      <c r="Y272" s="86"/>
      <c r="Z272" s="86"/>
      <c r="AA272" s="1064"/>
      <c r="AB272" s="1064"/>
      <c r="AC272" s="1064"/>
      <c r="AD272" s="1064"/>
      <c r="AE272" s="1064"/>
      <c r="AF272" s="1064"/>
      <c r="AG272" s="1064"/>
      <c r="AH272" s="1947"/>
      <c r="AI272" s="606"/>
      <c r="AJ272" s="1947"/>
      <c r="AK272" s="86"/>
      <c r="AL272" s="86"/>
      <c r="AM272" s="86"/>
      <c r="AN272" s="86"/>
      <c r="AO272" s="86"/>
      <c r="AP272" s="86"/>
      <c r="AQ272" s="86"/>
      <c r="AR272" s="86"/>
      <c r="AS272" s="86"/>
      <c r="AT272" s="86"/>
      <c r="AU272" s="86"/>
      <c r="AV272" s="86"/>
      <c r="AW272" s="86"/>
      <c r="AX272" s="86"/>
      <c r="AY272" s="86"/>
      <c r="AZ272" s="86"/>
      <c r="BA272" s="86"/>
      <c r="BB272" s="86"/>
      <c r="BC272" s="86"/>
      <c r="BD272" s="86"/>
      <c r="BE272" s="86"/>
      <c r="BF272" s="86"/>
      <c r="BG272" s="86"/>
      <c r="BH272" s="86"/>
      <c r="BI272" s="86"/>
      <c r="BJ272" s="86"/>
      <c r="BK272" s="86"/>
      <c r="BL272" s="86"/>
      <c r="BM272" s="86"/>
      <c r="BN272" s="86"/>
      <c r="BO272" s="86"/>
      <c r="BP272" s="86"/>
      <c r="BQ272" s="86"/>
      <c r="BR272" s="569"/>
      <c r="BS272" s="1064"/>
      <c r="BT272" s="1064"/>
      <c r="BU272" s="1064"/>
      <c r="BV272" s="569"/>
      <c r="BW272" s="1064"/>
      <c r="BX272" s="1064"/>
      <c r="BY272" s="1064"/>
      <c r="BZ272" s="569"/>
      <c r="CA272" s="1064"/>
      <c r="CB272" s="1064"/>
      <c r="CC272" s="1064"/>
      <c r="CD272" s="569"/>
      <c r="CE272" s="1064"/>
      <c r="CF272" s="1064"/>
      <c r="CG272" s="568"/>
      <c r="CH272" s="569"/>
      <c r="CI272" s="1064"/>
      <c r="CJ272" s="1064"/>
      <c r="CK272" s="568"/>
      <c r="CL272" s="569"/>
      <c r="CM272" s="1064"/>
      <c r="CN272" s="1064"/>
      <c r="CO272" s="1064"/>
      <c r="CP272" s="569"/>
      <c r="CQ272" s="1064"/>
      <c r="CR272" s="1064"/>
      <c r="CS272" s="1064"/>
      <c r="CT272" s="569"/>
      <c r="CU272" s="1064"/>
      <c r="CV272" s="1064"/>
      <c r="CW272" s="568"/>
      <c r="CX272" s="569"/>
      <c r="CY272" s="1064"/>
      <c r="CZ272" s="1064"/>
      <c r="DA272" s="1064"/>
      <c r="DB272" s="569"/>
      <c r="DC272" s="1064"/>
      <c r="DD272" s="1064"/>
      <c r="DE272" s="1064"/>
      <c r="DF272" s="1064"/>
      <c r="DG272" s="1064"/>
      <c r="DH272" s="1064"/>
      <c r="DI272" s="1064"/>
      <c r="DJ272" s="1064"/>
      <c r="DK272" s="1064"/>
      <c r="DL272" s="1064"/>
      <c r="DM272" s="568"/>
      <c r="DN272" s="568"/>
      <c r="DO272" s="568"/>
      <c r="DP272" s="568"/>
      <c r="DQ272" s="568"/>
      <c r="DR272" s="568"/>
      <c r="DS272" s="568"/>
      <c r="DT272" s="568"/>
      <c r="DU272" s="568"/>
      <c r="DV272" s="568"/>
      <c r="DW272" s="568"/>
      <c r="DX272" s="568"/>
      <c r="DY272" s="568"/>
    </row>
    <row r="273" spans="1:130" ht="15" customHeight="1">
      <c r="A273" s="1595" t="s">
        <v>274</v>
      </c>
      <c r="B273" s="91"/>
      <c r="C273" s="91"/>
      <c r="D273" s="86"/>
      <c r="E273" s="86"/>
      <c r="F273" s="86"/>
      <c r="G273" s="86"/>
      <c r="H273" s="86"/>
      <c r="I273" s="86"/>
      <c r="J273" s="86"/>
      <c r="K273" s="86"/>
      <c r="L273" s="86"/>
      <c r="M273" s="604">
        <f>SUM(BV273:BY273)</f>
        <v>14580</v>
      </c>
      <c r="N273" s="604">
        <f>SUM(BZ273:CC273)</f>
        <v>14270</v>
      </c>
      <c r="O273" s="604">
        <f>SUM(CD273:CG273)</f>
        <v>14550</v>
      </c>
      <c r="P273" s="604">
        <f>SUM(CH273:CK273)</f>
        <v>14411</v>
      </c>
      <c r="Q273" s="1061">
        <f ca="1">SUM(CL273:CO273)</f>
        <v>14061.57220427303</v>
      </c>
      <c r="R273" s="604"/>
      <c r="S273" s="604"/>
      <c r="T273" s="1061"/>
      <c r="U273" s="1061"/>
      <c r="V273" s="604"/>
      <c r="W273" s="604"/>
      <c r="X273" s="604"/>
      <c r="Y273" s="604"/>
      <c r="Z273" s="604"/>
      <c r="AA273" s="1061"/>
      <c r="AB273" s="1061"/>
      <c r="AC273" s="1061"/>
      <c r="AD273" s="1061"/>
      <c r="AE273" s="1061"/>
      <c r="AF273" s="1061"/>
      <c r="AG273" s="1061"/>
      <c r="AH273" s="2464"/>
      <c r="AI273" s="606"/>
      <c r="AJ273" s="1947"/>
      <c r="AK273" s="86"/>
      <c r="AL273" s="86"/>
      <c r="AM273" s="86"/>
      <c r="AN273" s="86"/>
      <c r="AO273" s="86"/>
      <c r="AP273" s="86"/>
      <c r="AQ273" s="86"/>
      <c r="AR273" s="86"/>
      <c r="AS273" s="86"/>
      <c r="AT273" s="86"/>
      <c r="AU273" s="86"/>
      <c r="AV273" s="86"/>
      <c r="AW273" s="86"/>
      <c r="AX273" s="86"/>
      <c r="AY273" s="86"/>
      <c r="AZ273" s="86"/>
      <c r="BA273" s="86"/>
      <c r="BB273" s="86"/>
      <c r="BC273" s="86"/>
      <c r="BD273" s="86"/>
      <c r="BE273" s="86"/>
      <c r="BF273" s="86"/>
      <c r="BG273" s="86"/>
      <c r="BH273" s="86"/>
      <c r="BI273" s="86"/>
      <c r="BJ273" s="86"/>
      <c r="BK273" s="86"/>
      <c r="BL273" s="86"/>
      <c r="BM273" s="86"/>
      <c r="BN273" s="86"/>
      <c r="BO273" s="86"/>
      <c r="BP273" s="86"/>
      <c r="BQ273" s="86"/>
      <c r="BR273" s="569"/>
      <c r="BS273" s="1064"/>
      <c r="BT273" s="1064"/>
      <c r="BU273" s="1064"/>
      <c r="BV273" s="605">
        <f t="shared" ref="BV273:CP273" si="406">BV270+BV262+BV265+BV267</f>
        <v>3695</v>
      </c>
      <c r="BW273" s="1061">
        <f t="shared" si="406"/>
        <v>3699</v>
      </c>
      <c r="BX273" s="1061">
        <f t="shared" si="406"/>
        <v>3617</v>
      </c>
      <c r="BY273" s="1061">
        <f t="shared" si="406"/>
        <v>3569</v>
      </c>
      <c r="BZ273" s="605">
        <f t="shared" si="406"/>
        <v>3454</v>
      </c>
      <c r="CA273" s="1061">
        <f t="shared" si="406"/>
        <v>3536</v>
      </c>
      <c r="CB273" s="1061">
        <f t="shared" si="406"/>
        <v>3597</v>
      </c>
      <c r="CC273" s="1061">
        <f t="shared" si="406"/>
        <v>3683</v>
      </c>
      <c r="CD273" s="605">
        <f t="shared" si="406"/>
        <v>3538</v>
      </c>
      <c r="CE273" s="1061">
        <f t="shared" si="406"/>
        <v>3638</v>
      </c>
      <c r="CF273" s="1061">
        <f t="shared" si="406"/>
        <v>3686</v>
      </c>
      <c r="CG273" s="1309">
        <f t="shared" si="406"/>
        <v>3688</v>
      </c>
      <c r="CH273" s="605">
        <f t="shared" si="406"/>
        <v>3536</v>
      </c>
      <c r="CI273" s="1061">
        <f t="shared" si="406"/>
        <v>3613</v>
      </c>
      <c r="CJ273" s="1061">
        <f t="shared" si="406"/>
        <v>3655</v>
      </c>
      <c r="CK273" s="1309">
        <f t="shared" si="406"/>
        <v>3607</v>
      </c>
      <c r="CL273" s="605">
        <f t="shared" si="406"/>
        <v>3425.5020829697301</v>
      </c>
      <c r="CM273" s="1061">
        <f t="shared" ca="1" si="406"/>
        <v>3538.0691890513954</v>
      </c>
      <c r="CN273" s="1061">
        <f t="shared" si="406"/>
        <v>3575.3229250516438</v>
      </c>
      <c r="CO273" s="1061">
        <f t="shared" si="406"/>
        <v>3522.678007200263</v>
      </c>
      <c r="CP273" s="605">
        <f t="shared" si="406"/>
        <v>3349.6618209218068</v>
      </c>
      <c r="CQ273" s="1064"/>
      <c r="CR273" s="1064"/>
      <c r="CS273" s="1064"/>
      <c r="CT273" s="569"/>
      <c r="CU273" s="1064"/>
      <c r="CV273" s="1064"/>
      <c r="CW273" s="568"/>
      <c r="CX273" s="569"/>
      <c r="CY273" s="1064"/>
      <c r="CZ273" s="1064"/>
      <c r="DA273" s="1064"/>
      <c r="DB273" s="569"/>
      <c r="DC273" s="1064"/>
      <c r="DD273" s="1064"/>
      <c r="DE273" s="1064"/>
      <c r="DF273" s="1064"/>
      <c r="DG273" s="1064"/>
      <c r="DH273" s="1064"/>
      <c r="DI273" s="1064"/>
      <c r="DJ273" s="1064"/>
      <c r="DK273" s="1064"/>
      <c r="DL273" s="1064"/>
      <c r="DM273" s="568"/>
      <c r="DN273" s="568"/>
      <c r="DO273" s="568"/>
      <c r="DP273" s="568"/>
      <c r="DQ273" s="568"/>
      <c r="DR273" s="568"/>
      <c r="DS273" s="568"/>
      <c r="DT273" s="568"/>
      <c r="DU273" s="568"/>
      <c r="DV273" s="568"/>
      <c r="DW273" s="568"/>
      <c r="DX273" s="568"/>
      <c r="DY273" s="568"/>
    </row>
    <row r="274" spans="1:130" ht="15" customHeight="1">
      <c r="A274" s="1603" t="s">
        <v>834</v>
      </c>
      <c r="B274" s="562"/>
      <c r="C274" s="562"/>
      <c r="D274" s="562"/>
      <c r="E274" s="562"/>
      <c r="F274" s="562"/>
      <c r="G274" s="562"/>
      <c r="H274" s="562"/>
      <c r="I274" s="562"/>
      <c r="J274" s="562"/>
      <c r="K274" s="562"/>
      <c r="L274" s="562"/>
      <c r="M274" s="562"/>
      <c r="N274" s="562">
        <f>N273/M273-1</f>
        <v>-2.1262002743484221E-2</v>
      </c>
      <c r="O274" s="562">
        <f>O273/N273-1</f>
        <v>1.9621583742116311E-2</v>
      </c>
      <c r="P274" s="562">
        <f>P273/O273-1</f>
        <v>-9.5532646048109848E-3</v>
      </c>
      <c r="Q274" s="1065">
        <f ca="1">Q273/P273-1</f>
        <v>-2.4247296907013327E-2</v>
      </c>
      <c r="R274" s="562"/>
      <c r="S274" s="562"/>
      <c r="T274" s="1065"/>
      <c r="U274" s="1065"/>
      <c r="V274" s="562"/>
      <c r="W274" s="562"/>
      <c r="X274" s="562"/>
      <c r="Y274" s="562"/>
      <c r="Z274" s="562"/>
      <c r="AA274" s="1065"/>
      <c r="AB274" s="1065"/>
      <c r="AC274" s="1065"/>
      <c r="AD274" s="1065"/>
      <c r="AE274" s="1065"/>
      <c r="AF274" s="1065"/>
      <c r="AG274" s="1065"/>
      <c r="AH274" s="1927"/>
      <c r="AI274" s="606"/>
      <c r="AJ274" s="1927"/>
      <c r="AK274" s="562"/>
      <c r="AL274" s="562"/>
      <c r="AM274" s="562"/>
      <c r="AN274" s="562"/>
      <c r="AO274" s="562"/>
      <c r="AP274" s="562"/>
      <c r="AQ274" s="562"/>
      <c r="AR274" s="562"/>
      <c r="AS274" s="562"/>
      <c r="AT274" s="562"/>
      <c r="AU274" s="562"/>
      <c r="AV274" s="562"/>
      <c r="AW274" s="562"/>
      <c r="AX274" s="562"/>
      <c r="AY274" s="562"/>
      <c r="AZ274" s="562"/>
      <c r="BA274" s="562"/>
      <c r="BB274" s="562"/>
      <c r="BC274" s="562"/>
      <c r="BD274" s="562"/>
      <c r="BE274" s="562"/>
      <c r="BF274" s="562"/>
      <c r="BG274" s="562"/>
      <c r="BH274" s="562"/>
      <c r="BI274" s="562"/>
      <c r="BJ274" s="562"/>
      <c r="BK274" s="562"/>
      <c r="BL274" s="562"/>
      <c r="BM274" s="562"/>
      <c r="BN274" s="562"/>
      <c r="BO274" s="562"/>
      <c r="BP274" s="562"/>
      <c r="BQ274" s="562"/>
      <c r="BR274" s="563"/>
      <c r="BS274" s="1065"/>
      <c r="BT274" s="1065"/>
      <c r="BU274" s="1065"/>
      <c r="BV274" s="563"/>
      <c r="BW274" s="1065"/>
      <c r="BX274" s="1065"/>
      <c r="BY274" s="1065"/>
      <c r="BZ274" s="563">
        <f t="shared" ref="BZ274:CP274" si="407">BZ273/BV273-1</f>
        <v>-6.5223274695534461E-2</v>
      </c>
      <c r="CA274" s="1065">
        <f t="shared" si="407"/>
        <v>-4.4065963773992967E-2</v>
      </c>
      <c r="CB274" s="1065">
        <f t="shared" si="407"/>
        <v>-5.529444290848784E-3</v>
      </c>
      <c r="CC274" s="1065">
        <f t="shared" si="407"/>
        <v>3.1941720369851545E-2</v>
      </c>
      <c r="CD274" s="563">
        <f t="shared" si="407"/>
        <v>2.4319629415170851E-2</v>
      </c>
      <c r="CE274" s="1065">
        <f t="shared" si="407"/>
        <v>2.8846153846153744E-2</v>
      </c>
      <c r="CF274" s="1065">
        <f t="shared" si="407"/>
        <v>2.4742841256602643E-2</v>
      </c>
      <c r="CG274" s="564">
        <f t="shared" si="407"/>
        <v>1.357588922074493E-3</v>
      </c>
      <c r="CH274" s="563">
        <f t="shared" si="407"/>
        <v>-5.6529112492931244E-4</v>
      </c>
      <c r="CI274" s="1065">
        <f t="shared" si="407"/>
        <v>-6.8719076415613145E-3</v>
      </c>
      <c r="CJ274" s="1065">
        <f t="shared" si="407"/>
        <v>-8.4102007596310591E-3</v>
      </c>
      <c r="CK274" s="564">
        <f t="shared" si="407"/>
        <v>-2.1963123644251681E-2</v>
      </c>
      <c r="CL274" s="563">
        <f t="shared" si="407"/>
        <v>-3.1249410924850118E-2</v>
      </c>
      <c r="CM274" s="1065">
        <f t="shared" ca="1" si="407"/>
        <v>-2.073922251552851E-2</v>
      </c>
      <c r="CN274" s="1065">
        <f t="shared" si="407"/>
        <v>-2.1799473310083806E-2</v>
      </c>
      <c r="CO274" s="1065">
        <f t="shared" si="407"/>
        <v>-2.3377319877942115E-2</v>
      </c>
      <c r="CP274" s="563">
        <f t="shared" si="407"/>
        <v>-2.2139896637334289E-2</v>
      </c>
      <c r="CQ274" s="1065"/>
      <c r="CR274" s="1065"/>
      <c r="CS274" s="1065"/>
      <c r="CT274" s="563"/>
      <c r="CU274" s="1065"/>
      <c r="CV274" s="1065"/>
      <c r="CW274" s="564"/>
      <c r="CX274" s="563"/>
      <c r="CY274" s="1065"/>
      <c r="CZ274" s="1065"/>
      <c r="DA274" s="1065"/>
      <c r="DB274" s="563"/>
      <c r="DC274" s="1065"/>
      <c r="DD274" s="1065"/>
      <c r="DE274" s="1065"/>
      <c r="DF274" s="1065"/>
      <c r="DG274" s="1065"/>
      <c r="DH274" s="1065"/>
      <c r="DI274" s="1065"/>
      <c r="DJ274" s="1065"/>
      <c r="DK274" s="1065"/>
      <c r="DL274" s="1065"/>
      <c r="DM274" s="564"/>
      <c r="DN274" s="564"/>
      <c r="DO274" s="564"/>
      <c r="DP274" s="564"/>
      <c r="DQ274" s="564"/>
      <c r="DR274" s="564"/>
      <c r="DS274" s="564"/>
      <c r="DT274" s="564"/>
      <c r="DU274" s="564"/>
      <c r="DV274" s="564"/>
      <c r="DW274" s="564"/>
      <c r="DX274" s="564"/>
      <c r="DY274" s="564"/>
    </row>
    <row r="275" spans="1:130" ht="15" customHeight="1">
      <c r="A275" s="1605" t="s">
        <v>228</v>
      </c>
      <c r="B275" s="86"/>
      <c r="C275" s="86"/>
      <c r="D275" s="86"/>
      <c r="E275" s="86"/>
      <c r="F275" s="86"/>
      <c r="G275" s="86"/>
      <c r="H275" s="86"/>
      <c r="I275" s="86"/>
      <c r="J275" s="86"/>
      <c r="K275" s="86"/>
      <c r="L275" s="86"/>
      <c r="M275" s="86"/>
      <c r="N275" s="86"/>
      <c r="O275" s="86"/>
      <c r="P275" s="86"/>
      <c r="Q275" s="1064"/>
      <c r="R275" s="86"/>
      <c r="S275" s="86"/>
      <c r="T275" s="1064"/>
      <c r="U275" s="1064"/>
      <c r="V275" s="86"/>
      <c r="W275" s="86"/>
      <c r="X275" s="86"/>
      <c r="Y275" s="86"/>
      <c r="Z275" s="86"/>
      <c r="AA275" s="1064"/>
      <c r="AB275" s="1064"/>
      <c r="AC275" s="1064"/>
      <c r="AD275" s="1064"/>
      <c r="AE275" s="1064"/>
      <c r="AF275" s="1064"/>
      <c r="AG275" s="1064"/>
      <c r="AH275" s="1947"/>
      <c r="AI275" s="606"/>
      <c r="AJ275" s="1947"/>
      <c r="AK275" s="86"/>
      <c r="AL275" s="86"/>
      <c r="AM275" s="86"/>
      <c r="AN275" s="86"/>
      <c r="AO275" s="86"/>
      <c r="AP275" s="86"/>
      <c r="AQ275" s="86"/>
      <c r="AR275" s="86"/>
      <c r="AS275" s="86"/>
      <c r="AT275" s="86"/>
      <c r="AU275" s="86"/>
      <c r="AV275" s="86"/>
      <c r="AW275" s="86"/>
      <c r="AX275" s="86"/>
      <c r="AY275" s="86"/>
      <c r="AZ275" s="86"/>
      <c r="BA275" s="86"/>
      <c r="BB275" s="86"/>
      <c r="BC275" s="86"/>
      <c r="BD275" s="86"/>
      <c r="BE275" s="86"/>
      <c r="BF275" s="86"/>
      <c r="BG275" s="86"/>
      <c r="BH275" s="86"/>
      <c r="BI275" s="86"/>
      <c r="BJ275" s="86"/>
      <c r="BK275" s="86"/>
      <c r="BL275" s="86"/>
      <c r="BM275" s="86"/>
      <c r="BN275" s="86"/>
      <c r="BO275" s="86"/>
      <c r="BP275" s="86"/>
      <c r="BQ275" s="86"/>
      <c r="BR275" s="569"/>
      <c r="BS275" s="1064"/>
      <c r="BT275" s="1064"/>
      <c r="BU275" s="1064"/>
      <c r="BV275" s="203">
        <f t="shared" ref="BV275:CP275" si="408">BV273-BV19</f>
        <v>0</v>
      </c>
      <c r="BW275" s="1052">
        <f t="shared" si="408"/>
        <v>0</v>
      </c>
      <c r="BX275" s="1052">
        <f t="shared" si="408"/>
        <v>0</v>
      </c>
      <c r="BY275" s="1052">
        <f t="shared" si="408"/>
        <v>0</v>
      </c>
      <c r="BZ275" s="203">
        <f t="shared" si="408"/>
        <v>0</v>
      </c>
      <c r="CA275" s="1052">
        <f t="shared" si="408"/>
        <v>0</v>
      </c>
      <c r="CB275" s="1052">
        <f t="shared" si="408"/>
        <v>0</v>
      </c>
      <c r="CC275" s="1052">
        <f t="shared" si="408"/>
        <v>0</v>
      </c>
      <c r="CD275" s="203">
        <f t="shared" si="408"/>
        <v>0</v>
      </c>
      <c r="CE275" s="1052">
        <f t="shared" si="408"/>
        <v>0</v>
      </c>
      <c r="CF275" s="1052">
        <f t="shared" si="408"/>
        <v>0</v>
      </c>
      <c r="CG275" s="202">
        <f t="shared" si="408"/>
        <v>0</v>
      </c>
      <c r="CH275" s="203">
        <f t="shared" si="408"/>
        <v>0</v>
      </c>
      <c r="CI275" s="1052">
        <f t="shared" si="408"/>
        <v>0</v>
      </c>
      <c r="CJ275" s="1052">
        <f t="shared" si="408"/>
        <v>0</v>
      </c>
      <c r="CK275" s="202">
        <f t="shared" si="408"/>
        <v>0</v>
      </c>
      <c r="CL275" s="203">
        <f t="shared" si="408"/>
        <v>0</v>
      </c>
      <c r="CM275" s="1052">
        <f t="shared" ca="1" si="408"/>
        <v>0</v>
      </c>
      <c r="CN275" s="1052">
        <f t="shared" si="408"/>
        <v>0</v>
      </c>
      <c r="CO275" s="1052">
        <f t="shared" si="408"/>
        <v>0</v>
      </c>
      <c r="CP275" s="203">
        <f t="shared" si="408"/>
        <v>0</v>
      </c>
      <c r="CQ275" s="1064"/>
      <c r="CR275" s="1064"/>
      <c r="CS275" s="1064"/>
      <c r="CT275" s="569"/>
      <c r="CU275" s="1064"/>
      <c r="CV275" s="1064"/>
      <c r="CW275" s="568"/>
      <c r="CX275" s="569"/>
      <c r="CY275" s="1064"/>
      <c r="CZ275" s="1064"/>
      <c r="DA275" s="1064"/>
      <c r="DB275" s="569"/>
      <c r="DC275" s="1064"/>
      <c r="DD275" s="1064"/>
      <c r="DE275" s="1064"/>
      <c r="DF275" s="1064"/>
      <c r="DG275" s="1064"/>
      <c r="DH275" s="1064"/>
      <c r="DI275" s="1064"/>
      <c r="DJ275" s="1064"/>
      <c r="DK275" s="1064"/>
      <c r="DL275" s="1064"/>
      <c r="DM275" s="568"/>
      <c r="DN275" s="568"/>
      <c r="DO275" s="568"/>
      <c r="DP275" s="568"/>
      <c r="DQ275" s="568"/>
      <c r="DR275" s="568"/>
      <c r="DS275" s="568"/>
      <c r="DT275" s="568"/>
      <c r="DU275" s="568"/>
      <c r="DV275" s="568"/>
      <c r="DW275" s="568"/>
      <c r="DX275" s="568"/>
      <c r="DY275" s="568"/>
    </row>
    <row r="276" spans="1:130" ht="15" customHeight="1">
      <c r="A276" s="1603"/>
      <c r="B276" s="86"/>
      <c r="C276" s="86"/>
      <c r="D276" s="86"/>
      <c r="E276" s="86"/>
      <c r="F276" s="86"/>
      <c r="G276" s="86"/>
      <c r="H276" s="86"/>
      <c r="I276" s="86"/>
      <c r="J276" s="86"/>
      <c r="K276" s="86"/>
      <c r="L276" s="86"/>
      <c r="M276" s="86"/>
      <c r="N276" s="86"/>
      <c r="O276" s="86"/>
      <c r="P276" s="86"/>
      <c r="Q276" s="1064"/>
      <c r="R276" s="86"/>
      <c r="S276" s="86"/>
      <c r="T276" s="1064"/>
      <c r="U276" s="1064"/>
      <c r="V276" s="86"/>
      <c r="W276" s="86"/>
      <c r="X276" s="86"/>
      <c r="Y276" s="86"/>
      <c r="Z276" s="86"/>
      <c r="AA276" s="1064"/>
      <c r="AB276" s="1064"/>
      <c r="AC276" s="1064"/>
      <c r="AD276" s="1064"/>
      <c r="AE276" s="1064"/>
      <c r="AF276" s="1064"/>
      <c r="AG276" s="1064"/>
      <c r="AH276" s="1947"/>
      <c r="AI276" s="606"/>
      <c r="AJ276" s="1947"/>
      <c r="AK276" s="86"/>
      <c r="AL276" s="86"/>
      <c r="AM276" s="86"/>
      <c r="AN276" s="86"/>
      <c r="AO276" s="86"/>
      <c r="AP276" s="86"/>
      <c r="AQ276" s="86"/>
      <c r="AR276" s="86"/>
      <c r="AS276" s="86"/>
      <c r="AT276" s="86"/>
      <c r="AU276" s="86"/>
      <c r="AV276" s="86"/>
      <c r="AW276" s="86"/>
      <c r="AX276" s="86"/>
      <c r="AY276" s="86"/>
      <c r="AZ276" s="86"/>
      <c r="BA276" s="86"/>
      <c r="BB276" s="86"/>
      <c r="BC276" s="86"/>
      <c r="BD276" s="86"/>
      <c r="BE276" s="86"/>
      <c r="BF276" s="86"/>
      <c r="BG276" s="86"/>
      <c r="BH276" s="86"/>
      <c r="BI276" s="86"/>
      <c r="BJ276" s="86"/>
      <c r="BK276" s="86"/>
      <c r="BL276" s="86"/>
      <c r="BM276" s="86"/>
      <c r="BN276" s="86"/>
      <c r="BO276" s="86"/>
      <c r="BP276" s="86"/>
      <c r="BQ276" s="86"/>
      <c r="BR276" s="569"/>
      <c r="BS276" s="1064"/>
      <c r="BT276" s="1064"/>
      <c r="BU276" s="1064"/>
      <c r="BV276" s="569"/>
      <c r="BW276" s="1064"/>
      <c r="BX276" s="1064"/>
      <c r="BY276" s="1064"/>
      <c r="BZ276" s="569"/>
      <c r="CA276" s="1064"/>
      <c r="CB276" s="1064"/>
      <c r="CC276" s="1064"/>
      <c r="CD276" s="569"/>
      <c r="CE276" s="1064"/>
      <c r="CF276" s="1064"/>
      <c r="CG276" s="568"/>
      <c r="CH276" s="569"/>
      <c r="CI276" s="1064"/>
      <c r="CJ276" s="1064"/>
      <c r="CK276" s="568"/>
      <c r="CL276" s="569"/>
      <c r="CM276" s="1064"/>
      <c r="CN276" s="1064"/>
      <c r="CO276" s="1064"/>
      <c r="CP276" s="569"/>
      <c r="CQ276" s="1064"/>
      <c r="CR276" s="1064"/>
      <c r="CS276" s="1064"/>
      <c r="CT276" s="569"/>
      <c r="CU276" s="1064"/>
      <c r="CV276" s="1064"/>
      <c r="CW276" s="568"/>
      <c r="CX276" s="569"/>
      <c r="CY276" s="1064"/>
      <c r="CZ276" s="1064"/>
      <c r="DA276" s="1064"/>
      <c r="DB276" s="569"/>
      <c r="DC276" s="1064"/>
      <c r="DD276" s="1064"/>
      <c r="DE276" s="1064"/>
      <c r="DF276" s="1064"/>
      <c r="DG276" s="1064"/>
      <c r="DH276" s="1064"/>
      <c r="DI276" s="1064"/>
      <c r="DJ276" s="1064"/>
      <c r="DK276" s="1064"/>
      <c r="DL276" s="1064"/>
      <c r="DM276" s="568"/>
      <c r="DN276" s="568"/>
      <c r="DO276" s="568"/>
      <c r="DP276" s="568"/>
      <c r="DQ276" s="568"/>
      <c r="DR276" s="568"/>
      <c r="DS276" s="568"/>
      <c r="DT276" s="568"/>
      <c r="DU276" s="568"/>
      <c r="DV276" s="568"/>
      <c r="DW276" s="568"/>
      <c r="DX276" s="568"/>
      <c r="DY276" s="568"/>
    </row>
    <row r="277" spans="1:130" ht="15" customHeight="1">
      <c r="A277" s="1604" t="s">
        <v>275</v>
      </c>
      <c r="B277" s="139"/>
      <c r="C277" s="139"/>
      <c r="D277" s="139"/>
      <c r="E277" s="139"/>
      <c r="F277" s="139"/>
      <c r="G277" s="139"/>
      <c r="H277" s="139"/>
      <c r="I277" s="139"/>
      <c r="J277" s="139"/>
      <c r="K277" s="139"/>
      <c r="L277" s="139"/>
      <c r="M277" s="139"/>
      <c r="N277" s="139"/>
      <c r="O277" s="139"/>
      <c r="P277" s="139"/>
      <c r="Q277" s="1048"/>
      <c r="R277" s="139"/>
      <c r="S277" s="139"/>
      <c r="T277" s="1048"/>
      <c r="U277" s="1048"/>
      <c r="V277" s="139"/>
      <c r="W277" s="139"/>
      <c r="X277" s="139"/>
      <c r="Y277" s="139"/>
      <c r="Z277" s="139"/>
      <c r="AA277" s="1048"/>
      <c r="AB277" s="1048"/>
      <c r="AC277" s="1048"/>
      <c r="AD277" s="1048"/>
      <c r="AE277" s="1048"/>
      <c r="AF277" s="1048"/>
      <c r="AG277" s="1048"/>
      <c r="AH277" s="1960"/>
      <c r="AI277" s="606"/>
      <c r="AJ277" s="1947"/>
      <c r="AK277" s="139"/>
      <c r="AL277" s="139"/>
      <c r="AM277" s="139"/>
      <c r="AN277" s="139"/>
      <c r="AO277" s="139"/>
      <c r="AP277" s="139"/>
      <c r="AQ277" s="139"/>
      <c r="AR277" s="139"/>
      <c r="AS277" s="139"/>
      <c r="AT277" s="139"/>
      <c r="AU277" s="139"/>
      <c r="AV277" s="139"/>
      <c r="AW277" s="139"/>
      <c r="AX277" s="139"/>
      <c r="AY277" s="139"/>
      <c r="AZ277" s="139"/>
      <c r="BA277" s="139"/>
      <c r="BB277" s="139"/>
      <c r="BC277" s="139"/>
      <c r="BD277" s="139"/>
      <c r="BE277" s="139"/>
      <c r="BF277" s="139"/>
      <c r="BG277" s="139"/>
      <c r="BH277" s="139"/>
      <c r="BI277" s="139"/>
      <c r="BJ277" s="139"/>
      <c r="BK277" s="139"/>
      <c r="BL277" s="139"/>
      <c r="BM277" s="139"/>
      <c r="BN277" s="139"/>
      <c r="BO277" s="139"/>
      <c r="BP277" s="139"/>
      <c r="BQ277" s="139"/>
      <c r="BR277" s="198"/>
      <c r="BS277" s="1048"/>
      <c r="BT277" s="1048"/>
      <c r="BU277" s="1048"/>
      <c r="BV277" s="198"/>
      <c r="BW277" s="1048"/>
      <c r="BX277" s="1048"/>
      <c r="BY277" s="1048"/>
      <c r="BZ277" s="198"/>
      <c r="CA277" s="1048"/>
      <c r="CB277" s="1048"/>
      <c r="CC277" s="1048"/>
      <c r="CD277" s="198"/>
      <c r="CE277" s="1048"/>
      <c r="CF277" s="1048"/>
      <c r="CG277" s="199"/>
      <c r="CH277" s="198"/>
      <c r="CI277" s="1048"/>
      <c r="CJ277" s="1048"/>
      <c r="CK277" s="199"/>
      <c r="CL277" s="198"/>
      <c r="CM277" s="1048"/>
      <c r="CN277" s="1048"/>
      <c r="CO277" s="1048"/>
      <c r="CP277" s="198"/>
      <c r="CQ277" s="1064"/>
      <c r="CR277" s="1299"/>
      <c r="CS277" s="1299"/>
      <c r="CT277" s="597"/>
      <c r="CU277" s="1299"/>
      <c r="CV277" s="1299"/>
      <c r="CW277" s="598"/>
      <c r="CX277" s="597"/>
      <c r="CY277" s="1299"/>
      <c r="CZ277" s="1299"/>
      <c r="DA277" s="1299"/>
      <c r="DB277" s="597"/>
      <c r="DC277" s="1299"/>
      <c r="DD277" s="1299"/>
      <c r="DE277" s="1299"/>
      <c r="DF277" s="1299"/>
      <c r="DG277" s="1299"/>
      <c r="DH277" s="1299"/>
      <c r="DI277" s="1299"/>
      <c r="DJ277" s="1299"/>
      <c r="DK277" s="1299"/>
      <c r="DL277" s="1299"/>
      <c r="DM277" s="598"/>
      <c r="DN277" s="598"/>
      <c r="DO277" s="598"/>
      <c r="DP277" s="598"/>
      <c r="DQ277" s="598"/>
      <c r="DR277" s="598"/>
      <c r="DS277" s="598"/>
      <c r="DT277" s="598"/>
      <c r="DU277" s="598"/>
      <c r="DV277" s="598"/>
      <c r="DW277" s="598"/>
      <c r="DX277" s="598"/>
      <c r="DY277" s="598"/>
    </row>
    <row r="278" spans="1:130" ht="15" customHeight="1">
      <c r="A278" s="1603"/>
      <c r="B278" s="86"/>
      <c r="C278" s="86"/>
      <c r="D278" s="86"/>
      <c r="E278" s="86"/>
      <c r="F278" s="86"/>
      <c r="G278" s="86"/>
      <c r="H278" s="86"/>
      <c r="I278" s="86"/>
      <c r="J278" s="86"/>
      <c r="K278" s="86"/>
      <c r="L278" s="86"/>
      <c r="M278" s="86"/>
      <c r="N278" s="86"/>
      <c r="O278" s="86"/>
      <c r="P278" s="86"/>
      <c r="Q278" s="1064"/>
      <c r="R278" s="86"/>
      <c r="S278" s="86"/>
      <c r="T278" s="1064"/>
      <c r="U278" s="1064"/>
      <c r="V278" s="86"/>
      <c r="W278" s="86"/>
      <c r="X278" s="86"/>
      <c r="Y278" s="86"/>
      <c r="Z278" s="86"/>
      <c r="AA278" s="1064"/>
      <c r="AB278" s="1064"/>
      <c r="AC278" s="1064"/>
      <c r="AD278" s="1064"/>
      <c r="AE278" s="1064"/>
      <c r="AF278" s="1064"/>
      <c r="AG278" s="1064"/>
      <c r="AH278" s="1947"/>
      <c r="AI278" s="606"/>
      <c r="AJ278" s="1947"/>
      <c r="AK278" s="86"/>
      <c r="AL278" s="86"/>
      <c r="AM278" s="86"/>
      <c r="AN278" s="86"/>
      <c r="AO278" s="86"/>
      <c r="AP278" s="86"/>
      <c r="AQ278" s="86"/>
      <c r="AR278" s="86"/>
      <c r="AS278" s="86"/>
      <c r="AT278" s="86"/>
      <c r="AU278" s="86"/>
      <c r="AV278" s="86"/>
      <c r="AW278" s="86"/>
      <c r="AX278" s="86"/>
      <c r="AY278" s="86"/>
      <c r="AZ278" s="86"/>
      <c r="BA278" s="86"/>
      <c r="BB278" s="86"/>
      <c r="BC278" s="86"/>
      <c r="BD278" s="86"/>
      <c r="BE278" s="86"/>
      <c r="BF278" s="86"/>
      <c r="BG278" s="86"/>
      <c r="BH278" s="86"/>
      <c r="BI278" s="86"/>
      <c r="BJ278" s="86"/>
      <c r="BK278" s="86"/>
      <c r="BL278" s="86"/>
      <c r="BM278" s="86"/>
      <c r="BN278" s="86"/>
      <c r="BO278" s="86"/>
      <c r="BP278" s="86"/>
      <c r="BQ278" s="86"/>
      <c r="BR278" s="569"/>
      <c r="BS278" s="1064"/>
      <c r="BT278" s="1064"/>
      <c r="BU278" s="1064"/>
      <c r="BV278" s="569"/>
      <c r="BW278" s="1064"/>
      <c r="BX278" s="1064"/>
      <c r="BY278" s="1064"/>
      <c r="BZ278" s="569"/>
      <c r="CA278" s="1064"/>
      <c r="CB278" s="1064"/>
      <c r="CC278" s="1064"/>
      <c r="CD278" s="607"/>
      <c r="CE278" s="1070"/>
      <c r="CF278" s="1070"/>
      <c r="CG278" s="608"/>
      <c r="CH278" s="607"/>
      <c r="CI278" s="1070"/>
      <c r="CJ278" s="1070"/>
      <c r="CK278" s="608"/>
      <c r="CL278" s="607"/>
      <c r="CM278" s="1070"/>
      <c r="CN278" s="1070"/>
      <c r="CO278" s="1070"/>
      <c r="CP278" s="607"/>
      <c r="CQ278" s="1064"/>
      <c r="CR278" s="1064"/>
      <c r="CS278" s="1064"/>
      <c r="CT278" s="569"/>
      <c r="CU278" s="1064"/>
      <c r="CV278" s="1064"/>
      <c r="CW278" s="568"/>
      <c r="CX278" s="569"/>
      <c r="CY278" s="1064"/>
      <c r="CZ278" s="1064"/>
      <c r="DA278" s="1064"/>
      <c r="DB278" s="569"/>
      <c r="DC278" s="1064"/>
      <c r="DD278" s="1064"/>
      <c r="DE278" s="1064"/>
      <c r="DF278" s="1064"/>
      <c r="DG278" s="1064"/>
      <c r="DH278" s="1064"/>
      <c r="DI278" s="1064"/>
      <c r="DJ278" s="1064"/>
      <c r="DK278" s="1064"/>
      <c r="DL278" s="1064"/>
      <c r="DM278" s="568"/>
      <c r="DN278" s="568"/>
      <c r="DO278" s="568"/>
      <c r="DP278" s="568"/>
      <c r="DQ278" s="568"/>
      <c r="DR278" s="568"/>
      <c r="DS278" s="568"/>
      <c r="DT278" s="568"/>
      <c r="DU278" s="568"/>
      <c r="DV278" s="568"/>
      <c r="DW278" s="568"/>
      <c r="DX278" s="568"/>
      <c r="DY278" s="568"/>
    </row>
    <row r="279" spans="1:130" ht="15" customHeight="1">
      <c r="A279" s="1603" t="s">
        <v>276</v>
      </c>
      <c r="B279" s="86"/>
      <c r="C279" s="86"/>
      <c r="D279" s="86"/>
      <c r="E279" s="86"/>
      <c r="F279" s="86"/>
      <c r="G279" s="86"/>
      <c r="H279" s="86"/>
      <c r="I279" s="86"/>
      <c r="J279" s="86"/>
      <c r="K279" s="86"/>
      <c r="L279" s="217">
        <f>BU279</f>
        <v>1644</v>
      </c>
      <c r="M279" s="217">
        <f>BY279</f>
        <v>1379.5</v>
      </c>
      <c r="N279" s="217">
        <f>CC279</f>
        <v>839.25</v>
      </c>
      <c r="O279" s="217">
        <f>CG279</f>
        <v>704.25</v>
      </c>
      <c r="P279" s="217">
        <f>CK279</f>
        <v>591.75</v>
      </c>
      <c r="Q279" s="1070">
        <f>CO279</f>
        <v>547.5</v>
      </c>
      <c r="R279" s="217"/>
      <c r="S279" s="217"/>
      <c r="T279" s="1070"/>
      <c r="U279" s="1070"/>
      <c r="V279" s="217"/>
      <c r="W279" s="217"/>
      <c r="X279" s="217"/>
      <c r="Y279" s="217"/>
      <c r="Z279" s="217"/>
      <c r="AA279" s="1070"/>
      <c r="AB279" s="1070"/>
      <c r="AC279" s="1070"/>
      <c r="AD279" s="1070"/>
      <c r="AE279" s="1070"/>
      <c r="AF279" s="1070"/>
      <c r="AG279" s="1070"/>
      <c r="AH279" s="1974"/>
      <c r="AI279" s="606"/>
      <c r="AJ279" s="1947"/>
      <c r="AK279" s="86"/>
      <c r="AL279" s="86"/>
      <c r="AM279" s="86"/>
      <c r="AN279" s="86"/>
      <c r="AO279" s="86"/>
      <c r="AP279" s="86"/>
      <c r="AQ279" s="86"/>
      <c r="AR279" s="86"/>
      <c r="AS279" s="86"/>
      <c r="AT279" s="86"/>
      <c r="AU279" s="86"/>
      <c r="AV279" s="86"/>
      <c r="AW279" s="86"/>
      <c r="AX279" s="86"/>
      <c r="AY279" s="86"/>
      <c r="AZ279" s="86"/>
      <c r="BA279" s="86"/>
      <c r="BB279" s="86"/>
      <c r="BC279" s="86"/>
      <c r="BD279" s="86"/>
      <c r="BE279" s="86"/>
      <c r="BF279" s="86"/>
      <c r="BG279" s="86"/>
      <c r="BH279" s="86"/>
      <c r="BI279" s="86"/>
      <c r="BJ279" s="86"/>
      <c r="BK279" s="86"/>
      <c r="BL279" s="86"/>
      <c r="BM279" s="86"/>
      <c r="BN279" s="86"/>
      <c r="BO279" s="86"/>
      <c r="BP279" s="86"/>
      <c r="BQ279" s="86"/>
      <c r="BR279" s="607">
        <f>Lines!BR47*Lines!BR40+Lines!BR46</f>
        <v>1557.75</v>
      </c>
      <c r="BS279" s="1070">
        <f>Lines!BS47*Lines!BS40+Lines!BS46</f>
        <v>1649.25</v>
      </c>
      <c r="BT279" s="1070">
        <f>Lines!BT47*Lines!BT40+Lines!BT46</f>
        <v>1665.25</v>
      </c>
      <c r="BU279" s="1070">
        <f>Lines!BU47*Lines!BU40+Lines!BU46</f>
        <v>1644</v>
      </c>
      <c r="BV279" s="607">
        <f>Lines!BV47*Lines!BV40+Lines!BV46</f>
        <v>1594</v>
      </c>
      <c r="BW279" s="1070">
        <f>Lines!BW47*Lines!BW40+Lines!BW46</f>
        <v>1543</v>
      </c>
      <c r="BX279" s="1070">
        <f>Lines!BX47*Lines!BX40+Lines!BX46</f>
        <v>1460.25</v>
      </c>
      <c r="BY279" s="1070">
        <f>Lines!BY47*Lines!BY40+Lines!BY46</f>
        <v>1379.5</v>
      </c>
      <c r="BZ279" s="607">
        <f>Lines!BZ47*Lines!BZ40+Lines!BZ46</f>
        <v>964.75</v>
      </c>
      <c r="CA279" s="1070">
        <f>Lines!CA47*Lines!CA40+Lines!CA46</f>
        <v>918.75</v>
      </c>
      <c r="CB279" s="1070">
        <f>Lines!CB47*Lines!CB40+Lines!CB46</f>
        <v>874.5</v>
      </c>
      <c r="CC279" s="1070">
        <f>Lines!CC47*Lines!CC40+Lines!CC46</f>
        <v>839.25</v>
      </c>
      <c r="CD279" s="607">
        <f>Lines!CD47*Lines!CD40+Lines!CD46</f>
        <v>805.25</v>
      </c>
      <c r="CE279" s="1070">
        <f>Lines!CE47*Lines!CE40+Lines!CE46</f>
        <v>765.5</v>
      </c>
      <c r="CF279" s="1070">
        <f>Lines!CF47*Lines!CF40+Lines!CF46</f>
        <v>734.5</v>
      </c>
      <c r="CG279" s="608">
        <f>Lines!CG47*Lines!CG40+Lines!CG46</f>
        <v>704.25</v>
      </c>
      <c r="CH279" s="607">
        <f>Lines!CH47*Lines!CH40+Lines!CH46</f>
        <v>673.25</v>
      </c>
      <c r="CI279" s="1070">
        <f>Lines!CI47*Lines!CI40+Lines!CI46</f>
        <v>643.75</v>
      </c>
      <c r="CJ279" s="1070">
        <f>Lines!CJ47*Lines!CJ40+Lines!CJ46</f>
        <v>616.5</v>
      </c>
      <c r="CK279" s="608">
        <f>Lines!CK47*Lines!CK40+Lines!CK46</f>
        <v>591.75</v>
      </c>
      <c r="CL279" s="607">
        <f>Lines!CL47*Lines!CL40+Lines!CL46</f>
        <v>575</v>
      </c>
      <c r="CM279" s="1070">
        <f>Lines!CM47*Lines!CM40+Lines!CM46</f>
        <v>562.5</v>
      </c>
      <c r="CN279" s="1070">
        <f>Lines!CN47*Lines!CN40+Lines!CN46</f>
        <v>555</v>
      </c>
      <c r="CO279" s="1070">
        <f>Lines!CO47*Lines!CO40+Lines!CO46</f>
        <v>547.5</v>
      </c>
      <c r="CP279" s="607">
        <f>Lines!CP47*Lines!CP40+Lines!CP46</f>
        <v>0</v>
      </c>
      <c r="CQ279" s="1064"/>
      <c r="CR279" s="1070"/>
      <c r="CS279" s="1064"/>
      <c r="CT279" s="569"/>
      <c r="CU279" s="1064"/>
      <c r="CV279" s="1064"/>
      <c r="CW279" s="568"/>
      <c r="CX279" s="569"/>
      <c r="CY279" s="1064"/>
      <c r="CZ279" s="1064"/>
      <c r="DA279" s="1064"/>
      <c r="DB279" s="569"/>
      <c r="DC279" s="1064"/>
      <c r="DD279" s="1064"/>
      <c r="DE279" s="1064"/>
      <c r="DF279" s="1064"/>
      <c r="DG279" s="1064"/>
      <c r="DH279" s="1064"/>
      <c r="DI279" s="1064"/>
      <c r="DJ279" s="1064"/>
      <c r="DK279" s="1064"/>
      <c r="DL279" s="1064"/>
      <c r="DM279" s="568"/>
      <c r="DN279" s="568"/>
      <c r="DO279" s="568"/>
      <c r="DP279" s="568"/>
      <c r="DQ279" s="568"/>
      <c r="DR279" s="568"/>
      <c r="DS279" s="568"/>
      <c r="DT279" s="568"/>
      <c r="DU279" s="568"/>
      <c r="DV279" s="568"/>
      <c r="DW279" s="568"/>
      <c r="DX279" s="568"/>
      <c r="DY279" s="568"/>
    </row>
    <row r="280" spans="1:130" s="120" customFormat="1" ht="15" customHeight="1">
      <c r="A280" s="1603" t="s">
        <v>834</v>
      </c>
      <c r="B280" s="562"/>
      <c r="C280" s="562"/>
      <c r="D280" s="562"/>
      <c r="E280" s="562"/>
      <c r="F280" s="562"/>
      <c r="G280" s="562"/>
      <c r="H280" s="562"/>
      <c r="I280" s="562"/>
      <c r="J280" s="562"/>
      <c r="K280" s="562"/>
      <c r="L280" s="562"/>
      <c r="M280" s="562">
        <f>M279/L279-1</f>
        <v>-0.16088807785888082</v>
      </c>
      <c r="N280" s="562">
        <f>N279/M279-1</f>
        <v>-0.39162740123233053</v>
      </c>
      <c r="O280" s="562">
        <f>O279/N279-1</f>
        <v>-0.16085790884718498</v>
      </c>
      <c r="P280" s="562">
        <f>P279/O279-1</f>
        <v>-0.15974440894568687</v>
      </c>
      <c r="Q280" s="1065">
        <f>Q279/P279-1</f>
        <v>-7.4778200253485472E-2</v>
      </c>
      <c r="R280" s="562"/>
      <c r="S280" s="562"/>
      <c r="T280" s="1065"/>
      <c r="U280" s="1065"/>
      <c r="V280" s="562"/>
      <c r="W280" s="562"/>
      <c r="X280" s="562"/>
      <c r="Y280" s="562"/>
      <c r="Z280" s="562"/>
      <c r="AA280" s="1065"/>
      <c r="AB280" s="1065"/>
      <c r="AC280" s="1065"/>
      <c r="AD280" s="1065"/>
      <c r="AE280" s="1065"/>
      <c r="AF280" s="1065"/>
      <c r="AG280" s="1065"/>
      <c r="AH280" s="1927"/>
      <c r="AI280" s="606"/>
      <c r="AJ280" s="1927"/>
      <c r="AK280" s="562"/>
      <c r="AL280" s="562"/>
      <c r="AM280" s="562"/>
      <c r="AN280" s="562"/>
      <c r="AO280" s="562"/>
      <c r="AP280" s="562"/>
      <c r="AQ280" s="562"/>
      <c r="AR280" s="562"/>
      <c r="AS280" s="562"/>
      <c r="AT280" s="562"/>
      <c r="AU280" s="562"/>
      <c r="AV280" s="562"/>
      <c r="AW280" s="562"/>
      <c r="AX280" s="562"/>
      <c r="AY280" s="562"/>
      <c r="AZ280" s="562"/>
      <c r="BA280" s="562"/>
      <c r="BB280" s="562"/>
      <c r="BC280" s="562"/>
      <c r="BD280" s="562"/>
      <c r="BE280" s="562"/>
      <c r="BF280" s="562"/>
      <c r="BG280" s="562"/>
      <c r="BH280" s="562"/>
      <c r="BI280" s="562"/>
      <c r="BJ280" s="562"/>
      <c r="BK280" s="562"/>
      <c r="BL280" s="562"/>
      <c r="BM280" s="562"/>
      <c r="BN280" s="562"/>
      <c r="BO280" s="562"/>
      <c r="BP280" s="562"/>
      <c r="BQ280" s="562"/>
      <c r="BR280" s="563"/>
      <c r="BS280" s="1065"/>
      <c r="BT280" s="1065"/>
      <c r="BU280" s="1065"/>
      <c r="BV280" s="563">
        <f t="shared" ref="BV280:CP280" si="409">BV279/BR279-1</f>
        <v>2.3270743058898979E-2</v>
      </c>
      <c r="BW280" s="1065">
        <f t="shared" si="409"/>
        <v>-6.4423222676974423E-2</v>
      </c>
      <c r="BX280" s="1065">
        <f t="shared" si="409"/>
        <v>-0.12310463894310164</v>
      </c>
      <c r="BY280" s="1065">
        <f t="shared" si="409"/>
        <v>-0.16088807785888082</v>
      </c>
      <c r="BZ280" s="563">
        <f t="shared" si="409"/>
        <v>-0.3947616060225847</v>
      </c>
      <c r="CA280" s="1065">
        <f t="shared" si="409"/>
        <v>-0.40456902138690864</v>
      </c>
      <c r="CB280" s="1065">
        <f t="shared" si="409"/>
        <v>-0.40112994350282483</v>
      </c>
      <c r="CC280" s="1065">
        <f t="shared" si="409"/>
        <v>-0.39162740123233053</v>
      </c>
      <c r="CD280" s="563">
        <f t="shared" si="409"/>
        <v>-0.16532780513086287</v>
      </c>
      <c r="CE280" s="1065">
        <f t="shared" si="409"/>
        <v>-0.16680272108843541</v>
      </c>
      <c r="CF280" s="1065">
        <f t="shared" si="409"/>
        <v>-0.16009148084619784</v>
      </c>
      <c r="CG280" s="564">
        <f t="shared" si="409"/>
        <v>-0.16085790884718498</v>
      </c>
      <c r="CH280" s="563">
        <f t="shared" si="409"/>
        <v>-0.16392424712822107</v>
      </c>
      <c r="CI280" s="1065">
        <f t="shared" si="409"/>
        <v>-0.15904637491835405</v>
      </c>
      <c r="CJ280" s="1065">
        <f t="shared" si="409"/>
        <v>-0.16065350578624915</v>
      </c>
      <c r="CK280" s="564">
        <f t="shared" si="409"/>
        <v>-0.15974440894568687</v>
      </c>
      <c r="CL280" s="563">
        <f t="shared" si="409"/>
        <v>-0.14593390271073148</v>
      </c>
      <c r="CM280" s="1065">
        <f t="shared" si="409"/>
        <v>-0.12621359223300976</v>
      </c>
      <c r="CN280" s="1065">
        <f t="shared" si="409"/>
        <v>-9.9756690997566899E-2</v>
      </c>
      <c r="CO280" s="1065">
        <f t="shared" si="409"/>
        <v>-7.4778200253485472E-2</v>
      </c>
      <c r="CP280" s="563">
        <f t="shared" si="409"/>
        <v>-1</v>
      </c>
      <c r="CQ280" s="1065"/>
      <c r="CR280" s="1065"/>
      <c r="CS280" s="1065"/>
      <c r="CT280" s="563"/>
      <c r="CU280" s="1065"/>
      <c r="CV280" s="1065"/>
      <c r="CW280" s="564"/>
      <c r="CX280" s="563"/>
      <c r="CY280" s="1065"/>
      <c r="CZ280" s="1065"/>
      <c r="DA280" s="1065"/>
      <c r="DB280" s="563"/>
      <c r="DC280" s="1065"/>
      <c r="DD280" s="1065"/>
      <c r="DE280" s="1065"/>
      <c r="DF280" s="1065"/>
      <c r="DG280" s="1065"/>
      <c r="DH280" s="1065"/>
      <c r="DI280" s="1065"/>
      <c r="DJ280" s="1065"/>
      <c r="DK280" s="1065"/>
      <c r="DL280" s="1065"/>
      <c r="DM280" s="564"/>
      <c r="DN280" s="564"/>
      <c r="DO280" s="564"/>
      <c r="DP280" s="564"/>
      <c r="DQ280" s="564"/>
      <c r="DR280" s="564"/>
      <c r="DS280" s="564"/>
      <c r="DT280" s="564"/>
      <c r="DU280" s="564"/>
      <c r="DV280" s="564"/>
      <c r="DW280" s="564"/>
      <c r="DX280" s="564"/>
      <c r="DY280" s="564"/>
      <c r="DZ280" s="562"/>
    </row>
    <row r="281" spans="1:130" ht="15" customHeight="1">
      <c r="A281" s="1603" t="s">
        <v>277</v>
      </c>
      <c r="B281" s="86"/>
      <c r="C281" s="86"/>
      <c r="D281" s="86"/>
      <c r="E281" s="86"/>
      <c r="F281" s="86"/>
      <c r="G281" s="86"/>
      <c r="H281" s="86"/>
      <c r="I281" s="86"/>
      <c r="J281" s="86"/>
      <c r="K281" s="86"/>
      <c r="L281" s="217">
        <f>AVERAGE(BR281:BU281)</f>
        <v>1618.28125</v>
      </c>
      <c r="M281" s="217">
        <f>AVERAGE(BV281:BY281)</f>
        <v>1527.25</v>
      </c>
      <c r="N281" s="217">
        <f>AVERAGE(BZ281:CC281)</f>
        <v>966.84375</v>
      </c>
      <c r="O281" s="217">
        <f>AVERAGE(CD281:CG281)</f>
        <v>769.25</v>
      </c>
      <c r="P281" s="217">
        <f>AVERAGE(CH281:CK281)</f>
        <v>645.375</v>
      </c>
      <c r="Q281" s="1070">
        <f>AVERAGE(CL281:CO281)</f>
        <v>565.53125</v>
      </c>
      <c r="R281" s="217"/>
      <c r="S281" s="217"/>
      <c r="T281" s="1070"/>
      <c r="U281" s="1070"/>
      <c r="V281" s="217"/>
      <c r="W281" s="217"/>
      <c r="X281" s="217"/>
      <c r="Y281" s="217"/>
      <c r="Z281" s="217"/>
      <c r="AA281" s="1070"/>
      <c r="AB281" s="1070"/>
      <c r="AC281" s="1070"/>
      <c r="AD281" s="1070"/>
      <c r="AE281" s="1070"/>
      <c r="AF281" s="1070"/>
      <c r="AG281" s="1070"/>
      <c r="AH281" s="1974"/>
      <c r="AI281" s="606"/>
      <c r="AJ281" s="1947"/>
      <c r="AK281" s="86"/>
      <c r="AL281" s="86"/>
      <c r="AM281" s="86"/>
      <c r="AN281" s="86"/>
      <c r="AO281" s="86"/>
      <c r="AP281" s="86"/>
      <c r="AQ281" s="86"/>
      <c r="AR281" s="86"/>
      <c r="AS281" s="86"/>
      <c r="AT281" s="86"/>
      <c r="AU281" s="86"/>
      <c r="AV281" s="86"/>
      <c r="AW281" s="86"/>
      <c r="AX281" s="86"/>
      <c r="AY281" s="86"/>
      <c r="AZ281" s="86"/>
      <c r="BA281" s="86"/>
      <c r="BB281" s="86"/>
      <c r="BC281" s="86"/>
      <c r="BD281" s="86"/>
      <c r="BE281" s="86"/>
      <c r="BF281" s="86"/>
      <c r="BG281" s="86"/>
      <c r="BH281" s="86"/>
      <c r="BI281" s="86"/>
      <c r="BJ281" s="86"/>
      <c r="BK281" s="86"/>
      <c r="BL281" s="86"/>
      <c r="BM281" s="86"/>
      <c r="BN281" s="86"/>
      <c r="BO281" s="86"/>
      <c r="BP281" s="86"/>
      <c r="BQ281" s="86"/>
      <c r="BR281" s="607">
        <f>BR279</f>
        <v>1557.75</v>
      </c>
      <c r="BS281" s="1070">
        <f t="shared" ref="BS281:CP281" si="410">AVERAGE(BR279:BS279)</f>
        <v>1603.5</v>
      </c>
      <c r="BT281" s="1070">
        <f t="shared" si="410"/>
        <v>1657.25</v>
      </c>
      <c r="BU281" s="1070">
        <f t="shared" si="410"/>
        <v>1654.625</v>
      </c>
      <c r="BV281" s="607">
        <f t="shared" si="410"/>
        <v>1619</v>
      </c>
      <c r="BW281" s="1070">
        <f t="shared" si="410"/>
        <v>1568.5</v>
      </c>
      <c r="BX281" s="1070">
        <f t="shared" si="410"/>
        <v>1501.625</v>
      </c>
      <c r="BY281" s="1070">
        <f t="shared" si="410"/>
        <v>1419.875</v>
      </c>
      <c r="BZ281" s="607">
        <f t="shared" si="410"/>
        <v>1172.125</v>
      </c>
      <c r="CA281" s="1070">
        <f t="shared" si="410"/>
        <v>941.75</v>
      </c>
      <c r="CB281" s="1070">
        <f t="shared" si="410"/>
        <v>896.625</v>
      </c>
      <c r="CC281" s="1070">
        <f t="shared" si="410"/>
        <v>856.875</v>
      </c>
      <c r="CD281" s="607">
        <f t="shared" si="410"/>
        <v>822.25</v>
      </c>
      <c r="CE281" s="1070">
        <f t="shared" si="410"/>
        <v>785.375</v>
      </c>
      <c r="CF281" s="1070">
        <f t="shared" si="410"/>
        <v>750</v>
      </c>
      <c r="CG281" s="608">
        <f t="shared" si="410"/>
        <v>719.375</v>
      </c>
      <c r="CH281" s="607">
        <f t="shared" si="410"/>
        <v>688.75</v>
      </c>
      <c r="CI281" s="1070">
        <f t="shared" si="410"/>
        <v>658.5</v>
      </c>
      <c r="CJ281" s="1070">
        <f t="shared" si="410"/>
        <v>630.125</v>
      </c>
      <c r="CK281" s="608">
        <f t="shared" si="410"/>
        <v>604.125</v>
      </c>
      <c r="CL281" s="607">
        <f t="shared" si="410"/>
        <v>583.375</v>
      </c>
      <c r="CM281" s="1070">
        <f t="shared" si="410"/>
        <v>568.75</v>
      </c>
      <c r="CN281" s="1070">
        <f t="shared" si="410"/>
        <v>558.75</v>
      </c>
      <c r="CO281" s="1070">
        <f t="shared" si="410"/>
        <v>551.25</v>
      </c>
      <c r="CP281" s="607">
        <f t="shared" si="410"/>
        <v>273.75</v>
      </c>
      <c r="CQ281" s="1064"/>
      <c r="CR281" s="1064"/>
      <c r="CS281" s="1064"/>
      <c r="CT281" s="569"/>
      <c r="CU281" s="1064"/>
      <c r="CV281" s="1064"/>
      <c r="CW281" s="568"/>
      <c r="CX281" s="569"/>
      <c r="CY281" s="1064"/>
      <c r="CZ281" s="1064"/>
      <c r="DA281" s="1064"/>
      <c r="DB281" s="569"/>
      <c r="DC281" s="1064"/>
      <c r="DD281" s="1064"/>
      <c r="DE281" s="1064"/>
      <c r="DF281" s="1064"/>
      <c r="DG281" s="1064"/>
      <c r="DH281" s="1064"/>
      <c r="DI281" s="1064"/>
      <c r="DJ281" s="1064"/>
      <c r="DK281" s="1064"/>
      <c r="DL281" s="1064"/>
      <c r="DM281" s="568"/>
      <c r="DN281" s="568"/>
      <c r="DO281" s="568"/>
      <c r="DP281" s="568"/>
      <c r="DQ281" s="568"/>
      <c r="DR281" s="568"/>
      <c r="DS281" s="568"/>
      <c r="DT281" s="568"/>
      <c r="DU281" s="568"/>
      <c r="DV281" s="568"/>
      <c r="DW281" s="568"/>
      <c r="DX281" s="568"/>
      <c r="DY281" s="568"/>
    </row>
    <row r="282" spans="1:130" ht="15" customHeight="1">
      <c r="A282" s="1603"/>
      <c r="B282" s="86"/>
      <c r="C282" s="86"/>
      <c r="D282" s="86"/>
      <c r="E282" s="86"/>
      <c r="F282" s="86"/>
      <c r="G282" s="86"/>
      <c r="H282" s="86"/>
      <c r="I282" s="86"/>
      <c r="J282" s="86"/>
      <c r="K282" s="86"/>
      <c r="L282" s="86"/>
      <c r="M282" s="86"/>
      <c r="N282" s="86"/>
      <c r="O282" s="86"/>
      <c r="P282" s="86"/>
      <c r="Q282" s="1064"/>
      <c r="R282" s="86"/>
      <c r="S282" s="86"/>
      <c r="T282" s="1064"/>
      <c r="U282" s="1064"/>
      <c r="V282" s="86"/>
      <c r="W282" s="86"/>
      <c r="X282" s="86"/>
      <c r="Y282" s="86"/>
      <c r="Z282" s="86"/>
      <c r="AA282" s="1064"/>
      <c r="AB282" s="1064"/>
      <c r="AC282" s="1064"/>
      <c r="AD282" s="1064"/>
      <c r="AE282" s="1064"/>
      <c r="AF282" s="1064"/>
      <c r="AG282" s="1064"/>
      <c r="AH282" s="1947"/>
      <c r="AI282" s="606"/>
      <c r="AJ282" s="1947"/>
      <c r="AK282" s="86"/>
      <c r="AL282" s="86"/>
      <c r="AM282" s="86"/>
      <c r="AN282" s="86"/>
      <c r="AO282" s="86"/>
      <c r="AP282" s="86"/>
      <c r="AQ282" s="86"/>
      <c r="AR282" s="86"/>
      <c r="AS282" s="86"/>
      <c r="AT282" s="86"/>
      <c r="AU282" s="86"/>
      <c r="AV282" s="86"/>
      <c r="AW282" s="86"/>
      <c r="AX282" s="86"/>
      <c r="AY282" s="86"/>
      <c r="AZ282" s="86"/>
      <c r="BA282" s="86"/>
      <c r="BB282" s="86"/>
      <c r="BC282" s="86"/>
      <c r="BD282" s="86"/>
      <c r="BE282" s="86"/>
      <c r="BF282" s="86"/>
      <c r="BG282" s="86"/>
      <c r="BH282" s="86"/>
      <c r="BI282" s="86"/>
      <c r="BJ282" s="86"/>
      <c r="BK282" s="86"/>
      <c r="BL282" s="86"/>
      <c r="BM282" s="86"/>
      <c r="BN282" s="86"/>
      <c r="BO282" s="86"/>
      <c r="BP282" s="86"/>
      <c r="BQ282" s="86"/>
      <c r="BR282" s="569"/>
      <c r="BS282" s="1064"/>
      <c r="BT282" s="1064"/>
      <c r="BU282" s="1064"/>
      <c r="BV282" s="569"/>
      <c r="BW282" s="1064"/>
      <c r="BX282" s="1064"/>
      <c r="BY282" s="1064"/>
      <c r="BZ282" s="569"/>
      <c r="CA282" s="1064"/>
      <c r="CB282" s="1064"/>
      <c r="CC282" s="1064"/>
      <c r="CD282" s="569"/>
      <c r="CE282" s="1064"/>
      <c r="CF282" s="1064"/>
      <c r="CG282" s="568"/>
      <c r="CH282" s="569"/>
      <c r="CI282" s="1064"/>
      <c r="CJ282" s="1064"/>
      <c r="CK282" s="568"/>
      <c r="CL282" s="569"/>
      <c r="CM282" s="1064"/>
      <c r="CN282" s="1064"/>
      <c r="CO282" s="1064"/>
      <c r="CP282" s="569"/>
      <c r="CQ282" s="1064"/>
      <c r="CR282" s="1064"/>
      <c r="CS282" s="1064"/>
      <c r="CT282" s="569"/>
      <c r="CU282" s="1064"/>
      <c r="CV282" s="1064"/>
      <c r="CW282" s="568"/>
      <c r="CX282" s="569"/>
      <c r="CY282" s="1064"/>
      <c r="CZ282" s="1064"/>
      <c r="DA282" s="1064"/>
      <c r="DB282" s="569"/>
      <c r="DC282" s="1064"/>
      <c r="DD282" s="1064"/>
      <c r="DE282" s="1064"/>
      <c r="DF282" s="1064"/>
      <c r="DG282" s="1064"/>
      <c r="DH282" s="1064"/>
      <c r="DI282" s="1064"/>
      <c r="DJ282" s="1064"/>
      <c r="DK282" s="1064"/>
      <c r="DL282" s="1064"/>
      <c r="DM282" s="568"/>
      <c r="DN282" s="568"/>
      <c r="DO282" s="568"/>
      <c r="DP282" s="568"/>
      <c r="DQ282" s="568"/>
      <c r="DR282" s="568"/>
      <c r="DS282" s="568"/>
      <c r="DT282" s="568"/>
      <c r="DU282" s="568"/>
      <c r="DV282" s="568"/>
      <c r="DW282" s="568"/>
      <c r="DX282" s="568"/>
      <c r="DY282" s="568"/>
    </row>
    <row r="283" spans="1:130" ht="15" customHeight="1">
      <c r="A283" s="1603" t="s">
        <v>264</v>
      </c>
      <c r="B283" s="86"/>
      <c r="C283" s="86"/>
      <c r="D283" s="86"/>
      <c r="E283" s="86"/>
      <c r="F283" s="86"/>
      <c r="G283" s="86"/>
      <c r="H283" s="86"/>
      <c r="I283" s="86"/>
      <c r="J283" s="86"/>
      <c r="K283" s="86"/>
      <c r="L283" s="797">
        <f t="shared" ref="L283:Q283" si="411">(L286/12)/(L281/1000)</f>
        <v>21.999999999999996</v>
      </c>
      <c r="M283" s="797">
        <f t="shared" si="411"/>
        <v>22</v>
      </c>
      <c r="N283" s="797">
        <f t="shared" si="411"/>
        <v>21.74351142570865</v>
      </c>
      <c r="O283" s="797">
        <f t="shared" si="411"/>
        <v>21.75</v>
      </c>
      <c r="P283" s="797">
        <f t="shared" si="411"/>
        <v>21.75</v>
      </c>
      <c r="Q283" s="2467">
        <f t="shared" si="411"/>
        <v>21.75</v>
      </c>
      <c r="R283" s="797"/>
      <c r="S283" s="797"/>
      <c r="T283" s="2467"/>
      <c r="U283" s="2467"/>
      <c r="V283" s="797"/>
      <c r="W283" s="797"/>
      <c r="X283" s="797"/>
      <c r="Y283" s="797"/>
      <c r="Z283" s="797"/>
      <c r="AA283" s="2467"/>
      <c r="AB283" s="2467"/>
      <c r="AC283" s="2467"/>
      <c r="AD283" s="2467"/>
      <c r="AE283" s="2467"/>
      <c r="AF283" s="2467"/>
      <c r="AG283" s="2467"/>
      <c r="AH283" s="2468"/>
      <c r="AI283" s="606"/>
      <c r="AJ283" s="1947"/>
      <c r="AK283" s="86"/>
      <c r="AL283" s="86"/>
      <c r="AM283" s="86"/>
      <c r="AN283" s="86"/>
      <c r="AO283" s="86"/>
      <c r="AP283" s="86"/>
      <c r="AQ283" s="86"/>
      <c r="AR283" s="86"/>
      <c r="AS283" s="86"/>
      <c r="AT283" s="86"/>
      <c r="AU283" s="86"/>
      <c r="AV283" s="86"/>
      <c r="AW283" s="86"/>
      <c r="AX283" s="86"/>
      <c r="AY283" s="86"/>
      <c r="AZ283" s="86"/>
      <c r="BA283" s="86"/>
      <c r="BB283" s="86"/>
      <c r="BC283" s="86"/>
      <c r="BD283" s="86"/>
      <c r="BE283" s="86"/>
      <c r="BF283" s="86"/>
      <c r="BG283" s="86"/>
      <c r="BH283" s="86"/>
      <c r="BI283" s="86"/>
      <c r="BJ283" s="86"/>
      <c r="BK283" s="86"/>
      <c r="BL283" s="86"/>
      <c r="BM283" s="86"/>
      <c r="BN283" s="86"/>
      <c r="BO283" s="86"/>
      <c r="BP283" s="86"/>
      <c r="BQ283" s="86"/>
      <c r="BR283" s="2469">
        <f t="shared" ref="BR283:CP283" si="412">BR242</f>
        <v>22</v>
      </c>
      <c r="BS283" s="2467">
        <f t="shared" si="412"/>
        <v>22</v>
      </c>
      <c r="BT283" s="2467">
        <f t="shared" si="412"/>
        <v>22</v>
      </c>
      <c r="BU283" s="2467">
        <f t="shared" si="412"/>
        <v>22</v>
      </c>
      <c r="BV283" s="2469">
        <f t="shared" si="412"/>
        <v>22</v>
      </c>
      <c r="BW283" s="2467">
        <f t="shared" si="412"/>
        <v>22</v>
      </c>
      <c r="BX283" s="2467">
        <f t="shared" si="412"/>
        <v>22</v>
      </c>
      <c r="BY283" s="2467">
        <f t="shared" si="412"/>
        <v>22</v>
      </c>
      <c r="BZ283" s="2469">
        <f t="shared" si="412"/>
        <v>21.5</v>
      </c>
      <c r="CA283" s="2467">
        <f t="shared" si="412"/>
        <v>22.5</v>
      </c>
      <c r="CB283" s="2467">
        <f t="shared" si="412"/>
        <v>21.5</v>
      </c>
      <c r="CC283" s="2467">
        <f t="shared" si="412"/>
        <v>21.5</v>
      </c>
      <c r="CD283" s="2469">
        <f t="shared" si="412"/>
        <v>21.75</v>
      </c>
      <c r="CE283" s="2467">
        <f t="shared" si="412"/>
        <v>21.75</v>
      </c>
      <c r="CF283" s="2467">
        <f t="shared" si="412"/>
        <v>21.75</v>
      </c>
      <c r="CG283" s="2470">
        <f t="shared" si="412"/>
        <v>21.75</v>
      </c>
      <c r="CH283" s="2469">
        <f t="shared" si="412"/>
        <v>21.75</v>
      </c>
      <c r="CI283" s="2467">
        <f t="shared" si="412"/>
        <v>21.75</v>
      </c>
      <c r="CJ283" s="2467">
        <f t="shared" si="412"/>
        <v>21.75</v>
      </c>
      <c r="CK283" s="2470">
        <f t="shared" si="412"/>
        <v>21.75</v>
      </c>
      <c r="CL283" s="2469">
        <f t="shared" si="412"/>
        <v>21.75</v>
      </c>
      <c r="CM283" s="2467">
        <f t="shared" si="412"/>
        <v>21.75</v>
      </c>
      <c r="CN283" s="2467">
        <f t="shared" si="412"/>
        <v>21.75</v>
      </c>
      <c r="CO283" s="2467">
        <f t="shared" si="412"/>
        <v>21.75</v>
      </c>
      <c r="CP283" s="2469">
        <f t="shared" si="412"/>
        <v>21.75</v>
      </c>
      <c r="CQ283" s="1064"/>
      <c r="CR283" s="1064"/>
      <c r="CS283" s="1064"/>
      <c r="CT283" s="569"/>
      <c r="CU283" s="1064"/>
      <c r="CV283" s="1064"/>
      <c r="CW283" s="568"/>
      <c r="CX283" s="569"/>
      <c r="CY283" s="1064"/>
      <c r="CZ283" s="1064"/>
      <c r="DA283" s="1064"/>
      <c r="DB283" s="569"/>
      <c r="DC283" s="1064"/>
      <c r="DD283" s="1064"/>
      <c r="DE283" s="1064"/>
      <c r="DF283" s="1064"/>
      <c r="DG283" s="1064"/>
      <c r="DH283" s="1064"/>
      <c r="DI283" s="1064"/>
      <c r="DJ283" s="1064"/>
      <c r="DK283" s="1064"/>
      <c r="DL283" s="1064"/>
      <c r="DM283" s="568"/>
      <c r="DN283" s="568"/>
      <c r="DO283" s="568"/>
      <c r="DP283" s="568"/>
      <c r="DQ283" s="568"/>
      <c r="DR283" s="568"/>
      <c r="DS283" s="568"/>
      <c r="DT283" s="568"/>
      <c r="DU283" s="568"/>
      <c r="DV283" s="568"/>
      <c r="DW283" s="568"/>
      <c r="DX283" s="568"/>
      <c r="DY283" s="568"/>
    </row>
    <row r="284" spans="1:130" ht="15" customHeight="1">
      <c r="A284" s="1603" t="s">
        <v>834</v>
      </c>
      <c r="B284" s="86"/>
      <c r="C284" s="86"/>
      <c r="D284" s="86"/>
      <c r="E284" s="86"/>
      <c r="F284" s="86"/>
      <c r="G284" s="86"/>
      <c r="H284" s="86"/>
      <c r="I284" s="86"/>
      <c r="J284" s="86"/>
      <c r="K284" s="86"/>
      <c r="L284" s="86"/>
      <c r="M284" s="86"/>
      <c r="N284" s="86"/>
      <c r="O284" s="86"/>
      <c r="P284" s="86"/>
      <c r="Q284" s="1064"/>
      <c r="R284" s="86"/>
      <c r="S284" s="86"/>
      <c r="T284" s="1064"/>
      <c r="U284" s="1064"/>
      <c r="V284" s="86"/>
      <c r="W284" s="86"/>
      <c r="X284" s="86"/>
      <c r="Y284" s="86"/>
      <c r="Z284" s="86"/>
      <c r="AA284" s="1064"/>
      <c r="AB284" s="1064"/>
      <c r="AC284" s="1064"/>
      <c r="AD284" s="1064"/>
      <c r="AE284" s="1064"/>
      <c r="AF284" s="1064"/>
      <c r="AG284" s="1064"/>
      <c r="AH284" s="1947"/>
      <c r="AI284" s="606"/>
      <c r="AJ284" s="1947"/>
      <c r="AK284" s="86"/>
      <c r="AL284" s="86"/>
      <c r="AM284" s="86"/>
      <c r="AN284" s="86"/>
      <c r="AO284" s="86"/>
      <c r="AP284" s="86"/>
      <c r="AQ284" s="86"/>
      <c r="AR284" s="86"/>
      <c r="AS284" s="86"/>
      <c r="AT284" s="86"/>
      <c r="AU284" s="86"/>
      <c r="AV284" s="86"/>
      <c r="AW284" s="86"/>
      <c r="AX284" s="86"/>
      <c r="AY284" s="86"/>
      <c r="AZ284" s="86"/>
      <c r="BA284" s="86"/>
      <c r="BB284" s="86"/>
      <c r="BC284" s="86"/>
      <c r="BD284" s="86"/>
      <c r="BE284" s="86"/>
      <c r="BF284" s="86"/>
      <c r="BG284" s="86"/>
      <c r="BH284" s="86"/>
      <c r="BI284" s="86"/>
      <c r="BJ284" s="86"/>
      <c r="BK284" s="86"/>
      <c r="BL284" s="86"/>
      <c r="BM284" s="86"/>
      <c r="BN284" s="86"/>
      <c r="BO284" s="86"/>
      <c r="BP284" s="86"/>
      <c r="BQ284" s="86"/>
      <c r="BR284" s="569"/>
      <c r="BS284" s="1064"/>
      <c r="BT284" s="1064"/>
      <c r="BU284" s="1064"/>
      <c r="BV284" s="569">
        <f t="shared" ref="BV284:CP284" si="413">BV283/BR283-1</f>
        <v>0</v>
      </c>
      <c r="BW284" s="1064">
        <f t="shared" si="413"/>
        <v>0</v>
      </c>
      <c r="BX284" s="1064">
        <f t="shared" si="413"/>
        <v>0</v>
      </c>
      <c r="BY284" s="1064">
        <f t="shared" si="413"/>
        <v>0</v>
      </c>
      <c r="BZ284" s="569">
        <f t="shared" si="413"/>
        <v>-2.2727272727272707E-2</v>
      </c>
      <c r="CA284" s="1064">
        <f t="shared" si="413"/>
        <v>2.2727272727272707E-2</v>
      </c>
      <c r="CB284" s="1064">
        <f t="shared" si="413"/>
        <v>-2.2727272727272707E-2</v>
      </c>
      <c r="CC284" s="1064">
        <f t="shared" si="413"/>
        <v>-2.2727272727272707E-2</v>
      </c>
      <c r="CD284" s="569">
        <f t="shared" si="413"/>
        <v>1.1627906976744207E-2</v>
      </c>
      <c r="CE284" s="1064">
        <f t="shared" si="413"/>
        <v>-3.3333333333333326E-2</v>
      </c>
      <c r="CF284" s="1064">
        <f t="shared" si="413"/>
        <v>1.1627906976744207E-2</v>
      </c>
      <c r="CG284" s="568">
        <f t="shared" si="413"/>
        <v>1.1627906976744207E-2</v>
      </c>
      <c r="CH284" s="569">
        <f t="shared" si="413"/>
        <v>0</v>
      </c>
      <c r="CI284" s="1064">
        <f t="shared" si="413"/>
        <v>0</v>
      </c>
      <c r="CJ284" s="1064">
        <f t="shared" si="413"/>
        <v>0</v>
      </c>
      <c r="CK284" s="568">
        <f t="shared" si="413"/>
        <v>0</v>
      </c>
      <c r="CL284" s="569">
        <f t="shared" si="413"/>
        <v>0</v>
      </c>
      <c r="CM284" s="1064">
        <f t="shared" si="413"/>
        <v>0</v>
      </c>
      <c r="CN284" s="1064">
        <f t="shared" si="413"/>
        <v>0</v>
      </c>
      <c r="CO284" s="1064">
        <f t="shared" si="413"/>
        <v>0</v>
      </c>
      <c r="CP284" s="569">
        <f t="shared" si="413"/>
        <v>0</v>
      </c>
      <c r="CQ284" s="1064"/>
      <c r="CR284" s="1064"/>
      <c r="CS284" s="1064"/>
      <c r="CT284" s="569"/>
      <c r="CU284" s="1064"/>
      <c r="CV284" s="1064"/>
      <c r="CW284" s="568"/>
      <c r="CX284" s="569"/>
      <c r="CY284" s="1064"/>
      <c r="CZ284" s="1064"/>
      <c r="DA284" s="1064"/>
      <c r="DB284" s="569"/>
      <c r="DC284" s="1064"/>
      <c r="DD284" s="1064"/>
      <c r="DE284" s="1064"/>
      <c r="DF284" s="1064"/>
      <c r="DG284" s="1064"/>
      <c r="DH284" s="1064"/>
      <c r="DI284" s="1064"/>
      <c r="DJ284" s="1064"/>
      <c r="DK284" s="1064"/>
      <c r="DL284" s="1064"/>
      <c r="DM284" s="568"/>
      <c r="DN284" s="568"/>
      <c r="DO284" s="568"/>
      <c r="DP284" s="568"/>
      <c r="DQ284" s="568"/>
      <c r="DR284" s="568"/>
      <c r="DS284" s="568"/>
      <c r="DT284" s="568"/>
      <c r="DU284" s="568"/>
      <c r="DV284" s="568"/>
      <c r="DW284" s="568"/>
      <c r="DX284" s="568"/>
      <c r="DY284" s="568"/>
    </row>
    <row r="285" spans="1:130" ht="15" customHeight="1">
      <c r="A285" s="1603"/>
      <c r="B285" s="86"/>
      <c r="C285" s="86"/>
      <c r="D285" s="86"/>
      <c r="E285" s="86"/>
      <c r="F285" s="86"/>
      <c r="G285" s="86"/>
      <c r="H285" s="86"/>
      <c r="I285" s="86"/>
      <c r="J285" s="86"/>
      <c r="K285" s="86"/>
      <c r="L285" s="86"/>
      <c r="M285" s="86"/>
      <c r="N285" s="86"/>
      <c r="O285" s="86"/>
      <c r="P285" s="86"/>
      <c r="Q285" s="1064"/>
      <c r="R285" s="86"/>
      <c r="S285" s="86"/>
      <c r="T285" s="1064"/>
      <c r="U285" s="1064"/>
      <c r="V285" s="86"/>
      <c r="W285" s="86"/>
      <c r="X285" s="86"/>
      <c r="Y285" s="86"/>
      <c r="Z285" s="86"/>
      <c r="AA285" s="1064"/>
      <c r="AB285" s="1064"/>
      <c r="AC285" s="1064"/>
      <c r="AD285" s="1064"/>
      <c r="AE285" s="1064"/>
      <c r="AF285" s="1064"/>
      <c r="AG285" s="1064"/>
      <c r="AH285" s="1947"/>
      <c r="AI285" s="606"/>
      <c r="AJ285" s="1947"/>
      <c r="AK285" s="86"/>
      <c r="AL285" s="86"/>
      <c r="AM285" s="86"/>
      <c r="AN285" s="86"/>
      <c r="AO285" s="86"/>
      <c r="AP285" s="86"/>
      <c r="AQ285" s="86"/>
      <c r="AR285" s="86"/>
      <c r="AS285" s="86"/>
      <c r="AT285" s="86"/>
      <c r="AU285" s="86"/>
      <c r="AV285" s="86"/>
      <c r="AW285" s="86"/>
      <c r="AX285" s="86"/>
      <c r="AY285" s="86"/>
      <c r="AZ285" s="86"/>
      <c r="BA285" s="86"/>
      <c r="BB285" s="86"/>
      <c r="BC285" s="86"/>
      <c r="BD285" s="86"/>
      <c r="BE285" s="86"/>
      <c r="BF285" s="86"/>
      <c r="BG285" s="86"/>
      <c r="BH285" s="86"/>
      <c r="BI285" s="86"/>
      <c r="BJ285" s="86"/>
      <c r="BK285" s="86"/>
      <c r="BL285" s="86"/>
      <c r="BM285" s="86"/>
      <c r="BN285" s="86"/>
      <c r="BO285" s="86"/>
      <c r="BP285" s="86"/>
      <c r="BQ285" s="86"/>
      <c r="BR285" s="569"/>
      <c r="BS285" s="1064"/>
      <c r="BT285" s="1064"/>
      <c r="BU285" s="1064"/>
      <c r="BV285" s="569"/>
      <c r="BW285" s="1064"/>
      <c r="BX285" s="1064"/>
      <c r="BY285" s="1064"/>
      <c r="BZ285" s="569"/>
      <c r="CA285" s="1064"/>
      <c r="CB285" s="1064"/>
      <c r="CC285" s="1064"/>
      <c r="CD285" s="569"/>
      <c r="CE285" s="1064"/>
      <c r="CF285" s="1064"/>
      <c r="CG285" s="568"/>
      <c r="CH285" s="569"/>
      <c r="CI285" s="1064"/>
      <c r="CJ285" s="1064"/>
      <c r="CK285" s="568"/>
      <c r="CL285" s="569"/>
      <c r="CM285" s="1064"/>
      <c r="CN285" s="1064"/>
      <c r="CO285" s="1064"/>
      <c r="CP285" s="569"/>
      <c r="CQ285" s="1064"/>
      <c r="CR285" s="1064"/>
      <c r="CS285" s="1064"/>
      <c r="CT285" s="569"/>
      <c r="CU285" s="1064"/>
      <c r="CV285" s="1064"/>
      <c r="CW285" s="568"/>
      <c r="CX285" s="569"/>
      <c r="CY285" s="1064"/>
      <c r="CZ285" s="1064"/>
      <c r="DA285" s="1064"/>
      <c r="DB285" s="569"/>
      <c r="DC285" s="1064"/>
      <c r="DD285" s="1064"/>
      <c r="DE285" s="1064"/>
      <c r="DF285" s="1064"/>
      <c r="DG285" s="1064"/>
      <c r="DH285" s="1064"/>
      <c r="DI285" s="1064"/>
      <c r="DJ285" s="1064"/>
      <c r="DK285" s="1064"/>
      <c r="DL285" s="1064"/>
      <c r="DM285" s="568"/>
      <c r="DN285" s="568"/>
      <c r="DO285" s="568"/>
      <c r="DP285" s="568"/>
      <c r="DQ285" s="568"/>
      <c r="DR285" s="568"/>
      <c r="DS285" s="568"/>
      <c r="DT285" s="568"/>
      <c r="DU285" s="568"/>
      <c r="DV285" s="568"/>
      <c r="DW285" s="568"/>
      <c r="DX285" s="568"/>
      <c r="DY285" s="568"/>
    </row>
    <row r="286" spans="1:130" ht="15" customHeight="1">
      <c r="A286" s="1603" t="s">
        <v>278</v>
      </c>
      <c r="B286" s="217"/>
      <c r="C286" s="217"/>
      <c r="D286" s="217"/>
      <c r="E286" s="217"/>
      <c r="F286" s="217"/>
      <c r="G286" s="217"/>
      <c r="H286" s="217"/>
      <c r="I286" s="217"/>
      <c r="J286" s="217"/>
      <c r="K286" s="217"/>
      <c r="L286" s="217">
        <f>SUM(BR286:BU286)</f>
        <v>427.22624999999994</v>
      </c>
      <c r="M286" s="217">
        <f>SUM(BV286:BY286)</f>
        <v>403.19400000000002</v>
      </c>
      <c r="N286" s="217">
        <f>SUM(BZ286:CC286)</f>
        <v>252.2709375</v>
      </c>
      <c r="O286" s="217">
        <f>SUM(CD286:CG286)</f>
        <v>200.77425000000002</v>
      </c>
      <c r="P286" s="217">
        <f>SUM(CH286:CK286)</f>
        <v>168.44287500000002</v>
      </c>
      <c r="Q286" s="1070">
        <f>SUM(CL286:CO286)</f>
        <v>147.60365625</v>
      </c>
      <c r="R286" s="217"/>
      <c r="S286" s="217"/>
      <c r="T286" s="1070"/>
      <c r="U286" s="1070"/>
      <c r="V286" s="217"/>
      <c r="W286" s="217"/>
      <c r="X286" s="217"/>
      <c r="Y286" s="217"/>
      <c r="Z286" s="217"/>
      <c r="AA286" s="1070"/>
      <c r="AB286" s="1070"/>
      <c r="AC286" s="1070"/>
      <c r="AD286" s="1070"/>
      <c r="AE286" s="1070"/>
      <c r="AF286" s="1070"/>
      <c r="AG286" s="1070"/>
      <c r="AH286" s="1974"/>
      <c r="AI286" s="606"/>
      <c r="AJ286" s="1974"/>
      <c r="AK286" s="217"/>
      <c r="AL286" s="217"/>
      <c r="AM286" s="217"/>
      <c r="AN286" s="217"/>
      <c r="AO286" s="217"/>
      <c r="AP286" s="217"/>
      <c r="AQ286" s="217"/>
      <c r="AR286" s="217"/>
      <c r="AS286" s="217"/>
      <c r="AT286" s="217"/>
      <c r="AU286" s="217"/>
      <c r="AV286" s="217"/>
      <c r="AW286" s="217"/>
      <c r="AX286" s="217"/>
      <c r="AY286" s="217"/>
      <c r="AZ286" s="217"/>
      <c r="BA286" s="217"/>
      <c r="BB286" s="217"/>
      <c r="BC286" s="217"/>
      <c r="BD286" s="217"/>
      <c r="BE286" s="217"/>
      <c r="BF286" s="217"/>
      <c r="BG286" s="217"/>
      <c r="BH286" s="217"/>
      <c r="BI286" s="217"/>
      <c r="BJ286" s="217"/>
      <c r="BK286" s="217"/>
      <c r="BL286" s="217"/>
      <c r="BM286" s="217"/>
      <c r="BN286" s="217"/>
      <c r="BO286" s="217"/>
      <c r="BP286" s="217"/>
      <c r="BQ286" s="217"/>
      <c r="BR286" s="607">
        <f t="shared" ref="BR286:CP286" si="414">BR283*3*(BR281/1000)</f>
        <v>102.8115</v>
      </c>
      <c r="BS286" s="1070">
        <f t="shared" si="414"/>
        <v>105.83099999999999</v>
      </c>
      <c r="BT286" s="1070">
        <f t="shared" si="414"/>
        <v>109.37849999999999</v>
      </c>
      <c r="BU286" s="1070">
        <f t="shared" si="414"/>
        <v>109.20525000000001</v>
      </c>
      <c r="BV286" s="607">
        <f t="shared" si="414"/>
        <v>106.854</v>
      </c>
      <c r="BW286" s="1070">
        <f t="shared" si="414"/>
        <v>103.521</v>
      </c>
      <c r="BX286" s="1070">
        <f t="shared" si="414"/>
        <v>99.107249999999993</v>
      </c>
      <c r="BY286" s="1070">
        <f t="shared" si="414"/>
        <v>93.711749999999995</v>
      </c>
      <c r="BZ286" s="607">
        <f t="shared" si="414"/>
        <v>75.602062500000002</v>
      </c>
      <c r="CA286" s="1070">
        <f t="shared" si="414"/>
        <v>63.568124999999995</v>
      </c>
      <c r="CB286" s="1070">
        <f t="shared" si="414"/>
        <v>57.8323125</v>
      </c>
      <c r="CC286" s="1070">
        <f t="shared" si="414"/>
        <v>55.268437500000005</v>
      </c>
      <c r="CD286" s="607">
        <f t="shared" si="414"/>
        <v>53.651812500000005</v>
      </c>
      <c r="CE286" s="1070">
        <f t="shared" si="414"/>
        <v>51.245718750000002</v>
      </c>
      <c r="CF286" s="1070">
        <f t="shared" si="414"/>
        <v>48.9375</v>
      </c>
      <c r="CG286" s="608">
        <f t="shared" si="414"/>
        <v>46.939218750000002</v>
      </c>
      <c r="CH286" s="607">
        <f t="shared" si="414"/>
        <v>44.940937499999997</v>
      </c>
      <c r="CI286" s="1070">
        <f t="shared" si="414"/>
        <v>42.967124999999996</v>
      </c>
      <c r="CJ286" s="1070">
        <f t="shared" si="414"/>
        <v>41.115656250000001</v>
      </c>
      <c r="CK286" s="608">
        <f t="shared" si="414"/>
        <v>39.41915625</v>
      </c>
      <c r="CL286" s="607">
        <f t="shared" si="414"/>
        <v>38.06521875</v>
      </c>
      <c r="CM286" s="1070">
        <f t="shared" si="414"/>
        <v>37.110937499999999</v>
      </c>
      <c r="CN286" s="1070">
        <f t="shared" si="414"/>
        <v>36.458437499999995</v>
      </c>
      <c r="CO286" s="1070">
        <f t="shared" si="414"/>
        <v>35.9690625</v>
      </c>
      <c r="CP286" s="607">
        <f t="shared" si="414"/>
        <v>17.862187500000001</v>
      </c>
      <c r="CQ286" s="1070"/>
      <c r="CR286" s="1070"/>
      <c r="CS286" s="1070"/>
      <c r="CT286" s="607"/>
      <c r="CU286" s="1070"/>
      <c r="CV286" s="1070"/>
      <c r="CW286" s="608"/>
      <c r="CX286" s="607"/>
      <c r="CY286" s="1070"/>
      <c r="CZ286" s="1070"/>
      <c r="DA286" s="1070"/>
      <c r="DB286" s="607"/>
      <c r="DC286" s="1070"/>
      <c r="DD286" s="1070"/>
      <c r="DE286" s="1070"/>
      <c r="DF286" s="1070"/>
      <c r="DG286" s="1070"/>
      <c r="DH286" s="1070"/>
      <c r="DI286" s="1070"/>
      <c r="DJ286" s="1070"/>
      <c r="DK286" s="1070"/>
      <c r="DL286" s="1070"/>
      <c r="DM286" s="608"/>
      <c r="DN286" s="608"/>
      <c r="DO286" s="608"/>
      <c r="DP286" s="608"/>
      <c r="DQ286" s="608"/>
      <c r="DR286" s="608"/>
      <c r="DS286" s="608"/>
      <c r="DT286" s="608"/>
      <c r="DU286" s="608"/>
      <c r="DV286" s="608"/>
      <c r="DW286" s="608"/>
      <c r="DX286" s="608"/>
      <c r="DY286" s="608"/>
    </row>
    <row r="287" spans="1:130" ht="15" customHeight="1">
      <c r="A287" s="1603" t="s">
        <v>834</v>
      </c>
      <c r="B287" s="86"/>
      <c r="C287" s="86"/>
      <c r="D287" s="86"/>
      <c r="E287" s="86"/>
      <c r="F287" s="86"/>
      <c r="G287" s="86"/>
      <c r="H287" s="86"/>
      <c r="I287" s="86"/>
      <c r="J287" s="86"/>
      <c r="K287" s="86"/>
      <c r="L287" s="86"/>
      <c r="M287" s="86"/>
      <c r="N287" s="86"/>
      <c r="O287" s="86"/>
      <c r="P287" s="86"/>
      <c r="Q287" s="1064"/>
      <c r="R287" s="86"/>
      <c r="S287" s="86"/>
      <c r="T287" s="1064"/>
      <c r="U287" s="1064"/>
      <c r="V287" s="86"/>
      <c r="W287" s="86"/>
      <c r="X287" s="86"/>
      <c r="Y287" s="86"/>
      <c r="Z287" s="86"/>
      <c r="AA287" s="1064"/>
      <c r="AB287" s="1064"/>
      <c r="AC287" s="1064"/>
      <c r="AD287" s="1064"/>
      <c r="AE287" s="1064"/>
      <c r="AF287" s="1064"/>
      <c r="AG287" s="1064"/>
      <c r="AH287" s="1947"/>
      <c r="AI287" s="606"/>
      <c r="AJ287" s="1947"/>
      <c r="AK287" s="86"/>
      <c r="AL287" s="86"/>
      <c r="AM287" s="86"/>
      <c r="AN287" s="86"/>
      <c r="AO287" s="86"/>
      <c r="AP287" s="86"/>
      <c r="AQ287" s="86"/>
      <c r="AR287" s="86"/>
      <c r="AS287" s="86"/>
      <c r="AT287" s="86"/>
      <c r="AU287" s="86"/>
      <c r="AV287" s="86"/>
      <c r="AW287" s="86"/>
      <c r="AX287" s="86"/>
      <c r="AY287" s="86"/>
      <c r="AZ287" s="86"/>
      <c r="BA287" s="86"/>
      <c r="BB287" s="86"/>
      <c r="BC287" s="86"/>
      <c r="BD287" s="86"/>
      <c r="BE287" s="86"/>
      <c r="BF287" s="86"/>
      <c r="BG287" s="86"/>
      <c r="BH287" s="86"/>
      <c r="BI287" s="86"/>
      <c r="BJ287" s="86"/>
      <c r="BK287" s="86"/>
      <c r="BL287" s="86"/>
      <c r="BM287" s="86"/>
      <c r="BN287" s="86"/>
      <c r="BO287" s="86"/>
      <c r="BP287" s="86"/>
      <c r="BQ287" s="86"/>
      <c r="BR287" s="569"/>
      <c r="BS287" s="1064"/>
      <c r="BT287" s="1064"/>
      <c r="BU287" s="1064"/>
      <c r="BV287" s="569">
        <f t="shared" ref="BV287:CP287" si="415">BV286/BR286-1</f>
        <v>3.9319531375381134E-2</v>
      </c>
      <c r="BW287" s="1064">
        <f t="shared" si="415"/>
        <v>-2.1827252884315418E-2</v>
      </c>
      <c r="BX287" s="1064">
        <f t="shared" si="415"/>
        <v>-9.390556645044501E-2</v>
      </c>
      <c r="BY287" s="1064">
        <f t="shared" si="415"/>
        <v>-0.14187504721613664</v>
      </c>
      <c r="BZ287" s="569">
        <f t="shared" si="415"/>
        <v>-0.29247325790330725</v>
      </c>
      <c r="CA287" s="1064">
        <f t="shared" si="415"/>
        <v>-0.38593980931405225</v>
      </c>
      <c r="CB287" s="1064">
        <f t="shared" si="415"/>
        <v>-0.4164673876028242</v>
      </c>
      <c r="CC287" s="1064">
        <f t="shared" si="415"/>
        <v>-0.41022937358442235</v>
      </c>
      <c r="CD287" s="569">
        <f t="shared" si="415"/>
        <v>-0.2903393012591422</v>
      </c>
      <c r="CE287" s="1064">
        <f t="shared" si="415"/>
        <v>-0.19384567737368363</v>
      </c>
      <c r="CF287" s="1064">
        <f t="shared" si="415"/>
        <v>-0.15380350733856618</v>
      </c>
      <c r="CG287" s="568">
        <f t="shared" si="415"/>
        <v>-0.15070479873797771</v>
      </c>
      <c r="CH287" s="569">
        <f t="shared" si="415"/>
        <v>-0.16235937975068426</v>
      </c>
      <c r="CI287" s="1064">
        <f t="shared" si="415"/>
        <v>-0.16154703167276785</v>
      </c>
      <c r="CJ287" s="1064">
        <f t="shared" si="415"/>
        <v>-0.15983333333333327</v>
      </c>
      <c r="CK287" s="568">
        <f t="shared" si="415"/>
        <v>-0.16020851433536054</v>
      </c>
      <c r="CL287" s="569">
        <f t="shared" si="415"/>
        <v>-0.15299455535390194</v>
      </c>
      <c r="CM287" s="1064">
        <f t="shared" si="415"/>
        <v>-0.13629460895975698</v>
      </c>
      <c r="CN287" s="1064">
        <f t="shared" si="415"/>
        <v>-0.11327117635389816</v>
      </c>
      <c r="CO287" s="1064">
        <f t="shared" si="415"/>
        <v>-8.7523277467411509E-2</v>
      </c>
      <c r="CP287" s="569">
        <f t="shared" si="415"/>
        <v>-0.5307478037283051</v>
      </c>
      <c r="CQ287" s="1064"/>
      <c r="CR287" s="1064"/>
      <c r="CS287" s="1064"/>
      <c r="CT287" s="569"/>
      <c r="CU287" s="1064"/>
      <c r="CV287" s="1064"/>
      <c r="CW287" s="568"/>
      <c r="CX287" s="569"/>
      <c r="CY287" s="1064"/>
      <c r="CZ287" s="1064"/>
      <c r="DA287" s="1064"/>
      <c r="DB287" s="569"/>
      <c r="DC287" s="1064"/>
      <c r="DD287" s="1064"/>
      <c r="DE287" s="1064"/>
      <c r="DF287" s="1064"/>
      <c r="DG287" s="1064"/>
      <c r="DH287" s="1064"/>
      <c r="DI287" s="1064"/>
      <c r="DJ287" s="1064"/>
      <c r="DK287" s="1064"/>
      <c r="DL287" s="1064"/>
      <c r="DM287" s="568"/>
      <c r="DN287" s="568"/>
      <c r="DO287" s="568"/>
      <c r="DP287" s="568"/>
      <c r="DQ287" s="568"/>
      <c r="DR287" s="568"/>
      <c r="DS287" s="568"/>
      <c r="DT287" s="568"/>
      <c r="DU287" s="568"/>
      <c r="DV287" s="568"/>
      <c r="DW287" s="568"/>
      <c r="DX287" s="568"/>
      <c r="DY287" s="568"/>
    </row>
    <row r="288" spans="1:130" ht="15" customHeight="1">
      <c r="A288" s="1603"/>
      <c r="B288" s="86"/>
      <c r="C288" s="86"/>
      <c r="D288" s="86"/>
      <c r="E288" s="86"/>
      <c r="F288" s="86"/>
      <c r="G288" s="86"/>
      <c r="H288" s="86"/>
      <c r="I288" s="86"/>
      <c r="J288" s="86"/>
      <c r="K288" s="86"/>
      <c r="L288" s="86"/>
      <c r="M288" s="86"/>
      <c r="N288" s="86"/>
      <c r="O288" s="86"/>
      <c r="P288" s="86"/>
      <c r="Q288" s="1064"/>
      <c r="R288" s="86"/>
      <c r="S288" s="86"/>
      <c r="T288" s="1064"/>
      <c r="U288" s="1064"/>
      <c r="V288" s="86"/>
      <c r="W288" s="86"/>
      <c r="X288" s="86"/>
      <c r="Y288" s="86"/>
      <c r="Z288" s="86"/>
      <c r="AA288" s="1064"/>
      <c r="AB288" s="1064"/>
      <c r="AC288" s="1064"/>
      <c r="AD288" s="1064"/>
      <c r="AE288" s="1064"/>
      <c r="AF288" s="1064"/>
      <c r="AG288" s="1064"/>
      <c r="AH288" s="1947"/>
      <c r="AI288" s="606"/>
      <c r="AJ288" s="1947"/>
      <c r="AK288" s="86"/>
      <c r="AL288" s="86"/>
      <c r="AM288" s="86"/>
      <c r="AN288" s="86"/>
      <c r="AO288" s="86"/>
      <c r="AP288" s="86"/>
      <c r="AQ288" s="86"/>
      <c r="AR288" s="86"/>
      <c r="AS288" s="86"/>
      <c r="AT288" s="86"/>
      <c r="AU288" s="86"/>
      <c r="AV288" s="86"/>
      <c r="AW288" s="86"/>
      <c r="AX288" s="86"/>
      <c r="AY288" s="86"/>
      <c r="AZ288" s="86"/>
      <c r="BA288" s="86"/>
      <c r="BB288" s="86"/>
      <c r="BC288" s="86"/>
      <c r="BD288" s="86"/>
      <c r="BE288" s="86"/>
      <c r="BF288" s="86"/>
      <c r="BG288" s="86"/>
      <c r="BH288" s="86"/>
      <c r="BI288" s="86"/>
      <c r="BJ288" s="86"/>
      <c r="BK288" s="86"/>
      <c r="BL288" s="86"/>
      <c r="BM288" s="86"/>
      <c r="BN288" s="86"/>
      <c r="BO288" s="86"/>
      <c r="BP288" s="86"/>
      <c r="BQ288" s="86"/>
      <c r="BR288" s="569"/>
      <c r="BS288" s="1064"/>
      <c r="BT288" s="1064"/>
      <c r="BU288" s="1064"/>
      <c r="BV288" s="569"/>
      <c r="BW288" s="1064"/>
      <c r="BX288" s="1064"/>
      <c r="BY288" s="1064"/>
      <c r="BZ288" s="569"/>
      <c r="CA288" s="1064"/>
      <c r="CB288" s="1064"/>
      <c r="CC288" s="1064"/>
      <c r="CD288" s="569"/>
      <c r="CE288" s="1064"/>
      <c r="CF288" s="1064"/>
      <c r="CG288" s="568"/>
      <c r="CH288" s="569"/>
      <c r="CI288" s="1064"/>
      <c r="CJ288" s="1064"/>
      <c r="CK288" s="568"/>
      <c r="CL288" s="569"/>
      <c r="CM288" s="1064"/>
      <c r="CN288" s="1064"/>
      <c r="CO288" s="1064"/>
      <c r="CP288" s="569"/>
      <c r="CQ288" s="1064"/>
      <c r="CR288" s="1064"/>
      <c r="CS288" s="1064"/>
      <c r="CT288" s="569"/>
      <c r="CU288" s="1064"/>
      <c r="CV288" s="1064"/>
      <c r="CW288" s="568"/>
      <c r="CX288" s="569"/>
      <c r="CY288" s="1064"/>
      <c r="CZ288" s="1064"/>
      <c r="DA288" s="1064"/>
      <c r="DB288" s="569"/>
      <c r="DC288" s="1064"/>
      <c r="DD288" s="1064"/>
      <c r="DE288" s="1064"/>
      <c r="DF288" s="1064"/>
      <c r="DG288" s="1064"/>
      <c r="DH288" s="1064"/>
      <c r="DI288" s="1064"/>
      <c r="DJ288" s="1064"/>
      <c r="DK288" s="1064"/>
      <c r="DL288" s="1064"/>
      <c r="DM288" s="568"/>
      <c r="DN288" s="568"/>
      <c r="DO288" s="568"/>
      <c r="DP288" s="568"/>
      <c r="DQ288" s="568"/>
      <c r="DR288" s="568"/>
      <c r="DS288" s="568"/>
      <c r="DT288" s="568"/>
      <c r="DU288" s="568"/>
      <c r="DV288" s="568"/>
      <c r="DW288" s="568"/>
      <c r="DX288" s="568"/>
      <c r="DY288" s="568"/>
    </row>
    <row r="289" spans="1:130" ht="15" customHeight="1">
      <c r="A289" s="1603" t="s">
        <v>279</v>
      </c>
      <c r="B289" s="602"/>
      <c r="C289" s="602"/>
      <c r="D289" s="602"/>
      <c r="E289" s="602"/>
      <c r="F289" s="602"/>
      <c r="G289" s="602"/>
      <c r="H289" s="602"/>
      <c r="I289" s="602"/>
      <c r="J289" s="602"/>
      <c r="K289" s="602"/>
      <c r="L289" s="602" t="s">
        <v>1090</v>
      </c>
      <c r="M289" s="602">
        <f>SUM(BV289:BY289)</f>
        <v>3177.806</v>
      </c>
      <c r="N289" s="602">
        <f>SUM(BZ289:CC289)</f>
        <v>3060.7290625000005</v>
      </c>
      <c r="O289" s="602">
        <f>SUM(CD289:CG289)</f>
        <v>3144.2257499999996</v>
      </c>
      <c r="P289" s="602">
        <f>SUM(CH289:CK289)</f>
        <v>3172.5571249999998</v>
      </c>
      <c r="Q289" s="1294">
        <f>SUM(CL289:CO289)</f>
        <v>3156.6943393749998</v>
      </c>
      <c r="R289" s="602"/>
      <c r="S289" s="602"/>
      <c r="T289" s="1294"/>
      <c r="U289" s="1294"/>
      <c r="V289" s="602"/>
      <c r="W289" s="602"/>
      <c r="X289" s="602"/>
      <c r="Y289" s="602"/>
      <c r="Z289" s="602"/>
      <c r="AA289" s="1294"/>
      <c r="AB289" s="1294"/>
      <c r="AC289" s="1294"/>
      <c r="AD289" s="1294"/>
      <c r="AE289" s="1294"/>
      <c r="AF289" s="1294"/>
      <c r="AG289" s="1294"/>
      <c r="AH289" s="1972"/>
      <c r="AI289" s="606"/>
      <c r="AJ289" s="1972"/>
      <c r="AK289" s="602"/>
      <c r="AL289" s="602"/>
      <c r="AM289" s="602"/>
      <c r="AN289" s="602"/>
      <c r="AO289" s="602"/>
      <c r="AP289" s="602"/>
      <c r="AQ289" s="602"/>
      <c r="AR289" s="602"/>
      <c r="AS289" s="602"/>
      <c r="AT289" s="602"/>
      <c r="AU289" s="602"/>
      <c r="AV289" s="602"/>
      <c r="AW289" s="602"/>
      <c r="AX289" s="602"/>
      <c r="AY289" s="602"/>
      <c r="AZ289" s="602"/>
      <c r="BA289" s="602"/>
      <c r="BB289" s="602"/>
      <c r="BC289" s="602"/>
      <c r="BD289" s="602"/>
      <c r="BE289" s="602"/>
      <c r="BF289" s="602"/>
      <c r="BG289" s="602"/>
      <c r="BH289" s="602"/>
      <c r="BI289" s="602"/>
      <c r="BJ289" s="602"/>
      <c r="BK289" s="602"/>
      <c r="BL289" s="602"/>
      <c r="BM289" s="602"/>
      <c r="BN289" s="602"/>
      <c r="BO289" s="602"/>
      <c r="BP289" s="602"/>
      <c r="BQ289" s="602"/>
      <c r="BR289" s="2461"/>
      <c r="BS289" s="1294"/>
      <c r="BT289" s="1294"/>
      <c r="BU289" s="1294"/>
      <c r="BV289" s="2461">
        <f t="shared" ref="BV289:CK289" si="416">BV21-BV286</f>
        <v>772.14599999999996</v>
      </c>
      <c r="BW289" s="1294">
        <f t="shared" si="416"/>
        <v>804.47900000000004</v>
      </c>
      <c r="BX289" s="1294">
        <f t="shared" si="416"/>
        <v>816.89274999999998</v>
      </c>
      <c r="BY289" s="1294">
        <f t="shared" si="416"/>
        <v>784.28825000000006</v>
      </c>
      <c r="BZ289" s="2461">
        <f t="shared" si="416"/>
        <v>760.39793750000001</v>
      </c>
      <c r="CA289" s="1294">
        <f t="shared" si="416"/>
        <v>767.43187499999999</v>
      </c>
      <c r="CB289" s="1294">
        <f t="shared" si="416"/>
        <v>748.16768750000006</v>
      </c>
      <c r="CC289" s="1294">
        <f t="shared" si="416"/>
        <v>784.7315625</v>
      </c>
      <c r="CD289" s="2461">
        <f t="shared" si="416"/>
        <v>796.34818749999999</v>
      </c>
      <c r="CE289" s="1294">
        <f t="shared" si="416"/>
        <v>792.75428124999996</v>
      </c>
      <c r="CF289" s="1294">
        <f t="shared" si="416"/>
        <v>787.0625</v>
      </c>
      <c r="CG289" s="1521">
        <f t="shared" si="416"/>
        <v>768.06078124999999</v>
      </c>
      <c r="CH289" s="2461">
        <f t="shared" si="416"/>
        <v>789.05906249999998</v>
      </c>
      <c r="CI289" s="1294">
        <f t="shared" si="416"/>
        <v>803.03287499999999</v>
      </c>
      <c r="CJ289" s="1294">
        <f t="shared" si="416"/>
        <v>809.88434374999997</v>
      </c>
      <c r="CK289" s="1521">
        <f t="shared" si="416"/>
        <v>770.58084374999999</v>
      </c>
      <c r="CL289" s="2461">
        <f>CH289*(1+CL290)</f>
        <v>785.1137671875</v>
      </c>
      <c r="CM289" s="1294">
        <f>CI289*(1+CM290)</f>
        <v>799.01771062499995</v>
      </c>
      <c r="CN289" s="1294">
        <f>CJ289*(1+CN290)</f>
        <v>805.83492203125002</v>
      </c>
      <c r="CO289" s="1294">
        <f>CK289*(1+CO290)</f>
        <v>766.72793953124994</v>
      </c>
      <c r="CP289" s="2461">
        <f>CL289*(1+CP290)</f>
        <v>781.18819835156251</v>
      </c>
      <c r="CQ289" s="1294"/>
      <c r="CR289" s="1294"/>
      <c r="CS289" s="1294"/>
      <c r="CT289" s="2461"/>
      <c r="CU289" s="1294"/>
      <c r="CV289" s="1294"/>
      <c r="CW289" s="1521"/>
      <c r="CX289" s="2461"/>
      <c r="CY289" s="1294"/>
      <c r="CZ289" s="1294"/>
      <c r="DA289" s="1294"/>
      <c r="DB289" s="2461"/>
      <c r="DC289" s="1294"/>
      <c r="DD289" s="1294"/>
      <c r="DE289" s="1294"/>
      <c r="DF289" s="1294"/>
      <c r="DG289" s="1294"/>
      <c r="DH289" s="1294"/>
      <c r="DI289" s="1294"/>
      <c r="DJ289" s="1294"/>
      <c r="DK289" s="1294"/>
      <c r="DL289" s="1294"/>
      <c r="DM289" s="1521"/>
      <c r="DN289" s="1521"/>
      <c r="DO289" s="1521"/>
      <c r="DP289" s="1521"/>
      <c r="DQ289" s="1521"/>
      <c r="DR289" s="1521"/>
      <c r="DS289" s="1521"/>
      <c r="DT289" s="1521"/>
      <c r="DU289" s="1521"/>
      <c r="DV289" s="1521"/>
      <c r="DW289" s="1521"/>
      <c r="DX289" s="1521"/>
      <c r="DY289" s="1521"/>
    </row>
    <row r="290" spans="1:130" ht="15" customHeight="1">
      <c r="A290" s="1603" t="s">
        <v>834</v>
      </c>
      <c r="B290" s="562"/>
      <c r="C290" s="562"/>
      <c r="D290" s="562"/>
      <c r="E290" s="562"/>
      <c r="F290" s="562"/>
      <c r="G290" s="562"/>
      <c r="H290" s="562"/>
      <c r="I290" s="562"/>
      <c r="J290" s="562"/>
      <c r="K290" s="562"/>
      <c r="L290" s="562"/>
      <c r="M290" s="562"/>
      <c r="N290" s="562">
        <f>N289/M289-1</f>
        <v>-3.6842065720814832E-2</v>
      </c>
      <c r="O290" s="562">
        <f>O289/N289-1</f>
        <v>2.7279999567096258E-2</v>
      </c>
      <c r="P290" s="562">
        <f>P289/O289-1</f>
        <v>9.0106045979683191E-3</v>
      </c>
      <c r="Q290" s="1065">
        <f>Q289/P289-1</f>
        <v>-5.0000000000000044E-3</v>
      </c>
      <c r="R290" s="110"/>
      <c r="S290" s="110"/>
      <c r="T290" s="1059"/>
      <c r="U290" s="1059"/>
      <c r="V290" s="110"/>
      <c r="W290" s="110"/>
      <c r="X290" s="110"/>
      <c r="Y290" s="110"/>
      <c r="Z290" s="110"/>
      <c r="AA290" s="1059"/>
      <c r="AB290" s="1059"/>
      <c r="AC290" s="1059"/>
      <c r="AD290" s="1059"/>
      <c r="AE290" s="1059"/>
      <c r="AF290" s="1059"/>
      <c r="AG290" s="1059"/>
      <c r="AH290" s="1927"/>
      <c r="AI290" s="606"/>
      <c r="AJ290" s="1927"/>
      <c r="AK290" s="562"/>
      <c r="AL290" s="562"/>
      <c r="AM290" s="562"/>
      <c r="AN290" s="562"/>
      <c r="AO290" s="562"/>
      <c r="AP290" s="562"/>
      <c r="AQ290" s="562"/>
      <c r="AR290" s="562"/>
      <c r="AS290" s="562"/>
      <c r="AT290" s="562"/>
      <c r="AU290" s="562"/>
      <c r="AV290" s="562"/>
      <c r="AW290" s="562"/>
      <c r="AX290" s="562"/>
      <c r="AY290" s="562"/>
      <c r="AZ290" s="562"/>
      <c r="BA290" s="562"/>
      <c r="BB290" s="562"/>
      <c r="BC290" s="562"/>
      <c r="BD290" s="562"/>
      <c r="BE290" s="562"/>
      <c r="BF290" s="562"/>
      <c r="BG290" s="562"/>
      <c r="BH290" s="562"/>
      <c r="BI290" s="562"/>
      <c r="BJ290" s="562"/>
      <c r="BK290" s="562"/>
      <c r="BL290" s="562"/>
      <c r="BM290" s="562"/>
      <c r="BN290" s="562"/>
      <c r="BO290" s="562"/>
      <c r="BP290" s="562"/>
      <c r="BQ290" s="562"/>
      <c r="BR290" s="563"/>
      <c r="BS290" s="1065"/>
      <c r="BT290" s="1065"/>
      <c r="BU290" s="1065"/>
      <c r="BV290" s="563"/>
      <c r="BW290" s="1065"/>
      <c r="BX290" s="1065"/>
      <c r="BY290" s="1065"/>
      <c r="BZ290" s="563">
        <f t="shared" ref="BZ290:CK290" si="417">BZ289/BV289-1</f>
        <v>-1.5214820124691331E-2</v>
      </c>
      <c r="CA290" s="1065">
        <f t="shared" si="417"/>
        <v>-4.6051077778288874E-2</v>
      </c>
      <c r="CB290" s="1065">
        <f t="shared" si="417"/>
        <v>-8.4129847522823487E-2</v>
      </c>
      <c r="CC290" s="1065">
        <f t="shared" si="417"/>
        <v>5.652417972601409E-4</v>
      </c>
      <c r="CD290" s="563">
        <f t="shared" si="417"/>
        <v>4.7278205564569964E-2</v>
      </c>
      <c r="CE290" s="1065">
        <f t="shared" si="417"/>
        <v>3.2996292016147954E-2</v>
      </c>
      <c r="CF290" s="1065">
        <f t="shared" si="417"/>
        <v>5.1986757981979714E-2</v>
      </c>
      <c r="CG290" s="564">
        <f t="shared" si="417"/>
        <v>-2.124392855677959E-2</v>
      </c>
      <c r="CH290" s="563">
        <f t="shared" si="417"/>
        <v>-9.153188409812274E-3</v>
      </c>
      <c r="CI290" s="1065">
        <f t="shared" si="417"/>
        <v>1.2965674223534895E-2</v>
      </c>
      <c r="CJ290" s="1065">
        <f t="shared" si="417"/>
        <v>2.8996228063209672E-2</v>
      </c>
      <c r="CK290" s="564">
        <f t="shared" si="417"/>
        <v>3.2810717088023189E-3</v>
      </c>
      <c r="CL290" s="165">
        <v>-5.0000000000000001E-3</v>
      </c>
      <c r="CM290" s="1059">
        <f>+CL290</f>
        <v>-5.0000000000000001E-3</v>
      </c>
      <c r="CN290" s="1059">
        <f>+CM290</f>
        <v>-5.0000000000000001E-3</v>
      </c>
      <c r="CO290" s="1059">
        <f>+CN290</f>
        <v>-5.0000000000000001E-3</v>
      </c>
      <c r="CP290" s="165">
        <f>+CO290</f>
        <v>-5.0000000000000001E-3</v>
      </c>
      <c r="CQ290" s="1065"/>
      <c r="CR290" s="1065"/>
      <c r="CS290" s="1065"/>
      <c r="CT290" s="563"/>
      <c r="CU290" s="1065"/>
      <c r="CV290" s="1065"/>
      <c r="CW290" s="564"/>
      <c r="CX290" s="563"/>
      <c r="CY290" s="1065"/>
      <c r="CZ290" s="1065"/>
      <c r="DA290" s="1065"/>
      <c r="DB290" s="563"/>
      <c r="DC290" s="1065"/>
      <c r="DD290" s="1065"/>
      <c r="DE290" s="1065"/>
      <c r="DF290" s="1065"/>
      <c r="DG290" s="1065"/>
      <c r="DH290" s="1065"/>
      <c r="DI290" s="1065"/>
      <c r="DJ290" s="1065"/>
      <c r="DK290" s="1065"/>
      <c r="DL290" s="1065"/>
      <c r="DM290" s="564"/>
      <c r="DN290" s="564"/>
      <c r="DO290" s="564"/>
      <c r="DP290" s="564"/>
      <c r="DQ290" s="564"/>
      <c r="DR290" s="564"/>
      <c r="DS290" s="564"/>
      <c r="DT290" s="564"/>
      <c r="DU290" s="564"/>
      <c r="DV290" s="564"/>
      <c r="DW290" s="564"/>
      <c r="DX290" s="564"/>
      <c r="DY290" s="564"/>
    </row>
    <row r="291" spans="1:130" ht="15" customHeight="1">
      <c r="A291" s="1603"/>
      <c r="B291" s="86"/>
      <c r="C291" s="86"/>
      <c r="D291" s="86"/>
      <c r="E291" s="86"/>
      <c r="F291" s="86"/>
      <c r="G291" s="86"/>
      <c r="H291" s="86"/>
      <c r="I291" s="86"/>
      <c r="J291" s="86"/>
      <c r="K291" s="86"/>
      <c r="L291" s="86"/>
      <c r="M291" s="86"/>
      <c r="N291" s="86"/>
      <c r="O291" s="86"/>
      <c r="P291" s="86"/>
      <c r="Q291" s="1064"/>
      <c r="R291" s="86"/>
      <c r="S291" s="86"/>
      <c r="T291" s="1064"/>
      <c r="U291" s="1064"/>
      <c r="V291" s="86"/>
      <c r="W291" s="86"/>
      <c r="X291" s="86"/>
      <c r="Y291" s="86"/>
      <c r="Z291" s="86"/>
      <c r="AA291" s="1064"/>
      <c r="AB291" s="1064"/>
      <c r="AC291" s="1064"/>
      <c r="AD291" s="1064"/>
      <c r="AE291" s="1064"/>
      <c r="AF291" s="1064"/>
      <c r="AG291" s="1064"/>
      <c r="AH291" s="1947"/>
      <c r="AI291" s="606"/>
      <c r="AJ291" s="1947"/>
      <c r="AK291" s="86"/>
      <c r="AL291" s="86"/>
      <c r="AM291" s="86"/>
      <c r="AN291" s="86"/>
      <c r="AO291" s="86"/>
      <c r="AP291" s="86"/>
      <c r="AQ291" s="86"/>
      <c r="AR291" s="86"/>
      <c r="AS291" s="86"/>
      <c r="AT291" s="86"/>
      <c r="AU291" s="86"/>
      <c r="AV291" s="86"/>
      <c r="AW291" s="86"/>
      <c r="AX291" s="86"/>
      <c r="AY291" s="86"/>
      <c r="AZ291" s="86"/>
      <c r="BA291" s="86"/>
      <c r="BB291" s="86"/>
      <c r="BC291" s="86"/>
      <c r="BD291" s="86"/>
      <c r="BE291" s="86"/>
      <c r="BF291" s="86"/>
      <c r="BG291" s="86"/>
      <c r="BH291" s="86"/>
      <c r="BI291" s="86"/>
      <c r="BJ291" s="86"/>
      <c r="BK291" s="86"/>
      <c r="BL291" s="86"/>
      <c r="BM291" s="86"/>
      <c r="BN291" s="86"/>
      <c r="BO291" s="86"/>
      <c r="BP291" s="86"/>
      <c r="BQ291" s="86"/>
      <c r="BR291" s="569"/>
      <c r="BS291" s="1064"/>
      <c r="BT291" s="1064"/>
      <c r="BU291" s="1064"/>
      <c r="BV291" s="569"/>
      <c r="BW291" s="1064"/>
      <c r="BX291" s="1064"/>
      <c r="BY291" s="1064"/>
      <c r="BZ291" s="569"/>
      <c r="CA291" s="1064"/>
      <c r="CB291" s="1064"/>
      <c r="CC291" s="1064"/>
      <c r="CD291" s="569"/>
      <c r="CE291" s="1064"/>
      <c r="CF291" s="1064"/>
      <c r="CG291" s="568"/>
      <c r="CH291" s="569"/>
      <c r="CI291" s="1064"/>
      <c r="CJ291" s="1064"/>
      <c r="CK291" s="568"/>
      <c r="CL291" s="569"/>
      <c r="CM291" s="1064"/>
      <c r="CN291" s="1064"/>
      <c r="CO291" s="1064"/>
      <c r="CP291" s="569"/>
      <c r="CQ291" s="1064"/>
      <c r="CR291" s="1064"/>
      <c r="CS291" s="1064"/>
      <c r="CT291" s="569"/>
      <c r="CU291" s="1064"/>
      <c r="CV291" s="1064"/>
      <c r="CW291" s="568"/>
      <c r="CX291" s="569"/>
      <c r="CY291" s="1064"/>
      <c r="CZ291" s="1064"/>
      <c r="DA291" s="1064"/>
      <c r="DB291" s="569"/>
      <c r="DC291" s="1064"/>
      <c r="DD291" s="1064"/>
      <c r="DE291" s="1064"/>
      <c r="DF291" s="1064"/>
      <c r="DG291" s="1064"/>
      <c r="DH291" s="1064"/>
      <c r="DI291" s="1064"/>
      <c r="DJ291" s="1064"/>
      <c r="DK291" s="1064"/>
      <c r="DL291" s="1064"/>
      <c r="DM291" s="568"/>
      <c r="DN291" s="568"/>
      <c r="DO291" s="568"/>
      <c r="DP291" s="568"/>
      <c r="DQ291" s="568"/>
      <c r="DR291" s="568"/>
      <c r="DS291" s="568"/>
      <c r="DT291" s="568"/>
      <c r="DU291" s="568"/>
      <c r="DV291" s="568"/>
      <c r="DW291" s="568"/>
      <c r="DX291" s="568"/>
      <c r="DY291" s="568"/>
    </row>
    <row r="292" spans="1:130" ht="15" customHeight="1">
      <c r="A292" s="1595" t="s">
        <v>280</v>
      </c>
      <c r="B292" s="145"/>
      <c r="C292" s="602"/>
      <c r="D292" s="602"/>
      <c r="E292" s="602"/>
      <c r="F292" s="602"/>
      <c r="G292" s="602"/>
      <c r="H292" s="602"/>
      <c r="I292" s="602"/>
      <c r="J292" s="602"/>
      <c r="K292" s="602"/>
      <c r="L292" s="602"/>
      <c r="M292" s="145">
        <f>M286+M289</f>
        <v>3581</v>
      </c>
      <c r="N292" s="145">
        <f>N286+N289</f>
        <v>3313.0000000000005</v>
      </c>
      <c r="O292" s="145">
        <f>O286+O289</f>
        <v>3344.9999999999995</v>
      </c>
      <c r="P292" s="145">
        <f>P286+P289</f>
        <v>3341</v>
      </c>
      <c r="Q292" s="1063">
        <f>Q286+Q289</f>
        <v>3304.2979956249997</v>
      </c>
      <c r="R292" s="145"/>
      <c r="S292" s="145"/>
      <c r="T292" s="1063"/>
      <c r="U292" s="1063"/>
      <c r="V292" s="145"/>
      <c r="W292" s="145"/>
      <c r="X292" s="145"/>
      <c r="Y292" s="145"/>
      <c r="Z292" s="145"/>
      <c r="AA292" s="1063"/>
      <c r="AB292" s="1063"/>
      <c r="AC292" s="1063"/>
      <c r="AD292" s="1063"/>
      <c r="AE292" s="1063"/>
      <c r="AF292" s="1063"/>
      <c r="AG292" s="1063"/>
      <c r="AH292" s="1972"/>
      <c r="AI292" s="606"/>
      <c r="AJ292" s="1972"/>
      <c r="AK292" s="602"/>
      <c r="AL292" s="602"/>
      <c r="AM292" s="602"/>
      <c r="AN292" s="602"/>
      <c r="AO292" s="602"/>
      <c r="AP292" s="602"/>
      <c r="AQ292" s="602"/>
      <c r="AR292" s="602"/>
      <c r="AS292" s="602"/>
      <c r="AT292" s="602"/>
      <c r="AU292" s="602"/>
      <c r="AV292" s="602"/>
      <c r="AW292" s="602"/>
      <c r="AX292" s="602"/>
      <c r="AY292" s="602"/>
      <c r="AZ292" s="602"/>
      <c r="BA292" s="602"/>
      <c r="BB292" s="602"/>
      <c r="BC292" s="602"/>
      <c r="BD292" s="602"/>
      <c r="BE292" s="602"/>
      <c r="BF292" s="602"/>
      <c r="BG292" s="602"/>
      <c r="BH292" s="602"/>
      <c r="BI292" s="602"/>
      <c r="BJ292" s="602"/>
      <c r="BK292" s="602"/>
      <c r="BL292" s="602"/>
      <c r="BM292" s="602"/>
      <c r="BN292" s="602"/>
      <c r="BO292" s="602"/>
      <c r="BP292" s="602"/>
      <c r="BQ292" s="602"/>
      <c r="BR292" s="2461"/>
      <c r="BS292" s="1294"/>
      <c r="BT292" s="1294"/>
      <c r="BU292" s="1294"/>
      <c r="BV292" s="146">
        <f t="shared" ref="BV292:CP292" si="418">BV286+BV289</f>
        <v>879</v>
      </c>
      <c r="BW292" s="1063">
        <f t="shared" si="418"/>
        <v>908</v>
      </c>
      <c r="BX292" s="1063">
        <f t="shared" si="418"/>
        <v>916</v>
      </c>
      <c r="BY292" s="1063">
        <f t="shared" si="418"/>
        <v>878</v>
      </c>
      <c r="BZ292" s="146">
        <f t="shared" si="418"/>
        <v>836</v>
      </c>
      <c r="CA292" s="1063">
        <f t="shared" si="418"/>
        <v>831</v>
      </c>
      <c r="CB292" s="1063">
        <f t="shared" si="418"/>
        <v>806</v>
      </c>
      <c r="CC292" s="1063">
        <f t="shared" si="418"/>
        <v>840</v>
      </c>
      <c r="CD292" s="146">
        <f t="shared" si="418"/>
        <v>850</v>
      </c>
      <c r="CE292" s="1063">
        <f t="shared" si="418"/>
        <v>844</v>
      </c>
      <c r="CF292" s="1063">
        <f t="shared" si="418"/>
        <v>836</v>
      </c>
      <c r="CG292" s="160">
        <f t="shared" si="418"/>
        <v>815</v>
      </c>
      <c r="CH292" s="146">
        <f t="shared" si="418"/>
        <v>834</v>
      </c>
      <c r="CI292" s="1063">
        <f t="shared" si="418"/>
        <v>846</v>
      </c>
      <c r="CJ292" s="1063">
        <f t="shared" si="418"/>
        <v>851</v>
      </c>
      <c r="CK292" s="160">
        <f t="shared" si="418"/>
        <v>810</v>
      </c>
      <c r="CL292" s="146">
        <f t="shared" si="418"/>
        <v>823.17898593749999</v>
      </c>
      <c r="CM292" s="1063">
        <f t="shared" si="418"/>
        <v>836.12864812499993</v>
      </c>
      <c r="CN292" s="1063">
        <f t="shared" si="418"/>
        <v>842.29335953124996</v>
      </c>
      <c r="CO292" s="1063">
        <f t="shared" si="418"/>
        <v>802.69700203124989</v>
      </c>
      <c r="CP292" s="146">
        <f t="shared" si="418"/>
        <v>799.05038585156251</v>
      </c>
      <c r="CQ292" s="1294"/>
      <c r="CR292" s="1294"/>
      <c r="CS292" s="1294"/>
      <c r="CT292" s="2461"/>
      <c r="CU292" s="1294"/>
      <c r="CV292" s="1294"/>
      <c r="CW292" s="1521"/>
      <c r="CX292" s="2461"/>
      <c r="CY292" s="1294"/>
      <c r="CZ292" s="1294"/>
      <c r="DA292" s="1294"/>
      <c r="DB292" s="2461"/>
      <c r="DC292" s="1294"/>
      <c r="DD292" s="1294"/>
      <c r="DE292" s="1294"/>
      <c r="DF292" s="1294"/>
      <c r="DG292" s="1294"/>
      <c r="DH292" s="1294"/>
      <c r="DI292" s="1294"/>
      <c r="DJ292" s="1294"/>
      <c r="DK292" s="1294"/>
      <c r="DL292" s="1294"/>
      <c r="DM292" s="1521"/>
      <c r="DN292" s="1521"/>
      <c r="DO292" s="1521"/>
      <c r="DP292" s="1521"/>
      <c r="DQ292" s="1521"/>
      <c r="DR292" s="1521"/>
      <c r="DS292" s="1521"/>
      <c r="DT292" s="1521"/>
      <c r="DU292" s="1521"/>
      <c r="DV292" s="1521"/>
      <c r="DW292" s="1521"/>
      <c r="DX292" s="1521"/>
      <c r="DY292" s="1521"/>
    </row>
    <row r="293" spans="1:130" ht="15" customHeight="1">
      <c r="A293" s="1603" t="s">
        <v>834</v>
      </c>
      <c r="B293" s="562"/>
      <c r="C293" s="562"/>
      <c r="D293" s="562"/>
      <c r="E293" s="562"/>
      <c r="F293" s="562"/>
      <c r="G293" s="562"/>
      <c r="H293" s="562"/>
      <c r="I293" s="562"/>
      <c r="J293" s="562"/>
      <c r="K293" s="562"/>
      <c r="L293" s="562"/>
      <c r="M293" s="562"/>
      <c r="N293" s="562">
        <f>N292/M292-1</f>
        <v>-7.4839430326724243E-2</v>
      </c>
      <c r="O293" s="562">
        <f>O292/N292-1</f>
        <v>9.6589194083909202E-3</v>
      </c>
      <c r="P293" s="562">
        <f>P292/O292-1</f>
        <v>-1.1958146487293098E-3</v>
      </c>
      <c r="Q293" s="1065">
        <f>Q292/P292-1</f>
        <v>-1.0985335041903688E-2</v>
      </c>
      <c r="R293" s="562"/>
      <c r="S293" s="562"/>
      <c r="T293" s="1065"/>
      <c r="U293" s="1065"/>
      <c r="V293" s="562"/>
      <c r="W293" s="562"/>
      <c r="X293" s="562"/>
      <c r="Y293" s="562"/>
      <c r="Z293" s="562"/>
      <c r="AA293" s="1065"/>
      <c r="AB293" s="1065"/>
      <c r="AC293" s="1065"/>
      <c r="AD293" s="1065"/>
      <c r="AE293" s="1065"/>
      <c r="AF293" s="1065"/>
      <c r="AG293" s="1065"/>
      <c r="AH293" s="1927"/>
      <c r="AI293" s="606"/>
      <c r="AJ293" s="1927"/>
      <c r="AK293" s="562"/>
      <c r="AL293" s="562"/>
      <c r="AM293" s="562"/>
      <c r="AN293" s="562"/>
      <c r="AO293" s="562"/>
      <c r="AP293" s="562"/>
      <c r="AQ293" s="562"/>
      <c r="AR293" s="562"/>
      <c r="AS293" s="562"/>
      <c r="AT293" s="562"/>
      <c r="AU293" s="562"/>
      <c r="AV293" s="562"/>
      <c r="AW293" s="562"/>
      <c r="AX293" s="562"/>
      <c r="AY293" s="562"/>
      <c r="AZ293" s="562"/>
      <c r="BA293" s="562"/>
      <c r="BB293" s="562"/>
      <c r="BC293" s="562"/>
      <c r="BD293" s="562"/>
      <c r="BE293" s="562"/>
      <c r="BF293" s="562"/>
      <c r="BG293" s="562"/>
      <c r="BH293" s="562"/>
      <c r="BI293" s="562"/>
      <c r="BJ293" s="562"/>
      <c r="BK293" s="562"/>
      <c r="BL293" s="562"/>
      <c r="BM293" s="562"/>
      <c r="BN293" s="562"/>
      <c r="BO293" s="562"/>
      <c r="BP293" s="562"/>
      <c r="BQ293" s="562"/>
      <c r="BR293" s="563"/>
      <c r="BS293" s="1065"/>
      <c r="BT293" s="1065"/>
      <c r="BU293" s="1065"/>
      <c r="BV293" s="563"/>
      <c r="BW293" s="1065"/>
      <c r="BX293" s="1065"/>
      <c r="BY293" s="1065"/>
      <c r="BZ293" s="563">
        <f t="shared" ref="BZ293:CP293" si="419">BZ292/BV292-1</f>
        <v>-4.8919226393629112E-2</v>
      </c>
      <c r="CA293" s="1065">
        <f t="shared" si="419"/>
        <v>-8.4801762114537493E-2</v>
      </c>
      <c r="CB293" s="1065">
        <f t="shared" si="419"/>
        <v>-0.12008733624454149</v>
      </c>
      <c r="CC293" s="1065">
        <f t="shared" si="419"/>
        <v>-4.3280182232346198E-2</v>
      </c>
      <c r="CD293" s="563">
        <f t="shared" si="419"/>
        <v>1.674641148325362E-2</v>
      </c>
      <c r="CE293" s="1065">
        <f t="shared" si="419"/>
        <v>1.564380264741283E-2</v>
      </c>
      <c r="CF293" s="1065">
        <f t="shared" si="419"/>
        <v>3.7220843672456594E-2</v>
      </c>
      <c r="CG293" s="564">
        <f t="shared" si="419"/>
        <v>-2.9761904761904767E-2</v>
      </c>
      <c r="CH293" s="563">
        <f t="shared" si="419"/>
        <v>-1.8823529411764683E-2</v>
      </c>
      <c r="CI293" s="1065">
        <f t="shared" si="419"/>
        <v>2.3696682464455776E-3</v>
      </c>
      <c r="CJ293" s="1065">
        <f t="shared" si="419"/>
        <v>1.7942583732057482E-2</v>
      </c>
      <c r="CK293" s="564">
        <f t="shared" si="419"/>
        <v>-6.1349693251533388E-3</v>
      </c>
      <c r="CL293" s="563">
        <f t="shared" si="419"/>
        <v>-1.2974837005395701E-2</v>
      </c>
      <c r="CM293" s="1065">
        <f t="shared" si="419"/>
        <v>-1.1668264627659686E-2</v>
      </c>
      <c r="CN293" s="1065">
        <f t="shared" si="419"/>
        <v>-1.0231069881022403E-2</v>
      </c>
      <c r="CO293" s="1065">
        <f t="shared" si="419"/>
        <v>-9.0160468750001277E-3</v>
      </c>
      <c r="CP293" s="563">
        <f t="shared" si="419"/>
        <v>-2.9311486928274677E-2</v>
      </c>
      <c r="CQ293" s="1065"/>
      <c r="CR293" s="1065"/>
      <c r="CS293" s="1065"/>
      <c r="CT293" s="563"/>
      <c r="CU293" s="1065"/>
      <c r="CV293" s="1065"/>
      <c r="CW293" s="564"/>
      <c r="CX293" s="563"/>
      <c r="CY293" s="1065"/>
      <c r="CZ293" s="1065"/>
      <c r="DA293" s="1065"/>
      <c r="DB293" s="563"/>
      <c r="DC293" s="1065"/>
      <c r="DD293" s="1065"/>
      <c r="DE293" s="1065"/>
      <c r="DF293" s="1065"/>
      <c r="DG293" s="1065"/>
      <c r="DH293" s="1065"/>
      <c r="DI293" s="1065"/>
      <c r="DJ293" s="1065"/>
      <c r="DK293" s="1065"/>
      <c r="DL293" s="1065"/>
      <c r="DM293" s="564"/>
      <c r="DN293" s="564"/>
      <c r="DO293" s="564"/>
      <c r="DP293" s="564"/>
      <c r="DQ293" s="564"/>
      <c r="DR293" s="564"/>
      <c r="DS293" s="564"/>
      <c r="DT293" s="564"/>
      <c r="DU293" s="564"/>
      <c r="DV293" s="564"/>
      <c r="DW293" s="564"/>
      <c r="DX293" s="564"/>
      <c r="DY293" s="564"/>
    </row>
    <row r="294" spans="1:130" ht="15" customHeight="1">
      <c r="A294" s="1605" t="s">
        <v>228</v>
      </c>
      <c r="B294" s="86"/>
      <c r="C294" s="86"/>
      <c r="D294" s="86"/>
      <c r="E294" s="86"/>
      <c r="F294" s="86"/>
      <c r="G294" s="86"/>
      <c r="H294" s="86"/>
      <c r="I294" s="86"/>
      <c r="J294" s="86"/>
      <c r="K294" s="86"/>
      <c r="L294" s="86"/>
      <c r="M294" s="184">
        <f>M292-M21</f>
        <v>0</v>
      </c>
      <c r="N294" s="184">
        <f>N292-N21</f>
        <v>0</v>
      </c>
      <c r="O294" s="184">
        <f>O292-O21</f>
        <v>0</v>
      </c>
      <c r="P294" s="184">
        <f>P292-P21</f>
        <v>0</v>
      </c>
      <c r="Q294" s="1052">
        <f>Q292-Q21</f>
        <v>0</v>
      </c>
      <c r="R294" s="184"/>
      <c r="S294" s="184"/>
      <c r="T294" s="1052"/>
      <c r="U294" s="1052"/>
      <c r="V294" s="184"/>
      <c r="W294" s="184"/>
      <c r="X294" s="184"/>
      <c r="Y294" s="184"/>
      <c r="Z294" s="184"/>
      <c r="AA294" s="1052"/>
      <c r="AB294" s="1052"/>
      <c r="AC294" s="1052"/>
      <c r="AD294" s="1052"/>
      <c r="AE294" s="1052"/>
      <c r="AF294" s="1052"/>
      <c r="AG294" s="1052"/>
      <c r="AH294" s="1974"/>
      <c r="AI294" s="606"/>
      <c r="AJ294" s="1947"/>
      <c r="AK294" s="86"/>
      <c r="AL294" s="86"/>
      <c r="AM294" s="86"/>
      <c r="AN294" s="86"/>
      <c r="AO294" s="86"/>
      <c r="AP294" s="86"/>
      <c r="AQ294" s="86"/>
      <c r="AR294" s="86"/>
      <c r="AS294" s="86"/>
      <c r="AT294" s="86"/>
      <c r="AU294" s="86"/>
      <c r="AV294" s="86"/>
      <c r="AW294" s="86"/>
      <c r="AX294" s="86"/>
      <c r="AY294" s="86"/>
      <c r="AZ294" s="86"/>
      <c r="BA294" s="86"/>
      <c r="BB294" s="86"/>
      <c r="BC294" s="86"/>
      <c r="BD294" s="86"/>
      <c r="BE294" s="86"/>
      <c r="BF294" s="86"/>
      <c r="BG294" s="86"/>
      <c r="BH294" s="86"/>
      <c r="BI294" s="86"/>
      <c r="BJ294" s="86"/>
      <c r="BK294" s="86"/>
      <c r="BL294" s="86"/>
      <c r="BM294" s="86"/>
      <c r="BN294" s="86"/>
      <c r="BO294" s="86"/>
      <c r="BP294" s="86"/>
      <c r="BQ294" s="86"/>
      <c r="BR294" s="569"/>
      <c r="BS294" s="1064"/>
      <c r="BT294" s="1064"/>
      <c r="BU294" s="1064"/>
      <c r="BV294" s="203">
        <f t="shared" ref="BV294:CP294" si="420">BV292-BV21</f>
        <v>0</v>
      </c>
      <c r="BW294" s="1052">
        <f t="shared" si="420"/>
        <v>0</v>
      </c>
      <c r="BX294" s="1052">
        <f t="shared" si="420"/>
        <v>0</v>
      </c>
      <c r="BY294" s="1052">
        <f t="shared" si="420"/>
        <v>0</v>
      </c>
      <c r="BZ294" s="203">
        <f t="shared" si="420"/>
        <v>0</v>
      </c>
      <c r="CA294" s="1052">
        <f t="shared" si="420"/>
        <v>0</v>
      </c>
      <c r="CB294" s="1052">
        <f t="shared" si="420"/>
        <v>0</v>
      </c>
      <c r="CC294" s="1052">
        <f t="shared" si="420"/>
        <v>0</v>
      </c>
      <c r="CD294" s="203">
        <f t="shared" si="420"/>
        <v>0</v>
      </c>
      <c r="CE294" s="1052">
        <f t="shared" si="420"/>
        <v>0</v>
      </c>
      <c r="CF294" s="1052">
        <f t="shared" si="420"/>
        <v>0</v>
      </c>
      <c r="CG294" s="202">
        <f t="shared" si="420"/>
        <v>0</v>
      </c>
      <c r="CH294" s="203">
        <f t="shared" si="420"/>
        <v>0</v>
      </c>
      <c r="CI294" s="1052">
        <f t="shared" si="420"/>
        <v>0</v>
      </c>
      <c r="CJ294" s="1052">
        <f t="shared" si="420"/>
        <v>0</v>
      </c>
      <c r="CK294" s="202">
        <f t="shared" si="420"/>
        <v>0</v>
      </c>
      <c r="CL294" s="203">
        <f t="shared" si="420"/>
        <v>0</v>
      </c>
      <c r="CM294" s="1052">
        <f t="shared" si="420"/>
        <v>0</v>
      </c>
      <c r="CN294" s="1052">
        <f t="shared" si="420"/>
        <v>0</v>
      </c>
      <c r="CO294" s="1052">
        <f t="shared" si="420"/>
        <v>0</v>
      </c>
      <c r="CP294" s="203">
        <f t="shared" si="420"/>
        <v>0</v>
      </c>
      <c r="CQ294" s="1064"/>
      <c r="CR294" s="1064"/>
      <c r="CS294" s="1064"/>
      <c r="CT294" s="569"/>
      <c r="CU294" s="1064"/>
      <c r="CV294" s="1064"/>
      <c r="CW294" s="568"/>
      <c r="CX294" s="569"/>
      <c r="CY294" s="1064"/>
      <c r="CZ294" s="1064"/>
      <c r="DA294" s="1064"/>
      <c r="DB294" s="569"/>
      <c r="DC294" s="1064"/>
      <c r="DD294" s="1064"/>
      <c r="DE294" s="1064"/>
      <c r="DF294" s="1064"/>
      <c r="DG294" s="1064"/>
      <c r="DH294" s="1064"/>
      <c r="DI294" s="1064"/>
      <c r="DJ294" s="1064"/>
      <c r="DK294" s="1064"/>
      <c r="DL294" s="1064"/>
      <c r="DM294" s="568"/>
      <c r="DN294" s="568"/>
      <c r="DO294" s="568"/>
      <c r="DP294" s="568"/>
      <c r="DQ294" s="568"/>
      <c r="DR294" s="568"/>
      <c r="DS294" s="568"/>
      <c r="DT294" s="568"/>
      <c r="DU294" s="568"/>
      <c r="DV294" s="568"/>
      <c r="DW294" s="568"/>
      <c r="DX294" s="568"/>
      <c r="DY294" s="568"/>
    </row>
    <row r="295" spans="1:130" ht="15" customHeight="1">
      <c r="A295" s="1603"/>
      <c r="B295" s="86"/>
      <c r="C295" s="86"/>
      <c r="D295" s="86"/>
      <c r="E295" s="86"/>
      <c r="F295" s="86"/>
      <c r="G295" s="86"/>
      <c r="H295" s="86"/>
      <c r="I295" s="86"/>
      <c r="J295" s="86"/>
      <c r="K295" s="86"/>
      <c r="L295" s="86"/>
      <c r="M295" s="86"/>
      <c r="N295" s="86"/>
      <c r="O295" s="86"/>
      <c r="P295" s="86"/>
      <c r="Q295" s="1064"/>
      <c r="R295" s="86"/>
      <c r="S295" s="86"/>
      <c r="T295" s="1064"/>
      <c r="U295" s="1064"/>
      <c r="V295" s="86"/>
      <c r="W295" s="86"/>
      <c r="X295" s="86"/>
      <c r="Y295" s="86"/>
      <c r="Z295" s="86"/>
      <c r="AA295" s="1064"/>
      <c r="AB295" s="1064"/>
      <c r="AC295" s="1064"/>
      <c r="AD295" s="1064"/>
      <c r="AE295" s="1064"/>
      <c r="AF295" s="1064"/>
      <c r="AG295" s="1064"/>
      <c r="AH295" s="1947"/>
      <c r="AI295" s="606"/>
      <c r="AJ295" s="1947"/>
      <c r="AK295" s="86"/>
      <c r="AL295" s="86"/>
      <c r="AM295" s="86"/>
      <c r="AN295" s="86"/>
      <c r="AO295" s="86"/>
      <c r="AP295" s="86"/>
      <c r="AQ295" s="86"/>
      <c r="AR295" s="86"/>
      <c r="AS295" s="86"/>
      <c r="AT295" s="86"/>
      <c r="AU295" s="86"/>
      <c r="AV295" s="86"/>
      <c r="AW295" s="86"/>
      <c r="AX295" s="86"/>
      <c r="AY295" s="86"/>
      <c r="AZ295" s="86"/>
      <c r="BA295" s="86"/>
      <c r="BB295" s="86"/>
      <c r="BC295" s="86"/>
      <c r="BD295" s="86"/>
      <c r="BE295" s="86"/>
      <c r="BF295" s="86"/>
      <c r="BG295" s="86"/>
      <c r="BH295" s="86"/>
      <c r="BI295" s="86"/>
      <c r="BJ295" s="86"/>
      <c r="BK295" s="86"/>
      <c r="BL295" s="86"/>
      <c r="BM295" s="86"/>
      <c r="BN295" s="86"/>
      <c r="BO295" s="86"/>
      <c r="BP295" s="86"/>
      <c r="BQ295" s="86"/>
      <c r="BR295" s="569"/>
      <c r="BS295" s="1064"/>
      <c r="BT295" s="1064"/>
      <c r="BU295" s="1064"/>
      <c r="BV295" s="569"/>
      <c r="BW295" s="1064"/>
      <c r="BX295" s="1064"/>
      <c r="BY295" s="1064"/>
      <c r="BZ295" s="569"/>
      <c r="CA295" s="1064"/>
      <c r="CB295" s="1064"/>
      <c r="CC295" s="1064"/>
      <c r="CD295" s="569"/>
      <c r="CE295" s="1064"/>
      <c r="CF295" s="1064"/>
      <c r="CG295" s="568"/>
      <c r="CH295" s="569"/>
      <c r="CI295" s="1064"/>
      <c r="CJ295" s="1064"/>
      <c r="CK295" s="568"/>
      <c r="CL295" s="569"/>
      <c r="CM295" s="1064"/>
      <c r="CN295" s="1064"/>
      <c r="CO295" s="1064"/>
      <c r="CP295" s="569"/>
      <c r="CQ295" s="1064"/>
      <c r="CR295" s="1064"/>
      <c r="CS295" s="1064"/>
      <c r="CT295" s="569"/>
      <c r="CU295" s="1064"/>
      <c r="CV295" s="1064"/>
      <c r="CW295" s="568"/>
      <c r="CX295" s="569"/>
      <c r="CY295" s="1064"/>
      <c r="CZ295" s="1064"/>
      <c r="DA295" s="1064"/>
      <c r="DB295" s="569"/>
      <c r="DC295" s="1064"/>
      <c r="DD295" s="1064"/>
      <c r="DE295" s="1064"/>
      <c r="DF295" s="1064"/>
      <c r="DG295" s="1064"/>
      <c r="DH295" s="1064"/>
      <c r="DI295" s="1064"/>
      <c r="DJ295" s="1064"/>
      <c r="DK295" s="1064"/>
      <c r="DL295" s="1064"/>
      <c r="DM295" s="568"/>
      <c r="DN295" s="568"/>
      <c r="DO295" s="568"/>
      <c r="DP295" s="568"/>
      <c r="DQ295" s="568"/>
      <c r="DR295" s="568"/>
      <c r="DS295" s="568"/>
      <c r="DT295" s="568"/>
      <c r="DU295" s="568"/>
      <c r="DV295" s="568"/>
      <c r="DW295" s="568"/>
      <c r="DX295" s="568"/>
      <c r="DY295" s="568"/>
    </row>
    <row r="296" spans="1:130" ht="15" customHeight="1">
      <c r="A296" s="1603"/>
      <c r="B296" s="86"/>
      <c r="C296" s="86"/>
      <c r="D296" s="86"/>
      <c r="E296" s="86"/>
      <c r="F296" s="86"/>
      <c r="G296" s="86"/>
      <c r="H296" s="86"/>
      <c r="I296" s="86"/>
      <c r="J296" s="86"/>
      <c r="K296" s="86"/>
      <c r="L296" s="86"/>
      <c r="M296" s="86"/>
      <c r="N296" s="86"/>
      <c r="O296" s="86"/>
      <c r="P296" s="86"/>
      <c r="Q296" s="1064"/>
      <c r="R296" s="86"/>
      <c r="S296" s="86"/>
      <c r="T296" s="1064"/>
      <c r="U296" s="1064"/>
      <c r="V296" s="86"/>
      <c r="W296" s="86"/>
      <c r="X296" s="86"/>
      <c r="Y296" s="86"/>
      <c r="Z296" s="86"/>
      <c r="AA296" s="1064"/>
      <c r="AB296" s="1064"/>
      <c r="AC296" s="1064"/>
      <c r="AD296" s="1064"/>
      <c r="AE296" s="1064"/>
      <c r="AF296" s="1064"/>
      <c r="AG296" s="1064"/>
      <c r="AH296" s="1947"/>
      <c r="AI296" s="606"/>
      <c r="AJ296" s="1947"/>
      <c r="AK296" s="86"/>
      <c r="AL296" s="86"/>
      <c r="AM296" s="86"/>
      <c r="AN296" s="86"/>
      <c r="AO296" s="86"/>
      <c r="AP296" s="86"/>
      <c r="AQ296" s="86"/>
      <c r="AR296" s="86"/>
      <c r="AS296" s="86"/>
      <c r="AT296" s="86"/>
      <c r="AU296" s="86"/>
      <c r="AV296" s="86"/>
      <c r="AW296" s="86"/>
      <c r="AX296" s="86"/>
      <c r="AY296" s="86"/>
      <c r="AZ296" s="86"/>
      <c r="BA296" s="86"/>
      <c r="BB296" s="86"/>
      <c r="BC296" s="86"/>
      <c r="BD296" s="86"/>
      <c r="BE296" s="86"/>
      <c r="BF296" s="86"/>
      <c r="BG296" s="86"/>
      <c r="BH296" s="86"/>
      <c r="BI296" s="86"/>
      <c r="BJ296" s="86"/>
      <c r="BK296" s="86"/>
      <c r="BL296" s="86"/>
      <c r="BM296" s="86"/>
      <c r="BN296" s="86"/>
      <c r="BO296" s="86"/>
      <c r="BP296" s="86"/>
      <c r="BQ296" s="86"/>
      <c r="BR296" s="569"/>
      <c r="BS296" s="1064"/>
      <c r="BT296" s="1064"/>
      <c r="BU296" s="1064"/>
      <c r="BV296" s="569"/>
      <c r="BW296" s="1064"/>
      <c r="BX296" s="1064"/>
      <c r="BY296" s="1064"/>
      <c r="BZ296" s="569"/>
      <c r="CA296" s="1064"/>
      <c r="CB296" s="1064"/>
      <c r="CC296" s="1064"/>
      <c r="CD296" s="569"/>
      <c r="CE296" s="1064"/>
      <c r="CF296" s="1064"/>
      <c r="CG296" s="568"/>
      <c r="CH296" s="569"/>
      <c r="CI296" s="1064"/>
      <c r="CJ296" s="1064"/>
      <c r="CK296" s="568"/>
      <c r="CL296" s="569"/>
      <c r="CM296" s="1064"/>
      <c r="CN296" s="1064"/>
      <c r="CO296" s="1064"/>
      <c r="CP296" s="569"/>
      <c r="CQ296" s="1064"/>
      <c r="CR296" s="1064"/>
      <c r="CS296" s="1064"/>
      <c r="CT296" s="569"/>
      <c r="CU296" s="1064"/>
      <c r="CV296" s="1064"/>
      <c r="CW296" s="568"/>
      <c r="CX296" s="569"/>
      <c r="CY296" s="1064"/>
      <c r="CZ296" s="1064"/>
      <c r="DA296" s="1064"/>
      <c r="DB296" s="569"/>
      <c r="DC296" s="1064"/>
      <c r="DD296" s="1064"/>
      <c r="DE296" s="1064"/>
      <c r="DF296" s="1064"/>
      <c r="DG296" s="1064"/>
      <c r="DH296" s="1064"/>
      <c r="DI296" s="1064"/>
      <c r="DJ296" s="1064"/>
      <c r="DK296" s="1064"/>
      <c r="DL296" s="1064"/>
      <c r="DM296" s="568"/>
      <c r="DN296" s="568"/>
      <c r="DO296" s="568"/>
      <c r="DP296" s="568"/>
      <c r="DQ296" s="568"/>
      <c r="DR296" s="568"/>
      <c r="DS296" s="568"/>
      <c r="DT296" s="568"/>
      <c r="DU296" s="568"/>
      <c r="DV296" s="568"/>
      <c r="DW296" s="568"/>
      <c r="DX296" s="568"/>
      <c r="DY296" s="568"/>
    </row>
    <row r="297" spans="1:130" s="1349" customFormat="1" ht="15" customHeight="1">
      <c r="A297" s="1603" t="s">
        <v>281</v>
      </c>
      <c r="B297" s="1344"/>
      <c r="C297" s="1344"/>
      <c r="D297" s="1344"/>
      <c r="E297" s="1344"/>
      <c r="F297" s="1344"/>
      <c r="G297" s="1344"/>
      <c r="H297" s="1344"/>
      <c r="I297" s="1344"/>
      <c r="J297" s="1344"/>
      <c r="K297" s="1344"/>
      <c r="L297" s="1344"/>
      <c r="M297" s="1344"/>
      <c r="N297" s="1344"/>
      <c r="O297" s="1344"/>
      <c r="P297" s="1344"/>
      <c r="Q297" s="1345">
        <f>+CO297</f>
        <v>110.10899999999999</v>
      </c>
      <c r="R297" s="1344">
        <f>+CS297</f>
        <v>92.3</v>
      </c>
      <c r="S297" s="1344">
        <f>+CW297</f>
        <v>91.8</v>
      </c>
      <c r="T297" s="1345">
        <f>+CX297</f>
        <v>90.8</v>
      </c>
      <c r="U297" s="1345"/>
      <c r="V297" s="1344"/>
      <c r="W297" s="1344"/>
      <c r="X297" s="1344"/>
      <c r="Y297" s="1344"/>
      <c r="Z297" s="1344"/>
      <c r="AA297" s="1345"/>
      <c r="AB297" s="1345"/>
      <c r="AC297" s="1345"/>
      <c r="AD297" s="1345"/>
      <c r="AE297" s="1345"/>
      <c r="AF297" s="1345"/>
      <c r="AG297" s="1345"/>
      <c r="AH297" s="1965"/>
      <c r="AI297" s="1346"/>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v>118.672</v>
      </c>
      <c r="CN297">
        <v>115.075</v>
      </c>
      <c r="CO297">
        <v>110.10899999999999</v>
      </c>
      <c r="CP297" s="1347">
        <f>+NormInputs!CF134/1000</f>
        <v>108</v>
      </c>
      <c r="CQ297" s="1345">
        <f>+NormInputs!CG134/1000</f>
        <v>103.4</v>
      </c>
      <c r="CR297" s="1345">
        <f>+NormInputs!CH134/1000</f>
        <v>97.5</v>
      </c>
      <c r="CS297" s="1345">
        <f>+NormInputs!CI134/1000</f>
        <v>92.3</v>
      </c>
      <c r="CT297" s="1347">
        <f>+NormInputs!CJ134/1000</f>
        <v>92</v>
      </c>
      <c r="CU297" s="1345">
        <f>+NormInputs!CK134/1000</f>
        <v>93.2</v>
      </c>
      <c r="CV297" s="1345">
        <f>+NormInputs!CL134/1000</f>
        <v>92.8</v>
      </c>
      <c r="CW297" s="1348">
        <f>+NormInputs!CM134/1000</f>
        <v>91.8</v>
      </c>
      <c r="CX297" s="1347">
        <f>+NormInputs!CN134/1000</f>
        <v>90.8</v>
      </c>
      <c r="CY297" s="1345">
        <f>+NormInputs!CO134/1000</f>
        <v>88.6</v>
      </c>
      <c r="CZ297" s="1345">
        <f>+NormInputs!CP134/1000</f>
        <v>87.4</v>
      </c>
      <c r="DA297" s="1345">
        <f>+NormInputs!CQ134/1000</f>
        <v>86.4</v>
      </c>
      <c r="DB297" s="1347">
        <f>+NormInputs!CR134/1000</f>
        <v>85.2</v>
      </c>
      <c r="DC297" s="1345">
        <f>+NormInputs!CS134/1000</f>
        <v>84.7</v>
      </c>
      <c r="DD297" s="1345">
        <f>+NormInputs!CT134/1000</f>
        <v>83.6</v>
      </c>
      <c r="DE297" s="1345">
        <f>+NormInputs!CU134/1000</f>
        <v>81.900000000000006</v>
      </c>
      <c r="DF297" s="1345">
        <f>+NormInputs!CV134/1000</f>
        <v>80.900000000000006</v>
      </c>
      <c r="DG297" s="1345">
        <f>+NormInputs!CW134/1000</f>
        <v>80.599999999999994</v>
      </c>
      <c r="DH297" s="1345">
        <f>+NormInputs!CX134/1000</f>
        <v>79.400000000000006</v>
      </c>
      <c r="DI297" s="1345">
        <f>+NormInputs!CY134/1000</f>
        <v>76.8</v>
      </c>
      <c r="DJ297" s="1345">
        <f>+NormInputs!CZ134/1000</f>
        <v>75.5</v>
      </c>
      <c r="DK297" s="1345">
        <f>+NormInputs!DA134/1000</f>
        <v>72.7</v>
      </c>
      <c r="DL297" s="1345">
        <f>+NormInputs!DB134/1000</f>
        <v>71.400000000000006</v>
      </c>
      <c r="DM297" s="1348"/>
      <c r="DN297" s="1348"/>
      <c r="DO297" s="1348"/>
      <c r="DP297" s="1348"/>
      <c r="DQ297" s="1348"/>
      <c r="DR297" s="1348"/>
      <c r="DS297" s="1348"/>
      <c r="DT297" s="1348"/>
      <c r="DU297" s="1348"/>
      <c r="DV297" s="1348"/>
      <c r="DW297" s="1348"/>
      <c r="DX297" s="1348"/>
      <c r="DY297" s="1348"/>
      <c r="DZ297" s="1344"/>
    </row>
    <row r="298" spans="1:130" ht="15" customHeight="1">
      <c r="A298" s="1603" t="s">
        <v>282</v>
      </c>
      <c r="B298" s="86"/>
      <c r="C298" s="86"/>
      <c r="D298" s="86"/>
      <c r="E298" s="86"/>
      <c r="F298" s="86"/>
      <c r="G298" s="86"/>
      <c r="H298" s="86"/>
      <c r="I298" s="86"/>
      <c r="J298" s="86"/>
      <c r="K298" s="86"/>
      <c r="L298" s="86"/>
      <c r="M298" s="86"/>
      <c r="N298" s="86"/>
      <c r="O298" s="86"/>
      <c r="P298" s="86"/>
      <c r="Q298" s="1064"/>
      <c r="R298" s="86"/>
      <c r="S298" s="86"/>
      <c r="T298" s="1064"/>
      <c r="U298" s="1064"/>
      <c r="V298" s="86"/>
      <c r="W298" s="86"/>
      <c r="X298" s="86"/>
      <c r="Y298" s="86"/>
      <c r="Z298" s="86"/>
      <c r="AA298" s="1064"/>
      <c r="AB298" s="1064"/>
      <c r="AC298" s="1064"/>
      <c r="AD298" s="1064"/>
      <c r="AE298" s="1064"/>
      <c r="AF298" s="1064"/>
      <c r="AG298" s="1064"/>
      <c r="AH298" s="1947"/>
      <c r="AI298" s="606"/>
      <c r="AJ298" s="1947"/>
      <c r="AK298" s="86"/>
      <c r="AL298" s="86"/>
      <c r="AM298" s="86"/>
      <c r="AN298" s="86"/>
      <c r="AO298" s="86"/>
      <c r="AP298" s="86"/>
      <c r="AQ298" s="86"/>
      <c r="AR298" s="86"/>
      <c r="AS298" s="86"/>
      <c r="AT298" s="86"/>
      <c r="AU298" s="86"/>
      <c r="AV298" s="86"/>
      <c r="AW298" s="86"/>
      <c r="AX298" s="86"/>
      <c r="AY298" s="86"/>
      <c r="AZ298" s="86"/>
      <c r="BA298" s="86"/>
      <c r="BB298" s="86"/>
      <c r="BC298" s="86"/>
      <c r="BD298" s="86"/>
      <c r="BE298" s="86"/>
      <c r="BF298" s="86"/>
      <c r="BG298" s="86"/>
      <c r="BH298" s="86"/>
      <c r="BI298" s="86"/>
      <c r="BJ298" s="86"/>
      <c r="BK298" s="86"/>
      <c r="BL298" s="86"/>
      <c r="BM298" s="86"/>
      <c r="BN298" s="86"/>
      <c r="BO298" s="86"/>
      <c r="BP298" s="86"/>
      <c r="BQ298" s="86"/>
      <c r="BR298" s="569"/>
      <c r="BS298" s="1064"/>
      <c r="BT298" s="1064"/>
      <c r="BU298" s="1064"/>
      <c r="BV298" s="569"/>
      <c r="BW298" s="1064"/>
      <c r="BX298" s="1064"/>
      <c r="BY298" s="1064"/>
      <c r="BZ298" s="569"/>
      <c r="CA298" s="1064"/>
      <c r="CB298" s="1064"/>
      <c r="CC298" s="1064"/>
      <c r="CD298" s="569"/>
      <c r="CE298" s="1064"/>
      <c r="CF298" s="1064"/>
      <c r="CG298" s="568"/>
      <c r="CH298" s="569"/>
      <c r="CI298" s="1064"/>
      <c r="CJ298" s="1064"/>
      <c r="CK298" s="568"/>
      <c r="CL298" s="569"/>
      <c r="CM298" s="1064"/>
      <c r="CN298" s="1064"/>
      <c r="CO298" s="1064"/>
      <c r="CP298" s="607">
        <f t="shared" ref="CP298:DL298" si="421">+(CP297-CO297)*1000</f>
        <v>-2108.9999999999945</v>
      </c>
      <c r="CQ298" s="1070">
        <f t="shared" si="421"/>
        <v>-4599.9999999999945</v>
      </c>
      <c r="CR298" s="1070">
        <f t="shared" si="421"/>
        <v>-5900.0000000000055</v>
      </c>
      <c r="CS298" s="1070">
        <f t="shared" si="421"/>
        <v>-5200.0000000000027</v>
      </c>
      <c r="CT298" s="607">
        <f t="shared" si="421"/>
        <v>-299.99999999999716</v>
      </c>
      <c r="CU298" s="1070">
        <f t="shared" si="421"/>
        <v>1200.0000000000027</v>
      </c>
      <c r="CV298" s="1070">
        <f t="shared" si="421"/>
        <v>-400.00000000000568</v>
      </c>
      <c r="CW298" s="608">
        <f t="shared" si="421"/>
        <v>-1000</v>
      </c>
      <c r="CX298" s="607">
        <f t="shared" si="421"/>
        <v>-1000</v>
      </c>
      <c r="CY298" s="1070">
        <f t="shared" si="421"/>
        <v>-2200.0000000000027</v>
      </c>
      <c r="CZ298" s="1070">
        <f t="shared" si="421"/>
        <v>-1199.9999999999886</v>
      </c>
      <c r="DA298" s="1070">
        <f t="shared" si="421"/>
        <v>-1000</v>
      </c>
      <c r="DB298" s="607">
        <f t="shared" si="421"/>
        <v>-1200.0000000000027</v>
      </c>
      <c r="DC298" s="1070">
        <f t="shared" si="421"/>
        <v>-500</v>
      </c>
      <c r="DD298" s="1070">
        <f t="shared" si="421"/>
        <v>-1100.0000000000086</v>
      </c>
      <c r="DE298" s="1070">
        <f t="shared" si="421"/>
        <v>-1699.9999999999886</v>
      </c>
      <c r="DF298" s="1070">
        <f t="shared" si="421"/>
        <v>-1000</v>
      </c>
      <c r="DG298" s="1070">
        <f t="shared" si="421"/>
        <v>-300.00000000001137</v>
      </c>
      <c r="DH298" s="1070">
        <f t="shared" si="421"/>
        <v>-1199.9999999999886</v>
      </c>
      <c r="DI298" s="1070">
        <f t="shared" si="421"/>
        <v>-2600.0000000000086</v>
      </c>
      <c r="DJ298" s="1070">
        <f t="shared" si="421"/>
        <v>-1299.9999999999973</v>
      </c>
      <c r="DK298" s="1070">
        <f t="shared" si="421"/>
        <v>-2799.9999999999973</v>
      </c>
      <c r="DL298" s="1070">
        <f t="shared" si="421"/>
        <v>-1299.9999999999973</v>
      </c>
      <c r="DM298" s="568"/>
      <c r="DN298" s="568"/>
      <c r="DO298" s="568"/>
      <c r="DP298" s="568"/>
      <c r="DQ298" s="568"/>
      <c r="DR298" s="568"/>
      <c r="DS298" s="568"/>
      <c r="DT298" s="568"/>
      <c r="DU298" s="568"/>
      <c r="DV298" s="568"/>
      <c r="DW298" s="568"/>
      <c r="DX298" s="568"/>
      <c r="DY298" s="568"/>
    </row>
    <row r="299" spans="1:130" ht="15" customHeight="1">
      <c r="A299" s="1603"/>
      <c r="B299" s="562"/>
      <c r="C299" s="562"/>
      <c r="D299" s="562"/>
      <c r="E299" s="562"/>
      <c r="F299" s="562"/>
      <c r="G299" s="562"/>
      <c r="H299" s="562"/>
      <c r="I299" s="562"/>
      <c r="J299" s="562"/>
      <c r="K299" s="562"/>
      <c r="L299" s="562"/>
      <c r="M299" s="562"/>
      <c r="N299" s="562"/>
      <c r="O299" s="562"/>
      <c r="P299" s="562"/>
      <c r="Q299" s="1065"/>
      <c r="R299" s="562"/>
      <c r="S299" s="562"/>
      <c r="T299" s="1065"/>
      <c r="U299" s="1065"/>
      <c r="V299" s="562"/>
      <c r="W299" s="562"/>
      <c r="X299" s="562"/>
      <c r="Y299" s="562"/>
      <c r="Z299" s="562"/>
      <c r="AA299" s="1065"/>
      <c r="AB299" s="1065"/>
      <c r="AC299" s="1065"/>
      <c r="AD299" s="1065"/>
      <c r="AE299" s="1065"/>
      <c r="AF299" s="1065"/>
      <c r="AG299" s="1065"/>
      <c r="AH299" s="1927"/>
      <c r="AI299" s="606"/>
      <c r="AJ299" s="1927"/>
      <c r="AK299" s="562"/>
      <c r="AL299" s="562"/>
      <c r="AM299" s="562"/>
      <c r="AN299" s="562"/>
      <c r="AO299" s="562"/>
      <c r="AP299" s="562"/>
      <c r="AQ299" s="562"/>
      <c r="AR299" s="562"/>
      <c r="AS299" s="562"/>
      <c r="AT299" s="562"/>
      <c r="AU299" s="562"/>
      <c r="AV299" s="562"/>
      <c r="AW299" s="562"/>
      <c r="AX299" s="562"/>
      <c r="AY299" s="562"/>
      <c r="AZ299" s="562"/>
      <c r="BA299" s="562"/>
      <c r="BB299" s="562"/>
      <c r="BC299" s="562"/>
      <c r="BD299" s="562"/>
      <c r="BE299" s="562"/>
      <c r="BF299" s="562"/>
      <c r="BG299" s="562"/>
      <c r="BH299" s="562"/>
      <c r="BI299" s="562"/>
      <c r="BJ299" s="562"/>
      <c r="BK299" s="562"/>
      <c r="BL299" s="562"/>
      <c r="BM299" s="562"/>
      <c r="BN299" s="562"/>
      <c r="BO299" s="562"/>
      <c r="BP299" s="562"/>
      <c r="BQ299" s="562"/>
      <c r="BR299" s="563"/>
      <c r="BS299" s="1065"/>
      <c r="BT299" s="1065"/>
      <c r="BU299" s="1065"/>
      <c r="BV299" s="563"/>
      <c r="BW299" s="1065"/>
      <c r="BX299" s="1065"/>
      <c r="BY299" s="1065"/>
      <c r="BZ299" s="563"/>
      <c r="CA299" s="1065"/>
      <c r="CB299" s="1065"/>
      <c r="CC299" s="1065"/>
      <c r="CD299" s="563"/>
      <c r="CE299" s="1065"/>
      <c r="CF299" s="1065"/>
      <c r="CG299" s="564"/>
      <c r="CH299" s="563"/>
      <c r="CI299" s="1065"/>
      <c r="CJ299" s="1065"/>
      <c r="CK299" s="564"/>
      <c r="CL299" s="563"/>
      <c r="CM299" s="1065"/>
      <c r="CN299" s="1065"/>
      <c r="CO299" s="1065"/>
      <c r="CP299" s="563"/>
      <c r="CQ299" s="1065">
        <f t="shared" ref="CQ299:DL299" si="422">+CQ297/CM297-1</f>
        <v>-0.12869084535526487</v>
      </c>
      <c r="CR299" s="1065">
        <f t="shared" si="422"/>
        <v>-0.1527264827286553</v>
      </c>
      <c r="CS299" s="1065">
        <f t="shared" si="422"/>
        <v>-0.16173973063055702</v>
      </c>
      <c r="CT299" s="563">
        <f t="shared" si="422"/>
        <v>-0.14814814814814814</v>
      </c>
      <c r="CU299" s="1065">
        <f t="shared" si="422"/>
        <v>-9.8646034816247563E-2</v>
      </c>
      <c r="CV299" s="1065">
        <f t="shared" si="422"/>
        <v>-4.8205128205128234E-2</v>
      </c>
      <c r="CW299" s="564">
        <f t="shared" si="422"/>
        <v>-5.4171180931744667E-3</v>
      </c>
      <c r="CX299" s="563">
        <f>+CX297/CT297-1</f>
        <v>-1.3043478260869601E-2</v>
      </c>
      <c r="CY299" s="1065">
        <f t="shared" si="422"/>
        <v>-4.9356223175965774E-2</v>
      </c>
      <c r="CZ299" s="1065">
        <f t="shared" si="422"/>
        <v>-5.8189655172413701E-2</v>
      </c>
      <c r="DA299" s="1065">
        <f t="shared" si="422"/>
        <v>-5.8823529411764608E-2</v>
      </c>
      <c r="DB299" s="563">
        <f t="shared" si="422"/>
        <v>-6.1674008810572611E-2</v>
      </c>
      <c r="DC299" s="1065">
        <f t="shared" si="422"/>
        <v>-4.4018058690744821E-2</v>
      </c>
      <c r="DD299" s="1065">
        <f t="shared" si="422"/>
        <v>-4.3478260869565299E-2</v>
      </c>
      <c r="DE299" s="1065">
        <f t="shared" si="422"/>
        <v>-5.208333333333337E-2</v>
      </c>
      <c r="DF299" s="1065">
        <f t="shared" si="422"/>
        <v>-5.0469483568075124E-2</v>
      </c>
      <c r="DG299" s="1065">
        <f t="shared" si="422"/>
        <v>-4.8406139315230301E-2</v>
      </c>
      <c r="DH299" s="1065">
        <f t="shared" si="422"/>
        <v>-5.0239234449760639E-2</v>
      </c>
      <c r="DI299" s="1065">
        <f t="shared" si="422"/>
        <v>-6.2271062271062383E-2</v>
      </c>
      <c r="DJ299" s="1065">
        <f t="shared" si="422"/>
        <v>-6.6749072929542685E-2</v>
      </c>
      <c r="DK299" s="1065">
        <f t="shared" si="422"/>
        <v>-9.8014888337468853E-2</v>
      </c>
      <c r="DL299" s="1065">
        <f t="shared" si="422"/>
        <v>-0.10075566750629728</v>
      </c>
      <c r="DM299" s="564"/>
      <c r="DN299" s="564"/>
      <c r="DO299" s="564"/>
      <c r="DP299" s="564"/>
      <c r="DQ299" s="564"/>
      <c r="DR299" s="564"/>
      <c r="DS299" s="564"/>
      <c r="DT299" s="564"/>
      <c r="DU299" s="564"/>
      <c r="DV299" s="564"/>
      <c r="DW299" s="564"/>
      <c r="DX299" s="564"/>
      <c r="DY299" s="564"/>
    </row>
    <row r="300" spans="1:130" ht="15" customHeight="1">
      <c r="A300" s="1606" t="s">
        <v>283</v>
      </c>
      <c r="B300" s="609"/>
      <c r="C300" s="609"/>
      <c r="D300" s="609"/>
      <c r="E300" s="609"/>
      <c r="F300" s="609"/>
      <c r="G300" s="609"/>
      <c r="H300" s="609"/>
      <c r="I300" s="609"/>
      <c r="J300" s="609"/>
      <c r="K300" s="609"/>
      <c r="L300" s="609"/>
      <c r="M300" s="609"/>
      <c r="N300" s="609"/>
      <c r="O300" s="609"/>
      <c r="P300" s="609"/>
      <c r="Q300" s="1066">
        <f t="shared" ref="Q300:W300" si="423">+Q5</f>
        <v>2009</v>
      </c>
      <c r="R300" s="611">
        <f t="shared" si="423"/>
        <v>2010</v>
      </c>
      <c r="S300" s="611">
        <f t="shared" si="423"/>
        <v>2011</v>
      </c>
      <c r="T300" s="1066">
        <f t="shared" si="423"/>
        <v>2012</v>
      </c>
      <c r="U300" s="1066">
        <f t="shared" si="423"/>
        <v>2013</v>
      </c>
      <c r="V300" s="611" t="str">
        <f t="shared" si="423"/>
        <v>2014</v>
      </c>
      <c r="W300" s="611" t="str">
        <f t="shared" si="423"/>
        <v>2015</v>
      </c>
      <c r="X300" s="611"/>
      <c r="Y300" s="611"/>
      <c r="Z300" s="611"/>
      <c r="AA300" s="1066"/>
      <c r="AB300" s="1066"/>
      <c r="AC300" s="1066"/>
      <c r="AD300" s="1066"/>
      <c r="AE300" s="1066"/>
      <c r="AF300" s="1066"/>
      <c r="AG300" s="1066"/>
      <c r="AH300" s="1947"/>
      <c r="AI300" s="606"/>
      <c r="AJ300" s="1947"/>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c r="BK300" s="128"/>
      <c r="BL300" s="128"/>
      <c r="BM300" s="128"/>
      <c r="BN300" s="128"/>
      <c r="BO300" s="128"/>
      <c r="BP300" s="128"/>
      <c r="BQ300" s="128"/>
      <c r="BR300" s="584"/>
      <c r="BS300" s="1088"/>
      <c r="BT300" s="1088"/>
      <c r="BU300" s="1088"/>
      <c r="BV300" s="584"/>
      <c r="BW300" s="1088"/>
      <c r="BX300" s="1088"/>
      <c r="BY300" s="1088"/>
      <c r="BZ300" s="584"/>
      <c r="CA300" s="1088"/>
      <c r="CB300" s="1088"/>
      <c r="CC300" s="1088"/>
      <c r="CD300" s="584"/>
      <c r="CE300" s="1088"/>
      <c r="CF300" s="1088"/>
      <c r="CG300" s="343"/>
      <c r="CH300" s="584"/>
      <c r="CI300" s="1088"/>
      <c r="CJ300" s="1088"/>
      <c r="CK300" s="343"/>
      <c r="CL300" s="610" t="str">
        <f t="shared" ref="CL300:CS300" si="424">+CL5</f>
        <v>1Q09</v>
      </c>
      <c r="CM300" s="1066" t="str">
        <f t="shared" si="424"/>
        <v>2Q09</v>
      </c>
      <c r="CN300" s="1066" t="str">
        <f t="shared" si="424"/>
        <v>3Q09</v>
      </c>
      <c r="CO300" s="1066" t="str">
        <f t="shared" si="424"/>
        <v>4Q09</v>
      </c>
      <c r="CP300" s="610" t="str">
        <f t="shared" si="424"/>
        <v>1Q10</v>
      </c>
      <c r="CQ300" s="1066" t="str">
        <f t="shared" si="424"/>
        <v>2Q10</v>
      </c>
      <c r="CR300" s="1066" t="str">
        <f t="shared" si="424"/>
        <v>3Q10</v>
      </c>
      <c r="CS300" s="1066" t="str">
        <f t="shared" si="424"/>
        <v>4Q10</v>
      </c>
      <c r="CT300" s="610"/>
      <c r="CU300" s="1066"/>
      <c r="CV300" s="1066"/>
      <c r="CW300" s="612"/>
      <c r="CX300" s="610"/>
      <c r="CY300" s="1066"/>
      <c r="CZ300" s="1066"/>
      <c r="DA300" s="1066"/>
      <c r="DB300" s="610"/>
      <c r="DC300" s="1066"/>
      <c r="DD300" s="1066"/>
      <c r="DE300" s="1066"/>
      <c r="DF300" s="1066"/>
      <c r="DG300" s="1066"/>
      <c r="DH300" s="1066"/>
      <c r="DI300" s="1066"/>
      <c r="DJ300" s="1066"/>
      <c r="DK300" s="1066"/>
      <c r="DL300" s="1066"/>
      <c r="DM300" s="97"/>
      <c r="DN300" s="97"/>
      <c r="DO300" s="97"/>
      <c r="DP300" s="97"/>
      <c r="DQ300" s="97"/>
      <c r="DR300" s="97"/>
      <c r="DS300" s="97"/>
      <c r="DT300" s="97"/>
      <c r="DU300" s="97"/>
      <c r="DV300" s="97"/>
      <c r="DW300" s="97"/>
      <c r="DX300" s="97"/>
      <c r="DY300" s="97"/>
    </row>
    <row r="301" spans="1:130" ht="15" customHeight="1">
      <c r="A301" s="1595" t="s">
        <v>1433</v>
      </c>
      <c r="B301" s="86"/>
      <c r="C301" s="86"/>
      <c r="D301" s="86"/>
      <c r="E301" s="86"/>
      <c r="F301" s="86"/>
      <c r="G301" s="86"/>
      <c r="H301" s="86"/>
      <c r="I301" s="86"/>
      <c r="J301" s="86"/>
      <c r="K301" s="86"/>
      <c r="L301" s="86"/>
      <c r="M301" s="86"/>
      <c r="N301" s="86"/>
      <c r="O301" s="86"/>
      <c r="P301" s="86"/>
      <c r="Q301" s="1064"/>
      <c r="R301" s="86"/>
      <c r="S301" s="86"/>
      <c r="T301" s="1064"/>
      <c r="U301" s="1064"/>
      <c r="V301" s="86"/>
      <c r="W301" s="86"/>
      <c r="X301" s="86"/>
      <c r="Y301" s="86"/>
      <c r="Z301" s="86"/>
      <c r="AA301" s="1064"/>
      <c r="AB301" s="1064"/>
      <c r="AC301" s="1064"/>
      <c r="AD301" s="1064"/>
      <c r="AE301" s="1064"/>
      <c r="AF301" s="1064"/>
      <c r="AG301" s="1064"/>
      <c r="AH301" s="1947"/>
      <c r="AI301" s="606"/>
      <c r="AJ301" s="1947"/>
      <c r="AK301" s="86"/>
      <c r="AL301" s="86"/>
      <c r="AM301" s="86"/>
      <c r="AN301" s="86"/>
      <c r="AO301" s="86"/>
      <c r="AP301" s="86"/>
      <c r="AQ301" s="86"/>
      <c r="AR301" s="86"/>
      <c r="AS301" s="86"/>
      <c r="AT301" s="86"/>
      <c r="AU301" s="86"/>
      <c r="AV301" s="86"/>
      <c r="AW301" s="86"/>
      <c r="AX301" s="86"/>
      <c r="AY301" s="86"/>
      <c r="AZ301" s="86"/>
      <c r="BA301" s="86"/>
      <c r="BB301" s="86"/>
      <c r="BC301" s="86"/>
      <c r="BD301" s="86"/>
      <c r="BE301" s="86"/>
      <c r="BF301" s="86"/>
      <c r="BG301" s="86"/>
      <c r="BH301" s="86"/>
      <c r="BI301" s="86"/>
      <c r="BJ301" s="86"/>
      <c r="BK301" s="86"/>
      <c r="BL301" s="86"/>
      <c r="BM301" s="86"/>
      <c r="BN301" s="86"/>
      <c r="BO301" s="86"/>
      <c r="BP301" s="86"/>
      <c r="BQ301" s="86"/>
      <c r="BR301" s="569"/>
      <c r="BS301" s="1064"/>
      <c r="BT301" s="1064"/>
      <c r="BU301" s="1064"/>
      <c r="BV301" s="569"/>
      <c r="BW301" s="1064"/>
      <c r="BX301" s="1064"/>
      <c r="BY301" s="1064"/>
      <c r="BZ301" s="569"/>
      <c r="CA301" s="1064"/>
      <c r="CB301" s="1064"/>
      <c r="CC301" s="1519"/>
      <c r="CD301" s="1527"/>
      <c r="CE301" s="1312"/>
      <c r="CF301" s="1312"/>
      <c r="CG301" s="568"/>
      <c r="CH301" s="569"/>
      <c r="CI301" s="1064"/>
      <c r="CJ301" s="1064"/>
      <c r="CK301" s="568"/>
      <c r="CL301" s="569"/>
      <c r="CM301" s="1064"/>
      <c r="CN301" s="1064"/>
      <c r="CO301" s="1064"/>
      <c r="CP301" s="569"/>
      <c r="CQ301" s="1064"/>
      <c r="CR301" s="1064"/>
      <c r="CS301" s="1064"/>
      <c r="CT301" s="569"/>
      <c r="CU301" s="1064"/>
      <c r="CV301" s="1064"/>
      <c r="CW301" s="568"/>
      <c r="CX301" s="569"/>
      <c r="CY301" s="1064"/>
      <c r="CZ301" s="1064"/>
      <c r="DA301" s="1064"/>
      <c r="DB301" s="569"/>
      <c r="DC301" s="1064"/>
      <c r="DD301" s="1064"/>
      <c r="DE301" s="1064"/>
      <c r="DF301" s="1064"/>
      <c r="DG301" s="1064"/>
      <c r="DH301" s="1064"/>
      <c r="DI301" s="1064"/>
      <c r="DJ301" s="1064"/>
      <c r="DK301" s="1064"/>
      <c r="DL301" s="1064"/>
      <c r="DM301" s="568"/>
      <c r="DN301" s="568"/>
      <c r="DO301" s="568"/>
      <c r="DP301" s="568"/>
      <c r="DQ301" s="568"/>
      <c r="DR301" s="568"/>
      <c r="DS301" s="568"/>
      <c r="DT301" s="568"/>
      <c r="DU301" s="568"/>
      <c r="DV301" s="568"/>
      <c r="DW301" s="568"/>
      <c r="DX301" s="568"/>
      <c r="DY301" s="568"/>
    </row>
    <row r="302" spans="1:130" ht="15" customHeight="1">
      <c r="A302" s="1603" t="s">
        <v>284</v>
      </c>
      <c r="B302" s="86"/>
      <c r="C302" s="86"/>
      <c r="D302" s="86"/>
      <c r="E302" s="86"/>
      <c r="F302" s="86"/>
      <c r="G302" s="86"/>
      <c r="H302" s="86"/>
      <c r="I302" s="86"/>
      <c r="J302" s="86"/>
      <c r="K302" s="86"/>
      <c r="L302" s="86"/>
      <c r="M302" s="86"/>
      <c r="N302" s="86"/>
      <c r="O302" s="86"/>
      <c r="P302" s="86"/>
      <c r="Q302" s="1070">
        <f>SUM(CL302:CO302)</f>
        <v>4065</v>
      </c>
      <c r="R302" s="217">
        <f>SUM(CP302:CS302)</f>
        <v>2363.3406158036269</v>
      </c>
      <c r="S302" s="795"/>
      <c r="T302" s="1319"/>
      <c r="U302" s="1319"/>
      <c r="V302" s="795"/>
      <c r="W302" s="795"/>
      <c r="X302" s="795"/>
      <c r="Y302" s="795"/>
      <c r="Z302" s="795"/>
      <c r="AA302" s="1319"/>
      <c r="AB302" s="1319"/>
      <c r="AC302" s="1319"/>
      <c r="AD302" s="1319"/>
      <c r="AE302" s="1319"/>
      <c r="AF302" s="1319"/>
      <c r="AG302" s="1319"/>
      <c r="AH302" s="1947"/>
      <c r="AI302" s="606"/>
      <c r="AJ302" s="1947"/>
      <c r="AK302" s="86"/>
      <c r="AL302" s="86"/>
      <c r="AM302" s="86"/>
      <c r="AN302" s="86"/>
      <c r="AO302" s="86"/>
      <c r="AP302" s="86"/>
      <c r="AQ302" s="86"/>
      <c r="AR302" s="86"/>
      <c r="AS302" s="86"/>
      <c r="AT302" s="86"/>
      <c r="AU302" s="86"/>
      <c r="AV302" s="86"/>
      <c r="AW302" s="86"/>
      <c r="AX302" s="86"/>
      <c r="AY302" s="86"/>
      <c r="AZ302" s="86"/>
      <c r="BA302" s="86"/>
      <c r="BB302" s="86"/>
      <c r="BC302" s="86"/>
      <c r="BD302" s="86"/>
      <c r="BE302" s="86"/>
      <c r="BF302" s="86"/>
      <c r="BG302" s="86"/>
      <c r="BH302" s="86"/>
      <c r="BI302" s="86"/>
      <c r="BJ302" s="86"/>
      <c r="BK302" s="86"/>
      <c r="BL302" s="86"/>
      <c r="BM302" s="86"/>
      <c r="BN302" s="86"/>
      <c r="BO302" s="86"/>
      <c r="BP302" s="86"/>
      <c r="BQ302" s="86"/>
      <c r="BR302" s="569"/>
      <c r="BS302" s="1064"/>
      <c r="BT302" s="1064"/>
      <c r="BU302" s="1064"/>
      <c r="BV302" s="569"/>
      <c r="BW302" s="1064"/>
      <c r="BX302" s="1064"/>
      <c r="BY302" s="1064"/>
      <c r="BZ302" s="569"/>
      <c r="CA302" s="1064"/>
      <c r="CB302" s="1064"/>
      <c r="CC302" s="1064"/>
      <c r="CD302" s="569"/>
      <c r="CE302" s="1064"/>
      <c r="CF302" s="1064"/>
      <c r="CG302" s="568"/>
      <c r="CH302">
        <v>1099</v>
      </c>
      <c r="CI302">
        <v>1102</v>
      </c>
      <c r="CJ302" s="1064"/>
      <c r="CK302" s="568"/>
      <c r="CL302" s="496">
        <f>1043</f>
        <v>1043</v>
      </c>
      <c r="CM302" s="1043">
        <f>2074-CL302</f>
        <v>1031</v>
      </c>
      <c r="CN302" s="1043">
        <v>1007</v>
      </c>
      <c r="CO302">
        <f>4065-CL302-CM302-CN302</f>
        <v>984</v>
      </c>
      <c r="CP302" s="496">
        <f>964</f>
        <v>964</v>
      </c>
      <c r="CQ302" s="1043">
        <v>939</v>
      </c>
      <c r="CR302" s="1067">
        <f>+CR357*CR358*3/1000</f>
        <v>460.34061580362697</v>
      </c>
      <c r="CS302" s="1067">
        <f>+CS357*CS358*3/1000</f>
        <v>0</v>
      </c>
      <c r="CT302" s="615"/>
      <c r="CU302" s="1067"/>
      <c r="CV302" s="1067"/>
      <c r="CW302" s="614"/>
      <c r="CX302" s="615"/>
      <c r="CY302" s="1067"/>
      <c r="CZ302" s="1067"/>
      <c r="DA302" s="1067"/>
      <c r="DB302" s="615"/>
      <c r="DC302" s="1067"/>
      <c r="DD302" s="1067"/>
      <c r="DE302" s="1067"/>
      <c r="DF302" s="1067"/>
      <c r="DG302" s="1067"/>
      <c r="DH302" s="1067"/>
      <c r="DI302" s="1067"/>
      <c r="DJ302" s="1067"/>
      <c r="DK302" s="1067"/>
      <c r="DL302" s="1067"/>
      <c r="DM302" s="568"/>
      <c r="DN302" s="568"/>
      <c r="DO302" s="568"/>
      <c r="DP302" s="568"/>
      <c r="DQ302" s="568"/>
      <c r="DR302" s="568"/>
      <c r="DS302" s="568"/>
      <c r="DT302" s="568"/>
      <c r="DU302" s="568"/>
      <c r="DV302" s="568"/>
      <c r="DW302" s="568"/>
      <c r="DX302" s="568"/>
      <c r="DY302" s="568"/>
    </row>
    <row r="303" spans="1:130" ht="15" customHeight="1">
      <c r="A303" s="1603" t="s">
        <v>285</v>
      </c>
      <c r="B303" s="86"/>
      <c r="C303" s="86"/>
      <c r="D303" s="86"/>
      <c r="E303" s="86"/>
      <c r="F303" s="86"/>
      <c r="G303" s="86"/>
      <c r="H303" s="86"/>
      <c r="I303" s="86"/>
      <c r="J303" s="86"/>
      <c r="K303" s="86"/>
      <c r="L303" s="86"/>
      <c r="M303" s="86"/>
      <c r="N303" s="86"/>
      <c r="O303" s="86"/>
      <c r="P303" s="86"/>
      <c r="Q303" s="1070">
        <f>SUM(CL303:CO303)</f>
        <v>16</v>
      </c>
      <c r="R303" s="217">
        <f>SUM(CP303:CS303)</f>
        <v>12</v>
      </c>
      <c r="T303" s="1269"/>
      <c r="U303" s="1269"/>
      <c r="AA303" s="1269"/>
      <c r="AB303" s="1269"/>
      <c r="AC303" s="1269"/>
      <c r="AD303" s="1269"/>
      <c r="AE303" s="1269"/>
      <c r="AF303" s="1269"/>
      <c r="AG303" s="1269"/>
      <c r="AH303" s="1947"/>
      <c r="AI303" s="606"/>
      <c r="AJ303" s="1947"/>
      <c r="AK303" s="86"/>
      <c r="AL303" s="86"/>
      <c r="AM303" s="86"/>
      <c r="AN303" s="86"/>
      <c r="AO303" s="86"/>
      <c r="AP303" s="86"/>
      <c r="AQ303" s="86"/>
      <c r="AR303" s="86"/>
      <c r="AS303" s="86"/>
      <c r="AT303" s="86"/>
      <c r="AU303" s="86"/>
      <c r="AV303" s="86"/>
      <c r="AW303" s="86"/>
      <c r="AX303" s="86"/>
      <c r="AY303" s="86"/>
      <c r="AZ303" s="86"/>
      <c r="BA303" s="86"/>
      <c r="BB303" s="86"/>
      <c r="BC303" s="86"/>
      <c r="BD303" s="86"/>
      <c r="BE303" s="86"/>
      <c r="BF303" s="86"/>
      <c r="BG303" s="86"/>
      <c r="BH303" s="86"/>
      <c r="BI303" s="86"/>
      <c r="BJ303" s="86"/>
      <c r="BK303" s="86"/>
      <c r="BL303" s="86"/>
      <c r="BM303" s="86"/>
      <c r="BN303" s="86"/>
      <c r="BO303" s="86"/>
      <c r="BP303" s="86"/>
      <c r="BQ303" s="86"/>
      <c r="BR303" s="569"/>
      <c r="BS303" s="1064"/>
      <c r="BT303" s="1064"/>
      <c r="BU303" s="1064"/>
      <c r="BV303" s="569"/>
      <c r="BW303" s="1064"/>
      <c r="BX303" s="1064"/>
      <c r="BY303" s="1064"/>
      <c r="BZ303" s="569"/>
      <c r="CA303" s="1064"/>
      <c r="CB303" s="1064"/>
      <c r="CC303" s="1064"/>
      <c r="CD303" s="569"/>
      <c r="CE303" s="1064"/>
      <c r="CF303" s="1064"/>
      <c r="CG303" s="568"/>
      <c r="CJ303" s="1064"/>
      <c r="CK303" s="568"/>
      <c r="CL303" s="496">
        <f>4</f>
        <v>4</v>
      </c>
      <c r="CM303" s="1043">
        <f>8-CL303</f>
        <v>4</v>
      </c>
      <c r="CN303" s="1385">
        <v>4</v>
      </c>
      <c r="CO303" s="1043">
        <f>16-CL303-CM303-CN303</f>
        <v>4</v>
      </c>
      <c r="CP303" s="496">
        <f>4</f>
        <v>4</v>
      </c>
      <c r="CQ303" s="1064"/>
      <c r="CR303" s="1043">
        <v>4</v>
      </c>
      <c r="CS303" s="1064">
        <f>+CR303</f>
        <v>4</v>
      </c>
      <c r="CT303" s="569"/>
      <c r="CU303" s="1064"/>
      <c r="CV303" s="1064"/>
      <c r="CW303" s="568"/>
      <c r="CX303" s="569"/>
      <c r="CY303" s="1064"/>
      <c r="CZ303" s="1064"/>
      <c r="DA303" s="1064"/>
      <c r="DB303" s="569"/>
      <c r="DC303" s="1064"/>
      <c r="DD303" s="1064"/>
      <c r="DE303" s="1064"/>
      <c r="DF303" s="1064"/>
      <c r="DG303" s="1064"/>
      <c r="DH303" s="1064"/>
      <c r="DI303" s="1064"/>
      <c r="DJ303" s="1064"/>
      <c r="DK303" s="1064"/>
      <c r="DL303" s="1064"/>
      <c r="DM303" s="568"/>
      <c r="DN303" s="568"/>
      <c r="DO303" s="568"/>
      <c r="DP303" s="568"/>
      <c r="DQ303" s="568"/>
      <c r="DR303" s="568"/>
      <c r="DS303" s="568"/>
      <c r="DT303" s="568"/>
      <c r="DU303" s="568"/>
      <c r="DV303" s="568"/>
      <c r="DW303" s="568"/>
      <c r="DX303" s="568"/>
      <c r="DY303" s="568"/>
    </row>
    <row r="304" spans="1:130" ht="15" customHeight="1">
      <c r="A304" s="1603" t="s">
        <v>286</v>
      </c>
      <c r="B304" s="86"/>
      <c r="C304" s="86"/>
      <c r="D304" s="86"/>
      <c r="E304" s="86"/>
      <c r="F304" s="86"/>
      <c r="G304" s="86"/>
      <c r="H304" s="86"/>
      <c r="I304" s="86"/>
      <c r="J304" s="86"/>
      <c r="K304" s="86"/>
      <c r="L304" s="86"/>
      <c r="M304" s="86"/>
      <c r="N304" s="86"/>
      <c r="O304" s="86"/>
      <c r="P304" s="86"/>
      <c r="Q304" s="1070">
        <f>SUM(CL304:CO304)</f>
        <v>-66</v>
      </c>
      <c r="R304" s="217">
        <f>SUM(CP304:CS304)</f>
        <v>-42</v>
      </c>
      <c r="T304" s="1269"/>
      <c r="U304" s="1269"/>
      <c r="AA304" s="1269"/>
      <c r="AB304" s="1269"/>
      <c r="AC304" s="1269"/>
      <c r="AD304" s="1269"/>
      <c r="AE304" s="1269"/>
      <c r="AF304" s="1269"/>
      <c r="AG304" s="1269"/>
      <c r="AH304" s="1947"/>
      <c r="AI304" s="606"/>
      <c r="AJ304" s="1947"/>
      <c r="AK304" s="86"/>
      <c r="AL304" s="86"/>
      <c r="AM304" s="86"/>
      <c r="AN304" s="86"/>
      <c r="AO304" s="86"/>
      <c r="AP304" s="86"/>
      <c r="AQ304" s="86"/>
      <c r="AR304" s="86"/>
      <c r="AS304" s="86"/>
      <c r="AT304" s="86"/>
      <c r="AU304" s="86"/>
      <c r="AV304" s="86"/>
      <c r="AW304" s="86"/>
      <c r="AX304" s="86"/>
      <c r="AY304" s="86"/>
      <c r="AZ304" s="86"/>
      <c r="BA304" s="86"/>
      <c r="BB304" s="86"/>
      <c r="BC304" s="86"/>
      <c r="BD304" s="86"/>
      <c r="BE304" s="86"/>
      <c r="BF304" s="86"/>
      <c r="BG304" s="86"/>
      <c r="BH304" s="86"/>
      <c r="BI304" s="86"/>
      <c r="BJ304" s="86"/>
      <c r="BK304" s="86"/>
      <c r="BL304" s="86"/>
      <c r="BM304" s="86"/>
      <c r="BN304" s="86"/>
      <c r="BO304" s="86"/>
      <c r="BP304" s="86"/>
      <c r="BQ304" s="86"/>
      <c r="BR304" s="569"/>
      <c r="BS304" s="1064"/>
      <c r="BT304" s="1064"/>
      <c r="BU304" s="1064"/>
      <c r="BV304" s="569"/>
      <c r="BW304" s="1064"/>
      <c r="BX304" s="1064"/>
      <c r="BY304" s="1064"/>
      <c r="BZ304" s="569"/>
      <c r="CA304" s="1064"/>
      <c r="CB304" s="1064"/>
      <c r="CC304" s="1064"/>
      <c r="CD304" s="569"/>
      <c r="CE304" s="1064"/>
      <c r="CF304" s="1064"/>
      <c r="CG304" s="568"/>
      <c r="CJ304" s="1064"/>
      <c r="CK304" s="568"/>
      <c r="CL304" s="496">
        <f>-11</f>
        <v>-11</v>
      </c>
      <c r="CM304" s="1043">
        <f>-21-CL304</f>
        <v>-10</v>
      </c>
      <c r="CN304" s="1385">
        <v>-22.5</v>
      </c>
      <c r="CO304" s="1043">
        <f>-66-CL304-CM304-CN304</f>
        <v>-22.5</v>
      </c>
      <c r="CP304" s="496">
        <f>-14</f>
        <v>-14</v>
      </c>
      <c r="CQ304" s="1064"/>
      <c r="CR304" s="1043">
        <v>-14</v>
      </c>
      <c r="CS304" s="1064">
        <f>+CR304</f>
        <v>-14</v>
      </c>
      <c r="CT304" s="569"/>
      <c r="CU304" s="1064"/>
      <c r="CV304" s="1064"/>
      <c r="CW304" s="568"/>
      <c r="CX304" s="569"/>
      <c r="CY304" s="1064"/>
      <c r="CZ304" s="1064"/>
      <c r="DA304" s="1064"/>
      <c r="DB304" s="569"/>
      <c r="DC304" s="1064"/>
      <c r="DD304" s="1064"/>
      <c r="DE304" s="1064"/>
      <c r="DF304" s="1064"/>
      <c r="DG304" s="1064"/>
      <c r="DH304" s="1064"/>
      <c r="DI304" s="1064"/>
      <c r="DJ304" s="1064"/>
      <c r="DK304" s="1064"/>
      <c r="DL304" s="1064"/>
      <c r="DM304" s="568"/>
      <c r="DN304" s="568"/>
      <c r="DO304" s="568"/>
      <c r="DP304" s="568"/>
      <c r="DQ304" s="568"/>
      <c r="DR304" s="568"/>
      <c r="DS304" s="568"/>
      <c r="DT304" s="568"/>
      <c r="DU304" s="568"/>
      <c r="DV304" s="568"/>
      <c r="DW304" s="568"/>
      <c r="DX304" s="568"/>
      <c r="DY304" s="568"/>
    </row>
    <row r="305" spans="1:129" ht="15" customHeight="1">
      <c r="A305" s="1603" t="s">
        <v>287</v>
      </c>
      <c r="B305" s="86"/>
      <c r="C305" s="86"/>
      <c r="D305" s="86"/>
      <c r="E305" s="86"/>
      <c r="F305" s="86"/>
      <c r="G305" s="86"/>
      <c r="H305" s="86"/>
      <c r="I305" s="86"/>
      <c r="J305" s="86"/>
      <c r="K305" s="86"/>
      <c r="L305" s="86"/>
      <c r="M305" s="86"/>
      <c r="N305" s="86"/>
      <c r="O305" s="86"/>
      <c r="P305" s="86"/>
      <c r="Q305" s="1070"/>
      <c r="R305" s="217"/>
      <c r="T305" s="1269"/>
      <c r="U305" s="1269"/>
      <c r="AA305" s="1269"/>
      <c r="AB305" s="1269"/>
      <c r="AC305" s="1269"/>
      <c r="AD305" s="1269"/>
      <c r="AE305" s="1269"/>
      <c r="AF305" s="1269"/>
      <c r="AG305" s="1269"/>
      <c r="AH305" s="1947"/>
      <c r="AI305" s="606"/>
      <c r="AJ305" s="1947"/>
      <c r="AK305" s="86"/>
      <c r="AL305" s="86"/>
      <c r="AM305" s="86"/>
      <c r="AN305" s="86"/>
      <c r="AO305" s="86"/>
      <c r="AP305" s="86"/>
      <c r="AQ305" s="86"/>
      <c r="AR305" s="86"/>
      <c r="AS305" s="86"/>
      <c r="AT305" s="86"/>
      <c r="AU305" s="86"/>
      <c r="AV305" s="86"/>
      <c r="AW305" s="86"/>
      <c r="AX305" s="86"/>
      <c r="AY305" s="86"/>
      <c r="AZ305" s="86"/>
      <c r="BA305" s="86"/>
      <c r="BB305" s="86"/>
      <c r="BC305" s="86"/>
      <c r="BD305" s="86"/>
      <c r="BE305" s="86"/>
      <c r="BF305" s="86"/>
      <c r="BG305" s="86"/>
      <c r="BH305" s="86"/>
      <c r="BI305" s="86"/>
      <c r="BJ305" s="86"/>
      <c r="BK305" s="86"/>
      <c r="BL305" s="86"/>
      <c r="BM305" s="86"/>
      <c r="BN305" s="86"/>
      <c r="BO305" s="86"/>
      <c r="BP305" s="86"/>
      <c r="BQ305" s="86"/>
      <c r="BR305" s="569"/>
      <c r="BS305" s="1064"/>
      <c r="BT305" s="1064"/>
      <c r="BU305" s="1064"/>
      <c r="BV305" s="569"/>
      <c r="BW305" s="1064"/>
      <c r="BX305" s="1064"/>
      <c r="BY305" s="1064"/>
      <c r="BZ305" s="569"/>
      <c r="CA305" s="1064"/>
      <c r="CB305" s="1064"/>
      <c r="CC305" s="1064"/>
      <c r="CD305" s="569"/>
      <c r="CE305" s="1064"/>
      <c r="CF305" s="1064"/>
      <c r="CG305" s="568"/>
      <c r="CJ305" s="1064"/>
      <c r="CK305" s="568"/>
      <c r="CL305" s="496"/>
      <c r="CM305" s="1043"/>
      <c r="CN305" s="1385"/>
      <c r="CO305" s="1043"/>
      <c r="CP305" s="496"/>
      <c r="CQ305" s="1064"/>
      <c r="CR305" s="1064"/>
      <c r="CS305" s="1064"/>
      <c r="CT305" s="569"/>
      <c r="CU305" s="1064"/>
      <c r="CV305" s="1064"/>
      <c r="CW305" s="568"/>
      <c r="CX305" s="569"/>
      <c r="CY305" s="1064"/>
      <c r="CZ305" s="1064"/>
      <c r="DA305" s="1064"/>
      <c r="DB305" s="569"/>
      <c r="DC305" s="1064"/>
      <c r="DD305" s="1064"/>
      <c r="DE305" s="1064"/>
      <c r="DF305" s="1064"/>
      <c r="DG305" s="1064"/>
      <c r="DH305" s="1064"/>
      <c r="DI305" s="1064"/>
      <c r="DJ305" s="1064"/>
      <c r="DK305" s="1064"/>
      <c r="DL305" s="1064"/>
      <c r="DM305" s="568"/>
      <c r="DN305" s="568"/>
      <c r="DO305" s="568"/>
      <c r="DP305" s="568"/>
      <c r="DQ305" s="568"/>
      <c r="DR305" s="568"/>
      <c r="DS305" s="568"/>
      <c r="DT305" s="568"/>
      <c r="DU305" s="568"/>
      <c r="DV305" s="568"/>
      <c r="DW305" s="568"/>
      <c r="DX305" s="568"/>
      <c r="DY305" s="568"/>
    </row>
    <row r="306" spans="1:129" ht="15" customHeight="1">
      <c r="A306" s="1595" t="s">
        <v>1040</v>
      </c>
      <c r="B306" s="91"/>
      <c r="C306" s="91"/>
      <c r="D306" s="91"/>
      <c r="E306" s="91"/>
      <c r="F306" s="91"/>
      <c r="G306" s="91"/>
      <c r="H306" s="91"/>
      <c r="I306" s="91"/>
      <c r="J306" s="91"/>
      <c r="K306" s="91"/>
      <c r="L306" s="91"/>
      <c r="M306" s="91"/>
      <c r="N306" s="91"/>
      <c r="O306" s="91"/>
      <c r="P306" s="91"/>
      <c r="Q306" s="1113">
        <f>SUM(CL306:CO306)</f>
        <v>4015</v>
      </c>
      <c r="R306" s="149">
        <f>SUM(CP306:CS306)</f>
        <v>2312.3406158036269</v>
      </c>
      <c r="S306" s="111"/>
      <c r="T306" s="1330"/>
      <c r="U306" s="1330"/>
      <c r="V306" s="111"/>
      <c r="W306" s="111"/>
      <c r="X306" s="111"/>
      <c r="Y306" s="111"/>
      <c r="Z306" s="111"/>
      <c r="AA306" s="1330"/>
      <c r="AB306" s="1330"/>
      <c r="AC306" s="1330"/>
      <c r="AD306" s="1330"/>
      <c r="AE306" s="1330"/>
      <c r="AF306" s="1330"/>
      <c r="AG306" s="1330"/>
      <c r="AH306" s="1966"/>
      <c r="AI306" s="193"/>
      <c r="AJ306" s="1966"/>
      <c r="AK306" s="91"/>
      <c r="AL306" s="91"/>
      <c r="AM306" s="91"/>
      <c r="AN306" s="91"/>
      <c r="AO306" s="91"/>
      <c r="AP306" s="91"/>
      <c r="AQ306" s="91"/>
      <c r="AR306" s="91"/>
      <c r="AS306" s="91"/>
      <c r="AT306" s="91"/>
      <c r="AU306" s="91"/>
      <c r="AV306" s="91"/>
      <c r="AW306" s="91"/>
      <c r="AX306" s="91"/>
      <c r="AY306" s="91"/>
      <c r="AZ306" s="91"/>
      <c r="BA306" s="91"/>
      <c r="BB306" s="91"/>
      <c r="BC306" s="91"/>
      <c r="BD306" s="91"/>
      <c r="BE306" s="91"/>
      <c r="BF306" s="91"/>
      <c r="BG306" s="91"/>
      <c r="BH306" s="91"/>
      <c r="BI306" s="91"/>
      <c r="BJ306" s="91"/>
      <c r="BK306" s="91"/>
      <c r="BL306" s="91"/>
      <c r="BM306" s="91"/>
      <c r="BN306" s="91"/>
      <c r="BO306" s="91"/>
      <c r="BP306" s="91"/>
      <c r="BQ306" s="91"/>
      <c r="BR306" s="151"/>
      <c r="BS306" s="1068"/>
      <c r="BT306" s="1068"/>
      <c r="BU306" s="1068"/>
      <c r="BV306" s="151"/>
      <c r="BW306" s="1068"/>
      <c r="BX306" s="1068"/>
      <c r="BY306" s="1068"/>
      <c r="BZ306" s="151"/>
      <c r="CA306" s="1068"/>
      <c r="CB306" s="1068"/>
      <c r="CC306" s="1068"/>
      <c r="CD306" s="151"/>
      <c r="CE306" s="1068"/>
      <c r="CF306" s="1068"/>
      <c r="CG306" s="93"/>
      <c r="CH306" s="1310">
        <v>1099</v>
      </c>
      <c r="CI306" s="1311">
        <v>1102</v>
      </c>
      <c r="CJ306" s="1068"/>
      <c r="CK306" s="93"/>
      <c r="CL306" s="151">
        <f>SUM(CL302:CL305)</f>
        <v>1036</v>
      </c>
      <c r="CM306" s="1068">
        <f>SUM(CM302:CM305)</f>
        <v>1025</v>
      </c>
      <c r="CN306" s="1068">
        <f>SUM(CN302:CN305)</f>
        <v>988.5</v>
      </c>
      <c r="CO306" s="1068">
        <f>SUM(CO302:CO305)</f>
        <v>965.5</v>
      </c>
      <c r="CP306" s="151">
        <f>SUM(CP302:CP305)</f>
        <v>954</v>
      </c>
      <c r="CQ306" s="1304">
        <v>918</v>
      </c>
      <c r="CR306" s="1068">
        <f>SUM(CR302:CR305)</f>
        <v>450.34061580362697</v>
      </c>
      <c r="CS306" s="1068">
        <f>SUM(CS302:CS305)</f>
        <v>-10</v>
      </c>
      <c r="CT306" s="151"/>
      <c r="CU306" s="1068"/>
      <c r="CV306" s="1068"/>
      <c r="CW306" s="93"/>
      <c r="CX306" s="151"/>
      <c r="CY306" s="1068"/>
      <c r="CZ306" s="1068"/>
      <c r="DA306" s="1068"/>
      <c r="DB306" s="151"/>
      <c r="DC306" s="1068"/>
      <c r="DD306" s="1068"/>
      <c r="DE306" s="1068"/>
      <c r="DF306" s="1068"/>
      <c r="DG306" s="1068"/>
      <c r="DH306" s="1068"/>
      <c r="DI306" s="1068"/>
      <c r="DJ306" s="1068"/>
      <c r="DK306" s="1068"/>
      <c r="DL306" s="1068"/>
      <c r="DM306" s="568"/>
      <c r="DN306" s="568"/>
      <c r="DO306" s="568"/>
      <c r="DP306" s="568"/>
      <c r="DQ306" s="568"/>
      <c r="DR306" s="568"/>
      <c r="DS306" s="568"/>
      <c r="DT306" s="568"/>
      <c r="DU306" s="568"/>
      <c r="DV306" s="568"/>
      <c r="DW306" s="568"/>
      <c r="DX306" s="568"/>
      <c r="DY306" s="568"/>
    </row>
    <row r="307" spans="1:129" ht="15" customHeight="1">
      <c r="A307" s="1607" t="s">
        <v>288</v>
      </c>
      <c r="B307" s="562"/>
      <c r="C307" s="562"/>
      <c r="D307" s="562"/>
      <c r="E307" s="562"/>
      <c r="F307" s="562"/>
      <c r="G307" s="562"/>
      <c r="H307" s="562"/>
      <c r="I307" s="562"/>
      <c r="J307" s="562"/>
      <c r="K307" s="562"/>
      <c r="L307" s="562"/>
      <c r="M307" s="562"/>
      <c r="N307" s="562"/>
      <c r="O307" s="562"/>
      <c r="P307" s="562"/>
      <c r="Q307" s="1065"/>
      <c r="R307" s="562">
        <f>+R306/Q306-1</f>
        <v>-0.42407456642499952</v>
      </c>
      <c r="S307" s="971"/>
      <c r="T307" s="1324"/>
      <c r="U307" s="1324"/>
      <c r="V307" s="971"/>
      <c r="W307" s="971"/>
      <c r="X307" s="971"/>
      <c r="Y307" s="971"/>
      <c r="Z307" s="971"/>
      <c r="AA307" s="1324"/>
      <c r="AB307" s="1324"/>
      <c r="AC307" s="1324"/>
      <c r="AD307" s="1324"/>
      <c r="AE307" s="1324"/>
      <c r="AF307" s="1324"/>
      <c r="AG307" s="1324"/>
      <c r="AH307" s="1927"/>
      <c r="AI307" s="606"/>
      <c r="AJ307" s="1927"/>
      <c r="AK307" s="562"/>
      <c r="AL307" s="562"/>
      <c r="AM307" s="562"/>
      <c r="AN307" s="562"/>
      <c r="AO307" s="562"/>
      <c r="AP307" s="562"/>
      <c r="AQ307" s="562"/>
      <c r="AR307" s="562"/>
      <c r="AS307" s="562"/>
      <c r="AT307" s="562"/>
      <c r="AU307" s="562"/>
      <c r="AV307" s="562"/>
      <c r="AW307" s="562"/>
      <c r="AX307" s="562"/>
      <c r="AY307" s="562"/>
      <c r="AZ307" s="562"/>
      <c r="BA307" s="562"/>
      <c r="BB307" s="562"/>
      <c r="BC307" s="562"/>
      <c r="BD307" s="562"/>
      <c r="BE307" s="562"/>
      <c r="BF307" s="562"/>
      <c r="BG307" s="562"/>
      <c r="BH307" s="562"/>
      <c r="BI307" s="562"/>
      <c r="BJ307" s="562"/>
      <c r="BK307" s="562"/>
      <c r="BL307" s="562"/>
      <c r="BM307" s="562"/>
      <c r="BN307" s="562"/>
      <c r="BO307" s="562"/>
      <c r="BP307" s="562"/>
      <c r="BQ307" s="562"/>
      <c r="BR307" s="563"/>
      <c r="BS307" s="1065"/>
      <c r="BT307" s="1065"/>
      <c r="BU307" s="1065"/>
      <c r="BV307" s="563"/>
      <c r="BW307" s="1065"/>
      <c r="BX307" s="1065"/>
      <c r="BY307" s="1065"/>
      <c r="BZ307" s="563"/>
      <c r="CA307" s="1065"/>
      <c r="CB307" s="1065"/>
      <c r="CC307" s="1065"/>
      <c r="CD307" s="563"/>
      <c r="CE307" s="1065"/>
      <c r="CF307" s="1065"/>
      <c r="CG307" s="564"/>
      <c r="CJ307" s="1065"/>
      <c r="CK307" s="564"/>
      <c r="CP307" s="563">
        <f>+CP306/CL306-1</f>
        <v>-7.9150579150579103E-2</v>
      </c>
      <c r="CQ307" s="1065">
        <f>+CQ306/CM306-1</f>
        <v>-0.10439024390243901</v>
      </c>
      <c r="CR307" s="1065">
        <f>+CR306/CN306-1</f>
        <v>-0.54442021668828833</v>
      </c>
      <c r="CS307" s="1065">
        <f>+CS306/CO306-1</f>
        <v>-1.0103573278094251</v>
      </c>
      <c r="CT307" s="563"/>
      <c r="CU307" s="1065"/>
      <c r="CV307" s="1065"/>
      <c r="CW307" s="564"/>
      <c r="CX307" s="563"/>
      <c r="CY307" s="1065"/>
      <c r="CZ307" s="1065"/>
      <c r="DA307" s="1065"/>
      <c r="DB307" s="563"/>
      <c r="DC307" s="1065"/>
      <c r="DD307" s="1065"/>
      <c r="DE307" s="1065"/>
      <c r="DF307" s="1065"/>
      <c r="DG307" s="1065"/>
      <c r="DH307" s="1065"/>
      <c r="DI307" s="1065"/>
      <c r="DJ307" s="1065"/>
      <c r="DK307" s="1065"/>
      <c r="DL307" s="1065"/>
      <c r="DM307" s="564"/>
      <c r="DN307" s="564"/>
      <c r="DO307" s="564"/>
      <c r="DP307" s="564"/>
      <c r="DQ307" s="564"/>
      <c r="DR307" s="564"/>
      <c r="DS307" s="564"/>
      <c r="DT307" s="564"/>
      <c r="DU307" s="564"/>
      <c r="DV307" s="564"/>
      <c r="DW307" s="564"/>
      <c r="DX307" s="564"/>
      <c r="DY307" s="564"/>
    </row>
    <row r="308" spans="1:129" ht="15" customHeight="1">
      <c r="A308" s="1607"/>
      <c r="B308" s="86"/>
      <c r="C308" s="86"/>
      <c r="D308" s="86"/>
      <c r="E308" s="86"/>
      <c r="F308" s="86"/>
      <c r="G308" s="86"/>
      <c r="H308" s="86"/>
      <c r="I308" s="86"/>
      <c r="J308" s="86"/>
      <c r="K308" s="86"/>
      <c r="L308" s="86"/>
      <c r="M308" s="86"/>
      <c r="N308" s="86"/>
      <c r="O308" s="86"/>
      <c r="P308" s="86"/>
      <c r="Q308" s="1070"/>
      <c r="R308" s="217"/>
      <c r="T308" s="1269"/>
      <c r="U308" s="1269"/>
      <c r="AA308" s="1269"/>
      <c r="AB308" s="1269"/>
      <c r="AC308" s="1269"/>
      <c r="AD308" s="1269"/>
      <c r="AE308" s="1269"/>
      <c r="AF308" s="1269"/>
      <c r="AG308" s="1269"/>
      <c r="AH308" s="1947"/>
      <c r="AI308" s="606"/>
      <c r="AJ308" s="1947"/>
      <c r="AK308" s="86"/>
      <c r="AL308" s="86"/>
      <c r="AM308" s="86"/>
      <c r="AN308" s="86"/>
      <c r="AO308" s="86"/>
      <c r="AP308" s="86"/>
      <c r="AQ308" s="86"/>
      <c r="AR308" s="86"/>
      <c r="AS308" s="86"/>
      <c r="AT308" s="86"/>
      <c r="AU308" s="86"/>
      <c r="AV308" s="86"/>
      <c r="AW308" s="86"/>
      <c r="AX308" s="86"/>
      <c r="AY308" s="86"/>
      <c r="AZ308" s="86"/>
      <c r="BA308" s="86"/>
      <c r="BB308" s="86"/>
      <c r="BC308" s="86"/>
      <c r="BD308" s="86"/>
      <c r="BE308" s="86"/>
      <c r="BF308" s="86"/>
      <c r="BG308" s="86"/>
      <c r="BH308" s="86"/>
      <c r="BI308" s="86"/>
      <c r="BJ308" s="86"/>
      <c r="BK308" s="86"/>
      <c r="BL308" s="86"/>
      <c r="BM308" s="86"/>
      <c r="BN308" s="86"/>
      <c r="BO308" s="86"/>
      <c r="BP308" s="86"/>
      <c r="BQ308" s="86"/>
      <c r="BR308" s="569"/>
      <c r="BS308" s="1064"/>
      <c r="BT308" s="1064"/>
      <c r="BU308" s="1064"/>
      <c r="BV308" s="569"/>
      <c r="BW308" s="1064"/>
      <c r="BX308" s="1064"/>
      <c r="BY308" s="1064"/>
      <c r="BZ308" s="569"/>
      <c r="CA308" s="1064"/>
      <c r="CB308" s="1064"/>
      <c r="CC308" s="1064"/>
      <c r="CD308" s="569"/>
      <c r="CE308" s="1064"/>
      <c r="CF308" s="1064"/>
      <c r="CG308" s="568"/>
      <c r="CJ308" s="1064"/>
      <c r="CK308" s="568"/>
      <c r="CL308" s="496"/>
      <c r="CM308" s="1043"/>
      <c r="CN308" s="1385"/>
      <c r="CO308" s="1043"/>
      <c r="CP308" s="496"/>
      <c r="CQ308" s="1064"/>
      <c r="CR308" s="1064"/>
      <c r="CS308" s="1064"/>
      <c r="CT308" s="569"/>
      <c r="CU308" s="1064"/>
      <c r="CV308" s="1064"/>
      <c r="CW308" s="568"/>
      <c r="CX308" s="569"/>
      <c r="CY308" s="1064"/>
      <c r="CZ308" s="1064"/>
      <c r="DA308" s="1064"/>
      <c r="DB308" s="569"/>
      <c r="DC308" s="1064"/>
      <c r="DD308" s="1064"/>
      <c r="DE308" s="1064"/>
      <c r="DF308" s="1064"/>
      <c r="DG308" s="1064"/>
      <c r="DH308" s="1064"/>
      <c r="DI308" s="1064"/>
      <c r="DJ308" s="1064"/>
      <c r="DK308" s="1064"/>
      <c r="DL308" s="1064"/>
      <c r="DM308" s="568"/>
      <c r="DN308" s="568"/>
      <c r="DO308" s="568"/>
      <c r="DP308" s="568"/>
      <c r="DQ308" s="568"/>
      <c r="DR308" s="568"/>
      <c r="DS308" s="568"/>
      <c r="DT308" s="568"/>
      <c r="DU308" s="568"/>
      <c r="DV308" s="568"/>
      <c r="DW308" s="568"/>
      <c r="DX308" s="568"/>
      <c r="DY308" s="568"/>
    </row>
    <row r="309" spans="1:129" ht="15" customHeight="1">
      <c r="A309" s="1607"/>
      <c r="B309" s="86"/>
      <c r="C309" s="86"/>
      <c r="D309" s="86"/>
      <c r="E309" s="86"/>
      <c r="F309" s="86"/>
      <c r="G309" s="86"/>
      <c r="H309" s="86"/>
      <c r="I309" s="86"/>
      <c r="J309" s="86"/>
      <c r="K309" s="86"/>
      <c r="L309" s="86"/>
      <c r="M309" s="86"/>
      <c r="N309" s="86"/>
      <c r="O309" s="86"/>
      <c r="P309" s="86"/>
      <c r="Q309" s="1064"/>
      <c r="R309" s="86"/>
      <c r="S309" s="795"/>
      <c r="T309" s="1319"/>
      <c r="U309" s="1319"/>
      <c r="V309" s="795"/>
      <c r="W309" s="795"/>
      <c r="X309" s="795"/>
      <c r="Y309" s="795"/>
      <c r="Z309" s="795"/>
      <c r="AA309" s="1319"/>
      <c r="AB309" s="1319"/>
      <c r="AC309" s="1319"/>
      <c r="AD309" s="1319"/>
      <c r="AE309" s="1319"/>
      <c r="AF309" s="1319"/>
      <c r="AG309" s="1319"/>
      <c r="AH309" s="1947"/>
      <c r="AI309" s="606"/>
      <c r="AJ309" s="1947"/>
      <c r="AK309" s="86"/>
      <c r="AL309" s="86"/>
      <c r="AM309" s="86"/>
      <c r="AN309" s="86"/>
      <c r="AO309" s="86"/>
      <c r="AP309" s="86"/>
      <c r="AQ309" s="86"/>
      <c r="AR309" s="86"/>
      <c r="AS309" s="86"/>
      <c r="AT309" s="86"/>
      <c r="AU309" s="86"/>
      <c r="AV309" s="86"/>
      <c r="AW309" s="86"/>
      <c r="AX309" s="86"/>
      <c r="AY309" s="86"/>
      <c r="AZ309" s="86"/>
      <c r="BA309" s="86"/>
      <c r="BB309" s="86"/>
      <c r="BC309" s="86"/>
      <c r="BD309" s="86"/>
      <c r="BE309" s="86"/>
      <c r="BF309" s="86"/>
      <c r="BG309" s="86"/>
      <c r="BH309" s="86"/>
      <c r="BI309" s="86"/>
      <c r="BJ309" s="86"/>
      <c r="BK309" s="86"/>
      <c r="BL309" s="86"/>
      <c r="BM309" s="86"/>
      <c r="BN309" s="86"/>
      <c r="BO309" s="86"/>
      <c r="BP309" s="86"/>
      <c r="BQ309" s="86"/>
      <c r="BR309" s="569"/>
      <c r="BS309" s="1064"/>
      <c r="BT309" s="1064"/>
      <c r="BU309" s="1064"/>
      <c r="BV309" s="569"/>
      <c r="BW309" s="1064"/>
      <c r="BX309" s="1064"/>
      <c r="BY309" s="1064"/>
      <c r="BZ309" s="569"/>
      <c r="CA309" s="1064"/>
      <c r="CB309" s="1064"/>
      <c r="CC309" s="1064"/>
      <c r="CD309" s="569"/>
      <c r="CE309" s="1064"/>
      <c r="CF309" s="1064"/>
      <c r="CG309" s="568"/>
      <c r="CJ309" s="1064"/>
      <c r="CK309" s="568"/>
      <c r="CP309" s="569"/>
      <c r="CQ309" s="1064"/>
      <c r="CR309" s="1064"/>
      <c r="CS309" s="1064"/>
      <c r="CT309" s="569"/>
      <c r="CU309" s="1064"/>
      <c r="CV309" s="1064"/>
      <c r="CW309" s="568"/>
      <c r="CX309" s="569"/>
      <c r="CY309" s="1064"/>
      <c r="CZ309" s="1064"/>
      <c r="DA309" s="1064"/>
      <c r="DB309" s="569"/>
      <c r="DC309" s="1064"/>
      <c r="DD309" s="1064"/>
      <c r="DE309" s="1064"/>
      <c r="DF309" s="1064"/>
      <c r="DG309" s="1064"/>
      <c r="DH309" s="1064"/>
      <c r="DI309" s="1064"/>
      <c r="DJ309" s="1064"/>
      <c r="DK309" s="1064"/>
      <c r="DL309" s="1064"/>
      <c r="DM309" s="568"/>
      <c r="DN309" s="568"/>
      <c r="DO309" s="568"/>
      <c r="DP309" s="568"/>
      <c r="DQ309" s="568"/>
      <c r="DR309" s="568"/>
      <c r="DS309" s="568"/>
      <c r="DT309" s="568"/>
      <c r="DU309" s="568"/>
      <c r="DV309" s="568"/>
      <c r="DW309" s="568"/>
      <c r="DX309" s="568"/>
      <c r="DY309" s="568"/>
    </row>
    <row r="310" spans="1:129" ht="15" customHeight="1">
      <c r="A310" s="1611" t="s">
        <v>289</v>
      </c>
      <c r="B310" s="86"/>
      <c r="C310" s="86"/>
      <c r="D310" s="86"/>
      <c r="E310" s="86"/>
      <c r="F310" s="86"/>
      <c r="G310" s="86"/>
      <c r="H310" s="86"/>
      <c r="I310" s="86"/>
      <c r="J310" s="86"/>
      <c r="K310" s="86"/>
      <c r="L310" s="86"/>
      <c r="M310" s="86"/>
      <c r="N310" s="86"/>
      <c r="O310" s="86"/>
      <c r="P310" s="86"/>
      <c r="Q310" s="1070">
        <f>SUM(CL310:CO310)</f>
        <v>2742</v>
      </c>
      <c r="R310" s="217">
        <f>SUM(CP310:CS310)</f>
        <v>2800.2949999999996</v>
      </c>
      <c r="S310" s="1331"/>
      <c r="T310" s="1332"/>
      <c r="U310" s="1332"/>
      <c r="V310" s="1331"/>
      <c r="W310" s="1331"/>
      <c r="X310" s="1332"/>
      <c r="Y310" s="1332"/>
      <c r="Z310" s="1332"/>
      <c r="AA310" s="1332"/>
      <c r="AB310" s="1332"/>
      <c r="AC310" s="1332"/>
      <c r="AD310" s="1332"/>
      <c r="AE310" s="1332"/>
      <c r="AF310" s="1332"/>
      <c r="AG310" s="1332"/>
      <c r="AH310" s="1947"/>
      <c r="AI310" s="606"/>
      <c r="AJ310" s="1947"/>
      <c r="AK310" s="86"/>
      <c r="AL310" s="86"/>
      <c r="AM310" s="86"/>
      <c r="AN310" s="86"/>
      <c r="AO310" s="86"/>
      <c r="AP310" s="86"/>
      <c r="AQ310" s="86"/>
      <c r="AR310" s="86"/>
      <c r="AS310" s="86"/>
      <c r="AT310" s="86"/>
      <c r="AU310" s="86"/>
      <c r="AV310" s="86"/>
      <c r="AW310" s="86"/>
      <c r="AX310" s="86"/>
      <c r="AY310" s="86"/>
      <c r="AZ310" s="86"/>
      <c r="BA310" s="86"/>
      <c r="BB310" s="86"/>
      <c r="BC310" s="86"/>
      <c r="BD310" s="86"/>
      <c r="BE310" s="86"/>
      <c r="BF310" s="86"/>
      <c r="BG310" s="86"/>
      <c r="BH310" s="86"/>
      <c r="BI310" s="86"/>
      <c r="BJ310" s="86"/>
      <c r="BK310" s="86"/>
      <c r="BL310" s="86"/>
      <c r="BM310" s="86"/>
      <c r="BN310" s="86"/>
      <c r="BO310" s="86"/>
      <c r="BP310" s="86"/>
      <c r="BQ310" s="86"/>
      <c r="BR310" s="569"/>
      <c r="BS310" s="1064"/>
      <c r="BT310" s="1064"/>
      <c r="BU310" s="1064"/>
      <c r="BV310" s="569"/>
      <c r="BW310" s="1064"/>
      <c r="BX310" s="1064"/>
      <c r="BY310" s="1064"/>
      <c r="BZ310" s="569"/>
      <c r="CA310" s="1064"/>
      <c r="CB310" s="1064"/>
      <c r="CC310" s="1064"/>
      <c r="CD310" s="569"/>
      <c r="CE310" s="1064"/>
      <c r="CF310" s="1064"/>
      <c r="CG310" s="568"/>
      <c r="CH310" s="569"/>
      <c r="CI310" s="1064"/>
      <c r="CJ310" s="1064"/>
      <c r="CK310" s="568"/>
      <c r="CL310" s="618">
        <f>+CL313+CL316</f>
        <v>564</v>
      </c>
      <c r="CM310" s="617">
        <f>+CM313+CM316</f>
        <v>711</v>
      </c>
      <c r="CN310" s="617">
        <f>+CN313+CN316</f>
        <v>713</v>
      </c>
      <c r="CO310" s="617">
        <f>+CO313+CO316</f>
        <v>754</v>
      </c>
      <c r="CP310">
        <v>700</v>
      </c>
      <c r="CQ310" s="617">
        <f>+CM310*(1+CQ311)</f>
        <v>700.33500000000004</v>
      </c>
      <c r="CR310" s="617">
        <f>+CN310*(1+CR311)</f>
        <v>698.74</v>
      </c>
      <c r="CS310" s="617">
        <f>+CO310*(1+CS311)</f>
        <v>701.21999999999991</v>
      </c>
      <c r="CT310" s="618"/>
      <c r="CU310" s="617"/>
      <c r="CV310" s="617"/>
      <c r="CW310" s="616"/>
      <c r="CX310" s="618"/>
      <c r="CY310" s="617"/>
      <c r="CZ310" s="617"/>
      <c r="DA310" s="617"/>
      <c r="DB310" s="618"/>
      <c r="DC310" s="617"/>
      <c r="DD310" s="617"/>
      <c r="DE310" s="617"/>
      <c r="DF310" s="617"/>
      <c r="DG310" s="617"/>
      <c r="DH310" s="617"/>
      <c r="DI310" s="617"/>
      <c r="DJ310" s="617"/>
      <c r="DK310" s="617"/>
      <c r="DL310" s="617"/>
      <c r="DM310" s="568"/>
      <c r="DN310" s="568"/>
      <c r="DO310" s="568"/>
      <c r="DP310" s="568"/>
      <c r="DQ310" s="568"/>
      <c r="DR310" s="568"/>
      <c r="DS310" s="568"/>
      <c r="DT310" s="568"/>
      <c r="DU310" s="568"/>
      <c r="DV310" s="568"/>
      <c r="DW310" s="568"/>
      <c r="DX310" s="568"/>
      <c r="DY310" s="568"/>
    </row>
    <row r="311" spans="1:129" ht="15" customHeight="1">
      <c r="A311" s="1607" t="s">
        <v>288</v>
      </c>
      <c r="B311" s="562"/>
      <c r="C311" s="562"/>
      <c r="D311" s="562"/>
      <c r="E311" s="562"/>
      <c r="F311" s="562"/>
      <c r="G311" s="562"/>
      <c r="H311" s="562"/>
      <c r="I311" s="562"/>
      <c r="J311" s="562"/>
      <c r="K311" s="562"/>
      <c r="L311" s="562"/>
      <c r="M311" s="562"/>
      <c r="N311" s="562"/>
      <c r="O311" s="562"/>
      <c r="P311" s="562"/>
      <c r="Q311" s="1065"/>
      <c r="R311" s="562">
        <f>+R310/Q310-1</f>
        <v>2.1260029175784068E-2</v>
      </c>
      <c r="S311" s="971"/>
      <c r="T311" s="1324"/>
      <c r="U311" s="1324"/>
      <c r="V311" s="971"/>
      <c r="W311" s="971"/>
      <c r="X311" s="971"/>
      <c r="Y311" s="971"/>
      <c r="Z311" s="971"/>
      <c r="AA311" s="1324"/>
      <c r="AB311" s="1324"/>
      <c r="AC311" s="1324"/>
      <c r="AD311" s="1324"/>
      <c r="AE311" s="1324"/>
      <c r="AF311" s="1324"/>
      <c r="AG311" s="1324"/>
      <c r="AH311" s="1927"/>
      <c r="AI311" s="606"/>
      <c r="AJ311" s="1927"/>
      <c r="AK311" s="562"/>
      <c r="AL311" s="562"/>
      <c r="AM311" s="562"/>
      <c r="AN311" s="562"/>
      <c r="AO311" s="562"/>
      <c r="AP311" s="562"/>
      <c r="AQ311" s="562"/>
      <c r="AR311" s="562"/>
      <c r="AS311" s="562"/>
      <c r="AT311" s="562"/>
      <c r="AU311" s="562"/>
      <c r="AV311" s="562"/>
      <c r="AW311" s="562"/>
      <c r="AX311" s="562"/>
      <c r="AY311" s="562"/>
      <c r="AZ311" s="562"/>
      <c r="BA311" s="562"/>
      <c r="BB311" s="562"/>
      <c r="BC311" s="562"/>
      <c r="BD311" s="562"/>
      <c r="BE311" s="562"/>
      <c r="BF311" s="562"/>
      <c r="BG311" s="562"/>
      <c r="BH311" s="562"/>
      <c r="BI311" s="562"/>
      <c r="BJ311" s="562"/>
      <c r="BK311" s="562"/>
      <c r="BL311" s="562"/>
      <c r="BM311" s="562"/>
      <c r="BN311" s="562"/>
      <c r="BO311" s="562"/>
      <c r="BP311" s="562"/>
      <c r="BQ311" s="562"/>
      <c r="BR311" s="563"/>
      <c r="BS311" s="1065"/>
      <c r="BT311" s="1065"/>
      <c r="BU311" s="1065"/>
      <c r="BV311" s="563"/>
      <c r="BW311" s="1065"/>
      <c r="BX311" s="1065"/>
      <c r="BY311" s="1065"/>
      <c r="BZ311" s="563"/>
      <c r="CA311" s="1065"/>
      <c r="CB311" s="1065"/>
      <c r="CC311" s="1065"/>
      <c r="CD311" s="563"/>
      <c r="CE311" s="1065"/>
      <c r="CF311" s="1065"/>
      <c r="CG311" s="564"/>
      <c r="CH311" s="563"/>
      <c r="CI311" s="1065"/>
      <c r="CJ311" s="1065"/>
      <c r="CK311" s="564"/>
      <c r="CL311" s="620"/>
      <c r="CM311" s="619"/>
      <c r="CN311" s="619"/>
      <c r="CO311" s="619"/>
      <c r="CP311" s="563">
        <f>+CP310/CL310-1</f>
        <v>0.24113475177304955</v>
      </c>
      <c r="CQ311" s="1059">
        <v>-1.4999999999999999E-2</v>
      </c>
      <c r="CR311" s="1059">
        <v>-0.02</v>
      </c>
      <c r="CS311" s="1059">
        <v>-7.0000000000000007E-2</v>
      </c>
      <c r="CT311" s="165"/>
      <c r="CU311" s="1059"/>
      <c r="CV311" s="1059"/>
      <c r="CW311" s="166"/>
      <c r="CX311" s="165"/>
      <c r="CY311" s="1059"/>
      <c r="CZ311" s="1059"/>
      <c r="DA311" s="1059"/>
      <c r="DB311" s="165"/>
      <c r="DC311" s="1059"/>
      <c r="DD311" s="1059"/>
      <c r="DE311" s="1059"/>
      <c r="DF311" s="1059"/>
      <c r="DG311" s="1059"/>
      <c r="DH311" s="1059"/>
      <c r="DI311" s="1059"/>
      <c r="DJ311" s="1059"/>
      <c r="DK311" s="1059"/>
      <c r="DL311" s="1059"/>
      <c r="DM311" s="564"/>
      <c r="DN311" s="564"/>
      <c r="DO311" s="564"/>
      <c r="DP311" s="564"/>
      <c r="DQ311" s="564"/>
      <c r="DR311" s="564"/>
      <c r="DS311" s="564"/>
      <c r="DT311" s="564"/>
      <c r="DU311" s="564"/>
      <c r="DV311" s="564"/>
      <c r="DW311" s="564"/>
      <c r="DX311" s="564"/>
      <c r="DY311" s="564"/>
    </row>
    <row r="312" spans="1:129" ht="15" customHeight="1">
      <c r="A312" s="1607" t="s">
        <v>290</v>
      </c>
      <c r="B312" s="562"/>
      <c r="C312" s="562"/>
      <c r="D312" s="562"/>
      <c r="E312" s="562"/>
      <c r="F312" s="562"/>
      <c r="G312" s="562"/>
      <c r="H312" s="562"/>
      <c r="I312" s="562"/>
      <c r="J312" s="562"/>
      <c r="K312" s="562"/>
      <c r="L312" s="562"/>
      <c r="M312" s="562"/>
      <c r="N312" s="562"/>
      <c r="O312" s="562"/>
      <c r="P312" s="562"/>
      <c r="Q312" s="1065">
        <f>+Q310/$Q$306</f>
        <v>0.68293897882938981</v>
      </c>
      <c r="R312" s="562">
        <f>+R310/R306</f>
        <v>1.2110218455107618</v>
      </c>
      <c r="S312" s="971"/>
      <c r="T312" s="1324"/>
      <c r="U312" s="1324"/>
      <c r="V312" s="971"/>
      <c r="W312" s="971"/>
      <c r="X312" s="971"/>
      <c r="Y312" s="971"/>
      <c r="Z312" s="971"/>
      <c r="AA312" s="1324"/>
      <c r="AB312" s="1324"/>
      <c r="AC312" s="1324"/>
      <c r="AD312" s="1324"/>
      <c r="AE312" s="1324"/>
      <c r="AF312" s="1324"/>
      <c r="AG312" s="1324"/>
      <c r="AH312" s="1927"/>
      <c r="AI312" s="606"/>
      <c r="AJ312" s="1927"/>
      <c r="AK312" s="562"/>
      <c r="AL312" s="562"/>
      <c r="AM312" s="562"/>
      <c r="AN312" s="562"/>
      <c r="AO312" s="562"/>
      <c r="AP312" s="562"/>
      <c r="AQ312" s="562"/>
      <c r="AR312" s="562"/>
      <c r="AS312" s="562"/>
      <c r="AT312" s="562"/>
      <c r="AU312" s="562"/>
      <c r="AV312" s="562"/>
      <c r="AW312" s="562"/>
      <c r="AX312" s="562"/>
      <c r="AY312" s="562"/>
      <c r="AZ312" s="562"/>
      <c r="BA312" s="562"/>
      <c r="BB312" s="562"/>
      <c r="BC312" s="562"/>
      <c r="BD312" s="562"/>
      <c r="BE312" s="562"/>
      <c r="BF312" s="562"/>
      <c r="BG312" s="562"/>
      <c r="BH312" s="562"/>
      <c r="BI312" s="562"/>
      <c r="BJ312" s="562"/>
      <c r="BK312" s="562"/>
      <c r="BL312" s="562"/>
      <c r="BM312" s="562"/>
      <c r="BN312" s="562"/>
      <c r="BO312" s="562"/>
      <c r="BP312" s="562"/>
      <c r="BQ312" s="562"/>
      <c r="BR312" s="563"/>
      <c r="BS312" s="1065"/>
      <c r="BT312" s="1065"/>
      <c r="BU312" s="1065"/>
      <c r="BV312" s="563"/>
      <c r="BW312" s="1065"/>
      <c r="BX312" s="1065"/>
      <c r="BY312" s="1065"/>
      <c r="BZ312" s="563"/>
      <c r="CA312" s="1065"/>
      <c r="CB312" s="1065"/>
      <c r="CC312" s="1065"/>
      <c r="CD312" s="563"/>
      <c r="CE312" s="1065"/>
      <c r="CF312" s="1065"/>
      <c r="CG312" s="564"/>
      <c r="CH312" s="563"/>
      <c r="CI312" s="1065"/>
      <c r="CJ312" s="1065"/>
      <c r="CK312" s="564"/>
      <c r="CL312" s="620">
        <f t="shared" ref="CL312:CS312" si="425">+CL310/CL306</f>
        <v>0.54440154440154442</v>
      </c>
      <c r="CM312" s="619">
        <f t="shared" si="425"/>
        <v>0.6936585365853658</v>
      </c>
      <c r="CN312" s="619">
        <f t="shared" si="425"/>
        <v>0.72129489124936774</v>
      </c>
      <c r="CO312" s="619">
        <f t="shared" si="425"/>
        <v>0.78094251683065774</v>
      </c>
      <c r="CP312" s="620">
        <f t="shared" si="425"/>
        <v>0.7337526205450734</v>
      </c>
      <c r="CQ312" s="619">
        <f t="shared" si="425"/>
        <v>0.76289215686274514</v>
      </c>
      <c r="CR312" s="619">
        <f t="shared" si="425"/>
        <v>1.5515811265504169</v>
      </c>
      <c r="CS312" s="619">
        <f t="shared" si="425"/>
        <v>-70.121999999999986</v>
      </c>
      <c r="CT312" s="620"/>
      <c r="CU312" s="619"/>
      <c r="CV312" s="619"/>
      <c r="CW312" s="621"/>
      <c r="CX312" s="620"/>
      <c r="CY312" s="619"/>
      <c r="CZ312" s="619"/>
      <c r="DA312" s="619"/>
      <c r="DB312" s="620"/>
      <c r="DC312" s="619"/>
      <c r="DD312" s="619"/>
      <c r="DE312" s="619"/>
      <c r="DF312" s="619"/>
      <c r="DG312" s="619"/>
      <c r="DH312" s="619"/>
      <c r="DI312" s="619"/>
      <c r="DJ312" s="619"/>
      <c r="DK312" s="619"/>
      <c r="DL312" s="619"/>
      <c r="DM312" s="564"/>
      <c r="DN312" s="564"/>
      <c r="DO312" s="564"/>
      <c r="DP312" s="564"/>
      <c r="DQ312" s="564"/>
      <c r="DR312" s="564"/>
      <c r="DS312" s="564"/>
      <c r="DT312" s="564"/>
      <c r="DU312" s="564"/>
      <c r="DV312" s="564"/>
      <c r="DW312" s="564"/>
      <c r="DX312" s="564"/>
      <c r="DY312" s="564"/>
    </row>
    <row r="313" spans="1:129" ht="15" customHeight="1">
      <c r="A313" s="1607" t="s">
        <v>835</v>
      </c>
      <c r="B313" s="86"/>
      <c r="C313" s="86"/>
      <c r="D313" s="86"/>
      <c r="E313" s="86"/>
      <c r="F313" s="86"/>
      <c r="G313" s="86"/>
      <c r="H313" s="86"/>
      <c r="I313" s="86"/>
      <c r="J313" s="86"/>
      <c r="K313" s="86"/>
      <c r="L313" s="86"/>
      <c r="M313" s="86"/>
      <c r="N313" s="86"/>
      <c r="O313" s="86"/>
      <c r="P313" s="86"/>
      <c r="Q313" s="1070">
        <f>SUM(CL313:CO313)</f>
        <v>1380</v>
      </c>
      <c r="R313" s="217">
        <f>SUM(CP313:CS313)</f>
        <v>0</v>
      </c>
      <c r="S313" s="795"/>
      <c r="T313" s="1319"/>
      <c r="U313" s="1319"/>
      <c r="V313" s="795"/>
      <c r="W313" s="795"/>
      <c r="X313" s="795"/>
      <c r="Y313" s="795"/>
      <c r="Z313" s="795"/>
      <c r="AA313" s="1319"/>
      <c r="AB313" s="1319"/>
      <c r="AC313" s="1319"/>
      <c r="AD313" s="1319"/>
      <c r="AE313" s="1319"/>
      <c r="AF313" s="1319"/>
      <c r="AG313" s="1319"/>
      <c r="AH313" s="1947"/>
      <c r="AI313" s="606"/>
      <c r="AJ313" s="1947"/>
      <c r="AK313" s="86"/>
      <c r="AL313" s="86"/>
      <c r="AM313" s="86"/>
      <c r="AN313" s="86"/>
      <c r="AO313" s="86"/>
      <c r="AP313" s="86"/>
      <c r="AQ313" s="86"/>
      <c r="AR313" s="86"/>
      <c r="AS313" s="86"/>
      <c r="AT313" s="86"/>
      <c r="AU313" s="86"/>
      <c r="AV313" s="86"/>
      <c r="AW313" s="86"/>
      <c r="AX313" s="86"/>
      <c r="AY313" s="86"/>
      <c r="AZ313" s="86"/>
      <c r="BA313" s="86"/>
      <c r="BB313" s="86"/>
      <c r="BC313" s="86"/>
      <c r="BD313" s="86"/>
      <c r="BE313" s="86"/>
      <c r="BF313" s="86"/>
      <c r="BG313" s="86"/>
      <c r="BH313" s="86"/>
      <c r="BI313" s="86"/>
      <c r="BJ313" s="86"/>
      <c r="BK313" s="86"/>
      <c r="BL313" s="86"/>
      <c r="BM313" s="86"/>
      <c r="BN313" s="86"/>
      <c r="BO313" s="86"/>
      <c r="BP313" s="86"/>
      <c r="BQ313" s="86"/>
      <c r="BR313" s="569"/>
      <c r="BS313" s="1064"/>
      <c r="BT313" s="1064"/>
      <c r="BU313" s="1064"/>
      <c r="BV313" s="569"/>
      <c r="BW313" s="1064"/>
      <c r="BX313" s="1064"/>
      <c r="BY313" s="1064"/>
      <c r="BZ313" s="569"/>
      <c r="CA313" s="1064"/>
      <c r="CB313" s="1064"/>
      <c r="CC313" s="1064"/>
      <c r="CD313" s="569"/>
      <c r="CE313" s="1064"/>
      <c r="CF313" s="1064"/>
      <c r="CG313" s="568"/>
      <c r="CH313" s="569"/>
      <c r="CI313" s="1064"/>
      <c r="CJ313" s="1064"/>
      <c r="CK313" s="568"/>
      <c r="CL313">
        <v>328</v>
      </c>
      <c r="CM313">
        <v>349</v>
      </c>
      <c r="CN313">
        <v>331</v>
      </c>
      <c r="CO313">
        <f>1380-CL313-CM313-CN313</f>
        <v>372</v>
      </c>
      <c r="CP313" s="569"/>
      <c r="CQ313" s="1064"/>
      <c r="CR313" s="1064"/>
      <c r="CS313" s="1064"/>
      <c r="CT313" s="569"/>
      <c r="CU313" s="1064"/>
      <c r="CV313" s="1064"/>
      <c r="CW313" s="568"/>
      <c r="CX313" s="569"/>
      <c r="CY313" s="1064"/>
      <c r="CZ313" s="1064"/>
      <c r="DA313" s="1064"/>
      <c r="DB313" s="569"/>
      <c r="DC313" s="1064"/>
      <c r="DD313" s="1064"/>
      <c r="DE313" s="1064"/>
      <c r="DF313" s="1064"/>
      <c r="DG313" s="1064"/>
      <c r="DH313" s="1064"/>
      <c r="DI313" s="1064"/>
      <c r="DJ313" s="1064"/>
      <c r="DK313" s="1064"/>
      <c r="DL313" s="1064"/>
      <c r="DM313" s="568"/>
      <c r="DN313" s="568"/>
      <c r="DO313" s="568"/>
      <c r="DP313" s="568"/>
      <c r="DQ313" s="568"/>
      <c r="DR313" s="568"/>
      <c r="DS313" s="568"/>
      <c r="DT313" s="568"/>
      <c r="DU313" s="568"/>
      <c r="DV313" s="568"/>
      <c r="DW313" s="568"/>
      <c r="DX313" s="568"/>
      <c r="DY313" s="568"/>
    </row>
    <row r="314" spans="1:129" ht="15" customHeight="1">
      <c r="A314" s="1608" t="s">
        <v>288</v>
      </c>
      <c r="B314" s="562"/>
      <c r="C314" s="562"/>
      <c r="D314" s="562"/>
      <c r="E314" s="562"/>
      <c r="F314" s="562"/>
      <c r="G314" s="562"/>
      <c r="H314" s="562"/>
      <c r="I314" s="562"/>
      <c r="J314" s="562"/>
      <c r="K314" s="562"/>
      <c r="L314" s="562"/>
      <c r="M314" s="562"/>
      <c r="N314" s="562"/>
      <c r="O314" s="562"/>
      <c r="P314" s="562"/>
      <c r="Q314" s="1065"/>
      <c r="R314" s="562">
        <f>+R313/Q313-1</f>
        <v>-1</v>
      </c>
      <c r="S314" s="971"/>
      <c r="T314" s="1324"/>
      <c r="U314" s="1324"/>
      <c r="V314" s="971"/>
      <c r="W314" s="971"/>
      <c r="X314" s="971"/>
      <c r="Y314" s="971"/>
      <c r="Z314" s="971"/>
      <c r="AA314" s="1324"/>
      <c r="AB314" s="1324"/>
      <c r="AC314" s="1324"/>
      <c r="AD314" s="1324"/>
      <c r="AE314" s="1324"/>
      <c r="AF314" s="1324"/>
      <c r="AG314" s="1324"/>
      <c r="AH314" s="1927"/>
      <c r="AI314" s="606"/>
      <c r="AJ314" s="1927"/>
      <c r="AK314" s="562"/>
      <c r="AL314" s="562"/>
      <c r="AM314" s="562"/>
      <c r="AN314" s="562"/>
      <c r="AO314" s="562"/>
      <c r="AP314" s="562"/>
      <c r="AQ314" s="562"/>
      <c r="AR314" s="562"/>
      <c r="AS314" s="562"/>
      <c r="AT314" s="562"/>
      <c r="AU314" s="562"/>
      <c r="AV314" s="562"/>
      <c r="AW314" s="562"/>
      <c r="AX314" s="562"/>
      <c r="AY314" s="562"/>
      <c r="AZ314" s="562"/>
      <c r="BA314" s="562"/>
      <c r="BB314" s="562"/>
      <c r="BC314" s="562"/>
      <c r="BD314" s="562"/>
      <c r="BE314" s="562"/>
      <c r="BF314" s="562"/>
      <c r="BG314" s="562"/>
      <c r="BH314" s="562"/>
      <c r="BI314" s="562"/>
      <c r="BJ314" s="562"/>
      <c r="BK314" s="562"/>
      <c r="BL314" s="562"/>
      <c r="BM314" s="562"/>
      <c r="BN314" s="562"/>
      <c r="BO314" s="562"/>
      <c r="BP314" s="562"/>
      <c r="BQ314" s="562"/>
      <c r="BR314" s="563"/>
      <c r="BS314" s="1065"/>
      <c r="BT314" s="1065"/>
      <c r="BU314" s="1065"/>
      <c r="BV314" s="563"/>
      <c r="BW314" s="1065"/>
      <c r="BX314" s="1065"/>
      <c r="BY314" s="1065"/>
      <c r="BZ314" s="563"/>
      <c r="CA314" s="1065"/>
      <c r="CB314" s="1065"/>
      <c r="CC314" s="1065"/>
      <c r="CD314" s="563"/>
      <c r="CE314" s="1065"/>
      <c r="CF314" s="1065"/>
      <c r="CG314" s="564"/>
      <c r="CH314" s="563"/>
      <c r="CI314" s="1065"/>
      <c r="CJ314" s="1065"/>
      <c r="CK314" s="564"/>
      <c r="CL314" s="623"/>
      <c r="CM314" s="1300"/>
      <c r="CN314" s="1300" t="s">
        <v>1149</v>
      </c>
      <c r="CO314" s="1300" t="s">
        <v>1149</v>
      </c>
      <c r="CP314" s="563"/>
      <c r="CQ314" s="1065"/>
      <c r="CR314" s="1065"/>
      <c r="CS314" s="1065"/>
      <c r="CT314" s="563"/>
      <c r="CU314" s="1065"/>
      <c r="CV314" s="1065"/>
      <c r="CW314" s="564"/>
      <c r="CX314" s="563"/>
      <c r="CY314" s="1065"/>
      <c r="CZ314" s="1065"/>
      <c r="DA314" s="1065"/>
      <c r="DB314" s="563"/>
      <c r="DC314" s="1065"/>
      <c r="DD314" s="1065"/>
      <c r="DE314" s="1065"/>
      <c r="DF314" s="1065"/>
      <c r="DG314" s="1065"/>
      <c r="DH314" s="1065"/>
      <c r="DI314" s="1065"/>
      <c r="DJ314" s="1065"/>
      <c r="DK314" s="1065"/>
      <c r="DL314" s="1065"/>
      <c r="DM314" s="564"/>
      <c r="DN314" s="564"/>
      <c r="DO314" s="564"/>
      <c r="DP314" s="564"/>
      <c r="DQ314" s="564"/>
      <c r="DR314" s="564"/>
      <c r="DS314" s="564"/>
      <c r="DT314" s="564"/>
      <c r="DU314" s="564"/>
      <c r="DV314" s="564"/>
      <c r="DW314" s="564"/>
      <c r="DX314" s="564"/>
      <c r="DY314" s="564"/>
    </row>
    <row r="315" spans="1:129" ht="15" customHeight="1">
      <c r="A315" s="1608" t="s">
        <v>290</v>
      </c>
      <c r="B315" s="562"/>
      <c r="C315" s="562"/>
      <c r="D315" s="562"/>
      <c r="E315" s="562"/>
      <c r="F315" s="562"/>
      <c r="G315" s="562"/>
      <c r="H315" s="562"/>
      <c r="I315" s="562"/>
      <c r="J315" s="562"/>
      <c r="K315" s="562"/>
      <c r="L315" s="562"/>
      <c r="M315" s="562"/>
      <c r="N315" s="562"/>
      <c r="O315" s="562"/>
      <c r="P315" s="562"/>
      <c r="Q315" s="1065">
        <f>+Q313/$Q$306</f>
        <v>0.34371108343711082</v>
      </c>
      <c r="R315" s="562">
        <f>+R313/R306</f>
        <v>0</v>
      </c>
      <c r="S315" s="1246"/>
      <c r="T315" s="1239"/>
      <c r="U315" s="1239"/>
      <c r="V315" s="1246"/>
      <c r="W315" s="1246"/>
      <c r="X315" s="1246"/>
      <c r="Y315" s="1246"/>
      <c r="Z315" s="1246"/>
      <c r="AA315" s="1239"/>
      <c r="AB315" s="1239"/>
      <c r="AC315" s="1239"/>
      <c r="AD315" s="1239"/>
      <c r="AE315" s="1239"/>
      <c r="AF315" s="1239"/>
      <c r="AG315" s="1239"/>
      <c r="AH315" s="1927"/>
      <c r="AI315" s="606"/>
      <c r="AJ315" s="1927"/>
      <c r="AK315" s="562"/>
      <c r="AL315" s="562"/>
      <c r="AM315" s="562"/>
      <c r="AN315" s="562"/>
      <c r="AO315" s="562"/>
      <c r="AP315" s="562"/>
      <c r="AQ315" s="562"/>
      <c r="AR315" s="562"/>
      <c r="AS315" s="562"/>
      <c r="AT315" s="562"/>
      <c r="AU315" s="562"/>
      <c r="AV315" s="562"/>
      <c r="AW315" s="562"/>
      <c r="AX315" s="562"/>
      <c r="AY315" s="562"/>
      <c r="AZ315" s="562"/>
      <c r="BA315" s="562"/>
      <c r="BB315" s="562"/>
      <c r="BC315" s="562"/>
      <c r="BD315" s="562"/>
      <c r="BE315" s="562"/>
      <c r="BF315" s="562"/>
      <c r="BG315" s="562"/>
      <c r="BH315" s="562"/>
      <c r="BI315" s="562"/>
      <c r="BJ315" s="562"/>
      <c r="BK315" s="562"/>
      <c r="BL315" s="562"/>
      <c r="BM315" s="562"/>
      <c r="BN315" s="562"/>
      <c r="BO315" s="562"/>
      <c r="BP315" s="562"/>
      <c r="BQ315" s="562"/>
      <c r="BR315" s="563"/>
      <c r="BS315" s="1065"/>
      <c r="BT315" s="1065"/>
      <c r="BU315" s="1065"/>
      <c r="BV315" s="563"/>
      <c r="BW315" s="1065"/>
      <c r="BX315" s="1065"/>
      <c r="BY315" s="1065"/>
      <c r="BZ315" s="563"/>
      <c r="CA315" s="1065"/>
      <c r="CB315" s="1065"/>
      <c r="CC315" s="1065"/>
      <c r="CD315" s="563"/>
      <c r="CE315" s="1065"/>
      <c r="CF315" s="1065"/>
      <c r="CG315" s="564"/>
      <c r="CH315" s="563"/>
      <c r="CI315" s="1065"/>
      <c r="CJ315" s="1065"/>
      <c r="CK315" s="564"/>
      <c r="CL315" s="623">
        <f>+CL313/CL306</f>
        <v>0.31660231660231658</v>
      </c>
      <c r="CM315" s="1300">
        <f>+CM313/CM306</f>
        <v>0.34048780487804881</v>
      </c>
      <c r="CN315" s="1300">
        <f>+CN313/CN306</f>
        <v>0.33485078401618612</v>
      </c>
      <c r="CO315" s="1300">
        <f>+CO313/CO306</f>
        <v>0.38529259451061626</v>
      </c>
      <c r="CP315" s="165"/>
      <c r="CQ315" s="1059"/>
      <c r="CR315" s="1059"/>
      <c r="CS315" s="1059"/>
      <c r="CT315" s="165"/>
      <c r="CU315" s="1059"/>
      <c r="CV315" s="1059"/>
      <c r="CW315" s="166"/>
      <c r="CX315" s="165"/>
      <c r="CY315" s="1059"/>
      <c r="CZ315" s="1059"/>
      <c r="DA315" s="1059"/>
      <c r="DB315" s="165"/>
      <c r="DC315" s="1059"/>
      <c r="DD315" s="1059"/>
      <c r="DE315" s="1059"/>
      <c r="DF315" s="1059"/>
      <c r="DG315" s="1059"/>
      <c r="DH315" s="1059"/>
      <c r="DI315" s="1059"/>
      <c r="DJ315" s="1059"/>
      <c r="DK315" s="1059"/>
      <c r="DL315" s="1059"/>
      <c r="DM315" s="564"/>
      <c r="DN315" s="564"/>
      <c r="DO315" s="564"/>
      <c r="DP315" s="564"/>
      <c r="DQ315" s="564"/>
      <c r="DR315" s="564"/>
      <c r="DS315" s="564"/>
      <c r="DT315" s="564"/>
      <c r="DU315" s="564"/>
      <c r="DV315" s="564"/>
      <c r="DW315" s="564"/>
      <c r="DX315" s="564"/>
      <c r="DY315" s="564"/>
    </row>
    <row r="316" spans="1:129" ht="15" customHeight="1">
      <c r="A316" s="1607" t="s">
        <v>963</v>
      </c>
      <c r="B316" s="86"/>
      <c r="C316" s="86"/>
      <c r="D316" s="86"/>
      <c r="E316" s="86"/>
      <c r="F316" s="86"/>
      <c r="G316" s="86"/>
      <c r="H316" s="86"/>
      <c r="I316" s="86"/>
      <c r="J316" s="86"/>
      <c r="K316" s="86"/>
      <c r="L316" s="86"/>
      <c r="M316" s="86"/>
      <c r="N316" s="86"/>
      <c r="O316" s="86"/>
      <c r="P316" s="86"/>
      <c r="Q316" s="1070">
        <f>SUM(CL316:CO316)</f>
        <v>1362</v>
      </c>
      <c r="R316" s="217">
        <f>SUM(CP316:CS316)</f>
        <v>0</v>
      </c>
      <c r="S316" s="795"/>
      <c r="T316" s="1319"/>
      <c r="U316" s="1319"/>
      <c r="V316" s="795"/>
      <c r="W316" s="795"/>
      <c r="X316" s="795"/>
      <c r="Y316" s="795"/>
      <c r="Z316" s="795"/>
      <c r="AA316" s="1319"/>
      <c r="AB316" s="1319"/>
      <c r="AC316" s="1319"/>
      <c r="AD316" s="1319"/>
      <c r="AE316" s="1319"/>
      <c r="AF316" s="1319"/>
      <c r="AG316" s="1319"/>
      <c r="AH316" s="1947"/>
      <c r="AI316" s="606"/>
      <c r="AJ316" s="1947"/>
      <c r="AK316" s="86"/>
      <c r="AL316" s="86"/>
      <c r="AM316" s="86"/>
      <c r="AN316" s="86"/>
      <c r="AO316" s="86"/>
      <c r="AP316" s="86"/>
      <c r="AQ316" s="86"/>
      <c r="AR316" s="86"/>
      <c r="AS316" s="86"/>
      <c r="AT316" s="86"/>
      <c r="AU316" s="86"/>
      <c r="AV316" s="86"/>
      <c r="AW316" s="86"/>
      <c r="AX316" s="86"/>
      <c r="AY316" s="86"/>
      <c r="AZ316" s="86"/>
      <c r="BA316" s="86"/>
      <c r="BB316" s="86"/>
      <c r="BC316" s="86"/>
      <c r="BD316" s="86"/>
      <c r="BE316" s="86"/>
      <c r="BF316" s="86"/>
      <c r="BG316" s="86"/>
      <c r="BH316" s="86"/>
      <c r="BI316" s="86"/>
      <c r="BJ316" s="86"/>
      <c r="BK316" s="86"/>
      <c r="BL316" s="86"/>
      <c r="BM316" s="86"/>
      <c r="BN316" s="86"/>
      <c r="BO316" s="86"/>
      <c r="BP316" s="86"/>
      <c r="BQ316" s="86"/>
      <c r="BR316" s="569"/>
      <c r="BS316" s="1064"/>
      <c r="BT316" s="1064"/>
      <c r="BU316" s="1064"/>
      <c r="BV316" s="569"/>
      <c r="BW316" s="1064"/>
      <c r="BX316" s="1064"/>
      <c r="BY316" s="1064"/>
      <c r="BZ316" s="569"/>
      <c r="CA316" s="1064"/>
      <c r="CB316" s="1064"/>
      <c r="CC316" s="1064"/>
      <c r="CD316" s="569"/>
      <c r="CE316" s="1064"/>
      <c r="CF316" s="1064"/>
      <c r="CG316" s="568"/>
      <c r="CH316" s="569"/>
      <c r="CI316" s="1064"/>
      <c r="CJ316" s="1064"/>
      <c r="CK316" s="568"/>
      <c r="CL316">
        <v>236</v>
      </c>
      <c r="CM316">
        <v>362</v>
      </c>
      <c r="CN316">
        <v>382</v>
      </c>
      <c r="CO316">
        <f>1362-CL316-CM316-CN316</f>
        <v>382</v>
      </c>
      <c r="CP316" s="569"/>
      <c r="CQ316" s="1064"/>
      <c r="CR316" s="1064"/>
      <c r="CS316" s="1064"/>
      <c r="CT316" s="569"/>
      <c r="CU316" s="1064"/>
      <c r="CV316" s="1064"/>
      <c r="CW316" s="568"/>
      <c r="CX316" s="569"/>
      <c r="CY316" s="1064"/>
      <c r="CZ316" s="1064"/>
      <c r="DA316" s="1064"/>
      <c r="DB316" s="569"/>
      <c r="DC316" s="1064"/>
      <c r="DD316" s="1064"/>
      <c r="DE316" s="1064"/>
      <c r="DF316" s="1064"/>
      <c r="DG316" s="1064"/>
      <c r="DH316" s="1064"/>
      <c r="DI316" s="1064"/>
      <c r="DJ316" s="1064"/>
      <c r="DK316" s="1064"/>
      <c r="DL316" s="1064"/>
      <c r="DM316" s="568"/>
      <c r="DN316" s="568"/>
      <c r="DO316" s="568"/>
      <c r="DP316" s="568"/>
      <c r="DQ316" s="568"/>
      <c r="DR316" s="568"/>
      <c r="DS316" s="568"/>
      <c r="DT316" s="568"/>
      <c r="DU316" s="568"/>
      <c r="DV316" s="568"/>
      <c r="DW316" s="568"/>
      <c r="DX316" s="568"/>
      <c r="DY316" s="568"/>
    </row>
    <row r="317" spans="1:129" ht="15" customHeight="1">
      <c r="A317" s="1608" t="s">
        <v>288</v>
      </c>
      <c r="B317" s="562"/>
      <c r="C317" s="562"/>
      <c r="D317" s="562"/>
      <c r="E317" s="562"/>
      <c r="F317" s="562"/>
      <c r="G317" s="562"/>
      <c r="H317" s="562"/>
      <c r="I317" s="562"/>
      <c r="J317" s="562"/>
      <c r="K317" s="562"/>
      <c r="L317" s="562"/>
      <c r="M317" s="562"/>
      <c r="N317" s="562"/>
      <c r="O317" s="562"/>
      <c r="P317" s="562"/>
      <c r="Q317" s="1065"/>
      <c r="R317" s="562">
        <f>+R316/Q316-1</f>
        <v>-1</v>
      </c>
      <c r="S317" s="971"/>
      <c r="T317" s="1324"/>
      <c r="U317" s="1324"/>
      <c r="V317" s="971"/>
      <c r="W317" s="971"/>
      <c r="X317" s="971"/>
      <c r="Y317" s="971"/>
      <c r="Z317" s="971"/>
      <c r="AA317" s="1324"/>
      <c r="AB317" s="1324"/>
      <c r="AC317" s="1324"/>
      <c r="AD317" s="1324"/>
      <c r="AE317" s="1324"/>
      <c r="AF317" s="1324"/>
      <c r="AG317" s="1324"/>
      <c r="AH317" s="1927"/>
      <c r="AI317" s="606"/>
      <c r="AJ317" s="1927"/>
      <c r="AK317" s="562"/>
      <c r="AL317" s="562"/>
      <c r="AM317" s="562"/>
      <c r="AN317" s="562"/>
      <c r="AO317" s="562"/>
      <c r="AP317" s="562"/>
      <c r="AQ317" s="562"/>
      <c r="AR317" s="562"/>
      <c r="AS317" s="562"/>
      <c r="AT317" s="562"/>
      <c r="AU317" s="562"/>
      <c r="AV317" s="562"/>
      <c r="AW317" s="562"/>
      <c r="AX317" s="562"/>
      <c r="AY317" s="562"/>
      <c r="AZ317" s="562"/>
      <c r="BA317" s="562"/>
      <c r="BB317" s="562"/>
      <c r="BC317" s="562"/>
      <c r="BD317" s="562"/>
      <c r="BE317" s="562"/>
      <c r="BF317" s="562"/>
      <c r="BG317" s="562"/>
      <c r="BH317" s="562"/>
      <c r="BI317" s="562"/>
      <c r="BJ317" s="562"/>
      <c r="BK317" s="562"/>
      <c r="BL317" s="562"/>
      <c r="BM317" s="562"/>
      <c r="BN317" s="562"/>
      <c r="BO317" s="562"/>
      <c r="BP317" s="562"/>
      <c r="BQ317" s="562"/>
      <c r="BR317" s="563"/>
      <c r="BS317" s="1065"/>
      <c r="BT317" s="1065"/>
      <c r="BU317" s="1065"/>
      <c r="BV317" s="563"/>
      <c r="BW317" s="1065"/>
      <c r="BX317" s="1065"/>
      <c r="BY317" s="1065"/>
      <c r="BZ317" s="563"/>
      <c r="CA317" s="1065"/>
      <c r="CB317" s="1065"/>
      <c r="CC317" s="1065"/>
      <c r="CD317" s="563"/>
      <c r="CE317" s="1065"/>
      <c r="CF317" s="1065"/>
      <c r="CG317" s="564"/>
      <c r="CH317" s="563"/>
      <c r="CI317" s="1065"/>
      <c r="CJ317" s="1065"/>
      <c r="CK317" s="564"/>
      <c r="CL317" s="623"/>
      <c r="CM317" s="1300"/>
      <c r="CN317" s="1300" t="s">
        <v>1149</v>
      </c>
      <c r="CO317" s="1300" t="s">
        <v>1149</v>
      </c>
      <c r="CP317" s="563"/>
      <c r="CQ317" s="1065"/>
      <c r="CR317" s="1065"/>
      <c r="CS317" s="1065"/>
      <c r="CT317" s="563"/>
      <c r="CU317" s="1065"/>
      <c r="CV317" s="1065"/>
      <c r="CW317" s="564"/>
      <c r="CX317" s="563"/>
      <c r="CY317" s="1065"/>
      <c r="CZ317" s="1065"/>
      <c r="DA317" s="1065"/>
      <c r="DB317" s="563"/>
      <c r="DC317" s="1065"/>
      <c r="DD317" s="1065"/>
      <c r="DE317" s="1065"/>
      <c r="DF317" s="1065"/>
      <c r="DG317" s="1065"/>
      <c r="DH317" s="1065"/>
      <c r="DI317" s="1065"/>
      <c r="DJ317" s="1065"/>
      <c r="DK317" s="1065"/>
      <c r="DL317" s="1065"/>
      <c r="DM317" s="564"/>
      <c r="DN317" s="564"/>
      <c r="DO317" s="564"/>
      <c r="DP317" s="564"/>
      <c r="DQ317" s="564"/>
      <c r="DR317" s="564"/>
      <c r="DS317" s="564"/>
      <c r="DT317" s="564"/>
      <c r="DU317" s="564"/>
      <c r="DV317" s="564"/>
      <c r="DW317" s="564"/>
      <c r="DX317" s="564"/>
      <c r="DY317" s="564"/>
    </row>
    <row r="318" spans="1:129" ht="15" customHeight="1">
      <c r="A318" s="1608" t="s">
        <v>290</v>
      </c>
      <c r="B318" s="562"/>
      <c r="C318" s="562"/>
      <c r="D318" s="562"/>
      <c r="E318" s="562"/>
      <c r="F318" s="562"/>
      <c r="G318" s="562"/>
      <c r="H318" s="562"/>
      <c r="I318" s="562"/>
      <c r="J318" s="562"/>
      <c r="K318" s="562"/>
      <c r="L318" s="562"/>
      <c r="M318" s="562"/>
      <c r="N318" s="562"/>
      <c r="O318" s="562"/>
      <c r="P318" s="562"/>
      <c r="Q318" s="1065">
        <f>+Q316/$Q$306</f>
        <v>0.33922789539227893</v>
      </c>
      <c r="R318" s="562">
        <f>+R316/R306</f>
        <v>0</v>
      </c>
      <c r="S318" s="1246"/>
      <c r="T318" s="1239"/>
      <c r="U318" s="1239"/>
      <c r="V318" s="1246"/>
      <c r="W318" s="1246"/>
      <c r="X318" s="1246"/>
      <c r="Y318" s="1246"/>
      <c r="Z318" s="1246"/>
      <c r="AA318" s="1239"/>
      <c r="AB318" s="1239"/>
      <c r="AC318" s="1239"/>
      <c r="AD318" s="1239"/>
      <c r="AE318" s="1239"/>
      <c r="AF318" s="1239"/>
      <c r="AG318" s="1239"/>
      <c r="AH318" s="1927"/>
      <c r="AI318" s="606"/>
      <c r="AJ318" s="1927"/>
      <c r="AK318" s="562"/>
      <c r="AL318" s="562"/>
      <c r="AM318" s="562"/>
      <c r="AN318" s="562"/>
      <c r="AO318" s="562"/>
      <c r="AP318" s="562"/>
      <c r="AQ318" s="562"/>
      <c r="AR318" s="562"/>
      <c r="AS318" s="562"/>
      <c r="AT318" s="562"/>
      <c r="AU318" s="562"/>
      <c r="AV318" s="562"/>
      <c r="AW318" s="562"/>
      <c r="AX318" s="562"/>
      <c r="AY318" s="562"/>
      <c r="AZ318" s="562"/>
      <c r="BA318" s="562"/>
      <c r="BB318" s="562"/>
      <c r="BC318" s="562"/>
      <c r="BD318" s="562"/>
      <c r="BE318" s="562"/>
      <c r="BF318" s="562"/>
      <c r="BG318" s="562"/>
      <c r="BH318" s="562"/>
      <c r="BI318" s="562"/>
      <c r="BJ318" s="562"/>
      <c r="BK318" s="562"/>
      <c r="BL318" s="562"/>
      <c r="BM318" s="562"/>
      <c r="BN318" s="562"/>
      <c r="BO318" s="562"/>
      <c r="BP318" s="562"/>
      <c r="BQ318" s="562"/>
      <c r="BR318" s="563"/>
      <c r="BS318" s="1065"/>
      <c r="BT318" s="1065"/>
      <c r="BU318" s="1065"/>
      <c r="BV318" s="563"/>
      <c r="BW318" s="1065"/>
      <c r="BX318" s="1065"/>
      <c r="BY318" s="1065"/>
      <c r="BZ318" s="563"/>
      <c r="CA318" s="1065"/>
      <c r="CB318" s="1065"/>
      <c r="CC318" s="1065"/>
      <c r="CD318" s="563"/>
      <c r="CE318" s="1065"/>
      <c r="CF318" s="1065"/>
      <c r="CG318" s="564"/>
      <c r="CH318" s="563"/>
      <c r="CI318" s="1065"/>
      <c r="CJ318" s="1065"/>
      <c r="CK318" s="564"/>
      <c r="CL318" s="623">
        <f>+CL316/CL306</f>
        <v>0.22779922779922779</v>
      </c>
      <c r="CM318" s="1300">
        <f>+CM316/CM306</f>
        <v>0.35317073170731705</v>
      </c>
      <c r="CN318" s="1300">
        <f>+CN316/CN306</f>
        <v>0.38644410723318157</v>
      </c>
      <c r="CO318" s="1300">
        <f>+CO316/CO306</f>
        <v>0.39564992232004143</v>
      </c>
      <c r="CP318" s="165"/>
      <c r="CQ318" s="1059"/>
      <c r="CR318" s="1059"/>
      <c r="CS318" s="1059"/>
      <c r="CT318" s="165"/>
      <c r="CU318" s="1059"/>
      <c r="CV318" s="1059"/>
      <c r="CW318" s="166"/>
      <c r="CX318" s="165"/>
      <c r="CY318" s="1059"/>
      <c r="CZ318" s="1059"/>
      <c r="DA318" s="1059"/>
      <c r="DB318" s="165"/>
      <c r="DC318" s="1059"/>
      <c r="DD318" s="1059"/>
      <c r="DE318" s="1059"/>
      <c r="DF318" s="1059"/>
      <c r="DG318" s="1059"/>
      <c r="DH318" s="1059"/>
      <c r="DI318" s="1059"/>
      <c r="DJ318" s="1059"/>
      <c r="DK318" s="1059"/>
      <c r="DL318" s="1059"/>
      <c r="DM318" s="564"/>
      <c r="DN318" s="564"/>
      <c r="DO318" s="564"/>
      <c r="DP318" s="564"/>
      <c r="DQ318" s="564"/>
      <c r="DR318" s="564"/>
      <c r="DS318" s="564"/>
      <c r="DT318" s="564"/>
      <c r="DU318" s="564"/>
      <c r="DV318" s="564"/>
      <c r="DW318" s="564"/>
      <c r="DX318" s="564"/>
      <c r="DY318" s="564"/>
    </row>
    <row r="319" spans="1:129" ht="15" customHeight="1">
      <c r="A319" t="s">
        <v>1086</v>
      </c>
      <c r="B319" s="86"/>
      <c r="C319" s="86"/>
      <c r="D319" s="86"/>
      <c r="E319" s="86"/>
      <c r="F319" s="86"/>
      <c r="G319" s="86"/>
      <c r="H319" s="86"/>
      <c r="I319" s="86"/>
      <c r="J319" s="86"/>
      <c r="K319" s="86"/>
      <c r="L319" s="86"/>
      <c r="M319" s="86"/>
      <c r="N319" s="86"/>
      <c r="O319" s="86"/>
      <c r="P319" s="86"/>
      <c r="Q319" s="1070">
        <f>SUM(CL319:CO319)</f>
        <v>-556</v>
      </c>
      <c r="R319" s="217">
        <f>SUM(CP319:CS319)</f>
        <v>-608</v>
      </c>
      <c r="S319" s="795"/>
      <c r="T319" s="1319"/>
      <c r="U319" s="1319"/>
      <c r="V319" s="795"/>
      <c r="W319" s="795"/>
      <c r="X319" s="795"/>
      <c r="Y319" s="795"/>
      <c r="Z319" s="795"/>
      <c r="AA319" s="1319"/>
      <c r="AB319" s="1319"/>
      <c r="AC319" s="1319"/>
      <c r="AD319" s="1319"/>
      <c r="AE319" s="1319"/>
      <c r="AF319" s="1319"/>
      <c r="AG319" s="1319"/>
      <c r="AH319" s="1947"/>
      <c r="AI319" s="606"/>
      <c r="AJ319" s="1947"/>
      <c r="AK319" s="86"/>
      <c r="AL319" s="86"/>
      <c r="AM319" s="86"/>
      <c r="AN319" s="86"/>
      <c r="AO319" s="86"/>
      <c r="AP319" s="86"/>
      <c r="AQ319" s="86"/>
      <c r="AR319" s="86"/>
      <c r="AS319" s="86"/>
      <c r="AT319" s="86"/>
      <c r="AU319" s="86"/>
      <c r="AV319" s="86"/>
      <c r="AW319" s="86"/>
      <c r="AX319" s="86"/>
      <c r="AY319" s="86"/>
      <c r="AZ319" s="86"/>
      <c r="BA319" s="86"/>
      <c r="BB319" s="86"/>
      <c r="BC319" s="86"/>
      <c r="BD319" s="86"/>
      <c r="BE319" s="86"/>
      <c r="BF319" s="86"/>
      <c r="BG319" s="86"/>
      <c r="BH319" s="86"/>
      <c r="BI319" s="86"/>
      <c r="BJ319" s="86"/>
      <c r="BK319" s="86"/>
      <c r="BL319" s="86"/>
      <c r="BM319" s="86"/>
      <c r="BN319" s="86"/>
      <c r="BO319" s="86"/>
      <c r="BP319" s="86"/>
      <c r="BQ319" s="86"/>
      <c r="BR319" s="569"/>
      <c r="BS319" s="1064"/>
      <c r="BT319" s="1064"/>
      <c r="BU319" s="1064"/>
      <c r="BV319" s="569"/>
      <c r="BW319" s="1064"/>
      <c r="BX319" s="1064"/>
      <c r="BY319" s="1064"/>
      <c r="BZ319" s="569"/>
      <c r="CA319" s="1064"/>
      <c r="CB319" s="1064"/>
      <c r="CC319" s="1064"/>
      <c r="CD319" s="569"/>
      <c r="CE319" s="1064"/>
      <c r="CF319" s="1064"/>
      <c r="CG319" s="568"/>
      <c r="CH319" s="569"/>
      <c r="CI319" s="1064"/>
      <c r="CJ319" s="1064"/>
      <c r="CK319" s="568"/>
      <c r="CL319" s="569">
        <f>SUM(CL320:CL325)</f>
        <v>-4</v>
      </c>
      <c r="CM319">
        <f>(5-18-134-28)</f>
        <v>-175</v>
      </c>
      <c r="CN319">
        <v>-154</v>
      </c>
      <c r="CO319">
        <f>(10-63-412-62-26-1-2)-CL319-CM319-CN319</f>
        <v>-223</v>
      </c>
      <c r="CP319" s="569">
        <f>SUM(CP320:CP325)</f>
        <v>-152</v>
      </c>
      <c r="CQ319" s="1064">
        <f>SUM(CQ320:CQ325)</f>
        <v>-152</v>
      </c>
      <c r="CR319" s="1064">
        <f>SUM(CR320:CR325)</f>
        <v>-152</v>
      </c>
      <c r="CS319" s="1064">
        <f>SUM(CS320:CS325)</f>
        <v>-152</v>
      </c>
      <c r="CT319" s="569"/>
      <c r="CU319" s="1064"/>
      <c r="CV319" s="1064"/>
      <c r="CW319" s="568"/>
      <c r="CX319" s="569"/>
      <c r="CY319" s="1064"/>
      <c r="CZ319" s="1064"/>
      <c r="DA319" s="1064"/>
      <c r="DB319" s="569"/>
      <c r="DC319" s="1064"/>
      <c r="DD319" s="1064"/>
      <c r="DE319" s="1064"/>
      <c r="DF319" s="1064"/>
      <c r="DG319" s="1064"/>
      <c r="DH319" s="1064"/>
      <c r="DI319" s="1064"/>
      <c r="DJ319" s="1064"/>
      <c r="DK319" s="1064"/>
      <c r="DL319" s="1064"/>
      <c r="DM319" s="568"/>
      <c r="DN319" s="568"/>
      <c r="DO319" s="568"/>
      <c r="DP319" s="568"/>
      <c r="DQ319" s="568"/>
      <c r="DR319" s="568"/>
      <c r="DS319" s="568"/>
      <c r="DT319" s="568"/>
      <c r="DU319" s="568"/>
      <c r="DV319" s="568"/>
      <c r="DW319" s="568"/>
      <c r="DX319" s="568"/>
      <c r="DY319" s="568"/>
    </row>
    <row r="320" spans="1:129" ht="15" customHeight="1">
      <c r="A320" s="1612" t="s">
        <v>285</v>
      </c>
      <c r="B320" s="86"/>
      <c r="C320" s="86"/>
      <c r="D320" s="86"/>
      <c r="E320" s="86"/>
      <c r="F320" s="86"/>
      <c r="G320" s="86"/>
      <c r="H320" s="86"/>
      <c r="I320" s="86"/>
      <c r="J320" s="86"/>
      <c r="K320" s="86"/>
      <c r="L320" s="86"/>
      <c r="M320" s="86"/>
      <c r="N320" s="86"/>
      <c r="O320" s="86"/>
      <c r="P320" s="86"/>
      <c r="Q320" s="1070"/>
      <c r="R320" s="217"/>
      <c r="S320" s="795"/>
      <c r="T320" s="1319"/>
      <c r="U320" s="1319"/>
      <c r="V320" s="795"/>
      <c r="W320" s="795"/>
      <c r="X320" s="795"/>
      <c r="Y320" s="795"/>
      <c r="Z320" s="795"/>
      <c r="AA320" s="1319"/>
      <c r="AB320" s="1319"/>
      <c r="AC320" s="1319"/>
      <c r="AD320" s="1319"/>
      <c r="AE320" s="1319"/>
      <c r="AF320" s="1319"/>
      <c r="AG320" s="1319"/>
      <c r="AH320" s="1947"/>
      <c r="AI320" s="606"/>
      <c r="AJ320" s="1947"/>
      <c r="AK320" s="86"/>
      <c r="AL320" s="86"/>
      <c r="AM320" s="86"/>
      <c r="AN320" s="86"/>
      <c r="AO320" s="86"/>
      <c r="AP320" s="86"/>
      <c r="AQ320" s="86"/>
      <c r="AR320" s="86"/>
      <c r="AS320" s="86"/>
      <c r="AT320" s="86"/>
      <c r="AU320" s="86"/>
      <c r="AV320" s="86"/>
      <c r="AW320" s="86"/>
      <c r="AX320" s="86"/>
      <c r="AY320" s="86"/>
      <c r="AZ320" s="86"/>
      <c r="BA320" s="86"/>
      <c r="BB320" s="86"/>
      <c r="BC320" s="86"/>
      <c r="BD320" s="86"/>
      <c r="BE320" s="86"/>
      <c r="BF320" s="86"/>
      <c r="BG320" s="86"/>
      <c r="BH320" s="86"/>
      <c r="BI320" s="86"/>
      <c r="BJ320" s="86"/>
      <c r="BK320" s="86"/>
      <c r="BL320" s="86"/>
      <c r="BM320" s="86"/>
      <c r="BN320" s="86"/>
      <c r="BO320" s="86"/>
      <c r="BP320" s="86"/>
      <c r="BQ320" s="86"/>
      <c r="BR320" s="569"/>
      <c r="BS320" s="1064"/>
      <c r="BT320" s="1064"/>
      <c r="BU320" s="1064"/>
      <c r="BV320" s="569"/>
      <c r="BW320" s="1064"/>
      <c r="BX320" s="1064"/>
      <c r="BY320" s="1064"/>
      <c r="BZ320" s="569"/>
      <c r="CA320" s="1064"/>
      <c r="CB320" s="1064"/>
      <c r="CC320" s="1064"/>
      <c r="CD320" s="569"/>
      <c r="CE320" s="1064"/>
      <c r="CF320" s="1064"/>
      <c r="CG320" s="568"/>
      <c r="CH320" s="569"/>
      <c r="CI320" s="1064"/>
      <c r="CJ320" s="1064"/>
      <c r="CK320" s="568"/>
      <c r="CL320">
        <v>2</v>
      </c>
      <c r="CP320">
        <f>2</f>
        <v>2</v>
      </c>
      <c r="CQ320" s="1064">
        <f t="shared" ref="CQ320:CS322" si="426">+CP320</f>
        <v>2</v>
      </c>
      <c r="CR320" s="1064">
        <f t="shared" si="426"/>
        <v>2</v>
      </c>
      <c r="CS320" s="1064">
        <f t="shared" si="426"/>
        <v>2</v>
      </c>
      <c r="CT320" s="569"/>
      <c r="CU320" s="1064"/>
      <c r="CV320" s="1064"/>
      <c r="CW320" s="568"/>
      <c r="CX320" s="569"/>
      <c r="CY320" s="1064"/>
      <c r="CZ320" s="1064"/>
      <c r="DA320" s="1064"/>
      <c r="DB320" s="569"/>
      <c r="DC320" s="1064"/>
      <c r="DD320" s="1064"/>
      <c r="DE320" s="1064"/>
      <c r="DF320" s="1064"/>
      <c r="DG320" s="1064"/>
      <c r="DH320" s="1064"/>
      <c r="DI320" s="1064"/>
      <c r="DJ320" s="1064"/>
      <c r="DK320" s="1064"/>
      <c r="DL320" s="1064"/>
      <c r="DM320" s="568"/>
      <c r="DN320" s="568"/>
      <c r="DO320" s="568"/>
      <c r="DP320" s="568"/>
      <c r="DQ320" s="568"/>
      <c r="DR320" s="568"/>
      <c r="DS320" s="568"/>
      <c r="DT320" s="568"/>
      <c r="DU320" s="568"/>
      <c r="DV320" s="568"/>
      <c r="DW320" s="568"/>
      <c r="DX320" s="568"/>
      <c r="DY320" s="568"/>
    </row>
    <row r="321" spans="1:130" ht="15" customHeight="1">
      <c r="A321" s="1612" t="s">
        <v>286</v>
      </c>
      <c r="C321" s="86"/>
      <c r="D321" s="86"/>
      <c r="E321" s="86"/>
      <c r="F321" s="86"/>
      <c r="G321" s="86"/>
      <c r="H321" s="86"/>
      <c r="I321" s="86"/>
      <c r="J321" s="86"/>
      <c r="K321" s="86"/>
      <c r="L321" s="86"/>
      <c r="M321" s="86"/>
      <c r="N321" s="86"/>
      <c r="O321" s="86"/>
      <c r="P321" s="86"/>
      <c r="Q321" s="1070"/>
      <c r="R321" s="217"/>
      <c r="S321" s="795"/>
      <c r="T321" s="1319"/>
      <c r="U321" s="1319"/>
      <c r="V321" s="795"/>
      <c r="W321" s="795"/>
      <c r="X321" s="795"/>
      <c r="Y321" s="795"/>
      <c r="Z321" s="795"/>
      <c r="AA321" s="1319"/>
      <c r="AB321" s="1319"/>
      <c r="AC321" s="1319"/>
      <c r="AD321" s="1319"/>
      <c r="AE321" s="1319"/>
      <c r="AF321" s="1319"/>
      <c r="AG321" s="1319"/>
      <c r="AH321" s="1947"/>
      <c r="AI321" s="606"/>
      <c r="AJ321" s="1947"/>
      <c r="AK321" s="86"/>
      <c r="AL321" s="86"/>
      <c r="AM321" s="86"/>
      <c r="AN321" s="86"/>
      <c r="AO321" s="86"/>
      <c r="AP321" s="86"/>
      <c r="AQ321" s="86"/>
      <c r="AR321" s="86"/>
      <c r="AS321" s="86"/>
      <c r="AT321" s="86"/>
      <c r="AU321" s="86"/>
      <c r="AV321" s="86"/>
      <c r="AW321" s="86"/>
      <c r="AX321" s="86"/>
      <c r="AY321" s="86"/>
      <c r="AZ321" s="86"/>
      <c r="BA321" s="86"/>
      <c r="BB321" s="86"/>
      <c r="BC321" s="86"/>
      <c r="BD321" s="86"/>
      <c r="BE321" s="86"/>
      <c r="BF321" s="86"/>
      <c r="BG321" s="86"/>
      <c r="BH321" s="86"/>
      <c r="BI321" s="86"/>
      <c r="BJ321" s="86"/>
      <c r="BK321" s="86"/>
      <c r="BL321" s="86"/>
      <c r="BM321" s="86"/>
      <c r="BN321" s="86"/>
      <c r="BO321" s="86"/>
      <c r="BP321" s="86"/>
      <c r="BQ321" s="86"/>
      <c r="BR321" s="569"/>
      <c r="BS321" s="1064"/>
      <c r="BT321" s="1064"/>
      <c r="BU321" s="1064"/>
      <c r="BV321" s="569"/>
      <c r="BW321" s="1064"/>
      <c r="BX321" s="1064"/>
      <c r="BY321" s="1064"/>
      <c r="BZ321" s="569"/>
      <c r="CA321" s="1064"/>
      <c r="CB321" s="1064"/>
      <c r="CC321" s="1064"/>
      <c r="CD321" s="569"/>
      <c r="CE321" s="1064"/>
      <c r="CF321" s="1064"/>
      <c r="CG321" s="568"/>
      <c r="CH321" s="569"/>
      <c r="CI321" s="1064"/>
      <c r="CJ321" s="1064"/>
      <c r="CK321" s="568"/>
      <c r="CL321">
        <v>-9</v>
      </c>
      <c r="CP321">
        <f>-14</f>
        <v>-14</v>
      </c>
      <c r="CQ321" s="1064">
        <f t="shared" si="426"/>
        <v>-14</v>
      </c>
      <c r="CR321" s="1064">
        <f t="shared" si="426"/>
        <v>-14</v>
      </c>
      <c r="CS321" s="1064">
        <f t="shared" si="426"/>
        <v>-14</v>
      </c>
      <c r="CT321" s="569"/>
      <c r="CU321" s="1064"/>
      <c r="CV321" s="1064"/>
      <c r="CW321" s="568"/>
      <c r="CX321" s="569"/>
      <c r="CY321" s="1064"/>
      <c r="CZ321" s="1064"/>
      <c r="DA321" s="1064"/>
      <c r="DB321" s="569"/>
      <c r="DC321" s="1064"/>
      <c r="DD321" s="1064"/>
      <c r="DE321" s="1064"/>
      <c r="DF321" s="1064"/>
      <c r="DG321" s="1064"/>
      <c r="DH321" s="1064"/>
      <c r="DI321" s="1064"/>
      <c r="DJ321" s="1064"/>
      <c r="DK321" s="1064"/>
      <c r="DL321" s="1064"/>
      <c r="DM321" s="568"/>
      <c r="DN321" s="568"/>
      <c r="DO321" s="568"/>
      <c r="DP321" s="568"/>
      <c r="DQ321" s="568"/>
      <c r="DR321" s="568"/>
      <c r="DS321" s="568"/>
      <c r="DT321" s="568"/>
      <c r="DU321" s="568"/>
      <c r="DV321" s="568"/>
      <c r="DW321" s="568"/>
      <c r="DX321" s="568"/>
      <c r="DY321" s="568"/>
    </row>
    <row r="322" spans="1:130" ht="15" customHeight="1">
      <c r="A322" s="1612" t="s">
        <v>291</v>
      </c>
      <c r="F322" s="86"/>
      <c r="G322" s="86"/>
      <c r="H322" s="86"/>
      <c r="I322" s="86"/>
      <c r="J322" s="86"/>
      <c r="K322" s="86"/>
      <c r="L322" s="86"/>
      <c r="M322" s="86"/>
      <c r="N322" s="86"/>
      <c r="O322" s="86"/>
      <c r="P322" s="86"/>
      <c r="Q322" s="1070"/>
      <c r="R322" s="217"/>
      <c r="S322" s="795"/>
      <c r="T322" s="1319"/>
      <c r="U322" s="1319"/>
      <c r="V322" s="795"/>
      <c r="W322" s="795"/>
      <c r="X322" s="795"/>
      <c r="Y322" s="795"/>
      <c r="Z322" s="795"/>
      <c r="AA322" s="1319"/>
      <c r="AB322" s="1319"/>
      <c r="AC322" s="1319"/>
      <c r="AD322" s="1319"/>
      <c r="AE322" s="1319"/>
      <c r="AF322" s="1319"/>
      <c r="AG322" s="1319"/>
      <c r="AH322" s="1947"/>
      <c r="AI322" s="606"/>
      <c r="AJ322" s="1947"/>
      <c r="AK322" s="86"/>
      <c r="AL322" s="86"/>
      <c r="AM322" s="86"/>
      <c r="AN322" s="86"/>
      <c r="AO322" s="86"/>
      <c r="AP322" s="86"/>
      <c r="AQ322" s="86"/>
      <c r="AR322" s="86"/>
      <c r="AS322" s="86"/>
      <c r="AT322" s="86"/>
      <c r="AU322" s="86"/>
      <c r="AV322" s="86"/>
      <c r="AW322" s="86"/>
      <c r="AX322" s="86"/>
      <c r="AY322" s="86"/>
      <c r="AZ322" s="86"/>
      <c r="BA322" s="86"/>
      <c r="BB322" s="86"/>
      <c r="BC322" s="86"/>
      <c r="BD322" s="86"/>
      <c r="BE322" s="86"/>
      <c r="BF322" s="86"/>
      <c r="BG322" s="86"/>
      <c r="BH322" s="86"/>
      <c r="BI322" s="86"/>
      <c r="BJ322" s="86"/>
      <c r="BK322" s="86"/>
      <c r="BL322" s="86"/>
      <c r="BM322" s="86"/>
      <c r="BN322" s="86"/>
      <c r="BO322" s="86"/>
      <c r="BP322" s="86"/>
      <c r="BQ322" s="86"/>
      <c r="BR322" s="569"/>
      <c r="BS322" s="1064"/>
      <c r="BT322" s="1064"/>
      <c r="BU322" s="1064"/>
      <c r="BV322" s="569"/>
      <c r="BW322" s="1064"/>
      <c r="BX322" s="1064"/>
      <c r="BY322" s="1064"/>
      <c r="BZ322" s="569"/>
      <c r="CA322" s="1064"/>
      <c r="CB322" s="1064"/>
      <c r="CC322" s="1064"/>
      <c r="CD322" s="569"/>
      <c r="CE322" s="1064"/>
      <c r="CF322" s="1064"/>
      <c r="CG322" s="568"/>
      <c r="CH322" s="569"/>
      <c r="CI322" s="1064"/>
      <c r="CJ322" s="1064"/>
      <c r="CK322" s="568"/>
      <c r="CL322">
        <v>3</v>
      </c>
      <c r="CP322">
        <f>-130</f>
        <v>-130</v>
      </c>
      <c r="CQ322" s="1064">
        <f t="shared" si="426"/>
        <v>-130</v>
      </c>
      <c r="CR322" s="1064">
        <f t="shared" si="426"/>
        <v>-130</v>
      </c>
      <c r="CS322" s="1064">
        <f t="shared" si="426"/>
        <v>-130</v>
      </c>
      <c r="CT322" s="569"/>
      <c r="CU322" s="1064"/>
      <c r="CV322" s="1064"/>
      <c r="CW322" s="568"/>
      <c r="CX322" s="569"/>
      <c r="CY322" s="1064"/>
      <c r="CZ322" s="1064"/>
      <c r="DA322" s="1064"/>
      <c r="DB322" s="569"/>
      <c r="DC322" s="1064"/>
      <c r="DD322" s="1064"/>
      <c r="DE322" s="1064"/>
      <c r="DF322" s="1064"/>
      <c r="DG322" s="1064"/>
      <c r="DH322" s="1064"/>
      <c r="DI322" s="1064"/>
      <c r="DJ322" s="1064"/>
      <c r="DK322" s="1064"/>
      <c r="DL322" s="1064"/>
      <c r="DM322" s="568"/>
      <c r="DN322" s="568"/>
      <c r="DO322" s="568"/>
      <c r="DP322" s="568"/>
      <c r="DQ322" s="568"/>
      <c r="DR322" s="568"/>
      <c r="DS322" s="568"/>
      <c r="DT322" s="568"/>
      <c r="DU322" s="568"/>
      <c r="DV322" s="568"/>
      <c r="DW322" s="568"/>
      <c r="DX322" s="568"/>
      <c r="DY322" s="568"/>
    </row>
    <row r="323" spans="1:130" ht="15" customHeight="1">
      <c r="A323" s="1612" t="s">
        <v>287</v>
      </c>
      <c r="C323" s="86"/>
      <c r="D323" s="86"/>
      <c r="E323" s="86"/>
      <c r="F323" s="86"/>
      <c r="G323" s="86"/>
      <c r="H323" s="86"/>
      <c r="I323" s="86"/>
      <c r="J323" s="86"/>
      <c r="K323" s="86"/>
      <c r="L323" s="86"/>
      <c r="M323" s="86"/>
      <c r="N323" s="86"/>
      <c r="O323" s="86"/>
      <c r="P323" s="86"/>
      <c r="Q323" s="1070"/>
      <c r="R323" s="217"/>
      <c r="S323" s="795"/>
      <c r="T323" s="1319"/>
      <c r="U323" s="1319"/>
      <c r="V323" s="795"/>
      <c r="W323" s="795"/>
      <c r="X323" s="795"/>
      <c r="Y323" s="795"/>
      <c r="Z323" s="795"/>
      <c r="AA323" s="1319"/>
      <c r="AB323" s="1319"/>
      <c r="AC323" s="1319"/>
      <c r="AD323" s="1319"/>
      <c r="AE323" s="1319"/>
      <c r="AF323" s="1319"/>
      <c r="AG323" s="1319"/>
      <c r="AH323" s="1947"/>
      <c r="AI323" s="606"/>
      <c r="AJ323" s="1947"/>
      <c r="AK323" s="86"/>
      <c r="AL323" s="86"/>
      <c r="AM323" s="86"/>
      <c r="AN323" s="86"/>
      <c r="AO323" s="86"/>
      <c r="AP323" s="86"/>
      <c r="AQ323" s="86"/>
      <c r="AR323" s="86"/>
      <c r="AS323" s="86"/>
      <c r="AT323" s="86"/>
      <c r="AU323" s="86"/>
      <c r="AV323" s="86"/>
      <c r="AW323" s="86"/>
      <c r="AX323" s="86"/>
      <c r="AY323" s="86"/>
      <c r="AZ323" s="86"/>
      <c r="BA323" s="86"/>
      <c r="BB323" s="86"/>
      <c r="BC323" s="86"/>
      <c r="BD323" s="86"/>
      <c r="BE323" s="86"/>
      <c r="BF323" s="86"/>
      <c r="BG323" s="86"/>
      <c r="BH323" s="86"/>
      <c r="BI323" s="86"/>
      <c r="BJ323" s="86"/>
      <c r="BK323" s="86"/>
      <c r="BL323" s="86"/>
      <c r="BM323" s="86"/>
      <c r="BN323" s="86"/>
      <c r="BO323" s="86"/>
      <c r="BP323" s="86"/>
      <c r="BQ323" s="86"/>
      <c r="BR323" s="569"/>
      <c r="BS323" s="1064"/>
      <c r="BT323" s="1064"/>
      <c r="BU323" s="1064"/>
      <c r="BV323" s="569"/>
      <c r="BW323" s="1064"/>
      <c r="BX323" s="1064"/>
      <c r="BY323" s="1064"/>
      <c r="BZ323" s="569"/>
      <c r="CA323" s="1064"/>
      <c r="CB323" s="1064"/>
      <c r="CC323" s="1064"/>
      <c r="CD323" s="569"/>
      <c r="CE323" s="1064"/>
      <c r="CF323" s="1064"/>
      <c r="CG323" s="568"/>
      <c r="CH323" s="569"/>
      <c r="CI323" s="1064"/>
      <c r="CJ323" s="1064"/>
      <c r="CK323" s="568"/>
      <c r="CQ323" s="1064"/>
      <c r="CR323" s="1064"/>
      <c r="CS323" s="1064"/>
      <c r="CT323" s="569"/>
      <c r="CU323" s="1064"/>
      <c r="CV323" s="1064"/>
      <c r="CW323" s="568"/>
      <c r="CX323" s="569"/>
      <c r="CY323" s="1064"/>
      <c r="CZ323" s="1064"/>
      <c r="DA323" s="1064"/>
      <c r="DB323" s="569"/>
      <c r="DC323" s="1064"/>
      <c r="DD323" s="1064"/>
      <c r="DE323" s="1064"/>
      <c r="DF323" s="1064"/>
      <c r="DG323" s="1064"/>
      <c r="DH323" s="1064"/>
      <c r="DI323" s="1064"/>
      <c r="DJ323" s="1064"/>
      <c r="DK323" s="1064"/>
      <c r="DL323" s="1064"/>
      <c r="DM323" s="568"/>
      <c r="DN323" s="568"/>
      <c r="DO323" s="568"/>
      <c r="DP323" s="568"/>
      <c r="DQ323" s="568"/>
      <c r="DR323" s="568"/>
      <c r="DS323" s="568"/>
      <c r="DT323" s="568"/>
      <c r="DU323" s="568"/>
      <c r="DV323" s="568"/>
      <c r="DW323" s="568"/>
      <c r="DX323" s="568"/>
      <c r="DY323" s="568"/>
    </row>
    <row r="324" spans="1:130" ht="15" customHeight="1">
      <c r="A324" s="1612" t="s">
        <v>292</v>
      </c>
      <c r="B324" s="86"/>
      <c r="C324" s="86"/>
      <c r="D324" s="86"/>
      <c r="E324" s="86"/>
      <c r="F324" s="86"/>
      <c r="G324" s="86"/>
      <c r="H324" s="86"/>
      <c r="I324" s="86"/>
      <c r="J324" s="86"/>
      <c r="K324" s="86"/>
      <c r="L324" s="86"/>
      <c r="M324" s="86"/>
      <c r="N324" s="86"/>
      <c r="O324" s="86"/>
      <c r="P324" s="86"/>
      <c r="Q324" s="1070"/>
      <c r="R324" s="217"/>
      <c r="S324" s="795"/>
      <c r="T324" s="1319"/>
      <c r="U324" s="1319"/>
      <c r="V324" s="795"/>
      <c r="W324" s="795"/>
      <c r="X324" s="795"/>
      <c r="Y324" s="795"/>
      <c r="Z324" s="795"/>
      <c r="AA324" s="1319"/>
      <c r="AB324" s="1319"/>
      <c r="AC324" s="1319"/>
      <c r="AD324" s="1319"/>
      <c r="AE324" s="1319"/>
      <c r="AF324" s="1319"/>
      <c r="AG324" s="1319"/>
      <c r="AH324" s="1947"/>
      <c r="AI324" s="606"/>
      <c r="AJ324" s="1947"/>
      <c r="AK324" s="86"/>
      <c r="AL324" s="86"/>
      <c r="AM324" s="86"/>
      <c r="AN324" s="86"/>
      <c r="AO324" s="86"/>
      <c r="AP324" s="86"/>
      <c r="AQ324" s="86"/>
      <c r="AR324" s="86"/>
      <c r="AS324" s="86"/>
      <c r="AT324" s="86"/>
      <c r="AU324" s="86"/>
      <c r="AV324" s="86"/>
      <c r="AW324" s="86"/>
      <c r="AX324" s="86"/>
      <c r="AY324" s="86"/>
      <c r="AZ324" s="86"/>
      <c r="BA324" s="86"/>
      <c r="BB324" s="86"/>
      <c r="BC324" s="86"/>
      <c r="BD324" s="86"/>
      <c r="BE324" s="86"/>
      <c r="BF324" s="86"/>
      <c r="BG324" s="86"/>
      <c r="BH324" s="86"/>
      <c r="BI324" s="86"/>
      <c r="BJ324" s="86"/>
      <c r="BK324" s="86"/>
      <c r="BL324" s="86"/>
      <c r="BM324" s="86"/>
      <c r="BN324" s="86"/>
      <c r="BO324" s="86"/>
      <c r="BP324" s="86"/>
      <c r="BQ324" s="86"/>
      <c r="BR324" s="569"/>
      <c r="BS324" s="1064"/>
      <c r="BT324" s="1064"/>
      <c r="BU324" s="1064"/>
      <c r="BV324" s="569"/>
      <c r="BW324" s="1064"/>
      <c r="BX324" s="1064"/>
      <c r="BY324" s="1064"/>
      <c r="BZ324" s="569"/>
      <c r="CA324" s="1064"/>
      <c r="CB324" s="1064"/>
      <c r="CC324" s="1064"/>
      <c r="CD324" s="569"/>
      <c r="CE324" s="1064"/>
      <c r="CF324" s="1064"/>
      <c r="CG324" s="568"/>
      <c r="CH324" s="569"/>
      <c r="CI324" s="1064"/>
      <c r="CJ324" s="1064"/>
      <c r="CK324" s="568"/>
      <c r="CP324">
        <f>-9</f>
        <v>-9</v>
      </c>
      <c r="CQ324" s="1064">
        <f t="shared" ref="CQ324:CS325" si="427">+CP324</f>
        <v>-9</v>
      </c>
      <c r="CR324" s="1064">
        <f t="shared" si="427"/>
        <v>-9</v>
      </c>
      <c r="CS324" s="1064">
        <f t="shared" si="427"/>
        <v>-9</v>
      </c>
      <c r="CT324" s="569"/>
      <c r="CU324" s="1064"/>
      <c r="CV324" s="1064"/>
      <c r="CW324" s="568"/>
      <c r="CX324" s="569"/>
      <c r="CY324" s="1064"/>
      <c r="CZ324" s="1064"/>
      <c r="DA324" s="1064"/>
      <c r="DB324" s="569"/>
      <c r="DC324" s="1064"/>
      <c r="DD324" s="1064"/>
      <c r="DE324" s="1064"/>
      <c r="DF324" s="1064"/>
      <c r="DG324" s="1064"/>
      <c r="DH324" s="1064"/>
      <c r="DI324" s="1064"/>
      <c r="DJ324" s="1064"/>
      <c r="DK324" s="1064"/>
      <c r="DL324" s="1064"/>
      <c r="DM324" s="568"/>
      <c r="DN324" s="568"/>
      <c r="DO324" s="568"/>
      <c r="DP324" s="568"/>
      <c r="DQ324" s="568"/>
      <c r="DR324" s="568"/>
      <c r="DS324" s="568"/>
      <c r="DT324" s="568"/>
      <c r="DU324" s="568"/>
      <c r="DV324" s="568"/>
      <c r="DW324" s="568"/>
      <c r="DX324" s="568"/>
      <c r="DY324" s="568"/>
    </row>
    <row r="325" spans="1:130" ht="15" customHeight="1">
      <c r="A325" s="1612" t="s">
        <v>293</v>
      </c>
      <c r="B325" s="86"/>
      <c r="C325" s="86"/>
      <c r="D325" s="86"/>
      <c r="E325" s="86"/>
      <c r="F325" s="86"/>
      <c r="G325" s="86"/>
      <c r="H325" s="86"/>
      <c r="I325" s="86"/>
      <c r="J325" s="86"/>
      <c r="K325" s="86"/>
      <c r="L325" s="86"/>
      <c r="M325" s="86"/>
      <c r="N325" s="86"/>
      <c r="O325" s="86"/>
      <c r="P325" s="86"/>
      <c r="Q325" s="1070"/>
      <c r="R325" s="217"/>
      <c r="S325" s="795"/>
      <c r="T325" s="1319"/>
      <c r="U325" s="1319"/>
      <c r="V325" s="795"/>
      <c r="W325" s="795"/>
      <c r="X325" s="795"/>
      <c r="Y325" s="795"/>
      <c r="Z325" s="795"/>
      <c r="AA325" s="1319"/>
      <c r="AB325" s="1319"/>
      <c r="AC325" s="1319"/>
      <c r="AD325" s="1319"/>
      <c r="AE325" s="1319"/>
      <c r="AF325" s="1319"/>
      <c r="AG325" s="1319"/>
      <c r="AH325" s="1947"/>
      <c r="AI325" s="606"/>
      <c r="AJ325" s="1947"/>
      <c r="AK325" s="86"/>
      <c r="AL325" s="86"/>
      <c r="AM325" s="86"/>
      <c r="AN325" s="86"/>
      <c r="AO325" s="86"/>
      <c r="AP325" s="86"/>
      <c r="AQ325" s="86"/>
      <c r="AR325" s="86"/>
      <c r="AS325" s="86"/>
      <c r="AT325" s="86"/>
      <c r="AU325" s="86"/>
      <c r="AV325" s="86"/>
      <c r="AW325" s="86"/>
      <c r="AX325" s="86"/>
      <c r="AY325" s="86"/>
      <c r="AZ325" s="86"/>
      <c r="BA325" s="86"/>
      <c r="BB325" s="86"/>
      <c r="BC325" s="86"/>
      <c r="BD325" s="86"/>
      <c r="BE325" s="86"/>
      <c r="BF325" s="86"/>
      <c r="BG325" s="86"/>
      <c r="BH325" s="86"/>
      <c r="BI325" s="86"/>
      <c r="BJ325" s="86"/>
      <c r="BK325" s="86"/>
      <c r="BL325" s="86"/>
      <c r="BM325" s="86"/>
      <c r="BN325" s="86"/>
      <c r="BO325" s="86"/>
      <c r="BP325" s="86"/>
      <c r="BQ325" s="86"/>
      <c r="BR325" s="569"/>
      <c r="BS325" s="1064"/>
      <c r="BT325" s="1064"/>
      <c r="BU325" s="1064"/>
      <c r="BV325" s="569"/>
      <c r="BW325" s="1064"/>
      <c r="BX325" s="1064"/>
      <c r="BY325" s="1064"/>
      <c r="BZ325" s="569"/>
      <c r="CA325" s="1064"/>
      <c r="CB325" s="1064"/>
      <c r="CC325" s="1064"/>
      <c r="CD325" s="569"/>
      <c r="CE325" s="1064"/>
      <c r="CF325" s="1064"/>
      <c r="CG325" s="568"/>
      <c r="CH325" s="569"/>
      <c r="CI325" s="1064"/>
      <c r="CJ325" s="1064"/>
      <c r="CK325" s="568"/>
      <c r="CP325">
        <f>-1</f>
        <v>-1</v>
      </c>
      <c r="CQ325" s="1064">
        <f t="shared" si="427"/>
        <v>-1</v>
      </c>
      <c r="CR325" s="1064">
        <f t="shared" si="427"/>
        <v>-1</v>
      </c>
      <c r="CS325" s="1064">
        <f t="shared" si="427"/>
        <v>-1</v>
      </c>
      <c r="CT325" s="569"/>
      <c r="CU325" s="1064"/>
      <c r="CV325" s="1064"/>
      <c r="CW325" s="568"/>
      <c r="CX325" s="569"/>
      <c r="CY325" s="1064"/>
      <c r="CZ325" s="1064"/>
      <c r="DA325" s="1064"/>
      <c r="DB325" s="569"/>
      <c r="DC325" s="1064"/>
      <c r="DD325" s="1064"/>
      <c r="DE325" s="1064"/>
      <c r="DF325" s="1064"/>
      <c r="DG325" s="1064"/>
      <c r="DH325" s="1064"/>
      <c r="DI325" s="1064"/>
      <c r="DJ325" s="1064"/>
      <c r="DK325" s="1064"/>
      <c r="DL325" s="1064"/>
      <c r="DM325" s="568"/>
      <c r="DN325" s="568"/>
      <c r="DO325" s="568"/>
      <c r="DP325" s="568"/>
      <c r="DQ325" s="568"/>
      <c r="DR325" s="568"/>
      <c r="DS325" s="568"/>
      <c r="DT325" s="568"/>
      <c r="DU325" s="568"/>
      <c r="DV325" s="568"/>
      <c r="DW325" s="568"/>
      <c r="DX325" s="568"/>
      <c r="DY325" s="568"/>
    </row>
    <row r="326" spans="1:130" ht="15" customHeight="1">
      <c r="A326" t="s">
        <v>294</v>
      </c>
      <c r="B326" s="86"/>
      <c r="C326" s="86"/>
      <c r="D326" s="86"/>
      <c r="E326" s="86"/>
      <c r="F326" s="86"/>
      <c r="G326" s="86"/>
      <c r="H326" s="86"/>
      <c r="I326" s="86"/>
      <c r="J326" s="86"/>
      <c r="K326" s="86"/>
      <c r="L326" s="86"/>
      <c r="M326" s="86"/>
      <c r="N326" s="86"/>
      <c r="O326" s="86"/>
      <c r="P326" s="86"/>
      <c r="Q326" s="1070"/>
      <c r="R326" s="217"/>
      <c r="S326" s="795"/>
      <c r="T326" s="1319"/>
      <c r="U326" s="1319"/>
      <c r="V326" s="795"/>
      <c r="W326" s="795"/>
      <c r="X326" s="795"/>
      <c r="Y326" s="795"/>
      <c r="Z326" s="795"/>
      <c r="AA326" s="1319"/>
      <c r="AB326" s="1319"/>
      <c r="AC326" s="1319"/>
      <c r="AD326" s="1319"/>
      <c r="AE326" s="1319"/>
      <c r="AF326" s="1319"/>
      <c r="AG326" s="1319"/>
      <c r="AH326" s="1947"/>
      <c r="AI326" s="606"/>
      <c r="AJ326" s="1947"/>
      <c r="AK326" s="86"/>
      <c r="AL326" s="86"/>
      <c r="AM326" s="86"/>
      <c r="AN326" s="86"/>
      <c r="AO326" s="86"/>
      <c r="AP326" s="86"/>
      <c r="AQ326" s="86"/>
      <c r="AR326" s="86"/>
      <c r="AS326" s="86"/>
      <c r="AT326" s="86"/>
      <c r="AU326" s="86"/>
      <c r="AV326" s="86"/>
      <c r="AW326" s="86"/>
      <c r="AX326" s="86"/>
      <c r="AY326" s="86"/>
      <c r="AZ326" s="86"/>
      <c r="BA326" s="86"/>
      <c r="BB326" s="86"/>
      <c r="BC326" s="86"/>
      <c r="BD326" s="86"/>
      <c r="BE326" s="86"/>
      <c r="BF326" s="86"/>
      <c r="BG326" s="86"/>
      <c r="BH326" s="86"/>
      <c r="BI326" s="86"/>
      <c r="BJ326" s="86"/>
      <c r="BK326" s="86"/>
      <c r="BL326" s="86"/>
      <c r="BM326" s="86"/>
      <c r="BN326" s="86"/>
      <c r="BO326" s="86"/>
      <c r="BP326" s="86"/>
      <c r="BQ326" s="86"/>
      <c r="BR326" s="569"/>
      <c r="BS326" s="1064"/>
      <c r="BT326" s="1064"/>
      <c r="BU326" s="1064"/>
      <c r="BV326" s="569"/>
      <c r="BW326" s="1064"/>
      <c r="BX326" s="1064"/>
      <c r="BY326" s="1064"/>
      <c r="BZ326" s="569"/>
      <c r="CA326" s="1064"/>
      <c r="CB326" s="1064"/>
      <c r="CC326" s="1064"/>
      <c r="CD326" s="569"/>
      <c r="CE326" s="1064"/>
      <c r="CF326" s="1064"/>
      <c r="CG326" s="568"/>
      <c r="CH326" s="569"/>
      <c r="CI326" s="1064"/>
      <c r="CJ326" s="1064"/>
      <c r="CK326" s="568"/>
      <c r="CL326">
        <f t="shared" ref="CL326:CS326" si="428">+CL310+CL319</f>
        <v>560</v>
      </c>
      <c r="CM326">
        <f t="shared" si="428"/>
        <v>536</v>
      </c>
      <c r="CN326">
        <f t="shared" si="428"/>
        <v>559</v>
      </c>
      <c r="CO326">
        <f t="shared" si="428"/>
        <v>531</v>
      </c>
      <c r="CP326">
        <f t="shared" si="428"/>
        <v>548</v>
      </c>
      <c r="CQ326">
        <f t="shared" si="428"/>
        <v>548.33500000000004</v>
      </c>
      <c r="CR326">
        <f t="shared" si="428"/>
        <v>546.74</v>
      </c>
      <c r="CS326">
        <f t="shared" si="428"/>
        <v>549.21999999999991</v>
      </c>
      <c r="DG326"/>
      <c r="DH326"/>
      <c r="DI326"/>
      <c r="DJ326"/>
      <c r="DK326"/>
      <c r="DL326"/>
      <c r="DM326" s="568"/>
      <c r="DN326" s="568"/>
      <c r="DO326" s="568"/>
      <c r="DP326" s="568"/>
      <c r="DQ326" s="568"/>
      <c r="DR326" s="568"/>
      <c r="DS326" s="568"/>
      <c r="DT326" s="568"/>
      <c r="DU326" s="568"/>
      <c r="DV326" s="568"/>
      <c r="DW326" s="568"/>
      <c r="DX326" s="568"/>
      <c r="DY326" s="568"/>
    </row>
    <row r="327" spans="1:130" ht="15" customHeight="1">
      <c r="A327"/>
      <c r="B327" s="86"/>
      <c r="C327" s="86"/>
      <c r="D327" s="86"/>
      <c r="E327" s="86"/>
      <c r="F327" s="86"/>
      <c r="G327" s="86"/>
      <c r="H327" s="86"/>
      <c r="I327" s="86"/>
      <c r="J327" s="86"/>
      <c r="K327" s="86"/>
      <c r="L327" s="86"/>
      <c r="M327" s="86"/>
      <c r="N327" s="86"/>
      <c r="O327" s="86"/>
      <c r="P327" s="86"/>
      <c r="Q327" s="1070"/>
      <c r="R327" s="217"/>
      <c r="S327" s="795"/>
      <c r="T327" s="1319"/>
      <c r="U327" s="1319"/>
      <c r="V327" s="795"/>
      <c r="W327" s="795"/>
      <c r="X327" s="795"/>
      <c r="Y327" s="795"/>
      <c r="Z327" s="795"/>
      <c r="AA327" s="1319"/>
      <c r="AB327" s="1319"/>
      <c r="AC327" s="1319"/>
      <c r="AD327" s="1319"/>
      <c r="AE327" s="1319"/>
      <c r="AF327" s="1319"/>
      <c r="AG327" s="1319"/>
      <c r="AH327" s="1947"/>
      <c r="AI327" s="606"/>
      <c r="AJ327" s="1947"/>
      <c r="AK327" s="86"/>
      <c r="AL327" s="86"/>
      <c r="AM327" s="86"/>
      <c r="AN327" s="86"/>
      <c r="AO327" s="86"/>
      <c r="AP327" s="86"/>
      <c r="AQ327" s="86"/>
      <c r="AR327" s="86"/>
      <c r="AS327" s="86"/>
      <c r="AT327" s="86"/>
      <c r="AU327" s="86"/>
      <c r="AV327" s="86"/>
      <c r="AW327" s="86"/>
      <c r="AX327" s="86"/>
      <c r="AY327" s="86"/>
      <c r="AZ327" s="86"/>
      <c r="BA327" s="86"/>
      <c r="BB327" s="86"/>
      <c r="BC327" s="86"/>
      <c r="BD327" s="86"/>
      <c r="BE327" s="86"/>
      <c r="BF327" s="86"/>
      <c r="BG327" s="86"/>
      <c r="BH327" s="86"/>
      <c r="BI327" s="86"/>
      <c r="BJ327" s="86"/>
      <c r="BK327" s="86"/>
      <c r="BL327" s="86"/>
      <c r="BM327" s="86"/>
      <c r="BN327" s="86"/>
      <c r="BO327" s="86"/>
      <c r="BP327" s="86"/>
      <c r="BQ327" s="86"/>
      <c r="BR327" s="569"/>
      <c r="BS327" s="1064"/>
      <c r="BT327" s="1064"/>
      <c r="BU327" s="1064"/>
      <c r="BV327" s="569"/>
      <c r="BW327" s="1064"/>
      <c r="BX327" s="1064"/>
      <c r="BY327" s="1064"/>
      <c r="BZ327" s="569"/>
      <c r="CA327" s="1064"/>
      <c r="CB327" s="1064"/>
      <c r="CC327" s="1064"/>
      <c r="CD327" s="569"/>
      <c r="CE327" s="1064"/>
      <c r="CF327" s="1064"/>
      <c r="CG327" s="568"/>
      <c r="CH327" s="569"/>
      <c r="CI327" s="1064"/>
      <c r="CJ327" s="1064"/>
      <c r="CK327" s="568"/>
      <c r="CP327" s="569"/>
      <c r="CQ327" s="1064"/>
      <c r="CR327" s="1064"/>
      <c r="CS327" s="1064"/>
      <c r="CT327" s="569"/>
      <c r="CU327" s="1064"/>
      <c r="CV327" s="1064"/>
      <c r="CW327" s="568"/>
      <c r="CX327" s="569"/>
      <c r="CY327" s="1064"/>
      <c r="CZ327" s="1064"/>
      <c r="DA327" s="1064"/>
      <c r="DB327" s="569"/>
      <c r="DC327" s="1064"/>
      <c r="DD327" s="1064"/>
      <c r="DE327" s="1064"/>
      <c r="DF327" s="1064"/>
      <c r="DG327" s="1064"/>
      <c r="DH327" s="1064"/>
      <c r="DI327" s="1064"/>
      <c r="DJ327" s="1064"/>
      <c r="DK327" s="1064"/>
      <c r="DL327" s="1064"/>
      <c r="DM327" s="568"/>
      <c r="DN327" s="568"/>
      <c r="DO327" s="568"/>
      <c r="DP327" s="568"/>
      <c r="DQ327" s="568"/>
      <c r="DR327" s="568"/>
      <c r="DS327" s="568"/>
      <c r="DT327" s="568"/>
      <c r="DU327" s="568"/>
      <c r="DV327" s="568"/>
      <c r="DW327" s="568"/>
      <c r="DX327" s="568"/>
      <c r="DY327" s="568"/>
    </row>
    <row r="328" spans="1:130" ht="15" customHeight="1">
      <c r="A328" t="s">
        <v>971</v>
      </c>
      <c r="B328" s="86"/>
      <c r="C328" s="86"/>
      <c r="D328" s="86"/>
      <c r="E328" s="86"/>
      <c r="F328" s="86"/>
      <c r="G328" s="86"/>
      <c r="H328" s="86"/>
      <c r="I328" s="86"/>
      <c r="J328" s="86"/>
      <c r="K328" s="86"/>
      <c r="L328" s="86"/>
      <c r="M328" s="86"/>
      <c r="N328" s="86"/>
      <c r="O328" s="86"/>
      <c r="P328" s="86"/>
      <c r="Q328" s="1070">
        <f>SUM(CL328:CO328)</f>
        <v>1829</v>
      </c>
      <c r="R328" s="217">
        <f>SUM(CP328:CS328)</f>
        <v>120.04561580362702</v>
      </c>
      <c r="S328" s="1331"/>
      <c r="T328" s="1332"/>
      <c r="U328" s="1332"/>
      <c r="V328" s="1331"/>
      <c r="W328" s="1331"/>
      <c r="X328" s="1332"/>
      <c r="Y328" s="1332"/>
      <c r="Z328" s="1332"/>
      <c r="AA328" s="1332"/>
      <c r="AB328" s="1332"/>
      <c r="AC328" s="1332"/>
      <c r="AD328" s="1332"/>
      <c r="AE328" s="1332"/>
      <c r="AF328" s="1332"/>
      <c r="AG328" s="1332"/>
      <c r="AH328" s="1947"/>
      <c r="AI328" s="606"/>
      <c r="AJ328" s="1947"/>
      <c r="AK328" s="86"/>
      <c r="AL328" s="86"/>
      <c r="AM328" s="86"/>
      <c r="AN328" s="86"/>
      <c r="AO328" s="86"/>
      <c r="AP328" s="86"/>
      <c r="AQ328" s="86"/>
      <c r="AR328" s="86"/>
      <c r="AS328" s="86"/>
      <c r="AT328" s="86"/>
      <c r="AU328" s="86"/>
      <c r="AV328" s="86"/>
      <c r="AW328" s="86"/>
      <c r="AX328" s="86"/>
      <c r="AY328" s="86"/>
      <c r="AZ328" s="86"/>
      <c r="BA328" s="86"/>
      <c r="BB328" s="86"/>
      <c r="BC328" s="86"/>
      <c r="BD328" s="86"/>
      <c r="BE328" s="86"/>
      <c r="BF328" s="86"/>
      <c r="BG328" s="86"/>
      <c r="BH328" s="86"/>
      <c r="BI328" s="86"/>
      <c r="BJ328" s="86"/>
      <c r="BK328" s="86"/>
      <c r="BL328" s="86"/>
      <c r="BM328" s="86"/>
      <c r="BN328" s="86"/>
      <c r="BO328" s="86"/>
      <c r="BP328" s="86"/>
      <c r="BQ328" s="86"/>
      <c r="BR328" s="569"/>
      <c r="BS328" s="1064"/>
      <c r="BT328" s="1064"/>
      <c r="BU328" s="1064"/>
      <c r="BV328" s="569"/>
      <c r="BW328" s="1064"/>
      <c r="BX328" s="1064"/>
      <c r="BY328" s="1064"/>
      <c r="BZ328" s="569"/>
      <c r="CA328" s="1064"/>
      <c r="CB328" s="1064"/>
      <c r="CC328" s="1064"/>
      <c r="CD328" s="569"/>
      <c r="CE328" s="1064"/>
      <c r="CF328" s="1064"/>
      <c r="CG328" s="568"/>
      <c r="CH328" s="569"/>
      <c r="CI328" s="1064"/>
      <c r="CJ328" s="1064"/>
      <c r="CK328" s="568"/>
      <c r="CL328">
        <f t="shared" ref="CL328:CS328" si="429">+CL306-CL326</f>
        <v>476</v>
      </c>
      <c r="CM328">
        <f t="shared" si="429"/>
        <v>489</v>
      </c>
      <c r="CN328">
        <f t="shared" si="429"/>
        <v>429.5</v>
      </c>
      <c r="CO328">
        <f t="shared" si="429"/>
        <v>434.5</v>
      </c>
      <c r="CP328">
        <f t="shared" si="429"/>
        <v>406</v>
      </c>
      <c r="CQ328">
        <f t="shared" si="429"/>
        <v>369.66499999999996</v>
      </c>
      <c r="CR328">
        <f t="shared" si="429"/>
        <v>-96.399384196373035</v>
      </c>
      <c r="CS328">
        <f t="shared" si="429"/>
        <v>-559.21999999999991</v>
      </c>
      <c r="DG328"/>
      <c r="DH328"/>
      <c r="DI328"/>
      <c r="DJ328"/>
      <c r="DK328"/>
      <c r="DL328"/>
      <c r="DM328" s="568"/>
      <c r="DN328" s="568"/>
      <c r="DO328" s="568"/>
      <c r="DP328" s="568"/>
      <c r="DQ328" s="568"/>
      <c r="DR328" s="568"/>
      <c r="DS328" s="568"/>
      <c r="DT328" s="568"/>
      <c r="DU328" s="568"/>
      <c r="DV328" s="568"/>
      <c r="DW328" s="568"/>
      <c r="DX328" s="568"/>
      <c r="DY328" s="568"/>
    </row>
    <row r="329" spans="1:130" ht="15" customHeight="1">
      <c r="A329" s="1607" t="s">
        <v>288</v>
      </c>
      <c r="B329" s="562"/>
      <c r="C329" s="562"/>
      <c r="D329" s="562"/>
      <c r="E329" s="562"/>
      <c r="F329" s="562"/>
      <c r="G329" s="562"/>
      <c r="H329" s="562"/>
      <c r="I329" s="562"/>
      <c r="J329" s="562"/>
      <c r="K329" s="562"/>
      <c r="L329" s="562"/>
      <c r="M329" s="562"/>
      <c r="N329" s="562"/>
      <c r="O329" s="562"/>
      <c r="P329" s="562"/>
      <c r="Q329" s="1065"/>
      <c r="R329" s="562">
        <f>+R328/Q328-1</f>
        <v>-0.93436543695810448</v>
      </c>
      <c r="S329" s="971"/>
      <c r="T329" s="1324"/>
      <c r="U329" s="1324"/>
      <c r="V329" s="971"/>
      <c r="W329" s="971"/>
      <c r="X329" s="971"/>
      <c r="Y329" s="971"/>
      <c r="Z329" s="971"/>
      <c r="AA329" s="1324"/>
      <c r="AB329" s="1324"/>
      <c r="AC329" s="1324"/>
      <c r="AD329" s="1324"/>
      <c r="AE329" s="1324"/>
      <c r="AF329" s="1324"/>
      <c r="AG329" s="1324"/>
      <c r="AH329" s="1927"/>
      <c r="AI329" s="606"/>
      <c r="AJ329" s="1927"/>
      <c r="AK329" s="562"/>
      <c r="AL329" s="562"/>
      <c r="AM329" s="562"/>
      <c r="AN329" s="562"/>
      <c r="AO329" s="562"/>
      <c r="AP329" s="562"/>
      <c r="AQ329" s="562"/>
      <c r="AR329" s="562"/>
      <c r="AS329" s="562"/>
      <c r="AT329" s="562"/>
      <c r="AU329" s="562"/>
      <c r="AV329" s="562"/>
      <c r="AW329" s="562"/>
      <c r="AX329" s="562"/>
      <c r="AY329" s="562"/>
      <c r="AZ329" s="562"/>
      <c r="BA329" s="562"/>
      <c r="BB329" s="562"/>
      <c r="BC329" s="562"/>
      <c r="BD329" s="562"/>
      <c r="BE329" s="562"/>
      <c r="BF329" s="562"/>
      <c r="BG329" s="562"/>
      <c r="BH329" s="562"/>
      <c r="BI329" s="562"/>
      <c r="BJ329" s="562"/>
      <c r="BK329" s="562"/>
      <c r="BL329" s="562"/>
      <c r="BM329" s="562"/>
      <c r="BN329" s="562"/>
      <c r="BO329" s="562"/>
      <c r="BP329" s="562"/>
      <c r="BQ329" s="562"/>
      <c r="BR329" s="563"/>
      <c r="BS329" s="1065"/>
      <c r="BT329" s="1065"/>
      <c r="BU329" s="1065"/>
      <c r="BV329" s="563"/>
      <c r="BW329" s="1065"/>
      <c r="BX329" s="1065"/>
      <c r="BY329" s="1065"/>
      <c r="BZ329" s="563"/>
      <c r="CA329" s="1065"/>
      <c r="CB329" s="1065"/>
      <c r="CC329" s="1065"/>
      <c r="CD329" s="563"/>
      <c r="CE329" s="1065"/>
      <c r="CF329" s="1065"/>
      <c r="CG329" s="564"/>
      <c r="CH329" s="563"/>
      <c r="CI329" s="1065"/>
      <c r="CJ329" s="1065"/>
      <c r="CK329" s="564"/>
      <c r="CL329" s="156" t="s">
        <v>1149</v>
      </c>
      <c r="CM329" s="1095" t="s">
        <v>1149</v>
      </c>
      <c r="CN329" s="1095" t="s">
        <v>1149</v>
      </c>
      <c r="CO329" s="1095" t="s">
        <v>1149</v>
      </c>
      <c r="CP329" s="156" t="s">
        <v>1149</v>
      </c>
      <c r="CQ329" s="1095" t="s">
        <v>1149</v>
      </c>
      <c r="CR329" s="1095" t="s">
        <v>1149</v>
      </c>
      <c r="CS329" s="1095" t="s">
        <v>1149</v>
      </c>
      <c r="CT329" s="156"/>
      <c r="CU329" s="1095"/>
      <c r="CV329" s="1095"/>
      <c r="CW329" s="525"/>
      <c r="CX329" s="156"/>
      <c r="CY329" s="1095"/>
      <c r="CZ329" s="1095"/>
      <c r="DA329" s="1095"/>
      <c r="DB329" s="156"/>
      <c r="DC329" s="1095"/>
      <c r="DD329" s="1095"/>
      <c r="DE329" s="1095"/>
      <c r="DF329" s="1095"/>
      <c r="DG329" s="1095"/>
      <c r="DH329" s="1095"/>
      <c r="DI329" s="1095"/>
      <c r="DJ329" s="1095"/>
      <c r="DK329" s="1095"/>
      <c r="DL329" s="1095"/>
      <c r="DM329" s="564"/>
      <c r="DN329" s="564"/>
      <c r="DO329" s="564"/>
      <c r="DP329" s="564"/>
      <c r="DQ329" s="564"/>
      <c r="DR329" s="564"/>
      <c r="DS329" s="564"/>
      <c r="DT329" s="564"/>
      <c r="DU329" s="564"/>
      <c r="DV329" s="564"/>
      <c r="DW329" s="564"/>
      <c r="DX329" s="564"/>
      <c r="DY329" s="564"/>
    </row>
    <row r="330" spans="1:130" ht="15" customHeight="1">
      <c r="A330" t="s">
        <v>242</v>
      </c>
      <c r="B330" s="562"/>
      <c r="C330" s="562"/>
      <c r="D330" s="562"/>
      <c r="E330" s="562"/>
      <c r="F330" s="562"/>
      <c r="G330" s="562"/>
      <c r="H330" s="562"/>
      <c r="I330" s="562"/>
      <c r="J330" s="562"/>
      <c r="K330" s="562"/>
      <c r="L330" s="562"/>
      <c r="M330" s="562"/>
      <c r="N330" s="562"/>
      <c r="O330" s="562"/>
      <c r="P330" s="562"/>
      <c r="Q330" s="1300">
        <f>+Q328/Q306</f>
        <v>0.4555417185554172</v>
      </c>
      <c r="R330">
        <f>+R328/R306</f>
        <v>5.1915195790437893E-2</v>
      </c>
      <c r="T330" s="1508"/>
      <c r="U330" s="1508"/>
      <c r="AA330" s="1508"/>
      <c r="AB330" s="1508"/>
      <c r="AC330" s="1508"/>
      <c r="AD330" s="1508"/>
      <c r="AE330" s="1508"/>
      <c r="AF330" s="1508"/>
      <c r="AG330" s="1508"/>
      <c r="AH330" s="1927"/>
      <c r="AI330" s="606"/>
      <c r="AJ330"/>
      <c r="CL330">
        <f t="shared" ref="CL330:CS330" si="430">+CL328/CL306</f>
        <v>0.45945945945945948</v>
      </c>
      <c r="CM330">
        <f t="shared" si="430"/>
        <v>0.4770731707317073</v>
      </c>
      <c r="CN330">
        <f t="shared" si="430"/>
        <v>0.43449671219018715</v>
      </c>
      <c r="CO330">
        <f t="shared" si="430"/>
        <v>0.45002589331952358</v>
      </c>
      <c r="CP330">
        <f t="shared" si="430"/>
        <v>0.42557651991614254</v>
      </c>
      <c r="CQ330">
        <f t="shared" si="430"/>
        <v>0.40268518518518515</v>
      </c>
      <c r="CR330">
        <f t="shared" si="430"/>
        <v>-0.21405882750404287</v>
      </c>
      <c r="CS330">
        <f t="shared" si="430"/>
        <v>55.92199999999999</v>
      </c>
      <c r="DG330"/>
      <c r="DH330"/>
      <c r="DI330"/>
      <c r="DJ330"/>
      <c r="DK330"/>
      <c r="DL330"/>
      <c r="DM330" s="564"/>
      <c r="DN330" s="564"/>
      <c r="DO330" s="564"/>
      <c r="DP330" s="564"/>
      <c r="DQ330" s="564"/>
      <c r="DR330" s="564"/>
      <c r="DS330" s="564"/>
      <c r="DT330" s="564"/>
      <c r="DU330" s="564"/>
      <c r="DV330" s="564"/>
      <c r="DW330" s="564"/>
      <c r="DX330" s="564"/>
      <c r="DY330" s="564"/>
    </row>
    <row r="331" spans="1:130" ht="15" customHeight="1">
      <c r="A331" s="1603"/>
      <c r="B331" s="86"/>
      <c r="C331" s="86"/>
      <c r="D331" s="86"/>
      <c r="E331" s="86"/>
      <c r="F331" s="86"/>
      <c r="G331" s="86"/>
      <c r="H331" s="86"/>
      <c r="I331" s="86"/>
      <c r="J331" s="86"/>
      <c r="K331" s="86"/>
      <c r="L331" s="86"/>
      <c r="M331" s="86"/>
      <c r="N331" s="86"/>
      <c r="O331" s="86"/>
      <c r="P331" s="86"/>
      <c r="Q331" s="1064"/>
      <c r="R331" s="86"/>
      <c r="S331" s="795"/>
      <c r="T331" s="1319"/>
      <c r="U331" s="1319"/>
      <c r="V331" s="795"/>
      <c r="W331" s="795"/>
      <c r="X331" s="795"/>
      <c r="Y331" s="795"/>
      <c r="Z331" s="795"/>
      <c r="AA331" s="1319"/>
      <c r="AB331" s="1319"/>
      <c r="AC331" s="1319"/>
      <c r="AD331" s="1319"/>
      <c r="AE331" s="1319"/>
      <c r="AF331" s="1319"/>
      <c r="AG331" s="1319"/>
      <c r="AH331" s="1947"/>
      <c r="AI331" s="606"/>
      <c r="AJ331" s="1947"/>
      <c r="AK331" s="86"/>
      <c r="AL331" s="86"/>
      <c r="AM331" s="86"/>
      <c r="AN331" s="86"/>
      <c r="AO331" s="86"/>
      <c r="AP331" s="86"/>
      <c r="AQ331" s="86"/>
      <c r="AR331" s="86"/>
      <c r="AS331" s="86"/>
      <c r="AT331" s="86"/>
      <c r="AU331" s="86"/>
      <c r="AV331" s="86"/>
      <c r="AW331" s="86"/>
      <c r="AX331" s="86"/>
      <c r="AY331" s="86"/>
      <c r="AZ331" s="86"/>
      <c r="BA331" s="86"/>
      <c r="BB331" s="86"/>
      <c r="BC331" s="86"/>
      <c r="BD331" s="86"/>
      <c r="BE331" s="86"/>
      <c r="BF331" s="86"/>
      <c r="BG331" s="86"/>
      <c r="BH331" s="86"/>
      <c r="BI331" s="86"/>
      <c r="BJ331" s="86"/>
      <c r="BK331" s="86"/>
      <c r="BL331" s="86"/>
      <c r="BM331" s="86"/>
      <c r="BN331" s="86"/>
      <c r="BO331" s="86"/>
      <c r="BP331" s="86"/>
      <c r="BQ331" s="86"/>
      <c r="BR331" s="569"/>
      <c r="BS331" s="1064"/>
      <c r="BT331" s="1064"/>
      <c r="BU331" s="1064"/>
      <c r="BV331" s="569"/>
      <c r="BW331" s="1064"/>
      <c r="BX331" s="1064"/>
      <c r="BY331" s="1064"/>
      <c r="BZ331" s="569"/>
      <c r="CA331" s="1064"/>
      <c r="CB331" s="1064"/>
      <c r="CC331" s="1064"/>
      <c r="CD331" s="569"/>
      <c r="CE331" s="1064"/>
      <c r="CF331" s="1064"/>
      <c r="CG331" s="568"/>
      <c r="CH331" s="569"/>
      <c r="CI331" s="1064"/>
      <c r="CJ331" s="1064"/>
      <c r="CK331" s="568"/>
      <c r="CL331" s="569"/>
      <c r="CM331" s="1064"/>
      <c r="CN331" s="1064"/>
      <c r="CO331" s="1064"/>
      <c r="CP331" s="569"/>
      <c r="CQ331" s="1064"/>
      <c r="CR331" s="1064"/>
      <c r="CS331" s="1064"/>
      <c r="CT331" s="569"/>
      <c r="CU331" s="1064"/>
      <c r="CV331" s="1064"/>
      <c r="CW331" s="568"/>
      <c r="CX331" s="569"/>
      <c r="CY331" s="1064"/>
      <c r="CZ331" s="1064"/>
      <c r="DA331" s="1064"/>
      <c r="DB331" s="569"/>
      <c r="DC331" s="1064"/>
      <c r="DD331" s="1064"/>
      <c r="DE331" s="1064"/>
      <c r="DF331" s="1064"/>
      <c r="DG331" s="1064"/>
      <c r="DH331" s="1064"/>
      <c r="DI331" s="1064"/>
      <c r="DJ331" s="1064"/>
      <c r="DK331" s="1064"/>
      <c r="DL331" s="1064"/>
      <c r="DM331" s="568"/>
      <c r="DN331" s="568"/>
      <c r="DO331" s="568"/>
      <c r="DP331" s="568"/>
      <c r="DQ331" s="568"/>
      <c r="DR331" s="568"/>
      <c r="DS331" s="568"/>
      <c r="DT331" s="568"/>
      <c r="DU331" s="568"/>
      <c r="DV331" s="568"/>
      <c r="DW331" s="568"/>
      <c r="DX331" s="568"/>
      <c r="DY331" s="568"/>
    </row>
    <row r="332" spans="1:130" s="1247" customFormat="1" ht="15" customHeight="1">
      <c r="A332" s="1609" t="s">
        <v>295</v>
      </c>
      <c r="B332" s="795"/>
      <c r="C332" s="795"/>
      <c r="D332" s="795"/>
      <c r="E332" s="795"/>
      <c r="F332" s="795"/>
      <c r="G332" s="795"/>
      <c r="H332" s="795"/>
      <c r="I332" s="795"/>
      <c r="J332" s="795"/>
      <c r="K332" s="795"/>
      <c r="L332" s="795"/>
      <c r="M332" s="795"/>
      <c r="N332" s="795"/>
      <c r="O332" s="795"/>
      <c r="P332" s="795"/>
      <c r="Q332" s="1334">
        <f>SUM(CL332:CO332)</f>
        <v>1829</v>
      </c>
      <c r="R332" s="1333">
        <f>SUM(CP332:CS332)</f>
        <v>120.04561580362702</v>
      </c>
      <c r="S332"/>
      <c r="T332"/>
      <c r="U332"/>
      <c r="V332"/>
      <c r="W332"/>
      <c r="X332"/>
      <c r="Y332"/>
      <c r="Z332"/>
      <c r="AA332"/>
      <c r="AB332" s="3146"/>
      <c r="AC332" s="3146"/>
      <c r="AD332" s="3146"/>
      <c r="AE332" s="3146"/>
      <c r="AF332" s="3146"/>
      <c r="AG332" s="3146"/>
      <c r="AH332" s="1947"/>
      <c r="AI332" s="1315"/>
      <c r="AJ332" s="1947"/>
      <c r="AK332" s="795"/>
      <c r="AL332" s="795"/>
      <c r="AM332" s="795"/>
      <c r="AN332" s="795"/>
      <c r="AO332" s="795"/>
      <c r="AP332" s="795"/>
      <c r="AQ332" s="795"/>
      <c r="AR332" s="795"/>
      <c r="AS332" s="795"/>
      <c r="AT332" s="795"/>
      <c r="AU332" s="795"/>
      <c r="AV332" s="795"/>
      <c r="AW332" s="795"/>
      <c r="AX332" s="795"/>
      <c r="AY332" s="795"/>
      <c r="AZ332" s="795"/>
      <c r="BA332" s="795"/>
      <c r="BB332" s="795"/>
      <c r="BC332" s="795"/>
      <c r="BD332" s="795"/>
      <c r="BE332" s="795"/>
      <c r="BF332" s="795"/>
      <c r="BG332" s="795"/>
      <c r="BH332" s="795"/>
      <c r="BI332" s="795"/>
      <c r="BJ332" s="795"/>
      <c r="BK332" s="795"/>
      <c r="BL332" s="795"/>
      <c r="BM332" s="795"/>
      <c r="BN332" s="795"/>
      <c r="BO332" s="795"/>
      <c r="BP332" s="795"/>
      <c r="BQ332" s="795"/>
      <c r="BR332" s="794"/>
      <c r="BS332" s="1319"/>
      <c r="BT332" s="1319"/>
      <c r="BU332" s="1319"/>
      <c r="BV332" s="794"/>
      <c r="BW332" s="1319"/>
      <c r="BX332" s="1319"/>
      <c r="BY332" s="1319"/>
      <c r="BZ332" s="794"/>
      <c r="CA332" s="1319"/>
      <c r="CB332" s="1319"/>
      <c r="CC332" s="1319"/>
      <c r="CD332" s="794"/>
      <c r="CE332" s="1319"/>
      <c r="CF332" s="1319"/>
      <c r="CG332" s="1320"/>
      <c r="CH332" s="794"/>
      <c r="CI332" s="1319"/>
      <c r="CJ332" s="1319"/>
      <c r="CK332" s="1320"/>
      <c r="CL332" s="1321">
        <f t="shared" ref="CL332:CS332" si="431">+CL306-CL326</f>
        <v>476</v>
      </c>
      <c r="CM332" s="1322">
        <f t="shared" si="431"/>
        <v>489</v>
      </c>
      <c r="CN332" s="1322">
        <f t="shared" si="431"/>
        <v>429.5</v>
      </c>
      <c r="CO332" s="1322">
        <f t="shared" si="431"/>
        <v>434.5</v>
      </c>
      <c r="CP332" s="1321">
        <f t="shared" si="431"/>
        <v>406</v>
      </c>
      <c r="CQ332" s="1322">
        <f t="shared" si="431"/>
        <v>369.66499999999996</v>
      </c>
      <c r="CR332" s="1322">
        <f t="shared" si="431"/>
        <v>-96.399384196373035</v>
      </c>
      <c r="CS332" s="1322">
        <f t="shared" si="431"/>
        <v>-559.21999999999991</v>
      </c>
      <c r="CT332" s="1321"/>
      <c r="CU332" s="1322"/>
      <c r="CV332" s="1322"/>
      <c r="CW332" s="1323"/>
      <c r="CX332" s="1321"/>
      <c r="CY332" s="1322"/>
      <c r="CZ332" s="1322"/>
      <c r="DA332" s="1322"/>
      <c r="DB332" s="1321"/>
      <c r="DC332" s="1322"/>
      <c r="DD332" s="1322"/>
      <c r="DE332" s="1322"/>
      <c r="DF332" s="1322"/>
      <c r="DG332" s="1322"/>
      <c r="DH332" s="1322"/>
      <c r="DI332" s="1322"/>
      <c r="DJ332" s="1322"/>
      <c r="DK332" s="1322"/>
      <c r="DL332" s="1322"/>
      <c r="DM332" s="1320"/>
      <c r="DN332" s="1320"/>
      <c r="DO332" s="1320"/>
      <c r="DP332" s="1320"/>
      <c r="DQ332" s="1320"/>
      <c r="DR332" s="1320"/>
      <c r="DS332" s="1320"/>
      <c r="DT332" s="1320"/>
      <c r="DU332" s="1320"/>
      <c r="DV332" s="1320"/>
      <c r="DW332" s="1320"/>
      <c r="DX332" s="1320"/>
      <c r="DY332" s="1320"/>
      <c r="DZ332" s="795"/>
    </row>
    <row r="333" spans="1:130" s="1247" customFormat="1" ht="15" customHeight="1">
      <c r="A333" s="1610" t="s">
        <v>296</v>
      </c>
      <c r="B333" s="971"/>
      <c r="C333" s="971"/>
      <c r="D333" s="971"/>
      <c r="E333" s="971"/>
      <c r="F333" s="971"/>
      <c r="G333" s="971"/>
      <c r="H333" s="971"/>
      <c r="I333" s="971"/>
      <c r="J333" s="971"/>
      <c r="K333" s="971"/>
      <c r="L333" s="971"/>
      <c r="M333" s="971"/>
      <c r="N333" s="971"/>
      <c r="O333" s="971"/>
      <c r="P333" s="971"/>
      <c r="Q333" s="1324">
        <f>+Q332/Q306</f>
        <v>0.4555417185554172</v>
      </c>
      <c r="R333" s="971">
        <f>+R332/R306</f>
        <v>5.1915195790437893E-2</v>
      </c>
      <c r="S333" s="971"/>
      <c r="T333" s="1324"/>
      <c r="U333" s="1324"/>
      <c r="V333" s="971"/>
      <c r="W333" s="971"/>
      <c r="X333" s="971"/>
      <c r="Y333" s="971"/>
      <c r="Z333" s="971"/>
      <c r="AA333" s="1324"/>
      <c r="AB333" s="1324"/>
      <c r="AC333" s="1324"/>
      <c r="AD333" s="1324"/>
      <c r="AE333" s="1324"/>
      <c r="AF333" s="1324"/>
      <c r="AG333" s="1324"/>
      <c r="AH333" s="1927"/>
      <c r="AI333" s="1315"/>
      <c r="AJ333" s="1927"/>
      <c r="AK333" s="971"/>
      <c r="AL333" s="971"/>
      <c r="AM333" s="971"/>
      <c r="AN333" s="971"/>
      <c r="AO333" s="971"/>
      <c r="AP333" s="971"/>
      <c r="AQ333" s="971"/>
      <c r="AR333" s="971"/>
      <c r="AS333" s="971"/>
      <c r="AT333" s="971"/>
      <c r="AU333" s="971"/>
      <c r="AV333" s="971"/>
      <c r="AW333" s="971"/>
      <c r="AX333" s="971"/>
      <c r="AY333" s="971"/>
      <c r="AZ333" s="971"/>
      <c r="BA333" s="971"/>
      <c r="BB333" s="971"/>
      <c r="BC333" s="971"/>
      <c r="BD333" s="971"/>
      <c r="BE333" s="971"/>
      <c r="BF333" s="971"/>
      <c r="BG333" s="971"/>
      <c r="BH333" s="971"/>
      <c r="BI333" s="971"/>
      <c r="BJ333" s="971"/>
      <c r="BK333" s="971"/>
      <c r="BL333" s="971"/>
      <c r="BM333" s="971"/>
      <c r="BN333" s="971"/>
      <c r="BO333" s="971"/>
      <c r="BP333" s="971"/>
      <c r="BQ333" s="971"/>
      <c r="BR333" s="1325"/>
      <c r="BS333" s="1324"/>
      <c r="BT333" s="1324"/>
      <c r="BU333" s="1324"/>
      <c r="BV333" s="1325"/>
      <c r="BW333" s="1324"/>
      <c r="BX333" s="1324"/>
      <c r="BY333" s="1324"/>
      <c r="BZ333" s="1325"/>
      <c r="CA333" s="1324"/>
      <c r="CB333" s="1324"/>
      <c r="CC333" s="1324"/>
      <c r="CD333" s="1325"/>
      <c r="CE333" s="1324"/>
      <c r="CF333" s="1324"/>
      <c r="CG333" s="1326"/>
      <c r="CH333" s="1325"/>
      <c r="CI333" s="1324"/>
      <c r="CJ333" s="1324"/>
      <c r="CK333" s="1326"/>
      <c r="CL333" s="1327">
        <f t="shared" ref="CL333:CS333" si="432">+CL332/CL306</f>
        <v>0.45945945945945948</v>
      </c>
      <c r="CM333" s="1328">
        <f t="shared" si="432"/>
        <v>0.4770731707317073</v>
      </c>
      <c r="CN333" s="1328">
        <f t="shared" si="432"/>
        <v>0.43449671219018715</v>
      </c>
      <c r="CO333" s="1328">
        <f t="shared" si="432"/>
        <v>0.45002589331952358</v>
      </c>
      <c r="CP333" s="1327">
        <f t="shared" si="432"/>
        <v>0.42557651991614254</v>
      </c>
      <c r="CQ333" s="1328">
        <f t="shared" si="432"/>
        <v>0.40268518518518515</v>
      </c>
      <c r="CR333" s="1328">
        <f t="shared" si="432"/>
        <v>-0.21405882750404287</v>
      </c>
      <c r="CS333" s="1328">
        <f t="shared" si="432"/>
        <v>55.92199999999999</v>
      </c>
      <c r="CT333" s="1327"/>
      <c r="CU333" s="1328"/>
      <c r="CV333" s="1328"/>
      <c r="CW333" s="1329"/>
      <c r="CX333" s="1327"/>
      <c r="CY333" s="1328"/>
      <c r="CZ333" s="1328"/>
      <c r="DA333" s="1328"/>
      <c r="DB333" s="1327"/>
      <c r="DC333" s="1328"/>
      <c r="DD333" s="1328"/>
      <c r="DE333" s="1328"/>
      <c r="DF333" s="1328"/>
      <c r="DG333" s="1328"/>
      <c r="DH333" s="1328"/>
      <c r="DI333" s="1328"/>
      <c r="DJ333" s="1328"/>
      <c r="DK333" s="1328"/>
      <c r="DL333" s="1328"/>
      <c r="DM333" s="1326"/>
      <c r="DN333" s="1326"/>
      <c r="DO333" s="1326"/>
      <c r="DP333" s="1326"/>
      <c r="DQ333" s="1326"/>
      <c r="DR333" s="1326"/>
      <c r="DS333" s="1326"/>
      <c r="DT333" s="1326"/>
      <c r="DU333" s="1326"/>
      <c r="DV333" s="1326"/>
      <c r="DW333" s="1326"/>
      <c r="DX333" s="1326"/>
      <c r="DY333" s="1326"/>
      <c r="DZ333" s="795"/>
    </row>
    <row r="334" spans="1:130" ht="15" customHeight="1">
      <c r="A334" s="1611" t="s">
        <v>297</v>
      </c>
      <c r="B334" s="86"/>
      <c r="C334" s="86"/>
      <c r="D334" s="86"/>
      <c r="E334" s="86"/>
      <c r="F334" s="86"/>
      <c r="G334" s="86"/>
      <c r="H334" s="86"/>
      <c r="I334" s="86"/>
      <c r="J334" s="86"/>
      <c r="K334" s="86"/>
      <c r="L334" s="86"/>
      <c r="M334" s="86"/>
      <c r="N334" s="86"/>
      <c r="O334" s="86"/>
      <c r="P334" s="86"/>
      <c r="Q334" s="1070">
        <f>SUM(CL334:CO334)</f>
        <v>781</v>
      </c>
      <c r="R334" s="217">
        <f>SUM(CP334:CS334)</f>
        <v>768.0737499999999</v>
      </c>
      <c r="S334" s="1333"/>
      <c r="T334" s="1334"/>
      <c r="U334" s="1334"/>
      <c r="V334" s="1333"/>
      <c r="W334" s="1333"/>
      <c r="X334" s="1333"/>
      <c r="Y334" s="1333"/>
      <c r="Z334" s="1333"/>
      <c r="AA334" s="1334"/>
      <c r="AB334" s="1334"/>
      <c r="AC334" s="1334"/>
      <c r="AD334" s="1334"/>
      <c r="AE334" s="1334"/>
      <c r="AF334" s="1334"/>
      <c r="AG334" s="1334"/>
      <c r="AH334" s="1947"/>
      <c r="AI334" s="606"/>
      <c r="AJ334" s="1947"/>
      <c r="AK334" s="86"/>
      <c r="AL334" s="86"/>
      <c r="AM334" s="86"/>
      <c r="AN334" s="86"/>
      <c r="AO334" s="86"/>
      <c r="AP334" s="86"/>
      <c r="AQ334" s="86"/>
      <c r="AR334" s="86"/>
      <c r="AS334" s="86"/>
      <c r="AT334" s="86"/>
      <c r="AU334" s="86"/>
      <c r="AV334" s="86"/>
      <c r="AW334" s="86"/>
      <c r="AX334" s="86"/>
      <c r="AY334" s="86"/>
      <c r="AZ334" s="86"/>
      <c r="BA334" s="86"/>
      <c r="BB334" s="86"/>
      <c r="BC334" s="86"/>
      <c r="BD334" s="86"/>
      <c r="BE334" s="86"/>
      <c r="BF334" s="86"/>
      <c r="BG334" s="86"/>
      <c r="BH334" s="86"/>
      <c r="BI334" s="86"/>
      <c r="BJ334" s="86"/>
      <c r="BK334" s="86"/>
      <c r="BL334" s="86"/>
      <c r="BM334" s="86"/>
      <c r="BN334" s="86"/>
      <c r="BO334" s="86"/>
      <c r="BP334" s="86"/>
      <c r="BQ334" s="86"/>
      <c r="BR334" s="569"/>
      <c r="BS334" s="1064"/>
      <c r="BT334" s="1064"/>
      <c r="BU334" s="1064"/>
      <c r="BV334" s="569"/>
      <c r="BW334" s="1064"/>
      <c r="BX334" s="1064"/>
      <c r="BY334" s="1064"/>
      <c r="BZ334" s="569"/>
      <c r="CA334" s="1064"/>
      <c r="CB334" s="1064"/>
      <c r="CC334" s="1064"/>
      <c r="CD334" s="569"/>
      <c r="CE334" s="1064"/>
      <c r="CF334" s="1064"/>
      <c r="CG334" s="568"/>
      <c r="CH334" s="569"/>
      <c r="CI334" s="1064"/>
      <c r="CJ334" s="1064"/>
      <c r="CK334" s="568"/>
      <c r="CL334">
        <v>192</v>
      </c>
      <c r="CM334">
        <v>196</v>
      </c>
      <c r="CN334">
        <v>201</v>
      </c>
      <c r="CO334">
        <f>781-CL334-CM334-CN334</f>
        <v>192</v>
      </c>
      <c r="CP334">
        <f>180+1+58+4</f>
        <v>243</v>
      </c>
      <c r="CQ334" s="617">
        <f>+CQ310*CQ335</f>
        <v>175.08375000000001</v>
      </c>
      <c r="CR334" s="617">
        <f>+CR310*CR335</f>
        <v>174.685</v>
      </c>
      <c r="CS334" s="617">
        <f>+CS310*CS335</f>
        <v>175.30499999999998</v>
      </c>
      <c r="CT334" s="618"/>
      <c r="CU334" s="617"/>
      <c r="CV334" s="617"/>
      <c r="CW334" s="616"/>
      <c r="CX334" s="618"/>
      <c r="CY334" s="617"/>
      <c r="CZ334" s="617"/>
      <c r="DA334" s="617"/>
      <c r="DB334" s="618"/>
      <c r="DC334" s="617"/>
      <c r="DD334" s="617"/>
      <c r="DE334" s="617"/>
      <c r="DF334" s="617"/>
      <c r="DG334" s="617"/>
      <c r="DH334" s="617"/>
      <c r="DI334" s="617"/>
      <c r="DJ334" s="617"/>
      <c r="DK334" s="617"/>
      <c r="DL334" s="617"/>
      <c r="DM334" s="568"/>
      <c r="DN334" s="568"/>
      <c r="DO334" s="568"/>
      <c r="DP334" s="568"/>
      <c r="DQ334" s="568"/>
      <c r="DR334" s="568"/>
      <c r="DS334" s="568"/>
      <c r="DT334" s="568"/>
      <c r="DU334" s="568"/>
      <c r="DV334" s="568"/>
      <c r="DW334" s="568"/>
      <c r="DX334" s="568"/>
      <c r="DY334" s="568"/>
    </row>
    <row r="335" spans="1:130" ht="15" customHeight="1">
      <c r="A335" s="1607" t="s">
        <v>290</v>
      </c>
      <c r="B335" s="562"/>
      <c r="C335" s="562"/>
      <c r="D335" s="562"/>
      <c r="E335" s="562"/>
      <c r="F335" s="562"/>
      <c r="G335" s="562"/>
      <c r="H335" s="562"/>
      <c r="I335" s="562"/>
      <c r="J335" s="562"/>
      <c r="K335" s="562"/>
      <c r="L335" s="562"/>
      <c r="M335" s="562"/>
      <c r="N335" s="562"/>
      <c r="O335" s="562"/>
      <c r="P335" s="562"/>
      <c r="Q335" s="1065"/>
      <c r="R335" s="562"/>
      <c r="S335" s="971"/>
      <c r="T335" s="1324"/>
      <c r="U335" s="1324"/>
      <c r="V335" s="971"/>
      <c r="W335" s="971"/>
      <c r="X335" s="971"/>
      <c r="Y335" s="971"/>
      <c r="Z335" s="971"/>
      <c r="AA335" s="1324"/>
      <c r="AB335" s="1324"/>
      <c r="AC335" s="1324"/>
      <c r="AD335" s="1324"/>
      <c r="AE335" s="1324"/>
      <c r="AF335" s="1324"/>
      <c r="AG335" s="1324"/>
      <c r="AH335" s="1927"/>
      <c r="AI335" s="606"/>
      <c r="AJ335" s="1927"/>
      <c r="AK335" s="562"/>
      <c r="AL335" s="562"/>
      <c r="AM335" s="562"/>
      <c r="AN335" s="562"/>
      <c r="AO335" s="562"/>
      <c r="AP335" s="562"/>
      <c r="AQ335" s="562"/>
      <c r="AR335" s="562"/>
      <c r="AS335" s="562"/>
      <c r="AT335" s="562"/>
      <c r="AU335" s="562"/>
      <c r="AV335" s="562"/>
      <c r="AW335" s="562"/>
      <c r="AX335" s="562"/>
      <c r="AY335" s="562"/>
      <c r="AZ335" s="562"/>
      <c r="BA335" s="562"/>
      <c r="BB335" s="562"/>
      <c r="BC335" s="562"/>
      <c r="BD335" s="562"/>
      <c r="BE335" s="562"/>
      <c r="BF335" s="562"/>
      <c r="BG335" s="562"/>
      <c r="BH335" s="562"/>
      <c r="BI335" s="562"/>
      <c r="BJ335" s="562"/>
      <c r="BK335" s="562"/>
      <c r="BL335" s="562"/>
      <c r="BM335" s="562"/>
      <c r="BN335" s="562"/>
      <c r="BO335" s="562"/>
      <c r="BP335" s="562"/>
      <c r="BQ335" s="562"/>
      <c r="BR335" s="563"/>
      <c r="BS335" s="1065"/>
      <c r="BT335" s="1065"/>
      <c r="BU335" s="1065"/>
      <c r="BV335" s="563"/>
      <c r="BW335" s="1065"/>
      <c r="BX335" s="1065"/>
      <c r="BY335" s="1065"/>
      <c r="BZ335" s="563"/>
      <c r="CA335" s="1065"/>
      <c r="CB335" s="1065"/>
      <c r="CC335" s="1065"/>
      <c r="CD335" s="563"/>
      <c r="CE335" s="1065"/>
      <c r="CF335" s="1065"/>
      <c r="CG335" s="564"/>
      <c r="CH335" s="563"/>
      <c r="CI335" s="1065"/>
      <c r="CJ335" s="1065"/>
      <c r="CK335" s="564"/>
      <c r="CL335" s="620">
        <f>+CL334/CL306</f>
        <v>0.18532818532818532</v>
      </c>
      <c r="CM335" s="619">
        <f>+CM334/CM306</f>
        <v>0.19121951219512195</v>
      </c>
      <c r="CN335" s="619">
        <f>+CN334/CN306</f>
        <v>0.20333839150227617</v>
      </c>
      <c r="CO335" s="619">
        <f>+CO334/CO306</f>
        <v>0.19886069394096323</v>
      </c>
      <c r="CP335" s="620">
        <f>+CP334/CP306</f>
        <v>0.25471698113207547</v>
      </c>
      <c r="CQ335" s="1059">
        <v>0.25</v>
      </c>
      <c r="CR335" s="1059">
        <f>+CQ335</f>
        <v>0.25</v>
      </c>
      <c r="CS335" s="1059">
        <f>+CR335</f>
        <v>0.25</v>
      </c>
      <c r="CT335" s="165"/>
      <c r="CU335" s="1059"/>
      <c r="CV335" s="1059"/>
      <c r="CW335" s="166"/>
      <c r="CX335" s="165"/>
      <c r="CY335" s="1059"/>
      <c r="CZ335" s="1059"/>
      <c r="DA335" s="1059"/>
      <c r="DB335" s="165"/>
      <c r="DC335" s="1059"/>
      <c r="DD335" s="1059"/>
      <c r="DE335" s="1059"/>
      <c r="DF335" s="1059"/>
      <c r="DG335" s="1059"/>
      <c r="DH335" s="1059"/>
      <c r="DI335" s="1059"/>
      <c r="DJ335" s="1059"/>
      <c r="DK335" s="1059"/>
      <c r="DL335" s="1059"/>
      <c r="DM335" s="564"/>
      <c r="DN335" s="564"/>
      <c r="DO335" s="564"/>
      <c r="DP335" s="564"/>
      <c r="DQ335" s="564"/>
      <c r="DR335" s="564"/>
      <c r="DS335" s="564"/>
      <c r="DT335" s="564"/>
      <c r="DU335" s="564"/>
      <c r="DV335" s="564"/>
      <c r="DW335" s="564"/>
      <c r="DX335" s="564"/>
      <c r="DY335" s="564"/>
    </row>
    <row r="336" spans="1:130" ht="15" customHeight="1">
      <c r="A336" s="1607" t="s">
        <v>288</v>
      </c>
      <c r="B336" s="562"/>
      <c r="C336" s="562"/>
      <c r="D336" s="562"/>
      <c r="E336" s="562"/>
      <c r="F336" s="562"/>
      <c r="G336" s="562"/>
      <c r="H336" s="562"/>
      <c r="I336" s="562"/>
      <c r="J336" s="562"/>
      <c r="K336" s="562"/>
      <c r="L336" s="562"/>
      <c r="M336" s="562"/>
      <c r="N336" s="562"/>
      <c r="O336" s="562"/>
      <c r="P336" s="562"/>
      <c r="Q336" s="1065"/>
      <c r="R336" s="562">
        <f>+R334/Q334-1</f>
        <v>-1.6550896286811945E-2</v>
      </c>
      <c r="S336" s="1246"/>
      <c r="T336" s="1239"/>
      <c r="U336" s="1239"/>
      <c r="V336" s="1246"/>
      <c r="W336" s="1246"/>
      <c r="X336" s="1246"/>
      <c r="Y336" s="1246"/>
      <c r="Z336" s="1246"/>
      <c r="AA336" s="1239"/>
      <c r="AB336" s="1239"/>
      <c r="AC336" s="1239"/>
      <c r="AD336" s="1239"/>
      <c r="AE336" s="1239"/>
      <c r="AF336" s="1239"/>
      <c r="AG336" s="1239"/>
      <c r="AH336" s="1927"/>
      <c r="AI336" s="606"/>
      <c r="AJ336" s="1927"/>
      <c r="AK336" s="562"/>
      <c r="AL336" s="562"/>
      <c r="AM336" s="562"/>
      <c r="AN336" s="562"/>
      <c r="AO336" s="562"/>
      <c r="AP336" s="562"/>
      <c r="AQ336" s="562"/>
      <c r="AR336" s="562"/>
      <c r="AS336" s="562"/>
      <c r="AT336" s="562"/>
      <c r="AU336" s="562"/>
      <c r="AV336" s="562"/>
      <c r="AW336" s="562"/>
      <c r="AX336" s="562"/>
      <c r="AY336" s="562"/>
      <c r="AZ336" s="562"/>
      <c r="BA336" s="562"/>
      <c r="BB336" s="562"/>
      <c r="BC336" s="562"/>
      <c r="BD336" s="562"/>
      <c r="BE336" s="562"/>
      <c r="BF336" s="562"/>
      <c r="BG336" s="562"/>
      <c r="BH336" s="562"/>
      <c r="BI336" s="562"/>
      <c r="BJ336" s="562"/>
      <c r="BK336" s="562"/>
      <c r="BL336" s="562"/>
      <c r="BM336" s="562"/>
      <c r="BN336" s="562"/>
      <c r="BO336" s="562"/>
      <c r="BP336" s="562"/>
      <c r="BQ336" s="562"/>
      <c r="BR336" s="563"/>
      <c r="BS336" s="1065"/>
      <c r="BT336" s="1065"/>
      <c r="BU336" s="1065"/>
      <c r="BV336" s="563"/>
      <c r="BW336" s="1065"/>
      <c r="BX336" s="1065"/>
      <c r="BY336" s="1065"/>
      <c r="BZ336" s="563"/>
      <c r="CA336" s="1065"/>
      <c r="CB336" s="1065"/>
      <c r="CC336" s="1065"/>
      <c r="CD336" s="563"/>
      <c r="CE336" s="1065"/>
      <c r="CF336" s="1065"/>
      <c r="CG336" s="564"/>
      <c r="CH336" s="563"/>
      <c r="CI336" s="1065"/>
      <c r="CJ336" s="1065"/>
      <c r="CK336" s="564"/>
      <c r="CL336" s="620"/>
      <c r="CM336" s="619"/>
      <c r="CN336" s="619"/>
      <c r="CO336" s="619"/>
      <c r="CP336" s="563">
        <f>+CP334/CL334-1</f>
        <v>0.265625</v>
      </c>
      <c r="CQ336" s="1065">
        <f>+CQ334/CM334-1</f>
        <v>-0.10671556122448977</v>
      </c>
      <c r="CR336" s="1065">
        <f>+CR334/CN334-1</f>
        <v>-0.13092039800995026</v>
      </c>
      <c r="CS336" s="1065">
        <f>+CS334/CO334-1</f>
        <v>-8.6953125000000075E-2</v>
      </c>
      <c r="CT336" s="563"/>
      <c r="CU336" s="1065"/>
      <c r="CV336" s="1065"/>
      <c r="CW336" s="564"/>
      <c r="CX336" s="563"/>
      <c r="CY336" s="1065"/>
      <c r="CZ336" s="1065"/>
      <c r="DA336" s="1065"/>
      <c r="DB336" s="563"/>
      <c r="DC336" s="1065"/>
      <c r="DD336" s="1065"/>
      <c r="DE336" s="1065"/>
      <c r="DF336" s="1065"/>
      <c r="DG336" s="1065"/>
      <c r="DH336" s="1065"/>
      <c r="DI336" s="1065"/>
      <c r="DJ336" s="1065"/>
      <c r="DK336" s="1065"/>
      <c r="DL336" s="1065"/>
      <c r="DM336" s="564"/>
      <c r="DN336" s="564"/>
      <c r="DO336" s="564"/>
      <c r="DP336" s="564"/>
      <c r="DQ336" s="564"/>
      <c r="DR336" s="564"/>
      <c r="DS336" s="564"/>
      <c r="DT336" s="564"/>
      <c r="DU336" s="564"/>
      <c r="DV336" s="564"/>
      <c r="DW336" s="564"/>
      <c r="DX336" s="564"/>
      <c r="DY336" s="564"/>
    </row>
    <row r="337" spans="1:129" ht="15" customHeight="1">
      <c r="A337" t="s">
        <v>969</v>
      </c>
      <c r="B337" s="86"/>
      <c r="C337" s="86"/>
      <c r="D337" s="86"/>
      <c r="E337" s="86"/>
      <c r="F337" s="86"/>
      <c r="G337" s="86"/>
      <c r="H337" s="86"/>
      <c r="I337" s="86"/>
      <c r="J337" s="86"/>
      <c r="K337" s="86"/>
      <c r="L337" s="86"/>
      <c r="M337" s="86"/>
      <c r="N337" s="86"/>
      <c r="O337" s="86"/>
      <c r="P337" s="86"/>
      <c r="Q337" s="1070">
        <f>SUM(CL337:CO337)</f>
        <v>1048</v>
      </c>
      <c r="R337" s="217">
        <f>SUM(CP337:CS337)</f>
        <v>-648.028134196373</v>
      </c>
      <c r="S337" s="1333"/>
      <c r="T337" s="1334"/>
      <c r="U337" s="1334"/>
      <c r="V337" s="1333"/>
      <c r="W337" s="1333"/>
      <c r="X337" s="1333"/>
      <c r="Y337" s="1333"/>
      <c r="Z337" s="1333"/>
      <c r="AA337" s="1334"/>
      <c r="AB337" s="1334"/>
      <c r="AC337" s="1334"/>
      <c r="AD337" s="1334"/>
      <c r="AE337" s="1334"/>
      <c r="AF337" s="1334"/>
      <c r="AG337" s="1334"/>
      <c r="AH337" s="1947"/>
      <c r="AI337" s="606"/>
      <c r="AJ337" s="1947"/>
      <c r="AK337" s="86"/>
      <c r="AL337" s="86"/>
      <c r="AM337" s="86"/>
      <c r="AN337" s="86"/>
      <c r="AO337" s="86"/>
      <c r="AP337" s="86"/>
      <c r="AQ337" s="86"/>
      <c r="AR337" s="86"/>
      <c r="AS337" s="86"/>
      <c r="AT337" s="86"/>
      <c r="AU337" s="86"/>
      <c r="AV337" s="86"/>
      <c r="AW337" s="86"/>
      <c r="AX337" s="86"/>
      <c r="AY337" s="86"/>
      <c r="AZ337" s="86"/>
      <c r="BA337" s="86"/>
      <c r="BB337" s="86"/>
      <c r="BC337" s="86"/>
      <c r="BD337" s="86"/>
      <c r="BE337" s="86"/>
      <c r="BF337" s="86"/>
      <c r="BG337" s="86"/>
      <c r="BH337" s="86"/>
      <c r="BI337" s="86"/>
      <c r="BJ337" s="86"/>
      <c r="BK337" s="86"/>
      <c r="BL337" s="86"/>
      <c r="BM337" s="86"/>
      <c r="BN337" s="86"/>
      <c r="BO337" s="86"/>
      <c r="BP337" s="86"/>
      <c r="BQ337" s="86"/>
      <c r="BR337" s="569"/>
      <c r="BS337" s="1064"/>
      <c r="BT337" s="1064"/>
      <c r="BU337" s="1064"/>
      <c r="BV337" s="569"/>
      <c r="BW337" s="1064"/>
      <c r="BX337" s="1064"/>
      <c r="BY337" s="1064"/>
      <c r="BZ337" s="569"/>
      <c r="CA337" s="1064"/>
      <c r="CB337" s="1064"/>
      <c r="CC337" s="1064"/>
      <c r="CD337" s="569"/>
      <c r="CE337" s="1064"/>
      <c r="CF337" s="1064"/>
      <c r="CG337" s="568"/>
      <c r="CH337" s="569"/>
      <c r="CI337" s="1064"/>
      <c r="CJ337" s="1064"/>
      <c r="CK337" s="568"/>
      <c r="CL337" s="607">
        <f t="shared" ref="CL337:CS337" si="433">+CL332-CL334</f>
        <v>284</v>
      </c>
      <c r="CM337" s="1070">
        <f t="shared" si="433"/>
        <v>293</v>
      </c>
      <c r="CN337" s="1070">
        <f t="shared" si="433"/>
        <v>228.5</v>
      </c>
      <c r="CO337" s="1070">
        <f t="shared" si="433"/>
        <v>242.5</v>
      </c>
      <c r="CP337" s="607">
        <f t="shared" si="433"/>
        <v>163</v>
      </c>
      <c r="CQ337" s="1070">
        <f t="shared" si="433"/>
        <v>194.58124999999995</v>
      </c>
      <c r="CR337" s="1070">
        <f t="shared" si="433"/>
        <v>-271.08438419637304</v>
      </c>
      <c r="CS337" s="1070">
        <f t="shared" si="433"/>
        <v>-734.52499999999986</v>
      </c>
      <c r="CT337" s="607"/>
      <c r="CU337" s="1070"/>
      <c r="CV337" s="1070"/>
      <c r="CW337" s="608"/>
      <c r="CX337" s="607"/>
      <c r="CY337" s="1070"/>
      <c r="CZ337" s="1070"/>
      <c r="DA337" s="1070"/>
      <c r="DB337" s="607"/>
      <c r="DC337" s="1070"/>
      <c r="DD337" s="1070"/>
      <c r="DE337" s="1070"/>
      <c r="DF337" s="1070"/>
      <c r="DG337" s="1070"/>
      <c r="DH337" s="1070"/>
      <c r="DI337" s="1070"/>
      <c r="DJ337" s="1070"/>
      <c r="DK337" s="1070"/>
      <c r="DL337" s="1070"/>
      <c r="DM337" s="568"/>
      <c r="DN337" s="568"/>
      <c r="DO337" s="568"/>
      <c r="DP337" s="568"/>
      <c r="DQ337" s="568"/>
      <c r="DR337" s="568"/>
      <c r="DS337" s="568"/>
      <c r="DT337" s="568"/>
      <c r="DU337" s="568"/>
      <c r="DV337" s="568"/>
      <c r="DW337" s="568"/>
      <c r="DX337" s="568"/>
      <c r="DY337" s="568"/>
    </row>
    <row r="338" spans="1:129" ht="15" customHeight="1">
      <c r="A338" s="1603" t="s">
        <v>977</v>
      </c>
      <c r="B338" s="86"/>
      <c r="C338" s="86"/>
      <c r="D338" s="86"/>
      <c r="E338" s="86"/>
      <c r="F338" s="86"/>
      <c r="G338" s="86"/>
      <c r="H338" s="86"/>
      <c r="I338" s="86"/>
      <c r="J338" s="86"/>
      <c r="K338" s="86"/>
      <c r="L338" s="86"/>
      <c r="M338" s="86"/>
      <c r="N338" s="86"/>
      <c r="O338" s="86"/>
      <c r="P338" s="86"/>
      <c r="Q338" s="1070">
        <f>SUM(CL338:CO338)</f>
        <v>199.98</v>
      </c>
      <c r="R338" s="217">
        <f>SUM(CP338:CS338)</f>
        <v>199.98</v>
      </c>
      <c r="S338" s="1333"/>
      <c r="T338" s="1334"/>
      <c r="U338" s="1334"/>
      <c r="V338" s="1333"/>
      <c r="W338" s="1333"/>
      <c r="X338" s="1333"/>
      <c r="Y338" s="1333"/>
      <c r="Z338" s="1333"/>
      <c r="AA338" s="1334"/>
      <c r="AB338" s="1334"/>
      <c r="AC338" s="1334"/>
      <c r="AD338" s="1334"/>
      <c r="AE338" s="1334"/>
      <c r="AF338" s="1334"/>
      <c r="AG338" s="1334"/>
      <c r="AH338" s="1947"/>
      <c r="AI338" s="606"/>
      <c r="AJ338" s="1947"/>
      <c r="AK338" s="86"/>
      <c r="AL338" s="86"/>
      <c r="AM338" s="86"/>
      <c r="AN338" s="86"/>
      <c r="AO338" s="86"/>
      <c r="AP338" s="86"/>
      <c r="AQ338" s="86"/>
      <c r="AR338" s="86"/>
      <c r="AS338" s="86"/>
      <c r="AT338" s="86"/>
      <c r="AU338" s="86"/>
      <c r="AV338" s="86"/>
      <c r="AW338" s="86"/>
      <c r="AX338" s="86"/>
      <c r="AY338" s="86"/>
      <c r="AZ338" s="86"/>
      <c r="BA338" s="86"/>
      <c r="BB338" s="86"/>
      <c r="BC338" s="86"/>
      <c r="BD338" s="86"/>
      <c r="BE338" s="86"/>
      <c r="BF338" s="86"/>
      <c r="BG338" s="86"/>
      <c r="BH338" s="86"/>
      <c r="BI338" s="86"/>
      <c r="BJ338" s="86"/>
      <c r="BK338" s="86"/>
      <c r="BL338" s="86"/>
      <c r="BM338" s="86"/>
      <c r="BN338" s="86"/>
      <c r="BO338" s="86"/>
      <c r="BP338" s="86"/>
      <c r="BQ338" s="86"/>
      <c r="BR338" s="569"/>
      <c r="BS338" s="1064"/>
      <c r="BT338" s="1064"/>
      <c r="BU338" s="1064"/>
      <c r="BV338" s="569"/>
      <c r="BW338" s="1064"/>
      <c r="BX338" s="1064"/>
      <c r="BY338" s="1064"/>
      <c r="BZ338" s="569"/>
      <c r="CA338" s="1064"/>
      <c r="CB338" s="1064"/>
      <c r="CC338" s="1064"/>
      <c r="CD338" s="569"/>
      <c r="CE338" s="1064"/>
      <c r="CF338" s="1064"/>
      <c r="CG338" s="568"/>
      <c r="CH338" s="569"/>
      <c r="CI338" s="1064"/>
      <c r="CJ338" s="1064"/>
      <c r="CK338" s="568"/>
      <c r="CL338" s="607">
        <f t="shared" ref="CL338:CS338" si="434">+CL339*CL340/4</f>
        <v>49.994999999999997</v>
      </c>
      <c r="CM338" s="1070">
        <f t="shared" si="434"/>
        <v>49.994999999999997</v>
      </c>
      <c r="CN338" s="1070">
        <f t="shared" si="434"/>
        <v>49.994999999999997</v>
      </c>
      <c r="CO338" s="1070">
        <f t="shared" si="434"/>
        <v>49.994999999999997</v>
      </c>
      <c r="CP338" s="607">
        <f t="shared" si="434"/>
        <v>49.994999999999997</v>
      </c>
      <c r="CQ338" s="1070">
        <f t="shared" si="434"/>
        <v>49.994999999999997</v>
      </c>
      <c r="CR338" s="1070">
        <f t="shared" si="434"/>
        <v>49.994999999999997</v>
      </c>
      <c r="CS338" s="1070">
        <f t="shared" si="434"/>
        <v>49.994999999999997</v>
      </c>
      <c r="CT338" s="607"/>
      <c r="CU338" s="1070"/>
      <c r="CV338" s="1070"/>
      <c r="CW338" s="608"/>
      <c r="CX338" s="607"/>
      <c r="CY338" s="1070"/>
      <c r="CZ338" s="1070"/>
      <c r="DA338" s="1070"/>
      <c r="DB338" s="607"/>
      <c r="DC338" s="1070"/>
      <c r="DD338" s="1070"/>
      <c r="DE338" s="1070"/>
      <c r="DF338" s="1070"/>
      <c r="DG338" s="1070"/>
      <c r="DH338" s="1070"/>
      <c r="DI338" s="1070"/>
      <c r="DJ338" s="1070"/>
      <c r="DK338" s="1070"/>
      <c r="DL338" s="1070"/>
      <c r="DM338" s="568"/>
      <c r="DN338" s="568"/>
      <c r="DO338" s="568"/>
      <c r="DP338" s="568"/>
      <c r="DQ338" s="568"/>
      <c r="DR338" s="568"/>
      <c r="DS338" s="568"/>
      <c r="DT338" s="568"/>
      <c r="DU338" s="568"/>
      <c r="DV338" s="568"/>
      <c r="DW338" s="568"/>
      <c r="DX338" s="568"/>
      <c r="DY338" s="568"/>
    </row>
    <row r="339" spans="1:129" ht="15" customHeight="1">
      <c r="A339" s="1603" t="s">
        <v>1099</v>
      </c>
      <c r="B339" s="86"/>
      <c r="C339" s="86"/>
      <c r="D339" s="86"/>
      <c r="E339" s="86"/>
      <c r="F339" s="86"/>
      <c r="G339" s="86"/>
      <c r="H339" s="86"/>
      <c r="I339" s="86"/>
      <c r="J339" s="86"/>
      <c r="K339" s="86"/>
      <c r="L339" s="86"/>
      <c r="M339" s="86"/>
      <c r="N339" s="86"/>
      <c r="O339" s="86"/>
      <c r="P339" s="86"/>
      <c r="Q339" s="1070">
        <f>+CO339</f>
        <v>3333</v>
      </c>
      <c r="R339" s="217">
        <f>+CS339</f>
        <v>3333</v>
      </c>
      <c r="S339" s="1333"/>
      <c r="T339" s="1334"/>
      <c r="U339" s="1334"/>
      <c r="V339" s="1333"/>
      <c r="W339" s="1333"/>
      <c r="X339" s="1333"/>
      <c r="Y339" s="1333"/>
      <c r="Z339" s="1333"/>
      <c r="AA339" s="1334"/>
      <c r="AB339" s="1334"/>
      <c r="AC339" s="1334"/>
      <c r="AD339" s="1334"/>
      <c r="AE339" s="1334"/>
      <c r="AF339" s="1334"/>
      <c r="AG339" s="1334"/>
      <c r="AH339" s="1947"/>
      <c r="AI339" s="606"/>
      <c r="AJ339" s="1947"/>
      <c r="AK339" s="86"/>
      <c r="AL339" s="86"/>
      <c r="AM339" s="86"/>
      <c r="AN339" s="86"/>
      <c r="AO339" s="86"/>
      <c r="AP339" s="86"/>
      <c r="AQ339" s="86"/>
      <c r="AR339" s="86"/>
      <c r="AS339" s="86"/>
      <c r="AT339" s="86"/>
      <c r="AU339" s="86"/>
      <c r="AV339" s="86"/>
      <c r="AW339" s="86"/>
      <c r="AX339" s="86"/>
      <c r="AY339" s="86"/>
      <c r="AZ339" s="86"/>
      <c r="BA339" s="86"/>
      <c r="BB339" s="86"/>
      <c r="BC339" s="86"/>
      <c r="BD339" s="86"/>
      <c r="BE339" s="86"/>
      <c r="BF339" s="86"/>
      <c r="BG339" s="86"/>
      <c r="BH339" s="86"/>
      <c r="BI339" s="86"/>
      <c r="BJ339" s="86"/>
      <c r="BK339" s="86"/>
      <c r="BL339" s="86"/>
      <c r="BM339" s="86"/>
      <c r="BN339" s="86"/>
      <c r="BO339" s="86"/>
      <c r="BP339" s="86"/>
      <c r="BQ339" s="86"/>
      <c r="BR339" s="569"/>
      <c r="BS339" s="1064"/>
      <c r="BT339" s="1064"/>
      <c r="BU339" s="1064"/>
      <c r="BV339" s="569"/>
      <c r="BW339" s="1064"/>
      <c r="BX339" s="1064"/>
      <c r="BY339" s="1064"/>
      <c r="BZ339" s="569"/>
      <c r="CA339" s="1064"/>
      <c r="CB339" s="1064"/>
      <c r="CC339" s="1064"/>
      <c r="CD339" s="569"/>
      <c r="CE339" s="1064"/>
      <c r="CF339" s="1064"/>
      <c r="CG339" s="568"/>
      <c r="CH339" s="569"/>
      <c r="CI339" s="1064"/>
      <c r="CJ339" s="1064"/>
      <c r="CK339" s="568"/>
      <c r="CL339">
        <v>3333</v>
      </c>
      <c r="CM339">
        <f t="shared" ref="CM339:CS340" si="435">+CL339</f>
        <v>3333</v>
      </c>
      <c r="CN339">
        <f t="shared" si="435"/>
        <v>3333</v>
      </c>
      <c r="CO339">
        <f t="shared" si="435"/>
        <v>3333</v>
      </c>
      <c r="CP339">
        <f t="shared" si="435"/>
        <v>3333</v>
      </c>
      <c r="CQ339">
        <f t="shared" si="435"/>
        <v>3333</v>
      </c>
      <c r="CR339">
        <f t="shared" si="435"/>
        <v>3333</v>
      </c>
      <c r="CS339">
        <f t="shared" si="435"/>
        <v>3333</v>
      </c>
      <c r="DG339"/>
      <c r="DH339"/>
      <c r="DI339"/>
      <c r="DJ339"/>
      <c r="DK339"/>
      <c r="DL339"/>
      <c r="DM339" s="568"/>
      <c r="DN339" s="568"/>
      <c r="DO339" s="568"/>
      <c r="DP339" s="568"/>
      <c r="DQ339" s="568"/>
      <c r="DR339" s="568"/>
      <c r="DS339" s="568"/>
      <c r="DT339" s="568"/>
      <c r="DU339" s="568"/>
      <c r="DV339" s="568"/>
      <c r="DW339" s="568"/>
      <c r="DX339" s="568"/>
      <c r="DY339" s="568"/>
    </row>
    <row r="340" spans="1:129" ht="15" customHeight="1">
      <c r="A340" s="1603" t="s">
        <v>298</v>
      </c>
      <c r="B340" s="562"/>
      <c r="C340" s="562"/>
      <c r="D340" s="562"/>
      <c r="E340" s="562"/>
      <c r="F340" s="562"/>
      <c r="G340" s="562"/>
      <c r="H340" s="562"/>
      <c r="I340" s="562"/>
      <c r="J340" s="562"/>
      <c r="K340" s="562"/>
      <c r="L340" s="562"/>
      <c r="M340" s="562"/>
      <c r="N340" s="562"/>
      <c r="O340" s="562"/>
      <c r="P340" s="562"/>
      <c r="Q340" s="1065">
        <f>+Q338/Q339</f>
        <v>0.06</v>
      </c>
      <c r="R340" s="562">
        <f>+R338/R339</f>
        <v>0.06</v>
      </c>
      <c r="S340" s="971"/>
      <c r="T340" s="1324"/>
      <c r="U340" s="1324"/>
      <c r="V340" s="971"/>
      <c r="W340" s="971"/>
      <c r="X340" s="971"/>
      <c r="Y340" s="971"/>
      <c r="Z340" s="971"/>
      <c r="AA340" s="1324"/>
      <c r="AB340" s="1324"/>
      <c r="AC340" s="1324"/>
      <c r="AD340" s="1324"/>
      <c r="AE340" s="1324"/>
      <c r="AF340" s="1324"/>
      <c r="AG340" s="1324"/>
      <c r="AH340" s="1927"/>
      <c r="AI340" s="606"/>
      <c r="AJ340" s="1927"/>
      <c r="AK340" s="562"/>
      <c r="AL340" s="562"/>
      <c r="AM340" s="562"/>
      <c r="AN340" s="562"/>
      <c r="AO340" s="562"/>
      <c r="AP340" s="562"/>
      <c r="AQ340" s="562"/>
      <c r="AR340" s="562"/>
      <c r="AS340" s="562"/>
      <c r="AT340" s="562"/>
      <c r="AU340" s="562"/>
      <c r="AV340" s="562"/>
      <c r="AW340" s="562"/>
      <c r="AX340" s="562"/>
      <c r="AY340" s="562"/>
      <c r="AZ340" s="562"/>
      <c r="BA340" s="562"/>
      <c r="BB340" s="562"/>
      <c r="BC340" s="562"/>
      <c r="BD340" s="562"/>
      <c r="BE340" s="562"/>
      <c r="BF340" s="562"/>
      <c r="BG340" s="562"/>
      <c r="BH340" s="562"/>
      <c r="BI340" s="562"/>
      <c r="BJ340" s="562"/>
      <c r="BK340" s="562"/>
      <c r="BL340" s="562"/>
      <c r="BM340" s="562"/>
      <c r="BN340" s="562"/>
      <c r="BO340" s="562"/>
      <c r="BP340" s="562"/>
      <c r="BQ340" s="562"/>
      <c r="BR340" s="563"/>
      <c r="BS340" s="1065"/>
      <c r="BT340" s="1065"/>
      <c r="BU340" s="1065"/>
      <c r="BV340" s="563"/>
      <c r="BW340" s="1065"/>
      <c r="BX340" s="1065"/>
      <c r="BY340" s="1065"/>
      <c r="BZ340" s="563"/>
      <c r="CA340" s="1065"/>
      <c r="CB340" s="1065"/>
      <c r="CC340" s="1065"/>
      <c r="CD340" s="563"/>
      <c r="CE340" s="1065"/>
      <c r="CF340" s="1065"/>
      <c r="CG340" s="564"/>
      <c r="CH340" s="563"/>
      <c r="CI340" s="1065"/>
      <c r="CJ340" s="1065"/>
      <c r="CK340" s="564"/>
      <c r="CL340" s="156">
        <v>0.06</v>
      </c>
      <c r="CM340" s="1300">
        <f t="shared" si="435"/>
        <v>0.06</v>
      </c>
      <c r="CN340" s="1300">
        <f t="shared" si="435"/>
        <v>0.06</v>
      </c>
      <c r="CO340" s="1300">
        <f t="shared" si="435"/>
        <v>0.06</v>
      </c>
      <c r="CP340" s="623">
        <f t="shared" si="435"/>
        <v>0.06</v>
      </c>
      <c r="CQ340" s="1300">
        <f t="shared" si="435"/>
        <v>0.06</v>
      </c>
      <c r="CR340" s="1300">
        <f t="shared" si="435"/>
        <v>0.06</v>
      </c>
      <c r="CS340" s="1300">
        <f t="shared" si="435"/>
        <v>0.06</v>
      </c>
      <c r="CT340" s="623"/>
      <c r="CU340" s="1300"/>
      <c r="CV340" s="1300"/>
      <c r="CW340" s="624"/>
      <c r="CX340" s="623"/>
      <c r="CY340" s="1300"/>
      <c r="CZ340" s="1300"/>
      <c r="DA340" s="1300"/>
      <c r="DB340" s="623"/>
      <c r="DC340" s="1300"/>
      <c r="DD340" s="1300"/>
      <c r="DE340" s="1300"/>
      <c r="DF340" s="1300"/>
      <c r="DG340" s="1300"/>
      <c r="DH340" s="1300"/>
      <c r="DI340" s="1300"/>
      <c r="DJ340" s="1300"/>
      <c r="DK340" s="1300"/>
      <c r="DL340" s="1300"/>
      <c r="DM340" s="564"/>
      <c r="DN340" s="564"/>
      <c r="DO340" s="564"/>
      <c r="DP340" s="564"/>
      <c r="DQ340" s="564"/>
      <c r="DR340" s="564"/>
      <c r="DS340" s="564"/>
      <c r="DT340" s="564"/>
      <c r="DU340" s="564"/>
      <c r="DV340" s="564"/>
      <c r="DW340" s="564"/>
      <c r="DX340" s="564"/>
      <c r="DY340" s="564"/>
    </row>
    <row r="341" spans="1:129" ht="15" customHeight="1">
      <c r="A341" s="1603"/>
      <c r="B341" s="86"/>
      <c r="C341" s="86"/>
      <c r="D341" s="86"/>
      <c r="E341" s="86"/>
      <c r="F341" s="86"/>
      <c r="G341" s="86"/>
      <c r="H341" s="86"/>
      <c r="I341" s="86"/>
      <c r="J341" s="86"/>
      <c r="K341" s="86"/>
      <c r="L341" s="86"/>
      <c r="M341" s="86"/>
      <c r="N341" s="86"/>
      <c r="O341" s="86"/>
      <c r="P341" s="86"/>
      <c r="Q341" s="1064"/>
      <c r="R341" s="86"/>
      <c r="S341" s="795"/>
      <c r="T341" s="1319"/>
      <c r="U341" s="1319"/>
      <c r="V341" s="795"/>
      <c r="W341" s="795"/>
      <c r="X341" s="795"/>
      <c r="Y341" s="795"/>
      <c r="Z341" s="795"/>
      <c r="AA341" s="1319"/>
      <c r="AB341" s="1319"/>
      <c r="AC341" s="1319"/>
      <c r="AD341" s="1319"/>
      <c r="AE341" s="1319"/>
      <c r="AF341" s="1319"/>
      <c r="AG341" s="1319"/>
      <c r="AH341" s="1947"/>
      <c r="AI341" s="606"/>
      <c r="AJ341" s="1947"/>
      <c r="AK341" s="86"/>
      <c r="AL341" s="86"/>
      <c r="AM341" s="86"/>
      <c r="AN341" s="86"/>
      <c r="AO341" s="86"/>
      <c r="AP341" s="86"/>
      <c r="AQ341" s="86"/>
      <c r="AR341" s="86"/>
      <c r="AS341" s="86"/>
      <c r="AT341" s="86"/>
      <c r="AU341" s="86"/>
      <c r="AV341" s="86"/>
      <c r="AW341" s="86"/>
      <c r="AX341" s="86"/>
      <c r="AY341" s="86"/>
      <c r="AZ341" s="86"/>
      <c r="BA341" s="86"/>
      <c r="BB341" s="86"/>
      <c r="BC341" s="86"/>
      <c r="BD341" s="86"/>
      <c r="BE341" s="86"/>
      <c r="BF341" s="86"/>
      <c r="BG341" s="86"/>
      <c r="BH341" s="86"/>
      <c r="BI341" s="86"/>
      <c r="BJ341" s="86"/>
      <c r="BK341" s="86"/>
      <c r="BL341" s="86"/>
      <c r="BM341" s="86"/>
      <c r="BN341" s="86"/>
      <c r="BO341" s="86"/>
      <c r="BP341" s="86"/>
      <c r="BQ341" s="86"/>
      <c r="BR341" s="569"/>
      <c r="BS341" s="1064"/>
      <c r="BT341" s="1064"/>
      <c r="BU341" s="1064"/>
      <c r="BV341" s="569"/>
      <c r="BW341" s="1064"/>
      <c r="BX341" s="1064"/>
      <c r="BY341" s="1064"/>
      <c r="BZ341" s="569"/>
      <c r="CA341" s="1064"/>
      <c r="CB341" s="1064"/>
      <c r="CC341" s="1064"/>
      <c r="CD341" s="569"/>
      <c r="CE341" s="1064"/>
      <c r="CF341" s="1064"/>
      <c r="CG341" s="568"/>
      <c r="CH341" s="569"/>
      <c r="CI341" s="1064"/>
      <c r="CJ341" s="1064"/>
      <c r="CK341" s="568"/>
      <c r="CL341" s="569"/>
      <c r="CM341" s="1064"/>
      <c r="CN341" s="1064"/>
      <c r="CO341" s="1064"/>
      <c r="CP341" s="569"/>
      <c r="CQ341" s="1064"/>
      <c r="CR341" s="1064"/>
      <c r="CS341" s="1064"/>
      <c r="CT341" s="569"/>
      <c r="CU341" s="1064"/>
      <c r="CV341" s="1064"/>
      <c r="CW341" s="568"/>
      <c r="CX341" s="569"/>
      <c r="CY341" s="1064"/>
      <c r="CZ341" s="1064"/>
      <c r="DA341" s="1064"/>
      <c r="DB341" s="569"/>
      <c r="DC341" s="1064"/>
      <c r="DD341" s="1064"/>
      <c r="DE341" s="1064"/>
      <c r="DF341" s="1064"/>
      <c r="DG341" s="1064"/>
      <c r="DH341" s="1064"/>
      <c r="DI341" s="1064"/>
      <c r="DJ341" s="1064"/>
      <c r="DK341" s="1064"/>
      <c r="DL341" s="1064"/>
      <c r="DM341" s="568"/>
      <c r="DN341" s="568"/>
      <c r="DO341" s="568"/>
      <c r="DP341" s="568"/>
      <c r="DQ341" s="568"/>
      <c r="DR341" s="568"/>
      <c r="DS341" s="568"/>
      <c r="DT341" s="568"/>
      <c r="DU341" s="568"/>
      <c r="DV341" s="568"/>
      <c r="DW341" s="568"/>
      <c r="DX341" s="568"/>
      <c r="DY341" s="568"/>
    </row>
    <row r="342" spans="1:129" ht="15" customHeight="1">
      <c r="A342" s="1603" t="s">
        <v>299</v>
      </c>
      <c r="B342" s="86"/>
      <c r="C342" s="86"/>
      <c r="D342" s="86"/>
      <c r="E342" s="86"/>
      <c r="F342" s="86"/>
      <c r="G342" s="86"/>
      <c r="H342" s="86"/>
      <c r="I342" s="86"/>
      <c r="J342" s="86"/>
      <c r="K342" s="86"/>
      <c r="L342" s="86"/>
      <c r="M342" s="86"/>
      <c r="N342" s="86"/>
      <c r="O342" s="86"/>
      <c r="P342" s="86"/>
      <c r="Q342" s="1070">
        <f>SUM(CL342:CO342)</f>
        <v>848.02</v>
      </c>
      <c r="R342" s="217">
        <f>SUM(CP342:CS342)</f>
        <v>-848.00813419637302</v>
      </c>
      <c r="S342" s="1333"/>
      <c r="T342" s="1334"/>
      <c r="U342" s="1334"/>
      <c r="V342" s="1333"/>
      <c r="W342" s="1333"/>
      <c r="X342" s="1333"/>
      <c r="Y342" s="1333"/>
      <c r="Z342" s="1333"/>
      <c r="AA342" s="1334"/>
      <c r="AB342" s="1334"/>
      <c r="AC342" s="1334"/>
      <c r="AD342" s="1334"/>
      <c r="AE342" s="1334"/>
      <c r="AF342" s="1334"/>
      <c r="AG342" s="1334"/>
      <c r="AH342" s="1947"/>
      <c r="AI342" s="606"/>
      <c r="AJ342" s="1947"/>
      <c r="AK342" s="86"/>
      <c r="AL342" s="86"/>
      <c r="AM342" s="86"/>
      <c r="AN342" s="86"/>
      <c r="AO342" s="86"/>
      <c r="AP342" s="86"/>
      <c r="AQ342" s="86"/>
      <c r="AR342" s="86"/>
      <c r="AS342" s="86"/>
      <c r="AT342" s="86"/>
      <c r="AU342" s="86"/>
      <c r="AV342" s="86"/>
      <c r="AW342" s="86"/>
      <c r="AX342" s="86"/>
      <c r="AY342" s="86"/>
      <c r="AZ342" s="86"/>
      <c r="BA342" s="86"/>
      <c r="BB342" s="86"/>
      <c r="BC342" s="86"/>
      <c r="BD342" s="86"/>
      <c r="BE342" s="86"/>
      <c r="BF342" s="86"/>
      <c r="BG342" s="86"/>
      <c r="BH342" s="86"/>
      <c r="BI342" s="86"/>
      <c r="BJ342" s="86"/>
      <c r="BK342" s="86"/>
      <c r="BL342" s="86"/>
      <c r="BM342" s="86"/>
      <c r="BN342" s="86"/>
      <c r="BO342" s="86"/>
      <c r="BP342" s="86"/>
      <c r="BQ342" s="86"/>
      <c r="BR342" s="569"/>
      <c r="BS342" s="1064"/>
      <c r="BT342" s="1064"/>
      <c r="BU342" s="1064"/>
      <c r="BV342" s="569"/>
      <c r="BW342" s="1064"/>
      <c r="BX342" s="1064"/>
      <c r="BY342" s="1064"/>
      <c r="BZ342" s="569"/>
      <c r="CA342" s="1064"/>
      <c r="CB342" s="1064"/>
      <c r="CC342" s="1064"/>
      <c r="CD342" s="569"/>
      <c r="CE342" s="1064"/>
      <c r="CF342" s="1064"/>
      <c r="CG342" s="568"/>
      <c r="CH342" s="569"/>
      <c r="CI342" s="1064"/>
      <c r="CJ342" s="1064"/>
      <c r="CK342" s="568"/>
      <c r="CL342" s="607">
        <f t="shared" ref="CL342:CS342" si="436">+CL337-CL338</f>
        <v>234.005</v>
      </c>
      <c r="CM342" s="1070">
        <f t="shared" si="436"/>
        <v>243.005</v>
      </c>
      <c r="CN342" s="1070">
        <f t="shared" si="436"/>
        <v>178.505</v>
      </c>
      <c r="CO342" s="1070">
        <f t="shared" si="436"/>
        <v>192.505</v>
      </c>
      <c r="CP342" s="607">
        <f t="shared" si="436"/>
        <v>113.005</v>
      </c>
      <c r="CQ342" s="1070">
        <f t="shared" si="436"/>
        <v>144.58624999999995</v>
      </c>
      <c r="CR342" s="1070">
        <f t="shared" si="436"/>
        <v>-321.07938419637304</v>
      </c>
      <c r="CS342" s="1070">
        <f t="shared" si="436"/>
        <v>-784.51999999999987</v>
      </c>
      <c r="CT342" s="607"/>
      <c r="CU342" s="1070"/>
      <c r="CV342" s="1070"/>
      <c r="CW342" s="608"/>
      <c r="CX342" s="607"/>
      <c r="CY342" s="1070"/>
      <c r="CZ342" s="1070"/>
      <c r="DA342" s="1070"/>
      <c r="DB342" s="607"/>
      <c r="DC342" s="1070"/>
      <c r="DD342" s="1070"/>
      <c r="DE342" s="1070"/>
      <c r="DF342" s="1070"/>
      <c r="DG342" s="1070"/>
      <c r="DH342" s="1070"/>
      <c r="DI342" s="1070"/>
      <c r="DJ342" s="1070"/>
      <c r="DK342" s="1070"/>
      <c r="DL342" s="1070"/>
      <c r="DM342" s="568"/>
      <c r="DN342" s="568"/>
      <c r="DO342" s="568"/>
      <c r="DP342" s="568"/>
      <c r="DQ342" s="568"/>
      <c r="DR342" s="568"/>
      <c r="DS342" s="568"/>
      <c r="DT342" s="568"/>
      <c r="DU342" s="568"/>
      <c r="DV342" s="568"/>
      <c r="DW342" s="568"/>
      <c r="DX342" s="568"/>
      <c r="DY342" s="568"/>
    </row>
    <row r="343" spans="1:129" ht="15" customHeight="1">
      <c r="A343" s="1611" t="s">
        <v>300</v>
      </c>
      <c r="B343" s="86"/>
      <c r="C343" s="86"/>
      <c r="D343" s="86"/>
      <c r="E343" s="86"/>
      <c r="F343" s="86"/>
      <c r="G343" s="86"/>
      <c r="H343" s="86"/>
      <c r="I343" s="86"/>
      <c r="J343" s="86"/>
      <c r="K343" s="86"/>
      <c r="L343" s="86"/>
      <c r="M343" s="86"/>
      <c r="N343" s="86"/>
      <c r="O343" s="86"/>
      <c r="P343" s="86"/>
      <c r="Q343" s="1070">
        <f>SUM(CL343:CO343)</f>
        <v>254.40600000000001</v>
      </c>
      <c r="R343" s="217">
        <f>SUM(CP343:CS343)</f>
        <v>-212.00203354909326</v>
      </c>
      <c r="S343" s="1333"/>
      <c r="T343" s="1334"/>
      <c r="U343" s="1334"/>
      <c r="V343" s="1333"/>
      <c r="W343" s="1333"/>
      <c r="X343" s="1333"/>
      <c r="Y343" s="1333"/>
      <c r="Z343" s="1333"/>
      <c r="AA343" s="1334"/>
      <c r="AB343" s="1334"/>
      <c r="AC343" s="1334"/>
      <c r="AD343" s="1334"/>
      <c r="AE343" s="1334"/>
      <c r="AF343" s="1334"/>
      <c r="AG343" s="1334"/>
      <c r="AH343" s="1947"/>
      <c r="AI343" s="606"/>
      <c r="AJ343" s="1947"/>
      <c r="AK343" s="86"/>
      <c r="AL343" s="86"/>
      <c r="AM343" s="86"/>
      <c r="AN343" s="86"/>
      <c r="AO343" s="86"/>
      <c r="AP343" s="86"/>
      <c r="AQ343" s="86"/>
      <c r="AR343" s="86"/>
      <c r="AS343" s="86"/>
      <c r="AT343" s="86"/>
      <c r="AU343" s="86"/>
      <c r="AV343" s="86"/>
      <c r="AW343" s="86"/>
      <c r="AX343" s="86"/>
      <c r="AY343" s="86"/>
      <c r="AZ343" s="86"/>
      <c r="BA343" s="86"/>
      <c r="BB343" s="86"/>
      <c r="BC343" s="86"/>
      <c r="BD343" s="86"/>
      <c r="BE343" s="86"/>
      <c r="BF343" s="86"/>
      <c r="BG343" s="86"/>
      <c r="BH343" s="86"/>
      <c r="BI343" s="86"/>
      <c r="BJ343" s="86"/>
      <c r="BK343" s="86"/>
      <c r="BL343" s="86"/>
      <c r="BM343" s="86"/>
      <c r="BN343" s="86"/>
      <c r="BO343" s="86"/>
      <c r="BP343" s="86"/>
      <c r="BQ343" s="86"/>
      <c r="BR343" s="569"/>
      <c r="BS343" s="1064"/>
      <c r="BT343" s="1064"/>
      <c r="BU343" s="1064"/>
      <c r="BV343" s="569"/>
      <c r="BW343" s="1064"/>
      <c r="BX343" s="1064"/>
      <c r="BY343" s="1064"/>
      <c r="BZ343" s="569"/>
      <c r="CA343" s="1064"/>
      <c r="CB343" s="1064"/>
      <c r="CC343" s="1064"/>
      <c r="CD343" s="569"/>
      <c r="CE343" s="1064"/>
      <c r="CF343" s="1064"/>
      <c r="CG343" s="568"/>
      <c r="CH343" s="569"/>
      <c r="CI343" s="1064"/>
      <c r="CJ343" s="1064"/>
      <c r="CK343" s="568"/>
      <c r="CL343" s="607">
        <f t="shared" ref="CL343:CS343" si="437">+CL342*CL344</f>
        <v>70.201499999999996</v>
      </c>
      <c r="CM343" s="1070">
        <f t="shared" si="437"/>
        <v>72.901499999999999</v>
      </c>
      <c r="CN343" s="1070">
        <f t="shared" si="437"/>
        <v>53.551499999999997</v>
      </c>
      <c r="CO343" s="1070">
        <f t="shared" si="437"/>
        <v>57.751499999999993</v>
      </c>
      <c r="CP343" s="607">
        <f t="shared" si="437"/>
        <v>28.251249999999999</v>
      </c>
      <c r="CQ343" s="1070">
        <f t="shared" si="437"/>
        <v>36.146562499999987</v>
      </c>
      <c r="CR343" s="1070">
        <f t="shared" si="437"/>
        <v>-80.26984604909326</v>
      </c>
      <c r="CS343" s="1070">
        <f t="shared" si="437"/>
        <v>-196.12999999999997</v>
      </c>
      <c r="CT343" s="607"/>
      <c r="CU343" s="1070"/>
      <c r="CV343" s="1070"/>
      <c r="CW343" s="608"/>
      <c r="CX343" s="607"/>
      <c r="CY343" s="1070"/>
      <c r="CZ343" s="1070"/>
      <c r="DA343" s="1070"/>
      <c r="DB343" s="607"/>
      <c r="DC343" s="1070"/>
      <c r="DD343" s="1070"/>
      <c r="DE343" s="1070"/>
      <c r="DF343" s="1070"/>
      <c r="DG343" s="1070"/>
      <c r="DH343" s="1070"/>
      <c r="DI343" s="1070"/>
      <c r="DJ343" s="1070"/>
      <c r="DK343" s="1070"/>
      <c r="DL343" s="1070"/>
      <c r="DM343" s="568"/>
      <c r="DN343" s="568"/>
      <c r="DO343" s="568"/>
      <c r="DP343" s="568"/>
      <c r="DQ343" s="568"/>
      <c r="DR343" s="568"/>
      <c r="DS343" s="568"/>
      <c r="DT343" s="568"/>
      <c r="DU343" s="568"/>
      <c r="DV343" s="568"/>
      <c r="DW343" s="568"/>
      <c r="DX343" s="568"/>
      <c r="DY343" s="568"/>
    </row>
    <row r="344" spans="1:129" ht="15" customHeight="1">
      <c r="A344" s="1607" t="s">
        <v>301</v>
      </c>
      <c r="B344" s="562"/>
      <c r="C344" s="562"/>
      <c r="D344" s="562"/>
      <c r="E344" s="562"/>
      <c r="F344" s="562"/>
      <c r="G344" s="562"/>
      <c r="H344" s="562"/>
      <c r="I344" s="562"/>
      <c r="J344" s="562"/>
      <c r="K344" s="562"/>
      <c r="L344" s="562"/>
      <c r="M344" s="562"/>
      <c r="N344" s="562"/>
      <c r="O344" s="562"/>
      <c r="P344" s="562"/>
      <c r="Q344" s="1065">
        <f>+Q343/Q342</f>
        <v>0.3</v>
      </c>
      <c r="R344" s="562">
        <f>+R343/R342</f>
        <v>0.25</v>
      </c>
      <c r="S344" s="971"/>
      <c r="T344" s="1324"/>
      <c r="U344" s="1324"/>
      <c r="V344" s="971"/>
      <c r="W344" s="971"/>
      <c r="X344" s="971"/>
      <c r="Y344" s="971"/>
      <c r="Z344" s="971"/>
      <c r="AA344" s="1324"/>
      <c r="AB344" s="1324"/>
      <c r="AC344" s="1324"/>
      <c r="AD344" s="1324"/>
      <c r="AE344" s="1324"/>
      <c r="AF344" s="1324"/>
      <c r="AG344" s="1324"/>
      <c r="AH344" s="1927"/>
      <c r="AI344" s="606"/>
      <c r="AJ344" s="1927"/>
      <c r="AK344" s="562"/>
      <c r="AL344" s="562"/>
      <c r="AM344" s="562"/>
      <c r="AN344" s="562"/>
      <c r="AO344" s="562"/>
      <c r="AP344" s="562"/>
      <c r="AQ344" s="562"/>
      <c r="AR344" s="562"/>
      <c r="AS344" s="562"/>
      <c r="AT344" s="562"/>
      <c r="AU344" s="562"/>
      <c r="AV344" s="562"/>
      <c r="AW344" s="562"/>
      <c r="AX344" s="562"/>
      <c r="AY344" s="562"/>
      <c r="AZ344" s="562"/>
      <c r="BA344" s="562"/>
      <c r="BB344" s="562"/>
      <c r="BC344" s="562"/>
      <c r="BD344" s="562"/>
      <c r="BE344" s="562"/>
      <c r="BF344" s="562"/>
      <c r="BG344" s="562"/>
      <c r="BH344" s="562"/>
      <c r="BI344" s="562"/>
      <c r="BJ344" s="562"/>
      <c r="BK344" s="562"/>
      <c r="BL344" s="562"/>
      <c r="BM344" s="562"/>
      <c r="BN344" s="562"/>
      <c r="BO344" s="562"/>
      <c r="BP344" s="562"/>
      <c r="BQ344" s="562"/>
      <c r="BR344" s="563"/>
      <c r="BS344" s="1065"/>
      <c r="BT344" s="1065"/>
      <c r="BU344" s="1065"/>
      <c r="BV344" s="563"/>
      <c r="BW344" s="1065"/>
      <c r="BX344" s="1065"/>
      <c r="BY344" s="1065"/>
      <c r="BZ344" s="563"/>
      <c r="CA344" s="1065"/>
      <c r="CB344" s="1065"/>
      <c r="CC344" s="1065"/>
      <c r="CD344" s="563"/>
      <c r="CE344" s="1065"/>
      <c r="CF344" s="1065"/>
      <c r="CG344" s="564"/>
      <c r="CH344" s="563"/>
      <c r="CI344" s="1065"/>
      <c r="CJ344" s="1065"/>
      <c r="CK344" s="564"/>
      <c r="CL344" s="165">
        <v>0.3</v>
      </c>
      <c r="CM344" s="1059">
        <f>+CL344</f>
        <v>0.3</v>
      </c>
      <c r="CN344" s="1059">
        <f>+CM344</f>
        <v>0.3</v>
      </c>
      <c r="CO344" s="1059">
        <f>+CN344</f>
        <v>0.3</v>
      </c>
      <c r="CP344" s="165">
        <v>0.25</v>
      </c>
      <c r="CQ344" s="1059">
        <v>0.25</v>
      </c>
      <c r="CR344" s="1059">
        <f>+CQ344</f>
        <v>0.25</v>
      </c>
      <c r="CS344" s="1059">
        <f>+CR344</f>
        <v>0.25</v>
      </c>
      <c r="CT344" s="165"/>
      <c r="CU344" s="1059"/>
      <c r="CV344" s="1059"/>
      <c r="CW344" s="166"/>
      <c r="CX344" s="165"/>
      <c r="CY344" s="1059"/>
      <c r="CZ344" s="1059"/>
      <c r="DA344" s="1059"/>
      <c r="DB344" s="165"/>
      <c r="DC344" s="1059"/>
      <c r="DD344" s="1059"/>
      <c r="DE344" s="1059"/>
      <c r="DF344" s="1059"/>
      <c r="DG344" s="1059"/>
      <c r="DH344" s="1059"/>
      <c r="DI344" s="1059"/>
      <c r="DJ344" s="1059"/>
      <c r="DK344" s="1059"/>
      <c r="DL344" s="1059"/>
      <c r="DM344" s="564"/>
      <c r="DN344" s="564"/>
      <c r="DO344" s="564"/>
      <c r="DP344" s="564"/>
      <c r="DQ344" s="564"/>
      <c r="DR344" s="564"/>
      <c r="DS344" s="564"/>
      <c r="DT344" s="564"/>
      <c r="DU344" s="564"/>
      <c r="DV344" s="564"/>
      <c r="DW344" s="564"/>
      <c r="DX344" s="564"/>
      <c r="DY344" s="564"/>
    </row>
    <row r="345" spans="1:129" ht="15" customHeight="1">
      <c r="A345" s="1611" t="s">
        <v>984</v>
      </c>
      <c r="B345" s="86"/>
      <c r="C345" s="86"/>
      <c r="D345" s="86"/>
      <c r="E345" s="86"/>
      <c r="F345" s="86"/>
      <c r="G345" s="86"/>
      <c r="H345" s="86"/>
      <c r="I345" s="86"/>
      <c r="J345" s="86"/>
      <c r="K345" s="86"/>
      <c r="L345" s="86"/>
      <c r="M345" s="86"/>
      <c r="N345" s="86"/>
      <c r="O345" s="86"/>
      <c r="P345" s="86"/>
      <c r="Q345" s="1070">
        <f>+Q342-Q343</f>
        <v>593.61400000000003</v>
      </c>
      <c r="R345" s="217">
        <f>+R342-R343</f>
        <v>-636.00610064727971</v>
      </c>
      <c r="S345" s="1333"/>
      <c r="T345" s="1334"/>
      <c r="U345" s="1334"/>
      <c r="V345" s="1333"/>
      <c r="W345" s="1333"/>
      <c r="X345" s="1333"/>
      <c r="Y345" s="1333"/>
      <c r="Z345" s="1333"/>
      <c r="AA345" s="1334"/>
      <c r="AB345" s="1334"/>
      <c r="AC345" s="1334"/>
      <c r="AD345" s="1334"/>
      <c r="AE345" s="1334"/>
      <c r="AF345" s="1334"/>
      <c r="AG345" s="1334"/>
      <c r="AH345" s="1947"/>
      <c r="AI345" s="606"/>
      <c r="AJ345" s="1947"/>
      <c r="AK345" s="86"/>
      <c r="AL345" s="86"/>
      <c r="AM345" s="86"/>
      <c r="AN345" s="86"/>
      <c r="AO345" s="86"/>
      <c r="AP345" s="86"/>
      <c r="AQ345" s="86"/>
      <c r="AR345" s="86"/>
      <c r="AS345" s="86"/>
      <c r="AT345" s="86"/>
      <c r="AU345" s="86"/>
      <c r="AV345" s="86"/>
      <c r="AW345" s="86"/>
      <c r="AX345" s="86"/>
      <c r="AY345" s="86"/>
      <c r="AZ345" s="86"/>
      <c r="BA345" s="86"/>
      <c r="BB345" s="86"/>
      <c r="BC345" s="86"/>
      <c r="BD345" s="86"/>
      <c r="BE345" s="86"/>
      <c r="BF345" s="86"/>
      <c r="BG345" s="86"/>
      <c r="BH345" s="86"/>
      <c r="BI345" s="86"/>
      <c r="BJ345" s="86"/>
      <c r="BK345" s="86"/>
      <c r="BL345" s="86"/>
      <c r="BM345" s="86"/>
      <c r="BN345" s="86"/>
      <c r="BO345" s="86"/>
      <c r="BP345" s="86"/>
      <c r="BQ345" s="86"/>
      <c r="BR345" s="569"/>
      <c r="BS345" s="1064"/>
      <c r="BT345" s="1064"/>
      <c r="BU345" s="1064"/>
      <c r="BV345" s="569"/>
      <c r="BW345" s="1064"/>
      <c r="BX345" s="1064"/>
      <c r="BY345" s="1064"/>
      <c r="BZ345" s="569"/>
      <c r="CA345" s="1064"/>
      <c r="CB345" s="1064"/>
      <c r="CC345" s="1064"/>
      <c r="CD345" s="569"/>
      <c r="CE345" s="1064"/>
      <c r="CF345" s="1064"/>
      <c r="CG345" s="568"/>
      <c r="CH345" s="569"/>
      <c r="CI345" s="1064"/>
      <c r="CJ345" s="1064"/>
      <c r="CK345" s="568"/>
      <c r="CL345" s="607">
        <f t="shared" ref="CL345:CS345" si="438">+CL342-CL343</f>
        <v>163.80349999999999</v>
      </c>
      <c r="CM345" s="1070">
        <f t="shared" si="438"/>
        <v>170.1035</v>
      </c>
      <c r="CN345" s="1070">
        <f t="shared" si="438"/>
        <v>124.95349999999999</v>
      </c>
      <c r="CO345" s="1070">
        <f t="shared" si="438"/>
        <v>134.7535</v>
      </c>
      <c r="CP345" s="607">
        <f t="shared" si="438"/>
        <v>84.753749999999997</v>
      </c>
      <c r="CQ345" s="1070">
        <f t="shared" si="438"/>
        <v>108.43968749999996</v>
      </c>
      <c r="CR345" s="1070">
        <f t="shared" si="438"/>
        <v>-240.8095381472798</v>
      </c>
      <c r="CS345" s="1070">
        <f t="shared" si="438"/>
        <v>-588.38999999999987</v>
      </c>
      <c r="CT345" s="607"/>
      <c r="CU345" s="1070"/>
      <c r="CV345" s="1070"/>
      <c r="CW345" s="608"/>
      <c r="CX345" s="607"/>
      <c r="CY345" s="1070"/>
      <c r="CZ345" s="1070"/>
      <c r="DA345" s="1070"/>
      <c r="DB345" s="607"/>
      <c r="DC345" s="1070"/>
      <c r="DD345" s="1070"/>
      <c r="DE345" s="1070"/>
      <c r="DF345" s="1070"/>
      <c r="DG345" s="1070"/>
      <c r="DH345" s="1070"/>
      <c r="DI345" s="1070"/>
      <c r="DJ345" s="1070"/>
      <c r="DK345" s="1070"/>
      <c r="DL345" s="1070"/>
      <c r="DM345" s="568"/>
      <c r="DN345" s="568"/>
      <c r="DO345" s="568"/>
      <c r="DP345" s="568"/>
      <c r="DQ345" s="568"/>
      <c r="DR345" s="568"/>
      <c r="DS345" s="568"/>
      <c r="DT345" s="568"/>
      <c r="DU345" s="568"/>
      <c r="DV345" s="568"/>
      <c r="DW345" s="568"/>
      <c r="DX345" s="568"/>
      <c r="DY345" s="568"/>
    </row>
    <row r="346" spans="1:129" ht="15" customHeight="1">
      <c r="A346" s="1603" t="s">
        <v>1417</v>
      </c>
      <c r="B346" s="86"/>
      <c r="C346" s="86"/>
      <c r="D346" s="86"/>
      <c r="E346" s="86"/>
      <c r="F346" s="86"/>
      <c r="G346" s="86"/>
      <c r="H346" s="86"/>
      <c r="I346" s="86"/>
      <c r="J346" s="86"/>
      <c r="K346" s="86"/>
      <c r="L346" s="86"/>
      <c r="M346" s="86"/>
      <c r="N346" s="86"/>
      <c r="O346" s="86"/>
      <c r="P346" s="86"/>
      <c r="Q346" s="1070">
        <f>+IS!Q103</f>
        <v>2841</v>
      </c>
      <c r="R346" s="217">
        <f>+IS!R103</f>
        <v>2833</v>
      </c>
      <c r="S346" s="1333"/>
      <c r="T346" s="1334"/>
      <c r="U346" s="1334"/>
      <c r="V346" s="1333"/>
      <c r="W346" s="1333"/>
      <c r="X346" s="1333"/>
      <c r="Y346" s="1333"/>
      <c r="Z346" s="1333"/>
      <c r="AA346" s="1334"/>
      <c r="AB346" s="1334"/>
      <c r="AC346" s="1334"/>
      <c r="AD346" s="1334"/>
      <c r="AE346" s="1334"/>
      <c r="AF346" s="1334"/>
      <c r="AG346" s="1334"/>
      <c r="AH346" s="1947"/>
      <c r="AI346" s="606"/>
      <c r="AJ346" s="1947"/>
      <c r="AK346" s="86"/>
      <c r="AL346" s="86"/>
      <c r="AM346" s="86"/>
      <c r="AN346" s="86"/>
      <c r="AO346" s="86"/>
      <c r="AP346" s="86"/>
      <c r="AQ346" s="86"/>
      <c r="AR346" s="86"/>
      <c r="AS346" s="86"/>
      <c r="AT346" s="86"/>
      <c r="AU346" s="86"/>
      <c r="AV346" s="86"/>
      <c r="AW346" s="86"/>
      <c r="AX346" s="86"/>
      <c r="AY346" s="86"/>
      <c r="AZ346" s="86"/>
      <c r="BA346" s="86"/>
      <c r="BB346" s="86"/>
      <c r="BC346" s="86"/>
      <c r="BD346" s="86"/>
      <c r="BE346" s="86"/>
      <c r="BF346" s="86"/>
      <c r="BG346" s="86"/>
      <c r="BH346" s="86"/>
      <c r="BI346" s="86"/>
      <c r="BJ346" s="86"/>
      <c r="BK346" s="86"/>
      <c r="BL346" s="86"/>
      <c r="BM346" s="86"/>
      <c r="BN346" s="86"/>
      <c r="BO346" s="86"/>
      <c r="BP346" s="86"/>
      <c r="BQ346" s="86"/>
      <c r="BR346" s="569"/>
      <c r="BS346" s="1064"/>
      <c r="BT346" s="1064"/>
      <c r="BU346" s="1064"/>
      <c r="BV346" s="569"/>
      <c r="BW346" s="1064"/>
      <c r="BX346" s="1064"/>
      <c r="BY346" s="1064"/>
      <c r="BZ346" s="569"/>
      <c r="CA346" s="1064"/>
      <c r="CB346" s="1064"/>
      <c r="CC346" s="1064"/>
      <c r="CD346" s="569"/>
      <c r="CE346" s="1064"/>
      <c r="CF346" s="1064"/>
      <c r="CG346" s="568"/>
      <c r="CH346" s="569"/>
      <c r="CI346" s="1064"/>
      <c r="CJ346" s="1064"/>
      <c r="CK346" s="568"/>
      <c r="CL346" s="607">
        <f>+IS!CI103</f>
        <v>2841</v>
      </c>
      <c r="CM346" s="1070">
        <f>+IS!CJ103</f>
        <v>2841</v>
      </c>
      <c r="CN346" s="1070">
        <f>+IS!CK103</f>
        <v>2841</v>
      </c>
      <c r="CO346" s="1070">
        <f>+IS!CL103</f>
        <v>2841</v>
      </c>
      <c r="CP346" s="607">
        <f>+IS!CM103</f>
        <v>2836</v>
      </c>
      <c r="CQ346" s="1070">
        <f>+IS!CN103</f>
        <v>2827</v>
      </c>
      <c r="CR346" s="1070">
        <f>+IS!CO103</f>
        <v>2829</v>
      </c>
      <c r="CS346" s="1070">
        <f>+IS!CP103</f>
        <v>2829</v>
      </c>
      <c r="CT346" s="607"/>
      <c r="CU346" s="1070"/>
      <c r="CV346" s="1070"/>
      <c r="CW346" s="608"/>
      <c r="CX346" s="607"/>
      <c r="CY346" s="1070"/>
      <c r="CZ346" s="1070"/>
      <c r="DA346" s="1070"/>
      <c r="DB346" s="607"/>
      <c r="DC346" s="1070"/>
      <c r="DD346" s="1070"/>
      <c r="DE346" s="1070"/>
      <c r="DF346" s="1070"/>
      <c r="DG346" s="1070"/>
      <c r="DH346" s="1070"/>
      <c r="DI346" s="1070"/>
      <c r="DJ346" s="1070"/>
      <c r="DK346" s="1070"/>
      <c r="DL346" s="1070"/>
      <c r="DM346" s="568"/>
      <c r="DN346" s="568"/>
      <c r="DO346" s="568"/>
      <c r="DP346" s="568"/>
      <c r="DQ346" s="568"/>
      <c r="DR346" s="568"/>
      <c r="DS346" s="568"/>
      <c r="DT346" s="568"/>
      <c r="DU346" s="568"/>
      <c r="DV346" s="568"/>
      <c r="DW346" s="568"/>
      <c r="DX346" s="568"/>
      <c r="DY346" s="568"/>
    </row>
    <row r="347" spans="1:129" ht="15" customHeight="1">
      <c r="A347" s="1603" t="s">
        <v>1148</v>
      </c>
      <c r="B347" s="580"/>
      <c r="C347" s="580"/>
      <c r="D347" s="580"/>
      <c r="E347" s="580"/>
      <c r="F347" s="580"/>
      <c r="G347" s="580"/>
      <c r="H347" s="580"/>
      <c r="I347" s="580"/>
      <c r="J347" s="580"/>
      <c r="K347" s="580"/>
      <c r="L347" s="580"/>
      <c r="M347" s="580"/>
      <c r="N347" s="580"/>
      <c r="O347" s="580"/>
      <c r="P347" s="580"/>
      <c r="Q347" s="1228">
        <f>+Q345/Q346</f>
        <v>0.20894544174586416</v>
      </c>
      <c r="R347" s="580">
        <f>+R345/R346</f>
        <v>-0.2244991530699893</v>
      </c>
      <c r="U347"/>
      <c r="AA347"/>
      <c r="AB347" s="3146"/>
      <c r="AC347" s="3146"/>
      <c r="AD347" s="3146"/>
      <c r="AE347" s="3146"/>
      <c r="AF347" s="3146"/>
      <c r="AG347" s="3146"/>
      <c r="AH347" s="1975"/>
      <c r="AI347" s="606"/>
      <c r="AJ347" s="1975"/>
      <c r="AK347" s="580"/>
      <c r="AL347" s="580"/>
      <c r="AM347" s="580"/>
      <c r="AN347" s="580"/>
      <c r="AO347" s="580"/>
      <c r="AP347" s="580"/>
      <c r="AQ347" s="580"/>
      <c r="AR347" s="580"/>
      <c r="AS347" s="580"/>
      <c r="AT347" s="580"/>
      <c r="AU347" s="580"/>
      <c r="AV347" s="580"/>
      <c r="AW347" s="580"/>
      <c r="AX347" s="580"/>
      <c r="AY347" s="580"/>
      <c r="AZ347" s="580"/>
      <c r="BA347" s="580"/>
      <c r="BB347" s="580"/>
      <c r="BC347" s="580"/>
      <c r="BD347" s="580"/>
      <c r="BE347" s="580"/>
      <c r="BF347" s="580"/>
      <c r="BG347" s="580"/>
      <c r="BH347" s="580"/>
      <c r="BI347" s="580"/>
      <c r="BJ347" s="580"/>
      <c r="BK347" s="580"/>
      <c r="BL347" s="580"/>
      <c r="BM347" s="580"/>
      <c r="BN347" s="580"/>
      <c r="BO347" s="580"/>
      <c r="BP347" s="580"/>
      <c r="BQ347" s="580"/>
      <c r="BR347" s="625"/>
      <c r="BS347" s="1228"/>
      <c r="BT347" s="1228"/>
      <c r="BU347" s="1228"/>
      <c r="BV347" s="625"/>
      <c r="BW347" s="1228"/>
      <c r="BX347" s="1228"/>
      <c r="BY347" s="1228"/>
      <c r="BZ347" s="625"/>
      <c r="CA347" s="1228"/>
      <c r="CB347" s="1228"/>
      <c r="CC347" s="1228"/>
      <c r="CD347" s="625"/>
      <c r="CE347" s="1228"/>
      <c r="CF347" s="1228"/>
      <c r="CG347" s="626"/>
      <c r="CH347" s="625"/>
      <c r="CI347" s="1228"/>
      <c r="CJ347" s="1228"/>
      <c r="CK347" s="626"/>
      <c r="CL347" s="625">
        <f t="shared" ref="CL347:CS347" si="439">+CL345/CL346</f>
        <v>5.7656986976416746E-2</v>
      </c>
      <c r="CM347" s="1228">
        <f t="shared" si="439"/>
        <v>5.9874516015487503E-2</v>
      </c>
      <c r="CN347" s="1228">
        <f t="shared" si="439"/>
        <v>4.3982224568813795E-2</v>
      </c>
      <c r="CO347" s="1228">
        <f t="shared" si="439"/>
        <v>4.7431714185146079E-2</v>
      </c>
      <c r="CP347" s="625">
        <f t="shared" si="439"/>
        <v>2.988496121297602E-2</v>
      </c>
      <c r="CQ347" s="1228">
        <f t="shared" si="439"/>
        <v>3.8358573576229203E-2</v>
      </c>
      <c r="CR347" s="1228">
        <f t="shared" si="439"/>
        <v>-8.5121787962983309E-2</v>
      </c>
      <c r="CS347" s="1228">
        <f t="shared" si="439"/>
        <v>-0.20798515376458107</v>
      </c>
      <c r="CT347" s="625"/>
      <c r="CU347" s="1228"/>
      <c r="CV347" s="1228"/>
      <c r="CW347" s="626"/>
      <c r="CX347" s="625"/>
      <c r="CY347" s="1228"/>
      <c r="CZ347" s="1228"/>
      <c r="DA347" s="1228"/>
      <c r="DB347" s="625"/>
      <c r="DC347" s="1228"/>
      <c r="DD347" s="1228"/>
      <c r="DE347" s="1228"/>
      <c r="DF347" s="1228"/>
      <c r="DG347" s="1228"/>
      <c r="DH347" s="1228"/>
      <c r="DI347" s="1228"/>
      <c r="DJ347" s="1228"/>
      <c r="DK347" s="1228"/>
      <c r="DL347" s="1228"/>
      <c r="DM347" s="626"/>
      <c r="DN347" s="626"/>
      <c r="DO347" s="626"/>
      <c r="DP347" s="626"/>
      <c r="DQ347" s="626"/>
      <c r="DR347" s="626"/>
      <c r="DS347" s="626"/>
      <c r="DT347" s="626"/>
      <c r="DU347" s="626"/>
      <c r="DV347" s="626"/>
      <c r="DW347" s="626"/>
      <c r="DX347" s="626"/>
      <c r="DY347" s="626"/>
    </row>
    <row r="348" spans="1:129" ht="15" customHeight="1">
      <c r="A348" s="1607"/>
      <c r="B348" s="86"/>
      <c r="C348" s="86"/>
      <c r="D348" s="86"/>
      <c r="E348" s="86"/>
      <c r="F348" s="86"/>
      <c r="G348" s="86"/>
      <c r="H348" s="86"/>
      <c r="I348" s="86"/>
      <c r="J348" s="86"/>
      <c r="K348" s="86"/>
      <c r="L348" s="86"/>
      <c r="M348" s="86"/>
      <c r="N348" s="86"/>
      <c r="O348" s="86"/>
      <c r="P348" s="86"/>
      <c r="Q348" s="1064"/>
      <c r="R348" s="86"/>
      <c r="S348" s="795"/>
      <c r="T348" s="1319"/>
      <c r="U348" s="1319"/>
      <c r="V348" s="795"/>
      <c r="W348" s="795"/>
      <c r="X348" s="795"/>
      <c r="Y348" s="795"/>
      <c r="Z348" s="795"/>
      <c r="AA348" s="1319"/>
      <c r="AB348" s="1319"/>
      <c r="AC348" s="1319"/>
      <c r="AD348" s="1319"/>
      <c r="AE348" s="1319"/>
      <c r="AF348" s="1319"/>
      <c r="AG348" s="1319"/>
      <c r="AH348" s="1947"/>
      <c r="AI348" s="606"/>
      <c r="AJ348" s="1947"/>
      <c r="AK348" s="86"/>
      <c r="AL348" s="86"/>
      <c r="AM348" s="86"/>
      <c r="AN348" s="86"/>
      <c r="AO348" s="86"/>
      <c r="AP348" s="86"/>
      <c r="AQ348" s="86"/>
      <c r="AR348" s="86"/>
      <c r="AS348" s="86"/>
      <c r="AT348" s="86"/>
      <c r="AU348" s="86"/>
      <c r="AV348" s="86"/>
      <c r="AW348" s="86"/>
      <c r="AX348" s="86"/>
      <c r="AY348" s="86"/>
      <c r="AZ348" s="86"/>
      <c r="BA348" s="86"/>
      <c r="BB348" s="86"/>
      <c r="BC348" s="86"/>
      <c r="BD348" s="86"/>
      <c r="BE348" s="86"/>
      <c r="BF348" s="86"/>
      <c r="BG348" s="86"/>
      <c r="BH348" s="86"/>
      <c r="BI348" s="86"/>
      <c r="BJ348" s="86"/>
      <c r="BK348" s="86"/>
      <c r="BL348" s="86"/>
      <c r="BM348" s="86"/>
      <c r="BN348" s="86"/>
      <c r="BO348" s="86"/>
      <c r="BP348" s="86"/>
      <c r="BQ348" s="86"/>
      <c r="BR348" s="569"/>
      <c r="BS348" s="1064"/>
      <c r="BT348" s="1064"/>
      <c r="BU348" s="1064"/>
      <c r="BV348" s="569"/>
      <c r="BW348" s="1064"/>
      <c r="BX348" s="1064"/>
      <c r="BY348" s="1064"/>
      <c r="BZ348" s="569"/>
      <c r="CA348" s="1064"/>
      <c r="CB348" s="1064"/>
      <c r="CC348" s="1064"/>
      <c r="CD348" s="569"/>
      <c r="CE348" s="1064"/>
      <c r="CF348" s="1064"/>
      <c r="CG348" s="568"/>
      <c r="CH348" s="569"/>
      <c r="CI348" s="1064"/>
      <c r="CJ348" s="1064"/>
      <c r="CK348" s="568"/>
      <c r="CL348" s="569"/>
      <c r="CM348" s="1064"/>
      <c r="CN348" s="1064"/>
      <c r="CO348" s="1064"/>
      <c r="CP348" s="569"/>
      <c r="CQ348" s="1064"/>
      <c r="CR348" s="1064"/>
      <c r="CS348" s="1064"/>
      <c r="CT348" s="569"/>
      <c r="CU348" s="1064"/>
      <c r="CV348" s="1064"/>
      <c r="CW348" s="568"/>
      <c r="CX348" s="569"/>
      <c r="CY348" s="1064"/>
      <c r="CZ348" s="1064"/>
      <c r="DA348" s="1064"/>
      <c r="DB348" s="569"/>
      <c r="DC348" s="1064"/>
      <c r="DD348" s="1064"/>
      <c r="DE348" s="1064"/>
      <c r="DF348" s="1064"/>
      <c r="DG348" s="1064"/>
      <c r="DH348" s="1064"/>
      <c r="DI348" s="1064"/>
      <c r="DJ348" s="1064"/>
      <c r="DK348" s="1064"/>
      <c r="DL348" s="1064"/>
      <c r="DM348" s="568"/>
      <c r="DN348" s="568"/>
      <c r="DO348" s="568"/>
      <c r="DP348" s="568"/>
      <c r="DQ348" s="568"/>
      <c r="DR348" s="568"/>
      <c r="DS348" s="568"/>
      <c r="DT348" s="568"/>
      <c r="DU348" s="568"/>
      <c r="DV348" s="568"/>
      <c r="DW348" s="568"/>
      <c r="DX348" s="568"/>
      <c r="DY348" s="568"/>
    </row>
    <row r="349" spans="1:129" ht="15" customHeight="1">
      <c r="A349" s="1611" t="s">
        <v>1380</v>
      </c>
      <c r="B349" s="86"/>
      <c r="C349" s="86"/>
      <c r="D349" s="86"/>
      <c r="E349" s="86"/>
      <c r="F349" s="86"/>
      <c r="G349" s="86"/>
      <c r="H349" s="86"/>
      <c r="I349" s="86"/>
      <c r="J349" s="86"/>
      <c r="K349" s="86"/>
      <c r="L349" s="86"/>
      <c r="M349" s="86"/>
      <c r="N349" s="86"/>
      <c r="O349" s="86"/>
      <c r="P349" s="86"/>
      <c r="Q349" s="1294">
        <f>+SUM(CL349:CO349)</f>
        <v>558</v>
      </c>
      <c r="R349" s="602">
        <f>+SUM(CP349:CS349)</f>
        <v>277.48087389643524</v>
      </c>
      <c r="S349" s="1335"/>
      <c r="T349" s="1336"/>
      <c r="U349" s="1336"/>
      <c r="V349" s="1335"/>
      <c r="W349" s="1335"/>
      <c r="X349" s="1335"/>
      <c r="Y349" s="1335"/>
      <c r="Z349" s="1335"/>
      <c r="AA349" s="1336"/>
      <c r="AB349" s="1336"/>
      <c r="AC349" s="1336"/>
      <c r="AD349" s="1336"/>
      <c r="AE349" s="1336"/>
      <c r="AF349" s="1336"/>
      <c r="AG349" s="1336"/>
      <c r="AH349" s="1947"/>
      <c r="AI349" s="606"/>
      <c r="AJ349" s="1947"/>
      <c r="AK349" s="86"/>
      <c r="AL349" s="86"/>
      <c r="AM349" s="86"/>
      <c r="AN349" s="86"/>
      <c r="AO349" s="86"/>
      <c r="AP349" s="86"/>
      <c r="AQ349" s="86"/>
      <c r="AR349" s="86"/>
      <c r="AS349" s="86"/>
      <c r="AT349" s="86"/>
      <c r="AU349" s="86"/>
      <c r="AV349" s="86"/>
      <c r="AW349" s="86"/>
      <c r="AX349" s="86"/>
      <c r="AY349" s="86"/>
      <c r="AZ349" s="86"/>
      <c r="BA349" s="86"/>
      <c r="BB349" s="86"/>
      <c r="BC349" s="86"/>
      <c r="BD349" s="86"/>
      <c r="BE349" s="86"/>
      <c r="BF349" s="86"/>
      <c r="BG349" s="86"/>
      <c r="BH349" s="86"/>
      <c r="BI349" s="86"/>
      <c r="BJ349" s="86"/>
      <c r="BK349" s="86"/>
      <c r="BL349" s="86"/>
      <c r="BM349" s="86"/>
      <c r="BN349" s="86"/>
      <c r="BO349" s="86"/>
      <c r="BP349" s="86"/>
      <c r="BQ349" s="86"/>
      <c r="BR349" s="569"/>
      <c r="BS349" s="1064"/>
      <c r="BT349" s="1064"/>
      <c r="BU349" s="1064"/>
      <c r="BV349" s="569"/>
      <c r="BW349" s="1064"/>
      <c r="BX349" s="1064"/>
      <c r="BY349" s="1064"/>
      <c r="BZ349" s="569"/>
      <c r="CA349" s="1064"/>
      <c r="CB349" s="1064"/>
      <c r="CC349" s="1064"/>
      <c r="CD349" s="569"/>
      <c r="CE349" s="1064"/>
      <c r="CF349" s="1064"/>
      <c r="CG349" s="568"/>
      <c r="CH349" s="569"/>
      <c r="CI349" s="1064"/>
      <c r="CJ349" s="1064"/>
      <c r="CK349" s="568"/>
      <c r="CL349">
        <v>135</v>
      </c>
      <c r="CM349">
        <f>279-CL349</f>
        <v>144</v>
      </c>
      <c r="CN349">
        <v>129</v>
      </c>
      <c r="CO349">
        <f>558-CL349-CM349-CN349</f>
        <v>150</v>
      </c>
      <c r="CP349" s="628">
        <f>+CP306*CP350</f>
        <v>114.47999999999999</v>
      </c>
      <c r="CQ349" s="1072">
        <f>+CQ306*CQ350</f>
        <v>110.16</v>
      </c>
      <c r="CR349" s="1072">
        <f>+CR306*CR350</f>
        <v>54.040873896435237</v>
      </c>
      <c r="CS349" s="1072">
        <f>+CS306*CS350</f>
        <v>-1.2</v>
      </c>
      <c r="CT349" s="628"/>
      <c r="CU349" s="1072"/>
      <c r="CV349" s="1072"/>
      <c r="CW349" s="627"/>
      <c r="CX349" s="628"/>
      <c r="CY349" s="1072"/>
      <c r="CZ349" s="1072"/>
      <c r="DA349" s="1072"/>
      <c r="DB349" s="628"/>
      <c r="DC349" s="1072"/>
      <c r="DD349" s="1072"/>
      <c r="DE349" s="1072"/>
      <c r="DF349" s="1072"/>
      <c r="DG349" s="1072"/>
      <c r="DH349" s="1072"/>
      <c r="DI349" s="1072"/>
      <c r="DJ349" s="1072"/>
      <c r="DK349" s="1072"/>
      <c r="DL349" s="1072"/>
      <c r="DM349" s="568"/>
      <c r="DN349" s="568"/>
      <c r="DO349" s="568"/>
      <c r="DP349" s="568"/>
      <c r="DQ349" s="568"/>
      <c r="DR349" s="568"/>
      <c r="DS349" s="568"/>
      <c r="DT349" s="568"/>
      <c r="DU349" s="568"/>
      <c r="DV349" s="568"/>
      <c r="DW349" s="568"/>
      <c r="DX349" s="568"/>
      <c r="DY349" s="568"/>
    </row>
    <row r="350" spans="1:129" ht="15" customHeight="1">
      <c r="A350" s="1611" t="s">
        <v>302</v>
      </c>
      <c r="B350" s="86"/>
      <c r="C350" s="86"/>
      <c r="D350" s="86"/>
      <c r="E350" s="86"/>
      <c r="F350" s="86"/>
      <c r="G350" s="86"/>
      <c r="H350" s="86"/>
      <c r="I350" s="86"/>
      <c r="J350" s="86"/>
      <c r="K350" s="86"/>
      <c r="L350" s="86"/>
      <c r="M350" s="86"/>
      <c r="N350" s="86"/>
      <c r="O350" s="86"/>
      <c r="P350" s="86"/>
      <c r="Q350" s="1227">
        <f>+Q349/Q306</f>
        <v>0.13897882938978828</v>
      </c>
      <c r="R350" s="572">
        <f>+R349/R306</f>
        <v>0.12000000000000001</v>
      </c>
      <c r="U350"/>
      <c r="AA350"/>
      <c r="AB350" s="3146"/>
      <c r="AC350" s="3146"/>
      <c r="AD350" s="3146"/>
      <c r="AE350" s="3146"/>
      <c r="AF350" s="3146"/>
      <c r="AG350" s="3146"/>
      <c r="AH350" s="1947"/>
      <c r="AI350" s="606"/>
      <c r="AJ350" s="1947"/>
      <c r="AK350" s="86"/>
      <c r="AL350" s="86"/>
      <c r="AM350" s="86"/>
      <c r="AN350" s="86"/>
      <c r="AO350" s="86"/>
      <c r="AP350" s="86"/>
      <c r="AQ350" s="86"/>
      <c r="AR350" s="86"/>
      <c r="AS350" s="86"/>
      <c r="AT350" s="86"/>
      <c r="AU350" s="86"/>
      <c r="AV350" s="86"/>
      <c r="AW350" s="86"/>
      <c r="AX350" s="86"/>
      <c r="AY350" s="86"/>
      <c r="AZ350" s="86"/>
      <c r="BA350" s="86"/>
      <c r="BB350" s="86"/>
      <c r="BC350" s="86"/>
      <c r="BD350" s="86"/>
      <c r="BE350" s="86"/>
      <c r="BF350" s="86"/>
      <c r="BG350" s="86"/>
      <c r="BH350" s="86"/>
      <c r="BI350" s="86"/>
      <c r="BJ350" s="86"/>
      <c r="BK350" s="86"/>
      <c r="BL350" s="86"/>
      <c r="BM350" s="86"/>
      <c r="BN350" s="86"/>
      <c r="BO350" s="86"/>
      <c r="BP350" s="86"/>
      <c r="BQ350" s="86"/>
      <c r="BR350" s="569"/>
      <c r="BS350" s="1064"/>
      <c r="BT350" s="1064"/>
      <c r="BU350" s="1064"/>
      <c r="BV350" s="569"/>
      <c r="BW350" s="1064"/>
      <c r="BX350" s="1064"/>
      <c r="BY350" s="1064"/>
      <c r="BZ350" s="569"/>
      <c r="CA350" s="1064"/>
      <c r="CB350" s="1064"/>
      <c r="CC350" s="1064"/>
      <c r="CD350" s="569"/>
      <c r="CE350" s="1064"/>
      <c r="CF350" s="1064"/>
      <c r="CG350" s="568"/>
      <c r="CH350" s="569"/>
      <c r="CI350" s="1064"/>
      <c r="CJ350" s="1064"/>
      <c r="CK350" s="568"/>
      <c r="CL350" s="1307">
        <f>+CL349/CL306</f>
        <v>0.1303088803088803</v>
      </c>
      <c r="CM350" s="1308">
        <f>+CM349/CM306</f>
        <v>0.14048780487804879</v>
      </c>
      <c r="CN350" s="1308">
        <f>+CN349/CN306</f>
        <v>0.13050075872534142</v>
      </c>
      <c r="CO350" s="1308">
        <f>+CO349/CO306</f>
        <v>0.15535991714137753</v>
      </c>
      <c r="CP350" s="511">
        <v>0.12</v>
      </c>
      <c r="CQ350" s="1057">
        <f>+CP350</f>
        <v>0.12</v>
      </c>
      <c r="CR350" s="1057">
        <f>+CQ350</f>
        <v>0.12</v>
      </c>
      <c r="CS350" s="1057">
        <f>+CR350</f>
        <v>0.12</v>
      </c>
      <c r="CT350" s="511"/>
      <c r="CU350" s="1057"/>
      <c r="CV350" s="1057"/>
      <c r="CW350" s="116"/>
      <c r="CX350" s="511"/>
      <c r="CY350" s="1057"/>
      <c r="CZ350" s="1057"/>
      <c r="DA350" s="1057"/>
      <c r="DB350" s="511"/>
      <c r="DC350" s="1057"/>
      <c r="DD350" s="1057"/>
      <c r="DE350" s="1057"/>
      <c r="DF350" s="1057"/>
      <c r="DG350" s="1057"/>
      <c r="DH350" s="1057"/>
      <c r="DI350" s="1057"/>
      <c r="DJ350" s="1057"/>
      <c r="DK350" s="1057"/>
      <c r="DL350" s="1057"/>
      <c r="DM350" s="568"/>
      <c r="DN350" s="568"/>
      <c r="DO350" s="568"/>
      <c r="DP350" s="568"/>
      <c r="DQ350" s="568"/>
      <c r="DR350" s="568"/>
      <c r="DS350" s="568"/>
      <c r="DT350" s="568"/>
      <c r="DU350" s="568"/>
      <c r="DV350" s="568"/>
      <c r="DW350" s="568"/>
      <c r="DX350" s="568"/>
      <c r="DY350" s="568"/>
    </row>
    <row r="351" spans="1:129" ht="15" customHeight="1">
      <c r="A351" s="1607"/>
      <c r="B351" s="86"/>
      <c r="C351" s="86"/>
      <c r="D351" s="86"/>
      <c r="E351" s="86"/>
      <c r="F351" s="86"/>
      <c r="G351" s="86"/>
      <c r="H351" s="86"/>
      <c r="I351" s="86"/>
      <c r="J351" s="86"/>
      <c r="K351" s="86"/>
      <c r="L351" s="86"/>
      <c r="M351" s="86"/>
      <c r="N351" s="86"/>
      <c r="O351" s="86"/>
      <c r="P351" s="86"/>
      <c r="Q351" s="1064"/>
      <c r="R351" s="86"/>
      <c r="S351" s="795"/>
      <c r="T351" s="1319"/>
      <c r="U351" s="1319"/>
      <c r="V351" s="795"/>
      <c r="W351" s="795"/>
      <c r="X351" s="795"/>
      <c r="Y351" s="795"/>
      <c r="Z351" s="795"/>
      <c r="AA351" s="1319"/>
      <c r="AB351" s="1319"/>
      <c r="AC351" s="1319"/>
      <c r="AD351" s="1319"/>
      <c r="AE351" s="1319"/>
      <c r="AF351" s="1319"/>
      <c r="AG351" s="1319"/>
      <c r="AH351" s="1947"/>
      <c r="AI351" s="606"/>
      <c r="AJ351" s="1947"/>
      <c r="AK351" s="86"/>
      <c r="AL351" s="86"/>
      <c r="AM351" s="86"/>
      <c r="AN351" s="86"/>
      <c r="AO351" s="86"/>
      <c r="AP351" s="86"/>
      <c r="AQ351" s="86"/>
      <c r="AR351" s="86"/>
      <c r="AS351" s="86"/>
      <c r="AT351" s="86"/>
      <c r="AU351" s="86"/>
      <c r="AV351" s="86"/>
      <c r="AW351" s="86"/>
      <c r="AX351" s="86"/>
      <c r="AY351" s="86"/>
      <c r="AZ351" s="86"/>
      <c r="BA351" s="86"/>
      <c r="BB351" s="86"/>
      <c r="BC351" s="86"/>
      <c r="BD351" s="86"/>
      <c r="BE351" s="86"/>
      <c r="BF351" s="86"/>
      <c r="BG351" s="86"/>
      <c r="BH351" s="86"/>
      <c r="BI351" s="86"/>
      <c r="BJ351" s="86"/>
      <c r="BK351" s="86"/>
      <c r="BL351" s="86"/>
      <c r="BM351" s="86"/>
      <c r="BN351" s="86"/>
      <c r="BO351" s="86"/>
      <c r="BP351" s="86"/>
      <c r="BQ351" s="86"/>
      <c r="BR351" s="569"/>
      <c r="BS351" s="1064"/>
      <c r="BT351" s="1064"/>
      <c r="BU351" s="1064"/>
      <c r="BV351" s="569"/>
      <c r="BW351" s="1064"/>
      <c r="BX351" s="1064"/>
      <c r="BY351" s="1064"/>
      <c r="BZ351" s="569"/>
      <c r="CA351" s="1064"/>
      <c r="CB351" s="1064"/>
      <c r="CC351" s="1064"/>
      <c r="CD351" s="569"/>
      <c r="CE351" s="1064"/>
      <c r="CF351" s="1064"/>
      <c r="CG351" s="568"/>
      <c r="CH351" s="569"/>
      <c r="CI351" s="1064"/>
      <c r="CJ351" s="1064"/>
      <c r="CK351" s="568"/>
      <c r="CL351" s="569"/>
      <c r="CM351" s="1064"/>
      <c r="CN351" s="1064"/>
      <c r="CO351" s="1064"/>
      <c r="CP351" s="569"/>
      <c r="CQ351" s="1064"/>
      <c r="CR351" s="1064"/>
      <c r="CS351" s="1064"/>
      <c r="CT351" s="569"/>
      <c r="CU351" s="1064"/>
      <c r="CV351" s="1064"/>
      <c r="CW351" s="568"/>
      <c r="CX351" s="569"/>
      <c r="CY351" s="1064"/>
      <c r="CZ351" s="1064"/>
      <c r="DA351" s="1064"/>
      <c r="DB351" s="569"/>
      <c r="DC351" s="1064"/>
      <c r="DD351" s="1064"/>
      <c r="DE351" s="1064"/>
      <c r="DF351" s="1064"/>
      <c r="DG351" s="1064"/>
      <c r="DH351" s="1064"/>
      <c r="DI351" s="1064"/>
      <c r="DJ351" s="1064"/>
      <c r="DK351" s="1064"/>
      <c r="DL351" s="1064"/>
      <c r="DM351" s="568"/>
      <c r="DN351" s="568"/>
      <c r="DO351" s="568"/>
      <c r="DP351" s="568"/>
      <c r="DQ351" s="568"/>
      <c r="DR351" s="568"/>
      <c r="DS351" s="568"/>
      <c r="DT351" s="568"/>
      <c r="DU351" s="568"/>
      <c r="DV351" s="568"/>
      <c r="DW351" s="568"/>
      <c r="DX351" s="568"/>
      <c r="DY351" s="568"/>
    </row>
    <row r="352" spans="1:129" ht="15" customHeight="1">
      <c r="A352" s="1595" t="s">
        <v>303</v>
      </c>
      <c r="B352" s="86"/>
      <c r="C352" s="86"/>
      <c r="D352" s="86"/>
      <c r="E352" s="86"/>
      <c r="F352" s="86"/>
      <c r="G352" s="86"/>
      <c r="H352" s="86"/>
      <c r="I352" s="86"/>
      <c r="J352" s="86"/>
      <c r="K352" s="86"/>
      <c r="L352" s="86"/>
      <c r="M352" s="86"/>
      <c r="N352" s="86"/>
      <c r="O352" s="86"/>
      <c r="P352" s="86"/>
      <c r="Q352" s="1064"/>
      <c r="R352" s="86"/>
      <c r="S352" s="795"/>
      <c r="T352" s="1319"/>
      <c r="U352" s="1319"/>
      <c r="V352" s="795"/>
      <c r="W352" s="795"/>
      <c r="X352" s="795"/>
      <c r="Y352" s="795"/>
      <c r="Z352" s="795"/>
      <c r="AA352" s="1319"/>
      <c r="AB352" s="1319"/>
      <c r="AC352" s="1319"/>
      <c r="AD352" s="1319"/>
      <c r="AE352" s="1319"/>
      <c r="AF352" s="1319"/>
      <c r="AG352" s="1319"/>
      <c r="AH352" s="1947"/>
      <c r="AI352" s="606"/>
      <c r="AJ352" s="1947"/>
      <c r="AK352" s="86"/>
      <c r="AL352" s="86"/>
      <c r="AM352" s="86"/>
      <c r="AN352" s="86"/>
      <c r="AO352" s="86"/>
      <c r="AP352" s="86"/>
      <c r="AQ352" s="86"/>
      <c r="AR352" s="86"/>
      <c r="AS352" s="86"/>
      <c r="AT352" s="86"/>
      <c r="AU352" s="86"/>
      <c r="AV352" s="86"/>
      <c r="AW352" s="86"/>
      <c r="AX352" s="86"/>
      <c r="AY352" s="86"/>
      <c r="AZ352" s="86"/>
      <c r="BA352" s="86"/>
      <c r="BB352" s="86"/>
      <c r="BC352" s="86"/>
      <c r="BD352" s="86"/>
      <c r="BE352" s="86"/>
      <c r="BF352" s="86"/>
      <c r="BG352" s="86"/>
      <c r="BH352" s="86"/>
      <c r="BI352" s="86"/>
      <c r="BJ352" s="86"/>
      <c r="BK352" s="86"/>
      <c r="BL352" s="86"/>
      <c r="BM352" s="86"/>
      <c r="BN352" s="86"/>
      <c r="BO352" s="86"/>
      <c r="BP352" s="86"/>
      <c r="BQ352" s="86"/>
      <c r="BR352" s="569"/>
      <c r="BS352" s="1064"/>
      <c r="BT352" s="1064"/>
      <c r="BU352" s="1064"/>
      <c r="BV352" s="569"/>
      <c r="BW352" s="1064"/>
      <c r="BX352" s="1064"/>
      <c r="BY352" s="1064"/>
      <c r="BZ352" s="569"/>
      <c r="CA352" s="1064"/>
      <c r="CB352" s="1064"/>
      <c r="CC352" s="1064"/>
      <c r="CD352" s="569"/>
      <c r="CE352" s="1064"/>
      <c r="CF352" s="1064"/>
      <c r="CG352" s="568"/>
      <c r="CH352" s="569"/>
      <c r="CI352" s="1064"/>
      <c r="CJ352" s="1064"/>
      <c r="CK352" s="568"/>
      <c r="CL352" s="569"/>
      <c r="CM352" s="1064"/>
      <c r="CN352" s="1064"/>
      <c r="CO352" s="1064"/>
      <c r="CP352" s="569"/>
      <c r="CQ352" s="1064"/>
      <c r="CR352" s="1064"/>
      <c r="CS352" s="1064"/>
      <c r="CT352" s="569"/>
      <c r="CU352" s="1064"/>
      <c r="CV352" s="1064"/>
      <c r="CW352" s="568"/>
      <c r="CX352" s="569"/>
      <c r="CY352" s="1064"/>
      <c r="CZ352" s="1064"/>
      <c r="DA352" s="1064"/>
      <c r="DB352" s="569"/>
      <c r="DC352" s="1064"/>
      <c r="DD352" s="1064"/>
      <c r="DE352" s="1064"/>
      <c r="DF352" s="1064"/>
      <c r="DG352" s="1064"/>
      <c r="DH352" s="1064"/>
      <c r="DI352" s="1064"/>
      <c r="DJ352" s="1064"/>
      <c r="DK352" s="1064"/>
      <c r="DL352" s="1064"/>
      <c r="DM352" s="568"/>
      <c r="DN352" s="568"/>
      <c r="DO352" s="568"/>
      <c r="DP352" s="568"/>
      <c r="DQ352" s="568"/>
      <c r="DR352" s="568"/>
      <c r="DS352" s="568"/>
      <c r="DT352" s="568"/>
      <c r="DU352" s="568"/>
      <c r="DV352" s="568"/>
      <c r="DW352" s="568"/>
      <c r="DX352" s="568"/>
      <c r="DY352" s="568"/>
    </row>
    <row r="353" spans="1:129" ht="15" customHeight="1">
      <c r="A353" s="1603" t="s">
        <v>304</v>
      </c>
      <c r="B353" s="86"/>
      <c r="C353" s="86"/>
      <c r="D353" s="86"/>
      <c r="E353" s="86"/>
      <c r="F353" s="86"/>
      <c r="G353" s="86"/>
      <c r="H353" s="86"/>
      <c r="I353" s="86"/>
      <c r="J353" s="86"/>
      <c r="K353" s="86"/>
      <c r="L353" s="86"/>
      <c r="M353" s="86"/>
      <c r="N353" s="86"/>
      <c r="O353" s="86"/>
      <c r="P353" s="86"/>
      <c r="Q353" s="1070">
        <f>+CO353</f>
        <v>4215</v>
      </c>
      <c r="R353" s="217">
        <f>+CS353</f>
        <v>0</v>
      </c>
      <c r="S353" s="1333"/>
      <c r="T353" s="1334"/>
      <c r="U353" s="1334"/>
      <c r="V353" s="1333"/>
      <c r="W353" s="1333"/>
      <c r="X353" s="1333"/>
      <c r="Y353" s="1333"/>
      <c r="Z353" s="1333"/>
      <c r="AA353" s="1334"/>
      <c r="AB353" s="1334"/>
      <c r="AC353" s="1334"/>
      <c r="AD353" s="1334"/>
      <c r="AE353" s="1334"/>
      <c r="AF353" s="1334"/>
      <c r="AG353" s="1334"/>
      <c r="AH353" s="1947"/>
      <c r="AI353" s="606"/>
      <c r="AJ353" s="1947"/>
      <c r="AK353" s="86"/>
      <c r="AL353" s="86"/>
      <c r="AM353" s="86"/>
      <c r="AN353" s="86"/>
      <c r="AO353" s="86"/>
      <c r="AP353" s="86"/>
      <c r="AQ353" s="86"/>
      <c r="AR353" s="86"/>
      <c r="AS353" s="86"/>
      <c r="AT353" s="86"/>
      <c r="AU353" s="86"/>
      <c r="AV353" s="86"/>
      <c r="AW353" s="86"/>
      <c r="AX353" s="86"/>
      <c r="AY353" s="86"/>
      <c r="AZ353" s="86"/>
      <c r="BA353" s="86"/>
      <c r="BB353" s="86"/>
      <c r="BC353" s="86"/>
      <c r="BD353" s="86"/>
      <c r="BE353" s="86"/>
      <c r="BF353" s="86"/>
      <c r="BG353" s="86"/>
      <c r="BH353" s="86"/>
      <c r="BI353" s="86"/>
      <c r="BJ353" s="86"/>
      <c r="BK353" s="86"/>
      <c r="BL353" s="86"/>
      <c r="BM353" s="86"/>
      <c r="BN353" s="86"/>
      <c r="BO353" s="86"/>
      <c r="BP353" s="86"/>
      <c r="BQ353" s="86"/>
      <c r="BR353" s="569"/>
      <c r="BS353" s="1064"/>
      <c r="BT353" s="1064"/>
      <c r="BU353" s="1064"/>
      <c r="BV353" s="569"/>
      <c r="BW353" s="1064"/>
      <c r="BX353" s="1064"/>
      <c r="BY353" s="1064"/>
      <c r="BZ353" s="569"/>
      <c r="CA353" s="1064"/>
      <c r="CB353" s="1064"/>
      <c r="CC353" s="1064"/>
      <c r="CD353" s="569"/>
      <c r="CE353" s="1064"/>
      <c r="CF353" s="1064"/>
      <c r="CG353" s="608">
        <f>+Lines!CG125</f>
        <v>5307</v>
      </c>
      <c r="CH353" s="607">
        <f>+Lines!CH125</f>
        <v>5189</v>
      </c>
      <c r="CI353" s="1070">
        <f>+Lines!CI125</f>
        <v>5058.3209459459458</v>
      </c>
      <c r="CJ353" s="1070">
        <f>+Lines!CJ125</f>
        <v>4905.9762711864405</v>
      </c>
      <c r="CK353" s="608">
        <f>+Lines!CK125</f>
        <v>4766.4679999999998</v>
      </c>
      <c r="CL353" s="607">
        <f>+Lines!CL125</f>
        <v>4627.8890000000001</v>
      </c>
      <c r="CM353" s="1070">
        <f>+Lines!CM125</f>
        <v>4491.7889999999998</v>
      </c>
      <c r="CN353" s="1070">
        <f>+Lines!CN125</f>
        <v>4341.7889999999998</v>
      </c>
      <c r="CO353" s="1070">
        <f>+Lines!CO125</f>
        <v>4215</v>
      </c>
      <c r="CP353" s="607">
        <f>+Lines!CP125</f>
        <v>4108</v>
      </c>
      <c r="CQ353" s="1070">
        <f>+Lines!CQ125</f>
        <v>3989</v>
      </c>
      <c r="CR353" s="1070">
        <f>+Lines!CR125</f>
        <v>0</v>
      </c>
      <c r="CS353" s="1070">
        <f>+Lines!CS125</f>
        <v>0</v>
      </c>
      <c r="CT353" s="607"/>
      <c r="CU353" s="1070"/>
      <c r="CV353" s="1070"/>
      <c r="CW353" s="608"/>
      <c r="CX353" s="607"/>
      <c r="CY353" s="1070"/>
      <c r="CZ353" s="1070"/>
      <c r="DA353" s="1070"/>
      <c r="DB353" s="607"/>
      <c r="DC353" s="1070"/>
      <c r="DD353" s="1070"/>
      <c r="DE353" s="1070"/>
      <c r="DF353" s="1070"/>
      <c r="DG353" s="1070"/>
      <c r="DH353" s="1070"/>
      <c r="DI353" s="1070"/>
      <c r="DJ353" s="1070"/>
      <c r="DK353" s="1070"/>
      <c r="DL353" s="1070"/>
      <c r="DM353" s="568"/>
      <c r="DN353" s="568"/>
      <c r="DO353" s="568"/>
      <c r="DP353" s="568"/>
      <c r="DQ353" s="568"/>
      <c r="DR353" s="568"/>
      <c r="DS353" s="568"/>
      <c r="DT353" s="568"/>
      <c r="DU353" s="568"/>
      <c r="DV353" s="568"/>
      <c r="DW353" s="568"/>
      <c r="DX353" s="568"/>
      <c r="DY353" s="568"/>
    </row>
    <row r="354" spans="1:129" ht="15" customHeight="1">
      <c r="A354" s="1603" t="s">
        <v>249</v>
      </c>
      <c r="B354" s="86"/>
      <c r="C354" s="86"/>
      <c r="D354" s="86"/>
      <c r="E354" s="86"/>
      <c r="F354" s="86"/>
      <c r="G354" s="86"/>
      <c r="H354" s="86"/>
      <c r="I354" s="86"/>
      <c r="J354" s="86"/>
      <c r="K354" s="86"/>
      <c r="L354" s="86"/>
      <c r="M354" s="86"/>
      <c r="N354" s="86"/>
      <c r="O354" s="86"/>
      <c r="P354" s="86"/>
      <c r="Q354" s="1070">
        <f>+CO354</f>
        <v>1060</v>
      </c>
      <c r="R354" s="217">
        <f>+CS354</f>
        <v>0</v>
      </c>
      <c r="S354" s="1333"/>
      <c r="T354" s="1334"/>
      <c r="U354" s="1334"/>
      <c r="V354" s="1333"/>
      <c r="W354" s="1333"/>
      <c r="X354" s="1333"/>
      <c r="Y354" s="1333"/>
      <c r="Z354" s="1333"/>
      <c r="AA354" s="1334"/>
      <c r="AB354" s="1334"/>
      <c r="AC354" s="1334"/>
      <c r="AD354" s="1334"/>
      <c r="AE354" s="1334"/>
      <c r="AF354" s="1334"/>
      <c r="AG354" s="1334"/>
      <c r="AH354" s="1947"/>
      <c r="AI354" s="606"/>
      <c r="AJ354" s="1947"/>
      <c r="AK354" s="86"/>
      <c r="AL354" s="86"/>
      <c r="AM354" s="86"/>
      <c r="AN354" s="86"/>
      <c r="AO354" s="86"/>
      <c r="AP354" s="86"/>
      <c r="AQ354" s="86"/>
      <c r="AR354" s="86"/>
      <c r="AS354" s="86"/>
      <c r="AT354" s="86"/>
      <c r="AU354" s="86"/>
      <c r="AV354" s="86"/>
      <c r="AW354" s="86"/>
      <c r="AX354" s="86"/>
      <c r="AY354" s="86"/>
      <c r="AZ354" s="86"/>
      <c r="BA354" s="86"/>
      <c r="BB354" s="86"/>
      <c r="BC354" s="86"/>
      <c r="BD354" s="86"/>
      <c r="BE354" s="86"/>
      <c r="BF354" s="86"/>
      <c r="BG354" s="86"/>
      <c r="BH354" s="86"/>
      <c r="BI354" s="86"/>
      <c r="BJ354" s="86"/>
      <c r="BK354" s="86"/>
      <c r="BL354" s="86"/>
      <c r="BM354" s="86"/>
      <c r="BN354" s="86"/>
      <c r="BO354" s="86"/>
      <c r="BP354" s="86"/>
      <c r="BQ354" s="86"/>
      <c r="BR354" s="569"/>
      <c r="BS354" s="1064"/>
      <c r="BT354" s="1064"/>
      <c r="BU354" s="1064"/>
      <c r="BV354" s="569"/>
      <c r="BW354" s="1064"/>
      <c r="BX354" s="1064"/>
      <c r="BY354" s="1064"/>
      <c r="BZ354" s="569"/>
      <c r="CA354" s="1064"/>
      <c r="CB354" s="1064"/>
      <c r="CC354" s="1064"/>
      <c r="CD354" s="569"/>
      <c r="CE354" s="1064"/>
      <c r="CF354" s="1064"/>
      <c r="CG354" s="608">
        <f>+Lines!CG130</f>
        <v>919</v>
      </c>
      <c r="CH354" s="607">
        <f>+Lines!CH130</f>
        <v>956</v>
      </c>
      <c r="CI354" s="1070">
        <f>+Lines!CI130</f>
        <v>963</v>
      </c>
      <c r="CJ354" s="1070">
        <f>+Lines!CJ130</f>
        <v>985.98130841121485</v>
      </c>
      <c r="CK354" s="608">
        <f>+Lines!CK130</f>
        <v>997</v>
      </c>
      <c r="CL354" s="607">
        <f>+Lines!CL130</f>
        <v>1029</v>
      </c>
      <c r="CM354" s="1070">
        <f>+Lines!CM130</f>
        <v>1048</v>
      </c>
      <c r="CN354" s="1070">
        <f>+Lines!CN130</f>
        <v>1055</v>
      </c>
      <c r="CO354" s="1070">
        <f>+Lines!CO130</f>
        <v>1060</v>
      </c>
      <c r="CP354" s="607">
        <f>+Lines!CP130</f>
        <v>1069</v>
      </c>
      <c r="CQ354" s="1070">
        <f>+Lines!CQ130</f>
        <v>1059</v>
      </c>
      <c r="CR354" s="1070">
        <f>+Lines!CR130</f>
        <v>0</v>
      </c>
      <c r="CS354" s="1070">
        <f>+Lines!CS130</f>
        <v>0</v>
      </c>
      <c r="CT354" s="607"/>
      <c r="CU354" s="1070"/>
      <c r="CV354" s="1070"/>
      <c r="CW354" s="608"/>
      <c r="CX354" s="607"/>
      <c r="CY354" s="1070"/>
      <c r="CZ354" s="1070"/>
      <c r="DA354" s="1070"/>
      <c r="DB354" s="607"/>
      <c r="DC354" s="1070"/>
      <c r="DD354" s="1070"/>
      <c r="DE354" s="1070"/>
      <c r="DF354" s="1070"/>
      <c r="DG354" s="1070"/>
      <c r="DH354" s="1070"/>
      <c r="DI354" s="1070"/>
      <c r="DJ354" s="1070"/>
      <c r="DK354" s="1070"/>
      <c r="DL354" s="1070"/>
      <c r="DM354" s="568"/>
      <c r="DN354" s="568"/>
      <c r="DO354" s="568"/>
      <c r="DP354" s="568"/>
      <c r="DQ354" s="568"/>
      <c r="DR354" s="568"/>
      <c r="DS354" s="568"/>
      <c r="DT354" s="568"/>
      <c r="DU354" s="568"/>
      <c r="DV354" s="568"/>
      <c r="DW354" s="568"/>
      <c r="DX354" s="568"/>
      <c r="DY354" s="568"/>
    </row>
    <row r="355" spans="1:129" ht="15" customHeight="1">
      <c r="A355" s="1603" t="s">
        <v>305</v>
      </c>
      <c r="B355" s="86"/>
      <c r="C355" s="86"/>
      <c r="D355" s="86"/>
      <c r="E355" s="86"/>
      <c r="F355" s="86"/>
      <c r="G355" s="86"/>
      <c r="H355" s="86"/>
      <c r="I355" s="86"/>
      <c r="J355" s="86"/>
      <c r="K355" s="86"/>
      <c r="L355" s="86"/>
      <c r="M355" s="86"/>
      <c r="N355" s="86"/>
      <c r="O355" s="86"/>
      <c r="P355" s="86"/>
      <c r="Q355" s="1070">
        <f>+CO355</f>
        <v>111</v>
      </c>
      <c r="R355" s="217">
        <f>+CS355</f>
        <v>0</v>
      </c>
      <c r="S355" s="1333"/>
      <c r="T355" s="1334"/>
      <c r="U355" s="1334"/>
      <c r="V355" s="1333"/>
      <c r="W355" s="1333"/>
      <c r="X355" s="1333"/>
      <c r="Y355" s="1333"/>
      <c r="Z355" s="1333"/>
      <c r="AA355" s="1334"/>
      <c r="AB355" s="1334"/>
      <c r="AC355" s="1334"/>
      <c r="AD355" s="1334"/>
      <c r="AE355" s="1334"/>
      <c r="AF355" s="1334"/>
      <c r="AG355" s="1334"/>
      <c r="AH355" s="1947"/>
      <c r="AI355" s="606"/>
      <c r="AJ355" s="1947"/>
      <c r="AK355" s="86"/>
      <c r="AL355" s="86"/>
      <c r="AM355" s="86"/>
      <c r="AN355" s="86"/>
      <c r="AO355" s="86"/>
      <c r="AP355" s="86"/>
      <c r="AQ355" s="86"/>
      <c r="AR355" s="86"/>
      <c r="AS355" s="86"/>
      <c r="AT355" s="86"/>
      <c r="AU355" s="86"/>
      <c r="AV355" s="86"/>
      <c r="AW355" s="86"/>
      <c r="AX355" s="86"/>
      <c r="AY355" s="86"/>
      <c r="AZ355" s="86"/>
      <c r="BA355" s="86"/>
      <c r="BB355" s="86"/>
      <c r="BC355" s="86"/>
      <c r="BD355" s="86"/>
      <c r="BE355" s="86"/>
      <c r="BF355" s="86"/>
      <c r="BG355" s="86"/>
      <c r="BH355" s="86"/>
      <c r="BI355" s="86"/>
      <c r="BJ355" s="86"/>
      <c r="BK355" s="86"/>
      <c r="BL355" s="86"/>
      <c r="BM355" s="86"/>
      <c r="BN355" s="86"/>
      <c r="BO355" s="86"/>
      <c r="BP355" s="86"/>
      <c r="BQ355" s="86"/>
      <c r="BR355" s="569"/>
      <c r="BS355" s="1064"/>
      <c r="BT355" s="1064"/>
      <c r="BU355" s="1064"/>
      <c r="BV355" s="569"/>
      <c r="BW355" s="1064"/>
      <c r="BX355" s="1064"/>
      <c r="BY355" s="1064"/>
      <c r="BZ355" s="569"/>
      <c r="CA355" s="1064"/>
      <c r="CB355" s="1064"/>
      <c r="CC355" s="1064"/>
      <c r="CD355" s="569"/>
      <c r="CE355" s="1064"/>
      <c r="CF355" s="1064"/>
      <c r="CG355" s="608">
        <f>+Lines!CG140</f>
        <v>26</v>
      </c>
      <c r="CH355" s="607">
        <f>+Lines!CH140</f>
        <v>40</v>
      </c>
      <c r="CI355" s="1070">
        <f>+Lines!CI140</f>
        <v>46.72727272727272</v>
      </c>
      <c r="CJ355" s="1070">
        <f>+Lines!CJ140</f>
        <v>59.444444444444443</v>
      </c>
      <c r="CK355" s="608">
        <f>+Lines!CK140</f>
        <v>69</v>
      </c>
      <c r="CL355" s="607">
        <f>+Lines!CL140</f>
        <v>87</v>
      </c>
      <c r="CM355" s="1070">
        <f>+Lines!CM140</f>
        <v>102.8</v>
      </c>
      <c r="CN355" s="1070">
        <f>+Lines!CN140</f>
        <v>107</v>
      </c>
      <c r="CO355" s="1070">
        <f>+Lines!CO140</f>
        <v>111</v>
      </c>
      <c r="CP355" s="607">
        <f>+Lines!CP140</f>
        <v>114.3</v>
      </c>
      <c r="CQ355" s="1070">
        <f>+Lines!CQ140</f>
        <v>117</v>
      </c>
      <c r="CR355" s="1070">
        <f>+Lines!CR140</f>
        <v>0</v>
      </c>
      <c r="CS355" s="1070">
        <f>+Lines!CS140</f>
        <v>0</v>
      </c>
      <c r="CT355" s="607"/>
      <c r="CU355" s="1070"/>
      <c r="CV355" s="1070"/>
      <c r="CW355" s="608"/>
      <c r="CX355" s="607"/>
      <c r="CY355" s="1070"/>
      <c r="CZ355" s="1070"/>
      <c r="DA355" s="1070"/>
      <c r="DB355" s="607"/>
      <c r="DC355" s="1070"/>
      <c r="DD355" s="1070"/>
      <c r="DE355" s="1070"/>
      <c r="DF355" s="1070"/>
      <c r="DG355" s="1070"/>
      <c r="DH355" s="1070"/>
      <c r="DI355" s="1070"/>
      <c r="DJ355" s="1070"/>
      <c r="DK355" s="1070"/>
      <c r="DL355" s="1070"/>
      <c r="DM355" s="568"/>
      <c r="DN355" s="568"/>
      <c r="DO355" s="568"/>
      <c r="DP355" s="568"/>
      <c r="DQ355" s="568"/>
      <c r="DR355" s="568"/>
      <c r="DS355" s="568"/>
      <c r="DT355" s="568"/>
      <c r="DU355" s="568"/>
      <c r="DV355" s="568"/>
      <c r="DW355" s="568"/>
      <c r="DX355" s="568"/>
      <c r="DY355" s="568"/>
    </row>
    <row r="356" spans="1:129" ht="15" customHeight="1">
      <c r="A356" s="1595" t="s">
        <v>1040</v>
      </c>
      <c r="B356" s="86"/>
      <c r="C356" s="86"/>
      <c r="D356" s="86"/>
      <c r="E356" s="86"/>
      <c r="F356" s="86"/>
      <c r="G356" s="86"/>
      <c r="H356" s="86"/>
      <c r="I356" s="86"/>
      <c r="J356" s="86"/>
      <c r="K356" s="86"/>
      <c r="L356" s="86"/>
      <c r="M356" s="86"/>
      <c r="N356" s="86"/>
      <c r="O356" s="86"/>
      <c r="P356" s="86"/>
      <c r="Q356" s="1070">
        <f>SUM(Q353:Q355)</f>
        <v>5386</v>
      </c>
      <c r="R356" s="217">
        <f>SUM(R353:R355)</f>
        <v>0</v>
      </c>
      <c r="S356" s="1333"/>
      <c r="T356" s="1334"/>
      <c r="U356" s="1334"/>
      <c r="V356" s="1333"/>
      <c r="W356" s="1333"/>
      <c r="X356" s="1333"/>
      <c r="Y356" s="1333"/>
      <c r="Z356" s="1333"/>
      <c r="AA356" s="1334"/>
      <c r="AB356" s="1334"/>
      <c r="AC356" s="1334"/>
      <c r="AD356" s="1334"/>
      <c r="AE356" s="1334"/>
      <c r="AF356" s="1334"/>
      <c r="AG356" s="1334"/>
      <c r="AH356" s="1947"/>
      <c r="AI356" s="606"/>
      <c r="AJ356" s="1947"/>
      <c r="AK356" s="86"/>
      <c r="AL356" s="86"/>
      <c r="AM356" s="86"/>
      <c r="AN356" s="86"/>
      <c r="AO356" s="86"/>
      <c r="AP356" s="86"/>
      <c r="AQ356" s="86"/>
      <c r="AR356" s="86"/>
      <c r="AS356" s="86"/>
      <c r="AT356" s="86"/>
      <c r="AU356" s="86"/>
      <c r="AV356" s="86"/>
      <c r="AW356" s="86"/>
      <c r="AX356" s="86"/>
      <c r="AY356" s="86"/>
      <c r="AZ356" s="86"/>
      <c r="BA356" s="86"/>
      <c r="BB356" s="86"/>
      <c r="BC356" s="86"/>
      <c r="BD356" s="86"/>
      <c r="BE356" s="86"/>
      <c r="BF356" s="86"/>
      <c r="BG356" s="86"/>
      <c r="BH356" s="86"/>
      <c r="BI356" s="86"/>
      <c r="BJ356" s="86"/>
      <c r="BK356" s="86"/>
      <c r="BL356" s="86"/>
      <c r="BM356" s="86"/>
      <c r="BN356" s="86"/>
      <c r="BO356" s="86"/>
      <c r="BP356" s="86"/>
      <c r="BQ356" s="86"/>
      <c r="BR356" s="569"/>
      <c r="BS356" s="1064"/>
      <c r="BT356" s="1064"/>
      <c r="BU356" s="1064"/>
      <c r="BV356" s="569"/>
      <c r="BW356" s="1064"/>
      <c r="BX356" s="1064"/>
      <c r="BY356" s="1064"/>
      <c r="BZ356" s="569"/>
      <c r="CA356" s="1064"/>
      <c r="CB356" s="1064"/>
      <c r="CC356" s="1064"/>
      <c r="CD356" s="569"/>
      <c r="CE356" s="1064"/>
      <c r="CF356" s="1064"/>
      <c r="CG356" s="155">
        <f t="shared" ref="CG356:CS356" si="440">SUM(CG353:CG355)</f>
        <v>6252</v>
      </c>
      <c r="CH356" s="150">
        <f t="shared" si="440"/>
        <v>6185</v>
      </c>
      <c r="CI356" s="1113">
        <f t="shared" si="440"/>
        <v>6068.0482186732188</v>
      </c>
      <c r="CJ356" s="1113">
        <f t="shared" si="440"/>
        <v>5951.4020240420996</v>
      </c>
      <c r="CK356" s="155">
        <f t="shared" si="440"/>
        <v>5832.4679999999998</v>
      </c>
      <c r="CL356" s="150">
        <f t="shared" si="440"/>
        <v>5743.8890000000001</v>
      </c>
      <c r="CM356" s="1113">
        <f t="shared" si="440"/>
        <v>5642.5889999999999</v>
      </c>
      <c r="CN356" s="1113">
        <f t="shared" si="440"/>
        <v>5503.7889999999998</v>
      </c>
      <c r="CO356" s="1113">
        <f t="shared" si="440"/>
        <v>5386</v>
      </c>
      <c r="CP356" s="150">
        <f t="shared" si="440"/>
        <v>5291.3</v>
      </c>
      <c r="CQ356" s="1113">
        <f t="shared" si="440"/>
        <v>5165</v>
      </c>
      <c r="CR356" s="1113">
        <f t="shared" si="440"/>
        <v>0</v>
      </c>
      <c r="CS356" s="1113">
        <f t="shared" si="440"/>
        <v>0</v>
      </c>
      <c r="CT356" s="150"/>
      <c r="CU356" s="1113"/>
      <c r="CV356" s="1113"/>
      <c r="CW356" s="155"/>
      <c r="CX356" s="150"/>
      <c r="CY356" s="1113"/>
      <c r="CZ356" s="1113"/>
      <c r="DA356" s="1113"/>
      <c r="DB356" s="150"/>
      <c r="DC356" s="1113"/>
      <c r="DD356" s="1113"/>
      <c r="DE356" s="1113"/>
      <c r="DF356" s="1113"/>
      <c r="DG356" s="1113"/>
      <c r="DH356" s="1113"/>
      <c r="DI356" s="1113"/>
      <c r="DJ356" s="1113"/>
      <c r="DK356" s="1113"/>
      <c r="DL356" s="1113"/>
      <c r="DM356" s="568"/>
      <c r="DN356" s="568"/>
      <c r="DO356" s="568"/>
      <c r="DP356" s="568"/>
      <c r="DQ356" s="568"/>
      <c r="DR356" s="568"/>
      <c r="DS356" s="568"/>
      <c r="DT356" s="568"/>
      <c r="DU356" s="568"/>
      <c r="DV356" s="568"/>
      <c r="DW356" s="568"/>
      <c r="DX356" s="568"/>
      <c r="DY356" s="568"/>
    </row>
    <row r="357" spans="1:129" ht="15" customHeight="1">
      <c r="A357" s="1603" t="s">
        <v>306</v>
      </c>
      <c r="B357" s="86"/>
      <c r="C357" s="86"/>
      <c r="D357" s="86"/>
      <c r="E357" s="86"/>
      <c r="F357" s="86"/>
      <c r="G357" s="86"/>
      <c r="H357" s="86"/>
      <c r="I357" s="86"/>
      <c r="J357" s="86"/>
      <c r="K357" s="86"/>
      <c r="L357" s="86"/>
      <c r="M357" s="86"/>
      <c r="N357" s="86"/>
      <c r="O357" s="86"/>
      <c r="P357" s="86"/>
      <c r="Q357" s="1070">
        <f>+AVERAGE(P356:Q356)</f>
        <v>5386</v>
      </c>
      <c r="R357" s="217">
        <f>+AVERAGE(Q356:R356)</f>
        <v>2693</v>
      </c>
      <c r="S357" s="1333"/>
      <c r="T357" s="1334"/>
      <c r="U357" s="1334"/>
      <c r="V357" s="1333"/>
      <c r="W357" s="1333"/>
      <c r="X357" s="1333"/>
      <c r="Y357" s="1333"/>
      <c r="Z357" s="1333"/>
      <c r="AA357" s="1334"/>
      <c r="AB357" s="1334"/>
      <c r="AC357" s="1334"/>
      <c r="AD357" s="1334"/>
      <c r="AE357" s="1334"/>
      <c r="AF357" s="1334"/>
      <c r="AG357" s="1334"/>
      <c r="AH357" s="1947"/>
      <c r="AI357" s="606"/>
      <c r="AJ357" s="1947"/>
      <c r="AK357" s="86"/>
      <c r="AL357" s="86"/>
      <c r="AM357" s="86"/>
      <c r="AN357" s="86"/>
      <c r="AO357" s="86"/>
      <c r="AP357" s="86"/>
      <c r="AQ357" s="86"/>
      <c r="AR357" s="86"/>
      <c r="AS357" s="86"/>
      <c r="AT357" s="86"/>
      <c r="AU357" s="86"/>
      <c r="AV357" s="86"/>
      <c r="AW357" s="86"/>
      <c r="AX357" s="86"/>
      <c r="AY357" s="86"/>
      <c r="AZ357" s="86"/>
      <c r="BA357" s="86"/>
      <c r="BB357" s="86"/>
      <c r="BC357" s="86"/>
      <c r="BD357" s="86"/>
      <c r="BE357" s="86"/>
      <c r="BF357" s="86"/>
      <c r="BG357" s="86"/>
      <c r="BH357" s="86"/>
      <c r="BI357" s="86"/>
      <c r="BJ357" s="86"/>
      <c r="BK357" s="86"/>
      <c r="BL357" s="86"/>
      <c r="BM357" s="86"/>
      <c r="BN357" s="86"/>
      <c r="BO357" s="86"/>
      <c r="BP357" s="86"/>
      <c r="BQ357" s="86"/>
      <c r="BR357" s="569"/>
      <c r="BS357" s="1064"/>
      <c r="BT357" s="1064"/>
      <c r="BU357" s="1064"/>
      <c r="BV357" s="569"/>
      <c r="BW357" s="1064"/>
      <c r="BX357" s="1064"/>
      <c r="BY357" s="1064"/>
      <c r="BZ357" s="569"/>
      <c r="CA357" s="1064"/>
      <c r="CB357" s="1064"/>
      <c r="CC357" s="1064"/>
      <c r="CD357" s="569"/>
      <c r="CE357" s="1064"/>
      <c r="CF357" s="1064"/>
      <c r="CG357" s="568"/>
      <c r="CH357" s="607">
        <f t="shared" ref="CH357:CS357" si="441">+AVERAGE(CG356:CH356)</f>
        <v>6218.5</v>
      </c>
      <c r="CI357" s="1070">
        <f t="shared" si="441"/>
        <v>6126.5241093366094</v>
      </c>
      <c r="CJ357" s="1070">
        <f t="shared" si="441"/>
        <v>6009.7251213576592</v>
      </c>
      <c r="CK357" s="608">
        <f t="shared" si="441"/>
        <v>5891.9350120210493</v>
      </c>
      <c r="CL357" s="607">
        <f t="shared" si="441"/>
        <v>5788.1785</v>
      </c>
      <c r="CM357" s="1070">
        <f t="shared" si="441"/>
        <v>5693.2389999999996</v>
      </c>
      <c r="CN357" s="1070">
        <f t="shared" si="441"/>
        <v>5573.1890000000003</v>
      </c>
      <c r="CO357" s="1070">
        <f t="shared" si="441"/>
        <v>5444.8945000000003</v>
      </c>
      <c r="CP357" s="607">
        <f t="shared" si="441"/>
        <v>5338.65</v>
      </c>
      <c r="CQ357" s="1070">
        <f t="shared" si="441"/>
        <v>5228.1499999999996</v>
      </c>
      <c r="CR357" s="1070">
        <f t="shared" si="441"/>
        <v>2582.5</v>
      </c>
      <c r="CS357" s="1070">
        <f t="shared" si="441"/>
        <v>0</v>
      </c>
      <c r="CT357" s="607"/>
      <c r="CU357" s="1070"/>
      <c r="CV357" s="1070"/>
      <c r="CW357" s="608"/>
      <c r="CX357" s="607"/>
      <c r="CY357" s="1070"/>
      <c r="CZ357" s="1070"/>
      <c r="DA357" s="1070"/>
      <c r="DB357" s="607"/>
      <c r="DC357" s="1070"/>
      <c r="DD357" s="1070"/>
      <c r="DE357" s="1070"/>
      <c r="DF357" s="1070"/>
      <c r="DG357" s="1070"/>
      <c r="DH357" s="1070"/>
      <c r="DI357" s="1070"/>
      <c r="DJ357" s="1070"/>
      <c r="DK357" s="1070"/>
      <c r="DL357" s="1070"/>
      <c r="DM357" s="568"/>
      <c r="DN357" s="568"/>
      <c r="DO357" s="568"/>
      <c r="DP357" s="568"/>
      <c r="DQ357" s="568"/>
      <c r="DR357" s="568"/>
      <c r="DS357" s="568"/>
      <c r="DT357" s="568"/>
      <c r="DU357" s="568"/>
      <c r="DV357" s="568"/>
      <c r="DW357" s="568"/>
      <c r="DX357" s="568"/>
      <c r="DY357" s="568"/>
    </row>
    <row r="358" spans="1:129" ht="15" customHeight="1">
      <c r="A358" s="1603" t="s">
        <v>307</v>
      </c>
      <c r="B358" s="588"/>
      <c r="C358" s="588"/>
      <c r="D358" s="588"/>
      <c r="E358" s="588"/>
      <c r="F358" s="588"/>
      <c r="G358" s="588"/>
      <c r="H358" s="588"/>
      <c r="I358" s="588"/>
      <c r="J358" s="588"/>
      <c r="K358" s="588"/>
      <c r="L358" s="588"/>
      <c r="M358" s="588"/>
      <c r="N358" s="588"/>
      <c r="O358" s="588"/>
      <c r="P358" s="588"/>
      <c r="Q358" s="1295">
        <f>+Q306/Q357/12*1000</f>
        <v>62.120930808268355</v>
      </c>
      <c r="R358" s="588">
        <f>+R306/R357/12*1000</f>
        <v>71.554048019669111</v>
      </c>
      <c r="U358"/>
      <c r="AA358"/>
      <c r="AB358" s="3146"/>
      <c r="AC358" s="3146"/>
      <c r="AD358" s="3146"/>
      <c r="AE358" s="3146"/>
      <c r="AF358" s="3146"/>
      <c r="AG358" s="3146"/>
      <c r="AH358" s="1956"/>
      <c r="AI358" s="606"/>
      <c r="AJ358" s="1956"/>
      <c r="AK358" s="588"/>
      <c r="AL358" s="588"/>
      <c r="AM358" s="588"/>
      <c r="AN358" s="588"/>
      <c r="AO358" s="588"/>
      <c r="AP358" s="588"/>
      <c r="AQ358" s="588"/>
      <c r="AR358" s="588"/>
      <c r="AS358" s="588"/>
      <c r="AT358" s="588"/>
      <c r="AU358" s="588"/>
      <c r="AV358" s="588"/>
      <c r="AW358" s="588"/>
      <c r="AX358" s="588"/>
      <c r="AY358" s="588"/>
      <c r="AZ358" s="588"/>
      <c r="BA358" s="588"/>
      <c r="BB358" s="588"/>
      <c r="BC358" s="588"/>
      <c r="BD358" s="588"/>
      <c r="BE358" s="588"/>
      <c r="BF358" s="588"/>
      <c r="BG358" s="588"/>
      <c r="BH358" s="588"/>
      <c r="BI358" s="588"/>
      <c r="BJ358" s="588"/>
      <c r="BK358" s="588"/>
      <c r="BL358" s="588"/>
      <c r="BM358" s="588"/>
      <c r="BN358" s="588"/>
      <c r="BO358" s="588"/>
      <c r="BP358" s="588"/>
      <c r="BQ358" s="588"/>
      <c r="BR358" s="629"/>
      <c r="BS358" s="1295"/>
      <c r="BT358" s="1295"/>
      <c r="BU358" s="1295"/>
      <c r="BV358" s="629"/>
      <c r="BW358" s="1295"/>
      <c r="BX358" s="1295"/>
      <c r="BY358" s="1295"/>
      <c r="BZ358" s="629"/>
      <c r="CA358" s="1295"/>
      <c r="CB358" s="1295"/>
      <c r="CC358" s="1295"/>
      <c r="CD358" s="629"/>
      <c r="CE358" s="1295"/>
      <c r="CF358" s="1295"/>
      <c r="CG358" s="630"/>
      <c r="CH358" s="629">
        <f t="shared" ref="CH358:CP358" si="442">+CH306/CH357/3*1000</f>
        <v>58.910240947709795</v>
      </c>
      <c r="CI358" s="1295">
        <f t="shared" si="442"/>
        <v>59.957869548498159</v>
      </c>
      <c r="CJ358" s="1295">
        <f t="shared" si="442"/>
        <v>0</v>
      </c>
      <c r="CK358" s="630">
        <f t="shared" si="442"/>
        <v>0</v>
      </c>
      <c r="CL358" s="629">
        <f t="shared" si="442"/>
        <v>59.66183201387679</v>
      </c>
      <c r="CM358" s="1295">
        <f t="shared" si="442"/>
        <v>60.012703957565577</v>
      </c>
      <c r="CN358" s="1295">
        <f t="shared" si="442"/>
        <v>59.122344496122416</v>
      </c>
      <c r="CO358" s="1295">
        <f t="shared" si="442"/>
        <v>59.107358890669651</v>
      </c>
      <c r="CP358" s="629">
        <f t="shared" si="442"/>
        <v>59.565620522042089</v>
      </c>
      <c r="CQ358" s="1295">
        <f>+CM358*(1+CQ359)</f>
        <v>60.312767477353397</v>
      </c>
      <c r="CR358" s="1295">
        <f>+CN358*(1+CR359)</f>
        <v>59.417956218603024</v>
      </c>
      <c r="CS358" s="1295">
        <f>+CO358*(1+CS359)</f>
        <v>59.402895685122992</v>
      </c>
      <c r="CT358" s="629"/>
      <c r="CU358" s="1295"/>
      <c r="CV358" s="1295"/>
      <c r="CW358" s="630"/>
      <c r="CX358" s="629"/>
      <c r="CY358" s="1295"/>
      <c r="CZ358" s="1295"/>
      <c r="DA358" s="1295"/>
      <c r="DB358" s="629"/>
      <c r="DC358" s="1295"/>
      <c r="DD358" s="1295"/>
      <c r="DE358" s="1295"/>
      <c r="DF358" s="1295"/>
      <c r="DG358" s="1295"/>
      <c r="DH358" s="1295"/>
      <c r="DI358" s="1295"/>
      <c r="DJ358" s="1295"/>
      <c r="DK358" s="1295"/>
      <c r="DL358" s="1295"/>
      <c r="DM358" s="630"/>
      <c r="DN358" s="630"/>
      <c r="DO358" s="630"/>
      <c r="DP358" s="630"/>
      <c r="DQ358" s="630"/>
      <c r="DR358" s="630"/>
      <c r="DS358" s="630"/>
      <c r="DT358" s="630"/>
      <c r="DU358" s="630"/>
      <c r="DV358" s="630"/>
      <c r="DW358" s="630"/>
      <c r="DX358" s="630"/>
      <c r="DY358" s="630"/>
    </row>
    <row r="359" spans="1:129" ht="15" customHeight="1">
      <c r="A359" s="1607" t="s">
        <v>288</v>
      </c>
      <c r="B359" s="562"/>
      <c r="C359" s="562"/>
      <c r="D359" s="562"/>
      <c r="E359" s="562"/>
      <c r="F359" s="562"/>
      <c r="G359" s="562"/>
      <c r="H359" s="562"/>
      <c r="I359" s="562"/>
      <c r="J359" s="562"/>
      <c r="K359" s="562"/>
      <c r="L359" s="562"/>
      <c r="M359" s="562"/>
      <c r="N359" s="562"/>
      <c r="O359" s="562"/>
      <c r="P359" s="562"/>
      <c r="Q359" s="1065"/>
      <c r="R359" s="562"/>
      <c r="S359" s="1246"/>
      <c r="T359" s="1239"/>
      <c r="U359" s="1239"/>
      <c r="V359" s="1246"/>
      <c r="W359" s="1246"/>
      <c r="X359" s="1246"/>
      <c r="Y359" s="1246"/>
      <c r="Z359" s="1246"/>
      <c r="AA359" s="1239"/>
      <c r="AB359" s="1239"/>
      <c r="AC359" s="1239"/>
      <c r="AD359" s="1239"/>
      <c r="AE359" s="1239"/>
      <c r="AF359" s="1239"/>
      <c r="AG359" s="1239"/>
      <c r="AH359" s="1927"/>
      <c r="AI359" s="606"/>
      <c r="AJ359" s="1927"/>
      <c r="AK359" s="562"/>
      <c r="AL359" s="562"/>
      <c r="AM359" s="562"/>
      <c r="AN359" s="562"/>
      <c r="AO359" s="562"/>
      <c r="AP359" s="562"/>
      <c r="AQ359" s="562"/>
      <c r="AR359" s="562"/>
      <c r="AS359" s="562"/>
      <c r="AT359" s="562"/>
      <c r="AU359" s="562"/>
      <c r="AV359" s="562"/>
      <c r="AW359" s="562"/>
      <c r="AX359" s="562"/>
      <c r="AY359" s="562"/>
      <c r="AZ359" s="562"/>
      <c r="BA359" s="562"/>
      <c r="BB359" s="562"/>
      <c r="BC359" s="562"/>
      <c r="BD359" s="562"/>
      <c r="BE359" s="562"/>
      <c r="BF359" s="562"/>
      <c r="BG359" s="562"/>
      <c r="BH359" s="562"/>
      <c r="BI359" s="562"/>
      <c r="BJ359" s="562"/>
      <c r="BK359" s="562"/>
      <c r="BL359" s="562"/>
      <c r="BM359" s="562"/>
      <c r="BN359" s="562"/>
      <c r="BO359" s="562"/>
      <c r="BP359" s="562"/>
      <c r="BQ359" s="562"/>
      <c r="BR359" s="563"/>
      <c r="BS359" s="1065"/>
      <c r="BT359" s="1065"/>
      <c r="BU359" s="1065"/>
      <c r="BV359" s="563"/>
      <c r="BW359" s="1065"/>
      <c r="BX359" s="1065"/>
      <c r="BY359" s="1065"/>
      <c r="BZ359" s="563"/>
      <c r="CA359" s="1065"/>
      <c r="CB359" s="1065"/>
      <c r="CC359" s="1065"/>
      <c r="CD359" s="563"/>
      <c r="CE359" s="1065"/>
      <c r="CF359" s="1065"/>
      <c r="CG359" s="564"/>
      <c r="CH359" s="563"/>
      <c r="CI359" s="1065"/>
      <c r="CJ359" s="1065"/>
      <c r="CK359" s="564"/>
      <c r="CL359" s="563"/>
      <c r="CM359" s="1065"/>
      <c r="CN359" s="1065"/>
      <c r="CO359" s="1065"/>
      <c r="CP359" s="563"/>
      <c r="CQ359" s="1059">
        <v>5.0000000000000001E-3</v>
      </c>
      <c r="CR359" s="1059">
        <v>5.0000000000000001E-3</v>
      </c>
      <c r="CS359" s="1059">
        <v>5.0000000000000001E-3</v>
      </c>
      <c r="CT359" s="165"/>
      <c r="CU359" s="1059"/>
      <c r="CV359" s="1059"/>
      <c r="CW359" s="166"/>
      <c r="CX359" s="165"/>
      <c r="CY359" s="1059"/>
      <c r="CZ359" s="1059"/>
      <c r="DA359" s="1059"/>
      <c r="DB359" s="165"/>
      <c r="DC359" s="1059"/>
      <c r="DD359" s="1059"/>
      <c r="DE359" s="1059"/>
      <c r="DF359" s="1059"/>
      <c r="DG359" s="1059"/>
      <c r="DH359" s="1059"/>
      <c r="DI359" s="1059"/>
      <c r="DJ359" s="1059"/>
      <c r="DK359" s="1059"/>
      <c r="DL359" s="1059"/>
      <c r="DM359" s="564"/>
      <c r="DN359" s="564"/>
      <c r="DO359" s="564"/>
      <c r="DP359" s="564"/>
      <c r="DQ359" s="564"/>
      <c r="DR359" s="564"/>
      <c r="DS359" s="564"/>
      <c r="DT359" s="564"/>
      <c r="DU359" s="564"/>
      <c r="DV359" s="564"/>
      <c r="DW359" s="564"/>
      <c r="DX359" s="564"/>
      <c r="DY359" s="564"/>
    </row>
    <row r="360" spans="1:129" ht="15" customHeight="1">
      <c r="A360" s="1603"/>
      <c r="B360" s="86"/>
      <c r="C360" s="86"/>
      <c r="D360" s="86"/>
      <c r="E360" s="86"/>
      <c r="F360" s="86"/>
      <c r="G360" s="86"/>
      <c r="H360" s="86"/>
      <c r="I360" s="86"/>
      <c r="J360" s="86"/>
      <c r="K360" s="86"/>
      <c r="L360" s="86"/>
      <c r="M360" s="86"/>
      <c r="N360" s="86"/>
      <c r="O360" s="86"/>
      <c r="P360" s="86"/>
      <c r="Q360" s="1064"/>
      <c r="R360" s="86"/>
      <c r="S360" s="795"/>
      <c r="T360" s="1319"/>
      <c r="U360" s="1319"/>
      <c r="V360" s="795"/>
      <c r="W360" s="795"/>
      <c r="X360" s="795"/>
      <c r="Y360" s="795"/>
      <c r="Z360" s="795"/>
      <c r="AA360" s="1319"/>
      <c r="AB360" s="1319"/>
      <c r="AC360" s="1319"/>
      <c r="AD360" s="1319"/>
      <c r="AE360" s="1319"/>
      <c r="AF360" s="1319"/>
      <c r="AG360" s="1319"/>
      <c r="AH360" s="1947"/>
      <c r="AI360" s="606"/>
      <c r="AJ360" s="1947"/>
      <c r="AK360" s="86"/>
      <c r="AL360" s="86"/>
      <c r="AM360" s="86"/>
      <c r="AN360" s="86"/>
      <c r="AO360" s="86"/>
      <c r="AP360" s="86"/>
      <c r="AQ360" s="86"/>
      <c r="AR360" s="86"/>
      <c r="AS360" s="86"/>
      <c r="AT360" s="86"/>
      <c r="AU360" s="86"/>
      <c r="AV360" s="86"/>
      <c r="AW360" s="86"/>
      <c r="AX360" s="86"/>
      <c r="AY360" s="86"/>
      <c r="AZ360" s="86"/>
      <c r="BA360" s="86"/>
      <c r="BB360" s="86"/>
      <c r="BC360" s="86"/>
      <c r="BD360" s="86"/>
      <c r="BE360" s="86"/>
      <c r="BF360" s="86"/>
      <c r="BG360" s="86"/>
      <c r="BH360" s="86"/>
      <c r="BI360" s="86"/>
      <c r="BJ360" s="86"/>
      <c r="BK360" s="86"/>
      <c r="BL360" s="86"/>
      <c r="BM360" s="86"/>
      <c r="BN360" s="86"/>
      <c r="BO360" s="86"/>
      <c r="BP360" s="86"/>
      <c r="BQ360" s="86"/>
      <c r="BR360" s="569"/>
      <c r="BS360" s="1064"/>
      <c r="BT360" s="1064"/>
      <c r="BU360" s="1064"/>
      <c r="BV360" s="569"/>
      <c r="BW360" s="1064"/>
      <c r="BX360" s="1064"/>
      <c r="BY360" s="1064"/>
      <c r="BZ360" s="569"/>
      <c r="CA360" s="1064"/>
      <c r="CB360" s="1064"/>
      <c r="CC360" s="1064"/>
      <c r="CD360" s="569"/>
      <c r="CE360" s="1064"/>
      <c r="CF360" s="1064"/>
      <c r="CG360" s="568"/>
      <c r="CH360" s="569"/>
      <c r="CI360" s="1064"/>
      <c r="CJ360" s="1064"/>
      <c r="CK360" s="568"/>
      <c r="CL360" s="569"/>
      <c r="CM360" s="1064"/>
      <c r="CN360" s="1064"/>
      <c r="CO360" s="1064"/>
      <c r="CP360" s="569"/>
      <c r="CQ360" s="1064"/>
      <c r="CR360" s="1064"/>
      <c r="CS360" s="1064"/>
      <c r="CT360" s="569"/>
      <c r="CU360" s="1064"/>
      <c r="CV360" s="1064"/>
      <c r="CW360" s="568"/>
      <c r="CX360" s="569"/>
      <c r="CY360" s="1064"/>
      <c r="CZ360" s="1064"/>
      <c r="DA360" s="1064"/>
      <c r="DB360" s="569"/>
      <c r="DC360" s="1064"/>
      <c r="DD360" s="1064"/>
      <c r="DE360" s="1064"/>
      <c r="DF360" s="1064"/>
      <c r="DG360" s="1064"/>
      <c r="DH360" s="1064"/>
      <c r="DI360" s="1064"/>
      <c r="DJ360" s="1064"/>
      <c r="DK360" s="1064"/>
      <c r="DL360" s="1064"/>
      <c r="DM360" s="568"/>
      <c r="DN360" s="568"/>
      <c r="DO360" s="568"/>
      <c r="DP360" s="568"/>
      <c r="DQ360" s="568"/>
      <c r="DR360" s="568"/>
      <c r="DS360" s="568"/>
      <c r="DT360" s="568"/>
      <c r="DU360" s="568"/>
      <c r="DV360" s="568"/>
      <c r="DW360" s="568"/>
      <c r="DX360" s="568"/>
      <c r="DY360" s="568"/>
    </row>
    <row r="361" spans="1:129" ht="15" customHeight="1">
      <c r="A361" s="1603"/>
      <c r="B361" s="86"/>
      <c r="C361" s="86"/>
      <c r="D361" s="86"/>
      <c r="E361" s="86"/>
      <c r="F361" s="86"/>
      <c r="G361" s="86"/>
      <c r="H361" s="86"/>
      <c r="I361" s="86"/>
      <c r="J361" s="86"/>
      <c r="K361" s="86"/>
      <c r="L361" s="86"/>
      <c r="M361" s="86"/>
      <c r="N361" s="86"/>
      <c r="O361" s="86"/>
      <c r="P361" s="86"/>
      <c r="Q361" s="1064"/>
      <c r="R361" s="86"/>
      <c r="S361" s="795"/>
      <c r="T361" s="1319"/>
      <c r="U361" s="1319"/>
      <c r="V361" s="795"/>
      <c r="W361" s="795"/>
      <c r="X361" s="795"/>
      <c r="Y361" s="795"/>
      <c r="Z361" s="795"/>
      <c r="AA361" s="1319"/>
      <c r="AB361" s="1319"/>
      <c r="AC361" s="1319"/>
      <c r="AD361" s="1319"/>
      <c r="AE361" s="1319"/>
      <c r="AF361" s="1319"/>
      <c r="AG361" s="1319"/>
      <c r="AH361" s="1947"/>
      <c r="AI361" s="606"/>
      <c r="AJ361" s="1947"/>
      <c r="AK361" s="86"/>
      <c r="AL361" s="86"/>
      <c r="AM361" s="86"/>
      <c r="AN361" s="86"/>
      <c r="AO361" s="86"/>
      <c r="AP361" s="86"/>
      <c r="AQ361" s="86"/>
      <c r="AR361" s="86"/>
      <c r="AS361" s="86"/>
      <c r="AT361" s="86"/>
      <c r="AU361" s="86"/>
      <c r="AV361" s="86"/>
      <c r="AW361" s="86"/>
      <c r="AX361" s="86"/>
      <c r="AY361" s="86"/>
      <c r="AZ361" s="86"/>
      <c r="BA361" s="86"/>
      <c r="BB361" s="86"/>
      <c r="BC361" s="86"/>
      <c r="BD361" s="86"/>
      <c r="BE361" s="86"/>
      <c r="BF361" s="86"/>
      <c r="BG361" s="86"/>
      <c r="BH361" s="86"/>
      <c r="BI361" s="86"/>
      <c r="BJ361" s="86"/>
      <c r="BK361" s="86"/>
      <c r="BL361" s="86"/>
      <c r="BM361" s="86"/>
      <c r="BN361" s="86"/>
      <c r="BO361" s="86"/>
      <c r="BP361" s="86"/>
      <c r="BQ361" s="86"/>
      <c r="BR361" s="569"/>
      <c r="BS361" s="1064"/>
      <c r="BT361" s="1064"/>
      <c r="BU361" s="1064"/>
      <c r="BV361" s="569"/>
      <c r="BW361" s="1064"/>
      <c r="BX361" s="1064"/>
      <c r="BY361" s="1064"/>
      <c r="BZ361" s="569"/>
      <c r="CA361" s="1064"/>
      <c r="CB361" s="1064"/>
      <c r="CC361" s="1064"/>
      <c r="CD361" s="569"/>
      <c r="CE361" s="1064"/>
      <c r="CF361" s="1064"/>
      <c r="CG361" s="568"/>
      <c r="CH361" s="569"/>
      <c r="CI361" s="1064"/>
      <c r="CJ361" s="1064"/>
      <c r="CK361" s="568"/>
      <c r="CL361" s="569"/>
      <c r="CM361" s="1064"/>
      <c r="CN361" s="1064"/>
      <c r="CO361" s="1064"/>
      <c r="CP361" s="569"/>
      <c r="CQ361" s="1064"/>
      <c r="CR361" s="1064"/>
      <c r="CS361" s="1064"/>
      <c r="CT361" s="569"/>
      <c r="CU361" s="1064"/>
      <c r="CV361" s="1064"/>
      <c r="CW361" s="568"/>
      <c r="CX361" s="569"/>
      <c r="CY361" s="1064"/>
      <c r="CZ361" s="1064"/>
      <c r="DA361" s="1064"/>
      <c r="DB361" s="569"/>
      <c r="DC361" s="1064"/>
      <c r="DD361" s="1064"/>
      <c r="DE361" s="1064"/>
      <c r="DF361" s="1064"/>
      <c r="DG361" s="1064"/>
      <c r="DH361" s="1064"/>
      <c r="DI361" s="1064"/>
      <c r="DJ361" s="1064"/>
      <c r="DK361" s="1064"/>
      <c r="DL361" s="1064"/>
      <c r="DM361" s="568"/>
      <c r="DN361" s="568"/>
      <c r="DO361" s="568"/>
      <c r="DP361" s="568"/>
      <c r="DQ361" s="568"/>
      <c r="DR361" s="568"/>
      <c r="DS361" s="568"/>
      <c r="DT361" s="568"/>
      <c r="DU361" s="568"/>
      <c r="DV361" s="568"/>
      <c r="DW361" s="568"/>
      <c r="DX361" s="568"/>
      <c r="DY361" s="568"/>
    </row>
    <row r="362" spans="1:129" ht="15" customHeight="1">
      <c r="A362" s="1603"/>
      <c r="B362" s="86"/>
      <c r="C362" s="86"/>
      <c r="D362" s="86"/>
      <c r="E362" s="86"/>
      <c r="F362" s="86"/>
      <c r="G362" s="86"/>
      <c r="H362" s="86"/>
      <c r="I362" s="86"/>
      <c r="J362" s="86"/>
      <c r="K362" s="86"/>
      <c r="L362" s="86"/>
      <c r="M362" s="86"/>
      <c r="N362" s="86"/>
      <c r="O362" s="86"/>
      <c r="P362" s="86"/>
      <c r="Q362" s="1064"/>
      <c r="R362" s="86"/>
      <c r="S362" s="86"/>
      <c r="T362" s="1064"/>
      <c r="U362" s="1064"/>
      <c r="V362" s="86"/>
      <c r="W362" s="86"/>
      <c r="X362" s="86"/>
      <c r="Y362" s="86"/>
      <c r="Z362" s="86"/>
      <c r="AA362" s="1064"/>
      <c r="AB362" s="1064"/>
      <c r="AC362" s="1064"/>
      <c r="AD362" s="1064"/>
      <c r="AE362" s="1064"/>
      <c r="AF362" s="1064"/>
      <c r="AG362" s="1064"/>
      <c r="AH362" s="1947"/>
      <c r="AI362" s="606"/>
      <c r="AJ362" s="1947"/>
      <c r="AK362" s="86"/>
      <c r="AL362" s="86"/>
      <c r="AM362" s="86"/>
      <c r="AN362" s="86"/>
      <c r="AO362" s="86"/>
      <c r="AP362" s="86"/>
      <c r="AQ362" s="86"/>
      <c r="AR362" s="86"/>
      <c r="AS362" s="86"/>
      <c r="AT362" s="86"/>
      <c r="AU362" s="86"/>
      <c r="AV362" s="86"/>
      <c r="AW362" s="86"/>
      <c r="AX362" s="86"/>
      <c r="AY362" s="86"/>
      <c r="AZ362" s="86"/>
      <c r="BA362" s="86"/>
      <c r="BB362" s="86"/>
      <c r="BC362" s="86"/>
      <c r="BD362" s="86"/>
      <c r="BE362" s="86"/>
      <c r="BF362" s="86"/>
      <c r="BG362" s="86"/>
      <c r="BH362" s="86"/>
      <c r="BI362" s="86"/>
      <c r="BJ362" s="86"/>
      <c r="BK362" s="86"/>
      <c r="BL362" s="86"/>
      <c r="BM362" s="86"/>
      <c r="BN362" s="86"/>
      <c r="BO362" s="86"/>
      <c r="BP362" s="86"/>
      <c r="BQ362" s="86"/>
      <c r="BR362" s="569"/>
      <c r="BS362" s="1064"/>
      <c r="BT362" s="1064"/>
      <c r="BU362" s="1064"/>
      <c r="BV362" s="569"/>
      <c r="BW362" s="1064"/>
      <c r="BX362" s="1064"/>
      <c r="BY362" s="1064"/>
      <c r="BZ362" s="569"/>
      <c r="CA362" s="1064"/>
      <c r="CB362" s="1064"/>
      <c r="CC362" s="1064"/>
      <c r="CD362" s="569"/>
      <c r="CE362" s="1064"/>
      <c r="CF362" s="1064"/>
      <c r="CG362" s="568"/>
      <c r="CH362" s="569"/>
      <c r="CI362" s="1064"/>
      <c r="CJ362" s="1064"/>
      <c r="CK362" s="568"/>
      <c r="CL362" s="569"/>
      <c r="CM362" s="1064"/>
      <c r="CN362" s="1064"/>
      <c r="CO362" s="1064"/>
      <c r="CP362" s="569"/>
      <c r="CQ362" s="1064"/>
      <c r="CR362" s="1064"/>
      <c r="CS362" s="1064"/>
      <c r="CT362" s="569"/>
      <c r="CU362" s="1064"/>
      <c r="CV362" s="1064"/>
      <c r="CW362" s="568"/>
      <c r="CX362" s="569"/>
      <c r="CY362" s="1064"/>
      <c r="CZ362" s="1064"/>
      <c r="DA362" s="1064"/>
      <c r="DB362" s="569"/>
      <c r="DC362" s="1064"/>
      <c r="DD362" s="1064"/>
      <c r="DE362" s="1064"/>
      <c r="DF362" s="1064"/>
      <c r="DG362" s="1064"/>
      <c r="DH362" s="1064"/>
      <c r="DI362" s="1064"/>
      <c r="DJ362" s="1064"/>
      <c r="DK362" s="1064"/>
      <c r="DL362" s="1064"/>
      <c r="DM362" s="568"/>
      <c r="DN362" s="568"/>
      <c r="DO362" s="568"/>
      <c r="DP362" s="568"/>
      <c r="DQ362" s="568"/>
      <c r="DR362" s="568"/>
      <c r="DS362" s="568"/>
      <c r="DT362" s="568"/>
      <c r="DU362" s="568"/>
      <c r="DV362" s="568"/>
      <c r="DW362" s="568"/>
      <c r="DX362" s="568"/>
      <c r="DY362" s="568"/>
    </row>
    <row r="363" spans="1:129" ht="15" customHeight="1">
      <c r="A363" s="1603"/>
      <c r="B363" s="86"/>
      <c r="C363" s="86"/>
      <c r="D363" s="86"/>
      <c r="E363" s="86"/>
      <c r="F363" s="86"/>
      <c r="G363" s="86"/>
      <c r="H363" s="86"/>
      <c r="I363" s="86"/>
      <c r="J363" s="86"/>
      <c r="K363" s="86"/>
      <c r="L363" s="86"/>
      <c r="M363" s="86"/>
      <c r="N363" s="86"/>
      <c r="O363" s="86"/>
      <c r="P363" s="86"/>
      <c r="Q363" s="1064"/>
      <c r="R363" s="86"/>
      <c r="S363" s="86"/>
      <c r="T363" s="1064"/>
      <c r="U363" s="1064"/>
      <c r="V363" s="86"/>
      <c r="W363" s="86"/>
      <c r="X363" s="86"/>
      <c r="Y363" s="86"/>
      <c r="Z363" s="86"/>
      <c r="AA363" s="1064"/>
      <c r="AB363" s="1064"/>
      <c r="AC363" s="1064"/>
      <c r="AD363" s="1064"/>
      <c r="AE363" s="1064"/>
      <c r="AF363" s="1064"/>
      <c r="AG363" s="1064"/>
      <c r="AH363" s="1947"/>
      <c r="AI363" s="606"/>
      <c r="AJ363" s="1947"/>
      <c r="AK363" s="86"/>
      <c r="AL363" s="86"/>
      <c r="AM363" s="86"/>
      <c r="AN363" s="86"/>
      <c r="AO363" s="86"/>
      <c r="AP363" s="86"/>
      <c r="AQ363" s="86"/>
      <c r="AR363" s="86"/>
      <c r="AS363" s="86"/>
      <c r="AT363" s="86"/>
      <c r="AU363" s="86"/>
      <c r="AV363" s="86"/>
      <c r="AW363" s="86"/>
      <c r="AX363" s="86"/>
      <c r="AY363" s="86"/>
      <c r="AZ363" s="86"/>
      <c r="BA363" s="86"/>
      <c r="BB363" s="86"/>
      <c r="BC363" s="86"/>
      <c r="BD363" s="86"/>
      <c r="BE363" s="86"/>
      <c r="BF363" s="86"/>
      <c r="BG363" s="86"/>
      <c r="BH363" s="86"/>
      <c r="BI363" s="86"/>
      <c r="BJ363" s="86"/>
      <c r="BK363" s="86"/>
      <c r="BL363" s="86"/>
      <c r="BM363" s="86"/>
      <c r="BN363" s="86"/>
      <c r="BO363" s="86"/>
      <c r="BP363" s="86"/>
      <c r="BQ363" s="86"/>
      <c r="BR363" s="569"/>
      <c r="BS363" s="1064"/>
      <c r="BT363" s="1064"/>
      <c r="BU363" s="1064"/>
      <c r="BV363" s="569"/>
      <c r="BW363" s="1064"/>
      <c r="BX363" s="1064"/>
      <c r="BY363" s="1064"/>
      <c r="BZ363" s="569"/>
      <c r="CA363" s="1064"/>
      <c r="CB363" s="1064"/>
      <c r="CC363" s="1064"/>
      <c r="CD363" s="569"/>
      <c r="CE363" s="1064"/>
      <c r="CF363" s="1064"/>
      <c r="CG363" s="568"/>
      <c r="CH363" s="569"/>
      <c r="CI363" s="1064"/>
      <c r="CJ363" s="1064"/>
      <c r="CK363" s="568"/>
      <c r="CL363" s="569"/>
      <c r="CM363" s="1064"/>
      <c r="CN363" s="1064"/>
      <c r="CO363" s="1064"/>
      <c r="CP363" s="569"/>
      <c r="CQ363" s="1064"/>
      <c r="CR363" s="1064"/>
      <c r="CS363" s="1064"/>
      <c r="CT363" s="569"/>
      <c r="CU363" s="1064"/>
      <c r="CV363" s="1064"/>
      <c r="CW363" s="568"/>
      <c r="CX363" s="569"/>
      <c r="CY363" s="1064"/>
      <c r="CZ363" s="1064"/>
      <c r="DA363" s="1064"/>
      <c r="DB363" s="569"/>
      <c r="DC363" s="1064"/>
      <c r="DD363" s="1064"/>
      <c r="DE363" s="1064"/>
      <c r="DF363" s="1064"/>
      <c r="DG363" s="1064"/>
      <c r="DH363" s="1064"/>
      <c r="DI363" s="1064"/>
      <c r="DJ363" s="1064"/>
      <c r="DK363" s="1064"/>
      <c r="DL363" s="1064"/>
      <c r="DM363" s="568"/>
      <c r="DN363" s="568"/>
      <c r="DO363" s="568"/>
      <c r="DP363" s="568"/>
      <c r="DQ363" s="568"/>
      <c r="DR363" s="568"/>
      <c r="DS363" s="568"/>
      <c r="DT363" s="568"/>
      <c r="DU363" s="568"/>
      <c r="DV363" s="568"/>
      <c r="DW363" s="568"/>
      <c r="DX363" s="568"/>
      <c r="DY363" s="568"/>
    </row>
    <row r="364" spans="1:129" ht="15" customHeight="1">
      <c r="A364" s="1595" t="s">
        <v>308</v>
      </c>
      <c r="B364" s="91"/>
      <c r="C364" s="91"/>
      <c r="D364" s="91"/>
      <c r="E364" s="91"/>
      <c r="F364" s="91"/>
      <c r="G364" s="91"/>
      <c r="H364" s="91"/>
      <c r="I364" s="91"/>
      <c r="J364" s="91"/>
      <c r="K364" s="91"/>
      <c r="L364" s="91"/>
      <c r="M364" s="91"/>
      <c r="N364" s="91"/>
      <c r="O364" s="91"/>
      <c r="P364" s="91"/>
      <c r="Q364" s="1068"/>
      <c r="R364" s="91"/>
      <c r="S364" s="91"/>
      <c r="T364" s="1068"/>
      <c r="U364" s="1068"/>
      <c r="V364" s="91"/>
      <c r="W364" s="91"/>
      <c r="X364" s="91"/>
      <c r="Y364" s="91"/>
      <c r="Z364" s="91"/>
      <c r="AA364" s="1068"/>
      <c r="AB364" s="1068"/>
      <c r="AC364" s="1068"/>
      <c r="AD364" s="1068"/>
      <c r="AE364" s="1068"/>
      <c r="AF364" s="1068"/>
      <c r="AG364" s="1068"/>
      <c r="AH364" s="1966"/>
      <c r="AI364" s="193"/>
      <c r="AJ364" s="1966"/>
      <c r="AK364" s="91"/>
      <c r="AL364" s="91"/>
      <c r="AM364" s="91"/>
      <c r="AN364" s="91"/>
      <c r="AO364" s="91"/>
      <c r="AP364" s="91"/>
      <c r="AQ364" s="91"/>
      <c r="AR364" s="91"/>
      <c r="AS364" s="91"/>
      <c r="AT364" s="91"/>
      <c r="AU364" s="91"/>
      <c r="AV364" s="91"/>
      <c r="AW364" s="91"/>
      <c r="AX364" s="91"/>
      <c r="AY364" s="91"/>
      <c r="AZ364" s="91"/>
      <c r="BA364" s="91"/>
      <c r="BB364" s="91"/>
      <c r="BC364" s="91"/>
      <c r="BD364" s="91"/>
      <c r="BE364" s="91"/>
      <c r="BF364" s="91"/>
      <c r="BG364" s="91"/>
      <c r="BH364" s="91"/>
      <c r="BI364" s="91"/>
      <c r="BJ364" s="91"/>
      <c r="BK364" s="91"/>
      <c r="BL364" s="91"/>
      <c r="BM364" s="91"/>
      <c r="BN364" s="91"/>
      <c r="BO364" s="91"/>
      <c r="BP364" s="91"/>
      <c r="BQ364" s="91"/>
      <c r="BR364" s="151"/>
      <c r="BS364" s="1068"/>
      <c r="BT364" s="1068"/>
      <c r="BU364" s="1068"/>
      <c r="BV364" s="151"/>
      <c r="BW364" s="1068"/>
      <c r="BX364" s="1068"/>
      <c r="BY364" s="1068"/>
      <c r="BZ364" s="151"/>
      <c r="CA364" s="1068"/>
      <c r="CB364" s="1068"/>
      <c r="CC364" s="1068"/>
      <c r="CD364" s="151"/>
      <c r="CE364" s="1068"/>
      <c r="CF364" s="1068"/>
      <c r="CG364" s="93"/>
      <c r="CH364" s="151"/>
      <c r="CI364" s="1068"/>
      <c r="CJ364" s="1068"/>
      <c r="CK364" s="93"/>
      <c r="CL364" s="151">
        <f t="shared" ref="CL364:CQ364" si="443">+CL101/1000-9.2</f>
        <v>228.05500000000001</v>
      </c>
      <c r="CM364" s="1068">
        <f t="shared" si="443"/>
        <v>226.126</v>
      </c>
      <c r="CN364" s="1068">
        <f t="shared" si="443"/>
        <v>221.14000000000001</v>
      </c>
      <c r="CO364" s="1068">
        <f t="shared" si="443"/>
        <v>213.727</v>
      </c>
      <c r="CP364" s="151">
        <f t="shared" si="443"/>
        <v>207.9</v>
      </c>
      <c r="CQ364" s="1068">
        <f t="shared" si="443"/>
        <v>201.60000000000002</v>
      </c>
      <c r="CR364" s="1068">
        <f t="shared" ref="CR364:DL364" si="444">+CR101/1000</f>
        <v>195.1</v>
      </c>
      <c r="CS364" s="1068">
        <f t="shared" si="444"/>
        <v>194.4</v>
      </c>
      <c r="CT364" s="151">
        <f t="shared" si="444"/>
        <v>196.2</v>
      </c>
      <c r="CU364" s="1068">
        <f t="shared" si="444"/>
        <v>195.9</v>
      </c>
      <c r="CV364" s="1068">
        <f t="shared" si="444"/>
        <v>195.4</v>
      </c>
      <c r="CW364" s="93">
        <f t="shared" si="444"/>
        <v>193.9</v>
      </c>
      <c r="CX364" s="151">
        <f t="shared" si="444"/>
        <v>191.8</v>
      </c>
      <c r="CY364" s="1068">
        <f t="shared" si="444"/>
        <v>188.2</v>
      </c>
      <c r="CZ364" s="1068">
        <f t="shared" si="444"/>
        <v>184.5</v>
      </c>
      <c r="DA364" s="1068">
        <f t="shared" si="444"/>
        <v>183.4</v>
      </c>
      <c r="DB364" s="151">
        <f t="shared" si="444"/>
        <v>181.9</v>
      </c>
      <c r="DC364" s="1068">
        <f t="shared" si="444"/>
        <v>180.9</v>
      </c>
      <c r="DD364" s="1068">
        <f t="shared" si="444"/>
        <v>178.3</v>
      </c>
      <c r="DE364" s="1068">
        <f t="shared" si="444"/>
        <v>176.8</v>
      </c>
      <c r="DF364" s="1068">
        <f t="shared" si="444"/>
        <v>176.9</v>
      </c>
      <c r="DG364" s="1068">
        <f t="shared" si="444"/>
        <v>177.8</v>
      </c>
      <c r="DH364" s="1068">
        <f t="shared" si="444"/>
        <v>178.5</v>
      </c>
      <c r="DI364" s="1068">
        <f t="shared" si="444"/>
        <v>177.3</v>
      </c>
      <c r="DJ364" s="1068">
        <f t="shared" si="444"/>
        <v>176.2</v>
      </c>
      <c r="DK364" s="1068">
        <f t="shared" si="444"/>
        <v>178.5</v>
      </c>
      <c r="DL364" s="1068">
        <f t="shared" si="444"/>
        <v>177.9</v>
      </c>
      <c r="DM364" s="93"/>
      <c r="DN364" s="93"/>
      <c r="DO364" s="93"/>
      <c r="DP364" s="93"/>
      <c r="DQ364" s="93"/>
      <c r="DR364" s="93"/>
      <c r="DS364" s="93"/>
      <c r="DT364" s="93"/>
      <c r="DU364" s="93"/>
      <c r="DV364" s="93"/>
      <c r="DW364" s="93"/>
      <c r="DX364" s="93"/>
      <c r="DY364" s="93"/>
    </row>
    <row r="365" spans="1:129" ht="15" customHeight="1">
      <c r="A365" s="1612" t="s">
        <v>309</v>
      </c>
      <c r="B365" s="562"/>
      <c r="C365" s="562"/>
      <c r="D365" s="562"/>
      <c r="E365" s="562"/>
      <c r="F365" s="562"/>
      <c r="G365" s="562"/>
      <c r="H365" s="562"/>
      <c r="I365" s="562"/>
      <c r="J365" s="562"/>
      <c r="K365" s="562"/>
      <c r="L365" s="562"/>
      <c r="M365" s="562"/>
      <c r="N365" s="562"/>
      <c r="O365" s="562"/>
      <c r="P365" s="562"/>
      <c r="Q365" s="1065"/>
      <c r="R365" s="562"/>
      <c r="S365" s="562"/>
      <c r="T365" s="1065"/>
      <c r="U365" s="1065"/>
      <c r="V365" s="562"/>
      <c r="W365" s="562"/>
      <c r="X365" s="562"/>
      <c r="Y365" s="562"/>
      <c r="Z365" s="562"/>
      <c r="AA365" s="1065"/>
      <c r="AB365" s="1065"/>
      <c r="AC365" s="1065"/>
      <c r="AD365" s="1065"/>
      <c r="AE365" s="1065"/>
      <c r="AF365" s="1065"/>
      <c r="AG365" s="1065"/>
      <c r="AH365" s="1927"/>
      <c r="AI365" s="606"/>
      <c r="AJ365" s="1927"/>
      <c r="AK365" s="562"/>
      <c r="AL365" s="562"/>
      <c r="AM365" s="562"/>
      <c r="AN365" s="562"/>
      <c r="AO365" s="562"/>
      <c r="AP365" s="562"/>
      <c r="AQ365" s="562"/>
      <c r="AR365" s="562"/>
      <c r="AS365" s="562"/>
      <c r="AT365" s="562"/>
      <c r="AU365" s="562"/>
      <c r="AV365" s="562"/>
      <c r="AW365" s="562"/>
      <c r="AX365" s="562"/>
      <c r="AY365" s="562"/>
      <c r="AZ365" s="562"/>
      <c r="BA365" s="562"/>
      <c r="BB365" s="562"/>
      <c r="BC365" s="562"/>
      <c r="BD365" s="562"/>
      <c r="BE365" s="562"/>
      <c r="BF365" s="562"/>
      <c r="BG365" s="562"/>
      <c r="BH365" s="562"/>
      <c r="BI365" s="562"/>
      <c r="BJ365" s="562"/>
      <c r="BK365" s="562"/>
      <c r="BL365" s="562"/>
      <c r="BM365" s="562"/>
      <c r="BN365" s="562"/>
      <c r="BO365" s="562"/>
      <c r="BP365" s="562"/>
      <c r="BQ365" s="562"/>
      <c r="BR365" s="563"/>
      <c r="BS365" s="1065"/>
      <c r="BT365" s="1065"/>
      <c r="BU365" s="1065"/>
      <c r="BV365" s="563"/>
      <c r="BW365" s="1065"/>
      <c r="BX365" s="1065"/>
      <c r="BY365" s="1065"/>
      <c r="BZ365" s="563"/>
      <c r="CA365" s="1065"/>
      <c r="CB365" s="1065"/>
      <c r="CC365" s="1065"/>
      <c r="CD365" s="563"/>
      <c r="CE365" s="1065"/>
      <c r="CF365" s="1065"/>
      <c r="CG365" s="564"/>
      <c r="CH365" s="563"/>
      <c r="CI365" s="1065"/>
      <c r="CJ365" s="1065"/>
      <c r="CK365" s="564"/>
      <c r="CL365" s="563"/>
      <c r="CM365" s="1065"/>
      <c r="CN365" s="1065"/>
      <c r="CO365" s="1065"/>
      <c r="CP365" s="563"/>
      <c r="CQ365" s="1065">
        <f t="shared" ref="CQ365:DL365" si="445">+CQ364/CM364-1</f>
        <v>-0.10846165412203812</v>
      </c>
      <c r="CR365" s="1065">
        <f t="shared" si="445"/>
        <v>-0.11775345934702008</v>
      </c>
      <c r="CS365" s="1065">
        <f t="shared" si="445"/>
        <v>-9.0428443762369692E-2</v>
      </c>
      <c r="CT365" s="563">
        <f t="shared" si="445"/>
        <v>-5.627705627705637E-2</v>
      </c>
      <c r="CU365" s="1065">
        <f t="shared" si="445"/>
        <v>-2.8273809523809645E-2</v>
      </c>
      <c r="CV365" s="1065">
        <f t="shared" si="445"/>
        <v>1.5376729882112805E-3</v>
      </c>
      <c r="CW365" s="564">
        <f t="shared" si="445"/>
        <v>-2.5720164609053242E-3</v>
      </c>
      <c r="CX365" s="563">
        <f t="shared" si="445"/>
        <v>-2.2426095820591074E-2</v>
      </c>
      <c r="CY365" s="1065">
        <f t="shared" si="445"/>
        <v>-3.9305768249106809E-2</v>
      </c>
      <c r="CZ365" s="1065">
        <f t="shared" si="445"/>
        <v>-5.5783009211873069E-2</v>
      </c>
      <c r="DA365" s="1065">
        <f t="shared" si="445"/>
        <v>-5.4151624548736454E-2</v>
      </c>
      <c r="DB365" s="563">
        <f t="shared" si="445"/>
        <v>-5.161626694473409E-2</v>
      </c>
      <c r="DC365" s="1065">
        <f t="shared" si="445"/>
        <v>-3.8788522848033913E-2</v>
      </c>
      <c r="DD365" s="1065">
        <f t="shared" si="445"/>
        <v>-3.3604336043360328E-2</v>
      </c>
      <c r="DE365" s="1065">
        <f t="shared" si="445"/>
        <v>-3.598691384950925E-2</v>
      </c>
      <c r="DF365" s="1065">
        <f t="shared" si="445"/>
        <v>-2.7487630566245147E-2</v>
      </c>
      <c r="DG365" s="1065">
        <f t="shared" si="445"/>
        <v>-1.7136539524599148E-2</v>
      </c>
      <c r="DH365" s="1065">
        <f t="shared" si="445"/>
        <v>1.1217049915872579E-3</v>
      </c>
      <c r="DI365" s="1065">
        <f t="shared" si="445"/>
        <v>2.8280542986425239E-3</v>
      </c>
      <c r="DJ365" s="1065">
        <f t="shared" si="445"/>
        <v>-3.9570378745055201E-3</v>
      </c>
      <c r="DK365" s="1065">
        <f t="shared" si="445"/>
        <v>3.937007874015741E-3</v>
      </c>
      <c r="DL365" s="1065">
        <f t="shared" si="445"/>
        <v>-3.3613445378151141E-3</v>
      </c>
      <c r="DM365" s="564"/>
      <c r="DN365" s="564"/>
      <c r="DO365" s="564"/>
      <c r="DP365" s="564"/>
      <c r="DQ365" s="564"/>
      <c r="DR365" s="564"/>
      <c r="DS365" s="564"/>
      <c r="DT365" s="564"/>
      <c r="DU365" s="564"/>
      <c r="DV365" s="564"/>
      <c r="DW365" s="564"/>
      <c r="DX365" s="564"/>
      <c r="DY365" s="564"/>
    </row>
    <row r="366" spans="1:129" ht="15" customHeight="1">
      <c r="A366" s="1612" t="s">
        <v>310</v>
      </c>
      <c r="B366" s="562"/>
      <c r="C366" s="562"/>
      <c r="D366" s="562"/>
      <c r="E366" s="562"/>
      <c r="F366" s="562"/>
      <c r="G366" s="562"/>
      <c r="H366" s="562"/>
      <c r="I366" s="562"/>
      <c r="J366" s="562"/>
      <c r="K366" s="562"/>
      <c r="L366" s="562"/>
      <c r="M366" s="562"/>
      <c r="N366" s="562"/>
      <c r="O366" s="562"/>
      <c r="P366" s="562"/>
      <c r="Q366" s="1065"/>
      <c r="R366" s="562"/>
      <c r="S366" s="562"/>
      <c r="T366" s="1065"/>
      <c r="U366" s="1065"/>
      <c r="V366" s="562"/>
      <c r="W366" s="562"/>
      <c r="X366" s="562"/>
      <c r="Y366" s="562"/>
      <c r="Z366" s="562"/>
      <c r="AA366" s="1065"/>
      <c r="AB366" s="1065"/>
      <c r="AC366" s="1065"/>
      <c r="AD366" s="1065"/>
      <c r="AE366" s="1065"/>
      <c r="AF366" s="1065"/>
      <c r="AG366" s="1065"/>
      <c r="AH366" s="1927"/>
      <c r="AI366" s="606"/>
      <c r="AJ366" s="1927"/>
      <c r="AK366" s="562"/>
      <c r="AL366" s="562"/>
      <c r="AM366" s="562"/>
      <c r="AN366" s="562"/>
      <c r="AO366" s="562"/>
      <c r="AP366" s="562"/>
      <c r="AQ366" s="562"/>
      <c r="AR366" s="562"/>
      <c r="AS366" s="562"/>
      <c r="AT366" s="562"/>
      <c r="AU366" s="562"/>
      <c r="AV366" s="562"/>
      <c r="AW366" s="562"/>
      <c r="AX366" s="562"/>
      <c r="AY366" s="562"/>
      <c r="AZ366" s="562"/>
      <c r="BA366" s="562"/>
      <c r="BB366" s="562"/>
      <c r="BC366" s="562"/>
      <c r="BD366" s="562"/>
      <c r="BE366" s="562"/>
      <c r="BF366" s="562"/>
      <c r="BG366" s="562"/>
      <c r="BH366" s="562"/>
      <c r="BI366" s="562"/>
      <c r="BJ366" s="562"/>
      <c r="BK366" s="562"/>
      <c r="BL366" s="562"/>
      <c r="BM366" s="562"/>
      <c r="BN366" s="562"/>
      <c r="BO366" s="562"/>
      <c r="BP366" s="562"/>
      <c r="BQ366" s="562"/>
      <c r="BR366" s="563"/>
      <c r="BS366" s="1065"/>
      <c r="BT366" s="1065"/>
      <c r="BU366" s="1065"/>
      <c r="BV366" s="563"/>
      <c r="BW366" s="1065"/>
      <c r="BX366" s="1065"/>
      <c r="BY366" s="1065"/>
      <c r="BZ366" s="563"/>
      <c r="CA366" s="1065"/>
      <c r="CB366" s="1065"/>
      <c r="CC366" s="1065"/>
      <c r="CD366" s="563"/>
      <c r="CE366" s="1065"/>
      <c r="CF366" s="1065"/>
      <c r="CG366" s="564"/>
      <c r="CH366" s="563"/>
      <c r="CI366" s="1065"/>
      <c r="CJ366" s="1065"/>
      <c r="CK366" s="564"/>
      <c r="CL366" s="563"/>
      <c r="CM366" s="1065">
        <f t="shared" ref="CM366:DL366" si="446">+CM364/CL364-1</f>
        <v>-8.4584858915612848E-3</v>
      </c>
      <c r="CN366" s="1065">
        <f t="shared" si="446"/>
        <v>-2.2049653732874597E-2</v>
      </c>
      <c r="CO366" s="1065">
        <f t="shared" si="446"/>
        <v>-3.3521750927014593E-2</v>
      </c>
      <c r="CP366" s="563">
        <f t="shared" si="446"/>
        <v>-2.7263752356978754E-2</v>
      </c>
      <c r="CQ366" s="1065">
        <f t="shared" si="446"/>
        <v>-3.0303030303030165E-2</v>
      </c>
      <c r="CR366" s="1065">
        <f t="shared" si="446"/>
        <v>-3.22420634920636E-2</v>
      </c>
      <c r="CS366" s="1065">
        <f t="shared" si="446"/>
        <v>-3.5879036391593955E-3</v>
      </c>
      <c r="CT366" s="563">
        <f t="shared" si="446"/>
        <v>9.2592592592590783E-3</v>
      </c>
      <c r="CU366" s="1065">
        <f t="shared" si="446"/>
        <v>-1.5290519877675379E-3</v>
      </c>
      <c r="CV366" s="1065">
        <f t="shared" si="446"/>
        <v>-2.5523226135784061E-3</v>
      </c>
      <c r="CW366" s="564">
        <f t="shared" si="446"/>
        <v>-7.6765609007164448E-3</v>
      </c>
      <c r="CX366" s="563">
        <f t="shared" si="446"/>
        <v>-1.0830324909747224E-2</v>
      </c>
      <c r="CY366" s="1065">
        <f t="shared" si="446"/>
        <v>-1.8769551616267033E-2</v>
      </c>
      <c r="CZ366" s="1065">
        <f t="shared" si="446"/>
        <v>-1.9659936238044629E-2</v>
      </c>
      <c r="DA366" s="1065">
        <f t="shared" si="446"/>
        <v>-5.9620596205961496E-3</v>
      </c>
      <c r="DB366" s="563">
        <f t="shared" si="446"/>
        <v>-8.1788440567066578E-3</v>
      </c>
      <c r="DC366" s="1065">
        <f t="shared" si="446"/>
        <v>-5.4975261132490516E-3</v>
      </c>
      <c r="DD366" s="1065">
        <f t="shared" si="446"/>
        <v>-1.4372581536760576E-2</v>
      </c>
      <c r="DE366" s="1065">
        <f t="shared" si="446"/>
        <v>-8.4127874369041011E-3</v>
      </c>
      <c r="DF366" s="1065">
        <f t="shared" si="446"/>
        <v>5.6561085972850478E-4</v>
      </c>
      <c r="DG366" s="1065">
        <f t="shared" si="446"/>
        <v>5.087620124364145E-3</v>
      </c>
      <c r="DH366" s="1065">
        <f t="shared" si="446"/>
        <v>3.937007874015741E-3</v>
      </c>
      <c r="DI366" s="1065">
        <f t="shared" si="446"/>
        <v>-6.7226890756302282E-3</v>
      </c>
      <c r="DJ366" s="1065">
        <f t="shared" si="446"/>
        <v>-6.2041737168642141E-3</v>
      </c>
      <c r="DK366" s="1065">
        <f t="shared" si="446"/>
        <v>1.3053348467650494E-2</v>
      </c>
      <c r="DL366" s="1065">
        <f t="shared" si="446"/>
        <v>-3.3613445378151141E-3</v>
      </c>
      <c r="DM366" s="564"/>
      <c r="DN366" s="564"/>
      <c r="DO366" s="564"/>
      <c r="DP366" s="564"/>
      <c r="DQ366" s="564"/>
      <c r="DR366" s="564"/>
      <c r="DS366" s="564"/>
      <c r="DT366" s="564"/>
      <c r="DU366" s="564"/>
      <c r="DV366" s="564"/>
      <c r="DW366" s="564"/>
      <c r="DX366" s="564"/>
      <c r="DY366" s="564"/>
    </row>
    <row r="367" spans="1:129" ht="15" customHeight="1">
      <c r="A367" s="1603" t="s">
        <v>311</v>
      </c>
      <c r="B367" s="86"/>
      <c r="C367" s="86"/>
      <c r="D367" s="86"/>
      <c r="E367" s="86"/>
      <c r="F367" s="86"/>
      <c r="G367" s="86"/>
      <c r="H367" s="86"/>
      <c r="I367" s="86"/>
      <c r="J367" s="86"/>
      <c r="K367" s="86"/>
      <c r="L367" s="86"/>
      <c r="M367" s="86"/>
      <c r="N367" s="86"/>
      <c r="O367" s="86"/>
      <c r="P367" s="86"/>
      <c r="Q367" s="1064"/>
      <c r="R367" s="86"/>
      <c r="S367" s="86"/>
      <c r="T367" s="1064"/>
      <c r="U367" s="1064"/>
      <c r="V367" s="86"/>
      <c r="W367" s="86"/>
      <c r="X367" s="86"/>
      <c r="Y367" s="86"/>
      <c r="Z367" s="86"/>
      <c r="AA367" s="1064"/>
      <c r="AB367" s="1064"/>
      <c r="AC367" s="1064"/>
      <c r="AD367" s="1064"/>
      <c r="AE367" s="1064"/>
      <c r="AF367" s="1064"/>
      <c r="AG367" s="1064"/>
      <c r="AH367" s="1947"/>
      <c r="AI367" s="606"/>
      <c r="AJ367" s="1947"/>
      <c r="AK367" s="86"/>
      <c r="AL367" s="86"/>
      <c r="AM367" s="86"/>
      <c r="AN367" s="86"/>
      <c r="AO367" s="86"/>
      <c r="AP367" s="86"/>
      <c r="AQ367" s="86"/>
      <c r="AR367" s="86"/>
      <c r="AS367" s="86"/>
      <c r="AT367" s="86"/>
      <c r="AU367" s="86"/>
      <c r="AV367" s="86"/>
      <c r="AW367" s="86"/>
      <c r="AX367" s="86"/>
      <c r="AY367" s="86"/>
      <c r="AZ367" s="86"/>
      <c r="BA367" s="86"/>
      <c r="BB367" s="86"/>
      <c r="BC367" s="86"/>
      <c r="BD367" s="86"/>
      <c r="BE367" s="86"/>
      <c r="BF367" s="86"/>
      <c r="BG367" s="86"/>
      <c r="BH367" s="86"/>
      <c r="BI367" s="86"/>
      <c r="BJ367" s="86"/>
      <c r="BK367" s="86"/>
      <c r="BL367" s="86"/>
      <c r="BM367" s="86"/>
      <c r="BN367" s="86"/>
      <c r="BO367" s="86"/>
      <c r="BP367" s="86"/>
      <c r="BQ367" s="86"/>
      <c r="BR367" s="569"/>
      <c r="BS367" s="1064"/>
      <c r="BT367" s="1064"/>
      <c r="BU367" s="1064"/>
      <c r="BV367" s="569"/>
      <c r="BW367" s="1064"/>
      <c r="BX367" s="1064"/>
      <c r="BY367" s="1064"/>
      <c r="BZ367" s="569"/>
      <c r="CA367" s="1064"/>
      <c r="CB367" s="1064"/>
      <c r="CC367" s="1064"/>
      <c r="CD367" s="569"/>
      <c r="CE367" s="1064"/>
      <c r="CF367" s="1064"/>
      <c r="CG367" s="568"/>
      <c r="CH367" s="569"/>
      <c r="CI367" s="1064"/>
      <c r="CJ367" s="1064"/>
      <c r="CK367" s="568"/>
      <c r="CL367" s="569">
        <f t="shared" ref="CL367:DE367" si="447">+CL297</f>
        <v>0</v>
      </c>
      <c r="CM367" s="1064">
        <f t="shared" si="447"/>
        <v>118.672</v>
      </c>
      <c r="CN367" s="1064">
        <f t="shared" si="447"/>
        <v>115.075</v>
      </c>
      <c r="CO367" s="1064">
        <f t="shared" si="447"/>
        <v>110.10899999999999</v>
      </c>
      <c r="CP367" s="569">
        <f t="shared" si="447"/>
        <v>108</v>
      </c>
      <c r="CQ367" s="1064">
        <f t="shared" si="447"/>
        <v>103.4</v>
      </c>
      <c r="CR367" s="1064">
        <f t="shared" si="447"/>
        <v>97.5</v>
      </c>
      <c r="CS367" s="1064">
        <f t="shared" si="447"/>
        <v>92.3</v>
      </c>
      <c r="CT367" s="569">
        <f t="shared" si="447"/>
        <v>92</v>
      </c>
      <c r="CU367" s="1064">
        <f t="shared" si="447"/>
        <v>93.2</v>
      </c>
      <c r="CV367" s="1064">
        <f t="shared" si="447"/>
        <v>92.8</v>
      </c>
      <c r="CW367" s="568">
        <f t="shared" si="447"/>
        <v>91.8</v>
      </c>
      <c r="CX367" s="569">
        <f t="shared" si="447"/>
        <v>90.8</v>
      </c>
      <c r="CY367" s="1064">
        <f t="shared" si="447"/>
        <v>88.6</v>
      </c>
      <c r="CZ367" s="1064">
        <f t="shared" si="447"/>
        <v>87.4</v>
      </c>
      <c r="DA367" s="1064">
        <f t="shared" si="447"/>
        <v>86.4</v>
      </c>
      <c r="DB367" s="569">
        <f t="shared" si="447"/>
        <v>85.2</v>
      </c>
      <c r="DC367" s="1064">
        <f t="shared" si="447"/>
        <v>84.7</v>
      </c>
      <c r="DD367" s="1064">
        <f t="shared" si="447"/>
        <v>83.6</v>
      </c>
      <c r="DE367" s="1064">
        <f t="shared" si="447"/>
        <v>81.900000000000006</v>
      </c>
      <c r="DF367" s="1064">
        <f t="shared" ref="DF367:DK367" si="448">+DF297</f>
        <v>80.900000000000006</v>
      </c>
      <c r="DG367" s="1064">
        <f t="shared" si="448"/>
        <v>80.599999999999994</v>
      </c>
      <c r="DH367" s="1064">
        <f t="shared" si="448"/>
        <v>79.400000000000006</v>
      </c>
      <c r="DI367" s="1064">
        <f t="shared" si="448"/>
        <v>76.8</v>
      </c>
      <c r="DJ367" s="1064">
        <f t="shared" si="448"/>
        <v>75.5</v>
      </c>
      <c r="DK367" s="1064">
        <f t="shared" si="448"/>
        <v>72.7</v>
      </c>
      <c r="DL367" s="1064">
        <f>+DL297</f>
        <v>71.400000000000006</v>
      </c>
      <c r="DM367" s="568"/>
      <c r="DN367" s="568"/>
      <c r="DO367" s="568"/>
      <c r="DP367" s="568"/>
      <c r="DQ367" s="568"/>
      <c r="DR367" s="568"/>
      <c r="DS367" s="568"/>
      <c r="DT367" s="568"/>
      <c r="DU367" s="568"/>
      <c r="DV367" s="568"/>
      <c r="DW367" s="568"/>
      <c r="DX367" s="568"/>
      <c r="DY367" s="568"/>
    </row>
    <row r="368" spans="1:129" ht="15" customHeight="1">
      <c r="A368" s="1612" t="s">
        <v>309</v>
      </c>
      <c r="B368" s="562"/>
      <c r="C368" s="562"/>
      <c r="D368" s="562"/>
      <c r="E368" s="562"/>
      <c r="F368" s="562"/>
      <c r="G368" s="562"/>
      <c r="H368" s="562"/>
      <c r="I368" s="562"/>
      <c r="J368" s="562"/>
      <c r="K368" s="562"/>
      <c r="L368" s="562"/>
      <c r="M368" s="562"/>
      <c r="N368" s="562"/>
      <c r="O368" s="562"/>
      <c r="P368" s="562"/>
      <c r="Q368" s="1065"/>
      <c r="R368" s="562"/>
      <c r="S368" s="562"/>
      <c r="T368" s="1065"/>
      <c r="U368" s="1065"/>
      <c r="V368" s="562"/>
      <c r="W368" s="562"/>
      <c r="X368" s="562"/>
      <c r="Y368" s="562"/>
      <c r="Z368" s="562"/>
      <c r="AA368" s="1065"/>
      <c r="AB368" s="1065"/>
      <c r="AC368" s="1065"/>
      <c r="AD368" s="1065"/>
      <c r="AE368" s="1065"/>
      <c r="AF368" s="1065"/>
      <c r="AG368" s="1065"/>
      <c r="AH368" s="1927"/>
      <c r="AI368" s="606"/>
      <c r="AJ368" s="1927"/>
      <c r="AK368" s="562"/>
      <c r="AL368" s="562"/>
      <c r="AM368" s="562"/>
      <c r="AN368" s="562"/>
      <c r="AO368" s="562"/>
      <c r="AP368" s="562"/>
      <c r="AQ368" s="562"/>
      <c r="AR368" s="562"/>
      <c r="AS368" s="562"/>
      <c r="AT368" s="562"/>
      <c r="AU368" s="562"/>
      <c r="AV368" s="562"/>
      <c r="AW368" s="562"/>
      <c r="AX368" s="562"/>
      <c r="AY368" s="562"/>
      <c r="AZ368" s="562"/>
      <c r="BA368" s="562"/>
      <c r="BB368" s="562"/>
      <c r="BC368" s="562"/>
      <c r="BD368" s="562"/>
      <c r="BE368" s="562"/>
      <c r="BF368" s="562"/>
      <c r="BG368" s="562"/>
      <c r="BH368" s="562"/>
      <c r="BI368" s="562"/>
      <c r="BJ368" s="562"/>
      <c r="BK368" s="562"/>
      <c r="BL368" s="562"/>
      <c r="BM368" s="562"/>
      <c r="BN368" s="562"/>
      <c r="BO368" s="562"/>
      <c r="BP368" s="562"/>
      <c r="BQ368" s="562"/>
      <c r="BR368" s="563"/>
      <c r="BS368" s="1065"/>
      <c r="BT368" s="1065"/>
      <c r="BU368" s="1065"/>
      <c r="BV368" s="563"/>
      <c r="BW368" s="1065"/>
      <c r="BX368" s="1065"/>
      <c r="BY368" s="1065"/>
      <c r="BZ368" s="563"/>
      <c r="CA368" s="1065"/>
      <c r="CB368" s="1065"/>
      <c r="CC368" s="1065"/>
      <c r="CD368" s="563"/>
      <c r="CE368" s="1065"/>
      <c r="CF368" s="1065"/>
      <c r="CG368" s="564"/>
      <c r="CH368" s="563"/>
      <c r="CI368" s="1065"/>
      <c r="CJ368" s="1065"/>
      <c r="CK368" s="564"/>
      <c r="CL368" s="563"/>
      <c r="CM368" s="1065"/>
      <c r="CN368" s="1065"/>
      <c r="CO368" s="1065"/>
      <c r="CP368" s="563"/>
      <c r="CQ368" s="1065">
        <f t="shared" ref="CQ368:DL368" si="449">+CQ367/CM367-1</f>
        <v>-0.12869084535526487</v>
      </c>
      <c r="CR368" s="1065">
        <f t="shared" si="449"/>
        <v>-0.1527264827286553</v>
      </c>
      <c r="CS368" s="1065">
        <f t="shared" si="449"/>
        <v>-0.16173973063055702</v>
      </c>
      <c r="CT368" s="563">
        <f t="shared" si="449"/>
        <v>-0.14814814814814814</v>
      </c>
      <c r="CU368" s="1065">
        <f t="shared" si="449"/>
        <v>-9.8646034816247563E-2</v>
      </c>
      <c r="CV368" s="1065">
        <f t="shared" si="449"/>
        <v>-4.8205128205128234E-2</v>
      </c>
      <c r="CW368" s="564">
        <f t="shared" si="449"/>
        <v>-5.4171180931744667E-3</v>
      </c>
      <c r="CX368" s="563">
        <f t="shared" si="449"/>
        <v>-1.3043478260869601E-2</v>
      </c>
      <c r="CY368" s="1065">
        <f t="shared" si="449"/>
        <v>-4.9356223175965774E-2</v>
      </c>
      <c r="CZ368" s="1065">
        <f t="shared" si="449"/>
        <v>-5.8189655172413701E-2</v>
      </c>
      <c r="DA368" s="1065">
        <f t="shared" si="449"/>
        <v>-5.8823529411764608E-2</v>
      </c>
      <c r="DB368" s="563">
        <f t="shared" si="449"/>
        <v>-6.1674008810572611E-2</v>
      </c>
      <c r="DC368" s="1065">
        <f t="shared" si="449"/>
        <v>-4.4018058690744821E-2</v>
      </c>
      <c r="DD368" s="1065">
        <f t="shared" si="449"/>
        <v>-4.3478260869565299E-2</v>
      </c>
      <c r="DE368" s="1065">
        <f t="shared" si="449"/>
        <v>-5.208333333333337E-2</v>
      </c>
      <c r="DF368" s="1065">
        <f t="shared" si="449"/>
        <v>-5.0469483568075124E-2</v>
      </c>
      <c r="DG368" s="1065">
        <f t="shared" si="449"/>
        <v>-4.8406139315230301E-2</v>
      </c>
      <c r="DH368" s="1065">
        <f t="shared" si="449"/>
        <v>-5.0239234449760639E-2</v>
      </c>
      <c r="DI368" s="1065">
        <f t="shared" si="449"/>
        <v>-6.2271062271062383E-2</v>
      </c>
      <c r="DJ368" s="1065">
        <f t="shared" si="449"/>
        <v>-6.6749072929542685E-2</v>
      </c>
      <c r="DK368" s="1065">
        <f t="shared" si="449"/>
        <v>-9.8014888337468853E-2</v>
      </c>
      <c r="DL368" s="1065">
        <f t="shared" si="449"/>
        <v>-0.10075566750629728</v>
      </c>
      <c r="DM368" s="564"/>
      <c r="DN368" s="564"/>
      <c r="DO368" s="564"/>
      <c r="DP368" s="564"/>
      <c r="DQ368" s="564"/>
      <c r="DR368" s="564"/>
      <c r="DS368" s="564"/>
      <c r="DT368" s="564"/>
      <c r="DU368" s="564"/>
      <c r="DV368" s="564"/>
      <c r="DW368" s="564"/>
      <c r="DX368" s="564"/>
      <c r="DY368" s="564"/>
    </row>
    <row r="369" spans="1:129" ht="15" customHeight="1">
      <c r="A369" s="1612" t="s">
        <v>310</v>
      </c>
      <c r="B369" s="562"/>
      <c r="C369" s="562"/>
      <c r="D369" s="562"/>
      <c r="E369" s="562"/>
      <c r="F369" s="562"/>
      <c r="G369" s="562"/>
      <c r="H369" s="562"/>
      <c r="I369" s="562"/>
      <c r="J369" s="562"/>
      <c r="K369" s="562"/>
      <c r="L369" s="562"/>
      <c r="M369" s="562"/>
      <c r="N369" s="562"/>
      <c r="O369" s="562"/>
      <c r="P369" s="562"/>
      <c r="Q369" s="1065"/>
      <c r="R369" s="562"/>
      <c r="S369" s="562"/>
      <c r="T369" s="1065"/>
      <c r="U369" s="1065"/>
      <c r="V369" s="562"/>
      <c r="W369" s="562"/>
      <c r="X369" s="562"/>
      <c r="Y369" s="562"/>
      <c r="Z369" s="562"/>
      <c r="AA369" s="1065"/>
      <c r="AB369" s="1065"/>
      <c r="AC369" s="1065"/>
      <c r="AD369" s="1065"/>
      <c r="AE369" s="1065"/>
      <c r="AF369" s="1065"/>
      <c r="AG369" s="1065"/>
      <c r="AH369" s="1927"/>
      <c r="AI369" s="606"/>
      <c r="AJ369" s="1927"/>
      <c r="AK369" s="562"/>
      <c r="AL369" s="562"/>
      <c r="AM369" s="562"/>
      <c r="AN369" s="562"/>
      <c r="AO369" s="562"/>
      <c r="AP369" s="562"/>
      <c r="AQ369" s="562"/>
      <c r="AR369" s="562"/>
      <c r="AS369" s="562"/>
      <c r="AT369" s="562"/>
      <c r="AU369" s="562"/>
      <c r="AV369" s="562"/>
      <c r="AW369" s="562"/>
      <c r="AX369" s="562"/>
      <c r="AY369" s="562"/>
      <c r="AZ369" s="562"/>
      <c r="BA369" s="562"/>
      <c r="BB369" s="562"/>
      <c r="BC369" s="562"/>
      <c r="BD369" s="562"/>
      <c r="BE369" s="562"/>
      <c r="BF369" s="562"/>
      <c r="BG369" s="562"/>
      <c r="BH369" s="562"/>
      <c r="BI369" s="562"/>
      <c r="BJ369" s="562"/>
      <c r="BK369" s="562"/>
      <c r="BL369" s="562"/>
      <c r="BM369" s="562"/>
      <c r="BN369" s="562"/>
      <c r="BO369" s="562"/>
      <c r="BP369" s="562"/>
      <c r="BQ369" s="562"/>
      <c r="BR369" s="563"/>
      <c r="BS369" s="1065"/>
      <c r="BT369" s="1065"/>
      <c r="BU369" s="1065"/>
      <c r="BV369" s="563"/>
      <c r="BW369" s="1065"/>
      <c r="BX369" s="1065"/>
      <c r="BY369" s="1065"/>
      <c r="BZ369" s="563"/>
      <c r="CA369" s="1065"/>
      <c r="CB369" s="1065"/>
      <c r="CC369" s="1065"/>
      <c r="CD369" s="563"/>
      <c r="CE369" s="1065"/>
      <c r="CF369" s="1065"/>
      <c r="CG369" s="564"/>
      <c r="CH369" s="563"/>
      <c r="CI369" s="1065"/>
      <c r="CJ369" s="1065"/>
      <c r="CK369" s="564"/>
      <c r="CL369" s="563"/>
      <c r="CM369" s="1065"/>
      <c r="CN369" s="1065">
        <f t="shared" ref="CN369:DL369" si="450">+CN367/CM367-1</f>
        <v>-3.0310435486045506E-2</v>
      </c>
      <c r="CO369" s="1065">
        <f t="shared" si="450"/>
        <v>-4.3154464479687182E-2</v>
      </c>
      <c r="CP369" s="563">
        <f t="shared" si="450"/>
        <v>-1.9153747650055841E-2</v>
      </c>
      <c r="CQ369" s="1065">
        <f t="shared" si="450"/>
        <v>-4.2592592592592515E-2</v>
      </c>
      <c r="CR369" s="1065">
        <f t="shared" si="450"/>
        <v>-5.7059961315280461E-2</v>
      </c>
      <c r="CS369" s="1065">
        <f t="shared" si="450"/>
        <v>-5.3333333333333344E-2</v>
      </c>
      <c r="CT369" s="563">
        <f t="shared" si="450"/>
        <v>-3.25027085590468E-3</v>
      </c>
      <c r="CU369" s="1065">
        <f t="shared" si="450"/>
        <v>1.304347826086949E-2</v>
      </c>
      <c r="CV369" s="1065">
        <f t="shared" si="450"/>
        <v>-4.2918454935623185E-3</v>
      </c>
      <c r="CW369" s="564">
        <f t="shared" si="450"/>
        <v>-1.0775862068965525E-2</v>
      </c>
      <c r="CX369" s="563">
        <f t="shared" si="450"/>
        <v>-1.089324618736387E-2</v>
      </c>
      <c r="CY369" s="1065">
        <f t="shared" si="450"/>
        <v>-2.4229074889867919E-2</v>
      </c>
      <c r="CZ369" s="1065">
        <f t="shared" si="450"/>
        <v>-1.3544018058690654E-2</v>
      </c>
      <c r="DA369" s="1065">
        <f t="shared" si="450"/>
        <v>-1.1441647597253968E-2</v>
      </c>
      <c r="DB369" s="563">
        <f t="shared" si="450"/>
        <v>-1.3888888888888951E-2</v>
      </c>
      <c r="DC369" s="1065">
        <f t="shared" si="450"/>
        <v>-5.8685446009389963E-3</v>
      </c>
      <c r="DD369" s="1065">
        <f t="shared" si="450"/>
        <v>-1.2987012987013102E-2</v>
      </c>
      <c r="DE369" s="1065">
        <f t="shared" si="450"/>
        <v>-2.0334928229664984E-2</v>
      </c>
      <c r="DF369" s="1065">
        <f t="shared" si="450"/>
        <v>-1.2210012210012167E-2</v>
      </c>
      <c r="DG369" s="1065">
        <f t="shared" si="450"/>
        <v>-3.7082818294191799E-3</v>
      </c>
      <c r="DH369" s="1065">
        <f t="shared" si="450"/>
        <v>-1.4888337468982438E-2</v>
      </c>
      <c r="DI369" s="1065">
        <f t="shared" si="450"/>
        <v>-3.2745591939546737E-2</v>
      </c>
      <c r="DJ369" s="1065">
        <f t="shared" si="450"/>
        <v>-1.6927083333333259E-2</v>
      </c>
      <c r="DK369" s="1065">
        <f t="shared" si="450"/>
        <v>-3.7086092715231778E-2</v>
      </c>
      <c r="DL369" s="1065">
        <f t="shared" si="450"/>
        <v>-1.7881705639614776E-2</v>
      </c>
      <c r="DM369" s="564"/>
      <c r="DN369" s="564"/>
      <c r="DO369" s="564"/>
      <c r="DP369" s="564"/>
      <c r="DQ369" s="564"/>
      <c r="DR369" s="564"/>
      <c r="DS369" s="564"/>
      <c r="DT369" s="564"/>
      <c r="DU369" s="564"/>
      <c r="DV369" s="564"/>
      <c r="DW369" s="564"/>
      <c r="DX369" s="564"/>
      <c r="DY369" s="564"/>
    </row>
    <row r="370" spans="1:129" ht="15" customHeight="1">
      <c r="A370" s="1603" t="s">
        <v>312</v>
      </c>
      <c r="B370" s="86"/>
      <c r="C370" s="86"/>
      <c r="D370" s="86"/>
      <c r="E370" s="86"/>
      <c r="F370" s="86"/>
      <c r="G370" s="86"/>
      <c r="H370" s="86"/>
      <c r="I370" s="86"/>
      <c r="J370" s="86"/>
      <c r="K370" s="86"/>
      <c r="L370" s="86"/>
      <c r="M370" s="86"/>
      <c r="N370" s="86"/>
      <c r="O370" s="86"/>
      <c r="P370" s="86"/>
      <c r="Q370" s="1064"/>
      <c r="R370" s="86"/>
      <c r="S370" s="86"/>
      <c r="T370" s="1064"/>
      <c r="U370" s="1064"/>
      <c r="V370" s="86"/>
      <c r="W370" s="86"/>
      <c r="X370" s="86"/>
      <c r="Y370" s="86"/>
      <c r="Z370" s="86"/>
      <c r="AA370" s="1064"/>
      <c r="AB370" s="1064"/>
      <c r="AC370" s="1064"/>
      <c r="AD370" s="1064"/>
      <c r="AE370" s="1064"/>
      <c r="AF370" s="1064"/>
      <c r="AG370" s="1064"/>
      <c r="AH370" s="1947"/>
      <c r="AI370" s="606"/>
      <c r="AJ370" s="1947"/>
      <c r="AK370" s="86"/>
      <c r="AL370" s="86"/>
      <c r="AM370" s="86"/>
      <c r="AN370" s="86"/>
      <c r="AO370" s="86"/>
      <c r="AP370" s="86"/>
      <c r="AQ370" s="86"/>
      <c r="AR370" s="86"/>
      <c r="AS370" s="86"/>
      <c r="AT370" s="86"/>
      <c r="AU370" s="86"/>
      <c r="AV370" s="86"/>
      <c r="AW370" s="86"/>
      <c r="AX370" s="86"/>
      <c r="AY370" s="86"/>
      <c r="AZ370" s="86"/>
      <c r="BA370" s="86"/>
      <c r="BB370" s="86"/>
      <c r="BC370" s="86"/>
      <c r="BD370" s="86"/>
      <c r="BE370" s="86"/>
      <c r="BF370" s="86"/>
      <c r="BG370" s="86"/>
      <c r="BH370" s="86"/>
      <c r="BI370" s="86"/>
      <c r="BJ370" s="86"/>
      <c r="BK370" s="86"/>
      <c r="BL370" s="86"/>
      <c r="BM370" s="86"/>
      <c r="BN370" s="86"/>
      <c r="BO370" s="86"/>
      <c r="BP370" s="86"/>
      <c r="BQ370" s="86"/>
      <c r="BR370" s="569"/>
      <c r="BS370" s="1064"/>
      <c r="BT370" s="1064"/>
      <c r="BU370" s="1064"/>
      <c r="BV370" s="569"/>
      <c r="BW370" s="1064"/>
      <c r="BX370" s="1064"/>
      <c r="BY370" s="1064"/>
      <c r="BZ370" s="569"/>
      <c r="CA370" s="1064"/>
      <c r="CB370" s="1064"/>
      <c r="CC370" s="1064"/>
      <c r="CD370" s="569"/>
      <c r="CE370" s="1064"/>
      <c r="CF370" s="1064"/>
      <c r="CG370" s="568"/>
      <c r="CH370" s="569"/>
      <c r="CI370" s="1064"/>
      <c r="CJ370" s="1064"/>
      <c r="CK370" s="568"/>
      <c r="CL370" s="569">
        <f t="shared" ref="CL370:DE370" si="451">+CL364-CL367</f>
        <v>228.05500000000001</v>
      </c>
      <c r="CM370" s="1064">
        <f t="shared" si="451"/>
        <v>107.45400000000001</v>
      </c>
      <c r="CN370" s="1064">
        <f t="shared" si="451"/>
        <v>106.06500000000001</v>
      </c>
      <c r="CO370" s="1064">
        <f t="shared" si="451"/>
        <v>103.61800000000001</v>
      </c>
      <c r="CP370" s="569">
        <f t="shared" si="451"/>
        <v>99.9</v>
      </c>
      <c r="CQ370" s="1064">
        <f t="shared" si="451"/>
        <v>98.200000000000017</v>
      </c>
      <c r="CR370" s="1064">
        <f t="shared" si="451"/>
        <v>97.6</v>
      </c>
      <c r="CS370" s="1064">
        <f t="shared" si="451"/>
        <v>102.10000000000001</v>
      </c>
      <c r="CT370" s="569">
        <f t="shared" si="451"/>
        <v>104.19999999999999</v>
      </c>
      <c r="CU370" s="1064">
        <f t="shared" si="451"/>
        <v>102.7</v>
      </c>
      <c r="CV370" s="1064">
        <f t="shared" si="451"/>
        <v>102.60000000000001</v>
      </c>
      <c r="CW370" s="568">
        <f t="shared" si="451"/>
        <v>102.10000000000001</v>
      </c>
      <c r="CX370" s="569">
        <f t="shared" si="451"/>
        <v>101.00000000000001</v>
      </c>
      <c r="CY370" s="1064">
        <f t="shared" si="451"/>
        <v>99.6</v>
      </c>
      <c r="CZ370" s="1064">
        <f t="shared" si="451"/>
        <v>97.1</v>
      </c>
      <c r="DA370" s="1064">
        <f t="shared" si="451"/>
        <v>97</v>
      </c>
      <c r="DB370" s="569">
        <f t="shared" si="451"/>
        <v>96.7</v>
      </c>
      <c r="DC370" s="1064">
        <f t="shared" si="451"/>
        <v>96.2</v>
      </c>
      <c r="DD370" s="1064">
        <f t="shared" si="451"/>
        <v>94.700000000000017</v>
      </c>
      <c r="DE370" s="1064">
        <f t="shared" si="451"/>
        <v>94.9</v>
      </c>
      <c r="DF370" s="1064">
        <f t="shared" ref="DF370:DK370" si="452">+DF364-DF367</f>
        <v>96</v>
      </c>
      <c r="DG370" s="1064">
        <f t="shared" si="452"/>
        <v>97.200000000000017</v>
      </c>
      <c r="DH370" s="1064">
        <f t="shared" si="452"/>
        <v>99.1</v>
      </c>
      <c r="DI370" s="1064">
        <f t="shared" si="452"/>
        <v>100.50000000000001</v>
      </c>
      <c r="DJ370" s="1064">
        <f t="shared" si="452"/>
        <v>100.69999999999999</v>
      </c>
      <c r="DK370" s="1064">
        <f t="shared" si="452"/>
        <v>105.8</v>
      </c>
      <c r="DL370" s="1064">
        <f>+DL364-DL367</f>
        <v>106.5</v>
      </c>
      <c r="DM370" s="568"/>
      <c r="DN370" s="568"/>
      <c r="DO370" s="568"/>
      <c r="DP370" s="568"/>
      <c r="DQ370" s="568"/>
      <c r="DR370" s="568"/>
      <c r="DS370" s="568"/>
      <c r="DT370" s="568"/>
      <c r="DU370" s="568"/>
      <c r="DV370" s="568"/>
      <c r="DW370" s="568"/>
      <c r="DX370" s="568"/>
      <c r="DY370" s="568"/>
    </row>
    <row r="371" spans="1:129" ht="15" customHeight="1">
      <c r="A371" s="1612" t="s">
        <v>309</v>
      </c>
      <c r="B371" s="562"/>
      <c r="C371" s="562"/>
      <c r="D371" s="562"/>
      <c r="E371" s="562"/>
      <c r="F371" s="562"/>
      <c r="G371" s="562"/>
      <c r="H371" s="562"/>
      <c r="I371" s="562"/>
      <c r="J371" s="562"/>
      <c r="K371" s="562"/>
      <c r="L371" s="562"/>
      <c r="M371" s="562"/>
      <c r="N371" s="562"/>
      <c r="O371" s="562"/>
      <c r="P371" s="562"/>
      <c r="Q371" s="1065"/>
      <c r="R371" s="562"/>
      <c r="S371" s="562"/>
      <c r="T371" s="1065"/>
      <c r="U371" s="1065"/>
      <c r="V371" s="562"/>
      <c r="W371" s="562"/>
      <c r="X371" s="562"/>
      <c r="Y371" s="562"/>
      <c r="Z371" s="562"/>
      <c r="AA371" s="1065"/>
      <c r="AB371" s="1065"/>
      <c r="AC371" s="1065"/>
      <c r="AD371" s="1065"/>
      <c r="AE371" s="1065"/>
      <c r="AF371" s="1065"/>
      <c r="AG371" s="1065"/>
      <c r="AH371" s="1927"/>
      <c r="AI371" s="606"/>
      <c r="AJ371" s="1927"/>
      <c r="AK371" s="562"/>
      <c r="AL371" s="562"/>
      <c r="AM371" s="562"/>
      <c r="AN371" s="562"/>
      <c r="AO371" s="562"/>
      <c r="AP371" s="562"/>
      <c r="AQ371" s="562"/>
      <c r="AR371" s="562"/>
      <c r="AS371" s="562"/>
      <c r="AT371" s="562"/>
      <c r="AU371" s="562"/>
      <c r="AV371" s="562"/>
      <c r="AW371" s="562"/>
      <c r="AX371" s="562"/>
      <c r="AY371" s="562"/>
      <c r="AZ371" s="562"/>
      <c r="BA371" s="562"/>
      <c r="BB371" s="562"/>
      <c r="BC371" s="562"/>
      <c r="BD371" s="562"/>
      <c r="BE371" s="562"/>
      <c r="BF371" s="562"/>
      <c r="BG371" s="562"/>
      <c r="BH371" s="562"/>
      <c r="BI371" s="562"/>
      <c r="BJ371" s="562"/>
      <c r="BK371" s="562"/>
      <c r="BL371" s="562"/>
      <c r="BM371" s="562"/>
      <c r="BN371" s="562"/>
      <c r="BO371" s="562"/>
      <c r="BP371" s="562"/>
      <c r="BQ371" s="562"/>
      <c r="BR371" s="563"/>
      <c r="BS371" s="1065"/>
      <c r="BT371" s="1065"/>
      <c r="BU371" s="1065"/>
      <c r="BV371" s="563"/>
      <c r="BW371" s="1065"/>
      <c r="BX371" s="1065"/>
      <c r="BY371" s="1065"/>
      <c r="BZ371" s="563"/>
      <c r="CA371" s="1065"/>
      <c r="CB371" s="1065"/>
      <c r="CC371" s="1065"/>
      <c r="CD371" s="563"/>
      <c r="CE371" s="1065"/>
      <c r="CF371" s="1065"/>
      <c r="CG371" s="564"/>
      <c r="CH371" s="563"/>
      <c r="CI371" s="1065"/>
      <c r="CJ371" s="1065"/>
      <c r="CK371" s="564"/>
      <c r="CL371" s="563"/>
      <c r="CM371" s="1065"/>
      <c r="CN371" s="1065"/>
      <c r="CO371" s="1065"/>
      <c r="CP371" s="563"/>
      <c r="CQ371" s="1065">
        <f t="shared" ref="CQ371:DL371" si="453">+CQ370/CM370-1</f>
        <v>-8.6120572524056693E-2</v>
      </c>
      <c r="CR371" s="1065">
        <f t="shared" si="453"/>
        <v>-7.9809550747183433E-2</v>
      </c>
      <c r="CS371" s="1065">
        <f t="shared" si="453"/>
        <v>-1.4649964291918449E-2</v>
      </c>
      <c r="CT371" s="563">
        <f t="shared" si="453"/>
        <v>4.304304304304285E-2</v>
      </c>
      <c r="CU371" s="1065">
        <f t="shared" si="453"/>
        <v>4.5824847250508949E-2</v>
      </c>
      <c r="CV371" s="1065">
        <f t="shared" si="453"/>
        <v>5.1229508196721563E-2</v>
      </c>
      <c r="CW371" s="564">
        <f t="shared" si="453"/>
        <v>0</v>
      </c>
      <c r="CX371" s="563">
        <f t="shared" si="453"/>
        <v>-3.0710172744721431E-2</v>
      </c>
      <c r="CY371" s="1065">
        <f t="shared" si="453"/>
        <v>-3.0185004868549248E-2</v>
      </c>
      <c r="CZ371" s="1065">
        <f t="shared" si="453"/>
        <v>-5.3606237816764213E-2</v>
      </c>
      <c r="DA371" s="1065">
        <f t="shared" si="453"/>
        <v>-4.9951028403526054E-2</v>
      </c>
      <c r="DB371" s="563">
        <f t="shared" si="453"/>
        <v>-4.2574257425742723E-2</v>
      </c>
      <c r="DC371" s="1065">
        <f t="shared" si="453"/>
        <v>-3.4136546184738825E-2</v>
      </c>
      <c r="DD371" s="1065">
        <f t="shared" si="453"/>
        <v>-2.4716786817713499E-2</v>
      </c>
      <c r="DE371" s="1065">
        <f t="shared" si="453"/>
        <v>-2.1649484536082397E-2</v>
      </c>
      <c r="DF371" s="1065">
        <f t="shared" si="453"/>
        <v>-7.2388831437435464E-3</v>
      </c>
      <c r="DG371" s="1065">
        <f t="shared" si="453"/>
        <v>1.0395010395010562E-2</v>
      </c>
      <c r="DH371" s="1065">
        <f t="shared" si="453"/>
        <v>4.6462513199577282E-2</v>
      </c>
      <c r="DI371" s="1065">
        <f t="shared" si="453"/>
        <v>5.9009483667018081E-2</v>
      </c>
      <c r="DJ371" s="1065">
        <f t="shared" si="453"/>
        <v>4.8958333333333215E-2</v>
      </c>
      <c r="DK371" s="1065">
        <f t="shared" si="453"/>
        <v>8.8477366255143908E-2</v>
      </c>
      <c r="DL371" s="1065">
        <f t="shared" si="453"/>
        <v>7.4672048435923344E-2</v>
      </c>
      <c r="DM371" s="564"/>
      <c r="DN371" s="564"/>
      <c r="DO371" s="564"/>
      <c r="DP371" s="564"/>
      <c r="DQ371" s="564"/>
      <c r="DR371" s="564"/>
      <c r="DS371" s="564"/>
      <c r="DT371" s="564"/>
      <c r="DU371" s="564"/>
      <c r="DV371" s="564"/>
      <c r="DW371" s="564"/>
      <c r="DX371" s="564"/>
      <c r="DY371" s="564"/>
    </row>
    <row r="372" spans="1:129" ht="15" customHeight="1">
      <c r="A372" s="1612" t="s">
        <v>310</v>
      </c>
      <c r="B372" s="562"/>
      <c r="C372" s="562"/>
      <c r="D372" s="562"/>
      <c r="E372" s="562"/>
      <c r="F372" s="562"/>
      <c r="G372" s="562"/>
      <c r="H372" s="562"/>
      <c r="I372" s="562"/>
      <c r="J372" s="562"/>
      <c r="K372" s="562"/>
      <c r="L372" s="562"/>
      <c r="M372" s="562"/>
      <c r="N372" s="562"/>
      <c r="O372" s="562"/>
      <c r="P372" s="562"/>
      <c r="Q372" s="1065"/>
      <c r="R372" s="562"/>
      <c r="S372" s="562"/>
      <c r="T372" s="1065"/>
      <c r="U372" s="1065"/>
      <c r="V372" s="562"/>
      <c r="W372" s="562"/>
      <c r="X372" s="562"/>
      <c r="Y372" s="562"/>
      <c r="Z372" s="562"/>
      <c r="AA372" s="1065"/>
      <c r="AB372" s="1065"/>
      <c r="AC372" s="1065"/>
      <c r="AD372" s="1065"/>
      <c r="AE372" s="1065"/>
      <c r="AF372" s="1065"/>
      <c r="AG372" s="1065"/>
      <c r="AH372" s="1927"/>
      <c r="AI372" s="606"/>
      <c r="AJ372" s="1927"/>
      <c r="AK372" s="562"/>
      <c r="AL372" s="562"/>
      <c r="AM372" s="562"/>
      <c r="AN372" s="562"/>
      <c r="AO372" s="562"/>
      <c r="AP372" s="562"/>
      <c r="AQ372" s="562"/>
      <c r="AR372" s="562"/>
      <c r="AS372" s="562"/>
      <c r="AT372" s="562"/>
      <c r="AU372" s="562"/>
      <c r="AV372" s="562"/>
      <c r="AW372" s="562"/>
      <c r="AX372" s="562"/>
      <c r="AY372" s="562"/>
      <c r="AZ372" s="562"/>
      <c r="BA372" s="562"/>
      <c r="BB372" s="562"/>
      <c r="BC372" s="562"/>
      <c r="BD372" s="562"/>
      <c r="BE372" s="562"/>
      <c r="BF372" s="562"/>
      <c r="BG372" s="562"/>
      <c r="BH372" s="562"/>
      <c r="BI372" s="562"/>
      <c r="BJ372" s="562"/>
      <c r="BK372" s="562"/>
      <c r="BL372" s="562"/>
      <c r="BM372" s="562"/>
      <c r="BN372" s="562"/>
      <c r="BO372" s="562"/>
      <c r="BP372" s="562"/>
      <c r="BQ372" s="562"/>
      <c r="BR372" s="563"/>
      <c r="BS372" s="1065"/>
      <c r="BT372" s="1065"/>
      <c r="BU372" s="1065"/>
      <c r="BV372" s="563"/>
      <c r="BW372" s="1065"/>
      <c r="BX372" s="1065"/>
      <c r="BY372" s="1065"/>
      <c r="BZ372" s="563"/>
      <c r="CA372" s="1065"/>
      <c r="CB372" s="1065"/>
      <c r="CC372" s="1065"/>
      <c r="CD372" s="563"/>
      <c r="CE372" s="1065"/>
      <c r="CF372" s="1065"/>
      <c r="CG372" s="564"/>
      <c r="CH372" s="563"/>
      <c r="CI372" s="1065"/>
      <c r="CJ372" s="1065"/>
      <c r="CK372" s="564"/>
      <c r="CL372" s="563"/>
      <c r="CM372" s="1065">
        <f t="shared" ref="CM372:DL372" si="454">+CM370/CL370-1</f>
        <v>-0.52882418714783719</v>
      </c>
      <c r="CN372" s="1065">
        <f t="shared" si="454"/>
        <v>-1.2926461555642366E-2</v>
      </c>
      <c r="CO372" s="1065">
        <f t="shared" si="454"/>
        <v>-2.3070758497148014E-2</v>
      </c>
      <c r="CP372" s="563">
        <f t="shared" si="454"/>
        <v>-3.5881796599046556E-2</v>
      </c>
      <c r="CQ372" s="1065">
        <f t="shared" si="454"/>
        <v>-1.7017017017016856E-2</v>
      </c>
      <c r="CR372" s="1065">
        <f t="shared" si="454"/>
        <v>-6.10997963340143E-3</v>
      </c>
      <c r="CS372" s="1065">
        <f t="shared" si="454"/>
        <v>4.6106557377049384E-2</v>
      </c>
      <c r="CT372" s="563">
        <f t="shared" si="454"/>
        <v>2.0568070519098702E-2</v>
      </c>
      <c r="CU372" s="1065">
        <f t="shared" si="454"/>
        <v>-1.4395393474088136E-2</v>
      </c>
      <c r="CV372" s="1065">
        <f t="shared" si="454"/>
        <v>-9.7370983446931625E-4</v>
      </c>
      <c r="CW372" s="564">
        <f t="shared" si="454"/>
        <v>-4.873294346978585E-3</v>
      </c>
      <c r="CX372" s="563">
        <f t="shared" si="454"/>
        <v>-1.0773751224289807E-2</v>
      </c>
      <c r="CY372" s="1065">
        <f t="shared" si="454"/>
        <v>-1.3861386138614096E-2</v>
      </c>
      <c r="CZ372" s="1065">
        <f t="shared" si="454"/>
        <v>-2.5100401606425682E-2</v>
      </c>
      <c r="DA372" s="1065">
        <f t="shared" si="454"/>
        <v>-1.029866117404632E-3</v>
      </c>
      <c r="DB372" s="563">
        <f t="shared" si="454"/>
        <v>-3.0927835051546282E-3</v>
      </c>
      <c r="DC372" s="1065">
        <f t="shared" si="454"/>
        <v>-5.170630816959676E-3</v>
      </c>
      <c r="DD372" s="1065">
        <f t="shared" si="454"/>
        <v>-1.5592515592515399E-2</v>
      </c>
      <c r="DE372" s="1065">
        <f t="shared" si="454"/>
        <v>2.1119324181624322E-3</v>
      </c>
      <c r="DF372" s="1065">
        <f t="shared" si="454"/>
        <v>1.1591148577449806E-2</v>
      </c>
      <c r="DG372" s="1065">
        <f t="shared" si="454"/>
        <v>1.2500000000000178E-2</v>
      </c>
      <c r="DH372" s="1065">
        <f t="shared" si="454"/>
        <v>1.9547325102880375E-2</v>
      </c>
      <c r="DI372" s="1065">
        <f t="shared" si="454"/>
        <v>1.4127144298688332E-2</v>
      </c>
      <c r="DJ372" s="1065">
        <f t="shared" si="454"/>
        <v>1.9900497512435056E-3</v>
      </c>
      <c r="DK372" s="1065">
        <f t="shared" si="454"/>
        <v>5.0645481628599942E-2</v>
      </c>
      <c r="DL372" s="1065">
        <f t="shared" si="454"/>
        <v>6.6162570888468331E-3</v>
      </c>
      <c r="DM372" s="564"/>
      <c r="DN372" s="564"/>
      <c r="DO372" s="564"/>
      <c r="DP372" s="564"/>
      <c r="DQ372" s="564"/>
      <c r="DR372" s="564"/>
      <c r="DS372" s="564"/>
      <c r="DT372" s="564"/>
      <c r="DU372" s="564"/>
      <c r="DV372" s="564"/>
      <c r="DW372" s="564"/>
      <c r="DX372" s="564"/>
      <c r="DY372" s="564"/>
    </row>
    <row r="373" spans="1:129" ht="15" customHeight="1">
      <c r="A373" s="1595"/>
      <c r="B373" s="86"/>
      <c r="C373" s="86"/>
      <c r="D373" s="86"/>
      <c r="E373" s="86"/>
      <c r="F373" s="86"/>
      <c r="G373" s="86"/>
      <c r="H373" s="86"/>
      <c r="I373" s="86"/>
      <c r="J373" s="86"/>
      <c r="K373" s="86"/>
      <c r="L373" s="86"/>
      <c r="M373" s="86"/>
      <c r="N373" s="86"/>
      <c r="O373" s="86"/>
      <c r="P373" s="86"/>
      <c r="Q373" s="1064"/>
      <c r="R373" s="86"/>
      <c r="S373" s="86"/>
      <c r="T373" s="1064"/>
      <c r="U373" s="1064"/>
      <c r="V373" s="86"/>
      <c r="W373" s="86"/>
      <c r="X373" s="86"/>
      <c r="Y373" s="86"/>
      <c r="Z373" s="86"/>
      <c r="AA373" s="1064"/>
      <c r="AB373" s="1064"/>
      <c r="AC373" s="1064"/>
      <c r="AD373" s="1064"/>
      <c r="AE373" s="1064"/>
      <c r="AF373" s="1064"/>
      <c r="AG373" s="1064"/>
      <c r="AH373" s="1947"/>
      <c r="AI373" s="606"/>
      <c r="AJ373" s="1947"/>
      <c r="AK373" s="86"/>
      <c r="AL373" s="86"/>
      <c r="AM373" s="86"/>
      <c r="AN373" s="86"/>
      <c r="AO373" s="86"/>
      <c r="AP373" s="86"/>
      <c r="AQ373" s="86"/>
      <c r="AR373" s="86"/>
      <c r="AS373" s="86"/>
      <c r="AT373" s="86"/>
      <c r="AU373" s="86"/>
      <c r="AV373" s="86"/>
      <c r="AW373" s="86"/>
      <c r="AX373" s="86"/>
      <c r="AY373" s="86"/>
      <c r="AZ373" s="86"/>
      <c r="BA373" s="86"/>
      <c r="BB373" s="86"/>
      <c r="BC373" s="86"/>
      <c r="BD373" s="86"/>
      <c r="BE373" s="86"/>
      <c r="BF373" s="86"/>
      <c r="BG373" s="86"/>
      <c r="BH373" s="86"/>
      <c r="BI373" s="86"/>
      <c r="BJ373" s="86"/>
      <c r="BK373" s="86"/>
      <c r="BL373" s="86"/>
      <c r="BM373" s="86"/>
      <c r="BN373" s="86"/>
      <c r="BO373" s="86"/>
      <c r="BP373" s="86"/>
      <c r="BQ373" s="86"/>
      <c r="BR373" s="569"/>
      <c r="BS373" s="1064"/>
      <c r="BT373" s="1064"/>
      <c r="BU373" s="1064"/>
      <c r="BV373" s="569"/>
      <c r="BW373" s="1064"/>
      <c r="BX373" s="1064"/>
      <c r="BY373" s="1064"/>
      <c r="BZ373" s="569"/>
      <c r="CA373" s="1064"/>
      <c r="CB373" s="1064"/>
      <c r="CC373" s="1064"/>
      <c r="CD373" s="569"/>
      <c r="CE373" s="1064"/>
      <c r="CF373" s="1064"/>
      <c r="CG373" s="568"/>
      <c r="CH373" s="569"/>
      <c r="CI373" s="1064"/>
      <c r="CJ373" s="1064"/>
      <c r="CK373" s="568"/>
      <c r="CL373" s="569"/>
      <c r="CM373" s="1064"/>
      <c r="CN373" s="1064"/>
      <c r="CO373" s="1064"/>
      <c r="CP373" s="569"/>
      <c r="CQ373" s="1064"/>
      <c r="CR373" s="1064"/>
      <c r="CS373" s="1064"/>
      <c r="CT373" s="569"/>
      <c r="CU373" s="1064"/>
      <c r="CV373" s="1064"/>
      <c r="CW373" s="568"/>
      <c r="CX373" s="569"/>
      <c r="CY373" s="1064"/>
      <c r="CZ373" s="1064"/>
      <c r="DA373" s="1064"/>
      <c r="DB373" s="569"/>
      <c r="DC373" s="1064"/>
      <c r="DD373" s="1064"/>
      <c r="DE373" s="1064"/>
      <c r="DF373" s="1064"/>
      <c r="DG373" s="1064"/>
      <c r="DH373" s="1064"/>
      <c r="DI373" s="1064"/>
      <c r="DJ373" s="1064"/>
      <c r="DK373" s="1064"/>
      <c r="DL373" s="1064"/>
      <c r="DM373" s="568"/>
      <c r="DN373" s="568"/>
      <c r="DO373" s="568"/>
      <c r="DP373" s="568"/>
      <c r="DQ373" s="568"/>
      <c r="DR373" s="568"/>
      <c r="DS373" s="568"/>
      <c r="DT373" s="568"/>
      <c r="DU373" s="568"/>
      <c r="DV373" s="568"/>
      <c r="DW373" s="568"/>
      <c r="DX373" s="568"/>
      <c r="DY373" s="568"/>
    </row>
    <row r="374" spans="1:129" ht="15" customHeight="1">
      <c r="A374" s="1595" t="s">
        <v>313</v>
      </c>
      <c r="B374" s="91"/>
      <c r="C374" s="91"/>
      <c r="D374" s="91"/>
      <c r="E374" s="91"/>
      <c r="F374" s="91"/>
      <c r="G374" s="91"/>
      <c r="H374" s="91"/>
      <c r="I374" s="91"/>
      <c r="J374" s="91"/>
      <c r="K374" s="91"/>
      <c r="L374" s="91"/>
      <c r="M374" s="91"/>
      <c r="N374" s="91"/>
      <c r="O374" s="91"/>
      <c r="P374" s="91"/>
      <c r="Q374" s="1068"/>
      <c r="R374" s="91"/>
      <c r="S374" s="91"/>
      <c r="T374" s="1068"/>
      <c r="U374" s="1068"/>
      <c r="V374" s="91"/>
      <c r="W374" s="91"/>
      <c r="X374" s="91"/>
      <c r="Y374" s="91"/>
      <c r="Z374" s="91"/>
      <c r="AA374" s="1068"/>
      <c r="AB374" s="1068"/>
      <c r="AC374" s="1068"/>
      <c r="AD374" s="1068"/>
      <c r="AE374" s="1068"/>
      <c r="AF374" s="1068"/>
      <c r="AG374" s="1068"/>
      <c r="AH374" s="1966"/>
      <c r="AI374" s="193"/>
      <c r="AJ374" s="1966"/>
      <c r="AK374" s="91"/>
      <c r="AL374" s="91"/>
      <c r="AM374" s="91"/>
      <c r="AN374" s="91"/>
      <c r="AO374" s="91"/>
      <c r="AP374" s="91"/>
      <c r="AQ374" s="91"/>
      <c r="AR374" s="91"/>
      <c r="AS374" s="91"/>
      <c r="AT374" s="91"/>
      <c r="AU374" s="91"/>
      <c r="AV374" s="91"/>
      <c r="AW374" s="91"/>
      <c r="AX374" s="91"/>
      <c r="AY374" s="91"/>
      <c r="AZ374" s="91"/>
      <c r="BA374" s="91"/>
      <c r="BB374" s="91"/>
      <c r="BC374" s="91"/>
      <c r="BD374" s="91"/>
      <c r="BE374" s="91"/>
      <c r="BF374" s="91"/>
      <c r="BG374" s="91"/>
      <c r="BH374" s="91"/>
      <c r="BI374" s="91"/>
      <c r="BJ374" s="91"/>
      <c r="BK374" s="91"/>
      <c r="BL374" s="91"/>
      <c r="BM374" s="91"/>
      <c r="BN374" s="91"/>
      <c r="BO374" s="91"/>
      <c r="BP374" s="91"/>
      <c r="BQ374" s="91"/>
      <c r="BR374" s="151"/>
      <c r="BS374" s="1068"/>
      <c r="BT374" s="1068"/>
      <c r="BU374" s="1068"/>
      <c r="BV374" s="151"/>
      <c r="BW374" s="1068"/>
      <c r="BX374" s="1068"/>
      <c r="BY374" s="1068"/>
      <c r="BZ374" s="151"/>
      <c r="CA374" s="1068"/>
      <c r="CB374" s="1068"/>
      <c r="CC374" s="1068"/>
      <c r="CD374" s="151"/>
      <c r="CE374" s="1068"/>
      <c r="CF374" s="1068"/>
      <c r="CG374" s="93"/>
      <c r="CH374" s="151"/>
      <c r="CI374" s="1068"/>
      <c r="CJ374" s="1068"/>
      <c r="CK374" s="93"/>
      <c r="CL374" s="151"/>
      <c r="CM374" s="1301">
        <f t="shared" ref="CM374:DL374" si="455">+CM364-CL364</f>
        <v>-1.929000000000002</v>
      </c>
      <c r="CN374" s="1301">
        <f t="shared" si="455"/>
        <v>-4.98599999999999</v>
      </c>
      <c r="CO374" s="1301">
        <f t="shared" si="455"/>
        <v>-7.4130000000000109</v>
      </c>
      <c r="CP374" s="368">
        <f t="shared" si="455"/>
        <v>-5.8269999999999982</v>
      </c>
      <c r="CQ374" s="1301">
        <f t="shared" si="455"/>
        <v>-6.2999999999999829</v>
      </c>
      <c r="CR374" s="1301">
        <f t="shared" si="455"/>
        <v>-6.5000000000000284</v>
      </c>
      <c r="CS374" s="1301">
        <f t="shared" si="455"/>
        <v>-0.69999999999998863</v>
      </c>
      <c r="CT374" s="368">
        <f t="shared" si="455"/>
        <v>1.7999999999999829</v>
      </c>
      <c r="CU374" s="1301">
        <f t="shared" si="455"/>
        <v>-0.29999999999998295</v>
      </c>
      <c r="CV374" s="1301">
        <f t="shared" si="455"/>
        <v>-0.5</v>
      </c>
      <c r="CW374" s="369">
        <f t="shared" si="455"/>
        <v>-1.5</v>
      </c>
      <c r="CX374" s="368">
        <f t="shared" si="455"/>
        <v>-2.0999999999999943</v>
      </c>
      <c r="CY374" s="1301">
        <f t="shared" si="455"/>
        <v>-3.6000000000000227</v>
      </c>
      <c r="CZ374" s="1301">
        <f t="shared" si="455"/>
        <v>-3.6999999999999886</v>
      </c>
      <c r="DA374" s="1301">
        <f t="shared" si="455"/>
        <v>-1.0999999999999943</v>
      </c>
      <c r="DB374" s="368">
        <f t="shared" si="455"/>
        <v>-1.5</v>
      </c>
      <c r="DC374" s="1301">
        <f t="shared" si="455"/>
        <v>-1</v>
      </c>
      <c r="DD374" s="1301">
        <f t="shared" si="455"/>
        <v>-2.5999999999999943</v>
      </c>
      <c r="DE374" s="1301">
        <f t="shared" si="455"/>
        <v>-1.5</v>
      </c>
      <c r="DF374" s="1301">
        <f t="shared" si="455"/>
        <v>9.9999999999994316E-2</v>
      </c>
      <c r="DG374" s="1301">
        <f t="shared" si="455"/>
        <v>0.90000000000000568</v>
      </c>
      <c r="DH374" s="1301">
        <f t="shared" si="455"/>
        <v>0.69999999999998863</v>
      </c>
      <c r="DI374" s="1301">
        <f t="shared" si="455"/>
        <v>-1.1999999999999886</v>
      </c>
      <c r="DJ374" s="1301">
        <f t="shared" si="455"/>
        <v>-1.1000000000000227</v>
      </c>
      <c r="DK374" s="1301">
        <f t="shared" si="455"/>
        <v>2.3000000000000114</v>
      </c>
      <c r="DL374" s="1301">
        <f t="shared" si="455"/>
        <v>-0.59999999999999432</v>
      </c>
      <c r="DM374" s="93"/>
      <c r="DN374" s="93"/>
      <c r="DO374" s="93"/>
      <c r="DP374" s="93"/>
      <c r="DQ374" s="93"/>
      <c r="DR374" s="93"/>
      <c r="DS374" s="93"/>
      <c r="DT374" s="93"/>
      <c r="DU374" s="93"/>
      <c r="DV374" s="93"/>
      <c r="DW374" s="93"/>
      <c r="DX374" s="93"/>
      <c r="DY374" s="93"/>
    </row>
    <row r="375" spans="1:129" ht="15" customHeight="1">
      <c r="A375" s="1603" t="s">
        <v>311</v>
      </c>
      <c r="B375" s="86"/>
      <c r="C375" s="86"/>
      <c r="D375" s="86"/>
      <c r="E375" s="86"/>
      <c r="F375" s="86"/>
      <c r="G375" s="86"/>
      <c r="H375" s="86"/>
      <c r="I375" s="86"/>
      <c r="J375" s="86"/>
      <c r="K375" s="86"/>
      <c r="L375" s="86"/>
      <c r="M375" s="86"/>
      <c r="N375" s="86"/>
      <c r="O375" s="86"/>
      <c r="P375" s="86"/>
      <c r="Q375" s="1064"/>
      <c r="R375" s="86"/>
      <c r="S375" s="86"/>
      <c r="T375" s="1064"/>
      <c r="U375" s="1064"/>
      <c r="V375" s="86"/>
      <c r="W375" s="86"/>
      <c r="X375" s="86"/>
      <c r="Y375" s="86"/>
      <c r="Z375" s="86"/>
      <c r="AA375" s="1064"/>
      <c r="AB375" s="1064"/>
      <c r="AC375" s="1064"/>
      <c r="AD375" s="1064"/>
      <c r="AE375" s="1064"/>
      <c r="AF375" s="1064"/>
      <c r="AG375" s="1064"/>
      <c r="AH375" s="1947"/>
      <c r="AI375" s="606"/>
      <c r="AJ375" s="1947"/>
      <c r="AK375" s="86"/>
      <c r="AL375" s="86"/>
      <c r="AM375" s="86"/>
      <c r="AN375" s="86"/>
      <c r="AO375" s="86"/>
      <c r="AP375" s="86"/>
      <c r="AQ375" s="86"/>
      <c r="AR375" s="86"/>
      <c r="AS375" s="86"/>
      <c r="AT375" s="86"/>
      <c r="AU375" s="86"/>
      <c r="AV375" s="86"/>
      <c r="AW375" s="86"/>
      <c r="AX375" s="86"/>
      <c r="AY375" s="86"/>
      <c r="AZ375" s="86"/>
      <c r="BA375" s="86"/>
      <c r="BB375" s="86"/>
      <c r="BC375" s="86"/>
      <c r="BD375" s="86"/>
      <c r="BE375" s="86"/>
      <c r="BF375" s="86"/>
      <c r="BG375" s="86"/>
      <c r="BH375" s="86"/>
      <c r="BI375" s="86"/>
      <c r="BJ375" s="86"/>
      <c r="BK375" s="86"/>
      <c r="BL375" s="86"/>
      <c r="BM375" s="86"/>
      <c r="BN375" s="86"/>
      <c r="BO375" s="86"/>
      <c r="BP375" s="86"/>
      <c r="BQ375" s="86"/>
      <c r="BR375" s="569"/>
      <c r="BS375" s="1064"/>
      <c r="BT375" s="1064"/>
      <c r="BU375" s="1064"/>
      <c r="BV375" s="569"/>
      <c r="BW375" s="1064"/>
      <c r="BX375" s="1064"/>
      <c r="BY375" s="1064"/>
      <c r="BZ375" s="569"/>
      <c r="CA375" s="1064"/>
      <c r="CB375" s="1064"/>
      <c r="CC375" s="1064"/>
      <c r="CD375" s="569"/>
      <c r="CE375" s="1064"/>
      <c r="CF375" s="1064"/>
      <c r="CG375" s="568"/>
      <c r="CH375" s="569"/>
      <c r="CI375" s="1064"/>
      <c r="CJ375" s="1064"/>
      <c r="CK375" s="568"/>
      <c r="CL375" s="569"/>
      <c r="CM375" s="1229">
        <f t="shared" ref="CM375:DL375" si="456">+CM367-CL367</f>
        <v>118.672</v>
      </c>
      <c r="CN375" s="1229">
        <f t="shared" si="456"/>
        <v>-3.5969999999999942</v>
      </c>
      <c r="CO375" s="1229">
        <f t="shared" si="456"/>
        <v>-4.9660000000000082</v>
      </c>
      <c r="CP375" s="631">
        <f t="shared" si="456"/>
        <v>-2.1089999999999947</v>
      </c>
      <c r="CQ375" s="1229">
        <f t="shared" si="456"/>
        <v>-4.5999999999999943</v>
      </c>
      <c r="CR375" s="1229">
        <f t="shared" si="456"/>
        <v>-5.9000000000000057</v>
      </c>
      <c r="CS375" s="1229">
        <f t="shared" si="456"/>
        <v>-5.2000000000000028</v>
      </c>
      <c r="CT375" s="631">
        <f t="shared" si="456"/>
        <v>-0.29999999999999716</v>
      </c>
      <c r="CU375" s="1229">
        <f t="shared" si="456"/>
        <v>1.2000000000000028</v>
      </c>
      <c r="CV375" s="1229">
        <f t="shared" si="456"/>
        <v>-0.40000000000000568</v>
      </c>
      <c r="CW375" s="632">
        <f t="shared" si="456"/>
        <v>-1</v>
      </c>
      <c r="CX375" s="631">
        <f t="shared" si="456"/>
        <v>-1</v>
      </c>
      <c r="CY375" s="1229">
        <f t="shared" si="456"/>
        <v>-2.2000000000000028</v>
      </c>
      <c r="CZ375" s="1229">
        <f t="shared" si="456"/>
        <v>-1.1999999999999886</v>
      </c>
      <c r="DA375" s="1229">
        <f t="shared" si="456"/>
        <v>-1</v>
      </c>
      <c r="DB375" s="631">
        <f t="shared" si="456"/>
        <v>-1.2000000000000028</v>
      </c>
      <c r="DC375" s="1229">
        <f t="shared" si="456"/>
        <v>-0.5</v>
      </c>
      <c r="DD375" s="1229">
        <f t="shared" si="456"/>
        <v>-1.1000000000000085</v>
      </c>
      <c r="DE375" s="1229">
        <f t="shared" si="456"/>
        <v>-1.6999999999999886</v>
      </c>
      <c r="DF375" s="1229">
        <f t="shared" si="456"/>
        <v>-1</v>
      </c>
      <c r="DG375" s="1229">
        <f t="shared" si="456"/>
        <v>-0.30000000000001137</v>
      </c>
      <c r="DH375" s="1229">
        <f t="shared" si="456"/>
        <v>-1.1999999999999886</v>
      </c>
      <c r="DI375" s="1229">
        <f t="shared" si="456"/>
        <v>-2.6000000000000085</v>
      </c>
      <c r="DJ375" s="1229">
        <f t="shared" si="456"/>
        <v>-1.2999999999999972</v>
      </c>
      <c r="DK375" s="1229">
        <f t="shared" si="456"/>
        <v>-2.7999999999999972</v>
      </c>
      <c r="DL375" s="1229">
        <f t="shared" si="456"/>
        <v>-1.2999999999999972</v>
      </c>
      <c r="DM375" s="568"/>
      <c r="DN375" s="568"/>
      <c r="DO375" s="568"/>
      <c r="DP375" s="568"/>
      <c r="DQ375" s="568"/>
      <c r="DR375" s="568"/>
      <c r="DS375" s="568"/>
      <c r="DT375" s="568"/>
      <c r="DU375" s="568"/>
      <c r="DV375" s="568"/>
      <c r="DW375" s="568"/>
      <c r="DX375" s="568"/>
      <c r="DY375" s="568"/>
    </row>
    <row r="376" spans="1:129" ht="15" customHeight="1">
      <c r="A376" s="1613" t="s">
        <v>312</v>
      </c>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c r="AA376" s="108"/>
      <c r="AB376" s="108"/>
      <c r="AC376" s="108"/>
      <c r="AD376" s="108"/>
      <c r="AE376" s="108"/>
      <c r="AF376" s="108"/>
      <c r="AG376" s="108"/>
      <c r="AH376" s="1968"/>
      <c r="AI376" s="634"/>
      <c r="AJ376" s="1968"/>
      <c r="AK376" s="108"/>
      <c r="AL376" s="108"/>
      <c r="AM376" s="108"/>
      <c r="AN376" s="108"/>
      <c r="AO376" s="108"/>
      <c r="AP376" s="108"/>
      <c r="AQ376" s="108"/>
      <c r="AR376" s="108"/>
      <c r="AS376" s="108"/>
      <c r="AT376" s="108"/>
      <c r="AU376" s="108"/>
      <c r="AV376" s="108"/>
      <c r="AW376" s="108"/>
      <c r="AX376" s="108"/>
      <c r="AY376" s="108"/>
      <c r="AZ376" s="108"/>
      <c r="BA376" s="108"/>
      <c r="BB376" s="108"/>
      <c r="BC376" s="108"/>
      <c r="BD376" s="108"/>
      <c r="BE376" s="108"/>
      <c r="BF376" s="108"/>
      <c r="BG376" s="108"/>
      <c r="BH376" s="108"/>
      <c r="BI376" s="108"/>
      <c r="BJ376" s="108"/>
      <c r="BK376" s="108"/>
      <c r="BL376" s="108"/>
      <c r="BM376" s="108"/>
      <c r="BN376" s="108"/>
      <c r="BO376" s="108"/>
      <c r="BP376" s="108"/>
      <c r="BQ376" s="108"/>
      <c r="BR376" s="571"/>
      <c r="BS376" s="108"/>
      <c r="BT376" s="108"/>
      <c r="BU376" s="108"/>
      <c r="BV376" s="571"/>
      <c r="BW376" s="108"/>
      <c r="BX376" s="108"/>
      <c r="BY376" s="108"/>
      <c r="BZ376" s="571"/>
      <c r="CA376" s="108"/>
      <c r="CB376" s="108"/>
      <c r="CC376" s="108"/>
      <c r="CD376" s="571"/>
      <c r="CE376" s="108"/>
      <c r="CF376" s="108"/>
      <c r="CG376" s="633"/>
      <c r="CH376" s="571"/>
      <c r="CI376" s="108"/>
      <c r="CJ376" s="108"/>
      <c r="CK376" s="633"/>
      <c r="CL376" s="571"/>
      <c r="CM376" s="635">
        <f t="shared" ref="CM376:DL376" si="457">+CM370-CL370</f>
        <v>-120.601</v>
      </c>
      <c r="CN376" s="635">
        <f t="shared" si="457"/>
        <v>-1.3889999999999958</v>
      </c>
      <c r="CO376" s="635">
        <f t="shared" si="457"/>
        <v>-2.4470000000000027</v>
      </c>
      <c r="CP376" s="636">
        <f t="shared" si="457"/>
        <v>-3.7180000000000035</v>
      </c>
      <c r="CQ376" s="635">
        <f t="shared" si="457"/>
        <v>-1.6999999999999886</v>
      </c>
      <c r="CR376" s="635">
        <f t="shared" si="457"/>
        <v>-0.60000000000002274</v>
      </c>
      <c r="CS376" s="635">
        <f t="shared" si="457"/>
        <v>4.5000000000000142</v>
      </c>
      <c r="CT376" s="636">
        <f t="shared" si="457"/>
        <v>2.0999999999999801</v>
      </c>
      <c r="CU376" s="635">
        <f t="shared" si="457"/>
        <v>-1.4999999999999858</v>
      </c>
      <c r="CV376" s="635">
        <f t="shared" si="457"/>
        <v>-9.9999999999994316E-2</v>
      </c>
      <c r="CW376" s="637">
        <f t="shared" si="457"/>
        <v>-0.5</v>
      </c>
      <c r="CX376" s="636">
        <f t="shared" si="457"/>
        <v>-1.0999999999999943</v>
      </c>
      <c r="CY376" s="635">
        <f t="shared" si="457"/>
        <v>-1.4000000000000199</v>
      </c>
      <c r="CZ376" s="635">
        <f t="shared" si="457"/>
        <v>-2.5</v>
      </c>
      <c r="DA376" s="635">
        <f t="shared" si="457"/>
        <v>-9.9999999999994316E-2</v>
      </c>
      <c r="DB376" s="636">
        <f t="shared" si="457"/>
        <v>-0.29999999999999716</v>
      </c>
      <c r="DC376" s="635">
        <f t="shared" si="457"/>
        <v>-0.5</v>
      </c>
      <c r="DD376" s="635">
        <f t="shared" si="457"/>
        <v>-1.4999999999999858</v>
      </c>
      <c r="DE376" s="635">
        <f t="shared" si="457"/>
        <v>0.19999999999998863</v>
      </c>
      <c r="DF376" s="635">
        <f t="shared" si="457"/>
        <v>1.0999999999999943</v>
      </c>
      <c r="DG376" s="635">
        <f t="shared" si="457"/>
        <v>1.2000000000000171</v>
      </c>
      <c r="DH376" s="635">
        <f t="shared" si="457"/>
        <v>1.8999999999999773</v>
      </c>
      <c r="DI376" s="635">
        <f t="shared" si="457"/>
        <v>1.4000000000000199</v>
      </c>
      <c r="DJ376" s="635">
        <f t="shared" si="457"/>
        <v>0.19999999999997442</v>
      </c>
      <c r="DK376" s="635">
        <f t="shared" si="457"/>
        <v>5.1000000000000085</v>
      </c>
      <c r="DL376" s="635">
        <f t="shared" si="457"/>
        <v>0.70000000000000284</v>
      </c>
      <c r="DM376" s="633"/>
      <c r="DN376" s="633"/>
      <c r="DO376" s="633"/>
      <c r="DP376" s="633"/>
      <c r="DQ376" s="633"/>
      <c r="DR376" s="633"/>
      <c r="DS376" s="633"/>
      <c r="DT376" s="633"/>
      <c r="DU376" s="633"/>
      <c r="DV376" s="633"/>
      <c r="DW376" s="633"/>
      <c r="DX376" s="633"/>
      <c r="DY376" s="633"/>
    </row>
  </sheetData>
  <mergeCells count="3">
    <mergeCell ref="BV78:BY78"/>
    <mergeCell ref="BV90:BY90"/>
    <mergeCell ref="BV98:BY98"/>
  </mergeCells>
  <phoneticPr fontId="76" type="noConversion"/>
  <pageMargins left="0" right="0" top="0" bottom="0" header="0" footer="0"/>
  <pageSetup scale="47" orientation="landscape" r:id="rId1"/>
  <headerFooter alignWithMargins="0"/>
  <rowBreaks count="2" manualBreakCount="2">
    <brk id="60" max="124" man="1"/>
    <brk id="235" max="16383" man="1"/>
  </rowBreaks>
  <colBreaks count="1" manualBreakCount="1">
    <brk id="104" max="1048575" man="1"/>
  </col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tabColor indexed="56"/>
    <pageSetUpPr fitToPage="1"/>
  </sheetPr>
  <dimension ref="A1:FW171"/>
  <sheetViews>
    <sheetView showGridLines="0" zoomScale="85" zoomScaleSheetLayoutView="85" workbookViewId="0">
      <pane xSplit="1" ySplit="7" topLeftCell="P8" activePane="bottomRight" state="frozen"/>
      <selection activeCell="W8" sqref="W8"/>
      <selection pane="topRight" activeCell="W8" sqref="W8"/>
      <selection pane="bottomLeft" activeCell="W8" sqref="W8"/>
      <selection pane="bottomRight" activeCell="P8" sqref="P8"/>
    </sheetView>
  </sheetViews>
  <sheetFormatPr defaultColWidth="8.6640625" defaultRowHeight="15" outlineLevelRow="1" outlineLevelCol="1"/>
  <cols>
    <col min="1" max="1" width="30.44140625" customWidth="1"/>
    <col min="2" max="3" width="2.5546875" hidden="1" customWidth="1" outlineLevel="1"/>
    <col min="4" max="8" width="8.6640625" hidden="1" customWidth="1" outlineLevel="1"/>
    <col min="9" max="9" width="8.6640625" style="1074" hidden="1" customWidth="1" outlineLevel="1"/>
    <col min="10" max="10" width="8.6640625" hidden="1" customWidth="1" outlineLevel="1" collapsed="1"/>
    <col min="11" max="11" width="8.6640625" hidden="1" customWidth="1" outlineLevel="1"/>
    <col min="12" max="12" width="8.6640625" hidden="1" customWidth="1" outlineLevel="1" collapsed="1"/>
    <col min="13" max="13" width="8.6640625" style="1074" hidden="1" customWidth="1" outlineLevel="1" collapsed="1"/>
    <col min="14" max="15" width="8.6640625" hidden="1" customWidth="1" outlineLevel="1" collapsed="1"/>
    <col min="16" max="16" width="8.6640625" customWidth="1" collapsed="1"/>
    <col min="17" max="19" width="8.6640625" customWidth="1"/>
    <col min="20" max="20" width="8.6640625" style="3144" hidden="1" customWidth="1" outlineLevel="1"/>
    <col min="21" max="25" width="8.6640625" style="3146" hidden="1" customWidth="1" outlineLevel="1"/>
    <col min="26" max="26" width="2.5546875" style="1074" customWidth="1" collapsed="1"/>
    <col min="27" max="76" width="2.5546875" style="1074" hidden="1" customWidth="1" outlineLevel="1"/>
    <col min="77" max="97" width="8.6640625" hidden="1" customWidth="1" outlineLevel="1"/>
    <col min="98" max="98" width="8.6640625" hidden="1" customWidth="1" outlineLevel="1" collapsed="1"/>
    <col min="99" max="101" width="8.6640625" hidden="1" customWidth="1" outlineLevel="1"/>
    <col min="102" max="102" width="8.6640625" hidden="1" customWidth="1" outlineLevel="1" collapsed="1"/>
    <col min="103" max="105" width="8.6640625" hidden="1" customWidth="1" outlineLevel="1"/>
    <col min="106" max="106" width="8.6640625" hidden="1" customWidth="1" outlineLevel="1" collapsed="1"/>
    <col min="107" max="109" width="8.6640625" hidden="1" customWidth="1" outlineLevel="1"/>
    <col min="110" max="110" width="8.6640625" hidden="1" customWidth="1" outlineLevel="1" collapsed="1"/>
    <col min="111" max="113" width="8.6640625" style="1074" hidden="1" customWidth="1" outlineLevel="1"/>
    <col min="114" max="114" width="8.6640625" style="1074" hidden="1" customWidth="1" outlineLevel="1" collapsed="1"/>
    <col min="115" max="117" width="8.6640625" style="1074" hidden="1" customWidth="1" outlineLevel="1"/>
    <col min="118" max="118" width="8.6640625" style="1074" hidden="1" customWidth="1" outlineLevel="1" collapsed="1"/>
    <col min="119" max="121" width="8.6640625" style="1074" hidden="1" customWidth="1" outlineLevel="1"/>
    <col min="122" max="122" width="8.6640625" style="1074" collapsed="1"/>
    <col min="123" max="129" width="8.6640625" style="1074"/>
  </cols>
  <sheetData>
    <row r="1" spans="1:129">
      <c r="A1" s="91" t="s">
        <v>1111</v>
      </c>
      <c r="B1" s="87"/>
      <c r="C1" s="87"/>
      <c r="D1" s="87"/>
      <c r="E1" s="87"/>
      <c r="F1" s="87"/>
      <c r="G1" s="87"/>
      <c r="H1" s="582"/>
      <c r="I1" s="1261"/>
    </row>
    <row r="2" spans="1:129">
      <c r="A2" s="91" t="s">
        <v>1112</v>
      </c>
      <c r="B2" s="87"/>
      <c r="C2" s="87"/>
      <c r="D2" s="87"/>
      <c r="E2" s="87"/>
      <c r="F2" s="87"/>
      <c r="G2" s="638"/>
      <c r="H2" s="638"/>
      <c r="I2" s="1261"/>
      <c r="DE2" s="639"/>
      <c r="DF2" s="639"/>
      <c r="DG2" s="1549"/>
      <c r="DH2" s="1549"/>
      <c r="DI2" s="1549"/>
      <c r="DJ2" s="1549"/>
      <c r="DK2" s="1549"/>
      <c r="DL2" s="1549"/>
      <c r="DM2" s="1549"/>
      <c r="DN2" s="1549"/>
      <c r="DO2" s="1549"/>
      <c r="DP2" s="1549"/>
      <c r="DQ2" s="1549"/>
      <c r="DR2" s="1549"/>
      <c r="DS2" s="1549"/>
      <c r="DT2" s="1549"/>
      <c r="DU2" s="1549"/>
      <c r="DV2" s="1549"/>
      <c r="DW2" s="1549"/>
      <c r="DX2" s="1549"/>
      <c r="DY2" s="1549"/>
    </row>
    <row r="3" spans="1:129">
      <c r="A3" s="87" t="s">
        <v>1113</v>
      </c>
      <c r="B3" s="87"/>
      <c r="C3" s="87"/>
      <c r="D3" s="87"/>
      <c r="E3" s="87"/>
      <c r="F3" s="87"/>
      <c r="G3" s="87"/>
      <c r="H3" s="582"/>
      <c r="I3" s="1261"/>
      <c r="CM3" s="170"/>
      <c r="CN3" s="170"/>
      <c r="CO3" s="170"/>
      <c r="CP3" s="170"/>
      <c r="CQ3" s="170"/>
      <c r="CR3" s="170"/>
      <c r="CS3" s="170"/>
      <c r="CT3" s="170"/>
      <c r="CU3" s="170"/>
      <c r="CV3" s="170"/>
      <c r="CW3" s="170"/>
      <c r="CX3" s="170"/>
      <c r="CY3" s="170"/>
      <c r="CZ3" s="170"/>
      <c r="DA3" s="170"/>
      <c r="DB3" s="1442"/>
      <c r="DC3" s="1442"/>
      <c r="DD3" s="1442"/>
      <c r="DE3" s="1442"/>
      <c r="DF3" s="1442"/>
      <c r="DG3" s="1550"/>
      <c r="DH3" s="1575"/>
      <c r="DI3" s="1575"/>
      <c r="DJ3" s="1575"/>
      <c r="DK3" s="1575"/>
      <c r="DL3" s="1575"/>
      <c r="DM3" s="1558"/>
      <c r="DN3" s="1558"/>
      <c r="DO3" s="1558"/>
      <c r="DP3" s="1558"/>
      <c r="DQ3" s="1558"/>
      <c r="DR3" s="1558"/>
      <c r="DS3" s="1558"/>
      <c r="DT3" s="1558"/>
      <c r="DU3" s="1558"/>
      <c r="DV3" s="1558"/>
      <c r="DW3" s="1558"/>
      <c r="DX3" s="1558"/>
      <c r="DY3" s="1558"/>
    </row>
    <row r="4" spans="1:129" ht="21.75" customHeight="1">
      <c r="A4" s="91"/>
      <c r="B4" s="87"/>
      <c r="C4" s="87"/>
      <c r="D4" s="87"/>
      <c r="E4" s="87"/>
      <c r="F4" s="87"/>
      <c r="G4" s="87"/>
      <c r="H4" s="613"/>
      <c r="I4" s="1261"/>
      <c r="CM4" s="206"/>
      <c r="CN4" s="109"/>
      <c r="CO4" s="109"/>
      <c r="CP4" s="109"/>
      <c r="CQ4" s="109"/>
      <c r="CR4" s="109"/>
      <c r="CS4" s="109"/>
      <c r="CT4" s="109"/>
      <c r="CU4" s="109"/>
      <c r="CV4" s="109"/>
      <c r="CW4" s="109"/>
      <c r="CX4" s="109"/>
      <c r="CY4" s="109"/>
      <c r="CZ4" s="109"/>
      <c r="DA4" s="109"/>
      <c r="DB4" s="109"/>
      <c r="DC4" s="109"/>
      <c r="DD4" s="109"/>
      <c r="DE4" s="109"/>
      <c r="DF4" s="109"/>
      <c r="DG4" s="1044"/>
      <c r="DH4" s="1044"/>
      <c r="DI4" s="1044"/>
      <c r="DJ4" s="1044"/>
      <c r="DK4" s="1044"/>
      <c r="DL4" s="1044"/>
      <c r="DM4" s="1559"/>
      <c r="DN4" s="1559"/>
      <c r="DO4" s="1559"/>
      <c r="DP4" s="1559"/>
      <c r="DQ4" s="1559"/>
      <c r="DR4" s="1559"/>
      <c r="DS4" s="1559"/>
      <c r="DT4" s="1559"/>
      <c r="DU4" s="1559"/>
      <c r="DV4" s="1559"/>
      <c r="DW4" s="1559"/>
      <c r="DX4" s="1559"/>
      <c r="DY4" s="1559"/>
    </row>
    <row r="5" spans="1:129">
      <c r="A5" s="1282" t="s">
        <v>314</v>
      </c>
      <c r="B5" s="1283"/>
      <c r="C5" s="1283"/>
      <c r="D5" s="642">
        <f>IS!L5</f>
        <v>2004</v>
      </c>
      <c r="E5" s="642">
        <f>IS!M5</f>
        <v>2005</v>
      </c>
      <c r="F5" s="642">
        <f>IS!N5</f>
        <v>2006</v>
      </c>
      <c r="G5" s="642">
        <f>IS!O5</f>
        <v>2007</v>
      </c>
      <c r="H5" s="642">
        <f>IS!P5</f>
        <v>2008</v>
      </c>
      <c r="I5" s="642">
        <f>IS!Q5</f>
        <v>2009</v>
      </c>
      <c r="J5" s="642">
        <v>2010</v>
      </c>
      <c r="K5" s="642">
        <f>IS!S5</f>
        <v>2011</v>
      </c>
      <c r="L5" s="642">
        <f>IS!T5</f>
        <v>2012</v>
      </c>
      <c r="M5" s="642">
        <f>IS!U5</f>
        <v>2013</v>
      </c>
      <c r="N5" s="642" t="str">
        <f>IS!V5</f>
        <v>2014</v>
      </c>
      <c r="O5" s="642" t="str">
        <f>IS!W5</f>
        <v>2015</v>
      </c>
      <c r="P5" s="642" t="str">
        <f>IS!X5</f>
        <v>2016</v>
      </c>
      <c r="Q5" s="642" t="str">
        <f>IS!Y5</f>
        <v>2017</v>
      </c>
      <c r="R5" s="642" t="str">
        <f>IS!Z5</f>
        <v>2018E</v>
      </c>
      <c r="S5" s="642" t="str">
        <f>IS!AA5</f>
        <v>2019E</v>
      </c>
      <c r="T5" s="642" t="str">
        <f>IS!AB5</f>
        <v>2020E</v>
      </c>
      <c r="U5" s="642" t="str">
        <f>IS!AC5</f>
        <v>2021E</v>
      </c>
      <c r="V5" s="642" t="str">
        <f>IS!AD5</f>
        <v>2022E</v>
      </c>
      <c r="W5" s="642" t="str">
        <f>IS!AE5</f>
        <v>2023E</v>
      </c>
      <c r="X5" s="642" t="str">
        <f>IS!AF5</f>
        <v>2024E</v>
      </c>
      <c r="Y5" s="642" t="str">
        <f>IS!AG5</f>
        <v>2025E</v>
      </c>
      <c r="Z5" s="3014"/>
      <c r="AA5" s="3013"/>
      <c r="AB5" s="3013"/>
      <c r="AC5" s="3013"/>
      <c r="AD5" s="3013"/>
      <c r="AE5" s="3013"/>
      <c r="AF5" s="3013"/>
      <c r="AG5" s="3013"/>
      <c r="AH5" s="3013"/>
      <c r="AI5" s="3013"/>
      <c r="AJ5" s="3013"/>
      <c r="AK5" s="3013"/>
      <c r="AL5" s="3013"/>
      <c r="AM5" s="3013"/>
      <c r="AN5" s="3013"/>
      <c r="AO5" s="3013"/>
      <c r="AP5" s="3013"/>
      <c r="AQ5" s="3013"/>
      <c r="AR5" s="3013"/>
      <c r="AS5" s="3013"/>
      <c r="AT5" s="3013"/>
      <c r="AU5" s="3013"/>
      <c r="AV5" s="3013"/>
      <c r="AW5" s="3013"/>
      <c r="AX5" s="3013"/>
      <c r="AY5" s="3013"/>
      <c r="AZ5" s="3013"/>
      <c r="BA5" s="3013"/>
      <c r="BB5" s="3013"/>
      <c r="BC5" s="3013"/>
      <c r="BD5" s="3013"/>
      <c r="BE5" s="3013"/>
      <c r="BF5" s="3013"/>
      <c r="BG5" s="3013"/>
      <c r="BH5" s="3013"/>
      <c r="BI5" s="3013"/>
      <c r="BJ5" s="3013"/>
      <c r="BK5" s="3013"/>
      <c r="BL5" s="3013"/>
      <c r="BM5" s="3013"/>
      <c r="BN5" s="3013"/>
      <c r="BO5" s="3013"/>
      <c r="BP5" s="3013"/>
      <c r="BQ5" s="3013"/>
      <c r="BR5" s="3013"/>
      <c r="BS5" s="3013"/>
      <c r="BT5" s="3013"/>
      <c r="BU5" s="3013"/>
      <c r="BV5" s="3013"/>
      <c r="BW5" s="3013"/>
      <c r="BX5" s="3013"/>
      <c r="BY5" s="1281" t="str">
        <f>IS!BV5</f>
        <v>4Q05</v>
      </c>
      <c r="BZ5" s="1270" t="str">
        <f>IS!BW5</f>
        <v>1Q06</v>
      </c>
      <c r="CA5" s="642" t="str">
        <f>IS!BX5</f>
        <v>2Q06</v>
      </c>
      <c r="CB5" s="642" t="str">
        <f>IS!BY5</f>
        <v>3Q06</v>
      </c>
      <c r="CC5" s="643" t="str">
        <f>IS!BZ5</f>
        <v>4Q06</v>
      </c>
      <c r="CD5" s="1270" t="str">
        <f>IS!CA5</f>
        <v>1Q07</v>
      </c>
      <c r="CE5" s="642" t="str">
        <f>IS!CB5</f>
        <v>2Q07</v>
      </c>
      <c r="CF5" s="642" t="str">
        <f>IS!CC5</f>
        <v>3Q07</v>
      </c>
      <c r="CG5" s="642" t="str">
        <f>IS!CD5</f>
        <v>4Q07</v>
      </c>
      <c r="CH5" s="1270" t="str">
        <f>IS!CE5</f>
        <v>1Q08</v>
      </c>
      <c r="CI5" s="642" t="str">
        <f>IS!CF5</f>
        <v>2Q08</v>
      </c>
      <c r="CJ5" s="642" t="str">
        <f>IS!CG5</f>
        <v>3Q08</v>
      </c>
      <c r="CK5" s="642" t="str">
        <f>IS!CH5</f>
        <v>4Q08</v>
      </c>
      <c r="CL5" s="1270" t="str">
        <f>IS!CI5</f>
        <v>1Q09</v>
      </c>
      <c r="CM5" s="642" t="str">
        <f>IS!CJ5</f>
        <v>2Q09</v>
      </c>
      <c r="CN5" s="642" t="str">
        <f>IS!CK5</f>
        <v>3Q09</v>
      </c>
      <c r="CO5" s="642" t="str">
        <f>IS!CL5</f>
        <v>4Q09</v>
      </c>
      <c r="CP5" s="1270" t="str">
        <f>IS!CM5</f>
        <v>1Q10</v>
      </c>
      <c r="CQ5" s="642" t="str">
        <f>IS!CN5</f>
        <v>2Q10</v>
      </c>
      <c r="CR5" s="642" t="str">
        <f>IS!CO5</f>
        <v>3Q10</v>
      </c>
      <c r="CS5" s="642" t="str">
        <f>IS!CP5</f>
        <v>4Q10</v>
      </c>
      <c r="CT5" s="1270" t="str">
        <f>IS!CQ5</f>
        <v>1Q11</v>
      </c>
      <c r="CU5" s="642" t="str">
        <f>IS!CR5</f>
        <v>2Q11</v>
      </c>
      <c r="CV5" s="642" t="str">
        <f>IS!CS5</f>
        <v>3Q11</v>
      </c>
      <c r="CW5" s="642" t="str">
        <f>IS!CT5</f>
        <v>4Q11</v>
      </c>
      <c r="CX5" s="1270" t="str">
        <f>IS!CU5</f>
        <v>1Q12</v>
      </c>
      <c r="CY5" s="642" t="str">
        <f>IS!CV5</f>
        <v>2Q12</v>
      </c>
      <c r="CZ5" s="642" t="str">
        <f>IS!CW5</f>
        <v>3Q12</v>
      </c>
      <c r="DA5" s="642" t="str">
        <f>IS!CX5</f>
        <v>4Q12</v>
      </c>
      <c r="DB5" s="1270" t="str">
        <f>IS!CY5</f>
        <v>1Q13</v>
      </c>
      <c r="DC5" s="642" t="str">
        <f>IS!CZ5</f>
        <v>2Q13</v>
      </c>
      <c r="DD5" s="642" t="str">
        <f>IS!DA5</f>
        <v>3Q13</v>
      </c>
      <c r="DE5" s="642" t="str">
        <f>IS!DB5</f>
        <v>4Q13</v>
      </c>
      <c r="DF5" s="1270" t="str">
        <f>IS!DC5</f>
        <v>1Q14</v>
      </c>
      <c r="DG5" s="642" t="str">
        <f>IS!DD5</f>
        <v>2Q14</v>
      </c>
      <c r="DH5" s="642" t="str">
        <f>IS!DE5</f>
        <v>3Q14</v>
      </c>
      <c r="DI5" s="643" t="str">
        <f>IS!DF5</f>
        <v>4Q14</v>
      </c>
      <c r="DJ5" s="1270" t="str">
        <f>IS!DG5</f>
        <v>1Q15</v>
      </c>
      <c r="DK5" s="642" t="str">
        <f>IS!DH5</f>
        <v>2Q15</v>
      </c>
      <c r="DL5" s="642" t="str">
        <f>IS!DI5</f>
        <v>3Q15</v>
      </c>
      <c r="DM5" s="643" t="str">
        <f>IS!DJ5</f>
        <v>4Q15</v>
      </c>
      <c r="DN5" s="1270" t="str">
        <f>IS!DK5</f>
        <v>1Q16</v>
      </c>
      <c r="DO5" s="642" t="str">
        <f>IS!DL5</f>
        <v>2Q16</v>
      </c>
      <c r="DP5" s="642" t="str">
        <f>IS!DM5</f>
        <v>3Q16</v>
      </c>
      <c r="DQ5" s="643" t="str">
        <f>IS!DN5</f>
        <v>4Q16</v>
      </c>
      <c r="DR5" s="1270" t="str">
        <f>IS!DO5</f>
        <v>1Q17</v>
      </c>
      <c r="DS5" s="642" t="str">
        <f>IS!DP5</f>
        <v>2Q17</v>
      </c>
      <c r="DT5" s="642" t="str">
        <f>IS!DQ5</f>
        <v>3Q17</v>
      </c>
      <c r="DU5" s="643" t="str">
        <f>IS!DR5</f>
        <v>4Q17</v>
      </c>
      <c r="DV5" s="642" t="str">
        <f>IS!DS5</f>
        <v>1Q18</v>
      </c>
      <c r="DW5" s="642" t="str">
        <f>IS!DT5</f>
        <v>2Q18E</v>
      </c>
      <c r="DX5" s="642" t="str">
        <f>IS!DU5</f>
        <v>3Q18E</v>
      </c>
      <c r="DY5" s="643" t="str">
        <f>IS!DV5</f>
        <v>4Q18E</v>
      </c>
    </row>
    <row r="6" spans="1:129" hidden="1" outlineLevel="1">
      <c r="A6" s="584" t="s">
        <v>1212</v>
      </c>
      <c r="B6" s="1088"/>
      <c r="C6" s="1088"/>
      <c r="D6" s="1088"/>
      <c r="E6" s="1230"/>
      <c r="F6" s="1036">
        <f>IS!N6</f>
        <v>2.61</v>
      </c>
      <c r="G6" s="1036">
        <f>IS!O6</f>
        <v>2.3866533099135196</v>
      </c>
      <c r="H6" s="1090">
        <f>IS!P6</f>
        <v>2.538231328484017</v>
      </c>
      <c r="I6" s="1090">
        <f>IS!Q6</f>
        <v>1.9136349876803944</v>
      </c>
      <c r="J6" s="1090">
        <f>IS!R6</f>
        <v>2.0773481954809991</v>
      </c>
      <c r="K6" s="1090">
        <f>IS!S6</f>
        <v>2.1540899052696991</v>
      </c>
      <c r="L6" s="1090">
        <f>IS!T6</f>
        <v>2.2251970649895183</v>
      </c>
      <c r="M6" s="1090">
        <f>IS!U6</f>
        <v>2.8220215727209466</v>
      </c>
      <c r="N6" s="1090">
        <f>IS!V6</f>
        <v>3.4132820851600503</v>
      </c>
      <c r="O6" s="1090">
        <f>IS!W6</f>
        <v>3.4502992549163305</v>
      </c>
      <c r="P6" s="1090">
        <f>IS!X6</f>
        <v>3.7416043566052744</v>
      </c>
      <c r="Q6" s="1090">
        <f>IS!Y6</f>
        <v>3.7374602397846832</v>
      </c>
      <c r="R6" s="1090">
        <f ca="1">IS!Z6</f>
        <v>4.5447318949672786</v>
      </c>
      <c r="S6" s="1090">
        <f ca="1">IS!AA6</f>
        <v>4.7340805279717273</v>
      </c>
      <c r="T6" s="1090">
        <f ca="1">IS!AB6</f>
        <v>4.949467505016357</v>
      </c>
      <c r="U6" s="1090">
        <f ca="1">IS!AC6</f>
        <v>5.1589882052989253</v>
      </c>
      <c r="V6" s="1090">
        <f ca="1">IS!AD6</f>
        <v>5.3885502047206435</v>
      </c>
      <c r="W6" s="1090">
        <f ca="1">IS!AE6</f>
        <v>5.6328247202620876</v>
      </c>
      <c r="X6" s="1090">
        <f ca="1">IS!AF6</f>
        <v>5.8930980122776537</v>
      </c>
      <c r="Y6" s="1090">
        <f ca="1">IS!AG6</f>
        <v>6.1637765370324686</v>
      </c>
      <c r="Z6" s="678"/>
      <c r="AA6" s="1041"/>
      <c r="AB6" s="1041"/>
      <c r="AC6" s="1041"/>
      <c r="AD6" s="1041"/>
      <c r="AE6" s="1041"/>
      <c r="AF6" s="1041"/>
      <c r="AG6" s="1041"/>
      <c r="AH6" s="1041"/>
      <c r="AI6" s="1041"/>
      <c r="AJ6" s="1041"/>
      <c r="AK6" s="1041"/>
      <c r="AL6" s="1041"/>
      <c r="AM6" s="1041"/>
      <c r="AN6" s="1041"/>
      <c r="AO6" s="1041"/>
      <c r="AP6" s="1041"/>
      <c r="AQ6" s="1041"/>
      <c r="AR6" s="1041"/>
      <c r="AS6" s="1041"/>
      <c r="AT6" s="1041"/>
      <c r="AU6" s="1041"/>
      <c r="AV6" s="1041"/>
      <c r="AW6" s="1041"/>
      <c r="AX6" s="1041"/>
      <c r="AY6" s="1041"/>
      <c r="AZ6" s="1041"/>
      <c r="BA6" s="1041"/>
      <c r="BB6" s="1041"/>
      <c r="BC6" s="1041"/>
      <c r="BD6" s="1041"/>
      <c r="BE6" s="1041"/>
      <c r="BF6" s="1041"/>
      <c r="BG6" s="1041"/>
      <c r="BH6" s="1041"/>
      <c r="BI6" s="1041"/>
      <c r="BJ6" s="1041"/>
      <c r="BK6" s="1041"/>
      <c r="BL6" s="1041"/>
      <c r="BM6" s="1041"/>
      <c r="BN6" s="1041"/>
      <c r="BO6" s="1041"/>
      <c r="BP6" s="1041"/>
      <c r="BQ6" s="1041"/>
      <c r="BR6" s="1041"/>
      <c r="BS6" s="1041"/>
      <c r="BT6" s="1041"/>
      <c r="BU6" s="1041"/>
      <c r="BV6" s="1041"/>
      <c r="BW6" s="1041"/>
      <c r="BX6" s="1041"/>
      <c r="BY6" s="644">
        <f>IS!BV6</f>
        <v>0.61079545454545459</v>
      </c>
      <c r="BZ6" s="131">
        <f>IS!BW6</f>
        <v>0.67530600364649018</v>
      </c>
      <c r="CA6" s="1036">
        <f>IS!BX6</f>
        <v>0.63953882672092233</v>
      </c>
      <c r="CB6" s="1036">
        <f>IS!BY6</f>
        <v>0.68114950393431406</v>
      </c>
      <c r="CC6" s="132">
        <f>IS!BZ6</f>
        <v>0.61870503597122306</v>
      </c>
      <c r="CD6" s="131">
        <f>IS!CA6</f>
        <v>0.55994503607007906</v>
      </c>
      <c r="CE6" s="1036">
        <f>IS!CB6</f>
        <v>0.58479532163742687</v>
      </c>
      <c r="CF6" s="1036">
        <f>IS!CC6</f>
        <v>0.62551724137931031</v>
      </c>
      <c r="CG6" s="1036">
        <f>IS!CD6</f>
        <v>0.61639571082670352</v>
      </c>
      <c r="CH6" s="131">
        <f>IS!CE6</f>
        <v>0.60767888307155327</v>
      </c>
      <c r="CI6" s="1036">
        <f>IS!CF6</f>
        <v>0.66783584707120314</v>
      </c>
      <c r="CJ6" s="1036">
        <f>IS!CG6</f>
        <v>0.65553602811950795</v>
      </c>
      <c r="CK6" s="1036">
        <f>IS!CH6</f>
        <v>0.60718057022175287</v>
      </c>
      <c r="CL6" s="131">
        <f>IS!CI6</f>
        <v>0.47437486800422379</v>
      </c>
      <c r="CM6" s="1036">
        <f>IS!CJ6</f>
        <v>0.51500422386483635</v>
      </c>
      <c r="CN6" s="1036">
        <f>IS!CK6</f>
        <v>0.48104963041182691</v>
      </c>
      <c r="CO6" s="1036">
        <f>IS!CL6</f>
        <v>0.44320626539950719</v>
      </c>
      <c r="CP6" s="131">
        <f>IS!CM6</f>
        <v>0.47732157968970379</v>
      </c>
      <c r="CQ6" s="1036">
        <f>IS!CN6</f>
        <v>0.51364803678811444</v>
      </c>
      <c r="CR6" s="1036">
        <f>IS!CO6</f>
        <v>0.54674690703428763</v>
      </c>
      <c r="CS6" s="1036">
        <f>IS!CP6</f>
        <v>0.53963167196889361</v>
      </c>
      <c r="CT6" s="131">
        <f>IS!CQ6</f>
        <v>0.50918727915194351</v>
      </c>
      <c r="CU6" s="1036">
        <f>IS!CR6</f>
        <v>0.5692090395480226</v>
      </c>
      <c r="CV6" s="1036">
        <f>IS!CS6</f>
        <v>0.55881792519407203</v>
      </c>
      <c r="CW6" s="1036">
        <f>IS!CT6</f>
        <v>0.51687566137566132</v>
      </c>
      <c r="CX6" s="131">
        <f>IS!CU6</f>
        <v>0.59301860301860299</v>
      </c>
      <c r="CY6" s="1036">
        <f>IS!CV6</f>
        <v>0.63033939818054585</v>
      </c>
      <c r="CZ6" s="1036">
        <f>IS!CW6</f>
        <v>0.6364312630844382</v>
      </c>
      <c r="DA6" s="1036">
        <f>IS!CX6</f>
        <v>0.37228581411600281</v>
      </c>
      <c r="DB6" s="131">
        <f>IS!CY6</f>
        <v>0.67757660167130918</v>
      </c>
      <c r="DC6" s="1036">
        <f>IS!CZ6</f>
        <v>0.72865250696378836</v>
      </c>
      <c r="DD6" s="1036">
        <f>IS!DA6</f>
        <v>0.76658315935977728</v>
      </c>
      <c r="DE6" s="1036">
        <f>IS!DB6</f>
        <v>0.64996173913043476</v>
      </c>
      <c r="DF6" s="131">
        <f>IS!DC6</f>
        <v>0.91084337349397593</v>
      </c>
      <c r="DG6" s="1036">
        <f>IS!DD6</f>
        <v>0.90769564170479167</v>
      </c>
      <c r="DH6" s="1036">
        <f>IS!DE6</f>
        <v>0.88843471988458766</v>
      </c>
      <c r="DI6" s="132">
        <f>IS!DF6</f>
        <v>0.71300938176569639</v>
      </c>
      <c r="DJ6" s="131">
        <f>IS!DG6</f>
        <v>0.88910458626546951</v>
      </c>
      <c r="DK6" s="1036">
        <f>IS!DH6</f>
        <v>0.90183598531211751</v>
      </c>
      <c r="DL6" s="1036">
        <f>IS!DI6</f>
        <v>0.91012770137524557</v>
      </c>
      <c r="DM6" s="132">
        <f>IS!DJ6</f>
        <v>0.7531305201177626</v>
      </c>
      <c r="DN6" s="132">
        <f>IS!DK6</f>
        <v>0.93005140758873939</v>
      </c>
      <c r="DO6" s="132">
        <f>IS!DL6</f>
        <v>0.94394124847001226</v>
      </c>
      <c r="DP6" s="132">
        <f>IS!DM6</f>
        <v>1.0088105726872247</v>
      </c>
      <c r="DQ6" s="132">
        <f>IS!DN6</f>
        <v>0.85882065084413994</v>
      </c>
      <c r="DR6" s="132">
        <f>IS!DO6</f>
        <v>0.94519207242476144</v>
      </c>
      <c r="DS6" s="132">
        <f>IS!DP6</f>
        <v>0.95639392454679084</v>
      </c>
      <c r="DT6" s="132">
        <f>IS!DQ6</f>
        <v>0.97676693568109563</v>
      </c>
      <c r="DU6" s="132">
        <f>IS!DR6</f>
        <v>0.85916870415647917</v>
      </c>
      <c r="DV6" s="1036">
        <f>IS!DS6</f>
        <v>1.1714146579011444</v>
      </c>
      <c r="DW6" s="1036">
        <f ca="1">IS!DT6</f>
        <v>1.1606189746252034</v>
      </c>
      <c r="DX6" s="1036">
        <f ca="1">IS!DU6</f>
        <v>1.2111746666504053</v>
      </c>
      <c r="DY6" s="132">
        <f ca="1">IS!DV6</f>
        <v>1.0018026868648913</v>
      </c>
    </row>
    <row r="7" spans="1:129" hidden="1" outlineLevel="1">
      <c r="A7" s="645" t="s">
        <v>945</v>
      </c>
      <c r="B7" s="1240"/>
      <c r="C7" s="1240"/>
      <c r="D7" s="1271"/>
      <c r="E7" s="1271"/>
      <c r="F7" s="1037">
        <f>IS!N7</f>
        <v>1.6099999999999999</v>
      </c>
      <c r="G7" s="1037">
        <f>IS!O7</f>
        <v>-8.5573444477578642E-2</v>
      </c>
      <c r="H7" s="1091">
        <f>IS!P7</f>
        <v>6.3510698408052235E-2</v>
      </c>
      <c r="I7" s="1091" t="str">
        <f>IS!Q7</f>
        <v>na</v>
      </c>
      <c r="J7" s="1091">
        <f>IS!R7</f>
        <v>8.5550906444832986E-2</v>
      </c>
      <c r="K7" s="1091">
        <f>IS!S7</f>
        <v>3.6942150553114672E-2</v>
      </c>
      <c r="L7" s="1091">
        <f>IS!T7</f>
        <v>3.3010302655364976E-2</v>
      </c>
      <c r="M7" s="1091">
        <f>IS!U7</f>
        <v>0.26821197866996083</v>
      </c>
      <c r="N7" s="1091">
        <f>IS!V7</f>
        <v>0.20951665223062776</v>
      </c>
      <c r="O7" s="1091">
        <f>IS!W7</f>
        <v>1.0845036780645856E-2</v>
      </c>
      <c r="P7" s="1091">
        <f>IS!X7</f>
        <v>8.4428937946140037E-2</v>
      </c>
      <c r="Q7" s="1091">
        <f>IS!Y7</f>
        <v>-1.1075775056962334E-3</v>
      </c>
      <c r="R7" s="1091">
        <f ca="1">IS!Z7</f>
        <v>0.21599471389402725</v>
      </c>
      <c r="S7" s="1091">
        <f ca="1">IS!AA7</f>
        <v>4.1663323025529442E-2</v>
      </c>
      <c r="T7" s="1091">
        <f ca="1">IS!AB7</f>
        <v>4.5497108841304534E-2</v>
      </c>
      <c r="U7" s="1091">
        <f ca="1">IS!AC7</f>
        <v>4.2331968049131863E-2</v>
      </c>
      <c r="V7" s="1091">
        <f ca="1">IS!AD7</f>
        <v>4.4497484833543322E-2</v>
      </c>
      <c r="W7" s="1091">
        <f ca="1">IS!AE7</f>
        <v>4.5332140605732318E-2</v>
      </c>
      <c r="X7" s="1091">
        <f ca="1">IS!AF7</f>
        <v>4.6206531348175206E-2</v>
      </c>
      <c r="Y7" s="1091">
        <f ca="1">IS!AG7</f>
        <v>4.593144797369475E-2</v>
      </c>
      <c r="Z7" s="138"/>
      <c r="AA7" s="1045"/>
      <c r="AB7" s="1045"/>
      <c r="AC7" s="1045"/>
      <c r="AD7" s="1045"/>
      <c r="AE7" s="1045"/>
      <c r="AF7" s="1045"/>
      <c r="AG7" s="1045"/>
      <c r="AH7" s="1045"/>
      <c r="AI7" s="1045"/>
      <c r="AJ7" s="1045"/>
      <c r="AK7" s="1045"/>
      <c r="AL7" s="1045"/>
      <c r="AM7" s="1045"/>
      <c r="AN7" s="1045"/>
      <c r="AO7" s="1045"/>
      <c r="AP7" s="1045"/>
      <c r="AQ7" s="1045"/>
      <c r="AR7" s="1045"/>
      <c r="AS7" s="1045"/>
      <c r="AT7" s="1045"/>
      <c r="AU7" s="1045"/>
      <c r="AV7" s="1045"/>
      <c r="AW7" s="1045"/>
      <c r="AX7" s="1045"/>
      <c r="AY7" s="1045"/>
      <c r="AZ7" s="1045"/>
      <c r="BA7" s="1045"/>
      <c r="BB7" s="1045"/>
      <c r="BC7" s="1045"/>
      <c r="BD7" s="1045"/>
      <c r="BE7" s="1045"/>
      <c r="BF7" s="1045"/>
      <c r="BG7" s="1045"/>
      <c r="BH7" s="1045"/>
      <c r="BI7" s="1045"/>
      <c r="BJ7" s="1045"/>
      <c r="BK7" s="1045"/>
      <c r="BL7" s="1045"/>
      <c r="BM7" s="1045"/>
      <c r="BN7" s="1045"/>
      <c r="BO7" s="1045"/>
      <c r="BP7" s="1045"/>
      <c r="BQ7" s="1045"/>
      <c r="BR7" s="1045"/>
      <c r="BS7" s="1045"/>
      <c r="BT7" s="1045"/>
      <c r="BU7" s="1045"/>
      <c r="BV7" s="1045"/>
      <c r="BW7" s="1045"/>
      <c r="BX7" s="1045"/>
      <c r="BY7" s="646">
        <f>IS!BV7</f>
        <v>-4.7887593494302383E-2</v>
      </c>
      <c r="BZ7" s="648">
        <f>IS!BW7</f>
        <v>0.12061072722749944</v>
      </c>
      <c r="CA7" s="1271">
        <f>IS!BX7</f>
        <v>3.731872987703122E-2</v>
      </c>
      <c r="CB7" s="1271">
        <f>IS!BY7</f>
        <v>7.4355068635477473E-2</v>
      </c>
      <c r="CC7" s="647">
        <f>IS!BZ7</f>
        <v>1.2949640287769792E-2</v>
      </c>
      <c r="CD7" s="648">
        <f>IS!CA7</f>
        <v>-0.17082769433929157</v>
      </c>
      <c r="CE7" s="1271">
        <f>IS!CB7</f>
        <v>-8.5598407471488946E-2</v>
      </c>
      <c r="CF7" s="1271">
        <f>IS!CC7</f>
        <v>-8.1674085107120042E-2</v>
      </c>
      <c r="CG7" s="1271">
        <f>IS!CD7</f>
        <v>-3.732513896374634E-3</v>
      </c>
      <c r="CH7" s="648">
        <f>IS!CE7</f>
        <v>8.5247379522264577E-2</v>
      </c>
      <c r="CI7" s="1271">
        <f>IS!CF7</f>
        <v>0.14199929849175752</v>
      </c>
      <c r="CJ7" s="1271">
        <f>IS!CG7</f>
        <v>4.7990342638684291E-2</v>
      </c>
      <c r="CK7" s="1271">
        <f>IS!CH7</f>
        <v>-1.4950040117234775E-2</v>
      </c>
      <c r="CL7" s="648" t="str">
        <f>IS!CI7</f>
        <v>na</v>
      </c>
      <c r="CM7" s="1271" t="str">
        <f>IS!CJ7</f>
        <v>na</v>
      </c>
      <c r="CN7" s="1271" t="str">
        <f>IS!CK7</f>
        <v>na</v>
      </c>
      <c r="CO7" s="1271" t="str">
        <f>IS!CL7</f>
        <v>na</v>
      </c>
      <c r="CP7" s="648">
        <f>IS!CM7</f>
        <v>6.2117786675279785E-3</v>
      </c>
      <c r="CQ7" s="1271">
        <f>IS!CN7</f>
        <v>-2.6333513666051411E-3</v>
      </c>
      <c r="CR7" s="1271">
        <f>IS!CO7</f>
        <v>0.13657068308360865</v>
      </c>
      <c r="CS7" s="1271">
        <f>IS!CP7</f>
        <v>0.21756327492904082</v>
      </c>
      <c r="CT7" s="648">
        <f>IS!CQ7</f>
        <v>6.6759394123674154E-2</v>
      </c>
      <c r="CU7" s="1271">
        <f>IS!CR7</f>
        <v>0.10816940546942599</v>
      </c>
      <c r="CV7" s="1271">
        <f>IS!CS7</f>
        <v>2.2077890161758873E-2</v>
      </c>
      <c r="CW7" s="1271">
        <f>IS!CT7</f>
        <v>-4.2169523723848523E-2</v>
      </c>
      <c r="CX7" s="648">
        <f>IS!CU7</f>
        <v>0.16463750627525764</v>
      </c>
      <c r="CY7" s="1271">
        <f>IS!CV7</f>
        <v>0.10739527025267104</v>
      </c>
      <c r="CZ7" s="1271">
        <f>IS!CW7</f>
        <v>0.13888841855495571</v>
      </c>
      <c r="DA7" s="1271">
        <f>IS!CX7</f>
        <v>-0.27973816154321052</v>
      </c>
      <c r="DB7" s="648">
        <f>IS!CY7</f>
        <v>0.14258911646664418</v>
      </c>
      <c r="DC7" s="1271">
        <f>IS!CZ7</f>
        <v>0.15596852912418302</v>
      </c>
      <c r="DD7" s="1271">
        <f>IS!DA7</f>
        <v>0.20450267581853732</v>
      </c>
      <c r="DE7" s="1271">
        <f>IS!DB7</f>
        <v>0.74586759550260284</v>
      </c>
      <c r="DF7" s="648">
        <f>IS!DC7</f>
        <v>0.34426627372800556</v>
      </c>
      <c r="DG7" s="1271">
        <f>IS!DD7</f>
        <v>0.24571813454269931</v>
      </c>
      <c r="DH7" s="1271">
        <f>IS!DE7</f>
        <v>0.15895413176905215</v>
      </c>
      <c r="DI7" s="647">
        <f>IS!DF7</f>
        <v>9.7002083106632275E-2</v>
      </c>
      <c r="DJ7" s="648">
        <f>IS!DG7</f>
        <v>-2.3866657936058577E-2</v>
      </c>
      <c r="DK7" s="1271">
        <f>IS!DH7</f>
        <v>-6.4555299413675549E-3</v>
      </c>
      <c r="DL7" s="1271">
        <f>IS!DI7</f>
        <v>2.4417079842935285E-2</v>
      </c>
      <c r="DM7" s="647">
        <f>IS!DJ7</f>
        <v>5.6270140867866525E-2</v>
      </c>
      <c r="DN7" s="647">
        <f>IS!DK7</f>
        <v>4.6053998546177644E-2</v>
      </c>
      <c r="DO7" s="647">
        <f>IS!DL7</f>
        <v>4.6688382193268207E-2</v>
      </c>
      <c r="DP7" s="647">
        <f>IS!DM7</f>
        <v>0.1084274999682624</v>
      </c>
      <c r="DQ7" s="647">
        <f>IS!DN7</f>
        <v>0.14033441469063179</v>
      </c>
      <c r="DR7" s="647">
        <f>IS!DO7</f>
        <v>1.6279384894729576E-2</v>
      </c>
      <c r="DS7" s="647">
        <f>IS!DP7</f>
        <v>1.3192215190259482E-2</v>
      </c>
      <c r="DT7" s="647">
        <f>IS!DQ7</f>
        <v>-3.1763779914372514E-2</v>
      </c>
      <c r="DU7" s="647">
        <f>IS!DR7</f>
        <v>4.0526891382630659E-4</v>
      </c>
      <c r="DV7" s="1271">
        <f>IS!DS7</f>
        <v>0.23934033311984915</v>
      </c>
      <c r="DW7" s="1271">
        <f ca="1">IS!DT7</f>
        <v>0.2135365405789138</v>
      </c>
      <c r="DX7" s="1271">
        <f ca="1">IS!DU7</f>
        <v>0.23998327790022711</v>
      </c>
      <c r="DY7" s="647">
        <f ca="1">IS!DV7</f>
        <v>0.16601394117171475</v>
      </c>
    </row>
    <row r="8" spans="1:129" collapsed="1">
      <c r="A8" s="198" t="s">
        <v>315</v>
      </c>
      <c r="B8" s="1038"/>
      <c r="C8" s="1038"/>
      <c r="D8" s="1038"/>
      <c r="E8" s="1038"/>
      <c r="F8" s="1038"/>
      <c r="G8" s="1038"/>
      <c r="H8" s="1092"/>
      <c r="I8" s="1092"/>
      <c r="J8" s="1092"/>
      <c r="K8" s="1092"/>
      <c r="L8" s="1092"/>
      <c r="M8" s="1092"/>
      <c r="N8" s="1092"/>
      <c r="O8" s="1092"/>
      <c r="P8" s="1092"/>
      <c r="Q8" s="1092"/>
      <c r="R8" s="1092"/>
      <c r="S8" s="1092"/>
      <c r="T8" s="1092"/>
      <c r="U8" s="1092"/>
      <c r="V8" s="1092"/>
      <c r="W8" s="1092"/>
      <c r="X8" s="1092"/>
      <c r="Y8" s="1092"/>
      <c r="Z8" s="678"/>
      <c r="AA8" s="1041"/>
      <c r="AB8" s="1041"/>
      <c r="AC8" s="1041"/>
      <c r="AD8" s="1041"/>
      <c r="AE8" s="1041"/>
      <c r="AF8" s="1041"/>
      <c r="AG8" s="1041"/>
      <c r="AH8" s="1041"/>
      <c r="AI8" s="1041"/>
      <c r="AJ8" s="1041"/>
      <c r="AK8" s="1041"/>
      <c r="AL8" s="1041"/>
      <c r="AM8" s="1041"/>
      <c r="AN8" s="1041"/>
      <c r="AO8" s="1041"/>
      <c r="AP8" s="1041"/>
      <c r="AQ8" s="1041"/>
      <c r="AR8" s="1041"/>
      <c r="AS8" s="1041"/>
      <c r="AT8" s="1041"/>
      <c r="AU8" s="1041"/>
      <c r="AV8" s="1041"/>
      <c r="AW8" s="1041"/>
      <c r="AX8" s="1041"/>
      <c r="AY8" s="1041"/>
      <c r="AZ8" s="1041"/>
      <c r="BA8" s="1041"/>
      <c r="BB8" s="1041"/>
      <c r="BC8" s="1041"/>
      <c r="BD8" s="1041"/>
      <c r="BE8" s="1041"/>
      <c r="BF8" s="1041"/>
      <c r="BG8" s="1041"/>
      <c r="BH8" s="1041"/>
      <c r="BI8" s="1041"/>
      <c r="BJ8" s="1041"/>
      <c r="BK8" s="1041"/>
      <c r="BL8" s="1041"/>
      <c r="BM8" s="1041"/>
      <c r="BN8" s="1041"/>
      <c r="BO8" s="1041"/>
      <c r="BP8" s="1041"/>
      <c r="BQ8" s="1041"/>
      <c r="BR8" s="1041"/>
      <c r="BS8" s="1041"/>
      <c r="BT8" s="1041"/>
      <c r="BU8" s="1041"/>
      <c r="BV8" s="1041"/>
      <c r="BW8" s="1041"/>
      <c r="BX8" s="1041"/>
      <c r="BY8" s="649"/>
      <c r="BZ8" s="141"/>
      <c r="CA8" s="1038"/>
      <c r="CB8" s="1038"/>
      <c r="CC8" s="142"/>
      <c r="CD8" s="141"/>
      <c r="CE8" s="1038"/>
      <c r="CF8" s="1038"/>
      <c r="CG8" s="1038"/>
      <c r="CH8" s="141"/>
      <c r="CI8" s="1038"/>
      <c r="CJ8" s="1038"/>
      <c r="CK8" s="1277" t="s">
        <v>316</v>
      </c>
      <c r="CL8" s="141"/>
      <c r="CM8" s="1276"/>
      <c r="CN8" s="1276"/>
      <c r="CO8" s="1277" t="s">
        <v>317</v>
      </c>
      <c r="CP8" s="141"/>
      <c r="CQ8" s="1038"/>
      <c r="CR8" s="1038"/>
      <c r="CS8" s="1038"/>
      <c r="CT8" s="141"/>
      <c r="CU8" s="1038"/>
      <c r="CV8" s="1038"/>
      <c r="CW8" s="1038"/>
      <c r="CX8" s="141"/>
      <c r="CY8" s="1038"/>
      <c r="CZ8" s="1038"/>
      <c r="DA8" s="1038"/>
      <c r="DB8" s="141"/>
      <c r="DC8" s="1038"/>
      <c r="DD8" s="1038"/>
      <c r="DE8" s="1038"/>
      <c r="DF8" s="141"/>
      <c r="DG8" s="1038"/>
      <c r="DH8" s="1038"/>
      <c r="DI8" s="142"/>
      <c r="DJ8" s="141"/>
      <c r="DK8" s="1038"/>
      <c r="DL8" s="1038"/>
      <c r="DM8" s="142"/>
      <c r="DN8" s="141"/>
      <c r="DO8" s="1038"/>
      <c r="DP8" s="1038"/>
      <c r="DQ8" s="142"/>
      <c r="DR8" s="141"/>
      <c r="DS8" s="1038"/>
      <c r="DT8" s="1038"/>
      <c r="DU8" s="142"/>
      <c r="DV8" s="1038"/>
      <c r="DW8" s="1038"/>
      <c r="DX8" s="1038"/>
      <c r="DY8" s="142"/>
    </row>
    <row r="9" spans="1:129">
      <c r="A9" s="1937" t="s">
        <v>318</v>
      </c>
      <c r="B9" s="1982"/>
      <c r="C9" s="1982"/>
      <c r="D9" s="2303">
        <v>1000000</v>
      </c>
      <c r="E9" s="2303">
        <v>3000000</v>
      </c>
      <c r="F9" s="2303">
        <v>6000000</v>
      </c>
      <c r="G9" s="2216">
        <f>CG9</f>
        <v>9700000</v>
      </c>
      <c r="H9" s="2231">
        <f>CK9</f>
        <v>11950000</v>
      </c>
      <c r="I9" s="2231">
        <f>CO9</f>
        <v>14650000</v>
      </c>
      <c r="J9" s="2231">
        <f>+CS9</f>
        <v>15600000</v>
      </c>
      <c r="K9" s="2231">
        <f>+CW9</f>
        <v>16500000</v>
      </c>
      <c r="L9" s="2231">
        <f>+DA9</f>
        <v>17600000</v>
      </c>
      <c r="M9" s="2231">
        <f>+DE9</f>
        <v>18600000</v>
      </c>
      <c r="N9" s="2231">
        <f>+DI9</f>
        <v>19800000</v>
      </c>
      <c r="O9" s="2231">
        <f>+DM9</f>
        <v>20500000</v>
      </c>
      <c r="P9" s="2231">
        <f>+DQ9</f>
        <v>16900000</v>
      </c>
      <c r="Q9" s="2231">
        <f>+DU9</f>
        <v>17418000</v>
      </c>
      <c r="R9" s="2231">
        <f>+DY9</f>
        <v>17936000</v>
      </c>
      <c r="S9" s="2231">
        <f>+R9+S12</f>
        <v>18195000</v>
      </c>
      <c r="T9" s="2231">
        <f>+S9+T12</f>
        <v>18324500</v>
      </c>
      <c r="U9" s="2231">
        <f t="shared" ref="U9:Y9" si="0">+T9+U12</f>
        <v>18389250</v>
      </c>
      <c r="V9" s="2231">
        <f t="shared" si="0"/>
        <v>18421625</v>
      </c>
      <c r="W9" s="2231">
        <f t="shared" si="0"/>
        <v>18437812.5</v>
      </c>
      <c r="X9" s="2231">
        <f t="shared" si="0"/>
        <v>18445906.25</v>
      </c>
      <c r="Y9" s="2231">
        <f t="shared" si="0"/>
        <v>18449953.125</v>
      </c>
      <c r="Z9" s="1964"/>
      <c r="AA9" s="1982"/>
      <c r="AB9" s="1982"/>
      <c r="AC9" s="1982"/>
      <c r="AD9" s="1982"/>
      <c r="AE9" s="1982"/>
      <c r="AF9" s="1982"/>
      <c r="AG9" s="1982"/>
      <c r="AH9" s="1982"/>
      <c r="AI9" s="1982"/>
      <c r="AJ9" s="1982"/>
      <c r="AK9" s="1982"/>
      <c r="AL9" s="1982"/>
      <c r="AM9" s="1982"/>
      <c r="AN9" s="1982"/>
      <c r="AO9" s="1982"/>
      <c r="AP9" s="1982"/>
      <c r="AQ9" s="1982"/>
      <c r="AR9" s="1982"/>
      <c r="AS9" s="1982"/>
      <c r="AT9" s="1982"/>
      <c r="AU9" s="1982"/>
      <c r="AV9" s="1982"/>
      <c r="AW9" s="1982"/>
      <c r="AX9" s="1982"/>
      <c r="AY9" s="1982"/>
      <c r="AZ9" s="1982"/>
      <c r="BA9" s="1982"/>
      <c r="BB9" s="1982"/>
      <c r="BC9" s="1982"/>
      <c r="BD9" s="1982"/>
      <c r="BE9" s="1982"/>
      <c r="BF9" s="1982"/>
      <c r="BG9" s="1982"/>
      <c r="BH9" s="1982"/>
      <c r="BI9" s="1982"/>
      <c r="BJ9" s="1982"/>
      <c r="BK9" s="1982"/>
      <c r="BL9" s="1982"/>
      <c r="BM9" s="1982"/>
      <c r="BN9" s="1982"/>
      <c r="BO9" s="1982"/>
      <c r="BP9" s="1982"/>
      <c r="BQ9" s="1982"/>
      <c r="BR9" s="1982"/>
      <c r="BS9" s="1982"/>
      <c r="BT9" s="1982"/>
      <c r="BU9" s="1982"/>
      <c r="BV9" s="1982"/>
      <c r="BW9" s="1982"/>
      <c r="BX9" s="1982"/>
      <c r="BY9" s="3096">
        <v>3000000</v>
      </c>
      <c r="BZ9" s="3097">
        <v>3700000</v>
      </c>
      <c r="CA9" s="2303">
        <v>4400000</v>
      </c>
      <c r="CB9" s="2303">
        <v>5300000</v>
      </c>
      <c r="CC9" s="2219">
        <f>F9</f>
        <v>6000000</v>
      </c>
      <c r="CD9" s="2302">
        <v>6800000</v>
      </c>
      <c r="CE9" s="2303">
        <v>7598000</v>
      </c>
      <c r="CF9" s="2303">
        <v>8500000</v>
      </c>
      <c r="CG9" s="2303">
        <v>9700000</v>
      </c>
      <c r="CH9" s="2302">
        <f>10400000-750000</f>
        <v>9650000</v>
      </c>
      <c r="CI9" s="2303">
        <f>11000000-750000</f>
        <v>10250000</v>
      </c>
      <c r="CJ9" s="2303">
        <f>11900000-750000</f>
        <v>11150000</v>
      </c>
      <c r="CK9" s="2303">
        <f>12700000-750000</f>
        <v>11950000</v>
      </c>
      <c r="CL9" s="2302">
        <f>13200000-750000</f>
        <v>12450000</v>
      </c>
      <c r="CM9" s="2303">
        <f>13840000-750000</f>
        <v>13090000</v>
      </c>
      <c r="CN9" s="2303">
        <f>14500000-750000</f>
        <v>13750000</v>
      </c>
      <c r="CO9" s="2303">
        <f>15400000-750000</f>
        <v>14650000</v>
      </c>
      <c r="CP9" s="2302">
        <f>15600000-750000</f>
        <v>14850000</v>
      </c>
      <c r="CQ9" s="2303">
        <f>15900000-750000</f>
        <v>15150000</v>
      </c>
      <c r="CR9" s="2303">
        <v>15400000</v>
      </c>
      <c r="CS9" s="2303">
        <v>15600000</v>
      </c>
      <c r="CT9" s="2302">
        <v>15800000</v>
      </c>
      <c r="CU9" s="2303">
        <v>16100000</v>
      </c>
      <c r="CV9" s="2216">
        <f>+CR9*(1+CV11)</f>
        <v>16123799.999999998</v>
      </c>
      <c r="CW9" s="2303">
        <v>16500000</v>
      </c>
      <c r="CX9" s="2302">
        <v>16600000</v>
      </c>
      <c r="CY9" s="2303">
        <v>17000000</v>
      </c>
      <c r="CZ9" s="2303">
        <v>17400000</v>
      </c>
      <c r="DA9" s="2303">
        <v>17600000</v>
      </c>
      <c r="DB9" s="2302">
        <v>17750000</v>
      </c>
      <c r="DC9" s="2303">
        <v>17849000</v>
      </c>
      <c r="DD9" s="2303">
        <v>18300000</v>
      </c>
      <c r="DE9" s="2303">
        <v>18600000</v>
      </c>
      <c r="DF9" s="2302">
        <v>18900000</v>
      </c>
      <c r="DG9" s="2303">
        <v>19300000</v>
      </c>
      <c r="DH9" s="2303">
        <v>19700000</v>
      </c>
      <c r="DI9" s="2304">
        <v>19800000</v>
      </c>
      <c r="DJ9" s="2302">
        <f>+DI9+47000</f>
        <v>19847000</v>
      </c>
      <c r="DK9" s="2303">
        <f>+DJ9+51000</f>
        <v>19898000</v>
      </c>
      <c r="DL9" s="2303">
        <f>+DK9+50000</f>
        <v>19948000</v>
      </c>
      <c r="DM9" s="2304">
        <v>20500000</v>
      </c>
      <c r="DN9" s="2216">
        <f>+DM9+DN12</f>
        <v>20675000</v>
      </c>
      <c r="DO9" s="2216">
        <f>+DN9+DO12</f>
        <v>16382000</v>
      </c>
      <c r="DP9" s="2216">
        <f>+DO9+DP12</f>
        <v>16589000</v>
      </c>
      <c r="DQ9" s="2304">
        <v>16900000</v>
      </c>
      <c r="DR9" s="2216">
        <f>+DQ9+DR12</f>
        <v>17029500</v>
      </c>
      <c r="DS9" s="2216">
        <f>+DR9+DS12</f>
        <v>17159000</v>
      </c>
      <c r="DT9" s="2216">
        <f t="shared" ref="DT9:DV9" si="1">+DS9+DT12</f>
        <v>17288500</v>
      </c>
      <c r="DU9" s="2219">
        <f t="shared" si="1"/>
        <v>17418000</v>
      </c>
      <c r="DV9" s="2216">
        <f t="shared" si="1"/>
        <v>17547500</v>
      </c>
      <c r="DW9" s="2216">
        <f t="shared" ref="DW9" si="2">+DV9+DW12</f>
        <v>17677000</v>
      </c>
      <c r="DX9" s="2216">
        <f t="shared" ref="DX9" si="3">+DW9+DX12</f>
        <v>17806500</v>
      </c>
      <c r="DY9" s="2219">
        <f t="shared" ref="DY9" si="4">+DX9+DY12</f>
        <v>17936000</v>
      </c>
    </row>
    <row r="10" spans="1:129">
      <c r="A10" s="1984" t="s">
        <v>319</v>
      </c>
      <c r="B10" s="1985"/>
      <c r="C10" s="1985"/>
      <c r="D10" s="3098"/>
      <c r="E10" s="3098"/>
      <c r="F10" s="3098"/>
      <c r="G10" s="1985"/>
      <c r="H10" s="3099"/>
      <c r="I10" s="3099"/>
      <c r="J10" s="3099"/>
      <c r="K10" s="3099"/>
      <c r="L10" s="3099"/>
      <c r="M10" s="3099"/>
      <c r="N10" s="3099"/>
      <c r="O10" s="3099"/>
      <c r="P10" s="3099"/>
      <c r="Q10" s="3099"/>
      <c r="R10" s="3099"/>
      <c r="S10" s="3099"/>
      <c r="T10" s="3099"/>
      <c r="U10" s="3099"/>
      <c r="V10" s="3099"/>
      <c r="W10" s="3099"/>
      <c r="X10" s="3099"/>
      <c r="Y10" s="3099"/>
      <c r="Z10" s="1962"/>
      <c r="AA10" s="1985"/>
      <c r="AB10" s="1985"/>
      <c r="AC10" s="1985"/>
      <c r="AD10" s="1985"/>
      <c r="AE10" s="1985"/>
      <c r="AF10" s="1985"/>
      <c r="AG10" s="1985"/>
      <c r="AH10" s="1985"/>
      <c r="AI10" s="1985"/>
      <c r="AJ10" s="1985"/>
      <c r="AK10" s="1985"/>
      <c r="AL10" s="1985"/>
      <c r="AM10" s="1985"/>
      <c r="AN10" s="1985"/>
      <c r="AO10" s="1985"/>
      <c r="AP10" s="1985"/>
      <c r="AQ10" s="1985"/>
      <c r="AR10" s="1985"/>
      <c r="AS10" s="1985"/>
      <c r="AT10" s="1985"/>
      <c r="AU10" s="1985"/>
      <c r="AV10" s="1985"/>
      <c r="AW10" s="1985"/>
      <c r="AX10" s="1985"/>
      <c r="AY10" s="1985"/>
      <c r="AZ10" s="1985"/>
      <c r="BA10" s="1985"/>
      <c r="BB10" s="1985"/>
      <c r="BC10" s="1985"/>
      <c r="BD10" s="1985"/>
      <c r="BE10" s="1985"/>
      <c r="BF10" s="1985"/>
      <c r="BG10" s="1985"/>
      <c r="BH10" s="1985"/>
      <c r="BI10" s="1985"/>
      <c r="BJ10" s="1985"/>
      <c r="BK10" s="1985"/>
      <c r="BL10" s="1985"/>
      <c r="BM10" s="1985"/>
      <c r="BN10" s="1985"/>
      <c r="BO10" s="1985"/>
      <c r="BP10" s="1985"/>
      <c r="BQ10" s="1985"/>
      <c r="BR10" s="1985"/>
      <c r="BS10" s="1985"/>
      <c r="BT10" s="1985"/>
      <c r="BU10" s="1985"/>
      <c r="BV10" s="1985"/>
      <c r="BW10" s="1985"/>
      <c r="BX10" s="1985"/>
      <c r="BY10" s="1962"/>
      <c r="BZ10" s="1987"/>
      <c r="CA10" s="1985"/>
      <c r="CB10" s="1985"/>
      <c r="CC10" s="1988"/>
      <c r="CD10" s="1987"/>
      <c r="CE10" s="1985">
        <f t="shared" ref="CE10:DS10" si="5">CE9/CD9-1</f>
        <v>0.11735294117647066</v>
      </c>
      <c r="CF10" s="1985">
        <f t="shared" si="5"/>
        <v>0.11871545143458806</v>
      </c>
      <c r="CG10" s="1985">
        <f t="shared" si="5"/>
        <v>0.14117647058823524</v>
      </c>
      <c r="CH10" s="1987">
        <f t="shared" si="5"/>
        <v>-5.1546391752577136E-3</v>
      </c>
      <c r="CI10" s="1985">
        <f t="shared" si="5"/>
        <v>6.2176165803108807E-2</v>
      </c>
      <c r="CJ10" s="1985">
        <f t="shared" si="5"/>
        <v>8.7804878048780566E-2</v>
      </c>
      <c r="CK10" s="1985">
        <f t="shared" si="5"/>
        <v>7.1748878923766801E-2</v>
      </c>
      <c r="CL10" s="1987">
        <f t="shared" si="5"/>
        <v>4.1841004184100417E-2</v>
      </c>
      <c r="CM10" s="1985">
        <f t="shared" si="5"/>
        <v>5.1405622489959946E-2</v>
      </c>
      <c r="CN10" s="1985">
        <f t="shared" si="5"/>
        <v>5.0420168067226934E-2</v>
      </c>
      <c r="CO10" s="1985">
        <f t="shared" si="5"/>
        <v>6.5454545454545432E-2</v>
      </c>
      <c r="CP10" s="1987">
        <f t="shared" si="5"/>
        <v>1.3651877133105783E-2</v>
      </c>
      <c r="CQ10" s="1985">
        <f t="shared" si="5"/>
        <v>2.020202020202011E-2</v>
      </c>
      <c r="CR10" s="1985">
        <f t="shared" si="5"/>
        <v>1.650165016501659E-2</v>
      </c>
      <c r="CS10" s="1985">
        <f t="shared" si="5"/>
        <v>1.298701298701288E-2</v>
      </c>
      <c r="CT10" s="1987">
        <f t="shared" si="5"/>
        <v>1.2820512820512775E-2</v>
      </c>
      <c r="CU10" s="1985">
        <f t="shared" si="5"/>
        <v>1.8987341772152E-2</v>
      </c>
      <c r="CV10" s="1985">
        <f t="shared" si="5"/>
        <v>1.4782608695651511E-3</v>
      </c>
      <c r="CW10" s="1985">
        <f t="shared" si="5"/>
        <v>2.3331968890708321E-2</v>
      </c>
      <c r="CX10" s="1987">
        <f t="shared" si="5"/>
        <v>6.0606060606060996E-3</v>
      </c>
      <c r="CY10" s="1985">
        <f t="shared" si="5"/>
        <v>2.4096385542168752E-2</v>
      </c>
      <c r="CZ10" s="1985">
        <f t="shared" si="5"/>
        <v>2.3529411764705799E-2</v>
      </c>
      <c r="DA10" s="1985">
        <f t="shared" si="5"/>
        <v>1.1494252873563315E-2</v>
      </c>
      <c r="DB10" s="1987">
        <f t="shared" si="5"/>
        <v>8.5227272727272929E-3</v>
      </c>
      <c r="DC10" s="1985">
        <f t="shared" si="5"/>
        <v>5.5774647887323336E-3</v>
      </c>
      <c r="DD10" s="1985">
        <f t="shared" si="5"/>
        <v>2.5267521990027353E-2</v>
      </c>
      <c r="DE10" s="1985">
        <f t="shared" si="5"/>
        <v>1.6393442622950838E-2</v>
      </c>
      <c r="DF10" s="1987">
        <f t="shared" si="5"/>
        <v>1.6129032258064502E-2</v>
      </c>
      <c r="DG10" s="1985">
        <f t="shared" si="5"/>
        <v>2.1164021164021163E-2</v>
      </c>
      <c r="DH10" s="1985">
        <f t="shared" si="5"/>
        <v>2.0725388601036343E-2</v>
      </c>
      <c r="DI10" s="1988">
        <f t="shared" si="5"/>
        <v>5.0761421319795996E-3</v>
      </c>
      <c r="DJ10" s="1987">
        <f t="shared" si="5"/>
        <v>2.3737373737373613E-3</v>
      </c>
      <c r="DK10" s="1985">
        <f t="shared" si="5"/>
        <v>2.5696578828033889E-3</v>
      </c>
      <c r="DL10" s="1985">
        <f t="shared" si="5"/>
        <v>2.5128153583273694E-3</v>
      </c>
      <c r="DM10" s="1988">
        <f t="shared" si="5"/>
        <v>2.767194706236209E-2</v>
      </c>
      <c r="DN10" s="1985">
        <f t="shared" si="5"/>
        <v>8.5365853658536661E-3</v>
      </c>
      <c r="DO10" s="1985">
        <f t="shared" si="5"/>
        <v>-0.2076420798065296</v>
      </c>
      <c r="DP10" s="1985">
        <f t="shared" si="5"/>
        <v>1.2635819802222059E-2</v>
      </c>
      <c r="DQ10" s="1988">
        <f t="shared" si="5"/>
        <v>1.8747362710229698E-2</v>
      </c>
      <c r="DR10" s="1985">
        <f t="shared" si="5"/>
        <v>7.6627218934910424E-3</v>
      </c>
      <c r="DS10" s="1985">
        <f t="shared" si="5"/>
        <v>7.604451099562537E-3</v>
      </c>
      <c r="DT10" s="1985">
        <f t="shared" ref="DT10:DV10" si="6">DT9/DS9-1</f>
        <v>7.5470598519726817E-3</v>
      </c>
      <c r="DU10" s="1988">
        <f t="shared" si="6"/>
        <v>7.4905283859212357E-3</v>
      </c>
      <c r="DV10" s="1985">
        <f t="shared" si="6"/>
        <v>7.4348375243999953E-3</v>
      </c>
      <c r="DW10" s="1985">
        <f t="shared" ref="DW10" si="7">DW9/DV9-1</f>
        <v>7.3799686565036993E-3</v>
      </c>
      <c r="DX10" s="1985">
        <f t="shared" ref="DX10" si="8">DX9/DW9-1</f>
        <v>7.3259037166939489E-3</v>
      </c>
      <c r="DY10" s="1988">
        <f t="shared" ref="DY10" si="9">DY9/DX9-1</f>
        <v>7.2726251649677387E-3</v>
      </c>
    </row>
    <row r="11" spans="1:129">
      <c r="A11" s="1984" t="s">
        <v>320</v>
      </c>
      <c r="B11" s="1985"/>
      <c r="C11" s="1985"/>
      <c r="D11" s="1985"/>
      <c r="E11" s="1985"/>
      <c r="F11" s="1985"/>
      <c r="G11" s="1985"/>
      <c r="H11" s="3099">
        <f t="shared" ref="H11:R11" si="10">H9/G9-1</f>
        <v>0.231958762886598</v>
      </c>
      <c r="I11" s="3099">
        <f t="shared" si="10"/>
        <v>0.22594142259414229</v>
      </c>
      <c r="J11" s="3099">
        <f t="shared" si="10"/>
        <v>6.4846416382252636E-2</v>
      </c>
      <c r="K11" s="3099">
        <f t="shared" si="10"/>
        <v>5.7692307692307709E-2</v>
      </c>
      <c r="L11" s="3099">
        <f t="shared" si="10"/>
        <v>6.6666666666666652E-2</v>
      </c>
      <c r="M11" s="3099">
        <f t="shared" si="10"/>
        <v>5.6818181818181879E-2</v>
      </c>
      <c r="N11" s="3099">
        <f t="shared" si="10"/>
        <v>6.4516129032258007E-2</v>
      </c>
      <c r="O11" s="3099">
        <f t="shared" si="10"/>
        <v>3.5353535353535248E-2</v>
      </c>
      <c r="P11" s="3099">
        <f t="shared" si="10"/>
        <v>-0.17560975609756102</v>
      </c>
      <c r="Q11" s="3099">
        <f t="shared" si="10"/>
        <v>3.0650887573964392E-2</v>
      </c>
      <c r="R11" s="3099">
        <f t="shared" si="10"/>
        <v>2.9739350097600203E-2</v>
      </c>
      <c r="S11" s="3099">
        <f>S9/R9-1</f>
        <v>1.4440231935771708E-2</v>
      </c>
      <c r="T11" s="3099">
        <f>T9/S9-1</f>
        <v>7.1173399285517913E-3</v>
      </c>
      <c r="U11" s="3099">
        <f t="shared" ref="U11:Y11" si="11">U9/T9-1</f>
        <v>3.5335206963356125E-3</v>
      </c>
      <c r="V11" s="3099">
        <f t="shared" si="11"/>
        <v>1.7605394455999512E-3</v>
      </c>
      <c r="W11" s="3099">
        <f t="shared" si="11"/>
        <v>8.7872269683053617E-4</v>
      </c>
      <c r="X11" s="3099">
        <f t="shared" si="11"/>
        <v>4.3897561058292567E-4</v>
      </c>
      <c r="Y11" s="3099">
        <f t="shared" si="11"/>
        <v>2.1939149777483458E-4</v>
      </c>
      <c r="Z11" s="1962"/>
      <c r="AA11" s="1985"/>
      <c r="AB11" s="1985"/>
      <c r="AC11" s="1985"/>
      <c r="AD11" s="1985"/>
      <c r="AE11" s="1985"/>
      <c r="AF11" s="1985"/>
      <c r="AG11" s="1985"/>
      <c r="AH11" s="1985"/>
      <c r="AI11" s="1985"/>
      <c r="AJ11" s="1985"/>
      <c r="AK11" s="1985"/>
      <c r="AL11" s="1985"/>
      <c r="AM11" s="1985"/>
      <c r="AN11" s="1985"/>
      <c r="AO11" s="1985"/>
      <c r="AP11" s="1985"/>
      <c r="AQ11" s="1985"/>
      <c r="AR11" s="1985"/>
      <c r="AS11" s="1985"/>
      <c r="AT11" s="1985"/>
      <c r="AU11" s="1985"/>
      <c r="AV11" s="1985"/>
      <c r="AW11" s="1985"/>
      <c r="AX11" s="1985"/>
      <c r="AY11" s="1985"/>
      <c r="AZ11" s="1985"/>
      <c r="BA11" s="1985"/>
      <c r="BB11" s="1985"/>
      <c r="BC11" s="1985"/>
      <c r="BD11" s="1985"/>
      <c r="BE11" s="1985"/>
      <c r="BF11" s="1985"/>
      <c r="BG11" s="1985"/>
      <c r="BH11" s="1985"/>
      <c r="BI11" s="1985"/>
      <c r="BJ11" s="1985"/>
      <c r="BK11" s="1985"/>
      <c r="BL11" s="1985"/>
      <c r="BM11" s="1985"/>
      <c r="BN11" s="1985"/>
      <c r="BO11" s="1985"/>
      <c r="BP11" s="1985"/>
      <c r="BQ11" s="1985"/>
      <c r="BR11" s="1985"/>
      <c r="BS11" s="1985"/>
      <c r="BT11" s="1985"/>
      <c r="BU11" s="1985"/>
      <c r="BV11" s="1985"/>
      <c r="BW11" s="1985"/>
      <c r="BX11" s="1985"/>
      <c r="BY11" s="1962"/>
      <c r="BZ11" s="1987"/>
      <c r="CA11" s="1985"/>
      <c r="CB11" s="1985"/>
      <c r="CC11" s="1988"/>
      <c r="CD11" s="1987"/>
      <c r="CE11" s="1985">
        <f t="shared" ref="CE11:CU11" si="12">CE9/CA9-1</f>
        <v>0.72681818181818181</v>
      </c>
      <c r="CF11" s="1985">
        <f t="shared" si="12"/>
        <v>0.60377358490566047</v>
      </c>
      <c r="CG11" s="1985">
        <f t="shared" si="12"/>
        <v>0.6166666666666667</v>
      </c>
      <c r="CH11" s="1987">
        <f t="shared" si="12"/>
        <v>0.41911764705882359</v>
      </c>
      <c r="CI11" s="1985">
        <f t="shared" si="12"/>
        <v>0.34903922084759142</v>
      </c>
      <c r="CJ11" s="1985">
        <f t="shared" si="12"/>
        <v>0.31176470588235294</v>
      </c>
      <c r="CK11" s="1985">
        <f t="shared" si="12"/>
        <v>0.231958762886598</v>
      </c>
      <c r="CL11" s="1987">
        <f t="shared" si="12"/>
        <v>0.29015544041450769</v>
      </c>
      <c r="CM11" s="1985">
        <f t="shared" si="12"/>
        <v>0.27707317073170734</v>
      </c>
      <c r="CN11" s="1985">
        <f t="shared" si="12"/>
        <v>0.23318385650224216</v>
      </c>
      <c r="CO11" s="1985">
        <f t="shared" si="12"/>
        <v>0.22594142259414229</v>
      </c>
      <c r="CP11" s="1987">
        <f t="shared" si="12"/>
        <v>0.19277108433734935</v>
      </c>
      <c r="CQ11" s="1985">
        <f t="shared" si="12"/>
        <v>0.15737203972498093</v>
      </c>
      <c r="CR11" s="1985">
        <f t="shared" si="12"/>
        <v>0.12000000000000011</v>
      </c>
      <c r="CS11" s="1985">
        <f t="shared" si="12"/>
        <v>6.4846416382252636E-2</v>
      </c>
      <c r="CT11" s="1987">
        <f t="shared" si="12"/>
        <v>6.3973063973064015E-2</v>
      </c>
      <c r="CU11" s="1985">
        <f t="shared" si="12"/>
        <v>6.2706270627062688E-2</v>
      </c>
      <c r="CV11" s="2222">
        <v>4.7E-2</v>
      </c>
      <c r="CW11" s="2207">
        <f>CW9/CS9-1</f>
        <v>5.7692307692307709E-2</v>
      </c>
      <c r="CX11" s="2208">
        <f t="shared" ref="CX11:DS11" si="13">CX9/CT9-1</f>
        <v>5.0632911392405111E-2</v>
      </c>
      <c r="CY11" s="2207">
        <f t="shared" si="13"/>
        <v>5.5900621118012417E-2</v>
      </c>
      <c r="CZ11" s="2207">
        <f t="shared" si="13"/>
        <v>7.9150076284746795E-2</v>
      </c>
      <c r="DA11" s="2207">
        <f t="shared" si="13"/>
        <v>6.6666666666666652E-2</v>
      </c>
      <c r="DB11" s="2208">
        <f t="shared" si="13"/>
        <v>6.9277108433734913E-2</v>
      </c>
      <c r="DC11" s="2207">
        <f t="shared" si="13"/>
        <v>4.9941176470588156E-2</v>
      </c>
      <c r="DD11" s="2207">
        <f t="shared" si="13"/>
        <v>5.1724137931034475E-2</v>
      </c>
      <c r="DE11" s="2207">
        <f t="shared" si="13"/>
        <v>5.6818181818181879E-2</v>
      </c>
      <c r="DF11" s="2208">
        <f t="shared" si="13"/>
        <v>6.4788732394366111E-2</v>
      </c>
      <c r="DG11" s="2207">
        <f t="shared" si="13"/>
        <v>8.1293069639755799E-2</v>
      </c>
      <c r="DH11" s="2207">
        <f t="shared" si="13"/>
        <v>7.6502732240437243E-2</v>
      </c>
      <c r="DI11" s="2209">
        <f t="shared" si="13"/>
        <v>6.4516129032258007E-2</v>
      </c>
      <c r="DJ11" s="2208">
        <f t="shared" si="13"/>
        <v>5.0105820105820209E-2</v>
      </c>
      <c r="DK11" s="2207">
        <f t="shared" si="13"/>
        <v>3.0984455958549262E-2</v>
      </c>
      <c r="DL11" s="2207">
        <f t="shared" si="13"/>
        <v>1.2588832487309576E-2</v>
      </c>
      <c r="DM11" s="2209">
        <f t="shared" si="13"/>
        <v>3.5353535353535248E-2</v>
      </c>
      <c r="DN11" s="2207">
        <f t="shared" si="13"/>
        <v>4.1719151509044261E-2</v>
      </c>
      <c r="DO11" s="2207">
        <f t="shared" si="13"/>
        <v>-0.17670117599758772</v>
      </c>
      <c r="DP11" s="2207">
        <f t="shared" si="13"/>
        <v>-0.16838780830158417</v>
      </c>
      <c r="DQ11" s="2209">
        <f t="shared" si="13"/>
        <v>-0.17560975609756102</v>
      </c>
      <c r="DR11" s="2207">
        <f t="shared" si="13"/>
        <v>-0.17632406287787183</v>
      </c>
      <c r="DS11" s="2207">
        <f t="shared" si="13"/>
        <v>4.7430106214137568E-2</v>
      </c>
      <c r="DT11" s="1985">
        <f t="shared" ref="DT11:DV11" si="14">DT9/DP9-1</f>
        <v>4.2166495870757714E-2</v>
      </c>
      <c r="DU11" s="1988">
        <f t="shared" si="14"/>
        <v>3.0650887573964392E-2</v>
      </c>
      <c r="DV11" s="1985">
        <f t="shared" si="14"/>
        <v>3.0417804398250148E-2</v>
      </c>
      <c r="DW11" s="1985">
        <f t="shared" ref="DW11" si="15">DW9/DS9-1</f>
        <v>3.0188239407890949E-2</v>
      </c>
      <c r="DX11" s="1985">
        <f t="shared" ref="DX11" si="16">DX9/DT9-1</f>
        <v>2.9962113543685165E-2</v>
      </c>
      <c r="DY11" s="1988">
        <f t="shared" ref="DY11" si="17">DY9/DU9-1</f>
        <v>2.9739350097600203E-2</v>
      </c>
    </row>
    <row r="12" spans="1:129">
      <c r="A12" s="3100" t="s">
        <v>382</v>
      </c>
      <c r="B12" s="1982"/>
      <c r="C12" s="1982"/>
      <c r="D12" s="1982"/>
      <c r="E12" s="1982">
        <f t="shared" ref="E12:R12" si="18">E9-D9</f>
        <v>2000000</v>
      </c>
      <c r="F12" s="1982">
        <f t="shared" si="18"/>
        <v>3000000</v>
      </c>
      <c r="G12" s="1982">
        <f t="shared" si="18"/>
        <v>3700000</v>
      </c>
      <c r="H12" s="3101">
        <f t="shared" si="18"/>
        <v>2250000</v>
      </c>
      <c r="I12" s="3101">
        <f t="shared" si="18"/>
        <v>2700000</v>
      </c>
      <c r="J12" s="3101">
        <f t="shared" si="18"/>
        <v>950000</v>
      </c>
      <c r="K12" s="3101">
        <f t="shared" si="18"/>
        <v>900000</v>
      </c>
      <c r="L12" s="3101">
        <f t="shared" si="18"/>
        <v>1100000</v>
      </c>
      <c r="M12" s="3101">
        <f t="shared" si="18"/>
        <v>1000000</v>
      </c>
      <c r="N12" s="3101">
        <f t="shared" si="18"/>
        <v>1200000</v>
      </c>
      <c r="O12" s="3101">
        <f t="shared" si="18"/>
        <v>700000</v>
      </c>
      <c r="P12" s="3101">
        <f t="shared" si="18"/>
        <v>-3600000</v>
      </c>
      <c r="Q12" s="3101">
        <f t="shared" si="18"/>
        <v>518000</v>
      </c>
      <c r="R12" s="3101">
        <f t="shared" si="18"/>
        <v>518000</v>
      </c>
      <c r="S12" s="3102">
        <f t="shared" ref="S12:Y12" si="19">+R12/2</f>
        <v>259000</v>
      </c>
      <c r="T12" s="3102">
        <f t="shared" si="19"/>
        <v>129500</v>
      </c>
      <c r="U12" s="3102">
        <f t="shared" si="19"/>
        <v>64750</v>
      </c>
      <c r="V12" s="3102">
        <f t="shared" si="19"/>
        <v>32375</v>
      </c>
      <c r="W12" s="3102">
        <f t="shared" si="19"/>
        <v>16187.5</v>
      </c>
      <c r="X12" s="3102">
        <f t="shared" si="19"/>
        <v>8093.75</v>
      </c>
      <c r="Y12" s="3102">
        <f t="shared" si="19"/>
        <v>4046.875</v>
      </c>
      <c r="Z12" s="1964"/>
      <c r="AA12" s="1982"/>
      <c r="AB12" s="1982"/>
      <c r="AC12" s="1982"/>
      <c r="AD12" s="1982"/>
      <c r="AE12" s="1982"/>
      <c r="AF12" s="1982"/>
      <c r="AG12" s="1982"/>
      <c r="AH12" s="1982"/>
      <c r="AI12" s="1982"/>
      <c r="AJ12" s="1982"/>
      <c r="AK12" s="1982"/>
      <c r="AL12" s="1982"/>
      <c r="AM12" s="1982"/>
      <c r="AN12" s="1982"/>
      <c r="AO12" s="1982"/>
      <c r="AP12" s="1982"/>
      <c r="AQ12" s="1982"/>
      <c r="AR12" s="1982"/>
      <c r="AS12" s="1982"/>
      <c r="AT12" s="1982"/>
      <c r="AU12" s="1982"/>
      <c r="AV12" s="1982"/>
      <c r="AW12" s="1982"/>
      <c r="AX12" s="1982"/>
      <c r="AY12" s="1982"/>
      <c r="AZ12" s="1982"/>
      <c r="BA12" s="1982"/>
      <c r="BB12" s="1982"/>
      <c r="BC12" s="1982"/>
      <c r="BD12" s="1982"/>
      <c r="BE12" s="1982"/>
      <c r="BF12" s="1982"/>
      <c r="BG12" s="1982"/>
      <c r="BH12" s="1982"/>
      <c r="BI12" s="1982"/>
      <c r="BJ12" s="1982"/>
      <c r="BK12" s="1982"/>
      <c r="BL12" s="1982"/>
      <c r="BM12" s="1982"/>
      <c r="BN12" s="1982"/>
      <c r="BO12" s="1982"/>
      <c r="BP12" s="1982"/>
      <c r="BQ12" s="1982"/>
      <c r="BR12" s="1982"/>
      <c r="BS12" s="1982"/>
      <c r="BT12" s="1982"/>
      <c r="BU12" s="1982"/>
      <c r="BV12" s="1982"/>
      <c r="BW12" s="1982"/>
      <c r="BX12" s="1982"/>
      <c r="BY12" s="1964"/>
      <c r="BZ12" s="1981">
        <f t="shared" ref="BZ12:CG12" si="20">BZ9-BY9</f>
        <v>700000</v>
      </c>
      <c r="CA12" s="1982">
        <f t="shared" si="20"/>
        <v>700000</v>
      </c>
      <c r="CB12" s="1982">
        <f t="shared" si="20"/>
        <v>900000</v>
      </c>
      <c r="CC12" s="1983">
        <f t="shared" si="20"/>
        <v>700000</v>
      </c>
      <c r="CD12" s="1981">
        <f t="shared" si="20"/>
        <v>800000</v>
      </c>
      <c r="CE12" s="1982">
        <f t="shared" si="20"/>
        <v>798000</v>
      </c>
      <c r="CF12" s="1982">
        <f t="shared" si="20"/>
        <v>902000</v>
      </c>
      <c r="CG12" s="1982">
        <f t="shared" si="20"/>
        <v>1200000</v>
      </c>
      <c r="CH12" s="1981">
        <f>CH9-CG9+750000</f>
        <v>700000</v>
      </c>
      <c r="CI12" s="1982">
        <f t="shared" ref="CI12:DM12" si="21">CI9-CH9</f>
        <v>600000</v>
      </c>
      <c r="CJ12" s="1982">
        <f t="shared" si="21"/>
        <v>900000</v>
      </c>
      <c r="CK12" s="1982">
        <f t="shared" si="21"/>
        <v>800000</v>
      </c>
      <c r="CL12" s="1981">
        <f t="shared" si="21"/>
        <v>500000</v>
      </c>
      <c r="CM12" s="1982">
        <f t="shared" si="21"/>
        <v>640000</v>
      </c>
      <c r="CN12" s="1982">
        <f t="shared" si="21"/>
        <v>660000</v>
      </c>
      <c r="CO12" s="1982">
        <f t="shared" si="21"/>
        <v>900000</v>
      </c>
      <c r="CP12" s="1981">
        <f t="shared" si="21"/>
        <v>200000</v>
      </c>
      <c r="CQ12" s="1982">
        <f t="shared" si="21"/>
        <v>300000</v>
      </c>
      <c r="CR12" s="1982">
        <f t="shared" si="21"/>
        <v>250000</v>
      </c>
      <c r="CS12" s="1982">
        <f t="shared" si="21"/>
        <v>200000</v>
      </c>
      <c r="CT12" s="1981">
        <f t="shared" si="21"/>
        <v>200000</v>
      </c>
      <c r="CU12" s="1982">
        <f t="shared" si="21"/>
        <v>300000</v>
      </c>
      <c r="CV12" s="1982">
        <f t="shared" si="21"/>
        <v>23799.999999998137</v>
      </c>
      <c r="CW12" s="1982">
        <f t="shared" si="21"/>
        <v>376200.00000000186</v>
      </c>
      <c r="CX12" s="1981">
        <f t="shared" si="21"/>
        <v>100000</v>
      </c>
      <c r="CY12" s="1982">
        <f t="shared" si="21"/>
        <v>400000</v>
      </c>
      <c r="CZ12" s="1982">
        <f t="shared" si="21"/>
        <v>400000</v>
      </c>
      <c r="DA12" s="1982">
        <f t="shared" si="21"/>
        <v>200000</v>
      </c>
      <c r="DB12" s="1981">
        <f t="shared" si="21"/>
        <v>150000</v>
      </c>
      <c r="DC12" s="1982">
        <f t="shared" si="21"/>
        <v>99000</v>
      </c>
      <c r="DD12" s="1982">
        <f t="shared" si="21"/>
        <v>451000</v>
      </c>
      <c r="DE12" s="1982">
        <f t="shared" si="21"/>
        <v>300000</v>
      </c>
      <c r="DF12" s="1981">
        <f t="shared" si="21"/>
        <v>300000</v>
      </c>
      <c r="DG12" s="1982">
        <f t="shared" si="21"/>
        <v>400000</v>
      </c>
      <c r="DH12" s="1982">
        <f t="shared" si="21"/>
        <v>400000</v>
      </c>
      <c r="DI12" s="1983">
        <f t="shared" si="21"/>
        <v>100000</v>
      </c>
      <c r="DJ12" s="1981">
        <f t="shared" si="21"/>
        <v>47000</v>
      </c>
      <c r="DK12" s="1982">
        <f t="shared" si="21"/>
        <v>51000</v>
      </c>
      <c r="DL12" s="1982">
        <f t="shared" si="21"/>
        <v>50000</v>
      </c>
      <c r="DM12" s="1983">
        <f t="shared" si="21"/>
        <v>552000</v>
      </c>
      <c r="DN12" s="3103">
        <f>+AVERAGE(DJ12:DM12)</f>
        <v>175000</v>
      </c>
      <c r="DO12" s="3103">
        <f>+AVERAGE(DK12:DN12)-4500000</f>
        <v>-4293000</v>
      </c>
      <c r="DP12" s="3103">
        <f>+AVERAGE(DK12:DN12)</f>
        <v>207000</v>
      </c>
      <c r="DQ12" s="2973">
        <f t="shared" ref="DQ12" si="22">DQ9-DP9</f>
        <v>311000</v>
      </c>
      <c r="DR12" s="3103">
        <f>+(DQ9-DO9)/4</f>
        <v>129500</v>
      </c>
      <c r="DS12" s="3103">
        <f>+DR12</f>
        <v>129500</v>
      </c>
      <c r="DT12" s="3103">
        <f t="shared" ref="DT12:DV12" si="23">+DS12</f>
        <v>129500</v>
      </c>
      <c r="DU12" s="3293">
        <f t="shared" si="23"/>
        <v>129500</v>
      </c>
      <c r="DV12" s="3333">
        <f t="shared" si="23"/>
        <v>129500</v>
      </c>
      <c r="DW12" s="3103">
        <f t="shared" ref="DW12" si="24">+DV12</f>
        <v>129500</v>
      </c>
      <c r="DX12" s="3103">
        <f t="shared" ref="DX12" si="25">+DW12</f>
        <v>129500</v>
      </c>
      <c r="DY12" s="3104">
        <f t="shared" ref="DY12" si="26">+DX12</f>
        <v>129500</v>
      </c>
    </row>
    <row r="13" spans="1:129">
      <c r="A13" s="198" t="s">
        <v>315</v>
      </c>
      <c r="B13" s="1038"/>
      <c r="C13" s="1038"/>
      <c r="D13" s="1038"/>
      <c r="E13" s="1038"/>
      <c r="F13" s="1038"/>
      <c r="G13" s="1038"/>
      <c r="H13" s="1092">
        <f t="shared" ref="H13:N13" si="27">+H5</f>
        <v>2008</v>
      </c>
      <c r="I13" s="1092">
        <f t="shared" si="27"/>
        <v>2009</v>
      </c>
      <c r="J13" s="1092">
        <f t="shared" si="27"/>
        <v>2010</v>
      </c>
      <c r="K13" s="1092">
        <f t="shared" si="27"/>
        <v>2011</v>
      </c>
      <c r="L13" s="1092">
        <f t="shared" si="27"/>
        <v>2012</v>
      </c>
      <c r="M13" s="1092">
        <f t="shared" si="27"/>
        <v>2013</v>
      </c>
      <c r="N13" s="1092" t="str">
        <f t="shared" si="27"/>
        <v>2014</v>
      </c>
      <c r="O13" s="1092" t="str">
        <f t="shared" ref="O13:T13" si="28">+O5</f>
        <v>2015</v>
      </c>
      <c r="P13" s="1092" t="str">
        <f t="shared" si="28"/>
        <v>2016</v>
      </c>
      <c r="Q13" s="1092" t="str">
        <f t="shared" si="28"/>
        <v>2017</v>
      </c>
      <c r="R13" s="1092" t="str">
        <f t="shared" si="28"/>
        <v>2018E</v>
      </c>
      <c r="S13" s="1092" t="str">
        <f t="shared" si="28"/>
        <v>2019E</v>
      </c>
      <c r="T13" s="1092" t="str">
        <f t="shared" si="28"/>
        <v>2020E</v>
      </c>
      <c r="U13" s="1092" t="str">
        <f t="shared" ref="U13:Y13" si="29">+U5</f>
        <v>2021E</v>
      </c>
      <c r="V13" s="1092" t="str">
        <f t="shared" si="29"/>
        <v>2022E</v>
      </c>
      <c r="W13" s="1092" t="str">
        <f t="shared" si="29"/>
        <v>2023E</v>
      </c>
      <c r="X13" s="1092" t="str">
        <f t="shared" si="29"/>
        <v>2024E</v>
      </c>
      <c r="Y13" s="1092" t="str">
        <f t="shared" si="29"/>
        <v>2025E</v>
      </c>
      <c r="Z13" s="678"/>
      <c r="AA13" s="1041"/>
      <c r="AB13" s="1041"/>
      <c r="AC13" s="1041"/>
      <c r="AD13" s="1041"/>
      <c r="AE13" s="1041"/>
      <c r="AF13" s="1041"/>
      <c r="AG13" s="1041"/>
      <c r="AH13" s="1041"/>
      <c r="AI13" s="1041"/>
      <c r="AJ13" s="1041"/>
      <c r="AK13" s="1041"/>
      <c r="AL13" s="1041"/>
      <c r="AM13" s="1041"/>
      <c r="AN13" s="1041"/>
      <c r="AO13" s="1041"/>
      <c r="AP13" s="1041"/>
      <c r="AQ13" s="1041"/>
      <c r="AR13" s="1041"/>
      <c r="AS13" s="1041"/>
      <c r="AT13" s="1041"/>
      <c r="AU13" s="1041"/>
      <c r="AV13" s="1041"/>
      <c r="AW13" s="1041"/>
      <c r="AX13" s="1041"/>
      <c r="AY13" s="1041"/>
      <c r="AZ13" s="1041"/>
      <c r="BA13" s="1041"/>
      <c r="BB13" s="1041"/>
      <c r="BC13" s="1041"/>
      <c r="BD13" s="1041"/>
      <c r="BE13" s="1041"/>
      <c r="BF13" s="1041"/>
      <c r="BG13" s="1041"/>
      <c r="BH13" s="1041"/>
      <c r="BI13" s="1041"/>
      <c r="BJ13" s="1041"/>
      <c r="BK13" s="1041"/>
      <c r="BL13" s="1041"/>
      <c r="BM13" s="1041"/>
      <c r="BN13" s="1041"/>
      <c r="BO13" s="1041"/>
      <c r="BP13" s="1041"/>
      <c r="BQ13" s="1041"/>
      <c r="BR13" s="1041"/>
      <c r="BS13" s="1041"/>
      <c r="BT13" s="1041"/>
      <c r="BU13" s="1041"/>
      <c r="BV13" s="1041"/>
      <c r="BW13" s="1041"/>
      <c r="BX13" s="1041"/>
      <c r="BY13" s="649"/>
      <c r="BZ13" s="141"/>
      <c r="CA13" s="1038"/>
      <c r="CB13" s="1038"/>
      <c r="CC13" s="142"/>
      <c r="CD13" s="141"/>
      <c r="CE13" s="1038"/>
      <c r="CF13" s="1038"/>
      <c r="CG13" s="1038"/>
      <c r="CH13" s="141"/>
      <c r="CI13" s="1038"/>
      <c r="CJ13" s="1038"/>
      <c r="CK13" s="1038"/>
      <c r="CL13" s="141"/>
      <c r="CM13" s="1038"/>
      <c r="CN13" s="1038"/>
      <c r="CO13" s="1038"/>
      <c r="CP13" s="141"/>
      <c r="CQ13" s="1038"/>
      <c r="CR13" s="1038"/>
      <c r="CS13" s="1038"/>
      <c r="CT13" s="141"/>
      <c r="CU13" s="1038"/>
      <c r="CV13" s="1038"/>
      <c r="CW13" s="1038"/>
      <c r="CX13" s="141"/>
      <c r="CY13" s="1038"/>
      <c r="CZ13" s="1038"/>
      <c r="DA13" s="1038"/>
      <c r="DB13" s="141"/>
      <c r="DC13" s="1038"/>
      <c r="DD13" s="1038"/>
      <c r="DE13" s="1038"/>
      <c r="DF13" s="141"/>
      <c r="DG13" s="1038"/>
      <c r="DH13" s="1038"/>
      <c r="DI13" s="142"/>
      <c r="DJ13" s="141"/>
      <c r="DK13" s="1038"/>
      <c r="DL13" s="1038"/>
      <c r="DM13" s="142"/>
      <c r="DN13" s="1038"/>
      <c r="DO13" s="1038"/>
      <c r="DP13" s="1038"/>
      <c r="DQ13" s="142"/>
      <c r="DR13" s="1038"/>
      <c r="DS13" s="1038"/>
      <c r="DT13" s="1038"/>
      <c r="DU13" s="142"/>
      <c r="DV13" s="1038"/>
      <c r="DW13" s="1038"/>
      <c r="DX13" s="1038"/>
      <c r="DY13" s="142"/>
    </row>
    <row r="14" spans="1:129">
      <c r="A14" s="652" t="s">
        <v>321</v>
      </c>
      <c r="B14" s="1051"/>
      <c r="C14" s="1051"/>
      <c r="D14" s="1051"/>
      <c r="E14" s="1051">
        <f>BY14</f>
        <v>169000</v>
      </c>
      <c r="F14" s="1135">
        <v>687000</v>
      </c>
      <c r="G14" s="1051">
        <f>CG14</f>
        <v>1454000</v>
      </c>
      <c r="H14" s="1093">
        <f>CK14</f>
        <v>2371000</v>
      </c>
      <c r="I14" s="1093">
        <f>CO14</f>
        <v>3286000</v>
      </c>
      <c r="J14" s="1093">
        <f>+CS14</f>
        <v>4082000</v>
      </c>
      <c r="K14" s="1093">
        <f>+CW14</f>
        <v>4817000</v>
      </c>
      <c r="L14" s="1093">
        <f>+DA14</f>
        <v>5424000</v>
      </c>
      <c r="M14" s="1093">
        <f>+DE14</f>
        <v>6072000</v>
      </c>
      <c r="N14" s="1093">
        <f>+DI14</f>
        <v>6616000</v>
      </c>
      <c r="O14" s="1093">
        <f>+DM14</f>
        <v>7034000</v>
      </c>
      <c r="P14" s="1093">
        <f>+DQ14</f>
        <v>5653000</v>
      </c>
      <c r="Q14" s="1093">
        <f>+DU14</f>
        <v>5850000</v>
      </c>
      <c r="R14" s="1093">
        <f>+DY14</f>
        <v>6109000</v>
      </c>
      <c r="S14" s="1093">
        <f>+R14+S17</f>
        <v>6089000</v>
      </c>
      <c r="T14" s="1093">
        <f>+S14+T17</f>
        <v>6059000</v>
      </c>
      <c r="U14" s="1093">
        <f t="shared" ref="U14:Y14" si="30">+T14+U17</f>
        <v>6019000</v>
      </c>
      <c r="V14" s="1093">
        <f t="shared" si="30"/>
        <v>5969000</v>
      </c>
      <c r="W14" s="1093">
        <f t="shared" si="30"/>
        <v>5909000</v>
      </c>
      <c r="X14" s="1093">
        <f t="shared" si="30"/>
        <v>5839000</v>
      </c>
      <c r="Y14" s="1093">
        <f t="shared" si="30"/>
        <v>5759000</v>
      </c>
      <c r="Z14" s="532"/>
      <c r="AA14" s="1051"/>
      <c r="AB14" s="1051"/>
      <c r="AC14" s="1051"/>
      <c r="AD14" s="1051"/>
      <c r="AE14" s="1051"/>
      <c r="AF14" s="1051"/>
      <c r="AG14" s="1051"/>
      <c r="AH14" s="1051"/>
      <c r="AI14" s="1051"/>
      <c r="AJ14" s="1051"/>
      <c r="AK14" s="1051"/>
      <c r="AL14" s="1051"/>
      <c r="AM14" s="1051"/>
      <c r="AN14" s="1051"/>
      <c r="AO14" s="1051"/>
      <c r="AP14" s="1051"/>
      <c r="AQ14" s="1051"/>
      <c r="AR14" s="1051"/>
      <c r="AS14" s="1051"/>
      <c r="AT14" s="1051"/>
      <c r="AU14" s="1051"/>
      <c r="AV14" s="1051"/>
      <c r="AW14" s="1051"/>
      <c r="AX14" s="1051"/>
      <c r="AY14" s="1051"/>
      <c r="AZ14" s="1051"/>
      <c r="BA14" s="1051"/>
      <c r="BB14" s="1051"/>
      <c r="BC14" s="1051"/>
      <c r="BD14" s="1051"/>
      <c r="BE14" s="1051"/>
      <c r="BF14" s="1051"/>
      <c r="BG14" s="1051"/>
      <c r="BH14" s="1051"/>
      <c r="BI14" s="1051"/>
      <c r="BJ14" s="1051"/>
      <c r="BK14" s="1051"/>
      <c r="BL14" s="1051"/>
      <c r="BM14" s="1051"/>
      <c r="BN14" s="1051"/>
      <c r="BO14" s="1051"/>
      <c r="BP14" s="1051"/>
      <c r="BQ14" s="1051"/>
      <c r="BR14" s="1051"/>
      <c r="BS14" s="1051"/>
      <c r="BT14" s="1051"/>
      <c r="BU14" s="1051"/>
      <c r="BV14" s="1051"/>
      <c r="BW14" s="1051"/>
      <c r="BX14" s="1051"/>
      <c r="BY14" s="650">
        <v>169000</v>
      </c>
      <c r="BZ14" s="651">
        <v>264000</v>
      </c>
      <c r="CA14" s="1135">
        <v>375000</v>
      </c>
      <c r="CB14" s="1135">
        <v>522000</v>
      </c>
      <c r="CC14" s="551">
        <v>687000</v>
      </c>
      <c r="CD14" s="651">
        <v>853000</v>
      </c>
      <c r="CE14" s="1135">
        <v>1054000</v>
      </c>
      <c r="CF14" s="1135">
        <v>1281000</v>
      </c>
      <c r="CG14" s="1274">
        <f>1525000-Lines!CG133*1000</f>
        <v>1454000</v>
      </c>
      <c r="CH14" s="968">
        <f>1787000-Lines!CH133*1000</f>
        <v>1705000</v>
      </c>
      <c r="CI14" s="1274">
        <f>1974000-Lines!CI133*1000</f>
        <v>1884000</v>
      </c>
      <c r="CJ14" s="1274">
        <f>2199000-Lines!CJ133*1000</f>
        <v>2100000</v>
      </c>
      <c r="CK14" s="1274">
        <f>2481000-Lines!CK133*1000</f>
        <v>2371000</v>
      </c>
      <c r="CL14" s="651">
        <v>2653000</v>
      </c>
      <c r="CM14" s="1135">
        <v>2942000</v>
      </c>
      <c r="CN14" s="1135">
        <v>3136000</v>
      </c>
      <c r="CO14" s="1135">
        <v>3286000</v>
      </c>
      <c r="CP14" s="651">
        <v>3466000</v>
      </c>
      <c r="CQ14" s="1135">
        <v>3659000</v>
      </c>
      <c r="CR14" s="1135">
        <v>3885000</v>
      </c>
      <c r="CS14" s="1135">
        <v>4082000</v>
      </c>
      <c r="CT14" s="651">
        <v>4289000</v>
      </c>
      <c r="CU14" s="1135">
        <v>4478000</v>
      </c>
      <c r="CV14" s="1135">
        <v>4616000</v>
      </c>
      <c r="CW14" s="1135">
        <v>4817000</v>
      </c>
      <c r="CX14" s="651">
        <v>5010000</v>
      </c>
      <c r="CY14" s="1135">
        <v>5144000</v>
      </c>
      <c r="CZ14" s="1135">
        <v>5280000</v>
      </c>
      <c r="DA14" s="1135">
        <v>5424000</v>
      </c>
      <c r="DB14" s="651">
        <v>5612000</v>
      </c>
      <c r="DC14" s="1135">
        <v>5773000</v>
      </c>
      <c r="DD14" s="1135">
        <v>5946000</v>
      </c>
      <c r="DE14" s="1135">
        <v>6072000</v>
      </c>
      <c r="DF14" s="651">
        <v>6170000</v>
      </c>
      <c r="DG14" s="1135">
        <v>6309000</v>
      </c>
      <c r="DH14" s="1135">
        <v>6471000</v>
      </c>
      <c r="DI14" s="551">
        <v>6616000</v>
      </c>
      <c r="DJ14" s="651">
        <v>6749000</v>
      </c>
      <c r="DK14" s="1135">
        <v>6821000</v>
      </c>
      <c r="DL14" s="1135">
        <v>6935000</v>
      </c>
      <c r="DM14" s="551">
        <v>7034000</v>
      </c>
      <c r="DN14" s="1135">
        <v>7132000</v>
      </c>
      <c r="DO14" s="1135">
        <v>5495000</v>
      </c>
      <c r="DP14" s="1135">
        <v>5585000</v>
      </c>
      <c r="DQ14" s="551">
        <v>5653000</v>
      </c>
      <c r="DR14" s="1135">
        <v>5688000</v>
      </c>
      <c r="DS14" s="1135">
        <v>5737000</v>
      </c>
      <c r="DT14" s="1135">
        <v>5803000</v>
      </c>
      <c r="DU14" s="551">
        <v>5850000</v>
      </c>
      <c r="DV14" s="1135">
        <v>5916000</v>
      </c>
      <c r="DW14" s="1051">
        <f t="shared" ref="DW14" si="31">+DV14+DW17</f>
        <v>5978000</v>
      </c>
      <c r="DX14" s="1051">
        <f t="shared" ref="DX14" si="32">+DW14+DX17</f>
        <v>6048000</v>
      </c>
      <c r="DY14" s="179">
        <f t="shared" ref="DY14" si="33">+DX14+DY17</f>
        <v>6109000</v>
      </c>
    </row>
    <row r="15" spans="1:129">
      <c r="A15" s="176" t="s">
        <v>319</v>
      </c>
      <c r="B15" s="1045"/>
      <c r="C15" s="1045"/>
      <c r="D15" s="1045"/>
      <c r="E15" s="1045"/>
      <c r="F15" s="1045"/>
      <c r="G15" s="1045"/>
      <c r="H15" s="1095"/>
      <c r="I15" s="1095"/>
      <c r="J15" s="1095"/>
      <c r="K15" s="1095"/>
      <c r="L15" s="1095"/>
      <c r="M15" s="1095"/>
      <c r="N15" s="1095"/>
      <c r="O15" s="1095"/>
      <c r="P15" s="1095"/>
      <c r="Q15" s="1095"/>
      <c r="R15" s="1095"/>
      <c r="S15" s="1095"/>
      <c r="T15" s="1095"/>
      <c r="U15" s="1095"/>
      <c r="V15" s="1095"/>
      <c r="W15" s="1095"/>
      <c r="X15" s="1095"/>
      <c r="Y15" s="1095"/>
      <c r="Z15" s="138"/>
      <c r="AA15" s="1045"/>
      <c r="AB15" s="1045"/>
      <c r="AC15" s="1045"/>
      <c r="AD15" s="1045"/>
      <c r="AE15" s="1045"/>
      <c r="AF15" s="1045"/>
      <c r="AG15" s="1045"/>
      <c r="AH15" s="1045"/>
      <c r="AI15" s="1045"/>
      <c r="AJ15" s="1045"/>
      <c r="AK15" s="1045"/>
      <c r="AL15" s="1045"/>
      <c r="AM15" s="1045"/>
      <c r="AN15" s="1045"/>
      <c r="AO15" s="1045"/>
      <c r="AP15" s="1045"/>
      <c r="AQ15" s="1045"/>
      <c r="AR15" s="1045"/>
      <c r="AS15" s="1045"/>
      <c r="AT15" s="1045"/>
      <c r="AU15" s="1045"/>
      <c r="AV15" s="1045"/>
      <c r="AW15" s="1045"/>
      <c r="AX15" s="1045"/>
      <c r="AY15" s="1045"/>
      <c r="AZ15" s="1045"/>
      <c r="BA15" s="1045"/>
      <c r="BB15" s="1045"/>
      <c r="BC15" s="1045"/>
      <c r="BD15" s="1045"/>
      <c r="BE15" s="1045"/>
      <c r="BF15" s="1045"/>
      <c r="BG15" s="1045"/>
      <c r="BH15" s="1045"/>
      <c r="BI15" s="1045"/>
      <c r="BJ15" s="1045"/>
      <c r="BK15" s="1045"/>
      <c r="BL15" s="1045"/>
      <c r="BM15" s="1045"/>
      <c r="BN15" s="1045"/>
      <c r="BO15" s="1045"/>
      <c r="BP15" s="1045"/>
      <c r="BQ15" s="1045"/>
      <c r="BR15" s="1045"/>
      <c r="BS15" s="1045"/>
      <c r="BT15" s="1045"/>
      <c r="BU15" s="1045"/>
      <c r="BV15" s="1045"/>
      <c r="BW15" s="1045"/>
      <c r="BX15" s="1045"/>
      <c r="BY15" s="138"/>
      <c r="BZ15" s="147"/>
      <c r="CA15" s="1045">
        <f t="shared" ref="CA15:DV15" si="34">CA14/BZ14-1</f>
        <v>0.42045454545454541</v>
      </c>
      <c r="CB15" s="1045">
        <f t="shared" si="34"/>
        <v>0.3919999999999999</v>
      </c>
      <c r="CC15" s="101">
        <f t="shared" si="34"/>
        <v>0.31609195402298851</v>
      </c>
      <c r="CD15" s="147">
        <f t="shared" si="34"/>
        <v>0.24163027656477443</v>
      </c>
      <c r="CE15" s="1045">
        <f t="shared" si="34"/>
        <v>0.23563892145369292</v>
      </c>
      <c r="CF15" s="1045">
        <f t="shared" si="34"/>
        <v>0.21537001897533203</v>
      </c>
      <c r="CG15" s="1045">
        <f t="shared" si="34"/>
        <v>0.13505074160811859</v>
      </c>
      <c r="CH15" s="147">
        <f t="shared" si="34"/>
        <v>0.172627235213205</v>
      </c>
      <c r="CI15" s="1045">
        <f t="shared" si="34"/>
        <v>0.10498533724340176</v>
      </c>
      <c r="CJ15" s="1045">
        <f t="shared" si="34"/>
        <v>0.11464968152866239</v>
      </c>
      <c r="CK15" s="1045">
        <f t="shared" si="34"/>
        <v>0.12904761904761908</v>
      </c>
      <c r="CL15" s="147">
        <f t="shared" si="34"/>
        <v>0.11893715731758747</v>
      </c>
      <c r="CM15" s="1045">
        <f t="shared" si="34"/>
        <v>0.10893328307576322</v>
      </c>
      <c r="CN15" s="1045">
        <f t="shared" si="34"/>
        <v>6.5941536369816367E-2</v>
      </c>
      <c r="CO15" s="1045">
        <f t="shared" si="34"/>
        <v>4.7831632653061229E-2</v>
      </c>
      <c r="CP15" s="147">
        <f t="shared" si="34"/>
        <v>5.4777845404747394E-2</v>
      </c>
      <c r="CQ15" s="1045">
        <f t="shared" si="34"/>
        <v>5.5683785343335179E-2</v>
      </c>
      <c r="CR15" s="1045">
        <f t="shared" si="34"/>
        <v>6.1765509702104371E-2</v>
      </c>
      <c r="CS15" s="1045">
        <f t="shared" si="34"/>
        <v>5.0707850707850666E-2</v>
      </c>
      <c r="CT15" s="147">
        <f t="shared" si="34"/>
        <v>5.0710436060754427E-2</v>
      </c>
      <c r="CU15" s="1045">
        <f t="shared" si="34"/>
        <v>4.4066215901142458E-2</v>
      </c>
      <c r="CV15" s="1045">
        <f t="shared" si="34"/>
        <v>3.0817329164805729E-2</v>
      </c>
      <c r="CW15" s="1045">
        <f t="shared" si="34"/>
        <v>4.3544194107452361E-2</v>
      </c>
      <c r="CX15" s="147">
        <f t="shared" si="34"/>
        <v>4.0066431388831258E-2</v>
      </c>
      <c r="CY15" s="1045">
        <f t="shared" si="34"/>
        <v>2.6746506986027985E-2</v>
      </c>
      <c r="CZ15" s="1045">
        <f t="shared" si="34"/>
        <v>2.6438569206842955E-2</v>
      </c>
      <c r="DA15" s="1045">
        <f t="shared" si="34"/>
        <v>2.7272727272727337E-2</v>
      </c>
      <c r="DB15" s="147">
        <f t="shared" si="34"/>
        <v>3.4660766961651879E-2</v>
      </c>
      <c r="DC15" s="1045">
        <f t="shared" si="34"/>
        <v>2.8688524590164022E-2</v>
      </c>
      <c r="DD15" s="1045">
        <f t="shared" si="34"/>
        <v>2.9967088169062794E-2</v>
      </c>
      <c r="DE15" s="1045">
        <f t="shared" si="34"/>
        <v>2.1190716448032276E-2</v>
      </c>
      <c r="DF15" s="147">
        <f t="shared" si="34"/>
        <v>1.6139657444005362E-2</v>
      </c>
      <c r="DG15" s="1045">
        <f t="shared" si="34"/>
        <v>2.2528363047001676E-2</v>
      </c>
      <c r="DH15" s="1045">
        <f t="shared" si="34"/>
        <v>2.5677603423680528E-2</v>
      </c>
      <c r="DI15" s="101">
        <f t="shared" si="34"/>
        <v>2.2407664966774821E-2</v>
      </c>
      <c r="DJ15" s="147">
        <f t="shared" si="34"/>
        <v>2.0102781136638548E-2</v>
      </c>
      <c r="DK15" s="1045">
        <f t="shared" si="34"/>
        <v>1.0668247147725518E-2</v>
      </c>
      <c r="DL15" s="1045">
        <f t="shared" si="34"/>
        <v>1.6713091922005541E-2</v>
      </c>
      <c r="DM15" s="101">
        <f t="shared" si="34"/>
        <v>1.4275414563806876E-2</v>
      </c>
      <c r="DN15" s="1045">
        <f t="shared" si="34"/>
        <v>1.3932328689223672E-2</v>
      </c>
      <c r="DO15" s="1045">
        <f t="shared" si="34"/>
        <v>-0.22952888390353332</v>
      </c>
      <c r="DP15" s="1045">
        <f t="shared" si="34"/>
        <v>1.6378525932666088E-2</v>
      </c>
      <c r="DQ15" s="101">
        <f t="shared" si="34"/>
        <v>1.2175470008952471E-2</v>
      </c>
      <c r="DR15" s="1045">
        <f t="shared" si="34"/>
        <v>6.1914027949760975E-3</v>
      </c>
      <c r="DS15" s="1045">
        <f t="shared" si="34"/>
        <v>8.614627285513432E-3</v>
      </c>
      <c r="DT15" s="1045">
        <f t="shared" si="34"/>
        <v>1.1504270524664406E-2</v>
      </c>
      <c r="DU15" s="101">
        <f t="shared" si="34"/>
        <v>8.099259003963466E-3</v>
      </c>
      <c r="DV15" s="1045">
        <f t="shared" si="34"/>
        <v>1.1282051282051286E-2</v>
      </c>
      <c r="DW15" s="1045">
        <f t="shared" ref="DW15" si="35">DW14/DV14-1</f>
        <v>1.048005409060182E-2</v>
      </c>
      <c r="DX15" s="1045">
        <f t="shared" ref="DX15" si="36">DX14/DW14-1</f>
        <v>1.1709601873536313E-2</v>
      </c>
      <c r="DY15" s="101">
        <f t="shared" ref="DY15" si="37">DY14/DX14-1</f>
        <v>1.0085978835978837E-2</v>
      </c>
    </row>
    <row r="16" spans="1:129">
      <c r="A16" s="653" t="s">
        <v>320</v>
      </c>
      <c r="B16" s="243"/>
      <c r="C16" s="243"/>
      <c r="D16" s="243"/>
      <c r="E16" s="243"/>
      <c r="F16" s="243"/>
      <c r="G16" s="243"/>
      <c r="H16" s="487">
        <f t="shared" ref="H16:T16" si="38">IF(ISERROR(H14/G14-1),"NA",(H14/G14-1))</f>
        <v>0.63067400275103158</v>
      </c>
      <c r="I16" s="487">
        <f t="shared" si="38"/>
        <v>0.38591311682834251</v>
      </c>
      <c r="J16" s="487">
        <f t="shared" si="38"/>
        <v>0.24223980523432753</v>
      </c>
      <c r="K16" s="487">
        <f t="shared" si="38"/>
        <v>0.18005879470847619</v>
      </c>
      <c r="L16" s="487">
        <f t="shared" si="38"/>
        <v>0.12601204068922556</v>
      </c>
      <c r="M16" s="487">
        <f t="shared" si="38"/>
        <v>0.11946902654867264</v>
      </c>
      <c r="N16" s="487">
        <f t="shared" si="38"/>
        <v>8.9591567852437493E-2</v>
      </c>
      <c r="O16" s="487">
        <f t="shared" si="38"/>
        <v>6.3180169286578103E-2</v>
      </c>
      <c r="P16" s="487">
        <f t="shared" si="38"/>
        <v>-0.19633210122263289</v>
      </c>
      <c r="Q16" s="487">
        <f t="shared" si="38"/>
        <v>3.484875287457978E-2</v>
      </c>
      <c r="R16" s="487">
        <f t="shared" si="38"/>
        <v>4.4273504273504294E-2</v>
      </c>
      <c r="S16" s="487">
        <f t="shared" si="38"/>
        <v>-3.2738582419381546E-3</v>
      </c>
      <c r="T16" s="487">
        <f t="shared" si="38"/>
        <v>-4.9269173920184484E-3</v>
      </c>
      <c r="U16" s="487">
        <f t="shared" ref="U16" si="39">IF(ISERROR(U14/T14-1),"NA",(U14/T14-1))</f>
        <v>-6.6017494636078089E-3</v>
      </c>
      <c r="V16" s="487">
        <f t="shared" ref="V16" si="40">IF(ISERROR(V14/U14-1),"NA",(V14/U14-1))</f>
        <v>-8.3070277454726504E-3</v>
      </c>
      <c r="W16" s="487">
        <f t="shared" ref="W16" si="41">IF(ISERROR(W14/V14-1),"NA",(W14/V14-1))</f>
        <v>-1.0051934997487022E-2</v>
      </c>
      <c r="X16" s="487">
        <f t="shared" ref="X16" si="42">IF(ISERROR(X14/W14-1),"NA",(X14/W14-1))</f>
        <v>-1.1846336097478427E-2</v>
      </c>
      <c r="Y16" s="487">
        <f t="shared" ref="Y16" si="43">IF(ISERROR(Y14/X14-1),"NA",(Y14/X14-1))</f>
        <v>-1.3700976194553904E-2</v>
      </c>
      <c r="Z16" s="138"/>
      <c r="AA16" s="1045"/>
      <c r="AB16" s="1045"/>
      <c r="AC16" s="1045"/>
      <c r="AD16" s="1045"/>
      <c r="AE16" s="1045"/>
      <c r="AF16" s="1045"/>
      <c r="AG16" s="1045"/>
      <c r="AH16" s="1045"/>
      <c r="AI16" s="1045"/>
      <c r="AJ16" s="1045"/>
      <c r="AK16" s="1045"/>
      <c r="AL16" s="1045"/>
      <c r="AM16" s="1045"/>
      <c r="AN16" s="1045"/>
      <c r="AO16" s="1045"/>
      <c r="AP16" s="1045"/>
      <c r="AQ16" s="1045"/>
      <c r="AR16" s="1045"/>
      <c r="AS16" s="1045"/>
      <c r="AT16" s="1045"/>
      <c r="AU16" s="1045"/>
      <c r="AV16" s="1045"/>
      <c r="AW16" s="1045"/>
      <c r="AX16" s="1045"/>
      <c r="AY16" s="1045"/>
      <c r="AZ16" s="1045"/>
      <c r="BA16" s="1045"/>
      <c r="BB16" s="1045"/>
      <c r="BC16" s="1045"/>
      <c r="BD16" s="1045"/>
      <c r="BE16" s="1045"/>
      <c r="BF16" s="1045"/>
      <c r="BG16" s="1045"/>
      <c r="BH16" s="1045"/>
      <c r="BI16" s="1045"/>
      <c r="BJ16" s="1045"/>
      <c r="BK16" s="1045"/>
      <c r="BL16" s="1045"/>
      <c r="BM16" s="1045"/>
      <c r="BN16" s="1045"/>
      <c r="BO16" s="1045"/>
      <c r="BP16" s="1045"/>
      <c r="BQ16" s="1045"/>
      <c r="BR16" s="1045"/>
      <c r="BS16" s="1045"/>
      <c r="BT16" s="1045"/>
      <c r="BU16" s="1045"/>
      <c r="BV16" s="1045"/>
      <c r="BW16" s="1045"/>
      <c r="BX16" s="1045"/>
      <c r="BY16" s="488"/>
      <c r="BZ16" s="490"/>
      <c r="CA16" s="487" t="str">
        <f>IF(ISERROR(CA14/#REF!-1),"NA",(CA14/#REF!-1))</f>
        <v>NA</v>
      </c>
      <c r="CB16" s="487" t="str">
        <f>IF(ISERROR(CB14/Z14-1),"NA",(CB14/Z14-1))</f>
        <v>NA</v>
      </c>
      <c r="CC16" s="654">
        <f t="shared" ref="CC16:DV16" si="44">IF(ISERROR(CC14/BY14-1),"NA",(CC14/BY14-1))</f>
        <v>3.0650887573964498</v>
      </c>
      <c r="CD16" s="489">
        <f t="shared" si="44"/>
        <v>2.231060606060606</v>
      </c>
      <c r="CE16" s="487">
        <f t="shared" si="44"/>
        <v>1.8106666666666666</v>
      </c>
      <c r="CF16" s="487">
        <f t="shared" si="44"/>
        <v>1.4540229885057472</v>
      </c>
      <c r="CG16" s="487">
        <f t="shared" si="44"/>
        <v>1.1164483260553131</v>
      </c>
      <c r="CH16" s="489">
        <f t="shared" si="44"/>
        <v>0.9988276670574443</v>
      </c>
      <c r="CI16" s="487">
        <f t="shared" si="44"/>
        <v>0.78747628083491472</v>
      </c>
      <c r="CJ16" s="487">
        <f t="shared" si="44"/>
        <v>0.63934426229508201</v>
      </c>
      <c r="CK16" s="487">
        <f t="shared" si="44"/>
        <v>0.63067400275103158</v>
      </c>
      <c r="CL16" s="489">
        <f t="shared" si="44"/>
        <v>0.5560117302052785</v>
      </c>
      <c r="CM16" s="487">
        <f t="shared" si="44"/>
        <v>0.56157112526539277</v>
      </c>
      <c r="CN16" s="487">
        <f t="shared" si="44"/>
        <v>0.4933333333333334</v>
      </c>
      <c r="CO16" s="487">
        <f t="shared" si="44"/>
        <v>0.38591311682834251</v>
      </c>
      <c r="CP16" s="489">
        <f t="shared" si="44"/>
        <v>0.30644553335846214</v>
      </c>
      <c r="CQ16" s="487">
        <f t="shared" si="44"/>
        <v>0.24371176070700207</v>
      </c>
      <c r="CR16" s="487">
        <f t="shared" si="44"/>
        <v>0.23883928571428581</v>
      </c>
      <c r="CS16" s="487">
        <f t="shared" si="44"/>
        <v>0.24223980523432753</v>
      </c>
      <c r="CT16" s="489">
        <f t="shared" si="44"/>
        <v>0.23744950952106181</v>
      </c>
      <c r="CU16" s="487">
        <f t="shared" si="44"/>
        <v>0.22383164799125455</v>
      </c>
      <c r="CV16" s="487">
        <f t="shared" si="44"/>
        <v>0.18815958815958811</v>
      </c>
      <c r="CW16" s="487">
        <f t="shared" si="44"/>
        <v>0.18005879470847619</v>
      </c>
      <c r="CX16" s="489">
        <f t="shared" si="44"/>
        <v>0.16810445325250645</v>
      </c>
      <c r="CY16" s="487">
        <f t="shared" si="44"/>
        <v>0.14872711031710595</v>
      </c>
      <c r="CZ16" s="487">
        <f t="shared" si="44"/>
        <v>0.143847487001733</v>
      </c>
      <c r="DA16" s="487">
        <f t="shared" si="44"/>
        <v>0.12601204068922556</v>
      </c>
      <c r="DB16" s="489">
        <f t="shared" si="44"/>
        <v>0.12015968063872262</v>
      </c>
      <c r="DC16" s="487">
        <f t="shared" si="44"/>
        <v>0.12227838258164847</v>
      </c>
      <c r="DD16" s="487">
        <f t="shared" si="44"/>
        <v>0.12613636363636371</v>
      </c>
      <c r="DE16" s="487">
        <f t="shared" si="44"/>
        <v>0.11946902654867264</v>
      </c>
      <c r="DF16" s="489">
        <f t="shared" si="44"/>
        <v>9.9429793300071179E-2</v>
      </c>
      <c r="DG16" s="487">
        <f t="shared" si="44"/>
        <v>9.2846007275246834E-2</v>
      </c>
      <c r="DH16" s="487">
        <f t="shared" si="44"/>
        <v>8.8294651866801299E-2</v>
      </c>
      <c r="DI16" s="654">
        <f t="shared" si="44"/>
        <v>8.9591567852437493E-2</v>
      </c>
      <c r="DJ16" s="489">
        <f t="shared" si="44"/>
        <v>9.3841166936790898E-2</v>
      </c>
      <c r="DK16" s="487">
        <f t="shared" si="44"/>
        <v>8.1153907116817248E-2</v>
      </c>
      <c r="DL16" s="487">
        <f t="shared" si="44"/>
        <v>7.1704527893679426E-2</v>
      </c>
      <c r="DM16" s="654">
        <f t="shared" si="44"/>
        <v>6.3180169286578103E-2</v>
      </c>
      <c r="DN16" s="487">
        <f t="shared" si="44"/>
        <v>5.6749148021929097E-2</v>
      </c>
      <c r="DO16" s="487">
        <f t="shared" si="44"/>
        <v>-0.1943996481454332</v>
      </c>
      <c r="DP16" s="487">
        <f t="shared" si="44"/>
        <v>-0.19466474405191059</v>
      </c>
      <c r="DQ16" s="654">
        <f t="shared" si="44"/>
        <v>-0.19633210122263289</v>
      </c>
      <c r="DR16" s="487">
        <f t="shared" si="44"/>
        <v>-0.20246775098149183</v>
      </c>
      <c r="DS16" s="487">
        <f t="shared" si="44"/>
        <v>4.404003639672438E-2</v>
      </c>
      <c r="DT16" s="487">
        <f t="shared" si="44"/>
        <v>3.9033124440465583E-2</v>
      </c>
      <c r="DU16" s="654">
        <f t="shared" si="44"/>
        <v>3.484875287457978E-2</v>
      </c>
      <c r="DV16" s="487">
        <f t="shared" si="44"/>
        <v>4.0084388185654074E-2</v>
      </c>
      <c r="DW16" s="487">
        <f t="shared" ref="DW16" si="45">IF(ISERROR(DW14/DS14-1),"NA",(DW14/DS14-1))</f>
        <v>4.2008018127941416E-2</v>
      </c>
      <c r="DX16" s="487">
        <f t="shared" ref="DX16" si="46">IF(ISERROR(DX14/DT14-1),"NA",(DX14/DT14-1))</f>
        <v>4.2219541616405287E-2</v>
      </c>
      <c r="DY16" s="654">
        <f t="shared" ref="DY16" si="47">IF(ISERROR(DY14/DU14-1),"NA",(DY14/DU14-1))</f>
        <v>4.4273504273504294E-2</v>
      </c>
    </row>
    <row r="17" spans="1:179" s="3061" customFormat="1">
      <c r="A17" s="1934" t="s">
        <v>20</v>
      </c>
      <c r="B17" s="2216"/>
      <c r="C17" s="2216"/>
      <c r="D17" s="2216"/>
      <c r="E17" s="2216">
        <f t="shared" ref="E17:N17" si="48">E36-E29</f>
        <v>169000</v>
      </c>
      <c r="F17" s="2216">
        <f t="shared" si="48"/>
        <v>518000</v>
      </c>
      <c r="G17" s="2216">
        <f t="shared" si="48"/>
        <v>767000</v>
      </c>
      <c r="H17" s="2231">
        <f t="shared" si="48"/>
        <v>917000</v>
      </c>
      <c r="I17" s="2231">
        <f t="shared" si="48"/>
        <v>915000</v>
      </c>
      <c r="J17" s="2231">
        <f t="shared" si="48"/>
        <v>796000</v>
      </c>
      <c r="K17" s="2231">
        <f t="shared" si="48"/>
        <v>735000</v>
      </c>
      <c r="L17" s="2231">
        <f t="shared" si="48"/>
        <v>607000</v>
      </c>
      <c r="M17" s="2231">
        <f t="shared" si="48"/>
        <v>648000</v>
      </c>
      <c r="N17" s="2231">
        <f t="shared" si="48"/>
        <v>544000</v>
      </c>
      <c r="O17" s="2231">
        <f>O36-O29</f>
        <v>418000</v>
      </c>
      <c r="P17" s="2231">
        <f>P36-P29</f>
        <v>-1381000</v>
      </c>
      <c r="Q17" s="2231">
        <f>Q36-Q29</f>
        <v>197000</v>
      </c>
      <c r="R17" s="2231">
        <f>R36-R29</f>
        <v>259000</v>
      </c>
      <c r="S17" s="2231">
        <f t="shared" ref="S17:Y17" si="49">CHOOSE(_switch,S18,S19,S20)</f>
        <v>-20000</v>
      </c>
      <c r="T17" s="2231">
        <f t="shared" si="49"/>
        <v>-30000</v>
      </c>
      <c r="U17" s="2231">
        <f t="shared" si="49"/>
        <v>-40000</v>
      </c>
      <c r="V17" s="2231">
        <f t="shared" si="49"/>
        <v>-50000</v>
      </c>
      <c r="W17" s="2231">
        <f t="shared" si="49"/>
        <v>-60000</v>
      </c>
      <c r="X17" s="2231">
        <f t="shared" si="49"/>
        <v>-70000</v>
      </c>
      <c r="Y17" s="2231">
        <f t="shared" si="49"/>
        <v>-80000</v>
      </c>
      <c r="Z17" s="1962"/>
      <c r="AA17" s="1985"/>
      <c r="AB17" s="1985"/>
      <c r="AC17" s="1985"/>
      <c r="AD17" s="1985"/>
      <c r="AE17" s="1985"/>
      <c r="AF17" s="1985"/>
      <c r="AG17" s="1985"/>
      <c r="AH17" s="1985"/>
      <c r="AI17" s="1985"/>
      <c r="AJ17" s="1985"/>
      <c r="AK17" s="1985"/>
      <c r="AL17" s="1985"/>
      <c r="AM17" s="1985"/>
      <c r="AN17" s="1985"/>
      <c r="AO17" s="1985"/>
      <c r="AP17" s="1985"/>
      <c r="AQ17" s="1985"/>
      <c r="AR17" s="1985"/>
      <c r="AS17" s="1985"/>
      <c r="AT17" s="1985"/>
      <c r="AU17" s="1985"/>
      <c r="AV17" s="1985"/>
      <c r="AW17" s="1985"/>
      <c r="AX17" s="1985"/>
      <c r="AY17" s="1985"/>
      <c r="AZ17" s="1985"/>
      <c r="BA17" s="1985"/>
      <c r="BB17" s="1985"/>
      <c r="BC17" s="1985"/>
      <c r="BD17" s="1985"/>
      <c r="BE17" s="1985"/>
      <c r="BF17" s="1985"/>
      <c r="BG17" s="1985"/>
      <c r="BH17" s="1985"/>
      <c r="BI17" s="1985"/>
      <c r="BJ17" s="1985"/>
      <c r="BK17" s="1985"/>
      <c r="BL17" s="1985"/>
      <c r="BM17" s="1985"/>
      <c r="BN17" s="1985"/>
      <c r="BO17" s="1985"/>
      <c r="BP17" s="1985"/>
      <c r="BQ17" s="1985"/>
      <c r="BR17" s="1985"/>
      <c r="BS17" s="1985"/>
      <c r="BT17" s="1985"/>
      <c r="BU17" s="1985"/>
      <c r="BV17" s="1985"/>
      <c r="BW17" s="1985"/>
      <c r="BX17" s="1985"/>
      <c r="BY17" s="1955"/>
      <c r="BZ17" s="1937">
        <f>BZ36-BZ29</f>
        <v>95000</v>
      </c>
      <c r="CA17" s="2216">
        <f>CA36-CA29</f>
        <v>111000</v>
      </c>
      <c r="CB17" s="2216">
        <f>CB36-CB29</f>
        <v>147000</v>
      </c>
      <c r="CC17" s="2219">
        <f>CC36-CC29</f>
        <v>165000</v>
      </c>
      <c r="CD17" s="2302">
        <v>177000</v>
      </c>
      <c r="CE17" s="2303">
        <v>203000</v>
      </c>
      <c r="CF17" s="2303">
        <v>229000</v>
      </c>
      <c r="CG17" s="2216">
        <f t="shared" ref="CG17:CR17" si="50">+CG14-CF14</f>
        <v>173000</v>
      </c>
      <c r="CH17" s="1937">
        <f t="shared" si="50"/>
        <v>251000</v>
      </c>
      <c r="CI17" s="2216">
        <f t="shared" si="50"/>
        <v>179000</v>
      </c>
      <c r="CJ17" s="2216">
        <f t="shared" si="50"/>
        <v>216000</v>
      </c>
      <c r="CK17" s="2216">
        <f t="shared" si="50"/>
        <v>271000</v>
      </c>
      <c r="CL17" s="1937">
        <f t="shared" si="50"/>
        <v>282000</v>
      </c>
      <c r="CM17" s="2216">
        <f t="shared" si="50"/>
        <v>289000</v>
      </c>
      <c r="CN17" s="2216">
        <f t="shared" si="50"/>
        <v>194000</v>
      </c>
      <c r="CO17" s="2216">
        <f t="shared" si="50"/>
        <v>150000</v>
      </c>
      <c r="CP17" s="1937">
        <f t="shared" si="50"/>
        <v>180000</v>
      </c>
      <c r="CQ17" s="2216">
        <f t="shared" si="50"/>
        <v>193000</v>
      </c>
      <c r="CR17" s="2216">
        <f t="shared" si="50"/>
        <v>226000</v>
      </c>
      <c r="CS17" s="2216">
        <f t="shared" ref="CS17:DE17" si="51">CS36-CS29</f>
        <v>197000</v>
      </c>
      <c r="CT17" s="1937">
        <f t="shared" si="51"/>
        <v>207000</v>
      </c>
      <c r="CU17" s="2216">
        <f t="shared" si="51"/>
        <v>189000</v>
      </c>
      <c r="CV17" s="2216">
        <f t="shared" si="51"/>
        <v>138000</v>
      </c>
      <c r="CW17" s="2216">
        <f t="shared" si="51"/>
        <v>201000</v>
      </c>
      <c r="CX17" s="1937">
        <f t="shared" si="51"/>
        <v>193000</v>
      </c>
      <c r="CY17" s="2216">
        <f t="shared" si="51"/>
        <v>134000</v>
      </c>
      <c r="CZ17" s="2216">
        <f t="shared" si="51"/>
        <v>136000</v>
      </c>
      <c r="DA17" s="2216">
        <f t="shared" si="51"/>
        <v>144000</v>
      </c>
      <c r="DB17" s="1937">
        <f t="shared" si="51"/>
        <v>188000</v>
      </c>
      <c r="DC17" s="2216">
        <f t="shared" si="51"/>
        <v>161000</v>
      </c>
      <c r="DD17" s="2216">
        <f t="shared" si="51"/>
        <v>173000</v>
      </c>
      <c r="DE17" s="2216">
        <f t="shared" si="51"/>
        <v>126000</v>
      </c>
      <c r="DF17" s="1937">
        <f t="shared" ref="DF17:DK17" si="52">DF36-DF29</f>
        <v>98000</v>
      </c>
      <c r="DG17" s="2216">
        <f t="shared" si="52"/>
        <v>139000</v>
      </c>
      <c r="DH17" s="2216">
        <f t="shared" si="52"/>
        <v>162000</v>
      </c>
      <c r="DI17" s="2219">
        <f t="shared" si="52"/>
        <v>145000</v>
      </c>
      <c r="DJ17" s="1937">
        <f t="shared" si="52"/>
        <v>133000</v>
      </c>
      <c r="DK17" s="2216">
        <f t="shared" si="52"/>
        <v>72000</v>
      </c>
      <c r="DL17" s="2216">
        <f t="shared" ref="DL17:DQ17" si="53">DL36-DL29</f>
        <v>114000</v>
      </c>
      <c r="DM17" s="2219">
        <f t="shared" si="53"/>
        <v>99000</v>
      </c>
      <c r="DN17" s="2216">
        <f t="shared" si="53"/>
        <v>98000</v>
      </c>
      <c r="DO17" s="2216">
        <f t="shared" si="53"/>
        <v>-1637000</v>
      </c>
      <c r="DP17" s="2216">
        <f t="shared" si="53"/>
        <v>90000</v>
      </c>
      <c r="DQ17" s="2219">
        <f t="shared" si="53"/>
        <v>68000</v>
      </c>
      <c r="DR17" s="2216">
        <f t="shared" ref="DR17:DS17" si="54">DR36-DR29</f>
        <v>35000</v>
      </c>
      <c r="DS17" s="2216">
        <f t="shared" si="54"/>
        <v>49000</v>
      </c>
      <c r="DT17" s="2216">
        <f t="shared" ref="DT17:DU17" si="55">DT36-DT29</f>
        <v>66000</v>
      </c>
      <c r="DU17" s="2219">
        <f t="shared" si="55"/>
        <v>47000</v>
      </c>
      <c r="DV17" s="2216">
        <f t="shared" ref="DV17" si="56">DV36-DV29</f>
        <v>66000</v>
      </c>
      <c r="DW17" s="3261">
        <f>CHOOSE(_switch,DW18,DW19,DW20)</f>
        <v>62000</v>
      </c>
      <c r="DX17" s="3261">
        <f>CHOOSE(_switch,DX18,DX19,DX20)</f>
        <v>70000</v>
      </c>
      <c r="DY17" s="3141">
        <f>CHOOSE(_switch,DY18,DY19,DY20)</f>
        <v>61000</v>
      </c>
    </row>
    <row r="18" spans="1:179" s="2965" customFormat="1" outlineLevel="1">
      <c r="A18" s="1266" t="s">
        <v>333</v>
      </c>
      <c r="B18" s="1042"/>
      <c r="C18" s="1042"/>
      <c r="D18" s="1042"/>
      <c r="E18" s="1042"/>
      <c r="F18" s="1042"/>
      <c r="G18" s="1042"/>
      <c r="H18" s="1267"/>
      <c r="I18" s="1267"/>
      <c r="J18" s="1267"/>
      <c r="K18" s="1267"/>
      <c r="L18" s="1267"/>
      <c r="M18" s="1267"/>
      <c r="N18" s="1267"/>
      <c r="O18" s="1267"/>
      <c r="P18" s="1267"/>
      <c r="Q18" s="1267"/>
      <c r="R18" s="1267"/>
      <c r="S18" s="1285">
        <f>+R18-20000</f>
        <v>-20000</v>
      </c>
      <c r="T18" s="1285">
        <f>+S18-10000</f>
        <v>-30000</v>
      </c>
      <c r="U18" s="1285">
        <f t="shared" ref="U18:Y18" si="57">+T18-10000</f>
        <v>-40000</v>
      </c>
      <c r="V18" s="1285">
        <f t="shared" si="57"/>
        <v>-50000</v>
      </c>
      <c r="W18" s="1285">
        <f t="shared" si="57"/>
        <v>-60000</v>
      </c>
      <c r="X18" s="1285">
        <f t="shared" si="57"/>
        <v>-70000</v>
      </c>
      <c r="Y18" s="1285">
        <f t="shared" si="57"/>
        <v>-80000</v>
      </c>
      <c r="Z18" s="138"/>
      <c r="AA18" s="1045"/>
      <c r="AB18" s="1045"/>
      <c r="AC18" s="1045"/>
      <c r="AD18" s="1045"/>
      <c r="AE18" s="1045"/>
      <c r="AF18" s="1045"/>
      <c r="AG18" s="1045"/>
      <c r="AH18" s="1045"/>
      <c r="AI18" s="1045"/>
      <c r="AJ18" s="1045"/>
      <c r="AK18" s="1045"/>
      <c r="AL18" s="1045"/>
      <c r="AM18" s="1045"/>
      <c r="AN18" s="1045"/>
      <c r="AO18" s="1045"/>
      <c r="AP18" s="1045"/>
      <c r="AQ18" s="1045"/>
      <c r="AR18" s="1045"/>
      <c r="AS18" s="1045"/>
      <c r="AT18" s="1045"/>
      <c r="AU18" s="1045"/>
      <c r="AV18" s="1045"/>
      <c r="AW18" s="1045"/>
      <c r="AX18" s="1045"/>
      <c r="AY18" s="1045"/>
      <c r="AZ18" s="1045"/>
      <c r="BA18" s="1045"/>
      <c r="BB18" s="1045"/>
      <c r="BC18" s="1045"/>
      <c r="BD18" s="1045"/>
      <c r="BE18" s="1045"/>
      <c r="BF18" s="1045"/>
      <c r="BG18" s="1045"/>
      <c r="BH18" s="1045"/>
      <c r="BI18" s="1045"/>
      <c r="BJ18" s="1045"/>
      <c r="BK18" s="1045"/>
      <c r="BL18" s="1045"/>
      <c r="BM18" s="1045"/>
      <c r="BN18" s="1045"/>
      <c r="BO18" s="1045"/>
      <c r="BP18" s="1045"/>
      <c r="BQ18" s="1045"/>
      <c r="BR18" s="1045"/>
      <c r="BS18" s="1045"/>
      <c r="BT18" s="1045"/>
      <c r="BU18" s="1045"/>
      <c r="BV18" s="1045"/>
      <c r="BW18" s="1045"/>
      <c r="BX18" s="1045"/>
      <c r="BY18" s="1268"/>
      <c r="BZ18" s="954"/>
      <c r="CA18" s="1042"/>
      <c r="CB18" s="1042"/>
      <c r="CC18" s="956"/>
      <c r="CD18" s="968"/>
      <c r="CE18" s="1274"/>
      <c r="CF18" s="1274"/>
      <c r="CG18" s="1042"/>
      <c r="CH18" s="954"/>
      <c r="CI18" s="1042"/>
      <c r="CJ18" s="1042"/>
      <c r="CK18" s="1042"/>
      <c r="CL18" s="954"/>
      <c r="CM18" s="1042"/>
      <c r="CN18" s="1042"/>
      <c r="CO18" s="1042"/>
      <c r="CP18" s="954"/>
      <c r="CQ18" s="1042"/>
      <c r="CR18" s="1042"/>
      <c r="CS18" s="1042"/>
      <c r="CT18" s="954"/>
      <c r="CU18" s="1042"/>
      <c r="CV18" s="1042"/>
      <c r="CW18" s="1042"/>
      <c r="CX18" s="954"/>
      <c r="CY18" s="1042"/>
      <c r="CZ18" s="1042"/>
      <c r="DA18" s="1042"/>
      <c r="DB18" s="954"/>
      <c r="DC18" s="1042"/>
      <c r="DD18" s="1042"/>
      <c r="DE18" s="1042"/>
      <c r="DF18" s="954"/>
      <c r="DG18" s="1042"/>
      <c r="DH18" s="1042"/>
      <c r="DI18" s="956"/>
      <c r="DJ18" s="954"/>
      <c r="DK18" s="1042"/>
      <c r="DL18" s="1042"/>
      <c r="DM18" s="956"/>
      <c r="DN18" s="1042"/>
      <c r="DO18" s="1042"/>
      <c r="DP18" s="1042"/>
      <c r="DQ18" s="956"/>
      <c r="DR18" s="1042"/>
      <c r="DS18" s="1042"/>
      <c r="DT18" s="1042"/>
      <c r="DU18" s="956"/>
      <c r="DV18" s="1042"/>
      <c r="DW18" s="3262">
        <v>62000</v>
      </c>
      <c r="DX18" s="3262">
        <v>70000</v>
      </c>
      <c r="DY18" s="1264">
        <v>61000</v>
      </c>
    </row>
    <row r="19" spans="1:179" s="2965" customFormat="1" outlineLevel="1">
      <c r="A19" s="1266" t="s">
        <v>334</v>
      </c>
      <c r="B19" s="1042"/>
      <c r="C19" s="1042"/>
      <c r="D19" s="1042"/>
      <c r="E19" s="1042"/>
      <c r="F19" s="1042"/>
      <c r="G19" s="1042"/>
      <c r="H19" s="1267"/>
      <c r="I19" s="1267"/>
      <c r="J19" s="1267"/>
      <c r="K19" s="1267"/>
      <c r="L19" s="1267"/>
      <c r="M19" s="1267"/>
      <c r="N19" s="1267"/>
      <c r="O19" s="1267"/>
      <c r="P19" s="1267"/>
      <c r="Q19" s="1267"/>
      <c r="R19" s="1267"/>
      <c r="S19" s="1285">
        <f>+S18+50000</f>
        <v>30000</v>
      </c>
      <c r="T19" s="1285">
        <f>+T18+50000</f>
        <v>20000</v>
      </c>
      <c r="U19" s="1285">
        <f t="shared" ref="U19:Y19" si="58">+U18+50000</f>
        <v>10000</v>
      </c>
      <c r="V19" s="1285">
        <f t="shared" si="58"/>
        <v>0</v>
      </c>
      <c r="W19" s="1285">
        <f t="shared" si="58"/>
        <v>-10000</v>
      </c>
      <c r="X19" s="1285">
        <f t="shared" si="58"/>
        <v>-20000</v>
      </c>
      <c r="Y19" s="1285">
        <f t="shared" si="58"/>
        <v>-30000</v>
      </c>
      <c r="Z19" s="138"/>
      <c r="AA19" s="1045"/>
      <c r="AB19" s="1045"/>
      <c r="AC19" s="1045"/>
      <c r="AD19" s="1045"/>
      <c r="AE19" s="1045"/>
      <c r="AF19" s="1045"/>
      <c r="AG19" s="1045"/>
      <c r="AH19" s="1045"/>
      <c r="AI19" s="1045"/>
      <c r="AJ19" s="1045"/>
      <c r="AK19" s="1045"/>
      <c r="AL19" s="1045"/>
      <c r="AM19" s="1045"/>
      <c r="AN19" s="1045"/>
      <c r="AO19" s="1045"/>
      <c r="AP19" s="1045"/>
      <c r="AQ19" s="1045"/>
      <c r="AR19" s="1045"/>
      <c r="AS19" s="1045"/>
      <c r="AT19" s="1045"/>
      <c r="AU19" s="1045"/>
      <c r="AV19" s="1045"/>
      <c r="AW19" s="1045"/>
      <c r="AX19" s="1045"/>
      <c r="AY19" s="1045"/>
      <c r="AZ19" s="1045"/>
      <c r="BA19" s="1045"/>
      <c r="BB19" s="1045"/>
      <c r="BC19" s="1045"/>
      <c r="BD19" s="1045"/>
      <c r="BE19" s="1045"/>
      <c r="BF19" s="1045"/>
      <c r="BG19" s="1045"/>
      <c r="BH19" s="1045"/>
      <c r="BI19" s="1045"/>
      <c r="BJ19" s="1045"/>
      <c r="BK19" s="1045"/>
      <c r="BL19" s="1045"/>
      <c r="BM19" s="1045"/>
      <c r="BN19" s="1045"/>
      <c r="BO19" s="1045"/>
      <c r="BP19" s="1045"/>
      <c r="BQ19" s="1045"/>
      <c r="BR19" s="1045"/>
      <c r="BS19" s="1045"/>
      <c r="BT19" s="1045"/>
      <c r="BU19" s="1045"/>
      <c r="BV19" s="1045"/>
      <c r="BW19" s="1045"/>
      <c r="BX19" s="1045"/>
      <c r="BY19" s="1268"/>
      <c r="BZ19" s="954"/>
      <c r="CA19" s="1042"/>
      <c r="CB19" s="1042"/>
      <c r="CC19" s="956"/>
      <c r="CD19" s="968"/>
      <c r="CE19" s="1274"/>
      <c r="CF19" s="1274"/>
      <c r="CG19" s="1042"/>
      <c r="CH19" s="954"/>
      <c r="CI19" s="1042"/>
      <c r="CJ19" s="1042"/>
      <c r="CK19" s="1042"/>
      <c r="CL19" s="954"/>
      <c r="CM19" s="1042"/>
      <c r="CN19" s="1042"/>
      <c r="CO19" s="1042"/>
      <c r="CP19" s="954"/>
      <c r="CQ19" s="1042"/>
      <c r="CR19" s="1042"/>
      <c r="CS19" s="1042"/>
      <c r="CT19" s="954"/>
      <c r="CU19" s="1042"/>
      <c r="CV19" s="1042"/>
      <c r="CW19" s="1042"/>
      <c r="CX19" s="954"/>
      <c r="CY19" s="1042"/>
      <c r="CZ19" s="1042"/>
      <c r="DA19" s="1042"/>
      <c r="DB19" s="954"/>
      <c r="DC19" s="1042"/>
      <c r="DD19" s="1042"/>
      <c r="DE19" s="1042"/>
      <c r="DF19" s="954"/>
      <c r="DG19" s="1042"/>
      <c r="DH19" s="1042"/>
      <c r="DI19" s="956"/>
      <c r="DJ19" s="954"/>
      <c r="DK19" s="1042"/>
      <c r="DL19" s="1042"/>
      <c r="DM19" s="956"/>
      <c r="DN19" s="1042"/>
      <c r="DO19" s="1042"/>
      <c r="DP19" s="1042"/>
      <c r="DQ19" s="956"/>
      <c r="DR19" s="1042"/>
      <c r="DS19" s="1042"/>
      <c r="DT19" s="1042"/>
      <c r="DU19" s="956"/>
      <c r="DV19" s="1042"/>
      <c r="DW19" s="3262">
        <f t="shared" ref="DW19:DY19" si="59">+DW18+10000</f>
        <v>72000</v>
      </c>
      <c r="DX19" s="3262">
        <f t="shared" si="59"/>
        <v>80000</v>
      </c>
      <c r="DY19" s="1264">
        <f t="shared" si="59"/>
        <v>71000</v>
      </c>
      <c r="FU19" s="2965">
        <v>0.14499999999999999</v>
      </c>
      <c r="FV19" s="2965">
        <v>0.14499999999999999</v>
      </c>
      <c r="FW19" s="2965">
        <v>0.14499999999999999</v>
      </c>
    </row>
    <row r="20" spans="1:179" s="2965" customFormat="1" outlineLevel="1">
      <c r="A20" s="1266" t="s">
        <v>335</v>
      </c>
      <c r="B20" s="1042"/>
      <c r="C20" s="1042"/>
      <c r="D20" s="1042"/>
      <c r="E20" s="1042"/>
      <c r="F20" s="1042"/>
      <c r="G20" s="1042"/>
      <c r="H20" s="1267"/>
      <c r="I20" s="1267"/>
      <c r="J20" s="1267"/>
      <c r="K20" s="1267"/>
      <c r="L20" s="1267"/>
      <c r="M20" s="1267"/>
      <c r="N20" s="1267"/>
      <c r="O20" s="1267"/>
      <c r="P20" s="1267"/>
      <c r="Q20" s="1267"/>
      <c r="R20" s="1267"/>
      <c r="S20" s="1285">
        <f>+S18-50000</f>
        <v>-70000</v>
      </c>
      <c r="T20" s="1285">
        <f>+T18-50000</f>
        <v>-80000</v>
      </c>
      <c r="U20" s="1285">
        <f t="shared" ref="U20:Y20" si="60">+U18-50000</f>
        <v>-90000</v>
      </c>
      <c r="V20" s="1285">
        <f t="shared" si="60"/>
        <v>-100000</v>
      </c>
      <c r="W20" s="1285">
        <f t="shared" si="60"/>
        <v>-110000</v>
      </c>
      <c r="X20" s="1285">
        <f t="shared" si="60"/>
        <v>-120000</v>
      </c>
      <c r="Y20" s="1285">
        <f t="shared" si="60"/>
        <v>-130000</v>
      </c>
      <c r="Z20" s="138"/>
      <c r="AA20" s="1045"/>
      <c r="AB20" s="1045"/>
      <c r="AC20" s="1045"/>
      <c r="AD20" s="1045"/>
      <c r="AE20" s="1045"/>
      <c r="AF20" s="1045"/>
      <c r="AG20" s="1045"/>
      <c r="AH20" s="1045"/>
      <c r="AI20" s="1045"/>
      <c r="AJ20" s="1045"/>
      <c r="AK20" s="1045"/>
      <c r="AL20" s="1045"/>
      <c r="AM20" s="1045"/>
      <c r="AN20" s="1045"/>
      <c r="AO20" s="1045"/>
      <c r="AP20" s="1045"/>
      <c r="AQ20" s="1045"/>
      <c r="AR20" s="1045"/>
      <c r="AS20" s="1045"/>
      <c r="AT20" s="1045"/>
      <c r="AU20" s="1045"/>
      <c r="AV20" s="1045"/>
      <c r="AW20" s="1045"/>
      <c r="AX20" s="1045"/>
      <c r="AY20" s="1045"/>
      <c r="AZ20" s="1045"/>
      <c r="BA20" s="1045"/>
      <c r="BB20" s="1045"/>
      <c r="BC20" s="1045"/>
      <c r="BD20" s="1045"/>
      <c r="BE20" s="1045"/>
      <c r="BF20" s="1045"/>
      <c r="BG20" s="1045"/>
      <c r="BH20" s="1045"/>
      <c r="BI20" s="1045"/>
      <c r="BJ20" s="1045"/>
      <c r="BK20" s="1045"/>
      <c r="BL20" s="1045"/>
      <c r="BM20" s="1045"/>
      <c r="BN20" s="1045"/>
      <c r="BO20" s="1045"/>
      <c r="BP20" s="1045"/>
      <c r="BQ20" s="1045"/>
      <c r="BR20" s="1045"/>
      <c r="BS20" s="1045"/>
      <c r="BT20" s="1045"/>
      <c r="BU20" s="1045"/>
      <c r="BV20" s="1045"/>
      <c r="BW20" s="1045"/>
      <c r="BX20" s="1045"/>
      <c r="BY20" s="1268"/>
      <c r="BZ20" s="954"/>
      <c r="CA20" s="1042"/>
      <c r="CB20" s="1042"/>
      <c r="CC20" s="956"/>
      <c r="CD20" s="968"/>
      <c r="CE20" s="1274"/>
      <c r="CF20" s="1274"/>
      <c r="CG20" s="1042"/>
      <c r="CH20" s="954"/>
      <c r="CI20" s="1042"/>
      <c r="CJ20" s="1042"/>
      <c r="CK20" s="1042"/>
      <c r="CL20" s="954"/>
      <c r="CM20" s="1042"/>
      <c r="CN20" s="1042"/>
      <c r="CO20" s="1042"/>
      <c r="CP20" s="954"/>
      <c r="CQ20" s="1042"/>
      <c r="CR20" s="1042"/>
      <c r="CS20" s="1042"/>
      <c r="CT20" s="954"/>
      <c r="CU20" s="1042"/>
      <c r="CV20" s="1042"/>
      <c r="CW20" s="1042"/>
      <c r="CX20" s="954"/>
      <c r="CY20" s="1042"/>
      <c r="CZ20" s="1042"/>
      <c r="DA20" s="1042"/>
      <c r="DB20" s="954"/>
      <c r="DC20" s="1042"/>
      <c r="DD20" s="1042"/>
      <c r="DE20" s="1042"/>
      <c r="DF20" s="954"/>
      <c r="DG20" s="1042"/>
      <c r="DH20" s="1042"/>
      <c r="DI20" s="956"/>
      <c r="DJ20" s="954"/>
      <c r="DK20" s="1042"/>
      <c r="DL20" s="1042"/>
      <c r="DM20" s="956"/>
      <c r="DN20" s="1042"/>
      <c r="DO20" s="1042"/>
      <c r="DP20" s="1042"/>
      <c r="DQ20" s="956"/>
      <c r="DR20" s="1042"/>
      <c r="DS20" s="1042"/>
      <c r="DT20" s="1042"/>
      <c r="DU20" s="956"/>
      <c r="DV20" s="1042"/>
      <c r="DW20" s="3262">
        <f t="shared" ref="DW20:DY20" si="61">+DW18-10000</f>
        <v>52000</v>
      </c>
      <c r="DX20" s="3262">
        <f t="shared" si="61"/>
        <v>60000</v>
      </c>
      <c r="DY20" s="1264">
        <f t="shared" si="61"/>
        <v>51000</v>
      </c>
    </row>
    <row r="21" spans="1:179" s="2964" customFormat="1">
      <c r="A21" s="1984" t="s">
        <v>319</v>
      </c>
      <c r="B21" s="1985"/>
      <c r="C21" s="1985"/>
      <c r="D21" s="1985"/>
      <c r="E21" s="1985"/>
      <c r="F21" s="1985"/>
      <c r="G21" s="1985"/>
      <c r="H21" s="1986"/>
      <c r="I21" s="1986"/>
      <c r="J21" s="1986"/>
      <c r="K21" s="1986"/>
      <c r="L21" s="1986"/>
      <c r="M21" s="1986"/>
      <c r="N21" s="1986"/>
      <c r="O21" s="1986"/>
      <c r="P21" s="1986"/>
      <c r="Q21" s="1986"/>
      <c r="R21" s="1986"/>
      <c r="S21" s="1986"/>
      <c r="T21" s="1986"/>
      <c r="U21" s="1986"/>
      <c r="V21" s="1986"/>
      <c r="W21" s="1986"/>
      <c r="X21" s="1986"/>
      <c r="Y21" s="1986"/>
      <c r="Z21" s="1962"/>
      <c r="AA21" s="1985"/>
      <c r="AB21" s="1985"/>
      <c r="AC21" s="1985"/>
      <c r="AD21" s="1985"/>
      <c r="AE21" s="1985"/>
      <c r="AF21" s="1985"/>
      <c r="AG21" s="1985"/>
      <c r="AH21" s="1985"/>
      <c r="AI21" s="1985"/>
      <c r="AJ21" s="1985"/>
      <c r="AK21" s="1985"/>
      <c r="AL21" s="1985"/>
      <c r="AM21" s="1985"/>
      <c r="AN21" s="1985"/>
      <c r="AO21" s="1985"/>
      <c r="AP21" s="1985"/>
      <c r="AQ21" s="1985"/>
      <c r="AR21" s="1985"/>
      <c r="AS21" s="1985"/>
      <c r="AT21" s="1985"/>
      <c r="AU21" s="1985"/>
      <c r="AV21" s="1985"/>
      <c r="AW21" s="1985"/>
      <c r="AX21" s="1985"/>
      <c r="AY21" s="1985"/>
      <c r="AZ21" s="1985"/>
      <c r="BA21" s="1985"/>
      <c r="BB21" s="1985"/>
      <c r="BC21" s="1985"/>
      <c r="BD21" s="1985"/>
      <c r="BE21" s="1985"/>
      <c r="BF21" s="1985"/>
      <c r="BG21" s="1985"/>
      <c r="BH21" s="1985"/>
      <c r="BI21" s="1985"/>
      <c r="BJ21" s="1985"/>
      <c r="BK21" s="1985"/>
      <c r="BL21" s="1985"/>
      <c r="BM21" s="1985"/>
      <c r="BN21" s="1985"/>
      <c r="BO21" s="1985"/>
      <c r="BP21" s="1985"/>
      <c r="BQ21" s="1985"/>
      <c r="BR21" s="1985"/>
      <c r="BS21" s="1985"/>
      <c r="BT21" s="1985"/>
      <c r="BU21" s="1985"/>
      <c r="BV21" s="1985"/>
      <c r="BW21" s="1985"/>
      <c r="BX21" s="1985"/>
      <c r="BY21" s="1962"/>
      <c r="BZ21" s="1987"/>
      <c r="CA21" s="1985">
        <f t="shared" ref="CA21:DV21" si="62">CA17/BZ17-1</f>
        <v>0.16842105263157903</v>
      </c>
      <c r="CB21" s="1985">
        <f t="shared" si="62"/>
        <v>0.32432432432432434</v>
      </c>
      <c r="CC21" s="1988">
        <f t="shared" si="62"/>
        <v>0.12244897959183665</v>
      </c>
      <c r="CD21" s="1987">
        <f t="shared" si="62"/>
        <v>7.2727272727272751E-2</v>
      </c>
      <c r="CE21" s="1985">
        <f t="shared" si="62"/>
        <v>0.14689265536723162</v>
      </c>
      <c r="CF21" s="1985">
        <f t="shared" si="62"/>
        <v>0.12807881773399021</v>
      </c>
      <c r="CG21" s="1985">
        <f t="shared" si="62"/>
        <v>-0.24454148471615722</v>
      </c>
      <c r="CH21" s="1987">
        <f t="shared" si="62"/>
        <v>0.4508670520231215</v>
      </c>
      <c r="CI21" s="1985">
        <f t="shared" si="62"/>
        <v>-0.28685258964143423</v>
      </c>
      <c r="CJ21" s="1985">
        <f t="shared" si="62"/>
        <v>0.2067039106145252</v>
      </c>
      <c r="CK21" s="1985">
        <f t="shared" si="62"/>
        <v>0.25462962962962954</v>
      </c>
      <c r="CL21" s="1987">
        <f t="shared" si="62"/>
        <v>4.0590405904058935E-2</v>
      </c>
      <c r="CM21" s="1985">
        <f t="shared" si="62"/>
        <v>2.4822695035461084E-2</v>
      </c>
      <c r="CN21" s="1985">
        <f t="shared" si="62"/>
        <v>-0.32871972318339104</v>
      </c>
      <c r="CO21" s="1985">
        <f t="shared" si="62"/>
        <v>-0.22680412371134018</v>
      </c>
      <c r="CP21" s="1987">
        <f t="shared" si="62"/>
        <v>0.19999999999999996</v>
      </c>
      <c r="CQ21" s="1985">
        <f t="shared" si="62"/>
        <v>7.2222222222222188E-2</v>
      </c>
      <c r="CR21" s="1985">
        <f t="shared" si="62"/>
        <v>0.17098445595854916</v>
      </c>
      <c r="CS21" s="1985">
        <f t="shared" si="62"/>
        <v>-0.12831858407079644</v>
      </c>
      <c r="CT21" s="1987">
        <f t="shared" si="62"/>
        <v>5.0761421319796884E-2</v>
      </c>
      <c r="CU21" s="1985">
        <f t="shared" si="62"/>
        <v>-8.6956521739130488E-2</v>
      </c>
      <c r="CV21" s="1985">
        <f t="shared" si="62"/>
        <v>-0.26984126984126988</v>
      </c>
      <c r="CW21" s="1985">
        <f t="shared" si="62"/>
        <v>0.45652173913043481</v>
      </c>
      <c r="CX21" s="1987">
        <f t="shared" si="62"/>
        <v>-3.9800995024875663E-2</v>
      </c>
      <c r="CY21" s="1985">
        <f t="shared" si="62"/>
        <v>-0.30569948186528495</v>
      </c>
      <c r="CZ21" s="1985">
        <f t="shared" si="62"/>
        <v>1.4925373134328401E-2</v>
      </c>
      <c r="DA21" s="1985">
        <f t="shared" si="62"/>
        <v>5.8823529411764719E-2</v>
      </c>
      <c r="DB21" s="1987">
        <f t="shared" si="62"/>
        <v>0.30555555555555558</v>
      </c>
      <c r="DC21" s="1985">
        <f t="shared" si="62"/>
        <v>-0.1436170212765957</v>
      </c>
      <c r="DD21" s="1985">
        <f t="shared" si="62"/>
        <v>7.4534161490683148E-2</v>
      </c>
      <c r="DE21" s="1985">
        <f t="shared" si="62"/>
        <v>-0.27167630057803471</v>
      </c>
      <c r="DF21" s="1987">
        <f t="shared" si="62"/>
        <v>-0.22222222222222221</v>
      </c>
      <c r="DG21" s="1985">
        <f t="shared" si="62"/>
        <v>0.41836734693877542</v>
      </c>
      <c r="DH21" s="1985">
        <f t="shared" si="62"/>
        <v>0.16546762589928066</v>
      </c>
      <c r="DI21" s="1988">
        <f t="shared" si="62"/>
        <v>-0.10493827160493829</v>
      </c>
      <c r="DJ21" s="1987">
        <f t="shared" si="62"/>
        <v>-8.2758620689655227E-2</v>
      </c>
      <c r="DK21" s="1985">
        <f t="shared" si="62"/>
        <v>-0.45864661654135341</v>
      </c>
      <c r="DL21" s="1985">
        <f t="shared" si="62"/>
        <v>0.58333333333333326</v>
      </c>
      <c r="DM21" s="1988">
        <f t="shared" si="62"/>
        <v>-0.13157894736842102</v>
      </c>
      <c r="DN21" s="1985">
        <f t="shared" si="62"/>
        <v>-1.0101010101010055E-2</v>
      </c>
      <c r="DO21" s="1985">
        <f t="shared" si="62"/>
        <v>-17.704081632653061</v>
      </c>
      <c r="DP21" s="1985">
        <f t="shared" si="62"/>
        <v>-1.0549786194257789</v>
      </c>
      <c r="DQ21" s="1988">
        <f t="shared" si="62"/>
        <v>-0.24444444444444446</v>
      </c>
      <c r="DR21" s="1985">
        <f t="shared" si="62"/>
        <v>-0.48529411764705888</v>
      </c>
      <c r="DS21" s="1985">
        <f t="shared" si="62"/>
        <v>0.39999999999999991</v>
      </c>
      <c r="DT21" s="1985">
        <f t="shared" si="62"/>
        <v>0.34693877551020402</v>
      </c>
      <c r="DU21" s="1988">
        <f t="shared" si="62"/>
        <v>-0.28787878787878785</v>
      </c>
      <c r="DV21" s="1985">
        <f t="shared" si="62"/>
        <v>0.4042553191489362</v>
      </c>
      <c r="DW21" s="1985">
        <f t="shared" ref="DW21" si="63">DW17/DV17-1</f>
        <v>-6.0606060606060552E-2</v>
      </c>
      <c r="DX21" s="1985">
        <f t="shared" ref="DX21" si="64">DX17/DW17-1</f>
        <v>0.12903225806451624</v>
      </c>
      <c r="DY21" s="1988">
        <f t="shared" ref="DY21" si="65">DY17/DX17-1</f>
        <v>-0.12857142857142856</v>
      </c>
    </row>
    <row r="22" spans="1:179">
      <c r="A22" s="653" t="s">
        <v>320</v>
      </c>
      <c r="B22" s="243"/>
      <c r="C22" s="243"/>
      <c r="D22" s="243"/>
      <c r="E22" s="243"/>
      <c r="F22" s="243"/>
      <c r="G22" s="243"/>
      <c r="H22" s="487">
        <f t="shared" ref="H22:T22" si="66">IF(ISERROR(H17/G17-1),"NA",(H17/G17-1))</f>
        <v>0.19556714471968717</v>
      </c>
      <c r="I22" s="487">
        <f t="shared" si="66"/>
        <v>-2.1810250817884125E-3</v>
      </c>
      <c r="J22" s="487">
        <f t="shared" si="66"/>
        <v>-0.13005464480874318</v>
      </c>
      <c r="K22" s="487">
        <f t="shared" si="66"/>
        <v>-7.66331658291457E-2</v>
      </c>
      <c r="L22" s="487">
        <f t="shared" si="66"/>
        <v>-0.17414965986394559</v>
      </c>
      <c r="M22" s="487">
        <f t="shared" si="66"/>
        <v>6.7545304777594684E-2</v>
      </c>
      <c r="N22" s="487">
        <f t="shared" si="66"/>
        <v>-0.16049382716049387</v>
      </c>
      <c r="O22" s="487">
        <f>IF(ISERROR(O17/N17-1),"NA",(O17/N17-1))</f>
        <v>-0.23161764705882348</v>
      </c>
      <c r="P22" s="487">
        <f>IF(ISERROR(P17/O17-1),"NA",(P17/O17-1))</f>
        <v>-4.303827751196172</v>
      </c>
      <c r="Q22" s="487">
        <f>IF(ISERROR(Q17/P17-1),"NA",(Q17/P17-1))</f>
        <v>-1.1426502534395366</v>
      </c>
      <c r="R22" s="487">
        <f>IF(ISERROR(R17/Q17-1),"NA",(R17/Q17-1))</f>
        <v>0.31472081218274117</v>
      </c>
      <c r="S22" s="487">
        <f t="shared" si="66"/>
        <v>-1.0772200772200773</v>
      </c>
      <c r="T22" s="487">
        <f t="shared" si="66"/>
        <v>0.5</v>
      </c>
      <c r="U22" s="487">
        <f t="shared" ref="U22" si="67">IF(ISERROR(U17/T17-1),"NA",(U17/T17-1))</f>
        <v>0.33333333333333326</v>
      </c>
      <c r="V22" s="487">
        <f t="shared" ref="V22" si="68">IF(ISERROR(V17/U17-1),"NA",(V17/U17-1))</f>
        <v>0.25</v>
      </c>
      <c r="W22" s="487">
        <f t="shared" ref="W22" si="69">IF(ISERROR(W17/V17-1),"NA",(W17/V17-1))</f>
        <v>0.19999999999999996</v>
      </c>
      <c r="X22" s="487">
        <f t="shared" ref="X22" si="70">IF(ISERROR(X17/W17-1),"NA",(X17/W17-1))</f>
        <v>0.16666666666666674</v>
      </c>
      <c r="Y22" s="487">
        <f t="shared" ref="Y22" si="71">IF(ISERROR(Y17/X17-1),"NA",(Y17/X17-1))</f>
        <v>0.14285714285714279</v>
      </c>
      <c r="Z22" s="138"/>
      <c r="AA22" s="1045"/>
      <c r="AB22" s="1045"/>
      <c r="AC22" s="1045"/>
      <c r="AD22" s="1045"/>
      <c r="AE22" s="1045"/>
      <c r="AF22" s="1045"/>
      <c r="AG22" s="1045"/>
      <c r="AH22" s="1045"/>
      <c r="AI22" s="1045"/>
      <c r="AJ22" s="1045"/>
      <c r="AK22" s="1045"/>
      <c r="AL22" s="1045"/>
      <c r="AM22" s="1045"/>
      <c r="AN22" s="1045"/>
      <c r="AO22" s="1045"/>
      <c r="AP22" s="1045"/>
      <c r="AQ22" s="1045"/>
      <c r="AR22" s="1045"/>
      <c r="AS22" s="1045"/>
      <c r="AT22" s="1045"/>
      <c r="AU22" s="1045"/>
      <c r="AV22" s="1045"/>
      <c r="AW22" s="1045"/>
      <c r="AX22" s="1045"/>
      <c r="AY22" s="1045"/>
      <c r="AZ22" s="1045"/>
      <c r="BA22" s="1045"/>
      <c r="BB22" s="1045"/>
      <c r="BC22" s="1045"/>
      <c r="BD22" s="1045"/>
      <c r="BE22" s="1045"/>
      <c r="BF22" s="1045"/>
      <c r="BG22" s="1045"/>
      <c r="BH22" s="1045"/>
      <c r="BI22" s="1045"/>
      <c r="BJ22" s="1045"/>
      <c r="BK22" s="1045"/>
      <c r="BL22" s="1045"/>
      <c r="BM22" s="1045"/>
      <c r="BN22" s="1045"/>
      <c r="BO22" s="1045"/>
      <c r="BP22" s="1045"/>
      <c r="BQ22" s="1045"/>
      <c r="BR22" s="1045"/>
      <c r="BS22" s="1045"/>
      <c r="BT22" s="1045"/>
      <c r="BU22" s="1045"/>
      <c r="BV22" s="1045"/>
      <c r="BW22" s="1045"/>
      <c r="BX22" s="1045"/>
      <c r="BY22" s="488"/>
      <c r="BZ22" s="490"/>
      <c r="CA22" s="487" t="str">
        <f>IF(ISERROR(CA17/#REF!-1),"NA",(CA17/#REF!-1))</f>
        <v>NA</v>
      </c>
      <c r="CB22" s="487" t="str">
        <f>IF(ISERROR(CB17/Z17-1),"NA",(CB17/Z17-1))</f>
        <v>NA</v>
      </c>
      <c r="CC22" s="654" t="str">
        <f t="shared" ref="CC22:DV22" si="72">IF(ISERROR(CC17/BY17-1),"NA",(CC17/BY17-1))</f>
        <v>NA</v>
      </c>
      <c r="CD22" s="489">
        <f t="shared" si="72"/>
        <v>0.86315789473684212</v>
      </c>
      <c r="CE22" s="487">
        <f t="shared" si="72"/>
        <v>0.8288288288288288</v>
      </c>
      <c r="CF22" s="487">
        <f t="shared" si="72"/>
        <v>0.55782312925170063</v>
      </c>
      <c r="CG22" s="487">
        <f t="shared" si="72"/>
        <v>4.8484848484848575E-2</v>
      </c>
      <c r="CH22" s="489">
        <f t="shared" si="72"/>
        <v>0.41807909604519766</v>
      </c>
      <c r="CI22" s="487">
        <f t="shared" si="72"/>
        <v>-0.11822660098522164</v>
      </c>
      <c r="CJ22" s="487">
        <f t="shared" si="72"/>
        <v>-5.6768558951965087E-2</v>
      </c>
      <c r="CK22" s="487">
        <f t="shared" si="72"/>
        <v>0.56647398843930641</v>
      </c>
      <c r="CL22" s="489">
        <f t="shared" si="72"/>
        <v>0.12350597609561742</v>
      </c>
      <c r="CM22" s="487">
        <f t="shared" si="72"/>
        <v>0.61452513966480438</v>
      </c>
      <c r="CN22" s="487">
        <f t="shared" si="72"/>
        <v>-0.10185185185185186</v>
      </c>
      <c r="CO22" s="487">
        <f t="shared" si="72"/>
        <v>-0.44649446494464939</v>
      </c>
      <c r="CP22" s="489">
        <f t="shared" si="72"/>
        <v>-0.36170212765957444</v>
      </c>
      <c r="CQ22" s="487">
        <f t="shared" si="72"/>
        <v>-0.33217993079584773</v>
      </c>
      <c r="CR22" s="487">
        <f t="shared" si="72"/>
        <v>0.1649484536082475</v>
      </c>
      <c r="CS22" s="487">
        <f t="shared" si="72"/>
        <v>0.31333333333333324</v>
      </c>
      <c r="CT22" s="489">
        <f t="shared" si="72"/>
        <v>0.14999999999999991</v>
      </c>
      <c r="CU22" s="487">
        <f t="shared" si="72"/>
        <v>-2.0725388601036232E-2</v>
      </c>
      <c r="CV22" s="487">
        <f t="shared" si="72"/>
        <v>-0.38938053097345138</v>
      </c>
      <c r="CW22" s="487">
        <f t="shared" si="72"/>
        <v>2.0304568527918843E-2</v>
      </c>
      <c r="CX22" s="489">
        <f t="shared" si="72"/>
        <v>-6.7632850241545861E-2</v>
      </c>
      <c r="CY22" s="487">
        <f t="shared" si="72"/>
        <v>-0.29100529100529104</v>
      </c>
      <c r="CZ22" s="487">
        <f t="shared" si="72"/>
        <v>-1.4492753623188359E-2</v>
      </c>
      <c r="DA22" s="487">
        <f t="shared" si="72"/>
        <v>-0.28358208955223885</v>
      </c>
      <c r="DB22" s="489">
        <f t="shared" si="72"/>
        <v>-2.5906735751295318E-2</v>
      </c>
      <c r="DC22" s="487">
        <f t="shared" si="72"/>
        <v>0.20149253731343286</v>
      </c>
      <c r="DD22" s="487">
        <f t="shared" si="72"/>
        <v>0.27205882352941169</v>
      </c>
      <c r="DE22" s="487">
        <f t="shared" si="72"/>
        <v>-0.125</v>
      </c>
      <c r="DF22" s="489">
        <f t="shared" si="72"/>
        <v>-0.47872340425531912</v>
      </c>
      <c r="DG22" s="487">
        <f t="shared" si="72"/>
        <v>-0.13664596273291929</v>
      </c>
      <c r="DH22" s="487">
        <f t="shared" si="72"/>
        <v>-6.3583815028901758E-2</v>
      </c>
      <c r="DI22" s="654">
        <f t="shared" si="72"/>
        <v>0.1507936507936507</v>
      </c>
      <c r="DJ22" s="489">
        <f t="shared" si="72"/>
        <v>0.35714285714285721</v>
      </c>
      <c r="DK22" s="487">
        <f t="shared" si="72"/>
        <v>-0.48201438848920863</v>
      </c>
      <c r="DL22" s="487">
        <f t="shared" si="72"/>
        <v>-0.29629629629629628</v>
      </c>
      <c r="DM22" s="654">
        <f t="shared" si="72"/>
        <v>-0.3172413793103448</v>
      </c>
      <c r="DN22" s="487">
        <f t="shared" si="72"/>
        <v>-0.26315789473684215</v>
      </c>
      <c r="DO22" s="487">
        <f t="shared" si="72"/>
        <v>-23.736111111111111</v>
      </c>
      <c r="DP22" s="487">
        <f t="shared" si="72"/>
        <v>-0.21052631578947367</v>
      </c>
      <c r="DQ22" s="654">
        <f t="shared" si="72"/>
        <v>-0.31313131313131315</v>
      </c>
      <c r="DR22" s="487">
        <f t="shared" si="72"/>
        <v>-0.64285714285714279</v>
      </c>
      <c r="DS22" s="487">
        <f t="shared" si="72"/>
        <v>-1.0299328039095907</v>
      </c>
      <c r="DT22" s="487">
        <f t="shared" si="72"/>
        <v>-0.26666666666666672</v>
      </c>
      <c r="DU22" s="654">
        <f t="shared" si="72"/>
        <v>-0.30882352941176472</v>
      </c>
      <c r="DV22" s="487">
        <f t="shared" si="72"/>
        <v>0.88571428571428568</v>
      </c>
      <c r="DW22" s="487">
        <f t="shared" ref="DW22" si="73">IF(ISERROR(DW17/DS17-1),"NA",(DW17/DS17-1))</f>
        <v>0.26530612244897966</v>
      </c>
      <c r="DX22" s="487">
        <f t="shared" ref="DX22" si="74">IF(ISERROR(DX17/DT17-1),"NA",(DX17/DT17-1))</f>
        <v>6.0606060606060552E-2</v>
      </c>
      <c r="DY22" s="654">
        <f t="shared" ref="DY22" si="75">IF(ISERROR(DY17/DU17-1),"NA",(DY17/DU17-1))</f>
        <v>0.2978723404255319</v>
      </c>
    </row>
    <row r="23" spans="1:179">
      <c r="A23" s="171" t="s">
        <v>383</v>
      </c>
      <c r="B23" s="1044"/>
      <c r="C23" s="1044"/>
      <c r="D23" s="1044"/>
      <c r="E23" s="1050">
        <v>2600000</v>
      </c>
      <c r="F23" s="1050">
        <v>4800000</v>
      </c>
      <c r="G23" s="1044">
        <f>CG23</f>
        <v>6898500</v>
      </c>
      <c r="H23" s="1094">
        <f>CK23</f>
        <v>9350000</v>
      </c>
      <c r="I23" s="1094">
        <f>CO23</f>
        <v>11630000</v>
      </c>
      <c r="J23" s="1094">
        <f>+CS23</f>
        <v>12786000</v>
      </c>
      <c r="K23" s="1094">
        <f>+CW23</f>
        <v>13585000</v>
      </c>
      <c r="L23" s="1094">
        <f>+DA23</f>
        <v>14528000</v>
      </c>
      <c r="M23" s="1094">
        <f>+DE23</f>
        <v>15368000</v>
      </c>
      <c r="N23" s="1094">
        <f>+DI23</f>
        <v>16097323.600973237</v>
      </c>
      <c r="O23" s="1094">
        <f>+DM23</f>
        <v>16827751.196172249</v>
      </c>
      <c r="P23" s="1094">
        <f>+DQ23</f>
        <v>13992574.257425742</v>
      </c>
      <c r="Q23" s="1094">
        <f>+DU23</f>
        <v>14588528.678304238</v>
      </c>
      <c r="R23" s="1094">
        <f>+DY23</f>
        <v>15079749.834702317</v>
      </c>
      <c r="S23" s="1094">
        <f>S25*S9</f>
        <v>15661404.919848833</v>
      </c>
      <c r="T23" s="1094">
        <f>T25*T9</f>
        <v>16139362.46242209</v>
      </c>
      <c r="U23" s="1094">
        <f t="shared" ref="U23:Y23" si="76">U25*U9</f>
        <v>16564176.233708719</v>
      </c>
      <c r="V23" s="1094">
        <f t="shared" si="76"/>
        <v>16961770.619352035</v>
      </c>
      <c r="W23" s="1094">
        <f t="shared" si="76"/>
        <v>17345431.562173691</v>
      </c>
      <c r="X23" s="1094">
        <f t="shared" si="76"/>
        <v>17721963.90858452</v>
      </c>
      <c r="Y23" s="1094">
        <f t="shared" si="76"/>
        <v>18094851.019289937</v>
      </c>
      <c r="Z23" s="536"/>
      <c r="AA23" s="1044"/>
      <c r="AB23" s="1044"/>
      <c r="AC23" s="1044"/>
      <c r="AD23" s="1044"/>
      <c r="AE23" s="1044"/>
      <c r="AF23" s="1044"/>
      <c r="AG23" s="1044"/>
      <c r="AH23" s="1044"/>
      <c r="AI23" s="1044"/>
      <c r="AJ23" s="1044"/>
      <c r="AK23" s="1044"/>
      <c r="AL23" s="1044"/>
      <c r="AM23" s="1044"/>
      <c r="AN23" s="1044"/>
      <c r="AO23" s="1044"/>
      <c r="AP23" s="1044"/>
      <c r="AQ23" s="1044"/>
      <c r="AR23" s="1044"/>
      <c r="AS23" s="1044"/>
      <c r="AT23" s="1044"/>
      <c r="AU23" s="1044"/>
      <c r="AV23" s="1044"/>
      <c r="AW23" s="1044"/>
      <c r="AX23" s="1044"/>
      <c r="AY23" s="1044"/>
      <c r="AZ23" s="1044"/>
      <c r="BA23" s="1044"/>
      <c r="BB23" s="1044"/>
      <c r="BC23" s="1044"/>
      <c r="BD23" s="1044"/>
      <c r="BE23" s="1044"/>
      <c r="BF23" s="1044"/>
      <c r="BG23" s="1044"/>
      <c r="BH23" s="1044"/>
      <c r="BI23" s="1044"/>
      <c r="BJ23" s="1044"/>
      <c r="BK23" s="1044"/>
      <c r="BL23" s="1044"/>
      <c r="BM23" s="1044"/>
      <c r="BN23" s="1044"/>
      <c r="BO23" s="1044"/>
      <c r="BP23" s="1044"/>
      <c r="BQ23" s="1044"/>
      <c r="BR23" s="1044"/>
      <c r="BS23" s="1044"/>
      <c r="BT23" s="1044"/>
      <c r="BU23" s="1044"/>
      <c r="BV23" s="1044"/>
      <c r="BW23" s="1044"/>
      <c r="BX23" s="1044"/>
      <c r="BY23" s="536"/>
      <c r="BZ23" s="173">
        <v>2600000</v>
      </c>
      <c r="CA23" s="1044">
        <f>CA9*CA25</f>
        <v>3100000</v>
      </c>
      <c r="CB23" s="1044">
        <f>CB9*CB25</f>
        <v>3799999.9999999995</v>
      </c>
      <c r="CC23" s="174">
        <v>4800000</v>
      </c>
      <c r="CD23" s="173">
        <v>5200000</v>
      </c>
      <c r="CE23" s="1050">
        <v>5700000</v>
      </c>
      <c r="CF23" s="1050">
        <v>6495000</v>
      </c>
      <c r="CG23" s="1280">
        <f>7498500-600000</f>
        <v>6898500</v>
      </c>
      <c r="CH23" s="969">
        <f>7900000-600000</f>
        <v>7300000</v>
      </c>
      <c r="CI23" s="1280">
        <f>8350000-600000</f>
        <v>7750000</v>
      </c>
      <c r="CJ23" s="1280">
        <f>9100000-600000</f>
        <v>8500000</v>
      </c>
      <c r="CK23" s="1280">
        <f>9950000-600000</f>
        <v>9350000</v>
      </c>
      <c r="CL23" s="173">
        <v>9855000</v>
      </c>
      <c r="CM23" s="1050">
        <v>10414000</v>
      </c>
      <c r="CN23" s="1050">
        <v>10928000</v>
      </c>
      <c r="CO23" s="1050">
        <v>11630000</v>
      </c>
      <c r="CP23" s="173">
        <v>11968000</v>
      </c>
      <c r="CQ23" s="1050">
        <v>12258000</v>
      </c>
      <c r="CR23" s="1050">
        <v>12525000</v>
      </c>
      <c r="CS23" s="1050">
        <v>12786000</v>
      </c>
      <c r="CT23" s="173">
        <v>12962000</v>
      </c>
      <c r="CU23" s="1050">
        <v>13202000</v>
      </c>
      <c r="CV23" s="1050">
        <v>13358000</v>
      </c>
      <c r="CW23" s="1050">
        <v>13585000</v>
      </c>
      <c r="CX23" s="173">
        <v>13780000</v>
      </c>
      <c r="CY23" s="1050">
        <v>14044000</v>
      </c>
      <c r="CZ23" s="1050">
        <v>14283000</v>
      </c>
      <c r="DA23" s="1050">
        <v>14528000</v>
      </c>
      <c r="DB23" s="173">
        <v>14703000</v>
      </c>
      <c r="DC23" s="1050">
        <v>14943000</v>
      </c>
      <c r="DD23" s="1050">
        <v>15167000</v>
      </c>
      <c r="DE23" s="1050">
        <v>15368000</v>
      </c>
      <c r="DF23" s="173">
        <v>15530000</v>
      </c>
      <c r="DG23" s="1050">
        <f>+DG14/0.401</f>
        <v>15733167.082294263</v>
      </c>
      <c r="DH23" s="1050">
        <f>+DH14/0.406</f>
        <v>15938423.645320196</v>
      </c>
      <c r="DI23" s="174">
        <f>+DI14/0.411</f>
        <v>16097323.600973237</v>
      </c>
      <c r="DJ23" s="173">
        <f>+DJ14/0.415</f>
        <v>16262650.602409638</v>
      </c>
      <c r="DK23" s="1050">
        <f>+DK14/0.414</f>
        <v>16475845.410628021</v>
      </c>
      <c r="DL23" s="1050">
        <f>+DL14/0.417</f>
        <v>16630695.443645084</v>
      </c>
      <c r="DM23" s="174">
        <f>+DM14/0.418</f>
        <v>16827751.196172249</v>
      </c>
      <c r="DN23" s="1302">
        <f t="shared" ref="DN23:DS23" si="77">+DN14/DN27</f>
        <v>17021479.713603821</v>
      </c>
      <c r="DO23" s="1302">
        <f t="shared" si="77"/>
        <v>13703241.895261845</v>
      </c>
      <c r="DP23" s="1302">
        <f t="shared" si="77"/>
        <v>13824257.425742574</v>
      </c>
      <c r="DQ23" s="1482">
        <f t="shared" si="77"/>
        <v>13992574.257425742</v>
      </c>
      <c r="DR23" s="1302">
        <f t="shared" si="77"/>
        <v>14114143.920595532</v>
      </c>
      <c r="DS23" s="1302">
        <f t="shared" si="77"/>
        <v>14271144.278606964</v>
      </c>
      <c r="DT23" s="1302">
        <f t="shared" ref="DT23:DU23" si="78">+DT14/DT27</f>
        <v>14435323.383084577</v>
      </c>
      <c r="DU23" s="1482">
        <f t="shared" si="78"/>
        <v>14588528.678304238</v>
      </c>
      <c r="DV23" s="1302">
        <f t="shared" ref="DV23" si="79">+DV14/DV27</f>
        <v>14753117.206982544</v>
      </c>
      <c r="DW23" s="1044">
        <f t="shared" ref="DW23:DY23" si="80">DW25*DW9</f>
        <v>14861994.749555802</v>
      </c>
      <c r="DX23" s="1044">
        <f t="shared" si="80"/>
        <v>14970872.292129058</v>
      </c>
      <c r="DY23" s="172">
        <f t="shared" si="80"/>
        <v>15079749.834702317</v>
      </c>
    </row>
    <row r="24" spans="1:179">
      <c r="A24" s="762" t="s">
        <v>384</v>
      </c>
      <c r="B24" s="1286"/>
      <c r="C24" s="1044"/>
      <c r="D24" s="1044"/>
      <c r="E24" s="1044">
        <f t="shared" ref="E24:T24" si="81">E23-D23</f>
        <v>2600000</v>
      </c>
      <c r="F24" s="1044">
        <f t="shared" si="81"/>
        <v>2200000</v>
      </c>
      <c r="G24" s="1044">
        <f t="shared" si="81"/>
        <v>2098500</v>
      </c>
      <c r="H24" s="1094">
        <f t="shared" si="81"/>
        <v>2451500</v>
      </c>
      <c r="I24" s="1094">
        <f t="shared" si="81"/>
        <v>2280000</v>
      </c>
      <c r="J24" s="1094">
        <f t="shared" si="81"/>
        <v>1156000</v>
      </c>
      <c r="K24" s="1094">
        <f t="shared" si="81"/>
        <v>799000</v>
      </c>
      <c r="L24" s="1094">
        <f t="shared" si="81"/>
        <v>943000</v>
      </c>
      <c r="M24" s="1094">
        <f t="shared" si="81"/>
        <v>840000</v>
      </c>
      <c r="N24" s="1094">
        <f t="shared" si="81"/>
        <v>729323.60097323731</v>
      </c>
      <c r="O24" s="1094">
        <f>O23-N23</f>
        <v>730427.59519901127</v>
      </c>
      <c r="P24" s="1094">
        <f>P23-O23</f>
        <v>-2835176.9387465063</v>
      </c>
      <c r="Q24" s="1094">
        <f>Q23-P23</f>
        <v>595954.42087849602</v>
      </c>
      <c r="R24" s="1094">
        <f>R23-Q23</f>
        <v>491221.15639807843</v>
      </c>
      <c r="S24" s="1094">
        <f t="shared" si="81"/>
        <v>581655.08514651656</v>
      </c>
      <c r="T24" s="1094">
        <f t="shared" si="81"/>
        <v>477957.54257325642</v>
      </c>
      <c r="U24" s="1094">
        <f t="shared" ref="U24" si="82">U23-T23</f>
        <v>424813.77128662914</v>
      </c>
      <c r="V24" s="1094">
        <f t="shared" ref="V24" si="83">V23-U23</f>
        <v>397594.38564331643</v>
      </c>
      <c r="W24" s="1094">
        <f t="shared" ref="W24" si="84">W23-V23</f>
        <v>383660.94282165542</v>
      </c>
      <c r="X24" s="1094">
        <f t="shared" ref="X24" si="85">X23-W23</f>
        <v>376532.34641082957</v>
      </c>
      <c r="Y24" s="1094">
        <f t="shared" ref="Y24" si="86">Y23-X23</f>
        <v>372887.11070541665</v>
      </c>
      <c r="Z24" s="536"/>
      <c r="AA24" s="1044"/>
      <c r="AB24" s="1044"/>
      <c r="AC24" s="1044"/>
      <c r="AD24" s="1044"/>
      <c r="AE24" s="1044"/>
      <c r="AF24" s="1044"/>
      <c r="AG24" s="1044"/>
      <c r="AH24" s="1044"/>
      <c r="AI24" s="1044"/>
      <c r="AJ24" s="1044"/>
      <c r="AK24" s="1044"/>
      <c r="AL24" s="1044"/>
      <c r="AM24" s="1044"/>
      <c r="AN24" s="1044"/>
      <c r="AO24" s="1044"/>
      <c r="AP24" s="1044"/>
      <c r="AQ24" s="1044"/>
      <c r="AR24" s="1044"/>
      <c r="AS24" s="1044"/>
      <c r="AT24" s="1044"/>
      <c r="AU24" s="1044"/>
      <c r="AV24" s="1044"/>
      <c r="AW24" s="1044"/>
      <c r="AX24" s="1044"/>
      <c r="AY24" s="1044"/>
      <c r="AZ24" s="1044"/>
      <c r="BA24" s="1044"/>
      <c r="BB24" s="1044"/>
      <c r="BC24" s="1044"/>
      <c r="BD24" s="1044"/>
      <c r="BE24" s="1044"/>
      <c r="BF24" s="1044"/>
      <c r="BG24" s="1044"/>
      <c r="BH24" s="1044"/>
      <c r="BI24" s="1044"/>
      <c r="BJ24" s="1044"/>
      <c r="BK24" s="1044"/>
      <c r="BL24" s="1044"/>
      <c r="BM24" s="1044"/>
      <c r="BN24" s="1044"/>
      <c r="BO24" s="1044"/>
      <c r="BP24" s="1044"/>
      <c r="BQ24" s="1044"/>
      <c r="BR24" s="1044"/>
      <c r="BS24" s="1044"/>
      <c r="BT24" s="1044"/>
      <c r="BU24" s="1044"/>
      <c r="BV24" s="1044"/>
      <c r="BW24" s="1044"/>
      <c r="BX24" s="1044"/>
      <c r="BY24" s="536"/>
      <c r="BZ24" s="171">
        <f t="shared" ref="BZ24:CY24" si="87">BZ23-BY23</f>
        <v>2600000</v>
      </c>
      <c r="CA24" s="1044">
        <f t="shared" si="87"/>
        <v>500000</v>
      </c>
      <c r="CB24" s="1044">
        <f t="shared" si="87"/>
        <v>699999.99999999953</v>
      </c>
      <c r="CC24" s="172">
        <f t="shared" si="87"/>
        <v>1000000.0000000005</v>
      </c>
      <c r="CD24" s="171">
        <f t="shared" si="87"/>
        <v>400000</v>
      </c>
      <c r="CE24" s="1044">
        <f t="shared" si="87"/>
        <v>500000</v>
      </c>
      <c r="CF24" s="1044">
        <f t="shared" si="87"/>
        <v>795000</v>
      </c>
      <c r="CG24" s="1044">
        <f t="shared" si="87"/>
        <v>403500</v>
      </c>
      <c r="CH24" s="171">
        <f t="shared" si="87"/>
        <v>401500</v>
      </c>
      <c r="CI24" s="1044">
        <f t="shared" si="87"/>
        <v>450000</v>
      </c>
      <c r="CJ24" s="1044">
        <f t="shared" si="87"/>
        <v>750000</v>
      </c>
      <c r="CK24" s="1044">
        <f t="shared" si="87"/>
        <v>850000</v>
      </c>
      <c r="CL24" s="171">
        <f t="shared" si="87"/>
        <v>505000</v>
      </c>
      <c r="CM24" s="1044">
        <f t="shared" si="87"/>
        <v>559000</v>
      </c>
      <c r="CN24" s="1044">
        <f t="shared" si="87"/>
        <v>514000</v>
      </c>
      <c r="CO24" s="1044">
        <f t="shared" si="87"/>
        <v>702000</v>
      </c>
      <c r="CP24" s="171">
        <f t="shared" si="87"/>
        <v>338000</v>
      </c>
      <c r="CQ24" s="1044">
        <f t="shared" si="87"/>
        <v>290000</v>
      </c>
      <c r="CR24" s="1044">
        <f t="shared" si="87"/>
        <v>267000</v>
      </c>
      <c r="CS24" s="1044">
        <f t="shared" si="87"/>
        <v>261000</v>
      </c>
      <c r="CT24" s="171">
        <f t="shared" si="87"/>
        <v>176000</v>
      </c>
      <c r="CU24" s="1044">
        <f t="shared" si="87"/>
        <v>240000</v>
      </c>
      <c r="CV24" s="1044">
        <f t="shared" si="87"/>
        <v>156000</v>
      </c>
      <c r="CW24" s="1044">
        <f t="shared" si="87"/>
        <v>227000</v>
      </c>
      <c r="CX24" s="171">
        <f t="shared" si="87"/>
        <v>195000</v>
      </c>
      <c r="CY24" s="1044">
        <f t="shared" si="87"/>
        <v>264000</v>
      </c>
      <c r="CZ24" s="1044">
        <f t="shared" ref="CZ24:DV24" si="88">+CZ23-CY23</f>
        <v>239000</v>
      </c>
      <c r="DA24" s="1044">
        <f t="shared" si="88"/>
        <v>245000</v>
      </c>
      <c r="DB24" s="171">
        <f t="shared" si="88"/>
        <v>175000</v>
      </c>
      <c r="DC24" s="1044">
        <f t="shared" si="88"/>
        <v>240000</v>
      </c>
      <c r="DD24" s="1044">
        <f t="shared" si="88"/>
        <v>224000</v>
      </c>
      <c r="DE24" s="1044">
        <f t="shared" si="88"/>
        <v>201000</v>
      </c>
      <c r="DF24" s="171">
        <f>+DF23-DE23</f>
        <v>162000</v>
      </c>
      <c r="DG24" s="1044">
        <f t="shared" si="88"/>
        <v>203167.08229426295</v>
      </c>
      <c r="DH24" s="1044">
        <f t="shared" si="88"/>
        <v>205256.56302593276</v>
      </c>
      <c r="DI24" s="172">
        <f t="shared" si="88"/>
        <v>158899.9556530416</v>
      </c>
      <c r="DJ24" s="171">
        <f t="shared" si="88"/>
        <v>165327.00143640116</v>
      </c>
      <c r="DK24" s="1044">
        <f t="shared" si="88"/>
        <v>213194.8082183823</v>
      </c>
      <c r="DL24" s="1044">
        <f t="shared" si="88"/>
        <v>154850.03301706351</v>
      </c>
      <c r="DM24" s="172">
        <f t="shared" si="88"/>
        <v>197055.7525271643</v>
      </c>
      <c r="DN24" s="1044">
        <f t="shared" si="88"/>
        <v>193728.51743157208</v>
      </c>
      <c r="DO24" s="1044">
        <f t="shared" si="88"/>
        <v>-3318237.818341976</v>
      </c>
      <c r="DP24" s="1044">
        <f t="shared" si="88"/>
        <v>121015.53048072942</v>
      </c>
      <c r="DQ24" s="172">
        <f t="shared" si="88"/>
        <v>168316.83168316819</v>
      </c>
      <c r="DR24" s="1044">
        <f t="shared" si="88"/>
        <v>121569.66316979006</v>
      </c>
      <c r="DS24" s="1044">
        <f t="shared" si="88"/>
        <v>157000.35801143199</v>
      </c>
      <c r="DT24" s="1044">
        <f t="shared" si="88"/>
        <v>164179.1044776123</v>
      </c>
      <c r="DU24" s="172">
        <f t="shared" si="88"/>
        <v>153205.29521966167</v>
      </c>
      <c r="DV24" s="1044">
        <f t="shared" si="88"/>
        <v>164588.52867830545</v>
      </c>
      <c r="DW24" s="1044">
        <f t="shared" ref="DW24" si="89">DW23-DV23</f>
        <v>108877.54257325828</v>
      </c>
      <c r="DX24" s="1044">
        <f t="shared" ref="DX24" si="90">DX23-DW23</f>
        <v>108877.54257325642</v>
      </c>
      <c r="DY24" s="172">
        <f t="shared" ref="DY24" si="91">DY23-DX23</f>
        <v>108877.54257325828</v>
      </c>
    </row>
    <row r="25" spans="1:179">
      <c r="A25" s="1265" t="s">
        <v>323</v>
      </c>
      <c r="B25" s="1045"/>
      <c r="C25" s="1045"/>
      <c r="D25" s="1045"/>
      <c r="E25" s="1045">
        <f t="shared" ref="E25:N25" si="92">E23/E9</f>
        <v>0.8666666666666667</v>
      </c>
      <c r="F25" s="1045">
        <f t="shared" si="92"/>
        <v>0.8</v>
      </c>
      <c r="G25" s="1045">
        <f t="shared" si="92"/>
        <v>0.71118556701030933</v>
      </c>
      <c r="H25" s="1069">
        <f t="shared" si="92"/>
        <v>0.78242677824267781</v>
      </c>
      <c r="I25" s="1069">
        <f t="shared" si="92"/>
        <v>0.79385665529010241</v>
      </c>
      <c r="J25" s="1069">
        <f t="shared" si="92"/>
        <v>0.81961538461538463</v>
      </c>
      <c r="K25" s="1069">
        <f t="shared" si="92"/>
        <v>0.82333333333333336</v>
      </c>
      <c r="L25" s="1069">
        <f t="shared" si="92"/>
        <v>0.82545454545454544</v>
      </c>
      <c r="M25" s="1069">
        <f t="shared" si="92"/>
        <v>0.826236559139785</v>
      </c>
      <c r="N25" s="1069">
        <f t="shared" si="92"/>
        <v>0.8129961414632948</v>
      </c>
      <c r="O25" s="1069">
        <f>O23/O9</f>
        <v>0.82086591200840242</v>
      </c>
      <c r="P25" s="1069">
        <f>P23/P9</f>
        <v>0.8279629738121741</v>
      </c>
      <c r="Q25" s="1069">
        <f>Q23/Q9</f>
        <v>0.83755475245747146</v>
      </c>
      <c r="R25" s="1069">
        <f>R23/R9</f>
        <v>0.84075322450392043</v>
      </c>
      <c r="S25" s="1095">
        <f>+R25+0.02</f>
        <v>0.86075322450392044</v>
      </c>
      <c r="T25" s="1095">
        <f>+S25+0.02</f>
        <v>0.88075322450392046</v>
      </c>
      <c r="U25" s="1095">
        <f t="shared" ref="U25:Y25" si="93">+T25+0.02</f>
        <v>0.90075322450392048</v>
      </c>
      <c r="V25" s="1095">
        <f t="shared" si="93"/>
        <v>0.9207532245039205</v>
      </c>
      <c r="W25" s="1095">
        <f t="shared" si="93"/>
        <v>0.94075322450392052</v>
      </c>
      <c r="X25" s="1095">
        <f t="shared" si="93"/>
        <v>0.96075322450392053</v>
      </c>
      <c r="Y25" s="1095">
        <f t="shared" si="93"/>
        <v>0.98075322450392055</v>
      </c>
      <c r="Z25" s="138"/>
      <c r="AA25" s="1045"/>
      <c r="AB25" s="1045"/>
      <c r="AC25" s="1045"/>
      <c r="AD25" s="1045"/>
      <c r="AE25" s="1045"/>
      <c r="AF25" s="1045"/>
      <c r="AG25" s="1045"/>
      <c r="AH25" s="1045"/>
      <c r="AI25" s="1045"/>
      <c r="AJ25" s="1045"/>
      <c r="AK25" s="1045"/>
      <c r="AL25" s="1045"/>
      <c r="AM25" s="1045"/>
      <c r="AN25" s="1045"/>
      <c r="AO25" s="1045"/>
      <c r="AP25" s="1045"/>
      <c r="AQ25" s="1045"/>
      <c r="AR25" s="1045"/>
      <c r="AS25" s="1045"/>
      <c r="AT25" s="1045"/>
      <c r="AU25" s="1045"/>
      <c r="AV25" s="1045"/>
      <c r="AW25" s="1045"/>
      <c r="AX25" s="1045"/>
      <c r="AY25" s="1045"/>
      <c r="AZ25" s="1045"/>
      <c r="BA25" s="1045"/>
      <c r="BB25" s="1045"/>
      <c r="BC25" s="1045"/>
      <c r="BD25" s="1045"/>
      <c r="BE25" s="1045"/>
      <c r="BF25" s="1045"/>
      <c r="BG25" s="1045"/>
      <c r="BH25" s="1045"/>
      <c r="BI25" s="1045"/>
      <c r="BJ25" s="1045"/>
      <c r="BK25" s="1045"/>
      <c r="BL25" s="1045"/>
      <c r="BM25" s="1045"/>
      <c r="BN25" s="1045"/>
      <c r="BO25" s="1045"/>
      <c r="BP25" s="1045"/>
      <c r="BQ25" s="1045"/>
      <c r="BR25" s="1045"/>
      <c r="BS25" s="1045"/>
      <c r="BT25" s="1045"/>
      <c r="BU25" s="1045"/>
      <c r="BV25" s="1045"/>
      <c r="BW25" s="1045"/>
      <c r="BX25" s="1045"/>
      <c r="BY25" s="138"/>
      <c r="BZ25" s="147"/>
      <c r="CA25" s="1272">
        <v>0.70454545454545459</v>
      </c>
      <c r="CB25" s="1272">
        <v>0.71698113207547165</v>
      </c>
      <c r="CC25" s="101">
        <f t="shared" ref="CC25:DE25" si="94">CC23/CC9</f>
        <v>0.8</v>
      </c>
      <c r="CD25" s="147">
        <f t="shared" si="94"/>
        <v>0.76470588235294112</v>
      </c>
      <c r="CE25" s="1045">
        <f t="shared" si="94"/>
        <v>0.75019742037378256</v>
      </c>
      <c r="CF25" s="1045">
        <f t="shared" si="94"/>
        <v>0.76411764705882357</v>
      </c>
      <c r="CG25" s="1045">
        <f t="shared" si="94"/>
        <v>0.71118556701030933</v>
      </c>
      <c r="CH25" s="147">
        <f t="shared" si="94"/>
        <v>0.75647668393782386</v>
      </c>
      <c r="CI25" s="1045">
        <f t="shared" si="94"/>
        <v>0.75609756097560976</v>
      </c>
      <c r="CJ25" s="1045">
        <f t="shared" si="94"/>
        <v>0.7623318385650224</v>
      </c>
      <c r="CK25" s="1045">
        <f t="shared" si="94"/>
        <v>0.78242677824267781</v>
      </c>
      <c r="CL25" s="147">
        <f t="shared" si="94"/>
        <v>0.79156626506024097</v>
      </c>
      <c r="CM25" s="1045">
        <f t="shared" si="94"/>
        <v>0.79556913674560736</v>
      </c>
      <c r="CN25" s="1045">
        <f t="shared" si="94"/>
        <v>0.79476363636363634</v>
      </c>
      <c r="CO25" s="1045">
        <f t="shared" si="94"/>
        <v>0.79385665529010241</v>
      </c>
      <c r="CP25" s="147">
        <f t="shared" si="94"/>
        <v>0.80592592592592593</v>
      </c>
      <c r="CQ25" s="1045">
        <f t="shared" si="94"/>
        <v>0.80910891089108916</v>
      </c>
      <c r="CR25" s="1045">
        <f t="shared" si="94"/>
        <v>0.81331168831168832</v>
      </c>
      <c r="CS25" s="1045">
        <f t="shared" si="94"/>
        <v>0.81961538461538463</v>
      </c>
      <c r="CT25" s="147">
        <f t="shared" si="94"/>
        <v>0.82037974683544301</v>
      </c>
      <c r="CU25" s="1045">
        <f t="shared" si="94"/>
        <v>0.82</v>
      </c>
      <c r="CV25" s="1045">
        <f t="shared" si="94"/>
        <v>0.82846475396618668</v>
      </c>
      <c r="CW25" s="1045">
        <f t="shared" si="94"/>
        <v>0.82333333333333336</v>
      </c>
      <c r="CX25" s="147">
        <f t="shared" si="94"/>
        <v>0.83012048192771082</v>
      </c>
      <c r="CY25" s="1045">
        <f t="shared" si="94"/>
        <v>0.82611764705882351</v>
      </c>
      <c r="CZ25" s="1045">
        <f t="shared" si="94"/>
        <v>0.82086206896551728</v>
      </c>
      <c r="DA25" s="1045">
        <f t="shared" si="94"/>
        <v>0.82545454545454544</v>
      </c>
      <c r="DB25" s="147">
        <f t="shared" si="94"/>
        <v>0.82833802816901403</v>
      </c>
      <c r="DC25" s="1045">
        <f t="shared" si="94"/>
        <v>0.83718975852988964</v>
      </c>
      <c r="DD25" s="1045">
        <f t="shared" si="94"/>
        <v>0.82879781420765031</v>
      </c>
      <c r="DE25" s="1045">
        <f t="shared" si="94"/>
        <v>0.826236559139785</v>
      </c>
      <c r="DF25" s="147">
        <f t="shared" ref="DF25:DK25" si="95">DF23/DF9</f>
        <v>0.8216931216931217</v>
      </c>
      <c r="DG25" s="1045">
        <f t="shared" si="95"/>
        <v>0.8151900042639515</v>
      </c>
      <c r="DH25" s="1045">
        <f t="shared" si="95"/>
        <v>0.80905703783351246</v>
      </c>
      <c r="DI25" s="101">
        <f t="shared" si="95"/>
        <v>0.8129961414632948</v>
      </c>
      <c r="DJ25" s="147">
        <f t="shared" si="95"/>
        <v>0.81940094736784597</v>
      </c>
      <c r="DK25" s="1045">
        <f t="shared" si="95"/>
        <v>0.8280151477851051</v>
      </c>
      <c r="DL25" s="1045">
        <f t="shared" ref="DL25:DQ25" si="96">DL23/DL9</f>
        <v>0.83370239841814142</v>
      </c>
      <c r="DM25" s="101">
        <f t="shared" si="96"/>
        <v>0.82086591200840242</v>
      </c>
      <c r="DN25" s="1045">
        <f t="shared" si="96"/>
        <v>0.82328801516826222</v>
      </c>
      <c r="DO25" s="1045">
        <f t="shared" si="96"/>
        <v>0.83648161978158009</v>
      </c>
      <c r="DP25" s="1045">
        <f t="shared" si="96"/>
        <v>0.83333880437293228</v>
      </c>
      <c r="DQ25" s="101">
        <f t="shared" si="96"/>
        <v>0.8279629738121741</v>
      </c>
      <c r="DR25" s="1045">
        <f t="shared" ref="DR25:DS25" si="97">DR23/DR9</f>
        <v>0.82880553865912288</v>
      </c>
      <c r="DS25" s="1045">
        <f t="shared" si="97"/>
        <v>0.83170023186706477</v>
      </c>
      <c r="DT25" s="1045">
        <f t="shared" ref="DT25:DU25" si="98">DT23/DT9</f>
        <v>0.83496679197643386</v>
      </c>
      <c r="DU25" s="101">
        <f t="shared" si="98"/>
        <v>0.83755475245747146</v>
      </c>
      <c r="DV25" s="1045">
        <f t="shared" ref="DV25" si="99">DV23/DV9</f>
        <v>0.84075322450392043</v>
      </c>
      <c r="DW25" s="1059">
        <f t="shared" ref="DW25" si="100">+DV25</f>
        <v>0.84075322450392043</v>
      </c>
      <c r="DX25" s="1059">
        <f t="shared" ref="DX25" si="101">+DW25</f>
        <v>0.84075322450392043</v>
      </c>
      <c r="DY25" s="166">
        <f t="shared" ref="DY25" si="102">+DX25</f>
        <v>0.84075322450392043</v>
      </c>
    </row>
    <row r="26" spans="1:179">
      <c r="A26" s="171" t="s">
        <v>385</v>
      </c>
      <c r="B26" s="1044"/>
      <c r="C26" s="1044"/>
      <c r="D26" s="1044"/>
      <c r="E26" s="1044">
        <f t="shared" ref="E26:T26" si="103">AVERAGE(D23:E23)</f>
        <v>2600000</v>
      </c>
      <c r="F26" s="1044">
        <f t="shared" si="103"/>
        <v>3700000</v>
      </c>
      <c r="G26" s="1044">
        <f t="shared" si="103"/>
        <v>5849250</v>
      </c>
      <c r="H26" s="1094">
        <f t="shared" si="103"/>
        <v>8124250</v>
      </c>
      <c r="I26" s="1094">
        <f t="shared" si="103"/>
        <v>10490000</v>
      </c>
      <c r="J26" s="1094">
        <f t="shared" si="103"/>
        <v>12208000</v>
      </c>
      <c r="K26" s="1094">
        <f t="shared" si="103"/>
        <v>13185500</v>
      </c>
      <c r="L26" s="1094">
        <f t="shared" si="103"/>
        <v>14056500</v>
      </c>
      <c r="M26" s="1094">
        <f t="shared" si="103"/>
        <v>14948000</v>
      </c>
      <c r="N26" s="1094">
        <f t="shared" si="103"/>
        <v>15732661.800486619</v>
      </c>
      <c r="O26" s="1094">
        <f>AVERAGE(N23:O23)</f>
        <v>16462537.398572743</v>
      </c>
      <c r="P26" s="1094">
        <f>AVERAGE(O23:P23)</f>
        <v>15410162.726798996</v>
      </c>
      <c r="Q26" s="1094">
        <f>AVERAGE(P23:Q23)</f>
        <v>14290551.46786499</v>
      </c>
      <c r="R26" s="1094">
        <f>AVERAGE(Q23:R23)</f>
        <v>14834139.256503277</v>
      </c>
      <c r="S26" s="1094">
        <f t="shared" si="103"/>
        <v>15370577.377275575</v>
      </c>
      <c r="T26" s="1094">
        <f t="shared" si="103"/>
        <v>15900383.691135462</v>
      </c>
      <c r="U26" s="1094">
        <f t="shared" ref="U26" si="104">AVERAGE(T23:U23)</f>
        <v>16351769.348065404</v>
      </c>
      <c r="V26" s="1094">
        <f t="shared" ref="V26" si="105">AVERAGE(U23:V23)</f>
        <v>16762973.426530376</v>
      </c>
      <c r="W26" s="1094">
        <f t="shared" ref="W26" si="106">AVERAGE(V23:W23)</f>
        <v>17153601.090762861</v>
      </c>
      <c r="X26" s="1094">
        <f t="shared" ref="X26" si="107">AVERAGE(W23:X23)</f>
        <v>17533697.735379107</v>
      </c>
      <c r="Y26" s="1094">
        <f t="shared" ref="Y26" si="108">AVERAGE(X23:Y23)</f>
        <v>17908407.46393723</v>
      </c>
      <c r="Z26" s="536"/>
      <c r="AA26" s="1044"/>
      <c r="AB26" s="1044"/>
      <c r="AC26" s="1044"/>
      <c r="AD26" s="1044"/>
      <c r="AE26" s="1044"/>
      <c r="AF26" s="1044"/>
      <c r="AG26" s="1044"/>
      <c r="AH26" s="1044"/>
      <c r="AI26" s="1044"/>
      <c r="AJ26" s="1044"/>
      <c r="AK26" s="1044"/>
      <c r="AL26" s="1044"/>
      <c r="AM26" s="1044"/>
      <c r="AN26" s="1044"/>
      <c r="AO26" s="1044"/>
      <c r="AP26" s="1044"/>
      <c r="AQ26" s="1044"/>
      <c r="AR26" s="1044"/>
      <c r="AS26" s="1044"/>
      <c r="AT26" s="1044"/>
      <c r="AU26" s="1044"/>
      <c r="AV26" s="1044"/>
      <c r="AW26" s="1044"/>
      <c r="AX26" s="1044"/>
      <c r="AY26" s="1044"/>
      <c r="AZ26" s="1044"/>
      <c r="BA26" s="1044"/>
      <c r="BB26" s="1044"/>
      <c r="BC26" s="1044"/>
      <c r="BD26" s="1044"/>
      <c r="BE26" s="1044"/>
      <c r="BF26" s="1044"/>
      <c r="BG26" s="1044"/>
      <c r="BH26" s="1044"/>
      <c r="BI26" s="1044"/>
      <c r="BJ26" s="1044"/>
      <c r="BK26" s="1044"/>
      <c r="BL26" s="1044"/>
      <c r="BM26" s="1044"/>
      <c r="BN26" s="1044"/>
      <c r="BO26" s="1044"/>
      <c r="BP26" s="1044"/>
      <c r="BQ26" s="1044"/>
      <c r="BR26" s="1044"/>
      <c r="BS26" s="1044"/>
      <c r="BT26" s="1044"/>
      <c r="BU26" s="1044"/>
      <c r="BV26" s="1044"/>
      <c r="BW26" s="1044"/>
      <c r="BX26" s="1044"/>
      <c r="BY26" s="536"/>
      <c r="BZ26" s="171">
        <f t="shared" ref="BZ26:DV26" si="109">AVERAGE(BY23:BZ23)</f>
        <v>2600000</v>
      </c>
      <c r="CA26" s="1044">
        <f t="shared" si="109"/>
        <v>2850000</v>
      </c>
      <c r="CB26" s="1044">
        <f t="shared" si="109"/>
        <v>3450000</v>
      </c>
      <c r="CC26" s="172">
        <f t="shared" si="109"/>
        <v>4300000</v>
      </c>
      <c r="CD26" s="171">
        <f t="shared" si="109"/>
        <v>5000000</v>
      </c>
      <c r="CE26" s="1044">
        <f t="shared" si="109"/>
        <v>5450000</v>
      </c>
      <c r="CF26" s="1044">
        <f t="shared" si="109"/>
        <v>6097500</v>
      </c>
      <c r="CG26" s="1044">
        <f t="shared" si="109"/>
        <v>6696750</v>
      </c>
      <c r="CH26" s="171">
        <f t="shared" si="109"/>
        <v>7099250</v>
      </c>
      <c r="CI26" s="1044">
        <f t="shared" si="109"/>
        <v>7525000</v>
      </c>
      <c r="CJ26" s="1044">
        <f t="shared" si="109"/>
        <v>8125000</v>
      </c>
      <c r="CK26" s="1044">
        <f t="shared" si="109"/>
        <v>8925000</v>
      </c>
      <c r="CL26" s="171">
        <f t="shared" si="109"/>
        <v>9602500</v>
      </c>
      <c r="CM26" s="1044">
        <f t="shared" si="109"/>
        <v>10134500</v>
      </c>
      <c r="CN26" s="1044">
        <f t="shared" si="109"/>
        <v>10671000</v>
      </c>
      <c r="CO26" s="1044">
        <f t="shared" si="109"/>
        <v>11279000</v>
      </c>
      <c r="CP26" s="171">
        <f t="shared" si="109"/>
        <v>11799000</v>
      </c>
      <c r="CQ26" s="1044">
        <f t="shared" si="109"/>
        <v>12113000</v>
      </c>
      <c r="CR26" s="1044">
        <f t="shared" si="109"/>
        <v>12391500</v>
      </c>
      <c r="CS26" s="1044">
        <f t="shared" si="109"/>
        <v>12655500</v>
      </c>
      <c r="CT26" s="171">
        <f t="shared" si="109"/>
        <v>12874000</v>
      </c>
      <c r="CU26" s="1044">
        <f t="shared" si="109"/>
        <v>13082000</v>
      </c>
      <c r="CV26" s="1044">
        <f t="shared" si="109"/>
        <v>13280000</v>
      </c>
      <c r="CW26" s="1044">
        <f t="shared" si="109"/>
        <v>13471500</v>
      </c>
      <c r="CX26" s="171">
        <f t="shared" si="109"/>
        <v>13682500</v>
      </c>
      <c r="CY26" s="1044">
        <f t="shared" si="109"/>
        <v>13912000</v>
      </c>
      <c r="CZ26" s="1044">
        <f t="shared" si="109"/>
        <v>14163500</v>
      </c>
      <c r="DA26" s="1044">
        <f t="shared" si="109"/>
        <v>14405500</v>
      </c>
      <c r="DB26" s="171">
        <f t="shared" si="109"/>
        <v>14615500</v>
      </c>
      <c r="DC26" s="1044">
        <f t="shared" si="109"/>
        <v>14823000</v>
      </c>
      <c r="DD26" s="1044">
        <f t="shared" si="109"/>
        <v>15055000</v>
      </c>
      <c r="DE26" s="1044">
        <f t="shared" si="109"/>
        <v>15267500</v>
      </c>
      <c r="DF26" s="171">
        <f t="shared" si="109"/>
        <v>15449000</v>
      </c>
      <c r="DG26" s="1044">
        <f t="shared" si="109"/>
        <v>15631583.541147131</v>
      </c>
      <c r="DH26" s="1044">
        <f t="shared" si="109"/>
        <v>15835795.363807229</v>
      </c>
      <c r="DI26" s="172">
        <f t="shared" si="109"/>
        <v>16017873.623146717</v>
      </c>
      <c r="DJ26" s="171">
        <f t="shared" si="109"/>
        <v>16179987.101691438</v>
      </c>
      <c r="DK26" s="1044">
        <f t="shared" si="109"/>
        <v>16369248.00651883</v>
      </c>
      <c r="DL26" s="1044">
        <f t="shared" si="109"/>
        <v>16553270.427136552</v>
      </c>
      <c r="DM26" s="172">
        <f t="shared" si="109"/>
        <v>16729223.319908667</v>
      </c>
      <c r="DN26" s="1044">
        <f t="shared" si="109"/>
        <v>16924615.454888035</v>
      </c>
      <c r="DO26" s="1044">
        <f t="shared" si="109"/>
        <v>15362360.804432832</v>
      </c>
      <c r="DP26" s="1044">
        <f t="shared" si="109"/>
        <v>13763749.66050221</v>
      </c>
      <c r="DQ26" s="172">
        <f t="shared" si="109"/>
        <v>13908415.841584157</v>
      </c>
      <c r="DR26" s="1044">
        <f t="shared" si="109"/>
        <v>14053359.089010637</v>
      </c>
      <c r="DS26" s="1044">
        <f t="shared" si="109"/>
        <v>14192644.099601248</v>
      </c>
      <c r="DT26" s="1044">
        <f t="shared" si="109"/>
        <v>14353233.830845769</v>
      </c>
      <c r="DU26" s="172">
        <f t="shared" si="109"/>
        <v>14511926.030694406</v>
      </c>
      <c r="DV26" s="1044">
        <f t="shared" si="109"/>
        <v>14670822.942643391</v>
      </c>
      <c r="DW26" s="1044">
        <f t="shared" ref="DW26" si="110">AVERAGE(DV23:DW23)</f>
        <v>14807555.978269173</v>
      </c>
      <c r="DX26" s="1044">
        <f t="shared" ref="DX26" si="111">AVERAGE(DW23:DX23)</f>
        <v>14916433.520842429</v>
      </c>
      <c r="DY26" s="172">
        <f t="shared" ref="DY26" si="112">AVERAGE(DX23:DY23)</f>
        <v>15025311.063415688</v>
      </c>
    </row>
    <row r="27" spans="1:179" s="3061" customFormat="1">
      <c r="A27" s="3136" t="s">
        <v>386</v>
      </c>
      <c r="B27" s="2727"/>
      <c r="C27" s="2727"/>
      <c r="D27" s="2727"/>
      <c r="E27" s="2727">
        <f>E14/E23</f>
        <v>6.5000000000000002E-2</v>
      </c>
      <c r="F27" s="2727">
        <f t="shared" ref="F27:N27" si="113">F14/F23</f>
        <v>0.143125</v>
      </c>
      <c r="G27" s="2727">
        <f t="shared" si="113"/>
        <v>0.2107704573457998</v>
      </c>
      <c r="H27" s="3137">
        <f t="shared" si="113"/>
        <v>0.25358288770053478</v>
      </c>
      <c r="I27" s="3137">
        <f t="shared" si="113"/>
        <v>0.28254514187446261</v>
      </c>
      <c r="J27" s="3137">
        <f t="shared" si="113"/>
        <v>0.31925543563272329</v>
      </c>
      <c r="K27" s="3137">
        <f t="shared" si="113"/>
        <v>0.35458225984541775</v>
      </c>
      <c r="L27" s="3137">
        <f t="shared" si="113"/>
        <v>0.37334801762114539</v>
      </c>
      <c r="M27" s="3137">
        <f t="shared" si="113"/>
        <v>0.39510671525247265</v>
      </c>
      <c r="N27" s="3137">
        <f t="shared" si="113"/>
        <v>0.41099999999999998</v>
      </c>
      <c r="O27" s="3137">
        <f t="shared" ref="O27:T27" si="114">O14/O23</f>
        <v>0.41799999999999998</v>
      </c>
      <c r="P27" s="3137">
        <f t="shared" si="114"/>
        <v>0.40400000000000003</v>
      </c>
      <c r="Q27" s="3137">
        <f t="shared" si="114"/>
        <v>0.40100000000000002</v>
      </c>
      <c r="R27" s="3137">
        <f t="shared" si="114"/>
        <v>0.40511282129771453</v>
      </c>
      <c r="S27" s="3137">
        <f t="shared" si="114"/>
        <v>0.38879015204331824</v>
      </c>
      <c r="T27" s="3137">
        <f t="shared" si="114"/>
        <v>0.37541755531591831</v>
      </c>
      <c r="U27" s="3137">
        <f t="shared" ref="U27:Y27" si="115">U14/U23</f>
        <v>0.36337454486575127</v>
      </c>
      <c r="V27" s="3137">
        <f t="shared" si="115"/>
        <v>0.35190901551220394</v>
      </c>
      <c r="W27" s="3137">
        <f t="shared" si="115"/>
        <v>0.34066606984205228</v>
      </c>
      <c r="X27" s="3137">
        <f t="shared" si="115"/>
        <v>0.32947815660382812</v>
      </c>
      <c r="Y27" s="3137">
        <f t="shared" si="115"/>
        <v>0.31826733438482824</v>
      </c>
      <c r="Z27" s="1962"/>
      <c r="AA27" s="1985"/>
      <c r="AB27" s="1985"/>
      <c r="AC27" s="1985"/>
      <c r="AD27" s="1985"/>
      <c r="AE27" s="1985"/>
      <c r="AF27" s="1985"/>
      <c r="AG27" s="1985"/>
      <c r="AH27" s="1985"/>
      <c r="AI27" s="1985"/>
      <c r="AJ27" s="1985"/>
      <c r="AK27" s="1985"/>
      <c r="AL27" s="1985"/>
      <c r="AM27" s="1985"/>
      <c r="AN27" s="1985"/>
      <c r="AO27" s="1985"/>
      <c r="AP27" s="1985"/>
      <c r="AQ27" s="1985"/>
      <c r="AR27" s="1985"/>
      <c r="AS27" s="1985"/>
      <c r="AT27" s="1985"/>
      <c r="AU27" s="1985"/>
      <c r="AV27" s="1985"/>
      <c r="AW27" s="1985"/>
      <c r="AX27" s="1985"/>
      <c r="AY27" s="1985"/>
      <c r="AZ27" s="1985"/>
      <c r="BA27" s="1985"/>
      <c r="BB27" s="1985"/>
      <c r="BC27" s="1985"/>
      <c r="BD27" s="1985"/>
      <c r="BE27" s="1985"/>
      <c r="BF27" s="1985"/>
      <c r="BG27" s="1985"/>
      <c r="BH27" s="1985"/>
      <c r="BI27" s="1985"/>
      <c r="BJ27" s="1985"/>
      <c r="BK27" s="1985"/>
      <c r="BL27" s="1985"/>
      <c r="BM27" s="1985"/>
      <c r="BN27" s="1985"/>
      <c r="BO27" s="1985"/>
      <c r="BP27" s="1985"/>
      <c r="BQ27" s="1985"/>
      <c r="BR27" s="1985"/>
      <c r="BS27" s="1985"/>
      <c r="BT27" s="1985"/>
      <c r="BU27" s="1985"/>
      <c r="BV27" s="1985"/>
      <c r="BW27" s="1985"/>
      <c r="BX27" s="1985"/>
      <c r="BY27" s="1962"/>
      <c r="BZ27" s="2728">
        <f>BZ14/BZ23</f>
        <v>0.10153846153846154</v>
      </c>
      <c r="CA27" s="2727">
        <f t="shared" ref="CA27:DF27" si="116">CA14/CA23</f>
        <v>0.12096774193548387</v>
      </c>
      <c r="CB27" s="2727">
        <f t="shared" si="116"/>
        <v>0.13736842105263158</v>
      </c>
      <c r="CC27" s="2729">
        <f t="shared" si="116"/>
        <v>0.143125</v>
      </c>
      <c r="CD27" s="2728">
        <f t="shared" si="116"/>
        <v>0.16403846153846155</v>
      </c>
      <c r="CE27" s="2727">
        <f t="shared" si="116"/>
        <v>0.18491228070175439</v>
      </c>
      <c r="CF27" s="2727">
        <f t="shared" si="116"/>
        <v>0.19722863741339491</v>
      </c>
      <c r="CG27" s="2727">
        <f t="shared" si="116"/>
        <v>0.2107704573457998</v>
      </c>
      <c r="CH27" s="2728">
        <f t="shared" si="116"/>
        <v>0.23356164383561645</v>
      </c>
      <c r="CI27" s="2727">
        <f t="shared" si="116"/>
        <v>0.24309677419354839</v>
      </c>
      <c r="CJ27" s="2727">
        <f t="shared" si="116"/>
        <v>0.24705882352941178</v>
      </c>
      <c r="CK27" s="2727">
        <f t="shared" si="116"/>
        <v>0.25358288770053478</v>
      </c>
      <c r="CL27" s="2728">
        <f t="shared" si="116"/>
        <v>0.26920345002536783</v>
      </c>
      <c r="CM27" s="2727">
        <f t="shared" si="116"/>
        <v>0.28250432110620322</v>
      </c>
      <c r="CN27" s="2727">
        <f t="shared" si="116"/>
        <v>0.28696925329428991</v>
      </c>
      <c r="CO27" s="2727">
        <f t="shared" si="116"/>
        <v>0.28254514187446261</v>
      </c>
      <c r="CP27" s="2728">
        <f t="shared" si="116"/>
        <v>0.28960561497326204</v>
      </c>
      <c r="CQ27" s="2727">
        <f t="shared" si="116"/>
        <v>0.29849893946810246</v>
      </c>
      <c r="CR27" s="2727">
        <f t="shared" si="116"/>
        <v>0.31017964071856285</v>
      </c>
      <c r="CS27" s="2727">
        <f t="shared" si="116"/>
        <v>0.31925543563272329</v>
      </c>
      <c r="CT27" s="2728">
        <f t="shared" si="116"/>
        <v>0.33089029470760684</v>
      </c>
      <c r="CU27" s="2727">
        <f t="shared" si="116"/>
        <v>0.33919103166186942</v>
      </c>
      <c r="CV27" s="2727">
        <f t="shared" si="116"/>
        <v>0.34556071268153915</v>
      </c>
      <c r="CW27" s="2727">
        <f t="shared" si="116"/>
        <v>0.35458225984541775</v>
      </c>
      <c r="CX27" s="2728">
        <f t="shared" si="116"/>
        <v>0.36357039187227869</v>
      </c>
      <c r="CY27" s="2727">
        <f t="shared" si="116"/>
        <v>0.36627741384221019</v>
      </c>
      <c r="CZ27" s="2727">
        <f t="shared" si="116"/>
        <v>0.36967023734509558</v>
      </c>
      <c r="DA27" s="2727">
        <f t="shared" si="116"/>
        <v>0.37334801762114539</v>
      </c>
      <c r="DB27" s="2728">
        <f t="shared" si="116"/>
        <v>0.38169081139903421</v>
      </c>
      <c r="DC27" s="2727">
        <f t="shared" si="116"/>
        <v>0.38633473867362644</v>
      </c>
      <c r="DD27" s="2727">
        <f t="shared" si="116"/>
        <v>0.39203533988263994</v>
      </c>
      <c r="DE27" s="2727">
        <f t="shared" si="116"/>
        <v>0.39510671525247265</v>
      </c>
      <c r="DF27" s="2728">
        <f t="shared" si="116"/>
        <v>0.39729555698647778</v>
      </c>
      <c r="DG27" s="2727">
        <f t="shared" ref="DG27:DL27" si="117">DG14/DG23</f>
        <v>0.40100000000000002</v>
      </c>
      <c r="DH27" s="2727">
        <f t="shared" si="117"/>
        <v>0.40600000000000003</v>
      </c>
      <c r="DI27" s="2729">
        <f t="shared" si="117"/>
        <v>0.41099999999999998</v>
      </c>
      <c r="DJ27" s="2728">
        <f t="shared" si="117"/>
        <v>0.41499999999999998</v>
      </c>
      <c r="DK27" s="2727">
        <f t="shared" si="117"/>
        <v>0.41399999999999998</v>
      </c>
      <c r="DL27" s="2727">
        <f t="shared" si="117"/>
        <v>0.41699999999999998</v>
      </c>
      <c r="DM27" s="2729">
        <f>DM14/DM23</f>
        <v>0.41799999999999998</v>
      </c>
      <c r="DN27" s="3138">
        <v>0.41899999999999998</v>
      </c>
      <c r="DO27" s="3138">
        <v>0.40100000000000002</v>
      </c>
      <c r="DP27" s="3138">
        <v>0.40400000000000003</v>
      </c>
      <c r="DQ27" s="3139">
        <v>0.40400000000000003</v>
      </c>
      <c r="DR27" s="3138">
        <v>0.40300000000000002</v>
      </c>
      <c r="DS27" s="3138">
        <v>0.40200000000000002</v>
      </c>
      <c r="DT27" s="3138">
        <v>0.40200000000000002</v>
      </c>
      <c r="DU27" s="3139">
        <v>0.40100000000000002</v>
      </c>
      <c r="DV27" s="3334">
        <f>+DU27</f>
        <v>0.40100000000000002</v>
      </c>
      <c r="DW27" s="2727">
        <f t="shared" ref="DW27:DY27" si="118">DW14/DW23</f>
        <v>0.40223402717718437</v>
      </c>
      <c r="DX27" s="2727">
        <f t="shared" si="118"/>
        <v>0.4039844761203219</v>
      </c>
      <c r="DY27" s="2729">
        <f t="shared" si="118"/>
        <v>0.40511282129771453</v>
      </c>
    </row>
    <row r="28" spans="1:179" s="3061" customFormat="1">
      <c r="A28" s="3140" t="s">
        <v>387</v>
      </c>
      <c r="B28" s="3123"/>
      <c r="C28" s="3123"/>
      <c r="D28" s="3123"/>
      <c r="E28" s="3123">
        <f t="shared" ref="E28:T28" si="119">E27-D27</f>
        <v>6.5000000000000002E-2</v>
      </c>
      <c r="F28" s="3123">
        <f t="shared" si="119"/>
        <v>7.8125E-2</v>
      </c>
      <c r="G28" s="3123">
        <f t="shared" si="119"/>
        <v>6.7645457345799798E-2</v>
      </c>
      <c r="H28" s="3124">
        <f t="shared" si="119"/>
        <v>4.2812430354734976E-2</v>
      </c>
      <c r="I28" s="3124">
        <f t="shared" si="119"/>
        <v>2.8962254173927837E-2</v>
      </c>
      <c r="J28" s="3124">
        <f t="shared" si="119"/>
        <v>3.6710293758260681E-2</v>
      </c>
      <c r="K28" s="3124">
        <f t="shared" si="119"/>
        <v>3.5326824212694452E-2</v>
      </c>
      <c r="L28" s="3124">
        <f t="shared" si="119"/>
        <v>1.8765757775727643E-2</v>
      </c>
      <c r="M28" s="3124">
        <f t="shared" si="119"/>
        <v>2.1758697631327262E-2</v>
      </c>
      <c r="N28" s="3124">
        <f t="shared" si="119"/>
        <v>1.5893284747527325E-2</v>
      </c>
      <c r="O28" s="3124">
        <f>O27-N27</f>
        <v>7.0000000000000062E-3</v>
      </c>
      <c r="P28" s="3124">
        <f>P27-O27</f>
        <v>-1.3999999999999957E-2</v>
      </c>
      <c r="Q28" s="3124">
        <f>Q27-P27</f>
        <v>-3.0000000000000027E-3</v>
      </c>
      <c r="R28" s="3124">
        <f>R27-Q27</f>
        <v>4.1128212977145084E-3</v>
      </c>
      <c r="S28" s="3124">
        <f t="shared" si="119"/>
        <v>-1.6322669254396294E-2</v>
      </c>
      <c r="T28" s="3124">
        <f t="shared" si="119"/>
        <v>-1.3372596727399932E-2</v>
      </c>
      <c r="U28" s="3124">
        <f t="shared" ref="U28" si="120">U27-T27</f>
        <v>-1.2043010450167035E-2</v>
      </c>
      <c r="V28" s="3124">
        <f t="shared" ref="V28" si="121">V27-U27</f>
        <v>-1.1465529353547332E-2</v>
      </c>
      <c r="W28" s="3124">
        <f t="shared" ref="W28" si="122">W27-V27</f>
        <v>-1.1242945670151661E-2</v>
      </c>
      <c r="X28" s="3124">
        <f t="shared" ref="X28" si="123">X27-W27</f>
        <v>-1.1187913238224156E-2</v>
      </c>
      <c r="Y28" s="3124">
        <f t="shared" ref="Y28" si="124">Y27-X27</f>
        <v>-1.1210822218999883E-2</v>
      </c>
      <c r="Z28" s="1962"/>
      <c r="AA28" s="1985"/>
      <c r="AB28" s="1985"/>
      <c r="AC28" s="1985"/>
      <c r="AD28" s="1985"/>
      <c r="AE28" s="1985"/>
      <c r="AF28" s="1985"/>
      <c r="AG28" s="1985"/>
      <c r="AH28" s="1985"/>
      <c r="AI28" s="1985"/>
      <c r="AJ28" s="1985"/>
      <c r="AK28" s="1985"/>
      <c r="AL28" s="1985"/>
      <c r="AM28" s="1985"/>
      <c r="AN28" s="1985"/>
      <c r="AO28" s="1985"/>
      <c r="AP28" s="1985"/>
      <c r="AQ28" s="1985"/>
      <c r="AR28" s="1985"/>
      <c r="AS28" s="1985"/>
      <c r="AT28" s="1985"/>
      <c r="AU28" s="1985"/>
      <c r="AV28" s="1985"/>
      <c r="AW28" s="1985"/>
      <c r="AX28" s="1985"/>
      <c r="AY28" s="1985"/>
      <c r="AZ28" s="1985"/>
      <c r="BA28" s="1985"/>
      <c r="BB28" s="1985"/>
      <c r="BC28" s="1985"/>
      <c r="BD28" s="1985"/>
      <c r="BE28" s="1985"/>
      <c r="BF28" s="1985"/>
      <c r="BG28" s="1985"/>
      <c r="BH28" s="1985"/>
      <c r="BI28" s="1985"/>
      <c r="BJ28" s="1985"/>
      <c r="BK28" s="1985"/>
      <c r="BL28" s="1985"/>
      <c r="BM28" s="1985"/>
      <c r="BN28" s="1985"/>
      <c r="BO28" s="1985"/>
      <c r="BP28" s="1985"/>
      <c r="BQ28" s="1985"/>
      <c r="BR28" s="1985"/>
      <c r="BS28" s="1985"/>
      <c r="BT28" s="1985"/>
      <c r="BU28" s="1985"/>
      <c r="BV28" s="1985"/>
      <c r="BW28" s="1985"/>
      <c r="BX28" s="1985"/>
      <c r="BY28" s="1978"/>
      <c r="BZ28" s="3125">
        <f t="shared" ref="BZ28:DV28" si="125">BZ27-BY27</f>
        <v>0.10153846153846154</v>
      </c>
      <c r="CA28" s="3123">
        <f t="shared" si="125"/>
        <v>1.9429280397022339E-2</v>
      </c>
      <c r="CB28" s="3123">
        <f t="shared" si="125"/>
        <v>1.640067911714771E-2</v>
      </c>
      <c r="CC28" s="3126">
        <f t="shared" si="125"/>
        <v>5.7565789473684181E-3</v>
      </c>
      <c r="CD28" s="3125">
        <f t="shared" si="125"/>
        <v>2.0913461538461547E-2</v>
      </c>
      <c r="CE28" s="3123">
        <f t="shared" si="125"/>
        <v>2.0873819163292839E-2</v>
      </c>
      <c r="CF28" s="3123">
        <f t="shared" si="125"/>
        <v>1.2316356711640525E-2</v>
      </c>
      <c r="CG28" s="3123">
        <f t="shared" si="125"/>
        <v>1.3541819932404886E-2</v>
      </c>
      <c r="CH28" s="3125">
        <f t="shared" si="125"/>
        <v>2.2791186489816651E-2</v>
      </c>
      <c r="CI28" s="3123">
        <f t="shared" si="125"/>
        <v>9.5351303579319369E-3</v>
      </c>
      <c r="CJ28" s="3123">
        <f t="shared" si="125"/>
        <v>3.9620493358633879E-3</v>
      </c>
      <c r="CK28" s="3123">
        <f t="shared" si="125"/>
        <v>6.5240641711230007E-3</v>
      </c>
      <c r="CL28" s="3125">
        <f t="shared" si="125"/>
        <v>1.5620562324833054E-2</v>
      </c>
      <c r="CM28" s="3123">
        <f t="shared" si="125"/>
        <v>1.3300871080835386E-2</v>
      </c>
      <c r="CN28" s="3123">
        <f t="shared" si="125"/>
        <v>4.4649321880866899E-3</v>
      </c>
      <c r="CO28" s="3123">
        <f t="shared" si="125"/>
        <v>-4.4241114198272924E-3</v>
      </c>
      <c r="CP28" s="3125">
        <f t="shared" si="125"/>
        <v>7.0604730987994246E-3</v>
      </c>
      <c r="CQ28" s="3123">
        <f t="shared" si="125"/>
        <v>8.8933244948404266E-3</v>
      </c>
      <c r="CR28" s="3123">
        <f t="shared" si="125"/>
        <v>1.168070125046039E-2</v>
      </c>
      <c r="CS28" s="3123">
        <f t="shared" si="125"/>
        <v>9.0757949141604399E-3</v>
      </c>
      <c r="CT28" s="3125">
        <f t="shared" si="125"/>
        <v>1.1634859074883541E-2</v>
      </c>
      <c r="CU28" s="3123">
        <f t="shared" si="125"/>
        <v>8.3007369542625886E-3</v>
      </c>
      <c r="CV28" s="3123">
        <f t="shared" si="125"/>
        <v>6.3696810196697262E-3</v>
      </c>
      <c r="CW28" s="3123">
        <f t="shared" si="125"/>
        <v>9.021547163878596E-3</v>
      </c>
      <c r="CX28" s="3125">
        <f t="shared" si="125"/>
        <v>8.9881320268609399E-3</v>
      </c>
      <c r="CY28" s="3123">
        <f t="shared" si="125"/>
        <v>2.7070219699315001E-3</v>
      </c>
      <c r="CZ28" s="3123">
        <f t="shared" si="125"/>
        <v>3.3928235028853893E-3</v>
      </c>
      <c r="DA28" s="3123">
        <f t="shared" si="125"/>
        <v>3.6777802760498135E-3</v>
      </c>
      <c r="DB28" s="3125">
        <f t="shared" si="125"/>
        <v>8.3427937778888239E-3</v>
      </c>
      <c r="DC28" s="3123">
        <f t="shared" si="125"/>
        <v>4.64392727459223E-3</v>
      </c>
      <c r="DD28" s="3123">
        <f t="shared" si="125"/>
        <v>5.7006012090135005E-3</v>
      </c>
      <c r="DE28" s="3123">
        <f t="shared" si="125"/>
        <v>3.0713753698327073E-3</v>
      </c>
      <c r="DF28" s="3125">
        <f t="shared" si="125"/>
        <v>2.1888417340051314E-3</v>
      </c>
      <c r="DG28" s="3123">
        <f t="shared" si="125"/>
        <v>3.7044430135222406E-3</v>
      </c>
      <c r="DH28" s="3123">
        <f t="shared" si="125"/>
        <v>5.0000000000000044E-3</v>
      </c>
      <c r="DI28" s="3126">
        <f t="shared" si="125"/>
        <v>4.9999999999999489E-3</v>
      </c>
      <c r="DJ28" s="3125">
        <f t="shared" si="125"/>
        <v>4.0000000000000036E-3</v>
      </c>
      <c r="DK28" s="3123">
        <f t="shared" si="125"/>
        <v>-1.0000000000000009E-3</v>
      </c>
      <c r="DL28" s="3123">
        <f t="shared" si="125"/>
        <v>3.0000000000000027E-3</v>
      </c>
      <c r="DM28" s="3126">
        <f t="shared" si="125"/>
        <v>1.0000000000000009E-3</v>
      </c>
      <c r="DN28" s="3123">
        <f t="shared" si="125"/>
        <v>1.0000000000000009E-3</v>
      </c>
      <c r="DO28" s="3123">
        <f t="shared" si="125"/>
        <v>-1.799999999999996E-2</v>
      </c>
      <c r="DP28" s="3123">
        <f t="shared" si="125"/>
        <v>3.0000000000000027E-3</v>
      </c>
      <c r="DQ28" s="3126">
        <f t="shared" si="125"/>
        <v>0</v>
      </c>
      <c r="DR28" s="3123">
        <f t="shared" si="125"/>
        <v>-1.0000000000000009E-3</v>
      </c>
      <c r="DS28" s="3123">
        <f t="shared" si="125"/>
        <v>-1.0000000000000009E-3</v>
      </c>
      <c r="DT28" s="3123">
        <f t="shared" si="125"/>
        <v>0</v>
      </c>
      <c r="DU28" s="3126">
        <f t="shared" si="125"/>
        <v>-1.0000000000000009E-3</v>
      </c>
      <c r="DV28" s="3123">
        <f t="shared" si="125"/>
        <v>0</v>
      </c>
      <c r="DW28" s="3123">
        <f t="shared" ref="DW28" si="126">DW27-DV27</f>
        <v>1.2340271771843492E-3</v>
      </c>
      <c r="DX28" s="3123">
        <f t="shared" ref="DX28" si="127">DX27-DW27</f>
        <v>1.7504489431375281E-3</v>
      </c>
      <c r="DY28" s="3126">
        <f t="shared" ref="DY28" si="128">DY27-DX27</f>
        <v>1.1283451773926312E-3</v>
      </c>
    </row>
    <row r="29" spans="1:179" outlineLevel="1">
      <c r="A29" s="670" t="s">
        <v>324</v>
      </c>
      <c r="B29" s="1044"/>
      <c r="C29" s="1044"/>
      <c r="D29" s="1044"/>
      <c r="E29" s="1044">
        <f t="shared" ref="E29:T29" si="129">D14</f>
        <v>0</v>
      </c>
      <c r="F29" s="1044">
        <f t="shared" si="129"/>
        <v>169000</v>
      </c>
      <c r="G29" s="1044">
        <f t="shared" si="129"/>
        <v>687000</v>
      </c>
      <c r="H29" s="1094">
        <f t="shared" si="129"/>
        <v>1454000</v>
      </c>
      <c r="I29" s="1094">
        <f t="shared" si="129"/>
        <v>2371000</v>
      </c>
      <c r="J29" s="1094">
        <f t="shared" si="129"/>
        <v>3286000</v>
      </c>
      <c r="K29" s="1094">
        <f t="shared" si="129"/>
        <v>4082000</v>
      </c>
      <c r="L29" s="1094">
        <f t="shared" si="129"/>
        <v>4817000</v>
      </c>
      <c r="M29" s="1094">
        <f t="shared" si="129"/>
        <v>5424000</v>
      </c>
      <c r="N29" s="1094">
        <f t="shared" si="129"/>
        <v>6072000</v>
      </c>
      <c r="O29" s="1094">
        <f>N14</f>
        <v>6616000</v>
      </c>
      <c r="P29" s="1094">
        <f>O14</f>
        <v>7034000</v>
      </c>
      <c r="Q29" s="1094">
        <f>P14</f>
        <v>5653000</v>
      </c>
      <c r="R29" s="1094">
        <f>Q14</f>
        <v>5850000</v>
      </c>
      <c r="S29" s="1094">
        <f t="shared" si="129"/>
        <v>6109000</v>
      </c>
      <c r="T29" s="1094">
        <f t="shared" si="129"/>
        <v>6089000</v>
      </c>
      <c r="U29" s="1094">
        <f t="shared" ref="U29" si="130">T14</f>
        <v>6059000</v>
      </c>
      <c r="V29" s="1094">
        <f t="shared" ref="V29" si="131">U14</f>
        <v>6019000</v>
      </c>
      <c r="W29" s="1094">
        <f t="shared" ref="W29" si="132">V14</f>
        <v>5969000</v>
      </c>
      <c r="X29" s="1094">
        <f t="shared" ref="X29" si="133">W14</f>
        <v>5909000</v>
      </c>
      <c r="Y29" s="1094">
        <f t="shared" ref="Y29" si="134">X14</f>
        <v>5839000</v>
      </c>
      <c r="Z29" s="536"/>
      <c r="AA29" s="1044"/>
      <c r="AB29" s="1044"/>
      <c r="AC29" s="1044"/>
      <c r="AD29" s="1044"/>
      <c r="AE29" s="1044"/>
      <c r="AF29" s="1044"/>
      <c r="AG29" s="1044"/>
      <c r="AH29" s="1044"/>
      <c r="AI29" s="1044"/>
      <c r="AJ29" s="1044"/>
      <c r="AK29" s="1044"/>
      <c r="AL29" s="1044"/>
      <c r="AM29" s="1044"/>
      <c r="AN29" s="1044"/>
      <c r="AO29" s="1044"/>
      <c r="AP29" s="1044"/>
      <c r="AQ29" s="1044"/>
      <c r="AR29" s="1044"/>
      <c r="AS29" s="1044"/>
      <c r="AT29" s="1044"/>
      <c r="AU29" s="1044"/>
      <c r="AV29" s="1044"/>
      <c r="AW29" s="1044"/>
      <c r="AX29" s="1044"/>
      <c r="AY29" s="1044"/>
      <c r="AZ29" s="1044"/>
      <c r="BA29" s="1044"/>
      <c r="BB29" s="1044"/>
      <c r="BC29" s="1044"/>
      <c r="BD29" s="1044"/>
      <c r="BE29" s="1044"/>
      <c r="BF29" s="1044"/>
      <c r="BG29" s="1044"/>
      <c r="BH29" s="1044"/>
      <c r="BI29" s="1044"/>
      <c r="BJ29" s="1044"/>
      <c r="BK29" s="1044"/>
      <c r="BL29" s="1044"/>
      <c r="BM29" s="1044"/>
      <c r="BN29" s="1044"/>
      <c r="BO29" s="1044"/>
      <c r="BP29" s="1044"/>
      <c r="BQ29" s="1044"/>
      <c r="BR29" s="1044"/>
      <c r="BS29" s="1044"/>
      <c r="BT29" s="1044"/>
      <c r="BU29" s="1044"/>
      <c r="BV29" s="1044"/>
      <c r="BW29" s="1044"/>
      <c r="BX29" s="1044"/>
      <c r="BY29" s="536"/>
      <c r="BZ29" s="171">
        <f t="shared" ref="BZ29:DV29" si="135">BY14</f>
        <v>169000</v>
      </c>
      <c r="CA29" s="1044">
        <f t="shared" si="135"/>
        <v>264000</v>
      </c>
      <c r="CB29" s="1044">
        <f t="shared" si="135"/>
        <v>375000</v>
      </c>
      <c r="CC29" s="172">
        <f t="shared" si="135"/>
        <v>522000</v>
      </c>
      <c r="CD29" s="171">
        <f t="shared" si="135"/>
        <v>687000</v>
      </c>
      <c r="CE29" s="1044">
        <f t="shared" si="135"/>
        <v>853000</v>
      </c>
      <c r="CF29" s="1044">
        <f t="shared" si="135"/>
        <v>1054000</v>
      </c>
      <c r="CG29" s="1044">
        <f t="shared" si="135"/>
        <v>1281000</v>
      </c>
      <c r="CH29" s="171">
        <f t="shared" si="135"/>
        <v>1454000</v>
      </c>
      <c r="CI29" s="1044">
        <f t="shared" si="135"/>
        <v>1705000</v>
      </c>
      <c r="CJ29" s="1044">
        <f t="shared" si="135"/>
        <v>1884000</v>
      </c>
      <c r="CK29" s="1044">
        <f t="shared" si="135"/>
        <v>2100000</v>
      </c>
      <c r="CL29" s="171">
        <f t="shared" si="135"/>
        <v>2371000</v>
      </c>
      <c r="CM29" s="1044">
        <f t="shared" si="135"/>
        <v>2653000</v>
      </c>
      <c r="CN29" s="1044">
        <f t="shared" si="135"/>
        <v>2942000</v>
      </c>
      <c r="CO29" s="1044">
        <f t="shared" si="135"/>
        <v>3136000</v>
      </c>
      <c r="CP29" s="171">
        <f t="shared" si="135"/>
        <v>3286000</v>
      </c>
      <c r="CQ29" s="1044">
        <f t="shared" si="135"/>
        <v>3466000</v>
      </c>
      <c r="CR29" s="1044">
        <f t="shared" si="135"/>
        <v>3659000</v>
      </c>
      <c r="CS29" s="1044">
        <f t="shared" si="135"/>
        <v>3885000</v>
      </c>
      <c r="CT29" s="171">
        <f t="shared" si="135"/>
        <v>4082000</v>
      </c>
      <c r="CU29" s="1044">
        <f t="shared" si="135"/>
        <v>4289000</v>
      </c>
      <c r="CV29" s="1044">
        <f t="shared" si="135"/>
        <v>4478000</v>
      </c>
      <c r="CW29" s="1044">
        <f t="shared" si="135"/>
        <v>4616000</v>
      </c>
      <c r="CX29" s="171">
        <f t="shared" si="135"/>
        <v>4817000</v>
      </c>
      <c r="CY29" s="1044">
        <f t="shared" si="135"/>
        <v>5010000</v>
      </c>
      <c r="CZ29" s="1044">
        <f t="shared" si="135"/>
        <v>5144000</v>
      </c>
      <c r="DA29" s="1044">
        <f t="shared" si="135"/>
        <v>5280000</v>
      </c>
      <c r="DB29" s="171">
        <f t="shared" si="135"/>
        <v>5424000</v>
      </c>
      <c r="DC29" s="1044">
        <f t="shared" si="135"/>
        <v>5612000</v>
      </c>
      <c r="DD29" s="1044">
        <f t="shared" si="135"/>
        <v>5773000</v>
      </c>
      <c r="DE29" s="1044">
        <f t="shared" si="135"/>
        <v>5946000</v>
      </c>
      <c r="DF29" s="171">
        <f t="shared" si="135"/>
        <v>6072000</v>
      </c>
      <c r="DG29" s="1044">
        <f t="shared" si="135"/>
        <v>6170000</v>
      </c>
      <c r="DH29" s="1044">
        <f t="shared" si="135"/>
        <v>6309000</v>
      </c>
      <c r="DI29" s="172">
        <f t="shared" si="135"/>
        <v>6471000</v>
      </c>
      <c r="DJ29" s="171">
        <f t="shared" si="135"/>
        <v>6616000</v>
      </c>
      <c r="DK29" s="1044">
        <f t="shared" si="135"/>
        <v>6749000</v>
      </c>
      <c r="DL29" s="1044">
        <f t="shared" si="135"/>
        <v>6821000</v>
      </c>
      <c r="DM29" s="172">
        <f t="shared" si="135"/>
        <v>6935000</v>
      </c>
      <c r="DN29" s="1044">
        <f t="shared" si="135"/>
        <v>7034000</v>
      </c>
      <c r="DO29" s="1044">
        <f t="shared" si="135"/>
        <v>7132000</v>
      </c>
      <c r="DP29" s="1044">
        <f t="shared" si="135"/>
        <v>5495000</v>
      </c>
      <c r="DQ29" s="172">
        <f t="shared" si="135"/>
        <v>5585000</v>
      </c>
      <c r="DR29" s="1044">
        <f t="shared" si="135"/>
        <v>5653000</v>
      </c>
      <c r="DS29" s="1044">
        <f t="shared" si="135"/>
        <v>5688000</v>
      </c>
      <c r="DT29" s="1044">
        <f t="shared" si="135"/>
        <v>5737000</v>
      </c>
      <c r="DU29" s="172">
        <f t="shared" si="135"/>
        <v>5803000</v>
      </c>
      <c r="DV29" s="1044">
        <f t="shared" si="135"/>
        <v>5850000</v>
      </c>
      <c r="DW29" s="1044">
        <f t="shared" ref="DW29" si="136">DV14</f>
        <v>5916000</v>
      </c>
      <c r="DX29" s="1044">
        <f t="shared" ref="DX29" si="137">DW14</f>
        <v>5978000</v>
      </c>
      <c r="DY29" s="172">
        <f t="shared" ref="DY29" si="138">DX14</f>
        <v>6048000</v>
      </c>
    </row>
    <row r="30" spans="1:179" outlineLevel="1">
      <c r="A30" s="381" t="s">
        <v>325</v>
      </c>
      <c r="B30" s="1044"/>
      <c r="C30" s="1044"/>
      <c r="D30" s="1044"/>
      <c r="E30" s="1044">
        <f t="shared" ref="E30:N30" si="139">+E36-E29+E32</f>
        <v>189280</v>
      </c>
      <c r="F30" s="1044">
        <f t="shared" si="139"/>
        <v>589904</v>
      </c>
      <c r="G30" s="1044">
        <f t="shared" si="139"/>
        <v>1023920</v>
      </c>
      <c r="H30" s="1094">
        <f t="shared" si="139"/>
        <v>1373090</v>
      </c>
      <c r="I30" s="1094">
        <f t="shared" si="139"/>
        <v>1608570</v>
      </c>
      <c r="J30" s="1094">
        <f t="shared" si="139"/>
        <v>1677640</v>
      </c>
      <c r="K30" s="1094">
        <f t="shared" si="139"/>
        <v>1804950</v>
      </c>
      <c r="L30" s="1094">
        <f t="shared" si="139"/>
        <v>1840270</v>
      </c>
      <c r="M30" s="1094">
        <f t="shared" si="139"/>
        <v>2032740</v>
      </c>
      <c r="N30" s="1094">
        <f t="shared" si="139"/>
        <v>2061640</v>
      </c>
      <c r="O30" s="1094">
        <f t="shared" ref="O30:T30" si="140">+O36-O29+O32</f>
        <v>2057800</v>
      </c>
      <c r="P30" s="1094">
        <f t="shared" si="140"/>
        <v>92330</v>
      </c>
      <c r="Q30" s="1094">
        <f t="shared" si="140"/>
        <v>1575770</v>
      </c>
      <c r="R30" s="1094">
        <f t="shared" si="140"/>
        <v>1694290</v>
      </c>
      <c r="S30" s="1094">
        <f t="shared" si="140"/>
        <v>1443760</v>
      </c>
      <c r="T30" s="1094">
        <f t="shared" si="140"/>
        <v>1427760</v>
      </c>
      <c r="U30" s="1094">
        <f t="shared" ref="U30:Y30" si="141">+U36-U29+U32</f>
        <v>1409360</v>
      </c>
      <c r="V30" s="1094">
        <f t="shared" si="141"/>
        <v>1388560</v>
      </c>
      <c r="W30" s="1094">
        <f t="shared" si="141"/>
        <v>1365360</v>
      </c>
      <c r="X30" s="1094">
        <f t="shared" si="141"/>
        <v>1339760</v>
      </c>
      <c r="Y30" s="1094">
        <f t="shared" si="141"/>
        <v>1311760</v>
      </c>
      <c r="Z30" s="536"/>
      <c r="AA30" s="1044"/>
      <c r="AB30" s="1044"/>
      <c r="AC30" s="1044"/>
      <c r="AD30" s="1044"/>
      <c r="AE30" s="1044"/>
      <c r="AF30" s="1044"/>
      <c r="AG30" s="1044"/>
      <c r="AH30" s="1044"/>
      <c r="AI30" s="1044"/>
      <c r="AJ30" s="1044"/>
      <c r="AK30" s="1044"/>
      <c r="AL30" s="1044"/>
      <c r="AM30" s="1044"/>
      <c r="AN30" s="1044"/>
      <c r="AO30" s="1044"/>
      <c r="AP30" s="1044"/>
      <c r="AQ30" s="1044"/>
      <c r="AR30" s="1044"/>
      <c r="AS30" s="1044"/>
      <c r="AT30" s="1044"/>
      <c r="AU30" s="1044"/>
      <c r="AV30" s="1044"/>
      <c r="AW30" s="1044"/>
      <c r="AX30" s="1044"/>
      <c r="AY30" s="1044"/>
      <c r="AZ30" s="1044"/>
      <c r="BA30" s="1044"/>
      <c r="BB30" s="1044"/>
      <c r="BC30" s="1044"/>
      <c r="BD30" s="1044"/>
      <c r="BE30" s="1044"/>
      <c r="BF30" s="1044"/>
      <c r="BG30" s="1044"/>
      <c r="BH30" s="1044"/>
      <c r="BI30" s="1044"/>
      <c r="BJ30" s="1044"/>
      <c r="BK30" s="1044"/>
      <c r="BL30" s="1044"/>
      <c r="BM30" s="1044"/>
      <c r="BN30" s="1044"/>
      <c r="BO30" s="1044"/>
      <c r="BP30" s="1044"/>
      <c r="BQ30" s="1044"/>
      <c r="BR30" s="1044"/>
      <c r="BS30" s="1044"/>
      <c r="BT30" s="1044"/>
      <c r="BU30" s="1044"/>
      <c r="BV30" s="1044"/>
      <c r="BW30" s="1044"/>
      <c r="BX30" s="1044"/>
      <c r="BY30" s="536"/>
      <c r="BZ30" s="171">
        <f t="shared" ref="BZ30:DF30" si="142">+BZ36-BZ29+BZ32</f>
        <v>107990</v>
      </c>
      <c r="CA30" s="1044">
        <f t="shared" si="142"/>
        <v>130170</v>
      </c>
      <c r="CB30" s="1044">
        <f t="shared" si="142"/>
        <v>173910</v>
      </c>
      <c r="CC30" s="172">
        <f t="shared" si="142"/>
        <v>201270</v>
      </c>
      <c r="CD30" s="171">
        <f t="shared" si="142"/>
        <v>212200</v>
      </c>
      <c r="CE30" s="1044">
        <f t="shared" si="142"/>
        <v>258210</v>
      </c>
      <c r="CF30" s="1044">
        <f t="shared" si="142"/>
        <v>297050</v>
      </c>
      <c r="CG30" s="1044">
        <f t="shared" si="142"/>
        <v>255050</v>
      </c>
      <c r="CH30" s="171">
        <f t="shared" si="142"/>
        <v>345770</v>
      </c>
      <c r="CI30" s="1044">
        <f t="shared" si="142"/>
        <v>286670</v>
      </c>
      <c r="CJ30" s="1044">
        <f t="shared" si="142"/>
        <v>335520</v>
      </c>
      <c r="CK30" s="1044">
        <f t="shared" si="142"/>
        <v>405130</v>
      </c>
      <c r="CL30" s="171">
        <f t="shared" si="142"/>
        <v>432720</v>
      </c>
      <c r="CM30" s="1044">
        <f t="shared" si="142"/>
        <v>456850</v>
      </c>
      <c r="CN30" s="1044">
        <f t="shared" si="142"/>
        <v>376340</v>
      </c>
      <c r="CO30" s="1044">
        <f t="shared" si="142"/>
        <v>342660</v>
      </c>
      <c r="CP30" s="171">
        <f t="shared" si="142"/>
        <v>382560</v>
      </c>
      <c r="CQ30" s="1044">
        <f t="shared" si="142"/>
        <v>406750</v>
      </c>
      <c r="CR30" s="1044">
        <f t="shared" si="142"/>
        <v>452320</v>
      </c>
      <c r="CS30" s="1044">
        <f t="shared" si="142"/>
        <v>436010</v>
      </c>
      <c r="CT30" s="171">
        <f t="shared" si="142"/>
        <v>458130</v>
      </c>
      <c r="CU30" s="1044">
        <f t="shared" si="142"/>
        <v>452010</v>
      </c>
      <c r="CV30" s="1044">
        <f t="shared" si="142"/>
        <v>410820</v>
      </c>
      <c r="CW30" s="1044">
        <f t="shared" si="142"/>
        <v>483990</v>
      </c>
      <c r="CX30" s="171">
        <f t="shared" si="142"/>
        <v>487810</v>
      </c>
      <c r="CY30" s="1044">
        <f t="shared" si="142"/>
        <v>438620</v>
      </c>
      <c r="CZ30" s="1044">
        <f t="shared" si="142"/>
        <v>448720</v>
      </c>
      <c r="DA30" s="1044">
        <f t="shared" si="142"/>
        <v>465120</v>
      </c>
      <c r="DB30" s="171">
        <f t="shared" si="142"/>
        <v>519080</v>
      </c>
      <c r="DC30" s="1044">
        <f t="shared" si="142"/>
        <v>502550</v>
      </c>
      <c r="DD30" s="1044">
        <f t="shared" si="142"/>
        <v>524570</v>
      </c>
      <c r="DE30" s="1044">
        <f t="shared" si="142"/>
        <v>486540</v>
      </c>
      <c r="DF30" s="171">
        <f t="shared" si="142"/>
        <v>465260</v>
      </c>
      <c r="DG30" s="1044">
        <f>+DG36-DG29+DG32</f>
        <v>513370</v>
      </c>
      <c r="DH30" s="1044">
        <f>+DH36-DH29+DH32</f>
        <v>545400</v>
      </c>
      <c r="DI30" s="172">
        <f>+DI36-DI29+DI32</f>
        <v>537610</v>
      </c>
      <c r="DJ30" s="171">
        <f t="shared" ref="DJ30:DM30" si="143">+DJ36-DJ29+DJ32</f>
        <v>533950</v>
      </c>
      <c r="DK30" s="1044">
        <f t="shared" si="143"/>
        <v>479100</v>
      </c>
      <c r="DL30" s="1044">
        <f t="shared" si="143"/>
        <v>526680</v>
      </c>
      <c r="DM30" s="172">
        <f t="shared" si="143"/>
        <v>518070</v>
      </c>
      <c r="DN30" s="1044">
        <f t="shared" ref="DN30:DO30" si="144">+DN36-DN29+DN32</f>
        <v>522980</v>
      </c>
      <c r="DO30" s="1044">
        <f t="shared" si="144"/>
        <v>-1258190</v>
      </c>
      <c r="DP30" s="1044">
        <f t="shared" ref="DP30:DQ30" si="145">+DP36-DP29+DP32</f>
        <v>422400</v>
      </c>
      <c r="DQ30" s="172">
        <f t="shared" si="145"/>
        <v>405140</v>
      </c>
      <c r="DR30" s="1044">
        <f t="shared" ref="DR30:DS30" si="146">+DR36-DR29+DR32</f>
        <v>375230</v>
      </c>
      <c r="DS30" s="1044">
        <f t="shared" si="146"/>
        <v>391750</v>
      </c>
      <c r="DT30" s="1044">
        <f t="shared" ref="DT30:DU30" si="147">+DT36-DT29+DT32</f>
        <v>412200</v>
      </c>
      <c r="DU30" s="172">
        <f t="shared" si="147"/>
        <v>396590</v>
      </c>
      <c r="DV30" s="1044">
        <f t="shared" ref="DV30" si="148">+DV36-DV29+DV32</f>
        <v>418980</v>
      </c>
      <c r="DW30" s="1044">
        <f t="shared" ref="DW30:DY30" si="149">+DW36-DW29+DW32</f>
        <v>418820</v>
      </c>
      <c r="DX30" s="1044">
        <f t="shared" si="149"/>
        <v>430780</v>
      </c>
      <c r="DY30" s="172">
        <f t="shared" si="149"/>
        <v>425710</v>
      </c>
    </row>
    <row r="31" spans="1:179" s="3061" customFormat="1" outlineLevel="1">
      <c r="A31" s="2224" t="s">
        <v>326</v>
      </c>
      <c r="B31" s="2216"/>
      <c r="C31" s="2216"/>
      <c r="D31" s="2216"/>
      <c r="E31" s="2216"/>
      <c r="F31" s="2216">
        <f t="shared" ref="F31:N31" si="150">F30/52</f>
        <v>11344.307692307691</v>
      </c>
      <c r="G31" s="2216">
        <f t="shared" si="150"/>
        <v>19690.76923076923</v>
      </c>
      <c r="H31" s="2231">
        <f t="shared" si="150"/>
        <v>26405.576923076922</v>
      </c>
      <c r="I31" s="2231">
        <f t="shared" si="150"/>
        <v>30934.038461538461</v>
      </c>
      <c r="J31" s="2231">
        <f t="shared" si="150"/>
        <v>32262.307692307691</v>
      </c>
      <c r="K31" s="2231">
        <f t="shared" si="150"/>
        <v>34710.576923076922</v>
      </c>
      <c r="L31" s="2231">
        <f t="shared" si="150"/>
        <v>35389.807692307695</v>
      </c>
      <c r="M31" s="2231">
        <f t="shared" si="150"/>
        <v>39091.153846153844</v>
      </c>
      <c r="N31" s="2231">
        <f t="shared" si="150"/>
        <v>39646.923076923078</v>
      </c>
      <c r="O31" s="2231">
        <f t="shared" ref="O31:T31" si="151">O30/52</f>
        <v>39573.076923076922</v>
      </c>
      <c r="P31" s="2231">
        <f t="shared" si="151"/>
        <v>1775.5769230769231</v>
      </c>
      <c r="Q31" s="2231">
        <f t="shared" si="151"/>
        <v>30303.26923076923</v>
      </c>
      <c r="R31" s="2231">
        <f t="shared" si="151"/>
        <v>32582.5</v>
      </c>
      <c r="S31" s="2231">
        <f t="shared" si="151"/>
        <v>27764.615384615383</v>
      </c>
      <c r="T31" s="2231">
        <f t="shared" si="151"/>
        <v>27456.923076923078</v>
      </c>
      <c r="U31" s="2231">
        <f t="shared" ref="U31:Y31" si="152">U30/52</f>
        <v>27103.076923076922</v>
      </c>
      <c r="V31" s="2231">
        <f t="shared" si="152"/>
        <v>26703.076923076922</v>
      </c>
      <c r="W31" s="2231">
        <f t="shared" si="152"/>
        <v>26256.923076923078</v>
      </c>
      <c r="X31" s="2231">
        <f t="shared" si="152"/>
        <v>25764.615384615383</v>
      </c>
      <c r="Y31" s="2231">
        <f t="shared" si="152"/>
        <v>25226.153846153848</v>
      </c>
      <c r="Z31" s="1964"/>
      <c r="AA31" s="1982"/>
      <c r="AB31" s="1982"/>
      <c r="AC31" s="1982"/>
      <c r="AD31" s="1982"/>
      <c r="AE31" s="1982"/>
      <c r="AF31" s="1982"/>
      <c r="AG31" s="1982"/>
      <c r="AH31" s="1982"/>
      <c r="AI31" s="1982"/>
      <c r="AJ31" s="1982"/>
      <c r="AK31" s="1982"/>
      <c r="AL31" s="1982"/>
      <c r="AM31" s="1982"/>
      <c r="AN31" s="1982"/>
      <c r="AO31" s="1982"/>
      <c r="AP31" s="1982"/>
      <c r="AQ31" s="1982"/>
      <c r="AR31" s="1982"/>
      <c r="AS31" s="1982"/>
      <c r="AT31" s="1982"/>
      <c r="AU31" s="1982"/>
      <c r="AV31" s="1982"/>
      <c r="AW31" s="1982"/>
      <c r="AX31" s="1982"/>
      <c r="AY31" s="1982"/>
      <c r="AZ31" s="1982"/>
      <c r="BA31" s="1982"/>
      <c r="BB31" s="1982"/>
      <c r="BC31" s="1982"/>
      <c r="BD31" s="1982"/>
      <c r="BE31" s="1982"/>
      <c r="BF31" s="1982"/>
      <c r="BG31" s="1982"/>
      <c r="BH31" s="1982"/>
      <c r="BI31" s="1982"/>
      <c r="BJ31" s="1982"/>
      <c r="BK31" s="1982"/>
      <c r="BL31" s="1982"/>
      <c r="BM31" s="1982"/>
      <c r="BN31" s="1982"/>
      <c r="BO31" s="1982"/>
      <c r="BP31" s="1982"/>
      <c r="BQ31" s="1982"/>
      <c r="BR31" s="1982"/>
      <c r="BS31" s="1982"/>
      <c r="BT31" s="1982"/>
      <c r="BU31" s="1982"/>
      <c r="BV31" s="1982"/>
      <c r="BW31" s="1982"/>
      <c r="BX31" s="1982"/>
      <c r="BY31" s="1955"/>
      <c r="BZ31" s="1937"/>
      <c r="CA31" s="2216">
        <f t="shared" ref="CA31:DF31" si="153">CA30/13</f>
        <v>10013.076923076924</v>
      </c>
      <c r="CB31" s="2216">
        <f t="shared" si="153"/>
        <v>13377.692307692309</v>
      </c>
      <c r="CC31" s="2219">
        <f t="shared" si="153"/>
        <v>15482.307692307691</v>
      </c>
      <c r="CD31" s="1937">
        <f t="shared" si="153"/>
        <v>16323.076923076924</v>
      </c>
      <c r="CE31" s="2216">
        <f t="shared" si="153"/>
        <v>19862.307692307691</v>
      </c>
      <c r="CF31" s="2216">
        <f t="shared" si="153"/>
        <v>22850</v>
      </c>
      <c r="CG31" s="2216">
        <f t="shared" si="153"/>
        <v>19619.23076923077</v>
      </c>
      <c r="CH31" s="1937">
        <f t="shared" si="153"/>
        <v>26597.692307692309</v>
      </c>
      <c r="CI31" s="2216">
        <f t="shared" si="153"/>
        <v>22051.538461538461</v>
      </c>
      <c r="CJ31" s="2216">
        <f t="shared" si="153"/>
        <v>25809.23076923077</v>
      </c>
      <c r="CK31" s="2216">
        <f t="shared" si="153"/>
        <v>31163.846153846152</v>
      </c>
      <c r="CL31" s="1937">
        <f t="shared" si="153"/>
        <v>33286.153846153844</v>
      </c>
      <c r="CM31" s="2216">
        <f t="shared" si="153"/>
        <v>35142.307692307695</v>
      </c>
      <c r="CN31" s="2216">
        <f t="shared" si="153"/>
        <v>28949.23076923077</v>
      </c>
      <c r="CO31" s="2216">
        <f t="shared" si="153"/>
        <v>26358.461538461539</v>
      </c>
      <c r="CP31" s="1937">
        <f t="shared" si="153"/>
        <v>29427.692307692309</v>
      </c>
      <c r="CQ31" s="2216">
        <f t="shared" si="153"/>
        <v>31288.461538461539</v>
      </c>
      <c r="CR31" s="2216">
        <f t="shared" si="153"/>
        <v>34793.846153846156</v>
      </c>
      <c r="CS31" s="2216">
        <f t="shared" si="153"/>
        <v>33539.230769230766</v>
      </c>
      <c r="CT31" s="1937">
        <f t="shared" si="153"/>
        <v>35240.769230769234</v>
      </c>
      <c r="CU31" s="2216">
        <f t="shared" si="153"/>
        <v>34770</v>
      </c>
      <c r="CV31" s="2216">
        <f t="shared" si="153"/>
        <v>31601.538461538461</v>
      </c>
      <c r="CW31" s="2216">
        <f t="shared" si="153"/>
        <v>37230</v>
      </c>
      <c r="CX31" s="1937">
        <f t="shared" si="153"/>
        <v>37523.846153846156</v>
      </c>
      <c r="CY31" s="2216">
        <f t="shared" si="153"/>
        <v>33740</v>
      </c>
      <c r="CZ31" s="2216">
        <f t="shared" si="153"/>
        <v>34516.923076923078</v>
      </c>
      <c r="DA31" s="2216">
        <f t="shared" si="153"/>
        <v>35778.461538461539</v>
      </c>
      <c r="DB31" s="1937">
        <f t="shared" si="153"/>
        <v>39929.230769230766</v>
      </c>
      <c r="DC31" s="2216">
        <f t="shared" si="153"/>
        <v>38657.692307692305</v>
      </c>
      <c r="DD31" s="2216">
        <f t="shared" si="153"/>
        <v>40351.538461538461</v>
      </c>
      <c r="DE31" s="2216">
        <f t="shared" si="153"/>
        <v>37426.153846153844</v>
      </c>
      <c r="DF31" s="1937">
        <f t="shared" si="153"/>
        <v>35789.230769230766</v>
      </c>
      <c r="DG31" s="2216">
        <f>DG30/13</f>
        <v>39490</v>
      </c>
      <c r="DH31" s="2216">
        <f>DH30/13</f>
        <v>41953.846153846156</v>
      </c>
      <c r="DI31" s="2219">
        <f>DI30/13</f>
        <v>41354.615384615383</v>
      </c>
      <c r="DJ31" s="1937">
        <f t="shared" ref="DJ31:DM31" si="154">DJ30/13</f>
        <v>41073.076923076922</v>
      </c>
      <c r="DK31" s="2216">
        <f t="shared" si="154"/>
        <v>36853.846153846156</v>
      </c>
      <c r="DL31" s="2216">
        <f t="shared" si="154"/>
        <v>40513.846153846156</v>
      </c>
      <c r="DM31" s="2219">
        <f t="shared" si="154"/>
        <v>39851.538461538461</v>
      </c>
      <c r="DN31" s="2216">
        <f t="shared" ref="DN31:DO31" si="155">DN30/13</f>
        <v>40229.230769230766</v>
      </c>
      <c r="DO31" s="2216">
        <f t="shared" si="155"/>
        <v>-96783.846153846156</v>
      </c>
      <c r="DP31" s="2216">
        <f t="shared" ref="DP31:DQ31" si="156">DP30/13</f>
        <v>32492.307692307691</v>
      </c>
      <c r="DQ31" s="2219">
        <f t="shared" si="156"/>
        <v>31164.615384615383</v>
      </c>
      <c r="DR31" s="2216">
        <f t="shared" ref="DR31:DS31" si="157">DR30/13</f>
        <v>28863.846153846152</v>
      </c>
      <c r="DS31" s="2216">
        <f t="shared" si="157"/>
        <v>30134.615384615383</v>
      </c>
      <c r="DT31" s="2216">
        <f t="shared" ref="DT31:DU31" si="158">DT30/13</f>
        <v>31707.692307692309</v>
      </c>
      <c r="DU31" s="2219">
        <f t="shared" si="158"/>
        <v>30506.923076923078</v>
      </c>
      <c r="DV31" s="2216">
        <f t="shared" ref="DV31" si="159">DV30/13</f>
        <v>32229.23076923077</v>
      </c>
      <c r="DW31" s="2216">
        <f t="shared" ref="DW31:DY31" si="160">DW30/13</f>
        <v>32216.923076923078</v>
      </c>
      <c r="DX31" s="2216">
        <f t="shared" si="160"/>
        <v>33136.923076923078</v>
      </c>
      <c r="DY31" s="2219">
        <f t="shared" si="160"/>
        <v>32746.923076923078</v>
      </c>
    </row>
    <row r="32" spans="1:179" ht="15" customHeight="1" outlineLevel="1">
      <c r="A32" s="171" t="s">
        <v>1496</v>
      </c>
      <c r="B32" s="1044"/>
      <c r="C32" s="1044"/>
      <c r="D32" s="1044"/>
      <c r="E32" s="1044">
        <f t="shared" ref="E32:N32" si="161">+E37*E33*12</f>
        <v>20280</v>
      </c>
      <c r="F32" s="1044">
        <f t="shared" si="161"/>
        <v>71904</v>
      </c>
      <c r="G32" s="1044">
        <f t="shared" si="161"/>
        <v>256920</v>
      </c>
      <c r="H32" s="1094">
        <f t="shared" si="161"/>
        <v>456090</v>
      </c>
      <c r="I32" s="1094">
        <f t="shared" si="161"/>
        <v>693570</v>
      </c>
      <c r="J32" s="1094">
        <f t="shared" si="161"/>
        <v>881640</v>
      </c>
      <c r="K32" s="1094">
        <f t="shared" si="161"/>
        <v>1069950</v>
      </c>
      <c r="L32" s="1094">
        <f t="shared" si="161"/>
        <v>1233270</v>
      </c>
      <c r="M32" s="1094">
        <f t="shared" si="161"/>
        <v>1384740</v>
      </c>
      <c r="N32" s="1094">
        <f t="shared" si="161"/>
        <v>1517640</v>
      </c>
      <c r="O32" s="1094">
        <f t="shared" ref="O32:T32" si="162">+O37*O33*12</f>
        <v>1639800</v>
      </c>
      <c r="P32" s="1094">
        <f t="shared" si="162"/>
        <v>1473330</v>
      </c>
      <c r="Q32" s="1094">
        <f t="shared" si="162"/>
        <v>1378770</v>
      </c>
      <c r="R32" s="1094">
        <f t="shared" si="162"/>
        <v>1435290</v>
      </c>
      <c r="S32" s="1094">
        <f t="shared" si="162"/>
        <v>1463760</v>
      </c>
      <c r="T32" s="1094">
        <f t="shared" si="162"/>
        <v>1457760</v>
      </c>
      <c r="U32" s="1094">
        <f t="shared" ref="U32:Y32" si="163">+U37*U33*12</f>
        <v>1449360</v>
      </c>
      <c r="V32" s="1094">
        <f t="shared" si="163"/>
        <v>1438560</v>
      </c>
      <c r="W32" s="1094">
        <f t="shared" si="163"/>
        <v>1425360</v>
      </c>
      <c r="X32" s="1094">
        <f t="shared" si="163"/>
        <v>1409760</v>
      </c>
      <c r="Y32" s="1094">
        <f t="shared" si="163"/>
        <v>1391760</v>
      </c>
      <c r="Z32" s="536"/>
      <c r="AA32" s="1044"/>
      <c r="AB32" s="1044"/>
      <c r="AC32" s="1044"/>
      <c r="AD32" s="1044"/>
      <c r="AE32" s="1044"/>
      <c r="AF32" s="1044"/>
      <c r="AG32" s="1044"/>
      <c r="AH32" s="1044"/>
      <c r="AI32" s="1044"/>
      <c r="AJ32" s="1044"/>
      <c r="AK32" s="1044"/>
      <c r="AL32" s="1044"/>
      <c r="AM32" s="1044"/>
      <c r="AN32" s="1044"/>
      <c r="AO32" s="1044"/>
      <c r="AP32" s="1044"/>
      <c r="AQ32" s="1044"/>
      <c r="AR32" s="1044"/>
      <c r="AS32" s="1044"/>
      <c r="AT32" s="1044"/>
      <c r="AU32" s="1044"/>
      <c r="AV32" s="1044"/>
      <c r="AW32" s="1044"/>
      <c r="AX32" s="1044"/>
      <c r="AY32" s="1044"/>
      <c r="AZ32" s="1044"/>
      <c r="BA32" s="1044"/>
      <c r="BB32" s="1044"/>
      <c r="BC32" s="1044"/>
      <c r="BD32" s="1044"/>
      <c r="BE32" s="1044"/>
      <c r="BF32" s="1044"/>
      <c r="BG32" s="1044"/>
      <c r="BH32" s="1044"/>
      <c r="BI32" s="1044"/>
      <c r="BJ32" s="1044"/>
      <c r="BK32" s="1044"/>
      <c r="BL32" s="1044"/>
      <c r="BM32" s="1044"/>
      <c r="BN32" s="1044"/>
      <c r="BO32" s="1044"/>
      <c r="BP32" s="1044"/>
      <c r="BQ32" s="1044"/>
      <c r="BR32" s="1044"/>
      <c r="BS32" s="1044"/>
      <c r="BT32" s="1044"/>
      <c r="BU32" s="1044"/>
      <c r="BV32" s="1044"/>
      <c r="BW32" s="1044"/>
      <c r="BX32" s="1044"/>
      <c r="BY32" s="536"/>
      <c r="BZ32" s="171">
        <f t="shared" ref="BZ32:DE32" si="164">+BZ37*BZ33*3</f>
        <v>12990</v>
      </c>
      <c r="CA32" s="1044">
        <f t="shared" si="164"/>
        <v>19170</v>
      </c>
      <c r="CB32" s="1044">
        <f t="shared" si="164"/>
        <v>26910</v>
      </c>
      <c r="CC32" s="172">
        <f t="shared" si="164"/>
        <v>36270</v>
      </c>
      <c r="CD32" s="171">
        <f t="shared" si="164"/>
        <v>46200</v>
      </c>
      <c r="CE32" s="1044">
        <f t="shared" si="164"/>
        <v>57210</v>
      </c>
      <c r="CF32" s="1044">
        <f t="shared" si="164"/>
        <v>70050</v>
      </c>
      <c r="CG32" s="1044">
        <f t="shared" si="164"/>
        <v>82050</v>
      </c>
      <c r="CH32" s="171">
        <f t="shared" si="164"/>
        <v>94770</v>
      </c>
      <c r="CI32" s="1044">
        <f t="shared" si="164"/>
        <v>107670</v>
      </c>
      <c r="CJ32" s="1044">
        <f t="shared" si="164"/>
        <v>119520</v>
      </c>
      <c r="CK32" s="1044">
        <f t="shared" si="164"/>
        <v>134130</v>
      </c>
      <c r="CL32" s="171">
        <f t="shared" si="164"/>
        <v>150720</v>
      </c>
      <c r="CM32" s="1044">
        <f t="shared" si="164"/>
        <v>167850</v>
      </c>
      <c r="CN32" s="1044">
        <f t="shared" si="164"/>
        <v>182340</v>
      </c>
      <c r="CO32" s="1044">
        <f t="shared" si="164"/>
        <v>192660</v>
      </c>
      <c r="CP32" s="171">
        <f t="shared" si="164"/>
        <v>202560</v>
      </c>
      <c r="CQ32" s="1044">
        <f t="shared" si="164"/>
        <v>213750</v>
      </c>
      <c r="CR32" s="1044">
        <f t="shared" si="164"/>
        <v>226320</v>
      </c>
      <c r="CS32" s="1044">
        <f t="shared" si="164"/>
        <v>239010</v>
      </c>
      <c r="CT32" s="171">
        <f t="shared" si="164"/>
        <v>251130</v>
      </c>
      <c r="CU32" s="1044">
        <f t="shared" si="164"/>
        <v>263010</v>
      </c>
      <c r="CV32" s="1044">
        <f t="shared" si="164"/>
        <v>272820</v>
      </c>
      <c r="CW32" s="1044">
        <f t="shared" si="164"/>
        <v>282990</v>
      </c>
      <c r="CX32" s="171">
        <f t="shared" si="164"/>
        <v>294810</v>
      </c>
      <c r="CY32" s="1044">
        <f t="shared" si="164"/>
        <v>304620</v>
      </c>
      <c r="CZ32" s="1044">
        <f t="shared" si="164"/>
        <v>312720</v>
      </c>
      <c r="DA32" s="1044">
        <f t="shared" si="164"/>
        <v>321120</v>
      </c>
      <c r="DB32" s="171">
        <f t="shared" si="164"/>
        <v>331080</v>
      </c>
      <c r="DC32" s="1044">
        <f t="shared" si="164"/>
        <v>341550</v>
      </c>
      <c r="DD32" s="1044">
        <f t="shared" si="164"/>
        <v>351570</v>
      </c>
      <c r="DE32" s="1044">
        <f t="shared" si="164"/>
        <v>360540</v>
      </c>
      <c r="DF32" s="171">
        <f>+DF37*DF33*3</f>
        <v>367260</v>
      </c>
      <c r="DG32" s="1044">
        <f>+DG37*DG33*3</f>
        <v>374370</v>
      </c>
      <c r="DH32" s="1044">
        <f>+DH37*DH33*3</f>
        <v>383400</v>
      </c>
      <c r="DI32" s="172">
        <f>+DI37*DI33*3</f>
        <v>392610</v>
      </c>
      <c r="DJ32" s="171">
        <f t="shared" ref="DJ32:DM32" si="165">+DJ37*DJ33*3</f>
        <v>400950</v>
      </c>
      <c r="DK32" s="1044">
        <f t="shared" si="165"/>
        <v>407100</v>
      </c>
      <c r="DL32" s="1044">
        <f t="shared" si="165"/>
        <v>412680</v>
      </c>
      <c r="DM32" s="172">
        <f t="shared" si="165"/>
        <v>419070</v>
      </c>
      <c r="DN32" s="1044">
        <f t="shared" ref="DN32:DO32" si="166">+DN37*DN33*3</f>
        <v>424980</v>
      </c>
      <c r="DO32" s="1044">
        <f t="shared" si="166"/>
        <v>378810</v>
      </c>
      <c r="DP32" s="1044">
        <f t="shared" ref="DP32:DQ32" si="167">+DP37*DP33*3</f>
        <v>332400</v>
      </c>
      <c r="DQ32" s="172">
        <f t="shared" si="167"/>
        <v>337140</v>
      </c>
      <c r="DR32" s="1044">
        <f t="shared" ref="DR32:DS32" si="168">+DR37*DR33*3</f>
        <v>340230</v>
      </c>
      <c r="DS32" s="1044">
        <f t="shared" si="168"/>
        <v>342750</v>
      </c>
      <c r="DT32" s="1044">
        <f t="shared" ref="DT32:DU32" si="169">+DT37*DT33*3</f>
        <v>346200</v>
      </c>
      <c r="DU32" s="172">
        <f t="shared" si="169"/>
        <v>349590</v>
      </c>
      <c r="DV32" s="1044">
        <f t="shared" ref="DV32" si="170">+DV37*DV33*3</f>
        <v>352980</v>
      </c>
      <c r="DW32" s="1044">
        <f t="shared" ref="DW32:DY32" si="171">+DW37*DW33*3</f>
        <v>356820</v>
      </c>
      <c r="DX32" s="1044">
        <f t="shared" si="171"/>
        <v>360780</v>
      </c>
      <c r="DY32" s="172">
        <f t="shared" si="171"/>
        <v>364710</v>
      </c>
    </row>
    <row r="33" spans="1:130" ht="15" customHeight="1" outlineLevel="1">
      <c r="A33" s="671" t="s">
        <v>327</v>
      </c>
      <c r="B33" s="1045"/>
      <c r="C33" s="1045"/>
      <c r="D33" s="1045"/>
      <c r="E33" s="1045">
        <f t="shared" ref="E33:N33" si="172">E34+E35</f>
        <v>0.02</v>
      </c>
      <c r="F33" s="1045">
        <f t="shared" si="172"/>
        <v>1.4E-2</v>
      </c>
      <c r="G33" s="1045">
        <f t="shared" si="172"/>
        <v>0.02</v>
      </c>
      <c r="H33" s="1069">
        <f t="shared" si="172"/>
        <v>0.02</v>
      </c>
      <c r="I33" s="1069">
        <f t="shared" si="172"/>
        <v>0.02</v>
      </c>
      <c r="J33" s="1069">
        <f t="shared" si="172"/>
        <v>0.02</v>
      </c>
      <c r="K33" s="1069">
        <f t="shared" si="172"/>
        <v>0.02</v>
      </c>
      <c r="L33" s="1069">
        <f t="shared" si="172"/>
        <v>0.02</v>
      </c>
      <c r="M33" s="1069">
        <f t="shared" si="172"/>
        <v>0.02</v>
      </c>
      <c r="N33" s="1069">
        <f t="shared" si="172"/>
        <v>0.02</v>
      </c>
      <c r="O33" s="1069">
        <f t="shared" ref="O33:T33" si="173">O34+O35</f>
        <v>0.02</v>
      </c>
      <c r="P33" s="1069">
        <f t="shared" si="173"/>
        <v>0.02</v>
      </c>
      <c r="Q33" s="1069">
        <f t="shared" si="173"/>
        <v>0.02</v>
      </c>
      <c r="R33" s="1069">
        <f t="shared" si="173"/>
        <v>0.02</v>
      </c>
      <c r="S33" s="1069">
        <f t="shared" si="173"/>
        <v>0.02</v>
      </c>
      <c r="T33" s="1069">
        <f t="shared" si="173"/>
        <v>0.02</v>
      </c>
      <c r="U33" s="1069">
        <f t="shared" ref="U33:Y33" si="174">U34+U35</f>
        <v>0.02</v>
      </c>
      <c r="V33" s="1069">
        <f t="shared" si="174"/>
        <v>0.02</v>
      </c>
      <c r="W33" s="1069">
        <f t="shared" si="174"/>
        <v>0.02</v>
      </c>
      <c r="X33" s="1069">
        <f t="shared" si="174"/>
        <v>0.02</v>
      </c>
      <c r="Y33" s="1069">
        <f t="shared" si="174"/>
        <v>0.02</v>
      </c>
      <c r="Z33" s="138"/>
      <c r="AA33" s="1045"/>
      <c r="AB33" s="1045"/>
      <c r="AC33" s="1045"/>
      <c r="AD33" s="1045"/>
      <c r="AE33" s="1045"/>
      <c r="AF33" s="1045"/>
      <c r="AG33" s="1045"/>
      <c r="AH33" s="1045"/>
      <c r="AI33" s="1045"/>
      <c r="AJ33" s="1045"/>
      <c r="AK33" s="1045"/>
      <c r="AL33" s="1045"/>
      <c r="AM33" s="1045"/>
      <c r="AN33" s="1045"/>
      <c r="AO33" s="1045"/>
      <c r="AP33" s="1045"/>
      <c r="AQ33" s="1045"/>
      <c r="AR33" s="1045"/>
      <c r="AS33" s="1045"/>
      <c r="AT33" s="1045"/>
      <c r="AU33" s="1045"/>
      <c r="AV33" s="1045"/>
      <c r="AW33" s="1045"/>
      <c r="AX33" s="1045"/>
      <c r="AY33" s="1045"/>
      <c r="AZ33" s="1045"/>
      <c r="BA33" s="1045"/>
      <c r="BB33" s="1045"/>
      <c r="BC33" s="1045"/>
      <c r="BD33" s="1045"/>
      <c r="BE33" s="1045"/>
      <c r="BF33" s="1045"/>
      <c r="BG33" s="1045"/>
      <c r="BH33" s="1045"/>
      <c r="BI33" s="1045"/>
      <c r="BJ33" s="1045"/>
      <c r="BK33" s="1045"/>
      <c r="BL33" s="1045"/>
      <c r="BM33" s="1045"/>
      <c r="BN33" s="1045"/>
      <c r="BO33" s="1045"/>
      <c r="BP33" s="1045"/>
      <c r="BQ33" s="1045"/>
      <c r="BR33" s="1045"/>
      <c r="BS33" s="1045"/>
      <c r="BT33" s="1045"/>
      <c r="BU33" s="1045"/>
      <c r="BV33" s="1045"/>
      <c r="BW33" s="1045"/>
      <c r="BX33" s="1045"/>
      <c r="BY33" s="138"/>
      <c r="BZ33" s="147">
        <f t="shared" ref="BZ33:DE33" si="175">BZ34+BZ35</f>
        <v>0.02</v>
      </c>
      <c r="CA33" s="1045">
        <f t="shared" si="175"/>
        <v>0.02</v>
      </c>
      <c r="CB33" s="1045">
        <f t="shared" si="175"/>
        <v>0.02</v>
      </c>
      <c r="CC33" s="101">
        <f t="shared" si="175"/>
        <v>0.02</v>
      </c>
      <c r="CD33" s="147">
        <f t="shared" si="175"/>
        <v>0.02</v>
      </c>
      <c r="CE33" s="1045">
        <f t="shared" si="175"/>
        <v>0.02</v>
      </c>
      <c r="CF33" s="1045">
        <f t="shared" si="175"/>
        <v>0.02</v>
      </c>
      <c r="CG33" s="1045">
        <f t="shared" si="175"/>
        <v>0.02</v>
      </c>
      <c r="CH33" s="147">
        <f t="shared" si="175"/>
        <v>0.02</v>
      </c>
      <c r="CI33" s="1045">
        <f t="shared" si="175"/>
        <v>0.02</v>
      </c>
      <c r="CJ33" s="1045">
        <f t="shared" si="175"/>
        <v>0.02</v>
      </c>
      <c r="CK33" s="1045">
        <f t="shared" si="175"/>
        <v>0.02</v>
      </c>
      <c r="CL33" s="147">
        <f t="shared" si="175"/>
        <v>0.02</v>
      </c>
      <c r="CM33" s="1045">
        <f t="shared" si="175"/>
        <v>0.02</v>
      </c>
      <c r="CN33" s="1045">
        <f t="shared" si="175"/>
        <v>0.02</v>
      </c>
      <c r="CO33" s="1045">
        <f t="shared" si="175"/>
        <v>0.02</v>
      </c>
      <c r="CP33" s="147">
        <f t="shared" si="175"/>
        <v>0.02</v>
      </c>
      <c r="CQ33" s="1045">
        <f t="shared" si="175"/>
        <v>0.02</v>
      </c>
      <c r="CR33" s="1045">
        <f t="shared" si="175"/>
        <v>0.02</v>
      </c>
      <c r="CS33" s="1045">
        <f t="shared" si="175"/>
        <v>0.02</v>
      </c>
      <c r="CT33" s="147">
        <f t="shared" si="175"/>
        <v>0.02</v>
      </c>
      <c r="CU33" s="1045">
        <f t="shared" si="175"/>
        <v>0.02</v>
      </c>
      <c r="CV33" s="1045">
        <f t="shared" si="175"/>
        <v>0.02</v>
      </c>
      <c r="CW33" s="1045">
        <f t="shared" si="175"/>
        <v>0.02</v>
      </c>
      <c r="CX33" s="147">
        <f t="shared" si="175"/>
        <v>0.02</v>
      </c>
      <c r="CY33" s="1045">
        <f t="shared" si="175"/>
        <v>0.02</v>
      </c>
      <c r="CZ33" s="1045">
        <f t="shared" si="175"/>
        <v>0.02</v>
      </c>
      <c r="DA33" s="1045">
        <f t="shared" si="175"/>
        <v>0.02</v>
      </c>
      <c r="DB33" s="147">
        <f t="shared" si="175"/>
        <v>0.02</v>
      </c>
      <c r="DC33" s="1045">
        <f t="shared" si="175"/>
        <v>0.02</v>
      </c>
      <c r="DD33" s="1045">
        <f t="shared" si="175"/>
        <v>0.02</v>
      </c>
      <c r="DE33" s="1045">
        <f t="shared" si="175"/>
        <v>0.02</v>
      </c>
      <c r="DF33" s="147">
        <f>DF34+DF35</f>
        <v>0.02</v>
      </c>
      <c r="DG33" s="1045">
        <f>DG34+DG35</f>
        <v>0.02</v>
      </c>
      <c r="DH33" s="1045">
        <f>DH34+DH35</f>
        <v>0.02</v>
      </c>
      <c r="DI33" s="101">
        <f>DI34+DI35</f>
        <v>0.02</v>
      </c>
      <c r="DJ33" s="147">
        <f t="shared" ref="DJ33:DM33" si="176">DJ34+DJ35</f>
        <v>0.02</v>
      </c>
      <c r="DK33" s="1045">
        <f t="shared" si="176"/>
        <v>0.02</v>
      </c>
      <c r="DL33" s="1045">
        <f t="shared" si="176"/>
        <v>0.02</v>
      </c>
      <c r="DM33" s="101">
        <f t="shared" si="176"/>
        <v>0.02</v>
      </c>
      <c r="DN33" s="1045">
        <f t="shared" ref="DN33:DO33" si="177">DN34+DN35</f>
        <v>0.02</v>
      </c>
      <c r="DO33" s="1045">
        <f t="shared" si="177"/>
        <v>0.02</v>
      </c>
      <c r="DP33" s="1045">
        <f t="shared" ref="DP33:DQ33" si="178">DP34+DP35</f>
        <v>0.02</v>
      </c>
      <c r="DQ33" s="101">
        <f t="shared" si="178"/>
        <v>0.02</v>
      </c>
      <c r="DR33" s="1045">
        <f t="shared" ref="DR33:DS33" si="179">DR34+DR35</f>
        <v>0.02</v>
      </c>
      <c r="DS33" s="1045">
        <f t="shared" si="179"/>
        <v>0.02</v>
      </c>
      <c r="DT33" s="1045">
        <f t="shared" ref="DT33:DU33" si="180">DT34+DT35</f>
        <v>0.02</v>
      </c>
      <c r="DU33" s="101">
        <f t="shared" si="180"/>
        <v>0.02</v>
      </c>
      <c r="DV33" s="1045">
        <f t="shared" ref="DV33" si="181">DV34+DV35</f>
        <v>0.02</v>
      </c>
      <c r="DW33" s="1045">
        <f t="shared" ref="DW33:DY33" si="182">DW34+DW35</f>
        <v>0.02</v>
      </c>
      <c r="DX33" s="1045">
        <f t="shared" si="182"/>
        <v>0.02</v>
      </c>
      <c r="DY33" s="101">
        <f t="shared" si="182"/>
        <v>0.02</v>
      </c>
    </row>
    <row r="34" spans="1:130" ht="15" customHeight="1" outlineLevel="1">
      <c r="A34" s="672" t="s">
        <v>328</v>
      </c>
      <c r="B34" s="1045"/>
      <c r="C34" s="1045"/>
      <c r="D34" s="1045"/>
      <c r="E34" s="1272">
        <v>0.01</v>
      </c>
      <c r="F34" s="1272">
        <v>4.0000000000000001E-3</v>
      </c>
      <c r="G34" s="1272">
        <v>0.01</v>
      </c>
      <c r="H34" s="1098">
        <v>0.01</v>
      </c>
      <c r="I34" s="1098">
        <v>0.01</v>
      </c>
      <c r="J34" s="1098">
        <v>0.01</v>
      </c>
      <c r="K34" s="1098">
        <v>0.01</v>
      </c>
      <c r="L34" s="1098">
        <v>0.01</v>
      </c>
      <c r="M34" s="1098">
        <v>0.01</v>
      </c>
      <c r="N34" s="1098">
        <v>0.01</v>
      </c>
      <c r="O34" s="1098">
        <v>0.01</v>
      </c>
      <c r="P34" s="1098">
        <v>0.01</v>
      </c>
      <c r="Q34" s="1098">
        <v>0.01</v>
      </c>
      <c r="R34" s="1098">
        <v>0.01</v>
      </c>
      <c r="S34" s="1098">
        <v>0.01</v>
      </c>
      <c r="T34" s="1098">
        <v>0.01</v>
      </c>
      <c r="U34" s="1098">
        <v>0.01</v>
      </c>
      <c r="V34" s="1098">
        <v>0.01</v>
      </c>
      <c r="W34" s="1098">
        <v>0.01</v>
      </c>
      <c r="X34" s="1098">
        <v>0.01</v>
      </c>
      <c r="Y34" s="1098">
        <v>0.01</v>
      </c>
      <c r="Z34" s="138"/>
      <c r="AA34" s="1045"/>
      <c r="AB34" s="1045"/>
      <c r="AC34" s="1045"/>
      <c r="AD34" s="1045"/>
      <c r="AE34" s="1045"/>
      <c r="AF34" s="1045"/>
      <c r="AG34" s="1045"/>
      <c r="AH34" s="1045"/>
      <c r="AI34" s="1045"/>
      <c r="AJ34" s="1045"/>
      <c r="AK34" s="1045"/>
      <c r="AL34" s="1045"/>
      <c r="AM34" s="1045"/>
      <c r="AN34" s="1045"/>
      <c r="AO34" s="1045"/>
      <c r="AP34" s="1045"/>
      <c r="AQ34" s="1045"/>
      <c r="AR34" s="1045"/>
      <c r="AS34" s="1045"/>
      <c r="AT34" s="1045"/>
      <c r="AU34" s="1045"/>
      <c r="AV34" s="1045"/>
      <c r="AW34" s="1045"/>
      <c r="AX34" s="1045"/>
      <c r="AY34" s="1045"/>
      <c r="AZ34" s="1045"/>
      <c r="BA34" s="1045"/>
      <c r="BB34" s="1045"/>
      <c r="BC34" s="1045"/>
      <c r="BD34" s="1045"/>
      <c r="BE34" s="1045"/>
      <c r="BF34" s="1045"/>
      <c r="BG34" s="1045"/>
      <c r="BH34" s="1045"/>
      <c r="BI34" s="1045"/>
      <c r="BJ34" s="1045"/>
      <c r="BK34" s="1045"/>
      <c r="BL34" s="1045"/>
      <c r="BM34" s="1045"/>
      <c r="BN34" s="1045"/>
      <c r="BO34" s="1045"/>
      <c r="BP34" s="1045"/>
      <c r="BQ34" s="1045"/>
      <c r="BR34" s="1045"/>
      <c r="BS34" s="1045"/>
      <c r="BT34" s="1045"/>
      <c r="BU34" s="1045"/>
      <c r="BV34" s="1045"/>
      <c r="BW34" s="1045"/>
      <c r="BX34" s="1045"/>
      <c r="BY34" s="138"/>
      <c r="BZ34" s="473">
        <v>0.01</v>
      </c>
      <c r="CA34" s="1272">
        <v>0.01</v>
      </c>
      <c r="CB34" s="1272">
        <v>0.01</v>
      </c>
      <c r="CC34" s="673">
        <v>0.01</v>
      </c>
      <c r="CD34" s="473">
        <v>0.01</v>
      </c>
      <c r="CE34" s="1272">
        <v>0.01</v>
      </c>
      <c r="CF34" s="1272">
        <v>0.01</v>
      </c>
      <c r="CG34" s="1272">
        <v>0.01</v>
      </c>
      <c r="CH34" s="473">
        <v>0.01</v>
      </c>
      <c r="CI34" s="1272">
        <v>0.01</v>
      </c>
      <c r="CJ34" s="1272">
        <v>0.01</v>
      </c>
      <c r="CK34" s="1272">
        <v>0.01</v>
      </c>
      <c r="CL34" s="473">
        <v>0.01</v>
      </c>
      <c r="CM34" s="1272">
        <v>0.01</v>
      </c>
      <c r="CN34" s="1272">
        <v>0.01</v>
      </c>
      <c r="CO34" s="1272">
        <v>0.01</v>
      </c>
      <c r="CP34" s="473">
        <v>0.01</v>
      </c>
      <c r="CQ34" s="1272">
        <v>0.01</v>
      </c>
      <c r="CR34" s="1272">
        <v>0.01</v>
      </c>
      <c r="CS34" s="1272">
        <v>0.01</v>
      </c>
      <c r="CT34" s="473">
        <v>0.01</v>
      </c>
      <c r="CU34" s="1272">
        <v>0.01</v>
      </c>
      <c r="CV34" s="1272">
        <v>0.01</v>
      </c>
      <c r="CW34" s="1272">
        <v>0.01</v>
      </c>
      <c r="CX34" s="473">
        <v>0.01</v>
      </c>
      <c r="CY34" s="1272">
        <v>0.01</v>
      </c>
      <c r="CZ34" s="1272">
        <v>0.01</v>
      </c>
      <c r="DA34" s="1272">
        <v>0.01</v>
      </c>
      <c r="DB34" s="473">
        <v>0.01</v>
      </c>
      <c r="DC34" s="1272">
        <v>0.01</v>
      </c>
      <c r="DD34" s="1272">
        <v>0.01</v>
      </c>
      <c r="DE34" s="1272">
        <v>0.01</v>
      </c>
      <c r="DF34" s="473">
        <v>0.01</v>
      </c>
      <c r="DG34" s="1272">
        <v>0.01</v>
      </c>
      <c r="DH34" s="1272">
        <v>0.01</v>
      </c>
      <c r="DI34" s="673">
        <v>0.01</v>
      </c>
      <c r="DJ34" s="473">
        <v>0.01</v>
      </c>
      <c r="DK34" s="1272">
        <v>0.01</v>
      </c>
      <c r="DL34" s="1272">
        <v>0.01</v>
      </c>
      <c r="DM34" s="673">
        <v>0.01</v>
      </c>
      <c r="DN34" s="1272">
        <v>0.01</v>
      </c>
      <c r="DO34" s="1272">
        <v>0.01</v>
      </c>
      <c r="DP34" s="1272">
        <v>0.01</v>
      </c>
      <c r="DQ34" s="673">
        <v>0.01</v>
      </c>
      <c r="DR34" s="1272">
        <v>0.01</v>
      </c>
      <c r="DS34" s="1272">
        <v>0.01</v>
      </c>
      <c r="DT34" s="1272">
        <v>0.01</v>
      </c>
      <c r="DU34" s="673">
        <v>0.01</v>
      </c>
      <c r="DV34" s="1272">
        <v>0.01</v>
      </c>
      <c r="DW34" s="1272">
        <v>0.01</v>
      </c>
      <c r="DX34" s="1272">
        <v>0.01</v>
      </c>
      <c r="DY34" s="673">
        <v>0.01</v>
      </c>
    </row>
    <row r="35" spans="1:130" ht="15" customHeight="1" outlineLevel="1">
      <c r="A35" s="176" t="s">
        <v>329</v>
      </c>
      <c r="B35" s="1045"/>
      <c r="C35" s="1045"/>
      <c r="D35" s="1045"/>
      <c r="E35" s="1272">
        <v>0.01</v>
      </c>
      <c r="F35" s="1272">
        <v>0.01</v>
      </c>
      <c r="G35" s="1272">
        <v>0.01</v>
      </c>
      <c r="H35" s="1098">
        <v>0.01</v>
      </c>
      <c r="I35" s="1098">
        <v>0.01</v>
      </c>
      <c r="J35" s="1098">
        <v>0.01</v>
      </c>
      <c r="K35" s="1098">
        <v>0.01</v>
      </c>
      <c r="L35" s="1098">
        <v>0.01</v>
      </c>
      <c r="M35" s="1098">
        <v>0.01</v>
      </c>
      <c r="N35" s="1098">
        <v>0.01</v>
      </c>
      <c r="O35" s="1098">
        <v>0.01</v>
      </c>
      <c r="P35" s="1098">
        <v>0.01</v>
      </c>
      <c r="Q35" s="1098">
        <v>0.01</v>
      </c>
      <c r="R35" s="1098">
        <v>0.01</v>
      </c>
      <c r="S35" s="1098">
        <v>0.01</v>
      </c>
      <c r="T35" s="1098">
        <v>0.01</v>
      </c>
      <c r="U35" s="1098">
        <v>0.01</v>
      </c>
      <c r="V35" s="1098">
        <v>0.01</v>
      </c>
      <c r="W35" s="1098">
        <v>0.01</v>
      </c>
      <c r="X35" s="1098">
        <v>0.01</v>
      </c>
      <c r="Y35" s="1098">
        <v>0.01</v>
      </c>
      <c r="Z35" s="138"/>
      <c r="AA35" s="1045"/>
      <c r="AB35" s="1045"/>
      <c r="AC35" s="1045"/>
      <c r="AD35" s="1045"/>
      <c r="AE35" s="1045"/>
      <c r="AF35" s="1045"/>
      <c r="AG35" s="1045"/>
      <c r="AH35" s="1045"/>
      <c r="AI35" s="1045"/>
      <c r="AJ35" s="1045"/>
      <c r="AK35" s="1045"/>
      <c r="AL35" s="1045"/>
      <c r="AM35" s="1045"/>
      <c r="AN35" s="1045"/>
      <c r="AO35" s="1045"/>
      <c r="AP35" s="1045"/>
      <c r="AQ35" s="1045"/>
      <c r="AR35" s="1045"/>
      <c r="AS35" s="1045"/>
      <c r="AT35" s="1045"/>
      <c r="AU35" s="1045"/>
      <c r="AV35" s="1045"/>
      <c r="AW35" s="1045"/>
      <c r="AX35" s="1045"/>
      <c r="AY35" s="1045"/>
      <c r="AZ35" s="1045"/>
      <c r="BA35" s="1045"/>
      <c r="BB35" s="1045"/>
      <c r="BC35" s="1045"/>
      <c r="BD35" s="1045"/>
      <c r="BE35" s="1045"/>
      <c r="BF35" s="1045"/>
      <c r="BG35" s="1045"/>
      <c r="BH35" s="1045"/>
      <c r="BI35" s="1045"/>
      <c r="BJ35" s="1045"/>
      <c r="BK35" s="1045"/>
      <c r="BL35" s="1045"/>
      <c r="BM35" s="1045"/>
      <c r="BN35" s="1045"/>
      <c r="BO35" s="1045"/>
      <c r="BP35" s="1045"/>
      <c r="BQ35" s="1045"/>
      <c r="BR35" s="1045"/>
      <c r="BS35" s="1045"/>
      <c r="BT35" s="1045"/>
      <c r="BU35" s="1045"/>
      <c r="BV35" s="1045"/>
      <c r="BW35" s="1045"/>
      <c r="BX35" s="1045"/>
      <c r="BY35" s="138"/>
      <c r="BZ35" s="473">
        <v>0.01</v>
      </c>
      <c r="CA35" s="1272">
        <v>0.01</v>
      </c>
      <c r="CB35" s="1272">
        <v>0.01</v>
      </c>
      <c r="CC35" s="673">
        <v>0.01</v>
      </c>
      <c r="CD35" s="473">
        <v>0.01</v>
      </c>
      <c r="CE35" s="1272">
        <v>0.01</v>
      </c>
      <c r="CF35" s="1272">
        <v>0.01</v>
      </c>
      <c r="CG35" s="1272">
        <v>0.01</v>
      </c>
      <c r="CH35" s="473">
        <v>0.01</v>
      </c>
      <c r="CI35" s="1272">
        <v>0.01</v>
      </c>
      <c r="CJ35" s="1272">
        <v>0.01</v>
      </c>
      <c r="CK35" s="1272">
        <v>0.01</v>
      </c>
      <c r="CL35" s="473">
        <v>0.01</v>
      </c>
      <c r="CM35" s="1272">
        <v>0.01</v>
      </c>
      <c r="CN35" s="1272">
        <v>0.01</v>
      </c>
      <c r="CO35" s="1272">
        <v>0.01</v>
      </c>
      <c r="CP35" s="473">
        <v>0.01</v>
      </c>
      <c r="CQ35" s="1272">
        <v>0.01</v>
      </c>
      <c r="CR35" s="1272">
        <v>0.01</v>
      </c>
      <c r="CS35" s="1272">
        <v>0.01</v>
      </c>
      <c r="CT35" s="473">
        <v>0.01</v>
      </c>
      <c r="CU35" s="1272">
        <v>0.01</v>
      </c>
      <c r="CV35" s="1272">
        <v>0.01</v>
      </c>
      <c r="CW35" s="1272">
        <v>0.01</v>
      </c>
      <c r="CX35" s="473">
        <v>0.01</v>
      </c>
      <c r="CY35" s="1272">
        <v>0.01</v>
      </c>
      <c r="CZ35" s="1272">
        <v>0.01</v>
      </c>
      <c r="DA35" s="1272">
        <v>0.01</v>
      </c>
      <c r="DB35" s="473">
        <v>0.01</v>
      </c>
      <c r="DC35" s="1272">
        <v>0.01</v>
      </c>
      <c r="DD35" s="1272">
        <v>0.01</v>
      </c>
      <c r="DE35" s="1272">
        <v>0.01</v>
      </c>
      <c r="DF35" s="473">
        <v>0.01</v>
      </c>
      <c r="DG35" s="1272">
        <v>0.01</v>
      </c>
      <c r="DH35" s="1272">
        <v>0.01</v>
      </c>
      <c r="DI35" s="673">
        <v>0.01</v>
      </c>
      <c r="DJ35" s="473">
        <v>0.01</v>
      </c>
      <c r="DK35" s="1272">
        <v>0.01</v>
      </c>
      <c r="DL35" s="1272">
        <v>0.01</v>
      </c>
      <c r="DM35" s="673">
        <v>0.01</v>
      </c>
      <c r="DN35" s="1272">
        <v>0.01</v>
      </c>
      <c r="DO35" s="1272">
        <v>0.01</v>
      </c>
      <c r="DP35" s="1272">
        <v>0.01</v>
      </c>
      <c r="DQ35" s="673">
        <v>0.01</v>
      </c>
      <c r="DR35" s="1272">
        <v>0.01</v>
      </c>
      <c r="DS35" s="1272">
        <v>0.01</v>
      </c>
      <c r="DT35" s="1272">
        <v>0.01</v>
      </c>
      <c r="DU35" s="673">
        <v>0.01</v>
      </c>
      <c r="DV35" s="1272">
        <v>0.01</v>
      </c>
      <c r="DW35" s="1272">
        <v>0.01</v>
      </c>
      <c r="DX35" s="1272">
        <v>0.01</v>
      </c>
      <c r="DY35" s="673">
        <v>0.01</v>
      </c>
    </row>
    <row r="36" spans="1:130" ht="15" customHeight="1" outlineLevel="1">
      <c r="A36" s="674" t="s">
        <v>330</v>
      </c>
      <c r="B36" s="212"/>
      <c r="C36" s="212"/>
      <c r="D36" s="212"/>
      <c r="E36" s="212">
        <f t="shared" ref="E36:N36" si="183">E14</f>
        <v>169000</v>
      </c>
      <c r="F36" s="212">
        <f t="shared" si="183"/>
        <v>687000</v>
      </c>
      <c r="G36" s="212">
        <f t="shared" si="183"/>
        <v>1454000</v>
      </c>
      <c r="H36" s="675">
        <f t="shared" si="183"/>
        <v>2371000</v>
      </c>
      <c r="I36" s="675">
        <f t="shared" si="183"/>
        <v>3286000</v>
      </c>
      <c r="J36" s="675">
        <f t="shared" si="183"/>
        <v>4082000</v>
      </c>
      <c r="K36" s="675">
        <f t="shared" si="183"/>
        <v>4817000</v>
      </c>
      <c r="L36" s="675">
        <f t="shared" si="183"/>
        <v>5424000</v>
      </c>
      <c r="M36" s="675">
        <f t="shared" si="183"/>
        <v>6072000</v>
      </c>
      <c r="N36" s="675">
        <f t="shared" si="183"/>
        <v>6616000</v>
      </c>
      <c r="O36" s="675">
        <f t="shared" ref="O36:T36" si="184">O14</f>
        <v>7034000</v>
      </c>
      <c r="P36" s="675">
        <f t="shared" si="184"/>
        <v>5653000</v>
      </c>
      <c r="Q36" s="675">
        <f t="shared" si="184"/>
        <v>5850000</v>
      </c>
      <c r="R36" s="675">
        <f t="shared" si="184"/>
        <v>6109000</v>
      </c>
      <c r="S36" s="675">
        <f t="shared" si="184"/>
        <v>6089000</v>
      </c>
      <c r="T36" s="675">
        <f t="shared" si="184"/>
        <v>6059000</v>
      </c>
      <c r="U36" s="675">
        <f t="shared" ref="U36:Y36" si="185">U14</f>
        <v>6019000</v>
      </c>
      <c r="V36" s="675">
        <f t="shared" si="185"/>
        <v>5969000</v>
      </c>
      <c r="W36" s="675">
        <f t="shared" si="185"/>
        <v>5909000</v>
      </c>
      <c r="X36" s="675">
        <f t="shared" si="185"/>
        <v>5839000</v>
      </c>
      <c r="Y36" s="675">
        <f t="shared" si="185"/>
        <v>5759000</v>
      </c>
      <c r="Z36" s="536"/>
      <c r="AA36" s="1044"/>
      <c r="AB36" s="1044"/>
      <c r="AC36" s="1044"/>
      <c r="AD36" s="1044"/>
      <c r="AE36" s="1044"/>
      <c r="AF36" s="1044"/>
      <c r="AG36" s="1044"/>
      <c r="AH36" s="1044"/>
      <c r="AI36" s="1044"/>
      <c r="AJ36" s="1044"/>
      <c r="AK36" s="1044"/>
      <c r="AL36" s="1044"/>
      <c r="AM36" s="1044"/>
      <c r="AN36" s="1044"/>
      <c r="AO36" s="1044"/>
      <c r="AP36" s="1044"/>
      <c r="AQ36" s="1044"/>
      <c r="AR36" s="1044"/>
      <c r="AS36" s="1044"/>
      <c r="AT36" s="1044"/>
      <c r="AU36" s="1044"/>
      <c r="AV36" s="1044"/>
      <c r="AW36" s="1044"/>
      <c r="AX36" s="1044"/>
      <c r="AY36" s="1044"/>
      <c r="AZ36" s="1044"/>
      <c r="BA36" s="1044"/>
      <c r="BB36" s="1044"/>
      <c r="BC36" s="1044"/>
      <c r="BD36" s="1044"/>
      <c r="BE36" s="1044"/>
      <c r="BF36" s="1044"/>
      <c r="BG36" s="1044"/>
      <c r="BH36" s="1044"/>
      <c r="BI36" s="1044"/>
      <c r="BJ36" s="1044"/>
      <c r="BK36" s="1044"/>
      <c r="BL36" s="1044"/>
      <c r="BM36" s="1044"/>
      <c r="BN36" s="1044"/>
      <c r="BO36" s="1044"/>
      <c r="BP36" s="1044"/>
      <c r="BQ36" s="1044"/>
      <c r="BR36" s="1044"/>
      <c r="BS36" s="1044"/>
      <c r="BT36" s="1044"/>
      <c r="BU36" s="1044"/>
      <c r="BV36" s="1044"/>
      <c r="BW36" s="1044"/>
      <c r="BX36" s="1044"/>
      <c r="BY36" s="676"/>
      <c r="BZ36" s="211">
        <f t="shared" ref="BZ36:DE36" si="186">BZ14</f>
        <v>264000</v>
      </c>
      <c r="CA36" s="212">
        <f t="shared" si="186"/>
        <v>375000</v>
      </c>
      <c r="CB36" s="212">
        <f t="shared" si="186"/>
        <v>522000</v>
      </c>
      <c r="CC36" s="213">
        <f t="shared" si="186"/>
        <v>687000</v>
      </c>
      <c r="CD36" s="211">
        <f t="shared" si="186"/>
        <v>853000</v>
      </c>
      <c r="CE36" s="212">
        <f t="shared" si="186"/>
        <v>1054000</v>
      </c>
      <c r="CF36" s="212">
        <f t="shared" si="186"/>
        <v>1281000</v>
      </c>
      <c r="CG36" s="212">
        <f t="shared" si="186"/>
        <v>1454000</v>
      </c>
      <c r="CH36" s="211">
        <f t="shared" si="186"/>
        <v>1705000</v>
      </c>
      <c r="CI36" s="212">
        <f t="shared" si="186"/>
        <v>1884000</v>
      </c>
      <c r="CJ36" s="212">
        <f t="shared" si="186"/>
        <v>2100000</v>
      </c>
      <c r="CK36" s="212">
        <f t="shared" si="186"/>
        <v>2371000</v>
      </c>
      <c r="CL36" s="211">
        <f t="shared" si="186"/>
        <v>2653000</v>
      </c>
      <c r="CM36" s="212">
        <f t="shared" si="186"/>
        <v>2942000</v>
      </c>
      <c r="CN36" s="212">
        <f t="shared" si="186"/>
        <v>3136000</v>
      </c>
      <c r="CO36" s="212">
        <f t="shared" si="186"/>
        <v>3286000</v>
      </c>
      <c r="CP36" s="211">
        <f t="shared" si="186"/>
        <v>3466000</v>
      </c>
      <c r="CQ36" s="212">
        <f t="shared" si="186"/>
        <v>3659000</v>
      </c>
      <c r="CR36" s="212">
        <f t="shared" si="186"/>
        <v>3885000</v>
      </c>
      <c r="CS36" s="212">
        <f t="shared" si="186"/>
        <v>4082000</v>
      </c>
      <c r="CT36" s="211">
        <f t="shared" si="186"/>
        <v>4289000</v>
      </c>
      <c r="CU36" s="212">
        <f t="shared" si="186"/>
        <v>4478000</v>
      </c>
      <c r="CV36" s="212">
        <f t="shared" si="186"/>
        <v>4616000</v>
      </c>
      <c r="CW36" s="212">
        <f t="shared" si="186"/>
        <v>4817000</v>
      </c>
      <c r="CX36" s="211">
        <f t="shared" si="186"/>
        <v>5010000</v>
      </c>
      <c r="CY36" s="212">
        <f t="shared" si="186"/>
        <v>5144000</v>
      </c>
      <c r="CZ36" s="212">
        <f t="shared" si="186"/>
        <v>5280000</v>
      </c>
      <c r="DA36" s="212">
        <f t="shared" si="186"/>
        <v>5424000</v>
      </c>
      <c r="DB36" s="211">
        <f t="shared" si="186"/>
        <v>5612000</v>
      </c>
      <c r="DC36" s="212">
        <f t="shared" si="186"/>
        <v>5773000</v>
      </c>
      <c r="DD36" s="212">
        <f t="shared" si="186"/>
        <v>5946000</v>
      </c>
      <c r="DE36" s="212">
        <f t="shared" si="186"/>
        <v>6072000</v>
      </c>
      <c r="DF36" s="211">
        <f>DF14</f>
        <v>6170000</v>
      </c>
      <c r="DG36" s="212">
        <f>DG14</f>
        <v>6309000</v>
      </c>
      <c r="DH36" s="212">
        <f>DH14</f>
        <v>6471000</v>
      </c>
      <c r="DI36" s="213">
        <f>DI14</f>
        <v>6616000</v>
      </c>
      <c r="DJ36" s="211">
        <f t="shared" ref="DJ36:DM36" si="187">DJ14</f>
        <v>6749000</v>
      </c>
      <c r="DK36" s="212">
        <f t="shared" si="187"/>
        <v>6821000</v>
      </c>
      <c r="DL36" s="212">
        <f t="shared" si="187"/>
        <v>6935000</v>
      </c>
      <c r="DM36" s="213">
        <f t="shared" si="187"/>
        <v>7034000</v>
      </c>
      <c r="DN36" s="212">
        <f t="shared" ref="DN36:DO36" si="188">DN14</f>
        <v>7132000</v>
      </c>
      <c r="DO36" s="212">
        <f t="shared" si="188"/>
        <v>5495000</v>
      </c>
      <c r="DP36" s="212">
        <f t="shared" ref="DP36:DQ36" si="189">DP14</f>
        <v>5585000</v>
      </c>
      <c r="DQ36" s="213">
        <f t="shared" si="189"/>
        <v>5653000</v>
      </c>
      <c r="DR36" s="212">
        <f t="shared" ref="DR36:DS36" si="190">DR14</f>
        <v>5688000</v>
      </c>
      <c r="DS36" s="212">
        <f t="shared" si="190"/>
        <v>5737000</v>
      </c>
      <c r="DT36" s="212">
        <f t="shared" ref="DT36:DU36" si="191">DT14</f>
        <v>5803000</v>
      </c>
      <c r="DU36" s="213">
        <f t="shared" si="191"/>
        <v>5850000</v>
      </c>
      <c r="DV36" s="212">
        <f t="shared" ref="DV36" si="192">DV14</f>
        <v>5916000</v>
      </c>
      <c r="DW36" s="212">
        <f t="shared" ref="DW36:DY36" si="193">DW14</f>
        <v>5978000</v>
      </c>
      <c r="DX36" s="212">
        <f t="shared" si="193"/>
        <v>6048000</v>
      </c>
      <c r="DY36" s="213">
        <f t="shared" si="193"/>
        <v>6109000</v>
      </c>
    </row>
    <row r="37" spans="1:130" ht="15" customHeight="1" outlineLevel="1">
      <c r="A37" s="670" t="s">
        <v>331</v>
      </c>
      <c r="B37" s="1044"/>
      <c r="C37" s="1044"/>
      <c r="D37" s="1044"/>
      <c r="E37" s="1044">
        <f>AVERAGE(E36,E29)</f>
        <v>84500</v>
      </c>
      <c r="F37" s="1044">
        <f>AVERAGE(F36,F29)</f>
        <v>428000</v>
      </c>
      <c r="G37" s="1044">
        <f>AVERAGE(G36,G29)</f>
        <v>1070500</v>
      </c>
      <c r="H37" s="1094">
        <f>+AVERAGE(CH37:CK37)</f>
        <v>1900375</v>
      </c>
      <c r="I37" s="1094">
        <f>+AVERAGE(CL37:CO37)</f>
        <v>2889875</v>
      </c>
      <c r="J37" s="1094">
        <f>+AVERAGE(CP37:CS37)</f>
        <v>3673500</v>
      </c>
      <c r="K37" s="1094">
        <f>+AVERAGE(CT37:CW37)</f>
        <v>4458125</v>
      </c>
      <c r="L37" s="1094">
        <f>+AVERAGE(CX37:DA37)</f>
        <v>5138625</v>
      </c>
      <c r="M37" s="1094">
        <f>+AVERAGE(DB37:DE37)</f>
        <v>5769750</v>
      </c>
      <c r="N37" s="1094">
        <f>+AVERAGE(DF37:DI37)</f>
        <v>6323500</v>
      </c>
      <c r="O37" s="1094">
        <f>+AVERAGE(DJ37:DM37)</f>
        <v>6832500</v>
      </c>
      <c r="P37" s="1094">
        <f>+AVERAGE(DN37:DQ37)</f>
        <v>6138875</v>
      </c>
      <c r="Q37" s="1094">
        <f>+AVERAGE(DR37:DU37)</f>
        <v>5744875</v>
      </c>
      <c r="R37" s="1094">
        <f>+AVERAGE(DV37:DY37)</f>
        <v>5980375</v>
      </c>
      <c r="S37" s="1094">
        <f>AVERAGE(S36,S29)</f>
        <v>6099000</v>
      </c>
      <c r="T37" s="1094">
        <f>AVERAGE(T36,T29)</f>
        <v>6074000</v>
      </c>
      <c r="U37" s="1094">
        <f t="shared" ref="U37:Y37" si="194">AVERAGE(U36,U29)</f>
        <v>6039000</v>
      </c>
      <c r="V37" s="1094">
        <f t="shared" si="194"/>
        <v>5994000</v>
      </c>
      <c r="W37" s="1094">
        <f t="shared" si="194"/>
        <v>5939000</v>
      </c>
      <c r="X37" s="1094">
        <f t="shared" si="194"/>
        <v>5874000</v>
      </c>
      <c r="Y37" s="1094">
        <f t="shared" si="194"/>
        <v>5799000</v>
      </c>
      <c r="Z37" s="536"/>
      <c r="AA37" s="1044"/>
      <c r="AB37" s="1044"/>
      <c r="AC37" s="1044"/>
      <c r="AD37" s="1044"/>
      <c r="AE37" s="1044"/>
      <c r="AF37" s="1044"/>
      <c r="AG37" s="1044"/>
      <c r="AH37" s="1044"/>
      <c r="AI37" s="1044"/>
      <c r="AJ37" s="1044"/>
      <c r="AK37" s="1044"/>
      <c r="AL37" s="1044"/>
      <c r="AM37" s="1044"/>
      <c r="AN37" s="1044"/>
      <c r="AO37" s="1044"/>
      <c r="AP37" s="1044"/>
      <c r="AQ37" s="1044"/>
      <c r="AR37" s="1044"/>
      <c r="AS37" s="1044"/>
      <c r="AT37" s="1044"/>
      <c r="AU37" s="1044"/>
      <c r="AV37" s="1044"/>
      <c r="AW37" s="1044"/>
      <c r="AX37" s="1044"/>
      <c r="AY37" s="1044"/>
      <c r="AZ37" s="1044"/>
      <c r="BA37" s="1044"/>
      <c r="BB37" s="1044"/>
      <c r="BC37" s="1044"/>
      <c r="BD37" s="1044"/>
      <c r="BE37" s="1044"/>
      <c r="BF37" s="1044"/>
      <c r="BG37" s="1044"/>
      <c r="BH37" s="1044"/>
      <c r="BI37" s="1044"/>
      <c r="BJ37" s="1044"/>
      <c r="BK37" s="1044"/>
      <c r="BL37" s="1044"/>
      <c r="BM37" s="1044"/>
      <c r="BN37" s="1044"/>
      <c r="BO37" s="1044"/>
      <c r="BP37" s="1044"/>
      <c r="BQ37" s="1044"/>
      <c r="BR37" s="1044"/>
      <c r="BS37" s="1044"/>
      <c r="BT37" s="1044"/>
      <c r="BU37" s="1044"/>
      <c r="BV37" s="1044"/>
      <c r="BW37" s="1044"/>
      <c r="BX37" s="1044"/>
      <c r="BY37" s="536"/>
      <c r="BZ37" s="171">
        <f t="shared" ref="BZ37:DF37" si="195">AVERAGE(BZ36,BZ29)</f>
        <v>216500</v>
      </c>
      <c r="CA37" s="1044">
        <f t="shared" si="195"/>
        <v>319500</v>
      </c>
      <c r="CB37" s="1044">
        <f t="shared" si="195"/>
        <v>448500</v>
      </c>
      <c r="CC37" s="172">
        <f t="shared" si="195"/>
        <v>604500</v>
      </c>
      <c r="CD37" s="171">
        <f t="shared" si="195"/>
        <v>770000</v>
      </c>
      <c r="CE37" s="1044">
        <f t="shared" si="195"/>
        <v>953500</v>
      </c>
      <c r="CF37" s="1044">
        <f t="shared" si="195"/>
        <v>1167500</v>
      </c>
      <c r="CG37" s="1044">
        <f t="shared" si="195"/>
        <v>1367500</v>
      </c>
      <c r="CH37" s="171">
        <f t="shared" si="195"/>
        <v>1579500</v>
      </c>
      <c r="CI37" s="1044">
        <f t="shared" si="195"/>
        <v>1794500</v>
      </c>
      <c r="CJ37" s="1044">
        <f t="shared" si="195"/>
        <v>1992000</v>
      </c>
      <c r="CK37" s="1044">
        <f t="shared" si="195"/>
        <v>2235500</v>
      </c>
      <c r="CL37" s="171">
        <f t="shared" si="195"/>
        <v>2512000</v>
      </c>
      <c r="CM37" s="1044">
        <f>AVERAGE(CM36,CM29)</f>
        <v>2797500</v>
      </c>
      <c r="CN37" s="1044">
        <f t="shared" si="195"/>
        <v>3039000</v>
      </c>
      <c r="CO37" s="1044">
        <f t="shared" si="195"/>
        <v>3211000</v>
      </c>
      <c r="CP37" s="171">
        <f t="shared" si="195"/>
        <v>3376000</v>
      </c>
      <c r="CQ37" s="1044">
        <f t="shared" si="195"/>
        <v>3562500</v>
      </c>
      <c r="CR37" s="1044">
        <f t="shared" si="195"/>
        <v>3772000</v>
      </c>
      <c r="CS37" s="1044">
        <f t="shared" si="195"/>
        <v>3983500</v>
      </c>
      <c r="CT37" s="171">
        <f t="shared" si="195"/>
        <v>4185500</v>
      </c>
      <c r="CU37" s="1044">
        <f t="shared" si="195"/>
        <v>4383500</v>
      </c>
      <c r="CV37" s="1044">
        <f t="shared" si="195"/>
        <v>4547000</v>
      </c>
      <c r="CW37" s="1044">
        <f t="shared" si="195"/>
        <v>4716500</v>
      </c>
      <c r="CX37" s="171">
        <f t="shared" si="195"/>
        <v>4913500</v>
      </c>
      <c r="CY37" s="1044">
        <f t="shared" si="195"/>
        <v>5077000</v>
      </c>
      <c r="CZ37" s="1044">
        <f t="shared" si="195"/>
        <v>5212000</v>
      </c>
      <c r="DA37" s="1044">
        <f t="shared" si="195"/>
        <v>5352000</v>
      </c>
      <c r="DB37" s="171">
        <f t="shared" si="195"/>
        <v>5518000</v>
      </c>
      <c r="DC37" s="1044">
        <f t="shared" si="195"/>
        <v>5692500</v>
      </c>
      <c r="DD37" s="1044">
        <f t="shared" si="195"/>
        <v>5859500</v>
      </c>
      <c r="DE37" s="1044">
        <f t="shared" si="195"/>
        <v>6009000</v>
      </c>
      <c r="DF37" s="171">
        <f t="shared" si="195"/>
        <v>6121000</v>
      </c>
      <c r="DG37" s="1044">
        <f>AVERAGE(DG36,DG29)</f>
        <v>6239500</v>
      </c>
      <c r="DH37" s="1044">
        <f>AVERAGE(DH36,DH29)</f>
        <v>6390000</v>
      </c>
      <c r="DI37" s="172">
        <f>AVERAGE(DI36,DI29)</f>
        <v>6543500</v>
      </c>
      <c r="DJ37" s="171">
        <f t="shared" ref="DJ37:DM37" si="196">AVERAGE(DJ36,DJ29)</f>
        <v>6682500</v>
      </c>
      <c r="DK37" s="1044">
        <f t="shared" si="196"/>
        <v>6785000</v>
      </c>
      <c r="DL37" s="1044">
        <f t="shared" si="196"/>
        <v>6878000</v>
      </c>
      <c r="DM37" s="172">
        <f t="shared" si="196"/>
        <v>6984500</v>
      </c>
      <c r="DN37" s="1044">
        <f t="shared" ref="DN37:DO37" si="197">AVERAGE(DN36,DN29)</f>
        <v>7083000</v>
      </c>
      <c r="DO37" s="1044">
        <f t="shared" si="197"/>
        <v>6313500</v>
      </c>
      <c r="DP37" s="1044">
        <f t="shared" ref="DP37:DQ37" si="198">AVERAGE(DP36,DP29)</f>
        <v>5540000</v>
      </c>
      <c r="DQ37" s="172">
        <f t="shared" si="198"/>
        <v>5619000</v>
      </c>
      <c r="DR37" s="1044">
        <f t="shared" ref="DR37:DS37" si="199">AVERAGE(DR36,DR29)</f>
        <v>5670500</v>
      </c>
      <c r="DS37" s="1044">
        <f t="shared" si="199"/>
        <v>5712500</v>
      </c>
      <c r="DT37" s="1044">
        <f t="shared" ref="DT37:DU37" si="200">AVERAGE(DT36,DT29)</f>
        <v>5770000</v>
      </c>
      <c r="DU37" s="172">
        <f t="shared" si="200"/>
        <v>5826500</v>
      </c>
      <c r="DV37" s="1044">
        <f t="shared" ref="DV37" si="201">AVERAGE(DV36,DV29)</f>
        <v>5883000</v>
      </c>
      <c r="DW37" s="1044">
        <f t="shared" ref="DW37:DY37" si="202">AVERAGE(DW36,DW29)</f>
        <v>5947000</v>
      </c>
      <c r="DX37" s="1044">
        <f t="shared" si="202"/>
        <v>6013000</v>
      </c>
      <c r="DY37" s="172">
        <f t="shared" si="202"/>
        <v>6078500</v>
      </c>
    </row>
    <row r="38" spans="1:130" ht="15" customHeight="1" outlineLevel="1">
      <c r="A38" s="381" t="s">
        <v>332</v>
      </c>
      <c r="B38" s="1044"/>
      <c r="C38" s="1044"/>
      <c r="D38" s="1044"/>
      <c r="E38" s="1044">
        <f t="shared" ref="E38:N38" si="203">E17/52</f>
        <v>3250</v>
      </c>
      <c r="F38" s="1044">
        <f t="shared" si="203"/>
        <v>9961.538461538461</v>
      </c>
      <c r="G38" s="1044">
        <f t="shared" si="203"/>
        <v>14750</v>
      </c>
      <c r="H38" s="1094">
        <f t="shared" si="203"/>
        <v>17634.615384615383</v>
      </c>
      <c r="I38" s="1094">
        <f t="shared" si="203"/>
        <v>17596.153846153848</v>
      </c>
      <c r="J38" s="1094">
        <f t="shared" si="203"/>
        <v>15307.692307692309</v>
      </c>
      <c r="K38" s="1094">
        <f t="shared" si="203"/>
        <v>14134.615384615385</v>
      </c>
      <c r="L38" s="1094">
        <f t="shared" si="203"/>
        <v>11673.076923076924</v>
      </c>
      <c r="M38" s="1094">
        <f t="shared" si="203"/>
        <v>12461.538461538461</v>
      </c>
      <c r="N38" s="1094">
        <f t="shared" si="203"/>
        <v>10461.538461538461</v>
      </c>
      <c r="O38" s="1094">
        <f t="shared" ref="O38:T38" si="204">O17/52</f>
        <v>8038.4615384615381</v>
      </c>
      <c r="P38" s="1094">
        <f t="shared" si="204"/>
        <v>-26557.692307692309</v>
      </c>
      <c r="Q38" s="1094">
        <f t="shared" si="204"/>
        <v>3788.4615384615386</v>
      </c>
      <c r="R38" s="1094">
        <f t="shared" si="204"/>
        <v>4980.7692307692305</v>
      </c>
      <c r="S38" s="1094">
        <f t="shared" si="204"/>
        <v>-384.61538461538464</v>
      </c>
      <c r="T38" s="1094">
        <f t="shared" si="204"/>
        <v>-576.92307692307691</v>
      </c>
      <c r="U38" s="1094">
        <f t="shared" ref="U38:Y38" si="205">U17/52</f>
        <v>-769.23076923076928</v>
      </c>
      <c r="V38" s="1094">
        <f t="shared" si="205"/>
        <v>-961.53846153846155</v>
      </c>
      <c r="W38" s="1094">
        <f t="shared" si="205"/>
        <v>-1153.8461538461538</v>
      </c>
      <c r="X38" s="1094">
        <f t="shared" si="205"/>
        <v>-1346.1538461538462</v>
      </c>
      <c r="Y38" s="1094">
        <f t="shared" si="205"/>
        <v>-1538.4615384615386</v>
      </c>
      <c r="Z38" s="536"/>
      <c r="AA38" s="1044"/>
      <c r="AB38" s="1044"/>
      <c r="AC38" s="1044"/>
      <c r="AD38" s="1044"/>
      <c r="AE38" s="1044"/>
      <c r="AF38" s="1044"/>
      <c r="AG38" s="1044"/>
      <c r="AH38" s="1044"/>
      <c r="AI38" s="1044"/>
      <c r="AJ38" s="1044"/>
      <c r="AK38" s="1044"/>
      <c r="AL38" s="1044"/>
      <c r="AM38" s="1044"/>
      <c r="AN38" s="1044"/>
      <c r="AO38" s="1044"/>
      <c r="AP38" s="1044"/>
      <c r="AQ38" s="1044"/>
      <c r="AR38" s="1044"/>
      <c r="AS38" s="1044"/>
      <c r="AT38" s="1044"/>
      <c r="AU38" s="1044"/>
      <c r="AV38" s="1044"/>
      <c r="AW38" s="1044"/>
      <c r="AX38" s="1044"/>
      <c r="AY38" s="1044"/>
      <c r="AZ38" s="1044"/>
      <c r="BA38" s="1044"/>
      <c r="BB38" s="1044"/>
      <c r="BC38" s="1044"/>
      <c r="BD38" s="1044"/>
      <c r="BE38" s="1044"/>
      <c r="BF38" s="1044"/>
      <c r="BG38" s="1044"/>
      <c r="BH38" s="1044"/>
      <c r="BI38" s="1044"/>
      <c r="BJ38" s="1044"/>
      <c r="BK38" s="1044"/>
      <c r="BL38" s="1044"/>
      <c r="BM38" s="1044"/>
      <c r="BN38" s="1044"/>
      <c r="BO38" s="1044"/>
      <c r="BP38" s="1044"/>
      <c r="BQ38" s="1044"/>
      <c r="BR38" s="1044"/>
      <c r="BS38" s="1044"/>
      <c r="BT38" s="1044"/>
      <c r="BU38" s="1044"/>
      <c r="BV38" s="1044"/>
      <c r="BW38" s="1044"/>
      <c r="BX38" s="1044"/>
      <c r="BY38" s="536"/>
      <c r="BZ38" s="171">
        <f t="shared" ref="BZ38:DE38" si="206">BZ17/13</f>
        <v>7307.6923076923076</v>
      </c>
      <c r="CA38" s="1044">
        <f t="shared" si="206"/>
        <v>8538.461538461539</v>
      </c>
      <c r="CB38" s="1044">
        <f t="shared" si="206"/>
        <v>11307.692307692309</v>
      </c>
      <c r="CC38" s="172">
        <f t="shared" si="206"/>
        <v>12692.307692307691</v>
      </c>
      <c r="CD38" s="171">
        <f t="shared" si="206"/>
        <v>13615.384615384615</v>
      </c>
      <c r="CE38" s="1044">
        <f t="shared" si="206"/>
        <v>15615.384615384615</v>
      </c>
      <c r="CF38" s="1044">
        <f t="shared" si="206"/>
        <v>17615.384615384617</v>
      </c>
      <c r="CG38" s="1044">
        <f t="shared" si="206"/>
        <v>13307.692307692309</v>
      </c>
      <c r="CH38" s="171">
        <f t="shared" si="206"/>
        <v>19307.692307692309</v>
      </c>
      <c r="CI38" s="1044">
        <f t="shared" si="206"/>
        <v>13769.23076923077</v>
      </c>
      <c r="CJ38" s="1044">
        <f t="shared" si="206"/>
        <v>16615.384615384617</v>
      </c>
      <c r="CK38" s="1044">
        <f t="shared" si="206"/>
        <v>20846.153846153848</v>
      </c>
      <c r="CL38" s="171">
        <f t="shared" si="206"/>
        <v>21692.307692307691</v>
      </c>
      <c r="CM38" s="1044">
        <f>CM17/13</f>
        <v>22230.76923076923</v>
      </c>
      <c r="CN38" s="1044">
        <f t="shared" si="206"/>
        <v>14923.076923076924</v>
      </c>
      <c r="CO38" s="1044">
        <f t="shared" si="206"/>
        <v>11538.461538461539</v>
      </c>
      <c r="CP38" s="171">
        <f t="shared" si="206"/>
        <v>13846.153846153846</v>
      </c>
      <c r="CQ38" s="1044">
        <f t="shared" si="206"/>
        <v>14846.153846153846</v>
      </c>
      <c r="CR38" s="1044">
        <f t="shared" si="206"/>
        <v>17384.615384615383</v>
      </c>
      <c r="CS38" s="1044">
        <f t="shared" si="206"/>
        <v>15153.846153846154</v>
      </c>
      <c r="CT38" s="171">
        <f t="shared" si="206"/>
        <v>15923.076923076924</v>
      </c>
      <c r="CU38" s="1044">
        <f t="shared" si="206"/>
        <v>14538.461538461539</v>
      </c>
      <c r="CV38" s="1044">
        <f t="shared" si="206"/>
        <v>10615.384615384615</v>
      </c>
      <c r="CW38" s="1044">
        <f t="shared" si="206"/>
        <v>15461.538461538461</v>
      </c>
      <c r="CX38" s="171">
        <f t="shared" si="206"/>
        <v>14846.153846153846</v>
      </c>
      <c r="CY38" s="1044">
        <f t="shared" si="206"/>
        <v>10307.692307692309</v>
      </c>
      <c r="CZ38" s="1044">
        <f t="shared" si="206"/>
        <v>10461.538461538461</v>
      </c>
      <c r="DA38" s="1044">
        <f t="shared" si="206"/>
        <v>11076.923076923076</v>
      </c>
      <c r="DB38" s="171">
        <f t="shared" si="206"/>
        <v>14461.538461538461</v>
      </c>
      <c r="DC38" s="1044">
        <f t="shared" si="206"/>
        <v>12384.615384615385</v>
      </c>
      <c r="DD38" s="1044">
        <f t="shared" si="206"/>
        <v>13307.692307692309</v>
      </c>
      <c r="DE38" s="1044">
        <f t="shared" si="206"/>
        <v>9692.3076923076915</v>
      </c>
      <c r="DF38" s="171">
        <f t="shared" ref="DF38:DL38" si="207">DF17/13</f>
        <v>7538.4615384615381</v>
      </c>
      <c r="DG38" s="1044">
        <f t="shared" si="207"/>
        <v>10692.307692307691</v>
      </c>
      <c r="DH38" s="1044">
        <f t="shared" si="207"/>
        <v>12461.538461538461</v>
      </c>
      <c r="DI38" s="172">
        <f t="shared" si="207"/>
        <v>11153.846153846154</v>
      </c>
      <c r="DJ38" s="171">
        <f t="shared" si="207"/>
        <v>10230.76923076923</v>
      </c>
      <c r="DK38" s="1044">
        <f t="shared" si="207"/>
        <v>5538.4615384615381</v>
      </c>
      <c r="DL38" s="1044">
        <f t="shared" si="207"/>
        <v>8769.2307692307695</v>
      </c>
      <c r="DM38" s="172">
        <f t="shared" ref="DM38:DR38" si="208">DM17/13</f>
        <v>7615.3846153846152</v>
      </c>
      <c r="DN38" s="1044">
        <f t="shared" si="208"/>
        <v>7538.4615384615381</v>
      </c>
      <c r="DO38" s="1044">
        <f t="shared" si="208"/>
        <v>-125923.07692307692</v>
      </c>
      <c r="DP38" s="1044">
        <f t="shared" si="208"/>
        <v>6923.0769230769229</v>
      </c>
      <c r="DQ38" s="172">
        <f t="shared" si="208"/>
        <v>5230.7692307692305</v>
      </c>
      <c r="DR38" s="1044">
        <f t="shared" si="208"/>
        <v>2692.3076923076924</v>
      </c>
      <c r="DS38" s="1044">
        <f t="shared" ref="DS38:DT38" si="209">DS17/13</f>
        <v>3769.2307692307691</v>
      </c>
      <c r="DT38" s="1044">
        <f t="shared" si="209"/>
        <v>5076.9230769230771</v>
      </c>
      <c r="DU38" s="172">
        <f t="shared" ref="DU38:DV38" si="210">DU17/13</f>
        <v>3615.3846153846152</v>
      </c>
      <c r="DV38" s="1044">
        <f t="shared" si="210"/>
        <v>5076.9230769230771</v>
      </c>
      <c r="DW38" s="1044">
        <f t="shared" ref="DW38:DY38" si="211">DW17/13</f>
        <v>4769.2307692307695</v>
      </c>
      <c r="DX38" s="1044">
        <f t="shared" si="211"/>
        <v>5384.6153846153848</v>
      </c>
      <c r="DY38" s="172">
        <f t="shared" si="211"/>
        <v>4692.3076923076924</v>
      </c>
    </row>
    <row r="39" spans="1:130" ht="15" customHeight="1" outlineLevel="1">
      <c r="A39" s="176" t="s">
        <v>319</v>
      </c>
      <c r="B39" s="1045"/>
      <c r="C39" s="1045"/>
      <c r="D39" s="1045"/>
      <c r="E39" s="1059"/>
      <c r="F39" s="1059"/>
      <c r="G39" s="1059"/>
      <c r="H39" s="1095"/>
      <c r="I39" s="1095"/>
      <c r="J39" s="1095"/>
      <c r="K39" s="1095"/>
      <c r="L39" s="1095"/>
      <c r="M39" s="1095"/>
      <c r="N39" s="1095"/>
      <c r="O39" s="1095" t="s">
        <v>1465</v>
      </c>
      <c r="P39" s="1095" t="s">
        <v>1465</v>
      </c>
      <c r="Q39" s="1095" t="s">
        <v>1465</v>
      </c>
      <c r="R39" s="1095" t="s">
        <v>1465</v>
      </c>
      <c r="S39" s="1095"/>
      <c r="T39" s="1095"/>
      <c r="U39" s="1095"/>
      <c r="V39" s="1095"/>
      <c r="W39" s="1095"/>
      <c r="X39" s="1095"/>
      <c r="Y39" s="1095"/>
      <c r="Z39" s="138"/>
      <c r="AA39" s="1045"/>
      <c r="AB39" s="1045"/>
      <c r="AC39" s="1045"/>
      <c r="AD39" s="1045"/>
      <c r="AE39" s="1045"/>
      <c r="AF39" s="1045"/>
      <c r="AG39" s="1045"/>
      <c r="AH39" s="1045"/>
      <c r="AI39" s="1045"/>
      <c r="AJ39" s="1045"/>
      <c r="AK39" s="1045"/>
      <c r="AL39" s="1045"/>
      <c r="AM39" s="1045"/>
      <c r="AN39" s="1045"/>
      <c r="AO39" s="1045"/>
      <c r="AP39" s="1045"/>
      <c r="AQ39" s="1045"/>
      <c r="AR39" s="1045"/>
      <c r="AS39" s="1045"/>
      <c r="AT39" s="1045"/>
      <c r="AU39" s="1045"/>
      <c r="AV39" s="1045"/>
      <c r="AW39" s="1045"/>
      <c r="AX39" s="1045"/>
      <c r="AY39" s="1045"/>
      <c r="AZ39" s="1045"/>
      <c r="BA39" s="1045"/>
      <c r="BB39" s="1045"/>
      <c r="BC39" s="1045"/>
      <c r="BD39" s="1045"/>
      <c r="BE39" s="1045"/>
      <c r="BF39" s="1045"/>
      <c r="BG39" s="1045"/>
      <c r="BH39" s="1045"/>
      <c r="BI39" s="1045"/>
      <c r="BJ39" s="1045"/>
      <c r="BK39" s="1045"/>
      <c r="BL39" s="1045"/>
      <c r="BM39" s="1045"/>
      <c r="BN39" s="1045"/>
      <c r="BO39" s="1045"/>
      <c r="BP39" s="1045"/>
      <c r="BQ39" s="1045"/>
      <c r="BR39" s="1045"/>
      <c r="BS39" s="1045"/>
      <c r="BT39" s="1045"/>
      <c r="BU39" s="1045"/>
      <c r="BV39" s="1045"/>
      <c r="BW39" s="1045"/>
      <c r="BX39" s="1045"/>
      <c r="BY39" s="138"/>
      <c r="BZ39" s="165"/>
      <c r="CA39" s="1045">
        <f t="shared" ref="CA39:DV39" si="212">CA38/BZ38-1</f>
        <v>0.16842105263157903</v>
      </c>
      <c r="CB39" s="1045">
        <f t="shared" si="212"/>
        <v>0.32432432432432434</v>
      </c>
      <c r="CC39" s="101">
        <f t="shared" si="212"/>
        <v>0.12244897959183665</v>
      </c>
      <c r="CD39" s="147">
        <f t="shared" si="212"/>
        <v>7.2727272727272751E-2</v>
      </c>
      <c r="CE39" s="1045">
        <f t="shared" si="212"/>
        <v>0.14689265536723162</v>
      </c>
      <c r="CF39" s="1045">
        <f t="shared" si="212"/>
        <v>0.12807881773399021</v>
      </c>
      <c r="CG39" s="1045">
        <f t="shared" si="212"/>
        <v>-0.24454148471615722</v>
      </c>
      <c r="CH39" s="147">
        <f t="shared" si="212"/>
        <v>0.45086705202312127</v>
      </c>
      <c r="CI39" s="1045">
        <f t="shared" si="212"/>
        <v>-0.28685258964143423</v>
      </c>
      <c r="CJ39" s="1045">
        <f t="shared" si="212"/>
        <v>0.2067039106145252</v>
      </c>
      <c r="CK39" s="1045">
        <f t="shared" si="212"/>
        <v>0.25462962962962954</v>
      </c>
      <c r="CL39" s="147">
        <f t="shared" si="212"/>
        <v>4.0590405904058935E-2</v>
      </c>
      <c r="CM39" s="1045">
        <f t="shared" si="212"/>
        <v>2.4822695035461084E-2</v>
      </c>
      <c r="CN39" s="1045">
        <f t="shared" si="212"/>
        <v>-0.32871972318339093</v>
      </c>
      <c r="CO39" s="1045">
        <f t="shared" si="212"/>
        <v>-0.22680412371134018</v>
      </c>
      <c r="CP39" s="147">
        <f t="shared" si="212"/>
        <v>0.19999999999999996</v>
      </c>
      <c r="CQ39" s="1045">
        <f t="shared" si="212"/>
        <v>7.2222222222222188E-2</v>
      </c>
      <c r="CR39" s="1045">
        <f t="shared" si="212"/>
        <v>0.17098445595854916</v>
      </c>
      <c r="CS39" s="1045">
        <f t="shared" si="212"/>
        <v>-0.12831858407079633</v>
      </c>
      <c r="CT39" s="147">
        <f t="shared" si="212"/>
        <v>5.0761421319796884E-2</v>
      </c>
      <c r="CU39" s="1045">
        <f t="shared" si="212"/>
        <v>-8.6956521739130488E-2</v>
      </c>
      <c r="CV39" s="1045">
        <f t="shared" si="212"/>
        <v>-0.26984126984126988</v>
      </c>
      <c r="CW39" s="1045">
        <f t="shared" si="212"/>
        <v>0.45652173913043481</v>
      </c>
      <c r="CX39" s="147">
        <f t="shared" si="212"/>
        <v>-3.9800995024875663E-2</v>
      </c>
      <c r="CY39" s="1045">
        <f t="shared" si="212"/>
        <v>-0.30569948186528495</v>
      </c>
      <c r="CZ39" s="1045">
        <f t="shared" si="212"/>
        <v>1.4925373134328179E-2</v>
      </c>
      <c r="DA39" s="1045">
        <f t="shared" si="212"/>
        <v>5.8823529411764719E-2</v>
      </c>
      <c r="DB39" s="147">
        <f t="shared" si="212"/>
        <v>0.30555555555555558</v>
      </c>
      <c r="DC39" s="1045">
        <f t="shared" si="212"/>
        <v>-0.1436170212765957</v>
      </c>
      <c r="DD39" s="1045">
        <f t="shared" si="212"/>
        <v>7.453416149068337E-2</v>
      </c>
      <c r="DE39" s="1045">
        <f t="shared" si="212"/>
        <v>-0.27167630057803482</v>
      </c>
      <c r="DF39" s="147">
        <f t="shared" si="212"/>
        <v>-0.22222222222222221</v>
      </c>
      <c r="DG39" s="1045">
        <f t="shared" si="212"/>
        <v>0.41836734693877542</v>
      </c>
      <c r="DH39" s="1045">
        <f t="shared" si="212"/>
        <v>0.16546762589928066</v>
      </c>
      <c r="DI39" s="101">
        <f t="shared" si="212"/>
        <v>-0.10493827160493818</v>
      </c>
      <c r="DJ39" s="147">
        <f t="shared" si="212"/>
        <v>-8.2758620689655227E-2</v>
      </c>
      <c r="DK39" s="1045">
        <f t="shared" si="212"/>
        <v>-0.45864661654135341</v>
      </c>
      <c r="DL39" s="1045">
        <f t="shared" si="212"/>
        <v>0.58333333333333348</v>
      </c>
      <c r="DM39" s="101">
        <f t="shared" si="212"/>
        <v>-0.13157894736842113</v>
      </c>
      <c r="DN39" s="1045">
        <f t="shared" si="212"/>
        <v>-1.0101010101010166E-2</v>
      </c>
      <c r="DO39" s="1045">
        <f t="shared" si="212"/>
        <v>-17.704081632653061</v>
      </c>
      <c r="DP39" s="1045">
        <f t="shared" si="212"/>
        <v>-1.0549786194257789</v>
      </c>
      <c r="DQ39" s="101">
        <f t="shared" si="212"/>
        <v>-0.24444444444444446</v>
      </c>
      <c r="DR39" s="1045">
        <f t="shared" si="212"/>
        <v>-0.48529411764705876</v>
      </c>
      <c r="DS39" s="1045">
        <f t="shared" si="212"/>
        <v>0.39999999999999991</v>
      </c>
      <c r="DT39" s="1045">
        <f t="shared" si="212"/>
        <v>0.34693877551020424</v>
      </c>
      <c r="DU39" s="101">
        <f t="shared" si="212"/>
        <v>-0.28787878787878796</v>
      </c>
      <c r="DV39" s="1045">
        <f t="shared" si="212"/>
        <v>0.4042553191489362</v>
      </c>
      <c r="DW39" s="1045">
        <f t="shared" ref="DW39" si="213">DW38/DV38-1</f>
        <v>-6.0606060606060552E-2</v>
      </c>
      <c r="DX39" s="1045">
        <f t="shared" ref="DX39" si="214">DX38/DW38-1</f>
        <v>0.12903225806451601</v>
      </c>
      <c r="DY39" s="101">
        <f t="shared" ref="DY39" si="215">DY38/DX38-1</f>
        <v>-0.12857142857142856</v>
      </c>
    </row>
    <row r="40" spans="1:130" ht="15" customHeight="1" outlineLevel="1">
      <c r="A40" s="176" t="s">
        <v>320</v>
      </c>
      <c r="B40" s="1045"/>
      <c r="C40" s="1045"/>
      <c r="D40" s="1045"/>
      <c r="E40" s="1059">
        <v>0</v>
      </c>
      <c r="F40" s="1059">
        <v>0</v>
      </c>
      <c r="G40" s="1045">
        <f t="shared" ref="G40:T40" si="216">+G38/F38-1</f>
        <v>0.48069498069498073</v>
      </c>
      <c r="H40" s="1069">
        <f t="shared" si="216"/>
        <v>0.19556714471968695</v>
      </c>
      <c r="I40" s="1069">
        <f t="shared" si="216"/>
        <v>-2.1810250817883015E-3</v>
      </c>
      <c r="J40" s="1069">
        <f t="shared" si="216"/>
        <v>-0.13005464480874318</v>
      </c>
      <c r="K40" s="1069">
        <f t="shared" si="216"/>
        <v>-7.6633165829145811E-2</v>
      </c>
      <c r="L40" s="1069">
        <f t="shared" si="216"/>
        <v>-0.17414965986394548</v>
      </c>
      <c r="M40" s="1069">
        <f t="shared" si="216"/>
        <v>6.7545304777594684E-2</v>
      </c>
      <c r="N40" s="1069">
        <f t="shared" si="216"/>
        <v>-0.16049382716049387</v>
      </c>
      <c r="O40" s="1069">
        <f t="shared" si="216"/>
        <v>-0.23161764705882348</v>
      </c>
      <c r="P40" s="1069">
        <f t="shared" si="216"/>
        <v>-4.303827751196172</v>
      </c>
      <c r="Q40" s="1069">
        <f t="shared" si="216"/>
        <v>-1.1426502534395366</v>
      </c>
      <c r="R40" s="1069">
        <f t="shared" si="216"/>
        <v>0.31472081218274095</v>
      </c>
      <c r="S40" s="1069">
        <f t="shared" si="216"/>
        <v>-1.0772200772200773</v>
      </c>
      <c r="T40" s="1069">
        <f t="shared" si="216"/>
        <v>0.49999999999999978</v>
      </c>
      <c r="U40" s="1069">
        <f t="shared" ref="U40" si="217">+U38/T38-1</f>
        <v>0.33333333333333348</v>
      </c>
      <c r="V40" s="1069">
        <f t="shared" ref="V40" si="218">+V38/U38-1</f>
        <v>0.25</v>
      </c>
      <c r="W40" s="1069">
        <f t="shared" ref="W40" si="219">+W38/V38-1</f>
        <v>0.19999999999999996</v>
      </c>
      <c r="X40" s="1069">
        <f t="shared" ref="X40" si="220">+X38/W38-1</f>
        <v>0.16666666666666674</v>
      </c>
      <c r="Y40" s="1069">
        <f t="shared" ref="Y40" si="221">+Y38/X38-1</f>
        <v>0.14285714285714302</v>
      </c>
      <c r="Z40" s="138"/>
      <c r="AA40" s="1045"/>
      <c r="AB40" s="1045"/>
      <c r="AC40" s="1045"/>
      <c r="AD40" s="1045"/>
      <c r="AE40" s="1045"/>
      <c r="AF40" s="1045"/>
      <c r="AG40" s="1045"/>
      <c r="AH40" s="1045"/>
      <c r="AI40" s="1045"/>
      <c r="AJ40" s="1045"/>
      <c r="AK40" s="1045"/>
      <c r="AL40" s="1045"/>
      <c r="AM40" s="1045"/>
      <c r="AN40" s="1045"/>
      <c r="AO40" s="1045"/>
      <c r="AP40" s="1045"/>
      <c r="AQ40" s="1045"/>
      <c r="AR40" s="1045"/>
      <c r="AS40" s="1045"/>
      <c r="AT40" s="1045"/>
      <c r="AU40" s="1045"/>
      <c r="AV40" s="1045"/>
      <c r="AW40" s="1045"/>
      <c r="AX40" s="1045"/>
      <c r="AY40" s="1045"/>
      <c r="AZ40" s="1045"/>
      <c r="BA40" s="1045"/>
      <c r="BB40" s="1045"/>
      <c r="BC40" s="1045"/>
      <c r="BD40" s="1045"/>
      <c r="BE40" s="1045"/>
      <c r="BF40" s="1045"/>
      <c r="BG40" s="1045"/>
      <c r="BH40" s="1045"/>
      <c r="BI40" s="1045"/>
      <c r="BJ40" s="1045"/>
      <c r="BK40" s="1045"/>
      <c r="BL40" s="1045"/>
      <c r="BM40" s="1045"/>
      <c r="BN40" s="1045"/>
      <c r="BO40" s="1045"/>
      <c r="BP40" s="1045"/>
      <c r="BQ40" s="1045"/>
      <c r="BR40" s="1045"/>
      <c r="BS40" s="1045"/>
      <c r="BT40" s="1045"/>
      <c r="BU40" s="1045"/>
      <c r="BV40" s="1045"/>
      <c r="BW40" s="1045"/>
      <c r="BX40" s="1045"/>
      <c r="BY40" s="138"/>
      <c r="BZ40" s="453"/>
      <c r="CA40" s="1069"/>
      <c r="CB40" s="1069"/>
      <c r="CC40" s="622"/>
      <c r="CD40" s="453">
        <f t="shared" ref="CD40:DV40" si="222">CD38/BZ38-1</f>
        <v>0.86315789473684212</v>
      </c>
      <c r="CE40" s="1069">
        <f t="shared" si="222"/>
        <v>0.8288288288288288</v>
      </c>
      <c r="CF40" s="1069">
        <f t="shared" si="222"/>
        <v>0.55782312925170063</v>
      </c>
      <c r="CG40" s="1069">
        <f t="shared" si="222"/>
        <v>4.8484848484848575E-2</v>
      </c>
      <c r="CH40" s="453">
        <f t="shared" si="222"/>
        <v>0.41807909604519788</v>
      </c>
      <c r="CI40" s="1069">
        <f t="shared" si="222"/>
        <v>-0.11822660098522164</v>
      </c>
      <c r="CJ40" s="1069">
        <f t="shared" si="222"/>
        <v>-5.6768558951965087E-2</v>
      </c>
      <c r="CK40" s="1069">
        <f t="shared" si="222"/>
        <v>0.56647398843930641</v>
      </c>
      <c r="CL40" s="453">
        <f t="shared" si="222"/>
        <v>0.12350597609561742</v>
      </c>
      <c r="CM40" s="1069">
        <f t="shared" si="222"/>
        <v>0.61452513966480438</v>
      </c>
      <c r="CN40" s="1069">
        <f t="shared" si="222"/>
        <v>-0.10185185185185186</v>
      </c>
      <c r="CO40" s="1069">
        <f t="shared" si="222"/>
        <v>-0.44649446494464951</v>
      </c>
      <c r="CP40" s="453">
        <f t="shared" si="222"/>
        <v>-0.36170212765957444</v>
      </c>
      <c r="CQ40" s="1069">
        <f t="shared" si="222"/>
        <v>-0.33217993079584773</v>
      </c>
      <c r="CR40" s="1069">
        <f t="shared" si="222"/>
        <v>0.16494845360824728</v>
      </c>
      <c r="CS40" s="1069">
        <f t="shared" si="222"/>
        <v>0.31333333333333324</v>
      </c>
      <c r="CT40" s="453">
        <f t="shared" si="222"/>
        <v>0.15000000000000013</v>
      </c>
      <c r="CU40" s="1069">
        <f t="shared" si="222"/>
        <v>-2.0725388601036232E-2</v>
      </c>
      <c r="CV40" s="1069">
        <f t="shared" si="222"/>
        <v>-0.38938053097345127</v>
      </c>
      <c r="CW40" s="1069">
        <f t="shared" si="222"/>
        <v>2.0304568527918621E-2</v>
      </c>
      <c r="CX40" s="453">
        <f t="shared" si="222"/>
        <v>-6.7632850241545972E-2</v>
      </c>
      <c r="CY40" s="1069">
        <f t="shared" si="222"/>
        <v>-0.29100529100529093</v>
      </c>
      <c r="CZ40" s="1069">
        <f t="shared" si="222"/>
        <v>-1.449275362318847E-2</v>
      </c>
      <c r="DA40" s="1069">
        <f t="shared" si="222"/>
        <v>-0.28358208955223885</v>
      </c>
      <c r="DB40" s="453">
        <f t="shared" si="222"/>
        <v>-2.5906735751295318E-2</v>
      </c>
      <c r="DC40" s="1069">
        <f t="shared" si="222"/>
        <v>0.20149253731343286</v>
      </c>
      <c r="DD40" s="1069">
        <f t="shared" si="222"/>
        <v>0.27205882352941191</v>
      </c>
      <c r="DE40" s="1069">
        <f t="shared" si="222"/>
        <v>-0.125</v>
      </c>
      <c r="DF40" s="453">
        <f t="shared" si="222"/>
        <v>-0.47872340425531912</v>
      </c>
      <c r="DG40" s="1069">
        <f t="shared" si="222"/>
        <v>-0.13664596273291929</v>
      </c>
      <c r="DH40" s="1069">
        <f t="shared" si="222"/>
        <v>-6.3583815028901869E-2</v>
      </c>
      <c r="DI40" s="622">
        <f t="shared" si="222"/>
        <v>0.15079365079365092</v>
      </c>
      <c r="DJ40" s="453">
        <f t="shared" si="222"/>
        <v>0.35714285714285721</v>
      </c>
      <c r="DK40" s="1069">
        <f t="shared" si="222"/>
        <v>-0.48201438848920863</v>
      </c>
      <c r="DL40" s="1069">
        <f t="shared" si="222"/>
        <v>-0.29629629629629628</v>
      </c>
      <c r="DM40" s="622">
        <f t="shared" si="222"/>
        <v>-0.31724137931034491</v>
      </c>
      <c r="DN40" s="1069">
        <f t="shared" si="222"/>
        <v>-0.26315789473684215</v>
      </c>
      <c r="DO40" s="1069">
        <f t="shared" si="222"/>
        <v>-23.736111111111111</v>
      </c>
      <c r="DP40" s="1069">
        <f t="shared" si="222"/>
        <v>-0.21052631578947378</v>
      </c>
      <c r="DQ40" s="622">
        <f t="shared" si="222"/>
        <v>-0.31313131313131315</v>
      </c>
      <c r="DR40" s="1069">
        <f t="shared" si="222"/>
        <v>-0.64285714285714279</v>
      </c>
      <c r="DS40" s="1069">
        <f t="shared" si="222"/>
        <v>-1.0299328039095907</v>
      </c>
      <c r="DT40" s="1069">
        <f t="shared" si="222"/>
        <v>-0.26666666666666661</v>
      </c>
      <c r="DU40" s="622">
        <f t="shared" si="222"/>
        <v>-0.30882352941176472</v>
      </c>
      <c r="DV40" s="1069">
        <f t="shared" si="222"/>
        <v>0.88571428571428568</v>
      </c>
      <c r="DW40" s="1069">
        <f t="shared" ref="DW40" si="223">DW38/DS38-1</f>
        <v>0.26530612244897966</v>
      </c>
      <c r="DX40" s="1069">
        <f t="shared" ref="DX40" si="224">DX38/DT38-1</f>
        <v>6.0606060606060552E-2</v>
      </c>
      <c r="DY40" s="622">
        <f t="shared" ref="DY40" si="225">DY38/DU38-1</f>
        <v>0.2978723404255319</v>
      </c>
    </row>
    <row r="41" spans="1:130" ht="15" customHeight="1" outlineLevel="1">
      <c r="A41" s="677" t="s">
        <v>336</v>
      </c>
      <c r="B41" s="1041"/>
      <c r="C41" s="1041"/>
      <c r="D41" s="1041"/>
      <c r="E41" s="1441">
        <v>40</v>
      </c>
      <c r="F41" s="1441">
        <v>40</v>
      </c>
      <c r="G41" s="1287">
        <f>G44*1000000/G37/12</f>
        <v>39.780476412891169</v>
      </c>
      <c r="H41" s="1287">
        <f>H44*1000000/H37/12</f>
        <v>40</v>
      </c>
      <c r="I41" s="1287">
        <f ca="1">I44*1000000/I37/12</f>
        <v>83.171094672683736</v>
      </c>
      <c r="J41" s="1287">
        <f t="shared" ref="J41:T41" ca="1" si="226">I41*(1+J43)</f>
        <v>83.171094672683736</v>
      </c>
      <c r="K41" s="1287">
        <f t="shared" ca="1" si="226"/>
        <v>83.171094672683736</v>
      </c>
      <c r="L41" s="1287">
        <f t="shared" ca="1" si="226"/>
        <v>83.171094672683736</v>
      </c>
      <c r="M41" s="1287">
        <f t="shared" ca="1" si="226"/>
        <v>83.171094672683736</v>
      </c>
      <c r="N41" s="1287">
        <f t="shared" ca="1" si="226"/>
        <v>83.171094672683736</v>
      </c>
      <c r="O41" s="1287">
        <f ca="1">N41*(1+O43)</f>
        <v>83.171094672683736</v>
      </c>
      <c r="P41" s="1287">
        <f ca="1">O41*(1+P43)</f>
        <v>83.171094672683736</v>
      </c>
      <c r="Q41" s="1287">
        <f ca="1">P41*(1+Q43)</f>
        <v>83.171094672683736</v>
      </c>
      <c r="R41" s="3430">
        <f>+(R44/12)/(R37/1000000)</f>
        <v>68.253831033537082</v>
      </c>
      <c r="S41" s="1287">
        <f t="shared" si="226"/>
        <v>68.253831033537082</v>
      </c>
      <c r="T41" s="1287">
        <f t="shared" si="226"/>
        <v>68.253831033537082</v>
      </c>
      <c r="U41" s="1287">
        <f t="shared" ref="U41" si="227">T41*(1+U43)</f>
        <v>68.253831033537082</v>
      </c>
      <c r="V41" s="1287">
        <f t="shared" ref="V41" si="228">U41*(1+V43)</f>
        <v>68.253831033537082</v>
      </c>
      <c r="W41" s="1287">
        <f t="shared" ref="W41" si="229">V41*(1+W43)</f>
        <v>68.253831033537082</v>
      </c>
      <c r="X41" s="1287">
        <f t="shared" ref="X41" si="230">W41*(1+X43)</f>
        <v>68.253831033537082</v>
      </c>
      <c r="Y41" s="1287">
        <f t="shared" ref="Y41" si="231">X41*(1+Y43)</f>
        <v>68.253831033537082</v>
      </c>
      <c r="Z41" s="678"/>
      <c r="AA41" s="1041"/>
      <c r="AB41" s="1041"/>
      <c r="AC41" s="1041"/>
      <c r="AD41" s="1041"/>
      <c r="AE41" s="1041"/>
      <c r="AF41" s="1041"/>
      <c r="AG41" s="1041"/>
      <c r="AH41" s="1041"/>
      <c r="AI41" s="1041"/>
      <c r="AJ41" s="1041"/>
      <c r="AK41" s="1041"/>
      <c r="AL41" s="1041"/>
      <c r="AM41" s="1041"/>
      <c r="AN41" s="1041"/>
      <c r="AO41" s="1041"/>
      <c r="AP41" s="1041"/>
      <c r="AQ41" s="1041"/>
      <c r="AR41" s="1041"/>
      <c r="AS41" s="1041"/>
      <c r="AT41" s="1041"/>
      <c r="AU41" s="1041"/>
      <c r="AV41" s="1041"/>
      <c r="AW41" s="1041"/>
      <c r="AX41" s="1041"/>
      <c r="AY41" s="1041"/>
      <c r="AZ41" s="1041"/>
      <c r="BA41" s="1041"/>
      <c r="BB41" s="1041"/>
      <c r="BC41" s="1041"/>
      <c r="BD41" s="1041"/>
      <c r="BE41" s="1041"/>
      <c r="BF41" s="1041"/>
      <c r="BG41" s="1041"/>
      <c r="BH41" s="1041"/>
      <c r="BI41" s="1041"/>
      <c r="BJ41" s="1041"/>
      <c r="BK41" s="1041"/>
      <c r="BL41" s="1041"/>
      <c r="BM41" s="1041"/>
      <c r="BN41" s="1041"/>
      <c r="BO41" s="1041"/>
      <c r="BP41" s="1041"/>
      <c r="BQ41" s="1041"/>
      <c r="BR41" s="1041"/>
      <c r="BS41" s="1041"/>
      <c r="BT41" s="1041"/>
      <c r="BU41" s="1041"/>
      <c r="BV41" s="1041"/>
      <c r="BW41" s="1041"/>
      <c r="BX41" s="1041"/>
      <c r="BY41" s="678"/>
      <c r="BZ41" s="496">
        <v>40</v>
      </c>
      <c r="CA41" s="1041">
        <f t="shared" ref="CA41:CL41" si="232">BZ41*(1+CA42)</f>
        <v>40</v>
      </c>
      <c r="CB41" s="1041">
        <f t="shared" si="232"/>
        <v>40</v>
      </c>
      <c r="CC41" s="144">
        <f t="shared" si="232"/>
        <v>40</v>
      </c>
      <c r="CD41" s="88">
        <f t="shared" si="232"/>
        <v>40</v>
      </c>
      <c r="CE41" s="1041">
        <f t="shared" si="232"/>
        <v>40</v>
      </c>
      <c r="CF41" s="1041">
        <f t="shared" si="232"/>
        <v>40</v>
      </c>
      <c r="CG41" s="1041">
        <f t="shared" si="232"/>
        <v>40</v>
      </c>
      <c r="CH41" s="88">
        <f t="shared" si="232"/>
        <v>40</v>
      </c>
      <c r="CI41" s="1041">
        <f t="shared" si="232"/>
        <v>40</v>
      </c>
      <c r="CJ41" s="1041">
        <f t="shared" si="232"/>
        <v>40</v>
      </c>
      <c r="CK41" s="1041">
        <f t="shared" si="232"/>
        <v>40</v>
      </c>
      <c r="CL41" s="88">
        <f t="shared" si="232"/>
        <v>40</v>
      </c>
      <c r="CM41" s="1273">
        <f t="shared" ref="CM41:DR41" ca="1" si="233">+CM44*1000000/CM37/3</f>
        <v>94.186644479999984</v>
      </c>
      <c r="CN41" s="1273">
        <f t="shared" si="233"/>
        <v>94.532412085986223</v>
      </c>
      <c r="CO41" s="1273">
        <f t="shared" si="233"/>
        <v>96.594559516280128</v>
      </c>
      <c r="CP41" s="679">
        <f t="shared" si="233"/>
        <v>97.821254041951093</v>
      </c>
      <c r="CQ41" s="1273">
        <f t="shared" si="233"/>
        <v>100.10573161791386</v>
      </c>
      <c r="CR41" s="1273">
        <f t="shared" si="233"/>
        <v>100.23323057050921</v>
      </c>
      <c r="CS41" s="1273">
        <f t="shared" si="233"/>
        <v>99.818803203988921</v>
      </c>
      <c r="CT41" s="679">
        <f t="shared" si="233"/>
        <v>97.482324138946922</v>
      </c>
      <c r="CU41" s="1273">
        <f t="shared" si="233"/>
        <v>96.975670572666317</v>
      </c>
      <c r="CV41" s="1273">
        <f t="shared" si="233"/>
        <v>97.418786264679611</v>
      </c>
      <c r="CW41" s="1273">
        <f t="shared" si="233"/>
        <v>99.420276694127196</v>
      </c>
      <c r="CX41" s="679">
        <f t="shared" si="233"/>
        <v>98.029617218077192</v>
      </c>
      <c r="CY41" s="1273">
        <f t="shared" si="233"/>
        <v>99.194680896595187</v>
      </c>
      <c r="CZ41" s="1273">
        <f t="shared" si="233"/>
        <v>102.3195688334207</v>
      </c>
      <c r="DA41" s="1273">
        <f t="shared" si="233"/>
        <v>103.05862722956624</v>
      </c>
      <c r="DB41" s="679">
        <f t="shared" si="233"/>
        <v>102.50503307529618</v>
      </c>
      <c r="DC41" s="1273">
        <f t="shared" si="233"/>
        <v>103.56709933616436</v>
      </c>
      <c r="DD41" s="1273">
        <f t="shared" si="233"/>
        <v>104.55797505770626</v>
      </c>
      <c r="DE41" s="1273">
        <f t="shared" si="233"/>
        <v>108.84169113620813</v>
      </c>
      <c r="DF41" s="679">
        <f t="shared" si="233"/>
        <v>110.43040662321971</v>
      </c>
      <c r="DG41" s="1273">
        <f t="shared" si="233"/>
        <v>112.23725598209973</v>
      </c>
      <c r="DH41" s="1273">
        <f t="shared" si="233"/>
        <v>112.65945768492649</v>
      </c>
      <c r="DI41" s="680">
        <f t="shared" si="233"/>
        <v>114.62178876452856</v>
      </c>
      <c r="DJ41" s="679">
        <f t="shared" si="233"/>
        <v>113.67518203684398</v>
      </c>
      <c r="DK41" s="1273">
        <f t="shared" si="233"/>
        <v>115.85893320894843</v>
      </c>
      <c r="DL41" s="1273">
        <f t="shared" si="233"/>
        <v>114.2420682785516</v>
      </c>
      <c r="DM41" s="680">
        <f t="shared" si="233"/>
        <v>112.43111130517001</v>
      </c>
      <c r="DN41" s="1273">
        <f t="shared" si="233"/>
        <v>110.82709810204175</v>
      </c>
      <c r="DO41" s="1273">
        <f t="shared" si="233"/>
        <v>95.362351129213991</v>
      </c>
      <c r="DP41" s="1273">
        <f t="shared" si="233"/>
        <v>117.36218984858051</v>
      </c>
      <c r="DQ41" s="680">
        <f t="shared" si="233"/>
        <v>120.64796928700623</v>
      </c>
      <c r="DR41" s="1273">
        <f t="shared" si="233"/>
        <v>119.45036183716894</v>
      </c>
      <c r="DS41" s="1273">
        <f t="shared" ref="DS41:DT41" si="234">+DS44*1000000/DS37/3</f>
        <v>119.18863824748217</v>
      </c>
      <c r="DT41" s="1273">
        <f t="shared" si="234"/>
        <v>120.65966857095566</v>
      </c>
      <c r="DU41" s="680">
        <f t="shared" ref="DU41:DV41" si="235">+DU44*1000000/DU37/3</f>
        <v>120.70855383431287</v>
      </c>
      <c r="DV41" s="1273">
        <f t="shared" si="235"/>
        <v>69.295710805144765</v>
      </c>
      <c r="DW41" s="1273">
        <f t="shared" ref="DW41" si="236">DV41*(1+DW42)</f>
        <v>68.60275369709332</v>
      </c>
      <c r="DX41" s="1273">
        <f t="shared" ref="DX41" si="237">DW41*(1+DX42)</f>
        <v>67.91672616012238</v>
      </c>
      <c r="DY41" s="680">
        <f t="shared" ref="DY41" si="238">DX41*(1+DY42)</f>
        <v>67.237558898521158</v>
      </c>
    </row>
    <row r="42" spans="1:130" ht="15" customHeight="1" outlineLevel="1">
      <c r="A42" s="176" t="s">
        <v>319</v>
      </c>
      <c r="B42" s="1045"/>
      <c r="C42" s="1045"/>
      <c r="D42" s="1045"/>
      <c r="E42" s="1045"/>
      <c r="F42" s="1045"/>
      <c r="G42" s="1045"/>
      <c r="H42" s="1095"/>
      <c r="I42" s="1095"/>
      <c r="J42" s="1095"/>
      <c r="K42" s="1095"/>
      <c r="L42" s="1095"/>
      <c r="M42" s="1095"/>
      <c r="N42" s="1095"/>
      <c r="O42" s="1095"/>
      <c r="P42" s="1095"/>
      <c r="Q42" s="1095"/>
      <c r="R42" s="1095"/>
      <c r="S42" s="1095"/>
      <c r="T42" s="1095"/>
      <c r="U42" s="1095"/>
      <c r="V42" s="1095"/>
      <c r="W42" s="1095"/>
      <c r="X42" s="1095"/>
      <c r="Y42" s="1095"/>
      <c r="Z42" s="138"/>
      <c r="AA42" s="1045"/>
      <c r="AB42" s="1045"/>
      <c r="AC42" s="1045"/>
      <c r="AD42" s="1045"/>
      <c r="AE42" s="1045"/>
      <c r="AF42" s="1045"/>
      <c r="AG42" s="1045"/>
      <c r="AH42" s="1045"/>
      <c r="AI42" s="1045"/>
      <c r="AJ42" s="1045"/>
      <c r="AK42" s="1045"/>
      <c r="AL42" s="1045"/>
      <c r="AM42" s="1045"/>
      <c r="AN42" s="1045"/>
      <c r="AO42" s="1045"/>
      <c r="AP42" s="1045"/>
      <c r="AQ42" s="1045"/>
      <c r="AR42" s="1045"/>
      <c r="AS42" s="1045"/>
      <c r="AT42" s="1045"/>
      <c r="AU42" s="1045"/>
      <c r="AV42" s="1045"/>
      <c r="AW42" s="1045"/>
      <c r="AX42" s="1045"/>
      <c r="AY42" s="1045"/>
      <c r="AZ42" s="1045"/>
      <c r="BA42" s="1045"/>
      <c r="BB42" s="1045"/>
      <c r="BC42" s="1045"/>
      <c r="BD42" s="1045"/>
      <c r="BE42" s="1045"/>
      <c r="BF42" s="1045"/>
      <c r="BG42" s="1045"/>
      <c r="BH42" s="1045"/>
      <c r="BI42" s="1045"/>
      <c r="BJ42" s="1045"/>
      <c r="BK42" s="1045"/>
      <c r="BL42" s="1045"/>
      <c r="BM42" s="1045"/>
      <c r="BN42" s="1045"/>
      <c r="BO42" s="1045"/>
      <c r="BP42" s="1045"/>
      <c r="BQ42" s="1045"/>
      <c r="BR42" s="1045"/>
      <c r="BS42" s="1045"/>
      <c r="BT42" s="1045"/>
      <c r="BU42" s="1045"/>
      <c r="BV42" s="1045"/>
      <c r="BW42" s="1045"/>
      <c r="BX42" s="1045"/>
      <c r="BY42" s="138"/>
      <c r="BZ42" s="165">
        <v>0</v>
      </c>
      <c r="CA42" s="1059">
        <v>0</v>
      </c>
      <c r="CB42" s="1059">
        <v>0</v>
      </c>
      <c r="CC42" s="166">
        <v>0</v>
      </c>
      <c r="CD42" s="165">
        <v>0</v>
      </c>
      <c r="CE42" s="1059">
        <v>0</v>
      </c>
      <c r="CF42" s="1059">
        <v>0</v>
      </c>
      <c r="CG42" s="1059">
        <v>0</v>
      </c>
      <c r="CH42" s="165">
        <v>0</v>
      </c>
      <c r="CI42" s="1059">
        <v>0</v>
      </c>
      <c r="CJ42" s="1059">
        <v>0</v>
      </c>
      <c r="CK42" s="1059">
        <v>0</v>
      </c>
      <c r="CL42" s="165">
        <v>0</v>
      </c>
      <c r="CM42" s="1059">
        <v>0</v>
      </c>
      <c r="CN42" s="1059">
        <v>0</v>
      </c>
      <c r="CO42" s="1059">
        <f t="shared" ref="CO42:DA42" si="239">+CN42</f>
        <v>0</v>
      </c>
      <c r="CP42" s="165">
        <f t="shared" si="239"/>
        <v>0</v>
      </c>
      <c r="CQ42" s="1059">
        <f t="shared" si="239"/>
        <v>0</v>
      </c>
      <c r="CR42" s="1059">
        <f t="shared" si="239"/>
        <v>0</v>
      </c>
      <c r="CS42" s="1059">
        <f t="shared" si="239"/>
        <v>0</v>
      </c>
      <c r="CT42" s="165">
        <f t="shared" si="239"/>
        <v>0</v>
      </c>
      <c r="CU42" s="1059">
        <f t="shared" si="239"/>
        <v>0</v>
      </c>
      <c r="CV42" s="1059">
        <f t="shared" si="239"/>
        <v>0</v>
      </c>
      <c r="CW42" s="1059">
        <f t="shared" si="239"/>
        <v>0</v>
      </c>
      <c r="CX42" s="165">
        <f t="shared" si="239"/>
        <v>0</v>
      </c>
      <c r="CY42" s="1059">
        <f t="shared" si="239"/>
        <v>0</v>
      </c>
      <c r="CZ42" s="1059">
        <f t="shared" si="239"/>
        <v>0</v>
      </c>
      <c r="DA42" s="1059">
        <f t="shared" si="239"/>
        <v>0</v>
      </c>
      <c r="DB42" s="165">
        <v>2.5000000000000001E-3</v>
      </c>
      <c r="DC42" s="1059">
        <f t="shared" ref="DC42:DU42" si="240">+DB42</f>
        <v>2.5000000000000001E-3</v>
      </c>
      <c r="DD42" s="1059">
        <f t="shared" si="240"/>
        <v>2.5000000000000001E-3</v>
      </c>
      <c r="DE42" s="1059">
        <f t="shared" si="240"/>
        <v>2.5000000000000001E-3</v>
      </c>
      <c r="DF42" s="165">
        <f t="shared" si="240"/>
        <v>2.5000000000000001E-3</v>
      </c>
      <c r="DG42" s="1059">
        <f t="shared" si="240"/>
        <v>2.5000000000000001E-3</v>
      </c>
      <c r="DH42" s="1059">
        <f t="shared" si="240"/>
        <v>2.5000000000000001E-3</v>
      </c>
      <c r="DI42" s="166">
        <f t="shared" si="240"/>
        <v>2.5000000000000001E-3</v>
      </c>
      <c r="DJ42" s="165">
        <f t="shared" si="240"/>
        <v>2.5000000000000001E-3</v>
      </c>
      <c r="DK42" s="1059">
        <f t="shared" si="240"/>
        <v>2.5000000000000001E-3</v>
      </c>
      <c r="DL42" s="1059">
        <f t="shared" si="240"/>
        <v>2.5000000000000001E-3</v>
      </c>
      <c r="DM42" s="166">
        <f t="shared" si="240"/>
        <v>2.5000000000000001E-3</v>
      </c>
      <c r="DN42" s="1059">
        <f t="shared" si="240"/>
        <v>2.5000000000000001E-3</v>
      </c>
      <c r="DO42" s="1059">
        <f t="shared" si="240"/>
        <v>2.5000000000000001E-3</v>
      </c>
      <c r="DP42" s="1059">
        <f t="shared" si="240"/>
        <v>2.5000000000000001E-3</v>
      </c>
      <c r="DQ42" s="166">
        <f t="shared" si="240"/>
        <v>2.5000000000000001E-3</v>
      </c>
      <c r="DR42" s="1059">
        <f t="shared" si="240"/>
        <v>2.5000000000000001E-3</v>
      </c>
      <c r="DS42" s="1059">
        <f t="shared" si="240"/>
        <v>2.5000000000000001E-3</v>
      </c>
      <c r="DT42" s="1059">
        <f t="shared" si="240"/>
        <v>2.5000000000000001E-3</v>
      </c>
      <c r="DU42" s="166">
        <f t="shared" si="240"/>
        <v>2.5000000000000001E-3</v>
      </c>
      <c r="DV42" s="1059">
        <v>0</v>
      </c>
      <c r="DW42" s="1059">
        <v>-0.01</v>
      </c>
      <c r="DX42" s="1059">
        <v>-0.01</v>
      </c>
      <c r="DY42" s="166">
        <v>-0.01</v>
      </c>
    </row>
    <row r="43" spans="1:130" ht="15" customHeight="1" outlineLevel="1">
      <c r="A43" s="176" t="s">
        <v>320</v>
      </c>
      <c r="B43" s="1045"/>
      <c r="C43" s="1045"/>
      <c r="D43" s="1045"/>
      <c r="E43" s="1045"/>
      <c r="F43" s="1045"/>
      <c r="G43" s="1045"/>
      <c r="H43" s="1069">
        <f t="shared" ref="H43:N43" si="241">IF(ISERROR(H41/G41-1),"NA",(H41/G41-1))</f>
        <v>5.5183750146765576E-3</v>
      </c>
      <c r="I43" s="1069">
        <f t="shared" ca="1" si="241"/>
        <v>1.0792773668170934</v>
      </c>
      <c r="J43" s="1069">
        <f t="shared" ca="1" si="241"/>
        <v>0</v>
      </c>
      <c r="K43" s="1069">
        <f t="shared" ca="1" si="241"/>
        <v>0</v>
      </c>
      <c r="L43" s="1069">
        <f t="shared" ca="1" si="241"/>
        <v>0</v>
      </c>
      <c r="M43" s="1069">
        <f t="shared" ca="1" si="241"/>
        <v>0</v>
      </c>
      <c r="N43" s="1069">
        <f t="shared" ca="1" si="241"/>
        <v>0</v>
      </c>
      <c r="O43" s="1069">
        <f ca="1">IF(ISERROR(O41/N41-1),"NA",(O41/N41-1))</f>
        <v>0</v>
      </c>
      <c r="P43" s="1069">
        <f ca="1">IF(ISERROR(P41/O41-1),"NA",(P41/O41-1))</f>
        <v>0</v>
      </c>
      <c r="Q43" s="1069">
        <f ca="1">IF(ISERROR(Q41/P41-1),"NA",(Q41/P41-1))</f>
        <v>0</v>
      </c>
      <c r="R43" s="1069">
        <f ca="1">IF(ISERROR(R41/Q41-1),"NA",(R41/Q41-1))</f>
        <v>-0.17935634607014495</v>
      </c>
      <c r="S43" s="1095">
        <v>0</v>
      </c>
      <c r="T43" s="1095">
        <v>0</v>
      </c>
      <c r="U43" s="1095">
        <v>0</v>
      </c>
      <c r="V43" s="1095">
        <v>0</v>
      </c>
      <c r="W43" s="1095">
        <v>0</v>
      </c>
      <c r="X43" s="1095">
        <v>0</v>
      </c>
      <c r="Y43" s="1095">
        <v>0</v>
      </c>
      <c r="Z43" s="138"/>
      <c r="AA43" s="1045"/>
      <c r="AB43" s="1045"/>
      <c r="AC43" s="1045"/>
      <c r="AD43" s="1045"/>
      <c r="AE43" s="1045"/>
      <c r="AF43" s="1045"/>
      <c r="AG43" s="1045"/>
      <c r="AH43" s="1045"/>
      <c r="AI43" s="1045"/>
      <c r="AJ43" s="1045"/>
      <c r="AK43" s="1045"/>
      <c r="AL43" s="1045"/>
      <c r="AM43" s="1045"/>
      <c r="AN43" s="1045"/>
      <c r="AO43" s="1045"/>
      <c r="AP43" s="1045"/>
      <c r="AQ43" s="1045"/>
      <c r="AR43" s="1045"/>
      <c r="AS43" s="1045"/>
      <c r="AT43" s="1045"/>
      <c r="AU43" s="1045"/>
      <c r="AV43" s="1045"/>
      <c r="AW43" s="1045"/>
      <c r="AX43" s="1045"/>
      <c r="AY43" s="1045"/>
      <c r="AZ43" s="1045"/>
      <c r="BA43" s="1045"/>
      <c r="BB43" s="1045"/>
      <c r="BC43" s="1045"/>
      <c r="BD43" s="1045"/>
      <c r="BE43" s="1045"/>
      <c r="BF43" s="1045"/>
      <c r="BG43" s="1045"/>
      <c r="BH43" s="1045"/>
      <c r="BI43" s="1045"/>
      <c r="BJ43" s="1045"/>
      <c r="BK43" s="1045"/>
      <c r="BL43" s="1045"/>
      <c r="BM43" s="1045"/>
      <c r="BN43" s="1045"/>
      <c r="BO43" s="1045"/>
      <c r="BP43" s="1045"/>
      <c r="BQ43" s="1045"/>
      <c r="BR43" s="1045"/>
      <c r="BS43" s="1045"/>
      <c r="BT43" s="1045"/>
      <c r="BU43" s="1045"/>
      <c r="BV43" s="1045"/>
      <c r="BW43" s="1045"/>
      <c r="BX43" s="1045"/>
      <c r="BY43" s="138"/>
      <c r="BZ43" s="453">
        <f ca="1">IF(ISERROR(BZ41/L41-1),"NA",(BZ41/L41-1))</f>
        <v>-0.51906368243175982</v>
      </c>
      <c r="CA43" s="1069" t="str">
        <f>IF(ISERROR(CA41/#REF!-1),"NA",(CA41/#REF!-1))</f>
        <v>NA</v>
      </c>
      <c r="CB43" s="1069" t="str">
        <f>IF(ISERROR(CB41/Z41-1),"NA",(CB41/Z41-1))</f>
        <v>NA</v>
      </c>
      <c r="CC43" s="622" t="str">
        <f t="shared" ref="CC43:DV43" si="242">IF(ISERROR(CC41/BY41-1),"NA",(CC41/BY41-1))</f>
        <v>NA</v>
      </c>
      <c r="CD43" s="453">
        <f t="shared" si="242"/>
        <v>0</v>
      </c>
      <c r="CE43" s="1069">
        <f t="shared" si="242"/>
        <v>0</v>
      </c>
      <c r="CF43" s="1069">
        <f t="shared" si="242"/>
        <v>0</v>
      </c>
      <c r="CG43" s="1069">
        <f t="shared" si="242"/>
        <v>0</v>
      </c>
      <c r="CH43" s="453">
        <f t="shared" si="242"/>
        <v>0</v>
      </c>
      <c r="CI43" s="1069">
        <f t="shared" si="242"/>
        <v>0</v>
      </c>
      <c r="CJ43" s="1069">
        <f t="shared" si="242"/>
        <v>0</v>
      </c>
      <c r="CK43" s="1069">
        <f t="shared" si="242"/>
        <v>0</v>
      </c>
      <c r="CL43" s="453">
        <f t="shared" si="242"/>
        <v>0</v>
      </c>
      <c r="CM43" s="1069">
        <f t="shared" ca="1" si="242"/>
        <v>1.3546661119999994</v>
      </c>
      <c r="CN43" s="1069">
        <f t="shared" si="242"/>
        <v>1.3633103021496558</v>
      </c>
      <c r="CO43" s="1069">
        <f t="shared" si="242"/>
        <v>1.4148639879070033</v>
      </c>
      <c r="CP43" s="453">
        <f t="shared" si="242"/>
        <v>1.4455313510487775</v>
      </c>
      <c r="CQ43" s="1069">
        <f t="shared" ca="1" si="242"/>
        <v>6.2844229886231506E-2</v>
      </c>
      <c r="CR43" s="1069">
        <f t="shared" si="242"/>
        <v>6.030543766658103E-2</v>
      </c>
      <c r="CS43" s="1069">
        <f t="shared" si="242"/>
        <v>3.3379143751521179E-2</v>
      </c>
      <c r="CT43" s="453">
        <f t="shared" si="242"/>
        <v>-3.4647879576233942E-3</v>
      </c>
      <c r="CU43" s="1069">
        <f t="shared" si="242"/>
        <v>-3.1267550765169405E-2</v>
      </c>
      <c r="CV43" s="1069">
        <f t="shared" si="242"/>
        <v>-2.8078954352865781E-2</v>
      </c>
      <c r="CW43" s="1069">
        <f t="shared" si="242"/>
        <v>-3.9924993795737995E-3</v>
      </c>
      <c r="CX43" s="453">
        <f t="shared" si="242"/>
        <v>5.6142801678609189E-3</v>
      </c>
      <c r="CY43" s="1069">
        <f t="shared" si="242"/>
        <v>2.2882134362413264E-2</v>
      </c>
      <c r="CZ43" s="1069">
        <f t="shared" si="242"/>
        <v>5.0306339841126979E-2</v>
      </c>
      <c r="DA43" s="1069">
        <f t="shared" si="242"/>
        <v>3.6595658918076257E-2</v>
      </c>
      <c r="DB43" s="453">
        <f t="shared" si="242"/>
        <v>4.5653711441746792E-2</v>
      </c>
      <c r="DC43" s="1069">
        <f t="shared" si="242"/>
        <v>4.4079162310398212E-2</v>
      </c>
      <c r="DD43" s="1069">
        <f t="shared" si="242"/>
        <v>2.1876619006572895E-2</v>
      </c>
      <c r="DE43" s="1069">
        <f t="shared" si="242"/>
        <v>5.61143114565259E-2</v>
      </c>
      <c r="DF43" s="453">
        <f t="shared" si="242"/>
        <v>7.7316921034519925E-2</v>
      </c>
      <c r="DG43" s="1069">
        <f t="shared" si="242"/>
        <v>8.371535653222506E-2</v>
      </c>
      <c r="DH43" s="1069">
        <f t="shared" si="242"/>
        <v>7.74831630274877E-2</v>
      </c>
      <c r="DI43" s="622">
        <f t="shared" si="242"/>
        <v>5.3105547772930306E-2</v>
      </c>
      <c r="DJ43" s="453">
        <f t="shared" si="242"/>
        <v>2.938298891441371E-2</v>
      </c>
      <c r="DK43" s="1069">
        <f t="shared" si="242"/>
        <v>3.2268048565142315E-2</v>
      </c>
      <c r="DL43" s="1069">
        <f t="shared" si="242"/>
        <v>1.404773843356466E-2</v>
      </c>
      <c r="DM43" s="622">
        <f t="shared" si="242"/>
        <v>-1.9112225371555991E-2</v>
      </c>
      <c r="DN43" s="1069">
        <f t="shared" si="242"/>
        <v>-2.5054579933543653E-2</v>
      </c>
      <c r="DO43" s="1069">
        <f t="shared" si="242"/>
        <v>-0.17690981188968324</v>
      </c>
      <c r="DP43" s="1069">
        <f t="shared" si="242"/>
        <v>2.7311494067327802E-2</v>
      </c>
      <c r="DQ43" s="622">
        <f t="shared" si="242"/>
        <v>7.3083489849471883E-2</v>
      </c>
      <c r="DR43" s="1069">
        <f t="shared" si="242"/>
        <v>7.7808260640258808E-2</v>
      </c>
      <c r="DS43" s="1069">
        <f t="shared" si="242"/>
        <v>0.24985003868019207</v>
      </c>
      <c r="DT43" s="1069">
        <f t="shared" si="242"/>
        <v>2.8096601866661741E-2</v>
      </c>
      <c r="DU43" s="622">
        <f t="shared" si="242"/>
        <v>5.0215969373268443E-4</v>
      </c>
      <c r="DV43" s="1069">
        <f t="shared" si="242"/>
        <v>-0.41987860279898903</v>
      </c>
      <c r="DW43" s="1069">
        <f t="shared" ref="DW43" si="243">IF(ISERROR(DW41/DS41-1),"NA",(DW41/DS41-1))</f>
        <v>-0.42441868028857577</v>
      </c>
      <c r="DX43" s="1069">
        <f t="shared" ref="DX43" si="244">IF(ISERROR(DX41/DT41-1),"NA",(DX41/DT41-1))</f>
        <v>-0.43712155880667802</v>
      </c>
      <c r="DY43" s="622">
        <f t="shared" ref="DY43" si="245">IF(ISERROR(DY41/DU41-1),"NA",(DY41/DU41-1))</f>
        <v>-0.44297602147721138</v>
      </c>
    </row>
    <row r="44" spans="1:130" ht="15" customHeight="1" outlineLevel="1">
      <c r="A44" s="381" t="s">
        <v>337</v>
      </c>
      <c r="B44" s="1044"/>
      <c r="C44" s="1044"/>
      <c r="D44" s="1044"/>
      <c r="E44" s="1288">
        <v>81.12</v>
      </c>
      <c r="F44" s="1288">
        <v>329.76</v>
      </c>
      <c r="G44" s="1044">
        <f>SUM(CD44:CG44)</f>
        <v>511.02</v>
      </c>
      <c r="H44" s="1094">
        <f>SUM(CH44:CK44)</f>
        <v>912.18</v>
      </c>
      <c r="I44" s="1094">
        <f ca="1">SUM(CL44:CO44)</f>
        <v>2884.248806606663</v>
      </c>
      <c r="J44" s="1094">
        <f t="shared" ref="J44:S44" ca="1" si="246">J41*J37*12/1000000</f>
        <v>3666.3481953612441</v>
      </c>
      <c r="K44" s="1094">
        <f t="shared" ca="1" si="246"/>
        <v>4449.445637251898</v>
      </c>
      <c r="L44" s="1094">
        <f t="shared" ca="1" si="246"/>
        <v>5128.6207963490333</v>
      </c>
      <c r="M44" s="1094">
        <f t="shared" ca="1" si="246"/>
        <v>5758.517081852604</v>
      </c>
      <c r="N44" s="1094">
        <f t="shared" ca="1" si="246"/>
        <v>6311.1890059525867</v>
      </c>
      <c r="O44" s="1094">
        <f t="shared" ca="1" si="246"/>
        <v>6819.1980522133399</v>
      </c>
      <c r="P44" s="1094">
        <f t="shared" ca="1" si="246"/>
        <v>6126.9234457052562</v>
      </c>
      <c r="Q44" s="1094">
        <f t="shared" ca="1" si="246"/>
        <v>5733.6905100928079</v>
      </c>
      <c r="R44" s="1094">
        <f>+SUM(DV44:DY44)</f>
        <v>4898.202057206272</v>
      </c>
      <c r="S44" s="1094">
        <f t="shared" si="246"/>
        <v>4995.3613856825123</v>
      </c>
      <c r="T44" s="1094">
        <f t="shared" ref="T44:Y44" si="247">T41*T37*12/1000000</f>
        <v>4974.8852363724509</v>
      </c>
      <c r="U44" s="1094">
        <f t="shared" si="247"/>
        <v>4946.2186273383659</v>
      </c>
      <c r="V44" s="1094">
        <f t="shared" si="247"/>
        <v>4909.3615585802554</v>
      </c>
      <c r="W44" s="1094">
        <f t="shared" si="247"/>
        <v>4864.3140300981204</v>
      </c>
      <c r="X44" s="1094">
        <f t="shared" si="247"/>
        <v>4811.0760418919617</v>
      </c>
      <c r="Y44" s="1094">
        <f t="shared" si="247"/>
        <v>4749.6475939617785</v>
      </c>
      <c r="Z44" s="536"/>
      <c r="AA44" s="1044"/>
      <c r="AB44" s="1044"/>
      <c r="AC44" s="1044"/>
      <c r="AD44" s="1044"/>
      <c r="AE44" s="1044"/>
      <c r="AF44" s="1044"/>
      <c r="AG44" s="1044"/>
      <c r="AH44" s="1044"/>
      <c r="AI44" s="1044"/>
      <c r="AJ44" s="1044"/>
      <c r="AK44" s="1044"/>
      <c r="AL44" s="1044"/>
      <c r="AM44" s="1044"/>
      <c r="AN44" s="1044"/>
      <c r="AO44" s="1044"/>
      <c r="AP44" s="1044"/>
      <c r="AQ44" s="1044"/>
      <c r="AR44" s="1044"/>
      <c r="AS44" s="1044"/>
      <c r="AT44" s="1044"/>
      <c r="AU44" s="1044"/>
      <c r="AV44" s="1044"/>
      <c r="AW44" s="1044"/>
      <c r="AX44" s="1044"/>
      <c r="AY44" s="1044"/>
      <c r="AZ44" s="1044"/>
      <c r="BA44" s="1044"/>
      <c r="BB44" s="1044"/>
      <c r="BC44" s="1044"/>
      <c r="BD44" s="1044"/>
      <c r="BE44" s="1044"/>
      <c r="BF44" s="1044"/>
      <c r="BG44" s="1044"/>
      <c r="BH44" s="1044"/>
      <c r="BI44" s="1044"/>
      <c r="BJ44" s="1044"/>
      <c r="BK44" s="1044"/>
      <c r="BL44" s="1044"/>
      <c r="BM44" s="1044"/>
      <c r="BN44" s="1044"/>
      <c r="BO44" s="1044"/>
      <c r="BP44" s="1044"/>
      <c r="BQ44" s="1044"/>
      <c r="BR44" s="1044"/>
      <c r="BS44" s="1044"/>
      <c r="BT44" s="1044"/>
      <c r="BU44" s="1044"/>
      <c r="BV44" s="1044"/>
      <c r="BW44" s="1044"/>
      <c r="BX44" s="1044"/>
      <c r="BY44" s="536"/>
      <c r="BZ44" s="171">
        <f t="shared" ref="BZ44:CL44" si="248">BZ41*BZ37*3/1000000</f>
        <v>25.98</v>
      </c>
      <c r="CA44" s="1044">
        <f t="shared" si="248"/>
        <v>38.340000000000003</v>
      </c>
      <c r="CB44" s="1044">
        <f t="shared" si="248"/>
        <v>53.82</v>
      </c>
      <c r="CC44" s="172">
        <f t="shared" si="248"/>
        <v>72.540000000000006</v>
      </c>
      <c r="CD44" s="171">
        <f t="shared" si="248"/>
        <v>92.4</v>
      </c>
      <c r="CE44" s="1044">
        <f t="shared" si="248"/>
        <v>114.42</v>
      </c>
      <c r="CF44" s="1044">
        <f t="shared" si="248"/>
        <v>140.1</v>
      </c>
      <c r="CG44" s="1044">
        <f t="shared" si="248"/>
        <v>164.1</v>
      </c>
      <c r="CH44" s="171">
        <f t="shared" si="248"/>
        <v>189.54</v>
      </c>
      <c r="CI44" s="1044">
        <f t="shared" si="248"/>
        <v>215.34</v>
      </c>
      <c r="CJ44" s="1044">
        <f t="shared" si="248"/>
        <v>239.04</v>
      </c>
      <c r="CK44" s="1044">
        <f t="shared" si="248"/>
        <v>268.26</v>
      </c>
      <c r="CL44" s="171">
        <f t="shared" si="248"/>
        <v>301.44</v>
      </c>
      <c r="CM44" s="1044">
        <f ca="1">+CM93-CM91</f>
        <v>790.46141379839992</v>
      </c>
      <c r="CN44" s="1044">
        <f t="shared" ref="CN44:DE44" si="249">+CN93-CN91</f>
        <v>861.85200098793644</v>
      </c>
      <c r="CO44" s="1044">
        <f t="shared" si="249"/>
        <v>930.49539182032652</v>
      </c>
      <c r="CP44" s="171">
        <f t="shared" si="249"/>
        <v>990.73366093688071</v>
      </c>
      <c r="CQ44" s="1044">
        <f t="shared" si="249"/>
        <v>1069.8800066664544</v>
      </c>
      <c r="CR44" s="1044">
        <f t="shared" si="249"/>
        <v>1134.2392371358821</v>
      </c>
      <c r="CS44" s="1044">
        <f t="shared" si="249"/>
        <v>1192.8846076892696</v>
      </c>
      <c r="CT44" s="171">
        <f t="shared" si="249"/>
        <v>1224.036803050687</v>
      </c>
      <c r="CU44" s="1044">
        <f t="shared" si="249"/>
        <v>1275.2785558658484</v>
      </c>
      <c r="CV44" s="1044">
        <f t="shared" si="249"/>
        <v>1328.8896634364946</v>
      </c>
      <c r="CW44" s="1044">
        <f t="shared" si="249"/>
        <v>1406.7472050835527</v>
      </c>
      <c r="CX44" s="171">
        <f t="shared" si="249"/>
        <v>1445.0055726030669</v>
      </c>
      <c r="CY44" s="1044">
        <f t="shared" si="249"/>
        <v>1510.8341847360414</v>
      </c>
      <c r="CZ44" s="1044">
        <f t="shared" si="249"/>
        <v>1599.8687782793661</v>
      </c>
      <c r="DA44" s="1044">
        <f t="shared" si="249"/>
        <v>1654.7093187979158</v>
      </c>
      <c r="DB44" s="171">
        <f t="shared" si="249"/>
        <v>1696.8683175284532</v>
      </c>
      <c r="DC44" s="1044">
        <f t="shared" si="249"/>
        <v>1768.6671389133471</v>
      </c>
      <c r="DD44" s="1044">
        <f t="shared" si="249"/>
        <v>1837.9723645518898</v>
      </c>
      <c r="DE44" s="1044">
        <f t="shared" si="249"/>
        <v>1962.0891661124242</v>
      </c>
      <c r="DF44" s="171">
        <f t="shared" ref="DF44:DK44" si="250">+DF93-DF91</f>
        <v>2027.8335568221837</v>
      </c>
      <c r="DG44" s="1044">
        <f t="shared" si="250"/>
        <v>2100.9130761009337</v>
      </c>
      <c r="DH44" s="1044">
        <f t="shared" si="250"/>
        <v>2159.6818038200408</v>
      </c>
      <c r="DI44" s="172">
        <f t="shared" si="250"/>
        <v>2250.0830243420778</v>
      </c>
      <c r="DJ44" s="171">
        <f t="shared" si="250"/>
        <v>2278.9032118836299</v>
      </c>
      <c r="DK44" s="1044">
        <f t="shared" si="250"/>
        <v>2358.3085854681453</v>
      </c>
      <c r="DL44" s="1044">
        <f t="shared" ref="DL44:DQ44" si="251">+DL93-DL91</f>
        <v>2357.2708368596341</v>
      </c>
      <c r="DM44" s="172">
        <f t="shared" si="251"/>
        <v>2355.8252907328797</v>
      </c>
      <c r="DN44" s="1044">
        <f t="shared" si="251"/>
        <v>2354.9650075702848</v>
      </c>
      <c r="DO44" s="1044">
        <f t="shared" si="251"/>
        <v>1806.2106115628774</v>
      </c>
      <c r="DP44" s="1044">
        <f t="shared" si="251"/>
        <v>1950.5595952834083</v>
      </c>
      <c r="DQ44" s="172">
        <f t="shared" si="251"/>
        <v>2033.7628182710641</v>
      </c>
      <c r="DR44" s="1044">
        <f>+DR93-DR91</f>
        <v>2032.0298303929994</v>
      </c>
      <c r="DS44" s="1044">
        <f>+DS93-DS91</f>
        <v>2042.5952879662259</v>
      </c>
      <c r="DT44" s="1044">
        <f>+DT93-DT91</f>
        <v>2088.6188629632425</v>
      </c>
      <c r="DU44" s="172">
        <f>+DU93-DU91</f>
        <v>2109.925166746872</v>
      </c>
      <c r="DV44" s="1044">
        <f>+DV93-DV91</f>
        <v>1223</v>
      </c>
      <c r="DW44" s="1044">
        <f t="shared" ref="DW44:DY44" si="252">DW41*DW37*3/1000000</f>
        <v>1223.941728709842</v>
      </c>
      <c r="DX44" s="1044">
        <f t="shared" si="252"/>
        <v>1225.1498232024474</v>
      </c>
      <c r="DY44" s="172">
        <f t="shared" si="252"/>
        <v>1226.1105052939824</v>
      </c>
    </row>
    <row r="45" spans="1:130" s="3061" customFormat="1">
      <c r="A45" s="1934" t="s">
        <v>249</v>
      </c>
      <c r="B45" s="2216"/>
      <c r="C45" s="2216"/>
      <c r="D45" s="2216"/>
      <c r="E45" s="2231">
        <f t="shared" ref="E45:N45" si="253">E48+E50</f>
        <v>5144</v>
      </c>
      <c r="F45" s="2231">
        <f t="shared" si="253"/>
        <v>6786</v>
      </c>
      <c r="G45" s="2231">
        <f t="shared" si="253"/>
        <v>7094</v>
      </c>
      <c r="H45" s="2231">
        <f t="shared" si="253"/>
        <v>7676</v>
      </c>
      <c r="I45" s="2231">
        <f t="shared" si="253"/>
        <v>8160</v>
      </c>
      <c r="J45" s="2231">
        <f t="shared" si="253"/>
        <v>8392</v>
      </c>
      <c r="K45" s="2231">
        <f t="shared" si="253"/>
        <v>8670</v>
      </c>
      <c r="L45" s="2231">
        <f t="shared" si="253"/>
        <v>8795</v>
      </c>
      <c r="M45" s="2231">
        <f t="shared" si="253"/>
        <v>9015</v>
      </c>
      <c r="N45" s="2231">
        <f t="shared" si="253"/>
        <v>9205</v>
      </c>
      <c r="O45" s="2231">
        <f t="shared" ref="O45:T45" si="254">O48+O50</f>
        <v>9228</v>
      </c>
      <c r="P45" s="2231">
        <f t="shared" si="254"/>
        <v>7038</v>
      </c>
      <c r="Q45" s="2231">
        <f t="shared" si="254"/>
        <v>6959</v>
      </c>
      <c r="R45" s="2231">
        <f t="shared" si="254"/>
        <v>6979</v>
      </c>
      <c r="S45" s="2231">
        <f t="shared" si="254"/>
        <v>6785</v>
      </c>
      <c r="T45" s="2231">
        <f t="shared" si="254"/>
        <v>6615.8</v>
      </c>
      <c r="U45" s="2231">
        <f t="shared" ref="U45:Y45" si="255">U48+U50</f>
        <v>6464.44</v>
      </c>
      <c r="V45" s="2231">
        <f t="shared" si="255"/>
        <v>6325.3519999999999</v>
      </c>
      <c r="W45" s="2231">
        <f t="shared" si="255"/>
        <v>6194.0815999999995</v>
      </c>
      <c r="X45" s="2231">
        <f t="shared" si="255"/>
        <v>6067.0652799999998</v>
      </c>
      <c r="Y45" s="2231">
        <f t="shared" si="255"/>
        <v>5941.4522239999997</v>
      </c>
      <c r="Z45" s="1964"/>
      <c r="AA45" s="1982"/>
      <c r="AB45" s="1982"/>
      <c r="AC45" s="1982"/>
      <c r="AD45" s="1982"/>
      <c r="AE45" s="1982"/>
      <c r="AF45" s="1982"/>
      <c r="AG45" s="1982"/>
      <c r="AH45" s="1982"/>
      <c r="AI45" s="1982"/>
      <c r="AJ45" s="1982"/>
      <c r="AK45" s="1982"/>
      <c r="AL45" s="1982"/>
      <c r="AM45" s="1982"/>
      <c r="AN45" s="1982"/>
      <c r="AO45" s="1982"/>
      <c r="AP45" s="1982"/>
      <c r="AQ45" s="1982"/>
      <c r="AR45" s="1982"/>
      <c r="AS45" s="1982"/>
      <c r="AT45" s="1982"/>
      <c r="AU45" s="1982"/>
      <c r="AV45" s="1982"/>
      <c r="AW45" s="1982"/>
      <c r="AX45" s="1982"/>
      <c r="AY45" s="1982"/>
      <c r="AZ45" s="1982"/>
      <c r="BA45" s="1982"/>
      <c r="BB45" s="1982"/>
      <c r="BC45" s="1982"/>
      <c r="BD45" s="1982"/>
      <c r="BE45" s="1982"/>
      <c r="BF45" s="1982"/>
      <c r="BG45" s="1982"/>
      <c r="BH45" s="1982"/>
      <c r="BI45" s="1982"/>
      <c r="BJ45" s="1982"/>
      <c r="BK45" s="1982"/>
      <c r="BL45" s="1982"/>
      <c r="BM45" s="1982"/>
      <c r="BN45" s="1982"/>
      <c r="BO45" s="1982"/>
      <c r="BP45" s="1982"/>
      <c r="BQ45" s="1982"/>
      <c r="BR45" s="1982"/>
      <c r="BS45" s="1982"/>
      <c r="BT45" s="1982"/>
      <c r="BU45" s="1982"/>
      <c r="BV45" s="1982"/>
      <c r="BW45" s="1982"/>
      <c r="BX45" s="1982"/>
      <c r="BY45" s="3105">
        <f t="shared" ref="BY45:DE45" si="256">BY48+BY50</f>
        <v>5144</v>
      </c>
      <c r="BZ45" s="2232">
        <f t="shared" si="256"/>
        <v>5533</v>
      </c>
      <c r="CA45" s="2231">
        <f t="shared" si="256"/>
        <v>5957</v>
      </c>
      <c r="CB45" s="2231">
        <f t="shared" si="256"/>
        <v>6390</v>
      </c>
      <c r="CC45" s="3106">
        <f t="shared" si="256"/>
        <v>6786</v>
      </c>
      <c r="CD45" s="2232">
        <f t="shared" si="256"/>
        <v>7190</v>
      </c>
      <c r="CE45" s="2231">
        <f t="shared" si="256"/>
        <v>7471</v>
      </c>
      <c r="CF45" s="2231">
        <f t="shared" si="256"/>
        <v>7751</v>
      </c>
      <c r="CG45" s="2231">
        <f t="shared" si="256"/>
        <v>7094</v>
      </c>
      <c r="CH45" s="2232">
        <f t="shared" si="256"/>
        <v>7320</v>
      </c>
      <c r="CI45" s="2231">
        <f t="shared" si="256"/>
        <v>7367</v>
      </c>
      <c r="CJ45" s="2231">
        <f t="shared" si="256"/>
        <v>7473.0186915887853</v>
      </c>
      <c r="CK45" s="2231">
        <f t="shared" si="256"/>
        <v>7676</v>
      </c>
      <c r="CL45" s="2232">
        <f t="shared" si="256"/>
        <v>7896</v>
      </c>
      <c r="CM45" s="2231">
        <f t="shared" si="256"/>
        <v>8064</v>
      </c>
      <c r="CN45" s="2231">
        <f t="shared" si="256"/>
        <v>8119</v>
      </c>
      <c r="CO45" s="2231">
        <f t="shared" si="256"/>
        <v>8160</v>
      </c>
      <c r="CP45" s="2232">
        <f t="shared" si="256"/>
        <v>8241</v>
      </c>
      <c r="CQ45" s="2231">
        <f t="shared" si="256"/>
        <v>8279</v>
      </c>
      <c r="CR45" s="2231">
        <f t="shared" si="256"/>
        <v>8339</v>
      </c>
      <c r="CS45" s="2231">
        <f t="shared" si="256"/>
        <v>8392</v>
      </c>
      <c r="CT45" s="2232">
        <f t="shared" si="256"/>
        <v>8490</v>
      </c>
      <c r="CU45" s="2231">
        <f t="shared" si="256"/>
        <v>8552</v>
      </c>
      <c r="CV45" s="2231">
        <f t="shared" si="256"/>
        <v>8572</v>
      </c>
      <c r="CW45" s="2231">
        <f t="shared" si="256"/>
        <v>8670</v>
      </c>
      <c r="CX45" s="2232">
        <f t="shared" si="256"/>
        <v>8774</v>
      </c>
      <c r="CY45" s="2231">
        <f t="shared" si="256"/>
        <v>8776</v>
      </c>
      <c r="CZ45" s="2231">
        <f t="shared" si="256"/>
        <v>8768</v>
      </c>
      <c r="DA45" s="2231">
        <f t="shared" si="256"/>
        <v>8795</v>
      </c>
      <c r="DB45" s="2232">
        <f t="shared" si="256"/>
        <v>8894</v>
      </c>
      <c r="DC45" s="2231">
        <f t="shared" si="256"/>
        <v>8939</v>
      </c>
      <c r="DD45" s="2231">
        <f t="shared" si="256"/>
        <v>8995</v>
      </c>
      <c r="DE45" s="2231">
        <f t="shared" si="256"/>
        <v>9015</v>
      </c>
      <c r="DF45" s="2232">
        <f>DF48+DF50</f>
        <v>9031</v>
      </c>
      <c r="DG45" s="2231">
        <f>DG48+DG50</f>
        <v>9077</v>
      </c>
      <c r="DH45" s="2231">
        <f>DH48+DH50</f>
        <v>9146</v>
      </c>
      <c r="DI45" s="3106">
        <f>DI48+DI50</f>
        <v>9205</v>
      </c>
      <c r="DJ45" s="2232">
        <f t="shared" ref="DJ45:DM45" si="257">DJ48+DJ50</f>
        <v>9246</v>
      </c>
      <c r="DK45" s="2231">
        <f t="shared" si="257"/>
        <v>9221</v>
      </c>
      <c r="DL45" s="2231">
        <f t="shared" si="257"/>
        <v>9223</v>
      </c>
      <c r="DM45" s="3106">
        <f t="shared" si="257"/>
        <v>9228</v>
      </c>
      <c r="DN45" s="2231">
        <f t="shared" ref="DN45:DO45" si="258">DN48+DN50</f>
        <v>9218</v>
      </c>
      <c r="DO45" s="2231">
        <f t="shared" si="258"/>
        <v>7014</v>
      </c>
      <c r="DP45" s="2231">
        <f t="shared" ref="DP45:DQ45" si="259">DP48+DP50</f>
        <v>7038</v>
      </c>
      <c r="DQ45" s="3106">
        <f t="shared" si="259"/>
        <v>7038</v>
      </c>
      <c r="DR45" s="2231">
        <f t="shared" ref="DR45:DS45" si="260">DR48+DR50</f>
        <v>7011</v>
      </c>
      <c r="DS45" s="2231">
        <f t="shared" si="260"/>
        <v>6988</v>
      </c>
      <c r="DT45" s="2231">
        <f t="shared" ref="DT45:DU45" si="261">DT48+DT50</f>
        <v>6978</v>
      </c>
      <c r="DU45" s="3106">
        <f t="shared" si="261"/>
        <v>6959</v>
      </c>
      <c r="DV45" s="2231">
        <f t="shared" ref="DV45" si="262">DV48+DV50</f>
        <v>6966</v>
      </c>
      <c r="DW45" s="2231">
        <f t="shared" ref="DW45:DY45" si="263">DW48+DW50</f>
        <v>6968</v>
      </c>
      <c r="DX45" s="2231">
        <f t="shared" si="263"/>
        <v>6978</v>
      </c>
      <c r="DY45" s="3106">
        <f t="shared" si="263"/>
        <v>6979</v>
      </c>
      <c r="DZ45" s="2965"/>
    </row>
    <row r="46" spans="1:130" s="3061" customFormat="1">
      <c r="A46" s="1984" t="s">
        <v>320</v>
      </c>
      <c r="B46" s="1985"/>
      <c r="C46" s="1985"/>
      <c r="D46" s="1985"/>
      <c r="E46" s="3099"/>
      <c r="F46" s="3099"/>
      <c r="G46" s="3099">
        <f t="shared" ref="G46:T46" si="264">G45/F45-1</f>
        <v>4.5387562628941946E-2</v>
      </c>
      <c r="H46" s="3099">
        <f t="shared" si="264"/>
        <v>8.2041161544967656E-2</v>
      </c>
      <c r="I46" s="3099">
        <f t="shared" si="264"/>
        <v>6.3053673788431519E-2</v>
      </c>
      <c r="J46" s="3099">
        <f t="shared" si="264"/>
        <v>2.8431372549019507E-2</v>
      </c>
      <c r="K46" s="3099">
        <f t="shared" si="264"/>
        <v>3.3126787416587256E-2</v>
      </c>
      <c r="L46" s="3099">
        <f t="shared" si="264"/>
        <v>1.4417531718569743E-2</v>
      </c>
      <c r="M46" s="3099">
        <f t="shared" si="264"/>
        <v>2.5014212620807275E-2</v>
      </c>
      <c r="N46" s="3099">
        <f t="shared" si="264"/>
        <v>2.1075984470327214E-2</v>
      </c>
      <c r="O46" s="3099">
        <f>O45/N45-1</f>
        <v>2.4986420423682709E-3</v>
      </c>
      <c r="P46" s="3099">
        <f>P45/O45-1</f>
        <v>-0.23732119635890769</v>
      </c>
      <c r="Q46" s="3099">
        <f>Q45/P45-1</f>
        <v>-1.122477976697922E-2</v>
      </c>
      <c r="R46" s="3099">
        <f>R45/Q45-1</f>
        <v>2.8739761459979363E-3</v>
      </c>
      <c r="S46" s="3099">
        <f t="shared" si="264"/>
        <v>-2.7797678750537291E-2</v>
      </c>
      <c r="T46" s="3099">
        <f t="shared" si="264"/>
        <v>-2.4937361827560789E-2</v>
      </c>
      <c r="U46" s="3099">
        <f t="shared" ref="U46" si="265">U45/T45-1</f>
        <v>-2.2878563439039934E-2</v>
      </c>
      <c r="V46" s="3099">
        <f t="shared" ref="V46" si="266">V45/U45-1</f>
        <v>-2.1515862162847732E-2</v>
      </c>
      <c r="W46" s="3099">
        <f t="shared" ref="W46" si="267">W45/V45-1</f>
        <v>-2.0753058485915132E-2</v>
      </c>
      <c r="X46" s="3099">
        <f t="shared" ref="X46" si="268">X45/W45-1</f>
        <v>-2.0506077930907418E-2</v>
      </c>
      <c r="Y46" s="3099">
        <f t="shared" ref="Y46" si="269">Y45/X45-1</f>
        <v>-2.0704088418840971E-2</v>
      </c>
      <c r="Z46" s="1962"/>
      <c r="AA46" s="1985"/>
      <c r="AB46" s="1985"/>
      <c r="AC46" s="1985"/>
      <c r="AD46" s="1985"/>
      <c r="AE46" s="1985"/>
      <c r="AF46" s="1985"/>
      <c r="AG46" s="1985"/>
      <c r="AH46" s="1985"/>
      <c r="AI46" s="1985"/>
      <c r="AJ46" s="1985"/>
      <c r="AK46" s="1985"/>
      <c r="AL46" s="1985"/>
      <c r="AM46" s="1985"/>
      <c r="AN46" s="1985"/>
      <c r="AO46" s="1985"/>
      <c r="AP46" s="1985"/>
      <c r="AQ46" s="1985"/>
      <c r="AR46" s="1985"/>
      <c r="AS46" s="1985"/>
      <c r="AT46" s="1985"/>
      <c r="AU46" s="1985"/>
      <c r="AV46" s="1985"/>
      <c r="AW46" s="1985"/>
      <c r="AX46" s="1985"/>
      <c r="AY46" s="1985"/>
      <c r="AZ46" s="1985"/>
      <c r="BA46" s="1985"/>
      <c r="BB46" s="1985"/>
      <c r="BC46" s="1985"/>
      <c r="BD46" s="1985"/>
      <c r="BE46" s="1985"/>
      <c r="BF46" s="1985"/>
      <c r="BG46" s="1985"/>
      <c r="BH46" s="1985"/>
      <c r="BI46" s="1985"/>
      <c r="BJ46" s="1985"/>
      <c r="BK46" s="1985"/>
      <c r="BL46" s="1985"/>
      <c r="BM46" s="1985"/>
      <c r="BN46" s="1985"/>
      <c r="BO46" s="1985"/>
      <c r="BP46" s="1985"/>
      <c r="BQ46" s="1985"/>
      <c r="BR46" s="1985"/>
      <c r="BS46" s="1985"/>
      <c r="BT46" s="1985"/>
      <c r="BU46" s="1985"/>
      <c r="BV46" s="1985"/>
      <c r="BW46" s="1985"/>
      <c r="BX46" s="1985"/>
      <c r="BY46" s="1962"/>
      <c r="BZ46" s="1987"/>
      <c r="CA46" s="1985"/>
      <c r="CB46" s="1985"/>
      <c r="CC46" s="1988"/>
      <c r="CD46" s="3107">
        <f t="shared" ref="CD46:DV46" si="270">CD45/BZ45-1</f>
        <v>0.29947587204048443</v>
      </c>
      <c r="CE46" s="3099">
        <f t="shared" si="270"/>
        <v>0.25415477589390623</v>
      </c>
      <c r="CF46" s="3099">
        <f t="shared" si="270"/>
        <v>0.21298904538341157</v>
      </c>
      <c r="CG46" s="3099">
        <f t="shared" si="270"/>
        <v>4.5387562628941946E-2</v>
      </c>
      <c r="CH46" s="3107">
        <f t="shared" si="270"/>
        <v>1.8080667593880495E-2</v>
      </c>
      <c r="CI46" s="3099">
        <f t="shared" si="270"/>
        <v>-1.3920492571275589E-2</v>
      </c>
      <c r="CJ46" s="3099">
        <f t="shared" si="270"/>
        <v>-3.5863928320373439E-2</v>
      </c>
      <c r="CK46" s="3099">
        <f t="shared" si="270"/>
        <v>8.2041161544967656E-2</v>
      </c>
      <c r="CL46" s="3107">
        <f t="shared" si="270"/>
        <v>7.8688524590163844E-2</v>
      </c>
      <c r="CM46" s="3099">
        <f t="shared" si="270"/>
        <v>9.4611103569974153E-2</v>
      </c>
      <c r="CN46" s="3099">
        <f t="shared" si="270"/>
        <v>8.6441816228600477E-2</v>
      </c>
      <c r="CO46" s="3099">
        <f t="shared" si="270"/>
        <v>6.3053673788431519E-2</v>
      </c>
      <c r="CP46" s="3107">
        <f t="shared" si="270"/>
        <v>4.3693009118541015E-2</v>
      </c>
      <c r="CQ46" s="3099">
        <f t="shared" si="270"/>
        <v>2.6661706349206282E-2</v>
      </c>
      <c r="CR46" s="3099">
        <f t="shared" si="270"/>
        <v>2.7096933119842292E-2</v>
      </c>
      <c r="CS46" s="3099">
        <f t="shared" si="270"/>
        <v>2.8431372549019507E-2</v>
      </c>
      <c r="CT46" s="3107">
        <f t="shared" si="270"/>
        <v>3.0214779759737853E-2</v>
      </c>
      <c r="CU46" s="3099">
        <f t="shared" si="270"/>
        <v>3.2974996980311699E-2</v>
      </c>
      <c r="CV46" s="3099">
        <f t="shared" si="270"/>
        <v>2.7941000119918513E-2</v>
      </c>
      <c r="CW46" s="3099">
        <f t="shared" si="270"/>
        <v>3.3126787416587256E-2</v>
      </c>
      <c r="CX46" s="3107">
        <f t="shared" si="270"/>
        <v>3.3451118963486515E-2</v>
      </c>
      <c r="CY46" s="3099">
        <f t="shared" si="270"/>
        <v>2.6192703461178635E-2</v>
      </c>
      <c r="CZ46" s="3099">
        <f t="shared" si="270"/>
        <v>2.2865142323845067E-2</v>
      </c>
      <c r="DA46" s="3099">
        <f t="shared" si="270"/>
        <v>1.4417531718569743E-2</v>
      </c>
      <c r="DB46" s="3107">
        <f t="shared" si="270"/>
        <v>1.3676772281741467E-2</v>
      </c>
      <c r="DC46" s="3099">
        <f t="shared" si="270"/>
        <v>1.8573381950774737E-2</v>
      </c>
      <c r="DD46" s="3099">
        <f t="shared" si="270"/>
        <v>2.5889598540145942E-2</v>
      </c>
      <c r="DE46" s="3099">
        <f t="shared" si="270"/>
        <v>2.5014212620807275E-2</v>
      </c>
      <c r="DF46" s="3107">
        <f t="shared" si="270"/>
        <v>1.5403642905329473E-2</v>
      </c>
      <c r="DG46" s="3099">
        <f t="shared" si="270"/>
        <v>1.5437968452847173E-2</v>
      </c>
      <c r="DH46" s="3099">
        <f t="shared" si="270"/>
        <v>1.6787103946636961E-2</v>
      </c>
      <c r="DI46" s="3108">
        <f t="shared" si="270"/>
        <v>2.1075984470327214E-2</v>
      </c>
      <c r="DJ46" s="3107">
        <f t="shared" si="270"/>
        <v>2.3806887387886277E-2</v>
      </c>
      <c r="DK46" s="3099">
        <f t="shared" si="270"/>
        <v>1.5864272336675089E-2</v>
      </c>
      <c r="DL46" s="3099">
        <f t="shared" si="270"/>
        <v>8.4189809752897027E-3</v>
      </c>
      <c r="DM46" s="3108">
        <f t="shared" si="270"/>
        <v>2.4986420423682709E-3</v>
      </c>
      <c r="DN46" s="3099">
        <f t="shared" si="270"/>
        <v>-3.028336577979629E-3</v>
      </c>
      <c r="DO46" s="3099">
        <f t="shared" si="270"/>
        <v>-0.23934497343021366</v>
      </c>
      <c r="DP46" s="3099">
        <f t="shared" si="270"/>
        <v>-0.23690773067331672</v>
      </c>
      <c r="DQ46" s="3108">
        <f t="shared" si="270"/>
        <v>-0.23732119635890769</v>
      </c>
      <c r="DR46" s="3099">
        <f t="shared" si="270"/>
        <v>-0.23942286830114989</v>
      </c>
      <c r="DS46" s="3099">
        <f t="shared" si="270"/>
        <v>-3.706871970345027E-3</v>
      </c>
      <c r="DT46" s="3099">
        <f t="shared" si="270"/>
        <v>-8.5251491901108256E-3</v>
      </c>
      <c r="DU46" s="3108">
        <f t="shared" si="270"/>
        <v>-1.122477976697922E-2</v>
      </c>
      <c r="DV46" s="3099">
        <f t="shared" si="270"/>
        <v>-6.4184852374840062E-3</v>
      </c>
      <c r="DW46" s="3099">
        <f t="shared" ref="DW46" si="271">DW45/DS45-1</f>
        <v>-2.8620492272467546E-3</v>
      </c>
      <c r="DX46" s="3099">
        <f t="shared" ref="DX46" si="272">DX45/DT45-1</f>
        <v>0</v>
      </c>
      <c r="DY46" s="3108">
        <f t="shared" ref="DY46" si="273">DY45/DU45-1</f>
        <v>2.8739761459979363E-3</v>
      </c>
      <c r="DZ46" s="2965"/>
    </row>
    <row r="47" spans="1:130" s="3061" customFormat="1">
      <c r="A47" s="3109" t="s">
        <v>20</v>
      </c>
      <c r="B47" s="3110"/>
      <c r="C47" s="3110"/>
      <c r="D47" s="3110"/>
      <c r="E47" s="3111"/>
      <c r="F47" s="3110">
        <f t="shared" ref="F47:T47" si="274">F45-E45</f>
        <v>1642</v>
      </c>
      <c r="G47" s="3110">
        <f t="shared" si="274"/>
        <v>308</v>
      </c>
      <c r="H47" s="3111">
        <f t="shared" si="274"/>
        <v>582</v>
      </c>
      <c r="I47" s="3111">
        <f t="shared" si="274"/>
        <v>484</v>
      </c>
      <c r="J47" s="3111">
        <f t="shared" si="274"/>
        <v>232</v>
      </c>
      <c r="K47" s="3111">
        <f t="shared" si="274"/>
        <v>278</v>
      </c>
      <c r="L47" s="3111">
        <f t="shared" si="274"/>
        <v>125</v>
      </c>
      <c r="M47" s="3111">
        <f t="shared" si="274"/>
        <v>220</v>
      </c>
      <c r="N47" s="3111">
        <f t="shared" si="274"/>
        <v>190</v>
      </c>
      <c r="O47" s="3111">
        <f>O45-N45</f>
        <v>23</v>
      </c>
      <c r="P47" s="3111">
        <f>P45-O45</f>
        <v>-2190</v>
      </c>
      <c r="Q47" s="3111">
        <f>Q45-P45</f>
        <v>-79</v>
      </c>
      <c r="R47" s="3111">
        <f>R45-Q45</f>
        <v>20</v>
      </c>
      <c r="S47" s="3111">
        <f t="shared" si="274"/>
        <v>-194</v>
      </c>
      <c r="T47" s="3111">
        <f t="shared" si="274"/>
        <v>-169.19999999999982</v>
      </c>
      <c r="U47" s="3111">
        <f t="shared" ref="U47" si="275">U45-T45</f>
        <v>-151.36000000000058</v>
      </c>
      <c r="V47" s="3111">
        <f t="shared" ref="V47" si="276">V45-U45</f>
        <v>-139.08799999999974</v>
      </c>
      <c r="W47" s="3111">
        <f t="shared" ref="W47" si="277">W45-V45</f>
        <v>-131.27040000000034</v>
      </c>
      <c r="X47" s="3111">
        <f t="shared" ref="X47" si="278">X45-W45</f>
        <v>-127.01631999999972</v>
      </c>
      <c r="Y47" s="3111">
        <f t="shared" ref="Y47" si="279">Y45-X45</f>
        <v>-125.61305600000014</v>
      </c>
      <c r="Z47" s="1955"/>
      <c r="AA47" s="2216"/>
      <c r="AB47" s="2216"/>
      <c r="AC47" s="2216"/>
      <c r="AD47" s="2216"/>
      <c r="AE47" s="2216"/>
      <c r="AF47" s="2216"/>
      <c r="AG47" s="2216"/>
      <c r="AH47" s="2216"/>
      <c r="AI47" s="2216"/>
      <c r="AJ47" s="2216"/>
      <c r="AK47" s="2216"/>
      <c r="AL47" s="2216"/>
      <c r="AM47" s="2216"/>
      <c r="AN47" s="2216"/>
      <c r="AO47" s="2216"/>
      <c r="AP47" s="2216"/>
      <c r="AQ47" s="2216"/>
      <c r="AR47" s="2216"/>
      <c r="AS47" s="2216"/>
      <c r="AT47" s="2216"/>
      <c r="AU47" s="2216"/>
      <c r="AV47" s="2216"/>
      <c r="AW47" s="2216"/>
      <c r="AX47" s="2216"/>
      <c r="AY47" s="2216"/>
      <c r="AZ47" s="2216"/>
      <c r="BA47" s="2216"/>
      <c r="BB47" s="2216"/>
      <c r="BC47" s="2216"/>
      <c r="BD47" s="2216"/>
      <c r="BE47" s="2216"/>
      <c r="BF47" s="2216"/>
      <c r="BG47" s="2216"/>
      <c r="BH47" s="2216"/>
      <c r="BI47" s="2216"/>
      <c r="BJ47" s="2216"/>
      <c r="BK47" s="2216"/>
      <c r="BL47" s="2216"/>
      <c r="BM47" s="2216"/>
      <c r="BN47" s="2216"/>
      <c r="BO47" s="2216"/>
      <c r="BP47" s="2216"/>
      <c r="BQ47" s="2216"/>
      <c r="BR47" s="2216"/>
      <c r="BS47" s="2216"/>
      <c r="BT47" s="2216"/>
      <c r="BU47" s="2216"/>
      <c r="BV47" s="2216"/>
      <c r="BW47" s="2216"/>
      <c r="BX47" s="2216"/>
      <c r="BY47" s="3112"/>
      <c r="BZ47" s="3113">
        <f t="shared" ref="BZ47:DF47" si="280">BZ45-BY45</f>
        <v>389</v>
      </c>
      <c r="CA47" s="3110">
        <f t="shared" si="280"/>
        <v>424</v>
      </c>
      <c r="CB47" s="3110">
        <f t="shared" si="280"/>
        <v>433</v>
      </c>
      <c r="CC47" s="3114">
        <f t="shared" si="280"/>
        <v>396</v>
      </c>
      <c r="CD47" s="3113">
        <f t="shared" si="280"/>
        <v>404</v>
      </c>
      <c r="CE47" s="3110">
        <f t="shared" si="280"/>
        <v>281</v>
      </c>
      <c r="CF47" s="3110">
        <f t="shared" si="280"/>
        <v>280</v>
      </c>
      <c r="CG47" s="3110">
        <f t="shared" si="280"/>
        <v>-657</v>
      </c>
      <c r="CH47" s="3113">
        <f t="shared" si="280"/>
        <v>226</v>
      </c>
      <c r="CI47" s="3110">
        <f t="shared" si="280"/>
        <v>47</v>
      </c>
      <c r="CJ47" s="3110">
        <f t="shared" si="280"/>
        <v>106.01869158878526</v>
      </c>
      <c r="CK47" s="3110">
        <f t="shared" si="280"/>
        <v>202.98130841121474</v>
      </c>
      <c r="CL47" s="3113">
        <f t="shared" si="280"/>
        <v>220</v>
      </c>
      <c r="CM47" s="3110">
        <f t="shared" si="280"/>
        <v>168</v>
      </c>
      <c r="CN47" s="3110">
        <f t="shared" si="280"/>
        <v>55</v>
      </c>
      <c r="CO47" s="3110">
        <f t="shared" si="280"/>
        <v>41</v>
      </c>
      <c r="CP47" s="3113">
        <f t="shared" si="280"/>
        <v>81</v>
      </c>
      <c r="CQ47" s="3110">
        <f t="shared" si="280"/>
        <v>38</v>
      </c>
      <c r="CR47" s="3110">
        <f t="shared" si="280"/>
        <v>60</v>
      </c>
      <c r="CS47" s="3110">
        <f t="shared" si="280"/>
        <v>53</v>
      </c>
      <c r="CT47" s="3113">
        <f t="shared" si="280"/>
        <v>98</v>
      </c>
      <c r="CU47" s="3110">
        <f t="shared" si="280"/>
        <v>62</v>
      </c>
      <c r="CV47" s="3110">
        <f t="shared" si="280"/>
        <v>20</v>
      </c>
      <c r="CW47" s="3110">
        <f t="shared" si="280"/>
        <v>98</v>
      </c>
      <c r="CX47" s="3113">
        <f t="shared" si="280"/>
        <v>104</v>
      </c>
      <c r="CY47" s="3110">
        <f t="shared" si="280"/>
        <v>2</v>
      </c>
      <c r="CZ47" s="3110">
        <f t="shared" si="280"/>
        <v>-8</v>
      </c>
      <c r="DA47" s="3110">
        <f t="shared" si="280"/>
        <v>27</v>
      </c>
      <c r="DB47" s="3113">
        <f t="shared" si="280"/>
        <v>99</v>
      </c>
      <c r="DC47" s="3110">
        <f t="shared" si="280"/>
        <v>45</v>
      </c>
      <c r="DD47" s="3110">
        <f t="shared" si="280"/>
        <v>56</v>
      </c>
      <c r="DE47" s="3110">
        <f t="shared" si="280"/>
        <v>20</v>
      </c>
      <c r="DF47" s="3113">
        <f t="shared" si="280"/>
        <v>16</v>
      </c>
      <c r="DG47" s="3110">
        <f t="shared" ref="DG47:DV47" si="281">DG45-DF45</f>
        <v>46</v>
      </c>
      <c r="DH47" s="3110">
        <f t="shared" si="281"/>
        <v>69</v>
      </c>
      <c r="DI47" s="3114">
        <f t="shared" si="281"/>
        <v>59</v>
      </c>
      <c r="DJ47" s="3113">
        <f t="shared" si="281"/>
        <v>41</v>
      </c>
      <c r="DK47" s="3110">
        <f t="shared" si="281"/>
        <v>-25</v>
      </c>
      <c r="DL47" s="3110">
        <f t="shared" si="281"/>
        <v>2</v>
      </c>
      <c r="DM47" s="3114">
        <f t="shared" si="281"/>
        <v>5</v>
      </c>
      <c r="DN47" s="3110">
        <f t="shared" si="281"/>
        <v>-10</v>
      </c>
      <c r="DO47" s="3110">
        <f t="shared" si="281"/>
        <v>-2204</v>
      </c>
      <c r="DP47" s="3110">
        <f t="shared" si="281"/>
        <v>24</v>
      </c>
      <c r="DQ47" s="3114">
        <f t="shared" si="281"/>
        <v>0</v>
      </c>
      <c r="DR47" s="3110">
        <f t="shared" si="281"/>
        <v>-27</v>
      </c>
      <c r="DS47" s="3110">
        <f t="shared" si="281"/>
        <v>-23</v>
      </c>
      <c r="DT47" s="3110">
        <f t="shared" si="281"/>
        <v>-10</v>
      </c>
      <c r="DU47" s="3114">
        <f t="shared" si="281"/>
        <v>-19</v>
      </c>
      <c r="DV47" s="3110">
        <f t="shared" si="281"/>
        <v>7</v>
      </c>
      <c r="DW47" s="3110">
        <f t="shared" ref="DW47" si="282">DW45-DV45</f>
        <v>2</v>
      </c>
      <c r="DX47" s="3110">
        <f t="shared" ref="DX47" si="283">DX45-DW45</f>
        <v>10</v>
      </c>
      <c r="DY47" s="3114">
        <f t="shared" ref="DY47" si="284">DY45-DX45</f>
        <v>1</v>
      </c>
      <c r="DZ47" s="2965"/>
    </row>
    <row r="48" spans="1:130" s="3061" customFormat="1" hidden="1" outlineLevel="1">
      <c r="A48" s="3115" t="s">
        <v>338</v>
      </c>
      <c r="B48" s="1982"/>
      <c r="C48" s="1982"/>
      <c r="D48" s="1982"/>
      <c r="E48" s="3101">
        <f>Lines!M90</f>
        <v>4975</v>
      </c>
      <c r="F48" s="3101">
        <f>Lines!N90</f>
        <v>6099</v>
      </c>
      <c r="G48" s="3101">
        <f>Lines!O90</f>
        <v>5640</v>
      </c>
      <c r="H48" s="3101">
        <f>Lines!P90</f>
        <v>5305</v>
      </c>
      <c r="I48" s="3101">
        <f>Lines!Q90</f>
        <v>4874</v>
      </c>
      <c r="J48" s="3101">
        <f>Lines!R90</f>
        <v>4310</v>
      </c>
      <c r="K48" s="3101">
        <f>Lines!S90</f>
        <v>3853</v>
      </c>
      <c r="L48" s="3101">
        <f>Lines!T90</f>
        <v>3371</v>
      </c>
      <c r="M48" s="3101">
        <f>Lines!U90</f>
        <v>2943</v>
      </c>
      <c r="N48" s="3101">
        <f>Lines!V90</f>
        <v>2589</v>
      </c>
      <c r="O48" s="3116">
        <f>Lines!W90</f>
        <v>2194</v>
      </c>
      <c r="P48" s="3116">
        <f>Lines!X90</f>
        <v>1385</v>
      </c>
      <c r="Q48" s="3116">
        <f>Lines!Y90</f>
        <v>1109</v>
      </c>
      <c r="R48" s="3116">
        <f>Lines!Z90</f>
        <v>870</v>
      </c>
      <c r="S48" s="3116">
        <f>Lines!AA90</f>
        <v>696</v>
      </c>
      <c r="T48" s="3116">
        <f>Lines!AB90</f>
        <v>556.79999999999995</v>
      </c>
      <c r="U48" s="3116">
        <f>Lines!AC90</f>
        <v>445.43999999999994</v>
      </c>
      <c r="V48" s="3116">
        <f>Lines!AD90</f>
        <v>356.35199999999998</v>
      </c>
      <c r="W48" s="3116">
        <f>Lines!AE90</f>
        <v>285.08159999999998</v>
      </c>
      <c r="X48" s="3116">
        <f>Lines!AF90</f>
        <v>228.06527999999997</v>
      </c>
      <c r="Y48" s="3116">
        <f>Lines!AG90</f>
        <v>182.45222399999997</v>
      </c>
      <c r="Z48" s="1964"/>
      <c r="AA48" s="1982"/>
      <c r="AB48" s="1982"/>
      <c r="AC48" s="1982"/>
      <c r="AD48" s="1982"/>
      <c r="AE48" s="1982"/>
      <c r="AF48" s="1982"/>
      <c r="AG48" s="1982"/>
      <c r="AH48" s="1982"/>
      <c r="AI48" s="1982"/>
      <c r="AJ48" s="1982"/>
      <c r="AK48" s="1982"/>
      <c r="AL48" s="1982"/>
      <c r="AM48" s="1982"/>
      <c r="AN48" s="1982"/>
      <c r="AO48" s="1982"/>
      <c r="AP48" s="1982"/>
      <c r="AQ48" s="1982"/>
      <c r="AR48" s="1982"/>
      <c r="AS48" s="1982"/>
      <c r="AT48" s="1982"/>
      <c r="AU48" s="1982"/>
      <c r="AV48" s="1982"/>
      <c r="AW48" s="1982"/>
      <c r="AX48" s="1982"/>
      <c r="AY48" s="1982"/>
      <c r="AZ48" s="1982"/>
      <c r="BA48" s="1982"/>
      <c r="BB48" s="1982"/>
      <c r="BC48" s="1982"/>
      <c r="BD48" s="1982"/>
      <c r="BE48" s="1982"/>
      <c r="BF48" s="1982"/>
      <c r="BG48" s="1982"/>
      <c r="BH48" s="1982"/>
      <c r="BI48" s="1982"/>
      <c r="BJ48" s="1982"/>
      <c r="BK48" s="1982"/>
      <c r="BL48" s="1982"/>
      <c r="BM48" s="1982"/>
      <c r="BN48" s="1982"/>
      <c r="BO48" s="1982"/>
      <c r="BP48" s="1982"/>
      <c r="BQ48" s="1982"/>
      <c r="BR48" s="1982"/>
      <c r="BS48" s="1982"/>
      <c r="BT48" s="1982"/>
      <c r="BU48" s="1982"/>
      <c r="BV48" s="1982"/>
      <c r="BW48" s="1982"/>
      <c r="BX48" s="1982"/>
      <c r="BY48" s="1964">
        <f>Lines!BY90</f>
        <v>4975</v>
      </c>
      <c r="BZ48" s="1981">
        <f>Lines!BZ90</f>
        <v>5269</v>
      </c>
      <c r="CA48" s="1982">
        <f>Lines!CA90</f>
        <v>5582</v>
      </c>
      <c r="CB48" s="1982">
        <f>Lines!CB90</f>
        <v>5868</v>
      </c>
      <c r="CC48" s="1983">
        <f>Lines!CC90</f>
        <v>6099</v>
      </c>
      <c r="CD48" s="3117">
        <f>Lines!CD90</f>
        <v>6337</v>
      </c>
      <c r="CE48" s="3101">
        <f>Lines!CE90</f>
        <v>6417</v>
      </c>
      <c r="CF48" s="3101">
        <f>Lines!CF90</f>
        <v>6470</v>
      </c>
      <c r="CG48" s="3101">
        <f>Lines!CG90</f>
        <v>5640</v>
      </c>
      <c r="CH48" s="3117">
        <f>Lines!CH90</f>
        <v>5615</v>
      </c>
      <c r="CI48" s="3101">
        <f>Lines!CI90</f>
        <v>5483</v>
      </c>
      <c r="CJ48" s="3101">
        <f>Lines!CJ90</f>
        <v>5373.0186915887853</v>
      </c>
      <c r="CK48" s="3101">
        <f>Lines!CK90</f>
        <v>5305</v>
      </c>
      <c r="CL48" s="3117">
        <f>Lines!CL90</f>
        <v>5243</v>
      </c>
      <c r="CM48" s="3101">
        <f>Lines!CM90</f>
        <v>5122</v>
      </c>
      <c r="CN48" s="3101">
        <f>Lines!CN90</f>
        <v>4983</v>
      </c>
      <c r="CO48" s="3101">
        <f>Lines!CO90</f>
        <v>4874</v>
      </c>
      <c r="CP48" s="3117">
        <f>Lines!CP90</f>
        <v>4775</v>
      </c>
      <c r="CQ48" s="3101">
        <f>Lines!CQ90</f>
        <v>4620</v>
      </c>
      <c r="CR48" s="3101">
        <f>Lines!CR90</f>
        <v>4454</v>
      </c>
      <c r="CS48" s="3101">
        <f>Lines!CS90</f>
        <v>4310</v>
      </c>
      <c r="CT48" s="3117">
        <f>Lines!CT90</f>
        <v>4201</v>
      </c>
      <c r="CU48" s="3101">
        <f>Lines!CU90</f>
        <v>4074</v>
      </c>
      <c r="CV48" s="3101">
        <f>Lines!CV90</f>
        <v>3956</v>
      </c>
      <c r="CW48" s="3101">
        <f>Lines!CW90</f>
        <v>3853</v>
      </c>
      <c r="CX48" s="3117">
        <f>Lines!CX90</f>
        <v>3764</v>
      </c>
      <c r="CY48" s="3101">
        <f>Lines!CY90</f>
        <v>3632</v>
      </c>
      <c r="CZ48" s="3101">
        <f>Lines!CZ90</f>
        <v>3488</v>
      </c>
      <c r="DA48" s="3101">
        <f>Lines!DA90</f>
        <v>3371</v>
      </c>
      <c r="DB48" s="3117">
        <f>Lines!DB90</f>
        <v>3282</v>
      </c>
      <c r="DC48" s="3101">
        <f>Lines!DC90</f>
        <v>3166</v>
      </c>
      <c r="DD48" s="3101">
        <f>Lines!DD90</f>
        <v>3049</v>
      </c>
      <c r="DE48" s="3101">
        <f>Lines!DE90</f>
        <v>2943</v>
      </c>
      <c r="DF48" s="3117">
        <f>Lines!DF90</f>
        <v>2861</v>
      </c>
      <c r="DG48" s="3101">
        <f>Lines!DG90</f>
        <v>2768</v>
      </c>
      <c r="DH48" s="3101">
        <f>Lines!DH90</f>
        <v>2675</v>
      </c>
      <c r="DI48" s="3118">
        <f>Lines!DI90</f>
        <v>2589</v>
      </c>
      <c r="DJ48" s="3117">
        <f>Lines!DJ90</f>
        <v>2497</v>
      </c>
      <c r="DK48" s="3101">
        <f>Lines!DK90</f>
        <v>2400</v>
      </c>
      <c r="DL48" s="3101">
        <f>Lines!DL90</f>
        <v>2288</v>
      </c>
      <c r="DM48" s="3120">
        <f>Lines!DM90</f>
        <v>2194</v>
      </c>
      <c r="DN48" s="3119">
        <f>Lines!DN90</f>
        <v>2086</v>
      </c>
      <c r="DO48" s="3119">
        <f>Lines!DO90</f>
        <v>1519</v>
      </c>
      <c r="DP48" s="3119">
        <f>Lines!DP90</f>
        <v>1453</v>
      </c>
      <c r="DQ48" s="3120">
        <f>Lines!DQ90</f>
        <v>1385</v>
      </c>
      <c r="DR48" s="3119">
        <f>Lines!DR90</f>
        <v>1323</v>
      </c>
      <c r="DS48" s="3119">
        <f>Lines!DS90</f>
        <v>1251</v>
      </c>
      <c r="DT48" s="3119">
        <f>Lines!DT90</f>
        <v>1175</v>
      </c>
      <c r="DU48" s="3120">
        <f>Lines!DU90</f>
        <v>1109</v>
      </c>
      <c r="DV48" s="3119">
        <f>Lines!DV90</f>
        <v>1050</v>
      </c>
      <c r="DW48" s="3263">
        <f>Lines!DW90</f>
        <v>990</v>
      </c>
      <c r="DX48" s="3263">
        <f>Lines!DX90</f>
        <v>930</v>
      </c>
      <c r="DY48" s="3121">
        <f>Lines!DY90</f>
        <v>870</v>
      </c>
    </row>
    <row r="49" spans="1:129" s="3061" customFormat="1" hidden="1" outlineLevel="1">
      <c r="A49" s="1984" t="s">
        <v>320</v>
      </c>
      <c r="B49" s="1985"/>
      <c r="C49" s="1985"/>
      <c r="D49" s="1985"/>
      <c r="E49" s="3099"/>
      <c r="F49" s="3099"/>
      <c r="G49" s="3099">
        <f t="shared" ref="G49:T49" si="285">G48/F48-1</f>
        <v>-7.5258239055582932E-2</v>
      </c>
      <c r="H49" s="3099">
        <f t="shared" si="285"/>
        <v>-5.939716312056742E-2</v>
      </c>
      <c r="I49" s="3099">
        <f t="shared" si="285"/>
        <v>-8.1244109330819936E-2</v>
      </c>
      <c r="J49" s="3099">
        <f t="shared" si="285"/>
        <v>-0.11571604431678295</v>
      </c>
      <c r="K49" s="3099">
        <f t="shared" si="285"/>
        <v>-0.10603248259860787</v>
      </c>
      <c r="L49" s="3099">
        <f t="shared" si="285"/>
        <v>-0.12509732675837015</v>
      </c>
      <c r="M49" s="3099">
        <f t="shared" si="285"/>
        <v>-0.12696529219816077</v>
      </c>
      <c r="N49" s="3099">
        <f t="shared" si="285"/>
        <v>-0.12028542303771661</v>
      </c>
      <c r="O49" s="3099">
        <f>O48/N48-1</f>
        <v>-0.15256855928930091</v>
      </c>
      <c r="P49" s="3099">
        <f>P48/O48-1</f>
        <v>-0.36873290793072011</v>
      </c>
      <c r="Q49" s="3099">
        <f>Q48/P48-1</f>
        <v>-0.19927797833935013</v>
      </c>
      <c r="R49" s="3099">
        <f>R48/Q48-1</f>
        <v>-0.21550946798917947</v>
      </c>
      <c r="S49" s="3099">
        <f t="shared" si="285"/>
        <v>-0.19999999999999996</v>
      </c>
      <c r="T49" s="3099">
        <f t="shared" si="285"/>
        <v>-0.20000000000000007</v>
      </c>
      <c r="U49" s="3099">
        <f t="shared" ref="U49" si="286">U48/T48-1</f>
        <v>-0.20000000000000007</v>
      </c>
      <c r="V49" s="3099">
        <f t="shared" ref="V49" si="287">V48/U48-1</f>
        <v>-0.19999999999999996</v>
      </c>
      <c r="W49" s="3099">
        <f t="shared" ref="W49" si="288">W48/V48-1</f>
        <v>-0.19999999999999996</v>
      </c>
      <c r="X49" s="3099">
        <f t="shared" ref="X49" si="289">X48/W48-1</f>
        <v>-0.20000000000000007</v>
      </c>
      <c r="Y49" s="3099">
        <f t="shared" ref="Y49" si="290">Y48/X48-1</f>
        <v>-0.20000000000000007</v>
      </c>
      <c r="Z49" s="1962"/>
      <c r="AA49" s="1985"/>
      <c r="AB49" s="1985"/>
      <c r="AC49" s="1985"/>
      <c r="AD49" s="1985"/>
      <c r="AE49" s="1985"/>
      <c r="AF49" s="1985"/>
      <c r="AG49" s="1985"/>
      <c r="AH49" s="1985"/>
      <c r="AI49" s="1985"/>
      <c r="AJ49" s="1985"/>
      <c r="AK49" s="1985"/>
      <c r="AL49" s="1985"/>
      <c r="AM49" s="1985"/>
      <c r="AN49" s="1985"/>
      <c r="AO49" s="1985"/>
      <c r="AP49" s="1985"/>
      <c r="AQ49" s="1985"/>
      <c r="AR49" s="1985"/>
      <c r="AS49" s="1985"/>
      <c r="AT49" s="1985"/>
      <c r="AU49" s="1985"/>
      <c r="AV49" s="1985"/>
      <c r="AW49" s="1985"/>
      <c r="AX49" s="1985"/>
      <c r="AY49" s="1985"/>
      <c r="AZ49" s="1985"/>
      <c r="BA49" s="1985"/>
      <c r="BB49" s="1985"/>
      <c r="BC49" s="1985"/>
      <c r="BD49" s="1985"/>
      <c r="BE49" s="1985"/>
      <c r="BF49" s="1985"/>
      <c r="BG49" s="1985"/>
      <c r="BH49" s="1985"/>
      <c r="BI49" s="1985"/>
      <c r="BJ49" s="1985"/>
      <c r="BK49" s="1985"/>
      <c r="BL49" s="1985"/>
      <c r="BM49" s="1985"/>
      <c r="BN49" s="1985"/>
      <c r="BO49" s="1985"/>
      <c r="BP49" s="1985"/>
      <c r="BQ49" s="1985"/>
      <c r="BR49" s="1985"/>
      <c r="BS49" s="1985"/>
      <c r="BT49" s="1985"/>
      <c r="BU49" s="1985"/>
      <c r="BV49" s="1985"/>
      <c r="BW49" s="1985"/>
      <c r="BX49" s="1985"/>
      <c r="BY49" s="1962"/>
      <c r="BZ49" s="1987"/>
      <c r="CA49" s="1985"/>
      <c r="CB49" s="1985"/>
      <c r="CC49" s="1988"/>
      <c r="CD49" s="3107">
        <f t="shared" ref="CD49:DV49" si="291">CD48/BZ48-1</f>
        <v>0.20269500854051992</v>
      </c>
      <c r="CE49" s="3099">
        <f t="shared" si="291"/>
        <v>0.14958796130419194</v>
      </c>
      <c r="CF49" s="3099">
        <f t="shared" si="291"/>
        <v>0.10259032038173133</v>
      </c>
      <c r="CG49" s="3099">
        <f t="shared" si="291"/>
        <v>-7.5258239055582932E-2</v>
      </c>
      <c r="CH49" s="3107">
        <f t="shared" si="291"/>
        <v>-0.11393403818841719</v>
      </c>
      <c r="CI49" s="3099">
        <f t="shared" si="291"/>
        <v>-0.14555088047374165</v>
      </c>
      <c r="CJ49" s="3099">
        <f t="shared" si="291"/>
        <v>-0.16954888847159422</v>
      </c>
      <c r="CK49" s="3099">
        <f t="shared" si="291"/>
        <v>-5.939716312056742E-2</v>
      </c>
      <c r="CL49" s="3107">
        <f t="shared" si="291"/>
        <v>-6.6251113089937697E-2</v>
      </c>
      <c r="CM49" s="3099">
        <f t="shared" si="291"/>
        <v>-6.5839868685026448E-2</v>
      </c>
      <c r="CN49" s="3099">
        <f t="shared" si="291"/>
        <v>-7.2588374240972198E-2</v>
      </c>
      <c r="CO49" s="3099">
        <f t="shared" si="291"/>
        <v>-8.1244109330819936E-2</v>
      </c>
      <c r="CP49" s="3107">
        <f t="shared" si="291"/>
        <v>-8.9261872973488421E-2</v>
      </c>
      <c r="CQ49" s="3099">
        <f t="shared" si="291"/>
        <v>-9.8008590394377149E-2</v>
      </c>
      <c r="CR49" s="3099">
        <f t="shared" si="291"/>
        <v>-0.10616094722054992</v>
      </c>
      <c r="CS49" s="3099">
        <f t="shared" si="291"/>
        <v>-0.11571604431678295</v>
      </c>
      <c r="CT49" s="3107">
        <f t="shared" si="291"/>
        <v>-0.12020942408376967</v>
      </c>
      <c r="CU49" s="3099">
        <f t="shared" si="291"/>
        <v>-0.11818181818181817</v>
      </c>
      <c r="CV49" s="3099">
        <f t="shared" si="291"/>
        <v>-0.11180960933991912</v>
      </c>
      <c r="CW49" s="3099">
        <f t="shared" si="291"/>
        <v>-0.10603248259860787</v>
      </c>
      <c r="CX49" s="3107">
        <f t="shared" si="291"/>
        <v>-0.10402285170197567</v>
      </c>
      <c r="CY49" s="3099">
        <f t="shared" si="291"/>
        <v>-0.10849288168875793</v>
      </c>
      <c r="CZ49" s="3099">
        <f t="shared" si="291"/>
        <v>-0.11830131445904957</v>
      </c>
      <c r="DA49" s="3099">
        <f t="shared" si="291"/>
        <v>-0.12509732675837015</v>
      </c>
      <c r="DB49" s="3107">
        <f t="shared" si="291"/>
        <v>-0.12805526036131776</v>
      </c>
      <c r="DC49" s="3099">
        <f t="shared" si="291"/>
        <v>-0.12830396475770922</v>
      </c>
      <c r="DD49" s="3099">
        <f t="shared" si="291"/>
        <v>-0.1258600917431193</v>
      </c>
      <c r="DE49" s="3099">
        <f t="shared" si="291"/>
        <v>-0.12696529219816077</v>
      </c>
      <c r="DF49" s="3107">
        <f t="shared" si="291"/>
        <v>-0.12827544180377815</v>
      </c>
      <c r="DG49" s="3099">
        <f t="shared" si="291"/>
        <v>-0.1257106759317751</v>
      </c>
      <c r="DH49" s="3099">
        <f t="shared" si="291"/>
        <v>-0.12266316825188583</v>
      </c>
      <c r="DI49" s="3108">
        <f t="shared" si="291"/>
        <v>-0.12028542303771661</v>
      </c>
      <c r="DJ49" s="3107">
        <f t="shared" si="291"/>
        <v>-0.12722824187347082</v>
      </c>
      <c r="DK49" s="3099">
        <f t="shared" si="291"/>
        <v>-0.13294797687861271</v>
      </c>
      <c r="DL49" s="3099">
        <f t="shared" si="291"/>
        <v>-0.14467289719626164</v>
      </c>
      <c r="DM49" s="3108">
        <f t="shared" si="291"/>
        <v>-0.15256855928930091</v>
      </c>
      <c r="DN49" s="3099">
        <f t="shared" si="291"/>
        <v>-0.16459751702042447</v>
      </c>
      <c r="DO49" s="3099">
        <f t="shared" si="291"/>
        <v>-0.36708333333333332</v>
      </c>
      <c r="DP49" s="3099">
        <f t="shared" si="291"/>
        <v>-0.36494755244755239</v>
      </c>
      <c r="DQ49" s="3108">
        <f t="shared" si="291"/>
        <v>-0.36873290793072011</v>
      </c>
      <c r="DR49" s="3099">
        <f t="shared" si="291"/>
        <v>-0.36577181208053688</v>
      </c>
      <c r="DS49" s="3099">
        <f t="shared" si="291"/>
        <v>-0.17643186306780778</v>
      </c>
      <c r="DT49" s="3099">
        <f t="shared" si="291"/>
        <v>-0.19132828630419818</v>
      </c>
      <c r="DU49" s="3108">
        <f t="shared" si="291"/>
        <v>-0.19927797833935013</v>
      </c>
      <c r="DV49" s="3099">
        <f t="shared" si="291"/>
        <v>-0.20634920634920639</v>
      </c>
      <c r="DW49" s="3099">
        <f t="shared" ref="DW49" si="292">DW48/DS48-1</f>
        <v>-0.20863309352517989</v>
      </c>
      <c r="DX49" s="3099">
        <f t="shared" ref="DX49" si="293">DX48/DT48-1</f>
        <v>-0.20851063829787231</v>
      </c>
      <c r="DY49" s="3108">
        <f t="shared" ref="DY49" si="294">DY48/DU48-1</f>
        <v>-0.21550946798917947</v>
      </c>
    </row>
    <row r="50" spans="1:129" s="3061" customFormat="1" hidden="1" outlineLevel="1">
      <c r="A50" s="3115" t="s">
        <v>339</v>
      </c>
      <c r="B50" s="1982"/>
      <c r="C50" s="1982"/>
      <c r="D50" s="1982"/>
      <c r="E50" s="3101">
        <f t="shared" ref="E50:S50" si="295">E14/1000</f>
        <v>169</v>
      </c>
      <c r="F50" s="3101">
        <f t="shared" si="295"/>
        <v>687</v>
      </c>
      <c r="G50" s="3101">
        <f t="shared" si="295"/>
        <v>1454</v>
      </c>
      <c r="H50" s="3101">
        <f t="shared" si="295"/>
        <v>2371</v>
      </c>
      <c r="I50" s="3101">
        <f t="shared" si="295"/>
        <v>3286</v>
      </c>
      <c r="J50" s="3101">
        <f t="shared" si="295"/>
        <v>4082</v>
      </c>
      <c r="K50" s="3101">
        <f t="shared" si="295"/>
        <v>4817</v>
      </c>
      <c r="L50" s="3101">
        <f t="shared" si="295"/>
        <v>5424</v>
      </c>
      <c r="M50" s="3101">
        <f t="shared" si="295"/>
        <v>6072</v>
      </c>
      <c r="N50" s="3101">
        <f t="shared" si="295"/>
        <v>6616</v>
      </c>
      <c r="O50" s="3101">
        <f t="shared" si="295"/>
        <v>7034</v>
      </c>
      <c r="P50" s="3101">
        <f t="shared" si="295"/>
        <v>5653</v>
      </c>
      <c r="Q50" s="3101">
        <f t="shared" si="295"/>
        <v>5850</v>
      </c>
      <c r="R50" s="3101">
        <f t="shared" ref="R50" si="296">R14/1000</f>
        <v>6109</v>
      </c>
      <c r="S50" s="3101">
        <f t="shared" si="295"/>
        <v>6089</v>
      </c>
      <c r="T50" s="3101">
        <f t="shared" ref="T50:Y50" si="297">T14/1000</f>
        <v>6059</v>
      </c>
      <c r="U50" s="3101">
        <f t="shared" si="297"/>
        <v>6019</v>
      </c>
      <c r="V50" s="3101">
        <f t="shared" si="297"/>
        <v>5969</v>
      </c>
      <c r="W50" s="3101">
        <f t="shared" si="297"/>
        <v>5909</v>
      </c>
      <c r="X50" s="3101">
        <f t="shared" si="297"/>
        <v>5839</v>
      </c>
      <c r="Y50" s="3101">
        <f t="shared" si="297"/>
        <v>5759</v>
      </c>
      <c r="Z50" s="1964"/>
      <c r="AA50" s="1982"/>
      <c r="AB50" s="1982"/>
      <c r="AC50" s="1982"/>
      <c r="AD50" s="1982"/>
      <c r="AE50" s="1982"/>
      <c r="AF50" s="1982"/>
      <c r="AG50" s="1982"/>
      <c r="AH50" s="1982"/>
      <c r="AI50" s="1982"/>
      <c r="AJ50" s="1982"/>
      <c r="AK50" s="1982"/>
      <c r="AL50" s="1982"/>
      <c r="AM50" s="1982"/>
      <c r="AN50" s="1982"/>
      <c r="AO50" s="1982"/>
      <c r="AP50" s="1982"/>
      <c r="AQ50" s="1982"/>
      <c r="AR50" s="1982"/>
      <c r="AS50" s="1982"/>
      <c r="AT50" s="1982"/>
      <c r="AU50" s="1982"/>
      <c r="AV50" s="1982"/>
      <c r="AW50" s="1982"/>
      <c r="AX50" s="1982"/>
      <c r="AY50" s="1982"/>
      <c r="AZ50" s="1982"/>
      <c r="BA50" s="1982"/>
      <c r="BB50" s="1982"/>
      <c r="BC50" s="1982"/>
      <c r="BD50" s="1982"/>
      <c r="BE50" s="1982"/>
      <c r="BF50" s="1982"/>
      <c r="BG50" s="1982"/>
      <c r="BH50" s="1982"/>
      <c r="BI50" s="1982"/>
      <c r="BJ50" s="1982"/>
      <c r="BK50" s="1982"/>
      <c r="BL50" s="1982"/>
      <c r="BM50" s="1982"/>
      <c r="BN50" s="1982"/>
      <c r="BO50" s="1982"/>
      <c r="BP50" s="1982"/>
      <c r="BQ50" s="1982"/>
      <c r="BR50" s="1982"/>
      <c r="BS50" s="1982"/>
      <c r="BT50" s="1982"/>
      <c r="BU50" s="1982"/>
      <c r="BV50" s="1982"/>
      <c r="BW50" s="1982"/>
      <c r="BX50" s="1982"/>
      <c r="BY50" s="1964">
        <f t="shared" ref="BY50:DD50" si="298">BY14/1000</f>
        <v>169</v>
      </c>
      <c r="BZ50" s="3117">
        <f t="shared" si="298"/>
        <v>264</v>
      </c>
      <c r="CA50" s="3101">
        <f t="shared" si="298"/>
        <v>375</v>
      </c>
      <c r="CB50" s="3101">
        <f t="shared" si="298"/>
        <v>522</v>
      </c>
      <c r="CC50" s="3118">
        <f t="shared" si="298"/>
        <v>687</v>
      </c>
      <c r="CD50" s="3117">
        <f t="shared" si="298"/>
        <v>853</v>
      </c>
      <c r="CE50" s="3101">
        <f t="shared" si="298"/>
        <v>1054</v>
      </c>
      <c r="CF50" s="3101">
        <f t="shared" si="298"/>
        <v>1281</v>
      </c>
      <c r="CG50" s="3101">
        <f t="shared" si="298"/>
        <v>1454</v>
      </c>
      <c r="CH50" s="3117">
        <f t="shared" si="298"/>
        <v>1705</v>
      </c>
      <c r="CI50" s="3101">
        <f t="shared" si="298"/>
        <v>1884</v>
      </c>
      <c r="CJ50" s="3101">
        <f t="shared" si="298"/>
        <v>2100</v>
      </c>
      <c r="CK50" s="3101">
        <f t="shared" si="298"/>
        <v>2371</v>
      </c>
      <c r="CL50" s="3117">
        <f t="shared" si="298"/>
        <v>2653</v>
      </c>
      <c r="CM50" s="3101">
        <f t="shared" si="298"/>
        <v>2942</v>
      </c>
      <c r="CN50" s="3101">
        <f t="shared" si="298"/>
        <v>3136</v>
      </c>
      <c r="CO50" s="3101">
        <f t="shared" si="298"/>
        <v>3286</v>
      </c>
      <c r="CP50" s="3117">
        <f t="shared" si="298"/>
        <v>3466</v>
      </c>
      <c r="CQ50" s="3101">
        <f t="shared" si="298"/>
        <v>3659</v>
      </c>
      <c r="CR50" s="3101">
        <f t="shared" si="298"/>
        <v>3885</v>
      </c>
      <c r="CS50" s="3101">
        <f t="shared" si="298"/>
        <v>4082</v>
      </c>
      <c r="CT50" s="3117">
        <f t="shared" si="298"/>
        <v>4289</v>
      </c>
      <c r="CU50" s="3101">
        <f t="shared" si="298"/>
        <v>4478</v>
      </c>
      <c r="CV50" s="3101">
        <f t="shared" si="298"/>
        <v>4616</v>
      </c>
      <c r="CW50" s="3101">
        <f t="shared" si="298"/>
        <v>4817</v>
      </c>
      <c r="CX50" s="3117">
        <f t="shared" si="298"/>
        <v>5010</v>
      </c>
      <c r="CY50" s="3101">
        <f t="shared" si="298"/>
        <v>5144</v>
      </c>
      <c r="CZ50" s="3101">
        <f t="shared" si="298"/>
        <v>5280</v>
      </c>
      <c r="DA50" s="3101">
        <f t="shared" si="298"/>
        <v>5424</v>
      </c>
      <c r="DB50" s="3117">
        <f t="shared" si="298"/>
        <v>5612</v>
      </c>
      <c r="DC50" s="3101">
        <f t="shared" si="298"/>
        <v>5773</v>
      </c>
      <c r="DD50" s="3101">
        <f t="shared" si="298"/>
        <v>5946</v>
      </c>
      <c r="DE50" s="3101">
        <f t="shared" ref="DE50:DR50" si="299">DE14/1000</f>
        <v>6072</v>
      </c>
      <c r="DF50" s="3117">
        <f t="shared" si="299"/>
        <v>6170</v>
      </c>
      <c r="DG50" s="3101">
        <f t="shared" si="299"/>
        <v>6309</v>
      </c>
      <c r="DH50" s="3101">
        <f t="shared" si="299"/>
        <v>6471</v>
      </c>
      <c r="DI50" s="3118">
        <f t="shared" si="299"/>
        <v>6616</v>
      </c>
      <c r="DJ50" s="3117">
        <f t="shared" si="299"/>
        <v>6749</v>
      </c>
      <c r="DK50" s="3101">
        <f t="shared" si="299"/>
        <v>6821</v>
      </c>
      <c r="DL50" s="3101">
        <f t="shared" si="299"/>
        <v>6935</v>
      </c>
      <c r="DM50" s="3118">
        <f t="shared" si="299"/>
        <v>7034</v>
      </c>
      <c r="DN50" s="3101">
        <f t="shared" si="299"/>
        <v>7132</v>
      </c>
      <c r="DO50" s="3101">
        <f t="shared" si="299"/>
        <v>5495</v>
      </c>
      <c r="DP50" s="3101">
        <f t="shared" si="299"/>
        <v>5585</v>
      </c>
      <c r="DQ50" s="3118">
        <f t="shared" si="299"/>
        <v>5653</v>
      </c>
      <c r="DR50" s="3101">
        <f t="shared" si="299"/>
        <v>5688</v>
      </c>
      <c r="DS50" s="3101">
        <f t="shared" ref="DS50:DT50" si="300">DS14/1000</f>
        <v>5737</v>
      </c>
      <c r="DT50" s="3101">
        <f t="shared" si="300"/>
        <v>5803</v>
      </c>
      <c r="DU50" s="3118">
        <f t="shared" ref="DU50:DV50" si="301">DU14/1000</f>
        <v>5850</v>
      </c>
      <c r="DV50" s="3101">
        <f t="shared" si="301"/>
        <v>5916</v>
      </c>
      <c r="DW50" s="3101">
        <f t="shared" ref="DW50:DY50" si="302">DW14/1000</f>
        <v>5978</v>
      </c>
      <c r="DX50" s="3101">
        <f t="shared" si="302"/>
        <v>6048</v>
      </c>
      <c r="DY50" s="3118">
        <f t="shared" si="302"/>
        <v>6109</v>
      </c>
    </row>
    <row r="51" spans="1:129" s="3061" customFormat="1" hidden="1" outlineLevel="1">
      <c r="A51" s="3122" t="s">
        <v>320</v>
      </c>
      <c r="B51" s="3123"/>
      <c r="C51" s="3123"/>
      <c r="D51" s="3123"/>
      <c r="E51" s="3123"/>
      <c r="F51" s="3124"/>
      <c r="G51" s="3124">
        <f t="shared" ref="G51:T51" si="303">G50/F50-1</f>
        <v>1.1164483260553131</v>
      </c>
      <c r="H51" s="3124">
        <f t="shared" si="303"/>
        <v>0.63067400275103158</v>
      </c>
      <c r="I51" s="3124">
        <f t="shared" si="303"/>
        <v>0.38591311682834251</v>
      </c>
      <c r="J51" s="3124">
        <f t="shared" si="303"/>
        <v>0.24223980523432753</v>
      </c>
      <c r="K51" s="3124">
        <f t="shared" si="303"/>
        <v>0.18005879470847619</v>
      </c>
      <c r="L51" s="3124">
        <f t="shared" si="303"/>
        <v>0.12601204068922556</v>
      </c>
      <c r="M51" s="3124">
        <f t="shared" si="303"/>
        <v>0.11946902654867264</v>
      </c>
      <c r="N51" s="3124">
        <f t="shared" si="303"/>
        <v>8.9591567852437493E-2</v>
      </c>
      <c r="O51" s="3124">
        <f>O50/N50-1</f>
        <v>6.3180169286578103E-2</v>
      </c>
      <c r="P51" s="3124">
        <f>P50/O50-1</f>
        <v>-0.19633210122263289</v>
      </c>
      <c r="Q51" s="3124">
        <f>Q50/P50-1</f>
        <v>3.484875287457978E-2</v>
      </c>
      <c r="R51" s="3124">
        <f>R50/Q50-1</f>
        <v>4.4273504273504294E-2</v>
      </c>
      <c r="S51" s="3124">
        <f t="shared" si="303"/>
        <v>-3.2738582419381546E-3</v>
      </c>
      <c r="T51" s="3124">
        <f t="shared" si="303"/>
        <v>-4.9269173920184484E-3</v>
      </c>
      <c r="U51" s="3124">
        <f t="shared" ref="U51" si="304">U50/T50-1</f>
        <v>-6.6017494636078089E-3</v>
      </c>
      <c r="V51" s="3124">
        <f t="shared" ref="V51" si="305">V50/U50-1</f>
        <v>-8.3070277454726504E-3</v>
      </c>
      <c r="W51" s="3124">
        <f t="shared" ref="W51" si="306">W50/V50-1</f>
        <v>-1.0051934997487022E-2</v>
      </c>
      <c r="X51" s="3124">
        <f t="shared" ref="X51" si="307">X50/W50-1</f>
        <v>-1.1846336097478427E-2</v>
      </c>
      <c r="Y51" s="3124">
        <f t="shared" ref="Y51" si="308">Y50/X50-1</f>
        <v>-1.3700976194553904E-2</v>
      </c>
      <c r="Z51" s="1962"/>
      <c r="AA51" s="1985"/>
      <c r="AB51" s="1985"/>
      <c r="AC51" s="1985"/>
      <c r="AD51" s="1985"/>
      <c r="AE51" s="1985"/>
      <c r="AF51" s="1985"/>
      <c r="AG51" s="1985"/>
      <c r="AH51" s="1985"/>
      <c r="AI51" s="1985"/>
      <c r="AJ51" s="1985"/>
      <c r="AK51" s="1985"/>
      <c r="AL51" s="1985"/>
      <c r="AM51" s="1985"/>
      <c r="AN51" s="1985"/>
      <c r="AO51" s="1985"/>
      <c r="AP51" s="1985"/>
      <c r="AQ51" s="1985"/>
      <c r="AR51" s="1985"/>
      <c r="AS51" s="1985"/>
      <c r="AT51" s="1985"/>
      <c r="AU51" s="1985"/>
      <c r="AV51" s="1985"/>
      <c r="AW51" s="1985"/>
      <c r="AX51" s="1985"/>
      <c r="AY51" s="1985"/>
      <c r="AZ51" s="1985"/>
      <c r="BA51" s="1985"/>
      <c r="BB51" s="1985"/>
      <c r="BC51" s="1985"/>
      <c r="BD51" s="1985"/>
      <c r="BE51" s="1985"/>
      <c r="BF51" s="1985"/>
      <c r="BG51" s="1985"/>
      <c r="BH51" s="1985"/>
      <c r="BI51" s="1985"/>
      <c r="BJ51" s="1985"/>
      <c r="BK51" s="1985"/>
      <c r="BL51" s="1985"/>
      <c r="BM51" s="1985"/>
      <c r="BN51" s="1985"/>
      <c r="BO51" s="1985"/>
      <c r="BP51" s="1985"/>
      <c r="BQ51" s="1985"/>
      <c r="BR51" s="1985"/>
      <c r="BS51" s="1985"/>
      <c r="BT51" s="1985"/>
      <c r="BU51" s="1985"/>
      <c r="BV51" s="1985"/>
      <c r="BW51" s="1985"/>
      <c r="BX51" s="1985"/>
      <c r="BY51" s="1978"/>
      <c r="BZ51" s="3125"/>
      <c r="CA51" s="3123"/>
      <c r="CB51" s="3123"/>
      <c r="CC51" s="3126"/>
      <c r="CD51" s="3127">
        <f t="shared" ref="CD51:DV51" si="309">CD50/BZ50-1</f>
        <v>2.231060606060606</v>
      </c>
      <c r="CE51" s="3124">
        <f t="shared" si="309"/>
        <v>1.8106666666666666</v>
      </c>
      <c r="CF51" s="3124">
        <f t="shared" si="309"/>
        <v>1.4540229885057472</v>
      </c>
      <c r="CG51" s="3124">
        <f t="shared" si="309"/>
        <v>1.1164483260553131</v>
      </c>
      <c r="CH51" s="3127">
        <f t="shared" si="309"/>
        <v>0.9988276670574443</v>
      </c>
      <c r="CI51" s="3124">
        <f t="shared" si="309"/>
        <v>0.78747628083491472</v>
      </c>
      <c r="CJ51" s="3124">
        <f t="shared" si="309"/>
        <v>0.63934426229508201</v>
      </c>
      <c r="CK51" s="3124">
        <f t="shared" si="309"/>
        <v>0.63067400275103158</v>
      </c>
      <c r="CL51" s="3127">
        <f t="shared" si="309"/>
        <v>0.5560117302052785</v>
      </c>
      <c r="CM51" s="3124">
        <f t="shared" si="309"/>
        <v>0.56157112526539277</v>
      </c>
      <c r="CN51" s="3124">
        <f t="shared" si="309"/>
        <v>0.4933333333333334</v>
      </c>
      <c r="CO51" s="3124">
        <f t="shared" si="309"/>
        <v>0.38591311682834251</v>
      </c>
      <c r="CP51" s="3127">
        <f t="shared" si="309"/>
        <v>0.30644553335846214</v>
      </c>
      <c r="CQ51" s="3124">
        <f t="shared" si="309"/>
        <v>0.24371176070700207</v>
      </c>
      <c r="CR51" s="3124">
        <f t="shared" si="309"/>
        <v>0.23883928571428581</v>
      </c>
      <c r="CS51" s="3124">
        <f t="shared" si="309"/>
        <v>0.24223980523432753</v>
      </c>
      <c r="CT51" s="3127">
        <f t="shared" si="309"/>
        <v>0.23744950952106181</v>
      </c>
      <c r="CU51" s="3124">
        <f t="shared" si="309"/>
        <v>0.22383164799125455</v>
      </c>
      <c r="CV51" s="3124">
        <f t="shared" si="309"/>
        <v>0.18815958815958811</v>
      </c>
      <c r="CW51" s="3124">
        <f t="shared" si="309"/>
        <v>0.18005879470847619</v>
      </c>
      <c r="CX51" s="3127">
        <f t="shared" si="309"/>
        <v>0.16810445325250645</v>
      </c>
      <c r="CY51" s="3124">
        <f t="shared" si="309"/>
        <v>0.14872711031710595</v>
      </c>
      <c r="CZ51" s="3124">
        <f t="shared" si="309"/>
        <v>0.143847487001733</v>
      </c>
      <c r="DA51" s="3124">
        <f t="shared" si="309"/>
        <v>0.12601204068922556</v>
      </c>
      <c r="DB51" s="3127">
        <f t="shared" si="309"/>
        <v>0.12015968063872262</v>
      </c>
      <c r="DC51" s="3124">
        <f t="shared" si="309"/>
        <v>0.12227838258164847</v>
      </c>
      <c r="DD51" s="3124">
        <f t="shared" si="309"/>
        <v>0.12613636363636371</v>
      </c>
      <c r="DE51" s="3124">
        <f t="shared" si="309"/>
        <v>0.11946902654867264</v>
      </c>
      <c r="DF51" s="3127">
        <f t="shared" si="309"/>
        <v>9.9429793300071179E-2</v>
      </c>
      <c r="DG51" s="3124">
        <f t="shared" si="309"/>
        <v>9.2846007275246834E-2</v>
      </c>
      <c r="DH51" s="3124">
        <f t="shared" si="309"/>
        <v>8.8294651866801299E-2</v>
      </c>
      <c r="DI51" s="3128">
        <f t="shared" si="309"/>
        <v>8.9591567852437493E-2</v>
      </c>
      <c r="DJ51" s="3127">
        <f t="shared" si="309"/>
        <v>9.3841166936790898E-2</v>
      </c>
      <c r="DK51" s="3124">
        <f t="shared" si="309"/>
        <v>8.1153907116817248E-2</v>
      </c>
      <c r="DL51" s="3124">
        <f t="shared" si="309"/>
        <v>7.1704527893679426E-2</v>
      </c>
      <c r="DM51" s="3128">
        <f t="shared" si="309"/>
        <v>6.3180169286578103E-2</v>
      </c>
      <c r="DN51" s="3124">
        <f t="shared" si="309"/>
        <v>5.6749148021929097E-2</v>
      </c>
      <c r="DO51" s="3124">
        <f t="shared" si="309"/>
        <v>-0.1943996481454332</v>
      </c>
      <c r="DP51" s="3124">
        <f t="shared" si="309"/>
        <v>-0.19466474405191059</v>
      </c>
      <c r="DQ51" s="3128">
        <f t="shared" si="309"/>
        <v>-0.19633210122263289</v>
      </c>
      <c r="DR51" s="3124">
        <f t="shared" si="309"/>
        <v>-0.20246775098149183</v>
      </c>
      <c r="DS51" s="3124">
        <f t="shared" si="309"/>
        <v>4.404003639672438E-2</v>
      </c>
      <c r="DT51" s="3124">
        <f t="shared" si="309"/>
        <v>3.9033124440465583E-2</v>
      </c>
      <c r="DU51" s="3128">
        <f t="shared" si="309"/>
        <v>3.484875287457978E-2</v>
      </c>
      <c r="DV51" s="3124">
        <f t="shared" si="309"/>
        <v>4.0084388185654074E-2</v>
      </c>
      <c r="DW51" s="3124">
        <f t="shared" ref="DW51" si="310">DW50/DS50-1</f>
        <v>4.2008018127941416E-2</v>
      </c>
      <c r="DX51" s="3124">
        <f t="shared" ref="DX51" si="311">DX50/DT50-1</f>
        <v>4.2219541616405287E-2</v>
      </c>
      <c r="DY51" s="3128">
        <f t="shared" ref="DY51" si="312">DY50/DU50-1</f>
        <v>4.4273504273504294E-2</v>
      </c>
    </row>
    <row r="52" spans="1:129" s="3061" customFormat="1" hidden="1" outlineLevel="1">
      <c r="A52" s="3129" t="s">
        <v>392</v>
      </c>
      <c r="B52" s="1985"/>
      <c r="C52" s="1985"/>
      <c r="D52" s="1985"/>
      <c r="E52" s="1985"/>
      <c r="F52" s="3099"/>
      <c r="G52" s="3099">
        <f t="shared" ref="G52:N52" si="313">G48/G$45</f>
        <v>0.79503806033267554</v>
      </c>
      <c r="H52" s="3099">
        <f t="shared" si="313"/>
        <v>0.69111516414799379</v>
      </c>
      <c r="I52" s="3099">
        <f t="shared" si="313"/>
        <v>0.59730392156862744</v>
      </c>
      <c r="J52" s="3099">
        <f t="shared" si="313"/>
        <v>0.51358436606291702</v>
      </c>
      <c r="K52" s="3099">
        <f t="shared" si="313"/>
        <v>0.44440599769319494</v>
      </c>
      <c r="L52" s="3099">
        <f t="shared" si="313"/>
        <v>0.38328595793064241</v>
      </c>
      <c r="M52" s="3099">
        <f t="shared" si="313"/>
        <v>0.3264559068219634</v>
      </c>
      <c r="N52" s="3099">
        <f t="shared" si="313"/>
        <v>0.2812601846822379</v>
      </c>
      <c r="O52" s="3099">
        <f t="shared" ref="O52:T52" si="314">O48/O$45</f>
        <v>0.2377546597312527</v>
      </c>
      <c r="P52" s="3099">
        <f t="shared" si="314"/>
        <v>0.19678886047172492</v>
      </c>
      <c r="Q52" s="3099">
        <f t="shared" si="314"/>
        <v>0.15936197729558846</v>
      </c>
      <c r="R52" s="3099">
        <f t="shared" si="314"/>
        <v>0.12465969336581172</v>
      </c>
      <c r="S52" s="3099">
        <f t="shared" si="314"/>
        <v>0.10257921886514369</v>
      </c>
      <c r="T52" s="3099">
        <f t="shared" si="314"/>
        <v>8.416215725989297E-2</v>
      </c>
      <c r="U52" s="3099">
        <f t="shared" ref="U52:Y52" si="315">U48/U$45</f>
        <v>6.8906200691784589E-2</v>
      </c>
      <c r="V52" s="3099">
        <f t="shared" si="315"/>
        <v>5.6337101871959061E-2</v>
      </c>
      <c r="W52" s="3099">
        <f t="shared" si="315"/>
        <v>4.6024837645019079E-2</v>
      </c>
      <c r="X52" s="3099">
        <f t="shared" si="315"/>
        <v>3.7590708105913105E-2</v>
      </c>
      <c r="Y52" s="3099">
        <f t="shared" si="315"/>
        <v>3.0708354981463869E-2</v>
      </c>
      <c r="Z52" s="1962"/>
      <c r="AA52" s="1985"/>
      <c r="AB52" s="1985"/>
      <c r="AC52" s="1985"/>
      <c r="AD52" s="1985"/>
      <c r="AE52" s="1985"/>
      <c r="AF52" s="1985"/>
      <c r="AG52" s="1985"/>
      <c r="AH52" s="1985"/>
      <c r="AI52" s="1985"/>
      <c r="AJ52" s="1985"/>
      <c r="AK52" s="1985"/>
      <c r="AL52" s="1985"/>
      <c r="AM52" s="1985"/>
      <c r="AN52" s="1985"/>
      <c r="AO52" s="1985"/>
      <c r="AP52" s="1985"/>
      <c r="AQ52" s="1985"/>
      <c r="AR52" s="1985"/>
      <c r="AS52" s="1985"/>
      <c r="AT52" s="1985"/>
      <c r="AU52" s="1985"/>
      <c r="AV52" s="1985"/>
      <c r="AW52" s="1985"/>
      <c r="AX52" s="1985"/>
      <c r="AY52" s="1985"/>
      <c r="AZ52" s="1985"/>
      <c r="BA52" s="1985"/>
      <c r="BB52" s="1985"/>
      <c r="BC52" s="1985"/>
      <c r="BD52" s="1985"/>
      <c r="BE52" s="1985"/>
      <c r="BF52" s="1985"/>
      <c r="BG52" s="1985"/>
      <c r="BH52" s="1985"/>
      <c r="BI52" s="1985"/>
      <c r="BJ52" s="1985"/>
      <c r="BK52" s="1985"/>
      <c r="BL52" s="1985"/>
      <c r="BM52" s="1985"/>
      <c r="BN52" s="1985"/>
      <c r="BO52" s="1985"/>
      <c r="BP52" s="1985"/>
      <c r="BQ52" s="1985"/>
      <c r="BR52" s="1985"/>
      <c r="BS52" s="1985"/>
      <c r="BT52" s="1985"/>
      <c r="BU52" s="1985"/>
      <c r="BV52" s="1985"/>
      <c r="BW52" s="1985"/>
      <c r="BX52" s="1985"/>
      <c r="BY52" s="1962"/>
      <c r="BZ52" s="3107">
        <f t="shared" ref="BZ52:DE52" si="316">BZ48/BZ$45</f>
        <v>0.95228628230616297</v>
      </c>
      <c r="CA52" s="3099">
        <f t="shared" si="316"/>
        <v>0.9370488500923283</v>
      </c>
      <c r="CB52" s="3099">
        <f t="shared" si="316"/>
        <v>0.91830985915492958</v>
      </c>
      <c r="CC52" s="3108">
        <f t="shared" si="316"/>
        <v>0.89876215738284704</v>
      </c>
      <c r="CD52" s="3107">
        <f t="shared" si="316"/>
        <v>0.88136300417246172</v>
      </c>
      <c r="CE52" s="3099">
        <f t="shared" si="316"/>
        <v>0.85892116182572609</v>
      </c>
      <c r="CF52" s="3099">
        <f t="shared" si="316"/>
        <v>0.83473100245129661</v>
      </c>
      <c r="CG52" s="3099">
        <f t="shared" si="316"/>
        <v>0.79503806033267554</v>
      </c>
      <c r="CH52" s="3107">
        <f t="shared" si="316"/>
        <v>0.76707650273224048</v>
      </c>
      <c r="CI52" s="3099">
        <f t="shared" si="316"/>
        <v>0.74426496538618159</v>
      </c>
      <c r="CJ52" s="3099">
        <f t="shared" si="316"/>
        <v>0.71898906095823856</v>
      </c>
      <c r="CK52" s="3099">
        <f t="shared" si="316"/>
        <v>0.69111516414799379</v>
      </c>
      <c r="CL52" s="3107">
        <f t="shared" si="316"/>
        <v>0.66400709219858156</v>
      </c>
      <c r="CM52" s="3099">
        <f t="shared" si="316"/>
        <v>0.63516865079365081</v>
      </c>
      <c r="CN52" s="3099">
        <f t="shared" si="316"/>
        <v>0.61374553516442909</v>
      </c>
      <c r="CO52" s="3099">
        <f t="shared" si="316"/>
        <v>0.59730392156862744</v>
      </c>
      <c r="CP52" s="3107">
        <f t="shared" si="316"/>
        <v>0.57941997330421069</v>
      </c>
      <c r="CQ52" s="3099">
        <f t="shared" si="316"/>
        <v>0.55803841043604296</v>
      </c>
      <c r="CR52" s="3099">
        <f t="shared" si="316"/>
        <v>0.53411680057560862</v>
      </c>
      <c r="CS52" s="3099">
        <f t="shared" si="316"/>
        <v>0.51358436606291702</v>
      </c>
      <c r="CT52" s="3107">
        <f t="shared" si="316"/>
        <v>0.49481743227326264</v>
      </c>
      <c r="CU52" s="3099">
        <f t="shared" si="316"/>
        <v>0.47637979420018711</v>
      </c>
      <c r="CV52" s="3099">
        <f t="shared" si="316"/>
        <v>0.46150256649556698</v>
      </c>
      <c r="CW52" s="3099">
        <f t="shared" si="316"/>
        <v>0.44440599769319494</v>
      </c>
      <c r="CX52" s="3107">
        <f t="shared" si="316"/>
        <v>0.42899475723729202</v>
      </c>
      <c r="CY52" s="3099">
        <f t="shared" si="316"/>
        <v>0.41385597082953507</v>
      </c>
      <c r="CZ52" s="3099">
        <f t="shared" si="316"/>
        <v>0.3978102189781022</v>
      </c>
      <c r="DA52" s="3099">
        <f t="shared" si="316"/>
        <v>0.38328595793064241</v>
      </c>
      <c r="DB52" s="3107">
        <f t="shared" si="316"/>
        <v>0.36901281762986282</v>
      </c>
      <c r="DC52" s="3099">
        <f t="shared" si="316"/>
        <v>0.35417831972256403</v>
      </c>
      <c r="DD52" s="3099">
        <f t="shared" si="316"/>
        <v>0.33896609227348529</v>
      </c>
      <c r="DE52" s="3099">
        <f t="shared" si="316"/>
        <v>0.3264559068219634</v>
      </c>
      <c r="DF52" s="3107">
        <f>DF48/DF$45</f>
        <v>0.31679769682205738</v>
      </c>
      <c r="DG52" s="3099">
        <f>DG48/DG$45</f>
        <v>0.30494656824942162</v>
      </c>
      <c r="DH52" s="3099">
        <f>DH48/DH$45</f>
        <v>0.29247758582987099</v>
      </c>
      <c r="DI52" s="3108">
        <f>DI48/DI$45</f>
        <v>0.2812601846822379</v>
      </c>
      <c r="DJ52" s="3107">
        <f t="shared" ref="DJ52:DM52" si="317">DJ48/DJ$45</f>
        <v>0.27006272982911528</v>
      </c>
      <c r="DK52" s="3099">
        <f t="shared" si="317"/>
        <v>0.26027545819325454</v>
      </c>
      <c r="DL52" s="3099">
        <f t="shared" si="317"/>
        <v>0.24807546351512524</v>
      </c>
      <c r="DM52" s="3108">
        <f t="shared" si="317"/>
        <v>0.2377546597312527</v>
      </c>
      <c r="DN52" s="3099">
        <f t="shared" ref="DN52:DO52" si="318">DN48/DN$45</f>
        <v>0.22629637665437188</v>
      </c>
      <c r="DO52" s="3099">
        <f t="shared" si="318"/>
        <v>0.21656686626746507</v>
      </c>
      <c r="DP52" s="3099">
        <f t="shared" ref="DP52:DQ52" si="319">DP48/DP$45</f>
        <v>0.2064506962205172</v>
      </c>
      <c r="DQ52" s="3108">
        <f t="shared" si="319"/>
        <v>0.19678886047172492</v>
      </c>
      <c r="DR52" s="3099">
        <f t="shared" ref="DR52:DS52" si="320">DR48/DR$45</f>
        <v>0.18870346598202825</v>
      </c>
      <c r="DS52" s="3099">
        <f t="shared" si="320"/>
        <v>0.17902117916428162</v>
      </c>
      <c r="DT52" s="3099">
        <f t="shared" ref="DT52:DU52" si="321">DT48/DT$45</f>
        <v>0.16838635712238464</v>
      </c>
      <c r="DU52" s="3108">
        <f t="shared" si="321"/>
        <v>0.15936197729558846</v>
      </c>
      <c r="DV52" s="3099">
        <f t="shared" ref="DV52" si="322">DV48/DV$45</f>
        <v>0.15073212747631351</v>
      </c>
      <c r="DW52" s="3099">
        <f t="shared" ref="DW52:DY52" si="323">DW48/DW$45</f>
        <v>0.14207807118254878</v>
      </c>
      <c r="DX52" s="3099">
        <f t="shared" si="323"/>
        <v>0.13327601031814273</v>
      </c>
      <c r="DY52" s="3108">
        <f t="shared" si="323"/>
        <v>0.12465969336581172</v>
      </c>
    </row>
    <row r="53" spans="1:129" s="3061" customFormat="1" hidden="1" outlineLevel="1">
      <c r="A53" s="3130" t="s">
        <v>393</v>
      </c>
      <c r="B53" s="3123"/>
      <c r="C53" s="3123"/>
      <c r="D53" s="3123"/>
      <c r="E53" s="3123"/>
      <c r="F53" s="3124"/>
      <c r="G53" s="3124">
        <f t="shared" ref="G53:N53" si="324">G50/G$45</f>
        <v>0.20496193966732451</v>
      </c>
      <c r="H53" s="3124">
        <f t="shared" si="324"/>
        <v>0.30888483585200627</v>
      </c>
      <c r="I53" s="3124">
        <f t="shared" si="324"/>
        <v>0.40269607843137256</v>
      </c>
      <c r="J53" s="3124">
        <f t="shared" si="324"/>
        <v>0.48641563393708293</v>
      </c>
      <c r="K53" s="3124">
        <f t="shared" si="324"/>
        <v>0.55559400230680511</v>
      </c>
      <c r="L53" s="3124">
        <f t="shared" si="324"/>
        <v>0.61671404206935754</v>
      </c>
      <c r="M53" s="3124">
        <f t="shared" si="324"/>
        <v>0.67354409317803665</v>
      </c>
      <c r="N53" s="3124">
        <f t="shared" si="324"/>
        <v>0.7187398153177621</v>
      </c>
      <c r="O53" s="3124">
        <f t="shared" ref="O53:T53" si="325">O50/O$45</f>
        <v>0.76224534026874724</v>
      </c>
      <c r="P53" s="3124">
        <f t="shared" si="325"/>
        <v>0.80321113952827505</v>
      </c>
      <c r="Q53" s="3124">
        <f t="shared" si="325"/>
        <v>0.84063802270441157</v>
      </c>
      <c r="R53" s="3124">
        <f t="shared" si="325"/>
        <v>0.87534030663418827</v>
      </c>
      <c r="S53" s="3124">
        <f t="shared" si="325"/>
        <v>0.89742078113485635</v>
      </c>
      <c r="T53" s="3124">
        <f t="shared" si="325"/>
        <v>0.91583784274010704</v>
      </c>
      <c r="U53" s="3124">
        <f t="shared" ref="U53:Y53" si="326">U50/U$45</f>
        <v>0.93109379930821545</v>
      </c>
      <c r="V53" s="3124">
        <f t="shared" si="326"/>
        <v>0.94366289812804094</v>
      </c>
      <c r="W53" s="3124">
        <f t="shared" si="326"/>
        <v>0.95397516235498103</v>
      </c>
      <c r="X53" s="3124">
        <f t="shared" si="326"/>
        <v>0.96240929189408697</v>
      </c>
      <c r="Y53" s="3124">
        <f t="shared" si="326"/>
        <v>0.96929164501853615</v>
      </c>
      <c r="Z53" s="1962"/>
      <c r="AA53" s="1985"/>
      <c r="AB53" s="1985"/>
      <c r="AC53" s="1985"/>
      <c r="AD53" s="1985"/>
      <c r="AE53" s="1985"/>
      <c r="AF53" s="1985"/>
      <c r="AG53" s="1985"/>
      <c r="AH53" s="1985"/>
      <c r="AI53" s="1985"/>
      <c r="AJ53" s="1985"/>
      <c r="AK53" s="1985"/>
      <c r="AL53" s="1985"/>
      <c r="AM53" s="1985"/>
      <c r="AN53" s="1985"/>
      <c r="AO53" s="1985"/>
      <c r="AP53" s="1985"/>
      <c r="AQ53" s="1985"/>
      <c r="AR53" s="1985"/>
      <c r="AS53" s="1985"/>
      <c r="AT53" s="1985"/>
      <c r="AU53" s="1985"/>
      <c r="AV53" s="1985"/>
      <c r="AW53" s="1985"/>
      <c r="AX53" s="1985"/>
      <c r="AY53" s="1985"/>
      <c r="AZ53" s="1985"/>
      <c r="BA53" s="1985"/>
      <c r="BB53" s="1985"/>
      <c r="BC53" s="1985"/>
      <c r="BD53" s="1985"/>
      <c r="BE53" s="1985"/>
      <c r="BF53" s="1985"/>
      <c r="BG53" s="1985"/>
      <c r="BH53" s="1985"/>
      <c r="BI53" s="1985"/>
      <c r="BJ53" s="1985"/>
      <c r="BK53" s="1985"/>
      <c r="BL53" s="1985"/>
      <c r="BM53" s="1985"/>
      <c r="BN53" s="1985"/>
      <c r="BO53" s="1985"/>
      <c r="BP53" s="1985"/>
      <c r="BQ53" s="1985"/>
      <c r="BR53" s="1985"/>
      <c r="BS53" s="1985"/>
      <c r="BT53" s="1985"/>
      <c r="BU53" s="1985"/>
      <c r="BV53" s="1985"/>
      <c r="BW53" s="1985"/>
      <c r="BX53" s="1985"/>
      <c r="BY53" s="1978"/>
      <c r="BZ53" s="3127">
        <f t="shared" ref="BZ53:DE53" si="327">BZ50/BZ$45</f>
        <v>4.7713717693836977E-2</v>
      </c>
      <c r="CA53" s="3124">
        <f t="shared" si="327"/>
        <v>6.2951149907671644E-2</v>
      </c>
      <c r="CB53" s="3124">
        <f t="shared" si="327"/>
        <v>8.1690140845070425E-2</v>
      </c>
      <c r="CC53" s="3128">
        <f t="shared" si="327"/>
        <v>0.10123784261715296</v>
      </c>
      <c r="CD53" s="3127">
        <f t="shared" si="327"/>
        <v>0.11863699582753824</v>
      </c>
      <c r="CE53" s="3124">
        <f t="shared" si="327"/>
        <v>0.14107883817427386</v>
      </c>
      <c r="CF53" s="3124">
        <f t="shared" si="327"/>
        <v>0.16526899754870339</v>
      </c>
      <c r="CG53" s="3124">
        <f t="shared" si="327"/>
        <v>0.20496193966732451</v>
      </c>
      <c r="CH53" s="3127">
        <f t="shared" si="327"/>
        <v>0.23292349726775957</v>
      </c>
      <c r="CI53" s="3124">
        <f t="shared" si="327"/>
        <v>0.25573503461381836</v>
      </c>
      <c r="CJ53" s="3124">
        <f t="shared" si="327"/>
        <v>0.28101093904176144</v>
      </c>
      <c r="CK53" s="3124">
        <f t="shared" si="327"/>
        <v>0.30888483585200627</v>
      </c>
      <c r="CL53" s="3127">
        <f t="shared" si="327"/>
        <v>0.33599290780141844</v>
      </c>
      <c r="CM53" s="3124">
        <f t="shared" si="327"/>
        <v>0.36483134920634919</v>
      </c>
      <c r="CN53" s="3124">
        <f t="shared" si="327"/>
        <v>0.38625446483557091</v>
      </c>
      <c r="CO53" s="3124">
        <f t="shared" si="327"/>
        <v>0.40269607843137256</v>
      </c>
      <c r="CP53" s="3127">
        <f t="shared" si="327"/>
        <v>0.42058002669578937</v>
      </c>
      <c r="CQ53" s="3124">
        <f t="shared" si="327"/>
        <v>0.44196158956395698</v>
      </c>
      <c r="CR53" s="3124">
        <f t="shared" si="327"/>
        <v>0.46588319942439144</v>
      </c>
      <c r="CS53" s="3124">
        <f t="shared" si="327"/>
        <v>0.48641563393708293</v>
      </c>
      <c r="CT53" s="3127">
        <f t="shared" si="327"/>
        <v>0.50518256772673731</v>
      </c>
      <c r="CU53" s="3124">
        <f t="shared" si="327"/>
        <v>0.52362020579981294</v>
      </c>
      <c r="CV53" s="3124">
        <f t="shared" si="327"/>
        <v>0.53849743350443302</v>
      </c>
      <c r="CW53" s="3124">
        <f t="shared" si="327"/>
        <v>0.55559400230680511</v>
      </c>
      <c r="CX53" s="3127">
        <f t="shared" si="327"/>
        <v>0.57100524276270803</v>
      </c>
      <c r="CY53" s="3124">
        <f t="shared" si="327"/>
        <v>0.58614402917046493</v>
      </c>
      <c r="CZ53" s="3124">
        <f t="shared" si="327"/>
        <v>0.6021897810218978</v>
      </c>
      <c r="DA53" s="3124">
        <f t="shared" si="327"/>
        <v>0.61671404206935754</v>
      </c>
      <c r="DB53" s="3127">
        <f t="shared" si="327"/>
        <v>0.63098718237013718</v>
      </c>
      <c r="DC53" s="3124">
        <f t="shared" si="327"/>
        <v>0.64582168027743592</v>
      </c>
      <c r="DD53" s="3124">
        <f t="shared" si="327"/>
        <v>0.66103390772651471</v>
      </c>
      <c r="DE53" s="3124">
        <f t="shared" si="327"/>
        <v>0.67354409317803665</v>
      </c>
      <c r="DF53" s="3127">
        <f>DF50/DF$45</f>
        <v>0.68320230317794262</v>
      </c>
      <c r="DG53" s="3124">
        <f>DG50/DG$45</f>
        <v>0.69505343175057843</v>
      </c>
      <c r="DH53" s="3124">
        <f>DH50/DH$45</f>
        <v>0.70752241417012907</v>
      </c>
      <c r="DI53" s="3128">
        <f>DI50/DI$45</f>
        <v>0.7187398153177621</v>
      </c>
      <c r="DJ53" s="3127">
        <f t="shared" ref="DJ53:DM53" si="328">DJ50/DJ$45</f>
        <v>0.72993727017088472</v>
      </c>
      <c r="DK53" s="3124">
        <f t="shared" si="328"/>
        <v>0.73972454180674552</v>
      </c>
      <c r="DL53" s="3124">
        <f t="shared" si="328"/>
        <v>0.75192453648487478</v>
      </c>
      <c r="DM53" s="3128">
        <f t="shared" si="328"/>
        <v>0.76224534026874724</v>
      </c>
      <c r="DN53" s="3124">
        <f t="shared" ref="DN53:DO53" si="329">DN50/DN$45</f>
        <v>0.77370362334562814</v>
      </c>
      <c r="DO53" s="3124">
        <f t="shared" si="329"/>
        <v>0.78343313373253498</v>
      </c>
      <c r="DP53" s="3124">
        <f t="shared" ref="DP53:DQ53" si="330">DP50/DP$45</f>
        <v>0.79354930377948285</v>
      </c>
      <c r="DQ53" s="3128">
        <f t="shared" si="330"/>
        <v>0.80321113952827505</v>
      </c>
      <c r="DR53" s="3124">
        <f t="shared" ref="DR53:DS53" si="331">DR50/DR$45</f>
        <v>0.81129653401797175</v>
      </c>
      <c r="DS53" s="3124">
        <f t="shared" si="331"/>
        <v>0.82097882083571838</v>
      </c>
      <c r="DT53" s="3124">
        <f t="shared" ref="DT53:DU53" si="332">DT50/DT$45</f>
        <v>0.83161364287761541</v>
      </c>
      <c r="DU53" s="3128">
        <f t="shared" si="332"/>
        <v>0.84063802270441157</v>
      </c>
      <c r="DV53" s="3124">
        <f t="shared" ref="DV53" si="333">DV50/DV$45</f>
        <v>0.84926787252368652</v>
      </c>
      <c r="DW53" s="3124">
        <f t="shared" ref="DW53:DY53" si="334">DW50/DW$45</f>
        <v>0.85792192881745122</v>
      </c>
      <c r="DX53" s="3124">
        <f t="shared" si="334"/>
        <v>0.86672398968185727</v>
      </c>
      <c r="DY53" s="3128">
        <f t="shared" si="334"/>
        <v>0.87534030663418827</v>
      </c>
    </row>
    <row r="54" spans="1:129" s="3061" customFormat="1" hidden="1" outlineLevel="1">
      <c r="A54" s="3115" t="s">
        <v>388</v>
      </c>
      <c r="B54" s="1982"/>
      <c r="C54" s="1982"/>
      <c r="D54" s="1982"/>
      <c r="E54" s="1982"/>
      <c r="F54" s="3101"/>
      <c r="G54" s="3101">
        <f t="shared" ref="G54:T54" si="335">G48-F48</f>
        <v>-459</v>
      </c>
      <c r="H54" s="3101">
        <f t="shared" si="335"/>
        <v>-335</v>
      </c>
      <c r="I54" s="3101">
        <f t="shared" si="335"/>
        <v>-431</v>
      </c>
      <c r="J54" s="3101">
        <f t="shared" si="335"/>
        <v>-564</v>
      </c>
      <c r="K54" s="3101">
        <f t="shared" si="335"/>
        <v>-457</v>
      </c>
      <c r="L54" s="3101">
        <f t="shared" si="335"/>
        <v>-482</v>
      </c>
      <c r="M54" s="3101">
        <f t="shared" si="335"/>
        <v>-428</v>
      </c>
      <c r="N54" s="3101">
        <f t="shared" si="335"/>
        <v>-354</v>
      </c>
      <c r="O54" s="3101">
        <f>O48-N48</f>
        <v>-395</v>
      </c>
      <c r="P54" s="3101">
        <f>P48-O48</f>
        <v>-809</v>
      </c>
      <c r="Q54" s="3101">
        <f>Q48-P48</f>
        <v>-276</v>
      </c>
      <c r="R54" s="3101">
        <f>R48-Q48</f>
        <v>-239</v>
      </c>
      <c r="S54" s="3101">
        <f t="shared" si="335"/>
        <v>-174</v>
      </c>
      <c r="T54" s="3101">
        <f t="shared" si="335"/>
        <v>-139.20000000000005</v>
      </c>
      <c r="U54" s="3101">
        <f t="shared" ref="U54" si="336">U48-T48</f>
        <v>-111.36000000000001</v>
      </c>
      <c r="V54" s="3101">
        <f t="shared" ref="V54" si="337">V48-U48</f>
        <v>-89.087999999999965</v>
      </c>
      <c r="W54" s="3101">
        <f t="shared" ref="W54" si="338">W48-V48</f>
        <v>-71.270399999999995</v>
      </c>
      <c r="X54" s="3101">
        <f t="shared" ref="X54" si="339">X48-W48</f>
        <v>-57.016320000000007</v>
      </c>
      <c r="Y54" s="3101">
        <f t="shared" ref="Y54" si="340">Y48-X48</f>
        <v>-45.613056</v>
      </c>
      <c r="Z54" s="1964"/>
      <c r="AA54" s="1982"/>
      <c r="AB54" s="1982"/>
      <c r="AC54" s="1982"/>
      <c r="AD54" s="1982"/>
      <c r="AE54" s="1982"/>
      <c r="AF54" s="1982"/>
      <c r="AG54" s="1982"/>
      <c r="AH54" s="1982"/>
      <c r="AI54" s="1982"/>
      <c r="AJ54" s="1982"/>
      <c r="AK54" s="1982"/>
      <c r="AL54" s="1982"/>
      <c r="AM54" s="1982"/>
      <c r="AN54" s="1982"/>
      <c r="AO54" s="1982"/>
      <c r="AP54" s="1982"/>
      <c r="AQ54" s="1982"/>
      <c r="AR54" s="1982"/>
      <c r="AS54" s="1982"/>
      <c r="AT54" s="1982"/>
      <c r="AU54" s="1982"/>
      <c r="AV54" s="1982"/>
      <c r="AW54" s="1982"/>
      <c r="AX54" s="1982"/>
      <c r="AY54" s="1982"/>
      <c r="AZ54" s="1982"/>
      <c r="BA54" s="1982"/>
      <c r="BB54" s="1982"/>
      <c r="BC54" s="1982"/>
      <c r="BD54" s="1982"/>
      <c r="BE54" s="1982"/>
      <c r="BF54" s="1982"/>
      <c r="BG54" s="1982"/>
      <c r="BH54" s="1982"/>
      <c r="BI54" s="1982"/>
      <c r="BJ54" s="1982"/>
      <c r="BK54" s="1982"/>
      <c r="BL54" s="1982"/>
      <c r="BM54" s="1982"/>
      <c r="BN54" s="1982"/>
      <c r="BO54" s="1982"/>
      <c r="BP54" s="1982"/>
      <c r="BQ54" s="1982"/>
      <c r="BR54" s="1982"/>
      <c r="BS54" s="1982"/>
      <c r="BT54" s="1982"/>
      <c r="BU54" s="1982"/>
      <c r="BV54" s="1982"/>
      <c r="BW54" s="1982"/>
      <c r="BX54" s="1982"/>
      <c r="BY54" s="1964"/>
      <c r="BZ54" s="3117">
        <f t="shared" ref="BZ54:DV54" si="341">BZ48-BY48</f>
        <v>294</v>
      </c>
      <c r="CA54" s="3101">
        <f t="shared" si="341"/>
        <v>313</v>
      </c>
      <c r="CB54" s="3101">
        <f t="shared" si="341"/>
        <v>286</v>
      </c>
      <c r="CC54" s="3118">
        <f t="shared" si="341"/>
        <v>231</v>
      </c>
      <c r="CD54" s="3117">
        <f t="shared" si="341"/>
        <v>238</v>
      </c>
      <c r="CE54" s="3101">
        <f t="shared" si="341"/>
        <v>80</v>
      </c>
      <c r="CF54" s="3101">
        <f t="shared" si="341"/>
        <v>53</v>
      </c>
      <c r="CG54" s="3101">
        <f t="shared" si="341"/>
        <v>-830</v>
      </c>
      <c r="CH54" s="3117">
        <f t="shared" si="341"/>
        <v>-25</v>
      </c>
      <c r="CI54" s="3101">
        <f t="shared" si="341"/>
        <v>-132</v>
      </c>
      <c r="CJ54" s="3101">
        <f t="shared" si="341"/>
        <v>-109.98130841121474</v>
      </c>
      <c r="CK54" s="3101">
        <f t="shared" si="341"/>
        <v>-68.018691588785259</v>
      </c>
      <c r="CL54" s="3117">
        <f t="shared" si="341"/>
        <v>-62</v>
      </c>
      <c r="CM54" s="3101">
        <f t="shared" si="341"/>
        <v>-121</v>
      </c>
      <c r="CN54" s="3101">
        <f t="shared" si="341"/>
        <v>-139</v>
      </c>
      <c r="CO54" s="3101">
        <f t="shared" si="341"/>
        <v>-109</v>
      </c>
      <c r="CP54" s="3117">
        <f t="shared" si="341"/>
        <v>-99</v>
      </c>
      <c r="CQ54" s="3101">
        <f t="shared" si="341"/>
        <v>-155</v>
      </c>
      <c r="CR54" s="3101">
        <f t="shared" si="341"/>
        <v>-166</v>
      </c>
      <c r="CS54" s="3101">
        <f t="shared" si="341"/>
        <v>-144</v>
      </c>
      <c r="CT54" s="3117">
        <f t="shared" si="341"/>
        <v>-109</v>
      </c>
      <c r="CU54" s="3101">
        <f t="shared" si="341"/>
        <v>-127</v>
      </c>
      <c r="CV54" s="3101">
        <f t="shared" si="341"/>
        <v>-118</v>
      </c>
      <c r="CW54" s="3101">
        <f t="shared" si="341"/>
        <v>-103</v>
      </c>
      <c r="CX54" s="3117">
        <f t="shared" si="341"/>
        <v>-89</v>
      </c>
      <c r="CY54" s="3101">
        <f t="shared" si="341"/>
        <v>-132</v>
      </c>
      <c r="CZ54" s="3101">
        <f t="shared" si="341"/>
        <v>-144</v>
      </c>
      <c r="DA54" s="3101">
        <f t="shared" si="341"/>
        <v>-117</v>
      </c>
      <c r="DB54" s="3117">
        <f t="shared" si="341"/>
        <v>-89</v>
      </c>
      <c r="DC54" s="3101">
        <f t="shared" si="341"/>
        <v>-116</v>
      </c>
      <c r="DD54" s="3101">
        <f t="shared" si="341"/>
        <v>-117</v>
      </c>
      <c r="DE54" s="3101">
        <f t="shared" si="341"/>
        <v>-106</v>
      </c>
      <c r="DF54" s="3117">
        <f t="shared" si="341"/>
        <v>-82</v>
      </c>
      <c r="DG54" s="3101">
        <f t="shared" si="341"/>
        <v>-93</v>
      </c>
      <c r="DH54" s="3101">
        <f t="shared" si="341"/>
        <v>-93</v>
      </c>
      <c r="DI54" s="3118">
        <f t="shared" si="341"/>
        <v>-86</v>
      </c>
      <c r="DJ54" s="3117">
        <f t="shared" si="341"/>
        <v>-92</v>
      </c>
      <c r="DK54" s="3101">
        <f t="shared" si="341"/>
        <v>-97</v>
      </c>
      <c r="DL54" s="3101">
        <f t="shared" si="341"/>
        <v>-112</v>
      </c>
      <c r="DM54" s="3118">
        <f t="shared" si="341"/>
        <v>-94</v>
      </c>
      <c r="DN54" s="3101">
        <f t="shared" si="341"/>
        <v>-108</v>
      </c>
      <c r="DO54" s="3101">
        <f t="shared" si="341"/>
        <v>-567</v>
      </c>
      <c r="DP54" s="3101">
        <f t="shared" si="341"/>
        <v>-66</v>
      </c>
      <c r="DQ54" s="3118">
        <f t="shared" si="341"/>
        <v>-68</v>
      </c>
      <c r="DR54" s="3101">
        <f t="shared" si="341"/>
        <v>-62</v>
      </c>
      <c r="DS54" s="3101">
        <f t="shared" si="341"/>
        <v>-72</v>
      </c>
      <c r="DT54" s="3101">
        <f t="shared" si="341"/>
        <v>-76</v>
      </c>
      <c r="DU54" s="3118">
        <f t="shared" si="341"/>
        <v>-66</v>
      </c>
      <c r="DV54" s="3101">
        <f t="shared" si="341"/>
        <v>-59</v>
      </c>
      <c r="DW54" s="3101">
        <f t="shared" ref="DW54" si="342">DW48-DV48</f>
        <v>-60</v>
      </c>
      <c r="DX54" s="3101">
        <f t="shared" ref="DX54" si="343">DX48-DW48</f>
        <v>-60</v>
      </c>
      <c r="DY54" s="3118">
        <f t="shared" ref="DY54" si="344">DY48-DX48</f>
        <v>-60</v>
      </c>
    </row>
    <row r="55" spans="1:129" s="3061" customFormat="1" hidden="1" outlineLevel="1">
      <c r="A55" s="3115" t="s">
        <v>389</v>
      </c>
      <c r="B55" s="1982"/>
      <c r="C55" s="1982"/>
      <c r="D55" s="1982"/>
      <c r="E55" s="1982"/>
      <c r="F55" s="3101"/>
      <c r="G55" s="3101">
        <f t="shared" ref="G55:T55" si="345">G50-F50</f>
        <v>767</v>
      </c>
      <c r="H55" s="3101">
        <f t="shared" si="345"/>
        <v>917</v>
      </c>
      <c r="I55" s="3101">
        <f t="shared" si="345"/>
        <v>915</v>
      </c>
      <c r="J55" s="3101">
        <f t="shared" si="345"/>
        <v>796</v>
      </c>
      <c r="K55" s="3101">
        <f t="shared" si="345"/>
        <v>735</v>
      </c>
      <c r="L55" s="3101">
        <f t="shared" si="345"/>
        <v>607</v>
      </c>
      <c r="M55" s="3101">
        <f t="shared" si="345"/>
        <v>648</v>
      </c>
      <c r="N55" s="3101">
        <f t="shared" si="345"/>
        <v>544</v>
      </c>
      <c r="O55" s="3101">
        <f>O50-N50</f>
        <v>418</v>
      </c>
      <c r="P55" s="3101">
        <f>P50-O50</f>
        <v>-1381</v>
      </c>
      <c r="Q55" s="3101">
        <f>Q50-P50</f>
        <v>197</v>
      </c>
      <c r="R55" s="3101">
        <f>R50-Q50</f>
        <v>259</v>
      </c>
      <c r="S55" s="3101">
        <f t="shared" si="345"/>
        <v>-20</v>
      </c>
      <c r="T55" s="3101">
        <f t="shared" si="345"/>
        <v>-30</v>
      </c>
      <c r="U55" s="3101">
        <f t="shared" ref="U55" si="346">U50-T50</f>
        <v>-40</v>
      </c>
      <c r="V55" s="3101">
        <f t="shared" ref="V55" si="347">V50-U50</f>
        <v>-50</v>
      </c>
      <c r="W55" s="3101">
        <f t="shared" ref="W55" si="348">W50-V50</f>
        <v>-60</v>
      </c>
      <c r="X55" s="3101">
        <f t="shared" ref="X55" si="349">X50-W50</f>
        <v>-70</v>
      </c>
      <c r="Y55" s="3101">
        <f t="shared" ref="Y55" si="350">Y50-X50</f>
        <v>-80</v>
      </c>
      <c r="Z55" s="1964"/>
      <c r="AA55" s="1982"/>
      <c r="AB55" s="1982"/>
      <c r="AC55" s="1982"/>
      <c r="AD55" s="1982"/>
      <c r="AE55" s="1982"/>
      <c r="AF55" s="1982"/>
      <c r="AG55" s="1982"/>
      <c r="AH55" s="1982"/>
      <c r="AI55" s="1982"/>
      <c r="AJ55" s="1982"/>
      <c r="AK55" s="1982"/>
      <c r="AL55" s="1982"/>
      <c r="AM55" s="1982"/>
      <c r="AN55" s="1982"/>
      <c r="AO55" s="1982"/>
      <c r="AP55" s="1982"/>
      <c r="AQ55" s="1982"/>
      <c r="AR55" s="1982"/>
      <c r="AS55" s="1982"/>
      <c r="AT55" s="1982"/>
      <c r="AU55" s="1982"/>
      <c r="AV55" s="1982"/>
      <c r="AW55" s="1982"/>
      <c r="AX55" s="1982"/>
      <c r="AY55" s="1982"/>
      <c r="AZ55" s="1982"/>
      <c r="BA55" s="1982"/>
      <c r="BB55" s="1982"/>
      <c r="BC55" s="1982"/>
      <c r="BD55" s="1982"/>
      <c r="BE55" s="1982"/>
      <c r="BF55" s="1982"/>
      <c r="BG55" s="1982"/>
      <c r="BH55" s="1982"/>
      <c r="BI55" s="1982"/>
      <c r="BJ55" s="1982"/>
      <c r="BK55" s="1982"/>
      <c r="BL55" s="1982"/>
      <c r="BM55" s="1982"/>
      <c r="BN55" s="1982"/>
      <c r="BO55" s="1982"/>
      <c r="BP55" s="1982"/>
      <c r="BQ55" s="1982"/>
      <c r="BR55" s="1982"/>
      <c r="BS55" s="1982"/>
      <c r="BT55" s="1982"/>
      <c r="BU55" s="1982"/>
      <c r="BV55" s="1982"/>
      <c r="BW55" s="1982"/>
      <c r="BX55" s="1982"/>
      <c r="BY55" s="1964"/>
      <c r="BZ55" s="3117">
        <f t="shared" ref="BZ55:DV55" si="351">BZ50-BY50</f>
        <v>95</v>
      </c>
      <c r="CA55" s="3101">
        <f t="shared" si="351"/>
        <v>111</v>
      </c>
      <c r="CB55" s="3101">
        <f t="shared" si="351"/>
        <v>147</v>
      </c>
      <c r="CC55" s="3118">
        <f t="shared" si="351"/>
        <v>165</v>
      </c>
      <c r="CD55" s="3117">
        <f t="shared" si="351"/>
        <v>166</v>
      </c>
      <c r="CE55" s="3101">
        <f t="shared" si="351"/>
        <v>201</v>
      </c>
      <c r="CF55" s="3101">
        <f t="shared" si="351"/>
        <v>227</v>
      </c>
      <c r="CG55" s="3101">
        <f t="shared" si="351"/>
        <v>173</v>
      </c>
      <c r="CH55" s="3117">
        <f t="shared" si="351"/>
        <v>251</v>
      </c>
      <c r="CI55" s="3101">
        <f t="shared" si="351"/>
        <v>179</v>
      </c>
      <c r="CJ55" s="3101">
        <f t="shared" si="351"/>
        <v>216</v>
      </c>
      <c r="CK55" s="3101">
        <f t="shared" si="351"/>
        <v>271</v>
      </c>
      <c r="CL55" s="3117">
        <f t="shared" si="351"/>
        <v>282</v>
      </c>
      <c r="CM55" s="3101">
        <f t="shared" si="351"/>
        <v>289</v>
      </c>
      <c r="CN55" s="3101">
        <f t="shared" si="351"/>
        <v>194</v>
      </c>
      <c r="CO55" s="3101">
        <f t="shared" si="351"/>
        <v>150</v>
      </c>
      <c r="CP55" s="3117">
        <f t="shared" si="351"/>
        <v>180</v>
      </c>
      <c r="CQ55" s="3101">
        <f t="shared" si="351"/>
        <v>193</v>
      </c>
      <c r="CR55" s="3101">
        <f t="shared" si="351"/>
        <v>226</v>
      </c>
      <c r="CS55" s="3101">
        <f t="shared" si="351"/>
        <v>197</v>
      </c>
      <c r="CT55" s="3117">
        <f t="shared" si="351"/>
        <v>207</v>
      </c>
      <c r="CU55" s="3101">
        <f t="shared" si="351"/>
        <v>189</v>
      </c>
      <c r="CV55" s="3101">
        <f t="shared" si="351"/>
        <v>138</v>
      </c>
      <c r="CW55" s="3101">
        <f t="shared" si="351"/>
        <v>201</v>
      </c>
      <c r="CX55" s="3117">
        <f t="shared" si="351"/>
        <v>193</v>
      </c>
      <c r="CY55" s="3101">
        <f t="shared" si="351"/>
        <v>134</v>
      </c>
      <c r="CZ55" s="3101">
        <f t="shared" si="351"/>
        <v>136</v>
      </c>
      <c r="DA55" s="3101">
        <f t="shared" si="351"/>
        <v>144</v>
      </c>
      <c r="DB55" s="3117">
        <f t="shared" si="351"/>
        <v>188</v>
      </c>
      <c r="DC55" s="3101">
        <f t="shared" si="351"/>
        <v>161</v>
      </c>
      <c r="DD55" s="3101">
        <f t="shared" si="351"/>
        <v>173</v>
      </c>
      <c r="DE55" s="3101">
        <f t="shared" si="351"/>
        <v>126</v>
      </c>
      <c r="DF55" s="3117">
        <f t="shared" si="351"/>
        <v>98</v>
      </c>
      <c r="DG55" s="3101">
        <f t="shared" si="351"/>
        <v>139</v>
      </c>
      <c r="DH55" s="3101">
        <f t="shared" si="351"/>
        <v>162</v>
      </c>
      <c r="DI55" s="3118">
        <f t="shared" si="351"/>
        <v>145</v>
      </c>
      <c r="DJ55" s="3117">
        <f t="shared" si="351"/>
        <v>133</v>
      </c>
      <c r="DK55" s="3101">
        <f t="shared" si="351"/>
        <v>72</v>
      </c>
      <c r="DL55" s="3101">
        <f t="shared" si="351"/>
        <v>114</v>
      </c>
      <c r="DM55" s="3118">
        <f t="shared" si="351"/>
        <v>99</v>
      </c>
      <c r="DN55" s="3101">
        <f t="shared" si="351"/>
        <v>98</v>
      </c>
      <c r="DO55" s="3101">
        <f t="shared" si="351"/>
        <v>-1637</v>
      </c>
      <c r="DP55" s="3101">
        <f t="shared" si="351"/>
        <v>90</v>
      </c>
      <c r="DQ55" s="3118">
        <f t="shared" si="351"/>
        <v>68</v>
      </c>
      <c r="DR55" s="3101">
        <f t="shared" si="351"/>
        <v>35</v>
      </c>
      <c r="DS55" s="3101">
        <f t="shared" si="351"/>
        <v>49</v>
      </c>
      <c r="DT55" s="3101">
        <f t="shared" si="351"/>
        <v>66</v>
      </c>
      <c r="DU55" s="3118">
        <f t="shared" si="351"/>
        <v>47</v>
      </c>
      <c r="DV55" s="3101">
        <f t="shared" si="351"/>
        <v>66</v>
      </c>
      <c r="DW55" s="3101">
        <f t="shared" ref="DW55" si="352">DW50-DV50</f>
        <v>62</v>
      </c>
      <c r="DX55" s="3101">
        <f t="shared" ref="DX55" si="353">DX50-DW50</f>
        <v>70</v>
      </c>
      <c r="DY55" s="3118">
        <f t="shared" ref="DY55" si="354">DY50-DX50</f>
        <v>61</v>
      </c>
    </row>
    <row r="56" spans="1:129" s="3061" customFormat="1" hidden="1" outlineLevel="1">
      <c r="A56" s="3129" t="s">
        <v>390</v>
      </c>
      <c r="B56" s="1985"/>
      <c r="C56" s="1985"/>
      <c r="D56" s="1985"/>
      <c r="E56" s="1985"/>
      <c r="F56" s="3099"/>
      <c r="G56" s="3099">
        <f t="shared" ref="G56:N56" si="355">G54/G47</f>
        <v>-1.4902597402597402</v>
      </c>
      <c r="H56" s="3099">
        <f t="shared" si="355"/>
        <v>-0.57560137457044669</v>
      </c>
      <c r="I56" s="3099">
        <f t="shared" si="355"/>
        <v>-0.89049586776859502</v>
      </c>
      <c r="J56" s="3099">
        <f t="shared" si="355"/>
        <v>-2.4310344827586206</v>
      </c>
      <c r="K56" s="3099">
        <f t="shared" si="355"/>
        <v>-1.6438848920863309</v>
      </c>
      <c r="L56" s="3099">
        <f t="shared" si="355"/>
        <v>-3.8559999999999999</v>
      </c>
      <c r="M56" s="3099">
        <f t="shared" si="355"/>
        <v>-1.9454545454545455</v>
      </c>
      <c r="N56" s="3099">
        <f t="shared" si="355"/>
        <v>-1.8631578947368421</v>
      </c>
      <c r="O56" s="3099">
        <f t="shared" ref="O56:T56" si="356">O54/O47</f>
        <v>-17.173913043478262</v>
      </c>
      <c r="P56" s="3099">
        <f t="shared" si="356"/>
        <v>0.36940639269406395</v>
      </c>
      <c r="Q56" s="3099">
        <f t="shared" si="356"/>
        <v>3.4936708860759493</v>
      </c>
      <c r="R56" s="3099">
        <f t="shared" si="356"/>
        <v>-11.95</v>
      </c>
      <c r="S56" s="3099">
        <f t="shared" si="356"/>
        <v>0.89690721649484539</v>
      </c>
      <c r="T56" s="3099">
        <f t="shared" si="356"/>
        <v>0.8226950354609941</v>
      </c>
      <c r="U56" s="3099">
        <f t="shared" ref="U56:Y56" si="357">U54/U47</f>
        <v>0.73572938689217482</v>
      </c>
      <c r="V56" s="3099">
        <f t="shared" si="357"/>
        <v>0.64051535718394204</v>
      </c>
      <c r="W56" s="3099">
        <f t="shared" si="357"/>
        <v>0.54292818487640637</v>
      </c>
      <c r="X56" s="3099">
        <f t="shared" si="357"/>
        <v>0.44888971747882578</v>
      </c>
      <c r="Y56" s="3099">
        <f t="shared" si="357"/>
        <v>0.36312352754159527</v>
      </c>
      <c r="Z56" s="1962"/>
      <c r="AA56" s="1985"/>
      <c r="AB56" s="1985"/>
      <c r="AC56" s="1985"/>
      <c r="AD56" s="1985"/>
      <c r="AE56" s="1985"/>
      <c r="AF56" s="1985"/>
      <c r="AG56" s="1985"/>
      <c r="AH56" s="1985"/>
      <c r="AI56" s="1985"/>
      <c r="AJ56" s="1985"/>
      <c r="AK56" s="1985"/>
      <c r="AL56" s="1985"/>
      <c r="AM56" s="1985"/>
      <c r="AN56" s="1985"/>
      <c r="AO56" s="1985"/>
      <c r="AP56" s="1985"/>
      <c r="AQ56" s="1985"/>
      <c r="AR56" s="1985"/>
      <c r="AS56" s="1985"/>
      <c r="AT56" s="1985"/>
      <c r="AU56" s="1985"/>
      <c r="AV56" s="1985"/>
      <c r="AW56" s="1985"/>
      <c r="AX56" s="1985"/>
      <c r="AY56" s="1985"/>
      <c r="AZ56" s="1985"/>
      <c r="BA56" s="1985"/>
      <c r="BB56" s="1985"/>
      <c r="BC56" s="1985"/>
      <c r="BD56" s="1985"/>
      <c r="BE56" s="1985"/>
      <c r="BF56" s="1985"/>
      <c r="BG56" s="1985"/>
      <c r="BH56" s="1985"/>
      <c r="BI56" s="1985"/>
      <c r="BJ56" s="1985"/>
      <c r="BK56" s="1985"/>
      <c r="BL56" s="1985"/>
      <c r="BM56" s="1985"/>
      <c r="BN56" s="1985"/>
      <c r="BO56" s="1985"/>
      <c r="BP56" s="1985"/>
      <c r="BQ56" s="1985"/>
      <c r="BR56" s="1985"/>
      <c r="BS56" s="1985"/>
      <c r="BT56" s="1985"/>
      <c r="BU56" s="1985"/>
      <c r="BV56" s="1985"/>
      <c r="BW56" s="1985"/>
      <c r="BX56" s="1985"/>
      <c r="BY56" s="1962"/>
      <c r="BZ56" s="3107">
        <f t="shared" ref="BZ56:DE56" si="358">BZ54/BZ47</f>
        <v>0.75578406169665813</v>
      </c>
      <c r="CA56" s="3099">
        <f t="shared" si="358"/>
        <v>0.7382075471698113</v>
      </c>
      <c r="CB56" s="3099">
        <f t="shared" si="358"/>
        <v>0.66050808314087761</v>
      </c>
      <c r="CC56" s="3108">
        <f t="shared" si="358"/>
        <v>0.58333333333333337</v>
      </c>
      <c r="CD56" s="3107">
        <f t="shared" si="358"/>
        <v>0.58910891089108908</v>
      </c>
      <c r="CE56" s="3099">
        <f t="shared" si="358"/>
        <v>0.28469750889679718</v>
      </c>
      <c r="CF56" s="3099">
        <f t="shared" si="358"/>
        <v>0.18928571428571428</v>
      </c>
      <c r="CG56" s="3099">
        <f t="shared" si="358"/>
        <v>1.2633181126331812</v>
      </c>
      <c r="CH56" s="3107">
        <f t="shared" si="358"/>
        <v>-0.11061946902654868</v>
      </c>
      <c r="CI56" s="3099">
        <f t="shared" si="358"/>
        <v>-2.8085106382978724</v>
      </c>
      <c r="CJ56" s="3099">
        <f t="shared" si="358"/>
        <v>-1.0373765867418858</v>
      </c>
      <c r="CK56" s="3099">
        <f t="shared" si="358"/>
        <v>-0.33509830102675214</v>
      </c>
      <c r="CL56" s="3107">
        <f t="shared" si="358"/>
        <v>-0.2818181818181818</v>
      </c>
      <c r="CM56" s="3099">
        <f t="shared" si="358"/>
        <v>-0.72023809523809523</v>
      </c>
      <c r="CN56" s="3099">
        <f t="shared" si="358"/>
        <v>-2.5272727272727273</v>
      </c>
      <c r="CO56" s="3099">
        <f t="shared" si="358"/>
        <v>-2.6585365853658538</v>
      </c>
      <c r="CP56" s="3107">
        <f t="shared" si="358"/>
        <v>-1.2222222222222223</v>
      </c>
      <c r="CQ56" s="3099">
        <f t="shared" si="358"/>
        <v>-4.0789473684210522</v>
      </c>
      <c r="CR56" s="3099">
        <f t="shared" si="358"/>
        <v>-2.7666666666666666</v>
      </c>
      <c r="CS56" s="3099">
        <f t="shared" si="358"/>
        <v>-2.7169811320754715</v>
      </c>
      <c r="CT56" s="3107">
        <f t="shared" si="358"/>
        <v>-1.1122448979591837</v>
      </c>
      <c r="CU56" s="3099">
        <f t="shared" si="358"/>
        <v>-2.0483870967741935</v>
      </c>
      <c r="CV56" s="3099">
        <f t="shared" si="358"/>
        <v>-5.9</v>
      </c>
      <c r="CW56" s="3099">
        <f t="shared" si="358"/>
        <v>-1.0510204081632653</v>
      </c>
      <c r="CX56" s="3107">
        <f t="shared" si="358"/>
        <v>-0.85576923076923073</v>
      </c>
      <c r="CY56" s="3099">
        <f t="shared" si="358"/>
        <v>-66</v>
      </c>
      <c r="CZ56" s="3099">
        <f t="shared" si="358"/>
        <v>18</v>
      </c>
      <c r="DA56" s="3099">
        <f t="shared" si="358"/>
        <v>-4.333333333333333</v>
      </c>
      <c r="DB56" s="3107">
        <f t="shared" si="358"/>
        <v>-0.89898989898989901</v>
      </c>
      <c r="DC56" s="3099">
        <f t="shared" si="358"/>
        <v>-2.5777777777777779</v>
      </c>
      <c r="DD56" s="3099">
        <f t="shared" si="358"/>
        <v>-2.0892857142857144</v>
      </c>
      <c r="DE56" s="3099">
        <f t="shared" si="358"/>
        <v>-5.3</v>
      </c>
      <c r="DF56" s="3107">
        <f>DF54/DF47</f>
        <v>-5.125</v>
      </c>
      <c r="DG56" s="3099">
        <f>DG54/DG47</f>
        <v>-2.0217391304347827</v>
      </c>
      <c r="DH56" s="3099">
        <f>DH54/DH47</f>
        <v>-1.3478260869565217</v>
      </c>
      <c r="DI56" s="3108">
        <f>DI54/DI47</f>
        <v>-1.4576271186440677</v>
      </c>
      <c r="DJ56" s="3107">
        <f t="shared" ref="DJ56:DM56" si="359">DJ54/DJ47</f>
        <v>-2.2439024390243905</v>
      </c>
      <c r="DK56" s="3099">
        <f t="shared" si="359"/>
        <v>3.88</v>
      </c>
      <c r="DL56" s="3099">
        <f t="shared" si="359"/>
        <v>-56</v>
      </c>
      <c r="DM56" s="3108">
        <f t="shared" si="359"/>
        <v>-18.8</v>
      </c>
      <c r="DN56" s="3099">
        <f t="shared" ref="DN56:DO56" si="360">DN54/DN47</f>
        <v>10.8</v>
      </c>
      <c r="DO56" s="3099">
        <f t="shared" si="360"/>
        <v>0.25725952813067149</v>
      </c>
      <c r="DP56" s="3099">
        <f t="shared" ref="DP56" si="361">DP54/DP47</f>
        <v>-2.75</v>
      </c>
      <c r="DQ56" s="3108"/>
      <c r="DR56" s="3099">
        <f t="shared" ref="DR56:DS56" si="362">DR54/DR47</f>
        <v>2.2962962962962963</v>
      </c>
      <c r="DS56" s="3099">
        <f t="shared" si="362"/>
        <v>3.1304347826086958</v>
      </c>
      <c r="DT56" s="3099">
        <f t="shared" ref="DT56:DU56" si="363">DT54/DT47</f>
        <v>7.6</v>
      </c>
      <c r="DU56" s="3108">
        <f t="shared" si="363"/>
        <v>3.4736842105263159</v>
      </c>
      <c r="DV56" s="3099">
        <f t="shared" ref="DV56" si="364">DV54/DV47</f>
        <v>-8.4285714285714288</v>
      </c>
      <c r="DW56" s="3099">
        <f t="shared" ref="DW56:DY56" si="365">DW54/DW47</f>
        <v>-30</v>
      </c>
      <c r="DX56" s="3099">
        <f t="shared" si="365"/>
        <v>-6</v>
      </c>
      <c r="DY56" s="3108">
        <f t="shared" si="365"/>
        <v>-60</v>
      </c>
    </row>
    <row r="57" spans="1:129" s="3061" customFormat="1" hidden="1" outlineLevel="1">
      <c r="A57" s="3129" t="s">
        <v>391</v>
      </c>
      <c r="B57" s="3131"/>
      <c r="C57" s="1985"/>
      <c r="D57" s="1985"/>
      <c r="E57" s="1985"/>
      <c r="F57" s="3099"/>
      <c r="G57" s="3099">
        <f t="shared" ref="G57:N57" si="366">G55/G47</f>
        <v>2.4902597402597402</v>
      </c>
      <c r="H57" s="3099">
        <f t="shared" si="366"/>
        <v>1.5756013745704467</v>
      </c>
      <c r="I57" s="3099">
        <f t="shared" si="366"/>
        <v>1.890495867768595</v>
      </c>
      <c r="J57" s="3099">
        <f t="shared" si="366"/>
        <v>3.4310344827586206</v>
      </c>
      <c r="K57" s="3099">
        <f t="shared" si="366"/>
        <v>2.6438848920863309</v>
      </c>
      <c r="L57" s="3099">
        <f t="shared" si="366"/>
        <v>4.8559999999999999</v>
      </c>
      <c r="M57" s="3099">
        <f t="shared" si="366"/>
        <v>2.9454545454545453</v>
      </c>
      <c r="N57" s="3099">
        <f t="shared" si="366"/>
        <v>2.8631578947368421</v>
      </c>
      <c r="O57" s="3099">
        <f t="shared" ref="O57:T57" si="367">O55/O47</f>
        <v>18.173913043478262</v>
      </c>
      <c r="P57" s="3099">
        <f t="shared" si="367"/>
        <v>0.63059360730593605</v>
      </c>
      <c r="Q57" s="3099">
        <f t="shared" si="367"/>
        <v>-2.4936708860759493</v>
      </c>
      <c r="R57" s="3099">
        <f t="shared" si="367"/>
        <v>12.95</v>
      </c>
      <c r="S57" s="3099">
        <f t="shared" si="367"/>
        <v>0.10309278350515463</v>
      </c>
      <c r="T57" s="3099">
        <f t="shared" si="367"/>
        <v>0.17730496453900729</v>
      </c>
      <c r="U57" s="3099">
        <f t="shared" ref="U57:Y57" si="368">U55/U47</f>
        <v>0.26427061310782141</v>
      </c>
      <c r="V57" s="3099">
        <f t="shared" si="368"/>
        <v>0.35948464281605957</v>
      </c>
      <c r="W57" s="3099">
        <f t="shared" si="368"/>
        <v>0.45707181512359107</v>
      </c>
      <c r="X57" s="3099">
        <f t="shared" si="368"/>
        <v>0.55111028252117644</v>
      </c>
      <c r="Y57" s="3099">
        <f t="shared" si="368"/>
        <v>0.63687647245840362</v>
      </c>
      <c r="Z57" s="1962"/>
      <c r="AA57" s="1985"/>
      <c r="AB57" s="1985"/>
      <c r="AC57" s="1985"/>
      <c r="AD57" s="1985"/>
      <c r="AE57" s="1985"/>
      <c r="AF57" s="1985"/>
      <c r="AG57" s="1985"/>
      <c r="AH57" s="1985"/>
      <c r="AI57" s="1985"/>
      <c r="AJ57" s="1985"/>
      <c r="AK57" s="1985"/>
      <c r="AL57" s="1985"/>
      <c r="AM57" s="1985"/>
      <c r="AN57" s="1985"/>
      <c r="AO57" s="1985"/>
      <c r="AP57" s="1985"/>
      <c r="AQ57" s="1985"/>
      <c r="AR57" s="1985"/>
      <c r="AS57" s="1985"/>
      <c r="AT57" s="1985"/>
      <c r="AU57" s="1985"/>
      <c r="AV57" s="1985"/>
      <c r="AW57" s="1985"/>
      <c r="AX57" s="1985"/>
      <c r="AY57" s="1985"/>
      <c r="AZ57" s="1985"/>
      <c r="BA57" s="1985"/>
      <c r="BB57" s="1985"/>
      <c r="BC57" s="1985"/>
      <c r="BD57" s="1985"/>
      <c r="BE57" s="1985"/>
      <c r="BF57" s="1985"/>
      <c r="BG57" s="1985"/>
      <c r="BH57" s="1985"/>
      <c r="BI57" s="1985"/>
      <c r="BJ57" s="1985"/>
      <c r="BK57" s="1985"/>
      <c r="BL57" s="1985"/>
      <c r="BM57" s="1985"/>
      <c r="BN57" s="1985"/>
      <c r="BO57" s="1985"/>
      <c r="BP57" s="1985"/>
      <c r="BQ57" s="1985"/>
      <c r="BR57" s="1985"/>
      <c r="BS57" s="1985"/>
      <c r="BT57" s="1985"/>
      <c r="BU57" s="1985"/>
      <c r="BV57" s="1985"/>
      <c r="BW57" s="1985"/>
      <c r="BX57" s="1985"/>
      <c r="BY57" s="1962"/>
      <c r="BZ57" s="3107">
        <f t="shared" ref="BZ57:DE57" si="369">BZ55/BZ47</f>
        <v>0.2442159383033419</v>
      </c>
      <c r="CA57" s="3099">
        <f t="shared" si="369"/>
        <v>0.2617924528301887</v>
      </c>
      <c r="CB57" s="3099">
        <f t="shared" si="369"/>
        <v>0.33949191685912239</v>
      </c>
      <c r="CC57" s="3108">
        <f t="shared" si="369"/>
        <v>0.41666666666666669</v>
      </c>
      <c r="CD57" s="3107">
        <f t="shared" si="369"/>
        <v>0.41089108910891087</v>
      </c>
      <c r="CE57" s="3099">
        <f t="shared" si="369"/>
        <v>0.71530249110320288</v>
      </c>
      <c r="CF57" s="3099">
        <f t="shared" si="369"/>
        <v>0.81071428571428572</v>
      </c>
      <c r="CG57" s="3099">
        <f t="shared" si="369"/>
        <v>-0.26331811263318111</v>
      </c>
      <c r="CH57" s="3107">
        <f t="shared" si="369"/>
        <v>1.1106194690265487</v>
      </c>
      <c r="CI57" s="3099">
        <f t="shared" si="369"/>
        <v>3.8085106382978724</v>
      </c>
      <c r="CJ57" s="3099">
        <f t="shared" si="369"/>
        <v>2.0373765867418858</v>
      </c>
      <c r="CK57" s="3099">
        <f t="shared" si="369"/>
        <v>1.3350983010267521</v>
      </c>
      <c r="CL57" s="3107">
        <f t="shared" si="369"/>
        <v>1.2818181818181817</v>
      </c>
      <c r="CM57" s="3099">
        <f t="shared" si="369"/>
        <v>1.7202380952380953</v>
      </c>
      <c r="CN57" s="3099">
        <f t="shared" si="369"/>
        <v>3.5272727272727273</v>
      </c>
      <c r="CO57" s="3099">
        <f t="shared" si="369"/>
        <v>3.6585365853658538</v>
      </c>
      <c r="CP57" s="3107">
        <f t="shared" si="369"/>
        <v>2.2222222222222223</v>
      </c>
      <c r="CQ57" s="3099">
        <f t="shared" si="369"/>
        <v>5.0789473684210522</v>
      </c>
      <c r="CR57" s="3099">
        <f t="shared" si="369"/>
        <v>3.7666666666666666</v>
      </c>
      <c r="CS57" s="3099">
        <f t="shared" si="369"/>
        <v>3.7169811320754715</v>
      </c>
      <c r="CT57" s="3107">
        <f t="shared" si="369"/>
        <v>2.1122448979591835</v>
      </c>
      <c r="CU57" s="3099">
        <f t="shared" si="369"/>
        <v>3.0483870967741935</v>
      </c>
      <c r="CV57" s="3099">
        <f t="shared" si="369"/>
        <v>6.9</v>
      </c>
      <c r="CW57" s="3099">
        <f t="shared" si="369"/>
        <v>2.0510204081632653</v>
      </c>
      <c r="CX57" s="3107">
        <f t="shared" si="369"/>
        <v>1.8557692307692308</v>
      </c>
      <c r="CY57" s="3099">
        <f t="shared" si="369"/>
        <v>67</v>
      </c>
      <c r="CZ57" s="3099">
        <f t="shared" si="369"/>
        <v>-17</v>
      </c>
      <c r="DA57" s="3099">
        <f t="shared" si="369"/>
        <v>5.333333333333333</v>
      </c>
      <c r="DB57" s="3107">
        <f t="shared" si="369"/>
        <v>1.898989898989899</v>
      </c>
      <c r="DC57" s="3099">
        <f t="shared" si="369"/>
        <v>3.5777777777777779</v>
      </c>
      <c r="DD57" s="3099">
        <f t="shared" si="369"/>
        <v>3.0892857142857144</v>
      </c>
      <c r="DE57" s="3099">
        <f t="shared" si="369"/>
        <v>6.3</v>
      </c>
      <c r="DF57" s="3107">
        <f>DF55/DF47</f>
        <v>6.125</v>
      </c>
      <c r="DG57" s="3099">
        <f>DG55/DG47</f>
        <v>3.0217391304347827</v>
      </c>
      <c r="DH57" s="3099">
        <f>DH55/DH47</f>
        <v>2.347826086956522</v>
      </c>
      <c r="DI57" s="3108">
        <f>DI55/DI47</f>
        <v>2.4576271186440679</v>
      </c>
      <c r="DJ57" s="3107">
        <f t="shared" ref="DJ57:DM57" si="370">DJ55/DJ47</f>
        <v>3.2439024390243905</v>
      </c>
      <c r="DK57" s="3099">
        <f t="shared" si="370"/>
        <v>-2.88</v>
      </c>
      <c r="DL57" s="3099">
        <f t="shared" si="370"/>
        <v>57</v>
      </c>
      <c r="DM57" s="3108">
        <f t="shared" si="370"/>
        <v>19.8</v>
      </c>
      <c r="DN57" s="3099">
        <f t="shared" ref="DN57:DO57" si="371">DN55/DN47</f>
        <v>-9.8000000000000007</v>
      </c>
      <c r="DO57" s="3099">
        <f t="shared" si="371"/>
        <v>0.74274047186932846</v>
      </c>
      <c r="DP57" s="3099">
        <f t="shared" ref="DP57" si="372">DP55/DP47</f>
        <v>3.75</v>
      </c>
      <c r="DQ57" s="3108"/>
      <c r="DR57" s="3099">
        <f t="shared" ref="DR57:DS57" si="373">DR55/DR47</f>
        <v>-1.2962962962962963</v>
      </c>
      <c r="DS57" s="3099">
        <f t="shared" si="373"/>
        <v>-2.1304347826086958</v>
      </c>
      <c r="DT57" s="3099">
        <f t="shared" ref="DT57:DU57" si="374">DT55/DT47</f>
        <v>-6.6</v>
      </c>
      <c r="DU57" s="3108">
        <f t="shared" si="374"/>
        <v>-2.4736842105263159</v>
      </c>
      <c r="DV57" s="3099">
        <f t="shared" ref="DV57" si="375">DV55/DV47</f>
        <v>9.4285714285714288</v>
      </c>
      <c r="DW57" s="3099">
        <f t="shared" ref="DW57:DY57" si="376">DW55/DW47</f>
        <v>31</v>
      </c>
      <c r="DX57" s="3099">
        <f t="shared" si="376"/>
        <v>7</v>
      </c>
      <c r="DY57" s="3108">
        <f t="shared" si="376"/>
        <v>61</v>
      </c>
    </row>
    <row r="58" spans="1:129" collapsed="1">
      <c r="A58" s="198" t="s">
        <v>340</v>
      </c>
      <c r="B58" s="1038"/>
      <c r="C58" s="1038"/>
      <c r="D58" s="1038"/>
      <c r="E58" s="1038"/>
      <c r="F58" s="1038"/>
      <c r="G58" s="1038"/>
      <c r="H58" s="1092">
        <f t="shared" ref="H58:S58" si="377">+H5</f>
        <v>2008</v>
      </c>
      <c r="I58" s="1092">
        <f t="shared" si="377"/>
        <v>2009</v>
      </c>
      <c r="J58" s="1092">
        <f t="shared" si="377"/>
        <v>2010</v>
      </c>
      <c r="K58" s="1092">
        <f t="shared" si="377"/>
        <v>2011</v>
      </c>
      <c r="L58" s="1092">
        <f t="shared" si="377"/>
        <v>2012</v>
      </c>
      <c r="M58" s="1092">
        <f t="shared" si="377"/>
        <v>2013</v>
      </c>
      <c r="N58" s="1092" t="str">
        <f t="shared" si="377"/>
        <v>2014</v>
      </c>
      <c r="O58" s="1092" t="str">
        <f t="shared" si="377"/>
        <v>2015</v>
      </c>
      <c r="P58" s="1092" t="str">
        <f t="shared" si="377"/>
        <v>2016</v>
      </c>
      <c r="Q58" s="1092" t="str">
        <f t="shared" si="377"/>
        <v>2017</v>
      </c>
      <c r="R58" s="1092" t="str">
        <f t="shared" ref="R58" si="378">+R5</f>
        <v>2018E</v>
      </c>
      <c r="S58" s="1092" t="str">
        <f t="shared" si="377"/>
        <v>2019E</v>
      </c>
      <c r="T58" s="1092" t="str">
        <f t="shared" ref="T58:Y58" si="379">+T5</f>
        <v>2020E</v>
      </c>
      <c r="U58" s="1092" t="str">
        <f t="shared" si="379"/>
        <v>2021E</v>
      </c>
      <c r="V58" s="1092" t="str">
        <f t="shared" si="379"/>
        <v>2022E</v>
      </c>
      <c r="W58" s="1092" t="str">
        <f t="shared" si="379"/>
        <v>2023E</v>
      </c>
      <c r="X58" s="1092" t="str">
        <f t="shared" si="379"/>
        <v>2024E</v>
      </c>
      <c r="Y58" s="1092" t="str">
        <f t="shared" si="379"/>
        <v>2025E</v>
      </c>
      <c r="Z58" s="678"/>
      <c r="AA58" s="1041"/>
      <c r="AB58" s="1041"/>
      <c r="AC58" s="1041"/>
      <c r="AD58" s="1041"/>
      <c r="AE58" s="1041"/>
      <c r="AF58" s="1041"/>
      <c r="AG58" s="1041"/>
      <c r="AH58" s="1041"/>
      <c r="AI58" s="1041"/>
      <c r="AJ58" s="1041"/>
      <c r="AK58" s="1041"/>
      <c r="AL58" s="1041"/>
      <c r="AM58" s="1041"/>
      <c r="AN58" s="1041"/>
      <c r="AO58" s="1041"/>
      <c r="AP58" s="1041"/>
      <c r="AQ58" s="1041"/>
      <c r="AR58" s="1041"/>
      <c r="AS58" s="1041"/>
      <c r="AT58" s="1041"/>
      <c r="AU58" s="1041"/>
      <c r="AV58" s="1041"/>
      <c r="AW58" s="1041"/>
      <c r="AX58" s="1041"/>
      <c r="AY58" s="1041"/>
      <c r="AZ58" s="1041"/>
      <c r="BA58" s="1041"/>
      <c r="BB58" s="1041"/>
      <c r="BC58" s="1041"/>
      <c r="BD58" s="1041"/>
      <c r="BE58" s="1041"/>
      <c r="BF58" s="1041"/>
      <c r="BG58" s="1041"/>
      <c r="BH58" s="1041"/>
      <c r="BI58" s="1041"/>
      <c r="BJ58" s="1041"/>
      <c r="BK58" s="1041"/>
      <c r="BL58" s="1041"/>
      <c r="BM58" s="1041"/>
      <c r="BN58" s="1041"/>
      <c r="BO58" s="1041"/>
      <c r="BP58" s="1041"/>
      <c r="BQ58" s="1041"/>
      <c r="BR58" s="1041"/>
      <c r="BS58" s="1041"/>
      <c r="BT58" s="1041"/>
      <c r="BU58" s="1041"/>
      <c r="BV58" s="1041"/>
      <c r="BW58" s="1041"/>
      <c r="BX58" s="1041"/>
      <c r="BY58" s="649"/>
      <c r="BZ58" s="141"/>
      <c r="CA58" s="1038"/>
      <c r="CB58" s="1038"/>
      <c r="CC58" s="641" t="str">
        <f t="shared" ref="CC58:DR58" si="380">CC5</f>
        <v>4Q06</v>
      </c>
      <c r="CD58" s="640" t="str">
        <f t="shared" si="380"/>
        <v>1Q07</v>
      </c>
      <c r="CE58" s="1089" t="str">
        <f t="shared" si="380"/>
        <v>2Q07</v>
      </c>
      <c r="CF58" s="1089" t="str">
        <f t="shared" si="380"/>
        <v>3Q07</v>
      </c>
      <c r="CG58" s="1089" t="str">
        <f t="shared" si="380"/>
        <v>4Q07</v>
      </c>
      <c r="CH58" s="640" t="str">
        <f t="shared" si="380"/>
        <v>1Q08</v>
      </c>
      <c r="CI58" s="1089" t="str">
        <f t="shared" si="380"/>
        <v>2Q08</v>
      </c>
      <c r="CJ58" s="1089" t="str">
        <f t="shared" si="380"/>
        <v>3Q08</v>
      </c>
      <c r="CK58" s="1089" t="str">
        <f t="shared" si="380"/>
        <v>4Q08</v>
      </c>
      <c r="CL58" s="640" t="str">
        <f t="shared" si="380"/>
        <v>1Q09</v>
      </c>
      <c r="CM58" s="1089" t="str">
        <f t="shared" si="380"/>
        <v>2Q09</v>
      </c>
      <c r="CN58" s="1089" t="str">
        <f t="shared" si="380"/>
        <v>3Q09</v>
      </c>
      <c r="CO58" s="1089" t="str">
        <f t="shared" si="380"/>
        <v>4Q09</v>
      </c>
      <c r="CP58" s="640" t="str">
        <f t="shared" si="380"/>
        <v>1Q10</v>
      </c>
      <c r="CQ58" s="1089" t="str">
        <f t="shared" si="380"/>
        <v>2Q10</v>
      </c>
      <c r="CR58" s="1089" t="str">
        <f t="shared" si="380"/>
        <v>3Q10</v>
      </c>
      <c r="CS58" s="1089" t="str">
        <f t="shared" si="380"/>
        <v>4Q10</v>
      </c>
      <c r="CT58" s="640" t="str">
        <f t="shared" si="380"/>
        <v>1Q11</v>
      </c>
      <c r="CU58" s="1089" t="str">
        <f t="shared" si="380"/>
        <v>2Q11</v>
      </c>
      <c r="CV58" s="1089" t="str">
        <f t="shared" si="380"/>
        <v>3Q11</v>
      </c>
      <c r="CW58" s="1089" t="str">
        <f t="shared" si="380"/>
        <v>4Q11</v>
      </c>
      <c r="CX58" s="640" t="str">
        <f t="shared" si="380"/>
        <v>1Q12</v>
      </c>
      <c r="CY58" s="1089" t="str">
        <f t="shared" si="380"/>
        <v>2Q12</v>
      </c>
      <c r="CZ58" s="1089" t="str">
        <f t="shared" si="380"/>
        <v>3Q12</v>
      </c>
      <c r="DA58" s="1089" t="str">
        <f t="shared" si="380"/>
        <v>4Q12</v>
      </c>
      <c r="DB58" s="640" t="str">
        <f t="shared" si="380"/>
        <v>1Q13</v>
      </c>
      <c r="DC58" s="1089" t="str">
        <f t="shared" si="380"/>
        <v>2Q13</v>
      </c>
      <c r="DD58" s="1089" t="str">
        <f t="shared" si="380"/>
        <v>3Q13</v>
      </c>
      <c r="DE58" s="1089" t="str">
        <f t="shared" si="380"/>
        <v>4Q13</v>
      </c>
      <c r="DF58" s="640" t="str">
        <f t="shared" si="380"/>
        <v>1Q14</v>
      </c>
      <c r="DG58" s="1089" t="str">
        <f t="shared" si="380"/>
        <v>2Q14</v>
      </c>
      <c r="DH58" s="1089" t="str">
        <f t="shared" si="380"/>
        <v>3Q14</v>
      </c>
      <c r="DI58" s="641" t="str">
        <f t="shared" si="380"/>
        <v>4Q14</v>
      </c>
      <c r="DJ58" s="640" t="str">
        <f t="shared" si="380"/>
        <v>1Q15</v>
      </c>
      <c r="DK58" s="1089" t="str">
        <f t="shared" si="380"/>
        <v>2Q15</v>
      </c>
      <c r="DL58" s="1089" t="str">
        <f t="shared" si="380"/>
        <v>3Q15</v>
      </c>
      <c r="DM58" s="641" t="str">
        <f t="shared" si="380"/>
        <v>4Q15</v>
      </c>
      <c r="DN58" s="1089" t="str">
        <f t="shared" si="380"/>
        <v>1Q16</v>
      </c>
      <c r="DO58" s="1089" t="str">
        <f t="shared" si="380"/>
        <v>2Q16</v>
      </c>
      <c r="DP58" s="1089" t="str">
        <f t="shared" si="380"/>
        <v>3Q16</v>
      </c>
      <c r="DQ58" s="641" t="str">
        <f t="shared" si="380"/>
        <v>4Q16</v>
      </c>
      <c r="DR58" s="1089" t="str">
        <f t="shared" si="380"/>
        <v>1Q17</v>
      </c>
      <c r="DS58" s="1089" t="str">
        <f t="shared" ref="DS58:DT58" si="381">DS5</f>
        <v>2Q17</v>
      </c>
      <c r="DT58" s="1089" t="str">
        <f t="shared" si="381"/>
        <v>3Q17</v>
      </c>
      <c r="DU58" s="641" t="str">
        <f t="shared" ref="DU58:DV58" si="382">DU5</f>
        <v>4Q17</v>
      </c>
      <c r="DV58" s="1089" t="str">
        <f t="shared" si="382"/>
        <v>1Q18</v>
      </c>
      <c r="DW58" s="1089" t="str">
        <f t="shared" ref="DW58:DY58" si="383">DW5</f>
        <v>2Q18E</v>
      </c>
      <c r="DX58" s="1089" t="str">
        <f t="shared" si="383"/>
        <v>3Q18E</v>
      </c>
      <c r="DY58" s="641" t="str">
        <f t="shared" si="383"/>
        <v>4Q18E</v>
      </c>
    </row>
    <row r="59" spans="1:129">
      <c r="A59" s="178" t="s">
        <v>341</v>
      </c>
      <c r="B59" s="1044"/>
      <c r="C59" s="1044"/>
      <c r="D59" s="1135"/>
      <c r="E59" s="1135"/>
      <c r="F59" s="1135">
        <f>CC59</f>
        <v>4300000</v>
      </c>
      <c r="G59" s="1051">
        <f>CG59</f>
        <v>8100000</v>
      </c>
      <c r="H59" s="1093">
        <f>CK59</f>
        <v>11450000</v>
      </c>
      <c r="I59" s="1093">
        <f>CO59</f>
        <v>14150000</v>
      </c>
      <c r="J59" s="1093">
        <f>+CS59</f>
        <v>15100000</v>
      </c>
      <c r="K59" s="1051">
        <f>+CW59</f>
        <v>16000000</v>
      </c>
      <c r="L59" s="1093">
        <f>+DA59</f>
        <v>17100000</v>
      </c>
      <c r="M59" s="1093">
        <f>+DE59</f>
        <v>18100000</v>
      </c>
      <c r="N59" s="1093">
        <f>+DI59</f>
        <v>19300000</v>
      </c>
      <c r="O59" s="1093">
        <f>+DM59</f>
        <v>20000000</v>
      </c>
      <c r="P59" s="1093">
        <f>+DQ59</f>
        <v>16400000</v>
      </c>
      <c r="Q59" s="1093">
        <f>+DU59</f>
        <v>16918000</v>
      </c>
      <c r="R59" s="1093">
        <f>+DY59</f>
        <v>17436000</v>
      </c>
      <c r="S59" s="1093">
        <f>+R59+S62</f>
        <v>17695000</v>
      </c>
      <c r="T59" s="1093">
        <f>+S59+T62</f>
        <v>17824500</v>
      </c>
      <c r="U59" s="1093">
        <f t="shared" ref="U59:Y59" si="384">+T59+U62</f>
        <v>17889250</v>
      </c>
      <c r="V59" s="1093">
        <f t="shared" si="384"/>
        <v>17921625</v>
      </c>
      <c r="W59" s="1093">
        <f t="shared" si="384"/>
        <v>17937812.5</v>
      </c>
      <c r="X59" s="1093">
        <f t="shared" si="384"/>
        <v>17945906.25</v>
      </c>
      <c r="Y59" s="1093">
        <f t="shared" si="384"/>
        <v>17949953.125</v>
      </c>
      <c r="Z59" s="536"/>
      <c r="AA59" s="1044"/>
      <c r="AB59" s="1044"/>
      <c r="AC59" s="1044"/>
      <c r="AD59" s="1044"/>
      <c r="AE59" s="1044"/>
      <c r="AF59" s="1044"/>
      <c r="AG59" s="1044"/>
      <c r="AH59" s="1044"/>
      <c r="AI59" s="1044"/>
      <c r="AJ59" s="1044"/>
      <c r="AK59" s="1044"/>
      <c r="AL59" s="1044"/>
      <c r="AM59" s="1044"/>
      <c r="AN59" s="1044"/>
      <c r="AO59" s="1044"/>
      <c r="AP59" s="1044"/>
      <c r="AQ59" s="1044"/>
      <c r="AR59" s="1044"/>
      <c r="AS59" s="1044"/>
      <c r="AT59" s="1044"/>
      <c r="AU59" s="1044"/>
      <c r="AV59" s="1044"/>
      <c r="AW59" s="1044"/>
      <c r="AX59" s="1044"/>
      <c r="AY59" s="1044"/>
      <c r="AZ59" s="1044"/>
      <c r="BA59" s="1044"/>
      <c r="BB59" s="1044"/>
      <c r="BC59" s="1044"/>
      <c r="BD59" s="1044"/>
      <c r="BE59" s="1044"/>
      <c r="BF59" s="1044"/>
      <c r="BG59" s="1044"/>
      <c r="BH59" s="1044"/>
      <c r="BI59" s="1044"/>
      <c r="BJ59" s="1044"/>
      <c r="BK59" s="1044"/>
      <c r="BL59" s="1044"/>
      <c r="BM59" s="1044"/>
      <c r="BN59" s="1044"/>
      <c r="BO59" s="1044"/>
      <c r="BP59" s="1044"/>
      <c r="BQ59" s="1044"/>
      <c r="BR59" s="1044"/>
      <c r="BS59" s="1044"/>
      <c r="BT59" s="1044"/>
      <c r="BU59" s="1044"/>
      <c r="BV59" s="1044"/>
      <c r="BW59" s="1044"/>
      <c r="BX59" s="1044"/>
      <c r="BY59" s="650"/>
      <c r="BZ59" s="651">
        <v>1200000</v>
      </c>
      <c r="CA59" s="1135">
        <v>1500000</v>
      </c>
      <c r="CB59" s="1135">
        <v>2400000</v>
      </c>
      <c r="CC59" s="551">
        <v>4300000</v>
      </c>
      <c r="CD59" s="651">
        <v>4900000</v>
      </c>
      <c r="CE59" s="1135">
        <v>5800000</v>
      </c>
      <c r="CF59" s="1135">
        <v>6900000</v>
      </c>
      <c r="CG59" s="1135">
        <v>8100000</v>
      </c>
      <c r="CH59" s="651">
        <f>8600000-750000</f>
        <v>7850000</v>
      </c>
      <c r="CI59" s="1135">
        <f>9600000-750000</f>
        <v>8850000</v>
      </c>
      <c r="CJ59" s="1135">
        <f>11300000-750000</f>
        <v>10550000</v>
      </c>
      <c r="CK59" s="1135">
        <f>12200000-750000</f>
        <v>11450000</v>
      </c>
      <c r="CL59" s="651">
        <f>12700000-750000</f>
        <v>11950000</v>
      </c>
      <c r="CM59" s="1278">
        <f t="shared" ref="CM59:DE59" si="385">+CL59+CM62</f>
        <v>12590000</v>
      </c>
      <c r="CN59" s="1275">
        <f t="shared" si="385"/>
        <v>13250000</v>
      </c>
      <c r="CO59" s="1275">
        <f t="shared" si="385"/>
        <v>14150000</v>
      </c>
      <c r="CP59" s="452">
        <f t="shared" si="385"/>
        <v>14350000</v>
      </c>
      <c r="CQ59" s="1275">
        <f t="shared" si="385"/>
        <v>14650000</v>
      </c>
      <c r="CR59" s="1275">
        <f t="shared" si="385"/>
        <v>14900000</v>
      </c>
      <c r="CS59" s="1275">
        <f t="shared" si="385"/>
        <v>15100000</v>
      </c>
      <c r="CT59" s="178">
        <f t="shared" si="385"/>
        <v>15300000</v>
      </c>
      <c r="CU59" s="1051">
        <f t="shared" si="385"/>
        <v>15600000</v>
      </c>
      <c r="CV59" s="1051">
        <f t="shared" si="385"/>
        <v>15623799.999999998</v>
      </c>
      <c r="CW59" s="1051">
        <f t="shared" si="385"/>
        <v>16000000</v>
      </c>
      <c r="CX59" s="178">
        <f t="shared" si="385"/>
        <v>16100000</v>
      </c>
      <c r="CY59" s="1051">
        <f t="shared" si="385"/>
        <v>16500000</v>
      </c>
      <c r="CZ59" s="1051">
        <f t="shared" si="385"/>
        <v>16900000</v>
      </c>
      <c r="DA59" s="1051">
        <f t="shared" si="385"/>
        <v>17100000</v>
      </c>
      <c r="DB59" s="178">
        <f t="shared" si="385"/>
        <v>17250000</v>
      </c>
      <c r="DC59" s="1051">
        <f t="shared" si="385"/>
        <v>17349000</v>
      </c>
      <c r="DD59" s="1051">
        <f t="shared" si="385"/>
        <v>17800000</v>
      </c>
      <c r="DE59" s="1051">
        <f t="shared" si="385"/>
        <v>18100000</v>
      </c>
      <c r="DF59" s="178">
        <f t="shared" ref="DF59:DV59" si="386">+DE59+DF62</f>
        <v>18400000</v>
      </c>
      <c r="DG59" s="1051">
        <f t="shared" si="386"/>
        <v>18800000</v>
      </c>
      <c r="DH59" s="1051">
        <f t="shared" si="386"/>
        <v>19200000</v>
      </c>
      <c r="DI59" s="179">
        <f t="shared" si="386"/>
        <v>19300000</v>
      </c>
      <c r="DJ59" s="178">
        <f t="shared" si="386"/>
        <v>19347000</v>
      </c>
      <c r="DK59" s="1051">
        <f t="shared" si="386"/>
        <v>19398000</v>
      </c>
      <c r="DL59" s="1051">
        <f t="shared" si="386"/>
        <v>19448000</v>
      </c>
      <c r="DM59" s="179">
        <f t="shared" si="386"/>
        <v>20000000</v>
      </c>
      <c r="DN59" s="1051">
        <f t="shared" si="386"/>
        <v>20175000</v>
      </c>
      <c r="DO59" s="1051">
        <f t="shared" si="386"/>
        <v>15882000</v>
      </c>
      <c r="DP59" s="1051">
        <f t="shared" si="386"/>
        <v>16089000</v>
      </c>
      <c r="DQ59" s="179">
        <f t="shared" si="386"/>
        <v>16400000</v>
      </c>
      <c r="DR59" s="1051">
        <f t="shared" si="386"/>
        <v>16529500</v>
      </c>
      <c r="DS59" s="1051">
        <f t="shared" si="386"/>
        <v>16659000</v>
      </c>
      <c r="DT59" s="1051">
        <f t="shared" si="386"/>
        <v>16788500</v>
      </c>
      <c r="DU59" s="179">
        <f t="shared" si="386"/>
        <v>16918000</v>
      </c>
      <c r="DV59" s="1051">
        <f t="shared" si="386"/>
        <v>17047500</v>
      </c>
      <c r="DW59" s="1051">
        <f t="shared" ref="DW59" si="387">+DV59+DW62</f>
        <v>17177000</v>
      </c>
      <c r="DX59" s="1051">
        <f t="shared" ref="DX59" si="388">+DW59+DX62</f>
        <v>17306500</v>
      </c>
      <c r="DY59" s="179">
        <f t="shared" ref="DY59" si="389">+DX59+DY62</f>
        <v>17436000</v>
      </c>
    </row>
    <row r="60" spans="1:129">
      <c r="A60" s="176" t="s">
        <v>319</v>
      </c>
      <c r="B60" s="1045"/>
      <c r="C60" s="1045"/>
      <c r="D60" s="1284"/>
      <c r="E60" s="1284"/>
      <c r="F60" s="1284"/>
      <c r="G60" s="1045"/>
      <c r="H60" s="1069"/>
      <c r="I60" s="1069"/>
      <c r="J60" s="1069"/>
      <c r="K60" s="1045"/>
      <c r="L60" s="1069"/>
      <c r="M60" s="1069"/>
      <c r="N60" s="1069"/>
      <c r="O60" s="1069"/>
      <c r="P60" s="1069"/>
      <c r="Q60" s="1069"/>
      <c r="R60" s="1069"/>
      <c r="S60" s="1069"/>
      <c r="T60" s="1069"/>
      <c r="U60" s="1069"/>
      <c r="V60" s="1069"/>
      <c r="W60" s="1069"/>
      <c r="X60" s="1069"/>
      <c r="Y60" s="1069"/>
      <c r="Z60" s="138"/>
      <c r="AA60" s="1045"/>
      <c r="AB60" s="1045"/>
      <c r="AC60" s="1045"/>
      <c r="AD60" s="1045"/>
      <c r="AE60" s="1045"/>
      <c r="AF60" s="1045"/>
      <c r="AG60" s="1045"/>
      <c r="AH60" s="1045"/>
      <c r="AI60" s="1045"/>
      <c r="AJ60" s="1045"/>
      <c r="AK60" s="1045"/>
      <c r="AL60" s="1045"/>
      <c r="AM60" s="1045"/>
      <c r="AN60" s="1045"/>
      <c r="AO60" s="1045"/>
      <c r="AP60" s="1045"/>
      <c r="AQ60" s="1045"/>
      <c r="AR60" s="1045"/>
      <c r="AS60" s="1045"/>
      <c r="AT60" s="1045"/>
      <c r="AU60" s="1045"/>
      <c r="AV60" s="1045"/>
      <c r="AW60" s="1045"/>
      <c r="AX60" s="1045"/>
      <c r="AY60" s="1045"/>
      <c r="AZ60" s="1045"/>
      <c r="BA60" s="1045"/>
      <c r="BB60" s="1045"/>
      <c r="BC60" s="1045"/>
      <c r="BD60" s="1045"/>
      <c r="BE60" s="1045"/>
      <c r="BF60" s="1045"/>
      <c r="BG60" s="1045"/>
      <c r="BH60" s="1045"/>
      <c r="BI60" s="1045"/>
      <c r="BJ60" s="1045"/>
      <c r="BK60" s="1045"/>
      <c r="BL60" s="1045"/>
      <c r="BM60" s="1045"/>
      <c r="BN60" s="1045"/>
      <c r="BO60" s="1045"/>
      <c r="BP60" s="1045"/>
      <c r="BQ60" s="1045"/>
      <c r="BR60" s="1045"/>
      <c r="BS60" s="1045"/>
      <c r="BT60" s="1045"/>
      <c r="BU60" s="1045"/>
      <c r="BV60" s="1045"/>
      <c r="BW60" s="1045"/>
      <c r="BX60" s="1045"/>
      <c r="BY60" s="138"/>
      <c r="BZ60" s="147"/>
      <c r="CA60" s="1045">
        <f t="shared" ref="CA60:DV60" si="390">CA59/BZ59-1</f>
        <v>0.25</v>
      </c>
      <c r="CB60" s="1045">
        <f t="shared" si="390"/>
        <v>0.60000000000000009</v>
      </c>
      <c r="CC60" s="101">
        <f t="shared" si="390"/>
        <v>0.79166666666666674</v>
      </c>
      <c r="CD60" s="147">
        <f t="shared" si="390"/>
        <v>0.13953488372093026</v>
      </c>
      <c r="CE60" s="1045">
        <f t="shared" si="390"/>
        <v>0.18367346938775508</v>
      </c>
      <c r="CF60" s="1045">
        <f t="shared" si="390"/>
        <v>0.18965517241379315</v>
      </c>
      <c r="CG60" s="1045">
        <f t="shared" si="390"/>
        <v>0.17391304347826098</v>
      </c>
      <c r="CH60" s="147">
        <f t="shared" si="390"/>
        <v>-3.0864197530864224E-2</v>
      </c>
      <c r="CI60" s="1045">
        <f t="shared" si="390"/>
        <v>0.12738853503184711</v>
      </c>
      <c r="CJ60" s="1045">
        <f t="shared" si="390"/>
        <v>0.19209039548022599</v>
      </c>
      <c r="CK60" s="1045">
        <f t="shared" si="390"/>
        <v>8.5308056872037907E-2</v>
      </c>
      <c r="CL60" s="147">
        <f t="shared" si="390"/>
        <v>4.366812227074246E-2</v>
      </c>
      <c r="CM60" s="1279">
        <f t="shared" si="390"/>
        <v>5.3556485355648498E-2</v>
      </c>
      <c r="CN60" s="1045">
        <f t="shared" si="390"/>
        <v>5.2422557585385166E-2</v>
      </c>
      <c r="CO60" s="1045">
        <f t="shared" si="390"/>
        <v>6.7924528301886777E-2</v>
      </c>
      <c r="CP60" s="147">
        <f t="shared" si="390"/>
        <v>1.4134275618374659E-2</v>
      </c>
      <c r="CQ60" s="1045">
        <f t="shared" si="390"/>
        <v>2.0905923344947785E-2</v>
      </c>
      <c r="CR60" s="1045">
        <f t="shared" si="390"/>
        <v>1.7064846416382284E-2</v>
      </c>
      <c r="CS60" s="1045">
        <f t="shared" si="390"/>
        <v>1.3422818791946289E-2</v>
      </c>
      <c r="CT60" s="147">
        <f t="shared" si="390"/>
        <v>1.3245033112582849E-2</v>
      </c>
      <c r="CU60" s="1045">
        <f t="shared" si="390"/>
        <v>1.9607843137254832E-2</v>
      </c>
      <c r="CV60" s="1045">
        <f t="shared" si="390"/>
        <v>1.5256410256410113E-3</v>
      </c>
      <c r="CW60" s="1045">
        <f t="shared" si="390"/>
        <v>2.4078649240261818E-2</v>
      </c>
      <c r="CX60" s="147">
        <f t="shared" si="390"/>
        <v>6.2500000000000888E-3</v>
      </c>
      <c r="CY60" s="1045">
        <f t="shared" si="390"/>
        <v>2.4844720496894457E-2</v>
      </c>
      <c r="CZ60" s="1045">
        <f t="shared" si="390"/>
        <v>2.4242424242424176E-2</v>
      </c>
      <c r="DA60" s="1045">
        <f t="shared" si="390"/>
        <v>1.1834319526627279E-2</v>
      </c>
      <c r="DB60" s="147">
        <f t="shared" si="390"/>
        <v>8.7719298245614308E-3</v>
      </c>
      <c r="DC60" s="1045">
        <f t="shared" si="390"/>
        <v>5.739130434782691E-3</v>
      </c>
      <c r="DD60" s="1045">
        <f t="shared" si="390"/>
        <v>2.5995734624474132E-2</v>
      </c>
      <c r="DE60" s="1045">
        <f t="shared" si="390"/>
        <v>1.6853932584269593E-2</v>
      </c>
      <c r="DF60" s="147">
        <f t="shared" si="390"/>
        <v>1.6574585635359185E-2</v>
      </c>
      <c r="DG60" s="1045">
        <f t="shared" si="390"/>
        <v>2.1739130434782705E-2</v>
      </c>
      <c r="DH60" s="1045">
        <f t="shared" si="390"/>
        <v>2.1276595744680771E-2</v>
      </c>
      <c r="DI60" s="101">
        <f t="shared" si="390"/>
        <v>5.2083333333332593E-3</v>
      </c>
      <c r="DJ60" s="147">
        <f t="shared" si="390"/>
        <v>2.4352331606216637E-3</v>
      </c>
      <c r="DK60" s="1045">
        <f t="shared" si="390"/>
        <v>2.6360676073808875E-3</v>
      </c>
      <c r="DL60" s="1045">
        <f t="shared" si="390"/>
        <v>2.5775853180740604E-3</v>
      </c>
      <c r="DM60" s="101">
        <f t="shared" si="390"/>
        <v>2.8383381324557755E-2</v>
      </c>
      <c r="DN60" s="1045">
        <f t="shared" si="390"/>
        <v>8.7500000000000355E-3</v>
      </c>
      <c r="DO60" s="1045">
        <f t="shared" si="390"/>
        <v>-0.21278810408921933</v>
      </c>
      <c r="DP60" s="1045">
        <f t="shared" si="390"/>
        <v>1.303362296939925E-2</v>
      </c>
      <c r="DQ60" s="101">
        <f t="shared" si="390"/>
        <v>1.9329977002921161E-2</v>
      </c>
      <c r="DR60" s="1045">
        <f t="shared" si="390"/>
        <v>7.8963414634145579E-3</v>
      </c>
      <c r="DS60" s="1045">
        <f t="shared" si="390"/>
        <v>7.8344777518981612E-3</v>
      </c>
      <c r="DT60" s="1045">
        <f t="shared" si="390"/>
        <v>7.7735758448886916E-3</v>
      </c>
      <c r="DU60" s="101">
        <f t="shared" si="390"/>
        <v>7.7136134854216554E-3</v>
      </c>
      <c r="DV60" s="1045">
        <f t="shared" si="390"/>
        <v>7.6545690980021064E-3</v>
      </c>
      <c r="DW60" s="1045">
        <f t="shared" ref="DW60" si="391">DW59/DV59-1</f>
        <v>7.5964217627217945E-3</v>
      </c>
      <c r="DX60" s="1045">
        <f t="shared" ref="DX60" si="392">DX59/DW59-1</f>
        <v>7.539151190545601E-3</v>
      </c>
      <c r="DY60" s="101">
        <f t="shared" ref="DY60" si="393">DY59/DX59-1</f>
        <v>7.4827376997081974E-3</v>
      </c>
    </row>
    <row r="61" spans="1:129">
      <c r="A61" s="176" t="s">
        <v>320</v>
      </c>
      <c r="B61" s="1045"/>
      <c r="C61" s="1045"/>
      <c r="D61" s="1045"/>
      <c r="E61" s="1045"/>
      <c r="F61" s="1045"/>
      <c r="G61" s="1045">
        <f t="shared" ref="G61:T61" si="394">+G59/F59-1</f>
        <v>0.88372093023255816</v>
      </c>
      <c r="H61" s="1069">
        <f t="shared" si="394"/>
        <v>0.41358024691358031</v>
      </c>
      <c r="I61" s="1069">
        <f t="shared" si="394"/>
        <v>0.23580786026200884</v>
      </c>
      <c r="J61" s="1069">
        <f t="shared" si="394"/>
        <v>6.7137809187279185E-2</v>
      </c>
      <c r="K61" s="1045">
        <f t="shared" si="394"/>
        <v>5.9602649006622599E-2</v>
      </c>
      <c r="L61" s="1069">
        <f t="shared" si="394"/>
        <v>6.8750000000000089E-2</v>
      </c>
      <c r="M61" s="1069">
        <f t="shared" si="394"/>
        <v>5.8479532163742798E-2</v>
      </c>
      <c r="N61" s="1069">
        <f t="shared" si="394"/>
        <v>6.6298342541436517E-2</v>
      </c>
      <c r="O61" s="1069">
        <f>+O59/N59-1</f>
        <v>3.6269430051813378E-2</v>
      </c>
      <c r="P61" s="1069">
        <f>+P59/O59-1</f>
        <v>-0.18000000000000005</v>
      </c>
      <c r="Q61" s="1069">
        <f>+Q59/P59-1</f>
        <v>3.1585365853658454E-2</v>
      </c>
      <c r="R61" s="1069">
        <f>+R59/Q59-1</f>
        <v>3.0618276392008426E-2</v>
      </c>
      <c r="S61" s="1069">
        <f t="shared" si="394"/>
        <v>1.4854324386327056E-2</v>
      </c>
      <c r="T61" s="1069">
        <f t="shared" si="394"/>
        <v>7.3184515399831174E-3</v>
      </c>
      <c r="U61" s="1069">
        <f t="shared" ref="U61" si="395">+U59/T59-1</f>
        <v>3.6326404667732515E-3</v>
      </c>
      <c r="V61" s="1069">
        <f t="shared" ref="V61" si="396">+V59/U59-1</f>
        <v>1.8097460765542639E-3</v>
      </c>
      <c r="W61" s="1069">
        <f t="shared" ref="W61" si="397">+W59/V59-1</f>
        <v>9.0323840611561401E-4</v>
      </c>
      <c r="X61" s="1069">
        <f t="shared" ref="X61" si="398">+X59/W59-1</f>
        <v>4.5121165136485786E-4</v>
      </c>
      <c r="Y61" s="1069">
        <f t="shared" ref="Y61" si="399">+Y59/X59-1</f>
        <v>2.2550407561605645E-4</v>
      </c>
      <c r="Z61" s="138"/>
      <c r="AA61" s="1045"/>
      <c r="AB61" s="1045"/>
      <c r="AC61" s="1045"/>
      <c r="AD61" s="1045"/>
      <c r="AE61" s="1045"/>
      <c r="AF61" s="1045"/>
      <c r="AG61" s="1045"/>
      <c r="AH61" s="1045"/>
      <c r="AI61" s="1045"/>
      <c r="AJ61" s="1045"/>
      <c r="AK61" s="1045"/>
      <c r="AL61" s="1045"/>
      <c r="AM61" s="1045"/>
      <c r="AN61" s="1045"/>
      <c r="AO61" s="1045"/>
      <c r="AP61" s="1045"/>
      <c r="AQ61" s="1045"/>
      <c r="AR61" s="1045"/>
      <c r="AS61" s="1045"/>
      <c r="AT61" s="1045"/>
      <c r="AU61" s="1045"/>
      <c r="AV61" s="1045"/>
      <c r="AW61" s="1045"/>
      <c r="AX61" s="1045"/>
      <c r="AY61" s="1045"/>
      <c r="AZ61" s="1045"/>
      <c r="BA61" s="1045"/>
      <c r="BB61" s="1045"/>
      <c r="BC61" s="1045"/>
      <c r="BD61" s="1045"/>
      <c r="BE61" s="1045"/>
      <c r="BF61" s="1045"/>
      <c r="BG61" s="1045"/>
      <c r="BH61" s="1045"/>
      <c r="BI61" s="1045"/>
      <c r="BJ61" s="1045"/>
      <c r="BK61" s="1045"/>
      <c r="BL61" s="1045"/>
      <c r="BM61" s="1045"/>
      <c r="BN61" s="1045"/>
      <c r="BO61" s="1045"/>
      <c r="BP61" s="1045"/>
      <c r="BQ61" s="1045"/>
      <c r="BR61" s="1045"/>
      <c r="BS61" s="1045"/>
      <c r="BT61" s="1045"/>
      <c r="BU61" s="1045"/>
      <c r="BV61" s="1045"/>
      <c r="BW61" s="1045"/>
      <c r="BX61" s="1045"/>
      <c r="BY61" s="138"/>
      <c r="BZ61" s="147"/>
      <c r="CA61" s="1045"/>
      <c r="CB61" s="1045"/>
      <c r="CC61" s="101"/>
      <c r="CD61" s="147">
        <f t="shared" ref="CD61:DV61" si="400">CD59/BZ59-1</f>
        <v>3.083333333333333</v>
      </c>
      <c r="CE61" s="1045">
        <f t="shared" si="400"/>
        <v>2.8666666666666667</v>
      </c>
      <c r="CF61" s="1045">
        <f t="shared" si="400"/>
        <v>1.875</v>
      </c>
      <c r="CG61" s="1045">
        <f t="shared" si="400"/>
        <v>0.88372093023255816</v>
      </c>
      <c r="CH61" s="147">
        <f t="shared" si="400"/>
        <v>0.6020408163265305</v>
      </c>
      <c r="CI61" s="1045">
        <f t="shared" si="400"/>
        <v>0.52586206896551735</v>
      </c>
      <c r="CJ61" s="1045">
        <f t="shared" si="400"/>
        <v>0.52898550724637672</v>
      </c>
      <c r="CK61" s="1045">
        <f t="shared" si="400"/>
        <v>0.41358024691358031</v>
      </c>
      <c r="CL61" s="147">
        <f t="shared" si="400"/>
        <v>0.52229299363057335</v>
      </c>
      <c r="CM61" s="1279">
        <f t="shared" si="400"/>
        <v>0.4225988700564971</v>
      </c>
      <c r="CN61" s="1045">
        <f t="shared" si="400"/>
        <v>0.25592417061611372</v>
      </c>
      <c r="CO61" s="1045">
        <f t="shared" si="400"/>
        <v>0.23580786026200884</v>
      </c>
      <c r="CP61" s="147">
        <f t="shared" si="400"/>
        <v>0.20083682008368209</v>
      </c>
      <c r="CQ61" s="1045">
        <f t="shared" si="400"/>
        <v>0.16362192216044469</v>
      </c>
      <c r="CR61" s="1045">
        <f t="shared" si="400"/>
        <v>0.12452830188679243</v>
      </c>
      <c r="CS61" s="1045">
        <f t="shared" si="400"/>
        <v>6.7137809187279185E-2</v>
      </c>
      <c r="CT61" s="147">
        <f t="shared" si="400"/>
        <v>6.6202090592334395E-2</v>
      </c>
      <c r="CU61" s="1045">
        <f t="shared" si="400"/>
        <v>6.4846416382252636E-2</v>
      </c>
      <c r="CV61" s="1045">
        <f t="shared" si="400"/>
        <v>4.8577181208053544E-2</v>
      </c>
      <c r="CW61" s="1045">
        <f t="shared" si="400"/>
        <v>5.9602649006622599E-2</v>
      </c>
      <c r="CX61" s="147">
        <f t="shared" si="400"/>
        <v>5.2287581699346442E-2</v>
      </c>
      <c r="CY61" s="1045">
        <f t="shared" si="400"/>
        <v>5.7692307692307709E-2</v>
      </c>
      <c r="CZ61" s="1045">
        <f t="shared" si="400"/>
        <v>8.168307326002644E-2</v>
      </c>
      <c r="DA61" s="1045">
        <f t="shared" si="400"/>
        <v>6.8750000000000089E-2</v>
      </c>
      <c r="DB61" s="147">
        <f t="shared" si="400"/>
        <v>7.1428571428571397E-2</v>
      </c>
      <c r="DC61" s="1045">
        <f t="shared" si="400"/>
        <v>5.145454545454542E-2</v>
      </c>
      <c r="DD61" s="1045">
        <f t="shared" si="400"/>
        <v>5.3254437869822535E-2</v>
      </c>
      <c r="DE61" s="1045">
        <f t="shared" si="400"/>
        <v>5.8479532163742798E-2</v>
      </c>
      <c r="DF61" s="147">
        <f t="shared" si="400"/>
        <v>6.6666666666666652E-2</v>
      </c>
      <c r="DG61" s="1045">
        <f t="shared" si="400"/>
        <v>8.3635944434837795E-2</v>
      </c>
      <c r="DH61" s="1045">
        <f t="shared" si="400"/>
        <v>7.8651685393258397E-2</v>
      </c>
      <c r="DI61" s="101">
        <f t="shared" si="400"/>
        <v>6.6298342541436517E-2</v>
      </c>
      <c r="DJ61" s="147">
        <f t="shared" si="400"/>
        <v>5.1467391304347743E-2</v>
      </c>
      <c r="DK61" s="1045">
        <f t="shared" si="400"/>
        <v>3.1808510638297927E-2</v>
      </c>
      <c r="DL61" s="1045">
        <f t="shared" si="400"/>
        <v>1.2916666666666687E-2</v>
      </c>
      <c r="DM61" s="101">
        <f t="shared" si="400"/>
        <v>3.6269430051813378E-2</v>
      </c>
      <c r="DN61" s="1045">
        <f t="shared" si="400"/>
        <v>4.2797332919832565E-2</v>
      </c>
      <c r="DO61" s="1045">
        <f t="shared" si="400"/>
        <v>-0.18125579956696569</v>
      </c>
      <c r="DP61" s="1045">
        <f t="shared" si="400"/>
        <v>-0.17271698889345943</v>
      </c>
      <c r="DQ61" s="101">
        <f t="shared" si="400"/>
        <v>-0.18000000000000005</v>
      </c>
      <c r="DR61" s="1045">
        <f t="shared" si="400"/>
        <v>-0.18069392812887242</v>
      </c>
      <c r="DS61" s="1045">
        <f t="shared" si="400"/>
        <v>4.8923309406875726E-2</v>
      </c>
      <c r="DT61" s="1045">
        <f t="shared" si="400"/>
        <v>4.3476909689850185E-2</v>
      </c>
      <c r="DU61" s="101">
        <f t="shared" si="400"/>
        <v>3.1585365853658454E-2</v>
      </c>
      <c r="DV61" s="1045">
        <f t="shared" si="400"/>
        <v>3.1337911007592423E-2</v>
      </c>
      <c r="DW61" s="1045">
        <f t="shared" ref="DW61" si="401">DW59/DS59-1</f>
        <v>3.1094303379554544E-2</v>
      </c>
      <c r="DX61" s="1045">
        <f t="shared" ref="DX61" si="402">DX59/DT59-1</f>
        <v>3.0854453941686177E-2</v>
      </c>
      <c r="DY61" s="101">
        <f t="shared" ref="DY61" si="403">DY59/DU59-1</f>
        <v>3.0618276392008426E-2</v>
      </c>
    </row>
    <row r="62" spans="1:129">
      <c r="A62" s="1290" t="s">
        <v>382</v>
      </c>
      <c r="B62" s="212"/>
      <c r="C62" s="212"/>
      <c r="D62" s="212"/>
      <c r="E62" s="212"/>
      <c r="F62" s="212"/>
      <c r="G62" s="212">
        <f t="shared" ref="G62:N62" si="404">+G59-F59</f>
        <v>3800000</v>
      </c>
      <c r="H62" s="675">
        <f t="shared" si="404"/>
        <v>3350000</v>
      </c>
      <c r="I62" s="675">
        <f t="shared" si="404"/>
        <v>2700000</v>
      </c>
      <c r="J62" s="675">
        <f t="shared" si="404"/>
        <v>950000</v>
      </c>
      <c r="K62" s="212">
        <f t="shared" si="404"/>
        <v>900000</v>
      </c>
      <c r="L62" s="675">
        <f t="shared" si="404"/>
        <v>1100000</v>
      </c>
      <c r="M62" s="675">
        <f t="shared" si="404"/>
        <v>1000000</v>
      </c>
      <c r="N62" s="675">
        <f t="shared" si="404"/>
        <v>1200000</v>
      </c>
      <c r="O62" s="675">
        <f>+O59-N59</f>
        <v>700000</v>
      </c>
      <c r="P62" s="675">
        <f>+P59-O59</f>
        <v>-3600000</v>
      </c>
      <c r="Q62" s="675">
        <f>+Q59-P59</f>
        <v>518000</v>
      </c>
      <c r="R62" s="675">
        <f>+R59-Q59</f>
        <v>518000</v>
      </c>
      <c r="S62" s="682">
        <f t="shared" ref="S62:Y62" si="405">+S12</f>
        <v>259000</v>
      </c>
      <c r="T62" s="682">
        <f t="shared" si="405"/>
        <v>129500</v>
      </c>
      <c r="U62" s="682">
        <f t="shared" si="405"/>
        <v>64750</v>
      </c>
      <c r="V62" s="682">
        <f t="shared" si="405"/>
        <v>32375</v>
      </c>
      <c r="W62" s="682">
        <f t="shared" si="405"/>
        <v>16187.5</v>
      </c>
      <c r="X62" s="682">
        <f t="shared" si="405"/>
        <v>8093.75</v>
      </c>
      <c r="Y62" s="682">
        <f t="shared" si="405"/>
        <v>4046.875</v>
      </c>
      <c r="Z62" s="536"/>
      <c r="AA62" s="1044"/>
      <c r="AB62" s="1044"/>
      <c r="AC62" s="1044"/>
      <c r="AD62" s="1044"/>
      <c r="AE62" s="1044"/>
      <c r="AF62" s="1044"/>
      <c r="AG62" s="1044"/>
      <c r="AH62" s="1044"/>
      <c r="AI62" s="1044"/>
      <c r="AJ62" s="1044"/>
      <c r="AK62" s="1044"/>
      <c r="AL62" s="1044"/>
      <c r="AM62" s="1044"/>
      <c r="AN62" s="1044"/>
      <c r="AO62" s="1044"/>
      <c r="AP62" s="1044"/>
      <c r="AQ62" s="1044"/>
      <c r="AR62" s="1044"/>
      <c r="AS62" s="1044"/>
      <c r="AT62" s="1044"/>
      <c r="AU62" s="1044"/>
      <c r="AV62" s="1044"/>
      <c r="AW62" s="1044"/>
      <c r="AX62" s="1044"/>
      <c r="AY62" s="1044"/>
      <c r="AZ62" s="1044"/>
      <c r="BA62" s="1044"/>
      <c r="BB62" s="1044"/>
      <c r="BC62" s="1044"/>
      <c r="BD62" s="1044"/>
      <c r="BE62" s="1044"/>
      <c r="BF62" s="1044"/>
      <c r="BG62" s="1044"/>
      <c r="BH62" s="1044"/>
      <c r="BI62" s="1044"/>
      <c r="BJ62" s="1044"/>
      <c r="BK62" s="1044"/>
      <c r="BL62" s="1044"/>
      <c r="BM62" s="1044"/>
      <c r="BN62" s="1044"/>
      <c r="BO62" s="1044"/>
      <c r="BP62" s="1044"/>
      <c r="BQ62" s="1044"/>
      <c r="BR62" s="1044"/>
      <c r="BS62" s="1044"/>
      <c r="BT62" s="1044"/>
      <c r="BU62" s="1044"/>
      <c r="BV62" s="1044"/>
      <c r="BW62" s="1044"/>
      <c r="BX62" s="1044"/>
      <c r="BY62" s="676"/>
      <c r="BZ62" s="211"/>
      <c r="CA62" s="212">
        <f t="shared" ref="CA62:CG62" si="406">CA59-BZ59</f>
        <v>300000</v>
      </c>
      <c r="CB62" s="212">
        <f t="shared" si="406"/>
        <v>900000</v>
      </c>
      <c r="CC62" s="213">
        <f t="shared" si="406"/>
        <v>1900000</v>
      </c>
      <c r="CD62" s="211">
        <f t="shared" si="406"/>
        <v>600000</v>
      </c>
      <c r="CE62" s="212">
        <f t="shared" si="406"/>
        <v>900000</v>
      </c>
      <c r="CF62" s="212">
        <f t="shared" si="406"/>
        <v>1100000</v>
      </c>
      <c r="CG62" s="212">
        <f t="shared" si="406"/>
        <v>1200000</v>
      </c>
      <c r="CH62" s="1289">
        <f>CH59-CG59+750000</f>
        <v>500000</v>
      </c>
      <c r="CI62" s="212">
        <f>CI59-CH59</f>
        <v>1000000</v>
      </c>
      <c r="CJ62" s="212">
        <f>CJ59-CI59</f>
        <v>1700000</v>
      </c>
      <c r="CK62" s="212">
        <f>CK59-CJ59</f>
        <v>900000</v>
      </c>
      <c r="CL62" s="211">
        <f>CL59-CK59</f>
        <v>500000</v>
      </c>
      <c r="CM62" s="212">
        <f t="shared" ref="CM62:DR62" si="407">+CM12</f>
        <v>640000</v>
      </c>
      <c r="CN62" s="212">
        <f t="shared" si="407"/>
        <v>660000</v>
      </c>
      <c r="CO62" s="212">
        <f t="shared" si="407"/>
        <v>900000</v>
      </c>
      <c r="CP62" s="211">
        <f t="shared" si="407"/>
        <v>200000</v>
      </c>
      <c r="CQ62" s="212">
        <f t="shared" si="407"/>
        <v>300000</v>
      </c>
      <c r="CR62" s="212">
        <f t="shared" si="407"/>
        <v>250000</v>
      </c>
      <c r="CS62" s="212">
        <f t="shared" si="407"/>
        <v>200000</v>
      </c>
      <c r="CT62" s="211">
        <f t="shared" si="407"/>
        <v>200000</v>
      </c>
      <c r="CU62" s="212">
        <f t="shared" si="407"/>
        <v>300000</v>
      </c>
      <c r="CV62" s="212">
        <f t="shared" si="407"/>
        <v>23799.999999998137</v>
      </c>
      <c r="CW62" s="212">
        <f t="shared" si="407"/>
        <v>376200.00000000186</v>
      </c>
      <c r="CX62" s="211">
        <f t="shared" si="407"/>
        <v>100000</v>
      </c>
      <c r="CY62" s="212">
        <f t="shared" si="407"/>
        <v>400000</v>
      </c>
      <c r="CZ62" s="212">
        <f t="shared" si="407"/>
        <v>400000</v>
      </c>
      <c r="DA62" s="212">
        <f t="shared" si="407"/>
        <v>200000</v>
      </c>
      <c r="DB62" s="211">
        <f t="shared" si="407"/>
        <v>150000</v>
      </c>
      <c r="DC62" s="212">
        <f t="shared" si="407"/>
        <v>99000</v>
      </c>
      <c r="DD62" s="212">
        <f t="shared" si="407"/>
        <v>451000</v>
      </c>
      <c r="DE62" s="212">
        <f t="shared" si="407"/>
        <v>300000</v>
      </c>
      <c r="DF62" s="211">
        <f t="shared" si="407"/>
        <v>300000</v>
      </c>
      <c r="DG62" s="212">
        <f t="shared" si="407"/>
        <v>400000</v>
      </c>
      <c r="DH62" s="212">
        <f t="shared" si="407"/>
        <v>400000</v>
      </c>
      <c r="DI62" s="213">
        <f t="shared" si="407"/>
        <v>100000</v>
      </c>
      <c r="DJ62" s="211">
        <f t="shared" si="407"/>
        <v>47000</v>
      </c>
      <c r="DK62" s="212">
        <f t="shared" si="407"/>
        <v>51000</v>
      </c>
      <c r="DL62" s="212">
        <f t="shared" si="407"/>
        <v>50000</v>
      </c>
      <c r="DM62" s="213">
        <f t="shared" si="407"/>
        <v>552000</v>
      </c>
      <c r="DN62" s="212">
        <f t="shared" si="407"/>
        <v>175000</v>
      </c>
      <c r="DO62" s="212">
        <f>+DO12</f>
        <v>-4293000</v>
      </c>
      <c r="DP62" s="212">
        <f t="shared" si="407"/>
        <v>207000</v>
      </c>
      <c r="DQ62" s="213">
        <f t="shared" si="407"/>
        <v>311000</v>
      </c>
      <c r="DR62" s="212">
        <f t="shared" si="407"/>
        <v>129500</v>
      </c>
      <c r="DS62" s="212">
        <f t="shared" ref="DS62:DT62" si="408">+DS12</f>
        <v>129500</v>
      </c>
      <c r="DT62" s="212">
        <f t="shared" si="408"/>
        <v>129500</v>
      </c>
      <c r="DU62" s="213">
        <f t="shared" ref="DU62:DV62" si="409">+DU12</f>
        <v>129500</v>
      </c>
      <c r="DV62" s="212">
        <f t="shared" si="409"/>
        <v>129500</v>
      </c>
      <c r="DW62" s="212">
        <f t="shared" ref="DW62:DY62" si="410">+DW12</f>
        <v>129500</v>
      </c>
      <c r="DX62" s="212">
        <f t="shared" si="410"/>
        <v>129500</v>
      </c>
      <c r="DY62" s="213">
        <f t="shared" si="410"/>
        <v>129500</v>
      </c>
    </row>
    <row r="63" spans="1:129">
      <c r="A63" s="652" t="s">
        <v>342</v>
      </c>
      <c r="B63" s="1051"/>
      <c r="C63" s="1051"/>
      <c r="D63" s="1051"/>
      <c r="E63" s="1275">
        <v>20000</v>
      </c>
      <c r="F63" s="1275">
        <v>207000</v>
      </c>
      <c r="G63" s="1051">
        <f>CG63</f>
        <v>917000</v>
      </c>
      <c r="H63" s="1093">
        <f>CK63</f>
        <v>1849000</v>
      </c>
      <c r="I63" s="1093">
        <f>CO63</f>
        <v>2750000</v>
      </c>
      <c r="J63" s="1093">
        <f>CS63</f>
        <v>3472000</v>
      </c>
      <c r="K63" s="1051">
        <f>CW63</f>
        <v>4173000</v>
      </c>
      <c r="L63" s="1093">
        <f>DA63</f>
        <v>4726000</v>
      </c>
      <c r="M63" s="1093">
        <f>DE63</f>
        <v>5262000</v>
      </c>
      <c r="N63" s="1093">
        <f>DI63</f>
        <v>5649000</v>
      </c>
      <c r="O63" s="1093">
        <f>DM63</f>
        <v>5827000</v>
      </c>
      <c r="P63" s="1093">
        <f>DQ63</f>
        <v>4694000</v>
      </c>
      <c r="Q63" s="1093">
        <f>DU63</f>
        <v>4619000</v>
      </c>
      <c r="R63" s="1093">
        <f>DY63</f>
        <v>4512500</v>
      </c>
      <c r="S63" s="1093">
        <f>+R63+S66</f>
        <v>4467375</v>
      </c>
      <c r="T63" s="1093">
        <f>+S63+T66</f>
        <v>4422701.25</v>
      </c>
      <c r="U63" s="1093">
        <f t="shared" ref="U63:Y63" si="411">+T63+U66</f>
        <v>4378474.2374999998</v>
      </c>
      <c r="V63" s="1093">
        <f t="shared" si="411"/>
        <v>4334689.4951249994</v>
      </c>
      <c r="W63" s="1093">
        <f t="shared" si="411"/>
        <v>4291342.600173749</v>
      </c>
      <c r="X63" s="1093">
        <f t="shared" si="411"/>
        <v>4248429.1741720112</v>
      </c>
      <c r="Y63" s="1093">
        <f t="shared" si="411"/>
        <v>4205944.8824302908</v>
      </c>
      <c r="Z63" s="536"/>
      <c r="AA63" s="1044"/>
      <c r="AB63" s="1044"/>
      <c r="AC63" s="1044"/>
      <c r="AD63" s="1044"/>
      <c r="AE63" s="1044"/>
      <c r="AF63" s="1044"/>
      <c r="AG63" s="1044"/>
      <c r="AH63" s="1044"/>
      <c r="AI63" s="1044"/>
      <c r="AJ63" s="1044"/>
      <c r="AK63" s="1044"/>
      <c r="AL63" s="1044"/>
      <c r="AM63" s="1044"/>
      <c r="AN63" s="1044"/>
      <c r="AO63" s="1044"/>
      <c r="AP63" s="1044"/>
      <c r="AQ63" s="1044"/>
      <c r="AR63" s="1044"/>
      <c r="AS63" s="1044"/>
      <c r="AT63" s="1044"/>
      <c r="AU63" s="1044"/>
      <c r="AV63" s="1044"/>
      <c r="AW63" s="1044"/>
      <c r="AX63" s="1044"/>
      <c r="AY63" s="1044"/>
      <c r="AZ63" s="1044"/>
      <c r="BA63" s="1044"/>
      <c r="BB63" s="1044"/>
      <c r="BC63" s="1044"/>
      <c r="BD63" s="1044"/>
      <c r="BE63" s="1044"/>
      <c r="BF63" s="1044"/>
      <c r="BG63" s="1044"/>
      <c r="BH63" s="1044"/>
      <c r="BI63" s="1044"/>
      <c r="BJ63" s="1044"/>
      <c r="BK63" s="1044"/>
      <c r="BL63" s="1044"/>
      <c r="BM63" s="1044"/>
      <c r="BN63" s="1044"/>
      <c r="BO63" s="1044"/>
      <c r="BP63" s="1044"/>
      <c r="BQ63" s="1044"/>
      <c r="BR63" s="1044"/>
      <c r="BS63" s="1044"/>
      <c r="BT63" s="1044"/>
      <c r="BU63" s="1044"/>
      <c r="BV63" s="1044"/>
      <c r="BW63" s="1044"/>
      <c r="BX63" s="1044"/>
      <c r="BY63" s="532">
        <v>0</v>
      </c>
      <c r="BZ63" s="651">
        <v>20000</v>
      </c>
      <c r="CA63" s="1135">
        <v>55000</v>
      </c>
      <c r="CB63" s="1135">
        <v>118000</v>
      </c>
      <c r="CC63" s="683">
        <v>207000</v>
      </c>
      <c r="CD63" s="651">
        <v>348000</v>
      </c>
      <c r="CE63" s="1135">
        <v>515000</v>
      </c>
      <c r="CF63" s="1135">
        <v>717000</v>
      </c>
      <c r="CG63" s="1274">
        <f>943000-Lines!CG140*1000</f>
        <v>917000</v>
      </c>
      <c r="CH63" s="968">
        <f>1206000-Lines!CH140*1000</f>
        <v>1166000</v>
      </c>
      <c r="CI63" s="1274">
        <f>1382000-Lines!CI140*1000</f>
        <v>1335272.7272727273</v>
      </c>
      <c r="CJ63" s="1274">
        <f>1615000-Lines!CJ140*1000</f>
        <v>1555555.5555555555</v>
      </c>
      <c r="CK63" s="1274">
        <f>1918000-Lines!CK140*1000</f>
        <v>1849000</v>
      </c>
      <c r="CL63" s="651">
        <v>2130000</v>
      </c>
      <c r="CM63" s="1135">
        <v>2414200</v>
      </c>
      <c r="CN63" s="1135">
        <v>2601000</v>
      </c>
      <c r="CO63" s="1135">
        <v>2750000</v>
      </c>
      <c r="CP63" s="651">
        <v>2914000</v>
      </c>
      <c r="CQ63" s="1135">
        <v>3086000</v>
      </c>
      <c r="CR63" s="1135">
        <v>3290000</v>
      </c>
      <c r="CS63" s="1135">
        <v>3472000</v>
      </c>
      <c r="CT63" s="651">
        <v>3664000</v>
      </c>
      <c r="CU63" s="1135">
        <v>3848000</v>
      </c>
      <c r="CV63" s="1135">
        <v>3979000</v>
      </c>
      <c r="CW63" s="1135">
        <v>4173000</v>
      </c>
      <c r="CX63" s="651">
        <v>4353000</v>
      </c>
      <c r="CY63" s="1135">
        <v>4473000</v>
      </c>
      <c r="CZ63" s="1135">
        <v>4592000</v>
      </c>
      <c r="DA63" s="1135">
        <v>4726000</v>
      </c>
      <c r="DB63" s="651">
        <v>4895000</v>
      </c>
      <c r="DC63" s="1135">
        <v>5035000</v>
      </c>
      <c r="DD63" s="1135">
        <v>5170000</v>
      </c>
      <c r="DE63" s="1135">
        <v>5262000</v>
      </c>
      <c r="DF63" s="651">
        <v>5319000</v>
      </c>
      <c r="DG63" s="1135">
        <v>5419000</v>
      </c>
      <c r="DH63" s="1135">
        <v>5533000</v>
      </c>
      <c r="DI63" s="551">
        <v>5649000</v>
      </c>
      <c r="DJ63" s="651">
        <v>5739000</v>
      </c>
      <c r="DK63" s="1135">
        <v>5765000</v>
      </c>
      <c r="DL63" s="1135">
        <v>5807000</v>
      </c>
      <c r="DM63" s="551">
        <v>5827000</v>
      </c>
      <c r="DN63" s="1135">
        <v>5863000</v>
      </c>
      <c r="DO63" s="1135">
        <v>4637000</v>
      </c>
      <c r="DP63" s="1135">
        <v>4673000</v>
      </c>
      <c r="DQ63" s="551">
        <v>4694000</v>
      </c>
      <c r="DR63" s="1135">
        <v>4681000</v>
      </c>
      <c r="DS63" s="1135">
        <v>4666000</v>
      </c>
      <c r="DT63" s="1135">
        <v>4648000</v>
      </c>
      <c r="DU63" s="551">
        <v>4619000</v>
      </c>
      <c r="DV63" s="1135">
        <v>4597000</v>
      </c>
      <c r="DW63" s="1051">
        <f t="shared" ref="DW63" si="412">+DV63+DW66</f>
        <v>4574500</v>
      </c>
      <c r="DX63" s="1051">
        <f t="shared" ref="DX63" si="413">+DW63+DX66</f>
        <v>4549000</v>
      </c>
      <c r="DY63" s="179">
        <f t="shared" ref="DY63" si="414">+DX63+DY66</f>
        <v>4512500</v>
      </c>
    </row>
    <row r="64" spans="1:129">
      <c r="A64" s="176" t="s">
        <v>319</v>
      </c>
      <c r="B64" s="1045"/>
      <c r="C64" s="1045"/>
      <c r="D64" s="1045"/>
      <c r="E64" s="1045"/>
      <c r="F64" s="1045"/>
      <c r="G64" s="1045"/>
      <c r="H64" s="1100"/>
      <c r="I64" s="1100"/>
      <c r="J64" s="1100"/>
      <c r="K64" s="1045"/>
      <c r="L64" s="1100"/>
      <c r="M64" s="1100"/>
      <c r="N64" s="1100"/>
      <c r="O64" s="1100"/>
      <c r="P64" s="1100"/>
      <c r="Q64" s="1100"/>
      <c r="R64" s="1100"/>
      <c r="S64" s="1100"/>
      <c r="T64" s="1100"/>
      <c r="U64" s="1100"/>
      <c r="V64" s="1100"/>
      <c r="W64" s="1100"/>
      <c r="X64" s="1100"/>
      <c r="Y64" s="1100"/>
      <c r="Z64" s="138"/>
      <c r="AA64" s="1045"/>
      <c r="AB64" s="1045"/>
      <c r="AC64" s="1045"/>
      <c r="AD64" s="1045"/>
      <c r="AE64" s="1045"/>
      <c r="AF64" s="1045"/>
      <c r="AG64" s="1045"/>
      <c r="AH64" s="1045"/>
      <c r="AI64" s="1045"/>
      <c r="AJ64" s="1045"/>
      <c r="AK64" s="1045"/>
      <c r="AL64" s="1045"/>
      <c r="AM64" s="1045"/>
      <c r="AN64" s="1045"/>
      <c r="AO64" s="1045"/>
      <c r="AP64" s="1045"/>
      <c r="AQ64" s="1045"/>
      <c r="AR64" s="1045"/>
      <c r="AS64" s="1045"/>
      <c r="AT64" s="1045"/>
      <c r="AU64" s="1045"/>
      <c r="AV64" s="1045"/>
      <c r="AW64" s="1045"/>
      <c r="AX64" s="1045"/>
      <c r="AY64" s="1045"/>
      <c r="AZ64" s="1045"/>
      <c r="BA64" s="1045"/>
      <c r="BB64" s="1045"/>
      <c r="BC64" s="1045"/>
      <c r="BD64" s="1045"/>
      <c r="BE64" s="1045"/>
      <c r="BF64" s="1045"/>
      <c r="BG64" s="1045"/>
      <c r="BH64" s="1045"/>
      <c r="BI64" s="1045"/>
      <c r="BJ64" s="1045"/>
      <c r="BK64" s="1045"/>
      <c r="BL64" s="1045"/>
      <c r="BM64" s="1045"/>
      <c r="BN64" s="1045"/>
      <c r="BO64" s="1045"/>
      <c r="BP64" s="1045"/>
      <c r="BQ64" s="1045"/>
      <c r="BR64" s="1045"/>
      <c r="BS64" s="1045"/>
      <c r="BT64" s="1045"/>
      <c r="BU64" s="1045"/>
      <c r="BV64" s="1045"/>
      <c r="BW64" s="1045"/>
      <c r="BX64" s="1045"/>
      <c r="BY64" s="138"/>
      <c r="BZ64" s="147"/>
      <c r="CA64" s="1045">
        <f t="shared" ref="CA64:DV64" si="415">CA63/BZ63-1</f>
        <v>1.75</v>
      </c>
      <c r="CB64" s="1045">
        <f t="shared" si="415"/>
        <v>1.1454545454545455</v>
      </c>
      <c r="CC64" s="101">
        <f t="shared" si="415"/>
        <v>0.75423728813559321</v>
      </c>
      <c r="CD64" s="147">
        <f t="shared" si="415"/>
        <v>0.68115942028985499</v>
      </c>
      <c r="CE64" s="1045">
        <f t="shared" si="415"/>
        <v>0.47988505747126431</v>
      </c>
      <c r="CF64" s="1045">
        <f t="shared" si="415"/>
        <v>0.39223300970873787</v>
      </c>
      <c r="CG64" s="1045">
        <f t="shared" si="415"/>
        <v>0.27894002789400285</v>
      </c>
      <c r="CH64" s="147">
        <f t="shared" si="415"/>
        <v>0.27153762268266091</v>
      </c>
      <c r="CI64" s="1045">
        <f t="shared" si="415"/>
        <v>0.14517386558552947</v>
      </c>
      <c r="CJ64" s="1045">
        <f t="shared" si="415"/>
        <v>0.16497216170418771</v>
      </c>
      <c r="CK64" s="1045">
        <f t="shared" si="415"/>
        <v>0.18864285714285711</v>
      </c>
      <c r="CL64" s="147">
        <f t="shared" si="415"/>
        <v>0.15197404002163339</v>
      </c>
      <c r="CM64" s="1045">
        <f t="shared" si="415"/>
        <v>0.13342723004694834</v>
      </c>
      <c r="CN64" s="1045">
        <f t="shared" si="415"/>
        <v>7.737552812525883E-2</v>
      </c>
      <c r="CO64" s="1045">
        <f t="shared" si="415"/>
        <v>5.7285659361783869E-2</v>
      </c>
      <c r="CP64" s="147">
        <f t="shared" si="415"/>
        <v>5.963636363636371E-2</v>
      </c>
      <c r="CQ64" s="1045">
        <f t="shared" si="415"/>
        <v>5.9025394646534002E-2</v>
      </c>
      <c r="CR64" s="1045">
        <f t="shared" si="415"/>
        <v>6.6104990278677889E-2</v>
      </c>
      <c r="CS64" s="1045">
        <f t="shared" si="415"/>
        <v>5.5319148936170182E-2</v>
      </c>
      <c r="CT64" s="147">
        <f t="shared" si="415"/>
        <v>5.5299539170506895E-2</v>
      </c>
      <c r="CU64" s="1045">
        <f t="shared" si="415"/>
        <v>5.0218340611353662E-2</v>
      </c>
      <c r="CV64" s="1045">
        <f t="shared" si="415"/>
        <v>3.4043659043659025E-2</v>
      </c>
      <c r="CW64" s="1045">
        <f t="shared" si="415"/>
        <v>4.8755968836390995E-2</v>
      </c>
      <c r="CX64" s="147">
        <f t="shared" si="415"/>
        <v>4.3134435657800063E-2</v>
      </c>
      <c r="CY64" s="1045">
        <f t="shared" si="415"/>
        <v>2.7567195037904835E-2</v>
      </c>
      <c r="CZ64" s="1045">
        <f t="shared" si="415"/>
        <v>2.6604068857589924E-2</v>
      </c>
      <c r="DA64" s="1045">
        <f t="shared" si="415"/>
        <v>2.9181184668989557E-2</v>
      </c>
      <c r="DB64" s="147">
        <f t="shared" si="415"/>
        <v>3.5759627592043985E-2</v>
      </c>
      <c r="DC64" s="1045">
        <f t="shared" si="415"/>
        <v>2.8600612870275821E-2</v>
      </c>
      <c r="DD64" s="1045">
        <f t="shared" si="415"/>
        <v>2.6812313803376453E-2</v>
      </c>
      <c r="DE64" s="1045">
        <f t="shared" si="415"/>
        <v>1.7794970986460434E-2</v>
      </c>
      <c r="DF64" s="147">
        <f t="shared" si="415"/>
        <v>1.0832383124287359E-2</v>
      </c>
      <c r="DG64" s="1045">
        <f t="shared" si="415"/>
        <v>1.8800526414739505E-2</v>
      </c>
      <c r="DH64" s="1045">
        <f t="shared" si="415"/>
        <v>2.1037091714338541E-2</v>
      </c>
      <c r="DI64" s="101">
        <f t="shared" si="415"/>
        <v>2.0965118380625425E-2</v>
      </c>
      <c r="DJ64" s="147">
        <f t="shared" si="415"/>
        <v>1.5932023366967529E-2</v>
      </c>
      <c r="DK64" s="1045">
        <f t="shared" si="415"/>
        <v>4.5304059940756147E-3</v>
      </c>
      <c r="DL64" s="1045">
        <f t="shared" si="415"/>
        <v>7.2853425845620379E-3</v>
      </c>
      <c r="DM64" s="101">
        <f t="shared" si="415"/>
        <v>3.4441191665230964E-3</v>
      </c>
      <c r="DN64" s="1045">
        <f t="shared" si="415"/>
        <v>6.1781362622275182E-3</v>
      </c>
      <c r="DO64" s="1045">
        <f t="shared" si="415"/>
        <v>-0.20910796520552621</v>
      </c>
      <c r="DP64" s="1045">
        <f t="shared" si="415"/>
        <v>7.7636402846668062E-3</v>
      </c>
      <c r="DQ64" s="101">
        <f t="shared" si="415"/>
        <v>4.4939011341751378E-3</v>
      </c>
      <c r="DR64" s="1045">
        <f t="shared" si="415"/>
        <v>-2.7694929697485993E-3</v>
      </c>
      <c r="DS64" s="1045">
        <f t="shared" si="415"/>
        <v>-3.2044434949797251E-3</v>
      </c>
      <c r="DT64" s="1045">
        <f t="shared" si="415"/>
        <v>-3.8576939562794399E-3</v>
      </c>
      <c r="DU64" s="101">
        <f t="shared" si="415"/>
        <v>-6.2392426850258476E-3</v>
      </c>
      <c r="DV64" s="1045">
        <f t="shared" si="415"/>
        <v>-4.7629357003680095E-3</v>
      </c>
      <c r="DW64" s="1045">
        <f t="shared" ref="DW64" si="416">DW63/DV63-1</f>
        <v>-4.894496410702609E-3</v>
      </c>
      <c r="DX64" s="1045">
        <f t="shared" ref="DX64" si="417">DX63/DW63-1</f>
        <v>-5.5743797136299511E-3</v>
      </c>
      <c r="DY64" s="101">
        <f t="shared" ref="DY64" si="418">DY63/DX63-1</f>
        <v>-8.0237414816443087E-3</v>
      </c>
    </row>
    <row r="65" spans="1:129">
      <c r="A65" s="653" t="s">
        <v>320</v>
      </c>
      <c r="B65" s="243"/>
      <c r="C65" s="243"/>
      <c r="D65" s="243"/>
      <c r="E65" s="243"/>
      <c r="F65" s="243"/>
      <c r="G65" s="487">
        <f t="shared" ref="G65:R65" si="419">IF(ISERROR(G63/F63-1),"NA",(G63/F63-1))</f>
        <v>3.4299516908212562</v>
      </c>
      <c r="H65" s="487">
        <f t="shared" si="419"/>
        <v>1.0163576881134131</v>
      </c>
      <c r="I65" s="487">
        <f t="shared" si="419"/>
        <v>0.48729042725797722</v>
      </c>
      <c r="J65" s="487">
        <f t="shared" si="419"/>
        <v>0.26254545454545464</v>
      </c>
      <c r="K65" s="487">
        <f t="shared" si="419"/>
        <v>0.20190092165898621</v>
      </c>
      <c r="L65" s="487">
        <f t="shared" si="419"/>
        <v>0.13251857177090831</v>
      </c>
      <c r="M65" s="487">
        <f t="shared" si="419"/>
        <v>0.11341515023275495</v>
      </c>
      <c r="N65" s="487">
        <f t="shared" si="419"/>
        <v>7.3546180159635099E-2</v>
      </c>
      <c r="O65" s="487">
        <f t="shared" si="419"/>
        <v>3.1510001770224783E-2</v>
      </c>
      <c r="P65" s="487">
        <f t="shared" si="419"/>
        <v>-0.19443967736399514</v>
      </c>
      <c r="Q65" s="487">
        <f t="shared" si="419"/>
        <v>-1.597784405624203E-2</v>
      </c>
      <c r="R65" s="487">
        <f t="shared" si="419"/>
        <v>-2.3056938731327081E-2</v>
      </c>
      <c r="S65" s="3233">
        <v>-0.01</v>
      </c>
      <c r="T65" s="3233">
        <v>-0.01</v>
      </c>
      <c r="U65" s="3233">
        <v>-0.01</v>
      </c>
      <c r="V65" s="3233">
        <v>-0.01</v>
      </c>
      <c r="W65" s="3233">
        <v>-0.01</v>
      </c>
      <c r="X65" s="3233">
        <v>-0.01</v>
      </c>
      <c r="Y65" s="3233">
        <v>-0.01</v>
      </c>
      <c r="Z65" s="138"/>
      <c r="AA65" s="1045"/>
      <c r="AB65" s="1045"/>
      <c r="AC65" s="1045"/>
      <c r="AD65" s="1045"/>
      <c r="AE65" s="1045"/>
      <c r="AF65" s="1045"/>
      <c r="AG65" s="1045"/>
      <c r="AH65" s="1045"/>
      <c r="AI65" s="1045"/>
      <c r="AJ65" s="1045"/>
      <c r="AK65" s="1045"/>
      <c r="AL65" s="1045"/>
      <c r="AM65" s="1045"/>
      <c r="AN65" s="1045"/>
      <c r="AO65" s="1045"/>
      <c r="AP65" s="1045"/>
      <c r="AQ65" s="1045"/>
      <c r="AR65" s="1045"/>
      <c r="AS65" s="1045"/>
      <c r="AT65" s="1045"/>
      <c r="AU65" s="1045"/>
      <c r="AV65" s="1045"/>
      <c r="AW65" s="1045"/>
      <c r="AX65" s="1045"/>
      <c r="AY65" s="1045"/>
      <c r="AZ65" s="1045"/>
      <c r="BA65" s="1045"/>
      <c r="BB65" s="1045"/>
      <c r="BC65" s="1045"/>
      <c r="BD65" s="1045"/>
      <c r="BE65" s="1045"/>
      <c r="BF65" s="1045"/>
      <c r="BG65" s="1045"/>
      <c r="BH65" s="1045"/>
      <c r="BI65" s="1045"/>
      <c r="BJ65" s="1045"/>
      <c r="BK65" s="1045"/>
      <c r="BL65" s="1045"/>
      <c r="BM65" s="1045"/>
      <c r="BN65" s="1045"/>
      <c r="BO65" s="1045"/>
      <c r="BP65" s="1045"/>
      <c r="BQ65" s="1045"/>
      <c r="BR65" s="1045"/>
      <c r="BS65" s="1045"/>
      <c r="BT65" s="1045"/>
      <c r="BU65" s="1045"/>
      <c r="BV65" s="1045"/>
      <c r="BW65" s="1045"/>
      <c r="BX65" s="1045"/>
      <c r="BY65" s="488"/>
      <c r="BZ65" s="490"/>
      <c r="CA65" s="243"/>
      <c r="CB65" s="243"/>
      <c r="CC65" s="491"/>
      <c r="CD65" s="489">
        <f t="shared" ref="CD65:DV65" si="420">IF(ISERROR(CD63/BZ63-1),"NA",(CD63/BZ63-1))</f>
        <v>16.399999999999999</v>
      </c>
      <c r="CE65" s="487">
        <f t="shared" si="420"/>
        <v>8.3636363636363633</v>
      </c>
      <c r="CF65" s="487">
        <f t="shared" si="420"/>
        <v>5.0762711864406782</v>
      </c>
      <c r="CG65" s="487">
        <f t="shared" si="420"/>
        <v>3.4299516908212562</v>
      </c>
      <c r="CH65" s="489">
        <f t="shared" si="420"/>
        <v>2.3505747126436782</v>
      </c>
      <c r="CI65" s="487">
        <f t="shared" si="420"/>
        <v>1.5927625772285965</v>
      </c>
      <c r="CJ65" s="487">
        <f t="shared" si="420"/>
        <v>1.1695335502866882</v>
      </c>
      <c r="CK65" s="487">
        <f t="shared" si="420"/>
        <v>1.0163576881134131</v>
      </c>
      <c r="CL65" s="489">
        <f t="shared" si="420"/>
        <v>0.82675814751286447</v>
      </c>
      <c r="CM65" s="487">
        <f t="shared" si="420"/>
        <v>0.80802015250544668</v>
      </c>
      <c r="CN65" s="487">
        <f t="shared" si="420"/>
        <v>0.67207142857142865</v>
      </c>
      <c r="CO65" s="487">
        <f t="shared" si="420"/>
        <v>0.48729042725797722</v>
      </c>
      <c r="CP65" s="489">
        <f t="shared" si="420"/>
        <v>0.36807511737089205</v>
      </c>
      <c r="CQ65" s="487">
        <f t="shared" si="420"/>
        <v>0.27827023444619337</v>
      </c>
      <c r="CR65" s="487">
        <f t="shared" si="420"/>
        <v>0.26489811610918879</v>
      </c>
      <c r="CS65" s="487">
        <f t="shared" si="420"/>
        <v>0.26254545454545464</v>
      </c>
      <c r="CT65" s="489">
        <f t="shared" si="420"/>
        <v>0.25737817433081678</v>
      </c>
      <c r="CU65" s="487">
        <f t="shared" si="420"/>
        <v>0.24692158133506159</v>
      </c>
      <c r="CV65" s="487">
        <f t="shared" si="420"/>
        <v>0.2094224924012158</v>
      </c>
      <c r="CW65" s="487">
        <f t="shared" si="420"/>
        <v>0.20190092165898621</v>
      </c>
      <c r="CX65" s="489">
        <f t="shared" si="420"/>
        <v>0.18804585152838427</v>
      </c>
      <c r="CY65" s="487">
        <f t="shared" si="420"/>
        <v>0.16242203742203731</v>
      </c>
      <c r="CZ65" s="487">
        <f t="shared" si="420"/>
        <v>0.15405880874591604</v>
      </c>
      <c r="DA65" s="487">
        <f t="shared" si="420"/>
        <v>0.13251857177090831</v>
      </c>
      <c r="DB65" s="489">
        <f t="shared" si="420"/>
        <v>0.12451183092120366</v>
      </c>
      <c r="DC65" s="487">
        <f t="shared" si="420"/>
        <v>0.12564274536105513</v>
      </c>
      <c r="DD65" s="487">
        <f t="shared" si="420"/>
        <v>0.12587108013937276</v>
      </c>
      <c r="DE65" s="487">
        <f t="shared" si="420"/>
        <v>0.11341515023275495</v>
      </c>
      <c r="DF65" s="489">
        <f t="shared" si="420"/>
        <v>8.6618998978549522E-2</v>
      </c>
      <c r="DG65" s="487">
        <f t="shared" si="420"/>
        <v>7.6266137040714943E-2</v>
      </c>
      <c r="DH65" s="487">
        <f t="shared" si="420"/>
        <v>7.0212765957446743E-2</v>
      </c>
      <c r="DI65" s="654">
        <f t="shared" si="420"/>
        <v>7.3546180159635099E-2</v>
      </c>
      <c r="DJ65" s="489">
        <f t="shared" si="420"/>
        <v>7.8962210941906363E-2</v>
      </c>
      <c r="DK65" s="487">
        <f t="shared" si="420"/>
        <v>6.3849418711939387E-2</v>
      </c>
      <c r="DL65" s="487">
        <f t="shared" si="420"/>
        <v>4.9521055485270304E-2</v>
      </c>
      <c r="DM65" s="654">
        <f t="shared" si="420"/>
        <v>3.1510001770224783E-2</v>
      </c>
      <c r="DN65" s="487">
        <f t="shared" si="420"/>
        <v>2.1606551664052898E-2</v>
      </c>
      <c r="DO65" s="487">
        <f t="shared" si="420"/>
        <v>-0.19566348655680832</v>
      </c>
      <c r="DP65" s="487">
        <f t="shared" si="420"/>
        <v>-0.19528155674186332</v>
      </c>
      <c r="DQ65" s="654">
        <f t="shared" si="420"/>
        <v>-0.19443967736399514</v>
      </c>
      <c r="DR65" s="487">
        <f t="shared" si="420"/>
        <v>-0.20160327477400652</v>
      </c>
      <c r="DS65" s="487">
        <f t="shared" si="420"/>
        <v>6.2540435626483593E-3</v>
      </c>
      <c r="DT65" s="487">
        <f t="shared" si="420"/>
        <v>-5.3498823025893705E-3</v>
      </c>
      <c r="DU65" s="654">
        <f t="shared" si="420"/>
        <v>-1.597784405624203E-2</v>
      </c>
      <c r="DV65" s="487">
        <f t="shared" si="420"/>
        <v>-1.7944883571886394E-2</v>
      </c>
      <c r="DW65" s="487">
        <f t="shared" ref="DW65" si="421">IF(ISERROR(DW63/DS63-1),"NA",(DW63/DS63-1))</f>
        <v>-1.9609944277753977E-2</v>
      </c>
      <c r="DX65" s="487">
        <f t="shared" ref="DX65" si="422">IF(ISERROR(DX63/DT63-1),"NA",(DX63/DT63-1))</f>
        <v>-2.1299483648881234E-2</v>
      </c>
      <c r="DY65" s="654">
        <f t="shared" ref="DY65" si="423">IF(ISERROR(DY63/DU63-1),"NA",(DY63/DU63-1))</f>
        <v>-2.3056938731327081E-2</v>
      </c>
    </row>
    <row r="66" spans="1:129">
      <c r="A66" s="1934" t="s">
        <v>20</v>
      </c>
      <c r="B66" s="2216"/>
      <c r="C66" s="2216"/>
      <c r="D66" s="2216"/>
      <c r="E66" s="2216"/>
      <c r="F66" s="2216">
        <f t="shared" ref="F66:N66" si="424">F83-F76</f>
        <v>187000</v>
      </c>
      <c r="G66" s="2216">
        <f t="shared" si="424"/>
        <v>710000</v>
      </c>
      <c r="H66" s="2231">
        <f t="shared" si="424"/>
        <v>932000</v>
      </c>
      <c r="I66" s="2231">
        <f t="shared" si="424"/>
        <v>901000</v>
      </c>
      <c r="J66" s="2231">
        <f t="shared" si="424"/>
        <v>722000</v>
      </c>
      <c r="K66" s="2216">
        <f t="shared" si="424"/>
        <v>701000</v>
      </c>
      <c r="L66" s="2231">
        <f t="shared" si="424"/>
        <v>553000</v>
      </c>
      <c r="M66" s="2231">
        <f t="shared" si="424"/>
        <v>536000</v>
      </c>
      <c r="N66" s="2231">
        <f t="shared" si="424"/>
        <v>387000</v>
      </c>
      <c r="O66" s="2231">
        <f>O83-O76</f>
        <v>178000</v>
      </c>
      <c r="P66" s="2231">
        <f>P83-P76</f>
        <v>-1133000</v>
      </c>
      <c r="Q66" s="2231">
        <f>Q83-Q76</f>
        <v>-75000</v>
      </c>
      <c r="R66" s="2231">
        <f>R83-R76</f>
        <v>-106500</v>
      </c>
      <c r="S66" s="2231">
        <f t="shared" ref="S66:Y66" si="425">+R63*S65</f>
        <v>-45125</v>
      </c>
      <c r="T66" s="2231">
        <f t="shared" si="425"/>
        <v>-44673.75</v>
      </c>
      <c r="U66" s="2231">
        <f t="shared" si="425"/>
        <v>-44227.012500000004</v>
      </c>
      <c r="V66" s="2231">
        <f t="shared" si="425"/>
        <v>-43784.742375000002</v>
      </c>
      <c r="W66" s="2231">
        <f t="shared" si="425"/>
        <v>-43346.894951249997</v>
      </c>
      <c r="X66" s="2231">
        <f t="shared" si="425"/>
        <v>-42913.426001737491</v>
      </c>
      <c r="Y66" s="2231">
        <f t="shared" si="425"/>
        <v>-42484.29174172011</v>
      </c>
      <c r="Z66" s="1964"/>
      <c r="AA66" s="1982"/>
      <c r="AB66" s="1982"/>
      <c r="AC66" s="1982"/>
      <c r="AD66" s="1982"/>
      <c r="AE66" s="1982"/>
      <c r="AF66" s="1982"/>
      <c r="AG66" s="1982"/>
      <c r="AH66" s="1982"/>
      <c r="AI66" s="1982"/>
      <c r="AJ66" s="1982"/>
      <c r="AK66" s="1982"/>
      <c r="AL66" s="1982"/>
      <c r="AM66" s="1982"/>
      <c r="AN66" s="1982"/>
      <c r="AO66" s="1982"/>
      <c r="AP66" s="1982"/>
      <c r="AQ66" s="1982"/>
      <c r="AR66" s="1982"/>
      <c r="AS66" s="1982"/>
      <c r="AT66" s="1982"/>
      <c r="AU66" s="1982"/>
      <c r="AV66" s="1982"/>
      <c r="AW66" s="1982"/>
      <c r="AX66" s="1982"/>
      <c r="AY66" s="1982"/>
      <c r="AZ66" s="1982"/>
      <c r="BA66" s="1982"/>
      <c r="BB66" s="1982"/>
      <c r="BC66" s="1982"/>
      <c r="BD66" s="1982"/>
      <c r="BE66" s="1982"/>
      <c r="BF66" s="1982"/>
      <c r="BG66" s="1982"/>
      <c r="BH66" s="1982"/>
      <c r="BI66" s="1982"/>
      <c r="BJ66" s="1982"/>
      <c r="BK66" s="1982"/>
      <c r="BL66" s="1982"/>
      <c r="BM66" s="1982"/>
      <c r="BN66" s="1982"/>
      <c r="BO66" s="1982"/>
      <c r="BP66" s="1982"/>
      <c r="BQ66" s="1982"/>
      <c r="BR66" s="1982"/>
      <c r="BS66" s="1982"/>
      <c r="BT66" s="1982"/>
      <c r="BU66" s="1982"/>
      <c r="BV66" s="1982"/>
      <c r="BW66" s="1982"/>
      <c r="BX66" s="1982"/>
      <c r="BY66" s="1955"/>
      <c r="BZ66" s="1937">
        <f>BZ83-BZ76</f>
        <v>20000</v>
      </c>
      <c r="CA66" s="2216">
        <f>CA83-CA76</f>
        <v>35000</v>
      </c>
      <c r="CB66" s="2216">
        <f>CB83-CB76</f>
        <v>63000</v>
      </c>
      <c r="CC66" s="2219">
        <f>CC83-CC76</f>
        <v>89000</v>
      </c>
      <c r="CD66" s="2302">
        <v>141000</v>
      </c>
      <c r="CE66" s="2303">
        <v>167000</v>
      </c>
      <c r="CF66" s="2303">
        <v>202000</v>
      </c>
      <c r="CG66" s="2303">
        <f t="shared" ref="CG66:CU66" si="426">+CG63-CF63</f>
        <v>200000</v>
      </c>
      <c r="CH66" s="2302">
        <f t="shared" si="426"/>
        <v>249000</v>
      </c>
      <c r="CI66" s="2303">
        <f t="shared" si="426"/>
        <v>169272.72727272729</v>
      </c>
      <c r="CJ66" s="2303">
        <f t="shared" si="426"/>
        <v>220282.82828282821</v>
      </c>
      <c r="CK66" s="2303">
        <f>+CK63-CJ63</f>
        <v>293444.4444444445</v>
      </c>
      <c r="CL66" s="1937">
        <f>+CL63-CK63</f>
        <v>281000</v>
      </c>
      <c r="CM66" s="2216">
        <f t="shared" si="426"/>
        <v>284200</v>
      </c>
      <c r="CN66" s="2216">
        <f t="shared" si="426"/>
        <v>186800</v>
      </c>
      <c r="CO66" s="2216">
        <f t="shared" si="426"/>
        <v>149000</v>
      </c>
      <c r="CP66" s="1937">
        <f t="shared" si="426"/>
        <v>164000</v>
      </c>
      <c r="CQ66" s="2216">
        <f t="shared" si="426"/>
        <v>172000</v>
      </c>
      <c r="CR66" s="2216">
        <f t="shared" si="426"/>
        <v>204000</v>
      </c>
      <c r="CS66" s="2216">
        <f t="shared" si="426"/>
        <v>182000</v>
      </c>
      <c r="CT66" s="1937">
        <f t="shared" si="426"/>
        <v>192000</v>
      </c>
      <c r="CU66" s="2216">
        <f t="shared" si="426"/>
        <v>184000</v>
      </c>
      <c r="CV66" s="2216">
        <f t="shared" ref="CV66:DE66" si="427">CV83-CV76</f>
        <v>131000</v>
      </c>
      <c r="CW66" s="2216">
        <f t="shared" si="427"/>
        <v>194000</v>
      </c>
      <c r="CX66" s="1937">
        <f t="shared" si="427"/>
        <v>180000</v>
      </c>
      <c r="CY66" s="2216">
        <f t="shared" si="427"/>
        <v>120000</v>
      </c>
      <c r="CZ66" s="2216">
        <f t="shared" si="427"/>
        <v>119000</v>
      </c>
      <c r="DA66" s="2216">
        <f t="shared" si="427"/>
        <v>134000</v>
      </c>
      <c r="DB66" s="1937">
        <f t="shared" si="427"/>
        <v>169000</v>
      </c>
      <c r="DC66" s="2216">
        <f t="shared" si="427"/>
        <v>140000</v>
      </c>
      <c r="DD66" s="2216">
        <f t="shared" si="427"/>
        <v>135000</v>
      </c>
      <c r="DE66" s="2216">
        <f t="shared" si="427"/>
        <v>92000</v>
      </c>
      <c r="DF66" s="1937">
        <f t="shared" ref="DF66:DK66" si="428">DF83-DF76</f>
        <v>57000</v>
      </c>
      <c r="DG66" s="2216">
        <f t="shared" si="428"/>
        <v>100000</v>
      </c>
      <c r="DH66" s="2216">
        <f t="shared" si="428"/>
        <v>114000</v>
      </c>
      <c r="DI66" s="2219">
        <f t="shared" si="428"/>
        <v>116000</v>
      </c>
      <c r="DJ66" s="1937">
        <f t="shared" si="428"/>
        <v>90000</v>
      </c>
      <c r="DK66" s="2216">
        <f t="shared" si="428"/>
        <v>26000</v>
      </c>
      <c r="DL66" s="2216">
        <f t="shared" ref="DL66:DQ66" si="429">DL83-DL76</f>
        <v>42000</v>
      </c>
      <c r="DM66" s="2219">
        <f t="shared" si="429"/>
        <v>20000</v>
      </c>
      <c r="DN66" s="2216">
        <f t="shared" si="429"/>
        <v>36000</v>
      </c>
      <c r="DO66" s="2216">
        <f t="shared" si="429"/>
        <v>-1226000</v>
      </c>
      <c r="DP66" s="2216">
        <f t="shared" si="429"/>
        <v>36000</v>
      </c>
      <c r="DQ66" s="2219">
        <f t="shared" si="429"/>
        <v>21000</v>
      </c>
      <c r="DR66" s="2216">
        <f t="shared" ref="DR66:DS66" si="430">DR83-DR76</f>
        <v>-13000</v>
      </c>
      <c r="DS66" s="2216">
        <f t="shared" si="430"/>
        <v>-15000</v>
      </c>
      <c r="DT66" s="2216">
        <f t="shared" ref="DT66:DU66" si="431">DT83-DT76</f>
        <v>-18000</v>
      </c>
      <c r="DU66" s="2219">
        <f t="shared" si="431"/>
        <v>-29000</v>
      </c>
      <c r="DV66" s="2216">
        <f t="shared" ref="DV66" si="432">DV83-DV76</f>
        <v>-22000</v>
      </c>
      <c r="DW66" s="3264">
        <f>+DS66-7500</f>
        <v>-22500</v>
      </c>
      <c r="DX66" s="3264">
        <f t="shared" ref="DX66:DY66" si="433">+DT66-7500</f>
        <v>-25500</v>
      </c>
      <c r="DY66" s="3132">
        <f t="shared" si="433"/>
        <v>-36500</v>
      </c>
    </row>
    <row r="67" spans="1:129">
      <c r="A67" s="176" t="s">
        <v>319</v>
      </c>
      <c r="B67" s="1045"/>
      <c r="C67" s="1045"/>
      <c r="D67" s="1045"/>
      <c r="E67" s="1045"/>
      <c r="F67" s="1045"/>
      <c r="G67" s="1045"/>
      <c r="H67" s="1100"/>
      <c r="I67" s="1100"/>
      <c r="J67" s="1100"/>
      <c r="K67" s="1045"/>
      <c r="L67" s="1100"/>
      <c r="M67" s="1100"/>
      <c r="N67" s="1100"/>
      <c r="O67" s="1100"/>
      <c r="P67" s="1100"/>
      <c r="Q67" s="1100"/>
      <c r="R67" s="1100"/>
      <c r="S67" s="1100"/>
      <c r="T67" s="1100"/>
      <c r="U67" s="1100"/>
      <c r="V67" s="1100"/>
      <c r="W67" s="1100"/>
      <c r="X67" s="1100"/>
      <c r="Y67" s="1100"/>
      <c r="Z67" s="138"/>
      <c r="AA67" s="1045"/>
      <c r="AB67" s="1045"/>
      <c r="AC67" s="1045"/>
      <c r="AD67" s="1045"/>
      <c r="AE67" s="1045"/>
      <c r="AF67" s="1045"/>
      <c r="AG67" s="1045"/>
      <c r="AH67" s="1045"/>
      <c r="AI67" s="1045"/>
      <c r="AJ67" s="1045"/>
      <c r="AK67" s="1045"/>
      <c r="AL67" s="1045"/>
      <c r="AM67" s="1045"/>
      <c r="AN67" s="1045"/>
      <c r="AO67" s="1045"/>
      <c r="AP67" s="1045"/>
      <c r="AQ67" s="1045"/>
      <c r="AR67" s="1045"/>
      <c r="AS67" s="1045"/>
      <c r="AT67" s="1045"/>
      <c r="AU67" s="1045"/>
      <c r="AV67" s="1045"/>
      <c r="AW67" s="1045"/>
      <c r="AX67" s="1045"/>
      <c r="AY67" s="1045"/>
      <c r="AZ67" s="1045"/>
      <c r="BA67" s="1045"/>
      <c r="BB67" s="1045"/>
      <c r="BC67" s="1045"/>
      <c r="BD67" s="1045"/>
      <c r="BE67" s="1045"/>
      <c r="BF67" s="1045"/>
      <c r="BG67" s="1045"/>
      <c r="BH67" s="1045"/>
      <c r="BI67" s="1045"/>
      <c r="BJ67" s="1045"/>
      <c r="BK67" s="1045"/>
      <c r="BL67" s="1045"/>
      <c r="BM67" s="1045"/>
      <c r="BN67" s="1045"/>
      <c r="BO67" s="1045"/>
      <c r="BP67" s="1045"/>
      <c r="BQ67" s="1045"/>
      <c r="BR67" s="1045"/>
      <c r="BS67" s="1045"/>
      <c r="BT67" s="1045"/>
      <c r="BU67" s="1045"/>
      <c r="BV67" s="1045"/>
      <c r="BW67" s="1045"/>
      <c r="BX67" s="1045"/>
      <c r="BY67" s="138"/>
      <c r="BZ67" s="147"/>
      <c r="CA67" s="1045">
        <f t="shared" ref="CA67:DV67" si="434">CA66/BZ66-1</f>
        <v>0.75</v>
      </c>
      <c r="CB67" s="1045">
        <f t="shared" si="434"/>
        <v>0.8</v>
      </c>
      <c r="CC67" s="101">
        <f t="shared" si="434"/>
        <v>0.41269841269841279</v>
      </c>
      <c r="CD67" s="147">
        <f t="shared" si="434"/>
        <v>0.58426966292134841</v>
      </c>
      <c r="CE67" s="1045">
        <f t="shared" si="434"/>
        <v>0.18439716312056742</v>
      </c>
      <c r="CF67" s="1045">
        <f t="shared" si="434"/>
        <v>0.20958083832335328</v>
      </c>
      <c r="CG67" s="1045">
        <f t="shared" si="434"/>
        <v>-9.9009900990099098E-3</v>
      </c>
      <c r="CH67" s="147">
        <f t="shared" si="434"/>
        <v>0.24500000000000011</v>
      </c>
      <c r="CI67" s="1045">
        <f t="shared" si="434"/>
        <v>-0.3201898503103322</v>
      </c>
      <c r="CJ67" s="1045">
        <f t="shared" si="434"/>
        <v>0.30134860961928567</v>
      </c>
      <c r="CK67" s="1045">
        <f t="shared" si="434"/>
        <v>0.33212582538518043</v>
      </c>
      <c r="CL67" s="147">
        <f t="shared" si="434"/>
        <v>-4.2408178720181877E-2</v>
      </c>
      <c r="CM67" s="1045">
        <f t="shared" si="434"/>
        <v>1.1387900355871894E-2</v>
      </c>
      <c r="CN67" s="1045">
        <f t="shared" si="434"/>
        <v>-0.34271639690358902</v>
      </c>
      <c r="CO67" s="1045">
        <f t="shared" si="434"/>
        <v>-0.20235546038543895</v>
      </c>
      <c r="CP67" s="147">
        <f t="shared" si="434"/>
        <v>0.10067114093959728</v>
      </c>
      <c r="CQ67" s="1045">
        <f t="shared" si="434"/>
        <v>4.8780487804878092E-2</v>
      </c>
      <c r="CR67" s="1045">
        <f t="shared" si="434"/>
        <v>0.18604651162790709</v>
      </c>
      <c r="CS67" s="1045">
        <f t="shared" si="434"/>
        <v>-0.10784313725490191</v>
      </c>
      <c r="CT67" s="147">
        <f t="shared" si="434"/>
        <v>5.4945054945054972E-2</v>
      </c>
      <c r="CU67" s="1045">
        <f t="shared" si="434"/>
        <v>-4.166666666666663E-2</v>
      </c>
      <c r="CV67" s="1045">
        <f t="shared" si="434"/>
        <v>-0.28804347826086951</v>
      </c>
      <c r="CW67" s="1045">
        <f t="shared" si="434"/>
        <v>0.48091603053435117</v>
      </c>
      <c r="CX67" s="147">
        <f t="shared" si="434"/>
        <v>-7.2164948453608213E-2</v>
      </c>
      <c r="CY67" s="1045">
        <f t="shared" si="434"/>
        <v>-0.33333333333333337</v>
      </c>
      <c r="CZ67" s="1045">
        <f t="shared" si="434"/>
        <v>-8.3333333333333037E-3</v>
      </c>
      <c r="DA67" s="1045">
        <f t="shared" si="434"/>
        <v>0.12605042016806722</v>
      </c>
      <c r="DB67" s="147">
        <f t="shared" si="434"/>
        <v>0.26119402985074625</v>
      </c>
      <c r="DC67" s="1045">
        <f t="shared" si="434"/>
        <v>-0.17159763313609466</v>
      </c>
      <c r="DD67" s="1045">
        <f t="shared" si="434"/>
        <v>-3.5714285714285698E-2</v>
      </c>
      <c r="DE67" s="1045">
        <f t="shared" si="434"/>
        <v>-0.31851851851851853</v>
      </c>
      <c r="DF67" s="147">
        <f t="shared" si="434"/>
        <v>-0.38043478260869568</v>
      </c>
      <c r="DG67" s="1045">
        <f t="shared" si="434"/>
        <v>0.7543859649122806</v>
      </c>
      <c r="DH67" s="1045">
        <f t="shared" si="434"/>
        <v>0.1399999999999999</v>
      </c>
      <c r="DI67" s="101">
        <f t="shared" si="434"/>
        <v>1.7543859649122862E-2</v>
      </c>
      <c r="DJ67" s="147">
        <f t="shared" si="434"/>
        <v>-0.22413793103448276</v>
      </c>
      <c r="DK67" s="1045">
        <f t="shared" si="434"/>
        <v>-0.71111111111111114</v>
      </c>
      <c r="DL67" s="1045">
        <f t="shared" si="434"/>
        <v>0.61538461538461542</v>
      </c>
      <c r="DM67" s="101">
        <f t="shared" si="434"/>
        <v>-0.52380952380952384</v>
      </c>
      <c r="DN67" s="1045">
        <f t="shared" si="434"/>
        <v>0.8</v>
      </c>
      <c r="DO67" s="1045">
        <f t="shared" si="434"/>
        <v>-35.055555555555557</v>
      </c>
      <c r="DP67" s="1045">
        <f t="shared" si="434"/>
        <v>-1.0293637846655792</v>
      </c>
      <c r="DQ67" s="101">
        <f t="shared" si="434"/>
        <v>-0.41666666666666663</v>
      </c>
      <c r="DR67" s="1045">
        <f t="shared" si="434"/>
        <v>-1.6190476190476191</v>
      </c>
      <c r="DS67" s="1045">
        <f t="shared" si="434"/>
        <v>0.15384615384615374</v>
      </c>
      <c r="DT67" s="1045">
        <f t="shared" si="434"/>
        <v>0.19999999999999996</v>
      </c>
      <c r="DU67" s="101">
        <f t="shared" si="434"/>
        <v>0.61111111111111116</v>
      </c>
      <c r="DV67" s="1045">
        <f t="shared" si="434"/>
        <v>-0.24137931034482762</v>
      </c>
      <c r="DW67" s="1045">
        <f t="shared" ref="DW67" si="435">DW66/DV66-1</f>
        <v>2.2727272727272707E-2</v>
      </c>
      <c r="DX67" s="1045">
        <f t="shared" ref="DX67" si="436">DX66/DW66-1</f>
        <v>0.1333333333333333</v>
      </c>
      <c r="DY67" s="101">
        <f t="shared" ref="DY67" si="437">DY66/DX66-1</f>
        <v>0.43137254901960786</v>
      </c>
    </row>
    <row r="68" spans="1:129">
      <c r="A68" s="653" t="s">
        <v>320</v>
      </c>
      <c r="B68" s="243"/>
      <c r="C68" s="243"/>
      <c r="D68" s="243"/>
      <c r="E68" s="243"/>
      <c r="F68" s="243"/>
      <c r="G68" s="243"/>
      <c r="H68" s="487">
        <f t="shared" ref="H68:T68" si="438">IF(ISERROR(H66/G66-1),"NA",(H66/G66-1))</f>
        <v>0.3126760563380282</v>
      </c>
      <c r="I68" s="487">
        <f t="shared" si="438"/>
        <v>-3.3261802575107247E-2</v>
      </c>
      <c r="J68" s="487">
        <f t="shared" si="438"/>
        <v>-0.19866814650388454</v>
      </c>
      <c r="K68" s="487">
        <f t="shared" si="438"/>
        <v>-2.9085872576177341E-2</v>
      </c>
      <c r="L68" s="487">
        <f t="shared" si="438"/>
        <v>-0.21112696148359489</v>
      </c>
      <c r="M68" s="487">
        <f t="shared" si="438"/>
        <v>-3.0741410488245968E-2</v>
      </c>
      <c r="N68" s="487">
        <f t="shared" si="438"/>
        <v>-0.27798507462686572</v>
      </c>
      <c r="O68" s="487">
        <f>IF(ISERROR(O66/N66-1),"NA",(O66/N66-1))</f>
        <v>-0.5400516795865633</v>
      </c>
      <c r="P68" s="487">
        <f>IF(ISERROR(P66/O66-1),"NA",(P66/O66-1))</f>
        <v>-7.3651685393258424</v>
      </c>
      <c r="Q68" s="487">
        <f>IF(ISERROR(Q66/P66-1),"NA",(Q66/P66-1))</f>
        <v>-0.93380406001765226</v>
      </c>
      <c r="R68" s="487">
        <f>IF(ISERROR(R66/Q66-1),"NA",(R66/Q66-1))</f>
        <v>0.41999999999999993</v>
      </c>
      <c r="S68" s="487">
        <f t="shared" si="438"/>
        <v>-0.57629107981220651</v>
      </c>
      <c r="T68" s="487">
        <f t="shared" si="438"/>
        <v>-1.0000000000000009E-2</v>
      </c>
      <c r="U68" s="487">
        <f t="shared" ref="U68" si="439">IF(ISERROR(U66/T66-1),"NA",(U66/T66-1))</f>
        <v>-9.9999999999998979E-3</v>
      </c>
      <c r="V68" s="487">
        <f t="shared" ref="V68" si="440">IF(ISERROR(V66/U66-1),"NA",(V66/U66-1))</f>
        <v>-1.0000000000000009E-2</v>
      </c>
      <c r="W68" s="487">
        <f t="shared" ref="W68" si="441">IF(ISERROR(W66/V66-1),"NA",(W66/V66-1))</f>
        <v>-1.000000000000012E-2</v>
      </c>
      <c r="X68" s="487">
        <f t="shared" ref="X68" si="442">IF(ISERROR(X66/W66-1),"NA",(X66/W66-1))</f>
        <v>-1.000000000000012E-2</v>
      </c>
      <c r="Y68" s="487">
        <f t="shared" ref="Y68" si="443">IF(ISERROR(Y66/X66-1),"NA",(Y66/X66-1))</f>
        <v>-1.000000000000012E-2</v>
      </c>
      <c r="Z68" s="138"/>
      <c r="AA68" s="1045"/>
      <c r="AB68" s="1045"/>
      <c r="AC68" s="1045"/>
      <c r="AD68" s="1045"/>
      <c r="AE68" s="1045"/>
      <c r="AF68" s="1045"/>
      <c r="AG68" s="1045"/>
      <c r="AH68" s="1045"/>
      <c r="AI68" s="1045"/>
      <c r="AJ68" s="1045"/>
      <c r="AK68" s="1045"/>
      <c r="AL68" s="1045"/>
      <c r="AM68" s="1045"/>
      <c r="AN68" s="1045"/>
      <c r="AO68" s="1045"/>
      <c r="AP68" s="1045"/>
      <c r="AQ68" s="1045"/>
      <c r="AR68" s="1045"/>
      <c r="AS68" s="1045"/>
      <c r="AT68" s="1045"/>
      <c r="AU68" s="1045"/>
      <c r="AV68" s="1045"/>
      <c r="AW68" s="1045"/>
      <c r="AX68" s="1045"/>
      <c r="AY68" s="1045"/>
      <c r="AZ68" s="1045"/>
      <c r="BA68" s="1045"/>
      <c r="BB68" s="1045"/>
      <c r="BC68" s="1045"/>
      <c r="BD68" s="1045"/>
      <c r="BE68" s="1045"/>
      <c r="BF68" s="1045"/>
      <c r="BG68" s="1045"/>
      <c r="BH68" s="1045"/>
      <c r="BI68" s="1045"/>
      <c r="BJ68" s="1045"/>
      <c r="BK68" s="1045"/>
      <c r="BL68" s="1045"/>
      <c r="BM68" s="1045"/>
      <c r="BN68" s="1045"/>
      <c r="BO68" s="1045"/>
      <c r="BP68" s="1045"/>
      <c r="BQ68" s="1045"/>
      <c r="BR68" s="1045"/>
      <c r="BS68" s="1045"/>
      <c r="BT68" s="1045"/>
      <c r="BU68" s="1045"/>
      <c r="BV68" s="1045"/>
      <c r="BW68" s="1045"/>
      <c r="BX68" s="1045"/>
      <c r="BY68" s="488"/>
      <c r="BZ68" s="490"/>
      <c r="CA68" s="243"/>
      <c r="CB68" s="243"/>
      <c r="CC68" s="491"/>
      <c r="CD68" s="489">
        <f t="shared" ref="CD68:DV68" si="444">IF(ISERROR(CD66/BZ66-1),"NA",(CD66/BZ66-1))</f>
        <v>6.05</v>
      </c>
      <c r="CE68" s="487">
        <f t="shared" si="444"/>
        <v>3.7714285714285714</v>
      </c>
      <c r="CF68" s="487">
        <f t="shared" si="444"/>
        <v>2.2063492063492065</v>
      </c>
      <c r="CG68" s="487">
        <f t="shared" si="444"/>
        <v>1.2471910112359552</v>
      </c>
      <c r="CH68" s="489">
        <f t="shared" si="444"/>
        <v>0.76595744680851063</v>
      </c>
      <c r="CI68" s="487">
        <f t="shared" si="444"/>
        <v>1.3609145345672369E-2</v>
      </c>
      <c r="CJ68" s="487">
        <f t="shared" si="444"/>
        <v>9.0509050905090094E-2</v>
      </c>
      <c r="CK68" s="487">
        <f t="shared" si="444"/>
        <v>0.46722222222222243</v>
      </c>
      <c r="CL68" s="489">
        <f t="shared" si="444"/>
        <v>0.12851405622489964</v>
      </c>
      <c r="CM68" s="487">
        <f t="shared" si="444"/>
        <v>0.67894736842105252</v>
      </c>
      <c r="CN68" s="487">
        <f t="shared" si="444"/>
        <v>-0.1519992663242844</v>
      </c>
      <c r="CO68" s="487">
        <f t="shared" si="444"/>
        <v>-0.49223778871639534</v>
      </c>
      <c r="CP68" s="489">
        <f t="shared" si="444"/>
        <v>-0.41637010676156583</v>
      </c>
      <c r="CQ68" s="487">
        <f t="shared" si="444"/>
        <v>-0.3947923997185081</v>
      </c>
      <c r="CR68" s="487">
        <f t="shared" si="444"/>
        <v>9.2077087794432577E-2</v>
      </c>
      <c r="CS68" s="487">
        <f t="shared" si="444"/>
        <v>0.22147651006711411</v>
      </c>
      <c r="CT68" s="489">
        <f t="shared" si="444"/>
        <v>0.1707317073170731</v>
      </c>
      <c r="CU68" s="487">
        <f t="shared" si="444"/>
        <v>6.9767441860465018E-2</v>
      </c>
      <c r="CV68" s="487">
        <f t="shared" si="444"/>
        <v>-0.35784313725490191</v>
      </c>
      <c r="CW68" s="487">
        <f t="shared" si="444"/>
        <v>6.5934065934065922E-2</v>
      </c>
      <c r="CX68" s="489">
        <f t="shared" si="444"/>
        <v>-6.25E-2</v>
      </c>
      <c r="CY68" s="487">
        <f t="shared" si="444"/>
        <v>-0.34782608695652173</v>
      </c>
      <c r="CZ68" s="487">
        <f t="shared" si="444"/>
        <v>-9.1603053435114545E-2</v>
      </c>
      <c r="DA68" s="487">
        <f t="shared" si="444"/>
        <v>-0.30927835051546393</v>
      </c>
      <c r="DB68" s="489">
        <f t="shared" si="444"/>
        <v>-6.1111111111111116E-2</v>
      </c>
      <c r="DC68" s="487">
        <f t="shared" si="444"/>
        <v>0.16666666666666674</v>
      </c>
      <c r="DD68" s="487">
        <f t="shared" si="444"/>
        <v>0.13445378151260501</v>
      </c>
      <c r="DE68" s="487">
        <f t="shared" si="444"/>
        <v>-0.31343283582089554</v>
      </c>
      <c r="DF68" s="489">
        <f t="shared" si="444"/>
        <v>-0.66272189349112431</v>
      </c>
      <c r="DG68" s="487">
        <f t="shared" si="444"/>
        <v>-0.2857142857142857</v>
      </c>
      <c r="DH68" s="487">
        <f t="shared" si="444"/>
        <v>-0.15555555555555556</v>
      </c>
      <c r="DI68" s="654">
        <f t="shared" si="444"/>
        <v>0.26086956521739135</v>
      </c>
      <c r="DJ68" s="489">
        <f t="shared" si="444"/>
        <v>0.57894736842105265</v>
      </c>
      <c r="DK68" s="487">
        <f t="shared" si="444"/>
        <v>-0.74</v>
      </c>
      <c r="DL68" s="487">
        <f t="shared" si="444"/>
        <v>-0.63157894736842102</v>
      </c>
      <c r="DM68" s="654">
        <f t="shared" si="444"/>
        <v>-0.82758620689655171</v>
      </c>
      <c r="DN68" s="487">
        <f t="shared" si="444"/>
        <v>-0.6</v>
      </c>
      <c r="DO68" s="487">
        <f t="shared" si="444"/>
        <v>-48.153846153846153</v>
      </c>
      <c r="DP68" s="487">
        <f t="shared" si="444"/>
        <v>-0.1428571428571429</v>
      </c>
      <c r="DQ68" s="654">
        <f t="shared" si="444"/>
        <v>5.0000000000000044E-2</v>
      </c>
      <c r="DR68" s="487">
        <f t="shared" si="444"/>
        <v>-1.3611111111111112</v>
      </c>
      <c r="DS68" s="487">
        <f t="shared" si="444"/>
        <v>-0.9877650897226754</v>
      </c>
      <c r="DT68" s="487">
        <f t="shared" si="444"/>
        <v>-1.5</v>
      </c>
      <c r="DU68" s="654">
        <f t="shared" si="444"/>
        <v>-2.3809523809523809</v>
      </c>
      <c r="DV68" s="487">
        <f t="shared" si="444"/>
        <v>0.69230769230769229</v>
      </c>
      <c r="DW68" s="487">
        <f t="shared" ref="DW68" si="445">IF(ISERROR(DW66/DS66-1),"NA",(DW66/DS66-1))</f>
        <v>0.5</v>
      </c>
      <c r="DX68" s="487">
        <f t="shared" ref="DX68" si="446">IF(ISERROR(DX66/DT66-1),"NA",(DX66/DT66-1))</f>
        <v>0.41666666666666674</v>
      </c>
      <c r="DY68" s="654">
        <f t="shared" ref="DY68" si="447">IF(ISERROR(DY66/DU66-1),"NA",(DY66/DU66-1))</f>
        <v>0.25862068965517238</v>
      </c>
    </row>
    <row r="69" spans="1:129">
      <c r="A69" s="171" t="s">
        <v>395</v>
      </c>
      <c r="B69" s="1044"/>
      <c r="C69" s="1044"/>
      <c r="D69" s="1044"/>
      <c r="E69" s="1288">
        <v>413000</v>
      </c>
      <c r="F69" s="1050">
        <v>2400000</v>
      </c>
      <c r="G69" s="1044">
        <f>CG69</f>
        <v>5400000</v>
      </c>
      <c r="H69" s="1094">
        <f>CK69</f>
        <v>8700000</v>
      </c>
      <c r="I69" s="1094">
        <f>CO69</f>
        <v>11133000</v>
      </c>
      <c r="J69" s="1094">
        <f>+CS69</f>
        <v>12388000</v>
      </c>
      <c r="K69" s="1044">
        <f>+CW69</f>
        <v>13250000</v>
      </c>
      <c r="L69" s="1094">
        <f>+DA69</f>
        <v>14200000</v>
      </c>
      <c r="M69" s="1094">
        <f>+DE69</f>
        <v>15022000</v>
      </c>
      <c r="N69" s="1094">
        <f>+DI69</f>
        <v>15779329.608938549</v>
      </c>
      <c r="O69" s="1094">
        <f>+DM69</f>
        <v>16507082.152974505</v>
      </c>
      <c r="P69" s="1094">
        <f>+DQ69</f>
        <v>13685131.195335276</v>
      </c>
      <c r="Q69" s="1094">
        <f>+DU69</f>
        <v>14300309.59752322</v>
      </c>
      <c r="R69" s="1094">
        <f>+DY69</f>
        <v>14556539.481516087</v>
      </c>
      <c r="S69" s="1094">
        <f>S71*S9</f>
        <v>14948689.287811397</v>
      </c>
      <c r="T69" s="1094">
        <f>T71*T9</f>
        <v>15238329.190959051</v>
      </c>
      <c r="U69" s="1094">
        <f t="shared" ref="U69:Y69" si="448">U71*U9</f>
        <v>15476066.642532878</v>
      </c>
      <c r="V69" s="1094">
        <f t="shared" si="448"/>
        <v>15687529.118319793</v>
      </c>
      <c r="W69" s="1094">
        <f t="shared" si="448"/>
        <v>15885692.231213249</v>
      </c>
      <c r="X69" s="1094">
        <f t="shared" si="448"/>
        <v>16077124.725159978</v>
      </c>
      <c r="Y69" s="1094">
        <f t="shared" si="448"/>
        <v>16265151.440883342</v>
      </c>
      <c r="Z69" s="536"/>
      <c r="AA69" s="1044"/>
      <c r="AB69" s="1044"/>
      <c r="AC69" s="1044"/>
      <c r="AD69" s="1044"/>
      <c r="AE69" s="1044"/>
      <c r="AF69" s="1044"/>
      <c r="AG69" s="1044"/>
      <c r="AH69" s="1044"/>
      <c r="AI69" s="1044"/>
      <c r="AJ69" s="1044"/>
      <c r="AK69" s="1044"/>
      <c r="AL69" s="1044"/>
      <c r="AM69" s="1044"/>
      <c r="AN69" s="1044"/>
      <c r="AO69" s="1044"/>
      <c r="AP69" s="1044"/>
      <c r="AQ69" s="1044"/>
      <c r="AR69" s="1044"/>
      <c r="AS69" s="1044"/>
      <c r="AT69" s="1044"/>
      <c r="AU69" s="1044"/>
      <c r="AV69" s="1044"/>
      <c r="AW69" s="1044"/>
      <c r="AX69" s="1044"/>
      <c r="AY69" s="1044"/>
      <c r="AZ69" s="1044"/>
      <c r="BA69" s="1044"/>
      <c r="BB69" s="1044"/>
      <c r="BC69" s="1044"/>
      <c r="BD69" s="1044"/>
      <c r="BE69" s="1044"/>
      <c r="BF69" s="1044"/>
      <c r="BG69" s="1044"/>
      <c r="BH69" s="1044"/>
      <c r="BI69" s="1044"/>
      <c r="BJ69" s="1044"/>
      <c r="BK69" s="1044"/>
      <c r="BL69" s="1044"/>
      <c r="BM69" s="1044"/>
      <c r="BN69" s="1044"/>
      <c r="BO69" s="1044"/>
      <c r="BP69" s="1044"/>
      <c r="BQ69" s="1044"/>
      <c r="BR69" s="1044"/>
      <c r="BS69" s="1044"/>
      <c r="BT69" s="1044"/>
      <c r="BU69" s="1044"/>
      <c r="BV69" s="1044"/>
      <c r="BW69" s="1044"/>
      <c r="BX69" s="1044"/>
      <c r="BY69" s="536"/>
      <c r="BZ69" s="173">
        <v>413000</v>
      </c>
      <c r="CA69" s="1050">
        <v>692000</v>
      </c>
      <c r="CB69" s="1050">
        <v>1200000</v>
      </c>
      <c r="CC69" s="174">
        <v>2400000</v>
      </c>
      <c r="CD69" s="173">
        <v>3100000</v>
      </c>
      <c r="CE69" s="1050">
        <v>3900000</v>
      </c>
      <c r="CF69" s="1050">
        <v>4701700</v>
      </c>
      <c r="CG69" s="1280">
        <f>5900000-500000</f>
        <v>5400000</v>
      </c>
      <c r="CH69" s="969">
        <f>6448000-500000</f>
        <v>5948000</v>
      </c>
      <c r="CI69" s="1280">
        <f>7000000-500000</f>
        <v>6500000</v>
      </c>
      <c r="CJ69" s="1280">
        <f>8200000-500000</f>
        <v>7700000</v>
      </c>
      <c r="CK69" s="1280">
        <f>9200000-500000</f>
        <v>8700000</v>
      </c>
      <c r="CL69" s="173">
        <v>9202000</v>
      </c>
      <c r="CM69" s="1050">
        <v>9741000</v>
      </c>
      <c r="CN69" s="1050">
        <v>10352000</v>
      </c>
      <c r="CO69" s="1050">
        <v>11133000</v>
      </c>
      <c r="CP69" s="173">
        <v>11479000</v>
      </c>
      <c r="CQ69" s="1050">
        <v>11802000</v>
      </c>
      <c r="CR69" s="1050">
        <v>12077000</v>
      </c>
      <c r="CS69" s="1050">
        <v>12388000</v>
      </c>
      <c r="CT69" s="173">
        <v>12585000</v>
      </c>
      <c r="CU69" s="1050">
        <v>12870000</v>
      </c>
      <c r="CV69" s="1050">
        <v>13023000</v>
      </c>
      <c r="CW69" s="1050">
        <v>13250000</v>
      </c>
      <c r="CX69" s="173">
        <v>13460000</v>
      </c>
      <c r="CY69" s="1050">
        <v>13721000</v>
      </c>
      <c r="CZ69" s="1050">
        <v>13957000</v>
      </c>
      <c r="DA69" s="1050">
        <v>14200000</v>
      </c>
      <c r="DB69" s="173">
        <v>14374000</v>
      </c>
      <c r="DC69" s="1050">
        <v>14607000</v>
      </c>
      <c r="DD69" s="1050">
        <v>14824000</v>
      </c>
      <c r="DE69" s="1050">
        <v>15022000</v>
      </c>
      <c r="DF69" s="173">
        <v>15184000</v>
      </c>
      <c r="DG69" s="1050">
        <f>+DG63/0.353</f>
        <v>15351274.787535412</v>
      </c>
      <c r="DH69" s="1050">
        <f>+DH63/0.355</f>
        <v>15585915.492957747</v>
      </c>
      <c r="DI69" s="174">
        <f>+DI63/0.358</f>
        <v>15779329.608938549</v>
      </c>
      <c r="DJ69" s="173">
        <f>+DJ63/0.36</f>
        <v>15941666.666666668</v>
      </c>
      <c r="DK69" s="1050">
        <f>+DK63/0.357</f>
        <v>16148459.383753503</v>
      </c>
      <c r="DL69" s="1050">
        <f>+DL63/0.356</f>
        <v>16311797.75280899</v>
      </c>
      <c r="DM69" s="174">
        <f>+DM63/0.353</f>
        <v>16507082.152974505</v>
      </c>
      <c r="DN69" s="1302">
        <f t="shared" ref="DN69:DS69" si="449">+DN63/DN73</f>
        <v>16656250.000000002</v>
      </c>
      <c r="DO69" s="1302">
        <f t="shared" si="449"/>
        <v>13401734.104046244</v>
      </c>
      <c r="DP69" s="1302">
        <f t="shared" si="449"/>
        <v>13544927.536231885</v>
      </c>
      <c r="DQ69" s="1482">
        <f t="shared" si="449"/>
        <v>13685131.195335276</v>
      </c>
      <c r="DR69" s="1302">
        <f t="shared" si="449"/>
        <v>13849112.426035503</v>
      </c>
      <c r="DS69" s="1302">
        <f t="shared" si="449"/>
        <v>13970059.88023952</v>
      </c>
      <c r="DT69" s="1302">
        <f t="shared" ref="DT69:DU69" si="450">+DT63/DT73</f>
        <v>14127659.574468084</v>
      </c>
      <c r="DU69" s="1482">
        <f t="shared" si="450"/>
        <v>14300309.59752322</v>
      </c>
      <c r="DV69" s="1302">
        <f t="shared" ref="DV69" si="451">+DV63/DV73</f>
        <v>14232198.14241486</v>
      </c>
      <c r="DW69" s="1044">
        <f t="shared" ref="DW69:DY69" si="452">DW71*DW59</f>
        <v>14340311.922115268</v>
      </c>
      <c r="DX69" s="1044">
        <f t="shared" si="452"/>
        <v>14448425.701815678</v>
      </c>
      <c r="DY69" s="172">
        <f t="shared" si="452"/>
        <v>14556539.481516087</v>
      </c>
    </row>
    <row r="70" spans="1:129">
      <c r="A70" s="762" t="s">
        <v>384</v>
      </c>
      <c r="B70" s="1044"/>
      <c r="C70" s="1044"/>
      <c r="D70" s="1044"/>
      <c r="E70" s="1044">
        <f t="shared" ref="E70:T70" si="453">E69-D69</f>
        <v>413000</v>
      </c>
      <c r="F70" s="1044">
        <f t="shared" si="453"/>
        <v>1987000</v>
      </c>
      <c r="G70" s="1044">
        <f t="shared" si="453"/>
        <v>3000000</v>
      </c>
      <c r="H70" s="1094">
        <f t="shared" si="453"/>
        <v>3300000</v>
      </c>
      <c r="I70" s="1094">
        <f t="shared" si="453"/>
        <v>2433000</v>
      </c>
      <c r="J70" s="1094">
        <f t="shared" si="453"/>
        <v>1255000</v>
      </c>
      <c r="K70" s="1044">
        <f t="shared" si="453"/>
        <v>862000</v>
      </c>
      <c r="L70" s="1094">
        <f t="shared" si="453"/>
        <v>950000</v>
      </c>
      <c r="M70" s="1094">
        <f t="shared" si="453"/>
        <v>822000</v>
      </c>
      <c r="N70" s="1094">
        <f t="shared" si="453"/>
        <v>757329.60893854871</v>
      </c>
      <c r="O70" s="1094">
        <f>O69-N69</f>
        <v>727752.54403595626</v>
      </c>
      <c r="P70" s="1094">
        <f>P69-O69</f>
        <v>-2821950.9576392286</v>
      </c>
      <c r="Q70" s="1094">
        <f>Q69-P69</f>
        <v>615178.40218794346</v>
      </c>
      <c r="R70" s="1094">
        <f>R69-Q69</f>
        <v>256229.88399286754</v>
      </c>
      <c r="S70" s="1094">
        <f t="shared" si="453"/>
        <v>392149.80629530922</v>
      </c>
      <c r="T70" s="1094">
        <f t="shared" si="453"/>
        <v>289639.90314765461</v>
      </c>
      <c r="U70" s="1094">
        <f t="shared" ref="U70" si="454">U69-T69</f>
        <v>237737.45157382637</v>
      </c>
      <c r="V70" s="1094">
        <f t="shared" ref="V70" si="455">V69-U69</f>
        <v>211462.47578691505</v>
      </c>
      <c r="W70" s="1094">
        <f t="shared" ref="W70" si="456">W69-V69</f>
        <v>198163.11289345659</v>
      </c>
      <c r="X70" s="1094">
        <f t="shared" ref="X70" si="457">X69-W69</f>
        <v>191432.49394672923</v>
      </c>
      <c r="Y70" s="1094">
        <f t="shared" ref="Y70" si="458">Y69-X69</f>
        <v>188026.71572336368</v>
      </c>
      <c r="Z70" s="536"/>
      <c r="AA70" s="1044"/>
      <c r="AB70" s="1044"/>
      <c r="AC70" s="1044"/>
      <c r="AD70" s="1044"/>
      <c r="AE70" s="1044"/>
      <c r="AF70" s="1044"/>
      <c r="AG70" s="1044"/>
      <c r="AH70" s="1044"/>
      <c r="AI70" s="1044"/>
      <c r="AJ70" s="1044"/>
      <c r="AK70" s="1044"/>
      <c r="AL70" s="1044"/>
      <c r="AM70" s="1044"/>
      <c r="AN70" s="1044"/>
      <c r="AO70" s="1044"/>
      <c r="AP70" s="1044"/>
      <c r="AQ70" s="1044"/>
      <c r="AR70" s="1044"/>
      <c r="AS70" s="1044"/>
      <c r="AT70" s="1044"/>
      <c r="AU70" s="1044"/>
      <c r="AV70" s="1044"/>
      <c r="AW70" s="1044"/>
      <c r="AX70" s="1044"/>
      <c r="AY70" s="1044"/>
      <c r="AZ70" s="1044"/>
      <c r="BA70" s="1044"/>
      <c r="BB70" s="1044"/>
      <c r="BC70" s="1044"/>
      <c r="BD70" s="1044"/>
      <c r="BE70" s="1044"/>
      <c r="BF70" s="1044"/>
      <c r="BG70" s="1044"/>
      <c r="BH70" s="1044"/>
      <c r="BI70" s="1044"/>
      <c r="BJ70" s="1044"/>
      <c r="BK70" s="1044"/>
      <c r="BL70" s="1044"/>
      <c r="BM70" s="1044"/>
      <c r="BN70" s="1044"/>
      <c r="BO70" s="1044"/>
      <c r="BP70" s="1044"/>
      <c r="BQ70" s="1044"/>
      <c r="BR70" s="1044"/>
      <c r="BS70" s="1044"/>
      <c r="BT70" s="1044"/>
      <c r="BU70" s="1044"/>
      <c r="BV70" s="1044"/>
      <c r="BW70" s="1044"/>
      <c r="BX70" s="1044"/>
      <c r="BY70" s="536"/>
      <c r="BZ70" s="171">
        <f t="shared" ref="BZ70:DV70" si="459">BZ69-BY69</f>
        <v>413000</v>
      </c>
      <c r="CA70" s="1044">
        <f t="shared" si="459"/>
        <v>279000</v>
      </c>
      <c r="CB70" s="1044">
        <f t="shared" si="459"/>
        <v>508000</v>
      </c>
      <c r="CC70" s="172">
        <f t="shared" si="459"/>
        <v>1200000</v>
      </c>
      <c r="CD70" s="171">
        <f t="shared" si="459"/>
        <v>700000</v>
      </c>
      <c r="CE70" s="1044">
        <f t="shared" si="459"/>
        <v>800000</v>
      </c>
      <c r="CF70" s="1044">
        <f t="shared" si="459"/>
        <v>801700</v>
      </c>
      <c r="CG70" s="1044">
        <f t="shared" si="459"/>
        <v>698300</v>
      </c>
      <c r="CH70" s="171">
        <f t="shared" si="459"/>
        <v>548000</v>
      </c>
      <c r="CI70" s="1044">
        <f t="shared" si="459"/>
        <v>552000</v>
      </c>
      <c r="CJ70" s="1044">
        <f t="shared" si="459"/>
        <v>1200000</v>
      </c>
      <c r="CK70" s="1044">
        <f t="shared" si="459"/>
        <v>1000000</v>
      </c>
      <c r="CL70" s="171">
        <f t="shared" si="459"/>
        <v>502000</v>
      </c>
      <c r="CM70" s="1044">
        <f t="shared" si="459"/>
        <v>539000</v>
      </c>
      <c r="CN70" s="1044">
        <f t="shared" si="459"/>
        <v>611000</v>
      </c>
      <c r="CO70" s="1044">
        <f t="shared" si="459"/>
        <v>781000</v>
      </c>
      <c r="CP70" s="171">
        <f t="shared" si="459"/>
        <v>346000</v>
      </c>
      <c r="CQ70" s="1044">
        <f t="shared" si="459"/>
        <v>323000</v>
      </c>
      <c r="CR70" s="1044">
        <f t="shared" si="459"/>
        <v>275000</v>
      </c>
      <c r="CS70" s="1044">
        <f t="shared" si="459"/>
        <v>311000</v>
      </c>
      <c r="CT70" s="171">
        <f t="shared" si="459"/>
        <v>197000</v>
      </c>
      <c r="CU70" s="1044">
        <f t="shared" si="459"/>
        <v>285000</v>
      </c>
      <c r="CV70" s="1044">
        <f t="shared" si="459"/>
        <v>153000</v>
      </c>
      <c r="CW70" s="1044">
        <f t="shared" si="459"/>
        <v>227000</v>
      </c>
      <c r="CX70" s="171">
        <f t="shared" si="459"/>
        <v>210000</v>
      </c>
      <c r="CY70" s="1044">
        <f t="shared" si="459"/>
        <v>261000</v>
      </c>
      <c r="CZ70" s="1044">
        <f t="shared" si="459"/>
        <v>236000</v>
      </c>
      <c r="DA70" s="1044">
        <f t="shared" si="459"/>
        <v>243000</v>
      </c>
      <c r="DB70" s="171">
        <f t="shared" si="459"/>
        <v>174000</v>
      </c>
      <c r="DC70" s="1044">
        <f t="shared" si="459"/>
        <v>233000</v>
      </c>
      <c r="DD70" s="1044">
        <f t="shared" si="459"/>
        <v>217000</v>
      </c>
      <c r="DE70" s="1044">
        <f t="shared" si="459"/>
        <v>198000</v>
      </c>
      <c r="DF70" s="171">
        <f t="shared" si="459"/>
        <v>162000</v>
      </c>
      <c r="DG70" s="1044">
        <f t="shared" si="459"/>
        <v>167274.78753541224</v>
      </c>
      <c r="DH70" s="1044">
        <f t="shared" si="459"/>
        <v>234640.70542233437</v>
      </c>
      <c r="DI70" s="172">
        <f t="shared" si="459"/>
        <v>193414.1159808021</v>
      </c>
      <c r="DJ70" s="171">
        <f t="shared" si="459"/>
        <v>162337.05772811919</v>
      </c>
      <c r="DK70" s="1044">
        <f t="shared" si="459"/>
        <v>206792.71708683483</v>
      </c>
      <c r="DL70" s="1044">
        <f t="shared" si="459"/>
        <v>163338.36905548722</v>
      </c>
      <c r="DM70" s="172">
        <f t="shared" si="459"/>
        <v>195284.40016551502</v>
      </c>
      <c r="DN70" s="1044">
        <f t="shared" si="459"/>
        <v>149167.84702549689</v>
      </c>
      <c r="DO70" s="1044">
        <f t="shared" si="459"/>
        <v>-3254515.8959537577</v>
      </c>
      <c r="DP70" s="1044">
        <f t="shared" si="459"/>
        <v>143193.43218564056</v>
      </c>
      <c r="DQ70" s="172">
        <f t="shared" si="459"/>
        <v>140203.65910339169</v>
      </c>
      <c r="DR70" s="1044">
        <f t="shared" si="459"/>
        <v>163981.2307002265</v>
      </c>
      <c r="DS70" s="1044">
        <f t="shared" si="459"/>
        <v>120947.4542040173</v>
      </c>
      <c r="DT70" s="1044">
        <f t="shared" si="459"/>
        <v>157599.69422856346</v>
      </c>
      <c r="DU70" s="172">
        <f t="shared" si="459"/>
        <v>172650.0230551362</v>
      </c>
      <c r="DV70" s="1044">
        <f t="shared" si="459"/>
        <v>-68111.455108359456</v>
      </c>
      <c r="DW70" s="1044">
        <f t="shared" ref="DW70" si="460">DW69-DV69</f>
        <v>108113.77970040776</v>
      </c>
      <c r="DX70" s="1044">
        <f t="shared" ref="DX70" si="461">DX69-DW69</f>
        <v>108113.77970040962</v>
      </c>
      <c r="DY70" s="172">
        <f t="shared" ref="DY70" si="462">DY69-DX69</f>
        <v>108113.77970040962</v>
      </c>
    </row>
    <row r="71" spans="1:129">
      <c r="A71" s="1265" t="s">
        <v>323</v>
      </c>
      <c r="B71" s="1045"/>
      <c r="C71" s="1045"/>
      <c r="D71" s="1045"/>
      <c r="E71" s="1045"/>
      <c r="F71" s="1045">
        <f t="shared" ref="F71:Q71" si="463">F69/F9</f>
        <v>0.4</v>
      </c>
      <c r="G71" s="1045">
        <f t="shared" si="463"/>
        <v>0.55670103092783507</v>
      </c>
      <c r="H71" s="1069">
        <f t="shared" si="463"/>
        <v>0.72803347280334729</v>
      </c>
      <c r="I71" s="1069">
        <f t="shared" si="463"/>
        <v>0.75993174061433444</v>
      </c>
      <c r="J71" s="1069">
        <f t="shared" si="463"/>
        <v>0.79410256410256408</v>
      </c>
      <c r="K71" s="1045">
        <f t="shared" si="463"/>
        <v>0.80303030303030298</v>
      </c>
      <c r="L71" s="1069">
        <f t="shared" si="463"/>
        <v>0.80681818181818177</v>
      </c>
      <c r="M71" s="1069">
        <f t="shared" si="463"/>
        <v>0.80763440860215052</v>
      </c>
      <c r="N71" s="1069">
        <f t="shared" si="463"/>
        <v>0.79693583883528019</v>
      </c>
      <c r="O71" s="1069">
        <f t="shared" si="463"/>
        <v>0.80522351965729289</v>
      </c>
      <c r="P71" s="1069">
        <f t="shared" si="463"/>
        <v>0.80977107664705783</v>
      </c>
      <c r="Q71" s="1069">
        <f t="shared" si="463"/>
        <v>0.82100755526026059</v>
      </c>
      <c r="R71" s="1069">
        <f t="shared" ref="R71" si="464">R69/R9</f>
        <v>0.81158226368845265</v>
      </c>
      <c r="S71" s="1095">
        <f>+R71+0.01</f>
        <v>0.82158226368845266</v>
      </c>
      <c r="T71" s="1095">
        <f>+S71+0.01</f>
        <v>0.83158226368845267</v>
      </c>
      <c r="U71" s="1095">
        <f t="shared" ref="U71:Y71" si="465">+T71+0.01</f>
        <v>0.84158226368845268</v>
      </c>
      <c r="V71" s="1095">
        <f t="shared" si="465"/>
        <v>0.85158226368845269</v>
      </c>
      <c r="W71" s="1095">
        <f t="shared" si="465"/>
        <v>0.8615822636884527</v>
      </c>
      <c r="X71" s="1095">
        <f t="shared" si="465"/>
        <v>0.87158226368845271</v>
      </c>
      <c r="Y71" s="1095">
        <f t="shared" si="465"/>
        <v>0.88158226368845272</v>
      </c>
      <c r="Z71" s="138"/>
      <c r="AA71" s="1045"/>
      <c r="AB71" s="1045"/>
      <c r="AC71" s="1045"/>
      <c r="AD71" s="1045"/>
      <c r="AE71" s="1045"/>
      <c r="AF71" s="1045"/>
      <c r="AG71" s="1045"/>
      <c r="AH71" s="1045"/>
      <c r="AI71" s="1045"/>
      <c r="AJ71" s="1045"/>
      <c r="AK71" s="1045"/>
      <c r="AL71" s="1045"/>
      <c r="AM71" s="1045"/>
      <c r="AN71" s="1045"/>
      <c r="AO71" s="1045"/>
      <c r="AP71" s="1045"/>
      <c r="AQ71" s="1045"/>
      <c r="AR71" s="1045"/>
      <c r="AS71" s="1045"/>
      <c r="AT71" s="1045"/>
      <c r="AU71" s="1045"/>
      <c r="AV71" s="1045"/>
      <c r="AW71" s="1045"/>
      <c r="AX71" s="1045"/>
      <c r="AY71" s="1045"/>
      <c r="AZ71" s="1045"/>
      <c r="BA71" s="1045"/>
      <c r="BB71" s="1045"/>
      <c r="BC71" s="1045"/>
      <c r="BD71" s="1045"/>
      <c r="BE71" s="1045"/>
      <c r="BF71" s="1045"/>
      <c r="BG71" s="1045"/>
      <c r="BH71" s="1045"/>
      <c r="BI71" s="1045"/>
      <c r="BJ71" s="1045"/>
      <c r="BK71" s="1045"/>
      <c r="BL71" s="1045"/>
      <c r="BM71" s="1045"/>
      <c r="BN71" s="1045"/>
      <c r="BO71" s="1045"/>
      <c r="BP71" s="1045"/>
      <c r="BQ71" s="1045"/>
      <c r="BR71" s="1045"/>
      <c r="BS71" s="1045"/>
      <c r="BT71" s="1045"/>
      <c r="BU71" s="1045"/>
      <c r="BV71" s="1045"/>
      <c r="BW71" s="1045"/>
      <c r="BX71" s="1045"/>
      <c r="BY71" s="138"/>
      <c r="BZ71" s="147">
        <f t="shared" ref="BZ71:DD71" si="466">BZ69/BZ59</f>
        <v>0.34416666666666668</v>
      </c>
      <c r="CA71" s="1045">
        <f t="shared" si="466"/>
        <v>0.46133333333333332</v>
      </c>
      <c r="CB71" s="1045">
        <f t="shared" si="466"/>
        <v>0.5</v>
      </c>
      <c r="CC71" s="101">
        <f t="shared" si="466"/>
        <v>0.55813953488372092</v>
      </c>
      <c r="CD71" s="147">
        <f t="shared" si="466"/>
        <v>0.63265306122448983</v>
      </c>
      <c r="CE71" s="1045">
        <f t="shared" si="466"/>
        <v>0.67241379310344829</v>
      </c>
      <c r="CF71" s="1045">
        <f t="shared" si="466"/>
        <v>0.68140579710144933</v>
      </c>
      <c r="CG71" s="1045">
        <f t="shared" si="466"/>
        <v>0.66666666666666663</v>
      </c>
      <c r="CH71" s="147">
        <f t="shared" si="466"/>
        <v>0.75770700636942678</v>
      </c>
      <c r="CI71" s="1045">
        <f t="shared" si="466"/>
        <v>0.7344632768361582</v>
      </c>
      <c r="CJ71" s="1045">
        <f t="shared" si="466"/>
        <v>0.72985781990521326</v>
      </c>
      <c r="CK71" s="1045">
        <f t="shared" si="466"/>
        <v>0.75982532751091703</v>
      </c>
      <c r="CL71" s="147">
        <f t="shared" si="466"/>
        <v>0.77004184100418405</v>
      </c>
      <c r="CM71" s="1045">
        <f t="shared" si="466"/>
        <v>0.77370929308975378</v>
      </c>
      <c r="CN71" s="1045">
        <f t="shared" si="466"/>
        <v>0.78128301886792451</v>
      </c>
      <c r="CO71" s="1045">
        <f t="shared" si="466"/>
        <v>0.78678445229681981</v>
      </c>
      <c r="CP71" s="147">
        <f t="shared" si="466"/>
        <v>0.79993031358885014</v>
      </c>
      <c r="CQ71" s="1045">
        <f t="shared" si="466"/>
        <v>0.80559726962457334</v>
      </c>
      <c r="CR71" s="1045">
        <f t="shared" si="466"/>
        <v>0.81053691275167783</v>
      </c>
      <c r="CS71" s="1045">
        <f t="shared" si="466"/>
        <v>0.82039735099337752</v>
      </c>
      <c r="CT71" s="147">
        <f t="shared" si="466"/>
        <v>0.8225490196078431</v>
      </c>
      <c r="CU71" s="1045">
        <f t="shared" si="466"/>
        <v>0.82499999999999996</v>
      </c>
      <c r="CV71" s="1045">
        <f t="shared" si="466"/>
        <v>0.83353601556599555</v>
      </c>
      <c r="CW71" s="1045">
        <f t="shared" si="466"/>
        <v>0.828125</v>
      </c>
      <c r="CX71" s="147">
        <f t="shared" si="466"/>
        <v>0.83602484472049687</v>
      </c>
      <c r="CY71" s="1045">
        <f t="shared" si="466"/>
        <v>0.83157575757575752</v>
      </c>
      <c r="CZ71" s="1045">
        <f t="shared" si="466"/>
        <v>0.82585798816568046</v>
      </c>
      <c r="DA71" s="1045">
        <f t="shared" si="466"/>
        <v>0.83040935672514615</v>
      </c>
      <c r="DB71" s="147">
        <f t="shared" si="466"/>
        <v>0.83327536231884058</v>
      </c>
      <c r="DC71" s="1045">
        <f t="shared" si="466"/>
        <v>0.84195054469998276</v>
      </c>
      <c r="DD71" s="1045">
        <f t="shared" si="466"/>
        <v>0.83280898876404497</v>
      </c>
      <c r="DE71" s="1045">
        <f t="shared" ref="DE71:DJ71" si="467">DE69/DE59</f>
        <v>0.82994475138121548</v>
      </c>
      <c r="DF71" s="147">
        <f t="shared" si="467"/>
        <v>0.82521739130434779</v>
      </c>
      <c r="DG71" s="1045">
        <f t="shared" si="467"/>
        <v>0.81655716954975599</v>
      </c>
      <c r="DH71" s="1045">
        <f t="shared" si="467"/>
        <v>0.81176643192488263</v>
      </c>
      <c r="DI71" s="101">
        <f t="shared" si="467"/>
        <v>0.81758184502272269</v>
      </c>
      <c r="DJ71" s="147">
        <f t="shared" si="467"/>
        <v>0.82398649230716225</v>
      </c>
      <c r="DK71" s="1045">
        <f t="shared" ref="DK71:DP71" si="468">DK69/DK59</f>
        <v>0.832480636341556</v>
      </c>
      <c r="DL71" s="1045">
        <f t="shared" si="468"/>
        <v>0.83873908642580164</v>
      </c>
      <c r="DM71" s="101">
        <f t="shared" si="468"/>
        <v>0.8253541076487253</v>
      </c>
      <c r="DN71" s="1045">
        <f t="shared" si="468"/>
        <v>0.82558859975216858</v>
      </c>
      <c r="DO71" s="1045">
        <f t="shared" si="468"/>
        <v>0.84383163984676013</v>
      </c>
      <c r="DP71" s="1045">
        <f t="shared" si="468"/>
        <v>0.84187504109838307</v>
      </c>
      <c r="DQ71" s="101">
        <f t="shared" ref="DQ71:DR71" si="469">DQ69/DQ59</f>
        <v>0.83445921922776078</v>
      </c>
      <c r="DR71" s="1045">
        <f t="shared" si="469"/>
        <v>0.837842186759158</v>
      </c>
      <c r="DS71" s="1045">
        <f t="shared" ref="DS71:DT71" si="470">DS69/DS59</f>
        <v>0.83858934391257101</v>
      </c>
      <c r="DT71" s="1045">
        <f t="shared" si="470"/>
        <v>0.84150814989237177</v>
      </c>
      <c r="DU71" s="101">
        <f t="shared" ref="DU71:DV71" si="471">DU69/DU59</f>
        <v>0.84527187596188791</v>
      </c>
      <c r="DV71" s="1045">
        <f t="shared" si="471"/>
        <v>0.83485544170200088</v>
      </c>
      <c r="DW71" s="1059">
        <f t="shared" ref="DW71" si="472">+DV71</f>
        <v>0.83485544170200088</v>
      </c>
      <c r="DX71" s="1059">
        <f t="shared" ref="DX71" si="473">+DW71</f>
        <v>0.83485544170200088</v>
      </c>
      <c r="DY71" s="166">
        <f t="shared" ref="DY71" si="474">+DX71</f>
        <v>0.83485544170200088</v>
      </c>
    </row>
    <row r="72" spans="1:129">
      <c r="A72" s="171" t="s">
        <v>385</v>
      </c>
      <c r="B72" s="1044"/>
      <c r="C72" s="1044"/>
      <c r="D72" s="1044"/>
      <c r="E72" s="1044"/>
      <c r="F72" s="1044">
        <f t="shared" ref="F72:T72" si="475">AVERAGE(E69:F69)</f>
        <v>1406500</v>
      </c>
      <c r="G72" s="1044">
        <f t="shared" si="475"/>
        <v>3900000</v>
      </c>
      <c r="H72" s="1094">
        <f t="shared" si="475"/>
        <v>7050000</v>
      </c>
      <c r="I72" s="1094">
        <f t="shared" si="475"/>
        <v>9916500</v>
      </c>
      <c r="J72" s="1094">
        <f t="shared" si="475"/>
        <v>11760500</v>
      </c>
      <c r="K72" s="1044">
        <f t="shared" si="475"/>
        <v>12819000</v>
      </c>
      <c r="L72" s="1094">
        <f t="shared" si="475"/>
        <v>13725000</v>
      </c>
      <c r="M72" s="1094">
        <f t="shared" si="475"/>
        <v>14611000</v>
      </c>
      <c r="N72" s="1094">
        <f t="shared" si="475"/>
        <v>15400664.804469274</v>
      </c>
      <c r="O72" s="1094">
        <f>AVERAGE(N69:O69)</f>
        <v>16143205.880956527</v>
      </c>
      <c r="P72" s="1094">
        <f>AVERAGE(O69:P69)</f>
        <v>15096106.674154891</v>
      </c>
      <c r="Q72" s="1094">
        <f>AVERAGE(P69:Q69)</f>
        <v>13992720.396429248</v>
      </c>
      <c r="R72" s="1094">
        <f>AVERAGE(Q69:R69)</f>
        <v>14428424.539519653</v>
      </c>
      <c r="S72" s="1094">
        <f t="shared" si="475"/>
        <v>14752614.384663742</v>
      </c>
      <c r="T72" s="1094">
        <f t="shared" si="475"/>
        <v>15093509.239385225</v>
      </c>
      <c r="U72" s="1094">
        <f t="shared" ref="U72" si="476">AVERAGE(T69:U69)</f>
        <v>15357197.916745964</v>
      </c>
      <c r="V72" s="1094">
        <f t="shared" ref="V72" si="477">AVERAGE(U69:V69)</f>
        <v>15581797.880426336</v>
      </c>
      <c r="W72" s="1094">
        <f t="shared" ref="W72" si="478">AVERAGE(V69:W69)</f>
        <v>15786610.674766522</v>
      </c>
      <c r="X72" s="1094">
        <f t="shared" ref="X72" si="479">AVERAGE(W69:X69)</f>
        <v>15981408.478186615</v>
      </c>
      <c r="Y72" s="1094">
        <f t="shared" ref="Y72" si="480">AVERAGE(X69:Y69)</f>
        <v>16171138.083021659</v>
      </c>
      <c r="Z72" s="536"/>
      <c r="AA72" s="1044"/>
      <c r="AB72" s="1044"/>
      <c r="AC72" s="1044"/>
      <c r="AD72" s="1044"/>
      <c r="AE72" s="1044"/>
      <c r="AF72" s="1044"/>
      <c r="AG72" s="1044"/>
      <c r="AH72" s="1044"/>
      <c r="AI72" s="1044"/>
      <c r="AJ72" s="1044"/>
      <c r="AK72" s="1044"/>
      <c r="AL72" s="1044"/>
      <c r="AM72" s="1044"/>
      <c r="AN72" s="1044"/>
      <c r="AO72" s="1044"/>
      <c r="AP72" s="1044"/>
      <c r="AQ72" s="1044"/>
      <c r="AR72" s="1044"/>
      <c r="AS72" s="1044"/>
      <c r="AT72" s="1044"/>
      <c r="AU72" s="1044"/>
      <c r="AV72" s="1044"/>
      <c r="AW72" s="1044"/>
      <c r="AX72" s="1044"/>
      <c r="AY72" s="1044"/>
      <c r="AZ72" s="1044"/>
      <c r="BA72" s="1044"/>
      <c r="BB72" s="1044"/>
      <c r="BC72" s="1044"/>
      <c r="BD72" s="1044"/>
      <c r="BE72" s="1044"/>
      <c r="BF72" s="1044"/>
      <c r="BG72" s="1044"/>
      <c r="BH72" s="1044"/>
      <c r="BI72" s="1044"/>
      <c r="BJ72" s="1044"/>
      <c r="BK72" s="1044"/>
      <c r="BL72" s="1044"/>
      <c r="BM72" s="1044"/>
      <c r="BN72" s="1044"/>
      <c r="BO72" s="1044"/>
      <c r="BP72" s="1044"/>
      <c r="BQ72" s="1044"/>
      <c r="BR72" s="1044"/>
      <c r="BS72" s="1044"/>
      <c r="BT72" s="1044"/>
      <c r="BU72" s="1044"/>
      <c r="BV72" s="1044"/>
      <c r="BW72" s="1044"/>
      <c r="BX72" s="1044"/>
      <c r="BY72" s="536"/>
      <c r="BZ72" s="171"/>
      <c r="CA72" s="1044">
        <f t="shared" ref="CA72:DV72" si="481">AVERAGE(BZ69:CA69)</f>
        <v>552500</v>
      </c>
      <c r="CB72" s="1044">
        <f t="shared" si="481"/>
        <v>946000</v>
      </c>
      <c r="CC72" s="172">
        <f t="shared" si="481"/>
        <v>1800000</v>
      </c>
      <c r="CD72" s="171">
        <f t="shared" si="481"/>
        <v>2750000</v>
      </c>
      <c r="CE72" s="1044">
        <f t="shared" si="481"/>
        <v>3500000</v>
      </c>
      <c r="CF72" s="1044">
        <f t="shared" si="481"/>
        <v>4300850</v>
      </c>
      <c r="CG72" s="1044">
        <f t="shared" si="481"/>
        <v>5050850</v>
      </c>
      <c r="CH72" s="171">
        <f t="shared" si="481"/>
        <v>5674000</v>
      </c>
      <c r="CI72" s="1044">
        <f t="shared" si="481"/>
        <v>6224000</v>
      </c>
      <c r="CJ72" s="1044">
        <f t="shared" si="481"/>
        <v>7100000</v>
      </c>
      <c r="CK72" s="1044">
        <f t="shared" si="481"/>
        <v>8200000</v>
      </c>
      <c r="CL72" s="171">
        <f t="shared" si="481"/>
        <v>8951000</v>
      </c>
      <c r="CM72" s="1044">
        <f t="shared" si="481"/>
        <v>9471500</v>
      </c>
      <c r="CN72" s="1044">
        <f t="shared" si="481"/>
        <v>10046500</v>
      </c>
      <c r="CO72" s="1044">
        <f t="shared" si="481"/>
        <v>10742500</v>
      </c>
      <c r="CP72" s="171">
        <f t="shared" si="481"/>
        <v>11306000</v>
      </c>
      <c r="CQ72" s="1044">
        <f t="shared" si="481"/>
        <v>11640500</v>
      </c>
      <c r="CR72" s="1044">
        <f t="shared" si="481"/>
        <v>11939500</v>
      </c>
      <c r="CS72" s="1044">
        <f t="shared" si="481"/>
        <v>12232500</v>
      </c>
      <c r="CT72" s="171">
        <f t="shared" si="481"/>
        <v>12486500</v>
      </c>
      <c r="CU72" s="1044">
        <f t="shared" si="481"/>
        <v>12727500</v>
      </c>
      <c r="CV72" s="1044">
        <f t="shared" si="481"/>
        <v>12946500</v>
      </c>
      <c r="CW72" s="1044">
        <f t="shared" si="481"/>
        <v>13136500</v>
      </c>
      <c r="CX72" s="171">
        <f t="shared" si="481"/>
        <v>13355000</v>
      </c>
      <c r="CY72" s="1044">
        <f t="shared" si="481"/>
        <v>13590500</v>
      </c>
      <c r="CZ72" s="1044">
        <f t="shared" si="481"/>
        <v>13839000</v>
      </c>
      <c r="DA72" s="1044">
        <f t="shared" si="481"/>
        <v>14078500</v>
      </c>
      <c r="DB72" s="171">
        <f t="shared" si="481"/>
        <v>14287000</v>
      </c>
      <c r="DC72" s="1044">
        <f t="shared" si="481"/>
        <v>14490500</v>
      </c>
      <c r="DD72" s="1044">
        <f t="shared" si="481"/>
        <v>14715500</v>
      </c>
      <c r="DE72" s="1044">
        <f t="shared" si="481"/>
        <v>14923000</v>
      </c>
      <c r="DF72" s="171">
        <f t="shared" si="481"/>
        <v>15103000</v>
      </c>
      <c r="DG72" s="1044">
        <f t="shared" si="481"/>
        <v>15267637.393767707</v>
      </c>
      <c r="DH72" s="1044">
        <f t="shared" si="481"/>
        <v>15468595.140246579</v>
      </c>
      <c r="DI72" s="172">
        <f t="shared" si="481"/>
        <v>15682622.550948147</v>
      </c>
      <c r="DJ72" s="171">
        <f t="shared" si="481"/>
        <v>15860498.137802608</v>
      </c>
      <c r="DK72" s="1044">
        <f t="shared" si="481"/>
        <v>16045063.025210086</v>
      </c>
      <c r="DL72" s="1044">
        <f t="shared" si="481"/>
        <v>16230128.568281246</v>
      </c>
      <c r="DM72" s="172">
        <f t="shared" si="481"/>
        <v>16409439.952891748</v>
      </c>
      <c r="DN72" s="1044">
        <f t="shared" si="481"/>
        <v>16581666.076487254</v>
      </c>
      <c r="DO72" s="1044">
        <f t="shared" si="481"/>
        <v>15028992.052023124</v>
      </c>
      <c r="DP72" s="1044">
        <f t="shared" si="481"/>
        <v>13473330.820139065</v>
      </c>
      <c r="DQ72" s="172">
        <f t="shared" si="481"/>
        <v>13615029.36578358</v>
      </c>
      <c r="DR72" s="1044">
        <f t="shared" si="481"/>
        <v>13767121.810685389</v>
      </c>
      <c r="DS72" s="1044">
        <f t="shared" si="481"/>
        <v>13909586.153137513</v>
      </c>
      <c r="DT72" s="1044">
        <f t="shared" si="481"/>
        <v>14048859.727353802</v>
      </c>
      <c r="DU72" s="172">
        <f t="shared" si="481"/>
        <v>14213984.585995652</v>
      </c>
      <c r="DV72" s="1044">
        <f t="shared" si="481"/>
        <v>14266253.86996904</v>
      </c>
      <c r="DW72" s="1044">
        <f t="shared" ref="DW72" si="482">AVERAGE(DV69:DW69)</f>
        <v>14286255.032265063</v>
      </c>
      <c r="DX72" s="1044">
        <f t="shared" ref="DX72" si="483">AVERAGE(DW69:DX69)</f>
        <v>14394368.811965473</v>
      </c>
      <c r="DY72" s="172">
        <f t="shared" ref="DY72" si="484">AVERAGE(DX69:DY69)</f>
        <v>14502482.591665883</v>
      </c>
    </row>
    <row r="73" spans="1:129">
      <c r="A73" s="663" t="s">
        <v>394</v>
      </c>
      <c r="B73" s="1121"/>
      <c r="C73" s="1121"/>
      <c r="D73" s="1121"/>
      <c r="E73" s="1121">
        <f t="shared" ref="E73:N73" si="485">E63/E69</f>
        <v>4.8426150121065374E-2</v>
      </c>
      <c r="F73" s="1121">
        <f t="shared" si="485"/>
        <v>8.6249999999999993E-2</v>
      </c>
      <c r="G73" s="1121">
        <f t="shared" si="485"/>
        <v>0.16981481481481481</v>
      </c>
      <c r="H73" s="1097">
        <f t="shared" si="485"/>
        <v>0.21252873563218391</v>
      </c>
      <c r="I73" s="1097">
        <f t="shared" si="485"/>
        <v>0.24701338363424055</v>
      </c>
      <c r="J73" s="1097">
        <f t="shared" si="485"/>
        <v>0.28027123022279626</v>
      </c>
      <c r="K73" s="1121">
        <f t="shared" si="485"/>
        <v>0.3149433962264151</v>
      </c>
      <c r="L73" s="1097">
        <f t="shared" si="485"/>
        <v>0.33281690140845072</v>
      </c>
      <c r="M73" s="1097">
        <f t="shared" si="485"/>
        <v>0.35028624683797099</v>
      </c>
      <c r="N73" s="1097">
        <f t="shared" si="485"/>
        <v>0.35799999999999998</v>
      </c>
      <c r="O73" s="1097">
        <f t="shared" ref="O73:T73" si="486">O63/O69</f>
        <v>0.35299999999999998</v>
      </c>
      <c r="P73" s="1097">
        <f t="shared" si="486"/>
        <v>0.34300000000000003</v>
      </c>
      <c r="Q73" s="1097">
        <f t="shared" si="486"/>
        <v>0.32300000000000001</v>
      </c>
      <c r="R73" s="1097">
        <f t="shared" si="486"/>
        <v>0.3099981287262662</v>
      </c>
      <c r="S73" s="1097">
        <f t="shared" si="486"/>
        <v>0.29884727108767528</v>
      </c>
      <c r="T73" s="1097">
        <f t="shared" si="486"/>
        <v>0.29023531350300547</v>
      </c>
      <c r="U73" s="1097">
        <f t="shared" ref="U73:Y73" si="487">U63/U69</f>
        <v>0.28291906067828876</v>
      </c>
      <c r="V73" s="1097">
        <f t="shared" si="487"/>
        <v>0.27631435533483584</v>
      </c>
      <c r="W73" s="1097">
        <f t="shared" si="487"/>
        <v>0.27013884807247102</v>
      </c>
      <c r="X73" s="1097">
        <f t="shared" si="487"/>
        <v>0.26425304566577196</v>
      </c>
      <c r="Y73" s="1097">
        <f t="shared" si="487"/>
        <v>0.25858627248058813</v>
      </c>
      <c r="Z73" s="138"/>
      <c r="AA73" s="1045"/>
      <c r="AB73" s="1045"/>
      <c r="AC73" s="1045"/>
      <c r="AD73" s="1045"/>
      <c r="AE73" s="1045"/>
      <c r="AF73" s="1045"/>
      <c r="AG73" s="1045"/>
      <c r="AH73" s="1045"/>
      <c r="AI73" s="1045"/>
      <c r="AJ73" s="1045"/>
      <c r="AK73" s="1045"/>
      <c r="AL73" s="1045"/>
      <c r="AM73" s="1045"/>
      <c r="AN73" s="1045"/>
      <c r="AO73" s="1045"/>
      <c r="AP73" s="1045"/>
      <c r="AQ73" s="1045"/>
      <c r="AR73" s="1045"/>
      <c r="AS73" s="1045"/>
      <c r="AT73" s="1045"/>
      <c r="AU73" s="1045"/>
      <c r="AV73" s="1045"/>
      <c r="AW73" s="1045"/>
      <c r="AX73" s="1045"/>
      <c r="AY73" s="1045"/>
      <c r="AZ73" s="1045"/>
      <c r="BA73" s="1045"/>
      <c r="BB73" s="1045"/>
      <c r="BC73" s="1045"/>
      <c r="BD73" s="1045"/>
      <c r="BE73" s="1045"/>
      <c r="BF73" s="1045"/>
      <c r="BG73" s="1045"/>
      <c r="BH73" s="1045"/>
      <c r="BI73" s="1045"/>
      <c r="BJ73" s="1045"/>
      <c r="BK73" s="1045"/>
      <c r="BL73" s="1045"/>
      <c r="BM73" s="1045"/>
      <c r="BN73" s="1045"/>
      <c r="BO73" s="1045"/>
      <c r="BP73" s="1045"/>
      <c r="BQ73" s="1045"/>
      <c r="BR73" s="1045"/>
      <c r="BS73" s="1045"/>
      <c r="BT73" s="1045"/>
      <c r="BU73" s="1045"/>
      <c r="BV73" s="1045"/>
      <c r="BW73" s="1045"/>
      <c r="BX73" s="1045"/>
      <c r="BY73" s="667"/>
      <c r="BZ73" s="669"/>
      <c r="CA73" s="1121">
        <f t="shared" ref="CA73:DF73" si="488">CA63/CA69</f>
        <v>7.947976878612717E-2</v>
      </c>
      <c r="CB73" s="1121">
        <f t="shared" si="488"/>
        <v>9.8333333333333328E-2</v>
      </c>
      <c r="CC73" s="668">
        <f t="shared" si="488"/>
        <v>8.6249999999999993E-2</v>
      </c>
      <c r="CD73" s="669">
        <f t="shared" si="488"/>
        <v>0.11225806451612903</v>
      </c>
      <c r="CE73" s="1121">
        <f t="shared" si="488"/>
        <v>0.13205128205128205</v>
      </c>
      <c r="CF73" s="1121">
        <f t="shared" si="488"/>
        <v>0.1524980326264968</v>
      </c>
      <c r="CG73" s="1121">
        <f t="shared" si="488"/>
        <v>0.16981481481481481</v>
      </c>
      <c r="CH73" s="669">
        <f t="shared" si="488"/>
        <v>0.19603227975790183</v>
      </c>
      <c r="CI73" s="1121">
        <f t="shared" si="488"/>
        <v>0.20542657342657342</v>
      </c>
      <c r="CJ73" s="1121">
        <f t="shared" si="488"/>
        <v>0.20202020202020202</v>
      </c>
      <c r="CK73" s="1121">
        <f t="shared" si="488"/>
        <v>0.21252873563218391</v>
      </c>
      <c r="CL73" s="669">
        <f t="shared" si="488"/>
        <v>0.23147141925668333</v>
      </c>
      <c r="CM73" s="1121">
        <f t="shared" si="488"/>
        <v>0.24783903090031825</v>
      </c>
      <c r="CN73" s="1121">
        <f t="shared" si="488"/>
        <v>0.25125579598145287</v>
      </c>
      <c r="CO73" s="1121">
        <f t="shared" si="488"/>
        <v>0.24701338363424055</v>
      </c>
      <c r="CP73" s="669">
        <f t="shared" si="488"/>
        <v>0.25385486540639429</v>
      </c>
      <c r="CQ73" s="1121">
        <f t="shared" si="488"/>
        <v>0.261481104897475</v>
      </c>
      <c r="CR73" s="1121">
        <f t="shared" si="488"/>
        <v>0.27241864701498719</v>
      </c>
      <c r="CS73" s="1121">
        <f t="shared" si="488"/>
        <v>0.28027123022279626</v>
      </c>
      <c r="CT73" s="669">
        <f t="shared" si="488"/>
        <v>0.29114024632499008</v>
      </c>
      <c r="CU73" s="1121">
        <f t="shared" si="488"/>
        <v>0.29898989898989897</v>
      </c>
      <c r="CV73" s="1121">
        <f t="shared" si="488"/>
        <v>0.30553635874990404</v>
      </c>
      <c r="CW73" s="1121">
        <f t="shared" si="488"/>
        <v>0.3149433962264151</v>
      </c>
      <c r="CX73" s="669">
        <f t="shared" si="488"/>
        <v>0.32340267459138189</v>
      </c>
      <c r="CY73" s="1121">
        <f t="shared" si="488"/>
        <v>0.32599664747467388</v>
      </c>
      <c r="CZ73" s="1121">
        <f t="shared" si="488"/>
        <v>0.32901053234935873</v>
      </c>
      <c r="DA73" s="1121">
        <f t="shared" si="488"/>
        <v>0.33281690140845072</v>
      </c>
      <c r="DB73" s="669">
        <f t="shared" si="488"/>
        <v>0.34054542924725201</v>
      </c>
      <c r="DC73" s="1121">
        <f t="shared" si="488"/>
        <v>0.34469774765523381</v>
      </c>
      <c r="DD73" s="1121">
        <f t="shared" si="488"/>
        <v>0.348758769562871</v>
      </c>
      <c r="DE73" s="1121">
        <f t="shared" si="488"/>
        <v>0.35028624683797099</v>
      </c>
      <c r="DF73" s="669">
        <f t="shared" si="488"/>
        <v>0.35030295047418336</v>
      </c>
      <c r="DG73" s="1121">
        <f t="shared" ref="DG73:DL73" si="489">DG63/DG69</f>
        <v>0.35299999999999998</v>
      </c>
      <c r="DH73" s="1121">
        <f t="shared" si="489"/>
        <v>0.35499999999999998</v>
      </c>
      <c r="DI73" s="668">
        <f t="shared" si="489"/>
        <v>0.35799999999999998</v>
      </c>
      <c r="DJ73" s="669">
        <f t="shared" si="489"/>
        <v>0.36</v>
      </c>
      <c r="DK73" s="1121">
        <f t="shared" si="489"/>
        <v>0.35699999999999998</v>
      </c>
      <c r="DL73" s="1121">
        <f t="shared" si="489"/>
        <v>0.35599999999999998</v>
      </c>
      <c r="DM73" s="668">
        <f>DM63/DM69</f>
        <v>0.35299999999999998</v>
      </c>
      <c r="DN73" s="2495">
        <v>0.35199999999999998</v>
      </c>
      <c r="DO73" s="2495">
        <v>0.34599999999999997</v>
      </c>
      <c r="DP73" s="2495">
        <v>0.34499999999999997</v>
      </c>
      <c r="DQ73" s="3068">
        <v>0.34300000000000003</v>
      </c>
      <c r="DR73" s="2495">
        <v>0.33800000000000002</v>
      </c>
      <c r="DS73" s="2495">
        <v>0.33400000000000002</v>
      </c>
      <c r="DT73" s="2495">
        <v>0.32900000000000001</v>
      </c>
      <c r="DU73" s="3068">
        <v>0.32300000000000001</v>
      </c>
      <c r="DV73" s="3335">
        <f>+DU73</f>
        <v>0.32300000000000001</v>
      </c>
      <c r="DW73" s="1121">
        <f t="shared" ref="DW73:DY73" si="490">DW63/DW69</f>
        <v>0.31899585063734359</v>
      </c>
      <c r="DX73" s="1121">
        <f t="shared" si="490"/>
        <v>0.31484399019530168</v>
      </c>
      <c r="DY73" s="668">
        <f t="shared" si="490"/>
        <v>0.3099981287262662</v>
      </c>
    </row>
    <row r="74" spans="1:129">
      <c r="A74" s="685" t="s">
        <v>387</v>
      </c>
      <c r="B74" s="1121"/>
      <c r="C74" s="1121"/>
      <c r="D74" s="1121"/>
      <c r="E74" s="1121"/>
      <c r="F74" s="1121">
        <f t="shared" ref="F74:T74" si="491">F73-E73</f>
        <v>3.7823849878934619E-2</v>
      </c>
      <c r="G74" s="1119">
        <f t="shared" si="491"/>
        <v>8.3564814814814814E-2</v>
      </c>
      <c r="H74" s="1101">
        <f t="shared" si="491"/>
        <v>4.2713920817369105E-2</v>
      </c>
      <c r="I74" s="1101">
        <f t="shared" si="491"/>
        <v>3.4484648002056639E-2</v>
      </c>
      <c r="J74" s="1101">
        <f t="shared" si="491"/>
        <v>3.3257846588555712E-2</v>
      </c>
      <c r="K74" s="1119">
        <f t="shared" si="491"/>
        <v>3.4672166003618832E-2</v>
      </c>
      <c r="L74" s="1101">
        <f t="shared" si="491"/>
        <v>1.7873505182035621E-2</v>
      </c>
      <c r="M74" s="1101">
        <f t="shared" si="491"/>
        <v>1.7469345429520278E-2</v>
      </c>
      <c r="N74" s="1101">
        <f t="shared" si="491"/>
        <v>7.7137531620289912E-3</v>
      </c>
      <c r="O74" s="1101">
        <f>O73-N73</f>
        <v>-5.0000000000000044E-3</v>
      </c>
      <c r="P74" s="1101">
        <f>P73-O73</f>
        <v>-9.9999999999999534E-3</v>
      </c>
      <c r="Q74" s="1101">
        <f>Q73-P73</f>
        <v>-2.0000000000000018E-2</v>
      </c>
      <c r="R74" s="1101">
        <f>R73-Q73</f>
        <v>-1.3001871273733812E-2</v>
      </c>
      <c r="S74" s="1101">
        <f t="shared" si="491"/>
        <v>-1.1150857638590916E-2</v>
      </c>
      <c r="T74" s="1101">
        <f t="shared" si="491"/>
        <v>-8.611957584669816E-3</v>
      </c>
      <c r="U74" s="1101">
        <f t="shared" ref="U74" si="492">U73-T73</f>
        <v>-7.3162528247167069E-3</v>
      </c>
      <c r="V74" s="1101">
        <f t="shared" ref="V74" si="493">V73-U73</f>
        <v>-6.6047053434529213E-3</v>
      </c>
      <c r="W74" s="1101">
        <f t="shared" ref="W74" si="494">W73-V73</f>
        <v>-6.1755072623648211E-3</v>
      </c>
      <c r="X74" s="1101">
        <f t="shared" ref="X74" si="495">X73-W73</f>
        <v>-5.8858024066990589E-3</v>
      </c>
      <c r="Y74" s="1101">
        <f t="shared" ref="Y74" si="496">Y73-X73</f>
        <v>-5.6667731851838266E-3</v>
      </c>
      <c r="Z74" s="193"/>
      <c r="AA74" s="1241"/>
      <c r="AB74" s="1241"/>
      <c r="AC74" s="1241"/>
      <c r="AD74" s="1241"/>
      <c r="AE74" s="1241"/>
      <c r="AF74" s="1241"/>
      <c r="AG74" s="1241"/>
      <c r="AH74" s="1241"/>
      <c r="AI74" s="1241"/>
      <c r="AJ74" s="1241"/>
      <c r="AK74" s="1241"/>
      <c r="AL74" s="1241"/>
      <c r="AM74" s="1241"/>
      <c r="AN74" s="1241"/>
      <c r="AO74" s="1241"/>
      <c r="AP74" s="1241"/>
      <c r="AQ74" s="1241"/>
      <c r="AR74" s="1241"/>
      <c r="AS74" s="1241"/>
      <c r="AT74" s="1241"/>
      <c r="AU74" s="1241"/>
      <c r="AV74" s="1241"/>
      <c r="AW74" s="1241"/>
      <c r="AX74" s="1241"/>
      <c r="AY74" s="1241"/>
      <c r="AZ74" s="1241"/>
      <c r="BA74" s="1241"/>
      <c r="BB74" s="1241"/>
      <c r="BC74" s="1241"/>
      <c r="BD74" s="1241"/>
      <c r="BE74" s="1241"/>
      <c r="BF74" s="1241"/>
      <c r="BG74" s="1241"/>
      <c r="BH74" s="1241"/>
      <c r="BI74" s="1241"/>
      <c r="BJ74" s="1241"/>
      <c r="BK74" s="1241"/>
      <c r="BL74" s="1241"/>
      <c r="BM74" s="1241"/>
      <c r="BN74" s="1241"/>
      <c r="BO74" s="1241"/>
      <c r="BP74" s="1241"/>
      <c r="BQ74" s="1241"/>
      <c r="BR74" s="1241"/>
      <c r="BS74" s="1241"/>
      <c r="BT74" s="1241"/>
      <c r="BU74" s="1241"/>
      <c r="BV74" s="1241"/>
      <c r="BW74" s="1241"/>
      <c r="BX74" s="1241"/>
      <c r="BY74" s="193"/>
      <c r="BZ74" s="669"/>
      <c r="CA74" s="1121">
        <f t="shared" ref="CA74:DV74" si="497">CA73-BZ73</f>
        <v>7.947976878612717E-2</v>
      </c>
      <c r="CB74" s="1121">
        <f t="shared" si="497"/>
        <v>1.8853564547206159E-2</v>
      </c>
      <c r="CC74" s="668">
        <f t="shared" si="497"/>
        <v>-1.2083333333333335E-2</v>
      </c>
      <c r="CD74" s="688">
        <f t="shared" si="497"/>
        <v>2.600806451612904E-2</v>
      </c>
      <c r="CE74" s="1119">
        <f t="shared" si="497"/>
        <v>1.9793217535153021E-2</v>
      </c>
      <c r="CF74" s="1119">
        <f t="shared" si="497"/>
        <v>2.044675057521475E-2</v>
      </c>
      <c r="CG74" s="1119">
        <f t="shared" si="497"/>
        <v>1.7316782188318003E-2</v>
      </c>
      <c r="CH74" s="688">
        <f t="shared" si="497"/>
        <v>2.6217464943087021E-2</v>
      </c>
      <c r="CI74" s="1119">
        <f t="shared" si="497"/>
        <v>9.3942936686715883E-3</v>
      </c>
      <c r="CJ74" s="1119">
        <f t="shared" si="497"/>
        <v>-3.4063714063714001E-3</v>
      </c>
      <c r="CK74" s="1119">
        <f t="shared" si="497"/>
        <v>1.0508533611981896E-2</v>
      </c>
      <c r="CL74" s="688">
        <f t="shared" si="497"/>
        <v>1.8942683624499412E-2</v>
      </c>
      <c r="CM74" s="1119">
        <f t="shared" si="497"/>
        <v>1.6367611643634927E-2</v>
      </c>
      <c r="CN74" s="1119">
        <f t="shared" si="497"/>
        <v>3.4167650811346151E-3</v>
      </c>
      <c r="CO74" s="1119">
        <f t="shared" si="497"/>
        <v>-4.2424123472123154E-3</v>
      </c>
      <c r="CP74" s="688">
        <f t="shared" si="497"/>
        <v>6.8414817721537402E-3</v>
      </c>
      <c r="CQ74" s="1119">
        <f t="shared" si="497"/>
        <v>7.6262394910807108E-3</v>
      </c>
      <c r="CR74" s="1119">
        <f t="shared" si="497"/>
        <v>1.0937542117512189E-2</v>
      </c>
      <c r="CS74" s="1119">
        <f t="shared" si="497"/>
        <v>7.8525832078090718E-3</v>
      </c>
      <c r="CT74" s="688">
        <f t="shared" si="497"/>
        <v>1.0869016102193818E-2</v>
      </c>
      <c r="CU74" s="1119">
        <f t="shared" si="497"/>
        <v>7.8496526649088905E-3</v>
      </c>
      <c r="CV74" s="1119">
        <f t="shared" si="497"/>
        <v>6.5464597600050634E-3</v>
      </c>
      <c r="CW74" s="1119">
        <f t="shared" si="497"/>
        <v>9.4070374765110598E-3</v>
      </c>
      <c r="CX74" s="688">
        <f t="shared" si="497"/>
        <v>8.4592783649667935E-3</v>
      </c>
      <c r="CY74" s="1119">
        <f t="shared" si="497"/>
        <v>2.593972883291995E-3</v>
      </c>
      <c r="CZ74" s="1119">
        <f t="shared" si="497"/>
        <v>3.0138848746848468E-3</v>
      </c>
      <c r="DA74" s="1119">
        <f t="shared" si="497"/>
        <v>3.8063690590919852E-3</v>
      </c>
      <c r="DB74" s="688">
        <f t="shared" si="497"/>
        <v>7.7285278388012912E-3</v>
      </c>
      <c r="DC74" s="1119">
        <f t="shared" si="497"/>
        <v>4.1523184079818032E-3</v>
      </c>
      <c r="DD74" s="1119">
        <f t="shared" si="497"/>
        <v>4.0610219076371856E-3</v>
      </c>
      <c r="DE74" s="1119">
        <f t="shared" si="497"/>
        <v>1.5274772750999976E-3</v>
      </c>
      <c r="DF74" s="688">
        <f t="shared" si="497"/>
        <v>1.6703636212367368E-5</v>
      </c>
      <c r="DG74" s="1119">
        <f t="shared" si="497"/>
        <v>2.6970495258166194E-3</v>
      </c>
      <c r="DH74" s="1119">
        <f t="shared" si="497"/>
        <v>2.0000000000000018E-3</v>
      </c>
      <c r="DI74" s="689">
        <f t="shared" si="497"/>
        <v>3.0000000000000027E-3</v>
      </c>
      <c r="DJ74" s="688">
        <f t="shared" si="497"/>
        <v>2.0000000000000018E-3</v>
      </c>
      <c r="DK74" s="1119">
        <f t="shared" si="497"/>
        <v>-3.0000000000000027E-3</v>
      </c>
      <c r="DL74" s="1119">
        <f t="shared" si="497"/>
        <v>-1.0000000000000009E-3</v>
      </c>
      <c r="DM74" s="689">
        <f t="shared" si="497"/>
        <v>-3.0000000000000027E-3</v>
      </c>
      <c r="DN74" s="1119">
        <f t="shared" si="497"/>
        <v>-1.0000000000000009E-3</v>
      </c>
      <c r="DO74" s="1119">
        <f t="shared" si="497"/>
        <v>-6.0000000000000053E-3</v>
      </c>
      <c r="DP74" s="1119">
        <f t="shared" si="497"/>
        <v>-1.0000000000000009E-3</v>
      </c>
      <c r="DQ74" s="689">
        <f t="shared" si="497"/>
        <v>-1.9999999999999463E-3</v>
      </c>
      <c r="DR74" s="1119">
        <f t="shared" si="497"/>
        <v>-5.0000000000000044E-3</v>
      </c>
      <c r="DS74" s="1119">
        <f t="shared" si="497"/>
        <v>-4.0000000000000036E-3</v>
      </c>
      <c r="DT74" s="1119">
        <f t="shared" si="497"/>
        <v>-5.0000000000000044E-3</v>
      </c>
      <c r="DU74" s="689">
        <f t="shared" si="497"/>
        <v>-6.0000000000000053E-3</v>
      </c>
      <c r="DV74" s="1119">
        <f t="shared" si="497"/>
        <v>0</v>
      </c>
      <c r="DW74" s="1119">
        <f t="shared" ref="DW74" si="498">DW73-DV73</f>
        <v>-4.0041493626564173E-3</v>
      </c>
      <c r="DX74" s="1119">
        <f t="shared" ref="DX74" si="499">DX73-DW73</f>
        <v>-4.1518604420419103E-3</v>
      </c>
      <c r="DY74" s="689">
        <f t="shared" ref="DY74" si="500">DY73-DX73</f>
        <v>-4.845861469035484E-3</v>
      </c>
    </row>
    <row r="75" spans="1:129">
      <c r="A75" s="653" t="s">
        <v>344</v>
      </c>
      <c r="B75" s="243"/>
      <c r="C75" s="243"/>
      <c r="D75" s="243"/>
      <c r="E75" s="243"/>
      <c r="F75" s="243">
        <f t="shared" ref="F75:S75" si="501">F83/F14</f>
        <v>0.30131004366812225</v>
      </c>
      <c r="G75" s="243">
        <f t="shared" si="501"/>
        <v>0.63067400275103158</v>
      </c>
      <c r="H75" s="487">
        <f t="shared" si="501"/>
        <v>0.77983973007169971</v>
      </c>
      <c r="I75" s="487">
        <f t="shared" si="501"/>
        <v>0.83688374923919662</v>
      </c>
      <c r="J75" s="487">
        <f t="shared" si="501"/>
        <v>0.85056344928956396</v>
      </c>
      <c r="K75" s="243">
        <f t="shared" si="501"/>
        <v>0.86630682997716424</v>
      </c>
      <c r="L75" s="487">
        <f t="shared" si="501"/>
        <v>0.87131268436578169</v>
      </c>
      <c r="M75" s="487">
        <f t="shared" si="501"/>
        <v>0.86660079051383399</v>
      </c>
      <c r="N75" s="487">
        <f t="shared" si="501"/>
        <v>0.8538391777509069</v>
      </c>
      <c r="O75" s="487">
        <f t="shared" si="501"/>
        <v>0.82840489053170319</v>
      </c>
      <c r="P75" s="487">
        <f t="shared" si="501"/>
        <v>0.83035556341765437</v>
      </c>
      <c r="Q75" s="487">
        <f t="shared" si="501"/>
        <v>0.78957264957264961</v>
      </c>
      <c r="R75" s="487">
        <f t="shared" ref="R75" si="502">R83/R14</f>
        <v>0.73866426583728928</v>
      </c>
      <c r="S75" s="487">
        <f t="shared" si="501"/>
        <v>0.73367958613893902</v>
      </c>
      <c r="T75" s="487">
        <f t="shared" ref="T75:Y75" si="503">T83/T14</f>
        <v>0.72993914012213235</v>
      </c>
      <c r="U75" s="487">
        <f t="shared" si="503"/>
        <v>0.72744213947499581</v>
      </c>
      <c r="V75" s="487">
        <f t="shared" si="503"/>
        <v>0.7262002839881051</v>
      </c>
      <c r="W75" s="487">
        <f t="shared" si="503"/>
        <v>0.72623838215836001</v>
      </c>
      <c r="X75" s="487">
        <f t="shared" si="503"/>
        <v>0.72759533724473557</v>
      </c>
      <c r="Y75" s="487">
        <f t="shared" si="503"/>
        <v>0.730325556942228</v>
      </c>
      <c r="Z75" s="138"/>
      <c r="AA75" s="1045"/>
      <c r="AB75" s="1045"/>
      <c r="AC75" s="1045"/>
      <c r="AD75" s="1045"/>
      <c r="AE75" s="1045"/>
      <c r="AF75" s="1045"/>
      <c r="AG75" s="1045"/>
      <c r="AH75" s="1045"/>
      <c r="AI75" s="1045"/>
      <c r="AJ75" s="1045"/>
      <c r="AK75" s="1045"/>
      <c r="AL75" s="1045"/>
      <c r="AM75" s="1045"/>
      <c r="AN75" s="1045"/>
      <c r="AO75" s="1045"/>
      <c r="AP75" s="1045"/>
      <c r="AQ75" s="1045"/>
      <c r="AR75" s="1045"/>
      <c r="AS75" s="1045"/>
      <c r="AT75" s="1045"/>
      <c r="AU75" s="1045"/>
      <c r="AV75" s="1045"/>
      <c r="AW75" s="1045"/>
      <c r="AX75" s="1045"/>
      <c r="AY75" s="1045"/>
      <c r="AZ75" s="1045"/>
      <c r="BA75" s="1045"/>
      <c r="BB75" s="1045"/>
      <c r="BC75" s="1045"/>
      <c r="BD75" s="1045"/>
      <c r="BE75" s="1045"/>
      <c r="BF75" s="1045"/>
      <c r="BG75" s="1045"/>
      <c r="BH75" s="1045"/>
      <c r="BI75" s="1045"/>
      <c r="BJ75" s="1045"/>
      <c r="BK75" s="1045"/>
      <c r="BL75" s="1045"/>
      <c r="BM75" s="1045"/>
      <c r="BN75" s="1045"/>
      <c r="BO75" s="1045"/>
      <c r="BP75" s="1045"/>
      <c r="BQ75" s="1045"/>
      <c r="BR75" s="1045"/>
      <c r="BS75" s="1045"/>
      <c r="BT75" s="1045"/>
      <c r="BU75" s="1045"/>
      <c r="BV75" s="1045"/>
      <c r="BW75" s="1045"/>
      <c r="BX75" s="1045"/>
      <c r="BY75" s="488"/>
      <c r="BZ75" s="490"/>
      <c r="CA75" s="243">
        <f t="shared" ref="CA75:DR75" si="504">CA83/CA14</f>
        <v>0.14666666666666667</v>
      </c>
      <c r="CB75" s="243">
        <f t="shared" si="504"/>
        <v>0.22605363984674329</v>
      </c>
      <c r="CC75" s="491">
        <f t="shared" si="504"/>
        <v>0.30131004366812225</v>
      </c>
      <c r="CD75" s="490">
        <f t="shared" si="504"/>
        <v>0.40797186400937868</v>
      </c>
      <c r="CE75" s="243">
        <f t="shared" si="504"/>
        <v>0.48861480075901326</v>
      </c>
      <c r="CF75" s="243">
        <f t="shared" si="504"/>
        <v>0.55971896955503508</v>
      </c>
      <c r="CG75" s="243">
        <f t="shared" si="504"/>
        <v>0.63067400275103158</v>
      </c>
      <c r="CH75" s="490">
        <f t="shared" si="504"/>
        <v>0.68387096774193545</v>
      </c>
      <c r="CI75" s="243">
        <f t="shared" si="504"/>
        <v>0.70874348581354951</v>
      </c>
      <c r="CJ75" s="243">
        <f t="shared" si="504"/>
        <v>0.7407407407407407</v>
      </c>
      <c r="CK75" s="243">
        <f t="shared" si="504"/>
        <v>0.77983973007169971</v>
      </c>
      <c r="CL75" s="490">
        <f t="shared" si="504"/>
        <v>0.80286468149264978</v>
      </c>
      <c r="CM75" s="243">
        <f t="shared" si="504"/>
        <v>0.82059823249490138</v>
      </c>
      <c r="CN75" s="243">
        <f t="shared" si="504"/>
        <v>0.82940051020408168</v>
      </c>
      <c r="CO75" s="243">
        <f t="shared" si="504"/>
        <v>0.83688374923919662</v>
      </c>
      <c r="CP75" s="490">
        <f t="shared" si="504"/>
        <v>0.8407386035776111</v>
      </c>
      <c r="CQ75" s="243">
        <f t="shared" si="504"/>
        <v>0.84339983602077073</v>
      </c>
      <c r="CR75" s="243">
        <f t="shared" si="504"/>
        <v>0.84684684684684686</v>
      </c>
      <c r="CS75" s="243">
        <f t="shared" si="504"/>
        <v>0.85056344928956396</v>
      </c>
      <c r="CT75" s="490">
        <f t="shared" si="504"/>
        <v>0.85427838657029609</v>
      </c>
      <c r="CU75" s="243">
        <f t="shared" si="504"/>
        <v>0.85931219294327821</v>
      </c>
      <c r="CV75" s="243">
        <f t="shared" si="504"/>
        <v>0.86200173310225303</v>
      </c>
      <c r="CW75" s="243">
        <f t="shared" si="504"/>
        <v>0.86630682997716424</v>
      </c>
      <c r="CX75" s="490">
        <f t="shared" si="504"/>
        <v>0.86886227544910177</v>
      </c>
      <c r="CY75" s="243">
        <f t="shared" si="504"/>
        <v>0.86955676516329705</v>
      </c>
      <c r="CZ75" s="243">
        <f t="shared" si="504"/>
        <v>0.86969696969696975</v>
      </c>
      <c r="DA75" s="243">
        <f t="shared" si="504"/>
        <v>0.87131268436578169</v>
      </c>
      <c r="DB75" s="490">
        <f t="shared" si="504"/>
        <v>0.87223806129722026</v>
      </c>
      <c r="DC75" s="243">
        <f t="shared" si="504"/>
        <v>0.87216351983370866</v>
      </c>
      <c r="DD75" s="243">
        <f t="shared" si="504"/>
        <v>0.86949209552640427</v>
      </c>
      <c r="DE75" s="243">
        <f t="shared" si="504"/>
        <v>0.86660079051383399</v>
      </c>
      <c r="DF75" s="490">
        <f t="shared" si="504"/>
        <v>0.8620745542949757</v>
      </c>
      <c r="DG75" s="243">
        <f t="shared" si="504"/>
        <v>0.85893168489459504</v>
      </c>
      <c r="DH75" s="243">
        <f t="shared" si="504"/>
        <v>0.85504558800803587</v>
      </c>
      <c r="DI75" s="491">
        <f t="shared" si="504"/>
        <v>0.8538391777509069</v>
      </c>
      <c r="DJ75" s="490">
        <f t="shared" si="504"/>
        <v>0.85034819973329379</v>
      </c>
      <c r="DK75" s="243">
        <f t="shared" si="504"/>
        <v>0.8451839906172115</v>
      </c>
      <c r="DL75" s="243">
        <f t="shared" si="504"/>
        <v>0.83734679163662584</v>
      </c>
      <c r="DM75" s="491">
        <f t="shared" si="504"/>
        <v>0.82840489053170319</v>
      </c>
      <c r="DN75" s="243">
        <f t="shared" si="504"/>
        <v>0.82206954570947843</v>
      </c>
      <c r="DO75" s="243">
        <f t="shared" si="504"/>
        <v>0.84385805277525028</v>
      </c>
      <c r="DP75" s="243">
        <f t="shared" si="504"/>
        <v>0.83670546105640109</v>
      </c>
      <c r="DQ75" s="491">
        <f t="shared" si="504"/>
        <v>0.83035556341765437</v>
      </c>
      <c r="DR75" s="243">
        <f t="shared" si="504"/>
        <v>0.8229606188466948</v>
      </c>
      <c r="DS75" s="243">
        <f t="shared" ref="DS75:DT75" si="505">DS83/DS14</f>
        <v>0.81331706466794496</v>
      </c>
      <c r="DT75" s="243">
        <f t="shared" si="505"/>
        <v>0.80096501809408926</v>
      </c>
      <c r="DU75" s="491">
        <f t="shared" ref="DU75:DV75" si="506">DU83/DU14</f>
        <v>0.78957264957264961</v>
      </c>
      <c r="DV75" s="243">
        <f t="shared" si="506"/>
        <v>0.77704530087897228</v>
      </c>
      <c r="DW75" s="243">
        <f t="shared" ref="DW75:DY75" si="507">DW83/DW14</f>
        <v>0.76522248243559721</v>
      </c>
      <c r="DX75" s="243">
        <f t="shared" si="507"/>
        <v>0.75214947089947093</v>
      </c>
      <c r="DY75" s="491">
        <f t="shared" si="507"/>
        <v>0.73866426583728928</v>
      </c>
    </row>
    <row r="76" spans="1:129" outlineLevel="1">
      <c r="A76" s="670" t="s">
        <v>345</v>
      </c>
      <c r="B76" s="1044"/>
      <c r="C76" s="1044"/>
      <c r="D76" s="1044"/>
      <c r="E76" s="1044"/>
      <c r="F76" s="1044">
        <f t="shared" ref="F76:T76" si="508">E63</f>
        <v>20000</v>
      </c>
      <c r="G76" s="1044">
        <f t="shared" si="508"/>
        <v>207000</v>
      </c>
      <c r="H76" s="1094">
        <f t="shared" si="508"/>
        <v>917000</v>
      </c>
      <c r="I76" s="1094">
        <f t="shared" si="508"/>
        <v>1849000</v>
      </c>
      <c r="J76" s="1094">
        <f t="shared" si="508"/>
        <v>2750000</v>
      </c>
      <c r="K76" s="1044">
        <f t="shared" si="508"/>
        <v>3472000</v>
      </c>
      <c r="L76" s="1094">
        <f t="shared" si="508"/>
        <v>4173000</v>
      </c>
      <c r="M76" s="1094">
        <f t="shared" si="508"/>
        <v>4726000</v>
      </c>
      <c r="N76" s="1094">
        <f t="shared" si="508"/>
        <v>5262000</v>
      </c>
      <c r="O76" s="1094">
        <f>N63</f>
        <v>5649000</v>
      </c>
      <c r="P76" s="1094">
        <f>O63</f>
        <v>5827000</v>
      </c>
      <c r="Q76" s="1094">
        <f>P63</f>
        <v>4694000</v>
      </c>
      <c r="R76" s="1094">
        <f>Q63</f>
        <v>4619000</v>
      </c>
      <c r="S76" s="1094">
        <f t="shared" si="508"/>
        <v>4512500</v>
      </c>
      <c r="T76" s="1094">
        <f t="shared" si="508"/>
        <v>4467375</v>
      </c>
      <c r="U76" s="1094">
        <f t="shared" ref="U76" si="509">T63</f>
        <v>4422701.25</v>
      </c>
      <c r="V76" s="1094">
        <f t="shared" ref="V76" si="510">U63</f>
        <v>4378474.2374999998</v>
      </c>
      <c r="W76" s="1094">
        <f t="shared" ref="W76" si="511">V63</f>
        <v>4334689.4951249994</v>
      </c>
      <c r="X76" s="1094">
        <f t="shared" ref="X76" si="512">W63</f>
        <v>4291342.600173749</v>
      </c>
      <c r="Y76" s="1094">
        <f t="shared" ref="Y76" si="513">X63</f>
        <v>4248429.1741720112</v>
      </c>
      <c r="Z76" s="171"/>
      <c r="AA76" s="1044"/>
      <c r="AB76" s="1044"/>
      <c r="AC76" s="1044"/>
      <c r="AD76" s="1044"/>
      <c r="AE76" s="1044"/>
      <c r="AF76" s="1044"/>
      <c r="AG76" s="1044"/>
      <c r="AH76" s="1044"/>
      <c r="AI76" s="1044"/>
      <c r="AJ76" s="1044"/>
      <c r="AK76" s="1044"/>
      <c r="AL76" s="1044"/>
      <c r="AM76" s="1044"/>
      <c r="AN76" s="1044"/>
      <c r="AO76" s="1044"/>
      <c r="AP76" s="1044"/>
      <c r="AQ76" s="1044"/>
      <c r="AR76" s="1044"/>
      <c r="AS76" s="1044"/>
      <c r="AT76" s="1044"/>
      <c r="AU76" s="1044"/>
      <c r="AV76" s="1044"/>
      <c r="AW76" s="1044"/>
      <c r="AX76" s="1044"/>
      <c r="AY76" s="1044"/>
      <c r="AZ76" s="1044"/>
      <c r="BA76" s="1044"/>
      <c r="BB76" s="1044"/>
      <c r="BC76" s="1044"/>
      <c r="BD76" s="1044"/>
      <c r="BE76" s="1044"/>
      <c r="BF76" s="1044"/>
      <c r="BG76" s="1044"/>
      <c r="BH76" s="1044"/>
      <c r="BI76" s="1044"/>
      <c r="BJ76" s="1044"/>
      <c r="BK76" s="1044"/>
      <c r="BL76" s="1044"/>
      <c r="BM76" s="1044"/>
      <c r="BN76" s="1044"/>
      <c r="BO76" s="1044"/>
      <c r="BP76" s="1044"/>
      <c r="BQ76" s="1044"/>
      <c r="BR76" s="1044"/>
      <c r="BS76" s="1044"/>
      <c r="BT76" s="1044"/>
      <c r="BU76" s="1044"/>
      <c r="BV76" s="1044"/>
      <c r="BW76" s="1044"/>
      <c r="BX76" s="1044"/>
      <c r="BY76" s="536"/>
      <c r="BZ76" s="171">
        <f t="shared" ref="BZ76:DV76" si="514">BY63</f>
        <v>0</v>
      </c>
      <c r="CA76" s="1044">
        <f t="shared" si="514"/>
        <v>20000</v>
      </c>
      <c r="CB76" s="1044">
        <f t="shared" si="514"/>
        <v>55000</v>
      </c>
      <c r="CC76" s="172">
        <f t="shared" si="514"/>
        <v>118000</v>
      </c>
      <c r="CD76" s="171">
        <f t="shared" si="514"/>
        <v>207000</v>
      </c>
      <c r="CE76" s="1044">
        <f t="shared" si="514"/>
        <v>348000</v>
      </c>
      <c r="CF76" s="1044">
        <f t="shared" si="514"/>
        <v>515000</v>
      </c>
      <c r="CG76" s="1044">
        <f t="shared" si="514"/>
        <v>717000</v>
      </c>
      <c r="CH76" s="171">
        <f t="shared" si="514"/>
        <v>917000</v>
      </c>
      <c r="CI76" s="1044">
        <f t="shared" si="514"/>
        <v>1166000</v>
      </c>
      <c r="CJ76" s="1044">
        <f t="shared" si="514"/>
        <v>1335272.7272727273</v>
      </c>
      <c r="CK76" s="1044">
        <f t="shared" si="514"/>
        <v>1555555.5555555555</v>
      </c>
      <c r="CL76" s="171">
        <f t="shared" si="514"/>
        <v>1849000</v>
      </c>
      <c r="CM76" s="1044">
        <f>CL63</f>
        <v>2130000</v>
      </c>
      <c r="CN76" s="1044">
        <f t="shared" si="514"/>
        <v>2414200</v>
      </c>
      <c r="CO76" s="1044">
        <f t="shared" si="514"/>
        <v>2601000</v>
      </c>
      <c r="CP76" s="171">
        <f t="shared" si="514"/>
        <v>2750000</v>
      </c>
      <c r="CQ76" s="1044">
        <f t="shared" si="514"/>
        <v>2914000</v>
      </c>
      <c r="CR76" s="1044">
        <f t="shared" si="514"/>
        <v>3086000</v>
      </c>
      <c r="CS76" s="1044">
        <f t="shared" si="514"/>
        <v>3290000</v>
      </c>
      <c r="CT76" s="171">
        <f t="shared" si="514"/>
        <v>3472000</v>
      </c>
      <c r="CU76" s="1044">
        <f t="shared" si="514"/>
        <v>3664000</v>
      </c>
      <c r="CV76" s="1044">
        <f t="shared" si="514"/>
        <v>3848000</v>
      </c>
      <c r="CW76" s="1044">
        <f t="shared" si="514"/>
        <v>3979000</v>
      </c>
      <c r="CX76" s="171">
        <f t="shared" si="514"/>
        <v>4173000</v>
      </c>
      <c r="CY76" s="1044">
        <f t="shared" si="514"/>
        <v>4353000</v>
      </c>
      <c r="CZ76" s="1044">
        <f t="shared" si="514"/>
        <v>4473000</v>
      </c>
      <c r="DA76" s="1044">
        <f t="shared" si="514"/>
        <v>4592000</v>
      </c>
      <c r="DB76" s="171">
        <f t="shared" si="514"/>
        <v>4726000</v>
      </c>
      <c r="DC76" s="1044">
        <f t="shared" si="514"/>
        <v>4895000</v>
      </c>
      <c r="DD76" s="1044">
        <f t="shared" si="514"/>
        <v>5035000</v>
      </c>
      <c r="DE76" s="1044">
        <f t="shared" si="514"/>
        <v>5170000</v>
      </c>
      <c r="DF76" s="171">
        <f t="shared" si="514"/>
        <v>5262000</v>
      </c>
      <c r="DG76" s="1044">
        <f t="shared" si="514"/>
        <v>5319000</v>
      </c>
      <c r="DH76" s="1044">
        <f t="shared" si="514"/>
        <v>5419000</v>
      </c>
      <c r="DI76" s="172">
        <f t="shared" si="514"/>
        <v>5533000</v>
      </c>
      <c r="DJ76" s="171">
        <f t="shared" si="514"/>
        <v>5649000</v>
      </c>
      <c r="DK76" s="1044">
        <f t="shared" si="514"/>
        <v>5739000</v>
      </c>
      <c r="DL76" s="1044">
        <f t="shared" si="514"/>
        <v>5765000</v>
      </c>
      <c r="DM76" s="1044">
        <f t="shared" si="514"/>
        <v>5807000</v>
      </c>
      <c r="DN76" s="1044">
        <f t="shared" si="514"/>
        <v>5827000</v>
      </c>
      <c r="DO76" s="1044">
        <f t="shared" si="514"/>
        <v>5863000</v>
      </c>
      <c r="DP76" s="1044">
        <f t="shared" si="514"/>
        <v>4637000</v>
      </c>
      <c r="DQ76" s="3095">
        <f t="shared" si="514"/>
        <v>4673000</v>
      </c>
      <c r="DR76" s="1044">
        <f t="shared" si="514"/>
        <v>4694000</v>
      </c>
      <c r="DS76" s="1044">
        <f t="shared" si="514"/>
        <v>4681000</v>
      </c>
      <c r="DT76" s="1044">
        <f t="shared" si="514"/>
        <v>4666000</v>
      </c>
      <c r="DU76" s="1044">
        <f t="shared" si="514"/>
        <v>4648000</v>
      </c>
      <c r="DV76" s="1044">
        <f t="shared" si="514"/>
        <v>4619000</v>
      </c>
      <c r="DW76" s="1044">
        <f t="shared" ref="DW76" si="515">DV63</f>
        <v>4597000</v>
      </c>
      <c r="DX76" s="1044">
        <f t="shared" ref="DX76" si="516">DW63</f>
        <v>4574500</v>
      </c>
      <c r="DY76" s="172">
        <f t="shared" ref="DY76" si="517">DX63</f>
        <v>4549000</v>
      </c>
    </row>
    <row r="77" spans="1:129" outlineLevel="1">
      <c r="A77" s="381" t="s">
        <v>325</v>
      </c>
      <c r="B77" s="1044"/>
      <c r="C77" s="1044"/>
      <c r="D77" s="1044"/>
      <c r="E77" s="1044"/>
      <c r="F77" s="1044">
        <f t="shared" ref="F77:N77" si="518">+F83-F76+F79</f>
        <v>214240</v>
      </c>
      <c r="G77" s="1044">
        <f t="shared" si="518"/>
        <v>844880</v>
      </c>
      <c r="H77" s="1094">
        <f t="shared" si="518"/>
        <v>1258389.696969697</v>
      </c>
      <c r="I77" s="1094">
        <f t="shared" si="518"/>
        <v>1467682</v>
      </c>
      <c r="J77" s="1094">
        <f t="shared" si="518"/>
        <v>1466060</v>
      </c>
      <c r="K77" s="1044">
        <f t="shared" si="518"/>
        <v>1619810</v>
      </c>
      <c r="L77" s="1094">
        <f t="shared" si="518"/>
        <v>1625050</v>
      </c>
      <c r="M77" s="1094">
        <f t="shared" si="518"/>
        <v>1741640</v>
      </c>
      <c r="N77" s="1094">
        <f t="shared" si="518"/>
        <v>1690590</v>
      </c>
      <c r="O77" s="1094">
        <f t="shared" ref="O77:T77" si="519">+O83-O76+O79</f>
        <v>1560940</v>
      </c>
      <c r="P77" s="1094">
        <f t="shared" si="519"/>
        <v>93010</v>
      </c>
      <c r="Q77" s="1094">
        <f t="shared" si="519"/>
        <v>1081560</v>
      </c>
      <c r="R77" s="1094">
        <f t="shared" si="519"/>
        <v>990675</v>
      </c>
      <c r="S77" s="1094">
        <f t="shared" si="519"/>
        <v>1032460</v>
      </c>
      <c r="T77" s="1094">
        <f t="shared" si="519"/>
        <v>1022135.3999999999</v>
      </c>
      <c r="U77" s="1094">
        <f t="shared" ref="U77:Y77" si="520">+U83-U76+U79</f>
        <v>1011914.0460000001</v>
      </c>
      <c r="V77" s="1094">
        <f t="shared" si="520"/>
        <v>1001794.9055399996</v>
      </c>
      <c r="W77" s="1094">
        <f t="shared" si="520"/>
        <v>991776.9564845995</v>
      </c>
      <c r="X77" s="1094">
        <f t="shared" si="520"/>
        <v>981859.18691975344</v>
      </c>
      <c r="Y77" s="1094">
        <f t="shared" si="520"/>
        <v>972040.59505055589</v>
      </c>
      <c r="Z77" s="171"/>
      <c r="AA77" s="1044"/>
      <c r="AB77" s="1044"/>
      <c r="AC77" s="1044"/>
      <c r="AD77" s="1044"/>
      <c r="AE77" s="1044"/>
      <c r="AF77" s="1044"/>
      <c r="AG77" s="1044"/>
      <c r="AH77" s="1044"/>
      <c r="AI77" s="1044"/>
      <c r="AJ77" s="1044"/>
      <c r="AK77" s="1044"/>
      <c r="AL77" s="1044"/>
      <c r="AM77" s="1044"/>
      <c r="AN77" s="1044"/>
      <c r="AO77" s="1044"/>
      <c r="AP77" s="1044"/>
      <c r="AQ77" s="1044"/>
      <c r="AR77" s="1044"/>
      <c r="AS77" s="1044"/>
      <c r="AT77" s="1044"/>
      <c r="AU77" s="1044"/>
      <c r="AV77" s="1044"/>
      <c r="AW77" s="1044"/>
      <c r="AX77" s="1044"/>
      <c r="AY77" s="1044"/>
      <c r="AZ77" s="1044"/>
      <c r="BA77" s="1044"/>
      <c r="BB77" s="1044"/>
      <c r="BC77" s="1044"/>
      <c r="BD77" s="1044"/>
      <c r="BE77" s="1044"/>
      <c r="BF77" s="1044"/>
      <c r="BG77" s="1044"/>
      <c r="BH77" s="1044"/>
      <c r="BI77" s="1044"/>
      <c r="BJ77" s="1044"/>
      <c r="BK77" s="1044"/>
      <c r="BL77" s="1044"/>
      <c r="BM77" s="1044"/>
      <c r="BN77" s="1044"/>
      <c r="BO77" s="1044"/>
      <c r="BP77" s="1044"/>
      <c r="BQ77" s="1044"/>
      <c r="BR77" s="1044"/>
      <c r="BS77" s="1044"/>
      <c r="BT77" s="1044"/>
      <c r="BU77" s="1044"/>
      <c r="BV77" s="1044"/>
      <c r="BW77" s="1044"/>
      <c r="BX77" s="1044"/>
      <c r="BY77" s="536"/>
      <c r="BZ77" s="171">
        <f t="shared" ref="BZ77:DF77" si="521">+BZ83-BZ76+BZ79</f>
        <v>20600</v>
      </c>
      <c r="CA77" s="1044">
        <f t="shared" si="521"/>
        <v>37250</v>
      </c>
      <c r="CB77" s="1044">
        <f t="shared" si="521"/>
        <v>68190</v>
      </c>
      <c r="CC77" s="172">
        <f t="shared" si="521"/>
        <v>98750</v>
      </c>
      <c r="CD77" s="171">
        <f t="shared" si="521"/>
        <v>157650</v>
      </c>
      <c r="CE77" s="1044">
        <f t="shared" si="521"/>
        <v>192890</v>
      </c>
      <c r="CF77" s="1044">
        <f t="shared" si="521"/>
        <v>238960</v>
      </c>
      <c r="CG77" s="1044">
        <f t="shared" si="521"/>
        <v>249020</v>
      </c>
      <c r="CH77" s="171">
        <f t="shared" si="521"/>
        <v>311490</v>
      </c>
      <c r="CI77" s="1044">
        <f t="shared" si="521"/>
        <v>244310.90909090912</v>
      </c>
      <c r="CJ77" s="1044">
        <f t="shared" si="521"/>
        <v>307007.67676767672</v>
      </c>
      <c r="CK77" s="1044">
        <f t="shared" si="521"/>
        <v>395581.11111111112</v>
      </c>
      <c r="CL77" s="171">
        <f t="shared" si="521"/>
        <v>400370</v>
      </c>
      <c r="CM77" s="1044">
        <f t="shared" si="521"/>
        <v>420526</v>
      </c>
      <c r="CN77" s="1044">
        <f t="shared" si="521"/>
        <v>337256</v>
      </c>
      <c r="CO77" s="1044">
        <f t="shared" si="521"/>
        <v>309530</v>
      </c>
      <c r="CP77" s="171">
        <f t="shared" si="521"/>
        <v>333920</v>
      </c>
      <c r="CQ77" s="1044">
        <f t="shared" si="521"/>
        <v>352000</v>
      </c>
      <c r="CR77" s="1044">
        <f t="shared" si="521"/>
        <v>395280</v>
      </c>
      <c r="CS77" s="1044">
        <f t="shared" si="521"/>
        <v>384860</v>
      </c>
      <c r="CT77" s="171">
        <f t="shared" si="521"/>
        <v>406080</v>
      </c>
      <c r="CU77" s="1044">
        <f t="shared" si="521"/>
        <v>409360</v>
      </c>
      <c r="CV77" s="1044">
        <f t="shared" si="521"/>
        <v>365810</v>
      </c>
      <c r="CW77" s="1044">
        <f t="shared" si="521"/>
        <v>438560</v>
      </c>
      <c r="CX77" s="171">
        <f t="shared" si="521"/>
        <v>435780</v>
      </c>
      <c r="CY77" s="1044">
        <f t="shared" si="521"/>
        <v>384780</v>
      </c>
      <c r="CZ77" s="1044">
        <f t="shared" si="521"/>
        <v>390950</v>
      </c>
      <c r="DA77" s="1044">
        <f t="shared" si="521"/>
        <v>413540</v>
      </c>
      <c r="DB77" s="171">
        <f t="shared" si="521"/>
        <v>457630</v>
      </c>
      <c r="DC77" s="1044">
        <f t="shared" si="521"/>
        <v>437900</v>
      </c>
      <c r="DD77" s="1044">
        <f t="shared" si="521"/>
        <v>441150</v>
      </c>
      <c r="DE77" s="1044">
        <f t="shared" si="521"/>
        <v>404960</v>
      </c>
      <c r="DF77" s="171">
        <f t="shared" si="521"/>
        <v>374430</v>
      </c>
      <c r="DG77" s="1044">
        <f>+DG83-DG76+DG79</f>
        <v>422140</v>
      </c>
      <c r="DH77" s="1044">
        <f>+DH83-DH76+DH79</f>
        <v>442560</v>
      </c>
      <c r="DI77" s="172">
        <f>+DI83-DI76+DI79</f>
        <v>451460</v>
      </c>
      <c r="DJ77" s="171">
        <f t="shared" ref="DJ77:DM77" si="522">+DJ83-DJ76+DJ79</f>
        <v>431640</v>
      </c>
      <c r="DK77" s="1044">
        <f t="shared" si="522"/>
        <v>371120</v>
      </c>
      <c r="DL77" s="1044">
        <f t="shared" si="522"/>
        <v>389160</v>
      </c>
      <c r="DM77" s="1044">
        <f t="shared" si="522"/>
        <v>369020</v>
      </c>
      <c r="DN77" s="1044">
        <f t="shared" ref="DN77:DO77" si="523">+DN83-DN76+DN79</f>
        <v>386700</v>
      </c>
      <c r="DO77" s="1044">
        <f t="shared" si="523"/>
        <v>-911000</v>
      </c>
      <c r="DP77" s="1044">
        <f t="shared" ref="DP77:DQ77" si="524">+DP83-DP76+DP79</f>
        <v>315300</v>
      </c>
      <c r="DQ77" s="172">
        <f t="shared" si="524"/>
        <v>302010</v>
      </c>
      <c r="DR77" s="1044">
        <f t="shared" ref="DR77:DS77" si="525">+DR83-DR76+DR79</f>
        <v>268250</v>
      </c>
      <c r="DS77" s="1044">
        <f t="shared" si="525"/>
        <v>265410</v>
      </c>
      <c r="DT77" s="1044">
        <f t="shared" ref="DT77:DU77" si="526">+DT83-DT76+DT79</f>
        <v>261420</v>
      </c>
      <c r="DU77" s="1044">
        <f t="shared" si="526"/>
        <v>249010</v>
      </c>
      <c r="DV77" s="1044">
        <f t="shared" ref="DV77" si="527">+DV83-DV76+DV79</f>
        <v>254480</v>
      </c>
      <c r="DW77" s="1044">
        <f t="shared" ref="DW77:DY77" si="528">+DW83-DW76+DW79</f>
        <v>252645</v>
      </c>
      <c r="DX77" s="1044">
        <f t="shared" si="528"/>
        <v>248205</v>
      </c>
      <c r="DY77" s="172">
        <f t="shared" si="528"/>
        <v>235345</v>
      </c>
    </row>
    <row r="78" spans="1:129" s="3061" customFormat="1" outlineLevel="1">
      <c r="A78" s="1934" t="s">
        <v>326</v>
      </c>
      <c r="B78" s="2216"/>
      <c r="C78" s="2216"/>
      <c r="D78" s="2216"/>
      <c r="E78" s="2216"/>
      <c r="F78" s="2216"/>
      <c r="G78" s="2216">
        <f t="shared" ref="G78:N78" si="529">G77/52</f>
        <v>16247.692307692309</v>
      </c>
      <c r="H78" s="2231">
        <f t="shared" si="529"/>
        <v>24199.801864801866</v>
      </c>
      <c r="I78" s="2231">
        <f t="shared" si="529"/>
        <v>28224.653846153848</v>
      </c>
      <c r="J78" s="2231">
        <f t="shared" si="529"/>
        <v>28193.461538461539</v>
      </c>
      <c r="K78" s="2216">
        <f t="shared" si="529"/>
        <v>31150.192307692309</v>
      </c>
      <c r="L78" s="2231">
        <f t="shared" si="529"/>
        <v>31250.961538461539</v>
      </c>
      <c r="M78" s="2231">
        <f t="shared" si="529"/>
        <v>33493.076923076922</v>
      </c>
      <c r="N78" s="2231">
        <f t="shared" si="529"/>
        <v>32511.346153846152</v>
      </c>
      <c r="O78" s="2231">
        <f t="shared" ref="O78:T78" si="530">O77/52</f>
        <v>30018.076923076922</v>
      </c>
      <c r="P78" s="2231">
        <f t="shared" si="530"/>
        <v>1788.6538461538462</v>
      </c>
      <c r="Q78" s="2231">
        <f t="shared" si="530"/>
        <v>20799.23076923077</v>
      </c>
      <c r="R78" s="2231">
        <f t="shared" si="530"/>
        <v>19051.442307692309</v>
      </c>
      <c r="S78" s="2231">
        <f t="shared" si="530"/>
        <v>19855</v>
      </c>
      <c r="T78" s="2231">
        <f t="shared" si="530"/>
        <v>19656.449999999997</v>
      </c>
      <c r="U78" s="2231">
        <f t="shared" ref="U78:Y78" si="531">U77/52</f>
        <v>19459.8855</v>
      </c>
      <c r="V78" s="2231">
        <f t="shared" si="531"/>
        <v>19265.286644999993</v>
      </c>
      <c r="W78" s="2231">
        <f t="shared" si="531"/>
        <v>19072.633778549989</v>
      </c>
      <c r="X78" s="2231">
        <f t="shared" si="531"/>
        <v>18881.907440764488</v>
      </c>
      <c r="Y78" s="2231">
        <f t="shared" si="531"/>
        <v>18693.088366356846</v>
      </c>
      <c r="Z78" s="1981"/>
      <c r="AA78" s="1982"/>
      <c r="AB78" s="1982"/>
      <c r="AC78" s="1982"/>
      <c r="AD78" s="1982"/>
      <c r="AE78" s="1982"/>
      <c r="AF78" s="1982"/>
      <c r="AG78" s="1982"/>
      <c r="AH78" s="1982"/>
      <c r="AI78" s="1982"/>
      <c r="AJ78" s="1982"/>
      <c r="AK78" s="1982"/>
      <c r="AL78" s="1982"/>
      <c r="AM78" s="1982"/>
      <c r="AN78" s="1982"/>
      <c r="AO78" s="1982"/>
      <c r="AP78" s="1982"/>
      <c r="AQ78" s="1982"/>
      <c r="AR78" s="1982"/>
      <c r="AS78" s="1982"/>
      <c r="AT78" s="1982"/>
      <c r="AU78" s="1982"/>
      <c r="AV78" s="1982"/>
      <c r="AW78" s="1982"/>
      <c r="AX78" s="1982"/>
      <c r="AY78" s="1982"/>
      <c r="AZ78" s="1982"/>
      <c r="BA78" s="1982"/>
      <c r="BB78" s="1982"/>
      <c r="BC78" s="1982"/>
      <c r="BD78" s="1982"/>
      <c r="BE78" s="1982"/>
      <c r="BF78" s="1982"/>
      <c r="BG78" s="1982"/>
      <c r="BH78" s="1982"/>
      <c r="BI78" s="1982"/>
      <c r="BJ78" s="1982"/>
      <c r="BK78" s="1982"/>
      <c r="BL78" s="1982"/>
      <c r="BM78" s="1982"/>
      <c r="BN78" s="1982"/>
      <c r="BO78" s="1982"/>
      <c r="BP78" s="1982"/>
      <c r="BQ78" s="1982"/>
      <c r="BR78" s="1982"/>
      <c r="BS78" s="1982"/>
      <c r="BT78" s="1982"/>
      <c r="BU78" s="1982"/>
      <c r="BV78" s="1982"/>
      <c r="BW78" s="1982"/>
      <c r="BX78" s="1982"/>
      <c r="BY78" s="1955"/>
      <c r="BZ78" s="1937"/>
      <c r="CA78" s="2216">
        <f t="shared" ref="CA78:DF78" si="532">CA77/13</f>
        <v>2865.3846153846152</v>
      </c>
      <c r="CB78" s="2216">
        <f t="shared" si="532"/>
        <v>5245.3846153846152</v>
      </c>
      <c r="CC78" s="2219">
        <f t="shared" si="532"/>
        <v>7596.1538461538457</v>
      </c>
      <c r="CD78" s="2302">
        <f t="shared" si="532"/>
        <v>12126.923076923076</v>
      </c>
      <c r="CE78" s="2303">
        <f t="shared" si="532"/>
        <v>14837.692307692309</v>
      </c>
      <c r="CF78" s="2303">
        <f t="shared" si="532"/>
        <v>18381.538461538461</v>
      </c>
      <c r="CG78" s="2303">
        <f t="shared" si="532"/>
        <v>19155.384615384617</v>
      </c>
      <c r="CH78" s="2302">
        <f t="shared" si="532"/>
        <v>23960.76923076923</v>
      </c>
      <c r="CI78" s="2303">
        <f t="shared" si="532"/>
        <v>18793.146853146856</v>
      </c>
      <c r="CJ78" s="2303">
        <f t="shared" si="532"/>
        <v>23615.975135975132</v>
      </c>
      <c r="CK78" s="2303">
        <f t="shared" si="532"/>
        <v>30429.316239316242</v>
      </c>
      <c r="CL78" s="1937">
        <f t="shared" si="532"/>
        <v>30797.692307692309</v>
      </c>
      <c r="CM78" s="2216">
        <f t="shared" si="532"/>
        <v>32348.153846153848</v>
      </c>
      <c r="CN78" s="2216">
        <f t="shared" si="532"/>
        <v>25942.76923076923</v>
      </c>
      <c r="CO78" s="2216">
        <f t="shared" si="532"/>
        <v>23810</v>
      </c>
      <c r="CP78" s="1937">
        <f t="shared" si="532"/>
        <v>25686.153846153848</v>
      </c>
      <c r="CQ78" s="2216">
        <f t="shared" si="532"/>
        <v>27076.923076923078</v>
      </c>
      <c r="CR78" s="2216">
        <f t="shared" si="532"/>
        <v>30406.153846153848</v>
      </c>
      <c r="CS78" s="2216">
        <f t="shared" si="532"/>
        <v>29604.615384615383</v>
      </c>
      <c r="CT78" s="1937">
        <f t="shared" si="532"/>
        <v>31236.923076923078</v>
      </c>
      <c r="CU78" s="2216">
        <f t="shared" si="532"/>
        <v>31489.23076923077</v>
      </c>
      <c r="CV78" s="2216">
        <f t="shared" si="532"/>
        <v>28139.23076923077</v>
      </c>
      <c r="CW78" s="2216">
        <f t="shared" si="532"/>
        <v>33735.384615384617</v>
      </c>
      <c r="CX78" s="1937">
        <f t="shared" si="532"/>
        <v>33521.538461538461</v>
      </c>
      <c r="CY78" s="2216">
        <f t="shared" si="532"/>
        <v>29598.461538461539</v>
      </c>
      <c r="CZ78" s="2216">
        <f t="shared" si="532"/>
        <v>30073.076923076922</v>
      </c>
      <c r="DA78" s="2216">
        <f t="shared" si="532"/>
        <v>31810.76923076923</v>
      </c>
      <c r="DB78" s="1937">
        <f t="shared" si="532"/>
        <v>35202.307692307695</v>
      </c>
      <c r="DC78" s="2216">
        <f t="shared" si="532"/>
        <v>33684.615384615383</v>
      </c>
      <c r="DD78" s="2216">
        <f t="shared" si="532"/>
        <v>33934.615384615383</v>
      </c>
      <c r="DE78" s="2216">
        <f t="shared" si="532"/>
        <v>31150.76923076923</v>
      </c>
      <c r="DF78" s="1937">
        <f t="shared" si="532"/>
        <v>28802.307692307691</v>
      </c>
      <c r="DG78" s="2216">
        <f>DG77/13</f>
        <v>32472.307692307691</v>
      </c>
      <c r="DH78" s="2216">
        <f>DH77/13</f>
        <v>34043.076923076922</v>
      </c>
      <c r="DI78" s="2219">
        <f>DI77/13</f>
        <v>34727.692307692305</v>
      </c>
      <c r="DJ78" s="1937">
        <f t="shared" ref="DJ78:DM78" si="533">DJ77/13</f>
        <v>33203.076923076922</v>
      </c>
      <c r="DK78" s="2216">
        <f t="shared" si="533"/>
        <v>28547.692307692309</v>
      </c>
      <c r="DL78" s="2216">
        <f t="shared" si="533"/>
        <v>29935.384615384617</v>
      </c>
      <c r="DM78" s="2216">
        <f t="shared" si="533"/>
        <v>28386.153846153848</v>
      </c>
      <c r="DN78" s="2216">
        <f t="shared" ref="DN78:DO78" si="534">DN77/13</f>
        <v>29746.153846153848</v>
      </c>
      <c r="DO78" s="2216">
        <f t="shared" si="534"/>
        <v>-70076.923076923078</v>
      </c>
      <c r="DP78" s="2216">
        <f t="shared" ref="DP78:DQ78" si="535">DP77/13</f>
        <v>24253.846153846152</v>
      </c>
      <c r="DQ78" s="2219">
        <f t="shared" si="535"/>
        <v>23231.538461538461</v>
      </c>
      <c r="DR78" s="2216">
        <f t="shared" ref="DR78:DS78" si="536">DR77/13</f>
        <v>20634.615384615383</v>
      </c>
      <c r="DS78" s="2216">
        <f t="shared" si="536"/>
        <v>20416.153846153848</v>
      </c>
      <c r="DT78" s="2216">
        <f t="shared" ref="DT78:DU78" si="537">DT77/13</f>
        <v>20109.23076923077</v>
      </c>
      <c r="DU78" s="2216">
        <f t="shared" si="537"/>
        <v>19154.615384615383</v>
      </c>
      <c r="DV78" s="2216">
        <f t="shared" ref="DV78" si="538">DV77/13</f>
        <v>19575.384615384617</v>
      </c>
      <c r="DW78" s="2216">
        <f t="shared" ref="DW78:DY78" si="539">DW77/13</f>
        <v>19434.23076923077</v>
      </c>
      <c r="DX78" s="2216">
        <f t="shared" si="539"/>
        <v>19092.692307692309</v>
      </c>
      <c r="DY78" s="2219">
        <f t="shared" si="539"/>
        <v>18103.461538461539</v>
      </c>
    </row>
    <row r="79" spans="1:129" outlineLevel="1">
      <c r="A79" s="171" t="s">
        <v>1496</v>
      </c>
      <c r="B79" s="1044"/>
      <c r="C79" s="1044"/>
      <c r="D79" s="1044"/>
      <c r="E79" s="1044"/>
      <c r="F79" s="1044">
        <f t="shared" ref="F79:N79" si="540">+F84*F80*12</f>
        <v>27240</v>
      </c>
      <c r="G79" s="1044">
        <f t="shared" si="540"/>
        <v>134880</v>
      </c>
      <c r="H79" s="1094">
        <f t="shared" si="540"/>
        <v>326389.69696969696</v>
      </c>
      <c r="I79" s="1094">
        <f t="shared" si="540"/>
        <v>566682</v>
      </c>
      <c r="J79" s="1094">
        <f t="shared" si="540"/>
        <v>744060</v>
      </c>
      <c r="K79" s="1094">
        <f t="shared" si="540"/>
        <v>918810</v>
      </c>
      <c r="L79" s="1094">
        <f t="shared" si="540"/>
        <v>1072050</v>
      </c>
      <c r="M79" s="1094">
        <f t="shared" si="540"/>
        <v>1205640</v>
      </c>
      <c r="N79" s="1094">
        <f t="shared" si="540"/>
        <v>1303590</v>
      </c>
      <c r="O79" s="1094">
        <f t="shared" ref="O79:T79" si="541">+O84*O80*12</f>
        <v>1382940</v>
      </c>
      <c r="P79" s="1094">
        <f t="shared" si="541"/>
        <v>1226010</v>
      </c>
      <c r="Q79" s="1094">
        <f t="shared" si="541"/>
        <v>1156560</v>
      </c>
      <c r="R79" s="1094">
        <f t="shared" si="541"/>
        <v>1097175</v>
      </c>
      <c r="S79" s="1094">
        <f t="shared" si="541"/>
        <v>1077585</v>
      </c>
      <c r="T79" s="1094">
        <f t="shared" si="541"/>
        <v>1066809.1499999999</v>
      </c>
      <c r="U79" s="1094">
        <f t="shared" ref="U79:Y79" si="542">+U84*U80*12</f>
        <v>1056141.0585000003</v>
      </c>
      <c r="V79" s="1094">
        <f t="shared" si="542"/>
        <v>1045579.647915</v>
      </c>
      <c r="W79" s="1094">
        <f t="shared" si="542"/>
        <v>1035123.8514358499</v>
      </c>
      <c r="X79" s="1094">
        <f t="shared" si="542"/>
        <v>1024772.6129214913</v>
      </c>
      <c r="Y79" s="1094">
        <f t="shared" si="542"/>
        <v>1014524.8867922763</v>
      </c>
      <c r="Z79" s="171"/>
      <c r="AA79" s="1044"/>
      <c r="AB79" s="1044"/>
      <c r="AC79" s="1044"/>
      <c r="AD79" s="1044"/>
      <c r="AE79" s="1044"/>
      <c r="AF79" s="1044"/>
      <c r="AG79" s="1044"/>
      <c r="AH79" s="1044"/>
      <c r="AI79" s="1044"/>
      <c r="AJ79" s="1044"/>
      <c r="AK79" s="1044"/>
      <c r="AL79" s="1044"/>
      <c r="AM79" s="1044"/>
      <c r="AN79" s="1044"/>
      <c r="AO79" s="1044"/>
      <c r="AP79" s="1044"/>
      <c r="AQ79" s="1044"/>
      <c r="AR79" s="1044"/>
      <c r="AS79" s="1044"/>
      <c r="AT79" s="1044"/>
      <c r="AU79" s="1044"/>
      <c r="AV79" s="1044"/>
      <c r="AW79" s="1044"/>
      <c r="AX79" s="1044"/>
      <c r="AY79" s="1044"/>
      <c r="AZ79" s="1044"/>
      <c r="BA79" s="1044"/>
      <c r="BB79" s="1044"/>
      <c r="BC79" s="1044"/>
      <c r="BD79" s="1044"/>
      <c r="BE79" s="1044"/>
      <c r="BF79" s="1044"/>
      <c r="BG79" s="1044"/>
      <c r="BH79" s="1044"/>
      <c r="BI79" s="1044"/>
      <c r="BJ79" s="1044"/>
      <c r="BK79" s="1044"/>
      <c r="BL79" s="1044"/>
      <c r="BM79" s="1044"/>
      <c r="BN79" s="1044"/>
      <c r="BO79" s="1044"/>
      <c r="BP79" s="1044"/>
      <c r="BQ79" s="1044"/>
      <c r="BR79" s="1044"/>
      <c r="BS79" s="1044"/>
      <c r="BT79" s="1044"/>
      <c r="BU79" s="1044"/>
      <c r="BV79" s="1044"/>
      <c r="BW79" s="1044"/>
      <c r="BX79" s="1044"/>
      <c r="BY79" s="536"/>
      <c r="BZ79" s="171">
        <f t="shared" ref="BZ79:DE79" si="543">+BZ84*BZ80*3</f>
        <v>600</v>
      </c>
      <c r="CA79" s="1044">
        <f t="shared" si="543"/>
        <v>2250</v>
      </c>
      <c r="CB79" s="1044">
        <f t="shared" si="543"/>
        <v>5190</v>
      </c>
      <c r="CC79" s="172">
        <f t="shared" si="543"/>
        <v>9750</v>
      </c>
      <c r="CD79" s="171">
        <f t="shared" si="543"/>
        <v>16650</v>
      </c>
      <c r="CE79" s="1044">
        <f t="shared" si="543"/>
        <v>25890</v>
      </c>
      <c r="CF79" s="1044">
        <f t="shared" si="543"/>
        <v>36960</v>
      </c>
      <c r="CG79" s="1044">
        <f t="shared" si="543"/>
        <v>49020</v>
      </c>
      <c r="CH79" s="171">
        <f t="shared" si="543"/>
        <v>62490</v>
      </c>
      <c r="CI79" s="1044">
        <f t="shared" si="543"/>
        <v>75038.181818181823</v>
      </c>
      <c r="CJ79" s="1044">
        <f t="shared" si="543"/>
        <v>86724.84848484848</v>
      </c>
      <c r="CK79" s="1044">
        <f t="shared" si="543"/>
        <v>102136.66666666666</v>
      </c>
      <c r="CL79" s="171">
        <f t="shared" si="543"/>
        <v>119370</v>
      </c>
      <c r="CM79" s="1044">
        <f t="shared" si="543"/>
        <v>136326</v>
      </c>
      <c r="CN79" s="1044">
        <f t="shared" si="543"/>
        <v>150456</v>
      </c>
      <c r="CO79" s="1044">
        <f t="shared" si="543"/>
        <v>160530</v>
      </c>
      <c r="CP79" s="171">
        <f t="shared" si="543"/>
        <v>169920</v>
      </c>
      <c r="CQ79" s="1044">
        <f t="shared" si="543"/>
        <v>180000</v>
      </c>
      <c r="CR79" s="1044">
        <f t="shared" si="543"/>
        <v>191280</v>
      </c>
      <c r="CS79" s="1044">
        <f t="shared" si="543"/>
        <v>202860</v>
      </c>
      <c r="CT79" s="171">
        <f t="shared" si="543"/>
        <v>214080</v>
      </c>
      <c r="CU79" s="1044">
        <f t="shared" si="543"/>
        <v>225360</v>
      </c>
      <c r="CV79" s="1044">
        <f t="shared" si="543"/>
        <v>234810</v>
      </c>
      <c r="CW79" s="1044">
        <f t="shared" si="543"/>
        <v>244560</v>
      </c>
      <c r="CX79" s="171">
        <f t="shared" si="543"/>
        <v>255780</v>
      </c>
      <c r="CY79" s="1044">
        <f t="shared" si="543"/>
        <v>264780</v>
      </c>
      <c r="CZ79" s="1044">
        <f t="shared" si="543"/>
        <v>271950</v>
      </c>
      <c r="DA79" s="1044">
        <f t="shared" si="543"/>
        <v>279540</v>
      </c>
      <c r="DB79" s="171">
        <f t="shared" si="543"/>
        <v>288630</v>
      </c>
      <c r="DC79" s="1044">
        <f t="shared" si="543"/>
        <v>297900</v>
      </c>
      <c r="DD79" s="1044">
        <f t="shared" si="543"/>
        <v>306150</v>
      </c>
      <c r="DE79" s="1044">
        <f t="shared" si="543"/>
        <v>312960</v>
      </c>
      <c r="DF79" s="171">
        <f>+DF84*DF80*3</f>
        <v>317430</v>
      </c>
      <c r="DG79" s="1044">
        <f>+DG84*DG80*3</f>
        <v>322140</v>
      </c>
      <c r="DH79" s="1044">
        <f>+DH84*DH80*3</f>
        <v>328560</v>
      </c>
      <c r="DI79" s="172">
        <f>+DI84*DI80*3</f>
        <v>335460</v>
      </c>
      <c r="DJ79" s="171">
        <f t="shared" ref="DJ79:DM79" si="544">+DJ84*DJ80*3</f>
        <v>341640</v>
      </c>
      <c r="DK79" s="1044">
        <f t="shared" si="544"/>
        <v>345120</v>
      </c>
      <c r="DL79" s="1044">
        <f t="shared" si="544"/>
        <v>347160</v>
      </c>
      <c r="DM79" s="1044">
        <f t="shared" si="544"/>
        <v>349020</v>
      </c>
      <c r="DN79" s="1044">
        <f t="shared" ref="DN79:DO79" si="545">+DN84*DN80*3</f>
        <v>350700</v>
      </c>
      <c r="DO79" s="1044">
        <f t="shared" si="545"/>
        <v>315000</v>
      </c>
      <c r="DP79" s="1044">
        <f t="shared" ref="DP79:DQ79" si="546">+DP84*DP80*3</f>
        <v>279300</v>
      </c>
      <c r="DQ79" s="172">
        <f t="shared" si="546"/>
        <v>281010</v>
      </c>
      <c r="DR79" s="1044">
        <f t="shared" ref="DR79:DS79" si="547">+DR84*DR80*3</f>
        <v>281250</v>
      </c>
      <c r="DS79" s="1044">
        <f t="shared" si="547"/>
        <v>280410</v>
      </c>
      <c r="DT79" s="1044">
        <f t="shared" ref="DT79:DU79" si="548">+DT84*DT80*3</f>
        <v>279420</v>
      </c>
      <c r="DU79" s="1044">
        <f t="shared" si="548"/>
        <v>278010</v>
      </c>
      <c r="DV79" s="1044">
        <f t="shared" ref="DV79" si="549">+DV84*DV80*3</f>
        <v>276480</v>
      </c>
      <c r="DW79" s="1044">
        <f t="shared" ref="DW79:DY79" si="550">+DW84*DW80*3</f>
        <v>275145</v>
      </c>
      <c r="DX79" s="1044">
        <f t="shared" si="550"/>
        <v>273705</v>
      </c>
      <c r="DY79" s="172">
        <f t="shared" si="550"/>
        <v>271845</v>
      </c>
    </row>
    <row r="80" spans="1:129" outlineLevel="1">
      <c r="A80" s="671" t="s">
        <v>327</v>
      </c>
      <c r="B80" s="1045"/>
      <c r="C80" s="1045"/>
      <c r="D80" s="1045"/>
      <c r="E80" s="1045"/>
      <c r="F80" s="1045">
        <f t="shared" ref="F80:N80" si="551">F81+F82</f>
        <v>0.02</v>
      </c>
      <c r="G80" s="1045">
        <f t="shared" si="551"/>
        <v>0.02</v>
      </c>
      <c r="H80" s="1069">
        <f t="shared" si="551"/>
        <v>0.02</v>
      </c>
      <c r="I80" s="1069">
        <f t="shared" si="551"/>
        <v>0.02</v>
      </c>
      <c r="J80" s="1069">
        <f t="shared" si="551"/>
        <v>0.02</v>
      </c>
      <c r="K80" s="1069">
        <f t="shared" si="551"/>
        <v>0.02</v>
      </c>
      <c r="L80" s="1069">
        <f t="shared" si="551"/>
        <v>0.02</v>
      </c>
      <c r="M80" s="1069">
        <f t="shared" si="551"/>
        <v>0.02</v>
      </c>
      <c r="N80" s="1069">
        <f t="shared" si="551"/>
        <v>0.02</v>
      </c>
      <c r="O80" s="1069">
        <f t="shared" ref="O80:T80" si="552">O81+O82</f>
        <v>0.02</v>
      </c>
      <c r="P80" s="1069">
        <f t="shared" si="552"/>
        <v>0.02</v>
      </c>
      <c r="Q80" s="1069">
        <f t="shared" si="552"/>
        <v>0.02</v>
      </c>
      <c r="R80" s="1069">
        <f t="shared" si="552"/>
        <v>0.02</v>
      </c>
      <c r="S80" s="1069">
        <f t="shared" si="552"/>
        <v>0.02</v>
      </c>
      <c r="T80" s="1069">
        <f t="shared" si="552"/>
        <v>0.02</v>
      </c>
      <c r="U80" s="1069">
        <f t="shared" ref="U80:Y80" si="553">U81+U82</f>
        <v>0.02</v>
      </c>
      <c r="V80" s="1069">
        <f t="shared" si="553"/>
        <v>0.02</v>
      </c>
      <c r="W80" s="1069">
        <f t="shared" si="553"/>
        <v>0.02</v>
      </c>
      <c r="X80" s="1069">
        <f t="shared" si="553"/>
        <v>0.02</v>
      </c>
      <c r="Y80" s="1069">
        <f t="shared" si="553"/>
        <v>0.02</v>
      </c>
      <c r="Z80" s="147"/>
      <c r="AA80" s="1045"/>
      <c r="AB80" s="1045"/>
      <c r="AC80" s="1045"/>
      <c r="AD80" s="1045"/>
      <c r="AE80" s="1045"/>
      <c r="AF80" s="1045"/>
      <c r="AG80" s="1045"/>
      <c r="AH80" s="1045"/>
      <c r="AI80" s="1045"/>
      <c r="AJ80" s="1045"/>
      <c r="AK80" s="1045"/>
      <c r="AL80" s="1045"/>
      <c r="AM80" s="1045"/>
      <c r="AN80" s="1045"/>
      <c r="AO80" s="1045"/>
      <c r="AP80" s="1045"/>
      <c r="AQ80" s="1045"/>
      <c r="AR80" s="1045"/>
      <c r="AS80" s="1045"/>
      <c r="AT80" s="1045"/>
      <c r="AU80" s="1045"/>
      <c r="AV80" s="1045"/>
      <c r="AW80" s="1045"/>
      <c r="AX80" s="1045"/>
      <c r="AY80" s="1045"/>
      <c r="AZ80" s="1045"/>
      <c r="BA80" s="1045"/>
      <c r="BB80" s="1045"/>
      <c r="BC80" s="1045"/>
      <c r="BD80" s="1045"/>
      <c r="BE80" s="1045"/>
      <c r="BF80" s="1045"/>
      <c r="BG80" s="1045"/>
      <c r="BH80" s="1045"/>
      <c r="BI80" s="1045"/>
      <c r="BJ80" s="1045"/>
      <c r="BK80" s="1045"/>
      <c r="BL80" s="1045"/>
      <c r="BM80" s="1045"/>
      <c r="BN80" s="1045"/>
      <c r="BO80" s="1045"/>
      <c r="BP80" s="1045"/>
      <c r="BQ80" s="1045"/>
      <c r="BR80" s="1045"/>
      <c r="BS80" s="1045"/>
      <c r="BT80" s="1045"/>
      <c r="BU80" s="1045"/>
      <c r="BV80" s="1045"/>
      <c r="BW80" s="1045"/>
      <c r="BX80" s="1045"/>
      <c r="BY80" s="138"/>
      <c r="BZ80" s="147">
        <f t="shared" ref="BZ80:DE80" si="554">BZ81+BZ82</f>
        <v>0.02</v>
      </c>
      <c r="CA80" s="1045">
        <f t="shared" si="554"/>
        <v>0.02</v>
      </c>
      <c r="CB80" s="1045">
        <f t="shared" si="554"/>
        <v>0.02</v>
      </c>
      <c r="CC80" s="101">
        <f t="shared" si="554"/>
        <v>0.02</v>
      </c>
      <c r="CD80" s="147">
        <f t="shared" si="554"/>
        <v>0.02</v>
      </c>
      <c r="CE80" s="1045">
        <f t="shared" si="554"/>
        <v>0.02</v>
      </c>
      <c r="CF80" s="1045">
        <f t="shared" si="554"/>
        <v>0.02</v>
      </c>
      <c r="CG80" s="1045">
        <f t="shared" si="554"/>
        <v>0.02</v>
      </c>
      <c r="CH80" s="147">
        <f t="shared" si="554"/>
        <v>0.02</v>
      </c>
      <c r="CI80" s="1045">
        <f t="shared" si="554"/>
        <v>0.02</v>
      </c>
      <c r="CJ80" s="1045">
        <f t="shared" si="554"/>
        <v>0.02</v>
      </c>
      <c r="CK80" s="1045">
        <f t="shared" si="554"/>
        <v>0.02</v>
      </c>
      <c r="CL80" s="147">
        <f t="shared" si="554"/>
        <v>0.02</v>
      </c>
      <c r="CM80" s="1045">
        <f t="shared" si="554"/>
        <v>0.02</v>
      </c>
      <c r="CN80" s="1045">
        <f t="shared" si="554"/>
        <v>0.02</v>
      </c>
      <c r="CO80" s="1045">
        <f t="shared" si="554"/>
        <v>0.02</v>
      </c>
      <c r="CP80" s="147">
        <f t="shared" si="554"/>
        <v>0.02</v>
      </c>
      <c r="CQ80" s="1045">
        <f t="shared" si="554"/>
        <v>0.02</v>
      </c>
      <c r="CR80" s="1045">
        <f t="shared" si="554"/>
        <v>0.02</v>
      </c>
      <c r="CS80" s="1045">
        <f t="shared" si="554"/>
        <v>0.02</v>
      </c>
      <c r="CT80" s="147">
        <f t="shared" si="554"/>
        <v>0.02</v>
      </c>
      <c r="CU80" s="1045">
        <f t="shared" si="554"/>
        <v>0.02</v>
      </c>
      <c r="CV80" s="1045">
        <f t="shared" si="554"/>
        <v>0.02</v>
      </c>
      <c r="CW80" s="1045">
        <f t="shared" si="554"/>
        <v>0.02</v>
      </c>
      <c r="CX80" s="147">
        <f t="shared" si="554"/>
        <v>0.02</v>
      </c>
      <c r="CY80" s="1045">
        <f t="shared" si="554"/>
        <v>0.02</v>
      </c>
      <c r="CZ80" s="1045">
        <f t="shared" si="554"/>
        <v>0.02</v>
      </c>
      <c r="DA80" s="1045">
        <f t="shared" si="554"/>
        <v>0.02</v>
      </c>
      <c r="DB80" s="147">
        <f t="shared" si="554"/>
        <v>0.02</v>
      </c>
      <c r="DC80" s="1045">
        <f t="shared" si="554"/>
        <v>0.02</v>
      </c>
      <c r="DD80" s="1045">
        <f t="shared" si="554"/>
        <v>0.02</v>
      </c>
      <c r="DE80" s="1045">
        <f t="shared" si="554"/>
        <v>0.02</v>
      </c>
      <c r="DF80" s="147">
        <f>DF81+DF82</f>
        <v>0.02</v>
      </c>
      <c r="DG80" s="1045">
        <f>DG81+DG82</f>
        <v>0.02</v>
      </c>
      <c r="DH80" s="1045">
        <f>DH81+DH82</f>
        <v>0.02</v>
      </c>
      <c r="DI80" s="101">
        <f>DI81+DI82</f>
        <v>0.02</v>
      </c>
      <c r="DJ80" s="147">
        <f t="shared" ref="DJ80:DM80" si="555">DJ81+DJ82</f>
        <v>0.02</v>
      </c>
      <c r="DK80" s="1045">
        <f t="shared" si="555"/>
        <v>0.02</v>
      </c>
      <c r="DL80" s="1045">
        <f t="shared" si="555"/>
        <v>0.02</v>
      </c>
      <c r="DM80" s="1045">
        <f t="shared" si="555"/>
        <v>0.02</v>
      </c>
      <c r="DN80" s="1045">
        <f t="shared" ref="DN80:DO80" si="556">DN81+DN82</f>
        <v>0.02</v>
      </c>
      <c r="DO80" s="1045">
        <f t="shared" si="556"/>
        <v>0.02</v>
      </c>
      <c r="DP80" s="1045">
        <f t="shared" ref="DP80:DQ80" si="557">DP81+DP82</f>
        <v>0.02</v>
      </c>
      <c r="DQ80" s="101">
        <f t="shared" si="557"/>
        <v>0.02</v>
      </c>
      <c r="DR80" s="1045">
        <f t="shared" ref="DR80:DS80" si="558">DR81+DR82</f>
        <v>0.02</v>
      </c>
      <c r="DS80" s="1045">
        <f t="shared" si="558"/>
        <v>0.02</v>
      </c>
      <c r="DT80" s="1045">
        <f t="shared" ref="DT80:DU80" si="559">DT81+DT82</f>
        <v>0.02</v>
      </c>
      <c r="DU80" s="1045">
        <f t="shared" si="559"/>
        <v>0.02</v>
      </c>
      <c r="DV80" s="1045">
        <f t="shared" ref="DV80" si="560">DV81+DV82</f>
        <v>0.02</v>
      </c>
      <c r="DW80" s="1045">
        <f t="shared" ref="DW80:DY80" si="561">DW81+DW82</f>
        <v>0.02</v>
      </c>
      <c r="DX80" s="1045">
        <f t="shared" si="561"/>
        <v>0.02</v>
      </c>
      <c r="DY80" s="101">
        <f t="shared" si="561"/>
        <v>0.02</v>
      </c>
    </row>
    <row r="81" spans="1:129" outlineLevel="1">
      <c r="A81" s="672" t="s">
        <v>328</v>
      </c>
      <c r="B81" s="1045"/>
      <c r="C81" s="1045"/>
      <c r="D81" s="1045"/>
      <c r="E81" s="1045"/>
      <c r="F81" s="1272">
        <v>0.01</v>
      </c>
      <c r="G81" s="1272">
        <v>0.01</v>
      </c>
      <c r="H81" s="1098">
        <v>0.01</v>
      </c>
      <c r="I81" s="1098">
        <v>0.01</v>
      </c>
      <c r="J81" s="1098">
        <v>0.01</v>
      </c>
      <c r="K81" s="1272">
        <v>0.01</v>
      </c>
      <c r="L81" s="1098">
        <v>0.01</v>
      </c>
      <c r="M81" s="1098">
        <v>0.01</v>
      </c>
      <c r="N81" s="1098">
        <v>0.01</v>
      </c>
      <c r="O81" s="1098">
        <v>0.01</v>
      </c>
      <c r="P81" s="1098">
        <v>0.01</v>
      </c>
      <c r="Q81" s="1098">
        <v>0.01</v>
      </c>
      <c r="R81" s="1098">
        <v>0.01</v>
      </c>
      <c r="S81" s="1098">
        <v>0.01</v>
      </c>
      <c r="T81" s="1098">
        <v>0.01</v>
      </c>
      <c r="U81" s="1098">
        <v>0.01</v>
      </c>
      <c r="V81" s="1098">
        <v>0.01</v>
      </c>
      <c r="W81" s="1098">
        <v>0.01</v>
      </c>
      <c r="X81" s="1098">
        <v>0.01</v>
      </c>
      <c r="Y81" s="1098">
        <v>0.01</v>
      </c>
      <c r="Z81" s="147"/>
      <c r="AA81" s="1045"/>
      <c r="AB81" s="1045"/>
      <c r="AC81" s="1045"/>
      <c r="AD81" s="1045"/>
      <c r="AE81" s="1045"/>
      <c r="AF81" s="1045"/>
      <c r="AG81" s="1045"/>
      <c r="AH81" s="1045"/>
      <c r="AI81" s="1045"/>
      <c r="AJ81" s="1045"/>
      <c r="AK81" s="1045"/>
      <c r="AL81" s="1045"/>
      <c r="AM81" s="1045"/>
      <c r="AN81" s="1045"/>
      <c r="AO81" s="1045"/>
      <c r="AP81" s="1045"/>
      <c r="AQ81" s="1045"/>
      <c r="AR81" s="1045"/>
      <c r="AS81" s="1045"/>
      <c r="AT81" s="1045"/>
      <c r="AU81" s="1045"/>
      <c r="AV81" s="1045"/>
      <c r="AW81" s="1045"/>
      <c r="AX81" s="1045"/>
      <c r="AY81" s="1045"/>
      <c r="AZ81" s="1045"/>
      <c r="BA81" s="1045"/>
      <c r="BB81" s="1045"/>
      <c r="BC81" s="1045"/>
      <c r="BD81" s="1045"/>
      <c r="BE81" s="1045"/>
      <c r="BF81" s="1045"/>
      <c r="BG81" s="1045"/>
      <c r="BH81" s="1045"/>
      <c r="BI81" s="1045"/>
      <c r="BJ81" s="1045"/>
      <c r="BK81" s="1045"/>
      <c r="BL81" s="1045"/>
      <c r="BM81" s="1045"/>
      <c r="BN81" s="1045"/>
      <c r="BO81" s="1045"/>
      <c r="BP81" s="1045"/>
      <c r="BQ81" s="1045"/>
      <c r="BR81" s="1045"/>
      <c r="BS81" s="1045"/>
      <c r="BT81" s="1045"/>
      <c r="BU81" s="1045"/>
      <c r="BV81" s="1045"/>
      <c r="BW81" s="1045"/>
      <c r="BX81" s="1045"/>
      <c r="BY81" s="138"/>
      <c r="BZ81" s="473">
        <v>0.01</v>
      </c>
      <c r="CA81" s="1272">
        <v>0.01</v>
      </c>
      <c r="CB81" s="1272">
        <v>0.01</v>
      </c>
      <c r="CC81" s="673">
        <v>0.01</v>
      </c>
      <c r="CD81" s="473">
        <v>0.01</v>
      </c>
      <c r="CE81" s="1272">
        <v>0.01</v>
      </c>
      <c r="CF81" s="1272">
        <v>0.01</v>
      </c>
      <c r="CG81" s="1272">
        <v>0.01</v>
      </c>
      <c r="CH81" s="473">
        <v>0.01</v>
      </c>
      <c r="CI81" s="1272">
        <v>0.01</v>
      </c>
      <c r="CJ81" s="1272">
        <v>0.01</v>
      </c>
      <c r="CK81" s="1272">
        <v>0.01</v>
      </c>
      <c r="CL81" s="473">
        <v>0.01</v>
      </c>
      <c r="CM81" s="1272">
        <v>0.01</v>
      </c>
      <c r="CN81" s="1272">
        <v>0.01</v>
      </c>
      <c r="CO81" s="1272">
        <v>0.01</v>
      </c>
      <c r="CP81" s="473">
        <v>0.01</v>
      </c>
      <c r="CQ81" s="1272">
        <v>0.01</v>
      </c>
      <c r="CR81" s="1272">
        <v>0.01</v>
      </c>
      <c r="CS81" s="1272">
        <v>0.01</v>
      </c>
      <c r="CT81" s="473">
        <v>0.01</v>
      </c>
      <c r="CU81" s="1272">
        <v>0.01</v>
      </c>
      <c r="CV81" s="1272">
        <v>0.01</v>
      </c>
      <c r="CW81" s="1272">
        <v>0.01</v>
      </c>
      <c r="CX81" s="473">
        <v>0.01</v>
      </c>
      <c r="CY81" s="1272">
        <v>0.01</v>
      </c>
      <c r="CZ81" s="1272">
        <v>0.01</v>
      </c>
      <c r="DA81" s="1272">
        <v>0.01</v>
      </c>
      <c r="DB81" s="473">
        <v>0.01</v>
      </c>
      <c r="DC81" s="1272">
        <v>0.01</v>
      </c>
      <c r="DD81" s="1272">
        <v>0.01</v>
      </c>
      <c r="DE81" s="1272">
        <v>0.01</v>
      </c>
      <c r="DF81" s="473">
        <v>0.01</v>
      </c>
      <c r="DG81" s="1272">
        <v>0.01</v>
      </c>
      <c r="DH81" s="1272">
        <v>0.01</v>
      </c>
      <c r="DI81" s="673">
        <v>0.01</v>
      </c>
      <c r="DJ81" s="473">
        <v>0.01</v>
      </c>
      <c r="DK81" s="1272">
        <v>0.01</v>
      </c>
      <c r="DL81" s="1272">
        <v>0.01</v>
      </c>
      <c r="DM81" s="1272">
        <v>0.01</v>
      </c>
      <c r="DN81" s="1272">
        <v>0.01</v>
      </c>
      <c r="DO81" s="1272">
        <v>0.01</v>
      </c>
      <c r="DP81" s="1272">
        <v>0.01</v>
      </c>
      <c r="DQ81" s="673">
        <v>0.01</v>
      </c>
      <c r="DR81" s="1272">
        <v>0.01</v>
      </c>
      <c r="DS81" s="1272">
        <v>0.01</v>
      </c>
      <c r="DT81" s="1272">
        <v>0.01</v>
      </c>
      <c r="DU81" s="1272">
        <v>0.01</v>
      </c>
      <c r="DV81" s="1272">
        <v>0.01</v>
      </c>
      <c r="DW81" s="1272">
        <v>0.01</v>
      </c>
      <c r="DX81" s="1272">
        <v>0.01</v>
      </c>
      <c r="DY81" s="673">
        <v>0.01</v>
      </c>
    </row>
    <row r="82" spans="1:129" outlineLevel="1">
      <c r="A82" s="176" t="s">
        <v>329</v>
      </c>
      <c r="B82" s="1045"/>
      <c r="C82" s="1045"/>
      <c r="D82" s="1045"/>
      <c r="E82" s="1045"/>
      <c r="F82" s="1272">
        <v>0.01</v>
      </c>
      <c r="G82" s="1272">
        <v>0.01</v>
      </c>
      <c r="H82" s="1098">
        <v>0.01</v>
      </c>
      <c r="I82" s="1098">
        <v>0.01</v>
      </c>
      <c r="J82" s="1098">
        <v>0.01</v>
      </c>
      <c r="K82" s="1272">
        <v>0.01</v>
      </c>
      <c r="L82" s="1098">
        <v>0.01</v>
      </c>
      <c r="M82" s="1098">
        <v>0.01</v>
      </c>
      <c r="N82" s="1098">
        <v>0.01</v>
      </c>
      <c r="O82" s="1098">
        <v>0.01</v>
      </c>
      <c r="P82" s="1098">
        <v>0.01</v>
      </c>
      <c r="Q82" s="1098">
        <v>0.01</v>
      </c>
      <c r="R82" s="1098">
        <v>0.01</v>
      </c>
      <c r="S82" s="1098">
        <v>0.01</v>
      </c>
      <c r="T82" s="1098">
        <v>0.01</v>
      </c>
      <c r="U82" s="1098">
        <v>0.01</v>
      </c>
      <c r="V82" s="1098">
        <v>0.01</v>
      </c>
      <c r="W82" s="1098">
        <v>0.01</v>
      </c>
      <c r="X82" s="1098">
        <v>0.01</v>
      </c>
      <c r="Y82" s="1098">
        <v>0.01</v>
      </c>
      <c r="Z82" s="147"/>
      <c r="AA82" s="1045"/>
      <c r="AB82" s="1045"/>
      <c r="AC82" s="1045"/>
      <c r="AD82" s="1045"/>
      <c r="AE82" s="1045"/>
      <c r="AF82" s="1045"/>
      <c r="AG82" s="1045"/>
      <c r="AH82" s="1045"/>
      <c r="AI82" s="1045"/>
      <c r="AJ82" s="1045"/>
      <c r="AK82" s="1045"/>
      <c r="AL82" s="1045"/>
      <c r="AM82" s="1045"/>
      <c r="AN82" s="1045"/>
      <c r="AO82" s="1045"/>
      <c r="AP82" s="1045"/>
      <c r="AQ82" s="1045"/>
      <c r="AR82" s="1045"/>
      <c r="AS82" s="1045"/>
      <c r="AT82" s="1045"/>
      <c r="AU82" s="1045"/>
      <c r="AV82" s="1045"/>
      <c r="AW82" s="1045"/>
      <c r="AX82" s="1045"/>
      <c r="AY82" s="1045"/>
      <c r="AZ82" s="1045"/>
      <c r="BA82" s="1045"/>
      <c r="BB82" s="1045"/>
      <c r="BC82" s="1045"/>
      <c r="BD82" s="1045"/>
      <c r="BE82" s="1045"/>
      <c r="BF82" s="1045"/>
      <c r="BG82" s="1045"/>
      <c r="BH82" s="1045"/>
      <c r="BI82" s="1045"/>
      <c r="BJ82" s="1045"/>
      <c r="BK82" s="1045"/>
      <c r="BL82" s="1045"/>
      <c r="BM82" s="1045"/>
      <c r="BN82" s="1045"/>
      <c r="BO82" s="1045"/>
      <c r="BP82" s="1045"/>
      <c r="BQ82" s="1045"/>
      <c r="BR82" s="1045"/>
      <c r="BS82" s="1045"/>
      <c r="BT82" s="1045"/>
      <c r="BU82" s="1045"/>
      <c r="BV82" s="1045"/>
      <c r="BW82" s="1045"/>
      <c r="BX82" s="1045"/>
      <c r="BY82" s="138"/>
      <c r="BZ82" s="473">
        <v>0.01</v>
      </c>
      <c r="CA82" s="1272">
        <v>0.01</v>
      </c>
      <c r="CB82" s="1272">
        <v>0.01</v>
      </c>
      <c r="CC82" s="673">
        <v>0.01</v>
      </c>
      <c r="CD82" s="473">
        <v>0.01</v>
      </c>
      <c r="CE82" s="1272">
        <v>0.01</v>
      </c>
      <c r="CF82" s="1272">
        <v>0.01</v>
      </c>
      <c r="CG82" s="1272">
        <v>0.01</v>
      </c>
      <c r="CH82" s="473">
        <v>0.01</v>
      </c>
      <c r="CI82" s="1272">
        <v>0.01</v>
      </c>
      <c r="CJ82" s="1272">
        <v>0.01</v>
      </c>
      <c r="CK82" s="1272">
        <v>0.01</v>
      </c>
      <c r="CL82" s="473">
        <v>0.01</v>
      </c>
      <c r="CM82" s="1272">
        <v>0.01</v>
      </c>
      <c r="CN82" s="1272">
        <v>0.01</v>
      </c>
      <c r="CO82" s="1272">
        <v>0.01</v>
      </c>
      <c r="CP82" s="473">
        <v>0.01</v>
      </c>
      <c r="CQ82" s="1272">
        <v>0.01</v>
      </c>
      <c r="CR82" s="1272">
        <v>0.01</v>
      </c>
      <c r="CS82" s="1272">
        <v>0.01</v>
      </c>
      <c r="CT82" s="473">
        <v>0.01</v>
      </c>
      <c r="CU82" s="1272">
        <v>0.01</v>
      </c>
      <c r="CV82" s="1272">
        <v>0.01</v>
      </c>
      <c r="CW82" s="1272">
        <v>0.01</v>
      </c>
      <c r="CX82" s="473">
        <v>0.01</v>
      </c>
      <c r="CY82" s="1272">
        <v>0.01</v>
      </c>
      <c r="CZ82" s="1272">
        <v>0.01</v>
      </c>
      <c r="DA82" s="1272">
        <v>0.01</v>
      </c>
      <c r="DB82" s="473">
        <v>0.01</v>
      </c>
      <c r="DC82" s="1272">
        <v>0.01</v>
      </c>
      <c r="DD82" s="1272">
        <v>0.01</v>
      </c>
      <c r="DE82" s="1272">
        <v>0.01</v>
      </c>
      <c r="DF82" s="473">
        <v>0.01</v>
      </c>
      <c r="DG82" s="1272">
        <v>0.01</v>
      </c>
      <c r="DH82" s="1272">
        <v>0.01</v>
      </c>
      <c r="DI82" s="673">
        <v>0.01</v>
      </c>
      <c r="DJ82" s="473">
        <v>0.01</v>
      </c>
      <c r="DK82" s="1272">
        <v>0.01</v>
      </c>
      <c r="DL82" s="1272">
        <v>0.01</v>
      </c>
      <c r="DM82" s="1272">
        <v>0.01</v>
      </c>
      <c r="DN82" s="1272">
        <v>0.01</v>
      </c>
      <c r="DO82" s="1272">
        <v>0.01</v>
      </c>
      <c r="DP82" s="1272">
        <v>0.01</v>
      </c>
      <c r="DQ82" s="673">
        <v>0.01</v>
      </c>
      <c r="DR82" s="1272">
        <v>0.01</v>
      </c>
      <c r="DS82" s="1272">
        <v>0.01</v>
      </c>
      <c r="DT82" s="1272">
        <v>0.01</v>
      </c>
      <c r="DU82" s="1272">
        <v>0.01</v>
      </c>
      <c r="DV82" s="1272">
        <v>0.01</v>
      </c>
      <c r="DW82" s="1272">
        <v>0.01</v>
      </c>
      <c r="DX82" s="1272">
        <v>0.01</v>
      </c>
      <c r="DY82" s="673">
        <v>0.01</v>
      </c>
    </row>
    <row r="83" spans="1:129" outlineLevel="1">
      <c r="A83" s="674" t="s">
        <v>346</v>
      </c>
      <c r="B83" s="212"/>
      <c r="C83" s="212"/>
      <c r="D83" s="212"/>
      <c r="E83" s="212">
        <f t="shared" ref="E83:N83" si="562">E63</f>
        <v>20000</v>
      </c>
      <c r="F83" s="212">
        <f t="shared" si="562"/>
        <v>207000</v>
      </c>
      <c r="G83" s="212">
        <f t="shared" si="562"/>
        <v>917000</v>
      </c>
      <c r="H83" s="675">
        <f t="shared" si="562"/>
        <v>1849000</v>
      </c>
      <c r="I83" s="675">
        <f t="shared" si="562"/>
        <v>2750000</v>
      </c>
      <c r="J83" s="675">
        <f t="shared" si="562"/>
        <v>3472000</v>
      </c>
      <c r="K83" s="212">
        <f t="shared" si="562"/>
        <v>4173000</v>
      </c>
      <c r="L83" s="675">
        <f t="shared" si="562"/>
        <v>4726000</v>
      </c>
      <c r="M83" s="675">
        <f t="shared" si="562"/>
        <v>5262000</v>
      </c>
      <c r="N83" s="675">
        <f t="shared" si="562"/>
        <v>5649000</v>
      </c>
      <c r="O83" s="675">
        <f t="shared" ref="O83:T83" si="563">O63</f>
        <v>5827000</v>
      </c>
      <c r="P83" s="675">
        <f t="shared" si="563"/>
        <v>4694000</v>
      </c>
      <c r="Q83" s="675">
        <f t="shared" si="563"/>
        <v>4619000</v>
      </c>
      <c r="R83" s="675">
        <f t="shared" si="563"/>
        <v>4512500</v>
      </c>
      <c r="S83" s="675">
        <f t="shared" si="563"/>
        <v>4467375</v>
      </c>
      <c r="T83" s="675">
        <f t="shared" si="563"/>
        <v>4422701.25</v>
      </c>
      <c r="U83" s="675">
        <f t="shared" ref="U83:Y83" si="564">U63</f>
        <v>4378474.2374999998</v>
      </c>
      <c r="V83" s="675">
        <f t="shared" si="564"/>
        <v>4334689.4951249994</v>
      </c>
      <c r="W83" s="675">
        <f t="shared" si="564"/>
        <v>4291342.600173749</v>
      </c>
      <c r="X83" s="675">
        <f t="shared" si="564"/>
        <v>4248429.1741720112</v>
      </c>
      <c r="Y83" s="675">
        <f t="shared" si="564"/>
        <v>4205944.8824302908</v>
      </c>
      <c r="Z83" s="171"/>
      <c r="AA83" s="1044"/>
      <c r="AB83" s="1044"/>
      <c r="AC83" s="1044"/>
      <c r="AD83" s="1044"/>
      <c r="AE83" s="1044"/>
      <c r="AF83" s="1044"/>
      <c r="AG83" s="1044"/>
      <c r="AH83" s="1044"/>
      <c r="AI83" s="1044"/>
      <c r="AJ83" s="1044"/>
      <c r="AK83" s="1044"/>
      <c r="AL83" s="1044"/>
      <c r="AM83" s="1044"/>
      <c r="AN83" s="1044"/>
      <c r="AO83" s="1044"/>
      <c r="AP83" s="1044"/>
      <c r="AQ83" s="1044"/>
      <c r="AR83" s="1044"/>
      <c r="AS83" s="1044"/>
      <c r="AT83" s="1044"/>
      <c r="AU83" s="1044"/>
      <c r="AV83" s="1044"/>
      <c r="AW83" s="1044"/>
      <c r="AX83" s="1044"/>
      <c r="AY83" s="1044"/>
      <c r="AZ83" s="1044"/>
      <c r="BA83" s="1044"/>
      <c r="BB83" s="1044"/>
      <c r="BC83" s="1044"/>
      <c r="BD83" s="1044"/>
      <c r="BE83" s="1044"/>
      <c r="BF83" s="1044"/>
      <c r="BG83" s="1044"/>
      <c r="BH83" s="1044"/>
      <c r="BI83" s="1044"/>
      <c r="BJ83" s="1044"/>
      <c r="BK83" s="1044"/>
      <c r="BL83" s="1044"/>
      <c r="BM83" s="1044"/>
      <c r="BN83" s="1044"/>
      <c r="BO83" s="1044"/>
      <c r="BP83" s="1044"/>
      <c r="BQ83" s="1044"/>
      <c r="BR83" s="1044"/>
      <c r="BS83" s="1044"/>
      <c r="BT83" s="1044"/>
      <c r="BU83" s="1044"/>
      <c r="BV83" s="1044"/>
      <c r="BW83" s="1044"/>
      <c r="BX83" s="1044"/>
      <c r="BY83" s="676"/>
      <c r="BZ83" s="211">
        <f t="shared" ref="BZ83:DE83" si="565">BZ63</f>
        <v>20000</v>
      </c>
      <c r="CA83" s="212">
        <f t="shared" si="565"/>
        <v>55000</v>
      </c>
      <c r="CB83" s="212">
        <f t="shared" si="565"/>
        <v>118000</v>
      </c>
      <c r="CC83" s="213">
        <f t="shared" si="565"/>
        <v>207000</v>
      </c>
      <c r="CD83" s="211">
        <f t="shared" si="565"/>
        <v>348000</v>
      </c>
      <c r="CE83" s="212">
        <f t="shared" si="565"/>
        <v>515000</v>
      </c>
      <c r="CF83" s="212">
        <f t="shared" si="565"/>
        <v>717000</v>
      </c>
      <c r="CG83" s="212">
        <f t="shared" si="565"/>
        <v>917000</v>
      </c>
      <c r="CH83" s="211">
        <f t="shared" si="565"/>
        <v>1166000</v>
      </c>
      <c r="CI83" s="212">
        <f t="shared" si="565"/>
        <v>1335272.7272727273</v>
      </c>
      <c r="CJ83" s="212">
        <f t="shared" si="565"/>
        <v>1555555.5555555555</v>
      </c>
      <c r="CK83" s="212">
        <f t="shared" si="565"/>
        <v>1849000</v>
      </c>
      <c r="CL83" s="211">
        <f t="shared" si="565"/>
        <v>2130000</v>
      </c>
      <c r="CM83" s="212">
        <f>CM63</f>
        <v>2414200</v>
      </c>
      <c r="CN83" s="212">
        <f t="shared" si="565"/>
        <v>2601000</v>
      </c>
      <c r="CO83" s="212">
        <f t="shared" si="565"/>
        <v>2750000</v>
      </c>
      <c r="CP83" s="211">
        <f t="shared" si="565"/>
        <v>2914000</v>
      </c>
      <c r="CQ83" s="212">
        <f t="shared" si="565"/>
        <v>3086000</v>
      </c>
      <c r="CR83" s="212">
        <f t="shared" si="565"/>
        <v>3290000</v>
      </c>
      <c r="CS83" s="212">
        <f t="shared" si="565"/>
        <v>3472000</v>
      </c>
      <c r="CT83" s="211">
        <f t="shared" si="565"/>
        <v>3664000</v>
      </c>
      <c r="CU83" s="212">
        <f t="shared" si="565"/>
        <v>3848000</v>
      </c>
      <c r="CV83" s="212">
        <f t="shared" si="565"/>
        <v>3979000</v>
      </c>
      <c r="CW83" s="212">
        <f t="shared" si="565"/>
        <v>4173000</v>
      </c>
      <c r="CX83" s="211">
        <f t="shared" si="565"/>
        <v>4353000</v>
      </c>
      <c r="CY83" s="212">
        <f t="shared" si="565"/>
        <v>4473000</v>
      </c>
      <c r="CZ83" s="212">
        <f t="shared" si="565"/>
        <v>4592000</v>
      </c>
      <c r="DA83" s="212">
        <f t="shared" si="565"/>
        <v>4726000</v>
      </c>
      <c r="DB83" s="211">
        <f t="shared" si="565"/>
        <v>4895000</v>
      </c>
      <c r="DC83" s="212">
        <f t="shared" si="565"/>
        <v>5035000</v>
      </c>
      <c r="DD83" s="212">
        <f t="shared" si="565"/>
        <v>5170000</v>
      </c>
      <c r="DE83" s="212">
        <f t="shared" si="565"/>
        <v>5262000</v>
      </c>
      <c r="DF83" s="211">
        <f>DF63</f>
        <v>5319000</v>
      </c>
      <c r="DG83" s="212">
        <f>DG63</f>
        <v>5419000</v>
      </c>
      <c r="DH83" s="212">
        <f>DH63</f>
        <v>5533000</v>
      </c>
      <c r="DI83" s="213">
        <f>DI63</f>
        <v>5649000</v>
      </c>
      <c r="DJ83" s="211">
        <f t="shared" ref="DJ83:DM83" si="566">DJ63</f>
        <v>5739000</v>
      </c>
      <c r="DK83" s="212">
        <f t="shared" si="566"/>
        <v>5765000</v>
      </c>
      <c r="DL83" s="212">
        <f t="shared" si="566"/>
        <v>5807000</v>
      </c>
      <c r="DM83" s="212">
        <f t="shared" si="566"/>
        <v>5827000</v>
      </c>
      <c r="DN83" s="212">
        <f t="shared" ref="DN83:DO83" si="567">DN63</f>
        <v>5863000</v>
      </c>
      <c r="DO83" s="212">
        <f t="shared" si="567"/>
        <v>4637000</v>
      </c>
      <c r="DP83" s="212">
        <f t="shared" ref="DP83:DQ83" si="568">DP63</f>
        <v>4673000</v>
      </c>
      <c r="DQ83" s="213">
        <f t="shared" si="568"/>
        <v>4694000</v>
      </c>
      <c r="DR83" s="212">
        <f t="shared" ref="DR83:DS83" si="569">DR63</f>
        <v>4681000</v>
      </c>
      <c r="DS83" s="212">
        <f t="shared" si="569"/>
        <v>4666000</v>
      </c>
      <c r="DT83" s="212">
        <f t="shared" ref="DT83:DU83" si="570">DT63</f>
        <v>4648000</v>
      </c>
      <c r="DU83" s="212">
        <f t="shared" si="570"/>
        <v>4619000</v>
      </c>
      <c r="DV83" s="212">
        <f t="shared" ref="DV83" si="571">DV63</f>
        <v>4597000</v>
      </c>
      <c r="DW83" s="212">
        <f t="shared" ref="DW83:DY83" si="572">DW63</f>
        <v>4574500</v>
      </c>
      <c r="DX83" s="212">
        <f t="shared" si="572"/>
        <v>4549000</v>
      </c>
      <c r="DY83" s="213">
        <f t="shared" si="572"/>
        <v>4512500</v>
      </c>
    </row>
    <row r="84" spans="1:129" s="3061" customFormat="1" outlineLevel="1">
      <c r="A84" s="3133" t="s">
        <v>347</v>
      </c>
      <c r="B84" s="1982"/>
      <c r="C84" s="1982"/>
      <c r="D84" s="1982"/>
      <c r="E84" s="1982"/>
      <c r="F84" s="1982">
        <f>AVERAGE(F83,F76)</f>
        <v>113500</v>
      </c>
      <c r="G84" s="1982">
        <f>AVERAGE(G83,G76)</f>
        <v>562000</v>
      </c>
      <c r="H84" s="3101">
        <f>+AVERAGE(CH84:CK84)</f>
        <v>1359957.0707070706</v>
      </c>
      <c r="I84" s="3101">
        <f>+AVERAGE(CL84:CO84)</f>
        <v>2361175</v>
      </c>
      <c r="J84" s="3101">
        <f>+AVERAGE(CP84:CS84)</f>
        <v>3100250</v>
      </c>
      <c r="K84" s="1982">
        <f>+AVERAGE(CT84:CW84)</f>
        <v>3828375</v>
      </c>
      <c r="L84" s="3101">
        <f>+AVERAGE(CX84:DA84)</f>
        <v>4466875</v>
      </c>
      <c r="M84" s="3101">
        <f>+AVERAGE(DB84:DE84)</f>
        <v>5023500</v>
      </c>
      <c r="N84" s="3101">
        <f>+AVERAGE(DF84:DI84)</f>
        <v>5431625</v>
      </c>
      <c r="O84" s="3101">
        <f>+AVERAGE(DJ84:DM84)</f>
        <v>5762250</v>
      </c>
      <c r="P84" s="3101">
        <f>+AVERAGE(DN84:DQ84)</f>
        <v>5108375</v>
      </c>
      <c r="Q84" s="3101">
        <f>+AVERAGE(DO84:DR84)</f>
        <v>4819000</v>
      </c>
      <c r="R84" s="3101">
        <f>+AVERAGE(DV84:DY84)</f>
        <v>4571562.5</v>
      </c>
      <c r="S84" s="3101">
        <f>AVERAGE(S83,S76)</f>
        <v>4489937.5</v>
      </c>
      <c r="T84" s="3101">
        <f>AVERAGE(T83,T76)</f>
        <v>4445038.125</v>
      </c>
      <c r="U84" s="3101">
        <f t="shared" ref="U84:Y84" si="573">AVERAGE(U83,U76)</f>
        <v>4400587.7437500004</v>
      </c>
      <c r="V84" s="3101">
        <f t="shared" si="573"/>
        <v>4356581.8663125001</v>
      </c>
      <c r="W84" s="3101">
        <f t="shared" si="573"/>
        <v>4313016.0476493742</v>
      </c>
      <c r="X84" s="3101">
        <f t="shared" si="573"/>
        <v>4269885.8871728797</v>
      </c>
      <c r="Y84" s="3101">
        <f t="shared" si="573"/>
        <v>4227187.0283011515</v>
      </c>
      <c r="Z84" s="1981"/>
      <c r="AA84" s="1982"/>
      <c r="AB84" s="1982"/>
      <c r="AC84" s="1982"/>
      <c r="AD84" s="1982"/>
      <c r="AE84" s="1982"/>
      <c r="AF84" s="1982"/>
      <c r="AG84" s="1982"/>
      <c r="AH84" s="1982"/>
      <c r="AI84" s="1982"/>
      <c r="AJ84" s="1982"/>
      <c r="AK84" s="1982"/>
      <c r="AL84" s="1982"/>
      <c r="AM84" s="1982"/>
      <c r="AN84" s="1982"/>
      <c r="AO84" s="1982"/>
      <c r="AP84" s="1982"/>
      <c r="AQ84" s="1982"/>
      <c r="AR84" s="1982"/>
      <c r="AS84" s="1982"/>
      <c r="AT84" s="1982"/>
      <c r="AU84" s="1982"/>
      <c r="AV84" s="1982"/>
      <c r="AW84" s="1982"/>
      <c r="AX84" s="1982"/>
      <c r="AY84" s="1982"/>
      <c r="AZ84" s="1982"/>
      <c r="BA84" s="1982"/>
      <c r="BB84" s="1982"/>
      <c r="BC84" s="1982"/>
      <c r="BD84" s="1982"/>
      <c r="BE84" s="1982"/>
      <c r="BF84" s="1982"/>
      <c r="BG84" s="1982"/>
      <c r="BH84" s="1982"/>
      <c r="BI84" s="1982"/>
      <c r="BJ84" s="1982"/>
      <c r="BK84" s="1982"/>
      <c r="BL84" s="1982"/>
      <c r="BM84" s="1982"/>
      <c r="BN84" s="1982"/>
      <c r="BO84" s="1982"/>
      <c r="BP84" s="1982"/>
      <c r="BQ84" s="1982"/>
      <c r="BR84" s="1982"/>
      <c r="BS84" s="1982"/>
      <c r="BT84" s="1982"/>
      <c r="BU84" s="1982"/>
      <c r="BV84" s="1982"/>
      <c r="BW84" s="1982"/>
      <c r="BX84" s="1982"/>
      <c r="BY84" s="1964"/>
      <c r="BZ84" s="1981">
        <f t="shared" ref="BZ84:DF84" si="574">AVERAGE(BZ83,BZ76)</f>
        <v>10000</v>
      </c>
      <c r="CA84" s="1982">
        <f t="shared" si="574"/>
        <v>37500</v>
      </c>
      <c r="CB84" s="1982">
        <f t="shared" si="574"/>
        <v>86500</v>
      </c>
      <c r="CC84" s="1983">
        <f t="shared" si="574"/>
        <v>162500</v>
      </c>
      <c r="CD84" s="1981">
        <f t="shared" si="574"/>
        <v>277500</v>
      </c>
      <c r="CE84" s="1982">
        <f t="shared" si="574"/>
        <v>431500</v>
      </c>
      <c r="CF84" s="1982">
        <f t="shared" si="574"/>
        <v>616000</v>
      </c>
      <c r="CG84" s="1982">
        <f t="shared" si="574"/>
        <v>817000</v>
      </c>
      <c r="CH84" s="1981">
        <f t="shared" si="574"/>
        <v>1041500</v>
      </c>
      <c r="CI84" s="1982">
        <f t="shared" si="574"/>
        <v>1250636.3636363638</v>
      </c>
      <c r="CJ84" s="1982">
        <f t="shared" si="574"/>
        <v>1445414.1414141413</v>
      </c>
      <c r="CK84" s="1982">
        <f t="shared" si="574"/>
        <v>1702277.7777777778</v>
      </c>
      <c r="CL84" s="1981">
        <f t="shared" si="574"/>
        <v>1989500</v>
      </c>
      <c r="CM84" s="1982">
        <f>AVERAGE(CM83,CM76)</f>
        <v>2272100</v>
      </c>
      <c r="CN84" s="1982">
        <f t="shared" si="574"/>
        <v>2507600</v>
      </c>
      <c r="CO84" s="1982">
        <f t="shared" si="574"/>
        <v>2675500</v>
      </c>
      <c r="CP84" s="1981">
        <f t="shared" si="574"/>
        <v>2832000</v>
      </c>
      <c r="CQ84" s="1982">
        <f t="shared" si="574"/>
        <v>3000000</v>
      </c>
      <c r="CR84" s="1982">
        <f t="shared" si="574"/>
        <v>3188000</v>
      </c>
      <c r="CS84" s="1982">
        <f t="shared" si="574"/>
        <v>3381000</v>
      </c>
      <c r="CT84" s="1981">
        <f t="shared" si="574"/>
        <v>3568000</v>
      </c>
      <c r="CU84" s="1982">
        <f t="shared" si="574"/>
        <v>3756000</v>
      </c>
      <c r="CV84" s="1982">
        <f t="shared" si="574"/>
        <v>3913500</v>
      </c>
      <c r="CW84" s="1982">
        <f t="shared" si="574"/>
        <v>4076000</v>
      </c>
      <c r="CX84" s="1981">
        <f t="shared" si="574"/>
        <v>4263000</v>
      </c>
      <c r="CY84" s="1982">
        <f t="shared" si="574"/>
        <v>4413000</v>
      </c>
      <c r="CZ84" s="1982">
        <f t="shared" si="574"/>
        <v>4532500</v>
      </c>
      <c r="DA84" s="1982">
        <f t="shared" si="574"/>
        <v>4659000</v>
      </c>
      <c r="DB84" s="1981">
        <f t="shared" si="574"/>
        <v>4810500</v>
      </c>
      <c r="DC84" s="1982">
        <f t="shared" si="574"/>
        <v>4965000</v>
      </c>
      <c r="DD84" s="1982">
        <f t="shared" si="574"/>
        <v>5102500</v>
      </c>
      <c r="DE84" s="1982">
        <f t="shared" si="574"/>
        <v>5216000</v>
      </c>
      <c r="DF84" s="1981">
        <f t="shared" si="574"/>
        <v>5290500</v>
      </c>
      <c r="DG84" s="1982">
        <f>AVERAGE(DG83,DG76)</f>
        <v>5369000</v>
      </c>
      <c r="DH84" s="1982">
        <f>AVERAGE(DH83,DH76)</f>
        <v>5476000</v>
      </c>
      <c r="DI84" s="1983">
        <f>AVERAGE(DI83,DI76)</f>
        <v>5591000</v>
      </c>
      <c r="DJ84" s="1981">
        <f t="shared" ref="DJ84:DM84" si="575">AVERAGE(DJ83,DJ76)</f>
        <v>5694000</v>
      </c>
      <c r="DK84" s="1982">
        <f t="shared" si="575"/>
        <v>5752000</v>
      </c>
      <c r="DL84" s="1982">
        <f t="shared" si="575"/>
        <v>5786000</v>
      </c>
      <c r="DM84" s="1982">
        <f t="shared" si="575"/>
        <v>5817000</v>
      </c>
      <c r="DN84" s="1982">
        <f t="shared" ref="DN84:DO84" si="576">AVERAGE(DN83,DN76)</f>
        <v>5845000</v>
      </c>
      <c r="DO84" s="1982">
        <f t="shared" si="576"/>
        <v>5250000</v>
      </c>
      <c r="DP84" s="1982">
        <f t="shared" ref="DP84:DQ84" si="577">AVERAGE(DP83,DP76)</f>
        <v>4655000</v>
      </c>
      <c r="DQ84" s="1983">
        <f t="shared" si="577"/>
        <v>4683500</v>
      </c>
      <c r="DR84" s="1982">
        <f t="shared" ref="DR84:DS84" si="578">AVERAGE(DR83,DR76)</f>
        <v>4687500</v>
      </c>
      <c r="DS84" s="1982">
        <f t="shared" si="578"/>
        <v>4673500</v>
      </c>
      <c r="DT84" s="1982">
        <f t="shared" ref="DT84:DU84" si="579">AVERAGE(DT83,DT76)</f>
        <v>4657000</v>
      </c>
      <c r="DU84" s="1982">
        <f t="shared" si="579"/>
        <v>4633500</v>
      </c>
      <c r="DV84" s="1982">
        <f t="shared" ref="DV84" si="580">AVERAGE(DV83,DV76)</f>
        <v>4608000</v>
      </c>
      <c r="DW84" s="1982">
        <f t="shared" ref="DW84:DY84" si="581">AVERAGE(DW83,DW76)</f>
        <v>4585750</v>
      </c>
      <c r="DX84" s="1982">
        <f t="shared" si="581"/>
        <v>4561750</v>
      </c>
      <c r="DY84" s="1983">
        <f t="shared" si="581"/>
        <v>4530750</v>
      </c>
    </row>
    <row r="85" spans="1:129" s="3061" customFormat="1" outlineLevel="1">
      <c r="A85" s="3115" t="s">
        <v>332</v>
      </c>
      <c r="B85" s="1982"/>
      <c r="C85" s="1982"/>
      <c r="D85" s="1982"/>
      <c r="E85" s="1982"/>
      <c r="F85" s="1982">
        <f>F66/52</f>
        <v>3596.1538461538462</v>
      </c>
      <c r="G85" s="1982">
        <f>G66/52</f>
        <v>13653.846153846154</v>
      </c>
      <c r="H85" s="3101">
        <f>H66/52</f>
        <v>17923.076923076922</v>
      </c>
      <c r="I85" s="3101">
        <f>I66/52</f>
        <v>17326.923076923078</v>
      </c>
      <c r="J85" s="3101">
        <f>J66/52</f>
        <v>13884.615384615385</v>
      </c>
      <c r="K85" s="1982">
        <f t="shared" ref="K85:N85" si="582">+K66/52</f>
        <v>13480.76923076923</v>
      </c>
      <c r="L85" s="3101">
        <f t="shared" si="582"/>
        <v>10634.615384615385</v>
      </c>
      <c r="M85" s="3101">
        <f t="shared" si="582"/>
        <v>10307.692307692309</v>
      </c>
      <c r="N85" s="3101">
        <f t="shared" si="582"/>
        <v>7442.3076923076924</v>
      </c>
      <c r="O85" s="3101">
        <f t="shared" ref="O85:T85" si="583">+O66/52</f>
        <v>3423.0769230769229</v>
      </c>
      <c r="P85" s="3101">
        <f t="shared" si="583"/>
        <v>-21788.461538461539</v>
      </c>
      <c r="Q85" s="3101">
        <f t="shared" si="583"/>
        <v>-1442.3076923076924</v>
      </c>
      <c r="R85" s="3101">
        <f t="shared" si="583"/>
        <v>-2048.0769230769229</v>
      </c>
      <c r="S85" s="3101">
        <f t="shared" si="583"/>
        <v>-867.78846153846155</v>
      </c>
      <c r="T85" s="3101">
        <f t="shared" si="583"/>
        <v>-859.11057692307691</v>
      </c>
      <c r="U85" s="3101">
        <f t="shared" ref="U85:Y85" si="584">+U66/52</f>
        <v>-850.51947115384621</v>
      </c>
      <c r="V85" s="3101">
        <f t="shared" si="584"/>
        <v>-842.01427644230773</v>
      </c>
      <c r="W85" s="3101">
        <f t="shared" si="584"/>
        <v>-833.59413367788454</v>
      </c>
      <c r="X85" s="3101">
        <f t="shared" si="584"/>
        <v>-825.25819234110554</v>
      </c>
      <c r="Y85" s="3101">
        <f t="shared" si="584"/>
        <v>-817.00561041769447</v>
      </c>
      <c r="Z85" s="1981"/>
      <c r="AA85" s="1982"/>
      <c r="AB85" s="1982"/>
      <c r="AC85" s="1982"/>
      <c r="AD85" s="1982"/>
      <c r="AE85" s="1982"/>
      <c r="AF85" s="1982"/>
      <c r="AG85" s="1982"/>
      <c r="AH85" s="1982"/>
      <c r="AI85" s="1982"/>
      <c r="AJ85" s="1982"/>
      <c r="AK85" s="1982"/>
      <c r="AL85" s="1982"/>
      <c r="AM85" s="1982"/>
      <c r="AN85" s="1982"/>
      <c r="AO85" s="1982"/>
      <c r="AP85" s="1982"/>
      <c r="AQ85" s="1982"/>
      <c r="AR85" s="1982"/>
      <c r="AS85" s="1982"/>
      <c r="AT85" s="1982"/>
      <c r="AU85" s="1982"/>
      <c r="AV85" s="1982"/>
      <c r="AW85" s="1982"/>
      <c r="AX85" s="1982"/>
      <c r="AY85" s="1982"/>
      <c r="AZ85" s="1982"/>
      <c r="BA85" s="1982"/>
      <c r="BB85" s="1982"/>
      <c r="BC85" s="1982"/>
      <c r="BD85" s="1982"/>
      <c r="BE85" s="1982"/>
      <c r="BF85" s="1982"/>
      <c r="BG85" s="1982"/>
      <c r="BH85" s="1982"/>
      <c r="BI85" s="1982"/>
      <c r="BJ85" s="1982"/>
      <c r="BK85" s="1982"/>
      <c r="BL85" s="1982"/>
      <c r="BM85" s="1982"/>
      <c r="BN85" s="1982"/>
      <c r="BO85" s="1982"/>
      <c r="BP85" s="1982"/>
      <c r="BQ85" s="1982"/>
      <c r="BR85" s="1982"/>
      <c r="BS85" s="1982"/>
      <c r="BT85" s="1982"/>
      <c r="BU85" s="1982"/>
      <c r="BV85" s="1982"/>
      <c r="BW85" s="1982"/>
      <c r="BX85" s="1982"/>
      <c r="BY85" s="1964"/>
      <c r="BZ85" s="1981">
        <f t="shared" ref="BZ85:DE85" si="585">BZ66/13</f>
        <v>1538.4615384615386</v>
      </c>
      <c r="CA85" s="1982">
        <f t="shared" si="585"/>
        <v>2692.3076923076924</v>
      </c>
      <c r="CB85" s="1982">
        <f t="shared" si="585"/>
        <v>4846.1538461538457</v>
      </c>
      <c r="CC85" s="1983">
        <f t="shared" si="585"/>
        <v>6846.1538461538457</v>
      </c>
      <c r="CD85" s="1981">
        <f t="shared" si="585"/>
        <v>10846.153846153846</v>
      </c>
      <c r="CE85" s="1982">
        <f t="shared" si="585"/>
        <v>12846.153846153846</v>
      </c>
      <c r="CF85" s="1982">
        <f t="shared" si="585"/>
        <v>15538.461538461539</v>
      </c>
      <c r="CG85" s="1982">
        <f t="shared" si="585"/>
        <v>15384.615384615385</v>
      </c>
      <c r="CH85" s="1981">
        <f t="shared" si="585"/>
        <v>19153.846153846152</v>
      </c>
      <c r="CI85" s="1982">
        <f t="shared" si="585"/>
        <v>13020.979020979023</v>
      </c>
      <c r="CJ85" s="1982">
        <f t="shared" si="585"/>
        <v>16944.832944832939</v>
      </c>
      <c r="CK85" s="1982">
        <f t="shared" si="585"/>
        <v>22572.649572649578</v>
      </c>
      <c r="CL85" s="1981">
        <f t="shared" si="585"/>
        <v>21615.384615384617</v>
      </c>
      <c r="CM85" s="1982">
        <f t="shared" si="585"/>
        <v>21861.538461538461</v>
      </c>
      <c r="CN85" s="1982">
        <f t="shared" si="585"/>
        <v>14369.23076923077</v>
      </c>
      <c r="CO85" s="1982">
        <f t="shared" si="585"/>
        <v>11461.538461538461</v>
      </c>
      <c r="CP85" s="1981">
        <f t="shared" si="585"/>
        <v>12615.384615384615</v>
      </c>
      <c r="CQ85" s="1982">
        <f t="shared" si="585"/>
        <v>13230.76923076923</v>
      </c>
      <c r="CR85" s="1982">
        <f t="shared" si="585"/>
        <v>15692.307692307691</v>
      </c>
      <c r="CS85" s="1982">
        <f t="shared" si="585"/>
        <v>14000</v>
      </c>
      <c r="CT85" s="1981">
        <f t="shared" si="585"/>
        <v>14769.23076923077</v>
      </c>
      <c r="CU85" s="1982">
        <f t="shared" si="585"/>
        <v>14153.846153846154</v>
      </c>
      <c r="CV85" s="1982">
        <f t="shared" si="585"/>
        <v>10076.923076923076</v>
      </c>
      <c r="CW85" s="1982">
        <f t="shared" si="585"/>
        <v>14923.076923076924</v>
      </c>
      <c r="CX85" s="1981">
        <f t="shared" si="585"/>
        <v>13846.153846153846</v>
      </c>
      <c r="CY85" s="1982">
        <f t="shared" si="585"/>
        <v>9230.7692307692305</v>
      </c>
      <c r="CZ85" s="1982">
        <f t="shared" si="585"/>
        <v>9153.8461538461543</v>
      </c>
      <c r="DA85" s="1982">
        <f t="shared" si="585"/>
        <v>10307.692307692309</v>
      </c>
      <c r="DB85" s="1981">
        <f t="shared" si="585"/>
        <v>13000</v>
      </c>
      <c r="DC85" s="1982">
        <f t="shared" si="585"/>
        <v>10769.23076923077</v>
      </c>
      <c r="DD85" s="1982">
        <f t="shared" si="585"/>
        <v>10384.615384615385</v>
      </c>
      <c r="DE85" s="1982">
        <f t="shared" si="585"/>
        <v>7076.9230769230771</v>
      </c>
      <c r="DF85" s="1981">
        <f>DF66/13</f>
        <v>4384.6153846153848</v>
      </c>
      <c r="DG85" s="1982">
        <f>DG66/13</f>
        <v>7692.3076923076924</v>
      </c>
      <c r="DH85" s="1982">
        <f>DH66/13</f>
        <v>8769.2307692307695</v>
      </c>
      <c r="DI85" s="1983">
        <f>DI66/13</f>
        <v>8923.0769230769238</v>
      </c>
      <c r="DJ85" s="1981">
        <f t="shared" ref="DJ85:DM85" si="586">DJ66/13</f>
        <v>6923.0769230769229</v>
      </c>
      <c r="DK85" s="1982">
        <f t="shared" si="586"/>
        <v>2000</v>
      </c>
      <c r="DL85" s="1982">
        <f t="shared" si="586"/>
        <v>3230.7692307692309</v>
      </c>
      <c r="DM85" s="1982">
        <f t="shared" si="586"/>
        <v>1538.4615384615386</v>
      </c>
      <c r="DN85" s="1982">
        <f t="shared" ref="DN85:DO85" si="587">DN66/13</f>
        <v>2769.2307692307691</v>
      </c>
      <c r="DO85" s="1982">
        <f t="shared" si="587"/>
        <v>-94307.692307692312</v>
      </c>
      <c r="DP85" s="1982">
        <f t="shared" ref="DP85:DQ85" si="588">DP66/13</f>
        <v>2769.2307692307691</v>
      </c>
      <c r="DQ85" s="1983">
        <f t="shared" si="588"/>
        <v>1615.3846153846155</v>
      </c>
      <c r="DR85" s="1982">
        <f t="shared" ref="DR85:DS85" si="589">DR66/13</f>
        <v>-1000</v>
      </c>
      <c r="DS85" s="1982">
        <f t="shared" si="589"/>
        <v>-1153.8461538461538</v>
      </c>
      <c r="DT85" s="1982">
        <f t="shared" ref="DT85:DU85" si="590">DT66/13</f>
        <v>-1384.6153846153845</v>
      </c>
      <c r="DU85" s="1982">
        <f t="shared" si="590"/>
        <v>-2230.7692307692309</v>
      </c>
      <c r="DV85" s="1982">
        <f t="shared" ref="DV85" si="591">DV66/13</f>
        <v>-1692.3076923076924</v>
      </c>
      <c r="DW85" s="1982">
        <f t="shared" ref="DW85:DY85" si="592">DW66/13</f>
        <v>-1730.7692307692307</v>
      </c>
      <c r="DX85" s="1982">
        <f t="shared" si="592"/>
        <v>-1961.5384615384614</v>
      </c>
      <c r="DY85" s="1983">
        <f t="shared" si="592"/>
        <v>-2807.6923076923076</v>
      </c>
    </row>
    <row r="86" spans="1:129" s="3061" customFormat="1" outlineLevel="1">
      <c r="A86" s="1984" t="s">
        <v>319</v>
      </c>
      <c r="B86" s="1985"/>
      <c r="C86" s="1985"/>
      <c r="D86" s="1985"/>
      <c r="E86" s="1985"/>
      <c r="F86" s="1985"/>
      <c r="G86" s="1985"/>
      <c r="H86" s="3099"/>
      <c r="I86" s="3099"/>
      <c r="J86" s="3099"/>
      <c r="K86" s="3099"/>
      <c r="L86" s="3099"/>
      <c r="M86" s="3099"/>
      <c r="N86" s="3099"/>
      <c r="O86" s="3099"/>
      <c r="P86" s="3099"/>
      <c r="Q86" s="3099"/>
      <c r="R86" s="3099"/>
      <c r="S86" s="3099"/>
      <c r="T86" s="3099"/>
      <c r="U86" s="3099"/>
      <c r="V86" s="3099"/>
      <c r="W86" s="3099"/>
      <c r="X86" s="3099"/>
      <c r="Y86" s="3099"/>
      <c r="Z86" s="1987"/>
      <c r="AA86" s="1985"/>
      <c r="AB86" s="1985"/>
      <c r="AC86" s="1985"/>
      <c r="AD86" s="1985"/>
      <c r="AE86" s="1985"/>
      <c r="AF86" s="1985"/>
      <c r="AG86" s="1985"/>
      <c r="AH86" s="1985"/>
      <c r="AI86" s="1985"/>
      <c r="AJ86" s="1985"/>
      <c r="AK86" s="1985"/>
      <c r="AL86" s="1985"/>
      <c r="AM86" s="1985"/>
      <c r="AN86" s="1985"/>
      <c r="AO86" s="1985"/>
      <c r="AP86" s="1985"/>
      <c r="AQ86" s="1985"/>
      <c r="AR86" s="1985"/>
      <c r="AS86" s="1985"/>
      <c r="AT86" s="1985"/>
      <c r="AU86" s="1985"/>
      <c r="AV86" s="1985"/>
      <c r="AW86" s="1985"/>
      <c r="AX86" s="1985"/>
      <c r="AY86" s="1985"/>
      <c r="AZ86" s="1985"/>
      <c r="BA86" s="1985"/>
      <c r="BB86" s="1985"/>
      <c r="BC86" s="1985"/>
      <c r="BD86" s="1985"/>
      <c r="BE86" s="1985"/>
      <c r="BF86" s="1985"/>
      <c r="BG86" s="1985"/>
      <c r="BH86" s="1985"/>
      <c r="BI86" s="1985"/>
      <c r="BJ86" s="1985"/>
      <c r="BK86" s="1985"/>
      <c r="BL86" s="1985"/>
      <c r="BM86" s="1985"/>
      <c r="BN86" s="1985"/>
      <c r="BO86" s="1985"/>
      <c r="BP86" s="1985"/>
      <c r="BQ86" s="1985"/>
      <c r="BR86" s="1985"/>
      <c r="BS86" s="1985"/>
      <c r="BT86" s="1985"/>
      <c r="BU86" s="1985"/>
      <c r="BV86" s="1985"/>
      <c r="BW86" s="1985"/>
      <c r="BX86" s="1985"/>
      <c r="BY86" s="1962"/>
      <c r="BZ86" s="1987"/>
      <c r="CA86" s="1985">
        <f t="shared" ref="CA86:DD86" si="593">CA85/BZ85-1</f>
        <v>0.75</v>
      </c>
      <c r="CB86" s="1985">
        <f t="shared" si="593"/>
        <v>0.79999999999999982</v>
      </c>
      <c r="CC86" s="1988">
        <f t="shared" si="593"/>
        <v>0.41269841269841279</v>
      </c>
      <c r="CD86" s="1987">
        <f t="shared" si="593"/>
        <v>0.58426966292134841</v>
      </c>
      <c r="CE86" s="1985">
        <f t="shared" si="593"/>
        <v>0.18439716312056742</v>
      </c>
      <c r="CF86" s="1985">
        <f t="shared" si="593"/>
        <v>0.20958083832335328</v>
      </c>
      <c r="CG86" s="1985">
        <f t="shared" si="593"/>
        <v>-9.9009900990099098E-3</v>
      </c>
      <c r="CH86" s="1987">
        <f t="shared" si="593"/>
        <v>0.24499999999999988</v>
      </c>
      <c r="CI86" s="1985">
        <f t="shared" si="593"/>
        <v>-0.32018985031033209</v>
      </c>
      <c r="CJ86" s="1985">
        <f t="shared" si="593"/>
        <v>0.30134860961928567</v>
      </c>
      <c r="CK86" s="1985">
        <f t="shared" si="593"/>
        <v>0.33212582538518043</v>
      </c>
      <c r="CL86" s="1987">
        <f t="shared" si="593"/>
        <v>-4.2408178720181877E-2</v>
      </c>
      <c r="CM86" s="1985">
        <f t="shared" si="593"/>
        <v>1.1387900355871672E-2</v>
      </c>
      <c r="CN86" s="1985">
        <f t="shared" si="593"/>
        <v>-0.34271639690358902</v>
      </c>
      <c r="CO86" s="1985">
        <f t="shared" si="593"/>
        <v>-0.20235546038543906</v>
      </c>
      <c r="CP86" s="1987">
        <f t="shared" si="593"/>
        <v>0.10067114093959728</v>
      </c>
      <c r="CQ86" s="1985">
        <f t="shared" si="593"/>
        <v>4.8780487804878092E-2</v>
      </c>
      <c r="CR86" s="1985">
        <f t="shared" si="593"/>
        <v>0.18604651162790686</v>
      </c>
      <c r="CS86" s="1985">
        <f t="shared" si="593"/>
        <v>-0.10784313725490191</v>
      </c>
      <c r="CT86" s="1987">
        <f t="shared" si="593"/>
        <v>5.4945054945054972E-2</v>
      </c>
      <c r="CU86" s="1985">
        <f t="shared" si="593"/>
        <v>-4.166666666666663E-2</v>
      </c>
      <c r="CV86" s="1985">
        <f t="shared" si="593"/>
        <v>-0.28804347826086962</v>
      </c>
      <c r="CW86" s="1985">
        <f t="shared" si="593"/>
        <v>0.48091603053435139</v>
      </c>
      <c r="CX86" s="1987">
        <f t="shared" si="593"/>
        <v>-7.2164948453608324E-2</v>
      </c>
      <c r="CY86" s="1985">
        <f t="shared" si="593"/>
        <v>-0.33333333333333337</v>
      </c>
      <c r="CZ86" s="1985">
        <f t="shared" si="593"/>
        <v>-8.3333333333333037E-3</v>
      </c>
      <c r="DA86" s="1985">
        <f t="shared" si="593"/>
        <v>0.12605042016806722</v>
      </c>
      <c r="DB86" s="1987">
        <f t="shared" si="593"/>
        <v>0.26119402985074625</v>
      </c>
      <c r="DC86" s="1985">
        <f t="shared" si="593"/>
        <v>-0.17159763313609466</v>
      </c>
      <c r="DD86" s="1985">
        <f t="shared" si="593"/>
        <v>-3.5714285714285698E-2</v>
      </c>
      <c r="DE86" s="1985">
        <f t="shared" ref="DE86:DV86" si="594">DE85/DD85-1</f>
        <v>-0.31851851851851853</v>
      </c>
      <c r="DF86" s="1987">
        <f t="shared" si="594"/>
        <v>-0.38043478260869568</v>
      </c>
      <c r="DG86" s="1985">
        <f t="shared" si="594"/>
        <v>0.7543859649122806</v>
      </c>
      <c r="DH86" s="1985">
        <f t="shared" si="594"/>
        <v>0.14000000000000012</v>
      </c>
      <c r="DI86" s="1988">
        <f t="shared" si="594"/>
        <v>1.7543859649122862E-2</v>
      </c>
      <c r="DJ86" s="1987">
        <f t="shared" si="594"/>
        <v>-0.22413793103448287</v>
      </c>
      <c r="DK86" s="1985">
        <f t="shared" si="594"/>
        <v>-0.71111111111111103</v>
      </c>
      <c r="DL86" s="1985">
        <f t="shared" si="594"/>
        <v>0.61538461538461542</v>
      </c>
      <c r="DM86" s="1985">
        <f t="shared" si="594"/>
        <v>-0.52380952380952372</v>
      </c>
      <c r="DN86" s="1985">
        <f t="shared" si="594"/>
        <v>0.79999999999999982</v>
      </c>
      <c r="DO86" s="1985">
        <f t="shared" si="594"/>
        <v>-35.055555555555557</v>
      </c>
      <c r="DP86" s="1985">
        <f t="shared" si="594"/>
        <v>-1.0293637846655792</v>
      </c>
      <c r="DQ86" s="1988">
        <f t="shared" si="594"/>
        <v>-0.41666666666666663</v>
      </c>
      <c r="DR86" s="1985">
        <f t="shared" si="594"/>
        <v>-1.6190476190476191</v>
      </c>
      <c r="DS86" s="1985">
        <f t="shared" si="594"/>
        <v>0.15384615384615374</v>
      </c>
      <c r="DT86" s="1985">
        <f t="shared" si="594"/>
        <v>0.19999999999999996</v>
      </c>
      <c r="DU86" s="1985">
        <f t="shared" si="594"/>
        <v>0.61111111111111138</v>
      </c>
      <c r="DV86" s="1985">
        <f t="shared" si="594"/>
        <v>-0.24137931034482762</v>
      </c>
      <c r="DW86" s="1985">
        <f t="shared" ref="DW86" si="595">DW85/DV85-1</f>
        <v>2.2727272727272707E-2</v>
      </c>
      <c r="DX86" s="1985">
        <f t="shared" ref="DX86" si="596">DX85/DW85-1</f>
        <v>0.1333333333333333</v>
      </c>
      <c r="DY86" s="1988">
        <f t="shared" ref="DY86" si="597">DY85/DX85-1</f>
        <v>0.43137254901960786</v>
      </c>
    </row>
    <row r="87" spans="1:129" s="3061" customFormat="1" outlineLevel="1">
      <c r="A87" s="3122" t="s">
        <v>320</v>
      </c>
      <c r="B87" s="3123"/>
      <c r="C87" s="3123"/>
      <c r="D87" s="3123"/>
      <c r="E87" s="3123"/>
      <c r="F87" s="3123"/>
      <c r="G87" s="3123"/>
      <c r="H87" s="3124">
        <f t="shared" ref="H87:N87" si="598">H85/G85-1</f>
        <v>0.31267605633802797</v>
      </c>
      <c r="I87" s="3124">
        <f t="shared" si="598"/>
        <v>-3.3261802575107136E-2</v>
      </c>
      <c r="J87" s="3124">
        <f t="shared" si="598"/>
        <v>-0.19866814650388465</v>
      </c>
      <c r="K87" s="3124">
        <f t="shared" si="598"/>
        <v>-2.9085872576177341E-2</v>
      </c>
      <c r="L87" s="3124">
        <f t="shared" si="598"/>
        <v>-0.21112696148359489</v>
      </c>
      <c r="M87" s="3124">
        <f t="shared" si="598"/>
        <v>-3.0741410488245857E-2</v>
      </c>
      <c r="N87" s="3124">
        <f t="shared" si="598"/>
        <v>-0.27798507462686572</v>
      </c>
      <c r="O87" s="3124">
        <f t="shared" ref="O87:T87" si="599">O85/N85-1</f>
        <v>-0.5400516795865633</v>
      </c>
      <c r="P87" s="3124">
        <f t="shared" si="599"/>
        <v>-7.3651685393258433</v>
      </c>
      <c r="Q87" s="3124">
        <f t="shared" si="599"/>
        <v>-0.93380406001765226</v>
      </c>
      <c r="R87" s="3124">
        <f t="shared" si="599"/>
        <v>0.41999999999999971</v>
      </c>
      <c r="S87" s="3124">
        <f t="shared" si="599"/>
        <v>-0.57629107981220651</v>
      </c>
      <c r="T87" s="3124">
        <f t="shared" si="599"/>
        <v>-1.0000000000000009E-2</v>
      </c>
      <c r="U87" s="3124">
        <f t="shared" ref="U87:Y87" si="600">U85/T85-1</f>
        <v>-9.9999999999998979E-3</v>
      </c>
      <c r="V87" s="3124">
        <f t="shared" si="600"/>
        <v>-1.0000000000000009E-2</v>
      </c>
      <c r="W87" s="3124">
        <f t="shared" si="600"/>
        <v>-1.000000000000012E-2</v>
      </c>
      <c r="X87" s="3124">
        <f t="shared" si="600"/>
        <v>-1.0000000000000231E-2</v>
      </c>
      <c r="Y87" s="3124">
        <f t="shared" si="600"/>
        <v>-1.0000000000000009E-2</v>
      </c>
      <c r="Z87" s="1987"/>
      <c r="AA87" s="1985"/>
      <c r="AB87" s="1985"/>
      <c r="AC87" s="1985"/>
      <c r="AD87" s="1985"/>
      <c r="AE87" s="1985"/>
      <c r="AF87" s="1985"/>
      <c r="AG87" s="1985"/>
      <c r="AH87" s="1985"/>
      <c r="AI87" s="1985"/>
      <c r="AJ87" s="1985"/>
      <c r="AK87" s="1985"/>
      <c r="AL87" s="1985"/>
      <c r="AM87" s="1985"/>
      <c r="AN87" s="1985"/>
      <c r="AO87" s="1985"/>
      <c r="AP87" s="1985"/>
      <c r="AQ87" s="1985"/>
      <c r="AR87" s="1985"/>
      <c r="AS87" s="1985"/>
      <c r="AT87" s="1985"/>
      <c r="AU87" s="1985"/>
      <c r="AV87" s="1985"/>
      <c r="AW87" s="1985"/>
      <c r="AX87" s="1985"/>
      <c r="AY87" s="1985"/>
      <c r="AZ87" s="1985"/>
      <c r="BA87" s="1985"/>
      <c r="BB87" s="1985"/>
      <c r="BC87" s="1985"/>
      <c r="BD87" s="1985"/>
      <c r="BE87" s="1985"/>
      <c r="BF87" s="1985"/>
      <c r="BG87" s="1985"/>
      <c r="BH87" s="1985"/>
      <c r="BI87" s="1985"/>
      <c r="BJ87" s="1985"/>
      <c r="BK87" s="1985"/>
      <c r="BL87" s="1985"/>
      <c r="BM87" s="1985"/>
      <c r="BN87" s="1985"/>
      <c r="BO87" s="1985"/>
      <c r="BP87" s="1985"/>
      <c r="BQ87" s="1985"/>
      <c r="BR87" s="1985"/>
      <c r="BS87" s="1985"/>
      <c r="BT87" s="1985"/>
      <c r="BU87" s="1985"/>
      <c r="BV87" s="1985"/>
      <c r="BW87" s="1985"/>
      <c r="BX87" s="1985"/>
      <c r="BY87" s="1978"/>
      <c r="BZ87" s="3125"/>
      <c r="CA87" s="3134"/>
      <c r="CB87" s="3134"/>
      <c r="CC87" s="3135"/>
      <c r="CD87" s="3127">
        <f t="shared" ref="CD87:DV87" si="601">CD85/BZ85-1</f>
        <v>6.0499999999999989</v>
      </c>
      <c r="CE87" s="3124">
        <f t="shared" si="601"/>
        <v>3.7714285714285714</v>
      </c>
      <c r="CF87" s="3124">
        <f t="shared" si="601"/>
        <v>2.2063492063492069</v>
      </c>
      <c r="CG87" s="3124">
        <f t="shared" si="601"/>
        <v>1.2471910112359552</v>
      </c>
      <c r="CH87" s="3127">
        <f t="shared" si="601"/>
        <v>0.76595744680851063</v>
      </c>
      <c r="CI87" s="3124">
        <f t="shared" si="601"/>
        <v>1.3609145345672369E-2</v>
      </c>
      <c r="CJ87" s="3124">
        <f t="shared" si="601"/>
        <v>9.0509050905090094E-2</v>
      </c>
      <c r="CK87" s="3124">
        <f t="shared" si="601"/>
        <v>0.46722222222222265</v>
      </c>
      <c r="CL87" s="3127">
        <f t="shared" si="601"/>
        <v>0.12851405622489986</v>
      </c>
      <c r="CM87" s="3124">
        <f t="shared" si="601"/>
        <v>0.6789473684210523</v>
      </c>
      <c r="CN87" s="3124">
        <f t="shared" si="601"/>
        <v>-0.15199926632428429</v>
      </c>
      <c r="CO87" s="3124">
        <f t="shared" si="601"/>
        <v>-0.49223778871639545</v>
      </c>
      <c r="CP87" s="3127">
        <f t="shared" si="601"/>
        <v>-0.41637010676156594</v>
      </c>
      <c r="CQ87" s="3124">
        <f t="shared" si="601"/>
        <v>-0.3947923997185081</v>
      </c>
      <c r="CR87" s="3124">
        <f t="shared" si="601"/>
        <v>9.2077087794432577E-2</v>
      </c>
      <c r="CS87" s="3124">
        <f t="shared" si="601"/>
        <v>0.22147651006711411</v>
      </c>
      <c r="CT87" s="3127">
        <f t="shared" si="601"/>
        <v>0.1707317073170731</v>
      </c>
      <c r="CU87" s="3124">
        <f t="shared" si="601"/>
        <v>6.976744186046524E-2</v>
      </c>
      <c r="CV87" s="3124">
        <f t="shared" si="601"/>
        <v>-0.35784313725490202</v>
      </c>
      <c r="CW87" s="3124">
        <f t="shared" si="601"/>
        <v>6.5934065934065922E-2</v>
      </c>
      <c r="CX87" s="3127">
        <f t="shared" si="601"/>
        <v>-6.25E-2</v>
      </c>
      <c r="CY87" s="3124">
        <f t="shared" si="601"/>
        <v>-0.34782608695652173</v>
      </c>
      <c r="CZ87" s="3124">
        <f t="shared" si="601"/>
        <v>-9.1603053435114434E-2</v>
      </c>
      <c r="DA87" s="3124">
        <f t="shared" si="601"/>
        <v>-0.30927835051546393</v>
      </c>
      <c r="DB87" s="3127">
        <f t="shared" si="601"/>
        <v>-6.1111111111111116E-2</v>
      </c>
      <c r="DC87" s="3124">
        <f t="shared" si="601"/>
        <v>0.16666666666666674</v>
      </c>
      <c r="DD87" s="3124">
        <f t="shared" si="601"/>
        <v>0.13445378151260501</v>
      </c>
      <c r="DE87" s="3124">
        <f t="shared" si="601"/>
        <v>-0.31343283582089554</v>
      </c>
      <c r="DF87" s="3127">
        <f t="shared" si="601"/>
        <v>-0.66272189349112431</v>
      </c>
      <c r="DG87" s="3124">
        <f t="shared" si="601"/>
        <v>-0.2857142857142857</v>
      </c>
      <c r="DH87" s="3124">
        <f t="shared" si="601"/>
        <v>-0.15555555555555556</v>
      </c>
      <c r="DI87" s="3128">
        <f t="shared" si="601"/>
        <v>0.26086956521739135</v>
      </c>
      <c r="DJ87" s="3127">
        <f t="shared" si="601"/>
        <v>0.57894736842105243</v>
      </c>
      <c r="DK87" s="3124">
        <f t="shared" si="601"/>
        <v>-0.74</v>
      </c>
      <c r="DL87" s="3124">
        <f t="shared" si="601"/>
        <v>-0.63157894736842102</v>
      </c>
      <c r="DM87" s="3124">
        <f t="shared" si="601"/>
        <v>-0.82758620689655171</v>
      </c>
      <c r="DN87" s="3124">
        <f t="shared" si="601"/>
        <v>-0.60000000000000009</v>
      </c>
      <c r="DO87" s="3124">
        <f t="shared" si="601"/>
        <v>-48.153846153846153</v>
      </c>
      <c r="DP87" s="3124">
        <f t="shared" si="601"/>
        <v>-0.1428571428571429</v>
      </c>
      <c r="DQ87" s="3128">
        <f t="shared" si="601"/>
        <v>5.0000000000000044E-2</v>
      </c>
      <c r="DR87" s="3124">
        <f t="shared" si="601"/>
        <v>-1.3611111111111112</v>
      </c>
      <c r="DS87" s="3124">
        <f t="shared" si="601"/>
        <v>-0.9877650897226754</v>
      </c>
      <c r="DT87" s="3124">
        <f t="shared" si="601"/>
        <v>-1.5</v>
      </c>
      <c r="DU87" s="3124">
        <f t="shared" si="601"/>
        <v>-2.3809523809523809</v>
      </c>
      <c r="DV87" s="3124">
        <f t="shared" si="601"/>
        <v>0.69230769230769229</v>
      </c>
      <c r="DW87" s="3124">
        <f t="shared" ref="DW87" si="602">DW85/DS85-1</f>
        <v>0.5</v>
      </c>
      <c r="DX87" s="3124">
        <f t="shared" ref="DX87" si="603">DX85/DT85-1</f>
        <v>0.41666666666666674</v>
      </c>
      <c r="DY87" s="3128">
        <f t="shared" ref="DY87" si="604">DY85/DU85-1</f>
        <v>0.25862068965517238</v>
      </c>
    </row>
    <row r="88" spans="1:129" outlineLevel="1">
      <c r="A88" s="381" t="s">
        <v>348</v>
      </c>
      <c r="B88" s="1044"/>
      <c r="C88" s="1044"/>
      <c r="D88" s="1044"/>
      <c r="E88" s="1044"/>
      <c r="F88" s="1050">
        <v>70</v>
      </c>
      <c r="G88" s="1044">
        <f>F88*(1+G90)</f>
        <v>70</v>
      </c>
      <c r="H88" s="1094">
        <f>G88*(1+H90)</f>
        <v>70</v>
      </c>
      <c r="I88" s="1094">
        <f ca="1">I91*1000000/I84/12</f>
        <v>68.609649885278074</v>
      </c>
      <c r="J88" s="1094">
        <f>J91*1000000/J84/12</f>
        <v>67.636010202712484</v>
      </c>
      <c r="K88" s="1044">
        <f t="shared" ref="K88:T88" si="605">J88*(1+K90)</f>
        <v>66.283289998658233</v>
      </c>
      <c r="L88" s="1094">
        <f t="shared" si="605"/>
        <v>66.946122898644816</v>
      </c>
      <c r="M88" s="1094">
        <f t="shared" si="605"/>
        <v>67.615584127631266</v>
      </c>
      <c r="N88" s="1094">
        <f t="shared" si="605"/>
        <v>68.291739968907578</v>
      </c>
      <c r="O88" s="1094">
        <f>N88*(1+O90)</f>
        <v>68.974657368596652</v>
      </c>
      <c r="P88" s="1094">
        <f>O88*(1+P90)</f>
        <v>69.664403942282618</v>
      </c>
      <c r="Q88" s="1094">
        <f>P88*(1+Q90)</f>
        <v>70.36104798170544</v>
      </c>
      <c r="R88" s="3430">
        <f>+(R91/12)/(R84/1000000)</f>
        <v>125.46734078401101</v>
      </c>
      <c r="S88" s="1094">
        <f t="shared" si="605"/>
        <v>126.72201419185113</v>
      </c>
      <c r="T88" s="1094">
        <f t="shared" si="605"/>
        <v>127.98923433376964</v>
      </c>
      <c r="U88" s="1094">
        <f t="shared" ref="U88" si="606">T88*(1+U90)</f>
        <v>129.26912667710735</v>
      </c>
      <c r="V88" s="1094">
        <f t="shared" ref="V88" si="607">U88*(1+V90)</f>
        <v>130.56181794387842</v>
      </c>
      <c r="W88" s="1094">
        <f t="shared" ref="W88" si="608">V88*(1+W90)</f>
        <v>131.86743612331722</v>
      </c>
      <c r="X88" s="1094">
        <f t="shared" ref="X88" si="609">W88*(1+X90)</f>
        <v>133.1861104845504</v>
      </c>
      <c r="Y88" s="1094">
        <f t="shared" ref="Y88" si="610">X88*(1+Y90)</f>
        <v>134.5179715893959</v>
      </c>
      <c r="Z88" s="171"/>
      <c r="AA88" s="1044"/>
      <c r="AB88" s="1044"/>
      <c r="AC88" s="1044"/>
      <c r="AD88" s="1044"/>
      <c r="AE88" s="1044"/>
      <c r="AF88" s="1044"/>
      <c r="AG88" s="1044"/>
      <c r="AH88" s="1044"/>
      <c r="AI88" s="1044"/>
      <c r="AJ88" s="1044"/>
      <c r="AK88" s="1044"/>
      <c r="AL88" s="1044"/>
      <c r="AM88" s="1044"/>
      <c r="AN88" s="1044"/>
      <c r="AO88" s="1044"/>
      <c r="AP88" s="1044"/>
      <c r="AQ88" s="1044"/>
      <c r="AR88" s="1044"/>
      <c r="AS88" s="1044"/>
      <c r="AT88" s="1044"/>
      <c r="AU88" s="1044"/>
      <c r="AV88" s="1044"/>
      <c r="AW88" s="1044"/>
      <c r="AX88" s="1044"/>
      <c r="AY88" s="1044"/>
      <c r="AZ88" s="1044"/>
      <c r="BA88" s="1044"/>
      <c r="BB88" s="1044"/>
      <c r="BC88" s="1044"/>
      <c r="BD88" s="1044"/>
      <c r="BE88" s="1044"/>
      <c r="BF88" s="1044"/>
      <c r="BG88" s="1044"/>
      <c r="BH88" s="1044"/>
      <c r="BI88" s="1044"/>
      <c r="BJ88" s="1044"/>
      <c r="BK88" s="1044"/>
      <c r="BL88" s="1044"/>
      <c r="BM88" s="1044"/>
      <c r="BN88" s="1044"/>
      <c r="BO88" s="1044"/>
      <c r="BP88" s="1044"/>
      <c r="BQ88" s="1044"/>
      <c r="BR88" s="1044"/>
      <c r="BS88" s="1044"/>
      <c r="BT88" s="1044"/>
      <c r="BU88" s="1044"/>
      <c r="BV88" s="1044"/>
      <c r="BW88" s="1044"/>
      <c r="BX88" s="1044"/>
      <c r="BY88" s="536"/>
      <c r="BZ88" s="173">
        <v>70</v>
      </c>
      <c r="CA88" s="1044">
        <f t="shared" ref="CA88:DE88" si="611">BZ88*(1+CA89)</f>
        <v>70</v>
      </c>
      <c r="CB88" s="1044">
        <f t="shared" si="611"/>
        <v>70</v>
      </c>
      <c r="CC88" s="172">
        <f t="shared" si="611"/>
        <v>70</v>
      </c>
      <c r="CD88" s="171">
        <f t="shared" si="611"/>
        <v>70</v>
      </c>
      <c r="CE88" s="1044">
        <f t="shared" si="611"/>
        <v>70</v>
      </c>
      <c r="CF88" s="1044">
        <f t="shared" si="611"/>
        <v>70</v>
      </c>
      <c r="CG88" s="1044">
        <f t="shared" si="611"/>
        <v>70</v>
      </c>
      <c r="CH88" s="171">
        <f t="shared" si="611"/>
        <v>70</v>
      </c>
      <c r="CI88" s="1044">
        <f t="shared" si="611"/>
        <v>70</v>
      </c>
      <c r="CJ88" s="1044">
        <f t="shared" si="611"/>
        <v>69.72</v>
      </c>
      <c r="CK88" s="1044">
        <f t="shared" si="611"/>
        <v>69.441119999999998</v>
      </c>
      <c r="CL88" s="171">
        <f t="shared" si="611"/>
        <v>69.163355519999996</v>
      </c>
      <c r="CM88" s="1044">
        <f t="shared" si="611"/>
        <v>68.886702097919994</v>
      </c>
      <c r="CN88" s="1044">
        <f t="shared" si="611"/>
        <v>68.611155289528313</v>
      </c>
      <c r="CO88" s="1044">
        <f t="shared" si="611"/>
        <v>68.336710668370202</v>
      </c>
      <c r="CP88" s="171">
        <f t="shared" si="611"/>
        <v>68.063363825696726</v>
      </c>
      <c r="CQ88" s="1044">
        <f t="shared" si="611"/>
        <v>67.791110370393938</v>
      </c>
      <c r="CR88" s="1044">
        <f t="shared" si="611"/>
        <v>67.519945928912364</v>
      </c>
      <c r="CS88" s="1044">
        <f t="shared" si="611"/>
        <v>67.249866145196719</v>
      </c>
      <c r="CT88" s="171">
        <f t="shared" si="611"/>
        <v>66.980866680615932</v>
      </c>
      <c r="CU88" s="1044">
        <f t="shared" si="611"/>
        <v>66.712943213893467</v>
      </c>
      <c r="CV88" s="1044">
        <f t="shared" si="611"/>
        <v>66.446091441037893</v>
      </c>
      <c r="CW88" s="1044">
        <f t="shared" si="611"/>
        <v>66.180307075273745</v>
      </c>
      <c r="CX88" s="171">
        <f t="shared" si="611"/>
        <v>65.915585846972647</v>
      </c>
      <c r="CY88" s="1044">
        <f t="shared" si="611"/>
        <v>65.651923503584754</v>
      </c>
      <c r="CZ88" s="1044">
        <f t="shared" si="611"/>
        <v>65.389315809570419</v>
      </c>
      <c r="DA88" s="1044">
        <f t="shared" si="611"/>
        <v>65.127758546332132</v>
      </c>
      <c r="DB88" s="171">
        <f t="shared" si="611"/>
        <v>64.867247512146804</v>
      </c>
      <c r="DC88" s="1044">
        <f t="shared" si="611"/>
        <v>64.607778522098215</v>
      </c>
      <c r="DD88" s="1044">
        <f t="shared" si="611"/>
        <v>64.34934740800982</v>
      </c>
      <c r="DE88" s="1044">
        <f t="shared" si="611"/>
        <v>64.091950018377787</v>
      </c>
      <c r="DF88" s="171">
        <f t="shared" ref="DF88:DU88" si="612">DE88*(1+DF89)</f>
        <v>63.835582218304275</v>
      </c>
      <c r="DG88" s="1044">
        <f t="shared" si="612"/>
        <v>63.580239889431056</v>
      </c>
      <c r="DH88" s="1044">
        <f t="shared" si="612"/>
        <v>63.325918929873332</v>
      </c>
      <c r="DI88" s="172">
        <f t="shared" si="612"/>
        <v>63.072615254153838</v>
      </c>
      <c r="DJ88" s="171">
        <f t="shared" si="612"/>
        <v>62.820324793137225</v>
      </c>
      <c r="DK88" s="1044">
        <f t="shared" si="612"/>
        <v>62.569043493964678</v>
      </c>
      <c r="DL88" s="1044">
        <f t="shared" si="612"/>
        <v>62.318767319988822</v>
      </c>
      <c r="DM88" s="1044">
        <f t="shared" si="612"/>
        <v>62.069492250708869</v>
      </c>
      <c r="DN88" s="1044">
        <f t="shared" si="612"/>
        <v>61.821214281706034</v>
      </c>
      <c r="DO88" s="1044">
        <f t="shared" si="612"/>
        <v>61.573929424579212</v>
      </c>
      <c r="DP88" s="1044">
        <f t="shared" si="612"/>
        <v>61.327633706880896</v>
      </c>
      <c r="DQ88" s="172">
        <f t="shared" si="612"/>
        <v>61.082323172053371</v>
      </c>
      <c r="DR88" s="1044">
        <f t="shared" si="612"/>
        <v>61.082323172053371</v>
      </c>
      <c r="DS88" s="1044">
        <f t="shared" si="612"/>
        <v>61.082323172053371</v>
      </c>
      <c r="DT88" s="1044">
        <f t="shared" si="612"/>
        <v>61.082323172053371</v>
      </c>
      <c r="DU88" s="1044">
        <f t="shared" si="612"/>
        <v>61.082323172053371</v>
      </c>
      <c r="DV88" s="3259">
        <v>125</v>
      </c>
      <c r="DW88" s="1044">
        <f t="shared" ref="DW88" si="613">DV88*(1+DW89)</f>
        <v>125.3125</v>
      </c>
      <c r="DX88" s="1044">
        <f t="shared" ref="DX88" si="614">DW88*(1+DX89)</f>
        <v>125.62578124999999</v>
      </c>
      <c r="DY88" s="172">
        <f t="shared" ref="DY88" si="615">DX88*(1+DY89)</f>
        <v>125.93984570312499</v>
      </c>
    </row>
    <row r="89" spans="1:129" outlineLevel="1">
      <c r="A89" s="176" t="s">
        <v>319</v>
      </c>
      <c r="B89" s="1045"/>
      <c r="C89" s="1045"/>
      <c r="D89" s="1045"/>
      <c r="E89" s="1045"/>
      <c r="F89" s="1045"/>
      <c r="G89" s="1045"/>
      <c r="H89" s="1102"/>
      <c r="I89" s="1102"/>
      <c r="J89" s="1102"/>
      <c r="K89" s="1059"/>
      <c r="L89" s="1102"/>
      <c r="M89" s="1102"/>
      <c r="N89" s="1102"/>
      <c r="O89" s="1102"/>
      <c r="P89" s="1102"/>
      <c r="Q89" s="1102"/>
      <c r="R89" s="1102"/>
      <c r="S89" s="1102"/>
      <c r="T89" s="1102"/>
      <c r="U89" s="1102"/>
      <c r="V89" s="1102"/>
      <c r="W89" s="1102"/>
      <c r="X89" s="1102"/>
      <c r="Y89" s="1102"/>
      <c r="Z89" s="147"/>
      <c r="AA89" s="1045"/>
      <c r="AB89" s="1045"/>
      <c r="AC89" s="1045"/>
      <c r="AD89" s="1045"/>
      <c r="AE89" s="1045"/>
      <c r="AF89" s="1045"/>
      <c r="AG89" s="1045"/>
      <c r="AH89" s="1045"/>
      <c r="AI89" s="1045"/>
      <c r="AJ89" s="1045"/>
      <c r="AK89" s="1045"/>
      <c r="AL89" s="1045"/>
      <c r="AM89" s="1045"/>
      <c r="AN89" s="1045"/>
      <c r="AO89" s="1045"/>
      <c r="AP89" s="1045"/>
      <c r="AQ89" s="1045"/>
      <c r="AR89" s="1045"/>
      <c r="AS89" s="1045"/>
      <c r="AT89" s="1045"/>
      <c r="AU89" s="1045"/>
      <c r="AV89" s="1045"/>
      <c r="AW89" s="1045"/>
      <c r="AX89" s="1045"/>
      <c r="AY89" s="1045"/>
      <c r="AZ89" s="1045"/>
      <c r="BA89" s="1045"/>
      <c r="BB89" s="1045"/>
      <c r="BC89" s="1045"/>
      <c r="BD89" s="1045"/>
      <c r="BE89" s="1045"/>
      <c r="BF89" s="1045"/>
      <c r="BG89" s="1045"/>
      <c r="BH89" s="1045"/>
      <c r="BI89" s="1045"/>
      <c r="BJ89" s="1045"/>
      <c r="BK89" s="1045"/>
      <c r="BL89" s="1045"/>
      <c r="BM89" s="1045"/>
      <c r="BN89" s="1045"/>
      <c r="BO89" s="1045"/>
      <c r="BP89" s="1045"/>
      <c r="BQ89" s="1045"/>
      <c r="BR89" s="1045"/>
      <c r="BS89" s="1045"/>
      <c r="BT89" s="1045"/>
      <c r="BU89" s="1045"/>
      <c r="BV89" s="1045"/>
      <c r="BW89" s="1045"/>
      <c r="BX89" s="1045"/>
      <c r="BY89" s="138"/>
      <c r="BZ89" s="147"/>
      <c r="CA89" s="1059">
        <v>0</v>
      </c>
      <c r="CB89" s="1059">
        <v>0</v>
      </c>
      <c r="CC89" s="166">
        <v>0</v>
      </c>
      <c r="CD89" s="165">
        <v>0</v>
      </c>
      <c r="CE89" s="1059">
        <v>0</v>
      </c>
      <c r="CF89" s="1059">
        <v>0</v>
      </c>
      <c r="CG89" s="1059">
        <v>0</v>
      </c>
      <c r="CH89" s="165">
        <v>0</v>
      </c>
      <c r="CI89" s="1059">
        <v>0</v>
      </c>
      <c r="CJ89" s="1059">
        <v>-4.0000000000000001E-3</v>
      </c>
      <c r="CK89" s="1059">
        <v>-4.0000000000000001E-3</v>
      </c>
      <c r="CL89" s="165">
        <v>-4.0000000000000001E-3</v>
      </c>
      <c r="CM89" s="1059">
        <v>-4.0000000000000001E-3</v>
      </c>
      <c r="CN89" s="1059">
        <v>-4.0000000000000001E-3</v>
      </c>
      <c r="CO89" s="1059">
        <v>-4.0000000000000001E-3</v>
      </c>
      <c r="CP89" s="165">
        <v>-4.0000000000000001E-3</v>
      </c>
      <c r="CQ89" s="1059">
        <v>-4.0000000000000001E-3</v>
      </c>
      <c r="CR89" s="1059">
        <v>-4.0000000000000001E-3</v>
      </c>
      <c r="CS89" s="1059">
        <v>-4.0000000000000001E-3</v>
      </c>
      <c r="CT89" s="165">
        <v>-4.0000000000000001E-3</v>
      </c>
      <c r="CU89" s="1059">
        <v>-4.0000000000000001E-3</v>
      </c>
      <c r="CV89" s="1059">
        <v>-4.0000000000000001E-3</v>
      </c>
      <c r="CW89" s="1059">
        <v>-4.0000000000000001E-3</v>
      </c>
      <c r="CX89" s="165">
        <v>-4.0000000000000001E-3</v>
      </c>
      <c r="CY89" s="1059">
        <v>-4.0000000000000001E-3</v>
      </c>
      <c r="CZ89" s="1059">
        <v>-4.0000000000000001E-3</v>
      </c>
      <c r="DA89" s="1059">
        <v>-4.0000000000000001E-3</v>
      </c>
      <c r="DB89" s="165">
        <v>-4.0000000000000001E-3</v>
      </c>
      <c r="DC89" s="1059">
        <v>-4.0000000000000001E-3</v>
      </c>
      <c r="DD89" s="1059">
        <v>-4.0000000000000001E-3</v>
      </c>
      <c r="DE89" s="1059">
        <v>-4.0000000000000001E-3</v>
      </c>
      <c r="DF89" s="165">
        <v>-4.0000000000000001E-3</v>
      </c>
      <c r="DG89" s="1059">
        <v>-4.0000000000000001E-3</v>
      </c>
      <c r="DH89" s="1059">
        <v>-4.0000000000000001E-3</v>
      </c>
      <c r="DI89" s="166">
        <v>-4.0000000000000001E-3</v>
      </c>
      <c r="DJ89" s="165">
        <v>-4.0000000000000001E-3</v>
      </c>
      <c r="DK89" s="1059">
        <v>-4.0000000000000001E-3</v>
      </c>
      <c r="DL89" s="1059">
        <v>-4.0000000000000001E-3</v>
      </c>
      <c r="DM89" s="1059">
        <v>-4.0000000000000001E-3</v>
      </c>
      <c r="DN89" s="1059">
        <v>-4.0000000000000001E-3</v>
      </c>
      <c r="DO89" s="1059">
        <v>-4.0000000000000001E-3</v>
      </c>
      <c r="DP89" s="1059">
        <v>-4.0000000000000001E-3</v>
      </c>
      <c r="DQ89" s="166">
        <v>-4.0000000000000001E-3</v>
      </c>
      <c r="DR89" s="1059">
        <v>0</v>
      </c>
      <c r="DS89" s="1059">
        <v>0</v>
      </c>
      <c r="DT89" s="1059">
        <v>0</v>
      </c>
      <c r="DU89" s="1059">
        <v>0</v>
      </c>
      <c r="DV89" s="1059">
        <v>0</v>
      </c>
      <c r="DW89" s="1059">
        <v>2.5000000000000001E-3</v>
      </c>
      <c r="DX89" s="1059">
        <v>2.5000000000000001E-3</v>
      </c>
      <c r="DY89" s="166">
        <v>2.5000000000000001E-3</v>
      </c>
    </row>
    <row r="90" spans="1:129" outlineLevel="1">
      <c r="A90" s="176" t="s">
        <v>320</v>
      </c>
      <c r="B90" s="1045"/>
      <c r="C90" s="1045"/>
      <c r="D90" s="1045"/>
      <c r="E90" s="1045"/>
      <c r="F90" s="1045"/>
      <c r="G90" s="1095">
        <v>0</v>
      </c>
      <c r="H90" s="1095">
        <v>0</v>
      </c>
      <c r="I90" s="1095">
        <v>-0.02</v>
      </c>
      <c r="J90" s="1095">
        <v>-0.02</v>
      </c>
      <c r="K90" s="1095">
        <v>-0.02</v>
      </c>
      <c r="L90" s="1095">
        <v>0.01</v>
      </c>
      <c r="M90" s="1095">
        <v>0.01</v>
      </c>
      <c r="N90" s="1095">
        <v>0.01</v>
      </c>
      <c r="O90" s="1095">
        <v>0.01</v>
      </c>
      <c r="P90" s="1095">
        <v>0.01</v>
      </c>
      <c r="Q90" s="1095">
        <v>0.01</v>
      </c>
      <c r="R90" s="1095">
        <v>0.01</v>
      </c>
      <c r="S90" s="1095">
        <v>0.01</v>
      </c>
      <c r="T90" s="1095">
        <v>0.01</v>
      </c>
      <c r="U90" s="1095">
        <v>0.01</v>
      </c>
      <c r="V90" s="1095">
        <v>0.01</v>
      </c>
      <c r="W90" s="1095">
        <v>0.01</v>
      </c>
      <c r="X90" s="1095">
        <v>0.01</v>
      </c>
      <c r="Y90" s="1095">
        <v>0.01</v>
      </c>
      <c r="Z90" s="147"/>
      <c r="AA90" s="1045"/>
      <c r="AB90" s="1045"/>
      <c r="AC90" s="1045"/>
      <c r="AD90" s="1045"/>
      <c r="AE90" s="1045"/>
      <c r="AF90" s="1045"/>
      <c r="AG90" s="1045"/>
      <c r="AH90" s="1045"/>
      <c r="AI90" s="1045"/>
      <c r="AJ90" s="1045"/>
      <c r="AK90" s="1045"/>
      <c r="AL90" s="1045"/>
      <c r="AM90" s="1045"/>
      <c r="AN90" s="1045"/>
      <c r="AO90" s="1045"/>
      <c r="AP90" s="1045"/>
      <c r="AQ90" s="1045"/>
      <c r="AR90" s="1045"/>
      <c r="AS90" s="1045"/>
      <c r="AT90" s="1045"/>
      <c r="AU90" s="1045"/>
      <c r="AV90" s="1045"/>
      <c r="AW90" s="1045"/>
      <c r="AX90" s="1045"/>
      <c r="AY90" s="1045"/>
      <c r="AZ90" s="1045"/>
      <c r="BA90" s="1045"/>
      <c r="BB90" s="1045"/>
      <c r="BC90" s="1045"/>
      <c r="BD90" s="1045"/>
      <c r="BE90" s="1045"/>
      <c r="BF90" s="1045"/>
      <c r="BG90" s="1045"/>
      <c r="BH90" s="1045"/>
      <c r="BI90" s="1045"/>
      <c r="BJ90" s="1045"/>
      <c r="BK90" s="1045"/>
      <c r="BL90" s="1045"/>
      <c r="BM90" s="1045"/>
      <c r="BN90" s="1045"/>
      <c r="BO90" s="1045"/>
      <c r="BP90" s="1045"/>
      <c r="BQ90" s="1045"/>
      <c r="BR90" s="1045"/>
      <c r="BS90" s="1045"/>
      <c r="BT90" s="1045"/>
      <c r="BU90" s="1045"/>
      <c r="BV90" s="1045"/>
      <c r="BW90" s="1045"/>
      <c r="BX90" s="1045"/>
      <c r="BY90" s="138"/>
      <c r="BZ90" s="147"/>
      <c r="CA90" s="1069"/>
      <c r="CB90" s="1069"/>
      <c r="CC90" s="622"/>
      <c r="CD90" s="453">
        <f t="shared" ref="CD90:DV90" si="616">IF(ISERROR(CD88/BZ88-1),"NA",(CD88/BZ88-1))</f>
        <v>0</v>
      </c>
      <c r="CE90" s="1069">
        <f t="shared" si="616"/>
        <v>0</v>
      </c>
      <c r="CF90" s="1069">
        <f t="shared" si="616"/>
        <v>0</v>
      </c>
      <c r="CG90" s="1069">
        <f t="shared" si="616"/>
        <v>0</v>
      </c>
      <c r="CH90" s="453">
        <f t="shared" si="616"/>
        <v>0</v>
      </c>
      <c r="CI90" s="1069">
        <f t="shared" si="616"/>
        <v>0</v>
      </c>
      <c r="CJ90" s="1069">
        <f t="shared" si="616"/>
        <v>-4.0000000000000036E-3</v>
      </c>
      <c r="CK90" s="1069">
        <f t="shared" si="616"/>
        <v>-7.9839999999999911E-3</v>
      </c>
      <c r="CL90" s="453">
        <f t="shared" si="616"/>
        <v>-1.195206400000004E-2</v>
      </c>
      <c r="CM90" s="1069">
        <f t="shared" si="616"/>
        <v>-1.5904255744000118E-2</v>
      </c>
      <c r="CN90" s="1069">
        <f t="shared" si="616"/>
        <v>-1.5904255744000118E-2</v>
      </c>
      <c r="CO90" s="1069">
        <f t="shared" si="616"/>
        <v>-1.5904255744000007E-2</v>
      </c>
      <c r="CP90" s="453">
        <f t="shared" si="616"/>
        <v>-1.5904255743999896E-2</v>
      </c>
      <c r="CQ90" s="1069">
        <f t="shared" si="616"/>
        <v>-1.5904255743999896E-2</v>
      </c>
      <c r="CR90" s="1069">
        <f t="shared" si="616"/>
        <v>-1.5904255743999896E-2</v>
      </c>
      <c r="CS90" s="1069">
        <f t="shared" si="616"/>
        <v>-1.5904255743999896E-2</v>
      </c>
      <c r="CT90" s="453">
        <f t="shared" si="616"/>
        <v>-1.5904255743999896E-2</v>
      </c>
      <c r="CU90" s="1069">
        <f t="shared" si="616"/>
        <v>-1.5904255743999896E-2</v>
      </c>
      <c r="CV90" s="1069">
        <f t="shared" si="616"/>
        <v>-1.5904255743999896E-2</v>
      </c>
      <c r="CW90" s="1069">
        <f t="shared" si="616"/>
        <v>-1.5904255744000007E-2</v>
      </c>
      <c r="CX90" s="453">
        <f t="shared" si="616"/>
        <v>-1.5904255744000007E-2</v>
      </c>
      <c r="CY90" s="1069">
        <f t="shared" si="616"/>
        <v>-1.5904255744000007E-2</v>
      </c>
      <c r="CZ90" s="1069">
        <f t="shared" si="616"/>
        <v>-1.5904255744000007E-2</v>
      </c>
      <c r="DA90" s="1069">
        <f t="shared" si="616"/>
        <v>-1.5904255744000118E-2</v>
      </c>
      <c r="DB90" s="453">
        <f t="shared" si="616"/>
        <v>-1.5904255744000007E-2</v>
      </c>
      <c r="DC90" s="1069">
        <f t="shared" si="616"/>
        <v>-1.5904255744000007E-2</v>
      </c>
      <c r="DD90" s="1069">
        <f t="shared" si="616"/>
        <v>-1.5904255744000118E-2</v>
      </c>
      <c r="DE90" s="1069">
        <f t="shared" si="616"/>
        <v>-1.5904255743999896E-2</v>
      </c>
      <c r="DF90" s="453">
        <f t="shared" si="616"/>
        <v>-1.5904255744000007E-2</v>
      </c>
      <c r="DG90" s="1069">
        <f t="shared" si="616"/>
        <v>-1.5904255744000007E-2</v>
      </c>
      <c r="DH90" s="1069">
        <f t="shared" si="616"/>
        <v>-1.5904255743999896E-2</v>
      </c>
      <c r="DI90" s="622">
        <f t="shared" si="616"/>
        <v>-1.5904255744000007E-2</v>
      </c>
      <c r="DJ90" s="453">
        <f t="shared" si="616"/>
        <v>-1.5904255744000007E-2</v>
      </c>
      <c r="DK90" s="1069">
        <f t="shared" si="616"/>
        <v>-1.5904255743999896E-2</v>
      </c>
      <c r="DL90" s="1069">
        <f t="shared" si="616"/>
        <v>-1.5904255743999896E-2</v>
      </c>
      <c r="DM90" s="1069">
        <f t="shared" si="616"/>
        <v>-1.5904255743999896E-2</v>
      </c>
      <c r="DN90" s="1069">
        <f t="shared" si="616"/>
        <v>-1.5904255743999896E-2</v>
      </c>
      <c r="DO90" s="1069">
        <f t="shared" si="616"/>
        <v>-1.5904255743999896E-2</v>
      </c>
      <c r="DP90" s="1069">
        <f t="shared" si="616"/>
        <v>-1.5904255743999896E-2</v>
      </c>
      <c r="DQ90" s="622">
        <f t="shared" si="616"/>
        <v>-1.5904255744000007E-2</v>
      </c>
      <c r="DR90" s="1069">
        <f t="shared" si="616"/>
        <v>-1.1952063999999929E-2</v>
      </c>
      <c r="DS90" s="1069">
        <f t="shared" si="616"/>
        <v>-7.9839999999999911E-3</v>
      </c>
      <c r="DT90" s="1069">
        <f t="shared" si="616"/>
        <v>-4.0000000000000036E-3</v>
      </c>
      <c r="DU90" s="1069">
        <f t="shared" si="616"/>
        <v>0</v>
      </c>
      <c r="DV90" s="1069">
        <f t="shared" si="616"/>
        <v>1.0464185628288365</v>
      </c>
      <c r="DW90" s="1069">
        <f t="shared" ref="DW90" si="617">IF(ISERROR(DW88/DS88-1),"NA",(DW88/DS88-1))</f>
        <v>1.0515346092359086</v>
      </c>
      <c r="DX90" s="1069">
        <f t="shared" ref="DX90" si="618">IF(ISERROR(DX88/DT88-1),"NA",(DX88/DT88-1))</f>
        <v>1.0566634457589981</v>
      </c>
      <c r="DY90" s="622">
        <f t="shared" ref="DY90" si="619">IF(ISERROR(DY88/DU88-1),"NA",(DY88/DU88-1))</f>
        <v>1.0618051043733958</v>
      </c>
    </row>
    <row r="91" spans="1:129" outlineLevel="1">
      <c r="A91" s="381" t="s">
        <v>349</v>
      </c>
      <c r="B91" s="1044"/>
      <c r="C91" s="1044"/>
      <c r="D91" s="1044"/>
      <c r="E91" s="1044"/>
      <c r="F91" s="1288">
        <v>173.88</v>
      </c>
      <c r="G91" s="1044">
        <f>SUM(CD91:CG91)</f>
        <v>449.82</v>
      </c>
      <c r="H91" s="1094">
        <f>H88*12*H84/1000000</f>
        <v>1142.3639393939393</v>
      </c>
      <c r="I91" s="1094">
        <f ca="1">SUM(CL91:CO91)</f>
        <v>1943.9926808144573</v>
      </c>
      <c r="J91" s="1094">
        <f>SUM(CP91:CS91)</f>
        <v>2516.2624875715128</v>
      </c>
      <c r="K91" s="1044">
        <f>SUM(CT91:CW91)</f>
        <v>3058.0477725634173</v>
      </c>
      <c r="L91" s="1094">
        <f>SUM(CX91:DA91)</f>
        <v>3511.5821455836099</v>
      </c>
      <c r="M91" s="1094">
        <f>SUM(DB91:DE91)</f>
        <v>3886.4030128938857</v>
      </c>
      <c r="N91" s="1094">
        <f>SUM(DF91:DI91)</f>
        <v>4135.4885389147639</v>
      </c>
      <c r="O91" s="1094">
        <f>SUM(DJ91:DM91)</f>
        <v>4317.692075055711</v>
      </c>
      <c r="P91" s="1094">
        <f>SUM(DN91:DQ91)</f>
        <v>3768.5019673123657</v>
      </c>
      <c r="Q91" s="1094">
        <f>SUM(DO91:DR91)</f>
        <v>3543.4371444896506</v>
      </c>
      <c r="R91" s="1094">
        <f>SUM(DV91:DY91)</f>
        <v>6882.9814812348632</v>
      </c>
      <c r="S91" s="1094">
        <f>S88*12*S84/1000000</f>
        <v>6827.6870831462948</v>
      </c>
      <c r="T91" s="1094">
        <f>T88*12*T84/1000000</f>
        <v>6827.0043144379797</v>
      </c>
      <c r="U91" s="1094">
        <f t="shared" ref="U91:Y91" si="620">U88*12*U84/1000000</f>
        <v>6826.3216140065379</v>
      </c>
      <c r="V91" s="1094">
        <f t="shared" si="620"/>
        <v>6825.638981845138</v>
      </c>
      <c r="W91" s="1094">
        <f t="shared" si="620"/>
        <v>6824.9564179469508</v>
      </c>
      <c r="X91" s="1094">
        <f t="shared" si="620"/>
        <v>6824.2739223051558</v>
      </c>
      <c r="Y91" s="1094">
        <f t="shared" si="620"/>
        <v>6823.5914949129265</v>
      </c>
      <c r="Z91" s="171"/>
      <c r="AA91" s="1044"/>
      <c r="AB91" s="1044"/>
      <c r="AC91" s="1044"/>
      <c r="AD91" s="1044"/>
      <c r="AE91" s="1044"/>
      <c r="AF91" s="1044"/>
      <c r="AG91" s="1044"/>
      <c r="AH91" s="1044"/>
      <c r="AI91" s="1044"/>
      <c r="AJ91" s="1044"/>
      <c r="AK91" s="1044"/>
      <c r="AL91" s="1044"/>
      <c r="AM91" s="1044"/>
      <c r="AN91" s="1044"/>
      <c r="AO91" s="1044"/>
      <c r="AP91" s="1044"/>
      <c r="AQ91" s="1044"/>
      <c r="AR91" s="1044"/>
      <c r="AS91" s="1044"/>
      <c r="AT91" s="1044"/>
      <c r="AU91" s="1044"/>
      <c r="AV91" s="1044"/>
      <c r="AW91" s="1044"/>
      <c r="AX91" s="1044"/>
      <c r="AY91" s="1044"/>
      <c r="AZ91" s="1044"/>
      <c r="BA91" s="1044"/>
      <c r="BB91" s="1044"/>
      <c r="BC91" s="1044"/>
      <c r="BD91" s="1044"/>
      <c r="BE91" s="1044"/>
      <c r="BF91" s="1044"/>
      <c r="BG91" s="1044"/>
      <c r="BH91" s="1044"/>
      <c r="BI91" s="1044"/>
      <c r="BJ91" s="1044"/>
      <c r="BK91" s="1044"/>
      <c r="BL91" s="1044"/>
      <c r="BM91" s="1044"/>
      <c r="BN91" s="1044"/>
      <c r="BO91" s="1044"/>
      <c r="BP91" s="1044"/>
      <c r="BQ91" s="1044"/>
      <c r="BR91" s="1044"/>
      <c r="BS91" s="1044"/>
      <c r="BT91" s="1044"/>
      <c r="BU91" s="1044"/>
      <c r="BV91" s="1044"/>
      <c r="BW91" s="1044"/>
      <c r="BX91" s="1044"/>
      <c r="BY91" s="536"/>
      <c r="BZ91" s="514">
        <v>4.2</v>
      </c>
      <c r="CA91" s="1044">
        <f t="shared" ref="CA91:DE91" si="621">CA88*3*CA84/1000000</f>
        <v>7.875</v>
      </c>
      <c r="CB91" s="1044">
        <f t="shared" si="621"/>
        <v>18.164999999999999</v>
      </c>
      <c r="CC91" s="172">
        <f t="shared" si="621"/>
        <v>34.125</v>
      </c>
      <c r="CD91" s="171">
        <f t="shared" si="621"/>
        <v>58.274999999999999</v>
      </c>
      <c r="CE91" s="1044">
        <f t="shared" si="621"/>
        <v>90.614999999999995</v>
      </c>
      <c r="CF91" s="1044">
        <f t="shared" si="621"/>
        <v>129.36000000000001</v>
      </c>
      <c r="CG91" s="1044">
        <f t="shared" si="621"/>
        <v>171.57</v>
      </c>
      <c r="CH91" s="171">
        <f t="shared" si="621"/>
        <v>218.715</v>
      </c>
      <c r="CI91" s="1044">
        <f t="shared" si="621"/>
        <v>262.63363636363641</v>
      </c>
      <c r="CJ91" s="1044">
        <f t="shared" si="621"/>
        <v>302.32282181818181</v>
      </c>
      <c r="CK91" s="1044">
        <f t="shared" si="621"/>
        <v>354.62422631999993</v>
      </c>
      <c r="CL91" s="171">
        <f t="shared" si="621"/>
        <v>412.80148742111999</v>
      </c>
      <c r="CM91" s="1044">
        <f ca="1">+CM93-CM44</f>
        <v>466.53858620160008</v>
      </c>
      <c r="CN91" s="1044">
        <f t="shared" si="621"/>
        <v>516.14799901206356</v>
      </c>
      <c r="CO91" s="1044">
        <f t="shared" si="621"/>
        <v>548.50460817967348</v>
      </c>
      <c r="CP91" s="171">
        <f t="shared" si="621"/>
        <v>578.26633906311929</v>
      </c>
      <c r="CQ91" s="1044">
        <f t="shared" si="621"/>
        <v>610.11999333354549</v>
      </c>
      <c r="CR91" s="1044">
        <f t="shared" si="621"/>
        <v>645.76076286411785</v>
      </c>
      <c r="CS91" s="1044">
        <f t="shared" si="621"/>
        <v>682.11539231073027</v>
      </c>
      <c r="CT91" s="171">
        <f t="shared" si="621"/>
        <v>716.9631969493131</v>
      </c>
      <c r="CU91" s="1044">
        <f t="shared" si="621"/>
        <v>751.72144413415162</v>
      </c>
      <c r="CV91" s="1044">
        <f t="shared" si="621"/>
        <v>780.11033656350537</v>
      </c>
      <c r="CW91" s="1044">
        <f t="shared" si="621"/>
        <v>809.25279491644744</v>
      </c>
      <c r="CX91" s="171">
        <f t="shared" si="621"/>
        <v>842.99442739693325</v>
      </c>
      <c r="CY91" s="1044">
        <f t="shared" si="621"/>
        <v>869.16581526395862</v>
      </c>
      <c r="CZ91" s="1044">
        <f t="shared" si="621"/>
        <v>889.1312217206339</v>
      </c>
      <c r="DA91" s="1044">
        <f t="shared" si="621"/>
        <v>910.29068120208422</v>
      </c>
      <c r="DB91" s="171">
        <f t="shared" si="621"/>
        <v>936.1316824715467</v>
      </c>
      <c r="DC91" s="1044">
        <f t="shared" si="621"/>
        <v>962.33286108665288</v>
      </c>
      <c r="DD91" s="1044">
        <f t="shared" si="621"/>
        <v>985.02763544811035</v>
      </c>
      <c r="DE91" s="1044">
        <f t="shared" si="621"/>
        <v>1002.9108338875757</v>
      </c>
      <c r="DF91" s="171">
        <f>DF88*3*DF84/1000000</f>
        <v>1013.1664431778164</v>
      </c>
      <c r="DG91" s="1044">
        <f>DG88*3*DG84/1000000</f>
        <v>1024.0869238990661</v>
      </c>
      <c r="DH91" s="1044">
        <f>DH88*3*DH84/1000000</f>
        <v>1040.3181961799592</v>
      </c>
      <c r="DI91" s="172">
        <f>DI88*3*DI84/1000000</f>
        <v>1057.9169756579222</v>
      </c>
      <c r="DJ91" s="171">
        <f t="shared" ref="DJ91:DM91" si="622">DJ88*3*DJ84/1000000</f>
        <v>1073.0967881163701</v>
      </c>
      <c r="DK91" s="1044">
        <f t="shared" si="622"/>
        <v>1079.6914145318547</v>
      </c>
      <c r="DL91" s="1044">
        <f t="shared" si="622"/>
        <v>1081.7291631403662</v>
      </c>
      <c r="DM91" s="1044">
        <f t="shared" si="622"/>
        <v>1083.1747092671205</v>
      </c>
      <c r="DN91" s="1044">
        <f t="shared" ref="DN91:DO91" si="623">DN88*3*DN84/1000000</f>
        <v>1084.0349924297154</v>
      </c>
      <c r="DO91" s="1044">
        <f t="shared" si="623"/>
        <v>969.78938843712262</v>
      </c>
      <c r="DP91" s="1044">
        <f t="shared" ref="DP91:DQ91" si="624">DP88*3*DP84/1000000</f>
        <v>856.44040471659173</v>
      </c>
      <c r="DQ91" s="172">
        <f t="shared" si="624"/>
        <v>858.23718172893587</v>
      </c>
      <c r="DR91" s="1044">
        <f t="shared" ref="DR91:DS91" si="625">DR88*3*DR84/1000000</f>
        <v>858.97016960700046</v>
      </c>
      <c r="DS91" s="1044">
        <f t="shared" si="625"/>
        <v>856.40471203377422</v>
      </c>
      <c r="DT91" s="1044">
        <f t="shared" ref="DT91:DU91" si="626">DT88*3*DT84/1000000</f>
        <v>853.38113703675754</v>
      </c>
      <c r="DU91" s="1044">
        <f t="shared" si="626"/>
        <v>849.07483325312785</v>
      </c>
      <c r="DV91" s="1044">
        <f t="shared" ref="DV91" si="627">DV88*3*DV84/1000000</f>
        <v>1728</v>
      </c>
      <c r="DW91" s="1044">
        <f t="shared" ref="DW91:DY91" si="628">DW88*3*DW84/1000000</f>
        <v>1723.9553906250001</v>
      </c>
      <c r="DX91" s="1044">
        <f t="shared" si="628"/>
        <v>1719.2202228515623</v>
      </c>
      <c r="DY91" s="172">
        <f t="shared" si="628"/>
        <v>1711.8058677583006</v>
      </c>
    </row>
    <row r="92" spans="1:129">
      <c r="A92" s="198" t="s">
        <v>350</v>
      </c>
      <c r="B92" s="1038"/>
      <c r="C92" s="1038"/>
      <c r="D92" s="1038"/>
      <c r="E92" s="1038"/>
      <c r="F92" s="1038"/>
      <c r="G92" s="1038"/>
      <c r="H92" s="1092"/>
      <c r="I92" s="1092"/>
      <c r="J92" s="1092"/>
      <c r="K92" s="1038"/>
      <c r="L92" s="1092"/>
      <c r="M92" s="1092"/>
      <c r="N92" s="1092"/>
      <c r="O92" s="1092"/>
      <c r="P92" s="1092"/>
      <c r="Q92" s="1092"/>
      <c r="R92" s="1092"/>
      <c r="S92" s="1092"/>
      <c r="T92" s="1092"/>
      <c r="U92" s="1092"/>
      <c r="V92" s="1092"/>
      <c r="W92" s="1092"/>
      <c r="X92" s="1092"/>
      <c r="Y92" s="1092"/>
      <c r="Z92" s="88"/>
      <c r="AA92" s="1041"/>
      <c r="AB92" s="1041"/>
      <c r="AC92" s="1041"/>
      <c r="AD92" s="1041"/>
      <c r="AE92" s="1041"/>
      <c r="AF92" s="1041"/>
      <c r="AG92" s="1041"/>
      <c r="AH92" s="1041"/>
      <c r="AI92" s="1041"/>
      <c r="AJ92" s="1041"/>
      <c r="AK92" s="1041"/>
      <c r="AL92" s="1041"/>
      <c r="AM92" s="1041"/>
      <c r="AN92" s="1041"/>
      <c r="AO92" s="1041"/>
      <c r="AP92" s="1041"/>
      <c r="AQ92" s="1041"/>
      <c r="AR92" s="1041"/>
      <c r="AS92" s="1041"/>
      <c r="AT92" s="1041"/>
      <c r="AU92" s="1041"/>
      <c r="AV92" s="1041"/>
      <c r="AW92" s="1041"/>
      <c r="AX92" s="1041"/>
      <c r="AY92" s="1041"/>
      <c r="AZ92" s="1041"/>
      <c r="BA92" s="1041"/>
      <c r="BB92" s="1041"/>
      <c r="BC92" s="1041"/>
      <c r="BD92" s="1041"/>
      <c r="BE92" s="1041"/>
      <c r="BF92" s="1041"/>
      <c r="BG92" s="1041"/>
      <c r="BH92" s="1041"/>
      <c r="BI92" s="1041"/>
      <c r="BJ92" s="1041"/>
      <c r="BK92" s="1041"/>
      <c r="BL92" s="1041"/>
      <c r="BM92" s="1041"/>
      <c r="BN92" s="1041"/>
      <c r="BO92" s="1041"/>
      <c r="BP92" s="1041"/>
      <c r="BQ92" s="1041"/>
      <c r="BR92" s="1041"/>
      <c r="BS92" s="1041"/>
      <c r="BT92" s="1041"/>
      <c r="BU92" s="1041"/>
      <c r="BV92" s="1041"/>
      <c r="BW92" s="1041"/>
      <c r="BX92" s="1041"/>
      <c r="BY92" s="649"/>
      <c r="BZ92" s="141"/>
      <c r="CA92" s="1038"/>
      <c r="CB92" s="1038"/>
      <c r="CC92" s="142"/>
      <c r="CD92" s="141"/>
      <c r="CE92" s="1038"/>
      <c r="CF92" s="1038"/>
      <c r="CG92" s="1038"/>
      <c r="CH92" s="141"/>
      <c r="CI92" s="1038"/>
      <c r="CJ92" s="1038"/>
      <c r="CK92" s="1038"/>
      <c r="CL92" s="141"/>
      <c r="CM92" s="1038"/>
      <c r="CN92" s="1038"/>
      <c r="CO92" s="1038"/>
      <c r="CP92" s="141"/>
      <c r="CQ92" s="1038"/>
      <c r="CR92" s="1038"/>
      <c r="CS92" s="1038"/>
      <c r="CT92" s="141"/>
      <c r="CU92" s="1038"/>
      <c r="CV92" s="1038"/>
      <c r="CW92" s="1038"/>
      <c r="CX92" s="141"/>
      <c r="CY92" s="1038"/>
      <c r="CZ92" s="1038"/>
      <c r="DA92" s="1038"/>
      <c r="DB92" s="141"/>
      <c r="DC92" s="1038"/>
      <c r="DD92" s="1038"/>
      <c r="DE92" s="1038"/>
      <c r="DF92" s="141"/>
      <c r="DG92" s="1038"/>
      <c r="DH92" s="1038"/>
      <c r="DI92" s="142"/>
      <c r="DJ92" s="141"/>
      <c r="DK92" s="1038"/>
      <c r="DL92" s="1038"/>
      <c r="DM92" s="1038"/>
      <c r="DN92" s="1038"/>
      <c r="DO92" s="1038"/>
      <c r="DP92" s="1038"/>
      <c r="DQ92" s="142"/>
      <c r="DR92" s="1038"/>
      <c r="DS92" s="1038"/>
      <c r="DT92" s="1038"/>
      <c r="DU92" s="1038"/>
      <c r="DV92" s="1038"/>
      <c r="DW92" s="1038"/>
      <c r="DX92" s="1038"/>
      <c r="DY92" s="142"/>
    </row>
    <row r="93" spans="1:129">
      <c r="A93" s="178" t="s">
        <v>351</v>
      </c>
      <c r="B93" s="1044"/>
      <c r="C93" s="1044"/>
      <c r="D93" s="1044"/>
      <c r="E93" s="1044"/>
      <c r="F93" s="1051">
        <f t="shared" ref="F93:N93" si="629">F44+F91</f>
        <v>503.64</v>
      </c>
      <c r="G93" s="1051">
        <f t="shared" si="629"/>
        <v>960.83999999999992</v>
      </c>
      <c r="H93" s="1093">
        <f t="shared" si="629"/>
        <v>2054.5439393939391</v>
      </c>
      <c r="I93" s="1093">
        <f t="shared" ca="1" si="629"/>
        <v>4828.2414874211208</v>
      </c>
      <c r="J93" s="1093">
        <f t="shared" ca="1" si="629"/>
        <v>6182.6106829327564</v>
      </c>
      <c r="K93" s="1051">
        <f t="shared" ca="1" si="629"/>
        <v>7507.4934098153153</v>
      </c>
      <c r="L93" s="1093">
        <f t="shared" ca="1" si="629"/>
        <v>8640.2029419326427</v>
      </c>
      <c r="M93" s="1093">
        <f t="shared" ca="1" si="629"/>
        <v>9644.9200947464888</v>
      </c>
      <c r="N93" s="1093">
        <f t="shared" ca="1" si="629"/>
        <v>10446.677544867351</v>
      </c>
      <c r="O93" s="1093">
        <f t="shared" ref="O93:T93" ca="1" si="630">O44+O91</f>
        <v>11136.890127269051</v>
      </c>
      <c r="P93" s="1093">
        <f t="shared" ca="1" si="630"/>
        <v>9895.4254130176214</v>
      </c>
      <c r="Q93" s="1093">
        <f t="shared" ca="1" si="630"/>
        <v>9277.1276545824585</v>
      </c>
      <c r="R93" s="1093">
        <f t="shared" si="630"/>
        <v>11781.183538441135</v>
      </c>
      <c r="S93" s="1093">
        <f t="shared" si="630"/>
        <v>11823.048468828807</v>
      </c>
      <c r="T93" s="1093">
        <f t="shared" si="630"/>
        <v>11801.889550810431</v>
      </c>
      <c r="U93" s="1093">
        <f t="shared" ref="U93:Y93" si="631">U44+U91</f>
        <v>11772.540241344905</v>
      </c>
      <c r="V93" s="1093">
        <f t="shared" si="631"/>
        <v>11735.000540425393</v>
      </c>
      <c r="W93" s="1093">
        <f t="shared" si="631"/>
        <v>11689.27044804507</v>
      </c>
      <c r="X93" s="1093">
        <f t="shared" si="631"/>
        <v>11635.349964197118</v>
      </c>
      <c r="Y93" s="1093">
        <f t="shared" si="631"/>
        <v>11573.239088874705</v>
      </c>
      <c r="Z93" s="171"/>
      <c r="AA93" s="1044"/>
      <c r="AB93" s="1044"/>
      <c r="AC93" s="1044"/>
      <c r="AD93" s="1044"/>
      <c r="AE93" s="1044"/>
      <c r="AF93" s="1044"/>
      <c r="AG93" s="1044"/>
      <c r="AH93" s="1044"/>
      <c r="AI93" s="1044"/>
      <c r="AJ93" s="1044"/>
      <c r="AK93" s="1044"/>
      <c r="AL93" s="1044"/>
      <c r="AM93" s="1044"/>
      <c r="AN93" s="1044"/>
      <c r="AO93" s="1044"/>
      <c r="AP93" s="1044"/>
      <c r="AQ93" s="1044"/>
      <c r="AR93" s="1044"/>
      <c r="AS93" s="1044"/>
      <c r="AT93" s="1044"/>
      <c r="AU93" s="1044"/>
      <c r="AV93" s="1044"/>
      <c r="AW93" s="1044"/>
      <c r="AX93" s="1044"/>
      <c r="AY93" s="1044"/>
      <c r="AZ93" s="1044"/>
      <c r="BA93" s="1044"/>
      <c r="BB93" s="1044"/>
      <c r="BC93" s="1044"/>
      <c r="BD93" s="1044"/>
      <c r="BE93" s="1044"/>
      <c r="BF93" s="1044"/>
      <c r="BG93" s="1044"/>
      <c r="BH93" s="1044"/>
      <c r="BI93" s="1044"/>
      <c r="BJ93" s="1044"/>
      <c r="BK93" s="1044"/>
      <c r="BL93" s="1044"/>
      <c r="BM93" s="1044"/>
      <c r="BN93" s="1044"/>
      <c r="BO93" s="1044"/>
      <c r="BP93" s="1044"/>
      <c r="BQ93" s="1044"/>
      <c r="BR93" s="1044"/>
      <c r="BS93" s="1044"/>
      <c r="BT93" s="1044"/>
      <c r="BU93" s="1044"/>
      <c r="BV93" s="1044"/>
      <c r="BW93" s="1044"/>
      <c r="BX93" s="1044"/>
      <c r="BY93" s="536"/>
      <c r="BZ93" s="178">
        <f t="shared" ref="BZ93:CL93" si="632">BZ44+BZ91</f>
        <v>30.18</v>
      </c>
      <c r="CA93" s="1051">
        <f t="shared" si="632"/>
        <v>46.215000000000003</v>
      </c>
      <c r="CB93" s="1051">
        <f t="shared" si="632"/>
        <v>71.984999999999999</v>
      </c>
      <c r="CC93" s="179">
        <f t="shared" si="632"/>
        <v>106.66500000000001</v>
      </c>
      <c r="CD93" s="178">
        <f t="shared" si="632"/>
        <v>150.67500000000001</v>
      </c>
      <c r="CE93" s="1051">
        <f t="shared" si="632"/>
        <v>205.035</v>
      </c>
      <c r="CF93" s="1051">
        <f t="shared" si="632"/>
        <v>269.46000000000004</v>
      </c>
      <c r="CG93" s="1051">
        <f t="shared" si="632"/>
        <v>335.66999999999996</v>
      </c>
      <c r="CH93" s="178">
        <f t="shared" si="632"/>
        <v>408.255</v>
      </c>
      <c r="CI93" s="1051">
        <f t="shared" si="632"/>
        <v>477.97363636363639</v>
      </c>
      <c r="CJ93" s="1051">
        <f t="shared" si="632"/>
        <v>541.36282181818183</v>
      </c>
      <c r="CK93" s="1051">
        <f t="shared" si="632"/>
        <v>622.88422631999993</v>
      </c>
      <c r="CL93" s="178">
        <f t="shared" si="632"/>
        <v>714.24148742111993</v>
      </c>
      <c r="CM93" s="1135">
        <v>1257</v>
      </c>
      <c r="CN93" s="1135">
        <v>1378</v>
      </c>
      <c r="CO93" s="1135">
        <v>1479</v>
      </c>
      <c r="CP93" s="651">
        <v>1569</v>
      </c>
      <c r="CQ93" s="1135">
        <v>1680</v>
      </c>
      <c r="CR93" s="1135">
        <v>1780</v>
      </c>
      <c r="CS93" s="1135">
        <v>1875</v>
      </c>
      <c r="CT93" s="651">
        <v>1941</v>
      </c>
      <c r="CU93" s="1135">
        <v>2027</v>
      </c>
      <c r="CV93" s="1135">
        <v>2109</v>
      </c>
      <c r="CW93" s="1135">
        <v>2216</v>
      </c>
      <c r="CX93" s="651">
        <v>2288</v>
      </c>
      <c r="CY93" s="1135">
        <v>2380</v>
      </c>
      <c r="CZ93" s="1135">
        <v>2489</v>
      </c>
      <c r="DA93" s="1135">
        <v>2565</v>
      </c>
      <c r="DB93" s="651">
        <v>2633</v>
      </c>
      <c r="DC93" s="1135">
        <v>2731</v>
      </c>
      <c r="DD93" s="1135">
        <v>2823</v>
      </c>
      <c r="DE93" s="1135">
        <v>2965</v>
      </c>
      <c r="DF93" s="651">
        <v>3041</v>
      </c>
      <c r="DG93" s="1135">
        <v>3125</v>
      </c>
      <c r="DH93" s="1135">
        <v>3200</v>
      </c>
      <c r="DI93" s="551">
        <v>3308</v>
      </c>
      <c r="DJ93" s="651">
        <v>3352</v>
      </c>
      <c r="DK93" s="1135">
        <v>3438</v>
      </c>
      <c r="DL93" s="1135">
        <v>3439</v>
      </c>
      <c r="DM93" s="1135">
        <v>3439</v>
      </c>
      <c r="DN93" s="1135">
        <v>3439</v>
      </c>
      <c r="DO93" s="1135">
        <v>2776</v>
      </c>
      <c r="DP93" s="1135">
        <v>2807</v>
      </c>
      <c r="DQ93" s="551">
        <v>2892</v>
      </c>
      <c r="DR93" s="1135">
        <v>2891</v>
      </c>
      <c r="DS93" s="1135">
        <v>2899</v>
      </c>
      <c r="DT93" s="1135">
        <v>2942</v>
      </c>
      <c r="DU93" s="1135">
        <v>2959</v>
      </c>
      <c r="DV93" s="1135">
        <v>2951</v>
      </c>
      <c r="DW93" s="1051">
        <f t="shared" ref="DW93:DY93" si="633">DW44+DW91</f>
        <v>2947.897119334842</v>
      </c>
      <c r="DX93" s="1051">
        <f t="shared" si="633"/>
        <v>2944.3700460540094</v>
      </c>
      <c r="DY93" s="179">
        <f t="shared" si="633"/>
        <v>2937.9163730522832</v>
      </c>
    </row>
    <row r="94" spans="1:129">
      <c r="A94" s="176" t="s">
        <v>319</v>
      </c>
      <c r="B94" s="1045"/>
      <c r="C94" s="1045"/>
      <c r="D94" s="1045"/>
      <c r="E94" s="1045"/>
      <c r="F94" s="1045"/>
      <c r="G94" s="1045"/>
      <c r="H94" s="1069"/>
      <c r="I94" s="1069"/>
      <c r="J94" s="1069"/>
      <c r="K94" s="1045"/>
      <c r="L94" s="1069"/>
      <c r="M94" s="1069"/>
      <c r="N94" s="1069"/>
      <c r="O94" s="1069"/>
      <c r="P94" s="1069"/>
      <c r="Q94" s="1069"/>
      <c r="R94" s="1069"/>
      <c r="S94" s="1069"/>
      <c r="T94" s="1069"/>
      <c r="U94" s="1069"/>
      <c r="V94" s="1069"/>
      <c r="W94" s="1069"/>
      <c r="X94" s="1069"/>
      <c r="Y94" s="1069"/>
      <c r="Z94" s="147"/>
      <c r="AA94" s="1045"/>
      <c r="AB94" s="1045"/>
      <c r="AC94" s="1045"/>
      <c r="AD94" s="1045"/>
      <c r="AE94" s="1045"/>
      <c r="AF94" s="1045"/>
      <c r="AG94" s="1045"/>
      <c r="AH94" s="1045"/>
      <c r="AI94" s="1045"/>
      <c r="AJ94" s="1045"/>
      <c r="AK94" s="1045"/>
      <c r="AL94" s="1045"/>
      <c r="AM94" s="1045"/>
      <c r="AN94" s="1045"/>
      <c r="AO94" s="1045"/>
      <c r="AP94" s="1045"/>
      <c r="AQ94" s="1045"/>
      <c r="AR94" s="1045"/>
      <c r="AS94" s="1045"/>
      <c r="AT94" s="1045"/>
      <c r="AU94" s="1045"/>
      <c r="AV94" s="1045"/>
      <c r="AW94" s="1045"/>
      <c r="AX94" s="1045"/>
      <c r="AY94" s="1045"/>
      <c r="AZ94" s="1045"/>
      <c r="BA94" s="1045"/>
      <c r="BB94" s="1045"/>
      <c r="BC94" s="1045"/>
      <c r="BD94" s="1045"/>
      <c r="BE94" s="1045"/>
      <c r="BF94" s="1045"/>
      <c r="BG94" s="1045"/>
      <c r="BH94" s="1045"/>
      <c r="BI94" s="1045"/>
      <c r="BJ94" s="1045"/>
      <c r="BK94" s="1045"/>
      <c r="BL94" s="1045"/>
      <c r="BM94" s="1045"/>
      <c r="BN94" s="1045"/>
      <c r="BO94" s="1045"/>
      <c r="BP94" s="1045"/>
      <c r="BQ94" s="1045"/>
      <c r="BR94" s="1045"/>
      <c r="BS94" s="1045"/>
      <c r="BT94" s="1045"/>
      <c r="BU94" s="1045"/>
      <c r="BV94" s="1045"/>
      <c r="BW94" s="1045"/>
      <c r="BX94" s="1045"/>
      <c r="BY94" s="138"/>
      <c r="BZ94" s="147"/>
      <c r="CA94" s="1045">
        <f t="shared" ref="CA94:DV94" si="634">CA93/BZ93-1</f>
        <v>0.53131212723658061</v>
      </c>
      <c r="CB94" s="1045">
        <f t="shared" si="634"/>
        <v>0.55761116520610177</v>
      </c>
      <c r="CC94" s="101">
        <f t="shared" si="634"/>
        <v>0.48176703479891647</v>
      </c>
      <c r="CD94" s="147">
        <f t="shared" si="634"/>
        <v>0.41260019687807614</v>
      </c>
      <c r="CE94" s="1045">
        <f t="shared" si="634"/>
        <v>0.36077650572424069</v>
      </c>
      <c r="CF94" s="1045">
        <f t="shared" si="634"/>
        <v>0.31421464627990359</v>
      </c>
      <c r="CG94" s="1045">
        <f t="shared" si="634"/>
        <v>0.2457136495212644</v>
      </c>
      <c r="CH94" s="147">
        <f t="shared" si="634"/>
        <v>0.21623916346411676</v>
      </c>
      <c r="CI94" s="1045">
        <f t="shared" si="634"/>
        <v>0.17077227802142381</v>
      </c>
      <c r="CJ94" s="1045">
        <f t="shared" si="634"/>
        <v>0.13262067325889015</v>
      </c>
      <c r="CK94" s="1045">
        <f t="shared" si="634"/>
        <v>0.15058552456193097</v>
      </c>
      <c r="CL94" s="147">
        <f t="shared" si="634"/>
        <v>0.14666812425297504</v>
      </c>
      <c r="CM94" s="1095" t="s">
        <v>1149</v>
      </c>
      <c r="CN94" s="1045">
        <f t="shared" si="634"/>
        <v>9.6260938743038871E-2</v>
      </c>
      <c r="CO94" s="1045">
        <f t="shared" si="634"/>
        <v>7.3294629898403407E-2</v>
      </c>
      <c r="CP94" s="147">
        <f t="shared" si="634"/>
        <v>6.0851926977687709E-2</v>
      </c>
      <c r="CQ94" s="1045">
        <f t="shared" si="634"/>
        <v>7.074569789674956E-2</v>
      </c>
      <c r="CR94" s="1045">
        <f t="shared" si="634"/>
        <v>5.9523809523809534E-2</v>
      </c>
      <c r="CS94" s="1045">
        <f t="shared" si="634"/>
        <v>5.3370786516854007E-2</v>
      </c>
      <c r="CT94" s="147">
        <f t="shared" si="634"/>
        <v>3.5199999999999898E-2</v>
      </c>
      <c r="CU94" s="1045">
        <f t="shared" si="634"/>
        <v>4.4307058217413653E-2</v>
      </c>
      <c r="CV94" s="1045">
        <f t="shared" si="634"/>
        <v>4.0453872718302808E-2</v>
      </c>
      <c r="CW94" s="1045">
        <f t="shared" si="634"/>
        <v>5.0734945471787585E-2</v>
      </c>
      <c r="CX94" s="147">
        <f t="shared" si="634"/>
        <v>3.2490974729241895E-2</v>
      </c>
      <c r="CY94" s="1045">
        <f t="shared" si="634"/>
        <v>4.0209790209790208E-2</v>
      </c>
      <c r="CZ94" s="1045">
        <f t="shared" si="634"/>
        <v>4.5798319327731152E-2</v>
      </c>
      <c r="DA94" s="1045">
        <f t="shared" si="634"/>
        <v>3.0534351145038219E-2</v>
      </c>
      <c r="DB94" s="147">
        <f t="shared" si="634"/>
        <v>2.6510721247563263E-2</v>
      </c>
      <c r="DC94" s="1045">
        <f t="shared" si="634"/>
        <v>3.7219901253323195E-2</v>
      </c>
      <c r="DD94" s="1045">
        <f t="shared" si="634"/>
        <v>3.3687294031490289E-2</v>
      </c>
      <c r="DE94" s="1045">
        <f t="shared" si="634"/>
        <v>5.0301098122564669E-2</v>
      </c>
      <c r="DF94" s="147">
        <f t="shared" si="634"/>
        <v>2.563237774030358E-2</v>
      </c>
      <c r="DG94" s="1045">
        <f t="shared" si="634"/>
        <v>2.7622492601118154E-2</v>
      </c>
      <c r="DH94" s="1045">
        <f t="shared" si="634"/>
        <v>2.4000000000000021E-2</v>
      </c>
      <c r="DI94" s="101">
        <f t="shared" si="634"/>
        <v>3.3749999999999947E-2</v>
      </c>
      <c r="DJ94" s="147">
        <f t="shared" si="634"/>
        <v>1.330108827085863E-2</v>
      </c>
      <c r="DK94" s="1045">
        <f t="shared" si="634"/>
        <v>2.5656324582338907E-2</v>
      </c>
      <c r="DL94" s="1045">
        <f t="shared" si="634"/>
        <v>2.9086678301348812E-4</v>
      </c>
      <c r="DM94" s="1045">
        <f t="shared" si="634"/>
        <v>0</v>
      </c>
      <c r="DN94" s="1045">
        <f t="shared" si="634"/>
        <v>0</v>
      </c>
      <c r="DO94" s="1045">
        <f t="shared" si="634"/>
        <v>-0.19278860133759812</v>
      </c>
      <c r="DP94" s="1045">
        <f t="shared" si="634"/>
        <v>1.1167146974063291E-2</v>
      </c>
      <c r="DQ94" s="101">
        <f t="shared" si="634"/>
        <v>3.0281439258995402E-2</v>
      </c>
      <c r="DR94" s="1045">
        <f t="shared" si="634"/>
        <v>-3.4578146611341509E-4</v>
      </c>
      <c r="DS94" s="1045">
        <f t="shared" si="634"/>
        <v>2.7672085783465583E-3</v>
      </c>
      <c r="DT94" s="1045">
        <f t="shared" si="634"/>
        <v>1.483270093135558E-2</v>
      </c>
      <c r="DU94" s="1045">
        <f t="shared" si="634"/>
        <v>5.7783820530250551E-3</v>
      </c>
      <c r="DV94" s="1045">
        <f t="shared" si="634"/>
        <v>-2.7036160865157033E-3</v>
      </c>
      <c r="DW94" s="1045">
        <f t="shared" ref="DW94" si="635">DW93/DV93-1</f>
        <v>-1.0514675246214855E-3</v>
      </c>
      <c r="DX94" s="1045">
        <f t="shared" ref="DX94" si="636">DX93/DW93-1</f>
        <v>-1.1964709547355179E-3</v>
      </c>
      <c r="DY94" s="101">
        <f t="shared" ref="DY94" si="637">DY93/DX93-1</f>
        <v>-2.1918688550629506E-3</v>
      </c>
    </row>
    <row r="95" spans="1:129">
      <c r="A95" s="653" t="s">
        <v>320</v>
      </c>
      <c r="B95" s="243"/>
      <c r="C95" s="243"/>
      <c r="D95" s="243"/>
      <c r="E95" s="243"/>
      <c r="F95" s="243"/>
      <c r="G95" s="487">
        <f t="shared" ref="G95:T95" si="638">IF(ISERROR(G93/F93-1),"NA",(G93/F93-1))</f>
        <v>0.90779127948534666</v>
      </c>
      <c r="H95" s="487">
        <f t="shared" si="638"/>
        <v>1.1382789427937423</v>
      </c>
      <c r="I95" s="487">
        <f t="shared" ca="1" si="638"/>
        <v>1.3500307756111471</v>
      </c>
      <c r="J95" s="487">
        <f t="shared" ca="1" si="638"/>
        <v>0.28050982931158996</v>
      </c>
      <c r="K95" s="487">
        <f t="shared" ca="1" si="638"/>
        <v>0.21429179271143961</v>
      </c>
      <c r="L95" s="487">
        <f t="shared" ca="1" si="638"/>
        <v>0.15087719299712199</v>
      </c>
      <c r="M95" s="487">
        <f t="shared" ca="1" si="638"/>
        <v>0.11628397614803143</v>
      </c>
      <c r="N95" s="487">
        <f t="shared" ca="1" si="638"/>
        <v>8.3127433119697169E-2</v>
      </c>
      <c r="O95" s="487">
        <f ca="1">IF(ISERROR(O93/N93-1),"NA",(O93/N93-1))</f>
        <v>6.6070057148534644E-2</v>
      </c>
      <c r="P95" s="487">
        <f ca="1">IF(ISERROR(P93/O93-1),"NA",(P93/O93-1))</f>
        <v>-0.11147319404827938</v>
      </c>
      <c r="Q95" s="487">
        <f ca="1">IF(ISERROR(Q93/P93-1),"NA",(Q93/P93-1))</f>
        <v>-6.2483191235192415E-2</v>
      </c>
      <c r="R95" s="487">
        <f ca="1">IF(ISERROR(R93/Q93-1),"NA",(R93/Q93-1))</f>
        <v>0.26991715292629315</v>
      </c>
      <c r="S95" s="487">
        <f t="shared" si="638"/>
        <v>3.5535419893144571E-3</v>
      </c>
      <c r="T95" s="487">
        <f t="shared" si="638"/>
        <v>-1.7896330268932781E-3</v>
      </c>
      <c r="U95" s="487">
        <f t="shared" ref="U95" si="639">IF(ISERROR(U93/T93-1),"NA",(U93/T93-1))</f>
        <v>-2.4868313958683608E-3</v>
      </c>
      <c r="V95" s="487">
        <f t="shared" ref="V95" si="640">IF(ISERROR(V93/U93-1),"NA",(V93/U93-1))</f>
        <v>-3.1887511233703592E-3</v>
      </c>
      <c r="W95" s="487">
        <f t="shared" ref="W95" si="641">IF(ISERROR(W93/V93-1),"NA",(W93/V93-1))</f>
        <v>-3.8968973391002582E-3</v>
      </c>
      <c r="X95" s="487">
        <f t="shared" ref="X95" si="642">IF(ISERROR(X93/W93-1),"NA",(X93/W93-1))</f>
        <v>-4.6128185747443817E-3</v>
      </c>
      <c r="Y95" s="487">
        <f t="shared" ref="Y95" si="643">IF(ISERROR(Y93/X93-1),"NA",(Y93/X93-1))</f>
        <v>-5.3381183645986319E-3</v>
      </c>
      <c r="Z95" s="490"/>
      <c r="AA95" s="1045"/>
      <c r="AB95" s="1045"/>
      <c r="AC95" s="1045"/>
      <c r="AD95" s="1045"/>
      <c r="AE95" s="1045"/>
      <c r="AF95" s="1045"/>
      <c r="AG95" s="1045"/>
      <c r="AH95" s="1045"/>
      <c r="AI95" s="1045"/>
      <c r="AJ95" s="1045"/>
      <c r="AK95" s="1045"/>
      <c r="AL95" s="1045"/>
      <c r="AM95" s="1045"/>
      <c r="AN95" s="1045"/>
      <c r="AO95" s="1045"/>
      <c r="AP95" s="1045"/>
      <c r="AQ95" s="1045"/>
      <c r="AR95" s="1045"/>
      <c r="AS95" s="1045"/>
      <c r="AT95" s="1045"/>
      <c r="AU95" s="1045"/>
      <c r="AV95" s="1045"/>
      <c r="AW95" s="1045"/>
      <c r="AX95" s="1045"/>
      <c r="AY95" s="1045"/>
      <c r="AZ95" s="1045"/>
      <c r="BA95" s="1045"/>
      <c r="BB95" s="1045"/>
      <c r="BC95" s="1045"/>
      <c r="BD95" s="1045"/>
      <c r="BE95" s="1045"/>
      <c r="BF95" s="1045"/>
      <c r="BG95" s="1045"/>
      <c r="BH95" s="1045"/>
      <c r="BI95" s="1045"/>
      <c r="BJ95" s="1045"/>
      <c r="BK95" s="1045"/>
      <c r="BL95" s="1045"/>
      <c r="BM95" s="1045"/>
      <c r="BN95" s="1045"/>
      <c r="BO95" s="1045"/>
      <c r="BP95" s="1045"/>
      <c r="BQ95" s="1045"/>
      <c r="BR95" s="1045"/>
      <c r="BS95" s="1045"/>
      <c r="BT95" s="1045"/>
      <c r="BU95" s="1045"/>
      <c r="BV95" s="1045"/>
      <c r="BW95" s="1045"/>
      <c r="BX95" s="1045"/>
      <c r="BY95" s="488"/>
      <c r="BZ95" s="489"/>
      <c r="CA95" s="487"/>
      <c r="CB95" s="487"/>
      <c r="CC95" s="654"/>
      <c r="CD95" s="489">
        <f t="shared" ref="CD95:DV95" si="644">IF(ISERROR(CD93/BZ93-1),"NA",(CD93/BZ93-1))</f>
        <v>3.9925447316103382</v>
      </c>
      <c r="CE95" s="487">
        <f t="shared" si="644"/>
        <v>3.4365465757870819</v>
      </c>
      <c r="CF95" s="487">
        <f t="shared" si="644"/>
        <v>2.7432798499687441</v>
      </c>
      <c r="CG95" s="487">
        <f t="shared" si="644"/>
        <v>2.1469554211784554</v>
      </c>
      <c r="CH95" s="489">
        <f t="shared" si="644"/>
        <v>1.7095072175211548</v>
      </c>
      <c r="CI95" s="487">
        <f t="shared" si="644"/>
        <v>1.3311807075067006</v>
      </c>
      <c r="CJ95" s="487">
        <f t="shared" si="644"/>
        <v>1.0090656194543968</v>
      </c>
      <c r="CK95" s="487">
        <f t="shared" si="644"/>
        <v>0.85564461024220217</v>
      </c>
      <c r="CL95" s="489">
        <f t="shared" si="644"/>
        <v>0.74949844440636348</v>
      </c>
      <c r="CM95" s="690" t="s">
        <v>1149</v>
      </c>
      <c r="CN95" s="690" t="s">
        <v>1149</v>
      </c>
      <c r="CO95" s="690" t="s">
        <v>1149</v>
      </c>
      <c r="CP95" s="1353" t="s">
        <v>1149</v>
      </c>
      <c r="CQ95" s="487">
        <f t="shared" si="644"/>
        <v>0.33651551312649164</v>
      </c>
      <c r="CR95" s="487">
        <f t="shared" si="644"/>
        <v>0.29172714078374451</v>
      </c>
      <c r="CS95" s="487">
        <f t="shared" si="644"/>
        <v>0.26774847870182561</v>
      </c>
      <c r="CT95" s="489">
        <f t="shared" si="644"/>
        <v>0.23709369024856586</v>
      </c>
      <c r="CU95" s="487">
        <f t="shared" si="644"/>
        <v>0.20654761904761898</v>
      </c>
      <c r="CV95" s="487">
        <f t="shared" si="644"/>
        <v>0.18483146067415723</v>
      </c>
      <c r="CW95" s="487">
        <f t="shared" si="644"/>
        <v>0.18186666666666662</v>
      </c>
      <c r="CX95" s="489">
        <f t="shared" si="644"/>
        <v>0.17877382792375074</v>
      </c>
      <c r="CY95" s="487">
        <f t="shared" si="644"/>
        <v>0.17414898865318196</v>
      </c>
      <c r="CZ95" s="487">
        <f t="shared" si="644"/>
        <v>0.18018018018018012</v>
      </c>
      <c r="DA95" s="487">
        <f t="shared" si="644"/>
        <v>0.15749097472924189</v>
      </c>
      <c r="DB95" s="489">
        <f t="shared" si="644"/>
        <v>0.15078671328671334</v>
      </c>
      <c r="DC95" s="487">
        <f t="shared" si="644"/>
        <v>0.14747899159663858</v>
      </c>
      <c r="DD95" s="487">
        <f t="shared" si="644"/>
        <v>0.13419043792687835</v>
      </c>
      <c r="DE95" s="487">
        <f t="shared" si="644"/>
        <v>0.15594541910331383</v>
      </c>
      <c r="DF95" s="489">
        <f t="shared" si="644"/>
        <v>0.15495632358526401</v>
      </c>
      <c r="DG95" s="487">
        <f t="shared" si="644"/>
        <v>0.14426949835225189</v>
      </c>
      <c r="DH95" s="487">
        <f t="shared" si="644"/>
        <v>0.13354587318455535</v>
      </c>
      <c r="DI95" s="654">
        <f t="shared" si="644"/>
        <v>0.11568296795952793</v>
      </c>
      <c r="DJ95" s="489">
        <f t="shared" si="644"/>
        <v>0.10226899046366333</v>
      </c>
      <c r="DK95" s="487">
        <f t="shared" si="644"/>
        <v>0.10016000000000003</v>
      </c>
      <c r="DL95" s="487">
        <f t="shared" si="644"/>
        <v>7.4687500000000018E-2</v>
      </c>
      <c r="DM95" s="487">
        <f t="shared" si="644"/>
        <v>3.9600967351874239E-2</v>
      </c>
      <c r="DN95" s="487">
        <f t="shared" si="644"/>
        <v>2.5954653937947603E-2</v>
      </c>
      <c r="DO95" s="487">
        <f t="shared" si="644"/>
        <v>-0.19255381035485752</v>
      </c>
      <c r="DP95" s="487">
        <f t="shared" si="644"/>
        <v>-0.18377435300959577</v>
      </c>
      <c r="DQ95" s="654">
        <f t="shared" si="644"/>
        <v>-0.15905786565862168</v>
      </c>
      <c r="DR95" s="487">
        <f t="shared" si="644"/>
        <v>-0.15934864786275083</v>
      </c>
      <c r="DS95" s="487">
        <f t="shared" si="644"/>
        <v>4.4308357348703087E-2</v>
      </c>
      <c r="DT95" s="487">
        <f t="shared" si="644"/>
        <v>4.8094050587816239E-2</v>
      </c>
      <c r="DU95" s="487">
        <f t="shared" si="644"/>
        <v>2.3167358229598811E-2</v>
      </c>
      <c r="DV95" s="487">
        <f t="shared" si="644"/>
        <v>2.0754064337599409E-2</v>
      </c>
      <c r="DW95" s="487">
        <f t="shared" ref="DW95" si="645">IF(ISERROR(DW93/DS93-1),"NA",(DW93/DS93-1))</f>
        <v>1.6866891802291173E-2</v>
      </c>
      <c r="DX95" s="487">
        <f t="shared" ref="DX95" si="646">IF(ISERROR(DX93/DT93-1),"NA",(DX93/DT93-1))</f>
        <v>8.0559009313718732E-4</v>
      </c>
      <c r="DY95" s="654">
        <f t="shared" ref="DY95" si="647">IF(ISERROR(DY93/DU93-1),"NA",(DY93/DU93-1))</f>
        <v>-7.1252541222429633E-3</v>
      </c>
    </row>
    <row r="96" spans="1:129">
      <c r="A96" s="87"/>
      <c r="B96" s="87"/>
      <c r="C96" s="87"/>
      <c r="D96" s="87"/>
      <c r="E96" s="87"/>
      <c r="F96" s="87"/>
      <c r="G96" s="87"/>
      <c r="H96" s="90"/>
      <c r="I96" s="1099"/>
      <c r="J96" s="90"/>
      <c r="K96" s="90"/>
      <c r="L96" s="90"/>
      <c r="M96" s="1099"/>
      <c r="N96" s="90"/>
      <c r="O96" s="90"/>
      <c r="P96" s="90"/>
      <c r="Q96" s="90"/>
      <c r="R96" s="90"/>
      <c r="S96" s="90"/>
      <c r="T96" s="90"/>
      <c r="U96" s="90"/>
      <c r="V96" s="90"/>
      <c r="W96" s="90"/>
      <c r="X96" s="90"/>
      <c r="Y96" s="90"/>
      <c r="Z96" s="1041"/>
      <c r="AA96" s="1041"/>
      <c r="AB96" s="1041"/>
      <c r="AC96" s="1041"/>
      <c r="AD96" s="1041"/>
      <c r="AE96" s="1041"/>
      <c r="AF96" s="1041"/>
      <c r="AG96" s="1041"/>
      <c r="AH96" s="1041"/>
      <c r="AI96" s="1041"/>
      <c r="AJ96" s="1041"/>
      <c r="AK96" s="1041"/>
      <c r="AL96" s="1041"/>
      <c r="AM96" s="1041"/>
      <c r="AN96" s="1041"/>
      <c r="AO96" s="1041"/>
      <c r="AP96" s="1041"/>
      <c r="AQ96" s="1041"/>
      <c r="AR96" s="1041"/>
      <c r="AS96" s="1041"/>
      <c r="AT96" s="1041"/>
      <c r="AU96" s="1041"/>
      <c r="AV96" s="1041"/>
      <c r="AW96" s="1041"/>
      <c r="AX96" s="1041"/>
      <c r="AY96" s="1041"/>
      <c r="AZ96" s="1041"/>
      <c r="BA96" s="1041"/>
      <c r="BB96" s="1041"/>
      <c r="BC96" s="1041"/>
      <c r="BD96" s="1041"/>
      <c r="BE96" s="1041"/>
      <c r="BF96" s="1041"/>
      <c r="BG96" s="1041"/>
      <c r="BH96" s="1041"/>
      <c r="BI96" s="1041"/>
      <c r="BJ96" s="1041"/>
      <c r="BK96" s="1041"/>
      <c r="BL96" s="1041"/>
      <c r="BM96" s="1041"/>
      <c r="BN96" s="1041"/>
      <c r="BO96" s="1041"/>
      <c r="BP96" s="1041"/>
      <c r="BQ96" s="1041"/>
      <c r="BR96" s="1041"/>
      <c r="BS96" s="1041"/>
      <c r="BT96" s="1041"/>
      <c r="BU96" s="1041"/>
      <c r="BV96" s="1041"/>
      <c r="BW96" s="1041"/>
      <c r="BX96" s="1041"/>
      <c r="BY96" s="87"/>
      <c r="BZ96" s="87"/>
      <c r="CA96" s="87"/>
      <c r="CB96" s="87"/>
      <c r="CC96" s="87"/>
      <c r="CD96" s="87"/>
      <c r="CE96" s="87"/>
      <c r="CF96" s="87"/>
      <c r="CG96" s="87"/>
      <c r="CH96" s="266"/>
      <c r="CI96" s="266"/>
      <c r="CJ96" s="266"/>
      <c r="CK96" s="266"/>
      <c r="CL96" s="266"/>
      <c r="CM96" s="109"/>
      <c r="CN96" s="109"/>
      <c r="CO96" s="109"/>
      <c r="CP96" s="109"/>
      <c r="CQ96" s="109"/>
      <c r="CR96" s="109"/>
      <c r="CS96" s="109"/>
      <c r="CT96" s="109"/>
      <c r="CU96" s="109"/>
      <c r="CV96" s="109"/>
      <c r="CW96" s="109"/>
      <c r="CX96" s="109"/>
      <c r="CY96" s="109"/>
      <c r="CZ96" s="109"/>
      <c r="DA96" s="109"/>
      <c r="DB96" s="109"/>
      <c r="DC96" s="109"/>
      <c r="DD96" s="109"/>
      <c r="DE96" s="109"/>
      <c r="DF96" s="109"/>
      <c r="DG96" s="1044"/>
      <c r="DH96" s="1044"/>
      <c r="DI96" s="1044"/>
      <c r="DJ96" s="1044"/>
      <c r="DK96" s="1044"/>
      <c r="DL96" s="1044"/>
      <c r="DM96" s="1044"/>
      <c r="DN96" s="1044"/>
      <c r="DO96" s="1044"/>
      <c r="DP96" s="1044"/>
      <c r="DQ96" s="1044"/>
      <c r="DR96" s="1044"/>
      <c r="DS96" s="1044"/>
      <c r="DT96" s="1044"/>
      <c r="DU96" s="1044"/>
      <c r="DV96" s="1044"/>
    </row>
    <row r="97" spans="1:93" hidden="1">
      <c r="A97" s="139" t="s">
        <v>352</v>
      </c>
      <c r="B97" s="140"/>
      <c r="C97" s="140"/>
      <c r="D97" s="140"/>
      <c r="E97" s="140"/>
      <c r="F97" s="140"/>
      <c r="G97" s="140"/>
      <c r="H97" s="244"/>
      <c r="I97" s="1092"/>
      <c r="J97" s="244"/>
      <c r="K97" s="244"/>
      <c r="L97" s="244"/>
      <c r="M97" s="1092"/>
      <c r="N97" s="244"/>
      <c r="O97" s="244"/>
      <c r="P97" s="244"/>
      <c r="Q97" s="244"/>
      <c r="R97" s="244"/>
      <c r="S97" s="244"/>
      <c r="T97" s="244"/>
      <c r="U97" s="244"/>
      <c r="V97" s="244"/>
      <c r="W97" s="244"/>
      <c r="X97" s="244"/>
      <c r="Y97" s="244"/>
      <c r="Z97" s="1041"/>
      <c r="AA97" s="1041"/>
      <c r="AB97" s="1041"/>
      <c r="AC97" s="1041"/>
      <c r="AD97" s="1041"/>
      <c r="AE97" s="1041"/>
      <c r="AF97" s="1041"/>
      <c r="AG97" s="1041"/>
      <c r="AH97" s="1041"/>
      <c r="AI97" s="1041"/>
      <c r="AJ97" s="1041"/>
      <c r="AK97" s="1041"/>
      <c r="AL97" s="1041"/>
      <c r="AM97" s="1041"/>
      <c r="AN97" s="1041"/>
      <c r="AO97" s="1041"/>
      <c r="AP97" s="1041"/>
      <c r="AQ97" s="1041"/>
      <c r="AR97" s="1041"/>
      <c r="AS97" s="1041"/>
      <c r="AT97" s="1041"/>
      <c r="AU97" s="1041"/>
      <c r="AV97" s="1041"/>
      <c r="AW97" s="1041"/>
      <c r="AX97" s="1041"/>
      <c r="AY97" s="1041"/>
      <c r="AZ97" s="1041"/>
      <c r="BA97" s="1041"/>
      <c r="BB97" s="1041"/>
      <c r="BC97" s="1041"/>
      <c r="BD97" s="1041"/>
      <c r="BE97" s="1041"/>
      <c r="BF97" s="1041"/>
      <c r="BG97" s="1041"/>
      <c r="BH97" s="1041"/>
      <c r="BI97" s="1041"/>
      <c r="BJ97" s="1041"/>
      <c r="BK97" s="1041"/>
      <c r="BL97" s="1041"/>
      <c r="BM97" s="1041"/>
      <c r="BN97" s="1041"/>
      <c r="BO97" s="1041"/>
      <c r="BP97" s="1041"/>
      <c r="BQ97" s="1041"/>
      <c r="BR97" s="1041"/>
      <c r="BS97" s="1041"/>
      <c r="BT97" s="1041"/>
      <c r="BU97" s="1041"/>
      <c r="BV97" s="1041"/>
      <c r="BW97" s="1041"/>
      <c r="BX97" s="1041"/>
      <c r="BY97" s="140"/>
      <c r="BZ97" s="140"/>
      <c r="CA97" s="140"/>
      <c r="CB97" s="140"/>
      <c r="CC97" s="140"/>
      <c r="CD97" s="140"/>
      <c r="CE97" s="140"/>
      <c r="CF97" s="140"/>
      <c r="CG97" s="140"/>
      <c r="CH97" s="140"/>
      <c r="CI97" s="87"/>
      <c r="CJ97" s="87"/>
      <c r="CK97" s="87"/>
      <c r="CL97" s="87"/>
      <c r="CM97" s="87"/>
      <c r="CN97" s="87"/>
      <c r="CO97" s="87"/>
    </row>
    <row r="98" spans="1:93" hidden="1">
      <c r="A98" s="87"/>
      <c r="B98" s="87"/>
      <c r="C98" s="87"/>
      <c r="D98" s="87"/>
      <c r="E98" s="87"/>
      <c r="F98" s="498"/>
      <c r="G98" s="103"/>
      <c r="H98" s="163"/>
      <c r="I98" s="1103"/>
      <c r="J98" s="163"/>
      <c r="K98" s="163"/>
      <c r="L98" s="163"/>
      <c r="M98" s="1103"/>
      <c r="N98" s="163"/>
      <c r="O98" s="163"/>
      <c r="P98" s="163"/>
      <c r="Q98" s="163"/>
      <c r="R98" s="163"/>
      <c r="S98" s="163"/>
      <c r="T98" s="163"/>
      <c r="U98" s="163"/>
      <c r="V98" s="163"/>
      <c r="W98" s="163"/>
      <c r="X98" s="163"/>
      <c r="Y98" s="163"/>
      <c r="Z98" s="1041"/>
      <c r="AA98" s="1041"/>
      <c r="AB98" s="1041"/>
      <c r="AC98" s="1041"/>
      <c r="AD98" s="1041"/>
      <c r="AE98" s="1041"/>
      <c r="AF98" s="1041"/>
      <c r="AG98" s="1041"/>
      <c r="AH98" s="1041"/>
      <c r="AI98" s="1041"/>
      <c r="AJ98" s="1041"/>
      <c r="AK98" s="1041"/>
      <c r="AL98" s="1041"/>
      <c r="AM98" s="1041"/>
      <c r="AN98" s="1041"/>
      <c r="AO98" s="1041"/>
      <c r="AP98" s="1041"/>
      <c r="AQ98" s="1041"/>
      <c r="AR98" s="1041"/>
      <c r="AS98" s="1041"/>
      <c r="AT98" s="1041"/>
      <c r="AU98" s="1041"/>
      <c r="AV98" s="1041"/>
      <c r="AW98" s="1041"/>
      <c r="AX98" s="1041"/>
      <c r="AY98" s="1041"/>
      <c r="AZ98" s="1041"/>
      <c r="BA98" s="1041"/>
      <c r="BB98" s="1041"/>
      <c r="BC98" s="1041"/>
      <c r="BD98" s="1041"/>
      <c r="BE98" s="1041"/>
      <c r="BF98" s="1041"/>
      <c r="BG98" s="1041"/>
      <c r="BH98" s="1041"/>
      <c r="BI98" s="1041"/>
      <c r="BJ98" s="1041"/>
      <c r="BK98" s="1041"/>
      <c r="BL98" s="1041"/>
      <c r="BM98" s="1041"/>
      <c r="BN98" s="1041"/>
      <c r="BO98" s="1041"/>
      <c r="BP98" s="1041"/>
      <c r="BQ98" s="1041"/>
      <c r="BR98" s="1041"/>
      <c r="BS98" s="1041"/>
      <c r="BT98" s="1041"/>
      <c r="BU98" s="1041"/>
      <c r="BV98" s="1041"/>
      <c r="BW98" s="1041"/>
      <c r="BX98" s="1041"/>
      <c r="BY98" s="87"/>
      <c r="BZ98" s="87"/>
      <c r="CA98" s="87"/>
      <c r="CB98" s="87"/>
      <c r="CC98" s="87"/>
      <c r="CD98" s="87"/>
      <c r="CE98" s="87"/>
      <c r="CF98" s="87"/>
      <c r="CG98" s="87"/>
      <c r="CH98" s="87"/>
      <c r="CI98" s="87"/>
      <c r="CJ98" s="87"/>
      <c r="CK98" s="87"/>
      <c r="CL98" s="87"/>
      <c r="CM98" s="87"/>
      <c r="CN98" s="87"/>
      <c r="CO98" s="87"/>
    </row>
    <row r="99" spans="1:93" hidden="1">
      <c r="A99" s="87" t="s">
        <v>353</v>
      </c>
      <c r="B99" s="87"/>
      <c r="C99" s="87"/>
      <c r="D99" s="87"/>
      <c r="E99" s="87"/>
      <c r="F99" s="87">
        <f t="shared" ref="F99:Q99" si="648">F33</f>
        <v>1.4E-2</v>
      </c>
      <c r="G99" s="87">
        <f t="shared" si="648"/>
        <v>0.02</v>
      </c>
      <c r="H99" s="90">
        <f t="shared" si="648"/>
        <v>0.02</v>
      </c>
      <c r="I99" s="1099">
        <f t="shared" si="648"/>
        <v>0.02</v>
      </c>
      <c r="J99" s="90">
        <f t="shared" si="648"/>
        <v>0.02</v>
      </c>
      <c r="K99" s="90">
        <f t="shared" si="648"/>
        <v>0.02</v>
      </c>
      <c r="L99" s="90">
        <f t="shared" si="648"/>
        <v>0.02</v>
      </c>
      <c r="M99" s="1099">
        <f t="shared" si="648"/>
        <v>0.02</v>
      </c>
      <c r="N99" s="90">
        <f t="shared" si="648"/>
        <v>0.02</v>
      </c>
      <c r="O99" s="90">
        <f t="shared" si="648"/>
        <v>0.02</v>
      </c>
      <c r="P99" s="90">
        <f t="shared" si="648"/>
        <v>0.02</v>
      </c>
      <c r="Q99" s="90">
        <f t="shared" si="648"/>
        <v>0.02</v>
      </c>
      <c r="R99" s="90">
        <f t="shared" ref="R99" si="649">R33</f>
        <v>0.02</v>
      </c>
      <c r="S99" s="90"/>
      <c r="T99" s="90"/>
      <c r="U99" s="90"/>
      <c r="V99" s="90"/>
      <c r="W99" s="90"/>
      <c r="X99" s="90"/>
      <c r="Y99" s="90"/>
      <c r="Z99" s="1041"/>
      <c r="AA99" s="1041"/>
      <c r="AB99" s="1041"/>
      <c r="AC99" s="1041"/>
      <c r="AD99" s="1041"/>
      <c r="AE99" s="1041"/>
      <c r="AF99" s="1041"/>
      <c r="AG99" s="1041"/>
      <c r="AH99" s="1041"/>
      <c r="AI99" s="1041"/>
      <c r="AJ99" s="1041"/>
      <c r="AK99" s="1041"/>
      <c r="AL99" s="1041"/>
      <c r="AM99" s="1041"/>
      <c r="AN99" s="1041"/>
      <c r="AO99" s="1041"/>
      <c r="AP99" s="1041"/>
      <c r="AQ99" s="1041"/>
      <c r="AR99" s="1041"/>
      <c r="AS99" s="1041"/>
      <c r="AT99" s="1041"/>
      <c r="AU99" s="1041"/>
      <c r="AV99" s="1041"/>
      <c r="AW99" s="1041"/>
      <c r="AX99" s="1041"/>
      <c r="AY99" s="1041"/>
      <c r="AZ99" s="1041"/>
      <c r="BA99" s="1041"/>
      <c r="BB99" s="1041"/>
      <c r="BC99" s="1041"/>
      <c r="BD99" s="1041"/>
      <c r="BE99" s="1041"/>
      <c r="BF99" s="1041"/>
      <c r="BG99" s="1041"/>
      <c r="BH99" s="1041"/>
      <c r="BI99" s="1041"/>
      <c r="BJ99" s="1041"/>
      <c r="BK99" s="1041"/>
      <c r="BL99" s="1041"/>
      <c r="BM99" s="1041"/>
      <c r="BN99" s="1041"/>
      <c r="BO99" s="1041"/>
      <c r="BP99" s="1041"/>
      <c r="BQ99" s="1041"/>
      <c r="BR99" s="1041"/>
      <c r="BS99" s="1041"/>
      <c r="BT99" s="1041"/>
      <c r="BU99" s="1041"/>
      <c r="BV99" s="1041"/>
      <c r="BW99" s="1041"/>
      <c r="BX99" s="1041"/>
      <c r="BY99" s="87"/>
      <c r="BZ99" s="87"/>
      <c r="CA99" s="87"/>
      <c r="CB99" s="87"/>
      <c r="CC99" s="87"/>
      <c r="CD99" s="87"/>
      <c r="CE99" s="87"/>
      <c r="CF99" s="87"/>
      <c r="CG99" s="87"/>
      <c r="CH99" s="87"/>
      <c r="CI99" s="87"/>
      <c r="CJ99" s="87"/>
      <c r="CK99" s="87"/>
      <c r="CL99" s="87"/>
      <c r="CM99" s="87"/>
      <c r="CN99" s="87"/>
      <c r="CO99" s="87"/>
    </row>
    <row r="100" spans="1:93" hidden="1">
      <c r="A100" s="87" t="s">
        <v>354</v>
      </c>
      <c r="B100" s="87"/>
      <c r="C100" s="87"/>
      <c r="D100" s="87"/>
      <c r="E100" s="87"/>
      <c r="F100" s="87">
        <f t="shared" ref="F100:N100" si="650">F99*12*F84/1000000</f>
        <v>1.9068000000000002E-2</v>
      </c>
      <c r="G100" s="87">
        <f t="shared" si="650"/>
        <v>0.13488</v>
      </c>
      <c r="H100" s="90">
        <f t="shared" si="650"/>
        <v>0.32638969696969694</v>
      </c>
      <c r="I100" s="1099">
        <f t="shared" si="650"/>
        <v>0.56668200000000002</v>
      </c>
      <c r="J100" s="90">
        <f t="shared" si="650"/>
        <v>0.74406000000000005</v>
      </c>
      <c r="K100" s="90">
        <f t="shared" si="650"/>
        <v>0.91881000000000002</v>
      </c>
      <c r="L100" s="90">
        <f t="shared" si="650"/>
        <v>1.0720499999999999</v>
      </c>
      <c r="M100" s="1099">
        <f t="shared" si="650"/>
        <v>1.20564</v>
      </c>
      <c r="N100" s="90">
        <f t="shared" si="650"/>
        <v>1.30359</v>
      </c>
      <c r="O100" s="90">
        <f>O99*12*O84/1000000</f>
        <v>1.3829400000000001</v>
      </c>
      <c r="P100" s="90">
        <f>P99*12*P84/1000000</f>
        <v>1.22601</v>
      </c>
      <c r="Q100" s="90">
        <f>Q99*12*Q84/1000000</f>
        <v>1.15656</v>
      </c>
      <c r="R100" s="90">
        <f>R99*12*R84/1000000</f>
        <v>1.097175</v>
      </c>
      <c r="S100" s="90"/>
      <c r="T100" s="90"/>
      <c r="U100" s="90"/>
      <c r="V100" s="90"/>
      <c r="W100" s="90"/>
      <c r="X100" s="90"/>
      <c r="Y100" s="90"/>
      <c r="Z100" s="1041"/>
      <c r="AA100" s="1041"/>
      <c r="AB100" s="1041"/>
      <c r="AC100" s="1041"/>
      <c r="AD100" s="1041"/>
      <c r="AE100" s="1041"/>
      <c r="AF100" s="1041"/>
      <c r="AG100" s="1041"/>
      <c r="AH100" s="1041"/>
      <c r="AI100" s="1041"/>
      <c r="AJ100" s="1041"/>
      <c r="AK100" s="1041"/>
      <c r="AL100" s="1041"/>
      <c r="AM100" s="1041"/>
      <c r="AN100" s="1041"/>
      <c r="AO100" s="1041"/>
      <c r="AP100" s="1041"/>
      <c r="AQ100" s="1041"/>
      <c r="AR100" s="1041"/>
      <c r="AS100" s="1041"/>
      <c r="AT100" s="1041"/>
      <c r="AU100" s="1041"/>
      <c r="AV100" s="1041"/>
      <c r="AW100" s="1041"/>
      <c r="AX100" s="1041"/>
      <c r="AY100" s="1041"/>
      <c r="AZ100" s="1041"/>
      <c r="BA100" s="1041"/>
      <c r="BB100" s="1041"/>
      <c r="BC100" s="1041"/>
      <c r="BD100" s="1041"/>
      <c r="BE100" s="1041"/>
      <c r="BF100" s="1041"/>
      <c r="BG100" s="1041"/>
      <c r="BH100" s="1041"/>
      <c r="BI100" s="1041"/>
      <c r="BJ100" s="1041"/>
      <c r="BK100" s="1041"/>
      <c r="BL100" s="1041"/>
      <c r="BM100" s="1041"/>
      <c r="BN100" s="1041"/>
      <c r="BO100" s="1041"/>
      <c r="BP100" s="1041"/>
      <c r="BQ100" s="1041"/>
      <c r="BR100" s="1041"/>
      <c r="BS100" s="1041"/>
      <c r="BT100" s="1041"/>
      <c r="BU100" s="1041"/>
      <c r="BV100" s="1041"/>
      <c r="BW100" s="1041"/>
      <c r="BX100" s="1041"/>
      <c r="BY100" s="87"/>
      <c r="BZ100" s="87"/>
      <c r="CA100" s="87"/>
      <c r="CB100" s="87"/>
      <c r="CC100" s="87"/>
      <c r="CD100" s="87"/>
      <c r="CE100" s="87"/>
      <c r="CF100" s="87"/>
      <c r="CG100" s="87"/>
      <c r="CH100" s="87"/>
      <c r="CI100" s="87"/>
      <c r="CJ100" s="87"/>
      <c r="CK100" s="87"/>
      <c r="CL100" s="87"/>
      <c r="CM100" s="87"/>
      <c r="CN100" s="87"/>
      <c r="CO100" s="87"/>
    </row>
    <row r="101" spans="1:93" hidden="1">
      <c r="A101" s="87"/>
      <c r="B101" s="87"/>
      <c r="C101" s="87"/>
      <c r="D101" s="87"/>
      <c r="E101" s="87"/>
      <c r="F101" s="87"/>
      <c r="G101" s="87"/>
      <c r="H101" s="90"/>
      <c r="I101" s="1099"/>
      <c r="J101" s="90"/>
      <c r="K101" s="90"/>
      <c r="L101" s="90"/>
      <c r="M101" s="1099"/>
      <c r="N101" s="90"/>
      <c r="O101" s="90"/>
      <c r="P101" s="90"/>
      <c r="Q101" s="90"/>
      <c r="R101" s="90"/>
      <c r="S101" s="90"/>
      <c r="T101" s="90"/>
      <c r="U101" s="90"/>
      <c r="V101" s="90"/>
      <c r="W101" s="90"/>
      <c r="X101" s="90"/>
      <c r="Y101" s="90"/>
      <c r="Z101" s="1041"/>
      <c r="AA101" s="1041"/>
      <c r="AB101" s="1041"/>
      <c r="AC101" s="1041"/>
      <c r="AD101" s="1041"/>
      <c r="AE101" s="1041"/>
      <c r="AF101" s="1041"/>
      <c r="AG101" s="1041"/>
      <c r="AH101" s="1041"/>
      <c r="AI101" s="1041"/>
      <c r="AJ101" s="1041"/>
      <c r="AK101" s="1041"/>
      <c r="AL101" s="1041"/>
      <c r="AM101" s="1041"/>
      <c r="AN101" s="1041"/>
      <c r="AO101" s="1041"/>
      <c r="AP101" s="1041"/>
      <c r="AQ101" s="1041"/>
      <c r="AR101" s="1041"/>
      <c r="AS101" s="1041"/>
      <c r="AT101" s="1041"/>
      <c r="AU101" s="1041"/>
      <c r="AV101" s="1041"/>
      <c r="AW101" s="1041"/>
      <c r="AX101" s="1041"/>
      <c r="AY101" s="1041"/>
      <c r="AZ101" s="1041"/>
      <c r="BA101" s="1041"/>
      <c r="BB101" s="1041"/>
      <c r="BC101" s="1041"/>
      <c r="BD101" s="1041"/>
      <c r="BE101" s="1041"/>
      <c r="BF101" s="1041"/>
      <c r="BG101" s="1041"/>
      <c r="BH101" s="1041"/>
      <c r="BI101" s="1041"/>
      <c r="BJ101" s="1041"/>
      <c r="BK101" s="1041"/>
      <c r="BL101" s="1041"/>
      <c r="BM101" s="1041"/>
      <c r="BN101" s="1041"/>
      <c r="BO101" s="1041"/>
      <c r="BP101" s="1041"/>
      <c r="BQ101" s="1041"/>
      <c r="BR101" s="1041"/>
      <c r="BS101" s="1041"/>
      <c r="BT101" s="1041"/>
      <c r="BU101" s="1041"/>
      <c r="BV101" s="1041"/>
      <c r="BW101" s="1041"/>
      <c r="BX101" s="1041"/>
      <c r="BY101" s="87"/>
      <c r="BZ101" s="87"/>
      <c r="CA101" s="87"/>
      <c r="CB101" s="87"/>
      <c r="CC101" s="87"/>
      <c r="CD101" s="87"/>
      <c r="CE101" s="87"/>
      <c r="CF101" s="87"/>
      <c r="CG101" s="87"/>
      <c r="CH101" s="87"/>
      <c r="CI101" s="87"/>
      <c r="CJ101" s="87"/>
      <c r="CK101" s="87"/>
      <c r="CL101" s="87"/>
      <c r="CM101" s="87"/>
      <c r="CN101" s="87"/>
      <c r="CO101" s="87"/>
    </row>
    <row r="102" spans="1:93" hidden="1">
      <c r="A102" s="91" t="s">
        <v>355</v>
      </c>
      <c r="B102" s="87"/>
      <c r="C102" s="87"/>
      <c r="D102" s="87"/>
      <c r="E102" s="87"/>
      <c r="F102" s="87"/>
      <c r="G102" s="87"/>
      <c r="H102" s="90"/>
      <c r="I102" s="1099"/>
      <c r="J102" s="90"/>
      <c r="K102" s="90"/>
      <c r="L102" s="90"/>
      <c r="M102" s="1099"/>
      <c r="N102" s="90"/>
      <c r="O102" s="90"/>
      <c r="P102" s="90"/>
      <c r="Q102" s="90"/>
      <c r="R102" s="90"/>
      <c r="S102" s="90"/>
      <c r="T102" s="90"/>
      <c r="U102" s="90"/>
      <c r="V102" s="90"/>
      <c r="W102" s="90"/>
      <c r="X102" s="90"/>
      <c r="Y102" s="90"/>
      <c r="Z102" s="1041"/>
      <c r="AA102" s="1041"/>
      <c r="AB102" s="1041"/>
      <c r="AC102" s="1041"/>
      <c r="AD102" s="1041"/>
      <c r="AE102" s="1041"/>
      <c r="AF102" s="1041"/>
      <c r="AG102" s="1041"/>
      <c r="AH102" s="1041"/>
      <c r="AI102" s="1041"/>
      <c r="AJ102" s="1041"/>
      <c r="AK102" s="1041"/>
      <c r="AL102" s="1041"/>
      <c r="AM102" s="1041"/>
      <c r="AN102" s="1041"/>
      <c r="AO102" s="1041"/>
      <c r="AP102" s="1041"/>
      <c r="AQ102" s="1041"/>
      <c r="AR102" s="1041"/>
      <c r="AS102" s="1041"/>
      <c r="AT102" s="1041"/>
      <c r="AU102" s="1041"/>
      <c r="AV102" s="1041"/>
      <c r="AW102" s="1041"/>
      <c r="AX102" s="1041"/>
      <c r="AY102" s="1041"/>
      <c r="AZ102" s="1041"/>
      <c r="BA102" s="1041"/>
      <c r="BB102" s="1041"/>
      <c r="BC102" s="1041"/>
      <c r="BD102" s="1041"/>
      <c r="BE102" s="1041"/>
      <c r="BF102" s="1041"/>
      <c r="BG102" s="1041"/>
      <c r="BH102" s="1041"/>
      <c r="BI102" s="1041"/>
      <c r="BJ102" s="1041"/>
      <c r="BK102" s="1041"/>
      <c r="BL102" s="1041"/>
      <c r="BM102" s="1041"/>
      <c r="BN102" s="1041"/>
      <c r="BO102" s="1041"/>
      <c r="BP102" s="1041"/>
      <c r="BQ102" s="1041"/>
      <c r="BR102" s="1041"/>
      <c r="BS102" s="1041"/>
      <c r="BT102" s="1041"/>
      <c r="BU102" s="1041"/>
      <c r="BV102" s="1041"/>
      <c r="BW102" s="1041"/>
      <c r="BX102" s="1041"/>
      <c r="BY102" s="216" t="s">
        <v>937</v>
      </c>
      <c r="BZ102" s="87"/>
      <c r="CA102" s="87"/>
      <c r="CB102" s="87"/>
      <c r="CC102" s="87"/>
      <c r="CD102" s="87"/>
      <c r="CE102" s="87"/>
      <c r="CF102" s="87"/>
      <c r="CG102" s="87"/>
      <c r="CH102" s="87"/>
      <c r="CI102" s="87"/>
      <c r="CJ102" s="87"/>
      <c r="CK102" s="87"/>
      <c r="CL102" s="87"/>
      <c r="CM102" s="87"/>
      <c r="CN102" s="87"/>
      <c r="CO102" s="87"/>
    </row>
    <row r="103" spans="1:93" hidden="1">
      <c r="A103" s="87" t="s">
        <v>356</v>
      </c>
      <c r="B103" s="87"/>
      <c r="C103" s="87"/>
      <c r="D103" s="87"/>
      <c r="E103" s="87" t="e">
        <f t="shared" ref="E103:L103" si="651">D107</f>
        <v>#REF!</v>
      </c>
      <c r="F103" s="87" t="e">
        <f t="shared" si="651"/>
        <v>#REF!</v>
      </c>
      <c r="G103" s="87" t="e">
        <f t="shared" si="651"/>
        <v>#REF!</v>
      </c>
      <c r="H103" s="90" t="e">
        <f t="shared" si="651"/>
        <v>#REF!</v>
      </c>
      <c r="I103" s="1099" t="e">
        <f t="shared" si="651"/>
        <v>#REF!</v>
      </c>
      <c r="J103" s="90" t="e">
        <f t="shared" si="651"/>
        <v>#REF!</v>
      </c>
      <c r="K103" s="90" t="e">
        <f t="shared" si="651"/>
        <v>#REF!</v>
      </c>
      <c r="L103" s="90" t="e">
        <f t="shared" si="651"/>
        <v>#REF!</v>
      </c>
      <c r="M103" s="1099"/>
      <c r="N103" s="90"/>
      <c r="O103" s="90"/>
      <c r="P103" s="90"/>
      <c r="Q103" s="90"/>
      <c r="R103" s="90"/>
      <c r="S103" s="90"/>
      <c r="T103" s="90"/>
      <c r="U103" s="90"/>
      <c r="V103" s="90"/>
      <c r="W103" s="90"/>
      <c r="X103" s="90"/>
      <c r="Y103" s="90"/>
      <c r="Z103" s="1041"/>
      <c r="AA103" s="1041"/>
      <c r="AB103" s="1041"/>
      <c r="AC103" s="1041"/>
      <c r="AD103" s="1041"/>
      <c r="AE103" s="1041"/>
      <c r="AF103" s="1041"/>
      <c r="AG103" s="1041"/>
      <c r="AH103" s="1041"/>
      <c r="AI103" s="1041"/>
      <c r="AJ103" s="1041"/>
      <c r="AK103" s="1041"/>
      <c r="AL103" s="1041"/>
      <c r="AM103" s="1041"/>
      <c r="AN103" s="1041"/>
      <c r="AO103" s="1041"/>
      <c r="AP103" s="1041"/>
      <c r="AQ103" s="1041"/>
      <c r="AR103" s="1041"/>
      <c r="AS103" s="1041"/>
      <c r="AT103" s="1041"/>
      <c r="AU103" s="1041"/>
      <c r="AV103" s="1041"/>
      <c r="AW103" s="1041"/>
      <c r="AX103" s="1041"/>
      <c r="AY103" s="1041"/>
      <c r="AZ103" s="1041"/>
      <c r="BA103" s="1041"/>
      <c r="BB103" s="1041"/>
      <c r="BC103" s="1041"/>
      <c r="BD103" s="1041"/>
      <c r="BE103" s="1041"/>
      <c r="BF103" s="1041"/>
      <c r="BG103" s="1041"/>
      <c r="BH103" s="1041"/>
      <c r="BI103" s="1041"/>
      <c r="BJ103" s="1041"/>
      <c r="BK103" s="1041"/>
      <c r="BL103" s="1041"/>
      <c r="BM103" s="1041"/>
      <c r="BN103" s="1041"/>
      <c r="BO103" s="1041"/>
      <c r="BP103" s="1041"/>
      <c r="BQ103" s="1041"/>
      <c r="BR103" s="1041"/>
      <c r="BS103" s="1041"/>
      <c r="BT103" s="1041"/>
      <c r="BU103" s="1041"/>
      <c r="BV103" s="1041"/>
      <c r="BW103" s="1041"/>
      <c r="BX103" s="1041"/>
      <c r="BY103" s="87"/>
      <c r="BZ103" s="87" t="e">
        <f>E107</f>
        <v>#REF!</v>
      </c>
      <c r="CA103" s="87" t="e">
        <f>BZ107</f>
        <v>#REF!</v>
      </c>
      <c r="CB103" s="87"/>
      <c r="CC103" s="87"/>
      <c r="CD103" s="87"/>
      <c r="CE103" s="87"/>
      <c r="CF103" s="87"/>
      <c r="CG103" s="87"/>
      <c r="CH103" s="87"/>
      <c r="CI103" s="87"/>
      <c r="CJ103" s="87"/>
      <c r="CK103" s="87"/>
      <c r="CL103" s="87"/>
      <c r="CM103" s="87"/>
      <c r="CN103" s="87"/>
      <c r="CO103" s="87"/>
    </row>
    <row r="104" spans="1:93" hidden="1">
      <c r="A104" s="87" t="s">
        <v>357</v>
      </c>
      <c r="B104" s="87"/>
      <c r="C104" s="87"/>
      <c r="D104" s="87"/>
      <c r="E104" s="87" t="e">
        <f t="shared" ref="E104:L104" si="652">E107-E103+E106</f>
        <v>#REF!</v>
      </c>
      <c r="F104" s="87" t="e">
        <f t="shared" si="652"/>
        <v>#REF!</v>
      </c>
      <c r="G104" s="87" t="e">
        <f t="shared" si="652"/>
        <v>#REF!</v>
      </c>
      <c r="H104" s="90" t="e">
        <f t="shared" si="652"/>
        <v>#REF!</v>
      </c>
      <c r="I104" s="1099" t="e">
        <f t="shared" si="652"/>
        <v>#REF!</v>
      </c>
      <c r="J104" s="90" t="e">
        <f t="shared" si="652"/>
        <v>#REF!</v>
      </c>
      <c r="K104" s="90" t="e">
        <f t="shared" si="652"/>
        <v>#REF!</v>
      </c>
      <c r="L104" s="90" t="e">
        <f t="shared" si="652"/>
        <v>#REF!</v>
      </c>
      <c r="M104" s="1099"/>
      <c r="N104" s="90"/>
      <c r="O104" s="90"/>
      <c r="P104" s="90"/>
      <c r="Q104" s="90"/>
      <c r="R104" s="90"/>
      <c r="S104" s="90"/>
      <c r="T104" s="90"/>
      <c r="U104" s="90"/>
      <c r="V104" s="90"/>
      <c r="W104" s="90"/>
      <c r="X104" s="90"/>
      <c r="Y104" s="90"/>
      <c r="Z104" s="1041"/>
      <c r="AA104" s="1041"/>
      <c r="AB104" s="1041"/>
      <c r="AC104" s="1041"/>
      <c r="AD104" s="1041"/>
      <c r="AE104" s="1041"/>
      <c r="AF104" s="1041"/>
      <c r="AG104" s="1041"/>
      <c r="AH104" s="1041"/>
      <c r="AI104" s="1041"/>
      <c r="AJ104" s="1041"/>
      <c r="AK104" s="1041"/>
      <c r="AL104" s="1041"/>
      <c r="AM104" s="1041"/>
      <c r="AN104" s="1041"/>
      <c r="AO104" s="1041"/>
      <c r="AP104" s="1041"/>
      <c r="AQ104" s="1041"/>
      <c r="AR104" s="1041"/>
      <c r="AS104" s="1041"/>
      <c r="AT104" s="1041"/>
      <c r="AU104" s="1041"/>
      <c r="AV104" s="1041"/>
      <c r="AW104" s="1041"/>
      <c r="AX104" s="1041"/>
      <c r="AY104" s="1041"/>
      <c r="AZ104" s="1041"/>
      <c r="BA104" s="1041"/>
      <c r="BB104" s="1041"/>
      <c r="BC104" s="1041"/>
      <c r="BD104" s="1041"/>
      <c r="BE104" s="1041"/>
      <c r="BF104" s="1041"/>
      <c r="BG104" s="1041"/>
      <c r="BH104" s="1041"/>
      <c r="BI104" s="1041"/>
      <c r="BJ104" s="1041"/>
      <c r="BK104" s="1041"/>
      <c r="BL104" s="1041"/>
      <c r="BM104" s="1041"/>
      <c r="BN104" s="1041"/>
      <c r="BO104" s="1041"/>
      <c r="BP104" s="1041"/>
      <c r="BQ104" s="1041"/>
      <c r="BR104" s="1041"/>
      <c r="BS104" s="1041"/>
      <c r="BT104" s="1041"/>
      <c r="BU104" s="1041"/>
      <c r="BV104" s="1041"/>
      <c r="BW104" s="1041"/>
      <c r="BX104" s="1041"/>
      <c r="BY104" s="87"/>
      <c r="BZ104" s="87" t="e">
        <f>BZ107-BZ103+BZ106</f>
        <v>#REF!</v>
      </c>
      <c r="CA104" s="87" t="e">
        <f>CA107-CA103+CA106</f>
        <v>#REF!</v>
      </c>
      <c r="CB104" s="87"/>
      <c r="CC104" s="87"/>
      <c r="CD104" s="87"/>
      <c r="CE104" s="87"/>
      <c r="CF104" s="87"/>
      <c r="CG104" s="87"/>
      <c r="CH104" s="87"/>
      <c r="CI104" s="87"/>
      <c r="CJ104" s="87"/>
      <c r="CK104" s="87"/>
      <c r="CL104" s="87"/>
      <c r="CM104" s="87"/>
      <c r="CN104" s="87"/>
      <c r="CO104" s="87"/>
    </row>
    <row r="105" spans="1:93" hidden="1">
      <c r="A105" s="87" t="s">
        <v>358</v>
      </c>
      <c r="B105" s="87"/>
      <c r="C105" s="87"/>
      <c r="D105" s="87"/>
      <c r="E105" s="105" t="e">
        <v>#REF!</v>
      </c>
      <c r="F105" s="105" t="e">
        <v>#REF!</v>
      </c>
      <c r="G105" s="105" t="e">
        <v>#REF!</v>
      </c>
      <c r="H105" s="691" t="e">
        <v>#REF!</v>
      </c>
      <c r="I105" s="1104" t="e">
        <v>#REF!</v>
      </c>
      <c r="J105" s="691" t="e">
        <v>#REF!</v>
      </c>
      <c r="K105" s="691" t="e">
        <v>#REF!</v>
      </c>
      <c r="L105" s="691" t="e">
        <v>#REF!</v>
      </c>
      <c r="M105" s="1104"/>
      <c r="N105" s="691"/>
      <c r="O105" s="691"/>
      <c r="P105" s="691"/>
      <c r="Q105" s="691"/>
      <c r="R105" s="691"/>
      <c r="S105" s="691"/>
      <c r="T105" s="691"/>
      <c r="U105" s="691"/>
      <c r="V105" s="691"/>
      <c r="W105" s="691"/>
      <c r="X105" s="691"/>
      <c r="Y105" s="691"/>
      <c r="Z105" s="1041"/>
      <c r="AA105" s="1041"/>
      <c r="AB105" s="1041"/>
      <c r="AC105" s="1041"/>
      <c r="AD105" s="1041"/>
      <c r="AE105" s="1041"/>
      <c r="AF105" s="1041"/>
      <c r="AG105" s="1041"/>
      <c r="AH105" s="1041"/>
      <c r="AI105" s="1041"/>
      <c r="AJ105" s="1041"/>
      <c r="AK105" s="1041"/>
      <c r="AL105" s="1041"/>
      <c r="AM105" s="1041"/>
      <c r="AN105" s="1041"/>
      <c r="AO105" s="1041"/>
      <c r="AP105" s="1041"/>
      <c r="AQ105" s="1041"/>
      <c r="AR105" s="1041"/>
      <c r="AS105" s="1041"/>
      <c r="AT105" s="1041"/>
      <c r="AU105" s="1041"/>
      <c r="AV105" s="1041"/>
      <c r="AW105" s="1041"/>
      <c r="AX105" s="1041"/>
      <c r="AY105" s="1041"/>
      <c r="AZ105" s="1041"/>
      <c r="BA105" s="1041"/>
      <c r="BB105" s="1041"/>
      <c r="BC105" s="1041"/>
      <c r="BD105" s="1041"/>
      <c r="BE105" s="1041"/>
      <c r="BF105" s="1041"/>
      <c r="BG105" s="1041"/>
      <c r="BH105" s="1041"/>
      <c r="BI105" s="1041"/>
      <c r="BJ105" s="1041"/>
      <c r="BK105" s="1041"/>
      <c r="BL105" s="1041"/>
      <c r="BM105" s="1041"/>
      <c r="BN105" s="1041"/>
      <c r="BO105" s="1041"/>
      <c r="BP105" s="1041"/>
      <c r="BQ105" s="1041"/>
      <c r="BR105" s="1041"/>
      <c r="BS105" s="1041"/>
      <c r="BT105" s="1041"/>
      <c r="BU105" s="1041"/>
      <c r="BV105" s="1041"/>
      <c r="BW105" s="1041"/>
      <c r="BX105" s="1041"/>
      <c r="BY105" s="87"/>
      <c r="BZ105" s="87" t="e">
        <f>$F$105</f>
        <v>#REF!</v>
      </c>
      <c r="CA105" s="87" t="e">
        <f>$F$105</f>
        <v>#REF!</v>
      </c>
      <c r="CB105" s="87"/>
      <c r="CC105" s="87"/>
      <c r="CD105" s="87"/>
      <c r="CE105" s="87"/>
      <c r="CF105" s="87"/>
      <c r="CG105" s="87"/>
      <c r="CH105" s="87"/>
      <c r="CI105" s="87"/>
      <c r="CJ105" s="87"/>
      <c r="CK105" s="87"/>
      <c r="CL105" s="87"/>
      <c r="CM105" s="87"/>
      <c r="CN105" s="87"/>
      <c r="CO105" s="87"/>
    </row>
    <row r="106" spans="1:93" hidden="1">
      <c r="A106" s="87" t="s">
        <v>1496</v>
      </c>
      <c r="B106" s="87"/>
      <c r="C106" s="87"/>
      <c r="D106" s="87"/>
      <c r="E106" s="87" t="e">
        <f t="shared" ref="E106:L106" si="653">E105*12*AVERAGE(D107:E107)</f>
        <v>#REF!</v>
      </c>
      <c r="F106" s="87" t="e">
        <f t="shared" si="653"/>
        <v>#REF!</v>
      </c>
      <c r="G106" s="87" t="e">
        <f t="shared" si="653"/>
        <v>#REF!</v>
      </c>
      <c r="H106" s="90" t="e">
        <f t="shared" si="653"/>
        <v>#REF!</v>
      </c>
      <c r="I106" s="1099" t="e">
        <f t="shared" si="653"/>
        <v>#REF!</v>
      </c>
      <c r="J106" s="90" t="e">
        <f t="shared" si="653"/>
        <v>#REF!</v>
      </c>
      <c r="K106" s="90" t="e">
        <f t="shared" si="653"/>
        <v>#REF!</v>
      </c>
      <c r="L106" s="90" t="e">
        <f t="shared" si="653"/>
        <v>#REF!</v>
      </c>
      <c r="M106" s="1099"/>
      <c r="N106" s="90"/>
      <c r="O106" s="90"/>
      <c r="P106" s="90"/>
      <c r="Q106" s="90"/>
      <c r="R106" s="90"/>
      <c r="S106" s="90"/>
      <c r="T106" s="90"/>
      <c r="U106" s="90"/>
      <c r="V106" s="90"/>
      <c r="W106" s="90"/>
      <c r="X106" s="90"/>
      <c r="Y106" s="90"/>
      <c r="Z106" s="1041"/>
      <c r="AA106" s="1041"/>
      <c r="AB106" s="1041"/>
      <c r="AC106" s="1041"/>
      <c r="AD106" s="1041"/>
      <c r="AE106" s="1041"/>
      <c r="AF106" s="1041"/>
      <c r="AG106" s="1041"/>
      <c r="AH106" s="1041"/>
      <c r="AI106" s="1041"/>
      <c r="AJ106" s="1041"/>
      <c r="AK106" s="1041"/>
      <c r="AL106" s="1041"/>
      <c r="AM106" s="1041"/>
      <c r="AN106" s="1041"/>
      <c r="AO106" s="1041"/>
      <c r="AP106" s="1041"/>
      <c r="AQ106" s="1041"/>
      <c r="AR106" s="1041"/>
      <c r="AS106" s="1041"/>
      <c r="AT106" s="1041"/>
      <c r="AU106" s="1041"/>
      <c r="AV106" s="1041"/>
      <c r="AW106" s="1041"/>
      <c r="AX106" s="1041"/>
      <c r="AY106" s="1041"/>
      <c r="AZ106" s="1041"/>
      <c r="BA106" s="1041"/>
      <c r="BB106" s="1041"/>
      <c r="BC106" s="1041"/>
      <c r="BD106" s="1041"/>
      <c r="BE106" s="1041"/>
      <c r="BF106" s="1041"/>
      <c r="BG106" s="1041"/>
      <c r="BH106" s="1041"/>
      <c r="BI106" s="1041"/>
      <c r="BJ106" s="1041"/>
      <c r="BK106" s="1041"/>
      <c r="BL106" s="1041"/>
      <c r="BM106" s="1041"/>
      <c r="BN106" s="1041"/>
      <c r="BO106" s="1041"/>
      <c r="BP106" s="1041"/>
      <c r="BQ106" s="1041"/>
      <c r="BR106" s="1041"/>
      <c r="BS106" s="1041"/>
      <c r="BT106" s="1041"/>
      <c r="BU106" s="1041"/>
      <c r="BV106" s="1041"/>
      <c r="BW106" s="1041"/>
      <c r="BX106" s="1041"/>
      <c r="BY106" s="87"/>
      <c r="BZ106" s="87" t="e">
        <f>BZ105*3*AVERAGE(BY107:BZ107)</f>
        <v>#REF!</v>
      </c>
      <c r="CA106" s="87" t="e">
        <f>CA105*3*AVERAGE(BZ107:CA107)</f>
        <v>#REF!</v>
      </c>
      <c r="CB106" s="87"/>
      <c r="CC106" s="87"/>
      <c r="CD106" s="87"/>
      <c r="CE106" s="87"/>
      <c r="CF106" s="87"/>
      <c r="CG106" s="87"/>
      <c r="CH106" s="87"/>
      <c r="CI106" s="87"/>
      <c r="CJ106" s="87"/>
      <c r="CK106" s="87"/>
      <c r="CL106" s="87"/>
      <c r="CM106" s="87"/>
      <c r="CN106" s="87"/>
      <c r="CO106" s="87"/>
    </row>
    <row r="107" spans="1:93" hidden="1">
      <c r="A107" s="87" t="s">
        <v>359</v>
      </c>
      <c r="B107" s="87"/>
      <c r="C107" s="87"/>
      <c r="D107" s="87" t="e">
        <v>#REF!</v>
      </c>
      <c r="E107" s="87" t="e">
        <v>#REF!</v>
      </c>
      <c r="F107" s="87" t="e">
        <v>#REF!</v>
      </c>
      <c r="G107" s="87" t="e">
        <v>#REF!</v>
      </c>
      <c r="H107" s="90" t="e">
        <v>#REF!</v>
      </c>
      <c r="I107" s="1099" t="e">
        <v>#REF!</v>
      </c>
      <c r="J107" s="90" t="e">
        <v>#REF!</v>
      </c>
      <c r="K107" s="90" t="e">
        <v>#REF!</v>
      </c>
      <c r="L107" s="90" t="e">
        <v>#REF!</v>
      </c>
      <c r="M107" s="1099"/>
      <c r="N107" s="90"/>
      <c r="O107" s="90"/>
      <c r="P107" s="90"/>
      <c r="Q107" s="90"/>
      <c r="R107" s="90"/>
      <c r="S107" s="90"/>
      <c r="T107" s="90"/>
      <c r="U107" s="90"/>
      <c r="V107" s="90"/>
      <c r="W107" s="90"/>
      <c r="X107" s="90"/>
      <c r="Y107" s="90"/>
      <c r="Z107" s="1041"/>
      <c r="AA107" s="1041"/>
      <c r="AB107" s="1041"/>
      <c r="AC107" s="1041"/>
      <c r="AD107" s="1041"/>
      <c r="AE107" s="1041"/>
      <c r="AF107" s="1041"/>
      <c r="AG107" s="1041"/>
      <c r="AH107" s="1041"/>
      <c r="AI107" s="1041"/>
      <c r="AJ107" s="1041"/>
      <c r="AK107" s="1041"/>
      <c r="AL107" s="1041"/>
      <c r="AM107" s="1041"/>
      <c r="AN107" s="1041"/>
      <c r="AO107" s="1041"/>
      <c r="AP107" s="1041"/>
      <c r="AQ107" s="1041"/>
      <c r="AR107" s="1041"/>
      <c r="AS107" s="1041"/>
      <c r="AT107" s="1041"/>
      <c r="AU107" s="1041"/>
      <c r="AV107" s="1041"/>
      <c r="AW107" s="1041"/>
      <c r="AX107" s="1041"/>
      <c r="AY107" s="1041"/>
      <c r="AZ107" s="1041"/>
      <c r="BA107" s="1041"/>
      <c r="BB107" s="1041"/>
      <c r="BC107" s="1041"/>
      <c r="BD107" s="1041"/>
      <c r="BE107" s="1041"/>
      <c r="BF107" s="1041"/>
      <c r="BG107" s="1041"/>
      <c r="BH107" s="1041"/>
      <c r="BI107" s="1041"/>
      <c r="BJ107" s="1041"/>
      <c r="BK107" s="1041"/>
      <c r="BL107" s="1041"/>
      <c r="BM107" s="1041"/>
      <c r="BN107" s="1041"/>
      <c r="BO107" s="1041"/>
      <c r="BP107" s="1041"/>
      <c r="BQ107" s="1041"/>
      <c r="BR107" s="1041"/>
      <c r="BS107" s="1041"/>
      <c r="BT107" s="1041"/>
      <c r="BU107" s="1041"/>
      <c r="BV107" s="1041"/>
      <c r="BW107" s="1041"/>
      <c r="BX107" s="1041"/>
      <c r="BY107" s="87" t="e">
        <f>E107</f>
        <v>#REF!</v>
      </c>
      <c r="BZ107" s="87" t="e">
        <v>#REF!</v>
      </c>
      <c r="CA107" s="87" t="e">
        <v>#REF!</v>
      </c>
      <c r="CB107" s="87"/>
      <c r="CC107" s="87"/>
      <c r="CD107" s="87"/>
      <c r="CE107" s="87"/>
      <c r="CF107" s="87"/>
      <c r="CG107" s="87"/>
      <c r="CH107" s="87"/>
      <c r="CI107" s="87"/>
      <c r="CJ107" s="87"/>
      <c r="CK107" s="87"/>
      <c r="CL107" s="87"/>
      <c r="CM107" s="87"/>
      <c r="CN107" s="87"/>
      <c r="CO107" s="87"/>
    </row>
    <row r="108" spans="1:93" hidden="1">
      <c r="A108" s="87"/>
      <c r="B108" s="87"/>
      <c r="C108" s="87"/>
      <c r="D108" s="87"/>
      <c r="E108" s="87"/>
      <c r="F108" s="87"/>
      <c r="G108" s="87"/>
      <c r="H108" s="90"/>
      <c r="I108" s="1099"/>
      <c r="J108" s="90"/>
      <c r="K108" s="90"/>
      <c r="L108" s="90"/>
      <c r="M108" s="1099"/>
      <c r="N108" s="90"/>
      <c r="O108" s="90"/>
      <c r="P108" s="90"/>
      <c r="Q108" s="90"/>
      <c r="R108" s="90"/>
      <c r="S108" s="90"/>
      <c r="T108" s="90"/>
      <c r="U108" s="90"/>
      <c r="V108" s="90"/>
      <c r="W108" s="90"/>
      <c r="X108" s="90"/>
      <c r="Y108" s="90"/>
      <c r="Z108" s="1041"/>
      <c r="AA108" s="1041"/>
      <c r="AB108" s="1041"/>
      <c r="AC108" s="1041"/>
      <c r="AD108" s="1041"/>
      <c r="AE108" s="1041"/>
      <c r="AF108" s="1041"/>
      <c r="AG108" s="1041"/>
      <c r="AH108" s="1041"/>
      <c r="AI108" s="1041"/>
      <c r="AJ108" s="1041"/>
      <c r="AK108" s="1041"/>
      <c r="AL108" s="1041"/>
      <c r="AM108" s="1041"/>
      <c r="AN108" s="1041"/>
      <c r="AO108" s="1041"/>
      <c r="AP108" s="1041"/>
      <c r="AQ108" s="1041"/>
      <c r="AR108" s="1041"/>
      <c r="AS108" s="1041"/>
      <c r="AT108" s="1041"/>
      <c r="AU108" s="1041"/>
      <c r="AV108" s="1041"/>
      <c r="AW108" s="1041"/>
      <c r="AX108" s="1041"/>
      <c r="AY108" s="1041"/>
      <c r="AZ108" s="1041"/>
      <c r="BA108" s="1041"/>
      <c r="BB108" s="1041"/>
      <c r="BC108" s="1041"/>
      <c r="BD108" s="1041"/>
      <c r="BE108" s="1041"/>
      <c r="BF108" s="1041"/>
      <c r="BG108" s="1041"/>
      <c r="BH108" s="1041"/>
      <c r="BI108" s="1041"/>
      <c r="BJ108" s="1041"/>
      <c r="BK108" s="1041"/>
      <c r="BL108" s="1041"/>
      <c r="BM108" s="1041"/>
      <c r="BN108" s="1041"/>
      <c r="BO108" s="1041"/>
      <c r="BP108" s="1041"/>
      <c r="BQ108" s="1041"/>
      <c r="BR108" s="1041"/>
      <c r="BS108" s="1041"/>
      <c r="BT108" s="1041"/>
      <c r="BU108" s="1041"/>
      <c r="BV108" s="1041"/>
      <c r="BW108" s="1041"/>
      <c r="BX108" s="1041"/>
      <c r="BY108" s="87"/>
      <c r="BZ108" s="87"/>
      <c r="CA108" s="87"/>
      <c r="CB108" s="87"/>
      <c r="CC108" s="87"/>
      <c r="CD108" s="87"/>
      <c r="CE108" s="87"/>
      <c r="CF108" s="87"/>
      <c r="CG108" s="87"/>
      <c r="CH108" s="87"/>
      <c r="CI108" s="87"/>
      <c r="CJ108" s="87"/>
      <c r="CK108" s="87"/>
      <c r="CL108" s="87"/>
      <c r="CM108" s="87"/>
      <c r="CN108" s="87"/>
      <c r="CO108" s="87"/>
    </row>
    <row r="109" spans="1:93" hidden="1">
      <c r="A109" s="91" t="s">
        <v>360</v>
      </c>
      <c r="B109" s="87"/>
      <c r="C109" s="87"/>
      <c r="D109" s="87"/>
      <c r="E109" s="87"/>
      <c r="F109" s="87"/>
      <c r="G109" s="87"/>
      <c r="H109" s="90"/>
      <c r="I109" s="1099"/>
      <c r="J109" s="90"/>
      <c r="K109" s="90"/>
      <c r="L109" s="90"/>
      <c r="M109" s="1099"/>
      <c r="N109" s="90"/>
      <c r="O109" s="90"/>
      <c r="P109" s="90"/>
      <c r="Q109" s="90"/>
      <c r="R109" s="90"/>
      <c r="S109" s="90"/>
      <c r="T109" s="90"/>
      <c r="U109" s="90"/>
      <c r="V109" s="90"/>
      <c r="W109" s="90"/>
      <c r="X109" s="90"/>
      <c r="Y109" s="90"/>
      <c r="Z109" s="1041"/>
      <c r="AA109" s="1041"/>
      <c r="AB109" s="1041"/>
      <c r="AC109" s="1041"/>
      <c r="AD109" s="1041"/>
      <c r="AE109" s="1041"/>
      <c r="AF109" s="1041"/>
      <c r="AG109" s="1041"/>
      <c r="AH109" s="1041"/>
      <c r="AI109" s="1041"/>
      <c r="AJ109" s="1041"/>
      <c r="AK109" s="1041"/>
      <c r="AL109" s="1041"/>
      <c r="AM109" s="1041"/>
      <c r="AN109" s="1041"/>
      <c r="AO109" s="1041"/>
      <c r="AP109" s="1041"/>
      <c r="AQ109" s="1041"/>
      <c r="AR109" s="1041"/>
      <c r="AS109" s="1041"/>
      <c r="AT109" s="1041"/>
      <c r="AU109" s="1041"/>
      <c r="AV109" s="1041"/>
      <c r="AW109" s="1041"/>
      <c r="AX109" s="1041"/>
      <c r="AY109" s="1041"/>
      <c r="AZ109" s="1041"/>
      <c r="BA109" s="1041"/>
      <c r="BB109" s="1041"/>
      <c r="BC109" s="1041"/>
      <c r="BD109" s="1041"/>
      <c r="BE109" s="1041"/>
      <c r="BF109" s="1041"/>
      <c r="BG109" s="1041"/>
      <c r="BH109" s="1041"/>
      <c r="BI109" s="1041"/>
      <c r="BJ109" s="1041"/>
      <c r="BK109" s="1041"/>
      <c r="BL109" s="1041"/>
      <c r="BM109" s="1041"/>
      <c r="BN109" s="1041"/>
      <c r="BO109" s="1041"/>
      <c r="BP109" s="1041"/>
      <c r="BQ109" s="1041"/>
      <c r="BR109" s="1041"/>
      <c r="BS109" s="1041"/>
      <c r="BT109" s="1041"/>
      <c r="BU109" s="1041"/>
      <c r="BV109" s="1041"/>
      <c r="BW109" s="1041"/>
      <c r="BX109" s="1041"/>
      <c r="BY109" s="87"/>
      <c r="BZ109" s="87"/>
      <c r="CA109" s="87"/>
      <c r="CB109" s="87"/>
      <c r="CC109" s="87"/>
      <c r="CD109" s="87"/>
      <c r="CE109" s="87"/>
      <c r="CF109" s="87"/>
      <c r="CG109" s="87"/>
      <c r="CH109" s="87"/>
      <c r="CI109" s="87"/>
      <c r="CJ109" s="87"/>
      <c r="CK109" s="87"/>
      <c r="CL109" s="87"/>
      <c r="CM109" s="87"/>
      <c r="CN109" s="87"/>
      <c r="CO109" s="87"/>
    </row>
    <row r="110" spans="1:93" hidden="1">
      <c r="A110" s="87" t="s">
        <v>356</v>
      </c>
      <c r="B110" s="87"/>
      <c r="C110" s="87"/>
      <c r="D110" s="87"/>
      <c r="E110" s="87" t="e">
        <f t="shared" ref="E110:L110" si="654">D114</f>
        <v>#REF!</v>
      </c>
      <c r="F110" s="87" t="e">
        <f t="shared" si="654"/>
        <v>#REF!</v>
      </c>
      <c r="G110" s="87" t="e">
        <f t="shared" si="654"/>
        <v>#REF!</v>
      </c>
      <c r="H110" s="90" t="e">
        <f t="shared" si="654"/>
        <v>#REF!</v>
      </c>
      <c r="I110" s="1099" t="e">
        <f t="shared" si="654"/>
        <v>#REF!</v>
      </c>
      <c r="J110" s="90" t="e">
        <f t="shared" si="654"/>
        <v>#REF!</v>
      </c>
      <c r="K110" s="90" t="e">
        <f t="shared" si="654"/>
        <v>#REF!</v>
      </c>
      <c r="L110" s="90" t="e">
        <f t="shared" si="654"/>
        <v>#REF!</v>
      </c>
      <c r="M110" s="1099"/>
      <c r="N110" s="90"/>
      <c r="O110" s="90"/>
      <c r="P110" s="90"/>
      <c r="Q110" s="90"/>
      <c r="R110" s="90"/>
      <c r="S110" s="90"/>
      <c r="T110" s="90"/>
      <c r="U110" s="90"/>
      <c r="V110" s="90"/>
      <c r="W110" s="90"/>
      <c r="X110" s="90"/>
      <c r="Y110" s="90"/>
      <c r="Z110" s="1041"/>
      <c r="AA110" s="1041"/>
      <c r="AB110" s="1041"/>
      <c r="AC110" s="1041"/>
      <c r="AD110" s="1041"/>
      <c r="AE110" s="1041"/>
      <c r="AF110" s="1041"/>
      <c r="AG110" s="1041"/>
      <c r="AH110" s="1041"/>
      <c r="AI110" s="1041"/>
      <c r="AJ110" s="1041"/>
      <c r="AK110" s="1041"/>
      <c r="AL110" s="1041"/>
      <c r="AM110" s="1041"/>
      <c r="AN110" s="1041"/>
      <c r="AO110" s="1041"/>
      <c r="AP110" s="1041"/>
      <c r="AQ110" s="1041"/>
      <c r="AR110" s="1041"/>
      <c r="AS110" s="1041"/>
      <c r="AT110" s="1041"/>
      <c r="AU110" s="1041"/>
      <c r="AV110" s="1041"/>
      <c r="AW110" s="1041"/>
      <c r="AX110" s="1041"/>
      <c r="AY110" s="1041"/>
      <c r="AZ110" s="1041"/>
      <c r="BA110" s="1041"/>
      <c r="BB110" s="1041"/>
      <c r="BC110" s="1041"/>
      <c r="BD110" s="1041"/>
      <c r="BE110" s="1041"/>
      <c r="BF110" s="1041"/>
      <c r="BG110" s="1041"/>
      <c r="BH110" s="1041"/>
      <c r="BI110" s="1041"/>
      <c r="BJ110" s="1041"/>
      <c r="BK110" s="1041"/>
      <c r="BL110" s="1041"/>
      <c r="BM110" s="1041"/>
      <c r="BN110" s="1041"/>
      <c r="BO110" s="1041"/>
      <c r="BP110" s="1041"/>
      <c r="BQ110" s="1041"/>
      <c r="BR110" s="1041"/>
      <c r="BS110" s="1041"/>
      <c r="BT110" s="1041"/>
      <c r="BU110" s="1041"/>
      <c r="BV110" s="1041"/>
      <c r="BW110" s="1041"/>
      <c r="BX110" s="1041"/>
      <c r="BY110" s="87"/>
      <c r="BZ110" s="87" t="e">
        <f>BY114</f>
        <v>#REF!</v>
      </c>
      <c r="CA110" s="87" t="e">
        <f>BZ114</f>
        <v>#REF!</v>
      </c>
      <c r="CB110" s="87"/>
      <c r="CC110" s="87"/>
      <c r="CD110" s="87"/>
      <c r="CE110" s="87"/>
      <c r="CF110" s="87"/>
      <c r="CG110" s="87"/>
      <c r="CH110" s="87"/>
      <c r="CI110" s="87"/>
      <c r="CJ110" s="87"/>
      <c r="CK110" s="87"/>
      <c r="CL110" s="87"/>
      <c r="CM110" s="87"/>
      <c r="CN110" s="87"/>
      <c r="CO110" s="87"/>
    </row>
    <row r="111" spans="1:93" hidden="1">
      <c r="A111" s="87" t="s">
        <v>357</v>
      </c>
      <c r="B111" s="87"/>
      <c r="C111" s="87"/>
      <c r="D111" s="87"/>
      <c r="E111" s="87" t="e">
        <f t="shared" ref="E111:L111" si="655">E114-E110+E113</f>
        <v>#REF!</v>
      </c>
      <c r="F111" s="87" t="e">
        <f t="shared" si="655"/>
        <v>#REF!</v>
      </c>
      <c r="G111" s="87" t="e">
        <f t="shared" si="655"/>
        <v>#REF!</v>
      </c>
      <c r="H111" s="90" t="e">
        <f t="shared" si="655"/>
        <v>#REF!</v>
      </c>
      <c r="I111" s="1099" t="e">
        <f t="shared" si="655"/>
        <v>#REF!</v>
      </c>
      <c r="J111" s="90" t="e">
        <f t="shared" si="655"/>
        <v>#REF!</v>
      </c>
      <c r="K111" s="90" t="e">
        <f t="shared" si="655"/>
        <v>#REF!</v>
      </c>
      <c r="L111" s="90" t="e">
        <f t="shared" si="655"/>
        <v>#REF!</v>
      </c>
      <c r="M111" s="1099"/>
      <c r="N111" s="90"/>
      <c r="O111" s="90"/>
      <c r="P111" s="90"/>
      <c r="Q111" s="90"/>
      <c r="R111" s="90"/>
      <c r="S111" s="90"/>
      <c r="T111" s="90"/>
      <c r="U111" s="90"/>
      <c r="V111" s="90"/>
      <c r="W111" s="90"/>
      <c r="X111" s="90"/>
      <c r="Y111" s="90"/>
      <c r="Z111" s="1041"/>
      <c r="AA111" s="1041"/>
      <c r="AB111" s="1041"/>
      <c r="AC111" s="1041"/>
      <c r="AD111" s="1041"/>
      <c r="AE111" s="1041"/>
      <c r="AF111" s="1041"/>
      <c r="AG111" s="1041"/>
      <c r="AH111" s="1041"/>
      <c r="AI111" s="1041"/>
      <c r="AJ111" s="1041"/>
      <c r="AK111" s="1041"/>
      <c r="AL111" s="1041"/>
      <c r="AM111" s="1041"/>
      <c r="AN111" s="1041"/>
      <c r="AO111" s="1041"/>
      <c r="AP111" s="1041"/>
      <c r="AQ111" s="1041"/>
      <c r="AR111" s="1041"/>
      <c r="AS111" s="1041"/>
      <c r="AT111" s="1041"/>
      <c r="AU111" s="1041"/>
      <c r="AV111" s="1041"/>
      <c r="AW111" s="1041"/>
      <c r="AX111" s="1041"/>
      <c r="AY111" s="1041"/>
      <c r="AZ111" s="1041"/>
      <c r="BA111" s="1041"/>
      <c r="BB111" s="1041"/>
      <c r="BC111" s="1041"/>
      <c r="BD111" s="1041"/>
      <c r="BE111" s="1041"/>
      <c r="BF111" s="1041"/>
      <c r="BG111" s="1041"/>
      <c r="BH111" s="1041"/>
      <c r="BI111" s="1041"/>
      <c r="BJ111" s="1041"/>
      <c r="BK111" s="1041"/>
      <c r="BL111" s="1041"/>
      <c r="BM111" s="1041"/>
      <c r="BN111" s="1041"/>
      <c r="BO111" s="1041"/>
      <c r="BP111" s="1041"/>
      <c r="BQ111" s="1041"/>
      <c r="BR111" s="1041"/>
      <c r="BS111" s="1041"/>
      <c r="BT111" s="1041"/>
      <c r="BU111" s="1041"/>
      <c r="BV111" s="1041"/>
      <c r="BW111" s="1041"/>
      <c r="BX111" s="1041"/>
      <c r="BY111" s="87"/>
      <c r="BZ111" s="87" t="e">
        <f>BZ114-BZ110+BZ113</f>
        <v>#REF!</v>
      </c>
      <c r="CA111" s="87" t="e">
        <f>CA114-CA110+CA113</f>
        <v>#REF!</v>
      </c>
      <c r="CB111" s="87"/>
      <c r="CC111" s="87"/>
      <c r="CD111" s="87"/>
      <c r="CE111" s="87"/>
      <c r="CF111" s="87"/>
      <c r="CG111" s="87"/>
      <c r="CH111" s="87"/>
      <c r="CI111" s="87"/>
      <c r="CJ111" s="87"/>
      <c r="CK111" s="87"/>
      <c r="CL111" s="87"/>
      <c r="CM111" s="87"/>
      <c r="CN111" s="87"/>
      <c r="CO111" s="87"/>
    </row>
    <row r="112" spans="1:93" hidden="1">
      <c r="A112" s="87" t="s">
        <v>358</v>
      </c>
      <c r="B112" s="87"/>
      <c r="C112" s="87"/>
      <c r="D112" s="87"/>
      <c r="E112" s="105" t="e">
        <v>#REF!</v>
      </c>
      <c r="F112" s="105" t="e">
        <v>#REF!</v>
      </c>
      <c r="G112" s="105" t="e">
        <v>#REF!</v>
      </c>
      <c r="H112" s="691" t="e">
        <v>#REF!</v>
      </c>
      <c r="I112" s="1104" t="e">
        <v>#REF!</v>
      </c>
      <c r="J112" s="691" t="e">
        <v>#REF!</v>
      </c>
      <c r="K112" s="691" t="e">
        <v>#REF!</v>
      </c>
      <c r="L112" s="691" t="e">
        <v>#REF!</v>
      </c>
      <c r="M112" s="1104"/>
      <c r="N112" s="691"/>
      <c r="O112" s="691"/>
      <c r="P112" s="691"/>
      <c r="Q112" s="691"/>
      <c r="R112" s="691"/>
      <c r="S112" s="691"/>
      <c r="T112" s="691"/>
      <c r="U112" s="691"/>
      <c r="V112" s="691"/>
      <c r="W112" s="691"/>
      <c r="X112" s="691"/>
      <c r="Y112" s="691"/>
      <c r="Z112" s="1041"/>
      <c r="AA112" s="1041"/>
      <c r="AB112" s="1041"/>
      <c r="AC112" s="1041"/>
      <c r="AD112" s="1041"/>
      <c r="AE112" s="1041"/>
      <c r="AF112" s="1041"/>
      <c r="AG112" s="1041"/>
      <c r="AH112" s="1041"/>
      <c r="AI112" s="1041"/>
      <c r="AJ112" s="1041"/>
      <c r="AK112" s="1041"/>
      <c r="AL112" s="1041"/>
      <c r="AM112" s="1041"/>
      <c r="AN112" s="1041"/>
      <c r="AO112" s="1041"/>
      <c r="AP112" s="1041"/>
      <c r="AQ112" s="1041"/>
      <c r="AR112" s="1041"/>
      <c r="AS112" s="1041"/>
      <c r="AT112" s="1041"/>
      <c r="AU112" s="1041"/>
      <c r="AV112" s="1041"/>
      <c r="AW112" s="1041"/>
      <c r="AX112" s="1041"/>
      <c r="AY112" s="1041"/>
      <c r="AZ112" s="1041"/>
      <c r="BA112" s="1041"/>
      <c r="BB112" s="1041"/>
      <c r="BC112" s="1041"/>
      <c r="BD112" s="1041"/>
      <c r="BE112" s="1041"/>
      <c r="BF112" s="1041"/>
      <c r="BG112" s="1041"/>
      <c r="BH112" s="1041"/>
      <c r="BI112" s="1041"/>
      <c r="BJ112" s="1041"/>
      <c r="BK112" s="1041"/>
      <c r="BL112" s="1041"/>
      <c r="BM112" s="1041"/>
      <c r="BN112" s="1041"/>
      <c r="BO112" s="1041"/>
      <c r="BP112" s="1041"/>
      <c r="BQ112" s="1041"/>
      <c r="BR112" s="1041"/>
      <c r="BS112" s="1041"/>
      <c r="BT112" s="1041"/>
      <c r="BU112" s="1041"/>
      <c r="BV112" s="1041"/>
      <c r="BW112" s="1041"/>
      <c r="BX112" s="1041"/>
      <c r="BY112" s="87"/>
      <c r="BZ112" s="87" t="e">
        <f>$F$112</f>
        <v>#REF!</v>
      </c>
      <c r="CA112" s="87" t="e">
        <f>$F$112</f>
        <v>#REF!</v>
      </c>
      <c r="CB112" s="87"/>
      <c r="CC112" s="87"/>
      <c r="CD112" s="87"/>
      <c r="CE112" s="87"/>
      <c r="CF112" s="87"/>
      <c r="CG112" s="87"/>
      <c r="CH112" s="87"/>
      <c r="CI112" s="87"/>
      <c r="CJ112" s="87"/>
      <c r="CK112" s="87"/>
      <c r="CL112" s="87"/>
      <c r="CM112" s="87"/>
      <c r="CN112" s="87"/>
      <c r="CO112" s="87"/>
    </row>
    <row r="113" spans="1:178" hidden="1">
      <c r="A113" s="87" t="s">
        <v>1496</v>
      </c>
      <c r="B113" s="87"/>
      <c r="C113" s="87"/>
      <c r="D113" s="87"/>
      <c r="E113" s="87" t="e">
        <f t="shared" ref="E113:L113" si="656">E112*12*AVERAGE(D114:E114)</f>
        <v>#REF!</v>
      </c>
      <c r="F113" s="87" t="e">
        <f t="shared" si="656"/>
        <v>#REF!</v>
      </c>
      <c r="G113" s="87" t="e">
        <f t="shared" si="656"/>
        <v>#REF!</v>
      </c>
      <c r="H113" s="90" t="e">
        <f t="shared" si="656"/>
        <v>#REF!</v>
      </c>
      <c r="I113" s="1099" t="e">
        <f t="shared" si="656"/>
        <v>#REF!</v>
      </c>
      <c r="J113" s="90" t="e">
        <f t="shared" si="656"/>
        <v>#REF!</v>
      </c>
      <c r="K113" s="90" t="e">
        <f t="shared" si="656"/>
        <v>#REF!</v>
      </c>
      <c r="L113" s="90" t="e">
        <f t="shared" si="656"/>
        <v>#REF!</v>
      </c>
      <c r="M113" s="1099"/>
      <c r="N113" s="90"/>
      <c r="O113" s="90"/>
      <c r="P113" s="90"/>
      <c r="Q113" s="90"/>
      <c r="R113" s="90"/>
      <c r="S113" s="90"/>
      <c r="T113" s="90"/>
      <c r="U113" s="90"/>
      <c r="V113" s="90"/>
      <c r="W113" s="90"/>
      <c r="X113" s="90"/>
      <c r="Y113" s="90"/>
      <c r="Z113" s="1041"/>
      <c r="AA113" s="1041"/>
      <c r="AB113" s="1041"/>
      <c r="AC113" s="1041"/>
      <c r="AD113" s="1041"/>
      <c r="AE113" s="1041"/>
      <c r="AF113" s="1041"/>
      <c r="AG113" s="1041"/>
      <c r="AH113" s="1041"/>
      <c r="AI113" s="1041"/>
      <c r="AJ113" s="1041"/>
      <c r="AK113" s="1041"/>
      <c r="AL113" s="1041"/>
      <c r="AM113" s="1041"/>
      <c r="AN113" s="1041"/>
      <c r="AO113" s="1041"/>
      <c r="AP113" s="1041"/>
      <c r="AQ113" s="1041"/>
      <c r="AR113" s="1041"/>
      <c r="AS113" s="1041"/>
      <c r="AT113" s="1041"/>
      <c r="AU113" s="1041"/>
      <c r="AV113" s="1041"/>
      <c r="AW113" s="1041"/>
      <c r="AX113" s="1041"/>
      <c r="AY113" s="1041"/>
      <c r="AZ113" s="1041"/>
      <c r="BA113" s="1041"/>
      <c r="BB113" s="1041"/>
      <c r="BC113" s="1041"/>
      <c r="BD113" s="1041"/>
      <c r="BE113" s="1041"/>
      <c r="BF113" s="1041"/>
      <c r="BG113" s="1041"/>
      <c r="BH113" s="1041"/>
      <c r="BI113" s="1041"/>
      <c r="BJ113" s="1041"/>
      <c r="BK113" s="1041"/>
      <c r="BL113" s="1041"/>
      <c r="BM113" s="1041"/>
      <c r="BN113" s="1041"/>
      <c r="BO113" s="1041"/>
      <c r="BP113" s="1041"/>
      <c r="BQ113" s="1041"/>
      <c r="BR113" s="1041"/>
      <c r="BS113" s="1041"/>
      <c r="BT113" s="1041"/>
      <c r="BU113" s="1041"/>
      <c r="BV113" s="1041"/>
      <c r="BW113" s="1041"/>
      <c r="BX113" s="1041"/>
      <c r="BY113" s="87"/>
      <c r="BZ113" s="87" t="e">
        <f>BZ112*3*AVERAGE(BY114:BZ114)</f>
        <v>#REF!</v>
      </c>
      <c r="CA113" s="87" t="e">
        <f>CA112*3*AVERAGE(BZ114:CA114)</f>
        <v>#REF!</v>
      </c>
      <c r="CB113" s="87"/>
      <c r="CC113" s="87"/>
      <c r="CD113" s="87"/>
      <c r="CE113" s="87"/>
      <c r="CF113" s="87"/>
      <c r="CG113" s="87"/>
      <c r="CH113" s="87"/>
      <c r="CI113" s="87"/>
      <c r="CJ113" s="87"/>
      <c r="CK113" s="87"/>
      <c r="CL113" s="87"/>
      <c r="CM113" s="87"/>
      <c r="CN113" s="87"/>
      <c r="CO113" s="87"/>
      <c r="FU113" s="573">
        <v>0.18</v>
      </c>
      <c r="FV113" s="2545">
        <v>0.185</v>
      </c>
    </row>
    <row r="114" spans="1:178" hidden="1">
      <c r="A114" s="87" t="s">
        <v>359</v>
      </c>
      <c r="B114" s="87"/>
      <c r="C114" s="87"/>
      <c r="D114" s="87" t="e">
        <v>#REF!</v>
      </c>
      <c r="E114" s="87" t="e">
        <v>#REF!</v>
      </c>
      <c r="F114" s="87" t="e">
        <v>#REF!</v>
      </c>
      <c r="G114" s="87" t="e">
        <v>#REF!</v>
      </c>
      <c r="H114" s="90" t="e">
        <v>#REF!</v>
      </c>
      <c r="I114" s="1099" t="e">
        <v>#REF!</v>
      </c>
      <c r="J114" s="90" t="e">
        <v>#REF!</v>
      </c>
      <c r="K114" s="90" t="e">
        <v>#REF!</v>
      </c>
      <c r="L114" s="90" t="e">
        <v>#REF!</v>
      </c>
      <c r="M114" s="1099"/>
      <c r="N114" s="90"/>
      <c r="O114" s="90"/>
      <c r="P114" s="90"/>
      <c r="Q114" s="90"/>
      <c r="R114" s="90"/>
      <c r="S114" s="90"/>
      <c r="T114" s="90"/>
      <c r="U114" s="90"/>
      <c r="V114" s="90"/>
      <c r="W114" s="90"/>
      <c r="X114" s="90"/>
      <c r="Y114" s="90"/>
      <c r="Z114" s="1041"/>
      <c r="AA114" s="1041"/>
      <c r="AB114" s="1041"/>
      <c r="AC114" s="1041"/>
      <c r="AD114" s="1041"/>
      <c r="AE114" s="1041"/>
      <c r="AF114" s="1041"/>
      <c r="AG114" s="1041"/>
      <c r="AH114" s="1041"/>
      <c r="AI114" s="1041"/>
      <c r="AJ114" s="1041"/>
      <c r="AK114" s="1041"/>
      <c r="AL114" s="1041"/>
      <c r="AM114" s="1041"/>
      <c r="AN114" s="1041"/>
      <c r="AO114" s="1041"/>
      <c r="AP114" s="1041"/>
      <c r="AQ114" s="1041"/>
      <c r="AR114" s="1041"/>
      <c r="AS114" s="1041"/>
      <c r="AT114" s="1041"/>
      <c r="AU114" s="1041"/>
      <c r="AV114" s="1041"/>
      <c r="AW114" s="1041"/>
      <c r="AX114" s="1041"/>
      <c r="AY114" s="1041"/>
      <c r="AZ114" s="1041"/>
      <c r="BA114" s="1041"/>
      <c r="BB114" s="1041"/>
      <c r="BC114" s="1041"/>
      <c r="BD114" s="1041"/>
      <c r="BE114" s="1041"/>
      <c r="BF114" s="1041"/>
      <c r="BG114" s="1041"/>
      <c r="BH114" s="1041"/>
      <c r="BI114" s="1041"/>
      <c r="BJ114" s="1041"/>
      <c r="BK114" s="1041"/>
      <c r="BL114" s="1041"/>
      <c r="BM114" s="1041"/>
      <c r="BN114" s="1041"/>
      <c r="BO114" s="1041"/>
      <c r="BP114" s="1041"/>
      <c r="BQ114" s="1041"/>
      <c r="BR114" s="1041"/>
      <c r="BS114" s="1041"/>
      <c r="BT114" s="1041"/>
      <c r="BU114" s="1041"/>
      <c r="BV114" s="1041"/>
      <c r="BW114" s="1041"/>
      <c r="BX114" s="1041"/>
      <c r="BY114" s="87" t="e">
        <f>E114</f>
        <v>#REF!</v>
      </c>
      <c r="BZ114" s="87" t="e">
        <v>#REF!</v>
      </c>
      <c r="CA114" s="87" t="e">
        <v>#REF!</v>
      </c>
      <c r="CB114" s="87"/>
      <c r="CC114" s="87"/>
      <c r="CD114" s="87"/>
      <c r="CE114" s="87"/>
      <c r="CF114" s="87"/>
      <c r="CG114" s="87"/>
      <c r="CH114" s="87"/>
      <c r="CI114" s="87"/>
      <c r="CJ114" s="87"/>
      <c r="CK114" s="87"/>
      <c r="CL114" s="87"/>
      <c r="CM114" s="87"/>
      <c r="CN114" s="87"/>
      <c r="CO114" s="87"/>
    </row>
    <row r="115" spans="1:178" hidden="1">
      <c r="A115" s="87"/>
      <c r="B115" s="87"/>
      <c r="C115" s="87"/>
      <c r="D115" s="87"/>
      <c r="E115" s="87"/>
      <c r="F115" s="87"/>
      <c r="G115" s="87"/>
      <c r="H115" s="90"/>
      <c r="I115" s="1099"/>
      <c r="J115" s="90"/>
      <c r="K115" s="90"/>
      <c r="L115" s="90"/>
      <c r="M115" s="1099"/>
      <c r="N115" s="90"/>
      <c r="O115" s="90"/>
      <c r="P115" s="90"/>
      <c r="Q115" s="90"/>
      <c r="R115" s="90"/>
      <c r="S115" s="90"/>
      <c r="T115" s="90"/>
      <c r="U115" s="90"/>
      <c r="V115" s="90"/>
      <c r="W115" s="90"/>
      <c r="X115" s="90"/>
      <c r="Y115" s="90"/>
      <c r="Z115" s="1041"/>
      <c r="AA115" s="1041"/>
      <c r="AB115" s="1041"/>
      <c r="AC115" s="1041"/>
      <c r="AD115" s="1041"/>
      <c r="AE115" s="1041"/>
      <c r="AF115" s="1041"/>
      <c r="AG115" s="1041"/>
      <c r="AH115" s="1041"/>
      <c r="AI115" s="1041"/>
      <c r="AJ115" s="1041"/>
      <c r="AK115" s="1041"/>
      <c r="AL115" s="1041"/>
      <c r="AM115" s="1041"/>
      <c r="AN115" s="1041"/>
      <c r="AO115" s="1041"/>
      <c r="AP115" s="1041"/>
      <c r="AQ115" s="1041"/>
      <c r="AR115" s="1041"/>
      <c r="AS115" s="1041"/>
      <c r="AT115" s="1041"/>
      <c r="AU115" s="1041"/>
      <c r="AV115" s="1041"/>
      <c r="AW115" s="1041"/>
      <c r="AX115" s="1041"/>
      <c r="AY115" s="1041"/>
      <c r="AZ115" s="1041"/>
      <c r="BA115" s="1041"/>
      <c r="BB115" s="1041"/>
      <c r="BC115" s="1041"/>
      <c r="BD115" s="1041"/>
      <c r="BE115" s="1041"/>
      <c r="BF115" s="1041"/>
      <c r="BG115" s="1041"/>
      <c r="BH115" s="1041"/>
      <c r="BI115" s="1041"/>
      <c r="BJ115" s="1041"/>
      <c r="BK115" s="1041"/>
      <c r="BL115" s="1041"/>
      <c r="BM115" s="1041"/>
      <c r="BN115" s="1041"/>
      <c r="BO115" s="1041"/>
      <c r="BP115" s="1041"/>
      <c r="BQ115" s="1041"/>
      <c r="BR115" s="1041"/>
      <c r="BS115" s="1041"/>
      <c r="BT115" s="1041"/>
      <c r="BU115" s="1041"/>
      <c r="BV115" s="1041"/>
      <c r="BW115" s="1041"/>
      <c r="BX115" s="1041"/>
      <c r="BY115" s="87"/>
      <c r="BZ115" s="87"/>
      <c r="CA115" s="87"/>
      <c r="CB115" s="87"/>
      <c r="CC115" s="87"/>
      <c r="CD115" s="87"/>
      <c r="CE115" s="87"/>
      <c r="CF115" s="87"/>
      <c r="CG115" s="87"/>
      <c r="CH115" s="87"/>
      <c r="CI115" s="87"/>
      <c r="CJ115" s="87"/>
      <c r="CK115" s="87"/>
      <c r="CL115" s="87"/>
      <c r="CM115" s="87"/>
      <c r="CN115" s="87"/>
      <c r="CO115" s="87"/>
    </row>
    <row r="116" spans="1:178" hidden="1">
      <c r="A116" s="87" t="s">
        <v>361</v>
      </c>
      <c r="B116" s="87"/>
      <c r="C116" s="87"/>
      <c r="D116" s="87"/>
      <c r="E116" s="87"/>
      <c r="F116" s="87" t="e">
        <f t="shared" ref="F116:L116" si="657">F100+F106+F113</f>
        <v>#REF!</v>
      </c>
      <c r="G116" s="87" t="e">
        <f t="shared" si="657"/>
        <v>#REF!</v>
      </c>
      <c r="H116" s="90" t="e">
        <f t="shared" si="657"/>
        <v>#REF!</v>
      </c>
      <c r="I116" s="1099" t="e">
        <f t="shared" si="657"/>
        <v>#REF!</v>
      </c>
      <c r="J116" s="90" t="e">
        <f t="shared" si="657"/>
        <v>#REF!</v>
      </c>
      <c r="K116" s="90" t="e">
        <f t="shared" si="657"/>
        <v>#REF!</v>
      </c>
      <c r="L116" s="90" t="e">
        <f t="shared" si="657"/>
        <v>#REF!</v>
      </c>
      <c r="M116" s="1099"/>
      <c r="N116" s="90"/>
      <c r="O116" s="90"/>
      <c r="P116" s="90"/>
      <c r="Q116" s="90"/>
      <c r="R116" s="90"/>
      <c r="S116" s="90"/>
      <c r="T116" s="90"/>
      <c r="U116" s="90"/>
      <c r="V116" s="90"/>
      <c r="W116" s="90"/>
      <c r="X116" s="90"/>
      <c r="Y116" s="90"/>
      <c r="Z116" s="1041"/>
      <c r="AA116" s="1041"/>
      <c r="AB116" s="1041"/>
      <c r="AC116" s="1041"/>
      <c r="AD116" s="1041"/>
      <c r="AE116" s="1041"/>
      <c r="AF116" s="1041"/>
      <c r="AG116" s="1041"/>
      <c r="AH116" s="1041"/>
      <c r="AI116" s="1041"/>
      <c r="AJ116" s="1041"/>
      <c r="AK116" s="1041"/>
      <c r="AL116" s="1041"/>
      <c r="AM116" s="1041"/>
      <c r="AN116" s="1041"/>
      <c r="AO116" s="1041"/>
      <c r="AP116" s="1041"/>
      <c r="AQ116" s="1041"/>
      <c r="AR116" s="1041"/>
      <c r="AS116" s="1041"/>
      <c r="AT116" s="1041"/>
      <c r="AU116" s="1041"/>
      <c r="AV116" s="1041"/>
      <c r="AW116" s="1041"/>
      <c r="AX116" s="1041"/>
      <c r="AY116" s="1041"/>
      <c r="AZ116" s="1041"/>
      <c r="BA116" s="1041"/>
      <c r="BB116" s="1041"/>
      <c r="BC116" s="1041"/>
      <c r="BD116" s="1041"/>
      <c r="BE116" s="1041"/>
      <c r="BF116" s="1041"/>
      <c r="BG116" s="1041"/>
      <c r="BH116" s="1041"/>
      <c r="BI116" s="1041"/>
      <c r="BJ116" s="1041"/>
      <c r="BK116" s="1041"/>
      <c r="BL116" s="1041"/>
      <c r="BM116" s="1041"/>
      <c r="BN116" s="1041"/>
      <c r="BO116" s="1041"/>
      <c r="BP116" s="1041"/>
      <c r="BQ116" s="1041"/>
      <c r="BR116" s="1041"/>
      <c r="BS116" s="1041"/>
      <c r="BT116" s="1041"/>
      <c r="BU116" s="1041"/>
      <c r="BV116" s="1041"/>
      <c r="BW116" s="1041"/>
      <c r="BX116" s="1041"/>
      <c r="BY116" s="87"/>
      <c r="BZ116" s="87"/>
      <c r="CA116" s="87"/>
      <c r="CB116" s="87"/>
      <c r="CC116" s="87"/>
      <c r="CD116" s="87"/>
      <c r="CE116" s="87"/>
      <c r="CF116" s="87"/>
      <c r="CG116" s="87"/>
      <c r="CH116" s="87"/>
      <c r="CI116" s="87"/>
      <c r="CJ116" s="87"/>
      <c r="CK116" s="87"/>
      <c r="CL116" s="87"/>
      <c r="CM116" s="87"/>
      <c r="CN116" s="87"/>
      <c r="CO116" s="87"/>
    </row>
    <row r="117" spans="1:178" hidden="1">
      <c r="A117" s="87" t="s">
        <v>362</v>
      </c>
      <c r="B117" s="87"/>
      <c r="C117" s="87"/>
      <c r="D117" s="87"/>
      <c r="E117" s="87"/>
      <c r="F117" s="105" t="e">
        <f t="shared" ref="F117:L117" si="658">(F66/1000000/F116)/F118</f>
        <v>#REF!</v>
      </c>
      <c r="G117" s="105" t="e">
        <f t="shared" si="658"/>
        <v>#REF!</v>
      </c>
      <c r="H117" s="691" t="e">
        <f t="shared" si="658"/>
        <v>#REF!</v>
      </c>
      <c r="I117" s="1104" t="e">
        <f t="shared" si="658"/>
        <v>#REF!</v>
      </c>
      <c r="J117" s="691" t="e">
        <f t="shared" si="658"/>
        <v>#REF!</v>
      </c>
      <c r="K117" s="691" t="e">
        <f t="shared" si="658"/>
        <v>#REF!</v>
      </c>
      <c r="L117" s="691" t="e">
        <f t="shared" si="658"/>
        <v>#REF!</v>
      </c>
      <c r="M117" s="1104"/>
      <c r="N117" s="691"/>
      <c r="O117" s="691"/>
      <c r="P117" s="691"/>
      <c r="Q117" s="691"/>
      <c r="R117" s="691"/>
      <c r="S117" s="691"/>
      <c r="T117" s="691"/>
      <c r="U117" s="691"/>
      <c r="V117" s="691"/>
      <c r="W117" s="691"/>
      <c r="X117" s="691"/>
      <c r="Y117" s="691"/>
      <c r="Z117" s="1041"/>
      <c r="AA117" s="1041"/>
      <c r="AB117" s="1041"/>
      <c r="AC117" s="1041"/>
      <c r="AD117" s="1041"/>
      <c r="AE117" s="1041"/>
      <c r="AF117" s="1041"/>
      <c r="AG117" s="1041"/>
      <c r="AH117" s="1041"/>
      <c r="AI117" s="1041"/>
      <c r="AJ117" s="1041"/>
      <c r="AK117" s="1041"/>
      <c r="AL117" s="1041"/>
      <c r="AM117" s="1041"/>
      <c r="AN117" s="1041"/>
      <c r="AO117" s="1041"/>
      <c r="AP117" s="1041"/>
      <c r="AQ117" s="1041"/>
      <c r="AR117" s="1041"/>
      <c r="AS117" s="1041"/>
      <c r="AT117" s="1041"/>
      <c r="AU117" s="1041"/>
      <c r="AV117" s="1041"/>
      <c r="AW117" s="1041"/>
      <c r="AX117" s="1041"/>
      <c r="AY117" s="1041"/>
      <c r="AZ117" s="1041"/>
      <c r="BA117" s="1041"/>
      <c r="BB117" s="1041"/>
      <c r="BC117" s="1041"/>
      <c r="BD117" s="1041"/>
      <c r="BE117" s="1041"/>
      <c r="BF117" s="1041"/>
      <c r="BG117" s="1041"/>
      <c r="BH117" s="1041"/>
      <c r="BI117" s="1041"/>
      <c r="BJ117" s="1041"/>
      <c r="BK117" s="1041"/>
      <c r="BL117" s="1041"/>
      <c r="BM117" s="1041"/>
      <c r="BN117" s="1041"/>
      <c r="BO117" s="1041"/>
      <c r="BP117" s="1041"/>
      <c r="BQ117" s="1041"/>
      <c r="BR117" s="1041"/>
      <c r="BS117" s="1041"/>
      <c r="BT117" s="1041"/>
      <c r="BU117" s="1041"/>
      <c r="BV117" s="1041"/>
      <c r="BW117" s="1041"/>
      <c r="BX117" s="1041"/>
      <c r="BY117" s="87"/>
      <c r="BZ117" s="87"/>
      <c r="CA117" s="87"/>
      <c r="CB117" s="87"/>
      <c r="CC117" s="87"/>
      <c r="CD117" s="87"/>
      <c r="CE117" s="87"/>
      <c r="CF117" s="87"/>
      <c r="CG117" s="87"/>
      <c r="CH117" s="87"/>
      <c r="CI117" s="87"/>
      <c r="CJ117" s="87"/>
      <c r="CK117" s="87"/>
      <c r="CL117" s="87"/>
      <c r="CM117" s="87"/>
      <c r="CN117" s="87"/>
      <c r="CO117" s="87"/>
    </row>
    <row r="118" spans="1:178" hidden="1">
      <c r="A118" s="87" t="s">
        <v>363</v>
      </c>
      <c r="B118" s="87"/>
      <c r="C118" s="87"/>
      <c r="D118" s="87"/>
      <c r="E118" s="87"/>
      <c r="F118" s="105">
        <f t="shared" ref="F118:L118" si="659">F69/1000000/300</f>
        <v>8.0000000000000002E-3</v>
      </c>
      <c r="G118" s="105">
        <f t="shared" si="659"/>
        <v>1.8000000000000002E-2</v>
      </c>
      <c r="H118" s="691">
        <f t="shared" si="659"/>
        <v>2.8999999999999998E-2</v>
      </c>
      <c r="I118" s="1104">
        <f t="shared" si="659"/>
        <v>3.7109999999999997E-2</v>
      </c>
      <c r="J118" s="691">
        <f t="shared" si="659"/>
        <v>4.1293333333333335E-2</v>
      </c>
      <c r="K118" s="691">
        <f t="shared" si="659"/>
        <v>4.4166666666666667E-2</v>
      </c>
      <c r="L118" s="691">
        <f t="shared" si="659"/>
        <v>4.7333333333333331E-2</v>
      </c>
      <c r="M118" s="1104"/>
      <c r="N118" s="691"/>
      <c r="O118" s="691"/>
      <c r="P118" s="691"/>
      <c r="Q118" s="691"/>
      <c r="R118" s="691"/>
      <c r="S118" s="691"/>
      <c r="T118" s="691"/>
      <c r="U118" s="691"/>
      <c r="V118" s="691"/>
      <c r="W118" s="691"/>
      <c r="X118" s="691"/>
      <c r="Y118" s="691"/>
      <c r="Z118" s="1041"/>
      <c r="AA118" s="1041"/>
      <c r="AB118" s="1041"/>
      <c r="AC118" s="1041"/>
      <c r="AD118" s="1041"/>
      <c r="AE118" s="1041"/>
      <c r="AF118" s="1041"/>
      <c r="AG118" s="1041"/>
      <c r="AH118" s="1041"/>
      <c r="AI118" s="1041"/>
      <c r="AJ118" s="1041"/>
      <c r="AK118" s="1041"/>
      <c r="AL118" s="1041"/>
      <c r="AM118" s="1041"/>
      <c r="AN118" s="1041"/>
      <c r="AO118" s="1041"/>
      <c r="AP118" s="1041"/>
      <c r="AQ118" s="1041"/>
      <c r="AR118" s="1041"/>
      <c r="AS118" s="1041"/>
      <c r="AT118" s="1041"/>
      <c r="AU118" s="1041"/>
      <c r="AV118" s="1041"/>
      <c r="AW118" s="1041"/>
      <c r="AX118" s="1041"/>
      <c r="AY118" s="1041"/>
      <c r="AZ118" s="1041"/>
      <c r="BA118" s="1041"/>
      <c r="BB118" s="1041"/>
      <c r="BC118" s="1041"/>
      <c r="BD118" s="1041"/>
      <c r="BE118" s="1041"/>
      <c r="BF118" s="1041"/>
      <c r="BG118" s="1041"/>
      <c r="BH118" s="1041"/>
      <c r="BI118" s="1041"/>
      <c r="BJ118" s="1041"/>
      <c r="BK118" s="1041"/>
      <c r="BL118" s="1041"/>
      <c r="BM118" s="1041"/>
      <c r="BN118" s="1041"/>
      <c r="BO118" s="1041"/>
      <c r="BP118" s="1041"/>
      <c r="BQ118" s="1041"/>
      <c r="BR118" s="1041"/>
      <c r="BS118" s="1041"/>
      <c r="BT118" s="1041"/>
      <c r="BU118" s="1041"/>
      <c r="BV118" s="1041"/>
      <c r="BW118" s="1041"/>
      <c r="BX118" s="1041"/>
      <c r="BY118" s="87"/>
      <c r="BZ118" s="87"/>
      <c r="CA118" s="87"/>
      <c r="CB118" s="87"/>
      <c r="CC118" s="87"/>
      <c r="CD118" s="87"/>
      <c r="CE118" s="87"/>
      <c r="CF118" s="87"/>
      <c r="CG118" s="87"/>
      <c r="CH118" s="87"/>
      <c r="CI118" s="87"/>
      <c r="CJ118" s="87"/>
      <c r="CK118" s="87"/>
      <c r="CL118" s="87"/>
      <c r="CM118" s="87"/>
      <c r="CN118" s="87"/>
      <c r="CO118" s="87"/>
    </row>
    <row r="119" spans="1:178" hidden="1">
      <c r="A119" s="87" t="s">
        <v>364</v>
      </c>
      <c r="B119" s="87"/>
      <c r="C119" s="87"/>
      <c r="D119" s="87"/>
      <c r="E119" s="87"/>
      <c r="F119" s="105" t="e">
        <f t="shared" ref="F119:L119" si="660">(F63/1000000)/((F63/1000000)+F107+F114)</f>
        <v>#REF!</v>
      </c>
      <c r="G119" s="105" t="e">
        <f t="shared" si="660"/>
        <v>#REF!</v>
      </c>
      <c r="H119" s="691" t="e">
        <f t="shared" si="660"/>
        <v>#REF!</v>
      </c>
      <c r="I119" s="1104" t="e">
        <f t="shared" si="660"/>
        <v>#REF!</v>
      </c>
      <c r="J119" s="691" t="e">
        <f t="shared" si="660"/>
        <v>#REF!</v>
      </c>
      <c r="K119" s="691" t="e">
        <f t="shared" si="660"/>
        <v>#REF!</v>
      </c>
      <c r="L119" s="691" t="e">
        <f t="shared" si="660"/>
        <v>#REF!</v>
      </c>
      <c r="M119" s="1104"/>
      <c r="N119" s="691"/>
      <c r="O119" s="691"/>
      <c r="P119" s="691"/>
      <c r="Q119" s="691"/>
      <c r="R119" s="691"/>
      <c r="S119" s="691"/>
      <c r="T119" s="691"/>
      <c r="U119" s="691"/>
      <c r="V119" s="691"/>
      <c r="W119" s="691"/>
      <c r="X119" s="691"/>
      <c r="Y119" s="691"/>
      <c r="Z119" s="1041"/>
      <c r="AA119" s="1041"/>
      <c r="AB119" s="1041"/>
      <c r="AC119" s="1041"/>
      <c r="AD119" s="1041"/>
      <c r="AE119" s="1041"/>
      <c r="AF119" s="1041"/>
      <c r="AG119" s="1041"/>
      <c r="AH119" s="1041"/>
      <c r="AI119" s="1041"/>
      <c r="AJ119" s="1041"/>
      <c r="AK119" s="1041"/>
      <c r="AL119" s="1041"/>
      <c r="AM119" s="1041"/>
      <c r="AN119" s="1041"/>
      <c r="AO119" s="1041"/>
      <c r="AP119" s="1041"/>
      <c r="AQ119" s="1041"/>
      <c r="AR119" s="1041"/>
      <c r="AS119" s="1041"/>
      <c r="AT119" s="1041"/>
      <c r="AU119" s="1041"/>
      <c r="AV119" s="1041"/>
      <c r="AW119" s="1041"/>
      <c r="AX119" s="1041"/>
      <c r="AY119" s="1041"/>
      <c r="AZ119" s="1041"/>
      <c r="BA119" s="1041"/>
      <c r="BB119" s="1041"/>
      <c r="BC119" s="1041"/>
      <c r="BD119" s="1041"/>
      <c r="BE119" s="1041"/>
      <c r="BF119" s="1041"/>
      <c r="BG119" s="1041"/>
      <c r="BH119" s="1041"/>
      <c r="BI119" s="1041"/>
      <c r="BJ119" s="1041"/>
      <c r="BK119" s="1041"/>
      <c r="BL119" s="1041"/>
      <c r="BM119" s="1041"/>
      <c r="BN119" s="1041"/>
      <c r="BO119" s="1041"/>
      <c r="BP119" s="1041"/>
      <c r="BQ119" s="1041"/>
      <c r="BR119" s="1041"/>
      <c r="BS119" s="1041"/>
      <c r="BT119" s="1041"/>
      <c r="BU119" s="1041"/>
      <c r="BV119" s="1041"/>
      <c r="BW119" s="1041"/>
      <c r="BX119" s="1041"/>
      <c r="BY119" s="87"/>
      <c r="BZ119" s="87"/>
      <c r="CA119" s="87"/>
      <c r="CB119" s="87"/>
      <c r="CC119" s="87"/>
      <c r="CD119" s="87"/>
      <c r="CE119" s="87"/>
      <c r="CF119" s="87"/>
      <c r="CG119" s="87"/>
      <c r="CH119" s="87"/>
      <c r="CI119" s="87"/>
      <c r="CJ119" s="87"/>
      <c r="CK119" s="87"/>
      <c r="CL119" s="87"/>
      <c r="CM119" s="87"/>
      <c r="CN119" s="87"/>
      <c r="CO119" s="87"/>
    </row>
    <row r="120" spans="1:178" hidden="1">
      <c r="A120" s="87" t="s">
        <v>365</v>
      </c>
      <c r="B120" s="87"/>
      <c r="C120" s="87"/>
      <c r="D120" s="87"/>
      <c r="E120" s="87"/>
      <c r="F120" s="105" t="e">
        <f t="shared" ref="F120:L120" si="661">(F63/1000000/F118)/((F63/1000000)+F107+F114)</f>
        <v>#REF!</v>
      </c>
      <c r="G120" s="105" t="e">
        <f t="shared" si="661"/>
        <v>#REF!</v>
      </c>
      <c r="H120" s="691" t="e">
        <f t="shared" si="661"/>
        <v>#REF!</v>
      </c>
      <c r="I120" s="1104" t="e">
        <f t="shared" si="661"/>
        <v>#REF!</v>
      </c>
      <c r="J120" s="691" t="e">
        <f t="shared" si="661"/>
        <v>#REF!</v>
      </c>
      <c r="K120" s="691" t="e">
        <f t="shared" si="661"/>
        <v>#REF!</v>
      </c>
      <c r="L120" s="691" t="e">
        <f t="shared" si="661"/>
        <v>#REF!</v>
      </c>
      <c r="M120" s="1104"/>
      <c r="N120" s="691"/>
      <c r="O120" s="691"/>
      <c r="P120" s="691"/>
      <c r="Q120" s="691"/>
      <c r="R120" s="691"/>
      <c r="S120" s="691"/>
      <c r="T120" s="691"/>
      <c r="U120" s="691"/>
      <c r="V120" s="691"/>
      <c r="W120" s="691"/>
      <c r="X120" s="691"/>
      <c r="Y120" s="691"/>
      <c r="Z120" s="1041"/>
      <c r="AA120" s="1041"/>
      <c r="AB120" s="1041"/>
      <c r="AC120" s="1041"/>
      <c r="AD120" s="1041"/>
      <c r="AE120" s="1041"/>
      <c r="AF120" s="1041"/>
      <c r="AG120" s="1041"/>
      <c r="AH120" s="1041"/>
      <c r="AI120" s="1041"/>
      <c r="AJ120" s="1041"/>
      <c r="AK120" s="1041"/>
      <c r="AL120" s="1041"/>
      <c r="AM120" s="1041"/>
      <c r="AN120" s="1041"/>
      <c r="AO120" s="1041"/>
      <c r="AP120" s="1041"/>
      <c r="AQ120" s="1041"/>
      <c r="AR120" s="1041"/>
      <c r="AS120" s="1041"/>
      <c r="AT120" s="1041"/>
      <c r="AU120" s="1041"/>
      <c r="AV120" s="1041"/>
      <c r="AW120" s="1041"/>
      <c r="AX120" s="1041"/>
      <c r="AY120" s="1041"/>
      <c r="AZ120" s="1041"/>
      <c r="BA120" s="1041"/>
      <c r="BB120" s="1041"/>
      <c r="BC120" s="1041"/>
      <c r="BD120" s="1041"/>
      <c r="BE120" s="1041"/>
      <c r="BF120" s="1041"/>
      <c r="BG120" s="1041"/>
      <c r="BH120" s="1041"/>
      <c r="BI120" s="1041"/>
      <c r="BJ120" s="1041"/>
      <c r="BK120" s="1041"/>
      <c r="BL120" s="1041"/>
      <c r="BM120" s="1041"/>
      <c r="BN120" s="1041"/>
      <c r="BO120" s="1041"/>
      <c r="BP120" s="1041"/>
      <c r="BQ120" s="1041"/>
      <c r="BR120" s="1041"/>
      <c r="BS120" s="1041"/>
      <c r="BT120" s="1041"/>
      <c r="BU120" s="1041"/>
      <c r="BV120" s="1041"/>
      <c r="BW120" s="1041"/>
      <c r="BX120" s="1041"/>
      <c r="BY120" s="87"/>
      <c r="BZ120" s="87"/>
      <c r="CA120" s="87"/>
      <c r="CB120" s="87"/>
      <c r="CC120" s="87"/>
      <c r="CD120" s="87"/>
      <c r="CE120" s="87"/>
      <c r="CF120" s="87"/>
      <c r="CG120" s="87"/>
      <c r="CH120" s="87"/>
      <c r="CI120" s="87"/>
      <c r="CJ120" s="87"/>
      <c r="CK120" s="87"/>
      <c r="CL120" s="87"/>
      <c r="CM120" s="87"/>
      <c r="CN120" s="87"/>
      <c r="CO120" s="87"/>
    </row>
    <row r="121" spans="1:178" hidden="1">
      <c r="A121" s="87"/>
      <c r="B121" s="87"/>
      <c r="C121" s="87"/>
      <c r="D121" s="87"/>
      <c r="E121" s="87"/>
      <c r="F121" s="87"/>
      <c r="G121" s="87"/>
      <c r="H121" s="90"/>
      <c r="I121" s="1099"/>
      <c r="J121" s="90"/>
      <c r="K121" s="90"/>
      <c r="L121" s="90"/>
      <c r="M121" s="1099"/>
      <c r="N121" s="90"/>
      <c r="O121" s="90"/>
      <c r="P121" s="90"/>
      <c r="Q121" s="90"/>
      <c r="R121" s="90"/>
      <c r="S121" s="90"/>
      <c r="T121" s="90"/>
      <c r="U121" s="90"/>
      <c r="V121" s="90"/>
      <c r="W121" s="90"/>
      <c r="X121" s="90"/>
      <c r="Y121" s="90"/>
      <c r="Z121" s="1041"/>
      <c r="AA121" s="1041"/>
      <c r="AB121" s="1041"/>
      <c r="AC121" s="1041"/>
      <c r="AD121" s="1041"/>
      <c r="AE121" s="1041"/>
      <c r="AF121" s="1041"/>
      <c r="AG121" s="1041"/>
      <c r="AH121" s="1041"/>
      <c r="AI121" s="1041"/>
      <c r="AJ121" s="1041"/>
      <c r="AK121" s="1041"/>
      <c r="AL121" s="1041"/>
      <c r="AM121" s="1041"/>
      <c r="AN121" s="1041"/>
      <c r="AO121" s="1041"/>
      <c r="AP121" s="1041"/>
      <c r="AQ121" s="1041"/>
      <c r="AR121" s="1041"/>
      <c r="AS121" s="1041"/>
      <c r="AT121" s="1041"/>
      <c r="AU121" s="1041"/>
      <c r="AV121" s="1041"/>
      <c r="AW121" s="1041"/>
      <c r="AX121" s="1041"/>
      <c r="AY121" s="1041"/>
      <c r="AZ121" s="1041"/>
      <c r="BA121" s="1041"/>
      <c r="BB121" s="1041"/>
      <c r="BC121" s="1041"/>
      <c r="BD121" s="1041"/>
      <c r="BE121" s="1041"/>
      <c r="BF121" s="1041"/>
      <c r="BG121" s="1041"/>
      <c r="BH121" s="1041"/>
      <c r="BI121" s="1041"/>
      <c r="BJ121" s="1041"/>
      <c r="BK121" s="1041"/>
      <c r="BL121" s="1041"/>
      <c r="BM121" s="1041"/>
      <c r="BN121" s="1041"/>
      <c r="BO121" s="1041"/>
      <c r="BP121" s="1041"/>
      <c r="BQ121" s="1041"/>
      <c r="BR121" s="1041"/>
      <c r="BS121" s="1041"/>
      <c r="BT121" s="1041"/>
      <c r="BU121" s="1041"/>
      <c r="BV121" s="1041"/>
      <c r="BW121" s="1041"/>
      <c r="BX121" s="1041"/>
      <c r="BY121" s="87"/>
      <c r="BZ121" s="87"/>
      <c r="CA121" s="87"/>
      <c r="CB121" s="87"/>
      <c r="CC121" s="87"/>
      <c r="CD121" s="87"/>
      <c r="CE121" s="87"/>
      <c r="CF121" s="87"/>
      <c r="CG121" s="87"/>
      <c r="CH121" s="87"/>
      <c r="CI121" s="87"/>
      <c r="CJ121" s="87"/>
      <c r="CK121" s="87"/>
      <c r="CL121" s="87"/>
      <c r="CM121" s="87"/>
      <c r="CN121" s="87"/>
      <c r="CO121" s="87"/>
    </row>
    <row r="122" spans="1:178" hidden="1">
      <c r="A122" s="87" t="s">
        <v>366</v>
      </c>
      <c r="B122" s="87"/>
      <c r="C122" s="87"/>
      <c r="D122" s="87"/>
      <c r="E122" s="87" t="e">
        <v>#REF!</v>
      </c>
      <c r="F122" s="87" t="e">
        <v>#REF!</v>
      </c>
      <c r="G122" s="87" t="e">
        <v>#REF!</v>
      </c>
      <c r="H122" s="90" t="e">
        <v>#REF!</v>
      </c>
      <c r="I122" s="1099" t="e">
        <v>#REF!</v>
      </c>
      <c r="J122" s="90" t="e">
        <v>#REF!</v>
      </c>
      <c r="K122" s="90" t="e">
        <v>#REF!</v>
      </c>
      <c r="L122" s="90" t="e">
        <v>#REF!</v>
      </c>
      <c r="M122" s="1099"/>
      <c r="N122" s="90"/>
      <c r="O122" s="90"/>
      <c r="P122" s="90"/>
      <c r="Q122" s="90"/>
      <c r="R122" s="90"/>
      <c r="S122" s="90"/>
      <c r="T122" s="90"/>
      <c r="U122" s="90"/>
      <c r="V122" s="90"/>
      <c r="W122" s="90"/>
      <c r="X122" s="90"/>
      <c r="Y122" s="90"/>
      <c r="Z122" s="1041"/>
      <c r="AA122" s="1041"/>
      <c r="AB122" s="1041"/>
      <c r="AC122" s="1041"/>
      <c r="AD122" s="1041"/>
      <c r="AE122" s="1041"/>
      <c r="AF122" s="1041"/>
      <c r="AG122" s="1041"/>
      <c r="AH122" s="1041"/>
      <c r="AI122" s="1041"/>
      <c r="AJ122" s="1041"/>
      <c r="AK122" s="1041"/>
      <c r="AL122" s="1041"/>
      <c r="AM122" s="1041"/>
      <c r="AN122" s="1041"/>
      <c r="AO122" s="1041"/>
      <c r="AP122" s="1041"/>
      <c r="AQ122" s="1041"/>
      <c r="AR122" s="1041"/>
      <c r="AS122" s="1041"/>
      <c r="AT122" s="1041"/>
      <c r="AU122" s="1041"/>
      <c r="AV122" s="1041"/>
      <c r="AW122" s="1041"/>
      <c r="AX122" s="1041"/>
      <c r="AY122" s="1041"/>
      <c r="AZ122" s="1041"/>
      <c r="BA122" s="1041"/>
      <c r="BB122" s="1041"/>
      <c r="BC122" s="1041"/>
      <c r="BD122" s="1041"/>
      <c r="BE122" s="1041"/>
      <c r="BF122" s="1041"/>
      <c r="BG122" s="1041"/>
      <c r="BH122" s="1041"/>
      <c r="BI122" s="1041"/>
      <c r="BJ122" s="1041"/>
      <c r="BK122" s="1041"/>
      <c r="BL122" s="1041"/>
      <c r="BM122" s="1041"/>
      <c r="BN122" s="1041"/>
      <c r="BO122" s="1041"/>
      <c r="BP122" s="1041"/>
      <c r="BQ122" s="1041"/>
      <c r="BR122" s="1041"/>
      <c r="BS122" s="1041"/>
      <c r="BT122" s="1041"/>
      <c r="BU122" s="1041"/>
      <c r="BV122" s="1041"/>
      <c r="BW122" s="1041"/>
      <c r="BX122" s="1041"/>
      <c r="BY122" s="87"/>
      <c r="BZ122" s="87"/>
      <c r="CA122" s="87"/>
      <c r="CB122" s="87"/>
      <c r="CC122" s="87"/>
      <c r="CD122" s="87"/>
      <c r="CE122" s="87"/>
      <c r="CF122" s="87"/>
      <c r="CG122" s="87"/>
      <c r="CH122" s="87"/>
      <c r="CI122" s="87"/>
      <c r="CJ122" s="87"/>
      <c r="CK122" s="87"/>
      <c r="CL122" s="87"/>
      <c r="CM122" s="87"/>
      <c r="CN122" s="87"/>
      <c r="CO122" s="87"/>
    </row>
    <row r="123" spans="1:178" hidden="1">
      <c r="A123" s="87" t="s">
        <v>367</v>
      </c>
      <c r="B123" s="87"/>
      <c r="C123" s="87"/>
      <c r="D123" s="87"/>
      <c r="E123" s="87" t="e">
        <v>#REF!</v>
      </c>
      <c r="F123" s="87" t="e">
        <v>#REF!</v>
      </c>
      <c r="G123" s="87" t="e">
        <v>#REF!</v>
      </c>
      <c r="H123" s="90" t="e">
        <v>#REF!</v>
      </c>
      <c r="I123" s="1099" t="e">
        <v>#REF!</v>
      </c>
      <c r="J123" s="90" t="e">
        <v>#REF!</v>
      </c>
      <c r="K123" s="90" t="e">
        <v>#REF!</v>
      </c>
      <c r="L123" s="90" t="e">
        <v>#REF!</v>
      </c>
      <c r="M123" s="1099"/>
      <c r="N123" s="90"/>
      <c r="O123" s="90"/>
      <c r="P123" s="90"/>
      <c r="Q123" s="90"/>
      <c r="R123" s="90"/>
      <c r="S123" s="90"/>
      <c r="T123" s="90"/>
      <c r="U123" s="90"/>
      <c r="V123" s="90"/>
      <c r="W123" s="90"/>
      <c r="X123" s="90"/>
      <c r="Y123" s="90"/>
      <c r="Z123" s="1041"/>
      <c r="AA123" s="1041"/>
      <c r="AB123" s="1041"/>
      <c r="AC123" s="1041"/>
      <c r="AD123" s="1041"/>
      <c r="AE123" s="1041"/>
      <c r="AF123" s="1041"/>
      <c r="AG123" s="1041"/>
      <c r="AH123" s="1041"/>
      <c r="AI123" s="1041"/>
      <c r="AJ123" s="1041"/>
      <c r="AK123" s="1041"/>
      <c r="AL123" s="1041"/>
      <c r="AM123" s="1041"/>
      <c r="AN123" s="1041"/>
      <c r="AO123" s="1041"/>
      <c r="AP123" s="1041"/>
      <c r="AQ123" s="1041"/>
      <c r="AR123" s="1041"/>
      <c r="AS123" s="1041"/>
      <c r="AT123" s="1041"/>
      <c r="AU123" s="1041"/>
      <c r="AV123" s="1041"/>
      <c r="AW123" s="1041"/>
      <c r="AX123" s="1041"/>
      <c r="AY123" s="1041"/>
      <c r="AZ123" s="1041"/>
      <c r="BA123" s="1041"/>
      <c r="BB123" s="1041"/>
      <c r="BC123" s="1041"/>
      <c r="BD123" s="1041"/>
      <c r="BE123" s="1041"/>
      <c r="BF123" s="1041"/>
      <c r="BG123" s="1041"/>
      <c r="BH123" s="1041"/>
      <c r="BI123" s="1041"/>
      <c r="BJ123" s="1041"/>
      <c r="BK123" s="1041"/>
      <c r="BL123" s="1041"/>
      <c r="BM123" s="1041"/>
      <c r="BN123" s="1041"/>
      <c r="BO123" s="1041"/>
      <c r="BP123" s="1041"/>
      <c r="BQ123" s="1041"/>
      <c r="BR123" s="1041"/>
      <c r="BS123" s="1041"/>
      <c r="BT123" s="1041"/>
      <c r="BU123" s="1041"/>
      <c r="BV123" s="1041"/>
      <c r="BW123" s="1041"/>
      <c r="BX123" s="1041"/>
      <c r="BY123" s="87"/>
      <c r="BZ123" s="87"/>
      <c r="CA123" s="87"/>
      <c r="CB123" s="87"/>
      <c r="CC123" s="87"/>
      <c r="CD123" s="87"/>
      <c r="CE123" s="87"/>
      <c r="CF123" s="87"/>
      <c r="CG123" s="87"/>
      <c r="CH123" s="87"/>
      <c r="CI123" s="87"/>
      <c r="CJ123" s="87"/>
      <c r="CK123" s="87"/>
      <c r="CL123" s="87"/>
      <c r="CM123" s="87"/>
      <c r="CN123" s="87"/>
      <c r="CO123" s="87"/>
    </row>
    <row r="124" spans="1:178" hidden="1">
      <c r="A124" s="87" t="s">
        <v>368</v>
      </c>
      <c r="B124" s="87"/>
      <c r="C124" s="87"/>
      <c r="D124" s="87"/>
      <c r="E124" s="87"/>
      <c r="F124" s="105" t="e">
        <f>F69/1000000/F123</f>
        <v>#REF!</v>
      </c>
      <c r="G124" s="105"/>
      <c r="H124" s="691"/>
      <c r="I124" s="1104"/>
      <c r="J124" s="691"/>
      <c r="K124" s="691"/>
      <c r="L124" s="691"/>
      <c r="M124" s="1104"/>
      <c r="N124" s="691"/>
      <c r="O124" s="691"/>
      <c r="P124" s="691"/>
      <c r="Q124" s="691"/>
      <c r="R124" s="691"/>
      <c r="S124" s="691"/>
      <c r="T124" s="691"/>
      <c r="U124" s="691"/>
      <c r="V124" s="691"/>
      <c r="W124" s="691"/>
      <c r="X124" s="691"/>
      <c r="Y124" s="691"/>
      <c r="Z124" s="1041"/>
      <c r="AA124" s="1041"/>
      <c r="AB124" s="1041"/>
      <c r="AC124" s="1041"/>
      <c r="AD124" s="1041"/>
      <c r="AE124" s="1041"/>
      <c r="AF124" s="1041"/>
      <c r="AG124" s="1041"/>
      <c r="AH124" s="1041"/>
      <c r="AI124" s="1041"/>
      <c r="AJ124" s="1041"/>
      <c r="AK124" s="1041"/>
      <c r="AL124" s="1041"/>
      <c r="AM124" s="1041"/>
      <c r="AN124" s="1041"/>
      <c r="AO124" s="1041"/>
      <c r="AP124" s="1041"/>
      <c r="AQ124" s="1041"/>
      <c r="AR124" s="1041"/>
      <c r="AS124" s="1041"/>
      <c r="AT124" s="1041"/>
      <c r="AU124" s="1041"/>
      <c r="AV124" s="1041"/>
      <c r="AW124" s="1041"/>
      <c r="AX124" s="1041"/>
      <c r="AY124" s="1041"/>
      <c r="AZ124" s="1041"/>
      <c r="BA124" s="1041"/>
      <c r="BB124" s="1041"/>
      <c r="BC124" s="1041"/>
      <c r="BD124" s="1041"/>
      <c r="BE124" s="1041"/>
      <c r="BF124" s="1041"/>
      <c r="BG124" s="1041"/>
      <c r="BH124" s="1041"/>
      <c r="BI124" s="1041"/>
      <c r="BJ124" s="1041"/>
      <c r="BK124" s="1041"/>
      <c r="BL124" s="1041"/>
      <c r="BM124" s="1041"/>
      <c r="BN124" s="1041"/>
      <c r="BO124" s="1041"/>
      <c r="BP124" s="1041"/>
      <c r="BQ124" s="1041"/>
      <c r="BR124" s="1041"/>
      <c r="BS124" s="1041"/>
      <c r="BT124" s="1041"/>
      <c r="BU124" s="1041"/>
      <c r="BV124" s="1041"/>
      <c r="BW124" s="1041"/>
      <c r="BX124" s="1041"/>
      <c r="BY124" s="87"/>
      <c r="BZ124" s="87"/>
      <c r="CA124" s="87"/>
      <c r="CB124" s="87"/>
      <c r="CC124" s="87"/>
      <c r="CD124" s="87"/>
      <c r="CE124" s="87"/>
      <c r="CF124" s="87"/>
      <c r="CG124" s="87"/>
      <c r="CH124" s="87"/>
      <c r="CI124" s="87"/>
      <c r="CJ124" s="87"/>
      <c r="CK124" s="87"/>
      <c r="CL124" s="87"/>
      <c r="CM124" s="87"/>
      <c r="CN124" s="87"/>
      <c r="CO124" s="87"/>
    </row>
    <row r="125" spans="1:178" hidden="1">
      <c r="A125" s="87" t="s">
        <v>369</v>
      </c>
      <c r="B125" s="87"/>
      <c r="C125" s="87"/>
      <c r="D125" s="87"/>
      <c r="E125" s="87"/>
      <c r="F125" s="105" t="e">
        <f t="shared" ref="F125:L125" si="662">F63/1000000/F122</f>
        <v>#REF!</v>
      </c>
      <c r="G125" s="105" t="e">
        <f t="shared" si="662"/>
        <v>#REF!</v>
      </c>
      <c r="H125" s="691" t="e">
        <f t="shared" si="662"/>
        <v>#REF!</v>
      </c>
      <c r="I125" s="1104" t="e">
        <f t="shared" si="662"/>
        <v>#REF!</v>
      </c>
      <c r="J125" s="691" t="e">
        <f t="shared" si="662"/>
        <v>#REF!</v>
      </c>
      <c r="K125" s="691" t="e">
        <f t="shared" si="662"/>
        <v>#REF!</v>
      </c>
      <c r="L125" s="691" t="e">
        <f t="shared" si="662"/>
        <v>#REF!</v>
      </c>
      <c r="M125" s="1104"/>
      <c r="N125" s="691"/>
      <c r="O125" s="691"/>
      <c r="P125" s="691"/>
      <c r="Q125" s="691"/>
      <c r="R125" s="691"/>
      <c r="S125" s="691"/>
      <c r="T125" s="691"/>
      <c r="U125" s="691"/>
      <c r="V125" s="691"/>
      <c r="W125" s="691"/>
      <c r="X125" s="691"/>
      <c r="Y125" s="691"/>
      <c r="Z125" s="1041"/>
      <c r="AA125" s="1041"/>
      <c r="AB125" s="1041"/>
      <c r="AC125" s="1041"/>
      <c r="AD125" s="1041"/>
      <c r="AE125" s="1041"/>
      <c r="AF125" s="1041"/>
      <c r="AG125" s="1041"/>
      <c r="AH125" s="1041"/>
      <c r="AI125" s="1041"/>
      <c r="AJ125" s="1041"/>
      <c r="AK125" s="1041"/>
      <c r="AL125" s="1041"/>
      <c r="AM125" s="1041"/>
      <c r="AN125" s="1041"/>
      <c r="AO125" s="1041"/>
      <c r="AP125" s="1041"/>
      <c r="AQ125" s="1041"/>
      <c r="AR125" s="1041"/>
      <c r="AS125" s="1041"/>
      <c r="AT125" s="1041"/>
      <c r="AU125" s="1041"/>
      <c r="AV125" s="1041"/>
      <c r="AW125" s="1041"/>
      <c r="AX125" s="1041"/>
      <c r="AY125" s="1041"/>
      <c r="AZ125" s="1041"/>
      <c r="BA125" s="1041"/>
      <c r="BB125" s="1041"/>
      <c r="BC125" s="1041"/>
      <c r="BD125" s="1041"/>
      <c r="BE125" s="1041"/>
      <c r="BF125" s="1041"/>
      <c r="BG125" s="1041"/>
      <c r="BH125" s="1041"/>
      <c r="BI125" s="1041"/>
      <c r="BJ125" s="1041"/>
      <c r="BK125" s="1041"/>
      <c r="BL125" s="1041"/>
      <c r="BM125" s="1041"/>
      <c r="BN125" s="1041"/>
      <c r="BO125" s="1041"/>
      <c r="BP125" s="1041"/>
      <c r="BQ125" s="1041"/>
      <c r="BR125" s="1041"/>
      <c r="BS125" s="1041"/>
      <c r="BT125" s="1041"/>
      <c r="BU125" s="1041"/>
      <c r="BV125" s="1041"/>
      <c r="BW125" s="1041"/>
      <c r="BX125" s="1041"/>
      <c r="BY125" s="87"/>
      <c r="BZ125" s="87"/>
      <c r="CA125" s="87"/>
      <c r="CB125" s="87"/>
      <c r="CC125" s="87"/>
      <c r="CD125" s="87"/>
      <c r="CE125" s="87"/>
      <c r="CF125" s="87"/>
      <c r="CG125" s="87"/>
      <c r="CH125" s="87"/>
      <c r="CI125" s="87"/>
      <c r="CJ125" s="87"/>
      <c r="CK125" s="87"/>
      <c r="CL125" s="87"/>
      <c r="CM125" s="87"/>
      <c r="CN125" s="87"/>
      <c r="CO125" s="87"/>
    </row>
    <row r="126" spans="1:178" hidden="1">
      <c r="A126" s="87" t="s">
        <v>396</v>
      </c>
      <c r="B126" s="87"/>
      <c r="C126" s="87"/>
      <c r="D126" s="87"/>
      <c r="E126" s="87"/>
      <c r="F126" s="105" t="e">
        <f>(F63/1000000/F124)/F122</f>
        <v>#REF!</v>
      </c>
      <c r="G126" s="105"/>
      <c r="H126" s="691"/>
      <c r="I126" s="1104"/>
      <c r="J126" s="691"/>
      <c r="K126" s="691"/>
      <c r="L126" s="691"/>
      <c r="M126" s="1104"/>
      <c r="N126" s="691"/>
      <c r="O126" s="691"/>
      <c r="P126" s="691"/>
      <c r="Q126" s="691"/>
      <c r="R126" s="691"/>
      <c r="S126" s="691"/>
      <c r="T126" s="691"/>
      <c r="U126" s="691"/>
      <c r="V126" s="691"/>
      <c r="W126" s="691"/>
      <c r="X126" s="691"/>
      <c r="Y126" s="691"/>
      <c r="Z126" s="1041"/>
      <c r="AA126" s="1041"/>
      <c r="AB126" s="1041"/>
      <c r="AC126" s="1041"/>
      <c r="AD126" s="1041"/>
      <c r="AE126" s="1041"/>
      <c r="AF126" s="1041"/>
      <c r="AG126" s="1041"/>
      <c r="AH126" s="1041"/>
      <c r="AI126" s="1041"/>
      <c r="AJ126" s="1041"/>
      <c r="AK126" s="1041"/>
      <c r="AL126" s="1041"/>
      <c r="AM126" s="1041"/>
      <c r="AN126" s="1041"/>
      <c r="AO126" s="1041"/>
      <c r="AP126" s="1041"/>
      <c r="AQ126" s="1041"/>
      <c r="AR126" s="1041"/>
      <c r="AS126" s="1041"/>
      <c r="AT126" s="1041"/>
      <c r="AU126" s="1041"/>
      <c r="AV126" s="1041"/>
      <c r="AW126" s="1041"/>
      <c r="AX126" s="1041"/>
      <c r="AY126" s="1041"/>
      <c r="AZ126" s="1041"/>
      <c r="BA126" s="1041"/>
      <c r="BB126" s="1041"/>
      <c r="BC126" s="1041"/>
      <c r="BD126" s="1041"/>
      <c r="BE126" s="1041"/>
      <c r="BF126" s="1041"/>
      <c r="BG126" s="1041"/>
      <c r="BH126" s="1041"/>
      <c r="BI126" s="1041"/>
      <c r="BJ126" s="1041"/>
      <c r="BK126" s="1041"/>
      <c r="BL126" s="1041"/>
      <c r="BM126" s="1041"/>
      <c r="BN126" s="1041"/>
      <c r="BO126" s="1041"/>
      <c r="BP126" s="1041"/>
      <c r="BQ126" s="1041"/>
      <c r="BR126" s="1041"/>
      <c r="BS126" s="1041"/>
      <c r="BT126" s="1041"/>
      <c r="BU126" s="1041"/>
      <c r="BV126" s="1041"/>
      <c r="BW126" s="1041"/>
      <c r="BX126" s="1041"/>
      <c r="BY126" s="87"/>
      <c r="BZ126" s="87"/>
      <c r="CA126" s="87"/>
      <c r="CB126" s="87"/>
      <c r="CC126" s="87"/>
      <c r="CD126" s="87"/>
      <c r="CE126" s="87"/>
      <c r="CF126" s="87"/>
      <c r="CG126" s="87"/>
      <c r="CH126" s="87"/>
      <c r="CI126" s="87"/>
      <c r="CJ126" s="87"/>
      <c r="CK126" s="87"/>
      <c r="CL126" s="87"/>
      <c r="CM126" s="87"/>
      <c r="CN126" s="87"/>
      <c r="CO126" s="87"/>
    </row>
    <row r="127" spans="1:178" hidden="1">
      <c r="A127" s="87"/>
      <c r="B127" s="87"/>
      <c r="C127" s="87"/>
      <c r="D127" s="87"/>
      <c r="E127" s="87"/>
      <c r="F127" s="87"/>
      <c r="G127" s="87"/>
      <c r="H127" s="90"/>
      <c r="I127" s="1099"/>
      <c r="J127" s="90"/>
      <c r="K127" s="90"/>
      <c r="L127" s="90"/>
      <c r="M127" s="1099"/>
      <c r="N127" s="90"/>
      <c r="O127" s="90"/>
      <c r="P127" s="90"/>
      <c r="Q127" s="90"/>
      <c r="R127" s="90"/>
      <c r="S127" s="90"/>
      <c r="T127" s="90"/>
      <c r="U127" s="90"/>
      <c r="V127" s="90"/>
      <c r="W127" s="90"/>
      <c r="X127" s="90"/>
      <c r="Y127" s="90"/>
      <c r="Z127" s="1041"/>
      <c r="AA127" s="1041"/>
      <c r="AB127" s="1041"/>
      <c r="AC127" s="1041"/>
      <c r="AD127" s="1041"/>
      <c r="AE127" s="1041"/>
      <c r="AF127" s="1041"/>
      <c r="AG127" s="1041"/>
      <c r="AH127" s="1041"/>
      <c r="AI127" s="1041"/>
      <c r="AJ127" s="1041"/>
      <c r="AK127" s="1041"/>
      <c r="AL127" s="1041"/>
      <c r="AM127" s="1041"/>
      <c r="AN127" s="1041"/>
      <c r="AO127" s="1041"/>
      <c r="AP127" s="1041"/>
      <c r="AQ127" s="1041"/>
      <c r="AR127" s="1041"/>
      <c r="AS127" s="1041"/>
      <c r="AT127" s="1041"/>
      <c r="AU127" s="1041"/>
      <c r="AV127" s="1041"/>
      <c r="AW127" s="1041"/>
      <c r="AX127" s="1041"/>
      <c r="AY127" s="1041"/>
      <c r="AZ127" s="1041"/>
      <c r="BA127" s="1041"/>
      <c r="BB127" s="1041"/>
      <c r="BC127" s="1041"/>
      <c r="BD127" s="1041"/>
      <c r="BE127" s="1041"/>
      <c r="BF127" s="1041"/>
      <c r="BG127" s="1041"/>
      <c r="BH127" s="1041"/>
      <c r="BI127" s="1041"/>
      <c r="BJ127" s="1041"/>
      <c r="BK127" s="1041"/>
      <c r="BL127" s="1041"/>
      <c r="BM127" s="1041"/>
      <c r="BN127" s="1041"/>
      <c r="BO127" s="1041"/>
      <c r="BP127" s="1041"/>
      <c r="BQ127" s="1041"/>
      <c r="BR127" s="1041"/>
      <c r="BS127" s="1041"/>
      <c r="BT127" s="1041"/>
      <c r="BU127" s="1041"/>
      <c r="BV127" s="1041"/>
      <c r="BW127" s="1041"/>
      <c r="BX127" s="1041"/>
      <c r="BY127" s="87"/>
      <c r="BZ127" s="87"/>
      <c r="CA127" s="87"/>
      <c r="CB127" s="87"/>
      <c r="CC127" s="87"/>
      <c r="CD127" s="87"/>
      <c r="CE127" s="87"/>
      <c r="CF127" s="87"/>
      <c r="CG127" s="87"/>
      <c r="CH127" s="87"/>
      <c r="CI127" s="87"/>
      <c r="CJ127" s="87"/>
      <c r="CK127" s="87"/>
      <c r="CL127" s="87"/>
      <c r="CM127" s="87"/>
      <c r="CN127" s="87"/>
      <c r="CO127" s="87"/>
    </row>
    <row r="128" spans="1:178" hidden="1">
      <c r="A128" s="139" t="s">
        <v>397</v>
      </c>
      <c r="B128" s="139"/>
      <c r="C128" s="139"/>
      <c r="D128" s="139"/>
      <c r="E128" s="140"/>
      <c r="F128" s="140"/>
      <c r="G128" s="140"/>
      <c r="H128" s="244"/>
      <c r="I128" s="1092"/>
      <c r="J128" s="244"/>
      <c r="K128" s="244"/>
      <c r="L128" s="244"/>
      <c r="M128" s="1092"/>
      <c r="N128" s="244"/>
      <c r="O128" s="244"/>
      <c r="P128" s="244"/>
      <c r="Q128" s="244"/>
      <c r="R128" s="244"/>
      <c r="S128" s="244"/>
      <c r="T128" s="244"/>
      <c r="U128" s="244"/>
      <c r="V128" s="244"/>
      <c r="W128" s="244"/>
      <c r="X128" s="244"/>
      <c r="Y128" s="244"/>
      <c r="Z128" s="1041"/>
      <c r="AA128" s="1041"/>
      <c r="AB128" s="1041"/>
      <c r="AC128" s="1041"/>
      <c r="AD128" s="1041"/>
      <c r="AE128" s="1041"/>
      <c r="AF128" s="1041"/>
      <c r="AG128" s="1041"/>
      <c r="AH128" s="1041"/>
      <c r="AI128" s="1041"/>
      <c r="AJ128" s="1041"/>
      <c r="AK128" s="1041"/>
      <c r="AL128" s="1041"/>
      <c r="AM128" s="1041"/>
      <c r="AN128" s="1041"/>
      <c r="AO128" s="1041"/>
      <c r="AP128" s="1041"/>
      <c r="AQ128" s="1041"/>
      <c r="AR128" s="1041"/>
      <c r="AS128" s="1041"/>
      <c r="AT128" s="1041"/>
      <c r="AU128" s="1041"/>
      <c r="AV128" s="1041"/>
      <c r="AW128" s="1041"/>
      <c r="AX128" s="1041"/>
      <c r="AY128" s="1041"/>
      <c r="AZ128" s="1041"/>
      <c r="BA128" s="1041"/>
      <c r="BB128" s="1041"/>
      <c r="BC128" s="1041"/>
      <c r="BD128" s="1041"/>
      <c r="BE128" s="1041"/>
      <c r="BF128" s="1041"/>
      <c r="BG128" s="1041"/>
      <c r="BH128" s="1041"/>
      <c r="BI128" s="1041"/>
      <c r="BJ128" s="1041"/>
      <c r="BK128" s="1041"/>
      <c r="BL128" s="1041"/>
      <c r="BM128" s="1041"/>
      <c r="BN128" s="1041"/>
      <c r="BO128" s="1041"/>
      <c r="BP128" s="1041"/>
      <c r="BQ128" s="1041"/>
      <c r="BR128" s="1041"/>
      <c r="BS128" s="1041"/>
      <c r="BT128" s="1041"/>
      <c r="BU128" s="1041"/>
      <c r="BV128" s="1041"/>
      <c r="BW128" s="1041"/>
      <c r="BX128" s="1041"/>
      <c r="BY128" s="140"/>
      <c r="BZ128" s="140"/>
      <c r="CA128" s="140"/>
      <c r="CB128" s="140"/>
      <c r="CC128" s="140"/>
      <c r="CD128" s="140"/>
      <c r="CE128" s="140"/>
      <c r="CF128" s="140"/>
      <c r="CG128" s="140"/>
      <c r="CH128" s="140"/>
      <c r="CI128" s="87"/>
      <c r="CJ128" s="87"/>
      <c r="CK128" s="87"/>
      <c r="CL128" s="87"/>
      <c r="CM128" s="87"/>
      <c r="CN128" s="87"/>
      <c r="CO128" s="87"/>
    </row>
    <row r="129" spans="1:129" hidden="1">
      <c r="A129" s="87"/>
      <c r="B129" s="87"/>
      <c r="C129" s="87"/>
      <c r="D129" s="87"/>
      <c r="E129" s="87"/>
      <c r="F129" s="87"/>
      <c r="G129" s="87"/>
      <c r="H129" s="90"/>
      <c r="I129" s="1099"/>
      <c r="J129" s="90"/>
      <c r="K129" s="90"/>
      <c r="L129" s="90"/>
      <c r="M129" s="1099"/>
      <c r="N129" s="90"/>
      <c r="O129" s="90"/>
      <c r="P129" s="90"/>
      <c r="Q129" s="90"/>
      <c r="R129" s="90"/>
      <c r="S129" s="90"/>
      <c r="T129" s="90"/>
      <c r="U129" s="90"/>
      <c r="V129" s="90"/>
      <c r="W129" s="90"/>
      <c r="X129" s="90"/>
      <c r="Y129" s="90"/>
      <c r="Z129" s="1041"/>
      <c r="AA129" s="1041"/>
      <c r="AB129" s="1041"/>
      <c r="AC129" s="1041"/>
      <c r="AD129" s="1041"/>
      <c r="AE129" s="1041"/>
      <c r="AF129" s="1041"/>
      <c r="AG129" s="1041"/>
      <c r="AH129" s="1041"/>
      <c r="AI129" s="1041"/>
      <c r="AJ129" s="1041"/>
      <c r="AK129" s="1041"/>
      <c r="AL129" s="1041"/>
      <c r="AM129" s="1041"/>
      <c r="AN129" s="1041"/>
      <c r="AO129" s="1041"/>
      <c r="AP129" s="1041"/>
      <c r="AQ129" s="1041"/>
      <c r="AR129" s="1041"/>
      <c r="AS129" s="1041"/>
      <c r="AT129" s="1041"/>
      <c r="AU129" s="1041"/>
      <c r="AV129" s="1041"/>
      <c r="AW129" s="1041"/>
      <c r="AX129" s="1041"/>
      <c r="AY129" s="1041"/>
      <c r="AZ129" s="1041"/>
      <c r="BA129" s="1041"/>
      <c r="BB129" s="1041"/>
      <c r="BC129" s="1041"/>
      <c r="BD129" s="1041"/>
      <c r="BE129" s="1041"/>
      <c r="BF129" s="1041"/>
      <c r="BG129" s="1041"/>
      <c r="BH129" s="1041"/>
      <c r="BI129" s="1041"/>
      <c r="BJ129" s="1041"/>
      <c r="BK129" s="1041"/>
      <c r="BL129" s="1041"/>
      <c r="BM129" s="1041"/>
      <c r="BN129" s="1041"/>
      <c r="BO129" s="1041"/>
      <c r="BP129" s="1041"/>
      <c r="BQ129" s="1041"/>
      <c r="BR129" s="1041"/>
      <c r="BS129" s="1041"/>
      <c r="BT129" s="1041"/>
      <c r="BU129" s="1041"/>
      <c r="BV129" s="1041"/>
      <c r="BW129" s="1041"/>
      <c r="BX129" s="1041"/>
      <c r="BY129" s="87"/>
      <c r="BZ129" s="87"/>
      <c r="CA129" s="87"/>
      <c r="CB129" s="87"/>
      <c r="CC129" s="87"/>
      <c r="CD129" s="87"/>
      <c r="CE129" s="87"/>
      <c r="CF129" s="87"/>
      <c r="CG129" s="87"/>
      <c r="CH129" s="87"/>
      <c r="CI129" s="87"/>
      <c r="CJ129" s="87"/>
      <c r="CK129" s="87"/>
      <c r="CL129" s="87"/>
      <c r="CM129" s="87"/>
      <c r="CN129" s="87"/>
      <c r="CO129" s="87"/>
    </row>
    <row r="130" spans="1:129" hidden="1">
      <c r="A130" s="87" t="s">
        <v>398</v>
      </c>
      <c r="B130" s="87"/>
      <c r="C130" s="87"/>
      <c r="D130" s="143">
        <f>Lines!L92</f>
        <v>1240</v>
      </c>
      <c r="E130" s="143">
        <f>Lines!M92</f>
        <v>1416</v>
      </c>
      <c r="F130" s="143">
        <f>Lines!N92</f>
        <v>1124</v>
      </c>
      <c r="G130" s="143">
        <f>Lines!O92</f>
        <v>-459</v>
      </c>
      <c r="H130" s="526">
        <f>Lines!P92</f>
        <v>-335</v>
      </c>
      <c r="I130" s="1105">
        <f>Lines!Q92</f>
        <v>-431</v>
      </c>
      <c r="J130" s="526">
        <f>Lines!R92</f>
        <v>-564</v>
      </c>
      <c r="K130" s="526">
        <f>Lines!S92</f>
        <v>-457</v>
      </c>
      <c r="L130" s="526">
        <f>Lines!T92</f>
        <v>-482</v>
      </c>
      <c r="M130" s="1105">
        <f>Lines!U92</f>
        <v>-428</v>
      </c>
      <c r="N130" s="526">
        <f>Lines!V92</f>
        <v>-354</v>
      </c>
      <c r="O130" s="526">
        <f>Lines!W92</f>
        <v>-395</v>
      </c>
      <c r="P130" s="526">
        <f>Lines!X92</f>
        <v>-809</v>
      </c>
      <c r="Q130" s="526">
        <f>Lines!Y92</f>
        <v>-276</v>
      </c>
      <c r="R130" s="526">
        <f>Lines!Z92</f>
        <v>-239</v>
      </c>
      <c r="S130" s="526">
        <f>Lines!AA92</f>
        <v>-174</v>
      </c>
      <c r="T130" s="526">
        <f>Lines!AB92</f>
        <v>-139.20000000000002</v>
      </c>
      <c r="U130" s="526">
        <f>Lines!AC92</f>
        <v>-111.36</v>
      </c>
      <c r="V130" s="526">
        <f>Lines!AD92</f>
        <v>-89.087999999999994</v>
      </c>
      <c r="W130" s="526">
        <f>Lines!AE92</f>
        <v>-71.270399999999995</v>
      </c>
      <c r="X130" s="526">
        <f>Lines!AF92</f>
        <v>-57.01632</v>
      </c>
      <c r="Y130" s="526">
        <f>Lines!AG92</f>
        <v>-45.613056</v>
      </c>
      <c r="Z130" s="1041"/>
      <c r="AA130" s="1041"/>
      <c r="AB130" s="1041"/>
      <c r="AC130" s="1041"/>
      <c r="AD130" s="1041"/>
      <c r="AE130" s="1041"/>
      <c r="AF130" s="1041"/>
      <c r="AG130" s="1041"/>
      <c r="AH130" s="1041"/>
      <c r="AI130" s="1041"/>
      <c r="AJ130" s="1041"/>
      <c r="AK130" s="1041"/>
      <c r="AL130" s="1041"/>
      <c r="AM130" s="1041"/>
      <c r="AN130" s="1041"/>
      <c r="AO130" s="1041"/>
      <c r="AP130" s="1041"/>
      <c r="AQ130" s="1041"/>
      <c r="AR130" s="1041"/>
      <c r="AS130" s="1041"/>
      <c r="AT130" s="1041"/>
      <c r="AU130" s="1041"/>
      <c r="AV130" s="1041"/>
      <c r="AW130" s="1041"/>
      <c r="AX130" s="1041"/>
      <c r="AY130" s="1041"/>
      <c r="AZ130" s="1041"/>
      <c r="BA130" s="1041"/>
      <c r="BB130" s="1041"/>
      <c r="BC130" s="1041"/>
      <c r="BD130" s="1041"/>
      <c r="BE130" s="1041"/>
      <c r="BF130" s="1041"/>
      <c r="BG130" s="1041"/>
      <c r="BH130" s="1041"/>
      <c r="BI130" s="1041"/>
      <c r="BJ130" s="1041"/>
      <c r="BK130" s="1041"/>
      <c r="BL130" s="1041"/>
      <c r="BM130" s="1041"/>
      <c r="BN130" s="1041"/>
      <c r="BO130" s="1041"/>
      <c r="BP130" s="1041"/>
      <c r="BQ130" s="1041"/>
      <c r="BR130" s="1041"/>
      <c r="BS130" s="1041"/>
      <c r="BT130" s="1041"/>
      <c r="BU130" s="1041"/>
      <c r="BV130" s="1041"/>
      <c r="BW130" s="1041"/>
      <c r="BX130" s="1041"/>
      <c r="BY130" s="87"/>
      <c r="BZ130" s="87"/>
      <c r="CA130" s="87"/>
      <c r="CB130" s="87"/>
      <c r="CC130" s="87"/>
      <c r="CD130" s="87"/>
      <c r="CE130" s="87"/>
      <c r="CF130" s="87"/>
      <c r="CG130" s="87"/>
      <c r="CH130" s="87"/>
      <c r="CI130" s="87"/>
      <c r="CJ130" s="87"/>
      <c r="CK130" s="87"/>
      <c r="CL130" s="87"/>
      <c r="CM130" s="87"/>
      <c r="CN130" s="87"/>
      <c r="CO130" s="87"/>
    </row>
    <row r="131" spans="1:129" s="120" customFormat="1" hidden="1">
      <c r="A131" s="295" t="s">
        <v>834</v>
      </c>
      <c r="B131" s="94"/>
      <c r="C131" s="94"/>
      <c r="D131" s="94"/>
      <c r="E131" s="94"/>
      <c r="F131" s="295">
        <f t="shared" ref="F131:R131" si="663">F130/E130-1</f>
        <v>-0.20621468926553677</v>
      </c>
      <c r="G131" s="295">
        <f t="shared" si="663"/>
        <v>-1.4083629893238434</v>
      </c>
      <c r="H131" s="684">
        <f t="shared" si="663"/>
        <v>-0.27015250544662306</v>
      </c>
      <c r="I131" s="1100">
        <f t="shared" si="663"/>
        <v>0.28656716417910455</v>
      </c>
      <c r="J131" s="684">
        <f t="shared" si="663"/>
        <v>0.308584686774942</v>
      </c>
      <c r="K131" s="684">
        <f t="shared" si="663"/>
        <v>-0.18971631205673756</v>
      </c>
      <c r="L131" s="684">
        <f t="shared" si="663"/>
        <v>5.4704595185995686E-2</v>
      </c>
      <c r="M131" s="1100">
        <f t="shared" si="663"/>
        <v>-0.11203319502074693</v>
      </c>
      <c r="N131" s="684">
        <f t="shared" si="663"/>
        <v>-0.17289719626168221</v>
      </c>
      <c r="O131" s="684">
        <f t="shared" si="663"/>
        <v>0.11581920903954801</v>
      </c>
      <c r="P131" s="684">
        <f t="shared" si="663"/>
        <v>1.0481012658227846</v>
      </c>
      <c r="Q131" s="684">
        <f t="shared" si="663"/>
        <v>-0.65883807169344877</v>
      </c>
      <c r="R131" s="684">
        <f t="shared" si="663"/>
        <v>-0.13405797101449279</v>
      </c>
      <c r="S131" s="684">
        <f>S130/R130-1</f>
        <v>-0.27196652719665271</v>
      </c>
      <c r="T131" s="684">
        <f>T130/S130-1</f>
        <v>-0.19999999999999996</v>
      </c>
      <c r="U131" s="684">
        <f t="shared" ref="U131:Y131" si="664">U130/T130-1</f>
        <v>-0.20000000000000007</v>
      </c>
      <c r="V131" s="684">
        <f t="shared" si="664"/>
        <v>-0.20000000000000007</v>
      </c>
      <c r="W131" s="684">
        <f t="shared" si="664"/>
        <v>-0.19999999999999996</v>
      </c>
      <c r="X131" s="684">
        <f t="shared" si="664"/>
        <v>-0.19999999999999996</v>
      </c>
      <c r="Y131" s="684">
        <f t="shared" si="664"/>
        <v>-0.19999999999999996</v>
      </c>
      <c r="Z131" s="1045"/>
      <c r="AA131" s="1045"/>
      <c r="AB131" s="1045"/>
      <c r="AC131" s="1045"/>
      <c r="AD131" s="1045"/>
      <c r="AE131" s="1045"/>
      <c r="AF131" s="1045"/>
      <c r="AG131" s="1045"/>
      <c r="AH131" s="1045"/>
      <c r="AI131" s="1045"/>
      <c r="AJ131" s="1045"/>
      <c r="AK131" s="1045"/>
      <c r="AL131" s="1045"/>
      <c r="AM131" s="1045"/>
      <c r="AN131" s="1045"/>
      <c r="AO131" s="1045"/>
      <c r="AP131" s="1045"/>
      <c r="AQ131" s="1045"/>
      <c r="AR131" s="1045"/>
      <c r="AS131" s="1045"/>
      <c r="AT131" s="1045"/>
      <c r="AU131" s="1045"/>
      <c r="AV131" s="1045"/>
      <c r="AW131" s="1045"/>
      <c r="AX131" s="1045"/>
      <c r="AY131" s="1045"/>
      <c r="AZ131" s="1045"/>
      <c r="BA131" s="1045"/>
      <c r="BB131" s="1045"/>
      <c r="BC131" s="1045"/>
      <c r="BD131" s="1045"/>
      <c r="BE131" s="1045"/>
      <c r="BF131" s="1045"/>
      <c r="BG131" s="1045"/>
      <c r="BH131" s="1045"/>
      <c r="BI131" s="1045"/>
      <c r="BJ131" s="1045"/>
      <c r="BK131" s="1045"/>
      <c r="BL131" s="1045"/>
      <c r="BM131" s="1045"/>
      <c r="BN131" s="1045"/>
      <c r="BO131" s="1045"/>
      <c r="BP131" s="1045"/>
      <c r="BQ131" s="1045"/>
      <c r="BR131" s="1045"/>
      <c r="BS131" s="1045"/>
      <c r="BT131" s="1045"/>
      <c r="BU131" s="1045"/>
      <c r="BV131" s="1045"/>
      <c r="BW131" s="1045"/>
      <c r="BX131" s="1045"/>
      <c r="BY131" s="94"/>
      <c r="BZ131" s="94"/>
      <c r="CA131" s="94"/>
      <c r="CB131" s="94"/>
      <c r="CC131" s="94"/>
      <c r="CD131" s="94"/>
      <c r="CE131" s="94"/>
      <c r="CF131" s="94"/>
      <c r="CG131" s="94"/>
      <c r="CH131" s="94"/>
      <c r="CI131" s="94"/>
      <c r="CJ131" s="94"/>
      <c r="CK131" s="94"/>
      <c r="CL131" s="94"/>
      <c r="CM131" s="94"/>
      <c r="CN131" s="94"/>
      <c r="CO131" s="94"/>
      <c r="DG131" s="1226"/>
      <c r="DH131" s="1226"/>
      <c r="DI131" s="1226"/>
      <c r="DJ131" s="1226"/>
      <c r="DK131" s="1226"/>
      <c r="DL131" s="1226"/>
      <c r="DM131" s="1226"/>
      <c r="DN131" s="1226"/>
      <c r="DO131" s="1226"/>
      <c r="DP131" s="1226"/>
      <c r="DQ131" s="1226"/>
      <c r="DR131" s="1226"/>
      <c r="DS131" s="1226"/>
      <c r="DT131" s="1226"/>
      <c r="DU131" s="1226"/>
      <c r="DV131" s="1226"/>
      <c r="DW131" s="1226"/>
      <c r="DX131" s="1226"/>
      <c r="DY131" s="1226"/>
    </row>
    <row r="132" spans="1:129" hidden="1">
      <c r="A132" s="87" t="s">
        <v>399</v>
      </c>
      <c r="B132" s="87"/>
      <c r="C132" s="87"/>
      <c r="D132" s="87"/>
      <c r="E132" s="87">
        <f t="shared" ref="E132:S132" si="665">E17/1000</f>
        <v>169</v>
      </c>
      <c r="F132" s="87">
        <f t="shared" si="665"/>
        <v>518</v>
      </c>
      <c r="G132" s="87">
        <f t="shared" si="665"/>
        <v>767</v>
      </c>
      <c r="H132" s="90">
        <f t="shared" si="665"/>
        <v>917</v>
      </c>
      <c r="I132" s="1099">
        <f t="shared" si="665"/>
        <v>915</v>
      </c>
      <c r="J132" s="90">
        <f t="shared" si="665"/>
        <v>796</v>
      </c>
      <c r="K132" s="90">
        <f t="shared" si="665"/>
        <v>735</v>
      </c>
      <c r="L132" s="90">
        <f t="shared" si="665"/>
        <v>607</v>
      </c>
      <c r="M132" s="1099">
        <f t="shared" si="665"/>
        <v>648</v>
      </c>
      <c r="N132" s="385">
        <f t="shared" si="665"/>
        <v>544</v>
      </c>
      <c r="O132" s="385">
        <f t="shared" si="665"/>
        <v>418</v>
      </c>
      <c r="P132" s="385">
        <f t="shared" si="665"/>
        <v>-1381</v>
      </c>
      <c r="Q132" s="385">
        <f t="shared" si="665"/>
        <v>197</v>
      </c>
      <c r="R132" s="385">
        <f t="shared" ref="R132" si="666">R17/1000</f>
        <v>259</v>
      </c>
      <c r="S132" s="385">
        <f t="shared" si="665"/>
        <v>-20</v>
      </c>
      <c r="T132" s="385">
        <f t="shared" ref="T132:Y132" si="667">T17/1000</f>
        <v>-30</v>
      </c>
      <c r="U132" s="385">
        <f t="shared" si="667"/>
        <v>-40</v>
      </c>
      <c r="V132" s="385">
        <f t="shared" si="667"/>
        <v>-50</v>
      </c>
      <c r="W132" s="385">
        <f t="shared" si="667"/>
        <v>-60</v>
      </c>
      <c r="X132" s="385">
        <f t="shared" si="667"/>
        <v>-70</v>
      </c>
      <c r="Y132" s="385">
        <f t="shared" si="667"/>
        <v>-80</v>
      </c>
      <c r="Z132" s="1041"/>
      <c r="AA132" s="1041"/>
      <c r="AB132" s="1041"/>
      <c r="AC132" s="1041"/>
      <c r="AD132" s="1041"/>
      <c r="AE132" s="1041"/>
      <c r="AF132" s="1041"/>
      <c r="AG132" s="1041"/>
      <c r="AH132" s="1041"/>
      <c r="AI132" s="1041"/>
      <c r="AJ132" s="1041"/>
      <c r="AK132" s="1041"/>
      <c r="AL132" s="1041"/>
      <c r="AM132" s="1041"/>
      <c r="AN132" s="1041"/>
      <c r="AO132" s="1041"/>
      <c r="AP132" s="1041"/>
      <c r="AQ132" s="1041"/>
      <c r="AR132" s="1041"/>
      <c r="AS132" s="1041"/>
      <c r="AT132" s="1041"/>
      <c r="AU132" s="1041"/>
      <c r="AV132" s="1041"/>
      <c r="AW132" s="1041"/>
      <c r="AX132" s="1041"/>
      <c r="AY132" s="1041"/>
      <c r="AZ132" s="1041"/>
      <c r="BA132" s="1041"/>
      <c r="BB132" s="1041"/>
      <c r="BC132" s="1041"/>
      <c r="BD132" s="1041"/>
      <c r="BE132" s="1041"/>
      <c r="BF132" s="1041"/>
      <c r="BG132" s="1041"/>
      <c r="BH132" s="1041"/>
      <c r="BI132" s="1041"/>
      <c r="BJ132" s="1041"/>
      <c r="BK132" s="1041"/>
      <c r="BL132" s="1041"/>
      <c r="BM132" s="1041"/>
      <c r="BN132" s="1041"/>
      <c r="BO132" s="1041"/>
      <c r="BP132" s="1041"/>
      <c r="BQ132" s="1041"/>
      <c r="BR132" s="1041"/>
      <c r="BS132" s="1041"/>
      <c r="BT132" s="1041"/>
      <c r="BU132" s="1041"/>
      <c r="BV132" s="1041"/>
      <c r="BW132" s="1041"/>
      <c r="BX132" s="1041"/>
      <c r="BY132" s="87"/>
      <c r="BZ132" s="87"/>
      <c r="CA132" s="87"/>
      <c r="CB132" s="87"/>
      <c r="CC132" s="87"/>
      <c r="CD132" s="87"/>
      <c r="CE132" s="87"/>
      <c r="CF132" s="87"/>
      <c r="CG132" s="87"/>
      <c r="CH132" s="87"/>
      <c r="CI132" s="87"/>
      <c r="CJ132" s="87"/>
      <c r="CK132" s="87"/>
      <c r="CL132" s="87"/>
      <c r="CM132" s="87"/>
      <c r="CN132" s="87"/>
      <c r="CO132" s="87"/>
    </row>
    <row r="133" spans="1:129" s="120" customFormat="1" hidden="1">
      <c r="A133" s="295" t="s">
        <v>834</v>
      </c>
      <c r="B133" s="94"/>
      <c r="C133" s="94"/>
      <c r="D133" s="94"/>
      <c r="E133" s="94"/>
      <c r="F133" s="295">
        <f t="shared" ref="F133:R133" si="668">F132/E132-1</f>
        <v>2.0650887573964498</v>
      </c>
      <c r="G133" s="295">
        <f t="shared" si="668"/>
        <v>0.48069498069498073</v>
      </c>
      <c r="H133" s="684">
        <f t="shared" si="668"/>
        <v>0.19556714471968717</v>
      </c>
      <c r="I133" s="1100">
        <f t="shared" si="668"/>
        <v>-2.1810250817884125E-3</v>
      </c>
      <c r="J133" s="684">
        <f t="shared" si="668"/>
        <v>-0.13005464480874318</v>
      </c>
      <c r="K133" s="684">
        <f t="shared" si="668"/>
        <v>-7.66331658291457E-2</v>
      </c>
      <c r="L133" s="684">
        <f t="shared" si="668"/>
        <v>-0.17414965986394559</v>
      </c>
      <c r="M133" s="1100">
        <f t="shared" si="668"/>
        <v>6.7545304777594684E-2</v>
      </c>
      <c r="N133" s="684">
        <f t="shared" si="668"/>
        <v>-0.16049382716049387</v>
      </c>
      <c r="O133" s="684">
        <f t="shared" si="668"/>
        <v>-0.23161764705882348</v>
      </c>
      <c r="P133" s="684">
        <f t="shared" si="668"/>
        <v>-4.303827751196172</v>
      </c>
      <c r="Q133" s="684">
        <f t="shared" si="668"/>
        <v>-1.1426502534395366</v>
      </c>
      <c r="R133" s="684">
        <f t="shared" si="668"/>
        <v>0.31472081218274117</v>
      </c>
      <c r="S133" s="684">
        <f>S132/R132-1</f>
        <v>-1.0772200772200773</v>
      </c>
      <c r="T133" s="684">
        <f>T132/S132-1</f>
        <v>0.5</v>
      </c>
      <c r="U133" s="684">
        <f t="shared" ref="U133:Y133" si="669">U132/T132-1</f>
        <v>0.33333333333333326</v>
      </c>
      <c r="V133" s="684">
        <f t="shared" si="669"/>
        <v>0.25</v>
      </c>
      <c r="W133" s="684">
        <f t="shared" si="669"/>
        <v>0.19999999999999996</v>
      </c>
      <c r="X133" s="684">
        <f t="shared" si="669"/>
        <v>0.16666666666666674</v>
      </c>
      <c r="Y133" s="684">
        <f t="shared" si="669"/>
        <v>0.14285714285714279</v>
      </c>
      <c r="Z133" s="1045"/>
      <c r="AA133" s="1045"/>
      <c r="AB133" s="1045"/>
      <c r="AC133" s="1045"/>
      <c r="AD133" s="1045"/>
      <c r="AE133" s="1045"/>
      <c r="AF133" s="1045"/>
      <c r="AG133" s="1045"/>
      <c r="AH133" s="1045"/>
      <c r="AI133" s="1045"/>
      <c r="AJ133" s="1045"/>
      <c r="AK133" s="1045"/>
      <c r="AL133" s="1045"/>
      <c r="AM133" s="1045"/>
      <c r="AN133" s="1045"/>
      <c r="AO133" s="1045"/>
      <c r="AP133" s="1045"/>
      <c r="AQ133" s="1045"/>
      <c r="AR133" s="1045"/>
      <c r="AS133" s="1045"/>
      <c r="AT133" s="1045"/>
      <c r="AU133" s="1045"/>
      <c r="AV133" s="1045"/>
      <c r="AW133" s="1045"/>
      <c r="AX133" s="1045"/>
      <c r="AY133" s="1045"/>
      <c r="AZ133" s="1045"/>
      <c r="BA133" s="1045"/>
      <c r="BB133" s="1045"/>
      <c r="BC133" s="1045"/>
      <c r="BD133" s="1045"/>
      <c r="BE133" s="1045"/>
      <c r="BF133" s="1045"/>
      <c r="BG133" s="1045"/>
      <c r="BH133" s="1045"/>
      <c r="BI133" s="1045"/>
      <c r="BJ133" s="1045"/>
      <c r="BK133" s="1045"/>
      <c r="BL133" s="1045"/>
      <c r="BM133" s="1045"/>
      <c r="BN133" s="1045"/>
      <c r="BO133" s="1045"/>
      <c r="BP133" s="1045"/>
      <c r="BQ133" s="1045"/>
      <c r="BR133" s="1045"/>
      <c r="BS133" s="1045"/>
      <c r="BT133" s="1045"/>
      <c r="BU133" s="1045"/>
      <c r="BV133" s="1045"/>
      <c r="BW133" s="1045"/>
      <c r="BX133" s="1045"/>
      <c r="BY133" s="94"/>
      <c r="BZ133" s="94"/>
      <c r="CA133" s="94"/>
      <c r="CB133" s="94"/>
      <c r="CC133" s="94"/>
      <c r="CD133" s="94"/>
      <c r="CE133" s="94"/>
      <c r="CF133" s="94"/>
      <c r="CG133" s="94"/>
      <c r="CH133" s="94"/>
      <c r="CI133" s="94"/>
      <c r="CJ133" s="94"/>
      <c r="CK133" s="94"/>
      <c r="CL133" s="94"/>
      <c r="CM133" s="94"/>
      <c r="CN133" s="94"/>
      <c r="CO133" s="94"/>
      <c r="DG133" s="1226"/>
      <c r="DH133" s="1226"/>
      <c r="DI133" s="1226"/>
      <c r="DJ133" s="1226"/>
      <c r="DK133" s="1226"/>
      <c r="DL133" s="1226"/>
      <c r="DM133" s="1226"/>
      <c r="DN133" s="1226"/>
      <c r="DO133" s="1226"/>
      <c r="DP133" s="1226"/>
      <c r="DQ133" s="1226"/>
      <c r="DR133" s="1226"/>
      <c r="DS133" s="1226"/>
      <c r="DT133" s="1226"/>
      <c r="DU133" s="1226"/>
      <c r="DV133" s="1226"/>
      <c r="DW133" s="1226"/>
      <c r="DX133" s="1226"/>
      <c r="DY133" s="1226"/>
    </row>
    <row r="134" spans="1:129" hidden="1">
      <c r="A134" s="87" t="s">
        <v>400</v>
      </c>
      <c r="B134" s="87"/>
      <c r="C134" s="87"/>
      <c r="D134" s="87"/>
      <c r="E134" s="143">
        <f t="shared" ref="E134:N134" si="670">E130+E132</f>
        <v>1585</v>
      </c>
      <c r="F134" s="143">
        <f t="shared" si="670"/>
        <v>1642</v>
      </c>
      <c r="G134" s="143">
        <f t="shared" si="670"/>
        <v>308</v>
      </c>
      <c r="H134" s="526">
        <f t="shared" si="670"/>
        <v>582</v>
      </c>
      <c r="I134" s="1105">
        <f t="shared" si="670"/>
        <v>484</v>
      </c>
      <c r="J134" s="526">
        <f t="shared" si="670"/>
        <v>232</v>
      </c>
      <c r="K134" s="526">
        <f t="shared" si="670"/>
        <v>278</v>
      </c>
      <c r="L134" s="526">
        <f t="shared" si="670"/>
        <v>125</v>
      </c>
      <c r="M134" s="1105">
        <f t="shared" si="670"/>
        <v>220</v>
      </c>
      <c r="N134" s="526">
        <f t="shared" si="670"/>
        <v>190</v>
      </c>
      <c r="O134" s="526">
        <f t="shared" ref="O134:T134" si="671">O130+O132</f>
        <v>23</v>
      </c>
      <c r="P134" s="526">
        <f t="shared" si="671"/>
        <v>-2190</v>
      </c>
      <c r="Q134" s="526">
        <f t="shared" si="671"/>
        <v>-79</v>
      </c>
      <c r="R134" s="526">
        <f t="shared" ref="R134" si="672">R130+R132</f>
        <v>20</v>
      </c>
      <c r="S134" s="526">
        <f t="shared" si="671"/>
        <v>-194</v>
      </c>
      <c r="T134" s="526">
        <f t="shared" si="671"/>
        <v>-169.20000000000002</v>
      </c>
      <c r="U134" s="526">
        <f t="shared" ref="U134:Y134" si="673">U130+U132</f>
        <v>-151.36000000000001</v>
      </c>
      <c r="V134" s="526">
        <f t="shared" si="673"/>
        <v>-139.08799999999999</v>
      </c>
      <c r="W134" s="526">
        <f t="shared" si="673"/>
        <v>-131.2704</v>
      </c>
      <c r="X134" s="526">
        <f t="shared" si="673"/>
        <v>-127.01632000000001</v>
      </c>
      <c r="Y134" s="526">
        <f t="shared" si="673"/>
        <v>-125.613056</v>
      </c>
      <c r="Z134" s="1041"/>
      <c r="AA134" s="1041"/>
      <c r="AB134" s="1041"/>
      <c r="AC134" s="1041"/>
      <c r="AD134" s="1041"/>
      <c r="AE134" s="1041"/>
      <c r="AF134" s="1041"/>
      <c r="AG134" s="1041"/>
      <c r="AH134" s="1041"/>
      <c r="AI134" s="1041"/>
      <c r="AJ134" s="1041"/>
      <c r="AK134" s="1041"/>
      <c r="AL134" s="1041"/>
      <c r="AM134" s="1041"/>
      <c r="AN134" s="1041"/>
      <c r="AO134" s="1041"/>
      <c r="AP134" s="1041"/>
      <c r="AQ134" s="1041"/>
      <c r="AR134" s="1041"/>
      <c r="AS134" s="1041"/>
      <c r="AT134" s="1041"/>
      <c r="AU134" s="1041"/>
      <c r="AV134" s="1041"/>
      <c r="AW134" s="1041"/>
      <c r="AX134" s="1041"/>
      <c r="AY134" s="1041"/>
      <c r="AZ134" s="1041"/>
      <c r="BA134" s="1041"/>
      <c r="BB134" s="1041"/>
      <c r="BC134" s="1041"/>
      <c r="BD134" s="1041"/>
      <c r="BE134" s="1041"/>
      <c r="BF134" s="1041"/>
      <c r="BG134" s="1041"/>
      <c r="BH134" s="1041"/>
      <c r="BI134" s="1041"/>
      <c r="BJ134" s="1041"/>
      <c r="BK134" s="1041"/>
      <c r="BL134" s="1041"/>
      <c r="BM134" s="1041"/>
      <c r="BN134" s="1041"/>
      <c r="BO134" s="1041"/>
      <c r="BP134" s="1041"/>
      <c r="BQ134" s="1041"/>
      <c r="BR134" s="1041"/>
      <c r="BS134" s="1041"/>
      <c r="BT134" s="1041"/>
      <c r="BU134" s="1041"/>
      <c r="BV134" s="1041"/>
      <c r="BW134" s="1041"/>
      <c r="BX134" s="1041"/>
      <c r="BY134" s="87"/>
      <c r="BZ134" s="87"/>
      <c r="CA134" s="87"/>
      <c r="CB134" s="87"/>
      <c r="CC134" s="87"/>
      <c r="CD134" s="87"/>
      <c r="CE134" s="87"/>
      <c r="CF134" s="87"/>
      <c r="CG134" s="87"/>
      <c r="CH134" s="87"/>
      <c r="CI134" s="87"/>
      <c r="CJ134" s="87"/>
      <c r="CK134" s="87"/>
      <c r="CL134" s="87"/>
      <c r="CM134" s="87"/>
      <c r="CN134" s="87"/>
      <c r="CO134" s="87"/>
    </row>
    <row r="135" spans="1:129" s="120" customFormat="1" hidden="1">
      <c r="A135" s="295" t="s">
        <v>834</v>
      </c>
      <c r="B135" s="94"/>
      <c r="C135" s="94"/>
      <c r="D135" s="94"/>
      <c r="E135" s="94"/>
      <c r="F135" s="295">
        <f t="shared" ref="F135:R135" si="674">F134/E134-1</f>
        <v>3.5962145110410182E-2</v>
      </c>
      <c r="G135" s="295">
        <f t="shared" si="674"/>
        <v>-0.81242387332521315</v>
      </c>
      <c r="H135" s="684">
        <f t="shared" si="674"/>
        <v>0.88961038961038952</v>
      </c>
      <c r="I135" s="1100">
        <f t="shared" si="674"/>
        <v>-0.16838487972508587</v>
      </c>
      <c r="J135" s="684">
        <f t="shared" si="674"/>
        <v>-0.52066115702479343</v>
      </c>
      <c r="K135" s="684">
        <f t="shared" si="674"/>
        <v>0.19827586206896552</v>
      </c>
      <c r="L135" s="684">
        <f t="shared" si="674"/>
        <v>-0.55035971223021585</v>
      </c>
      <c r="M135" s="1100">
        <f t="shared" si="674"/>
        <v>0.76</v>
      </c>
      <c r="N135" s="684">
        <f t="shared" si="674"/>
        <v>-0.13636363636363635</v>
      </c>
      <c r="O135" s="684">
        <f t="shared" si="674"/>
        <v>-0.87894736842105259</v>
      </c>
      <c r="P135" s="684">
        <f t="shared" si="674"/>
        <v>-96.217391304347828</v>
      </c>
      <c r="Q135" s="684">
        <f t="shared" si="674"/>
        <v>-0.96392694063926943</v>
      </c>
      <c r="R135" s="684">
        <f t="shared" si="674"/>
        <v>-1.2531645569620253</v>
      </c>
      <c r="S135" s="684">
        <f>S134/R134-1</f>
        <v>-10.7</v>
      </c>
      <c r="T135" s="684">
        <f>T134/S134-1</f>
        <v>-0.12783505154639163</v>
      </c>
      <c r="U135" s="684">
        <f t="shared" ref="U135:Y135" si="675">U134/T134-1</f>
        <v>-0.10543735224586293</v>
      </c>
      <c r="V135" s="684">
        <f t="shared" si="675"/>
        <v>-8.1078224101480023E-2</v>
      </c>
      <c r="W135" s="684">
        <f t="shared" si="675"/>
        <v>-5.6206142873576392E-2</v>
      </c>
      <c r="X135" s="684">
        <f t="shared" si="675"/>
        <v>-3.2407001121349421E-2</v>
      </c>
      <c r="Y135" s="684">
        <f t="shared" si="675"/>
        <v>-1.1047903135597115E-2</v>
      </c>
      <c r="Z135" s="1045"/>
      <c r="AA135" s="1045"/>
      <c r="AB135" s="1045"/>
      <c r="AC135" s="1045"/>
      <c r="AD135" s="1045"/>
      <c r="AE135" s="1045"/>
      <c r="AF135" s="1045"/>
      <c r="AG135" s="1045"/>
      <c r="AH135" s="1045"/>
      <c r="AI135" s="1045"/>
      <c r="AJ135" s="1045"/>
      <c r="AK135" s="1045"/>
      <c r="AL135" s="1045"/>
      <c r="AM135" s="1045"/>
      <c r="AN135" s="1045"/>
      <c r="AO135" s="1045"/>
      <c r="AP135" s="1045"/>
      <c r="AQ135" s="1045"/>
      <c r="AR135" s="1045"/>
      <c r="AS135" s="1045"/>
      <c r="AT135" s="1045"/>
      <c r="AU135" s="1045"/>
      <c r="AV135" s="1045"/>
      <c r="AW135" s="1045"/>
      <c r="AX135" s="1045"/>
      <c r="AY135" s="1045"/>
      <c r="AZ135" s="1045"/>
      <c r="BA135" s="1045"/>
      <c r="BB135" s="1045"/>
      <c r="BC135" s="1045"/>
      <c r="BD135" s="1045"/>
      <c r="BE135" s="1045"/>
      <c r="BF135" s="1045"/>
      <c r="BG135" s="1045"/>
      <c r="BH135" s="1045"/>
      <c r="BI135" s="1045"/>
      <c r="BJ135" s="1045"/>
      <c r="BK135" s="1045"/>
      <c r="BL135" s="1045"/>
      <c r="BM135" s="1045"/>
      <c r="BN135" s="1045"/>
      <c r="BO135" s="1045"/>
      <c r="BP135" s="1045"/>
      <c r="BQ135" s="1045"/>
      <c r="BR135" s="1045"/>
      <c r="BS135" s="1045"/>
      <c r="BT135" s="1045"/>
      <c r="BU135" s="1045"/>
      <c r="BV135" s="1045"/>
      <c r="BW135" s="1045"/>
      <c r="BX135" s="1045"/>
      <c r="BY135" s="94"/>
      <c r="BZ135" s="94"/>
      <c r="CA135" s="94"/>
      <c r="CB135" s="94"/>
      <c r="CC135" s="94"/>
      <c r="CD135" s="94"/>
      <c r="CE135" s="94"/>
      <c r="CF135" s="94"/>
      <c r="CG135" s="94"/>
      <c r="CH135" s="94"/>
      <c r="CI135" s="94"/>
      <c r="CJ135" s="94"/>
      <c r="CK135" s="94"/>
      <c r="CL135" s="94"/>
      <c r="CM135" s="94"/>
      <c r="CN135" s="94"/>
      <c r="CO135" s="94"/>
      <c r="DG135" s="1226"/>
      <c r="DH135" s="1226"/>
      <c r="DI135" s="1226"/>
      <c r="DJ135" s="1226"/>
      <c r="DK135" s="1226"/>
      <c r="DL135" s="1226"/>
      <c r="DM135" s="1226"/>
      <c r="DN135" s="1226"/>
      <c r="DO135" s="1226"/>
      <c r="DP135" s="1226"/>
      <c r="DQ135" s="1226"/>
      <c r="DR135" s="1226"/>
      <c r="DS135" s="1226"/>
      <c r="DT135" s="1226"/>
      <c r="DU135" s="1226"/>
      <c r="DV135" s="1226"/>
      <c r="DW135" s="1226"/>
      <c r="DX135" s="1226"/>
      <c r="DY135" s="1226"/>
    </row>
    <row r="136" spans="1:129" hidden="1">
      <c r="A136" s="87"/>
      <c r="B136" s="87"/>
      <c r="C136" s="87"/>
      <c r="D136" s="87"/>
      <c r="E136" s="87"/>
      <c r="F136" s="87"/>
      <c r="G136" s="87"/>
      <c r="H136" s="90"/>
      <c r="I136" s="1099"/>
      <c r="J136" s="90"/>
      <c r="K136" s="90"/>
      <c r="L136" s="90"/>
      <c r="M136" s="1099"/>
      <c r="N136" s="90"/>
      <c r="O136" s="90"/>
      <c r="P136" s="90"/>
      <c r="Q136" s="90"/>
      <c r="R136" s="90"/>
      <c r="S136" s="90"/>
      <c r="T136" s="90"/>
      <c r="U136" s="90"/>
      <c r="V136" s="90"/>
      <c r="W136" s="90"/>
      <c r="X136" s="90"/>
      <c r="Y136" s="90"/>
      <c r="Z136" s="1041"/>
      <c r="AA136" s="1041"/>
      <c r="AB136" s="1041"/>
      <c r="AC136" s="1041"/>
      <c r="AD136" s="1041"/>
      <c r="AE136" s="1041"/>
      <c r="AF136" s="1041"/>
      <c r="AG136" s="1041"/>
      <c r="AH136" s="1041"/>
      <c r="AI136" s="1041"/>
      <c r="AJ136" s="1041"/>
      <c r="AK136" s="1041"/>
      <c r="AL136" s="1041"/>
      <c r="AM136" s="1041"/>
      <c r="AN136" s="1041"/>
      <c r="AO136" s="1041"/>
      <c r="AP136" s="1041"/>
      <c r="AQ136" s="1041"/>
      <c r="AR136" s="1041"/>
      <c r="AS136" s="1041"/>
      <c r="AT136" s="1041"/>
      <c r="AU136" s="1041"/>
      <c r="AV136" s="1041"/>
      <c r="AW136" s="1041"/>
      <c r="AX136" s="1041"/>
      <c r="AY136" s="1041"/>
      <c r="AZ136" s="1041"/>
      <c r="BA136" s="1041"/>
      <c r="BB136" s="1041"/>
      <c r="BC136" s="1041"/>
      <c r="BD136" s="1041"/>
      <c r="BE136" s="1041"/>
      <c r="BF136" s="1041"/>
      <c r="BG136" s="1041"/>
      <c r="BH136" s="1041"/>
      <c r="BI136" s="1041"/>
      <c r="BJ136" s="1041"/>
      <c r="BK136" s="1041"/>
      <c r="BL136" s="1041"/>
      <c r="BM136" s="1041"/>
      <c r="BN136" s="1041"/>
      <c r="BO136" s="1041"/>
      <c r="BP136" s="1041"/>
      <c r="BQ136" s="1041"/>
      <c r="BR136" s="1041"/>
      <c r="BS136" s="1041"/>
      <c r="BT136" s="1041"/>
      <c r="BU136" s="1041"/>
      <c r="BV136" s="1041"/>
      <c r="BW136" s="1041"/>
      <c r="BX136" s="1041"/>
      <c r="BY136" s="87"/>
      <c r="BZ136" s="87"/>
      <c r="CA136" s="87"/>
      <c r="CB136" s="87"/>
      <c r="CC136" s="87"/>
      <c r="CD136" s="87"/>
      <c r="CE136" s="87"/>
      <c r="CF136" s="87"/>
      <c r="CG136" s="87"/>
      <c r="CH136" s="87"/>
      <c r="CI136" s="87"/>
      <c r="CJ136" s="87"/>
      <c r="CK136" s="87"/>
      <c r="CL136" s="87"/>
      <c r="CM136" s="87"/>
      <c r="CN136" s="87"/>
      <c r="CO136" s="87"/>
    </row>
    <row r="137" spans="1:129" hidden="1">
      <c r="A137" s="87" t="s">
        <v>401</v>
      </c>
      <c r="B137" s="87"/>
      <c r="C137" s="87"/>
      <c r="D137" s="87"/>
      <c r="E137" s="87"/>
      <c r="F137" s="87"/>
      <c r="G137" s="87"/>
      <c r="H137" s="90"/>
      <c r="I137" s="1099"/>
      <c r="J137" s="90"/>
      <c r="K137" s="90"/>
      <c r="L137" s="90"/>
      <c r="M137" s="1099"/>
      <c r="N137" s="90"/>
      <c r="O137" s="90"/>
      <c r="P137" s="90"/>
      <c r="Q137" s="90"/>
      <c r="R137" s="90"/>
      <c r="S137" s="90"/>
      <c r="T137" s="90"/>
      <c r="U137" s="90"/>
      <c r="V137" s="90"/>
      <c r="W137" s="90"/>
      <c r="X137" s="90"/>
      <c r="Y137" s="90"/>
      <c r="Z137" s="1041"/>
      <c r="AA137" s="1041"/>
      <c r="AB137" s="1041"/>
      <c r="AC137" s="1041"/>
      <c r="AD137" s="1041"/>
      <c r="AE137" s="1041"/>
      <c r="AF137" s="1041"/>
      <c r="AG137" s="1041"/>
      <c r="AH137" s="1041"/>
      <c r="AI137" s="1041"/>
      <c r="AJ137" s="1041"/>
      <c r="AK137" s="1041"/>
      <c r="AL137" s="1041"/>
      <c r="AM137" s="1041"/>
      <c r="AN137" s="1041"/>
      <c r="AO137" s="1041"/>
      <c r="AP137" s="1041"/>
      <c r="AQ137" s="1041"/>
      <c r="AR137" s="1041"/>
      <c r="AS137" s="1041"/>
      <c r="AT137" s="1041"/>
      <c r="AU137" s="1041"/>
      <c r="AV137" s="1041"/>
      <c r="AW137" s="1041"/>
      <c r="AX137" s="1041"/>
      <c r="AY137" s="1041"/>
      <c r="AZ137" s="1041"/>
      <c r="BA137" s="1041"/>
      <c r="BB137" s="1041"/>
      <c r="BC137" s="1041"/>
      <c r="BD137" s="1041"/>
      <c r="BE137" s="1041"/>
      <c r="BF137" s="1041"/>
      <c r="BG137" s="1041"/>
      <c r="BH137" s="1041"/>
      <c r="BI137" s="1041"/>
      <c r="BJ137" s="1041"/>
      <c r="BK137" s="1041"/>
      <c r="BL137" s="1041"/>
      <c r="BM137" s="1041"/>
      <c r="BN137" s="1041"/>
      <c r="BO137" s="1041"/>
      <c r="BP137" s="1041"/>
      <c r="BQ137" s="1041"/>
      <c r="BR137" s="1041"/>
      <c r="BS137" s="1041"/>
      <c r="BT137" s="1041"/>
      <c r="BU137" s="1041"/>
      <c r="BV137" s="1041"/>
      <c r="BW137" s="1041"/>
      <c r="BX137" s="1041"/>
      <c r="BY137" s="87"/>
      <c r="BZ137" s="87"/>
      <c r="CA137" s="87"/>
      <c r="CB137" s="87"/>
      <c r="CC137" s="87"/>
      <c r="CD137" s="87"/>
      <c r="CE137" s="87"/>
      <c r="CF137" s="87"/>
      <c r="CG137" s="87"/>
      <c r="CH137" s="87"/>
      <c r="CI137" s="87"/>
      <c r="CJ137" s="87"/>
      <c r="CK137" s="87"/>
      <c r="CL137" s="87"/>
      <c r="CM137" s="87"/>
      <c r="CN137" s="87"/>
      <c r="CO137" s="87"/>
    </row>
    <row r="138" spans="1:129" hidden="1">
      <c r="A138" s="87" t="s">
        <v>402</v>
      </c>
      <c r="B138" s="87"/>
      <c r="C138" s="87"/>
      <c r="D138" s="87"/>
      <c r="E138" s="509">
        <v>0.9</v>
      </c>
      <c r="F138" s="509">
        <f t="shared" ref="F138:R138" si="676">E138</f>
        <v>0.9</v>
      </c>
      <c r="G138" s="509">
        <f t="shared" si="676"/>
        <v>0.9</v>
      </c>
      <c r="H138" s="692">
        <f t="shared" si="676"/>
        <v>0.9</v>
      </c>
      <c r="I138" s="1106">
        <f t="shared" si="676"/>
        <v>0.9</v>
      </c>
      <c r="J138" s="692">
        <f t="shared" si="676"/>
        <v>0.9</v>
      </c>
      <c r="K138" s="692">
        <f t="shared" si="676"/>
        <v>0.9</v>
      </c>
      <c r="L138" s="692">
        <f t="shared" si="676"/>
        <v>0.9</v>
      </c>
      <c r="M138" s="1106">
        <f t="shared" si="676"/>
        <v>0.9</v>
      </c>
      <c r="N138" s="692">
        <f t="shared" si="676"/>
        <v>0.9</v>
      </c>
      <c r="O138" s="692">
        <f t="shared" si="676"/>
        <v>0.9</v>
      </c>
      <c r="P138" s="692">
        <f t="shared" si="676"/>
        <v>0.9</v>
      </c>
      <c r="Q138" s="692">
        <f t="shared" si="676"/>
        <v>0.9</v>
      </c>
      <c r="R138" s="692">
        <f t="shared" si="676"/>
        <v>0.9</v>
      </c>
      <c r="S138" s="692">
        <f>R138</f>
        <v>0.9</v>
      </c>
      <c r="T138" s="692">
        <f>S138</f>
        <v>0.9</v>
      </c>
      <c r="U138" s="692">
        <f t="shared" ref="U138:Y138" si="677">T138</f>
        <v>0.9</v>
      </c>
      <c r="V138" s="692">
        <f t="shared" si="677"/>
        <v>0.9</v>
      </c>
      <c r="W138" s="692">
        <f t="shared" si="677"/>
        <v>0.9</v>
      </c>
      <c r="X138" s="692">
        <f t="shared" si="677"/>
        <v>0.9</v>
      </c>
      <c r="Y138" s="692">
        <f t="shared" si="677"/>
        <v>0.9</v>
      </c>
      <c r="Z138" s="1041"/>
      <c r="AA138" s="1041"/>
      <c r="AB138" s="1041"/>
      <c r="AC138" s="1041"/>
      <c r="AD138" s="1041"/>
      <c r="AE138" s="1041"/>
      <c r="AF138" s="1041"/>
      <c r="AG138" s="1041"/>
      <c r="AH138" s="1041"/>
      <c r="AI138" s="1041"/>
      <c r="AJ138" s="1041"/>
      <c r="AK138" s="1041"/>
      <c r="AL138" s="1041"/>
      <c r="AM138" s="1041"/>
      <c r="AN138" s="1041"/>
      <c r="AO138" s="1041"/>
      <c r="AP138" s="1041"/>
      <c r="AQ138" s="1041"/>
      <c r="AR138" s="1041"/>
      <c r="AS138" s="1041"/>
      <c r="AT138" s="1041"/>
      <c r="AU138" s="1041"/>
      <c r="AV138" s="1041"/>
      <c r="AW138" s="1041"/>
      <c r="AX138" s="1041"/>
      <c r="AY138" s="1041"/>
      <c r="AZ138" s="1041"/>
      <c r="BA138" s="1041"/>
      <c r="BB138" s="1041"/>
      <c r="BC138" s="1041"/>
      <c r="BD138" s="1041"/>
      <c r="BE138" s="1041"/>
      <c r="BF138" s="1041"/>
      <c r="BG138" s="1041"/>
      <c r="BH138" s="1041"/>
      <c r="BI138" s="1041"/>
      <c r="BJ138" s="1041"/>
      <c r="BK138" s="1041"/>
      <c r="BL138" s="1041"/>
      <c r="BM138" s="1041"/>
      <c r="BN138" s="1041"/>
      <c r="BO138" s="1041"/>
      <c r="BP138" s="1041"/>
      <c r="BQ138" s="1041"/>
      <c r="BR138" s="1041"/>
      <c r="BS138" s="1041"/>
      <c r="BT138" s="1041"/>
      <c r="BU138" s="1041"/>
      <c r="BV138" s="1041"/>
      <c r="BW138" s="1041"/>
      <c r="BX138" s="1041"/>
      <c r="BY138" s="87"/>
      <c r="BZ138" s="87"/>
      <c r="CA138" s="87"/>
      <c r="CB138" s="87"/>
      <c r="CC138" s="87"/>
      <c r="CD138" s="87"/>
      <c r="CE138" s="87"/>
      <c r="CF138" s="87"/>
      <c r="CG138" s="87"/>
      <c r="CH138" s="87"/>
      <c r="CI138" s="87"/>
      <c r="CJ138" s="87"/>
      <c r="CK138" s="87"/>
      <c r="CL138" s="87"/>
      <c r="CM138" s="87"/>
      <c r="CN138" s="87"/>
      <c r="CO138" s="87"/>
    </row>
    <row r="139" spans="1:129" s="170" customFormat="1" hidden="1">
      <c r="A139" s="109" t="s">
        <v>403</v>
      </c>
      <c r="B139" s="109"/>
      <c r="C139" s="109"/>
      <c r="D139" s="109"/>
      <c r="E139" s="109">
        <f>(Lines!M90+E14/1000)*E138</f>
        <v>4629.6000000000004</v>
      </c>
      <c r="F139" s="109">
        <f>(Lines!N90+F14/1000)*F138</f>
        <v>6107.4000000000005</v>
      </c>
      <c r="G139" s="109">
        <f>(Lines!O90+G14/1000)*G138</f>
        <v>6384.6</v>
      </c>
      <c r="H139" s="385">
        <f>(Lines!P90+H14/1000)*H138</f>
        <v>6908.4000000000005</v>
      </c>
      <c r="I139" s="1094">
        <f>(Lines!Q90+I14/1000)*I138</f>
        <v>7344</v>
      </c>
      <c r="J139" s="385">
        <f>(Lines!R90+J14/1000)*J138</f>
        <v>7552.8</v>
      </c>
      <c r="K139" s="385">
        <f>(Lines!S90+K14/1000)*K138</f>
        <v>7803</v>
      </c>
      <c r="L139" s="385">
        <f>(Lines!T90+L14/1000)*L138</f>
        <v>7915.5</v>
      </c>
      <c r="M139" s="1094">
        <f>(Lines!U90+M14/1000)*M138</f>
        <v>8113.5</v>
      </c>
      <c r="N139" s="385">
        <f>(Lines!V90+N14/1000)*N138</f>
        <v>8284.5</v>
      </c>
      <c r="O139" s="385">
        <f>(Lines!W90+O14/1000)*O138</f>
        <v>8305.2000000000007</v>
      </c>
      <c r="P139" s="385">
        <f>(Lines!X90+P14/1000)*P138</f>
        <v>6334.2</v>
      </c>
      <c r="Q139" s="385">
        <f>(Lines!Y90+Q14/1000)*Q138</f>
        <v>6263.1</v>
      </c>
      <c r="R139" s="385">
        <f>(Lines!Z90+R14/1000)*R138</f>
        <v>6281.1</v>
      </c>
      <c r="S139" s="385">
        <f>(Lines!AA90+S14/1000)*S138</f>
        <v>6106.5</v>
      </c>
      <c r="T139" s="385">
        <f>(Lines!AB90+T14/1000)*T138</f>
        <v>5954.22</v>
      </c>
      <c r="U139" s="385">
        <f>(Lines!AC90+U14/1000)*U138</f>
        <v>5817.9960000000001</v>
      </c>
      <c r="V139" s="385">
        <f>(Lines!AD90+V14/1000)*V138</f>
        <v>5692.8167999999996</v>
      </c>
      <c r="W139" s="385">
        <f>(Lines!AE90+W14/1000)*W138</f>
        <v>5574.6734399999996</v>
      </c>
      <c r="X139" s="385">
        <f>(Lines!AF90+X14/1000)*X138</f>
        <v>5460.3587520000001</v>
      </c>
      <c r="Y139" s="385">
        <f>(Lines!AG90+Y14/1000)*Y138</f>
        <v>5347.3070016000001</v>
      </c>
      <c r="Z139" s="1044"/>
      <c r="AA139" s="1044"/>
      <c r="AB139" s="1044"/>
      <c r="AC139" s="1044"/>
      <c r="AD139" s="1044"/>
      <c r="AE139" s="1044"/>
      <c r="AF139" s="1044"/>
      <c r="AG139" s="1044"/>
      <c r="AH139" s="1044"/>
      <c r="AI139" s="1044"/>
      <c r="AJ139" s="1044"/>
      <c r="AK139" s="1044"/>
      <c r="AL139" s="1044"/>
      <c r="AM139" s="1044"/>
      <c r="AN139" s="1044"/>
      <c r="AO139" s="1044"/>
      <c r="AP139" s="1044"/>
      <c r="AQ139" s="1044"/>
      <c r="AR139" s="1044"/>
      <c r="AS139" s="1044"/>
      <c r="AT139" s="1044"/>
      <c r="AU139" s="1044"/>
      <c r="AV139" s="1044"/>
      <c r="AW139" s="1044"/>
      <c r="AX139" s="1044"/>
      <c r="AY139" s="1044"/>
      <c r="AZ139" s="1044"/>
      <c r="BA139" s="1044"/>
      <c r="BB139" s="1044"/>
      <c r="BC139" s="1044"/>
      <c r="BD139" s="1044"/>
      <c r="BE139" s="1044"/>
      <c r="BF139" s="1044"/>
      <c r="BG139" s="1044"/>
      <c r="BH139" s="1044"/>
      <c r="BI139" s="1044"/>
      <c r="BJ139" s="1044"/>
      <c r="BK139" s="1044"/>
      <c r="BL139" s="1044"/>
      <c r="BM139" s="1044"/>
      <c r="BN139" s="1044"/>
      <c r="BO139" s="1044"/>
      <c r="BP139" s="1044"/>
      <c r="BQ139" s="1044"/>
      <c r="BR139" s="1044"/>
      <c r="BS139" s="1044"/>
      <c r="BT139" s="1044"/>
      <c r="BU139" s="1044"/>
      <c r="BV139" s="1044"/>
      <c r="BW139" s="1044"/>
      <c r="BX139" s="1044"/>
      <c r="BY139" s="109"/>
      <c r="BZ139" s="109"/>
      <c r="CA139" s="109"/>
      <c r="CB139" s="109"/>
      <c r="CC139" s="109"/>
      <c r="CD139" s="109"/>
      <c r="CE139" s="109"/>
      <c r="CF139" s="109"/>
      <c r="CG139" s="109"/>
      <c r="CH139" s="109"/>
      <c r="CI139" s="109"/>
      <c r="CJ139" s="109"/>
      <c r="CK139" s="109"/>
      <c r="CL139" s="109"/>
      <c r="CM139" s="109"/>
      <c r="CN139" s="109"/>
      <c r="CO139" s="109"/>
      <c r="DG139" s="1425"/>
      <c r="DH139" s="1425"/>
      <c r="DI139" s="1425"/>
      <c r="DJ139" s="1425"/>
      <c r="DK139" s="1425"/>
      <c r="DL139" s="1425"/>
      <c r="DM139" s="1425"/>
      <c r="DN139" s="1425"/>
      <c r="DO139" s="1425"/>
      <c r="DP139" s="1425"/>
      <c r="DQ139" s="1425"/>
      <c r="DR139" s="1425"/>
      <c r="DS139" s="1425"/>
      <c r="DT139" s="1425"/>
      <c r="DU139" s="1425"/>
      <c r="DV139" s="1425"/>
      <c r="DW139" s="1425"/>
      <c r="DX139" s="1425"/>
      <c r="DY139" s="1425"/>
    </row>
    <row r="140" spans="1:129" s="573" customFormat="1" hidden="1">
      <c r="A140" s="435" t="s">
        <v>404</v>
      </c>
      <c r="B140" s="436"/>
      <c r="C140" s="436"/>
      <c r="D140" s="436"/>
      <c r="E140" s="435">
        <f>E139/Lines!M11</f>
        <v>0.19792162930202289</v>
      </c>
      <c r="F140" s="435">
        <f>F139/Lines!N11</f>
        <v>0.26859882135631985</v>
      </c>
      <c r="G140" s="435">
        <f>G139/Lines!O11</f>
        <v>0.43089694270095164</v>
      </c>
      <c r="H140" s="967">
        <f>H139/Lines!P11</f>
        <v>0.51878371936477163</v>
      </c>
      <c r="I140" s="1107">
        <f>I139/Lines!Q11</f>
        <v>0.53754940711462451</v>
      </c>
      <c r="J140" s="967">
        <f>J139/Lines!R11</f>
        <v>0.60066804517257832</v>
      </c>
      <c r="K140" s="967">
        <f>K139/Lines!S11</f>
        <v>0.66183206106870229</v>
      </c>
      <c r="L140" s="967">
        <f>L139/Lines!T11</f>
        <v>0.70617361049156924</v>
      </c>
      <c r="M140" s="1107">
        <f>M139/Lines!U11</f>
        <v>0.75622145586727563</v>
      </c>
      <c r="N140" s="967">
        <f>N139/Lines!V11</f>
        <v>0.81236516964110606</v>
      </c>
      <c r="O140" s="967">
        <f>O139/Lines!W11</f>
        <v>0.87074858460893279</v>
      </c>
      <c r="P140" s="967">
        <f>P139/Lines!X11</f>
        <v>0.88901052631578947</v>
      </c>
      <c r="Q140" s="967">
        <f>Q139/Lines!Y11</f>
        <v>0.94708906698926365</v>
      </c>
      <c r="R140" s="967" t="e">
        <f>R139/Lines!Z11</f>
        <v>#DIV/0!</v>
      </c>
      <c r="S140" s="967" t="e">
        <f>S139/Lines!AA11</f>
        <v>#DIV/0!</v>
      </c>
      <c r="T140" s="967" t="e">
        <f>T139/Lines!AB11</f>
        <v>#DIV/0!</v>
      </c>
      <c r="U140" s="967" t="e">
        <f>U139/Lines!AC11</f>
        <v>#DIV/0!</v>
      </c>
      <c r="V140" s="967" t="e">
        <f>V139/Lines!AD11</f>
        <v>#DIV/0!</v>
      </c>
      <c r="W140" s="967" t="e">
        <f>W139/Lines!AE11</f>
        <v>#DIV/0!</v>
      </c>
      <c r="X140" s="967" t="e">
        <f>X139/Lines!AF11</f>
        <v>#DIV/0!</v>
      </c>
      <c r="Y140" s="967" t="e">
        <f>Y139/Lines!AG11</f>
        <v>#DIV/0!</v>
      </c>
      <c r="Z140" s="1062"/>
      <c r="AA140" s="1062"/>
      <c r="AB140" s="1062"/>
      <c r="AC140" s="1062"/>
      <c r="AD140" s="1062"/>
      <c r="AE140" s="1062"/>
      <c r="AF140" s="1062"/>
      <c r="AG140" s="1062"/>
      <c r="AH140" s="1062"/>
      <c r="AI140" s="1062"/>
      <c r="AJ140" s="1062"/>
      <c r="AK140" s="1062"/>
      <c r="AL140" s="1062"/>
      <c r="AM140" s="1062"/>
      <c r="AN140" s="1062"/>
      <c r="AO140" s="1062"/>
      <c r="AP140" s="1062"/>
      <c r="AQ140" s="1062"/>
      <c r="AR140" s="1062"/>
      <c r="AS140" s="1062"/>
      <c r="AT140" s="1062"/>
      <c r="AU140" s="1062"/>
      <c r="AV140" s="1062"/>
      <c r="AW140" s="1062"/>
      <c r="AX140" s="1062"/>
      <c r="AY140" s="1062"/>
      <c r="AZ140" s="1062"/>
      <c r="BA140" s="1062"/>
      <c r="BB140" s="1062"/>
      <c r="BC140" s="1062"/>
      <c r="BD140" s="1062"/>
      <c r="BE140" s="1062"/>
      <c r="BF140" s="1062"/>
      <c r="BG140" s="1062"/>
      <c r="BH140" s="1062"/>
      <c r="BI140" s="1062"/>
      <c r="BJ140" s="1062"/>
      <c r="BK140" s="1062"/>
      <c r="BL140" s="1062"/>
      <c r="BM140" s="1062"/>
      <c r="BN140" s="1062"/>
      <c r="BO140" s="1062"/>
      <c r="BP140" s="1062"/>
      <c r="BQ140" s="1062"/>
      <c r="BR140" s="1062"/>
      <c r="BS140" s="1062"/>
      <c r="BT140" s="1062"/>
      <c r="BU140" s="1062"/>
      <c r="BV140" s="1062"/>
      <c r="BW140" s="1062"/>
      <c r="BX140" s="1062"/>
      <c r="BY140" s="436"/>
      <c r="BZ140" s="436"/>
      <c r="CA140" s="436"/>
      <c r="CB140" s="436"/>
      <c r="CC140" s="436"/>
      <c r="CD140" s="436"/>
      <c r="CE140" s="436"/>
      <c r="CF140" s="436"/>
      <c r="CG140" s="436"/>
      <c r="CH140" s="436"/>
      <c r="CI140" s="436"/>
      <c r="CJ140" s="436"/>
      <c r="CK140" s="436"/>
      <c r="CL140" s="436"/>
      <c r="CM140" s="436"/>
      <c r="CN140" s="436"/>
      <c r="CO140" s="436"/>
      <c r="DG140" s="1551"/>
      <c r="DH140" s="1551"/>
      <c r="DI140" s="1551"/>
      <c r="DJ140" s="1551"/>
      <c r="DK140" s="1551"/>
      <c r="DL140" s="1551"/>
      <c r="DM140" s="1551"/>
      <c r="DN140" s="1551"/>
      <c r="DO140" s="1551"/>
      <c r="DP140" s="1551"/>
      <c r="DQ140" s="1551"/>
      <c r="DR140" s="1551"/>
      <c r="DS140" s="1551"/>
      <c r="DT140" s="1551"/>
      <c r="DU140" s="1551"/>
      <c r="DV140" s="1551"/>
      <c r="DW140" s="1551"/>
      <c r="DX140" s="1551"/>
      <c r="DY140" s="1551"/>
    </row>
    <row r="141" spans="1:129" hidden="1">
      <c r="A141" s="87"/>
      <c r="B141" s="87"/>
      <c r="C141" s="87"/>
      <c r="D141" s="87"/>
      <c r="E141" s="87"/>
      <c r="F141" s="87"/>
      <c r="G141" s="87"/>
      <c r="H141" s="90"/>
      <c r="I141" s="1099"/>
      <c r="J141" s="90"/>
      <c r="K141" s="90"/>
      <c r="L141" s="90"/>
      <c r="M141" s="1099"/>
      <c r="N141" s="90"/>
      <c r="O141" s="90"/>
      <c r="P141" s="90"/>
      <c r="Q141" s="90"/>
      <c r="R141" s="90"/>
      <c r="S141" s="90"/>
      <c r="T141" s="90"/>
      <c r="U141" s="90"/>
      <c r="V141" s="90"/>
      <c r="W141" s="90"/>
      <c r="X141" s="90"/>
      <c r="Y141" s="90"/>
      <c r="Z141" s="1041"/>
      <c r="AA141" s="1041"/>
      <c r="AB141" s="1041"/>
      <c r="AC141" s="1041"/>
      <c r="AD141" s="1041"/>
      <c r="AE141" s="1041"/>
      <c r="AF141" s="1041"/>
      <c r="AG141" s="1041"/>
      <c r="AH141" s="1041"/>
      <c r="AI141" s="1041"/>
      <c r="AJ141" s="1041"/>
      <c r="AK141" s="1041"/>
      <c r="AL141" s="1041"/>
      <c r="AM141" s="1041"/>
      <c r="AN141" s="1041"/>
      <c r="AO141" s="1041"/>
      <c r="AP141" s="1041"/>
      <c r="AQ141" s="1041"/>
      <c r="AR141" s="1041"/>
      <c r="AS141" s="1041"/>
      <c r="AT141" s="1041"/>
      <c r="AU141" s="1041"/>
      <c r="AV141" s="1041"/>
      <c r="AW141" s="1041"/>
      <c r="AX141" s="1041"/>
      <c r="AY141" s="1041"/>
      <c r="AZ141" s="1041"/>
      <c r="BA141" s="1041"/>
      <c r="BB141" s="1041"/>
      <c r="BC141" s="1041"/>
      <c r="BD141" s="1041"/>
      <c r="BE141" s="1041"/>
      <c r="BF141" s="1041"/>
      <c r="BG141" s="1041"/>
      <c r="BH141" s="1041"/>
      <c r="BI141" s="1041"/>
      <c r="BJ141" s="1041"/>
      <c r="BK141" s="1041"/>
      <c r="BL141" s="1041"/>
      <c r="BM141" s="1041"/>
      <c r="BN141" s="1041"/>
      <c r="BO141" s="1041"/>
      <c r="BP141" s="1041"/>
      <c r="BQ141" s="1041"/>
      <c r="BR141" s="1041"/>
      <c r="BS141" s="1041"/>
      <c r="BT141" s="1041"/>
      <c r="BU141" s="1041"/>
      <c r="BV141" s="1041"/>
      <c r="BW141" s="1041"/>
      <c r="BX141" s="1041"/>
      <c r="BY141" s="87"/>
      <c r="BZ141" s="87"/>
      <c r="CA141" s="87"/>
      <c r="CB141" s="87"/>
      <c r="CC141" s="87"/>
      <c r="CD141" s="87"/>
      <c r="CE141" s="87"/>
      <c r="CF141" s="87"/>
      <c r="CG141" s="87"/>
      <c r="CH141" s="87"/>
      <c r="CI141" s="87"/>
      <c r="CJ141" s="87"/>
      <c r="CK141" s="87"/>
      <c r="CL141" s="87"/>
      <c r="CM141" s="87"/>
      <c r="CN141" s="87"/>
      <c r="CO141" s="87"/>
    </row>
    <row r="142" spans="1:129" s="170" customFormat="1" hidden="1">
      <c r="A142" s="109" t="s">
        <v>405</v>
      </c>
      <c r="B142" s="109"/>
      <c r="C142" s="109"/>
      <c r="D142" s="109"/>
      <c r="E142" s="109"/>
      <c r="F142" s="109">
        <f t="shared" ref="F142:N142" si="678">F91</f>
        <v>173.88</v>
      </c>
      <c r="G142" s="109">
        <f t="shared" si="678"/>
        <v>449.82</v>
      </c>
      <c r="H142" s="385">
        <f t="shared" si="678"/>
        <v>1142.3639393939393</v>
      </c>
      <c r="I142" s="1094">
        <f t="shared" ca="1" si="678"/>
        <v>1943.9926808144573</v>
      </c>
      <c r="J142" s="385">
        <f t="shared" si="678"/>
        <v>2516.2624875715128</v>
      </c>
      <c r="K142" s="385">
        <f t="shared" si="678"/>
        <v>3058.0477725634173</v>
      </c>
      <c r="L142" s="385">
        <f t="shared" si="678"/>
        <v>3511.5821455836099</v>
      </c>
      <c r="M142" s="1094">
        <f t="shared" si="678"/>
        <v>3886.4030128938857</v>
      </c>
      <c r="N142" s="385">
        <f t="shared" si="678"/>
        <v>4135.4885389147639</v>
      </c>
      <c r="O142" s="385">
        <f t="shared" ref="O142:T142" si="679">O91</f>
        <v>4317.692075055711</v>
      </c>
      <c r="P142" s="385">
        <f t="shared" si="679"/>
        <v>3768.5019673123657</v>
      </c>
      <c r="Q142" s="385">
        <f t="shared" si="679"/>
        <v>3543.4371444896506</v>
      </c>
      <c r="R142" s="385">
        <f t="shared" ref="R142" si="680">R91</f>
        <v>6882.9814812348632</v>
      </c>
      <c r="S142" s="385">
        <f t="shared" si="679"/>
        <v>6827.6870831462948</v>
      </c>
      <c r="T142" s="385">
        <f t="shared" si="679"/>
        <v>6827.0043144379797</v>
      </c>
      <c r="U142" s="385">
        <f t="shared" ref="U142:Y142" si="681">U91</f>
        <v>6826.3216140065379</v>
      </c>
      <c r="V142" s="385">
        <f t="shared" si="681"/>
        <v>6825.638981845138</v>
      </c>
      <c r="W142" s="385">
        <f t="shared" si="681"/>
        <v>6824.9564179469508</v>
      </c>
      <c r="X142" s="385">
        <f t="shared" si="681"/>
        <v>6824.2739223051558</v>
      </c>
      <c r="Y142" s="385">
        <f t="shared" si="681"/>
        <v>6823.5914949129265</v>
      </c>
      <c r="Z142" s="1044"/>
      <c r="AA142" s="1044"/>
      <c r="AB142" s="1044"/>
      <c r="AC142" s="1044"/>
      <c r="AD142" s="1044"/>
      <c r="AE142" s="1044"/>
      <c r="AF142" s="1044"/>
      <c r="AG142" s="1044"/>
      <c r="AH142" s="1044"/>
      <c r="AI142" s="1044"/>
      <c r="AJ142" s="1044"/>
      <c r="AK142" s="1044"/>
      <c r="AL142" s="1044"/>
      <c r="AM142" s="1044"/>
      <c r="AN142" s="1044"/>
      <c r="AO142" s="1044"/>
      <c r="AP142" s="1044"/>
      <c r="AQ142" s="1044"/>
      <c r="AR142" s="1044"/>
      <c r="AS142" s="1044"/>
      <c r="AT142" s="1044"/>
      <c r="AU142" s="1044"/>
      <c r="AV142" s="1044"/>
      <c r="AW142" s="1044"/>
      <c r="AX142" s="1044"/>
      <c r="AY142" s="1044"/>
      <c r="AZ142" s="1044"/>
      <c r="BA142" s="1044"/>
      <c r="BB142" s="1044"/>
      <c r="BC142" s="1044"/>
      <c r="BD142" s="1044"/>
      <c r="BE142" s="1044"/>
      <c r="BF142" s="1044"/>
      <c r="BG142" s="1044"/>
      <c r="BH142" s="1044"/>
      <c r="BI142" s="1044"/>
      <c r="BJ142" s="1044"/>
      <c r="BK142" s="1044"/>
      <c r="BL142" s="1044"/>
      <c r="BM142" s="1044"/>
      <c r="BN142" s="1044"/>
      <c r="BO142" s="1044"/>
      <c r="BP142" s="1044"/>
      <c r="BQ142" s="1044"/>
      <c r="BR142" s="1044"/>
      <c r="BS142" s="1044"/>
      <c r="BT142" s="1044"/>
      <c r="BU142" s="1044"/>
      <c r="BV142" s="1044"/>
      <c r="BW142" s="1044"/>
      <c r="BX142" s="1044"/>
      <c r="BY142" s="109"/>
      <c r="BZ142" s="109">
        <f t="shared" ref="BZ142:CH142" si="682">BZ91</f>
        <v>4.2</v>
      </c>
      <c r="CA142" s="109">
        <f t="shared" si="682"/>
        <v>7.875</v>
      </c>
      <c r="CB142" s="109">
        <f t="shared" si="682"/>
        <v>18.164999999999999</v>
      </c>
      <c r="CC142" s="109">
        <f t="shared" si="682"/>
        <v>34.125</v>
      </c>
      <c r="CD142" s="109">
        <f t="shared" si="682"/>
        <v>58.274999999999999</v>
      </c>
      <c r="CE142" s="109">
        <f t="shared" si="682"/>
        <v>90.614999999999995</v>
      </c>
      <c r="CF142" s="109">
        <f t="shared" si="682"/>
        <v>129.36000000000001</v>
      </c>
      <c r="CG142" s="109">
        <f t="shared" si="682"/>
        <v>171.57</v>
      </c>
      <c r="CH142" s="109">
        <f t="shared" si="682"/>
        <v>218.715</v>
      </c>
      <c r="CI142" s="109"/>
      <c r="CJ142" s="109"/>
      <c r="CK142" s="109"/>
      <c r="CL142" s="109"/>
      <c r="CM142" s="109"/>
      <c r="CN142" s="109"/>
      <c r="CO142" s="109"/>
      <c r="DG142" s="1425"/>
      <c r="DH142" s="1425"/>
      <c r="DI142" s="1425"/>
      <c r="DJ142" s="1425"/>
      <c r="DK142" s="1425"/>
      <c r="DL142" s="1425"/>
      <c r="DM142" s="1425"/>
      <c r="DN142" s="1425"/>
      <c r="DO142" s="1425"/>
      <c r="DP142" s="1425"/>
      <c r="DQ142" s="1425"/>
      <c r="DR142" s="1425"/>
      <c r="DS142" s="1425"/>
      <c r="DT142" s="1425"/>
      <c r="DU142" s="1425"/>
      <c r="DV142" s="1425"/>
      <c r="DW142" s="1425"/>
      <c r="DX142" s="1425"/>
      <c r="DY142" s="1425"/>
    </row>
    <row r="143" spans="1:129" hidden="1">
      <c r="A143" s="87" t="s">
        <v>406</v>
      </c>
      <c r="B143" s="87"/>
      <c r="C143" s="87"/>
      <c r="D143" s="87"/>
      <c r="E143" s="87"/>
      <c r="F143" s="87"/>
      <c r="G143" s="87">
        <f>(G144/12)/G84*1000000</f>
        <v>28.585409252669042</v>
      </c>
      <c r="H143" s="693">
        <v>30</v>
      </c>
      <c r="I143" s="1108">
        <f t="shared" ref="I143:R143" si="683">H143</f>
        <v>30</v>
      </c>
      <c r="J143" s="693">
        <f t="shared" si="683"/>
        <v>30</v>
      </c>
      <c r="K143" s="693">
        <f t="shared" si="683"/>
        <v>30</v>
      </c>
      <c r="L143" s="693">
        <f t="shared" si="683"/>
        <v>30</v>
      </c>
      <c r="M143" s="1108">
        <f t="shared" si="683"/>
        <v>30</v>
      </c>
      <c r="N143" s="693">
        <f t="shared" si="683"/>
        <v>30</v>
      </c>
      <c r="O143" s="693">
        <f t="shared" si="683"/>
        <v>30</v>
      </c>
      <c r="P143" s="693">
        <f t="shared" si="683"/>
        <v>30</v>
      </c>
      <c r="Q143" s="693">
        <f t="shared" si="683"/>
        <v>30</v>
      </c>
      <c r="R143" s="693">
        <f t="shared" si="683"/>
        <v>30</v>
      </c>
      <c r="S143" s="693">
        <f>R143</f>
        <v>30</v>
      </c>
      <c r="T143" s="693">
        <f>S143</f>
        <v>30</v>
      </c>
      <c r="U143" s="693">
        <f t="shared" ref="U143:Y143" si="684">T143</f>
        <v>30</v>
      </c>
      <c r="V143" s="693">
        <f t="shared" si="684"/>
        <v>30</v>
      </c>
      <c r="W143" s="693">
        <f t="shared" si="684"/>
        <v>30</v>
      </c>
      <c r="X143" s="693">
        <f t="shared" si="684"/>
        <v>30</v>
      </c>
      <c r="Y143" s="693">
        <f t="shared" si="684"/>
        <v>30</v>
      </c>
      <c r="Z143" s="1041"/>
      <c r="AA143" s="1041"/>
      <c r="AB143" s="1041"/>
      <c r="AC143" s="1041"/>
      <c r="AD143" s="1041"/>
      <c r="AE143" s="1041"/>
      <c r="AF143" s="1041"/>
      <c r="AG143" s="1041"/>
      <c r="AH143" s="1041"/>
      <c r="AI143" s="1041"/>
      <c r="AJ143" s="1041"/>
      <c r="AK143" s="1041"/>
      <c r="AL143" s="1041"/>
      <c r="AM143" s="1041"/>
      <c r="AN143" s="1041"/>
      <c r="AO143" s="1041"/>
      <c r="AP143" s="1041"/>
      <c r="AQ143" s="1041"/>
      <c r="AR143" s="1041"/>
      <c r="AS143" s="1041"/>
      <c r="AT143" s="1041"/>
      <c r="AU143" s="1041"/>
      <c r="AV143" s="1041"/>
      <c r="AW143" s="1041"/>
      <c r="AX143" s="1041"/>
      <c r="AY143" s="1041"/>
      <c r="AZ143" s="1041"/>
      <c r="BA143" s="1041"/>
      <c r="BB143" s="1041"/>
      <c r="BC143" s="1041"/>
      <c r="BD143" s="1041"/>
      <c r="BE143" s="1041"/>
      <c r="BF143" s="1041"/>
      <c r="BG143" s="1041"/>
      <c r="BH143" s="1041"/>
      <c r="BI143" s="1041"/>
      <c r="BJ143" s="1041"/>
      <c r="BK143" s="1041"/>
      <c r="BL143" s="1041"/>
      <c r="BM143" s="1041"/>
      <c r="BN143" s="1041"/>
      <c r="BO143" s="1041"/>
      <c r="BP143" s="1041"/>
      <c r="BQ143" s="1041"/>
      <c r="BR143" s="1041"/>
      <c r="BS143" s="1041"/>
      <c r="BT143" s="1041"/>
      <c r="BU143" s="1041"/>
      <c r="BV143" s="1041"/>
      <c r="BW143" s="1041"/>
      <c r="BX143" s="1041"/>
      <c r="BY143" s="87"/>
      <c r="BZ143" s="600">
        <v>30</v>
      </c>
      <c r="CA143" s="600">
        <f t="shared" ref="CA143:CH143" si="685">BZ143</f>
        <v>30</v>
      </c>
      <c r="CB143" s="600">
        <f t="shared" si="685"/>
        <v>30</v>
      </c>
      <c r="CC143" s="600">
        <f t="shared" si="685"/>
        <v>30</v>
      </c>
      <c r="CD143" s="600">
        <f t="shared" si="685"/>
        <v>30</v>
      </c>
      <c r="CE143" s="600">
        <f t="shared" si="685"/>
        <v>30</v>
      </c>
      <c r="CF143" s="600">
        <f t="shared" si="685"/>
        <v>30</v>
      </c>
      <c r="CG143" s="600">
        <f t="shared" si="685"/>
        <v>30</v>
      </c>
      <c r="CH143" s="600">
        <f t="shared" si="685"/>
        <v>30</v>
      </c>
      <c r="CI143" s="87"/>
      <c r="CJ143" s="87"/>
      <c r="CK143" s="87"/>
      <c r="CL143" s="87"/>
      <c r="CM143" s="87"/>
      <c r="CN143" s="87"/>
      <c r="CO143" s="87"/>
    </row>
    <row r="144" spans="1:129" s="170" customFormat="1" hidden="1">
      <c r="A144" s="109" t="s">
        <v>407</v>
      </c>
      <c r="B144" s="109"/>
      <c r="C144" s="109"/>
      <c r="D144" s="109"/>
      <c r="E144" s="109"/>
      <c r="F144" s="109">
        <f>SUM(BZ144:CC144)</f>
        <v>26.685000000000002</v>
      </c>
      <c r="G144" s="109">
        <f>SUM(CD144:CG144)</f>
        <v>192.78</v>
      </c>
      <c r="H144" s="385">
        <f t="shared" ref="H144:N144" si="686">H143*12*H84/1000000</f>
        <v>489.58454545454543</v>
      </c>
      <c r="I144" s="1094">
        <f t="shared" si="686"/>
        <v>850.02300000000002</v>
      </c>
      <c r="J144" s="385">
        <f t="shared" si="686"/>
        <v>1116.0899999999999</v>
      </c>
      <c r="K144" s="385">
        <f t="shared" si="686"/>
        <v>1378.2149999999999</v>
      </c>
      <c r="L144" s="385">
        <f t="shared" si="686"/>
        <v>1608.075</v>
      </c>
      <c r="M144" s="1094">
        <f t="shared" si="686"/>
        <v>1808.46</v>
      </c>
      <c r="N144" s="385">
        <f t="shared" si="686"/>
        <v>1955.385</v>
      </c>
      <c r="O144" s="385">
        <f t="shared" ref="O144:T144" si="687">O143*12*O84/1000000</f>
        <v>2074.41</v>
      </c>
      <c r="P144" s="385">
        <f t="shared" si="687"/>
        <v>1839.0150000000001</v>
      </c>
      <c r="Q144" s="385">
        <f t="shared" si="687"/>
        <v>1734.84</v>
      </c>
      <c r="R144" s="385">
        <f t="shared" ref="R144" si="688">R143*12*R84/1000000</f>
        <v>1645.7625</v>
      </c>
      <c r="S144" s="385">
        <f t="shared" si="687"/>
        <v>1616.3775000000001</v>
      </c>
      <c r="T144" s="385">
        <f t="shared" si="687"/>
        <v>1600.2137250000001</v>
      </c>
      <c r="U144" s="385">
        <f t="shared" ref="U144" si="689">U143*12*U84/1000000</f>
        <v>1584.2115877500003</v>
      </c>
      <c r="V144" s="385">
        <f t="shared" ref="V144" si="690">V143*12*V84/1000000</f>
        <v>1568.3694718724998</v>
      </c>
      <c r="W144" s="385">
        <f t="shared" ref="W144" si="691">W143*12*W84/1000000</f>
        <v>1552.6857771537748</v>
      </c>
      <c r="X144" s="385">
        <f t="shared" ref="X144" si="692">X143*12*X84/1000000</f>
        <v>1537.1589193822367</v>
      </c>
      <c r="Y144" s="385">
        <f t="shared" ref="Y144" si="693">Y143*12*Y84/1000000</f>
        <v>1521.7873301884147</v>
      </c>
      <c r="Z144" s="1044"/>
      <c r="AA144" s="1044"/>
      <c r="AB144" s="1044"/>
      <c r="AC144" s="1044"/>
      <c r="AD144" s="1044"/>
      <c r="AE144" s="1044"/>
      <c r="AF144" s="1044"/>
      <c r="AG144" s="1044"/>
      <c r="AH144" s="1044"/>
      <c r="AI144" s="1044"/>
      <c r="AJ144" s="1044"/>
      <c r="AK144" s="1044"/>
      <c r="AL144" s="1044"/>
      <c r="AM144" s="1044"/>
      <c r="AN144" s="1044"/>
      <c r="AO144" s="1044"/>
      <c r="AP144" s="1044"/>
      <c r="AQ144" s="1044"/>
      <c r="AR144" s="1044"/>
      <c r="AS144" s="1044"/>
      <c r="AT144" s="1044"/>
      <c r="AU144" s="1044"/>
      <c r="AV144" s="1044"/>
      <c r="AW144" s="1044"/>
      <c r="AX144" s="1044"/>
      <c r="AY144" s="1044"/>
      <c r="AZ144" s="1044"/>
      <c r="BA144" s="1044"/>
      <c r="BB144" s="1044"/>
      <c r="BC144" s="1044"/>
      <c r="BD144" s="1044"/>
      <c r="BE144" s="1044"/>
      <c r="BF144" s="1044"/>
      <c r="BG144" s="1044"/>
      <c r="BH144" s="1044"/>
      <c r="BI144" s="1044"/>
      <c r="BJ144" s="1044"/>
      <c r="BK144" s="1044"/>
      <c r="BL144" s="1044"/>
      <c r="BM144" s="1044"/>
      <c r="BN144" s="1044"/>
      <c r="BO144" s="1044"/>
      <c r="BP144" s="1044"/>
      <c r="BQ144" s="1044"/>
      <c r="BR144" s="1044"/>
      <c r="BS144" s="1044"/>
      <c r="BT144" s="1044"/>
      <c r="BU144" s="1044"/>
      <c r="BV144" s="1044"/>
      <c r="BW144" s="1044"/>
      <c r="BX144" s="1044"/>
      <c r="BY144" s="109"/>
      <c r="BZ144" s="109">
        <f t="shared" ref="BZ144:CH144" si="694">BZ143*3*BZ84/1000000</f>
        <v>0.9</v>
      </c>
      <c r="CA144" s="109">
        <f t="shared" si="694"/>
        <v>3.375</v>
      </c>
      <c r="CB144" s="109">
        <f t="shared" si="694"/>
        <v>7.7850000000000001</v>
      </c>
      <c r="CC144" s="109">
        <f t="shared" si="694"/>
        <v>14.625</v>
      </c>
      <c r="CD144" s="109">
        <f t="shared" si="694"/>
        <v>24.975000000000001</v>
      </c>
      <c r="CE144" s="109">
        <f t="shared" si="694"/>
        <v>38.835000000000001</v>
      </c>
      <c r="CF144" s="109">
        <f t="shared" si="694"/>
        <v>55.44</v>
      </c>
      <c r="CG144" s="109">
        <f t="shared" si="694"/>
        <v>73.53</v>
      </c>
      <c r="CH144" s="109">
        <f t="shared" si="694"/>
        <v>93.734999999999999</v>
      </c>
      <c r="CI144" s="109"/>
      <c r="CJ144" s="109"/>
      <c r="CK144" s="109"/>
      <c r="CL144" s="109"/>
      <c r="CM144" s="109"/>
      <c r="CN144" s="109"/>
      <c r="CO144" s="109"/>
      <c r="DG144" s="1425"/>
      <c r="DH144" s="1425"/>
      <c r="DI144" s="1425"/>
      <c r="DJ144" s="1425"/>
      <c r="DK144" s="1425"/>
      <c r="DL144" s="1425"/>
      <c r="DM144" s="1425"/>
      <c r="DN144" s="1425"/>
      <c r="DO144" s="1425"/>
      <c r="DP144" s="1425"/>
      <c r="DQ144" s="1425"/>
      <c r="DR144" s="1425"/>
      <c r="DS144" s="1425"/>
      <c r="DT144" s="1425"/>
      <c r="DU144" s="1425"/>
      <c r="DV144" s="1425"/>
      <c r="DW144" s="1425"/>
      <c r="DX144" s="1425"/>
      <c r="DY144" s="1425"/>
    </row>
    <row r="145" spans="1:129" s="170" customFormat="1" hidden="1">
      <c r="A145" s="109" t="s">
        <v>408</v>
      </c>
      <c r="B145" s="109"/>
      <c r="C145" s="109"/>
      <c r="D145" s="109"/>
      <c r="E145" s="109"/>
      <c r="F145" s="109">
        <f t="shared" ref="F145:N145" si="695">F91-F144</f>
        <v>147.19499999999999</v>
      </c>
      <c r="G145" s="109">
        <f t="shared" si="695"/>
        <v>257.03999999999996</v>
      </c>
      <c r="H145" s="385">
        <f t="shared" si="695"/>
        <v>652.77939393939391</v>
      </c>
      <c r="I145" s="1094">
        <f t="shared" ca="1" si="695"/>
        <v>1093.9696808144572</v>
      </c>
      <c r="J145" s="385">
        <f t="shared" si="695"/>
        <v>1400.1724875715129</v>
      </c>
      <c r="K145" s="385">
        <f t="shared" si="695"/>
        <v>1679.8327725634174</v>
      </c>
      <c r="L145" s="385">
        <f t="shared" si="695"/>
        <v>1903.5071455836098</v>
      </c>
      <c r="M145" s="1094">
        <f t="shared" si="695"/>
        <v>2077.9430128938857</v>
      </c>
      <c r="N145" s="385">
        <f t="shared" si="695"/>
        <v>2180.1035389147637</v>
      </c>
      <c r="O145" s="385">
        <f t="shared" ref="O145:T145" si="696">O91-O144</f>
        <v>2243.2820750557112</v>
      </c>
      <c r="P145" s="385">
        <f t="shared" si="696"/>
        <v>1929.4869673123656</v>
      </c>
      <c r="Q145" s="385">
        <f t="shared" si="696"/>
        <v>1808.5971444896506</v>
      </c>
      <c r="R145" s="385">
        <f t="shared" ref="R145" si="697">R91-R144</f>
        <v>5237.2189812348633</v>
      </c>
      <c r="S145" s="385">
        <f t="shared" si="696"/>
        <v>5211.3095831462942</v>
      </c>
      <c r="T145" s="385">
        <f t="shared" si="696"/>
        <v>5226.7905894379801</v>
      </c>
      <c r="U145" s="385">
        <f t="shared" ref="U145" si="698">U91-U144</f>
        <v>5242.1100262565378</v>
      </c>
      <c r="V145" s="385">
        <f t="shared" ref="V145" si="699">V91-V144</f>
        <v>5257.2695099726379</v>
      </c>
      <c r="W145" s="385">
        <f t="shared" ref="W145" si="700">W91-W144</f>
        <v>5272.2706407931764</v>
      </c>
      <c r="X145" s="385">
        <f t="shared" ref="X145" si="701">X91-X144</f>
        <v>5287.1150029229193</v>
      </c>
      <c r="Y145" s="385">
        <f t="shared" ref="Y145" si="702">Y91-Y144</f>
        <v>5301.8041647245118</v>
      </c>
      <c r="Z145" s="1044"/>
      <c r="AA145" s="1044"/>
      <c r="AB145" s="1044"/>
      <c r="AC145" s="1044"/>
      <c r="AD145" s="1044"/>
      <c r="AE145" s="1044"/>
      <c r="AF145" s="1044"/>
      <c r="AG145" s="1044"/>
      <c r="AH145" s="1044"/>
      <c r="AI145" s="1044"/>
      <c r="AJ145" s="1044"/>
      <c r="AK145" s="1044"/>
      <c r="AL145" s="1044"/>
      <c r="AM145" s="1044"/>
      <c r="AN145" s="1044"/>
      <c r="AO145" s="1044"/>
      <c r="AP145" s="1044"/>
      <c r="AQ145" s="1044"/>
      <c r="AR145" s="1044"/>
      <c r="AS145" s="1044"/>
      <c r="AT145" s="1044"/>
      <c r="AU145" s="1044"/>
      <c r="AV145" s="1044"/>
      <c r="AW145" s="1044"/>
      <c r="AX145" s="1044"/>
      <c r="AY145" s="1044"/>
      <c r="AZ145" s="1044"/>
      <c r="BA145" s="1044"/>
      <c r="BB145" s="1044"/>
      <c r="BC145" s="1044"/>
      <c r="BD145" s="1044"/>
      <c r="BE145" s="1044"/>
      <c r="BF145" s="1044"/>
      <c r="BG145" s="1044"/>
      <c r="BH145" s="1044"/>
      <c r="BI145" s="1044"/>
      <c r="BJ145" s="1044"/>
      <c r="BK145" s="1044"/>
      <c r="BL145" s="1044"/>
      <c r="BM145" s="1044"/>
      <c r="BN145" s="1044"/>
      <c r="BO145" s="1044"/>
      <c r="BP145" s="1044"/>
      <c r="BQ145" s="1044"/>
      <c r="BR145" s="1044"/>
      <c r="BS145" s="1044"/>
      <c r="BT145" s="1044"/>
      <c r="BU145" s="1044"/>
      <c r="BV145" s="1044"/>
      <c r="BW145" s="1044"/>
      <c r="BX145" s="1044"/>
      <c r="BY145" s="109"/>
      <c r="BZ145" s="109">
        <f t="shared" ref="BZ145:CH145" si="703">BZ91-BZ144</f>
        <v>3.3000000000000003</v>
      </c>
      <c r="CA145" s="109">
        <f t="shared" si="703"/>
        <v>4.5</v>
      </c>
      <c r="CB145" s="109">
        <f t="shared" si="703"/>
        <v>10.379999999999999</v>
      </c>
      <c r="CC145" s="109">
        <f t="shared" si="703"/>
        <v>19.5</v>
      </c>
      <c r="CD145" s="109">
        <f t="shared" si="703"/>
        <v>33.299999999999997</v>
      </c>
      <c r="CE145" s="109">
        <f t="shared" si="703"/>
        <v>51.779999999999994</v>
      </c>
      <c r="CF145" s="109">
        <f t="shared" si="703"/>
        <v>73.920000000000016</v>
      </c>
      <c r="CG145" s="109">
        <f t="shared" si="703"/>
        <v>98.039999999999992</v>
      </c>
      <c r="CH145" s="109">
        <f t="shared" si="703"/>
        <v>124.98</v>
      </c>
      <c r="CI145" s="109"/>
      <c r="CJ145" s="109"/>
      <c r="CK145" s="109"/>
      <c r="CL145" s="109"/>
      <c r="CM145" s="109"/>
      <c r="CN145" s="109"/>
      <c r="CO145" s="109"/>
      <c r="DG145" s="1425"/>
      <c r="DH145" s="1425"/>
      <c r="DI145" s="1425"/>
      <c r="DJ145" s="1425"/>
      <c r="DK145" s="1425"/>
      <c r="DL145" s="1425"/>
      <c r="DM145" s="1425"/>
      <c r="DN145" s="1425"/>
      <c r="DO145" s="1425"/>
      <c r="DP145" s="1425"/>
      <c r="DQ145" s="1425"/>
      <c r="DR145" s="1425"/>
      <c r="DS145" s="1425"/>
      <c r="DT145" s="1425"/>
      <c r="DU145" s="1425"/>
      <c r="DV145" s="1425"/>
      <c r="DW145" s="1425"/>
      <c r="DX145" s="1425"/>
      <c r="DY145" s="1425"/>
    </row>
    <row r="146" spans="1:129" s="120" customFormat="1" hidden="1">
      <c r="A146" s="295" t="s">
        <v>409</v>
      </c>
      <c r="B146" s="94"/>
      <c r="C146" s="94"/>
      <c r="D146" s="94"/>
      <c r="E146" s="94"/>
      <c r="F146" s="295">
        <f t="shared" ref="F146:N146" si="704">F145/F91</f>
        <v>0.84653209109730843</v>
      </c>
      <c r="G146" s="295">
        <f t="shared" si="704"/>
        <v>0.5714285714285714</v>
      </c>
      <c r="H146" s="684">
        <f t="shared" si="704"/>
        <v>0.57142857142857151</v>
      </c>
      <c r="I146" s="1100">
        <f t="shared" ca="1" si="704"/>
        <v>0.56274372409474627</v>
      </c>
      <c r="J146" s="684">
        <f t="shared" si="704"/>
        <v>0.55644929513011299</v>
      </c>
      <c r="K146" s="684">
        <f t="shared" si="704"/>
        <v>0.54931541215109692</v>
      </c>
      <c r="L146" s="684">
        <f t="shared" si="704"/>
        <v>0.54206539009135302</v>
      </c>
      <c r="M146" s="1100">
        <f t="shared" si="704"/>
        <v>0.53466997786897341</v>
      </c>
      <c r="N146" s="684">
        <f t="shared" si="704"/>
        <v>0.5271695274693875</v>
      </c>
      <c r="O146" s="684">
        <f t="shared" ref="O146:T146" si="705">O145/O91</f>
        <v>0.51955582659904398</v>
      </c>
      <c r="P146" s="684">
        <f t="shared" si="705"/>
        <v>0.51200370440258636</v>
      </c>
      <c r="Q146" s="684">
        <f t="shared" si="705"/>
        <v>0.51040757059912145</v>
      </c>
      <c r="R146" s="684">
        <f t="shared" ref="R146" si="706">R145/R91</f>
        <v>0.76089395206323629</v>
      </c>
      <c r="S146" s="684">
        <f t="shared" si="705"/>
        <v>0.7632613386764715</v>
      </c>
      <c r="T146" s="684">
        <f t="shared" si="705"/>
        <v>0.76560528581828879</v>
      </c>
      <c r="U146" s="684">
        <f t="shared" ref="U146" si="707">U145/U91</f>
        <v>0.76792602556266221</v>
      </c>
      <c r="V146" s="684">
        <f t="shared" ref="V146" si="708">V145/V91</f>
        <v>0.77022378768580413</v>
      </c>
      <c r="W146" s="684">
        <f t="shared" ref="W146" si="709">W145/W91</f>
        <v>0.77249879968891499</v>
      </c>
      <c r="X146" s="684">
        <f t="shared" ref="X146" si="710">X145/X91</f>
        <v>0.77475128682070793</v>
      </c>
      <c r="Y146" s="684">
        <f t="shared" ref="Y146" si="711">Y145/Y91</f>
        <v>0.7769814720997108</v>
      </c>
      <c r="Z146" s="1045"/>
      <c r="AA146" s="1045"/>
      <c r="AB146" s="1045"/>
      <c r="AC146" s="1045"/>
      <c r="AD146" s="1045"/>
      <c r="AE146" s="1045"/>
      <c r="AF146" s="1045"/>
      <c r="AG146" s="1045"/>
      <c r="AH146" s="1045"/>
      <c r="AI146" s="1045"/>
      <c r="AJ146" s="1045"/>
      <c r="AK146" s="1045"/>
      <c r="AL146" s="1045"/>
      <c r="AM146" s="1045"/>
      <c r="AN146" s="1045"/>
      <c r="AO146" s="1045"/>
      <c r="AP146" s="1045"/>
      <c r="AQ146" s="1045"/>
      <c r="AR146" s="1045"/>
      <c r="AS146" s="1045"/>
      <c r="AT146" s="1045"/>
      <c r="AU146" s="1045"/>
      <c r="AV146" s="1045"/>
      <c r="AW146" s="1045"/>
      <c r="AX146" s="1045"/>
      <c r="AY146" s="1045"/>
      <c r="AZ146" s="1045"/>
      <c r="BA146" s="1045"/>
      <c r="BB146" s="1045"/>
      <c r="BC146" s="1045"/>
      <c r="BD146" s="1045"/>
      <c r="BE146" s="1045"/>
      <c r="BF146" s="1045"/>
      <c r="BG146" s="1045"/>
      <c r="BH146" s="1045"/>
      <c r="BI146" s="1045"/>
      <c r="BJ146" s="1045"/>
      <c r="BK146" s="1045"/>
      <c r="BL146" s="1045"/>
      <c r="BM146" s="1045"/>
      <c r="BN146" s="1045"/>
      <c r="BO146" s="1045"/>
      <c r="BP146" s="1045"/>
      <c r="BQ146" s="1045"/>
      <c r="BR146" s="1045"/>
      <c r="BS146" s="1045"/>
      <c r="BT146" s="1045"/>
      <c r="BU146" s="1045"/>
      <c r="BV146" s="1045"/>
      <c r="BW146" s="1045"/>
      <c r="BX146" s="1045"/>
      <c r="BY146" s="94"/>
      <c r="BZ146" s="295">
        <f t="shared" ref="BZ146:CH146" si="712">BZ145/BZ91</f>
        <v>0.7857142857142857</v>
      </c>
      <c r="CA146" s="295">
        <f t="shared" si="712"/>
        <v>0.5714285714285714</v>
      </c>
      <c r="CB146" s="295">
        <f t="shared" si="712"/>
        <v>0.5714285714285714</v>
      </c>
      <c r="CC146" s="295">
        <f t="shared" si="712"/>
        <v>0.5714285714285714</v>
      </c>
      <c r="CD146" s="295">
        <f t="shared" si="712"/>
        <v>0.5714285714285714</v>
      </c>
      <c r="CE146" s="295">
        <f t="shared" si="712"/>
        <v>0.5714285714285714</v>
      </c>
      <c r="CF146" s="295">
        <f t="shared" si="712"/>
        <v>0.57142857142857151</v>
      </c>
      <c r="CG146" s="295">
        <f t="shared" si="712"/>
        <v>0.5714285714285714</v>
      </c>
      <c r="CH146" s="295">
        <f t="shared" si="712"/>
        <v>0.5714285714285714</v>
      </c>
      <c r="CI146" s="94"/>
      <c r="CJ146" s="94"/>
      <c r="CK146" s="94"/>
      <c r="CL146" s="94"/>
      <c r="CM146" s="94"/>
      <c r="CN146" s="94"/>
      <c r="CO146" s="94"/>
      <c r="DG146" s="1226"/>
      <c r="DH146" s="1226"/>
      <c r="DI146" s="1226"/>
      <c r="DJ146" s="1226"/>
      <c r="DK146" s="1226"/>
      <c r="DL146" s="1226"/>
      <c r="DM146" s="1226"/>
      <c r="DN146" s="1226"/>
      <c r="DO146" s="1226"/>
      <c r="DP146" s="1226"/>
      <c r="DQ146" s="1226"/>
      <c r="DR146" s="1226"/>
      <c r="DS146" s="1226"/>
      <c r="DT146" s="1226"/>
      <c r="DU146" s="1226"/>
      <c r="DV146" s="1226"/>
      <c r="DW146" s="1226"/>
      <c r="DX146" s="1226"/>
      <c r="DY146" s="1226"/>
    </row>
    <row r="147" spans="1:129" hidden="1">
      <c r="A147" s="87"/>
      <c r="B147" s="87"/>
      <c r="C147" s="87"/>
      <c r="D147" s="87"/>
      <c r="E147" s="87"/>
      <c r="F147" s="87"/>
      <c r="G147" s="87"/>
      <c r="H147" s="90"/>
      <c r="I147" s="1099"/>
      <c r="J147" s="90"/>
      <c r="K147" s="90"/>
      <c r="L147" s="90"/>
      <c r="M147" s="1099"/>
      <c r="N147" s="90"/>
      <c r="O147" s="90"/>
      <c r="P147" s="90"/>
      <c r="Q147" s="90"/>
      <c r="R147" s="90"/>
      <c r="S147" s="90"/>
      <c r="T147" s="90"/>
      <c r="U147" s="90"/>
      <c r="V147" s="90"/>
      <c r="W147" s="90"/>
      <c r="X147" s="90"/>
      <c r="Y147" s="90"/>
      <c r="Z147" s="1041"/>
      <c r="AA147" s="1041"/>
      <c r="AB147" s="1041"/>
      <c r="AC147" s="1041"/>
      <c r="AD147" s="1041"/>
      <c r="AE147" s="1041"/>
      <c r="AF147" s="1041"/>
      <c r="AG147" s="1041"/>
      <c r="AH147" s="1041"/>
      <c r="AI147" s="1041"/>
      <c r="AJ147" s="1041"/>
      <c r="AK147" s="1041"/>
      <c r="AL147" s="1041"/>
      <c r="AM147" s="1041"/>
      <c r="AN147" s="1041"/>
      <c r="AO147" s="1041"/>
      <c r="AP147" s="1041"/>
      <c r="AQ147" s="1041"/>
      <c r="AR147" s="1041"/>
      <c r="AS147" s="1041"/>
      <c r="AT147" s="1041"/>
      <c r="AU147" s="1041"/>
      <c r="AV147" s="1041"/>
      <c r="AW147" s="1041"/>
      <c r="AX147" s="1041"/>
      <c r="AY147" s="1041"/>
      <c r="AZ147" s="1041"/>
      <c r="BA147" s="1041"/>
      <c r="BB147" s="1041"/>
      <c r="BC147" s="1041"/>
      <c r="BD147" s="1041"/>
      <c r="BE147" s="1041"/>
      <c r="BF147" s="1041"/>
      <c r="BG147" s="1041"/>
      <c r="BH147" s="1041"/>
      <c r="BI147" s="1041"/>
      <c r="BJ147" s="1041"/>
      <c r="BK147" s="1041"/>
      <c r="BL147" s="1041"/>
      <c r="BM147" s="1041"/>
      <c r="BN147" s="1041"/>
      <c r="BO147" s="1041"/>
      <c r="BP147" s="1041"/>
      <c r="BQ147" s="1041"/>
      <c r="BR147" s="1041"/>
      <c r="BS147" s="1041"/>
      <c r="BT147" s="1041"/>
      <c r="BU147" s="1041"/>
      <c r="BV147" s="1041"/>
      <c r="BW147" s="1041"/>
      <c r="BX147" s="1041"/>
      <c r="BY147" s="87"/>
      <c r="BZ147" s="87"/>
      <c r="CA147" s="87"/>
      <c r="CB147" s="87"/>
      <c r="CC147" s="87"/>
      <c r="CD147" s="87"/>
      <c r="CE147" s="87"/>
      <c r="CF147" s="87"/>
      <c r="CG147" s="87"/>
      <c r="CH147" s="87"/>
      <c r="CI147" s="87"/>
      <c r="CJ147" s="87"/>
      <c r="CK147" s="87"/>
      <c r="CL147" s="87"/>
      <c r="CM147" s="87"/>
      <c r="CN147" s="87"/>
      <c r="CO147" s="87"/>
    </row>
    <row r="148" spans="1:129" hidden="1">
      <c r="A148" s="87" t="s">
        <v>410</v>
      </c>
      <c r="B148" s="87"/>
      <c r="C148" s="87"/>
      <c r="D148" s="87"/>
      <c r="E148" s="87"/>
      <c r="F148" s="87"/>
      <c r="G148" s="87"/>
      <c r="H148" s="90"/>
      <c r="I148" s="1099"/>
      <c r="J148" s="90"/>
      <c r="K148" s="90"/>
      <c r="L148" s="90"/>
      <c r="M148" s="1099"/>
      <c r="N148" s="90"/>
      <c r="O148" s="90"/>
      <c r="P148" s="90"/>
      <c r="Q148" s="90"/>
      <c r="R148" s="90"/>
      <c r="S148" s="90"/>
      <c r="T148" s="90"/>
      <c r="U148" s="90"/>
      <c r="V148" s="90"/>
      <c r="W148" s="90"/>
      <c r="X148" s="90"/>
      <c r="Y148" s="90"/>
      <c r="Z148" s="1041"/>
      <c r="AA148" s="1041"/>
      <c r="AB148" s="1041"/>
      <c r="AC148" s="1041"/>
      <c r="AD148" s="1041"/>
      <c r="AE148" s="1041"/>
      <c r="AF148" s="1041"/>
      <c r="AG148" s="1041"/>
      <c r="AH148" s="1041"/>
      <c r="AI148" s="1041"/>
      <c r="AJ148" s="1041"/>
      <c r="AK148" s="1041"/>
      <c r="AL148" s="1041"/>
      <c r="AM148" s="1041"/>
      <c r="AN148" s="1041"/>
      <c r="AO148" s="1041"/>
      <c r="AP148" s="1041"/>
      <c r="AQ148" s="1041"/>
      <c r="AR148" s="1041"/>
      <c r="AS148" s="1041"/>
      <c r="AT148" s="1041"/>
      <c r="AU148" s="1041"/>
      <c r="AV148" s="1041"/>
      <c r="AW148" s="1041"/>
      <c r="AX148" s="1041"/>
      <c r="AY148" s="1041"/>
      <c r="AZ148" s="1041"/>
      <c r="BA148" s="1041"/>
      <c r="BB148" s="1041"/>
      <c r="BC148" s="1041"/>
      <c r="BD148" s="1041"/>
      <c r="BE148" s="1041"/>
      <c r="BF148" s="1041"/>
      <c r="BG148" s="1041"/>
      <c r="BH148" s="1041"/>
      <c r="BI148" s="1041"/>
      <c r="BJ148" s="1041"/>
      <c r="BK148" s="1041"/>
      <c r="BL148" s="1041"/>
      <c r="BM148" s="1041"/>
      <c r="BN148" s="1041"/>
      <c r="BO148" s="1041"/>
      <c r="BP148" s="1041"/>
      <c r="BQ148" s="1041"/>
      <c r="BR148" s="1041"/>
      <c r="BS148" s="1041"/>
      <c r="BT148" s="1041"/>
      <c r="BU148" s="1041"/>
      <c r="BV148" s="1041"/>
      <c r="BW148" s="1041"/>
      <c r="BX148" s="1041"/>
      <c r="BY148" s="87"/>
      <c r="BZ148" s="87"/>
      <c r="CA148" s="87"/>
      <c r="CB148" s="87"/>
      <c r="CC148" s="87"/>
      <c r="CD148" s="87"/>
      <c r="CE148" s="87"/>
      <c r="CF148" s="87"/>
      <c r="CG148" s="87"/>
      <c r="CH148" s="87"/>
      <c r="CI148" s="87"/>
      <c r="CJ148" s="87"/>
      <c r="CK148" s="87"/>
      <c r="CL148" s="87"/>
      <c r="CM148" s="87"/>
      <c r="CN148" s="87"/>
      <c r="CO148" s="87"/>
    </row>
    <row r="149" spans="1:129" hidden="1">
      <c r="A149" s="87" t="s">
        <v>411</v>
      </c>
      <c r="B149" s="87"/>
      <c r="C149" s="87"/>
      <c r="D149" s="87"/>
      <c r="E149" s="87"/>
      <c r="F149" s="600">
        <v>350</v>
      </c>
      <c r="G149" s="600">
        <f t="shared" ref="G149:R149" si="713">F149</f>
        <v>350</v>
      </c>
      <c r="H149" s="693">
        <f t="shared" si="713"/>
        <v>350</v>
      </c>
      <c r="I149" s="1108">
        <f t="shared" si="713"/>
        <v>350</v>
      </c>
      <c r="J149" s="693">
        <f t="shared" si="713"/>
        <v>350</v>
      </c>
      <c r="K149" s="693">
        <f t="shared" si="713"/>
        <v>350</v>
      </c>
      <c r="L149" s="693">
        <f t="shared" si="713"/>
        <v>350</v>
      </c>
      <c r="M149" s="1108">
        <f t="shared" si="713"/>
        <v>350</v>
      </c>
      <c r="N149" s="693">
        <f t="shared" si="713"/>
        <v>350</v>
      </c>
      <c r="O149" s="693">
        <f t="shared" si="713"/>
        <v>350</v>
      </c>
      <c r="P149" s="693">
        <f t="shared" si="713"/>
        <v>350</v>
      </c>
      <c r="Q149" s="693">
        <f t="shared" si="713"/>
        <v>350</v>
      </c>
      <c r="R149" s="693">
        <f t="shared" si="713"/>
        <v>350</v>
      </c>
      <c r="S149" s="693"/>
      <c r="T149" s="693"/>
      <c r="U149" s="693"/>
      <c r="V149" s="693"/>
      <c r="W149" s="693"/>
      <c r="X149" s="693"/>
      <c r="Y149" s="693"/>
      <c r="Z149" s="1041"/>
      <c r="AA149" s="1041"/>
      <c r="AB149" s="1041"/>
      <c r="AC149" s="1041"/>
      <c r="AD149" s="1041"/>
      <c r="AE149" s="1041"/>
      <c r="AF149" s="1041"/>
      <c r="AG149" s="1041"/>
      <c r="AH149" s="1041"/>
      <c r="AI149" s="1041"/>
      <c r="AJ149" s="1041"/>
      <c r="AK149" s="1041"/>
      <c r="AL149" s="1041"/>
      <c r="AM149" s="1041"/>
      <c r="AN149" s="1041"/>
      <c r="AO149" s="1041"/>
      <c r="AP149" s="1041"/>
      <c r="AQ149" s="1041"/>
      <c r="AR149" s="1041"/>
      <c r="AS149" s="1041"/>
      <c r="AT149" s="1041"/>
      <c r="AU149" s="1041"/>
      <c r="AV149" s="1041"/>
      <c r="AW149" s="1041"/>
      <c r="AX149" s="1041"/>
      <c r="AY149" s="1041"/>
      <c r="AZ149" s="1041"/>
      <c r="BA149" s="1041"/>
      <c r="BB149" s="1041"/>
      <c r="BC149" s="1041"/>
      <c r="BD149" s="1041"/>
      <c r="BE149" s="1041"/>
      <c r="BF149" s="1041"/>
      <c r="BG149" s="1041"/>
      <c r="BH149" s="1041"/>
      <c r="BI149" s="1041"/>
      <c r="BJ149" s="1041"/>
      <c r="BK149" s="1041"/>
      <c r="BL149" s="1041"/>
      <c r="BM149" s="1041"/>
      <c r="BN149" s="1041"/>
      <c r="BO149" s="1041"/>
      <c r="BP149" s="1041"/>
      <c r="BQ149" s="1041"/>
      <c r="BR149" s="1041"/>
      <c r="BS149" s="1041"/>
      <c r="BT149" s="1041"/>
      <c r="BU149" s="1041"/>
      <c r="BV149" s="1041"/>
      <c r="BW149" s="1041"/>
      <c r="BX149" s="1041"/>
      <c r="BY149" s="87"/>
      <c r="BZ149" s="87"/>
      <c r="CA149" s="87"/>
      <c r="CB149" s="87"/>
      <c r="CC149" s="87"/>
      <c r="CD149" s="87"/>
      <c r="CE149" s="87"/>
      <c r="CF149" s="87"/>
      <c r="CG149" s="87"/>
      <c r="CH149" s="87"/>
      <c r="CI149" s="87"/>
      <c r="CJ149" s="87"/>
      <c r="CK149" s="87"/>
      <c r="CL149" s="87"/>
      <c r="CM149" s="87"/>
      <c r="CN149" s="87"/>
      <c r="CO149" s="87"/>
    </row>
    <row r="150" spans="1:129" hidden="1">
      <c r="A150" s="87" t="s">
        <v>412</v>
      </c>
      <c r="B150" s="87"/>
      <c r="C150" s="87"/>
      <c r="D150" s="87"/>
      <c r="E150" s="87"/>
      <c r="F150" s="87">
        <f t="shared" ref="F150:N150" si="714">1/(F99*12)</f>
        <v>5.9523809523809517</v>
      </c>
      <c r="G150" s="87">
        <f t="shared" si="714"/>
        <v>4.166666666666667</v>
      </c>
      <c r="H150" s="90">
        <f t="shared" si="714"/>
        <v>4.166666666666667</v>
      </c>
      <c r="I150" s="1099">
        <f t="shared" si="714"/>
        <v>4.166666666666667</v>
      </c>
      <c r="J150" s="90">
        <f t="shared" si="714"/>
        <v>4.166666666666667</v>
      </c>
      <c r="K150" s="90">
        <f t="shared" si="714"/>
        <v>4.166666666666667</v>
      </c>
      <c r="L150" s="90">
        <f t="shared" si="714"/>
        <v>4.166666666666667</v>
      </c>
      <c r="M150" s="1099">
        <f t="shared" si="714"/>
        <v>4.166666666666667</v>
      </c>
      <c r="N150" s="90">
        <f t="shared" si="714"/>
        <v>4.166666666666667</v>
      </c>
      <c r="O150" s="90">
        <f>1/(O99*12)</f>
        <v>4.166666666666667</v>
      </c>
      <c r="P150" s="90">
        <f>1/(P99*12)</f>
        <v>4.166666666666667</v>
      </c>
      <c r="Q150" s="90">
        <f>1/(Q99*12)</f>
        <v>4.166666666666667</v>
      </c>
      <c r="R150" s="90">
        <f>1/(R99*12)</f>
        <v>4.166666666666667</v>
      </c>
      <c r="S150" s="90"/>
      <c r="T150" s="90"/>
      <c r="U150" s="90"/>
      <c r="V150" s="90"/>
      <c r="W150" s="90"/>
      <c r="X150" s="90"/>
      <c r="Y150" s="90"/>
      <c r="Z150" s="1041"/>
      <c r="AA150" s="1041"/>
      <c r="AB150" s="1041"/>
      <c r="AC150" s="1041"/>
      <c r="AD150" s="1041"/>
      <c r="AE150" s="1041"/>
      <c r="AF150" s="1041"/>
      <c r="AG150" s="1041"/>
      <c r="AH150" s="1041"/>
      <c r="AI150" s="1041"/>
      <c r="AJ150" s="1041"/>
      <c r="AK150" s="1041"/>
      <c r="AL150" s="1041"/>
      <c r="AM150" s="1041"/>
      <c r="AN150" s="1041"/>
      <c r="AO150" s="1041"/>
      <c r="AP150" s="1041"/>
      <c r="AQ150" s="1041"/>
      <c r="AR150" s="1041"/>
      <c r="AS150" s="1041"/>
      <c r="AT150" s="1041"/>
      <c r="AU150" s="1041"/>
      <c r="AV150" s="1041"/>
      <c r="AW150" s="1041"/>
      <c r="AX150" s="1041"/>
      <c r="AY150" s="1041"/>
      <c r="AZ150" s="1041"/>
      <c r="BA150" s="1041"/>
      <c r="BB150" s="1041"/>
      <c r="BC150" s="1041"/>
      <c r="BD150" s="1041"/>
      <c r="BE150" s="1041"/>
      <c r="BF150" s="1041"/>
      <c r="BG150" s="1041"/>
      <c r="BH150" s="1041"/>
      <c r="BI150" s="1041"/>
      <c r="BJ150" s="1041"/>
      <c r="BK150" s="1041"/>
      <c r="BL150" s="1041"/>
      <c r="BM150" s="1041"/>
      <c r="BN150" s="1041"/>
      <c r="BO150" s="1041"/>
      <c r="BP150" s="1041"/>
      <c r="BQ150" s="1041"/>
      <c r="BR150" s="1041"/>
      <c r="BS150" s="1041"/>
      <c r="BT150" s="1041"/>
      <c r="BU150" s="1041"/>
      <c r="BV150" s="1041"/>
      <c r="BW150" s="1041"/>
      <c r="BX150" s="1041"/>
      <c r="BY150" s="87"/>
      <c r="BZ150" s="87"/>
      <c r="CA150" s="87"/>
      <c r="CB150" s="87"/>
      <c r="CC150" s="87"/>
      <c r="CD150" s="87"/>
      <c r="CE150" s="87"/>
      <c r="CF150" s="87"/>
      <c r="CG150" s="87"/>
      <c r="CH150" s="87"/>
      <c r="CI150" s="87"/>
      <c r="CJ150" s="87"/>
      <c r="CK150" s="87"/>
      <c r="CL150" s="87"/>
      <c r="CM150" s="87"/>
      <c r="CN150" s="87"/>
      <c r="CO150" s="87"/>
    </row>
    <row r="151" spans="1:129" hidden="1">
      <c r="A151" s="87" t="s">
        <v>413</v>
      </c>
      <c r="B151" s="87"/>
      <c r="C151" s="87"/>
      <c r="D151" s="87"/>
      <c r="E151" s="87"/>
      <c r="F151" s="603" t="e">
        <f t="shared" ref="F151:N151" si="715">F149*F114/10</f>
        <v>#REF!</v>
      </c>
      <c r="G151" s="603" t="e">
        <f t="shared" si="715"/>
        <v>#REF!</v>
      </c>
      <c r="H151" s="694" t="e">
        <f t="shared" si="715"/>
        <v>#REF!</v>
      </c>
      <c r="I151" s="1109" t="e">
        <f t="shared" si="715"/>
        <v>#REF!</v>
      </c>
      <c r="J151" s="694" t="e">
        <f t="shared" si="715"/>
        <v>#REF!</v>
      </c>
      <c r="K151" s="694" t="e">
        <f t="shared" si="715"/>
        <v>#REF!</v>
      </c>
      <c r="L151" s="694" t="e">
        <f t="shared" si="715"/>
        <v>#REF!</v>
      </c>
      <c r="M151" s="1109">
        <f t="shared" si="715"/>
        <v>0</v>
      </c>
      <c r="N151" s="694">
        <f t="shared" si="715"/>
        <v>0</v>
      </c>
      <c r="O151" s="694">
        <f>O149*O114/10</f>
        <v>0</v>
      </c>
      <c r="P151" s="694">
        <f>P149*P114/10</f>
        <v>0</v>
      </c>
      <c r="Q151" s="694">
        <f>Q149*Q114/10</f>
        <v>0</v>
      </c>
      <c r="R151" s="694">
        <f>R149*R114/10</f>
        <v>0</v>
      </c>
      <c r="S151" s="694"/>
      <c r="T151" s="694"/>
      <c r="U151" s="694"/>
      <c r="V151" s="694"/>
      <c r="W151" s="694"/>
      <c r="X151" s="694"/>
      <c r="Y151" s="694"/>
      <c r="Z151" s="1041"/>
      <c r="AA151" s="1041"/>
      <c r="AB151" s="1041"/>
      <c r="AC151" s="1041"/>
      <c r="AD151" s="1041"/>
      <c r="AE151" s="1041"/>
      <c r="AF151" s="1041"/>
      <c r="AG151" s="1041"/>
      <c r="AH151" s="1041"/>
      <c r="AI151" s="1041"/>
      <c r="AJ151" s="1041"/>
      <c r="AK151" s="1041"/>
      <c r="AL151" s="1041"/>
      <c r="AM151" s="1041"/>
      <c r="AN151" s="1041"/>
      <c r="AO151" s="1041"/>
      <c r="AP151" s="1041"/>
      <c r="AQ151" s="1041"/>
      <c r="AR151" s="1041"/>
      <c r="AS151" s="1041"/>
      <c r="AT151" s="1041"/>
      <c r="AU151" s="1041"/>
      <c r="AV151" s="1041"/>
      <c r="AW151" s="1041"/>
      <c r="AX151" s="1041"/>
      <c r="AY151" s="1041"/>
      <c r="AZ151" s="1041"/>
      <c r="BA151" s="1041"/>
      <c r="BB151" s="1041"/>
      <c r="BC151" s="1041"/>
      <c r="BD151" s="1041"/>
      <c r="BE151" s="1041"/>
      <c r="BF151" s="1041"/>
      <c r="BG151" s="1041"/>
      <c r="BH151" s="1041"/>
      <c r="BI151" s="1041"/>
      <c r="BJ151" s="1041"/>
      <c r="BK151" s="1041"/>
      <c r="BL151" s="1041"/>
      <c r="BM151" s="1041"/>
      <c r="BN151" s="1041"/>
      <c r="BO151" s="1041"/>
      <c r="BP151" s="1041"/>
      <c r="BQ151" s="1041"/>
      <c r="BR151" s="1041"/>
      <c r="BS151" s="1041"/>
      <c r="BT151" s="1041"/>
      <c r="BU151" s="1041"/>
      <c r="BV151" s="1041"/>
      <c r="BW151" s="1041"/>
      <c r="BX151" s="1041"/>
      <c r="BY151" s="87"/>
      <c r="BZ151" s="87"/>
      <c r="CA151" s="87"/>
      <c r="CB151" s="87"/>
      <c r="CC151" s="87"/>
      <c r="CD151" s="87"/>
      <c r="CE151" s="87"/>
      <c r="CF151" s="87"/>
      <c r="CG151" s="87"/>
      <c r="CH151" s="87"/>
      <c r="CI151" s="87"/>
      <c r="CJ151" s="87"/>
      <c r="CK151" s="87"/>
      <c r="CL151" s="87"/>
      <c r="CM151" s="87"/>
      <c r="CN151" s="87"/>
      <c r="CO151" s="87"/>
    </row>
    <row r="152" spans="1:129" hidden="1">
      <c r="A152" s="87"/>
      <c r="B152" s="87"/>
      <c r="C152" s="87"/>
      <c r="D152" s="87"/>
      <c r="E152" s="87"/>
      <c r="F152" s="87"/>
      <c r="G152" s="87"/>
      <c r="H152" s="90"/>
      <c r="I152" s="1099"/>
      <c r="J152" s="90"/>
      <c r="K152" s="90"/>
      <c r="L152" s="90"/>
      <c r="M152" s="1099"/>
      <c r="N152" s="90"/>
      <c r="O152" s="90"/>
      <c r="P152" s="90"/>
      <c r="Q152" s="90"/>
      <c r="R152" s="90"/>
      <c r="S152" s="90"/>
      <c r="T152" s="90"/>
      <c r="U152" s="90"/>
      <c r="V152" s="90"/>
      <c r="W152" s="90"/>
      <c r="X152" s="90"/>
      <c r="Y152" s="90"/>
      <c r="Z152" s="1041"/>
      <c r="AA152" s="1041"/>
      <c r="AB152" s="1041"/>
      <c r="AC152" s="1041"/>
      <c r="AD152" s="1041"/>
      <c r="AE152" s="1041"/>
      <c r="AF152" s="1041"/>
      <c r="AG152" s="1041"/>
      <c r="AH152" s="1041"/>
      <c r="AI152" s="1041"/>
      <c r="AJ152" s="1041"/>
      <c r="AK152" s="1041"/>
      <c r="AL152" s="1041"/>
      <c r="AM152" s="1041"/>
      <c r="AN152" s="1041"/>
      <c r="AO152" s="1041"/>
      <c r="AP152" s="1041"/>
      <c r="AQ152" s="1041"/>
      <c r="AR152" s="1041"/>
      <c r="AS152" s="1041"/>
      <c r="AT152" s="1041"/>
      <c r="AU152" s="1041"/>
      <c r="AV152" s="1041"/>
      <c r="AW152" s="1041"/>
      <c r="AX152" s="1041"/>
      <c r="AY152" s="1041"/>
      <c r="AZ152" s="1041"/>
      <c r="BA152" s="1041"/>
      <c r="BB152" s="1041"/>
      <c r="BC152" s="1041"/>
      <c r="BD152" s="1041"/>
      <c r="BE152" s="1041"/>
      <c r="BF152" s="1041"/>
      <c r="BG152" s="1041"/>
      <c r="BH152" s="1041"/>
      <c r="BI152" s="1041"/>
      <c r="BJ152" s="1041"/>
      <c r="BK152" s="1041"/>
      <c r="BL152" s="1041"/>
      <c r="BM152" s="1041"/>
      <c r="BN152" s="1041"/>
      <c r="BO152" s="1041"/>
      <c r="BP152" s="1041"/>
      <c r="BQ152" s="1041"/>
      <c r="BR152" s="1041"/>
      <c r="BS152" s="1041"/>
      <c r="BT152" s="1041"/>
      <c r="BU152" s="1041"/>
      <c r="BV152" s="1041"/>
      <c r="BW152" s="1041"/>
      <c r="BX152" s="1041"/>
      <c r="BY152" s="87"/>
      <c r="BZ152" s="87"/>
      <c r="CA152" s="87"/>
      <c r="CB152" s="87"/>
      <c r="CC152" s="87"/>
      <c r="CD152" s="87"/>
      <c r="CE152" s="87"/>
      <c r="CF152" s="87"/>
      <c r="CG152" s="87"/>
      <c r="CH152" s="87"/>
      <c r="CI152" s="87"/>
      <c r="CJ152" s="87"/>
      <c r="CK152" s="87"/>
      <c r="CL152" s="87"/>
      <c r="CM152" s="87"/>
      <c r="CN152" s="87"/>
      <c r="CO152" s="87"/>
    </row>
    <row r="153" spans="1:129" hidden="1">
      <c r="A153" s="87" t="s">
        <v>414</v>
      </c>
      <c r="B153" s="87"/>
      <c r="C153" s="87"/>
      <c r="D153" s="87"/>
      <c r="E153" s="87"/>
      <c r="F153" s="87" t="e">
        <f t="shared" ref="F153:N153" si="716">F145-F151</f>
        <v>#REF!</v>
      </c>
      <c r="G153" s="87" t="e">
        <f t="shared" si="716"/>
        <v>#REF!</v>
      </c>
      <c r="H153" s="90" t="e">
        <f t="shared" si="716"/>
        <v>#REF!</v>
      </c>
      <c r="I153" s="1099" t="e">
        <f t="shared" ca="1" si="716"/>
        <v>#REF!</v>
      </c>
      <c r="J153" s="90" t="e">
        <f t="shared" si="716"/>
        <v>#REF!</v>
      </c>
      <c r="K153" s="90" t="e">
        <f t="shared" si="716"/>
        <v>#REF!</v>
      </c>
      <c r="L153" s="90" t="e">
        <f t="shared" si="716"/>
        <v>#REF!</v>
      </c>
      <c r="M153" s="1099">
        <f t="shared" si="716"/>
        <v>2077.9430128938857</v>
      </c>
      <c r="N153" s="90">
        <f t="shared" si="716"/>
        <v>2180.1035389147637</v>
      </c>
      <c r="O153" s="90">
        <f>O145-O151</f>
        <v>2243.2820750557112</v>
      </c>
      <c r="P153" s="90">
        <f>P145-P151</f>
        <v>1929.4869673123656</v>
      </c>
      <c r="Q153" s="90">
        <f>Q145-Q151</f>
        <v>1808.5971444896506</v>
      </c>
      <c r="R153" s="90">
        <f>R145-R151</f>
        <v>5237.2189812348633</v>
      </c>
      <c r="S153" s="90"/>
      <c r="T153" s="90"/>
      <c r="U153" s="90"/>
      <c r="V153" s="90"/>
      <c r="W153" s="90"/>
      <c r="X153" s="90"/>
      <c r="Y153" s="90"/>
      <c r="Z153" s="1041"/>
      <c r="AA153" s="1041"/>
      <c r="AB153" s="1041"/>
      <c r="AC153" s="1041"/>
      <c r="AD153" s="1041"/>
      <c r="AE153" s="1041"/>
      <c r="AF153" s="1041"/>
      <c r="AG153" s="1041"/>
      <c r="AH153" s="1041"/>
      <c r="AI153" s="1041"/>
      <c r="AJ153" s="1041"/>
      <c r="AK153" s="1041"/>
      <c r="AL153" s="1041"/>
      <c r="AM153" s="1041"/>
      <c r="AN153" s="1041"/>
      <c r="AO153" s="1041"/>
      <c r="AP153" s="1041"/>
      <c r="AQ153" s="1041"/>
      <c r="AR153" s="1041"/>
      <c r="AS153" s="1041"/>
      <c r="AT153" s="1041"/>
      <c r="AU153" s="1041"/>
      <c r="AV153" s="1041"/>
      <c r="AW153" s="1041"/>
      <c r="AX153" s="1041"/>
      <c r="AY153" s="1041"/>
      <c r="AZ153" s="1041"/>
      <c r="BA153" s="1041"/>
      <c r="BB153" s="1041"/>
      <c r="BC153" s="1041"/>
      <c r="BD153" s="1041"/>
      <c r="BE153" s="1041"/>
      <c r="BF153" s="1041"/>
      <c r="BG153" s="1041"/>
      <c r="BH153" s="1041"/>
      <c r="BI153" s="1041"/>
      <c r="BJ153" s="1041"/>
      <c r="BK153" s="1041"/>
      <c r="BL153" s="1041"/>
      <c r="BM153" s="1041"/>
      <c r="BN153" s="1041"/>
      <c r="BO153" s="1041"/>
      <c r="BP153" s="1041"/>
      <c r="BQ153" s="1041"/>
      <c r="BR153" s="1041"/>
      <c r="BS153" s="1041"/>
      <c r="BT153" s="1041"/>
      <c r="BU153" s="1041"/>
      <c r="BV153" s="1041"/>
      <c r="BW153" s="1041"/>
      <c r="BX153" s="1041"/>
      <c r="BY153" s="87"/>
      <c r="BZ153" s="87"/>
      <c r="CA153" s="87"/>
      <c r="CB153" s="87"/>
      <c r="CC153" s="87"/>
      <c r="CD153" s="87"/>
      <c r="CE153" s="87"/>
      <c r="CF153" s="87"/>
      <c r="CG153" s="87"/>
      <c r="CH153" s="87"/>
      <c r="CI153" s="87"/>
      <c r="CJ153" s="87"/>
      <c r="CK153" s="87"/>
      <c r="CL153" s="87"/>
      <c r="CM153" s="87"/>
      <c r="CN153" s="87"/>
      <c r="CO153" s="87"/>
    </row>
    <row r="154" spans="1:129" hidden="1">
      <c r="A154" s="87" t="s">
        <v>219</v>
      </c>
      <c r="B154" s="87"/>
      <c r="C154" s="87"/>
      <c r="D154" s="87"/>
      <c r="E154" s="87"/>
      <c r="F154" s="87" t="e">
        <f t="shared" ref="F154:N154" si="717">F153/F91</f>
        <v>#REF!</v>
      </c>
      <c r="G154" s="87" t="e">
        <f t="shared" si="717"/>
        <v>#REF!</v>
      </c>
      <c r="H154" s="90" t="e">
        <f t="shared" si="717"/>
        <v>#REF!</v>
      </c>
      <c r="I154" s="1099" t="e">
        <f t="shared" ca="1" si="717"/>
        <v>#REF!</v>
      </c>
      <c r="J154" s="90" t="e">
        <f t="shared" si="717"/>
        <v>#REF!</v>
      </c>
      <c r="K154" s="90" t="e">
        <f t="shared" si="717"/>
        <v>#REF!</v>
      </c>
      <c r="L154" s="90" t="e">
        <f t="shared" si="717"/>
        <v>#REF!</v>
      </c>
      <c r="M154" s="1099">
        <f t="shared" si="717"/>
        <v>0.53466997786897341</v>
      </c>
      <c r="N154" s="90">
        <f t="shared" si="717"/>
        <v>0.5271695274693875</v>
      </c>
      <c r="O154" s="90">
        <f>O153/O91</f>
        <v>0.51955582659904398</v>
      </c>
      <c r="P154" s="90">
        <f>P153/P91</f>
        <v>0.51200370440258636</v>
      </c>
      <c r="Q154" s="90">
        <f>Q153/Q91</f>
        <v>0.51040757059912145</v>
      </c>
      <c r="R154" s="90">
        <f>R153/R91</f>
        <v>0.76089395206323629</v>
      </c>
      <c r="S154" s="90"/>
      <c r="T154" s="90"/>
      <c r="U154" s="90"/>
      <c r="V154" s="90"/>
      <c r="W154" s="90"/>
      <c r="X154" s="90"/>
      <c r="Y154" s="90"/>
      <c r="Z154" s="1041"/>
      <c r="AA154" s="1041"/>
      <c r="AB154" s="1041"/>
      <c r="AC154" s="1041"/>
      <c r="AD154" s="1041"/>
      <c r="AE154" s="1041"/>
      <c r="AF154" s="1041"/>
      <c r="AG154" s="1041"/>
      <c r="AH154" s="1041"/>
      <c r="AI154" s="1041"/>
      <c r="AJ154" s="1041"/>
      <c r="AK154" s="1041"/>
      <c r="AL154" s="1041"/>
      <c r="AM154" s="1041"/>
      <c r="AN154" s="1041"/>
      <c r="AO154" s="1041"/>
      <c r="AP154" s="1041"/>
      <c r="AQ154" s="1041"/>
      <c r="AR154" s="1041"/>
      <c r="AS154" s="1041"/>
      <c r="AT154" s="1041"/>
      <c r="AU154" s="1041"/>
      <c r="AV154" s="1041"/>
      <c r="AW154" s="1041"/>
      <c r="AX154" s="1041"/>
      <c r="AY154" s="1041"/>
      <c r="AZ154" s="1041"/>
      <c r="BA154" s="1041"/>
      <c r="BB154" s="1041"/>
      <c r="BC154" s="1041"/>
      <c r="BD154" s="1041"/>
      <c r="BE154" s="1041"/>
      <c r="BF154" s="1041"/>
      <c r="BG154" s="1041"/>
      <c r="BH154" s="1041"/>
      <c r="BI154" s="1041"/>
      <c r="BJ154" s="1041"/>
      <c r="BK154" s="1041"/>
      <c r="BL154" s="1041"/>
      <c r="BM154" s="1041"/>
      <c r="BN154" s="1041"/>
      <c r="BO154" s="1041"/>
      <c r="BP154" s="1041"/>
      <c r="BQ154" s="1041"/>
      <c r="BR154" s="1041"/>
      <c r="BS154" s="1041"/>
      <c r="BT154" s="1041"/>
      <c r="BU154" s="1041"/>
      <c r="BV154" s="1041"/>
      <c r="BW154" s="1041"/>
      <c r="BX154" s="1041"/>
      <c r="BY154" s="87"/>
      <c r="BZ154" s="87"/>
      <c r="CA154" s="87"/>
      <c r="CB154" s="87"/>
      <c r="CC154" s="87"/>
      <c r="CD154" s="87"/>
      <c r="CE154" s="87"/>
      <c r="CF154" s="87"/>
      <c r="CG154" s="87"/>
      <c r="CH154" s="87"/>
      <c r="CI154" s="87"/>
      <c r="CJ154" s="87"/>
      <c r="CK154" s="87"/>
      <c r="CL154" s="87"/>
      <c r="CM154" s="87"/>
      <c r="CN154" s="87"/>
      <c r="CO154" s="87"/>
    </row>
    <row r="155" spans="1:129">
      <c r="Q155" s="2995"/>
      <c r="R155" s="3250"/>
      <c r="DW155" s="1561"/>
      <c r="DX155" s="1561"/>
      <c r="DY155" s="1561"/>
    </row>
    <row r="156" spans="1:129">
      <c r="Q156" s="2995"/>
      <c r="R156" s="3250"/>
    </row>
    <row r="157" spans="1:129">
      <c r="Q157" s="2995"/>
      <c r="R157" s="3250"/>
    </row>
    <row r="158" spans="1:129">
      <c r="Q158" s="2995"/>
      <c r="R158" s="3250"/>
    </row>
    <row r="159" spans="1:129">
      <c r="Q159" s="2995"/>
      <c r="R159" s="3250"/>
    </row>
    <row r="160" spans="1:129">
      <c r="Q160" s="2995"/>
      <c r="R160" s="3250"/>
    </row>
    <row r="161" spans="17:18">
      <c r="Q161" s="2995"/>
      <c r="R161" s="3250"/>
    </row>
    <row r="162" spans="17:18">
      <c r="Q162" s="2995"/>
      <c r="R162" s="3250"/>
    </row>
    <row r="163" spans="17:18">
      <c r="Q163" s="2995"/>
      <c r="R163" s="3250"/>
    </row>
    <row r="164" spans="17:18">
      <c r="Q164" s="2995"/>
      <c r="R164" s="3250"/>
    </row>
    <row r="165" spans="17:18">
      <c r="Q165" s="2995"/>
      <c r="R165" s="3250"/>
    </row>
    <row r="166" spans="17:18">
      <c r="Q166" s="2995"/>
      <c r="R166" s="3250"/>
    </row>
    <row r="167" spans="17:18">
      <c r="Q167" s="2995"/>
      <c r="R167" s="3250"/>
    </row>
    <row r="168" spans="17:18">
      <c r="Q168" s="2995"/>
      <c r="R168" s="3250"/>
    </row>
    <row r="169" spans="17:18">
      <c r="Q169" s="2995"/>
      <c r="R169" s="3250"/>
    </row>
    <row r="170" spans="17:18">
      <c r="Q170" s="2995"/>
      <c r="R170" s="3250"/>
    </row>
    <row r="171" spans="17:18">
      <c r="R171" s="3250"/>
    </row>
  </sheetData>
  <phoneticPr fontId="76" type="noConversion"/>
  <pageMargins left="0" right="0" top="0" bottom="0" header="0" footer="0"/>
  <pageSetup scale="61" orientation="landscape" r:id="rId1"/>
  <headerFooter alignWithMargins="0"/>
  <rowBreaks count="2" manualBreakCount="2">
    <brk id="87" max="48" man="1"/>
    <brk id="126" max="12" man="1"/>
  </row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tabColor indexed="56"/>
    <pageSetUpPr fitToPage="1"/>
  </sheetPr>
  <dimension ref="A1:ED198"/>
  <sheetViews>
    <sheetView showGridLines="0" zoomScale="85" zoomScaleSheetLayoutView="85" workbookViewId="0">
      <pane xSplit="1" ySplit="7" topLeftCell="X8" activePane="bottomRight" state="frozen"/>
      <selection activeCell="W8" sqref="W8"/>
      <selection pane="topRight" activeCell="W8" sqref="W8"/>
      <selection pane="bottomLeft" activeCell="W8" sqref="W8"/>
      <selection pane="bottomRight" activeCell="X8" sqref="X8"/>
    </sheetView>
  </sheetViews>
  <sheetFormatPr defaultColWidth="8.6640625" defaultRowHeight="15" outlineLevelRow="1" outlineLevelCol="1"/>
  <cols>
    <col min="1" max="1" width="34.109375" customWidth="1"/>
    <col min="2" max="4" width="2.5546875" hidden="1" customWidth="1" outlineLevel="1"/>
    <col min="5" max="16" width="7.44140625" hidden="1" customWidth="1" outlineLevel="1"/>
    <col min="17" max="17" width="7.44140625" style="1074" hidden="1" customWidth="1" outlineLevel="1"/>
    <col min="18" max="18" width="7.44140625" hidden="1" customWidth="1" outlineLevel="1" collapsed="1"/>
    <col min="19" max="19" width="7.44140625" hidden="1" customWidth="1" outlineLevel="1"/>
    <col min="20" max="20" width="7.44140625" style="1074" hidden="1" customWidth="1" outlineLevel="1" collapsed="1"/>
    <col min="21" max="23" width="7.44140625" hidden="1" customWidth="1" outlineLevel="1" collapsed="1"/>
    <col min="24" max="24" width="7.44140625" customWidth="1" collapsed="1"/>
    <col min="25" max="26" width="7.44140625" customWidth="1"/>
    <col min="27" max="27" width="7.44140625" style="1074" customWidth="1"/>
    <col min="28" max="33" width="7.44140625" style="1074" hidden="1" customWidth="1" outlineLevel="1"/>
    <col min="34" max="34" width="2.5546875" style="1958" customWidth="1" collapsed="1"/>
    <col min="35" max="41" width="2.5546875" style="1958" hidden="1" customWidth="1" outlineLevel="1"/>
    <col min="42" max="53" width="7.44140625" hidden="1" customWidth="1" outlineLevel="1"/>
    <col min="54" max="54" width="7.44140625" hidden="1" customWidth="1" outlineLevel="1" collapsed="1"/>
    <col min="55" max="61" width="7.44140625" hidden="1" customWidth="1" outlineLevel="1"/>
    <col min="62" max="62" width="7.44140625" hidden="1" customWidth="1" outlineLevel="1" collapsed="1"/>
    <col min="63" max="97" width="7.44140625" hidden="1" customWidth="1" outlineLevel="1"/>
    <col min="98" max="98" width="7.44140625" hidden="1" customWidth="1" outlineLevel="1" collapsed="1"/>
    <col min="99" max="105" width="7.44140625" hidden="1" customWidth="1" outlineLevel="1"/>
    <col min="106" max="106" width="7.44140625" hidden="1" customWidth="1" outlineLevel="1" collapsed="1"/>
    <col min="107" max="109" width="7.44140625" hidden="1" customWidth="1" outlineLevel="1"/>
    <col min="110" max="110" width="7.44140625" hidden="1" customWidth="1" outlineLevel="1" collapsed="1"/>
    <col min="111" max="113" width="7.44140625" style="1074" hidden="1" customWidth="1" outlineLevel="1"/>
    <col min="114" max="114" width="7.44140625" style="1074" hidden="1" customWidth="1" outlineLevel="1" collapsed="1"/>
    <col min="115" max="117" width="7.44140625" style="1074" hidden="1" customWidth="1" outlineLevel="1"/>
    <col min="118" max="118" width="7.44140625" style="1074" hidden="1" customWidth="1" outlineLevel="1" collapsed="1"/>
    <col min="119" max="121" width="7.44140625" style="1074" hidden="1" customWidth="1" outlineLevel="1"/>
    <col min="122" max="122" width="7.44140625" style="1074" customWidth="1" collapsed="1"/>
    <col min="123" max="129" width="7.44140625" style="1074" customWidth="1"/>
  </cols>
  <sheetData>
    <row r="1" spans="1:129">
      <c r="A1" s="91" t="s">
        <v>1111</v>
      </c>
      <c r="B1" s="87"/>
      <c r="C1" s="87"/>
      <c r="D1" s="87"/>
      <c r="E1" s="87"/>
      <c r="F1" s="87"/>
      <c r="G1" s="87"/>
      <c r="H1" s="87"/>
      <c r="I1" s="87"/>
      <c r="J1" s="87"/>
      <c r="K1" s="87"/>
      <c r="L1" s="87"/>
      <c r="M1" s="87"/>
      <c r="N1" s="87"/>
      <c r="O1" s="87"/>
      <c r="P1" s="123"/>
      <c r="Q1" s="1110"/>
      <c r="R1" s="123"/>
      <c r="S1" s="123"/>
      <c r="T1" s="1110"/>
      <c r="U1" s="123"/>
      <c r="V1" s="123"/>
      <c r="W1" s="123"/>
      <c r="X1" s="123"/>
      <c r="Y1" s="123"/>
      <c r="Z1" s="123"/>
      <c r="AA1" s="1110"/>
      <c r="AB1" s="1110"/>
      <c r="AC1" s="1110"/>
      <c r="AD1" s="1110"/>
      <c r="AE1" s="1110"/>
      <c r="AF1" s="1110"/>
      <c r="AG1" s="1110"/>
      <c r="AH1" s="1989"/>
      <c r="AI1" s="1989"/>
      <c r="AJ1" s="1989"/>
      <c r="AK1" s="1989"/>
      <c r="AL1" s="1989"/>
      <c r="AM1" s="1989"/>
      <c r="AN1" s="1989"/>
      <c r="AO1" s="1989"/>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143"/>
      <c r="BU1" s="87"/>
      <c r="BV1" s="87"/>
      <c r="BW1" s="87"/>
      <c r="BX1" s="87"/>
      <c r="BY1" s="87"/>
      <c r="BZ1" s="270"/>
      <c r="CA1" s="270"/>
      <c r="CB1" s="270"/>
      <c r="CC1" s="270"/>
      <c r="CD1" s="270"/>
      <c r="CE1" s="270"/>
      <c r="CF1" s="270"/>
      <c r="CG1" s="247"/>
      <c r="CH1" s="247"/>
      <c r="CI1" s="247"/>
      <c r="CJ1" s="247"/>
      <c r="CK1" s="247"/>
      <c r="CL1" s="247"/>
      <c r="CM1" s="247"/>
      <c r="CN1" s="247"/>
      <c r="CO1" s="247"/>
      <c r="CP1" s="247"/>
      <c r="CQ1" s="123"/>
      <c r="CR1" s="123"/>
      <c r="CS1" s="123"/>
      <c r="DB1" s="1425"/>
      <c r="DC1" s="1425"/>
      <c r="DD1" s="1425"/>
      <c r="DE1" s="1425"/>
      <c r="DF1" s="1425"/>
      <c r="DG1" s="1425"/>
      <c r="DH1" s="1425"/>
      <c r="DI1" s="1425"/>
      <c r="DJ1" s="1425"/>
      <c r="DK1" s="1425"/>
      <c r="DL1" s="1425"/>
      <c r="DM1" s="1425"/>
      <c r="DN1" s="1425"/>
      <c r="DO1" s="1425"/>
      <c r="DP1" s="1425"/>
      <c r="DQ1" s="1425"/>
      <c r="DR1" s="1425"/>
      <c r="DS1" s="1425"/>
      <c r="DT1" s="1425"/>
      <c r="DU1" s="1425"/>
      <c r="DV1" s="1425"/>
      <c r="DW1" s="1425"/>
      <c r="DX1" s="1425"/>
      <c r="DY1" s="1425"/>
    </row>
    <row r="2" spans="1:129">
      <c r="A2" s="91" t="s">
        <v>1112</v>
      </c>
      <c r="B2" s="87"/>
      <c r="C2" s="87"/>
      <c r="D2" s="87"/>
      <c r="E2" s="87"/>
      <c r="F2" s="87"/>
      <c r="G2" s="87"/>
      <c r="H2" s="87"/>
      <c r="I2" s="87"/>
      <c r="J2" s="87"/>
      <c r="K2" s="87"/>
      <c r="L2" s="87"/>
      <c r="M2" s="87"/>
      <c r="N2" s="87"/>
      <c r="O2" s="87"/>
      <c r="P2" s="228"/>
      <c r="Q2" s="1113"/>
      <c r="R2" s="123"/>
      <c r="S2" s="123"/>
      <c r="T2" s="1110"/>
      <c r="U2" s="123"/>
      <c r="V2" s="123"/>
      <c r="W2" s="123"/>
      <c r="X2" s="123"/>
      <c r="Y2" s="123"/>
      <c r="Z2" s="123"/>
      <c r="AA2" s="1110"/>
      <c r="AB2" s="1110"/>
      <c r="AC2" s="1110"/>
      <c r="AD2" s="1110"/>
      <c r="AE2" s="1110"/>
      <c r="AF2" s="1110"/>
      <c r="AG2" s="1110"/>
      <c r="AH2" s="1989"/>
      <c r="AI2" s="1989"/>
      <c r="AJ2" s="1989"/>
      <c r="AK2" s="1989"/>
      <c r="AL2" s="1989"/>
      <c r="AM2" s="1989"/>
      <c r="AN2" s="1989"/>
      <c r="AO2" s="1989"/>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143"/>
      <c r="BU2" s="87"/>
      <c r="BV2" s="87"/>
      <c r="BW2" s="87"/>
      <c r="BX2" s="87"/>
      <c r="BY2" s="87"/>
      <c r="BZ2" s="270"/>
      <c r="CA2" s="270"/>
      <c r="CB2" s="270"/>
      <c r="CC2" s="270"/>
      <c r="CD2" s="270"/>
      <c r="CE2" s="270"/>
      <c r="CF2" s="270"/>
      <c r="CG2" s="149"/>
      <c r="CH2" s="149"/>
      <c r="CI2" s="149"/>
      <c r="CJ2" s="149"/>
      <c r="CK2" s="247"/>
      <c r="CL2" s="247"/>
      <c r="CM2" s="247"/>
      <c r="CN2" s="247"/>
      <c r="CO2" s="247"/>
      <c r="CP2" s="247"/>
      <c r="CQ2" s="149"/>
      <c r="CR2" s="149"/>
      <c r="CS2" s="149"/>
      <c r="DF2" s="120"/>
      <c r="DG2" s="120"/>
      <c r="DH2" s="120"/>
      <c r="DI2" s="120"/>
      <c r="DJ2" s="1425"/>
      <c r="DK2" s="1425"/>
      <c r="DL2" s="1425"/>
      <c r="DM2" s="1425"/>
      <c r="DN2" s="1425"/>
      <c r="DO2" s="1425"/>
      <c r="DP2" s="1425"/>
      <c r="DQ2" s="1425"/>
      <c r="DR2" s="1425"/>
      <c r="DS2" s="1425"/>
      <c r="DT2" s="1425"/>
      <c r="DU2" s="1425"/>
      <c r="DV2" s="1425"/>
      <c r="DW2" s="1425"/>
      <c r="DX2" s="1425"/>
      <c r="DY2" s="1425"/>
    </row>
    <row r="3" spans="1:129">
      <c r="A3" s="87" t="s">
        <v>1113</v>
      </c>
      <c r="B3" s="87"/>
      <c r="C3" s="87"/>
      <c r="D3" s="87"/>
      <c r="E3" s="87"/>
      <c r="F3" s="87"/>
      <c r="G3" s="87"/>
      <c r="H3" s="87"/>
      <c r="I3" s="87"/>
      <c r="J3" s="87"/>
      <c r="K3" s="87"/>
      <c r="L3" s="87"/>
      <c r="M3" s="87"/>
      <c r="N3" s="87"/>
      <c r="O3" s="87"/>
      <c r="P3" s="695"/>
      <c r="Q3" s="1113"/>
      <c r="R3" s="123"/>
      <c r="S3" s="123"/>
      <c r="T3" s="1110"/>
      <c r="U3" s="123"/>
      <c r="V3" s="123"/>
      <c r="W3" s="123"/>
      <c r="X3" s="123"/>
      <c r="Y3" s="123"/>
      <c r="Z3" s="123"/>
      <c r="AA3" s="1110"/>
      <c r="AB3" s="1110"/>
      <c r="AC3" s="1110"/>
      <c r="AD3" s="1110"/>
      <c r="AE3" s="1110"/>
      <c r="AF3" s="1110"/>
      <c r="AG3" s="1110"/>
      <c r="AH3" s="1989"/>
      <c r="AI3" s="1989"/>
      <c r="AJ3" s="1989"/>
      <c r="AK3" s="1989"/>
      <c r="AL3" s="1989"/>
      <c r="AM3" s="1989"/>
      <c r="AN3" s="1989"/>
      <c r="AO3" s="1989"/>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143"/>
      <c r="BU3" s="87"/>
      <c r="BV3" s="87"/>
      <c r="BW3" s="87"/>
      <c r="BX3" s="87"/>
      <c r="BY3" s="87"/>
      <c r="BZ3" s="270"/>
      <c r="CA3" s="270"/>
      <c r="CB3" s="270"/>
      <c r="CC3" s="270"/>
      <c r="CD3" s="270"/>
      <c r="CE3" s="270"/>
      <c r="CF3" s="270"/>
      <c r="CG3" s="91"/>
      <c r="CH3" s="91"/>
      <c r="CI3" s="91"/>
      <c r="CJ3" s="91"/>
      <c r="CK3" s="91"/>
      <c r="CL3" s="91"/>
      <c r="CM3" s="91"/>
      <c r="CN3" s="91"/>
      <c r="CO3" s="91"/>
      <c r="CP3" s="91"/>
      <c r="CQ3" s="91"/>
      <c r="DJ3" s="1425"/>
      <c r="DK3" s="1425"/>
      <c r="DL3" s="1425"/>
      <c r="DM3" s="1425"/>
      <c r="DN3" s="1425"/>
      <c r="DO3" s="1425"/>
      <c r="DP3" s="1425"/>
      <c r="DQ3" s="1425"/>
      <c r="DR3" s="1425"/>
      <c r="DS3" s="1425"/>
      <c r="DT3" s="1425"/>
      <c r="DU3" s="1425"/>
      <c r="DV3" s="1425"/>
      <c r="DW3" s="1425"/>
      <c r="DX3" s="1425"/>
      <c r="DY3" s="1425"/>
    </row>
    <row r="4" spans="1:129" ht="21" customHeight="1">
      <c r="A4" s="91"/>
      <c r="B4" s="87"/>
      <c r="C4" s="87"/>
      <c r="D4" s="87"/>
      <c r="E4" s="87"/>
      <c r="F4" s="87"/>
      <c r="G4" s="87"/>
      <c r="H4" s="87"/>
      <c r="I4" s="87"/>
      <c r="J4" s="87"/>
      <c r="K4" s="87"/>
      <c r="L4" s="87"/>
      <c r="M4" s="87"/>
      <c r="N4" s="87"/>
      <c r="O4" s="87"/>
      <c r="P4" s="123"/>
      <c r="Q4" s="1113"/>
      <c r="R4" s="696"/>
      <c r="S4" s="123"/>
      <c r="T4" s="1110"/>
      <c r="U4" s="123"/>
      <c r="V4" s="123"/>
      <c r="W4" s="123"/>
      <c r="X4" s="123"/>
      <c r="Y4" s="123"/>
      <c r="Z4" s="123"/>
      <c r="AA4" s="1110"/>
      <c r="AB4" s="1110"/>
      <c r="AC4" s="1110"/>
      <c r="AD4" s="1110"/>
      <c r="AE4" s="1110"/>
      <c r="AF4" s="1110"/>
      <c r="AG4" s="1110"/>
      <c r="AH4" s="1989"/>
      <c r="AI4" s="1989"/>
      <c r="AJ4" s="1989"/>
      <c r="AK4" s="1989"/>
      <c r="AL4" s="1989"/>
      <c r="AM4" s="1989"/>
      <c r="AN4" s="1989"/>
      <c r="AO4" s="1989"/>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c r="BT4" s="143"/>
      <c r="BU4" s="87"/>
      <c r="BV4" s="87"/>
      <c r="BW4" s="87"/>
      <c r="BX4" s="87"/>
      <c r="BY4" s="87"/>
      <c r="BZ4" s="270"/>
      <c r="CA4" s="270"/>
      <c r="CB4" s="270"/>
      <c r="CC4" s="270"/>
      <c r="CD4" s="123"/>
      <c r="CE4" s="123"/>
      <c r="CF4" s="123"/>
      <c r="CG4" s="228"/>
      <c r="CH4" s="228"/>
      <c r="CI4" s="228"/>
      <c r="CJ4" s="228"/>
      <c r="CK4" s="228"/>
      <c r="CL4" s="228"/>
      <c r="CM4" s="228"/>
      <c r="CN4" s="228"/>
      <c r="CO4" s="228"/>
      <c r="CP4" s="228"/>
      <c r="CQ4" s="270"/>
      <c r="CR4" s="87"/>
      <c r="CS4" s="87"/>
      <c r="DJ4" s="1425"/>
      <c r="DK4" s="1425"/>
      <c r="DL4" s="1425"/>
      <c r="DM4" s="1425"/>
      <c r="DN4" s="1425"/>
      <c r="DO4" s="1425"/>
      <c r="DP4" s="1425"/>
      <c r="DQ4" s="1425"/>
      <c r="DR4" s="1425"/>
      <c r="DS4" s="1425"/>
      <c r="DT4" s="1425"/>
      <c r="DU4" s="1425"/>
      <c r="DV4" s="1425"/>
      <c r="DW4" s="1425"/>
      <c r="DX4" s="1425"/>
      <c r="DY4" s="1425"/>
    </row>
    <row r="5" spans="1:129">
      <c r="A5" s="474"/>
      <c r="B5" s="446"/>
      <c r="C5" s="446"/>
      <c r="D5" s="446"/>
      <c r="E5" s="348">
        <v>1997</v>
      </c>
      <c r="F5" s="348">
        <v>1998</v>
      </c>
      <c r="G5" s="348">
        <v>1999</v>
      </c>
      <c r="H5" s="348">
        <v>2000</v>
      </c>
      <c r="I5" s="348">
        <v>2001</v>
      </c>
      <c r="J5" s="348">
        <v>2002</v>
      </c>
      <c r="K5" s="348">
        <f>IS!K5</f>
        <v>2003</v>
      </c>
      <c r="L5" s="348">
        <f>IS!L5</f>
        <v>2004</v>
      </c>
      <c r="M5" s="348">
        <f>IS!M5</f>
        <v>2005</v>
      </c>
      <c r="N5" s="348">
        <f>IS!N5</f>
        <v>2006</v>
      </c>
      <c r="O5" s="348">
        <f>IS!O5</f>
        <v>2007</v>
      </c>
      <c r="P5" s="348">
        <f>IS!P5</f>
        <v>2008</v>
      </c>
      <c r="Q5" s="1073">
        <f>IS!Q5</f>
        <v>2009</v>
      </c>
      <c r="R5" s="348">
        <f>IS!R5</f>
        <v>2010</v>
      </c>
      <c r="S5" s="348">
        <f>IS!S5</f>
        <v>2011</v>
      </c>
      <c r="T5" s="448">
        <f>IS!T5</f>
        <v>2012</v>
      </c>
      <c r="U5" s="348">
        <f>IS!U5</f>
        <v>2013</v>
      </c>
      <c r="V5" s="348" t="str">
        <f>IS!V5</f>
        <v>2014</v>
      </c>
      <c r="W5" s="348" t="str">
        <f>IS!W5</f>
        <v>2015</v>
      </c>
      <c r="X5" s="348" t="str">
        <f>IS!X5</f>
        <v>2016</v>
      </c>
      <c r="Y5" s="348" t="str">
        <f>IS!Y5</f>
        <v>2017</v>
      </c>
      <c r="Z5" s="348" t="str">
        <f>IS!Z5</f>
        <v>2018E</v>
      </c>
      <c r="AA5" s="1073" t="str">
        <f>IS!AA5</f>
        <v>2019E</v>
      </c>
      <c r="AB5" s="1073" t="str">
        <f>IS!AB5</f>
        <v>2020E</v>
      </c>
      <c r="AC5" s="1073" t="str">
        <f>IS!AC5</f>
        <v>2021E</v>
      </c>
      <c r="AD5" s="1073" t="str">
        <f>IS!AD5</f>
        <v>2022E</v>
      </c>
      <c r="AE5" s="1073" t="str">
        <f>IS!AE5</f>
        <v>2023E</v>
      </c>
      <c r="AF5" s="1073" t="str">
        <f>IS!AF5</f>
        <v>2024E</v>
      </c>
      <c r="AG5" s="1073" t="str">
        <f>IS!AG5</f>
        <v>2025E</v>
      </c>
      <c r="AH5" s="2127"/>
      <c r="AI5" s="1989"/>
      <c r="AJ5" s="1989"/>
      <c r="AK5" s="1989"/>
      <c r="AL5" s="1989"/>
      <c r="AM5" s="1989"/>
      <c r="AN5" s="1989"/>
      <c r="AO5" s="1989"/>
      <c r="AP5" s="448" t="s">
        <v>902</v>
      </c>
      <c r="AQ5" s="348" t="s">
        <v>903</v>
      </c>
      <c r="AR5" s="348" t="s">
        <v>904</v>
      </c>
      <c r="AS5" s="348" t="s">
        <v>905</v>
      </c>
      <c r="AT5" s="448" t="s">
        <v>906</v>
      </c>
      <c r="AU5" s="348" t="s">
        <v>907</v>
      </c>
      <c r="AV5" s="348" t="s">
        <v>908</v>
      </c>
      <c r="AW5" s="348" t="s">
        <v>909</v>
      </c>
      <c r="AX5" s="448" t="s">
        <v>910</v>
      </c>
      <c r="AY5" s="348" t="s">
        <v>911</v>
      </c>
      <c r="AZ5" s="348" t="s">
        <v>912</v>
      </c>
      <c r="BA5" s="348" t="s">
        <v>913</v>
      </c>
      <c r="BB5" s="448" t="s">
        <v>914</v>
      </c>
      <c r="BC5" s="348" t="s">
        <v>915</v>
      </c>
      <c r="BD5" s="348" t="s">
        <v>916</v>
      </c>
      <c r="BE5" s="348" t="s">
        <v>917</v>
      </c>
      <c r="BF5" s="448" t="s">
        <v>918</v>
      </c>
      <c r="BG5" s="348" t="s">
        <v>919</v>
      </c>
      <c r="BH5" s="348" t="s">
        <v>920</v>
      </c>
      <c r="BI5" s="348" t="s">
        <v>921</v>
      </c>
      <c r="BJ5" s="448" t="s">
        <v>922</v>
      </c>
      <c r="BK5" s="348" t="s">
        <v>923</v>
      </c>
      <c r="BL5" s="348" t="s">
        <v>924</v>
      </c>
      <c r="BM5" s="348" t="s">
        <v>925</v>
      </c>
      <c r="BN5" s="448" t="s">
        <v>926</v>
      </c>
      <c r="BO5" s="348" t="s">
        <v>927</v>
      </c>
      <c r="BP5" s="348" t="s">
        <v>928</v>
      </c>
      <c r="BQ5" s="348" t="s">
        <v>929</v>
      </c>
      <c r="BR5" s="448" t="str">
        <f>IS!BO5</f>
        <v>1Q04</v>
      </c>
      <c r="BS5" s="348" t="str">
        <f>IS!BP5</f>
        <v>2Q04</v>
      </c>
      <c r="BT5" s="348" t="str">
        <f>IS!BQ5</f>
        <v>3Q04</v>
      </c>
      <c r="BU5" s="348" t="str">
        <f>IS!BR5</f>
        <v>4Q04</v>
      </c>
      <c r="BV5" s="448" t="str">
        <f>IS!BS5</f>
        <v>1Q05</v>
      </c>
      <c r="BW5" s="348" t="str">
        <f>IS!BT5</f>
        <v>2Q05</v>
      </c>
      <c r="BX5" s="348" t="str">
        <f>IS!BU5</f>
        <v>3Q05</v>
      </c>
      <c r="BY5" s="348" t="str">
        <f>IS!BV5</f>
        <v>4Q05</v>
      </c>
      <c r="BZ5" s="448" t="str">
        <f>IS!BW5</f>
        <v>1Q06</v>
      </c>
      <c r="CA5" s="348" t="str">
        <f>IS!BX5</f>
        <v>2Q06</v>
      </c>
      <c r="CB5" s="348" t="str">
        <f>IS!BY5</f>
        <v>3Q06</v>
      </c>
      <c r="CC5" s="348" t="str">
        <f>IS!BZ5</f>
        <v>4Q06</v>
      </c>
      <c r="CD5" s="448" t="str">
        <f>IS!CA5</f>
        <v>1Q07</v>
      </c>
      <c r="CE5" s="348" t="str">
        <f>IS!CB5</f>
        <v>2Q07</v>
      </c>
      <c r="CF5" s="348" t="str">
        <f>IS!CC5</f>
        <v>3Q07</v>
      </c>
      <c r="CG5" s="348" t="str">
        <f>IS!CD5</f>
        <v>4Q07</v>
      </c>
      <c r="CH5" s="448" t="str">
        <f>IS!CE5</f>
        <v>1Q08</v>
      </c>
      <c r="CI5" s="348" t="str">
        <f>IS!CF5</f>
        <v>2Q08</v>
      </c>
      <c r="CJ5" s="348" t="str">
        <f>IS!CG5</f>
        <v>3Q08</v>
      </c>
      <c r="CK5" s="348" t="str">
        <f>IS!CH5</f>
        <v>4Q08</v>
      </c>
      <c r="CL5" s="448" t="str">
        <f>IS!CI5</f>
        <v>1Q09</v>
      </c>
      <c r="CM5" s="348" t="str">
        <f>IS!CJ5</f>
        <v>2Q09</v>
      </c>
      <c r="CN5" s="348" t="str">
        <f>IS!CK5</f>
        <v>3Q09</v>
      </c>
      <c r="CO5" s="348" t="str">
        <f>IS!CL5</f>
        <v>4Q09</v>
      </c>
      <c r="CP5" s="448" t="str">
        <f>IS!CM5</f>
        <v>1Q10</v>
      </c>
      <c r="CQ5" s="348" t="str">
        <f>IS!CN5</f>
        <v>2Q10</v>
      </c>
      <c r="CR5" s="348" t="str">
        <f>IS!CO5</f>
        <v>3Q10</v>
      </c>
      <c r="CS5" s="348" t="str">
        <f>IS!CP5</f>
        <v>4Q10</v>
      </c>
      <c r="CT5" s="448" t="str">
        <f>IS!CQ5</f>
        <v>1Q11</v>
      </c>
      <c r="CU5" s="348" t="str">
        <f>IS!CR5</f>
        <v>2Q11</v>
      </c>
      <c r="CV5" s="348" t="str">
        <f>IS!CS5</f>
        <v>3Q11</v>
      </c>
      <c r="CW5" s="447" t="str">
        <f>IS!CT5</f>
        <v>4Q11</v>
      </c>
      <c r="CX5" s="348" t="str">
        <f>IS!CU5</f>
        <v>1Q12</v>
      </c>
      <c r="CY5" s="348" t="str">
        <f>IS!CV5</f>
        <v>2Q12</v>
      </c>
      <c r="CZ5" s="348" t="str">
        <f>IS!CW5</f>
        <v>3Q12</v>
      </c>
      <c r="DA5" s="348" t="str">
        <f>IS!CX5</f>
        <v>4Q12</v>
      </c>
      <c r="DB5" s="448" t="str">
        <f>IS!CY5</f>
        <v>1Q13</v>
      </c>
      <c r="DC5" s="348" t="str">
        <f>IS!CZ5</f>
        <v>2Q13</v>
      </c>
      <c r="DD5" s="348" t="str">
        <f>IS!DA5</f>
        <v>3Q13</v>
      </c>
      <c r="DE5" s="348" t="str">
        <f>IS!DB5</f>
        <v>4Q13</v>
      </c>
      <c r="DF5" s="448" t="str">
        <f>IS!DC5</f>
        <v>1Q14</v>
      </c>
      <c r="DG5" s="1073" t="str">
        <f>IS!DD5</f>
        <v>2Q14</v>
      </c>
      <c r="DH5" s="1073" t="str">
        <f>IS!DE5</f>
        <v>3Q14</v>
      </c>
      <c r="DI5" s="447" t="str">
        <f>IS!DF5</f>
        <v>4Q14</v>
      </c>
      <c r="DJ5" s="448" t="str">
        <f>IS!DG5</f>
        <v>1Q15</v>
      </c>
      <c r="DK5" s="1073" t="str">
        <f>IS!DH5</f>
        <v>2Q15</v>
      </c>
      <c r="DL5" s="1073" t="str">
        <f>IS!DI5</f>
        <v>3Q15</v>
      </c>
      <c r="DM5" s="447" t="str">
        <f>IS!DJ5</f>
        <v>4Q15</v>
      </c>
      <c r="DN5" s="447" t="str">
        <f>IS!DK5</f>
        <v>1Q16</v>
      </c>
      <c r="DO5" s="447" t="str">
        <f>IS!DL5</f>
        <v>2Q16</v>
      </c>
      <c r="DP5" s="447" t="str">
        <f>IS!DM5</f>
        <v>3Q16</v>
      </c>
      <c r="DQ5" s="447" t="str">
        <f>IS!DN5</f>
        <v>4Q16</v>
      </c>
      <c r="DR5" s="447" t="str">
        <f>IS!DO5</f>
        <v>1Q17</v>
      </c>
      <c r="DS5" s="447" t="str">
        <f>IS!DP5</f>
        <v>2Q17</v>
      </c>
      <c r="DT5" s="447" t="str">
        <f>IS!DQ5</f>
        <v>3Q17</v>
      </c>
      <c r="DU5" s="447" t="str">
        <f>IS!DR5</f>
        <v>4Q17</v>
      </c>
      <c r="DV5" s="1073" t="str">
        <f>IS!DS5</f>
        <v>1Q18</v>
      </c>
      <c r="DW5" s="1073" t="str">
        <f>IS!DT5</f>
        <v>2Q18E</v>
      </c>
      <c r="DX5" s="1073" t="str">
        <f>IS!DU5</f>
        <v>3Q18E</v>
      </c>
      <c r="DY5" s="447" t="str">
        <f>IS!DV5</f>
        <v>4Q18E</v>
      </c>
    </row>
    <row r="6" spans="1:129" hidden="1" outlineLevel="1">
      <c r="A6" s="584" t="s">
        <v>1212</v>
      </c>
      <c r="B6" s="128"/>
      <c r="C6" s="128"/>
      <c r="D6" s="128"/>
      <c r="E6" s="128"/>
      <c r="F6" s="130"/>
      <c r="G6" s="130"/>
      <c r="H6" s="130"/>
      <c r="I6" s="130"/>
      <c r="J6" s="130">
        <f>IS!J6</f>
        <v>3.06</v>
      </c>
      <c r="K6" s="130">
        <f>IS!K6</f>
        <v>2.59</v>
      </c>
      <c r="L6" s="130">
        <f>IS!L6</f>
        <v>2.4900000000000002</v>
      </c>
      <c r="M6" s="130">
        <f>IS!M6</f>
        <v>1</v>
      </c>
      <c r="N6" s="130">
        <f>IS!N6</f>
        <v>2.61</v>
      </c>
      <c r="O6" s="130">
        <f>IS!O6</f>
        <v>2.3866533099135196</v>
      </c>
      <c r="P6" s="130">
        <f>IS!P6</f>
        <v>2.538231328484017</v>
      </c>
      <c r="Q6" s="1036">
        <f>IS!Q6</f>
        <v>1.9136349876803944</v>
      </c>
      <c r="R6" s="130">
        <f>IS!R6</f>
        <v>2.0773481954809991</v>
      </c>
      <c r="S6" s="130">
        <f>IS!S6</f>
        <v>2.1540899052696991</v>
      </c>
      <c r="T6" s="1036">
        <f>IS!T6</f>
        <v>2.2251970649895183</v>
      </c>
      <c r="U6" s="130">
        <f>IS!U6</f>
        <v>2.8220215727209466</v>
      </c>
      <c r="V6" s="130">
        <f>IS!V6</f>
        <v>3.4132820851600503</v>
      </c>
      <c r="W6" s="130">
        <f>IS!W6</f>
        <v>3.4502992549163305</v>
      </c>
      <c r="X6" s="130">
        <f>IS!X6</f>
        <v>3.7416043566052744</v>
      </c>
      <c r="Y6" s="130">
        <f>IS!Y6</f>
        <v>3.7374602397846832</v>
      </c>
      <c r="Z6" s="130">
        <f ca="1">IS!Z6</f>
        <v>4.5447318949672786</v>
      </c>
      <c r="AA6" s="1036">
        <f ca="1">IS!AA6</f>
        <v>4.7340805279717273</v>
      </c>
      <c r="AB6" s="1036">
        <f ca="1">IS!AB6</f>
        <v>4.949467505016357</v>
      </c>
      <c r="AC6" s="1036">
        <f ca="1">IS!AC6</f>
        <v>5.1589882052989253</v>
      </c>
      <c r="AD6" s="1036">
        <f ca="1">IS!AD6</f>
        <v>5.3885502047206435</v>
      </c>
      <c r="AE6" s="1036">
        <f ca="1">IS!AE6</f>
        <v>5.6328247202620876</v>
      </c>
      <c r="AF6" s="1036">
        <f ca="1">IS!AF6</f>
        <v>5.8930980122776537</v>
      </c>
      <c r="AG6" s="1036">
        <f ca="1">IS!AG6</f>
        <v>6.1637765370324633</v>
      </c>
      <c r="AH6" s="1959"/>
      <c r="AI6" s="1989"/>
      <c r="AJ6" s="1989"/>
      <c r="AK6" s="1989"/>
      <c r="AL6" s="1989"/>
      <c r="AM6" s="1989"/>
      <c r="AN6" s="1989"/>
      <c r="AO6" s="1989"/>
      <c r="AP6" s="131"/>
      <c r="AQ6" s="130"/>
      <c r="AR6" s="130"/>
      <c r="AS6" s="130"/>
      <c r="AT6" s="131"/>
      <c r="AU6" s="130"/>
      <c r="AV6" s="130"/>
      <c r="AW6" s="130"/>
      <c r="AX6" s="131"/>
      <c r="AY6" s="130"/>
      <c r="AZ6" s="130"/>
      <c r="BA6" s="130"/>
      <c r="BB6" s="131"/>
      <c r="BC6" s="130"/>
      <c r="BD6" s="130"/>
      <c r="BE6" s="130"/>
      <c r="BF6" s="131"/>
      <c r="BG6" s="130"/>
      <c r="BH6" s="130"/>
      <c r="BI6" s="130"/>
      <c r="BJ6" s="131">
        <f>IS!BG6</f>
        <v>0.72</v>
      </c>
      <c r="BK6" s="130">
        <f>IS!BH6</f>
        <v>0.77</v>
      </c>
      <c r="BL6" s="130">
        <f>IS!BI6</f>
        <v>0.77</v>
      </c>
      <c r="BM6" s="130">
        <f>IS!BJ6</f>
        <v>0.8</v>
      </c>
      <c r="BN6" s="131">
        <f>IS!BK6</f>
        <v>0.68</v>
      </c>
      <c r="BO6" s="130">
        <f>IS!BL6</f>
        <v>0.67</v>
      </c>
      <c r="BP6" s="130">
        <f>IS!BM6</f>
        <v>0.62</v>
      </c>
      <c r="BQ6" s="130">
        <f>IS!BN6</f>
        <v>0.56999999999999995</v>
      </c>
      <c r="BR6" s="131">
        <f>IS!BO6</f>
        <v>0.57428872497365646</v>
      </c>
      <c r="BS6" s="130">
        <f>IS!BP6</f>
        <v>0.63161609033168664</v>
      </c>
      <c r="BT6" s="130">
        <f>IS!BQ6</f>
        <v>0.64290780141843973</v>
      </c>
      <c r="BU6" s="130">
        <f>IS!BR6</f>
        <v>0.6415161176053843</v>
      </c>
      <c r="BV6" s="131">
        <f>IS!BS6</f>
        <v>0.60262318326834452</v>
      </c>
      <c r="BW6" s="130">
        <f>IS!BT6</f>
        <v>0.61653068463994321</v>
      </c>
      <c r="BX6" s="130">
        <f>IS!BU6</f>
        <v>0.6340078097266596</v>
      </c>
      <c r="BY6" s="130">
        <f>IS!BV6</f>
        <v>0.61079545454545459</v>
      </c>
      <c r="BZ6" s="131">
        <f>IS!BW6</f>
        <v>0.67530600364649018</v>
      </c>
      <c r="CA6" s="130">
        <f>IS!BX6</f>
        <v>0.63953882672092233</v>
      </c>
      <c r="CB6" s="130">
        <f>IS!BY6</f>
        <v>0.68114950393431406</v>
      </c>
      <c r="CC6" s="130">
        <f>IS!BZ6</f>
        <v>0.61870503597122306</v>
      </c>
      <c r="CD6" s="131">
        <f>IS!CA6</f>
        <v>0.55994503607007906</v>
      </c>
      <c r="CE6" s="130">
        <f>IS!CB6</f>
        <v>0.58479532163742687</v>
      </c>
      <c r="CF6" s="130">
        <f>IS!CC6</f>
        <v>0.62551724137931031</v>
      </c>
      <c r="CG6" s="130">
        <f>IS!CD6</f>
        <v>0.61639571082670352</v>
      </c>
      <c r="CH6" s="131">
        <f>IS!CE6</f>
        <v>0.60767888307155327</v>
      </c>
      <c r="CI6" s="130">
        <f>IS!CF6</f>
        <v>0.66783584707120314</v>
      </c>
      <c r="CJ6" s="130">
        <f>IS!CG6</f>
        <v>0.65553602811950795</v>
      </c>
      <c r="CK6" s="130">
        <f>IS!CH6</f>
        <v>0.60718057022175287</v>
      </c>
      <c r="CL6" s="131">
        <f>IS!CI6</f>
        <v>0.47437486800422379</v>
      </c>
      <c r="CM6" s="130">
        <f>IS!CJ6</f>
        <v>0.51500422386483635</v>
      </c>
      <c r="CN6" s="130">
        <f>IS!CK6</f>
        <v>0.48104963041182691</v>
      </c>
      <c r="CO6" s="130">
        <f>IS!CL6</f>
        <v>0.44320626539950719</v>
      </c>
      <c r="CP6" s="131">
        <f>IS!CM6</f>
        <v>0.47732157968970379</v>
      </c>
      <c r="CQ6" s="130">
        <f>IS!CN6</f>
        <v>0.51364803678811444</v>
      </c>
      <c r="CR6" s="130">
        <f>IS!CO6</f>
        <v>0.54674690703428763</v>
      </c>
      <c r="CS6" s="130">
        <f>IS!CP6</f>
        <v>0.53963167196889361</v>
      </c>
      <c r="CT6" s="131">
        <f>IS!CQ6</f>
        <v>0.50918727915194351</v>
      </c>
      <c r="CU6" s="130">
        <f>IS!CR6</f>
        <v>0.5692090395480226</v>
      </c>
      <c r="CV6" s="130">
        <f>IS!CS6</f>
        <v>0.55881792519407203</v>
      </c>
      <c r="CW6" s="132">
        <f>IS!CT6</f>
        <v>0.51687566137566132</v>
      </c>
      <c r="CX6" s="130">
        <f>IS!CU6</f>
        <v>0.59301860301860299</v>
      </c>
      <c r="CY6" s="130">
        <f>IS!CV6</f>
        <v>0.63033939818054585</v>
      </c>
      <c r="CZ6" s="130">
        <f>IS!CW6</f>
        <v>0.6364312630844382</v>
      </c>
      <c r="DA6" s="130">
        <f>IS!CX6</f>
        <v>0.37228581411600281</v>
      </c>
      <c r="DB6" s="131">
        <f>IS!CY6</f>
        <v>0.67757660167130918</v>
      </c>
      <c r="DC6" s="130">
        <f>IS!CZ6</f>
        <v>0.72865250696378836</v>
      </c>
      <c r="DD6" s="130">
        <f>IS!DA6</f>
        <v>0.76658315935977728</v>
      </c>
      <c r="DE6" s="130">
        <f>IS!DB6</f>
        <v>0.64996173913043476</v>
      </c>
      <c r="DF6" s="131">
        <f>IS!DC6</f>
        <v>0.91084337349397593</v>
      </c>
      <c r="DG6" s="1036">
        <f>IS!DD6</f>
        <v>0.90769564170479167</v>
      </c>
      <c r="DH6" s="1036">
        <f>IS!DE6</f>
        <v>0.88843471988458766</v>
      </c>
      <c r="DI6" s="132">
        <f>IS!DF6</f>
        <v>0.71300938176569639</v>
      </c>
      <c r="DJ6" s="131">
        <f>IS!DG6</f>
        <v>0.88910458626546951</v>
      </c>
      <c r="DK6" s="1036">
        <f>IS!DH6</f>
        <v>0.90183598531211751</v>
      </c>
      <c r="DL6" s="1036">
        <f>IS!DI6</f>
        <v>0.91012770137524557</v>
      </c>
      <c r="DM6" s="697">
        <f>IS!DJ6</f>
        <v>0.7531305201177626</v>
      </c>
      <c r="DN6" s="697">
        <f>IS!DK6</f>
        <v>0.93005140758873939</v>
      </c>
      <c r="DO6" s="697">
        <f>IS!DL6</f>
        <v>0.94394124847001226</v>
      </c>
      <c r="DP6" s="697">
        <f>IS!DM6</f>
        <v>1.0088105726872247</v>
      </c>
      <c r="DQ6" s="697">
        <f>IS!DN6</f>
        <v>0.85882065084413994</v>
      </c>
      <c r="DR6" s="697">
        <f>IS!DO6</f>
        <v>0.94519207242476144</v>
      </c>
      <c r="DS6" s="697">
        <f>IS!DP6</f>
        <v>0.95639392454679084</v>
      </c>
      <c r="DT6" s="697">
        <f>IS!DQ6</f>
        <v>0.97676693568109563</v>
      </c>
      <c r="DU6" s="697">
        <f>IS!DR6</f>
        <v>0.85916870415647917</v>
      </c>
      <c r="DV6" s="3272">
        <f>IS!DS6</f>
        <v>1.1714146579011444</v>
      </c>
      <c r="DW6" s="3272">
        <f ca="1">IS!DT6</f>
        <v>1.1606189746252034</v>
      </c>
      <c r="DX6" s="3272">
        <f ca="1">IS!DU6</f>
        <v>1.2111746666504053</v>
      </c>
      <c r="DY6" s="697">
        <f ca="1">IS!DV6</f>
        <v>1.0018026868648913</v>
      </c>
    </row>
    <row r="7" spans="1:129" hidden="1" outlineLevel="1">
      <c r="A7" s="469" t="s">
        <v>1213</v>
      </c>
      <c r="B7" s="133"/>
      <c r="C7" s="133"/>
      <c r="D7" s="133"/>
      <c r="E7" s="134"/>
      <c r="F7" s="135"/>
      <c r="G7" s="135"/>
      <c r="H7" s="135"/>
      <c r="I7" s="135"/>
      <c r="J7" s="135">
        <f>IS!J7</f>
        <v>1.9999999999999796E-2</v>
      </c>
      <c r="K7" s="135">
        <f>IS!K7</f>
        <v>-0.15359477124182996</v>
      </c>
      <c r="L7" s="135">
        <f>IS!L7</f>
        <v>-3.8610038610038422E-2</v>
      </c>
      <c r="M7" s="135">
        <f>IS!M7</f>
        <v>-0.59839357429718887</v>
      </c>
      <c r="N7" s="135">
        <f>IS!N7</f>
        <v>1.6099999999999999</v>
      </c>
      <c r="O7" s="135">
        <f>IS!O7</f>
        <v>-8.5573444477578642E-2</v>
      </c>
      <c r="P7" s="135">
        <f>IS!P7</f>
        <v>6.3510698408052235E-2</v>
      </c>
      <c r="Q7" s="1037" t="str">
        <f>IS!Q7</f>
        <v>na</v>
      </c>
      <c r="R7" s="135">
        <f>IS!R7</f>
        <v>8.5550906444832986E-2</v>
      </c>
      <c r="S7" s="135">
        <f>IS!S7</f>
        <v>3.6942150553114672E-2</v>
      </c>
      <c r="T7" s="1037">
        <f>IS!T7</f>
        <v>3.3010302655364976E-2</v>
      </c>
      <c r="U7" s="135">
        <f>IS!U7</f>
        <v>0.26821197866996083</v>
      </c>
      <c r="V7" s="135">
        <f>IS!V7</f>
        <v>0.20951665223062776</v>
      </c>
      <c r="W7" s="135">
        <f>IS!W7</f>
        <v>1.0845036780645856E-2</v>
      </c>
      <c r="X7" s="135">
        <f>IS!X7</f>
        <v>8.4428937946140037E-2</v>
      </c>
      <c r="Y7" s="135">
        <f>IS!Y7</f>
        <v>-1.1075775056962334E-3</v>
      </c>
      <c r="Z7" s="135">
        <f ca="1">IS!Z7</f>
        <v>0.21599471389402725</v>
      </c>
      <c r="AA7" s="1037">
        <f ca="1">IS!AA7</f>
        <v>4.1663323025529442E-2</v>
      </c>
      <c r="AB7" s="1037">
        <f ca="1">IS!AB7</f>
        <v>4.5497108841304534E-2</v>
      </c>
      <c r="AC7" s="1037">
        <f ca="1">IS!AC7</f>
        <v>4.2331968049131863E-2</v>
      </c>
      <c r="AD7" s="1037">
        <f ca="1">IS!AD7</f>
        <v>4.4497484833543322E-2</v>
      </c>
      <c r="AE7" s="1037">
        <f ca="1">IS!AE7</f>
        <v>4.5332140605732318E-2</v>
      </c>
      <c r="AF7" s="1037">
        <f ca="1">IS!AF7</f>
        <v>4.6206531348175206E-2</v>
      </c>
      <c r="AG7" s="1037">
        <f ca="1">IS!AG7</f>
        <v>4.5931447973693862E-2</v>
      </c>
      <c r="AH7" s="1962"/>
      <c r="AI7" s="2159"/>
      <c r="AJ7" s="2159"/>
      <c r="AK7" s="2159"/>
      <c r="AL7" s="2159"/>
      <c r="AM7" s="2159"/>
      <c r="AN7" s="2159"/>
      <c r="AO7" s="2159"/>
      <c r="AP7" s="136"/>
      <c r="AQ7" s="135"/>
      <c r="AR7" s="135"/>
      <c r="AS7" s="135"/>
      <c r="AT7" s="136"/>
      <c r="AU7" s="135"/>
      <c r="AV7" s="135"/>
      <c r="AW7" s="135"/>
      <c r="AX7" s="136"/>
      <c r="AY7" s="135"/>
      <c r="AZ7" s="135"/>
      <c r="BA7" s="135"/>
      <c r="BB7" s="136"/>
      <c r="BC7" s="135"/>
      <c r="BD7" s="135"/>
      <c r="BE7" s="135"/>
      <c r="BF7" s="136"/>
      <c r="BG7" s="135"/>
      <c r="BH7" s="135"/>
      <c r="BI7" s="135"/>
      <c r="BJ7" s="136"/>
      <c r="BK7" s="135"/>
      <c r="BL7" s="135"/>
      <c r="BM7" s="135"/>
      <c r="BN7" s="136">
        <f>IS!BK7</f>
        <v>-5.5555555555555469E-2</v>
      </c>
      <c r="BO7" s="135">
        <f>IS!BL7</f>
        <v>-0.1298701298701298</v>
      </c>
      <c r="BP7" s="135">
        <f>IS!BM7</f>
        <v>-0.19480519480519487</v>
      </c>
      <c r="BQ7" s="135">
        <f>IS!BN7</f>
        <v>-0.28749999999999998</v>
      </c>
      <c r="BR7" s="136">
        <f>IS!BO7</f>
        <v>-0.15545775739168177</v>
      </c>
      <c r="BS7" s="135">
        <f>IS!BP7</f>
        <v>-5.7289417415393173E-2</v>
      </c>
      <c r="BT7" s="135">
        <f>IS!BQ7</f>
        <v>3.6948066803935031E-2</v>
      </c>
      <c r="BU7" s="135">
        <f>IS!BR7</f>
        <v>0.1254668729919024</v>
      </c>
      <c r="BV7" s="136">
        <f>IS!BS7</f>
        <v>4.9338350314970691E-2</v>
      </c>
      <c r="BW7" s="135">
        <f>IS!BT7</f>
        <v>-2.3883821078436229E-2</v>
      </c>
      <c r="BX7" s="135">
        <f>IS!BU7</f>
        <v>-1.3843340634760004E-2</v>
      </c>
      <c r="BY7" s="135">
        <f>IS!BV7</f>
        <v>-4.7887593494302383E-2</v>
      </c>
      <c r="BZ7" s="136">
        <f>IS!BW7</f>
        <v>0.12061072722749944</v>
      </c>
      <c r="CA7" s="135">
        <f>IS!BX7</f>
        <v>3.731872987703122E-2</v>
      </c>
      <c r="CB7" s="135">
        <f>IS!BY7</f>
        <v>7.4355068635477473E-2</v>
      </c>
      <c r="CC7" s="135">
        <f>IS!BZ7</f>
        <v>1.2949640287769792E-2</v>
      </c>
      <c r="CD7" s="136">
        <f>IS!CA7</f>
        <v>-0.17082769433929157</v>
      </c>
      <c r="CE7" s="135">
        <f>IS!CB7</f>
        <v>-8.5598407471488946E-2</v>
      </c>
      <c r="CF7" s="135">
        <f>IS!CC7</f>
        <v>-8.1674085107120042E-2</v>
      </c>
      <c r="CG7" s="135">
        <f>IS!CD7</f>
        <v>-3.732513896374634E-3</v>
      </c>
      <c r="CH7" s="136">
        <f>IS!CE7</f>
        <v>8.5247379522264577E-2</v>
      </c>
      <c r="CI7" s="135">
        <f>IS!CF7</f>
        <v>0.14199929849175752</v>
      </c>
      <c r="CJ7" s="135">
        <f>IS!CG7</f>
        <v>4.7990342638684291E-2</v>
      </c>
      <c r="CK7" s="135">
        <f>IS!CH7</f>
        <v>-1.4950040117234775E-2</v>
      </c>
      <c r="CL7" s="136" t="str">
        <f>IS!CI7</f>
        <v>na</v>
      </c>
      <c r="CM7" s="135" t="str">
        <f>IS!CJ7</f>
        <v>na</v>
      </c>
      <c r="CN7" s="135" t="str">
        <f>IS!CK7</f>
        <v>na</v>
      </c>
      <c r="CO7" s="135" t="str">
        <f>IS!CL7</f>
        <v>na</v>
      </c>
      <c r="CP7" s="136">
        <f>IS!CM7</f>
        <v>6.2117786675279785E-3</v>
      </c>
      <c r="CQ7" s="135">
        <f>IS!CN7</f>
        <v>-2.6333513666051411E-3</v>
      </c>
      <c r="CR7" s="135">
        <f>IS!CO7</f>
        <v>0.13657068308360865</v>
      </c>
      <c r="CS7" s="135">
        <f>IS!CP7</f>
        <v>0.21756327492904082</v>
      </c>
      <c r="CT7" s="136">
        <f>IS!CQ7</f>
        <v>6.6759394123674154E-2</v>
      </c>
      <c r="CU7" s="135">
        <f>IS!CR7</f>
        <v>0.10816940546942599</v>
      </c>
      <c r="CV7" s="135">
        <f>IS!CS7</f>
        <v>2.2077890161758873E-2</v>
      </c>
      <c r="CW7" s="137">
        <f>IS!CT7</f>
        <v>-4.2169523723848523E-2</v>
      </c>
      <c r="CX7" s="135">
        <f>IS!CU7</f>
        <v>0.16463750627525764</v>
      </c>
      <c r="CY7" s="135">
        <f>IS!CV7</f>
        <v>0.10739527025267104</v>
      </c>
      <c r="CZ7" s="135">
        <f>IS!CW7</f>
        <v>0.13888841855495571</v>
      </c>
      <c r="DA7" s="135">
        <f>IS!CX7</f>
        <v>-0.27973816154321052</v>
      </c>
      <c r="DB7" s="136">
        <f>IS!CY7</f>
        <v>0.14258911646664418</v>
      </c>
      <c r="DC7" s="135">
        <f>IS!CZ7</f>
        <v>0.15596852912418302</v>
      </c>
      <c r="DD7" s="135">
        <f>IS!DA7</f>
        <v>0.20450267581853732</v>
      </c>
      <c r="DE7" s="135">
        <f>IS!DB7</f>
        <v>0.74586759550260284</v>
      </c>
      <c r="DF7" s="136">
        <f>IS!DC7</f>
        <v>0.34426627372800556</v>
      </c>
      <c r="DG7" s="1037">
        <f>IS!DD7</f>
        <v>0.24571813454269931</v>
      </c>
      <c r="DH7" s="1037">
        <f>IS!DE7</f>
        <v>0.15895413176905215</v>
      </c>
      <c r="DI7" s="137">
        <f>IS!DF7</f>
        <v>9.7002083106632275E-2</v>
      </c>
      <c r="DJ7" s="136">
        <f>IS!DG7</f>
        <v>-2.3866657936058577E-2</v>
      </c>
      <c r="DK7" s="1037">
        <f>IS!DH7</f>
        <v>-6.4555299413675549E-3</v>
      </c>
      <c r="DL7" s="1037">
        <f>IS!DI7</f>
        <v>2.4417079842935285E-2</v>
      </c>
      <c r="DM7" s="137">
        <f>IS!DJ7</f>
        <v>5.6270140867866525E-2</v>
      </c>
      <c r="DN7" s="137">
        <f>IS!DK7</f>
        <v>4.6053998546177644E-2</v>
      </c>
      <c r="DO7" s="137">
        <f>IS!DL7</f>
        <v>4.6688382193268207E-2</v>
      </c>
      <c r="DP7" s="137">
        <f>IS!DM7</f>
        <v>0.1084274999682624</v>
      </c>
      <c r="DQ7" s="137">
        <f>IS!DN7</f>
        <v>0.14033441469063179</v>
      </c>
      <c r="DR7" s="137">
        <f>IS!DO7</f>
        <v>1.6279384894729576E-2</v>
      </c>
      <c r="DS7" s="137">
        <f>IS!DP7</f>
        <v>1.3192215190259482E-2</v>
      </c>
      <c r="DT7" s="137">
        <f>IS!DQ7</f>
        <v>-3.1763779914372514E-2</v>
      </c>
      <c r="DU7" s="137">
        <f>IS!DR7</f>
        <v>4.0526891382630659E-4</v>
      </c>
      <c r="DV7" s="1037">
        <f>IS!DS7</f>
        <v>0.23934033311984915</v>
      </c>
      <c r="DW7" s="1037">
        <f ca="1">IS!DT7</f>
        <v>0.2135365405789138</v>
      </c>
      <c r="DX7" s="1037">
        <f ca="1">IS!DU7</f>
        <v>0.23998327790022711</v>
      </c>
      <c r="DY7" s="137">
        <f ca="1">IS!DV7</f>
        <v>0.16601394117171475</v>
      </c>
    </row>
    <row r="8" spans="1:129" ht="6.75" customHeight="1" collapsed="1">
      <c r="A8" s="88"/>
      <c r="B8" s="87"/>
      <c r="C8" s="87"/>
      <c r="D8" s="87"/>
      <c r="E8" s="143"/>
      <c r="F8" s="143"/>
      <c r="G8" s="143"/>
      <c r="H8" s="143"/>
      <c r="I8" s="143"/>
      <c r="J8" s="143"/>
      <c r="K8" s="143"/>
      <c r="L8" s="113"/>
      <c r="M8" s="113"/>
      <c r="N8" s="698"/>
      <c r="O8" s="698"/>
      <c r="P8" s="698"/>
      <c r="Q8" s="1111"/>
      <c r="R8" s="698"/>
      <c r="S8" s="698"/>
      <c r="T8" s="1111"/>
      <c r="U8" s="698"/>
      <c r="V8" s="698"/>
      <c r="W8" s="698"/>
      <c r="X8" s="698"/>
      <c r="Y8" s="698"/>
      <c r="Z8" s="698"/>
      <c r="AA8" s="1111"/>
      <c r="AB8" s="1111"/>
      <c r="AC8" s="1111"/>
      <c r="AD8" s="1111"/>
      <c r="AE8" s="1111"/>
      <c r="AF8" s="1111"/>
      <c r="AG8" s="1111"/>
      <c r="AH8" s="1961"/>
      <c r="AI8" s="1989"/>
      <c r="AJ8" s="1989"/>
      <c r="AK8" s="1989"/>
      <c r="AL8" s="1989"/>
      <c r="AM8" s="1989"/>
      <c r="AN8" s="1989"/>
      <c r="AO8" s="1989"/>
      <c r="AP8" s="159"/>
      <c r="AQ8" s="143"/>
      <c r="AR8" s="143"/>
      <c r="AS8" s="143"/>
      <c r="AT8" s="159"/>
      <c r="AU8" s="143"/>
      <c r="AV8" s="143"/>
      <c r="AW8" s="143"/>
      <c r="AX8" s="159"/>
      <c r="AY8" s="143"/>
      <c r="AZ8" s="143"/>
      <c r="BA8" s="143"/>
      <c r="BB8" s="159"/>
      <c r="BC8" s="143"/>
      <c r="BD8" s="143"/>
      <c r="BE8" s="143"/>
      <c r="BF8" s="159"/>
      <c r="BG8" s="143"/>
      <c r="BH8" s="143"/>
      <c r="BI8" s="87"/>
      <c r="BJ8" s="159"/>
      <c r="BK8" s="143"/>
      <c r="BL8" s="143"/>
      <c r="BM8" s="143"/>
      <c r="BN8" s="159"/>
      <c r="BO8" s="143"/>
      <c r="BP8" s="143"/>
      <c r="BQ8" s="87"/>
      <c r="BR8" s="88"/>
      <c r="BS8" s="87"/>
      <c r="BT8" s="87"/>
      <c r="BU8" s="113"/>
      <c r="BV8" s="159"/>
      <c r="BW8" s="143"/>
      <c r="BX8" s="143"/>
      <c r="BY8" s="113"/>
      <c r="BZ8" s="3485" t="s">
        <v>1150</v>
      </c>
      <c r="CA8" s="3485"/>
      <c r="CB8" s="3485"/>
      <c r="CC8" s="3485"/>
      <c r="CD8" s="3485"/>
      <c r="CE8" s="3485"/>
      <c r="CF8" s="3485"/>
      <c r="CG8" s="3485"/>
      <c r="CH8" s="3485"/>
      <c r="CI8" s="113"/>
      <c r="CJ8" s="113"/>
      <c r="CK8" s="113"/>
      <c r="CL8" s="186"/>
      <c r="CM8" s="113"/>
      <c r="CN8" s="113"/>
      <c r="CO8" s="113"/>
      <c r="CP8" s="186"/>
      <c r="CQ8" s="113"/>
      <c r="CR8" s="113"/>
      <c r="CS8" s="113"/>
      <c r="CT8" s="554"/>
      <c r="CW8" s="555"/>
      <c r="DB8" s="554"/>
      <c r="DF8" s="554"/>
      <c r="DI8" s="555"/>
      <c r="DJ8" s="554"/>
      <c r="DM8" s="555"/>
      <c r="DN8" s="554"/>
      <c r="DQ8" s="555"/>
      <c r="DR8" s="554"/>
      <c r="DU8" s="555"/>
      <c r="DY8" s="555"/>
    </row>
    <row r="9" spans="1:129">
      <c r="A9" s="198" t="s">
        <v>415</v>
      </c>
      <c r="B9" s="140"/>
      <c r="C9" s="140"/>
      <c r="D9" s="140"/>
      <c r="E9" s="140"/>
      <c r="F9" s="140"/>
      <c r="G9" s="140"/>
      <c r="H9" s="140"/>
      <c r="I9" s="140"/>
      <c r="J9" s="140"/>
      <c r="K9" s="140"/>
      <c r="L9" s="140"/>
      <c r="M9" s="140"/>
      <c r="N9" s="140"/>
      <c r="O9" s="140"/>
      <c r="P9" s="140"/>
      <c r="Q9" s="1038"/>
      <c r="R9" s="140"/>
      <c r="S9" s="140"/>
      <c r="T9" s="1038"/>
      <c r="U9" s="140"/>
      <c r="V9" s="140"/>
      <c r="W9" s="140"/>
      <c r="X9" s="140"/>
      <c r="Y9" s="140"/>
      <c r="Z9" s="140"/>
      <c r="AA9" s="1038"/>
      <c r="AB9" s="1038"/>
      <c r="AC9" s="1038"/>
      <c r="AD9" s="1038"/>
      <c r="AE9" s="1038"/>
      <c r="AF9" s="1038"/>
      <c r="AG9" s="1038"/>
      <c r="AH9" s="2127"/>
      <c r="AI9" s="1989"/>
      <c r="AJ9" s="1989"/>
      <c r="AK9" s="1989"/>
      <c r="AL9" s="1989"/>
      <c r="AM9" s="1989"/>
      <c r="AN9" s="1989"/>
      <c r="AO9" s="1989"/>
      <c r="AP9" s="141"/>
      <c r="AQ9" s="140"/>
      <c r="AR9" s="140"/>
      <c r="AS9" s="140"/>
      <c r="AT9" s="141"/>
      <c r="AU9" s="140"/>
      <c r="AV9" s="140"/>
      <c r="AW9" s="140"/>
      <c r="AX9" s="141"/>
      <c r="AY9" s="140"/>
      <c r="AZ9" s="140"/>
      <c r="BA9" s="140"/>
      <c r="BB9" s="141"/>
      <c r="BC9" s="140"/>
      <c r="BD9" s="140"/>
      <c r="BE9" s="140"/>
      <c r="BF9" s="141"/>
      <c r="BG9" s="140"/>
      <c r="BH9" s="140"/>
      <c r="BI9" s="140"/>
      <c r="BJ9" s="141"/>
      <c r="BK9" s="140"/>
      <c r="BL9" s="140"/>
      <c r="BM9" s="140"/>
      <c r="BN9" s="141"/>
      <c r="BO9" s="140"/>
      <c r="BP9" s="140"/>
      <c r="BQ9" s="140"/>
      <c r="BR9" s="141"/>
      <c r="BS9" s="140"/>
      <c r="BT9" s="140"/>
      <c r="BU9" s="140"/>
      <c r="BV9" s="141"/>
      <c r="BW9" s="140"/>
      <c r="BX9" s="140"/>
      <c r="BY9" s="140"/>
      <c r="BZ9" s="141"/>
      <c r="CA9" s="140"/>
      <c r="CB9" s="140"/>
      <c r="CC9" s="140"/>
      <c r="CD9" s="141"/>
      <c r="CE9" s="140"/>
      <c r="CF9" s="140"/>
      <c r="CG9" s="140"/>
      <c r="CH9" s="141"/>
      <c r="CI9" s="140"/>
      <c r="CJ9" s="140"/>
      <c r="CK9" s="591" t="s">
        <v>316</v>
      </c>
      <c r="CL9" s="141"/>
      <c r="CM9" s="591" t="s">
        <v>416</v>
      </c>
      <c r="CN9" s="140"/>
      <c r="CO9" s="140"/>
      <c r="CP9" s="141"/>
      <c r="CQ9" s="140"/>
      <c r="CR9" s="140"/>
      <c r="CS9" s="140"/>
      <c r="CT9" s="141"/>
      <c r="CU9" s="140"/>
      <c r="CV9" s="140"/>
      <c r="CW9" s="142"/>
      <c r="CX9" s="140"/>
      <c r="CY9" s="140"/>
      <c r="CZ9" s="140"/>
      <c r="DA9" s="140"/>
      <c r="DB9" s="141"/>
      <c r="DC9" s="140"/>
      <c r="DD9" s="140"/>
      <c r="DE9" s="140"/>
      <c r="DF9" s="141"/>
      <c r="DG9" s="1038"/>
      <c r="DH9" s="1038"/>
      <c r="DI9" s="142"/>
      <c r="DJ9" s="141"/>
      <c r="DK9" s="1038"/>
      <c r="DL9" s="1038"/>
      <c r="DM9" s="1038"/>
      <c r="DN9" s="141"/>
      <c r="DO9" s="1038"/>
      <c r="DP9" s="1038"/>
      <c r="DQ9" s="142"/>
      <c r="DR9" s="141"/>
      <c r="DS9" s="1038"/>
      <c r="DT9" s="1038"/>
      <c r="DU9" s="142"/>
      <c r="DV9" s="1038"/>
      <c r="DW9" s="1038"/>
      <c r="DX9" s="1038"/>
      <c r="DY9" s="142"/>
    </row>
    <row r="10" spans="1:129">
      <c r="A10" s="88"/>
      <c r="B10" s="87"/>
      <c r="C10" s="87"/>
      <c r="D10" s="87"/>
      <c r="E10" s="143"/>
      <c r="F10" s="143"/>
      <c r="G10" s="143"/>
      <c r="H10" s="143"/>
      <c r="I10" s="143"/>
      <c r="J10" s="143"/>
      <c r="K10" s="143"/>
      <c r="L10" s="266"/>
      <c r="M10" s="87"/>
      <c r="N10" s="87"/>
      <c r="O10" s="87"/>
      <c r="P10" s="87"/>
      <c r="Q10" s="1041"/>
      <c r="R10" s="87"/>
      <c r="S10" s="87"/>
      <c r="T10" s="1041"/>
      <c r="U10" s="87"/>
      <c r="V10" s="87"/>
      <c r="W10" s="87"/>
      <c r="X10" s="87"/>
      <c r="Y10" s="87"/>
      <c r="Z10" s="87"/>
      <c r="AA10" s="1041"/>
      <c r="AB10" s="1041"/>
      <c r="AC10" s="1041"/>
      <c r="AD10" s="1041"/>
      <c r="AE10" s="1041"/>
      <c r="AF10" s="1041"/>
      <c r="AG10" s="1041"/>
      <c r="AH10" s="1961"/>
      <c r="AI10" s="1989"/>
      <c r="AJ10" s="1989"/>
      <c r="AK10" s="1989"/>
      <c r="AL10" s="1989"/>
      <c r="AM10" s="1989"/>
      <c r="AN10" s="1989"/>
      <c r="AO10" s="1989"/>
      <c r="AP10" s="159"/>
      <c r="AQ10" s="143"/>
      <c r="AR10" s="143"/>
      <c r="AS10" s="143"/>
      <c r="AT10" s="159"/>
      <c r="AU10" s="143"/>
      <c r="AV10" s="143"/>
      <c r="AW10" s="143"/>
      <c r="AX10" s="159"/>
      <c r="AY10" s="143"/>
      <c r="AZ10" s="143"/>
      <c r="BA10" s="143"/>
      <c r="BB10" s="159"/>
      <c r="BC10" s="143"/>
      <c r="BD10" s="143"/>
      <c r="BE10" s="143"/>
      <c r="BF10" s="159"/>
      <c r="BG10" s="143"/>
      <c r="BH10" s="143"/>
      <c r="BI10" s="143"/>
      <c r="BJ10" s="159"/>
      <c r="BK10" s="143"/>
      <c r="BL10" s="143"/>
      <c r="BM10" s="143"/>
      <c r="BN10" s="159"/>
      <c r="BO10" s="143"/>
      <c r="BP10" s="143"/>
      <c r="BQ10" s="143"/>
      <c r="BR10" s="159"/>
      <c r="BS10" s="143"/>
      <c r="BT10" s="143"/>
      <c r="BU10" s="113">
        <f>BU11-BT11</f>
        <v>-388.80948129731769</v>
      </c>
      <c r="BV10" s="186">
        <f>BV11-BU11</f>
        <v>-257.32765849248972</v>
      </c>
      <c r="BW10" s="113">
        <f>BW11-BV11</f>
        <v>-509.6455192677131</v>
      </c>
      <c r="BX10" s="113">
        <f>BX11-BW11</f>
        <v>-449.06338004293866</v>
      </c>
      <c r="BY10" s="113">
        <f>BY11-BX11</f>
        <v>-372.37960786529948</v>
      </c>
      <c r="BZ10" s="186"/>
      <c r="CA10" s="113"/>
      <c r="CB10" s="113"/>
      <c r="CC10" s="113"/>
      <c r="CD10" s="186"/>
      <c r="CE10" s="113"/>
      <c r="CF10" s="113"/>
      <c r="CG10" s="113"/>
      <c r="CH10" s="186"/>
      <c r="CI10" s="113"/>
      <c r="CJ10" s="113"/>
      <c r="CK10" s="113"/>
      <c r="CL10" s="186"/>
      <c r="CM10" s="113"/>
      <c r="CN10" s="113"/>
      <c r="CO10" s="113"/>
      <c r="CP10" s="186"/>
      <c r="CQ10" s="113"/>
      <c r="CR10" s="113"/>
      <c r="CS10" s="113"/>
      <c r="CT10" s="554"/>
      <c r="CW10" s="555"/>
      <c r="DB10" s="554"/>
      <c r="DF10" s="554"/>
      <c r="DI10" s="555"/>
      <c r="DJ10" s="554"/>
      <c r="DN10" s="554"/>
      <c r="DQ10" s="555"/>
      <c r="DR10" s="554"/>
      <c r="DU10" s="555"/>
      <c r="DV10" s="554"/>
      <c r="DY10" s="555"/>
    </row>
    <row r="11" spans="1:129" hidden="1" outlineLevel="1">
      <c r="A11" s="171" t="s">
        <v>417</v>
      </c>
      <c r="B11" s="109"/>
      <c r="C11" s="109"/>
      <c r="D11" s="109"/>
      <c r="E11" s="109"/>
      <c r="F11" s="109"/>
      <c r="G11" s="109"/>
      <c r="H11" s="109"/>
      <c r="I11" s="109"/>
      <c r="J11" s="109">
        <f>J20-J18</f>
        <v>29672.82</v>
      </c>
      <c r="K11" s="109">
        <f>BQ11</f>
        <v>26663.36165668437</v>
      </c>
      <c r="L11" s="109">
        <f>BU11</f>
        <v>24979.492807096849</v>
      </c>
      <c r="M11" s="109">
        <f>M20-M18</f>
        <v>23391.076641428408</v>
      </c>
      <c r="N11" s="109">
        <f>N20-N18</f>
        <v>22738</v>
      </c>
      <c r="O11" s="109">
        <f>O20-O18</f>
        <v>14817</v>
      </c>
      <c r="P11" s="109">
        <f>P20-P18</f>
        <v>13316.531999999999</v>
      </c>
      <c r="Q11" s="1044">
        <f>+CO11</f>
        <v>13662</v>
      </c>
      <c r="R11" s="109">
        <f>+CS11</f>
        <v>12574</v>
      </c>
      <c r="S11" s="109">
        <f>+CW11</f>
        <v>11790</v>
      </c>
      <c r="T11" s="1044">
        <f>+DA11</f>
        <v>11209</v>
      </c>
      <c r="U11" s="109">
        <f>+DE11</f>
        <v>10729</v>
      </c>
      <c r="V11" s="109">
        <f>+DI11</f>
        <v>10198</v>
      </c>
      <c r="W11" s="109">
        <f>+DM11</f>
        <v>9538</v>
      </c>
      <c r="X11" s="109">
        <f>+DQ11</f>
        <v>7125</v>
      </c>
      <c r="Y11" s="109">
        <f>+DU11</f>
        <v>6613</v>
      </c>
      <c r="Z11" s="3394"/>
      <c r="AA11" s="3394"/>
      <c r="AB11" s="3394"/>
      <c r="AC11" s="3394"/>
      <c r="AD11" s="3394"/>
      <c r="AE11" s="3394"/>
      <c r="AF11" s="3394"/>
      <c r="AG11" s="3394"/>
      <c r="AH11" s="1964"/>
      <c r="AI11" s="2160"/>
      <c r="AJ11" s="2160"/>
      <c r="AK11" s="2160"/>
      <c r="AL11" s="2160"/>
      <c r="AM11" s="2160"/>
      <c r="AN11" s="2160"/>
      <c r="AO11" s="2160"/>
      <c r="AP11" s="171">
        <f t="shared" ref="AP11:BY11" si="0">AP20-AP18</f>
        <v>0</v>
      </c>
      <c r="AQ11" s="109">
        <f t="shared" si="0"/>
        <v>0</v>
      </c>
      <c r="AR11" s="109">
        <f t="shared" si="0"/>
        <v>0</v>
      </c>
      <c r="AS11" s="109">
        <f t="shared" si="0"/>
        <v>0</v>
      </c>
      <c r="AT11" s="171">
        <f t="shared" si="0"/>
        <v>38864</v>
      </c>
      <c r="AU11" s="109">
        <f t="shared" si="0"/>
        <v>39083</v>
      </c>
      <c r="AV11" s="109">
        <f t="shared" si="0"/>
        <v>39457</v>
      </c>
      <c r="AW11" s="109">
        <f t="shared" si="0"/>
        <v>39713</v>
      </c>
      <c r="AX11" s="171">
        <f t="shared" si="0"/>
        <v>38927.173999999999</v>
      </c>
      <c r="AY11" s="109">
        <f t="shared" si="0"/>
        <v>39122.033000000003</v>
      </c>
      <c r="AZ11" s="109">
        <f t="shared" si="0"/>
        <v>39359.724000000002</v>
      </c>
      <c r="BA11" s="109">
        <f t="shared" si="0"/>
        <v>39605.752</v>
      </c>
      <c r="BB11" s="171">
        <f t="shared" si="0"/>
        <v>39018</v>
      </c>
      <c r="BC11" s="109">
        <f t="shared" si="0"/>
        <v>39089</v>
      </c>
      <c r="BD11" s="109">
        <f t="shared" si="0"/>
        <v>39113</v>
      </c>
      <c r="BE11" s="109">
        <f t="shared" si="0"/>
        <v>36242.6</v>
      </c>
      <c r="BF11" s="171">
        <f t="shared" si="0"/>
        <v>36225</v>
      </c>
      <c r="BG11" s="109">
        <f t="shared" si="0"/>
        <v>35951.199999999997</v>
      </c>
      <c r="BH11" s="109">
        <f t="shared" si="0"/>
        <v>35805</v>
      </c>
      <c r="BI11" s="109">
        <f t="shared" si="0"/>
        <v>35618.400000000001</v>
      </c>
      <c r="BJ11" s="171">
        <f t="shared" si="0"/>
        <v>30200.84</v>
      </c>
      <c r="BK11" s="109">
        <f t="shared" si="0"/>
        <v>29854.21</v>
      </c>
      <c r="BL11" s="109">
        <f t="shared" si="0"/>
        <v>29464.57</v>
      </c>
      <c r="BM11" s="109">
        <f t="shared" si="0"/>
        <v>28959.5</v>
      </c>
      <c r="BN11" s="171">
        <f t="shared" si="0"/>
        <v>28181.75</v>
      </c>
      <c r="BO11" s="109">
        <f t="shared" si="0"/>
        <v>27691.585252570912</v>
      </c>
      <c r="BP11" s="109">
        <f t="shared" si="0"/>
        <v>27210.992581082606</v>
      </c>
      <c r="BQ11" s="109">
        <f t="shared" si="0"/>
        <v>26663.36165668437</v>
      </c>
      <c r="BR11" s="171">
        <f t="shared" si="0"/>
        <v>26418.505390439597</v>
      </c>
      <c r="BS11" s="109">
        <f t="shared" si="0"/>
        <v>25800.873149508421</v>
      </c>
      <c r="BT11" s="109">
        <f t="shared" si="0"/>
        <v>25368.302288394167</v>
      </c>
      <c r="BU11" s="109">
        <f t="shared" si="0"/>
        <v>24979.492807096849</v>
      </c>
      <c r="BV11" s="171">
        <f t="shared" si="0"/>
        <v>24722.165148604359</v>
      </c>
      <c r="BW11" s="109">
        <f t="shared" si="0"/>
        <v>24212.519629336646</v>
      </c>
      <c r="BX11" s="109">
        <f t="shared" si="0"/>
        <v>23763.456249293708</v>
      </c>
      <c r="BY11" s="109">
        <f t="shared" si="0"/>
        <v>23391.076641428408</v>
      </c>
      <c r="BZ11" s="173">
        <v>23953</v>
      </c>
      <c r="CA11" s="168">
        <v>23522</v>
      </c>
      <c r="CB11" s="168">
        <v>23104</v>
      </c>
      <c r="CC11" s="168">
        <v>22738</v>
      </c>
      <c r="CD11" s="171">
        <f>+NormInputs!BT215</f>
        <v>21419</v>
      </c>
      <c r="CE11" s="109">
        <f>+NormInputs!BU215</f>
        <v>21039</v>
      </c>
      <c r="CF11" s="109">
        <f>+NormInputs!BV215</f>
        <v>20575</v>
      </c>
      <c r="CG11" s="964">
        <f>+NormInputs!BW215-CG125</f>
        <v>14817</v>
      </c>
      <c r="CH11" s="965">
        <f>+NormInputs!BX215-CH125</f>
        <v>14480</v>
      </c>
      <c r="CI11" s="964">
        <f>+NormInputs!BY215-CI125</f>
        <v>14054.679054054053</v>
      </c>
      <c r="CJ11" s="964">
        <f>+NormInputs!BZ215-CJ125</f>
        <v>13637.02372881356</v>
      </c>
      <c r="CK11" s="964">
        <f>+NormInputs!CA215-CK125</f>
        <v>13316.531999999999</v>
      </c>
      <c r="CL11" s="965">
        <f>+NormInputs!CB215</f>
        <v>14747</v>
      </c>
      <c r="CM11" s="964">
        <f>+NormInputs!CC215</f>
        <v>14391</v>
      </c>
      <c r="CN11" s="964">
        <f>+NormInputs!CD215</f>
        <v>14030</v>
      </c>
      <c r="CO11" s="964">
        <f>+NormInputs!CE215</f>
        <v>13662</v>
      </c>
      <c r="CP11" s="171">
        <f>+NormInputs!CF215</f>
        <v>13351</v>
      </c>
      <c r="CQ11" s="109">
        <f>+NormInputs!CG215</f>
        <v>13085</v>
      </c>
      <c r="CR11" s="109">
        <f>+NormInputs!CH215</f>
        <v>12825</v>
      </c>
      <c r="CS11" s="109">
        <f>+NormInputs!CI215</f>
        <v>12574</v>
      </c>
      <c r="CT11" s="171">
        <f>+NormInputs!CJ215</f>
        <v>12336</v>
      </c>
      <c r="CU11" s="109">
        <f>+NormInputs!CK215</f>
        <v>12141</v>
      </c>
      <c r="CV11" s="109">
        <f>+NormInputs!CL215</f>
        <v>11916</v>
      </c>
      <c r="CW11" s="172">
        <f>+NormInputs!CM215</f>
        <v>11790</v>
      </c>
      <c r="CX11" s="109">
        <f>+NormInputs!CN215</f>
        <v>11642</v>
      </c>
      <c r="CY11" s="109">
        <f>+NormInputs!CO215</f>
        <v>11491</v>
      </c>
      <c r="CZ11" s="109">
        <f>+NormInputs!CP215</f>
        <v>11322</v>
      </c>
      <c r="DA11" s="109">
        <f>+NormInputs!CQ215</f>
        <v>11209</v>
      </c>
      <c r="DB11" s="171">
        <f>+NormInputs!CR215</f>
        <v>11124</v>
      </c>
      <c r="DC11" s="109">
        <f>+NormInputs!CS215</f>
        <v>11017</v>
      </c>
      <c r="DD11" s="109">
        <f>+NormInputs!CT215</f>
        <v>10890</v>
      </c>
      <c r="DE11" s="109">
        <f>+NormInputs!CU215</f>
        <v>10729</v>
      </c>
      <c r="DF11" s="171">
        <f>+NormInputs!CV215</f>
        <v>10574</v>
      </c>
      <c r="DG11" s="1044">
        <f>+NormInputs!CW215</f>
        <v>10447</v>
      </c>
      <c r="DH11" s="1044">
        <f>+NormInputs!CX215</f>
        <v>10308</v>
      </c>
      <c r="DI11" s="172">
        <f>+NormInputs!CY215</f>
        <v>10198</v>
      </c>
      <c r="DJ11" s="171">
        <f>+NormInputs!CZ215</f>
        <v>10058</v>
      </c>
      <c r="DK11" s="1044">
        <f>+NormInputs!DA215</f>
        <v>9855</v>
      </c>
      <c r="DL11" s="2151">
        <f>+NormInputs!DB215</f>
        <v>9685</v>
      </c>
      <c r="DM11" s="2473">
        <f>+NormInputs!DC215</f>
        <v>9538</v>
      </c>
      <c r="DN11" s="2151">
        <f>+NormInputs!DD215</f>
        <v>9373</v>
      </c>
      <c r="DO11" s="2151">
        <f>+NormInputs!DE215</f>
        <v>7380</v>
      </c>
      <c r="DP11" s="2151">
        <f>+NormInputs!DF215</f>
        <v>7241</v>
      </c>
      <c r="DQ11" s="2473">
        <f>+NormInputs!DG215</f>
        <v>7125</v>
      </c>
      <c r="DR11" s="2151">
        <f>+NormInputs!DH215</f>
        <v>6982</v>
      </c>
      <c r="DS11" s="2151">
        <f>+NormInputs!DI215</f>
        <v>6871</v>
      </c>
      <c r="DT11" s="2151">
        <f>+NormInputs!DJ215</f>
        <v>6750</v>
      </c>
      <c r="DU11" s="2473">
        <f>+NormInputs!DK215</f>
        <v>6613</v>
      </c>
      <c r="DV11" s="3329"/>
      <c r="DW11" s="3330"/>
      <c r="DX11" s="3330"/>
      <c r="DY11" s="3331"/>
    </row>
    <row r="12" spans="1:129" hidden="1" outlineLevel="1">
      <c r="A12" s="147" t="s">
        <v>418</v>
      </c>
      <c r="B12" s="94"/>
      <c r="C12" s="94"/>
      <c r="D12" s="94"/>
      <c r="E12" s="94"/>
      <c r="F12" s="94"/>
      <c r="G12" s="94"/>
      <c r="H12" s="94"/>
      <c r="I12" s="94"/>
      <c r="J12" s="94"/>
      <c r="K12" s="94">
        <f t="shared" ref="K12:V12" si="1">K11/J11-1</f>
        <v>-0.10142137967728138</v>
      </c>
      <c r="L12" s="94">
        <f t="shared" si="1"/>
        <v>-6.3152908896818905E-2</v>
      </c>
      <c r="M12" s="94">
        <f t="shared" si="1"/>
        <v>-6.3588807744613618E-2</v>
      </c>
      <c r="N12" s="94">
        <f t="shared" si="1"/>
        <v>-2.7919905160403435E-2</v>
      </c>
      <c r="O12" s="94">
        <f t="shared" si="1"/>
        <v>-0.34835957428093944</v>
      </c>
      <c r="P12" s="94">
        <f t="shared" si="1"/>
        <v>-0.10126665316865768</v>
      </c>
      <c r="Q12" s="1045">
        <f t="shared" si="1"/>
        <v>2.5942790510322222E-2</v>
      </c>
      <c r="R12" s="94">
        <f t="shared" si="1"/>
        <v>-7.9636949202166574E-2</v>
      </c>
      <c r="S12" s="94">
        <f t="shared" si="1"/>
        <v>-6.2350882773978045E-2</v>
      </c>
      <c r="T12" s="1045">
        <f t="shared" si="1"/>
        <v>-4.9279050042408845E-2</v>
      </c>
      <c r="U12" s="94">
        <f t="shared" si="1"/>
        <v>-4.2822731733428543E-2</v>
      </c>
      <c r="V12" s="94">
        <f t="shared" si="1"/>
        <v>-4.9492030944169985E-2</v>
      </c>
      <c r="W12" s="94">
        <f>W11/V11-1</f>
        <v>-6.4718572269072405E-2</v>
      </c>
      <c r="X12" s="94">
        <f>X11/W11-1</f>
        <v>-0.25298804780876494</v>
      </c>
      <c r="Y12" s="94">
        <f>Y11/X11-1</f>
        <v>-7.1859649122807068E-2</v>
      </c>
      <c r="Z12" s="3395"/>
      <c r="AA12" s="3370"/>
      <c r="AB12" s="3370"/>
      <c r="AC12" s="3370"/>
      <c r="AD12" s="3370"/>
      <c r="AE12" s="3370"/>
      <c r="AF12" s="3370"/>
      <c r="AG12" s="3370"/>
      <c r="AH12" s="1962"/>
      <c r="AI12" s="2159"/>
      <c r="AJ12" s="2159"/>
      <c r="AK12" s="2159"/>
      <c r="AL12" s="2159"/>
      <c r="AM12" s="2159"/>
      <c r="AN12" s="2159"/>
      <c r="AO12" s="2159"/>
      <c r="AP12" s="147"/>
      <c r="AQ12" s="94"/>
      <c r="AR12" s="94"/>
      <c r="AS12" s="94"/>
      <c r="AT12" s="147"/>
      <c r="AU12" s="94"/>
      <c r="AV12" s="94"/>
      <c r="AW12" s="94"/>
      <c r="AX12" s="147"/>
      <c r="AY12" s="94"/>
      <c r="AZ12" s="94"/>
      <c r="BA12" s="94"/>
      <c r="BB12" s="147"/>
      <c r="BC12" s="94"/>
      <c r="BD12" s="94"/>
      <c r="BE12" s="94"/>
      <c r="BF12" s="147"/>
      <c r="BG12" s="94"/>
      <c r="BH12" s="94"/>
      <c r="BI12" s="94"/>
      <c r="BJ12" s="147"/>
      <c r="BK12" s="94"/>
      <c r="BL12" s="94"/>
      <c r="BM12" s="94"/>
      <c r="BN12" s="147">
        <f t="shared" ref="BN12:CF12" si="2">BN11/BJ11-1</f>
        <v>-6.6855425213338426E-2</v>
      </c>
      <c r="BO12" s="94">
        <f t="shared" si="2"/>
        <v>-7.2439523518762927E-2</v>
      </c>
      <c r="BP12" s="94">
        <f t="shared" si="2"/>
        <v>-7.6484313835816886E-2</v>
      </c>
      <c r="BQ12" s="94">
        <f t="shared" si="2"/>
        <v>-7.9287913925158549E-2</v>
      </c>
      <c r="BR12" s="147">
        <f t="shared" si="2"/>
        <v>-6.2566895581729454E-2</v>
      </c>
      <c r="BS12" s="94">
        <f t="shared" si="2"/>
        <v>-6.8277496063066878E-2</v>
      </c>
      <c r="BT12" s="94">
        <f t="shared" si="2"/>
        <v>-6.7718598915406658E-2</v>
      </c>
      <c r="BU12" s="94">
        <f t="shared" si="2"/>
        <v>-6.3152908896818905E-2</v>
      </c>
      <c r="BV12" s="147">
        <f t="shared" si="2"/>
        <v>-6.4210303223630305E-2</v>
      </c>
      <c r="BW12" s="94">
        <f t="shared" si="2"/>
        <v>-6.1562006485894383E-2</v>
      </c>
      <c r="BX12" s="94">
        <f t="shared" si="2"/>
        <v>-6.3261862021987358E-2</v>
      </c>
      <c r="BY12" s="94">
        <f t="shared" si="2"/>
        <v>-6.3588807744613618E-2</v>
      </c>
      <c r="BZ12" s="147">
        <f t="shared" si="2"/>
        <v>-3.111236997168032E-2</v>
      </c>
      <c r="CA12" s="94">
        <f t="shared" si="2"/>
        <v>-2.8519114900375397E-2</v>
      </c>
      <c r="CB12" s="94">
        <f t="shared" si="2"/>
        <v>-2.7750855867748947E-2</v>
      </c>
      <c r="CC12" s="94">
        <f t="shared" si="2"/>
        <v>-2.7919905160403435E-2</v>
      </c>
      <c r="CD12" s="147">
        <f t="shared" si="2"/>
        <v>-0.10579050640838306</v>
      </c>
      <c r="CE12" s="94">
        <f t="shared" si="2"/>
        <v>-0.10556075163676559</v>
      </c>
      <c r="CF12" s="94">
        <f t="shared" si="2"/>
        <v>-0.10946156509695293</v>
      </c>
      <c r="CG12" s="158" t="s">
        <v>1090</v>
      </c>
      <c r="CH12" s="453" t="s">
        <v>1090</v>
      </c>
      <c r="CI12" s="158" t="s">
        <v>1090</v>
      </c>
      <c r="CJ12" s="158" t="s">
        <v>1090</v>
      </c>
      <c r="CK12" s="94">
        <f t="shared" ref="CK12:DU12" si="3">CK11/CG11-1</f>
        <v>-0.10126665316865768</v>
      </c>
      <c r="CL12" s="147">
        <f t="shared" si="3"/>
        <v>1.8439226519336938E-2</v>
      </c>
      <c r="CM12" s="94">
        <f t="shared" si="3"/>
        <v>2.3929464675248813E-2</v>
      </c>
      <c r="CN12" s="94">
        <f t="shared" si="3"/>
        <v>2.8816864955373278E-2</v>
      </c>
      <c r="CO12" s="94">
        <f t="shared" si="3"/>
        <v>2.5942790510322222E-2</v>
      </c>
      <c r="CP12" s="147">
        <f t="shared" si="3"/>
        <v>-9.4663321353495644E-2</v>
      </c>
      <c r="CQ12" s="94">
        <f t="shared" si="3"/>
        <v>-9.0751163921895639E-2</v>
      </c>
      <c r="CR12" s="94">
        <f t="shared" si="3"/>
        <v>-8.5887384176764114E-2</v>
      </c>
      <c r="CS12" s="94">
        <f t="shared" si="3"/>
        <v>-7.9636949202166574E-2</v>
      </c>
      <c r="CT12" s="147">
        <f t="shared" si="3"/>
        <v>-7.6024267845105187E-2</v>
      </c>
      <c r="CU12" s="94">
        <f t="shared" si="3"/>
        <v>-7.2143675964845277E-2</v>
      </c>
      <c r="CV12" s="94">
        <f t="shared" si="3"/>
        <v>-7.0877192982456094E-2</v>
      </c>
      <c r="CW12" s="101">
        <f t="shared" si="3"/>
        <v>-6.2350882773978045E-2</v>
      </c>
      <c r="CX12" s="94">
        <f t="shared" si="3"/>
        <v>-5.6258106355382642E-2</v>
      </c>
      <c r="CY12" s="94">
        <f t="shared" si="3"/>
        <v>-5.3537599868215158E-2</v>
      </c>
      <c r="CZ12" s="94">
        <f t="shared" si="3"/>
        <v>-4.9848942598187285E-2</v>
      </c>
      <c r="DA12" s="94">
        <f t="shared" si="3"/>
        <v>-4.9279050042408845E-2</v>
      </c>
      <c r="DB12" s="147">
        <f t="shared" si="3"/>
        <v>-4.4494073183301786E-2</v>
      </c>
      <c r="DC12" s="94">
        <f t="shared" si="3"/>
        <v>-4.1249673657645092E-2</v>
      </c>
      <c r="DD12" s="94">
        <f t="shared" si="3"/>
        <v>-3.8155802861685184E-2</v>
      </c>
      <c r="DE12" s="94">
        <f t="shared" si="3"/>
        <v>-4.2822731733428543E-2</v>
      </c>
      <c r="DF12" s="147">
        <f t="shared" si="3"/>
        <v>-4.9442646530025169E-2</v>
      </c>
      <c r="DG12" s="1045">
        <f t="shared" si="3"/>
        <v>-5.1738222746664286E-2</v>
      </c>
      <c r="DH12" s="1045">
        <f t="shared" si="3"/>
        <v>-5.344352617079895E-2</v>
      </c>
      <c r="DI12" s="101">
        <f t="shared" si="3"/>
        <v>-4.9492030944169985E-2</v>
      </c>
      <c r="DJ12" s="147">
        <f t="shared" si="3"/>
        <v>-4.8798940798184254E-2</v>
      </c>
      <c r="DK12" s="1045">
        <f t="shared" si="3"/>
        <v>-5.6666985737532261E-2</v>
      </c>
      <c r="DL12" s="1045">
        <f t="shared" si="3"/>
        <v>-6.0438494373302287E-2</v>
      </c>
      <c r="DM12" s="101">
        <f t="shared" si="3"/>
        <v>-6.4718572269072405E-2</v>
      </c>
      <c r="DN12" s="1045">
        <f t="shared" si="3"/>
        <v>-6.8104991051898933E-2</v>
      </c>
      <c r="DO12" s="1045">
        <f t="shared" si="3"/>
        <v>-0.25114155251141557</v>
      </c>
      <c r="DP12" s="1045">
        <f t="shared" si="3"/>
        <v>-0.25234899328859062</v>
      </c>
      <c r="DQ12" s="101">
        <f t="shared" si="3"/>
        <v>-0.25298804780876494</v>
      </c>
      <c r="DR12" s="1045">
        <f t="shared" si="3"/>
        <v>-0.2550944201429638</v>
      </c>
      <c r="DS12" s="1045">
        <f t="shared" si="3"/>
        <v>-6.8970189701897056E-2</v>
      </c>
      <c r="DT12" s="1045">
        <f t="shared" si="3"/>
        <v>-6.7808313768816464E-2</v>
      </c>
      <c r="DU12" s="101">
        <f t="shared" si="3"/>
        <v>-7.1859649122807068E-2</v>
      </c>
      <c r="DV12" s="3360"/>
      <c r="DW12" s="3361"/>
      <c r="DX12" s="3361"/>
      <c r="DY12" s="3362"/>
    </row>
    <row r="13" spans="1:129" hidden="1" outlineLevel="1">
      <c r="A13" s="699" t="s">
        <v>419</v>
      </c>
      <c r="B13" s="109"/>
      <c r="C13" s="109"/>
      <c r="D13" s="109"/>
      <c r="E13" s="109"/>
      <c r="F13" s="109"/>
      <c r="G13" s="109"/>
      <c r="H13" s="109"/>
      <c r="I13" s="109"/>
      <c r="J13" s="109"/>
      <c r="K13" s="109"/>
      <c r="L13" s="109"/>
      <c r="M13" s="109"/>
      <c r="N13" s="109"/>
      <c r="O13" s="109"/>
      <c r="P13" s="109"/>
      <c r="Q13" s="1044"/>
      <c r="R13" s="109">
        <f t="shared" ref="R13:V13" si="4">+R11-Q11</f>
        <v>-1088</v>
      </c>
      <c r="S13" s="109">
        <f t="shared" si="4"/>
        <v>-784</v>
      </c>
      <c r="T13" s="1044">
        <f t="shared" si="4"/>
        <v>-581</v>
      </c>
      <c r="U13" s="109">
        <f t="shared" si="4"/>
        <v>-480</v>
      </c>
      <c r="V13" s="109">
        <f t="shared" si="4"/>
        <v>-531</v>
      </c>
      <c r="W13" s="109">
        <f>+W11-V11</f>
        <v>-660</v>
      </c>
      <c r="X13" s="109">
        <f>+X11-W11</f>
        <v>-2413</v>
      </c>
      <c r="Y13" s="109">
        <f>+Y11-X11</f>
        <v>-512</v>
      </c>
      <c r="Z13" s="3394"/>
      <c r="AA13" s="3363"/>
      <c r="AB13" s="3363"/>
      <c r="AC13" s="3363"/>
      <c r="AD13" s="3363"/>
      <c r="AE13" s="3363"/>
      <c r="AF13" s="3363"/>
      <c r="AG13" s="3363"/>
      <c r="AH13" s="1964"/>
      <c r="AI13" s="2160"/>
      <c r="AJ13" s="2160"/>
      <c r="AK13" s="2160"/>
      <c r="AL13" s="2160"/>
      <c r="AM13" s="2160"/>
      <c r="AN13" s="2160"/>
      <c r="AO13" s="2160"/>
      <c r="AP13" s="171"/>
      <c r="AQ13" s="109"/>
      <c r="AR13" s="109"/>
      <c r="AS13" s="109"/>
      <c r="AT13" s="171"/>
      <c r="AU13" s="109"/>
      <c r="AV13" s="109"/>
      <c r="AW13" s="109"/>
      <c r="AX13" s="171"/>
      <c r="AY13" s="109"/>
      <c r="AZ13" s="109"/>
      <c r="BA13" s="109"/>
      <c r="BB13" s="171"/>
      <c r="BC13" s="109"/>
      <c r="BD13" s="109"/>
      <c r="BE13" s="109"/>
      <c r="BF13" s="171"/>
      <c r="BG13" s="109"/>
      <c r="BH13" s="109"/>
      <c r="BI13" s="109"/>
      <c r="BJ13" s="171"/>
      <c r="BK13" s="109"/>
      <c r="BL13" s="109"/>
      <c r="BM13" s="109"/>
      <c r="BN13" s="171"/>
      <c r="BO13" s="109"/>
      <c r="BP13" s="109"/>
      <c r="BQ13" s="109"/>
      <c r="BR13" s="171"/>
      <c r="BS13" s="109"/>
      <c r="BT13" s="109"/>
      <c r="BU13" s="109"/>
      <c r="BV13" s="171"/>
      <c r="BW13" s="109"/>
      <c r="BX13" s="109"/>
      <c r="BY13" s="109"/>
      <c r="BZ13" s="171"/>
      <c r="CA13" s="109"/>
      <c r="CB13" s="109"/>
      <c r="CC13" s="109"/>
      <c r="CD13" s="171"/>
      <c r="CE13" s="109"/>
      <c r="CF13" s="109"/>
      <c r="CG13" s="109"/>
      <c r="CH13" s="171">
        <f t="shared" ref="CH13:DU13" si="5">+CH11-CG11</f>
        <v>-337</v>
      </c>
      <c r="CI13" s="109">
        <f t="shared" si="5"/>
        <v>-425.32094594594673</v>
      </c>
      <c r="CJ13" s="109">
        <f t="shared" si="5"/>
        <v>-417.65532524049377</v>
      </c>
      <c r="CK13" s="109">
        <f t="shared" si="5"/>
        <v>-320.49172881356026</v>
      </c>
      <c r="CL13" s="171">
        <f t="shared" si="5"/>
        <v>1430.4680000000008</v>
      </c>
      <c r="CM13" s="109">
        <f t="shared" si="5"/>
        <v>-356</v>
      </c>
      <c r="CN13" s="109">
        <f t="shared" si="5"/>
        <v>-361</v>
      </c>
      <c r="CO13" s="109">
        <f t="shared" si="5"/>
        <v>-368</v>
      </c>
      <c r="CP13" s="171">
        <f t="shared" si="5"/>
        <v>-311</v>
      </c>
      <c r="CQ13" s="109">
        <f t="shared" si="5"/>
        <v>-266</v>
      </c>
      <c r="CR13" s="109">
        <f t="shared" si="5"/>
        <v>-260</v>
      </c>
      <c r="CS13" s="109">
        <f t="shared" si="5"/>
        <v>-251</v>
      </c>
      <c r="CT13" s="171">
        <f t="shared" si="5"/>
        <v>-238</v>
      </c>
      <c r="CU13" s="109">
        <f t="shared" si="5"/>
        <v>-195</v>
      </c>
      <c r="CV13" s="109">
        <f t="shared" si="5"/>
        <v>-225</v>
      </c>
      <c r="CW13" s="172">
        <f t="shared" si="5"/>
        <v>-126</v>
      </c>
      <c r="CX13" s="109">
        <f t="shared" si="5"/>
        <v>-148</v>
      </c>
      <c r="CY13" s="109">
        <f t="shared" si="5"/>
        <v>-151</v>
      </c>
      <c r="CZ13" s="109">
        <f t="shared" si="5"/>
        <v>-169</v>
      </c>
      <c r="DA13" s="109">
        <f t="shared" si="5"/>
        <v>-113</v>
      </c>
      <c r="DB13" s="171">
        <f t="shared" si="5"/>
        <v>-85</v>
      </c>
      <c r="DC13" s="109">
        <f t="shared" si="5"/>
        <v>-107</v>
      </c>
      <c r="DD13" s="109">
        <f t="shared" si="5"/>
        <v>-127</v>
      </c>
      <c r="DE13" s="109">
        <f t="shared" si="5"/>
        <v>-161</v>
      </c>
      <c r="DF13" s="171">
        <f t="shared" si="5"/>
        <v>-155</v>
      </c>
      <c r="DG13" s="1044">
        <f t="shared" si="5"/>
        <v>-127</v>
      </c>
      <c r="DH13" s="1044">
        <f t="shared" si="5"/>
        <v>-139</v>
      </c>
      <c r="DI13" s="172">
        <f t="shared" si="5"/>
        <v>-110</v>
      </c>
      <c r="DJ13" s="171">
        <f t="shared" si="5"/>
        <v>-140</v>
      </c>
      <c r="DK13" s="1044">
        <f t="shared" si="5"/>
        <v>-203</v>
      </c>
      <c r="DL13" s="1044">
        <f t="shared" si="5"/>
        <v>-170</v>
      </c>
      <c r="DM13" s="172">
        <f t="shared" si="5"/>
        <v>-147</v>
      </c>
      <c r="DN13" s="1044">
        <f t="shared" si="5"/>
        <v>-165</v>
      </c>
      <c r="DO13" s="1044">
        <f t="shared" si="5"/>
        <v>-1993</v>
      </c>
      <c r="DP13" s="1044">
        <f t="shared" si="5"/>
        <v>-139</v>
      </c>
      <c r="DQ13" s="172">
        <f t="shared" si="5"/>
        <v>-116</v>
      </c>
      <c r="DR13" s="1044">
        <f t="shared" si="5"/>
        <v>-143</v>
      </c>
      <c r="DS13" s="1044">
        <f t="shared" si="5"/>
        <v>-111</v>
      </c>
      <c r="DT13" s="1044">
        <f t="shared" si="5"/>
        <v>-121</v>
      </c>
      <c r="DU13" s="172">
        <f t="shared" si="5"/>
        <v>-137</v>
      </c>
      <c r="DV13" s="3363"/>
      <c r="DW13" s="3363"/>
      <c r="DX13" s="3363"/>
      <c r="DY13" s="3364"/>
    </row>
    <row r="14" spans="1:129" hidden="1" outlineLevel="1">
      <c r="A14" s="700" t="s">
        <v>420</v>
      </c>
      <c r="B14" s="109"/>
      <c r="C14" s="109"/>
      <c r="D14" s="109"/>
      <c r="E14" s="109"/>
      <c r="F14" s="109"/>
      <c r="G14" s="109"/>
      <c r="H14" s="109"/>
      <c r="I14" s="109"/>
      <c r="J14" s="109"/>
      <c r="K14" s="109"/>
      <c r="L14" s="109"/>
      <c r="M14" s="109"/>
      <c r="N14" s="109"/>
      <c r="O14" s="109"/>
      <c r="P14" s="109"/>
      <c r="Q14" s="1044">
        <f>+CO14</f>
        <v>19</v>
      </c>
      <c r="R14" s="109">
        <f>+CS14</f>
        <v>817</v>
      </c>
      <c r="S14" s="109">
        <f>+CW14</f>
        <v>1884</v>
      </c>
      <c r="T14" s="1044">
        <f>+DA14</f>
        <v>3227</v>
      </c>
      <c r="U14" s="109">
        <f>+DE14</f>
        <v>4248</v>
      </c>
      <c r="V14" s="109">
        <f>+DI14</f>
        <v>4602</v>
      </c>
      <c r="W14" s="109">
        <f>+DM14</f>
        <v>4754</v>
      </c>
      <c r="X14" s="109">
        <f>+DQ14</f>
        <v>3895</v>
      </c>
      <c r="Y14" s="109">
        <f>+DU14</f>
        <v>3905</v>
      </c>
      <c r="Z14" s="3394"/>
      <c r="AA14" s="3363"/>
      <c r="AB14" s="3363"/>
      <c r="AC14" s="3363"/>
      <c r="AD14" s="3363"/>
      <c r="AE14" s="3363"/>
      <c r="AF14" s="3363"/>
      <c r="AG14" s="3363"/>
      <c r="AH14" s="1964"/>
      <c r="AI14" s="2160"/>
      <c r="AJ14" s="2160"/>
      <c r="AK14" s="2160"/>
      <c r="AL14" s="2160"/>
      <c r="AM14" s="2160"/>
      <c r="AN14" s="2160"/>
      <c r="AO14" s="2160"/>
      <c r="AP14" s="171"/>
      <c r="AQ14" s="109"/>
      <c r="AR14" s="109"/>
      <c r="AS14" s="109"/>
      <c r="AT14" s="171"/>
      <c r="AU14" s="109"/>
      <c r="AV14" s="109"/>
      <c r="AW14" s="109"/>
      <c r="AX14" s="171"/>
      <c r="AY14" s="109"/>
      <c r="AZ14" s="109"/>
      <c r="BA14" s="109"/>
      <c r="BB14" s="171"/>
      <c r="BC14" s="109"/>
      <c r="BD14" s="109"/>
      <c r="BE14" s="109"/>
      <c r="BF14" s="171"/>
      <c r="BG14" s="109"/>
      <c r="BH14" s="109"/>
      <c r="BI14" s="109"/>
      <c r="BJ14" s="171"/>
      <c r="BK14" s="109"/>
      <c r="BL14" s="109"/>
      <c r="BM14" s="109"/>
      <c r="BN14" s="171"/>
      <c r="BO14" s="109"/>
      <c r="BP14" s="109"/>
      <c r="BQ14" s="109"/>
      <c r="BR14" s="171"/>
      <c r="BS14" s="109"/>
      <c r="BT14" s="109"/>
      <c r="BU14" s="109"/>
      <c r="BV14" s="171"/>
      <c r="BW14" s="109"/>
      <c r="BX14" s="109"/>
      <c r="BY14" s="109"/>
      <c r="BZ14" s="171"/>
      <c r="CA14" s="109"/>
      <c r="CB14" s="109"/>
      <c r="CC14" s="109"/>
      <c r="CD14" s="171"/>
      <c r="CE14" s="109"/>
      <c r="CF14" s="109"/>
      <c r="CG14" s="109"/>
      <c r="CH14" s="171"/>
      <c r="CI14" s="109"/>
      <c r="CJ14" s="109"/>
      <c r="CK14" s="109"/>
      <c r="CL14" s="171">
        <f>+NormInputs!CB213</f>
        <v>2</v>
      </c>
      <c r="CM14" s="109">
        <f>+NormInputs!CC213</f>
        <v>3</v>
      </c>
      <c r="CN14" s="109">
        <f>+NormInputs!CD213</f>
        <v>6</v>
      </c>
      <c r="CO14" s="109">
        <f>+NormInputs!CE213</f>
        <v>19</v>
      </c>
      <c r="CP14" s="171">
        <f>+NormInputs!CF213</f>
        <v>93</v>
      </c>
      <c r="CQ14" s="109">
        <f>+NormInputs!CG213</f>
        <v>346</v>
      </c>
      <c r="CR14" s="109">
        <f>+NormInputs!CH213</f>
        <v>672</v>
      </c>
      <c r="CS14" s="109">
        <f>+NormInputs!CI213</f>
        <v>817</v>
      </c>
      <c r="CT14" s="171">
        <f>+NormInputs!CJ213</f>
        <v>977</v>
      </c>
      <c r="CU14" s="109">
        <f>+NormInputs!CK213</f>
        <v>1195</v>
      </c>
      <c r="CV14" s="109">
        <f>+NormInputs!CL213</f>
        <v>1460</v>
      </c>
      <c r="CW14" s="172">
        <f>+NormInputs!CM213</f>
        <v>1884</v>
      </c>
      <c r="CX14" s="109">
        <f>+NormInputs!CN213</f>
        <v>2298</v>
      </c>
      <c r="CY14" s="109">
        <f>+NormInputs!CO213</f>
        <v>2648</v>
      </c>
      <c r="CZ14" s="109">
        <f>+NormInputs!CP213</f>
        <v>2938</v>
      </c>
      <c r="DA14" s="109">
        <f>+NormInputs!CQ213</f>
        <v>3227</v>
      </c>
      <c r="DB14" s="171">
        <f>+NormInputs!CR213</f>
        <v>3531</v>
      </c>
      <c r="DC14" s="109">
        <f>+NormInputs!CS213</f>
        <v>3817</v>
      </c>
      <c r="DD14" s="109">
        <f>+NormInputs!CT213</f>
        <v>4069</v>
      </c>
      <c r="DE14" s="109">
        <f>+NormInputs!CU213</f>
        <v>4248</v>
      </c>
      <c r="DF14" s="171">
        <f>+NormInputs!CV213</f>
        <v>4350</v>
      </c>
      <c r="DG14" s="1044">
        <f>+NormInputs!CW213</f>
        <v>4440</v>
      </c>
      <c r="DH14" s="1044">
        <f>+NormInputs!CX213</f>
        <v>4514</v>
      </c>
      <c r="DI14" s="172">
        <f>+NormInputs!CY213</f>
        <v>4602</v>
      </c>
      <c r="DJ14" s="171">
        <f>+NormInputs!CZ213</f>
        <v>4661</v>
      </c>
      <c r="DK14" s="1044">
        <f>+NormInputs!DA213</f>
        <v>4661</v>
      </c>
      <c r="DL14" s="2151">
        <f>+NormInputs!DB213</f>
        <v>4703</v>
      </c>
      <c r="DM14" s="2473">
        <f>+NormInputs!DC213</f>
        <v>4754</v>
      </c>
      <c r="DN14" s="2151">
        <f>+NormInputs!DD213</f>
        <v>4800</v>
      </c>
      <c r="DO14" s="2151">
        <f>+NormInputs!DE213</f>
        <v>3879</v>
      </c>
      <c r="DP14" s="2151">
        <f>+NormInputs!DF213</f>
        <v>3882</v>
      </c>
      <c r="DQ14" s="2473">
        <f>+NormInputs!DG213</f>
        <v>3895</v>
      </c>
      <c r="DR14" s="2151">
        <f>+NormInputs!DH213</f>
        <v>3887</v>
      </c>
      <c r="DS14" s="2151">
        <f>+NormInputs!DI213</f>
        <v>3909</v>
      </c>
      <c r="DT14" s="2151">
        <f>+NormInputs!DJ213</f>
        <v>3920</v>
      </c>
      <c r="DU14" s="2473">
        <f>+NormInputs!DK213</f>
        <v>3905</v>
      </c>
      <c r="DV14" s="3329"/>
      <c r="DW14" s="3363"/>
      <c r="DX14" s="3363"/>
      <c r="DY14" s="3364"/>
    </row>
    <row r="15" spans="1:129" hidden="1" outlineLevel="1">
      <c r="A15" s="701" t="s">
        <v>1453</v>
      </c>
      <c r="B15" s="94"/>
      <c r="C15" s="94"/>
      <c r="D15" s="94"/>
      <c r="E15" s="94"/>
      <c r="F15" s="94"/>
      <c r="G15" s="94"/>
      <c r="H15" s="94"/>
      <c r="I15" s="94"/>
      <c r="J15" s="94"/>
      <c r="K15" s="94"/>
      <c r="L15" s="94"/>
      <c r="M15" s="94"/>
      <c r="N15" s="94"/>
      <c r="O15" s="94"/>
      <c r="P15" s="94"/>
      <c r="Q15" s="1045"/>
      <c r="R15" s="94">
        <f t="shared" ref="R15:V15" si="6">R14/Q14-1</f>
        <v>42</v>
      </c>
      <c r="S15" s="94">
        <f t="shared" si="6"/>
        <v>1.3059975520195839</v>
      </c>
      <c r="T15" s="1045">
        <f t="shared" si="6"/>
        <v>0.71284501061571115</v>
      </c>
      <c r="U15" s="94">
        <f t="shared" si="6"/>
        <v>0.31639293461419271</v>
      </c>
      <c r="V15" s="94">
        <f t="shared" si="6"/>
        <v>8.3333333333333259E-2</v>
      </c>
      <c r="W15" s="94">
        <f>W14/V14-1</f>
        <v>3.302911777488049E-2</v>
      </c>
      <c r="X15" s="94">
        <f>X14/W14-1</f>
        <v>-0.18068994530921334</v>
      </c>
      <c r="Y15" s="94">
        <f>Y14/X14-1</f>
        <v>2.5673940949935137E-3</v>
      </c>
      <c r="Z15" s="3395"/>
      <c r="AA15" s="3360"/>
      <c r="AB15" s="3360"/>
      <c r="AC15" s="3360"/>
      <c r="AD15" s="3360"/>
      <c r="AE15" s="3360"/>
      <c r="AF15" s="3360"/>
      <c r="AG15" s="3360"/>
      <c r="AH15" s="1962"/>
      <c r="AI15" s="2159"/>
      <c r="AJ15" s="2159"/>
      <c r="AK15" s="2159"/>
      <c r="AL15" s="2159"/>
      <c r="AM15" s="2159"/>
      <c r="AN15" s="2159"/>
      <c r="AO15" s="2159"/>
      <c r="AP15" s="147"/>
      <c r="AQ15" s="94"/>
      <c r="AR15" s="94"/>
      <c r="AS15" s="94"/>
      <c r="AT15" s="147"/>
      <c r="AU15" s="94"/>
      <c r="AV15" s="94"/>
      <c r="AW15" s="94"/>
      <c r="AX15" s="147"/>
      <c r="AY15" s="94"/>
      <c r="AZ15" s="94"/>
      <c r="BA15" s="94"/>
      <c r="BB15" s="147"/>
      <c r="BC15" s="94"/>
      <c r="BD15" s="94"/>
      <c r="BE15" s="94"/>
      <c r="BF15" s="147"/>
      <c r="BG15" s="94"/>
      <c r="BH15" s="94"/>
      <c r="BI15" s="94"/>
      <c r="BJ15" s="147"/>
      <c r="BK15" s="94"/>
      <c r="BL15" s="94"/>
      <c r="BM15" s="94"/>
      <c r="BN15" s="147"/>
      <c r="BO15" s="94"/>
      <c r="BP15" s="94"/>
      <c r="BQ15" s="94"/>
      <c r="BR15" s="147"/>
      <c r="BS15" s="94"/>
      <c r="BT15" s="94"/>
      <c r="BU15" s="94"/>
      <c r="BV15" s="147"/>
      <c r="BW15" s="94"/>
      <c r="BX15" s="94"/>
      <c r="BY15" s="94"/>
      <c r="BZ15" s="147"/>
      <c r="CA15" s="94"/>
      <c r="CB15" s="94"/>
      <c r="CC15" s="94"/>
      <c r="CD15" s="147"/>
      <c r="CE15" s="94"/>
      <c r="CF15" s="94"/>
      <c r="CG15" s="94"/>
      <c r="CH15" s="147"/>
      <c r="CI15" s="94"/>
      <c r="CJ15" s="94"/>
      <c r="CK15" s="94"/>
      <c r="CL15" s="147"/>
      <c r="CM15" s="94"/>
      <c r="CN15" s="94"/>
      <c r="CO15" s="94"/>
      <c r="CP15" s="453" t="s">
        <v>421</v>
      </c>
      <c r="CQ15" s="158" t="s">
        <v>421</v>
      </c>
      <c r="CR15" s="158" t="s">
        <v>421</v>
      </c>
      <c r="CS15" s="158" t="s">
        <v>421</v>
      </c>
      <c r="CT15" s="147">
        <f t="shared" ref="CT15:DU15" si="7">CT14/CP14-1</f>
        <v>9.5053763440860219</v>
      </c>
      <c r="CU15" s="158">
        <f t="shared" si="7"/>
        <v>2.453757225433526</v>
      </c>
      <c r="CV15" s="158">
        <f t="shared" si="7"/>
        <v>1.1726190476190474</v>
      </c>
      <c r="CW15" s="622">
        <f t="shared" si="7"/>
        <v>1.3059975520195839</v>
      </c>
      <c r="CX15" s="158">
        <f t="shared" si="7"/>
        <v>1.3520982599795293</v>
      </c>
      <c r="CY15" s="158">
        <f t="shared" si="7"/>
        <v>1.2158995815899583</v>
      </c>
      <c r="CZ15" s="158">
        <f t="shared" si="7"/>
        <v>1.0123287671232877</v>
      </c>
      <c r="DA15" s="158">
        <f t="shared" si="7"/>
        <v>0.71284501061571115</v>
      </c>
      <c r="DB15" s="453">
        <f t="shared" si="7"/>
        <v>0.53655352480417751</v>
      </c>
      <c r="DC15" s="158">
        <f t="shared" si="7"/>
        <v>0.44146525679758297</v>
      </c>
      <c r="DD15" s="158">
        <f t="shared" si="7"/>
        <v>0.38495575221238942</v>
      </c>
      <c r="DE15" s="158">
        <f t="shared" si="7"/>
        <v>0.31639293461419271</v>
      </c>
      <c r="DF15" s="453">
        <f t="shared" si="7"/>
        <v>0.23194562446898903</v>
      </c>
      <c r="DG15" s="1069">
        <f t="shared" si="7"/>
        <v>0.16321718627194137</v>
      </c>
      <c r="DH15" s="1069">
        <f t="shared" si="7"/>
        <v>0.10936347997050877</v>
      </c>
      <c r="DI15" s="622">
        <f t="shared" si="7"/>
        <v>8.3333333333333259E-2</v>
      </c>
      <c r="DJ15" s="453">
        <f t="shared" si="7"/>
        <v>7.1494252873563147E-2</v>
      </c>
      <c r="DK15" s="1069">
        <f t="shared" si="7"/>
        <v>4.9774774774774766E-2</v>
      </c>
      <c r="DL15" s="1069">
        <f t="shared" si="7"/>
        <v>4.1869738591050032E-2</v>
      </c>
      <c r="DM15" s="622">
        <f t="shared" si="7"/>
        <v>3.302911777488049E-2</v>
      </c>
      <c r="DN15" s="1069">
        <f t="shared" si="7"/>
        <v>2.9821926625187789E-2</v>
      </c>
      <c r="DO15" s="1069">
        <f t="shared" si="7"/>
        <v>-0.16777515554602018</v>
      </c>
      <c r="DP15" s="1069">
        <f t="shared" si="7"/>
        <v>-0.17456942377206042</v>
      </c>
      <c r="DQ15" s="622">
        <f t="shared" si="7"/>
        <v>-0.18068994530921334</v>
      </c>
      <c r="DR15" s="1069">
        <f t="shared" si="7"/>
        <v>-0.19020833333333331</v>
      </c>
      <c r="DS15" s="1069">
        <f t="shared" si="7"/>
        <v>7.733952049497228E-3</v>
      </c>
      <c r="DT15" s="1069">
        <f t="shared" si="7"/>
        <v>9.7887686759401404E-3</v>
      </c>
      <c r="DU15" s="622">
        <f t="shared" si="7"/>
        <v>2.5673940949935137E-3</v>
      </c>
      <c r="DV15" s="3365"/>
      <c r="DW15" s="3360"/>
      <c r="DX15" s="3360"/>
      <c r="DY15" s="3366"/>
    </row>
    <row r="16" spans="1:129" hidden="1" outlineLevel="1">
      <c r="A16" s="702" t="s">
        <v>422</v>
      </c>
      <c r="B16" s="109"/>
      <c r="C16" s="109"/>
      <c r="D16" s="109"/>
      <c r="E16" s="109"/>
      <c r="F16" s="109"/>
      <c r="G16" s="109"/>
      <c r="H16" s="109"/>
      <c r="I16" s="109"/>
      <c r="J16" s="109"/>
      <c r="K16" s="109"/>
      <c r="L16" s="109"/>
      <c r="M16" s="109"/>
      <c r="N16" s="109"/>
      <c r="O16" s="109"/>
      <c r="P16" s="109"/>
      <c r="Q16" s="1044">
        <f t="shared" ref="Q16:V16" si="8">+Q14-P14</f>
        <v>19</v>
      </c>
      <c r="R16" s="109">
        <f t="shared" si="8"/>
        <v>798</v>
      </c>
      <c r="S16" s="109">
        <f t="shared" si="8"/>
        <v>1067</v>
      </c>
      <c r="T16" s="1044">
        <f t="shared" si="8"/>
        <v>1343</v>
      </c>
      <c r="U16" s="109">
        <f t="shared" si="8"/>
        <v>1021</v>
      </c>
      <c r="V16" s="109">
        <f t="shared" si="8"/>
        <v>354</v>
      </c>
      <c r="W16" s="109">
        <f>+W14-V14</f>
        <v>152</v>
      </c>
      <c r="X16" s="109">
        <f>+X14-W14</f>
        <v>-859</v>
      </c>
      <c r="Y16" s="109">
        <f>+Y14-X14</f>
        <v>10</v>
      </c>
      <c r="Z16" s="3394"/>
      <c r="AA16" s="3367"/>
      <c r="AB16" s="3367"/>
      <c r="AC16" s="3367"/>
      <c r="AD16" s="3367"/>
      <c r="AE16" s="3367"/>
      <c r="AF16" s="3367"/>
      <c r="AG16" s="3367"/>
      <c r="AH16" s="1964"/>
      <c r="AI16" s="2160"/>
      <c r="AJ16" s="2160"/>
      <c r="AK16" s="2160"/>
      <c r="AL16" s="2160"/>
      <c r="AM16" s="2160"/>
      <c r="AN16" s="2160"/>
      <c r="AO16" s="2160"/>
      <c r="AP16" s="171"/>
      <c r="AQ16" s="109"/>
      <c r="AR16" s="109"/>
      <c r="AS16" s="109"/>
      <c r="AT16" s="171"/>
      <c r="AU16" s="109"/>
      <c r="AV16" s="109"/>
      <c r="AW16" s="109"/>
      <c r="AX16" s="171"/>
      <c r="AY16" s="109"/>
      <c r="AZ16" s="109"/>
      <c r="BA16" s="109"/>
      <c r="BB16" s="171"/>
      <c r="BC16" s="109"/>
      <c r="BD16" s="109"/>
      <c r="BE16" s="109"/>
      <c r="BF16" s="171"/>
      <c r="BG16" s="109"/>
      <c r="BH16" s="109"/>
      <c r="BI16" s="109"/>
      <c r="BJ16" s="171"/>
      <c r="BK16" s="109"/>
      <c r="BL16" s="109"/>
      <c r="BM16" s="109"/>
      <c r="BN16" s="171"/>
      <c r="BO16" s="109"/>
      <c r="BP16" s="109"/>
      <c r="BQ16" s="109"/>
      <c r="BR16" s="171"/>
      <c r="BS16" s="109"/>
      <c r="BT16" s="109"/>
      <c r="BU16" s="109"/>
      <c r="BV16" s="171"/>
      <c r="BW16" s="109"/>
      <c r="BX16" s="109"/>
      <c r="BY16" s="109"/>
      <c r="BZ16" s="171"/>
      <c r="CA16" s="109"/>
      <c r="CB16" s="109"/>
      <c r="CC16" s="109"/>
      <c r="CD16" s="171"/>
      <c r="CE16" s="109"/>
      <c r="CF16" s="109"/>
      <c r="CG16" s="109"/>
      <c r="CH16" s="171"/>
      <c r="CI16" s="109"/>
      <c r="CJ16" s="109"/>
      <c r="CK16" s="109"/>
      <c r="CL16" s="171"/>
      <c r="CM16" s="109">
        <f t="shared" ref="CM16:DJ16" si="9">+CM14-CL14</f>
        <v>1</v>
      </c>
      <c r="CN16" s="109">
        <f t="shared" si="9"/>
        <v>3</v>
      </c>
      <c r="CO16" s="109">
        <f t="shared" si="9"/>
        <v>13</v>
      </c>
      <c r="CP16" s="171">
        <f t="shared" si="9"/>
        <v>74</v>
      </c>
      <c r="CQ16" s="109">
        <f t="shared" si="9"/>
        <v>253</v>
      </c>
      <c r="CR16" s="109">
        <f t="shared" si="9"/>
        <v>326</v>
      </c>
      <c r="CS16" s="109">
        <f t="shared" si="9"/>
        <v>145</v>
      </c>
      <c r="CT16" s="171">
        <f t="shared" si="9"/>
        <v>160</v>
      </c>
      <c r="CU16" s="109">
        <f t="shared" si="9"/>
        <v>218</v>
      </c>
      <c r="CV16" s="109">
        <f t="shared" si="9"/>
        <v>265</v>
      </c>
      <c r="CW16" s="172">
        <f t="shared" si="9"/>
        <v>424</v>
      </c>
      <c r="CX16" s="109">
        <f t="shared" si="9"/>
        <v>414</v>
      </c>
      <c r="CY16" s="109">
        <f t="shared" si="9"/>
        <v>350</v>
      </c>
      <c r="CZ16" s="109">
        <f t="shared" si="9"/>
        <v>290</v>
      </c>
      <c r="DA16" s="109">
        <f t="shared" si="9"/>
        <v>289</v>
      </c>
      <c r="DB16" s="171">
        <f t="shared" si="9"/>
        <v>304</v>
      </c>
      <c r="DC16" s="109">
        <f t="shared" si="9"/>
        <v>286</v>
      </c>
      <c r="DD16" s="109">
        <f t="shared" si="9"/>
        <v>252</v>
      </c>
      <c r="DE16" s="109">
        <f t="shared" si="9"/>
        <v>179</v>
      </c>
      <c r="DF16" s="171">
        <f t="shared" si="9"/>
        <v>102</v>
      </c>
      <c r="DG16" s="1044">
        <f t="shared" si="9"/>
        <v>90</v>
      </c>
      <c r="DH16" s="1044">
        <f t="shared" si="9"/>
        <v>74</v>
      </c>
      <c r="DI16" s="172">
        <f t="shared" si="9"/>
        <v>88</v>
      </c>
      <c r="DJ16" s="171">
        <f t="shared" si="9"/>
        <v>59</v>
      </c>
      <c r="DK16" s="1044">
        <f t="shared" ref="DK16:DU16" si="10">+DK14-DJ14</f>
        <v>0</v>
      </c>
      <c r="DL16" s="1044">
        <f t="shared" si="10"/>
        <v>42</v>
      </c>
      <c r="DM16" s="172">
        <f t="shared" si="10"/>
        <v>51</v>
      </c>
      <c r="DN16" s="1044">
        <f t="shared" si="10"/>
        <v>46</v>
      </c>
      <c r="DO16" s="1044">
        <f t="shared" si="10"/>
        <v>-921</v>
      </c>
      <c r="DP16" s="1044">
        <f t="shared" si="10"/>
        <v>3</v>
      </c>
      <c r="DQ16" s="172">
        <f t="shared" si="10"/>
        <v>13</v>
      </c>
      <c r="DR16" s="1044">
        <f t="shared" si="10"/>
        <v>-8</v>
      </c>
      <c r="DS16" s="1044">
        <f t="shared" si="10"/>
        <v>22</v>
      </c>
      <c r="DT16" s="1044">
        <f t="shared" si="10"/>
        <v>11</v>
      </c>
      <c r="DU16" s="172">
        <f t="shared" si="10"/>
        <v>-15</v>
      </c>
      <c r="DV16" s="3363"/>
      <c r="DW16" s="3367"/>
      <c r="DX16" s="3367"/>
      <c r="DY16" s="3368"/>
    </row>
    <row r="17" spans="1:129" hidden="1" outlineLevel="1">
      <c r="A17" s="701" t="s">
        <v>423</v>
      </c>
      <c r="B17" s="94"/>
      <c r="C17" s="94"/>
      <c r="D17" s="94"/>
      <c r="E17" s="94"/>
      <c r="F17" s="94"/>
      <c r="G17" s="94"/>
      <c r="H17" s="94"/>
      <c r="I17" s="94"/>
      <c r="J17" s="94"/>
      <c r="K17" s="94"/>
      <c r="L17" s="94"/>
      <c r="M17" s="94"/>
      <c r="N17" s="94"/>
      <c r="O17" s="94"/>
      <c r="P17" s="94"/>
      <c r="Q17" s="1045">
        <f>+Q16/FiOS!I17*1000</f>
        <v>2.0765027322404372E-2</v>
      </c>
      <c r="R17" s="94">
        <f>+R16/FiOS!J17*1000</f>
        <v>1.0025125628140703</v>
      </c>
      <c r="S17" s="94">
        <f>+S16/FiOS!K17*1000</f>
        <v>1.4517006802721089</v>
      </c>
      <c r="T17" s="1045">
        <f>+T16/FiOS!L17*1000</f>
        <v>2.2125205930807246</v>
      </c>
      <c r="U17" s="94">
        <f>+U16/FiOS!M17*1000</f>
        <v>1.5756172839506173</v>
      </c>
      <c r="V17" s="94">
        <f>+V16/FiOS!N17*1000</f>
        <v>0.65073529411764708</v>
      </c>
      <c r="W17" s="94">
        <f>+W16/FiOS!O17*1000</f>
        <v>0.36363636363636359</v>
      </c>
      <c r="X17" s="94">
        <f>+X16/FiOS!P17*1000</f>
        <v>0.62201303403330921</v>
      </c>
      <c r="Y17" s="94">
        <f>+Y16/FiOS!Q17*1000</f>
        <v>5.0761421319796954E-2</v>
      </c>
      <c r="Z17" s="3395"/>
      <c r="AA17" s="3370"/>
      <c r="AB17" s="3370"/>
      <c r="AC17" s="3370"/>
      <c r="AD17" s="3370"/>
      <c r="AE17" s="3370"/>
      <c r="AF17" s="3370"/>
      <c r="AG17" s="3370"/>
      <c r="AH17" s="1962"/>
      <c r="AI17" s="2159"/>
      <c r="AJ17" s="2159"/>
      <c r="AK17" s="2159"/>
      <c r="AL17" s="2159"/>
      <c r="AM17" s="2159"/>
      <c r="AN17" s="2159"/>
      <c r="AO17" s="2159"/>
      <c r="AP17" s="147"/>
      <c r="AQ17" s="94"/>
      <c r="AR17" s="94"/>
      <c r="AS17" s="94"/>
      <c r="AT17" s="147"/>
      <c r="AU17" s="94"/>
      <c r="AV17" s="94"/>
      <c r="AW17" s="94"/>
      <c r="AX17" s="147"/>
      <c r="AY17" s="94"/>
      <c r="AZ17" s="94"/>
      <c r="BA17" s="94"/>
      <c r="BB17" s="147"/>
      <c r="BC17" s="94"/>
      <c r="BD17" s="94"/>
      <c r="BE17" s="94"/>
      <c r="BF17" s="147"/>
      <c r="BG17" s="94"/>
      <c r="BH17" s="94"/>
      <c r="BI17" s="94"/>
      <c r="BJ17" s="147"/>
      <c r="BK17" s="94"/>
      <c r="BL17" s="94"/>
      <c r="BM17" s="94"/>
      <c r="BN17" s="147"/>
      <c r="BO17" s="94"/>
      <c r="BP17" s="94"/>
      <c r="BQ17" s="94"/>
      <c r="BR17" s="147"/>
      <c r="BS17" s="94"/>
      <c r="BT17" s="94"/>
      <c r="BU17" s="94"/>
      <c r="BV17" s="147"/>
      <c r="BW17" s="94"/>
      <c r="BX17" s="94"/>
      <c r="BY17" s="94"/>
      <c r="BZ17" s="147"/>
      <c r="CA17" s="94"/>
      <c r="CB17" s="94"/>
      <c r="CC17" s="94"/>
      <c r="CD17" s="147"/>
      <c r="CE17" s="94"/>
      <c r="CF17" s="94"/>
      <c r="CG17" s="94"/>
      <c r="CH17" s="147"/>
      <c r="CI17" s="94"/>
      <c r="CJ17" s="94"/>
      <c r="CK17" s="94"/>
      <c r="CL17" s="147"/>
      <c r="CM17" s="94">
        <f>+CM16/FiOS!CM17*1000</f>
        <v>3.4602076124567471E-3</v>
      </c>
      <c r="CN17" s="94">
        <f>+CN16/FiOS!CN17*1000</f>
        <v>1.5463917525773196E-2</v>
      </c>
      <c r="CO17" s="94">
        <f>+CO16/FiOS!CO17*1000</f>
        <v>8.666666666666667E-2</v>
      </c>
      <c r="CP17" s="147">
        <f>+CP16/FiOS!CP17*1000</f>
        <v>0.41111111111111109</v>
      </c>
      <c r="CQ17" s="94">
        <f>+CQ16/FiOS!CQ17*1000</f>
        <v>1.310880829015544</v>
      </c>
      <c r="CR17" s="94">
        <f>+CR16/FiOS!CR17*1000</f>
        <v>1.4424778761061947</v>
      </c>
      <c r="CS17" s="94">
        <f>+CS16/FiOS!CS17*1000</f>
        <v>0.73604060913705593</v>
      </c>
      <c r="CT17" s="147">
        <f>+CT16/FiOS!CT17*1000</f>
        <v>0.77294685990338163</v>
      </c>
      <c r="CU17" s="94">
        <f>+CU16/FiOS!CU17*1000</f>
        <v>1.1534391534391533</v>
      </c>
      <c r="CV17" s="94">
        <f>+CV16/FiOS!CV17*1000</f>
        <v>1.9202898550724636</v>
      </c>
      <c r="CW17" s="101">
        <f>+CW16/FiOS!CW17*1000</f>
        <v>2.1094527363184081</v>
      </c>
      <c r="CX17" s="94">
        <f>+CX16/FiOS!CX17*1000</f>
        <v>2.145077720207254</v>
      </c>
      <c r="CY17" s="94">
        <f>+CY16/FiOS!CY17*1000</f>
        <v>2.6119402985074629</v>
      </c>
      <c r="CZ17" s="94">
        <f>+CZ16/FiOS!CZ17*1000</f>
        <v>2.1323529411764706</v>
      </c>
      <c r="DA17" s="94">
        <f>+DA16/FiOS!DA17*1000</f>
        <v>2.0069444444444446</v>
      </c>
      <c r="DB17" s="147">
        <f>+DB16/FiOS!DB17*1000</f>
        <v>1.6170212765957448</v>
      </c>
      <c r="DC17" s="94">
        <f>+DC16/FiOS!DC17*1000</f>
        <v>1.7763975155279503</v>
      </c>
      <c r="DD17" s="94">
        <f>+DD16/FiOS!DD17*1000</f>
        <v>1.4566473988439308</v>
      </c>
      <c r="DE17" s="94">
        <f>+DE16/FiOS!DE17*1000</f>
        <v>1.4206349206349205</v>
      </c>
      <c r="DF17" s="147">
        <f>+DF16/FiOS!DF17*1000</f>
        <v>1.0408163265306123</v>
      </c>
      <c r="DG17" s="1045">
        <f>+DG16/FiOS!DG17*1000</f>
        <v>0.64748201438848918</v>
      </c>
      <c r="DH17" s="1045">
        <f>+DH16/FiOS!DH17*1000</f>
        <v>0.45679012345679015</v>
      </c>
      <c r="DI17" s="101">
        <f>+DI16/FiOS!DI17*1000</f>
        <v>0.60689655172413792</v>
      </c>
      <c r="DJ17" s="147">
        <f>+DJ16/FiOS!DJ17*1000</f>
        <v>0.44360902255639095</v>
      </c>
      <c r="DK17" s="1095" t="s">
        <v>1149</v>
      </c>
      <c r="DL17" s="1095" t="s">
        <v>1149</v>
      </c>
      <c r="DM17" s="525" t="s">
        <v>1149</v>
      </c>
      <c r="DN17" s="1095" t="s">
        <v>1149</v>
      </c>
      <c r="DO17" s="1095" t="s">
        <v>1149</v>
      </c>
      <c r="DP17" s="1095" t="s">
        <v>1149</v>
      </c>
      <c r="DQ17" s="525" t="s">
        <v>1149</v>
      </c>
      <c r="DR17" s="1095" t="s">
        <v>1149</v>
      </c>
      <c r="DS17" s="1095" t="s">
        <v>1149</v>
      </c>
      <c r="DT17" s="1095" t="s">
        <v>1149</v>
      </c>
      <c r="DU17" s="525" t="s">
        <v>1149</v>
      </c>
      <c r="DV17" s="3369"/>
      <c r="DW17" s="3370"/>
      <c r="DX17" s="3370"/>
      <c r="DY17" s="3371"/>
    </row>
    <row r="18" spans="1:129" hidden="1" outlineLevel="1">
      <c r="A18" s="171" t="s">
        <v>424</v>
      </c>
      <c r="B18" s="109"/>
      <c r="C18" s="109"/>
      <c r="D18" s="109"/>
      <c r="E18" s="109"/>
      <c r="F18" s="109"/>
      <c r="G18" s="109"/>
      <c r="H18" s="109"/>
      <c r="I18" s="109"/>
      <c r="J18" s="168">
        <f>0.15*J20</f>
        <v>5236.3799999999992</v>
      </c>
      <c r="K18" s="168">
        <f>BQ18</f>
        <v>4366.8383433156287</v>
      </c>
      <c r="L18" s="109">
        <f>BU18</f>
        <v>3782.9071929031529</v>
      </c>
      <c r="M18" s="109">
        <f>BY18</f>
        <v>3346.2233585715899</v>
      </c>
      <c r="N18" s="109">
        <f>CC18</f>
        <v>1442.6800000000003</v>
      </c>
      <c r="O18" s="109">
        <f>CG18</f>
        <v>1615.0799999999981</v>
      </c>
      <c r="P18" s="109">
        <f>CK18</f>
        <v>1074.08</v>
      </c>
      <c r="Q18" s="1044">
        <f>CO18</f>
        <v>1303</v>
      </c>
      <c r="R18" s="109">
        <f>+CS18</f>
        <v>1042</v>
      </c>
      <c r="S18" s="109">
        <f>+CW18</f>
        <v>836</v>
      </c>
      <c r="T18" s="1044">
        <f>+DA18</f>
        <v>640</v>
      </c>
      <c r="U18" s="109">
        <f>+DE18</f>
        <v>500</v>
      </c>
      <c r="V18" s="109">
        <f>+DI18</f>
        <v>417</v>
      </c>
      <c r="W18" s="109">
        <f>+DM18</f>
        <v>347</v>
      </c>
      <c r="X18" s="109">
        <f>+DQ18</f>
        <v>230</v>
      </c>
      <c r="Y18" s="109">
        <f>+DU18</f>
        <v>191</v>
      </c>
      <c r="Z18" s="3394"/>
      <c r="AA18" s="3363"/>
      <c r="AB18" s="3363"/>
      <c r="AC18" s="3363"/>
      <c r="AD18" s="3363"/>
      <c r="AE18" s="3363"/>
      <c r="AF18" s="3363"/>
      <c r="AG18" s="3363"/>
      <c r="AH18" s="1964"/>
      <c r="AI18" s="2160"/>
      <c r="AJ18" s="2160"/>
      <c r="AK18" s="2160"/>
      <c r="AL18" s="2160"/>
      <c r="AM18" s="2160"/>
      <c r="AN18" s="2160"/>
      <c r="AO18" s="2160"/>
      <c r="AP18" s="171"/>
      <c r="AQ18" s="109"/>
      <c r="AR18" s="109"/>
      <c r="AS18" s="109"/>
      <c r="AT18" s="171"/>
      <c r="AU18" s="109"/>
      <c r="AV18" s="109"/>
      <c r="AW18" s="109"/>
      <c r="AX18" s="171"/>
      <c r="AY18" s="109"/>
      <c r="AZ18" s="109"/>
      <c r="BA18" s="109"/>
      <c r="BB18" s="171"/>
      <c r="BC18" s="109"/>
      <c r="BD18" s="109"/>
      <c r="BE18" s="109"/>
      <c r="BF18" s="171"/>
      <c r="BG18" s="109"/>
      <c r="BH18" s="109"/>
      <c r="BI18" s="109"/>
      <c r="BJ18" s="173">
        <f>0.15*BJ20</f>
        <v>5329.56</v>
      </c>
      <c r="BK18" s="168">
        <f>0.15*BK20</f>
        <v>5268.3899999999994</v>
      </c>
      <c r="BL18" s="168">
        <f>0.15*BL20</f>
        <v>5199.6299999999992</v>
      </c>
      <c r="BM18" s="168">
        <f>0.15*BM20</f>
        <v>5110.5</v>
      </c>
      <c r="BN18" s="173">
        <f>0.15*BN20</f>
        <v>4973.25</v>
      </c>
      <c r="BO18" s="109">
        <f t="shared" ref="BO18:BY18" si="11">BN18*(1+BO19)</f>
        <v>4740.0147474290879</v>
      </c>
      <c r="BP18" s="109">
        <f t="shared" si="11"/>
        <v>4503.4074189173916</v>
      </c>
      <c r="BQ18" s="109">
        <f t="shared" si="11"/>
        <v>4366.8383433156287</v>
      </c>
      <c r="BR18" s="171">
        <f t="shared" si="11"/>
        <v>4201.044609560402</v>
      </c>
      <c r="BS18" s="109">
        <f t="shared" si="11"/>
        <v>4034.1268504915806</v>
      </c>
      <c r="BT18" s="109">
        <f t="shared" si="11"/>
        <v>3894.7477116058312</v>
      </c>
      <c r="BU18" s="109">
        <f t="shared" si="11"/>
        <v>3782.9071929031529</v>
      </c>
      <c r="BV18" s="171">
        <f t="shared" si="11"/>
        <v>3678.9348513956379</v>
      </c>
      <c r="BW18" s="109">
        <f t="shared" si="11"/>
        <v>3568.7803706633517</v>
      </c>
      <c r="BX18" s="109">
        <f t="shared" si="11"/>
        <v>3452.4437507062944</v>
      </c>
      <c r="BY18" s="109">
        <f t="shared" si="11"/>
        <v>3346.2233585715899</v>
      </c>
      <c r="BZ18" s="171">
        <f t="shared" ref="BZ18:CK18" si="12">BZ20-BZ11</f>
        <v>2214.16</v>
      </c>
      <c r="CA18" s="109">
        <f t="shared" si="12"/>
        <v>1948</v>
      </c>
      <c r="CB18" s="109">
        <f t="shared" si="12"/>
        <v>1672.5200000000004</v>
      </c>
      <c r="CC18" s="109">
        <f t="shared" si="12"/>
        <v>1442.6800000000003</v>
      </c>
      <c r="CD18" s="171">
        <f t="shared" si="12"/>
        <v>2151.0400000000009</v>
      </c>
      <c r="CE18" s="109">
        <f t="shared" si="12"/>
        <v>1949.8799999999974</v>
      </c>
      <c r="CF18" s="109">
        <f t="shared" si="12"/>
        <v>1759.1200000000026</v>
      </c>
      <c r="CG18" s="109">
        <f t="shared" si="12"/>
        <v>1615.0799999999981</v>
      </c>
      <c r="CH18" s="171">
        <f t="shared" si="12"/>
        <v>1473.3200000000015</v>
      </c>
      <c r="CI18" s="109">
        <f t="shared" si="12"/>
        <v>1346</v>
      </c>
      <c r="CJ18" s="109">
        <f t="shared" si="12"/>
        <v>1208.840000000002</v>
      </c>
      <c r="CK18" s="109">
        <f t="shared" si="12"/>
        <v>1074.08</v>
      </c>
      <c r="CL18" s="171">
        <f t="shared" ref="CL18:DE18" si="13">CL21-CL11</f>
        <v>1505</v>
      </c>
      <c r="CM18" s="109">
        <f t="shared" si="13"/>
        <v>1437</v>
      </c>
      <c r="CN18" s="109">
        <f t="shared" si="13"/>
        <v>1364</v>
      </c>
      <c r="CO18" s="109">
        <f t="shared" si="13"/>
        <v>1303</v>
      </c>
      <c r="CP18" s="171">
        <f t="shared" si="13"/>
        <v>1236</v>
      </c>
      <c r="CQ18" s="109">
        <f t="shared" si="13"/>
        <v>1167</v>
      </c>
      <c r="CR18" s="109">
        <f t="shared" si="13"/>
        <v>1094</v>
      </c>
      <c r="CS18" s="109">
        <f t="shared" si="13"/>
        <v>1042</v>
      </c>
      <c r="CT18" s="171">
        <f t="shared" si="13"/>
        <v>991</v>
      </c>
      <c r="CU18" s="109">
        <f t="shared" si="13"/>
        <v>946</v>
      </c>
      <c r="CV18" s="109">
        <f t="shared" si="13"/>
        <v>893</v>
      </c>
      <c r="CW18" s="172">
        <f t="shared" si="13"/>
        <v>836</v>
      </c>
      <c r="CX18" s="109">
        <f t="shared" si="13"/>
        <v>779</v>
      </c>
      <c r="CY18" s="109">
        <f t="shared" si="13"/>
        <v>731</v>
      </c>
      <c r="CZ18" s="109">
        <f t="shared" si="13"/>
        <v>683</v>
      </c>
      <c r="DA18" s="109">
        <f t="shared" si="13"/>
        <v>640</v>
      </c>
      <c r="DB18" s="171">
        <f t="shared" si="13"/>
        <v>601</v>
      </c>
      <c r="DC18" s="109">
        <f t="shared" si="13"/>
        <v>566</v>
      </c>
      <c r="DD18" s="109">
        <f t="shared" si="13"/>
        <v>531</v>
      </c>
      <c r="DE18" s="109">
        <f t="shared" si="13"/>
        <v>500</v>
      </c>
      <c r="DF18" s="171">
        <f t="shared" ref="DF18:DK18" si="14">DF21-DF11</f>
        <v>474</v>
      </c>
      <c r="DG18" s="1044">
        <f t="shared" si="14"/>
        <v>456</v>
      </c>
      <c r="DH18" s="1044">
        <f t="shared" si="14"/>
        <v>435</v>
      </c>
      <c r="DI18" s="172">
        <f t="shared" si="14"/>
        <v>417</v>
      </c>
      <c r="DJ18" s="171">
        <f t="shared" si="14"/>
        <v>399</v>
      </c>
      <c r="DK18" s="1044">
        <f t="shared" si="14"/>
        <v>384</v>
      </c>
      <c r="DL18" s="1044">
        <f t="shared" ref="DL18:DQ18" si="15">DL21-DL11</f>
        <v>366</v>
      </c>
      <c r="DM18" s="172">
        <f t="shared" si="15"/>
        <v>347</v>
      </c>
      <c r="DN18" s="1044">
        <f t="shared" si="15"/>
        <v>329</v>
      </c>
      <c r="DO18" s="1044">
        <f t="shared" si="15"/>
        <v>254</v>
      </c>
      <c r="DP18" s="1044">
        <f t="shared" si="15"/>
        <v>241</v>
      </c>
      <c r="DQ18" s="172">
        <f t="shared" si="15"/>
        <v>230</v>
      </c>
      <c r="DR18" s="1044">
        <f t="shared" ref="DR18:DS18" si="16">DR21-DR11</f>
        <v>218</v>
      </c>
      <c r="DS18" s="1044">
        <f t="shared" si="16"/>
        <v>208</v>
      </c>
      <c r="DT18" s="1044">
        <f t="shared" ref="DT18:DU18" si="17">DT21-DT11</f>
        <v>200</v>
      </c>
      <c r="DU18" s="172">
        <f t="shared" si="17"/>
        <v>191</v>
      </c>
      <c r="DV18" s="3363"/>
      <c r="DW18" s="3363"/>
      <c r="DX18" s="3363"/>
      <c r="DY18" s="3364"/>
    </row>
    <row r="19" spans="1:129" hidden="1" outlineLevel="1">
      <c r="A19" s="147" t="s">
        <v>418</v>
      </c>
      <c r="B19" s="94"/>
      <c r="C19" s="94"/>
      <c r="D19" s="94"/>
      <c r="E19" s="94"/>
      <c r="F19" s="94"/>
      <c r="G19" s="94"/>
      <c r="H19" s="94"/>
      <c r="I19" s="94"/>
      <c r="J19" s="94"/>
      <c r="K19" s="94">
        <f t="shared" ref="K19:V19" si="18">K18/J18-1</f>
        <v>-0.16605778356123324</v>
      </c>
      <c r="L19" s="94">
        <f t="shared" si="18"/>
        <v>-0.13371943371943362</v>
      </c>
      <c r="M19" s="94">
        <f t="shared" si="18"/>
        <v>-0.11543604219283909</v>
      </c>
      <c r="N19" s="94">
        <f t="shared" si="18"/>
        <v>-0.56886320923423339</v>
      </c>
      <c r="O19" s="94">
        <f t="shared" si="18"/>
        <v>0.11949981977985269</v>
      </c>
      <c r="P19" s="94">
        <f t="shared" si="18"/>
        <v>-0.33496792728533498</v>
      </c>
      <c r="Q19" s="1045">
        <f t="shared" si="18"/>
        <v>0.21313123789661859</v>
      </c>
      <c r="R19" s="94">
        <f t="shared" si="18"/>
        <v>-0.20030698388334611</v>
      </c>
      <c r="S19" s="94">
        <f t="shared" si="18"/>
        <v>-0.19769673704414592</v>
      </c>
      <c r="T19" s="1045">
        <f t="shared" si="18"/>
        <v>-0.23444976076555024</v>
      </c>
      <c r="U19" s="94">
        <f t="shared" si="18"/>
        <v>-0.21875</v>
      </c>
      <c r="V19" s="94">
        <f t="shared" si="18"/>
        <v>-0.16600000000000004</v>
      </c>
      <c r="W19" s="94">
        <f>W18/V18-1</f>
        <v>-0.16786570743405271</v>
      </c>
      <c r="X19" s="94">
        <f>X18/W18-1</f>
        <v>-0.33717579250720464</v>
      </c>
      <c r="Y19" s="94">
        <f>Y18/X18-1</f>
        <v>-0.16956521739130437</v>
      </c>
      <c r="Z19" s="3395"/>
      <c r="AA19" s="3370"/>
      <c r="AB19" s="3370"/>
      <c r="AC19" s="3370"/>
      <c r="AD19" s="3370"/>
      <c r="AE19" s="3370"/>
      <c r="AF19" s="3370"/>
      <c r="AG19" s="3370"/>
      <c r="AH19" s="2126"/>
      <c r="AI19" s="2159"/>
      <c r="AJ19" s="2159"/>
      <c r="AK19" s="2159"/>
      <c r="AL19" s="2159"/>
      <c r="AM19" s="2159"/>
      <c r="AN19" s="2159"/>
      <c r="AO19" s="2159"/>
      <c r="AP19" s="147"/>
      <c r="AQ19" s="94"/>
      <c r="AR19" s="94"/>
      <c r="AS19" s="94"/>
      <c r="AT19" s="147"/>
      <c r="AU19" s="94"/>
      <c r="AV19" s="94"/>
      <c r="AW19" s="94"/>
      <c r="AX19" s="147"/>
      <c r="AY19" s="94"/>
      <c r="AZ19" s="94"/>
      <c r="BA19" s="94"/>
      <c r="BB19" s="147"/>
      <c r="BC19" s="94"/>
      <c r="BD19" s="94"/>
      <c r="BE19" s="94"/>
      <c r="BF19" s="147"/>
      <c r="BG19" s="94"/>
      <c r="BH19" s="94"/>
      <c r="BI19" s="94"/>
      <c r="BJ19" s="147"/>
      <c r="BK19" s="94">
        <f>BK18/BJ18-1</f>
        <v>-1.1477495327944731E-2</v>
      </c>
      <c r="BL19" s="94">
        <f>BL18/BK18-1</f>
        <v>-1.305142557783312E-2</v>
      </c>
      <c r="BM19" s="94">
        <f>BM18/BL18-1</f>
        <v>-1.7141604306460168E-2</v>
      </c>
      <c r="BN19" s="147">
        <f>BN18/BM18-1</f>
        <v>-2.6856471969474605E-2</v>
      </c>
      <c r="BO19" s="110">
        <v>-4.689795457113799E-2</v>
      </c>
      <c r="BP19" s="110">
        <v>-4.9917002608489414E-2</v>
      </c>
      <c r="BQ19" s="110">
        <v>-3.0325720703856196E-2</v>
      </c>
      <c r="BR19" s="165">
        <v>-3.7966537966537928E-2</v>
      </c>
      <c r="BS19" s="110">
        <v>-3.9732441471571955E-2</v>
      </c>
      <c r="BT19" s="110">
        <v>-3.455001393145718E-2</v>
      </c>
      <c r="BU19" s="110">
        <v>-2.8715728715728694E-2</v>
      </c>
      <c r="BV19" s="165">
        <v>-2.7484771950676001E-2</v>
      </c>
      <c r="BW19" s="110">
        <v>-2.9941949282004332E-2</v>
      </c>
      <c r="BX19" s="110">
        <v>-3.2598425196850411E-2</v>
      </c>
      <c r="BY19" s="110">
        <v>-3.0766726355201057E-2</v>
      </c>
      <c r="BZ19" s="455">
        <f t="shared" ref="BZ19:DU19" si="19">BZ18/BV18-1</f>
        <v>-0.3981518865005077</v>
      </c>
      <c r="CA19" s="454">
        <f t="shared" si="19"/>
        <v>-0.45415525819037361</v>
      </c>
      <c r="CB19" s="454">
        <f t="shared" si="19"/>
        <v>-0.51555474302576565</v>
      </c>
      <c r="CC19" s="454">
        <f t="shared" si="19"/>
        <v>-0.56886320923423339</v>
      </c>
      <c r="CD19" s="455">
        <f t="shared" si="19"/>
        <v>-2.8507424937673442E-2</v>
      </c>
      <c r="CE19" s="454">
        <f t="shared" si="19"/>
        <v>9.6509240246267503E-4</v>
      </c>
      <c r="CF19" s="454">
        <f t="shared" si="19"/>
        <v>5.177815511922268E-2</v>
      </c>
      <c r="CG19" s="454">
        <f t="shared" si="19"/>
        <v>0.11949981977985269</v>
      </c>
      <c r="CH19" s="455">
        <f t="shared" si="19"/>
        <v>-0.31506620053555445</v>
      </c>
      <c r="CI19" s="454">
        <f t="shared" si="19"/>
        <v>-0.30970110981188492</v>
      </c>
      <c r="CJ19" s="454">
        <f t="shared" si="19"/>
        <v>-0.31281549865842007</v>
      </c>
      <c r="CK19" s="94">
        <f t="shared" si="19"/>
        <v>-0.33496792728533498</v>
      </c>
      <c r="CL19" s="147">
        <f t="shared" si="19"/>
        <v>2.150245703580933E-2</v>
      </c>
      <c r="CM19" s="454">
        <f t="shared" si="19"/>
        <v>6.760772659732539E-2</v>
      </c>
      <c r="CN19" s="454">
        <f t="shared" si="19"/>
        <v>0.12835445551106672</v>
      </c>
      <c r="CO19" s="454">
        <f t="shared" si="19"/>
        <v>0.21313123789661859</v>
      </c>
      <c r="CP19" s="455">
        <f t="shared" si="19"/>
        <v>-0.17873754152823917</v>
      </c>
      <c r="CQ19" s="454">
        <f t="shared" si="19"/>
        <v>-0.18789144050104389</v>
      </c>
      <c r="CR19" s="454">
        <f t="shared" si="19"/>
        <v>-0.19794721407624638</v>
      </c>
      <c r="CS19" s="454">
        <f t="shared" si="19"/>
        <v>-0.20030698388334611</v>
      </c>
      <c r="CT19" s="455">
        <f t="shared" si="19"/>
        <v>-0.19822006472491904</v>
      </c>
      <c r="CU19" s="454">
        <f t="shared" si="19"/>
        <v>-0.18937446443873174</v>
      </c>
      <c r="CV19" s="454">
        <f t="shared" si="19"/>
        <v>-0.18372943327239488</v>
      </c>
      <c r="CW19" s="456">
        <f t="shared" si="19"/>
        <v>-0.19769673704414592</v>
      </c>
      <c r="CX19" s="454">
        <f t="shared" si="19"/>
        <v>-0.21392532795156405</v>
      </c>
      <c r="CY19" s="454">
        <f t="shared" si="19"/>
        <v>-0.22727272727272729</v>
      </c>
      <c r="CZ19" s="454">
        <f t="shared" si="19"/>
        <v>-0.23516237402015683</v>
      </c>
      <c r="DA19" s="454">
        <f t="shared" si="19"/>
        <v>-0.23444976076555024</v>
      </c>
      <c r="DB19" s="455">
        <f t="shared" si="19"/>
        <v>-0.22849807445442871</v>
      </c>
      <c r="DC19" s="454">
        <f t="shared" si="19"/>
        <v>-0.22571819425444595</v>
      </c>
      <c r="DD19" s="454">
        <f t="shared" si="19"/>
        <v>-0.2225475841874085</v>
      </c>
      <c r="DE19" s="454">
        <f t="shared" si="19"/>
        <v>-0.21875</v>
      </c>
      <c r="DF19" s="455">
        <f t="shared" si="19"/>
        <v>-0.21131447587354413</v>
      </c>
      <c r="DG19" s="1046">
        <f t="shared" si="19"/>
        <v>-0.19434628975265023</v>
      </c>
      <c r="DH19" s="1046">
        <f t="shared" si="19"/>
        <v>-0.1807909604519774</v>
      </c>
      <c r="DI19" s="456">
        <f t="shared" si="19"/>
        <v>-0.16600000000000004</v>
      </c>
      <c r="DJ19" s="455">
        <f t="shared" si="19"/>
        <v>-0.15822784810126578</v>
      </c>
      <c r="DK19" s="1046">
        <f t="shared" si="19"/>
        <v>-0.15789473684210531</v>
      </c>
      <c r="DL19" s="1046">
        <f t="shared" si="19"/>
        <v>-0.1586206896551724</v>
      </c>
      <c r="DM19" s="456">
        <f t="shared" si="19"/>
        <v>-0.16786570743405271</v>
      </c>
      <c r="DN19" s="1046">
        <f t="shared" si="19"/>
        <v>-0.17543859649122806</v>
      </c>
      <c r="DO19" s="1046">
        <f t="shared" si="19"/>
        <v>-0.33854166666666663</v>
      </c>
      <c r="DP19" s="1046">
        <f t="shared" si="19"/>
        <v>-0.34153005464480879</v>
      </c>
      <c r="DQ19" s="456">
        <f t="shared" si="19"/>
        <v>-0.33717579250720464</v>
      </c>
      <c r="DR19" s="1046">
        <f t="shared" si="19"/>
        <v>-0.33738601823708203</v>
      </c>
      <c r="DS19" s="1046">
        <f t="shared" si="19"/>
        <v>-0.18110236220472442</v>
      </c>
      <c r="DT19" s="1046">
        <f t="shared" si="19"/>
        <v>-0.17012448132780078</v>
      </c>
      <c r="DU19" s="456">
        <f t="shared" si="19"/>
        <v>-0.16956521739130437</v>
      </c>
      <c r="DV19" s="3372"/>
      <c r="DW19" s="3370"/>
      <c r="DX19" s="3370"/>
      <c r="DY19" s="3371"/>
    </row>
    <row r="20" spans="1:129" hidden="1" outlineLevel="1">
      <c r="A20" s="479" t="s">
        <v>425</v>
      </c>
      <c r="B20" s="99"/>
      <c r="C20" s="99"/>
      <c r="D20" s="99"/>
      <c r="E20" s="478"/>
      <c r="F20" s="478"/>
      <c r="G20" s="478"/>
      <c r="H20" s="478"/>
      <c r="I20" s="478"/>
      <c r="J20" s="478">
        <f>J21-J43</f>
        <v>34909.199999999997</v>
      </c>
      <c r="K20" s="478">
        <f>K21-K43</f>
        <v>31623.8</v>
      </c>
      <c r="L20" s="478">
        <f>BU20</f>
        <v>28762.400000000001</v>
      </c>
      <c r="M20" s="478">
        <f>M21-M43-0.8*M40</f>
        <v>26737.3</v>
      </c>
      <c r="N20" s="478">
        <f>N21-N43-0.8*N40</f>
        <v>24180.68</v>
      </c>
      <c r="O20" s="478">
        <f>O21-O43-0.8*O40</f>
        <v>16432.079999999998</v>
      </c>
      <c r="P20" s="478">
        <f>P21-P43-0.8*P40</f>
        <v>14390.611999999999</v>
      </c>
      <c r="Q20" s="1053">
        <f>Q21-Q43-0.8*Q40</f>
        <v>13300.6</v>
      </c>
      <c r="R20" s="478"/>
      <c r="S20" s="478"/>
      <c r="T20" s="1053"/>
      <c r="U20" s="478"/>
      <c r="V20" s="478"/>
      <c r="W20" s="478"/>
      <c r="X20" s="478"/>
      <c r="Y20" s="478"/>
      <c r="Z20" s="3396"/>
      <c r="AA20" s="3373"/>
      <c r="AB20" s="3373"/>
      <c r="AC20" s="3373"/>
      <c r="AD20" s="3373"/>
      <c r="AE20" s="3373"/>
      <c r="AF20" s="3373"/>
      <c r="AG20" s="3373"/>
      <c r="AH20" s="2126"/>
      <c r="AI20" s="2161"/>
      <c r="AJ20" s="2161"/>
      <c r="AK20" s="2161"/>
      <c r="AL20" s="2161"/>
      <c r="AM20" s="2161"/>
      <c r="AN20" s="2161"/>
      <c r="AO20" s="2161"/>
      <c r="AP20" s="481">
        <f>AP21-AP43</f>
        <v>0</v>
      </c>
      <c r="AQ20" s="478">
        <f>AQ21-AQ43</f>
        <v>0</v>
      </c>
      <c r="AR20" s="478">
        <f>AR21-AR43</f>
        <v>0</v>
      </c>
      <c r="AS20" s="478">
        <f>AS21-AS43</f>
        <v>0</v>
      </c>
      <c r="AT20" s="481">
        <f t="shared" ref="AT20:BY20" si="20">AT21-AT43-0.8*AT40</f>
        <v>38864</v>
      </c>
      <c r="AU20" s="478">
        <f t="shared" si="20"/>
        <v>39083</v>
      </c>
      <c r="AV20" s="478">
        <f t="shared" si="20"/>
        <v>39457</v>
      </c>
      <c r="AW20" s="478">
        <f t="shared" si="20"/>
        <v>39713</v>
      </c>
      <c r="AX20" s="481">
        <f t="shared" si="20"/>
        <v>38927.173999999999</v>
      </c>
      <c r="AY20" s="478">
        <f t="shared" si="20"/>
        <v>39122.033000000003</v>
      </c>
      <c r="AZ20" s="478">
        <f t="shared" si="20"/>
        <v>39359.724000000002</v>
      </c>
      <c r="BA20" s="478">
        <f t="shared" si="20"/>
        <v>39605.752</v>
      </c>
      <c r="BB20" s="481">
        <f t="shared" si="20"/>
        <v>39018</v>
      </c>
      <c r="BC20" s="478">
        <f t="shared" si="20"/>
        <v>39089</v>
      </c>
      <c r="BD20" s="478">
        <f t="shared" si="20"/>
        <v>39113</v>
      </c>
      <c r="BE20" s="478">
        <f t="shared" si="20"/>
        <v>36242.6</v>
      </c>
      <c r="BF20" s="481">
        <f t="shared" si="20"/>
        <v>36225</v>
      </c>
      <c r="BG20" s="478">
        <f t="shared" si="20"/>
        <v>35951.199999999997</v>
      </c>
      <c r="BH20" s="478">
        <f t="shared" si="20"/>
        <v>35805</v>
      </c>
      <c r="BI20" s="478">
        <f t="shared" si="20"/>
        <v>35618.400000000001</v>
      </c>
      <c r="BJ20" s="481">
        <f t="shared" si="20"/>
        <v>35530.400000000001</v>
      </c>
      <c r="BK20" s="478">
        <f t="shared" si="20"/>
        <v>35122.6</v>
      </c>
      <c r="BL20" s="478">
        <f t="shared" si="20"/>
        <v>34664.199999999997</v>
      </c>
      <c r="BM20" s="478">
        <f t="shared" si="20"/>
        <v>34070</v>
      </c>
      <c r="BN20" s="481">
        <f t="shared" si="20"/>
        <v>33155</v>
      </c>
      <c r="BO20" s="478">
        <f t="shared" si="20"/>
        <v>32431.599999999999</v>
      </c>
      <c r="BP20" s="478">
        <f t="shared" si="20"/>
        <v>31714.399999999998</v>
      </c>
      <c r="BQ20" s="478">
        <f t="shared" si="20"/>
        <v>31030.2</v>
      </c>
      <c r="BR20" s="481">
        <f t="shared" si="20"/>
        <v>30619.55</v>
      </c>
      <c r="BS20" s="478">
        <f t="shared" si="20"/>
        <v>29835</v>
      </c>
      <c r="BT20" s="478">
        <f t="shared" si="20"/>
        <v>29263.05</v>
      </c>
      <c r="BU20" s="478">
        <f t="shared" si="20"/>
        <v>28762.400000000001</v>
      </c>
      <c r="BV20" s="481">
        <f t="shared" si="20"/>
        <v>28401.1</v>
      </c>
      <c r="BW20" s="478">
        <f t="shared" si="20"/>
        <v>27781.3</v>
      </c>
      <c r="BX20" s="478">
        <f t="shared" si="20"/>
        <v>27215.9</v>
      </c>
      <c r="BY20" s="478">
        <f t="shared" si="20"/>
        <v>26737.3</v>
      </c>
      <c r="BZ20" s="481">
        <f t="shared" ref="BZ20:CS20" si="21">BZ21-BZ43-0.8*BZ40</f>
        <v>26167.16</v>
      </c>
      <c r="CA20" s="478">
        <f t="shared" si="21"/>
        <v>25470</v>
      </c>
      <c r="CB20" s="478">
        <f t="shared" si="21"/>
        <v>24776.52</v>
      </c>
      <c r="CC20" s="478">
        <f t="shared" si="21"/>
        <v>24180.68</v>
      </c>
      <c r="CD20" s="481">
        <f t="shared" si="21"/>
        <v>23570.04</v>
      </c>
      <c r="CE20" s="478">
        <f t="shared" si="21"/>
        <v>22988.879999999997</v>
      </c>
      <c r="CF20" s="478">
        <f t="shared" si="21"/>
        <v>22334.120000000003</v>
      </c>
      <c r="CG20" s="478">
        <f t="shared" si="21"/>
        <v>16432.079999999998</v>
      </c>
      <c r="CH20" s="481">
        <f t="shared" si="21"/>
        <v>15953.320000000002</v>
      </c>
      <c r="CI20" s="478">
        <f t="shared" si="21"/>
        <v>15400.679054054053</v>
      </c>
      <c r="CJ20" s="478">
        <f t="shared" si="21"/>
        <v>14845.863728813561</v>
      </c>
      <c r="CK20" s="478">
        <f t="shared" si="21"/>
        <v>14390.611999999999</v>
      </c>
      <c r="CL20" s="481">
        <f t="shared" si="21"/>
        <v>14504</v>
      </c>
      <c r="CM20" s="478">
        <f t="shared" si="21"/>
        <v>14118</v>
      </c>
      <c r="CN20" s="478">
        <f t="shared" si="21"/>
        <v>13706.8</v>
      </c>
      <c r="CO20" s="478">
        <f t="shared" si="21"/>
        <v>13300.6</v>
      </c>
      <c r="CP20" s="481">
        <f t="shared" si="21"/>
        <v>14587</v>
      </c>
      <c r="CQ20" s="478">
        <f t="shared" si="21"/>
        <v>14252</v>
      </c>
      <c r="CR20" s="478">
        <f t="shared" si="21"/>
        <v>13919</v>
      </c>
      <c r="CS20" s="478">
        <f t="shared" si="21"/>
        <v>13616</v>
      </c>
      <c r="CT20" s="481"/>
      <c r="CU20" s="478"/>
      <c r="CV20" s="478"/>
      <c r="CW20" s="482"/>
      <c r="CX20" s="478"/>
      <c r="CY20" s="478"/>
      <c r="CZ20" s="478"/>
      <c r="DA20" s="478"/>
      <c r="DB20" s="481"/>
      <c r="DC20" s="478"/>
      <c r="DD20" s="478"/>
      <c r="DE20" s="478"/>
      <c r="DF20" s="481"/>
      <c r="DG20" s="1053"/>
      <c r="DH20" s="1053"/>
      <c r="DI20" s="482"/>
      <c r="DJ20" s="481"/>
      <c r="DK20" s="1053"/>
      <c r="DL20" s="1053"/>
      <c r="DM20" s="482"/>
      <c r="DN20" s="1053"/>
      <c r="DO20" s="1053"/>
      <c r="DP20" s="1053"/>
      <c r="DQ20" s="482"/>
      <c r="DR20" s="1053"/>
      <c r="DS20" s="1053"/>
      <c r="DT20" s="1053"/>
      <c r="DU20" s="482"/>
      <c r="DV20" s="3373"/>
      <c r="DW20" s="3373"/>
      <c r="DX20" s="3373"/>
      <c r="DY20" s="3374"/>
    </row>
    <row r="21" spans="1:129" hidden="1" outlineLevel="1">
      <c r="A21" s="954" t="s">
        <v>426</v>
      </c>
      <c r="B21" s="955"/>
      <c r="C21" s="955"/>
      <c r="D21" s="955"/>
      <c r="E21" s="955"/>
      <c r="F21" s="955">
        <f>AW21</f>
        <v>39713</v>
      </c>
      <c r="G21" s="955">
        <f>BA21</f>
        <v>39605.752</v>
      </c>
      <c r="H21" s="955">
        <f>BE21</f>
        <v>39077</v>
      </c>
      <c r="I21" s="955">
        <f>BI21</f>
        <v>38536</v>
      </c>
      <c r="J21" s="955">
        <f>BM21</f>
        <v>37458</v>
      </c>
      <c r="K21" s="955">
        <f>BQ21</f>
        <v>35639</v>
      </c>
      <c r="L21" s="955">
        <f>BU21</f>
        <v>33725</v>
      </c>
      <c r="M21" s="955">
        <f>BY21</f>
        <v>30902</v>
      </c>
      <c r="N21" s="955">
        <f>CC21</f>
        <v>26732</v>
      </c>
      <c r="O21" s="955">
        <f>CG21</f>
        <v>18573</v>
      </c>
      <c r="P21" s="955">
        <f>CK21</f>
        <v>16189.531999999999</v>
      </c>
      <c r="Q21" s="1042">
        <f>CO21</f>
        <v>14965</v>
      </c>
      <c r="R21" s="955">
        <f>+CS21</f>
        <v>13616</v>
      </c>
      <c r="S21" s="955">
        <f>+CW21</f>
        <v>12626</v>
      </c>
      <c r="T21" s="1042">
        <f>+DA21</f>
        <v>11849</v>
      </c>
      <c r="U21" s="955">
        <f>+DE21</f>
        <v>11229</v>
      </c>
      <c r="V21" s="955">
        <f>+DI21</f>
        <v>10615</v>
      </c>
      <c r="W21" s="955">
        <f>+DM21</f>
        <v>9885</v>
      </c>
      <c r="X21" s="955">
        <f>+DQ21</f>
        <v>7355</v>
      </c>
      <c r="Y21" s="955">
        <f>+DU21</f>
        <v>6804</v>
      </c>
      <c r="Z21" s="3397"/>
      <c r="AA21" s="3261"/>
      <c r="AB21" s="3261"/>
      <c r="AC21" s="3261"/>
      <c r="AD21" s="3261"/>
      <c r="AE21" s="3261"/>
      <c r="AF21" s="3261"/>
      <c r="AG21" s="3261"/>
      <c r="AH21" s="2126"/>
      <c r="AI21" s="2162"/>
      <c r="AJ21" s="2162"/>
      <c r="AK21" s="2162"/>
      <c r="AL21" s="2162"/>
      <c r="AM21" s="2162"/>
      <c r="AN21" s="2162"/>
      <c r="AO21" s="2162"/>
      <c r="AP21" s="954"/>
      <c r="AQ21" s="955"/>
      <c r="AR21" s="955"/>
      <c r="AS21" s="955"/>
      <c r="AT21" s="954">
        <f>NormInputs!AJ217</f>
        <v>38864</v>
      </c>
      <c r="AU21" s="955">
        <f>NormInputs!AK217</f>
        <v>39083</v>
      </c>
      <c r="AV21" s="955">
        <f>NormInputs!AL217</f>
        <v>39457</v>
      </c>
      <c r="AW21" s="955">
        <f>NormInputs!AM217</f>
        <v>39713</v>
      </c>
      <c r="AX21" s="954">
        <f>NormInputs!AN217</f>
        <v>38927.173999999999</v>
      </c>
      <c r="AY21" s="955">
        <f>NormInputs!AO217</f>
        <v>39122.033000000003</v>
      </c>
      <c r="AZ21" s="955">
        <f>NormInputs!AP217</f>
        <v>39359.724000000002</v>
      </c>
      <c r="BA21" s="955">
        <f>NormInputs!AQ217</f>
        <v>39605.752</v>
      </c>
      <c r="BB21" s="954">
        <f>NormInputs!AR217</f>
        <v>39018</v>
      </c>
      <c r="BC21" s="955">
        <f>NormInputs!AS217</f>
        <v>39089</v>
      </c>
      <c r="BD21" s="955">
        <f>NormInputs!AT217</f>
        <v>39113</v>
      </c>
      <c r="BE21" s="955">
        <f>NormInputs!AU217</f>
        <v>39077</v>
      </c>
      <c r="BF21" s="954">
        <f>NormInputs!AV217</f>
        <v>39117</v>
      </c>
      <c r="BG21" s="955">
        <f>NormInputs!AW217</f>
        <v>38916</v>
      </c>
      <c r="BH21" s="955">
        <f>NormInputs!AX217</f>
        <v>38741</v>
      </c>
      <c r="BI21" s="955">
        <f>NormInputs!AY217</f>
        <v>38536</v>
      </c>
      <c r="BJ21" s="954">
        <f>NormInputs!AZ217</f>
        <v>38440</v>
      </c>
      <c r="BK21" s="955">
        <f>NormInputs!BA217</f>
        <v>38065</v>
      </c>
      <c r="BL21" s="955">
        <f>NormInputs!BB217</f>
        <v>37777</v>
      </c>
      <c r="BM21" s="955">
        <f>NormInputs!BC217</f>
        <v>37458</v>
      </c>
      <c r="BN21" s="954">
        <f>NormInputs!BD217</f>
        <v>36811</v>
      </c>
      <c r="BO21" s="955">
        <f>NormInputs!BE217</f>
        <v>36430</v>
      </c>
      <c r="BP21" s="955">
        <f>NormInputs!BF217</f>
        <v>36016</v>
      </c>
      <c r="BQ21" s="955">
        <f>NormInputs!BG217</f>
        <v>35639</v>
      </c>
      <c r="BR21" s="954">
        <f>NormInputs!BH217</f>
        <v>35328</v>
      </c>
      <c r="BS21" s="955">
        <f>NormInputs!BI217</f>
        <v>34815</v>
      </c>
      <c r="BT21" s="955">
        <f>NormInputs!BJ217</f>
        <v>34289</v>
      </c>
      <c r="BU21" s="955">
        <f>NormInputs!BK217</f>
        <v>33725</v>
      </c>
      <c r="BV21" s="954">
        <f>NormInputs!BL217</f>
        <v>33213</v>
      </c>
      <c r="BW21" s="955">
        <f>NormInputs!BM217</f>
        <v>32441</v>
      </c>
      <c r="BX21" s="955">
        <f>NormInputs!BN217</f>
        <v>31629</v>
      </c>
      <c r="BY21" s="955">
        <f>NormInputs!BO217</f>
        <v>30902</v>
      </c>
      <c r="BZ21" s="954">
        <f>NormInputs!BP217</f>
        <v>29100</v>
      </c>
      <c r="CA21" s="955">
        <f>NormInputs!BQ217</f>
        <v>28263</v>
      </c>
      <c r="CB21" s="955">
        <f>NormInputs!BR217</f>
        <v>27435</v>
      </c>
      <c r="CC21" s="955">
        <f>NormInputs!BS217</f>
        <v>26732</v>
      </c>
      <c r="CD21" s="954">
        <f>NormInputs!BT217</f>
        <v>26018</v>
      </c>
      <c r="CE21" s="955">
        <f>NormInputs!BU217</f>
        <v>25316</v>
      </c>
      <c r="CF21" s="955">
        <f>NormInputs!BV217</f>
        <v>24567</v>
      </c>
      <c r="CG21" s="955">
        <f>NormInputs!BW217-CG125</f>
        <v>18573</v>
      </c>
      <c r="CH21" s="954">
        <f>NormInputs!BX217-CH125</f>
        <v>18000</v>
      </c>
      <c r="CI21" s="955">
        <f>NormInputs!BY217-CI125</f>
        <v>17357.679054054053</v>
      </c>
      <c r="CJ21" s="955">
        <f>NormInputs!BZ217-CJ125</f>
        <v>16720.023728813561</v>
      </c>
      <c r="CK21" s="955">
        <f>NormInputs!CA217-CK125</f>
        <v>16189.531999999999</v>
      </c>
      <c r="CL21" s="954">
        <f>NormInputs!CB217</f>
        <v>16252</v>
      </c>
      <c r="CM21" s="955">
        <f>NormInputs!CC217</f>
        <v>15828</v>
      </c>
      <c r="CN21" s="955">
        <f>NormInputs!CD217</f>
        <v>15394</v>
      </c>
      <c r="CO21" s="955">
        <f>NormInputs!CE217</f>
        <v>14965</v>
      </c>
      <c r="CP21" s="954">
        <f>NormInputs!CF217</f>
        <v>14587</v>
      </c>
      <c r="CQ21" s="955">
        <f>NormInputs!CG217</f>
        <v>14252</v>
      </c>
      <c r="CR21" s="955">
        <f>NormInputs!CH217</f>
        <v>13919</v>
      </c>
      <c r="CS21" s="955">
        <f>NormInputs!CI217</f>
        <v>13616</v>
      </c>
      <c r="CT21" s="954">
        <f>NormInputs!CJ217</f>
        <v>13327</v>
      </c>
      <c r="CU21" s="955">
        <f>NormInputs!CK217</f>
        <v>13087</v>
      </c>
      <c r="CV21" s="955">
        <f>NormInputs!CL217</f>
        <v>12809</v>
      </c>
      <c r="CW21" s="956">
        <f>NormInputs!CM217</f>
        <v>12626</v>
      </c>
      <c r="CX21" s="955">
        <f>NormInputs!CN217</f>
        <v>12421</v>
      </c>
      <c r="CY21" s="955">
        <f>NormInputs!CO217</f>
        <v>12222</v>
      </c>
      <c r="CZ21" s="955">
        <f>NormInputs!CP217</f>
        <v>12005</v>
      </c>
      <c r="DA21" s="955">
        <f>NormInputs!CQ217</f>
        <v>11849</v>
      </c>
      <c r="DB21" s="954">
        <f>NormInputs!CR217</f>
        <v>11725</v>
      </c>
      <c r="DC21" s="955">
        <f>NormInputs!CS217</f>
        <v>11583</v>
      </c>
      <c r="DD21" s="955">
        <f>NormInputs!CT217</f>
        <v>11421</v>
      </c>
      <c r="DE21" s="955">
        <f>NormInputs!CU217</f>
        <v>11229</v>
      </c>
      <c r="DF21" s="954">
        <f>NormInputs!CV217</f>
        <v>11048</v>
      </c>
      <c r="DG21" s="1042">
        <f>NormInputs!CW217</f>
        <v>10903</v>
      </c>
      <c r="DH21" s="1042">
        <f>NormInputs!CX217</f>
        <v>10743</v>
      </c>
      <c r="DI21" s="956">
        <f>NormInputs!CY217</f>
        <v>10615</v>
      </c>
      <c r="DJ21" s="954">
        <f>NormInputs!CZ217</f>
        <v>10457</v>
      </c>
      <c r="DK21" s="1042">
        <f>NormInputs!DA217</f>
        <v>10239</v>
      </c>
      <c r="DL21" s="2155">
        <f>NormInputs!DB217</f>
        <v>10051</v>
      </c>
      <c r="DM21" s="2474">
        <f>NormInputs!DC217</f>
        <v>9885</v>
      </c>
      <c r="DN21" s="2155">
        <f>NormInputs!DD217</f>
        <v>9702</v>
      </c>
      <c r="DO21" s="2155">
        <f>NormInputs!DE217</f>
        <v>7634</v>
      </c>
      <c r="DP21" s="2155">
        <f>NormInputs!DF217</f>
        <v>7482</v>
      </c>
      <c r="DQ21" s="2474">
        <f>NormInputs!DG217</f>
        <v>7355</v>
      </c>
      <c r="DR21" s="2155">
        <f>NormInputs!DH217</f>
        <v>7200</v>
      </c>
      <c r="DS21" s="2155">
        <f>NormInputs!DI217</f>
        <v>7079</v>
      </c>
      <c r="DT21" s="2155">
        <f>NormInputs!DJ217</f>
        <v>6950</v>
      </c>
      <c r="DU21" s="2474">
        <f>NormInputs!DK217</f>
        <v>6804</v>
      </c>
      <c r="DV21" s="3375"/>
      <c r="DW21" s="3261"/>
      <c r="DX21" s="3261"/>
      <c r="DY21" s="3141"/>
    </row>
    <row r="22" spans="1:129" hidden="1" outlineLevel="1">
      <c r="A22" s="957" t="s">
        <v>991</v>
      </c>
      <c r="B22" s="958"/>
      <c r="C22" s="958"/>
      <c r="D22" s="958"/>
      <c r="E22" s="958"/>
      <c r="F22" s="958"/>
      <c r="G22" s="958"/>
      <c r="H22" s="958">
        <f t="shared" ref="H22:V22" si="22">H21/G21-1</f>
        <v>-1.335038405532607E-2</v>
      </c>
      <c r="I22" s="958">
        <f t="shared" si="22"/>
        <v>-1.3844460936100478E-2</v>
      </c>
      <c r="J22" s="958">
        <f t="shared" si="22"/>
        <v>-2.7973842640647728E-2</v>
      </c>
      <c r="K22" s="958">
        <f t="shared" si="22"/>
        <v>-4.8561055048320756E-2</v>
      </c>
      <c r="L22" s="958">
        <f t="shared" si="22"/>
        <v>-5.3705210583910867E-2</v>
      </c>
      <c r="M22" s="958">
        <f t="shared" si="22"/>
        <v>-8.3706449221645718E-2</v>
      </c>
      <c r="N22" s="958">
        <f t="shared" si="22"/>
        <v>-0.1349427221539059</v>
      </c>
      <c r="O22" s="958">
        <f t="shared" si="22"/>
        <v>-0.30521472392638038</v>
      </c>
      <c r="P22" s="958">
        <f t="shared" si="22"/>
        <v>-0.12832972594626613</v>
      </c>
      <c r="Q22" s="1112">
        <f t="shared" si="22"/>
        <v>-7.5637269811134722E-2</v>
      </c>
      <c r="R22" s="958">
        <f t="shared" si="22"/>
        <v>-9.0143668559973245E-2</v>
      </c>
      <c r="S22" s="958">
        <f t="shared" si="22"/>
        <v>-7.2708578143360736E-2</v>
      </c>
      <c r="T22" s="1112">
        <f t="shared" si="22"/>
        <v>-6.153968002534449E-2</v>
      </c>
      <c r="U22" s="958">
        <f t="shared" si="22"/>
        <v>-5.2325090724955725E-2</v>
      </c>
      <c r="V22" s="958">
        <f t="shared" si="22"/>
        <v>-5.4679846825184786E-2</v>
      </c>
      <c r="W22" s="958">
        <f>W21/V21-1</f>
        <v>-6.87706076307113E-2</v>
      </c>
      <c r="X22" s="958">
        <f>X21/W21-1</f>
        <v>-0.25594334850784017</v>
      </c>
      <c r="Y22" s="958">
        <f>Y21/X21-1</f>
        <v>-7.491502379333792E-2</v>
      </c>
      <c r="Z22" s="3395"/>
      <c r="AA22" s="3360"/>
      <c r="AB22" s="3360"/>
      <c r="AC22" s="3360"/>
      <c r="AD22" s="3360"/>
      <c r="AE22" s="3360"/>
      <c r="AF22" s="3360"/>
      <c r="AG22" s="3360"/>
      <c r="AH22" s="2126"/>
      <c r="AI22" s="2159"/>
      <c r="AJ22" s="2159"/>
      <c r="AK22" s="2159"/>
      <c r="AL22" s="2159"/>
      <c r="AM22" s="2159"/>
      <c r="AN22" s="2159"/>
      <c r="AO22" s="2159"/>
      <c r="AP22" s="959"/>
      <c r="AQ22" s="958"/>
      <c r="AR22" s="958"/>
      <c r="AS22" s="958"/>
      <c r="AT22" s="959"/>
      <c r="AU22" s="958"/>
      <c r="AV22" s="958"/>
      <c r="AW22" s="958"/>
      <c r="AX22" s="959">
        <f t="shared" ref="AX22:CF22" si="23">AX21/AT21-1</f>
        <v>1.6255146150678801E-3</v>
      </c>
      <c r="AY22" s="958">
        <f t="shared" si="23"/>
        <v>9.9872067139172849E-4</v>
      </c>
      <c r="AZ22" s="958">
        <f t="shared" si="23"/>
        <v>-2.4653673619382532E-3</v>
      </c>
      <c r="BA22" s="958">
        <f t="shared" si="23"/>
        <v>-2.7005766373731088E-3</v>
      </c>
      <c r="BB22" s="959">
        <f t="shared" si="23"/>
        <v>2.3332287106174743E-3</v>
      </c>
      <c r="BC22" s="958">
        <f t="shared" si="23"/>
        <v>-8.4435796064086244E-4</v>
      </c>
      <c r="BD22" s="958">
        <f t="shared" si="23"/>
        <v>-6.2684382644553338E-3</v>
      </c>
      <c r="BE22" s="958">
        <f t="shared" si="23"/>
        <v>-1.335038405532607E-2</v>
      </c>
      <c r="BF22" s="959">
        <f t="shared" si="23"/>
        <v>2.5372904813163455E-3</v>
      </c>
      <c r="BG22" s="958">
        <f t="shared" si="23"/>
        <v>-4.4257975389495607E-3</v>
      </c>
      <c r="BH22" s="958">
        <f t="shared" si="23"/>
        <v>-9.5109043029172335E-3</v>
      </c>
      <c r="BI22" s="958">
        <f t="shared" si="23"/>
        <v>-1.3844460936100478E-2</v>
      </c>
      <c r="BJ22" s="959">
        <f t="shared" si="23"/>
        <v>-1.7307053199376199E-2</v>
      </c>
      <c r="BK22" s="958">
        <f t="shared" si="23"/>
        <v>-2.1867612293144156E-2</v>
      </c>
      <c r="BL22" s="958">
        <f t="shared" si="23"/>
        <v>-2.4883198678402718E-2</v>
      </c>
      <c r="BM22" s="958">
        <f t="shared" si="23"/>
        <v>-2.7973842640647728E-2</v>
      </c>
      <c r="BN22" s="959">
        <f t="shared" si="23"/>
        <v>-4.2377731529656626E-2</v>
      </c>
      <c r="BO22" s="958">
        <f t="shared" si="23"/>
        <v>-4.2952843819781927E-2</v>
      </c>
      <c r="BP22" s="958">
        <f t="shared" si="23"/>
        <v>-4.6615665616645097E-2</v>
      </c>
      <c r="BQ22" s="958">
        <f t="shared" si="23"/>
        <v>-4.8561055048320756E-2</v>
      </c>
      <c r="BR22" s="959">
        <f t="shared" si="23"/>
        <v>-4.0286870772323513E-2</v>
      </c>
      <c r="BS22" s="958">
        <f t="shared" si="23"/>
        <v>-4.4331594839418065E-2</v>
      </c>
      <c r="BT22" s="958">
        <f t="shared" si="23"/>
        <v>-4.7950910706352712E-2</v>
      </c>
      <c r="BU22" s="958">
        <f t="shared" si="23"/>
        <v>-5.3705210583910867E-2</v>
      </c>
      <c r="BV22" s="959">
        <f t="shared" si="23"/>
        <v>-5.9867527173913082E-2</v>
      </c>
      <c r="BW22" s="958">
        <f t="shared" si="23"/>
        <v>-6.8188998994686223E-2</v>
      </c>
      <c r="BX22" s="958">
        <f t="shared" si="23"/>
        <v>-7.757589897634809E-2</v>
      </c>
      <c r="BY22" s="958">
        <f t="shared" si="23"/>
        <v>-8.3706449221645718E-2</v>
      </c>
      <c r="BZ22" s="959">
        <f t="shared" si="23"/>
        <v>-0.12383705175684223</v>
      </c>
      <c r="CA22" s="958">
        <f t="shared" si="23"/>
        <v>-0.12878764526370945</v>
      </c>
      <c r="CB22" s="958">
        <f t="shared" si="23"/>
        <v>-0.1325998292706061</v>
      </c>
      <c r="CC22" s="958">
        <f t="shared" si="23"/>
        <v>-0.1349427221539059</v>
      </c>
      <c r="CD22" s="959">
        <f t="shared" si="23"/>
        <v>-0.10591065292096224</v>
      </c>
      <c r="CE22" s="958">
        <f t="shared" si="23"/>
        <v>-0.10427060113929876</v>
      </c>
      <c r="CF22" s="958">
        <f t="shared" si="23"/>
        <v>-0.10453799890650628</v>
      </c>
      <c r="CG22" s="961" t="s">
        <v>1090</v>
      </c>
      <c r="CH22" s="962" t="s">
        <v>1090</v>
      </c>
      <c r="CI22" s="961" t="s">
        <v>1090</v>
      </c>
      <c r="CJ22" s="961" t="s">
        <v>1090</v>
      </c>
      <c r="CK22" s="958">
        <f t="shared" ref="CK22:DU22" si="24">CK21/CG21-1</f>
        <v>-0.12832972594626613</v>
      </c>
      <c r="CL22" s="959">
        <f t="shared" si="24"/>
        <v>-9.7111111111111148E-2</v>
      </c>
      <c r="CM22" s="958">
        <f t="shared" si="24"/>
        <v>-8.8126935017661889E-2</v>
      </c>
      <c r="CN22" s="958">
        <f t="shared" si="24"/>
        <v>-7.9307526730863942E-2</v>
      </c>
      <c r="CO22" s="958">
        <f t="shared" si="24"/>
        <v>-7.5637269811134722E-2</v>
      </c>
      <c r="CP22" s="959">
        <f t="shared" si="24"/>
        <v>-0.10244892936254002</v>
      </c>
      <c r="CQ22" s="958">
        <f t="shared" si="24"/>
        <v>-9.9570381602223867E-2</v>
      </c>
      <c r="CR22" s="958">
        <f t="shared" si="24"/>
        <v>-9.5816551903338931E-2</v>
      </c>
      <c r="CS22" s="958">
        <f t="shared" si="24"/>
        <v>-9.0143668559973245E-2</v>
      </c>
      <c r="CT22" s="959">
        <f t="shared" si="24"/>
        <v>-8.6378282031946307E-2</v>
      </c>
      <c r="CU22" s="958">
        <f t="shared" si="24"/>
        <v>-8.1742913275329787E-2</v>
      </c>
      <c r="CV22" s="958">
        <f t="shared" si="24"/>
        <v>-7.9747108269272227E-2</v>
      </c>
      <c r="CW22" s="960">
        <f t="shared" si="24"/>
        <v>-7.2708578143360736E-2</v>
      </c>
      <c r="CX22" s="958">
        <f t="shared" si="24"/>
        <v>-6.7982291588504551E-2</v>
      </c>
      <c r="CY22" s="958">
        <f t="shared" si="24"/>
        <v>-6.6096125926491944E-2</v>
      </c>
      <c r="CZ22" s="958">
        <f t="shared" si="24"/>
        <v>-6.2768365992661446E-2</v>
      </c>
      <c r="DA22" s="958">
        <f t="shared" si="24"/>
        <v>-6.153968002534449E-2</v>
      </c>
      <c r="DB22" s="959">
        <f t="shared" si="24"/>
        <v>-5.6034135737863311E-2</v>
      </c>
      <c r="DC22" s="958">
        <f t="shared" si="24"/>
        <v>-5.2282768777614175E-2</v>
      </c>
      <c r="DD22" s="958">
        <f t="shared" si="24"/>
        <v>-4.864639733444398E-2</v>
      </c>
      <c r="DE22" s="958">
        <f t="shared" si="24"/>
        <v>-5.2325090724955725E-2</v>
      </c>
      <c r="DF22" s="959">
        <f t="shared" si="24"/>
        <v>-5.773987206823028E-2</v>
      </c>
      <c r="DG22" s="1112">
        <f t="shared" si="24"/>
        <v>-5.8706725373392055E-2</v>
      </c>
      <c r="DH22" s="1112">
        <f t="shared" si="24"/>
        <v>-5.9364328867875016E-2</v>
      </c>
      <c r="DI22" s="960">
        <f t="shared" si="24"/>
        <v>-5.4679846825184786E-2</v>
      </c>
      <c r="DJ22" s="959">
        <f t="shared" si="24"/>
        <v>-5.3493845039826238E-2</v>
      </c>
      <c r="DK22" s="1112">
        <f t="shared" si="24"/>
        <v>-6.0900669540493446E-2</v>
      </c>
      <c r="DL22" s="1112">
        <f t="shared" si="24"/>
        <v>-6.4414037047379691E-2</v>
      </c>
      <c r="DM22" s="960">
        <f t="shared" si="24"/>
        <v>-6.87706076307113E-2</v>
      </c>
      <c r="DN22" s="1112">
        <f t="shared" si="24"/>
        <v>-7.220043989671987E-2</v>
      </c>
      <c r="DO22" s="1112">
        <f t="shared" si="24"/>
        <v>-0.25441937689227467</v>
      </c>
      <c r="DP22" s="1112">
        <f t="shared" si="24"/>
        <v>-0.25559645806387421</v>
      </c>
      <c r="DQ22" s="960">
        <f t="shared" si="24"/>
        <v>-0.25594334850784017</v>
      </c>
      <c r="DR22" s="1112">
        <f t="shared" si="24"/>
        <v>-0.25788497217068651</v>
      </c>
      <c r="DS22" s="1112">
        <f t="shared" si="24"/>
        <v>-7.2701074141996336E-2</v>
      </c>
      <c r="DT22" s="1112">
        <f t="shared" si="24"/>
        <v>-7.110398289227482E-2</v>
      </c>
      <c r="DU22" s="960">
        <f t="shared" si="24"/>
        <v>-7.491502379333792E-2</v>
      </c>
      <c r="DV22" s="3360"/>
      <c r="DW22" s="3360"/>
      <c r="DX22" s="3360"/>
      <c r="DY22" s="3366"/>
    </row>
    <row r="23" spans="1:129" hidden="1" outlineLevel="1">
      <c r="A23" s="957" t="s">
        <v>427</v>
      </c>
      <c r="B23" s="958"/>
      <c r="C23" s="958"/>
      <c r="D23" s="958"/>
      <c r="E23" s="958"/>
      <c r="F23" s="958"/>
      <c r="G23" s="1252">
        <f t="shared" ref="G23:Q23" si="25">G21/G$52</f>
        <v>0.64602523252755939</v>
      </c>
      <c r="H23" s="1252">
        <f t="shared" si="25"/>
        <v>0.64043857348892097</v>
      </c>
      <c r="I23" s="1252">
        <f t="shared" si="25"/>
        <v>0.6464578685142004</v>
      </c>
      <c r="J23" s="1252">
        <f t="shared" si="25"/>
        <v>0.65198774629255729</v>
      </c>
      <c r="K23" s="1252">
        <f t="shared" si="25"/>
        <v>0.65547810413639629</v>
      </c>
      <c r="L23" s="1252">
        <f t="shared" si="25"/>
        <v>0.65020822086835817</v>
      </c>
      <c r="M23" s="1252">
        <f t="shared" si="25"/>
        <v>0.63832600028919051</v>
      </c>
      <c r="N23" s="1252">
        <f t="shared" si="25"/>
        <v>0.62083701054391749</v>
      </c>
      <c r="O23" s="1252">
        <f t="shared" si="25"/>
        <v>0.54170798576678525</v>
      </c>
      <c r="P23" s="1252">
        <f t="shared" si="25"/>
        <v>0.51963587076606488</v>
      </c>
      <c r="Q23" s="1253">
        <f t="shared" si="25"/>
        <v>0.54408289401926924</v>
      </c>
      <c r="R23" s="1112">
        <f t="shared" ref="R23:V23" si="26">R21/R$68</f>
        <v>0.52367216645513637</v>
      </c>
      <c r="S23" s="958">
        <f t="shared" si="26"/>
        <v>0.52309731946803661</v>
      </c>
      <c r="T23" s="1112">
        <f t="shared" si="26"/>
        <v>0.52655201528685069</v>
      </c>
      <c r="U23" s="958">
        <f t="shared" si="26"/>
        <v>0.53255869101256814</v>
      </c>
      <c r="V23" s="958">
        <f t="shared" si="26"/>
        <v>0.53624652690073249</v>
      </c>
      <c r="W23" s="958">
        <f t="shared" ref="W23:Y23" si="27">W21/W$68</f>
        <v>0.53760809267417198</v>
      </c>
      <c r="X23" s="958">
        <f t="shared" si="27"/>
        <v>0.5276562163713322</v>
      </c>
      <c r="Y23" s="958">
        <f t="shared" si="27"/>
        <v>0.53069183371031903</v>
      </c>
      <c r="Z23" s="3395"/>
      <c r="AA23" s="3360"/>
      <c r="AB23" s="3360"/>
      <c r="AC23" s="3360"/>
      <c r="AD23" s="3360"/>
      <c r="AE23" s="3360"/>
      <c r="AF23" s="3360"/>
      <c r="AG23" s="3360"/>
      <c r="AH23" s="2126"/>
      <c r="AI23" s="2159"/>
      <c r="AJ23" s="2159"/>
      <c r="AK23" s="2159"/>
      <c r="AL23" s="2159"/>
      <c r="AM23" s="2159"/>
      <c r="AN23" s="2159"/>
      <c r="AO23" s="2159"/>
      <c r="AP23" s="959"/>
      <c r="AQ23" s="958"/>
      <c r="AR23" s="958"/>
      <c r="AS23" s="958"/>
      <c r="AT23" s="959">
        <f t="shared" ref="AT23:CK23" si="28">AT21/AT$52</f>
        <v>0.65823213590095353</v>
      </c>
      <c r="AU23" s="958">
        <f t="shared" si="28"/>
        <v>0.65575503355704701</v>
      </c>
      <c r="AV23" s="958">
        <f t="shared" si="28"/>
        <v>0.65391117003646004</v>
      </c>
      <c r="AW23" s="958">
        <f t="shared" si="28"/>
        <v>0.65270199197948853</v>
      </c>
      <c r="AX23" s="959">
        <f t="shared" si="28"/>
        <v>0.64913578213308232</v>
      </c>
      <c r="AY23" s="958">
        <f t="shared" si="28"/>
        <v>0.64778324841748003</v>
      </c>
      <c r="AZ23" s="958">
        <f t="shared" si="28"/>
        <v>0.64632761006440298</v>
      </c>
      <c r="BA23" s="958">
        <f t="shared" si="28"/>
        <v>0.64602523252755939</v>
      </c>
      <c r="BB23" s="959">
        <f t="shared" si="28"/>
        <v>0.64418028727092624</v>
      </c>
      <c r="BC23" s="958">
        <f t="shared" si="28"/>
        <v>0.64298521211323667</v>
      </c>
      <c r="BD23" s="958">
        <f t="shared" si="28"/>
        <v>0.64165955771376071</v>
      </c>
      <c r="BE23" s="958">
        <f t="shared" si="28"/>
        <v>0.64043857348892097</v>
      </c>
      <c r="BF23" s="959">
        <f t="shared" si="28"/>
        <v>0.6410836324303063</v>
      </c>
      <c r="BG23" s="958">
        <f t="shared" si="28"/>
        <v>0.64219941252186541</v>
      </c>
      <c r="BH23" s="958">
        <f t="shared" si="28"/>
        <v>0.64393397935608265</v>
      </c>
      <c r="BI23" s="958">
        <f t="shared" si="28"/>
        <v>0.6464578685142004</v>
      </c>
      <c r="BJ23" s="959">
        <f t="shared" si="28"/>
        <v>0.6494888907662415</v>
      </c>
      <c r="BK23" s="958">
        <f t="shared" si="28"/>
        <v>0.65185375460227757</v>
      </c>
      <c r="BL23" s="958">
        <f t="shared" si="28"/>
        <v>0.65221594931026738</v>
      </c>
      <c r="BM23" s="958">
        <f t="shared" si="28"/>
        <v>0.65198774629255729</v>
      </c>
      <c r="BN23" s="959">
        <f t="shared" si="28"/>
        <v>0.65434798065984068</v>
      </c>
      <c r="BO23" s="958">
        <f t="shared" si="28"/>
        <v>0.65572295120326873</v>
      </c>
      <c r="BP23" s="958">
        <f t="shared" si="28"/>
        <v>0.6551818231431118</v>
      </c>
      <c r="BQ23" s="958">
        <f t="shared" si="28"/>
        <v>0.65547810413639629</v>
      </c>
      <c r="BR23" s="959">
        <f t="shared" si="28"/>
        <v>0.65566711827917079</v>
      </c>
      <c r="BS23" s="958">
        <f t="shared" si="28"/>
        <v>0.65424512346375019</v>
      </c>
      <c r="BT23" s="958">
        <f t="shared" si="28"/>
        <v>0.65246513043974652</v>
      </c>
      <c r="BU23" s="958">
        <f t="shared" si="28"/>
        <v>0.65020822086835817</v>
      </c>
      <c r="BV23" s="959">
        <f t="shared" si="28"/>
        <v>0.64975741450817748</v>
      </c>
      <c r="BW23" s="958">
        <f t="shared" si="28"/>
        <v>0.64516834715510207</v>
      </c>
      <c r="BX23" s="958">
        <f t="shared" si="28"/>
        <v>0.64170504575057319</v>
      </c>
      <c r="BY23" s="958">
        <f t="shared" si="28"/>
        <v>0.63832600028919051</v>
      </c>
      <c r="BZ23" s="959">
        <f t="shared" si="28"/>
        <v>0.63505226632913603</v>
      </c>
      <c r="CA23" s="958">
        <f t="shared" si="28"/>
        <v>0.63025153866738026</v>
      </c>
      <c r="CB23" s="958">
        <f t="shared" si="28"/>
        <v>0.62477227181635997</v>
      </c>
      <c r="CC23" s="958">
        <f t="shared" si="28"/>
        <v>0.62083701054391749</v>
      </c>
      <c r="CD23" s="959">
        <f t="shared" si="28"/>
        <v>0.61702279033367324</v>
      </c>
      <c r="CE23" s="958">
        <f t="shared" si="28"/>
        <v>0.61242954254058113</v>
      </c>
      <c r="CF23" s="958">
        <f t="shared" si="28"/>
        <v>0.60783828586980726</v>
      </c>
      <c r="CG23" s="958">
        <f t="shared" si="28"/>
        <v>0.54170798576678525</v>
      </c>
      <c r="CH23" s="959">
        <f t="shared" si="28"/>
        <v>0.53680066801860904</v>
      </c>
      <c r="CI23" s="958">
        <f t="shared" si="28"/>
        <v>0.52996211471456889</v>
      </c>
      <c r="CJ23" s="958">
        <f t="shared" si="28"/>
        <v>0.52394119128574568</v>
      </c>
      <c r="CK23" s="958">
        <f t="shared" si="28"/>
        <v>0.51963587076606488</v>
      </c>
      <c r="CL23" s="959">
        <f t="shared" ref="CL23:DE23" si="29">CL21/CL$68</f>
        <v>0.53206744147978391</v>
      </c>
      <c r="CM23" s="958">
        <f t="shared" si="29"/>
        <v>0.53119441554518909</v>
      </c>
      <c r="CN23" s="958">
        <f t="shared" si="29"/>
        <v>0.53077267868841149</v>
      </c>
      <c r="CO23" s="958">
        <f t="shared" si="29"/>
        <v>0.52836916993256366</v>
      </c>
      <c r="CP23" s="959">
        <f t="shared" si="29"/>
        <v>0.52624553555323061</v>
      </c>
      <c r="CQ23" s="958">
        <f t="shared" si="29"/>
        <v>0.52516766158154615</v>
      </c>
      <c r="CR23" s="958">
        <f t="shared" si="29"/>
        <v>0.52437462326702833</v>
      </c>
      <c r="CS23" s="958">
        <f t="shared" si="29"/>
        <v>0.52367216645513637</v>
      </c>
      <c r="CT23" s="959">
        <f t="shared" si="29"/>
        <v>0.52357193368429322</v>
      </c>
      <c r="CU23" s="958">
        <f t="shared" si="29"/>
        <v>0.52354282513901673</v>
      </c>
      <c r="CV23" s="958">
        <f t="shared" si="29"/>
        <v>0.52241119132101632</v>
      </c>
      <c r="CW23" s="960">
        <f t="shared" si="29"/>
        <v>0.52309731946803661</v>
      </c>
      <c r="CX23" s="958">
        <f t="shared" si="29"/>
        <v>0.52409282700421944</v>
      </c>
      <c r="CY23" s="958">
        <f t="shared" si="29"/>
        <v>0.52504510696795259</v>
      </c>
      <c r="CZ23" s="958">
        <f t="shared" si="29"/>
        <v>0.52545191928918455</v>
      </c>
      <c r="DA23" s="958">
        <f t="shared" si="29"/>
        <v>0.52655201528685069</v>
      </c>
      <c r="DB23" s="959">
        <f t="shared" si="29"/>
        <v>0.52836735613537023</v>
      </c>
      <c r="DC23" s="958">
        <f t="shared" si="29"/>
        <v>0.53064870808136344</v>
      </c>
      <c r="DD23" s="958">
        <f t="shared" si="29"/>
        <v>0.53227385002563266</v>
      </c>
      <c r="DE23" s="958">
        <f t="shared" si="29"/>
        <v>0.53255869101256814</v>
      </c>
      <c r="DF23" s="959">
        <f t="shared" ref="DF23:DM23" si="30">DF21/DF$68</f>
        <v>0.53287030338108332</v>
      </c>
      <c r="DG23" s="1112">
        <f t="shared" si="30"/>
        <v>0.53469667990780245</v>
      </c>
      <c r="DH23" s="1112">
        <f t="shared" si="30"/>
        <v>0.53477027228831697</v>
      </c>
      <c r="DI23" s="960">
        <f t="shared" si="30"/>
        <v>0.53624652690073249</v>
      </c>
      <c r="DJ23" s="959">
        <f t="shared" si="30"/>
        <v>0.53694480102695763</v>
      </c>
      <c r="DK23" s="1112">
        <f t="shared" si="30"/>
        <v>0.53666334713559416</v>
      </c>
      <c r="DL23" s="1112">
        <f t="shared" si="30"/>
        <v>0.53633938100320167</v>
      </c>
      <c r="DM23" s="960">
        <f t="shared" si="30"/>
        <v>0.53760809267417198</v>
      </c>
      <c r="DN23" s="1112">
        <f t="shared" ref="DN23:DO23" si="31">DN21/DN$68</f>
        <v>0.53789432832510953</v>
      </c>
      <c r="DO23" s="1112">
        <f t="shared" si="31"/>
        <v>0.52735562310030393</v>
      </c>
      <c r="DP23" s="1112">
        <f t="shared" ref="DP23:DQ23" si="32">DP21/DP$68</f>
        <v>0.52712413695927862</v>
      </c>
      <c r="DQ23" s="960">
        <f t="shared" si="32"/>
        <v>0.5276562163713322</v>
      </c>
      <c r="DR23" s="1112">
        <f t="shared" ref="DR23:DS23" si="33">DR21/DR$68</f>
        <v>0.52809153586621682</v>
      </c>
      <c r="DS23" s="1112">
        <f t="shared" si="33"/>
        <v>0.53018274415817856</v>
      </c>
      <c r="DT23" s="1112">
        <f t="shared" ref="DT23:DU23" si="34">DT21/DT$68</f>
        <v>0.53053435114503822</v>
      </c>
      <c r="DU23" s="960">
        <f t="shared" si="34"/>
        <v>0.53069183371031903</v>
      </c>
      <c r="DV23" s="3360"/>
      <c r="DW23" s="3360"/>
      <c r="DX23" s="3360"/>
      <c r="DY23" s="3366"/>
    </row>
    <row r="24" spans="1:129" hidden="1" outlineLevel="1">
      <c r="A24" s="963" t="s">
        <v>419</v>
      </c>
      <c r="B24" s="964"/>
      <c r="C24" s="964"/>
      <c r="D24" s="964"/>
      <c r="E24" s="964"/>
      <c r="F24" s="964"/>
      <c r="G24" s="964"/>
      <c r="H24" s="964"/>
      <c r="I24" s="964">
        <f t="shared" ref="I24:V24" si="35">I21-H21</f>
        <v>-541</v>
      </c>
      <c r="J24" s="964">
        <f t="shared" si="35"/>
        <v>-1078</v>
      </c>
      <c r="K24" s="964">
        <f t="shared" si="35"/>
        <v>-1819</v>
      </c>
      <c r="L24" s="964">
        <f t="shared" si="35"/>
        <v>-1914</v>
      </c>
      <c r="M24" s="964">
        <f t="shared" si="35"/>
        <v>-2823</v>
      </c>
      <c r="N24" s="964">
        <f t="shared" si="35"/>
        <v>-4170</v>
      </c>
      <c r="O24" s="964">
        <f t="shared" si="35"/>
        <v>-8159</v>
      </c>
      <c r="P24" s="964">
        <f t="shared" si="35"/>
        <v>-2383.4680000000008</v>
      </c>
      <c r="Q24" s="1055">
        <f t="shared" si="35"/>
        <v>-1224.5319999999992</v>
      </c>
      <c r="R24" s="964">
        <f t="shared" si="35"/>
        <v>-1349</v>
      </c>
      <c r="S24" s="964">
        <f t="shared" si="35"/>
        <v>-990</v>
      </c>
      <c r="T24" s="1055">
        <f t="shared" si="35"/>
        <v>-777</v>
      </c>
      <c r="U24" s="964">
        <f t="shared" si="35"/>
        <v>-620</v>
      </c>
      <c r="V24" s="964">
        <f t="shared" si="35"/>
        <v>-614</v>
      </c>
      <c r="W24" s="964">
        <f>W21-V21</f>
        <v>-730</v>
      </c>
      <c r="X24" s="964">
        <f>X21-W21</f>
        <v>-2530</v>
      </c>
      <c r="Y24" s="964">
        <f>Y21-X21</f>
        <v>-551</v>
      </c>
      <c r="Z24" s="3394"/>
      <c r="AA24" s="3363"/>
      <c r="AB24" s="3363"/>
      <c r="AC24" s="3363"/>
      <c r="AD24" s="3363"/>
      <c r="AE24" s="3363"/>
      <c r="AF24" s="3363"/>
      <c r="AG24" s="3363"/>
      <c r="AH24" s="2126"/>
      <c r="AI24" s="2160"/>
      <c r="AJ24" s="2160"/>
      <c r="AK24" s="2160"/>
      <c r="AL24" s="2160"/>
      <c r="AM24" s="2160"/>
      <c r="AN24" s="2160"/>
      <c r="AO24" s="2160"/>
      <c r="AP24" s="965"/>
      <c r="AQ24" s="964"/>
      <c r="AR24" s="964"/>
      <c r="AS24" s="964"/>
      <c r="AT24" s="965"/>
      <c r="AU24" s="964"/>
      <c r="AV24" s="964"/>
      <c r="AW24" s="964"/>
      <c r="AX24" s="965"/>
      <c r="AY24" s="964"/>
      <c r="AZ24" s="964"/>
      <c r="BA24" s="964"/>
      <c r="BB24" s="965">
        <f t="shared" ref="BB24:CG24" si="36">BB21-BA21</f>
        <v>-587.75200000000041</v>
      </c>
      <c r="BC24" s="964">
        <f t="shared" si="36"/>
        <v>71</v>
      </c>
      <c r="BD24" s="964">
        <f t="shared" si="36"/>
        <v>24</v>
      </c>
      <c r="BE24" s="964">
        <f t="shared" si="36"/>
        <v>-36</v>
      </c>
      <c r="BF24" s="965">
        <f t="shared" si="36"/>
        <v>40</v>
      </c>
      <c r="BG24" s="964">
        <f t="shared" si="36"/>
        <v>-201</v>
      </c>
      <c r="BH24" s="964">
        <f t="shared" si="36"/>
        <v>-175</v>
      </c>
      <c r="BI24" s="964">
        <f t="shared" si="36"/>
        <v>-205</v>
      </c>
      <c r="BJ24" s="965">
        <f t="shared" si="36"/>
        <v>-96</v>
      </c>
      <c r="BK24" s="964">
        <f t="shared" si="36"/>
        <v>-375</v>
      </c>
      <c r="BL24" s="964">
        <f t="shared" si="36"/>
        <v>-288</v>
      </c>
      <c r="BM24" s="964">
        <f t="shared" si="36"/>
        <v>-319</v>
      </c>
      <c r="BN24" s="965">
        <f t="shared" si="36"/>
        <v>-647</v>
      </c>
      <c r="BO24" s="964">
        <f t="shared" si="36"/>
        <v>-381</v>
      </c>
      <c r="BP24" s="964">
        <f t="shared" si="36"/>
        <v>-414</v>
      </c>
      <c r="BQ24" s="964">
        <f t="shared" si="36"/>
        <v>-377</v>
      </c>
      <c r="BR24" s="965">
        <f t="shared" si="36"/>
        <v>-311</v>
      </c>
      <c r="BS24" s="964">
        <f t="shared" si="36"/>
        <v>-513</v>
      </c>
      <c r="BT24" s="964">
        <f t="shared" si="36"/>
        <v>-526</v>
      </c>
      <c r="BU24" s="964">
        <f t="shared" si="36"/>
        <v>-564</v>
      </c>
      <c r="BV24" s="965">
        <f t="shared" si="36"/>
        <v>-512</v>
      </c>
      <c r="BW24" s="964">
        <f t="shared" si="36"/>
        <v>-772</v>
      </c>
      <c r="BX24" s="964">
        <f t="shared" si="36"/>
        <v>-812</v>
      </c>
      <c r="BY24" s="964">
        <f t="shared" si="36"/>
        <v>-727</v>
      </c>
      <c r="BZ24" s="965">
        <f t="shared" si="36"/>
        <v>-1802</v>
      </c>
      <c r="CA24" s="964">
        <f t="shared" si="36"/>
        <v>-837</v>
      </c>
      <c r="CB24" s="964">
        <f t="shared" si="36"/>
        <v>-828</v>
      </c>
      <c r="CC24" s="964">
        <f t="shared" si="36"/>
        <v>-703</v>
      </c>
      <c r="CD24" s="965">
        <f t="shared" si="36"/>
        <v>-714</v>
      </c>
      <c r="CE24" s="964">
        <f t="shared" si="36"/>
        <v>-702</v>
      </c>
      <c r="CF24" s="964">
        <f t="shared" si="36"/>
        <v>-749</v>
      </c>
      <c r="CG24" s="964">
        <f t="shared" si="36"/>
        <v>-5994</v>
      </c>
      <c r="CH24" s="965">
        <f t="shared" ref="CH24:DU24" si="37">CH21-CG21</f>
        <v>-573</v>
      </c>
      <c r="CI24" s="964">
        <f t="shared" si="37"/>
        <v>-642.32094594594673</v>
      </c>
      <c r="CJ24" s="964">
        <f t="shared" si="37"/>
        <v>-637.65532524049195</v>
      </c>
      <c r="CK24" s="964">
        <f t="shared" si="37"/>
        <v>-530.49172881356208</v>
      </c>
      <c r="CL24" s="965">
        <f t="shared" si="37"/>
        <v>62.468000000000757</v>
      </c>
      <c r="CM24" s="964">
        <f t="shared" si="37"/>
        <v>-424</v>
      </c>
      <c r="CN24" s="964">
        <f t="shared" si="37"/>
        <v>-434</v>
      </c>
      <c r="CO24" s="964">
        <f t="shared" si="37"/>
        <v>-429</v>
      </c>
      <c r="CP24" s="965">
        <f t="shared" si="37"/>
        <v>-378</v>
      </c>
      <c r="CQ24" s="964">
        <f t="shared" si="37"/>
        <v>-335</v>
      </c>
      <c r="CR24" s="964">
        <f t="shared" si="37"/>
        <v>-333</v>
      </c>
      <c r="CS24" s="964">
        <f t="shared" si="37"/>
        <v>-303</v>
      </c>
      <c r="CT24" s="965">
        <f t="shared" si="37"/>
        <v>-289</v>
      </c>
      <c r="CU24" s="964">
        <f t="shared" si="37"/>
        <v>-240</v>
      </c>
      <c r="CV24" s="964">
        <f t="shared" si="37"/>
        <v>-278</v>
      </c>
      <c r="CW24" s="966">
        <f t="shared" si="37"/>
        <v>-183</v>
      </c>
      <c r="CX24" s="964">
        <f t="shared" si="37"/>
        <v>-205</v>
      </c>
      <c r="CY24" s="964">
        <f t="shared" si="37"/>
        <v>-199</v>
      </c>
      <c r="CZ24" s="964">
        <f t="shared" si="37"/>
        <v>-217</v>
      </c>
      <c r="DA24" s="964">
        <f t="shared" si="37"/>
        <v>-156</v>
      </c>
      <c r="DB24" s="965">
        <f t="shared" si="37"/>
        <v>-124</v>
      </c>
      <c r="DC24" s="964">
        <f t="shared" si="37"/>
        <v>-142</v>
      </c>
      <c r="DD24" s="964">
        <f t="shared" si="37"/>
        <v>-162</v>
      </c>
      <c r="DE24" s="964">
        <f t="shared" si="37"/>
        <v>-192</v>
      </c>
      <c r="DF24" s="965">
        <f t="shared" si="37"/>
        <v>-181</v>
      </c>
      <c r="DG24" s="1055">
        <f t="shared" si="37"/>
        <v>-145</v>
      </c>
      <c r="DH24" s="1055">
        <f t="shared" si="37"/>
        <v>-160</v>
      </c>
      <c r="DI24" s="966">
        <f t="shared" si="37"/>
        <v>-128</v>
      </c>
      <c r="DJ24" s="965">
        <f t="shared" si="37"/>
        <v>-158</v>
      </c>
      <c r="DK24" s="1055">
        <f t="shared" si="37"/>
        <v>-218</v>
      </c>
      <c r="DL24" s="1055">
        <f t="shared" si="37"/>
        <v>-188</v>
      </c>
      <c r="DM24" s="966">
        <f t="shared" si="37"/>
        <v>-166</v>
      </c>
      <c r="DN24" s="1055">
        <f t="shared" si="37"/>
        <v>-183</v>
      </c>
      <c r="DO24" s="1055">
        <f t="shared" si="37"/>
        <v>-2068</v>
      </c>
      <c r="DP24" s="1055">
        <f t="shared" si="37"/>
        <v>-152</v>
      </c>
      <c r="DQ24" s="966">
        <f t="shared" si="37"/>
        <v>-127</v>
      </c>
      <c r="DR24" s="1055">
        <f t="shared" si="37"/>
        <v>-155</v>
      </c>
      <c r="DS24" s="1055">
        <f t="shared" si="37"/>
        <v>-121</v>
      </c>
      <c r="DT24" s="1055">
        <f t="shared" si="37"/>
        <v>-129</v>
      </c>
      <c r="DU24" s="966">
        <f t="shared" si="37"/>
        <v>-146</v>
      </c>
      <c r="DV24" s="3363"/>
      <c r="DW24" s="3363"/>
      <c r="DX24" s="3363"/>
      <c r="DY24" s="3364"/>
    </row>
    <row r="25" spans="1:129" hidden="1" outlineLevel="1">
      <c r="A25" s="381" t="s">
        <v>428</v>
      </c>
      <c r="B25" s="109"/>
      <c r="C25" s="109"/>
      <c r="D25" s="109"/>
      <c r="E25" s="109"/>
      <c r="F25" s="109"/>
      <c r="G25" s="109"/>
      <c r="H25" s="109"/>
      <c r="I25" s="109"/>
      <c r="J25" s="109"/>
      <c r="K25" s="109"/>
      <c r="L25" s="109"/>
      <c r="M25" s="109"/>
      <c r="N25" s="109"/>
      <c r="O25" s="109"/>
      <c r="P25" s="109"/>
      <c r="Q25" s="1044">
        <f>CO25</f>
        <v>13358</v>
      </c>
      <c r="R25" s="109">
        <f>+CS25</f>
        <v>12385</v>
      </c>
      <c r="S25" s="109">
        <f>+CW25</f>
        <v>11511</v>
      </c>
      <c r="T25" s="1044">
        <f>+DA25</f>
        <v>10654</v>
      </c>
      <c r="U25" s="109">
        <f>+DE25</f>
        <v>9856</v>
      </c>
      <c r="V25" s="109">
        <f>+DI25</f>
        <v>9180</v>
      </c>
      <c r="W25" s="109">
        <f>+DM25</f>
        <v>8502</v>
      </c>
      <c r="X25" s="109">
        <f>+DQ25</f>
        <v>6584</v>
      </c>
      <c r="Y25" s="109">
        <f>+DU25</f>
        <v>6017</v>
      </c>
      <c r="Z25" s="3394"/>
      <c r="AA25" s="3363"/>
      <c r="AB25" s="3363"/>
      <c r="AC25" s="3363"/>
      <c r="AD25" s="3363"/>
      <c r="AE25" s="3363"/>
      <c r="AF25" s="3363"/>
      <c r="AG25" s="3363"/>
      <c r="AH25" s="2126"/>
      <c r="AI25" s="2160"/>
      <c r="AJ25" s="2160"/>
      <c r="AK25" s="2160"/>
      <c r="AL25" s="2160"/>
      <c r="AM25" s="2160"/>
      <c r="AN25" s="2160"/>
      <c r="AO25" s="2160"/>
      <c r="AP25" s="171"/>
      <c r="AQ25" s="109"/>
      <c r="AR25" s="109"/>
      <c r="AS25" s="109"/>
      <c r="AT25" s="171"/>
      <c r="AU25" s="109"/>
      <c r="AV25" s="109"/>
      <c r="AW25" s="109"/>
      <c r="AX25" s="171"/>
      <c r="AY25" s="109"/>
      <c r="AZ25" s="109"/>
      <c r="BA25" s="109"/>
      <c r="BB25" s="171"/>
      <c r="BC25" s="109"/>
      <c r="BD25" s="109"/>
      <c r="BE25" s="109"/>
      <c r="BF25" s="171"/>
      <c r="BG25" s="109"/>
      <c r="BH25" s="109"/>
      <c r="BI25" s="109"/>
      <c r="BJ25" s="171"/>
      <c r="BK25" s="109"/>
      <c r="BL25" s="109"/>
      <c r="BM25" s="109"/>
      <c r="BN25" s="171"/>
      <c r="BO25" s="109"/>
      <c r="BP25" s="109"/>
      <c r="BQ25" s="109"/>
      <c r="BR25" s="171"/>
      <c r="BS25" s="109"/>
      <c r="BT25" s="109"/>
      <c r="BU25" s="109"/>
      <c r="BV25" s="171"/>
      <c r="BW25" s="109"/>
      <c r="BX25" s="109"/>
      <c r="BY25" s="109"/>
      <c r="BZ25" s="171"/>
      <c r="CA25" s="109"/>
      <c r="CB25" s="109"/>
      <c r="CC25" s="109"/>
      <c r="CD25" s="171"/>
      <c r="CE25" s="109"/>
      <c r="CF25" s="109"/>
      <c r="CG25" s="109"/>
      <c r="CH25" s="171"/>
      <c r="CI25" s="109"/>
      <c r="CJ25" s="109"/>
      <c r="CK25" s="109"/>
      <c r="CL25" s="171">
        <f>+NormInputs!CB220</f>
        <v>14293</v>
      </c>
      <c r="CM25" s="109">
        <f>+NormInputs!CC220</f>
        <v>13969</v>
      </c>
      <c r="CN25" s="109">
        <f>+NormInputs!CD220</f>
        <v>13609</v>
      </c>
      <c r="CO25" s="109">
        <f>+NormInputs!CE220</f>
        <v>13358</v>
      </c>
      <c r="CP25" s="171">
        <f>+NormInputs!CF220</f>
        <v>13132</v>
      </c>
      <c r="CQ25" s="109">
        <f>+NormInputs!CG220</f>
        <v>12886</v>
      </c>
      <c r="CR25" s="109">
        <f>+NormInputs!CH220</f>
        <v>12625</v>
      </c>
      <c r="CS25" s="109">
        <f>+NormInputs!CI220</f>
        <v>12385</v>
      </c>
      <c r="CT25" s="171">
        <f>+NormInputs!CJ220</f>
        <v>12127</v>
      </c>
      <c r="CU25" s="109">
        <f>+NormInputs!CK220</f>
        <v>11910</v>
      </c>
      <c r="CV25" s="109">
        <f>+NormInputs!CL220</f>
        <v>11710</v>
      </c>
      <c r="CW25" s="172">
        <f>+NormInputs!CM220</f>
        <v>11511</v>
      </c>
      <c r="CX25" s="109">
        <f>+NormInputs!CN220</f>
        <v>11279</v>
      </c>
      <c r="CY25" s="109">
        <f>+NormInputs!CO220</f>
        <v>11056</v>
      </c>
      <c r="CZ25" s="109">
        <f>+NormInputs!CP220</f>
        <v>10842</v>
      </c>
      <c r="DA25" s="109">
        <f>+NormInputs!CQ220</f>
        <v>10654</v>
      </c>
      <c r="DB25" s="171">
        <f>+NormInputs!CR220</f>
        <v>10466</v>
      </c>
      <c r="DC25" s="109">
        <f>+NormInputs!CS220</f>
        <v>10245</v>
      </c>
      <c r="DD25" s="109">
        <f>+NormInputs!CT220</f>
        <v>10036</v>
      </c>
      <c r="DE25" s="109">
        <f>+NormInputs!CU220</f>
        <v>9856</v>
      </c>
      <c r="DF25" s="171">
        <f>+NormInputs!CV220</f>
        <v>9685</v>
      </c>
      <c r="DG25" s="1044">
        <f>+NormInputs!CW220</f>
        <v>9488</v>
      </c>
      <c r="DH25" s="1044">
        <f>+NormInputs!CX220</f>
        <v>9346</v>
      </c>
      <c r="DI25" s="172">
        <f>+NormInputs!CY220</f>
        <v>9180</v>
      </c>
      <c r="DJ25" s="171">
        <f>+NormInputs!CZ220</f>
        <v>9018</v>
      </c>
      <c r="DK25" s="1044">
        <f>+NormInputs!DA220</f>
        <v>8840</v>
      </c>
      <c r="DL25" s="2151">
        <f>+NormInputs!DB220</f>
        <v>8689</v>
      </c>
      <c r="DM25" s="2473">
        <f>+NormInputs!DC220</f>
        <v>8502</v>
      </c>
      <c r="DN25" s="2151">
        <f>+NormInputs!DD220</f>
        <v>8335</v>
      </c>
      <c r="DO25" s="2151">
        <f>+NormInputs!DE220</f>
        <v>6842</v>
      </c>
      <c r="DP25" s="2151">
        <f>+NormInputs!DF220</f>
        <v>6712</v>
      </c>
      <c r="DQ25" s="2473">
        <f>+NormInputs!DG220</f>
        <v>6584</v>
      </c>
      <c r="DR25" s="2151">
        <f>+NormInputs!DH220</f>
        <v>6434</v>
      </c>
      <c r="DS25" s="2151">
        <f>+NormInputs!DI220</f>
        <v>6273</v>
      </c>
      <c r="DT25" s="2151">
        <f>+NormInputs!DJ220</f>
        <v>6150</v>
      </c>
      <c r="DU25" s="2473">
        <f>+NormInputs!DK220</f>
        <v>6017</v>
      </c>
      <c r="DV25" s="3329"/>
      <c r="DW25" s="3363"/>
      <c r="DX25" s="3363"/>
      <c r="DY25" s="3364"/>
    </row>
    <row r="26" spans="1:129" hidden="1" outlineLevel="1">
      <c r="A26" s="147" t="s">
        <v>418</v>
      </c>
      <c r="B26" s="94"/>
      <c r="C26" s="94"/>
      <c r="D26" s="94"/>
      <c r="E26" s="94"/>
      <c r="F26" s="94"/>
      <c r="G26" s="94"/>
      <c r="H26" s="94"/>
      <c r="I26" s="94"/>
      <c r="J26" s="94"/>
      <c r="K26" s="94"/>
      <c r="L26" s="94"/>
      <c r="M26" s="94"/>
      <c r="N26" s="94"/>
      <c r="O26" s="94"/>
      <c r="P26" s="94"/>
      <c r="Q26" s="1045"/>
      <c r="R26" s="94">
        <f t="shared" ref="R26:Y26" si="38">R25/Q25-1</f>
        <v>-7.2840245545740423E-2</v>
      </c>
      <c r="S26" s="94">
        <f t="shared" si="38"/>
        <v>-7.0569236980217998E-2</v>
      </c>
      <c r="T26" s="1045">
        <f t="shared" si="38"/>
        <v>-7.4450525584223826E-2</v>
      </c>
      <c r="U26" s="94">
        <f t="shared" si="38"/>
        <v>-7.4901445466491468E-2</v>
      </c>
      <c r="V26" s="94">
        <f t="shared" si="38"/>
        <v>-6.8587662337662336E-2</v>
      </c>
      <c r="W26" s="94">
        <f t="shared" si="38"/>
        <v>-7.3856209150326757E-2</v>
      </c>
      <c r="X26" s="94">
        <f t="shared" si="38"/>
        <v>-0.22559397788755586</v>
      </c>
      <c r="Y26" s="94">
        <f t="shared" si="38"/>
        <v>-8.6117861482381541E-2</v>
      </c>
      <c r="Z26" s="3395"/>
      <c r="AA26" s="3370"/>
      <c r="AB26" s="3370"/>
      <c r="AC26" s="3370"/>
      <c r="AD26" s="3370"/>
      <c r="AE26" s="3370"/>
      <c r="AF26" s="3370"/>
      <c r="AG26" s="3370"/>
      <c r="AH26" s="2126"/>
      <c r="AI26" s="2159"/>
      <c r="AJ26" s="2159"/>
      <c r="AK26" s="2159"/>
      <c r="AL26" s="2159"/>
      <c r="AM26" s="2159"/>
      <c r="AN26" s="2159"/>
      <c r="AO26" s="2159"/>
      <c r="AP26" s="147"/>
      <c r="AQ26" s="94"/>
      <c r="AR26" s="94"/>
      <c r="AS26" s="94"/>
      <c r="AT26" s="147"/>
      <c r="AU26" s="94"/>
      <c r="AV26" s="94"/>
      <c r="AW26" s="94"/>
      <c r="AX26" s="147"/>
      <c r="AY26" s="94"/>
      <c r="AZ26" s="94"/>
      <c r="BA26" s="94"/>
      <c r="BB26" s="147"/>
      <c r="BC26" s="94"/>
      <c r="BD26" s="94"/>
      <c r="BE26" s="94"/>
      <c r="BF26" s="147"/>
      <c r="BG26" s="94"/>
      <c r="BH26" s="94"/>
      <c r="BI26" s="94"/>
      <c r="BJ26" s="147"/>
      <c r="BK26" s="94"/>
      <c r="BL26" s="94"/>
      <c r="BM26" s="94"/>
      <c r="BN26" s="147"/>
      <c r="BO26" s="94"/>
      <c r="BP26" s="94"/>
      <c r="BQ26" s="94"/>
      <c r="BR26" s="147"/>
      <c r="BS26" s="94"/>
      <c r="BT26" s="94"/>
      <c r="BU26" s="94"/>
      <c r="BV26" s="147"/>
      <c r="BW26" s="94"/>
      <c r="BX26" s="94"/>
      <c r="BY26" s="94"/>
      <c r="BZ26" s="147"/>
      <c r="CA26" s="94"/>
      <c r="CB26" s="94"/>
      <c r="CC26" s="94"/>
      <c r="CD26" s="147"/>
      <c r="CE26" s="94"/>
      <c r="CF26" s="94"/>
      <c r="CG26" s="94"/>
      <c r="CH26" s="147"/>
      <c r="CI26" s="94"/>
      <c r="CJ26" s="94"/>
      <c r="CK26" s="94"/>
      <c r="CL26" s="147"/>
      <c r="CM26" s="94"/>
      <c r="CN26" s="94"/>
      <c r="CO26" s="94"/>
      <c r="CP26" s="147">
        <f t="shared" ref="CP26:DU26" si="39">CP25/CL25-1</f>
        <v>-8.1228573427551964E-2</v>
      </c>
      <c r="CQ26" s="94">
        <f t="shared" si="39"/>
        <v>-7.7528813801990171E-2</v>
      </c>
      <c r="CR26" s="94">
        <f t="shared" si="39"/>
        <v>-7.2305092218384881E-2</v>
      </c>
      <c r="CS26" s="94">
        <f t="shared" si="39"/>
        <v>-7.2840245545740423E-2</v>
      </c>
      <c r="CT26" s="147">
        <f t="shared" si="39"/>
        <v>-7.6530612244897989E-2</v>
      </c>
      <c r="CU26" s="94">
        <f t="shared" si="39"/>
        <v>-7.5741114387707587E-2</v>
      </c>
      <c r="CV26" s="94">
        <f t="shared" si="39"/>
        <v>-7.2475247524752429E-2</v>
      </c>
      <c r="CW26" s="101">
        <f t="shared" si="39"/>
        <v>-7.0569236980217998E-2</v>
      </c>
      <c r="CX26" s="94">
        <f t="shared" si="39"/>
        <v>-6.9926610043704152E-2</v>
      </c>
      <c r="CY26" s="94">
        <f t="shared" si="39"/>
        <v>-7.170445004198156E-2</v>
      </c>
      <c r="CZ26" s="94">
        <f t="shared" si="39"/>
        <v>-7.4124679760888101E-2</v>
      </c>
      <c r="DA26" s="94">
        <f t="shared" si="39"/>
        <v>-7.4450525584223826E-2</v>
      </c>
      <c r="DB26" s="147">
        <f t="shared" si="39"/>
        <v>-7.2080858232112743E-2</v>
      </c>
      <c r="DC26" s="94">
        <f t="shared" si="39"/>
        <v>-7.335383502170767E-2</v>
      </c>
      <c r="DD26" s="94">
        <f t="shared" si="39"/>
        <v>-7.4340527577937632E-2</v>
      </c>
      <c r="DE26" s="94">
        <f t="shared" si="39"/>
        <v>-7.4901445466491468E-2</v>
      </c>
      <c r="DF26" s="147">
        <f t="shared" si="39"/>
        <v>-7.4622587425950737E-2</v>
      </c>
      <c r="DG26" s="1045">
        <f t="shared" si="39"/>
        <v>-7.3889702293801873E-2</v>
      </c>
      <c r="DH26" s="1045">
        <f t="shared" si="39"/>
        <v>-6.8752491032283758E-2</v>
      </c>
      <c r="DI26" s="101">
        <f t="shared" si="39"/>
        <v>-6.8587662337662336E-2</v>
      </c>
      <c r="DJ26" s="147">
        <f t="shared" si="39"/>
        <v>-6.886938564790912E-2</v>
      </c>
      <c r="DK26" s="1045">
        <f t="shared" si="39"/>
        <v>-6.8296795952782485E-2</v>
      </c>
      <c r="DL26" s="1045">
        <f t="shared" si="39"/>
        <v>-7.0297453456024006E-2</v>
      </c>
      <c r="DM26" s="101">
        <f t="shared" si="39"/>
        <v>-7.3856209150326757E-2</v>
      </c>
      <c r="DN26" s="1045">
        <f t="shared" si="39"/>
        <v>-7.5737414060767394E-2</v>
      </c>
      <c r="DO26" s="1045">
        <f t="shared" si="39"/>
        <v>-0.22601809954751129</v>
      </c>
      <c r="DP26" s="1045">
        <f t="shared" si="39"/>
        <v>-0.22752905973069393</v>
      </c>
      <c r="DQ26" s="101">
        <f t="shared" si="39"/>
        <v>-0.22559397788755586</v>
      </c>
      <c r="DR26" s="1045">
        <f t="shared" si="39"/>
        <v>-0.2280743851229754</v>
      </c>
      <c r="DS26" s="1045">
        <f t="shared" si="39"/>
        <v>-8.3162817889505969E-2</v>
      </c>
      <c r="DT26" s="1045">
        <f t="shared" si="39"/>
        <v>-8.3730631704409975E-2</v>
      </c>
      <c r="DU26" s="101">
        <f t="shared" si="39"/>
        <v>-8.6117861482381541E-2</v>
      </c>
      <c r="DV26" s="3360"/>
      <c r="DW26" s="3370"/>
      <c r="DX26" s="3370"/>
      <c r="DY26" s="3371"/>
    </row>
    <row r="27" spans="1:129" hidden="1" outlineLevel="1">
      <c r="A27" s="699" t="s">
        <v>419</v>
      </c>
      <c r="B27" s="109"/>
      <c r="C27" s="109"/>
      <c r="D27" s="109"/>
      <c r="E27" s="109"/>
      <c r="F27" s="109"/>
      <c r="G27" s="109"/>
      <c r="H27" s="109"/>
      <c r="I27" s="109"/>
      <c r="J27" s="109"/>
      <c r="K27" s="109"/>
      <c r="L27" s="109"/>
      <c r="M27" s="109"/>
      <c r="N27" s="109"/>
      <c r="O27" s="109"/>
      <c r="P27" s="109"/>
      <c r="Q27" s="1044"/>
      <c r="R27" s="109">
        <f t="shared" ref="R27:V27" si="40">+R25-Q25</f>
        <v>-973</v>
      </c>
      <c r="S27" s="109">
        <f t="shared" si="40"/>
        <v>-874</v>
      </c>
      <c r="T27" s="1044">
        <f t="shared" si="40"/>
        <v>-857</v>
      </c>
      <c r="U27" s="109">
        <f t="shared" si="40"/>
        <v>-798</v>
      </c>
      <c r="V27" s="109">
        <f t="shared" si="40"/>
        <v>-676</v>
      </c>
      <c r="W27" s="109">
        <f>+W25-V25</f>
        <v>-678</v>
      </c>
      <c r="X27" s="109">
        <f>+X25-W25</f>
        <v>-1918</v>
      </c>
      <c r="Y27" s="109">
        <f>+Y25-X25</f>
        <v>-567</v>
      </c>
      <c r="Z27" s="3394"/>
      <c r="AA27" s="3363"/>
      <c r="AB27" s="3363"/>
      <c r="AC27" s="3363"/>
      <c r="AD27" s="3363"/>
      <c r="AE27" s="3363"/>
      <c r="AF27" s="3363"/>
      <c r="AG27" s="3363"/>
      <c r="AH27" s="2126"/>
      <c r="AI27" s="2160"/>
      <c r="AJ27" s="2160"/>
      <c r="AK27" s="2160"/>
      <c r="AL27" s="2160"/>
      <c r="AM27" s="2160"/>
      <c r="AN27" s="2160"/>
      <c r="AO27" s="2160"/>
      <c r="AP27" s="171"/>
      <c r="AQ27" s="109"/>
      <c r="AR27" s="109"/>
      <c r="AS27" s="109"/>
      <c r="AT27" s="171"/>
      <c r="AU27" s="109"/>
      <c r="AV27" s="109"/>
      <c r="AW27" s="109"/>
      <c r="AX27" s="171"/>
      <c r="AY27" s="109"/>
      <c r="AZ27" s="109"/>
      <c r="BA27" s="109"/>
      <c r="BB27" s="171"/>
      <c r="BC27" s="109"/>
      <c r="BD27" s="109"/>
      <c r="BE27" s="109"/>
      <c r="BF27" s="171"/>
      <c r="BG27" s="109"/>
      <c r="BH27" s="109"/>
      <c r="BI27" s="109"/>
      <c r="BJ27" s="171"/>
      <c r="BK27" s="109"/>
      <c r="BL27" s="109"/>
      <c r="BM27" s="109"/>
      <c r="BN27" s="171"/>
      <c r="BO27" s="109"/>
      <c r="BP27" s="109"/>
      <c r="BQ27" s="109"/>
      <c r="BR27" s="171"/>
      <c r="BS27" s="109"/>
      <c r="BT27" s="109"/>
      <c r="BU27" s="109"/>
      <c r="BV27" s="171"/>
      <c r="BW27" s="109"/>
      <c r="BX27" s="109"/>
      <c r="BY27" s="109"/>
      <c r="BZ27" s="171"/>
      <c r="CA27" s="109"/>
      <c r="CB27" s="109"/>
      <c r="CC27" s="109"/>
      <c r="CD27" s="171"/>
      <c r="CE27" s="109"/>
      <c r="CF27" s="109"/>
      <c r="CG27" s="109"/>
      <c r="CH27" s="171"/>
      <c r="CI27" s="109"/>
      <c r="CJ27" s="109"/>
      <c r="CK27" s="109"/>
      <c r="CL27" s="171"/>
      <c r="CM27" s="109">
        <f t="shared" ref="CM27:DU27" si="41">+CM25-CL25</f>
        <v>-324</v>
      </c>
      <c r="CN27" s="109">
        <f t="shared" si="41"/>
        <v>-360</v>
      </c>
      <c r="CO27" s="109">
        <f t="shared" si="41"/>
        <v>-251</v>
      </c>
      <c r="CP27" s="171">
        <f t="shared" si="41"/>
        <v>-226</v>
      </c>
      <c r="CQ27" s="109">
        <f t="shared" si="41"/>
        <v>-246</v>
      </c>
      <c r="CR27" s="109">
        <f t="shared" si="41"/>
        <v>-261</v>
      </c>
      <c r="CS27" s="109">
        <f t="shared" si="41"/>
        <v>-240</v>
      </c>
      <c r="CT27" s="171">
        <f t="shared" si="41"/>
        <v>-258</v>
      </c>
      <c r="CU27" s="109">
        <f t="shared" si="41"/>
        <v>-217</v>
      </c>
      <c r="CV27" s="109">
        <f t="shared" si="41"/>
        <v>-200</v>
      </c>
      <c r="CW27" s="172">
        <f t="shared" si="41"/>
        <v>-199</v>
      </c>
      <c r="CX27" s="109">
        <f t="shared" si="41"/>
        <v>-232</v>
      </c>
      <c r="CY27" s="109">
        <f t="shared" si="41"/>
        <v>-223</v>
      </c>
      <c r="CZ27" s="109">
        <f t="shared" si="41"/>
        <v>-214</v>
      </c>
      <c r="DA27" s="109">
        <f t="shared" si="41"/>
        <v>-188</v>
      </c>
      <c r="DB27" s="171">
        <f t="shared" si="41"/>
        <v>-188</v>
      </c>
      <c r="DC27" s="109">
        <f t="shared" si="41"/>
        <v>-221</v>
      </c>
      <c r="DD27" s="109">
        <f t="shared" si="41"/>
        <v>-209</v>
      </c>
      <c r="DE27" s="109">
        <f t="shared" si="41"/>
        <v>-180</v>
      </c>
      <c r="DF27" s="171">
        <f t="shared" si="41"/>
        <v>-171</v>
      </c>
      <c r="DG27" s="1044">
        <f t="shared" si="41"/>
        <v>-197</v>
      </c>
      <c r="DH27" s="1044">
        <f t="shared" si="41"/>
        <v>-142</v>
      </c>
      <c r="DI27" s="172">
        <f t="shared" si="41"/>
        <v>-166</v>
      </c>
      <c r="DJ27" s="171">
        <f t="shared" si="41"/>
        <v>-162</v>
      </c>
      <c r="DK27" s="1044">
        <f t="shared" si="41"/>
        <v>-178</v>
      </c>
      <c r="DL27" s="1044">
        <f t="shared" si="41"/>
        <v>-151</v>
      </c>
      <c r="DM27" s="172">
        <f t="shared" si="41"/>
        <v>-187</v>
      </c>
      <c r="DN27" s="1044">
        <f t="shared" si="41"/>
        <v>-167</v>
      </c>
      <c r="DO27" s="1044">
        <f t="shared" si="41"/>
        <v>-1493</v>
      </c>
      <c r="DP27" s="1044">
        <f t="shared" si="41"/>
        <v>-130</v>
      </c>
      <c r="DQ27" s="172">
        <f t="shared" si="41"/>
        <v>-128</v>
      </c>
      <c r="DR27" s="1044">
        <f t="shared" si="41"/>
        <v>-150</v>
      </c>
      <c r="DS27" s="1044">
        <f t="shared" si="41"/>
        <v>-161</v>
      </c>
      <c r="DT27" s="1044">
        <f t="shared" si="41"/>
        <v>-123</v>
      </c>
      <c r="DU27" s="172">
        <f t="shared" si="41"/>
        <v>-133</v>
      </c>
      <c r="DV27" s="3363"/>
      <c r="DW27" s="3363"/>
      <c r="DX27" s="3363"/>
      <c r="DY27" s="3364"/>
    </row>
    <row r="28" spans="1:129" hidden="1" outlineLevel="1">
      <c r="A28" s="176" t="s">
        <v>418</v>
      </c>
      <c r="B28" s="94"/>
      <c r="C28" s="94"/>
      <c r="D28" s="94"/>
      <c r="E28" s="94"/>
      <c r="F28" s="94"/>
      <c r="G28" s="94"/>
      <c r="H28" s="94"/>
      <c r="I28" s="94"/>
      <c r="J28" s="94"/>
      <c r="K28" s="94"/>
      <c r="L28" s="94"/>
      <c r="M28" s="94"/>
      <c r="N28" s="94"/>
      <c r="O28" s="94"/>
      <c r="P28" s="94"/>
      <c r="Q28" s="1045"/>
      <c r="R28" s="94"/>
      <c r="S28" s="94">
        <f t="shared" ref="S28:V28" si="42">+S27/R27-1</f>
        <v>-0.10174717368961972</v>
      </c>
      <c r="T28" s="1045">
        <f t="shared" si="42"/>
        <v>-1.9450800915331801E-2</v>
      </c>
      <c r="U28" s="94">
        <f t="shared" si="42"/>
        <v>-6.8844807467911329E-2</v>
      </c>
      <c r="V28" s="94">
        <f t="shared" si="42"/>
        <v>-0.15288220551378451</v>
      </c>
      <c r="W28" s="94">
        <f>+W27/V27-1</f>
        <v>2.9585798816567088E-3</v>
      </c>
      <c r="X28" s="94">
        <f>+X27/W27-1</f>
        <v>1.8289085545722714</v>
      </c>
      <c r="Y28" s="94">
        <f>+Y27/X27-1</f>
        <v>-0.70437956204379559</v>
      </c>
      <c r="Z28" s="3395"/>
      <c r="AA28" s="3360"/>
      <c r="AB28" s="3360"/>
      <c r="AC28" s="3360"/>
      <c r="AD28" s="3360"/>
      <c r="AE28" s="3360"/>
      <c r="AF28" s="3360"/>
      <c r="AG28" s="3360"/>
      <c r="AH28" s="2126"/>
      <c r="AI28" s="2159"/>
      <c r="AJ28" s="2159"/>
      <c r="AK28" s="2159"/>
      <c r="AL28" s="2159"/>
      <c r="AM28" s="2159"/>
      <c r="AN28" s="2159"/>
      <c r="AO28" s="2159"/>
      <c r="AP28" s="147"/>
      <c r="AQ28" s="94"/>
      <c r="AR28" s="94"/>
      <c r="AS28" s="94"/>
      <c r="AT28" s="147"/>
      <c r="AU28" s="94"/>
      <c r="AV28" s="94"/>
      <c r="AW28" s="94"/>
      <c r="AX28" s="147"/>
      <c r="AY28" s="94"/>
      <c r="AZ28" s="94"/>
      <c r="BA28" s="94"/>
      <c r="BB28" s="147"/>
      <c r="BC28" s="94"/>
      <c r="BD28" s="94"/>
      <c r="BE28" s="94"/>
      <c r="BF28" s="147"/>
      <c r="BG28" s="94"/>
      <c r="BH28" s="94"/>
      <c r="BI28" s="94"/>
      <c r="BJ28" s="147"/>
      <c r="BK28" s="94"/>
      <c r="BL28" s="94"/>
      <c r="BM28" s="94"/>
      <c r="BN28" s="147"/>
      <c r="BO28" s="94"/>
      <c r="BP28" s="94"/>
      <c r="BQ28" s="94"/>
      <c r="BR28" s="147"/>
      <c r="BS28" s="94"/>
      <c r="BT28" s="94"/>
      <c r="BU28" s="94"/>
      <c r="BV28" s="147"/>
      <c r="BW28" s="94"/>
      <c r="BX28" s="94"/>
      <c r="BY28" s="94"/>
      <c r="BZ28" s="147"/>
      <c r="CA28" s="94"/>
      <c r="CB28" s="94"/>
      <c r="CC28" s="94"/>
      <c r="CD28" s="147"/>
      <c r="CE28" s="94"/>
      <c r="CF28" s="94"/>
      <c r="CG28" s="94"/>
      <c r="CH28" s="147"/>
      <c r="CI28" s="94"/>
      <c r="CJ28" s="94"/>
      <c r="CK28" s="94"/>
      <c r="CL28" s="147"/>
      <c r="CM28" s="94"/>
      <c r="CN28" s="94"/>
      <c r="CO28" s="94"/>
      <c r="CP28" s="453" t="s">
        <v>421</v>
      </c>
      <c r="CQ28" s="94">
        <f t="shared" ref="CQ28:DU28" si="43">CQ27/CM27-1</f>
        <v>-0.2407407407407407</v>
      </c>
      <c r="CR28" s="94">
        <f t="shared" si="43"/>
        <v>-0.27500000000000002</v>
      </c>
      <c r="CS28" s="94">
        <f t="shared" si="43"/>
        <v>-4.3824701195219085E-2</v>
      </c>
      <c r="CT28" s="147">
        <f t="shared" si="43"/>
        <v>0.1415929203539823</v>
      </c>
      <c r="CU28" s="94">
        <f t="shared" si="43"/>
        <v>-0.11788617886178865</v>
      </c>
      <c r="CV28" s="94">
        <f t="shared" si="43"/>
        <v>-0.23371647509578541</v>
      </c>
      <c r="CW28" s="101">
        <f t="shared" si="43"/>
        <v>-0.17083333333333328</v>
      </c>
      <c r="CX28" s="94">
        <f t="shared" si="43"/>
        <v>-0.10077519379844957</v>
      </c>
      <c r="CY28" s="94">
        <f t="shared" si="43"/>
        <v>2.7649769585253559E-2</v>
      </c>
      <c r="CZ28" s="94">
        <f t="shared" si="43"/>
        <v>7.0000000000000062E-2</v>
      </c>
      <c r="DA28" s="94">
        <f t="shared" si="43"/>
        <v>-5.5276381909547756E-2</v>
      </c>
      <c r="DB28" s="147">
        <f t="shared" si="43"/>
        <v>-0.18965517241379315</v>
      </c>
      <c r="DC28" s="94">
        <f t="shared" si="43"/>
        <v>-8.9686098654708779E-3</v>
      </c>
      <c r="DD28" s="94">
        <f t="shared" si="43"/>
        <v>-2.3364485981308358E-2</v>
      </c>
      <c r="DE28" s="94">
        <f t="shared" si="43"/>
        <v>-4.2553191489361653E-2</v>
      </c>
      <c r="DF28" s="147">
        <f t="shared" si="43"/>
        <v>-9.0425531914893664E-2</v>
      </c>
      <c r="DG28" s="1045">
        <f t="shared" si="43"/>
        <v>-0.10859728506787325</v>
      </c>
      <c r="DH28" s="1045">
        <f t="shared" si="43"/>
        <v>-0.32057416267942584</v>
      </c>
      <c r="DI28" s="101">
        <f t="shared" si="43"/>
        <v>-7.7777777777777724E-2</v>
      </c>
      <c r="DJ28" s="147">
        <f t="shared" si="43"/>
        <v>-5.2631578947368474E-2</v>
      </c>
      <c r="DK28" s="1045">
        <f t="shared" si="43"/>
        <v>-9.6446700507614169E-2</v>
      </c>
      <c r="DL28" s="1045">
        <f t="shared" si="43"/>
        <v>6.3380281690140761E-2</v>
      </c>
      <c r="DM28" s="101">
        <f t="shared" si="43"/>
        <v>0.12650602409638556</v>
      </c>
      <c r="DN28" s="1045">
        <f t="shared" si="43"/>
        <v>3.0864197530864113E-2</v>
      </c>
      <c r="DO28" s="1045">
        <f t="shared" si="43"/>
        <v>7.3876404494382015</v>
      </c>
      <c r="DP28" s="1045">
        <f t="shared" si="43"/>
        <v>-0.13907284768211925</v>
      </c>
      <c r="DQ28" s="101">
        <f t="shared" si="43"/>
        <v>-0.31550802139037437</v>
      </c>
      <c r="DR28" s="1045">
        <f t="shared" si="43"/>
        <v>-0.10179640718562877</v>
      </c>
      <c r="DS28" s="1045">
        <f t="shared" si="43"/>
        <v>-0.89216342933690551</v>
      </c>
      <c r="DT28" s="1045">
        <f t="shared" si="43"/>
        <v>-5.3846153846153877E-2</v>
      </c>
      <c r="DU28" s="101">
        <f t="shared" si="43"/>
        <v>3.90625E-2</v>
      </c>
      <c r="DV28" s="3360"/>
      <c r="DW28" s="3360"/>
      <c r="DX28" s="3360"/>
      <c r="DY28" s="3366"/>
    </row>
    <row r="29" spans="1:129" hidden="1" outlineLevel="1">
      <c r="A29" s="92"/>
      <c r="B29" s="87"/>
      <c r="C29" s="87"/>
      <c r="D29" s="87"/>
      <c r="E29" s="87"/>
      <c r="F29" s="87"/>
      <c r="G29" s="87"/>
      <c r="H29" s="87"/>
      <c r="I29" s="143"/>
      <c r="J29" s="143"/>
      <c r="K29" s="143"/>
      <c r="L29" s="143"/>
      <c r="M29" s="143"/>
      <c r="N29" s="143"/>
      <c r="O29" s="143"/>
      <c r="P29" s="143"/>
      <c r="Q29" s="1047"/>
      <c r="R29" s="143"/>
      <c r="S29" s="143"/>
      <c r="T29" s="1047"/>
      <c r="U29" s="143"/>
      <c r="V29" s="143"/>
      <c r="W29" s="143"/>
      <c r="X29" s="143"/>
      <c r="Y29" s="143"/>
      <c r="Z29" s="3398"/>
      <c r="AA29" s="3382"/>
      <c r="AB29" s="3382"/>
      <c r="AC29" s="3382"/>
      <c r="AD29" s="3382"/>
      <c r="AE29" s="3382"/>
      <c r="AF29" s="3382"/>
      <c r="AG29" s="3382"/>
      <c r="AH29" s="1959"/>
      <c r="AI29" s="2163"/>
      <c r="AJ29" s="2163"/>
      <c r="AK29" s="2163"/>
      <c r="AL29" s="2163"/>
      <c r="AM29" s="2163"/>
      <c r="AN29" s="2163"/>
      <c r="AO29" s="2163"/>
      <c r="AP29" s="88"/>
      <c r="AQ29" s="87"/>
      <c r="AR29" s="87"/>
      <c r="AS29" s="87"/>
      <c r="AT29" s="88"/>
      <c r="AU29" s="87"/>
      <c r="AV29" s="87"/>
      <c r="AW29" s="87"/>
      <c r="AX29" s="88"/>
      <c r="AY29" s="87"/>
      <c r="AZ29" s="87"/>
      <c r="BA29" s="87"/>
      <c r="BB29" s="159"/>
      <c r="BC29" s="143"/>
      <c r="BD29" s="143"/>
      <c r="BE29" s="143"/>
      <c r="BF29" s="159"/>
      <c r="BG29" s="143"/>
      <c r="BH29" s="143"/>
      <c r="BI29" s="143"/>
      <c r="BJ29" s="159"/>
      <c r="BK29" s="143"/>
      <c r="BL29" s="143"/>
      <c r="BM29" s="143"/>
      <c r="BN29" s="159"/>
      <c r="BO29" s="143"/>
      <c r="BP29" s="143"/>
      <c r="BQ29" s="143"/>
      <c r="BR29" s="159"/>
      <c r="BS29" s="143"/>
      <c r="BT29" s="87"/>
      <c r="BU29" s="87"/>
      <c r="BV29" s="88"/>
      <c r="BW29" s="87"/>
      <c r="BX29" s="87"/>
      <c r="BY29" s="87"/>
      <c r="BZ29" s="88"/>
      <c r="CA29" s="87"/>
      <c r="CB29" s="87"/>
      <c r="CC29" s="87"/>
      <c r="CD29" s="88"/>
      <c r="CE29" s="87"/>
      <c r="CF29" s="87"/>
      <c r="CG29" s="87"/>
      <c r="CH29" s="88"/>
      <c r="CI29" s="87"/>
      <c r="CJ29" s="87"/>
      <c r="CK29" s="87"/>
      <c r="CL29" s="88"/>
      <c r="CM29" s="87"/>
      <c r="CN29" s="87"/>
      <c r="CO29" s="87"/>
      <c r="CP29" s="88"/>
      <c r="CQ29" s="87"/>
      <c r="CR29" s="87"/>
      <c r="CS29" s="87"/>
      <c r="CT29" s="88"/>
      <c r="CU29" s="87"/>
      <c r="CV29" s="87"/>
      <c r="CW29" s="144"/>
      <c r="CX29" s="87"/>
      <c r="CY29" s="87"/>
      <c r="CZ29" s="87"/>
      <c r="DA29" s="87"/>
      <c r="DB29" s="88"/>
      <c r="DC29" s="87"/>
      <c r="DD29" s="87"/>
      <c r="DE29" s="87"/>
      <c r="DF29" s="88"/>
      <c r="DG29" s="1041"/>
      <c r="DH29" s="1041"/>
      <c r="DI29" s="144"/>
      <c r="DJ29" s="88"/>
      <c r="DK29" s="1041"/>
      <c r="DL29" s="1041"/>
      <c r="DM29" s="144"/>
      <c r="DN29" s="1041"/>
      <c r="DO29" s="1041"/>
      <c r="DP29" s="1041"/>
      <c r="DQ29" s="144"/>
      <c r="DR29" s="1041"/>
      <c r="DS29" s="1041"/>
      <c r="DT29" s="1041"/>
      <c r="DU29" s="144"/>
      <c r="DV29" s="3376"/>
      <c r="DW29" s="3376"/>
      <c r="DX29" s="3376"/>
      <c r="DY29" s="3377"/>
    </row>
    <row r="30" spans="1:129" hidden="1" outlineLevel="1">
      <c r="A30" s="479" t="s">
        <v>429</v>
      </c>
      <c r="B30" s="99"/>
      <c r="C30" s="99"/>
      <c r="D30" s="99"/>
      <c r="E30" s="478"/>
      <c r="F30" s="478"/>
      <c r="G30" s="478"/>
      <c r="H30" s="478"/>
      <c r="I30" s="478"/>
      <c r="J30" s="478">
        <f>J32-J46-J40</f>
        <v>18307.8</v>
      </c>
      <c r="K30" s="478">
        <f>K32-K46-K40</f>
        <v>16986.2</v>
      </c>
      <c r="L30" s="478">
        <f>BU30</f>
        <v>16529.599999999999</v>
      </c>
      <c r="M30" s="478">
        <f>BY30</f>
        <v>16155.7</v>
      </c>
      <c r="N30" s="478">
        <f>CC30</f>
        <v>15520.32</v>
      </c>
      <c r="O30" s="478">
        <f>CG30</f>
        <v>15036.92</v>
      </c>
      <c r="P30" s="478">
        <f>CK30</f>
        <v>14397.92</v>
      </c>
      <c r="Q30" s="1040">
        <f>CO30</f>
        <v>12014.4</v>
      </c>
      <c r="R30" s="478"/>
      <c r="S30" s="478"/>
      <c r="T30" s="1053"/>
      <c r="U30" s="478"/>
      <c r="V30" s="478"/>
      <c r="W30" s="478"/>
      <c r="X30" s="478"/>
      <c r="Y30" s="478"/>
      <c r="Z30" s="3396"/>
      <c r="AA30" s="3373"/>
      <c r="AB30" s="3373"/>
      <c r="AC30" s="3373"/>
      <c r="AD30" s="3373"/>
      <c r="AE30" s="3373"/>
      <c r="AF30" s="3373"/>
      <c r="AG30" s="3373"/>
      <c r="AH30" s="2128"/>
      <c r="AI30" s="2161"/>
      <c r="AJ30" s="2161"/>
      <c r="AK30" s="2161"/>
      <c r="AL30" s="2161"/>
      <c r="AM30" s="2161"/>
      <c r="AN30" s="2161"/>
      <c r="AO30" s="2161"/>
      <c r="AP30" s="481">
        <f t="shared" ref="AP30:BU30" si="44">AP32-AP46-0.2*AP40</f>
        <v>0</v>
      </c>
      <c r="AQ30" s="478">
        <f t="shared" si="44"/>
        <v>0</v>
      </c>
      <c r="AR30" s="478">
        <f t="shared" si="44"/>
        <v>0</v>
      </c>
      <c r="AS30" s="478">
        <f t="shared" si="44"/>
        <v>0</v>
      </c>
      <c r="AT30" s="481">
        <f t="shared" si="44"/>
        <v>20179</v>
      </c>
      <c r="AU30" s="478">
        <f t="shared" si="44"/>
        <v>20517</v>
      </c>
      <c r="AV30" s="478">
        <f t="shared" si="44"/>
        <v>20883</v>
      </c>
      <c r="AW30" s="478">
        <f t="shared" si="44"/>
        <v>21131</v>
      </c>
      <c r="AX30" s="481">
        <f t="shared" si="44"/>
        <v>21040.517</v>
      </c>
      <c r="AY30" s="478">
        <f t="shared" si="44"/>
        <v>21271.675999999999</v>
      </c>
      <c r="AZ30" s="478">
        <f t="shared" si="44"/>
        <v>21537.758000000002</v>
      </c>
      <c r="BA30" s="478">
        <f t="shared" si="44"/>
        <v>21701.066999999999</v>
      </c>
      <c r="BB30" s="481">
        <f t="shared" si="44"/>
        <v>21552</v>
      </c>
      <c r="BC30" s="478">
        <f t="shared" si="44"/>
        <v>21704</v>
      </c>
      <c r="BD30" s="478">
        <f t="shared" si="44"/>
        <v>21843</v>
      </c>
      <c r="BE30" s="478">
        <f t="shared" si="44"/>
        <v>21230.399999999998</v>
      </c>
      <c r="BF30" s="481">
        <f t="shared" si="44"/>
        <v>21177</v>
      </c>
      <c r="BG30" s="478">
        <f t="shared" si="44"/>
        <v>20940.800000000003</v>
      </c>
      <c r="BH30" s="478">
        <f t="shared" si="44"/>
        <v>20688</v>
      </c>
      <c r="BI30" s="478">
        <f t="shared" si="44"/>
        <v>20345.600000000002</v>
      </c>
      <c r="BJ30" s="481">
        <f t="shared" si="44"/>
        <v>20017.599999999999</v>
      </c>
      <c r="BK30" s="478">
        <f t="shared" si="44"/>
        <v>19594.400000000001</v>
      </c>
      <c r="BL30" s="478">
        <f t="shared" si="44"/>
        <v>19365.8</v>
      </c>
      <c r="BM30" s="478">
        <f t="shared" si="44"/>
        <v>19147</v>
      </c>
      <c r="BN30" s="481">
        <f t="shared" si="44"/>
        <v>18531</v>
      </c>
      <c r="BO30" s="478">
        <f t="shared" si="44"/>
        <v>18127.400000000001</v>
      </c>
      <c r="BP30" s="478">
        <f t="shared" si="44"/>
        <v>17879.600000000002</v>
      </c>
      <c r="BQ30" s="478">
        <f t="shared" si="44"/>
        <v>17579.8</v>
      </c>
      <c r="BR30" s="481">
        <f t="shared" si="44"/>
        <v>17030.45</v>
      </c>
      <c r="BS30" s="478">
        <f t="shared" si="44"/>
        <v>16782</v>
      </c>
      <c r="BT30" s="478">
        <f t="shared" si="44"/>
        <v>16628.95</v>
      </c>
      <c r="BU30" s="478">
        <f t="shared" si="44"/>
        <v>16529.599999999999</v>
      </c>
      <c r="BV30" s="481">
        <f t="shared" ref="BV30:CO30" si="45">BV32-BV46-0.2*BV40</f>
        <v>16338.9</v>
      </c>
      <c r="BW30" s="478">
        <f t="shared" si="45"/>
        <v>16329.7</v>
      </c>
      <c r="BX30" s="478">
        <f t="shared" si="45"/>
        <v>16232.1</v>
      </c>
      <c r="BY30" s="478">
        <f t="shared" si="45"/>
        <v>16155.7</v>
      </c>
      <c r="BZ30" s="481">
        <f t="shared" si="45"/>
        <v>15796.84</v>
      </c>
      <c r="CA30" s="478">
        <f t="shared" si="45"/>
        <v>15699</v>
      </c>
      <c r="CB30" s="478">
        <f t="shared" si="45"/>
        <v>15637.48</v>
      </c>
      <c r="CC30" s="478">
        <f t="shared" si="45"/>
        <v>15520.32</v>
      </c>
      <c r="CD30" s="481">
        <f t="shared" si="45"/>
        <v>15375.96</v>
      </c>
      <c r="CE30" s="478">
        <f t="shared" si="45"/>
        <v>15286.12</v>
      </c>
      <c r="CF30" s="478">
        <f t="shared" si="45"/>
        <v>15144.88</v>
      </c>
      <c r="CG30" s="478">
        <f t="shared" si="45"/>
        <v>15036.92</v>
      </c>
      <c r="CH30" s="481">
        <f t="shared" si="45"/>
        <v>14885.68</v>
      </c>
      <c r="CI30" s="478">
        <f t="shared" si="45"/>
        <v>14777</v>
      </c>
      <c r="CJ30" s="478">
        <f t="shared" si="45"/>
        <v>14600.16</v>
      </c>
      <c r="CK30" s="478">
        <f t="shared" si="45"/>
        <v>14397.92</v>
      </c>
      <c r="CL30" s="481">
        <f t="shared" si="45"/>
        <v>12587</v>
      </c>
      <c r="CM30" s="478">
        <f t="shared" si="45"/>
        <v>12384</v>
      </c>
      <c r="CN30" s="478">
        <f t="shared" si="45"/>
        <v>12186.2</v>
      </c>
      <c r="CO30" s="478">
        <f t="shared" si="45"/>
        <v>12014.4</v>
      </c>
      <c r="CP30" s="481"/>
      <c r="CQ30" s="478"/>
      <c r="CR30" s="478"/>
      <c r="CS30" s="478"/>
      <c r="CT30" s="481"/>
      <c r="CU30" s="478"/>
      <c r="CV30" s="478"/>
      <c r="CW30" s="482"/>
      <c r="CX30" s="478"/>
      <c r="CY30" s="478"/>
      <c r="CZ30" s="478"/>
      <c r="DA30" s="478"/>
      <c r="DB30" s="481"/>
      <c r="DC30" s="478"/>
      <c r="DD30" s="478"/>
      <c r="DE30" s="478"/>
      <c r="DF30" s="481"/>
      <c r="DG30" s="1053"/>
      <c r="DH30" s="1053"/>
      <c r="DI30" s="482"/>
      <c r="DJ30" s="481"/>
      <c r="DK30" s="1053"/>
      <c r="DL30" s="1053"/>
      <c r="DM30" s="482"/>
      <c r="DN30" s="1053"/>
      <c r="DO30" s="1053"/>
      <c r="DP30" s="1053"/>
      <c r="DQ30" s="482"/>
      <c r="DR30" s="1053"/>
      <c r="DS30" s="1053"/>
      <c r="DT30" s="1053"/>
      <c r="DU30" s="482"/>
      <c r="DV30" s="3373"/>
      <c r="DW30" s="3373"/>
      <c r="DX30" s="3373"/>
      <c r="DY30" s="3374"/>
    </row>
    <row r="31" spans="1:129" s="120" customFormat="1" hidden="1" outlineLevel="1">
      <c r="A31" s="733" t="s">
        <v>991</v>
      </c>
      <c r="B31" s="540"/>
      <c r="C31" s="540"/>
      <c r="D31" s="540"/>
      <c r="E31" s="540"/>
      <c r="F31" s="540"/>
      <c r="G31" s="540"/>
      <c r="H31" s="540"/>
      <c r="I31" s="540"/>
      <c r="J31" s="540"/>
      <c r="K31" s="540">
        <f t="shared" ref="K31:Q31" si="46">K30/J30-1</f>
        <v>-7.2187810659937179E-2</v>
      </c>
      <c r="L31" s="540">
        <f t="shared" si="46"/>
        <v>-2.6880644287716082E-2</v>
      </c>
      <c r="M31" s="540">
        <f t="shared" si="46"/>
        <v>-2.2620027102894125E-2</v>
      </c>
      <c r="N31" s="540">
        <f t="shared" si="46"/>
        <v>-3.9328534201551246E-2</v>
      </c>
      <c r="O31" s="540">
        <f t="shared" si="46"/>
        <v>-3.114626502546336E-2</v>
      </c>
      <c r="P31" s="540">
        <f t="shared" si="46"/>
        <v>-4.2495404644036117E-2</v>
      </c>
      <c r="Q31" s="1056">
        <f t="shared" si="46"/>
        <v>-0.16554613444164157</v>
      </c>
      <c r="R31" s="540"/>
      <c r="S31" s="540"/>
      <c r="T31" s="1056"/>
      <c r="U31" s="540"/>
      <c r="V31" s="540"/>
      <c r="W31" s="540"/>
      <c r="X31" s="540"/>
      <c r="Y31" s="540"/>
      <c r="Z31" s="3399"/>
      <c r="AA31" s="3378"/>
      <c r="AB31" s="3378"/>
      <c r="AC31" s="3378"/>
      <c r="AD31" s="3378"/>
      <c r="AE31" s="3378"/>
      <c r="AF31" s="3378"/>
      <c r="AG31" s="3378"/>
      <c r="AH31" s="1950"/>
      <c r="AI31"/>
      <c r="AJ31"/>
      <c r="AK31"/>
      <c r="AL31"/>
      <c r="AM31"/>
      <c r="AN31"/>
      <c r="AO31"/>
      <c r="AP31" s="541"/>
      <c r="AQ31" s="540"/>
      <c r="AR31" s="540"/>
      <c r="AS31" s="540"/>
      <c r="AT31" s="541"/>
      <c r="AU31" s="540"/>
      <c r="AV31" s="540"/>
      <c r="AW31" s="540"/>
      <c r="AX31" s="541"/>
      <c r="AY31" s="540"/>
      <c r="AZ31" s="540"/>
      <c r="BA31" s="540"/>
      <c r="BB31" s="541"/>
      <c r="BC31" s="540"/>
      <c r="BD31" s="540"/>
      <c r="BE31" s="540"/>
      <c r="BF31" s="541"/>
      <c r="BG31" s="540"/>
      <c r="BH31" s="540"/>
      <c r="BI31" s="540"/>
      <c r="BJ31" s="541"/>
      <c r="BK31" s="540"/>
      <c r="BL31" s="540"/>
      <c r="BM31" s="540"/>
      <c r="BN31" s="541">
        <f t="shared" ref="BN31:CO31" si="47">BN30/BJ30-1</f>
        <v>-7.4264647110542703E-2</v>
      </c>
      <c r="BO31" s="540">
        <f t="shared" si="47"/>
        <v>-7.4868329726860749E-2</v>
      </c>
      <c r="BP31" s="540">
        <f t="shared" si="47"/>
        <v>-7.6743537576552279E-2</v>
      </c>
      <c r="BQ31" s="540">
        <f t="shared" si="47"/>
        <v>-8.1850942706429231E-2</v>
      </c>
      <c r="BR31" s="541">
        <f t="shared" si="47"/>
        <v>-8.0975122767254826E-2</v>
      </c>
      <c r="BS31" s="540">
        <f t="shared" si="47"/>
        <v>-7.4219137879673935E-2</v>
      </c>
      <c r="BT31" s="540">
        <f t="shared" si="47"/>
        <v>-6.9948432850846842E-2</v>
      </c>
      <c r="BU31" s="540">
        <f t="shared" si="47"/>
        <v>-5.9739018646401076E-2</v>
      </c>
      <c r="BV31" s="541">
        <f t="shared" si="47"/>
        <v>-4.0606678038454747E-2</v>
      </c>
      <c r="BW31" s="540">
        <f t="shared" si="47"/>
        <v>-2.6951495650101243E-2</v>
      </c>
      <c r="BX31" s="540">
        <f t="shared" si="47"/>
        <v>-2.3865006509731557E-2</v>
      </c>
      <c r="BY31" s="540">
        <f t="shared" si="47"/>
        <v>-2.2620027102894125E-2</v>
      </c>
      <c r="BZ31" s="541">
        <f t="shared" si="47"/>
        <v>-3.3176040002692919E-2</v>
      </c>
      <c r="CA31" s="540">
        <f t="shared" si="47"/>
        <v>-3.8622877333937544E-2</v>
      </c>
      <c r="CB31" s="540">
        <f t="shared" si="47"/>
        <v>-3.663235194460368E-2</v>
      </c>
      <c r="CC31" s="540">
        <f t="shared" si="47"/>
        <v>-3.9328534201551246E-2</v>
      </c>
      <c r="CD31" s="541">
        <f t="shared" si="47"/>
        <v>-2.6643303344213165E-2</v>
      </c>
      <c r="CE31" s="540">
        <f t="shared" si="47"/>
        <v>-2.6299764316198404E-2</v>
      </c>
      <c r="CF31" s="540">
        <f t="shared" si="47"/>
        <v>-3.1501239330122277E-2</v>
      </c>
      <c r="CG31" s="540">
        <f t="shared" si="47"/>
        <v>-3.114626502546336E-2</v>
      </c>
      <c r="CH31" s="541">
        <f t="shared" si="47"/>
        <v>-3.1886139141881098E-2</v>
      </c>
      <c r="CI31" s="540">
        <f t="shared" si="47"/>
        <v>-3.3306031877284759E-2</v>
      </c>
      <c r="CJ31" s="540">
        <f t="shared" si="47"/>
        <v>-3.596727078722306E-2</v>
      </c>
      <c r="CK31" s="540">
        <f t="shared" si="47"/>
        <v>-4.2495404644036117E-2</v>
      </c>
      <c r="CL31" s="541">
        <f t="shared" si="47"/>
        <v>-0.15442223667309796</v>
      </c>
      <c r="CM31" s="540">
        <f t="shared" si="47"/>
        <v>-0.16194085402991132</v>
      </c>
      <c r="CN31" s="540">
        <f t="shared" si="47"/>
        <v>-0.16533791410505083</v>
      </c>
      <c r="CO31" s="540">
        <f t="shared" si="47"/>
        <v>-0.16554613444164157</v>
      </c>
      <c r="CP31" s="541"/>
      <c r="CQ31" s="540"/>
      <c r="CR31" s="540"/>
      <c r="CS31" s="540"/>
      <c r="CT31" s="541"/>
      <c r="CU31" s="540"/>
      <c r="CV31" s="540"/>
      <c r="CW31" s="543"/>
      <c r="CX31" s="540"/>
      <c r="CY31" s="540"/>
      <c r="CZ31" s="540"/>
      <c r="DA31" s="540"/>
      <c r="DB31" s="541"/>
      <c r="DC31" s="540"/>
      <c r="DD31" s="540"/>
      <c r="DE31" s="540"/>
      <c r="DF31" s="541"/>
      <c r="DG31" s="1056"/>
      <c r="DH31" s="1056"/>
      <c r="DI31" s="543"/>
      <c r="DJ31" s="541"/>
      <c r="DK31" s="1056"/>
      <c r="DL31" s="1056"/>
      <c r="DM31" s="543"/>
      <c r="DN31" s="1056"/>
      <c r="DO31" s="1056"/>
      <c r="DP31" s="1056"/>
      <c r="DQ31" s="543"/>
      <c r="DR31" s="1056"/>
      <c r="DS31" s="1056"/>
      <c r="DT31" s="1056"/>
      <c r="DU31" s="543"/>
      <c r="DV31" s="3378"/>
      <c r="DW31" s="3378"/>
      <c r="DX31" s="3378"/>
      <c r="DY31" s="3379"/>
    </row>
    <row r="32" spans="1:129" hidden="1" outlineLevel="1">
      <c r="A32" s="151" t="s">
        <v>430</v>
      </c>
      <c r="B32" s="91"/>
      <c r="C32" s="91"/>
      <c r="D32" s="91"/>
      <c r="E32" s="149"/>
      <c r="F32" s="149">
        <f>AW32</f>
        <v>21131</v>
      </c>
      <c r="G32" s="149">
        <f>BA32</f>
        <v>21701.066999999999</v>
      </c>
      <c r="H32" s="149">
        <f>BE32</f>
        <v>21939</v>
      </c>
      <c r="I32" s="149">
        <f>BI32</f>
        <v>21075</v>
      </c>
      <c r="J32" s="149">
        <f>BM32</f>
        <v>19994</v>
      </c>
      <c r="K32" s="149">
        <f>BQ32</f>
        <v>18732</v>
      </c>
      <c r="L32" s="149">
        <f>BU32</f>
        <v>18143</v>
      </c>
      <c r="M32" s="149">
        <f>BY32</f>
        <v>17509</v>
      </c>
      <c r="N32" s="149">
        <f>CC32</f>
        <v>16326</v>
      </c>
      <c r="O32" s="149">
        <f>CG32</f>
        <v>15713</v>
      </c>
      <c r="P32" s="149">
        <f>P30+P46+0.2*P40</f>
        <v>14966</v>
      </c>
      <c r="Q32" s="1113">
        <f>+CO32</f>
        <v>12540</v>
      </c>
      <c r="R32" s="149"/>
      <c r="S32" s="149"/>
      <c r="T32" s="1113"/>
      <c r="U32" s="149"/>
      <c r="V32" s="149"/>
      <c r="W32" s="149"/>
      <c r="X32" s="149"/>
      <c r="Y32" s="149"/>
      <c r="Z32" s="3400"/>
      <c r="AA32" s="3380"/>
      <c r="AB32" s="3380"/>
      <c r="AC32" s="3380"/>
      <c r="AD32" s="3380"/>
      <c r="AE32" s="3380"/>
      <c r="AF32" s="3380"/>
      <c r="AG32" s="3380"/>
      <c r="AH32" s="2129"/>
      <c r="AI32" s="1991"/>
      <c r="AJ32" s="1991"/>
      <c r="AK32" s="1991"/>
      <c r="AL32" s="1991"/>
      <c r="AM32" s="1991"/>
      <c r="AN32" s="1991"/>
      <c r="AO32" s="1991"/>
      <c r="AP32" s="150"/>
      <c r="AQ32" s="149"/>
      <c r="AR32" s="149"/>
      <c r="AS32" s="149"/>
      <c r="AT32" s="150">
        <f>NormInputs!AJ218</f>
        <v>20179</v>
      </c>
      <c r="AU32" s="149">
        <f>NormInputs!AK218</f>
        <v>20517</v>
      </c>
      <c r="AV32" s="149">
        <f>NormInputs!AL218</f>
        <v>20883</v>
      </c>
      <c r="AW32" s="149">
        <f>NormInputs!AM218</f>
        <v>21131</v>
      </c>
      <c r="AX32" s="150">
        <f>NormInputs!AN218</f>
        <v>21040.517</v>
      </c>
      <c r="AY32" s="149">
        <f>NormInputs!AO218</f>
        <v>21271.675999999999</v>
      </c>
      <c r="AZ32" s="149">
        <f>NormInputs!AP218</f>
        <v>21537.758000000002</v>
      </c>
      <c r="BA32" s="149">
        <f>NormInputs!AQ218</f>
        <v>21701.066999999999</v>
      </c>
      <c r="BB32" s="150">
        <f>NormInputs!AR218</f>
        <v>21552</v>
      </c>
      <c r="BC32" s="149">
        <f>NormInputs!AS218</f>
        <v>21704</v>
      </c>
      <c r="BD32" s="149">
        <f>NormInputs!AT218</f>
        <v>21843</v>
      </c>
      <c r="BE32" s="149">
        <f>NormInputs!AU218</f>
        <v>21939</v>
      </c>
      <c r="BF32" s="150">
        <f>NormInputs!AV218</f>
        <v>21900</v>
      </c>
      <c r="BG32" s="149">
        <f>NormInputs!AW218</f>
        <v>21682</v>
      </c>
      <c r="BH32" s="149">
        <f>NormInputs!AX218</f>
        <v>21422</v>
      </c>
      <c r="BI32" s="149">
        <f>NormInputs!AY218</f>
        <v>21075</v>
      </c>
      <c r="BJ32" s="150">
        <f>NormInputs!AZ218</f>
        <v>20745</v>
      </c>
      <c r="BK32" s="149">
        <f>NormInputs!BA218</f>
        <v>20330</v>
      </c>
      <c r="BL32" s="149">
        <f>NormInputs!BB218</f>
        <v>20144</v>
      </c>
      <c r="BM32" s="149">
        <f>NormInputs!BC218</f>
        <v>19994</v>
      </c>
      <c r="BN32" s="150">
        <f>NormInputs!BD218</f>
        <v>19445</v>
      </c>
      <c r="BO32" s="149">
        <f>NormInputs!BE218</f>
        <v>19127</v>
      </c>
      <c r="BP32" s="149">
        <f>NormInputs!BF218</f>
        <v>18955</v>
      </c>
      <c r="BQ32" s="149">
        <f>NormInputs!BG218</f>
        <v>18732</v>
      </c>
      <c r="BR32" s="150">
        <f>NormInputs!BH218</f>
        <v>18553</v>
      </c>
      <c r="BS32" s="149">
        <f>NormInputs!BI218</f>
        <v>18399</v>
      </c>
      <c r="BT32" s="149">
        <f>NormInputs!BJ218</f>
        <v>18264</v>
      </c>
      <c r="BU32" s="149">
        <f>NormInputs!BK218</f>
        <v>18143</v>
      </c>
      <c r="BV32" s="150">
        <f>NormInputs!BL218</f>
        <v>17903</v>
      </c>
      <c r="BW32" s="149">
        <f>NormInputs!BM218</f>
        <v>17842</v>
      </c>
      <c r="BX32" s="149">
        <f>NormInputs!BN218</f>
        <v>17660</v>
      </c>
      <c r="BY32" s="149">
        <f>NormInputs!BO218</f>
        <v>17509</v>
      </c>
      <c r="BZ32" s="150">
        <f>NormInputs!BP218</f>
        <v>16723</v>
      </c>
      <c r="CA32" s="149">
        <f>NormInputs!BQ218</f>
        <v>16581</v>
      </c>
      <c r="CB32" s="149">
        <f>NormInputs!BR218</f>
        <v>16477</v>
      </c>
      <c r="CC32" s="149">
        <f>NormInputs!BS218</f>
        <v>16326</v>
      </c>
      <c r="CD32" s="150">
        <f>NormInputs!BT218</f>
        <v>16149</v>
      </c>
      <c r="CE32" s="149">
        <f>NormInputs!BU218</f>
        <v>16021</v>
      </c>
      <c r="CF32" s="149">
        <f>NormInputs!BV218</f>
        <v>15850</v>
      </c>
      <c r="CG32" s="149">
        <f>NormInputs!BW218</f>
        <v>15713</v>
      </c>
      <c r="CH32" s="150">
        <f>NormInputs!BX218</f>
        <v>15532</v>
      </c>
      <c r="CI32" s="149">
        <f>NormInputs!BY218</f>
        <v>15395</v>
      </c>
      <c r="CJ32" s="149">
        <f>NormInputs!BZ218</f>
        <v>15192</v>
      </c>
      <c r="CK32" s="149">
        <f>NormInputs!CA218</f>
        <v>14966</v>
      </c>
      <c r="CL32" s="150">
        <f>NormInputs!CB218</f>
        <v>13139</v>
      </c>
      <c r="CM32" s="149">
        <f>NormInputs!CC218</f>
        <v>12924</v>
      </c>
      <c r="CN32" s="149">
        <f>NormInputs!CD218</f>
        <v>12719</v>
      </c>
      <c r="CO32" s="149">
        <f>NormInputs!CE218</f>
        <v>12540</v>
      </c>
      <c r="CP32" s="150"/>
      <c r="CQ32" s="149"/>
      <c r="CR32" s="149"/>
      <c r="CS32" s="149"/>
      <c r="CT32" s="150"/>
      <c r="CU32" s="149"/>
      <c r="CV32" s="149"/>
      <c r="CW32" s="155"/>
      <c r="CX32" s="149"/>
      <c r="CY32" s="149"/>
      <c r="CZ32" s="149"/>
      <c r="DA32" s="149"/>
      <c r="DB32" s="150"/>
      <c r="DC32" s="149"/>
      <c r="DD32" s="149"/>
      <c r="DE32" s="149"/>
      <c r="DF32" s="150"/>
      <c r="DG32" s="1113"/>
      <c r="DH32" s="1113"/>
      <c r="DI32" s="155"/>
      <c r="DJ32" s="150"/>
      <c r="DK32" s="1113"/>
      <c r="DL32" s="1113"/>
      <c r="DM32" s="155"/>
      <c r="DN32" s="1113"/>
      <c r="DO32" s="1113"/>
      <c r="DP32" s="1113"/>
      <c r="DQ32" s="155"/>
      <c r="DR32" s="1113"/>
      <c r="DS32" s="1113"/>
      <c r="DT32" s="1113"/>
      <c r="DU32" s="155"/>
      <c r="DV32" s="3380"/>
      <c r="DW32" s="3380"/>
      <c r="DX32" s="3380"/>
      <c r="DY32" s="3381"/>
    </row>
    <row r="33" spans="1:129" s="120" customFormat="1" hidden="1" outlineLevel="1">
      <c r="A33" s="176" t="s">
        <v>991</v>
      </c>
      <c r="B33" s="94"/>
      <c r="C33" s="94"/>
      <c r="D33" s="94"/>
      <c r="E33" s="94"/>
      <c r="F33" s="94"/>
      <c r="G33" s="94"/>
      <c r="H33" s="94">
        <f t="shared" ref="H33:Q33" si="48">H32/G32-1</f>
        <v>1.0964115266774765E-2</v>
      </c>
      <c r="I33" s="94">
        <f t="shared" si="48"/>
        <v>-3.9381922603582642E-2</v>
      </c>
      <c r="J33" s="94">
        <f t="shared" si="48"/>
        <v>-5.1293001186239584E-2</v>
      </c>
      <c r="K33" s="94">
        <f t="shared" si="48"/>
        <v>-6.3118935680704258E-2</v>
      </c>
      <c r="L33" s="94">
        <f t="shared" si="48"/>
        <v>-3.1443519111680529E-2</v>
      </c>
      <c r="M33" s="94">
        <f t="shared" si="48"/>
        <v>-3.4944606735380024E-2</v>
      </c>
      <c r="N33" s="94">
        <f t="shared" si="48"/>
        <v>-6.7565252156034039E-2</v>
      </c>
      <c r="O33" s="94">
        <f t="shared" si="48"/>
        <v>-3.7547470292784491E-2</v>
      </c>
      <c r="P33" s="94">
        <f t="shared" si="48"/>
        <v>-4.754025329345124E-2</v>
      </c>
      <c r="Q33" s="1045">
        <f t="shared" si="48"/>
        <v>-0.16210076172658028</v>
      </c>
      <c r="R33" s="94"/>
      <c r="S33" s="94"/>
      <c r="T33" s="1045"/>
      <c r="U33" s="94"/>
      <c r="V33" s="94"/>
      <c r="W33" s="94"/>
      <c r="X33" s="94"/>
      <c r="Y33" s="94"/>
      <c r="Z33" s="3395"/>
      <c r="AA33" s="3370"/>
      <c r="AB33" s="3370"/>
      <c r="AC33" s="3370"/>
      <c r="AD33" s="3370"/>
      <c r="AE33" s="3370"/>
      <c r="AF33" s="3370"/>
      <c r="AG33" s="3370"/>
      <c r="AH33" s="1962"/>
      <c r="AI33" s="2159"/>
      <c r="AJ33" s="2159"/>
      <c r="AK33" s="2159"/>
      <c r="AL33" s="2159"/>
      <c r="AM33" s="2159"/>
      <c r="AN33" s="2159"/>
      <c r="AO33" s="2159"/>
      <c r="AP33" s="147"/>
      <c r="AQ33" s="94"/>
      <c r="AR33" s="94"/>
      <c r="AS33" s="94"/>
      <c r="AT33" s="147"/>
      <c r="AU33" s="94"/>
      <c r="AV33" s="94"/>
      <c r="AW33" s="94"/>
      <c r="AX33" s="147">
        <f t="shared" ref="AX33:CO33" si="49">AX32/AT32-1</f>
        <v>4.2693741017889808E-2</v>
      </c>
      <c r="AY33" s="94">
        <f t="shared" si="49"/>
        <v>3.6782960471803738E-2</v>
      </c>
      <c r="AZ33" s="94">
        <f t="shared" si="49"/>
        <v>3.1353636929559947E-2</v>
      </c>
      <c r="BA33" s="94">
        <f t="shared" si="49"/>
        <v>2.6977757796602164E-2</v>
      </c>
      <c r="BB33" s="147">
        <f t="shared" si="49"/>
        <v>2.4309431179851737E-2</v>
      </c>
      <c r="BC33" s="94">
        <f t="shared" si="49"/>
        <v>2.0323927461098901E-2</v>
      </c>
      <c r="BD33" s="94">
        <f t="shared" si="49"/>
        <v>1.4172412931745093E-2</v>
      </c>
      <c r="BE33" s="94">
        <f t="shared" si="49"/>
        <v>1.0964115266774765E-2</v>
      </c>
      <c r="BF33" s="147">
        <f t="shared" si="49"/>
        <v>1.6146993318485459E-2</v>
      </c>
      <c r="BG33" s="94">
        <f t="shared" si="49"/>
        <v>-1.0136380390711741E-3</v>
      </c>
      <c r="BH33" s="94">
        <f t="shared" si="49"/>
        <v>-1.9273909261548372E-2</v>
      </c>
      <c r="BI33" s="94">
        <f t="shared" si="49"/>
        <v>-3.9381922603582642E-2</v>
      </c>
      <c r="BJ33" s="147">
        <f t="shared" si="49"/>
        <v>-5.2739726027397293E-2</v>
      </c>
      <c r="BK33" s="94">
        <f t="shared" si="49"/>
        <v>-6.2355871229591409E-2</v>
      </c>
      <c r="BL33" s="94">
        <f t="shared" si="49"/>
        <v>-5.9658295210531231E-2</v>
      </c>
      <c r="BM33" s="94">
        <f t="shared" si="49"/>
        <v>-5.1293001186239584E-2</v>
      </c>
      <c r="BN33" s="147">
        <f t="shared" si="49"/>
        <v>-6.2665702578934668E-2</v>
      </c>
      <c r="BO33" s="94">
        <f t="shared" si="49"/>
        <v>-5.9173635022134796E-2</v>
      </c>
      <c r="BP33" s="94">
        <f t="shared" si="49"/>
        <v>-5.9025019857029348E-2</v>
      </c>
      <c r="BQ33" s="94">
        <f t="shared" si="49"/>
        <v>-6.3118935680704258E-2</v>
      </c>
      <c r="BR33" s="147">
        <f t="shared" si="49"/>
        <v>-4.5872975057855481E-2</v>
      </c>
      <c r="BS33" s="94">
        <f t="shared" si="49"/>
        <v>-3.8061379202174894E-2</v>
      </c>
      <c r="BT33" s="94">
        <f t="shared" si="49"/>
        <v>-3.6454761276707992E-2</v>
      </c>
      <c r="BU33" s="94">
        <f t="shared" si="49"/>
        <v>-3.1443519111680529E-2</v>
      </c>
      <c r="BV33" s="147">
        <f t="shared" si="49"/>
        <v>-3.5034765267072721E-2</v>
      </c>
      <c r="BW33" s="94">
        <f t="shared" si="49"/>
        <v>-3.0273384423066485E-2</v>
      </c>
      <c r="BX33" s="94">
        <f t="shared" si="49"/>
        <v>-3.3070521243977247E-2</v>
      </c>
      <c r="BY33" s="94">
        <f t="shared" si="49"/>
        <v>-3.4944606735380024E-2</v>
      </c>
      <c r="BZ33" s="147">
        <f t="shared" si="49"/>
        <v>-6.5910741216555935E-2</v>
      </c>
      <c r="CA33" s="94">
        <f t="shared" si="49"/>
        <v>-7.0675933191346241E-2</v>
      </c>
      <c r="CB33" s="94">
        <f t="shared" si="49"/>
        <v>-6.6987542468856187E-2</v>
      </c>
      <c r="CC33" s="94">
        <f t="shared" si="49"/>
        <v>-6.7565252156034039E-2</v>
      </c>
      <c r="CD33" s="147">
        <f t="shared" si="49"/>
        <v>-3.4323984930933471E-2</v>
      </c>
      <c r="CE33" s="94">
        <f t="shared" si="49"/>
        <v>-3.3773596284904395E-2</v>
      </c>
      <c r="CF33" s="94">
        <f t="shared" si="49"/>
        <v>-3.8053043636584349E-2</v>
      </c>
      <c r="CG33" s="94">
        <f t="shared" si="49"/>
        <v>-3.7547470292784491E-2</v>
      </c>
      <c r="CH33" s="147">
        <f t="shared" si="49"/>
        <v>-3.820670010526972E-2</v>
      </c>
      <c r="CI33" s="94">
        <f t="shared" si="49"/>
        <v>-3.9073715748080606E-2</v>
      </c>
      <c r="CJ33" s="94">
        <f t="shared" si="49"/>
        <v>-4.1514195583596258E-2</v>
      </c>
      <c r="CK33" s="94">
        <f t="shared" si="49"/>
        <v>-4.754025329345124E-2</v>
      </c>
      <c r="CL33" s="147">
        <f t="shared" si="49"/>
        <v>-0.15406901879989698</v>
      </c>
      <c r="CM33" s="94">
        <f t="shared" si="49"/>
        <v>-0.16050665800584607</v>
      </c>
      <c r="CN33" s="94">
        <f t="shared" si="49"/>
        <v>-0.1627830437072143</v>
      </c>
      <c r="CO33" s="94">
        <f t="shared" si="49"/>
        <v>-0.16210076172658028</v>
      </c>
      <c r="CP33" s="147"/>
      <c r="CQ33" s="94"/>
      <c r="CR33" s="94"/>
      <c r="CS33" s="94"/>
      <c r="CT33" s="165"/>
      <c r="CU33" s="94"/>
      <c r="CV33" s="94"/>
      <c r="CW33" s="101"/>
      <c r="CX33" s="94"/>
      <c r="CY33" s="94"/>
      <c r="CZ33" s="94"/>
      <c r="DA33" s="94"/>
      <c r="DB33" s="147"/>
      <c r="DC33" s="94"/>
      <c r="DD33" s="94"/>
      <c r="DE33" s="94"/>
      <c r="DF33" s="147"/>
      <c r="DG33" s="1045"/>
      <c r="DH33" s="1045"/>
      <c r="DI33" s="101"/>
      <c r="DJ33" s="147"/>
      <c r="DK33" s="1045"/>
      <c r="DL33" s="1045"/>
      <c r="DM33" s="101"/>
      <c r="DN33" s="1045"/>
      <c r="DO33" s="1045"/>
      <c r="DP33" s="1045"/>
      <c r="DQ33" s="101"/>
      <c r="DR33" s="1045"/>
      <c r="DS33" s="1045"/>
      <c r="DT33" s="1045"/>
      <c r="DU33" s="101"/>
      <c r="DV33" s="3360"/>
      <c r="DW33" s="3370"/>
      <c r="DX33" s="3370"/>
      <c r="DY33" s="3371"/>
    </row>
    <row r="34" spans="1:129" s="120" customFormat="1" hidden="1" outlineLevel="1">
      <c r="A34" s="176" t="s">
        <v>427</v>
      </c>
      <c r="B34" s="94"/>
      <c r="C34" s="94"/>
      <c r="D34" s="94"/>
      <c r="E34" s="94"/>
      <c r="F34" s="94"/>
      <c r="G34" s="94">
        <f t="shared" ref="G34:Q34" si="50">G32/G$52</f>
        <v>0.3539747674724405</v>
      </c>
      <c r="H34" s="94">
        <f t="shared" si="50"/>
        <v>0.35956142651107909</v>
      </c>
      <c r="I34" s="94">
        <f t="shared" si="50"/>
        <v>0.3535421314857996</v>
      </c>
      <c r="J34" s="94">
        <f t="shared" si="50"/>
        <v>0.34801225370744271</v>
      </c>
      <c r="K34" s="94">
        <f t="shared" si="50"/>
        <v>0.34452189586360377</v>
      </c>
      <c r="L34" s="94">
        <f t="shared" si="50"/>
        <v>0.34979177913164183</v>
      </c>
      <c r="M34" s="94">
        <f t="shared" si="50"/>
        <v>0.36167399971080955</v>
      </c>
      <c r="N34" s="94">
        <f t="shared" si="50"/>
        <v>0.37916298945608251</v>
      </c>
      <c r="O34" s="94">
        <f t="shared" si="50"/>
        <v>0.45829201423321475</v>
      </c>
      <c r="P34" s="94">
        <f t="shared" si="50"/>
        <v>0.48036412923393512</v>
      </c>
      <c r="Q34" s="1045">
        <f t="shared" si="50"/>
        <v>0.45591710598073076</v>
      </c>
      <c r="R34" s="94"/>
      <c r="S34" s="94"/>
      <c r="T34" s="1045"/>
      <c r="U34" s="94"/>
      <c r="V34" s="94"/>
      <c r="W34" s="94"/>
      <c r="X34" s="94"/>
      <c r="Y34" s="94"/>
      <c r="Z34" s="3395"/>
      <c r="AA34" s="3360"/>
      <c r="AB34" s="3360"/>
      <c r="AC34" s="3360"/>
      <c r="AD34" s="3360"/>
      <c r="AE34" s="3360"/>
      <c r="AF34" s="3360"/>
      <c r="AG34" s="3360"/>
      <c r="AH34" s="1962"/>
      <c r="AI34" s="2159"/>
      <c r="AJ34" s="2159"/>
      <c r="AK34" s="2159"/>
      <c r="AL34" s="2159"/>
      <c r="AM34" s="2159"/>
      <c r="AN34" s="2159"/>
      <c r="AO34" s="2159"/>
      <c r="AP34" s="147"/>
      <c r="AQ34" s="94"/>
      <c r="AR34" s="94"/>
      <c r="AS34" s="94"/>
      <c r="AT34" s="147">
        <f t="shared" ref="AT34:CO34" si="51">AT32/AT$52</f>
        <v>0.34176786409904647</v>
      </c>
      <c r="AU34" s="94">
        <f t="shared" si="51"/>
        <v>0.34424496644295299</v>
      </c>
      <c r="AV34" s="94">
        <f t="shared" si="51"/>
        <v>0.34608882996353996</v>
      </c>
      <c r="AW34" s="94">
        <f t="shared" si="51"/>
        <v>0.34729800802051147</v>
      </c>
      <c r="AX34" s="147">
        <f t="shared" si="51"/>
        <v>0.35086421786691768</v>
      </c>
      <c r="AY34" s="94">
        <f t="shared" si="51"/>
        <v>0.35221675158251992</v>
      </c>
      <c r="AZ34" s="94">
        <f t="shared" si="51"/>
        <v>0.35367238993559702</v>
      </c>
      <c r="BA34" s="94">
        <f t="shared" si="51"/>
        <v>0.3539747674724405</v>
      </c>
      <c r="BB34" s="147">
        <f t="shared" si="51"/>
        <v>0.35581971272907381</v>
      </c>
      <c r="BC34" s="94">
        <f t="shared" si="51"/>
        <v>0.35701478788676327</v>
      </c>
      <c r="BD34" s="94">
        <f t="shared" si="51"/>
        <v>0.35834044228623924</v>
      </c>
      <c r="BE34" s="94">
        <f t="shared" si="51"/>
        <v>0.35956142651107909</v>
      </c>
      <c r="BF34" s="147">
        <f t="shared" si="51"/>
        <v>0.3589163675696937</v>
      </c>
      <c r="BG34" s="94">
        <f t="shared" si="51"/>
        <v>0.35780058747813459</v>
      </c>
      <c r="BH34" s="94">
        <f t="shared" si="51"/>
        <v>0.35606602064391735</v>
      </c>
      <c r="BI34" s="94">
        <f t="shared" si="51"/>
        <v>0.3535421314857996</v>
      </c>
      <c r="BJ34" s="147">
        <f t="shared" si="51"/>
        <v>0.35051110923375856</v>
      </c>
      <c r="BK34" s="94">
        <f t="shared" si="51"/>
        <v>0.34814624539772243</v>
      </c>
      <c r="BL34" s="94">
        <f t="shared" si="51"/>
        <v>0.34778405068973256</v>
      </c>
      <c r="BM34" s="94">
        <f t="shared" si="51"/>
        <v>0.34801225370744271</v>
      </c>
      <c r="BN34" s="147">
        <f t="shared" si="51"/>
        <v>0.34565201934015927</v>
      </c>
      <c r="BO34" s="94">
        <f t="shared" si="51"/>
        <v>0.34427704879673127</v>
      </c>
      <c r="BP34" s="94">
        <f t="shared" si="51"/>
        <v>0.3448181768568882</v>
      </c>
      <c r="BQ34" s="94">
        <f t="shared" si="51"/>
        <v>0.34452189586360377</v>
      </c>
      <c r="BR34" s="147">
        <f t="shared" si="51"/>
        <v>0.34433288172082921</v>
      </c>
      <c r="BS34" s="94">
        <f t="shared" si="51"/>
        <v>0.34575487653624987</v>
      </c>
      <c r="BT34" s="94">
        <f t="shared" si="51"/>
        <v>0.34753486956025348</v>
      </c>
      <c r="BU34" s="94">
        <f t="shared" si="51"/>
        <v>0.34979177913164183</v>
      </c>
      <c r="BV34" s="147">
        <f t="shared" si="51"/>
        <v>0.35024258549182252</v>
      </c>
      <c r="BW34" s="94">
        <f t="shared" si="51"/>
        <v>0.35483165284489787</v>
      </c>
      <c r="BX34" s="94">
        <f t="shared" si="51"/>
        <v>0.35829495424942687</v>
      </c>
      <c r="BY34" s="94">
        <f t="shared" si="51"/>
        <v>0.36167399971080955</v>
      </c>
      <c r="BZ34" s="147">
        <f t="shared" si="51"/>
        <v>0.36494773367086397</v>
      </c>
      <c r="CA34" s="94">
        <f t="shared" si="51"/>
        <v>0.36974846133261974</v>
      </c>
      <c r="CB34" s="94">
        <f t="shared" si="51"/>
        <v>0.37522772818364003</v>
      </c>
      <c r="CC34" s="94">
        <f t="shared" si="51"/>
        <v>0.37916298945608251</v>
      </c>
      <c r="CD34" s="147">
        <f t="shared" si="51"/>
        <v>0.38297720966632676</v>
      </c>
      <c r="CE34" s="94">
        <f t="shared" si="51"/>
        <v>0.38757045745941893</v>
      </c>
      <c r="CF34" s="94">
        <f t="shared" si="51"/>
        <v>0.39216171413019274</v>
      </c>
      <c r="CG34" s="94">
        <f t="shared" si="51"/>
        <v>0.45829201423321475</v>
      </c>
      <c r="CH34" s="147">
        <f t="shared" si="51"/>
        <v>0.4631993319813909</v>
      </c>
      <c r="CI34" s="94">
        <f t="shared" si="51"/>
        <v>0.47003788528543106</v>
      </c>
      <c r="CJ34" s="94">
        <f t="shared" si="51"/>
        <v>0.47605880871425432</v>
      </c>
      <c r="CK34" s="94">
        <f t="shared" si="51"/>
        <v>0.48036412923393512</v>
      </c>
      <c r="CL34" s="147">
        <f t="shared" si="51"/>
        <v>0.4470416113776326</v>
      </c>
      <c r="CM34" s="94">
        <f t="shared" si="51"/>
        <v>0.44949916527545908</v>
      </c>
      <c r="CN34" s="94">
        <f t="shared" si="51"/>
        <v>0.45242414541315407</v>
      </c>
      <c r="CO34" s="94">
        <f t="shared" si="51"/>
        <v>0.45591710598073076</v>
      </c>
      <c r="CP34" s="147"/>
      <c r="CQ34" s="94"/>
      <c r="CR34" s="94"/>
      <c r="CS34" s="94"/>
      <c r="CT34" s="147"/>
      <c r="CU34" s="94"/>
      <c r="CV34" s="94"/>
      <c r="CW34" s="101"/>
      <c r="CX34" s="94"/>
      <c r="CY34" s="94"/>
      <c r="CZ34" s="94"/>
      <c r="DA34" s="94"/>
      <c r="DB34" s="147"/>
      <c r="DC34" s="94"/>
      <c r="DD34" s="94"/>
      <c r="DE34" s="94"/>
      <c r="DF34" s="147"/>
      <c r="DG34" s="1045"/>
      <c r="DH34" s="1045"/>
      <c r="DI34" s="101"/>
      <c r="DJ34" s="147"/>
      <c r="DK34" s="1045"/>
      <c r="DL34" s="1045"/>
      <c r="DM34" s="101"/>
      <c r="DN34" s="1045"/>
      <c r="DO34" s="1045"/>
      <c r="DP34" s="1045"/>
      <c r="DQ34" s="101"/>
      <c r="DR34" s="1045"/>
      <c r="DS34" s="1045"/>
      <c r="DT34" s="1045"/>
      <c r="DU34" s="101"/>
      <c r="DV34" s="3360"/>
      <c r="DW34" s="3360"/>
      <c r="DX34" s="3360"/>
      <c r="DY34" s="3366"/>
    </row>
    <row r="35" spans="1:129" ht="15.75" hidden="1" customHeight="1" outlineLevel="1">
      <c r="A35" s="92" t="s">
        <v>419</v>
      </c>
      <c r="B35" s="87"/>
      <c r="C35" s="87"/>
      <c r="D35" s="87"/>
      <c r="E35" s="87"/>
      <c r="F35" s="87"/>
      <c r="G35" s="87"/>
      <c r="H35" s="87"/>
      <c r="I35" s="143">
        <f t="shared" ref="I35:Q35" si="52">I32-H32</f>
        <v>-864</v>
      </c>
      <c r="J35" s="143">
        <f t="shared" si="52"/>
        <v>-1081</v>
      </c>
      <c r="K35" s="143">
        <f t="shared" si="52"/>
        <v>-1262</v>
      </c>
      <c r="L35" s="143">
        <f t="shared" si="52"/>
        <v>-589</v>
      </c>
      <c r="M35" s="143">
        <f t="shared" si="52"/>
        <v>-634</v>
      </c>
      <c r="N35" s="143">
        <f t="shared" si="52"/>
        <v>-1183</v>
      </c>
      <c r="O35" s="143">
        <f t="shared" si="52"/>
        <v>-613</v>
      </c>
      <c r="P35" s="143">
        <f t="shared" si="52"/>
        <v>-747</v>
      </c>
      <c r="Q35" s="1047">
        <f t="shared" si="52"/>
        <v>-2426</v>
      </c>
      <c r="R35" s="143"/>
      <c r="S35" s="143"/>
      <c r="T35" s="1047"/>
      <c r="U35" s="143"/>
      <c r="V35" s="143"/>
      <c r="W35" s="143"/>
      <c r="X35" s="143"/>
      <c r="Y35" s="143"/>
      <c r="Z35" s="3398"/>
      <c r="AA35" s="3382"/>
      <c r="AB35" s="3382"/>
      <c r="AC35" s="3382"/>
      <c r="AD35" s="3382"/>
      <c r="AE35" s="3382"/>
      <c r="AF35" s="3382"/>
      <c r="AG35" s="3382"/>
      <c r="AH35" s="1959"/>
      <c r="AI35" s="2163"/>
      <c r="AJ35" s="2163"/>
      <c r="AK35" s="2163"/>
      <c r="AL35" s="2163"/>
      <c r="AM35" s="2163"/>
      <c r="AN35" s="2163"/>
      <c r="AO35" s="2163"/>
      <c r="AP35" s="88"/>
      <c r="AQ35" s="87"/>
      <c r="AR35" s="87"/>
      <c r="AS35" s="87"/>
      <c r="AT35" s="88"/>
      <c r="AU35" s="87"/>
      <c r="AV35" s="87"/>
      <c r="AW35" s="87"/>
      <c r="AX35" s="88"/>
      <c r="AY35" s="87"/>
      <c r="AZ35" s="87"/>
      <c r="BA35" s="87"/>
      <c r="BB35" s="159">
        <f t="shared" ref="BB35:CO35" si="53">BB32-BA32</f>
        <v>-149.0669999999991</v>
      </c>
      <c r="BC35" s="143">
        <f t="shared" si="53"/>
        <v>152</v>
      </c>
      <c r="BD35" s="143">
        <f t="shared" si="53"/>
        <v>139</v>
      </c>
      <c r="BE35" s="143">
        <f t="shared" si="53"/>
        <v>96</v>
      </c>
      <c r="BF35" s="159">
        <f t="shared" si="53"/>
        <v>-39</v>
      </c>
      <c r="BG35" s="143">
        <f t="shared" si="53"/>
        <v>-218</v>
      </c>
      <c r="BH35" s="143">
        <f t="shared" si="53"/>
        <v>-260</v>
      </c>
      <c r="BI35" s="143">
        <f t="shared" si="53"/>
        <v>-347</v>
      </c>
      <c r="BJ35" s="159">
        <f t="shared" si="53"/>
        <v>-330</v>
      </c>
      <c r="BK35" s="143">
        <f t="shared" si="53"/>
        <v>-415</v>
      </c>
      <c r="BL35" s="143">
        <f t="shared" si="53"/>
        <v>-186</v>
      </c>
      <c r="BM35" s="87">
        <f t="shared" si="53"/>
        <v>-150</v>
      </c>
      <c r="BN35" s="88">
        <f t="shared" si="53"/>
        <v>-549</v>
      </c>
      <c r="BO35" s="87">
        <f t="shared" si="53"/>
        <v>-318</v>
      </c>
      <c r="BP35" s="87">
        <f t="shared" si="53"/>
        <v>-172</v>
      </c>
      <c r="BQ35" s="87">
        <f t="shared" si="53"/>
        <v>-223</v>
      </c>
      <c r="BR35" s="88">
        <f t="shared" si="53"/>
        <v>-179</v>
      </c>
      <c r="BS35" s="87">
        <f t="shared" si="53"/>
        <v>-154</v>
      </c>
      <c r="BT35" s="143">
        <f t="shared" si="53"/>
        <v>-135</v>
      </c>
      <c r="BU35" s="143">
        <f t="shared" si="53"/>
        <v>-121</v>
      </c>
      <c r="BV35" s="159">
        <f t="shared" si="53"/>
        <v>-240</v>
      </c>
      <c r="BW35" s="143">
        <f t="shared" si="53"/>
        <v>-61</v>
      </c>
      <c r="BX35" s="143">
        <f t="shared" si="53"/>
        <v>-182</v>
      </c>
      <c r="BY35" s="143">
        <f t="shared" si="53"/>
        <v>-151</v>
      </c>
      <c r="BZ35" s="159">
        <f t="shared" si="53"/>
        <v>-786</v>
      </c>
      <c r="CA35" s="143">
        <f t="shared" si="53"/>
        <v>-142</v>
      </c>
      <c r="CB35" s="143">
        <f t="shared" si="53"/>
        <v>-104</v>
      </c>
      <c r="CC35" s="143">
        <f t="shared" si="53"/>
        <v>-151</v>
      </c>
      <c r="CD35" s="159">
        <f t="shared" si="53"/>
        <v>-177</v>
      </c>
      <c r="CE35" s="143">
        <f t="shared" si="53"/>
        <v>-128</v>
      </c>
      <c r="CF35" s="143">
        <f t="shared" si="53"/>
        <v>-171</v>
      </c>
      <c r="CG35" s="143">
        <f t="shared" si="53"/>
        <v>-137</v>
      </c>
      <c r="CH35" s="159">
        <f t="shared" si="53"/>
        <v>-181</v>
      </c>
      <c r="CI35" s="143">
        <f t="shared" si="53"/>
        <v>-137</v>
      </c>
      <c r="CJ35" s="143">
        <f t="shared" si="53"/>
        <v>-203</v>
      </c>
      <c r="CK35" s="143">
        <f t="shared" si="53"/>
        <v>-226</v>
      </c>
      <c r="CL35" s="159">
        <f t="shared" si="53"/>
        <v>-1827</v>
      </c>
      <c r="CM35" s="143">
        <f t="shared" si="53"/>
        <v>-215</v>
      </c>
      <c r="CN35" s="143">
        <f t="shared" si="53"/>
        <v>-205</v>
      </c>
      <c r="CO35" s="143">
        <f t="shared" si="53"/>
        <v>-179</v>
      </c>
      <c r="CP35" s="159"/>
      <c r="CQ35" s="143"/>
      <c r="CR35" s="143"/>
      <c r="CS35" s="143"/>
      <c r="CT35" s="159"/>
      <c r="CU35" s="143"/>
      <c r="CV35" s="143"/>
      <c r="CW35" s="189"/>
      <c r="CX35" s="143"/>
      <c r="CY35" s="143"/>
      <c r="CZ35" s="143"/>
      <c r="DA35" s="143"/>
      <c r="DB35" s="159"/>
      <c r="DC35" s="143"/>
      <c r="DD35" s="143"/>
      <c r="DE35" s="143"/>
      <c r="DF35" s="159"/>
      <c r="DG35" s="1047"/>
      <c r="DH35" s="1047"/>
      <c r="DI35" s="189"/>
      <c r="DJ35" s="159"/>
      <c r="DK35" s="1047"/>
      <c r="DL35" s="1047"/>
      <c r="DM35" s="189"/>
      <c r="DN35" s="1047"/>
      <c r="DO35" s="1047"/>
      <c r="DP35" s="1047"/>
      <c r="DQ35" s="189"/>
      <c r="DR35" s="1047"/>
      <c r="DS35" s="1047"/>
      <c r="DT35" s="1047"/>
      <c r="DU35" s="189"/>
      <c r="DV35" s="3382"/>
      <c r="DW35" s="3382"/>
      <c r="DX35" s="3382"/>
      <c r="DY35" s="3383"/>
    </row>
    <row r="36" spans="1:129" hidden="1" outlineLevel="1">
      <c r="A36" s="704" t="s">
        <v>431</v>
      </c>
      <c r="B36" s="458"/>
      <c r="C36" s="458"/>
      <c r="D36" s="458"/>
      <c r="E36" s="460">
        <f>NormInputs!E227</f>
        <v>259</v>
      </c>
      <c r="F36" s="460">
        <f>NormInputs!F227</f>
        <v>750</v>
      </c>
      <c r="G36" s="460">
        <f>NormInputs!G227</f>
        <v>1785</v>
      </c>
      <c r="H36" s="460">
        <f>NormInputs!H227</f>
        <v>3543</v>
      </c>
      <c r="I36" s="460">
        <f>NormInputs!I227</f>
        <v>3647</v>
      </c>
      <c r="J36" s="460">
        <f>NormInputs!J227</f>
        <v>4235</v>
      </c>
      <c r="K36" s="460">
        <f>BQ36</f>
        <v>5761</v>
      </c>
      <c r="L36" s="460">
        <f>BU36</f>
        <v>6576</v>
      </c>
      <c r="M36" s="460">
        <f>BY36</f>
        <v>5518</v>
      </c>
      <c r="N36" s="460">
        <f>N40+N49</f>
        <v>3357</v>
      </c>
      <c r="O36" s="460">
        <f>O40+O49</f>
        <v>2817</v>
      </c>
      <c r="P36" s="460">
        <f>P40+P49</f>
        <v>2367</v>
      </c>
      <c r="Q36" s="1114">
        <f>Q40+Q49</f>
        <v>2190</v>
      </c>
      <c r="R36" s="460"/>
      <c r="S36" s="460"/>
      <c r="T36" s="1114"/>
      <c r="U36" s="460"/>
      <c r="V36" s="460"/>
      <c r="W36" s="460"/>
      <c r="X36" s="460"/>
      <c r="Y36" s="460"/>
      <c r="Z36" s="3401"/>
      <c r="AA36" s="3384"/>
      <c r="AB36" s="3384"/>
      <c r="AC36" s="3384"/>
      <c r="AD36" s="3384"/>
      <c r="AE36" s="3384"/>
      <c r="AF36" s="3384"/>
      <c r="AG36" s="3384"/>
      <c r="AH36" s="2130"/>
      <c r="AI36"/>
      <c r="AJ36"/>
      <c r="AK36"/>
      <c r="AL36"/>
      <c r="AM36"/>
      <c r="AN36"/>
      <c r="AO36"/>
      <c r="AP36" s="459">
        <f>NormInputs!AF227</f>
        <v>44</v>
      </c>
      <c r="AQ36" s="460">
        <f>NormInputs!AG227</f>
        <v>87</v>
      </c>
      <c r="AR36" s="460">
        <f>NormInputs!AH227</f>
        <v>151</v>
      </c>
      <c r="AS36" s="460">
        <f>NormInputs!AI227</f>
        <v>259</v>
      </c>
      <c r="AT36" s="459">
        <f>NormInputs!AJ227</f>
        <v>349</v>
      </c>
      <c r="AU36" s="460">
        <f>NormInputs!AK227</f>
        <v>478</v>
      </c>
      <c r="AV36" s="460">
        <f>NormInputs!AL227</f>
        <v>602</v>
      </c>
      <c r="AW36" s="460">
        <f>NormInputs!AM227</f>
        <v>750</v>
      </c>
      <c r="AX36" s="459">
        <f>NormInputs!AN227</f>
        <v>890.86200000000008</v>
      </c>
      <c r="AY36" s="460">
        <f>NormInputs!AO227</f>
        <v>1137.925</v>
      </c>
      <c r="AZ36" s="460">
        <f>NormInputs!AP227</f>
        <v>1368.3969999999999</v>
      </c>
      <c r="BA36" s="460">
        <f>NormInputs!AQ227</f>
        <v>1771.9880000000001</v>
      </c>
      <c r="BB36" s="459">
        <f>NormInputs!AR227</f>
        <v>2311.2260000000001</v>
      </c>
      <c r="BC36" s="460">
        <f>NormInputs!AS227</f>
        <v>2842.2890000000002</v>
      </c>
      <c r="BD36" s="460">
        <f>NormInputs!AT227</f>
        <v>3208</v>
      </c>
      <c r="BE36" s="460">
        <f>NormInputs!AU227</f>
        <v>3543</v>
      </c>
      <c r="BF36" s="459">
        <f>NormInputs!AV227</f>
        <v>3615</v>
      </c>
      <c r="BG36" s="460">
        <f>NormInputs!AW227</f>
        <v>3706</v>
      </c>
      <c r="BH36" s="460">
        <f>NormInputs!AX227</f>
        <v>3670</v>
      </c>
      <c r="BI36" s="460">
        <f>NormInputs!AY227</f>
        <v>3647</v>
      </c>
      <c r="BJ36" s="459">
        <f>NormInputs!AZ227</f>
        <v>3637</v>
      </c>
      <c r="BK36" s="460">
        <f>NormInputs!BA227</f>
        <v>3678</v>
      </c>
      <c r="BL36" s="460">
        <f>NormInputs!BB227</f>
        <v>3891</v>
      </c>
      <c r="BM36" s="460">
        <f>NormInputs!BC227</f>
        <v>4235</v>
      </c>
      <c r="BN36" s="459">
        <f>NormInputs!BD227</f>
        <v>4570</v>
      </c>
      <c r="BO36" s="460">
        <f>NormInputs!BE227</f>
        <v>4998</v>
      </c>
      <c r="BP36" s="460">
        <f>NormInputs!BF227</f>
        <v>5377</v>
      </c>
      <c r="BQ36" s="460">
        <f>NormInputs!BG227</f>
        <v>5761</v>
      </c>
      <c r="BR36" s="459">
        <f>NormInputs!BH227</f>
        <v>6231</v>
      </c>
      <c r="BS36" s="460">
        <f>NormInputs!BI227</f>
        <v>6597</v>
      </c>
      <c r="BT36" s="460">
        <f>NormInputs!BJ227</f>
        <v>6661</v>
      </c>
      <c r="BU36" s="460">
        <f>NormInputs!BK227</f>
        <v>6576</v>
      </c>
      <c r="BV36" s="459">
        <f>NormInputs!BL227</f>
        <v>6376</v>
      </c>
      <c r="BW36" s="460">
        <f>NormInputs!BM227</f>
        <v>6172</v>
      </c>
      <c r="BX36" s="460">
        <f>NormInputs!BN227</f>
        <v>5841</v>
      </c>
      <c r="BY36" s="460">
        <f>NormInputs!BO227</f>
        <v>5518</v>
      </c>
      <c r="BZ36" s="459">
        <f>NormInputs!BP227</f>
        <v>3859</v>
      </c>
      <c r="CA36" s="460">
        <f>NormInputs!BQ227</f>
        <v>3675</v>
      </c>
      <c r="CB36" s="460">
        <f>NormInputs!BR227</f>
        <v>3498</v>
      </c>
      <c r="CC36" s="460">
        <f>NormInputs!BS227</f>
        <v>3357</v>
      </c>
      <c r="CD36" s="459">
        <f>NormInputs!BT227</f>
        <v>3221</v>
      </c>
      <c r="CE36" s="460">
        <f>NormInputs!BU227</f>
        <v>3062</v>
      </c>
      <c r="CF36" s="460">
        <f>NormInputs!BV227</f>
        <v>2938</v>
      </c>
      <c r="CG36" s="460">
        <f>NormInputs!BW227</f>
        <v>2817</v>
      </c>
      <c r="CH36" s="459">
        <f>NormInputs!BX227</f>
        <v>2693</v>
      </c>
      <c r="CI36" s="460">
        <f>NormInputs!BY227</f>
        <v>2575</v>
      </c>
      <c r="CJ36" s="460">
        <f>NormInputs!BZ227</f>
        <v>2466</v>
      </c>
      <c r="CK36" s="460">
        <f>NormInputs!CA227</f>
        <v>2367</v>
      </c>
      <c r="CL36" s="459">
        <f>NormInputs!CB227</f>
        <v>2300</v>
      </c>
      <c r="CM36" s="460">
        <f>NormInputs!CC227</f>
        <v>2250</v>
      </c>
      <c r="CN36" s="460">
        <f>NormInputs!CD227</f>
        <v>2220</v>
      </c>
      <c r="CO36" s="460">
        <f>NormInputs!CE227</f>
        <v>2190</v>
      </c>
      <c r="CP36" s="459"/>
      <c r="CQ36" s="460"/>
      <c r="CR36" s="460"/>
      <c r="CS36" s="460"/>
      <c r="CT36" s="459"/>
      <c r="CU36" s="460"/>
      <c r="CV36" s="460"/>
      <c r="CW36" s="461"/>
      <c r="CX36" s="460"/>
      <c r="CY36" s="460"/>
      <c r="CZ36" s="460"/>
      <c r="DA36" s="460"/>
      <c r="DB36" s="459"/>
      <c r="DC36" s="460"/>
      <c r="DD36" s="460"/>
      <c r="DE36" s="460"/>
      <c r="DF36" s="459"/>
      <c r="DG36" s="1114"/>
      <c r="DH36" s="1114"/>
      <c r="DI36" s="461"/>
      <c r="DJ36" s="459"/>
      <c r="DK36" s="1114"/>
      <c r="DL36" s="1114"/>
      <c r="DM36" s="461"/>
      <c r="DN36" s="1114"/>
      <c r="DO36" s="1114"/>
      <c r="DP36" s="1114"/>
      <c r="DQ36" s="461"/>
      <c r="DR36" s="1114"/>
      <c r="DS36" s="1114"/>
      <c r="DT36" s="1114"/>
      <c r="DU36" s="461"/>
      <c r="DV36" s="3384"/>
      <c r="DW36" s="3384"/>
      <c r="DX36" s="3384"/>
      <c r="DY36" s="3385"/>
    </row>
    <row r="37" spans="1:129" s="120" customFormat="1" hidden="1" outlineLevel="1">
      <c r="A37" s="1249" t="s">
        <v>432</v>
      </c>
      <c r="B37" s="463"/>
      <c r="C37" s="463"/>
      <c r="D37" s="463"/>
      <c r="E37" s="463"/>
      <c r="F37" s="463">
        <f t="shared" ref="F37:Q37" si="54">F36/E36-1</f>
        <v>1.8957528957528957</v>
      </c>
      <c r="G37" s="463">
        <f t="shared" si="54"/>
        <v>1.38</v>
      </c>
      <c r="H37" s="463">
        <f t="shared" si="54"/>
        <v>0.98487394957983199</v>
      </c>
      <c r="I37" s="463">
        <f t="shared" si="54"/>
        <v>2.9353655094552566E-2</v>
      </c>
      <c r="J37" s="463">
        <f t="shared" si="54"/>
        <v>0.1612284069097889</v>
      </c>
      <c r="K37" s="463">
        <f t="shared" si="54"/>
        <v>0.36033057851239669</v>
      </c>
      <c r="L37" s="463">
        <f t="shared" si="54"/>
        <v>0.14146849505294212</v>
      </c>
      <c r="M37" s="463">
        <f t="shared" si="54"/>
        <v>-0.16088807785888082</v>
      </c>
      <c r="N37" s="463">
        <f t="shared" si="54"/>
        <v>-0.39162740123233053</v>
      </c>
      <c r="O37" s="463">
        <f t="shared" si="54"/>
        <v>-0.16085790884718498</v>
      </c>
      <c r="P37" s="463">
        <f t="shared" si="54"/>
        <v>-0.15974440894568687</v>
      </c>
      <c r="Q37" s="1251">
        <f t="shared" si="54"/>
        <v>-7.4778200253485472E-2</v>
      </c>
      <c r="R37" s="463"/>
      <c r="S37" s="463"/>
      <c r="T37" s="1251"/>
      <c r="U37" s="463"/>
      <c r="V37" s="463"/>
      <c r="W37" s="463"/>
      <c r="X37" s="463"/>
      <c r="Y37" s="463"/>
      <c r="Z37" s="3402"/>
      <c r="AA37" s="3386"/>
      <c r="AB37" s="3386"/>
      <c r="AC37" s="3386"/>
      <c r="AD37" s="3386"/>
      <c r="AE37" s="3386"/>
      <c r="AF37" s="3386"/>
      <c r="AG37" s="3386"/>
      <c r="AH37" s="2131"/>
      <c r="AI37"/>
      <c r="AJ37"/>
      <c r="AK37"/>
      <c r="AL37"/>
      <c r="AM37"/>
      <c r="AN37"/>
      <c r="AO37"/>
      <c r="AP37" s="462"/>
      <c r="AQ37" s="463"/>
      <c r="AR37" s="463"/>
      <c r="AS37" s="463"/>
      <c r="AT37" s="462"/>
      <c r="AU37" s="463"/>
      <c r="AV37" s="463"/>
      <c r="AW37" s="463"/>
      <c r="AX37" s="462"/>
      <c r="AY37" s="463"/>
      <c r="AZ37" s="463"/>
      <c r="BA37" s="463"/>
      <c r="BB37" s="462"/>
      <c r="BC37" s="463"/>
      <c r="BD37" s="463"/>
      <c r="BE37" s="463">
        <f t="shared" ref="BE37:CO37" si="55">BE36/BA36-1</f>
        <v>0.99944920620229927</v>
      </c>
      <c r="BF37" s="462">
        <f t="shared" si="55"/>
        <v>0.56410493824489683</v>
      </c>
      <c r="BG37" s="463">
        <f t="shared" si="55"/>
        <v>0.30387866962156207</v>
      </c>
      <c r="BH37" s="463">
        <f t="shared" si="55"/>
        <v>0.14401496259351632</v>
      </c>
      <c r="BI37" s="463">
        <f t="shared" si="55"/>
        <v>2.9353655094552566E-2</v>
      </c>
      <c r="BJ37" s="462">
        <f t="shared" si="55"/>
        <v>6.0857538035961056E-3</v>
      </c>
      <c r="BK37" s="463">
        <f t="shared" si="55"/>
        <v>-7.5553157042633767E-3</v>
      </c>
      <c r="BL37" s="463">
        <f t="shared" si="55"/>
        <v>6.0217983651226215E-2</v>
      </c>
      <c r="BM37" s="463">
        <f t="shared" si="55"/>
        <v>0.1612284069097889</v>
      </c>
      <c r="BN37" s="462">
        <f t="shared" si="55"/>
        <v>0.25653010723123448</v>
      </c>
      <c r="BO37" s="463">
        <f t="shared" si="55"/>
        <v>0.35889070146818924</v>
      </c>
      <c r="BP37" s="463">
        <f t="shared" si="55"/>
        <v>0.3819069647905422</v>
      </c>
      <c r="BQ37" s="463">
        <f t="shared" si="55"/>
        <v>0.36033057851239669</v>
      </c>
      <c r="BR37" s="462">
        <f t="shared" si="55"/>
        <v>0.3634573304157549</v>
      </c>
      <c r="BS37" s="463">
        <f t="shared" si="55"/>
        <v>0.31992797118847549</v>
      </c>
      <c r="BT37" s="463">
        <f t="shared" si="55"/>
        <v>0.23879486702622277</v>
      </c>
      <c r="BU37" s="463">
        <f t="shared" si="55"/>
        <v>0.14146849505294212</v>
      </c>
      <c r="BV37" s="462">
        <f t="shared" si="55"/>
        <v>2.3270743058898979E-2</v>
      </c>
      <c r="BW37" s="463">
        <f t="shared" si="55"/>
        <v>-6.4423222676974423E-2</v>
      </c>
      <c r="BX37" s="463">
        <f t="shared" si="55"/>
        <v>-0.12310463894310164</v>
      </c>
      <c r="BY37" s="463">
        <f t="shared" si="55"/>
        <v>-0.16088807785888082</v>
      </c>
      <c r="BZ37" s="462">
        <f t="shared" si="55"/>
        <v>-0.3947616060225847</v>
      </c>
      <c r="CA37" s="463">
        <f t="shared" si="55"/>
        <v>-0.40456902138690864</v>
      </c>
      <c r="CB37" s="463">
        <f t="shared" si="55"/>
        <v>-0.40112994350282483</v>
      </c>
      <c r="CC37" s="463">
        <f t="shared" si="55"/>
        <v>-0.39162740123233053</v>
      </c>
      <c r="CD37" s="462">
        <f t="shared" si="55"/>
        <v>-0.16532780513086287</v>
      </c>
      <c r="CE37" s="463">
        <f t="shared" si="55"/>
        <v>-0.16680272108843541</v>
      </c>
      <c r="CF37" s="463">
        <f t="shared" si="55"/>
        <v>-0.16009148084619784</v>
      </c>
      <c r="CG37" s="463">
        <f t="shared" si="55"/>
        <v>-0.16085790884718498</v>
      </c>
      <c r="CH37" s="462">
        <f t="shared" si="55"/>
        <v>-0.16392424712822107</v>
      </c>
      <c r="CI37" s="463">
        <f t="shared" si="55"/>
        <v>-0.15904637491835405</v>
      </c>
      <c r="CJ37" s="463">
        <f t="shared" si="55"/>
        <v>-0.16065350578624915</v>
      </c>
      <c r="CK37" s="463">
        <f t="shared" si="55"/>
        <v>-0.15974440894568687</v>
      </c>
      <c r="CL37" s="462">
        <f t="shared" si="55"/>
        <v>-0.14593390271073148</v>
      </c>
      <c r="CM37" s="463">
        <f t="shared" si="55"/>
        <v>-0.12621359223300976</v>
      </c>
      <c r="CN37" s="463">
        <f t="shared" si="55"/>
        <v>-9.9756690997566899E-2</v>
      </c>
      <c r="CO37" s="463">
        <f t="shared" si="55"/>
        <v>-7.4778200253485472E-2</v>
      </c>
      <c r="CP37" s="462"/>
      <c r="CQ37" s="463"/>
      <c r="CR37" s="463"/>
      <c r="CS37" s="463"/>
      <c r="CT37" s="462"/>
      <c r="CU37" s="463"/>
      <c r="CV37" s="463"/>
      <c r="CW37" s="464"/>
      <c r="CX37" s="463"/>
      <c r="CY37" s="463"/>
      <c r="CZ37" s="463"/>
      <c r="DA37" s="463"/>
      <c r="DB37" s="462"/>
      <c r="DC37" s="463"/>
      <c r="DD37" s="463"/>
      <c r="DE37" s="463"/>
      <c r="DF37" s="462"/>
      <c r="DG37" s="1251"/>
      <c r="DH37" s="1251"/>
      <c r="DI37" s="464"/>
      <c r="DJ37" s="462"/>
      <c r="DK37" s="1251"/>
      <c r="DL37" s="1251"/>
      <c r="DM37" s="464"/>
      <c r="DN37" s="1251"/>
      <c r="DO37" s="1251"/>
      <c r="DP37" s="1251"/>
      <c r="DQ37" s="464"/>
      <c r="DR37" s="1251"/>
      <c r="DS37" s="1251"/>
      <c r="DT37" s="1251"/>
      <c r="DU37" s="464"/>
      <c r="DV37" s="3386"/>
      <c r="DW37" s="3386"/>
      <c r="DX37" s="3386"/>
      <c r="DY37" s="3387"/>
    </row>
    <row r="38" spans="1:129" hidden="1" outlineLevel="1">
      <c r="A38" s="705" t="s">
        <v>433</v>
      </c>
      <c r="B38" s="259"/>
      <c r="C38" s="259"/>
      <c r="D38" s="259"/>
      <c r="E38" s="261"/>
      <c r="F38" s="259">
        <f t="shared" ref="F38:Q38" si="56">F36-E36</f>
        <v>491</v>
      </c>
      <c r="G38" s="259">
        <f t="shared" si="56"/>
        <v>1035</v>
      </c>
      <c r="H38" s="259">
        <f t="shared" si="56"/>
        <v>1758</v>
      </c>
      <c r="I38" s="259">
        <f t="shared" si="56"/>
        <v>104</v>
      </c>
      <c r="J38" s="259">
        <f t="shared" si="56"/>
        <v>588</v>
      </c>
      <c r="K38" s="259">
        <f t="shared" si="56"/>
        <v>1526</v>
      </c>
      <c r="L38" s="259">
        <f t="shared" si="56"/>
        <v>815</v>
      </c>
      <c r="M38" s="261">
        <f t="shared" si="56"/>
        <v>-1058</v>
      </c>
      <c r="N38" s="261">
        <f t="shared" si="56"/>
        <v>-2161</v>
      </c>
      <c r="O38" s="261">
        <f t="shared" si="56"/>
        <v>-540</v>
      </c>
      <c r="P38" s="261">
        <f t="shared" si="56"/>
        <v>-450</v>
      </c>
      <c r="Q38" s="1116">
        <f t="shared" si="56"/>
        <v>-177</v>
      </c>
      <c r="R38" s="261"/>
      <c r="S38" s="261"/>
      <c r="T38" s="1116"/>
      <c r="U38" s="261"/>
      <c r="V38" s="261"/>
      <c r="W38" s="261"/>
      <c r="X38" s="261"/>
      <c r="Y38" s="261"/>
      <c r="Z38" s="3403"/>
      <c r="AA38" s="3404"/>
      <c r="AB38" s="3404"/>
      <c r="AC38" s="3404"/>
      <c r="AD38" s="3404"/>
      <c r="AE38" s="3404"/>
      <c r="AF38" s="3404"/>
      <c r="AG38" s="3404"/>
      <c r="AH38" s="2132"/>
      <c r="AI38"/>
      <c r="AJ38"/>
      <c r="AK38"/>
      <c r="AL38"/>
      <c r="AM38"/>
      <c r="AN38"/>
      <c r="AO38"/>
      <c r="AP38" s="706"/>
      <c r="AQ38" s="261"/>
      <c r="AR38" s="261"/>
      <c r="AS38" s="261"/>
      <c r="AT38" s="467"/>
      <c r="AU38" s="259"/>
      <c r="AV38" s="259"/>
      <c r="AW38" s="259"/>
      <c r="AX38" s="467"/>
      <c r="AY38" s="259"/>
      <c r="AZ38" s="259"/>
      <c r="BA38" s="259"/>
      <c r="BB38" s="467"/>
      <c r="BC38" s="259"/>
      <c r="BD38" s="259"/>
      <c r="BE38" s="259">
        <f t="shared" ref="BE38:CO38" si="57">BE36-BD36</f>
        <v>335</v>
      </c>
      <c r="BF38" s="467">
        <f t="shared" si="57"/>
        <v>72</v>
      </c>
      <c r="BG38" s="259">
        <f t="shared" si="57"/>
        <v>91</v>
      </c>
      <c r="BH38" s="259">
        <f t="shared" si="57"/>
        <v>-36</v>
      </c>
      <c r="BI38" s="259">
        <f t="shared" si="57"/>
        <v>-23</v>
      </c>
      <c r="BJ38" s="467">
        <f t="shared" si="57"/>
        <v>-10</v>
      </c>
      <c r="BK38" s="259">
        <f t="shared" si="57"/>
        <v>41</v>
      </c>
      <c r="BL38" s="259">
        <f t="shared" si="57"/>
        <v>213</v>
      </c>
      <c r="BM38" s="259">
        <f t="shared" si="57"/>
        <v>344</v>
      </c>
      <c r="BN38" s="467">
        <f t="shared" si="57"/>
        <v>335</v>
      </c>
      <c r="BO38" s="259">
        <f t="shared" si="57"/>
        <v>428</v>
      </c>
      <c r="BP38" s="259">
        <f t="shared" si="57"/>
        <v>379</v>
      </c>
      <c r="BQ38" s="259">
        <f t="shared" si="57"/>
        <v>384</v>
      </c>
      <c r="BR38" s="467">
        <f t="shared" si="57"/>
        <v>470</v>
      </c>
      <c r="BS38" s="259">
        <f t="shared" si="57"/>
        <v>366</v>
      </c>
      <c r="BT38" s="259">
        <f t="shared" si="57"/>
        <v>64</v>
      </c>
      <c r="BU38" s="259">
        <f t="shared" si="57"/>
        <v>-85</v>
      </c>
      <c r="BV38" s="467">
        <f t="shared" si="57"/>
        <v>-200</v>
      </c>
      <c r="BW38" s="259">
        <f t="shared" si="57"/>
        <v>-204</v>
      </c>
      <c r="BX38" s="259">
        <f t="shared" si="57"/>
        <v>-331</v>
      </c>
      <c r="BY38" s="259">
        <f t="shared" si="57"/>
        <v>-323</v>
      </c>
      <c r="BZ38" s="467">
        <f t="shared" si="57"/>
        <v>-1659</v>
      </c>
      <c r="CA38" s="259">
        <f t="shared" si="57"/>
        <v>-184</v>
      </c>
      <c r="CB38" s="259">
        <f t="shared" si="57"/>
        <v>-177</v>
      </c>
      <c r="CC38" s="259">
        <f t="shared" si="57"/>
        <v>-141</v>
      </c>
      <c r="CD38" s="467">
        <f t="shared" si="57"/>
        <v>-136</v>
      </c>
      <c r="CE38" s="259">
        <f t="shared" si="57"/>
        <v>-159</v>
      </c>
      <c r="CF38" s="259">
        <f t="shared" si="57"/>
        <v>-124</v>
      </c>
      <c r="CG38" s="259">
        <f t="shared" si="57"/>
        <v>-121</v>
      </c>
      <c r="CH38" s="467">
        <f t="shared" si="57"/>
        <v>-124</v>
      </c>
      <c r="CI38" s="259">
        <f t="shared" si="57"/>
        <v>-118</v>
      </c>
      <c r="CJ38" s="259">
        <f t="shared" si="57"/>
        <v>-109</v>
      </c>
      <c r="CK38" s="259">
        <f t="shared" si="57"/>
        <v>-99</v>
      </c>
      <c r="CL38" s="467">
        <f t="shared" si="57"/>
        <v>-67</v>
      </c>
      <c r="CM38" s="259">
        <f t="shared" si="57"/>
        <v>-50</v>
      </c>
      <c r="CN38" s="259">
        <f t="shared" si="57"/>
        <v>-30</v>
      </c>
      <c r="CO38" s="259">
        <f t="shared" si="57"/>
        <v>-30</v>
      </c>
      <c r="CP38" s="467"/>
      <c r="CQ38" s="259"/>
      <c r="CR38" s="259"/>
      <c r="CS38" s="259"/>
      <c r="CT38" s="467"/>
      <c r="CU38" s="259"/>
      <c r="CV38" s="259"/>
      <c r="CW38" s="468"/>
      <c r="CX38" s="259"/>
      <c r="CY38" s="259"/>
      <c r="CZ38" s="259"/>
      <c r="DA38" s="259"/>
      <c r="DB38" s="467"/>
      <c r="DC38" s="259"/>
      <c r="DD38" s="259"/>
      <c r="DE38" s="259"/>
      <c r="DF38" s="467"/>
      <c r="DG38" s="1115"/>
      <c r="DH38" s="1115"/>
      <c r="DI38" s="468"/>
      <c r="DJ38" s="467"/>
      <c r="DK38" s="1115"/>
      <c r="DL38" s="1115"/>
      <c r="DM38" s="468"/>
      <c r="DN38" s="1115"/>
      <c r="DO38" s="1115"/>
      <c r="DP38" s="1115"/>
      <c r="DQ38" s="468"/>
      <c r="DR38" s="1115"/>
      <c r="DS38" s="1115"/>
      <c r="DT38" s="1115"/>
      <c r="DU38" s="468"/>
      <c r="DV38" s="3388"/>
      <c r="DW38" s="3388"/>
      <c r="DX38" s="3388"/>
      <c r="DY38" s="3389"/>
    </row>
    <row r="39" spans="1:129" s="120" customFormat="1" hidden="1" outlineLevel="1">
      <c r="A39" s="1249" t="s">
        <v>434</v>
      </c>
      <c r="B39" s="1250"/>
      <c r="C39" s="1250"/>
      <c r="D39" s="1250"/>
      <c r="E39" s="463">
        <f t="shared" ref="E39:Q39" si="58">E36/E56</f>
        <v>4.4397209318271427E-3</v>
      </c>
      <c r="F39" s="463">
        <f t="shared" si="58"/>
        <v>1.2585898759030382E-2</v>
      </c>
      <c r="G39" s="463">
        <f t="shared" si="58"/>
        <v>2.9226165073850219E-2</v>
      </c>
      <c r="H39" s="463">
        <f t="shared" si="58"/>
        <v>5.7928684589912856E-2</v>
      </c>
      <c r="I39" s="463">
        <f t="shared" si="58"/>
        <v>6.0467391214238934E-2</v>
      </c>
      <c r="J39" s="463">
        <f t="shared" si="58"/>
        <v>7.2354202438003473E-2</v>
      </c>
      <c r="K39" s="463">
        <f t="shared" si="58"/>
        <v>0.10303783658102537</v>
      </c>
      <c r="L39" s="463">
        <f t="shared" si="58"/>
        <v>0.12379634597464208</v>
      </c>
      <c r="M39" s="463">
        <f t="shared" si="58"/>
        <v>0.11005295226318572</v>
      </c>
      <c r="N39" s="463">
        <f t="shared" si="58"/>
        <v>7.3401917589565865E-2</v>
      </c>
      <c r="O39" s="463">
        <f t="shared" si="58"/>
        <v>7.2843400910219278E-2</v>
      </c>
      <c r="P39" s="463">
        <f t="shared" si="58"/>
        <v>7.2339382274852607E-2</v>
      </c>
      <c r="Q39" s="1251">
        <f t="shared" si="58"/>
        <v>7.4666898690929018E-2</v>
      </c>
      <c r="R39" s="463"/>
      <c r="S39" s="463"/>
      <c r="T39" s="1251"/>
      <c r="U39" s="463"/>
      <c r="V39" s="463"/>
      <c r="W39" s="463"/>
      <c r="X39" s="463"/>
      <c r="Y39" s="463"/>
      <c r="Z39" s="3402"/>
      <c r="AA39" s="3386"/>
      <c r="AB39" s="3386"/>
      <c r="AC39" s="3386"/>
      <c r="AD39" s="3386"/>
      <c r="AE39" s="3386"/>
      <c r="AF39" s="3386"/>
      <c r="AG39" s="3386"/>
      <c r="AH39" s="2131"/>
      <c r="AI39"/>
      <c r="AJ39"/>
      <c r="AK39"/>
      <c r="AL39"/>
      <c r="AM39"/>
      <c r="AN39"/>
      <c r="AO39"/>
      <c r="AP39" s="462">
        <f t="shared" ref="AP39:BU39" si="59">AP36/AP56</f>
        <v>7.8077864925293677E-4</v>
      </c>
      <c r="AQ39" s="463">
        <f t="shared" si="59"/>
        <v>1.5352579939295547E-3</v>
      </c>
      <c r="AR39" s="463">
        <f t="shared" si="59"/>
        <v>2.6354830264420977E-3</v>
      </c>
      <c r="AS39" s="463">
        <f t="shared" si="59"/>
        <v>4.467635516839881E-3</v>
      </c>
      <c r="AT39" s="462">
        <f t="shared" si="59"/>
        <v>5.9464985517123873E-3</v>
      </c>
      <c r="AU39" s="463">
        <f t="shared" si="59"/>
        <v>8.057786805795537E-3</v>
      </c>
      <c r="AV39" s="463">
        <f t="shared" si="59"/>
        <v>1.0038352509588127E-2</v>
      </c>
      <c r="AW39" s="463">
        <f t="shared" si="59"/>
        <v>1.2377871666226564E-2</v>
      </c>
      <c r="AX39" s="462">
        <f t="shared" si="59"/>
        <v>1.4747943557879678E-2</v>
      </c>
      <c r="AY39" s="463">
        <f t="shared" si="59"/>
        <v>1.8908470655874723E-2</v>
      </c>
      <c r="AZ39" s="463">
        <f t="shared" si="59"/>
        <v>2.2563831531673226E-2</v>
      </c>
      <c r="BA39" s="463">
        <f t="shared" si="59"/>
        <v>2.9000419551518077E-2</v>
      </c>
      <c r="BB39" s="462">
        <f t="shared" si="59"/>
        <v>3.792724521305401E-2</v>
      </c>
      <c r="BC39" s="463">
        <f t="shared" si="59"/>
        <v>4.6839465075846846E-2</v>
      </c>
      <c r="BD39" s="463">
        <f t="shared" si="59"/>
        <v>5.2698584793304255E-2</v>
      </c>
      <c r="BE39" s="463">
        <f t="shared" si="59"/>
        <v>5.8095300560784442E-2</v>
      </c>
      <c r="BF39" s="462">
        <f t="shared" si="59"/>
        <v>5.9246269451705684E-2</v>
      </c>
      <c r="BG39" s="463">
        <f t="shared" si="59"/>
        <v>6.0946429305595524E-2</v>
      </c>
      <c r="BH39" s="463">
        <f t="shared" si="59"/>
        <v>6.0781212477538281E-2</v>
      </c>
      <c r="BI39" s="463">
        <f t="shared" si="59"/>
        <v>6.0898024613021191E-2</v>
      </c>
      <c r="BJ39" s="462">
        <f t="shared" si="59"/>
        <v>6.1231017879389879E-2</v>
      </c>
      <c r="BK39" s="463">
        <f t="shared" si="59"/>
        <v>6.2561660146283379E-2</v>
      </c>
      <c r="BL39" s="463">
        <f t="shared" si="59"/>
        <v>6.6903951305065518E-2</v>
      </c>
      <c r="BM39" s="463">
        <f t="shared" si="59"/>
        <v>7.3414057015072851E-2</v>
      </c>
      <c r="BN39" s="462">
        <f t="shared" si="59"/>
        <v>8.0381327611073985E-2</v>
      </c>
      <c r="BO39" s="463">
        <f t="shared" si="59"/>
        <v>8.9399264843980572E-2</v>
      </c>
      <c r="BP39" s="463">
        <f t="shared" si="59"/>
        <v>9.7296612623045745E-2</v>
      </c>
      <c r="BQ39" s="463">
        <f t="shared" si="59"/>
        <v>0.10537579338223189</v>
      </c>
      <c r="BR39" s="462">
        <f t="shared" si="59"/>
        <v>0.11512027491408934</v>
      </c>
      <c r="BS39" s="463">
        <f t="shared" si="59"/>
        <v>0.12319902889957514</v>
      </c>
      <c r="BT39" s="463">
        <f t="shared" si="59"/>
        <v>0.12595611107434265</v>
      </c>
      <c r="BU39" s="463">
        <f t="shared" si="59"/>
        <v>0.12595167638693366</v>
      </c>
      <c r="BV39" s="462">
        <f t="shared" ref="BV39:CO39" si="60">BV36/BV56</f>
        <v>0.12382506020352677</v>
      </c>
      <c r="BW39" s="463">
        <f t="shared" si="60"/>
        <v>0.12173690075839012</v>
      </c>
      <c r="BX39" s="463">
        <f t="shared" si="60"/>
        <v>0.11732213875386655</v>
      </c>
      <c r="BY39" s="463">
        <f t="shared" si="60"/>
        <v>0.11295803480040942</v>
      </c>
      <c r="BZ39" s="462">
        <f t="shared" si="60"/>
        <v>8.190249803680201E-2</v>
      </c>
      <c r="CA39" s="463">
        <f t="shared" si="60"/>
        <v>8.1065878434270461E-2</v>
      </c>
      <c r="CB39" s="463">
        <f t="shared" si="60"/>
        <v>7.88228401460183E-2</v>
      </c>
      <c r="CC39" s="463">
        <f t="shared" si="60"/>
        <v>7.7199034149706802E-2</v>
      </c>
      <c r="CD39" s="462">
        <f t="shared" si="60"/>
        <v>7.5588149017307121E-2</v>
      </c>
      <c r="CE39" s="463">
        <f t="shared" si="60"/>
        <v>7.3337804177045413E-2</v>
      </c>
      <c r="CF39" s="463">
        <f t="shared" si="60"/>
        <v>7.1874159062553511E-2</v>
      </c>
      <c r="CG39" s="463">
        <f t="shared" si="60"/>
        <v>7.541865788522549E-2</v>
      </c>
      <c r="CH39" s="462">
        <f t="shared" si="60"/>
        <v>7.9418443481081721E-2</v>
      </c>
      <c r="CI39" s="463">
        <f t="shared" si="60"/>
        <v>7.7695178938714637E-2</v>
      </c>
      <c r="CJ39" s="463">
        <f t="shared" si="60"/>
        <v>7.6270357517311482E-2</v>
      </c>
      <c r="CK39" s="463">
        <f t="shared" si="60"/>
        <v>7.5062366779456241E-2</v>
      </c>
      <c r="CL39" s="462">
        <f t="shared" si="60"/>
        <v>7.5974623947082556E-2</v>
      </c>
      <c r="CM39" s="463">
        <f t="shared" si="60"/>
        <v>7.7395387234920801E-2</v>
      </c>
      <c r="CN39" s="463">
        <f t="shared" si="60"/>
        <v>7.8079662358216825E-2</v>
      </c>
      <c r="CO39" s="463">
        <f t="shared" si="60"/>
        <v>7.8751483332734004E-2</v>
      </c>
      <c r="CP39" s="462"/>
      <c r="CQ39" s="463"/>
      <c r="CR39" s="463"/>
      <c r="CS39" s="463"/>
      <c r="CT39" s="462"/>
      <c r="CU39" s="463"/>
      <c r="CV39" s="463"/>
      <c r="CW39" s="464"/>
      <c r="CX39" s="463"/>
      <c r="CY39" s="463"/>
      <c r="CZ39" s="463"/>
      <c r="DA39" s="463"/>
      <c r="DB39" s="462"/>
      <c r="DC39" s="463"/>
      <c r="DD39" s="463"/>
      <c r="DE39" s="463"/>
      <c r="DF39" s="462"/>
      <c r="DG39" s="1251"/>
      <c r="DH39" s="1251"/>
      <c r="DI39" s="464"/>
      <c r="DJ39" s="462"/>
      <c r="DK39" s="1251"/>
      <c r="DL39" s="1251"/>
      <c r="DM39" s="464"/>
      <c r="DN39" s="1251"/>
      <c r="DO39" s="1251"/>
      <c r="DP39" s="1251"/>
      <c r="DQ39" s="464"/>
      <c r="DR39" s="1251"/>
      <c r="DS39" s="1251"/>
      <c r="DT39" s="1251"/>
      <c r="DU39" s="464"/>
      <c r="DV39" s="3386"/>
      <c r="DW39" s="3386"/>
      <c r="DX39" s="3386"/>
      <c r="DY39" s="3387"/>
    </row>
    <row r="40" spans="1:129" hidden="1" outlineLevel="1">
      <c r="A40" s="708" t="s">
        <v>435</v>
      </c>
      <c r="B40" s="458"/>
      <c r="C40" s="458"/>
      <c r="D40" s="458"/>
      <c r="E40" s="460">
        <f t="shared" ref="E40:J40" si="61">E36-E49</f>
        <v>259</v>
      </c>
      <c r="F40" s="460">
        <f t="shared" si="61"/>
        <v>750</v>
      </c>
      <c r="G40" s="460">
        <f t="shared" si="61"/>
        <v>1785</v>
      </c>
      <c r="H40" s="460">
        <f t="shared" si="61"/>
        <v>1856</v>
      </c>
      <c r="I40" s="460">
        <f t="shared" si="61"/>
        <v>1433</v>
      </c>
      <c r="J40" s="460">
        <f t="shared" si="61"/>
        <v>1049</v>
      </c>
      <c r="K40" s="460">
        <f>BQ40</f>
        <v>742</v>
      </c>
      <c r="L40" s="460">
        <f>BU40</f>
        <v>612</v>
      </c>
      <c r="M40" s="460">
        <f>BY40</f>
        <v>524</v>
      </c>
      <c r="N40" s="460">
        <f>CC40</f>
        <v>671.39999999999964</v>
      </c>
      <c r="O40" s="460">
        <f>CG40</f>
        <v>563.40000000000009</v>
      </c>
      <c r="P40" s="460">
        <f>CK40</f>
        <v>473.39999999999986</v>
      </c>
      <c r="Q40" s="1114">
        <f>CO40</f>
        <v>438</v>
      </c>
      <c r="R40" s="460"/>
      <c r="S40" s="460"/>
      <c r="T40" s="1114"/>
      <c r="U40" s="460"/>
      <c r="V40" s="460"/>
      <c r="W40" s="460"/>
      <c r="X40" s="460"/>
      <c r="Y40" s="460"/>
      <c r="Z40" s="3401"/>
      <c r="AA40" s="3384"/>
      <c r="AB40" s="3384"/>
      <c r="AC40" s="3384"/>
      <c r="AD40" s="3384"/>
      <c r="AE40" s="3384"/>
      <c r="AF40" s="3384"/>
      <c r="AG40" s="3384"/>
      <c r="AH40" s="2130"/>
      <c r="AI40"/>
      <c r="AJ40"/>
      <c r="AK40"/>
      <c r="AL40"/>
      <c r="AM40"/>
      <c r="AN40"/>
      <c r="AO40"/>
      <c r="AP40" s="459"/>
      <c r="AQ40" s="460"/>
      <c r="AR40" s="460"/>
      <c r="AS40" s="460"/>
      <c r="AT40" s="704"/>
      <c r="AU40" s="458"/>
      <c r="AV40" s="458"/>
      <c r="AW40" s="458"/>
      <c r="AX40" s="704"/>
      <c r="AY40" s="458"/>
      <c r="AZ40" s="458"/>
      <c r="BA40" s="458"/>
      <c r="BB40" s="704"/>
      <c r="BC40" s="458"/>
      <c r="BD40" s="458"/>
      <c r="BE40" s="460">
        <f t="shared" ref="BE40:CO40" si="62">BE36-BE49</f>
        <v>1856</v>
      </c>
      <c r="BF40" s="459">
        <f t="shared" si="62"/>
        <v>1970</v>
      </c>
      <c r="BG40" s="460">
        <f t="shared" si="62"/>
        <v>1613</v>
      </c>
      <c r="BH40" s="460">
        <f t="shared" si="62"/>
        <v>1532</v>
      </c>
      <c r="BI40" s="460">
        <f t="shared" si="62"/>
        <v>1433</v>
      </c>
      <c r="BJ40" s="459">
        <f t="shared" si="62"/>
        <v>1360</v>
      </c>
      <c r="BK40" s="460">
        <f t="shared" si="62"/>
        <v>1278</v>
      </c>
      <c r="BL40" s="460">
        <f t="shared" si="62"/>
        <v>1150</v>
      </c>
      <c r="BM40" s="460">
        <f t="shared" si="62"/>
        <v>1049</v>
      </c>
      <c r="BN40" s="459">
        <f t="shared" si="62"/>
        <v>998</v>
      </c>
      <c r="BO40" s="460">
        <f t="shared" si="62"/>
        <v>908</v>
      </c>
      <c r="BP40" s="460">
        <f t="shared" si="62"/>
        <v>808</v>
      </c>
      <c r="BQ40" s="460">
        <f t="shared" si="62"/>
        <v>742</v>
      </c>
      <c r="BR40" s="459">
        <f t="shared" si="62"/>
        <v>704</v>
      </c>
      <c r="BS40" s="460">
        <f t="shared" si="62"/>
        <v>645</v>
      </c>
      <c r="BT40" s="460">
        <f t="shared" si="62"/>
        <v>604</v>
      </c>
      <c r="BU40" s="460">
        <f t="shared" si="62"/>
        <v>612</v>
      </c>
      <c r="BV40" s="459">
        <f t="shared" si="62"/>
        <v>598</v>
      </c>
      <c r="BW40" s="460">
        <f t="shared" si="62"/>
        <v>614</v>
      </c>
      <c r="BX40" s="460">
        <f t="shared" si="62"/>
        <v>647</v>
      </c>
      <c r="BY40" s="460">
        <f t="shared" si="62"/>
        <v>524</v>
      </c>
      <c r="BZ40" s="459">
        <f t="shared" si="62"/>
        <v>771.79999999999973</v>
      </c>
      <c r="CA40" s="460">
        <f t="shared" si="62"/>
        <v>735</v>
      </c>
      <c r="CB40" s="460">
        <f t="shared" si="62"/>
        <v>699.59999999999991</v>
      </c>
      <c r="CC40" s="460">
        <f t="shared" si="62"/>
        <v>671.39999999999964</v>
      </c>
      <c r="CD40" s="459">
        <f t="shared" si="62"/>
        <v>644.19999999999982</v>
      </c>
      <c r="CE40" s="460">
        <f t="shared" si="62"/>
        <v>612.40000000000009</v>
      </c>
      <c r="CF40" s="460">
        <f t="shared" si="62"/>
        <v>587.59999999999991</v>
      </c>
      <c r="CG40" s="460">
        <f t="shared" si="62"/>
        <v>563.40000000000009</v>
      </c>
      <c r="CH40" s="459">
        <f t="shared" si="62"/>
        <v>538.59999999999991</v>
      </c>
      <c r="CI40" s="460">
        <f t="shared" si="62"/>
        <v>515</v>
      </c>
      <c r="CJ40" s="460">
        <f t="shared" si="62"/>
        <v>493.19999999999982</v>
      </c>
      <c r="CK40" s="460">
        <f t="shared" si="62"/>
        <v>473.39999999999986</v>
      </c>
      <c r="CL40" s="459">
        <f t="shared" si="62"/>
        <v>460</v>
      </c>
      <c r="CM40" s="460">
        <f t="shared" si="62"/>
        <v>450</v>
      </c>
      <c r="CN40" s="460">
        <f t="shared" si="62"/>
        <v>444</v>
      </c>
      <c r="CO40" s="460">
        <f t="shared" si="62"/>
        <v>438</v>
      </c>
      <c r="CP40" s="459"/>
      <c r="CQ40" s="460"/>
      <c r="CR40" s="460"/>
      <c r="CS40" s="460"/>
      <c r="CT40" s="459"/>
      <c r="CU40" s="460"/>
      <c r="CV40" s="460"/>
      <c r="CW40" s="461"/>
      <c r="CX40" s="460"/>
      <c r="CY40" s="460"/>
      <c r="CZ40" s="460"/>
      <c r="DA40" s="460"/>
      <c r="DB40" s="459"/>
      <c r="DC40" s="460"/>
      <c r="DD40" s="460"/>
      <c r="DE40" s="460"/>
      <c r="DF40" s="459"/>
      <c r="DG40" s="1114"/>
      <c r="DH40" s="1114"/>
      <c r="DI40" s="461"/>
      <c r="DJ40" s="459"/>
      <c r="DK40" s="1114"/>
      <c r="DL40" s="1114"/>
      <c r="DM40" s="461"/>
      <c r="DN40" s="1114"/>
      <c r="DO40" s="1114"/>
      <c r="DP40" s="1114"/>
      <c r="DQ40" s="461"/>
      <c r="DR40" s="1114"/>
      <c r="DS40" s="1114"/>
      <c r="DT40" s="1114"/>
      <c r="DU40" s="461"/>
      <c r="DV40" s="3384"/>
      <c r="DW40" s="3384"/>
      <c r="DX40" s="3384"/>
      <c r="DY40" s="3385"/>
    </row>
    <row r="41" spans="1:129" hidden="1" outlineLevel="1">
      <c r="A41" s="705" t="s">
        <v>436</v>
      </c>
      <c r="B41" s="259"/>
      <c r="C41" s="259"/>
      <c r="D41" s="259"/>
      <c r="E41" s="261"/>
      <c r="F41" s="259"/>
      <c r="G41" s="259"/>
      <c r="H41" s="259">
        <f t="shared" ref="H41:Q41" si="63">H40-G40</f>
        <v>71</v>
      </c>
      <c r="I41" s="259">
        <f t="shared" si="63"/>
        <v>-423</v>
      </c>
      <c r="J41" s="259">
        <f t="shared" si="63"/>
        <v>-384</v>
      </c>
      <c r="K41" s="259">
        <f t="shared" si="63"/>
        <v>-307</v>
      </c>
      <c r="L41" s="259">
        <f t="shared" si="63"/>
        <v>-130</v>
      </c>
      <c r="M41" s="259">
        <f t="shared" si="63"/>
        <v>-88</v>
      </c>
      <c r="N41" s="259">
        <f t="shared" si="63"/>
        <v>147.39999999999964</v>
      </c>
      <c r="O41" s="259">
        <f t="shared" si="63"/>
        <v>-107.99999999999955</v>
      </c>
      <c r="P41" s="259">
        <f t="shared" si="63"/>
        <v>-90.000000000000227</v>
      </c>
      <c r="Q41" s="1115">
        <f t="shared" si="63"/>
        <v>-35.399999999999864</v>
      </c>
      <c r="R41" s="259"/>
      <c r="S41" s="259"/>
      <c r="T41" s="1115"/>
      <c r="U41" s="259"/>
      <c r="V41" s="259"/>
      <c r="W41" s="259"/>
      <c r="X41" s="259"/>
      <c r="Y41" s="259"/>
      <c r="Z41" s="3405"/>
      <c r="AA41" s="3388"/>
      <c r="AB41" s="3388"/>
      <c r="AC41" s="3388"/>
      <c r="AD41" s="3388"/>
      <c r="AE41" s="3388"/>
      <c r="AF41" s="3388"/>
      <c r="AG41" s="3388"/>
      <c r="AH41" s="2133"/>
      <c r="AI41"/>
      <c r="AJ41"/>
      <c r="AK41"/>
      <c r="AL41"/>
      <c r="AM41"/>
      <c r="AN41"/>
      <c r="AO41"/>
      <c r="AP41" s="706"/>
      <c r="AQ41" s="261"/>
      <c r="AR41" s="261"/>
      <c r="AS41" s="261"/>
      <c r="AT41" s="467"/>
      <c r="AU41" s="259"/>
      <c r="AV41" s="259"/>
      <c r="AW41" s="259"/>
      <c r="AX41" s="467"/>
      <c r="AY41" s="259"/>
      <c r="AZ41" s="259"/>
      <c r="BA41" s="259"/>
      <c r="BB41" s="467"/>
      <c r="BC41" s="259"/>
      <c r="BD41" s="259"/>
      <c r="BE41" s="259"/>
      <c r="BF41" s="467">
        <f t="shared" ref="BF41:CO41" si="64">BF40-BE40</f>
        <v>114</v>
      </c>
      <c r="BG41" s="259">
        <f t="shared" si="64"/>
        <v>-357</v>
      </c>
      <c r="BH41" s="259">
        <f t="shared" si="64"/>
        <v>-81</v>
      </c>
      <c r="BI41" s="259">
        <f t="shared" si="64"/>
        <v>-99</v>
      </c>
      <c r="BJ41" s="467">
        <f t="shared" si="64"/>
        <v>-73</v>
      </c>
      <c r="BK41" s="259">
        <f t="shared" si="64"/>
        <v>-82</v>
      </c>
      <c r="BL41" s="259">
        <f t="shared" si="64"/>
        <v>-128</v>
      </c>
      <c r="BM41" s="259">
        <f t="shared" si="64"/>
        <v>-101</v>
      </c>
      <c r="BN41" s="467">
        <f t="shared" si="64"/>
        <v>-51</v>
      </c>
      <c r="BO41" s="259">
        <f t="shared" si="64"/>
        <v>-90</v>
      </c>
      <c r="BP41" s="259">
        <f t="shared" si="64"/>
        <v>-100</v>
      </c>
      <c r="BQ41" s="259">
        <f t="shared" si="64"/>
        <v>-66</v>
      </c>
      <c r="BR41" s="467">
        <f t="shared" si="64"/>
        <v>-38</v>
      </c>
      <c r="BS41" s="259">
        <f t="shared" si="64"/>
        <v>-59</v>
      </c>
      <c r="BT41" s="259">
        <f t="shared" si="64"/>
        <v>-41</v>
      </c>
      <c r="BU41" s="259">
        <f t="shared" si="64"/>
        <v>8</v>
      </c>
      <c r="BV41" s="467">
        <f t="shared" si="64"/>
        <v>-14</v>
      </c>
      <c r="BW41" s="259">
        <f t="shared" si="64"/>
        <v>16</v>
      </c>
      <c r="BX41" s="259">
        <f t="shared" si="64"/>
        <v>33</v>
      </c>
      <c r="BY41" s="259">
        <f t="shared" si="64"/>
        <v>-123</v>
      </c>
      <c r="BZ41" s="467">
        <f t="shared" si="64"/>
        <v>247.79999999999973</v>
      </c>
      <c r="CA41" s="259">
        <f t="shared" si="64"/>
        <v>-36.799999999999727</v>
      </c>
      <c r="CB41" s="259">
        <f t="shared" si="64"/>
        <v>-35.400000000000091</v>
      </c>
      <c r="CC41" s="259">
        <f t="shared" si="64"/>
        <v>-28.200000000000273</v>
      </c>
      <c r="CD41" s="467">
        <f t="shared" si="64"/>
        <v>-27.199999999999818</v>
      </c>
      <c r="CE41" s="259">
        <f t="shared" si="64"/>
        <v>-31.799999999999727</v>
      </c>
      <c r="CF41" s="259">
        <f t="shared" si="64"/>
        <v>-24.800000000000182</v>
      </c>
      <c r="CG41" s="259">
        <f t="shared" si="64"/>
        <v>-24.199999999999818</v>
      </c>
      <c r="CH41" s="467">
        <f t="shared" si="64"/>
        <v>-24.800000000000182</v>
      </c>
      <c r="CI41" s="259">
        <f t="shared" si="64"/>
        <v>-23.599999999999909</v>
      </c>
      <c r="CJ41" s="259">
        <f t="shared" si="64"/>
        <v>-21.800000000000182</v>
      </c>
      <c r="CK41" s="259">
        <f t="shared" si="64"/>
        <v>-19.799999999999955</v>
      </c>
      <c r="CL41" s="467">
        <f t="shared" si="64"/>
        <v>-13.399999999999864</v>
      </c>
      <c r="CM41" s="259">
        <f t="shared" si="64"/>
        <v>-10</v>
      </c>
      <c r="CN41" s="259">
        <f t="shared" si="64"/>
        <v>-6</v>
      </c>
      <c r="CO41" s="259">
        <f t="shared" si="64"/>
        <v>-6</v>
      </c>
      <c r="CP41" s="467"/>
      <c r="CQ41" s="259"/>
      <c r="CR41" s="259"/>
      <c r="CS41" s="259"/>
      <c r="CT41" s="467"/>
      <c r="CU41" s="259"/>
      <c r="CV41" s="259"/>
      <c r="CW41" s="468"/>
      <c r="CX41" s="259"/>
      <c r="CY41" s="259"/>
      <c r="CZ41" s="259"/>
      <c r="DA41" s="259"/>
      <c r="DB41" s="467"/>
      <c r="DC41" s="259"/>
      <c r="DD41" s="259"/>
      <c r="DE41" s="259"/>
      <c r="DF41" s="467"/>
      <c r="DG41" s="1115"/>
      <c r="DH41" s="1115"/>
      <c r="DI41" s="468"/>
      <c r="DJ41" s="467"/>
      <c r="DK41" s="1115"/>
      <c r="DL41" s="1115"/>
      <c r="DM41" s="468"/>
      <c r="DN41" s="1115"/>
      <c r="DO41" s="1115"/>
      <c r="DP41" s="1115"/>
      <c r="DQ41" s="468"/>
      <c r="DR41" s="1115"/>
      <c r="DS41" s="1115"/>
      <c r="DT41" s="1115"/>
      <c r="DU41" s="468"/>
      <c r="DV41" s="3388"/>
      <c r="DW41" s="3388"/>
      <c r="DX41" s="3388"/>
      <c r="DY41" s="3389"/>
    </row>
    <row r="42" spans="1:129" s="120" customFormat="1" hidden="1" outlineLevel="1">
      <c r="A42" s="1249" t="s">
        <v>437</v>
      </c>
      <c r="B42" s="463"/>
      <c r="C42" s="463"/>
      <c r="D42" s="463"/>
      <c r="E42" s="463"/>
      <c r="F42" s="463"/>
      <c r="G42" s="463"/>
      <c r="H42" s="463">
        <f t="shared" ref="H42:Q42" si="65">H40/H36</f>
        <v>0.52384984476432406</v>
      </c>
      <c r="I42" s="463">
        <f t="shared" si="65"/>
        <v>0.39292569234987662</v>
      </c>
      <c r="J42" s="463">
        <f t="shared" si="65"/>
        <v>0.24769775678866587</v>
      </c>
      <c r="K42" s="463">
        <f t="shared" si="65"/>
        <v>0.12879708383961117</v>
      </c>
      <c r="L42" s="463">
        <f t="shared" si="65"/>
        <v>9.3065693430656932E-2</v>
      </c>
      <c r="M42" s="463">
        <f t="shared" si="65"/>
        <v>9.4961942732874227E-2</v>
      </c>
      <c r="N42" s="463">
        <f t="shared" si="65"/>
        <v>0.1999999999999999</v>
      </c>
      <c r="O42" s="463">
        <f t="shared" si="65"/>
        <v>0.20000000000000004</v>
      </c>
      <c r="P42" s="463">
        <f t="shared" si="65"/>
        <v>0.19999999999999996</v>
      </c>
      <c r="Q42" s="1251">
        <f t="shared" si="65"/>
        <v>0.2</v>
      </c>
      <c r="R42" s="463"/>
      <c r="S42" s="463"/>
      <c r="T42" s="1251"/>
      <c r="U42" s="463"/>
      <c r="V42" s="463"/>
      <c r="W42" s="463"/>
      <c r="X42" s="463"/>
      <c r="Y42" s="463"/>
      <c r="Z42" s="3402"/>
      <c r="AA42" s="3386"/>
      <c r="AB42" s="3386"/>
      <c r="AC42" s="3386"/>
      <c r="AD42" s="3386"/>
      <c r="AE42" s="3386"/>
      <c r="AF42" s="3386"/>
      <c r="AG42" s="3386"/>
      <c r="AH42" s="2131"/>
      <c r="AI42"/>
      <c r="AJ42"/>
      <c r="AK42"/>
      <c r="AL42"/>
      <c r="AM42"/>
      <c r="AN42"/>
      <c r="AO42"/>
      <c r="AP42" s="462"/>
      <c r="AQ42" s="463"/>
      <c r="AR42" s="463"/>
      <c r="AS42" s="463"/>
      <c r="AT42" s="462"/>
      <c r="AU42" s="463"/>
      <c r="AV42" s="463"/>
      <c r="AW42" s="463"/>
      <c r="AX42" s="462"/>
      <c r="AY42" s="463"/>
      <c r="AZ42" s="463"/>
      <c r="BA42" s="463"/>
      <c r="BB42" s="462"/>
      <c r="BC42" s="463"/>
      <c r="BD42" s="463"/>
      <c r="BE42" s="463">
        <f t="shared" ref="BE42:CO42" si="66">BE40/BE36</f>
        <v>0.52384984476432406</v>
      </c>
      <c r="BF42" s="462">
        <f t="shared" si="66"/>
        <v>0.54495159059474407</v>
      </c>
      <c r="BG42" s="463">
        <f t="shared" si="66"/>
        <v>0.43524015110631409</v>
      </c>
      <c r="BH42" s="463">
        <f t="shared" si="66"/>
        <v>0.41743869209809265</v>
      </c>
      <c r="BI42" s="463">
        <f t="shared" si="66"/>
        <v>0.39292569234987662</v>
      </c>
      <c r="BJ42" s="462">
        <f t="shared" si="66"/>
        <v>0.37393456145174592</v>
      </c>
      <c r="BK42" s="463">
        <f t="shared" si="66"/>
        <v>0.34747145187601958</v>
      </c>
      <c r="BL42" s="463">
        <f t="shared" si="66"/>
        <v>0.29555384219994862</v>
      </c>
      <c r="BM42" s="463">
        <f t="shared" si="66"/>
        <v>0.24769775678866587</v>
      </c>
      <c r="BN42" s="462">
        <f t="shared" si="66"/>
        <v>0.21838074398249452</v>
      </c>
      <c r="BO42" s="463">
        <f t="shared" si="66"/>
        <v>0.18167266906762705</v>
      </c>
      <c r="BP42" s="463">
        <f t="shared" si="66"/>
        <v>0.15026966710061374</v>
      </c>
      <c r="BQ42" s="463">
        <f t="shared" si="66"/>
        <v>0.12879708383961117</v>
      </c>
      <c r="BR42" s="462">
        <f t="shared" si="66"/>
        <v>0.11298346974803403</v>
      </c>
      <c r="BS42" s="463">
        <f t="shared" si="66"/>
        <v>9.7771714415643474E-2</v>
      </c>
      <c r="BT42" s="463">
        <f t="shared" si="66"/>
        <v>9.0677075514187064E-2</v>
      </c>
      <c r="BU42" s="463">
        <f t="shared" si="66"/>
        <v>9.3065693430656932E-2</v>
      </c>
      <c r="BV42" s="462">
        <f t="shared" si="66"/>
        <v>9.3789209535759102E-2</v>
      </c>
      <c r="BW42" s="463">
        <f t="shared" si="66"/>
        <v>9.9481529488010367E-2</v>
      </c>
      <c r="BX42" s="463">
        <f t="shared" si="66"/>
        <v>0.11076870398904297</v>
      </c>
      <c r="BY42" s="463">
        <f t="shared" si="66"/>
        <v>9.4961942732874227E-2</v>
      </c>
      <c r="BZ42" s="462">
        <f t="shared" si="66"/>
        <v>0.19999999999999993</v>
      </c>
      <c r="CA42" s="463">
        <f t="shared" si="66"/>
        <v>0.2</v>
      </c>
      <c r="CB42" s="463">
        <f t="shared" si="66"/>
        <v>0.19999999999999998</v>
      </c>
      <c r="CC42" s="463">
        <f t="shared" si="66"/>
        <v>0.1999999999999999</v>
      </c>
      <c r="CD42" s="462">
        <f t="shared" si="66"/>
        <v>0.19999999999999996</v>
      </c>
      <c r="CE42" s="463">
        <f t="shared" si="66"/>
        <v>0.20000000000000004</v>
      </c>
      <c r="CF42" s="463">
        <f t="shared" si="66"/>
        <v>0.19999999999999996</v>
      </c>
      <c r="CG42" s="463">
        <f t="shared" si="66"/>
        <v>0.20000000000000004</v>
      </c>
      <c r="CH42" s="462">
        <f t="shared" si="66"/>
        <v>0.19999999999999996</v>
      </c>
      <c r="CI42" s="463">
        <f t="shared" si="66"/>
        <v>0.2</v>
      </c>
      <c r="CJ42" s="463">
        <f t="shared" si="66"/>
        <v>0.19999999999999993</v>
      </c>
      <c r="CK42" s="463">
        <f t="shared" si="66"/>
        <v>0.19999999999999996</v>
      </c>
      <c r="CL42" s="462">
        <f t="shared" si="66"/>
        <v>0.2</v>
      </c>
      <c r="CM42" s="463">
        <f t="shared" si="66"/>
        <v>0.2</v>
      </c>
      <c r="CN42" s="463">
        <f t="shared" si="66"/>
        <v>0.2</v>
      </c>
      <c r="CO42" s="463">
        <f t="shared" si="66"/>
        <v>0.2</v>
      </c>
      <c r="CP42" s="462"/>
      <c r="CQ42" s="463"/>
      <c r="CR42" s="463"/>
      <c r="CS42" s="463"/>
      <c r="CT42" s="462"/>
      <c r="CU42" s="463"/>
      <c r="CV42" s="463"/>
      <c r="CW42" s="464"/>
      <c r="CX42" s="463"/>
      <c r="CY42" s="463"/>
      <c r="CZ42" s="463"/>
      <c r="DA42" s="463"/>
      <c r="DB42" s="462"/>
      <c r="DC42" s="463"/>
      <c r="DD42" s="463"/>
      <c r="DE42" s="463"/>
      <c r="DF42" s="462"/>
      <c r="DG42" s="1251"/>
      <c r="DH42" s="1251"/>
      <c r="DI42" s="464"/>
      <c r="DJ42" s="462"/>
      <c r="DK42" s="1251"/>
      <c r="DL42" s="1251"/>
      <c r="DM42" s="464"/>
      <c r="DN42" s="1251"/>
      <c r="DO42" s="1251"/>
      <c r="DP42" s="1251"/>
      <c r="DQ42" s="464"/>
      <c r="DR42" s="1251"/>
      <c r="DS42" s="1251"/>
      <c r="DT42" s="1251"/>
      <c r="DU42" s="464"/>
      <c r="DV42" s="3386"/>
      <c r="DW42" s="3386"/>
      <c r="DX42" s="3386"/>
      <c r="DY42" s="3387"/>
    </row>
    <row r="43" spans="1:129" hidden="1" outlineLevel="1">
      <c r="A43" s="708" t="s">
        <v>438</v>
      </c>
      <c r="B43" s="709"/>
      <c r="C43" s="709"/>
      <c r="D43" s="259"/>
      <c r="E43" s="261"/>
      <c r="F43" s="259"/>
      <c r="G43" s="259"/>
      <c r="H43" s="259"/>
      <c r="I43" s="259"/>
      <c r="J43" s="458">
        <f>J44*J49</f>
        <v>2548.8000000000002</v>
      </c>
      <c r="K43" s="460">
        <f>BQ43</f>
        <v>4015.2000000000003</v>
      </c>
      <c r="L43" s="458">
        <f t="shared" ref="L43:Q43" si="67">L44*L49</f>
        <v>4473</v>
      </c>
      <c r="M43" s="458">
        <f t="shared" si="67"/>
        <v>3745.5</v>
      </c>
      <c r="N43" s="458">
        <f t="shared" si="67"/>
        <v>2014.2000000000003</v>
      </c>
      <c r="O43" s="458">
        <f t="shared" si="67"/>
        <v>1690.1999999999998</v>
      </c>
      <c r="P43" s="458">
        <f t="shared" si="67"/>
        <v>1420.2</v>
      </c>
      <c r="Q43" s="1117">
        <f t="shared" si="67"/>
        <v>1314</v>
      </c>
      <c r="R43" s="458"/>
      <c r="S43" s="458"/>
      <c r="T43" s="1117"/>
      <c r="U43" s="458"/>
      <c r="V43" s="458"/>
      <c r="W43" s="458"/>
      <c r="X43" s="458"/>
      <c r="Y43" s="458"/>
      <c r="Z43" s="3406"/>
      <c r="AA43" s="3390"/>
      <c r="AB43" s="3390"/>
      <c r="AC43" s="3390"/>
      <c r="AD43" s="3390"/>
      <c r="AE43" s="3390"/>
      <c r="AF43" s="3390"/>
      <c r="AG43" s="3390"/>
      <c r="AH43" s="2134"/>
      <c r="AI43"/>
      <c r="AJ43"/>
      <c r="AK43"/>
      <c r="AL43"/>
      <c r="AM43"/>
      <c r="AN43"/>
      <c r="AO43"/>
      <c r="AP43" s="704">
        <f t="shared" ref="AP43:BU43" si="68">AP44*AP49</f>
        <v>0</v>
      </c>
      <c r="AQ43" s="458">
        <f t="shared" si="68"/>
        <v>0</v>
      </c>
      <c r="AR43" s="458">
        <f t="shared" si="68"/>
        <v>0</v>
      </c>
      <c r="AS43" s="458">
        <f t="shared" si="68"/>
        <v>0</v>
      </c>
      <c r="AT43" s="704">
        <f t="shared" si="68"/>
        <v>0</v>
      </c>
      <c r="AU43" s="458">
        <f t="shared" si="68"/>
        <v>0</v>
      </c>
      <c r="AV43" s="458">
        <f t="shared" si="68"/>
        <v>0</v>
      </c>
      <c r="AW43" s="458">
        <f t="shared" si="68"/>
        <v>0</v>
      </c>
      <c r="AX43" s="704">
        <f t="shared" si="68"/>
        <v>0</v>
      </c>
      <c r="AY43" s="458">
        <f t="shared" si="68"/>
        <v>0</v>
      </c>
      <c r="AZ43" s="458">
        <f t="shared" si="68"/>
        <v>0</v>
      </c>
      <c r="BA43" s="458">
        <f t="shared" si="68"/>
        <v>0</v>
      </c>
      <c r="BB43" s="704">
        <f t="shared" si="68"/>
        <v>0</v>
      </c>
      <c r="BC43" s="458">
        <f t="shared" si="68"/>
        <v>0</v>
      </c>
      <c r="BD43" s="458">
        <f t="shared" si="68"/>
        <v>0</v>
      </c>
      <c r="BE43" s="458">
        <f t="shared" si="68"/>
        <v>1349.6000000000001</v>
      </c>
      <c r="BF43" s="704">
        <f t="shared" si="68"/>
        <v>1316</v>
      </c>
      <c r="BG43" s="458">
        <f t="shared" si="68"/>
        <v>1674.4</v>
      </c>
      <c r="BH43" s="458">
        <f t="shared" si="68"/>
        <v>1710.4</v>
      </c>
      <c r="BI43" s="458">
        <f t="shared" si="68"/>
        <v>1771.2</v>
      </c>
      <c r="BJ43" s="704">
        <f t="shared" si="68"/>
        <v>1821.6000000000001</v>
      </c>
      <c r="BK43" s="458">
        <f t="shared" si="68"/>
        <v>1920</v>
      </c>
      <c r="BL43" s="458">
        <f t="shared" si="68"/>
        <v>2192.8000000000002</v>
      </c>
      <c r="BM43" s="458">
        <f t="shared" si="68"/>
        <v>2548.8000000000002</v>
      </c>
      <c r="BN43" s="704">
        <f t="shared" si="68"/>
        <v>2857.6000000000004</v>
      </c>
      <c r="BO43" s="458">
        <f t="shared" si="68"/>
        <v>3272</v>
      </c>
      <c r="BP43" s="458">
        <f t="shared" si="68"/>
        <v>3655.2000000000003</v>
      </c>
      <c r="BQ43" s="458">
        <f t="shared" si="68"/>
        <v>4015.2000000000003</v>
      </c>
      <c r="BR43" s="704">
        <f t="shared" si="68"/>
        <v>4145.25</v>
      </c>
      <c r="BS43" s="458">
        <f t="shared" si="68"/>
        <v>4464</v>
      </c>
      <c r="BT43" s="458">
        <f t="shared" si="68"/>
        <v>4542.75</v>
      </c>
      <c r="BU43" s="458">
        <f t="shared" si="68"/>
        <v>4473</v>
      </c>
      <c r="BV43" s="704">
        <f t="shared" ref="BV43:CO43" si="69">BV44*BV49</f>
        <v>4333.5</v>
      </c>
      <c r="BW43" s="458">
        <f t="shared" si="69"/>
        <v>4168.5</v>
      </c>
      <c r="BX43" s="458">
        <f t="shared" si="69"/>
        <v>3895.5</v>
      </c>
      <c r="BY43" s="458">
        <f t="shared" si="69"/>
        <v>3745.5</v>
      </c>
      <c r="BZ43" s="704">
        <f t="shared" si="69"/>
        <v>2315.4</v>
      </c>
      <c r="CA43" s="458">
        <f t="shared" si="69"/>
        <v>2205</v>
      </c>
      <c r="CB43" s="458">
        <f t="shared" si="69"/>
        <v>2098.8000000000002</v>
      </c>
      <c r="CC43" s="458">
        <f t="shared" si="69"/>
        <v>2014.2000000000003</v>
      </c>
      <c r="CD43" s="704">
        <f t="shared" si="69"/>
        <v>1932.6000000000001</v>
      </c>
      <c r="CE43" s="458">
        <f t="shared" si="69"/>
        <v>1837.1999999999998</v>
      </c>
      <c r="CF43" s="458">
        <f t="shared" si="69"/>
        <v>1762.8000000000002</v>
      </c>
      <c r="CG43" s="458">
        <f t="shared" si="69"/>
        <v>1690.1999999999998</v>
      </c>
      <c r="CH43" s="704">
        <f t="shared" si="69"/>
        <v>1615.8000000000002</v>
      </c>
      <c r="CI43" s="458">
        <f t="shared" si="69"/>
        <v>1545</v>
      </c>
      <c r="CJ43" s="458">
        <f t="shared" si="69"/>
        <v>1479.6000000000001</v>
      </c>
      <c r="CK43" s="458">
        <f t="shared" si="69"/>
        <v>1420.2</v>
      </c>
      <c r="CL43" s="704">
        <f t="shared" si="69"/>
        <v>1380</v>
      </c>
      <c r="CM43" s="458">
        <f t="shared" si="69"/>
        <v>1350</v>
      </c>
      <c r="CN43" s="458">
        <f t="shared" si="69"/>
        <v>1332</v>
      </c>
      <c r="CO43" s="458">
        <f t="shared" si="69"/>
        <v>1314</v>
      </c>
      <c r="CP43" s="704"/>
      <c r="CQ43" s="458"/>
      <c r="CR43" s="458"/>
      <c r="CS43" s="458"/>
      <c r="CT43" s="704"/>
      <c r="CU43" s="458"/>
      <c r="CV43" s="458"/>
      <c r="CW43" s="710"/>
      <c r="CX43" s="458"/>
      <c r="CY43" s="458"/>
      <c r="CZ43" s="458"/>
      <c r="DA43" s="458"/>
      <c r="DB43" s="704"/>
      <c r="DC43" s="458"/>
      <c r="DD43" s="458"/>
      <c r="DE43" s="458"/>
      <c r="DF43" s="704"/>
      <c r="DG43" s="1117"/>
      <c r="DH43" s="1117"/>
      <c r="DI43" s="710"/>
      <c r="DJ43" s="704"/>
      <c r="DK43" s="1117"/>
      <c r="DL43" s="1117"/>
      <c r="DM43" s="710"/>
      <c r="DN43" s="1117"/>
      <c r="DO43" s="1117"/>
      <c r="DP43" s="1117"/>
      <c r="DQ43" s="710"/>
      <c r="DR43" s="1117"/>
      <c r="DS43" s="1117"/>
      <c r="DT43" s="1117"/>
      <c r="DU43" s="710"/>
      <c r="DV43" s="3390"/>
      <c r="DW43" s="3390"/>
      <c r="DX43" s="3390"/>
      <c r="DY43" s="3391"/>
    </row>
    <row r="44" spans="1:129" s="120" customFormat="1" hidden="1" outlineLevel="1">
      <c r="A44" s="1249" t="s">
        <v>439</v>
      </c>
      <c r="B44" s="463"/>
      <c r="C44" s="463"/>
      <c r="D44" s="463"/>
      <c r="E44" s="463"/>
      <c r="F44" s="463"/>
      <c r="G44" s="463"/>
      <c r="H44" s="463"/>
      <c r="I44" s="463"/>
      <c r="J44" s="463">
        <v>0.8</v>
      </c>
      <c r="K44" s="463">
        <f>J44</f>
        <v>0.8</v>
      </c>
      <c r="L44" s="463">
        <v>0.75</v>
      </c>
      <c r="M44" s="463">
        <f>BY44</f>
        <v>0.75</v>
      </c>
      <c r="N44" s="463">
        <f>M44</f>
        <v>0.75</v>
      </c>
      <c r="O44" s="463">
        <f>N44</f>
        <v>0.75</v>
      </c>
      <c r="P44" s="463">
        <f>O44</f>
        <v>0.75</v>
      </c>
      <c r="Q44" s="1251">
        <f>P44</f>
        <v>0.75</v>
      </c>
      <c r="R44" s="463"/>
      <c r="S44" s="463"/>
      <c r="T44" s="1251"/>
      <c r="U44" s="463"/>
      <c r="V44" s="463"/>
      <c r="W44" s="463"/>
      <c r="X44" s="463"/>
      <c r="Y44" s="463"/>
      <c r="Z44" s="3402"/>
      <c r="AA44" s="3386"/>
      <c r="AB44" s="3386"/>
      <c r="AC44" s="3386"/>
      <c r="AD44" s="3386"/>
      <c r="AE44" s="3386"/>
      <c r="AF44" s="3386"/>
      <c r="AG44" s="3386"/>
      <c r="AH44" s="2131"/>
      <c r="AI44"/>
      <c r="AJ44"/>
      <c r="AK44"/>
      <c r="AL44"/>
      <c r="AM44"/>
      <c r="AN44"/>
      <c r="AO44"/>
      <c r="AP44" s="462"/>
      <c r="AQ44" s="463"/>
      <c r="AR44" s="463"/>
      <c r="AS44" s="463"/>
      <c r="AT44" s="462"/>
      <c r="AU44" s="463"/>
      <c r="AV44" s="463"/>
      <c r="AW44" s="463"/>
      <c r="AX44" s="462"/>
      <c r="AY44" s="463"/>
      <c r="AZ44" s="463"/>
      <c r="BA44" s="463"/>
      <c r="BB44" s="462"/>
      <c r="BC44" s="463"/>
      <c r="BD44" s="463"/>
      <c r="BE44" s="463">
        <f>BF44</f>
        <v>0.8</v>
      </c>
      <c r="BF44" s="462">
        <f>BG44</f>
        <v>0.8</v>
      </c>
      <c r="BG44" s="463">
        <f>BH44</f>
        <v>0.8</v>
      </c>
      <c r="BH44" s="463">
        <f>BI44</f>
        <v>0.8</v>
      </c>
      <c r="BI44" s="463">
        <f>BJ44</f>
        <v>0.8</v>
      </c>
      <c r="BJ44" s="462">
        <f>K44</f>
        <v>0.8</v>
      </c>
      <c r="BK44" s="463">
        <f t="shared" ref="BK44:BQ44" si="70">BJ44</f>
        <v>0.8</v>
      </c>
      <c r="BL44" s="463">
        <f t="shared" si="70"/>
        <v>0.8</v>
      </c>
      <c r="BM44" s="463">
        <f t="shared" si="70"/>
        <v>0.8</v>
      </c>
      <c r="BN44" s="462">
        <f t="shared" si="70"/>
        <v>0.8</v>
      </c>
      <c r="BO44" s="463">
        <f t="shared" si="70"/>
        <v>0.8</v>
      </c>
      <c r="BP44" s="463">
        <f t="shared" si="70"/>
        <v>0.8</v>
      </c>
      <c r="BQ44" s="463">
        <f t="shared" si="70"/>
        <v>0.8</v>
      </c>
      <c r="BR44" s="462">
        <v>0.75</v>
      </c>
      <c r="BS44" s="463">
        <f t="shared" ref="BS44:CO44" si="71">BR44</f>
        <v>0.75</v>
      </c>
      <c r="BT44" s="463">
        <f t="shared" si="71"/>
        <v>0.75</v>
      </c>
      <c r="BU44" s="463">
        <f t="shared" si="71"/>
        <v>0.75</v>
      </c>
      <c r="BV44" s="462">
        <f t="shared" si="71"/>
        <v>0.75</v>
      </c>
      <c r="BW44" s="463">
        <f t="shared" si="71"/>
        <v>0.75</v>
      </c>
      <c r="BX44" s="463">
        <f t="shared" si="71"/>
        <v>0.75</v>
      </c>
      <c r="BY44" s="463">
        <f t="shared" si="71"/>
        <v>0.75</v>
      </c>
      <c r="BZ44" s="462">
        <f t="shared" si="71"/>
        <v>0.75</v>
      </c>
      <c r="CA44" s="463">
        <f t="shared" si="71"/>
        <v>0.75</v>
      </c>
      <c r="CB44" s="463">
        <f t="shared" si="71"/>
        <v>0.75</v>
      </c>
      <c r="CC44" s="463">
        <f t="shared" si="71"/>
        <v>0.75</v>
      </c>
      <c r="CD44" s="462">
        <f t="shared" si="71"/>
        <v>0.75</v>
      </c>
      <c r="CE44" s="463">
        <f t="shared" si="71"/>
        <v>0.75</v>
      </c>
      <c r="CF44" s="463">
        <f t="shared" si="71"/>
        <v>0.75</v>
      </c>
      <c r="CG44" s="463">
        <f t="shared" si="71"/>
        <v>0.75</v>
      </c>
      <c r="CH44" s="462">
        <f t="shared" si="71"/>
        <v>0.75</v>
      </c>
      <c r="CI44" s="463">
        <f t="shared" si="71"/>
        <v>0.75</v>
      </c>
      <c r="CJ44" s="463">
        <f t="shared" si="71"/>
        <v>0.75</v>
      </c>
      <c r="CK44" s="463">
        <f t="shared" si="71"/>
        <v>0.75</v>
      </c>
      <c r="CL44" s="462">
        <f t="shared" si="71"/>
        <v>0.75</v>
      </c>
      <c r="CM44" s="463">
        <f t="shared" si="71"/>
        <v>0.75</v>
      </c>
      <c r="CN44" s="463">
        <f t="shared" si="71"/>
        <v>0.75</v>
      </c>
      <c r="CO44" s="463">
        <f t="shared" si="71"/>
        <v>0.75</v>
      </c>
      <c r="CP44" s="462"/>
      <c r="CQ44" s="463"/>
      <c r="CR44" s="463"/>
      <c r="CS44" s="463"/>
      <c r="CT44" s="462"/>
      <c r="CU44" s="463"/>
      <c r="CV44" s="463"/>
      <c r="CW44" s="464"/>
      <c r="CX44" s="463"/>
      <c r="CY44" s="463"/>
      <c r="CZ44" s="463"/>
      <c r="DA44" s="463"/>
      <c r="DB44" s="462"/>
      <c r="DC44" s="463"/>
      <c r="DD44" s="463"/>
      <c r="DE44" s="463"/>
      <c r="DF44" s="462"/>
      <c r="DG44" s="1251"/>
      <c r="DH44" s="1251"/>
      <c r="DI44" s="464"/>
      <c r="DJ44" s="462"/>
      <c r="DK44" s="1251"/>
      <c r="DL44" s="1251"/>
      <c r="DM44" s="464"/>
      <c r="DN44" s="1251"/>
      <c r="DO44" s="1251"/>
      <c r="DP44" s="1251"/>
      <c r="DQ44" s="464"/>
      <c r="DR44" s="1251"/>
      <c r="DS44" s="1251"/>
      <c r="DT44" s="1251"/>
      <c r="DU44" s="464"/>
      <c r="DV44" s="3386"/>
      <c r="DW44" s="3386"/>
      <c r="DX44" s="3386"/>
      <c r="DY44" s="3387"/>
    </row>
    <row r="45" spans="1:129" hidden="1" outlineLevel="1">
      <c r="A45" s="705" t="s">
        <v>440</v>
      </c>
      <c r="B45" s="259"/>
      <c r="C45" s="259"/>
      <c r="D45" s="259"/>
      <c r="E45" s="261"/>
      <c r="F45" s="259"/>
      <c r="G45" s="259"/>
      <c r="H45" s="259"/>
      <c r="I45" s="259"/>
      <c r="J45" s="259"/>
      <c r="K45" s="259">
        <f t="shared" ref="K45:Q45" si="72">K43-J43</f>
        <v>1466.4</v>
      </c>
      <c r="L45" s="259">
        <f t="shared" si="72"/>
        <v>457.79999999999973</v>
      </c>
      <c r="M45" s="259">
        <f t="shared" si="72"/>
        <v>-727.5</v>
      </c>
      <c r="N45" s="259">
        <f t="shared" si="72"/>
        <v>-1731.2999999999997</v>
      </c>
      <c r="O45" s="259">
        <f t="shared" si="72"/>
        <v>-324.00000000000045</v>
      </c>
      <c r="P45" s="259">
        <f t="shared" si="72"/>
        <v>-269.99999999999977</v>
      </c>
      <c r="Q45" s="1115">
        <f t="shared" si="72"/>
        <v>-106.20000000000005</v>
      </c>
      <c r="R45" s="259"/>
      <c r="S45" s="259"/>
      <c r="T45" s="1115"/>
      <c r="U45" s="259"/>
      <c r="V45" s="259"/>
      <c r="W45" s="259"/>
      <c r="X45" s="259"/>
      <c r="Y45" s="259"/>
      <c r="Z45" s="3405"/>
      <c r="AA45" s="3388"/>
      <c r="AB45" s="3388"/>
      <c r="AC45" s="3388"/>
      <c r="AD45" s="3388"/>
      <c r="AE45" s="3388"/>
      <c r="AF45" s="3388"/>
      <c r="AG45" s="3388"/>
      <c r="AH45" s="2132"/>
      <c r="AI45"/>
      <c r="AJ45"/>
      <c r="AK45"/>
      <c r="AL45"/>
      <c r="AM45"/>
      <c r="AN45"/>
      <c r="AO45"/>
      <c r="AP45" s="706"/>
      <c r="AQ45" s="261"/>
      <c r="AR45" s="261"/>
      <c r="AS45" s="261"/>
      <c r="AT45" s="467"/>
      <c r="AU45" s="259"/>
      <c r="AV45" s="259"/>
      <c r="AW45" s="259"/>
      <c r="AX45" s="467"/>
      <c r="AY45" s="259"/>
      <c r="AZ45" s="259"/>
      <c r="BA45" s="259"/>
      <c r="BB45" s="467"/>
      <c r="BC45" s="259"/>
      <c r="BD45" s="259"/>
      <c r="BE45" s="259"/>
      <c r="BF45" s="467"/>
      <c r="BG45" s="259"/>
      <c r="BH45" s="259"/>
      <c r="BI45" s="259"/>
      <c r="BJ45" s="467">
        <f t="shared" ref="BJ45:BS45" si="73">BJ43-BI43</f>
        <v>50.400000000000091</v>
      </c>
      <c r="BK45" s="259">
        <f t="shared" si="73"/>
        <v>98.399999999999864</v>
      </c>
      <c r="BL45" s="259">
        <f t="shared" si="73"/>
        <v>272.80000000000018</v>
      </c>
      <c r="BM45" s="259">
        <f t="shared" si="73"/>
        <v>356</v>
      </c>
      <c r="BN45" s="467">
        <f t="shared" si="73"/>
        <v>308.80000000000018</v>
      </c>
      <c r="BO45" s="259">
        <f t="shared" si="73"/>
        <v>414.39999999999964</v>
      </c>
      <c r="BP45" s="259">
        <f t="shared" si="73"/>
        <v>383.20000000000027</v>
      </c>
      <c r="BQ45" s="259">
        <f t="shared" si="73"/>
        <v>360</v>
      </c>
      <c r="BR45" s="467">
        <f t="shared" si="73"/>
        <v>130.04999999999973</v>
      </c>
      <c r="BS45" s="259">
        <f t="shared" si="73"/>
        <v>318.75</v>
      </c>
      <c r="BT45" s="259">
        <v>7</v>
      </c>
      <c r="BU45" s="259">
        <f t="shared" ref="BU45:CO45" si="74">BU50-BU48</f>
        <v>-69.75</v>
      </c>
      <c r="BV45" s="467">
        <f t="shared" si="74"/>
        <v>-139.5</v>
      </c>
      <c r="BW45" s="259">
        <f t="shared" si="74"/>
        <v>-165</v>
      </c>
      <c r="BX45" s="259">
        <f t="shared" si="74"/>
        <v>-273</v>
      </c>
      <c r="BY45" s="259">
        <f t="shared" si="74"/>
        <v>-150</v>
      </c>
      <c r="BZ45" s="467">
        <f t="shared" si="74"/>
        <v>-1430.1</v>
      </c>
      <c r="CA45" s="259">
        <f t="shared" si="74"/>
        <v>-110.4000000000002</v>
      </c>
      <c r="CB45" s="259">
        <f t="shared" si="74"/>
        <v>-106.19999999999993</v>
      </c>
      <c r="CC45" s="259">
        <f t="shared" si="74"/>
        <v>-84.599999999999795</v>
      </c>
      <c r="CD45" s="467">
        <f t="shared" si="74"/>
        <v>-81.600000000000136</v>
      </c>
      <c r="CE45" s="259">
        <f t="shared" si="74"/>
        <v>-95.400000000000205</v>
      </c>
      <c r="CF45" s="259">
        <f t="shared" si="74"/>
        <v>-74.399999999999864</v>
      </c>
      <c r="CG45" s="259">
        <f t="shared" si="74"/>
        <v>-72.600000000000136</v>
      </c>
      <c r="CH45" s="467">
        <f t="shared" si="74"/>
        <v>-74.399999999999864</v>
      </c>
      <c r="CI45" s="259">
        <f t="shared" si="74"/>
        <v>-70.800000000000068</v>
      </c>
      <c r="CJ45" s="259">
        <f t="shared" si="74"/>
        <v>-65.399999999999864</v>
      </c>
      <c r="CK45" s="259">
        <f t="shared" si="74"/>
        <v>-59.400000000000034</v>
      </c>
      <c r="CL45" s="467">
        <f t="shared" si="74"/>
        <v>-40.200000000000102</v>
      </c>
      <c r="CM45" s="259">
        <f t="shared" si="74"/>
        <v>-30</v>
      </c>
      <c r="CN45" s="259">
        <f t="shared" si="74"/>
        <v>-18</v>
      </c>
      <c r="CO45" s="259">
        <f t="shared" si="74"/>
        <v>-18</v>
      </c>
      <c r="CP45" s="467"/>
      <c r="CQ45" s="259"/>
      <c r="CR45" s="259"/>
      <c r="CS45" s="259"/>
      <c r="CT45" s="467"/>
      <c r="CU45" s="259"/>
      <c r="CV45" s="259"/>
      <c r="CW45" s="468"/>
      <c r="CX45" s="259"/>
      <c r="CY45" s="259"/>
      <c r="CZ45" s="259"/>
      <c r="DA45" s="259"/>
      <c r="DB45" s="467"/>
      <c r="DC45" s="259"/>
      <c r="DD45" s="259"/>
      <c r="DE45" s="259"/>
      <c r="DF45" s="467"/>
      <c r="DG45" s="1115"/>
      <c r="DH45" s="1115"/>
      <c r="DI45" s="468"/>
      <c r="DJ45" s="467"/>
      <c r="DK45" s="1115"/>
      <c r="DL45" s="1115"/>
      <c r="DM45" s="468"/>
      <c r="DN45" s="1115"/>
      <c r="DO45" s="1115"/>
      <c r="DP45" s="1115"/>
      <c r="DQ45" s="468"/>
      <c r="DR45" s="1115"/>
      <c r="DS45" s="1115"/>
      <c r="DT45" s="1115"/>
      <c r="DU45" s="468"/>
      <c r="DV45" s="3388"/>
      <c r="DW45" s="3388"/>
      <c r="DX45" s="3388"/>
      <c r="DY45" s="3389"/>
    </row>
    <row r="46" spans="1:129" hidden="1" outlineLevel="1">
      <c r="A46" s="708" t="s">
        <v>441</v>
      </c>
      <c r="B46" s="709"/>
      <c r="C46" s="709"/>
      <c r="D46" s="259"/>
      <c r="E46" s="261"/>
      <c r="F46" s="259"/>
      <c r="G46" s="259"/>
      <c r="H46" s="259"/>
      <c r="I46" s="259"/>
      <c r="J46" s="458">
        <f>J47*J49</f>
        <v>637.19999999999982</v>
      </c>
      <c r="K46" s="460">
        <f>BQ46</f>
        <v>1003.7999999999997</v>
      </c>
      <c r="L46" s="458">
        <f t="shared" ref="L46:Q46" si="75">L47*L49</f>
        <v>1491</v>
      </c>
      <c r="M46" s="458">
        <f t="shared" si="75"/>
        <v>1248.5</v>
      </c>
      <c r="N46" s="458">
        <f t="shared" si="75"/>
        <v>671.40000000000009</v>
      </c>
      <c r="O46" s="458">
        <f t="shared" si="75"/>
        <v>563.4</v>
      </c>
      <c r="P46" s="458">
        <f t="shared" si="75"/>
        <v>473.40000000000003</v>
      </c>
      <c r="Q46" s="1117">
        <f t="shared" si="75"/>
        <v>438</v>
      </c>
      <c r="R46" s="458"/>
      <c r="S46" s="458"/>
      <c r="T46" s="1117"/>
      <c r="U46" s="458"/>
      <c r="V46" s="458"/>
      <c r="W46" s="458"/>
      <c r="X46" s="458"/>
      <c r="Y46" s="458"/>
      <c r="Z46" s="3406"/>
      <c r="AA46" s="3390"/>
      <c r="AB46" s="3390"/>
      <c r="AC46" s="3390"/>
      <c r="AD46" s="3390"/>
      <c r="AE46" s="3390"/>
      <c r="AF46" s="3390"/>
      <c r="AG46" s="3390"/>
      <c r="AH46" s="2132"/>
      <c r="AI46"/>
      <c r="AJ46"/>
      <c r="AK46"/>
      <c r="AL46"/>
      <c r="AM46"/>
      <c r="AN46"/>
      <c r="AO46"/>
      <c r="AP46" s="706"/>
      <c r="AQ46" s="261"/>
      <c r="AR46" s="261"/>
      <c r="AS46" s="261"/>
      <c r="AT46" s="467"/>
      <c r="AU46" s="259"/>
      <c r="AV46" s="259"/>
      <c r="AW46" s="259"/>
      <c r="AX46" s="467"/>
      <c r="AY46" s="259"/>
      <c r="AZ46" s="259"/>
      <c r="BA46" s="259"/>
      <c r="BB46" s="467"/>
      <c r="BC46" s="259"/>
      <c r="BD46" s="259"/>
      <c r="BE46" s="458">
        <f t="shared" ref="BE46:CO46" si="76">BE47*BE49</f>
        <v>337.39999999999992</v>
      </c>
      <c r="BF46" s="704">
        <f t="shared" si="76"/>
        <v>328.99999999999994</v>
      </c>
      <c r="BG46" s="458">
        <f t="shared" si="76"/>
        <v>418.59999999999991</v>
      </c>
      <c r="BH46" s="458">
        <f t="shared" si="76"/>
        <v>427.59999999999991</v>
      </c>
      <c r="BI46" s="458">
        <f t="shared" si="76"/>
        <v>442.7999999999999</v>
      </c>
      <c r="BJ46" s="704">
        <f t="shared" si="76"/>
        <v>455.39999999999992</v>
      </c>
      <c r="BK46" s="458">
        <f t="shared" si="76"/>
        <v>479.99999999999989</v>
      </c>
      <c r="BL46" s="458">
        <f t="shared" si="76"/>
        <v>548.19999999999993</v>
      </c>
      <c r="BM46" s="458">
        <f t="shared" si="76"/>
        <v>637.19999999999982</v>
      </c>
      <c r="BN46" s="704">
        <f t="shared" si="76"/>
        <v>714.39999999999986</v>
      </c>
      <c r="BO46" s="458">
        <f t="shared" si="76"/>
        <v>817.99999999999977</v>
      </c>
      <c r="BP46" s="458">
        <f t="shared" si="76"/>
        <v>913.79999999999984</v>
      </c>
      <c r="BQ46" s="458">
        <f t="shared" si="76"/>
        <v>1003.7999999999997</v>
      </c>
      <c r="BR46" s="704">
        <f t="shared" si="76"/>
        <v>1381.75</v>
      </c>
      <c r="BS46" s="458">
        <f t="shared" si="76"/>
        <v>1488</v>
      </c>
      <c r="BT46" s="458">
        <f t="shared" si="76"/>
        <v>1514.25</v>
      </c>
      <c r="BU46" s="458">
        <f t="shared" si="76"/>
        <v>1491</v>
      </c>
      <c r="BV46" s="704">
        <f t="shared" si="76"/>
        <v>1444.5</v>
      </c>
      <c r="BW46" s="458">
        <f t="shared" si="76"/>
        <v>1389.5</v>
      </c>
      <c r="BX46" s="458">
        <f t="shared" si="76"/>
        <v>1298.5</v>
      </c>
      <c r="BY46" s="458">
        <f t="shared" si="76"/>
        <v>1248.5</v>
      </c>
      <c r="BZ46" s="704">
        <f t="shared" si="76"/>
        <v>771.80000000000007</v>
      </c>
      <c r="CA46" s="458">
        <f t="shared" si="76"/>
        <v>735</v>
      </c>
      <c r="CB46" s="458">
        <f t="shared" si="76"/>
        <v>699.6</v>
      </c>
      <c r="CC46" s="458">
        <f t="shared" si="76"/>
        <v>671.40000000000009</v>
      </c>
      <c r="CD46" s="704">
        <f t="shared" si="76"/>
        <v>644.20000000000005</v>
      </c>
      <c r="CE46" s="458">
        <f t="shared" si="76"/>
        <v>612.4</v>
      </c>
      <c r="CF46" s="458">
        <f t="shared" si="76"/>
        <v>587.6</v>
      </c>
      <c r="CG46" s="458">
        <f t="shared" si="76"/>
        <v>563.4</v>
      </c>
      <c r="CH46" s="704">
        <f t="shared" si="76"/>
        <v>538.6</v>
      </c>
      <c r="CI46" s="458">
        <f t="shared" si="76"/>
        <v>515</v>
      </c>
      <c r="CJ46" s="458">
        <f t="shared" si="76"/>
        <v>493.20000000000005</v>
      </c>
      <c r="CK46" s="458">
        <f t="shared" si="76"/>
        <v>473.40000000000003</v>
      </c>
      <c r="CL46" s="704">
        <f t="shared" si="76"/>
        <v>460</v>
      </c>
      <c r="CM46" s="458">
        <f t="shared" si="76"/>
        <v>450</v>
      </c>
      <c r="CN46" s="458">
        <f t="shared" si="76"/>
        <v>444</v>
      </c>
      <c r="CO46" s="458">
        <f t="shared" si="76"/>
        <v>438</v>
      </c>
      <c r="CP46" s="704"/>
      <c r="CQ46" s="458"/>
      <c r="CR46" s="458"/>
      <c r="CS46" s="458"/>
      <c r="CT46" s="704"/>
      <c r="CU46" s="458"/>
      <c r="CV46" s="458"/>
      <c r="CW46" s="710"/>
      <c r="CX46" s="458"/>
      <c r="CY46" s="458"/>
      <c r="CZ46" s="458"/>
      <c r="DA46" s="458"/>
      <c r="DB46" s="704"/>
      <c r="DC46" s="458"/>
      <c r="DD46" s="458"/>
      <c r="DE46" s="458"/>
      <c r="DF46" s="704"/>
      <c r="DG46" s="1117"/>
      <c r="DH46" s="1117"/>
      <c r="DI46" s="710"/>
      <c r="DJ46" s="704"/>
      <c r="DK46" s="1117"/>
      <c r="DL46" s="1117"/>
      <c r="DM46" s="710"/>
      <c r="DN46" s="1117"/>
      <c r="DO46" s="1117"/>
      <c r="DP46" s="1117"/>
      <c r="DQ46" s="710"/>
      <c r="DR46" s="1117"/>
      <c r="DS46" s="1117"/>
      <c r="DT46" s="1117"/>
      <c r="DU46" s="710"/>
      <c r="DV46" s="3390"/>
      <c r="DW46" s="3390"/>
      <c r="DX46" s="3390"/>
      <c r="DY46" s="3391"/>
    </row>
    <row r="47" spans="1:129" s="120" customFormat="1" hidden="1" outlineLevel="1">
      <c r="A47" s="1249" t="s">
        <v>439</v>
      </c>
      <c r="B47" s="463"/>
      <c r="C47" s="463"/>
      <c r="D47" s="463"/>
      <c r="E47" s="463"/>
      <c r="F47" s="463"/>
      <c r="G47" s="463"/>
      <c r="H47" s="463"/>
      <c r="I47" s="463"/>
      <c r="J47" s="463">
        <f>1-J44</f>
        <v>0.19999999999999996</v>
      </c>
      <c r="K47" s="463">
        <f>1-K44</f>
        <v>0.19999999999999996</v>
      </c>
      <c r="L47" s="463">
        <v>0.25</v>
      </c>
      <c r="M47" s="463">
        <f>BY47</f>
        <v>0.25</v>
      </c>
      <c r="N47" s="463">
        <f>M47</f>
        <v>0.25</v>
      </c>
      <c r="O47" s="463">
        <f>N47</f>
        <v>0.25</v>
      </c>
      <c r="P47" s="463">
        <f>O47</f>
        <v>0.25</v>
      </c>
      <c r="Q47" s="1251">
        <f>P47</f>
        <v>0.25</v>
      </c>
      <c r="R47" s="463"/>
      <c r="S47" s="463"/>
      <c r="T47" s="1251"/>
      <c r="U47" s="463"/>
      <c r="V47" s="463"/>
      <c r="W47" s="463"/>
      <c r="X47" s="463"/>
      <c r="Y47" s="463"/>
      <c r="Z47" s="3402"/>
      <c r="AA47" s="3386"/>
      <c r="AB47" s="3386"/>
      <c r="AC47" s="3386"/>
      <c r="AD47" s="3386"/>
      <c r="AE47" s="3386"/>
      <c r="AF47" s="3386"/>
      <c r="AG47" s="3386"/>
      <c r="AH47" s="2131"/>
      <c r="AI47"/>
      <c r="AJ47"/>
      <c r="AK47"/>
      <c r="AL47"/>
      <c r="AM47"/>
      <c r="AN47"/>
      <c r="AO47"/>
      <c r="AP47" s="462"/>
      <c r="AQ47" s="463"/>
      <c r="AR47" s="463"/>
      <c r="AS47" s="463"/>
      <c r="AT47" s="462"/>
      <c r="AU47" s="463"/>
      <c r="AV47" s="463"/>
      <c r="AW47" s="463"/>
      <c r="AX47" s="462"/>
      <c r="AY47" s="463"/>
      <c r="AZ47" s="463"/>
      <c r="BA47" s="463"/>
      <c r="BB47" s="462"/>
      <c r="BC47" s="463"/>
      <c r="BD47" s="463"/>
      <c r="BE47" s="463">
        <f t="shared" ref="BE47:CO47" si="77">1-BE44</f>
        <v>0.19999999999999996</v>
      </c>
      <c r="BF47" s="462">
        <f t="shared" si="77"/>
        <v>0.19999999999999996</v>
      </c>
      <c r="BG47" s="463">
        <f t="shared" si="77"/>
        <v>0.19999999999999996</v>
      </c>
      <c r="BH47" s="463">
        <f t="shared" si="77"/>
        <v>0.19999999999999996</v>
      </c>
      <c r="BI47" s="463">
        <f t="shared" si="77"/>
        <v>0.19999999999999996</v>
      </c>
      <c r="BJ47" s="462">
        <f t="shared" si="77"/>
        <v>0.19999999999999996</v>
      </c>
      <c r="BK47" s="463">
        <f t="shared" si="77"/>
        <v>0.19999999999999996</v>
      </c>
      <c r="BL47" s="463">
        <f t="shared" si="77"/>
        <v>0.19999999999999996</v>
      </c>
      <c r="BM47" s="463">
        <f t="shared" si="77"/>
        <v>0.19999999999999996</v>
      </c>
      <c r="BN47" s="462">
        <f t="shared" si="77"/>
        <v>0.19999999999999996</v>
      </c>
      <c r="BO47" s="463">
        <f t="shared" si="77"/>
        <v>0.19999999999999996</v>
      </c>
      <c r="BP47" s="463">
        <f t="shared" si="77"/>
        <v>0.19999999999999996</v>
      </c>
      <c r="BQ47" s="463">
        <f t="shared" si="77"/>
        <v>0.19999999999999996</v>
      </c>
      <c r="BR47" s="462">
        <f t="shared" si="77"/>
        <v>0.25</v>
      </c>
      <c r="BS47" s="463">
        <f t="shared" si="77"/>
        <v>0.25</v>
      </c>
      <c r="BT47" s="463">
        <f t="shared" si="77"/>
        <v>0.25</v>
      </c>
      <c r="BU47" s="463">
        <f t="shared" si="77"/>
        <v>0.25</v>
      </c>
      <c r="BV47" s="462">
        <f t="shared" si="77"/>
        <v>0.25</v>
      </c>
      <c r="BW47" s="463">
        <f t="shared" si="77"/>
        <v>0.25</v>
      </c>
      <c r="BX47" s="463">
        <f t="shared" si="77"/>
        <v>0.25</v>
      </c>
      <c r="BY47" s="463">
        <f t="shared" si="77"/>
        <v>0.25</v>
      </c>
      <c r="BZ47" s="462">
        <f t="shared" si="77"/>
        <v>0.25</v>
      </c>
      <c r="CA47" s="463">
        <f t="shared" si="77"/>
        <v>0.25</v>
      </c>
      <c r="CB47" s="463">
        <f t="shared" si="77"/>
        <v>0.25</v>
      </c>
      <c r="CC47" s="463">
        <f t="shared" si="77"/>
        <v>0.25</v>
      </c>
      <c r="CD47" s="462">
        <f t="shared" si="77"/>
        <v>0.25</v>
      </c>
      <c r="CE47" s="463">
        <f t="shared" si="77"/>
        <v>0.25</v>
      </c>
      <c r="CF47" s="463">
        <f t="shared" si="77"/>
        <v>0.25</v>
      </c>
      <c r="CG47" s="463">
        <f t="shared" si="77"/>
        <v>0.25</v>
      </c>
      <c r="CH47" s="462">
        <f t="shared" si="77"/>
        <v>0.25</v>
      </c>
      <c r="CI47" s="463">
        <f t="shared" si="77"/>
        <v>0.25</v>
      </c>
      <c r="CJ47" s="463">
        <f t="shared" si="77"/>
        <v>0.25</v>
      </c>
      <c r="CK47" s="463">
        <f t="shared" si="77"/>
        <v>0.25</v>
      </c>
      <c r="CL47" s="462">
        <f t="shared" si="77"/>
        <v>0.25</v>
      </c>
      <c r="CM47" s="463">
        <f t="shared" si="77"/>
        <v>0.25</v>
      </c>
      <c r="CN47" s="463">
        <f t="shared" si="77"/>
        <v>0.25</v>
      </c>
      <c r="CO47" s="463">
        <f t="shared" si="77"/>
        <v>0.25</v>
      </c>
      <c r="CP47" s="462"/>
      <c r="CQ47" s="463"/>
      <c r="CR47" s="463"/>
      <c r="CS47" s="463"/>
      <c r="CT47" s="462"/>
      <c r="CU47" s="463"/>
      <c r="CV47" s="463"/>
      <c r="CW47" s="464"/>
      <c r="CX47" s="463"/>
      <c r="CY47" s="463"/>
      <c r="CZ47" s="463"/>
      <c r="DA47" s="463"/>
      <c r="DB47" s="462"/>
      <c r="DC47" s="463"/>
      <c r="DD47" s="463"/>
      <c r="DE47" s="463"/>
      <c r="DF47" s="462"/>
      <c r="DG47" s="1251"/>
      <c r="DH47" s="1251"/>
      <c r="DI47" s="464"/>
      <c r="DJ47" s="462"/>
      <c r="DK47" s="1251"/>
      <c r="DL47" s="1251"/>
      <c r="DM47" s="464"/>
      <c r="DN47" s="1251"/>
      <c r="DO47" s="1251"/>
      <c r="DP47" s="1251"/>
      <c r="DQ47" s="464"/>
      <c r="DR47" s="1251"/>
      <c r="DS47" s="1251"/>
      <c r="DT47" s="1251"/>
      <c r="DU47" s="464"/>
      <c r="DV47" s="3386"/>
      <c r="DW47" s="3386"/>
      <c r="DX47" s="3386"/>
      <c r="DY47" s="3387"/>
    </row>
    <row r="48" spans="1:129" hidden="1" outlineLevel="1">
      <c r="A48" s="705" t="s">
        <v>440</v>
      </c>
      <c r="B48" s="259"/>
      <c r="C48" s="259"/>
      <c r="D48" s="259"/>
      <c r="E48" s="261"/>
      <c r="F48" s="259"/>
      <c r="G48" s="259"/>
      <c r="H48" s="259"/>
      <c r="I48" s="259"/>
      <c r="J48" s="259"/>
      <c r="K48" s="259">
        <f t="shared" ref="K48:Q48" si="78">K46-J46</f>
        <v>366.59999999999991</v>
      </c>
      <c r="L48" s="259">
        <f t="shared" si="78"/>
        <v>487.20000000000027</v>
      </c>
      <c r="M48" s="259">
        <f t="shared" si="78"/>
        <v>-242.5</v>
      </c>
      <c r="N48" s="259">
        <f t="shared" si="78"/>
        <v>-577.09999999999991</v>
      </c>
      <c r="O48" s="259">
        <f t="shared" si="78"/>
        <v>-108.00000000000011</v>
      </c>
      <c r="P48" s="259">
        <f t="shared" si="78"/>
        <v>-89.999999999999943</v>
      </c>
      <c r="Q48" s="1115">
        <f t="shared" si="78"/>
        <v>-35.400000000000034</v>
      </c>
      <c r="R48" s="259"/>
      <c r="S48" s="259"/>
      <c r="T48" s="1115"/>
      <c r="U48" s="259"/>
      <c r="V48" s="259"/>
      <c r="W48" s="259"/>
      <c r="X48" s="259"/>
      <c r="Y48" s="259"/>
      <c r="Z48" s="3405"/>
      <c r="AA48" s="3388"/>
      <c r="AB48" s="3388"/>
      <c r="AC48" s="3388"/>
      <c r="AD48" s="3388"/>
      <c r="AE48" s="3388"/>
      <c r="AF48" s="3388"/>
      <c r="AG48" s="3388"/>
      <c r="AH48" s="2132"/>
      <c r="AI48"/>
      <c r="AJ48"/>
      <c r="AK48"/>
      <c r="AL48"/>
      <c r="AM48"/>
      <c r="AN48"/>
      <c r="AO48"/>
      <c r="AP48" s="706"/>
      <c r="AQ48" s="261"/>
      <c r="AR48" s="261"/>
      <c r="AS48" s="261"/>
      <c r="AT48" s="467"/>
      <c r="AU48" s="259"/>
      <c r="AV48" s="259"/>
      <c r="AW48" s="259"/>
      <c r="AX48" s="467"/>
      <c r="AY48" s="259"/>
      <c r="AZ48" s="259"/>
      <c r="BA48" s="259"/>
      <c r="BB48" s="467"/>
      <c r="BC48" s="259"/>
      <c r="BD48" s="259"/>
      <c r="BE48" s="259"/>
      <c r="BF48" s="467"/>
      <c r="BG48" s="259"/>
      <c r="BH48" s="259"/>
      <c r="BI48" s="259"/>
      <c r="BJ48" s="467">
        <f t="shared" ref="BJ48:BS48" si="79">BJ46-BI46</f>
        <v>12.600000000000023</v>
      </c>
      <c r="BK48" s="259">
        <f t="shared" si="79"/>
        <v>24.599999999999966</v>
      </c>
      <c r="BL48" s="259">
        <f t="shared" si="79"/>
        <v>68.200000000000045</v>
      </c>
      <c r="BM48" s="259">
        <f t="shared" si="79"/>
        <v>88.999999999999886</v>
      </c>
      <c r="BN48" s="467">
        <f t="shared" si="79"/>
        <v>77.200000000000045</v>
      </c>
      <c r="BO48" s="259">
        <f t="shared" si="79"/>
        <v>103.59999999999991</v>
      </c>
      <c r="BP48" s="259">
        <f t="shared" si="79"/>
        <v>95.800000000000068</v>
      </c>
      <c r="BQ48" s="259">
        <f t="shared" si="79"/>
        <v>89.999999999999886</v>
      </c>
      <c r="BR48" s="467">
        <f t="shared" si="79"/>
        <v>377.95000000000027</v>
      </c>
      <c r="BS48" s="259">
        <f t="shared" si="79"/>
        <v>106.25</v>
      </c>
      <c r="BT48" s="259">
        <f>BT50-BT45</f>
        <v>98</v>
      </c>
      <c r="BU48" s="259">
        <f t="shared" ref="BU48:CO48" si="80">BU46-BT46</f>
        <v>-23.25</v>
      </c>
      <c r="BV48" s="467">
        <f t="shared" si="80"/>
        <v>-46.5</v>
      </c>
      <c r="BW48" s="259">
        <f t="shared" si="80"/>
        <v>-55</v>
      </c>
      <c r="BX48" s="259">
        <f t="shared" si="80"/>
        <v>-91</v>
      </c>
      <c r="BY48" s="259">
        <f t="shared" si="80"/>
        <v>-50</v>
      </c>
      <c r="BZ48" s="467">
        <f t="shared" si="80"/>
        <v>-476.69999999999993</v>
      </c>
      <c r="CA48" s="259">
        <f t="shared" si="80"/>
        <v>-36.800000000000068</v>
      </c>
      <c r="CB48" s="259">
        <f t="shared" si="80"/>
        <v>-35.399999999999977</v>
      </c>
      <c r="CC48" s="259">
        <f t="shared" si="80"/>
        <v>-28.199999999999932</v>
      </c>
      <c r="CD48" s="467">
        <f t="shared" si="80"/>
        <v>-27.200000000000045</v>
      </c>
      <c r="CE48" s="259">
        <f t="shared" si="80"/>
        <v>-31.800000000000068</v>
      </c>
      <c r="CF48" s="259">
        <f t="shared" si="80"/>
        <v>-24.799999999999955</v>
      </c>
      <c r="CG48" s="259">
        <f t="shared" si="80"/>
        <v>-24.200000000000045</v>
      </c>
      <c r="CH48" s="467">
        <f t="shared" si="80"/>
        <v>-24.799999999999955</v>
      </c>
      <c r="CI48" s="259">
        <f t="shared" si="80"/>
        <v>-23.600000000000023</v>
      </c>
      <c r="CJ48" s="259">
        <f t="shared" si="80"/>
        <v>-21.799999999999955</v>
      </c>
      <c r="CK48" s="259">
        <f t="shared" si="80"/>
        <v>-19.800000000000011</v>
      </c>
      <c r="CL48" s="467">
        <f t="shared" si="80"/>
        <v>-13.400000000000034</v>
      </c>
      <c r="CM48" s="259">
        <f t="shared" si="80"/>
        <v>-10</v>
      </c>
      <c r="CN48" s="259">
        <f t="shared" si="80"/>
        <v>-6</v>
      </c>
      <c r="CO48" s="259">
        <f t="shared" si="80"/>
        <v>-6</v>
      </c>
      <c r="CP48" s="467"/>
      <c r="CQ48" s="259"/>
      <c r="CR48" s="259"/>
      <c r="CS48" s="259"/>
      <c r="CT48" s="467"/>
      <c r="CU48" s="259"/>
      <c r="CV48" s="259"/>
      <c r="CW48" s="468"/>
      <c r="CX48" s="259"/>
      <c r="CY48" s="259"/>
      <c r="CZ48" s="259"/>
      <c r="DA48" s="259"/>
      <c r="DB48" s="467"/>
      <c r="DC48" s="259"/>
      <c r="DD48" s="259"/>
      <c r="DE48" s="259"/>
      <c r="DF48" s="467"/>
      <c r="DG48" s="1115"/>
      <c r="DH48" s="1115"/>
      <c r="DI48" s="468"/>
      <c r="DJ48" s="467"/>
      <c r="DK48" s="1115"/>
      <c r="DL48" s="1115"/>
      <c r="DM48" s="468"/>
      <c r="DN48" s="1115"/>
      <c r="DO48" s="1115"/>
      <c r="DP48" s="1115"/>
      <c r="DQ48" s="468"/>
      <c r="DR48" s="1115"/>
      <c r="DS48" s="1115"/>
      <c r="DT48" s="1115"/>
      <c r="DU48" s="468"/>
      <c r="DV48" s="3388"/>
      <c r="DW48" s="3388"/>
      <c r="DX48" s="3388"/>
      <c r="DY48" s="3389"/>
    </row>
    <row r="49" spans="1:129" hidden="1" outlineLevel="1">
      <c r="A49" s="708" t="s">
        <v>442</v>
      </c>
      <c r="B49" s="458"/>
      <c r="C49" s="458"/>
      <c r="D49" s="458"/>
      <c r="E49" s="458"/>
      <c r="F49" s="458"/>
      <c r="G49" s="458"/>
      <c r="H49" s="460">
        <f>NormInputs!H228</f>
        <v>1687</v>
      </c>
      <c r="I49" s="460">
        <f>NormInputs!I228</f>
        <v>2214</v>
      </c>
      <c r="J49" s="460">
        <f>NormInputs!J228</f>
        <v>3186</v>
      </c>
      <c r="K49" s="460">
        <f>BQ49</f>
        <v>5019</v>
      </c>
      <c r="L49" s="460">
        <f>BU49</f>
        <v>5964</v>
      </c>
      <c r="M49" s="460">
        <f>BY49</f>
        <v>4994</v>
      </c>
      <c r="N49" s="460">
        <f>CC49</f>
        <v>2685.6000000000004</v>
      </c>
      <c r="O49" s="460">
        <f>CG49</f>
        <v>2253.6</v>
      </c>
      <c r="P49" s="460">
        <f>CK49</f>
        <v>1893.6000000000001</v>
      </c>
      <c r="Q49" s="1114">
        <f>CO49</f>
        <v>1752</v>
      </c>
      <c r="R49" s="460"/>
      <c r="S49" s="460"/>
      <c r="T49" s="1114"/>
      <c r="U49" s="460"/>
      <c r="V49" s="460"/>
      <c r="W49" s="460"/>
      <c r="X49" s="460"/>
      <c r="Y49" s="460"/>
      <c r="Z49" s="3401"/>
      <c r="AA49" s="3384"/>
      <c r="AB49" s="3384"/>
      <c r="AC49" s="3384"/>
      <c r="AD49" s="3384"/>
      <c r="AE49" s="3384"/>
      <c r="AF49" s="3384"/>
      <c r="AG49" s="3384"/>
      <c r="AH49" s="2130"/>
      <c r="AI49"/>
      <c r="AJ49"/>
      <c r="AK49"/>
      <c r="AL49"/>
      <c r="AM49"/>
      <c r="AN49"/>
      <c r="AO49"/>
      <c r="AP49" s="459"/>
      <c r="AQ49" s="460"/>
      <c r="AR49" s="460"/>
      <c r="AS49" s="460"/>
      <c r="AT49" s="704"/>
      <c r="AU49" s="458"/>
      <c r="AV49" s="458"/>
      <c r="AW49" s="458"/>
      <c r="AX49" s="704"/>
      <c r="AY49" s="460"/>
      <c r="AZ49" s="460"/>
      <c r="BA49" s="460"/>
      <c r="BB49" s="459"/>
      <c r="BC49" s="460"/>
      <c r="BD49" s="460"/>
      <c r="BE49" s="460">
        <f>NormInputs!AU228</f>
        <v>1687</v>
      </c>
      <c r="BF49" s="459">
        <f>NormInputs!AV228</f>
        <v>1645</v>
      </c>
      <c r="BG49" s="460">
        <f>NormInputs!AW228</f>
        <v>2093</v>
      </c>
      <c r="BH49" s="460">
        <f>NormInputs!AX228</f>
        <v>2138</v>
      </c>
      <c r="BI49" s="460">
        <f>NormInputs!AY228</f>
        <v>2214</v>
      </c>
      <c r="BJ49" s="459">
        <f>NormInputs!AZ228</f>
        <v>2277</v>
      </c>
      <c r="BK49" s="460">
        <f>NormInputs!BA228</f>
        <v>2400</v>
      </c>
      <c r="BL49" s="460">
        <f>NormInputs!BB228</f>
        <v>2741</v>
      </c>
      <c r="BM49" s="460">
        <f>NormInputs!BC228</f>
        <v>3186</v>
      </c>
      <c r="BN49" s="459">
        <f>NormInputs!BD228</f>
        <v>3572</v>
      </c>
      <c r="BO49" s="460">
        <f>NormInputs!BE228</f>
        <v>4090</v>
      </c>
      <c r="BP49" s="460">
        <f>NormInputs!BF228</f>
        <v>4569</v>
      </c>
      <c r="BQ49" s="460">
        <f>NormInputs!BG228</f>
        <v>5019</v>
      </c>
      <c r="BR49" s="459">
        <f>NormInputs!BH228</f>
        <v>5527</v>
      </c>
      <c r="BS49" s="460">
        <f>NormInputs!BI228</f>
        <v>5952</v>
      </c>
      <c r="BT49" s="460">
        <f>NormInputs!BJ228</f>
        <v>6057</v>
      </c>
      <c r="BU49" s="460">
        <f>NormInputs!BK228</f>
        <v>5964</v>
      </c>
      <c r="BV49" s="459">
        <f>NormInputs!BL228</f>
        <v>5778</v>
      </c>
      <c r="BW49" s="460">
        <f>NormInputs!BM228</f>
        <v>5558</v>
      </c>
      <c r="BX49" s="460">
        <f>NormInputs!BN228</f>
        <v>5194</v>
      </c>
      <c r="BY49" s="460">
        <f>NormInputs!BO228</f>
        <v>4994</v>
      </c>
      <c r="BZ49" s="459">
        <f>NormInputs!BP228</f>
        <v>3087.2000000000003</v>
      </c>
      <c r="CA49" s="460">
        <f>NormInputs!BQ228</f>
        <v>2940</v>
      </c>
      <c r="CB49" s="460">
        <f>NormInputs!BR228</f>
        <v>2798.4</v>
      </c>
      <c r="CC49" s="460">
        <f>NormInputs!BS228</f>
        <v>2685.6000000000004</v>
      </c>
      <c r="CD49" s="459">
        <f>NormInputs!BT228</f>
        <v>2576.8000000000002</v>
      </c>
      <c r="CE49" s="460">
        <f>NormInputs!BU228</f>
        <v>2449.6</v>
      </c>
      <c r="CF49" s="460">
        <f>NormInputs!BV228</f>
        <v>2350.4</v>
      </c>
      <c r="CG49" s="460">
        <f>NormInputs!BW228</f>
        <v>2253.6</v>
      </c>
      <c r="CH49" s="459">
        <f>NormInputs!BX228</f>
        <v>2154.4</v>
      </c>
      <c r="CI49" s="460">
        <f>NormInputs!BY228</f>
        <v>2060</v>
      </c>
      <c r="CJ49" s="460">
        <f>NormInputs!BZ228</f>
        <v>1972.8000000000002</v>
      </c>
      <c r="CK49" s="460">
        <f>NormInputs!CA228</f>
        <v>1893.6000000000001</v>
      </c>
      <c r="CL49" s="459">
        <f>NormInputs!CB228</f>
        <v>1840</v>
      </c>
      <c r="CM49" s="460">
        <f>NormInputs!CC228</f>
        <v>1800</v>
      </c>
      <c r="CN49" s="460">
        <f>NormInputs!CD228</f>
        <v>1776</v>
      </c>
      <c r="CO49" s="460">
        <f>NormInputs!CE228</f>
        <v>1752</v>
      </c>
      <c r="CP49" s="459"/>
      <c r="CQ49" s="460"/>
      <c r="CR49" s="460"/>
      <c r="CS49" s="460"/>
      <c r="CT49" s="459"/>
      <c r="CU49" s="460"/>
      <c r="CV49" s="460"/>
      <c r="CW49" s="461"/>
      <c r="CX49" s="460"/>
      <c r="CY49" s="460"/>
      <c r="CZ49" s="460"/>
      <c r="DA49" s="460"/>
      <c r="DB49" s="459"/>
      <c r="DC49" s="460"/>
      <c r="DD49" s="460"/>
      <c r="DE49" s="460"/>
      <c r="DF49" s="459"/>
      <c r="DG49" s="1114"/>
      <c r="DH49" s="1114"/>
      <c r="DI49" s="461"/>
      <c r="DJ49" s="459"/>
      <c r="DK49" s="1114"/>
      <c r="DL49" s="1114"/>
      <c r="DM49" s="461"/>
      <c r="DN49" s="1114"/>
      <c r="DO49" s="1114"/>
      <c r="DP49" s="1114"/>
      <c r="DQ49" s="461"/>
      <c r="DR49" s="1114"/>
      <c r="DS49" s="1114"/>
      <c r="DT49" s="1114"/>
      <c r="DU49" s="461"/>
      <c r="DV49" s="3384"/>
      <c r="DW49" s="3384"/>
      <c r="DX49" s="3384"/>
      <c r="DY49" s="3385"/>
    </row>
    <row r="50" spans="1:129" hidden="1" outlineLevel="1">
      <c r="A50" s="705" t="s">
        <v>443</v>
      </c>
      <c r="B50" s="259"/>
      <c r="C50" s="259"/>
      <c r="D50" s="259"/>
      <c r="E50" s="261"/>
      <c r="F50" s="259"/>
      <c r="G50" s="259"/>
      <c r="H50" s="259">
        <f t="shared" ref="H50:Q50" si="81">H49-G49</f>
        <v>1687</v>
      </c>
      <c r="I50" s="259">
        <f t="shared" si="81"/>
        <v>527</v>
      </c>
      <c r="J50" s="259">
        <f t="shared" si="81"/>
        <v>972</v>
      </c>
      <c r="K50" s="259">
        <f t="shared" si="81"/>
        <v>1833</v>
      </c>
      <c r="L50" s="259">
        <f t="shared" si="81"/>
        <v>945</v>
      </c>
      <c r="M50" s="259">
        <f t="shared" si="81"/>
        <v>-970</v>
      </c>
      <c r="N50" s="259">
        <f t="shared" si="81"/>
        <v>-2308.3999999999996</v>
      </c>
      <c r="O50" s="259">
        <f t="shared" si="81"/>
        <v>-432.00000000000045</v>
      </c>
      <c r="P50" s="259">
        <f t="shared" si="81"/>
        <v>-359.99999999999977</v>
      </c>
      <c r="Q50" s="1115">
        <f t="shared" si="81"/>
        <v>-141.60000000000014</v>
      </c>
      <c r="R50" s="259"/>
      <c r="S50" s="259"/>
      <c r="T50" s="1115"/>
      <c r="U50" s="259"/>
      <c r="V50" s="259"/>
      <c r="W50" s="259"/>
      <c r="X50" s="259"/>
      <c r="Y50" s="259"/>
      <c r="Z50" s="3405"/>
      <c r="AA50" s="3388"/>
      <c r="AB50" s="3388"/>
      <c r="AC50" s="3388"/>
      <c r="AD50" s="3388"/>
      <c r="AE50" s="3388"/>
      <c r="AF50" s="3388"/>
      <c r="AG50" s="3388"/>
      <c r="AH50" s="2132"/>
      <c r="AI50"/>
      <c r="AJ50"/>
      <c r="AK50"/>
      <c r="AL50"/>
      <c r="AM50"/>
      <c r="AN50"/>
      <c r="AO50"/>
      <c r="AP50" s="706"/>
      <c r="AQ50" s="261"/>
      <c r="AR50" s="261"/>
      <c r="AS50" s="261"/>
      <c r="AT50" s="467"/>
      <c r="AU50" s="259"/>
      <c r="AV50" s="259"/>
      <c r="AW50" s="259"/>
      <c r="AX50" s="467"/>
      <c r="AY50" s="259"/>
      <c r="AZ50" s="259"/>
      <c r="BA50" s="259"/>
      <c r="BB50" s="467"/>
      <c r="BC50" s="259"/>
      <c r="BD50" s="259"/>
      <c r="BE50" s="259"/>
      <c r="BF50" s="467">
        <f t="shared" ref="BF50:CO50" si="82">BF49-BE49</f>
        <v>-42</v>
      </c>
      <c r="BG50" s="259">
        <f t="shared" si="82"/>
        <v>448</v>
      </c>
      <c r="BH50" s="259">
        <f t="shared" si="82"/>
        <v>45</v>
      </c>
      <c r="BI50" s="259">
        <f t="shared" si="82"/>
        <v>76</v>
      </c>
      <c r="BJ50" s="467">
        <f t="shared" si="82"/>
        <v>63</v>
      </c>
      <c r="BK50" s="259">
        <f t="shared" si="82"/>
        <v>123</v>
      </c>
      <c r="BL50" s="259">
        <f t="shared" si="82"/>
        <v>341</v>
      </c>
      <c r="BM50" s="259">
        <f t="shared" si="82"/>
        <v>445</v>
      </c>
      <c r="BN50" s="467">
        <f t="shared" si="82"/>
        <v>386</v>
      </c>
      <c r="BO50" s="259">
        <f t="shared" si="82"/>
        <v>518</v>
      </c>
      <c r="BP50" s="259">
        <f t="shared" si="82"/>
        <v>479</v>
      </c>
      <c r="BQ50" s="259">
        <f t="shared" si="82"/>
        <v>450</v>
      </c>
      <c r="BR50" s="467">
        <f t="shared" si="82"/>
        <v>508</v>
      </c>
      <c r="BS50" s="259">
        <f t="shared" si="82"/>
        <v>425</v>
      </c>
      <c r="BT50" s="259">
        <f t="shared" si="82"/>
        <v>105</v>
      </c>
      <c r="BU50" s="259">
        <f t="shared" si="82"/>
        <v>-93</v>
      </c>
      <c r="BV50" s="467">
        <f t="shared" si="82"/>
        <v>-186</v>
      </c>
      <c r="BW50" s="259">
        <f t="shared" si="82"/>
        <v>-220</v>
      </c>
      <c r="BX50" s="259">
        <f t="shared" si="82"/>
        <v>-364</v>
      </c>
      <c r="BY50" s="259">
        <f t="shared" si="82"/>
        <v>-200</v>
      </c>
      <c r="BZ50" s="467">
        <f t="shared" si="82"/>
        <v>-1906.7999999999997</v>
      </c>
      <c r="CA50" s="259">
        <f t="shared" si="82"/>
        <v>-147.20000000000027</v>
      </c>
      <c r="CB50" s="259">
        <f t="shared" si="82"/>
        <v>-141.59999999999991</v>
      </c>
      <c r="CC50" s="259">
        <f t="shared" si="82"/>
        <v>-112.79999999999973</v>
      </c>
      <c r="CD50" s="467">
        <f t="shared" si="82"/>
        <v>-108.80000000000018</v>
      </c>
      <c r="CE50" s="259">
        <f t="shared" si="82"/>
        <v>-127.20000000000027</v>
      </c>
      <c r="CF50" s="259">
        <f t="shared" si="82"/>
        <v>-99.199999999999818</v>
      </c>
      <c r="CG50" s="259">
        <f t="shared" si="82"/>
        <v>-96.800000000000182</v>
      </c>
      <c r="CH50" s="467">
        <f t="shared" si="82"/>
        <v>-99.199999999999818</v>
      </c>
      <c r="CI50" s="259">
        <f t="shared" si="82"/>
        <v>-94.400000000000091</v>
      </c>
      <c r="CJ50" s="259">
        <f t="shared" si="82"/>
        <v>-87.199999999999818</v>
      </c>
      <c r="CK50" s="259">
        <f t="shared" si="82"/>
        <v>-79.200000000000045</v>
      </c>
      <c r="CL50" s="467">
        <f t="shared" si="82"/>
        <v>-53.600000000000136</v>
      </c>
      <c r="CM50" s="259">
        <f t="shared" si="82"/>
        <v>-40</v>
      </c>
      <c r="CN50" s="259">
        <f t="shared" si="82"/>
        <v>-24</v>
      </c>
      <c r="CO50" s="259">
        <f t="shared" si="82"/>
        <v>-24</v>
      </c>
      <c r="CP50" s="467"/>
      <c r="CQ50" s="259"/>
      <c r="CR50" s="259"/>
      <c r="CS50" s="259"/>
      <c r="CT50" s="467"/>
      <c r="CU50" s="259"/>
      <c r="CV50" s="259"/>
      <c r="CW50" s="468"/>
      <c r="CX50" s="259"/>
      <c r="CY50" s="259"/>
      <c r="CZ50" s="259"/>
      <c r="DA50" s="259"/>
      <c r="DB50" s="467"/>
      <c r="DC50" s="259"/>
      <c r="DD50" s="259"/>
      <c r="DE50" s="259"/>
      <c r="DF50" s="467"/>
      <c r="DG50" s="1115"/>
      <c r="DH50" s="1115"/>
      <c r="DI50" s="468"/>
      <c r="DJ50" s="467"/>
      <c r="DK50" s="1115"/>
      <c r="DL50" s="1115"/>
      <c r="DM50" s="468"/>
      <c r="DN50" s="1115"/>
      <c r="DO50" s="1115"/>
      <c r="DP50" s="1115"/>
      <c r="DQ50" s="468"/>
      <c r="DR50" s="1115"/>
      <c r="DS50" s="1115"/>
      <c r="DT50" s="1115"/>
      <c r="DU50" s="468"/>
      <c r="DV50" s="3388"/>
      <c r="DW50" s="3388"/>
      <c r="DX50" s="3388"/>
      <c r="DY50" s="3389"/>
    </row>
    <row r="51" spans="1:129" s="120" customFormat="1" hidden="1" outlineLevel="1">
      <c r="A51" s="1249" t="s">
        <v>444</v>
      </c>
      <c r="B51" s="463"/>
      <c r="C51" s="463"/>
      <c r="D51" s="463"/>
      <c r="E51" s="463"/>
      <c r="F51" s="463"/>
      <c r="G51" s="463"/>
      <c r="H51" s="463">
        <f t="shared" ref="H51:Q51" si="83">H49/H36</f>
        <v>0.476150155235676</v>
      </c>
      <c r="I51" s="463">
        <f t="shared" si="83"/>
        <v>0.60707430765012338</v>
      </c>
      <c r="J51" s="463">
        <f t="shared" si="83"/>
        <v>0.7523022432113341</v>
      </c>
      <c r="K51" s="463">
        <f t="shared" si="83"/>
        <v>0.87120291616038881</v>
      </c>
      <c r="L51" s="463">
        <f t="shared" si="83"/>
        <v>0.90693430656934304</v>
      </c>
      <c r="M51" s="463">
        <f t="shared" si="83"/>
        <v>0.90503805726712572</v>
      </c>
      <c r="N51" s="463">
        <f t="shared" si="83"/>
        <v>0.80000000000000016</v>
      </c>
      <c r="O51" s="463">
        <f t="shared" si="83"/>
        <v>0.79999999999999993</v>
      </c>
      <c r="P51" s="463">
        <f t="shared" si="83"/>
        <v>0.8</v>
      </c>
      <c r="Q51" s="1251">
        <f t="shared" si="83"/>
        <v>0.8</v>
      </c>
      <c r="R51" s="463"/>
      <c r="S51" s="463"/>
      <c r="T51" s="1251"/>
      <c r="U51" s="463"/>
      <c r="V51" s="463"/>
      <c r="W51" s="463"/>
      <c r="X51" s="463"/>
      <c r="Y51" s="463"/>
      <c r="Z51" s="3402"/>
      <c r="AA51" s="3386"/>
      <c r="AB51" s="3386"/>
      <c r="AC51" s="3386"/>
      <c r="AD51" s="3386"/>
      <c r="AE51" s="3386"/>
      <c r="AF51" s="3386"/>
      <c r="AG51" s="3386"/>
      <c r="AH51" s="2131"/>
      <c r="AI51"/>
      <c r="AJ51"/>
      <c r="AK51"/>
      <c r="AL51"/>
      <c r="AM51"/>
      <c r="AN51"/>
      <c r="AO51"/>
      <c r="AP51" s="462"/>
      <c r="AQ51" s="463"/>
      <c r="AR51" s="463"/>
      <c r="AS51" s="463"/>
      <c r="AT51" s="462"/>
      <c r="AU51" s="463"/>
      <c r="AV51" s="463"/>
      <c r="AW51" s="463"/>
      <c r="AX51" s="462"/>
      <c r="AY51" s="463"/>
      <c r="AZ51" s="463"/>
      <c r="BA51" s="463"/>
      <c r="BB51" s="462"/>
      <c r="BC51" s="463"/>
      <c r="BD51" s="463"/>
      <c r="BE51" s="463">
        <f t="shared" ref="BE51:CO51" si="84">BE49/BE36</f>
        <v>0.476150155235676</v>
      </c>
      <c r="BF51" s="462">
        <f t="shared" si="84"/>
        <v>0.45504840940525587</v>
      </c>
      <c r="BG51" s="463">
        <f t="shared" si="84"/>
        <v>0.56475984889368591</v>
      </c>
      <c r="BH51" s="463">
        <f t="shared" si="84"/>
        <v>0.58256130790190741</v>
      </c>
      <c r="BI51" s="463">
        <f t="shared" si="84"/>
        <v>0.60707430765012338</v>
      </c>
      <c r="BJ51" s="462">
        <f t="shared" si="84"/>
        <v>0.62606543854825403</v>
      </c>
      <c r="BK51" s="463">
        <f t="shared" si="84"/>
        <v>0.65252854812398042</v>
      </c>
      <c r="BL51" s="463">
        <f t="shared" si="84"/>
        <v>0.70444615780005138</v>
      </c>
      <c r="BM51" s="463">
        <f t="shared" si="84"/>
        <v>0.7523022432113341</v>
      </c>
      <c r="BN51" s="462">
        <f t="shared" si="84"/>
        <v>0.78161925601750548</v>
      </c>
      <c r="BO51" s="463">
        <f t="shared" si="84"/>
        <v>0.81832733093237298</v>
      </c>
      <c r="BP51" s="463">
        <f t="shared" si="84"/>
        <v>0.84973033289938626</v>
      </c>
      <c r="BQ51" s="463">
        <f t="shared" si="84"/>
        <v>0.87120291616038881</v>
      </c>
      <c r="BR51" s="462">
        <f t="shared" si="84"/>
        <v>0.88701653025196603</v>
      </c>
      <c r="BS51" s="463">
        <f t="shared" si="84"/>
        <v>0.90222828558435653</v>
      </c>
      <c r="BT51" s="463">
        <f t="shared" si="84"/>
        <v>0.90932292448581298</v>
      </c>
      <c r="BU51" s="463">
        <f t="shared" si="84"/>
        <v>0.90693430656934304</v>
      </c>
      <c r="BV51" s="462">
        <f t="shared" si="84"/>
        <v>0.90621079046424091</v>
      </c>
      <c r="BW51" s="463">
        <f t="shared" si="84"/>
        <v>0.90051847051198963</v>
      </c>
      <c r="BX51" s="463">
        <f t="shared" si="84"/>
        <v>0.88923129601095707</v>
      </c>
      <c r="BY51" s="463">
        <f t="shared" si="84"/>
        <v>0.90503805726712572</v>
      </c>
      <c r="BZ51" s="462">
        <f t="shared" si="84"/>
        <v>0.8</v>
      </c>
      <c r="CA51" s="463">
        <f t="shared" si="84"/>
        <v>0.8</v>
      </c>
      <c r="CB51" s="463">
        <f t="shared" si="84"/>
        <v>0.8</v>
      </c>
      <c r="CC51" s="463">
        <f t="shared" si="84"/>
        <v>0.80000000000000016</v>
      </c>
      <c r="CD51" s="462">
        <f t="shared" si="84"/>
        <v>0.8</v>
      </c>
      <c r="CE51" s="463">
        <f t="shared" si="84"/>
        <v>0.79999999999999993</v>
      </c>
      <c r="CF51" s="463">
        <f t="shared" si="84"/>
        <v>0.8</v>
      </c>
      <c r="CG51" s="463">
        <f t="shared" si="84"/>
        <v>0.79999999999999993</v>
      </c>
      <c r="CH51" s="462">
        <f t="shared" si="84"/>
        <v>0.8</v>
      </c>
      <c r="CI51" s="463">
        <f t="shared" si="84"/>
        <v>0.8</v>
      </c>
      <c r="CJ51" s="463">
        <f t="shared" si="84"/>
        <v>0.8</v>
      </c>
      <c r="CK51" s="463">
        <f t="shared" si="84"/>
        <v>0.8</v>
      </c>
      <c r="CL51" s="462">
        <f t="shared" si="84"/>
        <v>0.8</v>
      </c>
      <c r="CM51" s="463">
        <f t="shared" si="84"/>
        <v>0.8</v>
      </c>
      <c r="CN51" s="463">
        <f t="shared" si="84"/>
        <v>0.8</v>
      </c>
      <c r="CO51" s="463">
        <f t="shared" si="84"/>
        <v>0.8</v>
      </c>
      <c r="CP51" s="462"/>
      <c r="CQ51" s="463"/>
      <c r="CR51" s="463"/>
      <c r="CS51" s="463"/>
      <c r="CT51" s="462"/>
      <c r="CU51" s="463"/>
      <c r="CV51" s="463"/>
      <c r="CW51" s="464"/>
      <c r="CX51" s="463"/>
      <c r="CY51" s="463"/>
      <c r="CZ51" s="463"/>
      <c r="DA51" s="463"/>
      <c r="DB51" s="462"/>
      <c r="DC51" s="463"/>
      <c r="DD51" s="463"/>
      <c r="DE51" s="463"/>
      <c r="DF51" s="462"/>
      <c r="DG51" s="1251"/>
      <c r="DH51" s="1251"/>
      <c r="DI51" s="464"/>
      <c r="DJ51" s="462"/>
      <c r="DK51" s="1251"/>
      <c r="DL51" s="1251"/>
      <c r="DM51" s="464"/>
      <c r="DN51" s="1251"/>
      <c r="DO51" s="1251"/>
      <c r="DP51" s="1251"/>
      <c r="DQ51" s="464"/>
      <c r="DR51" s="1251"/>
      <c r="DS51" s="1251"/>
      <c r="DT51" s="1251"/>
      <c r="DU51" s="464"/>
      <c r="DV51" s="3386"/>
      <c r="DW51" s="3386"/>
      <c r="DX51" s="3386"/>
      <c r="DY51" s="3387"/>
    </row>
    <row r="52" spans="1:129" hidden="1" outlineLevel="1">
      <c r="A52" s="151" t="s">
        <v>445</v>
      </c>
      <c r="B52" s="91"/>
      <c r="C52" s="91"/>
      <c r="D52" s="91"/>
      <c r="E52" s="149">
        <v>58337</v>
      </c>
      <c r="F52" s="149">
        <v>60844</v>
      </c>
      <c r="G52" s="149">
        <f>BA52</f>
        <v>61306.819000000003</v>
      </c>
      <c r="H52" s="149">
        <f>H32+H21</f>
        <v>61016</v>
      </c>
      <c r="I52" s="149">
        <f>BI52</f>
        <v>59611</v>
      </c>
      <c r="J52" s="149">
        <f>BM52</f>
        <v>57452</v>
      </c>
      <c r="K52" s="149">
        <f>BQ52</f>
        <v>54371</v>
      </c>
      <c r="L52" s="149">
        <f>BU52</f>
        <v>51868</v>
      </c>
      <c r="M52" s="149">
        <f>M32+M21</f>
        <v>48411</v>
      </c>
      <c r="N52" s="149">
        <f>N32+N21</f>
        <v>43058</v>
      </c>
      <c r="O52" s="149">
        <f>O32+O21</f>
        <v>34286</v>
      </c>
      <c r="P52" s="149">
        <f>P32+P21</f>
        <v>31155.531999999999</v>
      </c>
      <c r="Q52" s="1113">
        <f>Q32+Q21</f>
        <v>27505</v>
      </c>
      <c r="R52" s="149"/>
      <c r="S52" s="149"/>
      <c r="T52" s="1113"/>
      <c r="U52" s="149"/>
      <c r="V52" s="149"/>
      <c r="W52" s="149"/>
      <c r="X52" s="149"/>
      <c r="Y52" s="149"/>
      <c r="Z52" s="3400"/>
      <c r="AA52" s="3380"/>
      <c r="AB52" s="3380"/>
      <c r="AC52" s="3380"/>
      <c r="AD52" s="3380"/>
      <c r="AE52" s="3380"/>
      <c r="AF52" s="3380"/>
      <c r="AG52" s="3380"/>
      <c r="AH52" s="2129"/>
      <c r="AI52" s="1991"/>
      <c r="AJ52" s="1991"/>
      <c r="AK52" s="1991"/>
      <c r="AL52" s="1991"/>
      <c r="AM52" s="1991"/>
      <c r="AN52" s="1991"/>
      <c r="AO52" s="1991"/>
      <c r="AP52" s="150">
        <v>56354</v>
      </c>
      <c r="AQ52" s="149">
        <v>56982</v>
      </c>
      <c r="AR52" s="149">
        <v>57608</v>
      </c>
      <c r="AS52" s="149">
        <v>58337</v>
      </c>
      <c r="AT52" s="150">
        <v>59043</v>
      </c>
      <c r="AU52" s="149">
        <v>59600</v>
      </c>
      <c r="AV52" s="149">
        <v>60340</v>
      </c>
      <c r="AW52" s="149">
        <v>60844</v>
      </c>
      <c r="AX52" s="150">
        <f t="shared" ref="AX52:BH52" si="85">AX21+AX32</f>
        <v>59967.690999999999</v>
      </c>
      <c r="AY52" s="149">
        <f t="shared" si="85"/>
        <v>60393.709000000003</v>
      </c>
      <c r="AZ52" s="149">
        <f t="shared" si="85"/>
        <v>60897.482000000004</v>
      </c>
      <c r="BA52" s="149">
        <f t="shared" si="85"/>
        <v>61306.819000000003</v>
      </c>
      <c r="BB52" s="150">
        <f t="shared" si="85"/>
        <v>60570</v>
      </c>
      <c r="BC52" s="149">
        <f t="shared" si="85"/>
        <v>60793</v>
      </c>
      <c r="BD52" s="149">
        <f t="shared" si="85"/>
        <v>60956</v>
      </c>
      <c r="BE52" s="149">
        <f t="shared" si="85"/>
        <v>61016</v>
      </c>
      <c r="BF52" s="150">
        <f t="shared" si="85"/>
        <v>61017</v>
      </c>
      <c r="BG52" s="149">
        <f t="shared" si="85"/>
        <v>60598</v>
      </c>
      <c r="BH52" s="149">
        <f t="shared" si="85"/>
        <v>60163</v>
      </c>
      <c r="BI52" s="149">
        <f t="shared" ref="BI52:CO52" si="86">BI32+BI21</f>
        <v>59611</v>
      </c>
      <c r="BJ52" s="150">
        <f t="shared" si="86"/>
        <v>59185</v>
      </c>
      <c r="BK52" s="149">
        <f t="shared" si="86"/>
        <v>58395</v>
      </c>
      <c r="BL52" s="149">
        <f t="shared" si="86"/>
        <v>57921</v>
      </c>
      <c r="BM52" s="149">
        <f t="shared" si="86"/>
        <v>57452</v>
      </c>
      <c r="BN52" s="150">
        <f t="shared" si="86"/>
        <v>56256</v>
      </c>
      <c r="BO52" s="149">
        <f t="shared" si="86"/>
        <v>55557</v>
      </c>
      <c r="BP52" s="149">
        <f t="shared" si="86"/>
        <v>54971</v>
      </c>
      <c r="BQ52" s="149">
        <f t="shared" si="86"/>
        <v>54371</v>
      </c>
      <c r="BR52" s="150">
        <f t="shared" si="86"/>
        <v>53881</v>
      </c>
      <c r="BS52" s="149">
        <f t="shared" si="86"/>
        <v>53214</v>
      </c>
      <c r="BT52" s="149">
        <f t="shared" si="86"/>
        <v>52553</v>
      </c>
      <c r="BU52" s="149">
        <f t="shared" si="86"/>
        <v>51868</v>
      </c>
      <c r="BV52" s="150">
        <f t="shared" si="86"/>
        <v>51116</v>
      </c>
      <c r="BW52" s="149">
        <f t="shared" si="86"/>
        <v>50283</v>
      </c>
      <c r="BX52" s="149">
        <f t="shared" si="86"/>
        <v>49289</v>
      </c>
      <c r="BY52" s="149">
        <f t="shared" si="86"/>
        <v>48411</v>
      </c>
      <c r="BZ52" s="150">
        <f t="shared" si="86"/>
        <v>45823</v>
      </c>
      <c r="CA52" s="149">
        <f t="shared" si="86"/>
        <v>44844</v>
      </c>
      <c r="CB52" s="149">
        <f t="shared" si="86"/>
        <v>43912</v>
      </c>
      <c r="CC52" s="149">
        <f t="shared" si="86"/>
        <v>43058</v>
      </c>
      <c r="CD52" s="150">
        <f t="shared" si="86"/>
        <v>42167</v>
      </c>
      <c r="CE52" s="149">
        <f t="shared" si="86"/>
        <v>41337</v>
      </c>
      <c r="CF52" s="149">
        <f t="shared" si="86"/>
        <v>40417</v>
      </c>
      <c r="CG52" s="149">
        <f t="shared" si="86"/>
        <v>34286</v>
      </c>
      <c r="CH52" s="150">
        <f t="shared" si="86"/>
        <v>33532</v>
      </c>
      <c r="CI52" s="149">
        <f t="shared" si="86"/>
        <v>32752.679054054053</v>
      </c>
      <c r="CJ52" s="149">
        <f t="shared" si="86"/>
        <v>31912.023728813561</v>
      </c>
      <c r="CK52" s="149">
        <f t="shared" si="86"/>
        <v>31155.531999999999</v>
      </c>
      <c r="CL52" s="150">
        <f t="shared" si="86"/>
        <v>29391</v>
      </c>
      <c r="CM52" s="149">
        <f t="shared" si="86"/>
        <v>28752</v>
      </c>
      <c r="CN52" s="149">
        <f t="shared" si="86"/>
        <v>28113</v>
      </c>
      <c r="CO52" s="149">
        <f t="shared" si="86"/>
        <v>27505</v>
      </c>
      <c r="CP52" s="150"/>
      <c r="CQ52" s="149"/>
      <c r="CR52" s="149"/>
      <c r="CS52" s="149"/>
      <c r="CT52" s="150"/>
      <c r="CU52" s="149"/>
      <c r="CV52" s="149"/>
      <c r="CW52" s="155"/>
      <c r="CX52" s="149"/>
      <c r="CY52" s="149"/>
      <c r="CZ52" s="149"/>
      <c r="DA52" s="149"/>
      <c r="DB52" s="150"/>
      <c r="DC52" s="149"/>
      <c r="DD52" s="149"/>
      <c r="DE52" s="149"/>
      <c r="DF52" s="150"/>
      <c r="DG52" s="1113"/>
      <c r="DH52" s="1113"/>
      <c r="DI52" s="155"/>
      <c r="DJ52" s="150"/>
      <c r="DK52" s="1113"/>
      <c r="DL52" s="1113"/>
      <c r="DM52" s="155"/>
      <c r="DN52" s="1113"/>
      <c r="DO52" s="1113"/>
      <c r="DP52" s="1113"/>
      <c r="DQ52" s="155"/>
      <c r="DR52" s="1113"/>
      <c r="DS52" s="1113"/>
      <c r="DT52" s="1113"/>
      <c r="DU52" s="155"/>
      <c r="DV52" s="3380"/>
      <c r="DW52" s="3380"/>
      <c r="DX52" s="3380"/>
      <c r="DY52" s="3381"/>
    </row>
    <row r="53" spans="1:129" s="120" customFormat="1" hidden="1" outlineLevel="1">
      <c r="A53" s="176" t="s">
        <v>432</v>
      </c>
      <c r="B53" s="94"/>
      <c r="C53" s="94"/>
      <c r="D53" s="94"/>
      <c r="E53" s="94"/>
      <c r="F53" s="94">
        <f t="shared" ref="F53:Q53" si="87">F52/E52-1</f>
        <v>4.2974441606527636E-2</v>
      </c>
      <c r="G53" s="94">
        <f t="shared" si="87"/>
        <v>7.6066497929130339E-3</v>
      </c>
      <c r="H53" s="94">
        <f t="shared" si="87"/>
        <v>-4.743664811576731E-3</v>
      </c>
      <c r="I53" s="94">
        <f t="shared" si="87"/>
        <v>-2.3026747082732446E-2</v>
      </c>
      <c r="J53" s="94">
        <f t="shared" si="87"/>
        <v>-3.6218147657311572E-2</v>
      </c>
      <c r="K53" s="94">
        <f t="shared" si="87"/>
        <v>-5.3627375896400431E-2</v>
      </c>
      <c r="L53" s="94">
        <f t="shared" si="87"/>
        <v>-4.6035570432767514E-2</v>
      </c>
      <c r="M53" s="94">
        <f t="shared" si="87"/>
        <v>-6.6649957584637876E-2</v>
      </c>
      <c r="N53" s="94">
        <f t="shared" si="87"/>
        <v>-0.11057404308938046</v>
      </c>
      <c r="O53" s="94">
        <f t="shared" si="87"/>
        <v>-0.2037252078591667</v>
      </c>
      <c r="P53" s="94">
        <f t="shared" si="87"/>
        <v>-9.1304555795368447E-2</v>
      </c>
      <c r="Q53" s="1045">
        <f t="shared" si="87"/>
        <v>-0.11717122981562311</v>
      </c>
      <c r="R53" s="94"/>
      <c r="S53" s="94"/>
      <c r="T53" s="1045"/>
      <c r="U53" s="94"/>
      <c r="V53" s="94"/>
      <c r="W53" s="94"/>
      <c r="X53" s="94"/>
      <c r="Y53" s="94"/>
      <c r="Z53" s="3395"/>
      <c r="AA53" s="3360"/>
      <c r="AB53" s="3360"/>
      <c r="AC53" s="3360"/>
      <c r="AD53" s="3360"/>
      <c r="AE53" s="3360"/>
      <c r="AF53" s="3360"/>
      <c r="AG53" s="3360"/>
      <c r="AH53" s="1962"/>
      <c r="AI53" s="2159"/>
      <c r="AJ53" s="2159"/>
      <c r="AK53" s="2159"/>
      <c r="AL53" s="2159"/>
      <c r="AM53" s="2159"/>
      <c r="AN53" s="2159"/>
      <c r="AO53" s="2159"/>
      <c r="AP53" s="147"/>
      <c r="AQ53" s="94"/>
      <c r="AR53" s="94"/>
      <c r="AS53" s="94"/>
      <c r="AT53" s="147">
        <f t="shared" ref="AT53:CO53" si="88">AT52/AP52-1</f>
        <v>4.7716222450935097E-2</v>
      </c>
      <c r="AU53" s="94">
        <f t="shared" si="88"/>
        <v>4.5944333298234552E-2</v>
      </c>
      <c r="AV53" s="94">
        <f t="shared" si="88"/>
        <v>4.7423968893209212E-2</v>
      </c>
      <c r="AW53" s="94">
        <f t="shared" si="88"/>
        <v>4.2974441606527636E-2</v>
      </c>
      <c r="AX53" s="147">
        <f t="shared" si="88"/>
        <v>1.5661314635096346E-2</v>
      </c>
      <c r="AY53" s="94">
        <f t="shared" si="88"/>
        <v>1.3317265100671216E-2</v>
      </c>
      <c r="AZ53" s="94">
        <f t="shared" si="88"/>
        <v>9.2390122638383865E-3</v>
      </c>
      <c r="BA53" s="94">
        <f t="shared" si="88"/>
        <v>7.6066497929130339E-3</v>
      </c>
      <c r="BB53" s="147">
        <f t="shared" si="88"/>
        <v>1.0043891801670313E-2</v>
      </c>
      <c r="BC53" s="94">
        <f t="shared" si="88"/>
        <v>6.6114667671759442E-3</v>
      </c>
      <c r="BD53" s="94">
        <f t="shared" si="88"/>
        <v>9.6092643042289261E-4</v>
      </c>
      <c r="BE53" s="94">
        <f t="shared" si="88"/>
        <v>-4.743664811576731E-3</v>
      </c>
      <c r="BF53" s="147">
        <f t="shared" si="88"/>
        <v>7.3798910351658975E-3</v>
      </c>
      <c r="BG53" s="94">
        <f t="shared" si="88"/>
        <v>-3.207606138864727E-3</v>
      </c>
      <c r="BH53" s="94">
        <f t="shared" si="88"/>
        <v>-1.3009383817835785E-2</v>
      </c>
      <c r="BI53" s="94">
        <f t="shared" si="88"/>
        <v>-2.3026747082732446E-2</v>
      </c>
      <c r="BJ53" s="147">
        <f t="shared" si="88"/>
        <v>-3.002441942409495E-2</v>
      </c>
      <c r="BK53" s="94">
        <f t="shared" si="88"/>
        <v>-3.6354335126571824E-2</v>
      </c>
      <c r="BL53" s="94">
        <f t="shared" si="88"/>
        <v>-3.7265428918105803E-2</v>
      </c>
      <c r="BM53" s="94">
        <f t="shared" si="88"/>
        <v>-3.6218147657311572E-2</v>
      </c>
      <c r="BN53" s="147">
        <f t="shared" si="88"/>
        <v>-4.9488890766241411E-2</v>
      </c>
      <c r="BO53" s="94">
        <f t="shared" si="88"/>
        <v>-4.8600051374261488E-2</v>
      </c>
      <c r="BP53" s="94">
        <f t="shared" si="88"/>
        <v>-5.0931441100809716E-2</v>
      </c>
      <c r="BQ53" s="94">
        <f t="shared" si="88"/>
        <v>-5.3627375896400431E-2</v>
      </c>
      <c r="BR53" s="147">
        <f t="shared" si="88"/>
        <v>-4.2217718998862397E-2</v>
      </c>
      <c r="BS53" s="94">
        <f t="shared" si="88"/>
        <v>-4.2172903504508863E-2</v>
      </c>
      <c r="BT53" s="94">
        <f t="shared" si="88"/>
        <v>-4.3986829419148332E-2</v>
      </c>
      <c r="BU53" s="94">
        <f t="shared" si="88"/>
        <v>-4.6035570432767514E-2</v>
      </c>
      <c r="BV53" s="147">
        <f t="shared" si="88"/>
        <v>-5.1316790705443482E-2</v>
      </c>
      <c r="BW53" s="94">
        <f t="shared" si="88"/>
        <v>-5.5079490359679739E-2</v>
      </c>
      <c r="BX53" s="94">
        <f t="shared" si="88"/>
        <v>-6.2108728331398799E-2</v>
      </c>
      <c r="BY53" s="94">
        <f t="shared" si="88"/>
        <v>-6.6649957584637876E-2</v>
      </c>
      <c r="BZ53" s="147">
        <f t="shared" si="88"/>
        <v>-0.10354879098521008</v>
      </c>
      <c r="CA53" s="94">
        <f t="shared" si="88"/>
        <v>-0.10816777041942605</v>
      </c>
      <c r="CB53" s="94">
        <f t="shared" si="88"/>
        <v>-0.10909127797277285</v>
      </c>
      <c r="CC53" s="94">
        <f t="shared" si="88"/>
        <v>-0.11057404308938046</v>
      </c>
      <c r="CD53" s="147">
        <f t="shared" si="88"/>
        <v>-7.9785260676952574E-2</v>
      </c>
      <c r="CE53" s="94">
        <f t="shared" si="88"/>
        <v>-7.8204442065828217E-2</v>
      </c>
      <c r="CF53" s="94">
        <f t="shared" si="88"/>
        <v>-7.959100018218257E-2</v>
      </c>
      <c r="CG53" s="94">
        <f t="shared" si="88"/>
        <v>-0.2037252078591667</v>
      </c>
      <c r="CH53" s="147">
        <f t="shared" si="88"/>
        <v>-0.20478098987359783</v>
      </c>
      <c r="CI53" s="94">
        <f t="shared" si="88"/>
        <v>-0.20766676212463286</v>
      </c>
      <c r="CJ53" s="94">
        <f t="shared" si="88"/>
        <v>-0.21043066707539992</v>
      </c>
      <c r="CK53" s="94">
        <f t="shared" si="88"/>
        <v>-9.1304555795368447E-2</v>
      </c>
      <c r="CL53" s="147">
        <f t="shared" si="88"/>
        <v>-0.12349397590361444</v>
      </c>
      <c r="CM53" s="94">
        <f t="shared" si="88"/>
        <v>-0.12214814694857334</v>
      </c>
      <c r="CN53" s="94">
        <f t="shared" si="88"/>
        <v>-0.11904678189943185</v>
      </c>
      <c r="CO53" s="94">
        <f t="shared" si="88"/>
        <v>-0.11717122981562311</v>
      </c>
      <c r="CP53" s="147"/>
      <c r="CQ53" s="94"/>
      <c r="CR53" s="94"/>
      <c r="CS53" s="94"/>
      <c r="CT53" s="147"/>
      <c r="CU53" s="94"/>
      <c r="CV53" s="94"/>
      <c r="CW53" s="101"/>
      <c r="CX53" s="94"/>
      <c r="CY53" s="94"/>
      <c r="CZ53" s="94"/>
      <c r="DA53" s="94"/>
      <c r="DB53" s="147"/>
      <c r="DC53" s="94"/>
      <c r="DD53" s="94"/>
      <c r="DE53" s="94"/>
      <c r="DF53" s="147"/>
      <c r="DG53" s="1045"/>
      <c r="DH53" s="1045"/>
      <c r="DI53" s="101"/>
      <c r="DJ53" s="147"/>
      <c r="DK53" s="1045"/>
      <c r="DL53" s="1045"/>
      <c r="DM53" s="101"/>
      <c r="DN53" s="1045"/>
      <c r="DO53" s="1045"/>
      <c r="DP53" s="1045"/>
      <c r="DQ53" s="101"/>
      <c r="DR53" s="1045"/>
      <c r="DS53" s="1045"/>
      <c r="DT53" s="1045"/>
      <c r="DU53" s="101"/>
      <c r="DV53" s="3360"/>
      <c r="DW53" s="3360"/>
      <c r="DX53" s="3360"/>
      <c r="DY53" s="3366"/>
    </row>
    <row r="54" spans="1:129" s="120" customFormat="1" hidden="1" outlineLevel="1">
      <c r="A54" s="176" t="s">
        <v>446</v>
      </c>
      <c r="B54" s="94"/>
      <c r="C54" s="94"/>
      <c r="D54" s="94"/>
      <c r="E54" s="94"/>
      <c r="F54" s="94"/>
      <c r="G54" s="94"/>
      <c r="H54" s="94"/>
      <c r="I54" s="94"/>
      <c r="J54" s="94"/>
      <c r="K54" s="94"/>
      <c r="L54" s="94"/>
      <c r="M54" s="94"/>
      <c r="N54" s="94"/>
      <c r="O54" s="94"/>
      <c r="P54" s="94"/>
      <c r="Q54" s="1045"/>
      <c r="R54" s="94"/>
      <c r="S54" s="94"/>
      <c r="T54" s="1045"/>
      <c r="U54" s="94"/>
      <c r="V54" s="94"/>
      <c r="W54" s="94"/>
      <c r="X54" s="94"/>
      <c r="Y54" s="94"/>
      <c r="Z54" s="3395"/>
      <c r="AA54" s="3360"/>
      <c r="AB54" s="3360"/>
      <c r="AC54" s="3360"/>
      <c r="AD54" s="3360"/>
      <c r="AE54" s="3360"/>
      <c r="AF54" s="3360"/>
      <c r="AG54" s="3360"/>
      <c r="AH54" s="1962"/>
      <c r="AI54" s="2159"/>
      <c r="AJ54" s="2159"/>
      <c r="AK54" s="2159"/>
      <c r="AL54" s="2159"/>
      <c r="AM54" s="2159"/>
      <c r="AN54" s="2159"/>
      <c r="AO54" s="2159"/>
      <c r="AP54" s="147"/>
      <c r="AQ54" s="94"/>
      <c r="AR54" s="94"/>
      <c r="AS54" s="94"/>
      <c r="AT54" s="147"/>
      <c r="AU54" s="94"/>
      <c r="AV54" s="94"/>
      <c r="AW54" s="94"/>
      <c r="AX54" s="147"/>
      <c r="AY54" s="94"/>
      <c r="AZ54" s="94"/>
      <c r="BA54" s="94"/>
      <c r="BB54" s="147"/>
      <c r="BC54" s="94"/>
      <c r="BD54" s="94"/>
      <c r="BE54" s="94"/>
      <c r="BF54" s="182"/>
      <c r="BG54" s="94"/>
      <c r="BH54" s="94"/>
      <c r="BI54" s="94"/>
      <c r="BJ54" s="147"/>
      <c r="BK54" s="94"/>
      <c r="BL54" s="94"/>
      <c r="BM54" s="94"/>
      <c r="BN54" s="147"/>
      <c r="BO54" s="94"/>
      <c r="BP54" s="94"/>
      <c r="BQ54" s="94"/>
      <c r="BR54" s="147"/>
      <c r="BS54" s="94"/>
      <c r="BT54" s="94"/>
      <c r="BU54" s="94"/>
      <c r="BV54" s="147"/>
      <c r="BW54" s="94"/>
      <c r="BX54" s="94"/>
      <c r="BY54" s="94"/>
      <c r="BZ54" s="147"/>
      <c r="CA54" s="94"/>
      <c r="CB54" s="94"/>
      <c r="CC54" s="94"/>
      <c r="CD54" s="147"/>
      <c r="CE54" s="94"/>
      <c r="CF54" s="94"/>
      <c r="CG54" s="94"/>
      <c r="CH54" s="147"/>
      <c r="CI54" s="94"/>
      <c r="CJ54" s="94"/>
      <c r="CK54" s="94"/>
      <c r="CL54" s="147"/>
      <c r="CM54" s="94"/>
      <c r="CN54" s="94"/>
      <c r="CO54" s="94"/>
      <c r="CP54" s="147"/>
      <c r="CQ54" s="94"/>
      <c r="CR54" s="94"/>
      <c r="CS54" s="94"/>
      <c r="CT54" s="147"/>
      <c r="CU54" s="94"/>
      <c r="CV54" s="94"/>
      <c r="CW54" s="101"/>
      <c r="CX54" s="94"/>
      <c r="CY54" s="94"/>
      <c r="CZ54" s="94"/>
      <c r="DA54" s="94"/>
      <c r="DB54" s="147"/>
      <c r="DC54" s="94"/>
      <c r="DD54" s="94"/>
      <c r="DE54" s="94"/>
      <c r="DF54" s="147"/>
      <c r="DG54" s="1045"/>
      <c r="DH54" s="1045"/>
      <c r="DI54" s="101"/>
      <c r="DJ54" s="147"/>
      <c r="DK54" s="1045"/>
      <c r="DL54" s="1045"/>
      <c r="DM54" s="101"/>
      <c r="DN54" s="1045"/>
      <c r="DO54" s="1045"/>
      <c r="DP54" s="1045"/>
      <c r="DQ54" s="101"/>
      <c r="DR54" s="1045"/>
      <c r="DS54" s="1045"/>
      <c r="DT54" s="1045"/>
      <c r="DU54" s="101"/>
      <c r="DV54" s="3360"/>
      <c r="DW54" s="3360"/>
      <c r="DX54" s="3360"/>
      <c r="DY54" s="3366"/>
    </row>
    <row r="55" spans="1:129" hidden="1" outlineLevel="1">
      <c r="A55" s="100" t="s">
        <v>419</v>
      </c>
      <c r="B55" s="87"/>
      <c r="C55" s="87"/>
      <c r="D55" s="87"/>
      <c r="E55" s="143"/>
      <c r="F55" s="143">
        <f t="shared" ref="F55:Q55" si="89">F52-E52</f>
        <v>2507</v>
      </c>
      <c r="G55" s="143">
        <f t="shared" si="89"/>
        <v>462.81900000000314</v>
      </c>
      <c r="H55" s="143">
        <f t="shared" si="89"/>
        <v>-290.81900000000314</v>
      </c>
      <c r="I55" s="143">
        <f t="shared" si="89"/>
        <v>-1405</v>
      </c>
      <c r="J55" s="143">
        <f t="shared" si="89"/>
        <v>-2159</v>
      </c>
      <c r="K55" s="143">
        <f t="shared" si="89"/>
        <v>-3081</v>
      </c>
      <c r="L55" s="143">
        <f t="shared" si="89"/>
        <v>-2503</v>
      </c>
      <c r="M55" s="143">
        <f t="shared" si="89"/>
        <v>-3457</v>
      </c>
      <c r="N55" s="143">
        <f t="shared" si="89"/>
        <v>-5353</v>
      </c>
      <c r="O55" s="143">
        <f t="shared" si="89"/>
        <v>-8772</v>
      </c>
      <c r="P55" s="143">
        <f t="shared" si="89"/>
        <v>-3130.4680000000008</v>
      </c>
      <c r="Q55" s="1047">
        <f t="shared" si="89"/>
        <v>-3650.5319999999992</v>
      </c>
      <c r="R55" s="143"/>
      <c r="S55" s="143"/>
      <c r="T55" s="1047"/>
      <c r="U55" s="143"/>
      <c r="V55" s="143"/>
      <c r="W55" s="143"/>
      <c r="X55" s="143"/>
      <c r="Y55" s="143"/>
      <c r="Z55" s="3398"/>
      <c r="AA55" s="3382"/>
      <c r="AB55" s="3382"/>
      <c r="AC55" s="3382"/>
      <c r="AD55" s="3382"/>
      <c r="AE55" s="3382"/>
      <c r="AF55" s="3382"/>
      <c r="AG55" s="3382"/>
      <c r="AH55" s="1961"/>
      <c r="AI55" s="2163"/>
      <c r="AJ55" s="2163"/>
      <c r="AK55" s="2163"/>
      <c r="AL55" s="2163"/>
      <c r="AM55" s="2163"/>
      <c r="AN55" s="2163"/>
      <c r="AO55" s="2163"/>
      <c r="AP55" s="159"/>
      <c r="AQ55" s="143">
        <f t="shared" ref="AQ55:AW55" si="90">AQ53-AP53</f>
        <v>0</v>
      </c>
      <c r="AR55" s="143">
        <f t="shared" si="90"/>
        <v>0</v>
      </c>
      <c r="AS55" s="143">
        <f t="shared" si="90"/>
        <v>0</v>
      </c>
      <c r="AT55" s="159">
        <f t="shared" si="90"/>
        <v>4.7716222450935097E-2</v>
      </c>
      <c r="AU55" s="143">
        <f t="shared" si="90"/>
        <v>-1.7718891527005454E-3</v>
      </c>
      <c r="AV55" s="143">
        <f t="shared" si="90"/>
        <v>1.4796355949746598E-3</v>
      </c>
      <c r="AW55" s="143">
        <f t="shared" si="90"/>
        <v>-4.449527286681576E-3</v>
      </c>
      <c r="AX55" s="159">
        <f t="shared" ref="AX55:CN55" si="91">AX52-AW52</f>
        <v>-876.30900000000111</v>
      </c>
      <c r="AY55" s="143">
        <f t="shared" si="91"/>
        <v>426.01800000000367</v>
      </c>
      <c r="AZ55" s="143">
        <f t="shared" si="91"/>
        <v>503.77300000000105</v>
      </c>
      <c r="BA55" s="143">
        <f t="shared" si="91"/>
        <v>409.33699999999953</v>
      </c>
      <c r="BB55" s="159">
        <f t="shared" si="91"/>
        <v>-736.81900000000314</v>
      </c>
      <c r="BC55" s="143">
        <f t="shared" si="91"/>
        <v>223</v>
      </c>
      <c r="BD55" s="143">
        <f t="shared" si="91"/>
        <v>163</v>
      </c>
      <c r="BE55" s="143">
        <f t="shared" si="91"/>
        <v>60</v>
      </c>
      <c r="BF55" s="159">
        <f t="shared" si="91"/>
        <v>1</v>
      </c>
      <c r="BG55" s="143">
        <f t="shared" si="91"/>
        <v>-419</v>
      </c>
      <c r="BH55" s="143">
        <f t="shared" si="91"/>
        <v>-435</v>
      </c>
      <c r="BI55" s="143">
        <f t="shared" si="91"/>
        <v>-552</v>
      </c>
      <c r="BJ55" s="159">
        <f t="shared" si="91"/>
        <v>-426</v>
      </c>
      <c r="BK55" s="143">
        <f t="shared" si="91"/>
        <v>-790</v>
      </c>
      <c r="BL55" s="143">
        <f t="shared" si="91"/>
        <v>-474</v>
      </c>
      <c r="BM55" s="143">
        <f t="shared" si="91"/>
        <v>-469</v>
      </c>
      <c r="BN55" s="159">
        <f t="shared" si="91"/>
        <v>-1196</v>
      </c>
      <c r="BO55" s="143">
        <f t="shared" si="91"/>
        <v>-699</v>
      </c>
      <c r="BP55" s="143">
        <f t="shared" si="91"/>
        <v>-586</v>
      </c>
      <c r="BQ55" s="143">
        <f t="shared" si="91"/>
        <v>-600</v>
      </c>
      <c r="BR55" s="159">
        <f t="shared" si="91"/>
        <v>-490</v>
      </c>
      <c r="BS55" s="143">
        <f t="shared" si="91"/>
        <v>-667</v>
      </c>
      <c r="BT55" s="143">
        <f t="shared" si="91"/>
        <v>-661</v>
      </c>
      <c r="BU55" s="143">
        <f t="shared" si="91"/>
        <v>-685</v>
      </c>
      <c r="BV55" s="159">
        <f t="shared" si="91"/>
        <v>-752</v>
      </c>
      <c r="BW55" s="143">
        <f t="shared" si="91"/>
        <v>-833</v>
      </c>
      <c r="BX55" s="143">
        <f t="shared" si="91"/>
        <v>-994</v>
      </c>
      <c r="BY55" s="143">
        <f t="shared" si="91"/>
        <v>-878</v>
      </c>
      <c r="BZ55" s="159">
        <f t="shared" si="91"/>
        <v>-2588</v>
      </c>
      <c r="CA55" s="143">
        <f t="shared" si="91"/>
        <v>-979</v>
      </c>
      <c r="CB55" s="143">
        <f t="shared" si="91"/>
        <v>-932</v>
      </c>
      <c r="CC55" s="143">
        <f t="shared" si="91"/>
        <v>-854</v>
      </c>
      <c r="CD55" s="159">
        <f t="shared" si="91"/>
        <v>-891</v>
      </c>
      <c r="CE55" s="143">
        <f t="shared" si="91"/>
        <v>-830</v>
      </c>
      <c r="CF55" s="143">
        <f t="shared" si="91"/>
        <v>-920</v>
      </c>
      <c r="CG55" s="143">
        <f t="shared" si="91"/>
        <v>-6131</v>
      </c>
      <c r="CH55" s="159">
        <f t="shared" si="91"/>
        <v>-754</v>
      </c>
      <c r="CI55" s="143">
        <f t="shared" si="91"/>
        <v>-779.32094594594673</v>
      </c>
      <c r="CJ55" s="143">
        <f t="shared" si="91"/>
        <v>-840.65532524049195</v>
      </c>
      <c r="CK55" s="143">
        <f t="shared" si="91"/>
        <v>-756.49172881356208</v>
      </c>
      <c r="CL55" s="159">
        <f t="shared" si="91"/>
        <v>-1764.5319999999992</v>
      </c>
      <c r="CM55" s="143">
        <f t="shared" si="91"/>
        <v>-639</v>
      </c>
      <c r="CN55" s="143">
        <f t="shared" si="91"/>
        <v>-639</v>
      </c>
      <c r="CO55" s="143">
        <f>CO52-CN52</f>
        <v>-608</v>
      </c>
      <c r="CP55" s="159"/>
      <c r="CQ55" s="143"/>
      <c r="CR55" s="143"/>
      <c r="CS55" s="143"/>
      <c r="CT55" s="159"/>
      <c r="CU55" s="143"/>
      <c r="CV55" s="143"/>
      <c r="CW55" s="189"/>
      <c r="CX55" s="143"/>
      <c r="CY55" s="143"/>
      <c r="CZ55" s="143"/>
      <c r="DA55" s="143"/>
      <c r="DB55" s="159"/>
      <c r="DC55" s="143"/>
      <c r="DD55" s="143"/>
      <c r="DE55" s="143"/>
      <c r="DF55" s="159"/>
      <c r="DG55" s="1047"/>
      <c r="DH55" s="1047"/>
      <c r="DI55" s="189"/>
      <c r="DJ55" s="159"/>
      <c r="DK55" s="1047"/>
      <c r="DL55" s="1047"/>
      <c r="DM55" s="189"/>
      <c r="DN55" s="1047"/>
      <c r="DO55" s="1047"/>
      <c r="DP55" s="1047"/>
      <c r="DQ55" s="189"/>
      <c r="DR55" s="1047"/>
      <c r="DS55" s="1047"/>
      <c r="DT55" s="1047"/>
      <c r="DU55" s="189"/>
      <c r="DV55" s="3382"/>
      <c r="DW55" s="3382"/>
      <c r="DX55" s="3382"/>
      <c r="DY55" s="3383"/>
    </row>
    <row r="56" spans="1:129" hidden="1" outlineLevel="1">
      <c r="A56" s="100" t="s">
        <v>447</v>
      </c>
      <c r="B56" s="87"/>
      <c r="C56" s="87"/>
      <c r="D56" s="87"/>
      <c r="E56" s="526">
        <f>E52</f>
        <v>58337</v>
      </c>
      <c r="F56" s="143">
        <f t="shared" ref="F56:Q56" si="92">AVERAGE(E52:F52)</f>
        <v>59590.5</v>
      </c>
      <c r="G56" s="143">
        <f t="shared" si="92"/>
        <v>61075.409500000002</v>
      </c>
      <c r="H56" s="143">
        <f t="shared" si="92"/>
        <v>61161.409500000002</v>
      </c>
      <c r="I56" s="143">
        <f t="shared" si="92"/>
        <v>60313.5</v>
      </c>
      <c r="J56" s="143">
        <f t="shared" si="92"/>
        <v>58531.5</v>
      </c>
      <c r="K56" s="143">
        <f t="shared" si="92"/>
        <v>55911.5</v>
      </c>
      <c r="L56" s="143">
        <f t="shared" si="92"/>
        <v>53119.5</v>
      </c>
      <c r="M56" s="143">
        <f t="shared" si="92"/>
        <v>50139.5</v>
      </c>
      <c r="N56" s="143">
        <f t="shared" si="92"/>
        <v>45734.5</v>
      </c>
      <c r="O56" s="143">
        <f t="shared" si="92"/>
        <v>38672</v>
      </c>
      <c r="P56" s="143">
        <f t="shared" si="92"/>
        <v>32720.766</v>
      </c>
      <c r="Q56" s="1047">
        <f t="shared" si="92"/>
        <v>29330.266</v>
      </c>
      <c r="R56" s="143"/>
      <c r="S56" s="143"/>
      <c r="T56" s="1047"/>
      <c r="U56" s="143"/>
      <c r="V56" s="143"/>
      <c r="W56" s="143"/>
      <c r="X56" s="143"/>
      <c r="Y56" s="143"/>
      <c r="Z56" s="3398"/>
      <c r="AA56" s="3382"/>
      <c r="AB56" s="3382"/>
      <c r="AC56" s="3382"/>
      <c r="AD56" s="3382"/>
      <c r="AE56" s="3382"/>
      <c r="AF56" s="3382"/>
      <c r="AG56" s="3382"/>
      <c r="AH56" s="1961"/>
      <c r="AI56" s="2163"/>
      <c r="AJ56" s="2163"/>
      <c r="AK56" s="2163"/>
      <c r="AL56" s="2163"/>
      <c r="AM56" s="2163"/>
      <c r="AN56" s="2163"/>
      <c r="AO56" s="2163"/>
      <c r="AP56" s="529">
        <f>AP52</f>
        <v>56354</v>
      </c>
      <c r="AQ56" s="143">
        <f t="shared" ref="AQ56:BV56" si="93">AVERAGE(AP52:AQ52)</f>
        <v>56668</v>
      </c>
      <c r="AR56" s="143">
        <f t="shared" si="93"/>
        <v>57295</v>
      </c>
      <c r="AS56" s="143">
        <f t="shared" si="93"/>
        <v>57972.5</v>
      </c>
      <c r="AT56" s="159">
        <f t="shared" si="93"/>
        <v>58690</v>
      </c>
      <c r="AU56" s="143">
        <f t="shared" si="93"/>
        <v>59321.5</v>
      </c>
      <c r="AV56" s="143">
        <f t="shared" si="93"/>
        <v>59970</v>
      </c>
      <c r="AW56" s="143">
        <f t="shared" si="93"/>
        <v>60592</v>
      </c>
      <c r="AX56" s="159">
        <f t="shared" si="93"/>
        <v>60405.845499999996</v>
      </c>
      <c r="AY56" s="143">
        <f t="shared" si="93"/>
        <v>60180.7</v>
      </c>
      <c r="AZ56" s="143">
        <f t="shared" si="93"/>
        <v>60645.595500000003</v>
      </c>
      <c r="BA56" s="143">
        <f t="shared" si="93"/>
        <v>61102.150500000003</v>
      </c>
      <c r="BB56" s="159">
        <f t="shared" si="93"/>
        <v>60938.409500000002</v>
      </c>
      <c r="BC56" s="143">
        <f t="shared" si="93"/>
        <v>60681.5</v>
      </c>
      <c r="BD56" s="143">
        <f t="shared" si="93"/>
        <v>60874.5</v>
      </c>
      <c r="BE56" s="143">
        <f t="shared" si="93"/>
        <v>60986</v>
      </c>
      <c r="BF56" s="159">
        <f t="shared" si="93"/>
        <v>61016.5</v>
      </c>
      <c r="BG56" s="143">
        <f t="shared" si="93"/>
        <v>60807.5</v>
      </c>
      <c r="BH56" s="143">
        <f t="shared" si="93"/>
        <v>60380.5</v>
      </c>
      <c r="BI56" s="143">
        <f t="shared" si="93"/>
        <v>59887</v>
      </c>
      <c r="BJ56" s="159">
        <f t="shared" si="93"/>
        <v>59398</v>
      </c>
      <c r="BK56" s="143">
        <f t="shared" si="93"/>
        <v>58790</v>
      </c>
      <c r="BL56" s="143">
        <f t="shared" si="93"/>
        <v>58158</v>
      </c>
      <c r="BM56" s="143">
        <f t="shared" si="93"/>
        <v>57686.5</v>
      </c>
      <c r="BN56" s="159">
        <f t="shared" si="93"/>
        <v>56854</v>
      </c>
      <c r="BO56" s="143">
        <f t="shared" si="93"/>
        <v>55906.5</v>
      </c>
      <c r="BP56" s="143">
        <f t="shared" si="93"/>
        <v>55264</v>
      </c>
      <c r="BQ56" s="143">
        <f t="shared" si="93"/>
        <v>54671</v>
      </c>
      <c r="BR56" s="159">
        <f t="shared" si="93"/>
        <v>54126</v>
      </c>
      <c r="BS56" s="143">
        <f t="shared" si="93"/>
        <v>53547.5</v>
      </c>
      <c r="BT56" s="143">
        <f t="shared" si="93"/>
        <v>52883.5</v>
      </c>
      <c r="BU56" s="143">
        <f t="shared" si="93"/>
        <v>52210.5</v>
      </c>
      <c r="BV56" s="159">
        <f t="shared" si="93"/>
        <v>51492</v>
      </c>
      <c r="BW56" s="143">
        <f t="shared" ref="BW56:CN56" si="94">AVERAGE(BV52:BW52)</f>
        <v>50699.5</v>
      </c>
      <c r="BX56" s="143">
        <f t="shared" si="94"/>
        <v>49786</v>
      </c>
      <c r="BY56" s="143">
        <f t="shared" si="94"/>
        <v>48850</v>
      </c>
      <c r="BZ56" s="159">
        <f t="shared" si="94"/>
        <v>47117</v>
      </c>
      <c r="CA56" s="143">
        <f t="shared" si="94"/>
        <v>45333.5</v>
      </c>
      <c r="CB56" s="143">
        <f t="shared" si="94"/>
        <v>44378</v>
      </c>
      <c r="CC56" s="143">
        <f t="shared" si="94"/>
        <v>43485</v>
      </c>
      <c r="CD56" s="159">
        <f t="shared" si="94"/>
        <v>42612.5</v>
      </c>
      <c r="CE56" s="143">
        <f t="shared" si="94"/>
        <v>41752</v>
      </c>
      <c r="CF56" s="143">
        <f t="shared" si="94"/>
        <v>40877</v>
      </c>
      <c r="CG56" s="143">
        <f t="shared" si="94"/>
        <v>37351.5</v>
      </c>
      <c r="CH56" s="159">
        <f t="shared" si="94"/>
        <v>33909</v>
      </c>
      <c r="CI56" s="143">
        <f t="shared" si="94"/>
        <v>33142.339527027027</v>
      </c>
      <c r="CJ56" s="143">
        <f t="shared" si="94"/>
        <v>32332.351391433807</v>
      </c>
      <c r="CK56" s="143">
        <f t="shared" si="94"/>
        <v>31533.77786440678</v>
      </c>
      <c r="CL56" s="159">
        <f t="shared" si="94"/>
        <v>30273.266</v>
      </c>
      <c r="CM56" s="143">
        <f t="shared" si="94"/>
        <v>29071.5</v>
      </c>
      <c r="CN56" s="143">
        <f t="shared" si="94"/>
        <v>28432.5</v>
      </c>
      <c r="CO56" s="143">
        <f>AVERAGE(CN52:CO52)</f>
        <v>27809</v>
      </c>
      <c r="CP56" s="159"/>
      <c r="CQ56" s="143"/>
      <c r="CR56" s="143"/>
      <c r="CS56" s="143"/>
      <c r="CT56" s="159"/>
      <c r="CU56" s="143"/>
      <c r="CV56" s="143"/>
      <c r="CW56" s="189"/>
      <c r="CX56" s="143"/>
      <c r="CY56" s="143"/>
      <c r="CZ56" s="143"/>
      <c r="DA56" s="143"/>
      <c r="DB56" s="159"/>
      <c r="DC56" s="143"/>
      <c r="DD56" s="143"/>
      <c r="DE56" s="143"/>
      <c r="DF56" s="159"/>
      <c r="DG56" s="1047"/>
      <c r="DH56" s="1047"/>
      <c r="DI56" s="189"/>
      <c r="DJ56" s="159"/>
      <c r="DK56" s="1047"/>
      <c r="DL56" s="1047"/>
      <c r="DM56" s="189"/>
      <c r="DN56" s="1047"/>
      <c r="DO56" s="1047"/>
      <c r="DP56" s="1047"/>
      <c r="DQ56" s="189"/>
      <c r="DR56" s="1047"/>
      <c r="DS56" s="1047"/>
      <c r="DT56" s="1047"/>
      <c r="DU56" s="189"/>
      <c r="DV56" s="3382"/>
      <c r="DW56" s="3382"/>
      <c r="DX56" s="3382"/>
      <c r="DY56" s="3383"/>
    </row>
    <row r="57" spans="1:129" s="120" customFormat="1" hidden="1" outlineLevel="1">
      <c r="A57" s="176" t="s">
        <v>432</v>
      </c>
      <c r="B57" s="94"/>
      <c r="C57" s="94"/>
      <c r="D57" s="94"/>
      <c r="E57" s="94"/>
      <c r="F57" s="94"/>
      <c r="G57" s="94">
        <f t="shared" ref="G57:Q57" si="95">G56/F56-1</f>
        <v>2.4918560844430004E-2</v>
      </c>
      <c r="H57" s="94">
        <f t="shared" si="95"/>
        <v>1.4080953480959391E-3</v>
      </c>
      <c r="I57" s="94">
        <f t="shared" si="95"/>
        <v>-1.3863472194832305E-2</v>
      </c>
      <c r="J57" s="94">
        <f t="shared" si="95"/>
        <v>-2.9545624114004299E-2</v>
      </c>
      <c r="K57" s="94">
        <f t="shared" si="95"/>
        <v>-4.4762222051374034E-2</v>
      </c>
      <c r="L57" s="94">
        <f t="shared" si="95"/>
        <v>-4.9936059665721677E-2</v>
      </c>
      <c r="M57" s="94">
        <f t="shared" si="95"/>
        <v>-5.6099925639360282E-2</v>
      </c>
      <c r="N57" s="94">
        <f t="shared" si="95"/>
        <v>-8.7854884871209293E-2</v>
      </c>
      <c r="O57" s="94">
        <f t="shared" si="95"/>
        <v>-0.15442390318031241</v>
      </c>
      <c r="P57" s="94">
        <f t="shared" si="95"/>
        <v>-0.15388999793131986</v>
      </c>
      <c r="Q57" s="1045">
        <f t="shared" si="95"/>
        <v>-0.1036192123375107</v>
      </c>
      <c r="R57" s="94"/>
      <c r="S57" s="94"/>
      <c r="T57" s="1045"/>
      <c r="U57" s="94"/>
      <c r="V57" s="94"/>
      <c r="W57" s="94"/>
      <c r="X57" s="94"/>
      <c r="Y57" s="94"/>
      <c r="Z57" s="3395"/>
      <c r="AA57" s="3360"/>
      <c r="AB57" s="3360"/>
      <c r="AC57" s="3360"/>
      <c r="AD57" s="3360"/>
      <c r="AE57" s="3360"/>
      <c r="AF57" s="3360"/>
      <c r="AG57" s="3360"/>
      <c r="AH57" s="1962"/>
      <c r="AI57" s="2159"/>
      <c r="AJ57" s="2159"/>
      <c r="AK57" s="2159"/>
      <c r="AL57" s="2159"/>
      <c r="AM57" s="2159"/>
      <c r="AN57" s="2159"/>
      <c r="AO57" s="2159"/>
      <c r="AP57" s="147"/>
      <c r="AQ57" s="94"/>
      <c r="AR57" s="94"/>
      <c r="AS57" s="94"/>
      <c r="AT57" s="147">
        <f t="shared" ref="AT57:CN57" si="96">AT56/AP56-1</f>
        <v>4.1452248287610516E-2</v>
      </c>
      <c r="AU57" s="94">
        <f t="shared" si="96"/>
        <v>4.6825368814851442E-2</v>
      </c>
      <c r="AV57" s="94">
        <f t="shared" si="96"/>
        <v>4.6688192686970886E-2</v>
      </c>
      <c r="AW57" s="94">
        <f t="shared" si="96"/>
        <v>4.5185217128811184E-2</v>
      </c>
      <c r="AX57" s="147">
        <f t="shared" si="96"/>
        <v>2.9235738626682606E-2</v>
      </c>
      <c r="AY57" s="94">
        <f t="shared" si="96"/>
        <v>1.4483787496944567E-2</v>
      </c>
      <c r="AZ57" s="94">
        <f t="shared" si="96"/>
        <v>1.1265557778889601E-2</v>
      </c>
      <c r="BA57" s="94">
        <f t="shared" si="96"/>
        <v>8.4194365592817899E-3</v>
      </c>
      <c r="BB57" s="147">
        <f t="shared" si="96"/>
        <v>8.8164315157215345E-3</v>
      </c>
      <c r="BC57" s="94">
        <f t="shared" si="96"/>
        <v>8.3216047669767423E-3</v>
      </c>
      <c r="BD57" s="94">
        <f t="shared" si="96"/>
        <v>3.774462071198581E-3</v>
      </c>
      <c r="BE57" s="94">
        <f t="shared" si="96"/>
        <v>-1.9009232743780746E-3</v>
      </c>
      <c r="BF57" s="147">
        <f t="shared" si="96"/>
        <v>1.2814660021607249E-3</v>
      </c>
      <c r="BG57" s="94">
        <f t="shared" si="96"/>
        <v>2.0764153819532449E-3</v>
      </c>
      <c r="BH57" s="94">
        <f t="shared" si="96"/>
        <v>-8.1150563865001191E-3</v>
      </c>
      <c r="BI57" s="94">
        <f t="shared" si="96"/>
        <v>-1.8020529301806976E-2</v>
      </c>
      <c r="BJ57" s="147">
        <f t="shared" si="96"/>
        <v>-2.6525611924643311E-2</v>
      </c>
      <c r="BK57" s="94">
        <f t="shared" si="96"/>
        <v>-3.3178473050199386E-2</v>
      </c>
      <c r="BL57" s="94">
        <f t="shared" si="96"/>
        <v>-3.6808241071206727E-2</v>
      </c>
      <c r="BM57" s="94">
        <f t="shared" si="96"/>
        <v>-3.6744201579641644E-2</v>
      </c>
      <c r="BN57" s="147">
        <f t="shared" si="96"/>
        <v>-4.2829724906562561E-2</v>
      </c>
      <c r="BO57" s="94">
        <f t="shared" si="96"/>
        <v>-4.9047457050518828E-2</v>
      </c>
      <c r="BP57" s="94">
        <f t="shared" si="96"/>
        <v>-4.9760995907699668E-2</v>
      </c>
      <c r="BQ57" s="94">
        <f t="shared" si="96"/>
        <v>-5.2273928908843525E-2</v>
      </c>
      <c r="BR57" s="147">
        <f t="shared" si="96"/>
        <v>-4.7982551799345741E-2</v>
      </c>
      <c r="BS57" s="94">
        <f t="shared" si="96"/>
        <v>-4.219545133392355E-2</v>
      </c>
      <c r="BT57" s="94">
        <f t="shared" si="96"/>
        <v>-4.3075057903879554E-2</v>
      </c>
      <c r="BU57" s="94">
        <f t="shared" si="96"/>
        <v>-4.5005578826068704E-2</v>
      </c>
      <c r="BV57" s="147">
        <f t="shared" si="96"/>
        <v>-4.8664227912648239E-2</v>
      </c>
      <c r="BW57" s="94">
        <f t="shared" si="96"/>
        <v>-5.3186423269060201E-2</v>
      </c>
      <c r="BX57" s="94">
        <f t="shared" si="96"/>
        <v>-5.8572144430682593E-2</v>
      </c>
      <c r="BY57" s="94">
        <f t="shared" si="96"/>
        <v>-6.4364447764338584E-2</v>
      </c>
      <c r="BZ57" s="147">
        <f t="shared" si="96"/>
        <v>-8.4964654703643339E-2</v>
      </c>
      <c r="CA57" s="94">
        <f t="shared" si="96"/>
        <v>-0.10583930807996134</v>
      </c>
      <c r="CB57" s="94">
        <f t="shared" si="96"/>
        <v>-0.10862491463463619</v>
      </c>
      <c r="CC57" s="94">
        <f t="shared" si="96"/>
        <v>-0.10982599795291714</v>
      </c>
      <c r="CD57" s="147">
        <f t="shared" si="96"/>
        <v>-9.5602436487891795E-2</v>
      </c>
      <c r="CE57" s="94">
        <f t="shared" si="96"/>
        <v>-7.9003386016963217E-2</v>
      </c>
      <c r="CF57" s="94">
        <f t="shared" si="96"/>
        <v>-7.889044120960842E-2</v>
      </c>
      <c r="CG57" s="94">
        <f t="shared" si="96"/>
        <v>-0.14104863746119356</v>
      </c>
      <c r="CH57" s="147">
        <f t="shared" si="96"/>
        <v>-0.20424757993546494</v>
      </c>
      <c r="CI57" s="94">
        <f t="shared" si="96"/>
        <v>-0.20620953422525801</v>
      </c>
      <c r="CJ57" s="94">
        <f t="shared" si="96"/>
        <v>-0.20903316311290443</v>
      </c>
      <c r="CK57" s="94">
        <f t="shared" si="96"/>
        <v>-0.15575605091075917</v>
      </c>
      <c r="CL57" s="147">
        <f t="shared" si="96"/>
        <v>-0.10722032498746648</v>
      </c>
      <c r="CM57" s="94">
        <f t="shared" si="96"/>
        <v>-0.12282897300316786</v>
      </c>
      <c r="CN57" s="94">
        <f t="shared" si="96"/>
        <v>-0.12061762363708073</v>
      </c>
      <c r="CO57" s="94">
        <f>CO56/CK56-1</f>
        <v>-0.11812025442758833</v>
      </c>
      <c r="CP57" s="147"/>
      <c r="CQ57" s="94"/>
      <c r="CR57" s="94"/>
      <c r="CS57" s="94"/>
      <c r="CT57" s="147"/>
      <c r="CU57" s="94"/>
      <c r="CV57" s="94"/>
      <c r="CW57" s="101"/>
      <c r="CX57" s="94"/>
      <c r="CY57" s="94"/>
      <c r="CZ57" s="94"/>
      <c r="DA57" s="94"/>
      <c r="DB57" s="147"/>
      <c r="DC57" s="94"/>
      <c r="DD57" s="94"/>
      <c r="DE57" s="94"/>
      <c r="DF57" s="147"/>
      <c r="DG57" s="1045"/>
      <c r="DH57" s="1045"/>
      <c r="DI57" s="101"/>
      <c r="DJ57" s="147"/>
      <c r="DK57" s="1045"/>
      <c r="DL57" s="1045"/>
      <c r="DM57" s="101"/>
      <c r="DN57" s="1045"/>
      <c r="DO57" s="1045"/>
      <c r="DP57" s="1045"/>
      <c r="DQ57" s="101"/>
      <c r="DR57" s="1045"/>
      <c r="DS57" s="1045"/>
      <c r="DT57" s="1045"/>
      <c r="DU57" s="101"/>
      <c r="DV57" s="3360"/>
      <c r="DW57" s="3360"/>
      <c r="DX57" s="3360"/>
      <c r="DY57" s="3366"/>
    </row>
    <row r="58" spans="1:129" ht="4.5" hidden="1" customHeight="1" outlineLevel="1">
      <c r="A58" s="100"/>
      <c r="B58" s="87"/>
      <c r="C58" s="87"/>
      <c r="D58" s="87"/>
      <c r="E58" s="143"/>
      <c r="F58" s="87"/>
      <c r="G58" s="87"/>
      <c r="H58" s="87"/>
      <c r="I58" s="87"/>
      <c r="J58" s="87"/>
      <c r="K58" s="87"/>
      <c r="L58" s="87"/>
      <c r="M58" s="87"/>
      <c r="N58" s="87"/>
      <c r="O58" s="87"/>
      <c r="P58" s="87"/>
      <c r="Q58" s="1041"/>
      <c r="R58" s="87"/>
      <c r="S58" s="87"/>
      <c r="T58" s="1041"/>
      <c r="U58" s="87"/>
      <c r="V58" s="87"/>
      <c r="W58" s="87"/>
      <c r="X58" s="87"/>
      <c r="Y58" s="87"/>
      <c r="Z58" s="3407"/>
      <c r="AA58" s="3376"/>
      <c r="AB58" s="3376"/>
      <c r="AC58" s="3376"/>
      <c r="AD58" s="3376"/>
      <c r="AE58" s="3376"/>
      <c r="AF58" s="3376"/>
      <c r="AG58" s="3376"/>
      <c r="AH58" s="1961"/>
      <c r="AI58" s="1989"/>
      <c r="AJ58" s="1989"/>
      <c r="AK58" s="1989"/>
      <c r="AL58" s="1989"/>
      <c r="AM58" s="1989"/>
      <c r="AN58" s="1989"/>
      <c r="AO58" s="1989"/>
      <c r="AP58" s="159"/>
      <c r="AQ58" s="143"/>
      <c r="AR58" s="143"/>
      <c r="AS58" s="143"/>
      <c r="AT58" s="88"/>
      <c r="AU58" s="87"/>
      <c r="AV58" s="87"/>
      <c r="AW58" s="87"/>
      <c r="AX58" s="88"/>
      <c r="AY58" s="87"/>
      <c r="AZ58" s="87"/>
      <c r="BA58" s="87"/>
      <c r="BB58" s="88"/>
      <c r="BC58" s="87"/>
      <c r="BD58" s="87"/>
      <c r="BE58" s="87"/>
      <c r="BF58" s="88"/>
      <c r="BG58" s="87"/>
      <c r="BH58" s="87"/>
      <c r="BI58" s="87"/>
      <c r="BJ58" s="88"/>
      <c r="BK58" s="87"/>
      <c r="BL58" s="87"/>
      <c r="BM58" s="87"/>
      <c r="BN58" s="88"/>
      <c r="BO58" s="87"/>
      <c r="BP58" s="87"/>
      <c r="BQ58" s="87"/>
      <c r="BR58" s="88"/>
      <c r="BS58" s="87"/>
      <c r="BT58" s="87"/>
      <c r="BU58" s="87"/>
      <c r="BV58" s="88"/>
      <c r="BW58" s="87"/>
      <c r="BX58" s="87"/>
      <c r="BY58" s="87"/>
      <c r="BZ58" s="88"/>
      <c r="CA58" s="87"/>
      <c r="CB58" s="87"/>
      <c r="CC58" s="87"/>
      <c r="CD58" s="88"/>
      <c r="CE58" s="87"/>
      <c r="CF58" s="87"/>
      <c r="CG58" s="87"/>
      <c r="CH58" s="88"/>
      <c r="CI58" s="87"/>
      <c r="CJ58" s="87"/>
      <c r="CK58" s="87"/>
      <c r="CL58" s="88"/>
      <c r="CM58" s="87"/>
      <c r="CN58" s="87"/>
      <c r="CO58" s="87"/>
      <c r="CP58" s="88"/>
      <c r="CQ58" s="87"/>
      <c r="CR58" s="87"/>
      <c r="CS58" s="87"/>
      <c r="CT58" s="88"/>
      <c r="CU58" s="87"/>
      <c r="CV58" s="87"/>
      <c r="CW58" s="144"/>
      <c r="CX58" s="87"/>
      <c r="CY58" s="87"/>
      <c r="CZ58" s="87"/>
      <c r="DA58" s="87"/>
      <c r="DB58" s="88"/>
      <c r="DC58" s="87"/>
      <c r="DD58" s="87"/>
      <c r="DE58" s="87"/>
      <c r="DF58" s="88"/>
      <c r="DG58" s="1041"/>
      <c r="DH58" s="1041"/>
      <c r="DI58" s="144"/>
      <c r="DJ58" s="88"/>
      <c r="DK58" s="1041"/>
      <c r="DL58" s="1041"/>
      <c r="DM58" s="144"/>
      <c r="DN58" s="1041"/>
      <c r="DO58" s="1041"/>
      <c r="DP58" s="1041"/>
      <c r="DQ58" s="144"/>
      <c r="DR58" s="1041"/>
      <c r="DS58" s="1041"/>
      <c r="DT58" s="1041"/>
      <c r="DU58" s="144"/>
      <c r="DV58" s="3376"/>
      <c r="DW58" s="3376"/>
      <c r="DX58" s="3376"/>
      <c r="DY58" s="3377"/>
    </row>
    <row r="59" spans="1:129" s="170" customFormat="1" hidden="1" outlineLevel="1">
      <c r="A59" s="381" t="s">
        <v>448</v>
      </c>
      <c r="B59" s="314"/>
      <c r="C59" s="314"/>
      <c r="D59" s="109"/>
      <c r="E59" s="109"/>
      <c r="F59" s="109"/>
      <c r="G59" s="109"/>
      <c r="H59" s="109"/>
      <c r="I59" s="109"/>
      <c r="J59" s="109">
        <f t="shared" ref="J59:Q59" si="97">J50+J41+J35+J24</f>
        <v>-1571</v>
      </c>
      <c r="K59" s="109">
        <f t="shared" si="97"/>
        <v>-1555</v>
      </c>
      <c r="L59" s="109">
        <f t="shared" si="97"/>
        <v>-1688</v>
      </c>
      <c r="M59" s="109">
        <f t="shared" si="97"/>
        <v>-4515</v>
      </c>
      <c r="N59" s="109">
        <f t="shared" si="97"/>
        <v>-7514</v>
      </c>
      <c r="O59" s="109">
        <f t="shared" si="97"/>
        <v>-9312</v>
      </c>
      <c r="P59" s="109">
        <f t="shared" si="97"/>
        <v>-3580.4680000000008</v>
      </c>
      <c r="Q59" s="1044">
        <f t="shared" si="97"/>
        <v>-3827.5319999999992</v>
      </c>
      <c r="R59" s="109"/>
      <c r="S59" s="109"/>
      <c r="T59" s="1044"/>
      <c r="U59" s="109"/>
      <c r="V59" s="109"/>
      <c r="W59" s="109"/>
      <c r="X59" s="109"/>
      <c r="Y59" s="109"/>
      <c r="Z59" s="3394"/>
      <c r="AA59" s="3363"/>
      <c r="AB59" s="3363"/>
      <c r="AC59" s="3363"/>
      <c r="AD59" s="3363"/>
      <c r="AE59" s="3363"/>
      <c r="AF59" s="3363"/>
      <c r="AG59" s="3363"/>
      <c r="AH59" s="1964"/>
      <c r="AI59" s="2160"/>
      <c r="AJ59" s="2160"/>
      <c r="AK59" s="2160"/>
      <c r="AL59" s="2160"/>
      <c r="AM59" s="2160"/>
      <c r="AN59" s="2160"/>
      <c r="AO59" s="2160"/>
      <c r="AP59" s="171"/>
      <c r="AQ59" s="109"/>
      <c r="AR59" s="109"/>
      <c r="AS59" s="109"/>
      <c r="AT59" s="171"/>
      <c r="AU59" s="109"/>
      <c r="AV59" s="109"/>
      <c r="AW59" s="109"/>
      <c r="AX59" s="171"/>
      <c r="AY59" s="109"/>
      <c r="AZ59" s="109"/>
      <c r="BA59" s="109"/>
      <c r="BB59" s="171"/>
      <c r="BC59" s="109"/>
      <c r="BD59" s="109"/>
      <c r="BE59" s="109"/>
      <c r="BF59" s="171"/>
      <c r="BG59" s="109"/>
      <c r="BH59" s="109"/>
      <c r="BI59" s="109"/>
      <c r="BJ59" s="171">
        <f t="shared" ref="BJ59:CO59" si="98">BJ50+BJ41+BJ35+BJ24</f>
        <v>-436</v>
      </c>
      <c r="BK59" s="109">
        <f t="shared" si="98"/>
        <v>-749</v>
      </c>
      <c r="BL59" s="109">
        <f t="shared" si="98"/>
        <v>-261</v>
      </c>
      <c r="BM59" s="109">
        <f t="shared" si="98"/>
        <v>-125</v>
      </c>
      <c r="BN59" s="171">
        <f t="shared" si="98"/>
        <v>-861</v>
      </c>
      <c r="BO59" s="109">
        <f t="shared" si="98"/>
        <v>-271</v>
      </c>
      <c r="BP59" s="109">
        <f t="shared" si="98"/>
        <v>-207</v>
      </c>
      <c r="BQ59" s="109">
        <f t="shared" si="98"/>
        <v>-216</v>
      </c>
      <c r="BR59" s="171">
        <f t="shared" si="98"/>
        <v>-20</v>
      </c>
      <c r="BS59" s="109">
        <f t="shared" si="98"/>
        <v>-301</v>
      </c>
      <c r="BT59" s="109">
        <f t="shared" si="98"/>
        <v>-597</v>
      </c>
      <c r="BU59" s="109">
        <f t="shared" si="98"/>
        <v>-770</v>
      </c>
      <c r="BV59" s="171">
        <f t="shared" si="98"/>
        <v>-952</v>
      </c>
      <c r="BW59" s="109">
        <f t="shared" si="98"/>
        <v>-1037</v>
      </c>
      <c r="BX59" s="109">
        <f t="shared" si="98"/>
        <v>-1325</v>
      </c>
      <c r="BY59" s="109">
        <f t="shared" si="98"/>
        <v>-1201</v>
      </c>
      <c r="BZ59" s="171">
        <f t="shared" si="98"/>
        <v>-4247</v>
      </c>
      <c r="CA59" s="109">
        <f t="shared" si="98"/>
        <v>-1163</v>
      </c>
      <c r="CB59" s="109">
        <f t="shared" si="98"/>
        <v>-1109</v>
      </c>
      <c r="CC59" s="109">
        <f t="shared" si="98"/>
        <v>-995</v>
      </c>
      <c r="CD59" s="171">
        <f t="shared" si="98"/>
        <v>-1027</v>
      </c>
      <c r="CE59" s="109">
        <f t="shared" si="98"/>
        <v>-989</v>
      </c>
      <c r="CF59" s="109">
        <f t="shared" si="98"/>
        <v>-1044</v>
      </c>
      <c r="CG59" s="109">
        <f t="shared" si="98"/>
        <v>-6252</v>
      </c>
      <c r="CH59" s="171">
        <f t="shared" si="98"/>
        <v>-878</v>
      </c>
      <c r="CI59" s="109">
        <f t="shared" si="98"/>
        <v>-897.32094594594673</v>
      </c>
      <c r="CJ59" s="109">
        <f t="shared" si="98"/>
        <v>-949.65532524049195</v>
      </c>
      <c r="CK59" s="109">
        <f t="shared" si="98"/>
        <v>-855.49172881356208</v>
      </c>
      <c r="CL59" s="171">
        <f t="shared" si="98"/>
        <v>-1831.5319999999992</v>
      </c>
      <c r="CM59" s="109">
        <f t="shared" si="98"/>
        <v>-689</v>
      </c>
      <c r="CN59" s="109">
        <f t="shared" si="98"/>
        <v>-669</v>
      </c>
      <c r="CO59" s="109">
        <f t="shared" si="98"/>
        <v>-638</v>
      </c>
      <c r="CP59" s="171"/>
      <c r="CQ59" s="109"/>
      <c r="CR59" s="109"/>
      <c r="CS59" s="109"/>
      <c r="CT59" s="171"/>
      <c r="CU59" s="109"/>
      <c r="CV59" s="109"/>
      <c r="CW59" s="172"/>
      <c r="CX59" s="109"/>
      <c r="CY59" s="109"/>
      <c r="CZ59" s="109"/>
      <c r="DA59" s="109"/>
      <c r="DB59" s="171"/>
      <c r="DC59" s="109"/>
      <c r="DD59" s="109"/>
      <c r="DE59" s="109"/>
      <c r="DF59" s="171"/>
      <c r="DG59" s="1044"/>
      <c r="DH59" s="1044"/>
      <c r="DI59" s="172"/>
      <c r="DJ59" s="171"/>
      <c r="DK59" s="1044"/>
      <c r="DL59" s="1044"/>
      <c r="DM59" s="172"/>
      <c r="DN59" s="1044"/>
      <c r="DO59" s="1044"/>
      <c r="DP59" s="1044"/>
      <c r="DQ59" s="172"/>
      <c r="DR59" s="1044"/>
      <c r="DS59" s="1044"/>
      <c r="DT59" s="1044"/>
      <c r="DU59" s="172"/>
      <c r="DV59" s="3363"/>
      <c r="DW59" s="3363"/>
      <c r="DX59" s="3363"/>
      <c r="DY59" s="3364"/>
    </row>
    <row r="60" spans="1:129" ht="4.5" hidden="1" customHeight="1" outlineLevel="1">
      <c r="A60" s="100"/>
      <c r="B60" s="87"/>
      <c r="C60" s="87"/>
      <c r="D60" s="87"/>
      <c r="E60" s="143"/>
      <c r="F60" s="87"/>
      <c r="G60" s="87"/>
      <c r="H60" s="87"/>
      <c r="I60" s="87"/>
      <c r="J60" s="87"/>
      <c r="K60" s="87"/>
      <c r="L60" s="87"/>
      <c r="M60" s="87"/>
      <c r="N60" s="87"/>
      <c r="O60" s="87"/>
      <c r="P60" s="87"/>
      <c r="Q60" s="1041"/>
      <c r="R60" s="87"/>
      <c r="S60" s="87"/>
      <c r="T60" s="1041"/>
      <c r="U60" s="87"/>
      <c r="V60" s="87"/>
      <c r="W60" s="87"/>
      <c r="X60" s="87"/>
      <c r="Y60" s="87"/>
      <c r="Z60" s="3407"/>
      <c r="AA60" s="3376"/>
      <c r="AB60" s="3376"/>
      <c r="AC60" s="3376"/>
      <c r="AD60" s="3376"/>
      <c r="AE60" s="3376"/>
      <c r="AF60" s="3376"/>
      <c r="AG60" s="3376"/>
      <c r="AH60" s="1961"/>
      <c r="AI60" s="1989"/>
      <c r="AJ60" s="1989"/>
      <c r="AK60" s="1989"/>
      <c r="AL60" s="1989"/>
      <c r="AM60" s="1989"/>
      <c r="AN60" s="1989"/>
      <c r="AO60" s="1989"/>
      <c r="AP60" s="159"/>
      <c r="AQ60" s="143"/>
      <c r="AR60" s="143"/>
      <c r="AS60" s="143"/>
      <c r="AT60" s="88"/>
      <c r="AU60" s="87"/>
      <c r="AV60" s="87"/>
      <c r="AW60" s="87"/>
      <c r="AX60" s="88"/>
      <c r="AY60" s="87"/>
      <c r="AZ60" s="87"/>
      <c r="BA60" s="87"/>
      <c r="BB60" s="88"/>
      <c r="BC60" s="87"/>
      <c r="BD60" s="87"/>
      <c r="BE60" s="87"/>
      <c r="BF60" s="88"/>
      <c r="BG60" s="87"/>
      <c r="BH60" s="87"/>
      <c r="BI60" s="87"/>
      <c r="BJ60" s="88"/>
      <c r="BK60" s="87"/>
      <c r="BL60" s="87"/>
      <c r="BM60" s="87"/>
      <c r="BN60" s="88"/>
      <c r="BO60" s="87"/>
      <c r="BP60" s="87"/>
      <c r="BQ60" s="87"/>
      <c r="BR60" s="88"/>
      <c r="BS60" s="87"/>
      <c r="BT60" s="87"/>
      <c r="BU60" s="87"/>
      <c r="BV60" s="88"/>
      <c r="BW60" s="143"/>
      <c r="BX60" s="143"/>
      <c r="BY60" s="143"/>
      <c r="BZ60" s="159"/>
      <c r="CA60" s="143"/>
      <c r="CB60" s="143"/>
      <c r="CC60" s="143"/>
      <c r="CD60" s="159"/>
      <c r="CE60" s="143"/>
      <c r="CF60" s="143"/>
      <c r="CG60" s="143"/>
      <c r="CH60" s="159"/>
      <c r="CI60" s="143"/>
      <c r="CJ60" s="143"/>
      <c r="CK60" s="143"/>
      <c r="CL60" s="159"/>
      <c r="CM60" s="143"/>
      <c r="CN60" s="143"/>
      <c r="CO60" s="143"/>
      <c r="CP60" s="159"/>
      <c r="CQ60" s="143"/>
      <c r="CR60" s="143"/>
      <c r="CS60" s="143"/>
      <c r="CT60" s="159"/>
      <c r="CU60" s="143"/>
      <c r="CV60" s="143"/>
      <c r="CW60" s="189"/>
      <c r="CX60" s="143"/>
      <c r="CY60" s="143"/>
      <c r="CZ60" s="143"/>
      <c r="DA60" s="143"/>
      <c r="DB60" s="159"/>
      <c r="DC60" s="143"/>
      <c r="DD60" s="143"/>
      <c r="DE60" s="143"/>
      <c r="DF60" s="159"/>
      <c r="DG60" s="1047"/>
      <c r="DH60" s="1047"/>
      <c r="DI60" s="189"/>
      <c r="DJ60" s="159"/>
      <c r="DK60" s="1047"/>
      <c r="DL60" s="1047"/>
      <c r="DM60" s="189"/>
      <c r="DN60" s="1047"/>
      <c r="DO60" s="1047"/>
      <c r="DP60" s="1047"/>
      <c r="DQ60" s="189"/>
      <c r="DR60" s="1047"/>
      <c r="DS60" s="1047"/>
      <c r="DT60" s="1047"/>
      <c r="DU60" s="189"/>
      <c r="DV60" s="3382"/>
      <c r="DW60" s="3382"/>
      <c r="DX60" s="3382"/>
      <c r="DY60" s="3383"/>
    </row>
    <row r="61" spans="1:129" hidden="1" outlineLevel="1">
      <c r="A61" s="711" t="s">
        <v>449</v>
      </c>
      <c r="B61" s="91"/>
      <c r="C61" s="91"/>
      <c r="D61" s="91"/>
      <c r="E61" s="149">
        <v>713</v>
      </c>
      <c r="F61" s="149">
        <v>718</v>
      </c>
      <c r="G61" s="149">
        <v>710</v>
      </c>
      <c r="H61" s="149">
        <f>BE61</f>
        <v>650</v>
      </c>
      <c r="I61" s="149">
        <f>BI61</f>
        <v>591</v>
      </c>
      <c r="J61" s="149">
        <f>BM61</f>
        <v>522</v>
      </c>
      <c r="K61" s="149">
        <f>BQ61</f>
        <v>455</v>
      </c>
      <c r="L61" s="149">
        <f>BU61</f>
        <v>421</v>
      </c>
      <c r="M61" s="149">
        <f>BY61</f>
        <v>392</v>
      </c>
      <c r="N61" s="149">
        <f>CC61</f>
        <v>335</v>
      </c>
      <c r="O61" s="149">
        <f>CG61</f>
        <v>290</v>
      </c>
      <c r="P61" s="149">
        <f>CK61</f>
        <v>239</v>
      </c>
      <c r="Q61" s="1113">
        <f>CO61</f>
        <v>165</v>
      </c>
      <c r="R61" s="149"/>
      <c r="S61" s="149"/>
      <c r="T61" s="1113"/>
      <c r="U61" s="149"/>
      <c r="V61" s="149"/>
      <c r="W61" s="149"/>
      <c r="X61" s="149"/>
      <c r="Y61" s="149"/>
      <c r="Z61" s="3400"/>
      <c r="AA61" s="3380"/>
      <c r="AB61" s="3380"/>
      <c r="AC61" s="3380"/>
      <c r="AD61" s="3380"/>
      <c r="AE61" s="3380"/>
      <c r="AF61" s="3380"/>
      <c r="AG61" s="3380"/>
      <c r="AH61" s="2129"/>
      <c r="AI61" s="1989"/>
      <c r="AJ61" s="1989"/>
      <c r="AK61" s="1989"/>
      <c r="AL61" s="1989"/>
      <c r="AM61" s="1989"/>
      <c r="AN61" s="1989"/>
      <c r="AO61" s="1989"/>
      <c r="AP61" s="150">
        <v>710</v>
      </c>
      <c r="AQ61" s="149">
        <v>715</v>
      </c>
      <c r="AR61" s="149">
        <v>717</v>
      </c>
      <c r="AS61" s="149">
        <v>713</v>
      </c>
      <c r="AT61" s="150">
        <v>712</v>
      </c>
      <c r="AU61" s="149">
        <v>719</v>
      </c>
      <c r="AV61" s="149">
        <v>719</v>
      </c>
      <c r="AW61" s="149">
        <v>718</v>
      </c>
      <c r="AX61" s="150">
        <v>714</v>
      </c>
      <c r="AY61" s="149">
        <v>717</v>
      </c>
      <c r="AZ61" s="149">
        <v>718</v>
      </c>
      <c r="BA61" s="149">
        <v>710</v>
      </c>
      <c r="BB61" s="150">
        <v>703</v>
      </c>
      <c r="BC61" s="149">
        <v>692</v>
      </c>
      <c r="BD61" s="149">
        <f>NormInputs!AT219</f>
        <v>660</v>
      </c>
      <c r="BE61" s="149">
        <f>NormInputs!AU219</f>
        <v>650</v>
      </c>
      <c r="BF61" s="150">
        <f>NormInputs!AV219</f>
        <v>633</v>
      </c>
      <c r="BG61" s="149">
        <f>NormInputs!AW219</f>
        <v>625</v>
      </c>
      <c r="BH61" s="149">
        <f>NormInputs!AX219</f>
        <v>607</v>
      </c>
      <c r="BI61" s="149">
        <f>NormInputs!AY219</f>
        <v>591</v>
      </c>
      <c r="BJ61" s="150">
        <f>NormInputs!AZ219</f>
        <v>576</v>
      </c>
      <c r="BK61" s="149">
        <f>NormInputs!BA219</f>
        <v>557</v>
      </c>
      <c r="BL61" s="149">
        <f>NormInputs!BB219</f>
        <v>535</v>
      </c>
      <c r="BM61" s="149">
        <f>NormInputs!BC219</f>
        <v>522</v>
      </c>
      <c r="BN61" s="150">
        <f>NormInputs!BD219</f>
        <v>491</v>
      </c>
      <c r="BO61" s="149">
        <f>NormInputs!BE219</f>
        <v>480</v>
      </c>
      <c r="BP61" s="149">
        <f>NormInputs!BF219</f>
        <v>466</v>
      </c>
      <c r="BQ61" s="149">
        <f>NormInputs!BG219</f>
        <v>455</v>
      </c>
      <c r="BR61" s="150">
        <f>NormInputs!BH219</f>
        <v>443</v>
      </c>
      <c r="BS61" s="149">
        <f>NormInputs!BI219</f>
        <v>437</v>
      </c>
      <c r="BT61" s="149">
        <f>NormInputs!BJ219</f>
        <v>430</v>
      </c>
      <c r="BU61" s="149">
        <f>NormInputs!BK219</f>
        <v>421</v>
      </c>
      <c r="BV61" s="150">
        <f>NormInputs!BL219</f>
        <v>415</v>
      </c>
      <c r="BW61" s="149">
        <f>NormInputs!BM219</f>
        <v>408</v>
      </c>
      <c r="BX61" s="149">
        <f>NormInputs!BN219</f>
        <v>400</v>
      </c>
      <c r="BY61" s="149">
        <f>NormInputs!BO219</f>
        <v>392</v>
      </c>
      <c r="BZ61" s="150">
        <f>NormInputs!BP219</f>
        <v>375</v>
      </c>
      <c r="CA61" s="149">
        <f>NormInputs!BQ219</f>
        <v>356</v>
      </c>
      <c r="CB61" s="149">
        <f>NormInputs!BR219</f>
        <v>345</v>
      </c>
      <c r="CC61" s="149">
        <f>NormInputs!BS219</f>
        <v>335</v>
      </c>
      <c r="CD61" s="150">
        <f>NormInputs!BT219</f>
        <v>327</v>
      </c>
      <c r="CE61" s="149">
        <f>NormInputs!BU219</f>
        <v>315</v>
      </c>
      <c r="CF61" s="149">
        <f>NormInputs!BV219</f>
        <v>302</v>
      </c>
      <c r="CG61" s="149">
        <f>NormInputs!BW219</f>
        <v>290</v>
      </c>
      <c r="CH61" s="150">
        <f>NormInputs!BX219</f>
        <v>283</v>
      </c>
      <c r="CI61" s="149">
        <f>NormInputs!BY219</f>
        <v>273</v>
      </c>
      <c r="CJ61" s="149">
        <f>NormInputs!BZ219</f>
        <v>254</v>
      </c>
      <c r="CK61" s="149">
        <f>NormInputs!CA219</f>
        <v>239</v>
      </c>
      <c r="CL61" s="150">
        <f>NormInputs!CB219</f>
        <v>207</v>
      </c>
      <c r="CM61" s="149">
        <f>NormInputs!CC219</f>
        <v>196</v>
      </c>
      <c r="CN61" s="149">
        <f>NormInputs!CD219</f>
        <v>179</v>
      </c>
      <c r="CO61" s="149">
        <f>NormInputs!CE219</f>
        <v>165</v>
      </c>
      <c r="CP61" s="150"/>
      <c r="CQ61" s="149"/>
      <c r="CR61" s="149"/>
      <c r="CS61" s="149"/>
      <c r="CT61" s="150"/>
      <c r="CU61" s="149"/>
      <c r="CV61" s="149"/>
      <c r="CW61" s="155"/>
      <c r="CX61" s="149"/>
      <c r="CY61" s="149"/>
      <c r="CZ61" s="149"/>
      <c r="DA61" s="149"/>
      <c r="DB61" s="150"/>
      <c r="DC61" s="149"/>
      <c r="DD61" s="149"/>
      <c r="DE61" s="149"/>
      <c r="DF61" s="150"/>
      <c r="DG61" s="1113"/>
      <c r="DH61" s="1113"/>
      <c r="DI61" s="155"/>
      <c r="DJ61" s="150"/>
      <c r="DK61" s="1113"/>
      <c r="DL61" s="1113"/>
      <c r="DM61" s="155"/>
      <c r="DN61" s="1113"/>
      <c r="DO61" s="1113"/>
      <c r="DP61" s="1113"/>
      <c r="DQ61" s="155"/>
      <c r="DR61" s="1113"/>
      <c r="DS61" s="1113"/>
      <c r="DT61" s="1113"/>
      <c r="DU61" s="155"/>
      <c r="DV61" s="3380"/>
      <c r="DW61" s="3380"/>
      <c r="DX61" s="3380"/>
      <c r="DY61" s="3381"/>
    </row>
    <row r="62" spans="1:129" s="120" customFormat="1" hidden="1" outlineLevel="1">
      <c r="A62" s="176" t="s">
        <v>432</v>
      </c>
      <c r="B62" s="94"/>
      <c r="C62" s="94"/>
      <c r="D62" s="94"/>
      <c r="E62" s="94"/>
      <c r="F62" s="94">
        <f t="shared" ref="F62:Q62" si="99">F61/E61-1</f>
        <v>7.0126227208975322E-3</v>
      </c>
      <c r="G62" s="94">
        <f t="shared" si="99"/>
        <v>-1.1142061281337101E-2</v>
      </c>
      <c r="H62" s="94">
        <f t="shared" si="99"/>
        <v>-8.4507042253521125E-2</v>
      </c>
      <c r="I62" s="94">
        <f t="shared" si="99"/>
        <v>-9.0769230769230824E-2</v>
      </c>
      <c r="J62" s="94">
        <f t="shared" si="99"/>
        <v>-0.11675126903553301</v>
      </c>
      <c r="K62" s="94">
        <f t="shared" si="99"/>
        <v>-0.12835249042145591</v>
      </c>
      <c r="L62" s="94">
        <f t="shared" si="99"/>
        <v>-7.4725274725274682E-2</v>
      </c>
      <c r="M62" s="94">
        <f t="shared" si="99"/>
        <v>-6.8883610451306421E-2</v>
      </c>
      <c r="N62" s="94">
        <f t="shared" si="99"/>
        <v>-0.14540816326530615</v>
      </c>
      <c r="O62" s="94">
        <f t="shared" si="99"/>
        <v>-0.13432835820895528</v>
      </c>
      <c r="P62" s="94">
        <f t="shared" si="99"/>
        <v>-0.17586206896551726</v>
      </c>
      <c r="Q62" s="1045">
        <f t="shared" si="99"/>
        <v>-0.30962343096234313</v>
      </c>
      <c r="R62" s="94"/>
      <c r="S62" s="94"/>
      <c r="T62" s="1045"/>
      <c r="U62" s="94"/>
      <c r="V62" s="94"/>
      <c r="W62" s="94"/>
      <c r="X62" s="94"/>
      <c r="Y62" s="94"/>
      <c r="Z62" s="3395"/>
      <c r="AA62" s="3370"/>
      <c r="AB62" s="3370"/>
      <c r="AC62" s="3370"/>
      <c r="AD62" s="3370"/>
      <c r="AE62" s="3370"/>
      <c r="AF62" s="3370"/>
      <c r="AG62" s="3370"/>
      <c r="AH62" s="1962"/>
      <c r="AI62" s="2159"/>
      <c r="AJ62" s="2159"/>
      <c r="AK62" s="2159"/>
      <c r="AL62" s="2159"/>
      <c r="AM62" s="2159"/>
      <c r="AN62" s="2159"/>
      <c r="AO62" s="2159"/>
      <c r="AP62" s="147"/>
      <c r="AQ62" s="94"/>
      <c r="AR62" s="94"/>
      <c r="AS62" s="94"/>
      <c r="AT62" s="147">
        <f t="shared" ref="AT62:CO62" si="100">AT61/AP61-1</f>
        <v>2.8169014084507005E-3</v>
      </c>
      <c r="AU62" s="94">
        <f t="shared" si="100"/>
        <v>5.5944055944054938E-3</v>
      </c>
      <c r="AV62" s="94">
        <f t="shared" si="100"/>
        <v>2.7894002789399241E-3</v>
      </c>
      <c r="AW62" s="94">
        <f t="shared" si="100"/>
        <v>7.0126227208975322E-3</v>
      </c>
      <c r="AX62" s="147">
        <f t="shared" si="100"/>
        <v>2.8089887640450062E-3</v>
      </c>
      <c r="AY62" s="94">
        <f t="shared" si="100"/>
        <v>-2.7816411682892728E-3</v>
      </c>
      <c r="AZ62" s="94">
        <f t="shared" si="100"/>
        <v>-1.3908205841446364E-3</v>
      </c>
      <c r="BA62" s="94">
        <f t="shared" si="100"/>
        <v>-1.1142061281337101E-2</v>
      </c>
      <c r="BB62" s="147">
        <f t="shared" si="100"/>
        <v>-1.540616246498594E-2</v>
      </c>
      <c r="BC62" s="94">
        <f t="shared" si="100"/>
        <v>-3.4867503486750384E-2</v>
      </c>
      <c r="BD62" s="94">
        <f t="shared" si="100"/>
        <v>-8.0779944289693595E-2</v>
      </c>
      <c r="BE62" s="94">
        <f t="shared" si="100"/>
        <v>-8.4507042253521125E-2</v>
      </c>
      <c r="BF62" s="147">
        <f t="shared" si="100"/>
        <v>-9.9573257467994281E-2</v>
      </c>
      <c r="BG62" s="94">
        <f t="shared" si="100"/>
        <v>-9.6820809248554962E-2</v>
      </c>
      <c r="BH62" s="94">
        <f t="shared" si="100"/>
        <v>-8.0303030303030321E-2</v>
      </c>
      <c r="BI62" s="94">
        <f t="shared" si="100"/>
        <v>-9.0769230769230824E-2</v>
      </c>
      <c r="BJ62" s="147">
        <f t="shared" si="100"/>
        <v>-9.0047393364928952E-2</v>
      </c>
      <c r="BK62" s="94">
        <f t="shared" si="100"/>
        <v>-0.10880000000000001</v>
      </c>
      <c r="BL62" s="94">
        <f t="shared" si="100"/>
        <v>-0.11861614497528827</v>
      </c>
      <c r="BM62" s="94">
        <f t="shared" si="100"/>
        <v>-0.11675126903553301</v>
      </c>
      <c r="BN62" s="147">
        <f t="shared" si="100"/>
        <v>-0.14756944444444442</v>
      </c>
      <c r="BO62" s="94">
        <f t="shared" si="100"/>
        <v>-0.13824057450628369</v>
      </c>
      <c r="BP62" s="94">
        <f t="shared" si="100"/>
        <v>-0.12897196261682242</v>
      </c>
      <c r="BQ62" s="94">
        <f t="shared" si="100"/>
        <v>-0.12835249042145591</v>
      </c>
      <c r="BR62" s="147">
        <f t="shared" si="100"/>
        <v>-9.775967413441955E-2</v>
      </c>
      <c r="BS62" s="94">
        <f t="shared" si="100"/>
        <v>-8.9583333333333348E-2</v>
      </c>
      <c r="BT62" s="94">
        <f t="shared" si="100"/>
        <v>-7.7253218884120178E-2</v>
      </c>
      <c r="BU62" s="94">
        <f t="shared" si="100"/>
        <v>-7.4725274725274682E-2</v>
      </c>
      <c r="BV62" s="147">
        <f t="shared" si="100"/>
        <v>-6.3205417607223424E-2</v>
      </c>
      <c r="BW62" s="94">
        <f t="shared" si="100"/>
        <v>-6.6361556064073235E-2</v>
      </c>
      <c r="BX62" s="94">
        <f t="shared" si="100"/>
        <v>-6.9767441860465129E-2</v>
      </c>
      <c r="BY62" s="94">
        <f t="shared" si="100"/>
        <v>-6.8883610451306421E-2</v>
      </c>
      <c r="BZ62" s="147">
        <f t="shared" si="100"/>
        <v>-9.6385542168674676E-2</v>
      </c>
      <c r="CA62" s="94">
        <f t="shared" si="100"/>
        <v>-0.12745098039215685</v>
      </c>
      <c r="CB62" s="94">
        <f t="shared" si="100"/>
        <v>-0.13749999999999996</v>
      </c>
      <c r="CC62" s="94">
        <f t="shared" si="100"/>
        <v>-0.14540816326530615</v>
      </c>
      <c r="CD62" s="147">
        <f t="shared" si="100"/>
        <v>-0.128</v>
      </c>
      <c r="CE62" s="94">
        <f t="shared" si="100"/>
        <v>-0.1151685393258427</v>
      </c>
      <c r="CF62" s="94">
        <f t="shared" si="100"/>
        <v>-0.12463768115942031</v>
      </c>
      <c r="CG62" s="94">
        <f t="shared" si="100"/>
        <v>-0.13432835820895528</v>
      </c>
      <c r="CH62" s="147">
        <f t="shared" si="100"/>
        <v>-0.13455657492354745</v>
      </c>
      <c r="CI62" s="94">
        <f t="shared" si="100"/>
        <v>-0.1333333333333333</v>
      </c>
      <c r="CJ62" s="94">
        <f t="shared" si="100"/>
        <v>-0.15894039735099341</v>
      </c>
      <c r="CK62" s="94">
        <f t="shared" si="100"/>
        <v>-0.17586206896551726</v>
      </c>
      <c r="CL62" s="147">
        <f t="shared" si="100"/>
        <v>-0.26855123674911663</v>
      </c>
      <c r="CM62" s="94">
        <f t="shared" si="100"/>
        <v>-0.28205128205128205</v>
      </c>
      <c r="CN62" s="94">
        <f t="shared" si="100"/>
        <v>-0.29527559055118113</v>
      </c>
      <c r="CO62" s="94">
        <f t="shared" si="100"/>
        <v>-0.30962343096234313</v>
      </c>
      <c r="CP62" s="147"/>
      <c r="CQ62" s="94"/>
      <c r="CR62" s="94"/>
      <c r="CS62" s="94"/>
      <c r="CT62" s="147"/>
      <c r="CU62" s="94"/>
      <c r="CV62" s="94"/>
      <c r="CW62" s="101"/>
      <c r="CX62" s="94"/>
      <c r="CY62" s="94"/>
      <c r="CZ62" s="94"/>
      <c r="DA62" s="94"/>
      <c r="DB62" s="147"/>
      <c r="DC62" s="94"/>
      <c r="DD62" s="94"/>
      <c r="DE62" s="94"/>
      <c r="DF62" s="147"/>
      <c r="DG62" s="1045"/>
      <c r="DH62" s="1045"/>
      <c r="DI62" s="101"/>
      <c r="DJ62" s="147"/>
      <c r="DK62" s="1045"/>
      <c r="DL62" s="1045"/>
      <c r="DM62" s="101"/>
      <c r="DN62" s="1045"/>
      <c r="DO62" s="1045"/>
      <c r="DP62" s="1045"/>
      <c r="DQ62" s="101"/>
      <c r="DR62" s="1045"/>
      <c r="DS62" s="1045"/>
      <c r="DT62" s="1045"/>
      <c r="DU62" s="101"/>
      <c r="DV62" s="3360"/>
      <c r="DW62" s="3360"/>
      <c r="DX62" s="3360"/>
      <c r="DY62" s="3366"/>
    </row>
    <row r="63" spans="1:129" hidden="1" outlineLevel="1">
      <c r="A63" s="100" t="s">
        <v>419</v>
      </c>
      <c r="B63" s="87"/>
      <c r="C63" s="87"/>
      <c r="D63" s="87"/>
      <c r="E63" s="143"/>
      <c r="F63" s="143">
        <f t="shared" ref="F63:Q63" si="101">F61-E61</f>
        <v>5</v>
      </c>
      <c r="G63" s="143">
        <f t="shared" si="101"/>
        <v>-8</v>
      </c>
      <c r="H63" s="143">
        <f t="shared" si="101"/>
        <v>-60</v>
      </c>
      <c r="I63" s="143">
        <f t="shared" si="101"/>
        <v>-59</v>
      </c>
      <c r="J63" s="143">
        <f t="shared" si="101"/>
        <v>-69</v>
      </c>
      <c r="K63" s="143">
        <f t="shared" si="101"/>
        <v>-67</v>
      </c>
      <c r="L63" s="143">
        <f t="shared" si="101"/>
        <v>-34</v>
      </c>
      <c r="M63" s="143">
        <f t="shared" si="101"/>
        <v>-29</v>
      </c>
      <c r="N63" s="143">
        <f t="shared" si="101"/>
        <v>-57</v>
      </c>
      <c r="O63" s="143">
        <f t="shared" si="101"/>
        <v>-45</v>
      </c>
      <c r="P63" s="143">
        <f t="shared" si="101"/>
        <v>-51</v>
      </c>
      <c r="Q63" s="1047">
        <f t="shared" si="101"/>
        <v>-74</v>
      </c>
      <c r="R63" s="143"/>
      <c r="S63" s="143"/>
      <c r="T63" s="1047"/>
      <c r="U63" s="143"/>
      <c r="V63" s="143"/>
      <c r="W63" s="143"/>
      <c r="X63" s="143"/>
      <c r="Y63" s="143"/>
      <c r="Z63" s="3398"/>
      <c r="AA63" s="3382"/>
      <c r="AB63" s="3382"/>
      <c r="AC63" s="3382"/>
      <c r="AD63" s="3382"/>
      <c r="AE63" s="3382"/>
      <c r="AF63" s="3382"/>
      <c r="AG63" s="3382"/>
      <c r="AH63" s="1961"/>
      <c r="AI63" s="1989"/>
      <c r="AJ63" s="1989"/>
      <c r="AK63" s="1989"/>
      <c r="AL63" s="1989"/>
      <c r="AM63" s="1989"/>
      <c r="AN63" s="1989"/>
      <c r="AO63" s="1989"/>
      <c r="AP63" s="159"/>
      <c r="AQ63" s="143">
        <f t="shared" ref="AQ63:AW63" si="102">AQ61-AP61</f>
        <v>5</v>
      </c>
      <c r="AR63" s="143">
        <f t="shared" si="102"/>
        <v>2</v>
      </c>
      <c r="AS63" s="143">
        <f t="shared" si="102"/>
        <v>-4</v>
      </c>
      <c r="AT63" s="159">
        <f t="shared" si="102"/>
        <v>-1</v>
      </c>
      <c r="AU63" s="143">
        <f t="shared" si="102"/>
        <v>7</v>
      </c>
      <c r="AV63" s="143">
        <f t="shared" si="102"/>
        <v>0</v>
      </c>
      <c r="AW63" s="143">
        <f t="shared" si="102"/>
        <v>-1</v>
      </c>
      <c r="AX63" s="159">
        <f>AX57-AW57</f>
        <v>-1.5949478502128578E-2</v>
      </c>
      <c r="AY63" s="143">
        <f>AY57-AX57</f>
        <v>-1.4751951129738039E-2</v>
      </c>
      <c r="AZ63" s="143">
        <f>AZ57-AY57</f>
        <v>-3.2182297180549657E-3</v>
      </c>
      <c r="BA63" s="143">
        <f>BA57-AZ57</f>
        <v>-2.8461212196078112E-3</v>
      </c>
      <c r="BB63" s="159">
        <f t="shared" ref="BB63:CO63" si="103">BB61-BA61</f>
        <v>-7</v>
      </c>
      <c r="BC63" s="143">
        <f t="shared" si="103"/>
        <v>-11</v>
      </c>
      <c r="BD63" s="143">
        <f t="shared" si="103"/>
        <v>-32</v>
      </c>
      <c r="BE63" s="143">
        <f t="shared" si="103"/>
        <v>-10</v>
      </c>
      <c r="BF63" s="159">
        <f t="shared" si="103"/>
        <v>-17</v>
      </c>
      <c r="BG63" s="143">
        <f t="shared" si="103"/>
        <v>-8</v>
      </c>
      <c r="BH63" s="143">
        <f t="shared" si="103"/>
        <v>-18</v>
      </c>
      <c r="BI63" s="143">
        <f t="shared" si="103"/>
        <v>-16</v>
      </c>
      <c r="BJ63" s="159">
        <f t="shared" si="103"/>
        <v>-15</v>
      </c>
      <c r="BK63" s="143">
        <f t="shared" si="103"/>
        <v>-19</v>
      </c>
      <c r="BL63" s="143">
        <f t="shared" si="103"/>
        <v>-22</v>
      </c>
      <c r="BM63" s="143">
        <f t="shared" si="103"/>
        <v>-13</v>
      </c>
      <c r="BN63" s="159">
        <f t="shared" si="103"/>
        <v>-31</v>
      </c>
      <c r="BO63" s="143">
        <f t="shared" si="103"/>
        <v>-11</v>
      </c>
      <c r="BP63" s="143">
        <f t="shared" si="103"/>
        <v>-14</v>
      </c>
      <c r="BQ63" s="143">
        <f t="shared" si="103"/>
        <v>-11</v>
      </c>
      <c r="BR63" s="159">
        <f t="shared" si="103"/>
        <v>-12</v>
      </c>
      <c r="BS63" s="143">
        <f t="shared" si="103"/>
        <v>-6</v>
      </c>
      <c r="BT63" s="143">
        <f t="shared" si="103"/>
        <v>-7</v>
      </c>
      <c r="BU63" s="143">
        <f t="shared" si="103"/>
        <v>-9</v>
      </c>
      <c r="BV63" s="159">
        <f t="shared" si="103"/>
        <v>-6</v>
      </c>
      <c r="BW63" s="143">
        <f t="shared" si="103"/>
        <v>-7</v>
      </c>
      <c r="BX63" s="143">
        <f t="shared" si="103"/>
        <v>-8</v>
      </c>
      <c r="BY63" s="143">
        <f t="shared" si="103"/>
        <v>-8</v>
      </c>
      <c r="BZ63" s="159">
        <f t="shared" si="103"/>
        <v>-17</v>
      </c>
      <c r="CA63" s="143">
        <f t="shared" si="103"/>
        <v>-19</v>
      </c>
      <c r="CB63" s="143">
        <f t="shared" si="103"/>
        <v>-11</v>
      </c>
      <c r="CC63" s="143">
        <f t="shared" si="103"/>
        <v>-10</v>
      </c>
      <c r="CD63" s="159">
        <f t="shared" si="103"/>
        <v>-8</v>
      </c>
      <c r="CE63" s="143">
        <f t="shared" si="103"/>
        <v>-12</v>
      </c>
      <c r="CF63" s="143">
        <f t="shared" si="103"/>
        <v>-13</v>
      </c>
      <c r="CG63" s="143">
        <f t="shared" si="103"/>
        <v>-12</v>
      </c>
      <c r="CH63" s="159">
        <f t="shared" si="103"/>
        <v>-7</v>
      </c>
      <c r="CI63" s="143">
        <f t="shared" si="103"/>
        <v>-10</v>
      </c>
      <c r="CJ63" s="143">
        <f t="shared" si="103"/>
        <v>-19</v>
      </c>
      <c r="CK63" s="143">
        <f t="shared" si="103"/>
        <v>-15</v>
      </c>
      <c r="CL63" s="159">
        <f t="shared" si="103"/>
        <v>-32</v>
      </c>
      <c r="CM63" s="143">
        <f t="shared" si="103"/>
        <v>-11</v>
      </c>
      <c r="CN63" s="143">
        <f t="shared" si="103"/>
        <v>-17</v>
      </c>
      <c r="CO63" s="143">
        <f t="shared" si="103"/>
        <v>-14</v>
      </c>
      <c r="CP63" s="159"/>
      <c r="CQ63" s="143"/>
      <c r="CR63" s="143"/>
      <c r="CS63" s="143"/>
      <c r="CT63" s="251"/>
      <c r="CU63" s="143"/>
      <c r="CV63" s="143"/>
      <c r="CW63" s="189"/>
      <c r="CX63" s="143"/>
      <c r="CY63" s="143"/>
      <c r="CZ63" s="143"/>
      <c r="DA63" s="143"/>
      <c r="DB63" s="159"/>
      <c r="DC63" s="143"/>
      <c r="DD63" s="143"/>
      <c r="DE63" s="143"/>
      <c r="DF63" s="159"/>
      <c r="DG63" s="1047"/>
      <c r="DH63" s="1047"/>
      <c r="DI63" s="189"/>
      <c r="DJ63" s="159"/>
      <c r="DK63" s="1047"/>
      <c r="DL63" s="1047"/>
      <c r="DM63" s="189"/>
      <c r="DN63" s="1047"/>
      <c r="DO63" s="1047"/>
      <c r="DP63" s="1047"/>
      <c r="DQ63" s="189"/>
      <c r="DR63" s="1047"/>
      <c r="DS63" s="1047"/>
      <c r="DT63" s="1047"/>
      <c r="DU63" s="189"/>
      <c r="DV63" s="3382"/>
      <c r="DW63" s="3392"/>
      <c r="DX63" s="3392"/>
      <c r="DY63" s="3393"/>
    </row>
    <row r="64" spans="1:129" hidden="1" outlineLevel="1">
      <c r="A64" s="658" t="s">
        <v>450</v>
      </c>
      <c r="B64" s="656"/>
      <c r="C64" s="656"/>
      <c r="D64" s="656"/>
      <c r="E64" s="656">
        <f t="shared" ref="E64:P64" si="104">E52+E61</f>
        <v>59050</v>
      </c>
      <c r="F64" s="656">
        <f t="shared" si="104"/>
        <v>61562</v>
      </c>
      <c r="G64" s="656">
        <f t="shared" si="104"/>
        <v>62016.819000000003</v>
      </c>
      <c r="H64" s="656">
        <f t="shared" si="104"/>
        <v>61666</v>
      </c>
      <c r="I64" s="656">
        <f t="shared" si="104"/>
        <v>60202</v>
      </c>
      <c r="J64" s="656">
        <f t="shared" si="104"/>
        <v>57974</v>
      </c>
      <c r="K64" s="656">
        <f t="shared" si="104"/>
        <v>54826</v>
      </c>
      <c r="L64" s="656">
        <f t="shared" si="104"/>
        <v>52289</v>
      </c>
      <c r="M64" s="656">
        <f t="shared" si="104"/>
        <v>48803</v>
      </c>
      <c r="N64" s="656">
        <f t="shared" si="104"/>
        <v>43393</v>
      </c>
      <c r="O64" s="656">
        <f t="shared" si="104"/>
        <v>34576</v>
      </c>
      <c r="P64" s="656">
        <f t="shared" si="104"/>
        <v>31394.531999999999</v>
      </c>
      <c r="Q64" s="1118">
        <f t="shared" ref="Q64:V64" si="105">+Q21+Q25-Q14</f>
        <v>28304</v>
      </c>
      <c r="R64" s="656">
        <f t="shared" si="105"/>
        <v>25184</v>
      </c>
      <c r="S64" s="656">
        <f t="shared" si="105"/>
        <v>22253</v>
      </c>
      <c r="T64" s="1118">
        <f t="shared" si="105"/>
        <v>19276</v>
      </c>
      <c r="U64" s="656">
        <f t="shared" si="105"/>
        <v>16837</v>
      </c>
      <c r="V64" s="656">
        <f t="shared" si="105"/>
        <v>15193</v>
      </c>
      <c r="W64" s="656">
        <f t="shared" ref="W64:Y64" si="106">+W21+W25-W14</f>
        <v>13633</v>
      </c>
      <c r="X64" s="656">
        <f t="shared" si="106"/>
        <v>10044</v>
      </c>
      <c r="Y64" s="656">
        <f t="shared" si="106"/>
        <v>8916</v>
      </c>
      <c r="Z64" s="3397"/>
      <c r="AA64" s="3261"/>
      <c r="AB64" s="3261"/>
      <c r="AC64" s="3261"/>
      <c r="AD64" s="3261"/>
      <c r="AE64" s="3261"/>
      <c r="AF64" s="3261"/>
      <c r="AG64" s="3261"/>
      <c r="AH64" s="1964"/>
      <c r="AI64" s="2160"/>
      <c r="AJ64" s="2160"/>
      <c r="AK64" s="2160"/>
      <c r="AL64" s="2160"/>
      <c r="AM64" s="2160"/>
      <c r="AN64" s="2160"/>
      <c r="AO64" s="2160"/>
      <c r="AP64" s="658">
        <f t="shared" ref="AP64:CK64" si="107">AP52+AP61</f>
        <v>57064</v>
      </c>
      <c r="AQ64" s="656">
        <f t="shared" si="107"/>
        <v>57697</v>
      </c>
      <c r="AR64" s="656">
        <f t="shared" si="107"/>
        <v>58325</v>
      </c>
      <c r="AS64" s="656">
        <f t="shared" si="107"/>
        <v>59050</v>
      </c>
      <c r="AT64" s="658">
        <f t="shared" si="107"/>
        <v>59755</v>
      </c>
      <c r="AU64" s="656">
        <f t="shared" si="107"/>
        <v>60319</v>
      </c>
      <c r="AV64" s="656">
        <f t="shared" si="107"/>
        <v>61059</v>
      </c>
      <c r="AW64" s="656">
        <f t="shared" si="107"/>
        <v>61562</v>
      </c>
      <c r="AX64" s="658">
        <f t="shared" si="107"/>
        <v>60681.690999999999</v>
      </c>
      <c r="AY64" s="656">
        <f t="shared" si="107"/>
        <v>61110.709000000003</v>
      </c>
      <c r="AZ64" s="656">
        <f t="shared" si="107"/>
        <v>61615.482000000004</v>
      </c>
      <c r="BA64" s="656">
        <f t="shared" si="107"/>
        <v>62016.819000000003</v>
      </c>
      <c r="BB64" s="658">
        <f t="shared" si="107"/>
        <v>61273</v>
      </c>
      <c r="BC64" s="656">
        <f t="shared" si="107"/>
        <v>61485</v>
      </c>
      <c r="BD64" s="656">
        <f t="shared" si="107"/>
        <v>61616</v>
      </c>
      <c r="BE64" s="656">
        <f t="shared" si="107"/>
        <v>61666</v>
      </c>
      <c r="BF64" s="658">
        <f t="shared" si="107"/>
        <v>61650</v>
      </c>
      <c r="BG64" s="656">
        <f t="shared" si="107"/>
        <v>61223</v>
      </c>
      <c r="BH64" s="656">
        <f t="shared" si="107"/>
        <v>60770</v>
      </c>
      <c r="BI64" s="656">
        <f t="shared" si="107"/>
        <v>60202</v>
      </c>
      <c r="BJ64" s="658">
        <f t="shared" si="107"/>
        <v>59761</v>
      </c>
      <c r="BK64" s="656">
        <f t="shared" si="107"/>
        <v>58952</v>
      </c>
      <c r="BL64" s="656">
        <f t="shared" si="107"/>
        <v>58456</v>
      </c>
      <c r="BM64" s="656">
        <f t="shared" si="107"/>
        <v>57974</v>
      </c>
      <c r="BN64" s="658">
        <f t="shared" si="107"/>
        <v>56747</v>
      </c>
      <c r="BO64" s="656">
        <f t="shared" si="107"/>
        <v>56037</v>
      </c>
      <c r="BP64" s="656">
        <f t="shared" si="107"/>
        <v>55437</v>
      </c>
      <c r="BQ64" s="656">
        <f t="shared" si="107"/>
        <v>54826</v>
      </c>
      <c r="BR64" s="658">
        <f t="shared" si="107"/>
        <v>54324</v>
      </c>
      <c r="BS64" s="656">
        <f t="shared" si="107"/>
        <v>53651</v>
      </c>
      <c r="BT64" s="656">
        <f t="shared" si="107"/>
        <v>52983</v>
      </c>
      <c r="BU64" s="656">
        <f t="shared" si="107"/>
        <v>52289</v>
      </c>
      <c r="BV64" s="658">
        <f t="shared" si="107"/>
        <v>51531</v>
      </c>
      <c r="BW64" s="656">
        <f t="shared" si="107"/>
        <v>50691</v>
      </c>
      <c r="BX64" s="656">
        <f t="shared" si="107"/>
        <v>49689</v>
      </c>
      <c r="BY64" s="656">
        <f t="shared" si="107"/>
        <v>48803</v>
      </c>
      <c r="BZ64" s="658">
        <f t="shared" si="107"/>
        <v>46198</v>
      </c>
      <c r="CA64" s="656">
        <f t="shared" si="107"/>
        <v>45200</v>
      </c>
      <c r="CB64" s="656">
        <f t="shared" si="107"/>
        <v>44257</v>
      </c>
      <c r="CC64" s="656">
        <f t="shared" si="107"/>
        <v>43393</v>
      </c>
      <c r="CD64" s="658">
        <f t="shared" si="107"/>
        <v>42494</v>
      </c>
      <c r="CE64" s="656">
        <f t="shared" si="107"/>
        <v>41652</v>
      </c>
      <c r="CF64" s="656">
        <f t="shared" si="107"/>
        <v>40719</v>
      </c>
      <c r="CG64" s="656">
        <f t="shared" si="107"/>
        <v>34576</v>
      </c>
      <c r="CH64" s="658">
        <f t="shared" si="107"/>
        <v>33815</v>
      </c>
      <c r="CI64" s="656">
        <f t="shared" si="107"/>
        <v>33025.679054054053</v>
      </c>
      <c r="CJ64" s="656">
        <f t="shared" si="107"/>
        <v>32166.023728813561</v>
      </c>
      <c r="CK64" s="656">
        <f t="shared" si="107"/>
        <v>31394.531999999999</v>
      </c>
      <c r="CL64" s="658">
        <f t="shared" ref="CL64:DE64" si="108">+CL21+CL25-CL14</f>
        <v>30543</v>
      </c>
      <c r="CM64" s="656">
        <f t="shared" si="108"/>
        <v>29794</v>
      </c>
      <c r="CN64" s="656">
        <f t="shared" si="108"/>
        <v>28997</v>
      </c>
      <c r="CO64" s="656">
        <f t="shared" si="108"/>
        <v>28304</v>
      </c>
      <c r="CP64" s="658">
        <f>+CP21+CP25-CP14</f>
        <v>27626</v>
      </c>
      <c r="CQ64" s="656">
        <f t="shared" si="108"/>
        <v>26792</v>
      </c>
      <c r="CR64" s="656">
        <f t="shared" si="108"/>
        <v>25872</v>
      </c>
      <c r="CS64" s="656">
        <f t="shared" si="108"/>
        <v>25184</v>
      </c>
      <c r="CT64" s="658">
        <f t="shared" si="108"/>
        <v>24477</v>
      </c>
      <c r="CU64" s="656">
        <f t="shared" si="108"/>
        <v>23802</v>
      </c>
      <c r="CV64" s="656">
        <f t="shared" si="108"/>
        <v>23059</v>
      </c>
      <c r="CW64" s="657">
        <f t="shared" si="108"/>
        <v>22253</v>
      </c>
      <c r="CX64" s="656">
        <f t="shared" si="108"/>
        <v>21402</v>
      </c>
      <c r="CY64" s="656">
        <f t="shared" si="108"/>
        <v>20630</v>
      </c>
      <c r="CZ64" s="656">
        <f t="shared" si="108"/>
        <v>19909</v>
      </c>
      <c r="DA64" s="656">
        <f t="shared" si="108"/>
        <v>19276</v>
      </c>
      <c r="DB64" s="658">
        <f t="shared" si="108"/>
        <v>18660</v>
      </c>
      <c r="DC64" s="656">
        <f t="shared" si="108"/>
        <v>18011</v>
      </c>
      <c r="DD64" s="656">
        <f t="shared" si="108"/>
        <v>17388</v>
      </c>
      <c r="DE64" s="656">
        <f t="shared" si="108"/>
        <v>16837</v>
      </c>
      <c r="DF64" s="658">
        <f>+DF21+DF25-DF14</f>
        <v>16383</v>
      </c>
      <c r="DG64" s="1118">
        <f>+DG21+DG25-DG14</f>
        <v>15951</v>
      </c>
      <c r="DH64" s="1118">
        <f>+DH21+DH25-DH14</f>
        <v>15575</v>
      </c>
      <c r="DI64" s="657">
        <f>+DI21+DI25-DI14</f>
        <v>15193</v>
      </c>
      <c r="DJ64" s="658">
        <f t="shared" ref="DJ64:DM64" si="109">+DJ21+DJ25-DJ14</f>
        <v>14814</v>
      </c>
      <c r="DK64" s="1118">
        <f t="shared" si="109"/>
        <v>14418</v>
      </c>
      <c r="DL64" s="1118">
        <f t="shared" si="109"/>
        <v>14037</v>
      </c>
      <c r="DM64" s="657">
        <f t="shared" si="109"/>
        <v>13633</v>
      </c>
      <c r="DN64" s="1118">
        <f t="shared" ref="DN64:DO64" si="110">+DN21+DN25-DN14</f>
        <v>13237</v>
      </c>
      <c r="DO64" s="1118">
        <f t="shared" si="110"/>
        <v>10597</v>
      </c>
      <c r="DP64" s="1118">
        <f t="shared" ref="DP64:DQ64" si="111">+DP21+DP25-DP14</f>
        <v>10312</v>
      </c>
      <c r="DQ64" s="657">
        <f t="shared" si="111"/>
        <v>10044</v>
      </c>
      <c r="DR64" s="1118">
        <f t="shared" ref="DR64:DS64" si="112">+DR21+DR25-DR14</f>
        <v>9747</v>
      </c>
      <c r="DS64" s="1118">
        <f t="shared" si="112"/>
        <v>9443</v>
      </c>
      <c r="DT64" s="1118">
        <f t="shared" ref="DT64:DU64" si="113">+DT21+DT25-DT14</f>
        <v>9180</v>
      </c>
      <c r="DU64" s="657">
        <f t="shared" si="113"/>
        <v>8916</v>
      </c>
      <c r="DV64" s="3261"/>
      <c r="DW64" s="3261"/>
      <c r="DX64" s="3261"/>
      <c r="DY64" s="3141"/>
    </row>
    <row r="65" spans="1:130" hidden="1" outlineLevel="1">
      <c r="A65" s="712" t="s">
        <v>432</v>
      </c>
      <c r="B65" s="686"/>
      <c r="C65" s="686"/>
      <c r="D65" s="686"/>
      <c r="E65" s="686"/>
      <c r="F65" s="686">
        <f t="shared" ref="F65:V65" si="114">F64/E64-1</f>
        <v>4.2540220152413211E-2</v>
      </c>
      <c r="G65" s="686">
        <f t="shared" si="114"/>
        <v>7.3879828465612807E-3</v>
      </c>
      <c r="H65" s="686">
        <f t="shared" si="114"/>
        <v>-5.656836414005717E-3</v>
      </c>
      <c r="I65" s="686">
        <f t="shared" si="114"/>
        <v>-2.3740797197807528E-2</v>
      </c>
      <c r="J65" s="686">
        <f t="shared" si="114"/>
        <v>-3.7008737251254087E-2</v>
      </c>
      <c r="K65" s="686">
        <f t="shared" si="114"/>
        <v>-5.43002035395177E-2</v>
      </c>
      <c r="L65" s="686">
        <f t="shared" si="114"/>
        <v>-4.6273665779009931E-2</v>
      </c>
      <c r="M65" s="686">
        <f t="shared" si="114"/>
        <v>-6.6667941632083227E-2</v>
      </c>
      <c r="N65" s="686">
        <f t="shared" si="114"/>
        <v>-0.11085384095240047</v>
      </c>
      <c r="O65" s="686">
        <f t="shared" si="114"/>
        <v>-0.20318945452031434</v>
      </c>
      <c r="P65" s="686">
        <f t="shared" si="114"/>
        <v>-9.2013766774641348E-2</v>
      </c>
      <c r="Q65" s="1119">
        <f t="shared" si="114"/>
        <v>-9.8441728642427284E-2</v>
      </c>
      <c r="R65" s="686">
        <f t="shared" si="114"/>
        <v>-0.11023176936122103</v>
      </c>
      <c r="S65" s="686">
        <f t="shared" si="114"/>
        <v>-0.11638341804320207</v>
      </c>
      <c r="T65" s="1119">
        <f t="shared" si="114"/>
        <v>-0.13377971509459397</v>
      </c>
      <c r="U65" s="686">
        <f t="shared" si="114"/>
        <v>-0.12653040049802866</v>
      </c>
      <c r="V65" s="686">
        <f t="shared" si="114"/>
        <v>-9.7642097760883728E-2</v>
      </c>
      <c r="W65" s="686">
        <f>W64/V64-1</f>
        <v>-0.10267886526689918</v>
      </c>
      <c r="X65" s="686">
        <f>X64/W64-1</f>
        <v>-0.2632582703733588</v>
      </c>
      <c r="Y65" s="686">
        <f>Y64/X64-1</f>
        <v>-0.1123058542413381</v>
      </c>
      <c r="Z65" s="3395"/>
      <c r="AA65" s="3360"/>
      <c r="AB65" s="3360"/>
      <c r="AC65" s="3360"/>
      <c r="AD65" s="3360"/>
      <c r="AE65" s="3360"/>
      <c r="AF65" s="3360"/>
      <c r="AG65" s="3360"/>
      <c r="AH65" s="1962"/>
      <c r="AI65" s="2159"/>
      <c r="AJ65" s="2159"/>
      <c r="AK65" s="2159"/>
      <c r="AL65" s="2159"/>
      <c r="AM65" s="2159"/>
      <c r="AN65" s="2159"/>
      <c r="AO65" s="2159"/>
      <c r="AP65" s="688"/>
      <c r="AQ65" s="686"/>
      <c r="AR65" s="686"/>
      <c r="AS65" s="686"/>
      <c r="AT65" s="688">
        <f t="shared" ref="AT65:CF65" si="115">AT64/AP64-1</f>
        <v>4.715757745689042E-2</v>
      </c>
      <c r="AU65" s="686">
        <f t="shared" si="115"/>
        <v>4.5444303863285684E-2</v>
      </c>
      <c r="AV65" s="686">
        <f t="shared" si="115"/>
        <v>4.687526789541363E-2</v>
      </c>
      <c r="AW65" s="686">
        <f t="shared" si="115"/>
        <v>4.2540220152413211E-2</v>
      </c>
      <c r="AX65" s="688">
        <f t="shared" si="115"/>
        <v>1.5508175048113193E-2</v>
      </c>
      <c r="AY65" s="686">
        <f t="shared" si="115"/>
        <v>1.3125366799847438E-2</v>
      </c>
      <c r="AZ65" s="686">
        <f t="shared" si="115"/>
        <v>9.1138407114430553E-3</v>
      </c>
      <c r="BA65" s="686">
        <f t="shared" si="115"/>
        <v>7.3879828465612807E-3</v>
      </c>
      <c r="BB65" s="688">
        <f t="shared" si="115"/>
        <v>9.7444384007030482E-3</v>
      </c>
      <c r="BC65" s="686">
        <f t="shared" si="115"/>
        <v>6.1248021193798241E-3</v>
      </c>
      <c r="BD65" s="686">
        <f t="shared" si="115"/>
        <v>8.4069779733297878E-6</v>
      </c>
      <c r="BE65" s="686">
        <f t="shared" si="115"/>
        <v>-5.656836414005717E-3</v>
      </c>
      <c r="BF65" s="688">
        <f t="shared" si="115"/>
        <v>6.1527916047852127E-3</v>
      </c>
      <c r="BG65" s="686">
        <f t="shared" si="115"/>
        <v>-4.2612019191672346E-3</v>
      </c>
      <c r="BH65" s="686">
        <f t="shared" si="115"/>
        <v>-1.3730199948065458E-2</v>
      </c>
      <c r="BI65" s="686">
        <f t="shared" si="115"/>
        <v>-2.3740797197807528E-2</v>
      </c>
      <c r="BJ65" s="688">
        <f t="shared" si="115"/>
        <v>-3.0640713706407086E-2</v>
      </c>
      <c r="BK65" s="686">
        <f t="shared" si="115"/>
        <v>-3.7093902618297037E-2</v>
      </c>
      <c r="BL65" s="686">
        <f t="shared" si="115"/>
        <v>-3.8077999012670727E-2</v>
      </c>
      <c r="BM65" s="686">
        <f t="shared" si="115"/>
        <v>-3.7008737251254087E-2</v>
      </c>
      <c r="BN65" s="688">
        <f t="shared" si="115"/>
        <v>-5.0434229681564857E-2</v>
      </c>
      <c r="BO65" s="686">
        <f t="shared" si="115"/>
        <v>-4.9447007735106574E-2</v>
      </c>
      <c r="BP65" s="686">
        <f t="shared" si="115"/>
        <v>-5.1645682222526301E-2</v>
      </c>
      <c r="BQ65" s="686">
        <f t="shared" si="115"/>
        <v>-5.43002035395177E-2</v>
      </c>
      <c r="BR65" s="688">
        <f t="shared" si="115"/>
        <v>-4.2698292420744743E-2</v>
      </c>
      <c r="BS65" s="686">
        <f t="shared" si="115"/>
        <v>-4.2579010296768249E-2</v>
      </c>
      <c r="BT65" s="686">
        <f t="shared" si="115"/>
        <v>-4.4266464635532188E-2</v>
      </c>
      <c r="BU65" s="686">
        <f t="shared" si="115"/>
        <v>-4.6273665779009931E-2</v>
      </c>
      <c r="BV65" s="688">
        <f t="shared" si="115"/>
        <v>-5.1413739783521151E-2</v>
      </c>
      <c r="BW65" s="686">
        <f t="shared" si="115"/>
        <v>-5.517138543549982E-2</v>
      </c>
      <c r="BX65" s="686">
        <f t="shared" si="115"/>
        <v>-6.217088500084933E-2</v>
      </c>
      <c r="BY65" s="686">
        <f t="shared" si="115"/>
        <v>-6.6667941632083227E-2</v>
      </c>
      <c r="BZ65" s="688">
        <f t="shared" si="115"/>
        <v>-0.10349110244318949</v>
      </c>
      <c r="CA65" s="686">
        <f t="shared" si="115"/>
        <v>-0.10832297646525024</v>
      </c>
      <c r="CB65" s="686">
        <f t="shared" si="115"/>
        <v>-0.10931997021473561</v>
      </c>
      <c r="CC65" s="686">
        <f t="shared" si="115"/>
        <v>-0.11085384095240047</v>
      </c>
      <c r="CD65" s="688">
        <f t="shared" si="115"/>
        <v>-8.0176631022987999E-2</v>
      </c>
      <c r="CE65" s="686">
        <f t="shared" si="115"/>
        <v>-7.8495575221238956E-2</v>
      </c>
      <c r="CF65" s="686">
        <f t="shared" si="115"/>
        <v>-7.9942156043111834E-2</v>
      </c>
      <c r="CG65" s="713" t="s">
        <v>1149</v>
      </c>
      <c r="CH65" s="714" t="s">
        <v>1149</v>
      </c>
      <c r="CI65" s="713" t="s">
        <v>1149</v>
      </c>
      <c r="CJ65" s="713" t="s">
        <v>1149</v>
      </c>
      <c r="CK65" s="713" t="s">
        <v>1149</v>
      </c>
      <c r="CL65" s="688">
        <f t="shared" ref="CL65:DU65" si="116">CL64/CH64-1</f>
        <v>-9.6761792104095856E-2</v>
      </c>
      <c r="CM65" s="686">
        <f t="shared" si="116"/>
        <v>-9.7853523276983156E-2</v>
      </c>
      <c r="CN65" s="686">
        <f t="shared" si="116"/>
        <v>-9.8520841603894738E-2</v>
      </c>
      <c r="CO65" s="686">
        <f t="shared" si="116"/>
        <v>-9.8441728642427284E-2</v>
      </c>
      <c r="CP65" s="688">
        <f t="shared" si="116"/>
        <v>-9.5504698294208157E-2</v>
      </c>
      <c r="CQ65" s="686">
        <f t="shared" si="116"/>
        <v>-0.10075854198831979</v>
      </c>
      <c r="CR65" s="686">
        <f t="shared" si="116"/>
        <v>-0.10776976928647786</v>
      </c>
      <c r="CS65" s="686">
        <f t="shared" si="116"/>
        <v>-0.11023176936122103</v>
      </c>
      <c r="CT65" s="688">
        <f t="shared" si="116"/>
        <v>-0.11398682400637083</v>
      </c>
      <c r="CU65" s="686">
        <f t="shared" si="116"/>
        <v>-0.11160047775455362</v>
      </c>
      <c r="CV65" s="686">
        <f t="shared" si="116"/>
        <v>-0.1087275819418676</v>
      </c>
      <c r="CW65" s="689">
        <f t="shared" si="116"/>
        <v>-0.11638341804320207</v>
      </c>
      <c r="CX65" s="686">
        <f t="shared" si="116"/>
        <v>-0.12562814070351758</v>
      </c>
      <c r="CY65" s="686">
        <f t="shared" si="116"/>
        <v>-0.13326611209142092</v>
      </c>
      <c r="CZ65" s="686">
        <f t="shared" si="116"/>
        <v>-0.13660609740231577</v>
      </c>
      <c r="DA65" s="686">
        <f t="shared" si="116"/>
        <v>-0.13377971509459397</v>
      </c>
      <c r="DB65" s="688">
        <f t="shared" si="116"/>
        <v>-0.12811886739557055</v>
      </c>
      <c r="DC65" s="686">
        <f t="shared" si="116"/>
        <v>-0.12695104217159481</v>
      </c>
      <c r="DD65" s="686">
        <f t="shared" si="116"/>
        <v>-0.12662614897784918</v>
      </c>
      <c r="DE65" s="686">
        <f t="shared" si="116"/>
        <v>-0.12653040049802866</v>
      </c>
      <c r="DF65" s="688">
        <f t="shared" si="116"/>
        <v>-0.12202572347266882</v>
      </c>
      <c r="DG65" s="1119">
        <f t="shared" si="116"/>
        <v>-0.11437454888679144</v>
      </c>
      <c r="DH65" s="1119">
        <f t="shared" si="116"/>
        <v>-0.10426731078904994</v>
      </c>
      <c r="DI65" s="689">
        <f t="shared" si="116"/>
        <v>-9.7642097760883728E-2</v>
      </c>
      <c r="DJ65" s="688">
        <f t="shared" si="116"/>
        <v>-9.5770005493499344E-2</v>
      </c>
      <c r="DK65" s="1119">
        <f t="shared" si="116"/>
        <v>-9.610682715817187E-2</v>
      </c>
      <c r="DL65" s="1119">
        <f t="shared" si="116"/>
        <v>-9.8747993579454296E-2</v>
      </c>
      <c r="DM65" s="689">
        <f t="shared" si="116"/>
        <v>-0.10267886526689918</v>
      </c>
      <c r="DN65" s="1119">
        <f t="shared" si="116"/>
        <v>-0.10645335493452135</v>
      </c>
      <c r="DO65" s="1119">
        <f t="shared" si="116"/>
        <v>-0.26501595228186992</v>
      </c>
      <c r="DP65" s="1119">
        <f t="shared" si="116"/>
        <v>-0.26537009332478445</v>
      </c>
      <c r="DQ65" s="689">
        <f t="shared" si="116"/>
        <v>-0.2632582703733588</v>
      </c>
      <c r="DR65" s="1119">
        <f t="shared" si="116"/>
        <v>-0.26365490670091407</v>
      </c>
      <c r="DS65" s="1119">
        <f t="shared" si="116"/>
        <v>-0.10889874492780971</v>
      </c>
      <c r="DT65" s="1119">
        <f t="shared" si="116"/>
        <v>-0.10977501939487977</v>
      </c>
      <c r="DU65" s="689">
        <f t="shared" si="116"/>
        <v>-0.1123058542413381</v>
      </c>
      <c r="DV65" s="3360"/>
      <c r="DW65" s="3360"/>
      <c r="DX65" s="3360"/>
      <c r="DY65" s="3366"/>
    </row>
    <row r="66" spans="1:130" hidden="1" outlineLevel="1">
      <c r="A66" s="715" t="s">
        <v>419</v>
      </c>
      <c r="B66" s="716"/>
      <c r="C66" s="716"/>
      <c r="D66" s="716"/>
      <c r="E66" s="716"/>
      <c r="F66" s="716">
        <f t="shared" ref="F66:V66" si="117">F64-E64</f>
        <v>2512</v>
      </c>
      <c r="G66" s="716">
        <f t="shared" si="117"/>
        <v>454.81900000000314</v>
      </c>
      <c r="H66" s="716">
        <f t="shared" si="117"/>
        <v>-350.81900000000314</v>
      </c>
      <c r="I66" s="716">
        <f t="shared" si="117"/>
        <v>-1464</v>
      </c>
      <c r="J66" s="716">
        <f t="shared" si="117"/>
        <v>-2228</v>
      </c>
      <c r="K66" s="716">
        <f t="shared" si="117"/>
        <v>-3148</v>
      </c>
      <c r="L66" s="716">
        <f t="shared" si="117"/>
        <v>-2537</v>
      </c>
      <c r="M66" s="716">
        <f t="shared" si="117"/>
        <v>-3486</v>
      </c>
      <c r="N66" s="716">
        <f t="shared" si="117"/>
        <v>-5410</v>
      </c>
      <c r="O66" s="716">
        <f t="shared" si="117"/>
        <v>-8817</v>
      </c>
      <c r="P66" s="716">
        <f t="shared" si="117"/>
        <v>-3181.4680000000008</v>
      </c>
      <c r="Q66" s="1120">
        <f t="shared" si="117"/>
        <v>-3090.5319999999992</v>
      </c>
      <c r="R66" s="716">
        <f t="shared" si="117"/>
        <v>-3120</v>
      </c>
      <c r="S66" s="716">
        <f t="shared" si="117"/>
        <v>-2931</v>
      </c>
      <c r="T66" s="1120">
        <f t="shared" si="117"/>
        <v>-2977</v>
      </c>
      <c r="U66" s="716">
        <f t="shared" si="117"/>
        <v>-2439</v>
      </c>
      <c r="V66" s="716">
        <f t="shared" si="117"/>
        <v>-1644</v>
      </c>
      <c r="W66" s="716">
        <f>W64-V64</f>
        <v>-1560</v>
      </c>
      <c r="X66" s="716">
        <f>X64-W64</f>
        <v>-3589</v>
      </c>
      <c r="Y66" s="716">
        <f>Y64-X64</f>
        <v>-1128</v>
      </c>
      <c r="Z66" s="3394"/>
      <c r="AA66" s="3363"/>
      <c r="AB66" s="3363"/>
      <c r="AC66" s="3363"/>
      <c r="AD66" s="3363"/>
      <c r="AE66" s="3363"/>
      <c r="AF66" s="3363"/>
      <c r="AG66" s="3363"/>
      <c r="AH66" s="1964"/>
      <c r="AI66" s="2160"/>
      <c r="AJ66" s="2160"/>
      <c r="AK66" s="2160"/>
      <c r="AL66" s="2160"/>
      <c r="AM66" s="2160"/>
      <c r="AN66" s="2160"/>
      <c r="AO66" s="2160"/>
      <c r="AP66" s="717"/>
      <c r="AQ66" s="716">
        <f t="shared" ref="AQ66:AW66" si="118">AQ64-AP64</f>
        <v>633</v>
      </c>
      <c r="AR66" s="716">
        <f t="shared" si="118"/>
        <v>628</v>
      </c>
      <c r="AS66" s="716">
        <f t="shared" si="118"/>
        <v>725</v>
      </c>
      <c r="AT66" s="717">
        <f t="shared" si="118"/>
        <v>705</v>
      </c>
      <c r="AU66" s="716">
        <f t="shared" si="118"/>
        <v>564</v>
      </c>
      <c r="AV66" s="716">
        <f t="shared" si="118"/>
        <v>740</v>
      </c>
      <c r="AW66" s="716">
        <f t="shared" si="118"/>
        <v>503</v>
      </c>
      <c r="AX66" s="717">
        <f>AX63-AW63</f>
        <v>0.98405052149787142</v>
      </c>
      <c r="AY66" s="716">
        <f>AY63-AX63</f>
        <v>1.1975273723905389E-3</v>
      </c>
      <c r="AZ66" s="716">
        <f>AZ63-AY63</f>
        <v>1.1533721411683073E-2</v>
      </c>
      <c r="BA66" s="716">
        <f>BA63-AZ63</f>
        <v>3.7210849844715455E-4</v>
      </c>
      <c r="BB66" s="717">
        <f t="shared" ref="BB66:CG66" si="119">BB64-BA64</f>
        <v>-743.81900000000314</v>
      </c>
      <c r="BC66" s="716">
        <f t="shared" si="119"/>
        <v>212</v>
      </c>
      <c r="BD66" s="716">
        <f t="shared" si="119"/>
        <v>131</v>
      </c>
      <c r="BE66" s="716">
        <f t="shared" si="119"/>
        <v>50</v>
      </c>
      <c r="BF66" s="717">
        <f t="shared" si="119"/>
        <v>-16</v>
      </c>
      <c r="BG66" s="716">
        <f t="shared" si="119"/>
        <v>-427</v>
      </c>
      <c r="BH66" s="716">
        <f t="shared" si="119"/>
        <v>-453</v>
      </c>
      <c r="BI66" s="716">
        <f t="shared" si="119"/>
        <v>-568</v>
      </c>
      <c r="BJ66" s="717">
        <f t="shared" si="119"/>
        <v>-441</v>
      </c>
      <c r="BK66" s="716">
        <f t="shared" si="119"/>
        <v>-809</v>
      </c>
      <c r="BL66" s="716">
        <f t="shared" si="119"/>
        <v>-496</v>
      </c>
      <c r="BM66" s="716">
        <f t="shared" si="119"/>
        <v>-482</v>
      </c>
      <c r="BN66" s="717">
        <f t="shared" si="119"/>
        <v>-1227</v>
      </c>
      <c r="BO66" s="716">
        <f t="shared" si="119"/>
        <v>-710</v>
      </c>
      <c r="BP66" s="716">
        <f t="shared" si="119"/>
        <v>-600</v>
      </c>
      <c r="BQ66" s="716">
        <f t="shared" si="119"/>
        <v>-611</v>
      </c>
      <c r="BR66" s="717">
        <f t="shared" si="119"/>
        <v>-502</v>
      </c>
      <c r="BS66" s="716">
        <f t="shared" si="119"/>
        <v>-673</v>
      </c>
      <c r="BT66" s="716">
        <f t="shared" si="119"/>
        <v>-668</v>
      </c>
      <c r="BU66" s="716">
        <f t="shared" si="119"/>
        <v>-694</v>
      </c>
      <c r="BV66" s="717">
        <f t="shared" si="119"/>
        <v>-758</v>
      </c>
      <c r="BW66" s="716">
        <f t="shared" si="119"/>
        <v>-840</v>
      </c>
      <c r="BX66" s="716">
        <f t="shared" si="119"/>
        <v>-1002</v>
      </c>
      <c r="BY66" s="716">
        <f t="shared" si="119"/>
        <v>-886</v>
      </c>
      <c r="BZ66" s="717">
        <f t="shared" si="119"/>
        <v>-2605</v>
      </c>
      <c r="CA66" s="716">
        <f t="shared" si="119"/>
        <v>-998</v>
      </c>
      <c r="CB66" s="716">
        <f t="shared" si="119"/>
        <v>-943</v>
      </c>
      <c r="CC66" s="716">
        <f t="shared" si="119"/>
        <v>-864</v>
      </c>
      <c r="CD66" s="717">
        <f t="shared" si="119"/>
        <v>-899</v>
      </c>
      <c r="CE66" s="716">
        <f t="shared" si="119"/>
        <v>-842</v>
      </c>
      <c r="CF66" s="716">
        <f t="shared" si="119"/>
        <v>-933</v>
      </c>
      <c r="CG66" s="716">
        <f t="shared" si="119"/>
        <v>-6143</v>
      </c>
      <c r="CH66" s="717">
        <f t="shared" ref="CH66:DU66" si="120">CH64-CG64</f>
        <v>-761</v>
      </c>
      <c r="CI66" s="716">
        <f t="shared" si="120"/>
        <v>-789.32094594594673</v>
      </c>
      <c r="CJ66" s="716">
        <f t="shared" si="120"/>
        <v>-859.65532524049195</v>
      </c>
      <c r="CK66" s="716">
        <f t="shared" si="120"/>
        <v>-771.49172881356208</v>
      </c>
      <c r="CL66" s="717">
        <f t="shared" si="120"/>
        <v>-851.53199999999924</v>
      </c>
      <c r="CM66" s="716">
        <f t="shared" si="120"/>
        <v>-749</v>
      </c>
      <c r="CN66" s="716">
        <f t="shared" si="120"/>
        <v>-797</v>
      </c>
      <c r="CO66" s="716">
        <f t="shared" si="120"/>
        <v>-693</v>
      </c>
      <c r="CP66" s="717">
        <f t="shared" si="120"/>
        <v>-678</v>
      </c>
      <c r="CQ66" s="716">
        <f t="shared" si="120"/>
        <v>-834</v>
      </c>
      <c r="CR66" s="716">
        <f t="shared" si="120"/>
        <v>-920</v>
      </c>
      <c r="CS66" s="716">
        <f t="shared" si="120"/>
        <v>-688</v>
      </c>
      <c r="CT66" s="717">
        <f t="shared" si="120"/>
        <v>-707</v>
      </c>
      <c r="CU66" s="716">
        <f t="shared" si="120"/>
        <v>-675</v>
      </c>
      <c r="CV66" s="716">
        <f t="shared" si="120"/>
        <v>-743</v>
      </c>
      <c r="CW66" s="718">
        <f t="shared" si="120"/>
        <v>-806</v>
      </c>
      <c r="CX66" s="716">
        <f t="shared" si="120"/>
        <v>-851</v>
      </c>
      <c r="CY66" s="716">
        <f t="shared" si="120"/>
        <v>-772</v>
      </c>
      <c r="CZ66" s="716">
        <f t="shared" si="120"/>
        <v>-721</v>
      </c>
      <c r="DA66" s="716">
        <f t="shared" si="120"/>
        <v>-633</v>
      </c>
      <c r="DB66" s="717">
        <f t="shared" si="120"/>
        <v>-616</v>
      </c>
      <c r="DC66" s="716">
        <f t="shared" si="120"/>
        <v>-649</v>
      </c>
      <c r="DD66" s="716">
        <f t="shared" si="120"/>
        <v>-623</v>
      </c>
      <c r="DE66" s="716">
        <f t="shared" si="120"/>
        <v>-551</v>
      </c>
      <c r="DF66" s="717">
        <f t="shared" si="120"/>
        <v>-454</v>
      </c>
      <c r="DG66" s="1120">
        <f t="shared" si="120"/>
        <v>-432</v>
      </c>
      <c r="DH66" s="1120">
        <f t="shared" si="120"/>
        <v>-376</v>
      </c>
      <c r="DI66" s="718">
        <f t="shared" si="120"/>
        <v>-382</v>
      </c>
      <c r="DJ66" s="717">
        <f t="shared" si="120"/>
        <v>-379</v>
      </c>
      <c r="DK66" s="1120">
        <f t="shared" si="120"/>
        <v>-396</v>
      </c>
      <c r="DL66" s="1120">
        <f t="shared" si="120"/>
        <v>-381</v>
      </c>
      <c r="DM66" s="718">
        <f t="shared" si="120"/>
        <v>-404</v>
      </c>
      <c r="DN66" s="1120">
        <f t="shared" si="120"/>
        <v>-396</v>
      </c>
      <c r="DO66" s="1120">
        <f t="shared" si="120"/>
        <v>-2640</v>
      </c>
      <c r="DP66" s="1120">
        <f t="shared" si="120"/>
        <v>-285</v>
      </c>
      <c r="DQ66" s="718">
        <f t="shared" si="120"/>
        <v>-268</v>
      </c>
      <c r="DR66" s="1120">
        <f t="shared" si="120"/>
        <v>-297</v>
      </c>
      <c r="DS66" s="1120">
        <f t="shared" si="120"/>
        <v>-304</v>
      </c>
      <c r="DT66" s="1120">
        <f t="shared" si="120"/>
        <v>-263</v>
      </c>
      <c r="DU66" s="718">
        <f t="shared" si="120"/>
        <v>-264</v>
      </c>
      <c r="DV66" s="3363"/>
      <c r="DW66" s="3363"/>
      <c r="DX66" s="3363"/>
      <c r="DY66" s="3364"/>
    </row>
    <row r="67" spans="1:130" hidden="1" outlineLevel="1">
      <c r="A67" s="712" t="s">
        <v>451</v>
      </c>
      <c r="B67" s="686"/>
      <c r="C67" s="686"/>
      <c r="D67" s="686"/>
      <c r="E67" s="686"/>
      <c r="F67" s="686"/>
      <c r="G67" s="686"/>
      <c r="H67" s="686"/>
      <c r="I67" s="686"/>
      <c r="J67" s="686"/>
      <c r="K67" s="686"/>
      <c r="L67" s="686"/>
      <c r="M67" s="686"/>
      <c r="N67" s="686"/>
      <c r="O67" s="686"/>
      <c r="P67" s="686"/>
      <c r="Q67" s="1119">
        <f t="shared" ref="Q67:V67" si="121">+Q66/P66-1</f>
        <v>-2.8583031481065224E-2</v>
      </c>
      <c r="R67" s="686">
        <f t="shared" si="121"/>
        <v>9.534927967094653E-3</v>
      </c>
      <c r="S67" s="686">
        <f t="shared" si="121"/>
        <v>-6.0576923076923084E-2</v>
      </c>
      <c r="T67" s="1119">
        <f t="shared" si="121"/>
        <v>1.569430228590929E-2</v>
      </c>
      <c r="U67" s="686">
        <f t="shared" si="121"/>
        <v>-0.18071884447430298</v>
      </c>
      <c r="V67" s="686">
        <f t="shared" si="121"/>
        <v>-0.32595325953259535</v>
      </c>
      <c r="W67" s="686">
        <f>+W66/V66-1</f>
        <v>-5.1094890510948954E-2</v>
      </c>
      <c r="X67" s="686">
        <f>+X66/W66-1</f>
        <v>1.3006410256410255</v>
      </c>
      <c r="Y67" s="686">
        <f>+Y66/X66-1</f>
        <v>-0.68570632488158267</v>
      </c>
      <c r="Z67" s="3395"/>
      <c r="AA67" s="3360"/>
      <c r="AB67" s="3360"/>
      <c r="AC67" s="3360"/>
      <c r="AD67" s="3360"/>
      <c r="AE67" s="3360"/>
      <c r="AF67" s="3360"/>
      <c r="AG67" s="3360"/>
      <c r="AH67" s="1962"/>
      <c r="AI67" s="2159"/>
      <c r="AJ67" s="2159"/>
      <c r="AK67" s="2159"/>
      <c r="AL67" s="2159"/>
      <c r="AM67" s="2159"/>
      <c r="AN67" s="2159"/>
      <c r="AO67" s="2159"/>
      <c r="AP67" s="688"/>
      <c r="AQ67" s="686"/>
      <c r="AR67" s="686"/>
      <c r="AS67" s="686"/>
      <c r="AT67" s="688"/>
      <c r="AU67" s="686"/>
      <c r="AV67" s="686"/>
      <c r="AW67" s="686"/>
      <c r="AX67" s="688"/>
      <c r="AY67" s="686"/>
      <c r="AZ67" s="686"/>
      <c r="BA67" s="686"/>
      <c r="BB67" s="688"/>
      <c r="BC67" s="686"/>
      <c r="BD67" s="686"/>
      <c r="BE67" s="686"/>
      <c r="BF67" s="688"/>
      <c r="BG67" s="686"/>
      <c r="BH67" s="686"/>
      <c r="BI67" s="686"/>
      <c r="BJ67" s="688"/>
      <c r="BK67" s="686"/>
      <c r="BL67" s="686"/>
      <c r="BM67" s="686"/>
      <c r="BN67" s="688"/>
      <c r="BO67" s="686"/>
      <c r="BP67" s="686"/>
      <c r="BQ67" s="686"/>
      <c r="BR67" s="688"/>
      <c r="BS67" s="686"/>
      <c r="BT67" s="686"/>
      <c r="BU67" s="686"/>
      <c r="BV67" s="688"/>
      <c r="BW67" s="686"/>
      <c r="BX67" s="686"/>
      <c r="BY67" s="686"/>
      <c r="BZ67" s="688"/>
      <c r="CA67" s="686"/>
      <c r="CB67" s="686"/>
      <c r="CC67" s="686"/>
      <c r="CD67" s="688"/>
      <c r="CE67" s="686"/>
      <c r="CF67" s="686"/>
      <c r="CG67" s="686"/>
      <c r="CH67" s="688"/>
      <c r="CI67" s="686"/>
      <c r="CJ67" s="686"/>
      <c r="CK67" s="686"/>
      <c r="CL67" s="688">
        <f t="shared" ref="CL67:DU67" si="122">+CL66/CH66-1</f>
        <v>0.11896452036793592</v>
      </c>
      <c r="CM67" s="686">
        <f t="shared" si="122"/>
        <v>-5.1083081163676547E-2</v>
      </c>
      <c r="CN67" s="686">
        <f t="shared" si="122"/>
        <v>-7.2884240230773778E-2</v>
      </c>
      <c r="CO67" s="686">
        <f t="shared" si="122"/>
        <v>-0.10174020781048487</v>
      </c>
      <c r="CP67" s="688">
        <f t="shared" si="122"/>
        <v>-0.20378799622327681</v>
      </c>
      <c r="CQ67" s="686">
        <f t="shared" si="122"/>
        <v>0.1134846461949266</v>
      </c>
      <c r="CR67" s="686">
        <f t="shared" si="122"/>
        <v>0.15432873274780423</v>
      </c>
      <c r="CS67" s="686">
        <f t="shared" si="122"/>
        <v>-7.2150072150072297E-3</v>
      </c>
      <c r="CT67" s="688">
        <f t="shared" si="122"/>
        <v>4.2772861356932257E-2</v>
      </c>
      <c r="CU67" s="686">
        <f t="shared" si="122"/>
        <v>-0.19064748201438853</v>
      </c>
      <c r="CV67" s="686">
        <f t="shared" si="122"/>
        <v>-0.19239130434782614</v>
      </c>
      <c r="CW67" s="689">
        <f t="shared" si="122"/>
        <v>0.17151162790697683</v>
      </c>
      <c r="CX67" s="686">
        <f t="shared" si="122"/>
        <v>0.2036775106082036</v>
      </c>
      <c r="CY67" s="686">
        <f t="shared" si="122"/>
        <v>0.14370370370370367</v>
      </c>
      <c r="CZ67" s="686">
        <f t="shared" si="122"/>
        <v>-2.9609690444145409E-2</v>
      </c>
      <c r="DA67" s="686">
        <f t="shared" si="122"/>
        <v>-0.21464019851116622</v>
      </c>
      <c r="DB67" s="688">
        <f t="shared" si="122"/>
        <v>-0.27614571092831963</v>
      </c>
      <c r="DC67" s="686">
        <f t="shared" si="122"/>
        <v>-0.15932642487046633</v>
      </c>
      <c r="DD67" s="686">
        <f t="shared" si="122"/>
        <v>-0.13592233009708743</v>
      </c>
      <c r="DE67" s="686">
        <f t="shared" si="122"/>
        <v>-0.12954186413902058</v>
      </c>
      <c r="DF67" s="688">
        <f t="shared" si="122"/>
        <v>-0.26298701298701299</v>
      </c>
      <c r="DG67" s="1119">
        <f t="shared" si="122"/>
        <v>-0.33436055469953774</v>
      </c>
      <c r="DH67" s="1119">
        <f t="shared" si="122"/>
        <v>-0.3964686998394864</v>
      </c>
      <c r="DI67" s="689">
        <f t="shared" si="122"/>
        <v>-0.30671506352087119</v>
      </c>
      <c r="DJ67" s="688">
        <f t="shared" si="122"/>
        <v>-0.16519823788546251</v>
      </c>
      <c r="DK67" s="1119">
        <f t="shared" si="122"/>
        <v>-8.333333333333337E-2</v>
      </c>
      <c r="DL67" s="1119">
        <f t="shared" si="122"/>
        <v>1.3297872340425565E-2</v>
      </c>
      <c r="DM67" s="689">
        <f t="shared" si="122"/>
        <v>5.7591623036649109E-2</v>
      </c>
      <c r="DN67" s="1119">
        <f t="shared" si="122"/>
        <v>4.4854881266490843E-2</v>
      </c>
      <c r="DO67" s="1119">
        <f t="shared" si="122"/>
        <v>5.666666666666667</v>
      </c>
      <c r="DP67" s="1119">
        <f t="shared" si="122"/>
        <v>-0.25196850393700787</v>
      </c>
      <c r="DQ67" s="689">
        <f t="shared" si="122"/>
        <v>-0.3366336633663366</v>
      </c>
      <c r="DR67" s="1119">
        <f t="shared" si="122"/>
        <v>-0.25</v>
      </c>
      <c r="DS67" s="1119">
        <f t="shared" si="122"/>
        <v>-0.88484848484848488</v>
      </c>
      <c r="DT67" s="1119">
        <f t="shared" si="122"/>
        <v>-7.7192982456140369E-2</v>
      </c>
      <c r="DU67" s="689">
        <f t="shared" si="122"/>
        <v>-1.4925373134328401E-2</v>
      </c>
      <c r="DV67" s="3360"/>
      <c r="DW67" s="3360"/>
      <c r="DX67" s="3360"/>
      <c r="DY67" s="3366"/>
    </row>
    <row r="68" spans="1:130" collapsed="1">
      <c r="A68" s="655" t="s">
        <v>452</v>
      </c>
      <c r="B68" s="656"/>
      <c r="C68" s="656"/>
      <c r="D68" s="656"/>
      <c r="E68" s="656"/>
      <c r="F68" s="656"/>
      <c r="G68" s="656"/>
      <c r="H68" s="656"/>
      <c r="I68" s="656"/>
      <c r="J68" s="656"/>
      <c r="K68" s="656"/>
      <c r="L68" s="656"/>
      <c r="M68" s="656"/>
      <c r="N68" s="656"/>
      <c r="O68" s="656"/>
      <c r="P68" s="656"/>
      <c r="Q68" s="1118">
        <f t="shared" ref="Q68:V68" si="123">+Q21+Q25</f>
        <v>28323</v>
      </c>
      <c r="R68" s="656">
        <f t="shared" si="123"/>
        <v>26001</v>
      </c>
      <c r="S68" s="656">
        <f t="shared" si="123"/>
        <v>24137</v>
      </c>
      <c r="T68" s="1118">
        <f t="shared" si="123"/>
        <v>22503</v>
      </c>
      <c r="U68" s="656">
        <f t="shared" si="123"/>
        <v>21085</v>
      </c>
      <c r="V68" s="656">
        <f t="shared" si="123"/>
        <v>19795</v>
      </c>
      <c r="W68" s="656">
        <f t="shared" ref="W68:Y68" si="124">+W21+W25</f>
        <v>18387</v>
      </c>
      <c r="X68" s="656">
        <f t="shared" si="124"/>
        <v>13939</v>
      </c>
      <c r="Y68" s="656">
        <f t="shared" si="124"/>
        <v>12821</v>
      </c>
      <c r="Z68" s="656">
        <f>+DY68</f>
        <v>9867.8634725239426</v>
      </c>
      <c r="AA68" s="1118">
        <f>+Z68*(1+AA69)</f>
        <v>9127.7737120846468</v>
      </c>
      <c r="AB68" s="1118">
        <f t="shared" ref="AB68:AG68" si="125">+AA68*(1+AB69)</f>
        <v>8479.701778526638</v>
      </c>
      <c r="AC68" s="1118">
        <f t="shared" si="125"/>
        <v>7911.5617593653533</v>
      </c>
      <c r="AD68" s="1118">
        <f t="shared" si="125"/>
        <v>7413.1333685253367</v>
      </c>
      <c r="AE68" s="1118">
        <f t="shared" si="125"/>
        <v>6975.7584997823424</v>
      </c>
      <c r="AF68" s="1118">
        <f t="shared" si="125"/>
        <v>6592.0917822943138</v>
      </c>
      <c r="AG68" s="1118">
        <f t="shared" si="125"/>
        <v>6255.8951013973046</v>
      </c>
      <c r="AH68" s="1955"/>
      <c r="AI68" s="2162"/>
      <c r="AJ68" s="2162"/>
      <c r="AK68" s="2162"/>
      <c r="AL68" s="2162"/>
      <c r="AM68" s="2162"/>
      <c r="AN68" s="2162"/>
      <c r="AO68" s="2162"/>
      <c r="AP68" s="658"/>
      <c r="AQ68" s="656"/>
      <c r="AR68" s="656"/>
      <c r="AS68" s="656"/>
      <c r="AT68" s="658"/>
      <c r="AU68" s="656"/>
      <c r="AV68" s="656"/>
      <c r="AW68" s="656"/>
      <c r="AX68" s="658"/>
      <c r="AY68" s="656"/>
      <c r="AZ68" s="656"/>
      <c r="BA68" s="656"/>
      <c r="BB68" s="658"/>
      <c r="BC68" s="656"/>
      <c r="BD68" s="656"/>
      <c r="BE68" s="656"/>
      <c r="BF68" s="658"/>
      <c r="BG68" s="656"/>
      <c r="BH68" s="656"/>
      <c r="BI68" s="656"/>
      <c r="BJ68" s="658"/>
      <c r="BK68" s="656"/>
      <c r="BL68" s="656"/>
      <c r="BM68" s="656"/>
      <c r="BN68" s="658"/>
      <c r="BO68" s="656"/>
      <c r="BP68" s="656"/>
      <c r="BQ68" s="656"/>
      <c r="BR68" s="658"/>
      <c r="BS68" s="656"/>
      <c r="BT68" s="656"/>
      <c r="BU68" s="656"/>
      <c r="BV68" s="658"/>
      <c r="BW68" s="656"/>
      <c r="BX68" s="656"/>
      <c r="BY68" s="656"/>
      <c r="BZ68" s="658"/>
      <c r="CA68" s="656"/>
      <c r="CB68" s="656"/>
      <c r="CC68" s="656"/>
      <c r="CD68" s="658"/>
      <c r="CE68" s="656"/>
      <c r="CF68" s="656"/>
      <c r="CG68" s="656"/>
      <c r="CH68" s="658"/>
      <c r="CI68" s="656"/>
      <c r="CJ68" s="656"/>
      <c r="CK68" s="656"/>
      <c r="CL68" s="658">
        <f t="shared" ref="CL68:DE68" si="126">+CL21+CL25</f>
        <v>30545</v>
      </c>
      <c r="CM68" s="656">
        <f t="shared" si="126"/>
        <v>29797</v>
      </c>
      <c r="CN68" s="656">
        <f t="shared" si="126"/>
        <v>29003</v>
      </c>
      <c r="CO68" s="656">
        <f t="shared" si="126"/>
        <v>28323</v>
      </c>
      <c r="CP68" s="658">
        <f t="shared" si="126"/>
        <v>27719</v>
      </c>
      <c r="CQ68" s="656">
        <f t="shared" si="126"/>
        <v>27138</v>
      </c>
      <c r="CR68" s="656">
        <f t="shared" si="126"/>
        <v>26544</v>
      </c>
      <c r="CS68" s="656">
        <f t="shared" si="126"/>
        <v>26001</v>
      </c>
      <c r="CT68" s="658">
        <f t="shared" si="126"/>
        <v>25454</v>
      </c>
      <c r="CU68" s="656">
        <f t="shared" si="126"/>
        <v>24997</v>
      </c>
      <c r="CV68" s="656">
        <f t="shared" si="126"/>
        <v>24519</v>
      </c>
      <c r="CW68" s="657">
        <f t="shared" si="126"/>
        <v>24137</v>
      </c>
      <c r="CX68" s="656">
        <f t="shared" si="126"/>
        <v>23700</v>
      </c>
      <c r="CY68" s="656">
        <f t="shared" si="126"/>
        <v>23278</v>
      </c>
      <c r="CZ68" s="656">
        <f t="shared" si="126"/>
        <v>22847</v>
      </c>
      <c r="DA68" s="656">
        <f t="shared" si="126"/>
        <v>22503</v>
      </c>
      <c r="DB68" s="658">
        <f t="shared" si="126"/>
        <v>22191</v>
      </c>
      <c r="DC68" s="656">
        <f t="shared" si="126"/>
        <v>21828</v>
      </c>
      <c r="DD68" s="656">
        <f t="shared" si="126"/>
        <v>21457</v>
      </c>
      <c r="DE68" s="656">
        <f t="shared" si="126"/>
        <v>21085</v>
      </c>
      <c r="DF68" s="658">
        <f t="shared" ref="DF68:DL68" si="127">+DF21+DF25</f>
        <v>20733</v>
      </c>
      <c r="DG68" s="1118">
        <f t="shared" si="127"/>
        <v>20391</v>
      </c>
      <c r="DH68" s="1118">
        <f t="shared" si="127"/>
        <v>20089</v>
      </c>
      <c r="DI68" s="657">
        <f t="shared" si="127"/>
        <v>19795</v>
      </c>
      <c r="DJ68" s="658">
        <f t="shared" si="127"/>
        <v>19475</v>
      </c>
      <c r="DK68" s="1118">
        <f t="shared" si="127"/>
        <v>19079</v>
      </c>
      <c r="DL68" s="1118">
        <f t="shared" si="127"/>
        <v>18740</v>
      </c>
      <c r="DM68" s="657">
        <f t="shared" ref="DM68:DR68" si="128">+DM21+DM25</f>
        <v>18387</v>
      </c>
      <c r="DN68" s="1118">
        <f t="shared" si="128"/>
        <v>18037</v>
      </c>
      <c r="DO68" s="1118">
        <f t="shared" si="128"/>
        <v>14476</v>
      </c>
      <c r="DP68" s="1118">
        <f t="shared" si="128"/>
        <v>14194</v>
      </c>
      <c r="DQ68" s="657">
        <f t="shared" si="128"/>
        <v>13939</v>
      </c>
      <c r="DR68" s="1118">
        <f t="shared" si="128"/>
        <v>13634</v>
      </c>
      <c r="DS68" s="1118">
        <f t="shared" ref="DS68:DT68" si="129">+DS21+DS25</f>
        <v>13352</v>
      </c>
      <c r="DT68" s="1118">
        <f t="shared" si="129"/>
        <v>13100</v>
      </c>
      <c r="DU68" s="657">
        <f t="shared" ref="DU68" si="130">+DU21+DU25</f>
        <v>12821</v>
      </c>
      <c r="DV68" s="3332">
        <f>NormInputs!$DL$221</f>
        <v>12555</v>
      </c>
      <c r="DW68" s="1118">
        <f>+DV68*(1+DW69)</f>
        <v>11573.947474695615</v>
      </c>
      <c r="DX68" s="1118">
        <f t="shared" ref="DX68:DY68" si="131">+DW68*(1+DX69)</f>
        <v>10681.128718244348</v>
      </c>
      <c r="DY68" s="657">
        <f t="shared" si="131"/>
        <v>9867.8634725239426</v>
      </c>
      <c r="DZ68" s="3316"/>
    </row>
    <row r="69" spans="1:130">
      <c r="A69" s="663" t="s">
        <v>432</v>
      </c>
      <c r="B69" s="664"/>
      <c r="C69" s="664"/>
      <c r="D69" s="664"/>
      <c r="E69" s="664"/>
      <c r="F69" s="664"/>
      <c r="G69" s="664"/>
      <c r="H69" s="664"/>
      <c r="I69" s="664"/>
      <c r="J69" s="664"/>
      <c r="K69" s="664"/>
      <c r="L69" s="664"/>
      <c r="M69" s="664"/>
      <c r="N69" s="664"/>
      <c r="O69" s="664"/>
      <c r="P69" s="664"/>
      <c r="Q69" s="1121"/>
      <c r="R69" s="664">
        <f t="shared" ref="R69:V69" si="132">R68/Q68-1</f>
        <v>-8.198284080076268E-2</v>
      </c>
      <c r="S69" s="664">
        <f t="shared" si="132"/>
        <v>-7.1689550401907609E-2</v>
      </c>
      <c r="T69" s="1121">
        <f t="shared" si="132"/>
        <v>-6.7696896880308222E-2</v>
      </c>
      <c r="U69" s="664">
        <f t="shared" si="132"/>
        <v>-6.3013820379504981E-2</v>
      </c>
      <c r="V69" s="664">
        <f t="shared" si="132"/>
        <v>-6.1180934313493029E-2</v>
      </c>
      <c r="W69" s="664">
        <f>W68/V68-1</f>
        <v>-7.1129072998231901E-2</v>
      </c>
      <c r="X69" s="664">
        <f>X68/W68-1</f>
        <v>-0.24191004514058845</v>
      </c>
      <c r="Y69" s="664">
        <f>Y68/X68-1</f>
        <v>-8.0206614534758636E-2</v>
      </c>
      <c r="Z69" s="664">
        <f>Z68/Y68-1</f>
        <v>-0.23033589637907004</v>
      </c>
      <c r="AA69" s="2495">
        <v>-7.4999999999999997E-2</v>
      </c>
      <c r="AB69" s="2495">
        <f>+AA69+0.004</f>
        <v>-7.0999999999999994E-2</v>
      </c>
      <c r="AC69" s="2495">
        <f t="shared" ref="AC69:AG69" si="133">+AB69+0.004</f>
        <v>-6.699999999999999E-2</v>
      </c>
      <c r="AD69" s="2495">
        <f t="shared" si="133"/>
        <v>-6.2999999999999987E-2</v>
      </c>
      <c r="AE69" s="2495">
        <f t="shared" si="133"/>
        <v>-5.8999999999999983E-2</v>
      </c>
      <c r="AF69" s="2495">
        <f t="shared" si="133"/>
        <v>-5.4999999999999979E-2</v>
      </c>
      <c r="AG69" s="2495">
        <f t="shared" si="133"/>
        <v>-5.0999999999999976E-2</v>
      </c>
      <c r="AH69" s="1977"/>
      <c r="AI69"/>
      <c r="AJ69"/>
      <c r="AK69"/>
      <c r="AL69"/>
      <c r="AM69"/>
      <c r="AN69"/>
      <c r="AO69"/>
      <c r="AP69" s="669"/>
      <c r="AQ69" s="664"/>
      <c r="AR69" s="664"/>
      <c r="AS69" s="664"/>
      <c r="AT69" s="669"/>
      <c r="AU69" s="664"/>
      <c r="AV69" s="664"/>
      <c r="AW69" s="664"/>
      <c r="AX69" s="669"/>
      <c r="AY69" s="664"/>
      <c r="AZ69" s="664"/>
      <c r="BA69" s="664"/>
      <c r="BB69" s="669"/>
      <c r="BC69" s="664"/>
      <c r="BD69" s="664"/>
      <c r="BE69" s="664"/>
      <c r="BF69" s="669"/>
      <c r="BG69" s="664"/>
      <c r="BH69" s="664"/>
      <c r="BI69" s="664"/>
      <c r="BJ69" s="669"/>
      <c r="BK69" s="664"/>
      <c r="BL69" s="664"/>
      <c r="BM69" s="664"/>
      <c r="BN69" s="669"/>
      <c r="BO69" s="664"/>
      <c r="BP69" s="664"/>
      <c r="BQ69" s="664"/>
      <c r="BR69" s="669"/>
      <c r="BS69" s="664"/>
      <c r="BT69" s="664"/>
      <c r="BU69" s="664"/>
      <c r="BV69" s="669"/>
      <c r="BW69" s="664"/>
      <c r="BX69" s="664"/>
      <c r="BY69" s="664"/>
      <c r="BZ69" s="669"/>
      <c r="CA69" s="664"/>
      <c r="CB69" s="664"/>
      <c r="CC69" s="664"/>
      <c r="CD69" s="669"/>
      <c r="CE69" s="664"/>
      <c r="CF69" s="664"/>
      <c r="CG69" s="664"/>
      <c r="CH69" s="669"/>
      <c r="CI69" s="664"/>
      <c r="CJ69" s="664"/>
      <c r="CK69" s="664"/>
      <c r="CL69" s="666" t="s">
        <v>1090</v>
      </c>
      <c r="CM69" s="665" t="s">
        <v>1090</v>
      </c>
      <c r="CN69" s="665" t="s">
        <v>1090</v>
      </c>
      <c r="CO69" s="665" t="s">
        <v>1090</v>
      </c>
      <c r="CP69" s="669">
        <f t="shared" ref="CP69:DV69" si="134">CP68/CL68-1</f>
        <v>-9.2519233917171428E-2</v>
      </c>
      <c r="CQ69" s="664">
        <f t="shared" si="134"/>
        <v>-8.9237171527335013E-2</v>
      </c>
      <c r="CR69" s="664">
        <f t="shared" si="134"/>
        <v>-8.4784332655242545E-2</v>
      </c>
      <c r="CS69" s="664">
        <f t="shared" si="134"/>
        <v>-8.198284080076268E-2</v>
      </c>
      <c r="CT69" s="669">
        <f t="shared" si="134"/>
        <v>-8.1712904505934603E-2</v>
      </c>
      <c r="CU69" s="664">
        <f t="shared" si="134"/>
        <v>-7.8893065074802871E-2</v>
      </c>
      <c r="CV69" s="664">
        <f t="shared" si="134"/>
        <v>-7.6288426763110317E-2</v>
      </c>
      <c r="CW69" s="668">
        <f t="shared" si="134"/>
        <v>-7.1689550401907609E-2</v>
      </c>
      <c r="CX69" s="664">
        <f t="shared" si="134"/>
        <v>-6.8908619470417265E-2</v>
      </c>
      <c r="CY69" s="664">
        <f t="shared" si="134"/>
        <v>-6.8768252190262835E-2</v>
      </c>
      <c r="CZ69" s="664">
        <f t="shared" si="134"/>
        <v>-6.8192014356213582E-2</v>
      </c>
      <c r="DA69" s="664">
        <f t="shared" si="134"/>
        <v>-6.7696896880308222E-2</v>
      </c>
      <c r="DB69" s="669">
        <f t="shared" si="134"/>
        <v>-6.3670886075949396E-2</v>
      </c>
      <c r="DC69" s="664">
        <f t="shared" si="134"/>
        <v>-6.229057479164879E-2</v>
      </c>
      <c r="DD69" s="664">
        <f t="shared" si="134"/>
        <v>-6.0839497527027664E-2</v>
      </c>
      <c r="DE69" s="664">
        <f t="shared" si="134"/>
        <v>-6.3013820379504981E-2</v>
      </c>
      <c r="DF69" s="669">
        <f t="shared" si="134"/>
        <v>-6.5702311748006004E-2</v>
      </c>
      <c r="DG69" s="1121">
        <f t="shared" si="134"/>
        <v>-6.5832875206157215E-2</v>
      </c>
      <c r="DH69" s="1121">
        <f t="shared" si="134"/>
        <v>-6.3755417812368931E-2</v>
      </c>
      <c r="DI69" s="668">
        <f t="shared" si="134"/>
        <v>-6.1180934313493029E-2</v>
      </c>
      <c r="DJ69" s="669">
        <f t="shared" si="134"/>
        <v>-6.0676216659431792E-2</v>
      </c>
      <c r="DK69" s="1121">
        <f t="shared" si="134"/>
        <v>-6.4342111715953165E-2</v>
      </c>
      <c r="DL69" s="1121">
        <f t="shared" si="134"/>
        <v>-6.7151177261187689E-2</v>
      </c>
      <c r="DM69" s="668">
        <f t="shared" si="134"/>
        <v>-7.1129072998231901E-2</v>
      </c>
      <c r="DN69" s="1121">
        <f t="shared" si="134"/>
        <v>-7.3838254172015394E-2</v>
      </c>
      <c r="DO69" s="1121">
        <f t="shared" si="134"/>
        <v>-0.24126002411027836</v>
      </c>
      <c r="DP69" s="1121">
        <f t="shared" si="134"/>
        <v>-0.24258271077908222</v>
      </c>
      <c r="DQ69" s="668">
        <f t="shared" si="134"/>
        <v>-0.24191004514058845</v>
      </c>
      <c r="DR69" s="1121">
        <f t="shared" si="134"/>
        <v>-0.2441093308199811</v>
      </c>
      <c r="DS69" s="1121">
        <f t="shared" si="134"/>
        <v>-7.7645758496822315E-2</v>
      </c>
      <c r="DT69" s="1121">
        <f t="shared" si="134"/>
        <v>-7.7074820346625383E-2</v>
      </c>
      <c r="DU69" s="668">
        <f t="shared" si="134"/>
        <v>-8.0206614534758636E-2</v>
      </c>
      <c r="DV69" s="1121">
        <f t="shared" si="134"/>
        <v>-7.9140384333284408E-2</v>
      </c>
      <c r="DW69" s="2495">
        <f>+DV69+0.001</f>
        <v>-7.8140384333284407E-2</v>
      </c>
      <c r="DX69" s="2495">
        <f t="shared" ref="DX69:DY69" si="135">+DW69+0.001</f>
        <v>-7.7140384333284406E-2</v>
      </c>
      <c r="DY69" s="3068">
        <f t="shared" si="135"/>
        <v>-7.6140384333284405E-2</v>
      </c>
    </row>
    <row r="70" spans="1:130">
      <c r="A70" s="715" t="s">
        <v>419</v>
      </c>
      <c r="B70" s="716"/>
      <c r="C70" s="716"/>
      <c r="D70" s="716"/>
      <c r="E70" s="716"/>
      <c r="F70" s="716"/>
      <c r="G70" s="716"/>
      <c r="H70" s="716"/>
      <c r="I70" s="716"/>
      <c r="J70" s="716"/>
      <c r="K70" s="716"/>
      <c r="L70" s="716"/>
      <c r="M70" s="716"/>
      <c r="N70" s="716"/>
      <c r="O70" s="716"/>
      <c r="P70" s="716"/>
      <c r="Q70" s="1120"/>
      <c r="R70" s="716">
        <f t="shared" ref="R70:AB70" si="136">R68-Q68</f>
        <v>-2322</v>
      </c>
      <c r="S70" s="716">
        <f t="shared" si="136"/>
        <v>-1864</v>
      </c>
      <c r="T70" s="1120">
        <f t="shared" si="136"/>
        <v>-1634</v>
      </c>
      <c r="U70" s="716">
        <f t="shared" si="136"/>
        <v>-1418</v>
      </c>
      <c r="V70" s="716">
        <f t="shared" si="136"/>
        <v>-1290</v>
      </c>
      <c r="W70" s="716">
        <f>W68-V68</f>
        <v>-1408</v>
      </c>
      <c r="X70" s="716">
        <f>X68-W68</f>
        <v>-4448</v>
      </c>
      <c r="Y70" s="716">
        <f>Y68-X68</f>
        <v>-1118</v>
      </c>
      <c r="Z70" s="716">
        <f>Z68-Y68</f>
        <v>-2953.1365274760574</v>
      </c>
      <c r="AA70" s="1120">
        <f t="shared" si="136"/>
        <v>-740.08976043929579</v>
      </c>
      <c r="AB70" s="1120">
        <f t="shared" si="136"/>
        <v>-648.07193355800882</v>
      </c>
      <c r="AC70" s="1120">
        <f t="shared" ref="AC70" si="137">AC68-AB68</f>
        <v>-568.14001916128473</v>
      </c>
      <c r="AD70" s="1120">
        <f t="shared" ref="AD70" si="138">AD68-AC68</f>
        <v>-498.42839084001662</v>
      </c>
      <c r="AE70" s="1120">
        <f t="shared" ref="AE70" si="139">AE68-AD68</f>
        <v>-437.37486874299429</v>
      </c>
      <c r="AF70" s="1120">
        <f t="shared" ref="AF70" si="140">AF68-AE68</f>
        <v>-383.66671748802855</v>
      </c>
      <c r="AG70" s="1120">
        <f t="shared" ref="AG70" si="141">AG68-AF68</f>
        <v>-336.19668089700917</v>
      </c>
      <c r="AH70" s="1964"/>
      <c r="AI70" s="2160"/>
      <c r="AJ70" s="2160"/>
      <c r="AK70" s="2160"/>
      <c r="AL70" s="2160"/>
      <c r="AM70" s="2160"/>
      <c r="AN70" s="2160"/>
      <c r="AO70" s="2160"/>
      <c r="AP70" s="717"/>
      <c r="AQ70" s="716"/>
      <c r="AR70" s="716"/>
      <c r="AS70" s="716"/>
      <c r="AT70" s="717"/>
      <c r="AU70" s="716"/>
      <c r="AV70" s="716"/>
      <c r="AW70" s="716"/>
      <c r="AX70" s="717"/>
      <c r="AY70" s="716"/>
      <c r="AZ70" s="716"/>
      <c r="BA70" s="716"/>
      <c r="BB70" s="717"/>
      <c r="BC70" s="716"/>
      <c r="BD70" s="716"/>
      <c r="BE70" s="716"/>
      <c r="BF70" s="717"/>
      <c r="BG70" s="716"/>
      <c r="BH70" s="716"/>
      <c r="BI70" s="716"/>
      <c r="BJ70" s="717"/>
      <c r="BK70" s="716"/>
      <c r="BL70" s="716"/>
      <c r="BM70" s="716"/>
      <c r="BN70" s="717"/>
      <c r="BO70" s="716"/>
      <c r="BP70" s="716"/>
      <c r="BQ70" s="716"/>
      <c r="BR70" s="717"/>
      <c r="BS70" s="716"/>
      <c r="BT70" s="716"/>
      <c r="BU70" s="716"/>
      <c r="BV70" s="717"/>
      <c r="BW70" s="716"/>
      <c r="BX70" s="716"/>
      <c r="BY70" s="716"/>
      <c r="BZ70" s="717"/>
      <c r="CA70" s="716"/>
      <c r="CB70" s="716"/>
      <c r="CC70" s="716"/>
      <c r="CD70" s="717"/>
      <c r="CE70" s="716"/>
      <c r="CF70" s="716"/>
      <c r="CG70" s="716"/>
      <c r="CH70" s="717"/>
      <c r="CI70" s="716"/>
      <c r="CJ70" s="716"/>
      <c r="CK70" s="716"/>
      <c r="CL70" s="717"/>
      <c r="CM70" s="716">
        <f t="shared" ref="CM70:DV70" si="142">CM68-CL68</f>
        <v>-748</v>
      </c>
      <c r="CN70" s="716">
        <f t="shared" si="142"/>
        <v>-794</v>
      </c>
      <c r="CO70" s="716">
        <f t="shared" si="142"/>
        <v>-680</v>
      </c>
      <c r="CP70" s="717">
        <f t="shared" si="142"/>
        <v>-604</v>
      </c>
      <c r="CQ70" s="716">
        <f t="shared" si="142"/>
        <v>-581</v>
      </c>
      <c r="CR70" s="716">
        <f t="shared" si="142"/>
        <v>-594</v>
      </c>
      <c r="CS70" s="716">
        <f t="shared" si="142"/>
        <v>-543</v>
      </c>
      <c r="CT70" s="717">
        <f t="shared" si="142"/>
        <v>-547</v>
      </c>
      <c r="CU70" s="716">
        <f t="shared" si="142"/>
        <v>-457</v>
      </c>
      <c r="CV70" s="716">
        <f t="shared" si="142"/>
        <v>-478</v>
      </c>
      <c r="CW70" s="718">
        <f t="shared" si="142"/>
        <v>-382</v>
      </c>
      <c r="CX70" s="716">
        <f t="shared" si="142"/>
        <v>-437</v>
      </c>
      <c r="CY70" s="716">
        <f t="shared" si="142"/>
        <v>-422</v>
      </c>
      <c r="CZ70" s="716">
        <f t="shared" si="142"/>
        <v>-431</v>
      </c>
      <c r="DA70" s="716">
        <f t="shared" si="142"/>
        <v>-344</v>
      </c>
      <c r="DB70" s="717">
        <f t="shared" si="142"/>
        <v>-312</v>
      </c>
      <c r="DC70" s="716">
        <f t="shared" si="142"/>
        <v>-363</v>
      </c>
      <c r="DD70" s="716">
        <f t="shared" si="142"/>
        <v>-371</v>
      </c>
      <c r="DE70" s="716">
        <f t="shared" si="142"/>
        <v>-372</v>
      </c>
      <c r="DF70" s="717">
        <f t="shared" si="142"/>
        <v>-352</v>
      </c>
      <c r="DG70" s="1120">
        <f t="shared" si="142"/>
        <v>-342</v>
      </c>
      <c r="DH70" s="1120">
        <f t="shared" si="142"/>
        <v>-302</v>
      </c>
      <c r="DI70" s="718">
        <f t="shared" si="142"/>
        <v>-294</v>
      </c>
      <c r="DJ70" s="717">
        <f t="shared" si="142"/>
        <v>-320</v>
      </c>
      <c r="DK70" s="1120">
        <f t="shared" si="142"/>
        <v>-396</v>
      </c>
      <c r="DL70" s="1120">
        <f t="shared" si="142"/>
        <v>-339</v>
      </c>
      <c r="DM70" s="718">
        <f t="shared" si="142"/>
        <v>-353</v>
      </c>
      <c r="DN70" s="1120">
        <f t="shared" si="142"/>
        <v>-350</v>
      </c>
      <c r="DO70" s="1120">
        <f t="shared" si="142"/>
        <v>-3561</v>
      </c>
      <c r="DP70" s="1120">
        <f t="shared" si="142"/>
        <v>-282</v>
      </c>
      <c r="DQ70" s="718">
        <f t="shared" si="142"/>
        <v>-255</v>
      </c>
      <c r="DR70" s="1120">
        <f t="shared" si="142"/>
        <v>-305</v>
      </c>
      <c r="DS70" s="1120">
        <f t="shared" si="142"/>
        <v>-282</v>
      </c>
      <c r="DT70" s="1120">
        <f t="shared" si="142"/>
        <v>-252</v>
      </c>
      <c r="DU70" s="718">
        <f t="shared" si="142"/>
        <v>-279</v>
      </c>
      <c r="DV70" s="1120">
        <f t="shared" si="142"/>
        <v>-266</v>
      </c>
      <c r="DW70" s="1120">
        <f t="shared" ref="DW70" si="143">DW68-DV68</f>
        <v>-981.0525253043852</v>
      </c>
      <c r="DX70" s="1120">
        <f t="shared" ref="DX70" si="144">DX68-DW68</f>
        <v>-892.81875645126638</v>
      </c>
      <c r="DY70" s="718">
        <f t="shared" ref="DY70" si="145">DY68-DX68</f>
        <v>-813.2652457204058</v>
      </c>
    </row>
    <row r="71" spans="1:130">
      <c r="A71" s="712" t="s">
        <v>451</v>
      </c>
      <c r="B71" s="686"/>
      <c r="C71" s="686"/>
      <c r="D71" s="686"/>
      <c r="E71" s="686"/>
      <c r="F71" s="686"/>
      <c r="G71" s="686"/>
      <c r="H71" s="686"/>
      <c r="I71" s="686"/>
      <c r="J71" s="686"/>
      <c r="K71" s="686"/>
      <c r="L71" s="686"/>
      <c r="M71" s="686"/>
      <c r="N71" s="686"/>
      <c r="O71" s="686"/>
      <c r="P71" s="686"/>
      <c r="Q71" s="1119"/>
      <c r="R71" s="686"/>
      <c r="S71" s="686">
        <f t="shared" ref="S71:AB71" si="146">+S70/R70-1</f>
        <v>-0.19724375538329031</v>
      </c>
      <c r="T71" s="1119">
        <f t="shared" si="146"/>
        <v>-0.12339055793991416</v>
      </c>
      <c r="U71" s="686">
        <f t="shared" si="146"/>
        <v>-0.13219094247246022</v>
      </c>
      <c r="V71" s="686">
        <f t="shared" si="146"/>
        <v>-9.0267983074753144E-2</v>
      </c>
      <c r="W71" s="686">
        <f>+W70/V70-1</f>
        <v>9.1472868217054248E-2</v>
      </c>
      <c r="X71" s="686">
        <f>+X70/W70-1</f>
        <v>2.1590909090909092</v>
      </c>
      <c r="Y71" s="686">
        <f>+Y70/X70-1</f>
        <v>-0.74865107913669071</v>
      </c>
      <c r="Z71" s="686">
        <f>+Z70/Y70-1</f>
        <v>1.6414459100859191</v>
      </c>
      <c r="AA71" s="1119">
        <f t="shared" si="146"/>
        <v>-0.74938857260628433</v>
      </c>
      <c r="AB71" s="1119">
        <f t="shared" si="146"/>
        <v>-0.12433333333333496</v>
      </c>
      <c r="AC71" s="1119">
        <f t="shared" ref="AC71" si="147">+AC70/AB70-1</f>
        <v>-0.12333802816901251</v>
      </c>
      <c r="AD71" s="1119">
        <f t="shared" ref="AD71" si="148">+AD70/AC70-1</f>
        <v>-0.12270149253731455</v>
      </c>
      <c r="AE71" s="1119">
        <f t="shared" ref="AE71" si="149">+AE70/AD70-1</f>
        <v>-0.12249206349206343</v>
      </c>
      <c r="AF71" s="1119">
        <f t="shared" ref="AF71" si="150">+AF70/AE70-1</f>
        <v>-0.12279661016949095</v>
      </c>
      <c r="AG71" s="1119">
        <f t="shared" ref="AG71" si="151">+AG70/AF70-1</f>
        <v>-0.12372727272727424</v>
      </c>
      <c r="AH71" s="1962"/>
      <c r="AI71" s="2159"/>
      <c r="AJ71" s="2159"/>
      <c r="AK71" s="2159"/>
      <c r="AL71" s="2159"/>
      <c r="AM71" s="2159"/>
      <c r="AN71" s="2159"/>
      <c r="AO71" s="2159"/>
      <c r="AP71" s="688"/>
      <c r="AQ71" s="686"/>
      <c r="AR71" s="686"/>
      <c r="AS71" s="686"/>
      <c r="AT71" s="688"/>
      <c r="AU71" s="686"/>
      <c r="AV71" s="686"/>
      <c r="AW71" s="686"/>
      <c r="AX71" s="688"/>
      <c r="AY71" s="686"/>
      <c r="AZ71" s="686"/>
      <c r="BA71" s="686"/>
      <c r="BB71" s="688"/>
      <c r="BC71" s="686"/>
      <c r="BD71" s="686"/>
      <c r="BE71" s="686"/>
      <c r="BF71" s="688"/>
      <c r="BG71" s="686"/>
      <c r="BH71" s="686"/>
      <c r="BI71" s="686"/>
      <c r="BJ71" s="688"/>
      <c r="BK71" s="686"/>
      <c r="BL71" s="686"/>
      <c r="BM71" s="686"/>
      <c r="BN71" s="688"/>
      <c r="BO71" s="686"/>
      <c r="BP71" s="686"/>
      <c r="BQ71" s="686"/>
      <c r="BR71" s="688"/>
      <c r="BS71" s="686"/>
      <c r="BT71" s="686"/>
      <c r="BU71" s="686"/>
      <c r="BV71" s="688"/>
      <c r="BW71" s="686"/>
      <c r="BX71" s="686"/>
      <c r="BY71" s="686"/>
      <c r="BZ71" s="688"/>
      <c r="CA71" s="686"/>
      <c r="CB71" s="686"/>
      <c r="CC71" s="686"/>
      <c r="CD71" s="688"/>
      <c r="CE71" s="686"/>
      <c r="CF71" s="686"/>
      <c r="CG71" s="686"/>
      <c r="CH71" s="688"/>
      <c r="CI71" s="686"/>
      <c r="CJ71" s="686"/>
      <c r="CK71" s="686"/>
      <c r="CL71" s="688"/>
      <c r="CM71" s="686"/>
      <c r="CN71" s="686"/>
      <c r="CO71" s="686"/>
      <c r="CP71" s="687" t="s">
        <v>421</v>
      </c>
      <c r="CQ71" s="686">
        <f t="shared" ref="CQ71:DV71" si="152">+CQ70/CM70-1</f>
        <v>-0.2232620320855615</v>
      </c>
      <c r="CR71" s="686">
        <f t="shared" si="152"/>
        <v>-0.25188916876574308</v>
      </c>
      <c r="CS71" s="686">
        <f t="shared" si="152"/>
        <v>-0.20147058823529407</v>
      </c>
      <c r="CT71" s="688">
        <f t="shared" si="152"/>
        <v>-9.43708609271523E-2</v>
      </c>
      <c r="CU71" s="686">
        <f t="shared" si="152"/>
        <v>-0.21342512908777966</v>
      </c>
      <c r="CV71" s="686">
        <f t="shared" si="152"/>
        <v>-0.19528619528619529</v>
      </c>
      <c r="CW71" s="689">
        <f t="shared" si="152"/>
        <v>-0.2965009208103131</v>
      </c>
      <c r="CX71" s="686">
        <f t="shared" si="152"/>
        <v>-0.20109689213893966</v>
      </c>
      <c r="CY71" s="686">
        <f t="shared" si="152"/>
        <v>-7.6586433260393827E-2</v>
      </c>
      <c r="CZ71" s="686">
        <f t="shared" si="152"/>
        <v>-9.8326359832635934E-2</v>
      </c>
      <c r="DA71" s="686">
        <f t="shared" si="152"/>
        <v>-9.9476439790575966E-2</v>
      </c>
      <c r="DB71" s="688">
        <f t="shared" si="152"/>
        <v>-0.28604118993135008</v>
      </c>
      <c r="DC71" s="686">
        <f t="shared" si="152"/>
        <v>-0.1398104265402843</v>
      </c>
      <c r="DD71" s="686">
        <f t="shared" si="152"/>
        <v>-0.13921113689095133</v>
      </c>
      <c r="DE71" s="686">
        <f t="shared" si="152"/>
        <v>8.1395348837209225E-2</v>
      </c>
      <c r="DF71" s="688">
        <f t="shared" si="152"/>
        <v>0.12820512820512819</v>
      </c>
      <c r="DG71" s="1119">
        <f t="shared" si="152"/>
        <v>-5.7851239669421517E-2</v>
      </c>
      <c r="DH71" s="1119">
        <f t="shared" si="152"/>
        <v>-0.18598382749326148</v>
      </c>
      <c r="DI71" s="689">
        <f t="shared" si="152"/>
        <v>-0.20967741935483875</v>
      </c>
      <c r="DJ71" s="688">
        <f t="shared" si="152"/>
        <v>-9.0909090909090939E-2</v>
      </c>
      <c r="DK71" s="1119">
        <f t="shared" si="152"/>
        <v>0.15789473684210531</v>
      </c>
      <c r="DL71" s="1119">
        <f t="shared" si="152"/>
        <v>0.1225165562913908</v>
      </c>
      <c r="DM71" s="689">
        <f t="shared" si="152"/>
        <v>0.20068027210884343</v>
      </c>
      <c r="DN71" s="1119">
        <f t="shared" si="152"/>
        <v>9.375E-2</v>
      </c>
      <c r="DO71" s="1119">
        <f t="shared" si="152"/>
        <v>7.9924242424242422</v>
      </c>
      <c r="DP71" s="1119">
        <f t="shared" si="152"/>
        <v>-0.16814159292035402</v>
      </c>
      <c r="DQ71" s="689">
        <f t="shared" si="152"/>
        <v>-0.27762039660056659</v>
      </c>
      <c r="DR71" s="1119">
        <f t="shared" si="152"/>
        <v>-0.12857142857142856</v>
      </c>
      <c r="DS71" s="1119">
        <f t="shared" si="152"/>
        <v>-0.92080876158382474</v>
      </c>
      <c r="DT71" s="1119">
        <f t="shared" si="152"/>
        <v>-0.1063829787234043</v>
      </c>
      <c r="DU71" s="689">
        <f t="shared" si="152"/>
        <v>9.4117647058823639E-2</v>
      </c>
      <c r="DV71" s="1119">
        <f t="shared" si="152"/>
        <v>-0.12786885245901636</v>
      </c>
      <c r="DW71" s="1119">
        <f t="shared" ref="DW71" si="153">+DW70/DS70-1</f>
        <v>2.4789096641999473</v>
      </c>
      <c r="DX71" s="1119">
        <f t="shared" ref="DX71" si="154">+DX70/DT70-1</f>
        <v>2.542931573219311</v>
      </c>
      <c r="DY71" s="689">
        <f t="shared" ref="DY71" si="155">+DY70/DU70-1</f>
        <v>1.9149291961304868</v>
      </c>
    </row>
    <row r="72" spans="1:130" s="3318" customFormat="1">
      <c r="A72" s="712"/>
      <c r="B72" s="686"/>
      <c r="C72" s="686"/>
      <c r="D72" s="686"/>
      <c r="E72" s="686"/>
      <c r="F72" s="686"/>
      <c r="G72" s="686"/>
      <c r="H72" s="686"/>
      <c r="I72" s="686"/>
      <c r="J72" s="686"/>
      <c r="K72" s="686"/>
      <c r="L72" s="686"/>
      <c r="M72" s="686"/>
      <c r="N72" s="686"/>
      <c r="O72" s="686"/>
      <c r="P72" s="686"/>
      <c r="Q72" s="1119"/>
      <c r="R72" s="686"/>
      <c r="S72" s="686"/>
      <c r="T72" s="1119"/>
      <c r="U72" s="686"/>
      <c r="V72" s="686"/>
      <c r="W72" s="686"/>
      <c r="X72" s="686"/>
      <c r="Y72" s="686"/>
      <c r="Z72" s="686"/>
      <c r="AA72" s="1119"/>
      <c r="AB72" s="1119"/>
      <c r="AC72" s="1119"/>
      <c r="AD72" s="1119"/>
      <c r="AE72" s="1119"/>
      <c r="AF72" s="1119"/>
      <c r="AG72" s="1119"/>
      <c r="AH72" s="1962"/>
      <c r="AI72" s="2159"/>
      <c r="AJ72" s="2159"/>
      <c r="AK72" s="2159"/>
      <c r="AL72" s="2159"/>
      <c r="AM72" s="2159"/>
      <c r="AN72" s="2159"/>
      <c r="AO72" s="2159"/>
      <c r="AP72" s="688"/>
      <c r="AQ72" s="686"/>
      <c r="AR72" s="686"/>
      <c r="AS72" s="686"/>
      <c r="AT72" s="688"/>
      <c r="AU72" s="686"/>
      <c r="AV72" s="686"/>
      <c r="AW72" s="686"/>
      <c r="AX72" s="688"/>
      <c r="AY72" s="686"/>
      <c r="AZ72" s="686"/>
      <c r="BA72" s="686"/>
      <c r="BB72" s="688"/>
      <c r="BC72" s="686"/>
      <c r="BD72" s="686"/>
      <c r="BE72" s="686"/>
      <c r="BF72" s="688"/>
      <c r="BG72" s="686"/>
      <c r="BH72" s="686"/>
      <c r="BI72" s="686"/>
      <c r="BJ72" s="688"/>
      <c r="BK72" s="686"/>
      <c r="BL72" s="686"/>
      <c r="BM72" s="686"/>
      <c r="BN72" s="688"/>
      <c r="BO72" s="686"/>
      <c r="BP72" s="686"/>
      <c r="BQ72" s="686"/>
      <c r="BR72" s="688"/>
      <c r="BS72" s="686"/>
      <c r="BT72" s="686"/>
      <c r="BU72" s="686"/>
      <c r="BV72" s="688"/>
      <c r="BW72" s="686"/>
      <c r="BX72" s="686"/>
      <c r="BY72" s="686"/>
      <c r="BZ72" s="688"/>
      <c r="CA72" s="686"/>
      <c r="CB72" s="686"/>
      <c r="CC72" s="686"/>
      <c r="CD72" s="688"/>
      <c r="CE72" s="686"/>
      <c r="CF72" s="686"/>
      <c r="CG72" s="686"/>
      <c r="CH72" s="688"/>
      <c r="CI72" s="686"/>
      <c r="CJ72" s="686"/>
      <c r="CK72" s="686"/>
      <c r="CL72" s="688"/>
      <c r="CM72" s="686"/>
      <c r="CN72" s="686"/>
      <c r="CO72" s="686"/>
      <c r="CP72" s="687"/>
      <c r="CQ72" s="686"/>
      <c r="CR72" s="686"/>
      <c r="CS72" s="686"/>
      <c r="CT72" s="688"/>
      <c r="CU72" s="686"/>
      <c r="CV72" s="686"/>
      <c r="CW72" s="689"/>
      <c r="CX72" s="686"/>
      <c r="CY72" s="686"/>
      <c r="CZ72" s="686"/>
      <c r="DA72" s="686"/>
      <c r="DB72" s="688"/>
      <c r="DC72" s="686"/>
      <c r="DD72" s="686"/>
      <c r="DE72" s="686"/>
      <c r="DF72" s="688"/>
      <c r="DG72" s="1119"/>
      <c r="DH72" s="1119"/>
      <c r="DI72" s="689"/>
      <c r="DJ72" s="688"/>
      <c r="DK72" s="1119"/>
      <c r="DL72" s="1119"/>
      <c r="DM72" s="689"/>
      <c r="DN72" s="1119"/>
      <c r="DO72" s="1119"/>
      <c r="DP72" s="1119"/>
      <c r="DQ72" s="689"/>
      <c r="DR72" s="1119"/>
      <c r="DS72" s="1119"/>
      <c r="DT72" s="1119"/>
      <c r="DU72" s="689"/>
      <c r="DV72" s="1119"/>
      <c r="DW72" s="1119"/>
      <c r="DX72" s="1119"/>
      <c r="DY72" s="689"/>
    </row>
    <row r="73" spans="1:130" s="3318" customFormat="1">
      <c r="A73" s="655" t="s">
        <v>1726</v>
      </c>
      <c r="B73" s="686"/>
      <c r="C73" s="686"/>
      <c r="D73" s="686"/>
      <c r="E73" s="686"/>
      <c r="F73" s="686"/>
      <c r="G73" s="686"/>
      <c r="H73" s="686"/>
      <c r="I73" s="686"/>
      <c r="J73" s="686"/>
      <c r="K73" s="686"/>
      <c r="L73" s="686"/>
      <c r="M73" s="686"/>
      <c r="N73" s="686"/>
      <c r="O73" s="686"/>
      <c r="P73" s="686"/>
      <c r="Q73" s="1119"/>
      <c r="R73" s="686"/>
      <c r="S73" s="686"/>
      <c r="T73" s="1119"/>
      <c r="U73" s="686"/>
      <c r="V73" s="686"/>
      <c r="W73" s="686"/>
      <c r="X73" s="686"/>
      <c r="Y73" s="686"/>
      <c r="Z73" s="1118">
        <f>+SUM(DV73:DY73)</f>
        <v>302.89138970791112</v>
      </c>
      <c r="AA73" s="1118">
        <f>+AA74*12*AVERAGE(Z68:AA68)/1000</f>
        <v>245.97999382538165</v>
      </c>
      <c r="AB73" s="1118">
        <f t="shared" ref="AB73:AG73" si="156">+AB74*12*AVERAGE(AA68:AB68)/1000</f>
        <v>221.16415839376623</v>
      </c>
      <c r="AC73" s="1118">
        <f t="shared" si="156"/>
        <v>199.71092432201817</v>
      </c>
      <c r="AD73" s="1118">
        <f t="shared" si="156"/>
        <v>181.11439372645478</v>
      </c>
      <c r="AE73" s="1118">
        <f t="shared" si="156"/>
        <v>164.95299535908461</v>
      </c>
      <c r="AF73" s="1118">
        <f t="shared" si="156"/>
        <v>150.87442717220921</v>
      </c>
      <c r="AG73" s="657">
        <f t="shared" si="156"/>
        <v>138.58346329448509</v>
      </c>
      <c r="AH73" s="1962"/>
      <c r="AI73" s="2159"/>
      <c r="AJ73" s="2159"/>
      <c r="AK73" s="2159"/>
      <c r="AL73" s="2159"/>
      <c r="AM73" s="2159"/>
      <c r="AN73" s="2159"/>
      <c r="AO73" s="2159"/>
      <c r="AP73" s="688"/>
      <c r="AQ73" s="686"/>
      <c r="AR73" s="686"/>
      <c r="AS73" s="686"/>
      <c r="AT73" s="688"/>
      <c r="AU73" s="686"/>
      <c r="AV73" s="686"/>
      <c r="AW73" s="686"/>
      <c r="AX73" s="688"/>
      <c r="AY73" s="686"/>
      <c r="AZ73" s="686"/>
      <c r="BA73" s="686"/>
      <c r="BB73" s="688"/>
      <c r="BC73" s="686"/>
      <c r="BD73" s="686"/>
      <c r="BE73" s="686"/>
      <c r="BF73" s="688"/>
      <c r="BG73" s="686"/>
      <c r="BH73" s="686"/>
      <c r="BI73" s="686"/>
      <c r="BJ73" s="688"/>
      <c r="BK73" s="686"/>
      <c r="BL73" s="686"/>
      <c r="BM73" s="686"/>
      <c r="BN73" s="688"/>
      <c r="BO73" s="686"/>
      <c r="BP73" s="686"/>
      <c r="BQ73" s="686"/>
      <c r="BR73" s="688"/>
      <c r="BS73" s="686"/>
      <c r="BT73" s="686"/>
      <c r="BU73" s="686"/>
      <c r="BV73" s="688"/>
      <c r="BW73" s="686"/>
      <c r="BX73" s="686"/>
      <c r="BY73" s="686"/>
      <c r="BZ73" s="688"/>
      <c r="CA73" s="686"/>
      <c r="CB73" s="686"/>
      <c r="CC73" s="686"/>
      <c r="CD73" s="688"/>
      <c r="CE73" s="686"/>
      <c r="CF73" s="686"/>
      <c r="CG73" s="686"/>
      <c r="CH73" s="688"/>
      <c r="CI73" s="686"/>
      <c r="CJ73" s="686"/>
      <c r="CK73" s="686"/>
      <c r="CL73" s="688"/>
      <c r="CM73" s="686"/>
      <c r="CN73" s="686"/>
      <c r="CO73" s="686"/>
      <c r="CP73" s="687"/>
      <c r="CQ73" s="686"/>
      <c r="CR73" s="686"/>
      <c r="CS73" s="686"/>
      <c r="CT73" s="688"/>
      <c r="CU73" s="686"/>
      <c r="CV73" s="686"/>
      <c r="CW73" s="689"/>
      <c r="CX73" s="686"/>
      <c r="CY73" s="686"/>
      <c r="CZ73" s="686"/>
      <c r="DA73" s="686"/>
      <c r="DB73" s="688"/>
      <c r="DC73" s="686"/>
      <c r="DD73" s="686"/>
      <c r="DE73" s="686"/>
      <c r="DF73" s="688"/>
      <c r="DG73" s="1119"/>
      <c r="DH73" s="1119"/>
      <c r="DI73" s="689"/>
      <c r="DJ73" s="688"/>
      <c r="DK73" s="1119"/>
      <c r="DL73" s="1119"/>
      <c r="DM73" s="689"/>
      <c r="DN73" s="1119"/>
      <c r="DO73" s="1119"/>
      <c r="DP73" s="1119"/>
      <c r="DQ73" s="689"/>
      <c r="DR73" s="1119"/>
      <c r="DS73" s="1119"/>
      <c r="DT73" s="1119"/>
      <c r="DU73" s="689"/>
      <c r="DV73" s="1118">
        <f>+Wireline!DV53-FiOS!DV93-Lines!DV104</f>
        <v>85.652500000000003</v>
      </c>
      <c r="DW73" s="1118">
        <f>+DW74*3*AVERAGE(DV68:DW68)/1000</f>
        <v>79.814414411445398</v>
      </c>
      <c r="DX73" s="1118">
        <f t="shared" ref="DX73:DY73" si="157">+DX74*3*AVERAGE(DW68:DX68)/1000</f>
        <v>72.143650624078063</v>
      </c>
      <c r="DY73" s="657">
        <f t="shared" si="157"/>
        <v>65.280824672387638</v>
      </c>
    </row>
    <row r="74" spans="1:130" s="3318" customFormat="1">
      <c r="A74" s="663" t="s">
        <v>102</v>
      </c>
      <c r="B74" s="686"/>
      <c r="C74" s="686"/>
      <c r="D74" s="686"/>
      <c r="E74" s="686"/>
      <c r="F74" s="686"/>
      <c r="G74" s="686"/>
      <c r="H74" s="686"/>
      <c r="I74" s="686"/>
      <c r="J74" s="686"/>
      <c r="K74" s="686"/>
      <c r="L74" s="686"/>
      <c r="M74" s="686"/>
      <c r="N74" s="686"/>
      <c r="O74" s="686"/>
      <c r="P74" s="686"/>
      <c r="Q74" s="1119"/>
      <c r="R74" s="686"/>
      <c r="S74" s="686"/>
      <c r="T74" s="1119"/>
      <c r="U74" s="686"/>
      <c r="V74" s="686"/>
      <c r="W74" s="686"/>
      <c r="X74" s="686"/>
      <c r="Y74" s="686"/>
      <c r="Z74" s="3424">
        <f>+(Z73/12)/(AVERAGE(Y68:Z68)/1000)</f>
        <v>2.2249637292667872</v>
      </c>
      <c r="AA74" s="3424">
        <f>+Z74*(1+AA75)</f>
        <v>2.1582148173887834</v>
      </c>
      <c r="AB74" s="3424">
        <f t="shared" ref="AB74:AG74" si="158">+AA74*(1+AB75)</f>
        <v>2.09346837286712</v>
      </c>
      <c r="AC74" s="3424">
        <f t="shared" si="158"/>
        <v>2.0306643216811064</v>
      </c>
      <c r="AD74" s="3424">
        <f t="shared" si="158"/>
        <v>1.9697443920306732</v>
      </c>
      <c r="AE74" s="3424">
        <f t="shared" si="158"/>
        <v>1.910652060269753</v>
      </c>
      <c r="AF74" s="3424">
        <f t="shared" si="158"/>
        <v>1.8533324984616604</v>
      </c>
      <c r="AG74" s="3425">
        <f t="shared" si="158"/>
        <v>1.7977325235078105</v>
      </c>
      <c r="AH74" s="1962"/>
      <c r="AI74" s="2159"/>
      <c r="AJ74" s="2159"/>
      <c r="AK74" s="2159"/>
      <c r="AL74" s="2159"/>
      <c r="AM74" s="2159"/>
      <c r="AN74" s="2159"/>
      <c r="AO74" s="2159"/>
      <c r="AP74" s="688"/>
      <c r="AQ74" s="686"/>
      <c r="AR74" s="686"/>
      <c r="AS74" s="686"/>
      <c r="AT74" s="688"/>
      <c r="AU74" s="686"/>
      <c r="AV74" s="686"/>
      <c r="AW74" s="686"/>
      <c r="AX74" s="688"/>
      <c r="AY74" s="686"/>
      <c r="AZ74" s="686"/>
      <c r="BA74" s="686"/>
      <c r="BB74" s="688"/>
      <c r="BC74" s="686"/>
      <c r="BD74" s="686"/>
      <c r="BE74" s="686"/>
      <c r="BF74" s="688"/>
      <c r="BG74" s="686"/>
      <c r="BH74" s="686"/>
      <c r="BI74" s="686"/>
      <c r="BJ74" s="688"/>
      <c r="BK74" s="686"/>
      <c r="BL74" s="686"/>
      <c r="BM74" s="686"/>
      <c r="BN74" s="688"/>
      <c r="BO74" s="686"/>
      <c r="BP74" s="686"/>
      <c r="BQ74" s="686"/>
      <c r="BR74" s="688"/>
      <c r="BS74" s="686"/>
      <c r="BT74" s="686"/>
      <c r="BU74" s="686"/>
      <c r="BV74" s="688"/>
      <c r="BW74" s="686"/>
      <c r="BX74" s="686"/>
      <c r="BY74" s="686"/>
      <c r="BZ74" s="688"/>
      <c r="CA74" s="686"/>
      <c r="CB74" s="686"/>
      <c r="CC74" s="686"/>
      <c r="CD74" s="688"/>
      <c r="CE74" s="686"/>
      <c r="CF74" s="686"/>
      <c r="CG74" s="686"/>
      <c r="CH74" s="688"/>
      <c r="CI74" s="686"/>
      <c r="CJ74" s="686"/>
      <c r="CK74" s="686"/>
      <c r="CL74" s="688"/>
      <c r="CM74" s="686"/>
      <c r="CN74" s="686"/>
      <c r="CO74" s="686"/>
      <c r="CP74" s="687"/>
      <c r="CQ74" s="686"/>
      <c r="CR74" s="686"/>
      <c r="CS74" s="686"/>
      <c r="CT74" s="688"/>
      <c r="CU74" s="686"/>
      <c r="CV74" s="686"/>
      <c r="CW74" s="689"/>
      <c r="CX74" s="686"/>
      <c r="CY74" s="686"/>
      <c r="CZ74" s="686"/>
      <c r="DA74" s="686"/>
      <c r="DB74" s="688"/>
      <c r="DC74" s="686"/>
      <c r="DD74" s="686"/>
      <c r="DE74" s="686"/>
      <c r="DF74" s="688"/>
      <c r="DG74" s="1119"/>
      <c r="DH74" s="1119"/>
      <c r="DI74" s="689"/>
      <c r="DJ74" s="688"/>
      <c r="DK74" s="1119"/>
      <c r="DL74" s="1119"/>
      <c r="DM74" s="689"/>
      <c r="DN74" s="1119"/>
      <c r="DO74" s="1119"/>
      <c r="DP74" s="1119"/>
      <c r="DQ74" s="689"/>
      <c r="DR74" s="1119"/>
      <c r="DS74" s="1119"/>
      <c r="DT74" s="1119"/>
      <c r="DU74" s="689"/>
      <c r="DV74" s="3424">
        <f>+(DV73/3)/(AVERAGE(DU68:DV68)/1000)</f>
        <v>2.2502233081126524</v>
      </c>
      <c r="DW74" s="3424">
        <f>+DV74*(1+DW75)</f>
        <v>2.2052188419503991</v>
      </c>
      <c r="DX74" s="3424">
        <f t="shared" ref="DX74:DY74" si="159">+DW74*(1+DX75)</f>
        <v>2.1611144651113912</v>
      </c>
      <c r="DY74" s="3425">
        <f t="shared" si="159"/>
        <v>2.1178921758091631</v>
      </c>
    </row>
    <row r="75" spans="1:130" s="3318" customFormat="1">
      <c r="A75" s="663" t="s">
        <v>432</v>
      </c>
      <c r="B75" s="686"/>
      <c r="C75" s="686"/>
      <c r="D75" s="686"/>
      <c r="E75" s="686"/>
      <c r="F75" s="686"/>
      <c r="G75" s="686"/>
      <c r="H75" s="686"/>
      <c r="I75" s="686"/>
      <c r="J75" s="686"/>
      <c r="K75" s="686"/>
      <c r="L75" s="686"/>
      <c r="M75" s="686"/>
      <c r="N75" s="686"/>
      <c r="O75" s="686"/>
      <c r="P75" s="686"/>
      <c r="Q75" s="1119"/>
      <c r="R75" s="686"/>
      <c r="S75" s="686"/>
      <c r="T75" s="1119"/>
      <c r="U75" s="686"/>
      <c r="V75" s="686"/>
      <c r="W75" s="686"/>
      <c r="X75" s="686"/>
      <c r="Y75" s="686"/>
      <c r="Z75" s="3422"/>
      <c r="AA75" s="3422">
        <v>-0.03</v>
      </c>
      <c r="AB75" s="3422">
        <v>-0.03</v>
      </c>
      <c r="AC75" s="3422">
        <v>-0.03</v>
      </c>
      <c r="AD75" s="3422">
        <v>-0.03</v>
      </c>
      <c r="AE75" s="3422">
        <v>-0.03</v>
      </c>
      <c r="AF75" s="3422">
        <v>-0.03</v>
      </c>
      <c r="AG75" s="3423">
        <v>-0.03</v>
      </c>
      <c r="AH75" s="1962"/>
      <c r="AI75" s="2159"/>
      <c r="AJ75" s="2159"/>
      <c r="AK75" s="2159"/>
      <c r="AL75" s="2159"/>
      <c r="AM75" s="2159"/>
      <c r="AN75" s="2159"/>
      <c r="AO75" s="2159"/>
      <c r="AP75" s="688"/>
      <c r="AQ75" s="686"/>
      <c r="AR75" s="686"/>
      <c r="AS75" s="686"/>
      <c r="AT75" s="688"/>
      <c r="AU75" s="686"/>
      <c r="AV75" s="686"/>
      <c r="AW75" s="686"/>
      <c r="AX75" s="688"/>
      <c r="AY75" s="686"/>
      <c r="AZ75" s="686"/>
      <c r="BA75" s="686"/>
      <c r="BB75" s="688"/>
      <c r="BC75" s="686"/>
      <c r="BD75" s="686"/>
      <c r="BE75" s="686"/>
      <c r="BF75" s="688"/>
      <c r="BG75" s="686"/>
      <c r="BH75" s="686"/>
      <c r="BI75" s="686"/>
      <c r="BJ75" s="688"/>
      <c r="BK75" s="686"/>
      <c r="BL75" s="686"/>
      <c r="BM75" s="686"/>
      <c r="BN75" s="688"/>
      <c r="BO75" s="686"/>
      <c r="BP75" s="686"/>
      <c r="BQ75" s="686"/>
      <c r="BR75" s="688"/>
      <c r="BS75" s="686"/>
      <c r="BT75" s="686"/>
      <c r="BU75" s="686"/>
      <c r="BV75" s="688"/>
      <c r="BW75" s="686"/>
      <c r="BX75" s="686"/>
      <c r="BY75" s="686"/>
      <c r="BZ75" s="688"/>
      <c r="CA75" s="686"/>
      <c r="CB75" s="686"/>
      <c r="CC75" s="686"/>
      <c r="CD75" s="688"/>
      <c r="CE75" s="686"/>
      <c r="CF75" s="686"/>
      <c r="CG75" s="686"/>
      <c r="CH75" s="688"/>
      <c r="CI75" s="686"/>
      <c r="CJ75" s="686"/>
      <c r="CK75" s="686"/>
      <c r="CL75" s="688"/>
      <c r="CM75" s="686"/>
      <c r="CN75" s="686"/>
      <c r="CO75" s="686"/>
      <c r="CP75" s="687"/>
      <c r="CQ75" s="686"/>
      <c r="CR75" s="686"/>
      <c r="CS75" s="686"/>
      <c r="CT75" s="688"/>
      <c r="CU75" s="686"/>
      <c r="CV75" s="686"/>
      <c r="CW75" s="689"/>
      <c r="CX75" s="686"/>
      <c r="CY75" s="686"/>
      <c r="CZ75" s="686"/>
      <c r="DA75" s="686"/>
      <c r="DB75" s="688"/>
      <c r="DC75" s="686"/>
      <c r="DD75" s="686"/>
      <c r="DE75" s="686"/>
      <c r="DF75" s="688"/>
      <c r="DG75" s="1119"/>
      <c r="DH75" s="1119"/>
      <c r="DI75" s="689"/>
      <c r="DJ75" s="688"/>
      <c r="DK75" s="1119"/>
      <c r="DL75" s="1119"/>
      <c r="DM75" s="689"/>
      <c r="DN75" s="1119"/>
      <c r="DO75" s="1119"/>
      <c r="DP75" s="1119"/>
      <c r="DQ75" s="689"/>
      <c r="DR75" s="1119"/>
      <c r="DS75" s="1119"/>
      <c r="DT75" s="1119"/>
      <c r="DU75" s="689"/>
      <c r="DV75" s="3422">
        <v>0</v>
      </c>
      <c r="DW75" s="3422">
        <v>-0.02</v>
      </c>
      <c r="DX75" s="3422">
        <v>-0.02</v>
      </c>
      <c r="DY75" s="3423">
        <v>-0.02</v>
      </c>
    </row>
    <row r="76" spans="1:130" hidden="1" outlineLevel="1">
      <c r="A76" s="704" t="s">
        <v>453</v>
      </c>
      <c r="B76" s="458"/>
      <c r="C76" s="458"/>
      <c r="D76" s="458"/>
      <c r="E76" s="460">
        <f>E64-E36-E61</f>
        <v>58078</v>
      </c>
      <c r="F76" s="460">
        <f>F64-F36-F61</f>
        <v>60094</v>
      </c>
      <c r="G76" s="460">
        <f>G64-G36-G61</f>
        <v>59521.819000000003</v>
      </c>
      <c r="H76" s="460">
        <f>H64-H36-H61</f>
        <v>57473</v>
      </c>
      <c r="I76" s="460">
        <f>I64-I36-I61</f>
        <v>55964</v>
      </c>
      <c r="J76" s="460">
        <f>J64-J36</f>
        <v>53739</v>
      </c>
      <c r="K76" s="460">
        <f>K64-K36</f>
        <v>49065</v>
      </c>
      <c r="L76" s="460">
        <f>L64-L36</f>
        <v>45713</v>
      </c>
      <c r="M76" s="460">
        <f>M64-M36</f>
        <v>43285</v>
      </c>
      <c r="N76" s="460">
        <f t="shared" ref="N76:V76" si="160">N64-N36-N61</f>
        <v>39701</v>
      </c>
      <c r="O76" s="460">
        <f t="shared" si="160"/>
        <v>31469</v>
      </c>
      <c r="P76" s="460">
        <f t="shared" si="160"/>
        <v>28788.531999999999</v>
      </c>
      <c r="Q76" s="1114">
        <f t="shared" si="160"/>
        <v>25949</v>
      </c>
      <c r="R76" s="460">
        <f t="shared" si="160"/>
        <v>25184</v>
      </c>
      <c r="S76" s="460">
        <f t="shared" si="160"/>
        <v>22253</v>
      </c>
      <c r="T76" s="1114">
        <f t="shared" si="160"/>
        <v>19276</v>
      </c>
      <c r="U76" s="460">
        <f t="shared" si="160"/>
        <v>16837</v>
      </c>
      <c r="V76" s="460">
        <f t="shared" si="160"/>
        <v>15193</v>
      </c>
      <c r="W76" s="460">
        <f>W64-W36-W61</f>
        <v>13633</v>
      </c>
      <c r="X76" s="460">
        <f>X64-X36-X61</f>
        <v>10044</v>
      </c>
      <c r="Y76" s="460">
        <f>Y64-Y36-Y61</f>
        <v>8916</v>
      </c>
      <c r="Z76" s="460">
        <f>Z64-Z36-Z61</f>
        <v>0</v>
      </c>
      <c r="AA76" s="1114"/>
      <c r="AB76" s="1114"/>
      <c r="AC76" s="1114"/>
      <c r="AD76" s="1114"/>
      <c r="AE76" s="1114"/>
      <c r="AF76" s="1114"/>
      <c r="AG76" s="1114"/>
      <c r="AH76" s="2132"/>
      <c r="AI76"/>
      <c r="AJ76"/>
      <c r="AK76"/>
      <c r="AL76"/>
      <c r="AM76"/>
      <c r="AN76"/>
      <c r="AO76"/>
      <c r="AP76" s="459">
        <f t="shared" ref="AP76:BU76" si="161">AP64-AP36-AP61</f>
        <v>56310</v>
      </c>
      <c r="AQ76" s="460">
        <f t="shared" si="161"/>
        <v>56895</v>
      </c>
      <c r="AR76" s="460">
        <f t="shared" si="161"/>
        <v>57457</v>
      </c>
      <c r="AS76" s="460">
        <f t="shared" si="161"/>
        <v>58078</v>
      </c>
      <c r="AT76" s="459">
        <f t="shared" si="161"/>
        <v>58694</v>
      </c>
      <c r="AU76" s="460">
        <f t="shared" si="161"/>
        <v>59122</v>
      </c>
      <c r="AV76" s="460">
        <f t="shared" si="161"/>
        <v>59738</v>
      </c>
      <c r="AW76" s="460">
        <f t="shared" si="161"/>
        <v>60094</v>
      </c>
      <c r="AX76" s="459">
        <f t="shared" si="161"/>
        <v>59076.828999999998</v>
      </c>
      <c r="AY76" s="460">
        <f t="shared" si="161"/>
        <v>59255.784</v>
      </c>
      <c r="AZ76" s="460">
        <f t="shared" si="161"/>
        <v>59529.085000000006</v>
      </c>
      <c r="BA76" s="460">
        <f t="shared" si="161"/>
        <v>59534.831000000006</v>
      </c>
      <c r="BB76" s="459">
        <f t="shared" si="161"/>
        <v>58258.773999999998</v>
      </c>
      <c r="BC76" s="460">
        <f t="shared" si="161"/>
        <v>57950.711000000003</v>
      </c>
      <c r="BD76" s="460">
        <f t="shared" si="161"/>
        <v>57748</v>
      </c>
      <c r="BE76" s="460">
        <f t="shared" si="161"/>
        <v>57473</v>
      </c>
      <c r="BF76" s="459">
        <f t="shared" si="161"/>
        <v>57402</v>
      </c>
      <c r="BG76" s="460">
        <f t="shared" si="161"/>
        <v>56892</v>
      </c>
      <c r="BH76" s="460">
        <f t="shared" si="161"/>
        <v>56493</v>
      </c>
      <c r="BI76" s="460">
        <f t="shared" si="161"/>
        <v>55964</v>
      </c>
      <c r="BJ76" s="459">
        <f t="shared" si="161"/>
        <v>55548</v>
      </c>
      <c r="BK76" s="460">
        <f t="shared" si="161"/>
        <v>54717</v>
      </c>
      <c r="BL76" s="460">
        <f t="shared" si="161"/>
        <v>54030</v>
      </c>
      <c r="BM76" s="460">
        <f t="shared" si="161"/>
        <v>53217</v>
      </c>
      <c r="BN76" s="459">
        <f t="shared" si="161"/>
        <v>51686</v>
      </c>
      <c r="BO76" s="460">
        <f t="shared" si="161"/>
        <v>50559</v>
      </c>
      <c r="BP76" s="460">
        <f t="shared" si="161"/>
        <v>49594</v>
      </c>
      <c r="BQ76" s="460">
        <f t="shared" si="161"/>
        <v>48610</v>
      </c>
      <c r="BR76" s="459">
        <f t="shared" si="161"/>
        <v>47650</v>
      </c>
      <c r="BS76" s="460">
        <f t="shared" si="161"/>
        <v>46617</v>
      </c>
      <c r="BT76" s="460">
        <f t="shared" si="161"/>
        <v>45892</v>
      </c>
      <c r="BU76" s="460">
        <f t="shared" si="161"/>
        <v>45292</v>
      </c>
      <c r="BV76" s="459">
        <f t="shared" ref="BV76:CO76" si="162">BV64-BV36-BV61</f>
        <v>44740</v>
      </c>
      <c r="BW76" s="460">
        <f t="shared" si="162"/>
        <v>44111</v>
      </c>
      <c r="BX76" s="460">
        <f t="shared" si="162"/>
        <v>43448</v>
      </c>
      <c r="BY76" s="460">
        <f t="shared" si="162"/>
        <v>42893</v>
      </c>
      <c r="BZ76" s="459">
        <f t="shared" si="162"/>
        <v>41964</v>
      </c>
      <c r="CA76" s="460">
        <f t="shared" si="162"/>
        <v>41169</v>
      </c>
      <c r="CB76" s="460">
        <f t="shared" si="162"/>
        <v>40414</v>
      </c>
      <c r="CC76" s="460">
        <f t="shared" si="162"/>
        <v>39701</v>
      </c>
      <c r="CD76" s="459">
        <f t="shared" si="162"/>
        <v>38946</v>
      </c>
      <c r="CE76" s="460">
        <f t="shared" si="162"/>
        <v>38275</v>
      </c>
      <c r="CF76" s="460">
        <f t="shared" si="162"/>
        <v>37479</v>
      </c>
      <c r="CG76" s="460">
        <f t="shared" si="162"/>
        <v>31469</v>
      </c>
      <c r="CH76" s="459">
        <f t="shared" si="162"/>
        <v>30839</v>
      </c>
      <c r="CI76" s="460">
        <f t="shared" si="162"/>
        <v>30177.679054054053</v>
      </c>
      <c r="CJ76" s="460">
        <f t="shared" si="162"/>
        <v>29446.023728813561</v>
      </c>
      <c r="CK76" s="460">
        <f t="shared" si="162"/>
        <v>28788.531999999999</v>
      </c>
      <c r="CL76" s="459">
        <f t="shared" si="162"/>
        <v>28036</v>
      </c>
      <c r="CM76" s="460">
        <f t="shared" si="162"/>
        <v>27348</v>
      </c>
      <c r="CN76" s="460">
        <f t="shared" si="162"/>
        <v>26598</v>
      </c>
      <c r="CO76" s="460">
        <f t="shared" si="162"/>
        <v>25949</v>
      </c>
      <c r="CP76" s="459"/>
      <c r="CQ76" s="460"/>
      <c r="CR76" s="460"/>
      <c r="CS76" s="460"/>
      <c r="CT76" s="459"/>
      <c r="CU76" s="460"/>
      <c r="CV76" s="460"/>
      <c r="CW76" s="461"/>
      <c r="CX76" s="460"/>
      <c r="CY76" s="460"/>
      <c r="CZ76" s="460"/>
      <c r="DA76" s="460"/>
      <c r="DB76" s="459"/>
      <c r="DC76" s="460"/>
      <c r="DD76" s="460"/>
      <c r="DE76" s="460"/>
      <c r="DF76" s="459"/>
      <c r="DG76" s="1114"/>
      <c r="DH76" s="1114"/>
      <c r="DI76" s="461"/>
      <c r="DJ76" s="459"/>
      <c r="DK76" s="1114"/>
      <c r="DL76" s="1114"/>
      <c r="DM76" s="461"/>
      <c r="DN76" s="1114"/>
      <c r="DO76" s="1114"/>
      <c r="DP76" s="1114"/>
      <c r="DQ76" s="461"/>
      <c r="DR76" s="1114"/>
      <c r="DS76" s="1114"/>
      <c r="DT76" s="1114"/>
      <c r="DU76" s="461"/>
      <c r="DV76" s="1114"/>
      <c r="DW76" s="1114"/>
      <c r="DX76" s="1114"/>
      <c r="DY76" s="461"/>
    </row>
    <row r="77" spans="1:130" hidden="1" outlineLevel="1">
      <c r="A77" s="705" t="s">
        <v>432</v>
      </c>
      <c r="B77" s="259"/>
      <c r="C77" s="259"/>
      <c r="D77" s="259"/>
      <c r="E77" s="261"/>
      <c r="F77" s="259"/>
      <c r="G77" s="259"/>
      <c r="H77" s="259"/>
      <c r="I77" s="259"/>
      <c r="J77" s="259">
        <f t="shared" ref="J77:Z77" si="163">J76/I76-1</f>
        <v>-3.9757701379458221E-2</v>
      </c>
      <c r="K77" s="259">
        <f t="shared" si="163"/>
        <v>-8.6975939261988544E-2</v>
      </c>
      <c r="L77" s="259">
        <f t="shared" si="163"/>
        <v>-6.8317537959849184E-2</v>
      </c>
      <c r="M77" s="259">
        <f t="shared" si="163"/>
        <v>-5.3113993831076511E-2</v>
      </c>
      <c r="N77" s="259">
        <f t="shared" si="163"/>
        <v>-8.2800046205382949E-2</v>
      </c>
      <c r="O77" s="259">
        <f t="shared" si="163"/>
        <v>-0.20734994080753633</v>
      </c>
      <c r="P77" s="259">
        <f t="shared" si="163"/>
        <v>-8.51780482379485E-2</v>
      </c>
      <c r="Q77" s="1115">
        <f t="shared" si="163"/>
        <v>-9.8634136676368223E-2</v>
      </c>
      <c r="R77" s="259">
        <f t="shared" si="163"/>
        <v>-2.9480904851824752E-2</v>
      </c>
      <c r="S77" s="259">
        <f t="shared" si="163"/>
        <v>-0.11638341804320207</v>
      </c>
      <c r="T77" s="1115">
        <f t="shared" si="163"/>
        <v>-0.13377971509459397</v>
      </c>
      <c r="U77" s="259">
        <f t="shared" si="163"/>
        <v>-0.12653040049802866</v>
      </c>
      <c r="V77" s="259">
        <f t="shared" si="163"/>
        <v>-9.7642097760883728E-2</v>
      </c>
      <c r="W77" s="259">
        <f t="shared" si="163"/>
        <v>-0.10267886526689918</v>
      </c>
      <c r="X77" s="259">
        <f t="shared" si="163"/>
        <v>-0.2632582703733588</v>
      </c>
      <c r="Y77" s="259">
        <f t="shared" si="163"/>
        <v>-0.1123058542413381</v>
      </c>
      <c r="Z77" s="259">
        <f t="shared" si="163"/>
        <v>-1</v>
      </c>
      <c r="AA77" s="1115"/>
      <c r="AB77" s="1115"/>
      <c r="AC77" s="1115"/>
      <c r="AD77" s="1115"/>
      <c r="AE77" s="1115"/>
      <c r="AF77" s="1115"/>
      <c r="AG77" s="1115"/>
      <c r="AH77" s="2132"/>
      <c r="AI77"/>
      <c r="AJ77"/>
      <c r="AK77"/>
      <c r="AL77"/>
      <c r="AM77"/>
      <c r="AN77"/>
      <c r="AO77"/>
      <c r="AP77" s="706"/>
      <c r="AQ77" s="261"/>
      <c r="AR77" s="261"/>
      <c r="AS77" s="261"/>
      <c r="AT77" s="467"/>
      <c r="AU77" s="259"/>
      <c r="AV77" s="259"/>
      <c r="AW77" s="259"/>
      <c r="AX77" s="467"/>
      <c r="AY77" s="259"/>
      <c r="AZ77" s="259"/>
      <c r="BA77" s="259"/>
      <c r="BB77" s="467"/>
      <c r="BC77" s="259"/>
      <c r="BD77" s="259"/>
      <c r="BE77" s="259"/>
      <c r="BF77" s="467"/>
      <c r="BG77" s="259"/>
      <c r="BH77" s="259"/>
      <c r="BI77" s="259"/>
      <c r="BJ77" s="467">
        <f t="shared" ref="BJ77:CO77" si="164">BJ76/BF76-1</f>
        <v>-3.2298526183756615E-2</v>
      </c>
      <c r="BK77" s="259">
        <f t="shared" si="164"/>
        <v>-3.8230331153765063E-2</v>
      </c>
      <c r="BL77" s="259">
        <f t="shared" si="164"/>
        <v>-4.3598321915989557E-2</v>
      </c>
      <c r="BM77" s="259">
        <f t="shared" si="164"/>
        <v>-4.9085126152526581E-2</v>
      </c>
      <c r="BN77" s="467">
        <f t="shared" si="164"/>
        <v>-6.9525455461942776E-2</v>
      </c>
      <c r="BO77" s="259">
        <f t="shared" si="164"/>
        <v>-7.5991008278962657E-2</v>
      </c>
      <c r="BP77" s="259">
        <f t="shared" si="164"/>
        <v>-8.2102535628354567E-2</v>
      </c>
      <c r="BQ77" s="259">
        <f t="shared" si="164"/>
        <v>-8.6570080989157638E-2</v>
      </c>
      <c r="BR77" s="467">
        <f t="shared" si="164"/>
        <v>-7.8086909414541661E-2</v>
      </c>
      <c r="BS77" s="259">
        <f t="shared" si="164"/>
        <v>-7.7968314246721682E-2</v>
      </c>
      <c r="BT77" s="259">
        <f t="shared" si="164"/>
        <v>-7.4646126547566194E-2</v>
      </c>
      <c r="BU77" s="259">
        <f t="shared" si="164"/>
        <v>-6.8257560172803933E-2</v>
      </c>
      <c r="BV77" s="467">
        <f t="shared" si="164"/>
        <v>-6.1070304302203615E-2</v>
      </c>
      <c r="BW77" s="259">
        <f t="shared" si="164"/>
        <v>-5.3757213033871709E-2</v>
      </c>
      <c r="BX77" s="259">
        <f t="shared" si="164"/>
        <v>-5.3255469362851859E-2</v>
      </c>
      <c r="BY77" s="259">
        <f t="shared" si="164"/>
        <v>-5.2967411463393121E-2</v>
      </c>
      <c r="BZ77" s="467">
        <f t="shared" si="164"/>
        <v>-6.2047384890478341E-2</v>
      </c>
      <c r="CA77" s="259">
        <f t="shared" si="164"/>
        <v>-6.6695382104237089E-2</v>
      </c>
      <c r="CB77" s="259">
        <f t="shared" si="164"/>
        <v>-6.9830602099061001E-2</v>
      </c>
      <c r="CC77" s="259">
        <f t="shared" si="164"/>
        <v>-7.4417737159909514E-2</v>
      </c>
      <c r="CD77" s="467">
        <f t="shared" si="164"/>
        <v>-7.1918787532170403E-2</v>
      </c>
      <c r="CE77" s="259">
        <f t="shared" si="164"/>
        <v>-7.0295610775097717E-2</v>
      </c>
      <c r="CF77" s="259">
        <f t="shared" si="164"/>
        <v>-7.2623348344633021E-2</v>
      </c>
      <c r="CG77" s="259">
        <f t="shared" si="164"/>
        <v>-0.20734994080753633</v>
      </c>
      <c r="CH77" s="467">
        <f t="shared" si="164"/>
        <v>-0.20816001643300985</v>
      </c>
      <c r="CI77" s="259">
        <f t="shared" si="164"/>
        <v>-0.21155639310113517</v>
      </c>
      <c r="CJ77" s="259">
        <f t="shared" si="164"/>
        <v>-0.2143327268920312</v>
      </c>
      <c r="CK77" s="259">
        <f t="shared" si="164"/>
        <v>-8.51780482379485E-2</v>
      </c>
      <c r="CL77" s="467">
        <f t="shared" si="164"/>
        <v>-9.0891403742014987E-2</v>
      </c>
      <c r="CM77" s="259">
        <f t="shared" si="164"/>
        <v>-9.3767285714237758E-2</v>
      </c>
      <c r="CN77" s="259">
        <f t="shared" si="164"/>
        <v>-9.6720146497291215E-2</v>
      </c>
      <c r="CO77" s="259">
        <f t="shared" si="164"/>
        <v>-9.8634136676368223E-2</v>
      </c>
      <c r="CP77" s="467"/>
      <c r="CQ77" s="259"/>
      <c r="CR77" s="259"/>
      <c r="CS77" s="259"/>
      <c r="CT77" s="467"/>
      <c r="CU77" s="259"/>
      <c r="CV77" s="259"/>
      <c r="CW77" s="468"/>
      <c r="CX77" s="259"/>
      <c r="CY77" s="259"/>
      <c r="CZ77" s="259"/>
      <c r="DA77" s="259"/>
      <c r="DB77" s="467"/>
      <c r="DC77" s="259"/>
      <c r="DD77" s="259"/>
      <c r="DE77" s="259"/>
      <c r="DF77" s="467"/>
      <c r="DG77" s="1115"/>
      <c r="DH77" s="1115"/>
      <c r="DI77" s="468"/>
      <c r="DJ77" s="467"/>
      <c r="DK77" s="1115"/>
      <c r="DL77" s="1115"/>
      <c r="DM77" s="468"/>
      <c r="DN77" s="1115"/>
      <c r="DO77" s="1115"/>
      <c r="DP77" s="1115"/>
      <c r="DQ77" s="468"/>
      <c r="DR77" s="1115"/>
      <c r="DS77" s="1115"/>
      <c r="DT77" s="1115"/>
      <c r="DU77" s="468"/>
      <c r="DV77" s="1115"/>
      <c r="DW77" s="1115"/>
      <c r="DX77" s="1115"/>
      <c r="DY77" s="468"/>
    </row>
    <row r="78" spans="1:130" hidden="1" outlineLevel="1">
      <c r="A78" s="705" t="s">
        <v>419</v>
      </c>
      <c r="B78" s="259"/>
      <c r="C78" s="259"/>
      <c r="D78" s="259"/>
      <c r="E78" s="261"/>
      <c r="F78" s="261"/>
      <c r="G78" s="261"/>
      <c r="H78" s="261"/>
      <c r="I78" s="261"/>
      <c r="J78" s="261">
        <f t="shared" ref="J78:Z78" si="165">J76-I76</f>
        <v>-2225</v>
      </c>
      <c r="K78" s="261">
        <f t="shared" si="165"/>
        <v>-4674</v>
      </c>
      <c r="L78" s="261">
        <f t="shared" si="165"/>
        <v>-3352</v>
      </c>
      <c r="M78" s="261">
        <f t="shared" si="165"/>
        <v>-2428</v>
      </c>
      <c r="N78" s="261">
        <f t="shared" si="165"/>
        <v>-3584</v>
      </c>
      <c r="O78" s="261">
        <f t="shared" si="165"/>
        <v>-8232</v>
      </c>
      <c r="P78" s="261">
        <f t="shared" si="165"/>
        <v>-2680.4680000000008</v>
      </c>
      <c r="Q78" s="1116">
        <f t="shared" si="165"/>
        <v>-2839.5319999999992</v>
      </c>
      <c r="R78" s="261">
        <f t="shared" si="165"/>
        <v>-765</v>
      </c>
      <c r="S78" s="261">
        <f t="shared" si="165"/>
        <v>-2931</v>
      </c>
      <c r="T78" s="1116">
        <f t="shared" si="165"/>
        <v>-2977</v>
      </c>
      <c r="U78" s="261">
        <f t="shared" si="165"/>
        <v>-2439</v>
      </c>
      <c r="V78" s="261">
        <f t="shared" si="165"/>
        <v>-1644</v>
      </c>
      <c r="W78" s="261">
        <f t="shared" si="165"/>
        <v>-1560</v>
      </c>
      <c r="X78" s="261">
        <f t="shared" si="165"/>
        <v>-3589</v>
      </c>
      <c r="Y78" s="261">
        <f t="shared" si="165"/>
        <v>-1128</v>
      </c>
      <c r="Z78" s="261">
        <f t="shared" si="165"/>
        <v>-8916</v>
      </c>
      <c r="AA78" s="1116"/>
      <c r="AB78" s="1116"/>
      <c r="AC78" s="1116"/>
      <c r="AD78" s="1116"/>
      <c r="AE78" s="1116"/>
      <c r="AF78" s="1116"/>
      <c r="AG78" s="1116"/>
      <c r="AH78" s="2132"/>
      <c r="AI78"/>
      <c r="AJ78"/>
      <c r="AK78"/>
      <c r="AL78"/>
      <c r="AM78"/>
      <c r="AN78"/>
      <c r="AO78"/>
      <c r="AP78" s="706"/>
      <c r="AQ78" s="261"/>
      <c r="AR78" s="261"/>
      <c r="AS78" s="261"/>
      <c r="AT78" s="706"/>
      <c r="AU78" s="261"/>
      <c r="AV78" s="261"/>
      <c r="AW78" s="261"/>
      <c r="AX78" s="706"/>
      <c r="AY78" s="261"/>
      <c r="AZ78" s="261"/>
      <c r="BA78" s="261"/>
      <c r="BB78" s="706"/>
      <c r="BC78" s="261"/>
      <c r="BD78" s="261"/>
      <c r="BE78" s="261"/>
      <c r="BF78" s="706"/>
      <c r="BG78" s="261"/>
      <c r="BH78" s="261"/>
      <c r="BI78" s="261"/>
      <c r="BJ78" s="706">
        <f t="shared" ref="BJ78:CO78" si="166">BJ76-BI76</f>
        <v>-416</v>
      </c>
      <c r="BK78" s="261">
        <f t="shared" si="166"/>
        <v>-831</v>
      </c>
      <c r="BL78" s="261">
        <f t="shared" si="166"/>
        <v>-687</v>
      </c>
      <c r="BM78" s="261">
        <f t="shared" si="166"/>
        <v>-813</v>
      </c>
      <c r="BN78" s="706">
        <f t="shared" si="166"/>
        <v>-1531</v>
      </c>
      <c r="BO78" s="261">
        <f t="shared" si="166"/>
        <v>-1127</v>
      </c>
      <c r="BP78" s="261">
        <f t="shared" si="166"/>
        <v>-965</v>
      </c>
      <c r="BQ78" s="261">
        <f t="shared" si="166"/>
        <v>-984</v>
      </c>
      <c r="BR78" s="706">
        <f t="shared" si="166"/>
        <v>-960</v>
      </c>
      <c r="BS78" s="261">
        <f t="shared" si="166"/>
        <v>-1033</v>
      </c>
      <c r="BT78" s="261">
        <f t="shared" si="166"/>
        <v>-725</v>
      </c>
      <c r="BU78" s="261">
        <f t="shared" si="166"/>
        <v>-600</v>
      </c>
      <c r="BV78" s="706">
        <f t="shared" si="166"/>
        <v>-552</v>
      </c>
      <c r="BW78" s="261">
        <f t="shared" si="166"/>
        <v>-629</v>
      </c>
      <c r="BX78" s="261">
        <f t="shared" si="166"/>
        <v>-663</v>
      </c>
      <c r="BY78" s="261">
        <f t="shared" si="166"/>
        <v>-555</v>
      </c>
      <c r="BZ78" s="706">
        <f t="shared" si="166"/>
        <v>-929</v>
      </c>
      <c r="CA78" s="261">
        <f t="shared" si="166"/>
        <v>-795</v>
      </c>
      <c r="CB78" s="261">
        <f t="shared" si="166"/>
        <v>-755</v>
      </c>
      <c r="CC78" s="261">
        <f t="shared" si="166"/>
        <v>-713</v>
      </c>
      <c r="CD78" s="706">
        <f t="shared" si="166"/>
        <v>-755</v>
      </c>
      <c r="CE78" s="261">
        <f t="shared" si="166"/>
        <v>-671</v>
      </c>
      <c r="CF78" s="261">
        <f t="shared" si="166"/>
        <v>-796</v>
      </c>
      <c r="CG78" s="261">
        <f t="shared" si="166"/>
        <v>-6010</v>
      </c>
      <c r="CH78" s="706">
        <f t="shared" si="166"/>
        <v>-630</v>
      </c>
      <c r="CI78" s="261">
        <f t="shared" si="166"/>
        <v>-661.32094594594673</v>
      </c>
      <c r="CJ78" s="261">
        <f t="shared" si="166"/>
        <v>-731.65532524049195</v>
      </c>
      <c r="CK78" s="261">
        <f t="shared" si="166"/>
        <v>-657.49172881356208</v>
      </c>
      <c r="CL78" s="706">
        <f t="shared" si="166"/>
        <v>-752.53199999999924</v>
      </c>
      <c r="CM78" s="261">
        <f t="shared" si="166"/>
        <v>-688</v>
      </c>
      <c r="CN78" s="261">
        <f t="shared" si="166"/>
        <v>-750</v>
      </c>
      <c r="CO78" s="261">
        <f t="shared" si="166"/>
        <v>-649</v>
      </c>
      <c r="CP78" s="706"/>
      <c r="CQ78" s="261"/>
      <c r="CR78" s="261"/>
      <c r="CS78" s="261"/>
      <c r="CT78" s="706"/>
      <c r="CU78" s="261"/>
      <c r="CV78" s="261"/>
      <c r="CW78" s="707"/>
      <c r="CX78" s="261"/>
      <c r="CY78" s="261"/>
      <c r="CZ78" s="261"/>
      <c r="DA78" s="261"/>
      <c r="DB78" s="706"/>
      <c r="DC78" s="261"/>
      <c r="DD78" s="261"/>
      <c r="DE78" s="261"/>
      <c r="DF78" s="706"/>
      <c r="DG78" s="1116"/>
      <c r="DH78" s="1116"/>
      <c r="DI78" s="707"/>
      <c r="DJ78" s="706"/>
      <c r="DK78" s="1116"/>
      <c r="DL78" s="1116"/>
      <c r="DM78" s="707"/>
      <c r="DN78" s="1116"/>
      <c r="DO78" s="1116"/>
      <c r="DP78" s="1116"/>
      <c r="DQ78" s="707"/>
      <c r="DR78" s="1116"/>
      <c r="DS78" s="1116"/>
      <c r="DT78" s="1116"/>
      <c r="DU78" s="707"/>
      <c r="DV78" s="1116"/>
      <c r="DW78" s="1116"/>
      <c r="DX78" s="1116"/>
      <c r="DY78" s="707"/>
    </row>
    <row r="79" spans="1:130" hidden="1" outlineLevel="1">
      <c r="A79" s="705"/>
      <c r="B79" s="259"/>
      <c r="C79" s="259"/>
      <c r="D79" s="259"/>
      <c r="E79" s="261"/>
      <c r="F79" s="261"/>
      <c r="G79" s="261"/>
      <c r="H79" s="261"/>
      <c r="I79" s="261"/>
      <c r="J79" s="261"/>
      <c r="K79" s="261"/>
      <c r="L79" s="261"/>
      <c r="M79" s="261"/>
      <c r="N79" s="261"/>
      <c r="O79" s="261"/>
      <c r="P79" s="261"/>
      <c r="Q79" s="1116"/>
      <c r="R79" s="261"/>
      <c r="S79" s="261"/>
      <c r="T79" s="1116"/>
      <c r="U79" s="261"/>
      <c r="V79" s="261"/>
      <c r="W79" s="261"/>
      <c r="X79" s="261"/>
      <c r="Y79" s="261"/>
      <c r="Z79" s="261"/>
      <c r="AA79" s="1116"/>
      <c r="AB79" s="1116"/>
      <c r="AC79" s="1116"/>
      <c r="AD79" s="1116"/>
      <c r="AE79" s="1116"/>
      <c r="AF79" s="1116"/>
      <c r="AG79" s="1116"/>
      <c r="AH79" s="2132"/>
      <c r="AI79"/>
      <c r="AJ79"/>
      <c r="AK79"/>
      <c r="AL79"/>
      <c r="AM79"/>
      <c r="AN79"/>
      <c r="AO79"/>
      <c r="AP79" s="706"/>
      <c r="AQ79" s="261"/>
      <c r="AR79" s="261"/>
      <c r="AS79" s="261"/>
      <c r="AT79" s="706"/>
      <c r="AU79" s="261"/>
      <c r="AV79" s="261"/>
      <c r="AW79" s="261"/>
      <c r="AX79" s="706"/>
      <c r="AY79" s="261"/>
      <c r="AZ79" s="261"/>
      <c r="BA79" s="261"/>
      <c r="BB79" s="706"/>
      <c r="BC79" s="261"/>
      <c r="BD79" s="261"/>
      <c r="BE79" s="261"/>
      <c r="BF79" s="706"/>
      <c r="BG79" s="261"/>
      <c r="BH79" s="261"/>
      <c r="BI79" s="261"/>
      <c r="BJ79" s="706"/>
      <c r="BK79" s="261"/>
      <c r="BL79" s="261"/>
      <c r="BM79" s="261"/>
      <c r="BN79" s="706"/>
      <c r="BO79" s="261"/>
      <c r="BP79" s="261"/>
      <c r="BQ79" s="261"/>
      <c r="BR79" s="706"/>
      <c r="BS79" s="261"/>
      <c r="BT79" s="261"/>
      <c r="BU79" s="261"/>
      <c r="BV79" s="706"/>
      <c r="BW79" s="261"/>
      <c r="BX79" s="261"/>
      <c r="BY79" s="261"/>
      <c r="BZ79" s="706"/>
      <c r="CA79" s="261"/>
      <c r="CB79" s="261"/>
      <c r="CC79" s="261"/>
      <c r="CD79" s="706"/>
      <c r="CE79" s="261"/>
      <c r="CF79" s="261"/>
      <c r="CG79" s="261"/>
      <c r="CH79" s="706"/>
      <c r="CI79" s="261"/>
      <c r="CJ79" s="261"/>
      <c r="CK79" s="261"/>
      <c r="CL79" s="706"/>
      <c r="CM79" s="261"/>
      <c r="CN79" s="261"/>
      <c r="CO79" s="261"/>
      <c r="CP79" s="706"/>
      <c r="CQ79" s="259"/>
      <c r="CR79" s="261"/>
      <c r="CS79" s="261"/>
      <c r="CT79" s="706"/>
      <c r="CU79" s="261"/>
      <c r="CV79" s="261"/>
      <c r="CW79" s="707"/>
      <c r="CX79" s="261"/>
      <c r="CY79" s="261"/>
      <c r="CZ79" s="261"/>
      <c r="DA79" s="261"/>
      <c r="DB79" s="706"/>
      <c r="DC79" s="261"/>
      <c r="DD79" s="261"/>
      <c r="DE79" s="261"/>
      <c r="DF79" s="706"/>
      <c r="DG79" s="1116"/>
      <c r="DH79" s="1116"/>
      <c r="DI79" s="707"/>
      <c r="DJ79" s="706"/>
      <c r="DK79" s="1116"/>
      <c r="DL79" s="1116"/>
      <c r="DM79" s="707"/>
      <c r="DN79" s="1116"/>
      <c r="DO79" s="1116"/>
      <c r="DP79" s="1116"/>
      <c r="DQ79" s="707"/>
      <c r="DR79" s="1116"/>
      <c r="DS79" s="1116"/>
      <c r="DT79" s="1116"/>
      <c r="DU79" s="707"/>
      <c r="DV79" s="1116"/>
      <c r="DW79" s="1116"/>
      <c r="DX79" s="1116"/>
      <c r="DY79" s="707"/>
    </row>
    <row r="80" spans="1:130" hidden="1" outlineLevel="1">
      <c r="A80" s="704" t="s">
        <v>454</v>
      </c>
      <c r="B80" s="458"/>
      <c r="C80" s="458"/>
      <c r="D80" s="458"/>
      <c r="E80" s="460">
        <f t="shared" ref="E80:V80" si="167">E84-E64</f>
        <v>15614</v>
      </c>
      <c r="F80" s="460">
        <f t="shared" si="167"/>
        <v>21098</v>
      </c>
      <c r="G80" s="460">
        <f t="shared" si="167"/>
        <v>30648.180999999997</v>
      </c>
      <c r="H80" s="460">
        <f t="shared" si="167"/>
        <v>52694</v>
      </c>
      <c r="I80" s="460">
        <f t="shared" si="167"/>
        <v>69769</v>
      </c>
      <c r="J80" s="460">
        <f t="shared" si="167"/>
        <v>77823</v>
      </c>
      <c r="K80" s="460">
        <f t="shared" si="167"/>
        <v>84806</v>
      </c>
      <c r="L80" s="460">
        <f t="shared" si="167"/>
        <v>91078</v>
      </c>
      <c r="M80" s="460">
        <f t="shared" si="167"/>
        <v>98616</v>
      </c>
      <c r="N80" s="460">
        <f t="shared" si="167"/>
        <v>108078</v>
      </c>
      <c r="O80" s="460">
        <f t="shared" si="167"/>
        <v>120947</v>
      </c>
      <c r="P80" s="460">
        <f t="shared" si="167"/>
        <v>128180.46799999999</v>
      </c>
      <c r="Q80" s="1114">
        <f t="shared" si="167"/>
        <v>135323</v>
      </c>
      <c r="R80" s="460">
        <f t="shared" si="167"/>
        <v>142495</v>
      </c>
      <c r="S80" s="460">
        <f t="shared" si="167"/>
        <v>149478</v>
      </c>
      <c r="T80" s="1114">
        <f t="shared" si="167"/>
        <v>156507</v>
      </c>
      <c r="U80" s="460">
        <f t="shared" si="167"/>
        <v>162998</v>
      </c>
      <c r="V80" s="460">
        <f t="shared" si="167"/>
        <v>168694</v>
      </c>
      <c r="W80" s="460">
        <f>W84-W64</f>
        <v>174306</v>
      </c>
      <c r="X80" s="460">
        <f>X84-X64</f>
        <v>181947</v>
      </c>
      <c r="Y80" s="460">
        <f>Y84-Y64</f>
        <v>187127</v>
      </c>
      <c r="Z80" s="460">
        <f>Z84-Z64</f>
        <v>200095</v>
      </c>
      <c r="AA80" s="1114"/>
      <c r="AB80" s="1114"/>
      <c r="AC80" s="1114"/>
      <c r="AD80" s="1114"/>
      <c r="AE80" s="1114"/>
      <c r="AF80" s="1114"/>
      <c r="AG80" s="1114"/>
      <c r="AH80" s="2132"/>
      <c r="AI80"/>
      <c r="AJ80"/>
      <c r="AK80"/>
      <c r="AL80"/>
      <c r="AM80"/>
      <c r="AN80"/>
      <c r="AO80"/>
      <c r="AP80" s="459">
        <f t="shared" ref="AP80:BU80" si="168">AP84-AP64</f>
        <v>12527</v>
      </c>
      <c r="AQ80" s="460">
        <f t="shared" si="168"/>
        <v>13374</v>
      </c>
      <c r="AR80" s="460">
        <f t="shared" si="168"/>
        <v>14386</v>
      </c>
      <c r="AS80" s="460">
        <f t="shared" si="168"/>
        <v>15614</v>
      </c>
      <c r="AT80" s="459">
        <f t="shared" si="168"/>
        <v>16672</v>
      </c>
      <c r="AU80" s="460">
        <f t="shared" si="168"/>
        <v>18013</v>
      </c>
      <c r="AV80" s="460">
        <f t="shared" si="168"/>
        <v>19331</v>
      </c>
      <c r="AW80" s="460">
        <f t="shared" si="168"/>
        <v>21098</v>
      </c>
      <c r="AX80" s="459">
        <f t="shared" si="168"/>
        <v>24670.011999999995</v>
      </c>
      <c r="AY80" s="460">
        <f t="shared" si="168"/>
        <v>26972.212</v>
      </c>
      <c r="AZ80" s="460">
        <f t="shared" si="168"/>
        <v>29802.964999999997</v>
      </c>
      <c r="BA80" s="460">
        <f t="shared" si="168"/>
        <v>32667.490999999995</v>
      </c>
      <c r="BB80" s="459">
        <f t="shared" si="168"/>
        <v>34625</v>
      </c>
      <c r="BC80" s="460">
        <f t="shared" si="168"/>
        <v>40020</v>
      </c>
      <c r="BD80" s="460">
        <f t="shared" si="168"/>
        <v>43190</v>
      </c>
      <c r="BE80" s="460">
        <f t="shared" si="168"/>
        <v>52694</v>
      </c>
      <c r="BF80" s="459">
        <f t="shared" si="168"/>
        <v>56768</v>
      </c>
      <c r="BG80" s="460">
        <f t="shared" si="168"/>
        <v>61189</v>
      </c>
      <c r="BH80" s="460">
        <f t="shared" si="168"/>
        <v>65778</v>
      </c>
      <c r="BI80" s="460">
        <f t="shared" si="168"/>
        <v>69769</v>
      </c>
      <c r="BJ80" s="459">
        <f t="shared" si="168"/>
        <v>71641</v>
      </c>
      <c r="BK80" s="460">
        <f t="shared" si="168"/>
        <v>73840</v>
      </c>
      <c r="BL80" s="460">
        <f t="shared" si="168"/>
        <v>76419</v>
      </c>
      <c r="BM80" s="460">
        <f t="shared" si="168"/>
        <v>77823</v>
      </c>
      <c r="BN80" s="459">
        <f t="shared" si="168"/>
        <v>79088</v>
      </c>
      <c r="BO80" s="460">
        <f t="shared" si="168"/>
        <v>80855</v>
      </c>
      <c r="BP80" s="460">
        <f t="shared" si="168"/>
        <v>83233</v>
      </c>
      <c r="BQ80" s="460">
        <f t="shared" si="168"/>
        <v>84806</v>
      </c>
      <c r="BR80" s="459">
        <f t="shared" si="168"/>
        <v>85997</v>
      </c>
      <c r="BS80" s="460">
        <f t="shared" si="168"/>
        <v>87690</v>
      </c>
      <c r="BT80" s="460">
        <f t="shared" si="168"/>
        <v>89371</v>
      </c>
      <c r="BU80" s="460">
        <f t="shared" si="168"/>
        <v>91078</v>
      </c>
      <c r="BV80" s="459">
        <f t="shared" ref="BV80:CO80" si="169">BV84-BV64</f>
        <v>92849</v>
      </c>
      <c r="BW80" s="460">
        <f t="shared" si="169"/>
        <v>94702</v>
      </c>
      <c r="BX80" s="460">
        <f t="shared" si="169"/>
        <v>96717</v>
      </c>
      <c r="BY80" s="460">
        <f t="shared" si="169"/>
        <v>98616</v>
      </c>
      <c r="BZ80" s="459">
        <f t="shared" si="169"/>
        <v>102234</v>
      </c>
      <c r="CA80" s="460">
        <f t="shared" si="169"/>
        <v>104245</v>
      </c>
      <c r="CB80" s="460">
        <f t="shared" si="169"/>
        <v>106201</v>
      </c>
      <c r="CC80" s="460">
        <f t="shared" si="169"/>
        <v>108078</v>
      </c>
      <c r="CD80" s="459">
        <f t="shared" si="169"/>
        <v>109990</v>
      </c>
      <c r="CE80" s="460">
        <f t="shared" si="169"/>
        <v>111845</v>
      </c>
      <c r="CF80" s="460">
        <f t="shared" si="169"/>
        <v>113791</v>
      </c>
      <c r="CG80" s="460">
        <f t="shared" si="169"/>
        <v>120947</v>
      </c>
      <c r="CH80" s="459">
        <f t="shared" si="169"/>
        <v>122721</v>
      </c>
      <c r="CI80" s="460">
        <f t="shared" si="169"/>
        <v>124523.32094594595</v>
      </c>
      <c r="CJ80" s="460">
        <f t="shared" si="169"/>
        <v>126395.97627118643</v>
      </c>
      <c r="CK80" s="460">
        <f t="shared" si="169"/>
        <v>128180.46799999999</v>
      </c>
      <c r="CL80" s="459">
        <f t="shared" si="169"/>
        <v>130045</v>
      </c>
      <c r="CM80" s="460">
        <f t="shared" si="169"/>
        <v>131807</v>
      </c>
      <c r="CN80" s="460">
        <f t="shared" si="169"/>
        <v>133617</v>
      </c>
      <c r="CO80" s="460">
        <f t="shared" si="169"/>
        <v>135323</v>
      </c>
      <c r="CP80" s="459"/>
      <c r="CQ80" s="460"/>
      <c r="CR80" s="460"/>
      <c r="CS80" s="460"/>
      <c r="CT80" s="459"/>
      <c r="CU80" s="460"/>
      <c r="CV80" s="460"/>
      <c r="CW80" s="461"/>
      <c r="CX80" s="460"/>
      <c r="CY80" s="460"/>
      <c r="CZ80" s="460"/>
      <c r="DA80" s="460"/>
      <c r="DB80" s="459"/>
      <c r="DC80" s="460"/>
      <c r="DD80" s="460"/>
      <c r="DE80" s="460"/>
      <c r="DF80" s="459"/>
      <c r="DG80" s="1114"/>
      <c r="DH80" s="1114"/>
      <c r="DI80" s="461"/>
      <c r="DJ80" s="459"/>
      <c r="DK80" s="1114"/>
      <c r="DL80" s="1114"/>
      <c r="DM80" s="461"/>
      <c r="DN80" s="1114"/>
      <c r="DO80" s="1114"/>
      <c r="DP80" s="1114"/>
      <c r="DQ80" s="461"/>
      <c r="DR80" s="1114"/>
      <c r="DS80" s="1114"/>
      <c r="DT80" s="1114"/>
      <c r="DU80" s="461"/>
      <c r="DV80" s="1114"/>
      <c r="DW80" s="1114"/>
      <c r="DX80" s="1114"/>
      <c r="DY80" s="461"/>
    </row>
    <row r="81" spans="1:134" hidden="1" outlineLevel="1">
      <c r="A81" s="705" t="s">
        <v>432</v>
      </c>
      <c r="B81" s="259"/>
      <c r="C81" s="259"/>
      <c r="D81" s="259"/>
      <c r="E81" s="261"/>
      <c r="F81" s="259">
        <f t="shared" ref="F81:Z81" si="170">F80/E80-1</f>
        <v>0.35122326117586788</v>
      </c>
      <c r="G81" s="259">
        <f t="shared" si="170"/>
        <v>0.45265811925300969</v>
      </c>
      <c r="H81" s="259">
        <f t="shared" si="170"/>
        <v>0.71931900297769724</v>
      </c>
      <c r="I81" s="259">
        <f t="shared" si="170"/>
        <v>0.32404068774433514</v>
      </c>
      <c r="J81" s="259">
        <f t="shared" si="170"/>
        <v>0.11543808854935578</v>
      </c>
      <c r="K81" s="259">
        <f t="shared" si="170"/>
        <v>8.9729257417473063E-2</v>
      </c>
      <c r="L81" s="259">
        <f t="shared" si="170"/>
        <v>7.3957031342122059E-2</v>
      </c>
      <c r="M81" s="259">
        <f t="shared" si="170"/>
        <v>8.276422407167483E-2</v>
      </c>
      <c r="N81" s="259">
        <f t="shared" si="170"/>
        <v>9.5947919201752274E-2</v>
      </c>
      <c r="O81" s="259">
        <f t="shared" si="170"/>
        <v>0.11907141138807154</v>
      </c>
      <c r="P81" s="259">
        <f t="shared" si="170"/>
        <v>5.9806923693849212E-2</v>
      </c>
      <c r="Q81" s="1115">
        <f t="shared" si="170"/>
        <v>5.5722467794391273E-2</v>
      </c>
      <c r="R81" s="259">
        <f t="shared" si="170"/>
        <v>5.2999120622510665E-2</v>
      </c>
      <c r="S81" s="259">
        <f t="shared" si="170"/>
        <v>4.9005228253622857E-2</v>
      </c>
      <c r="T81" s="1115">
        <f t="shared" si="170"/>
        <v>4.702364227511735E-2</v>
      </c>
      <c r="U81" s="259">
        <f t="shared" si="170"/>
        <v>4.1474183263368491E-2</v>
      </c>
      <c r="V81" s="259">
        <f t="shared" si="170"/>
        <v>3.4945214051706142E-2</v>
      </c>
      <c r="W81" s="259">
        <f t="shared" si="170"/>
        <v>3.3267336123395053E-2</v>
      </c>
      <c r="X81" s="259">
        <f t="shared" si="170"/>
        <v>4.3836700974148934E-2</v>
      </c>
      <c r="Y81" s="259">
        <f t="shared" si="170"/>
        <v>2.8469829126064106E-2</v>
      </c>
      <c r="Z81" s="259">
        <f t="shared" si="170"/>
        <v>6.930052851806523E-2</v>
      </c>
      <c r="AA81" s="1115"/>
      <c r="AB81" s="1115"/>
      <c r="AC81" s="1115"/>
      <c r="AD81" s="1115"/>
      <c r="AE81" s="1115"/>
      <c r="AF81" s="1115"/>
      <c r="AG81" s="1115"/>
      <c r="AH81" s="2132"/>
      <c r="AI81"/>
      <c r="AJ81"/>
      <c r="AK81"/>
      <c r="AL81"/>
      <c r="AM81"/>
      <c r="AN81"/>
      <c r="AO81"/>
      <c r="AP81" s="706"/>
      <c r="AQ81" s="261"/>
      <c r="AR81" s="261"/>
      <c r="AS81" s="261"/>
      <c r="AT81" s="467">
        <f t="shared" ref="AT81:CO81" si="171">AT80/AP80-1</f>
        <v>0.33088528777839876</v>
      </c>
      <c r="AU81" s="259">
        <f t="shared" si="171"/>
        <v>0.34686705548078356</v>
      </c>
      <c r="AV81" s="259">
        <f t="shared" si="171"/>
        <v>0.34373696649520369</v>
      </c>
      <c r="AW81" s="259">
        <f t="shared" si="171"/>
        <v>0.35122326117586788</v>
      </c>
      <c r="AX81" s="467">
        <f t="shared" si="171"/>
        <v>0.4797272072936658</v>
      </c>
      <c r="AY81" s="259">
        <f t="shared" si="171"/>
        <v>0.49737478487758846</v>
      </c>
      <c r="AZ81" s="259">
        <f t="shared" si="171"/>
        <v>0.54171874191712766</v>
      </c>
      <c r="BA81" s="259">
        <f t="shared" si="171"/>
        <v>0.54836908711726196</v>
      </c>
      <c r="BB81" s="467">
        <f t="shared" si="171"/>
        <v>0.4035258677620428</v>
      </c>
      <c r="BC81" s="259">
        <f t="shared" si="171"/>
        <v>0.48374927499457598</v>
      </c>
      <c r="BD81" s="259">
        <f t="shared" si="171"/>
        <v>0.44918467004876872</v>
      </c>
      <c r="BE81" s="259">
        <f t="shared" si="171"/>
        <v>0.61304092805902988</v>
      </c>
      <c r="BF81" s="467">
        <f t="shared" si="171"/>
        <v>0.63950902527075804</v>
      </c>
      <c r="BG81" s="259">
        <f t="shared" si="171"/>
        <v>0.52896051974012992</v>
      </c>
      <c r="BH81" s="259">
        <f t="shared" si="171"/>
        <v>0.52299143320213015</v>
      </c>
      <c r="BI81" s="259">
        <f t="shared" si="171"/>
        <v>0.32404068774433514</v>
      </c>
      <c r="BJ81" s="467">
        <f t="shared" si="171"/>
        <v>0.26199619503945892</v>
      </c>
      <c r="BK81" s="259">
        <f t="shared" si="171"/>
        <v>0.20675284773406988</v>
      </c>
      <c r="BL81" s="259">
        <f t="shared" si="171"/>
        <v>0.16177141293441566</v>
      </c>
      <c r="BM81" s="259">
        <f t="shared" si="171"/>
        <v>0.11543808854935578</v>
      </c>
      <c r="BN81" s="467">
        <f t="shared" si="171"/>
        <v>0.10394885610195281</v>
      </c>
      <c r="BO81" s="259">
        <f t="shared" si="171"/>
        <v>9.5002708559046578E-2</v>
      </c>
      <c r="BP81" s="259">
        <f t="shared" si="171"/>
        <v>8.9166306808516227E-2</v>
      </c>
      <c r="BQ81" s="259">
        <f t="shared" si="171"/>
        <v>8.9729257417473063E-2</v>
      </c>
      <c r="BR81" s="467">
        <f t="shared" si="171"/>
        <v>8.735838559579201E-2</v>
      </c>
      <c r="BS81" s="259">
        <f t="shared" si="171"/>
        <v>8.4534042421618993E-2</v>
      </c>
      <c r="BT81" s="259">
        <f t="shared" si="171"/>
        <v>7.3744788725625732E-2</v>
      </c>
      <c r="BU81" s="259">
        <f t="shared" si="171"/>
        <v>7.3957031342122059E-2</v>
      </c>
      <c r="BV81" s="467">
        <f t="shared" si="171"/>
        <v>7.9677198041792074E-2</v>
      </c>
      <c r="BW81" s="259">
        <f t="shared" si="171"/>
        <v>7.9963507811608991E-2</v>
      </c>
      <c r="BX81" s="259">
        <f t="shared" si="171"/>
        <v>8.2196685725794749E-2</v>
      </c>
      <c r="BY81" s="259">
        <f t="shared" si="171"/>
        <v>8.276422407167483E-2</v>
      </c>
      <c r="BZ81" s="467">
        <f t="shared" si="171"/>
        <v>0.10107809454059824</v>
      </c>
      <c r="CA81" s="259">
        <f t="shared" si="171"/>
        <v>0.1007687271652129</v>
      </c>
      <c r="CB81" s="259">
        <f t="shared" si="171"/>
        <v>9.8059286371579013E-2</v>
      </c>
      <c r="CC81" s="259">
        <f t="shared" si="171"/>
        <v>9.5947919201752274E-2</v>
      </c>
      <c r="CD81" s="467">
        <f t="shared" si="171"/>
        <v>7.5865172056263086E-2</v>
      </c>
      <c r="CE81" s="259">
        <f t="shared" si="171"/>
        <v>7.2905175308168202E-2</v>
      </c>
      <c r="CF81" s="259">
        <f t="shared" si="171"/>
        <v>7.1468253594598963E-2</v>
      </c>
      <c r="CG81" s="259">
        <f t="shared" si="171"/>
        <v>0.11907141138807154</v>
      </c>
      <c r="CH81" s="467">
        <f t="shared" si="171"/>
        <v>0.11574688608055284</v>
      </c>
      <c r="CI81" s="259">
        <f t="shared" si="171"/>
        <v>0.11335617100403184</v>
      </c>
      <c r="CJ81" s="259">
        <f t="shared" si="171"/>
        <v>0.11077305121834269</v>
      </c>
      <c r="CK81" s="259">
        <f t="shared" si="171"/>
        <v>5.9806923693849212E-2</v>
      </c>
      <c r="CL81" s="467">
        <f t="shared" si="171"/>
        <v>5.9680087352612876E-2</v>
      </c>
      <c r="CM81" s="259">
        <f t="shared" si="171"/>
        <v>5.849248958928599E-2</v>
      </c>
      <c r="CN81" s="259">
        <f t="shared" si="171"/>
        <v>5.7130170926649182E-2</v>
      </c>
      <c r="CO81" s="259">
        <f t="shared" si="171"/>
        <v>5.5722467794391273E-2</v>
      </c>
      <c r="CP81" s="467"/>
      <c r="CQ81" s="259"/>
      <c r="CR81" s="259"/>
      <c r="CS81" s="259"/>
      <c r="CT81" s="467"/>
      <c r="CU81" s="259"/>
      <c r="CV81" s="259"/>
      <c r="CW81" s="468"/>
      <c r="CX81" s="259"/>
      <c r="CY81" s="259"/>
      <c r="CZ81" s="259"/>
      <c r="DA81" s="259"/>
      <c r="DB81" s="467"/>
      <c r="DC81" s="259"/>
      <c r="DD81" s="259"/>
      <c r="DE81" s="259"/>
      <c r="DF81" s="467"/>
      <c r="DG81" s="1115"/>
      <c r="DH81" s="1115"/>
      <c r="DI81" s="468"/>
      <c r="DJ81" s="467"/>
      <c r="DK81" s="1115"/>
      <c r="DL81" s="1115"/>
      <c r="DM81" s="468"/>
      <c r="DN81" s="1115"/>
      <c r="DO81" s="1115"/>
      <c r="DP81" s="1115"/>
      <c r="DQ81" s="468"/>
      <c r="DR81" s="1115"/>
      <c r="DS81" s="1115"/>
      <c r="DT81" s="1115"/>
      <c r="DU81" s="468"/>
      <c r="DV81" s="1115"/>
      <c r="DW81" s="1115"/>
      <c r="DX81" s="1115"/>
      <c r="DY81" s="468"/>
    </row>
    <row r="82" spans="1:134" hidden="1" outlineLevel="1">
      <c r="A82" s="705" t="s">
        <v>419</v>
      </c>
      <c r="B82" s="259"/>
      <c r="C82" s="259"/>
      <c r="D82" s="259"/>
      <c r="E82" s="261"/>
      <c r="F82" s="261">
        <f t="shared" ref="F82:Z82" si="172">F80-E80</f>
        <v>5484</v>
      </c>
      <c r="G82" s="261">
        <f t="shared" si="172"/>
        <v>9550.1809999999969</v>
      </c>
      <c r="H82" s="261">
        <f t="shared" si="172"/>
        <v>22045.819000000003</v>
      </c>
      <c r="I82" s="261">
        <f t="shared" si="172"/>
        <v>17075</v>
      </c>
      <c r="J82" s="261">
        <f t="shared" si="172"/>
        <v>8054</v>
      </c>
      <c r="K82" s="261">
        <f t="shared" si="172"/>
        <v>6983</v>
      </c>
      <c r="L82" s="261">
        <f t="shared" si="172"/>
        <v>6272</v>
      </c>
      <c r="M82" s="261">
        <f t="shared" si="172"/>
        <v>7538</v>
      </c>
      <c r="N82" s="261">
        <f t="shared" si="172"/>
        <v>9462</v>
      </c>
      <c r="O82" s="261">
        <f t="shared" si="172"/>
        <v>12869</v>
      </c>
      <c r="P82" s="261">
        <f t="shared" si="172"/>
        <v>7233.4679999999935</v>
      </c>
      <c r="Q82" s="1116">
        <f t="shared" si="172"/>
        <v>7142.5320000000065</v>
      </c>
      <c r="R82" s="261">
        <f t="shared" si="172"/>
        <v>7172</v>
      </c>
      <c r="S82" s="261">
        <f t="shared" si="172"/>
        <v>6983</v>
      </c>
      <c r="T82" s="1116">
        <f t="shared" si="172"/>
        <v>7029</v>
      </c>
      <c r="U82" s="261">
        <f t="shared" si="172"/>
        <v>6491</v>
      </c>
      <c r="V82" s="261">
        <f t="shared" si="172"/>
        <v>5696</v>
      </c>
      <c r="W82" s="261">
        <f t="shared" si="172"/>
        <v>5612</v>
      </c>
      <c r="X82" s="261">
        <f t="shared" si="172"/>
        <v>7641</v>
      </c>
      <c r="Y82" s="261">
        <f t="shared" si="172"/>
        <v>5180</v>
      </c>
      <c r="Z82" s="261">
        <f t="shared" si="172"/>
        <v>12968</v>
      </c>
      <c r="AA82" s="1116"/>
      <c r="AB82" s="1116"/>
      <c r="AC82" s="1116"/>
      <c r="AD82" s="1116"/>
      <c r="AE82" s="1116"/>
      <c r="AF82" s="1116"/>
      <c r="AG82" s="1116"/>
      <c r="AH82" s="2132"/>
      <c r="AI82"/>
      <c r="AJ82"/>
      <c r="AK82"/>
      <c r="AL82"/>
      <c r="AM82"/>
      <c r="AN82"/>
      <c r="AO82"/>
      <c r="AP82" s="706"/>
      <c r="AQ82" s="261">
        <f t="shared" ref="AQ82:BV82" si="173">AQ80-AP80</f>
        <v>847</v>
      </c>
      <c r="AR82" s="261">
        <f t="shared" si="173"/>
        <v>1012</v>
      </c>
      <c r="AS82" s="261">
        <f t="shared" si="173"/>
        <v>1228</v>
      </c>
      <c r="AT82" s="706">
        <f t="shared" si="173"/>
        <v>1058</v>
      </c>
      <c r="AU82" s="261">
        <f t="shared" si="173"/>
        <v>1341</v>
      </c>
      <c r="AV82" s="261">
        <f t="shared" si="173"/>
        <v>1318</v>
      </c>
      <c r="AW82" s="261">
        <f t="shared" si="173"/>
        <v>1767</v>
      </c>
      <c r="AX82" s="706">
        <f t="shared" si="173"/>
        <v>3572.0119999999952</v>
      </c>
      <c r="AY82" s="261">
        <f t="shared" si="173"/>
        <v>2302.2000000000044</v>
      </c>
      <c r="AZ82" s="261">
        <f t="shared" si="173"/>
        <v>2830.752999999997</v>
      </c>
      <c r="BA82" s="261">
        <f t="shared" si="173"/>
        <v>2864.525999999998</v>
      </c>
      <c r="BB82" s="706">
        <f t="shared" si="173"/>
        <v>1957.5090000000055</v>
      </c>
      <c r="BC82" s="261">
        <f t="shared" si="173"/>
        <v>5395</v>
      </c>
      <c r="BD82" s="261">
        <f t="shared" si="173"/>
        <v>3170</v>
      </c>
      <c r="BE82" s="261">
        <f t="shared" si="173"/>
        <v>9504</v>
      </c>
      <c r="BF82" s="706">
        <f t="shared" si="173"/>
        <v>4074</v>
      </c>
      <c r="BG82" s="261">
        <f t="shared" si="173"/>
        <v>4421</v>
      </c>
      <c r="BH82" s="261">
        <f t="shared" si="173"/>
        <v>4589</v>
      </c>
      <c r="BI82" s="261">
        <f t="shared" si="173"/>
        <v>3991</v>
      </c>
      <c r="BJ82" s="706">
        <f t="shared" si="173"/>
        <v>1872</v>
      </c>
      <c r="BK82" s="261">
        <f t="shared" si="173"/>
        <v>2199</v>
      </c>
      <c r="BL82" s="261">
        <f t="shared" si="173"/>
        <v>2579</v>
      </c>
      <c r="BM82" s="261">
        <f t="shared" si="173"/>
        <v>1404</v>
      </c>
      <c r="BN82" s="706">
        <f t="shared" si="173"/>
        <v>1265</v>
      </c>
      <c r="BO82" s="261">
        <f t="shared" si="173"/>
        <v>1767</v>
      </c>
      <c r="BP82" s="261">
        <f t="shared" si="173"/>
        <v>2378</v>
      </c>
      <c r="BQ82" s="261">
        <f t="shared" si="173"/>
        <v>1573</v>
      </c>
      <c r="BR82" s="706">
        <f t="shared" si="173"/>
        <v>1191</v>
      </c>
      <c r="BS82" s="261">
        <f t="shared" si="173"/>
        <v>1693</v>
      </c>
      <c r="BT82" s="261">
        <f t="shared" si="173"/>
        <v>1681</v>
      </c>
      <c r="BU82" s="261">
        <f t="shared" si="173"/>
        <v>1707</v>
      </c>
      <c r="BV82" s="706">
        <f t="shared" si="173"/>
        <v>1771</v>
      </c>
      <c r="BW82" s="261">
        <f t="shared" ref="BW82:CO82" si="174">BW80-BV80</f>
        <v>1853</v>
      </c>
      <c r="BX82" s="261">
        <f t="shared" si="174"/>
        <v>2015</v>
      </c>
      <c r="BY82" s="261">
        <f t="shared" si="174"/>
        <v>1899</v>
      </c>
      <c r="BZ82" s="706">
        <f t="shared" si="174"/>
        <v>3618</v>
      </c>
      <c r="CA82" s="261">
        <f t="shared" si="174"/>
        <v>2011</v>
      </c>
      <c r="CB82" s="261">
        <f t="shared" si="174"/>
        <v>1956</v>
      </c>
      <c r="CC82" s="261">
        <f t="shared" si="174"/>
        <v>1877</v>
      </c>
      <c r="CD82" s="706">
        <f t="shared" si="174"/>
        <v>1912</v>
      </c>
      <c r="CE82" s="261">
        <f t="shared" si="174"/>
        <v>1855</v>
      </c>
      <c r="CF82" s="261">
        <f t="shared" si="174"/>
        <v>1946</v>
      </c>
      <c r="CG82" s="261">
        <f t="shared" si="174"/>
        <v>7156</v>
      </c>
      <c r="CH82" s="706">
        <f t="shared" si="174"/>
        <v>1774</v>
      </c>
      <c r="CI82" s="261">
        <f t="shared" si="174"/>
        <v>1802.3209459459467</v>
      </c>
      <c r="CJ82" s="261">
        <f t="shared" si="174"/>
        <v>1872.6553252404847</v>
      </c>
      <c r="CK82" s="261">
        <f t="shared" si="174"/>
        <v>1784.4917288135621</v>
      </c>
      <c r="CL82" s="706">
        <f t="shared" si="174"/>
        <v>1864.5320000000065</v>
      </c>
      <c r="CM82" s="261">
        <f t="shared" si="174"/>
        <v>1762</v>
      </c>
      <c r="CN82" s="261">
        <f t="shared" si="174"/>
        <v>1810</v>
      </c>
      <c r="CO82" s="261">
        <f t="shared" si="174"/>
        <v>1706</v>
      </c>
      <c r="CP82" s="706"/>
      <c r="CQ82" s="261"/>
      <c r="CR82" s="261"/>
      <c r="CS82" s="261"/>
      <c r="CT82" s="706"/>
      <c r="CU82" s="261"/>
      <c r="CV82" s="261"/>
      <c r="CW82" s="707"/>
      <c r="CX82" s="261"/>
      <c r="CY82" s="261"/>
      <c r="CZ82" s="261"/>
      <c r="DA82" s="261"/>
      <c r="DB82" s="706"/>
      <c r="DC82" s="261"/>
      <c r="DD82" s="261"/>
      <c r="DE82" s="261"/>
      <c r="DF82" s="706"/>
      <c r="DG82" s="1116"/>
      <c r="DH82" s="1116"/>
      <c r="DI82" s="707"/>
      <c r="DJ82" s="706"/>
      <c r="DK82" s="1116"/>
      <c r="DL82" s="1116"/>
      <c r="DM82" s="707"/>
      <c r="DN82" s="1116"/>
      <c r="DO82" s="1116"/>
      <c r="DP82" s="1116"/>
      <c r="DQ82" s="707"/>
      <c r="DR82" s="1116"/>
      <c r="DS82" s="1116"/>
      <c r="DT82" s="1116"/>
      <c r="DU82" s="707"/>
      <c r="DV82" s="1116"/>
      <c r="DW82" s="1116"/>
      <c r="DX82" s="1116"/>
      <c r="DY82" s="707"/>
    </row>
    <row r="83" spans="1:134" hidden="1" outlineLevel="1">
      <c r="A83" s="705"/>
      <c r="B83" s="259"/>
      <c r="C83" s="259"/>
      <c r="D83" s="259"/>
      <c r="E83" s="261"/>
      <c r="F83" s="261"/>
      <c r="G83" s="261"/>
      <c r="H83" s="261"/>
      <c r="I83" s="261"/>
      <c r="J83" s="261"/>
      <c r="K83" s="261"/>
      <c r="L83" s="261"/>
      <c r="M83" s="261"/>
      <c r="N83" s="261"/>
      <c r="O83" s="261"/>
      <c r="P83" s="261"/>
      <c r="Q83" s="1116"/>
      <c r="R83" s="261"/>
      <c r="S83" s="261"/>
      <c r="T83" s="1116"/>
      <c r="U83" s="261"/>
      <c r="V83" s="261"/>
      <c r="W83" s="261"/>
      <c r="X83" s="261"/>
      <c r="Y83" s="261"/>
      <c r="Z83" s="261"/>
      <c r="AA83" s="1116"/>
      <c r="AB83" s="1116"/>
      <c r="AC83" s="1116"/>
      <c r="AD83" s="1116"/>
      <c r="AE83" s="1116"/>
      <c r="AF83" s="1116"/>
      <c r="AG83" s="1116"/>
      <c r="AH83" s="2132"/>
      <c r="AI83"/>
      <c r="AJ83"/>
      <c r="AK83"/>
      <c r="AL83"/>
      <c r="AM83"/>
      <c r="AN83"/>
      <c r="AO83"/>
      <c r="AP83" s="706"/>
      <c r="AQ83" s="261"/>
      <c r="AR83" s="261"/>
      <c r="AS83" s="261"/>
      <c r="AT83" s="706"/>
      <c r="AU83" s="261"/>
      <c r="AV83" s="261"/>
      <c r="AW83" s="261"/>
      <c r="AX83" s="706"/>
      <c r="AY83" s="261"/>
      <c r="AZ83" s="261"/>
      <c r="BA83" s="261"/>
      <c r="BB83" s="706"/>
      <c r="BC83" s="261"/>
      <c r="BD83" s="261"/>
      <c r="BE83" s="261"/>
      <c r="BF83" s="706"/>
      <c r="BG83" s="261"/>
      <c r="BH83" s="261"/>
      <c r="BI83" s="261"/>
      <c r="BJ83" s="706"/>
      <c r="BK83" s="261"/>
      <c r="BL83" s="261"/>
      <c r="BM83" s="261"/>
      <c r="BN83" s="706"/>
      <c r="BO83" s="261"/>
      <c r="BP83" s="261"/>
      <c r="BQ83" s="261"/>
      <c r="BR83" s="706"/>
      <c r="BS83" s="261"/>
      <c r="BT83" s="261"/>
      <c r="BU83" s="261"/>
      <c r="BV83" s="706"/>
      <c r="BW83" s="261"/>
      <c r="BX83" s="261"/>
      <c r="BY83" s="261"/>
      <c r="BZ83" s="706"/>
      <c r="CA83" s="261"/>
      <c r="CB83" s="261"/>
      <c r="CC83" s="261"/>
      <c r="CD83" s="706"/>
      <c r="CE83" s="261"/>
      <c r="CF83" s="261"/>
      <c r="CG83" s="261"/>
      <c r="CH83" s="706"/>
      <c r="CI83" s="261"/>
      <c r="CJ83" s="261"/>
      <c r="CK83" s="261"/>
      <c r="CL83" s="706"/>
      <c r="CM83" s="261"/>
      <c r="CN83" s="261"/>
      <c r="CO83" s="261"/>
      <c r="CP83" s="706"/>
      <c r="CQ83" s="261"/>
      <c r="CR83" s="261"/>
      <c r="CS83" s="261"/>
      <c r="CT83" s="706"/>
      <c r="CU83" s="261"/>
      <c r="CV83" s="261"/>
      <c r="CW83" s="707"/>
      <c r="CX83" s="261"/>
      <c r="CY83" s="261"/>
      <c r="CZ83" s="261"/>
      <c r="DA83" s="261"/>
      <c r="DB83" s="706"/>
      <c r="DC83" s="261"/>
      <c r="DD83" s="261"/>
      <c r="DE83" s="261"/>
      <c r="DF83" s="706"/>
      <c r="DG83" s="1116"/>
      <c r="DH83" s="1116"/>
      <c r="DI83" s="707"/>
      <c r="DJ83" s="706"/>
      <c r="DK83" s="1116"/>
      <c r="DL83" s="1116"/>
      <c r="DM83" s="707"/>
      <c r="DN83" s="1116"/>
      <c r="DO83" s="1116"/>
      <c r="DP83" s="1116"/>
      <c r="DQ83" s="707"/>
      <c r="DR83" s="1116"/>
      <c r="DS83" s="1116"/>
      <c r="DT83" s="1116"/>
      <c r="DU83" s="707"/>
      <c r="DV83" s="1116"/>
      <c r="DW83" s="1116"/>
      <c r="DX83" s="1116"/>
      <c r="DY83" s="707"/>
    </row>
    <row r="84" spans="1:134" hidden="1" outlineLevel="1">
      <c r="A84" s="704" t="s">
        <v>455</v>
      </c>
      <c r="B84" s="458"/>
      <c r="C84" s="458"/>
      <c r="D84" s="458"/>
      <c r="E84" s="460">
        <f>NormInputs!E223</f>
        <v>74664</v>
      </c>
      <c r="F84" s="460">
        <f>NormInputs!F223</f>
        <v>82660</v>
      </c>
      <c r="G84" s="460">
        <f>NormInputs!G223</f>
        <v>92665</v>
      </c>
      <c r="H84" s="460">
        <f>NormInputs!H223</f>
        <v>114360</v>
      </c>
      <c r="I84" s="460">
        <f>NormInputs!I223</f>
        <v>129971</v>
      </c>
      <c r="J84" s="460">
        <f>NormInputs!J223</f>
        <v>135797</v>
      </c>
      <c r="K84" s="460">
        <f>BQ84</f>
        <v>139632</v>
      </c>
      <c r="L84" s="460">
        <f>BU84</f>
        <v>143367</v>
      </c>
      <c r="M84" s="460">
        <f>BY84</f>
        <v>147419</v>
      </c>
      <c r="N84" s="460">
        <f>CC84</f>
        <v>151471</v>
      </c>
      <c r="O84" s="460">
        <f>CG84</f>
        <v>155523</v>
      </c>
      <c r="P84" s="460">
        <f>CK84</f>
        <v>159575</v>
      </c>
      <c r="Q84" s="1114">
        <f t="shared" ref="Q84:Z84" si="175">P84+Q86</f>
        <v>163627</v>
      </c>
      <c r="R84" s="460">
        <f t="shared" si="175"/>
        <v>167679</v>
      </c>
      <c r="S84" s="460">
        <f t="shared" si="175"/>
        <v>171731</v>
      </c>
      <c r="T84" s="1114">
        <f t="shared" si="175"/>
        <v>175783</v>
      </c>
      <c r="U84" s="460">
        <f t="shared" si="175"/>
        <v>179835</v>
      </c>
      <c r="V84" s="460">
        <f t="shared" si="175"/>
        <v>183887</v>
      </c>
      <c r="W84" s="460">
        <f t="shared" si="175"/>
        <v>187939</v>
      </c>
      <c r="X84" s="460">
        <f t="shared" si="175"/>
        <v>191991</v>
      </c>
      <c r="Y84" s="460">
        <f t="shared" si="175"/>
        <v>196043</v>
      </c>
      <c r="Z84" s="460">
        <f t="shared" si="175"/>
        <v>200095</v>
      </c>
      <c r="AA84" s="1114"/>
      <c r="AB84" s="1114"/>
      <c r="AC84" s="1114"/>
      <c r="AD84" s="1114"/>
      <c r="AE84" s="1114"/>
      <c r="AF84" s="1114"/>
      <c r="AG84" s="1114"/>
      <c r="AH84" s="2132"/>
      <c r="AI84"/>
      <c r="AJ84"/>
      <c r="AK84"/>
      <c r="AL84"/>
      <c r="AM84"/>
      <c r="AN84"/>
      <c r="AO84"/>
      <c r="AP84" s="459">
        <f>NormInputs!AF223</f>
        <v>69591</v>
      </c>
      <c r="AQ84" s="460">
        <f>NormInputs!AG223</f>
        <v>71071</v>
      </c>
      <c r="AR84" s="460">
        <f>NormInputs!AH223</f>
        <v>72711</v>
      </c>
      <c r="AS84" s="460">
        <f>NormInputs!AI223</f>
        <v>74664</v>
      </c>
      <c r="AT84" s="459">
        <f>NormInputs!AJ223</f>
        <v>76427</v>
      </c>
      <c r="AU84" s="460">
        <f>NormInputs!AK223</f>
        <v>78332</v>
      </c>
      <c r="AV84" s="460">
        <f>NormInputs!AL223</f>
        <v>80390</v>
      </c>
      <c r="AW84" s="460">
        <f>NormInputs!AM223</f>
        <v>82660</v>
      </c>
      <c r="AX84" s="459">
        <f>NormInputs!AN223</f>
        <v>85351.702999999994</v>
      </c>
      <c r="AY84" s="460">
        <f>NormInputs!AO223</f>
        <v>88082.921000000002</v>
      </c>
      <c r="AZ84" s="460">
        <f>NormInputs!AP223</f>
        <v>91418.447</v>
      </c>
      <c r="BA84" s="460">
        <f>NormInputs!AQ223</f>
        <v>94684.31</v>
      </c>
      <c r="BB84" s="459">
        <f>NormInputs!AR223</f>
        <v>95898</v>
      </c>
      <c r="BC84" s="460">
        <f>NormInputs!AS223</f>
        <v>101505</v>
      </c>
      <c r="BD84" s="460">
        <f>NormInputs!AT223</f>
        <v>104806</v>
      </c>
      <c r="BE84" s="460">
        <f>NormInputs!AU223</f>
        <v>114360</v>
      </c>
      <c r="BF84" s="459">
        <f>NormInputs!AV223</f>
        <v>118418</v>
      </c>
      <c r="BG84" s="460">
        <f>NormInputs!AW223</f>
        <v>122412</v>
      </c>
      <c r="BH84" s="460">
        <f>NormInputs!AX223</f>
        <v>126548</v>
      </c>
      <c r="BI84" s="460">
        <f>NormInputs!AY223</f>
        <v>129971</v>
      </c>
      <c r="BJ84" s="459">
        <f>NormInputs!AZ223</f>
        <v>131402</v>
      </c>
      <c r="BK84" s="460">
        <f>NormInputs!BA223</f>
        <v>132792</v>
      </c>
      <c r="BL84" s="460">
        <f>NormInputs!BB223</f>
        <v>134875</v>
      </c>
      <c r="BM84" s="460">
        <f>NormInputs!BC223</f>
        <v>135797</v>
      </c>
      <c r="BN84" s="459">
        <f>NormInputs!BD223</f>
        <v>135835</v>
      </c>
      <c r="BO84" s="460">
        <f>NormInputs!BE223</f>
        <v>136892</v>
      </c>
      <c r="BP84" s="460">
        <f>NormInputs!BF223</f>
        <v>138670</v>
      </c>
      <c r="BQ84" s="460">
        <f>NormInputs!BG223</f>
        <v>139632</v>
      </c>
      <c r="BR84" s="459">
        <f>NormInputs!BH223</f>
        <v>140321</v>
      </c>
      <c r="BS84" s="460">
        <f>NormInputs!BI223</f>
        <v>141341</v>
      </c>
      <c r="BT84" s="460">
        <f t="shared" ref="BT84:CO84" si="176">BS84+BT86</f>
        <v>142354</v>
      </c>
      <c r="BU84" s="460">
        <f t="shared" si="176"/>
        <v>143367</v>
      </c>
      <c r="BV84" s="459">
        <f t="shared" si="176"/>
        <v>144380</v>
      </c>
      <c r="BW84" s="460">
        <f t="shared" si="176"/>
        <v>145393</v>
      </c>
      <c r="BX84" s="460">
        <f t="shared" si="176"/>
        <v>146406</v>
      </c>
      <c r="BY84" s="460">
        <f t="shared" si="176"/>
        <v>147419</v>
      </c>
      <c r="BZ84" s="459">
        <f t="shared" si="176"/>
        <v>148432</v>
      </c>
      <c r="CA84" s="460">
        <f t="shared" si="176"/>
        <v>149445</v>
      </c>
      <c r="CB84" s="460">
        <f t="shared" si="176"/>
        <v>150458</v>
      </c>
      <c r="CC84" s="460">
        <f t="shared" si="176"/>
        <v>151471</v>
      </c>
      <c r="CD84" s="459">
        <f t="shared" si="176"/>
        <v>152484</v>
      </c>
      <c r="CE84" s="460">
        <f t="shared" si="176"/>
        <v>153497</v>
      </c>
      <c r="CF84" s="460">
        <f t="shared" si="176"/>
        <v>154510</v>
      </c>
      <c r="CG84" s="460">
        <f t="shared" si="176"/>
        <v>155523</v>
      </c>
      <c r="CH84" s="459">
        <f t="shared" si="176"/>
        <v>156536</v>
      </c>
      <c r="CI84" s="460">
        <f t="shared" si="176"/>
        <v>157549</v>
      </c>
      <c r="CJ84" s="460">
        <f t="shared" si="176"/>
        <v>158562</v>
      </c>
      <c r="CK84" s="460">
        <f t="shared" si="176"/>
        <v>159575</v>
      </c>
      <c r="CL84" s="459">
        <f t="shared" si="176"/>
        <v>160588</v>
      </c>
      <c r="CM84" s="460">
        <f t="shared" si="176"/>
        <v>161601</v>
      </c>
      <c r="CN84" s="460">
        <f t="shared" si="176"/>
        <v>162614</v>
      </c>
      <c r="CO84" s="460">
        <f t="shared" si="176"/>
        <v>163627</v>
      </c>
      <c r="CP84" s="459"/>
      <c r="CQ84" s="460"/>
      <c r="CR84" s="460"/>
      <c r="CS84" s="460"/>
      <c r="CT84" s="459"/>
      <c r="CU84" s="460"/>
      <c r="CV84" s="460"/>
      <c r="CW84" s="461"/>
      <c r="CX84" s="460"/>
      <c r="CY84" s="460"/>
      <c r="CZ84" s="460"/>
      <c r="DA84" s="460"/>
      <c r="DB84" s="459"/>
      <c r="DC84" s="460"/>
      <c r="DD84" s="460"/>
      <c r="DE84" s="460"/>
      <c r="DF84" s="459"/>
      <c r="DG84" s="1114"/>
      <c r="DH84" s="1114"/>
      <c r="DI84" s="461"/>
      <c r="DJ84" s="459"/>
      <c r="DK84" s="1114"/>
      <c r="DL84" s="1114"/>
      <c r="DM84" s="461"/>
      <c r="DN84" s="1114"/>
      <c r="DO84" s="1114"/>
      <c r="DP84" s="1114"/>
      <c r="DQ84" s="461"/>
      <c r="DR84" s="1114"/>
      <c r="DS84" s="1114"/>
      <c r="DT84" s="1114"/>
      <c r="DU84" s="461"/>
      <c r="DV84" s="1114"/>
      <c r="DW84" s="1114"/>
      <c r="DX84" s="1114"/>
      <c r="DY84" s="461"/>
    </row>
    <row r="85" spans="1:134" hidden="1" outlineLevel="1">
      <c r="A85" s="705" t="s">
        <v>432</v>
      </c>
      <c r="B85" s="259"/>
      <c r="C85" s="259"/>
      <c r="D85" s="259"/>
      <c r="E85" s="261"/>
      <c r="F85" s="259">
        <f t="shared" ref="F85:Z85" si="177">F84/E84-1</f>
        <v>0.10709311046823111</v>
      </c>
      <c r="G85" s="259">
        <f t="shared" si="177"/>
        <v>0.12103798693443024</v>
      </c>
      <c r="H85" s="259">
        <f t="shared" si="177"/>
        <v>0.23412291587978196</v>
      </c>
      <c r="I85" s="259">
        <f t="shared" si="177"/>
        <v>0.13650752011192724</v>
      </c>
      <c r="J85" s="259">
        <f t="shared" si="177"/>
        <v>4.4825384124150824E-2</v>
      </c>
      <c r="K85" s="259">
        <f t="shared" si="177"/>
        <v>2.8240682783861271E-2</v>
      </c>
      <c r="L85" s="259">
        <f t="shared" si="177"/>
        <v>2.6748882777586802E-2</v>
      </c>
      <c r="M85" s="259">
        <f t="shared" si="177"/>
        <v>2.8263128892980882E-2</v>
      </c>
      <c r="N85" s="259">
        <f t="shared" si="177"/>
        <v>2.7486280601550783E-2</v>
      </c>
      <c r="O85" s="259">
        <f t="shared" si="177"/>
        <v>2.6750995240012898E-2</v>
      </c>
      <c r="P85" s="259">
        <f t="shared" si="177"/>
        <v>2.6054024163628453E-2</v>
      </c>
      <c r="Q85" s="1115">
        <f t="shared" si="177"/>
        <v>2.5392448691837766E-2</v>
      </c>
      <c r="R85" s="259">
        <f t="shared" si="177"/>
        <v>2.476363925269065E-2</v>
      </c>
      <c r="S85" s="259">
        <f t="shared" si="177"/>
        <v>2.4165220450980796E-2</v>
      </c>
      <c r="T85" s="1115">
        <f t="shared" si="177"/>
        <v>2.3595041081691637E-2</v>
      </c>
      <c r="U85" s="259">
        <f t="shared" si="177"/>
        <v>2.3051148290790247E-2</v>
      </c>
      <c r="V85" s="259">
        <f t="shared" si="177"/>
        <v>2.2531765229237832E-2</v>
      </c>
      <c r="W85" s="259">
        <f t="shared" si="177"/>
        <v>2.2035271661400735E-2</v>
      </c>
      <c r="X85" s="259">
        <f t="shared" si="177"/>
        <v>2.1560187081978821E-2</v>
      </c>
      <c r="Y85" s="259">
        <f t="shared" si="177"/>
        <v>2.1105155970852829E-2</v>
      </c>
      <c r="Z85" s="259">
        <f t="shared" si="177"/>
        <v>2.0668934876532097E-2</v>
      </c>
      <c r="AA85" s="1115"/>
      <c r="AB85" s="1115"/>
      <c r="AC85" s="1115"/>
      <c r="AD85" s="1115"/>
      <c r="AE85" s="1115"/>
      <c r="AF85" s="1115"/>
      <c r="AG85" s="1115"/>
      <c r="AH85" s="2132"/>
      <c r="AI85"/>
      <c r="AJ85"/>
      <c r="AK85"/>
      <c r="AL85"/>
      <c r="AM85"/>
      <c r="AN85"/>
      <c r="AO85"/>
      <c r="AP85" s="706"/>
      <c r="AQ85" s="261"/>
      <c r="AR85" s="261"/>
      <c r="AS85" s="261"/>
      <c r="AT85" s="467">
        <f t="shared" ref="AT85:CO85" si="178">AT84/AP84-1</f>
        <v>9.8231093101119438E-2</v>
      </c>
      <c r="AU85" s="259">
        <f t="shared" si="178"/>
        <v>0.10216544019360918</v>
      </c>
      <c r="AV85" s="259">
        <f t="shared" si="178"/>
        <v>0.10560988021069706</v>
      </c>
      <c r="AW85" s="259">
        <f t="shared" si="178"/>
        <v>0.10709311046823111</v>
      </c>
      <c r="AX85" s="467">
        <f t="shared" si="178"/>
        <v>0.11677421591845816</v>
      </c>
      <c r="AY85" s="259">
        <f t="shared" si="178"/>
        <v>0.1244819613950876</v>
      </c>
      <c r="AZ85" s="259">
        <f t="shared" si="178"/>
        <v>0.13718680184102494</v>
      </c>
      <c r="BA85" s="259">
        <f t="shared" si="178"/>
        <v>0.14546709412049363</v>
      </c>
      <c r="BB85" s="467">
        <f t="shared" si="178"/>
        <v>0.12356281865869745</v>
      </c>
      <c r="BC85" s="259">
        <f t="shared" si="178"/>
        <v>0.15238003971280656</v>
      </c>
      <c r="BD85" s="259">
        <f t="shared" si="178"/>
        <v>0.14644257739359756</v>
      </c>
      <c r="BE85" s="259">
        <f t="shared" si="178"/>
        <v>0.20780306684391525</v>
      </c>
      <c r="BF85" s="467">
        <f t="shared" si="178"/>
        <v>0.23483284322926434</v>
      </c>
      <c r="BG85" s="259">
        <f t="shared" si="178"/>
        <v>0.20597014925373136</v>
      </c>
      <c r="BH85" s="259">
        <f t="shared" si="178"/>
        <v>0.20744995515523912</v>
      </c>
      <c r="BI85" s="259">
        <f t="shared" si="178"/>
        <v>0.13650752011192724</v>
      </c>
      <c r="BJ85" s="467">
        <f t="shared" si="178"/>
        <v>0.10964549308382177</v>
      </c>
      <c r="BK85" s="259">
        <f t="shared" si="178"/>
        <v>8.4795608273698697E-2</v>
      </c>
      <c r="BL85" s="259">
        <f t="shared" si="178"/>
        <v>6.5801118943009662E-2</v>
      </c>
      <c r="BM85" s="259">
        <f t="shared" si="178"/>
        <v>4.4825384124150824E-2</v>
      </c>
      <c r="BN85" s="467">
        <f t="shared" si="178"/>
        <v>3.3736168399263411E-2</v>
      </c>
      <c r="BO85" s="259">
        <f t="shared" si="178"/>
        <v>3.0875353936984151E-2</v>
      </c>
      <c r="BP85" s="259">
        <f t="shared" si="178"/>
        <v>2.8137164040778595E-2</v>
      </c>
      <c r="BQ85" s="259">
        <f t="shared" si="178"/>
        <v>2.8240682783861271E-2</v>
      </c>
      <c r="BR85" s="467">
        <f t="shared" si="178"/>
        <v>3.3025361652004204E-2</v>
      </c>
      <c r="BS85" s="259">
        <f t="shared" si="178"/>
        <v>3.2500073050287792E-2</v>
      </c>
      <c r="BT85" s="259">
        <f t="shared" si="178"/>
        <v>2.6566669070455129E-2</v>
      </c>
      <c r="BU85" s="259">
        <f t="shared" si="178"/>
        <v>2.6748882777586802E-2</v>
      </c>
      <c r="BV85" s="467">
        <f t="shared" si="178"/>
        <v>2.8926532735656041E-2</v>
      </c>
      <c r="BW85" s="259">
        <f t="shared" si="178"/>
        <v>2.8668256203083331E-2</v>
      </c>
      <c r="BX85" s="259">
        <f t="shared" si="178"/>
        <v>2.8464251092347181E-2</v>
      </c>
      <c r="BY85" s="259">
        <f t="shared" si="178"/>
        <v>2.8263128892980882E-2</v>
      </c>
      <c r="BZ85" s="467">
        <f t="shared" si="178"/>
        <v>2.8064828923673568E-2</v>
      </c>
      <c r="CA85" s="259">
        <f t="shared" si="178"/>
        <v>2.7869292194259598E-2</v>
      </c>
      <c r="CB85" s="259">
        <f t="shared" si="178"/>
        <v>2.7676461347212467E-2</v>
      </c>
      <c r="CC85" s="259">
        <f t="shared" si="178"/>
        <v>2.7486280601550783E-2</v>
      </c>
      <c r="CD85" s="467">
        <f t="shared" si="178"/>
        <v>2.7298695699040643E-2</v>
      </c>
      <c r="CE85" s="259">
        <f t="shared" si="178"/>
        <v>2.7113653852588016E-2</v>
      </c>
      <c r="CF85" s="259">
        <f t="shared" si="178"/>
        <v>2.693110369671281E-2</v>
      </c>
      <c r="CG85" s="259">
        <f t="shared" si="178"/>
        <v>2.6750995240012898E-2</v>
      </c>
      <c r="CH85" s="467">
        <f t="shared" si="178"/>
        <v>2.6573279819521956E-2</v>
      </c>
      <c r="CI85" s="259">
        <f t="shared" si="178"/>
        <v>2.6397910056874085E-2</v>
      </c>
      <c r="CJ85" s="259">
        <f t="shared" si="178"/>
        <v>2.6224839816193057E-2</v>
      </c>
      <c r="CK85" s="259">
        <f t="shared" si="178"/>
        <v>2.6054024163628453E-2</v>
      </c>
      <c r="CL85" s="467">
        <f t="shared" si="178"/>
        <v>2.5885419328461223E-2</v>
      </c>
      <c r="CM85" s="259">
        <f t="shared" si="178"/>
        <v>2.5718982665710266E-2</v>
      </c>
      <c r="CN85" s="259">
        <f t="shared" si="178"/>
        <v>2.5554672620173857E-2</v>
      </c>
      <c r="CO85" s="259">
        <f t="shared" si="178"/>
        <v>2.5392448691837766E-2</v>
      </c>
      <c r="CP85" s="467"/>
      <c r="CQ85" s="259"/>
      <c r="CR85" s="259"/>
      <c r="CS85" s="259"/>
      <c r="CT85" s="467"/>
      <c r="CU85" s="259"/>
      <c r="CV85" s="259"/>
      <c r="CW85" s="468"/>
      <c r="CX85" s="259"/>
      <c r="CY85" s="259"/>
      <c r="CZ85" s="259"/>
      <c r="DA85" s="259"/>
      <c r="DB85" s="467"/>
      <c r="DC85" s="259"/>
      <c r="DD85" s="259"/>
      <c r="DE85" s="259"/>
      <c r="DF85" s="467"/>
      <c r="DG85" s="1115"/>
      <c r="DH85" s="1115"/>
      <c r="DI85" s="468"/>
      <c r="DJ85" s="467"/>
      <c r="DK85" s="1115"/>
      <c r="DL85" s="1115"/>
      <c r="DM85" s="468"/>
      <c r="DN85" s="1115"/>
      <c r="DO85" s="1115"/>
      <c r="DP85" s="1115"/>
      <c r="DQ85" s="468"/>
      <c r="DR85" s="1115"/>
      <c r="DS85" s="1115"/>
      <c r="DT85" s="1115"/>
      <c r="DU85" s="468"/>
      <c r="DV85" s="1115"/>
      <c r="DW85" s="1115"/>
      <c r="DX85" s="1115"/>
      <c r="DY85" s="468"/>
    </row>
    <row r="86" spans="1:134" hidden="1" outlineLevel="1">
      <c r="A86" s="705" t="s">
        <v>419</v>
      </c>
      <c r="B86" s="259"/>
      <c r="C86" s="259"/>
      <c r="D86" s="259"/>
      <c r="E86" s="261"/>
      <c r="F86" s="261">
        <f t="shared" ref="F86:P86" si="179">F84-E84</f>
        <v>7996</v>
      </c>
      <c r="G86" s="261">
        <f t="shared" si="179"/>
        <v>10005</v>
      </c>
      <c r="H86" s="261">
        <f t="shared" si="179"/>
        <v>21695</v>
      </c>
      <c r="I86" s="261">
        <f t="shared" si="179"/>
        <v>15611</v>
      </c>
      <c r="J86" s="261">
        <f t="shared" si="179"/>
        <v>5826</v>
      </c>
      <c r="K86" s="261">
        <f t="shared" si="179"/>
        <v>3835</v>
      </c>
      <c r="L86" s="261">
        <f t="shared" si="179"/>
        <v>3735</v>
      </c>
      <c r="M86" s="261">
        <f t="shared" si="179"/>
        <v>4052</v>
      </c>
      <c r="N86" s="261">
        <f t="shared" si="179"/>
        <v>4052</v>
      </c>
      <c r="O86" s="261">
        <f t="shared" si="179"/>
        <v>4052</v>
      </c>
      <c r="P86" s="261">
        <f t="shared" si="179"/>
        <v>4052</v>
      </c>
      <c r="Q86" s="1116">
        <f t="shared" ref="Q86:Z86" si="180">P86</f>
        <v>4052</v>
      </c>
      <c r="R86" s="261">
        <f t="shared" si="180"/>
        <v>4052</v>
      </c>
      <c r="S86" s="261">
        <f t="shared" si="180"/>
        <v>4052</v>
      </c>
      <c r="T86" s="1116">
        <f t="shared" si="180"/>
        <v>4052</v>
      </c>
      <c r="U86" s="261">
        <f t="shared" si="180"/>
        <v>4052</v>
      </c>
      <c r="V86" s="261">
        <f t="shared" si="180"/>
        <v>4052</v>
      </c>
      <c r="W86" s="261">
        <f t="shared" si="180"/>
        <v>4052</v>
      </c>
      <c r="X86" s="261">
        <f t="shared" si="180"/>
        <v>4052</v>
      </c>
      <c r="Y86" s="261">
        <f t="shared" si="180"/>
        <v>4052</v>
      </c>
      <c r="Z86" s="261">
        <f t="shared" si="180"/>
        <v>4052</v>
      </c>
      <c r="AA86" s="1116"/>
      <c r="AB86" s="1116"/>
      <c r="AC86" s="1116"/>
      <c r="AD86" s="1116"/>
      <c r="AE86" s="1116"/>
      <c r="AF86" s="1116"/>
      <c r="AG86" s="1116"/>
      <c r="AH86" s="2132"/>
      <c r="AI86"/>
      <c r="AJ86"/>
      <c r="AK86"/>
      <c r="AL86"/>
      <c r="AM86"/>
      <c r="AN86"/>
      <c r="AO86"/>
      <c r="AP86" s="706"/>
      <c r="AQ86" s="261">
        <f t="shared" ref="AQ86:BS86" si="181">AQ84-AP84</f>
        <v>1480</v>
      </c>
      <c r="AR86" s="261">
        <f t="shared" si="181"/>
        <v>1640</v>
      </c>
      <c r="AS86" s="261">
        <f t="shared" si="181"/>
        <v>1953</v>
      </c>
      <c r="AT86" s="706">
        <f t="shared" si="181"/>
        <v>1763</v>
      </c>
      <c r="AU86" s="261">
        <f t="shared" si="181"/>
        <v>1905</v>
      </c>
      <c r="AV86" s="261">
        <f t="shared" si="181"/>
        <v>2058</v>
      </c>
      <c r="AW86" s="261">
        <f t="shared" si="181"/>
        <v>2270</v>
      </c>
      <c r="AX86" s="706">
        <f t="shared" si="181"/>
        <v>2691.7029999999941</v>
      </c>
      <c r="AY86" s="261">
        <f t="shared" si="181"/>
        <v>2731.218000000008</v>
      </c>
      <c r="AZ86" s="261">
        <f t="shared" si="181"/>
        <v>3335.525999999998</v>
      </c>
      <c r="BA86" s="261">
        <f t="shared" si="181"/>
        <v>3265.8629999999976</v>
      </c>
      <c r="BB86" s="706">
        <f t="shared" si="181"/>
        <v>1213.6900000000023</v>
      </c>
      <c r="BC86" s="261">
        <f t="shared" si="181"/>
        <v>5607</v>
      </c>
      <c r="BD86" s="261">
        <f t="shared" si="181"/>
        <v>3301</v>
      </c>
      <c r="BE86" s="261">
        <f t="shared" si="181"/>
        <v>9554</v>
      </c>
      <c r="BF86" s="706">
        <f t="shared" si="181"/>
        <v>4058</v>
      </c>
      <c r="BG86" s="261">
        <f t="shared" si="181"/>
        <v>3994</v>
      </c>
      <c r="BH86" s="261">
        <f t="shared" si="181"/>
        <v>4136</v>
      </c>
      <c r="BI86" s="261">
        <f t="shared" si="181"/>
        <v>3423</v>
      </c>
      <c r="BJ86" s="706">
        <f t="shared" si="181"/>
        <v>1431</v>
      </c>
      <c r="BK86" s="261">
        <f t="shared" si="181"/>
        <v>1390</v>
      </c>
      <c r="BL86" s="261">
        <f t="shared" si="181"/>
        <v>2083</v>
      </c>
      <c r="BM86" s="261">
        <f t="shared" si="181"/>
        <v>922</v>
      </c>
      <c r="BN86" s="706">
        <f t="shared" si="181"/>
        <v>38</v>
      </c>
      <c r="BO86" s="261">
        <f t="shared" si="181"/>
        <v>1057</v>
      </c>
      <c r="BP86" s="261">
        <f t="shared" si="181"/>
        <v>1778</v>
      </c>
      <c r="BQ86" s="261">
        <f t="shared" si="181"/>
        <v>962</v>
      </c>
      <c r="BR86" s="706">
        <f t="shared" si="181"/>
        <v>689</v>
      </c>
      <c r="BS86" s="261">
        <f t="shared" si="181"/>
        <v>1020</v>
      </c>
      <c r="BT86" s="261">
        <v>1013</v>
      </c>
      <c r="BU86" s="261">
        <v>1013</v>
      </c>
      <c r="BV86" s="706">
        <v>1013</v>
      </c>
      <c r="BW86" s="261">
        <v>1013</v>
      </c>
      <c r="BX86" s="261">
        <v>1013</v>
      </c>
      <c r="BY86" s="261">
        <v>1013</v>
      </c>
      <c r="BZ86" s="706">
        <v>1013</v>
      </c>
      <c r="CA86" s="261">
        <v>1013</v>
      </c>
      <c r="CB86" s="261">
        <v>1013</v>
      </c>
      <c r="CC86" s="261">
        <v>1013</v>
      </c>
      <c r="CD86" s="706">
        <v>1013</v>
      </c>
      <c r="CE86" s="261">
        <v>1013</v>
      </c>
      <c r="CF86" s="261">
        <f t="shared" ref="CF86:CO86" si="182">CE86</f>
        <v>1013</v>
      </c>
      <c r="CG86" s="261">
        <f t="shared" si="182"/>
        <v>1013</v>
      </c>
      <c r="CH86" s="706">
        <f t="shared" si="182"/>
        <v>1013</v>
      </c>
      <c r="CI86" s="261">
        <f t="shared" si="182"/>
        <v>1013</v>
      </c>
      <c r="CJ86" s="261">
        <f t="shared" si="182"/>
        <v>1013</v>
      </c>
      <c r="CK86" s="261">
        <f t="shared" si="182"/>
        <v>1013</v>
      </c>
      <c r="CL86" s="706">
        <f t="shared" si="182"/>
        <v>1013</v>
      </c>
      <c r="CM86" s="261">
        <f t="shared" si="182"/>
        <v>1013</v>
      </c>
      <c r="CN86" s="261">
        <f t="shared" si="182"/>
        <v>1013</v>
      </c>
      <c r="CO86" s="261">
        <f t="shared" si="182"/>
        <v>1013</v>
      </c>
      <c r="CP86" s="706"/>
      <c r="CQ86" s="261"/>
      <c r="CR86" s="261"/>
      <c r="CS86" s="261"/>
      <c r="CT86" s="706"/>
      <c r="CU86" s="261"/>
      <c r="CV86" s="261"/>
      <c r="CW86" s="707"/>
      <c r="CX86" s="261"/>
      <c r="CY86" s="261"/>
      <c r="CZ86" s="261"/>
      <c r="DA86" s="261"/>
      <c r="DB86" s="706"/>
      <c r="DC86" s="261"/>
      <c r="DD86" s="261"/>
      <c r="DE86" s="261"/>
      <c r="DF86" s="706"/>
      <c r="DG86" s="1116"/>
      <c r="DH86" s="1116"/>
      <c r="DI86" s="707"/>
      <c r="DJ86" s="706"/>
      <c r="DK86" s="1116"/>
      <c r="DL86" s="1116"/>
      <c r="DM86" s="707"/>
      <c r="DN86" s="1116"/>
      <c r="DO86" s="1116"/>
      <c r="DP86" s="1116"/>
      <c r="DQ86" s="707"/>
      <c r="DR86" s="1116"/>
      <c r="DS86" s="1116"/>
      <c r="DT86" s="1116"/>
      <c r="DU86" s="707"/>
      <c r="DV86" s="1116"/>
      <c r="DW86" s="1116"/>
      <c r="DX86" s="1116"/>
      <c r="DY86" s="707"/>
    </row>
    <row r="87" spans="1:134" collapsed="1">
      <c r="A87" s="88"/>
      <c r="B87" s="87"/>
      <c r="C87" s="87"/>
      <c r="D87" s="87"/>
      <c r="E87" s="143"/>
      <c r="F87" s="143"/>
      <c r="G87" s="143"/>
      <c r="H87" s="143"/>
      <c r="I87" s="143"/>
      <c r="J87" s="143"/>
      <c r="K87" s="143"/>
      <c r="L87" s="143"/>
      <c r="M87" s="143"/>
      <c r="N87" s="143"/>
      <c r="O87" s="143"/>
      <c r="P87" s="143"/>
      <c r="Q87" s="1047"/>
      <c r="R87" s="143"/>
      <c r="S87" s="143"/>
      <c r="T87" s="1047"/>
      <c r="U87" s="143"/>
      <c r="V87" s="143"/>
      <c r="W87" s="143"/>
      <c r="X87" s="143"/>
      <c r="Y87" s="143"/>
      <c r="Z87" s="143"/>
      <c r="AA87" s="1047"/>
      <c r="AB87" s="1047"/>
      <c r="AC87" s="1047"/>
      <c r="AD87" s="1047"/>
      <c r="AE87" s="1047"/>
      <c r="AF87" s="1047"/>
      <c r="AG87" s="1047"/>
      <c r="AH87" s="1961"/>
      <c r="AI87" s="1989"/>
      <c r="AJ87" s="1989"/>
      <c r="AK87" s="1989"/>
      <c r="AL87" s="1989"/>
      <c r="AM87" s="1989"/>
      <c r="AN87" s="1989"/>
      <c r="AO87" s="1989"/>
      <c r="AP87" s="159"/>
      <c r="AQ87" s="143"/>
      <c r="AR87" s="143"/>
      <c r="AS87" s="143"/>
      <c r="AT87" s="159"/>
      <c r="AU87" s="143"/>
      <c r="AV87" s="143"/>
      <c r="AW87" s="143"/>
      <c r="AX87" s="159"/>
      <c r="AY87" s="143"/>
      <c r="AZ87" s="143"/>
      <c r="BA87" s="143"/>
      <c r="BB87" s="268"/>
      <c r="BC87" s="143"/>
      <c r="BD87" s="143"/>
      <c r="BE87" s="143"/>
      <c r="BF87" s="268"/>
      <c r="BG87" s="143"/>
      <c r="BH87" s="143"/>
      <c r="BI87" s="143"/>
      <c r="BJ87" s="159"/>
      <c r="BK87" s="143"/>
      <c r="BL87" s="143"/>
      <c r="BM87" s="143"/>
      <c r="BN87" s="159"/>
      <c r="BO87" s="143"/>
      <c r="BP87" s="143"/>
      <c r="BQ87" s="143"/>
      <c r="BR87" s="159"/>
      <c r="BS87" s="143"/>
      <c r="BT87" s="143"/>
      <c r="BU87" s="143"/>
      <c r="BV87" s="88"/>
      <c r="BW87" s="87"/>
      <c r="BX87" s="87"/>
      <c r="BY87" s="87"/>
      <c r="BZ87" s="88"/>
      <c r="CA87" s="87"/>
      <c r="CB87" s="87"/>
      <c r="CC87" s="87"/>
      <c r="CD87" s="88"/>
      <c r="CE87" s="87"/>
      <c r="CF87" s="87"/>
      <c r="CG87" s="87"/>
      <c r="CH87" s="88"/>
      <c r="CI87" s="87"/>
      <c r="CJ87" s="87"/>
      <c r="CK87" s="87"/>
      <c r="CL87" s="88"/>
      <c r="CM87" s="87"/>
      <c r="CN87" s="87"/>
      <c r="CO87" s="87"/>
      <c r="CP87" s="88"/>
      <c r="CQ87" s="87"/>
      <c r="CR87" s="87"/>
      <c r="CS87" s="87"/>
      <c r="CT87" s="88"/>
      <c r="CU87" s="87"/>
      <c r="CV87" s="87"/>
      <c r="CW87" s="144"/>
      <c r="CX87" s="87"/>
      <c r="CY87" s="87"/>
      <c r="CZ87" s="87"/>
      <c r="DA87" s="87"/>
      <c r="DB87" s="88"/>
      <c r="DC87" s="87"/>
      <c r="DD87" s="87"/>
      <c r="DE87" s="87"/>
      <c r="DF87" s="88"/>
      <c r="DG87" s="1041"/>
      <c r="DH87" s="1041"/>
      <c r="DI87" s="144"/>
      <c r="DJ87" s="88"/>
      <c r="DK87" s="1041"/>
      <c r="DL87" s="1041"/>
      <c r="DM87" s="144"/>
      <c r="DN87" s="1041"/>
      <c r="DO87" s="1041"/>
      <c r="DP87" s="1041"/>
      <c r="DQ87" s="144"/>
      <c r="DR87" s="1041"/>
      <c r="DS87" s="1041"/>
      <c r="DT87" s="1041"/>
      <c r="DU87" s="144"/>
      <c r="DV87" s="1041"/>
      <c r="DW87" s="1044"/>
      <c r="DX87" s="1044"/>
      <c r="DY87" s="172"/>
      <c r="EA87" s="1903"/>
      <c r="EB87" s="1903"/>
      <c r="EC87" s="1903"/>
      <c r="ED87" s="1903"/>
    </row>
    <row r="88" spans="1:134" ht="13.5" customHeight="1">
      <c r="A88" s="198" t="s">
        <v>456</v>
      </c>
      <c r="B88" s="719"/>
      <c r="C88" s="719"/>
      <c r="D88" s="719"/>
      <c r="E88" s="719"/>
      <c r="F88" s="719"/>
      <c r="G88" s="719"/>
      <c r="H88" s="719"/>
      <c r="I88" s="719"/>
      <c r="J88" s="719"/>
      <c r="K88" s="719"/>
      <c r="L88" s="719"/>
      <c r="M88" s="719"/>
      <c r="N88" s="719"/>
      <c r="O88" s="719"/>
      <c r="P88" s="719"/>
      <c r="Q88" s="1122"/>
      <c r="R88" s="719"/>
      <c r="S88" s="719"/>
      <c r="T88" s="1122"/>
      <c r="U88" s="719"/>
      <c r="V88" s="719"/>
      <c r="W88" s="719"/>
      <c r="X88" s="719"/>
      <c r="Y88" s="719"/>
      <c r="Z88" s="719"/>
      <c r="AA88" s="1122"/>
      <c r="AB88" s="1122"/>
      <c r="AC88" s="1122"/>
      <c r="AD88" s="1122"/>
      <c r="AE88" s="1122"/>
      <c r="AF88" s="1122"/>
      <c r="AG88" s="1122"/>
      <c r="AH88" s="1961"/>
      <c r="AI88" s="1989"/>
      <c r="AJ88" s="1989"/>
      <c r="AK88" s="1989"/>
      <c r="AL88" s="1989"/>
      <c r="AM88" s="1989"/>
      <c r="AN88" s="1989"/>
      <c r="AO88" s="1989"/>
      <c r="AP88" s="720"/>
      <c r="AQ88" s="719"/>
      <c r="AR88" s="719"/>
      <c r="AS88" s="719"/>
      <c r="AT88" s="720"/>
      <c r="AU88" s="719"/>
      <c r="AV88" s="719"/>
      <c r="AW88" s="719"/>
      <c r="AX88" s="720"/>
      <c r="AY88" s="719"/>
      <c r="AZ88" s="719"/>
      <c r="BA88" s="719"/>
      <c r="BB88" s="720"/>
      <c r="BC88" s="719"/>
      <c r="BD88" s="719"/>
      <c r="BE88" s="719"/>
      <c r="BF88" s="720"/>
      <c r="BG88" s="719"/>
      <c r="BH88" s="719"/>
      <c r="BI88" s="719"/>
      <c r="BJ88" s="720"/>
      <c r="BK88" s="719"/>
      <c r="BL88" s="719"/>
      <c r="BM88" s="719"/>
      <c r="BN88" s="720"/>
      <c r="BO88" s="719"/>
      <c r="BP88" s="719"/>
      <c r="BQ88" s="719"/>
      <c r="BR88" s="720"/>
      <c r="BS88" s="719"/>
      <c r="BT88" s="719"/>
      <c r="BU88" s="719"/>
      <c r="BV88" s="720"/>
      <c r="BW88" s="719"/>
      <c r="BX88" s="719"/>
      <c r="BY88" s="719"/>
      <c r="BZ88" s="720"/>
      <c r="CA88" s="719"/>
      <c r="CB88" s="719"/>
      <c r="CC88" s="719"/>
      <c r="CD88" s="198"/>
      <c r="CE88" s="139"/>
      <c r="CF88" s="139"/>
      <c r="CG88" s="139"/>
      <c r="CH88" s="198"/>
      <c r="CI88" s="139"/>
      <c r="CJ88" s="139"/>
      <c r="CK88" s="591" t="s">
        <v>316</v>
      </c>
      <c r="CL88" s="141"/>
      <c r="CM88" s="591" t="s">
        <v>416</v>
      </c>
      <c r="CN88" s="139"/>
      <c r="CO88" s="139"/>
      <c r="CP88" s="198"/>
      <c r="CQ88" s="139"/>
      <c r="CR88" s="139"/>
      <c r="CS88" s="139"/>
      <c r="CT88" s="198"/>
      <c r="CU88" s="139"/>
      <c r="CV88" s="139"/>
      <c r="CW88" s="199"/>
      <c r="CX88" s="139"/>
      <c r="CY88" s="139"/>
      <c r="CZ88" s="139"/>
      <c r="DA88" s="139"/>
      <c r="DB88" s="198"/>
      <c r="DC88" s="139"/>
      <c r="DD88" s="139"/>
      <c r="DE88" s="139"/>
      <c r="DF88" s="198"/>
      <c r="DG88" s="1048"/>
      <c r="DH88" s="1048"/>
      <c r="DI88" s="199"/>
      <c r="DJ88" s="198"/>
      <c r="DK88" s="1048"/>
      <c r="DL88" s="1048"/>
      <c r="DM88" s="199"/>
      <c r="DN88" s="1048"/>
      <c r="DO88" s="1048"/>
      <c r="DP88" s="1048"/>
      <c r="DQ88" s="199"/>
      <c r="DR88" s="1048"/>
      <c r="DS88" s="1048"/>
      <c r="DT88" s="1048"/>
      <c r="DU88" s="199"/>
      <c r="DV88" s="1048"/>
      <c r="DW88" s="1048"/>
      <c r="DX88" s="1048"/>
      <c r="DY88" s="199"/>
    </row>
    <row r="89" spans="1:134">
      <c r="A89" s="88"/>
      <c r="B89" s="87"/>
      <c r="C89" s="87"/>
      <c r="D89" s="87"/>
      <c r="E89" s="87"/>
      <c r="F89" s="87"/>
      <c r="G89" s="87"/>
      <c r="H89" s="87"/>
      <c r="I89" s="87"/>
      <c r="J89" s="87"/>
      <c r="K89" s="87"/>
      <c r="L89" s="87"/>
      <c r="M89" s="87"/>
      <c r="N89" s="87"/>
      <c r="O89" s="87"/>
      <c r="P89" s="143"/>
      <c r="Q89" s="1041"/>
      <c r="R89" s="87"/>
      <c r="S89" s="87"/>
      <c r="T89" s="1041"/>
      <c r="U89" s="87"/>
      <c r="V89" s="87"/>
      <c r="W89" s="87"/>
      <c r="X89" s="87"/>
      <c r="Y89" s="87"/>
      <c r="Z89" s="87"/>
      <c r="AA89" s="1041"/>
      <c r="AB89" s="1041"/>
      <c r="AC89" s="1041"/>
      <c r="AD89" s="1041"/>
      <c r="AE89" s="1041"/>
      <c r="AF89" s="1041"/>
      <c r="AG89" s="1041"/>
      <c r="AH89" s="1961"/>
      <c r="AI89" s="1989"/>
      <c r="AJ89" s="1989"/>
      <c r="AK89" s="1989"/>
      <c r="AL89" s="1989"/>
      <c r="AM89" s="1989"/>
      <c r="AN89" s="1989"/>
      <c r="AO89" s="1989"/>
      <c r="AP89" s="88"/>
      <c r="AQ89" s="87"/>
      <c r="AR89" s="87"/>
      <c r="AS89" s="87"/>
      <c r="AT89" s="88"/>
      <c r="AU89" s="87"/>
      <c r="AV89" s="87"/>
      <c r="AW89" s="87"/>
      <c r="AX89" s="88"/>
      <c r="AY89" s="87"/>
      <c r="AZ89" s="87"/>
      <c r="BA89" s="87"/>
      <c r="BB89" s="88"/>
      <c r="BC89" s="87"/>
      <c r="BD89" s="87"/>
      <c r="BE89" s="87"/>
      <c r="BF89" s="88"/>
      <c r="BG89" s="87"/>
      <c r="BH89" s="87"/>
      <c r="BI89" s="87"/>
      <c r="BJ89" s="88"/>
      <c r="BK89" s="87"/>
      <c r="BL89" s="87"/>
      <c r="BM89" s="143"/>
      <c r="BN89" s="88"/>
      <c r="BO89" s="87"/>
      <c r="BP89" s="87"/>
      <c r="BQ89" s="87"/>
      <c r="BR89" s="88"/>
      <c r="BS89" s="87"/>
      <c r="BT89" s="87"/>
      <c r="BU89" s="87"/>
      <c r="BV89" s="88"/>
      <c r="BW89" s="87"/>
      <c r="BX89" s="87"/>
      <c r="BY89" s="87"/>
      <c r="BZ89" s="3485" t="s">
        <v>1150</v>
      </c>
      <c r="CA89" s="3485"/>
      <c r="CB89" s="3485"/>
      <c r="CC89" s="3485"/>
      <c r="CD89" s="3485"/>
      <c r="CE89" s="3485"/>
      <c r="CF89" s="3485"/>
      <c r="CG89" s="3485"/>
      <c r="CH89" s="3485"/>
      <c r="CI89" s="87"/>
      <c r="CJ89" s="87"/>
      <c r="CK89" s="87"/>
      <c r="CL89" s="88"/>
      <c r="CM89" s="87"/>
      <c r="CN89" s="87"/>
      <c r="CO89" s="87"/>
      <c r="CP89" s="88"/>
      <c r="CQ89" s="87"/>
      <c r="CR89" s="87"/>
      <c r="CS89" s="87"/>
      <c r="CT89" s="554"/>
      <c r="CW89" s="555"/>
      <c r="DB89" s="554"/>
      <c r="DF89" s="554"/>
      <c r="DI89" s="555"/>
      <c r="DJ89" s="554"/>
      <c r="DM89" s="555"/>
      <c r="DQ89" s="555"/>
      <c r="DU89" s="555"/>
      <c r="DY89" s="555"/>
    </row>
    <row r="90" spans="1:134" s="1958" customFormat="1">
      <c r="A90" s="1933" t="s">
        <v>338</v>
      </c>
      <c r="B90" s="1989"/>
      <c r="C90" s="1989"/>
      <c r="D90" s="1989"/>
      <c r="E90" s="1989"/>
      <c r="F90" s="1990"/>
      <c r="G90" s="1991">
        <f>BA90</f>
        <v>87</v>
      </c>
      <c r="H90" s="1991">
        <f>BE90</f>
        <v>540</v>
      </c>
      <c r="I90" s="1991">
        <f>BI90</f>
        <v>1100</v>
      </c>
      <c r="J90" s="1991">
        <f>BM90</f>
        <v>1703</v>
      </c>
      <c r="K90" s="1991">
        <f>BQ90</f>
        <v>2319</v>
      </c>
      <c r="L90" s="1991">
        <f>BU90</f>
        <v>3559</v>
      </c>
      <c r="M90" s="1991">
        <f>BY90</f>
        <v>4975</v>
      </c>
      <c r="N90" s="1991">
        <f>CC90</f>
        <v>6099</v>
      </c>
      <c r="O90" s="1991">
        <f>CG90</f>
        <v>5640</v>
      </c>
      <c r="P90" s="1991">
        <f>CK90</f>
        <v>5305</v>
      </c>
      <c r="Q90" s="1992">
        <f>CO90</f>
        <v>4874</v>
      </c>
      <c r="R90" s="1991">
        <f>+CS90</f>
        <v>4310</v>
      </c>
      <c r="S90" s="1991">
        <f>+CW90</f>
        <v>3853</v>
      </c>
      <c r="T90" s="1992">
        <f>+DA90</f>
        <v>3371</v>
      </c>
      <c r="U90" s="1991">
        <f>+DE90</f>
        <v>2943</v>
      </c>
      <c r="V90" s="1991">
        <f>+DI90</f>
        <v>2589</v>
      </c>
      <c r="W90" s="1991">
        <f>+DM90</f>
        <v>2194</v>
      </c>
      <c r="X90" s="1991">
        <f>+DQ90</f>
        <v>1385</v>
      </c>
      <c r="Y90" s="1991">
        <f>+DU90</f>
        <v>1109</v>
      </c>
      <c r="Z90" s="1991">
        <f>+DY90</f>
        <v>870</v>
      </c>
      <c r="AA90" s="1992">
        <f>Z90+AA92</f>
        <v>696</v>
      </c>
      <c r="AB90" s="1992">
        <f>AA90+AB92</f>
        <v>556.79999999999995</v>
      </c>
      <c r="AC90" s="1992">
        <f t="shared" ref="AC90:AG90" si="183">AB90+AC92</f>
        <v>445.43999999999994</v>
      </c>
      <c r="AD90" s="1992">
        <f t="shared" si="183"/>
        <v>356.35199999999998</v>
      </c>
      <c r="AE90" s="1992">
        <f t="shared" si="183"/>
        <v>285.08159999999998</v>
      </c>
      <c r="AF90" s="1992">
        <f t="shared" si="183"/>
        <v>228.06527999999997</v>
      </c>
      <c r="AG90" s="1992">
        <f t="shared" si="183"/>
        <v>182.45222399999997</v>
      </c>
      <c r="AH90" s="1961"/>
      <c r="AI90" s="1989"/>
      <c r="AJ90" s="1989"/>
      <c r="AK90" s="1989"/>
      <c r="AL90" s="1989"/>
      <c r="AM90" s="1989"/>
      <c r="AN90" s="1989"/>
      <c r="AO90" s="1989"/>
      <c r="AP90" s="1993"/>
      <c r="AQ90" s="1991"/>
      <c r="AR90" s="1991"/>
      <c r="AS90" s="1991"/>
      <c r="AT90" s="1993"/>
      <c r="AU90" s="1991"/>
      <c r="AV90" s="1991"/>
      <c r="AW90" s="1991"/>
      <c r="AX90" s="1993"/>
      <c r="AY90" s="1991"/>
      <c r="AZ90" s="1991"/>
      <c r="BA90" s="1991">
        <v>87</v>
      </c>
      <c r="BB90" s="1993">
        <v>150</v>
      </c>
      <c r="BC90" s="1991">
        <v>221</v>
      </c>
      <c r="BD90" s="1991">
        <v>351</v>
      </c>
      <c r="BE90" s="1991">
        <v>540</v>
      </c>
      <c r="BF90" s="1993">
        <v>720</v>
      </c>
      <c r="BG90" s="1991">
        <v>840</v>
      </c>
      <c r="BH90" s="1991">
        <v>975</v>
      </c>
      <c r="BI90" s="1991">
        <v>1100</v>
      </c>
      <c r="BJ90" s="1993">
        <f>BI90+BJ92</f>
        <v>1250</v>
      </c>
      <c r="BK90" s="1991">
        <f>BJ90+BK92</f>
        <v>1400</v>
      </c>
      <c r="BL90" s="1991">
        <f>BK90+BL92</f>
        <v>1555</v>
      </c>
      <c r="BM90" s="1991">
        <f>BL90+BM92</f>
        <v>1703</v>
      </c>
      <c r="BN90" s="1993">
        <v>1830</v>
      </c>
      <c r="BO90" s="1991">
        <f t="shared" ref="BO90:CF90" si="184">BN90+BO92</f>
        <v>1931</v>
      </c>
      <c r="BP90" s="1991">
        <f t="shared" si="184"/>
        <v>2116</v>
      </c>
      <c r="BQ90" s="1991">
        <f t="shared" si="184"/>
        <v>2319</v>
      </c>
      <c r="BR90" s="1993">
        <f t="shared" si="184"/>
        <v>2664</v>
      </c>
      <c r="BS90" s="1991">
        <f t="shared" si="184"/>
        <v>2944</v>
      </c>
      <c r="BT90" s="1991">
        <f t="shared" si="184"/>
        <v>3253</v>
      </c>
      <c r="BU90" s="1991">
        <f t="shared" si="184"/>
        <v>3559</v>
      </c>
      <c r="BV90" s="1993">
        <f t="shared" si="184"/>
        <v>3864</v>
      </c>
      <c r="BW90" s="1991">
        <f t="shared" si="184"/>
        <v>4142</v>
      </c>
      <c r="BX90" s="1991">
        <f t="shared" si="184"/>
        <v>4531</v>
      </c>
      <c r="BY90" s="1991">
        <f t="shared" si="184"/>
        <v>4975</v>
      </c>
      <c r="BZ90" s="1993">
        <f t="shared" si="184"/>
        <v>5269</v>
      </c>
      <c r="CA90" s="1991">
        <f t="shared" si="184"/>
        <v>5582</v>
      </c>
      <c r="CB90" s="1991">
        <f t="shared" si="184"/>
        <v>5868</v>
      </c>
      <c r="CC90" s="1991">
        <f t="shared" si="184"/>
        <v>6099</v>
      </c>
      <c r="CD90" s="1993">
        <f t="shared" si="184"/>
        <v>6337</v>
      </c>
      <c r="CE90" s="1991">
        <f t="shared" si="184"/>
        <v>6417</v>
      </c>
      <c r="CF90" s="1991">
        <f t="shared" si="184"/>
        <v>6470</v>
      </c>
      <c r="CG90" s="1994">
        <f>6488-CG136</f>
        <v>5640</v>
      </c>
      <c r="CH90" s="1995">
        <f>6489-CH136</f>
        <v>5615</v>
      </c>
      <c r="CI90" s="1994">
        <f>6356-CI136</f>
        <v>5483</v>
      </c>
      <c r="CJ90" s="1994">
        <f>6260-CJ136</f>
        <v>5373.0186915887853</v>
      </c>
      <c r="CK90" s="1994">
        <f>6192-CK136</f>
        <v>5305</v>
      </c>
      <c r="CL90" s="1995">
        <v>5243</v>
      </c>
      <c r="CM90" s="1994">
        <v>5122</v>
      </c>
      <c r="CN90" s="1994">
        <v>4983</v>
      </c>
      <c r="CO90" s="1994">
        <v>4874</v>
      </c>
      <c r="CP90" s="1995">
        <v>4775</v>
      </c>
      <c r="CQ90" s="1994">
        <v>4620</v>
      </c>
      <c r="CR90" s="1994">
        <v>4454</v>
      </c>
      <c r="CS90" s="1994">
        <v>4310</v>
      </c>
      <c r="CT90" s="1995">
        <v>4201</v>
      </c>
      <c r="CU90" s="1994">
        <v>4074</v>
      </c>
      <c r="CV90" s="1994">
        <v>3956</v>
      </c>
      <c r="CW90" s="1996">
        <v>3853</v>
      </c>
      <c r="CX90" s="1994">
        <v>3764</v>
      </c>
      <c r="CY90" s="1994">
        <v>3632</v>
      </c>
      <c r="CZ90" s="1994">
        <v>3488</v>
      </c>
      <c r="DA90" s="1994">
        <v>3371</v>
      </c>
      <c r="DB90" s="1995">
        <v>3282</v>
      </c>
      <c r="DC90" s="1994">
        <v>3166</v>
      </c>
      <c r="DD90" s="1994">
        <v>3049</v>
      </c>
      <c r="DE90" s="1994">
        <v>2943</v>
      </c>
      <c r="DF90" s="1995">
        <v>2861</v>
      </c>
      <c r="DG90" s="1997">
        <v>2768</v>
      </c>
      <c r="DH90" s="1997">
        <v>2675</v>
      </c>
      <c r="DI90" s="1996">
        <v>2589</v>
      </c>
      <c r="DJ90" s="1995">
        <v>2497</v>
      </c>
      <c r="DK90" s="1997">
        <v>2400</v>
      </c>
      <c r="DL90" s="1997">
        <v>2288</v>
      </c>
      <c r="DM90" s="1996">
        <v>2194</v>
      </c>
      <c r="DN90" s="1997">
        <v>2086</v>
      </c>
      <c r="DO90" s="1997">
        <v>1519</v>
      </c>
      <c r="DP90" s="1997">
        <v>1453</v>
      </c>
      <c r="DQ90" s="1996">
        <v>1385</v>
      </c>
      <c r="DR90" s="1997">
        <v>1323</v>
      </c>
      <c r="DS90" s="1997">
        <v>1251</v>
      </c>
      <c r="DT90" s="1997">
        <v>1175</v>
      </c>
      <c r="DU90" s="1996">
        <v>1109</v>
      </c>
      <c r="DV90" s="1997">
        <v>1050</v>
      </c>
      <c r="DW90" s="1992">
        <f t="shared" ref="DW90" si="185">DV90+DW92</f>
        <v>990</v>
      </c>
      <c r="DX90" s="1992">
        <f t="shared" ref="DX90" si="186">DW90+DX92</f>
        <v>930</v>
      </c>
      <c r="DY90" s="1998">
        <f t="shared" ref="DY90" si="187">DX90+DY92</f>
        <v>870</v>
      </c>
    </row>
    <row r="91" spans="1:134">
      <c r="A91" s="176" t="s">
        <v>991</v>
      </c>
      <c r="B91" s="94"/>
      <c r="C91" s="94"/>
      <c r="D91" s="94"/>
      <c r="E91" s="94"/>
      <c r="F91" s="94"/>
      <c r="G91" s="94"/>
      <c r="H91" s="94"/>
      <c r="I91" s="94">
        <f t="shared" ref="I91:AB91" si="188">I90/H90-1</f>
        <v>1.0370370370370372</v>
      </c>
      <c r="J91" s="94">
        <f t="shared" si="188"/>
        <v>0.5481818181818181</v>
      </c>
      <c r="K91" s="94">
        <f t="shared" si="188"/>
        <v>0.36171462125660603</v>
      </c>
      <c r="L91" s="94">
        <f t="shared" si="188"/>
        <v>0.53471323846485563</v>
      </c>
      <c r="M91" s="94">
        <f t="shared" si="188"/>
        <v>0.39786456869907272</v>
      </c>
      <c r="N91" s="94">
        <f t="shared" si="188"/>
        <v>0.22592964824120609</v>
      </c>
      <c r="O91" s="94">
        <f t="shared" si="188"/>
        <v>-7.5258239055582932E-2</v>
      </c>
      <c r="P91" s="94">
        <f t="shared" si="188"/>
        <v>-5.939716312056742E-2</v>
      </c>
      <c r="Q91" s="1045">
        <f t="shared" si="188"/>
        <v>-8.1244109330819936E-2</v>
      </c>
      <c r="R91" s="94">
        <f t="shared" si="188"/>
        <v>-0.11571604431678295</v>
      </c>
      <c r="S91" s="94">
        <f t="shared" si="188"/>
        <v>-0.10603248259860787</v>
      </c>
      <c r="T91" s="1045">
        <f t="shared" si="188"/>
        <v>-0.12509732675837015</v>
      </c>
      <c r="U91" s="94">
        <f t="shared" si="188"/>
        <v>-0.12696529219816077</v>
      </c>
      <c r="V91" s="94">
        <f t="shared" si="188"/>
        <v>-0.12028542303771661</v>
      </c>
      <c r="W91" s="94">
        <f>W90/V90-1</f>
        <v>-0.15256855928930091</v>
      </c>
      <c r="X91" s="94">
        <f>X90/W90-1</f>
        <v>-0.36873290793072011</v>
      </c>
      <c r="Y91" s="94">
        <f>Y90/X90-1</f>
        <v>-0.19927797833935013</v>
      </c>
      <c r="Z91" s="94">
        <f>Z90/Y90-1</f>
        <v>-0.21550946798917947</v>
      </c>
      <c r="AA91" s="1045">
        <f t="shared" si="188"/>
        <v>-0.19999999999999996</v>
      </c>
      <c r="AB91" s="1045">
        <f t="shared" si="188"/>
        <v>-0.20000000000000007</v>
      </c>
      <c r="AC91" s="1045">
        <f t="shared" ref="AC91" si="189">AC90/AB90-1</f>
        <v>-0.20000000000000007</v>
      </c>
      <c r="AD91" s="1045">
        <f t="shared" ref="AD91" si="190">AD90/AC90-1</f>
        <v>-0.19999999999999996</v>
      </c>
      <c r="AE91" s="1045">
        <f t="shared" ref="AE91" si="191">AE90/AD90-1</f>
        <v>-0.19999999999999996</v>
      </c>
      <c r="AF91" s="1045">
        <f t="shared" ref="AF91" si="192">AF90/AE90-1</f>
        <v>-0.20000000000000007</v>
      </c>
      <c r="AG91" s="1045">
        <f t="shared" ref="AG91" si="193">AG90/AF90-1</f>
        <v>-0.20000000000000007</v>
      </c>
      <c r="AH91" s="1962"/>
      <c r="AI91" s="2159"/>
      <c r="AJ91" s="2159"/>
      <c r="AK91" s="2159"/>
      <c r="AL91" s="2159"/>
      <c r="AM91" s="2159"/>
      <c r="AN91" s="2159"/>
      <c r="AO91" s="2159"/>
      <c r="AP91" s="147"/>
      <c r="AQ91" s="94"/>
      <c r="AR91" s="94"/>
      <c r="AS91" s="94"/>
      <c r="AT91" s="147"/>
      <c r="AU91" s="94"/>
      <c r="AV91" s="94"/>
      <c r="AW91" s="94"/>
      <c r="AX91" s="147"/>
      <c r="AY91" s="94"/>
      <c r="AZ91" s="94"/>
      <c r="BA91" s="94"/>
      <c r="BB91" s="147"/>
      <c r="BC91" s="94"/>
      <c r="BD91" s="94"/>
      <c r="BE91" s="94">
        <f t="shared" ref="BE91:CJ91" si="194">BE90/BA90-1</f>
        <v>5.2068965517241379</v>
      </c>
      <c r="BF91" s="147">
        <f t="shared" si="194"/>
        <v>3.8</v>
      </c>
      <c r="BG91" s="94">
        <f t="shared" si="194"/>
        <v>2.8009049773755654</v>
      </c>
      <c r="BH91" s="94">
        <f t="shared" si="194"/>
        <v>1.7777777777777777</v>
      </c>
      <c r="BI91" s="94">
        <f t="shared" si="194"/>
        <v>1.0370370370370372</v>
      </c>
      <c r="BJ91" s="147">
        <f t="shared" si="194"/>
        <v>0.73611111111111116</v>
      </c>
      <c r="BK91" s="94">
        <f t="shared" si="194"/>
        <v>0.66666666666666674</v>
      </c>
      <c r="BL91" s="94">
        <f t="shared" si="194"/>
        <v>0.59487179487179498</v>
      </c>
      <c r="BM91" s="94">
        <f t="shared" si="194"/>
        <v>0.5481818181818181</v>
      </c>
      <c r="BN91" s="147">
        <f t="shared" si="194"/>
        <v>0.46399999999999997</v>
      </c>
      <c r="BO91" s="94">
        <f t="shared" si="194"/>
        <v>0.37928571428571423</v>
      </c>
      <c r="BP91" s="94">
        <f t="shared" si="194"/>
        <v>0.36077170418006421</v>
      </c>
      <c r="BQ91" s="94">
        <f t="shared" si="194"/>
        <v>0.36171462125660603</v>
      </c>
      <c r="BR91" s="147">
        <f t="shared" si="194"/>
        <v>0.45573770491803289</v>
      </c>
      <c r="BS91" s="94">
        <f t="shared" si="194"/>
        <v>0.52459865354738477</v>
      </c>
      <c r="BT91" s="94">
        <f t="shared" si="194"/>
        <v>0.53733459357277891</v>
      </c>
      <c r="BU91" s="94">
        <f t="shared" si="194"/>
        <v>0.53471323846485563</v>
      </c>
      <c r="BV91" s="147">
        <f t="shared" si="194"/>
        <v>0.45045045045045051</v>
      </c>
      <c r="BW91" s="94">
        <f t="shared" si="194"/>
        <v>0.40692934782608692</v>
      </c>
      <c r="BX91" s="94">
        <f t="shared" si="194"/>
        <v>0.39286812173378416</v>
      </c>
      <c r="BY91" s="94">
        <f t="shared" si="194"/>
        <v>0.39786456869907272</v>
      </c>
      <c r="BZ91" s="147">
        <f t="shared" si="194"/>
        <v>0.3636128364389235</v>
      </c>
      <c r="CA91" s="94">
        <f t="shared" si="194"/>
        <v>0.3476581361661033</v>
      </c>
      <c r="CB91" s="94">
        <f t="shared" si="194"/>
        <v>0.29507834915029796</v>
      </c>
      <c r="CC91" s="94">
        <f t="shared" si="194"/>
        <v>0.22592964824120609</v>
      </c>
      <c r="CD91" s="147">
        <f t="shared" si="194"/>
        <v>0.20269500854051992</v>
      </c>
      <c r="CE91" s="94">
        <f t="shared" si="194"/>
        <v>0.14958796130419194</v>
      </c>
      <c r="CF91" s="94">
        <f t="shared" si="194"/>
        <v>0.10259032038173133</v>
      </c>
      <c r="CG91" s="94">
        <f t="shared" si="194"/>
        <v>-7.5258239055582932E-2</v>
      </c>
      <c r="CH91" s="147">
        <f t="shared" si="194"/>
        <v>-0.11393403818841719</v>
      </c>
      <c r="CI91" s="94">
        <f t="shared" si="194"/>
        <v>-0.14555088047374165</v>
      </c>
      <c r="CJ91" s="94">
        <f t="shared" si="194"/>
        <v>-0.16954888847159422</v>
      </c>
      <c r="CK91" s="94">
        <f t="shared" ref="CK91:DV91" si="195">CK90/CG90-1</f>
        <v>-5.939716312056742E-2</v>
      </c>
      <c r="CL91" s="147">
        <f t="shared" si="195"/>
        <v>-6.6251113089937697E-2</v>
      </c>
      <c r="CM91" s="94">
        <f t="shared" si="195"/>
        <v>-6.5839868685026448E-2</v>
      </c>
      <c r="CN91" s="94">
        <f t="shared" si="195"/>
        <v>-7.2588374240972198E-2</v>
      </c>
      <c r="CO91" s="94">
        <f t="shared" si="195"/>
        <v>-8.1244109330819936E-2</v>
      </c>
      <c r="CP91" s="147">
        <f t="shared" si="195"/>
        <v>-8.9261872973488421E-2</v>
      </c>
      <c r="CQ91" s="94">
        <f t="shared" si="195"/>
        <v>-9.8008590394377149E-2</v>
      </c>
      <c r="CR91" s="94">
        <f t="shared" si="195"/>
        <v>-0.10616094722054992</v>
      </c>
      <c r="CS91" s="94">
        <f t="shared" si="195"/>
        <v>-0.11571604431678295</v>
      </c>
      <c r="CT91" s="147">
        <f t="shared" si="195"/>
        <v>-0.12020942408376967</v>
      </c>
      <c r="CU91" s="94">
        <f t="shared" si="195"/>
        <v>-0.11818181818181817</v>
      </c>
      <c r="CV91" s="94">
        <f t="shared" si="195"/>
        <v>-0.11180960933991912</v>
      </c>
      <c r="CW91" s="101">
        <f t="shared" si="195"/>
        <v>-0.10603248259860787</v>
      </c>
      <c r="CX91" s="94">
        <f t="shared" si="195"/>
        <v>-0.10402285170197567</v>
      </c>
      <c r="CY91" s="94">
        <f t="shared" si="195"/>
        <v>-0.10849288168875793</v>
      </c>
      <c r="CZ91" s="94">
        <f t="shared" si="195"/>
        <v>-0.11830131445904957</v>
      </c>
      <c r="DA91" s="94">
        <f t="shared" si="195"/>
        <v>-0.12509732675837015</v>
      </c>
      <c r="DB91" s="147">
        <f t="shared" si="195"/>
        <v>-0.12805526036131776</v>
      </c>
      <c r="DC91" s="94">
        <f t="shared" si="195"/>
        <v>-0.12830396475770922</v>
      </c>
      <c r="DD91" s="94">
        <f t="shared" si="195"/>
        <v>-0.1258600917431193</v>
      </c>
      <c r="DE91" s="94">
        <f t="shared" si="195"/>
        <v>-0.12696529219816077</v>
      </c>
      <c r="DF91" s="147">
        <f t="shared" si="195"/>
        <v>-0.12827544180377815</v>
      </c>
      <c r="DG91" s="1045">
        <f t="shared" si="195"/>
        <v>-0.1257106759317751</v>
      </c>
      <c r="DH91" s="1045">
        <f t="shared" si="195"/>
        <v>-0.12266316825188583</v>
      </c>
      <c r="DI91" s="101">
        <f t="shared" si="195"/>
        <v>-0.12028542303771661</v>
      </c>
      <c r="DJ91" s="147">
        <f t="shared" si="195"/>
        <v>-0.12722824187347082</v>
      </c>
      <c r="DK91" s="1045">
        <f t="shared" si="195"/>
        <v>-0.13294797687861271</v>
      </c>
      <c r="DL91" s="1045">
        <f t="shared" si="195"/>
        <v>-0.14467289719626164</v>
      </c>
      <c r="DM91" s="101">
        <f t="shared" si="195"/>
        <v>-0.15256855928930091</v>
      </c>
      <c r="DN91" s="1045">
        <f t="shared" si="195"/>
        <v>-0.16459751702042447</v>
      </c>
      <c r="DO91" s="1045">
        <f t="shared" si="195"/>
        <v>-0.36708333333333332</v>
      </c>
      <c r="DP91" s="1045">
        <f t="shared" si="195"/>
        <v>-0.36494755244755239</v>
      </c>
      <c r="DQ91" s="101">
        <f t="shared" si="195"/>
        <v>-0.36873290793072011</v>
      </c>
      <c r="DR91" s="1045">
        <f t="shared" si="195"/>
        <v>-0.36577181208053688</v>
      </c>
      <c r="DS91" s="1045">
        <f t="shared" si="195"/>
        <v>-0.17643186306780778</v>
      </c>
      <c r="DT91" s="1045">
        <f t="shared" si="195"/>
        <v>-0.19132828630419818</v>
      </c>
      <c r="DU91" s="101">
        <f t="shared" si="195"/>
        <v>-0.19927797833935013</v>
      </c>
      <c r="DV91" s="1045">
        <f t="shared" si="195"/>
        <v>-0.20634920634920639</v>
      </c>
      <c r="DW91" s="1045">
        <f t="shared" ref="DW91" si="196">DW90/DS90-1</f>
        <v>-0.20863309352517989</v>
      </c>
      <c r="DX91" s="1045">
        <f t="shared" ref="DX91" si="197">DX90/DT90-1</f>
        <v>-0.20851063829787231</v>
      </c>
      <c r="DY91" s="101">
        <f t="shared" ref="DY91" si="198">DY90/DU90-1</f>
        <v>-0.21550946798917947</v>
      </c>
    </row>
    <row r="92" spans="1:134">
      <c r="A92" s="721" t="s">
        <v>844</v>
      </c>
      <c r="B92" s="128"/>
      <c r="C92" s="128"/>
      <c r="D92" s="128"/>
      <c r="E92" s="465"/>
      <c r="F92" s="465"/>
      <c r="G92" s="465">
        <f t="shared" ref="G92:Z92" si="199">G90-F90</f>
        <v>87</v>
      </c>
      <c r="H92" s="465">
        <f t="shared" si="199"/>
        <v>453</v>
      </c>
      <c r="I92" s="465">
        <f t="shared" si="199"/>
        <v>560</v>
      </c>
      <c r="J92" s="465">
        <f t="shared" si="199"/>
        <v>603</v>
      </c>
      <c r="K92" s="465">
        <f t="shared" si="199"/>
        <v>616</v>
      </c>
      <c r="L92" s="465">
        <f t="shared" si="199"/>
        <v>1240</v>
      </c>
      <c r="M92" s="465">
        <f t="shared" si="199"/>
        <v>1416</v>
      </c>
      <c r="N92" s="465">
        <f t="shared" si="199"/>
        <v>1124</v>
      </c>
      <c r="O92" s="465">
        <f t="shared" si="199"/>
        <v>-459</v>
      </c>
      <c r="P92" s="465">
        <f t="shared" si="199"/>
        <v>-335</v>
      </c>
      <c r="Q92" s="1123">
        <f t="shared" si="199"/>
        <v>-431</v>
      </c>
      <c r="R92" s="465">
        <f t="shared" si="199"/>
        <v>-564</v>
      </c>
      <c r="S92" s="465">
        <f t="shared" si="199"/>
        <v>-457</v>
      </c>
      <c r="T92" s="1123">
        <f t="shared" si="199"/>
        <v>-482</v>
      </c>
      <c r="U92" s="465">
        <f t="shared" si="199"/>
        <v>-428</v>
      </c>
      <c r="V92" s="465">
        <f t="shared" si="199"/>
        <v>-354</v>
      </c>
      <c r="W92" s="465">
        <f t="shared" si="199"/>
        <v>-395</v>
      </c>
      <c r="X92" s="465">
        <f t="shared" si="199"/>
        <v>-809</v>
      </c>
      <c r="Y92" s="465">
        <f t="shared" si="199"/>
        <v>-276</v>
      </c>
      <c r="Z92" s="465">
        <f t="shared" si="199"/>
        <v>-239</v>
      </c>
      <c r="AA92" s="1123">
        <f t="shared" ref="AA92:AG92" si="200">CHOOSE(_switch,AA93,AA94,AA95)</f>
        <v>-174</v>
      </c>
      <c r="AB92" s="1123">
        <f t="shared" si="200"/>
        <v>-139.20000000000002</v>
      </c>
      <c r="AC92" s="1123">
        <f t="shared" si="200"/>
        <v>-111.36</v>
      </c>
      <c r="AD92" s="1123">
        <f t="shared" si="200"/>
        <v>-89.087999999999994</v>
      </c>
      <c r="AE92" s="1123">
        <f t="shared" si="200"/>
        <v>-71.270399999999995</v>
      </c>
      <c r="AF92" s="1123">
        <f t="shared" si="200"/>
        <v>-57.01632</v>
      </c>
      <c r="AG92" s="1123">
        <f t="shared" si="200"/>
        <v>-45.613056</v>
      </c>
      <c r="AH92" s="2129"/>
      <c r="AI92" s="1989"/>
      <c r="AJ92" s="1989"/>
      <c r="AK92" s="1989"/>
      <c r="AL92" s="1989"/>
      <c r="AM92" s="1989"/>
      <c r="AN92" s="1989"/>
      <c r="AO92" s="1989"/>
      <c r="AP92" s="466"/>
      <c r="AQ92" s="465"/>
      <c r="AR92" s="465"/>
      <c r="AS92" s="465"/>
      <c r="AT92" s="466"/>
      <c r="AU92" s="465"/>
      <c r="AV92" s="465"/>
      <c r="AW92" s="465"/>
      <c r="AX92" s="466"/>
      <c r="AY92" s="465"/>
      <c r="AZ92" s="465"/>
      <c r="BA92" s="465"/>
      <c r="BB92" s="723">
        <f t="shared" ref="BB92:BI92" si="201">BB90-BA90</f>
        <v>63</v>
      </c>
      <c r="BC92" s="724">
        <f t="shared" si="201"/>
        <v>71</v>
      </c>
      <c r="BD92" s="724">
        <f t="shared" si="201"/>
        <v>130</v>
      </c>
      <c r="BE92" s="724">
        <f t="shared" si="201"/>
        <v>189</v>
      </c>
      <c r="BF92" s="723">
        <f t="shared" si="201"/>
        <v>180</v>
      </c>
      <c r="BG92" s="724">
        <f t="shared" si="201"/>
        <v>120</v>
      </c>
      <c r="BH92" s="724">
        <f t="shared" si="201"/>
        <v>135</v>
      </c>
      <c r="BI92" s="724">
        <f t="shared" si="201"/>
        <v>125</v>
      </c>
      <c r="BJ92" s="723">
        <v>150</v>
      </c>
      <c r="BK92" s="724">
        <v>150</v>
      </c>
      <c r="BL92" s="724">
        <v>155</v>
      </c>
      <c r="BM92" s="724">
        <v>148</v>
      </c>
      <c r="BN92" s="723">
        <f>BN90-BM90</f>
        <v>127</v>
      </c>
      <c r="BO92" s="724">
        <v>101</v>
      </c>
      <c r="BP92" s="724">
        <v>185</v>
      </c>
      <c r="BQ92" s="724">
        <v>203</v>
      </c>
      <c r="BR92" s="723">
        <v>345</v>
      </c>
      <c r="BS92" s="724">
        <v>280</v>
      </c>
      <c r="BT92" s="724">
        <v>309</v>
      </c>
      <c r="BU92" s="724">
        <v>306</v>
      </c>
      <c r="BV92" s="723">
        <v>305</v>
      </c>
      <c r="BW92" s="724">
        <v>278</v>
      </c>
      <c r="BX92" s="724">
        <v>389</v>
      </c>
      <c r="BY92" s="724">
        <f>613-BY116</f>
        <v>444</v>
      </c>
      <c r="BZ92" s="725">
        <v>294</v>
      </c>
      <c r="CA92" s="726">
        <v>313</v>
      </c>
      <c r="CB92" s="726">
        <v>286</v>
      </c>
      <c r="CC92" s="726">
        <v>231</v>
      </c>
      <c r="CD92" s="725">
        <v>238</v>
      </c>
      <c r="CE92" s="726">
        <v>80</v>
      </c>
      <c r="CF92" s="726">
        <v>53</v>
      </c>
      <c r="CG92" s="465">
        <f t="shared" ref="CG92:DV92" si="202">+CG90-CF90</f>
        <v>-830</v>
      </c>
      <c r="CH92" s="466">
        <f t="shared" si="202"/>
        <v>-25</v>
      </c>
      <c r="CI92" s="465">
        <f t="shared" si="202"/>
        <v>-132</v>
      </c>
      <c r="CJ92" s="465">
        <f t="shared" si="202"/>
        <v>-109.98130841121474</v>
      </c>
      <c r="CK92" s="465">
        <f t="shared" si="202"/>
        <v>-68.018691588785259</v>
      </c>
      <c r="CL92" s="466">
        <f t="shared" si="202"/>
        <v>-62</v>
      </c>
      <c r="CM92" s="465">
        <f t="shared" si="202"/>
        <v>-121</v>
      </c>
      <c r="CN92" s="465">
        <f t="shared" si="202"/>
        <v>-139</v>
      </c>
      <c r="CO92" s="465">
        <f t="shared" si="202"/>
        <v>-109</v>
      </c>
      <c r="CP92" s="466">
        <f t="shared" si="202"/>
        <v>-99</v>
      </c>
      <c r="CQ92" s="465">
        <f t="shared" si="202"/>
        <v>-155</v>
      </c>
      <c r="CR92" s="465">
        <f t="shared" si="202"/>
        <v>-166</v>
      </c>
      <c r="CS92" s="465">
        <f t="shared" si="202"/>
        <v>-144</v>
      </c>
      <c r="CT92" s="466">
        <f t="shared" si="202"/>
        <v>-109</v>
      </c>
      <c r="CU92" s="465">
        <f t="shared" si="202"/>
        <v>-127</v>
      </c>
      <c r="CV92" s="465">
        <f t="shared" si="202"/>
        <v>-118</v>
      </c>
      <c r="CW92" s="722">
        <f t="shared" si="202"/>
        <v>-103</v>
      </c>
      <c r="CX92" s="465">
        <f t="shared" si="202"/>
        <v>-89</v>
      </c>
      <c r="CY92" s="465">
        <f t="shared" si="202"/>
        <v>-132</v>
      </c>
      <c r="CZ92" s="465">
        <f t="shared" si="202"/>
        <v>-144</v>
      </c>
      <c r="DA92" s="465">
        <f t="shared" si="202"/>
        <v>-117</v>
      </c>
      <c r="DB92" s="466">
        <f t="shared" si="202"/>
        <v>-89</v>
      </c>
      <c r="DC92" s="465">
        <f t="shared" si="202"/>
        <v>-116</v>
      </c>
      <c r="DD92" s="465">
        <f t="shared" si="202"/>
        <v>-117</v>
      </c>
      <c r="DE92" s="465">
        <f t="shared" si="202"/>
        <v>-106</v>
      </c>
      <c r="DF92" s="466">
        <f t="shared" si="202"/>
        <v>-82</v>
      </c>
      <c r="DG92" s="1123">
        <f t="shared" si="202"/>
        <v>-93</v>
      </c>
      <c r="DH92" s="1123">
        <f t="shared" si="202"/>
        <v>-93</v>
      </c>
      <c r="DI92" s="722">
        <f t="shared" si="202"/>
        <v>-86</v>
      </c>
      <c r="DJ92" s="466">
        <f t="shared" si="202"/>
        <v>-92</v>
      </c>
      <c r="DK92" s="1123">
        <f t="shared" si="202"/>
        <v>-97</v>
      </c>
      <c r="DL92" s="1123">
        <f t="shared" si="202"/>
        <v>-112</v>
      </c>
      <c r="DM92" s="722">
        <f t="shared" si="202"/>
        <v>-94</v>
      </c>
      <c r="DN92" s="1123">
        <f t="shared" si="202"/>
        <v>-108</v>
      </c>
      <c r="DO92" s="1123">
        <f t="shared" si="202"/>
        <v>-567</v>
      </c>
      <c r="DP92" s="1123">
        <f t="shared" si="202"/>
        <v>-66</v>
      </c>
      <c r="DQ92" s="722">
        <f t="shared" si="202"/>
        <v>-68</v>
      </c>
      <c r="DR92" s="1123">
        <f t="shared" si="202"/>
        <v>-62</v>
      </c>
      <c r="DS92" s="1123">
        <f t="shared" si="202"/>
        <v>-72</v>
      </c>
      <c r="DT92" s="1123">
        <f t="shared" si="202"/>
        <v>-76</v>
      </c>
      <c r="DU92" s="722">
        <f t="shared" si="202"/>
        <v>-66</v>
      </c>
      <c r="DV92" s="1123">
        <f t="shared" si="202"/>
        <v>-59</v>
      </c>
      <c r="DW92" s="1123">
        <f>CHOOSE(_switch,DW93,DW94,DW95)</f>
        <v>-60</v>
      </c>
      <c r="DX92" s="1123">
        <f>CHOOSE(_switch,DX93,DX94,DX95)</f>
        <v>-60</v>
      </c>
      <c r="DY92" s="722">
        <f>CHOOSE(_switch,DY93,DY94,DY95)</f>
        <v>-60</v>
      </c>
    </row>
    <row r="93" spans="1:134">
      <c r="A93" s="727" t="s">
        <v>457</v>
      </c>
      <c r="B93" s="128"/>
      <c r="C93" s="128"/>
      <c r="D93" s="128"/>
      <c r="E93" s="465"/>
      <c r="F93" s="465"/>
      <c r="G93" s="465"/>
      <c r="H93" s="465"/>
      <c r="I93" s="465"/>
      <c r="J93" s="465"/>
      <c r="K93" s="465"/>
      <c r="L93" s="465"/>
      <c r="M93" s="465"/>
      <c r="N93" s="465"/>
      <c r="O93" s="465"/>
      <c r="P93" s="465"/>
      <c r="Q93" s="1123"/>
      <c r="R93" s="465"/>
      <c r="S93" s="465"/>
      <c r="T93" s="1123"/>
      <c r="U93" s="465"/>
      <c r="V93" s="465"/>
      <c r="W93" s="465"/>
      <c r="X93" s="465"/>
      <c r="Y93" s="370"/>
      <c r="Z93" s="370"/>
      <c r="AA93" s="728">
        <f t="shared" ref="AA93:AG93" si="203">-Z90*0.2</f>
        <v>-174</v>
      </c>
      <c r="AB93" s="728">
        <f t="shared" si="203"/>
        <v>-139.20000000000002</v>
      </c>
      <c r="AC93" s="728">
        <f t="shared" si="203"/>
        <v>-111.36</v>
      </c>
      <c r="AD93" s="728">
        <f t="shared" si="203"/>
        <v>-89.087999999999994</v>
      </c>
      <c r="AE93" s="728">
        <f t="shared" si="203"/>
        <v>-71.270399999999995</v>
      </c>
      <c r="AF93" s="728">
        <f t="shared" si="203"/>
        <v>-57.01632</v>
      </c>
      <c r="AG93" s="728">
        <f t="shared" si="203"/>
        <v>-45.613056</v>
      </c>
      <c r="AH93" s="2129"/>
      <c r="AI93" s="1989"/>
      <c r="AJ93" s="1989"/>
      <c r="AK93" s="1989"/>
      <c r="AL93" s="1989"/>
      <c r="AM93" s="1989"/>
      <c r="AN93" s="1989"/>
      <c r="AO93" s="1989"/>
      <c r="AP93" s="466"/>
      <c r="AQ93" s="465"/>
      <c r="AR93" s="465"/>
      <c r="AS93" s="465"/>
      <c r="AT93" s="466"/>
      <c r="AU93" s="465"/>
      <c r="AV93" s="465"/>
      <c r="AW93" s="465"/>
      <c r="AX93" s="466"/>
      <c r="AY93" s="465"/>
      <c r="AZ93" s="465"/>
      <c r="BA93" s="465"/>
      <c r="BB93" s="723"/>
      <c r="BC93" s="724"/>
      <c r="BD93" s="724"/>
      <c r="BE93" s="724"/>
      <c r="BF93" s="723"/>
      <c r="BG93" s="724"/>
      <c r="BH93" s="724"/>
      <c r="BI93" s="724"/>
      <c r="BJ93" s="723"/>
      <c r="BK93" s="724"/>
      <c r="BL93" s="724"/>
      <c r="BM93" s="724"/>
      <c r="BN93" s="723"/>
      <c r="BO93" s="724"/>
      <c r="BP93" s="724"/>
      <c r="BQ93" s="724"/>
      <c r="BR93" s="723"/>
      <c r="BS93" s="724"/>
      <c r="BT93" s="724"/>
      <c r="BU93" s="724"/>
      <c r="BV93" s="723"/>
      <c r="BW93" s="724"/>
      <c r="BX93" s="724"/>
      <c r="BY93" s="724"/>
      <c r="BZ93" s="725"/>
      <c r="CA93" s="726"/>
      <c r="CB93" s="726"/>
      <c r="CC93" s="726"/>
      <c r="CD93" s="725"/>
      <c r="CE93" s="726"/>
      <c r="CF93" s="726"/>
      <c r="CG93" s="465"/>
      <c r="CH93" s="466"/>
      <c r="CI93" s="465"/>
      <c r="CJ93" s="465"/>
      <c r="CK93" s="465"/>
      <c r="CL93" s="466"/>
      <c r="CM93" s="465"/>
      <c r="CN93" s="465"/>
      <c r="CO93" s="465"/>
      <c r="CP93" s="466"/>
      <c r="CQ93" s="465"/>
      <c r="CR93" s="465"/>
      <c r="CS93" s="465"/>
      <c r="CT93" s="729"/>
      <c r="CU93" s="465"/>
      <c r="CV93" s="465"/>
      <c r="CW93" s="722"/>
      <c r="CX93" s="465"/>
      <c r="CY93" s="465"/>
      <c r="CZ93" s="465"/>
      <c r="DA93" s="465"/>
      <c r="DB93" s="466"/>
      <c r="DC93" s="465"/>
      <c r="DD93" s="465"/>
      <c r="DE93" s="465"/>
      <c r="DF93" s="466"/>
      <c r="DG93" s="1123"/>
      <c r="DH93" s="1123"/>
      <c r="DI93" s="722"/>
      <c r="DJ93" s="466"/>
      <c r="DK93" s="1123"/>
      <c r="DL93" s="1123"/>
      <c r="DM93" s="722"/>
      <c r="DN93" s="1123"/>
      <c r="DO93" s="1123"/>
      <c r="DP93" s="1123"/>
      <c r="DQ93" s="722"/>
      <c r="DR93" s="1123"/>
      <c r="DS93" s="1123"/>
      <c r="DT93" s="1123"/>
      <c r="DU93" s="722"/>
      <c r="DV93" s="1123"/>
      <c r="DW93" s="3265">
        <v>-60</v>
      </c>
      <c r="DX93" s="3265">
        <v>-60</v>
      </c>
      <c r="DY93" s="2146">
        <v>-60</v>
      </c>
    </row>
    <row r="94" spans="1:134">
      <c r="A94" s="727" t="s">
        <v>458</v>
      </c>
      <c r="B94" s="128"/>
      <c r="C94" s="128"/>
      <c r="D94" s="128"/>
      <c r="E94" s="465"/>
      <c r="F94" s="465"/>
      <c r="G94" s="465"/>
      <c r="H94" s="465"/>
      <c r="I94" s="465"/>
      <c r="J94" s="465"/>
      <c r="K94" s="465"/>
      <c r="L94" s="465"/>
      <c r="M94" s="465"/>
      <c r="N94" s="465"/>
      <c r="O94" s="465"/>
      <c r="P94" s="465"/>
      <c r="Q94" s="1123"/>
      <c r="R94" s="465"/>
      <c r="S94" s="465"/>
      <c r="T94" s="1123"/>
      <c r="U94" s="465"/>
      <c r="V94" s="465"/>
      <c r="W94" s="465"/>
      <c r="X94" s="465"/>
      <c r="Y94" s="465"/>
      <c r="Z94" s="465"/>
      <c r="AA94" s="1557">
        <f>AA93+50</f>
        <v>-124</v>
      </c>
      <c r="AB94" s="1557">
        <f>AB93+50</f>
        <v>-89.200000000000017</v>
      </c>
      <c r="AC94" s="1557">
        <f t="shared" ref="AC94:AG94" si="204">AC93+50</f>
        <v>-61.36</v>
      </c>
      <c r="AD94" s="1557">
        <f t="shared" si="204"/>
        <v>-39.087999999999994</v>
      </c>
      <c r="AE94" s="1557">
        <f t="shared" si="204"/>
        <v>-21.270399999999995</v>
      </c>
      <c r="AF94" s="1557">
        <f t="shared" si="204"/>
        <v>-7.0163200000000003</v>
      </c>
      <c r="AG94" s="1557">
        <f t="shared" si="204"/>
        <v>4.3869439999999997</v>
      </c>
      <c r="AH94" s="2129"/>
      <c r="AI94" s="1989"/>
      <c r="AJ94" s="1989"/>
      <c r="AK94" s="1989"/>
      <c r="AL94" s="1989"/>
      <c r="AM94" s="1989"/>
      <c r="AN94" s="1989"/>
      <c r="AO94" s="1989"/>
      <c r="AP94" s="466"/>
      <c r="AQ94" s="465"/>
      <c r="AR94" s="465"/>
      <c r="AS94" s="465"/>
      <c r="AT94" s="466"/>
      <c r="AU94" s="465"/>
      <c r="AV94" s="465"/>
      <c r="AW94" s="465"/>
      <c r="AX94" s="466"/>
      <c r="AY94" s="465"/>
      <c r="AZ94" s="465"/>
      <c r="BA94" s="465"/>
      <c r="BB94" s="723"/>
      <c r="BC94" s="724"/>
      <c r="BD94" s="724"/>
      <c r="BE94" s="724"/>
      <c r="BF94" s="723"/>
      <c r="BG94" s="724"/>
      <c r="BH94" s="724"/>
      <c r="BI94" s="724"/>
      <c r="BJ94" s="723"/>
      <c r="BK94" s="724"/>
      <c r="BL94" s="724"/>
      <c r="BM94" s="724"/>
      <c r="BN94" s="723"/>
      <c r="BO94" s="724"/>
      <c r="BP94" s="724"/>
      <c r="BQ94" s="724"/>
      <c r="BR94" s="723"/>
      <c r="BS94" s="724"/>
      <c r="BT94" s="724"/>
      <c r="BU94" s="724"/>
      <c r="BV94" s="723"/>
      <c r="BW94" s="724"/>
      <c r="BX94" s="724"/>
      <c r="BY94" s="724"/>
      <c r="BZ94" s="725"/>
      <c r="CA94" s="726"/>
      <c r="CB94" s="726"/>
      <c r="CC94" s="726"/>
      <c r="CD94" s="725"/>
      <c r="CE94" s="726"/>
      <c r="CF94" s="726"/>
      <c r="CG94" s="465"/>
      <c r="CH94" s="466"/>
      <c r="CI94" s="465"/>
      <c r="CJ94" s="465"/>
      <c r="CK94" s="465"/>
      <c r="CL94" s="466"/>
      <c r="CM94" s="465"/>
      <c r="CN94" s="465"/>
      <c r="CO94" s="465"/>
      <c r="CP94" s="466"/>
      <c r="CQ94" s="465"/>
      <c r="CR94" s="465"/>
      <c r="CS94" s="465"/>
      <c r="CT94" s="729"/>
      <c r="CU94" s="465"/>
      <c r="CV94" s="465"/>
      <c r="CW94" s="722"/>
      <c r="CX94" s="465"/>
      <c r="CY94" s="465"/>
      <c r="CZ94" s="465"/>
      <c r="DA94" s="465"/>
      <c r="DB94" s="466"/>
      <c r="DC94" s="465"/>
      <c r="DD94" s="465"/>
      <c r="DE94" s="465"/>
      <c r="DF94" s="466"/>
      <c r="DG94" s="1123"/>
      <c r="DH94" s="1123"/>
      <c r="DI94" s="722"/>
      <c r="DJ94" s="466"/>
      <c r="DK94" s="1123"/>
      <c r="DL94" s="1123"/>
      <c r="DM94" s="722"/>
      <c r="DN94" s="1123"/>
      <c r="DO94" s="1123"/>
      <c r="DP94" s="1123"/>
      <c r="DQ94" s="722"/>
      <c r="DR94" s="1123"/>
      <c r="DS94" s="1123"/>
      <c r="DT94" s="1123"/>
      <c r="DU94" s="722"/>
      <c r="DV94" s="1123"/>
      <c r="DW94" s="1557">
        <f t="shared" ref="DW94:DY94" si="205">DW93+50</f>
        <v>-10</v>
      </c>
      <c r="DX94" s="1557">
        <f t="shared" si="205"/>
        <v>-10</v>
      </c>
      <c r="DY94" s="730">
        <f t="shared" si="205"/>
        <v>-10</v>
      </c>
    </row>
    <row r="95" spans="1:134">
      <c r="A95" s="727" t="s">
        <v>459</v>
      </c>
      <c r="B95" s="128"/>
      <c r="C95" s="128"/>
      <c r="D95" s="128"/>
      <c r="E95" s="465"/>
      <c r="F95" s="465"/>
      <c r="G95" s="465"/>
      <c r="H95" s="465"/>
      <c r="I95" s="465"/>
      <c r="J95" s="465"/>
      <c r="K95" s="465"/>
      <c r="L95" s="465"/>
      <c r="M95" s="465"/>
      <c r="N95" s="465"/>
      <c r="O95" s="465"/>
      <c r="P95" s="465"/>
      <c r="Q95" s="1123"/>
      <c r="R95" s="465"/>
      <c r="S95" s="465"/>
      <c r="T95" s="1123"/>
      <c r="U95" s="465"/>
      <c r="V95" s="465"/>
      <c r="W95" s="465"/>
      <c r="X95" s="465"/>
      <c r="Y95" s="465"/>
      <c r="Z95" s="465"/>
      <c r="AA95" s="1557">
        <f>AA93-100</f>
        <v>-274</v>
      </c>
      <c r="AB95" s="1557">
        <f>AB93-100</f>
        <v>-239.20000000000002</v>
      </c>
      <c r="AC95" s="1557">
        <f t="shared" ref="AC95:AG95" si="206">AC93-100</f>
        <v>-211.36</v>
      </c>
      <c r="AD95" s="1557">
        <f t="shared" si="206"/>
        <v>-189.08799999999999</v>
      </c>
      <c r="AE95" s="1557">
        <f t="shared" si="206"/>
        <v>-171.2704</v>
      </c>
      <c r="AF95" s="1557">
        <f t="shared" si="206"/>
        <v>-157.01632000000001</v>
      </c>
      <c r="AG95" s="1557">
        <f t="shared" si="206"/>
        <v>-145.613056</v>
      </c>
      <c r="AH95" s="2129"/>
      <c r="AI95" s="1989"/>
      <c r="AJ95" s="1989"/>
      <c r="AK95" s="1989"/>
      <c r="AL95" s="1989"/>
      <c r="AM95" s="1989"/>
      <c r="AN95" s="1989"/>
      <c r="AO95" s="1989"/>
      <c r="AP95" s="466"/>
      <c r="AQ95" s="465"/>
      <c r="AR95" s="465"/>
      <c r="AS95" s="465"/>
      <c r="AT95" s="466"/>
      <c r="AU95" s="465"/>
      <c r="AV95" s="465"/>
      <c r="AW95" s="465"/>
      <c r="AX95" s="466"/>
      <c r="AY95" s="465"/>
      <c r="AZ95" s="465"/>
      <c r="BA95" s="465"/>
      <c r="BB95" s="723"/>
      <c r="BC95" s="724"/>
      <c r="BD95" s="724"/>
      <c r="BE95" s="724"/>
      <c r="BF95" s="723"/>
      <c r="BG95" s="724"/>
      <c r="BH95" s="724"/>
      <c r="BI95" s="724"/>
      <c r="BJ95" s="723"/>
      <c r="BK95" s="724"/>
      <c r="BL95" s="724"/>
      <c r="BM95" s="724"/>
      <c r="BN95" s="723"/>
      <c r="BO95" s="724"/>
      <c r="BP95" s="724"/>
      <c r="BQ95" s="724"/>
      <c r="BR95" s="723"/>
      <c r="BS95" s="724"/>
      <c r="BT95" s="724"/>
      <c r="BU95" s="724"/>
      <c r="BV95" s="723"/>
      <c r="BW95" s="724"/>
      <c r="BX95" s="724"/>
      <c r="BY95" s="724"/>
      <c r="BZ95" s="725"/>
      <c r="CA95" s="726"/>
      <c r="CB95" s="726"/>
      <c r="CC95" s="726"/>
      <c r="CD95" s="725"/>
      <c r="CE95" s="726"/>
      <c r="CF95" s="726"/>
      <c r="CG95" s="465"/>
      <c r="CH95" s="466"/>
      <c r="CI95" s="465"/>
      <c r="CJ95" s="465"/>
      <c r="CK95" s="465"/>
      <c r="CL95" s="466"/>
      <c r="CM95" s="465"/>
      <c r="CN95" s="465"/>
      <c r="CO95" s="465"/>
      <c r="CP95" s="466"/>
      <c r="CQ95" s="465"/>
      <c r="CR95" s="465"/>
      <c r="CS95" s="465"/>
      <c r="CT95" s="729"/>
      <c r="CU95" s="465"/>
      <c r="CV95" s="465"/>
      <c r="CW95" s="722"/>
      <c r="CX95" s="465"/>
      <c r="CY95" s="465"/>
      <c r="CZ95" s="465"/>
      <c r="DA95" s="465"/>
      <c r="DB95" s="466"/>
      <c r="DC95" s="465"/>
      <c r="DD95" s="465"/>
      <c r="DE95" s="465"/>
      <c r="DF95" s="466"/>
      <c r="DG95" s="1123"/>
      <c r="DH95" s="1123"/>
      <c r="DI95" s="722"/>
      <c r="DJ95" s="466"/>
      <c r="DK95" s="1123"/>
      <c r="DL95" s="1123"/>
      <c r="DM95" s="722"/>
      <c r="DN95" s="1123"/>
      <c r="DO95" s="1123"/>
      <c r="DP95" s="1123"/>
      <c r="DQ95" s="722"/>
      <c r="DR95" s="1123"/>
      <c r="DS95" s="1123"/>
      <c r="DT95" s="1123"/>
      <c r="DU95" s="722"/>
      <c r="DV95" s="1123"/>
      <c r="DW95" s="1557">
        <f t="shared" ref="DW95:DY95" si="207">DW93-100</f>
        <v>-160</v>
      </c>
      <c r="DX95" s="1557">
        <f t="shared" si="207"/>
        <v>-160</v>
      </c>
      <c r="DY95" s="730">
        <f t="shared" si="207"/>
        <v>-160</v>
      </c>
    </row>
    <row r="96" spans="1:134" s="573" customFormat="1">
      <c r="A96" s="1254" t="s">
        <v>991</v>
      </c>
      <c r="B96" s="436"/>
      <c r="C96" s="436"/>
      <c r="D96" s="436"/>
      <c r="E96" s="436"/>
      <c r="F96" s="436"/>
      <c r="G96" s="436"/>
      <c r="H96" s="436"/>
      <c r="I96" s="436">
        <f t="shared" ref="I96:AB96" si="208">I92/H92-1</f>
        <v>0.23620309050772637</v>
      </c>
      <c r="J96" s="436">
        <f t="shared" si="208"/>
        <v>7.6785714285714235E-2</v>
      </c>
      <c r="K96" s="436">
        <f t="shared" si="208"/>
        <v>2.1558872305140975E-2</v>
      </c>
      <c r="L96" s="1255">
        <f t="shared" si="208"/>
        <v>1.0129870129870131</v>
      </c>
      <c r="M96" s="1255">
        <f t="shared" si="208"/>
        <v>0.14193548387096766</v>
      </c>
      <c r="N96" s="1255">
        <f t="shared" si="208"/>
        <v>-0.20621468926553677</v>
      </c>
      <c r="O96" s="1255">
        <f t="shared" si="208"/>
        <v>-1.4083629893238434</v>
      </c>
      <c r="P96" s="1255">
        <f t="shared" si="208"/>
        <v>-0.27015250544662306</v>
      </c>
      <c r="Q96" s="1256">
        <f t="shared" si="208"/>
        <v>0.28656716417910455</v>
      </c>
      <c r="R96" s="1255">
        <f t="shared" si="208"/>
        <v>0.308584686774942</v>
      </c>
      <c r="S96" s="1255">
        <f t="shared" si="208"/>
        <v>-0.18971631205673756</v>
      </c>
      <c r="T96" s="1256">
        <f t="shared" si="208"/>
        <v>5.4704595185995686E-2</v>
      </c>
      <c r="U96" s="1255">
        <f t="shared" si="208"/>
        <v>-0.11203319502074693</v>
      </c>
      <c r="V96" s="1255">
        <f t="shared" si="208"/>
        <v>-0.17289719626168221</v>
      </c>
      <c r="W96" s="1255">
        <f t="shared" si="208"/>
        <v>0.11581920903954801</v>
      </c>
      <c r="X96" s="1255">
        <f t="shared" si="208"/>
        <v>1.0481012658227846</v>
      </c>
      <c r="Y96" s="1255">
        <f t="shared" si="208"/>
        <v>-0.65883807169344877</v>
      </c>
      <c r="Z96" s="1255">
        <f t="shared" si="208"/>
        <v>-0.13405797101449279</v>
      </c>
      <c r="AA96" s="1256">
        <f t="shared" si="208"/>
        <v>-0.27196652719665271</v>
      </c>
      <c r="AB96" s="1256">
        <f t="shared" si="208"/>
        <v>-0.19999999999999996</v>
      </c>
      <c r="AC96" s="1256">
        <f t="shared" ref="AC96" si="209">AC92/AB92-1</f>
        <v>-0.20000000000000007</v>
      </c>
      <c r="AD96" s="1256">
        <f t="shared" ref="AD96" si="210">AD92/AC92-1</f>
        <v>-0.20000000000000007</v>
      </c>
      <c r="AE96" s="1256">
        <f t="shared" ref="AE96" si="211">AE92/AD92-1</f>
        <v>-0.19999999999999996</v>
      </c>
      <c r="AF96" s="1256">
        <f t="shared" ref="AF96" si="212">AF92/AE92-1</f>
        <v>-0.19999999999999996</v>
      </c>
      <c r="AG96" s="1256">
        <f t="shared" ref="AG96" si="213">AG92/AF92-1</f>
        <v>-0.19999999999999996</v>
      </c>
      <c r="AH96" s="1963"/>
      <c r="AI96"/>
      <c r="AJ96"/>
      <c r="AK96"/>
      <c r="AL96"/>
      <c r="AM96"/>
      <c r="AN96"/>
      <c r="AO96"/>
      <c r="AP96" s="438"/>
      <c r="AQ96" s="436"/>
      <c r="AR96" s="436"/>
      <c r="AS96" s="436"/>
      <c r="AT96" s="438"/>
      <c r="AU96" s="436"/>
      <c r="AV96" s="436"/>
      <c r="AW96" s="436"/>
      <c r="AX96" s="438"/>
      <c r="AY96" s="436"/>
      <c r="AZ96" s="436"/>
      <c r="BA96" s="436"/>
      <c r="BB96" s="438"/>
      <c r="BC96" s="436"/>
      <c r="BD96" s="436"/>
      <c r="BE96" s="436"/>
      <c r="BF96" s="438"/>
      <c r="BG96" s="436">
        <f t="shared" ref="BG96:CM96" si="214">BG92/BC92-1</f>
        <v>0.6901408450704225</v>
      </c>
      <c r="BH96" s="436">
        <f t="shared" si="214"/>
        <v>3.8461538461538547E-2</v>
      </c>
      <c r="BI96" s="436">
        <f t="shared" si="214"/>
        <v>-0.33862433862433861</v>
      </c>
      <c r="BJ96" s="438">
        <f t="shared" si="214"/>
        <v>-0.16666666666666663</v>
      </c>
      <c r="BK96" s="436">
        <f t="shared" si="214"/>
        <v>0.25</v>
      </c>
      <c r="BL96" s="436">
        <f t="shared" si="214"/>
        <v>0.14814814814814814</v>
      </c>
      <c r="BM96" s="436">
        <f t="shared" si="214"/>
        <v>0.18399999999999994</v>
      </c>
      <c r="BN96" s="438">
        <f t="shared" si="214"/>
        <v>-0.15333333333333332</v>
      </c>
      <c r="BO96" s="436">
        <f t="shared" si="214"/>
        <v>-0.32666666666666666</v>
      </c>
      <c r="BP96" s="436">
        <f t="shared" si="214"/>
        <v>0.19354838709677424</v>
      </c>
      <c r="BQ96" s="436">
        <f t="shared" si="214"/>
        <v>0.37162162162162171</v>
      </c>
      <c r="BR96" s="438">
        <f t="shared" si="214"/>
        <v>1.7165354330708662</v>
      </c>
      <c r="BS96" s="436">
        <f t="shared" si="214"/>
        <v>1.7722772277227721</v>
      </c>
      <c r="BT96" s="436">
        <f t="shared" si="214"/>
        <v>0.67027027027027031</v>
      </c>
      <c r="BU96" s="436">
        <f t="shared" si="214"/>
        <v>0.50738916256157629</v>
      </c>
      <c r="BV96" s="438">
        <f t="shared" si="214"/>
        <v>-0.11594202898550721</v>
      </c>
      <c r="BW96" s="436">
        <f t="shared" si="214"/>
        <v>-7.1428571428571175E-3</v>
      </c>
      <c r="BX96" s="436">
        <f t="shared" si="214"/>
        <v>0.25889967637540456</v>
      </c>
      <c r="BY96" s="436">
        <f t="shared" si="214"/>
        <v>0.4509803921568627</v>
      </c>
      <c r="BZ96" s="438">
        <f t="shared" si="214"/>
        <v>-3.6065573770491799E-2</v>
      </c>
      <c r="CA96" s="436">
        <f t="shared" si="214"/>
        <v>0.12589928057553967</v>
      </c>
      <c r="CB96" s="436">
        <f t="shared" si="214"/>
        <v>-0.26478149100257065</v>
      </c>
      <c r="CC96" s="436">
        <f t="shared" si="214"/>
        <v>-0.47972972972972971</v>
      </c>
      <c r="CD96" s="438">
        <f t="shared" si="214"/>
        <v>-0.19047619047619047</v>
      </c>
      <c r="CE96" s="436">
        <f t="shared" si="214"/>
        <v>-0.74440894568690097</v>
      </c>
      <c r="CF96" s="436">
        <f t="shared" si="214"/>
        <v>-0.81468531468531469</v>
      </c>
      <c r="CG96" s="436">
        <f t="shared" si="214"/>
        <v>-4.5930735930735924</v>
      </c>
      <c r="CH96" s="438">
        <f t="shared" si="214"/>
        <v>-1.1050420168067228</v>
      </c>
      <c r="CI96" s="436">
        <f t="shared" si="214"/>
        <v>-2.65</v>
      </c>
      <c r="CJ96" s="436">
        <f t="shared" si="214"/>
        <v>-3.0751190266266932</v>
      </c>
      <c r="CK96" s="436">
        <f t="shared" si="214"/>
        <v>-0.91804976917013825</v>
      </c>
      <c r="CL96" s="438">
        <f t="shared" si="214"/>
        <v>1.48</v>
      </c>
      <c r="CM96" s="436">
        <f t="shared" si="214"/>
        <v>-8.333333333333337E-2</v>
      </c>
      <c r="CN96" s="1257" t="s">
        <v>1149</v>
      </c>
      <c r="CO96" s="1257" t="s">
        <v>1149</v>
      </c>
      <c r="CP96" s="1258" t="s">
        <v>1149</v>
      </c>
      <c r="CQ96" s="1257" t="s">
        <v>1149</v>
      </c>
      <c r="CR96" s="1257" t="s">
        <v>1149</v>
      </c>
      <c r="CS96" s="1257" t="s">
        <v>1149</v>
      </c>
      <c r="CT96" s="1258" t="s">
        <v>1149</v>
      </c>
      <c r="CU96" s="1257" t="s">
        <v>1149</v>
      </c>
      <c r="CV96" s="1257" t="s">
        <v>1149</v>
      </c>
      <c r="CW96" s="1259" t="s">
        <v>1149</v>
      </c>
      <c r="CX96" s="1257" t="s">
        <v>1149</v>
      </c>
      <c r="CY96" s="1257" t="s">
        <v>1149</v>
      </c>
      <c r="CZ96" s="1257" t="s">
        <v>1149</v>
      </c>
      <c r="DA96" s="1257" t="s">
        <v>1149</v>
      </c>
      <c r="DB96" s="1258" t="s">
        <v>1149</v>
      </c>
      <c r="DC96" s="1257" t="s">
        <v>1149</v>
      </c>
      <c r="DD96" s="1257" t="s">
        <v>1149</v>
      </c>
      <c r="DE96" s="1257" t="s">
        <v>1149</v>
      </c>
      <c r="DF96" s="1258" t="s">
        <v>1149</v>
      </c>
      <c r="DG96" s="1547" t="s">
        <v>1149</v>
      </c>
      <c r="DH96" s="1547" t="s">
        <v>1149</v>
      </c>
      <c r="DI96" s="1259" t="s">
        <v>1149</v>
      </c>
      <c r="DJ96" s="1258" t="s">
        <v>1149</v>
      </c>
      <c r="DK96" s="1547" t="s">
        <v>1149</v>
      </c>
      <c r="DL96" s="1547" t="s">
        <v>1149</v>
      </c>
      <c r="DM96" s="1259" t="s">
        <v>1149</v>
      </c>
      <c r="DN96" s="1547" t="s">
        <v>1149</v>
      </c>
      <c r="DO96" s="1547" t="s">
        <v>1149</v>
      </c>
      <c r="DP96" s="1547" t="s">
        <v>1149</v>
      </c>
      <c r="DQ96" s="1259" t="s">
        <v>1149</v>
      </c>
      <c r="DR96" s="1547" t="s">
        <v>1149</v>
      </c>
      <c r="DS96" s="1547" t="s">
        <v>1149</v>
      </c>
      <c r="DT96" s="1547" t="s">
        <v>1149</v>
      </c>
      <c r="DU96" s="1259" t="s">
        <v>1149</v>
      </c>
      <c r="DV96" s="1547" t="s">
        <v>1149</v>
      </c>
      <c r="DW96" s="1547" t="s">
        <v>1149</v>
      </c>
      <c r="DX96" s="1547" t="s">
        <v>1149</v>
      </c>
      <c r="DY96" s="1259" t="s">
        <v>1149</v>
      </c>
    </row>
    <row r="97" spans="1:129" hidden="1">
      <c r="A97" s="731" t="s">
        <v>460</v>
      </c>
      <c r="B97" s="545"/>
      <c r="C97" s="545"/>
      <c r="D97" s="545"/>
      <c r="E97" s="545"/>
      <c r="F97" s="545"/>
      <c r="G97" s="545"/>
      <c r="H97" s="545"/>
      <c r="I97" s="545"/>
      <c r="J97" s="545"/>
      <c r="K97" s="545"/>
      <c r="L97" s="545"/>
      <c r="M97" s="545"/>
      <c r="N97" s="545"/>
      <c r="O97" s="545"/>
      <c r="P97" s="545"/>
      <c r="Q97" s="1124"/>
      <c r="R97" s="545"/>
      <c r="S97" s="545"/>
      <c r="T97" s="1124"/>
      <c r="U97" s="545"/>
      <c r="V97" s="545"/>
      <c r="W97" s="545"/>
      <c r="X97" s="545"/>
      <c r="Y97" s="545"/>
      <c r="Z97" s="545"/>
      <c r="AA97" s="1124"/>
      <c r="AB97" s="1124"/>
      <c r="AC97" s="1124"/>
      <c r="AD97" s="1124"/>
      <c r="AE97" s="1124"/>
      <c r="AF97" s="1124"/>
      <c r="AG97" s="1124"/>
      <c r="AH97" s="1949"/>
      <c r="AI97"/>
      <c r="AJ97"/>
      <c r="AK97"/>
      <c r="AL97"/>
      <c r="AM97"/>
      <c r="AN97"/>
      <c r="AO97"/>
      <c r="AP97" s="547"/>
      <c r="AQ97" s="545"/>
      <c r="AR97" s="545"/>
      <c r="AS97" s="545"/>
      <c r="AT97" s="547"/>
      <c r="AU97" s="545"/>
      <c r="AV97" s="545"/>
      <c r="AW97" s="545"/>
      <c r="AX97" s="547"/>
      <c r="AY97" s="545"/>
      <c r="AZ97" s="545"/>
      <c r="BA97" s="545"/>
      <c r="BB97" s="547"/>
      <c r="BC97" s="545"/>
      <c r="BD97" s="545"/>
      <c r="BE97" s="545"/>
      <c r="BF97" s="547"/>
      <c r="BG97" s="545"/>
      <c r="BH97" s="545"/>
      <c r="BI97" s="545"/>
      <c r="BJ97" s="547">
        <f t="shared" ref="BJ97:CO97" si="215">BJ92/65*1000</f>
        <v>2307.6923076923076</v>
      </c>
      <c r="BK97" s="545">
        <f t="shared" si="215"/>
        <v>2307.6923076923076</v>
      </c>
      <c r="BL97" s="545">
        <f t="shared" si="215"/>
        <v>2384.6153846153848</v>
      </c>
      <c r="BM97" s="545">
        <f t="shared" si="215"/>
        <v>2276.9230769230767</v>
      </c>
      <c r="BN97" s="547">
        <f t="shared" si="215"/>
        <v>1953.8461538461538</v>
      </c>
      <c r="BO97" s="545">
        <f t="shared" si="215"/>
        <v>1553.8461538461538</v>
      </c>
      <c r="BP97" s="545">
        <f t="shared" si="215"/>
        <v>2846.1538461538462</v>
      </c>
      <c r="BQ97" s="545">
        <f t="shared" si="215"/>
        <v>3123.0769230769229</v>
      </c>
      <c r="BR97" s="547">
        <f t="shared" si="215"/>
        <v>5307.6923076923076</v>
      </c>
      <c r="BS97" s="545">
        <f t="shared" si="215"/>
        <v>4307.6923076923076</v>
      </c>
      <c r="BT97" s="545">
        <f t="shared" si="215"/>
        <v>4753.8461538461543</v>
      </c>
      <c r="BU97" s="545">
        <f t="shared" si="215"/>
        <v>4707.6923076923076</v>
      </c>
      <c r="BV97" s="547">
        <f t="shared" si="215"/>
        <v>4692.3076923076924</v>
      </c>
      <c r="BW97" s="545">
        <f t="shared" si="215"/>
        <v>4276.9230769230771</v>
      </c>
      <c r="BX97" s="545">
        <f t="shared" si="215"/>
        <v>5984.6153846153848</v>
      </c>
      <c r="BY97" s="545">
        <f t="shared" si="215"/>
        <v>6830.7692307692305</v>
      </c>
      <c r="BZ97" s="547">
        <f t="shared" si="215"/>
        <v>4523.0769230769229</v>
      </c>
      <c r="CA97" s="545">
        <f t="shared" si="215"/>
        <v>4815.3846153846152</v>
      </c>
      <c r="CB97" s="545">
        <f t="shared" si="215"/>
        <v>4400</v>
      </c>
      <c r="CC97" s="545">
        <f t="shared" si="215"/>
        <v>3553.8461538461538</v>
      </c>
      <c r="CD97" s="547">
        <f t="shared" si="215"/>
        <v>3661.5384615384614</v>
      </c>
      <c r="CE97" s="545">
        <f t="shared" si="215"/>
        <v>1230.7692307692309</v>
      </c>
      <c r="CF97" s="545">
        <f t="shared" si="215"/>
        <v>815.38461538461536</v>
      </c>
      <c r="CG97" s="545">
        <f t="shared" si="215"/>
        <v>-12769.23076923077</v>
      </c>
      <c r="CH97" s="547">
        <f t="shared" si="215"/>
        <v>-384.61538461538464</v>
      </c>
      <c r="CI97" s="545">
        <f t="shared" si="215"/>
        <v>-2030.7692307692307</v>
      </c>
      <c r="CJ97" s="545">
        <f t="shared" si="215"/>
        <v>-1692.0201294033036</v>
      </c>
      <c r="CK97" s="545">
        <f t="shared" si="215"/>
        <v>-1046.4414090582347</v>
      </c>
      <c r="CL97" s="547">
        <f t="shared" si="215"/>
        <v>-953.84615384615392</v>
      </c>
      <c r="CM97" s="545">
        <f t="shared" si="215"/>
        <v>-1861.5384615384617</v>
      </c>
      <c r="CN97" s="545">
        <f t="shared" si="215"/>
        <v>-2138.4615384615386</v>
      </c>
      <c r="CO97" s="545">
        <f t="shared" si="215"/>
        <v>-1676.9230769230769</v>
      </c>
      <c r="CP97" s="547">
        <f t="shared" ref="CP97:DE97" si="216">CP92/65*1000</f>
        <v>-1523.0769230769231</v>
      </c>
      <c r="CQ97" s="545">
        <f t="shared" si="216"/>
        <v>-2384.6153846153848</v>
      </c>
      <c r="CR97" s="545">
        <f t="shared" si="216"/>
        <v>-2553.8461538461538</v>
      </c>
      <c r="CS97" s="545">
        <f t="shared" si="216"/>
        <v>-2215.3846153846157</v>
      </c>
      <c r="CT97" s="547">
        <f t="shared" si="216"/>
        <v>-1676.9230769230769</v>
      </c>
      <c r="CU97" s="545">
        <f t="shared" si="216"/>
        <v>-1953.8461538461538</v>
      </c>
      <c r="CV97" s="545">
        <f t="shared" si="216"/>
        <v>-1815.3846153846155</v>
      </c>
      <c r="CW97" s="548">
        <f t="shared" si="216"/>
        <v>-1584.6153846153845</v>
      </c>
      <c r="CX97" s="545">
        <f t="shared" si="216"/>
        <v>-1369.2307692307693</v>
      </c>
      <c r="CY97" s="545">
        <f t="shared" si="216"/>
        <v>-2030.7692307692307</v>
      </c>
      <c r="CZ97" s="545">
        <f t="shared" si="216"/>
        <v>-2215.3846153846157</v>
      </c>
      <c r="DA97" s="545">
        <f t="shared" si="216"/>
        <v>-1800</v>
      </c>
      <c r="DB97" s="547">
        <f t="shared" si="216"/>
        <v>-1369.2307692307693</v>
      </c>
      <c r="DC97" s="545">
        <f t="shared" si="216"/>
        <v>-1784.6153846153848</v>
      </c>
      <c r="DD97" s="545">
        <f t="shared" si="216"/>
        <v>-1800</v>
      </c>
      <c r="DE97" s="545">
        <f t="shared" si="216"/>
        <v>-1630.7692307692307</v>
      </c>
      <c r="DF97" s="547">
        <f>DF92/65*1000</f>
        <v>-1261.5384615384614</v>
      </c>
      <c r="DG97" s="1124">
        <f>DG92/65*1000</f>
        <v>-1430.7692307692307</v>
      </c>
      <c r="DH97" s="1124">
        <f>DH92/65*1000</f>
        <v>-1430.7692307692307</v>
      </c>
      <c r="DI97" s="548">
        <f>DI92/65*1000</f>
        <v>-1323.0769230769231</v>
      </c>
      <c r="DJ97" s="547">
        <f t="shared" ref="DJ97:DM97" si="217">DJ92/65*1000</f>
        <v>-1415.3846153846155</v>
      </c>
      <c r="DK97" s="1124">
        <f t="shared" si="217"/>
        <v>-1492.3076923076924</v>
      </c>
      <c r="DL97" s="1124">
        <f t="shared" si="217"/>
        <v>-1723.0769230769231</v>
      </c>
      <c r="DM97" s="548">
        <f t="shared" si="217"/>
        <v>-1446.1538461538462</v>
      </c>
      <c r="DN97" s="1124">
        <f t="shared" ref="DN97:DO97" si="218">DN92/65*1000</f>
        <v>-1661.5384615384617</v>
      </c>
      <c r="DO97" s="1124">
        <f t="shared" si="218"/>
        <v>-8723.076923076922</v>
      </c>
      <c r="DP97" s="1124">
        <f t="shared" ref="DP97:DQ97" si="219">DP92/65*1000</f>
        <v>-1015.3846153846154</v>
      </c>
      <c r="DQ97" s="548">
        <f t="shared" si="219"/>
        <v>-1046.1538461538462</v>
      </c>
      <c r="DR97" s="1124">
        <f t="shared" ref="DR97:DS97" si="220">DR92/65*1000</f>
        <v>-953.84615384615392</v>
      </c>
      <c r="DS97" s="1124">
        <f t="shared" si="220"/>
        <v>-1107.6923076923078</v>
      </c>
      <c r="DT97" s="1124">
        <f t="shared" ref="DT97:DU97" si="221">DT92/65*1000</f>
        <v>-1169.2307692307693</v>
      </c>
      <c r="DU97" s="548">
        <f t="shared" si="221"/>
        <v>-1015.3846153846154</v>
      </c>
      <c r="DV97" s="1124">
        <f t="shared" ref="DV97" si="222">DV92/65*1000</f>
        <v>-907.69230769230774</v>
      </c>
      <c r="DW97" s="1124">
        <f t="shared" ref="DW97:DY97" si="223">DW92/65*1000</f>
        <v>-923.07692307692309</v>
      </c>
      <c r="DX97" s="1124">
        <f t="shared" si="223"/>
        <v>-923.07692307692309</v>
      </c>
      <c r="DY97" s="548">
        <f t="shared" si="223"/>
        <v>-923.07692307692309</v>
      </c>
    </row>
    <row r="98" spans="1:129" hidden="1">
      <c r="A98" s="731" t="s">
        <v>461</v>
      </c>
      <c r="B98" s="545"/>
      <c r="C98" s="545"/>
      <c r="D98" s="545"/>
      <c r="E98" s="545"/>
      <c r="F98" s="545"/>
      <c r="G98" s="545">
        <f>AVERAGE(F90:G90)</f>
        <v>87</v>
      </c>
      <c r="H98" s="545">
        <f>AVERAGE(G90:H90)</f>
        <v>313.5</v>
      </c>
      <c r="I98" s="545">
        <f>AVERAGE(BF98:BI98)</f>
        <v>838.75</v>
      </c>
      <c r="J98" s="545">
        <f>AVERAGE(BJ98:BM98)</f>
        <v>1401.625</v>
      </c>
      <c r="K98" s="545">
        <f>AVERAGE(BN98:BQ98)</f>
        <v>1972</v>
      </c>
      <c r="L98" s="545">
        <f t="shared" ref="L98:AB98" si="224">AVERAGE(K90:L90)</f>
        <v>2939</v>
      </c>
      <c r="M98" s="545">
        <f t="shared" si="224"/>
        <v>4267</v>
      </c>
      <c r="N98" s="545">
        <f t="shared" si="224"/>
        <v>5537</v>
      </c>
      <c r="O98" s="545">
        <f t="shared" si="224"/>
        <v>5869.5</v>
      </c>
      <c r="P98" s="545">
        <f t="shared" si="224"/>
        <v>5472.5</v>
      </c>
      <c r="Q98" s="1124">
        <f t="shared" si="224"/>
        <v>5089.5</v>
      </c>
      <c r="R98" s="545">
        <f t="shared" si="224"/>
        <v>4592</v>
      </c>
      <c r="S98" s="545">
        <f t="shared" si="224"/>
        <v>4081.5</v>
      </c>
      <c r="T98" s="1124">
        <f t="shared" si="224"/>
        <v>3612</v>
      </c>
      <c r="U98" s="545">
        <f t="shared" si="224"/>
        <v>3157</v>
      </c>
      <c r="V98" s="545">
        <f t="shared" si="224"/>
        <v>2766</v>
      </c>
      <c r="W98" s="545">
        <f t="shared" si="224"/>
        <v>2391.5</v>
      </c>
      <c r="X98" s="545">
        <f t="shared" si="224"/>
        <v>1789.5</v>
      </c>
      <c r="Y98" s="545">
        <f t="shared" si="224"/>
        <v>1247</v>
      </c>
      <c r="Z98" s="545">
        <f t="shared" si="224"/>
        <v>989.5</v>
      </c>
      <c r="AA98" s="1124">
        <f t="shared" si="224"/>
        <v>783</v>
      </c>
      <c r="AB98" s="1124">
        <f t="shared" si="224"/>
        <v>626.4</v>
      </c>
      <c r="AC98" s="1124">
        <f t="shared" ref="AC98" si="225">AVERAGE(AB90:AC90)</f>
        <v>501.11999999999995</v>
      </c>
      <c r="AD98" s="1124">
        <f t="shared" ref="AD98" si="226">AVERAGE(AC90:AD90)</f>
        <v>400.89599999999996</v>
      </c>
      <c r="AE98" s="1124">
        <f t="shared" ref="AE98" si="227">AVERAGE(AD90:AE90)</f>
        <v>320.71679999999998</v>
      </c>
      <c r="AF98" s="1124">
        <f t="shared" ref="AF98" si="228">AVERAGE(AE90:AF90)</f>
        <v>256.57344000000001</v>
      </c>
      <c r="AG98" s="1124">
        <f t="shared" ref="AG98" si="229">AVERAGE(AF90:AG90)</f>
        <v>205.25875199999996</v>
      </c>
      <c r="AH98" s="1949"/>
      <c r="AI98"/>
      <c r="AJ98"/>
      <c r="AK98"/>
      <c r="AL98"/>
      <c r="AM98"/>
      <c r="AN98"/>
      <c r="AO98"/>
      <c r="AP98" s="547"/>
      <c r="AQ98" s="545"/>
      <c r="AR98" s="545"/>
      <c r="AS98" s="545"/>
      <c r="AT98" s="547"/>
      <c r="AU98" s="545"/>
      <c r="AV98" s="545"/>
      <c r="AW98" s="545"/>
      <c r="AX98" s="547"/>
      <c r="AY98" s="545"/>
      <c r="AZ98" s="545"/>
      <c r="BA98" s="545"/>
      <c r="BB98" s="547">
        <f t="shared" ref="BB98:CG98" si="230">AVERAGE(BA90:BB90)</f>
        <v>118.5</v>
      </c>
      <c r="BC98" s="545">
        <f t="shared" si="230"/>
        <v>185.5</v>
      </c>
      <c r="BD98" s="545">
        <f t="shared" si="230"/>
        <v>286</v>
      </c>
      <c r="BE98" s="545">
        <f t="shared" si="230"/>
        <v>445.5</v>
      </c>
      <c r="BF98" s="547">
        <f t="shared" si="230"/>
        <v>630</v>
      </c>
      <c r="BG98" s="545">
        <f t="shared" si="230"/>
        <v>780</v>
      </c>
      <c r="BH98" s="545">
        <f t="shared" si="230"/>
        <v>907.5</v>
      </c>
      <c r="BI98" s="545">
        <f t="shared" si="230"/>
        <v>1037.5</v>
      </c>
      <c r="BJ98" s="547">
        <f t="shared" si="230"/>
        <v>1175</v>
      </c>
      <c r="BK98" s="545">
        <f t="shared" si="230"/>
        <v>1325</v>
      </c>
      <c r="BL98" s="545">
        <f t="shared" si="230"/>
        <v>1477.5</v>
      </c>
      <c r="BM98" s="545">
        <f t="shared" si="230"/>
        <v>1629</v>
      </c>
      <c r="BN98" s="547">
        <f t="shared" si="230"/>
        <v>1766.5</v>
      </c>
      <c r="BO98" s="545">
        <f t="shared" si="230"/>
        <v>1880.5</v>
      </c>
      <c r="BP98" s="545">
        <f t="shared" si="230"/>
        <v>2023.5</v>
      </c>
      <c r="BQ98" s="545">
        <f t="shared" si="230"/>
        <v>2217.5</v>
      </c>
      <c r="BR98" s="547">
        <f t="shared" si="230"/>
        <v>2491.5</v>
      </c>
      <c r="BS98" s="545">
        <f t="shared" si="230"/>
        <v>2804</v>
      </c>
      <c r="BT98" s="545">
        <f t="shared" si="230"/>
        <v>3098.5</v>
      </c>
      <c r="BU98" s="545">
        <f t="shared" si="230"/>
        <v>3406</v>
      </c>
      <c r="BV98" s="547">
        <f t="shared" si="230"/>
        <v>3711.5</v>
      </c>
      <c r="BW98" s="545">
        <f t="shared" si="230"/>
        <v>4003</v>
      </c>
      <c r="BX98" s="545">
        <f t="shared" si="230"/>
        <v>4336.5</v>
      </c>
      <c r="BY98" s="545">
        <f t="shared" si="230"/>
        <v>4753</v>
      </c>
      <c r="BZ98" s="547">
        <f t="shared" si="230"/>
        <v>5122</v>
      </c>
      <c r="CA98" s="545">
        <f t="shared" si="230"/>
        <v>5425.5</v>
      </c>
      <c r="CB98" s="545">
        <f t="shared" si="230"/>
        <v>5725</v>
      </c>
      <c r="CC98" s="545">
        <f t="shared" si="230"/>
        <v>5983.5</v>
      </c>
      <c r="CD98" s="547">
        <f t="shared" si="230"/>
        <v>6218</v>
      </c>
      <c r="CE98" s="545">
        <f t="shared" si="230"/>
        <v>6377</v>
      </c>
      <c r="CF98" s="545">
        <f t="shared" si="230"/>
        <v>6443.5</v>
      </c>
      <c r="CG98" s="545">
        <f t="shared" si="230"/>
        <v>6055</v>
      </c>
      <c r="CH98" s="547">
        <f t="shared" ref="CH98:DV98" si="231">AVERAGE(CG90:CH90)</f>
        <v>5627.5</v>
      </c>
      <c r="CI98" s="545">
        <f t="shared" si="231"/>
        <v>5549</v>
      </c>
      <c r="CJ98" s="545">
        <f t="shared" si="231"/>
        <v>5428.0093457943931</v>
      </c>
      <c r="CK98" s="545">
        <f t="shared" si="231"/>
        <v>5339.0093457943931</v>
      </c>
      <c r="CL98" s="547">
        <f t="shared" si="231"/>
        <v>5274</v>
      </c>
      <c r="CM98" s="545">
        <f t="shared" si="231"/>
        <v>5182.5</v>
      </c>
      <c r="CN98" s="545">
        <f t="shared" si="231"/>
        <v>5052.5</v>
      </c>
      <c r="CO98" s="545">
        <f t="shared" si="231"/>
        <v>4928.5</v>
      </c>
      <c r="CP98" s="547">
        <f t="shared" si="231"/>
        <v>4824.5</v>
      </c>
      <c r="CQ98" s="545">
        <f t="shared" si="231"/>
        <v>4697.5</v>
      </c>
      <c r="CR98" s="545">
        <f t="shared" si="231"/>
        <v>4537</v>
      </c>
      <c r="CS98" s="545">
        <f t="shared" si="231"/>
        <v>4382</v>
      </c>
      <c r="CT98" s="547">
        <f t="shared" si="231"/>
        <v>4255.5</v>
      </c>
      <c r="CU98" s="545">
        <f t="shared" si="231"/>
        <v>4137.5</v>
      </c>
      <c r="CV98" s="545">
        <f t="shared" si="231"/>
        <v>4015</v>
      </c>
      <c r="CW98" s="548">
        <f t="shared" si="231"/>
        <v>3904.5</v>
      </c>
      <c r="CX98" s="545">
        <f t="shared" si="231"/>
        <v>3808.5</v>
      </c>
      <c r="CY98" s="545">
        <f t="shared" si="231"/>
        <v>3698</v>
      </c>
      <c r="CZ98" s="545">
        <f t="shared" si="231"/>
        <v>3560</v>
      </c>
      <c r="DA98" s="545">
        <f t="shared" si="231"/>
        <v>3429.5</v>
      </c>
      <c r="DB98" s="547">
        <f t="shared" si="231"/>
        <v>3326.5</v>
      </c>
      <c r="DC98" s="545">
        <f t="shared" si="231"/>
        <v>3224</v>
      </c>
      <c r="DD98" s="545">
        <f t="shared" si="231"/>
        <v>3107.5</v>
      </c>
      <c r="DE98" s="545">
        <f t="shared" si="231"/>
        <v>2996</v>
      </c>
      <c r="DF98" s="547">
        <f t="shared" si="231"/>
        <v>2902</v>
      </c>
      <c r="DG98" s="1124">
        <f t="shared" si="231"/>
        <v>2814.5</v>
      </c>
      <c r="DH98" s="1124">
        <f t="shared" si="231"/>
        <v>2721.5</v>
      </c>
      <c r="DI98" s="548">
        <f t="shared" si="231"/>
        <v>2632</v>
      </c>
      <c r="DJ98" s="547">
        <f t="shared" si="231"/>
        <v>2543</v>
      </c>
      <c r="DK98" s="1124">
        <f t="shared" si="231"/>
        <v>2448.5</v>
      </c>
      <c r="DL98" s="1124">
        <f t="shared" si="231"/>
        <v>2344</v>
      </c>
      <c r="DM98" s="548">
        <f t="shared" si="231"/>
        <v>2241</v>
      </c>
      <c r="DN98" s="1124">
        <f t="shared" si="231"/>
        <v>2140</v>
      </c>
      <c r="DO98" s="1124">
        <f t="shared" si="231"/>
        <v>1802.5</v>
      </c>
      <c r="DP98" s="1124">
        <f t="shared" si="231"/>
        <v>1486</v>
      </c>
      <c r="DQ98" s="548">
        <f t="shared" si="231"/>
        <v>1419</v>
      </c>
      <c r="DR98" s="1124">
        <f t="shared" si="231"/>
        <v>1354</v>
      </c>
      <c r="DS98" s="1124">
        <f t="shared" si="231"/>
        <v>1287</v>
      </c>
      <c r="DT98" s="1124">
        <f t="shared" si="231"/>
        <v>1213</v>
      </c>
      <c r="DU98" s="548">
        <f t="shared" si="231"/>
        <v>1142</v>
      </c>
      <c r="DV98" s="1124">
        <f t="shared" si="231"/>
        <v>1079.5</v>
      </c>
      <c r="DW98" s="1124">
        <f t="shared" ref="DW98" si="232">AVERAGE(DV90:DW90)</f>
        <v>1020</v>
      </c>
      <c r="DX98" s="1124">
        <f t="shared" ref="DX98" si="233">AVERAGE(DW90:DX90)</f>
        <v>960</v>
      </c>
      <c r="DY98" s="548">
        <f t="shared" ref="DY98" si="234">AVERAGE(DX90:DY90)</f>
        <v>900</v>
      </c>
    </row>
    <row r="99" spans="1:129" hidden="1">
      <c r="A99" s="732" t="s">
        <v>462</v>
      </c>
      <c r="B99" s="545"/>
      <c r="C99" s="545"/>
      <c r="D99" s="545"/>
      <c r="E99" s="545"/>
      <c r="F99" s="545"/>
      <c r="G99" s="545"/>
      <c r="H99" s="545">
        <f>SUM(BB99:BE99)</f>
        <v>271.80000000000007</v>
      </c>
      <c r="I99" s="545">
        <f>SUM(BF99:BI99)</f>
        <v>336.00000000000006</v>
      </c>
      <c r="J99" s="545">
        <f>SUM(BJ99:BM99)</f>
        <v>361.80000000000007</v>
      </c>
      <c r="K99" s="545">
        <f>SUM(BN99:BQ99)</f>
        <v>328.89600000000002</v>
      </c>
      <c r="L99" s="545">
        <f>SUM(BR99:BU99)</f>
        <v>551.61599999999987</v>
      </c>
      <c r="M99" s="545">
        <f>SUM(BV99:BY99)</f>
        <v>475.41599999999994</v>
      </c>
      <c r="N99" s="545">
        <f>SUM(BZ99:CC99)</f>
        <v>319.05600000000004</v>
      </c>
      <c r="O99" s="545">
        <f>SUM(CD99:CG99)</f>
        <v>-118.81199999999998</v>
      </c>
      <c r="P99" s="545">
        <f>SUM(CH99:CK99)</f>
        <v>-80.880657024793365</v>
      </c>
      <c r="Q99" s="1124">
        <f>SUM(CL99:CO99)</f>
        <v>-103.44</v>
      </c>
      <c r="R99" s="545">
        <f t="shared" ref="R99:V99" ca="1" si="235">R100*12*R92</f>
        <v>-135.35999999999999</v>
      </c>
      <c r="S99" s="545">
        <f t="shared" ca="1" si="235"/>
        <v>-109.67999999999999</v>
      </c>
      <c r="T99" s="1124">
        <f t="shared" ca="1" si="235"/>
        <v>-115.67999999999999</v>
      </c>
      <c r="U99" s="545">
        <f t="shared" ca="1" si="235"/>
        <v>-102.72</v>
      </c>
      <c r="V99" s="545">
        <f t="shared" ca="1" si="235"/>
        <v>-84.95999999999998</v>
      </c>
      <c r="W99" s="545">
        <f t="shared" ref="W99:AB99" ca="1" si="236">W100*12*W92</f>
        <v>-94.8</v>
      </c>
      <c r="X99" s="545">
        <f t="shared" ca="1" si="236"/>
        <v>-194.15999999999997</v>
      </c>
      <c r="Y99" s="545">
        <f t="shared" ca="1" si="236"/>
        <v>-66.239999999999995</v>
      </c>
      <c r="Z99" s="545">
        <f t="shared" ca="1" si="236"/>
        <v>-57.359999999999985</v>
      </c>
      <c r="AA99" s="1124">
        <f t="shared" si="236"/>
        <v>-73.080000000000013</v>
      </c>
      <c r="AB99" s="1124">
        <f t="shared" si="236"/>
        <v>-58.464000000000013</v>
      </c>
      <c r="AC99" s="1124">
        <f t="shared" ref="AC99:AG99" si="237">AC100*12*AC92</f>
        <v>-46.771200000000007</v>
      </c>
      <c r="AD99" s="1124">
        <f t="shared" si="237"/>
        <v>-37.416960000000003</v>
      </c>
      <c r="AE99" s="1124">
        <f t="shared" si="237"/>
        <v>-29.933568000000001</v>
      </c>
      <c r="AF99" s="1124">
        <f t="shared" si="237"/>
        <v>-23.946854400000003</v>
      </c>
      <c r="AG99" s="1124">
        <f t="shared" si="237"/>
        <v>-19.157483520000003</v>
      </c>
      <c r="AH99" s="1949"/>
      <c r="AI99"/>
      <c r="AJ99"/>
      <c r="AK99"/>
      <c r="AL99"/>
      <c r="AM99"/>
      <c r="AN99"/>
      <c r="AO99"/>
      <c r="AP99" s="547"/>
      <c r="AQ99" s="545"/>
      <c r="AR99" s="545"/>
      <c r="AS99" s="545"/>
      <c r="AT99" s="547"/>
      <c r="AU99" s="545"/>
      <c r="AV99" s="545"/>
      <c r="AW99" s="545"/>
      <c r="AX99" s="547"/>
      <c r="AY99" s="545"/>
      <c r="AZ99" s="545"/>
      <c r="BA99" s="545"/>
      <c r="BB99" s="547">
        <f t="shared" ref="BB99:CG99" si="238">BB100*12*BB92</f>
        <v>37.800000000000004</v>
      </c>
      <c r="BC99" s="545">
        <f t="shared" si="238"/>
        <v>42.600000000000009</v>
      </c>
      <c r="BD99" s="545">
        <f t="shared" si="238"/>
        <v>78.000000000000014</v>
      </c>
      <c r="BE99" s="545">
        <f t="shared" si="238"/>
        <v>113.40000000000002</v>
      </c>
      <c r="BF99" s="547">
        <f t="shared" si="238"/>
        <v>108.00000000000001</v>
      </c>
      <c r="BG99" s="545">
        <f t="shared" si="238"/>
        <v>72.000000000000014</v>
      </c>
      <c r="BH99" s="545">
        <f t="shared" si="238"/>
        <v>81.000000000000014</v>
      </c>
      <c r="BI99" s="545">
        <f t="shared" si="238"/>
        <v>75.000000000000014</v>
      </c>
      <c r="BJ99" s="547">
        <f t="shared" si="238"/>
        <v>90.000000000000014</v>
      </c>
      <c r="BK99" s="545">
        <f t="shared" si="238"/>
        <v>90.000000000000014</v>
      </c>
      <c r="BL99" s="545">
        <f t="shared" si="238"/>
        <v>93.000000000000014</v>
      </c>
      <c r="BM99" s="545">
        <f t="shared" si="238"/>
        <v>88.800000000000011</v>
      </c>
      <c r="BN99" s="547">
        <f t="shared" si="238"/>
        <v>73.152000000000015</v>
      </c>
      <c r="BO99" s="545">
        <f t="shared" si="238"/>
        <v>55.752000000000002</v>
      </c>
      <c r="BP99" s="545">
        <f t="shared" si="238"/>
        <v>97.68</v>
      </c>
      <c r="BQ99" s="545">
        <f t="shared" si="238"/>
        <v>102.312</v>
      </c>
      <c r="BR99" s="547">
        <f t="shared" si="238"/>
        <v>165.59999999999997</v>
      </c>
      <c r="BS99" s="545">
        <f t="shared" si="238"/>
        <v>127.67999999999998</v>
      </c>
      <c r="BT99" s="545">
        <f t="shared" si="238"/>
        <v>133.48799999999997</v>
      </c>
      <c r="BU99" s="545">
        <f t="shared" si="238"/>
        <v>124.84799999999996</v>
      </c>
      <c r="BV99" s="547">
        <f t="shared" si="238"/>
        <v>120.77999999999996</v>
      </c>
      <c r="BW99" s="545">
        <f t="shared" si="238"/>
        <v>90.072000000000003</v>
      </c>
      <c r="BX99" s="545">
        <f t="shared" si="238"/>
        <v>126.036</v>
      </c>
      <c r="BY99" s="545">
        <f t="shared" si="238"/>
        <v>138.52799999999999</v>
      </c>
      <c r="BZ99" s="547">
        <f t="shared" si="238"/>
        <v>88.200000000000017</v>
      </c>
      <c r="CA99" s="545">
        <f t="shared" si="238"/>
        <v>90.144000000000005</v>
      </c>
      <c r="CB99" s="545">
        <f t="shared" si="238"/>
        <v>68.64</v>
      </c>
      <c r="CC99" s="545">
        <f t="shared" si="238"/>
        <v>72.072000000000003</v>
      </c>
      <c r="CD99" s="547">
        <f t="shared" si="238"/>
        <v>68.544000000000011</v>
      </c>
      <c r="CE99" s="545">
        <f t="shared" si="238"/>
        <v>19.68</v>
      </c>
      <c r="CF99" s="545">
        <f t="shared" si="238"/>
        <v>12.084</v>
      </c>
      <c r="CG99" s="545">
        <f t="shared" si="238"/>
        <v>-219.12</v>
      </c>
      <c r="CH99" s="547">
        <f t="shared" ref="CH99:DE99" si="239">CH100*12*CH92</f>
        <v>-6.0591942148760323</v>
      </c>
      <c r="CI99" s="545">
        <f t="shared" si="239"/>
        <v>-31.68</v>
      </c>
      <c r="CJ99" s="545">
        <f t="shared" si="239"/>
        <v>-26.65592430678916</v>
      </c>
      <c r="CK99" s="545">
        <f t="shared" si="239"/>
        <v>-16.485538503128186</v>
      </c>
      <c r="CL99" s="547">
        <f t="shared" si="239"/>
        <v>-14.879999999999999</v>
      </c>
      <c r="CM99" s="545">
        <f t="shared" si="239"/>
        <v>-29.04</v>
      </c>
      <c r="CN99" s="545">
        <f t="shared" si="239"/>
        <v>-33.36</v>
      </c>
      <c r="CO99" s="545">
        <f t="shared" si="239"/>
        <v>-26.16</v>
      </c>
      <c r="CP99" s="547">
        <f t="shared" si="239"/>
        <v>-23.759999999999998</v>
      </c>
      <c r="CQ99" s="545">
        <f t="shared" si="239"/>
        <v>-37.199999999999996</v>
      </c>
      <c r="CR99" s="545">
        <f t="shared" si="239"/>
        <v>-39.839999999999996</v>
      </c>
      <c r="CS99" s="545">
        <f t="shared" si="239"/>
        <v>-34.56</v>
      </c>
      <c r="CT99" s="547">
        <f t="shared" si="239"/>
        <v>-26.16</v>
      </c>
      <c r="CU99" s="545">
        <f t="shared" si="239"/>
        <v>-30.48</v>
      </c>
      <c r="CV99" s="545">
        <f t="shared" si="239"/>
        <v>-28.32</v>
      </c>
      <c r="CW99" s="548">
        <f t="shared" si="239"/>
        <v>-24.72</v>
      </c>
      <c r="CX99" s="545">
        <f t="shared" si="239"/>
        <v>-21.36</v>
      </c>
      <c r="CY99" s="545">
        <f t="shared" si="239"/>
        <v>-31.68</v>
      </c>
      <c r="CZ99" s="545">
        <f t="shared" si="239"/>
        <v>-34.56</v>
      </c>
      <c r="DA99" s="545">
        <f t="shared" si="239"/>
        <v>-28.08</v>
      </c>
      <c r="DB99" s="547">
        <f t="shared" si="239"/>
        <v>-21.36</v>
      </c>
      <c r="DC99" s="545">
        <f t="shared" si="239"/>
        <v>-27.84</v>
      </c>
      <c r="DD99" s="545">
        <f t="shared" si="239"/>
        <v>-28.08</v>
      </c>
      <c r="DE99" s="545">
        <f t="shared" si="239"/>
        <v>-25.439999999999998</v>
      </c>
      <c r="DF99" s="547">
        <f>DF100*12*DF92</f>
        <v>-19.68</v>
      </c>
      <c r="DG99" s="1124">
        <f>DG100*12*DG92</f>
        <v>-22.32</v>
      </c>
      <c r="DH99" s="1124">
        <f>DH100*12*DH92</f>
        <v>-22.32</v>
      </c>
      <c r="DI99" s="548">
        <f>DI100*12*DI92</f>
        <v>-20.64</v>
      </c>
      <c r="DJ99" s="547">
        <f t="shared" ref="DJ99:DM99" si="240">DJ100*12*DJ92</f>
        <v>-22.08</v>
      </c>
      <c r="DK99" s="1124">
        <f t="shared" si="240"/>
        <v>-23.279999999999998</v>
      </c>
      <c r="DL99" s="1124">
        <f t="shared" si="240"/>
        <v>-26.88</v>
      </c>
      <c r="DM99" s="548">
        <f t="shared" si="240"/>
        <v>-22.56</v>
      </c>
      <c r="DN99" s="1124">
        <f t="shared" ref="DN99:DO99" si="241">DN100*12*DN92</f>
        <v>-25.919999999999998</v>
      </c>
      <c r="DO99" s="1124">
        <f t="shared" si="241"/>
        <v>-136.07999999999998</v>
      </c>
      <c r="DP99" s="1124">
        <f t="shared" ref="DP99:DQ99" si="242">DP100*12*DP92</f>
        <v>-15.84</v>
      </c>
      <c r="DQ99" s="548">
        <f t="shared" si="242"/>
        <v>-16.32</v>
      </c>
      <c r="DR99" s="1124">
        <f t="shared" ref="DR99:DS99" si="243">DR100*12*DR92</f>
        <v>-14.879999999999999</v>
      </c>
      <c r="DS99" s="1124">
        <f t="shared" si="243"/>
        <v>-17.28</v>
      </c>
      <c r="DT99" s="1124">
        <f t="shared" ref="DT99:DU99" si="244">DT100*12*DT92</f>
        <v>-18.239999999999998</v>
      </c>
      <c r="DU99" s="548">
        <f t="shared" si="244"/>
        <v>-15.84</v>
      </c>
      <c r="DV99" s="1124">
        <f t="shared" ref="DV99" si="245">DV100*12*DV92</f>
        <v>-14.16</v>
      </c>
      <c r="DW99" s="1124">
        <f t="shared" ref="DW99:DY99" si="246">DW100*12*DW92</f>
        <v>-14.399999999999999</v>
      </c>
      <c r="DX99" s="1124">
        <f t="shared" si="246"/>
        <v>-14.399999999999999</v>
      </c>
      <c r="DY99" s="548">
        <f t="shared" si="246"/>
        <v>-14.399999999999999</v>
      </c>
    </row>
    <row r="100" spans="1:129" hidden="1">
      <c r="A100" s="733" t="s">
        <v>463</v>
      </c>
      <c r="B100" s="540"/>
      <c r="C100" s="540"/>
      <c r="D100" s="540"/>
      <c r="E100" s="540"/>
      <c r="F100" s="540"/>
      <c r="G100" s="540"/>
      <c r="H100" s="540">
        <f t="shared" ref="H100:V100" si="247">H99/H92/12</f>
        <v>5.0000000000000017E-2</v>
      </c>
      <c r="I100" s="540">
        <f t="shared" si="247"/>
        <v>5.000000000000001E-2</v>
      </c>
      <c r="J100" s="540">
        <f t="shared" si="247"/>
        <v>5.000000000000001E-2</v>
      </c>
      <c r="K100" s="540">
        <f t="shared" si="247"/>
        <v>4.4493506493506495E-2</v>
      </c>
      <c r="L100" s="540">
        <f t="shared" si="247"/>
        <v>3.7070967741935475E-2</v>
      </c>
      <c r="M100" s="540">
        <f t="shared" si="247"/>
        <v>2.7978813559322028E-2</v>
      </c>
      <c r="N100" s="540">
        <f t="shared" si="247"/>
        <v>2.3654804270462636E-2</v>
      </c>
      <c r="O100" s="540">
        <f t="shared" si="247"/>
        <v>2.157080610021786E-2</v>
      </c>
      <c r="P100" s="540">
        <f t="shared" si="247"/>
        <v>2.0119566424077952E-2</v>
      </c>
      <c r="Q100" s="1056">
        <f t="shared" si="247"/>
        <v>0.02</v>
      </c>
      <c r="R100" s="540">
        <f t="shared" ca="1" si="247"/>
        <v>1.9999999999999997E-2</v>
      </c>
      <c r="S100" s="540">
        <f t="shared" ca="1" si="247"/>
        <v>0.02</v>
      </c>
      <c r="T100" s="1056">
        <f t="shared" ca="1" si="247"/>
        <v>0.02</v>
      </c>
      <c r="U100" s="540">
        <f t="shared" ca="1" si="247"/>
        <v>0.02</v>
      </c>
      <c r="V100" s="540">
        <f t="shared" ca="1" si="247"/>
        <v>1.9999999999999993E-2</v>
      </c>
      <c r="W100" s="540">
        <f ca="1">W99/W92/12</f>
        <v>0.02</v>
      </c>
      <c r="X100" s="540">
        <f ca="1">X99/X92/12</f>
        <v>1.9999999999999997E-2</v>
      </c>
      <c r="Y100" s="540">
        <f ca="1">Y99/Y92/12</f>
        <v>0.02</v>
      </c>
      <c r="Z100" s="540">
        <f ca="1">Z99/Z92/12</f>
        <v>1.9999999999999993E-2</v>
      </c>
      <c r="AA100" s="1056">
        <v>3.5000000000000003E-2</v>
      </c>
      <c r="AB100" s="1056">
        <v>3.5000000000000003E-2</v>
      </c>
      <c r="AC100" s="1056">
        <v>3.5000000000000003E-2</v>
      </c>
      <c r="AD100" s="1056">
        <v>3.5000000000000003E-2</v>
      </c>
      <c r="AE100" s="1056">
        <v>3.5000000000000003E-2</v>
      </c>
      <c r="AF100" s="1056">
        <v>3.5000000000000003E-2</v>
      </c>
      <c r="AG100" s="1056">
        <v>3.5000000000000003E-2</v>
      </c>
      <c r="AH100" s="1950"/>
      <c r="AI100"/>
      <c r="AJ100"/>
      <c r="AK100"/>
      <c r="AL100"/>
      <c r="AM100"/>
      <c r="AN100"/>
      <c r="AO100"/>
      <c r="AP100" s="541"/>
      <c r="AQ100" s="540"/>
      <c r="AR100" s="540"/>
      <c r="AS100" s="540"/>
      <c r="AT100" s="541"/>
      <c r="AU100" s="540"/>
      <c r="AV100" s="540"/>
      <c r="AW100" s="540"/>
      <c r="AX100" s="541"/>
      <c r="AY100" s="540"/>
      <c r="AZ100" s="540"/>
      <c r="BA100" s="540"/>
      <c r="BB100" s="541">
        <v>0.05</v>
      </c>
      <c r="BC100" s="540">
        <v>0.05</v>
      </c>
      <c r="BD100" s="540">
        <v>0.05</v>
      </c>
      <c r="BE100" s="540">
        <v>0.05</v>
      </c>
      <c r="BF100" s="541">
        <v>0.05</v>
      </c>
      <c r="BG100" s="540">
        <v>0.05</v>
      </c>
      <c r="BH100" s="540">
        <v>0.05</v>
      </c>
      <c r="BI100" s="540">
        <v>0.05</v>
      </c>
      <c r="BJ100" s="541">
        <v>0.05</v>
      </c>
      <c r="BK100" s="540">
        <v>0.05</v>
      </c>
      <c r="BL100" s="540">
        <v>0.05</v>
      </c>
      <c r="BM100" s="540">
        <v>0.05</v>
      </c>
      <c r="BN100" s="541">
        <f t="shared" ref="BN100:BU100" si="248">BM100-0.002</f>
        <v>4.8000000000000001E-2</v>
      </c>
      <c r="BO100" s="540">
        <f t="shared" si="248"/>
        <v>4.5999999999999999E-2</v>
      </c>
      <c r="BP100" s="540">
        <f t="shared" si="248"/>
        <v>4.3999999999999997E-2</v>
      </c>
      <c r="BQ100" s="540">
        <f t="shared" si="248"/>
        <v>4.1999999999999996E-2</v>
      </c>
      <c r="BR100" s="541">
        <f t="shared" si="248"/>
        <v>3.9999999999999994E-2</v>
      </c>
      <c r="BS100" s="540">
        <f t="shared" si="248"/>
        <v>3.7999999999999992E-2</v>
      </c>
      <c r="BT100" s="540">
        <f t="shared" si="248"/>
        <v>3.599999999999999E-2</v>
      </c>
      <c r="BU100" s="540">
        <f t="shared" si="248"/>
        <v>3.3999999999999989E-2</v>
      </c>
      <c r="BV100" s="541">
        <f>BU100-0.001</f>
        <v>3.2999999999999988E-2</v>
      </c>
      <c r="BW100" s="540">
        <v>2.7E-2</v>
      </c>
      <c r="BX100" s="540">
        <v>2.7E-2</v>
      </c>
      <c r="BY100" s="540">
        <f>BX100-0.001</f>
        <v>2.5999999999999999E-2</v>
      </c>
      <c r="BZ100" s="541">
        <v>2.5000000000000001E-2</v>
      </c>
      <c r="CA100" s="540">
        <v>2.4E-2</v>
      </c>
      <c r="CB100" s="540">
        <v>0.02</v>
      </c>
      <c r="CC100" s="540">
        <v>2.5999999999999999E-2</v>
      </c>
      <c r="CD100" s="541">
        <v>2.4E-2</v>
      </c>
      <c r="CE100" s="540">
        <v>2.0500000000000001E-2</v>
      </c>
      <c r="CF100" s="540">
        <v>1.9E-2</v>
      </c>
      <c r="CG100" s="540">
        <v>2.1999999999999999E-2</v>
      </c>
      <c r="CH100" s="541">
        <v>2.0197314049586773E-2</v>
      </c>
      <c r="CI100" s="540">
        <v>0.02</v>
      </c>
      <c r="CJ100" s="540">
        <v>2.0197314049586773E-2</v>
      </c>
      <c r="CK100" s="540">
        <v>2.0197314049586773E-2</v>
      </c>
      <c r="CL100" s="541">
        <v>0.02</v>
      </c>
      <c r="CM100" s="540">
        <f t="shared" ref="CM100:DE100" si="249">+CL100</f>
        <v>0.02</v>
      </c>
      <c r="CN100" s="540">
        <f t="shared" si="249"/>
        <v>0.02</v>
      </c>
      <c r="CO100" s="540">
        <f t="shared" si="249"/>
        <v>0.02</v>
      </c>
      <c r="CP100" s="541">
        <f t="shared" si="249"/>
        <v>0.02</v>
      </c>
      <c r="CQ100" s="540">
        <f t="shared" si="249"/>
        <v>0.02</v>
      </c>
      <c r="CR100" s="540">
        <f t="shared" si="249"/>
        <v>0.02</v>
      </c>
      <c r="CS100" s="540">
        <f t="shared" si="249"/>
        <v>0.02</v>
      </c>
      <c r="CT100" s="541">
        <f t="shared" si="249"/>
        <v>0.02</v>
      </c>
      <c r="CU100" s="540">
        <f t="shared" si="249"/>
        <v>0.02</v>
      </c>
      <c r="CV100" s="540">
        <f t="shared" si="249"/>
        <v>0.02</v>
      </c>
      <c r="CW100" s="543">
        <f t="shared" si="249"/>
        <v>0.02</v>
      </c>
      <c r="CX100" s="540">
        <f t="shared" si="249"/>
        <v>0.02</v>
      </c>
      <c r="CY100" s="540">
        <f t="shared" si="249"/>
        <v>0.02</v>
      </c>
      <c r="CZ100" s="540">
        <f t="shared" si="249"/>
        <v>0.02</v>
      </c>
      <c r="DA100" s="540">
        <f t="shared" si="249"/>
        <v>0.02</v>
      </c>
      <c r="DB100" s="541">
        <f t="shared" si="249"/>
        <v>0.02</v>
      </c>
      <c r="DC100" s="540">
        <f t="shared" si="249"/>
        <v>0.02</v>
      </c>
      <c r="DD100" s="540">
        <f t="shared" si="249"/>
        <v>0.02</v>
      </c>
      <c r="DE100" s="540">
        <f t="shared" si="249"/>
        <v>0.02</v>
      </c>
      <c r="DF100" s="541">
        <f t="shared" ref="DF100:DV100" si="250">+DE100</f>
        <v>0.02</v>
      </c>
      <c r="DG100" s="1056">
        <f t="shared" si="250"/>
        <v>0.02</v>
      </c>
      <c r="DH100" s="1056">
        <f t="shared" si="250"/>
        <v>0.02</v>
      </c>
      <c r="DI100" s="543">
        <f t="shared" si="250"/>
        <v>0.02</v>
      </c>
      <c r="DJ100" s="541">
        <f t="shared" si="250"/>
        <v>0.02</v>
      </c>
      <c r="DK100" s="1056">
        <f t="shared" si="250"/>
        <v>0.02</v>
      </c>
      <c r="DL100" s="1056">
        <f t="shared" si="250"/>
        <v>0.02</v>
      </c>
      <c r="DM100" s="543">
        <f t="shared" si="250"/>
        <v>0.02</v>
      </c>
      <c r="DN100" s="1056">
        <f t="shared" si="250"/>
        <v>0.02</v>
      </c>
      <c r="DO100" s="1056">
        <f t="shared" si="250"/>
        <v>0.02</v>
      </c>
      <c r="DP100" s="1056">
        <f t="shared" si="250"/>
        <v>0.02</v>
      </c>
      <c r="DQ100" s="543">
        <f t="shared" si="250"/>
        <v>0.02</v>
      </c>
      <c r="DR100" s="1056">
        <f t="shared" si="250"/>
        <v>0.02</v>
      </c>
      <c r="DS100" s="1056">
        <f t="shared" si="250"/>
        <v>0.02</v>
      </c>
      <c r="DT100" s="1056">
        <f t="shared" si="250"/>
        <v>0.02</v>
      </c>
      <c r="DU100" s="543">
        <f t="shared" si="250"/>
        <v>0.02</v>
      </c>
      <c r="DV100" s="1056">
        <f t="shared" si="250"/>
        <v>0.02</v>
      </c>
      <c r="DW100" s="1056">
        <f t="shared" ref="DW100" si="251">+DV100</f>
        <v>0.02</v>
      </c>
      <c r="DX100" s="1056">
        <f t="shared" ref="DX100" si="252">+DW100</f>
        <v>0.02</v>
      </c>
      <c r="DY100" s="543">
        <f t="shared" ref="DY100" si="253">+DX100</f>
        <v>0.02</v>
      </c>
    </row>
    <row r="101" spans="1:129" hidden="1">
      <c r="A101" s="732" t="s">
        <v>1492</v>
      </c>
      <c r="B101" s="545"/>
      <c r="C101" s="545"/>
      <c r="D101" s="545"/>
      <c r="E101" s="545"/>
      <c r="F101" s="545"/>
      <c r="G101" s="549"/>
      <c r="H101" s="549">
        <f t="shared" ref="H101:V101" si="254">H98+H99</f>
        <v>585.30000000000007</v>
      </c>
      <c r="I101" s="549">
        <f t="shared" si="254"/>
        <v>1174.75</v>
      </c>
      <c r="J101" s="549">
        <f t="shared" si="254"/>
        <v>1763.4250000000002</v>
      </c>
      <c r="K101" s="549">
        <f t="shared" si="254"/>
        <v>2300.8960000000002</v>
      </c>
      <c r="L101" s="549">
        <f t="shared" si="254"/>
        <v>3490.616</v>
      </c>
      <c r="M101" s="549">
        <f t="shared" si="254"/>
        <v>4742.4160000000002</v>
      </c>
      <c r="N101" s="549">
        <f t="shared" si="254"/>
        <v>5856.0560000000005</v>
      </c>
      <c r="O101" s="549">
        <f t="shared" si="254"/>
        <v>5750.6880000000001</v>
      </c>
      <c r="P101" s="549">
        <f t="shared" si="254"/>
        <v>5391.6193429752066</v>
      </c>
      <c r="Q101" s="1125">
        <f t="shared" si="254"/>
        <v>4986.0600000000004</v>
      </c>
      <c r="R101" s="549">
        <f t="shared" ca="1" si="254"/>
        <v>4456.6400000000003</v>
      </c>
      <c r="S101" s="549">
        <f t="shared" ca="1" si="254"/>
        <v>3971.82</v>
      </c>
      <c r="T101" s="1125">
        <f t="shared" ca="1" si="254"/>
        <v>3496.32</v>
      </c>
      <c r="U101" s="549">
        <f t="shared" ca="1" si="254"/>
        <v>3054.28</v>
      </c>
      <c r="V101" s="549">
        <f t="shared" ca="1" si="254"/>
        <v>2681.04</v>
      </c>
      <c r="W101" s="549">
        <f t="shared" ref="W101:AB101" ca="1" si="255">W98+W99</f>
        <v>2296.6999999999998</v>
      </c>
      <c r="X101" s="549">
        <f t="shared" ca="1" si="255"/>
        <v>1595.3400000000001</v>
      </c>
      <c r="Y101" s="549">
        <f t="shared" ca="1" si="255"/>
        <v>1180.76</v>
      </c>
      <c r="Z101" s="549">
        <f t="shared" ca="1" si="255"/>
        <v>932.14</v>
      </c>
      <c r="AA101" s="1125">
        <f t="shared" si="255"/>
        <v>709.92</v>
      </c>
      <c r="AB101" s="1125">
        <f t="shared" si="255"/>
        <v>567.93599999999992</v>
      </c>
      <c r="AC101" s="1125">
        <f t="shared" ref="AC101:AG101" si="256">AC98+AC99</f>
        <v>454.34879999999993</v>
      </c>
      <c r="AD101" s="1125">
        <f t="shared" si="256"/>
        <v>363.47903999999994</v>
      </c>
      <c r="AE101" s="1125">
        <f t="shared" si="256"/>
        <v>290.783232</v>
      </c>
      <c r="AF101" s="1125">
        <f t="shared" si="256"/>
        <v>232.6265856</v>
      </c>
      <c r="AG101" s="1125">
        <f t="shared" si="256"/>
        <v>186.10126847999996</v>
      </c>
      <c r="AH101" s="2135"/>
      <c r="AI101"/>
      <c r="AJ101"/>
      <c r="AK101"/>
      <c r="AL101"/>
      <c r="AM101"/>
      <c r="AN101"/>
      <c r="AO101"/>
      <c r="AP101" s="547"/>
      <c r="AQ101" s="545"/>
      <c r="AR101" s="545"/>
      <c r="AS101" s="545"/>
      <c r="AT101" s="547"/>
      <c r="AU101" s="545"/>
      <c r="AV101" s="545"/>
      <c r="AW101" s="545"/>
      <c r="AX101" s="547"/>
      <c r="AY101" s="545"/>
      <c r="AZ101" s="545"/>
      <c r="BA101" s="545"/>
      <c r="BB101" s="550">
        <f t="shared" ref="BB101:CG101" si="257">BB98+BB99</f>
        <v>156.30000000000001</v>
      </c>
      <c r="BC101" s="549">
        <f t="shared" si="257"/>
        <v>228.10000000000002</v>
      </c>
      <c r="BD101" s="549">
        <f t="shared" si="257"/>
        <v>364</v>
      </c>
      <c r="BE101" s="549">
        <f t="shared" si="257"/>
        <v>558.9</v>
      </c>
      <c r="BF101" s="550">
        <f t="shared" si="257"/>
        <v>738</v>
      </c>
      <c r="BG101" s="549">
        <f t="shared" si="257"/>
        <v>852</v>
      </c>
      <c r="BH101" s="549">
        <f t="shared" si="257"/>
        <v>988.5</v>
      </c>
      <c r="BI101" s="549">
        <f t="shared" si="257"/>
        <v>1112.5</v>
      </c>
      <c r="BJ101" s="550">
        <f t="shared" si="257"/>
        <v>1265</v>
      </c>
      <c r="BK101" s="549">
        <f t="shared" si="257"/>
        <v>1415</v>
      </c>
      <c r="BL101" s="549">
        <f t="shared" si="257"/>
        <v>1570.5</v>
      </c>
      <c r="BM101" s="549">
        <f t="shared" si="257"/>
        <v>1717.8</v>
      </c>
      <c r="BN101" s="550">
        <f t="shared" si="257"/>
        <v>1839.652</v>
      </c>
      <c r="BO101" s="549">
        <f t="shared" si="257"/>
        <v>1936.252</v>
      </c>
      <c r="BP101" s="549">
        <f t="shared" si="257"/>
        <v>2121.1799999999998</v>
      </c>
      <c r="BQ101" s="549">
        <f t="shared" si="257"/>
        <v>2319.8119999999999</v>
      </c>
      <c r="BR101" s="550">
        <f t="shared" si="257"/>
        <v>2657.1</v>
      </c>
      <c r="BS101" s="549">
        <f t="shared" si="257"/>
        <v>2931.68</v>
      </c>
      <c r="BT101" s="549">
        <f t="shared" si="257"/>
        <v>3231.9879999999998</v>
      </c>
      <c r="BU101" s="549">
        <f t="shared" si="257"/>
        <v>3530.848</v>
      </c>
      <c r="BV101" s="550">
        <f t="shared" si="257"/>
        <v>3832.2799999999997</v>
      </c>
      <c r="BW101" s="549">
        <f t="shared" si="257"/>
        <v>4093.0720000000001</v>
      </c>
      <c r="BX101" s="549">
        <f t="shared" si="257"/>
        <v>4462.5360000000001</v>
      </c>
      <c r="BY101" s="549">
        <f t="shared" si="257"/>
        <v>4891.5280000000002</v>
      </c>
      <c r="BZ101" s="550">
        <f t="shared" si="257"/>
        <v>5210.2</v>
      </c>
      <c r="CA101" s="549">
        <f t="shared" si="257"/>
        <v>5515.6440000000002</v>
      </c>
      <c r="CB101" s="549">
        <f t="shared" si="257"/>
        <v>5793.64</v>
      </c>
      <c r="CC101" s="549">
        <f t="shared" si="257"/>
        <v>6055.5720000000001</v>
      </c>
      <c r="CD101" s="550">
        <f t="shared" si="257"/>
        <v>6286.5439999999999</v>
      </c>
      <c r="CE101" s="549">
        <f t="shared" si="257"/>
        <v>6396.68</v>
      </c>
      <c r="CF101" s="549">
        <f t="shared" si="257"/>
        <v>6455.5839999999998</v>
      </c>
      <c r="CG101" s="549">
        <f t="shared" si="257"/>
        <v>5835.88</v>
      </c>
      <c r="CH101" s="550">
        <f t="shared" ref="CH101:DE101" si="258">CH98+CH99</f>
        <v>5621.4408057851242</v>
      </c>
      <c r="CI101" s="549">
        <f t="shared" si="258"/>
        <v>5517.32</v>
      </c>
      <c r="CJ101" s="549">
        <f t="shared" si="258"/>
        <v>5401.3534214876036</v>
      </c>
      <c r="CK101" s="549">
        <f t="shared" si="258"/>
        <v>5322.5238072912653</v>
      </c>
      <c r="CL101" s="550">
        <f t="shared" si="258"/>
        <v>5259.12</v>
      </c>
      <c r="CM101" s="549">
        <f t="shared" si="258"/>
        <v>5153.46</v>
      </c>
      <c r="CN101" s="549">
        <f t="shared" si="258"/>
        <v>5019.1400000000003</v>
      </c>
      <c r="CO101" s="549">
        <f t="shared" si="258"/>
        <v>4902.34</v>
      </c>
      <c r="CP101" s="550">
        <f t="shared" si="258"/>
        <v>4800.74</v>
      </c>
      <c r="CQ101" s="549">
        <f t="shared" si="258"/>
        <v>4660.3</v>
      </c>
      <c r="CR101" s="549">
        <f t="shared" si="258"/>
        <v>4497.16</v>
      </c>
      <c r="CS101" s="549">
        <f t="shared" si="258"/>
        <v>4347.4399999999996</v>
      </c>
      <c r="CT101" s="550">
        <f t="shared" si="258"/>
        <v>4229.34</v>
      </c>
      <c r="CU101" s="549">
        <f t="shared" si="258"/>
        <v>4107.0200000000004</v>
      </c>
      <c r="CV101" s="549">
        <f t="shared" si="258"/>
        <v>3986.68</v>
      </c>
      <c r="CW101" s="552">
        <f t="shared" si="258"/>
        <v>3879.78</v>
      </c>
      <c r="CX101" s="549">
        <f t="shared" si="258"/>
        <v>3787.14</v>
      </c>
      <c r="CY101" s="549">
        <f t="shared" si="258"/>
        <v>3666.32</v>
      </c>
      <c r="CZ101" s="549">
        <f t="shared" si="258"/>
        <v>3525.44</v>
      </c>
      <c r="DA101" s="549">
        <f t="shared" si="258"/>
        <v>3401.42</v>
      </c>
      <c r="DB101" s="550">
        <f t="shared" si="258"/>
        <v>3305.14</v>
      </c>
      <c r="DC101" s="549">
        <f t="shared" si="258"/>
        <v>3196.16</v>
      </c>
      <c r="DD101" s="549">
        <f t="shared" si="258"/>
        <v>3079.42</v>
      </c>
      <c r="DE101" s="549">
        <f t="shared" si="258"/>
        <v>2970.56</v>
      </c>
      <c r="DF101" s="550">
        <f>DF98+DF99</f>
        <v>2882.32</v>
      </c>
      <c r="DG101" s="1125">
        <f>DG98+DG99</f>
        <v>2792.18</v>
      </c>
      <c r="DH101" s="1125">
        <f>DH98+DH99</f>
        <v>2699.18</v>
      </c>
      <c r="DI101" s="552">
        <f>DI98+DI99</f>
        <v>2611.36</v>
      </c>
      <c r="DJ101" s="550">
        <f t="shared" ref="DJ101:DM101" si="259">DJ98+DJ99</f>
        <v>2520.92</v>
      </c>
      <c r="DK101" s="1125">
        <f t="shared" si="259"/>
        <v>2425.2199999999998</v>
      </c>
      <c r="DL101" s="1125">
        <f t="shared" si="259"/>
        <v>2317.12</v>
      </c>
      <c r="DM101" s="552">
        <f t="shared" si="259"/>
        <v>2218.44</v>
      </c>
      <c r="DN101" s="1125">
        <f t="shared" ref="DN101:DO101" si="260">DN98+DN99</f>
        <v>2114.08</v>
      </c>
      <c r="DO101" s="1125">
        <f t="shared" si="260"/>
        <v>1666.42</v>
      </c>
      <c r="DP101" s="1125">
        <f t="shared" ref="DP101:DQ101" si="261">DP98+DP99</f>
        <v>1470.16</v>
      </c>
      <c r="DQ101" s="552">
        <f t="shared" si="261"/>
        <v>1402.68</v>
      </c>
      <c r="DR101" s="1125">
        <f t="shared" ref="DR101:DS101" si="262">DR98+DR99</f>
        <v>1339.12</v>
      </c>
      <c r="DS101" s="1125">
        <f t="shared" si="262"/>
        <v>1269.72</v>
      </c>
      <c r="DT101" s="1125">
        <f t="shared" ref="DT101:DU101" si="263">DT98+DT99</f>
        <v>1194.76</v>
      </c>
      <c r="DU101" s="552">
        <f t="shared" si="263"/>
        <v>1126.1600000000001</v>
      </c>
      <c r="DV101" s="1125">
        <f t="shared" ref="DV101" si="264">DV98+DV99</f>
        <v>1065.3399999999999</v>
      </c>
      <c r="DW101" s="1125">
        <f t="shared" ref="DW101:DY101" si="265">DW98+DW99</f>
        <v>1005.6</v>
      </c>
      <c r="DX101" s="1125">
        <f t="shared" si="265"/>
        <v>945.6</v>
      </c>
      <c r="DY101" s="552">
        <f t="shared" si="265"/>
        <v>885.6</v>
      </c>
    </row>
    <row r="102" spans="1:129" hidden="1">
      <c r="A102" s="733" t="s">
        <v>1453</v>
      </c>
      <c r="B102" s="540"/>
      <c r="C102" s="540"/>
      <c r="D102" s="540"/>
      <c r="E102" s="540"/>
      <c r="F102" s="540"/>
      <c r="G102" s="540"/>
      <c r="H102" s="540"/>
      <c r="I102" s="540">
        <f t="shared" ref="I102:AB102" si="266">I101/H101-1</f>
        <v>1.0070903810011957</v>
      </c>
      <c r="J102" s="540">
        <f t="shared" si="266"/>
        <v>0.50110661842945325</v>
      </c>
      <c r="K102" s="540">
        <f t="shared" si="266"/>
        <v>0.30478812538100564</v>
      </c>
      <c r="L102" s="540">
        <f t="shared" si="266"/>
        <v>0.51706813345757463</v>
      </c>
      <c r="M102" s="540">
        <f t="shared" si="266"/>
        <v>0.35861865069088106</v>
      </c>
      <c r="N102" s="540">
        <f t="shared" si="266"/>
        <v>0.23482545605446692</v>
      </c>
      <c r="O102" s="540">
        <f t="shared" si="266"/>
        <v>-1.7992997334725036E-2</v>
      </c>
      <c r="P102" s="540">
        <f t="shared" si="266"/>
        <v>-6.243925196859812E-2</v>
      </c>
      <c r="Q102" s="1056">
        <f t="shared" si="266"/>
        <v>-7.5220321980559168E-2</v>
      </c>
      <c r="R102" s="540">
        <f t="shared" ca="1" si="266"/>
        <v>-0.10618002992342657</v>
      </c>
      <c r="S102" s="540">
        <f t="shared" ca="1" si="266"/>
        <v>-0.10878599124003741</v>
      </c>
      <c r="T102" s="1056">
        <f t="shared" ca="1" si="266"/>
        <v>-0.11971841624242785</v>
      </c>
      <c r="U102" s="540">
        <f t="shared" ca="1" si="266"/>
        <v>-0.12643007505033865</v>
      </c>
      <c r="V102" s="540">
        <f t="shared" ca="1" si="266"/>
        <v>-0.12220228662729027</v>
      </c>
      <c r="W102" s="540">
        <f t="shared" ca="1" si="266"/>
        <v>-0.14335481753349455</v>
      </c>
      <c r="X102" s="540">
        <f t="shared" ca="1" si="266"/>
        <v>-0.30537728044585699</v>
      </c>
      <c r="Y102" s="540">
        <f t="shared" ca="1" si="266"/>
        <v>-0.25986936953878181</v>
      </c>
      <c r="Z102" s="540">
        <f t="shared" ca="1" si="266"/>
        <v>-0.21055930078932217</v>
      </c>
      <c r="AA102" s="1056">
        <f t="shared" ca="1" si="266"/>
        <v>-0.23839766558671449</v>
      </c>
      <c r="AB102" s="1056">
        <f t="shared" si="266"/>
        <v>-0.20000000000000007</v>
      </c>
      <c r="AC102" s="1056">
        <f t="shared" ref="AC102" si="267">AC101/AB101-1</f>
        <v>-0.20000000000000007</v>
      </c>
      <c r="AD102" s="1056">
        <f t="shared" ref="AD102" si="268">AD101/AC101-1</f>
        <v>-0.19999999999999996</v>
      </c>
      <c r="AE102" s="1056">
        <f t="shared" ref="AE102" si="269">AE101/AD101-1</f>
        <v>-0.19999999999999984</v>
      </c>
      <c r="AF102" s="1056">
        <f t="shared" ref="AF102" si="270">AF101/AE101-1</f>
        <v>-0.19999999999999996</v>
      </c>
      <c r="AG102" s="1056">
        <f t="shared" ref="AG102" si="271">AG101/AF101-1</f>
        <v>-0.20000000000000018</v>
      </c>
      <c r="AH102" s="1950"/>
      <c r="AI102"/>
      <c r="AJ102"/>
      <c r="AK102"/>
      <c r="AL102"/>
      <c r="AM102"/>
      <c r="AN102"/>
      <c r="AO102"/>
      <c r="AP102" s="541"/>
      <c r="AQ102" s="540"/>
      <c r="AR102" s="540"/>
      <c r="AS102" s="540"/>
      <c r="AT102" s="541"/>
      <c r="AU102" s="540"/>
      <c r="AV102" s="540"/>
      <c r="AW102" s="540"/>
      <c r="AX102" s="541"/>
      <c r="AY102" s="540"/>
      <c r="AZ102" s="540"/>
      <c r="BA102" s="540"/>
      <c r="BB102" s="541"/>
      <c r="BC102" s="540"/>
      <c r="BD102" s="540"/>
      <c r="BE102" s="540"/>
      <c r="BF102" s="541"/>
      <c r="BG102" s="540"/>
      <c r="BH102" s="540"/>
      <c r="BI102" s="540"/>
      <c r="BJ102" s="541"/>
      <c r="BK102" s="540"/>
      <c r="BL102" s="540"/>
      <c r="BM102" s="540"/>
      <c r="BN102" s="541">
        <f t="shared" ref="BN102:DV102" si="272">BN101/BJ101-1</f>
        <v>0.45427035573122532</v>
      </c>
      <c r="BO102" s="540">
        <f t="shared" si="272"/>
        <v>0.36837597173144876</v>
      </c>
      <c r="BP102" s="540">
        <f t="shared" si="272"/>
        <v>0.35063992359121299</v>
      </c>
      <c r="BQ102" s="540">
        <f t="shared" si="272"/>
        <v>0.35045523343811857</v>
      </c>
      <c r="BR102" s="541">
        <f t="shared" si="272"/>
        <v>0.444349257359544</v>
      </c>
      <c r="BS102" s="540">
        <f t="shared" si="272"/>
        <v>0.51410043733976774</v>
      </c>
      <c r="BT102" s="540">
        <f t="shared" si="272"/>
        <v>0.52367455850045741</v>
      </c>
      <c r="BU102" s="540">
        <f t="shared" si="272"/>
        <v>0.52204057915037949</v>
      </c>
      <c r="BV102" s="541">
        <f t="shared" si="272"/>
        <v>0.44227917654585824</v>
      </c>
      <c r="BW102" s="540">
        <f t="shared" si="272"/>
        <v>0.39615237679419324</v>
      </c>
      <c r="BX102" s="540">
        <f t="shared" si="272"/>
        <v>0.38074027502577379</v>
      </c>
      <c r="BY102" s="540">
        <f t="shared" si="272"/>
        <v>0.38536918043484181</v>
      </c>
      <c r="BZ102" s="541">
        <f t="shared" si="272"/>
        <v>0.35955619109250891</v>
      </c>
      <c r="CA102" s="540">
        <f t="shared" si="272"/>
        <v>0.3475560654686749</v>
      </c>
      <c r="CB102" s="540">
        <f t="shared" si="272"/>
        <v>0.2982842043179037</v>
      </c>
      <c r="CC102" s="540">
        <f t="shared" si="272"/>
        <v>0.23797144777664569</v>
      </c>
      <c r="CD102" s="541">
        <f t="shared" si="272"/>
        <v>0.20658400829142831</v>
      </c>
      <c r="CE102" s="540">
        <f t="shared" si="272"/>
        <v>0.15973402199271747</v>
      </c>
      <c r="CF102" s="540">
        <f t="shared" si="272"/>
        <v>0.11425356080115434</v>
      </c>
      <c r="CG102" s="540">
        <f t="shared" si="272"/>
        <v>-3.6279314324063838E-2</v>
      </c>
      <c r="CH102" s="541">
        <f t="shared" si="272"/>
        <v>-0.10579790648325627</v>
      </c>
      <c r="CI102" s="540">
        <f t="shared" si="272"/>
        <v>-0.13747131324374529</v>
      </c>
      <c r="CJ102" s="540">
        <f t="shared" si="272"/>
        <v>-0.16330522203915188</v>
      </c>
      <c r="CK102" s="540">
        <f t="shared" si="272"/>
        <v>-8.7965515519293547E-2</v>
      </c>
      <c r="CL102" s="541">
        <f t="shared" si="272"/>
        <v>-6.445337028404774E-2</v>
      </c>
      <c r="CM102" s="540">
        <f t="shared" si="272"/>
        <v>-6.5948685231235427E-2</v>
      </c>
      <c r="CN102" s="540">
        <f t="shared" si="272"/>
        <v>-7.0762527770740991E-2</v>
      </c>
      <c r="CO102" s="540">
        <f t="shared" si="272"/>
        <v>-7.8944467418945119E-2</v>
      </c>
      <c r="CP102" s="541">
        <f t="shared" si="272"/>
        <v>-8.7159068437305143E-2</v>
      </c>
      <c r="CQ102" s="540">
        <f t="shared" si="272"/>
        <v>-9.5694931172454978E-2</v>
      </c>
      <c r="CR102" s="540">
        <f t="shared" si="272"/>
        <v>-0.10399789605390575</v>
      </c>
      <c r="CS102" s="540">
        <f t="shared" si="272"/>
        <v>-0.11319084355634257</v>
      </c>
      <c r="CT102" s="541">
        <f t="shared" si="272"/>
        <v>-0.11902331723859227</v>
      </c>
      <c r="CU102" s="540">
        <f t="shared" si="272"/>
        <v>-0.11872197068858226</v>
      </c>
      <c r="CV102" s="540">
        <f t="shared" si="272"/>
        <v>-0.11351163845627021</v>
      </c>
      <c r="CW102" s="543">
        <f t="shared" si="272"/>
        <v>-0.10757135233608728</v>
      </c>
      <c r="CX102" s="540">
        <f t="shared" si="272"/>
        <v>-0.1045553206883344</v>
      </c>
      <c r="CY102" s="540">
        <f t="shared" si="272"/>
        <v>-0.10730407935680863</v>
      </c>
      <c r="CZ102" s="540">
        <f t="shared" si="272"/>
        <v>-0.1156952652332266</v>
      </c>
      <c r="DA102" s="540">
        <f t="shared" si="272"/>
        <v>-0.12329565078432281</v>
      </c>
      <c r="DB102" s="541">
        <f t="shared" si="272"/>
        <v>-0.12727282329145473</v>
      </c>
      <c r="DC102" s="540">
        <f t="shared" si="272"/>
        <v>-0.12823757882563447</v>
      </c>
      <c r="DD102" s="540">
        <f t="shared" si="272"/>
        <v>-0.12651470454751745</v>
      </c>
      <c r="DE102" s="540">
        <f t="shared" si="272"/>
        <v>-0.12667062579746113</v>
      </c>
      <c r="DF102" s="541">
        <f t="shared" si="272"/>
        <v>-0.1279280151521569</v>
      </c>
      <c r="DG102" s="1056">
        <f t="shared" si="272"/>
        <v>-0.12639542450941132</v>
      </c>
      <c r="DH102" s="1056">
        <f t="shared" si="272"/>
        <v>-0.1234777977671121</v>
      </c>
      <c r="DI102" s="543">
        <f t="shared" si="272"/>
        <v>-0.12091996121943327</v>
      </c>
      <c r="DJ102" s="541">
        <f t="shared" si="272"/>
        <v>-0.12538510644203282</v>
      </c>
      <c r="DK102" s="1056">
        <f t="shared" si="272"/>
        <v>-0.13142419185009568</v>
      </c>
      <c r="DL102" s="1056">
        <f t="shared" si="272"/>
        <v>-0.14154669195829839</v>
      </c>
      <c r="DM102" s="543">
        <f t="shared" si="272"/>
        <v>-0.15046565774155995</v>
      </c>
      <c r="DN102" s="1056">
        <f t="shared" si="272"/>
        <v>-0.16138552591910893</v>
      </c>
      <c r="DO102" s="1056">
        <f t="shared" si="272"/>
        <v>-0.31287883161115271</v>
      </c>
      <c r="DP102" s="1056">
        <f t="shared" si="272"/>
        <v>-0.36552271785664958</v>
      </c>
      <c r="DQ102" s="543">
        <f t="shared" si="272"/>
        <v>-0.36771785579055549</v>
      </c>
      <c r="DR102" s="1056">
        <f t="shared" si="272"/>
        <v>-0.36657080148338761</v>
      </c>
      <c r="DS102" s="1056">
        <f t="shared" si="272"/>
        <v>-0.23805523217436186</v>
      </c>
      <c r="DT102" s="1056">
        <f t="shared" si="272"/>
        <v>-0.18732654949121186</v>
      </c>
      <c r="DU102" s="543">
        <f t="shared" si="272"/>
        <v>-0.19713690934496819</v>
      </c>
      <c r="DV102" s="1056">
        <f t="shared" si="272"/>
        <v>-0.20444769699504151</v>
      </c>
      <c r="DW102" s="1056">
        <f t="shared" ref="DW102" si="273">DW101/DS101-1</f>
        <v>-0.208014365371893</v>
      </c>
      <c r="DX102" s="1056">
        <f t="shared" ref="DX102" si="274">DX101/DT101-1</f>
        <v>-0.20854397535906788</v>
      </c>
      <c r="DY102" s="543">
        <f t="shared" ref="DY102" si="275">DY101/DU101-1</f>
        <v>-0.21361085458549411</v>
      </c>
    </row>
    <row r="103" spans="1:129" s="3318" customFormat="1">
      <c r="A103" s="733"/>
      <c r="B103" s="540"/>
      <c r="C103" s="540"/>
      <c r="D103" s="540"/>
      <c r="E103" s="540"/>
      <c r="F103" s="540"/>
      <c r="G103" s="540"/>
      <c r="H103" s="540"/>
      <c r="I103" s="540"/>
      <c r="J103" s="540"/>
      <c r="K103" s="540"/>
      <c r="L103" s="540"/>
      <c r="M103" s="540"/>
      <c r="N103" s="540"/>
      <c r="O103" s="540"/>
      <c r="P103" s="540"/>
      <c r="Q103" s="1056"/>
      <c r="R103" s="540"/>
      <c r="S103" s="540"/>
      <c r="T103" s="1056"/>
      <c r="U103" s="540"/>
      <c r="V103" s="540"/>
      <c r="W103" s="540"/>
      <c r="X103" s="540"/>
      <c r="Y103" s="540"/>
      <c r="Z103" s="540"/>
      <c r="AA103" s="1056"/>
      <c r="AB103" s="1056"/>
      <c r="AC103" s="1056"/>
      <c r="AD103" s="1056"/>
      <c r="AE103" s="1056"/>
      <c r="AF103" s="1056"/>
      <c r="AG103" s="1056"/>
      <c r="AH103" s="1950"/>
      <c r="AP103" s="541"/>
      <c r="AQ103" s="540"/>
      <c r="AR103" s="540"/>
      <c r="AS103" s="540"/>
      <c r="AT103" s="541"/>
      <c r="AU103" s="540"/>
      <c r="AV103" s="540"/>
      <c r="AW103" s="540"/>
      <c r="AX103" s="541"/>
      <c r="AY103" s="540"/>
      <c r="AZ103" s="540"/>
      <c r="BA103" s="540"/>
      <c r="BB103" s="541"/>
      <c r="BC103" s="540"/>
      <c r="BD103" s="540"/>
      <c r="BE103" s="540"/>
      <c r="BF103" s="541"/>
      <c r="BG103" s="540"/>
      <c r="BH103" s="540"/>
      <c r="BI103" s="540"/>
      <c r="BJ103" s="541"/>
      <c r="BK103" s="540"/>
      <c r="BL103" s="540"/>
      <c r="BM103" s="540"/>
      <c r="BN103" s="541"/>
      <c r="BO103" s="540"/>
      <c r="BP103" s="540"/>
      <c r="BQ103" s="540"/>
      <c r="BR103" s="541"/>
      <c r="BS103" s="540"/>
      <c r="BT103" s="540"/>
      <c r="BU103" s="540"/>
      <c r="BV103" s="541"/>
      <c r="BW103" s="540"/>
      <c r="BX103" s="540"/>
      <c r="BY103" s="540"/>
      <c r="BZ103" s="541"/>
      <c r="CA103" s="540"/>
      <c r="CB103" s="540"/>
      <c r="CC103" s="540"/>
      <c r="CD103" s="541"/>
      <c r="CE103" s="540"/>
      <c r="CF103" s="540"/>
      <c r="CG103" s="540"/>
      <c r="CH103" s="541"/>
      <c r="CI103" s="540"/>
      <c r="CJ103" s="540"/>
      <c r="CK103" s="540"/>
      <c r="CL103" s="541"/>
      <c r="CM103" s="540"/>
      <c r="CN103" s="540"/>
      <c r="CO103" s="540"/>
      <c r="CP103" s="541"/>
      <c r="CQ103" s="540"/>
      <c r="CR103" s="540"/>
      <c r="CS103" s="540"/>
      <c r="CT103" s="541"/>
      <c r="CU103" s="540"/>
      <c r="CV103" s="540"/>
      <c r="CW103" s="543"/>
      <c r="CX103" s="540"/>
      <c r="CY103" s="540"/>
      <c r="CZ103" s="540"/>
      <c r="DA103" s="540"/>
      <c r="DB103" s="541"/>
      <c r="DC103" s="540"/>
      <c r="DD103" s="540"/>
      <c r="DE103" s="540"/>
      <c r="DF103" s="541"/>
      <c r="DG103" s="1056"/>
      <c r="DH103" s="1056"/>
      <c r="DI103" s="543"/>
      <c r="DJ103" s="541"/>
      <c r="DK103" s="1056"/>
      <c r="DL103" s="1056"/>
      <c r="DM103" s="543"/>
      <c r="DN103" s="1056"/>
      <c r="DO103" s="1056"/>
      <c r="DP103" s="1056"/>
      <c r="DQ103" s="543"/>
      <c r="DR103" s="1056"/>
      <c r="DS103" s="1056"/>
      <c r="DT103" s="1056"/>
      <c r="DU103" s="543"/>
      <c r="DV103" s="1056"/>
      <c r="DW103" s="1056"/>
      <c r="DX103" s="1056"/>
      <c r="DY103" s="543"/>
    </row>
    <row r="104" spans="1:129" s="3318" customFormat="1">
      <c r="A104" s="1933" t="s">
        <v>1725</v>
      </c>
      <c r="B104" s="540"/>
      <c r="C104" s="540"/>
      <c r="D104" s="540"/>
      <c r="E104" s="540"/>
      <c r="F104" s="540"/>
      <c r="G104" s="540"/>
      <c r="H104" s="540"/>
      <c r="I104" s="540"/>
      <c r="J104" s="540"/>
      <c r="K104" s="540"/>
      <c r="L104" s="540"/>
      <c r="M104" s="540"/>
      <c r="N104" s="540"/>
      <c r="O104" s="540"/>
      <c r="P104" s="540"/>
      <c r="Q104" s="1056"/>
      <c r="R104" s="540"/>
      <c r="S104" s="540"/>
      <c r="T104" s="1056"/>
      <c r="U104" s="540"/>
      <c r="V104" s="540"/>
      <c r="W104" s="540"/>
      <c r="X104" s="540"/>
      <c r="Y104" s="540"/>
      <c r="Z104" s="2216">
        <f>+SUM(DV104:DY104)</f>
        <v>409.86383549999994</v>
      </c>
      <c r="AA104" s="2216">
        <f>+AA105*12*AVERAGE(Z90:AA90)/1000</f>
        <v>317.84225925474482</v>
      </c>
      <c r="AB104" s="2216">
        <f t="shared" ref="AB104:AG104" si="276">+AB105*12*AVERAGE(AA90:AB90)/1000</f>
        <v>249.1883312557199</v>
      </c>
      <c r="AC104" s="2216">
        <f t="shared" si="276"/>
        <v>195.36365170448437</v>
      </c>
      <c r="AD104" s="2216">
        <f t="shared" si="276"/>
        <v>153.16510293631575</v>
      </c>
      <c r="AE104" s="2216">
        <f t="shared" si="276"/>
        <v>120.08144070207153</v>
      </c>
      <c r="AF104" s="2216">
        <f t="shared" si="276"/>
        <v>94.14384951042409</v>
      </c>
      <c r="AG104" s="2216">
        <f t="shared" si="276"/>
        <v>73.808778016172482</v>
      </c>
      <c r="AH104" s="1950"/>
      <c r="AP104" s="541"/>
      <c r="AQ104" s="540"/>
      <c r="AR104" s="540"/>
      <c r="AS104" s="540"/>
      <c r="AT104" s="541"/>
      <c r="AU104" s="540"/>
      <c r="AV104" s="540"/>
      <c r="AW104" s="540"/>
      <c r="AX104" s="541"/>
      <c r="AY104" s="540"/>
      <c r="AZ104" s="540"/>
      <c r="BA104" s="540"/>
      <c r="BB104" s="541"/>
      <c r="BC104" s="540"/>
      <c r="BD104" s="540"/>
      <c r="BE104" s="540"/>
      <c r="BF104" s="541"/>
      <c r="BG104" s="540"/>
      <c r="BH104" s="540"/>
      <c r="BI104" s="540"/>
      <c r="BJ104" s="541"/>
      <c r="BK104" s="540"/>
      <c r="BL104" s="540"/>
      <c r="BM104" s="540"/>
      <c r="BN104" s="541"/>
      <c r="BO104" s="540"/>
      <c r="BP104" s="540"/>
      <c r="BQ104" s="540"/>
      <c r="BR104" s="541"/>
      <c r="BS104" s="540"/>
      <c r="BT104" s="540"/>
      <c r="BU104" s="540"/>
      <c r="BV104" s="541"/>
      <c r="BW104" s="540"/>
      <c r="BX104" s="540"/>
      <c r="BY104" s="540"/>
      <c r="BZ104" s="541"/>
      <c r="CA104" s="540"/>
      <c r="CB104" s="540"/>
      <c r="CC104" s="540"/>
      <c r="CD104" s="541"/>
      <c r="CE104" s="540"/>
      <c r="CF104" s="540"/>
      <c r="CG104" s="540"/>
      <c r="CH104" s="541"/>
      <c r="CI104" s="540"/>
      <c r="CJ104" s="540"/>
      <c r="CK104" s="540"/>
      <c r="CL104" s="541"/>
      <c r="CM104" s="540"/>
      <c r="CN104" s="540"/>
      <c r="CO104" s="540"/>
      <c r="CP104" s="541"/>
      <c r="CQ104" s="540"/>
      <c r="CR104" s="540"/>
      <c r="CS104" s="540"/>
      <c r="CT104" s="541"/>
      <c r="CU104" s="540"/>
      <c r="CV104" s="540"/>
      <c r="CW104" s="543"/>
      <c r="CX104" s="540"/>
      <c r="CY104" s="540"/>
      <c r="CZ104" s="540"/>
      <c r="DA104" s="540"/>
      <c r="DB104" s="541"/>
      <c r="DC104" s="540"/>
      <c r="DD104" s="540"/>
      <c r="DE104" s="540"/>
      <c r="DF104" s="541"/>
      <c r="DG104" s="1056"/>
      <c r="DH104" s="1056"/>
      <c r="DI104" s="543"/>
      <c r="DJ104" s="541"/>
      <c r="DK104" s="1056"/>
      <c r="DL104" s="1056"/>
      <c r="DM104" s="543"/>
      <c r="DN104" s="1056"/>
      <c r="DO104" s="1056"/>
      <c r="DP104" s="1056"/>
      <c r="DQ104" s="543"/>
      <c r="DR104" s="1056"/>
      <c r="DS104" s="1056"/>
      <c r="DT104" s="1056"/>
      <c r="DU104" s="543"/>
      <c r="DV104" s="1992">
        <f>AVERAGE(DU90:DV90)*DV105*3/1000</f>
        <v>113.3475</v>
      </c>
      <c r="DW104" s="1992">
        <f t="shared" ref="DW104:DY104" si="277">AVERAGE(DV90:DW90)*DW105*3/1000</f>
        <v>106.029</v>
      </c>
      <c r="DX104" s="1992">
        <f t="shared" si="277"/>
        <v>98.794080000000008</v>
      </c>
      <c r="DY104" s="1998">
        <f t="shared" si="277"/>
        <v>91.693255499999992</v>
      </c>
    </row>
    <row r="105" spans="1:129" s="3417" customFormat="1">
      <c r="A105" s="1933" t="s">
        <v>739</v>
      </c>
      <c r="B105" s="3414"/>
      <c r="C105" s="3414"/>
      <c r="D105" s="3414"/>
      <c r="E105" s="3414"/>
      <c r="F105" s="3414"/>
      <c r="G105" s="3414"/>
      <c r="H105" s="3414"/>
      <c r="I105" s="3414"/>
      <c r="J105" s="3414"/>
      <c r="K105" s="3414"/>
      <c r="L105" s="3414"/>
      <c r="M105" s="3414"/>
      <c r="N105" s="3414"/>
      <c r="O105" s="3414"/>
      <c r="P105" s="3414"/>
      <c r="Q105" s="3415"/>
      <c r="R105" s="3414"/>
      <c r="S105" s="3414"/>
      <c r="T105" s="3415"/>
      <c r="U105" s="3414"/>
      <c r="V105" s="3414"/>
      <c r="W105" s="3414"/>
      <c r="X105" s="3414"/>
      <c r="Y105" s="3414"/>
      <c r="Z105" s="3420">
        <f>+(Z104/12)/(AVERAGE(Y90:Z90)/1000)</f>
        <v>34.517756063668514</v>
      </c>
      <c r="AA105" s="3420">
        <f t="shared" ref="AA105:AG105" si="278">+Z105*(1+AA106)</f>
        <v>33.827400942395144</v>
      </c>
      <c r="AB105" s="3420">
        <f t="shared" si="278"/>
        <v>33.150852923547241</v>
      </c>
      <c r="AC105" s="3420">
        <f t="shared" si="278"/>
        <v>32.487835865076292</v>
      </c>
      <c r="AD105" s="3420">
        <f t="shared" si="278"/>
        <v>31.838079147774767</v>
      </c>
      <c r="AE105" s="3420">
        <f t="shared" si="278"/>
        <v>31.20131756481927</v>
      </c>
      <c r="AF105" s="3420">
        <f t="shared" si="278"/>
        <v>30.577291213522884</v>
      </c>
      <c r="AG105" s="3420">
        <f t="shared" si="278"/>
        <v>29.965745389252426</v>
      </c>
      <c r="AH105" s="3416"/>
      <c r="AP105" s="3418"/>
      <c r="AQ105" s="3414"/>
      <c r="AR105" s="3414"/>
      <c r="AS105" s="3414"/>
      <c r="AT105" s="3418"/>
      <c r="AU105" s="3414"/>
      <c r="AV105" s="3414"/>
      <c r="AW105" s="3414"/>
      <c r="AX105" s="3418"/>
      <c r="AY105" s="3414"/>
      <c r="AZ105" s="3414"/>
      <c r="BA105" s="3414"/>
      <c r="BB105" s="3418"/>
      <c r="BC105" s="3414"/>
      <c r="BD105" s="3414"/>
      <c r="BE105" s="3414"/>
      <c r="BF105" s="3418"/>
      <c r="BG105" s="3414"/>
      <c r="BH105" s="3414"/>
      <c r="BI105" s="3414"/>
      <c r="BJ105" s="3418"/>
      <c r="BK105" s="3414"/>
      <c r="BL105" s="3414"/>
      <c r="BM105" s="3414"/>
      <c r="BN105" s="3418"/>
      <c r="BO105" s="3414"/>
      <c r="BP105" s="3414"/>
      <c r="BQ105" s="3414"/>
      <c r="BR105" s="3418"/>
      <c r="BS105" s="3414"/>
      <c r="BT105" s="3414"/>
      <c r="BU105" s="3414"/>
      <c r="BV105" s="3418"/>
      <c r="BW105" s="3414"/>
      <c r="BX105" s="3414"/>
      <c r="BY105" s="3414"/>
      <c r="BZ105" s="3418"/>
      <c r="CA105" s="3414"/>
      <c r="CB105" s="3414"/>
      <c r="CC105" s="3414"/>
      <c r="CD105" s="3418"/>
      <c r="CE105" s="3414"/>
      <c r="CF105" s="3414"/>
      <c r="CG105" s="3414"/>
      <c r="CH105" s="3418"/>
      <c r="CI105" s="3414"/>
      <c r="CJ105" s="3414"/>
      <c r="CK105" s="3414"/>
      <c r="CL105" s="3418"/>
      <c r="CM105" s="3414"/>
      <c r="CN105" s="3414"/>
      <c r="CO105" s="3414"/>
      <c r="CP105" s="3418"/>
      <c r="CQ105" s="3414"/>
      <c r="CR105" s="3414"/>
      <c r="CS105" s="3414"/>
      <c r="CT105" s="3418"/>
      <c r="CU105" s="3414"/>
      <c r="CV105" s="3414"/>
      <c r="CW105" s="3419"/>
      <c r="CX105" s="3414"/>
      <c r="CY105" s="3414"/>
      <c r="CZ105" s="3414"/>
      <c r="DA105" s="3414"/>
      <c r="DB105" s="3418"/>
      <c r="DC105" s="3414"/>
      <c r="DD105" s="3414"/>
      <c r="DE105" s="3414"/>
      <c r="DF105" s="3418"/>
      <c r="DG105" s="3415"/>
      <c r="DH105" s="3415"/>
      <c r="DI105" s="3419"/>
      <c r="DJ105" s="3418"/>
      <c r="DK105" s="3415"/>
      <c r="DL105" s="3415"/>
      <c r="DM105" s="3419"/>
      <c r="DN105" s="3415"/>
      <c r="DO105" s="3415"/>
      <c r="DP105" s="3415"/>
      <c r="DQ105" s="3419"/>
      <c r="DR105" s="3415"/>
      <c r="DS105" s="3415"/>
      <c r="DT105" s="3415"/>
      <c r="DU105" s="3419"/>
      <c r="DV105" s="3415">
        <v>35</v>
      </c>
      <c r="DW105" s="3420">
        <f>+DV105*(1+DW106)</f>
        <v>34.65</v>
      </c>
      <c r="DX105" s="3420">
        <f t="shared" ref="DX105:DY105" si="279">+DW105*(1+DX106)</f>
        <v>34.3035</v>
      </c>
      <c r="DY105" s="3421">
        <f t="shared" si="279"/>
        <v>33.960464999999999</v>
      </c>
    </row>
    <row r="106" spans="1:129" s="3411" customFormat="1">
      <c r="A106" s="1254" t="s">
        <v>991</v>
      </c>
      <c r="B106" s="3408"/>
      <c r="C106" s="3408"/>
      <c r="D106" s="3408"/>
      <c r="E106" s="3408"/>
      <c r="F106" s="3408"/>
      <c r="G106" s="3408"/>
      <c r="H106" s="3408"/>
      <c r="I106" s="3408"/>
      <c r="J106" s="3408"/>
      <c r="K106" s="3408"/>
      <c r="L106" s="3408"/>
      <c r="M106" s="3408"/>
      <c r="N106" s="3408"/>
      <c r="O106" s="3408"/>
      <c r="P106" s="3408"/>
      <c r="Q106" s="3409"/>
      <c r="R106" s="3408"/>
      <c r="S106" s="3408"/>
      <c r="T106" s="3409"/>
      <c r="U106" s="3408"/>
      <c r="V106" s="3408"/>
      <c r="W106" s="3408"/>
      <c r="X106" s="3408"/>
      <c r="Y106" s="3408"/>
      <c r="Z106" s="3409"/>
      <c r="AA106" s="3409">
        <v>-0.02</v>
      </c>
      <c r="AB106" s="3409">
        <v>-0.02</v>
      </c>
      <c r="AC106" s="3409">
        <v>-0.02</v>
      </c>
      <c r="AD106" s="3409">
        <v>-0.02</v>
      </c>
      <c r="AE106" s="3409">
        <v>-0.02</v>
      </c>
      <c r="AF106" s="3409">
        <v>-0.02</v>
      </c>
      <c r="AG106" s="3409">
        <v>-0.02</v>
      </c>
      <c r="AH106" s="3410"/>
      <c r="AP106" s="3412"/>
      <c r="AQ106" s="3408"/>
      <c r="AR106" s="3408"/>
      <c r="AS106" s="3408"/>
      <c r="AT106" s="3412"/>
      <c r="AU106" s="3408"/>
      <c r="AV106" s="3408"/>
      <c r="AW106" s="3408"/>
      <c r="AX106" s="3412"/>
      <c r="AY106" s="3408"/>
      <c r="AZ106" s="3408"/>
      <c r="BA106" s="3408"/>
      <c r="BB106" s="3412"/>
      <c r="BC106" s="3408"/>
      <c r="BD106" s="3408"/>
      <c r="BE106" s="3408"/>
      <c r="BF106" s="3412"/>
      <c r="BG106" s="3408"/>
      <c r="BH106" s="3408"/>
      <c r="BI106" s="3408"/>
      <c r="BJ106" s="3412"/>
      <c r="BK106" s="3408"/>
      <c r="BL106" s="3408"/>
      <c r="BM106" s="3408"/>
      <c r="BN106" s="3412"/>
      <c r="BO106" s="3408"/>
      <c r="BP106" s="3408"/>
      <c r="BQ106" s="3408"/>
      <c r="BR106" s="3412"/>
      <c r="BS106" s="3408"/>
      <c r="BT106" s="3408"/>
      <c r="BU106" s="3408"/>
      <c r="BV106" s="3412"/>
      <c r="BW106" s="3408"/>
      <c r="BX106" s="3408"/>
      <c r="BY106" s="3408"/>
      <c r="BZ106" s="3412"/>
      <c r="CA106" s="3408"/>
      <c r="CB106" s="3408"/>
      <c r="CC106" s="3408"/>
      <c r="CD106" s="3412"/>
      <c r="CE106" s="3408"/>
      <c r="CF106" s="3408"/>
      <c r="CG106" s="3408"/>
      <c r="CH106" s="3412"/>
      <c r="CI106" s="3408"/>
      <c r="CJ106" s="3408"/>
      <c r="CK106" s="3408"/>
      <c r="CL106" s="3412"/>
      <c r="CM106" s="3408"/>
      <c r="CN106" s="3408"/>
      <c r="CO106" s="3408"/>
      <c r="CP106" s="3412"/>
      <c r="CQ106" s="3408"/>
      <c r="CR106" s="3408"/>
      <c r="CS106" s="3408"/>
      <c r="CT106" s="3412"/>
      <c r="CU106" s="3408"/>
      <c r="CV106" s="3408"/>
      <c r="CW106" s="3413"/>
      <c r="CX106" s="3408"/>
      <c r="CY106" s="3408"/>
      <c r="CZ106" s="3408"/>
      <c r="DA106" s="3408"/>
      <c r="DB106" s="3412"/>
      <c r="DC106" s="3408"/>
      <c r="DD106" s="3408"/>
      <c r="DE106" s="3408"/>
      <c r="DF106" s="3412"/>
      <c r="DG106" s="3409"/>
      <c r="DH106" s="3409"/>
      <c r="DI106" s="3413"/>
      <c r="DJ106" s="3412"/>
      <c r="DK106" s="3409"/>
      <c r="DL106" s="3409"/>
      <c r="DM106" s="3413"/>
      <c r="DN106" s="3409"/>
      <c r="DO106" s="3409"/>
      <c r="DP106" s="3409"/>
      <c r="DQ106" s="3413"/>
      <c r="DR106" s="3409"/>
      <c r="DS106" s="3409"/>
      <c r="DT106" s="3409"/>
      <c r="DU106" s="3413"/>
      <c r="DV106" s="3409">
        <v>0</v>
      </c>
      <c r="DW106" s="3409">
        <v>-0.01</v>
      </c>
      <c r="DX106" s="3409">
        <v>-0.01</v>
      </c>
      <c r="DY106" s="3413">
        <v>-0.01</v>
      </c>
    </row>
    <row r="107" spans="1:129">
      <c r="A107" s="100"/>
      <c r="B107" s="87"/>
      <c r="C107" s="87"/>
      <c r="D107" s="87"/>
      <c r="E107" s="87"/>
      <c r="F107" s="87"/>
      <c r="G107" s="87"/>
      <c r="H107" s="87"/>
      <c r="I107" s="87"/>
      <c r="J107" s="87"/>
      <c r="K107" s="87"/>
      <c r="L107" s="87"/>
      <c r="M107" s="87"/>
      <c r="N107" s="87"/>
      <c r="O107" s="87"/>
      <c r="P107" s="87"/>
      <c r="Q107" s="1041"/>
      <c r="R107" s="87"/>
      <c r="S107" s="87"/>
      <c r="T107" s="1041"/>
      <c r="U107" s="87"/>
      <c r="V107" s="87"/>
      <c r="W107" s="87"/>
      <c r="X107" s="87"/>
      <c r="Y107" s="87"/>
      <c r="Z107" s="87"/>
      <c r="AA107" s="1041"/>
      <c r="AB107" s="1041"/>
      <c r="AC107" s="1041"/>
      <c r="AD107" s="1041"/>
      <c r="AE107" s="1041"/>
      <c r="AF107" s="1041"/>
      <c r="AG107" s="1041"/>
      <c r="AH107" s="1959"/>
      <c r="AI107" s="1989"/>
      <c r="AJ107" s="1989"/>
      <c r="AK107" s="1989"/>
      <c r="AL107" s="1989"/>
      <c r="AM107" s="1989"/>
      <c r="AN107" s="1989"/>
      <c r="AO107" s="1989"/>
      <c r="AP107" s="88"/>
      <c r="AQ107" s="87"/>
      <c r="AR107" s="87"/>
      <c r="AS107" s="87"/>
      <c r="AT107" s="88"/>
      <c r="AU107" s="87"/>
      <c r="AV107" s="87"/>
      <c r="AW107" s="87"/>
      <c r="AX107" s="88"/>
      <c r="AY107" s="87"/>
      <c r="AZ107" s="87"/>
      <c r="BA107" s="87"/>
      <c r="BB107" s="88"/>
      <c r="BC107" s="87"/>
      <c r="BD107" s="87"/>
      <c r="BE107" s="87"/>
      <c r="BF107" s="88"/>
      <c r="BG107" s="87"/>
      <c r="BH107" s="87"/>
      <c r="BI107" s="87"/>
      <c r="BJ107" s="88"/>
      <c r="BK107" s="87"/>
      <c r="BL107" s="87"/>
      <c r="BM107" s="87"/>
      <c r="BN107" s="88"/>
      <c r="BO107" s="87"/>
      <c r="BP107" s="87"/>
      <c r="BQ107" s="87"/>
      <c r="BR107" s="88"/>
      <c r="BS107" s="87"/>
      <c r="BT107" s="87"/>
      <c r="BU107" s="87"/>
      <c r="BV107" s="88"/>
      <c r="BW107" s="87"/>
      <c r="BX107" s="87"/>
      <c r="BY107" s="87"/>
      <c r="BZ107" s="88"/>
      <c r="CA107" s="87"/>
      <c r="CB107" s="87"/>
      <c r="CC107" s="87"/>
      <c r="CD107" s="88"/>
      <c r="CE107" s="87"/>
      <c r="CF107" s="87"/>
      <c r="CG107" s="87"/>
      <c r="CH107" s="88"/>
      <c r="CI107" s="87"/>
      <c r="CJ107" s="87"/>
      <c r="CK107" s="87"/>
      <c r="CL107" s="88"/>
      <c r="CM107" s="87"/>
      <c r="CN107" s="87"/>
      <c r="CO107" s="87"/>
      <c r="CP107" s="88"/>
      <c r="CQ107" s="87"/>
      <c r="CR107" s="87"/>
      <c r="CS107" s="87"/>
      <c r="CT107" s="88"/>
      <c r="CU107" s="87"/>
      <c r="CV107" s="87"/>
      <c r="CW107" s="144"/>
      <c r="CX107" s="87"/>
      <c r="CY107" s="87"/>
      <c r="CZ107" s="87"/>
      <c r="DA107" s="87"/>
      <c r="DB107" s="88"/>
      <c r="DC107" s="87"/>
      <c r="DD107" s="87"/>
      <c r="DE107" s="87"/>
      <c r="DF107" s="88"/>
      <c r="DG107" s="1041"/>
      <c r="DH107" s="1041"/>
      <c r="DI107" s="144"/>
      <c r="DJ107" s="88"/>
      <c r="DK107" s="1041"/>
      <c r="DL107" s="1041"/>
      <c r="DM107" s="144"/>
      <c r="DN107" s="1041"/>
      <c r="DO107" s="1041"/>
      <c r="DP107" s="1041"/>
      <c r="DQ107" s="144"/>
      <c r="DR107" s="1041"/>
      <c r="DS107" s="1041"/>
      <c r="DT107" s="1041"/>
      <c r="DU107" s="144"/>
      <c r="DV107" s="1041"/>
      <c r="DY107" s="555"/>
    </row>
    <row r="108" spans="1:129" hidden="1" outlineLevel="1">
      <c r="A108" s="381" t="s">
        <v>464</v>
      </c>
      <c r="B108" s="314"/>
      <c r="C108" s="109"/>
      <c r="D108" s="109"/>
      <c r="E108" s="109">
        <f t="shared" ref="E108:Q108" si="280">E52</f>
        <v>58337</v>
      </c>
      <c r="F108" s="109">
        <f t="shared" si="280"/>
        <v>60844</v>
      </c>
      <c r="G108" s="109">
        <f t="shared" si="280"/>
        <v>61306.819000000003</v>
      </c>
      <c r="H108" s="109">
        <f t="shared" si="280"/>
        <v>61016</v>
      </c>
      <c r="I108" s="109">
        <f t="shared" si="280"/>
        <v>59611</v>
      </c>
      <c r="J108" s="109">
        <f t="shared" si="280"/>
        <v>57452</v>
      </c>
      <c r="K108" s="109">
        <f t="shared" si="280"/>
        <v>54371</v>
      </c>
      <c r="L108" s="109">
        <f t="shared" si="280"/>
        <v>51868</v>
      </c>
      <c r="M108" s="109">
        <f t="shared" si="280"/>
        <v>48411</v>
      </c>
      <c r="N108" s="109">
        <f t="shared" si="280"/>
        <v>43058</v>
      </c>
      <c r="O108" s="109">
        <f t="shared" si="280"/>
        <v>34286</v>
      </c>
      <c r="P108" s="109">
        <f t="shared" si="280"/>
        <v>31155.531999999999</v>
      </c>
      <c r="Q108" s="1044">
        <f t="shared" si="280"/>
        <v>27505</v>
      </c>
      <c r="R108" s="109"/>
      <c r="S108" s="109"/>
      <c r="T108" s="1044"/>
      <c r="U108" s="109"/>
      <c r="V108" s="109"/>
      <c r="W108" s="109"/>
      <c r="X108" s="109"/>
      <c r="Y108" s="109"/>
      <c r="Z108" s="109"/>
      <c r="AA108" s="1044"/>
      <c r="AB108" s="1044"/>
      <c r="AC108" s="1044"/>
      <c r="AD108" s="1044"/>
      <c r="AE108" s="1044"/>
      <c r="AF108" s="1044"/>
      <c r="AG108" s="1044"/>
      <c r="AH108" s="1964"/>
      <c r="AI108" s="2160"/>
      <c r="AJ108" s="2160"/>
      <c r="AK108" s="2160"/>
      <c r="AL108" s="2160"/>
      <c r="AM108" s="2160"/>
      <c r="AN108" s="2160"/>
      <c r="AO108" s="2160"/>
      <c r="AP108" s="171"/>
      <c r="AQ108" s="109"/>
      <c r="AR108" s="109"/>
      <c r="AS108" s="109"/>
      <c r="AT108" s="171"/>
      <c r="AU108" s="109"/>
      <c r="AV108" s="109"/>
      <c r="AW108" s="109"/>
      <c r="AX108" s="171">
        <f t="shared" ref="AX108:CO108" si="281">AX52</f>
        <v>59967.690999999999</v>
      </c>
      <c r="AY108" s="109">
        <f t="shared" si="281"/>
        <v>60393.709000000003</v>
      </c>
      <c r="AZ108" s="109">
        <f t="shared" si="281"/>
        <v>60897.482000000004</v>
      </c>
      <c r="BA108" s="109">
        <f t="shared" si="281"/>
        <v>61306.819000000003</v>
      </c>
      <c r="BB108" s="171">
        <f t="shared" si="281"/>
        <v>60570</v>
      </c>
      <c r="BC108" s="109">
        <f t="shared" si="281"/>
        <v>60793</v>
      </c>
      <c r="BD108" s="109">
        <f t="shared" si="281"/>
        <v>60956</v>
      </c>
      <c r="BE108" s="109">
        <f t="shared" si="281"/>
        <v>61016</v>
      </c>
      <c r="BF108" s="171">
        <f t="shared" si="281"/>
        <v>61017</v>
      </c>
      <c r="BG108" s="109">
        <f t="shared" si="281"/>
        <v>60598</v>
      </c>
      <c r="BH108" s="109">
        <f t="shared" si="281"/>
        <v>60163</v>
      </c>
      <c r="BI108" s="109">
        <f t="shared" si="281"/>
        <v>59611</v>
      </c>
      <c r="BJ108" s="171">
        <f t="shared" si="281"/>
        <v>59185</v>
      </c>
      <c r="BK108" s="109">
        <f t="shared" si="281"/>
        <v>58395</v>
      </c>
      <c r="BL108" s="109">
        <f t="shared" si="281"/>
        <v>57921</v>
      </c>
      <c r="BM108" s="109">
        <f t="shared" si="281"/>
        <v>57452</v>
      </c>
      <c r="BN108" s="171">
        <f t="shared" si="281"/>
        <v>56256</v>
      </c>
      <c r="BO108" s="109">
        <f t="shared" si="281"/>
        <v>55557</v>
      </c>
      <c r="BP108" s="109">
        <f t="shared" si="281"/>
        <v>54971</v>
      </c>
      <c r="BQ108" s="109">
        <f t="shared" si="281"/>
        <v>54371</v>
      </c>
      <c r="BR108" s="171">
        <f t="shared" si="281"/>
        <v>53881</v>
      </c>
      <c r="BS108" s="109">
        <f t="shared" si="281"/>
        <v>53214</v>
      </c>
      <c r="BT108" s="109">
        <f t="shared" si="281"/>
        <v>52553</v>
      </c>
      <c r="BU108" s="109">
        <f t="shared" si="281"/>
        <v>51868</v>
      </c>
      <c r="BV108" s="171">
        <f t="shared" si="281"/>
        <v>51116</v>
      </c>
      <c r="BW108" s="109">
        <f t="shared" si="281"/>
        <v>50283</v>
      </c>
      <c r="BX108" s="109">
        <f t="shared" si="281"/>
        <v>49289</v>
      </c>
      <c r="BY108" s="109">
        <f t="shared" si="281"/>
        <v>48411</v>
      </c>
      <c r="BZ108" s="171">
        <f t="shared" si="281"/>
        <v>45823</v>
      </c>
      <c r="CA108" s="109">
        <f t="shared" si="281"/>
        <v>44844</v>
      </c>
      <c r="CB108" s="109">
        <f t="shared" si="281"/>
        <v>43912</v>
      </c>
      <c r="CC108" s="109">
        <f t="shared" si="281"/>
        <v>43058</v>
      </c>
      <c r="CD108" s="171">
        <f t="shared" si="281"/>
        <v>42167</v>
      </c>
      <c r="CE108" s="109">
        <f t="shared" si="281"/>
        <v>41337</v>
      </c>
      <c r="CF108" s="109">
        <f t="shared" si="281"/>
        <v>40417</v>
      </c>
      <c r="CG108" s="109">
        <f t="shared" si="281"/>
        <v>34286</v>
      </c>
      <c r="CH108" s="171">
        <f t="shared" si="281"/>
        <v>33532</v>
      </c>
      <c r="CI108" s="109">
        <f t="shared" si="281"/>
        <v>32752.679054054053</v>
      </c>
      <c r="CJ108" s="109">
        <f t="shared" si="281"/>
        <v>31912.023728813561</v>
      </c>
      <c r="CK108" s="109">
        <f t="shared" si="281"/>
        <v>31155.531999999999</v>
      </c>
      <c r="CL108" s="171">
        <f t="shared" si="281"/>
        <v>29391</v>
      </c>
      <c r="CM108" s="109">
        <f t="shared" si="281"/>
        <v>28752</v>
      </c>
      <c r="CN108" s="109">
        <f t="shared" si="281"/>
        <v>28113</v>
      </c>
      <c r="CO108" s="109">
        <f t="shared" si="281"/>
        <v>27505</v>
      </c>
      <c r="CP108" s="171"/>
      <c r="CQ108" s="109"/>
      <c r="CR108" s="109"/>
      <c r="CS108" s="109"/>
      <c r="CT108" s="171"/>
      <c r="CU108" s="109"/>
      <c r="CV108" s="109"/>
      <c r="CW108" s="172"/>
      <c r="CX108" s="109"/>
      <c r="CY108" s="109"/>
      <c r="CZ108" s="109"/>
      <c r="DA108" s="109"/>
      <c r="DB108" s="171"/>
      <c r="DC108" s="109"/>
      <c r="DD108" s="109"/>
      <c r="DE108" s="109"/>
      <c r="DF108" s="171"/>
      <c r="DG108" s="1044"/>
      <c r="DH108" s="1044"/>
      <c r="DI108" s="172"/>
      <c r="DJ108" s="171"/>
      <c r="DK108" s="1044"/>
      <c r="DL108" s="1044"/>
      <c r="DM108" s="172"/>
      <c r="DN108" s="1044"/>
      <c r="DO108" s="1044"/>
      <c r="DP108" s="1044"/>
      <c r="DQ108" s="172"/>
      <c r="DR108" s="1044"/>
      <c r="DS108" s="1044"/>
      <c r="DT108" s="1044"/>
      <c r="DU108" s="172"/>
      <c r="DV108" s="1044"/>
      <c r="DW108" s="1044"/>
      <c r="DX108" s="1044"/>
      <c r="DY108" s="172"/>
    </row>
    <row r="109" spans="1:129" hidden="1" outlineLevel="1">
      <c r="A109" s="381" t="s">
        <v>465</v>
      </c>
      <c r="B109" s="109"/>
      <c r="C109" s="109"/>
      <c r="D109" s="109"/>
      <c r="E109" s="109">
        <f t="shared" ref="E109:Q109" si="282">E21</f>
        <v>0</v>
      </c>
      <c r="F109" s="109">
        <f t="shared" si="282"/>
        <v>39713</v>
      </c>
      <c r="G109" s="109">
        <f t="shared" si="282"/>
        <v>39605.752</v>
      </c>
      <c r="H109" s="109">
        <f t="shared" si="282"/>
        <v>39077</v>
      </c>
      <c r="I109" s="109">
        <f t="shared" si="282"/>
        <v>38536</v>
      </c>
      <c r="J109" s="109">
        <f t="shared" si="282"/>
        <v>37458</v>
      </c>
      <c r="K109" s="109">
        <f t="shared" si="282"/>
        <v>35639</v>
      </c>
      <c r="L109" s="109">
        <f t="shared" si="282"/>
        <v>33725</v>
      </c>
      <c r="M109" s="109">
        <f t="shared" si="282"/>
        <v>30902</v>
      </c>
      <c r="N109" s="109">
        <f t="shared" si="282"/>
        <v>26732</v>
      </c>
      <c r="O109" s="109">
        <f t="shared" si="282"/>
        <v>18573</v>
      </c>
      <c r="P109" s="109">
        <f t="shared" si="282"/>
        <v>16189.531999999999</v>
      </c>
      <c r="Q109" s="1044">
        <f t="shared" si="282"/>
        <v>14965</v>
      </c>
      <c r="R109" s="109"/>
      <c r="S109" s="109"/>
      <c r="T109" s="1044"/>
      <c r="U109" s="109"/>
      <c r="V109" s="109"/>
      <c r="W109" s="109"/>
      <c r="X109" s="109"/>
      <c r="Y109" s="109"/>
      <c r="Z109" s="109"/>
      <c r="AA109" s="1044"/>
      <c r="AB109" s="1044"/>
      <c r="AC109" s="1044"/>
      <c r="AD109" s="1044"/>
      <c r="AE109" s="1044"/>
      <c r="AF109" s="1044"/>
      <c r="AG109" s="1044"/>
      <c r="AH109" s="1964"/>
      <c r="AI109" s="2160"/>
      <c r="AJ109" s="2160"/>
      <c r="AK109" s="2160"/>
      <c r="AL109" s="2160"/>
      <c r="AM109" s="2160"/>
      <c r="AN109" s="2160"/>
      <c r="AO109" s="2160"/>
      <c r="AP109" s="171"/>
      <c r="AQ109" s="109"/>
      <c r="AR109" s="109"/>
      <c r="AS109" s="109"/>
      <c r="AT109" s="171"/>
      <c r="AU109" s="109"/>
      <c r="AV109" s="109"/>
      <c r="AW109" s="109"/>
      <c r="AX109" s="171">
        <f t="shared" ref="AX109:CO109" si="283">AX21</f>
        <v>38927.173999999999</v>
      </c>
      <c r="AY109" s="109">
        <f t="shared" si="283"/>
        <v>39122.033000000003</v>
      </c>
      <c r="AZ109" s="109">
        <f t="shared" si="283"/>
        <v>39359.724000000002</v>
      </c>
      <c r="BA109" s="109">
        <f t="shared" si="283"/>
        <v>39605.752</v>
      </c>
      <c r="BB109" s="171">
        <f t="shared" si="283"/>
        <v>39018</v>
      </c>
      <c r="BC109" s="109">
        <f t="shared" si="283"/>
        <v>39089</v>
      </c>
      <c r="BD109" s="109">
        <f t="shared" si="283"/>
        <v>39113</v>
      </c>
      <c r="BE109" s="109">
        <f t="shared" si="283"/>
        <v>39077</v>
      </c>
      <c r="BF109" s="171">
        <f t="shared" si="283"/>
        <v>39117</v>
      </c>
      <c r="BG109" s="109">
        <f t="shared" si="283"/>
        <v>38916</v>
      </c>
      <c r="BH109" s="109">
        <f t="shared" si="283"/>
        <v>38741</v>
      </c>
      <c r="BI109" s="109">
        <f t="shared" si="283"/>
        <v>38536</v>
      </c>
      <c r="BJ109" s="171">
        <f t="shared" si="283"/>
        <v>38440</v>
      </c>
      <c r="BK109" s="109">
        <f t="shared" si="283"/>
        <v>38065</v>
      </c>
      <c r="BL109" s="109">
        <f t="shared" si="283"/>
        <v>37777</v>
      </c>
      <c r="BM109" s="109">
        <f t="shared" si="283"/>
        <v>37458</v>
      </c>
      <c r="BN109" s="171">
        <f t="shared" si="283"/>
        <v>36811</v>
      </c>
      <c r="BO109" s="109">
        <f t="shared" si="283"/>
        <v>36430</v>
      </c>
      <c r="BP109" s="109">
        <f t="shared" si="283"/>
        <v>36016</v>
      </c>
      <c r="BQ109" s="109">
        <f t="shared" si="283"/>
        <v>35639</v>
      </c>
      <c r="BR109" s="171">
        <f t="shared" si="283"/>
        <v>35328</v>
      </c>
      <c r="BS109" s="109">
        <f t="shared" si="283"/>
        <v>34815</v>
      </c>
      <c r="BT109" s="109">
        <f t="shared" si="283"/>
        <v>34289</v>
      </c>
      <c r="BU109" s="109">
        <f t="shared" si="283"/>
        <v>33725</v>
      </c>
      <c r="BV109" s="171">
        <f t="shared" si="283"/>
        <v>33213</v>
      </c>
      <c r="BW109" s="109">
        <f t="shared" si="283"/>
        <v>32441</v>
      </c>
      <c r="BX109" s="109">
        <f t="shared" si="283"/>
        <v>31629</v>
      </c>
      <c r="BY109" s="109">
        <f t="shared" si="283"/>
        <v>30902</v>
      </c>
      <c r="BZ109" s="171">
        <f t="shared" si="283"/>
        <v>29100</v>
      </c>
      <c r="CA109" s="109">
        <f t="shared" si="283"/>
        <v>28263</v>
      </c>
      <c r="CB109" s="109">
        <f t="shared" si="283"/>
        <v>27435</v>
      </c>
      <c r="CC109" s="109">
        <f t="shared" si="283"/>
        <v>26732</v>
      </c>
      <c r="CD109" s="171">
        <f t="shared" si="283"/>
        <v>26018</v>
      </c>
      <c r="CE109" s="109">
        <f t="shared" si="283"/>
        <v>25316</v>
      </c>
      <c r="CF109" s="109">
        <f t="shared" si="283"/>
        <v>24567</v>
      </c>
      <c r="CG109" s="109">
        <f t="shared" si="283"/>
        <v>18573</v>
      </c>
      <c r="CH109" s="171">
        <f t="shared" si="283"/>
        <v>18000</v>
      </c>
      <c r="CI109" s="109">
        <f t="shared" si="283"/>
        <v>17357.679054054053</v>
      </c>
      <c r="CJ109" s="109">
        <f t="shared" si="283"/>
        <v>16720.023728813561</v>
      </c>
      <c r="CK109" s="109">
        <f t="shared" si="283"/>
        <v>16189.531999999999</v>
      </c>
      <c r="CL109" s="171">
        <f t="shared" si="283"/>
        <v>16252</v>
      </c>
      <c r="CM109" s="109">
        <f t="shared" si="283"/>
        <v>15828</v>
      </c>
      <c r="CN109" s="109">
        <f t="shared" si="283"/>
        <v>15394</v>
      </c>
      <c r="CO109" s="109">
        <f t="shared" si="283"/>
        <v>14965</v>
      </c>
      <c r="CP109" s="171"/>
      <c r="CQ109" s="109"/>
      <c r="CR109" s="109"/>
      <c r="CS109" s="109"/>
      <c r="CT109" s="171"/>
      <c r="CU109" s="109"/>
      <c r="CV109" s="109"/>
      <c r="CW109" s="172"/>
      <c r="CX109" s="109"/>
      <c r="CY109" s="109"/>
      <c r="CZ109" s="109"/>
      <c r="DA109" s="109"/>
      <c r="DB109" s="171"/>
      <c r="DC109" s="109"/>
      <c r="DD109" s="109"/>
      <c r="DE109" s="109"/>
      <c r="DF109" s="171"/>
      <c r="DG109" s="1044"/>
      <c r="DH109" s="1044"/>
      <c r="DI109" s="172"/>
      <c r="DJ109" s="171"/>
      <c r="DK109" s="1044"/>
      <c r="DL109" s="1044"/>
      <c r="DM109" s="172"/>
      <c r="DN109" s="1044"/>
      <c r="DO109" s="1044"/>
      <c r="DP109" s="1044"/>
      <c r="DQ109" s="172"/>
      <c r="DR109" s="1044"/>
      <c r="DS109" s="1044"/>
      <c r="DT109" s="1044"/>
      <c r="DU109" s="172"/>
      <c r="DV109" s="1044"/>
      <c r="DW109" s="1044"/>
      <c r="DX109" s="1044"/>
      <c r="DY109" s="172"/>
    </row>
    <row r="110" spans="1:129" hidden="1" outlineLevel="1">
      <c r="A110" s="381" t="s">
        <v>466</v>
      </c>
      <c r="B110" s="109"/>
      <c r="C110" s="109"/>
      <c r="D110" s="109"/>
      <c r="E110" s="109"/>
      <c r="F110" s="109"/>
      <c r="G110" s="109">
        <f>BA110</f>
        <v>10728.693325</v>
      </c>
      <c r="H110" s="109">
        <f>BE110</f>
        <v>19830.2</v>
      </c>
      <c r="I110" s="109">
        <f>BI110</f>
        <v>25632.730000000003</v>
      </c>
      <c r="J110" s="109">
        <f>BM110</f>
        <v>33322.160000000011</v>
      </c>
      <c r="K110" s="109">
        <f>BQ110</f>
        <v>43496.800000000003</v>
      </c>
      <c r="L110" s="109">
        <f t="shared" ref="L110:Q110" si="284">L108*L111</f>
        <v>42013.08</v>
      </c>
      <c r="M110" s="109">
        <f t="shared" si="284"/>
        <v>42601.680000000008</v>
      </c>
      <c r="N110" s="109">
        <f t="shared" si="284"/>
        <v>38321.620000000003</v>
      </c>
      <c r="O110" s="109">
        <f t="shared" si="284"/>
        <v>30857.4</v>
      </c>
      <c r="P110" s="109">
        <f t="shared" si="284"/>
        <v>28039.978800000001</v>
      </c>
      <c r="Q110" s="1044">
        <f t="shared" si="284"/>
        <v>24754.5</v>
      </c>
      <c r="R110" s="109"/>
      <c r="S110" s="109"/>
      <c r="T110" s="1044"/>
      <c r="U110" s="109"/>
      <c r="V110" s="109"/>
      <c r="W110" s="109"/>
      <c r="X110" s="109"/>
      <c r="Y110" s="109"/>
      <c r="Z110" s="109"/>
      <c r="AA110" s="1044"/>
      <c r="AB110" s="1044"/>
      <c r="AC110" s="1044"/>
      <c r="AD110" s="1044"/>
      <c r="AE110" s="1044"/>
      <c r="AF110" s="1044"/>
      <c r="AG110" s="1044"/>
      <c r="AH110" s="1964"/>
      <c r="AI110" s="2160"/>
      <c r="AJ110" s="2160"/>
      <c r="AK110" s="2160"/>
      <c r="AL110" s="2160"/>
      <c r="AM110" s="2160"/>
      <c r="AN110" s="2160"/>
      <c r="AO110" s="2160"/>
      <c r="AP110" s="171"/>
      <c r="AQ110" s="109"/>
      <c r="AR110" s="109"/>
      <c r="AS110" s="109"/>
      <c r="AT110" s="171"/>
      <c r="AU110" s="109"/>
      <c r="AV110" s="109"/>
      <c r="AW110" s="109"/>
      <c r="AX110" s="171">
        <f t="shared" ref="AX110:CC110" si="285">AX108*AX111</f>
        <v>2998.3845500000002</v>
      </c>
      <c r="AY110" s="109">
        <f t="shared" si="285"/>
        <v>6039.3709000000008</v>
      </c>
      <c r="AZ110" s="109">
        <f t="shared" si="285"/>
        <v>8373.4037750000007</v>
      </c>
      <c r="BA110" s="109">
        <f t="shared" si="285"/>
        <v>10728.693325</v>
      </c>
      <c r="BB110" s="171">
        <f t="shared" si="285"/>
        <v>12871.125</v>
      </c>
      <c r="BC110" s="109">
        <f t="shared" si="285"/>
        <v>15198.25</v>
      </c>
      <c r="BD110" s="109">
        <f t="shared" si="285"/>
        <v>17524.849999999999</v>
      </c>
      <c r="BE110" s="109">
        <f t="shared" si="285"/>
        <v>19830.2</v>
      </c>
      <c r="BF110" s="171">
        <f t="shared" si="285"/>
        <v>22118.662499999999</v>
      </c>
      <c r="BG110" s="109">
        <f t="shared" si="285"/>
        <v>24239.200000000001</v>
      </c>
      <c r="BH110" s="109">
        <f t="shared" si="285"/>
        <v>24366.015000000003</v>
      </c>
      <c r="BI110" s="109">
        <f t="shared" si="285"/>
        <v>25632.730000000003</v>
      </c>
      <c r="BJ110" s="171">
        <f t="shared" si="285"/>
        <v>26929.175000000003</v>
      </c>
      <c r="BK110" s="109">
        <f t="shared" si="285"/>
        <v>28029.600000000006</v>
      </c>
      <c r="BL110" s="109">
        <f t="shared" si="285"/>
        <v>30698.130000000008</v>
      </c>
      <c r="BM110" s="109">
        <f t="shared" si="285"/>
        <v>33322.160000000011</v>
      </c>
      <c r="BN110" s="171">
        <f t="shared" si="285"/>
        <v>35441.279999999999</v>
      </c>
      <c r="BO110" s="109">
        <f t="shared" si="285"/>
        <v>37778.76</v>
      </c>
      <c r="BP110" s="109">
        <f t="shared" si="285"/>
        <v>40678.54</v>
      </c>
      <c r="BQ110" s="109">
        <f t="shared" si="285"/>
        <v>43496.800000000003</v>
      </c>
      <c r="BR110" s="171">
        <f t="shared" si="285"/>
        <v>43643.61</v>
      </c>
      <c r="BS110" s="109">
        <f t="shared" si="285"/>
        <v>43635.48</v>
      </c>
      <c r="BT110" s="109">
        <f t="shared" si="285"/>
        <v>43618.990000000005</v>
      </c>
      <c r="BU110" s="109">
        <f t="shared" si="285"/>
        <v>43569.120000000003</v>
      </c>
      <c r="BV110" s="171">
        <f t="shared" si="285"/>
        <v>43448.600000000006</v>
      </c>
      <c r="BW110" s="109">
        <f t="shared" si="285"/>
        <v>43243.380000000005</v>
      </c>
      <c r="BX110" s="109">
        <f t="shared" si="285"/>
        <v>42881.430000000008</v>
      </c>
      <c r="BY110" s="109">
        <f t="shared" si="285"/>
        <v>42601.680000000008</v>
      </c>
      <c r="BZ110" s="171">
        <f t="shared" si="285"/>
        <v>38949.549999999996</v>
      </c>
      <c r="CA110" s="109">
        <f t="shared" si="285"/>
        <v>39014.28</v>
      </c>
      <c r="CB110" s="109">
        <f t="shared" si="285"/>
        <v>38642.559999999998</v>
      </c>
      <c r="CC110" s="109">
        <f t="shared" si="285"/>
        <v>38321.620000000003</v>
      </c>
      <c r="CD110" s="171">
        <f t="shared" ref="CD110:CO110" si="286">CD108*CD111</f>
        <v>37950.300000000003</v>
      </c>
      <c r="CE110" s="109">
        <f t="shared" si="286"/>
        <v>37203.300000000003</v>
      </c>
      <c r="CF110" s="109">
        <f t="shared" si="286"/>
        <v>36375.300000000003</v>
      </c>
      <c r="CG110" s="109">
        <f t="shared" si="286"/>
        <v>30857.4</v>
      </c>
      <c r="CH110" s="171">
        <f t="shared" si="286"/>
        <v>30178.799999999999</v>
      </c>
      <c r="CI110" s="109">
        <f t="shared" si="286"/>
        <v>29804.937939189189</v>
      </c>
      <c r="CJ110" s="109">
        <f t="shared" si="286"/>
        <v>28720.821355932207</v>
      </c>
      <c r="CK110" s="109">
        <f t="shared" si="286"/>
        <v>28039.978800000001</v>
      </c>
      <c r="CL110" s="171">
        <f t="shared" si="286"/>
        <v>26451.9</v>
      </c>
      <c r="CM110" s="109">
        <f t="shared" si="286"/>
        <v>25876.799999999999</v>
      </c>
      <c r="CN110" s="109">
        <f t="shared" si="286"/>
        <v>25301.7</v>
      </c>
      <c r="CO110" s="109">
        <f t="shared" si="286"/>
        <v>24754.5</v>
      </c>
      <c r="CP110" s="171"/>
      <c r="CQ110" s="109"/>
      <c r="CR110" s="109"/>
      <c r="CS110" s="109"/>
      <c r="CT110" s="171"/>
      <c r="CU110" s="109"/>
      <c r="CV110" s="109"/>
      <c r="CW110" s="172"/>
      <c r="CX110" s="109"/>
      <c r="CY110" s="109"/>
      <c r="CZ110" s="109"/>
      <c r="DA110" s="109"/>
      <c r="DB110" s="171"/>
      <c r="DC110" s="109"/>
      <c r="DD110" s="109"/>
      <c r="DE110" s="109"/>
      <c r="DF110" s="171"/>
      <c r="DG110" s="1044"/>
      <c r="DH110" s="1044"/>
      <c r="DI110" s="172"/>
      <c r="DJ110" s="171"/>
      <c r="DK110" s="1044"/>
      <c r="DL110" s="1044"/>
      <c r="DM110" s="172"/>
      <c r="DN110" s="1044"/>
      <c r="DO110" s="1044"/>
      <c r="DP110" s="1044"/>
      <c r="DQ110" s="172"/>
      <c r="DR110" s="1044"/>
      <c r="DS110" s="1044"/>
      <c r="DT110" s="1044"/>
      <c r="DU110" s="172"/>
      <c r="DV110" s="1044"/>
      <c r="DW110" s="1044"/>
      <c r="DX110" s="1044"/>
      <c r="DY110" s="172"/>
    </row>
    <row r="111" spans="1:129" hidden="1" outlineLevel="1">
      <c r="A111" s="176" t="s">
        <v>467</v>
      </c>
      <c r="B111" s="161"/>
      <c r="C111" s="161"/>
      <c r="D111" s="161"/>
      <c r="E111" s="161"/>
      <c r="F111" s="94"/>
      <c r="G111" s="94">
        <f>BA111</f>
        <v>0.17499999999999999</v>
      </c>
      <c r="H111" s="94">
        <f>BE111</f>
        <v>0.32500000000000001</v>
      </c>
      <c r="I111" s="94">
        <f>BI111</f>
        <v>0.43000000000000005</v>
      </c>
      <c r="J111" s="94">
        <f>BM111</f>
        <v>0.58000000000000018</v>
      </c>
      <c r="K111" s="94">
        <f>BQ111</f>
        <v>0.8</v>
      </c>
      <c r="L111" s="94">
        <f>BR111</f>
        <v>0.81</v>
      </c>
      <c r="M111" s="94">
        <f>BY111</f>
        <v>0.88000000000000012</v>
      </c>
      <c r="N111" s="94">
        <f>CC111</f>
        <v>0.89</v>
      </c>
      <c r="O111" s="94">
        <f>CG111</f>
        <v>0.9</v>
      </c>
      <c r="P111" s="94">
        <f>CK111</f>
        <v>0.9</v>
      </c>
      <c r="Q111" s="1045">
        <f>CO111</f>
        <v>0.9</v>
      </c>
      <c r="R111" s="94"/>
      <c r="S111" s="94"/>
      <c r="T111" s="1045"/>
      <c r="U111" s="94"/>
      <c r="V111" s="94"/>
      <c r="W111" s="94"/>
      <c r="X111" s="94"/>
      <c r="Y111" s="94"/>
      <c r="Z111" s="94"/>
      <c r="AA111" s="1059"/>
      <c r="AB111" s="1059"/>
      <c r="AC111" s="1059"/>
      <c r="AD111" s="1059"/>
      <c r="AE111" s="1059"/>
      <c r="AF111" s="1059"/>
      <c r="AG111" s="1059"/>
      <c r="AH111" s="1962"/>
      <c r="AI111" s="2159"/>
      <c r="AJ111" s="2159"/>
      <c r="AK111" s="2159"/>
      <c r="AL111" s="2159"/>
      <c r="AM111" s="2159"/>
      <c r="AN111" s="2159"/>
      <c r="AO111" s="2159"/>
      <c r="AP111" s="147"/>
      <c r="AQ111" s="94"/>
      <c r="AR111" s="94"/>
      <c r="AS111" s="94"/>
      <c r="AT111" s="147"/>
      <c r="AU111" s="94"/>
      <c r="AV111" s="94"/>
      <c r="AW111" s="94"/>
      <c r="AX111" s="165">
        <v>0.05</v>
      </c>
      <c r="AY111" s="110">
        <v>0.1</v>
      </c>
      <c r="AZ111" s="110">
        <v>0.13750000000000001</v>
      </c>
      <c r="BA111" s="110">
        <v>0.17499999999999999</v>
      </c>
      <c r="BB111" s="165">
        <v>0.21249999999999999</v>
      </c>
      <c r="BC111" s="110">
        <v>0.25</v>
      </c>
      <c r="BD111" s="110">
        <v>0.28749999999999998</v>
      </c>
      <c r="BE111" s="110">
        <v>0.32500000000000001</v>
      </c>
      <c r="BF111" s="165">
        <v>0.36249999999999999</v>
      </c>
      <c r="BG111" s="110">
        <v>0.4</v>
      </c>
      <c r="BH111" s="110">
        <f>BG111+0.005</f>
        <v>0.40500000000000003</v>
      </c>
      <c r="BI111" s="110">
        <f>BH111+0.025</f>
        <v>0.43000000000000005</v>
      </c>
      <c r="BJ111" s="165">
        <f>BI111+0.025</f>
        <v>0.45500000000000007</v>
      </c>
      <c r="BK111" s="110">
        <f>BJ111+0.025</f>
        <v>0.48000000000000009</v>
      </c>
      <c r="BL111" s="110">
        <f>BK111+0.05</f>
        <v>0.53000000000000014</v>
      </c>
      <c r="BM111" s="110">
        <f>BL111+0.05</f>
        <v>0.58000000000000018</v>
      </c>
      <c r="BN111" s="321">
        <v>0.63</v>
      </c>
      <c r="BO111" s="110">
        <f>BN111+0.05</f>
        <v>0.68</v>
      </c>
      <c r="BP111" s="110">
        <v>0.74</v>
      </c>
      <c r="BQ111" s="110">
        <f>BP111+0.06</f>
        <v>0.8</v>
      </c>
      <c r="BR111" s="165">
        <f t="shared" ref="BR111:BY111" si="287">BQ111+0.01</f>
        <v>0.81</v>
      </c>
      <c r="BS111" s="110">
        <f t="shared" si="287"/>
        <v>0.82000000000000006</v>
      </c>
      <c r="BT111" s="110">
        <f t="shared" si="287"/>
        <v>0.83000000000000007</v>
      </c>
      <c r="BU111" s="110">
        <f t="shared" si="287"/>
        <v>0.84000000000000008</v>
      </c>
      <c r="BV111" s="165">
        <f t="shared" si="287"/>
        <v>0.85000000000000009</v>
      </c>
      <c r="BW111" s="110">
        <f t="shared" si="287"/>
        <v>0.8600000000000001</v>
      </c>
      <c r="BX111" s="110">
        <f t="shared" si="287"/>
        <v>0.87000000000000011</v>
      </c>
      <c r="BY111" s="110">
        <f t="shared" si="287"/>
        <v>0.88000000000000012</v>
      </c>
      <c r="BZ111" s="165">
        <v>0.85</v>
      </c>
      <c r="CA111" s="110">
        <v>0.87</v>
      </c>
      <c r="CB111" s="110">
        <v>0.88</v>
      </c>
      <c r="CC111" s="110">
        <v>0.89</v>
      </c>
      <c r="CD111" s="165">
        <v>0.9</v>
      </c>
      <c r="CE111" s="110">
        <v>0.9</v>
      </c>
      <c r="CF111" s="110">
        <v>0.9</v>
      </c>
      <c r="CG111" s="110">
        <v>0.9</v>
      </c>
      <c r="CH111" s="165">
        <v>0.9</v>
      </c>
      <c r="CI111" s="110">
        <v>0.91</v>
      </c>
      <c r="CJ111" s="110">
        <v>0.9</v>
      </c>
      <c r="CK111" s="110">
        <v>0.9</v>
      </c>
      <c r="CL111" s="165">
        <v>0.9</v>
      </c>
      <c r="CM111" s="110">
        <f>+CL111</f>
        <v>0.9</v>
      </c>
      <c r="CN111" s="110">
        <f>+CM111</f>
        <v>0.9</v>
      </c>
      <c r="CO111" s="110">
        <f>+CN111</f>
        <v>0.9</v>
      </c>
      <c r="CP111" s="165"/>
      <c r="CQ111" s="110"/>
      <c r="CR111" s="110"/>
      <c r="CS111" s="110"/>
      <c r="CT111" s="165"/>
      <c r="CU111" s="110"/>
      <c r="CV111" s="110"/>
      <c r="CW111" s="166"/>
      <c r="CX111" s="110"/>
      <c r="CY111" s="110"/>
      <c r="CZ111" s="110"/>
      <c r="DA111" s="110"/>
      <c r="DB111" s="165"/>
      <c r="DC111" s="110"/>
      <c r="DD111" s="110"/>
      <c r="DE111" s="110"/>
      <c r="DF111" s="165"/>
      <c r="DG111" s="1059"/>
      <c r="DH111" s="1059"/>
      <c r="DI111" s="166"/>
      <c r="DJ111" s="165"/>
      <c r="DK111" s="1059"/>
      <c r="DL111" s="1059"/>
      <c r="DM111" s="166"/>
      <c r="DN111" s="1059"/>
      <c r="DO111" s="1059"/>
      <c r="DP111" s="1059"/>
      <c r="DQ111" s="166"/>
      <c r="DR111" s="1059"/>
      <c r="DS111" s="1059"/>
      <c r="DT111" s="1059"/>
      <c r="DU111" s="166"/>
      <c r="DV111" s="1059"/>
      <c r="DW111" s="1059"/>
      <c r="DX111" s="1059"/>
      <c r="DY111" s="166"/>
    </row>
    <row r="112" spans="1:129" hidden="1" outlineLevel="1">
      <c r="A112" s="147" t="s">
        <v>380</v>
      </c>
      <c r="B112" s="94"/>
      <c r="C112" s="94"/>
      <c r="D112" s="94"/>
      <c r="E112" s="94"/>
      <c r="F112" s="94"/>
      <c r="G112" s="94"/>
      <c r="H112" s="94"/>
      <c r="I112" s="94"/>
      <c r="J112" s="94">
        <f t="shared" ref="J112:Y112" si="288">J90/J64</f>
        <v>2.9375237175285472E-2</v>
      </c>
      <c r="K112" s="94">
        <f t="shared" si="288"/>
        <v>4.2297450114908985E-2</v>
      </c>
      <c r="L112" s="94">
        <f t="shared" si="288"/>
        <v>6.8064028763219792E-2</v>
      </c>
      <c r="M112" s="94">
        <f t="shared" si="288"/>
        <v>0.10194045448025736</v>
      </c>
      <c r="N112" s="94">
        <f t="shared" si="288"/>
        <v>0.14055262369506602</v>
      </c>
      <c r="O112" s="94">
        <f t="shared" si="288"/>
        <v>0.16311892642295234</v>
      </c>
      <c r="P112" s="94">
        <f t="shared" si="288"/>
        <v>0.16897847051836926</v>
      </c>
      <c r="Q112" s="1045">
        <f t="shared" si="288"/>
        <v>0.17220180893159978</v>
      </c>
      <c r="R112" s="94">
        <f t="shared" si="288"/>
        <v>0.17114040660736976</v>
      </c>
      <c r="S112" s="94">
        <f t="shared" si="288"/>
        <v>0.17314519390643959</v>
      </c>
      <c r="T112" s="1045">
        <f t="shared" si="288"/>
        <v>0.17488068063913675</v>
      </c>
      <c r="U112" s="94">
        <f t="shared" si="288"/>
        <v>0.17479360931282295</v>
      </c>
      <c r="V112" s="94">
        <f t="shared" si="288"/>
        <v>0.17040742447179621</v>
      </c>
      <c r="W112" s="94">
        <f t="shared" si="288"/>
        <v>0.16093303014743637</v>
      </c>
      <c r="X112" s="94">
        <f t="shared" si="288"/>
        <v>0.13789326961369971</v>
      </c>
      <c r="Y112" s="94">
        <f t="shared" si="288"/>
        <v>0.12438313144908031</v>
      </c>
      <c r="Z112" s="3395"/>
      <c r="AA112" s="3360"/>
      <c r="AB112" s="3360"/>
      <c r="AC112" s="3360"/>
      <c r="AD112" s="3360"/>
      <c r="AE112" s="3360"/>
      <c r="AF112" s="3360"/>
      <c r="AG112" s="3360"/>
      <c r="AH112" s="1962"/>
      <c r="AI112" s="2159"/>
      <c r="AJ112" s="2159"/>
      <c r="AK112" s="2159"/>
      <c r="AL112" s="2159"/>
      <c r="AM112" s="2159"/>
      <c r="AN112" s="2159"/>
      <c r="AO112" s="2159"/>
      <c r="AP112" s="147"/>
      <c r="AQ112" s="94"/>
      <c r="AR112" s="94"/>
      <c r="AS112" s="94"/>
      <c r="AT112" s="147"/>
      <c r="AU112" s="94"/>
      <c r="AV112" s="94"/>
      <c r="AW112" s="94"/>
      <c r="AX112" s="147"/>
      <c r="AY112" s="94"/>
      <c r="AZ112" s="94"/>
      <c r="BA112" s="94"/>
      <c r="BB112" s="147"/>
      <c r="BC112" s="94"/>
      <c r="BD112" s="94"/>
      <c r="BE112" s="94"/>
      <c r="BF112" s="147"/>
      <c r="BG112" s="94"/>
      <c r="BH112" s="94"/>
      <c r="BI112" s="94"/>
      <c r="BJ112" s="147">
        <f t="shared" ref="BJ112:CO112" si="289">BJ90/BJ64</f>
        <v>2.0916651327789026E-2</v>
      </c>
      <c r="BK112" s="94">
        <f t="shared" si="289"/>
        <v>2.3748134075179807E-2</v>
      </c>
      <c r="BL112" s="94">
        <f t="shared" si="289"/>
        <v>2.6601204324620226E-2</v>
      </c>
      <c r="BM112" s="94">
        <f t="shared" si="289"/>
        <v>2.9375237175285472E-2</v>
      </c>
      <c r="BN112" s="147">
        <f t="shared" si="289"/>
        <v>3.2248400796517876E-2</v>
      </c>
      <c r="BO112" s="94">
        <f t="shared" si="289"/>
        <v>3.4459375055766725E-2</v>
      </c>
      <c r="BP112" s="94">
        <f t="shared" si="289"/>
        <v>3.8169453614012305E-2</v>
      </c>
      <c r="BQ112" s="94">
        <f t="shared" si="289"/>
        <v>4.2297450114908985E-2</v>
      </c>
      <c r="BR112" s="147">
        <f t="shared" si="289"/>
        <v>4.9039098740888007E-2</v>
      </c>
      <c r="BS112" s="94">
        <f t="shared" si="289"/>
        <v>5.487316173044305E-2</v>
      </c>
      <c r="BT112" s="94">
        <f t="shared" si="289"/>
        <v>6.1397051884566747E-2</v>
      </c>
      <c r="BU112" s="94">
        <f t="shared" si="289"/>
        <v>6.8064028763219792E-2</v>
      </c>
      <c r="BV112" s="147">
        <f t="shared" si="289"/>
        <v>7.4983990219479532E-2</v>
      </c>
      <c r="BW112" s="94">
        <f t="shared" si="289"/>
        <v>8.1710757333648965E-2</v>
      </c>
      <c r="BX112" s="94">
        <f t="shared" si="289"/>
        <v>9.1187184286260534E-2</v>
      </c>
      <c r="BY112" s="94">
        <f t="shared" si="289"/>
        <v>0.10194045448025736</v>
      </c>
      <c r="BZ112" s="147">
        <f t="shared" si="289"/>
        <v>0.11405255638772241</v>
      </c>
      <c r="CA112" s="94">
        <f t="shared" si="289"/>
        <v>0.12349557522123894</v>
      </c>
      <c r="CB112" s="94">
        <f t="shared" si="289"/>
        <v>0.13258919492961566</v>
      </c>
      <c r="CC112" s="94">
        <f t="shared" si="289"/>
        <v>0.14055262369506602</v>
      </c>
      <c r="CD112" s="147">
        <f t="shared" si="289"/>
        <v>0.14912693556737422</v>
      </c>
      <c r="CE112" s="94">
        <f t="shared" si="289"/>
        <v>0.15406222990492655</v>
      </c>
      <c r="CF112" s="94">
        <f t="shared" si="289"/>
        <v>0.15889388246273239</v>
      </c>
      <c r="CG112" s="94">
        <f t="shared" si="289"/>
        <v>0.16311892642295234</v>
      </c>
      <c r="CH112" s="147">
        <f t="shared" si="289"/>
        <v>0.16605056927399084</v>
      </c>
      <c r="CI112" s="94">
        <f t="shared" si="289"/>
        <v>0.16602232435632347</v>
      </c>
      <c r="CJ112" s="94">
        <f t="shared" si="289"/>
        <v>0.16704018926578615</v>
      </c>
      <c r="CK112" s="94">
        <f t="shared" si="289"/>
        <v>0.16897847051836926</v>
      </c>
      <c r="CL112" s="147">
        <f t="shared" si="289"/>
        <v>0.17165962741053598</v>
      </c>
      <c r="CM112" s="94">
        <f t="shared" si="289"/>
        <v>0.1719138081492918</v>
      </c>
      <c r="CN112" s="94">
        <f t="shared" si="289"/>
        <v>0.17184536331344621</v>
      </c>
      <c r="CO112" s="94">
        <f t="shared" si="289"/>
        <v>0.17220180893159978</v>
      </c>
      <c r="CP112" s="147">
        <f t="shared" ref="CP112:DU112" si="290">CP90/CP64</f>
        <v>0.17284442192137842</v>
      </c>
      <c r="CQ112" s="94">
        <f t="shared" si="290"/>
        <v>0.17243953418931024</v>
      </c>
      <c r="CR112" s="94">
        <f t="shared" si="290"/>
        <v>0.17215522572665429</v>
      </c>
      <c r="CS112" s="94">
        <f t="shared" si="290"/>
        <v>0.17114040660736976</v>
      </c>
      <c r="CT112" s="147">
        <f t="shared" si="290"/>
        <v>0.17163051027495199</v>
      </c>
      <c r="CU112" s="94">
        <f t="shared" si="290"/>
        <v>0.17116208721956139</v>
      </c>
      <c r="CV112" s="94">
        <f t="shared" si="290"/>
        <v>0.1715599115312893</v>
      </c>
      <c r="CW112" s="101">
        <f t="shared" si="290"/>
        <v>0.17314519390643959</v>
      </c>
      <c r="CX112" s="94">
        <f t="shared" si="290"/>
        <v>0.17587141388655267</v>
      </c>
      <c r="CY112" s="94">
        <f t="shared" si="290"/>
        <v>0.17605428986912264</v>
      </c>
      <c r="CZ112" s="94">
        <f t="shared" si="290"/>
        <v>0.17519714701893616</v>
      </c>
      <c r="DA112" s="94">
        <f t="shared" si="290"/>
        <v>0.17488068063913675</v>
      </c>
      <c r="DB112" s="147">
        <f t="shared" si="290"/>
        <v>0.17588424437299036</v>
      </c>
      <c r="DC112" s="94">
        <f t="shared" si="290"/>
        <v>0.1757814668813503</v>
      </c>
      <c r="DD112" s="94">
        <f t="shared" si="290"/>
        <v>0.17535081665516447</v>
      </c>
      <c r="DE112" s="94">
        <f t="shared" si="290"/>
        <v>0.17479360931282295</v>
      </c>
      <c r="DF112" s="147">
        <f t="shared" si="290"/>
        <v>0.1746322407373497</v>
      </c>
      <c r="DG112" s="1045">
        <f t="shared" si="290"/>
        <v>0.17353144003510751</v>
      </c>
      <c r="DH112" s="1045">
        <f t="shared" si="290"/>
        <v>0.17174959871589085</v>
      </c>
      <c r="DI112" s="101">
        <f t="shared" si="290"/>
        <v>0.17040742447179621</v>
      </c>
      <c r="DJ112" s="147">
        <f t="shared" si="290"/>
        <v>0.16855677062238422</v>
      </c>
      <c r="DK112" s="1045">
        <f t="shared" si="290"/>
        <v>0.16645859342488556</v>
      </c>
      <c r="DL112" s="1045">
        <f t="shared" si="290"/>
        <v>0.16299779155090119</v>
      </c>
      <c r="DM112" s="101">
        <f t="shared" si="290"/>
        <v>0.16093303014743637</v>
      </c>
      <c r="DN112" s="1045">
        <f t="shared" si="290"/>
        <v>0.15758857747223692</v>
      </c>
      <c r="DO112" s="1045">
        <f t="shared" si="290"/>
        <v>0.14334245541190904</v>
      </c>
      <c r="DP112" s="1045">
        <f t="shared" si="290"/>
        <v>0.14090380139643136</v>
      </c>
      <c r="DQ112" s="101">
        <f t="shared" si="290"/>
        <v>0.13789326961369971</v>
      </c>
      <c r="DR112" s="1045">
        <f t="shared" si="290"/>
        <v>0.13573407202216067</v>
      </c>
      <c r="DS112" s="1045">
        <f t="shared" si="290"/>
        <v>0.13247908503653499</v>
      </c>
      <c r="DT112" s="1045">
        <f t="shared" si="290"/>
        <v>0.12799564270152505</v>
      </c>
      <c r="DU112" s="101">
        <f t="shared" si="290"/>
        <v>0.12438313144908031</v>
      </c>
      <c r="DV112" s="3360"/>
      <c r="DW112" s="3360"/>
      <c r="DX112" s="3360"/>
      <c r="DY112" s="3366"/>
    </row>
    <row r="113" spans="1:129" hidden="1" outlineLevel="1">
      <c r="A113" s="147" t="s">
        <v>381</v>
      </c>
      <c r="B113" s="94"/>
      <c r="C113" s="94"/>
      <c r="D113" s="94"/>
      <c r="E113" s="94"/>
      <c r="F113" s="94"/>
      <c r="G113" s="94"/>
      <c r="H113" s="94"/>
      <c r="I113" s="94"/>
      <c r="J113" s="94"/>
      <c r="K113" s="94"/>
      <c r="L113" s="94">
        <f t="shared" ref="L113:Y113" si="291">L90/L11</f>
        <v>0.14247687202795659</v>
      </c>
      <c r="M113" s="94">
        <f t="shared" si="291"/>
        <v>0.21268794405079572</v>
      </c>
      <c r="N113" s="94">
        <f t="shared" si="291"/>
        <v>0.2682293957252177</v>
      </c>
      <c r="O113" s="94">
        <f t="shared" si="291"/>
        <v>0.38064385503138287</v>
      </c>
      <c r="P113" s="94">
        <f t="shared" si="291"/>
        <v>0.39837699485121203</v>
      </c>
      <c r="Q113" s="1045">
        <f t="shared" si="291"/>
        <v>0.35675596545161764</v>
      </c>
      <c r="R113" s="94">
        <f t="shared" si="291"/>
        <v>0.34277079688245587</v>
      </c>
      <c r="S113" s="94">
        <f t="shared" si="291"/>
        <v>0.32680237489397795</v>
      </c>
      <c r="T113" s="1045">
        <f t="shared" si="291"/>
        <v>0.30074047640289053</v>
      </c>
      <c r="U113" s="94">
        <f t="shared" si="291"/>
        <v>0.27430329014819649</v>
      </c>
      <c r="V113" s="94">
        <f t="shared" si="291"/>
        <v>0.25387330849186113</v>
      </c>
      <c r="W113" s="94">
        <f t="shared" si="291"/>
        <v>0.23002725938351856</v>
      </c>
      <c r="X113" s="94">
        <f t="shared" si="291"/>
        <v>0.19438596491228069</v>
      </c>
      <c r="Y113" s="94">
        <f t="shared" si="291"/>
        <v>0.16769998487827006</v>
      </c>
      <c r="Z113" s="3395"/>
      <c r="AA113" s="3360"/>
      <c r="AB113" s="3360"/>
      <c r="AC113" s="3360"/>
      <c r="AD113" s="3360"/>
      <c r="AE113" s="3360"/>
      <c r="AF113" s="3360"/>
      <c r="AG113" s="3360"/>
      <c r="AH113" s="1962"/>
      <c r="AI113" s="2159"/>
      <c r="AJ113" s="2159"/>
      <c r="AK113" s="2159"/>
      <c r="AL113" s="2159"/>
      <c r="AM113" s="2159"/>
      <c r="AN113" s="2159"/>
      <c r="AO113" s="2159"/>
      <c r="AP113" s="147"/>
      <c r="AQ113" s="94"/>
      <c r="AR113" s="94"/>
      <c r="AS113" s="94"/>
      <c r="AT113" s="147"/>
      <c r="AU113" s="94"/>
      <c r="AV113" s="94"/>
      <c r="AW113" s="94"/>
      <c r="AX113" s="147"/>
      <c r="AY113" s="94"/>
      <c r="AZ113" s="94"/>
      <c r="BA113" s="94"/>
      <c r="BB113" s="147"/>
      <c r="BC113" s="94"/>
      <c r="BD113" s="94"/>
      <c r="BE113" s="94"/>
      <c r="BF113" s="147"/>
      <c r="BG113" s="94"/>
      <c r="BH113" s="94"/>
      <c r="BI113" s="94"/>
      <c r="BJ113" s="147">
        <f t="shared" ref="BJ113:CO113" si="292">BJ90/BJ11</f>
        <v>4.1389577243546867E-2</v>
      </c>
      <c r="BK113" s="94">
        <f t="shared" si="292"/>
        <v>4.6894558589894025E-2</v>
      </c>
      <c r="BL113" s="94">
        <f t="shared" si="292"/>
        <v>5.2775248374573258E-2</v>
      </c>
      <c r="BM113" s="94">
        <f t="shared" si="292"/>
        <v>5.8806263920302491E-2</v>
      </c>
      <c r="BN113" s="147">
        <f t="shared" si="292"/>
        <v>6.4935640973324937E-2</v>
      </c>
      <c r="BO113" s="94">
        <f t="shared" si="292"/>
        <v>6.973237474083302E-2</v>
      </c>
      <c r="BP113" s="94">
        <f t="shared" si="292"/>
        <v>7.7762690710189944E-2</v>
      </c>
      <c r="BQ113" s="94">
        <f t="shared" si="292"/>
        <v>8.6973279283358421E-2</v>
      </c>
      <c r="BR113" s="147">
        <f t="shared" si="292"/>
        <v>0.10083840704190843</v>
      </c>
      <c r="BS113" s="94">
        <f t="shared" si="292"/>
        <v>0.11410466548710936</v>
      </c>
      <c r="BT113" s="94">
        <f t="shared" si="292"/>
        <v>0.12823089077932606</v>
      </c>
      <c r="BU113" s="94">
        <f t="shared" si="292"/>
        <v>0.14247687202795659</v>
      </c>
      <c r="BV113" s="147">
        <f t="shared" si="292"/>
        <v>0.15629699004005457</v>
      </c>
      <c r="BW113" s="94">
        <f t="shared" si="292"/>
        <v>0.17106852419363341</v>
      </c>
      <c r="BX113" s="94">
        <f t="shared" si="292"/>
        <v>0.19067091724650406</v>
      </c>
      <c r="BY113" s="94">
        <f t="shared" si="292"/>
        <v>0.21268794405079572</v>
      </c>
      <c r="BZ113" s="147">
        <f t="shared" si="292"/>
        <v>0.21997244604016197</v>
      </c>
      <c r="CA113" s="94">
        <f t="shared" si="292"/>
        <v>0.23730975257206019</v>
      </c>
      <c r="CB113" s="94">
        <f t="shared" si="292"/>
        <v>0.25398199445983377</v>
      </c>
      <c r="CC113" s="94">
        <f t="shared" si="292"/>
        <v>0.2682293957252177</v>
      </c>
      <c r="CD113" s="147">
        <f t="shared" si="292"/>
        <v>0.29585881693823241</v>
      </c>
      <c r="CE113" s="94">
        <f t="shared" si="292"/>
        <v>0.30500499073149867</v>
      </c>
      <c r="CF113" s="94">
        <f t="shared" si="292"/>
        <v>0.31445929526123939</v>
      </c>
      <c r="CG113" s="94">
        <f t="shared" si="292"/>
        <v>0.38064385503138287</v>
      </c>
      <c r="CH113" s="147">
        <f t="shared" si="292"/>
        <v>0.38777624309392267</v>
      </c>
      <c r="CI113" s="94">
        <f t="shared" si="292"/>
        <v>0.39011918941104784</v>
      </c>
      <c r="CJ113" s="94">
        <f t="shared" si="292"/>
        <v>0.39400229833406952</v>
      </c>
      <c r="CK113" s="94">
        <f t="shared" si="292"/>
        <v>0.39837699485121203</v>
      </c>
      <c r="CL113" s="147">
        <f t="shared" si="292"/>
        <v>0.3555299382925341</v>
      </c>
      <c r="CM113" s="94">
        <f t="shared" si="292"/>
        <v>0.35591689250225833</v>
      </c>
      <c r="CN113" s="94">
        <f t="shared" si="292"/>
        <v>0.35516749821810406</v>
      </c>
      <c r="CO113" s="94">
        <f t="shared" si="292"/>
        <v>0.35675596545161764</v>
      </c>
      <c r="CP113" s="147">
        <f t="shared" ref="CP113:DU113" si="293">CP90/CP11</f>
        <v>0.35765111227623397</v>
      </c>
      <c r="CQ113" s="94">
        <f t="shared" si="293"/>
        <v>0.35307604126862818</v>
      </c>
      <c r="CR113" s="94">
        <f t="shared" si="293"/>
        <v>0.34729044834307993</v>
      </c>
      <c r="CS113" s="94">
        <f t="shared" si="293"/>
        <v>0.34277079688245587</v>
      </c>
      <c r="CT113" s="147">
        <f t="shared" si="293"/>
        <v>0.34054798962386512</v>
      </c>
      <c r="CU113" s="94">
        <f t="shared" si="293"/>
        <v>0.33555720286632074</v>
      </c>
      <c r="CV113" s="94">
        <f t="shared" si="293"/>
        <v>0.3319906008727761</v>
      </c>
      <c r="CW113" s="101">
        <f t="shared" si="293"/>
        <v>0.32680237489397795</v>
      </c>
      <c r="CX113" s="94">
        <f t="shared" si="293"/>
        <v>0.3233121456794365</v>
      </c>
      <c r="CY113" s="94">
        <f t="shared" si="293"/>
        <v>0.31607344878600646</v>
      </c>
      <c r="CZ113" s="94">
        <f t="shared" si="293"/>
        <v>0.30807277866101396</v>
      </c>
      <c r="DA113" s="94">
        <f t="shared" si="293"/>
        <v>0.30074047640289053</v>
      </c>
      <c r="DB113" s="147">
        <f t="shared" si="293"/>
        <v>0.29503775620280476</v>
      </c>
      <c r="DC113" s="94">
        <f t="shared" si="293"/>
        <v>0.2873740582735772</v>
      </c>
      <c r="DD113" s="94">
        <f t="shared" si="293"/>
        <v>0.27998163452708907</v>
      </c>
      <c r="DE113" s="94">
        <f t="shared" si="293"/>
        <v>0.27430329014819649</v>
      </c>
      <c r="DF113" s="147">
        <f t="shared" si="293"/>
        <v>0.2705693209759788</v>
      </c>
      <c r="DG113" s="1045">
        <f t="shared" si="293"/>
        <v>0.26495644682684022</v>
      </c>
      <c r="DH113" s="1045">
        <f t="shared" si="293"/>
        <v>0.25950717889018238</v>
      </c>
      <c r="DI113" s="101">
        <f t="shared" si="293"/>
        <v>0.25387330849186113</v>
      </c>
      <c r="DJ113" s="147">
        <f t="shared" si="293"/>
        <v>0.24826009146947703</v>
      </c>
      <c r="DK113" s="1045">
        <f t="shared" si="293"/>
        <v>0.24353120243531201</v>
      </c>
      <c r="DL113" s="1045">
        <f t="shared" si="293"/>
        <v>0.23624161073825503</v>
      </c>
      <c r="DM113" s="101">
        <f t="shared" si="293"/>
        <v>0.23002725938351856</v>
      </c>
      <c r="DN113" s="1045">
        <f t="shared" si="293"/>
        <v>0.22255414488424197</v>
      </c>
      <c r="DO113" s="1045">
        <f t="shared" si="293"/>
        <v>0.20582655826558266</v>
      </c>
      <c r="DP113" s="1045">
        <f t="shared" si="293"/>
        <v>0.20066289186576439</v>
      </c>
      <c r="DQ113" s="101">
        <f t="shared" si="293"/>
        <v>0.19438596491228069</v>
      </c>
      <c r="DR113" s="1045">
        <f t="shared" si="293"/>
        <v>0.18948725293612145</v>
      </c>
      <c r="DS113" s="1045">
        <f t="shared" si="293"/>
        <v>0.18206956774850822</v>
      </c>
      <c r="DT113" s="1045">
        <f t="shared" si="293"/>
        <v>0.17407407407407408</v>
      </c>
      <c r="DU113" s="101">
        <f t="shared" si="293"/>
        <v>0.16769998487827006</v>
      </c>
      <c r="DV113" s="3360"/>
      <c r="DW113" s="3360"/>
      <c r="DX113" s="3360"/>
      <c r="DY113" s="3366"/>
    </row>
    <row r="114" spans="1:129" hidden="1" outlineLevel="1">
      <c r="A114" s="88"/>
      <c r="B114" s="87"/>
      <c r="C114" s="87"/>
      <c r="D114" s="87"/>
      <c r="E114" s="87"/>
      <c r="F114" s="87"/>
      <c r="G114" s="87"/>
      <c r="H114" s="87"/>
      <c r="I114" s="87"/>
      <c r="J114" s="87"/>
      <c r="K114" s="87"/>
      <c r="L114" s="87"/>
      <c r="M114" s="87"/>
      <c r="N114" s="87"/>
      <c r="O114" s="87"/>
      <c r="P114" s="87"/>
      <c r="Q114" s="1041"/>
      <c r="R114" s="87"/>
      <c r="S114" s="87"/>
      <c r="T114" s="1041"/>
      <c r="U114" s="87"/>
      <c r="V114" s="87"/>
      <c r="W114" s="87"/>
      <c r="X114" s="87"/>
      <c r="Y114" s="87"/>
      <c r="Z114" s="87"/>
      <c r="AA114" s="1041"/>
      <c r="AB114" s="1041"/>
      <c r="AC114" s="1041"/>
      <c r="AD114" s="1041"/>
      <c r="AE114" s="1041"/>
      <c r="AF114" s="1041"/>
      <c r="AG114" s="1041"/>
      <c r="AH114" s="1959"/>
      <c r="AI114" s="1989"/>
      <c r="AJ114" s="1989"/>
      <c r="AK114" s="1989"/>
      <c r="AL114" s="1989"/>
      <c r="AM114" s="1989"/>
      <c r="AN114" s="1989"/>
      <c r="AO114" s="1989"/>
      <c r="AP114" s="88"/>
      <c r="AQ114" s="87"/>
      <c r="AR114" s="87"/>
      <c r="AS114" s="87"/>
      <c r="AT114" s="88"/>
      <c r="AU114" s="87"/>
      <c r="AV114" s="87"/>
      <c r="AW114" s="87"/>
      <c r="AX114" s="88"/>
      <c r="AY114" s="87"/>
      <c r="AZ114" s="87"/>
      <c r="BA114" s="87"/>
      <c r="BB114" s="88"/>
      <c r="BC114" s="87"/>
      <c r="BD114" s="87"/>
      <c r="BE114" s="87"/>
      <c r="BF114" s="88"/>
      <c r="BG114" s="87"/>
      <c r="BH114" s="87"/>
      <c r="BI114" s="87"/>
      <c r="BJ114" s="88"/>
      <c r="BK114" s="87"/>
      <c r="BL114" s="87"/>
      <c r="BM114" s="87"/>
      <c r="BN114" s="88"/>
      <c r="BO114" s="87"/>
      <c r="BP114" s="87"/>
      <c r="BQ114" s="87"/>
      <c r="BR114" s="88"/>
      <c r="BS114" s="87"/>
      <c r="BT114" s="87"/>
      <c r="BU114" s="87"/>
      <c r="BV114" s="88"/>
      <c r="BW114" s="87"/>
      <c r="BX114" s="87"/>
      <c r="BY114" s="87"/>
      <c r="BZ114" s="88"/>
      <c r="CA114" s="87"/>
      <c r="CB114" s="87"/>
      <c r="CC114" s="87"/>
      <c r="CD114" s="88"/>
      <c r="CE114" s="87"/>
      <c r="CF114" s="87"/>
      <c r="CG114" s="87"/>
      <c r="CH114" s="88"/>
      <c r="CI114" s="87"/>
      <c r="CJ114" s="87"/>
      <c r="CK114" s="87"/>
      <c r="CL114" s="88"/>
      <c r="CM114" s="87"/>
      <c r="CN114" s="87"/>
      <c r="CO114" s="87"/>
      <c r="CP114" s="88"/>
      <c r="CQ114" s="87"/>
      <c r="CR114" s="87"/>
      <c r="CS114" s="87"/>
      <c r="CT114" s="88"/>
      <c r="CU114" s="87"/>
      <c r="CV114" s="87"/>
      <c r="CW114" s="144"/>
      <c r="CX114" s="87"/>
      <c r="CY114" s="87"/>
      <c r="CZ114" s="87"/>
      <c r="DA114" s="87"/>
      <c r="DB114" s="88"/>
      <c r="DC114" s="87"/>
      <c r="DD114" s="87"/>
      <c r="DE114" s="87"/>
      <c r="DF114" s="87"/>
      <c r="DG114" s="1041"/>
      <c r="DH114" s="1041"/>
      <c r="DI114" s="1041"/>
      <c r="DJ114" s="1041"/>
      <c r="DK114" s="1041"/>
      <c r="DL114" s="1041"/>
      <c r="DM114" s="1041"/>
      <c r="DN114" s="1041"/>
      <c r="DO114" s="1041"/>
      <c r="DP114" s="1041"/>
      <c r="DQ114" s="1041"/>
      <c r="DR114" s="1041"/>
      <c r="DS114" s="1041"/>
      <c r="DT114" s="1041"/>
      <c r="DU114" s="1041"/>
      <c r="DV114" s="1041"/>
      <c r="DW114" s="1041"/>
      <c r="DX114" s="1041"/>
      <c r="DY114" s="144"/>
    </row>
    <row r="115" spans="1:129" hidden="1" outlineLevel="1">
      <c r="A115" s="205" t="s">
        <v>468</v>
      </c>
      <c r="B115" s="175"/>
      <c r="C115" s="175"/>
      <c r="D115" s="175"/>
      <c r="E115" s="175"/>
      <c r="F115" s="175"/>
      <c r="G115" s="175"/>
      <c r="H115" s="175"/>
      <c r="I115" s="175"/>
      <c r="J115" s="175"/>
      <c r="K115" s="175"/>
      <c r="L115" s="175"/>
      <c r="M115" s="175">
        <f>FiOS!E14/1000</f>
        <v>169</v>
      </c>
      <c r="N115" s="175">
        <f>FiOS!F14/1000</f>
        <v>687</v>
      </c>
      <c r="O115" s="175">
        <f>FiOS!G14/1000</f>
        <v>1454</v>
      </c>
      <c r="P115" s="175">
        <f>FiOS!H14/1000</f>
        <v>2371</v>
      </c>
      <c r="Q115" s="1126">
        <f>FiOS!I14/1000</f>
        <v>3286</v>
      </c>
      <c r="R115" s="175">
        <f>FiOS!J14/1000</f>
        <v>4082</v>
      </c>
      <c r="S115" s="175">
        <f>FiOS!K14/1000</f>
        <v>4817</v>
      </c>
      <c r="T115" s="1126">
        <f>FiOS!L14/1000</f>
        <v>5424</v>
      </c>
      <c r="U115" s="175">
        <f>FiOS!M14/1000</f>
        <v>6072</v>
      </c>
      <c r="V115" s="175">
        <f>FiOS!N14/1000</f>
        <v>6616</v>
      </c>
      <c r="W115" s="175">
        <f>FiOS!O14/1000</f>
        <v>7034</v>
      </c>
      <c r="X115" s="175">
        <f>FiOS!P14/1000</f>
        <v>5653</v>
      </c>
      <c r="Y115" s="175">
        <f>FiOS!Q14/1000</f>
        <v>5850</v>
      </c>
      <c r="Z115" s="175">
        <f>FiOS!R14/1000</f>
        <v>6109</v>
      </c>
      <c r="AA115" s="1126">
        <f>FiOS!S14/1000</f>
        <v>6089</v>
      </c>
      <c r="AB115" s="1126">
        <f>FiOS!T14/1000</f>
        <v>6059</v>
      </c>
      <c r="AC115" s="1126">
        <f>FiOS!U14/1000</f>
        <v>6019</v>
      </c>
      <c r="AD115" s="1126">
        <f>FiOS!V14/1000</f>
        <v>5969</v>
      </c>
      <c r="AE115" s="1126">
        <f>FiOS!W14/1000</f>
        <v>5909</v>
      </c>
      <c r="AF115" s="1126">
        <f>FiOS!X14/1000</f>
        <v>5839</v>
      </c>
      <c r="AG115" s="1126">
        <f>FiOS!Y14/1000</f>
        <v>5759</v>
      </c>
      <c r="AH115" s="1964"/>
      <c r="AI115" s="2160"/>
      <c r="AJ115" s="2160"/>
      <c r="AK115" s="2160"/>
      <c r="AL115" s="2160"/>
      <c r="AM115" s="2160"/>
      <c r="AN115" s="2160"/>
      <c r="AO115" s="2160"/>
      <c r="AP115" s="205"/>
      <c r="AQ115" s="175"/>
      <c r="AR115" s="175"/>
      <c r="AS115" s="175"/>
      <c r="AT115" s="205"/>
      <c r="AU115" s="175"/>
      <c r="AV115" s="175"/>
      <c r="AW115" s="175"/>
      <c r="AX115" s="205"/>
      <c r="AY115" s="175"/>
      <c r="AZ115" s="175"/>
      <c r="BA115" s="175"/>
      <c r="BB115" s="205"/>
      <c r="BC115" s="175"/>
      <c r="BD115" s="175"/>
      <c r="BE115" s="175"/>
      <c r="BF115" s="205"/>
      <c r="BG115" s="175"/>
      <c r="BH115" s="175"/>
      <c r="BI115" s="175"/>
      <c r="BJ115" s="205"/>
      <c r="BK115" s="175"/>
      <c r="BL115" s="175"/>
      <c r="BM115" s="175"/>
      <c r="BN115" s="205"/>
      <c r="BO115" s="175"/>
      <c r="BP115" s="175"/>
      <c r="BQ115" s="175"/>
      <c r="BR115" s="205"/>
      <c r="BS115" s="175"/>
      <c r="BT115" s="175"/>
      <c r="BU115" s="175"/>
      <c r="BV115" s="205"/>
      <c r="BW115" s="175"/>
      <c r="BX115" s="175"/>
      <c r="BY115" s="175">
        <f>FiOS!BY14/1000</f>
        <v>169</v>
      </c>
      <c r="BZ115" s="205">
        <f>FiOS!BZ14/1000</f>
        <v>264</v>
      </c>
      <c r="CA115" s="175">
        <f>FiOS!CA14/1000</f>
        <v>375</v>
      </c>
      <c r="CB115" s="175">
        <f>FiOS!CB14/1000</f>
        <v>522</v>
      </c>
      <c r="CC115" s="175">
        <f>FiOS!CC14/1000</f>
        <v>687</v>
      </c>
      <c r="CD115" s="205">
        <f>FiOS!CD14/1000</f>
        <v>853</v>
      </c>
      <c r="CE115" s="175">
        <f>FiOS!CE14/1000</f>
        <v>1054</v>
      </c>
      <c r="CF115" s="175">
        <f>FiOS!CF14/1000</f>
        <v>1281</v>
      </c>
      <c r="CG115" s="175">
        <f>FiOS!CG14/1000</f>
        <v>1454</v>
      </c>
      <c r="CH115" s="205">
        <f>FiOS!CH14/1000</f>
        <v>1705</v>
      </c>
      <c r="CI115" s="175">
        <f>FiOS!CI14/1000</f>
        <v>1884</v>
      </c>
      <c r="CJ115" s="175">
        <f>FiOS!CJ14/1000</f>
        <v>2100</v>
      </c>
      <c r="CK115" s="175">
        <f>FiOS!CK14/1000</f>
        <v>2371</v>
      </c>
      <c r="CL115" s="205">
        <f>FiOS!CL14/1000</f>
        <v>2653</v>
      </c>
      <c r="CM115" s="175">
        <f>FiOS!CM14/1000</f>
        <v>2942</v>
      </c>
      <c r="CN115" s="175">
        <f>FiOS!CN14/1000</f>
        <v>3136</v>
      </c>
      <c r="CO115" s="175">
        <f>FiOS!CO14/1000</f>
        <v>3286</v>
      </c>
      <c r="CP115" s="205">
        <f>FiOS!CP14/1000</f>
        <v>3466</v>
      </c>
      <c r="CQ115" s="175">
        <f>FiOS!CQ14/1000</f>
        <v>3659</v>
      </c>
      <c r="CR115" s="175">
        <f>FiOS!CR14/1000</f>
        <v>3885</v>
      </c>
      <c r="CS115" s="175">
        <f>FiOS!CS14/1000</f>
        <v>4082</v>
      </c>
      <c r="CT115" s="205">
        <f>FiOS!CT14/1000</f>
        <v>4289</v>
      </c>
      <c r="CU115" s="175">
        <f>FiOS!CU14/1000</f>
        <v>4478</v>
      </c>
      <c r="CV115" s="175">
        <f>FiOS!CV14/1000</f>
        <v>4616</v>
      </c>
      <c r="CW115" s="681">
        <f>FiOS!CW14/1000</f>
        <v>4817</v>
      </c>
      <c r="CX115" s="175">
        <f>FiOS!CX14/1000</f>
        <v>5010</v>
      </c>
      <c r="CY115" s="175">
        <f>FiOS!CY14/1000</f>
        <v>5144</v>
      </c>
      <c r="CZ115" s="175">
        <f>FiOS!CZ14/1000</f>
        <v>5280</v>
      </c>
      <c r="DA115" s="175">
        <f>FiOS!DA14/1000</f>
        <v>5424</v>
      </c>
      <c r="DB115" s="205">
        <f>FiOS!DB14/1000</f>
        <v>5612</v>
      </c>
      <c r="DC115" s="175">
        <f>FiOS!DC14/1000</f>
        <v>5773</v>
      </c>
      <c r="DD115" s="175">
        <f>FiOS!DD14/1000</f>
        <v>5946</v>
      </c>
      <c r="DE115" s="175">
        <f>FiOS!DE14/1000</f>
        <v>6072</v>
      </c>
      <c r="DF115" s="175">
        <f>FiOS!DF14/1000</f>
        <v>6170</v>
      </c>
      <c r="DG115" s="1126">
        <f>FiOS!DG14/1000</f>
        <v>6309</v>
      </c>
      <c r="DH115" s="1126">
        <f>FiOS!DH14/1000</f>
        <v>6471</v>
      </c>
      <c r="DI115" s="1126">
        <f>FiOS!DI14/1000</f>
        <v>6616</v>
      </c>
      <c r="DJ115" s="1126">
        <f>FiOS!DJ14/1000</f>
        <v>6749</v>
      </c>
      <c r="DK115" s="1126">
        <f>FiOS!DK14/1000</f>
        <v>6821</v>
      </c>
      <c r="DL115" s="1126">
        <f>FiOS!DL14/1000</f>
        <v>6935</v>
      </c>
      <c r="DM115" s="1126">
        <f>FiOS!DM14/1000</f>
        <v>7034</v>
      </c>
      <c r="DN115" s="1126">
        <f>FiOS!DN14/1000</f>
        <v>7132</v>
      </c>
      <c r="DO115" s="1126">
        <f>FiOS!DO14/1000</f>
        <v>5495</v>
      </c>
      <c r="DP115" s="1126">
        <f>FiOS!DP14/1000</f>
        <v>5585</v>
      </c>
      <c r="DQ115" s="1126">
        <f>FiOS!DQ14/1000</f>
        <v>5653</v>
      </c>
      <c r="DR115" s="1126">
        <f>FiOS!DR14/1000</f>
        <v>5688</v>
      </c>
      <c r="DS115" s="1126">
        <f>FiOS!DS14/1000</f>
        <v>5737</v>
      </c>
      <c r="DT115" s="1126">
        <f>FiOS!DT14/1000</f>
        <v>5803</v>
      </c>
      <c r="DU115" s="1126">
        <f>FiOS!DU14/1000</f>
        <v>5850</v>
      </c>
      <c r="DV115" s="1126">
        <f>FiOS!DV14/1000</f>
        <v>5916</v>
      </c>
      <c r="DW115" s="1126">
        <f>FiOS!DW14/1000</f>
        <v>5978</v>
      </c>
      <c r="DX115" s="1126">
        <f>FiOS!DX14/1000</f>
        <v>6048</v>
      </c>
      <c r="DY115" s="681">
        <f>FiOS!DY14/1000</f>
        <v>6109</v>
      </c>
    </row>
    <row r="116" spans="1:129" hidden="1" outlineLevel="1">
      <c r="A116" s="780" t="s">
        <v>844</v>
      </c>
      <c r="B116" s="175"/>
      <c r="C116" s="175"/>
      <c r="D116" s="175"/>
      <c r="E116" s="175"/>
      <c r="F116" s="175"/>
      <c r="G116" s="175"/>
      <c r="H116" s="175"/>
      <c r="I116" s="175"/>
      <c r="J116" s="175"/>
      <c r="K116" s="175"/>
      <c r="L116" s="175"/>
      <c r="M116" s="175"/>
      <c r="N116" s="175">
        <f t="shared" ref="N116:AB116" si="294">N115-M115</f>
        <v>518</v>
      </c>
      <c r="O116" s="175">
        <f t="shared" si="294"/>
        <v>767</v>
      </c>
      <c r="P116" s="175">
        <f t="shared" si="294"/>
        <v>917</v>
      </c>
      <c r="Q116" s="1126">
        <f t="shared" si="294"/>
        <v>915</v>
      </c>
      <c r="R116" s="175">
        <f t="shared" si="294"/>
        <v>796</v>
      </c>
      <c r="S116" s="175">
        <f t="shared" si="294"/>
        <v>735</v>
      </c>
      <c r="T116" s="1126">
        <f t="shared" si="294"/>
        <v>607</v>
      </c>
      <c r="U116" s="175">
        <f t="shared" si="294"/>
        <v>648</v>
      </c>
      <c r="V116" s="175">
        <f t="shared" si="294"/>
        <v>544</v>
      </c>
      <c r="W116" s="175">
        <f t="shared" si="294"/>
        <v>418</v>
      </c>
      <c r="X116" s="175">
        <f t="shared" si="294"/>
        <v>-1381</v>
      </c>
      <c r="Y116" s="175">
        <f t="shared" si="294"/>
        <v>197</v>
      </c>
      <c r="Z116" s="175">
        <f t="shared" si="294"/>
        <v>259</v>
      </c>
      <c r="AA116" s="1126">
        <f t="shared" si="294"/>
        <v>-20</v>
      </c>
      <c r="AB116" s="1126">
        <f t="shared" si="294"/>
        <v>-30</v>
      </c>
      <c r="AC116" s="1126">
        <f t="shared" ref="AC116" si="295">AC115-AB115</f>
        <v>-40</v>
      </c>
      <c r="AD116" s="1126">
        <f t="shared" ref="AD116" si="296">AD115-AC115</f>
        <v>-50</v>
      </c>
      <c r="AE116" s="1126">
        <f t="shared" ref="AE116" si="297">AE115-AD115</f>
        <v>-60</v>
      </c>
      <c r="AF116" s="1126">
        <f t="shared" ref="AF116" si="298">AF115-AE115</f>
        <v>-70</v>
      </c>
      <c r="AG116" s="1126">
        <f t="shared" ref="AG116" si="299">AG115-AF115</f>
        <v>-80</v>
      </c>
      <c r="AH116" s="1964"/>
      <c r="AI116" s="2160"/>
      <c r="AJ116" s="2160"/>
      <c r="AK116" s="2160"/>
      <c r="AL116" s="2160"/>
      <c r="AM116" s="2160"/>
      <c r="AN116" s="2160"/>
      <c r="AO116" s="2160"/>
      <c r="AP116" s="205"/>
      <c r="AQ116" s="175"/>
      <c r="AR116" s="175"/>
      <c r="AS116" s="175"/>
      <c r="AT116" s="205"/>
      <c r="AU116" s="175"/>
      <c r="AV116" s="175"/>
      <c r="AW116" s="175"/>
      <c r="AX116" s="205"/>
      <c r="AY116" s="175"/>
      <c r="AZ116" s="175"/>
      <c r="BA116" s="175"/>
      <c r="BB116" s="205"/>
      <c r="BC116" s="175"/>
      <c r="BD116" s="175"/>
      <c r="BE116" s="175"/>
      <c r="BF116" s="205"/>
      <c r="BG116" s="175"/>
      <c r="BH116" s="175"/>
      <c r="BI116" s="175"/>
      <c r="BJ116" s="205"/>
      <c r="BK116" s="175"/>
      <c r="BL116" s="175"/>
      <c r="BM116" s="175"/>
      <c r="BN116" s="205"/>
      <c r="BO116" s="175"/>
      <c r="BP116" s="175"/>
      <c r="BQ116" s="175"/>
      <c r="BR116" s="205"/>
      <c r="BS116" s="175"/>
      <c r="BT116" s="175"/>
      <c r="BU116" s="175"/>
      <c r="BV116" s="205"/>
      <c r="BW116" s="175"/>
      <c r="BX116" s="175"/>
      <c r="BY116" s="175">
        <f t="shared" ref="BY116:DV116" si="300">BY115-BX115</f>
        <v>169</v>
      </c>
      <c r="BZ116" s="205">
        <f t="shared" si="300"/>
        <v>95</v>
      </c>
      <c r="CA116" s="175">
        <f t="shared" si="300"/>
        <v>111</v>
      </c>
      <c r="CB116" s="175">
        <f t="shared" si="300"/>
        <v>147</v>
      </c>
      <c r="CC116" s="175">
        <f t="shared" si="300"/>
        <v>165</v>
      </c>
      <c r="CD116" s="205">
        <f t="shared" si="300"/>
        <v>166</v>
      </c>
      <c r="CE116" s="175">
        <f t="shared" si="300"/>
        <v>201</v>
      </c>
      <c r="CF116" s="175">
        <f t="shared" si="300"/>
        <v>227</v>
      </c>
      <c r="CG116" s="175">
        <f t="shared" si="300"/>
        <v>173</v>
      </c>
      <c r="CH116" s="205">
        <f t="shared" si="300"/>
        <v>251</v>
      </c>
      <c r="CI116" s="175">
        <f t="shared" si="300"/>
        <v>179</v>
      </c>
      <c r="CJ116" s="175">
        <f t="shared" si="300"/>
        <v>216</v>
      </c>
      <c r="CK116" s="175">
        <f t="shared" si="300"/>
        <v>271</v>
      </c>
      <c r="CL116" s="205">
        <f t="shared" si="300"/>
        <v>282</v>
      </c>
      <c r="CM116" s="175">
        <f t="shared" si="300"/>
        <v>289</v>
      </c>
      <c r="CN116" s="175">
        <f t="shared" si="300"/>
        <v>194</v>
      </c>
      <c r="CO116" s="175">
        <f t="shared" si="300"/>
        <v>150</v>
      </c>
      <c r="CP116" s="205">
        <f t="shared" si="300"/>
        <v>180</v>
      </c>
      <c r="CQ116" s="175">
        <f t="shared" si="300"/>
        <v>193</v>
      </c>
      <c r="CR116" s="175">
        <f t="shared" si="300"/>
        <v>226</v>
      </c>
      <c r="CS116" s="175">
        <f t="shared" si="300"/>
        <v>197</v>
      </c>
      <c r="CT116" s="205">
        <f t="shared" si="300"/>
        <v>207</v>
      </c>
      <c r="CU116" s="175">
        <f t="shared" si="300"/>
        <v>189</v>
      </c>
      <c r="CV116" s="175">
        <f t="shared" si="300"/>
        <v>138</v>
      </c>
      <c r="CW116" s="681">
        <f t="shared" si="300"/>
        <v>201</v>
      </c>
      <c r="CX116" s="175">
        <f t="shared" si="300"/>
        <v>193</v>
      </c>
      <c r="CY116" s="175">
        <f t="shared" si="300"/>
        <v>134</v>
      </c>
      <c r="CZ116" s="175">
        <f t="shared" si="300"/>
        <v>136</v>
      </c>
      <c r="DA116" s="175">
        <f t="shared" si="300"/>
        <v>144</v>
      </c>
      <c r="DB116" s="205">
        <f t="shared" si="300"/>
        <v>188</v>
      </c>
      <c r="DC116" s="175">
        <f t="shared" si="300"/>
        <v>161</v>
      </c>
      <c r="DD116" s="175">
        <f t="shared" si="300"/>
        <v>173</v>
      </c>
      <c r="DE116" s="175">
        <f t="shared" si="300"/>
        <v>126</v>
      </c>
      <c r="DF116" s="175">
        <f t="shared" si="300"/>
        <v>98</v>
      </c>
      <c r="DG116" s="1126">
        <f t="shared" si="300"/>
        <v>139</v>
      </c>
      <c r="DH116" s="1126">
        <f t="shared" si="300"/>
        <v>162</v>
      </c>
      <c r="DI116" s="1126">
        <f t="shared" si="300"/>
        <v>145</v>
      </c>
      <c r="DJ116" s="1126">
        <f t="shared" si="300"/>
        <v>133</v>
      </c>
      <c r="DK116" s="1126">
        <f t="shared" si="300"/>
        <v>72</v>
      </c>
      <c r="DL116" s="1126">
        <f t="shared" si="300"/>
        <v>114</v>
      </c>
      <c r="DM116" s="1126">
        <f t="shared" si="300"/>
        <v>99</v>
      </c>
      <c r="DN116" s="1126">
        <f t="shared" si="300"/>
        <v>98</v>
      </c>
      <c r="DO116" s="1126">
        <f t="shared" si="300"/>
        <v>-1637</v>
      </c>
      <c r="DP116" s="1126">
        <f t="shared" si="300"/>
        <v>90</v>
      </c>
      <c r="DQ116" s="1126">
        <f t="shared" si="300"/>
        <v>68</v>
      </c>
      <c r="DR116" s="1126">
        <f t="shared" si="300"/>
        <v>35</v>
      </c>
      <c r="DS116" s="1126">
        <f t="shared" si="300"/>
        <v>49</v>
      </c>
      <c r="DT116" s="1126">
        <f t="shared" si="300"/>
        <v>66</v>
      </c>
      <c r="DU116" s="1126">
        <f t="shared" si="300"/>
        <v>47</v>
      </c>
      <c r="DV116" s="1126">
        <f t="shared" si="300"/>
        <v>66</v>
      </c>
      <c r="DW116" s="1126">
        <f t="shared" ref="DW116" si="301">DW115-DV115</f>
        <v>62</v>
      </c>
      <c r="DX116" s="1126">
        <f t="shared" ref="DX116" si="302">DX115-DW115</f>
        <v>70</v>
      </c>
      <c r="DY116" s="681">
        <f t="shared" ref="DY116" si="303">DY115-DX115</f>
        <v>61</v>
      </c>
    </row>
    <row r="117" spans="1:129" hidden="1" outlineLevel="1">
      <c r="A117" s="1260" t="s">
        <v>1453</v>
      </c>
      <c r="B117" s="417"/>
      <c r="C117" s="417"/>
      <c r="D117" s="417"/>
      <c r="E117" s="417"/>
      <c r="F117" s="417"/>
      <c r="G117" s="417"/>
      <c r="H117" s="417"/>
      <c r="I117" s="417"/>
      <c r="J117" s="417"/>
      <c r="K117" s="417"/>
      <c r="L117" s="417"/>
      <c r="M117" s="417"/>
      <c r="N117" s="417"/>
      <c r="O117" s="417"/>
      <c r="P117" s="417"/>
      <c r="Q117" s="1127"/>
      <c r="R117" s="417"/>
      <c r="S117" s="417"/>
      <c r="T117" s="1127"/>
      <c r="U117" s="417"/>
      <c r="V117" s="417"/>
      <c r="W117" s="417"/>
      <c r="X117" s="417"/>
      <c r="Y117" s="417"/>
      <c r="Z117" s="417"/>
      <c r="AA117" s="1127"/>
      <c r="AB117" s="1127"/>
      <c r="AC117" s="1127"/>
      <c r="AD117" s="1127"/>
      <c r="AE117" s="1127"/>
      <c r="AF117" s="1127"/>
      <c r="AG117" s="1127"/>
      <c r="AH117" s="1963"/>
      <c r="AI117"/>
      <c r="AJ117"/>
      <c r="AK117"/>
      <c r="AL117"/>
      <c r="AM117"/>
      <c r="AN117"/>
      <c r="AO117"/>
      <c r="AP117" s="734"/>
      <c r="AQ117" s="417"/>
      <c r="AR117" s="417"/>
      <c r="AS117" s="417"/>
      <c r="AT117" s="734"/>
      <c r="AU117" s="417"/>
      <c r="AV117" s="417"/>
      <c r="AW117" s="417"/>
      <c r="AX117" s="734"/>
      <c r="AY117" s="417"/>
      <c r="AZ117" s="417"/>
      <c r="BA117" s="417"/>
      <c r="BB117" s="734"/>
      <c r="BC117" s="417"/>
      <c r="BD117" s="417"/>
      <c r="BE117" s="417"/>
      <c r="BF117" s="734"/>
      <c r="BG117" s="417"/>
      <c r="BH117" s="417"/>
      <c r="BI117" s="417"/>
      <c r="BJ117" s="734"/>
      <c r="BK117" s="417"/>
      <c r="BL117" s="417"/>
      <c r="BM117" s="417"/>
      <c r="BN117" s="734"/>
      <c r="BO117" s="417"/>
      <c r="BP117" s="417"/>
      <c r="BQ117" s="417"/>
      <c r="BR117" s="734"/>
      <c r="BS117" s="417"/>
      <c r="BT117" s="417"/>
      <c r="BU117" s="417"/>
      <c r="BV117" s="734"/>
      <c r="BW117" s="417"/>
      <c r="BX117" s="417"/>
      <c r="BY117" s="417"/>
      <c r="BZ117" s="734"/>
      <c r="CA117" s="417"/>
      <c r="CB117" s="417"/>
      <c r="CC117" s="417"/>
      <c r="CD117" s="734">
        <f t="shared" ref="CD117:DV117" si="304">CD116/BZ116-1</f>
        <v>0.74736842105263168</v>
      </c>
      <c r="CE117" s="417">
        <f t="shared" si="304"/>
        <v>0.81081081081081074</v>
      </c>
      <c r="CF117" s="417">
        <f t="shared" si="304"/>
        <v>0.54421768707482987</v>
      </c>
      <c r="CG117" s="417">
        <f t="shared" si="304"/>
        <v>4.8484848484848575E-2</v>
      </c>
      <c r="CH117" s="734">
        <f t="shared" si="304"/>
        <v>0.51204819277108427</v>
      </c>
      <c r="CI117" s="417">
        <f t="shared" si="304"/>
        <v>-0.10945273631840791</v>
      </c>
      <c r="CJ117" s="417">
        <f t="shared" si="304"/>
        <v>-4.8458149779735726E-2</v>
      </c>
      <c r="CK117" s="417">
        <f t="shared" si="304"/>
        <v>0.56647398843930641</v>
      </c>
      <c r="CL117" s="734">
        <f t="shared" si="304"/>
        <v>0.12350597609561742</v>
      </c>
      <c r="CM117" s="417">
        <f t="shared" si="304"/>
        <v>0.61452513966480438</v>
      </c>
      <c r="CN117" s="417">
        <f t="shared" si="304"/>
        <v>-0.10185185185185186</v>
      </c>
      <c r="CO117" s="417">
        <f t="shared" si="304"/>
        <v>-0.44649446494464939</v>
      </c>
      <c r="CP117" s="734">
        <f t="shared" si="304"/>
        <v>-0.36170212765957444</v>
      </c>
      <c r="CQ117" s="417">
        <f t="shared" si="304"/>
        <v>-0.33217993079584773</v>
      </c>
      <c r="CR117" s="417">
        <f t="shared" si="304"/>
        <v>0.1649484536082475</v>
      </c>
      <c r="CS117" s="417">
        <f t="shared" si="304"/>
        <v>0.31333333333333324</v>
      </c>
      <c r="CT117" s="734">
        <f t="shared" si="304"/>
        <v>0.14999999999999991</v>
      </c>
      <c r="CU117" s="417">
        <f t="shared" si="304"/>
        <v>-2.0725388601036232E-2</v>
      </c>
      <c r="CV117" s="417">
        <f t="shared" si="304"/>
        <v>-0.38938053097345138</v>
      </c>
      <c r="CW117" s="735">
        <f t="shared" si="304"/>
        <v>2.0304568527918843E-2</v>
      </c>
      <c r="CX117" s="417">
        <f t="shared" si="304"/>
        <v>-6.7632850241545861E-2</v>
      </c>
      <c r="CY117" s="417">
        <f t="shared" si="304"/>
        <v>-0.29100529100529104</v>
      </c>
      <c r="CZ117" s="417">
        <f t="shared" si="304"/>
        <v>-1.4492753623188359E-2</v>
      </c>
      <c r="DA117" s="417">
        <f t="shared" si="304"/>
        <v>-0.28358208955223885</v>
      </c>
      <c r="DB117" s="734">
        <f t="shared" si="304"/>
        <v>-2.5906735751295318E-2</v>
      </c>
      <c r="DC117" s="417">
        <f t="shared" si="304"/>
        <v>0.20149253731343286</v>
      </c>
      <c r="DD117" s="417">
        <f t="shared" si="304"/>
        <v>0.27205882352941169</v>
      </c>
      <c r="DE117" s="417">
        <f t="shared" si="304"/>
        <v>-0.125</v>
      </c>
      <c r="DF117" s="417">
        <f t="shared" si="304"/>
        <v>-0.47872340425531912</v>
      </c>
      <c r="DG117" s="1127">
        <f t="shared" si="304"/>
        <v>-0.13664596273291929</v>
      </c>
      <c r="DH117" s="1127">
        <f t="shared" si="304"/>
        <v>-6.3583815028901758E-2</v>
      </c>
      <c r="DI117" s="1127">
        <f t="shared" si="304"/>
        <v>0.1507936507936507</v>
      </c>
      <c r="DJ117" s="1127">
        <f t="shared" si="304"/>
        <v>0.35714285714285721</v>
      </c>
      <c r="DK117" s="1127">
        <f t="shared" si="304"/>
        <v>-0.48201438848920863</v>
      </c>
      <c r="DL117" s="1127">
        <f t="shared" si="304"/>
        <v>-0.29629629629629628</v>
      </c>
      <c r="DM117" s="1127">
        <f t="shared" si="304"/>
        <v>-0.3172413793103448</v>
      </c>
      <c r="DN117" s="1127">
        <f t="shared" si="304"/>
        <v>-0.26315789473684215</v>
      </c>
      <c r="DO117" s="1127">
        <f t="shared" si="304"/>
        <v>-23.736111111111111</v>
      </c>
      <c r="DP117" s="1127">
        <f t="shared" si="304"/>
        <v>-0.21052631578947367</v>
      </c>
      <c r="DQ117" s="1127">
        <f t="shared" si="304"/>
        <v>-0.31313131313131315</v>
      </c>
      <c r="DR117" s="1127">
        <f t="shared" si="304"/>
        <v>-0.64285714285714279</v>
      </c>
      <c r="DS117" s="1127">
        <f t="shared" si="304"/>
        <v>-1.0299328039095907</v>
      </c>
      <c r="DT117" s="1127">
        <f t="shared" si="304"/>
        <v>-0.26666666666666672</v>
      </c>
      <c r="DU117" s="1127">
        <f t="shared" si="304"/>
        <v>-0.30882352941176472</v>
      </c>
      <c r="DV117" s="1127">
        <f t="shared" si="304"/>
        <v>0.88571428571428568</v>
      </c>
      <c r="DW117" s="1127">
        <f t="shared" ref="DW117" si="305">DW116/DS116-1</f>
        <v>0.26530612244897966</v>
      </c>
      <c r="DX117" s="1127">
        <f t="shared" ref="DX117" si="306">DX116/DT116-1</f>
        <v>6.0606060606060552E-2</v>
      </c>
      <c r="DY117" s="735">
        <f t="shared" ref="DY117" si="307">DY116/DU116-1</f>
        <v>0.2978723404255319</v>
      </c>
    </row>
    <row r="118" spans="1:129" hidden="1" outlineLevel="1">
      <c r="A118" s="205" t="s">
        <v>379</v>
      </c>
      <c r="B118" s="175"/>
      <c r="C118" s="175"/>
      <c r="D118" s="175"/>
      <c r="E118" s="175"/>
      <c r="F118" s="175"/>
      <c r="G118" s="175"/>
      <c r="H118" s="175"/>
      <c r="I118" s="175">
        <f t="shared" ref="I118:AG118" si="308">+I115+I90</f>
        <v>1100</v>
      </c>
      <c r="J118" s="175">
        <f t="shared" si="308"/>
        <v>1703</v>
      </c>
      <c r="K118" s="175">
        <f t="shared" si="308"/>
        <v>2319</v>
      </c>
      <c r="L118" s="175">
        <f t="shared" si="308"/>
        <v>3559</v>
      </c>
      <c r="M118" s="175">
        <f t="shared" si="308"/>
        <v>5144</v>
      </c>
      <c r="N118" s="175">
        <f t="shared" si="308"/>
        <v>6786</v>
      </c>
      <c r="O118" s="175">
        <f t="shared" si="308"/>
        <v>7094</v>
      </c>
      <c r="P118" s="175">
        <f t="shared" si="308"/>
        <v>7676</v>
      </c>
      <c r="Q118" s="1126">
        <f t="shared" si="308"/>
        <v>8160</v>
      </c>
      <c r="R118" s="175">
        <f t="shared" si="308"/>
        <v>8392</v>
      </c>
      <c r="S118" s="175">
        <f t="shared" si="308"/>
        <v>8670</v>
      </c>
      <c r="T118" s="1126">
        <f t="shared" si="308"/>
        <v>8795</v>
      </c>
      <c r="U118" s="175">
        <f t="shared" si="308"/>
        <v>9015</v>
      </c>
      <c r="V118" s="175">
        <f t="shared" si="308"/>
        <v>9205</v>
      </c>
      <c r="W118" s="175">
        <f t="shared" si="308"/>
        <v>9228</v>
      </c>
      <c r="X118" s="175">
        <f t="shared" si="308"/>
        <v>7038</v>
      </c>
      <c r="Y118" s="175">
        <f t="shared" si="308"/>
        <v>6959</v>
      </c>
      <c r="Z118" s="175">
        <f t="shared" si="308"/>
        <v>6979</v>
      </c>
      <c r="AA118" s="1126">
        <f t="shared" si="308"/>
        <v>6785</v>
      </c>
      <c r="AB118" s="1126">
        <f t="shared" si="308"/>
        <v>6615.8</v>
      </c>
      <c r="AC118" s="1126">
        <f t="shared" si="308"/>
        <v>6464.44</v>
      </c>
      <c r="AD118" s="1126">
        <f t="shared" si="308"/>
        <v>6325.3519999999999</v>
      </c>
      <c r="AE118" s="1126">
        <f t="shared" si="308"/>
        <v>6194.0815999999995</v>
      </c>
      <c r="AF118" s="1126">
        <f t="shared" si="308"/>
        <v>6067.0652799999998</v>
      </c>
      <c r="AG118" s="1126">
        <f t="shared" si="308"/>
        <v>5941.4522239999997</v>
      </c>
      <c r="AH118" s="1964"/>
      <c r="AI118" s="2160"/>
      <c r="AJ118" s="2160"/>
      <c r="AK118" s="2160"/>
      <c r="AL118" s="2160"/>
      <c r="AM118" s="2160"/>
      <c r="AN118" s="2160"/>
      <c r="AO118" s="2160"/>
      <c r="AP118" s="205">
        <f t="shared" ref="AP118:BU118" si="309">+AP115+AP90</f>
        <v>0</v>
      </c>
      <c r="AQ118" s="175">
        <f t="shared" si="309"/>
        <v>0</v>
      </c>
      <c r="AR118" s="175">
        <f t="shared" si="309"/>
        <v>0</v>
      </c>
      <c r="AS118" s="175">
        <f t="shared" si="309"/>
        <v>0</v>
      </c>
      <c r="AT118" s="205">
        <f t="shared" si="309"/>
        <v>0</v>
      </c>
      <c r="AU118" s="175">
        <f t="shared" si="309"/>
        <v>0</v>
      </c>
      <c r="AV118" s="175">
        <f t="shared" si="309"/>
        <v>0</v>
      </c>
      <c r="AW118" s="175">
        <f t="shared" si="309"/>
        <v>0</v>
      </c>
      <c r="AX118" s="205">
        <f t="shared" si="309"/>
        <v>0</v>
      </c>
      <c r="AY118" s="175">
        <f t="shared" si="309"/>
        <v>0</v>
      </c>
      <c r="AZ118" s="175">
        <f t="shared" si="309"/>
        <v>0</v>
      </c>
      <c r="BA118" s="175">
        <f t="shared" si="309"/>
        <v>87</v>
      </c>
      <c r="BB118" s="205">
        <f t="shared" si="309"/>
        <v>150</v>
      </c>
      <c r="BC118" s="175">
        <f t="shared" si="309"/>
        <v>221</v>
      </c>
      <c r="BD118" s="175">
        <f t="shared" si="309"/>
        <v>351</v>
      </c>
      <c r="BE118" s="175">
        <f t="shared" si="309"/>
        <v>540</v>
      </c>
      <c r="BF118" s="205">
        <f t="shared" si="309"/>
        <v>720</v>
      </c>
      <c r="BG118" s="175">
        <f t="shared" si="309"/>
        <v>840</v>
      </c>
      <c r="BH118" s="175">
        <f t="shared" si="309"/>
        <v>975</v>
      </c>
      <c r="BI118" s="175">
        <f t="shared" si="309"/>
        <v>1100</v>
      </c>
      <c r="BJ118" s="205">
        <f t="shared" si="309"/>
        <v>1250</v>
      </c>
      <c r="BK118" s="175">
        <f t="shared" si="309"/>
        <v>1400</v>
      </c>
      <c r="BL118" s="175">
        <f t="shared" si="309"/>
        <v>1555</v>
      </c>
      <c r="BM118" s="175">
        <f t="shared" si="309"/>
        <v>1703</v>
      </c>
      <c r="BN118" s="205">
        <f t="shared" si="309"/>
        <v>1830</v>
      </c>
      <c r="BO118" s="175">
        <f t="shared" si="309"/>
        <v>1931</v>
      </c>
      <c r="BP118" s="175">
        <f t="shared" si="309"/>
        <v>2116</v>
      </c>
      <c r="BQ118" s="175">
        <f t="shared" si="309"/>
        <v>2319</v>
      </c>
      <c r="BR118" s="205">
        <f t="shared" si="309"/>
        <v>2664</v>
      </c>
      <c r="BS118" s="175">
        <f t="shared" si="309"/>
        <v>2944</v>
      </c>
      <c r="BT118" s="175">
        <f t="shared" si="309"/>
        <v>3253</v>
      </c>
      <c r="BU118" s="175">
        <f t="shared" si="309"/>
        <v>3559</v>
      </c>
      <c r="BV118" s="205">
        <f t="shared" ref="BV118:DA118" si="310">+BV115+BV90</f>
        <v>3864</v>
      </c>
      <c r="BW118" s="175">
        <f t="shared" si="310"/>
        <v>4142</v>
      </c>
      <c r="BX118" s="175">
        <f t="shared" si="310"/>
        <v>4531</v>
      </c>
      <c r="BY118" s="175">
        <f t="shared" si="310"/>
        <v>5144</v>
      </c>
      <c r="BZ118" s="205">
        <f t="shared" si="310"/>
        <v>5533</v>
      </c>
      <c r="CA118" s="175">
        <f t="shared" si="310"/>
        <v>5957</v>
      </c>
      <c r="CB118" s="175">
        <f t="shared" si="310"/>
        <v>6390</v>
      </c>
      <c r="CC118" s="175">
        <f t="shared" si="310"/>
        <v>6786</v>
      </c>
      <c r="CD118" s="205">
        <f t="shared" si="310"/>
        <v>7190</v>
      </c>
      <c r="CE118" s="175">
        <f t="shared" si="310"/>
        <v>7471</v>
      </c>
      <c r="CF118" s="175">
        <f t="shared" si="310"/>
        <v>7751</v>
      </c>
      <c r="CG118" s="175">
        <f t="shared" si="310"/>
        <v>7094</v>
      </c>
      <c r="CH118" s="205">
        <f t="shared" si="310"/>
        <v>7320</v>
      </c>
      <c r="CI118" s="175">
        <f t="shared" si="310"/>
        <v>7367</v>
      </c>
      <c r="CJ118" s="175">
        <f t="shared" si="310"/>
        <v>7473.0186915887853</v>
      </c>
      <c r="CK118" s="175">
        <f t="shared" si="310"/>
        <v>7676</v>
      </c>
      <c r="CL118" s="205">
        <f t="shared" si="310"/>
        <v>7896</v>
      </c>
      <c r="CM118" s="175">
        <f t="shared" si="310"/>
        <v>8064</v>
      </c>
      <c r="CN118" s="175">
        <f t="shared" si="310"/>
        <v>8119</v>
      </c>
      <c r="CO118" s="175">
        <f t="shared" si="310"/>
        <v>8160</v>
      </c>
      <c r="CP118" s="205">
        <f t="shared" si="310"/>
        <v>8241</v>
      </c>
      <c r="CQ118" s="175">
        <f t="shared" si="310"/>
        <v>8279</v>
      </c>
      <c r="CR118" s="175">
        <f t="shared" si="310"/>
        <v>8339</v>
      </c>
      <c r="CS118" s="175">
        <f t="shared" si="310"/>
        <v>8392</v>
      </c>
      <c r="CT118" s="205">
        <f t="shared" si="310"/>
        <v>8490</v>
      </c>
      <c r="CU118" s="175">
        <f t="shared" si="310"/>
        <v>8552</v>
      </c>
      <c r="CV118" s="175">
        <f t="shared" si="310"/>
        <v>8572</v>
      </c>
      <c r="CW118" s="681">
        <f t="shared" si="310"/>
        <v>8670</v>
      </c>
      <c r="CX118" s="175">
        <f t="shared" si="310"/>
        <v>8774</v>
      </c>
      <c r="CY118" s="175">
        <f t="shared" si="310"/>
        <v>8776</v>
      </c>
      <c r="CZ118" s="175">
        <f t="shared" si="310"/>
        <v>8768</v>
      </c>
      <c r="DA118" s="175">
        <f t="shared" si="310"/>
        <v>8795</v>
      </c>
      <c r="DB118" s="205">
        <f t="shared" ref="DB118:DY118" si="311">+DB115+DB90</f>
        <v>8894</v>
      </c>
      <c r="DC118" s="175">
        <f t="shared" si="311"/>
        <v>8939</v>
      </c>
      <c r="DD118" s="175">
        <f t="shared" si="311"/>
        <v>8995</v>
      </c>
      <c r="DE118" s="175">
        <f t="shared" si="311"/>
        <v>9015</v>
      </c>
      <c r="DF118" s="175">
        <f t="shared" si="311"/>
        <v>9031</v>
      </c>
      <c r="DG118" s="1126">
        <f t="shared" si="311"/>
        <v>9077</v>
      </c>
      <c r="DH118" s="1126">
        <f t="shared" si="311"/>
        <v>9146</v>
      </c>
      <c r="DI118" s="1126">
        <f t="shared" si="311"/>
        <v>9205</v>
      </c>
      <c r="DJ118" s="1126">
        <f t="shared" si="311"/>
        <v>9246</v>
      </c>
      <c r="DK118" s="1126">
        <f t="shared" si="311"/>
        <v>9221</v>
      </c>
      <c r="DL118" s="1126">
        <f t="shared" si="311"/>
        <v>9223</v>
      </c>
      <c r="DM118" s="1126">
        <f t="shared" si="311"/>
        <v>9228</v>
      </c>
      <c r="DN118" s="1126">
        <f t="shared" si="311"/>
        <v>9218</v>
      </c>
      <c r="DO118" s="1126">
        <f t="shared" si="311"/>
        <v>7014</v>
      </c>
      <c r="DP118" s="1126">
        <f t="shared" si="311"/>
        <v>7038</v>
      </c>
      <c r="DQ118" s="1126">
        <f t="shared" si="311"/>
        <v>7038</v>
      </c>
      <c r="DR118" s="1126">
        <f t="shared" si="311"/>
        <v>7011</v>
      </c>
      <c r="DS118" s="1126">
        <f t="shared" si="311"/>
        <v>6988</v>
      </c>
      <c r="DT118" s="1126">
        <f t="shared" si="311"/>
        <v>6978</v>
      </c>
      <c r="DU118" s="1126">
        <f t="shared" si="311"/>
        <v>6959</v>
      </c>
      <c r="DV118" s="1126">
        <f t="shared" si="311"/>
        <v>6966</v>
      </c>
      <c r="DW118" s="1126">
        <f t="shared" si="311"/>
        <v>6968</v>
      </c>
      <c r="DX118" s="1126">
        <f t="shared" si="311"/>
        <v>6978</v>
      </c>
      <c r="DY118" s="681">
        <f t="shared" si="311"/>
        <v>6979</v>
      </c>
    </row>
    <row r="119" spans="1:129" hidden="1" outlineLevel="1">
      <c r="A119" s="780" t="s">
        <v>844</v>
      </c>
      <c r="B119" s="175"/>
      <c r="C119" s="175"/>
      <c r="D119" s="175"/>
      <c r="E119" s="175"/>
      <c r="F119" s="175"/>
      <c r="G119" s="175"/>
      <c r="H119" s="175"/>
      <c r="I119" s="175"/>
      <c r="J119" s="175"/>
      <c r="K119" s="175"/>
      <c r="L119" s="175"/>
      <c r="M119" s="175"/>
      <c r="N119" s="175"/>
      <c r="O119" s="175"/>
      <c r="P119" s="175">
        <f t="shared" ref="P119:AB119" si="312">P118-O118</f>
        <v>582</v>
      </c>
      <c r="Q119" s="1126">
        <f t="shared" si="312"/>
        <v>484</v>
      </c>
      <c r="R119" s="175">
        <f t="shared" si="312"/>
        <v>232</v>
      </c>
      <c r="S119" s="175">
        <f t="shared" si="312"/>
        <v>278</v>
      </c>
      <c r="T119" s="1126">
        <f t="shared" si="312"/>
        <v>125</v>
      </c>
      <c r="U119" s="175">
        <f t="shared" si="312"/>
        <v>220</v>
      </c>
      <c r="V119" s="175">
        <f t="shared" si="312"/>
        <v>190</v>
      </c>
      <c r="W119" s="175">
        <f t="shared" si="312"/>
        <v>23</v>
      </c>
      <c r="X119" s="175">
        <f t="shared" si="312"/>
        <v>-2190</v>
      </c>
      <c r="Y119" s="175">
        <f t="shared" si="312"/>
        <v>-79</v>
      </c>
      <c r="Z119" s="175">
        <f t="shared" si="312"/>
        <v>20</v>
      </c>
      <c r="AA119" s="1126">
        <f t="shared" si="312"/>
        <v>-194</v>
      </c>
      <c r="AB119" s="1126">
        <f t="shared" si="312"/>
        <v>-169.19999999999982</v>
      </c>
      <c r="AC119" s="1126">
        <f t="shared" ref="AC119" si="313">AC118-AB118</f>
        <v>-151.36000000000058</v>
      </c>
      <c r="AD119" s="1126">
        <f t="shared" ref="AD119" si="314">AD118-AC118</f>
        <v>-139.08799999999974</v>
      </c>
      <c r="AE119" s="1126">
        <f t="shared" ref="AE119" si="315">AE118-AD118</f>
        <v>-131.27040000000034</v>
      </c>
      <c r="AF119" s="1126">
        <f t="shared" ref="AF119" si="316">AF118-AE118</f>
        <v>-127.01631999999972</v>
      </c>
      <c r="AG119" s="1126">
        <f t="shared" ref="AG119" si="317">AG118-AF118</f>
        <v>-125.61305600000014</v>
      </c>
      <c r="AH119" s="1964"/>
      <c r="AI119" s="2160"/>
      <c r="AJ119" s="2160"/>
      <c r="AK119" s="2160"/>
      <c r="AL119" s="2160"/>
      <c r="AM119" s="2160"/>
      <c r="AN119" s="2160"/>
      <c r="AO119" s="2160"/>
      <c r="AP119" s="205">
        <f t="shared" ref="AP119:BU119" si="318">AP118-AO118</f>
        <v>0</v>
      </c>
      <c r="AQ119" s="175">
        <f t="shared" si="318"/>
        <v>0</v>
      </c>
      <c r="AR119" s="175">
        <f t="shared" si="318"/>
        <v>0</v>
      </c>
      <c r="AS119" s="175">
        <f t="shared" si="318"/>
        <v>0</v>
      </c>
      <c r="AT119" s="205">
        <f t="shared" si="318"/>
        <v>0</v>
      </c>
      <c r="AU119" s="175">
        <f t="shared" si="318"/>
        <v>0</v>
      </c>
      <c r="AV119" s="175">
        <f t="shared" si="318"/>
        <v>0</v>
      </c>
      <c r="AW119" s="175">
        <f t="shared" si="318"/>
        <v>0</v>
      </c>
      <c r="AX119" s="205">
        <f t="shared" si="318"/>
        <v>0</v>
      </c>
      <c r="AY119" s="175">
        <f t="shared" si="318"/>
        <v>0</v>
      </c>
      <c r="AZ119" s="175">
        <f t="shared" si="318"/>
        <v>0</v>
      </c>
      <c r="BA119" s="175">
        <f t="shared" si="318"/>
        <v>87</v>
      </c>
      <c r="BB119" s="205">
        <f t="shared" si="318"/>
        <v>63</v>
      </c>
      <c r="BC119" s="175">
        <f t="shared" si="318"/>
        <v>71</v>
      </c>
      <c r="BD119" s="175">
        <f t="shared" si="318"/>
        <v>130</v>
      </c>
      <c r="BE119" s="175">
        <f t="shared" si="318"/>
        <v>189</v>
      </c>
      <c r="BF119" s="205">
        <f t="shared" si="318"/>
        <v>180</v>
      </c>
      <c r="BG119" s="175">
        <f t="shared" si="318"/>
        <v>120</v>
      </c>
      <c r="BH119" s="175">
        <f t="shared" si="318"/>
        <v>135</v>
      </c>
      <c r="BI119" s="175">
        <f t="shared" si="318"/>
        <v>125</v>
      </c>
      <c r="BJ119" s="205">
        <f t="shared" si="318"/>
        <v>150</v>
      </c>
      <c r="BK119" s="175">
        <f t="shared" si="318"/>
        <v>150</v>
      </c>
      <c r="BL119" s="175">
        <f t="shared" si="318"/>
        <v>155</v>
      </c>
      <c r="BM119" s="175">
        <f t="shared" si="318"/>
        <v>148</v>
      </c>
      <c r="BN119" s="205">
        <f t="shared" si="318"/>
        <v>127</v>
      </c>
      <c r="BO119" s="175">
        <f t="shared" si="318"/>
        <v>101</v>
      </c>
      <c r="BP119" s="175">
        <f t="shared" si="318"/>
        <v>185</v>
      </c>
      <c r="BQ119" s="175">
        <f t="shared" si="318"/>
        <v>203</v>
      </c>
      <c r="BR119" s="205">
        <f t="shared" si="318"/>
        <v>345</v>
      </c>
      <c r="BS119" s="175">
        <f t="shared" si="318"/>
        <v>280</v>
      </c>
      <c r="BT119" s="175">
        <f t="shared" si="318"/>
        <v>309</v>
      </c>
      <c r="BU119" s="175">
        <f t="shared" si="318"/>
        <v>306</v>
      </c>
      <c r="BV119" s="205">
        <f t="shared" ref="BV119:DA119" si="319">BV118-BU118</f>
        <v>305</v>
      </c>
      <c r="BW119" s="175">
        <f t="shared" si="319"/>
        <v>278</v>
      </c>
      <c r="BX119" s="175">
        <f t="shared" si="319"/>
        <v>389</v>
      </c>
      <c r="BY119" s="175">
        <f t="shared" si="319"/>
        <v>613</v>
      </c>
      <c r="BZ119" s="205">
        <f t="shared" si="319"/>
        <v>389</v>
      </c>
      <c r="CA119" s="175">
        <f t="shared" si="319"/>
        <v>424</v>
      </c>
      <c r="CB119" s="175">
        <f t="shared" si="319"/>
        <v>433</v>
      </c>
      <c r="CC119" s="175">
        <f t="shared" si="319"/>
        <v>396</v>
      </c>
      <c r="CD119" s="205">
        <f t="shared" si="319"/>
        <v>404</v>
      </c>
      <c r="CE119" s="175">
        <f t="shared" si="319"/>
        <v>281</v>
      </c>
      <c r="CF119" s="175">
        <f t="shared" si="319"/>
        <v>280</v>
      </c>
      <c r="CG119" s="175">
        <f t="shared" si="319"/>
        <v>-657</v>
      </c>
      <c r="CH119" s="205">
        <f t="shared" si="319"/>
        <v>226</v>
      </c>
      <c r="CI119" s="175">
        <f t="shared" si="319"/>
        <v>47</v>
      </c>
      <c r="CJ119" s="175">
        <f t="shared" si="319"/>
        <v>106.01869158878526</v>
      </c>
      <c r="CK119" s="175">
        <f t="shared" si="319"/>
        <v>202.98130841121474</v>
      </c>
      <c r="CL119" s="205">
        <f t="shared" si="319"/>
        <v>220</v>
      </c>
      <c r="CM119" s="175">
        <f t="shared" si="319"/>
        <v>168</v>
      </c>
      <c r="CN119" s="175">
        <f t="shared" si="319"/>
        <v>55</v>
      </c>
      <c r="CO119" s="175">
        <f t="shared" si="319"/>
        <v>41</v>
      </c>
      <c r="CP119" s="205">
        <f t="shared" si="319"/>
        <v>81</v>
      </c>
      <c r="CQ119" s="175">
        <f t="shared" si="319"/>
        <v>38</v>
      </c>
      <c r="CR119" s="175">
        <f t="shared" si="319"/>
        <v>60</v>
      </c>
      <c r="CS119" s="175">
        <f t="shared" si="319"/>
        <v>53</v>
      </c>
      <c r="CT119" s="205">
        <f t="shared" si="319"/>
        <v>98</v>
      </c>
      <c r="CU119" s="175">
        <f t="shared" si="319"/>
        <v>62</v>
      </c>
      <c r="CV119" s="175">
        <f t="shared" si="319"/>
        <v>20</v>
      </c>
      <c r="CW119" s="681">
        <f t="shared" si="319"/>
        <v>98</v>
      </c>
      <c r="CX119" s="175">
        <f t="shared" si="319"/>
        <v>104</v>
      </c>
      <c r="CY119" s="175">
        <f t="shared" si="319"/>
        <v>2</v>
      </c>
      <c r="CZ119" s="175">
        <f t="shared" si="319"/>
        <v>-8</v>
      </c>
      <c r="DA119" s="175">
        <f t="shared" si="319"/>
        <v>27</v>
      </c>
      <c r="DB119" s="205">
        <f>DB118-DA118</f>
        <v>99</v>
      </c>
      <c r="DC119" s="175">
        <f>DC118-DB118</f>
        <v>45</v>
      </c>
      <c r="DD119" s="175">
        <f>DD118-DC118</f>
        <v>56</v>
      </c>
      <c r="DE119" s="175">
        <f t="shared" ref="DE119:DV119" si="320">DE118-DD118</f>
        <v>20</v>
      </c>
      <c r="DF119" s="175">
        <f t="shared" si="320"/>
        <v>16</v>
      </c>
      <c r="DG119" s="1126">
        <f t="shared" si="320"/>
        <v>46</v>
      </c>
      <c r="DH119" s="1126">
        <f t="shared" si="320"/>
        <v>69</v>
      </c>
      <c r="DI119" s="1126">
        <f t="shared" si="320"/>
        <v>59</v>
      </c>
      <c r="DJ119" s="1126">
        <f t="shared" si="320"/>
        <v>41</v>
      </c>
      <c r="DK119" s="1126">
        <f t="shared" si="320"/>
        <v>-25</v>
      </c>
      <c r="DL119" s="1126">
        <f t="shared" si="320"/>
        <v>2</v>
      </c>
      <c r="DM119" s="1126">
        <f t="shared" si="320"/>
        <v>5</v>
      </c>
      <c r="DN119" s="1126">
        <f t="shared" si="320"/>
        <v>-10</v>
      </c>
      <c r="DO119" s="1126">
        <f t="shared" si="320"/>
        <v>-2204</v>
      </c>
      <c r="DP119" s="1126">
        <f t="shared" si="320"/>
        <v>24</v>
      </c>
      <c r="DQ119" s="1126">
        <f t="shared" si="320"/>
        <v>0</v>
      </c>
      <c r="DR119" s="1126">
        <f t="shared" si="320"/>
        <v>-27</v>
      </c>
      <c r="DS119" s="1126">
        <f t="shared" si="320"/>
        <v>-23</v>
      </c>
      <c r="DT119" s="1126">
        <f t="shared" si="320"/>
        <v>-10</v>
      </c>
      <c r="DU119" s="1126">
        <f t="shared" si="320"/>
        <v>-19</v>
      </c>
      <c r="DV119" s="1126">
        <f t="shared" si="320"/>
        <v>7</v>
      </c>
      <c r="DW119" s="1126">
        <f t="shared" ref="DW119" si="321">DW118-DV118</f>
        <v>2</v>
      </c>
      <c r="DX119" s="1126">
        <f t="shared" ref="DX119" si="322">DX118-DW118</f>
        <v>10</v>
      </c>
      <c r="DY119" s="681">
        <f t="shared" ref="DY119" si="323">DY118-DX118</f>
        <v>1</v>
      </c>
    </row>
    <row r="120" spans="1:129" hidden="1" outlineLevel="1">
      <c r="A120" s="1260" t="s">
        <v>1453</v>
      </c>
      <c r="B120" s="417"/>
      <c r="C120" s="417"/>
      <c r="D120" s="417"/>
      <c r="E120" s="417"/>
      <c r="F120" s="417"/>
      <c r="G120" s="417"/>
      <c r="H120" s="417"/>
      <c r="I120" s="417"/>
      <c r="J120" s="417"/>
      <c r="K120" s="417"/>
      <c r="L120" s="417"/>
      <c r="M120" s="417"/>
      <c r="N120" s="417"/>
      <c r="O120" s="417"/>
      <c r="P120" s="417"/>
      <c r="Q120" s="1127"/>
      <c r="R120" s="417"/>
      <c r="S120" s="417"/>
      <c r="T120" s="1127"/>
      <c r="U120" s="417"/>
      <c r="V120" s="417"/>
      <c r="W120" s="417"/>
      <c r="X120" s="417"/>
      <c r="Y120" s="417"/>
      <c r="Z120" s="417"/>
      <c r="AA120" s="1127"/>
      <c r="AB120" s="1127"/>
      <c r="AC120" s="1127"/>
      <c r="AD120" s="1127"/>
      <c r="AE120" s="1127"/>
      <c r="AF120" s="1127"/>
      <c r="AG120" s="1127"/>
      <c r="AH120" s="1963"/>
      <c r="AI120"/>
      <c r="AJ120"/>
      <c r="AK120"/>
      <c r="AL120"/>
      <c r="AM120"/>
      <c r="AN120"/>
      <c r="AO120"/>
      <c r="AP120" s="734"/>
      <c r="AQ120" s="417"/>
      <c r="AR120" s="417"/>
      <c r="AS120" s="417"/>
      <c r="AT120" s="734"/>
      <c r="AU120" s="417"/>
      <c r="AV120" s="417"/>
      <c r="AW120" s="417"/>
      <c r="AX120" s="734"/>
      <c r="AY120" s="417"/>
      <c r="AZ120" s="417"/>
      <c r="BA120" s="417"/>
      <c r="BB120" s="734"/>
      <c r="BC120" s="417"/>
      <c r="BD120" s="417"/>
      <c r="BE120" s="417"/>
      <c r="BF120" s="734"/>
      <c r="BG120" s="417"/>
      <c r="BH120" s="417"/>
      <c r="BI120" s="417"/>
      <c r="BJ120" s="734"/>
      <c r="BK120" s="417"/>
      <c r="BL120" s="417"/>
      <c r="BM120" s="417"/>
      <c r="BN120" s="734"/>
      <c r="BO120" s="417"/>
      <c r="BP120" s="417"/>
      <c r="BQ120" s="417"/>
      <c r="BR120" s="734"/>
      <c r="BS120" s="417"/>
      <c r="BT120" s="417"/>
      <c r="BU120" s="417"/>
      <c r="BV120" s="734"/>
      <c r="BW120" s="417"/>
      <c r="BX120" s="417"/>
      <c r="BY120" s="417"/>
      <c r="BZ120" s="734"/>
      <c r="CA120" s="417"/>
      <c r="CB120" s="417"/>
      <c r="CC120" s="417"/>
      <c r="CD120" s="734">
        <f t="shared" ref="CD120:DV120" si="324">CD119/BZ119-1</f>
        <v>3.8560411311054033E-2</v>
      </c>
      <c r="CE120" s="417">
        <f t="shared" si="324"/>
        <v>-0.33726415094339623</v>
      </c>
      <c r="CF120" s="417">
        <f t="shared" si="324"/>
        <v>-0.35334872979214782</v>
      </c>
      <c r="CG120" s="417">
        <f t="shared" si="324"/>
        <v>-2.6590909090909092</v>
      </c>
      <c r="CH120" s="734">
        <f t="shared" si="324"/>
        <v>-0.44059405940594054</v>
      </c>
      <c r="CI120" s="417">
        <f t="shared" si="324"/>
        <v>-0.83274021352313166</v>
      </c>
      <c r="CJ120" s="417">
        <f t="shared" si="324"/>
        <v>-0.62136181575433835</v>
      </c>
      <c r="CK120" s="417">
        <f t="shared" si="324"/>
        <v>-1.3089517631829752</v>
      </c>
      <c r="CL120" s="734">
        <f t="shared" si="324"/>
        <v>-2.6548672566371723E-2</v>
      </c>
      <c r="CM120" s="417">
        <f t="shared" si="324"/>
        <v>2.5744680851063828</v>
      </c>
      <c r="CN120" s="417">
        <f t="shared" si="324"/>
        <v>-0.48122355430183461</v>
      </c>
      <c r="CO120" s="417">
        <f t="shared" si="324"/>
        <v>-0.7980109581472441</v>
      </c>
      <c r="CP120" s="734">
        <f t="shared" si="324"/>
        <v>-0.63181818181818183</v>
      </c>
      <c r="CQ120" s="417">
        <f t="shared" si="324"/>
        <v>-0.77380952380952384</v>
      </c>
      <c r="CR120" s="417">
        <f t="shared" si="324"/>
        <v>9.0909090909090828E-2</v>
      </c>
      <c r="CS120" s="417">
        <f t="shared" si="324"/>
        <v>0.29268292682926833</v>
      </c>
      <c r="CT120" s="734">
        <f t="shared" si="324"/>
        <v>0.20987654320987659</v>
      </c>
      <c r="CU120" s="417">
        <f t="shared" si="324"/>
        <v>0.63157894736842102</v>
      </c>
      <c r="CV120" s="417">
        <f t="shared" si="324"/>
        <v>-0.66666666666666674</v>
      </c>
      <c r="CW120" s="735">
        <f t="shared" si="324"/>
        <v>0.84905660377358494</v>
      </c>
      <c r="CX120" s="417">
        <f t="shared" si="324"/>
        <v>6.1224489795918435E-2</v>
      </c>
      <c r="CY120" s="417">
        <f t="shared" si="324"/>
        <v>-0.967741935483871</v>
      </c>
      <c r="CZ120" s="417">
        <f t="shared" si="324"/>
        <v>-1.4</v>
      </c>
      <c r="DA120" s="417">
        <f t="shared" si="324"/>
        <v>-0.72448979591836737</v>
      </c>
      <c r="DB120" s="734">
        <f t="shared" si="324"/>
        <v>-4.8076923076923128E-2</v>
      </c>
      <c r="DC120" s="417">
        <f t="shared" si="324"/>
        <v>21.5</v>
      </c>
      <c r="DD120" s="417">
        <f t="shared" si="324"/>
        <v>-8</v>
      </c>
      <c r="DE120" s="417">
        <f t="shared" si="324"/>
        <v>-0.2592592592592593</v>
      </c>
      <c r="DF120" s="417">
        <f t="shared" si="324"/>
        <v>-0.83838383838383834</v>
      </c>
      <c r="DG120" s="1127">
        <f t="shared" si="324"/>
        <v>2.2222222222222143E-2</v>
      </c>
      <c r="DH120" s="1127">
        <f t="shared" si="324"/>
        <v>0.23214285714285721</v>
      </c>
      <c r="DI120" s="1127">
        <f t="shared" si="324"/>
        <v>1.9500000000000002</v>
      </c>
      <c r="DJ120" s="1127">
        <f t="shared" si="324"/>
        <v>1.5625</v>
      </c>
      <c r="DK120" s="1127">
        <f t="shared" si="324"/>
        <v>-1.5434782608695652</v>
      </c>
      <c r="DL120" s="1127">
        <f t="shared" si="324"/>
        <v>-0.97101449275362317</v>
      </c>
      <c r="DM120" s="1127">
        <f t="shared" si="324"/>
        <v>-0.9152542372881356</v>
      </c>
      <c r="DN120" s="1127">
        <f t="shared" si="324"/>
        <v>-1.2439024390243902</v>
      </c>
      <c r="DO120" s="1127">
        <f t="shared" si="324"/>
        <v>87.16</v>
      </c>
      <c r="DP120" s="1127">
        <f t="shared" si="324"/>
        <v>11</v>
      </c>
      <c r="DQ120" s="1127">
        <f t="shared" si="324"/>
        <v>-1</v>
      </c>
      <c r="DR120" s="1127">
        <f t="shared" si="324"/>
        <v>1.7000000000000002</v>
      </c>
      <c r="DS120" s="1127">
        <f t="shared" si="324"/>
        <v>-0.98956442831215974</v>
      </c>
      <c r="DT120" s="1127">
        <f t="shared" si="324"/>
        <v>-1.4166666666666667</v>
      </c>
      <c r="DU120" s="1127" t="e">
        <f t="shared" si="324"/>
        <v>#DIV/0!</v>
      </c>
      <c r="DV120" s="1127">
        <f t="shared" si="324"/>
        <v>-1.2592592592592593</v>
      </c>
      <c r="DW120" s="1127">
        <f t="shared" ref="DW120" si="325">DW119/DS119-1</f>
        <v>-1.0869565217391304</v>
      </c>
      <c r="DX120" s="1127">
        <f t="shared" ref="DX120" si="326">DX119/DT119-1</f>
        <v>-2</v>
      </c>
      <c r="DY120" s="735">
        <f t="shared" ref="DY120" si="327">DY119/DU119-1</f>
        <v>-1.0526315789473684</v>
      </c>
    </row>
    <row r="121" spans="1:129" hidden="1" outlineLevel="1">
      <c r="A121" s="554"/>
      <c r="Y121" s="2995"/>
      <c r="Z121" s="3250"/>
      <c r="AH121" s="2136"/>
      <c r="AP121" s="554"/>
      <c r="AT121" s="554"/>
      <c r="AX121" s="554"/>
      <c r="BB121" s="554"/>
      <c r="BF121" s="554"/>
      <c r="BJ121" s="554"/>
      <c r="BN121" s="554"/>
      <c r="BR121" s="554"/>
      <c r="BV121" s="554"/>
      <c r="BZ121" s="554"/>
      <c r="CD121" s="554"/>
      <c r="CH121" s="554"/>
      <c r="CL121" s="554"/>
      <c r="CP121" s="554"/>
      <c r="CT121" s="554"/>
      <c r="CW121" s="555"/>
      <c r="DB121" s="554"/>
      <c r="DY121" s="555"/>
    </row>
    <row r="122" spans="1:129" hidden="1" outlineLevel="1">
      <c r="A122" s="554"/>
      <c r="Y122" s="2995"/>
      <c r="Z122" s="3250"/>
      <c r="AH122" s="2136"/>
      <c r="AP122" s="554"/>
      <c r="AT122" s="554"/>
      <c r="AX122" s="554"/>
      <c r="BB122" s="554"/>
      <c r="BF122" s="554"/>
      <c r="BJ122" s="554"/>
      <c r="BN122" s="554"/>
      <c r="BR122" s="554"/>
      <c r="BV122" s="554"/>
      <c r="BZ122" s="554"/>
      <c r="CD122" s="554"/>
      <c r="CH122" s="554"/>
      <c r="CL122" s="554"/>
      <c r="CN122" s="567"/>
      <c r="CP122" s="554"/>
      <c r="CT122" s="554"/>
      <c r="CW122" s="555"/>
      <c r="DB122" s="554"/>
      <c r="DY122" s="555"/>
    </row>
    <row r="123" spans="1:129" hidden="1" outlineLevel="1">
      <c r="A123" s="554"/>
      <c r="Y123" s="2995"/>
      <c r="Z123" s="3250"/>
      <c r="AH123" s="2136"/>
      <c r="AP123" s="554"/>
      <c r="AT123" s="554"/>
      <c r="AX123" s="554"/>
      <c r="BB123" s="554"/>
      <c r="BF123" s="554"/>
      <c r="BJ123" s="554"/>
      <c r="BN123" s="554"/>
      <c r="BR123" s="554"/>
      <c r="BV123" s="554"/>
      <c r="BZ123" s="554"/>
      <c r="CD123" s="554"/>
      <c r="CH123" s="554"/>
      <c r="CL123" s="554"/>
      <c r="CP123" s="554"/>
      <c r="CT123" s="554"/>
      <c r="CW123" s="555"/>
      <c r="DB123" s="554"/>
      <c r="DY123" s="555"/>
    </row>
    <row r="124" spans="1:129" hidden="1" outlineLevel="1">
      <c r="A124" s="662" t="s">
        <v>284</v>
      </c>
      <c r="B124" s="87"/>
      <c r="C124" s="87"/>
      <c r="D124" s="87"/>
      <c r="E124" s="87"/>
      <c r="F124" s="87"/>
      <c r="G124" s="87"/>
      <c r="H124" s="87"/>
      <c r="I124" s="87"/>
      <c r="J124" s="87"/>
      <c r="K124" s="87"/>
      <c r="L124" s="87"/>
      <c r="M124" s="87"/>
      <c r="N124" s="87"/>
      <c r="O124" s="87"/>
      <c r="P124" s="659">
        <f t="shared" ref="P124:Z124" si="328">+P5</f>
        <v>2008</v>
      </c>
      <c r="Q124" s="1096">
        <f t="shared" si="328"/>
        <v>2009</v>
      </c>
      <c r="R124" s="659">
        <f t="shared" si="328"/>
        <v>2010</v>
      </c>
      <c r="S124" s="659">
        <f t="shared" si="328"/>
        <v>2011</v>
      </c>
      <c r="T124" s="1096">
        <f t="shared" si="328"/>
        <v>2012</v>
      </c>
      <c r="U124" s="659">
        <f t="shared" si="328"/>
        <v>2013</v>
      </c>
      <c r="V124" s="659" t="str">
        <f t="shared" si="328"/>
        <v>2014</v>
      </c>
      <c r="W124" s="659" t="str">
        <f t="shared" si="328"/>
        <v>2015</v>
      </c>
      <c r="X124" s="659" t="str">
        <f t="shared" si="328"/>
        <v>2016</v>
      </c>
      <c r="Y124" s="659" t="str">
        <f t="shared" si="328"/>
        <v>2017</v>
      </c>
      <c r="Z124" s="659" t="str">
        <f t="shared" si="328"/>
        <v>2018E</v>
      </c>
      <c r="AA124" s="1096"/>
      <c r="AB124" s="1096"/>
      <c r="AC124" s="1096"/>
      <c r="AD124" s="1096"/>
      <c r="AE124" s="1096"/>
      <c r="AF124" s="1096"/>
      <c r="AG124" s="1096"/>
      <c r="AH124" s="1959"/>
      <c r="AI124" s="1989"/>
      <c r="AJ124" s="1989"/>
      <c r="AK124" s="1989"/>
      <c r="AL124" s="1989"/>
      <c r="AM124" s="1989"/>
      <c r="AN124" s="1989"/>
      <c r="AO124" s="1989"/>
      <c r="AP124" s="471"/>
      <c r="AQ124" s="470"/>
      <c r="AR124" s="470"/>
      <c r="AS124" s="470"/>
      <c r="AT124" s="471"/>
      <c r="AU124" s="470"/>
      <c r="AV124" s="470"/>
      <c r="AW124" s="470"/>
      <c r="AX124" s="471"/>
      <c r="AY124" s="470"/>
      <c r="AZ124" s="470"/>
      <c r="BA124" s="470"/>
      <c r="BB124" s="471"/>
      <c r="BC124" s="470"/>
      <c r="BD124" s="470"/>
      <c r="BE124" s="470"/>
      <c r="BF124" s="471"/>
      <c r="BG124" s="470"/>
      <c r="BH124" s="470"/>
      <c r="BI124" s="470"/>
      <c r="BJ124" s="471"/>
      <c r="BK124" s="470"/>
      <c r="BL124" s="470"/>
      <c r="BM124" s="470"/>
      <c r="BN124" s="471"/>
      <c r="BO124" s="470"/>
      <c r="BP124" s="470"/>
      <c r="BQ124" s="470"/>
      <c r="BR124" s="471"/>
      <c r="BS124" s="470"/>
      <c r="BT124" s="470"/>
      <c r="BU124" s="470"/>
      <c r="BV124" s="471"/>
      <c r="BW124" s="470"/>
      <c r="BX124" s="470"/>
      <c r="BY124" s="470"/>
      <c r="BZ124" s="471"/>
      <c r="CA124" s="470"/>
      <c r="CB124" s="470"/>
      <c r="CC124" s="470"/>
      <c r="CD124" s="471"/>
      <c r="CE124" s="470"/>
      <c r="CF124" s="470"/>
      <c r="CG124" s="659" t="str">
        <f t="shared" ref="CG124:CQ124" si="329">+CG5</f>
        <v>4Q07</v>
      </c>
      <c r="CH124" s="660" t="str">
        <f t="shared" si="329"/>
        <v>1Q08</v>
      </c>
      <c r="CI124" s="659" t="str">
        <f t="shared" si="329"/>
        <v>2Q08</v>
      </c>
      <c r="CJ124" s="659" t="str">
        <f t="shared" si="329"/>
        <v>3Q08</v>
      </c>
      <c r="CK124" s="659" t="str">
        <f t="shared" si="329"/>
        <v>4Q08</v>
      </c>
      <c r="CL124" s="660" t="str">
        <f t="shared" si="329"/>
        <v>1Q09</v>
      </c>
      <c r="CM124" s="659" t="str">
        <f t="shared" si="329"/>
        <v>2Q09</v>
      </c>
      <c r="CN124" s="659" t="str">
        <f t="shared" si="329"/>
        <v>3Q09</v>
      </c>
      <c r="CO124" s="659" t="str">
        <f t="shared" si="329"/>
        <v>4Q09</v>
      </c>
      <c r="CP124" s="660" t="str">
        <f t="shared" si="329"/>
        <v>1Q10</v>
      </c>
      <c r="CQ124" s="659" t="str">
        <f t="shared" si="329"/>
        <v>2Q10</v>
      </c>
      <c r="CR124" s="659"/>
      <c r="CS124" s="659"/>
      <c r="CT124" s="660"/>
      <c r="CU124" s="659"/>
      <c r="CV124" s="659"/>
      <c r="CW124" s="661"/>
      <c r="CX124" s="659"/>
      <c r="CY124" s="659"/>
      <c r="CZ124" s="659"/>
      <c r="DA124" s="659"/>
      <c r="DB124" s="660"/>
      <c r="DC124" s="659"/>
      <c r="DD124" s="659"/>
      <c r="DE124" s="659"/>
      <c r="DF124" s="659"/>
      <c r="DG124" s="1096"/>
      <c r="DH124" s="1096"/>
      <c r="DI124" s="1096"/>
      <c r="DJ124" s="1096"/>
      <c r="DK124" s="1096"/>
      <c r="DL124" s="1096"/>
      <c r="DM124" s="1096"/>
      <c r="DN124" s="1096"/>
      <c r="DO124" s="1096"/>
      <c r="DP124" s="1096"/>
      <c r="DQ124" s="1096"/>
      <c r="DR124" s="1096"/>
      <c r="DS124" s="1096"/>
      <c r="DT124" s="1096"/>
      <c r="DU124" s="1096"/>
      <c r="DV124" s="1096"/>
      <c r="DW124" s="1096"/>
      <c r="DX124" s="1096"/>
      <c r="DY124" s="661"/>
    </row>
    <row r="125" spans="1:129" hidden="1" outlineLevel="1">
      <c r="A125" s="151" t="s">
        <v>469</v>
      </c>
      <c r="B125" s="87"/>
      <c r="C125" s="87"/>
      <c r="D125" s="87"/>
      <c r="E125" s="87"/>
      <c r="F125" s="87"/>
      <c r="G125" s="87"/>
      <c r="H125" s="87"/>
      <c r="I125" s="87"/>
      <c r="J125" s="87"/>
      <c r="K125" s="87"/>
      <c r="L125" s="87"/>
      <c r="M125" s="87"/>
      <c r="N125" s="87"/>
      <c r="O125" s="87"/>
      <c r="P125" s="87">
        <f>CK125</f>
        <v>4766.4679999999998</v>
      </c>
      <c r="Q125" s="1041">
        <f>CO125</f>
        <v>4215</v>
      </c>
      <c r="R125" s="87">
        <f>+CS125</f>
        <v>0</v>
      </c>
      <c r="S125" s="143">
        <f t="shared" ref="S125:Z125" si="330">+R125*(1+S126)</f>
        <v>0</v>
      </c>
      <c r="T125" s="1047">
        <f t="shared" si="330"/>
        <v>0</v>
      </c>
      <c r="U125" s="143">
        <f t="shared" si="330"/>
        <v>0</v>
      </c>
      <c r="V125" s="143">
        <f t="shared" si="330"/>
        <v>0</v>
      </c>
      <c r="W125" s="143">
        <f t="shared" si="330"/>
        <v>0</v>
      </c>
      <c r="X125" s="143">
        <f t="shared" si="330"/>
        <v>0</v>
      </c>
      <c r="Y125" s="143">
        <f t="shared" si="330"/>
        <v>0</v>
      </c>
      <c r="Z125" s="143">
        <f t="shared" si="330"/>
        <v>0</v>
      </c>
      <c r="AA125" s="1047"/>
      <c r="AB125" s="1047"/>
      <c r="AC125" s="1047"/>
      <c r="AD125" s="1047"/>
      <c r="AE125" s="1047"/>
      <c r="AF125" s="1047"/>
      <c r="AG125" s="1047"/>
      <c r="AH125" s="1959"/>
      <c r="AI125" s="1989"/>
      <c r="AJ125" s="1989"/>
      <c r="AK125" s="1989"/>
      <c r="AL125" s="1989"/>
      <c r="AM125" s="1989"/>
      <c r="AN125" s="1989"/>
      <c r="AO125" s="1989"/>
      <c r="AP125" s="88"/>
      <c r="AQ125" s="87"/>
      <c r="AR125" s="87"/>
      <c r="AS125" s="87"/>
      <c r="AT125" s="88"/>
      <c r="AU125" s="87"/>
      <c r="AV125" s="87"/>
      <c r="AW125" s="87"/>
      <c r="AX125" s="88"/>
      <c r="AY125" s="87"/>
      <c r="AZ125" s="87"/>
      <c r="BA125" s="87"/>
      <c r="BB125" s="88"/>
      <c r="BC125" s="87"/>
      <c r="BD125" s="87"/>
      <c r="BE125" s="87"/>
      <c r="BF125" s="88"/>
      <c r="BG125" s="87"/>
      <c r="BH125" s="87"/>
      <c r="BI125" s="87"/>
      <c r="BJ125" s="88"/>
      <c r="BK125" s="87"/>
      <c r="BL125" s="87"/>
      <c r="BM125" s="87"/>
      <c r="BN125" s="88"/>
      <c r="BO125" s="87"/>
      <c r="BP125" s="87"/>
      <c r="BQ125" s="87"/>
      <c r="BR125" s="88"/>
      <c r="BS125" s="87"/>
      <c r="BT125" s="87"/>
      <c r="BU125" s="87"/>
      <c r="BV125" s="88"/>
      <c r="BW125" s="87"/>
      <c r="BX125" s="87"/>
      <c r="BY125" s="87"/>
      <c r="BZ125" s="88"/>
      <c r="CA125" s="87"/>
      <c r="CB125" s="87"/>
      <c r="CC125" s="87"/>
      <c r="CD125" s="88"/>
      <c r="CE125" s="87"/>
      <c r="CF125" s="87"/>
      <c r="CG125" s="183">
        <v>5307</v>
      </c>
      <c r="CH125" s="251">
        <v>5189</v>
      </c>
      <c r="CI125" s="183">
        <v>5058.3209459459458</v>
      </c>
      <c r="CJ125" s="183">
        <v>4905.9762711864405</v>
      </c>
      <c r="CK125" s="183">
        <v>4766.4679999999998</v>
      </c>
      <c r="CL125" s="251">
        <v>4627.8890000000001</v>
      </c>
      <c r="CM125" s="183">
        <v>4491.7889999999998</v>
      </c>
      <c r="CN125" s="183">
        <v>4341.7889999999998</v>
      </c>
      <c r="CO125" s="183">
        <v>4215</v>
      </c>
      <c r="CP125" s="251">
        <v>4108</v>
      </c>
      <c r="CQ125" s="183">
        <v>3989</v>
      </c>
      <c r="CR125" s="143"/>
      <c r="CS125" s="143"/>
      <c r="CT125" s="159"/>
      <c r="CU125" s="143"/>
      <c r="CV125" s="143"/>
      <c r="CW125" s="189"/>
      <c r="CX125" s="143"/>
      <c r="CY125" s="143"/>
      <c r="CZ125" s="143"/>
      <c r="DA125" s="143"/>
      <c r="DB125" s="159"/>
      <c r="DC125" s="143"/>
      <c r="DD125" s="143"/>
      <c r="DE125" s="143"/>
      <c r="DF125" s="143"/>
      <c r="DG125" s="1047"/>
      <c r="DH125" s="1047"/>
      <c r="DI125" s="1047"/>
      <c r="DJ125" s="1047"/>
      <c r="DK125" s="1047"/>
      <c r="DL125" s="1047"/>
      <c r="DM125" s="1047"/>
      <c r="DN125" s="1047"/>
      <c r="DO125" s="1047"/>
      <c r="DP125" s="1047"/>
      <c r="DQ125" s="1047"/>
      <c r="DR125" s="1047"/>
      <c r="DS125" s="1047"/>
      <c r="DT125" s="1047"/>
      <c r="DU125" s="1047"/>
      <c r="DV125" s="1047"/>
      <c r="DW125" s="1047"/>
      <c r="DX125" s="1047"/>
      <c r="DY125" s="189"/>
    </row>
    <row r="126" spans="1:129" hidden="1" outlineLevel="1">
      <c r="A126" s="100" t="s">
        <v>470</v>
      </c>
      <c r="B126" s="87"/>
      <c r="C126" s="87"/>
      <c r="D126" s="87"/>
      <c r="E126" s="87"/>
      <c r="F126" s="87"/>
      <c r="G126" s="87"/>
      <c r="H126" s="87"/>
      <c r="I126" s="87"/>
      <c r="J126" s="87"/>
      <c r="K126" s="87"/>
      <c r="L126" s="87"/>
      <c r="M126" s="87"/>
      <c r="N126" s="87"/>
      <c r="O126" s="87"/>
      <c r="P126" s="87"/>
      <c r="Q126" s="1041">
        <f>+Q125/P125-1</f>
        <v>-0.11569740948643736</v>
      </c>
      <c r="R126" s="87">
        <f>+R125/Q125-1</f>
        <v>-1</v>
      </c>
      <c r="S126" s="103">
        <v>-0.1</v>
      </c>
      <c r="T126" s="1043">
        <f t="shared" ref="T126:Z126" si="331">+S126+0.004</f>
        <v>-9.6000000000000002E-2</v>
      </c>
      <c r="U126" s="103">
        <f t="shared" si="331"/>
        <v>-9.1999999999999998E-2</v>
      </c>
      <c r="V126" s="103">
        <f t="shared" si="331"/>
        <v>-8.7999999999999995E-2</v>
      </c>
      <c r="W126" s="103">
        <f t="shared" si="331"/>
        <v>-8.3999999999999991E-2</v>
      </c>
      <c r="X126" s="103">
        <f t="shared" si="331"/>
        <v>-7.9999999999999988E-2</v>
      </c>
      <c r="Y126" s="103">
        <f t="shared" si="331"/>
        <v>-7.5999999999999984E-2</v>
      </c>
      <c r="Z126" s="103">
        <f t="shared" si="331"/>
        <v>-7.1999999999999981E-2</v>
      </c>
      <c r="AA126" s="1043"/>
      <c r="AB126" s="1043"/>
      <c r="AC126" s="1043"/>
      <c r="AD126" s="1043"/>
      <c r="AE126" s="1043"/>
      <c r="AF126" s="1043"/>
      <c r="AG126" s="1043"/>
      <c r="AH126" s="1959"/>
      <c r="AI126" s="1989"/>
      <c r="AJ126" s="1989"/>
      <c r="AK126" s="1989"/>
      <c r="AL126" s="1989"/>
      <c r="AM126" s="1989"/>
      <c r="AN126" s="1989"/>
      <c r="AO126" s="1989"/>
      <c r="AP126" s="88"/>
      <c r="AQ126" s="87"/>
      <c r="AR126" s="87"/>
      <c r="AS126" s="87"/>
      <c r="AT126" s="88"/>
      <c r="AU126" s="87"/>
      <c r="AV126" s="87"/>
      <c r="AW126" s="87"/>
      <c r="AX126" s="88"/>
      <c r="AY126" s="87"/>
      <c r="AZ126" s="87"/>
      <c r="BA126" s="87"/>
      <c r="BB126" s="88"/>
      <c r="BC126" s="87"/>
      <c r="BD126" s="87"/>
      <c r="BE126" s="87"/>
      <c r="BF126" s="88"/>
      <c r="BG126" s="87"/>
      <c r="BH126" s="87"/>
      <c r="BI126" s="87"/>
      <c r="BJ126" s="88"/>
      <c r="BK126" s="87"/>
      <c r="BL126" s="87"/>
      <c r="BM126" s="87"/>
      <c r="BN126" s="88"/>
      <c r="BO126" s="87"/>
      <c r="BP126" s="87"/>
      <c r="BQ126" s="87"/>
      <c r="BR126" s="88"/>
      <c r="BS126" s="87"/>
      <c r="BT126" s="87"/>
      <c r="BU126" s="87"/>
      <c r="BV126" s="88"/>
      <c r="BW126" s="87"/>
      <c r="BX126" s="87"/>
      <c r="BY126" s="87"/>
      <c r="BZ126" s="88"/>
      <c r="CA126" s="87"/>
      <c r="CB126" s="87"/>
      <c r="CC126" s="87"/>
      <c r="CD126" s="88"/>
      <c r="CE126" s="87"/>
      <c r="CF126" s="87"/>
      <c r="CG126" s="87"/>
      <c r="CH126" s="88"/>
      <c r="CI126" s="87"/>
      <c r="CJ126" s="87"/>
      <c r="CK126" s="87">
        <f t="shared" ref="CK126:CQ126" si="332">+CK125/CG125-1</f>
        <v>-0.10185264744676847</v>
      </c>
      <c r="CL126" s="88">
        <f t="shared" si="332"/>
        <v>-0.10813470803623049</v>
      </c>
      <c r="CM126" s="87">
        <f t="shared" si="332"/>
        <v>-0.11199999999999999</v>
      </c>
      <c r="CN126" s="87">
        <f t="shared" si="332"/>
        <v>-0.11499999999999999</v>
      </c>
      <c r="CO126" s="87">
        <f t="shared" si="332"/>
        <v>-0.11569740948643736</v>
      </c>
      <c r="CP126" s="88">
        <f t="shared" si="332"/>
        <v>-0.11233826048982598</v>
      </c>
      <c r="CQ126" s="87">
        <f t="shared" si="332"/>
        <v>-0.11193513319525916</v>
      </c>
      <c r="CR126" s="103"/>
      <c r="CS126" s="103"/>
      <c r="CT126" s="496"/>
      <c r="CU126" s="103"/>
      <c r="CV126" s="103"/>
      <c r="CW126" s="497"/>
      <c r="CX126" s="103"/>
      <c r="CY126" s="103"/>
      <c r="CZ126" s="103"/>
      <c r="DA126" s="103"/>
      <c r="DB126" s="496"/>
      <c r="DC126" s="103"/>
      <c r="DD126" s="103"/>
      <c r="DE126" s="103"/>
      <c r="DF126" s="103"/>
      <c r="DG126" s="1043"/>
      <c r="DH126" s="1043"/>
      <c r="DI126" s="1043"/>
      <c r="DJ126" s="1043"/>
      <c r="DK126" s="1043"/>
      <c r="DL126" s="1043"/>
      <c r="DM126" s="1043"/>
      <c r="DN126" s="1043"/>
      <c r="DO126" s="1043"/>
      <c r="DP126" s="1043"/>
      <c r="DQ126" s="1043"/>
      <c r="DR126" s="1043"/>
      <c r="DS126" s="1043"/>
      <c r="DT126" s="1043"/>
      <c r="DU126" s="1043"/>
      <c r="DV126" s="1043"/>
      <c r="DW126" s="1043"/>
      <c r="DX126" s="1043"/>
      <c r="DY126" s="497"/>
    </row>
    <row r="127" spans="1:129" hidden="1" outlineLevel="1">
      <c r="A127" s="88" t="s">
        <v>471</v>
      </c>
      <c r="B127" s="87"/>
      <c r="C127" s="87"/>
      <c r="D127" s="87"/>
      <c r="E127" s="87"/>
      <c r="F127" s="87"/>
      <c r="G127" s="87"/>
      <c r="H127" s="87"/>
      <c r="I127" s="87"/>
      <c r="J127" s="87"/>
      <c r="K127" s="87"/>
      <c r="L127" s="87"/>
      <c r="M127" s="87"/>
      <c r="N127" s="87"/>
      <c r="O127" s="87"/>
      <c r="P127" s="87"/>
      <c r="Q127" s="1041">
        <f t="shared" ref="Q127:Z127" si="333">+Q125-P125</f>
        <v>-551.46799999999985</v>
      </c>
      <c r="R127" s="87">
        <f t="shared" si="333"/>
        <v>-4215</v>
      </c>
      <c r="S127" s="87">
        <f t="shared" si="333"/>
        <v>0</v>
      </c>
      <c r="T127" s="1041">
        <f t="shared" si="333"/>
        <v>0</v>
      </c>
      <c r="U127" s="87">
        <f t="shared" si="333"/>
        <v>0</v>
      </c>
      <c r="V127" s="87">
        <f t="shared" si="333"/>
        <v>0</v>
      </c>
      <c r="W127" s="87">
        <f t="shared" si="333"/>
        <v>0</v>
      </c>
      <c r="X127" s="87">
        <f t="shared" si="333"/>
        <v>0</v>
      </c>
      <c r="Y127" s="87">
        <f t="shared" si="333"/>
        <v>0</v>
      </c>
      <c r="Z127" s="87">
        <f t="shared" si="333"/>
        <v>0</v>
      </c>
      <c r="AA127" s="1041"/>
      <c r="AB127" s="1041"/>
      <c r="AC127" s="1041"/>
      <c r="AD127" s="1041"/>
      <c r="AE127" s="1041"/>
      <c r="AF127" s="1041"/>
      <c r="AG127" s="1041"/>
      <c r="AH127" s="1959"/>
      <c r="AI127" s="1989"/>
      <c r="AJ127" s="1989"/>
      <c r="AK127" s="1989"/>
      <c r="AL127" s="1989"/>
      <c r="AM127" s="1989"/>
      <c r="AN127" s="1989"/>
      <c r="AO127" s="1989"/>
      <c r="AP127" s="88"/>
      <c r="AQ127" s="87"/>
      <c r="AR127" s="87"/>
      <c r="AS127" s="87"/>
      <c r="AT127" s="88"/>
      <c r="AU127" s="87"/>
      <c r="AV127" s="87"/>
      <c r="AW127" s="87"/>
      <c r="AX127" s="88"/>
      <c r="AY127" s="87"/>
      <c r="AZ127" s="87"/>
      <c r="BA127" s="87"/>
      <c r="BB127" s="88"/>
      <c r="BC127" s="87"/>
      <c r="BD127" s="87"/>
      <c r="BE127" s="87"/>
      <c r="BF127" s="88"/>
      <c r="BG127" s="87"/>
      <c r="BH127" s="87"/>
      <c r="BI127" s="87"/>
      <c r="BJ127" s="88"/>
      <c r="BK127" s="87"/>
      <c r="BL127" s="87"/>
      <c r="BM127" s="87"/>
      <c r="BN127" s="88"/>
      <c r="BO127" s="87"/>
      <c r="BP127" s="87"/>
      <c r="BQ127" s="87"/>
      <c r="BR127" s="88"/>
      <c r="BS127" s="87"/>
      <c r="BT127" s="87"/>
      <c r="BU127" s="87"/>
      <c r="BV127" s="88"/>
      <c r="BW127" s="87"/>
      <c r="BX127" s="87"/>
      <c r="BY127" s="87"/>
      <c r="BZ127" s="88"/>
      <c r="CA127" s="87"/>
      <c r="CB127" s="87"/>
      <c r="CC127" s="87"/>
      <c r="CD127" s="88"/>
      <c r="CE127" s="87"/>
      <c r="CF127" s="87"/>
      <c r="CG127" s="87"/>
      <c r="CH127" s="159">
        <f t="shared" ref="CH127:CQ127" si="334">+CH125-CG125</f>
        <v>-118</v>
      </c>
      <c r="CI127" s="143">
        <f t="shared" si="334"/>
        <v>-130.67905405405418</v>
      </c>
      <c r="CJ127" s="143">
        <f t="shared" si="334"/>
        <v>-152.34467475950532</v>
      </c>
      <c r="CK127" s="143">
        <f t="shared" si="334"/>
        <v>-139.50827118644065</v>
      </c>
      <c r="CL127" s="159">
        <f t="shared" si="334"/>
        <v>-138.57899999999972</v>
      </c>
      <c r="CM127" s="143">
        <f t="shared" si="334"/>
        <v>-136.10000000000036</v>
      </c>
      <c r="CN127" s="143">
        <f t="shared" si="334"/>
        <v>-150</v>
      </c>
      <c r="CO127" s="143">
        <f t="shared" si="334"/>
        <v>-126.78899999999976</v>
      </c>
      <c r="CP127" s="159">
        <f t="shared" si="334"/>
        <v>-107</v>
      </c>
      <c r="CQ127" s="143">
        <f t="shared" si="334"/>
        <v>-119</v>
      </c>
      <c r="CR127" s="143"/>
      <c r="CS127" s="143"/>
      <c r="CT127" s="159"/>
      <c r="CU127" s="143"/>
      <c r="CV127" s="143"/>
      <c r="CW127" s="189"/>
      <c r="CX127" s="143"/>
      <c r="CY127" s="143"/>
      <c r="CZ127" s="143"/>
      <c r="DA127" s="143"/>
      <c r="DB127" s="159"/>
      <c r="DC127" s="143"/>
      <c r="DD127" s="143"/>
      <c r="DE127" s="143"/>
      <c r="DF127" s="143"/>
      <c r="DG127" s="1047"/>
      <c r="DH127" s="1047"/>
      <c r="DI127" s="1047"/>
      <c r="DJ127" s="1047"/>
      <c r="DK127" s="1047"/>
      <c r="DL127" s="1047"/>
      <c r="DM127" s="1047"/>
      <c r="DN127" s="1047"/>
      <c r="DO127" s="1047"/>
      <c r="DP127" s="1047"/>
      <c r="DQ127" s="1047"/>
      <c r="DR127" s="1047"/>
      <c r="DS127" s="1047"/>
      <c r="DT127" s="1047"/>
      <c r="DU127" s="1047"/>
      <c r="DV127" s="1047"/>
      <c r="DW127" s="1047"/>
      <c r="DX127" s="1047"/>
      <c r="DY127" s="189"/>
    </row>
    <row r="128" spans="1:129" hidden="1" outlineLevel="1">
      <c r="A128" s="100" t="s">
        <v>472</v>
      </c>
      <c r="B128" s="87"/>
      <c r="C128" s="87"/>
      <c r="D128" s="87"/>
      <c r="E128" s="87"/>
      <c r="F128" s="87"/>
      <c r="G128" s="87"/>
      <c r="H128" s="87"/>
      <c r="I128" s="87"/>
      <c r="J128" s="87"/>
      <c r="K128" s="87"/>
      <c r="L128" s="87"/>
      <c r="M128" s="87"/>
      <c r="N128" s="87"/>
      <c r="O128" s="87"/>
      <c r="P128" s="87"/>
      <c r="Q128" s="1041"/>
      <c r="R128" s="87">
        <f>+R127/Q127-1</f>
        <v>6.6432358722536957</v>
      </c>
      <c r="S128" s="87">
        <f>+S127/R127-1</f>
        <v>-1</v>
      </c>
      <c r="T128" s="1041"/>
      <c r="U128" s="87"/>
      <c r="V128" s="87"/>
      <c r="W128" s="87"/>
      <c r="X128" s="87"/>
      <c r="Y128" s="87"/>
      <c r="Z128" s="87"/>
      <c r="AA128" s="1041"/>
      <c r="AB128" s="1041"/>
      <c r="AC128" s="1041"/>
      <c r="AD128" s="1041"/>
      <c r="AE128" s="1041"/>
      <c r="AF128" s="1041"/>
      <c r="AG128" s="1041"/>
      <c r="AH128" s="1959"/>
      <c r="AI128" s="1989"/>
      <c r="AJ128" s="1989"/>
      <c r="AK128" s="1989"/>
      <c r="AL128" s="1989"/>
      <c r="AM128" s="1989"/>
      <c r="AN128" s="1989"/>
      <c r="AO128" s="1989"/>
      <c r="AP128" s="88"/>
      <c r="AQ128" s="87"/>
      <c r="AR128" s="87"/>
      <c r="AS128" s="87"/>
      <c r="AT128" s="88"/>
      <c r="AU128" s="87"/>
      <c r="AV128" s="87"/>
      <c r="AW128" s="87"/>
      <c r="AX128" s="88"/>
      <c r="AY128" s="87"/>
      <c r="AZ128" s="87"/>
      <c r="BA128" s="87"/>
      <c r="BB128" s="88"/>
      <c r="BC128" s="87"/>
      <c r="BD128" s="87"/>
      <c r="BE128" s="87"/>
      <c r="BF128" s="88"/>
      <c r="BG128" s="87"/>
      <c r="BH128" s="87"/>
      <c r="BI128" s="87"/>
      <c r="BJ128" s="88"/>
      <c r="BK128" s="87"/>
      <c r="BL128" s="87"/>
      <c r="BM128" s="87"/>
      <c r="BN128" s="88"/>
      <c r="BO128" s="87"/>
      <c r="BP128" s="87"/>
      <c r="BQ128" s="87"/>
      <c r="BR128" s="88"/>
      <c r="BS128" s="87"/>
      <c r="BT128" s="87"/>
      <c r="BU128" s="87"/>
      <c r="BV128" s="88"/>
      <c r="BW128" s="87"/>
      <c r="BX128" s="87"/>
      <c r="BY128" s="87"/>
      <c r="BZ128" s="88"/>
      <c r="CA128" s="87"/>
      <c r="CB128" s="87"/>
      <c r="CC128" s="87"/>
      <c r="CD128" s="88"/>
      <c r="CE128" s="87"/>
      <c r="CF128" s="87"/>
      <c r="CG128" s="87"/>
      <c r="CH128" s="88"/>
      <c r="CI128" s="87"/>
      <c r="CJ128" s="87"/>
      <c r="CK128" s="87"/>
      <c r="CL128" s="88">
        <f t="shared" ref="CL128:CQ128" si="335">+CL127/CH127-1</f>
        <v>0.17439830508474352</v>
      </c>
      <c r="CM128" s="87">
        <f t="shared" si="335"/>
        <v>4.1482898580700311E-2</v>
      </c>
      <c r="CN128" s="87">
        <f t="shared" si="335"/>
        <v>-1.5390592176632856E-2</v>
      </c>
      <c r="CO128" s="87">
        <f t="shared" si="335"/>
        <v>-9.1172165480014389E-2</v>
      </c>
      <c r="CP128" s="88">
        <f t="shared" si="335"/>
        <v>-0.22787723969721085</v>
      </c>
      <c r="CQ128" s="87">
        <f t="shared" si="335"/>
        <v>-0.12564290962527791</v>
      </c>
      <c r="CR128" s="87"/>
      <c r="CS128" s="87"/>
      <c r="CT128" s="88"/>
      <c r="CU128" s="87"/>
      <c r="CV128" s="87"/>
      <c r="CW128" s="144"/>
      <c r="CX128" s="87"/>
      <c r="CY128" s="87"/>
      <c r="CZ128" s="87"/>
      <c r="DA128" s="87"/>
      <c r="DB128" s="88"/>
      <c r="DC128" s="87"/>
      <c r="DD128" s="87"/>
      <c r="DE128" s="87"/>
      <c r="DF128" s="87"/>
      <c r="DG128" s="1041"/>
      <c r="DH128" s="1041"/>
      <c r="DI128" s="1041"/>
      <c r="DJ128" s="1041"/>
      <c r="DK128" s="1041"/>
      <c r="DL128" s="1041"/>
      <c r="DM128" s="1041"/>
      <c r="DN128" s="1041"/>
      <c r="DO128" s="1041"/>
      <c r="DP128" s="1041"/>
      <c r="DQ128" s="1041"/>
      <c r="DR128" s="1041"/>
      <c r="DS128" s="1041"/>
      <c r="DT128" s="1041"/>
      <c r="DU128" s="1041"/>
      <c r="DV128" s="1041"/>
      <c r="DW128" s="1041"/>
      <c r="DX128" s="1041"/>
      <c r="DY128" s="144"/>
    </row>
    <row r="129" spans="1:129" hidden="1" outlineLevel="1">
      <c r="A129" s="88"/>
      <c r="B129" s="87"/>
      <c r="C129" s="87"/>
      <c r="D129" s="87"/>
      <c r="E129" s="87"/>
      <c r="F129" s="87"/>
      <c r="G129" s="87"/>
      <c r="H129" s="87"/>
      <c r="I129" s="87"/>
      <c r="J129" s="87"/>
      <c r="K129" s="87"/>
      <c r="L129" s="87"/>
      <c r="M129" s="87"/>
      <c r="N129" s="87"/>
      <c r="O129" s="87"/>
      <c r="P129" s="87"/>
      <c r="Q129" s="1041"/>
      <c r="R129" s="87"/>
      <c r="S129" s="87"/>
      <c r="T129" s="1041"/>
      <c r="U129" s="87"/>
      <c r="V129" s="87"/>
      <c r="W129" s="87"/>
      <c r="X129" s="87"/>
      <c r="Y129" s="87"/>
      <c r="Z129" s="87"/>
      <c r="AA129" s="1041"/>
      <c r="AB129" s="1041"/>
      <c r="AC129" s="1041"/>
      <c r="AD129" s="1041"/>
      <c r="AE129" s="1041"/>
      <c r="AF129" s="1041"/>
      <c r="AG129" s="1041"/>
      <c r="AH129" s="1959"/>
      <c r="AI129" s="1989"/>
      <c r="AJ129" s="1989"/>
      <c r="AK129" s="1989"/>
      <c r="AL129" s="1989"/>
      <c r="AM129" s="1989"/>
      <c r="AN129" s="1989"/>
      <c r="AO129" s="1989"/>
      <c r="AP129" s="88"/>
      <c r="AQ129" s="87"/>
      <c r="AR129" s="87"/>
      <c r="AS129" s="87"/>
      <c r="AT129" s="88"/>
      <c r="AU129" s="87"/>
      <c r="AV129" s="87"/>
      <c r="AW129" s="87"/>
      <c r="AX129" s="88"/>
      <c r="AY129" s="87"/>
      <c r="AZ129" s="87"/>
      <c r="BA129" s="87"/>
      <c r="BB129" s="88"/>
      <c r="BC129" s="87"/>
      <c r="BD129" s="87"/>
      <c r="BE129" s="87"/>
      <c r="BF129" s="88"/>
      <c r="BG129" s="87"/>
      <c r="BH129" s="87"/>
      <c r="BI129" s="87"/>
      <c r="BJ129" s="88"/>
      <c r="BK129" s="87"/>
      <c r="BL129" s="87"/>
      <c r="BM129" s="87"/>
      <c r="BN129" s="88"/>
      <c r="BO129" s="87"/>
      <c r="BP129" s="87"/>
      <c r="BQ129" s="87"/>
      <c r="BR129" s="88"/>
      <c r="BS129" s="87"/>
      <c r="BT129" s="87"/>
      <c r="BU129" s="87"/>
      <c r="BV129" s="88"/>
      <c r="BW129" s="87"/>
      <c r="BX129" s="87"/>
      <c r="BY129" s="87"/>
      <c r="BZ129" s="88"/>
      <c r="CA129" s="87"/>
      <c r="CB129" s="87"/>
      <c r="CC129" s="87"/>
      <c r="CD129" s="88"/>
      <c r="CE129" s="87"/>
      <c r="CF129" s="87"/>
      <c r="CG129" s="87"/>
      <c r="CH129" s="88"/>
      <c r="CI129" s="87"/>
      <c r="CJ129" s="87"/>
      <c r="CK129" s="87"/>
      <c r="CL129" s="88"/>
      <c r="CM129" s="87"/>
      <c r="CN129" s="87"/>
      <c r="CO129" s="87"/>
      <c r="CP129" s="88"/>
      <c r="CQ129" s="87"/>
      <c r="CR129" s="87"/>
      <c r="CS129" s="87"/>
      <c r="CT129" s="88"/>
      <c r="CU129" s="87"/>
      <c r="CV129" s="87"/>
      <c r="CW129" s="144"/>
      <c r="CX129" s="87"/>
      <c r="CY129" s="87"/>
      <c r="CZ129" s="87"/>
      <c r="DA129" s="87"/>
      <c r="DB129" s="88"/>
      <c r="DC129" s="87"/>
      <c r="DD129" s="87"/>
      <c r="DE129" s="87"/>
      <c r="DF129" s="87"/>
      <c r="DG129" s="1041"/>
      <c r="DH129" s="1041"/>
      <c r="DI129" s="1041"/>
      <c r="DJ129" s="1041"/>
      <c r="DK129" s="1041"/>
      <c r="DL129" s="1041"/>
      <c r="DM129" s="1041"/>
      <c r="DN129" s="1041"/>
      <c r="DO129" s="1041"/>
      <c r="DP129" s="1041"/>
      <c r="DQ129" s="1041"/>
      <c r="DR129" s="1041"/>
      <c r="DS129" s="1041"/>
      <c r="DT129" s="1041"/>
      <c r="DU129" s="1041"/>
      <c r="DV129" s="1041"/>
      <c r="DW129" s="1041"/>
      <c r="DX129" s="1041"/>
      <c r="DY129" s="144"/>
    </row>
    <row r="130" spans="1:129" hidden="1" outlineLevel="1">
      <c r="A130" s="151" t="s">
        <v>249</v>
      </c>
      <c r="B130" s="87"/>
      <c r="C130" s="87"/>
      <c r="D130" s="87"/>
      <c r="E130" s="87"/>
      <c r="F130" s="87"/>
      <c r="G130" s="87"/>
      <c r="H130" s="87"/>
      <c r="I130" s="87"/>
      <c r="J130" s="87"/>
      <c r="K130" s="87"/>
      <c r="L130" s="87"/>
      <c r="M130" s="87"/>
      <c r="N130" s="87"/>
      <c r="O130" s="87"/>
      <c r="P130" s="87">
        <f>CK130</f>
        <v>997</v>
      </c>
      <c r="Q130" s="1041">
        <f>CO130</f>
        <v>1060</v>
      </c>
      <c r="R130" s="87">
        <f>+CS130</f>
        <v>0</v>
      </c>
      <c r="S130" s="143">
        <f t="shared" ref="S130:Z130" si="336">+R130*(1+S131)</f>
        <v>0</v>
      </c>
      <c r="T130" s="1047">
        <f t="shared" si="336"/>
        <v>0</v>
      </c>
      <c r="U130" s="143">
        <f t="shared" si="336"/>
        <v>0</v>
      </c>
      <c r="V130" s="143">
        <f t="shared" si="336"/>
        <v>0</v>
      </c>
      <c r="W130" s="143">
        <f t="shared" si="336"/>
        <v>0</v>
      </c>
      <c r="X130" s="143">
        <f t="shared" si="336"/>
        <v>0</v>
      </c>
      <c r="Y130" s="143">
        <f t="shared" si="336"/>
        <v>0</v>
      </c>
      <c r="Z130" s="143">
        <f t="shared" si="336"/>
        <v>0</v>
      </c>
      <c r="AA130" s="1047"/>
      <c r="AB130" s="1047"/>
      <c r="AC130" s="1047"/>
      <c r="AD130" s="1047"/>
      <c r="AE130" s="1047"/>
      <c r="AF130" s="1047"/>
      <c r="AG130" s="1047"/>
      <c r="AH130" s="1959"/>
      <c r="AI130" s="1989"/>
      <c r="AJ130" s="1989"/>
      <c r="AK130" s="1989"/>
      <c r="AL130" s="1989"/>
      <c r="AM130" s="1989"/>
      <c r="AN130" s="1989"/>
      <c r="AO130" s="1989"/>
      <c r="AP130" s="88"/>
      <c r="AQ130" s="87"/>
      <c r="AR130" s="87"/>
      <c r="AS130" s="87"/>
      <c r="AT130" s="88"/>
      <c r="AU130" s="87"/>
      <c r="AV130" s="87"/>
      <c r="AW130" s="87"/>
      <c r="AX130" s="88"/>
      <c r="AY130" s="87"/>
      <c r="AZ130" s="87"/>
      <c r="BA130" s="87"/>
      <c r="BB130" s="88"/>
      <c r="BC130" s="87"/>
      <c r="BD130" s="87"/>
      <c r="BE130" s="87"/>
      <c r="BF130" s="88"/>
      <c r="BG130" s="87"/>
      <c r="BH130" s="87"/>
      <c r="BI130" s="87"/>
      <c r="BJ130" s="88"/>
      <c r="BK130" s="87"/>
      <c r="BL130" s="87"/>
      <c r="BM130" s="87"/>
      <c r="BN130" s="88"/>
      <c r="BO130" s="87"/>
      <c r="BP130" s="87"/>
      <c r="BQ130" s="87"/>
      <c r="BR130" s="88"/>
      <c r="BS130" s="87"/>
      <c r="BT130" s="87"/>
      <c r="BU130" s="87"/>
      <c r="BV130" s="88"/>
      <c r="BW130" s="87"/>
      <c r="BX130" s="87"/>
      <c r="BY130" s="87"/>
      <c r="BZ130" s="88"/>
      <c r="CA130" s="87"/>
      <c r="CB130" s="87"/>
      <c r="CC130" s="87"/>
      <c r="CD130" s="88"/>
      <c r="CE130" s="87"/>
      <c r="CF130" s="87"/>
      <c r="CG130" s="528">
        <v>919</v>
      </c>
      <c r="CH130" s="527">
        <v>956</v>
      </c>
      <c r="CI130" s="528">
        <v>963</v>
      </c>
      <c r="CJ130" s="539">
        <f>+CN130/(1+CN131)</f>
        <v>985.98130841121485</v>
      </c>
      <c r="CK130" s="528">
        <v>997</v>
      </c>
      <c r="CL130" s="527">
        <v>1029</v>
      </c>
      <c r="CM130" s="528">
        <v>1048</v>
      </c>
      <c r="CN130" s="528">
        <v>1055</v>
      </c>
      <c r="CO130" s="528">
        <v>1060</v>
      </c>
      <c r="CP130" s="527">
        <v>1069</v>
      </c>
      <c r="CQ130" s="528">
        <v>1059</v>
      </c>
      <c r="CR130" s="143"/>
      <c r="CS130" s="143"/>
      <c r="CT130" s="159"/>
      <c r="CU130" s="143"/>
      <c r="CV130" s="143"/>
      <c r="CW130" s="189"/>
      <c r="CX130" s="143"/>
      <c r="CY130" s="143"/>
      <c r="CZ130" s="143"/>
      <c r="DA130" s="143"/>
      <c r="DB130" s="159"/>
      <c r="DC130" s="143"/>
      <c r="DD130" s="143"/>
      <c r="DE130" s="143"/>
      <c r="DF130" s="143"/>
      <c r="DG130" s="1047"/>
      <c r="DH130" s="1047"/>
      <c r="DI130" s="1047"/>
      <c r="DJ130" s="1047"/>
      <c r="DK130" s="1047"/>
      <c r="DL130" s="1047"/>
      <c r="DM130" s="1047"/>
      <c r="DN130" s="1047"/>
      <c r="DO130" s="1047"/>
      <c r="DP130" s="1047"/>
      <c r="DQ130" s="1047"/>
      <c r="DR130" s="1047"/>
      <c r="DS130" s="1047"/>
      <c r="DT130" s="1047"/>
      <c r="DU130" s="1047"/>
      <c r="DV130" s="1047"/>
      <c r="DW130" s="1047"/>
      <c r="DX130" s="1047"/>
      <c r="DY130" s="189"/>
    </row>
    <row r="131" spans="1:129" hidden="1" outlineLevel="1">
      <c r="A131" s="677" t="s">
        <v>472</v>
      </c>
      <c r="B131" s="87"/>
      <c r="C131" s="87"/>
      <c r="D131" s="87"/>
      <c r="E131" s="87"/>
      <c r="F131" s="87"/>
      <c r="G131" s="87"/>
      <c r="H131" s="87"/>
      <c r="I131" s="87"/>
      <c r="J131" s="87"/>
      <c r="K131" s="87"/>
      <c r="L131" s="87"/>
      <c r="M131" s="87"/>
      <c r="N131" s="87"/>
      <c r="O131" s="87"/>
      <c r="P131" s="87"/>
      <c r="Q131" s="1041">
        <f>+Q130/P130-1</f>
        <v>6.318956870611836E-2</v>
      </c>
      <c r="R131" s="87">
        <f>+R130/Q130-1</f>
        <v>-1</v>
      </c>
      <c r="S131" s="103">
        <v>6.5000000000000002E-2</v>
      </c>
      <c r="T131" s="1043">
        <v>0.06</v>
      </c>
      <c r="U131" s="103">
        <v>5.5E-2</v>
      </c>
      <c r="V131" s="103">
        <v>0.05</v>
      </c>
      <c r="W131" s="103">
        <v>0.05</v>
      </c>
      <c r="X131" s="103">
        <v>0.05</v>
      </c>
      <c r="Y131" s="103">
        <v>0.05</v>
      </c>
      <c r="Z131" s="103">
        <v>0.05</v>
      </c>
      <c r="AA131" s="1043"/>
      <c r="AB131" s="1043"/>
      <c r="AC131" s="1043"/>
      <c r="AD131" s="1043"/>
      <c r="AE131" s="1043"/>
      <c r="AF131" s="1043"/>
      <c r="AG131" s="1043"/>
      <c r="AH131" s="1959"/>
      <c r="AI131" s="1989"/>
      <c r="AJ131" s="1989"/>
      <c r="AK131" s="1989"/>
      <c r="AL131" s="1989"/>
      <c r="AM131" s="1989"/>
      <c r="AN131" s="1989"/>
      <c r="AO131" s="1989"/>
      <c r="AP131" s="88"/>
      <c r="AQ131" s="87"/>
      <c r="AR131" s="87"/>
      <c r="AS131" s="87"/>
      <c r="AT131" s="88"/>
      <c r="AU131" s="87"/>
      <c r="AV131" s="87"/>
      <c r="AW131" s="87"/>
      <c r="AX131" s="88"/>
      <c r="AY131" s="87"/>
      <c r="AZ131" s="87"/>
      <c r="BA131" s="87"/>
      <c r="BB131" s="88"/>
      <c r="BC131" s="87"/>
      <c r="BD131" s="87"/>
      <c r="BE131" s="87"/>
      <c r="BF131" s="88"/>
      <c r="BG131" s="87"/>
      <c r="BH131" s="87"/>
      <c r="BI131" s="87"/>
      <c r="BJ131" s="88"/>
      <c r="BK131" s="87"/>
      <c r="BL131" s="87"/>
      <c r="BM131" s="87"/>
      <c r="BN131" s="88"/>
      <c r="BO131" s="87"/>
      <c r="BP131" s="87"/>
      <c r="BQ131" s="87"/>
      <c r="BR131" s="88"/>
      <c r="BS131" s="87"/>
      <c r="BT131" s="87"/>
      <c r="BU131" s="87"/>
      <c r="BV131" s="88"/>
      <c r="BW131" s="87"/>
      <c r="BX131" s="87"/>
      <c r="BY131" s="87"/>
      <c r="BZ131" s="88"/>
      <c r="CA131" s="87"/>
      <c r="CB131" s="87"/>
      <c r="CC131" s="87"/>
      <c r="CD131" s="88"/>
      <c r="CE131" s="87"/>
      <c r="CF131" s="87"/>
      <c r="CG131" s="87"/>
      <c r="CH131" s="88"/>
      <c r="CI131" s="87"/>
      <c r="CJ131" s="87"/>
      <c r="CK131" s="87">
        <f>+CK130/CG130-1</f>
        <v>8.487486398258981E-2</v>
      </c>
      <c r="CL131" s="88">
        <f>+CL130/CH130-1</f>
        <v>7.6359832635983338E-2</v>
      </c>
      <c r="CM131" s="87">
        <f>+CM130/CI130-1</f>
        <v>8.8265835929387304E-2</v>
      </c>
      <c r="CN131" s="736">
        <v>7.0000000000000007E-2</v>
      </c>
      <c r="CO131" s="87">
        <f>+CO130/CK130-1</f>
        <v>6.318956870611836E-2</v>
      </c>
      <c r="CP131" s="88">
        <f>+CP130/CL130-1</f>
        <v>3.8872691933916403E-2</v>
      </c>
      <c r="CQ131" s="103">
        <v>3.5000000000000003E-2</v>
      </c>
      <c r="CR131" s="103"/>
      <c r="CS131" s="103"/>
      <c r="CT131" s="496"/>
      <c r="CU131" s="103"/>
      <c r="CV131" s="103"/>
      <c r="CW131" s="497"/>
      <c r="CX131" s="103"/>
      <c r="CY131" s="103"/>
      <c r="CZ131" s="103"/>
      <c r="DA131" s="103"/>
      <c r="DB131" s="496"/>
      <c r="DC131" s="103"/>
      <c r="DD131" s="103"/>
      <c r="DE131" s="103"/>
      <c r="DF131" s="103"/>
      <c r="DG131" s="1043"/>
      <c r="DH131" s="1043"/>
      <c r="DI131" s="1043"/>
      <c r="DJ131" s="1043"/>
      <c r="DK131" s="1043"/>
      <c r="DL131" s="1043"/>
      <c r="DM131" s="1043"/>
      <c r="DN131" s="1043"/>
      <c r="DO131" s="1043"/>
      <c r="DP131" s="1043"/>
      <c r="DQ131" s="1043"/>
      <c r="DR131" s="1043"/>
      <c r="DS131" s="1043"/>
      <c r="DT131" s="1043"/>
      <c r="DU131" s="1043"/>
      <c r="DV131" s="1043"/>
      <c r="DW131" s="1043"/>
      <c r="DX131" s="1043"/>
      <c r="DY131" s="497"/>
    </row>
    <row r="132" spans="1:129" hidden="1" outlineLevel="1">
      <c r="A132" s="677" t="s">
        <v>473</v>
      </c>
      <c r="B132" s="87"/>
      <c r="C132" s="87"/>
      <c r="D132" s="87"/>
      <c r="E132" s="87"/>
      <c r="F132" s="87"/>
      <c r="G132" s="87"/>
      <c r="H132" s="87"/>
      <c r="I132" s="87"/>
      <c r="J132" s="87"/>
      <c r="K132" s="87"/>
      <c r="L132" s="87"/>
      <c r="M132" s="87"/>
      <c r="N132" s="87"/>
      <c r="O132" s="87"/>
      <c r="P132" s="87"/>
      <c r="Q132" s="1041">
        <f t="shared" ref="Q132:Z132" si="337">+Q130-P130</f>
        <v>63</v>
      </c>
      <c r="R132" s="87">
        <f t="shared" si="337"/>
        <v>-1060</v>
      </c>
      <c r="S132" s="87">
        <f t="shared" si="337"/>
        <v>0</v>
      </c>
      <c r="T132" s="1041">
        <f t="shared" si="337"/>
        <v>0</v>
      </c>
      <c r="U132" s="87">
        <f t="shared" si="337"/>
        <v>0</v>
      </c>
      <c r="V132" s="87">
        <f t="shared" si="337"/>
        <v>0</v>
      </c>
      <c r="W132" s="87">
        <f t="shared" si="337"/>
        <v>0</v>
      </c>
      <c r="X132" s="87">
        <f t="shared" si="337"/>
        <v>0</v>
      </c>
      <c r="Y132" s="87">
        <f t="shared" si="337"/>
        <v>0</v>
      </c>
      <c r="Z132" s="87">
        <f t="shared" si="337"/>
        <v>0</v>
      </c>
      <c r="AA132" s="1041"/>
      <c r="AB132" s="1041"/>
      <c r="AC132" s="1041"/>
      <c r="AD132" s="1041"/>
      <c r="AE132" s="1041"/>
      <c r="AF132" s="1041"/>
      <c r="AG132" s="1041"/>
      <c r="AH132" s="1959"/>
      <c r="AI132" s="1989"/>
      <c r="AJ132" s="1989"/>
      <c r="AK132" s="1989"/>
      <c r="AL132" s="1989"/>
      <c r="AM132" s="1989"/>
      <c r="AN132" s="1989"/>
      <c r="AO132" s="1989"/>
      <c r="AP132" s="88"/>
      <c r="AQ132" s="87"/>
      <c r="AR132" s="87"/>
      <c r="AS132" s="87"/>
      <c r="AT132" s="88"/>
      <c r="AU132" s="87"/>
      <c r="AV132" s="87"/>
      <c r="AW132" s="87"/>
      <c r="AX132" s="88"/>
      <c r="AY132" s="87"/>
      <c r="AZ132" s="87"/>
      <c r="BA132" s="87"/>
      <c r="BB132" s="88"/>
      <c r="BC132" s="87"/>
      <c r="BD132" s="87"/>
      <c r="BE132" s="87"/>
      <c r="BF132" s="88"/>
      <c r="BG132" s="87"/>
      <c r="BH132" s="87"/>
      <c r="BI132" s="87"/>
      <c r="BJ132" s="88"/>
      <c r="BK132" s="87"/>
      <c r="BL132" s="87"/>
      <c r="BM132" s="87"/>
      <c r="BN132" s="88"/>
      <c r="BO132" s="87"/>
      <c r="BP132" s="87"/>
      <c r="BQ132" s="87"/>
      <c r="BR132" s="88"/>
      <c r="BS132" s="87"/>
      <c r="BT132" s="87"/>
      <c r="BU132" s="87"/>
      <c r="BV132" s="88"/>
      <c r="BW132" s="87"/>
      <c r="BX132" s="87"/>
      <c r="BY132" s="87"/>
      <c r="BZ132" s="88"/>
      <c r="CA132" s="87"/>
      <c r="CB132" s="87"/>
      <c r="CC132" s="87"/>
      <c r="CD132" s="88"/>
      <c r="CE132" s="87"/>
      <c r="CF132" s="87"/>
      <c r="CG132" s="87"/>
      <c r="CH132" s="159">
        <f>+CH130-CG130</f>
        <v>37</v>
      </c>
      <c r="CI132" s="143">
        <f>+CI130-CH130</f>
        <v>7</v>
      </c>
      <c r="CJ132" s="528" t="s">
        <v>1149</v>
      </c>
      <c r="CK132" s="528" t="s">
        <v>1149</v>
      </c>
      <c r="CL132" s="159">
        <f t="shared" ref="CL132:CQ132" si="338">+CL130-CK130</f>
        <v>32</v>
      </c>
      <c r="CM132" s="143">
        <f t="shared" si="338"/>
        <v>19</v>
      </c>
      <c r="CN132" s="143">
        <f t="shared" si="338"/>
        <v>7</v>
      </c>
      <c r="CO132" s="143">
        <f t="shared" si="338"/>
        <v>5</v>
      </c>
      <c r="CP132" s="159">
        <f t="shared" si="338"/>
        <v>9</v>
      </c>
      <c r="CQ132" s="143">
        <f t="shared" si="338"/>
        <v>-10</v>
      </c>
      <c r="CR132" s="143"/>
      <c r="CS132" s="143"/>
      <c r="CT132" s="159"/>
      <c r="CU132" s="143"/>
      <c r="CV132" s="143"/>
      <c r="CW132" s="189"/>
      <c r="CX132" s="143"/>
      <c r="CY132" s="143"/>
      <c r="CZ132" s="143"/>
      <c r="DA132" s="143"/>
      <c r="DB132" s="159"/>
      <c r="DC132" s="143"/>
      <c r="DD132" s="143"/>
      <c r="DE132" s="143"/>
      <c r="DF132" s="143"/>
      <c r="DG132" s="1047"/>
      <c r="DH132" s="1047"/>
      <c r="DI132" s="1047"/>
      <c r="DJ132" s="1047"/>
      <c r="DK132" s="1047"/>
      <c r="DL132" s="1047"/>
      <c r="DM132" s="1047"/>
      <c r="DN132" s="1047"/>
      <c r="DO132" s="1047"/>
      <c r="DP132" s="1047"/>
      <c r="DQ132" s="1047"/>
      <c r="DR132" s="1047"/>
      <c r="DS132" s="1047"/>
      <c r="DT132" s="1047"/>
      <c r="DU132" s="1047"/>
      <c r="DV132" s="1047"/>
      <c r="DW132" s="1047"/>
      <c r="DX132" s="1047"/>
      <c r="DY132" s="189"/>
    </row>
    <row r="133" spans="1:129" hidden="1" outlineLevel="1">
      <c r="A133" s="96" t="s">
        <v>474</v>
      </c>
      <c r="B133" s="87"/>
      <c r="C133" s="87"/>
      <c r="D133" s="87"/>
      <c r="E133" s="87"/>
      <c r="F133" s="87"/>
      <c r="G133" s="87"/>
      <c r="H133" s="87"/>
      <c r="I133" s="87"/>
      <c r="J133" s="87"/>
      <c r="K133" s="87"/>
      <c r="L133" s="87"/>
      <c r="M133" s="87"/>
      <c r="N133" s="87"/>
      <c r="O133" s="87"/>
      <c r="P133" s="87">
        <f>CK133</f>
        <v>110</v>
      </c>
      <c r="Q133" s="1041">
        <f>CO133</f>
        <v>147</v>
      </c>
      <c r="R133" s="87">
        <f>+CS133</f>
        <v>0</v>
      </c>
      <c r="S133" s="143">
        <f t="shared" ref="S133:Z133" si="339">+R133*(1+S134)</f>
        <v>0</v>
      </c>
      <c r="T133" s="1047">
        <f t="shared" si="339"/>
        <v>0</v>
      </c>
      <c r="U133" s="143">
        <f t="shared" si="339"/>
        <v>0</v>
      </c>
      <c r="V133" s="143">
        <f t="shared" si="339"/>
        <v>0</v>
      </c>
      <c r="W133" s="143">
        <f t="shared" si="339"/>
        <v>0</v>
      </c>
      <c r="X133" s="143">
        <f t="shared" si="339"/>
        <v>0</v>
      </c>
      <c r="Y133" s="143">
        <f t="shared" si="339"/>
        <v>0</v>
      </c>
      <c r="Z133" s="143">
        <f t="shared" si="339"/>
        <v>0</v>
      </c>
      <c r="AA133" s="1047"/>
      <c r="AB133" s="1047"/>
      <c r="AC133" s="1047"/>
      <c r="AD133" s="1047"/>
      <c r="AE133" s="1047"/>
      <c r="AF133" s="1047"/>
      <c r="AG133" s="1047"/>
      <c r="AH133" s="1959"/>
      <c r="AI133" s="1989"/>
      <c r="AJ133" s="1989"/>
      <c r="AK133" s="1989"/>
      <c r="AL133" s="1989"/>
      <c r="AM133" s="1989"/>
      <c r="AN133" s="1989"/>
      <c r="AO133" s="1989"/>
      <c r="AP133" s="88"/>
      <c r="AQ133" s="87"/>
      <c r="AR133" s="87"/>
      <c r="AS133" s="87"/>
      <c r="AT133" s="88"/>
      <c r="AU133" s="87"/>
      <c r="AV133" s="87"/>
      <c r="AW133" s="87"/>
      <c r="AX133" s="88"/>
      <c r="AY133" s="87"/>
      <c r="AZ133" s="87"/>
      <c r="BA133" s="87"/>
      <c r="BB133" s="88"/>
      <c r="BC133" s="87"/>
      <c r="BD133" s="87"/>
      <c r="BE133" s="87"/>
      <c r="BF133" s="88"/>
      <c r="BG133" s="87"/>
      <c r="BH133" s="87"/>
      <c r="BI133" s="87"/>
      <c r="BJ133" s="88"/>
      <c r="BK133" s="87"/>
      <c r="BL133" s="87"/>
      <c r="BM133" s="87"/>
      <c r="BN133" s="88"/>
      <c r="BO133" s="87"/>
      <c r="BP133" s="87"/>
      <c r="BQ133" s="87"/>
      <c r="BR133" s="88"/>
      <c r="BS133" s="87"/>
      <c r="BT133" s="87"/>
      <c r="BU133" s="87"/>
      <c r="BV133" s="88"/>
      <c r="BW133" s="87"/>
      <c r="BX133" s="87"/>
      <c r="BY133" s="87"/>
      <c r="BZ133" s="88"/>
      <c r="CA133" s="87"/>
      <c r="CB133" s="87"/>
      <c r="CC133" s="87"/>
      <c r="CD133" s="88"/>
      <c r="CE133" s="87"/>
      <c r="CF133" s="87"/>
      <c r="CG133" s="528">
        <v>71</v>
      </c>
      <c r="CH133" s="527">
        <v>82</v>
      </c>
      <c r="CI133" s="528">
        <v>90</v>
      </c>
      <c r="CJ133" s="539">
        <v>99</v>
      </c>
      <c r="CK133" s="528">
        <v>110</v>
      </c>
      <c r="CL133" s="527">
        <v>126</v>
      </c>
      <c r="CM133" s="528">
        <v>140</v>
      </c>
      <c r="CN133" s="528">
        <v>144</v>
      </c>
      <c r="CO133" s="528">
        <v>147</v>
      </c>
      <c r="CP133" s="527">
        <v>152</v>
      </c>
      <c r="CQ133" s="528">
        <v>155</v>
      </c>
      <c r="CR133" s="143"/>
      <c r="CS133" s="143"/>
      <c r="CT133" s="159"/>
      <c r="CU133" s="143"/>
      <c r="CV133" s="143"/>
      <c r="CW133" s="189"/>
      <c r="CX133" s="143"/>
      <c r="CY133" s="143"/>
      <c r="CZ133" s="143"/>
      <c r="DA133" s="143"/>
      <c r="DB133" s="159"/>
      <c r="DC133" s="143"/>
      <c r="DD133" s="143"/>
      <c r="DE133" s="143"/>
      <c r="DF133" s="143"/>
      <c r="DG133" s="1047"/>
      <c r="DH133" s="1047"/>
      <c r="DI133" s="1047"/>
      <c r="DJ133" s="1047"/>
      <c r="DK133" s="1047"/>
      <c r="DL133" s="1047"/>
      <c r="DM133" s="1047"/>
      <c r="DN133" s="1047"/>
      <c r="DO133" s="1047"/>
      <c r="DP133" s="1047"/>
      <c r="DQ133" s="1047"/>
      <c r="DR133" s="1047"/>
      <c r="DS133" s="1047"/>
      <c r="DT133" s="1047"/>
      <c r="DU133" s="1047"/>
      <c r="DV133" s="1047"/>
      <c r="DW133" s="1047"/>
      <c r="DX133" s="1047"/>
      <c r="DY133" s="189"/>
    </row>
    <row r="134" spans="1:129" hidden="1" outlineLevel="1">
      <c r="A134" s="100" t="s">
        <v>472</v>
      </c>
      <c r="B134" s="87"/>
      <c r="C134" s="87"/>
      <c r="D134" s="87"/>
      <c r="E134" s="87"/>
      <c r="F134" s="87"/>
      <c r="G134" s="87"/>
      <c r="H134" s="87"/>
      <c r="I134" s="87"/>
      <c r="J134" s="87"/>
      <c r="K134" s="87"/>
      <c r="L134" s="87"/>
      <c r="M134" s="87"/>
      <c r="N134" s="87"/>
      <c r="O134" s="87"/>
      <c r="P134" s="87"/>
      <c r="Q134" s="1041">
        <f>+Q133/P133-1</f>
        <v>0.33636363636363642</v>
      </c>
      <c r="R134" s="87">
        <f>+R133/Q133-1</f>
        <v>-1</v>
      </c>
      <c r="S134" s="103">
        <v>0.5</v>
      </c>
      <c r="T134" s="1043">
        <v>0.4</v>
      </c>
      <c r="U134" s="103">
        <v>0.3</v>
      </c>
      <c r="V134" s="103">
        <v>0.2</v>
      </c>
      <c r="W134" s="103">
        <v>0.2</v>
      </c>
      <c r="X134" s="103">
        <v>0.2</v>
      </c>
      <c r="Y134" s="103">
        <v>0.2</v>
      </c>
      <c r="Z134" s="103">
        <v>0.2</v>
      </c>
      <c r="AA134" s="1043"/>
      <c r="AB134" s="1043"/>
      <c r="AC134" s="1043"/>
      <c r="AD134" s="1043"/>
      <c r="AE134" s="1043"/>
      <c r="AF134" s="1043"/>
      <c r="AG134" s="1043"/>
      <c r="AH134" s="1959"/>
      <c r="AI134" s="1989"/>
      <c r="AJ134" s="1989"/>
      <c r="AK134" s="1989"/>
      <c r="AL134" s="1989"/>
      <c r="AM134" s="1989"/>
      <c r="AN134" s="1989"/>
      <c r="AO134" s="1989"/>
      <c r="AP134" s="88"/>
      <c r="AQ134" s="87"/>
      <c r="AR134" s="87"/>
      <c r="AS134" s="87"/>
      <c r="AT134" s="88"/>
      <c r="AU134" s="87"/>
      <c r="AV134" s="87"/>
      <c r="AW134" s="87"/>
      <c r="AX134" s="88"/>
      <c r="AY134" s="87"/>
      <c r="AZ134" s="87"/>
      <c r="BA134" s="87"/>
      <c r="BB134" s="88"/>
      <c r="BC134" s="87"/>
      <c r="BD134" s="87"/>
      <c r="BE134" s="87"/>
      <c r="BF134" s="88"/>
      <c r="BG134" s="87"/>
      <c r="BH134" s="87"/>
      <c r="BI134" s="87"/>
      <c r="BJ134" s="88"/>
      <c r="BK134" s="87"/>
      <c r="BL134" s="87"/>
      <c r="BM134" s="87"/>
      <c r="BN134" s="88"/>
      <c r="BO134" s="87"/>
      <c r="BP134" s="87"/>
      <c r="BQ134" s="87"/>
      <c r="BR134" s="88"/>
      <c r="BS134" s="87"/>
      <c r="BT134" s="87"/>
      <c r="BU134" s="87"/>
      <c r="BV134" s="88"/>
      <c r="BW134" s="87"/>
      <c r="BX134" s="87"/>
      <c r="BY134" s="87"/>
      <c r="BZ134" s="88"/>
      <c r="CA134" s="87"/>
      <c r="CB134" s="87"/>
      <c r="CC134" s="87"/>
      <c r="CD134" s="88"/>
      <c r="CE134" s="87"/>
      <c r="CF134" s="87"/>
      <c r="CG134" s="87"/>
      <c r="CH134" s="88"/>
      <c r="CI134" s="87"/>
      <c r="CJ134" s="87"/>
      <c r="CK134" s="87">
        <f>+CK133/CG133-1</f>
        <v>0.54929577464788726</v>
      </c>
      <c r="CL134" s="88">
        <f>+CL133/CH133-1</f>
        <v>0.53658536585365857</v>
      </c>
      <c r="CM134" s="87">
        <f>+CM133/CI133-1</f>
        <v>0.55555555555555558</v>
      </c>
      <c r="CN134" s="163">
        <v>0.55000000000000004</v>
      </c>
      <c r="CO134" s="87">
        <f>+CO133/CK133-1</f>
        <v>0.33636363636363642</v>
      </c>
      <c r="CP134" s="88">
        <f>+CP133/CL133-1</f>
        <v>0.20634920634920628</v>
      </c>
      <c r="CQ134" s="87">
        <f>+CQ133/CM133-1</f>
        <v>0.10714285714285721</v>
      </c>
      <c r="CR134" s="163"/>
      <c r="CS134" s="163"/>
      <c r="CT134" s="164"/>
      <c r="CU134" s="163"/>
      <c r="CV134" s="163"/>
      <c r="CW134" s="524"/>
      <c r="CX134" s="163"/>
      <c r="CY134" s="163"/>
      <c r="CZ134" s="163"/>
      <c r="DA134" s="163"/>
      <c r="DB134" s="164"/>
      <c r="DC134" s="163"/>
      <c r="DD134" s="163"/>
      <c r="DE134" s="163"/>
      <c r="DF134" s="163"/>
      <c r="DG134" s="1103"/>
      <c r="DH134" s="1103"/>
      <c r="DI134" s="1103"/>
      <c r="DJ134" s="1103"/>
      <c r="DK134" s="1103"/>
      <c r="DL134" s="1103"/>
      <c r="DM134" s="1103"/>
      <c r="DN134" s="1103"/>
      <c r="DO134" s="1103"/>
      <c r="DP134" s="1103"/>
      <c r="DQ134" s="1103"/>
      <c r="DR134" s="1103"/>
      <c r="DS134" s="1103"/>
      <c r="DT134" s="1103"/>
      <c r="DU134" s="1103"/>
      <c r="DV134" s="1103"/>
      <c r="DW134" s="1103"/>
      <c r="DX134" s="1103"/>
      <c r="DY134" s="524"/>
    </row>
    <row r="135" spans="1:129" hidden="1" outlineLevel="1">
      <c r="A135" s="100" t="s">
        <v>473</v>
      </c>
      <c r="B135" s="87"/>
      <c r="C135" s="87"/>
      <c r="D135" s="87"/>
      <c r="E135" s="87"/>
      <c r="F135" s="87"/>
      <c r="G135" s="87"/>
      <c r="H135" s="87"/>
      <c r="I135" s="87"/>
      <c r="J135" s="87"/>
      <c r="K135" s="87"/>
      <c r="L135" s="87"/>
      <c r="M135" s="87"/>
      <c r="N135" s="87"/>
      <c r="O135" s="87"/>
      <c r="P135" s="87"/>
      <c r="Q135" s="1041">
        <f t="shared" ref="Q135:Z135" si="340">+Q133-P133</f>
        <v>37</v>
      </c>
      <c r="R135" s="87">
        <f t="shared" si="340"/>
        <v>-147</v>
      </c>
      <c r="S135" s="87">
        <f t="shared" si="340"/>
        <v>0</v>
      </c>
      <c r="T135" s="1041">
        <f t="shared" si="340"/>
        <v>0</v>
      </c>
      <c r="U135" s="87">
        <f t="shared" si="340"/>
        <v>0</v>
      </c>
      <c r="V135" s="87">
        <f t="shared" si="340"/>
        <v>0</v>
      </c>
      <c r="W135" s="87">
        <f t="shared" si="340"/>
        <v>0</v>
      </c>
      <c r="X135" s="87">
        <f t="shared" si="340"/>
        <v>0</v>
      </c>
      <c r="Y135" s="87">
        <f t="shared" si="340"/>
        <v>0</v>
      </c>
      <c r="Z135" s="87">
        <f t="shared" si="340"/>
        <v>0</v>
      </c>
      <c r="AA135" s="1041"/>
      <c r="AB135" s="1041"/>
      <c r="AC135" s="1041"/>
      <c r="AD135" s="1041"/>
      <c r="AE135" s="1041"/>
      <c r="AF135" s="1041"/>
      <c r="AG135" s="1041"/>
      <c r="AH135" s="1959"/>
      <c r="AI135" s="1989"/>
      <c r="AJ135" s="1989"/>
      <c r="AK135" s="1989"/>
      <c r="AL135" s="1989"/>
      <c r="AM135" s="1989"/>
      <c r="AN135" s="1989"/>
      <c r="AO135" s="1989"/>
      <c r="AP135" s="88"/>
      <c r="AQ135" s="87"/>
      <c r="AR135" s="87"/>
      <c r="AS135" s="87"/>
      <c r="AT135" s="88"/>
      <c r="AU135" s="87"/>
      <c r="AV135" s="87"/>
      <c r="AW135" s="87"/>
      <c r="AX135" s="88"/>
      <c r="AY135" s="87"/>
      <c r="AZ135" s="87"/>
      <c r="BA135" s="87"/>
      <c r="BB135" s="88"/>
      <c r="BC135" s="87"/>
      <c r="BD135" s="87"/>
      <c r="BE135" s="87"/>
      <c r="BF135" s="88"/>
      <c r="BG135" s="87"/>
      <c r="BH135" s="87"/>
      <c r="BI135" s="87"/>
      <c r="BJ135" s="88"/>
      <c r="BK135" s="87"/>
      <c r="BL135" s="87"/>
      <c r="BM135" s="87"/>
      <c r="BN135" s="88"/>
      <c r="BO135" s="87"/>
      <c r="BP135" s="87"/>
      <c r="BQ135" s="87"/>
      <c r="BR135" s="88"/>
      <c r="BS135" s="87"/>
      <c r="BT135" s="87"/>
      <c r="BU135" s="87"/>
      <c r="BV135" s="88"/>
      <c r="BW135" s="87"/>
      <c r="BX135" s="87"/>
      <c r="BY135" s="87"/>
      <c r="BZ135" s="88"/>
      <c r="CA135" s="87"/>
      <c r="CB135" s="87"/>
      <c r="CC135" s="87"/>
      <c r="CD135" s="88"/>
      <c r="CE135" s="87"/>
      <c r="CF135" s="87"/>
      <c r="CG135" s="87"/>
      <c r="CH135" s="159">
        <f t="shared" ref="CH135:CQ135" si="341">+CH133-CG133</f>
        <v>11</v>
      </c>
      <c r="CI135" s="143">
        <f t="shared" si="341"/>
        <v>8</v>
      </c>
      <c r="CJ135" s="143">
        <f t="shared" si="341"/>
        <v>9</v>
      </c>
      <c r="CK135" s="143">
        <f t="shared" si="341"/>
        <v>11</v>
      </c>
      <c r="CL135" s="159">
        <f t="shared" si="341"/>
        <v>16</v>
      </c>
      <c r="CM135" s="143">
        <f t="shared" si="341"/>
        <v>14</v>
      </c>
      <c r="CN135" s="143">
        <f t="shared" si="341"/>
        <v>4</v>
      </c>
      <c r="CO135" s="143">
        <f t="shared" si="341"/>
        <v>3</v>
      </c>
      <c r="CP135" s="159">
        <f t="shared" si="341"/>
        <v>5</v>
      </c>
      <c r="CQ135" s="143">
        <f t="shared" si="341"/>
        <v>3</v>
      </c>
      <c r="CR135" s="143"/>
      <c r="CS135" s="143"/>
      <c r="CT135" s="159"/>
      <c r="CU135" s="143"/>
      <c r="CV135" s="143"/>
      <c r="CW135" s="189"/>
      <c r="CX135" s="143"/>
      <c r="CY135" s="143"/>
      <c r="CZ135" s="143"/>
      <c r="DA135" s="143"/>
      <c r="DB135" s="159"/>
      <c r="DC135" s="143"/>
      <c r="DD135" s="143"/>
      <c r="DE135" s="143"/>
      <c r="DF135" s="143"/>
      <c r="DG135" s="1047"/>
      <c r="DH135" s="1047"/>
      <c r="DI135" s="1047"/>
      <c r="DJ135" s="1047"/>
      <c r="DK135" s="1047"/>
      <c r="DL135" s="1047"/>
      <c r="DM135" s="1047"/>
      <c r="DN135" s="1047"/>
      <c r="DO135" s="1047"/>
      <c r="DP135" s="1047"/>
      <c r="DQ135" s="1047"/>
      <c r="DR135" s="1047"/>
      <c r="DS135" s="1047"/>
      <c r="DT135" s="1047"/>
      <c r="DU135" s="1047"/>
      <c r="DV135" s="1047"/>
      <c r="DW135" s="1047"/>
      <c r="DX135" s="1047"/>
      <c r="DY135" s="189"/>
    </row>
    <row r="136" spans="1:129" hidden="1" outlineLevel="1">
      <c r="A136" s="96" t="s">
        <v>475</v>
      </c>
      <c r="B136" s="87"/>
      <c r="C136" s="87"/>
      <c r="D136" s="87"/>
      <c r="E136" s="87"/>
      <c r="F136" s="87"/>
      <c r="G136" s="87"/>
      <c r="H136" s="87"/>
      <c r="I136" s="87"/>
      <c r="J136" s="87"/>
      <c r="K136" s="87"/>
      <c r="L136" s="87"/>
      <c r="M136" s="87"/>
      <c r="N136" s="87"/>
      <c r="O136" s="87"/>
      <c r="P136" s="87">
        <f>CK136</f>
        <v>887</v>
      </c>
      <c r="Q136" s="1041">
        <f>CO136</f>
        <v>913</v>
      </c>
      <c r="R136" s="87">
        <f>+CS136</f>
        <v>0</v>
      </c>
      <c r="S136" s="143">
        <f t="shared" ref="S136:Z136" si="342">+R136*(1+S137)</f>
        <v>0</v>
      </c>
      <c r="T136" s="1047">
        <f t="shared" si="342"/>
        <v>0</v>
      </c>
      <c r="U136" s="143">
        <f t="shared" si="342"/>
        <v>0</v>
      </c>
      <c r="V136" s="143">
        <f t="shared" si="342"/>
        <v>0</v>
      </c>
      <c r="W136" s="143">
        <f t="shared" si="342"/>
        <v>0</v>
      </c>
      <c r="X136" s="143">
        <f t="shared" si="342"/>
        <v>0</v>
      </c>
      <c r="Y136" s="143">
        <f t="shared" si="342"/>
        <v>0</v>
      </c>
      <c r="Z136" s="143">
        <f t="shared" si="342"/>
        <v>0</v>
      </c>
      <c r="AA136" s="1047"/>
      <c r="AB136" s="1047"/>
      <c r="AC136" s="1047"/>
      <c r="AD136" s="1047"/>
      <c r="AE136" s="1047"/>
      <c r="AF136" s="1047"/>
      <c r="AG136" s="1047"/>
      <c r="AH136" s="1959"/>
      <c r="AI136" s="1989"/>
      <c r="AJ136" s="1989"/>
      <c r="AK136" s="1989"/>
      <c r="AL136" s="1989"/>
      <c r="AM136" s="1989"/>
      <c r="AN136" s="1989"/>
      <c r="AO136" s="1989"/>
      <c r="AP136" s="88"/>
      <c r="AQ136" s="87"/>
      <c r="AR136" s="87"/>
      <c r="AS136" s="87"/>
      <c r="AT136" s="88"/>
      <c r="AU136" s="87"/>
      <c r="AV136" s="87"/>
      <c r="AW136" s="87"/>
      <c r="AX136" s="88"/>
      <c r="AY136" s="87"/>
      <c r="AZ136" s="87"/>
      <c r="BA136" s="87"/>
      <c r="BB136" s="88"/>
      <c r="BC136" s="87"/>
      <c r="BD136" s="87"/>
      <c r="BE136" s="87"/>
      <c r="BF136" s="88"/>
      <c r="BG136" s="87"/>
      <c r="BH136" s="87"/>
      <c r="BI136" s="87"/>
      <c r="BJ136" s="88"/>
      <c r="BK136" s="87"/>
      <c r="BL136" s="87"/>
      <c r="BM136" s="87"/>
      <c r="BN136" s="88"/>
      <c r="BO136" s="87"/>
      <c r="BP136" s="87"/>
      <c r="BQ136" s="87"/>
      <c r="BR136" s="88"/>
      <c r="BS136" s="87"/>
      <c r="BT136" s="87"/>
      <c r="BU136" s="87"/>
      <c r="BV136" s="88"/>
      <c r="BW136" s="87"/>
      <c r="BX136" s="87"/>
      <c r="BY136" s="87"/>
      <c r="BZ136" s="88"/>
      <c r="CA136" s="87"/>
      <c r="CB136" s="87"/>
      <c r="CC136" s="87"/>
      <c r="CD136" s="88"/>
      <c r="CE136" s="87"/>
      <c r="CF136" s="87"/>
      <c r="CG136" s="528">
        <v>848</v>
      </c>
      <c r="CH136" s="527">
        <v>874</v>
      </c>
      <c r="CI136" s="528">
        <v>873</v>
      </c>
      <c r="CJ136" s="539">
        <f>+CJ130-CJ133</f>
        <v>886.98130841121485</v>
      </c>
      <c r="CK136" s="528">
        <v>887</v>
      </c>
      <c r="CL136" s="527">
        <v>903</v>
      </c>
      <c r="CM136" s="528">
        <v>908</v>
      </c>
      <c r="CN136" s="539">
        <f>+CN130-CN133</f>
        <v>911</v>
      </c>
      <c r="CO136" s="528">
        <v>913</v>
      </c>
      <c r="CP136" s="527">
        <v>915</v>
      </c>
      <c r="CQ136" s="539">
        <f>+CQ130-CQ133</f>
        <v>904</v>
      </c>
      <c r="CR136" s="539"/>
      <c r="CS136" s="539"/>
      <c r="CT136" s="538"/>
      <c r="CU136" s="539"/>
      <c r="CV136" s="539"/>
      <c r="CW136" s="737"/>
      <c r="CX136" s="539"/>
      <c r="CY136" s="539"/>
      <c r="CZ136" s="539"/>
      <c r="DA136" s="539"/>
      <c r="DB136" s="538"/>
      <c r="DC136" s="539"/>
      <c r="DD136" s="539"/>
      <c r="DE136" s="539"/>
      <c r="DF136" s="539"/>
      <c r="DG136" s="1380"/>
      <c r="DH136" s="1380"/>
      <c r="DI136" s="1380"/>
      <c r="DJ136" s="1380"/>
      <c r="DK136" s="1380"/>
      <c r="DL136" s="1380"/>
      <c r="DM136" s="1380"/>
      <c r="DN136" s="1380"/>
      <c r="DO136" s="1380"/>
      <c r="DP136" s="1380"/>
      <c r="DQ136" s="1380"/>
      <c r="DR136" s="1380"/>
      <c r="DS136" s="1380"/>
      <c r="DT136" s="1380"/>
      <c r="DU136" s="1380"/>
      <c r="DV136" s="1380"/>
      <c r="DW136" s="1380"/>
      <c r="DX136" s="1380"/>
      <c r="DY136" s="737"/>
    </row>
    <row r="137" spans="1:129" hidden="1" outlineLevel="1">
      <c r="A137" s="100" t="s">
        <v>472</v>
      </c>
      <c r="B137" s="87"/>
      <c r="C137" s="87"/>
      <c r="D137" s="87"/>
      <c r="E137" s="87"/>
      <c r="F137" s="87"/>
      <c r="G137" s="87"/>
      <c r="H137" s="87"/>
      <c r="I137" s="87"/>
      <c r="J137" s="87"/>
      <c r="K137" s="87"/>
      <c r="L137" s="87"/>
      <c r="M137" s="87"/>
      <c r="N137" s="87"/>
      <c r="O137" s="87"/>
      <c r="P137" s="87"/>
      <c r="Q137" s="1041">
        <f>+Q136/P136-1</f>
        <v>2.9312288613303261E-2</v>
      </c>
      <c r="R137" s="87">
        <f>+R136/Q136-1</f>
        <v>-1</v>
      </c>
      <c r="S137" s="103">
        <v>5.0000000000000001E-3</v>
      </c>
      <c r="T137" s="1043">
        <v>5.0000000000000001E-3</v>
      </c>
      <c r="U137" s="103">
        <v>5.0000000000000001E-3</v>
      </c>
      <c r="V137" s="103">
        <v>5.0000000000000001E-3</v>
      </c>
      <c r="W137" s="103">
        <v>5.0000000000000001E-3</v>
      </c>
      <c r="X137" s="103">
        <v>5.0000000000000001E-3</v>
      </c>
      <c r="Y137" s="103">
        <v>5.0000000000000001E-3</v>
      </c>
      <c r="Z137" s="103">
        <v>5.0000000000000001E-3</v>
      </c>
      <c r="AA137" s="1043"/>
      <c r="AB137" s="1043"/>
      <c r="AC137" s="1043"/>
      <c r="AD137" s="1043"/>
      <c r="AE137" s="1043"/>
      <c r="AF137" s="1043"/>
      <c r="AG137" s="1043"/>
      <c r="AH137" s="1959"/>
      <c r="AI137" s="1989"/>
      <c r="AJ137" s="1989"/>
      <c r="AK137" s="1989"/>
      <c r="AL137" s="1989"/>
      <c r="AM137" s="1989"/>
      <c r="AN137" s="1989"/>
      <c r="AO137" s="1989"/>
      <c r="AP137" s="88"/>
      <c r="AQ137" s="87"/>
      <c r="AR137" s="87"/>
      <c r="AS137" s="87"/>
      <c r="AT137" s="88"/>
      <c r="AU137" s="87"/>
      <c r="AV137" s="87"/>
      <c r="AW137" s="87"/>
      <c r="AX137" s="88"/>
      <c r="AY137" s="87"/>
      <c r="AZ137" s="87"/>
      <c r="BA137" s="87"/>
      <c r="BB137" s="88"/>
      <c r="BC137" s="87"/>
      <c r="BD137" s="87"/>
      <c r="BE137" s="87"/>
      <c r="BF137" s="88"/>
      <c r="BG137" s="87"/>
      <c r="BH137" s="87"/>
      <c r="BI137" s="87"/>
      <c r="BJ137" s="88"/>
      <c r="BK137" s="87"/>
      <c r="BL137" s="87"/>
      <c r="BM137" s="87"/>
      <c r="BN137" s="88"/>
      <c r="BO137" s="87"/>
      <c r="BP137" s="87"/>
      <c r="BQ137" s="87"/>
      <c r="BR137" s="88"/>
      <c r="BS137" s="87"/>
      <c r="BT137" s="87"/>
      <c r="BU137" s="87"/>
      <c r="BV137" s="88"/>
      <c r="BW137" s="87"/>
      <c r="BX137" s="87"/>
      <c r="BY137" s="87"/>
      <c r="BZ137" s="88"/>
      <c r="CA137" s="87"/>
      <c r="CB137" s="87"/>
      <c r="CC137" s="87"/>
      <c r="CD137" s="88"/>
      <c r="CE137" s="87"/>
      <c r="CF137" s="87"/>
      <c r="CG137" s="87"/>
      <c r="CH137" s="88"/>
      <c r="CI137" s="87"/>
      <c r="CJ137" s="87"/>
      <c r="CK137" s="87">
        <f t="shared" ref="CK137:CQ137" si="343">+CK136/CG136-1</f>
        <v>4.5990566037735769E-2</v>
      </c>
      <c r="CL137" s="88">
        <f t="shared" si="343"/>
        <v>3.3180778032036562E-2</v>
      </c>
      <c r="CM137" s="87">
        <f t="shared" si="343"/>
        <v>4.0091638029782439E-2</v>
      </c>
      <c r="CN137" s="87">
        <f t="shared" si="343"/>
        <v>2.7079140632408683E-2</v>
      </c>
      <c r="CO137" s="87">
        <f t="shared" si="343"/>
        <v>2.9312288613303261E-2</v>
      </c>
      <c r="CP137" s="88">
        <f t="shared" si="343"/>
        <v>1.3289036544850585E-2</v>
      </c>
      <c r="CQ137" s="87">
        <f t="shared" si="343"/>
        <v>-4.405286343612369E-3</v>
      </c>
      <c r="CR137" s="87"/>
      <c r="CS137" s="87"/>
      <c r="CT137" s="88"/>
      <c r="CU137" s="87"/>
      <c r="CV137" s="87"/>
      <c r="CW137" s="144"/>
      <c r="CX137" s="87"/>
      <c r="CY137" s="87"/>
      <c r="CZ137" s="87"/>
      <c r="DA137" s="87"/>
      <c r="DB137" s="88"/>
      <c r="DC137" s="87"/>
      <c r="DD137" s="87"/>
      <c r="DE137" s="87"/>
      <c r="DF137" s="87"/>
      <c r="DG137" s="1041"/>
      <c r="DH137" s="1041"/>
      <c r="DI137" s="1041"/>
      <c r="DJ137" s="1041"/>
      <c r="DK137" s="1041"/>
      <c r="DL137" s="1041"/>
      <c r="DM137" s="1041"/>
      <c r="DN137" s="1041"/>
      <c r="DO137" s="1041"/>
      <c r="DP137" s="1041"/>
      <c r="DQ137" s="1041"/>
      <c r="DR137" s="1041"/>
      <c r="DS137" s="1041"/>
      <c r="DT137" s="1041"/>
      <c r="DU137" s="1041"/>
      <c r="DV137" s="1041"/>
      <c r="DW137" s="1041"/>
      <c r="DX137" s="1041"/>
      <c r="DY137" s="144"/>
    </row>
    <row r="138" spans="1:129" hidden="1" outlineLevel="1">
      <c r="A138" s="100" t="s">
        <v>473</v>
      </c>
      <c r="B138" s="87"/>
      <c r="C138" s="87"/>
      <c r="D138" s="87"/>
      <c r="E138" s="87"/>
      <c r="F138" s="87"/>
      <c r="G138" s="87"/>
      <c r="H138" s="87"/>
      <c r="I138" s="87"/>
      <c r="J138" s="87"/>
      <c r="K138" s="87"/>
      <c r="L138" s="87"/>
      <c r="M138" s="87"/>
      <c r="N138" s="87"/>
      <c r="O138" s="87"/>
      <c r="P138" s="87"/>
      <c r="Q138" s="1041">
        <f t="shared" ref="Q138:Z138" si="344">+Q136-P136</f>
        <v>26</v>
      </c>
      <c r="R138" s="87">
        <f t="shared" si="344"/>
        <v>-913</v>
      </c>
      <c r="S138" s="87">
        <f t="shared" si="344"/>
        <v>0</v>
      </c>
      <c r="T138" s="1041">
        <f t="shared" si="344"/>
        <v>0</v>
      </c>
      <c r="U138" s="87">
        <f t="shared" si="344"/>
        <v>0</v>
      </c>
      <c r="V138" s="87">
        <f t="shared" si="344"/>
        <v>0</v>
      </c>
      <c r="W138" s="87">
        <f t="shared" si="344"/>
        <v>0</v>
      </c>
      <c r="X138" s="87">
        <f t="shared" si="344"/>
        <v>0</v>
      </c>
      <c r="Y138" s="87">
        <f t="shared" si="344"/>
        <v>0</v>
      </c>
      <c r="Z138" s="87">
        <f t="shared" si="344"/>
        <v>0</v>
      </c>
      <c r="AA138" s="1041"/>
      <c r="AB138" s="1041"/>
      <c r="AC138" s="1041"/>
      <c r="AD138" s="1041"/>
      <c r="AE138" s="1041"/>
      <c r="AF138" s="1041"/>
      <c r="AG138" s="1041"/>
      <c r="AH138" s="1959"/>
      <c r="AI138" s="1989"/>
      <c r="AJ138" s="1989"/>
      <c r="AK138" s="1989"/>
      <c r="AL138" s="1989"/>
      <c r="AM138" s="1989"/>
      <c r="AN138" s="1989"/>
      <c r="AO138" s="1989"/>
      <c r="AP138" s="88"/>
      <c r="AQ138" s="87"/>
      <c r="AR138" s="87"/>
      <c r="AS138" s="87"/>
      <c r="AT138" s="88"/>
      <c r="AU138" s="87"/>
      <c r="AV138" s="87"/>
      <c r="AW138" s="87"/>
      <c r="AX138" s="88"/>
      <c r="AY138" s="87"/>
      <c r="AZ138" s="87"/>
      <c r="BA138" s="87"/>
      <c r="BB138" s="88"/>
      <c r="BC138" s="87"/>
      <c r="BD138" s="87"/>
      <c r="BE138" s="87"/>
      <c r="BF138" s="88"/>
      <c r="BG138" s="87"/>
      <c r="BH138" s="87"/>
      <c r="BI138" s="87"/>
      <c r="BJ138" s="88"/>
      <c r="BK138" s="87"/>
      <c r="BL138" s="87"/>
      <c r="BM138" s="87"/>
      <c r="BN138" s="88"/>
      <c r="BO138" s="87"/>
      <c r="BP138" s="87"/>
      <c r="BQ138" s="87"/>
      <c r="BR138" s="88"/>
      <c r="BS138" s="87"/>
      <c r="BT138" s="87"/>
      <c r="BU138" s="87"/>
      <c r="BV138" s="88"/>
      <c r="BW138" s="87"/>
      <c r="BX138" s="87"/>
      <c r="BY138" s="87"/>
      <c r="BZ138" s="88"/>
      <c r="CA138" s="87"/>
      <c r="CB138" s="87"/>
      <c r="CC138" s="87"/>
      <c r="CD138" s="88"/>
      <c r="CE138" s="87"/>
      <c r="CF138" s="87"/>
      <c r="CG138" s="87"/>
      <c r="CH138" s="159">
        <f t="shared" ref="CH138:CQ138" si="345">+CH136-CG136</f>
        <v>26</v>
      </c>
      <c r="CI138" s="143">
        <f t="shared" si="345"/>
        <v>-1</v>
      </c>
      <c r="CJ138" s="504">
        <f t="shared" si="345"/>
        <v>13.981308411214854</v>
      </c>
      <c r="CK138" s="504">
        <f t="shared" si="345"/>
        <v>1.8691588785145541E-2</v>
      </c>
      <c r="CL138" s="159">
        <f t="shared" si="345"/>
        <v>16</v>
      </c>
      <c r="CM138" s="143">
        <f t="shared" si="345"/>
        <v>5</v>
      </c>
      <c r="CN138" s="143">
        <f t="shared" si="345"/>
        <v>3</v>
      </c>
      <c r="CO138" s="143">
        <f t="shared" si="345"/>
        <v>2</v>
      </c>
      <c r="CP138" s="159">
        <f t="shared" si="345"/>
        <v>2</v>
      </c>
      <c r="CQ138" s="143">
        <f t="shared" si="345"/>
        <v>-11</v>
      </c>
      <c r="CR138" s="143"/>
      <c r="CS138" s="143"/>
      <c r="CT138" s="159"/>
      <c r="CU138" s="143"/>
      <c r="CV138" s="143"/>
      <c r="CW138" s="189"/>
      <c r="CX138" s="143"/>
      <c r="CY138" s="143"/>
      <c r="CZ138" s="143"/>
      <c r="DA138" s="143"/>
      <c r="DB138" s="159"/>
      <c r="DC138" s="143"/>
      <c r="DD138" s="143"/>
      <c r="DE138" s="143"/>
      <c r="DF138" s="143"/>
      <c r="DG138" s="1047"/>
      <c r="DH138" s="1047"/>
      <c r="DI138" s="1047"/>
      <c r="DJ138" s="1047"/>
      <c r="DK138" s="1047"/>
      <c r="DL138" s="1047"/>
      <c r="DM138" s="1047"/>
      <c r="DN138" s="1047"/>
      <c r="DO138" s="1047"/>
      <c r="DP138" s="1047"/>
      <c r="DQ138" s="1047"/>
      <c r="DR138" s="1047"/>
      <c r="DS138" s="1047"/>
      <c r="DT138" s="1047"/>
      <c r="DU138" s="1047"/>
      <c r="DV138" s="1047"/>
      <c r="DW138" s="1047"/>
      <c r="DX138" s="1047"/>
      <c r="DY138" s="189"/>
    </row>
    <row r="139" spans="1:129" hidden="1" outlineLevel="1">
      <c r="A139" s="88"/>
      <c r="B139" s="87"/>
      <c r="C139" s="87"/>
      <c r="D139" s="87"/>
      <c r="E139" s="87"/>
      <c r="F139" s="87"/>
      <c r="G139" s="87"/>
      <c r="H139" s="87"/>
      <c r="I139" s="87"/>
      <c r="J139" s="87"/>
      <c r="K139" s="87"/>
      <c r="L139" s="87"/>
      <c r="M139" s="87"/>
      <c r="N139" s="87"/>
      <c r="O139" s="87"/>
      <c r="P139" s="87"/>
      <c r="Q139" s="1041"/>
      <c r="R139" s="87"/>
      <c r="S139" s="87"/>
      <c r="T139" s="1041"/>
      <c r="U139" s="87"/>
      <c r="V139" s="87"/>
      <c r="W139" s="87"/>
      <c r="X139" s="87"/>
      <c r="Y139" s="87"/>
      <c r="Z139" s="87"/>
      <c r="AA139" s="1041"/>
      <c r="AB139" s="1041"/>
      <c r="AC139" s="1041"/>
      <c r="AD139" s="1041"/>
      <c r="AE139" s="1041"/>
      <c r="AF139" s="1041"/>
      <c r="AG139" s="1041"/>
      <c r="AH139" s="1959"/>
      <c r="AI139" s="1989"/>
      <c r="AJ139" s="1989"/>
      <c r="AK139" s="1989"/>
      <c r="AL139" s="1989"/>
      <c r="AM139" s="1989"/>
      <c r="AN139" s="1989"/>
      <c r="AO139" s="1989"/>
      <c r="AP139" s="88"/>
      <c r="AQ139" s="87"/>
      <c r="AR139" s="87"/>
      <c r="AS139" s="87"/>
      <c r="AT139" s="88"/>
      <c r="AU139" s="87"/>
      <c r="AV139" s="87"/>
      <c r="AW139" s="87"/>
      <c r="AX139" s="88"/>
      <c r="AY139" s="87"/>
      <c r="AZ139" s="87"/>
      <c r="BA139" s="87"/>
      <c r="BB139" s="88"/>
      <c r="BC139" s="87"/>
      <c r="BD139" s="87"/>
      <c r="BE139" s="87"/>
      <c r="BF139" s="88"/>
      <c r="BG139" s="87"/>
      <c r="BH139" s="87"/>
      <c r="BI139" s="87"/>
      <c r="BJ139" s="88"/>
      <c r="BK139" s="87"/>
      <c r="BL139" s="87"/>
      <c r="BM139" s="87"/>
      <c r="BN139" s="88"/>
      <c r="BO139" s="87"/>
      <c r="BP139" s="87"/>
      <c r="BQ139" s="87"/>
      <c r="BR139" s="88"/>
      <c r="BS139" s="87"/>
      <c r="BT139" s="87"/>
      <c r="BU139" s="87"/>
      <c r="BV139" s="88"/>
      <c r="BW139" s="87"/>
      <c r="BX139" s="87"/>
      <c r="BY139" s="87"/>
      <c r="BZ139" s="88"/>
      <c r="CA139" s="87"/>
      <c r="CB139" s="87"/>
      <c r="CC139" s="87"/>
      <c r="CD139" s="88"/>
      <c r="CE139" s="87"/>
      <c r="CF139" s="87"/>
      <c r="CG139" s="87"/>
      <c r="CH139" s="88"/>
      <c r="CI139" s="87"/>
      <c r="CJ139" s="87"/>
      <c r="CK139" s="87"/>
      <c r="CL139" s="88"/>
      <c r="CM139" s="87"/>
      <c r="CN139" s="87"/>
      <c r="CO139" s="87"/>
      <c r="CP139" s="88"/>
      <c r="CQ139" s="87"/>
      <c r="CR139" s="87"/>
      <c r="CS139" s="87"/>
      <c r="CT139" s="88"/>
      <c r="CU139" s="87"/>
      <c r="CV139" s="87"/>
      <c r="CW139" s="144"/>
      <c r="CX139" s="87"/>
      <c r="CY139" s="87"/>
      <c r="CZ139" s="87"/>
      <c r="DA139" s="87"/>
      <c r="DB139" s="88"/>
      <c r="DC139" s="87"/>
      <c r="DD139" s="87"/>
      <c r="DE139" s="87"/>
      <c r="DF139" s="87"/>
      <c r="DG139" s="1041"/>
      <c r="DH139" s="1041"/>
      <c r="DI139" s="1041"/>
      <c r="DJ139" s="1041"/>
      <c r="DK139" s="1041"/>
      <c r="DL139" s="1041"/>
      <c r="DM139" s="1041"/>
      <c r="DN139" s="1041"/>
      <c r="DO139" s="1041"/>
      <c r="DP139" s="1041"/>
      <c r="DQ139" s="1041"/>
      <c r="DR139" s="1041"/>
      <c r="DS139" s="1041"/>
      <c r="DT139" s="1041"/>
      <c r="DU139" s="1041"/>
      <c r="DV139" s="1041"/>
      <c r="DW139" s="1041"/>
      <c r="DX139" s="1041"/>
      <c r="DY139" s="144"/>
    </row>
    <row r="140" spans="1:129" hidden="1" outlineLevel="1">
      <c r="A140" s="151" t="s">
        <v>476</v>
      </c>
      <c r="B140" s="87"/>
      <c r="C140" s="87"/>
      <c r="D140" s="87"/>
      <c r="E140" s="87"/>
      <c r="F140" s="87"/>
      <c r="G140" s="87"/>
      <c r="H140" s="87"/>
      <c r="I140" s="87"/>
      <c r="J140" s="87"/>
      <c r="K140" s="87"/>
      <c r="L140" s="87"/>
      <c r="M140" s="87"/>
      <c r="N140" s="87"/>
      <c r="O140" s="87"/>
      <c r="P140" s="87">
        <f>CK140</f>
        <v>69</v>
      </c>
      <c r="Q140" s="1041">
        <f>CO140</f>
        <v>111</v>
      </c>
      <c r="R140" s="87">
        <f>+CS140</f>
        <v>0</v>
      </c>
      <c r="S140" s="143">
        <f t="shared" ref="S140:Z140" si="346">+R140*(1+S141)</f>
        <v>0</v>
      </c>
      <c r="T140" s="1047">
        <f t="shared" si="346"/>
        <v>0</v>
      </c>
      <c r="U140" s="143">
        <f t="shared" si="346"/>
        <v>0</v>
      </c>
      <c r="V140" s="143">
        <f t="shared" si="346"/>
        <v>0</v>
      </c>
      <c r="W140" s="143">
        <f t="shared" si="346"/>
        <v>0</v>
      </c>
      <c r="X140" s="143">
        <f t="shared" si="346"/>
        <v>0</v>
      </c>
      <c r="Y140" s="143">
        <f t="shared" si="346"/>
        <v>0</v>
      </c>
      <c r="Z140" s="143">
        <f t="shared" si="346"/>
        <v>0</v>
      </c>
      <c r="AA140" s="1047"/>
      <c r="AB140" s="1047"/>
      <c r="AC140" s="1047"/>
      <c r="AD140" s="1047"/>
      <c r="AE140" s="1047"/>
      <c r="AF140" s="1047"/>
      <c r="AG140" s="1047"/>
      <c r="AH140" s="1959"/>
      <c r="AI140" s="1989"/>
      <c r="AJ140" s="1989"/>
      <c r="AK140" s="1989"/>
      <c r="AL140" s="1989"/>
      <c r="AM140" s="1989"/>
      <c r="AN140" s="1989"/>
      <c r="AO140" s="1989"/>
      <c r="AP140" s="88"/>
      <c r="AQ140" s="87"/>
      <c r="AR140" s="87"/>
      <c r="AS140" s="87"/>
      <c r="AT140" s="88"/>
      <c r="AU140" s="87"/>
      <c r="AV140" s="87"/>
      <c r="AW140" s="87"/>
      <c r="AX140" s="88"/>
      <c r="AY140" s="87"/>
      <c r="AZ140" s="87"/>
      <c r="BA140" s="87"/>
      <c r="BB140" s="88"/>
      <c r="BC140" s="87"/>
      <c r="BD140" s="87"/>
      <c r="BE140" s="87"/>
      <c r="BF140" s="88"/>
      <c r="BG140" s="87"/>
      <c r="BH140" s="87"/>
      <c r="BI140" s="87"/>
      <c r="BJ140" s="88"/>
      <c r="BK140" s="87"/>
      <c r="BL140" s="87"/>
      <c r="BM140" s="87"/>
      <c r="BN140" s="88"/>
      <c r="BO140" s="87"/>
      <c r="BP140" s="87"/>
      <c r="BQ140" s="87"/>
      <c r="BR140" s="88"/>
      <c r="BS140" s="87"/>
      <c r="BT140" s="87"/>
      <c r="BU140" s="87"/>
      <c r="BV140" s="88"/>
      <c r="BW140" s="87"/>
      <c r="BX140" s="87"/>
      <c r="BY140" s="87"/>
      <c r="BZ140" s="88"/>
      <c r="CA140" s="87"/>
      <c r="CB140" s="87"/>
      <c r="CC140" s="87"/>
      <c r="CD140" s="88"/>
      <c r="CE140" s="87"/>
      <c r="CF140" s="87"/>
      <c r="CG140" s="528">
        <v>26</v>
      </c>
      <c r="CH140" s="527">
        <v>40</v>
      </c>
      <c r="CI140" s="528">
        <v>46.72727272727272</v>
      </c>
      <c r="CJ140" s="539">
        <f>+CN140/(1+CN141)</f>
        <v>59.444444444444443</v>
      </c>
      <c r="CK140" s="528">
        <v>69</v>
      </c>
      <c r="CL140" s="527">
        <v>87</v>
      </c>
      <c r="CM140" s="528">
        <v>102.8</v>
      </c>
      <c r="CN140" s="528">
        <v>107</v>
      </c>
      <c r="CO140" s="528">
        <v>111</v>
      </c>
      <c r="CP140" s="527">
        <v>114.3</v>
      </c>
      <c r="CQ140" s="528">
        <v>117</v>
      </c>
      <c r="CR140" s="143"/>
      <c r="CS140" s="143"/>
      <c r="CT140" s="159"/>
      <c r="CU140" s="143"/>
      <c r="CV140" s="143"/>
      <c r="CW140" s="189"/>
      <c r="CX140" s="143"/>
      <c r="CY140" s="143"/>
      <c r="CZ140" s="143"/>
      <c r="DA140" s="143"/>
      <c r="DB140" s="159"/>
      <c r="DC140" s="143"/>
      <c r="DD140" s="143"/>
      <c r="DE140" s="143"/>
      <c r="DF140" s="143"/>
      <c r="DG140" s="1047"/>
      <c r="DH140" s="1047"/>
      <c r="DI140" s="1047"/>
      <c r="DJ140" s="1047"/>
      <c r="DK140" s="1047"/>
      <c r="DL140" s="1047"/>
      <c r="DM140" s="1047"/>
      <c r="DN140" s="1047"/>
      <c r="DO140" s="1047"/>
      <c r="DP140" s="1047"/>
      <c r="DQ140" s="1047"/>
      <c r="DR140" s="1047"/>
      <c r="DS140" s="1047"/>
      <c r="DT140" s="1047"/>
      <c r="DU140" s="1047"/>
      <c r="DV140" s="1047"/>
      <c r="DW140" s="1047"/>
      <c r="DX140" s="1047"/>
      <c r="DY140" s="189"/>
    </row>
    <row r="141" spans="1:129" hidden="1" outlineLevel="1">
      <c r="A141" s="677" t="s">
        <v>472</v>
      </c>
      <c r="B141" s="87"/>
      <c r="C141" s="87"/>
      <c r="D141" s="87"/>
      <c r="E141" s="87"/>
      <c r="F141" s="87"/>
      <c r="G141" s="87"/>
      <c r="H141" s="87"/>
      <c r="I141" s="87"/>
      <c r="J141" s="87"/>
      <c r="K141" s="87"/>
      <c r="L141" s="87"/>
      <c r="M141" s="87"/>
      <c r="N141" s="87"/>
      <c r="O141" s="87"/>
      <c r="P141" s="87"/>
      <c r="Q141" s="1041">
        <f>+Q140/P140-1</f>
        <v>0.60869565217391308</v>
      </c>
      <c r="R141" s="87">
        <f>+R140/Q140-1</f>
        <v>-1</v>
      </c>
      <c r="S141" s="103">
        <v>0.3</v>
      </c>
      <c r="T141" s="1043">
        <v>0.25</v>
      </c>
      <c r="U141" s="103">
        <v>0.2</v>
      </c>
      <c r="V141" s="103">
        <v>0.15</v>
      </c>
      <c r="W141" s="103">
        <v>0.15</v>
      </c>
      <c r="X141" s="103">
        <v>0.15</v>
      </c>
      <c r="Y141" s="103">
        <v>0.15</v>
      </c>
      <c r="Z141" s="103">
        <v>0.15</v>
      </c>
      <c r="AA141" s="1043"/>
      <c r="AB141" s="1043"/>
      <c r="AC141" s="1043"/>
      <c r="AD141" s="1043"/>
      <c r="AE141" s="1043"/>
      <c r="AF141" s="1043"/>
      <c r="AG141" s="1043"/>
      <c r="AH141" s="1959"/>
      <c r="AI141" s="1989"/>
      <c r="AJ141" s="1989"/>
      <c r="AK141" s="1989"/>
      <c r="AL141" s="1989"/>
      <c r="AM141" s="1989"/>
      <c r="AN141" s="1989"/>
      <c r="AO141" s="1989"/>
      <c r="AP141" s="88"/>
      <c r="AQ141" s="87"/>
      <c r="AR141" s="87"/>
      <c r="AS141" s="87"/>
      <c r="AT141" s="88"/>
      <c r="AU141" s="87"/>
      <c r="AV141" s="87"/>
      <c r="AW141" s="87"/>
      <c r="AX141" s="88"/>
      <c r="AY141" s="87"/>
      <c r="AZ141" s="87"/>
      <c r="BA141" s="87"/>
      <c r="BB141" s="88"/>
      <c r="BC141" s="87"/>
      <c r="BD141" s="87"/>
      <c r="BE141" s="87"/>
      <c r="BF141" s="88"/>
      <c r="BG141" s="87"/>
      <c r="BH141" s="87"/>
      <c r="BI141" s="87"/>
      <c r="BJ141" s="88"/>
      <c r="BK141" s="87"/>
      <c r="BL141" s="87"/>
      <c r="BM141" s="87"/>
      <c r="BN141" s="88"/>
      <c r="BO141" s="87"/>
      <c r="BP141" s="87"/>
      <c r="BQ141" s="87"/>
      <c r="BR141" s="88"/>
      <c r="BS141" s="87"/>
      <c r="BT141" s="87"/>
      <c r="BU141" s="87"/>
      <c r="BV141" s="88"/>
      <c r="BW141" s="87"/>
      <c r="BX141" s="87"/>
      <c r="BY141" s="87"/>
      <c r="BZ141" s="88"/>
      <c r="CA141" s="87"/>
      <c r="CB141" s="87"/>
      <c r="CC141" s="87"/>
      <c r="CD141" s="88"/>
      <c r="CE141" s="87"/>
      <c r="CF141" s="87"/>
      <c r="CG141" s="87"/>
      <c r="CH141" s="88"/>
      <c r="CI141" s="87"/>
      <c r="CJ141" s="87"/>
      <c r="CK141" s="87">
        <f>+CK140/CG140-1</f>
        <v>1.6538461538461537</v>
      </c>
      <c r="CL141" s="88">
        <f>+CL140/CH140-1</f>
        <v>1.1749999999999998</v>
      </c>
      <c r="CM141" s="87">
        <f>+CM140/CI140-1</f>
        <v>1.2000000000000002</v>
      </c>
      <c r="CN141" s="738">
        <v>0.8</v>
      </c>
      <c r="CO141" s="87">
        <f>+CO140/CK140-1</f>
        <v>0.60869565217391308</v>
      </c>
      <c r="CP141" s="88">
        <f>+CP140/CL140-1</f>
        <v>0.31379310344827593</v>
      </c>
      <c r="CQ141" s="87">
        <f>+CQ140/CM140-1</f>
        <v>0.13813229571984431</v>
      </c>
      <c r="CR141" s="103"/>
      <c r="CS141" s="103"/>
      <c r="CT141" s="496"/>
      <c r="CU141" s="103"/>
      <c r="CV141" s="103"/>
      <c r="CW141" s="497"/>
      <c r="CX141" s="103"/>
      <c r="CY141" s="103"/>
      <c r="CZ141" s="103"/>
      <c r="DA141" s="103"/>
      <c r="DB141" s="496"/>
      <c r="DC141" s="103"/>
      <c r="DD141" s="103"/>
      <c r="DE141" s="103"/>
      <c r="DF141" s="103"/>
      <c r="DG141" s="1043"/>
      <c r="DH141" s="1043"/>
      <c r="DI141" s="1043"/>
      <c r="DJ141" s="1043"/>
      <c r="DK141" s="1043"/>
      <c r="DL141" s="1043"/>
      <c r="DM141" s="1043"/>
      <c r="DN141" s="1043"/>
      <c r="DO141" s="1043"/>
      <c r="DP141" s="1043"/>
      <c r="DQ141" s="1043"/>
      <c r="DR141" s="1043"/>
      <c r="DS141" s="1043"/>
      <c r="DT141" s="1043"/>
      <c r="DU141" s="1043"/>
      <c r="DV141" s="1043"/>
      <c r="DW141" s="1043"/>
      <c r="DX141" s="1043"/>
      <c r="DY141" s="497"/>
    </row>
    <row r="142" spans="1:129" hidden="1" outlineLevel="1">
      <c r="A142" s="677" t="s">
        <v>473</v>
      </c>
      <c r="B142" s="87"/>
      <c r="C142" s="87"/>
      <c r="D142" s="87"/>
      <c r="E142" s="87"/>
      <c r="F142" s="87"/>
      <c r="G142" s="87"/>
      <c r="H142" s="87"/>
      <c r="I142" s="87"/>
      <c r="J142" s="87"/>
      <c r="K142" s="87"/>
      <c r="L142" s="87"/>
      <c r="M142" s="87"/>
      <c r="N142" s="87"/>
      <c r="O142" s="87"/>
      <c r="P142" s="87"/>
      <c r="Q142" s="1041">
        <f t="shared" ref="Q142:Z142" si="347">+Q140-P140</f>
        <v>42</v>
      </c>
      <c r="R142" s="87">
        <f t="shared" si="347"/>
        <v>-111</v>
      </c>
      <c r="S142" s="87">
        <f t="shared" si="347"/>
        <v>0</v>
      </c>
      <c r="T142" s="1041">
        <f t="shared" si="347"/>
        <v>0</v>
      </c>
      <c r="U142" s="87">
        <f t="shared" si="347"/>
        <v>0</v>
      </c>
      <c r="V142" s="87">
        <f t="shared" si="347"/>
        <v>0</v>
      </c>
      <c r="W142" s="87">
        <f t="shared" si="347"/>
        <v>0</v>
      </c>
      <c r="X142" s="87">
        <f t="shared" si="347"/>
        <v>0</v>
      </c>
      <c r="Y142" s="87">
        <f t="shared" si="347"/>
        <v>0</v>
      </c>
      <c r="Z142" s="87">
        <f t="shared" si="347"/>
        <v>0</v>
      </c>
      <c r="AA142" s="1041"/>
      <c r="AB142" s="1041"/>
      <c r="AC142" s="1041"/>
      <c r="AD142" s="1041"/>
      <c r="AE142" s="1041"/>
      <c r="AF142" s="1041"/>
      <c r="AG142" s="1041"/>
      <c r="AH142" s="1959"/>
      <c r="AI142" s="1989"/>
      <c r="AJ142" s="1989"/>
      <c r="AK142" s="1989"/>
      <c r="AL142" s="1989"/>
      <c r="AM142" s="1989"/>
      <c r="AN142" s="1989"/>
      <c r="AO142" s="1989"/>
      <c r="AP142" s="88"/>
      <c r="AQ142" s="87"/>
      <c r="AR142" s="87"/>
      <c r="AS142" s="87"/>
      <c r="AT142" s="88"/>
      <c r="AU142" s="87"/>
      <c r="AV142" s="87"/>
      <c r="AW142" s="87"/>
      <c r="AX142" s="88"/>
      <c r="AY142" s="87"/>
      <c r="AZ142" s="87"/>
      <c r="BA142" s="87"/>
      <c r="BB142" s="88"/>
      <c r="BC142" s="87"/>
      <c r="BD142" s="87"/>
      <c r="BE142" s="87"/>
      <c r="BF142" s="88"/>
      <c r="BG142" s="87"/>
      <c r="BH142" s="87"/>
      <c r="BI142" s="87"/>
      <c r="BJ142" s="88"/>
      <c r="BK142" s="87"/>
      <c r="BL142" s="87"/>
      <c r="BM142" s="87"/>
      <c r="BN142" s="88"/>
      <c r="BO142" s="87"/>
      <c r="BP142" s="87"/>
      <c r="BQ142" s="87"/>
      <c r="BR142" s="88"/>
      <c r="BS142" s="87"/>
      <c r="BT142" s="87"/>
      <c r="BU142" s="87"/>
      <c r="BV142" s="88"/>
      <c r="BW142" s="87"/>
      <c r="BX142" s="87"/>
      <c r="BY142" s="87"/>
      <c r="BZ142" s="88"/>
      <c r="CA142" s="87"/>
      <c r="CB142" s="87"/>
      <c r="CC142" s="87"/>
      <c r="CD142" s="88"/>
      <c r="CE142" s="87"/>
      <c r="CF142" s="87"/>
      <c r="CG142" s="87"/>
      <c r="CH142" s="159">
        <f t="shared" ref="CH142:CQ142" si="348">+CH140-CG140</f>
        <v>14</v>
      </c>
      <c r="CI142" s="143">
        <f t="shared" si="348"/>
        <v>6.7272727272727195</v>
      </c>
      <c r="CJ142" s="504">
        <f t="shared" si="348"/>
        <v>12.717171717171723</v>
      </c>
      <c r="CK142" s="504">
        <f t="shared" si="348"/>
        <v>9.5555555555555571</v>
      </c>
      <c r="CL142" s="159">
        <f t="shared" si="348"/>
        <v>18</v>
      </c>
      <c r="CM142" s="143">
        <f t="shared" si="348"/>
        <v>15.799999999999997</v>
      </c>
      <c r="CN142" s="143">
        <f t="shared" si="348"/>
        <v>4.2000000000000028</v>
      </c>
      <c r="CO142" s="143">
        <f t="shared" si="348"/>
        <v>4</v>
      </c>
      <c r="CP142" s="159">
        <f t="shared" si="348"/>
        <v>3.2999999999999972</v>
      </c>
      <c r="CQ142" s="143">
        <f t="shared" si="348"/>
        <v>2.7000000000000028</v>
      </c>
      <c r="CR142" s="143"/>
      <c r="CS142" s="143"/>
      <c r="CT142" s="159"/>
      <c r="CU142" s="143"/>
      <c r="CV142" s="143"/>
      <c r="CW142" s="189"/>
      <c r="CX142" s="143"/>
      <c r="CY142" s="143"/>
      <c r="CZ142" s="143"/>
      <c r="DA142" s="143"/>
      <c r="DB142" s="159"/>
      <c r="DC142" s="143"/>
      <c r="DD142" s="143"/>
      <c r="DE142" s="143"/>
      <c r="DF142" s="143"/>
      <c r="DG142" s="1047"/>
      <c r="DH142" s="1047"/>
      <c r="DI142" s="1047"/>
      <c r="DJ142" s="1047"/>
      <c r="DK142" s="1047"/>
      <c r="DL142" s="1047"/>
      <c r="DM142" s="1047"/>
      <c r="DN142" s="1047"/>
      <c r="DO142" s="1047"/>
      <c r="DP142" s="1047"/>
      <c r="DQ142" s="1047"/>
      <c r="DR142" s="1047"/>
      <c r="DS142" s="1047"/>
      <c r="DT142" s="1047"/>
      <c r="DU142" s="1047"/>
      <c r="DV142" s="1047"/>
      <c r="DW142" s="1047"/>
      <c r="DX142" s="1047"/>
      <c r="DY142" s="189"/>
    </row>
    <row r="143" spans="1:129" hidden="1" outlineLevel="1">
      <c r="A143" s="88"/>
      <c r="B143" s="87"/>
      <c r="C143" s="87"/>
      <c r="D143" s="87"/>
      <c r="E143" s="87"/>
      <c r="F143" s="87"/>
      <c r="G143" s="87"/>
      <c r="H143" s="87"/>
      <c r="I143" s="87"/>
      <c r="J143" s="87"/>
      <c r="K143" s="87"/>
      <c r="L143" s="87"/>
      <c r="M143" s="87"/>
      <c r="N143" s="87"/>
      <c r="O143" s="87"/>
      <c r="P143" s="87"/>
      <c r="Q143" s="1041"/>
      <c r="R143" s="87"/>
      <c r="S143" s="87"/>
      <c r="T143" s="1041"/>
      <c r="U143" s="87"/>
      <c r="V143" s="87"/>
      <c r="W143" s="87"/>
      <c r="X143" s="87"/>
      <c r="Y143" s="87"/>
      <c r="Z143" s="87"/>
      <c r="AA143" s="1041"/>
      <c r="AB143" s="1041"/>
      <c r="AC143" s="1041"/>
      <c r="AD143" s="1041"/>
      <c r="AE143" s="1041"/>
      <c r="AF143" s="1041"/>
      <c r="AG143" s="1041"/>
      <c r="AH143" s="1959"/>
      <c r="AI143" s="1989"/>
      <c r="AJ143" s="1989"/>
      <c r="AK143" s="1989"/>
      <c r="AL143" s="1989"/>
      <c r="AM143" s="1989"/>
      <c r="AN143" s="1989"/>
      <c r="AO143" s="1989"/>
      <c r="AP143" s="88"/>
      <c r="AQ143" s="87"/>
      <c r="AR143" s="87"/>
      <c r="AS143" s="87"/>
      <c r="AT143" s="88"/>
      <c r="AU143" s="87"/>
      <c r="AV143" s="87"/>
      <c r="AW143" s="87"/>
      <c r="AX143" s="88"/>
      <c r="AY143" s="87"/>
      <c r="AZ143" s="87"/>
      <c r="BA143" s="87"/>
      <c r="BB143" s="88"/>
      <c r="BC143" s="87"/>
      <c r="BD143" s="87"/>
      <c r="BE143" s="87"/>
      <c r="BF143" s="88"/>
      <c r="BG143" s="87"/>
      <c r="BH143" s="87"/>
      <c r="BI143" s="87"/>
      <c r="BJ143" s="88"/>
      <c r="BK143" s="87"/>
      <c r="BL143" s="87"/>
      <c r="BM143" s="87"/>
      <c r="BN143" s="88"/>
      <c r="BO143" s="87"/>
      <c r="BP143" s="87"/>
      <c r="BQ143" s="87"/>
      <c r="BR143" s="88"/>
      <c r="BS143" s="87"/>
      <c r="BT143" s="87"/>
      <c r="BU143" s="87"/>
      <c r="BV143" s="88"/>
      <c r="BW143" s="87"/>
      <c r="BX143" s="87"/>
      <c r="BY143" s="87"/>
      <c r="BZ143" s="88"/>
      <c r="CA143" s="87"/>
      <c r="CB143" s="87"/>
      <c r="CC143" s="87"/>
      <c r="CD143" s="88"/>
      <c r="CE143" s="87"/>
      <c r="CF143" s="87"/>
      <c r="CG143" s="87"/>
      <c r="CH143" s="88"/>
      <c r="CI143" s="87"/>
      <c r="CJ143" s="87"/>
      <c r="CK143" s="87"/>
      <c r="CL143" s="88"/>
      <c r="CM143" s="87"/>
      <c r="CN143" s="87"/>
      <c r="CO143" s="87"/>
      <c r="CP143" s="88"/>
      <c r="CQ143" s="87"/>
      <c r="CR143" s="87"/>
      <c r="CS143" s="87"/>
      <c r="CT143" s="554"/>
      <c r="CW143" s="555"/>
      <c r="DB143" s="554"/>
      <c r="DY143" s="555"/>
    </row>
    <row r="144" spans="1:129" hidden="1" outlineLevel="1">
      <c r="A144" s="88"/>
      <c r="B144" s="87"/>
      <c r="C144" s="87"/>
      <c r="D144" s="87"/>
      <c r="E144" s="87"/>
      <c r="F144" s="87"/>
      <c r="G144" s="87"/>
      <c r="H144" s="87"/>
      <c r="I144" s="87"/>
      <c r="J144" s="87"/>
      <c r="K144" s="87"/>
      <c r="L144" s="87"/>
      <c r="M144" s="87"/>
      <c r="N144" s="87"/>
      <c r="O144" s="87"/>
      <c r="P144" s="87"/>
      <c r="Q144" s="1041"/>
      <c r="R144" s="87"/>
      <c r="S144" s="87"/>
      <c r="T144" s="1041"/>
      <c r="U144" s="87"/>
      <c r="V144" s="87"/>
      <c r="W144" s="87"/>
      <c r="X144" s="87"/>
      <c r="Y144" s="87"/>
      <c r="Z144" s="87"/>
      <c r="AA144" s="1041"/>
      <c r="AB144" s="1041"/>
      <c r="AC144" s="1041"/>
      <c r="AD144" s="1041"/>
      <c r="AE144" s="1041"/>
      <c r="AF144" s="1041"/>
      <c r="AG144" s="1041"/>
      <c r="AH144" s="1959"/>
      <c r="AI144" s="1989"/>
      <c r="AJ144" s="1989"/>
      <c r="AK144" s="1989"/>
      <c r="AL144" s="1989"/>
      <c r="AM144" s="1989"/>
      <c r="AN144" s="1989"/>
      <c r="AO144" s="1989"/>
      <c r="AP144" s="88"/>
      <c r="AQ144" s="87"/>
      <c r="AR144" s="87"/>
      <c r="AS144" s="87"/>
      <c r="AT144" s="88"/>
      <c r="AU144" s="87"/>
      <c r="AV144" s="87"/>
      <c r="AW144" s="87"/>
      <c r="AX144" s="88"/>
      <c r="AY144" s="87"/>
      <c r="AZ144" s="87"/>
      <c r="BA144" s="87"/>
      <c r="BB144" s="88"/>
      <c r="BC144" s="87"/>
      <c r="BD144" s="87"/>
      <c r="BE144" s="87"/>
      <c r="BF144" s="88"/>
      <c r="BG144" s="87"/>
      <c r="BH144" s="87"/>
      <c r="BI144" s="87"/>
      <c r="BJ144" s="88"/>
      <c r="BK144" s="87"/>
      <c r="BL144" s="87"/>
      <c r="BM144" s="87"/>
      <c r="BN144" s="88"/>
      <c r="BO144" s="87"/>
      <c r="BP144" s="87"/>
      <c r="BQ144" s="87"/>
      <c r="BR144" s="88"/>
      <c r="BS144" s="87"/>
      <c r="BT144" s="87"/>
      <c r="BU144" s="87"/>
      <c r="BV144" s="88"/>
      <c r="BW144" s="87"/>
      <c r="BX144" s="87"/>
      <c r="BY144" s="87"/>
      <c r="BZ144" s="88"/>
      <c r="CA144" s="87"/>
      <c r="CB144" s="87"/>
      <c r="CC144" s="87"/>
      <c r="CD144" s="88"/>
      <c r="CE144" s="87"/>
      <c r="CF144" s="87"/>
      <c r="CG144" s="87"/>
      <c r="CH144" s="88"/>
      <c r="CI144" s="87"/>
      <c r="CJ144" s="87"/>
      <c r="CK144" s="87"/>
      <c r="CL144" s="88"/>
      <c r="CM144" s="87"/>
      <c r="CN144" s="87"/>
      <c r="CO144" s="87"/>
      <c r="CP144" s="88"/>
      <c r="CQ144" s="87"/>
      <c r="CR144" s="87"/>
      <c r="CS144" s="87"/>
      <c r="CT144" s="554"/>
      <c r="CW144" s="555"/>
      <c r="DB144" s="554"/>
      <c r="DY144" s="555"/>
    </row>
    <row r="145" spans="1:129" hidden="1" outlineLevel="1">
      <c r="A145" s="88"/>
      <c r="B145" s="87"/>
      <c r="C145" s="87"/>
      <c r="D145" s="87"/>
      <c r="E145" s="87"/>
      <c r="F145" s="87"/>
      <c r="G145" s="87"/>
      <c r="H145" s="87"/>
      <c r="I145" s="87"/>
      <c r="J145" s="87"/>
      <c r="K145" s="87"/>
      <c r="L145" s="87"/>
      <c r="M145" s="87"/>
      <c r="N145" s="87"/>
      <c r="O145" s="87"/>
      <c r="P145" s="87"/>
      <c r="Q145" s="1041"/>
      <c r="R145" s="87"/>
      <c r="S145" s="87"/>
      <c r="T145" s="1041"/>
      <c r="U145" s="87"/>
      <c r="V145" s="87"/>
      <c r="W145" s="87"/>
      <c r="X145" s="87"/>
      <c r="Y145" s="87"/>
      <c r="Z145" s="87"/>
      <c r="AA145" s="1041"/>
      <c r="AB145" s="1041"/>
      <c r="AC145" s="1041"/>
      <c r="AD145" s="1041"/>
      <c r="AE145" s="1041"/>
      <c r="AF145" s="1041"/>
      <c r="AG145" s="1041"/>
      <c r="AH145" s="1959"/>
      <c r="AI145" s="1989"/>
      <c r="AJ145" s="1989"/>
      <c r="AK145" s="1989"/>
      <c r="AL145" s="1989"/>
      <c r="AM145" s="1989"/>
      <c r="AN145" s="1989"/>
      <c r="AO145" s="1989"/>
      <c r="AP145" s="88"/>
      <c r="AQ145" s="87"/>
      <c r="AR145" s="87"/>
      <c r="AS145" s="87"/>
      <c r="AT145" s="88"/>
      <c r="AU145" s="87"/>
      <c r="AV145" s="87"/>
      <c r="AW145" s="87"/>
      <c r="AX145" s="88"/>
      <c r="AY145" s="87"/>
      <c r="AZ145" s="87"/>
      <c r="BA145" s="87"/>
      <c r="BB145" s="88"/>
      <c r="BC145" s="87"/>
      <c r="BD145" s="87"/>
      <c r="BE145" s="87"/>
      <c r="BF145" s="88"/>
      <c r="BG145" s="87"/>
      <c r="BH145" s="87"/>
      <c r="BI145" s="87"/>
      <c r="BJ145" s="88"/>
      <c r="BK145" s="87"/>
      <c r="BL145" s="87"/>
      <c r="BM145" s="87"/>
      <c r="BN145" s="88"/>
      <c r="BO145" s="87"/>
      <c r="BP145" s="87"/>
      <c r="BQ145" s="87"/>
      <c r="BR145" s="88"/>
      <c r="BS145" s="87"/>
      <c r="BT145" s="87"/>
      <c r="BU145" s="87"/>
      <c r="BV145" s="88"/>
      <c r="BW145" s="87"/>
      <c r="BX145" s="87"/>
      <c r="BY145" s="87"/>
      <c r="BZ145" s="88"/>
      <c r="CA145" s="87"/>
      <c r="CB145" s="87"/>
      <c r="CC145" s="87"/>
      <c r="CD145" s="88"/>
      <c r="CE145" s="87"/>
      <c r="CF145" s="87"/>
      <c r="CG145" s="87"/>
      <c r="CH145" s="88"/>
      <c r="CI145" s="87"/>
      <c r="CJ145" s="87"/>
      <c r="CK145" s="87"/>
      <c r="CL145" s="88"/>
      <c r="CM145" s="87"/>
      <c r="CN145" s="87"/>
      <c r="CO145" s="87"/>
      <c r="CP145" s="88"/>
      <c r="CQ145" s="87"/>
      <c r="CR145" s="87"/>
      <c r="CS145" s="87"/>
      <c r="CT145" s="554"/>
      <c r="CW145" s="555"/>
      <c r="DB145" s="554"/>
      <c r="DY145" s="555"/>
    </row>
    <row r="146" spans="1:129" hidden="1" outlineLevel="1">
      <c r="A146" s="88"/>
      <c r="B146" s="87"/>
      <c r="C146" s="87"/>
      <c r="D146" s="87"/>
      <c r="E146" s="87"/>
      <c r="F146" s="87"/>
      <c r="G146" s="87"/>
      <c r="H146" s="87"/>
      <c r="I146" s="87"/>
      <c r="J146" s="87"/>
      <c r="K146" s="87"/>
      <c r="L146" s="87"/>
      <c r="M146" s="87"/>
      <c r="N146" s="87"/>
      <c r="O146" s="87"/>
      <c r="P146" s="87"/>
      <c r="Q146" s="1041"/>
      <c r="R146" s="87"/>
      <c r="S146" s="87"/>
      <c r="T146" s="1041"/>
      <c r="U146" s="87"/>
      <c r="V146" s="87"/>
      <c r="W146" s="87"/>
      <c r="X146" s="87"/>
      <c r="Y146" s="87"/>
      <c r="Z146" s="87"/>
      <c r="AA146" s="1041"/>
      <c r="AB146" s="1041"/>
      <c r="AC146" s="1041"/>
      <c r="AD146" s="1041"/>
      <c r="AE146" s="1041"/>
      <c r="AF146" s="1041"/>
      <c r="AG146" s="1041"/>
      <c r="AH146" s="1959"/>
      <c r="AI146" s="1989"/>
      <c r="AJ146" s="1989"/>
      <c r="AK146" s="1989"/>
      <c r="AL146" s="1989"/>
      <c r="AM146" s="1989"/>
      <c r="AN146" s="1989"/>
      <c r="AO146" s="1989"/>
      <c r="AP146" s="88"/>
      <c r="AQ146" s="87"/>
      <c r="AR146" s="87"/>
      <c r="AS146" s="87"/>
      <c r="AT146" s="88"/>
      <c r="AU146" s="87"/>
      <c r="AV146" s="87"/>
      <c r="AW146" s="87"/>
      <c r="AX146" s="88"/>
      <c r="AY146" s="87"/>
      <c r="AZ146" s="87"/>
      <c r="BA146" s="87"/>
      <c r="BB146" s="88"/>
      <c r="BC146" s="87"/>
      <c r="BD146" s="87"/>
      <c r="BE146" s="87"/>
      <c r="BF146" s="88"/>
      <c r="BG146" s="87"/>
      <c r="BH146" s="87"/>
      <c r="BI146" s="87"/>
      <c r="BJ146" s="88"/>
      <c r="BK146" s="87"/>
      <c r="BL146" s="87"/>
      <c r="BM146" s="87"/>
      <c r="BN146" s="88"/>
      <c r="BO146" s="87"/>
      <c r="BP146" s="87"/>
      <c r="BQ146" s="87"/>
      <c r="BR146" s="88"/>
      <c r="BS146" s="87"/>
      <c r="BT146" s="87"/>
      <c r="BU146" s="87"/>
      <c r="BV146" s="88"/>
      <c r="BW146" s="87"/>
      <c r="BX146" s="87"/>
      <c r="BY146" s="87"/>
      <c r="BZ146" s="88"/>
      <c r="CA146" s="87"/>
      <c r="CB146" s="87"/>
      <c r="CC146" s="87"/>
      <c r="CD146" s="88"/>
      <c r="CE146" s="87"/>
      <c r="CF146" s="87"/>
      <c r="CG146" s="143">
        <f>+CG90-CF90</f>
        <v>-830</v>
      </c>
      <c r="CH146" s="159">
        <f>+CH90-CG90</f>
        <v>-25</v>
      </c>
      <c r="CI146" s="143">
        <f>+CI90-CH90</f>
        <v>-132</v>
      </c>
      <c r="CJ146" s="143"/>
      <c r="CK146" s="143"/>
      <c r="CL146" s="159"/>
      <c r="CM146" s="143"/>
      <c r="CN146" s="143"/>
      <c r="CO146" s="143"/>
      <c r="CP146" s="159"/>
      <c r="CQ146" s="143"/>
      <c r="CR146" s="143"/>
      <c r="CS146" s="143"/>
      <c r="CT146" s="554"/>
      <c r="CW146" s="555"/>
      <c r="DB146" s="554"/>
      <c r="DY146" s="555"/>
    </row>
    <row r="147" spans="1:129" hidden="1" outlineLevel="1">
      <c r="A147" s="739" t="s">
        <v>477</v>
      </c>
      <c r="B147" s="556"/>
      <c r="C147" s="556"/>
      <c r="D147" s="556"/>
      <c r="E147" s="556"/>
      <c r="F147" s="556"/>
      <c r="G147" s="556"/>
      <c r="H147" s="556"/>
      <c r="I147" s="556"/>
      <c r="J147" s="556"/>
      <c r="K147" s="556"/>
      <c r="L147" s="556"/>
      <c r="M147" s="556"/>
      <c r="N147" s="556"/>
      <c r="O147" s="556"/>
      <c r="P147" s="556"/>
      <c r="Q147" s="1128"/>
      <c r="R147" s="556"/>
      <c r="S147" s="556"/>
      <c r="T147" s="1128"/>
      <c r="U147" s="556"/>
      <c r="V147" s="556"/>
      <c r="W147" s="556"/>
      <c r="X147" s="556"/>
      <c r="Y147" s="556"/>
      <c r="Z147" s="556"/>
      <c r="AA147" s="1128"/>
      <c r="AB147" s="1128"/>
      <c r="AC147" s="1128"/>
      <c r="AD147" s="1128"/>
      <c r="AE147" s="1128"/>
      <c r="AF147" s="1128"/>
      <c r="AG147" s="1128"/>
      <c r="AH147" s="2137"/>
      <c r="AI147"/>
      <c r="AJ147"/>
      <c r="AK147"/>
      <c r="AL147"/>
      <c r="AM147"/>
      <c r="AN147"/>
      <c r="AO147"/>
      <c r="AP147" s="560"/>
      <c r="AQ147" s="556"/>
      <c r="AR147" s="556"/>
      <c r="AS147" s="556"/>
      <c r="AT147" s="560"/>
      <c r="AU147" s="556"/>
      <c r="AV147" s="556"/>
      <c r="AW147" s="556"/>
      <c r="AX147" s="560"/>
      <c r="AY147" s="556"/>
      <c r="AZ147" s="556"/>
      <c r="BA147" s="556"/>
      <c r="BB147" s="560"/>
      <c r="BC147" s="556"/>
      <c r="BD147" s="556"/>
      <c r="BE147" s="556"/>
      <c r="BF147" s="560"/>
      <c r="BG147" s="556"/>
      <c r="BH147" s="556"/>
      <c r="BI147" s="556"/>
      <c r="BJ147" s="560"/>
      <c r="BK147" s="556"/>
      <c r="BL147" s="556"/>
      <c r="BM147" s="556"/>
      <c r="BN147" s="560"/>
      <c r="BO147" s="556"/>
      <c r="BP147" s="556"/>
      <c r="BQ147" s="556"/>
      <c r="BR147" s="560"/>
      <c r="BS147" s="556"/>
      <c r="BT147" s="556"/>
      <c r="BU147" s="556"/>
      <c r="BV147" s="560"/>
      <c r="BW147" s="556"/>
      <c r="BX147" s="556"/>
      <c r="BY147" s="556"/>
      <c r="BZ147" s="560"/>
      <c r="CA147" s="556"/>
      <c r="CB147" s="556"/>
      <c r="CC147" s="556"/>
      <c r="CD147" s="560"/>
      <c r="CE147" s="556"/>
      <c r="CF147" s="556"/>
      <c r="CG147" s="556"/>
      <c r="CH147" s="560"/>
      <c r="CI147" s="556"/>
      <c r="CJ147" s="556"/>
      <c r="CK147" s="556"/>
      <c r="CL147" s="290">
        <f>(Wless!CL254)*0.55/1000</f>
        <v>42.544700000000006</v>
      </c>
      <c r="CM147" s="288">
        <f>(Wless!CM254)*0.55/1000</f>
        <v>43.117249999999999</v>
      </c>
      <c r="CN147" s="288">
        <f>(Wless!CN254)*0.55/1000</f>
        <v>43.654050000000005</v>
      </c>
      <c r="CO147" s="288">
        <f>(Wless!CO254)*0.55/1000</f>
        <v>44.27225</v>
      </c>
      <c r="CP147" s="290">
        <f>(Wless!CP254)*0.55/1000</f>
        <v>44.501600000000003</v>
      </c>
      <c r="CQ147" s="288">
        <f>(Wless!CQ254)*0.55/1000</f>
        <v>44.86515</v>
      </c>
      <c r="CR147" s="288">
        <f>(Wless!CR254)*0.55/1000</f>
        <v>45.241350000000004</v>
      </c>
      <c r="CS147" s="288">
        <f>(Wless!CS254)*0.55/1000</f>
        <v>45.718750000000007</v>
      </c>
      <c r="CT147" s="290">
        <f>(Wless!CT254)*0.55/1000</f>
        <v>46.21705</v>
      </c>
      <c r="CU147" s="288">
        <f>(Wless!CU254)*0.55/1000</f>
        <v>46.909500000000008</v>
      </c>
      <c r="CV147" s="288">
        <f>(Wless!CV254)*0.55/1000</f>
        <v>47.396250000000009</v>
      </c>
      <c r="CW147" s="291">
        <f>(Wless!CW254)*0.55/1000</f>
        <v>48.060100000000006</v>
      </c>
      <c r="CX147" s="288">
        <f>(Wless!CX254)*0.55/1000</f>
        <v>48.379649999999998</v>
      </c>
      <c r="CY147" s="288">
        <f>(Wless!CY254)*0.55/1000</f>
        <v>48.860900000000001</v>
      </c>
      <c r="CZ147" s="288">
        <f>(Wless!CZ254)*0.55/1000</f>
        <v>49.694700000000005</v>
      </c>
      <c r="DA147" s="288">
        <f>(Wless!DA254)*0.55/1000</f>
        <v>50.891500000000008</v>
      </c>
      <c r="DB147" s="290">
        <f>(Wless!DB254)*0.55/1000</f>
        <v>51.252300000000005</v>
      </c>
      <c r="DC147" s="288">
        <f>(Wless!DC254)*0.55/1000</f>
        <v>51.849050000000005</v>
      </c>
      <c r="DD147" s="288">
        <f>(Wless!DD254)*0.55/1000</f>
        <v>52.35175000000001</v>
      </c>
      <c r="DE147" s="288">
        <f>(Wless!DE254)*0.55/1000</f>
        <v>53.213600000000007</v>
      </c>
      <c r="DF147" s="288">
        <f>(Wless!DF254)*0.55/1000</f>
        <v>53.500150000000005</v>
      </c>
      <c r="DG147" s="1049">
        <f>(Wless!DG254)*0.55/1000</f>
        <v>54.226150000000004</v>
      </c>
      <c r="DH147" s="1049">
        <f>(Wless!DH254)*0.55/1000</f>
        <v>55.056650000000005</v>
      </c>
      <c r="DI147" s="1049">
        <f>(Wless!DI254)*0.55/1000</f>
        <v>56.143450000000001</v>
      </c>
      <c r="DJ147" s="1049">
        <f>(Wless!DJ254)*0.55/1000</f>
        <v>56.450350000000007</v>
      </c>
      <c r="DK147" s="1049">
        <f>(Wless!DK254)*0.55/1000</f>
        <v>57.052050000000001</v>
      </c>
      <c r="DL147" s="1049">
        <f>(Wless!DL254)*0.55/1000</f>
        <v>57.762650000000001</v>
      </c>
      <c r="DM147" s="1049">
        <f>(Wless!DM254)*0.55/1000</f>
        <v>58.590400000000002</v>
      </c>
      <c r="DN147" s="1049">
        <f>(Wless!DN254)*0.55/1000</f>
        <v>58.944050000000004</v>
      </c>
      <c r="DO147" s="1049">
        <f>(Wless!DO254)*0.55/1000</f>
        <v>59.279000000000011</v>
      </c>
      <c r="DP147" s="1049">
        <f>(Wless!DP254)*0.55/1000</f>
        <v>59.521000000000008</v>
      </c>
      <c r="DQ147" s="1049">
        <f>(Wless!DQ254)*0.55/1000</f>
        <v>59.837800000000001</v>
      </c>
      <c r="DR147" s="1049">
        <f>(Wless!DR254)*0.55/1000</f>
        <v>59.665649999999999</v>
      </c>
      <c r="DS147" s="1049">
        <f>(Wless!DS254)*0.55/1000</f>
        <v>59.998400000000004</v>
      </c>
      <c r="DT147" s="1049">
        <f>(Wless!DT254)*0.55/1000</f>
        <v>60.327300000000001</v>
      </c>
      <c r="DU147" s="1049">
        <f>(Wless!DU254)*0.55/1000</f>
        <v>60.969700000000003</v>
      </c>
      <c r="DV147" s="1049">
        <f>(Wless!DV254)*0.55/1000</f>
        <v>61.112700000000004</v>
      </c>
      <c r="DW147" s="1049">
        <f ca="1">(Wless!DW254)*0.55/1000</f>
        <v>61.370155579232822</v>
      </c>
      <c r="DX147" s="1049">
        <f ca="1">(Wless!DX254)*0.55/1000</f>
        <v>61.636763973059473</v>
      </c>
      <c r="DY147" s="291">
        <f ca="1">(Wless!DY254)*0.55/1000</f>
        <v>62.219424594545394</v>
      </c>
    </row>
    <row r="148" spans="1:129" hidden="1" outlineLevel="1">
      <c r="A148" s="560"/>
      <c r="B148" s="556"/>
      <c r="C148" s="556"/>
      <c r="D148" s="556"/>
      <c r="E148" s="556"/>
      <c r="F148" s="556"/>
      <c r="G148" s="556"/>
      <c r="H148" s="556"/>
      <c r="I148" s="556"/>
      <c r="J148" s="556"/>
      <c r="K148" s="556"/>
      <c r="L148" s="556"/>
      <c r="M148" s="556"/>
      <c r="N148" s="556"/>
      <c r="O148" s="556"/>
      <c r="P148" s="556"/>
      <c r="Q148" s="1128"/>
      <c r="R148" s="556"/>
      <c r="S148" s="556"/>
      <c r="T148" s="1128"/>
      <c r="U148" s="556"/>
      <c r="V148" s="556"/>
      <c r="W148" s="556"/>
      <c r="X148" s="556"/>
      <c r="Y148" s="556"/>
      <c r="Z148" s="556"/>
      <c r="AA148" s="1128"/>
      <c r="AB148" s="1128"/>
      <c r="AC148" s="1128"/>
      <c r="AD148" s="1128"/>
      <c r="AE148" s="1128"/>
      <c r="AF148" s="1128"/>
      <c r="AG148" s="1128"/>
      <c r="AH148" s="2137"/>
      <c r="AI148"/>
      <c r="AJ148"/>
      <c r="AK148"/>
      <c r="AL148"/>
      <c r="AM148"/>
      <c r="AN148"/>
      <c r="AO148"/>
      <c r="AP148" s="560"/>
      <c r="AQ148" s="556"/>
      <c r="AR148" s="556"/>
      <c r="AS148" s="556"/>
      <c r="AT148" s="560"/>
      <c r="AU148" s="556"/>
      <c r="AV148" s="556"/>
      <c r="AW148" s="556"/>
      <c r="AX148" s="560"/>
      <c r="AY148" s="556"/>
      <c r="AZ148" s="556"/>
      <c r="BA148" s="556"/>
      <c r="BB148" s="560"/>
      <c r="BC148" s="556"/>
      <c r="BD148" s="556"/>
      <c r="BE148" s="556"/>
      <c r="BF148" s="560"/>
      <c r="BG148" s="556"/>
      <c r="BH148" s="556"/>
      <c r="BI148" s="556"/>
      <c r="BJ148" s="560"/>
      <c r="BK148" s="556"/>
      <c r="BL148" s="556"/>
      <c r="BM148" s="556"/>
      <c r="BN148" s="560"/>
      <c r="BO148" s="556"/>
      <c r="BP148" s="556"/>
      <c r="BQ148" s="556"/>
      <c r="BR148" s="560"/>
      <c r="BS148" s="556"/>
      <c r="BT148" s="556"/>
      <c r="BU148" s="556"/>
      <c r="BV148" s="560"/>
      <c r="BW148" s="556"/>
      <c r="BX148" s="556"/>
      <c r="BY148" s="556"/>
      <c r="BZ148" s="560"/>
      <c r="CA148" s="556"/>
      <c r="CB148" s="556"/>
      <c r="CC148" s="556"/>
      <c r="CD148" s="560"/>
      <c r="CE148" s="556"/>
      <c r="CF148" s="556"/>
      <c r="CG148" s="556"/>
      <c r="CH148" s="560"/>
      <c r="CI148" s="556"/>
      <c r="CJ148" s="556"/>
      <c r="CK148" s="556"/>
      <c r="CL148" s="560"/>
      <c r="CM148" s="556"/>
      <c r="CN148" s="556"/>
      <c r="CO148" s="556"/>
      <c r="CP148" s="560"/>
      <c r="CQ148" s="556"/>
      <c r="CR148" s="556"/>
      <c r="CS148" s="556"/>
      <c r="CT148" s="560"/>
      <c r="CU148" s="556"/>
      <c r="CV148" s="556"/>
      <c r="CW148" s="561"/>
      <c r="CX148" s="556"/>
      <c r="CY148" s="556"/>
      <c r="CZ148" s="556"/>
      <c r="DA148" s="556"/>
      <c r="DB148" s="560"/>
      <c r="DC148" s="556"/>
      <c r="DD148" s="556"/>
      <c r="DE148" s="556"/>
      <c r="DF148" s="556"/>
      <c r="DG148" s="1128"/>
      <c r="DH148" s="1128"/>
      <c r="DI148" s="1128"/>
      <c r="DJ148" s="1128"/>
      <c r="DK148" s="1128"/>
      <c r="DL148" s="1128"/>
      <c r="DM148" s="1128"/>
      <c r="DN148" s="1128"/>
      <c r="DO148" s="1128"/>
      <c r="DP148" s="1128"/>
      <c r="DQ148" s="1128"/>
      <c r="DR148" s="1128"/>
      <c r="DS148" s="1128"/>
      <c r="DT148" s="1128"/>
      <c r="DU148" s="1128"/>
      <c r="DV148" s="1128"/>
      <c r="DW148" s="1128"/>
      <c r="DX148" s="1128"/>
      <c r="DY148" s="561"/>
    </row>
    <row r="149" spans="1:129" hidden="1" outlineLevel="1">
      <c r="A149" s="740" t="s">
        <v>478</v>
      </c>
      <c r="B149" s="288"/>
      <c r="C149" s="288"/>
      <c r="D149" s="288"/>
      <c r="E149" s="288"/>
      <c r="F149" s="288"/>
      <c r="G149" s="288"/>
      <c r="H149" s="288"/>
      <c r="I149" s="288"/>
      <c r="J149" s="288"/>
      <c r="K149" s="288"/>
      <c r="L149" s="288"/>
      <c r="M149" s="288"/>
      <c r="N149" s="288"/>
      <c r="O149" s="288"/>
      <c r="P149" s="288"/>
      <c r="Q149" s="1049"/>
      <c r="R149" s="288"/>
      <c r="S149" s="288"/>
      <c r="T149" s="1049"/>
      <c r="U149" s="288"/>
      <c r="V149" s="288"/>
      <c r="W149" s="288"/>
      <c r="X149" s="288"/>
      <c r="Y149" s="288"/>
      <c r="Z149" s="288"/>
      <c r="AA149" s="1049"/>
      <c r="AB149" s="1049"/>
      <c r="AC149" s="1049"/>
      <c r="AD149" s="1049"/>
      <c r="AE149" s="1049"/>
      <c r="AF149" s="1049"/>
      <c r="AG149" s="1049"/>
      <c r="AH149" s="1967"/>
      <c r="AI149"/>
      <c r="AJ149"/>
      <c r="AK149"/>
      <c r="AL149"/>
      <c r="AM149"/>
      <c r="AN149"/>
      <c r="AO149"/>
      <c r="AP149" s="290"/>
      <c r="AQ149" s="288"/>
      <c r="AR149" s="288"/>
      <c r="AS149" s="288"/>
      <c r="AT149" s="290"/>
      <c r="AU149" s="288"/>
      <c r="AV149" s="288"/>
      <c r="AW149" s="288"/>
      <c r="AX149" s="290"/>
      <c r="AY149" s="288"/>
      <c r="AZ149" s="288"/>
      <c r="BA149" s="288"/>
      <c r="BB149" s="290"/>
      <c r="BC149" s="288"/>
      <c r="BD149" s="288"/>
      <c r="BE149" s="288"/>
      <c r="BF149" s="290"/>
      <c r="BG149" s="288"/>
      <c r="BH149" s="288"/>
      <c r="BI149" s="288"/>
      <c r="BJ149" s="290"/>
      <c r="BK149" s="288"/>
      <c r="BL149" s="288"/>
      <c r="BM149" s="288"/>
      <c r="BN149" s="290"/>
      <c r="BO149" s="288"/>
      <c r="BP149" s="288"/>
      <c r="BQ149" s="288"/>
      <c r="BR149" s="290"/>
      <c r="BS149" s="288"/>
      <c r="BT149" s="288"/>
      <c r="BU149" s="288"/>
      <c r="BV149" s="290"/>
      <c r="BW149" s="288"/>
      <c r="BX149" s="288"/>
      <c r="BY149" s="288"/>
      <c r="BZ149" s="290"/>
      <c r="CA149" s="288"/>
      <c r="CB149" s="288"/>
      <c r="CC149" s="288"/>
      <c r="CD149" s="290"/>
      <c r="CE149" s="288"/>
      <c r="CF149" s="288"/>
      <c r="CG149" s="288"/>
      <c r="CH149" s="290"/>
      <c r="CI149" s="288"/>
      <c r="CJ149" s="288"/>
      <c r="CK149" s="288"/>
      <c r="CL149" s="290"/>
      <c r="CM149" s="288"/>
      <c r="CN149" s="288"/>
      <c r="CO149" s="288"/>
      <c r="CP149" s="290"/>
      <c r="CQ149" s="288"/>
      <c r="CR149" s="288"/>
      <c r="CS149" s="288"/>
      <c r="CT149" s="290"/>
      <c r="CU149" s="556"/>
      <c r="CV149" s="556"/>
      <c r="CW149" s="561"/>
      <c r="CX149" s="556"/>
      <c r="CY149" s="556"/>
      <c r="CZ149" s="556"/>
      <c r="DA149" s="556"/>
      <c r="DB149" s="560"/>
      <c r="DC149" s="556"/>
      <c r="DD149" s="556"/>
      <c r="DE149" s="556"/>
      <c r="DF149" s="556"/>
      <c r="DG149" s="1128"/>
      <c r="DH149" s="1128"/>
      <c r="DI149" s="1128"/>
      <c r="DJ149" s="1128"/>
      <c r="DK149" s="1128"/>
      <c r="DL149" s="1128"/>
      <c r="DM149" s="1128"/>
      <c r="DN149" s="1128"/>
      <c r="DO149" s="1128"/>
      <c r="DP149" s="1128"/>
      <c r="DQ149" s="1128"/>
      <c r="DR149" s="1128"/>
      <c r="DS149" s="1128"/>
      <c r="DT149" s="1128"/>
      <c r="DU149" s="1128"/>
      <c r="DV149" s="1128"/>
      <c r="DW149" s="1128"/>
      <c r="DX149" s="1128"/>
      <c r="DY149" s="561"/>
    </row>
    <row r="150" spans="1:129" hidden="1" outlineLevel="1">
      <c r="A150" s="739" t="s">
        <v>479</v>
      </c>
      <c r="B150" s="288"/>
      <c r="C150" s="288"/>
      <c r="D150" s="288"/>
      <c r="E150" s="288"/>
      <c r="F150" s="288"/>
      <c r="G150" s="288"/>
      <c r="H150" s="288"/>
      <c r="I150" s="288"/>
      <c r="J150" s="288"/>
      <c r="K150" s="288"/>
      <c r="L150" s="288"/>
      <c r="M150" s="288"/>
      <c r="N150" s="288"/>
      <c r="O150" s="288"/>
      <c r="P150" s="288"/>
      <c r="Q150" s="1049"/>
      <c r="R150" s="288"/>
      <c r="S150" s="288"/>
      <c r="T150" s="1049"/>
      <c r="U150" s="288"/>
      <c r="V150" s="288"/>
      <c r="W150" s="288"/>
      <c r="X150" s="288"/>
      <c r="Y150" s="288"/>
      <c r="Z150" s="288"/>
      <c r="AA150" s="1049"/>
      <c r="AB150" s="1049"/>
      <c r="AC150" s="1049"/>
      <c r="AD150" s="1049"/>
      <c r="AE150" s="1049"/>
      <c r="AF150" s="1049"/>
      <c r="AG150" s="1049"/>
      <c r="AH150" s="1967"/>
      <c r="AI150"/>
      <c r="AJ150"/>
      <c r="AK150"/>
      <c r="AL150"/>
      <c r="AM150"/>
      <c r="AN150"/>
      <c r="AO150"/>
      <c r="AP150" s="290"/>
      <c r="AQ150" s="288"/>
      <c r="AR150" s="288"/>
      <c r="AS150" s="288"/>
      <c r="AT150" s="290"/>
      <c r="AU150" s="288"/>
      <c r="AV150" s="288"/>
      <c r="AW150" s="288"/>
      <c r="AX150" s="290"/>
      <c r="AY150" s="288"/>
      <c r="AZ150" s="288"/>
      <c r="BA150" s="288"/>
      <c r="BB150" s="290"/>
      <c r="BC150" s="288"/>
      <c r="BD150" s="288"/>
      <c r="BE150" s="288"/>
      <c r="BF150" s="290"/>
      <c r="BG150" s="288"/>
      <c r="BH150" s="288"/>
      <c r="BI150" s="288"/>
      <c r="BJ150" s="290"/>
      <c r="BK150" s="288"/>
      <c r="BL150" s="288"/>
      <c r="BM150" s="288"/>
      <c r="BN150" s="290"/>
      <c r="BO150" s="288"/>
      <c r="BP150" s="288"/>
      <c r="BQ150" s="288"/>
      <c r="BR150" s="290"/>
      <c r="BS150" s="288"/>
      <c r="BT150" s="288"/>
      <c r="BU150" s="288"/>
      <c r="BV150" s="290"/>
      <c r="BW150" s="288"/>
      <c r="BX150" s="288"/>
      <c r="BY150" s="288"/>
      <c r="BZ150" s="290"/>
      <c r="CA150" s="288"/>
      <c r="CB150" s="288"/>
      <c r="CC150" s="288"/>
      <c r="CD150" s="290"/>
      <c r="CE150" s="288"/>
      <c r="CF150" s="288"/>
      <c r="CG150" s="288"/>
      <c r="CH150" s="290"/>
      <c r="CI150" s="288"/>
      <c r="CJ150" s="288"/>
      <c r="CK150" s="288"/>
      <c r="CL150" s="290">
        <f t="shared" ref="CL150:DY150" si="349">+CL68/1000</f>
        <v>30.545000000000002</v>
      </c>
      <c r="CM150" s="288">
        <f t="shared" si="349"/>
        <v>29.797000000000001</v>
      </c>
      <c r="CN150" s="288">
        <f t="shared" si="349"/>
        <v>29.003</v>
      </c>
      <c r="CO150" s="288">
        <f t="shared" si="349"/>
        <v>28.323</v>
      </c>
      <c r="CP150" s="290">
        <f t="shared" si="349"/>
        <v>27.719000000000001</v>
      </c>
      <c r="CQ150" s="288">
        <f t="shared" si="349"/>
        <v>27.138000000000002</v>
      </c>
      <c r="CR150" s="288">
        <f t="shared" si="349"/>
        <v>26.544</v>
      </c>
      <c r="CS150" s="288">
        <f t="shared" si="349"/>
        <v>26.001000000000001</v>
      </c>
      <c r="CT150" s="290">
        <f t="shared" si="349"/>
        <v>25.454000000000001</v>
      </c>
      <c r="CU150" s="288">
        <f t="shared" si="349"/>
        <v>24.997</v>
      </c>
      <c r="CV150" s="288">
        <f t="shared" si="349"/>
        <v>24.518999999999998</v>
      </c>
      <c r="CW150" s="291">
        <f t="shared" si="349"/>
        <v>24.137</v>
      </c>
      <c r="CX150" s="288">
        <f t="shared" si="349"/>
        <v>23.7</v>
      </c>
      <c r="CY150" s="288">
        <f t="shared" si="349"/>
        <v>23.277999999999999</v>
      </c>
      <c r="CZ150" s="288">
        <f t="shared" si="349"/>
        <v>22.847000000000001</v>
      </c>
      <c r="DA150" s="288">
        <f t="shared" si="349"/>
        <v>22.503</v>
      </c>
      <c r="DB150" s="290">
        <f t="shared" si="349"/>
        <v>22.190999999999999</v>
      </c>
      <c r="DC150" s="288">
        <f t="shared" si="349"/>
        <v>21.827999999999999</v>
      </c>
      <c r="DD150" s="288">
        <f t="shared" si="349"/>
        <v>21.457000000000001</v>
      </c>
      <c r="DE150" s="288">
        <f t="shared" si="349"/>
        <v>21.085000000000001</v>
      </c>
      <c r="DF150" s="288">
        <f t="shared" si="349"/>
        <v>20.733000000000001</v>
      </c>
      <c r="DG150" s="1049">
        <f t="shared" si="349"/>
        <v>20.390999999999998</v>
      </c>
      <c r="DH150" s="1049">
        <f t="shared" si="349"/>
        <v>20.088999999999999</v>
      </c>
      <c r="DI150" s="1049">
        <f t="shared" si="349"/>
        <v>19.795000000000002</v>
      </c>
      <c r="DJ150" s="1049">
        <f t="shared" si="349"/>
        <v>19.475000000000001</v>
      </c>
      <c r="DK150" s="1049">
        <f t="shared" si="349"/>
        <v>19.079000000000001</v>
      </c>
      <c r="DL150" s="1049">
        <f t="shared" si="349"/>
        <v>18.739999999999998</v>
      </c>
      <c r="DM150" s="1049">
        <f t="shared" si="349"/>
        <v>18.387</v>
      </c>
      <c r="DN150" s="1049">
        <f t="shared" si="349"/>
        <v>18.036999999999999</v>
      </c>
      <c r="DO150" s="1049">
        <f t="shared" si="349"/>
        <v>14.476000000000001</v>
      </c>
      <c r="DP150" s="1049">
        <f t="shared" si="349"/>
        <v>14.194000000000001</v>
      </c>
      <c r="DQ150" s="1049">
        <f t="shared" si="349"/>
        <v>13.939</v>
      </c>
      <c r="DR150" s="1049">
        <f t="shared" si="349"/>
        <v>13.634</v>
      </c>
      <c r="DS150" s="1049">
        <f t="shared" si="349"/>
        <v>13.352</v>
      </c>
      <c r="DT150" s="1049">
        <f t="shared" si="349"/>
        <v>13.1</v>
      </c>
      <c r="DU150" s="1049">
        <f t="shared" si="349"/>
        <v>12.821</v>
      </c>
      <c r="DV150" s="1049">
        <f t="shared" si="349"/>
        <v>12.555</v>
      </c>
      <c r="DW150" s="1049">
        <f t="shared" si="349"/>
        <v>11.573947474695615</v>
      </c>
      <c r="DX150" s="1049">
        <f t="shared" si="349"/>
        <v>10.681128718244349</v>
      </c>
      <c r="DY150" s="291">
        <f t="shared" si="349"/>
        <v>9.8678634725239434</v>
      </c>
    </row>
    <row r="151" spans="1:129" hidden="1" outlineLevel="1">
      <c r="A151" s="739" t="s">
        <v>475</v>
      </c>
      <c r="B151" s="288"/>
      <c r="C151" s="288"/>
      <c r="D151" s="288"/>
      <c r="E151" s="288"/>
      <c r="F151" s="288"/>
      <c r="G151" s="288"/>
      <c r="H151" s="288"/>
      <c r="I151" s="288"/>
      <c r="J151" s="288"/>
      <c r="K151" s="288"/>
      <c r="L151" s="288"/>
      <c r="M151" s="288"/>
      <c r="N151" s="288"/>
      <c r="O151" s="288"/>
      <c r="P151" s="288"/>
      <c r="Q151" s="1049"/>
      <c r="R151" s="288"/>
      <c r="S151" s="288"/>
      <c r="T151" s="1049"/>
      <c r="U151" s="288"/>
      <c r="V151" s="288"/>
      <c r="W151" s="288"/>
      <c r="X151" s="288"/>
      <c r="Y151" s="288"/>
      <c r="Z151" s="288"/>
      <c r="AA151" s="1049"/>
      <c r="AB151" s="1049"/>
      <c r="AC151" s="1049"/>
      <c r="AD151" s="1049"/>
      <c r="AE151" s="1049"/>
      <c r="AF151" s="1049"/>
      <c r="AG151" s="1049"/>
      <c r="AH151" s="1967"/>
      <c r="AI151"/>
      <c r="AJ151"/>
      <c r="AK151"/>
      <c r="AL151"/>
      <c r="AM151"/>
      <c r="AN151"/>
      <c r="AO151"/>
      <c r="AP151" s="290"/>
      <c r="AQ151" s="288"/>
      <c r="AR151" s="288"/>
      <c r="AS151" s="288"/>
      <c r="AT151" s="290"/>
      <c r="AU151" s="288"/>
      <c r="AV151" s="288"/>
      <c r="AW151" s="288"/>
      <c r="AX151" s="290"/>
      <c r="AY151" s="288"/>
      <c r="AZ151" s="288"/>
      <c r="BA151" s="288"/>
      <c r="BB151" s="290"/>
      <c r="BC151" s="288"/>
      <c r="BD151" s="288"/>
      <c r="BE151" s="288"/>
      <c r="BF151" s="290"/>
      <c r="BG151" s="288"/>
      <c r="BH151" s="288"/>
      <c r="BI151" s="288"/>
      <c r="BJ151" s="290"/>
      <c r="BK151" s="288"/>
      <c r="BL151" s="288"/>
      <c r="BM151" s="288"/>
      <c r="BN151" s="290"/>
      <c r="BO151" s="288"/>
      <c r="BP151" s="288"/>
      <c r="BQ151" s="288"/>
      <c r="BR151" s="290"/>
      <c r="BS151" s="288"/>
      <c r="BT151" s="288"/>
      <c r="BU151" s="288"/>
      <c r="BV151" s="290"/>
      <c r="BW151" s="288"/>
      <c r="BX151" s="288"/>
      <c r="BY151" s="288"/>
      <c r="BZ151" s="290"/>
      <c r="CA151" s="288"/>
      <c r="CB151" s="288"/>
      <c r="CC151" s="288"/>
      <c r="CD151" s="290"/>
      <c r="CE151" s="288"/>
      <c r="CF151" s="288"/>
      <c r="CG151" s="288"/>
      <c r="CH151" s="290"/>
      <c r="CI151" s="288"/>
      <c r="CJ151" s="288"/>
      <c r="CK151" s="288"/>
      <c r="CL151" s="290">
        <f>+FiOS!CL48/1000</f>
        <v>5.2430000000000003</v>
      </c>
      <c r="CM151" s="288">
        <f>+FiOS!CM48/1000</f>
        <v>5.1219999999999999</v>
      </c>
      <c r="CN151" s="288">
        <f>+FiOS!CN48/1000</f>
        <v>4.9829999999999997</v>
      </c>
      <c r="CO151" s="288">
        <f>+FiOS!CO48/1000</f>
        <v>4.8739999999999997</v>
      </c>
      <c r="CP151" s="290">
        <f>+FiOS!CP48/1000</f>
        <v>4.7750000000000004</v>
      </c>
      <c r="CQ151" s="288">
        <f>+FiOS!CQ48/1000</f>
        <v>4.62</v>
      </c>
      <c r="CR151" s="288">
        <f>+FiOS!CR48/1000</f>
        <v>4.4539999999999997</v>
      </c>
      <c r="CS151" s="288">
        <f>+FiOS!CS48/1000</f>
        <v>4.3099999999999996</v>
      </c>
      <c r="CT151" s="290">
        <f>+FiOS!CT48/1000</f>
        <v>4.2009999999999996</v>
      </c>
      <c r="CU151" s="288">
        <f>+FiOS!CU48/1000</f>
        <v>4.0739999999999998</v>
      </c>
      <c r="CV151" s="288">
        <f>+FiOS!CV48/1000</f>
        <v>3.956</v>
      </c>
      <c r="CW151" s="291">
        <f>+FiOS!CW48/1000</f>
        <v>3.8530000000000002</v>
      </c>
      <c r="CX151" s="288">
        <f>+FiOS!CX48/1000</f>
        <v>3.7639999999999998</v>
      </c>
      <c r="CY151" s="288">
        <f>+FiOS!CY48/1000</f>
        <v>3.6320000000000001</v>
      </c>
      <c r="CZ151" s="288">
        <f>+FiOS!CZ48/1000</f>
        <v>3.488</v>
      </c>
      <c r="DA151" s="288">
        <f>+FiOS!DA48/1000</f>
        <v>3.371</v>
      </c>
      <c r="DB151" s="290">
        <f>+FiOS!DB48/1000</f>
        <v>3.282</v>
      </c>
      <c r="DC151" s="288">
        <f>+FiOS!DC48/1000</f>
        <v>3.1659999999999999</v>
      </c>
      <c r="DD151" s="288">
        <f>+FiOS!DD48/1000</f>
        <v>3.0489999999999999</v>
      </c>
      <c r="DE151" s="288">
        <f>+FiOS!DE48/1000</f>
        <v>2.9430000000000001</v>
      </c>
      <c r="DF151" s="288">
        <f>+FiOS!DF48/1000</f>
        <v>2.8610000000000002</v>
      </c>
      <c r="DG151" s="1049">
        <f>+FiOS!DG48/1000</f>
        <v>2.7679999999999998</v>
      </c>
      <c r="DH151" s="1049">
        <f>+FiOS!DH48/1000</f>
        <v>2.6749999999999998</v>
      </c>
      <c r="DI151" s="1049">
        <f>+FiOS!DI48/1000</f>
        <v>2.589</v>
      </c>
      <c r="DJ151" s="1049">
        <f>+FiOS!DJ48/1000</f>
        <v>2.4969999999999999</v>
      </c>
      <c r="DK151" s="1049">
        <f>+FiOS!DK48/1000</f>
        <v>2.4</v>
      </c>
      <c r="DL151" s="1049">
        <f>+FiOS!DL48/1000</f>
        <v>2.2879999999999998</v>
      </c>
      <c r="DM151" s="1049">
        <f>+FiOS!DM48/1000</f>
        <v>2.194</v>
      </c>
      <c r="DN151" s="1049">
        <f>+FiOS!DN48/1000</f>
        <v>2.0859999999999999</v>
      </c>
      <c r="DO151" s="1049">
        <f>+FiOS!DO48/1000</f>
        <v>1.5189999999999999</v>
      </c>
      <c r="DP151" s="1049">
        <f>+FiOS!DP48/1000</f>
        <v>1.4530000000000001</v>
      </c>
      <c r="DQ151" s="1049">
        <f>+FiOS!DQ48/1000</f>
        <v>1.385</v>
      </c>
      <c r="DR151" s="1049">
        <f>+FiOS!DR48/1000</f>
        <v>1.323</v>
      </c>
      <c r="DS151" s="1049">
        <f>+FiOS!DS48/1000</f>
        <v>1.2509999999999999</v>
      </c>
      <c r="DT151" s="1049">
        <f>+FiOS!DT48/1000</f>
        <v>1.175</v>
      </c>
      <c r="DU151" s="1049">
        <f>+FiOS!DU48/1000</f>
        <v>1.109</v>
      </c>
      <c r="DV151" s="1049">
        <f>+FiOS!DV48/1000</f>
        <v>1.05</v>
      </c>
      <c r="DW151" s="1049">
        <f>+FiOS!DW48/1000</f>
        <v>0.99</v>
      </c>
      <c r="DX151" s="1049">
        <f>+FiOS!DX48/1000</f>
        <v>0.93</v>
      </c>
      <c r="DY151" s="291">
        <f>+FiOS!DY48/1000</f>
        <v>0.87</v>
      </c>
    </row>
    <row r="152" spans="1:129" hidden="1" outlineLevel="1">
      <c r="A152" s="739" t="s">
        <v>480</v>
      </c>
      <c r="B152" s="288"/>
      <c r="C152" s="288"/>
      <c r="D152" s="288"/>
      <c r="E152" s="288"/>
      <c r="F152" s="288"/>
      <c r="G152" s="288"/>
      <c r="H152" s="288"/>
      <c r="I152" s="288"/>
      <c r="J152" s="288"/>
      <c r="K152" s="288"/>
      <c r="L152" s="288"/>
      <c r="M152" s="288"/>
      <c r="N152" s="288"/>
      <c r="O152" s="288"/>
      <c r="P152" s="288"/>
      <c r="Q152" s="1049"/>
      <c r="R152" s="288"/>
      <c r="S152" s="288"/>
      <c r="T152" s="1049"/>
      <c r="U152" s="288"/>
      <c r="V152" s="288"/>
      <c r="W152" s="288"/>
      <c r="X152" s="288"/>
      <c r="Y152" s="288"/>
      <c r="Z152" s="288"/>
      <c r="AA152" s="1049"/>
      <c r="AB152" s="1049"/>
      <c r="AC152" s="1049"/>
      <c r="AD152" s="1049"/>
      <c r="AE152" s="1049"/>
      <c r="AF152" s="1049"/>
      <c r="AG152" s="1049"/>
      <c r="AH152" s="1967"/>
      <c r="AI152"/>
      <c r="AJ152"/>
      <c r="AK152"/>
      <c r="AL152"/>
      <c r="AM152"/>
      <c r="AN152"/>
      <c r="AO152"/>
      <c r="AP152" s="290"/>
      <c r="AQ152" s="288"/>
      <c r="AR152" s="288"/>
      <c r="AS152" s="288"/>
      <c r="AT152" s="290"/>
      <c r="AU152" s="288"/>
      <c r="AV152" s="288"/>
      <c r="AW152" s="288"/>
      <c r="AX152" s="290"/>
      <c r="AY152" s="288"/>
      <c r="AZ152" s="288"/>
      <c r="BA152" s="288"/>
      <c r="BB152" s="290"/>
      <c r="BC152" s="288"/>
      <c r="BD152" s="288"/>
      <c r="BE152" s="288"/>
      <c r="BF152" s="290"/>
      <c r="BG152" s="288"/>
      <c r="BH152" s="288"/>
      <c r="BI152" s="288"/>
      <c r="BJ152" s="290"/>
      <c r="BK152" s="288"/>
      <c r="BL152" s="288"/>
      <c r="BM152" s="288"/>
      <c r="BN152" s="290"/>
      <c r="BO152" s="288"/>
      <c r="BP152" s="288"/>
      <c r="BQ152" s="288"/>
      <c r="BR152" s="290"/>
      <c r="BS152" s="288"/>
      <c r="BT152" s="288"/>
      <c r="BU152" s="288"/>
      <c r="BV152" s="290"/>
      <c r="BW152" s="288"/>
      <c r="BX152" s="288"/>
      <c r="BY152" s="288"/>
      <c r="BZ152" s="290"/>
      <c r="CA152" s="288"/>
      <c r="CB152" s="288"/>
      <c r="CC152" s="288"/>
      <c r="CD152" s="290"/>
      <c r="CE152" s="288"/>
      <c r="CF152" s="288"/>
      <c r="CG152" s="288"/>
      <c r="CH152" s="290"/>
      <c r="CI152" s="288"/>
      <c r="CJ152" s="288"/>
      <c r="CK152" s="288"/>
      <c r="CL152" s="290">
        <f>+FiOS!CL50/1000</f>
        <v>2.653</v>
      </c>
      <c r="CM152" s="288">
        <f>+FiOS!CM50/1000</f>
        <v>2.9420000000000002</v>
      </c>
      <c r="CN152" s="288">
        <f>+FiOS!CN50/1000</f>
        <v>3.1360000000000001</v>
      </c>
      <c r="CO152" s="288">
        <f>+FiOS!CO50/1000</f>
        <v>3.286</v>
      </c>
      <c r="CP152" s="290">
        <f>+FiOS!CP50/1000</f>
        <v>3.4660000000000002</v>
      </c>
      <c r="CQ152" s="288">
        <f>+FiOS!CQ50/1000</f>
        <v>3.6589999999999998</v>
      </c>
      <c r="CR152" s="288">
        <f>+FiOS!CR50/1000</f>
        <v>3.8849999999999998</v>
      </c>
      <c r="CS152" s="288">
        <f>+FiOS!CS50/1000</f>
        <v>4.0819999999999999</v>
      </c>
      <c r="CT152" s="290">
        <f>+FiOS!CT50/1000</f>
        <v>4.2889999999999997</v>
      </c>
      <c r="CU152" s="288">
        <f>+FiOS!CU50/1000</f>
        <v>4.4779999999999998</v>
      </c>
      <c r="CV152" s="288">
        <f>+FiOS!CV50/1000</f>
        <v>4.6159999999999997</v>
      </c>
      <c r="CW152" s="291">
        <f>+FiOS!CW50/1000</f>
        <v>4.8170000000000002</v>
      </c>
      <c r="CX152" s="288">
        <f>+FiOS!CX50/1000</f>
        <v>5.01</v>
      </c>
      <c r="CY152" s="288">
        <f>+FiOS!CY50/1000</f>
        <v>5.1440000000000001</v>
      </c>
      <c r="CZ152" s="288">
        <f>+FiOS!CZ50/1000</f>
        <v>5.28</v>
      </c>
      <c r="DA152" s="288">
        <f>+FiOS!DA50/1000</f>
        <v>5.4240000000000004</v>
      </c>
      <c r="DB152" s="290">
        <f>+FiOS!DB50/1000</f>
        <v>5.6120000000000001</v>
      </c>
      <c r="DC152" s="288">
        <f>+FiOS!DC50/1000</f>
        <v>5.7729999999999997</v>
      </c>
      <c r="DD152" s="288">
        <f>+FiOS!DD50/1000</f>
        <v>5.9459999999999997</v>
      </c>
      <c r="DE152" s="288">
        <f>+FiOS!DE50/1000</f>
        <v>6.0720000000000001</v>
      </c>
      <c r="DF152" s="288">
        <f>+FiOS!DF50/1000</f>
        <v>6.17</v>
      </c>
      <c r="DG152" s="1049">
        <f>+FiOS!DG50/1000</f>
        <v>6.3090000000000002</v>
      </c>
      <c r="DH152" s="1049">
        <f>+FiOS!DH50/1000</f>
        <v>6.4710000000000001</v>
      </c>
      <c r="DI152" s="1049">
        <f>+FiOS!DI50/1000</f>
        <v>6.6159999999999997</v>
      </c>
      <c r="DJ152" s="1049">
        <f>+FiOS!DJ50/1000</f>
        <v>6.7489999999999997</v>
      </c>
      <c r="DK152" s="1049">
        <f>+FiOS!DK50/1000</f>
        <v>6.8209999999999997</v>
      </c>
      <c r="DL152" s="1049">
        <f>+FiOS!DL50/1000</f>
        <v>6.9349999999999996</v>
      </c>
      <c r="DM152" s="1049">
        <f>+FiOS!DM50/1000</f>
        <v>7.0339999999999998</v>
      </c>
      <c r="DN152" s="1049">
        <f>+FiOS!DN50/1000</f>
        <v>7.1319999999999997</v>
      </c>
      <c r="DO152" s="1049">
        <f>+FiOS!DO50/1000</f>
        <v>5.4950000000000001</v>
      </c>
      <c r="DP152" s="1049">
        <f>+FiOS!DP50/1000</f>
        <v>5.585</v>
      </c>
      <c r="DQ152" s="1049">
        <f>+FiOS!DQ50/1000</f>
        <v>5.6529999999999996</v>
      </c>
      <c r="DR152" s="1049">
        <f>+FiOS!DR50/1000</f>
        <v>5.6879999999999997</v>
      </c>
      <c r="DS152" s="1049">
        <f>+FiOS!DS50/1000</f>
        <v>5.7370000000000001</v>
      </c>
      <c r="DT152" s="1049">
        <f>+FiOS!DT50/1000</f>
        <v>5.8029999999999999</v>
      </c>
      <c r="DU152" s="1049">
        <f>+FiOS!DU50/1000</f>
        <v>5.85</v>
      </c>
      <c r="DV152" s="1049">
        <f>+FiOS!DV50/1000</f>
        <v>5.9160000000000004</v>
      </c>
      <c r="DW152" s="1049">
        <f>+FiOS!DW50/1000</f>
        <v>5.9779999999999998</v>
      </c>
      <c r="DX152" s="1049">
        <f>+FiOS!DX50/1000</f>
        <v>6.048</v>
      </c>
      <c r="DY152" s="291">
        <f>+FiOS!DY50/1000</f>
        <v>6.109</v>
      </c>
    </row>
    <row r="153" spans="1:129" hidden="1" outlineLevel="1">
      <c r="A153" s="739" t="s">
        <v>481</v>
      </c>
      <c r="B153" s="288"/>
      <c r="C153" s="288"/>
      <c r="D153" s="288"/>
      <c r="E153" s="288"/>
      <c r="F153" s="288"/>
      <c r="G153" s="288"/>
      <c r="H153" s="288"/>
      <c r="I153" s="288"/>
      <c r="J153" s="288"/>
      <c r="K153" s="288"/>
      <c r="L153" s="288"/>
      <c r="M153" s="288"/>
      <c r="N153" s="288"/>
      <c r="O153" s="288"/>
      <c r="P153" s="288"/>
      <c r="Q153" s="1049"/>
      <c r="R153" s="288"/>
      <c r="S153" s="288"/>
      <c r="T153" s="1049"/>
      <c r="U153" s="288"/>
      <c r="V153" s="288"/>
      <c r="W153" s="288"/>
      <c r="X153" s="288"/>
      <c r="Y153" s="288"/>
      <c r="Z153" s="288"/>
      <c r="AA153" s="1049"/>
      <c r="AB153" s="1049"/>
      <c r="AC153" s="1049"/>
      <c r="AD153" s="1049"/>
      <c r="AE153" s="1049"/>
      <c r="AF153" s="1049"/>
      <c r="AG153" s="1049"/>
      <c r="AH153" s="1967"/>
      <c r="AI153"/>
      <c r="AJ153"/>
      <c r="AK153"/>
      <c r="AL153"/>
      <c r="AM153"/>
      <c r="AN153"/>
      <c r="AO153"/>
      <c r="AP153" s="290"/>
      <c r="AQ153" s="288"/>
      <c r="AR153" s="288"/>
      <c r="AS153" s="288"/>
      <c r="AT153" s="290"/>
      <c r="AU153" s="288"/>
      <c r="AV153" s="288"/>
      <c r="AW153" s="288"/>
      <c r="AX153" s="290"/>
      <c r="AY153" s="288"/>
      <c r="AZ153" s="288"/>
      <c r="BA153" s="288"/>
      <c r="BB153" s="290"/>
      <c r="BC153" s="288"/>
      <c r="BD153" s="288"/>
      <c r="BE153" s="288"/>
      <c r="BF153" s="290"/>
      <c r="BG153" s="288"/>
      <c r="BH153" s="288"/>
      <c r="BI153" s="288"/>
      <c r="BJ153" s="290"/>
      <c r="BK153" s="288"/>
      <c r="BL153" s="288"/>
      <c r="BM153" s="288"/>
      <c r="BN153" s="290"/>
      <c r="BO153" s="288"/>
      <c r="BP153" s="288"/>
      <c r="BQ153" s="288"/>
      <c r="BR153" s="290"/>
      <c r="BS153" s="288"/>
      <c r="BT153" s="288"/>
      <c r="BU153" s="288"/>
      <c r="BV153" s="290"/>
      <c r="BW153" s="288"/>
      <c r="BX153" s="288"/>
      <c r="BY153" s="288"/>
      <c r="BZ153" s="290"/>
      <c r="CA153" s="288"/>
      <c r="CB153" s="288"/>
      <c r="CC153" s="288"/>
      <c r="CD153" s="290"/>
      <c r="CE153" s="288"/>
      <c r="CF153" s="288"/>
      <c r="CG153" s="288"/>
      <c r="CH153" s="290"/>
      <c r="CI153" s="288"/>
      <c r="CJ153" s="288"/>
      <c r="CK153" s="288"/>
      <c r="CL153" s="290">
        <f>+FiOS!CL63/1000/1000</f>
        <v>2.13</v>
      </c>
      <c r="CM153" s="288">
        <f>+FiOS!CM63/1000/1000</f>
        <v>2.4141999999999997</v>
      </c>
      <c r="CN153" s="288">
        <f>+FiOS!CN63/1000/1000</f>
        <v>2.601</v>
      </c>
      <c r="CO153" s="288">
        <f>+FiOS!CO63/1000/1000</f>
        <v>2.75</v>
      </c>
      <c r="CP153" s="290">
        <f>+FiOS!CP63/1000/1000</f>
        <v>2.9140000000000001</v>
      </c>
      <c r="CQ153" s="288">
        <f>+FiOS!CQ63/1000/1000</f>
        <v>3.0859999999999999</v>
      </c>
      <c r="CR153" s="288">
        <f>+FiOS!CR63/1000/1000</f>
        <v>3.29</v>
      </c>
      <c r="CS153" s="288">
        <f>+FiOS!CS63/1000/1000</f>
        <v>3.472</v>
      </c>
      <c r="CT153" s="290">
        <f>+FiOS!CT63/1000/1000</f>
        <v>3.6640000000000001</v>
      </c>
      <c r="CU153" s="288">
        <f>+FiOS!CU63/1000/1000</f>
        <v>3.8479999999999999</v>
      </c>
      <c r="CV153" s="288">
        <f>+FiOS!CV63/1000/1000</f>
        <v>3.9790000000000001</v>
      </c>
      <c r="CW153" s="291">
        <f>+FiOS!CW63/1000/1000</f>
        <v>4.173</v>
      </c>
      <c r="CX153" s="288">
        <f>+FiOS!CX63/1000/1000</f>
        <v>4.3529999999999998</v>
      </c>
      <c r="CY153" s="288">
        <f>+FiOS!CY63/1000/1000</f>
        <v>4.4729999999999999</v>
      </c>
      <c r="CZ153" s="288">
        <f>+FiOS!CZ63/1000/1000</f>
        <v>4.5919999999999996</v>
      </c>
      <c r="DA153" s="288">
        <f>+FiOS!DA63/1000/1000</f>
        <v>4.726</v>
      </c>
      <c r="DB153" s="290">
        <f>+FiOS!DB63/1000/1000</f>
        <v>4.8949999999999996</v>
      </c>
      <c r="DC153" s="288">
        <f>+FiOS!DC63/1000/1000</f>
        <v>5.0350000000000001</v>
      </c>
      <c r="DD153" s="288">
        <f>+FiOS!DD63/1000/1000</f>
        <v>5.17</v>
      </c>
      <c r="DE153" s="288">
        <f>+FiOS!DE63/1000/1000</f>
        <v>5.2619999999999996</v>
      </c>
      <c r="DF153" s="288">
        <f>+FiOS!DF63/1000/1000</f>
        <v>5.319</v>
      </c>
      <c r="DG153" s="1049">
        <f>+FiOS!DG63/1000/1000</f>
        <v>5.4189999999999996</v>
      </c>
      <c r="DH153" s="1049">
        <f>+FiOS!DH63/1000/1000</f>
        <v>5.5330000000000004</v>
      </c>
      <c r="DI153" s="1049">
        <f>+FiOS!DI63/1000/1000</f>
        <v>5.649</v>
      </c>
      <c r="DJ153" s="1049">
        <f>+FiOS!DJ63/1000/1000</f>
        <v>5.7389999999999999</v>
      </c>
      <c r="DK153" s="1049">
        <f>+FiOS!DK63/1000/1000</f>
        <v>5.7649999999999997</v>
      </c>
      <c r="DL153" s="1049">
        <f>+FiOS!DL63/1000/1000</f>
        <v>5.8070000000000004</v>
      </c>
      <c r="DM153" s="1049">
        <f>+FiOS!DM63/1000/1000</f>
        <v>5.827</v>
      </c>
      <c r="DN153" s="1049">
        <f>+FiOS!DN63/1000/1000</f>
        <v>5.8630000000000004</v>
      </c>
      <c r="DO153" s="1049">
        <f>+FiOS!DO63/1000/1000</f>
        <v>4.6369999999999996</v>
      </c>
      <c r="DP153" s="1049">
        <f>+FiOS!DP63/1000/1000</f>
        <v>4.673</v>
      </c>
      <c r="DQ153" s="1049">
        <f>+FiOS!DQ63/1000/1000</f>
        <v>4.694</v>
      </c>
      <c r="DR153" s="1049">
        <f>+FiOS!DR63/1000/1000</f>
        <v>4.681</v>
      </c>
      <c r="DS153" s="1049">
        <f>+FiOS!DS63/1000/1000</f>
        <v>4.6660000000000004</v>
      </c>
      <c r="DT153" s="1049">
        <f>+FiOS!DT63/1000/1000</f>
        <v>4.6479999999999997</v>
      </c>
      <c r="DU153" s="1049">
        <f>+FiOS!DU63/1000/1000</f>
        <v>4.6189999999999998</v>
      </c>
      <c r="DV153" s="1049">
        <f>+FiOS!DV63/1000/1000</f>
        <v>4.5970000000000004</v>
      </c>
      <c r="DW153" s="1049">
        <f>+FiOS!DW63/1000/1000</f>
        <v>4.5744999999999996</v>
      </c>
      <c r="DX153" s="1049">
        <f>+FiOS!DX63/1000/1000</f>
        <v>4.5490000000000004</v>
      </c>
      <c r="DY153" s="291">
        <f>+FiOS!DY63/1000/1000</f>
        <v>4.5125000000000002</v>
      </c>
    </row>
    <row r="154" spans="1:129" hidden="1" outlineLevel="1">
      <c r="A154" s="739" t="s">
        <v>482</v>
      </c>
      <c r="B154" s="288"/>
      <c r="C154" s="288"/>
      <c r="D154" s="288"/>
      <c r="E154" s="288"/>
      <c r="F154" s="288"/>
      <c r="G154" s="288"/>
      <c r="H154" s="288"/>
      <c r="I154" s="288"/>
      <c r="J154" s="288"/>
      <c r="K154" s="288"/>
      <c r="L154" s="288"/>
      <c r="M154" s="288"/>
      <c r="N154" s="288"/>
      <c r="O154" s="288"/>
      <c r="P154" s="288"/>
      <c r="Q154" s="1049"/>
      <c r="R154" s="288"/>
      <c r="S154" s="288"/>
      <c r="T154" s="1049"/>
      <c r="U154" s="288"/>
      <c r="V154" s="288"/>
      <c r="W154" s="288"/>
      <c r="X154" s="288"/>
      <c r="Y154" s="288"/>
      <c r="Z154" s="288"/>
      <c r="AA154" s="1049"/>
      <c r="AB154" s="1049"/>
      <c r="AC154" s="1049"/>
      <c r="AD154" s="1049"/>
      <c r="AE154" s="1049"/>
      <c r="AF154" s="1049"/>
      <c r="AG154" s="1049"/>
      <c r="AH154" s="1967"/>
      <c r="AI154"/>
      <c r="AJ154"/>
      <c r="AK154"/>
      <c r="AL154"/>
      <c r="AM154"/>
      <c r="AN154"/>
      <c r="AO154"/>
      <c r="AP154" s="290"/>
      <c r="AQ154" s="288"/>
      <c r="AR154" s="288"/>
      <c r="AS154" s="288"/>
      <c r="AT154" s="290"/>
      <c r="AU154" s="288"/>
      <c r="AV154" s="288"/>
      <c r="AW154" s="288"/>
      <c r="AX154" s="290"/>
      <c r="AY154" s="288"/>
      <c r="AZ154" s="288"/>
      <c r="BA154" s="288"/>
      <c r="BB154" s="290"/>
      <c r="BC154" s="288"/>
      <c r="BD154" s="288"/>
      <c r="BE154" s="288"/>
      <c r="BF154" s="290"/>
      <c r="BG154" s="288"/>
      <c r="BH154" s="288"/>
      <c r="BI154" s="288"/>
      <c r="BJ154" s="290"/>
      <c r="BK154" s="288"/>
      <c r="BL154" s="288"/>
      <c r="BM154" s="288"/>
      <c r="BN154" s="290"/>
      <c r="BO154" s="288"/>
      <c r="BP154" s="288"/>
      <c r="BQ154" s="288"/>
      <c r="BR154" s="290"/>
      <c r="BS154" s="288"/>
      <c r="BT154" s="288"/>
      <c r="BU154" s="288"/>
      <c r="BV154" s="290"/>
      <c r="BW154" s="288"/>
      <c r="BX154" s="288"/>
      <c r="BY154" s="288"/>
      <c r="BZ154" s="290"/>
      <c r="CA154" s="288"/>
      <c r="CB154" s="288"/>
      <c r="CC154" s="288"/>
      <c r="CD154" s="290"/>
      <c r="CE154" s="288"/>
      <c r="CF154" s="288"/>
      <c r="CG154" s="288"/>
      <c r="CH154" s="290"/>
      <c r="CI154" s="288"/>
      <c r="CJ154" s="288"/>
      <c r="CK154" s="288"/>
      <c r="CL154" s="290">
        <f>(Wless!CL254-(SUM(Wless!CI256:CL256)))/1000*0.55</f>
        <v>42.260350000000003</v>
      </c>
      <c r="CM154" s="288">
        <f>(Wless!CM254-(SUM(Wless!CJ256:CM256)))/1000*0.55</f>
        <v>42.859850000000009</v>
      </c>
      <c r="CN154" s="288">
        <f>(Wless!CN254-(SUM(Wless!CK256:CN256)))/1000*0.55</f>
        <v>43.688700000000004</v>
      </c>
      <c r="CO154" s="288">
        <f>(Wless!CO254-(SUM(Wless!CL256:CO256)))/1000*0.55</f>
        <v>44.225500000000004</v>
      </c>
      <c r="CP154" s="290">
        <f>(Wless!CP254-(SUM(Wless!CM256:CP256)))/1000*0.55</f>
        <v>44.449350000000003</v>
      </c>
      <c r="CQ154" s="288">
        <f>(Wless!CQ254-(SUM(Wless!CN256:CQ256)))/1000*0.55</f>
        <v>44.811250000000001</v>
      </c>
      <c r="CR154" s="288">
        <f>(Wless!CR254-(SUM(Wless!CO256:CR256)))/1000*0.55</f>
        <v>45.173700000000004</v>
      </c>
      <c r="CS154" s="288">
        <f>(Wless!CS254-(SUM(Wless!CP256:CS256)))/1000*0.55</f>
        <v>45.663200000000003</v>
      </c>
      <c r="CT154" s="290">
        <f>(Wless!CT254-(SUM(Wless!CQ256:CT256)))/1000*0.55</f>
        <v>46.164250000000003</v>
      </c>
      <c r="CU154" s="288">
        <f>(Wless!CU254-(SUM(Wless!CR256:CU256)))/1000*0.55</f>
        <v>46.855600000000003</v>
      </c>
      <c r="CV154" s="288">
        <f>(Wless!CV254-(SUM(Wless!CS256:CV256)))/1000*0.55</f>
        <v>47.395700000000005</v>
      </c>
      <c r="CW154" s="291">
        <f>(Wless!CW254-(SUM(Wless!CT256:CW256)))/1000*0.55</f>
        <v>48.05735</v>
      </c>
      <c r="CX154" s="288">
        <f>(Wless!CX254-(SUM(Wless!CU256:CX256)))/1000*0.55</f>
        <v>48.332900000000002</v>
      </c>
      <c r="CY154" s="288">
        <f>(Wless!CY254-(SUM(Wless!CV256:CY256)))/1000*0.55</f>
        <v>48.822400000000002</v>
      </c>
      <c r="CZ154" s="288">
        <f>(Wless!CZ254-(SUM(Wless!CW256:CZ256)))/1000*0.55</f>
        <v>49.668300000000002</v>
      </c>
      <c r="DA154" s="288">
        <f>(Wless!DA254-(SUM(Wless!CX256:DA256)))/1000*0.55</f>
        <v>50.82330000000001</v>
      </c>
      <c r="DB154" s="290">
        <f>(Wless!DB254-(SUM(Wless!CY256:DB256)))/1000*0.55</f>
        <v>51.239650000000005</v>
      </c>
      <c r="DC154" s="288">
        <f>(Wless!DC254-(SUM(Wless!CZ256:DC256)))/1000*0.55</f>
        <v>51.750050000000002</v>
      </c>
      <c r="DD154" s="288">
        <f>(Wless!DD254-(SUM(Wless!DA256:DD256)))/1000*0.55</f>
        <v>52.249450000000003</v>
      </c>
      <c r="DE154" s="288">
        <f>(Wless!DE254-(SUM(Wless!DB256:DE256)))/1000*0.55</f>
        <v>53.156400000000005</v>
      </c>
      <c r="DF154" s="288">
        <f>(Wless!DF254-(SUM(Wless!DC256:DF256)))/1000*0.55</f>
        <v>53.441300000000005</v>
      </c>
      <c r="DG154" s="1049">
        <f>(Wless!DG254-(SUM(Wless!DD256:DG256)))/1000*0.55</f>
        <v>54.313050000000004</v>
      </c>
      <c r="DH154" s="1049">
        <f>(Wless!DH254-(SUM(Wless!DE256:DH256)))/1000*0.55</f>
        <v>55.139700000000005</v>
      </c>
      <c r="DI154" s="1049">
        <f>(Wless!DI254-(SUM(Wless!DF256:DI256)))/1000*0.55</f>
        <v>56.228700000000003</v>
      </c>
      <c r="DJ154" s="1049">
        <f>(Wless!DJ254-(SUM(Wless!DG256:DJ256)))/1000*0.55</f>
        <v>56.529550000000008</v>
      </c>
      <c r="DK154" s="1049">
        <f>(Wless!DK254-(SUM(Wless!DH256:DK256)))/1000*0.55</f>
        <v>57.0867</v>
      </c>
      <c r="DL154" s="1049">
        <f>(Wless!DL254-(SUM(Wless!DI256:DL256)))/1000*0.55</f>
        <v>57.792350000000006</v>
      </c>
      <c r="DM154" s="1049">
        <f>(Wless!DM254-(SUM(Wless!DJ256:DM256)))/1000*0.55</f>
        <v>58.622300000000003</v>
      </c>
      <c r="DN154" s="1049">
        <f>(Wless!DN254-(SUM(Wless!DK256:DN256)))/1000*0.55</f>
        <v>58.97045</v>
      </c>
      <c r="DO154" s="1049">
        <f>(Wless!DO254-(SUM(Wless!DL256:DO256)))/1000*0.55</f>
        <v>59.286700000000003</v>
      </c>
      <c r="DP154" s="1049">
        <f>(Wless!DP254-(SUM(Wless!DM256:DP256)))/1000*0.55</f>
        <v>59.531450000000007</v>
      </c>
      <c r="DQ154" s="1049">
        <f>(Wless!DQ254-(SUM(Wless!DN256:DQ256)))/1000*0.55</f>
        <v>59.848800000000004</v>
      </c>
      <c r="DR154" s="1049">
        <f>(Wless!DR254-(SUM(Wless!DO256:DR256)))/1000*0.55</f>
        <v>59.681600000000003</v>
      </c>
      <c r="DS154" s="1049">
        <f>(Wless!DS254-(SUM(Wless!DP256:DS256)))/1000*0.55</f>
        <v>60.016000000000005</v>
      </c>
      <c r="DT154" s="1049">
        <f>(Wless!DT254-(SUM(Wless!DQ256:DT256)))/1000*0.55</f>
        <v>60.346550000000008</v>
      </c>
      <c r="DU154" s="1049">
        <f>(Wless!DU254-(SUM(Wless!DR256:DU256)))/1000*0.55</f>
        <v>60.984000000000002</v>
      </c>
      <c r="DV154" s="1049">
        <f>(Wless!DV254-(SUM(Wless!DS256:DV256)))/1000*0.55</f>
        <v>61.123700000000007</v>
      </c>
      <c r="DW154" s="1049">
        <f ca="1">(Wless!DW254-(SUM(Wless!DT256:DW256)))/1000*0.55</f>
        <v>61.376205579232824</v>
      </c>
      <c r="DX154" s="1049">
        <f ca="1">(Wless!DX254-(SUM(Wless!DU256:DX256)))/1000*0.55</f>
        <v>61.640063973059469</v>
      </c>
      <c r="DY154" s="291">
        <f ca="1">(Wless!DY254-(SUM(Wless!DV256:DY256)))/1000*0.55</f>
        <v>62.219424594545394</v>
      </c>
    </row>
    <row r="155" spans="1:129" hidden="1" outlineLevel="1">
      <c r="A155" s="740" t="s">
        <v>483</v>
      </c>
      <c r="B155" s="558"/>
      <c r="C155" s="558"/>
      <c r="D155" s="558"/>
      <c r="E155" s="558"/>
      <c r="F155" s="558"/>
      <c r="G155" s="558"/>
      <c r="H155" s="558"/>
      <c r="I155" s="558"/>
      <c r="J155" s="558"/>
      <c r="K155" s="558"/>
      <c r="L155" s="558"/>
      <c r="M155" s="558"/>
      <c r="N155" s="558"/>
      <c r="O155" s="558"/>
      <c r="P155" s="558"/>
      <c r="Q155" s="1129"/>
      <c r="R155" s="558"/>
      <c r="S155" s="558"/>
      <c r="T155" s="1129"/>
      <c r="U155" s="558"/>
      <c r="V155" s="558"/>
      <c r="W155" s="558"/>
      <c r="X155" s="558"/>
      <c r="Y155" s="558"/>
      <c r="Z155" s="558"/>
      <c r="AA155" s="1129"/>
      <c r="AB155" s="1129"/>
      <c r="AC155" s="1129"/>
      <c r="AD155" s="1129"/>
      <c r="AE155" s="1129"/>
      <c r="AF155" s="1129"/>
      <c r="AG155" s="1129"/>
      <c r="AH155" s="2138"/>
      <c r="AI155"/>
      <c r="AJ155"/>
      <c r="AK155"/>
      <c r="AL155"/>
      <c r="AM155"/>
      <c r="AN155"/>
      <c r="AO155"/>
      <c r="AP155" s="557"/>
      <c r="AQ155" s="558"/>
      <c r="AR155" s="558"/>
      <c r="AS155" s="558"/>
      <c r="AT155" s="557"/>
      <c r="AU155" s="558"/>
      <c r="AV155" s="558"/>
      <c r="AW155" s="558"/>
      <c r="AX155" s="557"/>
      <c r="AY155" s="558"/>
      <c r="AZ155" s="558"/>
      <c r="BA155" s="558"/>
      <c r="BB155" s="557"/>
      <c r="BC155" s="558"/>
      <c r="BD155" s="558"/>
      <c r="BE155" s="558"/>
      <c r="BF155" s="557"/>
      <c r="BG155" s="558"/>
      <c r="BH155" s="558"/>
      <c r="BI155" s="558"/>
      <c r="BJ155" s="557"/>
      <c r="BK155" s="558"/>
      <c r="BL155" s="558"/>
      <c r="BM155" s="558"/>
      <c r="BN155" s="557"/>
      <c r="BO155" s="558"/>
      <c r="BP155" s="558"/>
      <c r="BQ155" s="558"/>
      <c r="BR155" s="557"/>
      <c r="BS155" s="558"/>
      <c r="BT155" s="558"/>
      <c r="BU155" s="558"/>
      <c r="BV155" s="557"/>
      <c r="BW155" s="558"/>
      <c r="BX155" s="558"/>
      <c r="BY155" s="558"/>
      <c r="BZ155" s="557"/>
      <c r="CA155" s="558"/>
      <c r="CB155" s="558"/>
      <c r="CC155" s="558"/>
      <c r="CD155" s="557"/>
      <c r="CE155" s="558"/>
      <c r="CF155" s="558"/>
      <c r="CG155" s="558"/>
      <c r="CH155" s="557"/>
      <c r="CI155" s="558"/>
      <c r="CJ155" s="558"/>
      <c r="CK155" s="558"/>
      <c r="CL155" s="557">
        <f t="shared" ref="CL155:DF155" si="350">SUM(CL150:CL154)</f>
        <v>82.831350000000015</v>
      </c>
      <c r="CM155" s="558">
        <f t="shared" si="350"/>
        <v>83.135050000000007</v>
      </c>
      <c r="CN155" s="558">
        <f t="shared" si="350"/>
        <v>83.411699999999996</v>
      </c>
      <c r="CO155" s="558">
        <f t="shared" si="350"/>
        <v>83.458500000000015</v>
      </c>
      <c r="CP155" s="557">
        <f t="shared" si="350"/>
        <v>83.323350000000005</v>
      </c>
      <c r="CQ155" s="558">
        <f t="shared" si="350"/>
        <v>83.314250000000001</v>
      </c>
      <c r="CR155" s="558">
        <f t="shared" si="350"/>
        <v>83.346699999999998</v>
      </c>
      <c r="CS155" s="558">
        <f t="shared" si="350"/>
        <v>83.528199999999998</v>
      </c>
      <c r="CT155" s="557">
        <f t="shared" si="350"/>
        <v>83.772250000000014</v>
      </c>
      <c r="CU155" s="558">
        <f t="shared" si="350"/>
        <v>84.252600000000001</v>
      </c>
      <c r="CV155" s="558">
        <f t="shared" si="350"/>
        <v>84.465699999999998</v>
      </c>
      <c r="CW155" s="559">
        <f t="shared" si="350"/>
        <v>85.037350000000004</v>
      </c>
      <c r="CX155" s="558">
        <f t="shared" si="350"/>
        <v>85.159899999999993</v>
      </c>
      <c r="CY155" s="558">
        <f t="shared" si="350"/>
        <v>85.349400000000003</v>
      </c>
      <c r="CZ155" s="558">
        <f t="shared" si="350"/>
        <v>85.87530000000001</v>
      </c>
      <c r="DA155" s="558">
        <f t="shared" si="350"/>
        <v>86.847300000000018</v>
      </c>
      <c r="DB155" s="557">
        <f t="shared" si="350"/>
        <v>87.219650000000001</v>
      </c>
      <c r="DC155" s="558">
        <f t="shared" si="350"/>
        <v>87.552050000000008</v>
      </c>
      <c r="DD155" s="558">
        <f t="shared" si="350"/>
        <v>87.87145000000001</v>
      </c>
      <c r="DE155" s="558">
        <f t="shared" si="350"/>
        <v>88.518400000000014</v>
      </c>
      <c r="DF155" s="558">
        <f t="shared" si="350"/>
        <v>88.524300000000011</v>
      </c>
      <c r="DG155" s="1129">
        <f>SUM(DG150:DG154)</f>
        <v>89.200050000000005</v>
      </c>
      <c r="DH155" s="1129">
        <f>SUM(DH150:DH154)</f>
        <v>89.907700000000006</v>
      </c>
      <c r="DI155" s="1129">
        <f>SUM(DI150:DI154)</f>
        <v>90.877700000000004</v>
      </c>
      <c r="DJ155" s="1129">
        <f t="shared" ref="DJ155:DM155" si="351">SUM(DJ150:DJ154)</f>
        <v>90.989550000000008</v>
      </c>
      <c r="DK155" s="1129">
        <f t="shared" si="351"/>
        <v>91.151700000000005</v>
      </c>
      <c r="DL155" s="1129">
        <f t="shared" si="351"/>
        <v>91.562350000000009</v>
      </c>
      <c r="DM155" s="1129">
        <f t="shared" si="351"/>
        <v>92.064300000000003</v>
      </c>
      <c r="DN155" s="1129">
        <f t="shared" ref="DN155:DO155" si="352">SUM(DN150:DN154)</f>
        <v>92.088449999999995</v>
      </c>
      <c r="DO155" s="1129">
        <f t="shared" si="352"/>
        <v>85.413700000000006</v>
      </c>
      <c r="DP155" s="1129">
        <f t="shared" ref="DP155:DQ155" si="353">SUM(DP150:DP154)</f>
        <v>85.436450000000008</v>
      </c>
      <c r="DQ155" s="1129">
        <f t="shared" si="353"/>
        <v>85.519800000000004</v>
      </c>
      <c r="DR155" s="1129">
        <f t="shared" ref="DR155:DS155" si="354">SUM(DR150:DR154)</f>
        <v>85.007599999999996</v>
      </c>
      <c r="DS155" s="1129">
        <f t="shared" si="354"/>
        <v>85.022000000000006</v>
      </c>
      <c r="DT155" s="1129">
        <f t="shared" ref="DT155:DU155" si="355">SUM(DT150:DT154)</f>
        <v>85.072550000000007</v>
      </c>
      <c r="DU155" s="1129">
        <f t="shared" si="355"/>
        <v>85.38300000000001</v>
      </c>
      <c r="DV155" s="1129">
        <f t="shared" ref="DV155" si="356">SUM(DV150:DV154)</f>
        <v>85.241700000000009</v>
      </c>
      <c r="DW155" s="1129">
        <f t="shared" ref="DW155:DY155" ca="1" si="357">SUM(DW150:DW154)</f>
        <v>84.492653053928436</v>
      </c>
      <c r="DX155" s="1129">
        <f t="shared" ca="1" si="357"/>
        <v>83.848192691303808</v>
      </c>
      <c r="DY155" s="559">
        <f t="shared" ca="1" si="357"/>
        <v>83.57878806706934</v>
      </c>
    </row>
    <row r="156" spans="1:129" hidden="1" outlineLevel="1">
      <c r="A156" s="741" t="s">
        <v>484</v>
      </c>
      <c r="B156" s="288"/>
      <c r="C156" s="288"/>
      <c r="D156" s="288"/>
      <c r="E156" s="288"/>
      <c r="F156" s="288"/>
      <c r="G156" s="288"/>
      <c r="H156" s="288"/>
      <c r="I156" s="288"/>
      <c r="J156" s="288"/>
      <c r="K156" s="288"/>
      <c r="L156" s="288"/>
      <c r="M156" s="288"/>
      <c r="N156" s="288"/>
      <c r="O156" s="288"/>
      <c r="P156" s="288"/>
      <c r="Q156" s="1049"/>
      <c r="R156" s="288"/>
      <c r="S156" s="288"/>
      <c r="T156" s="1049"/>
      <c r="U156" s="288"/>
      <c r="V156" s="288"/>
      <c r="W156" s="288"/>
      <c r="X156" s="288"/>
      <c r="Y156" s="288"/>
      <c r="Z156" s="288"/>
      <c r="AA156" s="1049"/>
      <c r="AB156" s="1049"/>
      <c r="AC156" s="1049"/>
      <c r="AD156" s="1049"/>
      <c r="AE156" s="1049"/>
      <c r="AF156" s="1049"/>
      <c r="AG156" s="1049"/>
      <c r="AH156" s="1967"/>
      <c r="AI156"/>
      <c r="AJ156"/>
      <c r="AK156"/>
      <c r="AL156"/>
      <c r="AM156"/>
      <c r="AN156"/>
      <c r="AO156"/>
      <c r="AP156" s="290"/>
      <c r="AQ156" s="288"/>
      <c r="AR156" s="288"/>
      <c r="AS156" s="288"/>
      <c r="AT156" s="290"/>
      <c r="AU156" s="288"/>
      <c r="AV156" s="288"/>
      <c r="AW156" s="288"/>
      <c r="AX156" s="290"/>
      <c r="AY156" s="288"/>
      <c r="AZ156" s="288"/>
      <c r="BA156" s="288"/>
      <c r="BB156" s="290"/>
      <c r="BC156" s="288"/>
      <c r="BD156" s="288"/>
      <c r="BE156" s="288"/>
      <c r="BF156" s="290"/>
      <c r="BG156" s="288"/>
      <c r="BH156" s="288"/>
      <c r="BI156" s="288"/>
      <c r="BJ156" s="290"/>
      <c r="BK156" s="288"/>
      <c r="BL156" s="288"/>
      <c r="BM156" s="288"/>
      <c r="BN156" s="290"/>
      <c r="BO156" s="288"/>
      <c r="BP156" s="288"/>
      <c r="BQ156" s="288"/>
      <c r="BR156" s="290"/>
      <c r="BS156" s="288"/>
      <c r="BT156" s="288"/>
      <c r="BU156" s="288"/>
      <c r="BV156" s="290"/>
      <c r="BW156" s="288"/>
      <c r="BX156" s="288"/>
      <c r="BY156" s="288"/>
      <c r="BZ156" s="290"/>
      <c r="CA156" s="288"/>
      <c r="CB156" s="288"/>
      <c r="CC156" s="288"/>
      <c r="CD156" s="290"/>
      <c r="CE156" s="288"/>
      <c r="CF156" s="288"/>
      <c r="CG156" s="288"/>
      <c r="CH156" s="290"/>
      <c r="CI156" s="288"/>
      <c r="CJ156" s="288"/>
      <c r="CK156" s="288"/>
      <c r="CL156" s="557">
        <f t="shared" ref="CL156:DE156" si="358">SUM(CL150:CL153)+CL147</f>
        <v>83.115700000000004</v>
      </c>
      <c r="CM156" s="558">
        <f t="shared" si="358"/>
        <v>83.392449999999997</v>
      </c>
      <c r="CN156" s="558">
        <f t="shared" si="358"/>
        <v>83.377049999999997</v>
      </c>
      <c r="CO156" s="558">
        <f t="shared" si="358"/>
        <v>83.505250000000004</v>
      </c>
      <c r="CP156" s="557">
        <f t="shared" si="358"/>
        <v>83.375600000000006</v>
      </c>
      <c r="CQ156" s="558">
        <f t="shared" si="358"/>
        <v>83.36815</v>
      </c>
      <c r="CR156" s="558">
        <f t="shared" si="358"/>
        <v>83.414350000000013</v>
      </c>
      <c r="CS156" s="558">
        <f t="shared" si="358"/>
        <v>83.583750000000009</v>
      </c>
      <c r="CT156" s="557">
        <f t="shared" si="358"/>
        <v>83.825050000000005</v>
      </c>
      <c r="CU156" s="558">
        <f t="shared" si="358"/>
        <v>84.3065</v>
      </c>
      <c r="CV156" s="558">
        <f t="shared" si="358"/>
        <v>84.466250000000002</v>
      </c>
      <c r="CW156" s="559">
        <f t="shared" si="358"/>
        <v>85.04010000000001</v>
      </c>
      <c r="CX156" s="558">
        <f t="shared" si="358"/>
        <v>85.206649999999996</v>
      </c>
      <c r="CY156" s="558">
        <f t="shared" si="358"/>
        <v>85.387900000000002</v>
      </c>
      <c r="CZ156" s="558">
        <f t="shared" si="358"/>
        <v>85.901700000000005</v>
      </c>
      <c r="DA156" s="558">
        <f t="shared" si="358"/>
        <v>86.915500000000009</v>
      </c>
      <c r="DB156" s="557">
        <f t="shared" si="358"/>
        <v>87.232300000000009</v>
      </c>
      <c r="DC156" s="558">
        <f t="shared" si="358"/>
        <v>87.651049999999998</v>
      </c>
      <c r="DD156" s="558">
        <f t="shared" si="358"/>
        <v>87.97375000000001</v>
      </c>
      <c r="DE156" s="558">
        <f t="shared" si="358"/>
        <v>88.575600000000009</v>
      </c>
      <c r="DF156" s="558">
        <f>SUM(DF150:DF153)+DF147</f>
        <v>88.583150000000018</v>
      </c>
      <c r="DG156" s="1129">
        <f>SUM(DG150:DG153)+DG147</f>
        <v>89.113150000000005</v>
      </c>
      <c r="DH156" s="1129">
        <f>SUM(DH150:DH153)+DH147</f>
        <v>89.824650000000005</v>
      </c>
      <c r="DI156" s="1129">
        <f>SUM(DI150:DI153)+DI147</f>
        <v>90.792450000000002</v>
      </c>
      <c r="DJ156" s="1129">
        <f t="shared" ref="DJ156:DM156" si="359">SUM(DJ150:DJ153)+DJ147</f>
        <v>90.910350000000008</v>
      </c>
      <c r="DK156" s="1129">
        <f t="shared" si="359"/>
        <v>91.117050000000006</v>
      </c>
      <c r="DL156" s="1129">
        <f t="shared" si="359"/>
        <v>91.53264999999999</v>
      </c>
      <c r="DM156" s="1129">
        <f t="shared" si="359"/>
        <v>92.032399999999996</v>
      </c>
      <c r="DN156" s="1129">
        <f t="shared" ref="DN156:DO156" si="360">SUM(DN150:DN153)+DN147</f>
        <v>92.062049999999999</v>
      </c>
      <c r="DO156" s="1129">
        <f t="shared" si="360"/>
        <v>85.406000000000006</v>
      </c>
      <c r="DP156" s="1129">
        <f t="shared" ref="DP156:DQ156" si="361">SUM(DP150:DP153)+DP147</f>
        <v>85.426000000000016</v>
      </c>
      <c r="DQ156" s="1129">
        <f t="shared" si="361"/>
        <v>85.508800000000008</v>
      </c>
      <c r="DR156" s="1129">
        <f t="shared" ref="DR156:DS156" si="362">SUM(DR150:DR153)+DR147</f>
        <v>84.991649999999993</v>
      </c>
      <c r="DS156" s="1129">
        <f t="shared" si="362"/>
        <v>85.004400000000004</v>
      </c>
      <c r="DT156" s="1129">
        <f t="shared" ref="DT156:DU156" si="363">SUM(DT150:DT153)+DT147</f>
        <v>85.053300000000007</v>
      </c>
      <c r="DU156" s="1129">
        <f t="shared" si="363"/>
        <v>85.368700000000004</v>
      </c>
      <c r="DV156" s="1129">
        <f t="shared" ref="DV156" si="364">SUM(DV150:DV153)+DV147</f>
        <v>85.230700000000013</v>
      </c>
      <c r="DW156" s="1129">
        <f t="shared" ref="DW156:DY156" ca="1" si="365">SUM(DW150:DW153)+DW147</f>
        <v>84.486603053928434</v>
      </c>
      <c r="DX156" s="1129">
        <f t="shared" ca="1" si="365"/>
        <v>83.844892691303812</v>
      </c>
      <c r="DY156" s="559">
        <f t="shared" ca="1" si="365"/>
        <v>83.57878806706934</v>
      </c>
    </row>
    <row r="157" spans="1:129" hidden="1" outlineLevel="1">
      <c r="A157" s="739" t="s">
        <v>485</v>
      </c>
      <c r="B157" s="288"/>
      <c r="C157" s="288"/>
      <c r="D157" s="288"/>
      <c r="E157" s="288"/>
      <c r="F157" s="288"/>
      <c r="G157" s="288"/>
      <c r="H157" s="288"/>
      <c r="I157" s="288"/>
      <c r="J157" s="288"/>
      <c r="K157" s="288"/>
      <c r="L157" s="288"/>
      <c r="M157" s="288"/>
      <c r="N157" s="288"/>
      <c r="O157" s="288"/>
      <c r="P157" s="288"/>
      <c r="Q157" s="1049"/>
      <c r="R157" s="288"/>
      <c r="S157" s="288"/>
      <c r="T157" s="1049"/>
      <c r="U157" s="288"/>
      <c r="V157" s="288"/>
      <c r="W157" s="288"/>
      <c r="X157" s="288"/>
      <c r="Y157" s="288"/>
      <c r="Z157" s="288"/>
      <c r="AA157" s="1049"/>
      <c r="AB157" s="1049"/>
      <c r="AC157" s="1049"/>
      <c r="AD157" s="1049"/>
      <c r="AE157" s="1049"/>
      <c r="AF157" s="1049"/>
      <c r="AG157" s="1049"/>
      <c r="AH157" s="1967"/>
      <c r="AI157"/>
      <c r="AJ157"/>
      <c r="AK157"/>
      <c r="AL157"/>
      <c r="AM157"/>
      <c r="AN157"/>
      <c r="AO157"/>
      <c r="AP157" s="290"/>
      <c r="AQ157" s="288"/>
      <c r="AR157" s="288"/>
      <c r="AS157" s="288"/>
      <c r="AT157" s="290"/>
      <c r="AU157" s="288"/>
      <c r="AV157" s="288"/>
      <c r="AW157" s="288"/>
      <c r="AX157" s="290"/>
      <c r="AY157" s="288"/>
      <c r="AZ157" s="288"/>
      <c r="BA157" s="288"/>
      <c r="BB157" s="290"/>
      <c r="BC157" s="288"/>
      <c r="BD157" s="288"/>
      <c r="BE157" s="288"/>
      <c r="BF157" s="290"/>
      <c r="BG157" s="288"/>
      <c r="BH157" s="288"/>
      <c r="BI157" s="288"/>
      <c r="BJ157" s="290"/>
      <c r="BK157" s="288"/>
      <c r="BL157" s="288"/>
      <c r="BM157" s="288"/>
      <c r="BN157" s="290"/>
      <c r="BO157" s="288"/>
      <c r="BP157" s="288"/>
      <c r="BQ157" s="288"/>
      <c r="BR157" s="290"/>
      <c r="BS157" s="288"/>
      <c r="BT157" s="288"/>
      <c r="BU157" s="288"/>
      <c r="BV157" s="290"/>
      <c r="BW157" s="288"/>
      <c r="BX157" s="288"/>
      <c r="BY157" s="288"/>
      <c r="BZ157" s="290"/>
      <c r="CA157" s="288"/>
      <c r="CB157" s="288"/>
      <c r="CC157" s="288"/>
      <c r="CD157" s="290"/>
      <c r="CE157" s="288"/>
      <c r="CF157" s="288"/>
      <c r="CG157" s="288"/>
      <c r="CH157" s="290"/>
      <c r="CI157" s="288"/>
      <c r="CJ157" s="288"/>
      <c r="CK157" s="288"/>
      <c r="CL157" s="290"/>
      <c r="CM157" s="288"/>
      <c r="CN157" s="288"/>
      <c r="CO157" s="288"/>
      <c r="CP157" s="290"/>
      <c r="CQ157" s="288"/>
      <c r="CR157" s="288"/>
      <c r="CS157" s="288"/>
      <c r="CT157" s="290"/>
      <c r="CU157" s="288"/>
      <c r="CV157" s="288"/>
      <c r="CW157" s="291"/>
      <c r="CX157" s="288"/>
      <c r="CY157" s="288"/>
      <c r="CZ157" s="288"/>
      <c r="DA157" s="288"/>
      <c r="DB157" s="290"/>
      <c r="DC157" s="288"/>
      <c r="DD157" s="288"/>
      <c r="DE157" s="288"/>
      <c r="DF157" s="288"/>
      <c r="DG157" s="1049"/>
      <c r="DH157" s="1049"/>
      <c r="DI157" s="1049"/>
      <c r="DJ157" s="1049"/>
      <c r="DK157" s="1049"/>
      <c r="DL157" s="1049"/>
      <c r="DM157" s="1049"/>
      <c r="DN157" s="1049"/>
      <c r="DO157" s="1049"/>
      <c r="DP157" s="1049"/>
      <c r="DQ157" s="1049"/>
      <c r="DR157" s="1049"/>
      <c r="DS157" s="1049"/>
      <c r="DT157" s="1049"/>
      <c r="DU157" s="1049"/>
      <c r="DV157" s="1049"/>
      <c r="DW157" s="1049"/>
      <c r="DX157" s="1049"/>
      <c r="DY157" s="291"/>
    </row>
    <row r="158" spans="1:129" hidden="1" outlineLevel="1">
      <c r="A158" s="739" t="s">
        <v>479</v>
      </c>
      <c r="B158" s="288"/>
      <c r="C158" s="288"/>
      <c r="D158" s="288"/>
      <c r="E158" s="288"/>
      <c r="F158" s="288"/>
      <c r="G158" s="288"/>
      <c r="H158" s="288"/>
      <c r="I158" s="288"/>
      <c r="J158" s="288"/>
      <c r="K158" s="288"/>
      <c r="L158" s="288"/>
      <c r="M158" s="288"/>
      <c r="N158" s="288"/>
      <c r="O158" s="288"/>
      <c r="P158" s="288"/>
      <c r="Q158" s="1049"/>
      <c r="R158" s="288"/>
      <c r="S158" s="288"/>
      <c r="T158" s="1049"/>
      <c r="U158" s="288"/>
      <c r="V158" s="288"/>
      <c r="W158" s="288"/>
      <c r="X158" s="288"/>
      <c r="Y158" s="288"/>
      <c r="Z158" s="288"/>
      <c r="AA158" s="1049"/>
      <c r="AB158" s="1049"/>
      <c r="AC158" s="1049"/>
      <c r="AD158" s="1049"/>
      <c r="AE158" s="1049"/>
      <c r="AF158" s="1049"/>
      <c r="AG158" s="1049"/>
      <c r="AH158" s="1967"/>
      <c r="AI158"/>
      <c r="AJ158"/>
      <c r="AK158"/>
      <c r="AL158"/>
      <c r="AM158"/>
      <c r="AN158"/>
      <c r="AO158"/>
      <c r="AP158" s="290"/>
      <c r="AQ158" s="288"/>
      <c r="AR158" s="288"/>
      <c r="AS158" s="288"/>
      <c r="AT158" s="290"/>
      <c r="AU158" s="288"/>
      <c r="AV158" s="288"/>
      <c r="AW158" s="288"/>
      <c r="AX158" s="290"/>
      <c r="AY158" s="288"/>
      <c r="AZ158" s="288"/>
      <c r="BA158" s="288"/>
      <c r="BB158" s="290"/>
      <c r="BC158" s="288"/>
      <c r="BD158" s="288"/>
      <c r="BE158" s="288"/>
      <c r="BF158" s="290"/>
      <c r="BG158" s="288"/>
      <c r="BH158" s="288"/>
      <c r="BI158" s="288"/>
      <c r="BJ158" s="290"/>
      <c r="BK158" s="288"/>
      <c r="BL158" s="288"/>
      <c r="BM158" s="288"/>
      <c r="BN158" s="290"/>
      <c r="BO158" s="288"/>
      <c r="BP158" s="288"/>
      <c r="BQ158" s="288"/>
      <c r="BR158" s="290"/>
      <c r="BS158" s="288"/>
      <c r="BT158" s="288"/>
      <c r="BU158" s="288"/>
      <c r="BV158" s="290"/>
      <c r="BW158" s="288"/>
      <c r="BX158" s="288"/>
      <c r="BY158" s="288"/>
      <c r="BZ158" s="290"/>
      <c r="CA158" s="288"/>
      <c r="CB158" s="288"/>
      <c r="CC158" s="288"/>
      <c r="CD158" s="290"/>
      <c r="CE158" s="288"/>
      <c r="CF158" s="288"/>
      <c r="CG158" s="288"/>
      <c r="CH158" s="290"/>
      <c r="CI158" s="288"/>
      <c r="CJ158" s="288"/>
      <c r="CK158" s="288"/>
      <c r="CL158" s="290"/>
      <c r="CM158" s="288"/>
      <c r="CN158" s="288"/>
      <c r="CO158" s="288"/>
      <c r="CP158" s="290">
        <f t="shared" ref="CP158:DV158" si="366">+CP150-CO150</f>
        <v>-0.6039999999999992</v>
      </c>
      <c r="CQ158" s="288">
        <f t="shared" si="366"/>
        <v>-0.58099999999999952</v>
      </c>
      <c r="CR158" s="288">
        <f t="shared" si="366"/>
        <v>-0.59400000000000119</v>
      </c>
      <c r="CS158" s="288">
        <f t="shared" si="366"/>
        <v>-0.54299999999999926</v>
      </c>
      <c r="CT158" s="290">
        <f t="shared" si="366"/>
        <v>-0.5470000000000006</v>
      </c>
      <c r="CU158" s="288">
        <f t="shared" si="366"/>
        <v>-0.45700000000000074</v>
      </c>
      <c r="CV158" s="288">
        <f t="shared" si="366"/>
        <v>-0.47800000000000153</v>
      </c>
      <c r="CW158" s="291">
        <f t="shared" si="366"/>
        <v>-0.3819999999999979</v>
      </c>
      <c r="CX158" s="288">
        <f t="shared" si="366"/>
        <v>-0.43700000000000117</v>
      </c>
      <c r="CY158" s="288">
        <f t="shared" si="366"/>
        <v>-0.4220000000000006</v>
      </c>
      <c r="CZ158" s="288">
        <f t="shared" si="366"/>
        <v>-0.43099999999999739</v>
      </c>
      <c r="DA158" s="288">
        <f t="shared" si="366"/>
        <v>-0.34400000000000119</v>
      </c>
      <c r="DB158" s="290">
        <f t="shared" si="366"/>
        <v>-0.31200000000000117</v>
      </c>
      <c r="DC158" s="288">
        <f t="shared" si="366"/>
        <v>-0.36299999999999955</v>
      </c>
      <c r="DD158" s="288">
        <f t="shared" si="366"/>
        <v>-0.37099999999999866</v>
      </c>
      <c r="DE158" s="288">
        <f t="shared" si="366"/>
        <v>-0.37199999999999989</v>
      </c>
      <c r="DF158" s="288">
        <f t="shared" si="366"/>
        <v>-0.35200000000000031</v>
      </c>
      <c r="DG158" s="1049">
        <f t="shared" si="366"/>
        <v>-0.3420000000000023</v>
      </c>
      <c r="DH158" s="1049">
        <f t="shared" si="366"/>
        <v>-0.3019999999999996</v>
      </c>
      <c r="DI158" s="1049">
        <f t="shared" si="366"/>
        <v>-0.29399999999999693</v>
      </c>
      <c r="DJ158" s="1049">
        <f t="shared" si="366"/>
        <v>-0.32000000000000028</v>
      </c>
      <c r="DK158" s="1049">
        <f t="shared" si="366"/>
        <v>-0.3960000000000008</v>
      </c>
      <c r="DL158" s="1049">
        <f t="shared" si="366"/>
        <v>-0.33900000000000219</v>
      </c>
      <c r="DM158" s="1049">
        <f t="shared" si="366"/>
        <v>-0.35299999999999798</v>
      </c>
      <c r="DN158" s="1049">
        <f t="shared" si="366"/>
        <v>-0.35000000000000142</v>
      </c>
      <c r="DO158" s="1049">
        <f t="shared" si="366"/>
        <v>-3.5609999999999982</v>
      </c>
      <c r="DP158" s="1049">
        <f t="shared" si="366"/>
        <v>-0.28200000000000003</v>
      </c>
      <c r="DQ158" s="1049">
        <f t="shared" si="366"/>
        <v>-0.25500000000000078</v>
      </c>
      <c r="DR158" s="1049">
        <f t="shared" si="366"/>
        <v>-0.30499999999999972</v>
      </c>
      <c r="DS158" s="1049">
        <f t="shared" si="366"/>
        <v>-0.28200000000000003</v>
      </c>
      <c r="DT158" s="1049">
        <f t="shared" si="366"/>
        <v>-0.25200000000000067</v>
      </c>
      <c r="DU158" s="1049">
        <f t="shared" si="366"/>
        <v>-0.27899999999999991</v>
      </c>
      <c r="DV158" s="1049">
        <f t="shared" si="366"/>
        <v>-0.26600000000000001</v>
      </c>
      <c r="DW158" s="1049">
        <f t="shared" ref="DW158:DW162" si="367">+DW150-DV150</f>
        <v>-0.98105252530438491</v>
      </c>
      <c r="DX158" s="1049">
        <f t="shared" ref="DX158:DX162" si="368">+DX150-DW150</f>
        <v>-0.89281875645126618</v>
      </c>
      <c r="DY158" s="291">
        <f t="shared" ref="DY158:DY162" si="369">+DY150-DX150</f>
        <v>-0.81326524572040526</v>
      </c>
    </row>
    <row r="159" spans="1:129" hidden="1" outlineLevel="1">
      <c r="A159" s="739" t="s">
        <v>475</v>
      </c>
      <c r="B159" s="288"/>
      <c r="C159" s="288"/>
      <c r="D159" s="288"/>
      <c r="E159" s="288"/>
      <c r="F159" s="288"/>
      <c r="G159" s="288"/>
      <c r="H159" s="288"/>
      <c r="I159" s="288"/>
      <c r="J159" s="288"/>
      <c r="K159" s="288"/>
      <c r="L159" s="288"/>
      <c r="M159" s="288"/>
      <c r="N159" s="288"/>
      <c r="O159" s="288"/>
      <c r="P159" s="288"/>
      <c r="Q159" s="1049"/>
      <c r="R159" s="288"/>
      <c r="S159" s="288"/>
      <c r="T159" s="1049"/>
      <c r="U159" s="288"/>
      <c r="V159" s="288"/>
      <c r="W159" s="288"/>
      <c r="X159" s="288"/>
      <c r="Y159" s="288"/>
      <c r="Z159" s="288"/>
      <c r="AA159" s="1049"/>
      <c r="AB159" s="1049"/>
      <c r="AC159" s="1049"/>
      <c r="AD159" s="1049"/>
      <c r="AE159" s="1049"/>
      <c r="AF159" s="1049"/>
      <c r="AG159" s="1049"/>
      <c r="AH159" s="1967"/>
      <c r="AI159"/>
      <c r="AJ159"/>
      <c r="AK159"/>
      <c r="AL159"/>
      <c r="AM159"/>
      <c r="AN159"/>
      <c r="AO159"/>
      <c r="AP159" s="290"/>
      <c r="AQ159" s="288"/>
      <c r="AR159" s="288"/>
      <c r="AS159" s="288"/>
      <c r="AT159" s="290"/>
      <c r="AU159" s="288"/>
      <c r="AV159" s="288"/>
      <c r="AW159" s="288"/>
      <c r="AX159" s="290"/>
      <c r="AY159" s="288"/>
      <c r="AZ159" s="288"/>
      <c r="BA159" s="288"/>
      <c r="BB159" s="290"/>
      <c r="BC159" s="288"/>
      <c r="BD159" s="288"/>
      <c r="BE159" s="288"/>
      <c r="BF159" s="290"/>
      <c r="BG159" s="288"/>
      <c r="BH159" s="288"/>
      <c r="BI159" s="288"/>
      <c r="BJ159" s="290"/>
      <c r="BK159" s="288"/>
      <c r="BL159" s="288"/>
      <c r="BM159" s="288"/>
      <c r="BN159" s="290"/>
      <c r="BO159" s="288"/>
      <c r="BP159" s="288"/>
      <c r="BQ159" s="288"/>
      <c r="BR159" s="290"/>
      <c r="BS159" s="288"/>
      <c r="BT159" s="288"/>
      <c r="BU159" s="288"/>
      <c r="BV159" s="290"/>
      <c r="BW159" s="288"/>
      <c r="BX159" s="288"/>
      <c r="BY159" s="288"/>
      <c r="BZ159" s="290"/>
      <c r="CA159" s="288"/>
      <c r="CB159" s="288"/>
      <c r="CC159" s="288"/>
      <c r="CD159" s="290"/>
      <c r="CE159" s="288"/>
      <c r="CF159" s="288"/>
      <c r="CG159" s="288"/>
      <c r="CH159" s="290"/>
      <c r="CI159" s="288"/>
      <c r="CJ159" s="288"/>
      <c r="CK159" s="288"/>
      <c r="CL159" s="290"/>
      <c r="CM159" s="288"/>
      <c r="CN159" s="288"/>
      <c r="CO159" s="288"/>
      <c r="CP159" s="290">
        <f t="shared" ref="CP159:DV159" si="370">+CP151-CO151</f>
        <v>-9.8999999999999311E-2</v>
      </c>
      <c r="CQ159" s="288">
        <f t="shared" si="370"/>
        <v>-0.15500000000000025</v>
      </c>
      <c r="CR159" s="288">
        <f t="shared" si="370"/>
        <v>-0.16600000000000037</v>
      </c>
      <c r="CS159" s="288">
        <f t="shared" si="370"/>
        <v>-0.14400000000000013</v>
      </c>
      <c r="CT159" s="290">
        <f t="shared" si="370"/>
        <v>-0.10899999999999999</v>
      </c>
      <c r="CU159" s="288">
        <f t="shared" si="370"/>
        <v>-0.12699999999999978</v>
      </c>
      <c r="CV159" s="288">
        <f t="shared" si="370"/>
        <v>-0.11799999999999988</v>
      </c>
      <c r="CW159" s="291">
        <f t="shared" si="370"/>
        <v>-0.10299999999999976</v>
      </c>
      <c r="CX159" s="288">
        <f t="shared" si="370"/>
        <v>-8.9000000000000412E-2</v>
      </c>
      <c r="CY159" s="288">
        <f t="shared" si="370"/>
        <v>-0.13199999999999967</v>
      </c>
      <c r="CZ159" s="288">
        <f t="shared" si="370"/>
        <v>-0.14400000000000013</v>
      </c>
      <c r="DA159" s="288">
        <f t="shared" si="370"/>
        <v>-0.11699999999999999</v>
      </c>
      <c r="DB159" s="290">
        <f t="shared" si="370"/>
        <v>-8.8999999999999968E-2</v>
      </c>
      <c r="DC159" s="288">
        <f t="shared" si="370"/>
        <v>-0.1160000000000001</v>
      </c>
      <c r="DD159" s="288">
        <f t="shared" si="370"/>
        <v>-0.11699999999999999</v>
      </c>
      <c r="DE159" s="288">
        <f t="shared" si="370"/>
        <v>-0.10599999999999987</v>
      </c>
      <c r="DF159" s="288">
        <f t="shared" si="370"/>
        <v>-8.1999999999999851E-2</v>
      </c>
      <c r="DG159" s="1049">
        <f t="shared" si="370"/>
        <v>-9.3000000000000416E-2</v>
      </c>
      <c r="DH159" s="1049">
        <f t="shared" si="370"/>
        <v>-9.2999999999999972E-2</v>
      </c>
      <c r="DI159" s="1049">
        <f t="shared" si="370"/>
        <v>-8.5999999999999854E-2</v>
      </c>
      <c r="DJ159" s="1049">
        <f t="shared" si="370"/>
        <v>-9.2000000000000082E-2</v>
      </c>
      <c r="DK159" s="1049">
        <f t="shared" si="370"/>
        <v>-9.6999999999999975E-2</v>
      </c>
      <c r="DL159" s="1049">
        <f t="shared" si="370"/>
        <v>-0.1120000000000001</v>
      </c>
      <c r="DM159" s="1049">
        <f t="shared" si="370"/>
        <v>-9.3999999999999861E-2</v>
      </c>
      <c r="DN159" s="1049">
        <f t="shared" si="370"/>
        <v>-0.1080000000000001</v>
      </c>
      <c r="DO159" s="1049">
        <f t="shared" si="370"/>
        <v>-0.56699999999999995</v>
      </c>
      <c r="DP159" s="1049">
        <f t="shared" si="370"/>
        <v>-6.5999999999999837E-2</v>
      </c>
      <c r="DQ159" s="1049">
        <f t="shared" si="370"/>
        <v>-6.800000000000006E-2</v>
      </c>
      <c r="DR159" s="1049">
        <f t="shared" si="370"/>
        <v>-6.2000000000000055E-2</v>
      </c>
      <c r="DS159" s="1049">
        <f t="shared" si="370"/>
        <v>-7.2000000000000064E-2</v>
      </c>
      <c r="DT159" s="1049">
        <f t="shared" si="370"/>
        <v>-7.5999999999999845E-2</v>
      </c>
      <c r="DU159" s="1049">
        <f t="shared" si="370"/>
        <v>-6.6000000000000059E-2</v>
      </c>
      <c r="DV159" s="1049">
        <f t="shared" si="370"/>
        <v>-5.8999999999999941E-2</v>
      </c>
      <c r="DW159" s="1049">
        <f t="shared" si="367"/>
        <v>-6.0000000000000053E-2</v>
      </c>
      <c r="DX159" s="1049">
        <f t="shared" si="368"/>
        <v>-5.9999999999999942E-2</v>
      </c>
      <c r="DY159" s="291">
        <f t="shared" si="369"/>
        <v>-6.0000000000000053E-2</v>
      </c>
    </row>
    <row r="160" spans="1:129" hidden="1" outlineLevel="1">
      <c r="A160" s="739" t="s">
        <v>480</v>
      </c>
      <c r="B160" s="288"/>
      <c r="C160" s="288"/>
      <c r="D160" s="288"/>
      <c r="E160" s="288"/>
      <c r="F160" s="288"/>
      <c r="G160" s="288"/>
      <c r="H160" s="288"/>
      <c r="I160" s="288"/>
      <c r="J160" s="288"/>
      <c r="K160" s="288"/>
      <c r="L160" s="288"/>
      <c r="M160" s="288"/>
      <c r="N160" s="288"/>
      <c r="O160" s="288"/>
      <c r="P160" s="288"/>
      <c r="Q160" s="1049"/>
      <c r="R160" s="288"/>
      <c r="S160" s="288"/>
      <c r="T160" s="1049"/>
      <c r="U160" s="288"/>
      <c r="V160" s="288"/>
      <c r="W160" s="288"/>
      <c r="X160" s="288"/>
      <c r="Y160" s="288"/>
      <c r="Z160" s="288"/>
      <c r="AA160" s="1049"/>
      <c r="AB160" s="1049"/>
      <c r="AC160" s="1049"/>
      <c r="AD160" s="1049"/>
      <c r="AE160" s="1049"/>
      <c r="AF160" s="1049"/>
      <c r="AG160" s="1049"/>
      <c r="AH160" s="1967"/>
      <c r="AI160"/>
      <c r="AJ160"/>
      <c r="AK160"/>
      <c r="AL160"/>
      <c r="AM160"/>
      <c r="AN160"/>
      <c r="AO160"/>
      <c r="AP160" s="290"/>
      <c r="AQ160" s="288"/>
      <c r="AR160" s="288"/>
      <c r="AS160" s="288"/>
      <c r="AT160" s="290"/>
      <c r="AU160" s="288"/>
      <c r="AV160" s="288"/>
      <c r="AW160" s="288"/>
      <c r="AX160" s="290"/>
      <c r="AY160" s="288"/>
      <c r="AZ160" s="288"/>
      <c r="BA160" s="288"/>
      <c r="BB160" s="290"/>
      <c r="BC160" s="288"/>
      <c r="BD160" s="288"/>
      <c r="BE160" s="288"/>
      <c r="BF160" s="290"/>
      <c r="BG160" s="288"/>
      <c r="BH160" s="288"/>
      <c r="BI160" s="288"/>
      <c r="BJ160" s="290"/>
      <c r="BK160" s="288"/>
      <c r="BL160" s="288"/>
      <c r="BM160" s="288"/>
      <c r="BN160" s="290"/>
      <c r="BO160" s="288"/>
      <c r="BP160" s="288"/>
      <c r="BQ160" s="288"/>
      <c r="BR160" s="290"/>
      <c r="BS160" s="288"/>
      <c r="BT160" s="288"/>
      <c r="BU160" s="288"/>
      <c r="BV160" s="290"/>
      <c r="BW160" s="288"/>
      <c r="BX160" s="288"/>
      <c r="BY160" s="288"/>
      <c r="BZ160" s="290"/>
      <c r="CA160" s="288"/>
      <c r="CB160" s="288"/>
      <c r="CC160" s="288"/>
      <c r="CD160" s="290"/>
      <c r="CE160" s="288"/>
      <c r="CF160" s="288"/>
      <c r="CG160" s="288"/>
      <c r="CH160" s="290"/>
      <c r="CI160" s="288"/>
      <c r="CJ160" s="288"/>
      <c r="CK160" s="288"/>
      <c r="CL160" s="290"/>
      <c r="CM160" s="288"/>
      <c r="CN160" s="288"/>
      <c r="CO160" s="288"/>
      <c r="CP160" s="290">
        <f t="shared" ref="CP160:DV160" si="371">+CP152-CO152</f>
        <v>0.18000000000000016</v>
      </c>
      <c r="CQ160" s="288">
        <f t="shared" si="371"/>
        <v>0.19299999999999962</v>
      </c>
      <c r="CR160" s="288">
        <f t="shared" si="371"/>
        <v>0.22599999999999998</v>
      </c>
      <c r="CS160" s="288">
        <f t="shared" si="371"/>
        <v>0.19700000000000006</v>
      </c>
      <c r="CT160" s="290">
        <f t="shared" si="371"/>
        <v>0.20699999999999985</v>
      </c>
      <c r="CU160" s="288">
        <f t="shared" si="371"/>
        <v>0.18900000000000006</v>
      </c>
      <c r="CV160" s="288">
        <f t="shared" si="371"/>
        <v>0.1379999999999999</v>
      </c>
      <c r="CW160" s="291">
        <f t="shared" si="371"/>
        <v>0.20100000000000051</v>
      </c>
      <c r="CX160" s="288">
        <f t="shared" si="371"/>
        <v>0.19299999999999962</v>
      </c>
      <c r="CY160" s="288">
        <f t="shared" si="371"/>
        <v>0.13400000000000034</v>
      </c>
      <c r="CZ160" s="288">
        <f t="shared" si="371"/>
        <v>0.13600000000000012</v>
      </c>
      <c r="DA160" s="288">
        <f t="shared" si="371"/>
        <v>0.14400000000000013</v>
      </c>
      <c r="DB160" s="290">
        <f t="shared" si="371"/>
        <v>0.18799999999999972</v>
      </c>
      <c r="DC160" s="288">
        <f t="shared" si="371"/>
        <v>0.16099999999999959</v>
      </c>
      <c r="DD160" s="288">
        <f t="shared" si="371"/>
        <v>0.17300000000000004</v>
      </c>
      <c r="DE160" s="288">
        <f t="shared" si="371"/>
        <v>0.12600000000000033</v>
      </c>
      <c r="DF160" s="288">
        <f t="shared" si="371"/>
        <v>9.7999999999999865E-2</v>
      </c>
      <c r="DG160" s="1049">
        <f t="shared" si="371"/>
        <v>0.13900000000000023</v>
      </c>
      <c r="DH160" s="1049">
        <f t="shared" si="371"/>
        <v>0.16199999999999992</v>
      </c>
      <c r="DI160" s="1049">
        <f t="shared" si="371"/>
        <v>0.14499999999999957</v>
      </c>
      <c r="DJ160" s="1049">
        <f t="shared" si="371"/>
        <v>0.13300000000000001</v>
      </c>
      <c r="DK160" s="1049">
        <f t="shared" si="371"/>
        <v>7.2000000000000064E-2</v>
      </c>
      <c r="DL160" s="1049">
        <f t="shared" si="371"/>
        <v>0.11399999999999988</v>
      </c>
      <c r="DM160" s="1049">
        <f t="shared" si="371"/>
        <v>9.9000000000000199E-2</v>
      </c>
      <c r="DN160" s="1049">
        <f t="shared" si="371"/>
        <v>9.7999999999999865E-2</v>
      </c>
      <c r="DO160" s="1049">
        <f t="shared" si="371"/>
        <v>-1.6369999999999996</v>
      </c>
      <c r="DP160" s="1049">
        <f t="shared" si="371"/>
        <v>8.9999999999999858E-2</v>
      </c>
      <c r="DQ160" s="1049">
        <f t="shared" si="371"/>
        <v>6.7999999999999616E-2</v>
      </c>
      <c r="DR160" s="1049">
        <f t="shared" si="371"/>
        <v>3.5000000000000142E-2</v>
      </c>
      <c r="DS160" s="1049">
        <f t="shared" si="371"/>
        <v>4.9000000000000377E-2</v>
      </c>
      <c r="DT160" s="1049">
        <f t="shared" si="371"/>
        <v>6.5999999999999837E-2</v>
      </c>
      <c r="DU160" s="1049">
        <f t="shared" si="371"/>
        <v>4.6999999999999709E-2</v>
      </c>
      <c r="DV160" s="1049">
        <f t="shared" si="371"/>
        <v>6.6000000000000725E-2</v>
      </c>
      <c r="DW160" s="1049">
        <f t="shared" si="367"/>
        <v>6.1999999999999389E-2</v>
      </c>
      <c r="DX160" s="1049">
        <f t="shared" si="368"/>
        <v>7.0000000000000284E-2</v>
      </c>
      <c r="DY160" s="291">
        <f t="shared" si="369"/>
        <v>6.0999999999999943E-2</v>
      </c>
    </row>
    <row r="161" spans="1:129" hidden="1" outlineLevel="1">
      <c r="A161" s="739" t="s">
        <v>481</v>
      </c>
      <c r="B161" s="288"/>
      <c r="C161" s="288"/>
      <c r="D161" s="288"/>
      <c r="E161" s="288"/>
      <c r="F161" s="288"/>
      <c r="G161" s="288"/>
      <c r="H161" s="288"/>
      <c r="I161" s="288"/>
      <c r="J161" s="288"/>
      <c r="K161" s="288"/>
      <c r="L161" s="288"/>
      <c r="M161" s="288"/>
      <c r="N161" s="288"/>
      <c r="O161" s="288"/>
      <c r="P161" s="288"/>
      <c r="Q161" s="1049"/>
      <c r="R161" s="288"/>
      <c r="S161" s="288"/>
      <c r="T161" s="1049"/>
      <c r="U161" s="288"/>
      <c r="V161" s="288"/>
      <c r="W161" s="288"/>
      <c r="X161" s="288"/>
      <c r="Y161" s="288"/>
      <c r="Z161" s="288"/>
      <c r="AA161" s="1049"/>
      <c r="AB161" s="1049"/>
      <c r="AC161" s="1049"/>
      <c r="AD161" s="1049"/>
      <c r="AE161" s="1049"/>
      <c r="AF161" s="1049"/>
      <c r="AG161" s="1049"/>
      <c r="AH161" s="1967"/>
      <c r="AI161"/>
      <c r="AJ161"/>
      <c r="AK161"/>
      <c r="AL161"/>
      <c r="AM161"/>
      <c r="AN161"/>
      <c r="AO161"/>
      <c r="AP161" s="290"/>
      <c r="AQ161" s="288"/>
      <c r="AR161" s="288"/>
      <c r="AS161" s="288"/>
      <c r="AT161" s="290"/>
      <c r="AU161" s="288"/>
      <c r="AV161" s="288"/>
      <c r="AW161" s="288"/>
      <c r="AX161" s="290"/>
      <c r="AY161" s="288"/>
      <c r="AZ161" s="288"/>
      <c r="BA161" s="288"/>
      <c r="BB161" s="290"/>
      <c r="BC161" s="288"/>
      <c r="BD161" s="288"/>
      <c r="BE161" s="288"/>
      <c r="BF161" s="290"/>
      <c r="BG161" s="288"/>
      <c r="BH161" s="288"/>
      <c r="BI161" s="288"/>
      <c r="BJ161" s="290"/>
      <c r="BK161" s="288"/>
      <c r="BL161" s="288"/>
      <c r="BM161" s="288"/>
      <c r="BN161" s="290"/>
      <c r="BO161" s="288"/>
      <c r="BP161" s="288"/>
      <c r="BQ161" s="288"/>
      <c r="BR161" s="290"/>
      <c r="BS161" s="288"/>
      <c r="BT161" s="288"/>
      <c r="BU161" s="288"/>
      <c r="BV161" s="290"/>
      <c r="BW161" s="288"/>
      <c r="BX161" s="288"/>
      <c r="BY161" s="288"/>
      <c r="BZ161" s="290"/>
      <c r="CA161" s="288"/>
      <c r="CB161" s="288"/>
      <c r="CC161" s="288"/>
      <c r="CD161" s="290"/>
      <c r="CE161" s="288"/>
      <c r="CF161" s="288"/>
      <c r="CG161" s="288"/>
      <c r="CH161" s="290"/>
      <c r="CI161" s="288"/>
      <c r="CJ161" s="288"/>
      <c r="CK161" s="288"/>
      <c r="CL161" s="290"/>
      <c r="CM161" s="288"/>
      <c r="CN161" s="288"/>
      <c r="CO161" s="288"/>
      <c r="CP161" s="290">
        <f t="shared" ref="CP161:DV161" si="372">+CP153-CO153</f>
        <v>0.16400000000000015</v>
      </c>
      <c r="CQ161" s="288">
        <f t="shared" si="372"/>
        <v>0.17199999999999971</v>
      </c>
      <c r="CR161" s="288">
        <f t="shared" si="372"/>
        <v>0.20400000000000018</v>
      </c>
      <c r="CS161" s="288">
        <f t="shared" si="372"/>
        <v>0.18199999999999994</v>
      </c>
      <c r="CT161" s="290">
        <f t="shared" si="372"/>
        <v>0.19200000000000017</v>
      </c>
      <c r="CU161" s="288">
        <f t="shared" si="372"/>
        <v>0.18399999999999972</v>
      </c>
      <c r="CV161" s="288">
        <f t="shared" si="372"/>
        <v>0.13100000000000023</v>
      </c>
      <c r="CW161" s="291">
        <f t="shared" si="372"/>
        <v>0.19399999999999995</v>
      </c>
      <c r="CX161" s="288">
        <f t="shared" si="372"/>
        <v>0.17999999999999972</v>
      </c>
      <c r="CY161" s="288">
        <f t="shared" si="372"/>
        <v>0.12000000000000011</v>
      </c>
      <c r="CZ161" s="288">
        <f t="shared" si="372"/>
        <v>0.11899999999999977</v>
      </c>
      <c r="DA161" s="288">
        <f t="shared" si="372"/>
        <v>0.13400000000000034</v>
      </c>
      <c r="DB161" s="290">
        <f t="shared" si="372"/>
        <v>0.16899999999999959</v>
      </c>
      <c r="DC161" s="288">
        <f t="shared" si="372"/>
        <v>0.14000000000000057</v>
      </c>
      <c r="DD161" s="288">
        <f t="shared" si="372"/>
        <v>0.13499999999999979</v>
      </c>
      <c r="DE161" s="288">
        <f t="shared" si="372"/>
        <v>9.1999999999999638E-2</v>
      </c>
      <c r="DF161" s="288">
        <f t="shared" si="372"/>
        <v>5.7000000000000384E-2</v>
      </c>
      <c r="DG161" s="1049">
        <f t="shared" si="372"/>
        <v>9.9999999999999645E-2</v>
      </c>
      <c r="DH161" s="1049">
        <f t="shared" si="372"/>
        <v>0.11400000000000077</v>
      </c>
      <c r="DI161" s="1049">
        <f t="shared" si="372"/>
        <v>0.11599999999999966</v>
      </c>
      <c r="DJ161" s="1049">
        <f t="shared" si="372"/>
        <v>8.9999999999999858E-2</v>
      </c>
      <c r="DK161" s="1049">
        <f t="shared" si="372"/>
        <v>2.5999999999999801E-2</v>
      </c>
      <c r="DL161" s="1049">
        <f t="shared" si="372"/>
        <v>4.2000000000000703E-2</v>
      </c>
      <c r="DM161" s="1049">
        <f t="shared" si="372"/>
        <v>1.9999999999999574E-2</v>
      </c>
      <c r="DN161" s="1049">
        <f t="shared" si="372"/>
        <v>3.6000000000000476E-2</v>
      </c>
      <c r="DO161" s="1049">
        <f t="shared" si="372"/>
        <v>-1.2260000000000009</v>
      </c>
      <c r="DP161" s="1049">
        <f t="shared" si="372"/>
        <v>3.6000000000000476E-2</v>
      </c>
      <c r="DQ161" s="1049">
        <f t="shared" si="372"/>
        <v>2.0999999999999908E-2</v>
      </c>
      <c r="DR161" s="1049">
        <f t="shared" si="372"/>
        <v>-1.2999999999999901E-2</v>
      </c>
      <c r="DS161" s="1049">
        <f t="shared" si="372"/>
        <v>-1.499999999999968E-2</v>
      </c>
      <c r="DT161" s="1049">
        <f t="shared" si="372"/>
        <v>-1.8000000000000682E-2</v>
      </c>
      <c r="DU161" s="1049">
        <f t="shared" si="372"/>
        <v>-2.8999999999999915E-2</v>
      </c>
      <c r="DV161" s="1049">
        <f t="shared" si="372"/>
        <v>-2.1999999999999353E-2</v>
      </c>
      <c r="DW161" s="1049">
        <f t="shared" si="367"/>
        <v>-2.2500000000000853E-2</v>
      </c>
      <c r="DX161" s="1049">
        <f t="shared" si="368"/>
        <v>-2.549999999999919E-2</v>
      </c>
      <c r="DY161" s="291">
        <f t="shared" si="369"/>
        <v>-3.6500000000000199E-2</v>
      </c>
    </row>
    <row r="162" spans="1:129" hidden="1" outlineLevel="1">
      <c r="A162" s="739" t="s">
        <v>482</v>
      </c>
      <c r="B162" s="288"/>
      <c r="C162" s="288"/>
      <c r="D162" s="288"/>
      <c r="E162" s="288"/>
      <c r="F162" s="288"/>
      <c r="G162" s="288"/>
      <c r="H162" s="288"/>
      <c r="I162" s="288"/>
      <c r="J162" s="288"/>
      <c r="K162" s="288"/>
      <c r="L162" s="288"/>
      <c r="M162" s="288"/>
      <c r="N162" s="288"/>
      <c r="O162" s="288"/>
      <c r="P162" s="288"/>
      <c r="Q162" s="1049"/>
      <c r="R162" s="288"/>
      <c r="S162" s="288"/>
      <c r="T162" s="1049"/>
      <c r="U162" s="288"/>
      <c r="V162" s="288"/>
      <c r="W162" s="288"/>
      <c r="X162" s="288"/>
      <c r="Y162" s="288"/>
      <c r="Z162" s="288"/>
      <c r="AA162" s="1049"/>
      <c r="AB162" s="1049"/>
      <c r="AC162" s="1049"/>
      <c r="AD162" s="1049"/>
      <c r="AE162" s="1049"/>
      <c r="AF162" s="1049"/>
      <c r="AG162" s="1049"/>
      <c r="AH162" s="1967"/>
      <c r="AI162"/>
      <c r="AJ162"/>
      <c r="AK162"/>
      <c r="AL162"/>
      <c r="AM162"/>
      <c r="AN162"/>
      <c r="AO162"/>
      <c r="AP162" s="290"/>
      <c r="AQ162" s="288"/>
      <c r="AR162" s="288"/>
      <c r="AS162" s="288"/>
      <c r="AT162" s="290"/>
      <c r="AU162" s="288"/>
      <c r="AV162" s="288"/>
      <c r="AW162" s="288"/>
      <c r="AX162" s="290"/>
      <c r="AY162" s="288"/>
      <c r="AZ162" s="288"/>
      <c r="BA162" s="288"/>
      <c r="BB162" s="290"/>
      <c r="BC162" s="288"/>
      <c r="BD162" s="288"/>
      <c r="BE162" s="288"/>
      <c r="BF162" s="290"/>
      <c r="BG162" s="288"/>
      <c r="BH162" s="288"/>
      <c r="BI162" s="288"/>
      <c r="BJ162" s="290"/>
      <c r="BK162" s="288"/>
      <c r="BL162" s="288"/>
      <c r="BM162" s="288"/>
      <c r="BN162" s="290"/>
      <c r="BO162" s="288"/>
      <c r="BP162" s="288"/>
      <c r="BQ162" s="288"/>
      <c r="BR162" s="290"/>
      <c r="BS162" s="288"/>
      <c r="BT162" s="288"/>
      <c r="BU162" s="288"/>
      <c r="BV162" s="290"/>
      <c r="BW162" s="288"/>
      <c r="BX162" s="288"/>
      <c r="BY162" s="288"/>
      <c r="BZ162" s="290"/>
      <c r="CA162" s="288"/>
      <c r="CB162" s="288"/>
      <c r="CC162" s="288"/>
      <c r="CD162" s="290"/>
      <c r="CE162" s="288"/>
      <c r="CF162" s="288"/>
      <c r="CG162" s="288"/>
      <c r="CH162" s="290"/>
      <c r="CI162" s="288"/>
      <c r="CJ162" s="288"/>
      <c r="CK162" s="288"/>
      <c r="CL162" s="290"/>
      <c r="CM162" s="288"/>
      <c r="CN162" s="288"/>
      <c r="CO162" s="288"/>
      <c r="CP162" s="290">
        <f t="shared" ref="CP162:DV162" si="373">+CP154-CO154</f>
        <v>0.22384999999999877</v>
      </c>
      <c r="CQ162" s="288">
        <f t="shared" si="373"/>
        <v>0.36189999999999856</v>
      </c>
      <c r="CR162" s="288">
        <f t="shared" si="373"/>
        <v>0.3624500000000026</v>
      </c>
      <c r="CS162" s="288">
        <f t="shared" si="373"/>
        <v>0.4894999999999996</v>
      </c>
      <c r="CT162" s="290">
        <f t="shared" si="373"/>
        <v>0.50104999999999933</v>
      </c>
      <c r="CU162" s="288">
        <f t="shared" si="373"/>
        <v>0.69134999999999991</v>
      </c>
      <c r="CV162" s="288">
        <f t="shared" si="373"/>
        <v>0.54010000000000247</v>
      </c>
      <c r="CW162" s="291">
        <f t="shared" si="373"/>
        <v>0.66164999999999452</v>
      </c>
      <c r="CX162" s="288">
        <f t="shared" si="373"/>
        <v>0.27555000000000263</v>
      </c>
      <c r="CY162" s="288">
        <f t="shared" si="373"/>
        <v>0.4894999999999996</v>
      </c>
      <c r="CZ162" s="288">
        <f t="shared" si="373"/>
        <v>0.84590000000000032</v>
      </c>
      <c r="DA162" s="288">
        <f t="shared" si="373"/>
        <v>1.1550000000000082</v>
      </c>
      <c r="DB162" s="290">
        <f t="shared" si="373"/>
        <v>0.41634999999999422</v>
      </c>
      <c r="DC162" s="288">
        <f t="shared" si="373"/>
        <v>0.51039999999999708</v>
      </c>
      <c r="DD162" s="288">
        <f t="shared" si="373"/>
        <v>0.4994000000000014</v>
      </c>
      <c r="DE162" s="288">
        <f t="shared" si="373"/>
        <v>0.90695000000000192</v>
      </c>
      <c r="DF162" s="288">
        <f t="shared" si="373"/>
        <v>0.28490000000000038</v>
      </c>
      <c r="DG162" s="1049">
        <f t="shared" si="373"/>
        <v>0.87174999999999869</v>
      </c>
      <c r="DH162" s="1049">
        <f t="shared" si="373"/>
        <v>0.82665000000000077</v>
      </c>
      <c r="DI162" s="1049">
        <f t="shared" si="373"/>
        <v>1.0889999999999986</v>
      </c>
      <c r="DJ162" s="1049">
        <f t="shared" si="373"/>
        <v>0.30085000000000406</v>
      </c>
      <c r="DK162" s="1049">
        <f t="shared" si="373"/>
        <v>0.55714999999999293</v>
      </c>
      <c r="DL162" s="1049">
        <f t="shared" si="373"/>
        <v>0.70565000000000566</v>
      </c>
      <c r="DM162" s="1049">
        <f t="shared" si="373"/>
        <v>0.82994999999999663</v>
      </c>
      <c r="DN162" s="1049">
        <f t="shared" si="373"/>
        <v>0.34814999999999685</v>
      </c>
      <c r="DO162" s="1049">
        <f t="shared" si="373"/>
        <v>0.31625000000000369</v>
      </c>
      <c r="DP162" s="1049">
        <f t="shared" si="373"/>
        <v>0.24475000000000335</v>
      </c>
      <c r="DQ162" s="1049">
        <f t="shared" si="373"/>
        <v>0.31734999999999758</v>
      </c>
      <c r="DR162" s="1049">
        <f t="shared" si="373"/>
        <v>-0.16720000000000113</v>
      </c>
      <c r="DS162" s="1049">
        <f t="shared" si="373"/>
        <v>0.33440000000000225</v>
      </c>
      <c r="DT162" s="1049">
        <f t="shared" si="373"/>
        <v>0.33055000000000234</v>
      </c>
      <c r="DU162" s="1049">
        <f t="shared" si="373"/>
        <v>0.63744999999999408</v>
      </c>
      <c r="DV162" s="1049">
        <f t="shared" si="373"/>
        <v>0.13970000000000482</v>
      </c>
      <c r="DW162" s="1049">
        <f t="shared" ca="1" si="367"/>
        <v>0.25250557923281747</v>
      </c>
      <c r="DX162" s="1049">
        <f t="shared" ca="1" si="368"/>
        <v>0.263858393826645</v>
      </c>
      <c r="DY162" s="291">
        <f t="shared" ca="1" si="369"/>
        <v>0.57936062148592526</v>
      </c>
    </row>
    <row r="163" spans="1:129" hidden="1" outlineLevel="1">
      <c r="A163" s="740" t="s">
        <v>483</v>
      </c>
      <c r="B163" s="558"/>
      <c r="C163" s="558"/>
      <c r="D163" s="558"/>
      <c r="E163" s="558"/>
      <c r="F163" s="558"/>
      <c r="G163" s="558"/>
      <c r="H163" s="558"/>
      <c r="I163" s="558"/>
      <c r="J163" s="558"/>
      <c r="K163" s="558"/>
      <c r="L163" s="558"/>
      <c r="M163" s="558"/>
      <c r="N163" s="558"/>
      <c r="O163" s="558"/>
      <c r="P163" s="558"/>
      <c r="Q163" s="1129"/>
      <c r="R163" s="558"/>
      <c r="S163" s="558"/>
      <c r="T163" s="1129"/>
      <c r="U163" s="558"/>
      <c r="V163" s="558"/>
      <c r="W163" s="558"/>
      <c r="X163" s="558"/>
      <c r="Y163" s="558"/>
      <c r="Z163" s="558"/>
      <c r="AA163" s="1129"/>
      <c r="AB163" s="1129"/>
      <c r="AC163" s="1129"/>
      <c r="AD163" s="1129"/>
      <c r="AE163" s="1129"/>
      <c r="AF163" s="1129"/>
      <c r="AG163" s="1129"/>
      <c r="AH163" s="2138"/>
      <c r="AI163"/>
      <c r="AJ163"/>
      <c r="AK163"/>
      <c r="AL163"/>
      <c r="AM163"/>
      <c r="AN163"/>
      <c r="AO163"/>
      <c r="AP163" s="557"/>
      <c r="AQ163" s="558"/>
      <c r="AR163" s="558"/>
      <c r="AS163" s="558"/>
      <c r="AT163" s="557"/>
      <c r="AU163" s="558"/>
      <c r="AV163" s="558"/>
      <c r="AW163" s="558"/>
      <c r="AX163" s="557"/>
      <c r="AY163" s="558"/>
      <c r="AZ163" s="558"/>
      <c r="BA163" s="558"/>
      <c r="BB163" s="557"/>
      <c r="BC163" s="558"/>
      <c r="BD163" s="558"/>
      <c r="BE163" s="558"/>
      <c r="BF163" s="557"/>
      <c r="BG163" s="558"/>
      <c r="BH163" s="558"/>
      <c r="BI163" s="558"/>
      <c r="BJ163" s="557"/>
      <c r="BK163" s="558"/>
      <c r="BL163" s="558"/>
      <c r="BM163" s="558"/>
      <c r="BN163" s="557"/>
      <c r="BO163" s="558"/>
      <c r="BP163" s="558"/>
      <c r="BQ163" s="558"/>
      <c r="BR163" s="557"/>
      <c r="BS163" s="558"/>
      <c r="BT163" s="558"/>
      <c r="BU163" s="558"/>
      <c r="BV163" s="557"/>
      <c r="BW163" s="558"/>
      <c r="BX163" s="558"/>
      <c r="BY163" s="558"/>
      <c r="BZ163" s="557"/>
      <c r="CA163" s="558"/>
      <c r="CB163" s="558"/>
      <c r="CC163" s="558"/>
      <c r="CD163" s="557"/>
      <c r="CE163" s="558"/>
      <c r="CF163" s="558"/>
      <c r="CG163" s="558"/>
      <c r="CH163" s="557"/>
      <c r="CI163" s="558"/>
      <c r="CJ163" s="558"/>
      <c r="CK163" s="558"/>
      <c r="CL163" s="557"/>
      <c r="CM163" s="558"/>
      <c r="CN163" s="558"/>
      <c r="CO163" s="558"/>
      <c r="CP163" s="557">
        <f t="shared" ref="CP163:DF163" si="374">SUM(CP158:CP162)</f>
        <v>-0.13514999999999944</v>
      </c>
      <c r="CQ163" s="558">
        <f t="shared" si="374"/>
        <v>-9.1000000000018844E-3</v>
      </c>
      <c r="CR163" s="558">
        <f t="shared" si="374"/>
        <v>3.24500000000012E-2</v>
      </c>
      <c r="CS163" s="558">
        <f t="shared" si="374"/>
        <v>0.18150000000000022</v>
      </c>
      <c r="CT163" s="557">
        <f t="shared" si="374"/>
        <v>0.24404999999999877</v>
      </c>
      <c r="CU163" s="558">
        <f t="shared" si="374"/>
        <v>0.48034999999999917</v>
      </c>
      <c r="CV163" s="558">
        <f t="shared" si="374"/>
        <v>0.21310000000000118</v>
      </c>
      <c r="CW163" s="559">
        <f t="shared" si="374"/>
        <v>0.57164999999999733</v>
      </c>
      <c r="CX163" s="558">
        <f t="shared" si="374"/>
        <v>0.12255000000000038</v>
      </c>
      <c r="CY163" s="558">
        <f t="shared" si="374"/>
        <v>0.18949999999999978</v>
      </c>
      <c r="CZ163" s="558">
        <f t="shared" si="374"/>
        <v>0.5259000000000027</v>
      </c>
      <c r="DA163" s="558">
        <f t="shared" si="374"/>
        <v>0.97200000000000752</v>
      </c>
      <c r="DB163" s="557">
        <f t="shared" si="374"/>
        <v>0.37234999999999241</v>
      </c>
      <c r="DC163" s="558">
        <f t="shared" si="374"/>
        <v>0.33239999999999759</v>
      </c>
      <c r="DD163" s="558">
        <f t="shared" si="374"/>
        <v>0.31940000000000257</v>
      </c>
      <c r="DE163" s="558">
        <f t="shared" si="374"/>
        <v>0.64695000000000213</v>
      </c>
      <c r="DF163" s="558">
        <f t="shared" si="374"/>
        <v>5.9000000000004604E-3</v>
      </c>
      <c r="DG163" s="1129">
        <f>SUM(DG158:DG162)</f>
        <v>0.67574999999999585</v>
      </c>
      <c r="DH163" s="1129">
        <f>SUM(DH158:DH162)</f>
        <v>0.70765000000000189</v>
      </c>
      <c r="DI163" s="1129">
        <f>SUM(DI158:DI162)</f>
        <v>0.97000000000000108</v>
      </c>
      <c r="DJ163" s="1129">
        <f t="shared" ref="DJ163:DM163" si="375">SUM(DJ158:DJ162)</f>
        <v>0.11185000000000356</v>
      </c>
      <c r="DK163" s="1129">
        <f t="shared" si="375"/>
        <v>0.16214999999999202</v>
      </c>
      <c r="DL163" s="1129">
        <f t="shared" si="375"/>
        <v>0.41065000000000396</v>
      </c>
      <c r="DM163" s="1129">
        <f t="shared" si="375"/>
        <v>0.50194999999999856</v>
      </c>
      <c r="DN163" s="1129">
        <f t="shared" ref="DN163:DO163" si="376">SUM(DN158:DN162)</f>
        <v>2.4149999999995675E-2</v>
      </c>
      <c r="DO163" s="1129">
        <f t="shared" si="376"/>
        <v>-6.6747499999999951</v>
      </c>
      <c r="DP163" s="1129">
        <f t="shared" ref="DP163:DQ163" si="377">SUM(DP158:DP162)</f>
        <v>2.2750000000003823E-2</v>
      </c>
      <c r="DQ163" s="1129">
        <f t="shared" si="377"/>
        <v>8.334999999999626E-2</v>
      </c>
      <c r="DR163" s="1129">
        <f t="shared" ref="DR163:DS163" si="378">SUM(DR158:DR162)</f>
        <v>-0.51220000000000065</v>
      </c>
      <c r="DS163" s="1129">
        <f t="shared" si="378"/>
        <v>1.4400000000002855E-2</v>
      </c>
      <c r="DT163" s="1129">
        <f t="shared" ref="DT163:DU163" si="379">SUM(DT158:DT162)</f>
        <v>5.0550000000000983E-2</v>
      </c>
      <c r="DU163" s="1129">
        <f t="shared" si="379"/>
        <v>0.3104499999999939</v>
      </c>
      <c r="DV163" s="1129">
        <f t="shared" ref="DV163" si="380">SUM(DV158:DV162)</f>
        <v>-0.14129999999999376</v>
      </c>
      <c r="DW163" s="1129">
        <f t="shared" ref="DW163:DY163" ca="1" si="381">SUM(DW158:DW162)</f>
        <v>-0.74904694607156896</v>
      </c>
      <c r="DX163" s="1129">
        <f t="shared" ca="1" si="381"/>
        <v>-0.64446036262462003</v>
      </c>
      <c r="DY163" s="559">
        <f t="shared" ca="1" si="381"/>
        <v>-0.26940462423448031</v>
      </c>
    </row>
    <row r="164" spans="1:129" hidden="1" outlineLevel="1">
      <c r="A164" s="742"/>
      <c r="B164" s="94"/>
      <c r="C164" s="94"/>
      <c r="D164" s="94"/>
      <c r="E164" s="94"/>
      <c r="F164" s="94"/>
      <c r="G164" s="94"/>
      <c r="H164" s="94"/>
      <c r="I164" s="94"/>
      <c r="J164" s="94"/>
      <c r="K164" s="94"/>
      <c r="L164" s="94"/>
      <c r="M164" s="94"/>
      <c r="N164" s="94"/>
      <c r="O164" s="94"/>
      <c r="P164" s="94"/>
      <c r="Q164" s="1045"/>
      <c r="R164" s="94"/>
      <c r="S164" s="94"/>
      <c r="T164" s="1045"/>
      <c r="U164" s="94"/>
      <c r="V164" s="94"/>
      <c r="W164" s="94"/>
      <c r="X164" s="94"/>
      <c r="Y164" s="94"/>
      <c r="Z164" s="94"/>
      <c r="AA164" s="1045"/>
      <c r="AB164" s="1045"/>
      <c r="AC164" s="1045"/>
      <c r="AD164" s="1045"/>
      <c r="AE164" s="1045"/>
      <c r="AF164" s="1045"/>
      <c r="AG164" s="1045"/>
      <c r="AH164" s="1962"/>
      <c r="AI164" s="2159"/>
      <c r="AJ164" s="2159"/>
      <c r="AK164" s="2159"/>
      <c r="AL164" s="2159"/>
      <c r="AM164" s="2159"/>
      <c r="AN164" s="2159"/>
      <c r="AO164" s="2159"/>
      <c r="AP164" s="147"/>
      <c r="AQ164" s="94"/>
      <c r="AR164" s="94"/>
      <c r="AS164" s="94"/>
      <c r="AT164" s="147"/>
      <c r="AU164" s="94"/>
      <c r="AV164" s="94"/>
      <c r="AW164" s="94"/>
      <c r="AX164" s="147"/>
      <c r="AY164" s="94"/>
      <c r="AZ164" s="94"/>
      <c r="BA164" s="94"/>
      <c r="BB164" s="147"/>
      <c r="BC164" s="94"/>
      <c r="BD164" s="94"/>
      <c r="BE164" s="94"/>
      <c r="BF164" s="147"/>
      <c r="BG164" s="94"/>
      <c r="BH164" s="94"/>
      <c r="BI164" s="94"/>
      <c r="BJ164" s="147"/>
      <c r="BK164" s="94"/>
      <c r="BL164" s="94"/>
      <c r="BM164" s="94"/>
      <c r="BN164" s="147"/>
      <c r="BO164" s="94"/>
      <c r="BP164" s="94"/>
      <c r="BQ164" s="94"/>
      <c r="BR164" s="147"/>
      <c r="BS164" s="94"/>
      <c r="BT164" s="94"/>
      <c r="BU164" s="94"/>
      <c r="BV164" s="147"/>
      <c r="BW164" s="94"/>
      <c r="BX164" s="94"/>
      <c r="BY164" s="94"/>
      <c r="BZ164" s="147"/>
      <c r="CA164" s="94"/>
      <c r="CB164" s="94"/>
      <c r="CC164" s="94"/>
      <c r="CD164" s="147"/>
      <c r="CE164" s="94"/>
      <c r="CF164" s="94"/>
      <c r="CG164" s="94"/>
      <c r="CH164" s="147"/>
      <c r="CI164" s="94"/>
      <c r="CJ164" s="94"/>
      <c r="CK164" s="94"/>
      <c r="CL164" s="147"/>
      <c r="CM164" s="94"/>
      <c r="CN164" s="94"/>
      <c r="CO164" s="94"/>
      <c r="CP164" s="147"/>
      <c r="CQ164" s="94"/>
      <c r="CR164" s="94"/>
      <c r="CS164" s="94"/>
      <c r="CT164" s="147"/>
      <c r="CU164" s="94"/>
      <c r="CV164" s="94">
        <f t="shared" ref="CV164:DV164" si="382">+CV163/CU163-1</f>
        <v>-0.55636515041115531</v>
      </c>
      <c r="CW164" s="101">
        <f t="shared" si="382"/>
        <v>1.6825434068512162</v>
      </c>
      <c r="CX164" s="94">
        <f t="shared" si="382"/>
        <v>-0.78562057202833735</v>
      </c>
      <c r="CY164" s="94">
        <f t="shared" si="382"/>
        <v>0.54630762953895706</v>
      </c>
      <c r="CZ164" s="94">
        <f t="shared" si="382"/>
        <v>1.7751978891820754</v>
      </c>
      <c r="DA164" s="94">
        <f t="shared" si="382"/>
        <v>0.84826012549914909</v>
      </c>
      <c r="DB164" s="147">
        <f t="shared" si="382"/>
        <v>-0.61692386831276802</v>
      </c>
      <c r="DC164" s="94">
        <f t="shared" si="382"/>
        <v>-0.10729152678929943</v>
      </c>
      <c r="DD164" s="94">
        <f t="shared" si="382"/>
        <v>-3.9109506618517198E-2</v>
      </c>
      <c r="DE164" s="94">
        <f t="shared" si="382"/>
        <v>1.0255165936130148</v>
      </c>
      <c r="DF164" s="94">
        <f t="shared" si="382"/>
        <v>-0.99088028441146847</v>
      </c>
      <c r="DG164" s="1045">
        <f t="shared" si="382"/>
        <v>113.5338983050751</v>
      </c>
      <c r="DH164" s="1045">
        <f t="shared" si="382"/>
        <v>4.7206807251211513E-2</v>
      </c>
      <c r="DI164" s="1045">
        <f t="shared" si="382"/>
        <v>0.37073411997456152</v>
      </c>
      <c r="DJ164" s="1045">
        <f t="shared" si="382"/>
        <v>-0.88469072164948104</v>
      </c>
      <c r="DK164" s="1045">
        <f t="shared" si="382"/>
        <v>0.44970943227525129</v>
      </c>
      <c r="DL164" s="1045">
        <f t="shared" si="382"/>
        <v>1.5325316065373058</v>
      </c>
      <c r="DM164" s="1045">
        <f t="shared" si="382"/>
        <v>0.22233045172286303</v>
      </c>
      <c r="DN164" s="1045">
        <f t="shared" si="382"/>
        <v>-0.95188763821098565</v>
      </c>
      <c r="DO164" s="1045">
        <f t="shared" si="382"/>
        <v>-277.38716356112587</v>
      </c>
      <c r="DP164" s="1045">
        <f t="shared" si="382"/>
        <v>-1.0034083673545831</v>
      </c>
      <c r="DQ164" s="1045">
        <f t="shared" si="382"/>
        <v>2.6637362637354838</v>
      </c>
      <c r="DR164" s="1045">
        <f t="shared" si="382"/>
        <v>-7.1451709658071225</v>
      </c>
      <c r="DS164" s="1045">
        <f t="shared" si="382"/>
        <v>-1.0281140179617392</v>
      </c>
      <c r="DT164" s="1045">
        <f t="shared" si="382"/>
        <v>2.510416666666039</v>
      </c>
      <c r="DU164" s="1045">
        <f t="shared" si="382"/>
        <v>5.1414441147376433</v>
      </c>
      <c r="DV164" s="1045">
        <f t="shared" si="382"/>
        <v>-1.4551457561604011</v>
      </c>
      <c r="DW164" s="1045"/>
      <c r="DX164" s="1045"/>
      <c r="DY164" s="101"/>
    </row>
    <row r="165" spans="1:129" hidden="1" outlineLevel="1">
      <c r="A165" s="743" t="s">
        <v>486</v>
      </c>
      <c r="B165" s="94"/>
      <c r="C165" s="94"/>
      <c r="D165" s="94"/>
      <c r="E165" s="94"/>
      <c r="F165" s="94"/>
      <c r="G165" s="94"/>
      <c r="H165" s="94"/>
      <c r="I165" s="94"/>
      <c r="J165" s="94"/>
      <c r="K165" s="94"/>
      <c r="L165" s="94"/>
      <c r="M165" s="94"/>
      <c r="N165" s="94"/>
      <c r="O165" s="94"/>
      <c r="P165" s="94"/>
      <c r="Q165" s="1045"/>
      <c r="R165" s="94"/>
      <c r="S165" s="94"/>
      <c r="T165" s="1045"/>
      <c r="U165" s="94"/>
      <c r="V165" s="94"/>
      <c r="W165" s="94"/>
      <c r="X165" s="94"/>
      <c r="Y165" s="94"/>
      <c r="Z165" s="94"/>
      <c r="AA165" s="1045"/>
      <c r="AB165" s="1045"/>
      <c r="AC165" s="1045"/>
      <c r="AD165" s="1045"/>
      <c r="AE165" s="1045"/>
      <c r="AF165" s="1045"/>
      <c r="AG165" s="1045"/>
      <c r="AH165" s="1962"/>
      <c r="AI165" s="2159"/>
      <c r="AJ165" s="2159"/>
      <c r="AK165" s="2159"/>
      <c r="AL165" s="2159"/>
      <c r="AM165" s="2159"/>
      <c r="AN165" s="2159"/>
      <c r="AO165" s="2159"/>
      <c r="AP165" s="147"/>
      <c r="AQ165" s="94"/>
      <c r="AR165" s="94"/>
      <c r="AS165" s="94"/>
      <c r="AT165" s="147"/>
      <c r="AU165" s="94"/>
      <c r="AV165" s="94"/>
      <c r="AW165" s="94"/>
      <c r="AX165" s="147"/>
      <c r="AY165" s="94"/>
      <c r="AZ165" s="94"/>
      <c r="BA165" s="94"/>
      <c r="BB165" s="147"/>
      <c r="BC165" s="94"/>
      <c r="BD165" s="94"/>
      <c r="BE165" s="94"/>
      <c r="BF165" s="147"/>
      <c r="BG165" s="94"/>
      <c r="BH165" s="94"/>
      <c r="BI165" s="94"/>
      <c r="BJ165" s="147"/>
      <c r="BK165" s="94"/>
      <c r="BL165" s="94"/>
      <c r="BM165" s="94"/>
      <c r="BN165" s="147"/>
      <c r="BO165" s="94"/>
      <c r="BP165" s="94"/>
      <c r="BQ165" s="94"/>
      <c r="BR165" s="147"/>
      <c r="BS165" s="94"/>
      <c r="BT165" s="94"/>
      <c r="BU165" s="94"/>
      <c r="BV165" s="147"/>
      <c r="BW165" s="94"/>
      <c r="BX165" s="94"/>
      <c r="BY165" s="94"/>
      <c r="BZ165" s="147"/>
      <c r="CA165" s="94"/>
      <c r="CB165" s="94"/>
      <c r="CC165" s="94"/>
      <c r="CD165" s="147"/>
      <c r="CE165" s="94"/>
      <c r="CF165" s="94"/>
      <c r="CG165" s="94"/>
      <c r="CH165" s="147"/>
      <c r="CI165" s="94"/>
      <c r="CJ165" s="94"/>
      <c r="CK165" s="94"/>
      <c r="CL165" s="147"/>
      <c r="CM165" s="94"/>
      <c r="CN165" s="94"/>
      <c r="CO165" s="94"/>
      <c r="CP165" s="147"/>
      <c r="CQ165" s="94"/>
      <c r="CR165" s="94"/>
      <c r="CS165" s="94"/>
      <c r="CT165" s="147"/>
      <c r="CU165" s="94"/>
      <c r="CV165" s="94"/>
      <c r="CW165" s="101"/>
      <c r="CX165" s="94"/>
      <c r="CY165" s="94"/>
      <c r="CZ165" s="94"/>
      <c r="DA165" s="94"/>
      <c r="DB165" s="147"/>
      <c r="DC165" s="94"/>
      <c r="DD165" s="94"/>
      <c r="DE165" s="94"/>
      <c r="DF165" s="94"/>
      <c r="DG165" s="1045"/>
      <c r="DH165" s="1045"/>
      <c r="DI165" s="1045"/>
      <c r="DJ165" s="1045"/>
      <c r="DK165" s="1045"/>
      <c r="DL165" s="1045"/>
      <c r="DM165" s="1045"/>
      <c r="DN165" s="1045"/>
      <c r="DO165" s="1045"/>
      <c r="DP165" s="1045"/>
      <c r="DQ165" s="1045"/>
      <c r="DR165" s="1045"/>
      <c r="DS165" s="1045"/>
      <c r="DT165" s="1045"/>
      <c r="DU165" s="1045"/>
      <c r="DV165" s="1045"/>
      <c r="DW165" s="1045"/>
      <c r="DX165" s="1045"/>
      <c r="DY165" s="101"/>
    </row>
    <row r="166" spans="1:129" hidden="1" outlineLevel="1">
      <c r="A166" s="742" t="s">
        <v>479</v>
      </c>
      <c r="B166" s="94"/>
      <c r="C166" s="94"/>
      <c r="D166" s="94"/>
      <c r="E166" s="94"/>
      <c r="F166" s="94"/>
      <c r="G166" s="94"/>
      <c r="H166" s="94"/>
      <c r="I166" s="94"/>
      <c r="J166" s="94"/>
      <c r="K166" s="94"/>
      <c r="L166" s="94"/>
      <c r="M166" s="94"/>
      <c r="N166" s="94"/>
      <c r="O166" s="94"/>
      <c r="P166" s="94"/>
      <c r="Q166" s="1045"/>
      <c r="R166" s="94"/>
      <c r="S166" s="94"/>
      <c r="T166" s="1045"/>
      <c r="U166" s="94"/>
      <c r="V166" s="94"/>
      <c r="W166" s="94"/>
      <c r="X166" s="94"/>
      <c r="Y166" s="94"/>
      <c r="Z166" s="94"/>
      <c r="AA166" s="1045"/>
      <c r="AB166" s="1045"/>
      <c r="AC166" s="1045"/>
      <c r="AD166" s="1045"/>
      <c r="AE166" s="1045"/>
      <c r="AF166" s="1045"/>
      <c r="AG166" s="1045"/>
      <c r="AH166" s="1962"/>
      <c r="AI166" s="2159"/>
      <c r="AJ166" s="2159"/>
      <c r="AK166" s="2159"/>
      <c r="AL166" s="2159"/>
      <c r="AM166" s="2159"/>
      <c r="AN166" s="2159"/>
      <c r="AO166" s="2159"/>
      <c r="AP166" s="147"/>
      <c r="AQ166" s="94"/>
      <c r="AR166" s="94"/>
      <c r="AS166" s="94"/>
      <c r="AT166" s="147"/>
      <c r="AU166" s="94"/>
      <c r="AV166" s="94"/>
      <c r="AW166" s="94"/>
      <c r="AX166" s="147"/>
      <c r="AY166" s="94"/>
      <c r="AZ166" s="94"/>
      <c r="BA166" s="94"/>
      <c r="BB166" s="147"/>
      <c r="BC166" s="94"/>
      <c r="BD166" s="94"/>
      <c r="BE166" s="94"/>
      <c r="BF166" s="147"/>
      <c r="BG166" s="94"/>
      <c r="BH166" s="94"/>
      <c r="BI166" s="94"/>
      <c r="BJ166" s="147"/>
      <c r="BK166" s="94"/>
      <c r="BL166" s="94"/>
      <c r="BM166" s="94"/>
      <c r="BN166" s="147"/>
      <c r="BO166" s="94"/>
      <c r="BP166" s="94"/>
      <c r="BQ166" s="94"/>
      <c r="BR166" s="147"/>
      <c r="BS166" s="94"/>
      <c r="BT166" s="94"/>
      <c r="BU166" s="94"/>
      <c r="BV166" s="147"/>
      <c r="BW166" s="94"/>
      <c r="BX166" s="94"/>
      <c r="BY166" s="94"/>
      <c r="BZ166" s="147"/>
      <c r="CA166" s="94"/>
      <c r="CB166" s="94"/>
      <c r="CC166" s="94"/>
      <c r="CD166" s="147"/>
      <c r="CE166" s="94"/>
      <c r="CF166" s="94"/>
      <c r="CG166" s="94"/>
      <c r="CH166" s="147"/>
      <c r="CI166" s="94"/>
      <c r="CJ166" s="94"/>
      <c r="CK166" s="94"/>
      <c r="CL166" s="147"/>
      <c r="CM166" s="94"/>
      <c r="CN166" s="94"/>
      <c r="CO166" s="94"/>
      <c r="CP166" s="147">
        <f t="shared" ref="CP166:CY170" si="383">+CP150/CL150-1</f>
        <v>-9.2519233917171428E-2</v>
      </c>
      <c r="CQ166" s="94">
        <f t="shared" si="383"/>
        <v>-8.9237171527334902E-2</v>
      </c>
      <c r="CR166" s="94">
        <f t="shared" si="383"/>
        <v>-8.4784332655242545E-2</v>
      </c>
      <c r="CS166" s="94">
        <f t="shared" si="383"/>
        <v>-8.1982840800762569E-2</v>
      </c>
      <c r="CT166" s="147">
        <f t="shared" si="383"/>
        <v>-8.1712904505934603E-2</v>
      </c>
      <c r="CU166" s="94">
        <f t="shared" si="383"/>
        <v>-7.8893065074802871E-2</v>
      </c>
      <c r="CV166" s="94">
        <f t="shared" si="383"/>
        <v>-7.6288426763110428E-2</v>
      </c>
      <c r="CW166" s="101">
        <f t="shared" si="383"/>
        <v>-7.1689550401907609E-2</v>
      </c>
      <c r="CX166" s="94">
        <f t="shared" si="383"/>
        <v>-6.8908619470417265E-2</v>
      </c>
      <c r="CY166" s="94">
        <f t="shared" si="383"/>
        <v>-6.8768252190262835E-2</v>
      </c>
      <c r="CZ166" s="94">
        <f t="shared" ref="CZ166:DV170" si="384">+CZ150/CV150-1</f>
        <v>-6.8192014356213471E-2</v>
      </c>
      <c r="DA166" s="94">
        <f t="shared" si="384"/>
        <v>-6.7696896880308222E-2</v>
      </c>
      <c r="DB166" s="147">
        <f t="shared" si="384"/>
        <v>-6.3670886075949396E-2</v>
      </c>
      <c r="DC166" s="94">
        <f t="shared" si="384"/>
        <v>-6.229057479164879E-2</v>
      </c>
      <c r="DD166" s="94">
        <f t="shared" si="384"/>
        <v>-6.0839497527027664E-2</v>
      </c>
      <c r="DE166" s="94">
        <f t="shared" si="384"/>
        <v>-6.301382037950487E-2</v>
      </c>
      <c r="DF166" s="94">
        <f t="shared" si="384"/>
        <v>-6.5702311748005893E-2</v>
      </c>
      <c r="DG166" s="1045">
        <f t="shared" si="384"/>
        <v>-6.5832875206157326E-2</v>
      </c>
      <c r="DH166" s="1045">
        <f t="shared" si="384"/>
        <v>-6.3755417812369042E-2</v>
      </c>
      <c r="DI166" s="1045">
        <f t="shared" si="384"/>
        <v>-6.1180934313492918E-2</v>
      </c>
      <c r="DJ166" s="1045">
        <f t="shared" si="384"/>
        <v>-6.0676216659431792E-2</v>
      </c>
      <c r="DK166" s="1045">
        <f t="shared" si="384"/>
        <v>-6.4342111715953054E-2</v>
      </c>
      <c r="DL166" s="1045">
        <f t="shared" si="384"/>
        <v>-6.7151177261187689E-2</v>
      </c>
      <c r="DM166" s="1045">
        <f t="shared" si="384"/>
        <v>-7.1129072998231901E-2</v>
      </c>
      <c r="DN166" s="1045">
        <f t="shared" si="384"/>
        <v>-7.3838254172015505E-2</v>
      </c>
      <c r="DO166" s="1045">
        <f t="shared" si="384"/>
        <v>-0.24126002411027825</v>
      </c>
      <c r="DP166" s="1045">
        <f t="shared" si="384"/>
        <v>-0.24258271077908211</v>
      </c>
      <c r="DQ166" s="1045">
        <f t="shared" si="384"/>
        <v>-0.24191004514058845</v>
      </c>
      <c r="DR166" s="1045">
        <f t="shared" si="384"/>
        <v>-0.2441093308199811</v>
      </c>
      <c r="DS166" s="1045">
        <f t="shared" si="384"/>
        <v>-7.7645758496822315E-2</v>
      </c>
      <c r="DT166" s="1045">
        <f t="shared" si="384"/>
        <v>-7.7074820346625383E-2</v>
      </c>
      <c r="DU166" s="1045">
        <f t="shared" si="384"/>
        <v>-8.0206614534758636E-2</v>
      </c>
      <c r="DV166" s="1045">
        <f t="shared" si="384"/>
        <v>-7.9140384333284519E-2</v>
      </c>
      <c r="DW166" s="1045">
        <f t="shared" ref="DW166:DW170" si="385">+DW150/DS150-1</f>
        <v>-0.1331675048909815</v>
      </c>
      <c r="DX166" s="1045">
        <f t="shared" ref="DX166:DX170" si="386">+DX150/DT150-1</f>
        <v>-0.18464666272943897</v>
      </c>
      <c r="DY166" s="101">
        <f t="shared" ref="DY166:DY170" si="387">+DY150/DU150-1</f>
        <v>-0.23033589637907004</v>
      </c>
    </row>
    <row r="167" spans="1:129" hidden="1" outlineLevel="1">
      <c r="A167" s="742" t="s">
        <v>475</v>
      </c>
      <c r="B167" s="94"/>
      <c r="C167" s="94"/>
      <c r="D167" s="94"/>
      <c r="E167" s="94"/>
      <c r="F167" s="94"/>
      <c r="G167" s="94"/>
      <c r="H167" s="94"/>
      <c r="I167" s="94"/>
      <c r="J167" s="94"/>
      <c r="K167" s="94"/>
      <c r="L167" s="94"/>
      <c r="M167" s="94"/>
      <c r="N167" s="94"/>
      <c r="O167" s="94"/>
      <c r="P167" s="94"/>
      <c r="Q167" s="1045"/>
      <c r="R167" s="94"/>
      <c r="S167" s="94"/>
      <c r="T167" s="1045"/>
      <c r="U167" s="94"/>
      <c r="V167" s="94"/>
      <c r="W167" s="94"/>
      <c r="X167" s="94"/>
      <c r="Y167" s="94"/>
      <c r="Z167" s="94"/>
      <c r="AA167" s="1045"/>
      <c r="AB167" s="1045"/>
      <c r="AC167" s="1045"/>
      <c r="AD167" s="1045"/>
      <c r="AE167" s="1045"/>
      <c r="AF167" s="1045"/>
      <c r="AG167" s="1045"/>
      <c r="AH167" s="1962"/>
      <c r="AI167" s="2159"/>
      <c r="AJ167" s="2159"/>
      <c r="AK167" s="2159"/>
      <c r="AL167" s="2159"/>
      <c r="AM167" s="2159"/>
      <c r="AN167" s="2159"/>
      <c r="AO167" s="2159"/>
      <c r="AP167" s="147"/>
      <c r="AQ167" s="94"/>
      <c r="AR167" s="94"/>
      <c r="AS167" s="94"/>
      <c r="AT167" s="147"/>
      <c r="AU167" s="94"/>
      <c r="AV167" s="94"/>
      <c r="AW167" s="94"/>
      <c r="AX167" s="147"/>
      <c r="AY167" s="94"/>
      <c r="AZ167" s="94"/>
      <c r="BA167" s="94"/>
      <c r="BB167" s="147"/>
      <c r="BC167" s="94"/>
      <c r="BD167" s="94"/>
      <c r="BE167" s="94"/>
      <c r="BF167" s="147"/>
      <c r="BG167" s="94"/>
      <c r="BH167" s="94"/>
      <c r="BI167" s="94"/>
      <c r="BJ167" s="147"/>
      <c r="BK167" s="94"/>
      <c r="BL167" s="94"/>
      <c r="BM167" s="94"/>
      <c r="BN167" s="147"/>
      <c r="BO167" s="94"/>
      <c r="BP167" s="94"/>
      <c r="BQ167" s="94"/>
      <c r="BR167" s="147"/>
      <c r="BS167" s="94"/>
      <c r="BT167" s="94"/>
      <c r="BU167" s="94"/>
      <c r="BV167" s="147"/>
      <c r="BW167" s="94"/>
      <c r="BX167" s="94"/>
      <c r="BY167" s="94"/>
      <c r="BZ167" s="147"/>
      <c r="CA167" s="94"/>
      <c r="CB167" s="94"/>
      <c r="CC167" s="94"/>
      <c r="CD167" s="147"/>
      <c r="CE167" s="94"/>
      <c r="CF167" s="94"/>
      <c r="CG167" s="94"/>
      <c r="CH167" s="147"/>
      <c r="CI167" s="94"/>
      <c r="CJ167" s="94"/>
      <c r="CK167" s="94"/>
      <c r="CL167" s="147"/>
      <c r="CM167" s="94"/>
      <c r="CN167" s="94"/>
      <c r="CO167" s="94"/>
      <c r="CP167" s="147">
        <f t="shared" si="383"/>
        <v>-8.9261872973488421E-2</v>
      </c>
      <c r="CQ167" s="94">
        <f t="shared" si="383"/>
        <v>-9.8008590394377149E-2</v>
      </c>
      <c r="CR167" s="94">
        <f t="shared" si="383"/>
        <v>-0.10616094722054981</v>
      </c>
      <c r="CS167" s="94">
        <f t="shared" si="383"/>
        <v>-0.11571604431678295</v>
      </c>
      <c r="CT167" s="147">
        <f t="shared" si="383"/>
        <v>-0.12020942408376978</v>
      </c>
      <c r="CU167" s="94">
        <f t="shared" si="383"/>
        <v>-0.11818181818181828</v>
      </c>
      <c r="CV167" s="94">
        <f t="shared" si="383"/>
        <v>-0.11180960933991912</v>
      </c>
      <c r="CW167" s="101">
        <f t="shared" si="383"/>
        <v>-0.10603248259860776</v>
      </c>
      <c r="CX167" s="94">
        <f t="shared" si="383"/>
        <v>-0.10402285170197567</v>
      </c>
      <c r="CY167" s="94">
        <f t="shared" si="383"/>
        <v>-0.10849288168875793</v>
      </c>
      <c r="CZ167" s="94">
        <f t="shared" si="384"/>
        <v>-0.11830131445904957</v>
      </c>
      <c r="DA167" s="94">
        <f t="shared" si="384"/>
        <v>-0.12509732675837015</v>
      </c>
      <c r="DB167" s="147">
        <f t="shared" si="384"/>
        <v>-0.12805526036131765</v>
      </c>
      <c r="DC167" s="94">
        <f t="shared" si="384"/>
        <v>-0.12830396475770933</v>
      </c>
      <c r="DD167" s="94">
        <f t="shared" si="384"/>
        <v>-0.1258600917431193</v>
      </c>
      <c r="DE167" s="94">
        <f t="shared" si="384"/>
        <v>-0.12696529219816077</v>
      </c>
      <c r="DF167" s="94">
        <f t="shared" si="384"/>
        <v>-0.12827544180377815</v>
      </c>
      <c r="DG167" s="1045">
        <f t="shared" si="384"/>
        <v>-0.12571067593177521</v>
      </c>
      <c r="DH167" s="1045">
        <f t="shared" si="384"/>
        <v>-0.12266316825188595</v>
      </c>
      <c r="DI167" s="1045">
        <f t="shared" si="384"/>
        <v>-0.12028542303771661</v>
      </c>
      <c r="DJ167" s="1045">
        <f t="shared" si="384"/>
        <v>-0.12722824187347093</v>
      </c>
      <c r="DK167" s="1045">
        <f t="shared" si="384"/>
        <v>-0.13294797687861271</v>
      </c>
      <c r="DL167" s="1045">
        <f t="shared" si="384"/>
        <v>-0.14467289719626164</v>
      </c>
      <c r="DM167" s="1045">
        <f t="shared" si="384"/>
        <v>-0.15256855928930091</v>
      </c>
      <c r="DN167" s="1045">
        <f t="shared" si="384"/>
        <v>-0.16459751702042458</v>
      </c>
      <c r="DO167" s="1045">
        <f t="shared" si="384"/>
        <v>-0.36708333333333332</v>
      </c>
      <c r="DP167" s="1045">
        <f t="shared" si="384"/>
        <v>-0.36494755244755239</v>
      </c>
      <c r="DQ167" s="1045">
        <f t="shared" si="384"/>
        <v>-0.36873290793072011</v>
      </c>
      <c r="DR167" s="1045">
        <f t="shared" si="384"/>
        <v>-0.36577181208053688</v>
      </c>
      <c r="DS167" s="1045">
        <f t="shared" si="384"/>
        <v>-0.17643186306780778</v>
      </c>
      <c r="DT167" s="1045">
        <f t="shared" si="384"/>
        <v>-0.19132828630419818</v>
      </c>
      <c r="DU167" s="1045">
        <f t="shared" si="384"/>
        <v>-0.19927797833935024</v>
      </c>
      <c r="DV167" s="1045">
        <f t="shared" si="384"/>
        <v>-0.20634920634920628</v>
      </c>
      <c r="DW167" s="1045">
        <f t="shared" si="385"/>
        <v>-0.20863309352517978</v>
      </c>
      <c r="DX167" s="1045">
        <f t="shared" si="386"/>
        <v>-0.20851063829787231</v>
      </c>
      <c r="DY167" s="101">
        <f t="shared" si="387"/>
        <v>-0.21550946798917947</v>
      </c>
    </row>
    <row r="168" spans="1:129" hidden="1" outlineLevel="1">
      <c r="A168" s="742" t="s">
        <v>480</v>
      </c>
      <c r="B168" s="94"/>
      <c r="C168" s="94"/>
      <c r="D168" s="94"/>
      <c r="E168" s="94"/>
      <c r="F168" s="94"/>
      <c r="G168" s="94"/>
      <c r="H168" s="94"/>
      <c r="I168" s="94"/>
      <c r="J168" s="94"/>
      <c r="K168" s="94"/>
      <c r="L168" s="94"/>
      <c r="M168" s="94"/>
      <c r="N168" s="94"/>
      <c r="O168" s="94"/>
      <c r="P168" s="94"/>
      <c r="Q168" s="1045"/>
      <c r="R168" s="94"/>
      <c r="S168" s="94"/>
      <c r="T168" s="1045"/>
      <c r="U168" s="94"/>
      <c r="V168" s="94"/>
      <c r="W168" s="94"/>
      <c r="X168" s="94"/>
      <c r="Y168" s="94"/>
      <c r="Z168" s="94"/>
      <c r="AA168" s="1045"/>
      <c r="AB168" s="1045"/>
      <c r="AC168" s="1045"/>
      <c r="AD168" s="1045"/>
      <c r="AE168" s="1045"/>
      <c r="AF168" s="1045"/>
      <c r="AG168" s="1045"/>
      <c r="AH168" s="1962"/>
      <c r="AI168" s="2159"/>
      <c r="AJ168" s="2159"/>
      <c r="AK168" s="2159"/>
      <c r="AL168" s="2159"/>
      <c r="AM168" s="2159"/>
      <c r="AN168" s="2159"/>
      <c r="AO168" s="2159"/>
      <c r="AP168" s="147"/>
      <c r="AQ168" s="94"/>
      <c r="AR168" s="94"/>
      <c r="AS168" s="94"/>
      <c r="AT168" s="147"/>
      <c r="AU168" s="94"/>
      <c r="AV168" s="94"/>
      <c r="AW168" s="94"/>
      <c r="AX168" s="147"/>
      <c r="AY168" s="94"/>
      <c r="AZ168" s="94"/>
      <c r="BA168" s="94"/>
      <c r="BB168" s="147"/>
      <c r="BC168" s="94"/>
      <c r="BD168" s="94"/>
      <c r="BE168" s="94"/>
      <c r="BF168" s="147"/>
      <c r="BG168" s="94"/>
      <c r="BH168" s="94"/>
      <c r="BI168" s="94"/>
      <c r="BJ168" s="147"/>
      <c r="BK168" s="94"/>
      <c r="BL168" s="94"/>
      <c r="BM168" s="94"/>
      <c r="BN168" s="147"/>
      <c r="BO168" s="94"/>
      <c r="BP168" s="94"/>
      <c r="BQ168" s="94"/>
      <c r="BR168" s="147"/>
      <c r="BS168" s="94"/>
      <c r="BT168" s="94"/>
      <c r="BU168" s="94"/>
      <c r="BV168" s="147"/>
      <c r="BW168" s="94"/>
      <c r="BX168" s="94"/>
      <c r="BY168" s="94"/>
      <c r="BZ168" s="147"/>
      <c r="CA168" s="94"/>
      <c r="CB168" s="94"/>
      <c r="CC168" s="94"/>
      <c r="CD168" s="147"/>
      <c r="CE168" s="94"/>
      <c r="CF168" s="94"/>
      <c r="CG168" s="94"/>
      <c r="CH168" s="147"/>
      <c r="CI168" s="94"/>
      <c r="CJ168" s="94"/>
      <c r="CK168" s="94"/>
      <c r="CL168" s="147"/>
      <c r="CM168" s="94"/>
      <c r="CN168" s="94"/>
      <c r="CO168" s="94"/>
      <c r="CP168" s="147">
        <f t="shared" si="383"/>
        <v>0.30644553335846214</v>
      </c>
      <c r="CQ168" s="94">
        <f t="shared" si="383"/>
        <v>0.24371176070700185</v>
      </c>
      <c r="CR168" s="94">
        <f t="shared" si="383"/>
        <v>0.23883928571428559</v>
      </c>
      <c r="CS168" s="94">
        <f t="shared" si="383"/>
        <v>0.24223980523432731</v>
      </c>
      <c r="CT168" s="147">
        <f t="shared" si="383"/>
        <v>0.23744950952106159</v>
      </c>
      <c r="CU168" s="94">
        <f t="shared" si="383"/>
        <v>0.22383164799125455</v>
      </c>
      <c r="CV168" s="94">
        <f t="shared" si="383"/>
        <v>0.18815958815958811</v>
      </c>
      <c r="CW168" s="101">
        <f t="shared" si="383"/>
        <v>0.18005879470847641</v>
      </c>
      <c r="CX168" s="94">
        <f t="shared" si="383"/>
        <v>0.16810445325250645</v>
      </c>
      <c r="CY168" s="94">
        <f t="shared" si="383"/>
        <v>0.14872711031710595</v>
      </c>
      <c r="CZ168" s="94">
        <f t="shared" si="384"/>
        <v>0.14384748700173322</v>
      </c>
      <c r="DA168" s="94">
        <f t="shared" si="384"/>
        <v>0.12601204068922578</v>
      </c>
      <c r="DB168" s="147">
        <f t="shared" si="384"/>
        <v>0.12015968063872262</v>
      </c>
      <c r="DC168" s="94">
        <f t="shared" si="384"/>
        <v>0.12227838258164847</v>
      </c>
      <c r="DD168" s="94">
        <f t="shared" si="384"/>
        <v>0.12613636363636349</v>
      </c>
      <c r="DE168" s="94">
        <f t="shared" si="384"/>
        <v>0.11946902654867242</v>
      </c>
      <c r="DF168" s="94">
        <f t="shared" si="384"/>
        <v>9.9429793300071179E-2</v>
      </c>
      <c r="DG168" s="1045">
        <f t="shared" si="384"/>
        <v>9.2846007275246834E-2</v>
      </c>
      <c r="DH168" s="1045">
        <f t="shared" si="384"/>
        <v>8.8294651866801299E-2</v>
      </c>
      <c r="DI168" s="1045">
        <f t="shared" si="384"/>
        <v>8.9591567852437271E-2</v>
      </c>
      <c r="DJ168" s="1045">
        <f t="shared" si="384"/>
        <v>9.3841166936790898E-2</v>
      </c>
      <c r="DK168" s="1045">
        <f t="shared" si="384"/>
        <v>8.1153907116817248E-2</v>
      </c>
      <c r="DL168" s="1045">
        <f t="shared" si="384"/>
        <v>7.1704527893679426E-2</v>
      </c>
      <c r="DM168" s="1045">
        <f t="shared" si="384"/>
        <v>6.3180169286578103E-2</v>
      </c>
      <c r="DN168" s="1045">
        <f t="shared" si="384"/>
        <v>5.6749148021929097E-2</v>
      </c>
      <c r="DO168" s="1045">
        <f t="shared" si="384"/>
        <v>-0.1943996481454332</v>
      </c>
      <c r="DP168" s="1045">
        <f t="shared" si="384"/>
        <v>-0.19466474405191059</v>
      </c>
      <c r="DQ168" s="1045">
        <f t="shared" si="384"/>
        <v>-0.196332101222633</v>
      </c>
      <c r="DR168" s="1045">
        <f t="shared" si="384"/>
        <v>-0.20246775098149183</v>
      </c>
      <c r="DS168" s="1045">
        <f t="shared" si="384"/>
        <v>4.404003639672438E-2</v>
      </c>
      <c r="DT168" s="1045">
        <f t="shared" si="384"/>
        <v>3.9033124440465583E-2</v>
      </c>
      <c r="DU168" s="1045">
        <f t="shared" si="384"/>
        <v>3.484875287457978E-2</v>
      </c>
      <c r="DV168" s="1045">
        <f t="shared" si="384"/>
        <v>4.0084388185654074E-2</v>
      </c>
      <c r="DW168" s="1045">
        <f t="shared" si="385"/>
        <v>4.2008018127941416E-2</v>
      </c>
      <c r="DX168" s="1045">
        <f t="shared" si="386"/>
        <v>4.2219541616405287E-2</v>
      </c>
      <c r="DY168" s="101">
        <f t="shared" si="387"/>
        <v>4.4273504273504294E-2</v>
      </c>
    </row>
    <row r="169" spans="1:129" hidden="1" outlineLevel="1">
      <c r="A169" s="742" t="s">
        <v>481</v>
      </c>
      <c r="B169" s="94"/>
      <c r="C169" s="94"/>
      <c r="D169" s="94"/>
      <c r="E169" s="94"/>
      <c r="F169" s="94"/>
      <c r="G169" s="94"/>
      <c r="H169" s="94"/>
      <c r="I169" s="94"/>
      <c r="J169" s="94"/>
      <c r="K169" s="94"/>
      <c r="L169" s="94"/>
      <c r="M169" s="94"/>
      <c r="N169" s="94"/>
      <c r="O169" s="94"/>
      <c r="P169" s="94"/>
      <c r="Q169" s="1045"/>
      <c r="R169" s="94"/>
      <c r="S169" s="94"/>
      <c r="T169" s="1045"/>
      <c r="U169" s="94"/>
      <c r="V169" s="94"/>
      <c r="W169" s="94"/>
      <c r="X169" s="94"/>
      <c r="Y169" s="94"/>
      <c r="Z169" s="94"/>
      <c r="AA169" s="1045"/>
      <c r="AB169" s="1045"/>
      <c r="AC169" s="1045"/>
      <c r="AD169" s="1045"/>
      <c r="AE169" s="1045"/>
      <c r="AF169" s="1045"/>
      <c r="AG169" s="1045"/>
      <c r="AH169" s="1962"/>
      <c r="AI169" s="2159"/>
      <c r="AJ169" s="2159"/>
      <c r="AK169" s="2159"/>
      <c r="AL169" s="2159"/>
      <c r="AM169" s="2159"/>
      <c r="AN169" s="2159"/>
      <c r="AO169" s="2159"/>
      <c r="AP169" s="147"/>
      <c r="AQ169" s="94"/>
      <c r="AR169" s="94"/>
      <c r="AS169" s="94"/>
      <c r="AT169" s="147"/>
      <c r="AU169" s="94"/>
      <c r="AV169" s="94"/>
      <c r="AW169" s="94"/>
      <c r="AX169" s="147"/>
      <c r="AY169" s="94"/>
      <c r="AZ169" s="94"/>
      <c r="BA169" s="94"/>
      <c r="BB169" s="147"/>
      <c r="BC169" s="94"/>
      <c r="BD169" s="94"/>
      <c r="BE169" s="94"/>
      <c r="BF169" s="147"/>
      <c r="BG169" s="94"/>
      <c r="BH169" s="94"/>
      <c r="BI169" s="94"/>
      <c r="BJ169" s="147"/>
      <c r="BK169" s="94"/>
      <c r="BL169" s="94"/>
      <c r="BM169" s="94"/>
      <c r="BN169" s="147"/>
      <c r="BO169" s="94"/>
      <c r="BP169" s="94"/>
      <c r="BQ169" s="94"/>
      <c r="BR169" s="147"/>
      <c r="BS169" s="94"/>
      <c r="BT169" s="94"/>
      <c r="BU169" s="94"/>
      <c r="BV169" s="147"/>
      <c r="BW169" s="94"/>
      <c r="BX169" s="94"/>
      <c r="BY169" s="94"/>
      <c r="BZ169" s="147"/>
      <c r="CA169" s="94"/>
      <c r="CB169" s="94"/>
      <c r="CC169" s="94"/>
      <c r="CD169" s="147"/>
      <c r="CE169" s="94"/>
      <c r="CF169" s="94"/>
      <c r="CG169" s="94"/>
      <c r="CH169" s="147"/>
      <c r="CI169" s="94"/>
      <c r="CJ169" s="94"/>
      <c r="CK169" s="94"/>
      <c r="CL169" s="147"/>
      <c r="CM169" s="94"/>
      <c r="CN169" s="94"/>
      <c r="CO169" s="94"/>
      <c r="CP169" s="147">
        <f t="shared" si="383"/>
        <v>0.36807511737089205</v>
      </c>
      <c r="CQ169" s="94">
        <f t="shared" si="383"/>
        <v>0.27827023444619337</v>
      </c>
      <c r="CR169" s="94">
        <f t="shared" si="383"/>
        <v>0.26489811610918879</v>
      </c>
      <c r="CS169" s="94">
        <f t="shared" si="383"/>
        <v>0.26254545454545464</v>
      </c>
      <c r="CT169" s="147">
        <f t="shared" si="383"/>
        <v>0.25737817433081678</v>
      </c>
      <c r="CU169" s="94">
        <f t="shared" si="383"/>
        <v>0.24692158133506159</v>
      </c>
      <c r="CV169" s="94">
        <f t="shared" si="383"/>
        <v>0.2094224924012158</v>
      </c>
      <c r="CW169" s="101">
        <f t="shared" si="383"/>
        <v>0.20190092165898621</v>
      </c>
      <c r="CX169" s="94">
        <f t="shared" si="383"/>
        <v>0.18804585152838427</v>
      </c>
      <c r="CY169" s="94">
        <f t="shared" si="383"/>
        <v>0.16242203742203754</v>
      </c>
      <c r="CZ169" s="94">
        <f t="shared" si="384"/>
        <v>0.15405880874591604</v>
      </c>
      <c r="DA169" s="94">
        <f t="shared" si="384"/>
        <v>0.13251857177090831</v>
      </c>
      <c r="DB169" s="147">
        <f t="shared" si="384"/>
        <v>0.12451183092120366</v>
      </c>
      <c r="DC169" s="94">
        <f t="shared" si="384"/>
        <v>0.12564274536105535</v>
      </c>
      <c r="DD169" s="94">
        <f t="shared" si="384"/>
        <v>0.12587108013937298</v>
      </c>
      <c r="DE169" s="94">
        <f t="shared" si="384"/>
        <v>0.11341515023275495</v>
      </c>
      <c r="DF169" s="94">
        <f t="shared" si="384"/>
        <v>8.6618998978549522E-2</v>
      </c>
      <c r="DG169" s="1045">
        <f t="shared" si="384"/>
        <v>7.6266137040714943E-2</v>
      </c>
      <c r="DH169" s="1045">
        <f t="shared" si="384"/>
        <v>7.0212765957446965E-2</v>
      </c>
      <c r="DI169" s="1045">
        <f t="shared" si="384"/>
        <v>7.3546180159635322E-2</v>
      </c>
      <c r="DJ169" s="1045">
        <f t="shared" si="384"/>
        <v>7.8962210941906363E-2</v>
      </c>
      <c r="DK169" s="1045">
        <f t="shared" si="384"/>
        <v>6.3849418711939387E-2</v>
      </c>
      <c r="DL169" s="1045">
        <f t="shared" si="384"/>
        <v>4.9521055485270304E-2</v>
      </c>
      <c r="DM169" s="1045">
        <f t="shared" si="384"/>
        <v>3.1510001770224783E-2</v>
      </c>
      <c r="DN169" s="1045">
        <f t="shared" si="384"/>
        <v>2.160655166405312E-2</v>
      </c>
      <c r="DO169" s="1045">
        <f t="shared" si="384"/>
        <v>-0.19566348655680832</v>
      </c>
      <c r="DP169" s="1045">
        <f t="shared" si="384"/>
        <v>-0.19528155674186332</v>
      </c>
      <c r="DQ169" s="1045">
        <f t="shared" si="384"/>
        <v>-0.19443967736399514</v>
      </c>
      <c r="DR169" s="1045">
        <f t="shared" si="384"/>
        <v>-0.20160327477400652</v>
      </c>
      <c r="DS169" s="1045">
        <f t="shared" si="384"/>
        <v>6.2540435626483593E-3</v>
      </c>
      <c r="DT169" s="1045">
        <f t="shared" si="384"/>
        <v>-5.3498823025893705E-3</v>
      </c>
      <c r="DU169" s="1045">
        <f t="shared" si="384"/>
        <v>-1.597784405624203E-2</v>
      </c>
      <c r="DV169" s="1045">
        <f t="shared" si="384"/>
        <v>-1.7944883571886283E-2</v>
      </c>
      <c r="DW169" s="1045">
        <f t="shared" si="385"/>
        <v>-1.9609944277754088E-2</v>
      </c>
      <c r="DX169" s="1045">
        <f t="shared" si="386"/>
        <v>-2.1299483648881123E-2</v>
      </c>
      <c r="DY169" s="101">
        <f t="shared" si="387"/>
        <v>-2.3056938731327081E-2</v>
      </c>
    </row>
    <row r="170" spans="1:129" hidden="1" outlineLevel="1">
      <c r="A170" s="742" t="s">
        <v>487</v>
      </c>
      <c r="B170" s="94"/>
      <c r="C170" s="94"/>
      <c r="D170" s="94"/>
      <c r="E170" s="94"/>
      <c r="F170" s="94"/>
      <c r="G170" s="94"/>
      <c r="H170" s="94"/>
      <c r="I170" s="94"/>
      <c r="J170" s="94"/>
      <c r="K170" s="94"/>
      <c r="L170" s="94"/>
      <c r="M170" s="94"/>
      <c r="N170" s="94"/>
      <c r="O170" s="94"/>
      <c r="P170" s="94"/>
      <c r="Q170" s="1045"/>
      <c r="R170" s="94"/>
      <c r="S170" s="94"/>
      <c r="T170" s="1045"/>
      <c r="U170" s="94"/>
      <c r="V170" s="94"/>
      <c r="W170" s="94"/>
      <c r="X170" s="94"/>
      <c r="Y170" s="94"/>
      <c r="Z170" s="94"/>
      <c r="AA170" s="1045"/>
      <c r="AB170" s="1045"/>
      <c r="AC170" s="1045"/>
      <c r="AD170" s="1045"/>
      <c r="AE170" s="1045"/>
      <c r="AF170" s="1045"/>
      <c r="AG170" s="1045"/>
      <c r="AH170" s="1962"/>
      <c r="AI170" s="2159"/>
      <c r="AJ170" s="2159"/>
      <c r="AK170" s="2159"/>
      <c r="AL170" s="2159"/>
      <c r="AM170" s="2159"/>
      <c r="AN170" s="2159"/>
      <c r="AO170" s="2159"/>
      <c r="AP170" s="147"/>
      <c r="AQ170" s="94"/>
      <c r="AR170" s="94"/>
      <c r="AS170" s="94"/>
      <c r="AT170" s="147"/>
      <c r="AU170" s="94"/>
      <c r="AV170" s="94"/>
      <c r="AW170" s="94"/>
      <c r="AX170" s="147"/>
      <c r="AY170" s="94"/>
      <c r="AZ170" s="94"/>
      <c r="BA170" s="94"/>
      <c r="BB170" s="147"/>
      <c r="BC170" s="94"/>
      <c r="BD170" s="94"/>
      <c r="BE170" s="94"/>
      <c r="BF170" s="147"/>
      <c r="BG170" s="94"/>
      <c r="BH170" s="94"/>
      <c r="BI170" s="94"/>
      <c r="BJ170" s="147"/>
      <c r="BK170" s="94"/>
      <c r="BL170" s="94"/>
      <c r="BM170" s="94"/>
      <c r="BN170" s="147"/>
      <c r="BO170" s="94"/>
      <c r="BP170" s="94"/>
      <c r="BQ170" s="94"/>
      <c r="BR170" s="147"/>
      <c r="BS170" s="94"/>
      <c r="BT170" s="94"/>
      <c r="BU170" s="94"/>
      <c r="BV170" s="147"/>
      <c r="BW170" s="94"/>
      <c r="BX170" s="94"/>
      <c r="BY170" s="94"/>
      <c r="BZ170" s="147"/>
      <c r="CA170" s="94"/>
      <c r="CB170" s="94"/>
      <c r="CC170" s="94"/>
      <c r="CD170" s="147"/>
      <c r="CE170" s="94"/>
      <c r="CF170" s="94"/>
      <c r="CG170" s="94"/>
      <c r="CH170" s="147"/>
      <c r="CI170" s="94"/>
      <c r="CJ170" s="94"/>
      <c r="CK170" s="94"/>
      <c r="CL170" s="147"/>
      <c r="CM170" s="94"/>
      <c r="CN170" s="94"/>
      <c r="CO170" s="94"/>
      <c r="CP170" s="147">
        <f t="shared" si="383"/>
        <v>5.1797961919387792E-2</v>
      </c>
      <c r="CQ170" s="94">
        <f t="shared" si="383"/>
        <v>4.552979070155394E-2</v>
      </c>
      <c r="CR170" s="94">
        <f t="shared" si="383"/>
        <v>3.3990482664853827E-2</v>
      </c>
      <c r="CS170" s="94">
        <f t="shared" si="383"/>
        <v>3.2508394478298674E-2</v>
      </c>
      <c r="CT170" s="147">
        <f t="shared" si="383"/>
        <v>3.858099162304951E-2</v>
      </c>
      <c r="CU170" s="94">
        <f t="shared" si="383"/>
        <v>4.562135624424668E-2</v>
      </c>
      <c r="CV170" s="94">
        <f t="shared" si="383"/>
        <v>4.9187912435775694E-2</v>
      </c>
      <c r="CW170" s="101">
        <f t="shared" si="383"/>
        <v>5.243062247061081E-2</v>
      </c>
      <c r="CX170" s="94">
        <f t="shared" si="383"/>
        <v>4.6976827306844493E-2</v>
      </c>
      <c r="CY170" s="94">
        <f t="shared" si="383"/>
        <v>4.197577237299277E-2</v>
      </c>
      <c r="CZ170" s="94">
        <f t="shared" si="384"/>
        <v>4.7949497528256613E-2</v>
      </c>
      <c r="DA170" s="94">
        <f t="shared" si="384"/>
        <v>5.755519186971414E-2</v>
      </c>
      <c r="DB170" s="147">
        <f t="shared" si="384"/>
        <v>6.0140194360363219E-2</v>
      </c>
      <c r="DC170" s="94">
        <f t="shared" si="384"/>
        <v>5.9965302811824106E-2</v>
      </c>
      <c r="DD170" s="94">
        <f t="shared" si="384"/>
        <v>5.1967754080570527E-2</v>
      </c>
      <c r="DE170" s="94">
        <f t="shared" si="384"/>
        <v>4.5906109992857491E-2</v>
      </c>
      <c r="DF170" s="94">
        <f t="shared" si="384"/>
        <v>4.2967701770016076E-2</v>
      </c>
      <c r="DG170" s="1045">
        <f t="shared" si="384"/>
        <v>4.9526522196597034E-2</v>
      </c>
      <c r="DH170" s="1045">
        <f t="shared" si="384"/>
        <v>5.5316371751281679E-2</v>
      </c>
      <c r="DI170" s="1045">
        <f t="shared" si="384"/>
        <v>5.7797367767568941E-2</v>
      </c>
      <c r="DJ170" s="1045">
        <f t="shared" si="384"/>
        <v>5.7787703517691469E-2</v>
      </c>
      <c r="DK170" s="1045">
        <f t="shared" si="384"/>
        <v>5.1067837287723572E-2</v>
      </c>
      <c r="DL170" s="1045">
        <f t="shared" si="384"/>
        <v>4.8107806172322354E-2</v>
      </c>
      <c r="DM170" s="1045">
        <f t="shared" si="384"/>
        <v>4.2569008353385396E-2</v>
      </c>
      <c r="DN170" s="1045">
        <f t="shared" si="384"/>
        <v>4.3179186814683579E-2</v>
      </c>
      <c r="DO170" s="1045">
        <f t="shared" si="384"/>
        <v>3.8537873094783848E-2</v>
      </c>
      <c r="DP170" s="1045">
        <f t="shared" si="384"/>
        <v>3.0092218087688138E-2</v>
      </c>
      <c r="DQ170" s="1045">
        <f t="shared" si="384"/>
        <v>2.0922072317189899E-2</v>
      </c>
      <c r="DR170" s="1045">
        <f t="shared" si="384"/>
        <v>1.2059429765246987E-2</v>
      </c>
      <c r="DS170" s="1045">
        <f t="shared" si="384"/>
        <v>1.2301241256470696E-2</v>
      </c>
      <c r="DT170" s="1045">
        <f t="shared" si="384"/>
        <v>1.3691922504827314E-2</v>
      </c>
      <c r="DU170" s="1045">
        <f t="shared" si="384"/>
        <v>1.8967798853109841E-2</v>
      </c>
      <c r="DV170" s="1045">
        <f t="shared" si="384"/>
        <v>2.4163226186965536E-2</v>
      </c>
      <c r="DW170" s="1045">
        <f t="shared" ca="1" si="385"/>
        <v>2.2664049240749495E-2</v>
      </c>
      <c r="DX170" s="1045">
        <f t="shared" ca="1" si="386"/>
        <v>2.1434762601332924E-2</v>
      </c>
      <c r="DY170" s="101">
        <f t="shared" ca="1" si="387"/>
        <v>2.0258175825550895E-2</v>
      </c>
    </row>
    <row r="171" spans="1:129" hidden="1" outlineLevel="1">
      <c r="A171" s="743" t="s">
        <v>483</v>
      </c>
      <c r="B171" s="94"/>
      <c r="C171" s="94"/>
      <c r="D171" s="94"/>
      <c r="E171" s="94"/>
      <c r="F171" s="94"/>
      <c r="G171" s="94"/>
      <c r="H171" s="94"/>
      <c r="I171" s="94"/>
      <c r="J171" s="94"/>
      <c r="K171" s="94"/>
      <c r="L171" s="94"/>
      <c r="M171" s="94"/>
      <c r="N171" s="94"/>
      <c r="O171" s="94"/>
      <c r="P171" s="94"/>
      <c r="Q171" s="1045"/>
      <c r="R171" s="94"/>
      <c r="S171" s="94"/>
      <c r="T171" s="1045"/>
      <c r="U171" s="94"/>
      <c r="V171" s="94"/>
      <c r="W171" s="94"/>
      <c r="X171" s="94"/>
      <c r="Y171" s="94"/>
      <c r="Z171" s="94"/>
      <c r="AA171" s="1045"/>
      <c r="AB171" s="1045"/>
      <c r="AC171" s="1045"/>
      <c r="AD171" s="1045"/>
      <c r="AE171" s="1045"/>
      <c r="AF171" s="1045"/>
      <c r="AG171" s="1045"/>
      <c r="AH171" s="1962"/>
      <c r="AI171" s="2159"/>
      <c r="AJ171" s="2159"/>
      <c r="AK171" s="2159"/>
      <c r="AL171" s="2159"/>
      <c r="AM171" s="2159"/>
      <c r="AN171" s="2159"/>
      <c r="AO171" s="2159"/>
      <c r="AP171" s="147"/>
      <c r="AQ171" s="94"/>
      <c r="AR171" s="94"/>
      <c r="AS171" s="94"/>
      <c r="AT171" s="147"/>
      <c r="AU171" s="94"/>
      <c r="AV171" s="94"/>
      <c r="AW171" s="94"/>
      <c r="AX171" s="147"/>
      <c r="AY171" s="94"/>
      <c r="AZ171" s="94"/>
      <c r="BA171" s="94"/>
      <c r="BB171" s="147"/>
      <c r="BC171" s="94"/>
      <c r="BD171" s="94"/>
      <c r="BE171" s="94"/>
      <c r="BF171" s="147"/>
      <c r="BG171" s="94"/>
      <c r="BH171" s="94"/>
      <c r="BI171" s="94"/>
      <c r="BJ171" s="147"/>
      <c r="BK171" s="94"/>
      <c r="BL171" s="94"/>
      <c r="BM171" s="94"/>
      <c r="BN171" s="147"/>
      <c r="BO171" s="94"/>
      <c r="BP171" s="94"/>
      <c r="BQ171" s="94"/>
      <c r="BR171" s="147"/>
      <c r="BS171" s="94"/>
      <c r="BT171" s="94"/>
      <c r="BU171" s="94"/>
      <c r="BV171" s="147"/>
      <c r="BW171" s="94"/>
      <c r="BX171" s="94"/>
      <c r="BY171" s="94"/>
      <c r="BZ171" s="147"/>
      <c r="CA171" s="94"/>
      <c r="CB171" s="94"/>
      <c r="CC171" s="94"/>
      <c r="CD171" s="147"/>
      <c r="CE171" s="94"/>
      <c r="CF171" s="94"/>
      <c r="CG171" s="94"/>
      <c r="CH171" s="147"/>
      <c r="CI171" s="94"/>
      <c r="CJ171" s="94"/>
      <c r="CK171" s="94"/>
      <c r="CL171" s="147"/>
      <c r="CM171" s="94"/>
      <c r="CN171" s="94"/>
      <c r="CO171" s="94"/>
      <c r="CP171" s="147">
        <f t="shared" ref="CP171:DV171" si="388">+CP155/CL156-1</f>
        <v>2.498324624589543E-3</v>
      </c>
      <c r="CQ171" s="94">
        <f t="shared" si="388"/>
        <v>-9.3773477095338009E-4</v>
      </c>
      <c r="CR171" s="94">
        <f t="shared" si="388"/>
        <v>-3.6400904085709396E-4</v>
      </c>
      <c r="CS171" s="94">
        <f t="shared" si="388"/>
        <v>2.7483301948083572E-4</v>
      </c>
      <c r="CT171" s="147">
        <f t="shared" si="388"/>
        <v>4.7573870532866547E-3</v>
      </c>
      <c r="CU171" s="94">
        <f t="shared" si="388"/>
        <v>1.0608967573347838E-2</v>
      </c>
      <c r="CV171" s="94">
        <f t="shared" si="388"/>
        <v>1.2603946443267677E-2</v>
      </c>
      <c r="CW171" s="101">
        <f t="shared" si="388"/>
        <v>1.739094022462484E-2</v>
      </c>
      <c r="CX171" s="94">
        <f t="shared" si="388"/>
        <v>1.592423744453475E-2</v>
      </c>
      <c r="CY171" s="94">
        <f t="shared" si="388"/>
        <v>1.2370339179066825E-2</v>
      </c>
      <c r="CZ171" s="94">
        <f t="shared" si="388"/>
        <v>1.6681810782413153E-2</v>
      </c>
      <c r="DA171" s="94">
        <f t="shared" si="388"/>
        <v>2.1251150927621199E-2</v>
      </c>
      <c r="DB171" s="147">
        <f t="shared" si="388"/>
        <v>2.3624916599819468E-2</v>
      </c>
      <c r="DC171" s="94">
        <f t="shared" si="388"/>
        <v>2.5344925920417261E-2</v>
      </c>
      <c r="DD171" s="94">
        <f t="shared" si="388"/>
        <v>2.2930279610298809E-2</v>
      </c>
      <c r="DE171" s="94">
        <f t="shared" si="388"/>
        <v>1.8442050037104973E-2</v>
      </c>
      <c r="DF171" s="94">
        <f t="shared" si="388"/>
        <v>1.481102756662378E-2</v>
      </c>
      <c r="DG171" s="1045">
        <f t="shared" si="388"/>
        <v>1.7672349618173433E-2</v>
      </c>
      <c r="DH171" s="1045">
        <f t="shared" si="388"/>
        <v>2.1983262052600816E-2</v>
      </c>
      <c r="DI171" s="1045">
        <f t="shared" si="388"/>
        <v>2.5990227557024737E-2</v>
      </c>
      <c r="DJ171" s="1045">
        <f t="shared" si="388"/>
        <v>2.7165437219154986E-2</v>
      </c>
      <c r="DK171" s="1045">
        <f t="shared" si="388"/>
        <v>2.2875972850247228E-2</v>
      </c>
      <c r="DL171" s="1045">
        <f t="shared" si="388"/>
        <v>1.9345469200269694E-2</v>
      </c>
      <c r="DM171" s="1045">
        <f t="shared" si="388"/>
        <v>1.4008323379311793E-2</v>
      </c>
      <c r="DN171" s="1045">
        <f t="shared" si="388"/>
        <v>1.2958920518950645E-2</v>
      </c>
      <c r="DO171" s="1045">
        <f t="shared" si="388"/>
        <v>-6.2593663864227378E-2</v>
      </c>
      <c r="DP171" s="1045">
        <f t="shared" si="388"/>
        <v>-6.660137120470111E-2</v>
      </c>
      <c r="DQ171" s="1045">
        <f t="shared" si="388"/>
        <v>-7.0764209126351063E-2</v>
      </c>
      <c r="DR171" s="1045">
        <f t="shared" si="388"/>
        <v>-7.6627122685189009E-2</v>
      </c>
      <c r="DS171" s="1045">
        <f t="shared" si="388"/>
        <v>-4.4961712291876621E-3</v>
      </c>
      <c r="DT171" s="1045">
        <f t="shared" si="388"/>
        <v>-4.1374991220473056E-3</v>
      </c>
      <c r="DU171" s="1045">
        <f t="shared" si="388"/>
        <v>-1.4711936081431842E-3</v>
      </c>
      <c r="DV171" s="1045">
        <f t="shared" si="388"/>
        <v>2.9420537193949325E-3</v>
      </c>
      <c r="DW171" s="1045">
        <f t="shared" ref="DW171" ca="1" si="389">+DW155/DS156-1</f>
        <v>-6.0202406707366984E-3</v>
      </c>
      <c r="DX171" s="1045">
        <f t="shared" ref="DX171" ca="1" si="390">+DX155/DT156-1</f>
        <v>-1.4168848342112517E-2</v>
      </c>
      <c r="DY171" s="101">
        <f t="shared" ref="DY171" ca="1" si="391">+DY155/DU156-1</f>
        <v>-2.0966840691385324E-2</v>
      </c>
    </row>
    <row r="172" spans="1:129" hidden="1" outlineLevel="1">
      <c r="A172" s="742"/>
      <c r="B172" s="94"/>
      <c r="C172" s="94"/>
      <c r="D172" s="94"/>
      <c r="E172" s="94"/>
      <c r="F172" s="94"/>
      <c r="G172" s="94"/>
      <c r="H172" s="94"/>
      <c r="I172" s="94"/>
      <c r="J172" s="94"/>
      <c r="K172" s="94"/>
      <c r="L172" s="94"/>
      <c r="M172" s="94"/>
      <c r="N172" s="94"/>
      <c r="O172" s="94"/>
      <c r="P172" s="94"/>
      <c r="Q172" s="1045"/>
      <c r="R172" s="94"/>
      <c r="S172" s="94"/>
      <c r="T172" s="1045"/>
      <c r="U172" s="94"/>
      <c r="V172" s="94"/>
      <c r="W172" s="94"/>
      <c r="X172" s="94"/>
      <c r="Y172" s="94"/>
      <c r="Z172" s="94"/>
      <c r="AA172" s="1045"/>
      <c r="AB172" s="1045"/>
      <c r="AC172" s="1045"/>
      <c r="AD172" s="1045"/>
      <c r="AE172" s="1045"/>
      <c r="AF172" s="1045"/>
      <c r="AG172" s="1045"/>
      <c r="AH172" s="1962"/>
      <c r="AI172" s="2159"/>
      <c r="AJ172" s="2159"/>
      <c r="AK172" s="2159"/>
      <c r="AL172" s="2159"/>
      <c r="AM172" s="2159"/>
      <c r="AN172" s="2159"/>
      <c r="AO172" s="2159"/>
      <c r="AP172" s="147"/>
      <c r="AQ172" s="94"/>
      <c r="AR172" s="94"/>
      <c r="AS172" s="94"/>
      <c r="AT172" s="147"/>
      <c r="AU172" s="94"/>
      <c r="AV172" s="94"/>
      <c r="AW172" s="94"/>
      <c r="AX172" s="147"/>
      <c r="AY172" s="94"/>
      <c r="AZ172" s="94"/>
      <c r="BA172" s="94"/>
      <c r="BB172" s="147"/>
      <c r="BC172" s="94"/>
      <c r="BD172" s="94"/>
      <c r="BE172" s="94"/>
      <c r="BF172" s="147"/>
      <c r="BG172" s="94"/>
      <c r="BH172" s="94"/>
      <c r="BI172" s="94"/>
      <c r="BJ172" s="147"/>
      <c r="BK172" s="94"/>
      <c r="BL172" s="94"/>
      <c r="BM172" s="94"/>
      <c r="BN172" s="147"/>
      <c r="BO172" s="94"/>
      <c r="BP172" s="94"/>
      <c r="BQ172" s="94"/>
      <c r="BR172" s="147"/>
      <c r="BS172" s="94"/>
      <c r="BT172" s="94"/>
      <c r="BU172" s="94"/>
      <c r="BV172" s="147"/>
      <c r="BW172" s="94"/>
      <c r="BX172" s="94"/>
      <c r="BY172" s="94"/>
      <c r="BZ172" s="147"/>
      <c r="CA172" s="94"/>
      <c r="CB172" s="94"/>
      <c r="CC172" s="94"/>
      <c r="CD172" s="147"/>
      <c r="CE172" s="94"/>
      <c r="CF172" s="94"/>
      <c r="CG172" s="94"/>
      <c r="CH172" s="147"/>
      <c r="CI172" s="94"/>
      <c r="CJ172" s="94"/>
      <c r="CK172" s="94"/>
      <c r="CL172" s="147"/>
      <c r="CM172" s="94"/>
      <c r="CN172" s="94"/>
      <c r="CO172" s="94"/>
      <c r="CP172" s="147"/>
      <c r="CQ172" s="94"/>
      <c r="CR172" s="94"/>
      <c r="CS172" s="94"/>
      <c r="CT172" s="147"/>
      <c r="CU172" s="94"/>
      <c r="CV172" s="94"/>
      <c r="CW172" s="101"/>
      <c r="CX172" s="94"/>
      <c r="CY172" s="94"/>
      <c r="CZ172" s="94"/>
      <c r="DA172" s="94"/>
      <c r="DB172" s="147"/>
      <c r="DC172" s="94"/>
      <c r="DD172" s="94"/>
      <c r="DE172" s="94"/>
      <c r="DF172" s="94"/>
      <c r="DG172" s="1045"/>
      <c r="DH172" s="1045"/>
      <c r="DI172" s="1045"/>
      <c r="DJ172" s="1045"/>
      <c r="DK172" s="1045"/>
      <c r="DL172" s="1045"/>
      <c r="DM172" s="1045"/>
      <c r="DN172" s="1045"/>
      <c r="DO172" s="1045"/>
      <c r="DP172" s="1045"/>
      <c r="DQ172" s="1045"/>
      <c r="DR172" s="1045"/>
      <c r="DS172" s="1045"/>
      <c r="DT172" s="1045"/>
      <c r="DU172" s="1045"/>
      <c r="DV172" s="1045"/>
      <c r="DW172" s="1045"/>
      <c r="DX172" s="1045"/>
      <c r="DY172" s="101"/>
    </row>
    <row r="173" spans="1:129" hidden="1" outlineLevel="1">
      <c r="A173" s="743" t="s">
        <v>488</v>
      </c>
      <c r="B173" s="94"/>
      <c r="C173" s="94"/>
      <c r="D173" s="94"/>
      <c r="E173" s="94"/>
      <c r="F173" s="94"/>
      <c r="G173" s="94"/>
      <c r="H173" s="94"/>
      <c r="I173" s="94"/>
      <c r="J173" s="94"/>
      <c r="K173" s="94"/>
      <c r="L173" s="94"/>
      <c r="M173" s="94"/>
      <c r="N173" s="94"/>
      <c r="O173" s="94"/>
      <c r="P173" s="94"/>
      <c r="Q173" s="1045"/>
      <c r="R173" s="94"/>
      <c r="S173" s="94"/>
      <c r="T173" s="1045"/>
      <c r="U173" s="94"/>
      <c r="V173" s="94"/>
      <c r="W173" s="94"/>
      <c r="X173" s="94"/>
      <c r="Y173" s="94"/>
      <c r="Z173" s="94"/>
      <c r="AA173" s="1045"/>
      <c r="AB173" s="1045"/>
      <c r="AC173" s="1045"/>
      <c r="AD173" s="1045"/>
      <c r="AE173" s="1045"/>
      <c r="AF173" s="1045"/>
      <c r="AG173" s="1045"/>
      <c r="AH173" s="1962"/>
      <c r="AI173" s="2159"/>
      <c r="AJ173" s="2159"/>
      <c r="AK173" s="2159"/>
      <c r="AL173" s="2159"/>
      <c r="AM173" s="2159"/>
      <c r="AN173" s="2159"/>
      <c r="AO173" s="2159"/>
      <c r="AP173" s="147"/>
      <c r="AQ173" s="94"/>
      <c r="AR173" s="94"/>
      <c r="AS173" s="94"/>
      <c r="AT173" s="147"/>
      <c r="AU173" s="94"/>
      <c r="AV173" s="94"/>
      <c r="AW173" s="94"/>
      <c r="AX173" s="147"/>
      <c r="AY173" s="94"/>
      <c r="AZ173" s="94"/>
      <c r="BA173" s="94"/>
      <c r="BB173" s="147"/>
      <c r="BC173" s="94"/>
      <c r="BD173" s="94"/>
      <c r="BE173" s="94"/>
      <c r="BF173" s="147"/>
      <c r="BG173" s="94"/>
      <c r="BH173" s="94"/>
      <c r="BI173" s="94"/>
      <c r="BJ173" s="147"/>
      <c r="BK173" s="94"/>
      <c r="BL173" s="94"/>
      <c r="BM173" s="94"/>
      <c r="BN173" s="147"/>
      <c r="BO173" s="94"/>
      <c r="BP173" s="94"/>
      <c r="BQ173" s="94"/>
      <c r="BR173" s="147"/>
      <c r="BS173" s="94"/>
      <c r="BT173" s="94"/>
      <c r="BU173" s="94"/>
      <c r="BV173" s="147"/>
      <c r="BW173" s="94"/>
      <c r="BX173" s="94"/>
      <c r="BY173" s="94"/>
      <c r="BZ173" s="147"/>
      <c r="CA173" s="94"/>
      <c r="CB173" s="94"/>
      <c r="CC173" s="94"/>
      <c r="CD173" s="147"/>
      <c r="CE173" s="94"/>
      <c r="CF173" s="94"/>
      <c r="CG173" s="94"/>
      <c r="CH173" s="147"/>
      <c r="CI173" s="94"/>
      <c r="CJ173" s="94"/>
      <c r="CK173" s="94"/>
      <c r="CL173" s="147"/>
      <c r="CM173" s="94"/>
      <c r="CN173" s="94"/>
      <c r="CO173" s="94"/>
      <c r="CP173" s="147"/>
      <c r="CQ173" s="94"/>
      <c r="CR173" s="94"/>
      <c r="CS173" s="94"/>
      <c r="CT173" s="147"/>
      <c r="CU173" s="94"/>
      <c r="CV173" s="94"/>
      <c r="CW173" s="101"/>
      <c r="CX173" s="94"/>
      <c r="CY173" s="94"/>
      <c r="CZ173" s="94"/>
      <c r="DA173" s="94"/>
      <c r="DB173" s="147"/>
      <c r="DC173" s="94"/>
      <c r="DD173" s="94"/>
      <c r="DE173" s="94"/>
      <c r="DF173" s="94"/>
      <c r="DG173" s="1045"/>
      <c r="DH173" s="1045"/>
      <c r="DI173" s="1045"/>
      <c r="DJ173" s="1045"/>
      <c r="DK173" s="1045"/>
      <c r="DL173" s="1045"/>
      <c r="DM173" s="1045"/>
      <c r="DN173" s="1045"/>
      <c r="DO173" s="1045"/>
      <c r="DP173" s="1045"/>
      <c r="DQ173" s="1045"/>
      <c r="DR173" s="1045"/>
      <c r="DS173" s="1045"/>
      <c r="DT173" s="1045"/>
      <c r="DU173" s="1045"/>
      <c r="DV173" s="1045"/>
      <c r="DW173" s="1045"/>
      <c r="DX173" s="1045"/>
      <c r="DY173" s="101"/>
    </row>
    <row r="174" spans="1:129" hidden="1" outlineLevel="1">
      <c r="A174" s="742" t="s">
        <v>479</v>
      </c>
      <c r="B174" s="94"/>
      <c r="C174" s="94"/>
      <c r="D174" s="94"/>
      <c r="E174" s="94"/>
      <c r="F174" s="94"/>
      <c r="G174" s="94"/>
      <c r="H174" s="94"/>
      <c r="I174" s="94"/>
      <c r="J174" s="94"/>
      <c r="K174" s="94"/>
      <c r="L174" s="94"/>
      <c r="M174" s="94"/>
      <c r="N174" s="94"/>
      <c r="O174" s="94"/>
      <c r="P174" s="94"/>
      <c r="Q174" s="1045"/>
      <c r="R174" s="94"/>
      <c r="S174" s="94"/>
      <c r="T174" s="1045"/>
      <c r="U174" s="94"/>
      <c r="V174" s="94"/>
      <c r="W174" s="94"/>
      <c r="X174" s="94"/>
      <c r="Y174" s="94"/>
      <c r="Z174" s="94"/>
      <c r="AA174" s="1045"/>
      <c r="AB174" s="1045"/>
      <c r="AC174" s="1045"/>
      <c r="AD174" s="1045"/>
      <c r="AE174" s="1045"/>
      <c r="AF174" s="1045"/>
      <c r="AG174" s="1045"/>
      <c r="AH174" s="1962"/>
      <c r="AI174" s="2159"/>
      <c r="AJ174" s="2159"/>
      <c r="AK174" s="2159"/>
      <c r="AL174" s="2159"/>
      <c r="AM174" s="2159"/>
      <c r="AN174" s="2159"/>
      <c r="AO174" s="2159"/>
      <c r="AP174" s="147"/>
      <c r="AQ174" s="94"/>
      <c r="AR174" s="94"/>
      <c r="AS174" s="94"/>
      <c r="AT174" s="147"/>
      <c r="AU174" s="94"/>
      <c r="AV174" s="94"/>
      <c r="AW174" s="94"/>
      <c r="AX174" s="147"/>
      <c r="AY174" s="94"/>
      <c r="AZ174" s="94"/>
      <c r="BA174" s="94"/>
      <c r="BB174" s="147"/>
      <c r="BC174" s="94"/>
      <c r="BD174" s="94"/>
      <c r="BE174" s="94"/>
      <c r="BF174" s="147"/>
      <c r="BG174" s="94"/>
      <c r="BH174" s="94"/>
      <c r="BI174" s="94"/>
      <c r="BJ174" s="147"/>
      <c r="BK174" s="94"/>
      <c r="BL174" s="94"/>
      <c r="BM174" s="94"/>
      <c r="BN174" s="147"/>
      <c r="BO174" s="94"/>
      <c r="BP174" s="94"/>
      <c r="BQ174" s="94"/>
      <c r="BR174" s="147"/>
      <c r="BS174" s="94"/>
      <c r="BT174" s="94"/>
      <c r="BU174" s="94"/>
      <c r="BV174" s="147"/>
      <c r="BW174" s="94"/>
      <c r="BX174" s="94"/>
      <c r="BY174" s="94"/>
      <c r="BZ174" s="147"/>
      <c r="CA174" s="94"/>
      <c r="CB174" s="94"/>
      <c r="CC174" s="94"/>
      <c r="CD174" s="147"/>
      <c r="CE174" s="94"/>
      <c r="CF174" s="94"/>
      <c r="CG174" s="94"/>
      <c r="CH174" s="147"/>
      <c r="CI174" s="94"/>
      <c r="CJ174" s="94"/>
      <c r="CK174" s="94"/>
      <c r="CL174" s="147"/>
      <c r="CM174" s="94"/>
      <c r="CN174" s="94"/>
      <c r="CO174" s="94"/>
      <c r="CP174" s="962">
        <f t="shared" ref="CP174:CY177" si="392">CP$171-(((CP$155-CP150+CL150)/(CL$156))-1)</f>
        <v>-3.400079648008747E-2</v>
      </c>
      <c r="CQ174" s="961">
        <f t="shared" si="392"/>
        <v>-3.1885380511065264E-2</v>
      </c>
      <c r="CR174" s="961">
        <f t="shared" si="392"/>
        <v>-2.9492528219695946E-2</v>
      </c>
      <c r="CS174" s="961">
        <f t="shared" si="392"/>
        <v>-2.7806634912176165E-2</v>
      </c>
      <c r="CT174" s="962">
        <f t="shared" si="392"/>
        <v>-2.7166221292560522E-2</v>
      </c>
      <c r="CU174" s="961">
        <f t="shared" si="392"/>
        <v>-2.5681270365241593E-2</v>
      </c>
      <c r="CV174" s="961">
        <f t="shared" si="392"/>
        <v>-2.4276398485392647E-2</v>
      </c>
      <c r="CW174" s="1248">
        <f t="shared" si="392"/>
        <v>-2.2300985538457052E-2</v>
      </c>
      <c r="CX174" s="961">
        <f t="shared" si="392"/>
        <v>-2.0924532702336407E-2</v>
      </c>
      <c r="CY174" s="961">
        <f t="shared" si="392"/>
        <v>-2.0389886900772813E-2</v>
      </c>
      <c r="CZ174" s="961">
        <f t="shared" ref="CZ174:DV177" si="393">CZ$171-(((CZ$155-CZ150+CV150)/(CV$156))-1)</f>
        <v>-1.9794888490965334E-2</v>
      </c>
      <c r="DA174" s="961">
        <f t="shared" si="393"/>
        <v>-1.9214464705474388E-2</v>
      </c>
      <c r="DB174" s="962">
        <f t="shared" si="393"/>
        <v>-1.7709885319983742E-2</v>
      </c>
      <c r="DC174" s="961">
        <f t="shared" si="393"/>
        <v>-1.6981328736273005E-2</v>
      </c>
      <c r="DD174" s="961">
        <f t="shared" si="393"/>
        <v>-1.6181286284206342E-2</v>
      </c>
      <c r="DE174" s="961">
        <f t="shared" si="393"/>
        <v>-1.6314696458054057E-2</v>
      </c>
      <c r="DF174" s="961">
        <f t="shared" si="393"/>
        <v>-1.6713992408775136E-2</v>
      </c>
      <c r="DG174" s="1548">
        <f t="shared" si="393"/>
        <v>-1.6394555455981674E-2</v>
      </c>
      <c r="DH174" s="1548">
        <f t="shared" si="393"/>
        <v>-1.5550093067534299E-2</v>
      </c>
      <c r="DI174" s="1548">
        <f t="shared" si="393"/>
        <v>-1.4563830219608942E-2</v>
      </c>
      <c r="DJ174" s="1548">
        <f t="shared" si="393"/>
        <v>-1.4201346418591054E-2</v>
      </c>
      <c r="DK174" s="1548">
        <f t="shared" si="393"/>
        <v>-1.4722855156618087E-2</v>
      </c>
      <c r="DL174" s="1548">
        <f t="shared" si="393"/>
        <v>-1.5018149249677037E-2</v>
      </c>
      <c r="DM174" s="1548">
        <f t="shared" si="393"/>
        <v>-1.5507897407769144E-2</v>
      </c>
      <c r="DN174" s="1548">
        <f t="shared" si="393"/>
        <v>-1.5817780923734093E-2</v>
      </c>
      <c r="DO174" s="1548">
        <f t="shared" si="393"/>
        <v>-5.0517438832798134E-2</v>
      </c>
      <c r="DP174" s="1548">
        <f t="shared" si="393"/>
        <v>-4.9665337996878667E-2</v>
      </c>
      <c r="DQ174" s="1548">
        <f t="shared" si="393"/>
        <v>-4.8330805238155361E-2</v>
      </c>
      <c r="DR174" s="1548">
        <f t="shared" si="393"/>
        <v>-4.782643879861459E-2</v>
      </c>
      <c r="DS174" s="1548">
        <f t="shared" si="393"/>
        <v>-1.3160667868768017E-2</v>
      </c>
      <c r="DT174" s="1548">
        <f t="shared" si="393"/>
        <v>-1.2806405543979826E-2</v>
      </c>
      <c r="DU174" s="1548">
        <f t="shared" si="393"/>
        <v>-1.307467769399151E-2</v>
      </c>
      <c r="DV174" s="1548">
        <f t="shared" si="393"/>
        <v>-1.2695364779951923E-2</v>
      </c>
      <c r="DW174" s="1548">
        <f t="shared" ref="DW174:DW177" ca="1" si="394">DW$171-(((DW$155-DW150+DS150)/(DS$156))-1)</f>
        <v>-2.0917182231794951E-2</v>
      </c>
      <c r="DX174" s="1548">
        <f t="shared" ref="DX174:DX177" ca="1" si="395">DX$171-(((DX$155-DX150+DT150)/(DT$156))-1)</f>
        <v>-2.843947597277996E-2</v>
      </c>
      <c r="DY174" s="1248">
        <f t="shared" ref="DY174:DY177" ca="1" si="396">DY$171-(((DY$155-DY150+DU150)/(DU$156))-1)</f>
        <v>-3.4592731615639472E-2</v>
      </c>
    </row>
    <row r="175" spans="1:129" hidden="1" outlineLevel="1">
      <c r="A175" s="742" t="s">
        <v>475</v>
      </c>
      <c r="B175" s="94"/>
      <c r="C175" s="94"/>
      <c r="D175" s="94"/>
      <c r="E175" s="94"/>
      <c r="F175" s="94"/>
      <c r="G175" s="94"/>
      <c r="H175" s="94"/>
      <c r="I175" s="94"/>
      <c r="J175" s="94"/>
      <c r="K175" s="94"/>
      <c r="L175" s="94"/>
      <c r="M175" s="94"/>
      <c r="N175" s="94"/>
      <c r="O175" s="94"/>
      <c r="P175" s="94"/>
      <c r="Q175" s="1045"/>
      <c r="R175" s="94"/>
      <c r="S175" s="94"/>
      <c r="T175" s="1045"/>
      <c r="U175" s="94"/>
      <c r="V175" s="94"/>
      <c r="W175" s="94"/>
      <c r="X175" s="94"/>
      <c r="Y175" s="94"/>
      <c r="Z175" s="94"/>
      <c r="AA175" s="1045"/>
      <c r="AB175" s="1045"/>
      <c r="AC175" s="1045"/>
      <c r="AD175" s="1045"/>
      <c r="AE175" s="1045"/>
      <c r="AF175" s="1045"/>
      <c r="AG175" s="1045"/>
      <c r="AH175" s="1962"/>
      <c r="AI175" s="2159"/>
      <c r="AJ175" s="2159"/>
      <c r="AK175" s="2159"/>
      <c r="AL175" s="2159"/>
      <c r="AM175" s="2159"/>
      <c r="AN175" s="2159"/>
      <c r="AO175" s="2159"/>
      <c r="AP175" s="147"/>
      <c r="AQ175" s="94"/>
      <c r="AR175" s="94"/>
      <c r="AS175" s="94"/>
      <c r="AT175" s="147"/>
      <c r="AU175" s="94"/>
      <c r="AV175" s="94"/>
      <c r="AW175" s="94"/>
      <c r="AX175" s="147"/>
      <c r="AY175" s="94"/>
      <c r="AZ175" s="94"/>
      <c r="BA175" s="94"/>
      <c r="BB175" s="147"/>
      <c r="BC175" s="94"/>
      <c r="BD175" s="94"/>
      <c r="BE175" s="94"/>
      <c r="BF175" s="147"/>
      <c r="BG175" s="94"/>
      <c r="BH175" s="94"/>
      <c r="BI175" s="94"/>
      <c r="BJ175" s="147"/>
      <c r="BK175" s="94"/>
      <c r="BL175" s="94"/>
      <c r="BM175" s="94"/>
      <c r="BN175" s="147"/>
      <c r="BO175" s="94"/>
      <c r="BP175" s="94"/>
      <c r="BQ175" s="94"/>
      <c r="BR175" s="147"/>
      <c r="BS175" s="94"/>
      <c r="BT175" s="94"/>
      <c r="BU175" s="94"/>
      <c r="BV175" s="147"/>
      <c r="BW175" s="94"/>
      <c r="BX175" s="94"/>
      <c r="BY175" s="94"/>
      <c r="BZ175" s="147"/>
      <c r="CA175" s="94"/>
      <c r="CB175" s="94"/>
      <c r="CC175" s="94"/>
      <c r="CD175" s="147"/>
      <c r="CE175" s="94"/>
      <c r="CF175" s="94"/>
      <c r="CG175" s="94"/>
      <c r="CH175" s="147"/>
      <c r="CI175" s="94"/>
      <c r="CJ175" s="94"/>
      <c r="CK175" s="94"/>
      <c r="CL175" s="147"/>
      <c r="CM175" s="94"/>
      <c r="CN175" s="94"/>
      <c r="CO175" s="94"/>
      <c r="CP175" s="962">
        <f t="shared" si="392"/>
        <v>-5.6307051495685378E-3</v>
      </c>
      <c r="CQ175" s="961">
        <f t="shared" si="392"/>
        <v>-6.019729603818913E-3</v>
      </c>
      <c r="CR175" s="961">
        <f t="shared" si="392"/>
        <v>-6.3446715852865099E-3</v>
      </c>
      <c r="CS175" s="961">
        <f t="shared" si="392"/>
        <v>-6.7540663610969887E-3</v>
      </c>
      <c r="CT175" s="962">
        <f t="shared" si="392"/>
        <v>-6.884508177452453E-3</v>
      </c>
      <c r="CU175" s="961">
        <f t="shared" si="392"/>
        <v>-6.5492637176189916E-3</v>
      </c>
      <c r="CV175" s="961">
        <f t="shared" si="392"/>
        <v>-5.97019577566682E-3</v>
      </c>
      <c r="CW175" s="1248">
        <f t="shared" si="392"/>
        <v>-5.4675699522934718E-3</v>
      </c>
      <c r="CX175" s="961">
        <f t="shared" si="392"/>
        <v>-5.2132387633527788E-3</v>
      </c>
      <c r="CY175" s="961">
        <f t="shared" si="392"/>
        <v>-5.2427748750096814E-3</v>
      </c>
      <c r="CZ175" s="961">
        <f t="shared" si="393"/>
        <v>-5.5406745297679194E-3</v>
      </c>
      <c r="DA175" s="961">
        <f t="shared" si="393"/>
        <v>-5.6679143133651078E-3</v>
      </c>
      <c r="DB175" s="962">
        <f t="shared" si="393"/>
        <v>-5.6568354700015089E-3</v>
      </c>
      <c r="DC175" s="961">
        <f t="shared" si="393"/>
        <v>-5.457447718002495E-3</v>
      </c>
      <c r="DD175" s="961">
        <f t="shared" si="393"/>
        <v>-5.1104925746521257E-3</v>
      </c>
      <c r="DE175" s="961">
        <f t="shared" si="393"/>
        <v>-4.9243230493987156E-3</v>
      </c>
      <c r="DF175" s="961">
        <f t="shared" si="393"/>
        <v>-4.8261939671427889E-3</v>
      </c>
      <c r="DG175" s="1548">
        <f t="shared" si="393"/>
        <v>-4.5407328263609159E-3</v>
      </c>
      <c r="DH175" s="1548">
        <f t="shared" si="393"/>
        <v>-4.2512681339605951E-3</v>
      </c>
      <c r="DI175" s="1548">
        <f t="shared" si="393"/>
        <v>-3.9965859672415061E-3</v>
      </c>
      <c r="DJ175" s="1548">
        <f t="shared" si="393"/>
        <v>-4.1091336219134522E-3</v>
      </c>
      <c r="DK175" s="1548">
        <f t="shared" si="393"/>
        <v>-4.1295813244170976E-3</v>
      </c>
      <c r="DL175" s="1548">
        <f t="shared" si="393"/>
        <v>-4.3083941880095455E-3</v>
      </c>
      <c r="DM175" s="1548">
        <f t="shared" si="393"/>
        <v>-4.3505820142533125E-3</v>
      </c>
      <c r="DN175" s="1548">
        <f t="shared" si="393"/>
        <v>-4.520937385017243E-3</v>
      </c>
      <c r="DO175" s="1548">
        <f t="shared" si="393"/>
        <v>-9.6688819490973188E-3</v>
      </c>
      <c r="DP175" s="1548">
        <f t="shared" si="393"/>
        <v>-9.1224278986787866E-3</v>
      </c>
      <c r="DQ175" s="1548">
        <f t="shared" si="393"/>
        <v>-8.790382517461226E-3</v>
      </c>
      <c r="DR175" s="1548">
        <f t="shared" si="393"/>
        <v>-8.2878884404595787E-3</v>
      </c>
      <c r="DS175" s="1548">
        <f t="shared" si="393"/>
        <v>-3.1379528370372167E-3</v>
      </c>
      <c r="DT175" s="1548">
        <f t="shared" si="393"/>
        <v>-3.2542785568797639E-3</v>
      </c>
      <c r="DU175" s="1548">
        <f t="shared" si="393"/>
        <v>-3.2277379638120385E-3</v>
      </c>
      <c r="DV175" s="1548">
        <f t="shared" si="393"/>
        <v>-3.2120802455299913E-3</v>
      </c>
      <c r="DW175" s="1548">
        <f t="shared" ca="1" si="394"/>
        <v>-3.0704292954248924E-3</v>
      </c>
      <c r="DX175" s="1548">
        <f t="shared" ca="1" si="395"/>
        <v>-2.8805466689709736E-3</v>
      </c>
      <c r="DY175" s="1248">
        <f t="shared" ca="1" si="396"/>
        <v>-2.7996209383531756E-3</v>
      </c>
    </row>
    <row r="176" spans="1:129" hidden="1" outlineLevel="1">
      <c r="A176" s="742" t="s">
        <v>480</v>
      </c>
      <c r="B176" s="94"/>
      <c r="C176" s="94"/>
      <c r="D176" s="94"/>
      <c r="E176" s="94"/>
      <c r="F176" s="94"/>
      <c r="G176" s="94"/>
      <c r="H176" s="94"/>
      <c r="I176" s="94"/>
      <c r="J176" s="94"/>
      <c r="K176" s="94"/>
      <c r="L176" s="94"/>
      <c r="M176" s="94"/>
      <c r="N176" s="94"/>
      <c r="O176" s="94"/>
      <c r="P176" s="94"/>
      <c r="Q176" s="1045"/>
      <c r="R176" s="94"/>
      <c r="S176" s="94"/>
      <c r="T176" s="1045"/>
      <c r="U176" s="94"/>
      <c r="V176" s="94"/>
      <c r="W176" s="94"/>
      <c r="X176" s="94"/>
      <c r="Y176" s="94"/>
      <c r="Z176" s="94"/>
      <c r="AA176" s="1045"/>
      <c r="AB176" s="1045"/>
      <c r="AC176" s="1045"/>
      <c r="AD176" s="1045"/>
      <c r="AE176" s="1045"/>
      <c r="AF176" s="1045"/>
      <c r="AG176" s="1045"/>
      <c r="AH176" s="1962"/>
      <c r="AI176" s="2159"/>
      <c r="AJ176" s="2159"/>
      <c r="AK176" s="2159"/>
      <c r="AL176" s="2159"/>
      <c r="AM176" s="2159"/>
      <c r="AN176" s="2159"/>
      <c r="AO176" s="2159"/>
      <c r="AP176" s="147"/>
      <c r="AQ176" s="94"/>
      <c r="AR176" s="94"/>
      <c r="AS176" s="94"/>
      <c r="AT176" s="147"/>
      <c r="AU176" s="94"/>
      <c r="AV176" s="94"/>
      <c r="AW176" s="94"/>
      <c r="AX176" s="147"/>
      <c r="AY176" s="94"/>
      <c r="AZ176" s="94"/>
      <c r="BA176" s="94"/>
      <c r="BB176" s="147"/>
      <c r="BC176" s="94"/>
      <c r="BD176" s="94"/>
      <c r="BE176" s="94"/>
      <c r="BF176" s="147"/>
      <c r="BG176" s="94"/>
      <c r="BH176" s="94"/>
      <c r="BI176" s="94"/>
      <c r="BJ176" s="147"/>
      <c r="BK176" s="94"/>
      <c r="BL176" s="94"/>
      <c r="BM176" s="94"/>
      <c r="BN176" s="147"/>
      <c r="BO176" s="94"/>
      <c r="BP176" s="94"/>
      <c r="BQ176" s="94"/>
      <c r="BR176" s="147"/>
      <c r="BS176" s="94"/>
      <c r="BT176" s="94"/>
      <c r="BU176" s="94"/>
      <c r="BV176" s="147"/>
      <c r="BW176" s="94"/>
      <c r="BX176" s="94"/>
      <c r="BY176" s="94"/>
      <c r="BZ176" s="147"/>
      <c r="CA176" s="94"/>
      <c r="CB176" s="94"/>
      <c r="CC176" s="94"/>
      <c r="CD176" s="147"/>
      <c r="CE176" s="94"/>
      <c r="CF176" s="94"/>
      <c r="CG176" s="94"/>
      <c r="CH176" s="147"/>
      <c r="CI176" s="94"/>
      <c r="CJ176" s="94"/>
      <c r="CK176" s="94"/>
      <c r="CL176" s="147"/>
      <c r="CM176" s="94"/>
      <c r="CN176" s="94"/>
      <c r="CO176" s="94"/>
      <c r="CP176" s="962">
        <f t="shared" si="392"/>
        <v>9.7815454841863048E-3</v>
      </c>
      <c r="CQ176" s="961">
        <f t="shared" si="392"/>
        <v>8.5979006492794552E-3</v>
      </c>
      <c r="CR176" s="961">
        <f t="shared" si="392"/>
        <v>8.9832873674472458E-3</v>
      </c>
      <c r="CS176" s="961">
        <f t="shared" si="392"/>
        <v>9.5323347933213842E-3</v>
      </c>
      <c r="CT176" s="962">
        <f t="shared" si="392"/>
        <v>9.8709934321312698E-3</v>
      </c>
      <c r="CU176" s="961">
        <f t="shared" si="392"/>
        <v>9.8238955764280433E-3</v>
      </c>
      <c r="CV176" s="961">
        <f t="shared" si="392"/>
        <v>8.763480144603264E-3</v>
      </c>
      <c r="CW176" s="1248">
        <f t="shared" si="392"/>
        <v>8.7935753062049482E-3</v>
      </c>
      <c r="CX176" s="961">
        <f t="shared" si="392"/>
        <v>8.6012474791248295E-3</v>
      </c>
      <c r="CY176" s="961">
        <f t="shared" si="392"/>
        <v>7.8997467573675983E-3</v>
      </c>
      <c r="CZ176" s="961">
        <f t="shared" si="393"/>
        <v>7.8611279653115762E-3</v>
      </c>
      <c r="DA176" s="961">
        <f t="shared" si="393"/>
        <v>7.1378091041753855E-3</v>
      </c>
      <c r="DB176" s="962">
        <f t="shared" si="393"/>
        <v>7.0651762509146288E-3</v>
      </c>
      <c r="DC176" s="961">
        <f t="shared" si="393"/>
        <v>7.3663832931829543E-3</v>
      </c>
      <c r="DD176" s="961">
        <f t="shared" si="393"/>
        <v>7.7530479606340297E-3</v>
      </c>
      <c r="DE176" s="961">
        <f t="shared" si="393"/>
        <v>7.4555171402108655E-3</v>
      </c>
      <c r="DF176" s="961">
        <f t="shared" si="393"/>
        <v>6.3967131440991754E-3</v>
      </c>
      <c r="DG176" s="1548">
        <f t="shared" si="393"/>
        <v>6.1151577762046383E-3</v>
      </c>
      <c r="DH176" s="1548">
        <f t="shared" si="393"/>
        <v>5.9676892254791891E-3</v>
      </c>
      <c r="DI176" s="1548">
        <f t="shared" si="393"/>
        <v>6.1416462321453036E-3</v>
      </c>
      <c r="DJ176" s="1548">
        <f t="shared" si="393"/>
        <v>6.5362317777137857E-3</v>
      </c>
      <c r="DK176" s="1548">
        <f t="shared" si="393"/>
        <v>5.745504451363237E-3</v>
      </c>
      <c r="DL176" s="1548">
        <f t="shared" si="393"/>
        <v>5.1656199050038598E-3</v>
      </c>
      <c r="DM176" s="1548">
        <f t="shared" si="393"/>
        <v>4.6039070429315654E-3</v>
      </c>
      <c r="DN176" s="1548">
        <f t="shared" si="393"/>
        <v>4.2129416507581396E-3</v>
      </c>
      <c r="DO176" s="1548">
        <f t="shared" si="393"/>
        <v>-1.4552709948357556E-2</v>
      </c>
      <c r="DP176" s="1548">
        <f t="shared" si="393"/>
        <v>-1.47488355248101E-2</v>
      </c>
      <c r="DQ176" s="1548">
        <f t="shared" si="393"/>
        <v>-1.5005584989634113E-2</v>
      </c>
      <c r="DR176" s="1548">
        <f t="shared" si="393"/>
        <v>-1.5685073273949524E-2</v>
      </c>
      <c r="DS176" s="1548">
        <f t="shared" si="393"/>
        <v>2.8335245767274753E-3</v>
      </c>
      <c r="DT176" s="1548">
        <f t="shared" si="393"/>
        <v>2.551916278416444E-3</v>
      </c>
      <c r="DU176" s="1548">
        <f t="shared" si="393"/>
        <v>2.3038564451844934E-3</v>
      </c>
      <c r="DV176" s="1548">
        <f t="shared" si="393"/>
        <v>2.6826164687940857E-3</v>
      </c>
      <c r="DW176" s="1548">
        <f t="shared" ca="1" si="394"/>
        <v>2.8351473570779051E-3</v>
      </c>
      <c r="DX176" s="1548">
        <f t="shared" ca="1" si="395"/>
        <v>2.8805466689711956E-3</v>
      </c>
      <c r="DY176" s="1248">
        <f t="shared" ca="1" si="396"/>
        <v>3.0338988411443557E-3</v>
      </c>
    </row>
    <row r="177" spans="1:129" hidden="1" outlineLevel="1">
      <c r="A177" s="742" t="s">
        <v>481</v>
      </c>
      <c r="B177" s="94"/>
      <c r="C177" s="94"/>
      <c r="D177" s="94"/>
      <c r="E177" s="94"/>
      <c r="F177" s="94"/>
      <c r="G177" s="94"/>
      <c r="H177" s="94"/>
      <c r="I177" s="94"/>
      <c r="J177" s="94"/>
      <c r="K177" s="94"/>
      <c r="L177" s="94"/>
      <c r="M177" s="94"/>
      <c r="N177" s="94"/>
      <c r="O177" s="94"/>
      <c r="P177" s="94"/>
      <c r="Q177" s="1045"/>
      <c r="R177" s="94"/>
      <c r="S177" s="94"/>
      <c r="T177" s="1045"/>
      <c r="U177" s="94"/>
      <c r="V177" s="94"/>
      <c r="W177" s="94"/>
      <c r="X177" s="94"/>
      <c r="Y177" s="94"/>
      <c r="Z177" s="94"/>
      <c r="AA177" s="1045"/>
      <c r="AB177" s="1045"/>
      <c r="AC177" s="1045"/>
      <c r="AD177" s="1045"/>
      <c r="AE177" s="1045"/>
      <c r="AF177" s="1045"/>
      <c r="AG177" s="1045"/>
      <c r="AH177" s="1962"/>
      <c r="AI177" s="2159"/>
      <c r="AJ177" s="2159"/>
      <c r="AK177" s="2159"/>
      <c r="AL177" s="2159"/>
      <c r="AM177" s="2159"/>
      <c r="AN177" s="2159"/>
      <c r="AO177" s="2159"/>
      <c r="AP177" s="147"/>
      <c r="AQ177" s="94"/>
      <c r="AR177" s="94"/>
      <c r="AS177" s="94"/>
      <c r="AT177" s="147"/>
      <c r="AU177" s="94"/>
      <c r="AV177" s="94"/>
      <c r="AW177" s="94"/>
      <c r="AX177" s="147"/>
      <c r="AY177" s="94"/>
      <c r="AZ177" s="94"/>
      <c r="BA177" s="94"/>
      <c r="BB177" s="147"/>
      <c r="BC177" s="94"/>
      <c r="BD177" s="94"/>
      <c r="BE177" s="94"/>
      <c r="BF177" s="147"/>
      <c r="BG177" s="94"/>
      <c r="BH177" s="94"/>
      <c r="BI177" s="94"/>
      <c r="BJ177" s="147"/>
      <c r="BK177" s="94"/>
      <c r="BL177" s="94"/>
      <c r="BM177" s="94"/>
      <c r="BN177" s="147"/>
      <c r="BO177" s="94"/>
      <c r="BP177" s="94"/>
      <c r="BQ177" s="94"/>
      <c r="BR177" s="147"/>
      <c r="BS177" s="94"/>
      <c r="BT177" s="94"/>
      <c r="BU177" s="94"/>
      <c r="BV177" s="147"/>
      <c r="BW177" s="94"/>
      <c r="BX177" s="94"/>
      <c r="BY177" s="94"/>
      <c r="BZ177" s="147"/>
      <c r="CA177" s="94"/>
      <c r="CB177" s="94"/>
      <c r="CC177" s="94"/>
      <c r="CD177" s="147"/>
      <c r="CE177" s="94"/>
      <c r="CF177" s="94"/>
      <c r="CG177" s="94"/>
      <c r="CH177" s="147"/>
      <c r="CI177" s="94"/>
      <c r="CJ177" s="94"/>
      <c r="CK177" s="94"/>
      <c r="CL177" s="147"/>
      <c r="CM177" s="94"/>
      <c r="CN177" s="94"/>
      <c r="CO177" s="94"/>
      <c r="CP177" s="962">
        <f t="shared" si="392"/>
        <v>9.4326342676533947E-3</v>
      </c>
      <c r="CQ177" s="961">
        <f t="shared" si="392"/>
        <v>8.055885155071052E-3</v>
      </c>
      <c r="CR177" s="961">
        <f t="shared" si="392"/>
        <v>8.2636648814033986E-3</v>
      </c>
      <c r="CS177" s="961">
        <f t="shared" si="392"/>
        <v>8.6461629658015626E-3</v>
      </c>
      <c r="CT177" s="962">
        <f t="shared" si="392"/>
        <v>8.9954375140928189E-3</v>
      </c>
      <c r="CU177" s="961">
        <f t="shared" si="392"/>
        <v>9.1401812322811082E-3</v>
      </c>
      <c r="CV177" s="961">
        <f t="shared" si="392"/>
        <v>8.2599696574989778E-3</v>
      </c>
      <c r="CW177" s="1248">
        <f t="shared" si="392"/>
        <v>8.386797672992552E-3</v>
      </c>
      <c r="CX177" s="961">
        <f t="shared" si="392"/>
        <v>8.2195000181926048E-3</v>
      </c>
      <c r="CY177" s="961">
        <f t="shared" si="392"/>
        <v>7.4134260110430006E-3</v>
      </c>
      <c r="CZ177" s="961">
        <f t="shared" si="393"/>
        <v>7.2573365101444853E-3</v>
      </c>
      <c r="DA177" s="961">
        <f t="shared" si="393"/>
        <v>6.5028145545453775E-3</v>
      </c>
      <c r="DB177" s="962">
        <f t="shared" si="393"/>
        <v>6.3610058604581798E-3</v>
      </c>
      <c r="DC177" s="961">
        <f t="shared" si="393"/>
        <v>6.5817287929552659E-3</v>
      </c>
      <c r="DD177" s="961">
        <f t="shared" si="393"/>
        <v>6.7286212030728265E-3</v>
      </c>
      <c r="DE177" s="961">
        <f t="shared" si="393"/>
        <v>6.1669092394336378E-3</v>
      </c>
      <c r="DF177" s="961">
        <f t="shared" si="393"/>
        <v>4.8605848980252109E-3</v>
      </c>
      <c r="DG177" s="1548">
        <f t="shared" si="393"/>
        <v>4.3810085560869183E-3</v>
      </c>
      <c r="DH177" s="1548">
        <f t="shared" si="393"/>
        <v>4.1262308359026889E-3</v>
      </c>
      <c r="DI177" s="1548">
        <f t="shared" si="393"/>
        <v>4.3691490658828158E-3</v>
      </c>
      <c r="DJ177" s="1548">
        <f t="shared" si="393"/>
        <v>4.7413080252847184E-3</v>
      </c>
      <c r="DK177" s="1548">
        <f t="shared" si="393"/>
        <v>3.8827041800229001E-3</v>
      </c>
      <c r="DL177" s="1548">
        <f t="shared" si="393"/>
        <v>3.0503876163168187E-3</v>
      </c>
      <c r="DM177" s="1548">
        <f t="shared" si="393"/>
        <v>1.9605154393342872E-3</v>
      </c>
      <c r="DN177" s="1548">
        <f t="shared" si="393"/>
        <v>1.3639811088614895E-3</v>
      </c>
      <c r="DO177" s="1548">
        <f t="shared" si="393"/>
        <v>-1.2379680861046349E-2</v>
      </c>
      <c r="DP177" s="1548">
        <f t="shared" si="393"/>
        <v>-1.2389021840840453E-2</v>
      </c>
      <c r="DQ177" s="1548">
        <f t="shared" si="393"/>
        <v>-1.2310881819880715E-2</v>
      </c>
      <c r="DR177" s="1548">
        <f t="shared" si="393"/>
        <v>-1.2839166627291121E-2</v>
      </c>
      <c r="DS177" s="1548">
        <f t="shared" si="393"/>
        <v>3.3955459803758359E-4</v>
      </c>
      <c r="DT177" s="1548">
        <f t="shared" si="393"/>
        <v>-2.9265094935981839E-4</v>
      </c>
      <c r="DU177" s="1548">
        <f t="shared" si="393"/>
        <v>-8.7710270755758657E-4</v>
      </c>
      <c r="DV177" s="1548">
        <f t="shared" si="393"/>
        <v>-9.8833238324003148E-4</v>
      </c>
      <c r="DW177" s="1548">
        <f t="shared" ca="1" si="394"/>
        <v>-1.0764148679361929E-3</v>
      </c>
      <c r="DX177" s="1548">
        <f t="shared" ca="1" si="395"/>
        <v>-1.1639760009310995E-3</v>
      </c>
      <c r="DY177" s="1248">
        <f t="shared" ca="1" si="396"/>
        <v>-1.2475298323624262E-3</v>
      </c>
    </row>
    <row r="178" spans="1:129" hidden="1" outlineLevel="1">
      <c r="A178" s="742" t="s">
        <v>487</v>
      </c>
      <c r="B178" s="94"/>
      <c r="C178" s="94"/>
      <c r="D178" s="94"/>
      <c r="E178" s="94"/>
      <c r="F178" s="94"/>
      <c r="G178" s="94"/>
      <c r="H178" s="94"/>
      <c r="I178" s="94"/>
      <c r="J178" s="94"/>
      <c r="K178" s="94"/>
      <c r="L178" s="94"/>
      <c r="M178" s="94"/>
      <c r="N178" s="94"/>
      <c r="O178" s="94"/>
      <c r="P178" s="94"/>
      <c r="Q178" s="1045"/>
      <c r="R178" s="94"/>
      <c r="S178" s="94"/>
      <c r="T178" s="1045"/>
      <c r="U178" s="94"/>
      <c r="V178" s="94"/>
      <c r="W178" s="94"/>
      <c r="X178" s="94"/>
      <c r="Y178" s="94"/>
      <c r="Z178" s="94"/>
      <c r="AA178" s="1045"/>
      <c r="AB178" s="1045"/>
      <c r="AC178" s="1045"/>
      <c r="AD178" s="1045"/>
      <c r="AE178" s="1045"/>
      <c r="AF178" s="1045"/>
      <c r="AG178" s="1045"/>
      <c r="AH178" s="1962"/>
      <c r="AI178" s="2159"/>
      <c r="AJ178" s="2159"/>
      <c r="AK178" s="2159"/>
      <c r="AL178" s="2159"/>
      <c r="AM178" s="2159"/>
      <c r="AN178" s="2159"/>
      <c r="AO178" s="2159"/>
      <c r="AP178" s="147"/>
      <c r="AQ178" s="94"/>
      <c r="AR178" s="94"/>
      <c r="AS178" s="94"/>
      <c r="AT178" s="147"/>
      <c r="AU178" s="94"/>
      <c r="AV178" s="94"/>
      <c r="AW178" s="94"/>
      <c r="AX178" s="147"/>
      <c r="AY178" s="94"/>
      <c r="AZ178" s="94"/>
      <c r="BA178" s="94"/>
      <c r="BB178" s="147"/>
      <c r="BC178" s="94"/>
      <c r="BD178" s="94"/>
      <c r="BE178" s="94"/>
      <c r="BF178" s="147"/>
      <c r="BG178" s="94"/>
      <c r="BH178" s="94"/>
      <c r="BI178" s="94"/>
      <c r="BJ178" s="147"/>
      <c r="BK178" s="94"/>
      <c r="BL178" s="94"/>
      <c r="BM178" s="94"/>
      <c r="BN178" s="147"/>
      <c r="BO178" s="94"/>
      <c r="BP178" s="94"/>
      <c r="BQ178" s="94"/>
      <c r="BR178" s="147"/>
      <c r="BS178" s="94"/>
      <c r="BT178" s="94"/>
      <c r="BU178" s="94"/>
      <c r="BV178" s="147"/>
      <c r="BW178" s="94"/>
      <c r="BX178" s="94"/>
      <c r="BY178" s="94"/>
      <c r="BZ178" s="147"/>
      <c r="CA178" s="94"/>
      <c r="CB178" s="94"/>
      <c r="CC178" s="94"/>
      <c r="CD178" s="147"/>
      <c r="CE178" s="94"/>
      <c r="CF178" s="94"/>
      <c r="CG178" s="94"/>
      <c r="CH178" s="147"/>
      <c r="CI178" s="94"/>
      <c r="CJ178" s="94"/>
      <c r="CK178" s="94"/>
      <c r="CL178" s="147"/>
      <c r="CM178" s="94"/>
      <c r="CN178" s="94"/>
      <c r="CO178" s="94"/>
      <c r="CP178" s="962">
        <f t="shared" ref="CP178:DV178" si="397">CP$171-(((CP$155-CP154+CL147)/(CL$156))-1)</f>
        <v>2.2915646502405629E-2</v>
      </c>
      <c r="CQ178" s="961">
        <f t="shared" si="397"/>
        <v>2.0313589539580734E-2</v>
      </c>
      <c r="CR178" s="961">
        <f t="shared" si="397"/>
        <v>1.822623851527494E-2</v>
      </c>
      <c r="CS178" s="961">
        <f t="shared" si="397"/>
        <v>1.6657036533631264E-2</v>
      </c>
      <c r="CT178" s="962">
        <f t="shared" si="397"/>
        <v>1.9941685577075319E-2</v>
      </c>
      <c r="CU178" s="961">
        <f t="shared" si="397"/>
        <v>2.3875424847498827E-2</v>
      </c>
      <c r="CV178" s="961">
        <f t="shared" si="397"/>
        <v>2.5827090902224792E-2</v>
      </c>
      <c r="CW178" s="1248">
        <f t="shared" si="397"/>
        <v>2.7979122736177531E-2</v>
      </c>
      <c r="CX178" s="961">
        <f t="shared" si="397"/>
        <v>2.5241261412907057E-2</v>
      </c>
      <c r="CY178" s="961">
        <f t="shared" si="397"/>
        <v>2.268982818643861E-2</v>
      </c>
      <c r="CZ178" s="961">
        <f t="shared" si="397"/>
        <v>2.6898909327689902E-2</v>
      </c>
      <c r="DA178" s="961">
        <f t="shared" si="397"/>
        <v>3.2492906287739598E-2</v>
      </c>
      <c r="DB178" s="962">
        <f t="shared" si="397"/>
        <v>3.3565455278432133E-2</v>
      </c>
      <c r="DC178" s="961">
        <f t="shared" si="397"/>
        <v>3.3835590288553652E-2</v>
      </c>
      <c r="DD178" s="961">
        <f t="shared" si="397"/>
        <v>2.974038930545031E-2</v>
      </c>
      <c r="DE178" s="961">
        <f t="shared" si="397"/>
        <v>2.6058643164912909E-2</v>
      </c>
      <c r="DF178" s="961">
        <f t="shared" si="397"/>
        <v>2.5093915900417429E-2</v>
      </c>
      <c r="DG178" s="1548">
        <f t="shared" si="397"/>
        <v>2.8111471568224133E-2</v>
      </c>
      <c r="DH178" s="1548">
        <f t="shared" si="397"/>
        <v>3.169070319271361E-2</v>
      </c>
      <c r="DI178" s="1548">
        <f t="shared" si="397"/>
        <v>3.4039848445847287E-2</v>
      </c>
      <c r="DJ178" s="1548">
        <f t="shared" si="397"/>
        <v>3.4198377456660878E-2</v>
      </c>
      <c r="DK178" s="1548">
        <f t="shared" si="397"/>
        <v>3.2100200699896719E-2</v>
      </c>
      <c r="DL178" s="1548">
        <f t="shared" si="397"/>
        <v>3.0456005116635709E-2</v>
      </c>
      <c r="DM178" s="1548">
        <f t="shared" si="397"/>
        <v>2.7302380319068287E-2</v>
      </c>
      <c r="DN178" s="1548">
        <f t="shared" si="397"/>
        <v>2.7720716068082241E-2</v>
      </c>
      <c r="DO178" s="1548">
        <f t="shared" si="397"/>
        <v>2.452504772707198E-2</v>
      </c>
      <c r="DP178" s="1548">
        <f t="shared" si="397"/>
        <v>1.9324252056506563E-2</v>
      </c>
      <c r="DQ178" s="1548">
        <f t="shared" si="397"/>
        <v>1.3673445438780241E-2</v>
      </c>
      <c r="DR178" s="1548">
        <f t="shared" si="397"/>
        <v>8.0114444551255826E-3</v>
      </c>
      <c r="DS178" s="1548">
        <f t="shared" si="397"/>
        <v>8.6293703018522905E-3</v>
      </c>
      <c r="DT178" s="1548">
        <f t="shared" si="397"/>
        <v>9.6639196497552149E-3</v>
      </c>
      <c r="DU178" s="1548">
        <f t="shared" si="397"/>
        <v>1.3404468312033346E-2</v>
      </c>
      <c r="DV178" s="1548">
        <f t="shared" si="397"/>
        <v>1.7155214659322571E-2</v>
      </c>
      <c r="DW178" s="1548">
        <f t="shared" ref="DW178" ca="1" si="398">DW$171-(((DW$155-DW154+DS147)/(DS$156))-1)</f>
        <v>1.6208638367341321E-2</v>
      </c>
      <c r="DX178" s="1548">
        <f t="shared" ref="DX178" ca="1" si="399">DX$171-(((DX$155-DX154+DT147)/(DT$156))-1)</f>
        <v>1.5434603631598987E-2</v>
      </c>
      <c r="DY178" s="1248">
        <f t="shared" ref="DY178" ca="1" si="400">DY$171-(((DY$155-DY154+DU147)/(DU$156))-1)</f>
        <v>1.4639142853825615E-2</v>
      </c>
    </row>
    <row r="179" spans="1:129" hidden="1" outlineLevel="1">
      <c r="A179" s="744" t="s">
        <v>1351</v>
      </c>
      <c r="B179" s="243"/>
      <c r="C179" s="243"/>
      <c r="D179" s="243"/>
      <c r="E179" s="243"/>
      <c r="F179" s="243"/>
      <c r="G179" s="243"/>
      <c r="H179" s="243"/>
      <c r="I179" s="243"/>
      <c r="J179" s="243"/>
      <c r="K179" s="243"/>
      <c r="L179" s="243"/>
      <c r="M179" s="243"/>
      <c r="N179" s="243"/>
      <c r="O179" s="243"/>
      <c r="P179" s="243"/>
      <c r="Q179" s="243"/>
      <c r="R179" s="243"/>
      <c r="S179" s="243"/>
      <c r="T179" s="243"/>
      <c r="U179" s="243"/>
      <c r="V179" s="243"/>
      <c r="W179" s="243"/>
      <c r="X179" s="243"/>
      <c r="Y179" s="243"/>
      <c r="Z179" s="243"/>
      <c r="AA179" s="243"/>
      <c r="AB179" s="243"/>
      <c r="AC179" s="243"/>
      <c r="AD179" s="243"/>
      <c r="AE179" s="243"/>
      <c r="AF179" s="243"/>
      <c r="AG179" s="243"/>
      <c r="AH179" s="1978"/>
      <c r="AI179"/>
      <c r="AJ179"/>
      <c r="AK179"/>
      <c r="AL179"/>
      <c r="AM179"/>
      <c r="AN179"/>
      <c r="AO179"/>
      <c r="AP179" s="490"/>
      <c r="AQ179" s="243"/>
      <c r="AR179" s="243"/>
      <c r="AS179" s="243"/>
      <c r="AT179" s="490"/>
      <c r="AU179" s="243"/>
      <c r="AV179" s="243"/>
      <c r="AW179" s="243"/>
      <c r="AX179" s="490"/>
      <c r="AY179" s="243"/>
      <c r="AZ179" s="243"/>
      <c r="BA179" s="243"/>
      <c r="BB179" s="490"/>
      <c r="BC179" s="243"/>
      <c r="BD179" s="243"/>
      <c r="BE179" s="243"/>
      <c r="BF179" s="490"/>
      <c r="BG179" s="243"/>
      <c r="BH179" s="243"/>
      <c r="BI179" s="243"/>
      <c r="BJ179" s="490"/>
      <c r="BK179" s="243"/>
      <c r="BL179" s="243"/>
      <c r="BM179" s="243"/>
      <c r="BN179" s="490"/>
      <c r="BO179" s="243"/>
      <c r="BP179" s="243"/>
      <c r="BQ179" s="243"/>
      <c r="BR179" s="490"/>
      <c r="BS179" s="243"/>
      <c r="BT179" s="243"/>
      <c r="BU179" s="243"/>
      <c r="BV179" s="490"/>
      <c r="BW179" s="243"/>
      <c r="BX179" s="243"/>
      <c r="BY179" s="243"/>
      <c r="BZ179" s="490"/>
      <c r="CA179" s="243"/>
      <c r="CB179" s="243"/>
      <c r="CC179" s="243"/>
      <c r="CD179" s="490"/>
      <c r="CE179" s="243"/>
      <c r="CF179" s="243"/>
      <c r="CG179" s="243"/>
      <c r="CH179" s="490"/>
      <c r="CI179" s="243"/>
      <c r="CJ179" s="243"/>
      <c r="CK179" s="243"/>
      <c r="CL179" s="490"/>
      <c r="CM179" s="243"/>
      <c r="CN179" s="243"/>
      <c r="CO179" s="243"/>
      <c r="CP179" s="490">
        <f t="shared" ref="CP179:DF179" si="401">+CP171-SUM(CP174:CP178)</f>
        <v>2.2204460492503131E-16</v>
      </c>
      <c r="CQ179" s="243">
        <f t="shared" si="401"/>
        <v>-4.4408920985006262E-16</v>
      </c>
      <c r="CR179" s="243">
        <f t="shared" si="401"/>
        <v>-2.2204460492503131E-16</v>
      </c>
      <c r="CS179" s="243">
        <f t="shared" si="401"/>
        <v>-2.2204460492503131E-16</v>
      </c>
      <c r="CT179" s="490">
        <f t="shared" si="401"/>
        <v>2.2204460492503131E-16</v>
      </c>
      <c r="CU179" s="243">
        <f t="shared" si="401"/>
        <v>4.4408920985006262E-16</v>
      </c>
      <c r="CV179" s="243">
        <f t="shared" si="401"/>
        <v>1.1102230246251565E-16</v>
      </c>
      <c r="CW179" s="491">
        <f t="shared" si="401"/>
        <v>3.3306690738754696E-16</v>
      </c>
      <c r="CX179" s="243">
        <f t="shared" si="401"/>
        <v>-5.5511151231257827E-16</v>
      </c>
      <c r="CY179" s="243">
        <f t="shared" si="401"/>
        <v>1.1102230246251565E-16</v>
      </c>
      <c r="CZ179" s="243">
        <f t="shared" si="401"/>
        <v>4.4408920985006262E-16</v>
      </c>
      <c r="DA179" s="243">
        <f t="shared" si="401"/>
        <v>3.3306690738754696E-16</v>
      </c>
      <c r="DB179" s="490">
        <f t="shared" si="401"/>
        <v>-2.2204460492503131E-16</v>
      </c>
      <c r="DC179" s="243">
        <f t="shared" si="401"/>
        <v>8.8817841970012523E-16</v>
      </c>
      <c r="DD179" s="243">
        <f t="shared" si="401"/>
        <v>1.1102230246251565E-16</v>
      </c>
      <c r="DE179" s="243">
        <f t="shared" si="401"/>
        <v>3.3306690738754696E-16</v>
      </c>
      <c r="DF179" s="243">
        <f t="shared" si="401"/>
        <v>-1.1102230246251565E-16</v>
      </c>
      <c r="DG179" s="243">
        <f>+DG171-SUM(DG174:DG178)</f>
        <v>3.3306690738754696E-16</v>
      </c>
      <c r="DH179" s="243">
        <f>+DH171-SUM(DH174:DH178)</f>
        <v>2.2204460492503131E-16</v>
      </c>
      <c r="DI179" s="243">
        <f>+DI171-SUM(DI174:DI178)</f>
        <v>-2.2204460492503131E-16</v>
      </c>
      <c r="DJ179" s="243">
        <f t="shared" ref="DJ179:DM179" si="402">+DJ171-SUM(DJ174:DJ178)</f>
        <v>1.1102230246251565E-16</v>
      </c>
      <c r="DK179" s="243">
        <f t="shared" si="402"/>
        <v>-4.4408920985006262E-16</v>
      </c>
      <c r="DL179" s="243">
        <f t="shared" si="402"/>
        <v>-1.1102230246251565E-16</v>
      </c>
      <c r="DM179" s="243">
        <f t="shared" si="402"/>
        <v>1.1102230246251565E-16</v>
      </c>
      <c r="DN179" s="243">
        <f t="shared" ref="DN179:DO179" si="403">+DN171-SUM(DN174:DN178)</f>
        <v>1.1102230246251565E-16</v>
      </c>
      <c r="DO179" s="243">
        <f t="shared" si="403"/>
        <v>0</v>
      </c>
      <c r="DP179" s="243">
        <f t="shared" ref="DP179:DQ179" si="404">+DP171-SUM(DP174:DP178)</f>
        <v>3.3306690738754696E-16</v>
      </c>
      <c r="DQ179" s="243">
        <f t="shared" si="404"/>
        <v>1.1102230246251565E-16</v>
      </c>
      <c r="DR179" s="243">
        <f t="shared" ref="DR179:DS179" si="405">+DR171-SUM(DR174:DR178)</f>
        <v>2.2204460492503131E-16</v>
      </c>
      <c r="DS179" s="243">
        <f t="shared" si="405"/>
        <v>2.2204460492503131E-16</v>
      </c>
      <c r="DT179" s="243">
        <f t="shared" ref="DT179:DU179" si="406">+DT171-SUM(DT174:DT178)</f>
        <v>4.4408920985006262E-16</v>
      </c>
      <c r="DU179" s="243">
        <f t="shared" si="406"/>
        <v>1.1102230246251565E-16</v>
      </c>
      <c r="DV179" s="243">
        <f t="shared" ref="DV179" si="407">+DV171-SUM(DV174:DV178)</f>
        <v>2.2204460492503131E-16</v>
      </c>
      <c r="DW179" s="243">
        <f t="shared" ref="DW179:DY179" ca="1" si="408">+DW171-SUM(DW174:DW178)</f>
        <v>1.1102230246251565E-16</v>
      </c>
      <c r="DX179" s="243">
        <f t="shared" ca="1" si="408"/>
        <v>-6.6613381477509392E-16</v>
      </c>
      <c r="DY179" s="491">
        <f t="shared" ca="1" si="408"/>
        <v>-2.2204460492503131E-16</v>
      </c>
    </row>
    <row r="180" spans="1:129" hidden="1" outlineLevel="1">
      <c r="Y180" s="2995"/>
      <c r="Z180" s="3250"/>
    </row>
    <row r="181" spans="1:129" collapsed="1">
      <c r="Y181" s="2995"/>
      <c r="Z181" s="3250"/>
    </row>
    <row r="182" spans="1:129">
      <c r="Y182" s="2995"/>
      <c r="Z182" s="3250"/>
      <c r="DF182" s="1550">
        <f>-DF92/DE90</f>
        <v>2.7862725110431533E-2</v>
      </c>
      <c r="DG182" s="1550">
        <f>-DG92/DF90</f>
        <v>3.2506116742397763E-2</v>
      </c>
      <c r="DH182" s="1550">
        <f>-DH92/DG90</f>
        <v>3.3598265895953758E-2</v>
      </c>
      <c r="DI182" s="1550">
        <f>-DI92/DH90</f>
        <v>3.2149532710280371E-2</v>
      </c>
      <c r="DJ182" s="1550"/>
      <c r="DK182" s="1550"/>
      <c r="DL182" s="1550"/>
      <c r="DM182" s="1550"/>
      <c r="DN182" s="1550"/>
      <c r="DO182" s="1550"/>
      <c r="DP182" s="1550"/>
      <c r="DQ182" s="1550"/>
      <c r="DR182" s="1550"/>
      <c r="DS182" s="1550"/>
      <c r="DT182" s="1550"/>
      <c r="DU182" s="1550"/>
      <c r="DV182" s="1550"/>
    </row>
    <row r="183" spans="1:129">
      <c r="Y183" s="2995"/>
      <c r="Z183" s="3250"/>
    </row>
    <row r="184" spans="1:129">
      <c r="W184" s="1550"/>
      <c r="X184" s="1550"/>
      <c r="Y184" s="1550"/>
      <c r="Z184" s="1550"/>
      <c r="AA184" s="1550"/>
      <c r="AB184" s="1550"/>
      <c r="AC184" s="1550"/>
      <c r="AD184" s="1550"/>
      <c r="AE184" s="1550"/>
      <c r="AF184" s="1550"/>
      <c r="AG184" s="1550"/>
      <c r="DF184" s="1550"/>
      <c r="DG184" s="1550"/>
      <c r="DH184" s="1550"/>
      <c r="DI184" s="1550"/>
      <c r="DJ184" s="1550"/>
      <c r="DK184" s="1550"/>
      <c r="DL184" s="1550"/>
      <c r="DM184" s="1550"/>
      <c r="DN184" s="1550"/>
      <c r="DO184" s="1550"/>
      <c r="DP184" s="1550"/>
      <c r="DQ184" s="1550"/>
      <c r="DR184" s="1550"/>
      <c r="DS184" s="1550"/>
      <c r="DT184" s="1550"/>
      <c r="DU184" s="1550"/>
      <c r="DV184" s="1550"/>
      <c r="DW184" s="1550"/>
      <c r="DX184" s="1550"/>
      <c r="DY184" s="1550"/>
    </row>
    <row r="185" spans="1:129">
      <c r="Y185" s="2995"/>
      <c r="Z185" s="3250"/>
    </row>
    <row r="186" spans="1:129">
      <c r="Y186" s="2995"/>
      <c r="Z186" s="3250"/>
    </row>
    <row r="187" spans="1:129">
      <c r="Y187" s="2995"/>
      <c r="Z187" s="3250"/>
    </row>
    <row r="188" spans="1:129">
      <c r="Y188" s="2995"/>
      <c r="Z188" s="3250"/>
    </row>
    <row r="189" spans="1:129">
      <c r="Y189" s="2995"/>
      <c r="Z189" s="3250"/>
    </row>
    <row r="190" spans="1:129">
      <c r="Y190" s="2995"/>
      <c r="Z190" s="3250"/>
    </row>
    <row r="191" spans="1:129">
      <c r="Y191" s="2995"/>
      <c r="Z191" s="3250"/>
    </row>
    <row r="192" spans="1:129">
      <c r="Y192" s="2995"/>
      <c r="Z192" s="3250"/>
    </row>
    <row r="193" spans="25:26">
      <c r="Y193" s="2995"/>
      <c r="Z193" s="3250"/>
    </row>
    <row r="194" spans="25:26">
      <c r="Y194" s="2995"/>
      <c r="Z194" s="3250"/>
    </row>
    <row r="195" spans="25:26">
      <c r="Y195" s="2995"/>
      <c r="Z195" s="3250"/>
    </row>
    <row r="196" spans="25:26">
      <c r="Y196" s="2995"/>
    </row>
    <row r="197" spans="25:26">
      <c r="Y197" s="2995"/>
    </row>
    <row r="198" spans="25:26">
      <c r="Y198" s="2995"/>
    </row>
  </sheetData>
  <mergeCells count="2">
    <mergeCell ref="BZ8:CH8"/>
    <mergeCell ref="BZ89:CH89"/>
  </mergeCells>
  <phoneticPr fontId="76" type="noConversion"/>
  <pageMargins left="0" right="0" top="0" bottom="0" header="0" footer="0"/>
  <pageSetup scale="86" orientation="landscape" r:id="rId1"/>
  <headerFooter alignWithMargins="0"/>
  <colBreaks count="2" manualBreakCount="2">
    <brk id="93" min="4" max="112" man="1"/>
    <brk id="95" min="4" max="112" man="1"/>
  </col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tabColor indexed="56"/>
    <pageSetUpPr fitToPage="1"/>
  </sheetPr>
  <dimension ref="A1:DZ153"/>
  <sheetViews>
    <sheetView showGridLines="0" zoomScale="85" zoomScaleSheetLayoutView="85" workbookViewId="0">
      <pane xSplit="1" ySplit="7" topLeftCell="X8" activePane="bottomRight" state="frozen"/>
      <selection activeCell="W8" sqref="W8"/>
      <selection pane="topRight" activeCell="W8" sqref="W8"/>
      <selection pane="bottomLeft" activeCell="W8" sqref="W8"/>
      <selection pane="bottomRight" activeCell="X8" sqref="X8"/>
    </sheetView>
  </sheetViews>
  <sheetFormatPr defaultRowHeight="15" outlineLevelRow="1" outlineLevelCol="1"/>
  <cols>
    <col min="1" max="1" width="30.44140625" customWidth="1"/>
    <col min="2" max="5" width="2.5546875" hidden="1" customWidth="1" outlineLevel="1"/>
    <col min="6" max="16" width="7.44140625" hidden="1" customWidth="1" outlineLevel="1"/>
    <col min="17" max="17" width="7.44140625" style="1074" hidden="1" customWidth="1" outlineLevel="1"/>
    <col min="18" max="18" width="7.44140625" hidden="1" customWidth="1" outlineLevel="1" collapsed="1"/>
    <col min="19" max="19" width="7.44140625" hidden="1" customWidth="1" outlineLevel="1"/>
    <col min="20" max="20" width="7.44140625" style="1074" hidden="1" customWidth="1" outlineLevel="1" collapsed="1"/>
    <col min="21" max="23" width="7.44140625" hidden="1" customWidth="1" outlineLevel="1" collapsed="1"/>
    <col min="24" max="24" width="7.44140625" customWidth="1" collapsed="1"/>
    <col min="25" max="27" width="7.44140625" customWidth="1"/>
    <col min="28" max="28" width="7.44140625" style="3144" hidden="1" customWidth="1" outlineLevel="1"/>
    <col min="29" max="33" width="7.44140625" style="3146" hidden="1" customWidth="1" outlineLevel="1"/>
    <col min="34" max="34" width="2.5546875" customWidth="1" collapsed="1"/>
    <col min="35" max="41" width="8.6640625" hidden="1" customWidth="1" outlineLevel="1"/>
    <col min="42" max="69" width="7.44140625" hidden="1" customWidth="1" outlineLevel="1"/>
    <col min="70" max="70" width="7.44140625" hidden="1" customWidth="1" outlineLevel="1" collapsed="1"/>
    <col min="71" max="97" width="7.44140625" hidden="1" customWidth="1" outlineLevel="1"/>
    <col min="98" max="98" width="7.44140625" hidden="1" customWidth="1" outlineLevel="1" collapsed="1"/>
    <col min="99" max="101" width="7.44140625" hidden="1" customWidth="1" outlineLevel="1"/>
    <col min="102" max="102" width="7.44140625" hidden="1" customWidth="1" outlineLevel="1" collapsed="1"/>
    <col min="103" max="105" width="7.44140625" hidden="1" customWidth="1" outlineLevel="1"/>
    <col min="106" max="106" width="7.44140625" hidden="1" customWidth="1" outlineLevel="1" collapsed="1"/>
    <col min="107" max="109" width="7.44140625" hidden="1" customWidth="1" outlineLevel="1"/>
    <col min="110" max="110" width="7.44140625" hidden="1" customWidth="1" outlineLevel="1" collapsed="1"/>
    <col min="111" max="113" width="7.44140625" style="1074" hidden="1" customWidth="1" outlineLevel="1"/>
    <col min="114" max="114" width="7.44140625" style="1074" hidden="1" customWidth="1" outlineLevel="1" collapsed="1"/>
    <col min="115" max="117" width="7.44140625" style="1074" hidden="1" customWidth="1" outlineLevel="1"/>
    <col min="118" max="118" width="7.44140625" style="1074" hidden="1" customWidth="1" outlineLevel="1" collapsed="1"/>
    <col min="119" max="121" width="7.44140625" style="1074" hidden="1" customWidth="1" outlineLevel="1"/>
    <col min="122" max="122" width="7.44140625" style="1074" customWidth="1" collapsed="1"/>
    <col min="123" max="129" width="7.44140625" style="1074" customWidth="1"/>
    <col min="130" max="130" width="2.5546875" customWidth="1"/>
  </cols>
  <sheetData>
    <row r="1" spans="1:130">
      <c r="A1" s="91" t="s">
        <v>1111</v>
      </c>
      <c r="B1" s="87"/>
      <c r="C1" s="87"/>
      <c r="D1" s="87"/>
      <c r="E1" s="87"/>
      <c r="F1" s="87"/>
      <c r="G1" s="87"/>
      <c r="H1" s="87"/>
      <c r="I1" s="87"/>
      <c r="J1" s="87"/>
      <c r="K1" s="87"/>
      <c r="L1" s="87"/>
      <c r="M1" s="87"/>
      <c r="N1" s="87"/>
      <c r="O1" s="87"/>
      <c r="P1" s="228"/>
      <c r="Q1" s="1134"/>
      <c r="R1" s="228"/>
      <c r="S1" s="228"/>
      <c r="T1" s="1134"/>
      <c r="U1" s="228"/>
      <c r="V1" s="228"/>
      <c r="W1" s="228"/>
      <c r="X1" s="228"/>
      <c r="Y1" s="228"/>
      <c r="Z1" s="228"/>
      <c r="AA1" s="228"/>
      <c r="AB1" s="228"/>
      <c r="AC1" s="228"/>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c r="BI1" s="228"/>
      <c r="BJ1" s="228"/>
      <c r="BK1" s="228"/>
      <c r="BL1" s="228"/>
      <c r="BM1" s="228"/>
      <c r="BN1" s="228"/>
      <c r="BO1" s="228"/>
      <c r="BP1" s="228"/>
      <c r="BQ1" s="228"/>
      <c r="BR1" s="228"/>
      <c r="BS1" s="228"/>
      <c r="BT1" s="228"/>
      <c r="BU1" s="228"/>
      <c r="BV1" s="228"/>
      <c r="BW1" s="228"/>
      <c r="BX1" s="228"/>
      <c r="BY1" s="228"/>
      <c r="BZ1" s="228"/>
      <c r="CA1" s="228"/>
      <c r="CB1" s="228"/>
      <c r="CC1" s="228"/>
      <c r="CD1" s="228"/>
      <c r="CE1" s="228"/>
      <c r="CF1" s="228"/>
      <c r="CG1" s="228"/>
      <c r="CH1" s="228"/>
      <c r="CI1" s="228"/>
      <c r="CJ1" s="228"/>
      <c r="CK1" s="228"/>
      <c r="CL1" s="228"/>
      <c r="CM1" s="228"/>
      <c r="CN1" s="228"/>
      <c r="CO1" s="228"/>
      <c r="CP1" s="228"/>
      <c r="CQ1" s="228"/>
      <c r="CR1" s="228"/>
      <c r="CS1" s="228"/>
      <c r="CT1" s="228"/>
      <c r="CU1" s="87"/>
      <c r="CV1" s="87"/>
      <c r="CW1" s="87"/>
      <c r="CX1" s="87"/>
      <c r="CY1" s="87"/>
      <c r="CZ1" s="87"/>
      <c r="DA1" s="87"/>
      <c r="DB1" s="87"/>
      <c r="DC1" s="87"/>
      <c r="DD1" s="87"/>
      <c r="DE1" s="87"/>
      <c r="DF1" s="87"/>
      <c r="DG1" s="1041"/>
      <c r="DH1" s="1041"/>
      <c r="DI1" s="1041"/>
      <c r="DJ1" s="1041"/>
      <c r="DK1" s="1041"/>
      <c r="DL1" s="1041"/>
      <c r="DM1" s="1041"/>
      <c r="DN1" s="1041"/>
      <c r="DO1" s="1041"/>
      <c r="DP1" s="1041"/>
      <c r="DQ1" s="1041"/>
      <c r="DR1" s="1041"/>
      <c r="DS1" s="1041"/>
      <c r="DT1" s="1041"/>
      <c r="DU1" s="1041"/>
      <c r="DV1" s="1041"/>
      <c r="DW1" s="1041"/>
      <c r="DX1" s="1041"/>
      <c r="DY1" s="1041"/>
      <c r="DZ1" s="87"/>
    </row>
    <row r="2" spans="1:130">
      <c r="A2" s="91" t="s">
        <v>1112</v>
      </c>
      <c r="B2" s="87"/>
      <c r="C2" s="87"/>
      <c r="D2" s="87"/>
      <c r="E2" s="87"/>
      <c r="F2" s="87"/>
      <c r="G2" s="87"/>
      <c r="H2" s="87"/>
      <c r="I2" s="87"/>
      <c r="J2" s="87"/>
      <c r="K2" s="87"/>
      <c r="L2" s="87"/>
      <c r="M2" s="87"/>
      <c r="N2" s="87"/>
      <c r="O2" s="87"/>
      <c r="P2" s="228"/>
      <c r="Q2" s="1134"/>
      <c r="R2" s="143"/>
      <c r="S2" s="143"/>
      <c r="T2" s="1047"/>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c r="BJ2" s="143"/>
      <c r="BK2" s="143"/>
      <c r="BL2" s="143"/>
      <c r="BM2" s="143"/>
      <c r="BN2" s="143"/>
      <c r="BO2" s="143"/>
      <c r="BP2" s="143"/>
      <c r="BQ2" s="143"/>
      <c r="BR2" s="143"/>
      <c r="BS2" s="143"/>
      <c r="BT2" s="143"/>
      <c r="BU2" s="143"/>
      <c r="BV2" s="143"/>
      <c r="BW2" s="143"/>
      <c r="BX2" s="143"/>
      <c r="BY2" s="143"/>
      <c r="BZ2" s="143"/>
      <c r="CA2" s="143"/>
      <c r="CB2" s="143"/>
      <c r="CC2" s="143"/>
      <c r="CD2" s="143"/>
      <c r="CE2" s="143"/>
      <c r="CF2" s="143"/>
      <c r="CG2" s="143"/>
      <c r="CH2" s="143"/>
      <c r="CI2" s="143"/>
      <c r="CJ2" s="143"/>
      <c r="CK2" s="143"/>
      <c r="CL2" s="143"/>
      <c r="CM2" s="143"/>
      <c r="CN2" s="143"/>
      <c r="CO2" s="143"/>
      <c r="CP2" s="143"/>
      <c r="CQ2" s="143"/>
      <c r="CR2" s="143"/>
      <c r="CS2" s="143"/>
      <c r="CT2" s="143"/>
      <c r="CU2" s="143"/>
      <c r="CV2" s="143"/>
      <c r="CW2" s="143"/>
      <c r="CX2" s="143"/>
      <c r="CY2" s="87"/>
      <c r="CZ2" s="87"/>
      <c r="DA2" s="87"/>
      <c r="DB2" s="87"/>
      <c r="DC2" s="87"/>
      <c r="DD2" s="87"/>
      <c r="DE2" s="87"/>
      <c r="DF2" s="87"/>
      <c r="DG2" s="1041"/>
      <c r="DH2" s="1041"/>
      <c r="DI2" s="1041"/>
      <c r="DJ2" s="1041"/>
      <c r="DK2" s="1041"/>
      <c r="DL2" s="1041"/>
      <c r="DM2" s="1041"/>
      <c r="DN2" s="1041"/>
      <c r="DO2" s="1041"/>
      <c r="DP2" s="1041"/>
      <c r="DQ2" s="1041"/>
      <c r="DR2" s="1041"/>
      <c r="DS2" s="1041"/>
      <c r="DT2" s="1041"/>
      <c r="DU2" s="1041"/>
      <c r="DV2" s="1041"/>
      <c r="DW2" s="1041"/>
      <c r="DX2" s="1041"/>
      <c r="DY2" s="1041"/>
      <c r="DZ2" s="87"/>
    </row>
    <row r="3" spans="1:130">
      <c r="A3" s="87" t="s">
        <v>1113</v>
      </c>
      <c r="B3" s="87"/>
      <c r="C3" s="87"/>
      <c r="D3" s="87"/>
      <c r="E3" s="87"/>
      <c r="F3" s="87"/>
      <c r="G3" s="87"/>
      <c r="H3" s="87"/>
      <c r="I3" s="87"/>
      <c r="J3" s="87"/>
      <c r="K3" s="87"/>
      <c r="L3" s="87"/>
      <c r="M3" s="87"/>
      <c r="N3" s="87"/>
      <c r="O3" s="87"/>
      <c r="P3" s="248"/>
      <c r="Q3" s="1141"/>
      <c r="R3" s="248"/>
      <c r="S3" s="87"/>
      <c r="T3" s="1047"/>
      <c r="U3" s="143"/>
      <c r="V3" s="143"/>
      <c r="W3" s="143"/>
      <c r="X3" s="143"/>
      <c r="Y3" s="143"/>
      <c r="Z3" s="143"/>
      <c r="AA3" s="143"/>
      <c r="AB3" s="143"/>
      <c r="AC3" s="143"/>
      <c r="AD3" s="143"/>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43"/>
      <c r="BL3" s="143"/>
      <c r="BM3" s="143"/>
      <c r="BN3" s="143"/>
      <c r="BO3" s="143"/>
      <c r="BP3" s="143"/>
      <c r="BQ3" s="143"/>
      <c r="BR3" s="143"/>
      <c r="BS3" s="143"/>
      <c r="BT3" s="143"/>
      <c r="BU3" s="143"/>
      <c r="BV3" s="143"/>
      <c r="BW3" s="143"/>
      <c r="BX3" s="143"/>
      <c r="BY3" s="143"/>
      <c r="BZ3" s="143"/>
      <c r="CA3" s="143"/>
      <c r="CB3" s="143"/>
      <c r="CC3" s="143"/>
      <c r="CD3" s="143"/>
      <c r="CE3" s="143"/>
      <c r="CF3" s="143"/>
      <c r="CG3" s="143"/>
      <c r="CH3" s="143"/>
      <c r="CI3" s="143"/>
      <c r="CJ3" s="143"/>
      <c r="CK3" s="143"/>
      <c r="CL3" s="143"/>
      <c r="CM3" s="143"/>
      <c r="CN3" s="143"/>
      <c r="CO3" s="143"/>
      <c r="CP3" s="143"/>
      <c r="CQ3" s="143"/>
      <c r="CR3" s="143"/>
      <c r="CS3" s="143"/>
      <c r="CT3" s="143"/>
      <c r="CU3" s="143"/>
      <c r="CV3" s="143"/>
      <c r="CW3" s="143"/>
      <c r="CX3" s="143"/>
      <c r="CY3" s="87"/>
      <c r="CZ3" s="87"/>
      <c r="DA3" s="87"/>
      <c r="DB3" s="87"/>
      <c r="DC3" s="87"/>
      <c r="DD3" s="87"/>
      <c r="DE3" s="87"/>
      <c r="DF3" s="87"/>
      <c r="DG3" s="1041"/>
      <c r="DH3" s="1041"/>
      <c r="DI3" s="1041"/>
      <c r="DJ3" s="1041"/>
      <c r="DK3" s="1041"/>
      <c r="DL3" s="1041"/>
      <c r="DM3" s="1041"/>
      <c r="DN3" s="1041"/>
      <c r="DO3" s="1041"/>
      <c r="DP3" s="1041"/>
      <c r="DQ3" s="1041"/>
      <c r="DR3" s="1041"/>
      <c r="DS3" s="1041"/>
      <c r="DT3" s="1041"/>
      <c r="DU3" s="1041"/>
      <c r="DV3" s="1041"/>
      <c r="DW3" s="1041"/>
      <c r="DX3" s="1041"/>
      <c r="DY3" s="1041"/>
      <c r="DZ3" s="87"/>
    </row>
    <row r="4" spans="1:130" ht="23.25" customHeight="1">
      <c r="A4" s="91"/>
      <c r="B4" s="87"/>
      <c r="C4" s="87"/>
      <c r="D4" s="87"/>
      <c r="E4" s="87"/>
      <c r="F4" s="87"/>
      <c r="G4" s="87"/>
      <c r="H4" s="87"/>
      <c r="I4" s="87"/>
      <c r="J4" s="87"/>
      <c r="K4" s="87"/>
      <c r="L4" s="87"/>
      <c r="M4" s="87"/>
      <c r="N4" s="87"/>
      <c r="O4" s="87"/>
      <c r="P4" s="248"/>
      <c r="Q4" s="1141"/>
      <c r="R4" s="248"/>
      <c r="S4" s="87"/>
      <c r="T4" s="1047"/>
      <c r="U4" s="143"/>
      <c r="V4" s="143"/>
      <c r="W4" s="143"/>
      <c r="X4" s="143"/>
      <c r="Y4" s="143"/>
      <c r="Z4" s="143"/>
      <c r="AA4" s="143"/>
      <c r="AB4" s="143"/>
      <c r="AC4" s="143"/>
      <c r="AD4" s="143"/>
      <c r="AE4" s="143"/>
      <c r="AF4" s="143"/>
      <c r="AG4" s="143"/>
      <c r="AH4" s="143"/>
      <c r="AI4" s="143"/>
      <c r="AJ4" s="143"/>
      <c r="AK4" s="143"/>
      <c r="AL4" s="143"/>
      <c r="AM4" s="143"/>
      <c r="AN4" s="143"/>
      <c r="AO4" s="143"/>
      <c r="AP4" s="143"/>
      <c r="AQ4" s="143"/>
      <c r="AR4" s="143"/>
      <c r="AS4" s="143"/>
      <c r="AT4" s="143"/>
      <c r="AU4" s="143"/>
      <c r="AV4" s="143"/>
      <c r="AW4" s="143"/>
      <c r="AX4" s="143"/>
      <c r="AY4" s="143"/>
      <c r="AZ4" s="143"/>
      <c r="BA4" s="143"/>
      <c r="BB4" s="143"/>
      <c r="BC4" s="143"/>
      <c r="BD4" s="143"/>
      <c r="BE4" s="143"/>
      <c r="BF4" s="143"/>
      <c r="BG4" s="143"/>
      <c r="BH4" s="143"/>
      <c r="BI4" s="143"/>
      <c r="BJ4" s="143"/>
      <c r="BK4" s="143"/>
      <c r="BL4" s="143"/>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c r="CK4" s="143"/>
      <c r="CL4" s="143"/>
      <c r="CM4" s="143"/>
      <c r="CN4" s="143"/>
      <c r="CO4" s="143"/>
      <c r="CP4" s="143"/>
      <c r="CQ4" s="143"/>
      <c r="CR4" s="143"/>
      <c r="CS4" s="143"/>
      <c r="CT4" s="143"/>
      <c r="CU4" s="143"/>
      <c r="CV4" s="143"/>
      <c r="CW4" s="143"/>
      <c r="CX4" s="143"/>
      <c r="CY4" s="87"/>
      <c r="CZ4" s="87"/>
      <c r="DA4" s="87"/>
      <c r="DB4" s="87"/>
      <c r="DC4" s="87"/>
      <c r="DD4" s="87"/>
      <c r="DE4" s="87"/>
      <c r="DF4" s="87"/>
      <c r="DG4" s="1041"/>
      <c r="DH4" s="1041"/>
      <c r="DI4" s="1041"/>
      <c r="DJ4" s="1041"/>
      <c r="DK4" s="1041"/>
      <c r="DL4" s="1041"/>
      <c r="DM4" s="1041"/>
      <c r="DN4" s="1041"/>
      <c r="DO4" s="1041"/>
      <c r="DP4" s="1041"/>
      <c r="DQ4" s="1041"/>
      <c r="DR4" s="1041"/>
      <c r="DS4" s="1041"/>
      <c r="DT4" s="1041"/>
      <c r="DU4" s="1041"/>
      <c r="DV4" s="1041"/>
      <c r="DW4" s="1041"/>
      <c r="DX4" s="1041"/>
      <c r="DY4" s="1041"/>
      <c r="DZ4" s="87"/>
    </row>
    <row r="5" spans="1:130">
      <c r="A5" s="474"/>
      <c r="B5" s="446"/>
      <c r="C5" s="446"/>
      <c r="D5" s="348"/>
      <c r="E5" s="348"/>
      <c r="F5" s="348">
        <v>1998</v>
      </c>
      <c r="G5" s="348">
        <v>1999</v>
      </c>
      <c r="H5" s="348">
        <v>2000</v>
      </c>
      <c r="I5" s="348">
        <v>2001</v>
      </c>
      <c r="J5" s="348">
        <v>2002</v>
      </c>
      <c r="K5" s="348">
        <f>IS!K5</f>
        <v>2003</v>
      </c>
      <c r="L5" s="348">
        <f>IS!L5</f>
        <v>2004</v>
      </c>
      <c r="M5" s="348">
        <f>IS!M5</f>
        <v>2005</v>
      </c>
      <c r="N5" s="348">
        <f>IS!N5</f>
        <v>2006</v>
      </c>
      <c r="O5" s="348">
        <f>IS!O5</f>
        <v>2007</v>
      </c>
      <c r="P5" s="348">
        <f>IS!P5</f>
        <v>2008</v>
      </c>
      <c r="Q5" s="1073">
        <f>IS!Q5</f>
        <v>2009</v>
      </c>
      <c r="R5" s="348">
        <f>IS!R5</f>
        <v>2010</v>
      </c>
      <c r="S5" s="348">
        <f>IS!S5</f>
        <v>2011</v>
      </c>
      <c r="T5" s="448">
        <f>IS!T5</f>
        <v>2012</v>
      </c>
      <c r="U5" s="348">
        <f>IS!U5</f>
        <v>2013</v>
      </c>
      <c r="V5" s="348" t="str">
        <f>IS!V5</f>
        <v>2014</v>
      </c>
      <c r="W5" s="1563" t="str">
        <f>IS!W5</f>
        <v>2015</v>
      </c>
      <c r="X5" s="348" t="str">
        <f>IS!X5</f>
        <v>2016</v>
      </c>
      <c r="Y5" s="348" t="str">
        <f>IS!Y5</f>
        <v>2017</v>
      </c>
      <c r="Z5" s="348" t="str">
        <f>IS!Z5</f>
        <v>2018E</v>
      </c>
      <c r="AA5" s="348" t="str">
        <f>IS!AA5</f>
        <v>2019E</v>
      </c>
      <c r="AB5" s="348" t="str">
        <f>IS!AB5</f>
        <v>2020E</v>
      </c>
      <c r="AC5" s="348" t="str">
        <f>IS!AC5</f>
        <v>2021E</v>
      </c>
      <c r="AD5" s="348" t="str">
        <f>IS!AD5</f>
        <v>2022E</v>
      </c>
      <c r="AE5" s="348" t="str">
        <f>IS!AE5</f>
        <v>2023E</v>
      </c>
      <c r="AF5" s="348" t="str">
        <f>IS!AF5</f>
        <v>2024E</v>
      </c>
      <c r="AG5" s="348" t="str">
        <f>IS!AG5</f>
        <v>2025E</v>
      </c>
      <c r="AH5" s="1424"/>
      <c r="AI5" s="446"/>
      <c r="AJ5" s="446"/>
      <c r="AK5" s="446"/>
      <c r="AL5" s="446"/>
      <c r="AM5" s="446"/>
      <c r="AN5" s="348"/>
      <c r="AO5" s="446"/>
      <c r="AP5" s="234" t="s">
        <v>902</v>
      </c>
      <c r="AQ5" s="231" t="s">
        <v>903</v>
      </c>
      <c r="AR5" s="231" t="s">
        <v>904</v>
      </c>
      <c r="AS5" s="231" t="s">
        <v>905</v>
      </c>
      <c r="AT5" s="234" t="s">
        <v>906</v>
      </c>
      <c r="AU5" s="231" t="s">
        <v>907</v>
      </c>
      <c r="AV5" s="231" t="s">
        <v>908</v>
      </c>
      <c r="AW5" s="231" t="s">
        <v>909</v>
      </c>
      <c r="AX5" s="234" t="s">
        <v>910</v>
      </c>
      <c r="AY5" s="231" t="s">
        <v>911</v>
      </c>
      <c r="AZ5" s="231" t="s">
        <v>912</v>
      </c>
      <c r="BA5" s="231" t="s">
        <v>913</v>
      </c>
      <c r="BB5" s="234" t="s">
        <v>914</v>
      </c>
      <c r="BC5" s="231" t="s">
        <v>915</v>
      </c>
      <c r="BD5" s="231" t="s">
        <v>916</v>
      </c>
      <c r="BE5" s="231" t="s">
        <v>917</v>
      </c>
      <c r="BF5" s="234" t="s">
        <v>918</v>
      </c>
      <c r="BG5" s="231" t="s">
        <v>919</v>
      </c>
      <c r="BH5" s="231" t="s">
        <v>920</v>
      </c>
      <c r="BI5" s="231" t="s">
        <v>921</v>
      </c>
      <c r="BJ5" s="234" t="str">
        <f>IS!BG5</f>
        <v>1Q02</v>
      </c>
      <c r="BK5" s="231" t="str">
        <f>IS!BH5</f>
        <v>2Q02</v>
      </c>
      <c r="BL5" s="231" t="str">
        <f>IS!BI5</f>
        <v>3Q02</v>
      </c>
      <c r="BM5" s="231" t="str">
        <f>IS!BJ5</f>
        <v>4Q02</v>
      </c>
      <c r="BN5" s="234" t="str">
        <f>IS!BK5</f>
        <v>1Q03</v>
      </c>
      <c r="BO5" s="231" t="str">
        <f>IS!BL5</f>
        <v>2Q03</v>
      </c>
      <c r="BP5" s="231" t="str">
        <f>IS!BM5</f>
        <v>3Q03</v>
      </c>
      <c r="BQ5" s="231" t="str">
        <f>IS!BN5</f>
        <v>4Q03</v>
      </c>
      <c r="BR5" s="234" t="str">
        <f>IS!BO5</f>
        <v>1Q04</v>
      </c>
      <c r="BS5" s="231" t="str">
        <f>IS!BP5</f>
        <v>2Q04</v>
      </c>
      <c r="BT5" s="231" t="str">
        <f>IS!BQ5</f>
        <v>3Q04</v>
      </c>
      <c r="BU5" s="231" t="str">
        <f>IS!BR5</f>
        <v>4Q04</v>
      </c>
      <c r="BV5" s="234" t="str">
        <f>IS!BS5</f>
        <v>1Q05</v>
      </c>
      <c r="BW5" s="231" t="str">
        <f>IS!BT5</f>
        <v>2Q05</v>
      </c>
      <c r="BX5" s="231" t="str">
        <f>IS!BU5</f>
        <v>3Q05</v>
      </c>
      <c r="BY5" s="231" t="str">
        <f>IS!BV5</f>
        <v>4Q05</v>
      </c>
      <c r="BZ5" s="234" t="str">
        <f>IS!BW5</f>
        <v>1Q06</v>
      </c>
      <c r="CA5" s="231" t="str">
        <f>IS!BX5</f>
        <v>2Q06</v>
      </c>
      <c r="CB5" s="231" t="str">
        <f>IS!BY5</f>
        <v>3Q06</v>
      </c>
      <c r="CC5" s="231" t="str">
        <f>IS!BZ5</f>
        <v>4Q06</v>
      </c>
      <c r="CD5" s="234" t="str">
        <f>IS!CA5</f>
        <v>1Q07</v>
      </c>
      <c r="CE5" s="231" t="str">
        <f>IS!CB5</f>
        <v>2Q07</v>
      </c>
      <c r="CF5" s="231" t="str">
        <f>IS!CC5</f>
        <v>3Q07</v>
      </c>
      <c r="CG5" s="231" t="str">
        <f>IS!CD5</f>
        <v>4Q07</v>
      </c>
      <c r="CH5" s="234" t="str">
        <f>IS!CE5</f>
        <v>1Q08</v>
      </c>
      <c r="CI5" s="231" t="str">
        <f>IS!CF5</f>
        <v>2Q08</v>
      </c>
      <c r="CJ5" s="231" t="str">
        <f>IS!CG5</f>
        <v>3Q08</v>
      </c>
      <c r="CK5" s="231" t="str">
        <f>IS!CH5</f>
        <v>4Q08</v>
      </c>
      <c r="CL5" s="234" t="str">
        <f>IS!CI5</f>
        <v>1Q09</v>
      </c>
      <c r="CM5" s="231" t="str">
        <f>IS!CJ5</f>
        <v>2Q09</v>
      </c>
      <c r="CN5" s="231" t="str">
        <f>IS!CK5</f>
        <v>3Q09</v>
      </c>
      <c r="CO5" s="231" t="str">
        <f>IS!CL5</f>
        <v>4Q09</v>
      </c>
      <c r="CP5" s="234" t="str">
        <f>IS!CM5</f>
        <v>1Q10</v>
      </c>
      <c r="CQ5" s="231" t="str">
        <f>IS!CN5</f>
        <v>2Q10</v>
      </c>
      <c r="CR5" s="231" t="str">
        <f>IS!CO5</f>
        <v>3Q10</v>
      </c>
      <c r="CS5" s="231" t="str">
        <f>IS!CP5</f>
        <v>4Q10</v>
      </c>
      <c r="CT5" s="234" t="str">
        <f>IS!CQ5</f>
        <v>1Q11</v>
      </c>
      <c r="CU5" s="231" t="str">
        <f>IS!CR5</f>
        <v>2Q11</v>
      </c>
      <c r="CV5" s="231" t="str">
        <f>IS!CS5</f>
        <v>3Q11</v>
      </c>
      <c r="CW5" s="232" t="str">
        <f>IS!CT5</f>
        <v>4Q11</v>
      </c>
      <c r="CX5" s="231" t="str">
        <f>IS!CU5</f>
        <v>1Q12</v>
      </c>
      <c r="CY5" s="231" t="str">
        <f>IS!CV5</f>
        <v>2Q12</v>
      </c>
      <c r="CZ5" s="231" t="str">
        <f>IS!CW5</f>
        <v>3Q12</v>
      </c>
      <c r="DA5" s="231" t="str">
        <f>IS!CX5</f>
        <v>4Q12</v>
      </c>
      <c r="DB5" s="231" t="str">
        <f>IS!CY5</f>
        <v>1Q13</v>
      </c>
      <c r="DC5" s="232" t="str">
        <f>IS!CZ5</f>
        <v>2Q13</v>
      </c>
      <c r="DD5" s="232" t="str">
        <f>IS!DA5</f>
        <v>3Q13</v>
      </c>
      <c r="DE5" s="231" t="str">
        <f>IS!DB5</f>
        <v>4Q13</v>
      </c>
      <c r="DF5" s="234" t="str">
        <f>IS!DC5</f>
        <v>1Q14</v>
      </c>
      <c r="DG5" s="232" t="str">
        <f>IS!DD5</f>
        <v>2Q14</v>
      </c>
      <c r="DH5" s="232" t="str">
        <f>IS!DE5</f>
        <v>3Q14</v>
      </c>
      <c r="DI5" s="232" t="str">
        <f>IS!DF5</f>
        <v>4Q14</v>
      </c>
      <c r="DJ5" s="234" t="str">
        <f>IS!DG5</f>
        <v>1Q15</v>
      </c>
      <c r="DK5" s="231" t="str">
        <f>IS!DH5</f>
        <v>2Q15</v>
      </c>
      <c r="DL5" s="231" t="str">
        <f>IS!DI5</f>
        <v>3Q15</v>
      </c>
      <c r="DM5" s="232" t="str">
        <f>IS!DJ5</f>
        <v>4Q15</v>
      </c>
      <c r="DN5" s="232" t="str">
        <f>IS!DK5</f>
        <v>1Q16</v>
      </c>
      <c r="DO5" s="232" t="str">
        <f>IS!DL5</f>
        <v>2Q16</v>
      </c>
      <c r="DP5" s="232" t="str">
        <f>IS!DM5</f>
        <v>3Q16</v>
      </c>
      <c r="DQ5" s="232" t="str">
        <f>IS!DN5</f>
        <v>4Q16</v>
      </c>
      <c r="DR5" s="232" t="str">
        <f>IS!DO5</f>
        <v>1Q17</v>
      </c>
      <c r="DS5" s="232" t="str">
        <f>IS!DP5</f>
        <v>2Q17</v>
      </c>
      <c r="DT5" s="232" t="str">
        <f>IS!DQ5</f>
        <v>3Q17</v>
      </c>
      <c r="DU5" s="232" t="str">
        <f>IS!DR5</f>
        <v>4Q17</v>
      </c>
      <c r="DV5" s="232" t="str">
        <f>IS!DS5</f>
        <v>1Q18</v>
      </c>
      <c r="DW5" s="232" t="str">
        <f>IS!DT5</f>
        <v>2Q18E</v>
      </c>
      <c r="DX5" s="232" t="str">
        <f>IS!DU5</f>
        <v>3Q18E</v>
      </c>
      <c r="DY5" s="232" t="str">
        <f>IS!DV5</f>
        <v>4Q18E</v>
      </c>
      <c r="DZ5" s="87"/>
    </row>
    <row r="6" spans="1:130">
      <c r="A6" s="584" t="s">
        <v>1212</v>
      </c>
      <c r="B6" s="128"/>
      <c r="C6" s="128"/>
      <c r="D6" s="128"/>
      <c r="E6" s="128"/>
      <c r="F6" s="128"/>
      <c r="G6" s="130"/>
      <c r="H6" s="130"/>
      <c r="I6" s="130"/>
      <c r="J6" s="130">
        <f>IS!J6</f>
        <v>3.06</v>
      </c>
      <c r="K6" s="130">
        <f>IS!K6</f>
        <v>2.59</v>
      </c>
      <c r="L6" s="130">
        <f>IS!L6</f>
        <v>2.4900000000000002</v>
      </c>
      <c r="M6" s="130">
        <f>IS!M6</f>
        <v>1</v>
      </c>
      <c r="N6" s="130">
        <f>IS!N6</f>
        <v>2.61</v>
      </c>
      <c r="O6" s="130">
        <f>IS!O6</f>
        <v>2.3866533099135196</v>
      </c>
      <c r="P6" s="130">
        <f>IS!P6</f>
        <v>2.538231328484017</v>
      </c>
      <c r="Q6" s="1036">
        <f>IS!Q6</f>
        <v>1.9136349876803944</v>
      </c>
      <c r="R6" s="130">
        <f>IS!R6</f>
        <v>2.0773481954809991</v>
      </c>
      <c r="S6" s="130">
        <f>IS!S6</f>
        <v>2.1540899052696991</v>
      </c>
      <c r="T6" s="1036">
        <f>IS!T6</f>
        <v>2.2251970649895183</v>
      </c>
      <c r="U6" s="130">
        <f>IS!U6</f>
        <v>2.8220215727209466</v>
      </c>
      <c r="V6" s="130">
        <f>IS!V6</f>
        <v>3.4132820851600503</v>
      </c>
      <c r="W6" s="130">
        <f>IS!W6</f>
        <v>3.4502992549163305</v>
      </c>
      <c r="X6" s="130">
        <f>IS!X6</f>
        <v>3.7416043566052744</v>
      </c>
      <c r="Y6" s="130">
        <f>IS!Y6</f>
        <v>3.7374602397846832</v>
      </c>
      <c r="Z6" s="130">
        <f ca="1">IS!Z6</f>
        <v>4.5447318949672786</v>
      </c>
      <c r="AA6" s="130">
        <f ca="1">IS!AA6</f>
        <v>4.7340805279717273</v>
      </c>
      <c r="AB6" s="130">
        <f ca="1">IS!AB6</f>
        <v>4.949467505016357</v>
      </c>
      <c r="AC6" s="130">
        <f ca="1">IS!AC6</f>
        <v>5.1589882052989253</v>
      </c>
      <c r="AD6" s="130">
        <f ca="1">IS!AD6</f>
        <v>5.3885502047206435</v>
      </c>
      <c r="AE6" s="130">
        <f ca="1">IS!AE6</f>
        <v>5.6328247202620876</v>
      </c>
      <c r="AF6" s="130">
        <f ca="1">IS!AF6</f>
        <v>5.8930980122776537</v>
      </c>
      <c r="AG6" s="130">
        <f ca="1">IS!AG6</f>
        <v>6.1637765370324686</v>
      </c>
      <c r="AH6" s="88"/>
      <c r="AI6" s="121"/>
      <c r="AJ6" s="121"/>
      <c r="AK6" s="121"/>
      <c r="AL6" s="121"/>
      <c r="AM6" s="121"/>
      <c r="AN6" s="428"/>
      <c r="AO6" s="121"/>
      <c r="AP6" s="131"/>
      <c r="AQ6" s="130"/>
      <c r="AR6" s="130"/>
      <c r="AS6" s="130"/>
      <c r="AT6" s="131"/>
      <c r="AU6" s="130"/>
      <c r="AV6" s="130"/>
      <c r="AW6" s="130"/>
      <c r="AX6" s="131"/>
      <c r="AY6" s="130"/>
      <c r="AZ6" s="130"/>
      <c r="BA6" s="130"/>
      <c r="BB6" s="131"/>
      <c r="BC6" s="130"/>
      <c r="BD6" s="130"/>
      <c r="BE6" s="130"/>
      <c r="BF6" s="131"/>
      <c r="BG6" s="130"/>
      <c r="BH6" s="130"/>
      <c r="BI6" s="130"/>
      <c r="BJ6" s="131"/>
      <c r="BK6" s="130"/>
      <c r="BL6" s="130"/>
      <c r="BM6" s="130"/>
      <c r="BN6" s="131"/>
      <c r="BO6" s="130"/>
      <c r="BP6" s="130"/>
      <c r="BQ6" s="130"/>
      <c r="BR6" s="131">
        <f>IS!BO6</f>
        <v>0.57428872497365646</v>
      </c>
      <c r="BS6" s="130">
        <f>IS!BP6</f>
        <v>0.63161609033168664</v>
      </c>
      <c r="BT6" s="130">
        <f>IS!BQ6</f>
        <v>0.64290780141843973</v>
      </c>
      <c r="BU6" s="130">
        <f>IS!BR6</f>
        <v>0.6415161176053843</v>
      </c>
      <c r="BV6" s="131">
        <f>IS!BS6</f>
        <v>0.60262318326834452</v>
      </c>
      <c r="BW6" s="130">
        <f>IS!BT6</f>
        <v>0.61653068463994321</v>
      </c>
      <c r="BX6" s="130">
        <f>IS!BU6</f>
        <v>0.6340078097266596</v>
      </c>
      <c r="BY6" s="130">
        <f>IS!BV6</f>
        <v>0.61079545454545459</v>
      </c>
      <c r="BZ6" s="131">
        <f>IS!BW6</f>
        <v>0.67530600364649018</v>
      </c>
      <c r="CA6" s="130">
        <f>IS!BX6</f>
        <v>0.63953882672092233</v>
      </c>
      <c r="CB6" s="130">
        <f>IS!BY6</f>
        <v>0.68114950393431406</v>
      </c>
      <c r="CC6" s="130">
        <f>IS!BZ6</f>
        <v>0.61870503597122306</v>
      </c>
      <c r="CD6" s="131">
        <f>IS!CA6</f>
        <v>0.55994503607007906</v>
      </c>
      <c r="CE6" s="130">
        <f>IS!CB6</f>
        <v>0.58479532163742687</v>
      </c>
      <c r="CF6" s="130">
        <f>IS!CC6</f>
        <v>0.62551724137931031</v>
      </c>
      <c r="CG6" s="130">
        <f>IS!CD6</f>
        <v>0.61639571082670352</v>
      </c>
      <c r="CH6" s="131">
        <f>IS!CE6</f>
        <v>0.60767888307155327</v>
      </c>
      <c r="CI6" s="130">
        <f>IS!CF6</f>
        <v>0.66783584707120314</v>
      </c>
      <c r="CJ6" s="130">
        <f>IS!CG6</f>
        <v>0.65553602811950795</v>
      </c>
      <c r="CK6" s="130">
        <f>IS!CH6</f>
        <v>0.60718057022175287</v>
      </c>
      <c r="CL6" s="131">
        <f>IS!CI6</f>
        <v>0.47437486800422379</v>
      </c>
      <c r="CM6" s="130">
        <f>IS!CJ6</f>
        <v>0.51500422386483635</v>
      </c>
      <c r="CN6" s="130">
        <f>IS!CK6</f>
        <v>0.48104963041182691</v>
      </c>
      <c r="CO6" s="130">
        <f>IS!CL6</f>
        <v>0.44320626539950719</v>
      </c>
      <c r="CP6" s="131">
        <f>IS!CM6</f>
        <v>0.47732157968970379</v>
      </c>
      <c r="CQ6" s="130">
        <f>IS!CN6</f>
        <v>0.51364803678811444</v>
      </c>
      <c r="CR6" s="130">
        <f>IS!CO6</f>
        <v>0.54674690703428763</v>
      </c>
      <c r="CS6" s="130">
        <f>IS!CP6</f>
        <v>0.53963167196889361</v>
      </c>
      <c r="CT6" s="131">
        <f>IS!CQ6</f>
        <v>0.50918727915194351</v>
      </c>
      <c r="CU6" s="130">
        <f>IS!CR6</f>
        <v>0.5692090395480226</v>
      </c>
      <c r="CV6" s="130">
        <f>IS!CS6</f>
        <v>0.55881792519407203</v>
      </c>
      <c r="CW6" s="132">
        <f>IS!CT6</f>
        <v>0.51687566137566132</v>
      </c>
      <c r="CX6" s="130">
        <f>IS!CU6</f>
        <v>0.59301860301860299</v>
      </c>
      <c r="CY6" s="130">
        <f>IS!CV6</f>
        <v>0.63033939818054585</v>
      </c>
      <c r="CZ6" s="130">
        <f>IS!CW6</f>
        <v>0.6364312630844382</v>
      </c>
      <c r="DA6" s="130">
        <f>IS!CX6</f>
        <v>0.37228581411600281</v>
      </c>
      <c r="DB6" s="131">
        <f>IS!CY6</f>
        <v>0.67757660167130918</v>
      </c>
      <c r="DC6" s="130">
        <f>IS!CZ6</f>
        <v>0.72865250696378836</v>
      </c>
      <c r="DD6" s="130">
        <f>IS!DA6</f>
        <v>0.76658315935977728</v>
      </c>
      <c r="DE6" s="130">
        <f>IS!DB6</f>
        <v>0.64996173913043476</v>
      </c>
      <c r="DF6" s="131">
        <f>IS!DC6</f>
        <v>0.91084337349397593</v>
      </c>
      <c r="DG6" s="1036">
        <f>IS!DD6</f>
        <v>0.90769564170479167</v>
      </c>
      <c r="DH6" s="1036">
        <f>IS!DE6</f>
        <v>0.88843471988458766</v>
      </c>
      <c r="DI6" s="132">
        <f>IS!DF6</f>
        <v>0.71300938176569639</v>
      </c>
      <c r="DJ6" s="131">
        <f>IS!DG6</f>
        <v>0.88910458626546951</v>
      </c>
      <c r="DK6" s="1036">
        <f>IS!DH6</f>
        <v>0.90183598531211751</v>
      </c>
      <c r="DL6" s="2156">
        <f>IS!DI6</f>
        <v>0.91012770137524557</v>
      </c>
      <c r="DM6" s="2156">
        <f>IS!DJ6</f>
        <v>0.7531305201177626</v>
      </c>
      <c r="DN6" s="2166">
        <f>IS!DK6</f>
        <v>0.93005140758873939</v>
      </c>
      <c r="DO6" s="2167">
        <f>IS!DL6</f>
        <v>0.94394124847001226</v>
      </c>
      <c r="DP6" s="2167">
        <f>IS!DM6</f>
        <v>1.0088105726872247</v>
      </c>
      <c r="DQ6" s="2167">
        <f>IS!DN6</f>
        <v>0.85882065084413994</v>
      </c>
      <c r="DR6" s="2166">
        <f>IS!DO6</f>
        <v>0.94519207242476144</v>
      </c>
      <c r="DS6" s="2167">
        <f>IS!DP6</f>
        <v>0.95639392454679084</v>
      </c>
      <c r="DT6" s="2167">
        <f>IS!DQ6</f>
        <v>0.97676693568109563</v>
      </c>
      <c r="DU6" s="3336">
        <f>IS!DR6</f>
        <v>0.85916870415647917</v>
      </c>
      <c r="DV6" s="3336">
        <f>IS!DS6</f>
        <v>1.1714146579011444</v>
      </c>
      <c r="DW6" s="2167">
        <f ca="1">IS!DT6</f>
        <v>1.1606189746252034</v>
      </c>
      <c r="DX6" s="2167">
        <f ca="1">IS!DU6</f>
        <v>1.2111746666504053</v>
      </c>
      <c r="DY6" s="2168">
        <f ca="1">IS!DV6</f>
        <v>1.0018026868648913</v>
      </c>
      <c r="DZ6" s="87"/>
    </row>
    <row r="7" spans="1:130">
      <c r="A7" s="469"/>
      <c r="B7" s="133"/>
      <c r="C7" s="133"/>
      <c r="D7" s="134"/>
      <c r="E7" s="134"/>
      <c r="F7" s="135"/>
      <c r="G7" s="135"/>
      <c r="H7" s="135"/>
      <c r="I7" s="135"/>
      <c r="J7" s="135">
        <f>IS!J7</f>
        <v>1.9999999999999796E-2</v>
      </c>
      <c r="K7" s="135">
        <f>IS!K7</f>
        <v>-0.15359477124182996</v>
      </c>
      <c r="L7" s="135">
        <f>IS!L7</f>
        <v>-3.8610038610038422E-2</v>
      </c>
      <c r="M7" s="135">
        <f>IS!M7</f>
        <v>-0.59839357429718887</v>
      </c>
      <c r="N7" s="135">
        <f>IS!N7</f>
        <v>1.6099999999999999</v>
      </c>
      <c r="O7" s="135">
        <f>IS!O7</f>
        <v>-8.5573444477578642E-2</v>
      </c>
      <c r="P7" s="135">
        <f>IS!P7</f>
        <v>6.3510698408052235E-2</v>
      </c>
      <c r="Q7" s="1037" t="str">
        <f>IS!Q7</f>
        <v>na</v>
      </c>
      <c r="R7" s="135">
        <f>IS!R7</f>
        <v>8.5550906444832986E-2</v>
      </c>
      <c r="S7" s="135">
        <f>IS!S7</f>
        <v>3.6942150553114672E-2</v>
      </c>
      <c r="T7" s="1037">
        <f>IS!T7</f>
        <v>3.3010302655364976E-2</v>
      </c>
      <c r="U7" s="135">
        <f>IS!U7</f>
        <v>0.26821197866996083</v>
      </c>
      <c r="V7" s="135">
        <f>IS!V7</f>
        <v>0.20951665223062776</v>
      </c>
      <c r="W7" s="135">
        <f>IS!W7</f>
        <v>1.0845036780645856E-2</v>
      </c>
      <c r="X7" s="135">
        <f>IS!X7</f>
        <v>8.4428937946140037E-2</v>
      </c>
      <c r="Y7" s="135">
        <f>IS!Y7</f>
        <v>-1.1075775056962334E-3</v>
      </c>
      <c r="Z7" s="135">
        <f ca="1">IS!Z7</f>
        <v>0.21599471389402725</v>
      </c>
      <c r="AA7" s="135">
        <f ca="1">IS!AA7</f>
        <v>4.1663323025529442E-2</v>
      </c>
      <c r="AB7" s="135">
        <f ca="1">IS!AB7</f>
        <v>4.5497108841304534E-2</v>
      </c>
      <c r="AC7" s="135">
        <f ca="1">IS!AC7</f>
        <v>4.2331968049131863E-2</v>
      </c>
      <c r="AD7" s="135">
        <f ca="1">IS!AD7</f>
        <v>4.4497484833543322E-2</v>
      </c>
      <c r="AE7" s="135">
        <f ca="1">IS!AE7</f>
        <v>4.5332140605732318E-2</v>
      </c>
      <c r="AF7" s="135">
        <f ca="1">IS!AF7</f>
        <v>4.6206531348175206E-2</v>
      </c>
      <c r="AG7" s="135">
        <f ca="1">IS!AG7</f>
        <v>4.593144797369475E-2</v>
      </c>
      <c r="AH7" s="147"/>
      <c r="AI7" s="133"/>
      <c r="AJ7" s="133"/>
      <c r="AK7" s="133"/>
      <c r="AL7" s="133"/>
      <c r="AM7" s="133"/>
      <c r="AN7" s="133"/>
      <c r="AO7" s="133"/>
      <c r="AP7" s="648"/>
      <c r="AQ7" s="134"/>
      <c r="AR7" s="134"/>
      <c r="AS7" s="134"/>
      <c r="AT7" s="648"/>
      <c r="AU7" s="134"/>
      <c r="AV7" s="134"/>
      <c r="AW7" s="134"/>
      <c r="AX7" s="136"/>
      <c r="AY7" s="135"/>
      <c r="AZ7" s="135"/>
      <c r="BA7" s="135"/>
      <c r="BB7" s="136"/>
      <c r="BC7" s="135"/>
      <c r="BD7" s="135"/>
      <c r="BE7" s="135"/>
      <c r="BF7" s="136"/>
      <c r="BG7" s="135"/>
      <c r="BH7" s="135"/>
      <c r="BI7" s="135"/>
      <c r="BJ7" s="136"/>
      <c r="BK7" s="135"/>
      <c r="BL7" s="135"/>
      <c r="BM7" s="135"/>
      <c r="BN7" s="136"/>
      <c r="BO7" s="135"/>
      <c r="BP7" s="135"/>
      <c r="BQ7" s="135"/>
      <c r="BR7" s="136">
        <f>IS!BO7</f>
        <v>-0.15545775739168177</v>
      </c>
      <c r="BS7" s="135">
        <f>IS!BP7</f>
        <v>-5.7289417415393173E-2</v>
      </c>
      <c r="BT7" s="135">
        <f>IS!BQ7</f>
        <v>3.6948066803935031E-2</v>
      </c>
      <c r="BU7" s="135">
        <f>IS!BR7</f>
        <v>0.1254668729919024</v>
      </c>
      <c r="BV7" s="136">
        <f>IS!BS7</f>
        <v>4.9338350314970691E-2</v>
      </c>
      <c r="BW7" s="135">
        <f>IS!BT7</f>
        <v>-2.3883821078436229E-2</v>
      </c>
      <c r="BX7" s="135">
        <f>IS!BU7</f>
        <v>-1.3843340634760004E-2</v>
      </c>
      <c r="BY7" s="135">
        <f>IS!BV7</f>
        <v>-4.7887593494302383E-2</v>
      </c>
      <c r="BZ7" s="136">
        <f>IS!BW7</f>
        <v>0.12061072722749944</v>
      </c>
      <c r="CA7" s="135">
        <f>IS!BX7</f>
        <v>3.731872987703122E-2</v>
      </c>
      <c r="CB7" s="135">
        <f>IS!BY7</f>
        <v>7.4355068635477473E-2</v>
      </c>
      <c r="CC7" s="135">
        <f>IS!BZ7</f>
        <v>1.2949640287769792E-2</v>
      </c>
      <c r="CD7" s="136">
        <f>IS!CA7</f>
        <v>-0.17082769433929157</v>
      </c>
      <c r="CE7" s="135">
        <f>IS!CB7</f>
        <v>-8.5598407471488946E-2</v>
      </c>
      <c r="CF7" s="135">
        <f>IS!CC7</f>
        <v>-8.1674085107120042E-2</v>
      </c>
      <c r="CG7" s="135">
        <f>IS!CD7</f>
        <v>-3.732513896374634E-3</v>
      </c>
      <c r="CH7" s="136">
        <f>IS!CE7</f>
        <v>8.5247379522264577E-2</v>
      </c>
      <c r="CI7" s="135">
        <f>IS!CF7</f>
        <v>0.14199929849175752</v>
      </c>
      <c r="CJ7" s="135">
        <f>IS!CG7</f>
        <v>4.7990342638684291E-2</v>
      </c>
      <c r="CK7" s="135">
        <f>IS!CH7</f>
        <v>-1.4950040117234775E-2</v>
      </c>
      <c r="CL7" s="136" t="str">
        <f>IS!CI7</f>
        <v>na</v>
      </c>
      <c r="CM7" s="135" t="str">
        <f>IS!CJ7</f>
        <v>na</v>
      </c>
      <c r="CN7" s="135" t="str">
        <f>IS!CK7</f>
        <v>na</v>
      </c>
      <c r="CO7" s="135" t="str">
        <f>IS!CL7</f>
        <v>na</v>
      </c>
      <c r="CP7" s="136">
        <f>IS!CM7</f>
        <v>6.2117786675279785E-3</v>
      </c>
      <c r="CQ7" s="135">
        <f>IS!CN7</f>
        <v>-2.6333513666051411E-3</v>
      </c>
      <c r="CR7" s="135">
        <f>IS!CO7</f>
        <v>0.13657068308360865</v>
      </c>
      <c r="CS7" s="135">
        <f>IS!CP7</f>
        <v>0.21756327492904082</v>
      </c>
      <c r="CT7" s="136">
        <f>IS!CQ7</f>
        <v>6.6759394123674154E-2</v>
      </c>
      <c r="CU7" s="135">
        <f>IS!CR7</f>
        <v>0.10816940546942599</v>
      </c>
      <c r="CV7" s="135">
        <f>IS!CS7</f>
        <v>2.2077890161758873E-2</v>
      </c>
      <c r="CW7" s="137">
        <f>IS!CT7</f>
        <v>-4.2169523723848523E-2</v>
      </c>
      <c r="CX7" s="135">
        <f>IS!CU7</f>
        <v>0.16463750627525764</v>
      </c>
      <c r="CY7" s="135">
        <f>IS!CV7</f>
        <v>0.10739527025267104</v>
      </c>
      <c r="CZ7" s="135">
        <f>IS!CW7</f>
        <v>0.13888841855495571</v>
      </c>
      <c r="DA7" s="135">
        <f>IS!CX7</f>
        <v>-0.27973816154321052</v>
      </c>
      <c r="DB7" s="136">
        <f>IS!CY7</f>
        <v>0.14258911646664418</v>
      </c>
      <c r="DC7" s="135">
        <f>IS!CZ7</f>
        <v>0.15596852912418302</v>
      </c>
      <c r="DD7" s="135">
        <f>IS!DA7</f>
        <v>0.20450267581853732</v>
      </c>
      <c r="DE7" s="135">
        <f>IS!DB7</f>
        <v>0.74586759550260284</v>
      </c>
      <c r="DF7" s="136">
        <f>IS!DC7</f>
        <v>0.34426627372800556</v>
      </c>
      <c r="DG7" s="1037">
        <f>IS!DD7</f>
        <v>0.24571813454269931</v>
      </c>
      <c r="DH7" s="1037">
        <f>IS!DE7</f>
        <v>0.15895413176905215</v>
      </c>
      <c r="DI7" s="137">
        <f>IS!DF7</f>
        <v>9.7002083106632275E-2</v>
      </c>
      <c r="DJ7" s="136">
        <f>IS!DG7</f>
        <v>-2.3866657936058577E-2</v>
      </c>
      <c r="DK7" s="1037">
        <f>IS!DH7</f>
        <v>-6.4555299413675549E-3</v>
      </c>
      <c r="DL7" s="2157">
        <f>IS!DI7</f>
        <v>2.4417079842935285E-2</v>
      </c>
      <c r="DM7" s="2157">
        <f>IS!DJ7</f>
        <v>5.6270140867866525E-2</v>
      </c>
      <c r="DN7" s="2169">
        <f>IS!DK7</f>
        <v>4.6053998546177644E-2</v>
      </c>
      <c r="DO7" s="2170">
        <f>IS!DL7</f>
        <v>4.6688382193268207E-2</v>
      </c>
      <c r="DP7" s="2170">
        <f>IS!DM7</f>
        <v>0.1084274999682624</v>
      </c>
      <c r="DQ7" s="2170">
        <f>IS!DN7</f>
        <v>0.14033441469063179</v>
      </c>
      <c r="DR7" s="2169">
        <f>IS!DO7</f>
        <v>1.6279384894729576E-2</v>
      </c>
      <c r="DS7" s="2170">
        <f>IS!DP7</f>
        <v>1.3192215190259482E-2</v>
      </c>
      <c r="DT7" s="2170">
        <f>IS!DQ7</f>
        <v>-3.1763779914372514E-2</v>
      </c>
      <c r="DU7" s="2170">
        <f>IS!DR7</f>
        <v>4.0526891382630659E-4</v>
      </c>
      <c r="DV7" s="2170">
        <f>IS!DS7</f>
        <v>0.23934033311984915</v>
      </c>
      <c r="DW7" s="2170">
        <f ca="1">IS!DT7</f>
        <v>0.2135365405789138</v>
      </c>
      <c r="DX7" s="2170">
        <f ca="1">IS!DU7</f>
        <v>0.23998327790022711</v>
      </c>
      <c r="DY7" s="2171">
        <f ca="1">IS!DV7</f>
        <v>0.16601394117171475</v>
      </c>
      <c r="DZ7" s="94"/>
    </row>
    <row r="8" spans="1:130">
      <c r="A8" s="88"/>
      <c r="B8" s="87"/>
      <c r="C8" s="87"/>
      <c r="D8" s="87"/>
      <c r="E8" s="87"/>
      <c r="F8" s="87"/>
      <c r="G8" s="87"/>
      <c r="H8" s="87"/>
      <c r="I8" s="87"/>
      <c r="J8" s="87"/>
      <c r="K8" s="87"/>
      <c r="L8" s="87"/>
      <c r="M8" s="87"/>
      <c r="N8" s="87"/>
      <c r="O8" s="87"/>
      <c r="P8" s="87"/>
      <c r="Q8" s="1041"/>
      <c r="R8" s="87"/>
      <c r="S8" s="87"/>
      <c r="T8" s="1041"/>
      <c r="U8" s="87"/>
      <c r="V8" s="87"/>
      <c r="W8" s="87"/>
      <c r="X8" s="87"/>
      <c r="Y8" s="87"/>
      <c r="Z8" s="87"/>
      <c r="AA8" s="87"/>
      <c r="AB8" s="87"/>
      <c r="AC8" s="87"/>
      <c r="AD8" s="87"/>
      <c r="AE8" s="87"/>
      <c r="AF8" s="87"/>
      <c r="AG8" s="87"/>
      <c r="AH8" s="88"/>
      <c r="AI8" s="87"/>
      <c r="AJ8" s="87"/>
      <c r="AK8" s="87"/>
      <c r="AL8" s="87"/>
      <c r="AM8" s="87"/>
      <c r="AN8" s="87"/>
      <c r="AO8" s="87"/>
      <c r="AP8" s="88"/>
      <c r="AQ8" s="87"/>
      <c r="AR8" s="87"/>
      <c r="AS8" s="87"/>
      <c r="AT8" s="88"/>
      <c r="AU8" s="87"/>
      <c r="AV8" s="87"/>
      <c r="AW8" s="87"/>
      <c r="AX8" s="88"/>
      <c r="AY8" s="87"/>
      <c r="AZ8" s="87"/>
      <c r="BA8" s="87"/>
      <c r="BB8" s="88"/>
      <c r="BC8" s="87"/>
      <c r="BD8" s="87"/>
      <c r="BE8" s="87"/>
      <c r="BF8" s="88"/>
      <c r="BG8" s="87"/>
      <c r="BH8" s="87"/>
      <c r="BI8" s="87"/>
      <c r="BJ8" s="88"/>
      <c r="BK8" s="87"/>
      <c r="BL8" s="87"/>
      <c r="BM8" s="87"/>
      <c r="BN8" s="88"/>
      <c r="BO8" s="87"/>
      <c r="BP8" s="87"/>
      <c r="BQ8" s="87"/>
      <c r="BR8" s="88"/>
      <c r="BS8" s="87"/>
      <c r="BT8" s="87"/>
      <c r="BU8" s="87"/>
      <c r="BV8" s="292"/>
      <c r="BW8" s="270"/>
      <c r="BX8" s="270"/>
      <c r="BY8" s="270"/>
      <c r="BZ8" s="292"/>
      <c r="CA8" s="270"/>
      <c r="CB8" s="270"/>
      <c r="CC8" s="270"/>
      <c r="CD8" s="292"/>
      <c r="CE8" s="270"/>
      <c r="CF8" s="270"/>
      <c r="CG8" s="270"/>
      <c r="CH8" s="292"/>
      <c r="CI8" s="270"/>
      <c r="CJ8" s="270"/>
      <c r="CK8" s="270"/>
      <c r="CL8" s="292"/>
      <c r="CM8" s="270"/>
      <c r="CN8" s="270"/>
      <c r="CO8" s="270"/>
      <c r="CP8" s="292"/>
      <c r="CQ8" s="270"/>
      <c r="CR8" s="270"/>
      <c r="CS8" s="270"/>
      <c r="CT8" s="292"/>
      <c r="CU8" s="270"/>
      <c r="CV8" s="270"/>
      <c r="CW8" s="293"/>
      <c r="CX8" s="270"/>
      <c r="CY8" s="270"/>
      <c r="CZ8" s="270"/>
      <c r="DA8" s="270"/>
      <c r="DB8" s="292"/>
      <c r="DC8" s="270"/>
      <c r="DD8" s="270"/>
      <c r="DE8" s="270"/>
      <c r="DF8" s="292"/>
      <c r="DG8" s="1544"/>
      <c r="DH8" s="1544"/>
      <c r="DI8" s="293"/>
      <c r="DJ8" s="292"/>
      <c r="DK8" s="1544"/>
      <c r="DL8" s="1544"/>
      <c r="DM8" s="1544"/>
      <c r="DN8" s="292"/>
      <c r="DO8" s="1544"/>
      <c r="DP8" s="1544"/>
      <c r="DQ8" s="1544"/>
      <c r="DR8" s="292"/>
      <c r="DS8" s="1544"/>
      <c r="DT8" s="1544"/>
      <c r="DU8" s="1544"/>
      <c r="DV8" s="1544"/>
      <c r="DW8" s="1544"/>
      <c r="DX8" s="1544"/>
      <c r="DY8" s="293"/>
      <c r="DZ8" s="87"/>
    </row>
    <row r="9" spans="1:130" hidden="1" outlineLevel="1">
      <c r="A9" s="198" t="s">
        <v>496</v>
      </c>
      <c r="B9" s="139"/>
      <c r="C9" s="139"/>
      <c r="D9" s="139"/>
      <c r="E9" s="139"/>
      <c r="F9" s="139"/>
      <c r="G9" s="140"/>
      <c r="H9" s="140"/>
      <c r="I9" s="140"/>
      <c r="J9" s="140"/>
      <c r="K9" s="140"/>
      <c r="L9" s="140"/>
      <c r="M9" s="140"/>
      <c r="N9" s="140"/>
      <c r="O9" s="140"/>
      <c r="P9" s="140"/>
      <c r="Q9" s="1038"/>
      <c r="R9" s="140"/>
      <c r="S9" s="140"/>
      <c r="T9" s="1038"/>
      <c r="U9" s="140"/>
      <c r="V9" s="140"/>
      <c r="W9" s="140"/>
      <c r="X9" s="140"/>
      <c r="Y9" s="140"/>
      <c r="Z9" s="140"/>
      <c r="AA9" s="140"/>
      <c r="AB9" s="140"/>
      <c r="AC9" s="140"/>
      <c r="AD9" s="140"/>
      <c r="AE9" s="140"/>
      <c r="AF9" s="140"/>
      <c r="AG9" s="140"/>
      <c r="AH9" s="1424"/>
      <c r="AI9" s="140"/>
      <c r="AJ9" s="140"/>
      <c r="AK9" s="140"/>
      <c r="AL9" s="140"/>
      <c r="AM9" s="140"/>
      <c r="AN9" s="140"/>
      <c r="AO9" s="140"/>
      <c r="AP9" s="141"/>
      <c r="AQ9" s="140"/>
      <c r="AR9" s="140"/>
      <c r="AS9" s="140"/>
      <c r="AT9" s="141"/>
      <c r="AU9" s="140"/>
      <c r="AV9" s="140"/>
      <c r="AW9" s="140"/>
      <c r="AX9" s="141"/>
      <c r="AY9" s="140"/>
      <c r="AZ9" s="140"/>
      <c r="BA9" s="140"/>
      <c r="BB9" s="141"/>
      <c r="BC9" s="140"/>
      <c r="BD9" s="140"/>
      <c r="BE9" s="140"/>
      <c r="BF9" s="141"/>
      <c r="BG9" s="140"/>
      <c r="BH9" s="140"/>
      <c r="BI9" s="140"/>
      <c r="BJ9" s="141"/>
      <c r="BK9" s="140"/>
      <c r="BL9" s="140"/>
      <c r="BM9" s="140"/>
      <c r="BN9" s="141"/>
      <c r="BO9" s="140"/>
      <c r="BP9" s="140"/>
      <c r="BQ9" s="140"/>
      <c r="BR9" s="141"/>
      <c r="BS9" s="140"/>
      <c r="BT9" s="140"/>
      <c r="BU9" s="140"/>
      <c r="BV9" s="141"/>
      <c r="BW9" s="140"/>
      <c r="BX9" s="140"/>
      <c r="BY9" s="140"/>
      <c r="BZ9" s="141"/>
      <c r="CA9" s="140"/>
      <c r="CB9" s="140"/>
      <c r="CC9" s="140"/>
      <c r="CD9" s="141"/>
      <c r="CE9" s="140"/>
      <c r="CF9" s="140"/>
      <c r="CG9" s="140"/>
      <c r="CH9" s="141"/>
      <c r="CI9" s="140"/>
      <c r="CJ9" s="140"/>
      <c r="CK9" s="140"/>
      <c r="CL9" s="141"/>
      <c r="CM9" s="140"/>
      <c r="CN9" s="140"/>
      <c r="CO9" s="140"/>
      <c r="CP9" s="141"/>
      <c r="CQ9" s="140"/>
      <c r="CR9" s="140"/>
      <c r="CS9" s="140"/>
      <c r="CT9" s="141"/>
      <c r="CU9" s="140"/>
      <c r="CV9" s="140"/>
      <c r="CW9" s="142"/>
      <c r="CX9" s="140"/>
      <c r="CY9" s="140"/>
      <c r="CZ9" s="140"/>
      <c r="DA9" s="140"/>
      <c r="DB9" s="141"/>
      <c r="DC9" s="140"/>
      <c r="DD9" s="140"/>
      <c r="DE9" s="140"/>
      <c r="DF9" s="141"/>
      <c r="DG9" s="1038"/>
      <c r="DH9" s="1038"/>
      <c r="DI9" s="142"/>
      <c r="DJ9" s="141"/>
      <c r="DK9" s="1038"/>
      <c r="DL9" s="1038"/>
      <c r="DM9" s="1038"/>
      <c r="DN9" s="141"/>
      <c r="DO9" s="1038"/>
      <c r="DP9" s="1038"/>
      <c r="DQ9" s="1038"/>
      <c r="DR9" s="141"/>
      <c r="DS9" s="141"/>
      <c r="DT9" s="141"/>
      <c r="DU9" s="141"/>
      <c r="DV9" s="141"/>
      <c r="DW9" s="1038"/>
      <c r="DX9" s="1038"/>
      <c r="DY9" s="142"/>
      <c r="DZ9" s="87"/>
    </row>
    <row r="10" spans="1:130" hidden="1" outlineLevel="1">
      <c r="A10" s="88"/>
      <c r="B10" s="87"/>
      <c r="C10" s="87"/>
      <c r="D10" s="87"/>
      <c r="E10" s="87"/>
      <c r="F10" s="87"/>
      <c r="G10" s="87"/>
      <c r="H10" s="87"/>
      <c r="I10" s="87"/>
      <c r="J10" s="87"/>
      <c r="K10" s="87"/>
      <c r="L10" s="87"/>
      <c r="M10" s="87"/>
      <c r="N10" s="87"/>
      <c r="O10" s="87"/>
      <c r="P10" s="87"/>
      <c r="Q10" s="1041"/>
      <c r="R10" s="87"/>
      <c r="S10" s="87"/>
      <c r="T10" s="1041"/>
      <c r="U10" s="87"/>
      <c r="V10" s="87"/>
      <c r="W10" s="87"/>
      <c r="X10" s="87"/>
      <c r="Y10" s="87"/>
      <c r="Z10" s="87"/>
      <c r="AA10" s="87"/>
      <c r="AB10" s="87"/>
      <c r="AC10" s="87"/>
      <c r="AD10" s="87"/>
      <c r="AE10" s="87"/>
      <c r="AF10" s="87"/>
      <c r="AG10" s="87"/>
      <c r="AH10" s="88"/>
      <c r="AI10" s="87"/>
      <c r="AJ10" s="87"/>
      <c r="AK10" s="87"/>
      <c r="AL10" s="87"/>
      <c r="AM10" s="87"/>
      <c r="AN10" s="87"/>
      <c r="AO10" s="87"/>
      <c r="AP10" s="88"/>
      <c r="AQ10" s="87"/>
      <c r="AR10" s="87"/>
      <c r="AS10" s="87"/>
      <c r="AT10" s="88"/>
      <c r="AU10" s="87"/>
      <c r="AV10" s="87"/>
      <c r="AW10" s="87"/>
      <c r="AX10" s="88"/>
      <c r="AY10" s="87"/>
      <c r="AZ10" s="87"/>
      <c r="BA10" s="87"/>
      <c r="BB10" s="88"/>
      <c r="BC10" s="87"/>
      <c r="BD10" s="87"/>
      <c r="BE10" s="87"/>
      <c r="BF10" s="88"/>
      <c r="BG10" s="87"/>
      <c r="BH10" s="87"/>
      <c r="BI10" s="87"/>
      <c r="BJ10" s="88"/>
      <c r="BK10" s="87"/>
      <c r="BL10" s="87"/>
      <c r="BM10" s="87"/>
      <c r="BN10" s="88"/>
      <c r="BO10" s="87"/>
      <c r="BP10" s="87"/>
      <c r="BQ10" s="87"/>
      <c r="BR10" s="88"/>
      <c r="BS10" s="87"/>
      <c r="BT10" s="87"/>
      <c r="BU10" s="87"/>
      <c r="BV10" s="88"/>
      <c r="BW10" s="87"/>
      <c r="BX10" s="87"/>
      <c r="BY10" s="87"/>
      <c r="BZ10" s="88"/>
      <c r="CA10" s="87"/>
      <c r="CB10" s="87"/>
      <c r="CC10" s="87"/>
      <c r="CD10" s="88"/>
      <c r="CE10" s="87"/>
      <c r="CF10" s="87"/>
      <c r="CG10" s="87"/>
      <c r="CH10" s="88"/>
      <c r="CI10" s="87"/>
      <c r="CJ10" s="87"/>
      <c r="CK10" s="87"/>
      <c r="CL10" s="88"/>
      <c r="CM10" s="87"/>
      <c r="CN10" s="87"/>
      <c r="CO10" s="87"/>
      <c r="CP10" s="88"/>
      <c r="CQ10" s="87"/>
      <c r="CR10" s="87"/>
      <c r="CS10" s="87"/>
      <c r="CT10" s="88"/>
      <c r="CU10" s="87"/>
      <c r="CV10" s="87"/>
      <c r="CW10" s="144"/>
      <c r="CX10" s="87"/>
      <c r="CY10" s="87"/>
      <c r="CZ10" s="87"/>
      <c r="DA10" s="87"/>
      <c r="DB10" s="88"/>
      <c r="DC10" s="87"/>
      <c r="DD10" s="87"/>
      <c r="DE10" s="87"/>
      <c r="DF10" s="88"/>
      <c r="DG10" s="1041"/>
      <c r="DH10" s="1041"/>
      <c r="DI10" s="144"/>
      <c r="DJ10" s="88"/>
      <c r="DK10" s="1041"/>
      <c r="DL10" s="1041"/>
      <c r="DM10" s="1041"/>
      <c r="DN10" s="88"/>
      <c r="DO10" s="1041"/>
      <c r="DP10" s="1041"/>
      <c r="DQ10" s="1041"/>
      <c r="DR10" s="88"/>
      <c r="DS10" s="88"/>
      <c r="DT10" s="88"/>
      <c r="DU10" s="88"/>
      <c r="DV10" s="88"/>
      <c r="DW10" s="1041"/>
      <c r="DX10" s="1041"/>
      <c r="DY10" s="144"/>
      <c r="DZ10" s="87"/>
    </row>
    <row r="11" spans="1:130" hidden="1" outlineLevel="1">
      <c r="A11" s="178" t="s">
        <v>965</v>
      </c>
      <c r="B11" s="169"/>
      <c r="C11" s="169"/>
      <c r="D11" s="169"/>
      <c r="E11" s="169"/>
      <c r="F11" s="169"/>
      <c r="G11" s="169"/>
      <c r="H11" s="169"/>
      <c r="I11" s="169"/>
      <c r="J11" s="169"/>
      <c r="K11" s="169"/>
      <c r="L11" s="169"/>
      <c r="M11" s="169"/>
      <c r="N11" s="169">
        <f t="shared" ref="N11:Y11" si="0">N34</f>
        <v>14264</v>
      </c>
      <c r="O11" s="169">
        <f t="shared" si="0"/>
        <v>14120</v>
      </c>
      <c r="P11" s="169">
        <f t="shared" si="0"/>
        <v>14505</v>
      </c>
      <c r="Q11" s="1051">
        <f t="shared" si="0"/>
        <v>15333</v>
      </c>
      <c r="R11" s="169">
        <f t="shared" si="0"/>
        <v>15890</v>
      </c>
      <c r="S11" s="169">
        <f t="shared" si="0"/>
        <v>16496</v>
      </c>
      <c r="T11" s="1051">
        <f t="shared" si="0"/>
        <v>16460</v>
      </c>
      <c r="U11" s="169">
        <f t="shared" si="0"/>
        <v>16606</v>
      </c>
      <c r="V11" s="169">
        <f t="shared" si="0"/>
        <v>16533</v>
      </c>
      <c r="W11" s="169">
        <f>W34</f>
        <v>16017</v>
      </c>
      <c r="X11" s="169">
        <f>X34</f>
        <v>15928</v>
      </c>
      <c r="Y11" s="169">
        <f t="shared" si="0"/>
        <v>16954</v>
      </c>
      <c r="Z11" s="169">
        <f t="shared" ref="Z11" ca="1" si="1">Z34</f>
        <v>17438.122395504059</v>
      </c>
      <c r="AA11" s="169">
        <f ca="1">AA34</f>
        <v>17448.447250665944</v>
      </c>
      <c r="AB11" s="169">
        <f ca="1">AB34</f>
        <v>17388.464921089417</v>
      </c>
      <c r="AC11" s="169">
        <f t="shared" ref="AC11:AG11" ca="1" si="2">AC34</f>
        <v>17332.258805757399</v>
      </c>
      <c r="AD11" s="169">
        <f t="shared" ca="1" si="2"/>
        <v>17280.235774858396</v>
      </c>
      <c r="AE11" s="169">
        <f t="shared" ca="1" si="2"/>
        <v>17232.757878509019</v>
      </c>
      <c r="AF11" s="169">
        <f t="shared" ca="1" si="2"/>
        <v>17190.239744419494</v>
      </c>
      <c r="AG11" s="169">
        <f t="shared" ca="1" si="2"/>
        <v>17193.729220377427</v>
      </c>
      <c r="AH11" s="178"/>
      <c r="AI11" s="169"/>
      <c r="AJ11" s="169"/>
      <c r="AK11" s="169"/>
      <c r="AL11" s="169"/>
      <c r="AM11" s="761"/>
      <c r="AN11" s="169"/>
      <c r="AO11" s="169"/>
      <c r="AP11" s="178"/>
      <c r="AQ11" s="169"/>
      <c r="AR11" s="169"/>
      <c r="AS11" s="169"/>
      <c r="AT11" s="178"/>
      <c r="AU11" s="169"/>
      <c r="AV11" s="169"/>
      <c r="AW11" s="169"/>
      <c r="AX11" s="178"/>
      <c r="AY11" s="169"/>
      <c r="AZ11" s="169"/>
      <c r="BA11" s="169"/>
      <c r="BB11" s="178"/>
      <c r="BC11" s="169"/>
      <c r="BD11" s="169"/>
      <c r="BE11" s="169"/>
      <c r="BF11" s="178"/>
      <c r="BG11" s="169"/>
      <c r="BH11" s="169"/>
      <c r="BI11" s="169"/>
      <c r="BJ11" s="178"/>
      <c r="BK11" s="169"/>
      <c r="BL11" s="169"/>
      <c r="BM11" s="169"/>
      <c r="BN11" s="178"/>
      <c r="BO11" s="169"/>
      <c r="BP11" s="169"/>
      <c r="BQ11" s="169"/>
      <c r="BR11" s="178"/>
      <c r="BS11" s="169"/>
      <c r="BT11" s="169"/>
      <c r="BU11" s="169"/>
      <c r="BV11" s="178"/>
      <c r="BW11" s="169"/>
      <c r="BX11" s="169"/>
      <c r="BY11" s="169"/>
      <c r="BZ11" s="178">
        <f>IS!BW48</f>
        <v>3599</v>
      </c>
      <c r="CA11" s="169">
        <f>IS!BX48</f>
        <v>3539</v>
      </c>
      <c r="CB11" s="169">
        <f>IS!BY48</f>
        <v>3537</v>
      </c>
      <c r="CC11" s="169">
        <f>IS!BZ48</f>
        <v>3589</v>
      </c>
      <c r="CD11" s="178">
        <f>IS!CA48</f>
        <v>3469</v>
      </c>
      <c r="CE11" s="169">
        <f>IS!CB48</f>
        <v>3509</v>
      </c>
      <c r="CF11" s="169">
        <f>IS!CC48</f>
        <v>3540</v>
      </c>
      <c r="CG11" s="169">
        <f>IS!CD48</f>
        <v>3602</v>
      </c>
      <c r="CH11" s="178">
        <f>IS!CE48</f>
        <v>3522</v>
      </c>
      <c r="CI11" s="169">
        <f>IS!CF48</f>
        <v>3584</v>
      </c>
      <c r="CJ11" s="169">
        <f>IS!CG48</f>
        <v>3652</v>
      </c>
      <c r="CK11" s="169">
        <f>IS!CH48</f>
        <v>3747</v>
      </c>
      <c r="CL11" s="178">
        <f>IS!CI48</f>
        <v>3766</v>
      </c>
      <c r="CM11" s="169">
        <f>IS!CJ48</f>
        <v>3780</v>
      </c>
      <c r="CN11" s="169">
        <f>IS!CK48</f>
        <v>3849</v>
      </c>
      <c r="CO11" s="169">
        <f>IS!CL48</f>
        <v>3938</v>
      </c>
      <c r="CP11" s="178">
        <f>IS!CM48</f>
        <v>3889</v>
      </c>
      <c r="CQ11" s="169">
        <f>IS!CN48</f>
        <v>3944</v>
      </c>
      <c r="CR11" s="169">
        <f>IS!CO48</f>
        <v>3998</v>
      </c>
      <c r="CS11" s="169">
        <f>IS!CP48</f>
        <v>4059</v>
      </c>
      <c r="CT11" s="178">
        <f>IS!CQ48</f>
        <v>4024</v>
      </c>
      <c r="CU11" s="169">
        <f>IS!CR48</f>
        <v>4113</v>
      </c>
      <c r="CV11" s="169">
        <f>IS!CS48</f>
        <v>4179</v>
      </c>
      <c r="CW11" s="179">
        <f>IS!CT48</f>
        <v>4180</v>
      </c>
      <c r="CX11" s="169">
        <f>IS!CU48</f>
        <v>4028</v>
      </c>
      <c r="CY11" s="169">
        <f>IS!CV48</f>
        <v>4128</v>
      </c>
      <c r="CZ11" s="169">
        <f>IS!CW48</f>
        <v>4167</v>
      </c>
      <c r="DA11" s="169">
        <f>IS!CX48</f>
        <v>4137</v>
      </c>
      <c r="DB11" s="178">
        <f>IS!CY48</f>
        <v>4118</v>
      </c>
      <c r="DC11" s="169">
        <f>IS!CZ48</f>
        <v>4151</v>
      </c>
      <c r="DD11" s="169">
        <f>IS!DA48</f>
        <v>4154</v>
      </c>
      <c r="DE11" s="169">
        <f>IS!DB48</f>
        <v>4183</v>
      </c>
      <c r="DF11" s="178">
        <f>IS!DC48</f>
        <v>4137</v>
      </c>
      <c r="DG11" s="1051">
        <f>IS!DD48</f>
        <v>4161</v>
      </c>
      <c r="DH11" s="1051">
        <f>IS!DE48</f>
        <v>4167</v>
      </c>
      <c r="DI11" s="179">
        <f>IS!DF48</f>
        <v>4068</v>
      </c>
      <c r="DJ11" s="178">
        <f>IS!DG48</f>
        <v>3989</v>
      </c>
      <c r="DK11" s="1051">
        <f>IS!DH48</f>
        <v>3980</v>
      </c>
      <c r="DL11" s="1051">
        <f>IS!DI48</f>
        <v>4009</v>
      </c>
      <c r="DM11" s="1051">
        <f>IS!DJ48</f>
        <v>4039</v>
      </c>
      <c r="DN11" s="178">
        <f>DN34</f>
        <v>4017</v>
      </c>
      <c r="DO11" s="1051">
        <f>DO34</f>
        <v>3982</v>
      </c>
      <c r="DP11" s="1051">
        <f>DP34</f>
        <v>3942</v>
      </c>
      <c r="DQ11" s="1051">
        <f>DQ34</f>
        <v>3987</v>
      </c>
      <c r="DR11" s="178">
        <f t="shared" ref="DR11" si="3">DR34</f>
        <v>4059</v>
      </c>
      <c r="DS11" s="178">
        <f t="shared" ref="DS11:DT11" si="4">DS34</f>
        <v>4167</v>
      </c>
      <c r="DT11" s="178">
        <f t="shared" si="4"/>
        <v>4272</v>
      </c>
      <c r="DU11" s="178">
        <f t="shared" ref="DU11:DV11" si="5">DU34</f>
        <v>4456</v>
      </c>
      <c r="DV11" s="178">
        <f t="shared" si="5"/>
        <v>4324</v>
      </c>
      <c r="DW11" s="1051">
        <f t="shared" ref="DW11:DY11" ca="1" si="6">DW34</f>
        <v>4341.6356697294414</v>
      </c>
      <c r="DX11" s="1051">
        <f t="shared" ca="1" si="6"/>
        <v>4370.7157387147827</v>
      </c>
      <c r="DY11" s="179">
        <f t="shared" ca="1" si="6"/>
        <v>4401.7709870598346</v>
      </c>
      <c r="DZ11" s="109"/>
    </row>
    <row r="12" spans="1:130" hidden="1" outlineLevel="1">
      <c r="A12" s="748" t="s">
        <v>991</v>
      </c>
      <c r="B12" s="295"/>
      <c r="C12" s="295"/>
      <c r="D12" s="295"/>
      <c r="E12" s="295"/>
      <c r="F12" s="295"/>
      <c r="G12" s="295"/>
      <c r="H12" s="295"/>
      <c r="I12" s="295"/>
      <c r="J12" s="295"/>
      <c r="K12" s="295"/>
      <c r="L12" s="295"/>
      <c r="M12" s="295"/>
      <c r="N12" s="295"/>
      <c r="O12" s="295">
        <f t="shared" ref="O12:AB12" si="7">O11/N11-1</f>
        <v>-1.0095344924284877E-2</v>
      </c>
      <c r="P12" s="295">
        <f t="shared" si="7"/>
        <v>2.7266288951841355E-2</v>
      </c>
      <c r="Q12" s="1130">
        <f t="shared" si="7"/>
        <v>5.7083764219234778E-2</v>
      </c>
      <c r="R12" s="295">
        <f t="shared" si="7"/>
        <v>3.6326876671231911E-2</v>
      </c>
      <c r="S12" s="295">
        <f t="shared" si="7"/>
        <v>3.8137193203272579E-2</v>
      </c>
      <c r="T12" s="1130">
        <f t="shared" si="7"/>
        <v>-2.1823472356935492E-3</v>
      </c>
      <c r="U12" s="295">
        <f t="shared" si="7"/>
        <v>8.8699878493316842E-3</v>
      </c>
      <c r="V12" s="295">
        <f t="shared" si="7"/>
        <v>-4.3960014452607554E-3</v>
      </c>
      <c r="W12" s="295">
        <f>W11/V11-1</f>
        <v>-3.1210306659408493E-2</v>
      </c>
      <c r="X12" s="295">
        <f>X11/W11-1</f>
        <v>-5.5565961166260669E-3</v>
      </c>
      <c r="Y12" s="295">
        <f t="shared" si="7"/>
        <v>6.441486690105469E-2</v>
      </c>
      <c r="Z12" s="295">
        <f t="shared" ca="1" si="7"/>
        <v>2.8555054589126883E-2</v>
      </c>
      <c r="AA12" s="295">
        <f t="shared" ca="1" si="7"/>
        <v>5.9208525595311201E-4</v>
      </c>
      <c r="AB12" s="295">
        <f t="shared" ca="1" si="7"/>
        <v>-3.4376886788156646E-3</v>
      </c>
      <c r="AC12" s="295">
        <f t="shared" ref="AC12" ca="1" si="8">AC11/AB11-1</f>
        <v>-3.2323793725947958E-3</v>
      </c>
      <c r="AD12" s="295">
        <f t="shared" ref="AD12" ca="1" si="9">AD11/AC11-1</f>
        <v>-3.0015147755422245E-3</v>
      </c>
      <c r="AE12" s="295">
        <f t="shared" ref="AE12" ca="1" si="10">AE11/AD11-1</f>
        <v>-2.7475259578607636E-3</v>
      </c>
      <c r="AF12" s="295">
        <f t="shared" ref="AF12" ca="1" si="11">AF11/AE11-1</f>
        <v>-2.4672855261634874E-3</v>
      </c>
      <c r="AG12" s="295">
        <f t="shared" ref="AG12" ca="1" si="12">AG11/AF11-1</f>
        <v>2.029916981853841E-4</v>
      </c>
      <c r="AH12" s="298"/>
      <c r="AI12" s="295"/>
      <c r="AJ12" s="295"/>
      <c r="AK12" s="295"/>
      <c r="AL12" s="295"/>
      <c r="AM12" s="295"/>
      <c r="AN12" s="295"/>
      <c r="AO12" s="295"/>
      <c r="AP12" s="298"/>
      <c r="AQ12" s="295"/>
      <c r="AR12" s="295"/>
      <c r="AS12" s="295"/>
      <c r="AT12" s="298"/>
      <c r="AU12" s="295"/>
      <c r="AV12" s="295"/>
      <c r="AW12" s="295"/>
      <c r="AX12" s="298"/>
      <c r="AY12" s="295"/>
      <c r="AZ12" s="295"/>
      <c r="BA12" s="295"/>
      <c r="BB12" s="298"/>
      <c r="BC12" s="295"/>
      <c r="BD12" s="295"/>
      <c r="BE12" s="295"/>
      <c r="BF12" s="298"/>
      <c r="BG12" s="295"/>
      <c r="BH12" s="295"/>
      <c r="BI12" s="295"/>
      <c r="BJ12" s="298"/>
      <c r="BK12" s="295"/>
      <c r="BL12" s="295"/>
      <c r="BM12" s="295"/>
      <c r="BN12" s="298"/>
      <c r="BO12" s="295"/>
      <c r="BP12" s="295"/>
      <c r="BQ12" s="295"/>
      <c r="BR12" s="298"/>
      <c r="BS12" s="295"/>
      <c r="BT12" s="295"/>
      <c r="BU12" s="295"/>
      <c r="BV12" s="298"/>
      <c r="BW12" s="295"/>
      <c r="BX12" s="295"/>
      <c r="BY12" s="295"/>
      <c r="BZ12" s="298"/>
      <c r="CA12" s="295"/>
      <c r="CB12" s="295"/>
      <c r="CC12" s="295"/>
      <c r="CD12" s="298">
        <f t="shared" ref="CD12:DM12" si="13">CD11/BZ11-1</f>
        <v>-3.6121144762433999E-2</v>
      </c>
      <c r="CE12" s="295">
        <f t="shared" si="13"/>
        <v>-8.4769708957332934E-3</v>
      </c>
      <c r="CF12" s="295">
        <f t="shared" si="13"/>
        <v>8.4817642069556776E-4</v>
      </c>
      <c r="CG12" s="295">
        <f t="shared" si="13"/>
        <v>3.6221788799108978E-3</v>
      </c>
      <c r="CH12" s="298">
        <f t="shared" si="13"/>
        <v>1.527817814932253E-2</v>
      </c>
      <c r="CI12" s="295">
        <f t="shared" si="13"/>
        <v>2.1373610715303526E-2</v>
      </c>
      <c r="CJ12" s="295">
        <f t="shared" si="13"/>
        <v>3.1638418079096065E-2</v>
      </c>
      <c r="CK12" s="295">
        <f t="shared" si="13"/>
        <v>4.0255413659078254E-2</v>
      </c>
      <c r="CL12" s="298">
        <f t="shared" si="13"/>
        <v>6.9278818852924529E-2</v>
      </c>
      <c r="CM12" s="295">
        <f t="shared" si="13"/>
        <v>5.46875E-2</v>
      </c>
      <c r="CN12" s="295">
        <f t="shared" si="13"/>
        <v>5.3943044906900273E-2</v>
      </c>
      <c r="CO12" s="295">
        <f t="shared" si="13"/>
        <v>5.0974112623431989E-2</v>
      </c>
      <c r="CP12" s="298">
        <f t="shared" si="13"/>
        <v>3.2660647902283513E-2</v>
      </c>
      <c r="CQ12" s="295">
        <f t="shared" si="13"/>
        <v>4.3386243386243306E-2</v>
      </c>
      <c r="CR12" s="295">
        <f t="shared" si="13"/>
        <v>3.8711353598337217E-2</v>
      </c>
      <c r="CS12" s="295">
        <f t="shared" si="13"/>
        <v>3.0726256983240274E-2</v>
      </c>
      <c r="CT12" s="298">
        <f t="shared" si="13"/>
        <v>3.4713293905888509E-2</v>
      </c>
      <c r="CU12" s="295">
        <f t="shared" si="13"/>
        <v>4.2849898580121781E-2</v>
      </c>
      <c r="CV12" s="295">
        <f t="shared" si="13"/>
        <v>4.5272636318159032E-2</v>
      </c>
      <c r="CW12" s="299">
        <f t="shared" si="13"/>
        <v>2.9810298102981081E-2</v>
      </c>
      <c r="CX12" s="295">
        <f t="shared" si="13"/>
        <v>9.9403578528822756E-4</v>
      </c>
      <c r="CY12" s="295">
        <f t="shared" si="13"/>
        <v>3.6469730123998012E-3</v>
      </c>
      <c r="CZ12" s="295">
        <f t="shared" si="13"/>
        <v>-2.8715003589375732E-3</v>
      </c>
      <c r="DA12" s="295">
        <f t="shared" si="13"/>
        <v>-1.02870813397129E-2</v>
      </c>
      <c r="DB12" s="298">
        <f t="shared" si="13"/>
        <v>2.2343594836147007E-2</v>
      </c>
      <c r="DC12" s="295">
        <f t="shared" si="13"/>
        <v>5.5717054263566546E-3</v>
      </c>
      <c r="DD12" s="295">
        <f t="shared" si="13"/>
        <v>-3.1197504199663717E-3</v>
      </c>
      <c r="DE12" s="295">
        <f t="shared" si="13"/>
        <v>1.1119168479574615E-2</v>
      </c>
      <c r="DF12" s="298">
        <f t="shared" si="13"/>
        <v>4.6138902379795343E-3</v>
      </c>
      <c r="DG12" s="1130">
        <f t="shared" si="13"/>
        <v>2.4090580582991628E-3</v>
      </c>
      <c r="DH12" s="1130">
        <f t="shared" si="13"/>
        <v>3.1295137217139946E-3</v>
      </c>
      <c r="DI12" s="299">
        <f t="shared" si="13"/>
        <v>-2.7492230456610089E-2</v>
      </c>
      <c r="DJ12" s="298">
        <f t="shared" si="13"/>
        <v>-3.5774715977761717E-2</v>
      </c>
      <c r="DK12" s="1130">
        <f t="shared" si="13"/>
        <v>-4.3499158856044273E-2</v>
      </c>
      <c r="DL12" s="1130">
        <f t="shared" si="13"/>
        <v>-3.7916966642668637E-2</v>
      </c>
      <c r="DM12" s="1130">
        <f t="shared" si="13"/>
        <v>-7.1288102261554132E-3</v>
      </c>
      <c r="DN12" s="298">
        <f>DN11/DJ11-1</f>
        <v>7.0193030834795334E-3</v>
      </c>
      <c r="DO12" s="1130">
        <f>DO11/DK11-1</f>
        <v>5.0251256281397261E-4</v>
      </c>
      <c r="DP12" s="1130">
        <f>DP11/DL11-1</f>
        <v>-1.6712397106510402E-2</v>
      </c>
      <c r="DQ12" s="1130">
        <f>DQ11/DM11-1</f>
        <v>-1.2874473879673221E-2</v>
      </c>
      <c r="DR12" s="298">
        <f t="shared" ref="DR12:DV12" si="14">DR11/DN11-1</f>
        <v>1.0455563853622118E-2</v>
      </c>
      <c r="DS12" s="298">
        <f t="shared" si="14"/>
        <v>4.6459065796082388E-2</v>
      </c>
      <c r="DT12" s="298">
        <f t="shared" si="14"/>
        <v>8.3713850837138448E-2</v>
      </c>
      <c r="DU12" s="298">
        <f t="shared" si="14"/>
        <v>0.11763230499122157</v>
      </c>
      <c r="DV12" s="298">
        <f t="shared" si="14"/>
        <v>6.5287016506528683E-2</v>
      </c>
      <c r="DW12" s="1130">
        <f t="shared" ref="DW12" ca="1" si="15">DW11/DS11-1</f>
        <v>4.1909207998426012E-2</v>
      </c>
      <c r="DX12" s="1130">
        <f t="shared" ref="DX12" ca="1" si="16">DX11/DT11-1</f>
        <v>2.3107616740351666E-2</v>
      </c>
      <c r="DY12" s="299">
        <f t="shared" ref="DY12" ca="1" si="17">DY11/DU11-1</f>
        <v>-1.2169886207398006E-2</v>
      </c>
      <c r="DZ12" s="94"/>
    </row>
    <row r="13" spans="1:130" hidden="1" outlineLevel="1">
      <c r="A13" s="762" t="s">
        <v>497</v>
      </c>
      <c r="B13" s="109"/>
      <c r="C13" s="109"/>
      <c r="D13" s="109"/>
      <c r="E13" s="109"/>
      <c r="F13" s="109"/>
      <c r="G13" s="109"/>
      <c r="H13" s="109"/>
      <c r="I13" s="109"/>
      <c r="J13" s="109"/>
      <c r="K13" s="109"/>
      <c r="L13" s="109"/>
      <c r="M13" s="109"/>
      <c r="N13" s="109">
        <f t="shared" ref="N13:Y13" si="18">N31</f>
        <v>1423</v>
      </c>
      <c r="O13" s="109">
        <f t="shared" si="18"/>
        <v>1341</v>
      </c>
      <c r="P13" s="109">
        <f t="shared" si="18"/>
        <v>1383</v>
      </c>
      <c r="Q13" s="1044">
        <f t="shared" si="18"/>
        <v>1970</v>
      </c>
      <c r="R13" s="109">
        <f t="shared" si="18"/>
        <v>1812</v>
      </c>
      <c r="S13" s="109">
        <f t="shared" si="18"/>
        <v>1505</v>
      </c>
      <c r="T13" s="1044">
        <f t="shared" si="18"/>
        <v>1540</v>
      </c>
      <c r="U13" s="109">
        <f t="shared" si="18"/>
        <v>1600</v>
      </c>
      <c r="V13" s="109">
        <f t="shared" si="18"/>
        <v>1600</v>
      </c>
      <c r="W13" s="109">
        <f>W31</f>
        <v>1600</v>
      </c>
      <c r="X13" s="109">
        <f>X31</f>
        <v>1600</v>
      </c>
      <c r="Y13" s="109">
        <f t="shared" si="18"/>
        <v>1600</v>
      </c>
      <c r="Z13" s="109">
        <f t="shared" ref="Z13" si="19">Z31</f>
        <v>1600</v>
      </c>
      <c r="AA13" s="109">
        <f>AA31</f>
        <v>1600</v>
      </c>
      <c r="AB13" s="109">
        <f>AB31</f>
        <v>1600</v>
      </c>
      <c r="AC13" s="109">
        <f t="shared" ref="AC13:AG13" si="20">AC31</f>
        <v>1600</v>
      </c>
      <c r="AD13" s="109">
        <f t="shared" si="20"/>
        <v>1600</v>
      </c>
      <c r="AE13" s="109">
        <f t="shared" si="20"/>
        <v>1600</v>
      </c>
      <c r="AF13" s="109">
        <f t="shared" si="20"/>
        <v>1600</v>
      </c>
      <c r="AG13" s="109">
        <f t="shared" si="20"/>
        <v>1600</v>
      </c>
      <c r="AH13" s="171"/>
      <c r="AI13" s="109"/>
      <c r="AJ13" s="109"/>
      <c r="AK13" s="109"/>
      <c r="AL13" s="109"/>
      <c r="AM13" s="761"/>
      <c r="AN13" s="109"/>
      <c r="AO13" s="109"/>
      <c r="AP13" s="171"/>
      <c r="AQ13" s="109"/>
      <c r="AR13" s="109"/>
      <c r="AS13" s="109"/>
      <c r="AT13" s="171"/>
      <c r="AU13" s="109"/>
      <c r="AV13" s="109"/>
      <c r="AW13" s="109"/>
      <c r="AX13" s="171"/>
      <c r="AY13" s="109"/>
      <c r="AZ13" s="109"/>
      <c r="BA13" s="109"/>
      <c r="BB13" s="171"/>
      <c r="BC13" s="109"/>
      <c r="BD13" s="109"/>
      <c r="BE13" s="109"/>
      <c r="BF13" s="171"/>
      <c r="BG13" s="109"/>
      <c r="BH13" s="109"/>
      <c r="BI13" s="109"/>
      <c r="BJ13" s="171"/>
      <c r="BK13" s="109"/>
      <c r="BL13" s="109"/>
      <c r="BM13" s="109"/>
      <c r="BN13" s="171"/>
      <c r="BO13" s="109"/>
      <c r="BP13" s="109"/>
      <c r="BQ13" s="109"/>
      <c r="BR13" s="171"/>
      <c r="BS13" s="109"/>
      <c r="BT13" s="109"/>
      <c r="BU13" s="109"/>
      <c r="BV13" s="171">
        <f t="shared" ref="BV13:DE13" si="21">BV31</f>
        <v>361</v>
      </c>
      <c r="BW13" s="109">
        <f t="shared" si="21"/>
        <v>361</v>
      </c>
      <c r="BX13" s="109">
        <f t="shared" si="21"/>
        <v>361</v>
      </c>
      <c r="BY13" s="109">
        <f t="shared" si="21"/>
        <v>361</v>
      </c>
      <c r="BZ13" s="171">
        <f t="shared" si="21"/>
        <v>355.75</v>
      </c>
      <c r="CA13" s="109">
        <f t="shared" si="21"/>
        <v>355.75</v>
      </c>
      <c r="CB13" s="109">
        <f t="shared" si="21"/>
        <v>355.75</v>
      </c>
      <c r="CC13" s="109">
        <f t="shared" si="21"/>
        <v>355.75</v>
      </c>
      <c r="CD13" s="171">
        <f t="shared" si="21"/>
        <v>335.25</v>
      </c>
      <c r="CE13" s="109">
        <f t="shared" si="21"/>
        <v>335.25</v>
      </c>
      <c r="CF13" s="109">
        <f t="shared" si="21"/>
        <v>335.25</v>
      </c>
      <c r="CG13" s="109">
        <f t="shared" si="21"/>
        <v>335.25</v>
      </c>
      <c r="CH13" s="171">
        <f t="shared" si="21"/>
        <v>345.75</v>
      </c>
      <c r="CI13" s="109">
        <f t="shared" si="21"/>
        <v>345.75</v>
      </c>
      <c r="CJ13" s="109">
        <f t="shared" si="21"/>
        <v>345.75</v>
      </c>
      <c r="CK13" s="109">
        <f t="shared" si="21"/>
        <v>345.75</v>
      </c>
      <c r="CL13" s="171">
        <f t="shared" si="21"/>
        <v>492.5</v>
      </c>
      <c r="CM13" s="109">
        <f t="shared" si="21"/>
        <v>492.5</v>
      </c>
      <c r="CN13" s="109">
        <f t="shared" si="21"/>
        <v>492.5</v>
      </c>
      <c r="CO13" s="109">
        <f t="shared" si="21"/>
        <v>492.5</v>
      </c>
      <c r="CP13" s="171">
        <f t="shared" si="21"/>
        <v>453</v>
      </c>
      <c r="CQ13" s="109">
        <f t="shared" si="21"/>
        <v>453</v>
      </c>
      <c r="CR13" s="109">
        <f t="shared" si="21"/>
        <v>453</v>
      </c>
      <c r="CS13" s="109">
        <f t="shared" si="21"/>
        <v>453</v>
      </c>
      <c r="CT13" s="171">
        <f t="shared" si="21"/>
        <v>376.25</v>
      </c>
      <c r="CU13" s="109">
        <f t="shared" si="21"/>
        <v>376.25</v>
      </c>
      <c r="CV13" s="109">
        <f t="shared" si="21"/>
        <v>376.25</v>
      </c>
      <c r="CW13" s="172">
        <f t="shared" si="21"/>
        <v>376.25</v>
      </c>
      <c r="CX13" s="109">
        <f t="shared" si="21"/>
        <v>367</v>
      </c>
      <c r="CY13" s="109">
        <f t="shared" si="21"/>
        <v>367</v>
      </c>
      <c r="CZ13" s="109">
        <f t="shared" si="21"/>
        <v>403</v>
      </c>
      <c r="DA13" s="109">
        <f t="shared" si="21"/>
        <v>403</v>
      </c>
      <c r="DB13" s="171">
        <f t="shared" si="21"/>
        <v>400</v>
      </c>
      <c r="DC13" s="109">
        <f t="shared" si="21"/>
        <v>400</v>
      </c>
      <c r="DD13" s="109">
        <f t="shared" si="21"/>
        <v>400</v>
      </c>
      <c r="DE13" s="109">
        <f t="shared" si="21"/>
        <v>400</v>
      </c>
      <c r="DF13" s="171">
        <f>DF31</f>
        <v>400</v>
      </c>
      <c r="DG13" s="1044">
        <f>DG31</f>
        <v>400</v>
      </c>
      <c r="DH13" s="1044">
        <f>DH31</f>
        <v>400</v>
      </c>
      <c r="DI13" s="172">
        <f>DI31</f>
        <v>400</v>
      </c>
      <c r="DJ13" s="171">
        <f t="shared" ref="DJ13:DO13" si="22">DJ31</f>
        <v>400</v>
      </c>
      <c r="DK13" s="1044">
        <f t="shared" si="22"/>
        <v>400</v>
      </c>
      <c r="DL13" s="1044">
        <f t="shared" si="22"/>
        <v>400</v>
      </c>
      <c r="DM13" s="1044">
        <f t="shared" si="22"/>
        <v>400</v>
      </c>
      <c r="DN13" s="171">
        <f t="shared" si="22"/>
        <v>400</v>
      </c>
      <c r="DO13" s="1044">
        <f t="shared" si="22"/>
        <v>400</v>
      </c>
      <c r="DP13" s="1044">
        <f t="shared" ref="DP13:DQ13" si="23">DP31</f>
        <v>400</v>
      </c>
      <c r="DQ13" s="1044">
        <f t="shared" si="23"/>
        <v>400</v>
      </c>
      <c r="DR13" s="171">
        <f t="shared" ref="DR13" si="24">DR31</f>
        <v>400</v>
      </c>
      <c r="DS13" s="171">
        <f t="shared" ref="DS13:DT13" si="25">DS31</f>
        <v>400</v>
      </c>
      <c r="DT13" s="171">
        <f t="shared" si="25"/>
        <v>400</v>
      </c>
      <c r="DU13" s="171">
        <f t="shared" ref="DU13:DV13" si="26">DU31</f>
        <v>400</v>
      </c>
      <c r="DV13" s="171">
        <f t="shared" si="26"/>
        <v>400</v>
      </c>
      <c r="DW13" s="1044">
        <f t="shared" ref="DW13:DY13" si="27">DW31</f>
        <v>400</v>
      </c>
      <c r="DX13" s="1044">
        <f t="shared" si="27"/>
        <v>400</v>
      </c>
      <c r="DY13" s="172">
        <f t="shared" si="27"/>
        <v>400</v>
      </c>
      <c r="DZ13" s="109"/>
    </row>
    <row r="14" spans="1:130" hidden="1" outlineLevel="1">
      <c r="A14" s="763" t="s">
        <v>966</v>
      </c>
      <c r="B14" s="169"/>
      <c r="C14" s="169"/>
      <c r="D14" s="169"/>
      <c r="E14" s="169"/>
      <c r="F14" s="169"/>
      <c r="G14" s="169"/>
      <c r="H14" s="169"/>
      <c r="I14" s="169"/>
      <c r="J14" s="169"/>
      <c r="K14" s="169"/>
      <c r="L14" s="169"/>
      <c r="M14" s="169"/>
      <c r="N14" s="169">
        <f t="shared" ref="N14:Y14" si="28">N11-N13</f>
        <v>12841</v>
      </c>
      <c r="O14" s="169">
        <f t="shared" si="28"/>
        <v>12779</v>
      </c>
      <c r="P14" s="169">
        <f t="shared" si="28"/>
        <v>13122</v>
      </c>
      <c r="Q14" s="1051">
        <f t="shared" si="28"/>
        <v>13363</v>
      </c>
      <c r="R14" s="169">
        <f t="shared" si="28"/>
        <v>14078</v>
      </c>
      <c r="S14" s="169">
        <f t="shared" si="28"/>
        <v>14991</v>
      </c>
      <c r="T14" s="1051">
        <f t="shared" si="28"/>
        <v>14920</v>
      </c>
      <c r="U14" s="169">
        <f t="shared" si="28"/>
        <v>15006</v>
      </c>
      <c r="V14" s="169">
        <f t="shared" si="28"/>
        <v>14933</v>
      </c>
      <c r="W14" s="169">
        <f>W11-W13</f>
        <v>14417</v>
      </c>
      <c r="X14" s="169">
        <f>X11-X13</f>
        <v>14328</v>
      </c>
      <c r="Y14" s="169">
        <f t="shared" si="28"/>
        <v>15354</v>
      </c>
      <c r="Z14" s="169">
        <f t="shared" ref="Z14" ca="1" si="29">Z11-Z13</f>
        <v>15838.122395504059</v>
      </c>
      <c r="AA14" s="169">
        <f ca="1">AA11-AA13</f>
        <v>15848.447250665944</v>
      </c>
      <c r="AB14" s="169">
        <f ca="1">AB11-AB13</f>
        <v>15788.464921089417</v>
      </c>
      <c r="AC14" s="169">
        <f t="shared" ref="AC14:AG14" ca="1" si="30">AC11-AC13</f>
        <v>15732.258805757399</v>
      </c>
      <c r="AD14" s="169">
        <f t="shared" ca="1" si="30"/>
        <v>15680.235774858396</v>
      </c>
      <c r="AE14" s="169">
        <f t="shared" ca="1" si="30"/>
        <v>15632.757878509019</v>
      </c>
      <c r="AF14" s="169">
        <f t="shared" ca="1" si="30"/>
        <v>15590.239744419494</v>
      </c>
      <c r="AG14" s="169">
        <f t="shared" ca="1" si="30"/>
        <v>15593.729220377427</v>
      </c>
      <c r="AH14" s="178"/>
      <c r="AI14" s="169"/>
      <c r="AJ14" s="169"/>
      <c r="AK14" s="169"/>
      <c r="AL14" s="169"/>
      <c r="AM14" s="761"/>
      <c r="AN14" s="169"/>
      <c r="AO14" s="169"/>
      <c r="AP14" s="178"/>
      <c r="AQ14" s="169"/>
      <c r="AR14" s="169"/>
      <c r="AS14" s="169"/>
      <c r="AT14" s="178"/>
      <c r="AU14" s="169"/>
      <c r="AV14" s="169"/>
      <c r="AW14" s="169"/>
      <c r="AX14" s="178"/>
      <c r="AY14" s="169"/>
      <c r="AZ14" s="169"/>
      <c r="BA14" s="169"/>
      <c r="BB14" s="178"/>
      <c r="BC14" s="169"/>
      <c r="BD14" s="169"/>
      <c r="BE14" s="169"/>
      <c r="BF14" s="178"/>
      <c r="BG14" s="169"/>
      <c r="BH14" s="169"/>
      <c r="BI14" s="169"/>
      <c r="BJ14" s="178"/>
      <c r="BK14" s="169"/>
      <c r="BL14" s="169"/>
      <c r="BM14" s="169"/>
      <c r="BN14" s="178"/>
      <c r="BO14" s="169"/>
      <c r="BP14" s="169"/>
      <c r="BQ14" s="169"/>
      <c r="BR14" s="178"/>
      <c r="BS14" s="169"/>
      <c r="BT14" s="169"/>
      <c r="BU14" s="169"/>
      <c r="BV14" s="178">
        <f t="shared" ref="BV14:DF14" si="31">BV11-BV13</f>
        <v>-361</v>
      </c>
      <c r="BW14" s="169">
        <f t="shared" si="31"/>
        <v>-361</v>
      </c>
      <c r="BX14" s="169">
        <f t="shared" si="31"/>
        <v>-361</v>
      </c>
      <c r="BY14" s="169">
        <f t="shared" si="31"/>
        <v>-361</v>
      </c>
      <c r="BZ14" s="178">
        <f t="shared" si="31"/>
        <v>3243.25</v>
      </c>
      <c r="CA14" s="169">
        <f t="shared" si="31"/>
        <v>3183.25</v>
      </c>
      <c r="CB14" s="169">
        <f t="shared" si="31"/>
        <v>3181.25</v>
      </c>
      <c r="CC14" s="169">
        <f t="shared" si="31"/>
        <v>3233.25</v>
      </c>
      <c r="CD14" s="178">
        <f t="shared" si="31"/>
        <v>3133.75</v>
      </c>
      <c r="CE14" s="169">
        <f t="shared" si="31"/>
        <v>3173.75</v>
      </c>
      <c r="CF14" s="169">
        <f t="shared" si="31"/>
        <v>3204.75</v>
      </c>
      <c r="CG14" s="169">
        <f t="shared" si="31"/>
        <v>3266.75</v>
      </c>
      <c r="CH14" s="178">
        <f t="shared" si="31"/>
        <v>3176.25</v>
      </c>
      <c r="CI14" s="169">
        <f t="shared" si="31"/>
        <v>3238.25</v>
      </c>
      <c r="CJ14" s="169">
        <f t="shared" si="31"/>
        <v>3306.25</v>
      </c>
      <c r="CK14" s="169">
        <f t="shared" si="31"/>
        <v>3401.25</v>
      </c>
      <c r="CL14" s="178">
        <f t="shared" si="31"/>
        <v>3273.5</v>
      </c>
      <c r="CM14" s="169">
        <f t="shared" si="31"/>
        <v>3287.5</v>
      </c>
      <c r="CN14" s="169">
        <f t="shared" si="31"/>
        <v>3356.5</v>
      </c>
      <c r="CO14" s="169">
        <f t="shared" si="31"/>
        <v>3445.5</v>
      </c>
      <c r="CP14" s="178">
        <f t="shared" si="31"/>
        <v>3436</v>
      </c>
      <c r="CQ14" s="169">
        <f t="shared" si="31"/>
        <v>3491</v>
      </c>
      <c r="CR14" s="169">
        <f t="shared" si="31"/>
        <v>3545</v>
      </c>
      <c r="CS14" s="169">
        <f t="shared" si="31"/>
        <v>3606</v>
      </c>
      <c r="CT14" s="178">
        <f t="shared" si="31"/>
        <v>3647.75</v>
      </c>
      <c r="CU14" s="169">
        <f t="shared" si="31"/>
        <v>3736.75</v>
      </c>
      <c r="CV14" s="169">
        <f t="shared" si="31"/>
        <v>3802.75</v>
      </c>
      <c r="CW14" s="179">
        <f t="shared" si="31"/>
        <v>3803.75</v>
      </c>
      <c r="CX14" s="169">
        <f t="shared" si="31"/>
        <v>3661</v>
      </c>
      <c r="CY14" s="169">
        <f t="shared" si="31"/>
        <v>3761</v>
      </c>
      <c r="CZ14" s="169">
        <f t="shared" si="31"/>
        <v>3764</v>
      </c>
      <c r="DA14" s="169">
        <f t="shared" si="31"/>
        <v>3734</v>
      </c>
      <c r="DB14" s="178">
        <f t="shared" si="31"/>
        <v>3718</v>
      </c>
      <c r="DC14" s="169">
        <f t="shared" si="31"/>
        <v>3751</v>
      </c>
      <c r="DD14" s="169">
        <f t="shared" si="31"/>
        <v>3754</v>
      </c>
      <c r="DE14" s="169">
        <f t="shared" si="31"/>
        <v>3783</v>
      </c>
      <c r="DF14" s="178">
        <f t="shared" si="31"/>
        <v>3737</v>
      </c>
      <c r="DG14" s="1051">
        <f>DG11-DG13</f>
        <v>3761</v>
      </c>
      <c r="DH14" s="1051">
        <f>DH11-DH13</f>
        <v>3767</v>
      </c>
      <c r="DI14" s="179">
        <f>DI11-DI13</f>
        <v>3668</v>
      </c>
      <c r="DJ14" s="178">
        <f t="shared" ref="DJ14:DO14" si="32">DJ11-DJ13</f>
        <v>3589</v>
      </c>
      <c r="DK14" s="1051">
        <f t="shared" si="32"/>
        <v>3580</v>
      </c>
      <c r="DL14" s="1051">
        <f t="shared" si="32"/>
        <v>3609</v>
      </c>
      <c r="DM14" s="1051">
        <f t="shared" si="32"/>
        <v>3639</v>
      </c>
      <c r="DN14" s="178">
        <f t="shared" si="32"/>
        <v>3617</v>
      </c>
      <c r="DO14" s="1051">
        <f t="shared" si="32"/>
        <v>3582</v>
      </c>
      <c r="DP14" s="1051">
        <f t="shared" ref="DP14:DQ14" si="33">DP11-DP13</f>
        <v>3542</v>
      </c>
      <c r="DQ14" s="1051">
        <f t="shared" si="33"/>
        <v>3587</v>
      </c>
      <c r="DR14" s="178">
        <f t="shared" ref="DR14" si="34">DR11-DR13</f>
        <v>3659</v>
      </c>
      <c r="DS14" s="178">
        <f t="shared" ref="DS14:DT14" si="35">DS11-DS13</f>
        <v>3767</v>
      </c>
      <c r="DT14" s="178">
        <f t="shared" si="35"/>
        <v>3872</v>
      </c>
      <c r="DU14" s="178">
        <f t="shared" ref="DU14:DV14" si="36">DU11-DU13</f>
        <v>4056</v>
      </c>
      <c r="DV14" s="178">
        <f t="shared" si="36"/>
        <v>3924</v>
      </c>
      <c r="DW14" s="1051">
        <f t="shared" ref="DW14:DY14" ca="1" si="37">DW11-DW13</f>
        <v>3941.6356697294414</v>
      </c>
      <c r="DX14" s="1051">
        <f t="shared" ca="1" si="37"/>
        <v>3970.7157387147827</v>
      </c>
      <c r="DY14" s="179">
        <f t="shared" ca="1" si="37"/>
        <v>4001.7709870598346</v>
      </c>
      <c r="DZ14" s="109"/>
    </row>
    <row r="15" spans="1:130" hidden="1" outlineLevel="1">
      <c r="A15" s="748" t="s">
        <v>991</v>
      </c>
      <c r="B15" s="295"/>
      <c r="C15" s="295"/>
      <c r="D15" s="295"/>
      <c r="E15" s="295"/>
      <c r="F15" s="295"/>
      <c r="G15" s="295"/>
      <c r="H15" s="295"/>
      <c r="I15" s="295"/>
      <c r="J15" s="295"/>
      <c r="K15" s="295"/>
      <c r="L15" s="295"/>
      <c r="M15" s="295"/>
      <c r="N15" s="295"/>
      <c r="O15" s="295">
        <f t="shared" ref="O15:AB15" si="38">O14/N14-1</f>
        <v>-4.8282844015263837E-3</v>
      </c>
      <c r="P15" s="295">
        <f t="shared" si="38"/>
        <v>2.6840910869394996E-2</v>
      </c>
      <c r="Q15" s="1130">
        <f t="shared" si="38"/>
        <v>1.8366102728242684E-2</v>
      </c>
      <c r="R15" s="295">
        <f t="shared" si="38"/>
        <v>5.3505949262889985E-2</v>
      </c>
      <c r="S15" s="295">
        <f t="shared" si="38"/>
        <v>6.4852962068475684E-2</v>
      </c>
      <c r="T15" s="1130">
        <f t="shared" si="38"/>
        <v>-4.7361750383563272E-3</v>
      </c>
      <c r="U15" s="295">
        <f t="shared" si="38"/>
        <v>5.7640750670240326E-3</v>
      </c>
      <c r="V15" s="295">
        <f t="shared" si="38"/>
        <v>-4.8647207783553137E-3</v>
      </c>
      <c r="W15" s="295">
        <f>W14/V14-1</f>
        <v>-3.4554342730864551E-2</v>
      </c>
      <c r="X15" s="295">
        <f>X14/W14-1</f>
        <v>-6.1732676701117262E-3</v>
      </c>
      <c r="Y15" s="295">
        <f t="shared" si="38"/>
        <v>7.1608040201005085E-2</v>
      </c>
      <c r="Z15" s="295">
        <f t="shared" ca="1" si="38"/>
        <v>3.1530701804354466E-2</v>
      </c>
      <c r="AA15" s="295">
        <f t="shared" ca="1" si="38"/>
        <v>6.5189893751660399E-4</v>
      </c>
      <c r="AB15" s="295">
        <f t="shared" ca="1" si="38"/>
        <v>-3.7847448792819316E-3</v>
      </c>
      <c r="AC15" s="295">
        <f t="shared" ref="AC15" ca="1" si="39">AC14/AB14-1</f>
        <v>-3.5599480768355729E-3</v>
      </c>
      <c r="AD15" s="295">
        <f t="shared" ref="AD15" ca="1" si="40">AD14/AC14-1</f>
        <v>-3.3067744143622235E-3</v>
      </c>
      <c r="AE15" s="295">
        <f t="shared" ref="AE15" ca="1" si="41">AE14/AD14-1</f>
        <v>-3.0278815338671272E-3</v>
      </c>
      <c r="AF15" s="295">
        <f t="shared" ref="AF15" ca="1" si="42">AF14/AE14-1</f>
        <v>-2.7198101844829736E-3</v>
      </c>
      <c r="AG15" s="295">
        <f t="shared" ref="AG15" ca="1" si="43">AG14/AF14-1</f>
        <v>2.2382439366785967E-4</v>
      </c>
      <c r="AH15" s="298"/>
      <c r="AI15" s="295"/>
      <c r="AJ15" s="295"/>
      <c r="AK15" s="295"/>
      <c r="AL15" s="295"/>
      <c r="AM15" s="295"/>
      <c r="AN15" s="295"/>
      <c r="AO15" s="295"/>
      <c r="AP15" s="298"/>
      <c r="AQ15" s="295"/>
      <c r="AR15" s="295"/>
      <c r="AS15" s="295"/>
      <c r="AT15" s="298"/>
      <c r="AU15" s="295"/>
      <c r="AV15" s="295"/>
      <c r="AW15" s="295"/>
      <c r="AX15" s="298"/>
      <c r="AY15" s="295"/>
      <c r="AZ15" s="295"/>
      <c r="BA15" s="295"/>
      <c r="BB15" s="298"/>
      <c r="BC15" s="295"/>
      <c r="BD15" s="295"/>
      <c r="BE15" s="295"/>
      <c r="BF15" s="298"/>
      <c r="BG15" s="295"/>
      <c r="BH15" s="295"/>
      <c r="BI15" s="295"/>
      <c r="BJ15" s="298"/>
      <c r="BK15" s="295"/>
      <c r="BL15" s="295"/>
      <c r="BM15" s="295"/>
      <c r="BN15" s="298"/>
      <c r="BO15" s="295"/>
      <c r="BP15" s="295"/>
      <c r="BQ15" s="295"/>
      <c r="BR15" s="298"/>
      <c r="BS15" s="295"/>
      <c r="BT15" s="295"/>
      <c r="BU15" s="295"/>
      <c r="BV15" s="298"/>
      <c r="BW15" s="295"/>
      <c r="BX15" s="295"/>
      <c r="BY15" s="295"/>
      <c r="BZ15" s="298"/>
      <c r="CA15" s="295"/>
      <c r="CB15" s="295"/>
      <c r="CC15" s="295"/>
      <c r="CD15" s="298"/>
      <c r="CE15" s="295"/>
      <c r="CF15" s="295"/>
      <c r="CG15" s="295"/>
      <c r="CH15" s="298"/>
      <c r="CI15" s="295"/>
      <c r="CJ15" s="295"/>
      <c r="CK15" s="764"/>
      <c r="CL15" s="765"/>
      <c r="CM15" s="764"/>
      <c r="CN15" s="764"/>
      <c r="CO15" s="764"/>
      <c r="CP15" s="765"/>
      <c r="CQ15" s="764"/>
      <c r="CR15" s="764"/>
      <c r="CS15" s="764"/>
      <c r="CT15" s="765"/>
      <c r="CU15" s="764"/>
      <c r="CV15" s="764"/>
      <c r="CW15" s="766"/>
      <c r="CX15" s="764"/>
      <c r="CY15" s="764"/>
      <c r="CZ15" s="764"/>
      <c r="DA15" s="764"/>
      <c r="DB15" s="765"/>
      <c r="DC15" s="764"/>
      <c r="DD15" s="764"/>
      <c r="DE15" s="764"/>
      <c r="DF15" s="765"/>
      <c r="DG15" s="1545"/>
      <c r="DH15" s="1545"/>
      <c r="DI15" s="766"/>
      <c r="DJ15" s="765"/>
      <c r="DK15" s="1545"/>
      <c r="DL15" s="1545"/>
      <c r="DM15" s="1545"/>
      <c r="DN15" s="765"/>
      <c r="DO15" s="1545"/>
      <c r="DP15" s="1545"/>
      <c r="DQ15" s="1545"/>
      <c r="DR15" s="765"/>
      <c r="DS15" s="765"/>
      <c r="DT15" s="765"/>
      <c r="DU15" s="765"/>
      <c r="DV15" s="765"/>
      <c r="DW15" s="1545"/>
      <c r="DX15" s="1545"/>
      <c r="DY15" s="766"/>
      <c r="DZ15" s="94"/>
    </row>
    <row r="16" spans="1:130" hidden="1" outlineLevel="1">
      <c r="A16" s="749"/>
      <c r="B16" s="105"/>
      <c r="C16" s="105"/>
      <c r="D16" s="105"/>
      <c r="E16" s="105"/>
      <c r="F16" s="105"/>
      <c r="G16" s="105"/>
      <c r="H16" s="105"/>
      <c r="I16" s="105"/>
      <c r="J16" s="149"/>
      <c r="K16" s="105"/>
      <c r="L16" s="105"/>
      <c r="M16" s="105"/>
      <c r="N16" s="105"/>
      <c r="O16" s="105"/>
      <c r="P16" s="105"/>
      <c r="Q16" s="1132"/>
      <c r="R16" s="105"/>
      <c r="S16" s="105"/>
      <c r="T16" s="1132"/>
      <c r="U16" s="105"/>
      <c r="V16" s="105"/>
      <c r="W16" s="105"/>
      <c r="X16" s="105"/>
      <c r="Y16" s="105"/>
      <c r="Z16" s="105"/>
      <c r="AA16" s="105"/>
      <c r="AB16" s="105"/>
      <c r="AC16" s="105"/>
      <c r="AD16" s="105"/>
      <c r="AE16" s="105"/>
      <c r="AF16" s="105"/>
      <c r="AG16" s="105"/>
      <c r="AH16" s="306"/>
      <c r="AI16" s="105"/>
      <c r="AJ16" s="105"/>
      <c r="AK16" s="105"/>
      <c r="AL16" s="105"/>
      <c r="AM16" s="105"/>
      <c r="AN16" s="105"/>
      <c r="AO16" s="105"/>
      <c r="AP16" s="306"/>
      <c r="AQ16" s="105"/>
      <c r="AR16" s="105"/>
      <c r="AS16" s="105"/>
      <c r="AT16" s="306"/>
      <c r="AU16" s="105"/>
      <c r="AV16" s="105"/>
      <c r="AW16" s="105"/>
      <c r="AX16" s="306"/>
      <c r="AY16" s="105"/>
      <c r="AZ16" s="105"/>
      <c r="BA16" s="105"/>
      <c r="BB16" s="306"/>
      <c r="BC16" s="105"/>
      <c r="BD16" s="105"/>
      <c r="BE16" s="105"/>
      <c r="BF16" s="306"/>
      <c r="BG16" s="105"/>
      <c r="BH16" s="105"/>
      <c r="BI16" s="105"/>
      <c r="BJ16" s="306"/>
      <c r="BK16" s="105"/>
      <c r="BL16" s="105"/>
      <c r="BM16" s="105"/>
      <c r="BN16" s="306"/>
      <c r="BO16" s="105"/>
      <c r="BP16" s="105"/>
      <c r="BQ16" s="105"/>
      <c r="BR16" s="306"/>
      <c r="BS16" s="105"/>
      <c r="BT16" s="105"/>
      <c r="BU16" s="105"/>
      <c r="BV16" s="306"/>
      <c r="BW16" s="105"/>
      <c r="BX16" s="105"/>
      <c r="BY16" s="105"/>
      <c r="BZ16" s="306"/>
      <c r="CA16" s="105"/>
      <c r="CB16" s="105"/>
      <c r="CC16" s="105"/>
      <c r="CD16" s="306"/>
      <c r="CE16" s="105"/>
      <c r="CF16" s="105"/>
      <c r="CG16" s="105"/>
      <c r="CH16" s="306"/>
      <c r="CI16" s="105"/>
      <c r="CJ16" s="105"/>
      <c r="CK16" s="256"/>
      <c r="CL16" s="257"/>
      <c r="CM16" s="256"/>
      <c r="CN16" s="256"/>
      <c r="CO16" s="256"/>
      <c r="CP16" s="257"/>
      <c r="CQ16" s="256"/>
      <c r="CR16" s="256"/>
      <c r="CS16" s="256"/>
      <c r="CT16" s="257"/>
      <c r="CU16" s="256"/>
      <c r="CV16" s="256"/>
      <c r="CW16" s="258"/>
      <c r="CX16" s="256"/>
      <c r="CY16" s="256"/>
      <c r="CZ16" s="256"/>
      <c r="DA16" s="256"/>
      <c r="DB16" s="257"/>
      <c r="DC16" s="256"/>
      <c r="DD16" s="256"/>
      <c r="DE16" s="256"/>
      <c r="DF16" s="257"/>
      <c r="DG16" s="1082"/>
      <c r="DH16" s="1082"/>
      <c r="DI16" s="258"/>
      <c r="DJ16" s="257"/>
      <c r="DK16" s="1082"/>
      <c r="DL16" s="1082"/>
      <c r="DM16" s="1082"/>
      <c r="DN16" s="257"/>
      <c r="DO16" s="1082"/>
      <c r="DP16" s="1082"/>
      <c r="DQ16" s="1082"/>
      <c r="DR16" s="257"/>
      <c r="DS16" s="257"/>
      <c r="DT16" s="257"/>
      <c r="DU16" s="257"/>
      <c r="DV16" s="257"/>
      <c r="DW16" s="1082"/>
      <c r="DX16" s="1082"/>
      <c r="DY16" s="258"/>
      <c r="DZ16" s="87"/>
    </row>
    <row r="17" spans="1:130" collapsed="1">
      <c r="A17" s="178" t="s">
        <v>498</v>
      </c>
      <c r="B17" s="169"/>
      <c r="C17" s="169"/>
      <c r="D17" s="169"/>
      <c r="E17" s="169"/>
      <c r="F17" s="169">
        <v>13057</v>
      </c>
      <c r="G17" s="169">
        <v>13013</v>
      </c>
      <c r="H17" s="169">
        <f>NormInputs!H131</f>
        <v>18833</v>
      </c>
      <c r="I17" s="169">
        <f>NormInputs!I131</f>
        <v>18511</v>
      </c>
      <c r="J17" s="169">
        <f>NormInputs!J131</f>
        <v>13061</v>
      </c>
      <c r="K17" s="169">
        <f>NormInputs!K131</f>
        <v>11874</v>
      </c>
      <c r="L17" s="169">
        <f>SUM(BR17:BU17)</f>
        <v>13259</v>
      </c>
      <c r="M17" s="169">
        <f>SUM(BV17:BY17)</f>
        <v>15324</v>
      </c>
      <c r="N17" s="169">
        <f>SUM(BZ17:CC17)</f>
        <v>17101</v>
      </c>
      <c r="O17" s="169">
        <f>SUM(CD17:CG17)</f>
        <v>17538</v>
      </c>
      <c r="P17" s="169">
        <f>SUM(CH17:CK17)</f>
        <v>17238</v>
      </c>
      <c r="Q17" s="1051">
        <f>SUM(CL17:CO17)</f>
        <v>16872</v>
      </c>
      <c r="R17" s="169">
        <f>SUM(CP17:CS17)</f>
        <v>16458</v>
      </c>
      <c r="S17" s="169">
        <f>SUM(CT17:CW17)</f>
        <v>16244</v>
      </c>
      <c r="T17" s="1051">
        <f>SUM(CX17:DA17)</f>
        <v>16175</v>
      </c>
      <c r="U17" s="169">
        <f>SUM(DB17:DE17)</f>
        <v>16604</v>
      </c>
      <c r="V17" s="169">
        <f>SUM(DF17:DI17)</f>
        <v>17191</v>
      </c>
      <c r="W17" s="169">
        <f>SUM(DJ17:DM17)</f>
        <v>17775</v>
      </c>
      <c r="X17" s="169">
        <f>SUM(DN17:DQ17)</f>
        <v>17059</v>
      </c>
      <c r="Y17" s="169">
        <f>SUM(DR17:DU17)</f>
        <v>17247</v>
      </c>
      <c r="Z17" s="169">
        <f ca="1">SUM(DV17:DY17)</f>
        <v>17185.531443313364</v>
      </c>
      <c r="AA17" s="169">
        <f ca="1">AA19*IS!AA30</f>
        <v>17326.654612606839</v>
      </c>
      <c r="AB17" s="169">
        <f ca="1">AB19*IS!AB30</f>
        <v>17539.117790711662</v>
      </c>
      <c r="AC17" s="169">
        <f ca="1">AC19*IS!AC30</f>
        <v>17762.512511533605</v>
      </c>
      <c r="AD17" s="169">
        <f ca="1">AD19*IS!AD30</f>
        <v>17996.036439295356</v>
      </c>
      <c r="AE17" s="169">
        <f ca="1">AE19*IS!AE30</f>
        <v>18240.908275959573</v>
      </c>
      <c r="AF17" s="169">
        <f ca="1">AF19*IS!AF30</f>
        <v>18499.258520535466</v>
      </c>
      <c r="AG17" s="169">
        <f ca="1">AG19*IS!AG30</f>
        <v>20074.791512016636</v>
      </c>
      <c r="AH17" s="532"/>
      <c r="AI17" s="169"/>
      <c r="AJ17" s="169"/>
      <c r="AK17" s="169"/>
      <c r="AL17" s="169"/>
      <c r="AM17" s="761"/>
      <c r="AN17" s="169"/>
      <c r="AO17" s="169"/>
      <c r="AP17" s="178"/>
      <c r="AQ17" s="169"/>
      <c r="AR17" s="169"/>
      <c r="AS17" s="169"/>
      <c r="AT17" s="178"/>
      <c r="AU17" s="169"/>
      <c r="AV17" s="169"/>
      <c r="AW17" s="169"/>
      <c r="AX17" s="178">
        <v>2646</v>
      </c>
      <c r="AY17" s="169">
        <v>3126</v>
      </c>
      <c r="AZ17" s="169">
        <v>3348</v>
      </c>
      <c r="BA17" s="169">
        <v>3893</v>
      </c>
      <c r="BB17" s="178">
        <v>3149</v>
      </c>
      <c r="BC17" s="169">
        <v>4483</v>
      </c>
      <c r="BD17" s="169">
        <f>NormInputs!AT131</f>
        <v>4548</v>
      </c>
      <c r="BE17" s="169">
        <f>NormInputs!AU131</f>
        <v>6053</v>
      </c>
      <c r="BF17" s="178">
        <f>NormInputs!AV131</f>
        <v>4768</v>
      </c>
      <c r="BG17" s="169">
        <f>NormInputs!AW131</f>
        <v>4975</v>
      </c>
      <c r="BH17" s="169">
        <f>NormInputs!AX131</f>
        <v>3604</v>
      </c>
      <c r="BI17" s="169">
        <f>NormInputs!AY131</f>
        <v>5164</v>
      </c>
      <c r="BJ17" s="178">
        <f>NormInputs!AZ131</f>
        <v>2580</v>
      </c>
      <c r="BK17" s="169">
        <f>NormInputs!BA131</f>
        <v>3400</v>
      </c>
      <c r="BL17" s="169">
        <f>NormInputs!BB131</f>
        <v>2814</v>
      </c>
      <c r="BM17" s="169">
        <f>NormInputs!BC131</f>
        <v>4267</v>
      </c>
      <c r="BN17" s="178">
        <f>NormInputs!BD131</f>
        <v>2463</v>
      </c>
      <c r="BO17" s="169">
        <f>NormInputs!BE131</f>
        <v>2824</v>
      </c>
      <c r="BP17" s="169">
        <f>NormInputs!BF131</f>
        <v>2847</v>
      </c>
      <c r="BQ17" s="169">
        <f>NormInputs!BG131</f>
        <v>3740</v>
      </c>
      <c r="BR17" s="178">
        <f>NormInputs!BH131</f>
        <v>2641</v>
      </c>
      <c r="BS17" s="169">
        <f>NormInputs!BI131</f>
        <v>3183</v>
      </c>
      <c r="BT17" s="169">
        <f>NormInputs!BJ131</f>
        <v>3253</v>
      </c>
      <c r="BU17" s="169">
        <f>NormInputs!BK131</f>
        <v>4182</v>
      </c>
      <c r="BV17" s="178">
        <f>NormInputs!BL131</f>
        <v>3594</v>
      </c>
      <c r="BW17" s="169">
        <f>NormInputs!BM131</f>
        <v>4061</v>
      </c>
      <c r="BX17" s="169">
        <f>NormInputs!BN131</f>
        <v>3897</v>
      </c>
      <c r="BY17" s="169">
        <f>NormInputs!BO131</f>
        <v>3772</v>
      </c>
      <c r="BZ17" s="178">
        <f>NormInputs!BP131</f>
        <v>4021</v>
      </c>
      <c r="CA17" s="169">
        <f>NormInputs!BQ131</f>
        <v>4264</v>
      </c>
      <c r="CB17" s="169">
        <f>NormInputs!BR131</f>
        <v>3993</v>
      </c>
      <c r="CC17" s="169">
        <f>NormInputs!BS131</f>
        <v>4823</v>
      </c>
      <c r="CD17" s="178">
        <f>NormInputs!BT131</f>
        <v>4163</v>
      </c>
      <c r="CE17" s="169">
        <f>NormInputs!BU131</f>
        <v>4352</v>
      </c>
      <c r="CF17" s="169">
        <f>NormInputs!BV131</f>
        <v>4277</v>
      </c>
      <c r="CG17" s="169">
        <f>NormInputs!BW131</f>
        <v>4746</v>
      </c>
      <c r="CH17" s="178">
        <f>NormInputs!BX131</f>
        <v>4220</v>
      </c>
      <c r="CI17" s="169">
        <f>NormInputs!BY131</f>
        <v>4177</v>
      </c>
      <c r="CJ17" s="169">
        <f>NormInputs!BZ131</f>
        <v>4178</v>
      </c>
      <c r="CK17" s="169">
        <f>NormInputs!CA131</f>
        <v>4663</v>
      </c>
      <c r="CL17" s="178">
        <f>NormInputs!CB131</f>
        <v>3663</v>
      </c>
      <c r="CM17" s="169">
        <f>NormInputs!CC131</f>
        <v>4343</v>
      </c>
      <c r="CN17" s="169">
        <f>NormInputs!CD131</f>
        <v>4313</v>
      </c>
      <c r="CO17" s="169">
        <f>NormInputs!CE131</f>
        <v>4553</v>
      </c>
      <c r="CP17" s="178">
        <f>NormInputs!CF131</f>
        <v>3423</v>
      </c>
      <c r="CQ17" s="169">
        <f>NormInputs!CG131</f>
        <v>4196</v>
      </c>
      <c r="CR17" s="169">
        <f>NormInputs!CH131</f>
        <v>4125</v>
      </c>
      <c r="CS17" s="169">
        <f>NormInputs!CI131</f>
        <v>4714</v>
      </c>
      <c r="CT17" s="178">
        <f>NormInputs!CJ131</f>
        <v>4363</v>
      </c>
      <c r="CU17" s="169">
        <f>NormInputs!CK131</f>
        <v>4555</v>
      </c>
      <c r="CV17" s="169">
        <f>NormInputs!CL131</f>
        <v>3628</v>
      </c>
      <c r="CW17" s="179">
        <f>NormInputs!CM131</f>
        <v>3698</v>
      </c>
      <c r="CX17" s="169">
        <f>NormInputs!CN131</f>
        <v>3565</v>
      </c>
      <c r="CY17" s="169">
        <f>NormInputs!CO131</f>
        <v>3732</v>
      </c>
      <c r="CZ17" s="169">
        <f>NormInputs!CP131</f>
        <v>3885</v>
      </c>
      <c r="DA17" s="169">
        <f>NormInputs!CQ131</f>
        <v>4993</v>
      </c>
      <c r="DB17" s="178">
        <f>NormInputs!CR131</f>
        <v>3602</v>
      </c>
      <c r="DC17" s="169">
        <f>NormInputs!CS131</f>
        <v>4014</v>
      </c>
      <c r="DD17" s="169">
        <f>NormInputs!CT131</f>
        <v>4191</v>
      </c>
      <c r="DE17" s="169">
        <f>NormInputs!CU131</f>
        <v>4797</v>
      </c>
      <c r="DF17" s="178">
        <f>NormInputs!CV131</f>
        <v>4150</v>
      </c>
      <c r="DG17" s="1051">
        <f>NormInputs!CW131</f>
        <v>4344</v>
      </c>
      <c r="DH17" s="1051">
        <f>NormInputs!CX131</f>
        <v>4130</v>
      </c>
      <c r="DI17" s="179">
        <f>NormInputs!CY131</f>
        <v>4567</v>
      </c>
      <c r="DJ17" s="178">
        <f>NormInputs!CZ131</f>
        <v>3665</v>
      </c>
      <c r="DK17" s="1051">
        <f>NormInputs!DA131</f>
        <v>4488</v>
      </c>
      <c r="DL17" s="2154">
        <f>NormInputs!DB131</f>
        <v>4387</v>
      </c>
      <c r="DM17" s="2475">
        <f>NormInputs!DC131</f>
        <v>5235</v>
      </c>
      <c r="DN17" s="2154">
        <f>NormInputs!DD131</f>
        <v>3387</v>
      </c>
      <c r="DO17" s="2154">
        <f>NormInputs!DE131</f>
        <v>3886</v>
      </c>
      <c r="DP17" s="2154">
        <f>NormInputs!DF131</f>
        <v>4125</v>
      </c>
      <c r="DQ17" s="2475">
        <f>NormInputs!DG131</f>
        <v>5661</v>
      </c>
      <c r="DR17" s="2154">
        <f>NormInputs!DH131</f>
        <v>3067</v>
      </c>
      <c r="DS17" s="2154">
        <f>NormInputs!DI131</f>
        <v>3944</v>
      </c>
      <c r="DT17" s="2154">
        <f>NormInputs!DJ131</f>
        <v>4271</v>
      </c>
      <c r="DU17" s="2154">
        <f>NormInputs!DK131</f>
        <v>5965</v>
      </c>
      <c r="DV17" s="2154">
        <f>NormInputs!DL131</f>
        <v>4553</v>
      </c>
      <c r="DW17" s="1051">
        <f ca="1">DW19*IS!DT30</f>
        <v>4102.0268345890599</v>
      </c>
      <c r="DX17" s="1051">
        <f ca="1">DX19*IS!DU30</f>
        <v>4169.9259917685913</v>
      </c>
      <c r="DY17" s="179">
        <f ca="1">DY19*IS!DV30</f>
        <v>4360.5786169557132</v>
      </c>
      <c r="DZ17" s="109"/>
    </row>
    <row r="18" spans="1:130">
      <c r="A18" s="176" t="s">
        <v>991</v>
      </c>
      <c r="B18" s="94"/>
      <c r="C18" s="94"/>
      <c r="D18" s="94"/>
      <c r="E18" s="94"/>
      <c r="F18" s="94"/>
      <c r="G18" s="94"/>
      <c r="H18" s="94">
        <f t="shared" ref="H18:AB18" si="44">H17/G17-1</f>
        <v>0.447245062629678</v>
      </c>
      <c r="I18" s="94">
        <f t="shared" si="44"/>
        <v>-1.7097647745977773E-2</v>
      </c>
      <c r="J18" s="94">
        <f t="shared" si="44"/>
        <v>-0.29441953433093837</v>
      </c>
      <c r="K18" s="94">
        <f t="shared" si="44"/>
        <v>-9.0881249521476137E-2</v>
      </c>
      <c r="L18" s="94">
        <f t="shared" si="44"/>
        <v>0.11664140138116896</v>
      </c>
      <c r="M18" s="94">
        <f t="shared" si="44"/>
        <v>0.15574326872313149</v>
      </c>
      <c r="N18" s="94">
        <f t="shared" si="44"/>
        <v>0.11596188984599332</v>
      </c>
      <c r="O18" s="94">
        <f t="shared" si="44"/>
        <v>2.5554061166013664E-2</v>
      </c>
      <c r="P18" s="94">
        <f t="shared" si="44"/>
        <v>-1.7105713308244952E-2</v>
      </c>
      <c r="Q18" s="1045">
        <f t="shared" si="44"/>
        <v>-2.1232161503654701E-2</v>
      </c>
      <c r="R18" s="94">
        <f t="shared" si="44"/>
        <v>-2.4537695590327147E-2</v>
      </c>
      <c r="S18" s="94">
        <f t="shared" si="44"/>
        <v>-1.3002794993316358E-2</v>
      </c>
      <c r="T18" s="1045">
        <f t="shared" si="44"/>
        <v>-4.2477222359025291E-3</v>
      </c>
      <c r="U18" s="94">
        <f t="shared" si="44"/>
        <v>2.6522411128284462E-2</v>
      </c>
      <c r="V18" s="94">
        <f t="shared" si="44"/>
        <v>3.5352927005540824E-2</v>
      </c>
      <c r="W18" s="94">
        <f>W17/V17-1</f>
        <v>3.3971264033505921E-2</v>
      </c>
      <c r="X18" s="94">
        <f>X17/W17-1</f>
        <v>-4.0281293952180053E-2</v>
      </c>
      <c r="Y18" s="94">
        <f>Y17/X17-1</f>
        <v>1.1020575649217434E-2</v>
      </c>
      <c r="Z18" s="94">
        <f ca="1">Z17/Y17-1</f>
        <v>-3.5640144191242396E-3</v>
      </c>
      <c r="AA18" s="94">
        <f t="shared" ca="1" si="44"/>
        <v>8.2117431025610088E-3</v>
      </c>
      <c r="AB18" s="94">
        <f t="shared" ca="1" si="44"/>
        <v>1.2262215808828802E-2</v>
      </c>
      <c r="AC18" s="94">
        <f t="shared" ref="AC18" ca="1" si="45">AC17/AB17-1</f>
        <v>1.2736941702977012E-2</v>
      </c>
      <c r="AD18" s="94">
        <f t="shared" ref="AD18" ca="1" si="46">AD17/AC17-1</f>
        <v>1.314700989570694E-2</v>
      </c>
      <c r="AE18" s="94">
        <f t="shared" ref="AE18" ca="1" si="47">AE17/AD17-1</f>
        <v>1.3606987154656247E-2</v>
      </c>
      <c r="AF18" s="94">
        <f t="shared" ref="AF18" ca="1" si="48">AF17/AE17-1</f>
        <v>1.4163233577375367E-2</v>
      </c>
      <c r="AG18" s="94">
        <f t="shared" ref="AG18" ca="1" si="49">AG17/AF17-1</f>
        <v>8.5167358990752007E-2</v>
      </c>
      <c r="AH18" s="138"/>
      <c r="AI18" s="94"/>
      <c r="AJ18" s="94"/>
      <c r="AK18" s="94"/>
      <c r="AL18" s="94"/>
      <c r="AM18" s="94"/>
      <c r="AN18" s="94"/>
      <c r="AO18" s="94"/>
      <c r="AP18" s="147"/>
      <c r="AQ18" s="94"/>
      <c r="AR18" s="94"/>
      <c r="AS18" s="94"/>
      <c r="AT18" s="147"/>
      <c r="AU18" s="94"/>
      <c r="AV18" s="94"/>
      <c r="AW18" s="94"/>
      <c r="AX18" s="147"/>
      <c r="AY18" s="94"/>
      <c r="AZ18" s="94"/>
      <c r="BA18" s="94"/>
      <c r="BB18" s="147">
        <f t="shared" ref="BB18:CG18" si="50">BB17/AX17-1</f>
        <v>0.19009826152683296</v>
      </c>
      <c r="BC18" s="94">
        <f t="shared" si="50"/>
        <v>0.43410108765195132</v>
      </c>
      <c r="BD18" s="94">
        <f t="shared" si="50"/>
        <v>0.35842293906810041</v>
      </c>
      <c r="BE18" s="94">
        <f t="shared" si="50"/>
        <v>0.55484202414590289</v>
      </c>
      <c r="BF18" s="147">
        <f t="shared" si="50"/>
        <v>0.51413147030803419</v>
      </c>
      <c r="BG18" s="94">
        <f t="shared" si="50"/>
        <v>0.10974793664956506</v>
      </c>
      <c r="BH18" s="94">
        <f t="shared" si="50"/>
        <v>-0.20756376429199652</v>
      </c>
      <c r="BI18" s="94">
        <f t="shared" si="50"/>
        <v>-0.14686932099785233</v>
      </c>
      <c r="BJ18" s="147">
        <f t="shared" si="50"/>
        <v>-0.45889261744966447</v>
      </c>
      <c r="BK18" s="94">
        <f t="shared" si="50"/>
        <v>-0.31658291457286436</v>
      </c>
      <c r="BL18" s="94">
        <f t="shared" si="50"/>
        <v>-0.21920088790233072</v>
      </c>
      <c r="BM18" s="94">
        <f t="shared" si="50"/>
        <v>-0.173702556158017</v>
      </c>
      <c r="BN18" s="147">
        <f t="shared" si="50"/>
        <v>-4.5348837209302273E-2</v>
      </c>
      <c r="BO18" s="94">
        <f t="shared" si="50"/>
        <v>-0.16941176470588237</v>
      </c>
      <c r="BP18" s="94">
        <f t="shared" si="50"/>
        <v>1.1727078891258014E-2</v>
      </c>
      <c r="BQ18" s="94">
        <f t="shared" si="50"/>
        <v>-0.12350597609561753</v>
      </c>
      <c r="BR18" s="147">
        <f t="shared" si="50"/>
        <v>7.2269589930978428E-2</v>
      </c>
      <c r="BS18" s="94">
        <f t="shared" si="50"/>
        <v>0.12712464589235117</v>
      </c>
      <c r="BT18" s="94">
        <f t="shared" si="50"/>
        <v>0.14260625219529333</v>
      </c>
      <c r="BU18" s="94">
        <f t="shared" si="50"/>
        <v>0.11818181818181817</v>
      </c>
      <c r="BV18" s="147">
        <f t="shared" si="50"/>
        <v>0.36084816357440364</v>
      </c>
      <c r="BW18" s="94">
        <f t="shared" si="50"/>
        <v>0.27584040213634942</v>
      </c>
      <c r="BX18" s="94">
        <f t="shared" si="50"/>
        <v>0.19797110359668002</v>
      </c>
      <c r="BY18" s="94">
        <f t="shared" si="50"/>
        <v>-9.8039215686274495E-2</v>
      </c>
      <c r="BZ18" s="147">
        <f t="shared" si="50"/>
        <v>0.11880912632164708</v>
      </c>
      <c r="CA18" s="94">
        <f t="shared" si="50"/>
        <v>4.998768776163498E-2</v>
      </c>
      <c r="CB18" s="94">
        <f t="shared" si="50"/>
        <v>2.4634334103156297E-2</v>
      </c>
      <c r="CC18" s="94">
        <f t="shared" si="50"/>
        <v>0.27863202545068932</v>
      </c>
      <c r="CD18" s="147">
        <f t="shared" si="50"/>
        <v>3.5314598358617166E-2</v>
      </c>
      <c r="CE18" s="94">
        <f t="shared" si="50"/>
        <v>2.063789868667909E-2</v>
      </c>
      <c r="CF18" s="94">
        <f t="shared" si="50"/>
        <v>7.1124467818682646E-2</v>
      </c>
      <c r="CG18" s="94">
        <f t="shared" si="50"/>
        <v>-1.5965166908563089E-2</v>
      </c>
      <c r="CH18" s="147">
        <f t="shared" ref="CH18:DV18" si="51">CH17/CD17-1</f>
        <v>1.3692049003122708E-2</v>
      </c>
      <c r="CI18" s="94">
        <f t="shared" si="51"/>
        <v>-4.0211397058823484E-2</v>
      </c>
      <c r="CJ18" s="94">
        <f t="shared" si="51"/>
        <v>-2.3147065700257152E-2</v>
      </c>
      <c r="CK18" s="94">
        <f t="shared" si="51"/>
        <v>-1.7488411293721029E-2</v>
      </c>
      <c r="CL18" s="147">
        <f t="shared" si="51"/>
        <v>-0.13199052132701417</v>
      </c>
      <c r="CM18" s="94">
        <f t="shared" si="51"/>
        <v>3.9741441225760177E-2</v>
      </c>
      <c r="CN18" s="94">
        <f t="shared" si="51"/>
        <v>3.2312111057922532E-2</v>
      </c>
      <c r="CO18" s="94">
        <f t="shared" si="51"/>
        <v>-2.3589963542783643E-2</v>
      </c>
      <c r="CP18" s="147">
        <f t="shared" si="51"/>
        <v>-6.5520065520065507E-2</v>
      </c>
      <c r="CQ18" s="94">
        <f t="shared" si="51"/>
        <v>-3.384757080359202E-2</v>
      </c>
      <c r="CR18" s="94">
        <f t="shared" si="51"/>
        <v>-4.3589149084164114E-2</v>
      </c>
      <c r="CS18" s="94">
        <f t="shared" si="51"/>
        <v>3.5361300241598892E-2</v>
      </c>
      <c r="CT18" s="147">
        <f t="shared" si="51"/>
        <v>0.27461291264972254</v>
      </c>
      <c r="CU18" s="94">
        <f t="shared" si="51"/>
        <v>8.555767397521441E-2</v>
      </c>
      <c r="CV18" s="94">
        <f t="shared" si="51"/>
        <v>-0.12048484848484853</v>
      </c>
      <c r="CW18" s="101">
        <f t="shared" si="51"/>
        <v>-0.21552821383114129</v>
      </c>
      <c r="CX18" s="94">
        <f t="shared" si="51"/>
        <v>-0.1829016731606693</v>
      </c>
      <c r="CY18" s="94">
        <f t="shared" si="51"/>
        <v>-0.18068057080131728</v>
      </c>
      <c r="CZ18" s="94">
        <f t="shared" si="51"/>
        <v>7.0837927232635156E-2</v>
      </c>
      <c r="DA18" s="94">
        <f t="shared" si="51"/>
        <v>0.35018929150892375</v>
      </c>
      <c r="DB18" s="147">
        <f t="shared" si="51"/>
        <v>1.0378681626928454E-2</v>
      </c>
      <c r="DC18" s="94">
        <f t="shared" si="51"/>
        <v>7.5562700964630247E-2</v>
      </c>
      <c r="DD18" s="94">
        <f t="shared" si="51"/>
        <v>7.8764478764478785E-2</v>
      </c>
      <c r="DE18" s="94">
        <f t="shared" si="51"/>
        <v>-3.9254956939715591E-2</v>
      </c>
      <c r="DF18" s="147">
        <f t="shared" si="51"/>
        <v>0.15213770127706838</v>
      </c>
      <c r="DG18" s="1045">
        <f t="shared" si="51"/>
        <v>8.2212257100149566E-2</v>
      </c>
      <c r="DH18" s="1045">
        <f t="shared" si="51"/>
        <v>-1.4554998806967312E-2</v>
      </c>
      <c r="DI18" s="101">
        <f t="shared" si="51"/>
        <v>-4.7946633312486941E-2</v>
      </c>
      <c r="DJ18" s="147">
        <f t="shared" si="51"/>
        <v>-0.11686746987951813</v>
      </c>
      <c r="DK18" s="1045">
        <f t="shared" si="51"/>
        <v>3.3149171270718147E-2</v>
      </c>
      <c r="DL18" s="1045">
        <f t="shared" si="51"/>
        <v>6.2227602905569057E-2</v>
      </c>
      <c r="DM18" s="101">
        <f t="shared" si="51"/>
        <v>0.14626669586161589</v>
      </c>
      <c r="DN18" s="1045">
        <f t="shared" si="51"/>
        <v>-7.5852660300136376E-2</v>
      </c>
      <c r="DO18" s="1045">
        <f t="shared" si="51"/>
        <v>-0.13413547237076651</v>
      </c>
      <c r="DP18" s="1045">
        <f t="shared" si="51"/>
        <v>-5.9721905630271244E-2</v>
      </c>
      <c r="DQ18" s="101">
        <f t="shared" si="51"/>
        <v>8.1375358166189127E-2</v>
      </c>
      <c r="DR18" s="1045">
        <f t="shared" si="51"/>
        <v>-9.4478889873043981E-2</v>
      </c>
      <c r="DS18" s="1045">
        <f t="shared" si="51"/>
        <v>1.4925373134328401E-2</v>
      </c>
      <c r="DT18" s="1045">
        <f t="shared" si="51"/>
        <v>3.5393939393939311E-2</v>
      </c>
      <c r="DU18" s="1045">
        <f t="shared" si="51"/>
        <v>5.370075958311249E-2</v>
      </c>
      <c r="DV18" s="1045">
        <f t="shared" si="51"/>
        <v>0.48451255298337137</v>
      </c>
      <c r="DW18" s="1045">
        <f t="shared" ref="DW18" ca="1" si="52">DW17/DS17-1</f>
        <v>4.0067655828869064E-2</v>
      </c>
      <c r="DX18" s="1045">
        <f t="shared" ref="DX18" ca="1" si="53">DX17/DT17-1</f>
        <v>-2.3665185724984439E-2</v>
      </c>
      <c r="DY18" s="101">
        <f t="shared" ref="DY18" ca="1" si="54">DY17/DU17-1</f>
        <v>-0.26897257050197598</v>
      </c>
      <c r="DZ18" s="94"/>
    </row>
    <row r="19" spans="1:130">
      <c r="A19" s="176" t="s">
        <v>499</v>
      </c>
      <c r="B19" s="94"/>
      <c r="C19" s="94"/>
      <c r="D19" s="94"/>
      <c r="E19" s="94"/>
      <c r="F19" s="94"/>
      <c r="G19" s="94"/>
      <c r="H19" s="94"/>
      <c r="I19" s="94"/>
      <c r="J19" s="94"/>
      <c r="K19" s="94"/>
      <c r="L19" s="94"/>
      <c r="M19" s="94"/>
      <c r="N19" s="94">
        <f>N17/IS!N30</f>
        <v>0.19605408241451794</v>
      </c>
      <c r="O19" s="94">
        <f>O17/IS!O30</f>
        <v>0.18985656292286873</v>
      </c>
      <c r="P19" s="94">
        <f>P17/IS!P30</f>
        <v>0.17753563483562659</v>
      </c>
      <c r="Q19" s="1045">
        <f>Q17/IS!Q30</f>
        <v>0.16474471014421999</v>
      </c>
      <c r="R19" s="94">
        <f>R17/IS!R30</f>
        <v>0.15760442801601135</v>
      </c>
      <c r="S19" s="94">
        <f>S17/IS!S30</f>
        <v>0.14650732807215333</v>
      </c>
      <c r="T19" s="1045">
        <f>T17/IS!T30</f>
        <v>0.13993546098677209</v>
      </c>
      <c r="U19" s="94">
        <f>U17/IS!U30</f>
        <v>0.13842318946903318</v>
      </c>
      <c r="V19" s="94">
        <f>V17/IS!V30</f>
        <v>0.13555112243047396</v>
      </c>
      <c r="W19" s="94">
        <f>W17/IS!W30</f>
        <v>0.13734247146908152</v>
      </c>
      <c r="X19" s="94">
        <f>X17/IS!X30</f>
        <v>0.13597704356143636</v>
      </c>
      <c r="Y19" s="94">
        <f>Y17/IS!Y30</f>
        <v>0.1368440262151483</v>
      </c>
      <c r="Z19" s="94">
        <f ca="1">Z17/IS!Z30</f>
        <v>0.13327766842527139</v>
      </c>
      <c r="AA19" s="110">
        <f ca="1">+Z19+0.001</f>
        <v>0.13427766842527139</v>
      </c>
      <c r="AB19" s="110">
        <f t="shared" ref="AB19:AF19" ca="1" si="55">+AA19+0.001</f>
        <v>0.13527766842527139</v>
      </c>
      <c r="AC19" s="110">
        <f t="shared" ca="1" si="55"/>
        <v>0.13627766842527139</v>
      </c>
      <c r="AD19" s="110">
        <f t="shared" ca="1" si="55"/>
        <v>0.13727766842527139</v>
      </c>
      <c r="AE19" s="110">
        <f t="shared" ca="1" si="55"/>
        <v>0.13827766842527139</v>
      </c>
      <c r="AF19" s="110">
        <f t="shared" ca="1" si="55"/>
        <v>0.13927766842527139</v>
      </c>
      <c r="AG19" s="110">
        <v>0.15</v>
      </c>
      <c r="AH19" s="138"/>
      <c r="AI19" s="94"/>
      <c r="AJ19" s="94"/>
      <c r="AK19" s="94"/>
      <c r="AL19" s="94"/>
      <c r="AM19" s="94"/>
      <c r="AN19" s="94"/>
      <c r="AO19" s="94"/>
      <c r="AP19" s="147"/>
      <c r="AQ19" s="94"/>
      <c r="AR19" s="94"/>
      <c r="AS19" s="94"/>
      <c r="AT19" s="147"/>
      <c r="AU19" s="94"/>
      <c r="AV19" s="94"/>
      <c r="AW19" s="94"/>
      <c r="AX19" s="147"/>
      <c r="AY19" s="94"/>
      <c r="AZ19" s="94"/>
      <c r="BA19" s="94"/>
      <c r="BB19" s="147"/>
      <c r="BC19" s="94"/>
      <c r="BD19" s="94"/>
      <c r="BE19" s="94"/>
      <c r="BF19" s="147"/>
      <c r="BG19" s="94"/>
      <c r="BH19" s="94"/>
      <c r="BI19" s="94"/>
      <c r="BJ19" s="147"/>
      <c r="BK19" s="94"/>
      <c r="BL19" s="94"/>
      <c r="BM19" s="94"/>
      <c r="BN19" s="147"/>
      <c r="BO19" s="94"/>
      <c r="BP19" s="94"/>
      <c r="BQ19" s="94"/>
      <c r="BR19" s="147"/>
      <c r="BS19" s="94"/>
      <c r="BT19" s="94"/>
      <c r="BU19" s="94"/>
      <c r="BV19" s="147"/>
      <c r="BW19" s="94"/>
      <c r="BX19" s="94"/>
      <c r="BY19" s="94"/>
      <c r="BZ19" s="147">
        <f>BZ17/IS!BW30</f>
        <v>0.18995715118103182</v>
      </c>
      <c r="CA19" s="94">
        <f>CA17/IS!BX30</f>
        <v>0.19756289672427374</v>
      </c>
      <c r="CB19" s="94">
        <f>CB17/IS!BY30</f>
        <v>0.18017326956050897</v>
      </c>
      <c r="CC19" s="94">
        <f>CC17/IS!BZ30</f>
        <v>0.2161520190023753</v>
      </c>
      <c r="CD19" s="147">
        <f>CD17/IS!CA30</f>
        <v>0.18658957464927614</v>
      </c>
      <c r="CE19" s="94">
        <f>CE17/IS!CB30</f>
        <v>0.18921739130434784</v>
      </c>
      <c r="CF19" s="94">
        <f>CF17/IS!CC30</f>
        <v>0.18205422891925255</v>
      </c>
      <c r="CG19" s="94">
        <f>CG17/IS!CD30</f>
        <v>0.20134911543846251</v>
      </c>
      <c r="CH19" s="147">
        <f>CH17/IS!CE30</f>
        <v>0.17900318133616119</v>
      </c>
      <c r="CI19" s="94">
        <f>CI17/IS!CF30</f>
        <v>0.17314707345382191</v>
      </c>
      <c r="CJ19" s="94">
        <f>CJ17/IS!CG30</f>
        <v>0.16879444085326439</v>
      </c>
      <c r="CK19" s="94">
        <f>CK17/IS!CH30</f>
        <v>0.18920673564617568</v>
      </c>
      <c r="CL19" s="147">
        <f>CL17/IS!CI30</f>
        <v>0.14555930856348104</v>
      </c>
      <c r="CM19" s="94">
        <f>CM17/IS!CJ30</f>
        <v>0.17024028850299872</v>
      </c>
      <c r="CN19" s="94">
        <f>CN17/IS!CK30</f>
        <v>0.16630677874604766</v>
      </c>
      <c r="CO19" s="94">
        <f>CO17/IS!CL30</f>
        <v>0.17645235050187963</v>
      </c>
      <c r="CP19" s="147">
        <f>CP17/IS!CM30</f>
        <v>0.13352837916910473</v>
      </c>
      <c r="CQ19" s="94">
        <f>CQ17/IS!CN30</f>
        <v>0.16193269527631984</v>
      </c>
      <c r="CR19" s="94">
        <f>CR17/IS!CO30</f>
        <v>0.15575441776166743</v>
      </c>
      <c r="CS19" s="94">
        <f>CS17/IS!CP30</f>
        <v>0.17859443076340217</v>
      </c>
      <c r="CT19" s="147">
        <f>CT17/IS!CQ30</f>
        <v>0.16165246387550944</v>
      </c>
      <c r="CU19" s="94">
        <f>CU17/IS!CR30</f>
        <v>0.16541981406159209</v>
      </c>
      <c r="CV19" s="94">
        <f>CV17/IS!CS30</f>
        <v>0.12997528033532763</v>
      </c>
      <c r="CW19" s="101">
        <f>CW17/IS!CT30</f>
        <v>0.13004642003094669</v>
      </c>
      <c r="CX19" s="94">
        <f>CX17/IS!CU30</f>
        <v>0.12623043693789393</v>
      </c>
      <c r="CY19" s="94">
        <f>CY17/IS!CV30</f>
        <v>0.13083260297984226</v>
      </c>
      <c r="CZ19" s="94">
        <f>CZ17/IS!CW30</f>
        <v>0.13393318854069708</v>
      </c>
      <c r="DA19" s="94">
        <f>DA17/IS!CX30</f>
        <v>0.16746604058359885</v>
      </c>
      <c r="DB19" s="147">
        <f>DB17/IS!CY30</f>
        <v>0.12318741450068399</v>
      </c>
      <c r="DC19" s="94">
        <f>DC17/IS!CZ30</f>
        <v>0.13534747277202683</v>
      </c>
      <c r="DD19" s="94">
        <f>DD17/IS!DA30</f>
        <v>0.1391341876369431</v>
      </c>
      <c r="DE19" s="94">
        <f>DE17/IS!DB30</f>
        <v>0.15508211560843141</v>
      </c>
      <c r="DF19" s="147">
        <f>DF17/IS!DC30</f>
        <v>0.13522319973932878</v>
      </c>
      <c r="DG19" s="1045">
        <f>DG17/IS!DD30</f>
        <v>0.1385424972093765</v>
      </c>
      <c r="DH19" s="1045">
        <f>DH17/IS!DE30</f>
        <v>0.13075413157728108</v>
      </c>
      <c r="DI19" s="101">
        <f>DI17/IS!DF30</f>
        <v>0.13759339599903592</v>
      </c>
      <c r="DJ19" s="147">
        <f>DJ17/IS!DG30</f>
        <v>0.11661204619937</v>
      </c>
      <c r="DK19" s="1045">
        <f>DK17/IS!DH30</f>
        <v>0.1416800833412255</v>
      </c>
      <c r="DL19" s="1045">
        <f>DL17/IS!DI30</f>
        <v>0.13451278592015697</v>
      </c>
      <c r="DM19" s="101">
        <f>DM17/IS!DJ30</f>
        <v>0.15533663689504762</v>
      </c>
      <c r="DN19" s="1045">
        <f>DN17/IS!DK30</f>
        <v>0.10702774442267585</v>
      </c>
      <c r="DO19" s="1045">
        <f>DO17/IS!DL30</f>
        <v>0.12727630027512118</v>
      </c>
      <c r="DP19" s="1045">
        <f>DP17/IS!DM30</f>
        <v>0.13333548825031516</v>
      </c>
      <c r="DQ19" s="101">
        <f>DQ17/IS!DN30</f>
        <v>0.17504638218923932</v>
      </c>
      <c r="DR19" s="1045">
        <f>DR17/IS!DO30</f>
        <v>0.10287113436640505</v>
      </c>
      <c r="DS19" s="1045">
        <f>DS17/IS!DP30</f>
        <v>0.12910828859499804</v>
      </c>
      <c r="DT19" s="1045">
        <f>DT17/IS!DQ30</f>
        <v>0.1346596462464924</v>
      </c>
      <c r="DU19" s="1045">
        <f>DU17/IS!DR30</f>
        <v>0.17567368576056547</v>
      </c>
      <c r="DV19" s="1045">
        <f>DV17/IS!DS30</f>
        <v>0.14330227873599397</v>
      </c>
      <c r="DW19" s="1059">
        <v>0.13</v>
      </c>
      <c r="DX19" s="1059">
        <v>0.13</v>
      </c>
      <c r="DY19" s="166">
        <v>0.13</v>
      </c>
      <c r="DZ19" s="94"/>
    </row>
    <row r="20" spans="1:130">
      <c r="A20" s="176" t="s">
        <v>500</v>
      </c>
      <c r="B20" s="94"/>
      <c r="C20" s="94"/>
      <c r="D20" s="94"/>
      <c r="E20" s="94"/>
      <c r="F20" s="94"/>
      <c r="G20" s="94"/>
      <c r="H20" s="94"/>
      <c r="I20" s="94"/>
      <c r="J20" s="94"/>
      <c r="K20" s="94"/>
      <c r="L20" s="94"/>
      <c r="M20" s="94"/>
      <c r="N20" s="94">
        <f>N17/IS!N59</f>
        <v>0.59923754063468904</v>
      </c>
      <c r="O20" s="94">
        <f>O17/IS!O59</f>
        <v>0.57192238708625465</v>
      </c>
      <c r="P20" s="94">
        <f>P17/IS!P59</f>
        <v>0.52922755741127347</v>
      </c>
      <c r="Q20" s="1045">
        <f>Q17/IS!Q59</f>
        <v>0.52249852900188909</v>
      </c>
      <c r="R20" s="94">
        <f>R17/IS!R59</f>
        <v>0.47876425413078894</v>
      </c>
      <c r="S20" s="94">
        <f>S17/IS!S59</f>
        <v>0.45822284908321581</v>
      </c>
      <c r="T20" s="1045">
        <f>T17/IS!T59</f>
        <v>0.43229013549990647</v>
      </c>
      <c r="U20" s="94">
        <f>U17/IS!U59</f>
        <v>0.39513576545060802</v>
      </c>
      <c r="V20" s="94">
        <f>V17/IS!V59</f>
        <v>0.39744301105100105</v>
      </c>
      <c r="W20" s="94">
        <f>W17/IS!W59</f>
        <v>0.4006265777136675</v>
      </c>
      <c r="X20" s="94">
        <f>X17/IS!X59</f>
        <v>0.38563613346595532</v>
      </c>
      <c r="Y20" s="94">
        <f>Y17/IS!Y59</f>
        <v>0.36965514285101914</v>
      </c>
      <c r="Z20" s="94">
        <f ca="1">Z17/IS!Z59</f>
        <v>0.35963337273076196</v>
      </c>
      <c r="AA20" s="94">
        <f ca="1">AA17/IS!AA59</f>
        <v>0.35478784148079345</v>
      </c>
      <c r="AB20" s="94">
        <f ca="1">AB17/IS!AB59</f>
        <v>0.3529883825835195</v>
      </c>
      <c r="AC20" s="94">
        <f ca="1">AC17/IS!AC59</f>
        <v>0.35084456822722171</v>
      </c>
      <c r="AD20" s="94">
        <f ca="1">AD17/IS!AD59</f>
        <v>0.34844276509207284</v>
      </c>
      <c r="AE20" s="94">
        <f ca="1">AE17/IS!AE59</f>
        <v>0.34582506107740962</v>
      </c>
      <c r="AF20" s="94">
        <f ca="1">AF17/IS!AF59</f>
        <v>0.3430145118532304</v>
      </c>
      <c r="AG20" s="94">
        <f ca="1">AG17/IS!AG59</f>
        <v>0.36359306618601395</v>
      </c>
      <c r="AH20" s="138"/>
      <c r="AI20" s="94"/>
      <c r="AJ20" s="94"/>
      <c r="AK20" s="94"/>
      <c r="AL20" s="94"/>
      <c r="AM20" s="94"/>
      <c r="AN20" s="94"/>
      <c r="AO20" s="94"/>
      <c r="AP20" s="147"/>
      <c r="AQ20" s="94"/>
      <c r="AR20" s="94"/>
      <c r="AS20" s="94"/>
      <c r="AT20" s="147"/>
      <c r="AU20" s="94"/>
      <c r="AV20" s="94"/>
      <c r="AW20" s="94"/>
      <c r="AX20" s="147"/>
      <c r="AY20" s="94"/>
      <c r="AZ20" s="94"/>
      <c r="BA20" s="94"/>
      <c r="BB20" s="147"/>
      <c r="BC20" s="94"/>
      <c r="BD20" s="94"/>
      <c r="BE20" s="94"/>
      <c r="BF20" s="147"/>
      <c r="BG20" s="94"/>
      <c r="BH20" s="94"/>
      <c r="BI20" s="94"/>
      <c r="BJ20" s="147"/>
      <c r="BK20" s="94"/>
      <c r="BL20" s="94"/>
      <c r="BM20" s="94"/>
      <c r="BN20" s="147"/>
      <c r="BO20" s="94"/>
      <c r="BP20" s="94"/>
      <c r="BQ20" s="94"/>
      <c r="BR20" s="147"/>
      <c r="BS20" s="94"/>
      <c r="BT20" s="94"/>
      <c r="BU20" s="94"/>
      <c r="BV20" s="147"/>
      <c r="BW20" s="94"/>
      <c r="BX20" s="94"/>
      <c r="BY20" s="94"/>
      <c r="BZ20" s="147">
        <f>BZ17/IS!BW59</f>
        <v>0.56931033417379429</v>
      </c>
      <c r="CA20" s="94">
        <f>CA17/IS!BX59</f>
        <v>0.59786876051598425</v>
      </c>
      <c r="CB20" s="94">
        <f>CB17/IS!BY59</f>
        <v>0.56057840797416814</v>
      </c>
      <c r="CC20" s="94">
        <f>CC17/IS!BZ59</f>
        <v>0.66800554016620495</v>
      </c>
      <c r="CD20" s="147">
        <f>CD17/IS!CA59</f>
        <v>0.56817251262453938</v>
      </c>
      <c r="CE20" s="94">
        <f>CE17/IS!CB59</f>
        <v>0.56970807697342585</v>
      </c>
      <c r="CF20" s="94">
        <f>CF17/IS!CC59</f>
        <v>0.54812251698064851</v>
      </c>
      <c r="CG20" s="94">
        <f>CG17/IS!CD59</f>
        <v>0.60106382978723405</v>
      </c>
      <c r="CH20" s="147">
        <f>CH17/IS!CE59</f>
        <v>0.53128540853581774</v>
      </c>
      <c r="CI20" s="94">
        <f>CI17/IS!CF59</f>
        <v>0.51151114376683815</v>
      </c>
      <c r="CJ20" s="94">
        <f>CJ17/IS!CG59</f>
        <v>0.51326781326781323</v>
      </c>
      <c r="CK20" s="94">
        <f>CK17/IS!CH59</f>
        <v>0.56025471584765107</v>
      </c>
      <c r="CL20" s="147">
        <f>CL17/IS!CI59</f>
        <v>0.45982927441626914</v>
      </c>
      <c r="CM20" s="94">
        <f>CM17/IS!CJ59</f>
        <v>0.53177421329741648</v>
      </c>
      <c r="CN20" s="94">
        <f>CN17/IS!CK59</f>
        <v>0.52855392156862746</v>
      </c>
      <c r="CO20" s="94">
        <f>CO17/IS!CL59</f>
        <v>0.56926731682920728</v>
      </c>
      <c r="CP20" s="147">
        <f>CP17/IS!CM59</f>
        <v>0.41922841396203309</v>
      </c>
      <c r="CQ20" s="94">
        <f>CQ17/IS!CN59</f>
        <v>0.49018691588785046</v>
      </c>
      <c r="CR20" s="94">
        <f>CR17/IS!CO59</f>
        <v>0.46901648664013645</v>
      </c>
      <c r="CS20" s="94">
        <f>CS17/IS!CP59</f>
        <v>0.53229448961156278</v>
      </c>
      <c r="CT20" s="147">
        <f>CT17/IS!CQ59</f>
        <v>0.51468679957532149</v>
      </c>
      <c r="CU20" s="94">
        <f>CU17/IS!CR59</f>
        <v>0.50583009439200444</v>
      </c>
      <c r="CV20" s="94">
        <f>CV17/IS!CS59</f>
        <v>0.39628618241398145</v>
      </c>
      <c r="CW20" s="101">
        <f>CW17/IS!CT59</f>
        <v>0.41960739816180642</v>
      </c>
      <c r="CX20" s="94">
        <f>CX17/IS!CU59</f>
        <v>0.38653366583541149</v>
      </c>
      <c r="CY20" s="94">
        <f>CY17/IS!CV59</f>
        <v>0.38269073010664478</v>
      </c>
      <c r="CZ20" s="94">
        <f>CZ17/IS!CW59</f>
        <v>0.38718357584213675</v>
      </c>
      <c r="DA20" s="94">
        <f>DA17/IS!CX59</f>
        <v>0.5938392007611798</v>
      </c>
      <c r="DB20" s="147">
        <f>DB17/IS!CY59</f>
        <v>0.34869312681510167</v>
      </c>
      <c r="DC20" s="94">
        <f>DC17/IS!CZ59</f>
        <v>0.38371092629767711</v>
      </c>
      <c r="DD20" s="94">
        <f>DD17/IS!DA59</f>
        <v>0.38113859585303744</v>
      </c>
      <c r="DE20" s="94">
        <f>DE17/IS!DB59</f>
        <v>0.46873167871799881</v>
      </c>
      <c r="DF20" s="147">
        <f>DF17/IS!DC59</f>
        <v>0.36754937560889206</v>
      </c>
      <c r="DG20" s="1045">
        <f>DG17/IS!DD59</f>
        <v>0.39019132309350579</v>
      </c>
      <c r="DH20" s="1045">
        <f>DH17/IS!DE59</f>
        <v>0.37351903771366557</v>
      </c>
      <c r="DI20" s="101">
        <f>DI17/IS!DF59</f>
        <v>0.46730788908216514</v>
      </c>
      <c r="DJ20" s="147">
        <f>DJ17/IS!DG59</f>
        <v>0.32166052308232401</v>
      </c>
      <c r="DK20" s="1045">
        <f>DK17/IS!DH59</f>
        <v>0.3987915407854985</v>
      </c>
      <c r="DL20" s="1045">
        <f>DL17/IS!DI59</f>
        <v>0.3867924528301887</v>
      </c>
      <c r="DM20" s="101">
        <f>DM17/IS!DJ59</f>
        <v>0.5044324532665253</v>
      </c>
      <c r="DN20" s="1045">
        <f>DN17/IS!DK59</f>
        <v>0.2956271275202933</v>
      </c>
      <c r="DO20" s="1045">
        <f>DO17/IS!DL59</f>
        <v>0.35075367812979513</v>
      </c>
      <c r="DP20" s="1045">
        <f>DP17/IS!DM59</f>
        <v>0.36572391169429913</v>
      </c>
      <c r="DQ20" s="101">
        <f>DQ17/IS!DN59</f>
        <v>0.54323001631321366</v>
      </c>
      <c r="DR20" s="1045">
        <f>DR17/IS!DO59</f>
        <v>0.26983987330635228</v>
      </c>
      <c r="DS20" s="1045">
        <f>DS17/IS!DP59</f>
        <v>0.34645115952213634</v>
      </c>
      <c r="DT20" s="1045">
        <f>DT17/IS!DQ59</f>
        <v>0.35297520661157022</v>
      </c>
      <c r="DU20" s="1045">
        <f>DU17/IS!DR59</f>
        <v>0.50520877445583123</v>
      </c>
      <c r="DV20" s="1045">
        <f>DV17/IS!DS59</f>
        <v>0.37850195361210409</v>
      </c>
      <c r="DW20" s="1045">
        <f ca="1">DW17/IS!DT59</f>
        <v>0.33860934441517659</v>
      </c>
      <c r="DX20" s="1045">
        <f ca="1">DX17/IS!DU59</f>
        <v>0.33648991090625208</v>
      </c>
      <c r="DY20" s="101">
        <f ca="1">DY17/IS!DV59</f>
        <v>0.38758997354720881</v>
      </c>
      <c r="DZ20" s="94"/>
    </row>
    <row r="21" spans="1:130">
      <c r="A21" s="176" t="s">
        <v>501</v>
      </c>
      <c r="B21" s="94"/>
      <c r="C21" s="94"/>
      <c r="D21" s="94"/>
      <c r="E21" s="94"/>
      <c r="F21" s="94"/>
      <c r="G21" s="94"/>
      <c r="H21" s="94"/>
      <c r="I21" s="94"/>
      <c r="J21" s="94"/>
      <c r="K21" s="94"/>
      <c r="L21" s="94"/>
      <c r="M21" s="94"/>
      <c r="N21" s="94"/>
      <c r="O21" s="94"/>
      <c r="P21" s="94"/>
      <c r="Q21" s="1045"/>
      <c r="R21" s="94"/>
      <c r="S21" s="94"/>
      <c r="T21" s="1045"/>
      <c r="U21" s="94"/>
      <c r="V21" s="94"/>
      <c r="W21" s="94"/>
      <c r="X21" s="94"/>
      <c r="Y21" s="94"/>
      <c r="Z21" s="94"/>
      <c r="AA21" s="94"/>
      <c r="AB21" s="94"/>
      <c r="AC21" s="94"/>
      <c r="AD21" s="94"/>
      <c r="AE21" s="94"/>
      <c r="AF21" s="94"/>
      <c r="AG21" s="94"/>
      <c r="AH21" s="138"/>
      <c r="AI21" s="94"/>
      <c r="AJ21" s="94"/>
      <c r="AK21" s="94"/>
      <c r="AL21" s="94"/>
      <c r="AM21" s="94"/>
      <c r="AN21" s="94"/>
      <c r="AO21" s="94"/>
      <c r="AP21" s="147"/>
      <c r="AQ21" s="94"/>
      <c r="AR21" s="94"/>
      <c r="AS21" s="94"/>
      <c r="AT21" s="147"/>
      <c r="AU21" s="94"/>
      <c r="AV21" s="94"/>
      <c r="AW21" s="94"/>
      <c r="AX21" s="147"/>
      <c r="AY21" s="94"/>
      <c r="AZ21" s="94"/>
      <c r="BA21" s="94"/>
      <c r="BB21" s="147"/>
      <c r="BC21" s="94"/>
      <c r="BD21" s="94"/>
      <c r="BE21" s="94"/>
      <c r="BF21" s="147"/>
      <c r="BG21" s="94"/>
      <c r="BH21" s="94"/>
      <c r="BI21" s="94"/>
      <c r="BJ21" s="147">
        <f>BJ17/SUM($BJ17:$BM17)</f>
        <v>0.19753464512671312</v>
      </c>
      <c r="BK21" s="94">
        <f>BK17/SUM($BJ17:$BM17)</f>
        <v>0.26031697419799404</v>
      </c>
      <c r="BL21" s="94">
        <f>BL17/SUM($BJ17:$BM17)</f>
        <v>0.21545057805681034</v>
      </c>
      <c r="BM21" s="94">
        <f>BM17/SUM($BJ17:$BM17)</f>
        <v>0.32669780261848252</v>
      </c>
      <c r="BN21" s="147">
        <f>BN17/SUM($BN17:$BQ17)</f>
        <v>0.20742799393633149</v>
      </c>
      <c r="BO21" s="94">
        <f>BO17/SUM($BN17:$BQ17)</f>
        <v>0.23783055415192858</v>
      </c>
      <c r="BP21" s="94">
        <f>BP17/SUM($BN17:$BQ17)</f>
        <v>0.23976755937342092</v>
      </c>
      <c r="BQ21" s="94">
        <f>BQ17/SUM($BN17:$BQ17)</f>
        <v>0.31497389253831903</v>
      </c>
      <c r="BR21" s="147">
        <f>BR17/SUM($BR17:$BU17)</f>
        <v>0.19918545893355458</v>
      </c>
      <c r="BS21" s="94">
        <f>BS17/SUM($BR17:$BU17)</f>
        <v>0.24006335319405686</v>
      </c>
      <c r="BT21" s="94">
        <f>BT17/SUM($BR17:$BU17)</f>
        <v>0.24534278603212911</v>
      </c>
      <c r="BU21" s="94">
        <f>BU17/SUM($BR17:$BU17)</f>
        <v>0.31540840184025942</v>
      </c>
      <c r="BV21" s="147">
        <f>BV17/SUM($BV17:$BY17)</f>
        <v>0.23453406421299922</v>
      </c>
      <c r="BW21" s="94">
        <f>BW17/SUM($BV17:$BY17)</f>
        <v>0.26500913599582354</v>
      </c>
      <c r="BX21" s="94">
        <f>BX17/SUM($BV17:$BY17)</f>
        <v>0.25430696945967113</v>
      </c>
      <c r="BY21" s="94">
        <f>BY17/SUM($BV17:$BY17)</f>
        <v>0.24614983033150614</v>
      </c>
      <c r="BZ21" s="147">
        <f>BZ17/SUM($BZ17:$CC17)</f>
        <v>0.23513244839483072</v>
      </c>
      <c r="CA21" s="94">
        <f>CA17/SUM($BZ17:$CC17)</f>
        <v>0.24934214373428454</v>
      </c>
      <c r="CB21" s="94">
        <f>CB17/SUM($BZ17:$CC17)</f>
        <v>0.23349511724460559</v>
      </c>
      <c r="CC21" s="94">
        <f>CC17/SUM($BZ17:$CC17)</f>
        <v>0.28203029062627916</v>
      </c>
      <c r="CD21" s="147">
        <f>CD17/SUM($CD17:$CG17)</f>
        <v>0.23737028167407914</v>
      </c>
      <c r="CE21" s="94">
        <f>CE17/SUM($CD17:$CG17)</f>
        <v>0.24814688105827346</v>
      </c>
      <c r="CF21" s="94">
        <f>CF17/SUM($CD17:$CG17)</f>
        <v>0.24387045273121222</v>
      </c>
      <c r="CG21" s="94">
        <f>CG17/SUM($CD17:$CG17)</f>
        <v>0.27061238453643516</v>
      </c>
      <c r="CH21" s="147">
        <f>CH17/SUM($CH17:$CK17)</f>
        <v>0.24480798236454346</v>
      </c>
      <c r="CI21" s="94">
        <f>CI17/SUM($CH17:$CK17)</f>
        <v>0.24231349344471517</v>
      </c>
      <c r="CJ21" s="94">
        <f>CJ17/SUM($CH17:$CK17)</f>
        <v>0.24237150481494374</v>
      </c>
      <c r="CK21" s="94">
        <f>CK17/SUM($CH17:$CK17)</f>
        <v>0.27050701937579763</v>
      </c>
      <c r="CL21" s="147">
        <f>CL17/SUM($CL17:$CO17)</f>
        <v>0.21710526315789475</v>
      </c>
      <c r="CM21" s="94">
        <f>CM17/SUM($CL17:$CO17)</f>
        <v>0.25740872451398766</v>
      </c>
      <c r="CN21" s="94">
        <f>CN17/SUM($CL17:$CO17)</f>
        <v>0.25563063063063063</v>
      </c>
      <c r="CO21" s="94">
        <f>CO17/SUM($CL17:$CO17)</f>
        <v>0.26985538169748696</v>
      </c>
      <c r="CP21" s="147">
        <f>CP17/SUM($CP17:$CS17)</f>
        <v>0.20798395916879328</v>
      </c>
      <c r="CQ21" s="94">
        <f>CQ17/SUM($CP17:$CS17)</f>
        <v>0.25495199902782839</v>
      </c>
      <c r="CR21" s="94">
        <f>CR17/SUM($CP17:$CS17)</f>
        <v>0.25063798760481226</v>
      </c>
      <c r="CS21" s="94">
        <f>CS17/SUM($CP17:$CS17)</f>
        <v>0.28642605419856604</v>
      </c>
      <c r="CT21" s="147">
        <f t="shared" ref="CT21:DE21" si="56">CT17/SUM($CT17:$CW17)</f>
        <v>0.26859147993105148</v>
      </c>
      <c r="CU21" s="94">
        <f t="shared" si="56"/>
        <v>0.2804112287613888</v>
      </c>
      <c r="CV21" s="94">
        <f t="shared" si="56"/>
        <v>0.22334400393991627</v>
      </c>
      <c r="CW21" s="101">
        <f t="shared" si="56"/>
        <v>0.22765328736764343</v>
      </c>
      <c r="CX21" s="94">
        <f t="shared" si="56"/>
        <v>0.21946564885496184</v>
      </c>
      <c r="CY21" s="94">
        <f t="shared" si="56"/>
        <v>0.22974636788968233</v>
      </c>
      <c r="CZ21" s="94">
        <f t="shared" si="56"/>
        <v>0.23916523023885741</v>
      </c>
      <c r="DA21" s="94">
        <f t="shared" si="56"/>
        <v>0.30737503078059591</v>
      </c>
      <c r="DB21" s="147">
        <f t="shared" si="56"/>
        <v>0.22174341295247477</v>
      </c>
      <c r="DC21" s="94">
        <f t="shared" si="56"/>
        <v>0.24710662398424033</v>
      </c>
      <c r="DD21" s="94">
        <f t="shared" si="56"/>
        <v>0.2580029549372076</v>
      </c>
      <c r="DE21" s="94">
        <f t="shared" si="56"/>
        <v>0.29530903718295987</v>
      </c>
      <c r="DF21" s="147">
        <f t="shared" ref="DF21:DK21" si="57">DF17/SUM($CT17:$CW17)</f>
        <v>0.25547894607239596</v>
      </c>
      <c r="DG21" s="1045">
        <f t="shared" si="57"/>
        <v>0.26742181728638265</v>
      </c>
      <c r="DH21" s="1045">
        <f t="shared" si="57"/>
        <v>0.25424772223590247</v>
      </c>
      <c r="DI21" s="101">
        <f t="shared" si="57"/>
        <v>0.28114996306328488</v>
      </c>
      <c r="DJ21" s="147">
        <f t="shared" si="57"/>
        <v>0.2256217680374292</v>
      </c>
      <c r="DK21" s="1045">
        <f t="shared" si="57"/>
        <v>0.27628662890913569</v>
      </c>
      <c r="DL21" s="1045">
        <f t="shared" ref="DL21:DQ21" si="58">DL17/SUM($CT17:$CW17)</f>
        <v>0.27006894853484364</v>
      </c>
      <c r="DM21" s="101">
        <f t="shared" si="58"/>
        <v>0.32227283920216693</v>
      </c>
      <c r="DN21" s="1045">
        <f t="shared" si="58"/>
        <v>0.20850775671016991</v>
      </c>
      <c r="DO21" s="1045">
        <f t="shared" si="58"/>
        <v>0.2392267914306821</v>
      </c>
      <c r="DP21" s="1045">
        <f t="shared" si="58"/>
        <v>0.25393991627677914</v>
      </c>
      <c r="DQ21" s="101">
        <f t="shared" si="58"/>
        <v>0.34849790691947796</v>
      </c>
      <c r="DR21" s="1045">
        <f t="shared" ref="DR21:DS21" si="59">DR17/SUM($CT17:$CW17)</f>
        <v>0.18880817532627431</v>
      </c>
      <c r="DS21" s="1045">
        <f t="shared" si="59"/>
        <v>0.24279734055651317</v>
      </c>
      <c r="DT21" s="1045">
        <f t="shared" ref="DT21:DU21" si="60">DT17/SUM($CT17:$CW17)</f>
        <v>0.2629278502831815</v>
      </c>
      <c r="DU21" s="1045">
        <f t="shared" si="60"/>
        <v>0.36721250923417875</v>
      </c>
      <c r="DV21" s="1045">
        <f t="shared" ref="DV21" si="61">DV17/SUM($CT17:$CW17)</f>
        <v>0.28028810637773949</v>
      </c>
      <c r="DW21" s="1045">
        <f t="shared" ref="DW21:DY21" ca="1" si="62">DW17/SUM($DB17:$DE17)</f>
        <v>0.24705052003065889</v>
      </c>
      <c r="DX21" s="1045">
        <f t="shared" ca="1" si="62"/>
        <v>0.25113984532453576</v>
      </c>
      <c r="DY21" s="101">
        <f t="shared" ca="1" si="62"/>
        <v>0.26262217640060909</v>
      </c>
      <c r="DZ21" s="94"/>
    </row>
    <row r="22" spans="1:130">
      <c r="A22" s="749"/>
      <c r="B22" s="87"/>
      <c r="C22" s="87"/>
      <c r="D22" s="87"/>
      <c r="E22" s="87"/>
      <c r="F22" s="87"/>
      <c r="G22" s="87"/>
      <c r="H22" s="105"/>
      <c r="I22" s="105"/>
      <c r="J22" s="105"/>
      <c r="K22" s="105"/>
      <c r="L22" s="105"/>
      <c r="M22" s="105"/>
      <c r="N22" s="105"/>
      <c r="O22" s="143"/>
      <c r="P22" s="143"/>
      <c r="Q22" s="1132"/>
      <c r="R22" s="105"/>
      <c r="S22" s="105"/>
      <c r="T22" s="1132"/>
      <c r="U22" s="105"/>
      <c r="V22" s="105"/>
      <c r="W22" s="105"/>
      <c r="X22" s="105"/>
      <c r="Y22" s="105"/>
      <c r="Z22" s="105"/>
      <c r="AA22" s="105"/>
      <c r="AB22" s="105"/>
      <c r="AC22" s="105"/>
      <c r="AD22" s="105"/>
      <c r="AE22" s="105"/>
      <c r="AF22" s="105"/>
      <c r="AG22" s="105"/>
      <c r="AH22" s="678"/>
      <c r="AI22" s="87"/>
      <c r="AJ22" s="87"/>
      <c r="AK22" s="87"/>
      <c r="AL22" s="87"/>
      <c r="AM22" s="87"/>
      <c r="AN22" s="87"/>
      <c r="AO22" s="87"/>
      <c r="AP22" s="88"/>
      <c r="AQ22" s="87"/>
      <c r="AR22" s="87"/>
      <c r="AS22" s="87"/>
      <c r="AT22" s="88"/>
      <c r="AU22" s="87"/>
      <c r="AV22" s="87"/>
      <c r="AW22" s="87"/>
      <c r="AX22" s="306"/>
      <c r="AY22" s="105"/>
      <c r="AZ22" s="105"/>
      <c r="BA22" s="105"/>
      <c r="BB22" s="306"/>
      <c r="BC22" s="105"/>
      <c r="BD22" s="105"/>
      <c r="BE22" s="105"/>
      <c r="BF22" s="306"/>
      <c r="BG22" s="105"/>
      <c r="BH22" s="105"/>
      <c r="BI22" s="105"/>
      <c r="BJ22" s="306"/>
      <c r="BK22" s="105"/>
      <c r="BL22" s="105"/>
      <c r="BM22" s="105"/>
      <c r="BN22" s="306"/>
      <c r="BO22" s="105"/>
      <c r="BP22" s="105"/>
      <c r="BQ22" s="105"/>
      <c r="BR22" s="306"/>
      <c r="BS22" s="105"/>
      <c r="BT22" s="105"/>
      <c r="BU22" s="105"/>
      <c r="BV22" s="306"/>
      <c r="BW22" s="105"/>
      <c r="BX22" s="105"/>
      <c r="BY22" s="87"/>
      <c r="BZ22" s="88"/>
      <c r="CA22" s="87"/>
      <c r="CB22" s="87"/>
      <c r="CC22" s="87"/>
      <c r="CD22" s="88"/>
      <c r="CE22" s="87"/>
      <c r="CF22" s="149"/>
      <c r="CG22" s="149"/>
      <c r="CH22" s="150"/>
      <c r="CI22" s="149"/>
      <c r="CJ22" s="149"/>
      <c r="CK22" s="149"/>
      <c r="CL22" s="150"/>
      <c r="CM22" s="149"/>
      <c r="CN22" s="149"/>
      <c r="CO22" s="149"/>
      <c r="CP22" s="150"/>
      <c r="CQ22" s="149"/>
      <c r="CR22" s="149"/>
      <c r="CS22" s="149"/>
      <c r="CT22" s="150"/>
      <c r="CU22" s="149"/>
      <c r="CV22" s="149"/>
      <c r="CW22" s="155"/>
      <c r="CX22" s="149"/>
      <c r="CY22" s="149"/>
      <c r="CZ22" s="149"/>
      <c r="DA22" s="149"/>
      <c r="DB22" s="150"/>
      <c r="DC22" s="149"/>
      <c r="DD22" s="149"/>
      <c r="DE22" s="149"/>
      <c r="DF22" s="150"/>
      <c r="DG22" s="1113"/>
      <c r="DH22" s="1113"/>
      <c r="DI22" s="155"/>
      <c r="DJ22" s="150"/>
      <c r="DK22" s="1113"/>
      <c r="DL22" s="1113"/>
      <c r="DM22" s="155"/>
      <c r="DN22" s="1113"/>
      <c r="DO22" s="1113"/>
      <c r="DP22" s="1113"/>
      <c r="DQ22" s="155"/>
      <c r="DR22" s="1113"/>
      <c r="DS22" s="1113"/>
      <c r="DT22" s="1113"/>
      <c r="DU22" s="1113"/>
      <c r="DV22" s="1113"/>
      <c r="DW22" s="1113"/>
      <c r="DX22" s="1113"/>
      <c r="DY22" s="155"/>
      <c r="DZ22" s="87"/>
    </row>
    <row r="23" spans="1:130" hidden="1" outlineLevel="1">
      <c r="A23" s="711" t="s">
        <v>502</v>
      </c>
      <c r="B23" s="87"/>
      <c r="C23" s="87"/>
      <c r="D23" s="87"/>
      <c r="E23" s="87"/>
      <c r="F23" s="87"/>
      <c r="G23" s="87"/>
      <c r="H23" s="105"/>
      <c r="I23" s="105"/>
      <c r="J23" s="105"/>
      <c r="K23" s="105"/>
      <c r="L23" s="149"/>
      <c r="M23" s="149"/>
      <c r="N23" s="149"/>
      <c r="O23" s="143"/>
      <c r="P23" s="143"/>
      <c r="Q23" s="1113"/>
      <c r="R23" s="149"/>
      <c r="S23" s="149"/>
      <c r="T23" s="1113"/>
      <c r="U23" s="149"/>
      <c r="V23" s="149"/>
      <c r="W23" s="149"/>
      <c r="X23" s="149"/>
      <c r="Y23" s="149"/>
      <c r="Z23" s="149"/>
      <c r="AA23" s="149"/>
      <c r="AB23" s="149"/>
      <c r="AC23" s="149"/>
      <c r="AD23" s="149"/>
      <c r="AE23" s="149"/>
      <c r="AF23" s="149"/>
      <c r="AG23" s="149"/>
      <c r="AH23" s="678"/>
      <c r="AI23" s="87"/>
      <c r="AJ23" s="87"/>
      <c r="AK23" s="87"/>
      <c r="AL23" s="87"/>
      <c r="AM23" s="767"/>
      <c r="AN23" s="87"/>
      <c r="AO23" s="87"/>
      <c r="AP23" s="88"/>
      <c r="AQ23" s="87"/>
      <c r="AR23" s="87"/>
      <c r="AS23" s="87"/>
      <c r="AT23" s="88"/>
      <c r="AU23" s="87"/>
      <c r="AV23" s="87"/>
      <c r="AW23" s="87"/>
      <c r="AX23" s="306"/>
      <c r="AY23" s="105"/>
      <c r="AZ23" s="105"/>
      <c r="BA23" s="105"/>
      <c r="BB23" s="306"/>
      <c r="BC23" s="105"/>
      <c r="BD23" s="105"/>
      <c r="BE23" s="105"/>
      <c r="BF23" s="306"/>
      <c r="BG23" s="105"/>
      <c r="BH23" s="105"/>
      <c r="BI23" s="105"/>
      <c r="BJ23" s="306"/>
      <c r="BK23" s="105"/>
      <c r="BL23" s="105"/>
      <c r="BM23" s="105"/>
      <c r="BN23" s="306"/>
      <c r="BO23" s="105"/>
      <c r="BP23" s="105"/>
      <c r="BQ23" s="105"/>
      <c r="BR23" s="150"/>
      <c r="BS23" s="149"/>
      <c r="BT23" s="149"/>
      <c r="BU23" s="149"/>
      <c r="BV23" s="150"/>
      <c r="BW23" s="149"/>
      <c r="BX23" s="149"/>
      <c r="BY23" s="149"/>
      <c r="BZ23" s="150"/>
      <c r="CA23" s="149"/>
      <c r="CB23" s="149"/>
      <c r="CC23" s="149"/>
      <c r="CD23" s="150"/>
      <c r="CE23" s="149"/>
      <c r="CF23" s="148"/>
      <c r="CG23" s="148"/>
      <c r="CH23" s="493"/>
      <c r="CI23" s="148"/>
      <c r="CJ23" s="148"/>
      <c r="CK23" s="148"/>
      <c r="CL23" s="493"/>
      <c r="CM23" s="148"/>
      <c r="CN23" s="148"/>
      <c r="CO23" s="148"/>
      <c r="CP23" s="493"/>
      <c r="CQ23" s="148"/>
      <c r="CR23" s="148"/>
      <c r="CS23" s="148"/>
      <c r="CT23" s="493"/>
      <c r="CU23" s="148"/>
      <c r="CV23" s="148"/>
      <c r="CW23" s="747"/>
      <c r="CX23" s="148"/>
      <c r="CY23" s="148"/>
      <c r="CZ23" s="148"/>
      <c r="DA23" s="148"/>
      <c r="DB23" s="493"/>
      <c r="DC23" s="148"/>
      <c r="DD23" s="148"/>
      <c r="DE23" s="148"/>
      <c r="DF23" s="493"/>
      <c r="DG23" s="1387"/>
      <c r="DH23" s="1387"/>
      <c r="DI23" s="747"/>
      <c r="DJ23" s="493"/>
      <c r="DK23" s="1387"/>
      <c r="DL23" s="1387"/>
      <c r="DM23" s="747"/>
      <c r="DN23" s="1387"/>
      <c r="DO23" s="1387"/>
      <c r="DP23" s="1387"/>
      <c r="DQ23" s="747"/>
      <c r="DR23" s="1387"/>
      <c r="DS23" s="1387"/>
      <c r="DT23" s="1387"/>
      <c r="DU23" s="1387"/>
      <c r="DV23" s="1387"/>
      <c r="DW23" s="1387"/>
      <c r="DX23" s="1387"/>
      <c r="DY23" s="747"/>
      <c r="DZ23" s="87"/>
    </row>
    <row r="24" spans="1:130" hidden="1" outlineLevel="1">
      <c r="A24" s="749"/>
      <c r="B24" s="87"/>
      <c r="C24" s="87"/>
      <c r="D24" s="87"/>
      <c r="E24" s="87"/>
      <c r="F24" s="87"/>
      <c r="G24" s="87"/>
      <c r="H24" s="105"/>
      <c r="I24" s="105"/>
      <c r="J24" s="105"/>
      <c r="K24" s="105"/>
      <c r="L24" s="105"/>
      <c r="M24" s="105"/>
      <c r="N24" s="105"/>
      <c r="O24" s="105"/>
      <c r="P24" s="105"/>
      <c r="Q24" s="1132"/>
      <c r="R24" s="105"/>
      <c r="S24" s="105"/>
      <c r="T24" s="1132"/>
      <c r="U24" s="105"/>
      <c r="V24" s="105"/>
      <c r="W24" s="105"/>
      <c r="X24" s="105"/>
      <c r="Y24" s="105"/>
      <c r="Z24" s="105"/>
      <c r="AA24" s="105"/>
      <c r="AB24" s="105"/>
      <c r="AC24" s="105"/>
      <c r="AD24" s="105"/>
      <c r="AE24" s="105"/>
      <c r="AF24" s="105"/>
      <c r="AG24" s="105"/>
      <c r="AH24" s="678"/>
      <c r="AI24" s="87"/>
      <c r="AJ24" s="87"/>
      <c r="AK24" s="87"/>
      <c r="AL24" s="87"/>
      <c r="AM24" s="87"/>
      <c r="AN24" s="87"/>
      <c r="AO24" s="87"/>
      <c r="AP24" s="88"/>
      <c r="AQ24" s="87"/>
      <c r="AR24" s="87"/>
      <c r="AS24" s="87"/>
      <c r="AT24" s="88"/>
      <c r="AU24" s="87"/>
      <c r="AV24" s="87"/>
      <c r="AW24" s="87"/>
      <c r="AX24" s="306"/>
      <c r="AY24" s="105"/>
      <c r="AZ24" s="105"/>
      <c r="BA24" s="105"/>
      <c r="BB24" s="306"/>
      <c r="BC24" s="105"/>
      <c r="BD24" s="105"/>
      <c r="BE24" s="105"/>
      <c r="BF24" s="306"/>
      <c r="BG24" s="105"/>
      <c r="BH24" s="105"/>
      <c r="BI24" s="105"/>
      <c r="BJ24" s="306"/>
      <c r="BK24" s="105"/>
      <c r="BL24" s="105"/>
      <c r="BM24" s="105"/>
      <c r="BN24" s="306"/>
      <c r="BO24" s="105"/>
      <c r="BP24" s="105"/>
      <c r="BQ24" s="105"/>
      <c r="BR24" s="306"/>
      <c r="BS24" s="105"/>
      <c r="BT24" s="105"/>
      <c r="BU24" s="105"/>
      <c r="BV24" s="306"/>
      <c r="BW24" s="87"/>
      <c r="BX24" s="87"/>
      <c r="BY24" s="87"/>
      <c r="BZ24" s="88"/>
      <c r="CA24" s="266"/>
      <c r="CB24" s="266"/>
      <c r="CC24" s="87"/>
      <c r="CD24" s="88"/>
      <c r="CE24" s="87"/>
      <c r="CF24" s="87"/>
      <c r="CG24" s="87"/>
      <c r="CH24" s="88"/>
      <c r="CI24" s="87"/>
      <c r="CJ24" s="87"/>
      <c r="CK24" s="87"/>
      <c r="CL24" s="88"/>
      <c r="CM24" s="87"/>
      <c r="CN24" s="87"/>
      <c r="CO24" s="87"/>
      <c r="CP24" s="88"/>
      <c r="CQ24" s="87"/>
      <c r="CR24" s="87"/>
      <c r="CS24" s="87"/>
      <c r="CT24" s="88"/>
      <c r="CU24" s="87"/>
      <c r="CV24" s="87"/>
      <c r="CW24" s="144"/>
      <c r="CX24" s="87"/>
      <c r="CY24" s="87"/>
      <c r="CZ24" s="87"/>
      <c r="DA24" s="87"/>
      <c r="DB24" s="88"/>
      <c r="DC24" s="87"/>
      <c r="DD24" s="87"/>
      <c r="DE24" s="87"/>
      <c r="DF24" s="88"/>
      <c r="DG24" s="1041"/>
      <c r="DH24" s="1041"/>
      <c r="DI24" s="144"/>
      <c r="DJ24" s="88"/>
      <c r="DK24" s="1041"/>
      <c r="DL24" s="1041"/>
      <c r="DM24" s="144"/>
      <c r="DN24" s="1041"/>
      <c r="DO24" s="1041"/>
      <c r="DP24" s="1041"/>
      <c r="DQ24" s="144"/>
      <c r="DR24" s="1041"/>
      <c r="DS24" s="1041"/>
      <c r="DT24" s="1041"/>
      <c r="DU24" s="1041"/>
      <c r="DV24" s="1041"/>
      <c r="DW24" s="1041"/>
      <c r="DX24" s="1041"/>
      <c r="DY24" s="144"/>
      <c r="DZ24" s="87"/>
    </row>
    <row r="25" spans="1:130" hidden="1" outlineLevel="1">
      <c r="A25" s="749"/>
      <c r="B25" s="87"/>
      <c r="C25" s="87"/>
      <c r="D25" s="105"/>
      <c r="E25" s="105"/>
      <c r="F25" s="105"/>
      <c r="G25" s="105"/>
      <c r="H25" s="103"/>
      <c r="I25" s="103"/>
      <c r="J25" s="103"/>
      <c r="K25" s="103"/>
      <c r="L25" s="103"/>
      <c r="M25" s="103"/>
      <c r="N25" s="103"/>
      <c r="O25" s="103"/>
      <c r="P25" s="103"/>
      <c r="Q25" s="1043"/>
      <c r="R25" s="103"/>
      <c r="S25" s="103"/>
      <c r="T25" s="1043"/>
      <c r="U25" s="103"/>
      <c r="V25" s="103"/>
      <c r="W25" s="103"/>
      <c r="X25" s="103"/>
      <c r="Y25" s="103"/>
      <c r="Z25" s="103"/>
      <c r="AA25" s="103"/>
      <c r="AB25" s="103"/>
      <c r="AC25" s="103"/>
      <c r="AD25" s="103"/>
      <c r="AE25" s="103"/>
      <c r="AF25" s="103"/>
      <c r="AG25" s="103"/>
      <c r="AH25" s="1244"/>
      <c r="AI25" s="105"/>
      <c r="AJ25" s="105"/>
      <c r="AK25" s="105"/>
      <c r="AL25" s="105"/>
      <c r="AM25" s="105"/>
      <c r="AN25" s="105"/>
      <c r="AO25" s="105"/>
      <c r="AP25" s="306"/>
      <c r="AQ25" s="105"/>
      <c r="AR25" s="105"/>
      <c r="AS25" s="105"/>
      <c r="AT25" s="306"/>
      <c r="AU25" s="105"/>
      <c r="AV25" s="105"/>
      <c r="AW25" s="105"/>
      <c r="AX25" s="306"/>
      <c r="AY25" s="105"/>
      <c r="AZ25" s="105"/>
      <c r="BA25" s="105"/>
      <c r="BB25" s="159"/>
      <c r="BC25" s="143"/>
      <c r="BD25" s="143"/>
      <c r="BE25" s="143"/>
      <c r="BF25" s="159"/>
      <c r="BG25" s="143"/>
      <c r="BH25" s="143"/>
      <c r="BI25" s="143"/>
      <c r="BJ25" s="159"/>
      <c r="BK25" s="143"/>
      <c r="BL25" s="143"/>
      <c r="BM25" s="143"/>
      <c r="BN25" s="159"/>
      <c r="BO25" s="143"/>
      <c r="BP25" s="143"/>
      <c r="BQ25" s="143"/>
      <c r="BR25" s="159"/>
      <c r="BS25" s="143"/>
      <c r="BT25" s="143"/>
      <c r="BU25" s="143"/>
      <c r="BV25" s="159"/>
      <c r="BW25" s="105"/>
      <c r="BX25" s="105"/>
      <c r="BY25" s="105"/>
      <c r="BZ25" s="306"/>
      <c r="CA25" s="105"/>
      <c r="CB25" s="105"/>
      <c r="CC25" s="105"/>
      <c r="CD25" s="306"/>
      <c r="CE25" s="105"/>
      <c r="CF25" s="105"/>
      <c r="CG25" s="105"/>
      <c r="CH25" s="306"/>
      <c r="CI25" s="105"/>
      <c r="CJ25" s="105"/>
      <c r="CK25" s="105"/>
      <c r="CL25" s="306"/>
      <c r="CM25" s="105"/>
      <c r="CN25" s="105"/>
      <c r="CO25" s="105"/>
      <c r="CP25" s="306"/>
      <c r="CQ25" s="105"/>
      <c r="CR25" s="105"/>
      <c r="CS25" s="105"/>
      <c r="CT25" s="306"/>
      <c r="CU25" s="105"/>
      <c r="CV25" s="105"/>
      <c r="CW25" s="307"/>
      <c r="CX25" s="105"/>
      <c r="CY25" s="105"/>
      <c r="CZ25" s="105"/>
      <c r="DA25" s="105"/>
      <c r="DB25" s="306"/>
      <c r="DC25" s="105"/>
      <c r="DD25" s="105"/>
      <c r="DE25" s="105"/>
      <c r="DF25" s="306"/>
      <c r="DG25" s="1132"/>
      <c r="DH25" s="1132"/>
      <c r="DI25" s="307"/>
      <c r="DJ25" s="306"/>
      <c r="DK25" s="1132"/>
      <c r="DL25" s="1132"/>
      <c r="DM25" s="307"/>
      <c r="DN25" s="1132"/>
      <c r="DO25" s="1132"/>
      <c r="DP25" s="1132"/>
      <c r="DQ25" s="307"/>
      <c r="DR25" s="1132"/>
      <c r="DS25" s="1132"/>
      <c r="DT25" s="1132"/>
      <c r="DU25" s="1132"/>
      <c r="DV25" s="1132"/>
      <c r="DW25" s="1132"/>
      <c r="DX25" s="1132"/>
      <c r="DY25" s="307"/>
      <c r="DZ25" s="87"/>
    </row>
    <row r="26" spans="1:130" hidden="1" outlineLevel="1">
      <c r="A26" s="178" t="s">
        <v>966</v>
      </c>
      <c r="B26" s="169"/>
      <c r="C26" s="169"/>
      <c r="D26" s="761"/>
      <c r="E26" s="761"/>
      <c r="F26" s="169"/>
      <c r="G26" s="169">
        <f>G34-G31</f>
        <v>-722.02</v>
      </c>
      <c r="H26" s="169">
        <f>H34-H31</f>
        <v>-711.62</v>
      </c>
      <c r="I26" s="169">
        <f>I34-I31</f>
        <v>-716</v>
      </c>
      <c r="J26" s="169">
        <f>J34-J31</f>
        <v>-1150</v>
      </c>
      <c r="K26" s="169"/>
      <c r="L26" s="169"/>
      <c r="M26" s="169"/>
      <c r="N26" s="169">
        <f>SUM(BZ26:CC26)</f>
        <v>12841</v>
      </c>
      <c r="O26" s="169">
        <f>SUM(CD26:CG26)</f>
        <v>12779</v>
      </c>
      <c r="P26" s="169">
        <f>P34-P31</f>
        <v>13122</v>
      </c>
      <c r="Q26" s="1051">
        <f>Q34-Q31</f>
        <v>13363</v>
      </c>
      <c r="R26" s="169">
        <f>R34-R31</f>
        <v>14078</v>
      </c>
      <c r="S26" s="169">
        <f>S34-S31</f>
        <v>14991</v>
      </c>
      <c r="T26" s="1051">
        <f>SUM(CX26:DA26)</f>
        <v>14920</v>
      </c>
      <c r="U26" s="169">
        <f>SUM(DB26:DE26)</f>
        <v>15006</v>
      </c>
      <c r="V26" s="169">
        <f>SUM(DF26:DI26)</f>
        <v>14933</v>
      </c>
      <c r="W26" s="169">
        <f>SUM(DJ26:DM26)</f>
        <v>14417</v>
      </c>
      <c r="X26" s="169">
        <f>SUM(DN26:DQ26)</f>
        <v>14328</v>
      </c>
      <c r="Y26" s="169">
        <f>SUM(DR26:DU26)</f>
        <v>15354</v>
      </c>
      <c r="Z26" s="169">
        <f ca="1">SUM(DV26:DY26)</f>
        <v>15838.122395504059</v>
      </c>
      <c r="AA26" s="169">
        <f ca="1">AA34-AA31</f>
        <v>15848.447250665944</v>
      </c>
      <c r="AB26" s="169">
        <f ca="1">AB34-AB31</f>
        <v>15788.464921089417</v>
      </c>
      <c r="AC26" s="169">
        <f t="shared" ref="AC26:AG26" ca="1" si="63">AC34-AC31</f>
        <v>15732.258805757399</v>
      </c>
      <c r="AD26" s="169">
        <f t="shared" ca="1" si="63"/>
        <v>15680.235774858396</v>
      </c>
      <c r="AE26" s="169">
        <f t="shared" ca="1" si="63"/>
        <v>15632.757878509019</v>
      </c>
      <c r="AF26" s="169">
        <f t="shared" ca="1" si="63"/>
        <v>15590.239744419494</v>
      </c>
      <c r="AG26" s="169">
        <f t="shared" ca="1" si="63"/>
        <v>15593.729220377427</v>
      </c>
      <c r="AH26" s="3046"/>
      <c r="AI26" s="761"/>
      <c r="AJ26" s="761"/>
      <c r="AK26" s="761"/>
      <c r="AL26" s="761"/>
      <c r="AM26" s="761"/>
      <c r="AN26" s="761"/>
      <c r="AO26" s="761"/>
      <c r="AP26" s="768"/>
      <c r="AQ26" s="761"/>
      <c r="AR26" s="761"/>
      <c r="AS26" s="761"/>
      <c r="AT26" s="768"/>
      <c r="AU26" s="761"/>
      <c r="AV26" s="761"/>
      <c r="AW26" s="761"/>
      <c r="AX26" s="768"/>
      <c r="AY26" s="761"/>
      <c r="AZ26" s="761"/>
      <c r="BA26" s="761"/>
      <c r="BB26" s="178"/>
      <c r="BC26" s="169"/>
      <c r="BD26" s="169"/>
      <c r="BE26" s="169"/>
      <c r="BF26" s="178"/>
      <c r="BG26" s="169"/>
      <c r="BH26" s="169"/>
      <c r="BI26" s="169"/>
      <c r="BJ26" s="178"/>
      <c r="BK26" s="169"/>
      <c r="BL26" s="169"/>
      <c r="BM26" s="169"/>
      <c r="BN26" s="178"/>
      <c r="BO26" s="169"/>
      <c r="BP26" s="169"/>
      <c r="BQ26" s="169"/>
      <c r="BR26" s="178"/>
      <c r="BS26" s="169"/>
      <c r="BT26" s="169"/>
      <c r="BU26" s="169"/>
      <c r="BV26" s="178"/>
      <c r="BW26" s="169"/>
      <c r="BX26" s="169"/>
      <c r="BY26" s="169"/>
      <c r="BZ26" s="178">
        <f t="shared" ref="BZ26:DE26" si="64">BZ40+BZ46+BZ51+BZ54+BZ56</f>
        <v>3243.25</v>
      </c>
      <c r="CA26" s="169">
        <f t="shared" si="64"/>
        <v>3183.25</v>
      </c>
      <c r="CB26" s="169">
        <f t="shared" si="64"/>
        <v>3181.25</v>
      </c>
      <c r="CC26" s="169">
        <f t="shared" si="64"/>
        <v>3233.25</v>
      </c>
      <c r="CD26" s="178">
        <f t="shared" si="64"/>
        <v>3133.75</v>
      </c>
      <c r="CE26" s="169">
        <f t="shared" si="64"/>
        <v>3173.75</v>
      </c>
      <c r="CF26" s="169">
        <f t="shared" si="64"/>
        <v>3204.75</v>
      </c>
      <c r="CG26" s="169">
        <f t="shared" si="64"/>
        <v>3266.75</v>
      </c>
      <c r="CH26" s="178">
        <f t="shared" si="64"/>
        <v>3176.25</v>
      </c>
      <c r="CI26" s="169">
        <f t="shared" si="64"/>
        <v>3238.25</v>
      </c>
      <c r="CJ26" s="169">
        <f t="shared" si="64"/>
        <v>3306.25</v>
      </c>
      <c r="CK26" s="169">
        <f t="shared" si="64"/>
        <v>3401.25</v>
      </c>
      <c r="CL26" s="178">
        <f t="shared" si="64"/>
        <v>3273.5</v>
      </c>
      <c r="CM26" s="169">
        <f t="shared" si="64"/>
        <v>3287.5</v>
      </c>
      <c r="CN26" s="169">
        <f t="shared" si="64"/>
        <v>3356.5</v>
      </c>
      <c r="CO26" s="169">
        <f t="shared" si="64"/>
        <v>3445.5</v>
      </c>
      <c r="CP26" s="178">
        <f t="shared" si="64"/>
        <v>3436</v>
      </c>
      <c r="CQ26" s="169">
        <f t="shared" si="64"/>
        <v>3491</v>
      </c>
      <c r="CR26" s="169">
        <f t="shared" si="64"/>
        <v>3545</v>
      </c>
      <c r="CS26" s="169">
        <f t="shared" si="64"/>
        <v>3606</v>
      </c>
      <c r="CT26" s="178">
        <f t="shared" si="64"/>
        <v>3647.75</v>
      </c>
      <c r="CU26" s="169">
        <f t="shared" si="64"/>
        <v>3736.75</v>
      </c>
      <c r="CV26" s="169">
        <f t="shared" si="64"/>
        <v>3802.75</v>
      </c>
      <c r="CW26" s="179">
        <f t="shared" si="64"/>
        <v>3803.75</v>
      </c>
      <c r="CX26" s="169">
        <f t="shared" si="64"/>
        <v>3661</v>
      </c>
      <c r="CY26" s="169">
        <f t="shared" si="64"/>
        <v>3761</v>
      </c>
      <c r="CZ26" s="169">
        <f t="shared" si="64"/>
        <v>3764</v>
      </c>
      <c r="DA26" s="169">
        <f t="shared" si="64"/>
        <v>3734</v>
      </c>
      <c r="DB26" s="178">
        <f t="shared" si="64"/>
        <v>3718</v>
      </c>
      <c r="DC26" s="169">
        <f t="shared" si="64"/>
        <v>3751</v>
      </c>
      <c r="DD26" s="169">
        <f t="shared" si="64"/>
        <v>3754</v>
      </c>
      <c r="DE26" s="169">
        <f t="shared" si="64"/>
        <v>3783</v>
      </c>
      <c r="DF26" s="178">
        <f t="shared" ref="DF26:DK26" si="65">DF40+DF46+DF51+DF54+DF56</f>
        <v>3737</v>
      </c>
      <c r="DG26" s="1051">
        <f t="shared" si="65"/>
        <v>3761</v>
      </c>
      <c r="DH26" s="1051">
        <f t="shared" si="65"/>
        <v>3767</v>
      </c>
      <c r="DI26" s="179">
        <f t="shared" si="65"/>
        <v>3668</v>
      </c>
      <c r="DJ26" s="178">
        <f t="shared" si="65"/>
        <v>3589</v>
      </c>
      <c r="DK26" s="1051">
        <f t="shared" si="65"/>
        <v>3580</v>
      </c>
      <c r="DL26" s="1051">
        <f t="shared" ref="DL26:DQ26" si="66">DL40+DL46+DL51+DL54+DL56</f>
        <v>3609</v>
      </c>
      <c r="DM26" s="179">
        <f t="shared" si="66"/>
        <v>3639</v>
      </c>
      <c r="DN26" s="1051">
        <f t="shared" si="66"/>
        <v>3617</v>
      </c>
      <c r="DO26" s="1051">
        <f t="shared" si="66"/>
        <v>3582</v>
      </c>
      <c r="DP26" s="1051">
        <f t="shared" si="66"/>
        <v>3542</v>
      </c>
      <c r="DQ26" s="179">
        <f t="shared" si="66"/>
        <v>3587</v>
      </c>
      <c r="DR26" s="1051">
        <f t="shared" ref="DR26:DS26" si="67">DR40+DR46+DR51+DR54+DR56</f>
        <v>3659</v>
      </c>
      <c r="DS26" s="1051">
        <f t="shared" si="67"/>
        <v>3767</v>
      </c>
      <c r="DT26" s="1051">
        <f t="shared" ref="DT26:DU26" si="68">DT40+DT46+DT51+DT54+DT56</f>
        <v>3872</v>
      </c>
      <c r="DU26" s="1051">
        <f t="shared" si="68"/>
        <v>4056</v>
      </c>
      <c r="DV26" s="1051">
        <f t="shared" ref="DV26" si="69">DV40+DV46+DV51+DV54+DV56</f>
        <v>3924</v>
      </c>
      <c r="DW26" s="1051">
        <f t="shared" ref="DW26:DY26" ca="1" si="70">DW34-DW31</f>
        <v>3941.6356697294414</v>
      </c>
      <c r="DX26" s="1051">
        <f t="shared" ca="1" si="70"/>
        <v>3970.7157387147827</v>
      </c>
      <c r="DY26" s="179">
        <f t="shared" ca="1" si="70"/>
        <v>4001.7709870598346</v>
      </c>
      <c r="DZ26" s="109"/>
    </row>
    <row r="27" spans="1:130" hidden="1" outlineLevel="1">
      <c r="A27" s="176" t="s">
        <v>991</v>
      </c>
      <c r="B27" s="94"/>
      <c r="C27" s="94"/>
      <c r="D27" s="94"/>
      <c r="E27" s="94"/>
      <c r="F27" s="94"/>
      <c r="G27" s="94"/>
      <c r="H27" s="94">
        <f>H26/G26-1</f>
        <v>-1.4404033129276184E-2</v>
      </c>
      <c r="I27" s="94">
        <f>I26/H26-1</f>
        <v>6.154970349343758E-3</v>
      </c>
      <c r="J27" s="94">
        <f>J26/I26-1</f>
        <v>0.6061452513966481</v>
      </c>
      <c r="K27" s="94">
        <f>K26/J26-1</f>
        <v>-1</v>
      </c>
      <c r="L27" s="94"/>
      <c r="M27" s="94"/>
      <c r="N27" s="94"/>
      <c r="O27" s="94">
        <f t="shared" ref="O27:AB27" si="71">O26/N26-1</f>
        <v>-4.8282844015263837E-3</v>
      </c>
      <c r="P27" s="94">
        <f t="shared" si="71"/>
        <v>2.6840910869394996E-2</v>
      </c>
      <c r="Q27" s="1045">
        <f t="shared" si="71"/>
        <v>1.8366102728242684E-2</v>
      </c>
      <c r="R27" s="94">
        <f t="shared" si="71"/>
        <v>5.3505949262889985E-2</v>
      </c>
      <c r="S27" s="94">
        <f t="shared" si="71"/>
        <v>6.4852962068475684E-2</v>
      </c>
      <c r="T27" s="1045">
        <f t="shared" si="71"/>
        <v>-4.7361750383563272E-3</v>
      </c>
      <c r="U27" s="94">
        <f t="shared" si="71"/>
        <v>5.7640750670240326E-3</v>
      </c>
      <c r="V27" s="94">
        <f t="shared" si="71"/>
        <v>-4.8647207783553137E-3</v>
      </c>
      <c r="W27" s="94">
        <f>W26/V26-1</f>
        <v>-3.4554342730864551E-2</v>
      </c>
      <c r="X27" s="94">
        <f>X26/W26-1</f>
        <v>-6.1732676701117262E-3</v>
      </c>
      <c r="Y27" s="94">
        <f>Y26/X26-1</f>
        <v>7.1608040201005085E-2</v>
      </c>
      <c r="Z27" s="94">
        <f ca="1">Z26/Y26-1</f>
        <v>3.1530701804354466E-2</v>
      </c>
      <c r="AA27" s="94">
        <f t="shared" ca="1" si="71"/>
        <v>6.5189893751660399E-4</v>
      </c>
      <c r="AB27" s="94">
        <f t="shared" ca="1" si="71"/>
        <v>-3.7847448792819316E-3</v>
      </c>
      <c r="AC27" s="94">
        <f t="shared" ref="AC27" ca="1" si="72">AC26/AB26-1</f>
        <v>-3.5599480768355729E-3</v>
      </c>
      <c r="AD27" s="94">
        <f t="shared" ref="AD27" ca="1" si="73">AD26/AC26-1</f>
        <v>-3.3067744143622235E-3</v>
      </c>
      <c r="AE27" s="94">
        <f t="shared" ref="AE27" ca="1" si="74">AE26/AD26-1</f>
        <v>-3.0278815338671272E-3</v>
      </c>
      <c r="AF27" s="94">
        <f t="shared" ref="AF27" ca="1" si="75">AF26/AE26-1</f>
        <v>-2.7198101844829736E-3</v>
      </c>
      <c r="AG27" s="94">
        <f t="shared" ref="AG27" ca="1" si="76">AG26/AF26-1</f>
        <v>2.2382439366785967E-4</v>
      </c>
      <c r="AH27" s="138"/>
      <c r="AI27" s="94"/>
      <c r="AJ27" s="94"/>
      <c r="AK27" s="94"/>
      <c r="AL27" s="94"/>
      <c r="AM27" s="94"/>
      <c r="AN27" s="94"/>
      <c r="AO27" s="94"/>
      <c r="AP27" s="147"/>
      <c r="AQ27" s="94"/>
      <c r="AR27" s="94"/>
      <c r="AS27" s="94"/>
      <c r="AT27" s="147"/>
      <c r="AU27" s="94"/>
      <c r="AV27" s="94"/>
      <c r="AW27" s="94"/>
      <c r="AX27" s="147"/>
      <c r="AY27" s="94"/>
      <c r="AZ27" s="94"/>
      <c r="BA27" s="94"/>
      <c r="BB27" s="147"/>
      <c r="BC27" s="94"/>
      <c r="BD27" s="94"/>
      <c r="BE27" s="94"/>
      <c r="BF27" s="147"/>
      <c r="BG27" s="94"/>
      <c r="BH27" s="94"/>
      <c r="BI27" s="94"/>
      <c r="BJ27" s="147"/>
      <c r="BK27" s="94"/>
      <c r="BL27" s="94"/>
      <c r="BM27" s="94"/>
      <c r="BN27" s="147"/>
      <c r="BO27" s="94"/>
      <c r="BP27" s="94"/>
      <c r="BQ27" s="94"/>
      <c r="BR27" s="147"/>
      <c r="BS27" s="94"/>
      <c r="BT27" s="94"/>
      <c r="BU27" s="94"/>
      <c r="BV27" s="147"/>
      <c r="BW27" s="94"/>
      <c r="BX27" s="94"/>
      <c r="BY27" s="94"/>
      <c r="BZ27" s="147"/>
      <c r="CA27" s="94"/>
      <c r="CB27" s="94"/>
      <c r="CC27" s="94"/>
      <c r="CD27" s="147">
        <f t="shared" ref="CD27:DV27" si="77">CD26/BZ26-1</f>
        <v>-3.376242966160492E-2</v>
      </c>
      <c r="CE27" s="94">
        <f t="shared" si="77"/>
        <v>-2.9843713186209486E-3</v>
      </c>
      <c r="CF27" s="94">
        <f t="shared" si="77"/>
        <v>7.3870333988212966E-3</v>
      </c>
      <c r="CG27" s="94">
        <f t="shared" si="77"/>
        <v>1.0361091780715981E-2</v>
      </c>
      <c r="CH27" s="147">
        <f t="shared" si="77"/>
        <v>1.3562026326286336E-2</v>
      </c>
      <c r="CI27" s="94">
        <f t="shared" si="77"/>
        <v>2.0322961795982586E-2</v>
      </c>
      <c r="CJ27" s="94">
        <f t="shared" si="77"/>
        <v>3.1671737264997279E-2</v>
      </c>
      <c r="CK27" s="94">
        <f t="shared" si="77"/>
        <v>4.1172419070942157E-2</v>
      </c>
      <c r="CL27" s="147">
        <f t="shared" si="77"/>
        <v>3.0617866981503372E-2</v>
      </c>
      <c r="CM27" s="94">
        <f t="shared" si="77"/>
        <v>1.5208831930826783E-2</v>
      </c>
      <c r="CN27" s="94">
        <f t="shared" si="77"/>
        <v>1.5198487712665409E-2</v>
      </c>
      <c r="CO27" s="94">
        <f t="shared" si="77"/>
        <v>1.3009922822491804E-2</v>
      </c>
      <c r="CP27" s="147">
        <f t="shared" si="77"/>
        <v>4.9641056972659303E-2</v>
      </c>
      <c r="CQ27" s="94">
        <f t="shared" si="77"/>
        <v>6.1901140684410549E-2</v>
      </c>
      <c r="CR27" s="94">
        <f t="shared" si="77"/>
        <v>5.6159690153433584E-2</v>
      </c>
      <c r="CS27" s="94">
        <f t="shared" si="77"/>
        <v>4.6582498911623915E-2</v>
      </c>
      <c r="CT27" s="147">
        <f t="shared" si="77"/>
        <v>6.1626891734575029E-2</v>
      </c>
      <c r="CU27" s="94">
        <f t="shared" si="77"/>
        <v>7.0395302205671806E-2</v>
      </c>
      <c r="CV27" s="94">
        <f t="shared" si="77"/>
        <v>7.2708039492242582E-2</v>
      </c>
      <c r="CW27" s="101">
        <f t="shared" si="77"/>
        <v>5.4839156960621249E-2</v>
      </c>
      <c r="CX27" s="94">
        <f t="shared" si="77"/>
        <v>3.6323761222671891E-3</v>
      </c>
      <c r="CY27" s="94">
        <f t="shared" si="77"/>
        <v>6.4895965745634943E-3</v>
      </c>
      <c r="CZ27" s="94">
        <f t="shared" si="77"/>
        <v>-1.0189994083229292E-2</v>
      </c>
      <c r="DA27" s="94">
        <f t="shared" si="77"/>
        <v>-1.8337167269142252E-2</v>
      </c>
      <c r="DB27" s="147">
        <f t="shared" si="77"/>
        <v>1.5569516525539395E-2</v>
      </c>
      <c r="DC27" s="94">
        <f t="shared" si="77"/>
        <v>-2.6588673225206305E-3</v>
      </c>
      <c r="DD27" s="94">
        <f t="shared" si="77"/>
        <v>-2.6567481402762771E-3</v>
      </c>
      <c r="DE27" s="94">
        <f t="shared" si="77"/>
        <v>1.3122656668452137E-2</v>
      </c>
      <c r="DF27" s="147">
        <f t="shared" si="77"/>
        <v>5.110274341043608E-3</v>
      </c>
      <c r="DG27" s="1045">
        <f t="shared" si="77"/>
        <v>2.6659557451347293E-3</v>
      </c>
      <c r="DH27" s="1045">
        <f t="shared" si="77"/>
        <v>3.4629728289823358E-3</v>
      </c>
      <c r="DI27" s="101">
        <f t="shared" si="77"/>
        <v>-3.039915411049432E-2</v>
      </c>
      <c r="DJ27" s="147">
        <f t="shared" si="77"/>
        <v>-3.9603960396039639E-2</v>
      </c>
      <c r="DK27" s="1045">
        <f t="shared" si="77"/>
        <v>-4.8125498537622935E-2</v>
      </c>
      <c r="DL27" s="1045">
        <f t="shared" si="77"/>
        <v>-4.194319086806475E-2</v>
      </c>
      <c r="DM27" s="101">
        <f t="shared" si="77"/>
        <v>-7.9062159214831063E-3</v>
      </c>
      <c r="DN27" s="1045">
        <f t="shared" si="77"/>
        <v>7.8016160490388398E-3</v>
      </c>
      <c r="DO27" s="1045">
        <f t="shared" si="77"/>
        <v>5.5865921787701112E-4</v>
      </c>
      <c r="DP27" s="1045">
        <f t="shared" si="77"/>
        <v>-1.8564699362704329E-2</v>
      </c>
      <c r="DQ27" s="101">
        <f t="shared" si="77"/>
        <v>-1.4289640010991977E-2</v>
      </c>
      <c r="DR27" s="1045">
        <f t="shared" si="77"/>
        <v>1.1611833010782391E-2</v>
      </c>
      <c r="DS27" s="1045">
        <f t="shared" si="77"/>
        <v>5.1647124511446041E-2</v>
      </c>
      <c r="DT27" s="1045">
        <f t="shared" si="77"/>
        <v>9.3167701863354102E-2</v>
      </c>
      <c r="DU27" s="1045">
        <f t="shared" si="77"/>
        <v>0.13074993030387505</v>
      </c>
      <c r="DV27" s="1045">
        <f t="shared" si="77"/>
        <v>7.2424159606449878E-2</v>
      </c>
      <c r="DW27" s="1045">
        <f t="shared" ref="DW27" ca="1" si="78">DW26/DS26-1</f>
        <v>4.6359349543255046E-2</v>
      </c>
      <c r="DX27" s="1045">
        <f t="shared" ref="DX27" ca="1" si="79">DX26/DT26-1</f>
        <v>2.5494767230057613E-2</v>
      </c>
      <c r="DY27" s="101">
        <f t="shared" ref="DY27" ca="1" si="80">DY26/DU26-1</f>
        <v>-1.3370072223906626E-2</v>
      </c>
      <c r="DZ27" s="94"/>
    </row>
    <row r="28" spans="1:130" hidden="1" outlineLevel="1">
      <c r="A28" s="176" t="s">
        <v>1454</v>
      </c>
      <c r="B28" s="94"/>
      <c r="C28" s="94"/>
      <c r="D28" s="94"/>
      <c r="E28" s="94"/>
      <c r="F28" s="94"/>
      <c r="G28" s="94"/>
      <c r="H28" s="94"/>
      <c r="I28" s="94"/>
      <c r="J28" s="94"/>
      <c r="K28" s="94"/>
      <c r="L28" s="94"/>
      <c r="M28" s="94"/>
      <c r="N28" s="94"/>
      <c r="O28" s="94"/>
      <c r="P28" s="94"/>
      <c r="Q28" s="1045"/>
      <c r="R28" s="94"/>
      <c r="S28" s="94"/>
      <c r="T28" s="1045"/>
      <c r="U28" s="94"/>
      <c r="V28" s="94"/>
      <c r="W28" s="94"/>
      <c r="X28" s="94"/>
      <c r="Y28" s="94"/>
      <c r="Z28" s="94"/>
      <c r="AA28" s="94"/>
      <c r="AB28" s="94"/>
      <c r="AC28" s="94"/>
      <c r="AD28" s="94"/>
      <c r="AE28" s="94"/>
      <c r="AF28" s="94"/>
      <c r="AG28" s="94"/>
      <c r="AH28" s="138"/>
      <c r="AI28" s="94"/>
      <c r="AJ28" s="94"/>
      <c r="AK28" s="94"/>
      <c r="AL28" s="94"/>
      <c r="AM28" s="94"/>
      <c r="AN28" s="94"/>
      <c r="AO28" s="94"/>
      <c r="AP28" s="147"/>
      <c r="AQ28" s="94"/>
      <c r="AR28" s="94"/>
      <c r="AS28" s="94"/>
      <c r="AT28" s="147"/>
      <c r="AU28" s="94"/>
      <c r="AV28" s="94"/>
      <c r="AW28" s="94"/>
      <c r="AX28" s="147"/>
      <c r="AY28" s="94"/>
      <c r="AZ28" s="94"/>
      <c r="BA28" s="94"/>
      <c r="BB28" s="147"/>
      <c r="BC28" s="94"/>
      <c r="BD28" s="94"/>
      <c r="BE28" s="94"/>
      <c r="BF28" s="147"/>
      <c r="BG28" s="94"/>
      <c r="BH28" s="94"/>
      <c r="BI28" s="94"/>
      <c r="BJ28" s="147"/>
      <c r="BK28" s="94"/>
      <c r="BL28" s="94"/>
      <c r="BM28" s="94"/>
      <c r="BN28" s="147"/>
      <c r="BO28" s="94"/>
      <c r="BP28" s="94"/>
      <c r="BQ28" s="94"/>
      <c r="BR28" s="147"/>
      <c r="BS28" s="94"/>
      <c r="BT28" s="94"/>
      <c r="BU28" s="94"/>
      <c r="BV28" s="147"/>
      <c r="BW28" s="94"/>
      <c r="BX28" s="94"/>
      <c r="BY28" s="94"/>
      <c r="BZ28" s="147">
        <f t="shared" ref="BZ28:DV28" si="81">(BZ26-BY26)/BZ17</f>
        <v>0.80657796568017903</v>
      </c>
      <c r="CA28" s="94">
        <f t="shared" si="81"/>
        <v>-1.4071294559099437E-2</v>
      </c>
      <c r="CB28" s="94">
        <f t="shared" si="81"/>
        <v>-5.0087653393438513E-4</v>
      </c>
      <c r="CC28" s="94">
        <f t="shared" si="81"/>
        <v>1.078167115902965E-2</v>
      </c>
      <c r="CD28" s="147">
        <f t="shared" si="81"/>
        <v>-2.3901032908959886E-2</v>
      </c>
      <c r="CE28" s="94">
        <f t="shared" si="81"/>
        <v>9.1911764705882356E-3</v>
      </c>
      <c r="CF28" s="94">
        <f t="shared" si="81"/>
        <v>7.2480710778583118E-3</v>
      </c>
      <c r="CG28" s="94">
        <f t="shared" si="81"/>
        <v>1.3063632532659082E-2</v>
      </c>
      <c r="CH28" s="147">
        <f t="shared" si="81"/>
        <v>-2.1445497630331753E-2</v>
      </c>
      <c r="CI28" s="94">
        <f t="shared" si="81"/>
        <v>1.4843188891548958E-2</v>
      </c>
      <c r="CJ28" s="94">
        <f t="shared" si="81"/>
        <v>1.6275730014360938E-2</v>
      </c>
      <c r="CK28" s="94">
        <f t="shared" si="81"/>
        <v>2.0373150332404031E-2</v>
      </c>
      <c r="CL28" s="147">
        <f t="shared" si="81"/>
        <v>-3.4875784875784875E-2</v>
      </c>
      <c r="CM28" s="94">
        <f t="shared" si="81"/>
        <v>3.2235781717706653E-3</v>
      </c>
      <c r="CN28" s="94">
        <f t="shared" si="81"/>
        <v>1.5998145142592162E-2</v>
      </c>
      <c r="CO28" s="94">
        <f t="shared" si="81"/>
        <v>1.9547551065231716E-2</v>
      </c>
      <c r="CP28" s="147">
        <f t="shared" si="81"/>
        <v>-2.7753432661408121E-3</v>
      </c>
      <c r="CQ28" s="94">
        <f t="shared" si="81"/>
        <v>1.3107721639656816E-2</v>
      </c>
      <c r="CR28" s="94">
        <f t="shared" si="81"/>
        <v>1.3090909090909091E-2</v>
      </c>
      <c r="CS28" s="94">
        <f t="shared" si="81"/>
        <v>1.2940178192617734E-2</v>
      </c>
      <c r="CT28" s="147">
        <f t="shared" si="81"/>
        <v>9.5691038276415306E-3</v>
      </c>
      <c r="CU28" s="94">
        <f t="shared" si="81"/>
        <v>1.9538968166849614E-2</v>
      </c>
      <c r="CV28" s="94">
        <f t="shared" si="81"/>
        <v>1.8191841234840134E-2</v>
      </c>
      <c r="CW28" s="101">
        <f t="shared" si="81"/>
        <v>2.7041644131963225E-4</v>
      </c>
      <c r="CX28" s="94">
        <f t="shared" si="81"/>
        <v>-4.0042075736325386E-2</v>
      </c>
      <c r="CY28" s="94">
        <f t="shared" si="81"/>
        <v>2.6795284030010719E-2</v>
      </c>
      <c r="CZ28" s="94">
        <f t="shared" si="81"/>
        <v>7.722007722007722E-4</v>
      </c>
      <c r="DA28" s="94">
        <f t="shared" si="81"/>
        <v>-6.0084117764870821E-3</v>
      </c>
      <c r="DB28" s="147">
        <f t="shared" si="81"/>
        <v>-4.4419766796224324E-3</v>
      </c>
      <c r="DC28" s="94">
        <f t="shared" si="81"/>
        <v>8.2212257100149483E-3</v>
      </c>
      <c r="DD28" s="94">
        <f t="shared" si="81"/>
        <v>7.158196134574087E-4</v>
      </c>
      <c r="DE28" s="94">
        <f t="shared" si="81"/>
        <v>6.0454450698353137E-3</v>
      </c>
      <c r="DF28" s="147">
        <f t="shared" si="81"/>
        <v>-1.108433734939759E-2</v>
      </c>
      <c r="DG28" s="1045">
        <f t="shared" si="81"/>
        <v>5.5248618784530384E-3</v>
      </c>
      <c r="DH28" s="1045">
        <f t="shared" si="81"/>
        <v>1.4527845036319612E-3</v>
      </c>
      <c r="DI28" s="101">
        <f t="shared" si="81"/>
        <v>-2.1677249835778411E-2</v>
      </c>
      <c r="DJ28" s="147">
        <f t="shared" si="81"/>
        <v>-2.1555252387448841E-2</v>
      </c>
      <c r="DK28" s="1045">
        <f t="shared" si="81"/>
        <v>-2.0053475935828879E-3</v>
      </c>
      <c r="DL28" s="1045">
        <f t="shared" si="81"/>
        <v>6.6104399361750629E-3</v>
      </c>
      <c r="DM28" s="101">
        <f t="shared" si="81"/>
        <v>5.7306590257879654E-3</v>
      </c>
      <c r="DN28" s="1045">
        <f t="shared" si="81"/>
        <v>-6.4954236787717742E-3</v>
      </c>
      <c r="DO28" s="1045">
        <f t="shared" si="81"/>
        <v>-9.0066906845084928E-3</v>
      </c>
      <c r="DP28" s="1045">
        <f t="shared" si="81"/>
        <v>-9.696969696969697E-3</v>
      </c>
      <c r="DQ28" s="101">
        <f t="shared" si="81"/>
        <v>7.9491255961844191E-3</v>
      </c>
      <c r="DR28" s="1045">
        <f t="shared" si="81"/>
        <v>2.3475709162047602E-2</v>
      </c>
      <c r="DS28" s="1045">
        <f t="shared" si="81"/>
        <v>2.7383367139959432E-2</v>
      </c>
      <c r="DT28" s="1045">
        <f t="shared" si="81"/>
        <v>2.4584406462186841E-2</v>
      </c>
      <c r="DU28" s="1045">
        <f t="shared" si="81"/>
        <v>3.0846605196982398E-2</v>
      </c>
      <c r="DV28" s="1045">
        <f t="shared" si="81"/>
        <v>-2.8991873490006589E-2</v>
      </c>
      <c r="DW28" s="1045">
        <f t="shared" ref="DW28" ca="1" si="82">(DW26-DV26)/DW17</f>
        <v>4.299257523313618E-3</v>
      </c>
      <c r="DX28" s="1045">
        <f t="shared" ref="DX28" ca="1" si="83">(DX26-DW26)/DX17</f>
        <v>6.9737614151294753E-3</v>
      </c>
      <c r="DY28" s="101">
        <f t="shared" ref="DY28" ca="1" si="84">(DY26-DX26)/DY17</f>
        <v>7.1218182431791142E-3</v>
      </c>
      <c r="DZ28" s="94"/>
    </row>
    <row r="29" spans="1:130" hidden="1" outlineLevel="1">
      <c r="A29" s="176" t="s">
        <v>503</v>
      </c>
      <c r="B29" s="94"/>
      <c r="C29" s="94"/>
      <c r="D29" s="94"/>
      <c r="E29" s="94"/>
      <c r="F29" s="94"/>
      <c r="G29" s="94">
        <f t="shared" ref="G29:V29" si="85">G26/G17</f>
        <v>-5.5484515484515481E-2</v>
      </c>
      <c r="H29" s="94">
        <f t="shared" si="85"/>
        <v>-3.7785801518610947E-2</v>
      </c>
      <c r="I29" s="94">
        <f t="shared" si="85"/>
        <v>-3.8679703959807681E-2</v>
      </c>
      <c r="J29" s="94">
        <f t="shared" si="85"/>
        <v>-8.8048388331674457E-2</v>
      </c>
      <c r="K29" s="94">
        <f t="shared" si="85"/>
        <v>0</v>
      </c>
      <c r="L29" s="94">
        <f t="shared" si="85"/>
        <v>0</v>
      </c>
      <c r="M29" s="94">
        <f t="shared" si="85"/>
        <v>0</v>
      </c>
      <c r="N29" s="94">
        <f t="shared" si="85"/>
        <v>0.75089176071574759</v>
      </c>
      <c r="O29" s="94">
        <f t="shared" si="85"/>
        <v>0.7286463678868742</v>
      </c>
      <c r="P29" s="94">
        <f t="shared" si="85"/>
        <v>0.76122520013922734</v>
      </c>
      <c r="Q29" s="1045">
        <f t="shared" si="85"/>
        <v>0.79202228544333808</v>
      </c>
      <c r="R29" s="94">
        <f t="shared" si="85"/>
        <v>0.85538947624255679</v>
      </c>
      <c r="S29" s="94">
        <f t="shared" si="85"/>
        <v>0.92286382664368383</v>
      </c>
      <c r="T29" s="1045">
        <f t="shared" si="85"/>
        <v>0.92241112828438954</v>
      </c>
      <c r="U29" s="94">
        <f t="shared" si="85"/>
        <v>0.90375813057094678</v>
      </c>
      <c r="V29" s="94">
        <f t="shared" si="85"/>
        <v>0.86865220173346513</v>
      </c>
      <c r="W29" s="94">
        <f t="shared" ref="W29:AB29" si="86">W26/W17</f>
        <v>0.8110829817158931</v>
      </c>
      <c r="X29" s="94">
        <f t="shared" si="86"/>
        <v>0.83990855267014475</v>
      </c>
      <c r="Y29" s="94">
        <f t="shared" si="86"/>
        <v>0.8902417811793355</v>
      </c>
      <c r="Z29" s="94">
        <f t="shared" ca="1" si="86"/>
        <v>0.9215963118595577</v>
      </c>
      <c r="AA29" s="94">
        <f t="shared" ca="1" si="86"/>
        <v>0.91468593360974859</v>
      </c>
      <c r="AB29" s="94">
        <f t="shared" ca="1" si="86"/>
        <v>0.90018580805989268</v>
      </c>
      <c r="AC29" s="94">
        <f t="shared" ref="AC29:AG29" ca="1" si="87">AC26/AC17</f>
        <v>0.88570008300019964</v>
      </c>
      <c r="AD29" s="94">
        <f t="shared" ca="1" si="87"/>
        <v>0.87131607161117552</v>
      </c>
      <c r="AE29" s="94">
        <f t="shared" ca="1" si="87"/>
        <v>0.85701641837166953</v>
      </c>
      <c r="AF29" s="94">
        <f t="shared" ca="1" si="87"/>
        <v>0.84274943923364498</v>
      </c>
      <c r="AG29" s="94">
        <f t="shared" ca="1" si="87"/>
        <v>0.77678162739787981</v>
      </c>
      <c r="AH29" s="138"/>
      <c r="AI29" s="94"/>
      <c r="AJ29" s="94"/>
      <c r="AK29" s="94"/>
      <c r="AL29" s="94"/>
      <c r="AM29" s="94"/>
      <c r="AN29" s="94"/>
      <c r="AO29" s="94"/>
      <c r="AP29" s="147"/>
      <c r="AQ29" s="94"/>
      <c r="AR29" s="94"/>
      <c r="AS29" s="94"/>
      <c r="AT29" s="147"/>
      <c r="AU29" s="94"/>
      <c r="AV29" s="94"/>
      <c r="AW29" s="94"/>
      <c r="AX29" s="147"/>
      <c r="AY29" s="94"/>
      <c r="AZ29" s="94"/>
      <c r="BA29" s="94"/>
      <c r="BB29" s="147"/>
      <c r="BC29" s="94"/>
      <c r="BD29" s="94"/>
      <c r="BE29" s="94"/>
      <c r="BF29" s="147"/>
      <c r="BG29" s="94"/>
      <c r="BH29" s="94"/>
      <c r="BI29" s="94"/>
      <c r="BJ29" s="147"/>
      <c r="BK29" s="94"/>
      <c r="BL29" s="94"/>
      <c r="BM29" s="94"/>
      <c r="BN29" s="147"/>
      <c r="BO29" s="94"/>
      <c r="BP29" s="94"/>
      <c r="BQ29" s="94"/>
      <c r="BR29" s="147"/>
      <c r="BS29" s="94"/>
      <c r="BT29" s="94"/>
      <c r="BU29" s="94"/>
      <c r="BV29" s="147"/>
      <c r="BW29" s="94"/>
      <c r="BX29" s="94"/>
      <c r="BY29" s="94"/>
      <c r="BZ29" s="147">
        <f t="shared" ref="BZ29:DE29" si="88">BZ26/BZ17</f>
        <v>0.80657796568017903</v>
      </c>
      <c r="CA29" s="94">
        <f t="shared" si="88"/>
        <v>0.74654080675422141</v>
      </c>
      <c r="CB29" s="94">
        <f t="shared" si="88"/>
        <v>0.79670673678938142</v>
      </c>
      <c r="CC29" s="94">
        <f t="shared" si="88"/>
        <v>0.67038150528716567</v>
      </c>
      <c r="CD29" s="147">
        <f t="shared" si="88"/>
        <v>0.75276243093922657</v>
      </c>
      <c r="CE29" s="94">
        <f t="shared" si="88"/>
        <v>0.72926240808823528</v>
      </c>
      <c r="CF29" s="94">
        <f t="shared" si="88"/>
        <v>0.74929857376665887</v>
      </c>
      <c r="CG29" s="94">
        <f t="shared" si="88"/>
        <v>0.68831647703329124</v>
      </c>
      <c r="CH29" s="147">
        <f t="shared" si="88"/>
        <v>0.75266587677725116</v>
      </c>
      <c r="CI29" s="94">
        <f t="shared" si="88"/>
        <v>0.77525736174287763</v>
      </c>
      <c r="CJ29" s="94">
        <f t="shared" si="88"/>
        <v>0.79134753470560082</v>
      </c>
      <c r="CK29" s="94">
        <f t="shared" si="88"/>
        <v>0.72941239545357062</v>
      </c>
      <c r="CL29" s="147">
        <f t="shared" si="88"/>
        <v>0.89366639366639367</v>
      </c>
      <c r="CM29" s="94">
        <f t="shared" si="88"/>
        <v>0.75696523140686167</v>
      </c>
      <c r="CN29" s="94">
        <f t="shared" si="88"/>
        <v>0.77822861117551589</v>
      </c>
      <c r="CO29" s="94">
        <f t="shared" si="88"/>
        <v>0.75675378871074017</v>
      </c>
      <c r="CP29" s="147">
        <f t="shared" si="88"/>
        <v>1.0037978381536663</v>
      </c>
      <c r="CQ29" s="94">
        <f t="shared" si="88"/>
        <v>0.83198284080076268</v>
      </c>
      <c r="CR29" s="94">
        <f t="shared" si="88"/>
        <v>0.85939393939393938</v>
      </c>
      <c r="CS29" s="94">
        <f t="shared" si="88"/>
        <v>0.76495545184556635</v>
      </c>
      <c r="CT29" s="147">
        <f t="shared" si="88"/>
        <v>0.83606463442585377</v>
      </c>
      <c r="CU29" s="94">
        <f t="shared" si="88"/>
        <v>0.82036223929747532</v>
      </c>
      <c r="CV29" s="94">
        <f t="shared" si="88"/>
        <v>1.0481670341786109</v>
      </c>
      <c r="CW29" s="101">
        <f t="shared" si="88"/>
        <v>1.028596538669551</v>
      </c>
      <c r="CX29" s="94">
        <f t="shared" si="88"/>
        <v>1.0269284712482469</v>
      </c>
      <c r="CY29" s="94">
        <f t="shared" si="88"/>
        <v>1.007770632368703</v>
      </c>
      <c r="CZ29" s="94">
        <f t="shared" si="88"/>
        <v>0.96885456885456889</v>
      </c>
      <c r="DA29" s="94">
        <f t="shared" si="88"/>
        <v>0.74784698578009212</v>
      </c>
      <c r="DB29" s="147">
        <f t="shared" si="88"/>
        <v>1.0322043309272626</v>
      </c>
      <c r="DC29" s="94">
        <f t="shared" si="88"/>
        <v>0.93447932237169906</v>
      </c>
      <c r="DD29" s="94">
        <f t="shared" si="88"/>
        <v>0.89572894297303751</v>
      </c>
      <c r="DE29" s="94">
        <f t="shared" si="88"/>
        <v>0.78861788617886175</v>
      </c>
      <c r="DF29" s="147">
        <f>DF26/DF17</f>
        <v>0.90048192771084334</v>
      </c>
      <c r="DG29" s="1045">
        <f>DG26/DG17</f>
        <v>0.86579189686924496</v>
      </c>
      <c r="DH29" s="1045">
        <f>DH26/DH17</f>
        <v>0.91210653753026638</v>
      </c>
      <c r="DI29" s="101">
        <f>DI26/DI17</f>
        <v>0.80315305452156782</v>
      </c>
      <c r="DJ29" s="147">
        <f t="shared" ref="DJ29:DM29" si="89">DJ26/DJ17</f>
        <v>0.97926330150068208</v>
      </c>
      <c r="DK29" s="1045">
        <f t="shared" si="89"/>
        <v>0.79768270944741537</v>
      </c>
      <c r="DL29" s="1045">
        <f t="shared" si="89"/>
        <v>0.82265785274675174</v>
      </c>
      <c r="DM29" s="101">
        <f t="shared" si="89"/>
        <v>0.69512893982808022</v>
      </c>
      <c r="DN29" s="1045">
        <f t="shared" ref="DN29:DO29" si="90">DN26/DN17</f>
        <v>1.0679067020962503</v>
      </c>
      <c r="DO29" s="1045">
        <f t="shared" si="90"/>
        <v>0.92177045805455482</v>
      </c>
      <c r="DP29" s="1045">
        <f t="shared" ref="DP29:DQ29" si="91">DP26/DP17</f>
        <v>0.85866666666666669</v>
      </c>
      <c r="DQ29" s="101">
        <f t="shared" si="91"/>
        <v>0.63363363363363367</v>
      </c>
      <c r="DR29" s="1045">
        <f t="shared" ref="DR29:DS29" si="92">DR26/DR17</f>
        <v>1.1930224975546135</v>
      </c>
      <c r="DS29" s="1045">
        <f t="shared" si="92"/>
        <v>0.95512170385395534</v>
      </c>
      <c r="DT29" s="1045">
        <f t="shared" ref="DT29:DU29" si="93">DT26/DT17</f>
        <v>0.90657925544369</v>
      </c>
      <c r="DU29" s="1045">
        <f t="shared" si="93"/>
        <v>0.67996647108130759</v>
      </c>
      <c r="DV29" s="1045">
        <f t="shared" ref="DV29" si="94">DV26/DV17</f>
        <v>0.86184933011201403</v>
      </c>
      <c r="DW29" s="1045">
        <f t="shared" ref="DW29:DY29" ca="1" si="95">DW26/DW17</f>
        <v>0.96089953300471609</v>
      </c>
      <c r="DX29" s="1045">
        <f t="shared" ca="1" si="95"/>
        <v>0.95222690919525943</v>
      </c>
      <c r="DY29" s="101">
        <f t="shared" ca="1" si="95"/>
        <v>0.91771559203159692</v>
      </c>
      <c r="DZ29" s="94"/>
    </row>
    <row r="30" spans="1:130" hidden="1" outlineLevel="1">
      <c r="A30" s="762" t="s">
        <v>504</v>
      </c>
      <c r="B30" s="109"/>
      <c r="C30" s="109"/>
      <c r="D30" s="109"/>
      <c r="E30" s="109"/>
      <c r="F30" s="109"/>
      <c r="G30" s="109"/>
      <c r="H30" s="109">
        <f t="shared" ref="H30:AB30" si="96">H26-G26</f>
        <v>10.399999999999977</v>
      </c>
      <c r="I30" s="109">
        <f t="shared" si="96"/>
        <v>-4.3799999999999955</v>
      </c>
      <c r="J30" s="109">
        <f t="shared" si="96"/>
        <v>-434</v>
      </c>
      <c r="K30" s="109">
        <f t="shared" si="96"/>
        <v>1150</v>
      </c>
      <c r="L30" s="109">
        <f t="shared" si="96"/>
        <v>0</v>
      </c>
      <c r="M30" s="109">
        <f t="shared" si="96"/>
        <v>0</v>
      </c>
      <c r="N30" s="109">
        <f t="shared" si="96"/>
        <v>12841</v>
      </c>
      <c r="O30" s="109">
        <f t="shared" si="96"/>
        <v>-62</v>
      </c>
      <c r="P30" s="109">
        <f t="shared" si="96"/>
        <v>343</v>
      </c>
      <c r="Q30" s="1044">
        <f t="shared" si="96"/>
        <v>241</v>
      </c>
      <c r="R30" s="109">
        <f t="shared" si="96"/>
        <v>715</v>
      </c>
      <c r="S30" s="109">
        <f t="shared" si="96"/>
        <v>913</v>
      </c>
      <c r="T30" s="1044">
        <f t="shared" si="96"/>
        <v>-71</v>
      </c>
      <c r="U30" s="109">
        <f t="shared" si="96"/>
        <v>86</v>
      </c>
      <c r="V30" s="109">
        <f t="shared" si="96"/>
        <v>-73</v>
      </c>
      <c r="W30" s="109">
        <f>W26-V26</f>
        <v>-516</v>
      </c>
      <c r="X30" s="109">
        <f>X26-W26</f>
        <v>-89</v>
      </c>
      <c r="Y30" s="109">
        <f>Y26-X26</f>
        <v>1026</v>
      </c>
      <c r="Z30" s="109">
        <f ca="1">Z26-Y26</f>
        <v>484.12239550405866</v>
      </c>
      <c r="AA30" s="109">
        <f t="shared" ca="1" si="96"/>
        <v>10.324855161885353</v>
      </c>
      <c r="AB30" s="109">
        <f t="shared" ca="1" si="96"/>
        <v>-59.982329576527263</v>
      </c>
      <c r="AC30" s="109">
        <f t="shared" ref="AC30" ca="1" si="97">AC26-AB26</f>
        <v>-56.206115332017362</v>
      </c>
      <c r="AD30" s="109">
        <f t="shared" ref="AD30" ca="1" si="98">AD26-AC26</f>
        <v>-52.023030899003061</v>
      </c>
      <c r="AE30" s="109">
        <f t="shared" ref="AE30" ca="1" si="99">AE26-AD26</f>
        <v>-47.477896349377261</v>
      </c>
      <c r="AF30" s="109">
        <f t="shared" ref="AF30" ca="1" si="100">AF26-AE26</f>
        <v>-42.51813408952512</v>
      </c>
      <c r="AG30" s="109">
        <f t="shared" ref="AG30" ca="1" si="101">AG26-AF26</f>
        <v>3.489475957932882</v>
      </c>
      <c r="AH30" s="536"/>
      <c r="AI30" s="109"/>
      <c r="AJ30" s="109"/>
      <c r="AK30" s="109"/>
      <c r="AL30" s="109"/>
      <c r="AM30" s="109"/>
      <c r="AN30" s="109"/>
      <c r="AO30" s="109"/>
      <c r="AP30" s="171"/>
      <c r="AQ30" s="109"/>
      <c r="AR30" s="109"/>
      <c r="AS30" s="109"/>
      <c r="AT30" s="171"/>
      <c r="AU30" s="109"/>
      <c r="AV30" s="109"/>
      <c r="AW30" s="109"/>
      <c r="AX30" s="171"/>
      <c r="AY30" s="109"/>
      <c r="AZ30" s="109"/>
      <c r="BA30" s="109"/>
      <c r="BB30" s="171"/>
      <c r="BC30" s="109"/>
      <c r="BD30" s="109"/>
      <c r="BE30" s="109"/>
      <c r="BF30" s="171"/>
      <c r="BG30" s="109"/>
      <c r="BH30" s="109"/>
      <c r="BI30" s="109"/>
      <c r="BJ30" s="171"/>
      <c r="BK30" s="109"/>
      <c r="BL30" s="109"/>
      <c r="BM30" s="109"/>
      <c r="BN30" s="171"/>
      <c r="BO30" s="109"/>
      <c r="BP30" s="109"/>
      <c r="BQ30" s="109"/>
      <c r="BR30" s="171"/>
      <c r="BS30" s="109"/>
      <c r="BT30" s="109"/>
      <c r="BU30" s="109"/>
      <c r="BV30" s="171"/>
      <c r="BW30" s="109"/>
      <c r="BX30" s="109"/>
      <c r="BY30" s="109"/>
      <c r="BZ30" s="171">
        <f t="shared" ref="BZ30:DV30" si="102">BZ26-BY26</f>
        <v>3243.25</v>
      </c>
      <c r="CA30" s="109">
        <f t="shared" si="102"/>
        <v>-60</v>
      </c>
      <c r="CB30" s="109">
        <f t="shared" si="102"/>
        <v>-2</v>
      </c>
      <c r="CC30" s="109">
        <f t="shared" si="102"/>
        <v>52</v>
      </c>
      <c r="CD30" s="171">
        <f t="shared" si="102"/>
        <v>-99.5</v>
      </c>
      <c r="CE30" s="109">
        <f t="shared" si="102"/>
        <v>40</v>
      </c>
      <c r="CF30" s="109">
        <f t="shared" si="102"/>
        <v>31</v>
      </c>
      <c r="CG30" s="109">
        <f t="shared" si="102"/>
        <v>62</v>
      </c>
      <c r="CH30" s="171">
        <f t="shared" si="102"/>
        <v>-90.5</v>
      </c>
      <c r="CI30" s="109">
        <f t="shared" si="102"/>
        <v>62</v>
      </c>
      <c r="CJ30" s="109">
        <f t="shared" si="102"/>
        <v>68</v>
      </c>
      <c r="CK30" s="109">
        <f t="shared" si="102"/>
        <v>95</v>
      </c>
      <c r="CL30" s="171">
        <f t="shared" si="102"/>
        <v>-127.75</v>
      </c>
      <c r="CM30" s="109">
        <f t="shared" si="102"/>
        <v>14</v>
      </c>
      <c r="CN30" s="109">
        <f t="shared" si="102"/>
        <v>69</v>
      </c>
      <c r="CO30" s="109">
        <f t="shared" si="102"/>
        <v>89</v>
      </c>
      <c r="CP30" s="171">
        <f t="shared" si="102"/>
        <v>-9.5</v>
      </c>
      <c r="CQ30" s="109">
        <f t="shared" si="102"/>
        <v>55</v>
      </c>
      <c r="CR30" s="109">
        <f t="shared" si="102"/>
        <v>54</v>
      </c>
      <c r="CS30" s="109">
        <f t="shared" si="102"/>
        <v>61</v>
      </c>
      <c r="CT30" s="171">
        <f t="shared" si="102"/>
        <v>41.75</v>
      </c>
      <c r="CU30" s="109">
        <f t="shared" si="102"/>
        <v>89</v>
      </c>
      <c r="CV30" s="109">
        <f t="shared" si="102"/>
        <v>66</v>
      </c>
      <c r="CW30" s="172">
        <f t="shared" si="102"/>
        <v>1</v>
      </c>
      <c r="CX30" s="109">
        <f t="shared" si="102"/>
        <v>-142.75</v>
      </c>
      <c r="CY30" s="109">
        <f t="shared" si="102"/>
        <v>100</v>
      </c>
      <c r="CZ30" s="109">
        <f t="shared" si="102"/>
        <v>3</v>
      </c>
      <c r="DA30" s="109">
        <f t="shared" si="102"/>
        <v>-30</v>
      </c>
      <c r="DB30" s="171">
        <f t="shared" si="102"/>
        <v>-16</v>
      </c>
      <c r="DC30" s="109">
        <f t="shared" si="102"/>
        <v>33</v>
      </c>
      <c r="DD30" s="109">
        <f t="shared" si="102"/>
        <v>3</v>
      </c>
      <c r="DE30" s="109">
        <f t="shared" si="102"/>
        <v>29</v>
      </c>
      <c r="DF30" s="171">
        <f t="shared" si="102"/>
        <v>-46</v>
      </c>
      <c r="DG30" s="1044">
        <f t="shared" si="102"/>
        <v>24</v>
      </c>
      <c r="DH30" s="1044">
        <f t="shared" si="102"/>
        <v>6</v>
      </c>
      <c r="DI30" s="172">
        <f t="shared" si="102"/>
        <v>-99</v>
      </c>
      <c r="DJ30" s="171">
        <f t="shared" si="102"/>
        <v>-79</v>
      </c>
      <c r="DK30" s="1044">
        <f t="shared" si="102"/>
        <v>-9</v>
      </c>
      <c r="DL30" s="1044">
        <f t="shared" si="102"/>
        <v>29</v>
      </c>
      <c r="DM30" s="172">
        <f t="shared" si="102"/>
        <v>30</v>
      </c>
      <c r="DN30" s="1044">
        <f t="shared" si="102"/>
        <v>-22</v>
      </c>
      <c r="DO30" s="1044">
        <f t="shared" si="102"/>
        <v>-35</v>
      </c>
      <c r="DP30" s="1044">
        <f t="shared" si="102"/>
        <v>-40</v>
      </c>
      <c r="DQ30" s="172">
        <f t="shared" si="102"/>
        <v>45</v>
      </c>
      <c r="DR30" s="1044">
        <f t="shared" si="102"/>
        <v>72</v>
      </c>
      <c r="DS30" s="1044">
        <f t="shared" si="102"/>
        <v>108</v>
      </c>
      <c r="DT30" s="1044">
        <f t="shared" si="102"/>
        <v>105</v>
      </c>
      <c r="DU30" s="1044">
        <f t="shared" si="102"/>
        <v>184</v>
      </c>
      <c r="DV30" s="1044">
        <f t="shared" si="102"/>
        <v>-132</v>
      </c>
      <c r="DW30" s="1044">
        <f t="shared" ref="DW30" ca="1" si="103">DW26-DV26</f>
        <v>17.635669729441361</v>
      </c>
      <c r="DX30" s="1044">
        <f t="shared" ref="DX30" ca="1" si="104">DX26-DW26</f>
        <v>29.080068985341313</v>
      </c>
      <c r="DY30" s="172">
        <f t="shared" ref="DY30" ca="1" si="105">DY26-DX26</f>
        <v>31.05524834505195</v>
      </c>
      <c r="DZ30" s="109"/>
    </row>
    <row r="31" spans="1:130" hidden="1" outlineLevel="1">
      <c r="A31" s="178" t="s">
        <v>967</v>
      </c>
      <c r="B31" s="169"/>
      <c r="C31" s="169"/>
      <c r="D31" s="761"/>
      <c r="E31" s="761"/>
      <c r="F31" s="169"/>
      <c r="G31" s="169">
        <v>722.02</v>
      </c>
      <c r="H31" s="169">
        <v>711.62</v>
      </c>
      <c r="I31" s="169">
        <v>716</v>
      </c>
      <c r="J31" s="169">
        <v>1150</v>
      </c>
      <c r="K31" s="363">
        <v>1397</v>
      </c>
      <c r="L31" s="363">
        <v>1334</v>
      </c>
      <c r="M31" s="363">
        <v>1444</v>
      </c>
      <c r="N31" s="363">
        <v>1423</v>
      </c>
      <c r="O31" s="363">
        <v>1341</v>
      </c>
      <c r="P31" s="177">
        <v>1383</v>
      </c>
      <c r="Q31" s="1135">
        <v>1970</v>
      </c>
      <c r="R31" s="177">
        <v>1812</v>
      </c>
      <c r="S31" s="177">
        <v>1505</v>
      </c>
      <c r="T31" s="1135">
        <v>1540</v>
      </c>
      <c r="U31" s="177">
        <v>1600</v>
      </c>
      <c r="V31" s="177">
        <v>1600</v>
      </c>
      <c r="W31" s="177">
        <v>1600</v>
      </c>
      <c r="X31" s="169">
        <f>+SUM(DN31:DQ31)</f>
        <v>1600</v>
      </c>
      <c r="Y31" s="169">
        <f>SUM(DR31:DU31)</f>
        <v>1600</v>
      </c>
      <c r="Z31" s="169">
        <f>SUM(DV31:DY31)</f>
        <v>1600</v>
      </c>
      <c r="AA31" s="177">
        <f>+Z31</f>
        <v>1600</v>
      </c>
      <c r="AB31" s="177">
        <f>+AA31</f>
        <v>1600</v>
      </c>
      <c r="AC31" s="177">
        <f t="shared" ref="AC31:AG31" si="106">+AB31</f>
        <v>1600</v>
      </c>
      <c r="AD31" s="177">
        <f t="shared" si="106"/>
        <v>1600</v>
      </c>
      <c r="AE31" s="177">
        <f t="shared" si="106"/>
        <v>1600</v>
      </c>
      <c r="AF31" s="177">
        <f t="shared" si="106"/>
        <v>1600</v>
      </c>
      <c r="AG31" s="177">
        <f t="shared" si="106"/>
        <v>1600</v>
      </c>
      <c r="AH31" s="3046"/>
      <c r="AI31" s="761"/>
      <c r="AJ31" s="761"/>
      <c r="AK31" s="761"/>
      <c r="AL31" s="761"/>
      <c r="AM31" s="761"/>
      <c r="AN31" s="761"/>
      <c r="AO31" s="761"/>
      <c r="AP31" s="768"/>
      <c r="AQ31" s="761"/>
      <c r="AR31" s="761"/>
      <c r="AS31" s="761"/>
      <c r="AT31" s="768"/>
      <c r="AU31" s="761"/>
      <c r="AV31" s="761"/>
      <c r="AW31" s="761"/>
      <c r="AX31" s="768"/>
      <c r="AY31" s="761"/>
      <c r="AZ31" s="761"/>
      <c r="BA31" s="761"/>
      <c r="BB31" s="178"/>
      <c r="BC31" s="169"/>
      <c r="BD31" s="169"/>
      <c r="BE31" s="169"/>
      <c r="BF31" s="178"/>
      <c r="BG31" s="169"/>
      <c r="BH31" s="169"/>
      <c r="BI31" s="169"/>
      <c r="BJ31" s="178"/>
      <c r="BK31" s="169"/>
      <c r="BL31" s="169"/>
      <c r="BM31" s="169"/>
      <c r="BN31" s="178"/>
      <c r="BO31" s="169"/>
      <c r="BP31" s="169"/>
      <c r="BQ31" s="169"/>
      <c r="BR31" s="178"/>
      <c r="BS31" s="169"/>
      <c r="BT31" s="169"/>
      <c r="BU31" s="169"/>
      <c r="BV31" s="178">
        <f>$M$31/4</f>
        <v>361</v>
      </c>
      <c r="BW31" s="169">
        <f>$M$31/4</f>
        <v>361</v>
      </c>
      <c r="BX31" s="169">
        <f>$M$31/4</f>
        <v>361</v>
      </c>
      <c r="BY31" s="169">
        <f>$M$31/4</f>
        <v>361</v>
      </c>
      <c r="BZ31" s="178">
        <f>N31/4</f>
        <v>355.75</v>
      </c>
      <c r="CA31" s="169">
        <f>$N$31/4</f>
        <v>355.75</v>
      </c>
      <c r="CB31" s="169">
        <f>$N$31/4</f>
        <v>355.75</v>
      </c>
      <c r="CC31" s="169">
        <f>$N$31/4</f>
        <v>355.75</v>
      </c>
      <c r="CD31" s="178">
        <f>$O$31/4</f>
        <v>335.25</v>
      </c>
      <c r="CE31" s="169">
        <f>$O$31/4</f>
        <v>335.25</v>
      </c>
      <c r="CF31" s="169">
        <f>$O$31/4</f>
        <v>335.25</v>
      </c>
      <c r="CG31" s="169">
        <f>$O$31/4</f>
        <v>335.25</v>
      </c>
      <c r="CH31" s="178">
        <f>$P$31/4</f>
        <v>345.75</v>
      </c>
      <c r="CI31" s="169">
        <f>$P$31/4</f>
        <v>345.75</v>
      </c>
      <c r="CJ31" s="169">
        <f>$P$31/4</f>
        <v>345.75</v>
      </c>
      <c r="CK31" s="169">
        <f>$P$31/4</f>
        <v>345.75</v>
      </c>
      <c r="CL31" s="178">
        <f>$Q$31/4</f>
        <v>492.5</v>
      </c>
      <c r="CM31" s="169">
        <f>$Q$31/4</f>
        <v>492.5</v>
      </c>
      <c r="CN31" s="169">
        <f>$Q$31/4</f>
        <v>492.5</v>
      </c>
      <c r="CO31" s="169">
        <f>$Q$31/4</f>
        <v>492.5</v>
      </c>
      <c r="CP31" s="178">
        <f>$R$31/4</f>
        <v>453</v>
      </c>
      <c r="CQ31" s="169">
        <f>$R$31/4</f>
        <v>453</v>
      </c>
      <c r="CR31" s="169">
        <f>$R$31/4</f>
        <v>453</v>
      </c>
      <c r="CS31" s="169">
        <f>$R$31/4</f>
        <v>453</v>
      </c>
      <c r="CT31" s="178">
        <f>$S$31/4</f>
        <v>376.25</v>
      </c>
      <c r="CU31" s="169">
        <f>$S$31/4</f>
        <v>376.25</v>
      </c>
      <c r="CV31" s="169">
        <f>$S$31/4</f>
        <v>376.25</v>
      </c>
      <c r="CW31" s="179">
        <f>$S$31/4</f>
        <v>376.25</v>
      </c>
      <c r="CX31" s="169">
        <v>367</v>
      </c>
      <c r="CY31" s="169">
        <v>367</v>
      </c>
      <c r="CZ31" s="169">
        <f>+(T31-SUM(CX31:CY31))/2</f>
        <v>403</v>
      </c>
      <c r="DA31" s="169">
        <f>+(T31-SUM(CX31:CZ31))</f>
        <v>403</v>
      </c>
      <c r="DB31" s="178">
        <f>+(U31/4)</f>
        <v>400</v>
      </c>
      <c r="DC31" s="169">
        <f t="shared" ref="DC31:DV31" si="107">DB31</f>
        <v>400</v>
      </c>
      <c r="DD31" s="169">
        <f t="shared" si="107"/>
        <v>400</v>
      </c>
      <c r="DE31" s="169">
        <f t="shared" si="107"/>
        <v>400</v>
      </c>
      <c r="DF31" s="178">
        <f t="shared" si="107"/>
        <v>400</v>
      </c>
      <c r="DG31" s="1051">
        <f t="shared" si="107"/>
        <v>400</v>
      </c>
      <c r="DH31" s="1051">
        <f t="shared" si="107"/>
        <v>400</v>
      </c>
      <c r="DI31" s="179">
        <f t="shared" si="107"/>
        <v>400</v>
      </c>
      <c r="DJ31" s="178">
        <f t="shared" si="107"/>
        <v>400</v>
      </c>
      <c r="DK31" s="1051">
        <f t="shared" si="107"/>
        <v>400</v>
      </c>
      <c r="DL31" s="1051">
        <f t="shared" si="107"/>
        <v>400</v>
      </c>
      <c r="DM31" s="179">
        <f t="shared" si="107"/>
        <v>400</v>
      </c>
      <c r="DN31" s="1051">
        <f t="shared" si="107"/>
        <v>400</v>
      </c>
      <c r="DO31" s="1051">
        <f t="shared" si="107"/>
        <v>400</v>
      </c>
      <c r="DP31" s="1051">
        <f t="shared" si="107"/>
        <v>400</v>
      </c>
      <c r="DQ31" s="179">
        <f t="shared" si="107"/>
        <v>400</v>
      </c>
      <c r="DR31" s="1051">
        <f t="shared" si="107"/>
        <v>400</v>
      </c>
      <c r="DS31" s="1051">
        <f t="shared" si="107"/>
        <v>400</v>
      </c>
      <c r="DT31" s="1051">
        <f t="shared" si="107"/>
        <v>400</v>
      </c>
      <c r="DU31" s="1051">
        <f t="shared" si="107"/>
        <v>400</v>
      </c>
      <c r="DV31" s="1051">
        <f t="shared" si="107"/>
        <v>400</v>
      </c>
      <c r="DW31" s="1051">
        <f t="shared" ref="DW31" si="108">DV31</f>
        <v>400</v>
      </c>
      <c r="DX31" s="1051">
        <f t="shared" ref="DX31" si="109">DW31</f>
        <v>400</v>
      </c>
      <c r="DY31" s="179">
        <f t="shared" ref="DY31" si="110">DX31</f>
        <v>400</v>
      </c>
      <c r="DZ31" s="109"/>
    </row>
    <row r="32" spans="1:130" hidden="1" outlineLevel="1">
      <c r="A32" s="748" t="s">
        <v>991</v>
      </c>
      <c r="B32" s="94"/>
      <c r="C32" s="94"/>
      <c r="D32" s="295"/>
      <c r="E32" s="295"/>
      <c r="F32" s="295"/>
      <c r="G32" s="295"/>
      <c r="H32" s="295">
        <f t="shared" ref="H32:AB32" si="111">H31/G31-1</f>
        <v>-1.4404033129276184E-2</v>
      </c>
      <c r="I32" s="295">
        <f t="shared" si="111"/>
        <v>6.154970349343758E-3</v>
      </c>
      <c r="J32" s="295">
        <f t="shared" si="111"/>
        <v>0.6061452513966481</v>
      </c>
      <c r="K32" s="295">
        <f t="shared" si="111"/>
        <v>0.21478260869565213</v>
      </c>
      <c r="L32" s="295">
        <f t="shared" si="111"/>
        <v>-4.5096635647816741E-2</v>
      </c>
      <c r="M32" s="295">
        <f t="shared" si="111"/>
        <v>8.2458770614692645E-2</v>
      </c>
      <c r="N32" s="295">
        <f t="shared" si="111"/>
        <v>-1.454293628808867E-2</v>
      </c>
      <c r="O32" s="295">
        <f t="shared" si="111"/>
        <v>-5.7624736472241755E-2</v>
      </c>
      <c r="P32" s="295">
        <f t="shared" si="111"/>
        <v>3.1319910514541416E-2</v>
      </c>
      <c r="Q32" s="1130">
        <f t="shared" si="111"/>
        <v>0.42443962400578461</v>
      </c>
      <c r="R32" s="295">
        <f t="shared" si="111"/>
        <v>-8.020304568527914E-2</v>
      </c>
      <c r="S32" s="295">
        <f t="shared" si="111"/>
        <v>-0.16942604856512145</v>
      </c>
      <c r="T32" s="1130">
        <f t="shared" si="111"/>
        <v>2.3255813953488413E-2</v>
      </c>
      <c r="U32" s="295">
        <f t="shared" si="111"/>
        <v>3.8961038961038863E-2</v>
      </c>
      <c r="V32" s="295">
        <f t="shared" si="111"/>
        <v>0</v>
      </c>
      <c r="W32" s="295">
        <f>W31/V31-1</f>
        <v>0</v>
      </c>
      <c r="X32" s="295">
        <f>X31/W31-1</f>
        <v>0</v>
      </c>
      <c r="Y32" s="295">
        <f>Y31/X31-1</f>
        <v>0</v>
      </c>
      <c r="Z32" s="295">
        <f>Z31/Y31-1</f>
        <v>0</v>
      </c>
      <c r="AA32" s="295">
        <f t="shared" si="111"/>
        <v>0</v>
      </c>
      <c r="AB32" s="295">
        <f t="shared" si="111"/>
        <v>0</v>
      </c>
      <c r="AC32" s="295">
        <f t="shared" ref="AC32" si="112">AC31/AB31-1</f>
        <v>0</v>
      </c>
      <c r="AD32" s="295">
        <f t="shared" ref="AD32" si="113">AD31/AC31-1</f>
        <v>0</v>
      </c>
      <c r="AE32" s="295">
        <f t="shared" ref="AE32" si="114">AE31/AD31-1</f>
        <v>0</v>
      </c>
      <c r="AF32" s="295">
        <f t="shared" ref="AF32" si="115">AF31/AE31-1</f>
        <v>0</v>
      </c>
      <c r="AG32" s="295">
        <f t="shared" ref="AG32" si="116">AG31/AF31-1</f>
        <v>0</v>
      </c>
      <c r="AH32" s="1243"/>
      <c r="AI32" s="295"/>
      <c r="AJ32" s="295"/>
      <c r="AK32" s="295"/>
      <c r="AL32" s="295"/>
      <c r="AM32" s="295"/>
      <c r="AN32" s="295"/>
      <c r="AO32" s="295"/>
      <c r="AP32" s="298"/>
      <c r="AQ32" s="295"/>
      <c r="AR32" s="295"/>
      <c r="AS32" s="295"/>
      <c r="AT32" s="298"/>
      <c r="AU32" s="295"/>
      <c r="AV32" s="295"/>
      <c r="AW32" s="295"/>
      <c r="AX32" s="298"/>
      <c r="AY32" s="295"/>
      <c r="AZ32" s="295"/>
      <c r="BA32" s="295"/>
      <c r="BB32" s="298"/>
      <c r="BC32" s="295"/>
      <c r="BD32" s="295"/>
      <c r="BE32" s="295"/>
      <c r="BF32" s="298"/>
      <c r="BG32" s="295"/>
      <c r="BH32" s="295"/>
      <c r="BI32" s="295"/>
      <c r="BJ32" s="298"/>
      <c r="BK32" s="295"/>
      <c r="BL32" s="295"/>
      <c r="BM32" s="295"/>
      <c r="BN32" s="298"/>
      <c r="BO32" s="295"/>
      <c r="BP32" s="295"/>
      <c r="BQ32" s="295"/>
      <c r="BR32" s="298"/>
      <c r="BS32" s="295"/>
      <c r="BT32" s="295"/>
      <c r="BU32" s="295"/>
      <c r="BV32" s="298"/>
      <c r="BW32" s="295"/>
      <c r="BX32" s="295"/>
      <c r="BY32" s="295"/>
      <c r="BZ32" s="298">
        <f t="shared" ref="BZ32:DV32" si="117">BZ31/BV31-1</f>
        <v>-1.454293628808867E-2</v>
      </c>
      <c r="CA32" s="295">
        <f t="shared" si="117"/>
        <v>-1.454293628808867E-2</v>
      </c>
      <c r="CB32" s="295">
        <f t="shared" si="117"/>
        <v>-1.454293628808867E-2</v>
      </c>
      <c r="CC32" s="295">
        <f t="shared" si="117"/>
        <v>-1.454293628808867E-2</v>
      </c>
      <c r="CD32" s="298">
        <f t="shared" si="117"/>
        <v>-5.7624736472241755E-2</v>
      </c>
      <c r="CE32" s="295">
        <f t="shared" si="117"/>
        <v>-5.7624736472241755E-2</v>
      </c>
      <c r="CF32" s="295">
        <f t="shared" si="117"/>
        <v>-5.7624736472241755E-2</v>
      </c>
      <c r="CG32" s="295">
        <f t="shared" si="117"/>
        <v>-5.7624736472241755E-2</v>
      </c>
      <c r="CH32" s="298">
        <f t="shared" si="117"/>
        <v>3.1319910514541416E-2</v>
      </c>
      <c r="CI32" s="295">
        <f t="shared" si="117"/>
        <v>3.1319910514541416E-2</v>
      </c>
      <c r="CJ32" s="295">
        <f t="shared" si="117"/>
        <v>3.1319910514541416E-2</v>
      </c>
      <c r="CK32" s="295">
        <f t="shared" si="117"/>
        <v>3.1319910514541416E-2</v>
      </c>
      <c r="CL32" s="298">
        <f t="shared" si="117"/>
        <v>0.42443962400578461</v>
      </c>
      <c r="CM32" s="295">
        <f t="shared" si="117"/>
        <v>0.42443962400578461</v>
      </c>
      <c r="CN32" s="295">
        <f t="shared" si="117"/>
        <v>0.42443962400578461</v>
      </c>
      <c r="CO32" s="295">
        <f t="shared" si="117"/>
        <v>0.42443962400578461</v>
      </c>
      <c r="CP32" s="298">
        <f t="shared" si="117"/>
        <v>-8.020304568527914E-2</v>
      </c>
      <c r="CQ32" s="295">
        <f t="shared" si="117"/>
        <v>-8.020304568527914E-2</v>
      </c>
      <c r="CR32" s="295">
        <f t="shared" si="117"/>
        <v>-8.020304568527914E-2</v>
      </c>
      <c r="CS32" s="295">
        <f t="shared" si="117"/>
        <v>-8.020304568527914E-2</v>
      </c>
      <c r="CT32" s="298">
        <f t="shared" si="117"/>
        <v>-0.16942604856512145</v>
      </c>
      <c r="CU32" s="295">
        <f t="shared" si="117"/>
        <v>-0.16942604856512145</v>
      </c>
      <c r="CV32" s="295">
        <f t="shared" si="117"/>
        <v>-0.16942604856512145</v>
      </c>
      <c r="CW32" s="299">
        <f t="shared" si="117"/>
        <v>-0.16942604856512145</v>
      </c>
      <c r="CX32" s="295">
        <f t="shared" si="117"/>
        <v>-2.4584717607973428E-2</v>
      </c>
      <c r="CY32" s="295">
        <f t="shared" si="117"/>
        <v>-2.4584717607973428E-2</v>
      </c>
      <c r="CZ32" s="295">
        <f t="shared" si="117"/>
        <v>7.1096345514950254E-2</v>
      </c>
      <c r="DA32" s="295">
        <f t="shared" si="117"/>
        <v>7.1096345514950254E-2</v>
      </c>
      <c r="DB32" s="298">
        <f t="shared" si="117"/>
        <v>8.9918256130790297E-2</v>
      </c>
      <c r="DC32" s="295">
        <f t="shared" si="117"/>
        <v>8.9918256130790297E-2</v>
      </c>
      <c r="DD32" s="295">
        <f t="shared" si="117"/>
        <v>-7.4441687344912744E-3</v>
      </c>
      <c r="DE32" s="295">
        <f t="shared" si="117"/>
        <v>-7.4441687344912744E-3</v>
      </c>
      <c r="DF32" s="298">
        <f t="shared" si="117"/>
        <v>0</v>
      </c>
      <c r="DG32" s="1130">
        <f t="shared" si="117"/>
        <v>0</v>
      </c>
      <c r="DH32" s="1130">
        <f t="shared" si="117"/>
        <v>0</v>
      </c>
      <c r="DI32" s="299">
        <f t="shared" si="117"/>
        <v>0</v>
      </c>
      <c r="DJ32" s="298">
        <f t="shared" si="117"/>
        <v>0</v>
      </c>
      <c r="DK32" s="1130">
        <f t="shared" si="117"/>
        <v>0</v>
      </c>
      <c r="DL32" s="1130">
        <f t="shared" si="117"/>
        <v>0</v>
      </c>
      <c r="DM32" s="299">
        <f t="shared" si="117"/>
        <v>0</v>
      </c>
      <c r="DN32" s="1130">
        <f t="shared" si="117"/>
        <v>0</v>
      </c>
      <c r="DO32" s="1130">
        <f t="shared" si="117"/>
        <v>0</v>
      </c>
      <c r="DP32" s="1130">
        <f t="shared" si="117"/>
        <v>0</v>
      </c>
      <c r="DQ32" s="299">
        <f t="shared" si="117"/>
        <v>0</v>
      </c>
      <c r="DR32" s="1130">
        <f t="shared" si="117"/>
        <v>0</v>
      </c>
      <c r="DS32" s="1130">
        <f t="shared" si="117"/>
        <v>0</v>
      </c>
      <c r="DT32" s="1130">
        <f t="shared" si="117"/>
        <v>0</v>
      </c>
      <c r="DU32" s="1130">
        <f t="shared" si="117"/>
        <v>0</v>
      </c>
      <c r="DV32" s="1130">
        <f t="shared" si="117"/>
        <v>0</v>
      </c>
      <c r="DW32" s="1130">
        <f t="shared" ref="DW32" si="118">DW31/DS31-1</f>
        <v>0</v>
      </c>
      <c r="DX32" s="1130">
        <f t="shared" ref="DX32" si="119">DX31/DT31-1</f>
        <v>0</v>
      </c>
      <c r="DY32" s="299">
        <f t="shared" ref="DY32" si="120">DY31/DU31-1</f>
        <v>0</v>
      </c>
      <c r="DZ32" s="94"/>
    </row>
    <row r="33" spans="1:130" hidden="1" outlineLevel="1">
      <c r="A33" s="749"/>
      <c r="B33" s="87"/>
      <c r="C33" s="87"/>
      <c r="D33" s="105"/>
      <c r="E33" s="105"/>
      <c r="F33" s="105"/>
      <c r="G33" s="105"/>
      <c r="H33" s="105"/>
      <c r="I33" s="105"/>
      <c r="J33" s="105"/>
      <c r="K33" s="105"/>
      <c r="L33" s="105"/>
      <c r="M33" s="105"/>
      <c r="N33" s="105"/>
      <c r="O33" s="105"/>
      <c r="P33" s="105"/>
      <c r="Q33" s="1132"/>
      <c r="R33" s="105"/>
      <c r="S33" s="105"/>
      <c r="T33" s="1132"/>
      <c r="U33" s="105"/>
      <c r="V33" s="105"/>
      <c r="W33" s="105"/>
      <c r="X33" s="105"/>
      <c r="Y33" s="105"/>
      <c r="Z33" s="105"/>
      <c r="AA33" s="105"/>
      <c r="AB33" s="105"/>
      <c r="AC33" s="105"/>
      <c r="AD33" s="105"/>
      <c r="AE33" s="105"/>
      <c r="AF33" s="105"/>
      <c r="AG33" s="105"/>
      <c r="AH33" s="1244"/>
      <c r="AI33" s="105"/>
      <c r="AJ33" s="105"/>
      <c r="AK33" s="105"/>
      <c r="AL33" s="105"/>
      <c r="AM33" s="105"/>
      <c r="AN33" s="105"/>
      <c r="AO33" s="105"/>
      <c r="AP33" s="306"/>
      <c r="AQ33" s="105"/>
      <c r="AR33" s="105"/>
      <c r="AS33" s="105"/>
      <c r="AT33" s="306"/>
      <c r="AU33" s="105"/>
      <c r="AV33" s="105"/>
      <c r="AW33" s="105"/>
      <c r="AX33" s="306"/>
      <c r="AY33" s="105"/>
      <c r="AZ33" s="105"/>
      <c r="BA33" s="105"/>
      <c r="BB33" s="306"/>
      <c r="BC33" s="105"/>
      <c r="BD33" s="105"/>
      <c r="BE33" s="105"/>
      <c r="BF33" s="306"/>
      <c r="BG33" s="105"/>
      <c r="BH33" s="105"/>
      <c r="BI33" s="105"/>
      <c r="BJ33" s="306"/>
      <c r="BK33" s="105"/>
      <c r="BL33" s="105"/>
      <c r="BM33" s="105"/>
      <c r="BN33" s="306"/>
      <c r="BO33" s="105"/>
      <c r="BP33" s="105"/>
      <c r="BQ33" s="105"/>
      <c r="BR33" s="306"/>
      <c r="BS33" s="105"/>
      <c r="BT33" s="105"/>
      <c r="BU33" s="105"/>
      <c r="BV33" s="306"/>
      <c r="BW33" s="105"/>
      <c r="BX33" s="105"/>
      <c r="BY33" s="105"/>
      <c r="BZ33" s="306"/>
      <c r="CA33" s="105"/>
      <c r="CB33" s="105"/>
      <c r="CC33" s="105"/>
      <c r="CD33" s="306"/>
      <c r="CE33" s="105"/>
      <c r="CF33" s="105"/>
      <c r="CG33" s="105"/>
      <c r="CH33" s="306"/>
      <c r="CI33" s="105"/>
      <c r="CJ33" s="105"/>
      <c r="CK33" s="105"/>
      <c r="CL33" s="306"/>
      <c r="CM33" s="105"/>
      <c r="CN33" s="105"/>
      <c r="CO33" s="105"/>
      <c r="CP33" s="306"/>
      <c r="CQ33" s="105"/>
      <c r="CR33" s="105"/>
      <c r="CS33" s="105"/>
      <c r="CT33" s="306"/>
      <c r="CU33" s="105"/>
      <c r="CV33" s="105"/>
      <c r="CW33" s="307"/>
      <c r="CX33" s="105"/>
      <c r="CY33" s="105"/>
      <c r="CZ33" s="105"/>
      <c r="DA33" s="105"/>
      <c r="DB33" s="306"/>
      <c r="DC33" s="105"/>
      <c r="DD33" s="105"/>
      <c r="DE33" s="105"/>
      <c r="DF33" s="306"/>
      <c r="DG33" s="1132"/>
      <c r="DH33" s="1132"/>
      <c r="DI33" s="307"/>
      <c r="DJ33" s="306"/>
      <c r="DK33" s="1132"/>
      <c r="DL33" s="1132"/>
      <c r="DM33" s="307"/>
      <c r="DN33" s="1132"/>
      <c r="DO33" s="1132"/>
      <c r="DP33" s="1132"/>
      <c r="DQ33" s="307"/>
      <c r="DR33" s="1132"/>
      <c r="DS33" s="1132"/>
      <c r="DT33" s="1132"/>
      <c r="DU33" s="1132"/>
      <c r="DV33" s="1132"/>
      <c r="DW33" s="1132"/>
      <c r="DX33" s="1132"/>
      <c r="DY33" s="307"/>
      <c r="DZ33" s="87"/>
    </row>
    <row r="34" spans="1:130" hidden="1" outlineLevel="1">
      <c r="A34" s="178" t="s">
        <v>965</v>
      </c>
      <c r="B34" s="169"/>
      <c r="C34" s="169"/>
      <c r="D34" s="761"/>
      <c r="E34" s="169"/>
      <c r="F34" s="169"/>
      <c r="G34" s="169"/>
      <c r="H34" s="169"/>
      <c r="I34" s="169"/>
      <c r="J34" s="169"/>
      <c r="K34" s="169"/>
      <c r="L34" s="169">
        <f>L26+L31</f>
        <v>1334</v>
      </c>
      <c r="M34" s="169">
        <f>M26+M31</f>
        <v>1444</v>
      </c>
      <c r="N34" s="169">
        <f>N26+N31</f>
        <v>14264</v>
      </c>
      <c r="O34" s="169">
        <f>SUM(CD34:CG34)</f>
        <v>14120</v>
      </c>
      <c r="P34" s="169">
        <f>SUM(CH34:CK34)</f>
        <v>14505</v>
      </c>
      <c r="Q34" s="1051">
        <f>SUM(CL34:CO34)</f>
        <v>15333</v>
      </c>
      <c r="R34" s="169">
        <f>SUM(CP34:CS34)</f>
        <v>15890</v>
      </c>
      <c r="S34" s="169">
        <f>SUM(CT34:CW34)</f>
        <v>16496</v>
      </c>
      <c r="T34" s="1051">
        <f>SUM(CX34:DA34)</f>
        <v>16460</v>
      </c>
      <c r="U34" s="169">
        <f>SUM(DB34:DE34)</f>
        <v>16606</v>
      </c>
      <c r="V34" s="169">
        <f>SUM(DF34:DI34)</f>
        <v>16533</v>
      </c>
      <c r="W34" s="169">
        <f>SUM(DJ34:DM34)</f>
        <v>16017</v>
      </c>
      <c r="X34" s="169">
        <f>SUM(DN34:DQ34)</f>
        <v>15928</v>
      </c>
      <c r="Y34" s="169">
        <f>SUM(DR34:DU34)</f>
        <v>16954</v>
      </c>
      <c r="Z34" s="169">
        <f ca="1">SUM(DV34:DY34)</f>
        <v>17438.122395504059</v>
      </c>
      <c r="AA34" s="169">
        <f ca="1">BS!AA178</f>
        <v>17448.447250665944</v>
      </c>
      <c r="AB34" s="169">
        <f ca="1">BS!AB178</f>
        <v>17388.464921089417</v>
      </c>
      <c r="AC34" s="169">
        <f ca="1">BS!AC178</f>
        <v>17332.258805757399</v>
      </c>
      <c r="AD34" s="169">
        <f ca="1">BS!AD178</f>
        <v>17280.235774858396</v>
      </c>
      <c r="AE34" s="169">
        <f ca="1">BS!AE178</f>
        <v>17232.757878509019</v>
      </c>
      <c r="AF34" s="169">
        <f ca="1">BS!AF178</f>
        <v>17190.239744419494</v>
      </c>
      <c r="AG34" s="169">
        <f ca="1">BS!AG178</f>
        <v>17193.729220377427</v>
      </c>
      <c r="AH34" s="3046"/>
      <c r="AI34" s="761"/>
      <c r="AJ34" s="761"/>
      <c r="AK34" s="761"/>
      <c r="AL34" s="761"/>
      <c r="AM34" s="761"/>
      <c r="AN34" s="761"/>
      <c r="AO34" s="761"/>
      <c r="AP34" s="768"/>
      <c r="AQ34" s="761"/>
      <c r="AR34" s="761"/>
      <c r="AS34" s="761"/>
      <c r="AT34" s="768"/>
      <c r="AU34" s="761"/>
      <c r="AV34" s="761"/>
      <c r="AW34" s="761"/>
      <c r="AX34" s="768"/>
      <c r="AY34" s="761"/>
      <c r="AZ34" s="761"/>
      <c r="BA34" s="761"/>
      <c r="BB34" s="178"/>
      <c r="BC34" s="169"/>
      <c r="BD34" s="169"/>
      <c r="BE34" s="169"/>
      <c r="BF34" s="178"/>
      <c r="BG34" s="169"/>
      <c r="BH34" s="169"/>
      <c r="BI34" s="169"/>
      <c r="BJ34" s="178"/>
      <c r="BK34" s="169"/>
      <c r="BL34" s="169"/>
      <c r="BM34" s="169"/>
      <c r="BN34" s="178"/>
      <c r="BO34" s="169"/>
      <c r="BP34" s="169"/>
      <c r="BQ34" s="169"/>
      <c r="BR34" s="178"/>
      <c r="BS34" s="169"/>
      <c r="BT34" s="169"/>
      <c r="BU34" s="169"/>
      <c r="BV34" s="178">
        <f t="shared" ref="BV34:DE34" si="121">BV31+BV26</f>
        <v>361</v>
      </c>
      <c r="BW34" s="169">
        <f t="shared" si="121"/>
        <v>361</v>
      </c>
      <c r="BX34" s="169">
        <f t="shared" si="121"/>
        <v>361</v>
      </c>
      <c r="BY34" s="169">
        <f t="shared" si="121"/>
        <v>361</v>
      </c>
      <c r="BZ34" s="178">
        <f t="shared" si="121"/>
        <v>3599</v>
      </c>
      <c r="CA34" s="169">
        <f t="shared" si="121"/>
        <v>3539</v>
      </c>
      <c r="CB34" s="169">
        <f t="shared" si="121"/>
        <v>3537</v>
      </c>
      <c r="CC34" s="169">
        <f t="shared" si="121"/>
        <v>3589</v>
      </c>
      <c r="CD34" s="178">
        <f t="shared" si="121"/>
        <v>3469</v>
      </c>
      <c r="CE34" s="169">
        <f t="shared" si="121"/>
        <v>3509</v>
      </c>
      <c r="CF34" s="169">
        <f t="shared" si="121"/>
        <v>3540</v>
      </c>
      <c r="CG34" s="169">
        <f t="shared" si="121"/>
        <v>3602</v>
      </c>
      <c r="CH34" s="178">
        <f t="shared" si="121"/>
        <v>3522</v>
      </c>
      <c r="CI34" s="169">
        <f t="shared" si="121"/>
        <v>3584</v>
      </c>
      <c r="CJ34" s="169">
        <f t="shared" si="121"/>
        <v>3652</v>
      </c>
      <c r="CK34" s="169">
        <f t="shared" si="121"/>
        <v>3747</v>
      </c>
      <c r="CL34" s="178">
        <f t="shared" si="121"/>
        <v>3766</v>
      </c>
      <c r="CM34" s="169">
        <f t="shared" si="121"/>
        <v>3780</v>
      </c>
      <c r="CN34" s="169">
        <f t="shared" si="121"/>
        <v>3849</v>
      </c>
      <c r="CO34" s="169">
        <f t="shared" si="121"/>
        <v>3938</v>
      </c>
      <c r="CP34" s="178">
        <f t="shared" si="121"/>
        <v>3889</v>
      </c>
      <c r="CQ34" s="169">
        <f t="shared" si="121"/>
        <v>3944</v>
      </c>
      <c r="CR34" s="169">
        <f t="shared" si="121"/>
        <v>3998</v>
      </c>
      <c r="CS34" s="169">
        <f t="shared" si="121"/>
        <v>4059</v>
      </c>
      <c r="CT34" s="178">
        <f t="shared" si="121"/>
        <v>4024</v>
      </c>
      <c r="CU34" s="169">
        <f t="shared" si="121"/>
        <v>4113</v>
      </c>
      <c r="CV34" s="169">
        <f t="shared" si="121"/>
        <v>4179</v>
      </c>
      <c r="CW34" s="179">
        <f t="shared" si="121"/>
        <v>4180</v>
      </c>
      <c r="CX34" s="169">
        <f t="shared" si="121"/>
        <v>4028</v>
      </c>
      <c r="CY34" s="169">
        <f t="shared" si="121"/>
        <v>4128</v>
      </c>
      <c r="CZ34" s="169">
        <f t="shared" si="121"/>
        <v>4167</v>
      </c>
      <c r="DA34" s="169">
        <f t="shared" si="121"/>
        <v>4137</v>
      </c>
      <c r="DB34" s="178">
        <f t="shared" si="121"/>
        <v>4118</v>
      </c>
      <c r="DC34" s="169">
        <f t="shared" si="121"/>
        <v>4151</v>
      </c>
      <c r="DD34" s="169">
        <f t="shared" si="121"/>
        <v>4154</v>
      </c>
      <c r="DE34" s="169">
        <f t="shared" si="121"/>
        <v>4183</v>
      </c>
      <c r="DF34" s="178">
        <f t="shared" ref="DF34:DK34" si="122">DF31+DF26</f>
        <v>4137</v>
      </c>
      <c r="DG34" s="1051">
        <f t="shared" si="122"/>
        <v>4161</v>
      </c>
      <c r="DH34" s="1051">
        <f t="shared" si="122"/>
        <v>4167</v>
      </c>
      <c r="DI34" s="179">
        <f t="shared" si="122"/>
        <v>4068</v>
      </c>
      <c r="DJ34" s="178">
        <f t="shared" si="122"/>
        <v>3989</v>
      </c>
      <c r="DK34" s="1051">
        <f t="shared" si="122"/>
        <v>3980</v>
      </c>
      <c r="DL34" s="1051">
        <f t="shared" ref="DL34:DQ34" si="123">DL31+DL26</f>
        <v>4009</v>
      </c>
      <c r="DM34" s="179">
        <f t="shared" si="123"/>
        <v>4039</v>
      </c>
      <c r="DN34" s="1051">
        <f t="shared" si="123"/>
        <v>4017</v>
      </c>
      <c r="DO34" s="1051">
        <f t="shared" si="123"/>
        <v>3982</v>
      </c>
      <c r="DP34" s="1051">
        <f t="shared" si="123"/>
        <v>3942</v>
      </c>
      <c r="DQ34" s="179">
        <f t="shared" si="123"/>
        <v>3987</v>
      </c>
      <c r="DR34" s="1051">
        <f t="shared" ref="DR34:DS34" si="124">DR31+DR26</f>
        <v>4059</v>
      </c>
      <c r="DS34" s="1051">
        <f t="shared" si="124"/>
        <v>4167</v>
      </c>
      <c r="DT34" s="1051">
        <f t="shared" ref="DT34:DU34" si="125">DT31+DT26</f>
        <v>4272</v>
      </c>
      <c r="DU34" s="1051">
        <f t="shared" si="125"/>
        <v>4456</v>
      </c>
      <c r="DV34" s="1051">
        <f t="shared" ref="DV34" si="126">DV31+DV26</f>
        <v>4324</v>
      </c>
      <c r="DW34" s="3266">
        <f ca="1">BS!DW178</f>
        <v>4341.6356697294414</v>
      </c>
      <c r="DX34" s="3266">
        <f ca="1">BS!DX178</f>
        <v>4370.7157387147827</v>
      </c>
      <c r="DY34" s="2172">
        <f ca="1">BS!DY178</f>
        <v>4401.7709870598346</v>
      </c>
      <c r="DZ34" s="109"/>
    </row>
    <row r="35" spans="1:130" hidden="1" outlineLevel="1">
      <c r="A35" s="748" t="s">
        <v>991</v>
      </c>
      <c r="B35" s="94"/>
      <c r="C35" s="94"/>
      <c r="D35" s="295"/>
      <c r="E35" s="295"/>
      <c r="F35" s="295"/>
      <c r="G35" s="295"/>
      <c r="H35" s="295"/>
      <c r="I35" s="295"/>
      <c r="J35" s="295"/>
      <c r="K35" s="295"/>
      <c r="L35" s="295" t="e">
        <f t="shared" ref="L35:AB35" si="127">L34/K34-1</f>
        <v>#DIV/0!</v>
      </c>
      <c r="M35" s="295">
        <f t="shared" si="127"/>
        <v>8.2458770614692645E-2</v>
      </c>
      <c r="N35" s="295">
        <f t="shared" si="127"/>
        <v>8.878116343490305</v>
      </c>
      <c r="O35" s="295">
        <f t="shared" si="127"/>
        <v>-1.0095344924284877E-2</v>
      </c>
      <c r="P35" s="295">
        <f t="shared" si="127"/>
        <v>2.7266288951841355E-2</v>
      </c>
      <c r="Q35" s="1130">
        <f t="shared" si="127"/>
        <v>5.7083764219234778E-2</v>
      </c>
      <c r="R35" s="295">
        <f t="shared" si="127"/>
        <v>3.6326876671231911E-2</v>
      </c>
      <c r="S35" s="295">
        <f t="shared" si="127"/>
        <v>3.8137193203272579E-2</v>
      </c>
      <c r="T35" s="1130">
        <f t="shared" si="127"/>
        <v>-2.1823472356935492E-3</v>
      </c>
      <c r="U35" s="295">
        <f t="shared" si="127"/>
        <v>8.8699878493316842E-3</v>
      </c>
      <c r="V35" s="295">
        <f t="shared" si="127"/>
        <v>-4.3960014452607554E-3</v>
      </c>
      <c r="W35" s="295">
        <f>W34/V34-1</f>
        <v>-3.1210306659408493E-2</v>
      </c>
      <c r="X35" s="295">
        <f>X34/W34-1</f>
        <v>-5.5565961166260669E-3</v>
      </c>
      <c r="Y35" s="295">
        <f>Y34/X34-1</f>
        <v>6.441486690105469E-2</v>
      </c>
      <c r="Z35" s="295">
        <f ca="1">Z34/Y34-1</f>
        <v>2.8555054589126883E-2</v>
      </c>
      <c r="AA35" s="295">
        <f t="shared" ca="1" si="127"/>
        <v>5.9208525595311201E-4</v>
      </c>
      <c r="AB35" s="295">
        <f t="shared" ca="1" si="127"/>
        <v>-3.4376886788156646E-3</v>
      </c>
      <c r="AC35" s="295">
        <f t="shared" ref="AC35" ca="1" si="128">AC34/AB34-1</f>
        <v>-3.2323793725947958E-3</v>
      </c>
      <c r="AD35" s="295">
        <f t="shared" ref="AD35" ca="1" si="129">AD34/AC34-1</f>
        <v>-3.0015147755422245E-3</v>
      </c>
      <c r="AE35" s="295">
        <f t="shared" ref="AE35" ca="1" si="130">AE34/AD34-1</f>
        <v>-2.7475259578607636E-3</v>
      </c>
      <c r="AF35" s="295">
        <f t="shared" ref="AF35" ca="1" si="131">AF34/AE34-1</f>
        <v>-2.4672855261634874E-3</v>
      </c>
      <c r="AG35" s="295">
        <f t="shared" ref="AG35" ca="1" si="132">AG34/AF34-1</f>
        <v>2.029916981853841E-4</v>
      </c>
      <c r="AH35" s="1243"/>
      <c r="AI35" s="295"/>
      <c r="AJ35" s="295"/>
      <c r="AK35" s="295"/>
      <c r="AL35" s="295"/>
      <c r="AM35" s="295"/>
      <c r="AN35" s="295"/>
      <c r="AO35" s="295"/>
      <c r="AP35" s="298"/>
      <c r="AQ35" s="295"/>
      <c r="AR35" s="295"/>
      <c r="AS35" s="295"/>
      <c r="AT35" s="298"/>
      <c r="AU35" s="295"/>
      <c r="AV35" s="295"/>
      <c r="AW35" s="295"/>
      <c r="AX35" s="298"/>
      <c r="AY35" s="295"/>
      <c r="AZ35" s="295"/>
      <c r="BA35" s="295"/>
      <c r="BB35" s="298"/>
      <c r="BC35" s="295"/>
      <c r="BD35" s="295"/>
      <c r="BE35" s="295"/>
      <c r="BF35" s="298"/>
      <c r="BG35" s="295"/>
      <c r="BH35" s="295"/>
      <c r="BI35" s="295"/>
      <c r="BJ35" s="298"/>
      <c r="BK35" s="295"/>
      <c r="BL35" s="295"/>
      <c r="BM35" s="295"/>
      <c r="BN35" s="298"/>
      <c r="BO35" s="295"/>
      <c r="BP35" s="295"/>
      <c r="BQ35" s="295"/>
      <c r="BR35" s="298"/>
      <c r="BS35" s="295"/>
      <c r="BT35" s="295"/>
      <c r="BU35" s="295"/>
      <c r="BV35" s="298"/>
      <c r="BW35" s="295"/>
      <c r="BX35" s="295"/>
      <c r="BY35" s="295"/>
      <c r="BZ35" s="298"/>
      <c r="CA35" s="295"/>
      <c r="CB35" s="295"/>
      <c r="CC35" s="295"/>
      <c r="CD35" s="298">
        <f t="shared" ref="CD35:DV35" si="133">CD34/BZ34-1</f>
        <v>-3.6121144762433999E-2</v>
      </c>
      <c r="CE35" s="295">
        <f t="shared" si="133"/>
        <v>-8.4769708957332934E-3</v>
      </c>
      <c r="CF35" s="295">
        <f t="shared" si="133"/>
        <v>8.4817642069556776E-4</v>
      </c>
      <c r="CG35" s="295">
        <f t="shared" si="133"/>
        <v>3.6221788799108978E-3</v>
      </c>
      <c r="CH35" s="298">
        <f t="shared" si="133"/>
        <v>1.527817814932253E-2</v>
      </c>
      <c r="CI35" s="295">
        <f t="shared" si="133"/>
        <v>2.1373610715303526E-2</v>
      </c>
      <c r="CJ35" s="295">
        <f t="shared" si="133"/>
        <v>3.1638418079096065E-2</v>
      </c>
      <c r="CK35" s="295">
        <f t="shared" si="133"/>
        <v>4.0255413659078254E-2</v>
      </c>
      <c r="CL35" s="298">
        <f t="shared" si="133"/>
        <v>6.9278818852924529E-2</v>
      </c>
      <c r="CM35" s="295">
        <f t="shared" si="133"/>
        <v>5.46875E-2</v>
      </c>
      <c r="CN35" s="295">
        <f t="shared" si="133"/>
        <v>5.3943044906900273E-2</v>
      </c>
      <c r="CO35" s="295">
        <f t="shared" si="133"/>
        <v>5.0974112623431989E-2</v>
      </c>
      <c r="CP35" s="298">
        <f t="shared" si="133"/>
        <v>3.2660647902283513E-2</v>
      </c>
      <c r="CQ35" s="295">
        <f t="shared" si="133"/>
        <v>4.3386243386243306E-2</v>
      </c>
      <c r="CR35" s="295">
        <f t="shared" si="133"/>
        <v>3.8711353598337217E-2</v>
      </c>
      <c r="CS35" s="295">
        <f t="shared" si="133"/>
        <v>3.0726256983240274E-2</v>
      </c>
      <c r="CT35" s="298">
        <f t="shared" si="133"/>
        <v>3.4713293905888509E-2</v>
      </c>
      <c r="CU35" s="295">
        <f t="shared" si="133"/>
        <v>4.2849898580121781E-2</v>
      </c>
      <c r="CV35" s="295">
        <f t="shared" si="133"/>
        <v>4.5272636318159032E-2</v>
      </c>
      <c r="CW35" s="299">
        <f t="shared" si="133"/>
        <v>2.9810298102981081E-2</v>
      </c>
      <c r="CX35" s="295">
        <f t="shared" si="133"/>
        <v>9.9403578528822756E-4</v>
      </c>
      <c r="CY35" s="295">
        <f t="shared" si="133"/>
        <v>3.6469730123998012E-3</v>
      </c>
      <c r="CZ35" s="295">
        <f t="shared" si="133"/>
        <v>-2.8715003589375732E-3</v>
      </c>
      <c r="DA35" s="295">
        <f t="shared" si="133"/>
        <v>-1.02870813397129E-2</v>
      </c>
      <c r="DB35" s="298">
        <f t="shared" si="133"/>
        <v>2.2343594836147007E-2</v>
      </c>
      <c r="DC35" s="295">
        <f t="shared" si="133"/>
        <v>5.5717054263566546E-3</v>
      </c>
      <c r="DD35" s="295">
        <f t="shared" si="133"/>
        <v>-3.1197504199663717E-3</v>
      </c>
      <c r="DE35" s="295">
        <f t="shared" si="133"/>
        <v>1.1119168479574615E-2</v>
      </c>
      <c r="DF35" s="298">
        <f t="shared" si="133"/>
        <v>4.6138902379795343E-3</v>
      </c>
      <c r="DG35" s="1130">
        <f t="shared" si="133"/>
        <v>2.4090580582991628E-3</v>
      </c>
      <c r="DH35" s="1130">
        <f t="shared" si="133"/>
        <v>3.1295137217139946E-3</v>
      </c>
      <c r="DI35" s="299">
        <f t="shared" si="133"/>
        <v>-2.7492230456610089E-2</v>
      </c>
      <c r="DJ35" s="298">
        <f t="shared" si="133"/>
        <v>-3.5774715977761717E-2</v>
      </c>
      <c r="DK35" s="1130">
        <f t="shared" si="133"/>
        <v>-4.3499158856044273E-2</v>
      </c>
      <c r="DL35" s="1130">
        <f t="shared" si="133"/>
        <v>-3.7916966642668637E-2</v>
      </c>
      <c r="DM35" s="299">
        <f t="shared" si="133"/>
        <v>-7.1288102261554132E-3</v>
      </c>
      <c r="DN35" s="1130">
        <f t="shared" si="133"/>
        <v>7.0193030834795334E-3</v>
      </c>
      <c r="DO35" s="1130">
        <f t="shared" si="133"/>
        <v>5.0251256281397261E-4</v>
      </c>
      <c r="DP35" s="1130">
        <f t="shared" si="133"/>
        <v>-1.6712397106510402E-2</v>
      </c>
      <c r="DQ35" s="299">
        <f t="shared" si="133"/>
        <v>-1.2874473879673221E-2</v>
      </c>
      <c r="DR35" s="1130">
        <f t="shared" si="133"/>
        <v>1.0455563853622118E-2</v>
      </c>
      <c r="DS35" s="1130">
        <f t="shared" si="133"/>
        <v>4.6459065796082388E-2</v>
      </c>
      <c r="DT35" s="1130">
        <f t="shared" si="133"/>
        <v>8.3713850837138448E-2</v>
      </c>
      <c r="DU35" s="1130">
        <f t="shared" si="133"/>
        <v>0.11763230499122157</v>
      </c>
      <c r="DV35" s="1130">
        <f t="shared" si="133"/>
        <v>6.5287016506528683E-2</v>
      </c>
      <c r="DW35" s="1130">
        <f t="shared" ref="DW35" ca="1" si="134">DW34/DS34-1</f>
        <v>4.1909207998426012E-2</v>
      </c>
      <c r="DX35" s="1130">
        <f t="shared" ref="DX35" ca="1" si="135">DX34/DT34-1</f>
        <v>2.3107616740351666E-2</v>
      </c>
      <c r="DY35" s="299">
        <f t="shared" ref="DY35" ca="1" si="136">DY34/DU34-1</f>
        <v>-1.2169886207398006E-2</v>
      </c>
      <c r="DZ35" s="94"/>
    </row>
    <row r="36" spans="1:130" hidden="1" outlineLevel="1">
      <c r="A36" s="748" t="s">
        <v>503</v>
      </c>
      <c r="B36" s="94"/>
      <c r="C36" s="94"/>
      <c r="D36" s="295"/>
      <c r="E36" s="295"/>
      <c r="F36" s="295"/>
      <c r="G36" s="295"/>
      <c r="H36" s="295"/>
      <c r="I36" s="295"/>
      <c r="J36" s="295"/>
      <c r="K36" s="295"/>
      <c r="L36" s="295">
        <f t="shared" ref="L36:V36" si="137">L34/L17</f>
        <v>0.10061090579983407</v>
      </c>
      <c r="M36" s="295">
        <f t="shared" si="137"/>
        <v>9.4231271208561729E-2</v>
      </c>
      <c r="N36" s="295">
        <f t="shared" si="137"/>
        <v>0.83410326881468921</v>
      </c>
      <c r="O36" s="295">
        <f t="shared" si="137"/>
        <v>0.80510890637472921</v>
      </c>
      <c r="P36" s="295">
        <f t="shared" si="137"/>
        <v>0.84145492516533238</v>
      </c>
      <c r="Q36" s="1130">
        <f t="shared" si="137"/>
        <v>0.90878378378378377</v>
      </c>
      <c r="R36" s="295">
        <f t="shared" si="137"/>
        <v>0.96548790861587075</v>
      </c>
      <c r="S36" s="295">
        <f t="shared" si="137"/>
        <v>1.0155134203398177</v>
      </c>
      <c r="T36" s="1130">
        <f t="shared" si="137"/>
        <v>1.0176197836166925</v>
      </c>
      <c r="U36" s="295">
        <f t="shared" si="137"/>
        <v>1.0001204529029151</v>
      </c>
      <c r="V36" s="295">
        <f t="shared" si="137"/>
        <v>0.96172415798964572</v>
      </c>
      <c r="W36" s="295">
        <f t="shared" ref="W36:AB36" si="138">W34/W17</f>
        <v>0.90109704641350208</v>
      </c>
      <c r="X36" s="295">
        <f t="shared" si="138"/>
        <v>0.9337006858549739</v>
      </c>
      <c r="Y36" s="295">
        <f t="shared" si="138"/>
        <v>0.98301153823853427</v>
      </c>
      <c r="Z36" s="295">
        <f t="shared" ca="1" si="138"/>
        <v>1.0146978842652534</v>
      </c>
      <c r="AA36" s="295">
        <f t="shared" ca="1" si="138"/>
        <v>1.0070292067789295</v>
      </c>
      <c r="AB36" s="295">
        <f t="shared" ca="1" si="138"/>
        <v>0.99141046480102735</v>
      </c>
      <c r="AC36" s="295">
        <f t="shared" ref="AC36:AG36" ca="1" si="139">AC34/AC17</f>
        <v>0.97577742982605464</v>
      </c>
      <c r="AD36" s="295">
        <f t="shared" ca="1" si="139"/>
        <v>0.96022453795025842</v>
      </c>
      <c r="AE36" s="295">
        <f t="shared" ca="1" si="139"/>
        <v>0.94473134877942255</v>
      </c>
      <c r="AF36" s="295">
        <f t="shared" ca="1" si="139"/>
        <v>0.92923939223494445</v>
      </c>
      <c r="AG36" s="295">
        <f t="shared" ca="1" si="139"/>
        <v>0.85648357593578872</v>
      </c>
      <c r="AH36" s="1243"/>
      <c r="AI36" s="295"/>
      <c r="AJ36" s="295"/>
      <c r="AK36" s="295"/>
      <c r="AL36" s="295"/>
      <c r="AM36" s="295"/>
      <c r="AN36" s="295"/>
      <c r="AO36" s="295"/>
      <c r="AP36" s="298"/>
      <c r="AQ36" s="295"/>
      <c r="AR36" s="295"/>
      <c r="AS36" s="295"/>
      <c r="AT36" s="298"/>
      <c r="AU36" s="295"/>
      <c r="AV36" s="295"/>
      <c r="AW36" s="295"/>
      <c r="AX36" s="298"/>
      <c r="AY36" s="295"/>
      <c r="AZ36" s="295"/>
      <c r="BA36" s="295"/>
      <c r="BB36" s="298"/>
      <c r="BC36" s="295"/>
      <c r="BD36" s="94"/>
      <c r="BE36" s="94"/>
      <c r="BF36" s="147"/>
      <c r="BG36" s="94"/>
      <c r="BH36" s="94"/>
      <c r="BI36" s="94"/>
      <c r="BJ36" s="147"/>
      <c r="BK36" s="295"/>
      <c r="BL36" s="295"/>
      <c r="BM36" s="295"/>
      <c r="BN36" s="147"/>
      <c r="BO36" s="295"/>
      <c r="BP36" s="295"/>
      <c r="BQ36" s="295"/>
      <c r="BR36" s="298"/>
      <c r="BS36" s="295"/>
      <c r="BT36" s="295"/>
      <c r="BU36" s="295"/>
      <c r="BV36" s="298"/>
      <c r="BW36" s="295">
        <f t="shared" ref="BW36:DV36" si="140">BW34/BV34-1</f>
        <v>0</v>
      </c>
      <c r="BX36" s="295">
        <f t="shared" si="140"/>
        <v>0</v>
      </c>
      <c r="BY36" s="295">
        <f t="shared" si="140"/>
        <v>0</v>
      </c>
      <c r="BZ36" s="298">
        <f t="shared" si="140"/>
        <v>8.9695290858725762</v>
      </c>
      <c r="CA36" s="295">
        <f t="shared" si="140"/>
        <v>-1.6671297582661837E-2</v>
      </c>
      <c r="CB36" s="295">
        <f t="shared" si="140"/>
        <v>-5.6513139304892324E-4</v>
      </c>
      <c r="CC36" s="295">
        <f t="shared" si="140"/>
        <v>1.4701724625388657E-2</v>
      </c>
      <c r="CD36" s="298">
        <f t="shared" si="140"/>
        <v>-3.3435497353023091E-2</v>
      </c>
      <c r="CE36" s="295">
        <f t="shared" si="140"/>
        <v>1.1530700490054668E-2</v>
      </c>
      <c r="CF36" s="295">
        <f t="shared" si="140"/>
        <v>8.8344257623254041E-3</v>
      </c>
      <c r="CG36" s="295">
        <f t="shared" si="140"/>
        <v>1.7514124293785294E-2</v>
      </c>
      <c r="CH36" s="298">
        <f t="shared" si="140"/>
        <v>-2.220988339811214E-2</v>
      </c>
      <c r="CI36" s="295">
        <f t="shared" si="140"/>
        <v>1.7603634298693827E-2</v>
      </c>
      <c r="CJ36" s="295">
        <f t="shared" si="140"/>
        <v>1.8973214285714191E-2</v>
      </c>
      <c r="CK36" s="295">
        <f t="shared" si="140"/>
        <v>2.6013143483023082E-2</v>
      </c>
      <c r="CL36" s="298">
        <f t="shared" si="140"/>
        <v>5.0707232452629203E-3</v>
      </c>
      <c r="CM36" s="295">
        <f t="shared" si="140"/>
        <v>3.7174721189590088E-3</v>
      </c>
      <c r="CN36" s="295">
        <f t="shared" si="140"/>
        <v>1.8253968253968189E-2</v>
      </c>
      <c r="CO36" s="295">
        <f t="shared" si="140"/>
        <v>2.3122889062094032E-2</v>
      </c>
      <c r="CP36" s="298">
        <f t="shared" si="140"/>
        <v>-1.244286439817166E-2</v>
      </c>
      <c r="CQ36" s="295">
        <f t="shared" si="140"/>
        <v>1.4142453072769401E-2</v>
      </c>
      <c r="CR36" s="295">
        <f t="shared" si="140"/>
        <v>1.3691683569979629E-2</v>
      </c>
      <c r="CS36" s="295">
        <f t="shared" si="140"/>
        <v>1.5257628814407287E-2</v>
      </c>
      <c r="CT36" s="298">
        <f t="shared" si="140"/>
        <v>-8.6228135008622475E-3</v>
      </c>
      <c r="CU36" s="295">
        <f t="shared" si="140"/>
        <v>2.2117296222664118E-2</v>
      </c>
      <c r="CV36" s="295">
        <f t="shared" si="140"/>
        <v>1.604668125455877E-2</v>
      </c>
      <c r="CW36" s="299">
        <f t="shared" si="140"/>
        <v>2.3929169657810334E-4</v>
      </c>
      <c r="CX36" s="295">
        <f t="shared" si="140"/>
        <v>-3.6363636363636376E-2</v>
      </c>
      <c r="CY36" s="295">
        <f t="shared" si="140"/>
        <v>2.482621648460781E-2</v>
      </c>
      <c r="CZ36" s="295">
        <f t="shared" si="140"/>
        <v>9.4476744186047235E-3</v>
      </c>
      <c r="DA36" s="295">
        <f t="shared" si="140"/>
        <v>-7.1994240460763193E-3</v>
      </c>
      <c r="DB36" s="298">
        <f t="shared" si="140"/>
        <v>-4.5927000241721139E-3</v>
      </c>
      <c r="DC36" s="295">
        <f t="shared" si="140"/>
        <v>8.0135988343856823E-3</v>
      </c>
      <c r="DD36" s="295">
        <f t="shared" si="140"/>
        <v>7.2271741748974883E-4</v>
      </c>
      <c r="DE36" s="295">
        <f t="shared" si="140"/>
        <v>6.9812229176697826E-3</v>
      </c>
      <c r="DF36" s="298">
        <f t="shared" si="140"/>
        <v>-1.0996892182643991E-2</v>
      </c>
      <c r="DG36" s="1130">
        <f t="shared" si="140"/>
        <v>5.8013052936911613E-3</v>
      </c>
      <c r="DH36" s="1130">
        <f t="shared" si="140"/>
        <v>1.4419610670513006E-3</v>
      </c>
      <c r="DI36" s="299">
        <f t="shared" si="140"/>
        <v>-2.3758099352051865E-2</v>
      </c>
      <c r="DJ36" s="298">
        <f t="shared" si="140"/>
        <v>-1.941986234021631E-2</v>
      </c>
      <c r="DK36" s="1130">
        <f t="shared" si="140"/>
        <v>-2.2562045625470484E-3</v>
      </c>
      <c r="DL36" s="1130">
        <f t="shared" si="140"/>
        <v>7.2864321608039351E-3</v>
      </c>
      <c r="DM36" s="299">
        <f t="shared" si="140"/>
        <v>7.48316288351214E-3</v>
      </c>
      <c r="DN36" s="1130">
        <f t="shared" si="140"/>
        <v>-5.4468927952463497E-3</v>
      </c>
      <c r="DO36" s="1130">
        <f t="shared" si="140"/>
        <v>-8.7129698780183951E-3</v>
      </c>
      <c r="DP36" s="1130">
        <f t="shared" si="140"/>
        <v>-1.0045203415369186E-2</v>
      </c>
      <c r="DQ36" s="299">
        <f t="shared" si="140"/>
        <v>1.1415525114155223E-2</v>
      </c>
      <c r="DR36" s="1130">
        <f t="shared" si="140"/>
        <v>1.8058690744920947E-2</v>
      </c>
      <c r="DS36" s="1130">
        <f t="shared" si="140"/>
        <v>2.6607538802660757E-2</v>
      </c>
      <c r="DT36" s="1130">
        <f t="shared" si="140"/>
        <v>2.5197984161267062E-2</v>
      </c>
      <c r="DU36" s="1130">
        <f t="shared" si="140"/>
        <v>4.3071161048689133E-2</v>
      </c>
      <c r="DV36" s="1130">
        <f t="shared" si="140"/>
        <v>-2.9622980251346465E-2</v>
      </c>
      <c r="DW36" s="1130">
        <f t="shared" ref="DW36" ca="1" si="141">DW34/DV34-1</f>
        <v>4.0785545165220594E-3</v>
      </c>
      <c r="DX36" s="1130">
        <f t="shared" ref="DX36" ca="1" si="142">DX34/DW34-1</f>
        <v>6.6979523841883548E-3</v>
      </c>
      <c r="DY36" s="299">
        <f t="shared" ref="DY36" ca="1" si="143">DY34/DX34-1</f>
        <v>7.1053004133789788E-3</v>
      </c>
      <c r="DZ36" s="94"/>
    </row>
    <row r="37" spans="1:130" hidden="1" outlineLevel="1">
      <c r="A37" s="748" t="s">
        <v>1237</v>
      </c>
      <c r="B37" s="94"/>
      <c r="C37" s="94"/>
      <c r="D37" s="295"/>
      <c r="E37" s="295"/>
      <c r="F37" s="295"/>
      <c r="G37" s="295"/>
      <c r="H37" s="295"/>
      <c r="I37" s="295"/>
      <c r="J37" s="295"/>
      <c r="K37" s="295"/>
      <c r="L37" s="295"/>
      <c r="M37" s="295"/>
      <c r="N37" s="295">
        <f>N34-IS!N48</f>
        <v>0</v>
      </c>
      <c r="O37" s="295">
        <f>O34-IS!O48</f>
        <v>0</v>
      </c>
      <c r="P37" s="295">
        <f>P34-IS!P48</f>
        <v>0</v>
      </c>
      <c r="Q37" s="1130">
        <f>Q34-IS!Q48</f>
        <v>0</v>
      </c>
      <c r="R37" s="295">
        <f>R34-IS!R48</f>
        <v>0</v>
      </c>
      <c r="S37" s="295">
        <f>S34-IS!S48</f>
        <v>0</v>
      </c>
      <c r="T37" s="1130">
        <f>T34-IS!T48</f>
        <v>0</v>
      </c>
      <c r="U37" s="295">
        <f>U34-IS!U48</f>
        <v>0</v>
      </c>
      <c r="V37" s="435">
        <f>V34-IS!V48</f>
        <v>0</v>
      </c>
      <c r="W37" s="435">
        <f>W34-IS!W48</f>
        <v>0</v>
      </c>
      <c r="X37" s="435">
        <f>X34-IS!X48</f>
        <v>0</v>
      </c>
      <c r="Y37" s="435">
        <f>Y34-IS!Y48</f>
        <v>0</v>
      </c>
      <c r="Z37" s="435">
        <f ca="1">Z34-IS!Z48</f>
        <v>0</v>
      </c>
      <c r="AA37" s="295">
        <f ca="1">AA34-IS!AA48</f>
        <v>0</v>
      </c>
      <c r="AB37" s="295">
        <f ca="1">AB34-IS!AB48</f>
        <v>0</v>
      </c>
      <c r="AC37" s="295">
        <f ca="1">AC34-IS!AC48</f>
        <v>0</v>
      </c>
      <c r="AD37" s="295">
        <f ca="1">AD34-IS!AD48</f>
        <v>0</v>
      </c>
      <c r="AE37" s="295">
        <f ca="1">AE34-IS!AE48</f>
        <v>0</v>
      </c>
      <c r="AF37" s="295">
        <f ca="1">AF34-IS!AF48</f>
        <v>0</v>
      </c>
      <c r="AG37" s="295">
        <f ca="1">AG34-IS!AG48</f>
        <v>0</v>
      </c>
      <c r="AH37" s="1243"/>
      <c r="AI37" s="295"/>
      <c r="AJ37" s="295"/>
      <c r="AK37" s="295"/>
      <c r="AL37" s="295"/>
      <c r="AM37" s="295"/>
      <c r="AN37" s="295"/>
      <c r="AO37" s="295"/>
      <c r="AP37" s="298"/>
      <c r="AQ37" s="295"/>
      <c r="AR37" s="295"/>
      <c r="AS37" s="295"/>
      <c r="AT37" s="298"/>
      <c r="AU37" s="295"/>
      <c r="AV37" s="295"/>
      <c r="AW37" s="295"/>
      <c r="AX37" s="298"/>
      <c r="AY37" s="295"/>
      <c r="AZ37" s="295"/>
      <c r="BA37" s="295"/>
      <c r="BB37" s="298"/>
      <c r="BC37" s="295"/>
      <c r="BD37" s="94"/>
      <c r="BE37" s="94"/>
      <c r="BF37" s="147"/>
      <c r="BG37" s="94"/>
      <c r="BH37" s="94"/>
      <c r="BI37" s="94"/>
      <c r="BJ37" s="147"/>
      <c r="BK37" s="295"/>
      <c r="BL37" s="295"/>
      <c r="BM37" s="295"/>
      <c r="BN37" s="147"/>
      <c r="BO37" s="295"/>
      <c r="BP37" s="295"/>
      <c r="BQ37" s="295"/>
      <c r="BR37" s="298"/>
      <c r="BS37" s="295"/>
      <c r="BT37" s="295"/>
      <c r="BU37" s="295"/>
      <c r="BV37" s="298"/>
      <c r="BW37" s="295"/>
      <c r="BX37" s="295"/>
      <c r="BY37" s="295"/>
      <c r="BZ37" s="298"/>
      <c r="CA37" s="295"/>
      <c r="CB37" s="295"/>
      <c r="CC37" s="295"/>
      <c r="CD37" s="298"/>
      <c r="CE37" s="295"/>
      <c r="CF37" s="295"/>
      <c r="CG37" s="295"/>
      <c r="CH37" s="298"/>
      <c r="CI37" s="295"/>
      <c r="CJ37" s="295"/>
      <c r="CK37" s="295"/>
      <c r="CL37" s="298"/>
      <c r="CM37" s="295"/>
      <c r="CN37" s="295"/>
      <c r="CO37" s="295"/>
      <c r="CP37" s="298"/>
      <c r="CQ37" s="295"/>
      <c r="CR37" s="295"/>
      <c r="CS37" s="295"/>
      <c r="CT37" s="298"/>
      <c r="CU37" s="295"/>
      <c r="CV37" s="295"/>
      <c r="CW37" s="299"/>
      <c r="CX37" s="295"/>
      <c r="CY37" s="295"/>
      <c r="CZ37" s="295"/>
      <c r="DA37" s="295"/>
      <c r="DB37" s="298"/>
      <c r="DC37" s="295"/>
      <c r="DD37" s="295"/>
      <c r="DE37" s="295"/>
      <c r="DF37" s="298"/>
      <c r="DG37" s="1130"/>
      <c r="DH37" s="1130"/>
      <c r="DI37" s="299"/>
      <c r="DJ37" s="298"/>
      <c r="DK37" s="1130"/>
      <c r="DL37" s="1130"/>
      <c r="DM37" s="299"/>
      <c r="DN37" s="1130"/>
      <c r="DO37" s="1130"/>
      <c r="DP37" s="1130"/>
      <c r="DQ37" s="299"/>
      <c r="DR37" s="1130"/>
      <c r="DS37" s="1130"/>
      <c r="DT37" s="1130"/>
      <c r="DU37" s="1130"/>
      <c r="DV37" s="1130"/>
      <c r="DW37" s="1130"/>
      <c r="DX37" s="1130"/>
      <c r="DY37" s="299"/>
      <c r="DZ37" s="94"/>
    </row>
    <row r="38" spans="1:130" hidden="1" outlineLevel="1">
      <c r="A38" s="749"/>
      <c r="B38" s="87"/>
      <c r="C38" s="87"/>
      <c r="D38" s="105"/>
      <c r="E38" s="105"/>
      <c r="F38" s="105"/>
      <c r="G38" s="105"/>
      <c r="H38" s="105"/>
      <c r="I38" s="105"/>
      <c r="J38" s="105"/>
      <c r="K38" s="105"/>
      <c r="L38" s="105"/>
      <c r="M38" s="105"/>
      <c r="N38" s="105"/>
      <c r="O38" s="105"/>
      <c r="P38" s="105"/>
      <c r="Q38" s="1132"/>
      <c r="R38" s="105"/>
      <c r="S38" s="105"/>
      <c r="T38" s="1132"/>
      <c r="U38" s="105"/>
      <c r="V38" s="105"/>
      <c r="W38" s="105"/>
      <c r="X38" s="105"/>
      <c r="Y38" s="105"/>
      <c r="Z38" s="105"/>
      <c r="AA38" s="105"/>
      <c r="AB38" s="105"/>
      <c r="AC38" s="105"/>
      <c r="AD38" s="105"/>
      <c r="AE38" s="105"/>
      <c r="AF38" s="105"/>
      <c r="AG38" s="105"/>
      <c r="AH38" s="1244"/>
      <c r="AI38" s="105"/>
      <c r="AJ38" s="105"/>
      <c r="AK38" s="105"/>
      <c r="AL38" s="105"/>
      <c r="AM38" s="750"/>
      <c r="AN38" s="105"/>
      <c r="AO38" s="105"/>
      <c r="AP38" s="306"/>
      <c r="AQ38" s="105"/>
      <c r="AR38" s="105"/>
      <c r="AS38" s="105"/>
      <c r="AT38" s="306"/>
      <c r="AU38" s="105"/>
      <c r="AV38" s="105"/>
      <c r="AW38" s="105"/>
      <c r="AX38" s="306"/>
      <c r="AY38" s="105"/>
      <c r="AZ38" s="105"/>
      <c r="BA38" s="105"/>
      <c r="BB38" s="306"/>
      <c r="BC38" s="105"/>
      <c r="BD38" s="143"/>
      <c r="BE38" s="143"/>
      <c r="BF38" s="159"/>
      <c r="BG38" s="143"/>
      <c r="BH38" s="143"/>
      <c r="BI38" s="143"/>
      <c r="BJ38" s="88"/>
      <c r="BK38" s="105"/>
      <c r="BL38" s="105"/>
      <c r="BM38" s="105"/>
      <c r="BN38" s="88"/>
      <c r="BO38" s="105"/>
      <c r="BP38" s="105"/>
      <c r="BQ38" s="105"/>
      <c r="BR38" s="306"/>
      <c r="BS38" s="105"/>
      <c r="BT38" s="105"/>
      <c r="BU38" s="105"/>
      <c r="BV38" s="306"/>
      <c r="BW38" s="105"/>
      <c r="BX38" s="105"/>
      <c r="BY38" s="105"/>
      <c r="BZ38" s="306"/>
      <c r="CA38" s="105"/>
      <c r="CB38" s="105"/>
      <c r="CC38" s="105"/>
      <c r="CD38" s="306"/>
      <c r="CE38" s="105"/>
      <c r="CF38" s="105"/>
      <c r="CG38" s="105"/>
      <c r="CH38" s="306"/>
      <c r="CI38" s="105"/>
      <c r="CJ38" s="105"/>
      <c r="CK38" s="105"/>
      <c r="CL38" s="306"/>
      <c r="CM38" s="105"/>
      <c r="CN38" s="105"/>
      <c r="CO38" s="105"/>
      <c r="CP38" s="306"/>
      <c r="CQ38" s="105"/>
      <c r="CR38" s="105"/>
      <c r="CS38" s="105"/>
      <c r="CT38" s="306"/>
      <c r="CU38" s="105"/>
      <c r="CV38" s="105"/>
      <c r="CW38" s="307"/>
      <c r="CX38" s="105"/>
      <c r="CY38" s="105"/>
      <c r="CZ38" s="105"/>
      <c r="DA38" s="105"/>
      <c r="DB38" s="306"/>
      <c r="DC38" s="105"/>
      <c r="DD38" s="105"/>
      <c r="DE38" s="105"/>
      <c r="DF38" s="306"/>
      <c r="DG38" s="1132"/>
      <c r="DH38" s="1132"/>
      <c r="DI38" s="307"/>
      <c r="DJ38" s="306"/>
      <c r="DK38" s="1132"/>
      <c r="DL38" s="1132"/>
      <c r="DM38" s="307"/>
      <c r="DN38" s="1132"/>
      <c r="DO38" s="1132"/>
      <c r="DP38" s="1132"/>
      <c r="DQ38" s="307"/>
      <c r="DR38" s="1132"/>
      <c r="DS38" s="1132"/>
      <c r="DT38" s="1132"/>
      <c r="DU38" s="1132"/>
      <c r="DV38" s="1132"/>
      <c r="DW38" s="1132"/>
      <c r="DX38" s="1132"/>
      <c r="DY38" s="307"/>
      <c r="DZ38" s="87"/>
    </row>
    <row r="39" spans="1:130" hidden="1" outlineLevel="1">
      <c r="A39" s="198" t="s">
        <v>505</v>
      </c>
      <c r="B39" s="139"/>
      <c r="C39" s="139"/>
      <c r="D39" s="769"/>
      <c r="E39" s="197"/>
      <c r="F39" s="197"/>
      <c r="G39" s="197"/>
      <c r="H39" s="197"/>
      <c r="I39" s="197"/>
      <c r="J39" s="197"/>
      <c r="K39" s="197"/>
      <c r="L39" s="197"/>
      <c r="M39" s="197"/>
      <c r="N39" s="197"/>
      <c r="O39" s="197"/>
      <c r="P39" s="197"/>
      <c r="Q39" s="1136"/>
      <c r="R39" s="197"/>
      <c r="S39" s="769"/>
      <c r="T39" s="1136"/>
      <c r="U39" s="197"/>
      <c r="V39" s="197"/>
      <c r="W39" s="197"/>
      <c r="X39" s="197"/>
      <c r="Y39" s="197"/>
      <c r="Z39" s="197"/>
      <c r="AA39" s="197"/>
      <c r="AB39" s="197"/>
      <c r="AC39" s="197"/>
      <c r="AD39" s="197"/>
      <c r="AE39" s="197"/>
      <c r="AF39" s="197"/>
      <c r="AG39" s="197"/>
      <c r="AH39" s="3047"/>
      <c r="AI39" s="769"/>
      <c r="AJ39" s="769"/>
      <c r="AK39" s="769"/>
      <c r="AL39" s="769"/>
      <c r="AM39" s="771"/>
      <c r="AN39" s="769"/>
      <c r="AO39" s="769"/>
      <c r="AP39" s="772"/>
      <c r="AQ39" s="769"/>
      <c r="AR39" s="769"/>
      <c r="AS39" s="769"/>
      <c r="AT39" s="772"/>
      <c r="AU39" s="769"/>
      <c r="AV39" s="769"/>
      <c r="AW39" s="769"/>
      <c r="AX39" s="772"/>
      <c r="AY39" s="769"/>
      <c r="AZ39" s="769"/>
      <c r="BA39" s="769"/>
      <c r="BB39" s="770"/>
      <c r="BC39" s="197"/>
      <c r="BD39" s="197"/>
      <c r="BE39" s="197"/>
      <c r="BF39" s="770"/>
      <c r="BG39" s="197"/>
      <c r="BH39" s="197"/>
      <c r="BI39" s="197"/>
      <c r="BJ39" s="770"/>
      <c r="BK39" s="197"/>
      <c r="BL39" s="197"/>
      <c r="BM39" s="197"/>
      <c r="BN39" s="770"/>
      <c r="BO39" s="197"/>
      <c r="BP39" s="197"/>
      <c r="BQ39" s="197"/>
      <c r="BR39" s="770"/>
      <c r="BS39" s="197"/>
      <c r="BT39" s="197"/>
      <c r="BU39" s="197"/>
      <c r="BV39" s="772"/>
      <c r="BW39" s="769"/>
      <c r="BX39" s="769"/>
      <c r="BY39" s="769"/>
      <c r="BZ39" s="772"/>
      <c r="CA39" s="769"/>
      <c r="CB39" s="769"/>
      <c r="CC39" s="769"/>
      <c r="CD39" s="772"/>
      <c r="CE39" s="769"/>
      <c r="CF39" s="769"/>
      <c r="CG39" s="769"/>
      <c r="CH39" s="772"/>
      <c r="CI39" s="769"/>
      <c r="CJ39" s="769"/>
      <c r="CK39" s="769"/>
      <c r="CL39" s="772"/>
      <c r="CM39" s="769"/>
      <c r="CN39" s="769"/>
      <c r="CO39" s="769"/>
      <c r="CP39" s="772"/>
      <c r="CQ39" s="769"/>
      <c r="CR39" s="769"/>
      <c r="CS39" s="769"/>
      <c r="CT39" s="772"/>
      <c r="CU39" s="769"/>
      <c r="CV39" s="769"/>
      <c r="CW39" s="773"/>
      <c r="CX39" s="769"/>
      <c r="CY39" s="769"/>
      <c r="CZ39" s="769"/>
      <c r="DA39" s="769"/>
      <c r="DB39" s="772"/>
      <c r="DC39" s="769"/>
      <c r="DD39" s="769"/>
      <c r="DE39" s="769"/>
      <c r="DF39" s="772"/>
      <c r="DG39" s="1546"/>
      <c r="DH39" s="1546"/>
      <c r="DI39" s="773"/>
      <c r="DJ39" s="772"/>
      <c r="DK39" s="1546"/>
      <c r="DL39" s="1546"/>
      <c r="DM39" s="773"/>
      <c r="DN39" s="1546"/>
      <c r="DO39" s="1546"/>
      <c r="DP39" s="1546"/>
      <c r="DQ39" s="773"/>
      <c r="DR39" s="1546"/>
      <c r="DS39" s="1546"/>
      <c r="DT39" s="1546"/>
      <c r="DU39" s="1546"/>
      <c r="DV39" s="1546"/>
      <c r="DW39" s="1546"/>
      <c r="DX39" s="1546"/>
      <c r="DY39" s="773"/>
      <c r="DZ39" s="87"/>
    </row>
    <row r="40" spans="1:130" hidden="1" outlineLevel="1">
      <c r="A40" s="652" t="s">
        <v>506</v>
      </c>
      <c r="B40" s="169"/>
      <c r="C40" s="169"/>
      <c r="D40" s="169"/>
      <c r="E40" s="169"/>
      <c r="F40" s="169"/>
      <c r="G40" s="169"/>
      <c r="H40" s="169"/>
      <c r="I40" s="169"/>
      <c r="J40" s="169"/>
      <c r="K40" s="169"/>
      <c r="L40" s="169"/>
      <c r="M40" s="169"/>
      <c r="N40" s="169">
        <f>SUM(BZ40:CC40)</f>
        <v>8092</v>
      </c>
      <c r="O40" s="169">
        <f>SUM(CD40:CG40)</f>
        <v>7672</v>
      </c>
      <c r="P40" s="169">
        <f>SUM(CH40:CK40)</f>
        <v>7728</v>
      </c>
      <c r="Q40" s="1051">
        <f>SUM(CL40:CO40)</f>
        <v>6344</v>
      </c>
      <c r="R40" s="169">
        <f>SUM(CP40:CS40)</f>
        <v>6736.5</v>
      </c>
      <c r="S40" s="169">
        <f>SUM(CT40:CW40)</f>
        <v>7046</v>
      </c>
      <c r="T40" s="1051">
        <f>SUM(CX40:DA40)</f>
        <v>6980</v>
      </c>
      <c r="U40" s="169">
        <f>SUM(DB40:DE40)</f>
        <v>6823</v>
      </c>
      <c r="V40" s="169">
        <f>SUM(DF40:DI40)</f>
        <v>6378</v>
      </c>
      <c r="W40" s="169">
        <f>SUM(DJ40:DM40)</f>
        <v>5174</v>
      </c>
      <c r="X40" s="169">
        <f>SUM(DN40:DQ40)</f>
        <v>4609</v>
      </c>
      <c r="Y40" s="169">
        <f>SUM(DR40:DU40)</f>
        <v>4621</v>
      </c>
      <c r="Z40" s="169">
        <f ca="1">SUM(DV40:DY40)</f>
        <v>4673.9413185508929</v>
      </c>
      <c r="AA40" s="169">
        <f ca="1">AA45*AA26</f>
        <v>4597.7460196771408</v>
      </c>
      <c r="AB40" s="169">
        <f ca="1">AB45*AB26</f>
        <v>4501.4023993674818</v>
      </c>
      <c r="AC40" s="169">
        <f t="shared" ref="AC40:AG40" ca="1" si="144">AC45*AC26</f>
        <v>4406.7163465240037</v>
      </c>
      <c r="AD40" s="169">
        <f t="shared" ca="1" si="144"/>
        <v>4313.7431507836745</v>
      </c>
      <c r="AE40" s="169">
        <f t="shared" ca="1" si="144"/>
        <v>4222.5178581630253</v>
      </c>
      <c r="AF40" s="169">
        <f t="shared" ca="1" si="144"/>
        <v>4133.0822123661355</v>
      </c>
      <c r="AG40" s="169">
        <f t="shared" ca="1" si="144"/>
        <v>4056.0386508844108</v>
      </c>
      <c r="AH40" s="532"/>
      <c r="AI40" s="169"/>
      <c r="AJ40" s="169"/>
      <c r="AK40" s="169"/>
      <c r="AL40" s="169"/>
      <c r="AM40" s="761"/>
      <c r="AN40" s="317"/>
      <c r="AO40" s="169"/>
      <c r="AP40" s="178"/>
      <c r="AQ40" s="169"/>
      <c r="AR40" s="169"/>
      <c r="AS40" s="169"/>
      <c r="AT40" s="178"/>
      <c r="AU40" s="169"/>
      <c r="AV40" s="169"/>
      <c r="AW40" s="169"/>
      <c r="AX40" s="178"/>
      <c r="AY40" s="169"/>
      <c r="AZ40" s="169"/>
      <c r="BA40" s="169"/>
      <c r="BB40" s="178"/>
      <c r="BC40" s="169"/>
      <c r="BD40" s="169"/>
      <c r="BE40" s="169"/>
      <c r="BF40" s="178"/>
      <c r="BG40" s="169"/>
      <c r="BH40" s="169"/>
      <c r="BI40" s="169"/>
      <c r="BJ40" s="178"/>
      <c r="BK40" s="169"/>
      <c r="BL40" s="169"/>
      <c r="BM40" s="169"/>
      <c r="BN40" s="178"/>
      <c r="BO40" s="169"/>
      <c r="BP40" s="169"/>
      <c r="BQ40" s="169"/>
      <c r="BR40" s="178"/>
      <c r="BS40" s="169"/>
      <c r="BT40" s="169"/>
      <c r="BU40" s="169"/>
      <c r="BV40" s="178"/>
      <c r="BW40" s="169"/>
      <c r="BX40" s="169"/>
      <c r="BY40" s="169"/>
      <c r="BZ40" s="178">
        <f>Wireline!BZ93-Wireline!BZ94</f>
        <v>2008.75</v>
      </c>
      <c r="CA40" s="169">
        <f>Wireline!CA93-Wireline!CA94</f>
        <v>2034.75</v>
      </c>
      <c r="CB40" s="169">
        <f>Wireline!CB93-Wireline!CB94</f>
        <v>2003.75</v>
      </c>
      <c r="CC40" s="169">
        <f>Wireline!CC93-Wireline!CC94</f>
        <v>2044.75</v>
      </c>
      <c r="CD40" s="178">
        <f>Wireline!CD93-Wireline!CD94</f>
        <v>1889.25</v>
      </c>
      <c r="CE40" s="169">
        <f>Wireline!CE93-Wireline!CE94</f>
        <v>1892.25</v>
      </c>
      <c r="CF40" s="169">
        <f>Wireline!CF93-Wireline!CF94</f>
        <v>1916.25</v>
      </c>
      <c r="CG40" s="169">
        <f>Wireline!CG93-Wireline!CG94</f>
        <v>1974.25</v>
      </c>
      <c r="CH40" s="178">
        <f>Wireline!CH93-Wireline!CH94</f>
        <v>1883.25</v>
      </c>
      <c r="CI40" s="169">
        <f>Wireline!CI93-Wireline!CI94</f>
        <v>1919.25</v>
      </c>
      <c r="CJ40" s="169">
        <f>Wireline!CJ93-Wireline!CJ94</f>
        <v>1942.25</v>
      </c>
      <c r="CK40" s="169">
        <f>Wireline!CK93-Wireline!CK94</f>
        <v>1983.25</v>
      </c>
      <c r="CL40" s="178">
        <f>Wireline!CL93-Wireline!CL94</f>
        <v>1524.25</v>
      </c>
      <c r="CM40" s="169">
        <f>Wireline!CM93-Wireline!CM94</f>
        <v>1565.25</v>
      </c>
      <c r="CN40" s="169">
        <f>Wireline!CN93-Wireline!CN94</f>
        <v>1602.25</v>
      </c>
      <c r="CO40" s="169">
        <f>Wireline!CO93-Wireline!CO94</f>
        <v>1652.25</v>
      </c>
      <c r="CP40" s="178">
        <f>Wireline!CP93-Wireline!CP94</f>
        <v>1628.75</v>
      </c>
      <c r="CQ40" s="169">
        <f>Wireline!CQ93-Wireline!CQ94</f>
        <v>1666.75</v>
      </c>
      <c r="CR40" s="169">
        <f>Wireline!CR93-Wireline!CR94</f>
        <v>1712</v>
      </c>
      <c r="CS40" s="169">
        <f>Wireline!CS93-Wireline!CS94</f>
        <v>1729</v>
      </c>
      <c r="CT40" s="178">
        <f>Wireline!CT93-Wireline!CT94</f>
        <v>1752.75</v>
      </c>
      <c r="CU40" s="169">
        <f>Wireline!CU93-Wireline!CU94</f>
        <v>1763.75</v>
      </c>
      <c r="CV40" s="169">
        <f>Wireline!CV93-Wireline!CV94</f>
        <v>1766.75</v>
      </c>
      <c r="CW40" s="179">
        <f>Wireline!CW93-Wireline!CW94</f>
        <v>1762.75</v>
      </c>
      <c r="CX40" s="169">
        <f>Wireline!CX93-Wireline!CX94</f>
        <v>1747</v>
      </c>
      <c r="CY40" s="169">
        <f>Wireline!CY93-Wireline!CY94</f>
        <v>1759</v>
      </c>
      <c r="CZ40" s="169">
        <f>Wireline!CZ93-Wireline!CZ94</f>
        <v>1728</v>
      </c>
      <c r="DA40" s="169">
        <f>Wireline!DA93-Wireline!DA94</f>
        <v>1746</v>
      </c>
      <c r="DB40" s="178">
        <f>Wireline!DB93-Wireline!DB94</f>
        <v>1719</v>
      </c>
      <c r="DC40" s="169">
        <f>Wireline!DC93-Wireline!DC94</f>
        <v>1709</v>
      </c>
      <c r="DD40" s="169">
        <f>Wireline!DD93-Wireline!DD94</f>
        <v>1698</v>
      </c>
      <c r="DE40" s="169">
        <f>Wireline!DE93-Wireline!DE94</f>
        <v>1697</v>
      </c>
      <c r="DF40" s="178">
        <f>Wireline!DF93-Wireline!DF94</f>
        <v>1657</v>
      </c>
      <c r="DG40" s="1051">
        <f>Wireline!DG93-Wireline!DG94</f>
        <v>1629</v>
      </c>
      <c r="DH40" s="1051">
        <f>Wireline!DH93-Wireline!DH94</f>
        <v>1602</v>
      </c>
      <c r="DI40" s="179">
        <f>Wireline!DI93-Wireline!DI94</f>
        <v>1490</v>
      </c>
      <c r="DJ40" s="178">
        <f>Wireline!DJ93-Wireline!DJ94</f>
        <v>1370</v>
      </c>
      <c r="DK40" s="1051">
        <f>Wireline!DK93-Wireline!DK94</f>
        <v>1330</v>
      </c>
      <c r="DL40" s="2154">
        <f>Wireline!DL93-Wireline!DL94</f>
        <v>1247</v>
      </c>
      <c r="DM40" s="2475">
        <f>Wireline!DM93-Wireline!DM94</f>
        <v>1227</v>
      </c>
      <c r="DN40" s="2154">
        <f>Wireline!DN93-Wireline!DN94</f>
        <v>1212</v>
      </c>
      <c r="DO40" s="2154">
        <f>Wireline!DO93-Wireline!DO94</f>
        <v>1186</v>
      </c>
      <c r="DP40" s="2154">
        <f>Wireline!DP93-Wireline!DP94</f>
        <v>1122</v>
      </c>
      <c r="DQ40" s="2475">
        <f>Wireline!DQ93-Wireline!DQ94</f>
        <v>1089</v>
      </c>
      <c r="DR40" s="2154">
        <f>Wireline!DR93-Wireline!DR94</f>
        <v>1116</v>
      </c>
      <c r="DS40" s="2154">
        <f>Wireline!DS93-Wireline!DS94</f>
        <v>1176</v>
      </c>
      <c r="DT40" s="2154">
        <f>Wireline!DT93-Wireline!DT94</f>
        <v>1173</v>
      </c>
      <c r="DU40" s="2154">
        <f>Wireline!DU93-Wireline!DU94</f>
        <v>1156</v>
      </c>
      <c r="DV40" s="2154">
        <f>Wireline!DV93-Wireline!DV94</f>
        <v>1158</v>
      </c>
      <c r="DW40" s="1051">
        <f t="shared" ref="DW40:DY40" ca="1" si="145">DW45*DW26</f>
        <v>1163.2044101800952</v>
      </c>
      <c r="DX40" s="1051">
        <f t="shared" ca="1" si="145"/>
        <v>1171.786143076381</v>
      </c>
      <c r="DY40" s="179">
        <f t="shared" ca="1" si="145"/>
        <v>1180.9507652944162</v>
      </c>
      <c r="DZ40" s="109"/>
    </row>
    <row r="41" spans="1:130" hidden="1" outlineLevel="1">
      <c r="A41" s="176" t="s">
        <v>507</v>
      </c>
      <c r="B41" s="94"/>
      <c r="C41" s="94"/>
      <c r="D41" s="94"/>
      <c r="E41" s="94"/>
      <c r="F41" s="94"/>
      <c r="G41" s="94"/>
      <c r="H41" s="94"/>
      <c r="I41" s="94"/>
      <c r="J41" s="94"/>
      <c r="K41" s="94"/>
      <c r="L41" s="94"/>
      <c r="M41" s="94"/>
      <c r="N41" s="94">
        <f>N40/IS!N30</f>
        <v>9.2770576860901649E-2</v>
      </c>
      <c r="O41" s="94">
        <f>O40/IS!O30</f>
        <v>8.3052774018944522E-2</v>
      </c>
      <c r="P41" s="94">
        <f>P40/IS!P30</f>
        <v>7.9591332289692673E-2</v>
      </c>
      <c r="Q41" s="1045">
        <f>Q40/IS!Q30</f>
        <v>6.1945260855555448E-2</v>
      </c>
      <c r="R41" s="94">
        <f>R40/IS!R30</f>
        <v>6.4509796410855538E-2</v>
      </c>
      <c r="S41" s="94">
        <f>S40/IS!S30</f>
        <v>6.3549041713641494E-2</v>
      </c>
      <c r="T41" s="1045">
        <f>T40/IS!T30</f>
        <v>6.0386368945141836E-2</v>
      </c>
      <c r="U41" s="94">
        <f>U40/IS!U30</f>
        <v>5.6881559970321217E-2</v>
      </c>
      <c r="V41" s="94">
        <f>V40/IS!V30</f>
        <v>5.029056243741277E-2</v>
      </c>
      <c r="W41" s="94">
        <f>W40/IS!W30</f>
        <v>3.9978056111450229E-2</v>
      </c>
      <c r="X41" s="94">
        <f>X40/IS!X30</f>
        <v>3.6738272687417799E-2</v>
      </c>
      <c r="Y41" s="94">
        <f>Y40/IS!Y30</f>
        <v>3.6664709522827174E-2</v>
      </c>
      <c r="Z41" s="94">
        <f ca="1">Z40/IS!Z30</f>
        <v>3.6247468013878341E-2</v>
      </c>
      <c r="AA41" s="94">
        <f ca="1">AA40/IS!AA30</f>
        <v>3.5631495481223359E-2</v>
      </c>
      <c r="AB41" s="94">
        <f ca="1">AB40/IS!AB30</f>
        <v>3.4718919645595654E-2</v>
      </c>
      <c r="AC41" s="94">
        <f ca="1">AC40/IS!AC30</f>
        <v>3.3809238908396495E-2</v>
      </c>
      <c r="AD41" s="94">
        <f ca="1">AD40/IS!AD30</f>
        <v>3.2906168195570393E-2</v>
      </c>
      <c r="AE41" s="94">
        <f ca="1">AE40/IS!AE30</f>
        <v>3.2009366829631659E-2</v>
      </c>
      <c r="AF41" s="94">
        <f ca="1">AF40/IS!AF30</f>
        <v>3.111725009460841E-2</v>
      </c>
      <c r="AG41" s="94">
        <f ca="1">AG40/IS!AG30</f>
        <v>3.0306954733177377E-2</v>
      </c>
      <c r="AH41" s="138"/>
      <c r="AI41" s="94"/>
      <c r="AJ41" s="94"/>
      <c r="AK41" s="94"/>
      <c r="AL41" s="94"/>
      <c r="AM41" s="94"/>
      <c r="AN41" s="94"/>
      <c r="AO41" s="94"/>
      <c r="AP41" s="147"/>
      <c r="AQ41" s="94"/>
      <c r="AR41" s="94"/>
      <c r="AS41" s="94"/>
      <c r="AT41" s="147"/>
      <c r="AU41" s="94"/>
      <c r="AV41" s="94"/>
      <c r="AW41" s="94"/>
      <c r="AX41" s="147"/>
      <c r="AY41" s="94"/>
      <c r="AZ41" s="94"/>
      <c r="BA41" s="94"/>
      <c r="BB41" s="147"/>
      <c r="BC41" s="94"/>
      <c r="BD41" s="94"/>
      <c r="BE41" s="94"/>
      <c r="BF41" s="147"/>
      <c r="BG41" s="94"/>
      <c r="BH41" s="94"/>
      <c r="BI41" s="94"/>
      <c r="BJ41" s="147"/>
      <c r="BK41" s="94"/>
      <c r="BL41" s="94"/>
      <c r="BM41" s="94"/>
      <c r="BN41" s="147"/>
      <c r="BO41" s="94"/>
      <c r="BP41" s="94"/>
      <c r="BQ41" s="94"/>
      <c r="BR41" s="147"/>
      <c r="BS41" s="94"/>
      <c r="BT41" s="94"/>
      <c r="BU41" s="94"/>
      <c r="BV41" s="147"/>
      <c r="BW41" s="94"/>
      <c r="BX41" s="94"/>
      <c r="BY41" s="94"/>
      <c r="BZ41" s="147">
        <f>BZ40/IS!BW30</f>
        <v>9.4895903366052636E-2</v>
      </c>
      <c r="CA41" s="94">
        <f>CA40/IS!BX30</f>
        <v>9.4275587267757033E-2</v>
      </c>
      <c r="CB41" s="94">
        <f>CB40/IS!BY30</f>
        <v>9.0413771320277947E-2</v>
      </c>
      <c r="CC41" s="94">
        <f>CC40/IS!BZ30</f>
        <v>9.1639403038587364E-2</v>
      </c>
      <c r="CD41" s="147">
        <f>CD40/IS!CA30</f>
        <v>8.467796154363319E-2</v>
      </c>
      <c r="CE41" s="94">
        <f>CE40/IS!CB30</f>
        <v>8.2271739130434784E-2</v>
      </c>
      <c r="CF41" s="94">
        <f>CF40/IS!CC30</f>
        <v>8.1566849699910612E-2</v>
      </c>
      <c r="CG41" s="94">
        <f>CG40/IS!CD30</f>
        <v>8.3757583471214633E-2</v>
      </c>
      <c r="CH41" s="147">
        <f>CH40/IS!CE30</f>
        <v>7.9883351007423123E-2</v>
      </c>
      <c r="CI41" s="94">
        <f>CI40/IS!CF30</f>
        <v>7.9557701873652797E-2</v>
      </c>
      <c r="CJ41" s="94">
        <f>CJ40/IS!CG30</f>
        <v>7.8468406593406592E-2</v>
      </c>
      <c r="CK41" s="94">
        <f>CK40/IS!CH30</f>
        <v>8.0472712517752079E-2</v>
      </c>
      <c r="CL41" s="147">
        <f>CL40/IS!CI30</f>
        <v>6.0570236439499305E-2</v>
      </c>
      <c r="CM41" s="94">
        <f>CM40/IS!CJ30</f>
        <v>6.1355885696366276E-2</v>
      </c>
      <c r="CN41" s="94">
        <f>CN40/IS!CK30</f>
        <v>6.1781830801264752E-2</v>
      </c>
      <c r="CO41" s="94">
        <f>CO40/IS!CL30</f>
        <v>6.4033251947447967E-2</v>
      </c>
      <c r="CP41" s="147">
        <f>CP40/IS!CM30</f>
        <v>6.3536181002535594E-2</v>
      </c>
      <c r="CQ41" s="94">
        <f>CQ40/IS!CN30</f>
        <v>6.4323479468971906E-2</v>
      </c>
      <c r="CR41" s="94">
        <f>CR40/IS!CO30</f>
        <v>6.4642803201933247E-2</v>
      </c>
      <c r="CS41" s="94">
        <f>CS40/IS!CP30</f>
        <v>6.5504830460314453E-2</v>
      </c>
      <c r="CT41" s="147">
        <f>CT40/IS!CQ30</f>
        <v>6.4940718784735091E-2</v>
      </c>
      <c r="CU41" s="94">
        <f>CU40/IS!CR30</f>
        <v>6.4052513073794309E-2</v>
      </c>
      <c r="CV41" s="94">
        <f>CV40/IS!CS30</f>
        <v>6.3294880521620744E-2</v>
      </c>
      <c r="CW41" s="101">
        <f>CW40/IS!CT30</f>
        <v>6.1990082993388665E-2</v>
      </c>
      <c r="CX41" s="94">
        <f>CX40/IS!CU30</f>
        <v>6.1858225338148859E-2</v>
      </c>
      <c r="CY41" s="94">
        <f>CY40/IS!CV30</f>
        <v>6.1665205959684485E-2</v>
      </c>
      <c r="CZ41" s="94">
        <f>CZ40/IS!CW30</f>
        <v>5.9571827489916226E-2</v>
      </c>
      <c r="DA41" s="94">
        <f>DA40/IS!CX30</f>
        <v>5.8561126949522049E-2</v>
      </c>
      <c r="DB41" s="147">
        <f>DB40/IS!CY30</f>
        <v>5.8789329685362518E-2</v>
      </c>
      <c r="DC41" s="94">
        <f>DC40/IS!CZ30</f>
        <v>5.762551842735273E-2</v>
      </c>
      <c r="DD41" s="94">
        <f>DD40/IS!DA30</f>
        <v>5.6370758913750749E-2</v>
      </c>
      <c r="DE41" s="94">
        <f>DE40/IS!DB30</f>
        <v>5.486227854648907E-2</v>
      </c>
      <c r="DF41" s="147">
        <f>DF40/IS!DC30</f>
        <v>5.3991528185076569E-2</v>
      </c>
      <c r="DG41" s="1045">
        <f>DG40/IS!DD30</f>
        <v>5.1953436453516189E-2</v>
      </c>
      <c r="DH41" s="1045">
        <f>DH40/IS!DE30</f>
        <v>5.071867282973469E-2</v>
      </c>
      <c r="DI41" s="101">
        <f>DI40/IS!DF30</f>
        <v>4.4890335020486866E-2</v>
      </c>
      <c r="DJ41" s="147">
        <f>DJ40/IS!DG30</f>
        <v>4.3590314677527123E-2</v>
      </c>
      <c r="DK41" s="1045">
        <f>DK40/IS!DH30</f>
        <v>4.1986299207626983E-2</v>
      </c>
      <c r="DL41" s="1045">
        <f>DL40/IS!DI30</f>
        <v>3.8235113754829214E-2</v>
      </c>
      <c r="DM41" s="101">
        <f>DM40/IS!DJ30</f>
        <v>3.6408415180558443E-2</v>
      </c>
      <c r="DN41" s="1045">
        <f>DN40/IS!DK30</f>
        <v>3.8298679137963726E-2</v>
      </c>
      <c r="DO41" s="1045">
        <f>DO40/IS!DL30</f>
        <v>3.8844491025808989E-2</v>
      </c>
      <c r="DP41" s="1045">
        <f>DP40/IS!DM30</f>
        <v>3.6267252804085721E-2</v>
      </c>
      <c r="DQ41" s="101">
        <f>DQ40/IS!DN30</f>
        <v>3.3673469387755103E-2</v>
      </c>
      <c r="DR41" s="1045">
        <f>DR40/IS!DO30</f>
        <v>3.7432078889112499E-2</v>
      </c>
      <c r="DS41" s="1045">
        <f>DS40/IS!DP30</f>
        <v>3.84967919340055E-2</v>
      </c>
      <c r="DT41" s="1045">
        <f>DT40/IS!DQ30</f>
        <v>3.698332124728064E-2</v>
      </c>
      <c r="DU41" s="1045">
        <f>DU40/IS!DR30</f>
        <v>3.4045059637755851E-2</v>
      </c>
      <c r="DV41" s="1045">
        <f>DV40/IS!DS30</f>
        <v>3.6447186201687021E-2</v>
      </c>
      <c r="DW41" s="1045">
        <f ca="1">DW40/IS!DT30</f>
        <v>3.6863867405333837E-2</v>
      </c>
      <c r="DX41" s="1045">
        <f ca="1">DX40/IS!DU30</f>
        <v>3.6531151608117839E-2</v>
      </c>
      <c r="DY41" s="101">
        <f ca="1">DY40/IS!DV30</f>
        <v>3.5207162391548585E-2</v>
      </c>
      <c r="DZ41" s="94"/>
    </row>
    <row r="42" spans="1:130" hidden="1" outlineLevel="1">
      <c r="A42" s="762" t="s">
        <v>508</v>
      </c>
      <c r="B42" s="109"/>
      <c r="C42" s="109"/>
      <c r="D42" s="109"/>
      <c r="E42" s="109"/>
      <c r="F42" s="109"/>
      <c r="G42" s="109"/>
      <c r="H42" s="109"/>
      <c r="I42" s="109"/>
      <c r="J42" s="109"/>
      <c r="K42" s="109"/>
      <c r="L42" s="109"/>
      <c r="M42" s="109"/>
      <c r="N42" s="109">
        <f>N40-M40</f>
        <v>8092</v>
      </c>
      <c r="O42" s="109">
        <f>O40-N40</f>
        <v>-420</v>
      </c>
      <c r="P42" s="109">
        <f>P40-O40</f>
        <v>56</v>
      </c>
      <c r="Q42" s="1044">
        <f>Q40-P40</f>
        <v>-1384</v>
      </c>
      <c r="R42" s="109"/>
      <c r="S42" s="109"/>
      <c r="T42" s="1044"/>
      <c r="U42" s="109"/>
      <c r="V42" s="109"/>
      <c r="W42" s="109"/>
      <c r="X42" s="109"/>
      <c r="Y42" s="109"/>
      <c r="Z42" s="109"/>
      <c r="AA42" s="109"/>
      <c r="AB42" s="109"/>
      <c r="AC42" s="109"/>
      <c r="AD42" s="109"/>
      <c r="AE42" s="109"/>
      <c r="AF42" s="109"/>
      <c r="AG42" s="109"/>
      <c r="AH42" s="536"/>
      <c r="AI42" s="109"/>
      <c r="AJ42" s="109"/>
      <c r="AK42" s="109"/>
      <c r="AL42" s="109"/>
      <c r="AM42" s="109"/>
      <c r="AN42" s="109"/>
      <c r="AO42" s="109"/>
      <c r="AP42" s="171"/>
      <c r="AQ42" s="109"/>
      <c r="AR42" s="109"/>
      <c r="AS42" s="109"/>
      <c r="AT42" s="171"/>
      <c r="AU42" s="109"/>
      <c r="AV42" s="109"/>
      <c r="AW42" s="109"/>
      <c r="AX42" s="171"/>
      <c r="AY42" s="109"/>
      <c r="AZ42" s="109"/>
      <c r="BA42" s="109"/>
      <c r="BB42" s="171"/>
      <c r="BC42" s="109"/>
      <c r="BD42" s="109"/>
      <c r="BE42" s="109"/>
      <c r="BF42" s="171"/>
      <c r="BG42" s="109"/>
      <c r="BH42" s="109"/>
      <c r="BI42" s="109"/>
      <c r="BJ42" s="171"/>
      <c r="BK42" s="109"/>
      <c r="BL42" s="109"/>
      <c r="BM42" s="109"/>
      <c r="BN42" s="171"/>
      <c r="BO42" s="109"/>
      <c r="BP42" s="109"/>
      <c r="BQ42" s="109"/>
      <c r="BR42" s="171"/>
      <c r="BS42" s="109"/>
      <c r="BT42" s="109"/>
      <c r="BU42" s="109"/>
      <c r="BV42" s="171"/>
      <c r="BW42" s="109"/>
      <c r="BX42" s="109"/>
      <c r="BY42" s="109"/>
      <c r="BZ42" s="171">
        <f t="shared" ref="BZ42:DV42" si="146">BZ40-BY40</f>
        <v>2008.75</v>
      </c>
      <c r="CA42" s="109">
        <f t="shared" si="146"/>
        <v>26</v>
      </c>
      <c r="CB42" s="109">
        <f t="shared" si="146"/>
        <v>-31</v>
      </c>
      <c r="CC42" s="109">
        <f t="shared" si="146"/>
        <v>41</v>
      </c>
      <c r="CD42" s="171">
        <f t="shared" si="146"/>
        <v>-155.5</v>
      </c>
      <c r="CE42" s="109">
        <f t="shared" si="146"/>
        <v>3</v>
      </c>
      <c r="CF42" s="109">
        <f t="shared" si="146"/>
        <v>24</v>
      </c>
      <c r="CG42" s="109">
        <f t="shared" si="146"/>
        <v>58</v>
      </c>
      <c r="CH42" s="171">
        <f t="shared" si="146"/>
        <v>-91</v>
      </c>
      <c r="CI42" s="109">
        <f t="shared" si="146"/>
        <v>36</v>
      </c>
      <c r="CJ42" s="109">
        <f t="shared" si="146"/>
        <v>23</v>
      </c>
      <c r="CK42" s="109">
        <f t="shared" si="146"/>
        <v>41</v>
      </c>
      <c r="CL42" s="171">
        <f t="shared" si="146"/>
        <v>-459</v>
      </c>
      <c r="CM42" s="109">
        <f t="shared" si="146"/>
        <v>41</v>
      </c>
      <c r="CN42" s="109">
        <f t="shared" si="146"/>
        <v>37</v>
      </c>
      <c r="CO42" s="109">
        <f t="shared" si="146"/>
        <v>50</v>
      </c>
      <c r="CP42" s="171">
        <f t="shared" si="146"/>
        <v>-23.5</v>
      </c>
      <c r="CQ42" s="109">
        <f t="shared" si="146"/>
        <v>38</v>
      </c>
      <c r="CR42" s="109">
        <f t="shared" si="146"/>
        <v>45.25</v>
      </c>
      <c r="CS42" s="109">
        <f t="shared" si="146"/>
        <v>17</v>
      </c>
      <c r="CT42" s="171">
        <f t="shared" si="146"/>
        <v>23.75</v>
      </c>
      <c r="CU42" s="109">
        <f t="shared" si="146"/>
        <v>11</v>
      </c>
      <c r="CV42" s="109">
        <f t="shared" si="146"/>
        <v>3</v>
      </c>
      <c r="CW42" s="172">
        <f t="shared" si="146"/>
        <v>-4</v>
      </c>
      <c r="CX42" s="109">
        <f t="shared" si="146"/>
        <v>-15.75</v>
      </c>
      <c r="CY42" s="109">
        <f t="shared" si="146"/>
        <v>12</v>
      </c>
      <c r="CZ42" s="109">
        <f t="shared" si="146"/>
        <v>-31</v>
      </c>
      <c r="DA42" s="109">
        <f t="shared" si="146"/>
        <v>18</v>
      </c>
      <c r="DB42" s="171">
        <f t="shared" si="146"/>
        <v>-27</v>
      </c>
      <c r="DC42" s="109">
        <f t="shared" si="146"/>
        <v>-10</v>
      </c>
      <c r="DD42" s="109">
        <f t="shared" si="146"/>
        <v>-11</v>
      </c>
      <c r="DE42" s="109">
        <f t="shared" si="146"/>
        <v>-1</v>
      </c>
      <c r="DF42" s="171">
        <f t="shared" si="146"/>
        <v>-40</v>
      </c>
      <c r="DG42" s="1044">
        <f t="shared" si="146"/>
        <v>-28</v>
      </c>
      <c r="DH42" s="1044">
        <f t="shared" si="146"/>
        <v>-27</v>
      </c>
      <c r="DI42" s="172">
        <f t="shared" si="146"/>
        <v>-112</v>
      </c>
      <c r="DJ42" s="171">
        <f t="shared" si="146"/>
        <v>-120</v>
      </c>
      <c r="DK42" s="1044">
        <f t="shared" si="146"/>
        <v>-40</v>
      </c>
      <c r="DL42" s="1044">
        <f t="shared" si="146"/>
        <v>-83</v>
      </c>
      <c r="DM42" s="172">
        <f t="shared" si="146"/>
        <v>-20</v>
      </c>
      <c r="DN42" s="1044">
        <f t="shared" si="146"/>
        <v>-15</v>
      </c>
      <c r="DO42" s="1044">
        <f t="shared" si="146"/>
        <v>-26</v>
      </c>
      <c r="DP42" s="1044">
        <f t="shared" si="146"/>
        <v>-64</v>
      </c>
      <c r="DQ42" s="172">
        <f t="shared" si="146"/>
        <v>-33</v>
      </c>
      <c r="DR42" s="1044">
        <f t="shared" si="146"/>
        <v>27</v>
      </c>
      <c r="DS42" s="1044">
        <f t="shared" si="146"/>
        <v>60</v>
      </c>
      <c r="DT42" s="1044">
        <f t="shared" si="146"/>
        <v>-3</v>
      </c>
      <c r="DU42" s="1044">
        <f t="shared" si="146"/>
        <v>-17</v>
      </c>
      <c r="DV42" s="1044">
        <f t="shared" si="146"/>
        <v>2</v>
      </c>
      <c r="DW42" s="1044"/>
      <c r="DX42" s="1044"/>
      <c r="DY42" s="172"/>
      <c r="DZ42" s="109"/>
    </row>
    <row r="43" spans="1:130" hidden="1" outlineLevel="1">
      <c r="A43" s="762" t="s">
        <v>509</v>
      </c>
      <c r="B43" s="109"/>
      <c r="C43" s="109"/>
      <c r="D43" s="109"/>
      <c r="E43" s="109"/>
      <c r="F43" s="109"/>
      <c r="G43" s="109"/>
      <c r="H43" s="109"/>
      <c r="I43" s="109"/>
      <c r="J43" s="109"/>
      <c r="K43" s="109"/>
      <c r="L43" s="109"/>
      <c r="M43" s="109"/>
      <c r="N43" s="109">
        <f>N42-N44</f>
        <v>7066.1</v>
      </c>
      <c r="O43" s="109">
        <f>O42-O44</f>
        <v>-1515.6</v>
      </c>
      <c r="P43" s="109">
        <f>P42-P44</f>
        <v>-923.69999999999993</v>
      </c>
      <c r="Q43" s="1044">
        <f>Q42-Q44</f>
        <v>-2273.1999999999998</v>
      </c>
      <c r="R43" s="168"/>
      <c r="S43" s="109"/>
      <c r="T43" s="1050"/>
      <c r="U43" s="168"/>
      <c r="V43" s="168"/>
      <c r="W43" s="168"/>
      <c r="X43" s="168"/>
      <c r="Y43" s="168"/>
      <c r="Z43" s="168"/>
      <c r="AA43" s="168"/>
      <c r="AB43" s="168"/>
      <c r="AC43" s="168"/>
      <c r="AD43" s="168"/>
      <c r="AE43" s="168"/>
      <c r="AF43" s="168"/>
      <c r="AG43" s="168"/>
      <c r="AH43" s="536"/>
      <c r="AI43" s="109"/>
      <c r="AJ43" s="109"/>
      <c r="AK43" s="109"/>
      <c r="AL43" s="109"/>
      <c r="AM43" s="169"/>
      <c r="AN43" s="109"/>
      <c r="AO43" s="109"/>
      <c r="AP43" s="171"/>
      <c r="AQ43" s="109"/>
      <c r="AR43" s="109"/>
      <c r="AS43" s="109"/>
      <c r="AT43" s="171"/>
      <c r="AU43" s="109"/>
      <c r="AV43" s="109"/>
      <c r="AW43" s="109"/>
      <c r="AX43" s="171"/>
      <c r="AY43" s="109"/>
      <c r="AZ43" s="109"/>
      <c r="BA43" s="109"/>
      <c r="BB43" s="171"/>
      <c r="BC43" s="109"/>
      <c r="BD43" s="109"/>
      <c r="BE43" s="109"/>
      <c r="BF43" s="171"/>
      <c r="BG43" s="109"/>
      <c r="BH43" s="109"/>
      <c r="BI43" s="109"/>
      <c r="BJ43" s="171"/>
      <c r="BK43" s="109"/>
      <c r="BL43" s="109"/>
      <c r="BM43" s="109"/>
      <c r="BN43" s="171"/>
      <c r="BO43" s="109"/>
      <c r="BP43" s="109"/>
      <c r="BQ43" s="109"/>
      <c r="BR43" s="171"/>
      <c r="BS43" s="109"/>
      <c r="BT43" s="109"/>
      <c r="BU43" s="109"/>
      <c r="BV43" s="171"/>
      <c r="BW43" s="109"/>
      <c r="BX43" s="109"/>
      <c r="BY43" s="109"/>
      <c r="BZ43" s="171">
        <f t="shared" ref="BZ43:DF43" si="147">BZ42-BZ44</f>
        <v>1766.95</v>
      </c>
      <c r="CA43" s="109">
        <f t="shared" si="147"/>
        <v>-233.2</v>
      </c>
      <c r="CB43" s="109">
        <f t="shared" si="147"/>
        <v>-264.39999999999998</v>
      </c>
      <c r="CC43" s="109">
        <f t="shared" si="147"/>
        <v>-250.5</v>
      </c>
      <c r="CD43" s="171">
        <f t="shared" si="147"/>
        <v>-399.4</v>
      </c>
      <c r="CE43" s="109">
        <f t="shared" si="147"/>
        <v>-265.10000000000002</v>
      </c>
      <c r="CF43" s="109">
        <f t="shared" si="147"/>
        <v>-251.3</v>
      </c>
      <c r="CG43" s="109">
        <f t="shared" si="147"/>
        <v>-250.3</v>
      </c>
      <c r="CH43" s="171">
        <f t="shared" si="147"/>
        <v>-328.9</v>
      </c>
      <c r="CI43" s="109">
        <f t="shared" si="147"/>
        <v>-209.6</v>
      </c>
      <c r="CJ43" s="109">
        <f t="shared" si="147"/>
        <v>-225.3</v>
      </c>
      <c r="CK43" s="109">
        <f t="shared" si="147"/>
        <v>-206.9</v>
      </c>
      <c r="CL43" s="171">
        <f t="shared" si="147"/>
        <v>-659.3</v>
      </c>
      <c r="CM43" s="109">
        <f t="shared" si="147"/>
        <v>-192.8</v>
      </c>
      <c r="CN43" s="109">
        <f t="shared" si="147"/>
        <v>-190.3</v>
      </c>
      <c r="CO43" s="109">
        <f t="shared" si="147"/>
        <v>-177.8</v>
      </c>
      <c r="CP43" s="171">
        <f t="shared" si="147"/>
        <v>-180.1</v>
      </c>
      <c r="CQ43" s="109">
        <f t="shared" si="147"/>
        <v>-140.1</v>
      </c>
      <c r="CR43" s="109">
        <f t="shared" si="147"/>
        <v>-129.85</v>
      </c>
      <c r="CS43" s="109">
        <f t="shared" si="147"/>
        <v>-200.1</v>
      </c>
      <c r="CT43" s="171">
        <f t="shared" si="147"/>
        <v>-122.75</v>
      </c>
      <c r="CU43" s="109">
        <f t="shared" si="147"/>
        <v>-157.5</v>
      </c>
      <c r="CV43" s="109">
        <f t="shared" si="147"/>
        <v>-158.69999999999999</v>
      </c>
      <c r="CW43" s="172">
        <f t="shared" si="147"/>
        <v>-167.2</v>
      </c>
      <c r="CX43" s="109">
        <f t="shared" si="147"/>
        <v>-169.45</v>
      </c>
      <c r="CY43" s="109">
        <f t="shared" si="147"/>
        <v>-147.6</v>
      </c>
      <c r="CZ43" s="109">
        <f t="shared" si="147"/>
        <v>-179.4</v>
      </c>
      <c r="DA43" s="109">
        <f t="shared" si="147"/>
        <v>-154.5</v>
      </c>
      <c r="DB43" s="171">
        <f t="shared" si="147"/>
        <v>-170.4</v>
      </c>
      <c r="DC43" s="109">
        <f t="shared" si="147"/>
        <v>-161.5</v>
      </c>
      <c r="DD43" s="109">
        <f t="shared" si="147"/>
        <v>-162.80000000000001</v>
      </c>
      <c r="DE43" s="109">
        <f t="shared" si="147"/>
        <v>-177.2</v>
      </c>
      <c r="DF43" s="171">
        <f t="shared" si="147"/>
        <v>-178.5</v>
      </c>
      <c r="DG43" s="1044">
        <f t="shared" ref="DG43:DL43" si="148">DG42-DG44</f>
        <v>-162.5</v>
      </c>
      <c r="DH43" s="1044">
        <f t="shared" si="148"/>
        <v>-173.4</v>
      </c>
      <c r="DI43" s="172">
        <f t="shared" si="148"/>
        <v>-267.60000000000002</v>
      </c>
      <c r="DJ43" s="171">
        <f t="shared" si="148"/>
        <v>-227.7</v>
      </c>
      <c r="DK43" s="1044">
        <f t="shared" si="148"/>
        <v>-153.4</v>
      </c>
      <c r="DL43" s="1044">
        <f t="shared" si="148"/>
        <v>-203.2</v>
      </c>
      <c r="DM43" s="172">
        <f t="shared" ref="DM43:DR43" si="149">DM42-DM44</f>
        <v>-183.6</v>
      </c>
      <c r="DN43" s="1044">
        <f t="shared" si="149"/>
        <v>-115.6</v>
      </c>
      <c r="DO43" s="1044">
        <f t="shared" si="149"/>
        <v>-107.4</v>
      </c>
      <c r="DP43" s="1044">
        <f t="shared" si="149"/>
        <v>-167.6</v>
      </c>
      <c r="DQ43" s="172">
        <f t="shared" si="149"/>
        <v>-197.8</v>
      </c>
      <c r="DR43" s="1044">
        <f t="shared" si="149"/>
        <v>-69</v>
      </c>
      <c r="DS43" s="1044">
        <f t="shared" ref="DS43:DT43" si="150">DS42-DS44</f>
        <v>-59</v>
      </c>
      <c r="DT43" s="1044">
        <f t="shared" si="150"/>
        <v>-123</v>
      </c>
      <c r="DU43" s="1044">
        <f t="shared" ref="DU43:DV43" si="151">DU42-DU44</f>
        <v>-215.1</v>
      </c>
      <c r="DV43" s="1044">
        <f t="shared" si="151"/>
        <v>-165.3</v>
      </c>
      <c r="DW43" s="1050"/>
      <c r="DX43" s="1050"/>
      <c r="DY43" s="174"/>
      <c r="DZ43" s="109"/>
    </row>
    <row r="44" spans="1:130" hidden="1" outlineLevel="1">
      <c r="A44" s="762" t="s">
        <v>510</v>
      </c>
      <c r="B44" s="109"/>
      <c r="C44" s="109"/>
      <c r="D44" s="109"/>
      <c r="E44" s="109"/>
      <c r="F44" s="109"/>
      <c r="G44" s="109"/>
      <c r="H44" s="109">
        <f>H108/20</f>
        <v>605</v>
      </c>
      <c r="I44" s="109">
        <f>I108/20</f>
        <v>635.65</v>
      </c>
      <c r="J44" s="109">
        <f>SUM(BJ44:BM44)</f>
        <v>454.92857142857144</v>
      </c>
      <c r="K44" s="109">
        <f>SUM(BN44:BQ44)</f>
        <v>487.14285714285717</v>
      </c>
      <c r="L44" s="109">
        <f>SUM(BR44:BU44)</f>
        <v>508.42857142857144</v>
      </c>
      <c r="M44" s="109">
        <f>SUM(BV44:BY44)</f>
        <v>649.1</v>
      </c>
      <c r="N44" s="109">
        <f>SUM(BZ44:CC44)</f>
        <v>1025.9000000000001</v>
      </c>
      <c r="O44" s="109">
        <f>SUM(CD44:CG44)</f>
        <v>1095.5999999999999</v>
      </c>
      <c r="P44" s="109">
        <f>SUM(CH44:CK44)</f>
        <v>979.69999999999993</v>
      </c>
      <c r="Q44" s="1044">
        <f>SUM(CL44:CO44)</f>
        <v>889.2</v>
      </c>
      <c r="R44" s="109"/>
      <c r="S44" s="109"/>
      <c r="T44" s="1044"/>
      <c r="U44" s="109"/>
      <c r="V44" s="109"/>
      <c r="W44" s="109"/>
      <c r="X44" s="109"/>
      <c r="Y44" s="109"/>
      <c r="Z44" s="109"/>
      <c r="AA44" s="109"/>
      <c r="AB44" s="109"/>
      <c r="AC44" s="109"/>
      <c r="AD44" s="109"/>
      <c r="AE44" s="109"/>
      <c r="AF44" s="109"/>
      <c r="AG44" s="109"/>
      <c r="AH44" s="536"/>
      <c r="AI44" s="109"/>
      <c r="AJ44" s="109"/>
      <c r="AK44" s="109"/>
      <c r="AL44" s="109"/>
      <c r="AM44" s="169"/>
      <c r="AN44" s="109"/>
      <c r="AO44" s="109"/>
      <c r="AP44" s="171"/>
      <c r="AQ44" s="109"/>
      <c r="AR44" s="109"/>
      <c r="AS44" s="109"/>
      <c r="AT44" s="171"/>
      <c r="AU44" s="109"/>
      <c r="AV44" s="109"/>
      <c r="AW44" s="109"/>
      <c r="AX44" s="171"/>
      <c r="AY44" s="109"/>
      <c r="AZ44" s="109"/>
      <c r="BA44" s="109"/>
      <c r="BB44" s="171"/>
      <c r="BC44" s="109"/>
      <c r="BD44" s="109"/>
      <c r="BE44" s="109"/>
      <c r="BF44" s="171"/>
      <c r="BG44" s="109"/>
      <c r="BH44" s="109"/>
      <c r="BI44" s="109"/>
      <c r="BJ44" s="171"/>
      <c r="BK44" s="109">
        <f t="shared" ref="BK44:BX44" si="152">BK108/14</f>
        <v>140</v>
      </c>
      <c r="BL44" s="109">
        <f t="shared" si="152"/>
        <v>126</v>
      </c>
      <c r="BM44" s="109">
        <f t="shared" si="152"/>
        <v>188.92857142857142</v>
      </c>
      <c r="BN44" s="171">
        <f t="shared" si="152"/>
        <v>91.857142857142861</v>
      </c>
      <c r="BO44" s="109">
        <f t="shared" si="152"/>
        <v>123.78571428571429</v>
      </c>
      <c r="BP44" s="109">
        <f t="shared" si="152"/>
        <v>124.71428571428571</v>
      </c>
      <c r="BQ44" s="109">
        <f t="shared" si="152"/>
        <v>146.78571428571428</v>
      </c>
      <c r="BR44" s="171">
        <f t="shared" si="152"/>
        <v>91.571428571428569</v>
      </c>
      <c r="BS44" s="109">
        <f t="shared" si="152"/>
        <v>118.57142857142857</v>
      </c>
      <c r="BT44" s="109">
        <f t="shared" si="152"/>
        <v>125.78571428571429</v>
      </c>
      <c r="BU44" s="109">
        <f t="shared" si="152"/>
        <v>172.5</v>
      </c>
      <c r="BV44" s="171">
        <f t="shared" si="152"/>
        <v>135.14285714285714</v>
      </c>
      <c r="BW44" s="109">
        <f t="shared" si="152"/>
        <v>153.71428571428572</v>
      </c>
      <c r="BX44" s="109">
        <f t="shared" si="152"/>
        <v>155.14285714285714</v>
      </c>
      <c r="BY44" s="109">
        <f t="shared" ref="BY44:DE44" si="153">BY108/10</f>
        <v>205.1</v>
      </c>
      <c r="BZ44" s="171">
        <f t="shared" si="153"/>
        <v>241.8</v>
      </c>
      <c r="CA44" s="109">
        <f t="shared" si="153"/>
        <v>259.2</v>
      </c>
      <c r="CB44" s="109">
        <f t="shared" si="153"/>
        <v>233.4</v>
      </c>
      <c r="CC44" s="109">
        <f t="shared" si="153"/>
        <v>291.5</v>
      </c>
      <c r="CD44" s="171">
        <f t="shared" si="153"/>
        <v>243.9</v>
      </c>
      <c r="CE44" s="109">
        <f t="shared" si="153"/>
        <v>268.10000000000002</v>
      </c>
      <c r="CF44" s="109">
        <f t="shared" si="153"/>
        <v>275.3</v>
      </c>
      <c r="CG44" s="109">
        <f t="shared" si="153"/>
        <v>308.3</v>
      </c>
      <c r="CH44" s="171">
        <f t="shared" si="153"/>
        <v>237.9</v>
      </c>
      <c r="CI44" s="109">
        <f t="shared" si="153"/>
        <v>245.6</v>
      </c>
      <c r="CJ44" s="109">
        <f t="shared" si="153"/>
        <v>248.3</v>
      </c>
      <c r="CK44" s="109">
        <f t="shared" si="153"/>
        <v>247.9</v>
      </c>
      <c r="CL44" s="171">
        <f t="shared" si="153"/>
        <v>200.3</v>
      </c>
      <c r="CM44" s="109">
        <f t="shared" si="153"/>
        <v>233.8</v>
      </c>
      <c r="CN44" s="109">
        <f t="shared" si="153"/>
        <v>227.3</v>
      </c>
      <c r="CO44" s="109">
        <f t="shared" si="153"/>
        <v>227.8</v>
      </c>
      <c r="CP44" s="171">
        <f t="shared" si="153"/>
        <v>156.6</v>
      </c>
      <c r="CQ44" s="109">
        <f t="shared" si="153"/>
        <v>178.1</v>
      </c>
      <c r="CR44" s="109">
        <f t="shared" si="153"/>
        <v>175.1</v>
      </c>
      <c r="CS44" s="109">
        <f t="shared" si="153"/>
        <v>217.1</v>
      </c>
      <c r="CT44" s="171">
        <f t="shared" si="153"/>
        <v>146.5</v>
      </c>
      <c r="CU44" s="109">
        <f t="shared" si="153"/>
        <v>168.5</v>
      </c>
      <c r="CV44" s="109">
        <f t="shared" si="153"/>
        <v>161.69999999999999</v>
      </c>
      <c r="CW44" s="172">
        <f t="shared" si="153"/>
        <v>163.19999999999999</v>
      </c>
      <c r="CX44" s="109">
        <f t="shared" si="153"/>
        <v>153.69999999999999</v>
      </c>
      <c r="CY44" s="109">
        <f t="shared" si="153"/>
        <v>159.6</v>
      </c>
      <c r="CZ44" s="109">
        <f t="shared" si="153"/>
        <v>148.4</v>
      </c>
      <c r="DA44" s="109">
        <f t="shared" si="153"/>
        <v>172.5</v>
      </c>
      <c r="DB44" s="171">
        <f t="shared" si="153"/>
        <v>143.4</v>
      </c>
      <c r="DC44" s="109">
        <f t="shared" si="153"/>
        <v>151.5</v>
      </c>
      <c r="DD44" s="109">
        <f t="shared" si="153"/>
        <v>151.80000000000001</v>
      </c>
      <c r="DE44" s="109">
        <f t="shared" si="153"/>
        <v>176.2</v>
      </c>
      <c r="DF44" s="171">
        <f t="shared" ref="DF44:DK44" si="154">DF108/10</f>
        <v>138.5</v>
      </c>
      <c r="DG44" s="1044">
        <f t="shared" si="154"/>
        <v>134.5</v>
      </c>
      <c r="DH44" s="1044">
        <f t="shared" si="154"/>
        <v>146.4</v>
      </c>
      <c r="DI44" s="172">
        <f t="shared" si="154"/>
        <v>155.6</v>
      </c>
      <c r="DJ44" s="171">
        <f t="shared" si="154"/>
        <v>107.7</v>
      </c>
      <c r="DK44" s="1044">
        <f t="shared" si="154"/>
        <v>113.4</v>
      </c>
      <c r="DL44" s="1044">
        <f t="shared" ref="DL44:DQ44" si="155">DL108/10</f>
        <v>120.2</v>
      </c>
      <c r="DM44" s="172">
        <f t="shared" si="155"/>
        <v>163.6</v>
      </c>
      <c r="DN44" s="1044">
        <f t="shared" si="155"/>
        <v>100.6</v>
      </c>
      <c r="DO44" s="1044">
        <f t="shared" si="155"/>
        <v>81.400000000000006</v>
      </c>
      <c r="DP44" s="1044">
        <f t="shared" si="155"/>
        <v>103.6</v>
      </c>
      <c r="DQ44" s="172">
        <f t="shared" si="155"/>
        <v>164.8</v>
      </c>
      <c r="DR44" s="1044">
        <f t="shared" ref="DR44:DS44" si="156">DR108/10</f>
        <v>96</v>
      </c>
      <c r="DS44" s="1044">
        <f t="shared" si="156"/>
        <v>119</v>
      </c>
      <c r="DT44" s="1044">
        <f t="shared" ref="DT44:DU44" si="157">DT108/10</f>
        <v>120</v>
      </c>
      <c r="DU44" s="1044">
        <f t="shared" si="157"/>
        <v>198.1</v>
      </c>
      <c r="DV44" s="1044">
        <f t="shared" ref="DV44" si="158">DV108/10</f>
        <v>167.3</v>
      </c>
      <c r="DW44" s="1044"/>
      <c r="DX44" s="1044"/>
      <c r="DY44" s="172"/>
      <c r="DZ44" s="109"/>
    </row>
    <row r="45" spans="1:130" hidden="1" outlineLevel="1">
      <c r="A45" s="176" t="s">
        <v>511</v>
      </c>
      <c r="B45" s="94"/>
      <c r="C45" s="94"/>
      <c r="D45" s="94"/>
      <c r="E45" s="94"/>
      <c r="F45" s="94"/>
      <c r="G45" s="94"/>
      <c r="H45" s="94"/>
      <c r="I45" s="94"/>
      <c r="J45" s="94"/>
      <c r="K45" s="94"/>
      <c r="L45" s="94"/>
      <c r="M45" s="94"/>
      <c r="N45" s="94">
        <f t="shared" ref="N45:V45" si="159">N40/N26</f>
        <v>0.63016898995405346</v>
      </c>
      <c r="O45" s="94">
        <f t="shared" si="159"/>
        <v>0.60035996556851079</v>
      </c>
      <c r="P45" s="94">
        <f t="shared" si="159"/>
        <v>0.58893461362597166</v>
      </c>
      <c r="Q45" s="1045">
        <f t="shared" si="159"/>
        <v>0.47474369527800642</v>
      </c>
      <c r="R45" s="94">
        <f t="shared" si="159"/>
        <v>0.47851257280863757</v>
      </c>
      <c r="S45" s="94">
        <f t="shared" si="159"/>
        <v>0.47001534253885663</v>
      </c>
      <c r="T45" s="1045">
        <f t="shared" si="159"/>
        <v>0.46782841823056298</v>
      </c>
      <c r="U45" s="94">
        <f t="shared" si="159"/>
        <v>0.45468479274956686</v>
      </c>
      <c r="V45" s="94">
        <f t="shared" si="159"/>
        <v>0.42710774794080225</v>
      </c>
      <c r="W45" s="94">
        <f>W40/W26</f>
        <v>0.35888187556357076</v>
      </c>
      <c r="X45" s="94">
        <f>X40/X26</f>
        <v>0.32167783361250696</v>
      </c>
      <c r="Y45" s="94">
        <f>Y40/Y26</f>
        <v>0.30096391819721247</v>
      </c>
      <c r="Z45" s="94">
        <f ca="1">Z40/Z26</f>
        <v>0.29510703363914381</v>
      </c>
      <c r="AA45" s="2997">
        <f ca="1">+Z45-0.005</f>
        <v>0.29010703363914381</v>
      </c>
      <c r="AB45" s="2997">
        <f ca="1">+AA45-0.005</f>
        <v>0.2851070336391438</v>
      </c>
      <c r="AC45" s="2997">
        <f t="shared" ref="AC45:AG45" ca="1" si="160">+AB45-0.005</f>
        <v>0.2801070336391438</v>
      </c>
      <c r="AD45" s="2997">
        <f t="shared" ca="1" si="160"/>
        <v>0.27510703363914379</v>
      </c>
      <c r="AE45" s="2997">
        <f t="shared" ca="1" si="160"/>
        <v>0.27010703363914379</v>
      </c>
      <c r="AF45" s="2997">
        <f t="shared" ca="1" si="160"/>
        <v>0.26510703363914379</v>
      </c>
      <c r="AG45" s="2997">
        <f t="shared" ca="1" si="160"/>
        <v>0.26010703363914378</v>
      </c>
      <c r="AH45" s="138"/>
      <c r="AI45" s="94"/>
      <c r="AJ45" s="94"/>
      <c r="AK45" s="94"/>
      <c r="AL45" s="94"/>
      <c r="AM45" s="195"/>
      <c r="AN45" s="94"/>
      <c r="AO45" s="94"/>
      <c r="AP45" s="147"/>
      <c r="AQ45" s="94"/>
      <c r="AR45" s="94"/>
      <c r="AS45" s="94"/>
      <c r="AT45" s="147"/>
      <c r="AU45" s="94"/>
      <c r="AV45" s="94"/>
      <c r="AW45" s="94"/>
      <c r="AX45" s="147"/>
      <c r="AY45" s="94"/>
      <c r="AZ45" s="94"/>
      <c r="BA45" s="94"/>
      <c r="BB45" s="147"/>
      <c r="BC45" s="94"/>
      <c r="BD45" s="94"/>
      <c r="BE45" s="94"/>
      <c r="BF45" s="147"/>
      <c r="BG45" s="94"/>
      <c r="BH45" s="94"/>
      <c r="BI45" s="94"/>
      <c r="BJ45" s="147"/>
      <c r="BK45" s="94"/>
      <c r="BL45" s="94"/>
      <c r="BM45" s="94"/>
      <c r="BN45" s="147"/>
      <c r="BO45" s="94"/>
      <c r="BP45" s="94"/>
      <c r="BQ45" s="94"/>
      <c r="BR45" s="147"/>
      <c r="BS45" s="94"/>
      <c r="BT45" s="94"/>
      <c r="BU45" s="94"/>
      <c r="BV45" s="147"/>
      <c r="BW45" s="94"/>
      <c r="BX45" s="94"/>
      <c r="BY45" s="94"/>
      <c r="BZ45" s="147">
        <f t="shared" ref="BZ45:DE45" si="161">BZ40/BZ26</f>
        <v>0.61936329299313964</v>
      </c>
      <c r="CA45" s="94">
        <f t="shared" si="161"/>
        <v>0.63920521479619885</v>
      </c>
      <c r="CB45" s="94">
        <f t="shared" si="161"/>
        <v>0.62986247544204321</v>
      </c>
      <c r="CC45" s="94">
        <f t="shared" si="161"/>
        <v>0.63241320652594135</v>
      </c>
      <c r="CD45" s="147">
        <f t="shared" si="161"/>
        <v>0.60287195851615472</v>
      </c>
      <c r="CE45" s="94">
        <f t="shared" si="161"/>
        <v>0.59621898385191019</v>
      </c>
      <c r="CF45" s="94">
        <f t="shared" si="161"/>
        <v>0.59794055698572435</v>
      </c>
      <c r="CG45" s="94">
        <f t="shared" si="161"/>
        <v>0.60434682788704375</v>
      </c>
      <c r="CH45" s="147">
        <f t="shared" si="161"/>
        <v>0.59291617473435654</v>
      </c>
      <c r="CI45" s="94">
        <f t="shared" si="161"/>
        <v>0.59268123214699298</v>
      </c>
      <c r="CJ45" s="94">
        <f t="shared" si="161"/>
        <v>0.58744801512287337</v>
      </c>
      <c r="CK45" s="94">
        <f t="shared" si="161"/>
        <v>0.58309445056964349</v>
      </c>
      <c r="CL45" s="147">
        <f t="shared" si="161"/>
        <v>0.4656331144035436</v>
      </c>
      <c r="CM45" s="94">
        <f t="shared" si="161"/>
        <v>0.47612167300380226</v>
      </c>
      <c r="CN45" s="94">
        <f t="shared" si="161"/>
        <v>0.4773573663041859</v>
      </c>
      <c r="CO45" s="94">
        <f t="shared" si="161"/>
        <v>0.47953852851545492</v>
      </c>
      <c r="CP45" s="147">
        <f t="shared" si="161"/>
        <v>0.47402502910360883</v>
      </c>
      <c r="CQ45" s="94">
        <f t="shared" si="161"/>
        <v>0.47744199369808077</v>
      </c>
      <c r="CR45" s="94">
        <f t="shared" si="161"/>
        <v>0.48293370944992947</v>
      </c>
      <c r="CS45" s="94">
        <f t="shared" si="161"/>
        <v>0.47947864669994456</v>
      </c>
      <c r="CT45" s="147">
        <f t="shared" si="161"/>
        <v>0.48050167911726405</v>
      </c>
      <c r="CU45" s="94">
        <f t="shared" si="161"/>
        <v>0.47200107044891954</v>
      </c>
      <c r="CV45" s="94">
        <f t="shared" si="161"/>
        <v>0.4645979882979423</v>
      </c>
      <c r="CW45" s="101">
        <f t="shared" si="161"/>
        <v>0.46342425238251728</v>
      </c>
      <c r="CX45" s="94">
        <f t="shared" si="161"/>
        <v>0.47719202403714833</v>
      </c>
      <c r="CY45" s="94">
        <f t="shared" si="161"/>
        <v>0.46769476203137461</v>
      </c>
      <c r="CZ45" s="94">
        <f t="shared" si="161"/>
        <v>0.45908607863974493</v>
      </c>
      <c r="DA45" s="94">
        <f t="shared" si="161"/>
        <v>0.46759507230851632</v>
      </c>
      <c r="DB45" s="147">
        <f t="shared" si="161"/>
        <v>0.4623453469607316</v>
      </c>
      <c r="DC45" s="94">
        <f t="shared" si="161"/>
        <v>0.45561183684350842</v>
      </c>
      <c r="DD45" s="94">
        <f t="shared" si="161"/>
        <v>0.45231752797016517</v>
      </c>
      <c r="DE45" s="94">
        <f t="shared" si="161"/>
        <v>0.44858577848268572</v>
      </c>
      <c r="DF45" s="147">
        <f t="shared" ref="DF45:DK45" si="162">DF40/DF26</f>
        <v>0.44340379983944339</v>
      </c>
      <c r="DG45" s="1045">
        <f t="shared" si="162"/>
        <v>0.43312948683860675</v>
      </c>
      <c r="DH45" s="1045">
        <f t="shared" si="162"/>
        <v>0.42527209981417574</v>
      </c>
      <c r="DI45" s="101">
        <f t="shared" si="162"/>
        <v>0.40621592148309704</v>
      </c>
      <c r="DJ45" s="147">
        <f t="shared" si="162"/>
        <v>0.38172192811368066</v>
      </c>
      <c r="DK45" s="1045">
        <f t="shared" si="162"/>
        <v>0.37150837988826818</v>
      </c>
      <c r="DL45" s="1045">
        <f t="shared" ref="DL45:DQ45" si="163">DL40/DL26</f>
        <v>0.3455250761983929</v>
      </c>
      <c r="DM45" s="101">
        <f t="shared" si="163"/>
        <v>0.33718054410552351</v>
      </c>
      <c r="DN45" s="1045">
        <f t="shared" si="163"/>
        <v>0.33508432402543542</v>
      </c>
      <c r="DO45" s="1045">
        <f t="shared" si="163"/>
        <v>0.33109994416527078</v>
      </c>
      <c r="DP45" s="1045">
        <f t="shared" si="163"/>
        <v>0.31677018633540371</v>
      </c>
      <c r="DQ45" s="101">
        <f t="shared" si="163"/>
        <v>0.30359632004460552</v>
      </c>
      <c r="DR45" s="1045">
        <f t="shared" ref="DR45:DS45" si="164">DR40/DR26</f>
        <v>0.30500136649357745</v>
      </c>
      <c r="DS45" s="1045">
        <f t="shared" si="164"/>
        <v>0.31218476241040616</v>
      </c>
      <c r="DT45" s="1045">
        <f t="shared" ref="DT45:DU45" si="165">DT40/DT26</f>
        <v>0.30294421487603307</v>
      </c>
      <c r="DU45" s="1045">
        <f t="shared" si="165"/>
        <v>0.28500986193293887</v>
      </c>
      <c r="DV45" s="1045">
        <f t="shared" ref="DV45" si="166">DV40/DV26</f>
        <v>0.29510703363914376</v>
      </c>
      <c r="DW45" s="3267">
        <f t="shared" ref="DW45" si="167">+DV45</f>
        <v>0.29510703363914376</v>
      </c>
      <c r="DX45" s="3267">
        <f t="shared" ref="DX45" si="168">+DW45</f>
        <v>0.29510703363914376</v>
      </c>
      <c r="DY45" s="2998">
        <f t="shared" ref="DY45" si="169">+DX45</f>
        <v>0.29510703363914376</v>
      </c>
      <c r="DZ45" s="94"/>
    </row>
    <row r="46" spans="1:130" hidden="1" outlineLevel="1">
      <c r="A46" s="652" t="s">
        <v>512</v>
      </c>
      <c r="B46" s="169"/>
      <c r="C46" s="169"/>
      <c r="D46" s="169"/>
      <c r="E46" s="169"/>
      <c r="F46" s="169"/>
      <c r="G46" s="169"/>
      <c r="H46" s="169">
        <f>Wless!H55</f>
        <v>2860.2849999999999</v>
      </c>
      <c r="I46" s="169">
        <f>Wless!I55</f>
        <v>3172</v>
      </c>
      <c r="J46" s="169">
        <f>Wless!J55</f>
        <v>2742</v>
      </c>
      <c r="K46" s="169">
        <f>Wless!K55</f>
        <v>3281</v>
      </c>
      <c r="L46" s="169">
        <f>SUM(BR46:BU46)</f>
        <v>3954</v>
      </c>
      <c r="M46" s="169">
        <f>SUM(BV46:BY46)</f>
        <v>4207</v>
      </c>
      <c r="N46" s="169">
        <f>SUM(BZ46:CC46)</f>
        <v>4707</v>
      </c>
      <c r="O46" s="169">
        <f>SUM(CD46:CG46)</f>
        <v>5068</v>
      </c>
      <c r="P46" s="169">
        <f>SUM(CH46:CK46)</f>
        <v>6475.476339925759</v>
      </c>
      <c r="Q46" s="1051">
        <f>SUM(CL46:CO46)</f>
        <v>6954</v>
      </c>
      <c r="R46" s="169">
        <f>SUM(CP46:CS46)</f>
        <v>7276.5</v>
      </c>
      <c r="S46" s="169">
        <f>SUM(CT46:CW46)</f>
        <v>7869</v>
      </c>
      <c r="T46" s="1051">
        <f>SUM(CX46:DA46)</f>
        <v>7864</v>
      </c>
      <c r="U46" s="169">
        <f>SUM(DB46:DE46)</f>
        <v>8106</v>
      </c>
      <c r="V46" s="169">
        <f>SUM(DF46:DI46)</f>
        <v>8363</v>
      </c>
      <c r="W46" s="169">
        <f>SUM(DJ46:DM46)</f>
        <v>8884</v>
      </c>
      <c r="X46" s="169">
        <f>SUM(DN46:DQ46)</f>
        <v>9087</v>
      </c>
      <c r="Y46" s="169">
        <f>SUM(DR46:DU46)</f>
        <v>9299</v>
      </c>
      <c r="Z46" s="169">
        <f ca="1">SUM(DV46:DY46)</f>
        <v>9822.511788103302</v>
      </c>
      <c r="AA46" s="169">
        <f ca="1">AA50*AA26</f>
        <v>9908.1573093550396</v>
      </c>
      <c r="AB46" s="169">
        <f ca="1">AB50*AB26</f>
        <v>9949.5997863207867</v>
      </c>
      <c r="AC46" s="169">
        <f t="shared" ref="AC46:AG46" ca="1" si="170">AC50*AC26</f>
        <v>9992.8410217249784</v>
      </c>
      <c r="AD46" s="169">
        <f t="shared" ca="1" si="170"/>
        <v>10038.19812958184</v>
      </c>
      <c r="AE46" s="169">
        <f t="shared" ca="1" si="170"/>
        <v>10085.967444224525</v>
      </c>
      <c r="AF46" s="169">
        <f t="shared" ca="1" si="170"/>
        <v>10136.486725971457</v>
      </c>
      <c r="AG46" s="169">
        <f t="shared" ca="1" si="170"/>
        <v>10216.724165068708</v>
      </c>
      <c r="AH46" s="532"/>
      <c r="AI46" s="169"/>
      <c r="AJ46" s="169"/>
      <c r="AK46" s="169"/>
      <c r="AL46" s="169"/>
      <c r="AM46" s="761"/>
      <c r="AN46" s="317">
        <f>(T46/N46)^(1/6)-1</f>
        <v>8.9305971520530658E-2</v>
      </c>
      <c r="AO46" s="169"/>
      <c r="AP46" s="178"/>
      <c r="AQ46" s="169"/>
      <c r="AR46" s="169"/>
      <c r="AS46" s="169"/>
      <c r="AT46" s="178"/>
      <c r="AU46" s="169"/>
      <c r="AV46" s="169"/>
      <c r="AW46" s="169"/>
      <c r="AX46" s="178"/>
      <c r="AY46" s="169"/>
      <c r="AZ46" s="169"/>
      <c r="BA46" s="169"/>
      <c r="BB46" s="178">
        <f>Wless!BB55</f>
        <v>688.57124999999996</v>
      </c>
      <c r="BC46" s="169">
        <f>Wless!BC55</f>
        <v>743.57124999999996</v>
      </c>
      <c r="BD46" s="169">
        <f>Wless!BD55</f>
        <v>745.57124999999996</v>
      </c>
      <c r="BE46" s="169">
        <f>Wless!BE55</f>
        <v>682.57124999999996</v>
      </c>
      <c r="BF46" s="178">
        <f>Wless!BF55</f>
        <v>784.75</v>
      </c>
      <c r="BG46" s="169">
        <f>Wless!BG55</f>
        <v>752.75</v>
      </c>
      <c r="BH46" s="169">
        <f>Wless!BH55</f>
        <v>808.75</v>
      </c>
      <c r="BI46" s="169">
        <f>Wless!BI55</f>
        <v>825.75</v>
      </c>
      <c r="BJ46" s="178">
        <f>Wless!BJ55</f>
        <v>643.25</v>
      </c>
      <c r="BK46" s="169">
        <f>Wless!BK55</f>
        <v>647.25</v>
      </c>
      <c r="BL46" s="169">
        <f>Wless!BL55</f>
        <v>690.25</v>
      </c>
      <c r="BM46" s="169">
        <f>Wless!BM55</f>
        <v>761.25</v>
      </c>
      <c r="BN46" s="178">
        <f>Wless!BN55</f>
        <v>755.25</v>
      </c>
      <c r="BO46" s="169">
        <f>Wless!BO55</f>
        <v>804.25</v>
      </c>
      <c r="BP46" s="169">
        <f>Wless!BP55</f>
        <v>848.25</v>
      </c>
      <c r="BQ46" s="169">
        <f>Wless!BQ55</f>
        <v>873.25</v>
      </c>
      <c r="BR46" s="178">
        <f>Wless!BR55</f>
        <v>922</v>
      </c>
      <c r="BS46" s="169">
        <f>Wless!BS55</f>
        <v>970</v>
      </c>
      <c r="BT46" s="169">
        <f>Wless!BT55</f>
        <v>1014</v>
      </c>
      <c r="BU46" s="169">
        <f>Wless!BU55</f>
        <v>1048</v>
      </c>
      <c r="BV46" s="178">
        <f>Wless!BV55</f>
        <v>1011.75</v>
      </c>
      <c r="BW46" s="169">
        <f>Wless!BW55</f>
        <v>1036.75</v>
      </c>
      <c r="BX46" s="169">
        <f>Wless!BX55</f>
        <v>1060.75</v>
      </c>
      <c r="BY46" s="169">
        <f>Wless!BY55</f>
        <v>1097.75</v>
      </c>
      <c r="BZ46" s="178">
        <f>Wless!BZ55</f>
        <v>1222.5</v>
      </c>
      <c r="CA46" s="169">
        <f>Wless!CA55</f>
        <v>1138.5</v>
      </c>
      <c r="CB46" s="169">
        <f>Wless!CB55</f>
        <v>1168.5</v>
      </c>
      <c r="CC46" s="169">
        <f>Wless!CC55</f>
        <v>1177.5</v>
      </c>
      <c r="CD46" s="178">
        <f>Wless!CD55</f>
        <v>1234.5</v>
      </c>
      <c r="CE46" s="169">
        <f>Wless!CE55</f>
        <v>1271.5</v>
      </c>
      <c r="CF46" s="169">
        <f>Wless!CF55</f>
        <v>1277.5</v>
      </c>
      <c r="CG46" s="169">
        <f>Wless!CG55</f>
        <v>1284.5</v>
      </c>
      <c r="CH46" s="178">
        <f>Wless!CH55</f>
        <v>1571.0496453900714</v>
      </c>
      <c r="CI46" s="169">
        <f>Wless!CI55</f>
        <v>1586.6854034451494</v>
      </c>
      <c r="CJ46" s="169">
        <f>Wless!CJ55</f>
        <v>1637.4141689373296</v>
      </c>
      <c r="CK46" s="169">
        <f>Wless!CK55</f>
        <v>1680.3271221532086</v>
      </c>
      <c r="CL46" s="178">
        <f>Wless!CL55</f>
        <v>1730.25</v>
      </c>
      <c r="CM46" s="169">
        <f>Wless!CM55</f>
        <v>1708.25</v>
      </c>
      <c r="CN46" s="169">
        <f>Wless!CN55</f>
        <v>1738.25</v>
      </c>
      <c r="CO46" s="169">
        <f>Wless!CO55</f>
        <v>1777.25</v>
      </c>
      <c r="CP46" s="178">
        <f>Wless!CP55</f>
        <v>1793.25</v>
      </c>
      <c r="CQ46" s="169">
        <f>Wless!CQ55</f>
        <v>1807.25</v>
      </c>
      <c r="CR46" s="169">
        <f>Wless!CR55</f>
        <v>1816</v>
      </c>
      <c r="CS46" s="169">
        <f>Wless!CS55</f>
        <v>1860</v>
      </c>
      <c r="CT46" s="178">
        <f>Wless!CT55</f>
        <v>1877</v>
      </c>
      <c r="CU46" s="169">
        <f>Wless!CU55</f>
        <v>1955</v>
      </c>
      <c r="CV46" s="169">
        <f>Wless!CV55</f>
        <v>2016</v>
      </c>
      <c r="CW46" s="179">
        <f>Wless!CW55</f>
        <v>2021</v>
      </c>
      <c r="CX46" s="169">
        <f>Wless!CX55</f>
        <v>1894</v>
      </c>
      <c r="CY46" s="169">
        <f>Wless!CY55</f>
        <v>1987</v>
      </c>
      <c r="CZ46" s="169">
        <f>Wless!CZ55</f>
        <v>2013</v>
      </c>
      <c r="DA46" s="169">
        <f>Wless!DA55</f>
        <v>1970</v>
      </c>
      <c r="DB46" s="178">
        <f>Wless!DB55</f>
        <v>1982</v>
      </c>
      <c r="DC46" s="169">
        <f>Wless!DC55</f>
        <v>2023</v>
      </c>
      <c r="DD46" s="169">
        <f>Wless!DD55</f>
        <v>2036</v>
      </c>
      <c r="DE46" s="169">
        <f>Wless!DE55</f>
        <v>2065</v>
      </c>
      <c r="DF46" s="178">
        <f>Wless!DF55</f>
        <v>2037</v>
      </c>
      <c r="DG46" s="1051">
        <f>Wless!DG55</f>
        <v>2083</v>
      </c>
      <c r="DH46" s="1051">
        <f>Wless!DH55</f>
        <v>2115</v>
      </c>
      <c r="DI46" s="179">
        <f>Wless!DI55</f>
        <v>2128</v>
      </c>
      <c r="DJ46" s="178">
        <f>Wless!DJ55</f>
        <v>2166</v>
      </c>
      <c r="DK46" s="1051">
        <f>Wless!DK55</f>
        <v>2201</v>
      </c>
      <c r="DL46" s="2154">
        <f>Wless!DL55</f>
        <v>2236</v>
      </c>
      <c r="DM46" s="2475">
        <f>Wless!DM55</f>
        <v>2281</v>
      </c>
      <c r="DN46" s="2154">
        <f>Wless!DN55</f>
        <v>2269</v>
      </c>
      <c r="DO46" s="2154">
        <f>Wless!DO55</f>
        <v>2258</v>
      </c>
      <c r="DP46" s="2154">
        <f>Wless!DP55</f>
        <v>2263</v>
      </c>
      <c r="DQ46" s="2475">
        <f>Wless!DQ55</f>
        <v>2297</v>
      </c>
      <c r="DR46" s="2154">
        <f>Wless!DR55</f>
        <v>2314</v>
      </c>
      <c r="DS46" s="2154">
        <f>Wless!DS55</f>
        <v>2323</v>
      </c>
      <c r="DT46" s="2154">
        <f>Wless!DT55</f>
        <v>2342</v>
      </c>
      <c r="DU46" s="2154">
        <f>Wless!DU55</f>
        <v>2320</v>
      </c>
      <c r="DV46" s="2154">
        <f>Wless!DV55</f>
        <v>2404</v>
      </c>
      <c r="DW46" s="1051">
        <f t="shared" ref="DW46:DY46" ca="1" si="171">DW50*DW26</f>
        <v>2434.5124979280499</v>
      </c>
      <c r="DX46" s="1051">
        <f t="shared" ca="1" si="171"/>
        <v>2472.3270951726568</v>
      </c>
      <c r="DY46" s="179">
        <f t="shared" ca="1" si="171"/>
        <v>2511.6721950025953</v>
      </c>
      <c r="DZ46" s="109"/>
    </row>
    <row r="47" spans="1:130" hidden="1" outlineLevel="1">
      <c r="A47" s="762" t="s">
        <v>508</v>
      </c>
      <c r="B47" s="109"/>
      <c r="C47" s="109"/>
      <c r="D47" s="109"/>
      <c r="E47" s="109"/>
      <c r="F47" s="109"/>
      <c r="G47" s="109"/>
      <c r="H47" s="109">
        <f t="shared" ref="H47:Q47" si="172">H46-G46</f>
        <v>2860.2849999999999</v>
      </c>
      <c r="I47" s="109">
        <f t="shared" si="172"/>
        <v>311.71500000000015</v>
      </c>
      <c r="J47" s="109">
        <f t="shared" si="172"/>
        <v>-430</v>
      </c>
      <c r="K47" s="109">
        <f t="shared" si="172"/>
        <v>539</v>
      </c>
      <c r="L47" s="109">
        <f t="shared" si="172"/>
        <v>673</v>
      </c>
      <c r="M47" s="109">
        <f t="shared" si="172"/>
        <v>253</v>
      </c>
      <c r="N47" s="109">
        <f t="shared" si="172"/>
        <v>500</v>
      </c>
      <c r="O47" s="109">
        <f t="shared" si="172"/>
        <v>361</v>
      </c>
      <c r="P47" s="109">
        <f t="shared" si="172"/>
        <v>1407.476339925759</v>
      </c>
      <c r="Q47" s="1044">
        <f t="shared" si="172"/>
        <v>478.52366007424098</v>
      </c>
      <c r="R47" s="109"/>
      <c r="S47" s="109"/>
      <c r="T47" s="1044"/>
      <c r="U47" s="109"/>
      <c r="V47" s="109"/>
      <c r="W47" s="109"/>
      <c r="X47" s="109"/>
      <c r="Y47" s="109"/>
      <c r="Z47" s="109"/>
      <c r="AA47" s="109"/>
      <c r="AB47" s="109"/>
      <c r="AC47" s="109"/>
      <c r="AD47" s="109"/>
      <c r="AE47" s="109"/>
      <c r="AF47" s="109"/>
      <c r="AG47" s="109"/>
      <c r="AH47" s="536"/>
      <c r="AI47" s="109"/>
      <c r="AJ47" s="109"/>
      <c r="AK47" s="109"/>
      <c r="AL47" s="109"/>
      <c r="AM47" s="169"/>
      <c r="AN47" s="109"/>
      <c r="AO47" s="109"/>
      <c r="AP47" s="171"/>
      <c r="AQ47" s="109"/>
      <c r="AR47" s="109"/>
      <c r="AS47" s="109"/>
      <c r="AT47" s="171"/>
      <c r="AU47" s="109"/>
      <c r="AV47" s="109"/>
      <c r="AW47" s="109"/>
      <c r="AX47" s="171"/>
      <c r="AY47" s="109"/>
      <c r="AZ47" s="109"/>
      <c r="BA47" s="109"/>
      <c r="BB47" s="171"/>
      <c r="BC47" s="109"/>
      <c r="BD47" s="109"/>
      <c r="BE47" s="109"/>
      <c r="BF47" s="171"/>
      <c r="BG47" s="109"/>
      <c r="BH47" s="109"/>
      <c r="BI47" s="109"/>
      <c r="BJ47" s="171"/>
      <c r="BK47" s="109">
        <f t="shared" ref="BK47:DV47" si="173">BK46-BJ46</f>
        <v>4</v>
      </c>
      <c r="BL47" s="109">
        <f t="shared" si="173"/>
        <v>43</v>
      </c>
      <c r="BM47" s="109">
        <f t="shared" si="173"/>
        <v>71</v>
      </c>
      <c r="BN47" s="171">
        <f t="shared" si="173"/>
        <v>-6</v>
      </c>
      <c r="BO47" s="109">
        <f t="shared" si="173"/>
        <v>49</v>
      </c>
      <c r="BP47" s="109">
        <f t="shared" si="173"/>
        <v>44</v>
      </c>
      <c r="BQ47" s="109">
        <f t="shared" si="173"/>
        <v>25</v>
      </c>
      <c r="BR47" s="171">
        <f t="shared" si="173"/>
        <v>48.75</v>
      </c>
      <c r="BS47" s="109">
        <f t="shared" si="173"/>
        <v>48</v>
      </c>
      <c r="BT47" s="109">
        <f t="shared" si="173"/>
        <v>44</v>
      </c>
      <c r="BU47" s="109">
        <f t="shared" si="173"/>
        <v>34</v>
      </c>
      <c r="BV47" s="171">
        <f t="shared" si="173"/>
        <v>-36.25</v>
      </c>
      <c r="BW47" s="109">
        <f t="shared" si="173"/>
        <v>25</v>
      </c>
      <c r="BX47" s="109">
        <f t="shared" si="173"/>
        <v>24</v>
      </c>
      <c r="BY47" s="109">
        <f t="shared" si="173"/>
        <v>37</v>
      </c>
      <c r="BZ47" s="171">
        <f t="shared" si="173"/>
        <v>124.75</v>
      </c>
      <c r="CA47" s="109">
        <f t="shared" si="173"/>
        <v>-84</v>
      </c>
      <c r="CB47" s="109">
        <f t="shared" si="173"/>
        <v>30</v>
      </c>
      <c r="CC47" s="109">
        <f t="shared" si="173"/>
        <v>9</v>
      </c>
      <c r="CD47" s="171">
        <f t="shared" si="173"/>
        <v>57</v>
      </c>
      <c r="CE47" s="109">
        <f t="shared" si="173"/>
        <v>37</v>
      </c>
      <c r="CF47" s="109">
        <f t="shared" si="173"/>
        <v>6</v>
      </c>
      <c r="CG47" s="109">
        <f t="shared" si="173"/>
        <v>7</v>
      </c>
      <c r="CH47" s="171">
        <f t="shared" si="173"/>
        <v>286.54964539007142</v>
      </c>
      <c r="CI47" s="109">
        <f t="shared" si="173"/>
        <v>15.635758055077986</v>
      </c>
      <c r="CJ47" s="109">
        <f t="shared" si="173"/>
        <v>50.728765492180173</v>
      </c>
      <c r="CK47" s="109">
        <f t="shared" si="173"/>
        <v>42.912953215879043</v>
      </c>
      <c r="CL47" s="171">
        <f t="shared" si="173"/>
        <v>49.92287784679138</v>
      </c>
      <c r="CM47" s="109">
        <f t="shared" si="173"/>
        <v>-22</v>
      </c>
      <c r="CN47" s="109">
        <f t="shared" si="173"/>
        <v>30</v>
      </c>
      <c r="CO47" s="109">
        <f t="shared" si="173"/>
        <v>39</v>
      </c>
      <c r="CP47" s="171">
        <f t="shared" si="173"/>
        <v>16</v>
      </c>
      <c r="CQ47" s="109">
        <f t="shared" si="173"/>
        <v>14</v>
      </c>
      <c r="CR47" s="109">
        <f t="shared" si="173"/>
        <v>8.75</v>
      </c>
      <c r="CS47" s="109">
        <f t="shared" si="173"/>
        <v>44</v>
      </c>
      <c r="CT47" s="171">
        <f t="shared" si="173"/>
        <v>17</v>
      </c>
      <c r="CU47" s="109">
        <f t="shared" si="173"/>
        <v>78</v>
      </c>
      <c r="CV47" s="109">
        <f t="shared" si="173"/>
        <v>61</v>
      </c>
      <c r="CW47" s="172">
        <f t="shared" si="173"/>
        <v>5</v>
      </c>
      <c r="CX47" s="109">
        <f t="shared" si="173"/>
        <v>-127</v>
      </c>
      <c r="CY47" s="109">
        <f t="shared" si="173"/>
        <v>93</v>
      </c>
      <c r="CZ47" s="109">
        <f t="shared" si="173"/>
        <v>26</v>
      </c>
      <c r="DA47" s="109">
        <f t="shared" si="173"/>
        <v>-43</v>
      </c>
      <c r="DB47" s="171">
        <f t="shared" si="173"/>
        <v>12</v>
      </c>
      <c r="DC47" s="109">
        <f t="shared" si="173"/>
        <v>41</v>
      </c>
      <c r="DD47" s="109">
        <f t="shared" si="173"/>
        <v>13</v>
      </c>
      <c r="DE47" s="109">
        <f t="shared" si="173"/>
        <v>29</v>
      </c>
      <c r="DF47" s="171">
        <f t="shared" si="173"/>
        <v>-28</v>
      </c>
      <c r="DG47" s="1044">
        <f t="shared" si="173"/>
        <v>46</v>
      </c>
      <c r="DH47" s="1044">
        <f t="shared" si="173"/>
        <v>32</v>
      </c>
      <c r="DI47" s="172">
        <f t="shared" si="173"/>
        <v>13</v>
      </c>
      <c r="DJ47" s="171">
        <f t="shared" si="173"/>
        <v>38</v>
      </c>
      <c r="DK47" s="1044">
        <f t="shared" si="173"/>
        <v>35</v>
      </c>
      <c r="DL47" s="1044">
        <f t="shared" si="173"/>
        <v>35</v>
      </c>
      <c r="DM47" s="172">
        <f t="shared" si="173"/>
        <v>45</v>
      </c>
      <c r="DN47" s="1044">
        <f t="shared" si="173"/>
        <v>-12</v>
      </c>
      <c r="DO47" s="1044">
        <f t="shared" si="173"/>
        <v>-11</v>
      </c>
      <c r="DP47" s="1044">
        <f t="shared" si="173"/>
        <v>5</v>
      </c>
      <c r="DQ47" s="172">
        <f t="shared" si="173"/>
        <v>34</v>
      </c>
      <c r="DR47" s="1044">
        <f t="shared" si="173"/>
        <v>17</v>
      </c>
      <c r="DS47" s="1044">
        <f t="shared" si="173"/>
        <v>9</v>
      </c>
      <c r="DT47" s="1044">
        <f t="shared" si="173"/>
        <v>19</v>
      </c>
      <c r="DU47" s="1044">
        <f t="shared" si="173"/>
        <v>-22</v>
      </c>
      <c r="DV47" s="1044">
        <f t="shared" si="173"/>
        <v>84</v>
      </c>
      <c r="DW47" s="1044"/>
      <c r="DX47" s="1044"/>
      <c r="DY47" s="172"/>
      <c r="DZ47" s="109"/>
    </row>
    <row r="48" spans="1:130" hidden="1" outlineLevel="1">
      <c r="A48" s="762" t="s">
        <v>509</v>
      </c>
      <c r="B48" s="109"/>
      <c r="C48" s="109"/>
      <c r="D48" s="109"/>
      <c r="E48" s="109"/>
      <c r="F48" s="109"/>
      <c r="G48" s="109"/>
      <c r="H48" s="109">
        <f>H47-H49</f>
        <v>2553.1421428571425</v>
      </c>
      <c r="I48" s="109">
        <f>I47-I49</f>
        <v>-45.85642857142841</v>
      </c>
      <c r="J48" s="109">
        <f>J47-J49</f>
        <v>-741</v>
      </c>
      <c r="K48" s="109">
        <f>K49-K47</f>
        <v>-211.14285714285711</v>
      </c>
      <c r="L48" s="109">
        <f>L49-L47</f>
        <v>-270.64285714285711</v>
      </c>
      <c r="M48" s="109">
        <f>M47-M49</f>
        <v>-210.14285714285717</v>
      </c>
      <c r="N48" s="109">
        <f>N47-N49</f>
        <v>27.285714285714278</v>
      </c>
      <c r="O48" s="109">
        <f>O47-O49</f>
        <v>-103.5</v>
      </c>
      <c r="P48" s="109">
        <f>P47-P49</f>
        <v>942.47633992575902</v>
      </c>
      <c r="Q48" s="1044">
        <f>Q47-Q49</f>
        <v>-32.333482782901854</v>
      </c>
      <c r="R48" s="168"/>
      <c r="S48" s="168"/>
      <c r="T48" s="1050"/>
      <c r="U48" s="168"/>
      <c r="V48" s="168"/>
      <c r="W48" s="168"/>
      <c r="X48" s="168"/>
      <c r="Y48" s="168"/>
      <c r="Z48" s="168"/>
      <c r="AA48" s="168"/>
      <c r="AB48" s="168"/>
      <c r="AC48" s="168"/>
      <c r="AD48" s="168"/>
      <c r="AE48" s="168"/>
      <c r="AF48" s="168"/>
      <c r="AG48" s="168"/>
      <c r="AH48" s="792"/>
      <c r="AI48" s="168"/>
      <c r="AJ48" s="168"/>
      <c r="AK48" s="168"/>
      <c r="AL48" s="168"/>
      <c r="AM48" s="169"/>
      <c r="AN48" s="109"/>
      <c r="AO48" s="109"/>
      <c r="AP48" s="171"/>
      <c r="AQ48" s="109"/>
      <c r="AR48" s="109"/>
      <c r="AS48" s="109"/>
      <c r="AT48" s="171"/>
      <c r="AU48" s="109"/>
      <c r="AV48" s="109"/>
      <c r="AW48" s="109"/>
      <c r="AX48" s="171"/>
      <c r="AY48" s="109"/>
      <c r="AZ48" s="109"/>
      <c r="BA48" s="109"/>
      <c r="BB48" s="171"/>
      <c r="BC48" s="109"/>
      <c r="BD48" s="109"/>
      <c r="BE48" s="109"/>
      <c r="BF48" s="171"/>
      <c r="BG48" s="109"/>
      <c r="BH48" s="109"/>
      <c r="BI48" s="109"/>
      <c r="BJ48" s="171"/>
      <c r="BK48" s="109">
        <f t="shared" ref="BK48:DF48" si="174">BK47-BK49</f>
        <v>-85.142857142857139</v>
      </c>
      <c r="BL48" s="109">
        <f t="shared" si="174"/>
        <v>-22.785714285714292</v>
      </c>
      <c r="BM48" s="109">
        <f t="shared" si="174"/>
        <v>-27.071428571428569</v>
      </c>
      <c r="BN48" s="171">
        <f t="shared" si="174"/>
        <v>-85.071428571428569</v>
      </c>
      <c r="BO48" s="109">
        <f t="shared" si="174"/>
        <v>-21.642857142857139</v>
      </c>
      <c r="BP48" s="109">
        <f t="shared" si="174"/>
        <v>-26.214285714285708</v>
      </c>
      <c r="BQ48" s="109">
        <f t="shared" si="174"/>
        <v>-82.928571428571431</v>
      </c>
      <c r="BR48" s="171">
        <f t="shared" si="174"/>
        <v>-45.107142857142861</v>
      </c>
      <c r="BS48" s="109">
        <f t="shared" si="174"/>
        <v>-54.357142857142861</v>
      </c>
      <c r="BT48" s="109">
        <f t="shared" si="174"/>
        <v>-54.142857142857139</v>
      </c>
      <c r="BU48" s="109">
        <f t="shared" si="174"/>
        <v>-74</v>
      </c>
      <c r="BV48" s="171">
        <f t="shared" si="174"/>
        <v>-153.46428571428572</v>
      </c>
      <c r="BW48" s="109">
        <f t="shared" si="174"/>
        <v>-96.285714285714292</v>
      </c>
      <c r="BX48" s="109">
        <f t="shared" si="174"/>
        <v>-91.928571428571431</v>
      </c>
      <c r="BY48" s="109">
        <f t="shared" si="174"/>
        <v>-71.714285714285708</v>
      </c>
      <c r="BZ48" s="171">
        <f t="shared" si="174"/>
        <v>11.821428571428569</v>
      </c>
      <c r="CA48" s="109">
        <f t="shared" si="174"/>
        <v>-198.07142857142856</v>
      </c>
      <c r="CB48" s="109">
        <f t="shared" si="174"/>
        <v>-85.928571428571431</v>
      </c>
      <c r="CC48" s="109">
        <f t="shared" si="174"/>
        <v>-120.78571428571428</v>
      </c>
      <c r="CD48" s="171">
        <f t="shared" si="174"/>
        <v>-65.928571428571431</v>
      </c>
      <c r="CE48" s="109">
        <f t="shared" si="174"/>
        <v>-82.071428571428569</v>
      </c>
      <c r="CF48" s="109">
        <f t="shared" si="174"/>
        <v>-102.21428571428571</v>
      </c>
      <c r="CG48" s="109">
        <f t="shared" si="174"/>
        <v>-107.28571428571429</v>
      </c>
      <c r="CH48" s="171">
        <f t="shared" si="174"/>
        <v>163.54964539007142</v>
      </c>
      <c r="CI48" s="109">
        <f t="shared" si="174"/>
        <v>-93.507099087779153</v>
      </c>
      <c r="CJ48" s="109">
        <f t="shared" si="174"/>
        <v>-54.485520222105535</v>
      </c>
      <c r="CK48" s="109">
        <f t="shared" si="174"/>
        <v>-84.729903926978096</v>
      </c>
      <c r="CL48" s="171">
        <f t="shared" si="174"/>
        <v>-60.862836438922912</v>
      </c>
      <c r="CM48" s="109">
        <f t="shared" si="174"/>
        <v>-149.35714285714286</v>
      </c>
      <c r="CN48" s="109">
        <f t="shared" si="174"/>
        <v>-98.571428571428584</v>
      </c>
      <c r="CO48" s="109">
        <f t="shared" si="174"/>
        <v>-105.14285714285714</v>
      </c>
      <c r="CP48" s="171">
        <f t="shared" si="174"/>
        <v>-110.42857142857143</v>
      </c>
      <c r="CQ48" s="109">
        <f t="shared" si="174"/>
        <v>-147.57142857142858</v>
      </c>
      <c r="CR48" s="109">
        <f t="shared" si="174"/>
        <v>-146.46428571428572</v>
      </c>
      <c r="CS48" s="109">
        <f t="shared" si="174"/>
        <v>-115.5</v>
      </c>
      <c r="CT48" s="171">
        <f t="shared" si="174"/>
        <v>-178.35714285714286</v>
      </c>
      <c r="CU48" s="109">
        <f t="shared" si="174"/>
        <v>-112.5</v>
      </c>
      <c r="CV48" s="109">
        <f t="shared" si="174"/>
        <v>-66.428571428571431</v>
      </c>
      <c r="CW48" s="172">
        <f t="shared" si="174"/>
        <v>-122.64285714285714</v>
      </c>
      <c r="CX48" s="109">
        <f t="shared" si="174"/>
        <v>-261.64285714285711</v>
      </c>
      <c r="CY48" s="109">
        <f t="shared" si="174"/>
        <v>-53.285714285714278</v>
      </c>
      <c r="CZ48" s="109">
        <f t="shared" si="174"/>
        <v>-126.35714285714286</v>
      </c>
      <c r="DA48" s="109">
        <f t="shared" si="174"/>
        <v>-242.35714285714286</v>
      </c>
      <c r="DB48" s="171">
        <f t="shared" si="174"/>
        <v>-130.28571428571428</v>
      </c>
      <c r="DC48" s="109">
        <f t="shared" si="174"/>
        <v>-121.71428571428572</v>
      </c>
      <c r="DD48" s="109">
        <f t="shared" si="174"/>
        <v>-162</v>
      </c>
      <c r="DE48" s="109">
        <f t="shared" si="174"/>
        <v>-164.21428571428572</v>
      </c>
      <c r="DF48" s="171">
        <f t="shared" si="174"/>
        <v>-210.42857142857142</v>
      </c>
      <c r="DG48" s="1044">
        <f t="shared" ref="DG48:DL48" si="175">DG47-DG49</f>
        <v>-151.92857142857142</v>
      </c>
      <c r="DH48" s="1044">
        <f t="shared" si="175"/>
        <v>-145.35714285714286</v>
      </c>
      <c r="DI48" s="172">
        <f t="shared" si="175"/>
        <v>-180.35714285714286</v>
      </c>
      <c r="DJ48" s="171">
        <f t="shared" si="175"/>
        <v>-134.78571428571428</v>
      </c>
      <c r="DK48" s="1044">
        <f t="shared" si="175"/>
        <v>-188.28571428571428</v>
      </c>
      <c r="DL48" s="1044">
        <f t="shared" si="175"/>
        <v>-173.64285714285714</v>
      </c>
      <c r="DM48" s="172">
        <f t="shared" ref="DM48:DR48" si="176">DM47-DM49</f>
        <v>-187.78571428571428</v>
      </c>
      <c r="DN48" s="1044">
        <f t="shared" si="176"/>
        <v>-168.42857142857142</v>
      </c>
      <c r="DO48" s="1044">
        <f t="shared" si="176"/>
        <v>-212.07142857142858</v>
      </c>
      <c r="DP48" s="1044">
        <f t="shared" si="176"/>
        <v>-192.92857142857142</v>
      </c>
      <c r="DQ48" s="172">
        <f t="shared" si="176"/>
        <v>-213.42857142857142</v>
      </c>
      <c r="DR48" s="1044">
        <f t="shared" si="176"/>
        <v>-113.78571428571428</v>
      </c>
      <c r="DS48" s="1044">
        <f t="shared" ref="DS48:DT48" si="177">DS47-DS49</f>
        <v>-165.57142857142858</v>
      </c>
      <c r="DT48" s="1044">
        <f t="shared" si="177"/>
        <v>-193.14285714285714</v>
      </c>
      <c r="DU48" s="1044">
        <f t="shared" ref="DU48:DV48" si="178">DU47-DU49</f>
        <v>-263.64285714285711</v>
      </c>
      <c r="DV48" s="1044">
        <f t="shared" si="178"/>
        <v>-85.071428571428584</v>
      </c>
      <c r="DW48" s="1050"/>
      <c r="DX48" s="1050"/>
      <c r="DY48" s="174"/>
      <c r="DZ48" s="109"/>
    </row>
    <row r="49" spans="1:130" hidden="1" outlineLevel="1">
      <c r="A49" s="762" t="s">
        <v>510</v>
      </c>
      <c r="B49" s="109"/>
      <c r="C49" s="109"/>
      <c r="D49" s="109"/>
      <c r="E49" s="109"/>
      <c r="F49" s="109"/>
      <c r="G49" s="109"/>
      <c r="H49" s="109">
        <f>H114/14</f>
        <v>307.14285714285717</v>
      </c>
      <c r="I49" s="109">
        <f>I114/14</f>
        <v>357.57142857142856</v>
      </c>
      <c r="J49" s="109">
        <f>SUM(BJ49:BM49)</f>
        <v>311</v>
      </c>
      <c r="K49" s="109">
        <f>SUM(BN49:BQ49)</f>
        <v>327.85714285714289</v>
      </c>
      <c r="L49" s="109">
        <f>SUM(BR49:BU49)</f>
        <v>402.35714285714289</v>
      </c>
      <c r="M49" s="109">
        <f>SUM(BV49:BY49)</f>
        <v>463.14285714285717</v>
      </c>
      <c r="N49" s="109">
        <f>N114/14</f>
        <v>472.71428571428572</v>
      </c>
      <c r="O49" s="109">
        <f>O114/14</f>
        <v>464.5</v>
      </c>
      <c r="P49" s="109">
        <f>P114/14</f>
        <v>465</v>
      </c>
      <c r="Q49" s="1044">
        <f>Q114/14</f>
        <v>510.85714285714283</v>
      </c>
      <c r="R49" s="109"/>
      <c r="S49" s="109"/>
      <c r="T49" s="1044"/>
      <c r="U49" s="109"/>
      <c r="V49" s="109"/>
      <c r="W49" s="109"/>
      <c r="X49" s="109"/>
      <c r="Y49" s="109"/>
      <c r="Z49" s="109"/>
      <c r="AA49" s="109"/>
      <c r="AB49" s="109"/>
      <c r="AC49" s="109"/>
      <c r="AD49" s="109"/>
      <c r="AE49" s="109"/>
      <c r="AF49" s="109"/>
      <c r="AG49" s="109"/>
      <c r="AH49" s="536"/>
      <c r="AI49" s="109"/>
      <c r="AJ49" s="109"/>
      <c r="AK49" s="109"/>
      <c r="AL49" s="109"/>
      <c r="AM49" s="169"/>
      <c r="AN49" s="109"/>
      <c r="AO49" s="109"/>
      <c r="AP49" s="171"/>
      <c r="AQ49" s="109"/>
      <c r="AR49" s="109"/>
      <c r="AS49" s="109"/>
      <c r="AT49" s="171"/>
      <c r="AU49" s="109"/>
      <c r="AV49" s="109"/>
      <c r="AW49" s="109"/>
      <c r="AX49" s="171"/>
      <c r="AY49" s="109"/>
      <c r="AZ49" s="109"/>
      <c r="BA49" s="109"/>
      <c r="BB49" s="171"/>
      <c r="BC49" s="109"/>
      <c r="BD49" s="109"/>
      <c r="BE49" s="109"/>
      <c r="BF49" s="171"/>
      <c r="BG49" s="109"/>
      <c r="BH49" s="109"/>
      <c r="BI49" s="109"/>
      <c r="BJ49" s="171">
        <f t="shared" ref="BJ49:DE49" si="179">BJ114/14</f>
        <v>58</v>
      </c>
      <c r="BK49" s="109">
        <f t="shared" si="179"/>
        <v>89.142857142857139</v>
      </c>
      <c r="BL49" s="109">
        <f t="shared" si="179"/>
        <v>65.785714285714292</v>
      </c>
      <c r="BM49" s="109">
        <f t="shared" si="179"/>
        <v>98.071428571428569</v>
      </c>
      <c r="BN49" s="171">
        <f t="shared" si="179"/>
        <v>79.071428571428569</v>
      </c>
      <c r="BO49" s="109">
        <f t="shared" si="179"/>
        <v>70.642857142857139</v>
      </c>
      <c r="BP49" s="109">
        <f t="shared" si="179"/>
        <v>70.214285714285708</v>
      </c>
      <c r="BQ49" s="109">
        <f t="shared" si="179"/>
        <v>107.92857142857143</v>
      </c>
      <c r="BR49" s="171">
        <f t="shared" si="179"/>
        <v>93.857142857142861</v>
      </c>
      <c r="BS49" s="109">
        <f t="shared" si="179"/>
        <v>102.35714285714286</v>
      </c>
      <c r="BT49" s="109">
        <f t="shared" si="179"/>
        <v>98.142857142857139</v>
      </c>
      <c r="BU49" s="109">
        <f t="shared" si="179"/>
        <v>108</v>
      </c>
      <c r="BV49" s="171">
        <f t="shared" si="179"/>
        <v>117.21428571428571</v>
      </c>
      <c r="BW49" s="109">
        <f t="shared" si="179"/>
        <v>121.28571428571429</v>
      </c>
      <c r="BX49" s="109">
        <f t="shared" si="179"/>
        <v>115.92857142857143</v>
      </c>
      <c r="BY49" s="109">
        <f t="shared" si="179"/>
        <v>108.71428571428571</v>
      </c>
      <c r="BZ49" s="171">
        <f t="shared" si="179"/>
        <v>112.92857142857143</v>
      </c>
      <c r="CA49" s="109">
        <f t="shared" si="179"/>
        <v>114.07142857142857</v>
      </c>
      <c r="CB49" s="109">
        <f t="shared" si="179"/>
        <v>115.92857142857143</v>
      </c>
      <c r="CC49" s="109">
        <f t="shared" si="179"/>
        <v>129.78571428571428</v>
      </c>
      <c r="CD49" s="171">
        <f t="shared" si="179"/>
        <v>122.92857142857143</v>
      </c>
      <c r="CE49" s="109">
        <f t="shared" si="179"/>
        <v>119.07142857142857</v>
      </c>
      <c r="CF49" s="109">
        <f t="shared" si="179"/>
        <v>108.21428571428571</v>
      </c>
      <c r="CG49" s="109">
        <f t="shared" si="179"/>
        <v>114.28571428571429</v>
      </c>
      <c r="CH49" s="171">
        <f t="shared" si="179"/>
        <v>123</v>
      </c>
      <c r="CI49" s="109">
        <f t="shared" si="179"/>
        <v>109.14285714285714</v>
      </c>
      <c r="CJ49" s="109">
        <f t="shared" si="179"/>
        <v>105.21428571428571</v>
      </c>
      <c r="CK49" s="109">
        <f t="shared" si="179"/>
        <v>127.64285714285714</v>
      </c>
      <c r="CL49" s="171">
        <f t="shared" si="179"/>
        <v>110.78571428571429</v>
      </c>
      <c r="CM49" s="109">
        <f t="shared" si="179"/>
        <v>127.35714285714286</v>
      </c>
      <c r="CN49" s="109">
        <f t="shared" si="179"/>
        <v>128.57142857142858</v>
      </c>
      <c r="CO49" s="109">
        <f t="shared" si="179"/>
        <v>144.14285714285714</v>
      </c>
      <c r="CP49" s="171">
        <f t="shared" si="179"/>
        <v>126.42857142857143</v>
      </c>
      <c r="CQ49" s="109">
        <f t="shared" si="179"/>
        <v>161.57142857142858</v>
      </c>
      <c r="CR49" s="109">
        <f t="shared" si="179"/>
        <v>155.21428571428572</v>
      </c>
      <c r="CS49" s="109">
        <f t="shared" si="179"/>
        <v>159.5</v>
      </c>
      <c r="CT49" s="171">
        <f t="shared" si="179"/>
        <v>195.35714285714286</v>
      </c>
      <c r="CU49" s="109">
        <f t="shared" si="179"/>
        <v>190.5</v>
      </c>
      <c r="CV49" s="109">
        <f t="shared" si="179"/>
        <v>127.42857142857143</v>
      </c>
      <c r="CW49" s="172">
        <f t="shared" si="179"/>
        <v>127.64285714285714</v>
      </c>
      <c r="CX49" s="109">
        <f t="shared" si="179"/>
        <v>134.64285714285714</v>
      </c>
      <c r="CY49" s="109">
        <f t="shared" si="179"/>
        <v>146.28571428571428</v>
      </c>
      <c r="CZ49" s="109">
        <f t="shared" si="179"/>
        <v>152.35714285714286</v>
      </c>
      <c r="DA49" s="109">
        <f t="shared" si="179"/>
        <v>199.35714285714286</v>
      </c>
      <c r="DB49" s="171">
        <f t="shared" si="179"/>
        <v>142.28571428571428</v>
      </c>
      <c r="DC49" s="109">
        <f t="shared" si="179"/>
        <v>162.71428571428572</v>
      </c>
      <c r="DD49" s="109">
        <f t="shared" si="179"/>
        <v>175</v>
      </c>
      <c r="DE49" s="109">
        <f t="shared" si="179"/>
        <v>193.21428571428572</v>
      </c>
      <c r="DF49" s="171">
        <f t="shared" ref="DF49:DK49" si="180">DF114/14</f>
        <v>182.42857142857142</v>
      </c>
      <c r="DG49" s="1044">
        <f t="shared" si="180"/>
        <v>197.92857142857142</v>
      </c>
      <c r="DH49" s="1044">
        <f t="shared" si="180"/>
        <v>177.35714285714286</v>
      </c>
      <c r="DI49" s="172">
        <f t="shared" si="180"/>
        <v>193.35714285714286</v>
      </c>
      <c r="DJ49" s="171">
        <f t="shared" si="180"/>
        <v>172.78571428571428</v>
      </c>
      <c r="DK49" s="1044">
        <f t="shared" si="180"/>
        <v>223.28571428571428</v>
      </c>
      <c r="DL49" s="1044">
        <f t="shared" ref="DL49:DQ49" si="181">DL114/14</f>
        <v>208.64285714285714</v>
      </c>
      <c r="DM49" s="172">
        <f t="shared" si="181"/>
        <v>232.78571428571428</v>
      </c>
      <c r="DN49" s="1044">
        <f t="shared" si="181"/>
        <v>156.42857142857142</v>
      </c>
      <c r="DO49" s="1044">
        <f t="shared" si="181"/>
        <v>201.07142857142858</v>
      </c>
      <c r="DP49" s="1044">
        <f t="shared" si="181"/>
        <v>197.92857142857142</v>
      </c>
      <c r="DQ49" s="172">
        <f t="shared" si="181"/>
        <v>247.42857142857142</v>
      </c>
      <c r="DR49" s="1044">
        <f t="shared" ref="DR49:DS49" si="182">DR114/14</f>
        <v>130.78571428571428</v>
      </c>
      <c r="DS49" s="1044">
        <f t="shared" si="182"/>
        <v>174.57142857142858</v>
      </c>
      <c r="DT49" s="1044">
        <f t="shared" ref="DT49:DU49" si="183">DT114/14</f>
        <v>212.14285714285714</v>
      </c>
      <c r="DU49" s="1044">
        <f t="shared" si="183"/>
        <v>241.64285714285714</v>
      </c>
      <c r="DV49" s="1044">
        <f t="shared" ref="DV49" si="184">DV114/14</f>
        <v>169.07142857142858</v>
      </c>
      <c r="DW49" s="1044"/>
      <c r="DX49" s="1044"/>
      <c r="DY49" s="172"/>
      <c r="DZ49" s="109"/>
    </row>
    <row r="50" spans="1:130" hidden="1" outlineLevel="1">
      <c r="A50" s="176" t="s">
        <v>511</v>
      </c>
      <c r="B50" s="94"/>
      <c r="C50" s="94"/>
      <c r="D50" s="94"/>
      <c r="E50" s="94"/>
      <c r="F50" s="94"/>
      <c r="G50" s="94"/>
      <c r="H50" s="94"/>
      <c r="I50" s="94"/>
      <c r="J50" s="94"/>
      <c r="K50" s="94"/>
      <c r="L50" s="94"/>
      <c r="M50" s="94"/>
      <c r="N50" s="94">
        <f t="shared" ref="N50:V50" si="185">N46/N26</f>
        <v>0.36656023674168681</v>
      </c>
      <c r="O50" s="94">
        <f t="shared" si="185"/>
        <v>0.39658815243759293</v>
      </c>
      <c r="P50" s="94">
        <f t="shared" si="185"/>
        <v>0.49348242188124974</v>
      </c>
      <c r="Q50" s="1045">
        <f t="shared" si="185"/>
        <v>0.52039212751627628</v>
      </c>
      <c r="R50" s="94">
        <f t="shared" si="185"/>
        <v>0.51687029407586305</v>
      </c>
      <c r="S50" s="94">
        <f t="shared" si="185"/>
        <v>0.52491494896938162</v>
      </c>
      <c r="T50" s="1045">
        <f t="shared" si="185"/>
        <v>0.52707774798927609</v>
      </c>
      <c r="U50" s="94">
        <f t="shared" si="185"/>
        <v>0.54018392642942825</v>
      </c>
      <c r="V50" s="94">
        <f t="shared" si="185"/>
        <v>0.56003482220585277</v>
      </c>
      <c r="W50" s="94">
        <f>W46/W26</f>
        <v>0.61621696608170906</v>
      </c>
      <c r="X50" s="94">
        <f>X46/X26</f>
        <v>0.63421273031825798</v>
      </c>
      <c r="Y50" s="94">
        <f>Y46/Y26</f>
        <v>0.60564022404585127</v>
      </c>
      <c r="Z50" s="94">
        <f ca="1">Z46/Z26</f>
        <v>0.62018158104975896</v>
      </c>
      <c r="AA50" s="2997">
        <f ca="1">+Z50+0.005</f>
        <v>0.62518158104975896</v>
      </c>
      <c r="AB50" s="2997">
        <f ca="1">+AA50+0.005</f>
        <v>0.63018158104975897</v>
      </c>
      <c r="AC50" s="2997">
        <f t="shared" ref="AC50:AG50" ca="1" si="186">+AB50+0.005</f>
        <v>0.63518158104975897</v>
      </c>
      <c r="AD50" s="2997">
        <f t="shared" ca="1" si="186"/>
        <v>0.64018158104975897</v>
      </c>
      <c r="AE50" s="2997">
        <f t="shared" ca="1" si="186"/>
        <v>0.64518158104975898</v>
      </c>
      <c r="AF50" s="2997">
        <f t="shared" ca="1" si="186"/>
        <v>0.65018158104975898</v>
      </c>
      <c r="AG50" s="2997">
        <f t="shared" ca="1" si="186"/>
        <v>0.65518158104975899</v>
      </c>
      <c r="AH50" s="138"/>
      <c r="AI50" s="94"/>
      <c r="AJ50" s="94"/>
      <c r="AK50" s="94"/>
      <c r="AL50" s="94"/>
      <c r="AM50" s="195"/>
      <c r="AN50" s="94"/>
      <c r="AO50" s="94"/>
      <c r="AP50" s="147"/>
      <c r="AQ50" s="94"/>
      <c r="AR50" s="94"/>
      <c r="AS50" s="94"/>
      <c r="AT50" s="147"/>
      <c r="AU50" s="94"/>
      <c r="AV50" s="94"/>
      <c r="AW50" s="94"/>
      <c r="AX50" s="147"/>
      <c r="AY50" s="94"/>
      <c r="AZ50" s="94"/>
      <c r="BA50" s="94"/>
      <c r="BB50" s="147"/>
      <c r="BC50" s="94"/>
      <c r="BD50" s="94"/>
      <c r="BE50" s="94"/>
      <c r="BF50" s="147"/>
      <c r="BG50" s="94"/>
      <c r="BH50" s="94"/>
      <c r="BI50" s="94"/>
      <c r="BJ50" s="147"/>
      <c r="BK50" s="94"/>
      <c r="BL50" s="94"/>
      <c r="BM50" s="94"/>
      <c r="BN50" s="147"/>
      <c r="BO50" s="94"/>
      <c r="BP50" s="94"/>
      <c r="BQ50" s="94"/>
      <c r="BR50" s="147"/>
      <c r="BS50" s="94"/>
      <c r="BT50" s="94"/>
      <c r="BU50" s="94"/>
      <c r="BV50" s="147"/>
      <c r="BW50" s="94"/>
      <c r="BX50" s="94"/>
      <c r="BY50" s="94"/>
      <c r="BZ50" s="147">
        <f t="shared" ref="BZ50:DE50" si="187">BZ46/BZ26</f>
        <v>0.3769367147151777</v>
      </c>
      <c r="CA50" s="94">
        <f t="shared" si="187"/>
        <v>0.35765334171051599</v>
      </c>
      <c r="CB50" s="94">
        <f t="shared" si="187"/>
        <v>0.36730844793713163</v>
      </c>
      <c r="CC50" s="94">
        <f t="shared" si="187"/>
        <v>0.36418464393412203</v>
      </c>
      <c r="CD50" s="147">
        <f t="shared" si="187"/>
        <v>0.39393697646589548</v>
      </c>
      <c r="CE50" s="94">
        <f t="shared" si="187"/>
        <v>0.40063016935801499</v>
      </c>
      <c r="CF50" s="94">
        <f t="shared" si="187"/>
        <v>0.39862703799048288</v>
      </c>
      <c r="CG50" s="94">
        <f t="shared" si="187"/>
        <v>0.39320425499349504</v>
      </c>
      <c r="CH50" s="147">
        <f t="shared" si="187"/>
        <v>0.49462405207086074</v>
      </c>
      <c r="CI50" s="94">
        <f t="shared" si="187"/>
        <v>0.48998236808311568</v>
      </c>
      <c r="CJ50" s="94">
        <f t="shared" si="187"/>
        <v>0.49524814183359683</v>
      </c>
      <c r="CK50" s="94">
        <f t="shared" si="187"/>
        <v>0.49403222996051704</v>
      </c>
      <c r="CL50" s="147">
        <f t="shared" si="187"/>
        <v>0.52856270047349929</v>
      </c>
      <c r="CM50" s="94">
        <f t="shared" si="187"/>
        <v>0.51961977186311792</v>
      </c>
      <c r="CN50" s="94">
        <f t="shared" si="187"/>
        <v>0.51787576344406372</v>
      </c>
      <c r="CO50" s="94">
        <f t="shared" si="187"/>
        <v>0.51581773327528657</v>
      </c>
      <c r="CP50" s="147">
        <f t="shared" si="187"/>
        <v>0.52190046565774151</v>
      </c>
      <c r="CQ50" s="94">
        <f t="shared" si="187"/>
        <v>0.51768834144944142</v>
      </c>
      <c r="CR50" s="94">
        <f t="shared" si="187"/>
        <v>0.51227080394922431</v>
      </c>
      <c r="CS50" s="94">
        <f t="shared" si="187"/>
        <v>0.51580698835274541</v>
      </c>
      <c r="CT50" s="147">
        <f t="shared" si="187"/>
        <v>0.51456377218833527</v>
      </c>
      <c r="CU50" s="94">
        <f t="shared" si="187"/>
        <v>0.52318190941326015</v>
      </c>
      <c r="CV50" s="94">
        <f t="shared" si="187"/>
        <v>0.53014265991716525</v>
      </c>
      <c r="CW50" s="101">
        <f t="shared" si="187"/>
        <v>0.53131777850805129</v>
      </c>
      <c r="CX50" s="94">
        <f t="shared" si="187"/>
        <v>0.51734498770827642</v>
      </c>
      <c r="CY50" s="94">
        <f t="shared" si="187"/>
        <v>0.5283169369848445</v>
      </c>
      <c r="CZ50" s="94">
        <f t="shared" si="187"/>
        <v>0.53480340063761955</v>
      </c>
      <c r="DA50" s="94">
        <f t="shared" si="187"/>
        <v>0.52758435993572572</v>
      </c>
      <c r="DB50" s="147">
        <f t="shared" si="187"/>
        <v>0.53308230231307152</v>
      </c>
      <c r="DC50" s="94">
        <f t="shared" si="187"/>
        <v>0.53932284724073576</v>
      </c>
      <c r="DD50" s="94">
        <f t="shared" si="187"/>
        <v>0.54235482152370806</v>
      </c>
      <c r="DE50" s="94">
        <f t="shared" si="187"/>
        <v>0.54586307163626746</v>
      </c>
      <c r="DF50" s="147">
        <f t="shared" ref="DF50:DK50" si="188">DF46/DF26</f>
        <v>0.54508964409954508</v>
      </c>
      <c r="DG50" s="1045">
        <f t="shared" si="188"/>
        <v>0.55384206328104224</v>
      </c>
      <c r="DH50" s="1045">
        <f t="shared" si="188"/>
        <v>0.56145473851871519</v>
      </c>
      <c r="DI50" s="101">
        <f t="shared" si="188"/>
        <v>0.58015267175572516</v>
      </c>
      <c r="DJ50" s="147">
        <f t="shared" si="188"/>
        <v>0.60351072722206744</v>
      </c>
      <c r="DK50" s="1045">
        <f t="shared" si="188"/>
        <v>0.61480446927374299</v>
      </c>
      <c r="DL50" s="1045">
        <f t="shared" ref="DL50:DQ50" si="189">DL46/DL26</f>
        <v>0.61956220559711828</v>
      </c>
      <c r="DM50" s="101">
        <f t="shared" si="189"/>
        <v>0.6268205550975543</v>
      </c>
      <c r="DN50" s="1045">
        <f t="shared" si="189"/>
        <v>0.62731545479679296</v>
      </c>
      <c r="DO50" s="1045">
        <f t="shared" si="189"/>
        <v>0.63037409268565048</v>
      </c>
      <c r="DP50" s="1045">
        <f t="shared" si="189"/>
        <v>0.63890457368718234</v>
      </c>
      <c r="DQ50" s="101">
        <f t="shared" si="189"/>
        <v>0.64036799553944801</v>
      </c>
      <c r="DR50" s="1045">
        <f t="shared" ref="DR50:DS50" si="190">DR46/DR26</f>
        <v>0.63241322765783003</v>
      </c>
      <c r="DS50" s="1045">
        <f t="shared" si="190"/>
        <v>0.61667109105388906</v>
      </c>
      <c r="DT50" s="1045">
        <f t="shared" ref="DT50:DU50" si="191">DT46/DT26</f>
        <v>0.6048553719008265</v>
      </c>
      <c r="DU50" s="1045">
        <f t="shared" si="191"/>
        <v>0.57199211045364895</v>
      </c>
      <c r="DV50" s="1045">
        <f t="shared" ref="DV50" si="192">DV46/DV26</f>
        <v>0.6126401630988787</v>
      </c>
      <c r="DW50" s="3267">
        <f t="shared" ref="DW50" si="193">+DV50+0.005</f>
        <v>0.6176401630988787</v>
      </c>
      <c r="DX50" s="3267">
        <f t="shared" ref="DX50" si="194">+DW50+0.005</f>
        <v>0.62264016309887871</v>
      </c>
      <c r="DY50" s="2998">
        <f t="shared" ref="DY50" si="195">+DX50+0.005</f>
        <v>0.62764016309887871</v>
      </c>
      <c r="DZ50" s="94"/>
    </row>
    <row r="51" spans="1:130" hidden="1" outlineLevel="1">
      <c r="A51" s="711" t="s">
        <v>513</v>
      </c>
      <c r="B51" s="91"/>
      <c r="C51" s="91"/>
      <c r="D51" s="91"/>
      <c r="E51" s="91"/>
      <c r="F51" s="91"/>
      <c r="G51" s="91"/>
      <c r="H51" s="91"/>
      <c r="I51" s="91"/>
      <c r="J51" s="91"/>
      <c r="K51" s="91"/>
      <c r="L51" s="91"/>
      <c r="M51" s="91"/>
      <c r="N51" s="91"/>
      <c r="O51" s="91"/>
      <c r="P51" s="91"/>
      <c r="Q51" s="1068"/>
      <c r="R51" s="91"/>
      <c r="S51" s="91"/>
      <c r="T51" s="1068"/>
      <c r="U51" s="91"/>
      <c r="V51" s="91"/>
      <c r="W51" s="91"/>
      <c r="X51" s="91"/>
      <c r="Y51" s="91"/>
      <c r="Z51" s="91"/>
      <c r="AA51" s="91"/>
      <c r="AB51" s="91"/>
      <c r="AC51" s="91"/>
      <c r="AD51" s="91"/>
      <c r="AE51" s="91"/>
      <c r="AF51" s="91"/>
      <c r="AG51" s="91"/>
      <c r="AH51" s="1238"/>
      <c r="AI51" s="91"/>
      <c r="AJ51" s="91"/>
      <c r="AK51" s="91"/>
      <c r="AL51" s="91"/>
      <c r="AM51" s="91"/>
      <c r="AN51" s="91"/>
      <c r="AO51" s="91"/>
      <c r="AP51" s="151"/>
      <c r="AQ51" s="91"/>
      <c r="AR51" s="91"/>
      <c r="AS51" s="91"/>
      <c r="AT51" s="151"/>
      <c r="AU51" s="91"/>
      <c r="AV51" s="91"/>
      <c r="AW51" s="91"/>
      <c r="AX51" s="151"/>
      <c r="AY51" s="91"/>
      <c r="AZ51" s="91"/>
      <c r="BA51" s="91"/>
      <c r="BB51" s="151"/>
      <c r="BC51" s="91"/>
      <c r="BD51" s="91"/>
      <c r="BE51" s="91"/>
      <c r="BF51" s="151"/>
      <c r="BG51" s="91"/>
      <c r="BH51" s="91"/>
      <c r="BI51" s="91"/>
      <c r="BJ51" s="151"/>
      <c r="BK51" s="91"/>
      <c r="BL51" s="91"/>
      <c r="BM51" s="91"/>
      <c r="BN51" s="151"/>
      <c r="BO51" s="91"/>
      <c r="BP51" s="91"/>
      <c r="BQ51" s="91"/>
      <c r="BR51" s="151"/>
      <c r="BS51" s="91"/>
      <c r="BT51" s="91"/>
      <c r="BU51" s="91"/>
      <c r="BV51" s="151"/>
      <c r="BW51" s="91"/>
      <c r="BX51" s="91"/>
      <c r="BY51" s="91"/>
      <c r="BZ51" s="151"/>
      <c r="CA51" s="91"/>
      <c r="CB51" s="91"/>
      <c r="CC51" s="91"/>
      <c r="CD51" s="151"/>
      <c r="CE51" s="91"/>
      <c r="CF51" s="91"/>
      <c r="CG51" s="91"/>
      <c r="CH51" s="151"/>
      <c r="CI51" s="91"/>
      <c r="CJ51" s="91"/>
      <c r="CK51" s="91"/>
      <c r="CL51" s="151"/>
      <c r="CM51" s="91"/>
      <c r="CN51" s="91"/>
      <c r="CO51" s="91"/>
      <c r="CP51" s="151"/>
      <c r="CQ51" s="91"/>
      <c r="CR51" s="91"/>
      <c r="CS51" s="91"/>
      <c r="CT51" s="151"/>
      <c r="CU51" s="91"/>
      <c r="CV51" s="91"/>
      <c r="CW51" s="191"/>
      <c r="CX51" s="129"/>
      <c r="CY51" s="129"/>
      <c r="CZ51" s="129"/>
      <c r="DA51" s="129"/>
      <c r="DB51" s="190"/>
      <c r="DC51" s="129"/>
      <c r="DD51" s="129"/>
      <c r="DE51" s="129"/>
      <c r="DF51" s="190"/>
      <c r="DG51" s="1304"/>
      <c r="DH51" s="1304"/>
      <c r="DI51" s="191"/>
      <c r="DJ51" s="190"/>
      <c r="DK51" s="1304"/>
      <c r="DL51" s="1304"/>
      <c r="DM51" s="191"/>
      <c r="DN51" s="1304"/>
      <c r="DO51" s="1304"/>
      <c r="DP51" s="1304"/>
      <c r="DQ51" s="191"/>
      <c r="DR51" s="1304"/>
      <c r="DS51" s="1304"/>
      <c r="DT51" s="1304"/>
      <c r="DU51" s="1304"/>
      <c r="DV51" s="1304"/>
      <c r="DW51" s="1304"/>
      <c r="DX51" s="1304"/>
      <c r="DY51" s="191"/>
      <c r="DZ51" s="87"/>
    </row>
    <row r="52" spans="1:130" hidden="1" outlineLevel="1">
      <c r="A52" s="762" t="s">
        <v>508</v>
      </c>
      <c r="B52" s="109"/>
      <c r="C52" s="109"/>
      <c r="D52" s="109"/>
      <c r="E52" s="109"/>
      <c r="F52" s="109"/>
      <c r="G52" s="109"/>
      <c r="H52" s="109"/>
      <c r="I52" s="109"/>
      <c r="J52" s="109"/>
      <c r="K52" s="109"/>
      <c r="L52" s="109"/>
      <c r="M52" s="109"/>
      <c r="N52" s="109"/>
      <c r="O52" s="168"/>
      <c r="P52" s="168"/>
      <c r="Q52" s="1050"/>
      <c r="R52" s="168"/>
      <c r="S52" s="169"/>
      <c r="T52" s="1044"/>
      <c r="U52" s="168"/>
      <c r="V52" s="168"/>
      <c r="W52" s="168"/>
      <c r="X52" s="168"/>
      <c r="Y52" s="168"/>
      <c r="Z52" s="168"/>
      <c r="AA52" s="168"/>
      <c r="AB52" s="168"/>
      <c r="AC52" s="168"/>
      <c r="AD52" s="168"/>
      <c r="AE52" s="168"/>
      <c r="AF52" s="168"/>
      <c r="AG52" s="168"/>
      <c r="AH52" s="792"/>
      <c r="AI52" s="168"/>
      <c r="AJ52" s="168"/>
      <c r="AK52" s="168"/>
      <c r="AL52" s="168"/>
      <c r="AM52" s="109"/>
      <c r="AN52" s="109"/>
      <c r="AO52" s="109"/>
      <c r="AP52" s="171"/>
      <c r="AQ52" s="109"/>
      <c r="AR52" s="109"/>
      <c r="AS52" s="109"/>
      <c r="AT52" s="171"/>
      <c r="AU52" s="109"/>
      <c r="AV52" s="109"/>
      <c r="AW52" s="109"/>
      <c r="AX52" s="171"/>
      <c r="AY52" s="109"/>
      <c r="AZ52" s="109"/>
      <c r="BA52" s="109"/>
      <c r="BB52" s="171"/>
      <c r="BC52" s="109"/>
      <c r="BD52" s="109"/>
      <c r="BE52" s="109"/>
      <c r="BF52" s="171"/>
      <c r="BG52" s="109"/>
      <c r="BH52" s="109"/>
      <c r="BI52" s="109"/>
      <c r="BJ52" s="171"/>
      <c r="BK52" s="109"/>
      <c r="BL52" s="109"/>
      <c r="BM52" s="109"/>
      <c r="BN52" s="171"/>
      <c r="BO52" s="109"/>
      <c r="BP52" s="109"/>
      <c r="BQ52" s="109"/>
      <c r="BR52" s="171"/>
      <c r="BS52" s="109"/>
      <c r="BT52" s="109"/>
      <c r="BU52" s="109"/>
      <c r="BV52" s="171"/>
      <c r="BW52" s="109"/>
      <c r="BX52" s="109"/>
      <c r="BY52" s="109"/>
      <c r="BZ52" s="171"/>
      <c r="CA52" s="109">
        <f t="shared" ref="CA52:DV52" si="196">CA51-BZ51</f>
        <v>0</v>
      </c>
      <c r="CB52" s="109">
        <f t="shared" si="196"/>
        <v>0</v>
      </c>
      <c r="CC52" s="109">
        <f t="shared" si="196"/>
        <v>0</v>
      </c>
      <c r="CD52" s="171">
        <f t="shared" si="196"/>
        <v>0</v>
      </c>
      <c r="CE52" s="109">
        <f t="shared" si="196"/>
        <v>0</v>
      </c>
      <c r="CF52" s="109">
        <f t="shared" si="196"/>
        <v>0</v>
      </c>
      <c r="CG52" s="109">
        <f t="shared" si="196"/>
        <v>0</v>
      </c>
      <c r="CH52" s="171">
        <f t="shared" si="196"/>
        <v>0</v>
      </c>
      <c r="CI52" s="109">
        <f t="shared" si="196"/>
        <v>0</v>
      </c>
      <c r="CJ52" s="109">
        <f t="shared" si="196"/>
        <v>0</v>
      </c>
      <c r="CK52" s="109">
        <f t="shared" si="196"/>
        <v>0</v>
      </c>
      <c r="CL52" s="171">
        <f t="shared" si="196"/>
        <v>0</v>
      </c>
      <c r="CM52" s="109">
        <f t="shared" si="196"/>
        <v>0</v>
      </c>
      <c r="CN52" s="109">
        <f t="shared" si="196"/>
        <v>0</v>
      </c>
      <c r="CO52" s="109">
        <f t="shared" si="196"/>
        <v>0</v>
      </c>
      <c r="CP52" s="171">
        <f t="shared" si="196"/>
        <v>0</v>
      </c>
      <c r="CQ52" s="109">
        <f t="shared" si="196"/>
        <v>0</v>
      </c>
      <c r="CR52" s="109">
        <f t="shared" si="196"/>
        <v>0</v>
      </c>
      <c r="CS52" s="109">
        <f t="shared" si="196"/>
        <v>0</v>
      </c>
      <c r="CT52" s="171">
        <f t="shared" si="196"/>
        <v>0</v>
      </c>
      <c r="CU52" s="109">
        <f t="shared" si="196"/>
        <v>0</v>
      </c>
      <c r="CV52" s="109">
        <f t="shared" si="196"/>
        <v>0</v>
      </c>
      <c r="CW52" s="172">
        <f t="shared" si="196"/>
        <v>0</v>
      </c>
      <c r="CX52" s="109">
        <f t="shared" si="196"/>
        <v>0</v>
      </c>
      <c r="CY52" s="109">
        <f t="shared" si="196"/>
        <v>0</v>
      </c>
      <c r="CZ52" s="109">
        <f t="shared" si="196"/>
        <v>0</v>
      </c>
      <c r="DA52" s="109">
        <f t="shared" si="196"/>
        <v>0</v>
      </c>
      <c r="DB52" s="171">
        <f t="shared" si="196"/>
        <v>0</v>
      </c>
      <c r="DC52" s="109">
        <f t="shared" si="196"/>
        <v>0</v>
      </c>
      <c r="DD52" s="109">
        <f t="shared" si="196"/>
        <v>0</v>
      </c>
      <c r="DE52" s="109">
        <f t="shared" si="196"/>
        <v>0</v>
      </c>
      <c r="DF52" s="171">
        <f t="shared" si="196"/>
        <v>0</v>
      </c>
      <c r="DG52" s="1044">
        <f t="shared" si="196"/>
        <v>0</v>
      </c>
      <c r="DH52" s="1044">
        <f t="shared" si="196"/>
        <v>0</v>
      </c>
      <c r="DI52" s="172">
        <f t="shared" si="196"/>
        <v>0</v>
      </c>
      <c r="DJ52" s="171">
        <f t="shared" si="196"/>
        <v>0</v>
      </c>
      <c r="DK52" s="1044">
        <f t="shared" si="196"/>
        <v>0</v>
      </c>
      <c r="DL52" s="1044">
        <f t="shared" si="196"/>
        <v>0</v>
      </c>
      <c r="DM52" s="172">
        <f t="shared" si="196"/>
        <v>0</v>
      </c>
      <c r="DN52" s="1044">
        <f t="shared" si="196"/>
        <v>0</v>
      </c>
      <c r="DO52" s="1044">
        <f t="shared" si="196"/>
        <v>0</v>
      </c>
      <c r="DP52" s="1044">
        <f t="shared" si="196"/>
        <v>0</v>
      </c>
      <c r="DQ52" s="172">
        <f t="shared" si="196"/>
        <v>0</v>
      </c>
      <c r="DR52" s="1044">
        <f t="shared" si="196"/>
        <v>0</v>
      </c>
      <c r="DS52" s="1044">
        <f t="shared" si="196"/>
        <v>0</v>
      </c>
      <c r="DT52" s="1044">
        <f t="shared" si="196"/>
        <v>0</v>
      </c>
      <c r="DU52" s="1044">
        <f t="shared" si="196"/>
        <v>0</v>
      </c>
      <c r="DV52" s="1044">
        <f t="shared" si="196"/>
        <v>0</v>
      </c>
      <c r="DW52" s="1044">
        <f t="shared" ref="DW52" si="197">DW51-DV51</f>
        <v>0</v>
      </c>
      <c r="DX52" s="1044">
        <f t="shared" ref="DX52" si="198">DX51-DW51</f>
        <v>0</v>
      </c>
      <c r="DY52" s="172">
        <f t="shared" ref="DY52" si="199">DY51-DX51</f>
        <v>0</v>
      </c>
      <c r="DZ52" s="109"/>
    </row>
    <row r="53" spans="1:130" hidden="1" outlineLevel="1">
      <c r="A53" s="176" t="s">
        <v>511</v>
      </c>
      <c r="B53" s="94"/>
      <c r="C53" s="94"/>
      <c r="D53" s="94"/>
      <c r="E53" s="94"/>
      <c r="F53" s="94"/>
      <c r="G53" s="94"/>
      <c r="H53" s="94"/>
      <c r="I53" s="94"/>
      <c r="J53" s="94"/>
      <c r="K53" s="94"/>
      <c r="L53" s="94"/>
      <c r="M53" s="94"/>
      <c r="N53" s="94">
        <f>N51/N26</f>
        <v>0</v>
      </c>
      <c r="O53" s="94">
        <f>O51/O26</f>
        <v>0</v>
      </c>
      <c r="P53" s="94">
        <f>P51/P26</f>
        <v>0</v>
      </c>
      <c r="Q53" s="1045">
        <f>Q51/Q26</f>
        <v>0</v>
      </c>
      <c r="R53" s="110"/>
      <c r="S53" s="195"/>
      <c r="T53" s="1059"/>
      <c r="U53" s="110"/>
      <c r="V53" s="110"/>
      <c r="W53" s="110"/>
      <c r="X53" s="110"/>
      <c r="Y53" s="110"/>
      <c r="Z53" s="110"/>
      <c r="AA53" s="110"/>
      <c r="AB53" s="110"/>
      <c r="AC53" s="110"/>
      <c r="AD53" s="110"/>
      <c r="AE53" s="110"/>
      <c r="AF53" s="110"/>
      <c r="AG53" s="110"/>
      <c r="AH53" s="3048"/>
      <c r="AI53" s="110"/>
      <c r="AJ53" s="110"/>
      <c r="AK53" s="110"/>
      <c r="AL53" s="110"/>
      <c r="AM53" s="94"/>
      <c r="AN53" s="94"/>
      <c r="AO53" s="94"/>
      <c r="AP53" s="147"/>
      <c r="AQ53" s="94"/>
      <c r="AR53" s="94"/>
      <c r="AS53" s="94"/>
      <c r="AT53" s="147"/>
      <c r="AU53" s="94"/>
      <c r="AV53" s="94"/>
      <c r="AW53" s="94"/>
      <c r="AX53" s="147"/>
      <c r="AY53" s="94"/>
      <c r="AZ53" s="94"/>
      <c r="BA53" s="94"/>
      <c r="BB53" s="147"/>
      <c r="BC53" s="94"/>
      <c r="BD53" s="94"/>
      <c r="BE53" s="94"/>
      <c r="BF53" s="147"/>
      <c r="BG53" s="94"/>
      <c r="BH53" s="94"/>
      <c r="BI53" s="94"/>
      <c r="BJ53" s="147"/>
      <c r="BK53" s="94"/>
      <c r="BL53" s="94"/>
      <c r="BM53" s="94"/>
      <c r="BN53" s="147"/>
      <c r="BO53" s="94"/>
      <c r="BP53" s="94"/>
      <c r="BQ53" s="94"/>
      <c r="BR53" s="147"/>
      <c r="BS53" s="94"/>
      <c r="BT53" s="94"/>
      <c r="BU53" s="94"/>
      <c r="BV53" s="147"/>
      <c r="BW53" s="94"/>
      <c r="BX53" s="94"/>
      <c r="BY53" s="94"/>
      <c r="BZ53" s="147">
        <f t="shared" ref="BZ53:DE53" si="200">BZ51/BZ26</f>
        <v>0</v>
      </c>
      <c r="CA53" s="94">
        <f t="shared" si="200"/>
        <v>0</v>
      </c>
      <c r="CB53" s="94">
        <f t="shared" si="200"/>
        <v>0</v>
      </c>
      <c r="CC53" s="94">
        <f t="shared" si="200"/>
        <v>0</v>
      </c>
      <c r="CD53" s="147">
        <f t="shared" si="200"/>
        <v>0</v>
      </c>
      <c r="CE53" s="94">
        <f t="shared" si="200"/>
        <v>0</v>
      </c>
      <c r="CF53" s="94">
        <f t="shared" si="200"/>
        <v>0</v>
      </c>
      <c r="CG53" s="94">
        <f t="shared" si="200"/>
        <v>0</v>
      </c>
      <c r="CH53" s="147">
        <f t="shared" si="200"/>
        <v>0</v>
      </c>
      <c r="CI53" s="94">
        <f t="shared" si="200"/>
        <v>0</v>
      </c>
      <c r="CJ53" s="94">
        <f t="shared" si="200"/>
        <v>0</v>
      </c>
      <c r="CK53" s="94">
        <f t="shared" si="200"/>
        <v>0</v>
      </c>
      <c r="CL53" s="147">
        <f t="shared" si="200"/>
        <v>0</v>
      </c>
      <c r="CM53" s="94">
        <f t="shared" si="200"/>
        <v>0</v>
      </c>
      <c r="CN53" s="94">
        <f t="shared" si="200"/>
        <v>0</v>
      </c>
      <c r="CO53" s="94">
        <f t="shared" si="200"/>
        <v>0</v>
      </c>
      <c r="CP53" s="147">
        <f t="shared" si="200"/>
        <v>0</v>
      </c>
      <c r="CQ53" s="94">
        <f t="shared" si="200"/>
        <v>0</v>
      </c>
      <c r="CR53" s="94">
        <f t="shared" si="200"/>
        <v>0</v>
      </c>
      <c r="CS53" s="94">
        <f t="shared" si="200"/>
        <v>0</v>
      </c>
      <c r="CT53" s="147">
        <f t="shared" si="200"/>
        <v>0</v>
      </c>
      <c r="CU53" s="94">
        <f t="shared" si="200"/>
        <v>0</v>
      </c>
      <c r="CV53" s="94">
        <f t="shared" si="200"/>
        <v>0</v>
      </c>
      <c r="CW53" s="101">
        <f t="shared" si="200"/>
        <v>0</v>
      </c>
      <c r="CX53" s="94">
        <f t="shared" si="200"/>
        <v>0</v>
      </c>
      <c r="CY53" s="94">
        <f t="shared" si="200"/>
        <v>0</v>
      </c>
      <c r="CZ53" s="94">
        <f t="shared" si="200"/>
        <v>0</v>
      </c>
      <c r="DA53" s="94">
        <f t="shared" si="200"/>
        <v>0</v>
      </c>
      <c r="DB53" s="147">
        <f t="shared" si="200"/>
        <v>0</v>
      </c>
      <c r="DC53" s="94">
        <f t="shared" si="200"/>
        <v>0</v>
      </c>
      <c r="DD53" s="94">
        <f t="shared" si="200"/>
        <v>0</v>
      </c>
      <c r="DE53" s="94">
        <f t="shared" si="200"/>
        <v>0</v>
      </c>
      <c r="DF53" s="147">
        <f t="shared" ref="DF53:DK53" si="201">DF51/DF26</f>
        <v>0</v>
      </c>
      <c r="DG53" s="1045">
        <f t="shared" si="201"/>
        <v>0</v>
      </c>
      <c r="DH53" s="1045">
        <f t="shared" si="201"/>
        <v>0</v>
      </c>
      <c r="DI53" s="101">
        <f t="shared" si="201"/>
        <v>0</v>
      </c>
      <c r="DJ53" s="147">
        <f t="shared" si="201"/>
        <v>0</v>
      </c>
      <c r="DK53" s="1045">
        <f t="shared" si="201"/>
        <v>0</v>
      </c>
      <c r="DL53" s="1045">
        <f t="shared" ref="DL53:DQ53" si="202">DL51/DL26</f>
        <v>0</v>
      </c>
      <c r="DM53" s="101">
        <f t="shared" si="202"/>
        <v>0</v>
      </c>
      <c r="DN53" s="1045">
        <f t="shared" si="202"/>
        <v>0</v>
      </c>
      <c r="DO53" s="1045">
        <f t="shared" si="202"/>
        <v>0</v>
      </c>
      <c r="DP53" s="1045">
        <f t="shared" si="202"/>
        <v>0</v>
      </c>
      <c r="DQ53" s="101">
        <f t="shared" si="202"/>
        <v>0</v>
      </c>
      <c r="DR53" s="1045">
        <f t="shared" ref="DR53:DS53" si="203">DR51/DR26</f>
        <v>0</v>
      </c>
      <c r="DS53" s="1045">
        <f t="shared" si="203"/>
        <v>0</v>
      </c>
      <c r="DT53" s="1045">
        <f t="shared" ref="DT53:DU53" si="204">DT51/DT26</f>
        <v>0</v>
      </c>
      <c r="DU53" s="1045">
        <f t="shared" si="204"/>
        <v>0</v>
      </c>
      <c r="DV53" s="1045">
        <f t="shared" ref="DV53" si="205">DV51/DV26</f>
        <v>0</v>
      </c>
      <c r="DW53" s="1059">
        <f t="shared" ref="DW53" si="206">DV53</f>
        <v>0</v>
      </c>
      <c r="DX53" s="1059">
        <f t="shared" ref="DX53" si="207">DW53</f>
        <v>0</v>
      </c>
      <c r="DY53" s="166">
        <f t="shared" ref="DY53" si="208">DX53</f>
        <v>0</v>
      </c>
      <c r="DZ53" s="94"/>
    </row>
    <row r="54" spans="1:130" hidden="1" outlineLevel="1">
      <c r="A54" s="652" t="s">
        <v>514</v>
      </c>
      <c r="B54" s="169"/>
      <c r="C54" s="169"/>
      <c r="D54" s="169"/>
      <c r="E54" s="169"/>
      <c r="F54" s="169"/>
      <c r="G54" s="169"/>
      <c r="H54" s="169">
        <v>74</v>
      </c>
      <c r="I54" s="169">
        <v>79</v>
      </c>
      <c r="J54" s="169">
        <v>74</v>
      </c>
      <c r="K54" s="169">
        <f>SUM(BN54:BQ54)</f>
        <v>79</v>
      </c>
      <c r="L54" s="169">
        <f>SUM(BR54:BU54)</f>
        <v>87</v>
      </c>
      <c r="M54" s="169">
        <f>SUM(BV54:BY54)</f>
        <v>92</v>
      </c>
      <c r="N54" s="169">
        <f>SUM(BZ54:CC54)</f>
        <v>67</v>
      </c>
      <c r="O54" s="169">
        <f>SUM(CD54:CG54)</f>
        <v>0</v>
      </c>
      <c r="P54" s="169">
        <f>SUM(CH54:CK54)</f>
        <v>0</v>
      </c>
      <c r="Q54" s="1051">
        <f>SUM(CL54:CO54)</f>
        <v>0</v>
      </c>
      <c r="R54" s="549">
        <f t="shared" ref="R54:AB54" si="209">Q54+R55</f>
        <v>0</v>
      </c>
      <c r="S54" s="177">
        <f t="shared" si="209"/>
        <v>0</v>
      </c>
      <c r="T54" s="1135">
        <f t="shared" si="209"/>
        <v>0</v>
      </c>
      <c r="U54" s="549">
        <f t="shared" si="209"/>
        <v>0</v>
      </c>
      <c r="V54" s="549">
        <f t="shared" si="209"/>
        <v>0</v>
      </c>
      <c r="W54" s="549">
        <f>V54+W55</f>
        <v>0</v>
      </c>
      <c r="X54" s="549">
        <f>W54+X55</f>
        <v>0</v>
      </c>
      <c r="Y54" s="549">
        <f>X54+Y55</f>
        <v>0</v>
      </c>
      <c r="Z54" s="549">
        <f>Y54+Z55</f>
        <v>0</v>
      </c>
      <c r="AA54" s="549">
        <f t="shared" si="209"/>
        <v>0</v>
      </c>
      <c r="AB54" s="549">
        <f t="shared" si="209"/>
        <v>0</v>
      </c>
      <c r="AC54" s="549">
        <f t="shared" ref="AC54" si="210">AB54+AC55</f>
        <v>0</v>
      </c>
      <c r="AD54" s="549">
        <f t="shared" ref="AD54" si="211">AC54+AD55</f>
        <v>0</v>
      </c>
      <c r="AE54" s="549">
        <f t="shared" ref="AE54" si="212">AD54+AE55</f>
        <v>0</v>
      </c>
      <c r="AF54" s="549">
        <f t="shared" ref="AF54" si="213">AE54+AF55</f>
        <v>0</v>
      </c>
      <c r="AG54" s="549">
        <f t="shared" ref="AG54" si="214">AF54+AG55</f>
        <v>0</v>
      </c>
      <c r="AH54" s="532"/>
      <c r="AI54" s="169"/>
      <c r="AJ54" s="169"/>
      <c r="AK54" s="169"/>
      <c r="AL54" s="169"/>
      <c r="AM54" s="169"/>
      <c r="AN54" s="169"/>
      <c r="AO54" s="169"/>
      <c r="AP54" s="178"/>
      <c r="AQ54" s="169"/>
      <c r="AR54" s="169"/>
      <c r="AS54" s="169"/>
      <c r="AT54" s="178"/>
      <c r="AU54" s="169"/>
      <c r="AV54" s="169"/>
      <c r="AW54" s="169"/>
      <c r="AX54" s="178"/>
      <c r="AY54" s="169"/>
      <c r="AZ54" s="169"/>
      <c r="BA54" s="169"/>
      <c r="BB54" s="178">
        <v>19</v>
      </c>
      <c r="BC54" s="169">
        <v>20</v>
      </c>
      <c r="BD54" s="169">
        <v>17</v>
      </c>
      <c r="BE54" s="169">
        <v>18</v>
      </c>
      <c r="BF54" s="178">
        <v>21</v>
      </c>
      <c r="BG54" s="169">
        <v>20</v>
      </c>
      <c r="BH54" s="169">
        <v>21</v>
      </c>
      <c r="BI54" s="169">
        <v>17</v>
      </c>
      <c r="BJ54" s="178">
        <v>15</v>
      </c>
      <c r="BK54" s="169">
        <v>16</v>
      </c>
      <c r="BL54" s="169">
        <v>21</v>
      </c>
      <c r="BM54" s="169">
        <v>22</v>
      </c>
      <c r="BN54" s="178">
        <v>19</v>
      </c>
      <c r="BO54" s="169">
        <v>21</v>
      </c>
      <c r="BP54" s="169">
        <v>19</v>
      </c>
      <c r="BQ54" s="169">
        <v>20</v>
      </c>
      <c r="BR54" s="178">
        <v>21</v>
      </c>
      <c r="BS54" s="169">
        <v>21</v>
      </c>
      <c r="BT54" s="169">
        <v>23</v>
      </c>
      <c r="BU54" s="169">
        <v>22</v>
      </c>
      <c r="BV54" s="178">
        <v>23</v>
      </c>
      <c r="BW54" s="169">
        <v>23</v>
      </c>
      <c r="BX54" s="169">
        <v>23</v>
      </c>
      <c r="BY54" s="169">
        <v>23</v>
      </c>
      <c r="BZ54" s="178">
        <v>23</v>
      </c>
      <c r="CA54" s="169">
        <v>22</v>
      </c>
      <c r="CB54" s="169">
        <v>22</v>
      </c>
      <c r="CC54" s="169">
        <v>0</v>
      </c>
      <c r="CD54" s="178">
        <v>0</v>
      </c>
      <c r="CE54" s="169">
        <v>0</v>
      </c>
      <c r="CF54" s="169">
        <v>0</v>
      </c>
      <c r="CG54" s="169">
        <v>0</v>
      </c>
      <c r="CH54" s="178">
        <v>0</v>
      </c>
      <c r="CI54" s="169">
        <v>0</v>
      </c>
      <c r="CJ54" s="169">
        <v>0</v>
      </c>
      <c r="CK54" s="177">
        <v>0</v>
      </c>
      <c r="CL54" s="651">
        <v>0</v>
      </c>
      <c r="CM54" s="169">
        <v>0</v>
      </c>
      <c r="CN54" s="169">
        <v>0</v>
      </c>
      <c r="CO54" s="169">
        <v>0</v>
      </c>
      <c r="CP54" s="178">
        <v>0</v>
      </c>
      <c r="CQ54" s="169">
        <v>0</v>
      </c>
      <c r="CR54" s="169">
        <v>0</v>
      </c>
      <c r="CS54" s="169">
        <v>0</v>
      </c>
      <c r="CT54" s="178">
        <v>0</v>
      </c>
      <c r="CU54" s="169">
        <v>0</v>
      </c>
      <c r="CV54" s="169">
        <v>0</v>
      </c>
      <c r="CW54" s="179">
        <v>0</v>
      </c>
      <c r="CX54" s="169">
        <v>0</v>
      </c>
      <c r="CY54" s="169">
        <v>0</v>
      </c>
      <c r="CZ54" s="169">
        <v>0</v>
      </c>
      <c r="DA54" s="169">
        <v>0</v>
      </c>
      <c r="DB54" s="178">
        <v>0</v>
      </c>
      <c r="DC54" s="169">
        <v>0</v>
      </c>
      <c r="DD54" s="169">
        <v>0</v>
      </c>
      <c r="DE54" s="169">
        <v>0</v>
      </c>
      <c r="DF54" s="178">
        <v>0</v>
      </c>
      <c r="DG54" s="1051">
        <v>0</v>
      </c>
      <c r="DH54" s="1051">
        <v>0</v>
      </c>
      <c r="DI54" s="179">
        <v>0</v>
      </c>
      <c r="DJ54" s="178">
        <v>0</v>
      </c>
      <c r="DK54" s="1051">
        <v>0</v>
      </c>
      <c r="DL54" s="2154">
        <v>0</v>
      </c>
      <c r="DM54" s="2475">
        <v>0</v>
      </c>
      <c r="DN54" s="2154">
        <v>0</v>
      </c>
      <c r="DO54" s="2154">
        <v>0</v>
      </c>
      <c r="DP54" s="2154">
        <v>0</v>
      </c>
      <c r="DQ54" s="2475">
        <v>0</v>
      </c>
      <c r="DR54" s="2154">
        <v>0</v>
      </c>
      <c r="DS54" s="2154">
        <v>0</v>
      </c>
      <c r="DT54" s="2154">
        <v>0</v>
      </c>
      <c r="DU54" s="2154">
        <v>0</v>
      </c>
      <c r="DV54" s="2154">
        <v>0</v>
      </c>
      <c r="DW54" s="1135"/>
      <c r="DX54" s="1135"/>
      <c r="DY54" s="551"/>
      <c r="DZ54" s="109"/>
    </row>
    <row r="55" spans="1:130" hidden="1" outlineLevel="1">
      <c r="A55" s="762" t="s">
        <v>508</v>
      </c>
      <c r="B55" s="109"/>
      <c r="C55" s="109"/>
      <c r="D55" s="109"/>
      <c r="E55" s="109"/>
      <c r="F55" s="109"/>
      <c r="G55" s="109"/>
      <c r="H55" s="109">
        <f t="shared" ref="H55:N55" si="215">H54-G54</f>
        <v>74</v>
      </c>
      <c r="I55" s="109">
        <f t="shared" si="215"/>
        <v>5</v>
      </c>
      <c r="J55" s="109">
        <f t="shared" si="215"/>
        <v>-5</v>
      </c>
      <c r="K55" s="109">
        <f t="shared" si="215"/>
        <v>5</v>
      </c>
      <c r="L55" s="109">
        <f t="shared" si="215"/>
        <v>8</v>
      </c>
      <c r="M55" s="109">
        <f t="shared" si="215"/>
        <v>5</v>
      </c>
      <c r="N55" s="109">
        <f t="shared" si="215"/>
        <v>-25</v>
      </c>
      <c r="O55" s="109"/>
      <c r="P55" s="168"/>
      <c r="Q55" s="1050"/>
      <c r="R55" s="168"/>
      <c r="S55" s="109"/>
      <c r="T55" s="1044"/>
      <c r="U55" s="168"/>
      <c r="V55" s="168"/>
      <c r="W55" s="168"/>
      <c r="X55" s="168"/>
      <c r="Y55" s="168"/>
      <c r="Z55" s="168"/>
      <c r="AA55" s="168"/>
      <c r="AB55" s="168"/>
      <c r="AC55" s="168"/>
      <c r="AD55" s="168"/>
      <c r="AE55" s="168"/>
      <c r="AF55" s="168"/>
      <c r="AG55" s="168"/>
      <c r="AH55" s="792"/>
      <c r="AI55" s="168"/>
      <c r="AJ55" s="168"/>
      <c r="AK55" s="168"/>
      <c r="AL55" s="168"/>
      <c r="AM55" s="109"/>
      <c r="AN55" s="109"/>
      <c r="AO55" s="109"/>
      <c r="AP55" s="171"/>
      <c r="AQ55" s="109"/>
      <c r="AR55" s="109"/>
      <c r="AS55" s="109"/>
      <c r="AT55" s="171"/>
      <c r="AU55" s="109"/>
      <c r="AV55" s="109"/>
      <c r="AW55" s="109"/>
      <c r="AX55" s="171"/>
      <c r="AY55" s="109"/>
      <c r="AZ55" s="109"/>
      <c r="BA55" s="109"/>
      <c r="BB55" s="171"/>
      <c r="BC55" s="109"/>
      <c r="BD55" s="109"/>
      <c r="BE55" s="109"/>
      <c r="BF55" s="171"/>
      <c r="BG55" s="109"/>
      <c r="BH55" s="109"/>
      <c r="BI55" s="109"/>
      <c r="BJ55" s="171">
        <f t="shared" ref="BJ55:CO55" si="216">BJ54-BI54</f>
        <v>-2</v>
      </c>
      <c r="BK55" s="109">
        <f t="shared" si="216"/>
        <v>1</v>
      </c>
      <c r="BL55" s="109">
        <f t="shared" si="216"/>
        <v>5</v>
      </c>
      <c r="BM55" s="109">
        <f t="shared" si="216"/>
        <v>1</v>
      </c>
      <c r="BN55" s="171">
        <f t="shared" si="216"/>
        <v>-3</v>
      </c>
      <c r="BO55" s="109">
        <f t="shared" si="216"/>
        <v>2</v>
      </c>
      <c r="BP55" s="109">
        <f t="shared" si="216"/>
        <v>-2</v>
      </c>
      <c r="BQ55" s="109">
        <f t="shared" si="216"/>
        <v>1</v>
      </c>
      <c r="BR55" s="171">
        <f t="shared" si="216"/>
        <v>1</v>
      </c>
      <c r="BS55" s="109">
        <f t="shared" si="216"/>
        <v>0</v>
      </c>
      <c r="BT55" s="109">
        <f t="shared" si="216"/>
        <v>2</v>
      </c>
      <c r="BU55" s="109">
        <f t="shared" si="216"/>
        <v>-1</v>
      </c>
      <c r="BV55" s="171">
        <f t="shared" si="216"/>
        <v>1</v>
      </c>
      <c r="BW55" s="109">
        <f t="shared" si="216"/>
        <v>0</v>
      </c>
      <c r="BX55" s="109">
        <f t="shared" si="216"/>
        <v>0</v>
      </c>
      <c r="BY55" s="109">
        <f t="shared" si="216"/>
        <v>0</v>
      </c>
      <c r="BZ55" s="171">
        <f t="shared" si="216"/>
        <v>0</v>
      </c>
      <c r="CA55" s="109">
        <f t="shared" si="216"/>
        <v>-1</v>
      </c>
      <c r="CB55" s="109">
        <f t="shared" si="216"/>
        <v>0</v>
      </c>
      <c r="CC55" s="109">
        <f t="shared" si="216"/>
        <v>-22</v>
      </c>
      <c r="CD55" s="171">
        <f t="shared" si="216"/>
        <v>0</v>
      </c>
      <c r="CE55" s="109">
        <f t="shared" si="216"/>
        <v>0</v>
      </c>
      <c r="CF55" s="109">
        <f t="shared" si="216"/>
        <v>0</v>
      </c>
      <c r="CG55" s="109">
        <f t="shared" si="216"/>
        <v>0</v>
      </c>
      <c r="CH55" s="171">
        <f t="shared" si="216"/>
        <v>0</v>
      </c>
      <c r="CI55" s="109">
        <f t="shared" si="216"/>
        <v>0</v>
      </c>
      <c r="CJ55" s="109">
        <f t="shared" si="216"/>
        <v>0</v>
      </c>
      <c r="CK55" s="109">
        <f t="shared" si="216"/>
        <v>0</v>
      </c>
      <c r="CL55" s="171">
        <f t="shared" si="216"/>
        <v>0</v>
      </c>
      <c r="CM55" s="109">
        <f t="shared" si="216"/>
        <v>0</v>
      </c>
      <c r="CN55" s="109">
        <f t="shared" si="216"/>
        <v>0</v>
      </c>
      <c r="CO55" s="109">
        <f t="shared" si="216"/>
        <v>0</v>
      </c>
      <c r="CP55" s="171">
        <f t="shared" ref="CP55:DV55" si="217">CP54-CO54</f>
        <v>0</v>
      </c>
      <c r="CQ55" s="109">
        <f t="shared" si="217"/>
        <v>0</v>
      </c>
      <c r="CR55" s="109">
        <f t="shared" si="217"/>
        <v>0</v>
      </c>
      <c r="CS55" s="109">
        <f t="shared" si="217"/>
        <v>0</v>
      </c>
      <c r="CT55" s="171">
        <f t="shared" si="217"/>
        <v>0</v>
      </c>
      <c r="CU55" s="109">
        <f t="shared" si="217"/>
        <v>0</v>
      </c>
      <c r="CV55" s="109">
        <f t="shared" si="217"/>
        <v>0</v>
      </c>
      <c r="CW55" s="172">
        <f t="shared" si="217"/>
        <v>0</v>
      </c>
      <c r="CX55" s="109">
        <f t="shared" si="217"/>
        <v>0</v>
      </c>
      <c r="CY55" s="109">
        <f t="shared" si="217"/>
        <v>0</v>
      </c>
      <c r="CZ55" s="109">
        <f t="shared" si="217"/>
        <v>0</v>
      </c>
      <c r="DA55" s="109">
        <f t="shared" si="217"/>
        <v>0</v>
      </c>
      <c r="DB55" s="171">
        <f t="shared" si="217"/>
        <v>0</v>
      </c>
      <c r="DC55" s="109">
        <f t="shared" si="217"/>
        <v>0</v>
      </c>
      <c r="DD55" s="109">
        <f t="shared" si="217"/>
        <v>0</v>
      </c>
      <c r="DE55" s="109">
        <f t="shared" si="217"/>
        <v>0</v>
      </c>
      <c r="DF55" s="171">
        <f t="shared" si="217"/>
        <v>0</v>
      </c>
      <c r="DG55" s="1044">
        <f t="shared" si="217"/>
        <v>0</v>
      </c>
      <c r="DH55" s="1044">
        <f t="shared" si="217"/>
        <v>0</v>
      </c>
      <c r="DI55" s="172">
        <f t="shared" si="217"/>
        <v>0</v>
      </c>
      <c r="DJ55" s="171">
        <f t="shared" si="217"/>
        <v>0</v>
      </c>
      <c r="DK55" s="1044">
        <f t="shared" si="217"/>
        <v>0</v>
      </c>
      <c r="DL55" s="1044">
        <f t="shared" si="217"/>
        <v>0</v>
      </c>
      <c r="DM55" s="172">
        <f t="shared" si="217"/>
        <v>0</v>
      </c>
      <c r="DN55" s="1044">
        <f t="shared" si="217"/>
        <v>0</v>
      </c>
      <c r="DO55" s="1044">
        <f t="shared" si="217"/>
        <v>0</v>
      </c>
      <c r="DP55" s="1044">
        <f t="shared" si="217"/>
        <v>0</v>
      </c>
      <c r="DQ55" s="172">
        <f t="shared" si="217"/>
        <v>0</v>
      </c>
      <c r="DR55" s="1044">
        <f t="shared" si="217"/>
        <v>0</v>
      </c>
      <c r="DS55" s="1044">
        <f t="shared" si="217"/>
        <v>0</v>
      </c>
      <c r="DT55" s="1044">
        <f t="shared" si="217"/>
        <v>0</v>
      </c>
      <c r="DU55" s="1044">
        <f t="shared" si="217"/>
        <v>0</v>
      </c>
      <c r="DV55" s="1044">
        <f t="shared" si="217"/>
        <v>0</v>
      </c>
      <c r="DW55" s="1044">
        <f t="shared" ref="DW55" si="218">DW54-DV54</f>
        <v>0</v>
      </c>
      <c r="DX55" s="1044">
        <f t="shared" ref="DX55" si="219">DX54-DW54</f>
        <v>0</v>
      </c>
      <c r="DY55" s="172">
        <f t="shared" ref="DY55" si="220">DY54-DX54</f>
        <v>0</v>
      </c>
      <c r="DZ55" s="109"/>
    </row>
    <row r="56" spans="1:130" hidden="1" outlineLevel="1">
      <c r="A56" s="652" t="s">
        <v>955</v>
      </c>
      <c r="B56" s="169"/>
      <c r="C56" s="169"/>
      <c r="D56" s="169"/>
      <c r="E56" s="169"/>
      <c r="F56" s="169"/>
      <c r="G56" s="169"/>
      <c r="H56" s="169">
        <f>Other!H27</f>
        <v>0</v>
      </c>
      <c r="I56" s="169">
        <f>Other!I27</f>
        <v>0</v>
      </c>
      <c r="J56" s="169">
        <f>Other!J27</f>
        <v>0</v>
      </c>
      <c r="K56" s="169"/>
      <c r="L56" s="169"/>
      <c r="M56" s="169"/>
      <c r="N56" s="169">
        <f>SUM(BZ56:CC56)</f>
        <v>-25</v>
      </c>
      <c r="O56" s="169">
        <f>SUM(CD56:CG56)</f>
        <v>39</v>
      </c>
      <c r="P56" s="169">
        <f>SUM(CH56:CK56)</f>
        <v>-1081.476339925759</v>
      </c>
      <c r="Q56" s="1051">
        <f>SUM(CL56:CO56)</f>
        <v>65</v>
      </c>
      <c r="R56" s="169">
        <f>SUM(CP56:CS56)</f>
        <v>65</v>
      </c>
      <c r="S56" s="169">
        <f>SUM(CT56:CW56)</f>
        <v>76</v>
      </c>
      <c r="T56" s="1051">
        <f>SUM(CX56:DA56)</f>
        <v>76</v>
      </c>
      <c r="U56" s="169">
        <f>SUM(DB56:DE56)</f>
        <v>77</v>
      </c>
      <c r="V56" s="169">
        <f>SUM(DF56:DI56)</f>
        <v>192</v>
      </c>
      <c r="W56" s="169">
        <f>SUM(DJ56:DM56)</f>
        <v>359</v>
      </c>
      <c r="X56" s="169">
        <f>SUM(DN56:DQ56)</f>
        <v>632</v>
      </c>
      <c r="Y56" s="169">
        <f>SUM(DR56:DU56)</f>
        <v>1434</v>
      </c>
      <c r="Z56" s="169">
        <f>SUM(DV56:DY56)</f>
        <v>1448</v>
      </c>
      <c r="AA56" s="169">
        <f ca="1">AA26-AA40-AA46-AA51-AA54</f>
        <v>1342.5439216337636</v>
      </c>
      <c r="AB56" s="169">
        <f ca="1">AB26-AB40-AB46-AB51-AB54</f>
        <v>1337.4627354011482</v>
      </c>
      <c r="AC56" s="169">
        <f t="shared" ref="AC56:AG56" ca="1" si="221">AC26-AC40-AC46-AC51-AC54</f>
        <v>1332.7014375084163</v>
      </c>
      <c r="AD56" s="169">
        <f t="shared" ca="1" si="221"/>
        <v>1328.2944944928822</v>
      </c>
      <c r="AE56" s="169">
        <f t="shared" ca="1" si="221"/>
        <v>1324.2725761214697</v>
      </c>
      <c r="AF56" s="169">
        <f t="shared" ca="1" si="221"/>
        <v>1320.6708060819019</v>
      </c>
      <c r="AG56" s="169">
        <f t="shared" ca="1" si="221"/>
        <v>1320.9664044243073</v>
      </c>
      <c r="AH56" s="532"/>
      <c r="AI56" s="169"/>
      <c r="AJ56" s="169"/>
      <c r="AK56" s="169"/>
      <c r="AL56" s="169"/>
      <c r="AM56" s="169"/>
      <c r="AN56" s="109"/>
      <c r="AO56" s="169"/>
      <c r="AP56" s="178"/>
      <c r="AQ56" s="169"/>
      <c r="AR56" s="169"/>
      <c r="AS56" s="169"/>
      <c r="AT56" s="178"/>
      <c r="AU56" s="169"/>
      <c r="AV56" s="169"/>
      <c r="AW56" s="169"/>
      <c r="AX56" s="178"/>
      <c r="AY56" s="169"/>
      <c r="AZ56" s="169"/>
      <c r="BA56" s="169"/>
      <c r="BB56" s="178">
        <f>Other!BB27</f>
        <v>0</v>
      </c>
      <c r="BC56" s="169">
        <f>Other!BC27</f>
        <v>0</v>
      </c>
      <c r="BD56" s="169">
        <f>Other!BD27</f>
        <v>0</v>
      </c>
      <c r="BE56" s="169">
        <f>Other!BE27</f>
        <v>0</v>
      </c>
      <c r="BF56" s="178">
        <f>Other!BF27</f>
        <v>0</v>
      </c>
      <c r="BG56" s="169">
        <f>Other!BG27</f>
        <v>0</v>
      </c>
      <c r="BH56" s="169">
        <f>Other!BH27</f>
        <v>0</v>
      </c>
      <c r="BI56" s="169">
        <f>Other!BI27</f>
        <v>0</v>
      </c>
      <c r="BJ56" s="178">
        <f>Other!BJ27</f>
        <v>0</v>
      </c>
      <c r="BK56" s="169">
        <f>Other!BK27</f>
        <v>0</v>
      </c>
      <c r="BL56" s="169">
        <f>Other!BL27</f>
        <v>0</v>
      </c>
      <c r="BM56" s="169">
        <f>Other!BM27</f>
        <v>0</v>
      </c>
      <c r="BN56" s="178">
        <f>Other!BN27</f>
        <v>0</v>
      </c>
      <c r="BO56" s="169">
        <f>Other!BO27</f>
        <v>0</v>
      </c>
      <c r="BP56" s="169">
        <f>Other!BP27</f>
        <v>0</v>
      </c>
      <c r="BQ56" s="169">
        <f>Other!BQ27</f>
        <v>0</v>
      </c>
      <c r="BR56" s="178">
        <f>Other!BR27</f>
        <v>0</v>
      </c>
      <c r="BS56" s="169">
        <f>Other!BS27</f>
        <v>0</v>
      </c>
      <c r="BT56" s="169">
        <f>Other!BT27</f>
        <v>0</v>
      </c>
      <c r="BU56" s="169">
        <f>Other!BU27</f>
        <v>0</v>
      </c>
      <c r="BV56" s="178">
        <f>Other!BV27</f>
        <v>0</v>
      </c>
      <c r="BW56" s="169">
        <f>Other!BW27</f>
        <v>0</v>
      </c>
      <c r="BX56" s="169">
        <f>Other!BX27</f>
        <v>0</v>
      </c>
      <c r="BY56" s="169">
        <f>Other!BY27</f>
        <v>0</v>
      </c>
      <c r="BZ56" s="178">
        <f>Other!BZ27</f>
        <v>-11</v>
      </c>
      <c r="CA56" s="169">
        <f>Other!CA27</f>
        <v>-12</v>
      </c>
      <c r="CB56" s="169">
        <f>Other!CB27</f>
        <v>-13</v>
      </c>
      <c r="CC56" s="169">
        <f>Other!CC27</f>
        <v>11</v>
      </c>
      <c r="CD56" s="178">
        <f>Other!CD27</f>
        <v>10</v>
      </c>
      <c r="CE56" s="169">
        <f>Other!CE27</f>
        <v>10</v>
      </c>
      <c r="CF56" s="169">
        <f>Other!CF27</f>
        <v>11</v>
      </c>
      <c r="CG56" s="169">
        <f>Other!CG27</f>
        <v>8</v>
      </c>
      <c r="CH56" s="178">
        <f>Other!CH27</f>
        <v>-278.04964539007142</v>
      </c>
      <c r="CI56" s="169">
        <f>Other!CI27</f>
        <v>-267.6854034451494</v>
      </c>
      <c r="CJ56" s="169">
        <f>Other!CJ27</f>
        <v>-273.41416893732958</v>
      </c>
      <c r="CK56" s="169">
        <f>Other!CK27</f>
        <v>-262.32712215320862</v>
      </c>
      <c r="CL56" s="178">
        <f>Other!CL27</f>
        <v>19</v>
      </c>
      <c r="CM56" s="169">
        <f>Other!CM27</f>
        <v>14</v>
      </c>
      <c r="CN56" s="169">
        <f>Other!CN27</f>
        <v>16</v>
      </c>
      <c r="CO56" s="169">
        <f>Other!CO27</f>
        <v>16</v>
      </c>
      <c r="CP56" s="178">
        <f>Other!CP27</f>
        <v>14</v>
      </c>
      <c r="CQ56" s="169">
        <f>Other!CQ27</f>
        <v>17</v>
      </c>
      <c r="CR56" s="169">
        <f>Other!CR27</f>
        <v>17</v>
      </c>
      <c r="CS56" s="169">
        <f>Other!CS27</f>
        <v>17</v>
      </c>
      <c r="CT56" s="178">
        <f>Other!CT27</f>
        <v>18</v>
      </c>
      <c r="CU56" s="169">
        <f>Other!CU27</f>
        <v>18</v>
      </c>
      <c r="CV56" s="169">
        <f>Other!CV27</f>
        <v>20</v>
      </c>
      <c r="CW56" s="179">
        <f>Other!CW27</f>
        <v>20</v>
      </c>
      <c r="CX56" s="169">
        <f>Other!CX27</f>
        <v>20</v>
      </c>
      <c r="CY56" s="169">
        <f>Other!CY27</f>
        <v>15</v>
      </c>
      <c r="CZ56" s="169">
        <f>Other!CZ27</f>
        <v>23</v>
      </c>
      <c r="DA56" s="169">
        <f>Other!DA27</f>
        <v>18</v>
      </c>
      <c r="DB56" s="178">
        <f>Other!DB27</f>
        <v>17</v>
      </c>
      <c r="DC56" s="169">
        <f>Other!DC27</f>
        <v>19</v>
      </c>
      <c r="DD56" s="169">
        <f>Other!DD27</f>
        <v>20</v>
      </c>
      <c r="DE56" s="169">
        <f>Other!DE27</f>
        <v>21</v>
      </c>
      <c r="DF56" s="178">
        <f>Other!DF27</f>
        <v>43</v>
      </c>
      <c r="DG56" s="1051">
        <f>Other!DG27</f>
        <v>49</v>
      </c>
      <c r="DH56" s="1051">
        <f>Other!DH27</f>
        <v>50</v>
      </c>
      <c r="DI56" s="179">
        <f>Other!DI27</f>
        <v>50</v>
      </c>
      <c r="DJ56" s="178">
        <f>Other!DJ27</f>
        <v>53</v>
      </c>
      <c r="DK56" s="1051">
        <f>Other!DK27</f>
        <v>49</v>
      </c>
      <c r="DL56" s="2154">
        <f>Other!DL27</f>
        <v>126</v>
      </c>
      <c r="DM56" s="2475">
        <f>Other!DM27</f>
        <v>131</v>
      </c>
      <c r="DN56" s="2154">
        <f>Other!DN27</f>
        <v>136</v>
      </c>
      <c r="DO56" s="2154">
        <f>Other!DO27</f>
        <v>138</v>
      </c>
      <c r="DP56" s="2154">
        <f>Other!DP27</f>
        <v>157</v>
      </c>
      <c r="DQ56" s="2475">
        <f>Other!DQ27</f>
        <v>201</v>
      </c>
      <c r="DR56" s="2154">
        <f>Other!DR27</f>
        <v>229</v>
      </c>
      <c r="DS56" s="2154">
        <f>Other!DS27</f>
        <v>268</v>
      </c>
      <c r="DT56" s="2154">
        <f>Other!DT27</f>
        <v>357</v>
      </c>
      <c r="DU56" s="2154">
        <f>Other!DU27</f>
        <v>580</v>
      </c>
      <c r="DV56" s="2154">
        <f>Other!DV27</f>
        <v>362</v>
      </c>
      <c r="DW56" s="3266">
        <f>Other!DW27</f>
        <v>362</v>
      </c>
      <c r="DX56" s="3266">
        <f>Other!DX27</f>
        <v>362</v>
      </c>
      <c r="DY56" s="2172">
        <f>Other!DY27</f>
        <v>362</v>
      </c>
      <c r="DZ56" s="109"/>
    </row>
    <row r="57" spans="1:130" hidden="1" outlineLevel="1">
      <c r="A57" s="762" t="s">
        <v>508</v>
      </c>
      <c r="B57" s="109"/>
      <c r="C57" s="109"/>
      <c r="D57" s="109"/>
      <c r="E57" s="109"/>
      <c r="F57" s="109"/>
      <c r="G57" s="109"/>
      <c r="H57" s="109">
        <f>H56-G56</f>
        <v>0</v>
      </c>
      <c r="I57" s="109">
        <f>I56-H56</f>
        <v>0</v>
      </c>
      <c r="J57" s="109">
        <f>J56-I56</f>
        <v>0</v>
      </c>
      <c r="K57" s="109"/>
      <c r="L57" s="109"/>
      <c r="M57" s="109"/>
      <c r="N57" s="109">
        <f t="shared" ref="N57:V57" si="222">N56-M56</f>
        <v>-25</v>
      </c>
      <c r="O57" s="109">
        <f t="shared" si="222"/>
        <v>64</v>
      </c>
      <c r="P57" s="109">
        <f t="shared" si="222"/>
        <v>-1120.476339925759</v>
      </c>
      <c r="Q57" s="1044">
        <f t="shared" si="222"/>
        <v>1146.476339925759</v>
      </c>
      <c r="R57" s="109">
        <f t="shared" si="222"/>
        <v>0</v>
      </c>
      <c r="S57" s="109">
        <f t="shared" si="222"/>
        <v>11</v>
      </c>
      <c r="T57" s="1044">
        <f t="shared" si="222"/>
        <v>0</v>
      </c>
      <c r="U57" s="109">
        <f t="shared" si="222"/>
        <v>1</v>
      </c>
      <c r="V57" s="109">
        <f t="shared" si="222"/>
        <v>115</v>
      </c>
      <c r="W57" s="109">
        <f>W56-V56</f>
        <v>167</v>
      </c>
      <c r="X57" s="109">
        <f>X56-W56</f>
        <v>273</v>
      </c>
      <c r="Y57" s="109">
        <f>Y56-X56</f>
        <v>802</v>
      </c>
      <c r="Z57" s="109">
        <f>Z56-Y56</f>
        <v>14</v>
      </c>
      <c r="AA57" s="168"/>
      <c r="AB57" s="168"/>
      <c r="AC57" s="168"/>
      <c r="AD57" s="168"/>
      <c r="AE57" s="168"/>
      <c r="AF57" s="168"/>
      <c r="AG57" s="168"/>
      <c r="AH57" s="792"/>
      <c r="AI57" s="168"/>
      <c r="AJ57" s="168"/>
      <c r="AK57" s="168"/>
      <c r="AL57" s="168"/>
      <c r="AM57" s="109"/>
      <c r="AN57" s="109"/>
      <c r="AO57" s="109"/>
      <c r="AP57" s="171"/>
      <c r="AQ57" s="109"/>
      <c r="AR57" s="109"/>
      <c r="AS57" s="109"/>
      <c r="AT57" s="171"/>
      <c r="AU57" s="109"/>
      <c r="AV57" s="109"/>
      <c r="AW57" s="109"/>
      <c r="AX57" s="171"/>
      <c r="AY57" s="109"/>
      <c r="AZ57" s="109"/>
      <c r="BA57" s="109"/>
      <c r="BB57" s="171"/>
      <c r="BC57" s="109"/>
      <c r="BD57" s="109"/>
      <c r="BE57" s="109"/>
      <c r="BF57" s="171"/>
      <c r="BG57" s="109"/>
      <c r="BH57" s="109"/>
      <c r="BI57" s="109"/>
      <c r="BJ57" s="171">
        <f t="shared" ref="BJ57:CO57" si="223">BJ56-BI56</f>
        <v>0</v>
      </c>
      <c r="BK57" s="109">
        <f t="shared" si="223"/>
        <v>0</v>
      </c>
      <c r="BL57" s="109">
        <f t="shared" si="223"/>
        <v>0</v>
      </c>
      <c r="BM57" s="109">
        <f t="shared" si="223"/>
        <v>0</v>
      </c>
      <c r="BN57" s="171">
        <f t="shared" si="223"/>
        <v>0</v>
      </c>
      <c r="BO57" s="109">
        <f t="shared" si="223"/>
        <v>0</v>
      </c>
      <c r="BP57" s="109">
        <f t="shared" si="223"/>
        <v>0</v>
      </c>
      <c r="BQ57" s="109">
        <f t="shared" si="223"/>
        <v>0</v>
      </c>
      <c r="BR57" s="171">
        <f t="shared" si="223"/>
        <v>0</v>
      </c>
      <c r="BS57" s="109">
        <f t="shared" si="223"/>
        <v>0</v>
      </c>
      <c r="BT57" s="109">
        <f t="shared" si="223"/>
        <v>0</v>
      </c>
      <c r="BU57" s="109">
        <f t="shared" si="223"/>
        <v>0</v>
      </c>
      <c r="BV57" s="171">
        <f t="shared" si="223"/>
        <v>0</v>
      </c>
      <c r="BW57" s="109">
        <f t="shared" si="223"/>
        <v>0</v>
      </c>
      <c r="BX57" s="109">
        <f t="shared" si="223"/>
        <v>0</v>
      </c>
      <c r="BY57" s="109">
        <f t="shared" si="223"/>
        <v>0</v>
      </c>
      <c r="BZ57" s="171">
        <f t="shared" si="223"/>
        <v>-11</v>
      </c>
      <c r="CA57" s="109">
        <f t="shared" si="223"/>
        <v>-1</v>
      </c>
      <c r="CB57" s="109">
        <f t="shared" si="223"/>
        <v>-1</v>
      </c>
      <c r="CC57" s="109">
        <f t="shared" si="223"/>
        <v>24</v>
      </c>
      <c r="CD57" s="171">
        <f t="shared" si="223"/>
        <v>-1</v>
      </c>
      <c r="CE57" s="109">
        <f t="shared" si="223"/>
        <v>0</v>
      </c>
      <c r="CF57" s="109">
        <f t="shared" si="223"/>
        <v>1</v>
      </c>
      <c r="CG57" s="109">
        <f t="shared" si="223"/>
        <v>-3</v>
      </c>
      <c r="CH57" s="171">
        <f t="shared" si="223"/>
        <v>-286.04964539007142</v>
      </c>
      <c r="CI57" s="109">
        <f t="shared" si="223"/>
        <v>10.364241944922014</v>
      </c>
      <c r="CJ57" s="109">
        <f t="shared" si="223"/>
        <v>-5.7287654921801732</v>
      </c>
      <c r="CK57" s="109">
        <f t="shared" si="223"/>
        <v>11.087046784120957</v>
      </c>
      <c r="CL57" s="171">
        <f t="shared" si="223"/>
        <v>281.32712215320862</v>
      </c>
      <c r="CM57" s="109">
        <f t="shared" si="223"/>
        <v>-5</v>
      </c>
      <c r="CN57" s="109">
        <f t="shared" si="223"/>
        <v>2</v>
      </c>
      <c r="CO57" s="109">
        <f t="shared" si="223"/>
        <v>0</v>
      </c>
      <c r="CP57" s="171">
        <f t="shared" ref="CP57:DV57" si="224">CP56-CO56</f>
        <v>-2</v>
      </c>
      <c r="CQ57" s="109">
        <f t="shared" si="224"/>
        <v>3</v>
      </c>
      <c r="CR57" s="109">
        <f t="shared" si="224"/>
        <v>0</v>
      </c>
      <c r="CS57" s="109">
        <f t="shared" si="224"/>
        <v>0</v>
      </c>
      <c r="CT57" s="171">
        <f t="shared" si="224"/>
        <v>1</v>
      </c>
      <c r="CU57" s="109">
        <f t="shared" si="224"/>
        <v>0</v>
      </c>
      <c r="CV57" s="109">
        <f t="shared" si="224"/>
        <v>2</v>
      </c>
      <c r="CW57" s="172">
        <f t="shared" si="224"/>
        <v>0</v>
      </c>
      <c r="CX57" s="109">
        <f t="shared" si="224"/>
        <v>0</v>
      </c>
      <c r="CY57" s="109">
        <f t="shared" si="224"/>
        <v>-5</v>
      </c>
      <c r="CZ57" s="109">
        <f t="shared" si="224"/>
        <v>8</v>
      </c>
      <c r="DA57" s="109">
        <f t="shared" si="224"/>
        <v>-5</v>
      </c>
      <c r="DB57" s="171">
        <f t="shared" si="224"/>
        <v>-1</v>
      </c>
      <c r="DC57" s="109">
        <f t="shared" si="224"/>
        <v>2</v>
      </c>
      <c r="DD57" s="109">
        <f t="shared" si="224"/>
        <v>1</v>
      </c>
      <c r="DE57" s="109">
        <f t="shared" si="224"/>
        <v>1</v>
      </c>
      <c r="DF57" s="171">
        <f t="shared" si="224"/>
        <v>22</v>
      </c>
      <c r="DG57" s="1044">
        <f t="shared" si="224"/>
        <v>6</v>
      </c>
      <c r="DH57" s="1044">
        <f t="shared" si="224"/>
        <v>1</v>
      </c>
      <c r="DI57" s="172">
        <f t="shared" si="224"/>
        <v>0</v>
      </c>
      <c r="DJ57" s="171">
        <f t="shared" si="224"/>
        <v>3</v>
      </c>
      <c r="DK57" s="1044">
        <f t="shared" si="224"/>
        <v>-4</v>
      </c>
      <c r="DL57" s="1044">
        <f t="shared" si="224"/>
        <v>77</v>
      </c>
      <c r="DM57" s="172">
        <f t="shared" si="224"/>
        <v>5</v>
      </c>
      <c r="DN57" s="1044">
        <f t="shared" si="224"/>
        <v>5</v>
      </c>
      <c r="DO57" s="1044">
        <f t="shared" si="224"/>
        <v>2</v>
      </c>
      <c r="DP57" s="1044">
        <f t="shared" si="224"/>
        <v>19</v>
      </c>
      <c r="DQ57" s="172">
        <f t="shared" si="224"/>
        <v>44</v>
      </c>
      <c r="DR57" s="1044">
        <f t="shared" si="224"/>
        <v>28</v>
      </c>
      <c r="DS57" s="1044">
        <f t="shared" si="224"/>
        <v>39</v>
      </c>
      <c r="DT57" s="1044">
        <f t="shared" si="224"/>
        <v>89</v>
      </c>
      <c r="DU57" s="1044">
        <f t="shared" si="224"/>
        <v>223</v>
      </c>
      <c r="DV57" s="1044">
        <f t="shared" si="224"/>
        <v>-218</v>
      </c>
      <c r="DW57" s="1044">
        <f t="shared" ref="DW57" si="225">DW56-DV56</f>
        <v>0</v>
      </c>
      <c r="DX57" s="1044">
        <f t="shared" ref="DX57" si="226">DX56-DW56</f>
        <v>0</v>
      </c>
      <c r="DY57" s="172">
        <f t="shared" ref="DY57" si="227">DY56-DX56</f>
        <v>0</v>
      </c>
      <c r="DZ57" s="109"/>
    </row>
    <row r="58" spans="1:130" hidden="1" outlineLevel="1">
      <c r="A58" s="176" t="s">
        <v>511</v>
      </c>
      <c r="B58" s="94"/>
      <c r="C58" s="94"/>
      <c r="D58" s="94"/>
      <c r="E58" s="94"/>
      <c r="F58" s="94"/>
      <c r="G58" s="94"/>
      <c r="H58" s="94"/>
      <c r="I58" s="94"/>
      <c r="J58" s="94">
        <f>J56/J26</f>
        <v>0</v>
      </c>
      <c r="K58" s="94"/>
      <c r="L58" s="94"/>
      <c r="M58" s="94"/>
      <c r="N58" s="94">
        <f t="shared" ref="N58:V58" si="228">N56/N26</f>
        <v>-1.94688887158321E-3</v>
      </c>
      <c r="O58" s="94">
        <f t="shared" si="228"/>
        <v>3.0518819938962359E-3</v>
      </c>
      <c r="P58" s="94">
        <f t="shared" si="228"/>
        <v>-8.2417035507221389E-2</v>
      </c>
      <c r="Q58" s="1045">
        <f t="shared" si="228"/>
        <v>4.8641772057172791E-3</v>
      </c>
      <c r="R58" s="94">
        <f t="shared" si="228"/>
        <v>4.6171331154993608E-3</v>
      </c>
      <c r="S58" s="94">
        <f t="shared" si="228"/>
        <v>5.0697084917617234E-3</v>
      </c>
      <c r="T58" s="1045">
        <f t="shared" si="228"/>
        <v>5.0938337801608577E-3</v>
      </c>
      <c r="U58" s="94">
        <f t="shared" si="228"/>
        <v>5.1312808210049318E-3</v>
      </c>
      <c r="V58" s="94">
        <f t="shared" si="228"/>
        <v>1.285742985334494E-2</v>
      </c>
      <c r="W58" s="94">
        <f t="shared" ref="W58:AB58" si="229">W56/W26</f>
        <v>2.4901158354720121E-2</v>
      </c>
      <c r="X58" s="94">
        <f t="shared" si="229"/>
        <v>4.4109436069235064E-2</v>
      </c>
      <c r="Y58" s="94">
        <f t="shared" si="229"/>
        <v>9.3395857756936304E-2</v>
      </c>
      <c r="Z58" s="94">
        <f t="shared" ca="1" si="229"/>
        <v>9.1424978532243281E-2</v>
      </c>
      <c r="AA58" s="94">
        <f t="shared" ca="1" si="229"/>
        <v>8.4711385311097315E-2</v>
      </c>
      <c r="AB58" s="94">
        <f t="shared" ca="1" si="229"/>
        <v>8.4711385311097245E-2</v>
      </c>
      <c r="AC58" s="94">
        <f t="shared" ref="AC58:AG58" ca="1" si="230">AC56/AC26</f>
        <v>8.4711385311097162E-2</v>
      </c>
      <c r="AD58" s="94">
        <f t="shared" ca="1" si="230"/>
        <v>8.4711385311097315E-2</v>
      </c>
      <c r="AE58" s="94">
        <f t="shared" ca="1" si="230"/>
        <v>8.4711385311097315E-2</v>
      </c>
      <c r="AF58" s="94">
        <f t="shared" ca="1" si="230"/>
        <v>8.4711385311097245E-2</v>
      </c>
      <c r="AG58" s="94">
        <f t="shared" ca="1" si="230"/>
        <v>8.4711385311097176E-2</v>
      </c>
      <c r="AH58" s="138"/>
      <c r="AI58" s="94"/>
      <c r="AJ58" s="94"/>
      <c r="AK58" s="94"/>
      <c r="AL58" s="94"/>
      <c r="AM58" s="94"/>
      <c r="AN58" s="94"/>
      <c r="AO58" s="94"/>
      <c r="AP58" s="147"/>
      <c r="AQ58" s="94"/>
      <c r="AR58" s="94"/>
      <c r="AS58" s="94"/>
      <c r="AT58" s="147"/>
      <c r="AU58" s="94"/>
      <c r="AV58" s="94"/>
      <c r="AW58" s="94"/>
      <c r="AX58" s="147"/>
      <c r="AY58" s="94"/>
      <c r="AZ58" s="94"/>
      <c r="BA58" s="94"/>
      <c r="BB58" s="147"/>
      <c r="BC58" s="94"/>
      <c r="BD58" s="94"/>
      <c r="BE58" s="94"/>
      <c r="BF58" s="147"/>
      <c r="BG58" s="94"/>
      <c r="BH58" s="94"/>
      <c r="BI58" s="94"/>
      <c r="BJ58" s="147"/>
      <c r="BK58" s="94"/>
      <c r="BL58" s="94"/>
      <c r="BM58" s="94"/>
      <c r="BN58" s="147"/>
      <c r="BO58" s="94"/>
      <c r="BP58" s="94"/>
      <c r="BQ58" s="94"/>
      <c r="BR58" s="147"/>
      <c r="BS58" s="94"/>
      <c r="BT58" s="94"/>
      <c r="BU58" s="94"/>
      <c r="BV58" s="147"/>
      <c r="BW58" s="94"/>
      <c r="BX58" s="94"/>
      <c r="BY58" s="94"/>
      <c r="BZ58" s="147">
        <f t="shared" ref="BZ58:DE58" si="231">BZ56/BZ26</f>
        <v>-3.3916596007091651E-3</v>
      </c>
      <c r="CA58" s="94">
        <f t="shared" si="231"/>
        <v>-3.7697321919421974E-3</v>
      </c>
      <c r="CB58" s="94">
        <f t="shared" si="231"/>
        <v>-4.0864440078585461E-3</v>
      </c>
      <c r="CC58" s="94">
        <f t="shared" si="231"/>
        <v>3.4021495399365964E-3</v>
      </c>
      <c r="CD58" s="147">
        <f t="shared" si="231"/>
        <v>3.1910650179497405E-3</v>
      </c>
      <c r="CE58" s="94">
        <f t="shared" si="231"/>
        <v>3.1508467900748325E-3</v>
      </c>
      <c r="CF58" s="94">
        <f t="shared" si="231"/>
        <v>3.4324050237928075E-3</v>
      </c>
      <c r="CG58" s="94">
        <f t="shared" si="231"/>
        <v>2.4489171194612383E-3</v>
      </c>
      <c r="CH58" s="147">
        <f t="shared" si="231"/>
        <v>-8.7540226805217294E-2</v>
      </c>
      <c r="CI58" s="94">
        <f t="shared" si="231"/>
        <v>-8.2663600230108672E-2</v>
      </c>
      <c r="CJ58" s="94">
        <f t="shared" si="231"/>
        <v>-8.2696156956470188E-2</v>
      </c>
      <c r="CK58" s="94">
        <f t="shared" si="231"/>
        <v>-7.7126680530160571E-2</v>
      </c>
      <c r="CL58" s="147">
        <f t="shared" si="231"/>
        <v>5.8041851229570793E-3</v>
      </c>
      <c r="CM58" s="94">
        <f t="shared" si="231"/>
        <v>4.2585551330798482E-3</v>
      </c>
      <c r="CN58" s="94">
        <f t="shared" si="231"/>
        <v>4.7668702517503353E-3</v>
      </c>
      <c r="CO58" s="94">
        <f t="shared" si="231"/>
        <v>4.6437382092584531E-3</v>
      </c>
      <c r="CP58" s="147">
        <f t="shared" si="231"/>
        <v>4.0745052386495922E-3</v>
      </c>
      <c r="CQ58" s="94">
        <f t="shared" si="231"/>
        <v>4.8696648524778003E-3</v>
      </c>
      <c r="CR58" s="94">
        <f t="shared" si="231"/>
        <v>4.7954866008462623E-3</v>
      </c>
      <c r="CS58" s="94">
        <f t="shared" si="231"/>
        <v>4.714364947310039E-3</v>
      </c>
      <c r="CT58" s="147">
        <f t="shared" si="231"/>
        <v>4.934548694400658E-3</v>
      </c>
      <c r="CU58" s="94">
        <f t="shared" si="231"/>
        <v>4.8170201378202986E-3</v>
      </c>
      <c r="CV58" s="94">
        <f t="shared" si="231"/>
        <v>5.2593517848925119E-3</v>
      </c>
      <c r="CW58" s="101">
        <f t="shared" si="231"/>
        <v>5.2579691094314825E-3</v>
      </c>
      <c r="CX58" s="94">
        <f t="shared" si="231"/>
        <v>5.4629882545752526E-3</v>
      </c>
      <c r="CY58" s="94">
        <f t="shared" si="231"/>
        <v>3.9883009837809093E-3</v>
      </c>
      <c r="CZ58" s="94">
        <f t="shared" si="231"/>
        <v>6.1105207226354943E-3</v>
      </c>
      <c r="DA58" s="94">
        <f t="shared" si="231"/>
        <v>4.8205677557579003E-3</v>
      </c>
      <c r="DB58" s="147">
        <f t="shared" si="231"/>
        <v>4.5723507261968797E-3</v>
      </c>
      <c r="DC58" s="94">
        <f t="shared" si="231"/>
        <v>5.0653159157557984E-3</v>
      </c>
      <c r="DD58" s="94">
        <f t="shared" si="231"/>
        <v>5.3276505061267982E-3</v>
      </c>
      <c r="DE58" s="94">
        <f t="shared" si="231"/>
        <v>5.5511498810467885E-3</v>
      </c>
      <c r="DF58" s="147">
        <f>DF56/DF26</f>
        <v>1.1506556061011506E-2</v>
      </c>
      <c r="DG58" s="1045">
        <f>DG56/DG26</f>
        <v>1.302844988035097E-2</v>
      </c>
      <c r="DH58" s="1045">
        <f>DH56/DH26</f>
        <v>1.3273161667109106E-2</v>
      </c>
      <c r="DI58" s="101">
        <f>DI56/DI26</f>
        <v>1.3631406761177753E-2</v>
      </c>
      <c r="DJ58" s="147">
        <f t="shared" ref="DJ58:DM58" si="232">DJ56/DJ26</f>
        <v>1.4767344664251881E-2</v>
      </c>
      <c r="DK58" s="1045">
        <f t="shared" si="232"/>
        <v>1.3687150837988826E-2</v>
      </c>
      <c r="DL58" s="1045">
        <f t="shared" si="232"/>
        <v>3.4912718204488775E-2</v>
      </c>
      <c r="DM58" s="101">
        <f t="shared" si="232"/>
        <v>3.599890079692223E-2</v>
      </c>
      <c r="DN58" s="1045">
        <f t="shared" ref="DN58:DO58" si="233">DN56/DN26</f>
        <v>3.7600221177771634E-2</v>
      </c>
      <c r="DO58" s="1045">
        <f t="shared" si="233"/>
        <v>3.8525963149078725E-2</v>
      </c>
      <c r="DP58" s="1045">
        <f t="shared" ref="DP58:DQ58" si="234">DP56/DP26</f>
        <v>4.4325239977413888E-2</v>
      </c>
      <c r="DQ58" s="101">
        <f t="shared" si="234"/>
        <v>5.6035684415946474E-2</v>
      </c>
      <c r="DR58" s="1045">
        <f t="shared" ref="DR58:DS58" si="235">DR56/DR26</f>
        <v>6.2585405848592512E-2</v>
      </c>
      <c r="DS58" s="1045">
        <f t="shared" si="235"/>
        <v>7.1144146535704805E-2</v>
      </c>
      <c r="DT58" s="1045">
        <f t="shared" ref="DT58:DU58" si="236">DT56/DT26</f>
        <v>9.2200413223140501E-2</v>
      </c>
      <c r="DU58" s="1045">
        <f t="shared" si="236"/>
        <v>0.14299802761341224</v>
      </c>
      <c r="DV58" s="1045">
        <f t="shared" ref="DV58" si="237">DV56/DV26</f>
        <v>9.2252803261977573E-2</v>
      </c>
      <c r="DW58" s="1045">
        <f t="shared" ref="DW58:DY58" ca="1" si="238">DW56/DW26</f>
        <v>9.1840045689673827E-2</v>
      </c>
      <c r="DX58" s="1045">
        <f t="shared" ca="1" si="238"/>
        <v>9.1167442803943954E-2</v>
      </c>
      <c r="DY58" s="101">
        <f t="shared" ca="1" si="238"/>
        <v>9.0459949150155441E-2</v>
      </c>
      <c r="DZ58" s="94"/>
    </row>
    <row r="59" spans="1:130" hidden="1" outlineLevel="1">
      <c r="A59" s="652" t="s">
        <v>1290</v>
      </c>
      <c r="B59" s="169"/>
      <c r="C59" s="169"/>
      <c r="D59" s="169"/>
      <c r="E59" s="169"/>
      <c r="F59" s="169"/>
      <c r="G59" s="169"/>
      <c r="H59" s="169">
        <f t="shared" ref="H59:O59" si="239">H40+H46+H51+H54+H56</f>
        <v>2934.2849999999999</v>
      </c>
      <c r="I59" s="169">
        <f t="shared" si="239"/>
        <v>3251</v>
      </c>
      <c r="J59" s="169">
        <f t="shared" si="239"/>
        <v>2816</v>
      </c>
      <c r="K59" s="169">
        <f t="shared" si="239"/>
        <v>3360</v>
      </c>
      <c r="L59" s="169">
        <f t="shared" si="239"/>
        <v>4041</v>
      </c>
      <c r="M59" s="169">
        <f t="shared" si="239"/>
        <v>4299</v>
      </c>
      <c r="N59" s="169">
        <f t="shared" si="239"/>
        <v>12841</v>
      </c>
      <c r="O59" s="169">
        <f t="shared" si="239"/>
        <v>12779</v>
      </c>
      <c r="P59" s="169">
        <f t="shared" ref="P59:V59" si="240">P40+P46+P51+P56</f>
        <v>13122</v>
      </c>
      <c r="Q59" s="1051">
        <f t="shared" si="240"/>
        <v>13363</v>
      </c>
      <c r="R59" s="169">
        <f t="shared" si="240"/>
        <v>14078</v>
      </c>
      <c r="S59" s="169">
        <f t="shared" si="240"/>
        <v>14991</v>
      </c>
      <c r="T59" s="1051">
        <f t="shared" si="240"/>
        <v>14920</v>
      </c>
      <c r="U59" s="169">
        <f t="shared" si="240"/>
        <v>15006</v>
      </c>
      <c r="V59" s="169">
        <f t="shared" si="240"/>
        <v>14933</v>
      </c>
      <c r="W59" s="169">
        <f t="shared" ref="W59:AB59" si="241">W40+W46+W51+W56</f>
        <v>14417</v>
      </c>
      <c r="X59" s="169">
        <f t="shared" si="241"/>
        <v>14328</v>
      </c>
      <c r="Y59" s="169">
        <f t="shared" si="241"/>
        <v>15354</v>
      </c>
      <c r="Z59" s="169">
        <f t="shared" ca="1" si="241"/>
        <v>15944.453106654195</v>
      </c>
      <c r="AA59" s="169">
        <f t="shared" ca="1" si="241"/>
        <v>15848.447250665944</v>
      </c>
      <c r="AB59" s="169">
        <f t="shared" ca="1" si="241"/>
        <v>15788.464921089417</v>
      </c>
      <c r="AC59" s="169">
        <f t="shared" ref="AC59:AG59" ca="1" si="242">AC40+AC46+AC51+AC56</f>
        <v>15732.258805757398</v>
      </c>
      <c r="AD59" s="169">
        <f t="shared" ca="1" si="242"/>
        <v>15680.235774858396</v>
      </c>
      <c r="AE59" s="169">
        <f t="shared" ca="1" si="242"/>
        <v>15632.757878509021</v>
      </c>
      <c r="AF59" s="169">
        <f t="shared" ca="1" si="242"/>
        <v>15590.239744419496</v>
      </c>
      <c r="AG59" s="169">
        <f t="shared" ca="1" si="242"/>
        <v>15593.729220377427</v>
      </c>
      <c r="AH59" s="532"/>
      <c r="AI59" s="169"/>
      <c r="AJ59" s="169"/>
      <c r="AK59" s="169"/>
      <c r="AL59" s="169"/>
      <c r="AM59" s="169"/>
      <c r="AN59" s="109">
        <f>(T59/N59)^(1/6)-1</f>
        <v>2.532527425777964E-2</v>
      </c>
      <c r="AO59" s="169"/>
      <c r="AP59" s="178"/>
      <c r="AQ59" s="169"/>
      <c r="AR59" s="169"/>
      <c r="AS59" s="169"/>
      <c r="AT59" s="178"/>
      <c r="AU59" s="169"/>
      <c r="AV59" s="169"/>
      <c r="AW59" s="169"/>
      <c r="AX59" s="178"/>
      <c r="AY59" s="169"/>
      <c r="AZ59" s="169"/>
      <c r="BA59" s="169"/>
      <c r="BB59" s="178">
        <f t="shared" ref="BB59:CG59" si="243">BB40+BB46+BB51+BB54+BB56</f>
        <v>707.57124999999996</v>
      </c>
      <c r="BC59" s="169">
        <f t="shared" si="243"/>
        <v>763.57124999999996</v>
      </c>
      <c r="BD59" s="169">
        <f t="shared" si="243"/>
        <v>762.57124999999996</v>
      </c>
      <c r="BE59" s="169">
        <f t="shared" si="243"/>
        <v>700.57124999999996</v>
      </c>
      <c r="BF59" s="178">
        <f t="shared" si="243"/>
        <v>805.75</v>
      </c>
      <c r="BG59" s="169">
        <f t="shared" si="243"/>
        <v>772.75</v>
      </c>
      <c r="BH59" s="169">
        <f t="shared" si="243"/>
        <v>829.75</v>
      </c>
      <c r="BI59" s="169">
        <f t="shared" si="243"/>
        <v>842.75</v>
      </c>
      <c r="BJ59" s="178">
        <f t="shared" si="243"/>
        <v>658.25</v>
      </c>
      <c r="BK59" s="169">
        <f t="shared" si="243"/>
        <v>663.25</v>
      </c>
      <c r="BL59" s="169">
        <f t="shared" si="243"/>
        <v>711.25</v>
      </c>
      <c r="BM59" s="169">
        <f t="shared" si="243"/>
        <v>783.25</v>
      </c>
      <c r="BN59" s="178">
        <f t="shared" si="243"/>
        <v>774.25</v>
      </c>
      <c r="BO59" s="169">
        <f t="shared" si="243"/>
        <v>825.25</v>
      </c>
      <c r="BP59" s="169">
        <f t="shared" si="243"/>
        <v>867.25</v>
      </c>
      <c r="BQ59" s="169">
        <f t="shared" si="243"/>
        <v>893.25</v>
      </c>
      <c r="BR59" s="178">
        <f t="shared" si="243"/>
        <v>943</v>
      </c>
      <c r="BS59" s="169">
        <f t="shared" si="243"/>
        <v>991</v>
      </c>
      <c r="BT59" s="169">
        <f t="shared" si="243"/>
        <v>1037</v>
      </c>
      <c r="BU59" s="169">
        <f t="shared" si="243"/>
        <v>1070</v>
      </c>
      <c r="BV59" s="178">
        <f t="shared" si="243"/>
        <v>1034.75</v>
      </c>
      <c r="BW59" s="169">
        <f t="shared" si="243"/>
        <v>1059.75</v>
      </c>
      <c r="BX59" s="169">
        <f t="shared" si="243"/>
        <v>1083.75</v>
      </c>
      <c r="BY59" s="169">
        <f t="shared" si="243"/>
        <v>1120.75</v>
      </c>
      <c r="BZ59" s="178">
        <f t="shared" si="243"/>
        <v>3243.25</v>
      </c>
      <c r="CA59" s="169">
        <f t="shared" si="243"/>
        <v>3183.25</v>
      </c>
      <c r="CB59" s="169">
        <f t="shared" si="243"/>
        <v>3181.25</v>
      </c>
      <c r="CC59" s="169">
        <f t="shared" si="243"/>
        <v>3233.25</v>
      </c>
      <c r="CD59" s="178">
        <f t="shared" si="243"/>
        <v>3133.75</v>
      </c>
      <c r="CE59" s="169">
        <f t="shared" si="243"/>
        <v>3173.75</v>
      </c>
      <c r="CF59" s="169">
        <f t="shared" si="243"/>
        <v>3204.75</v>
      </c>
      <c r="CG59" s="169">
        <f t="shared" si="243"/>
        <v>3266.75</v>
      </c>
      <c r="CH59" s="178">
        <f t="shared" ref="CH59:DE59" si="244">CH40+CH46+CH51+CH54+CH56</f>
        <v>3176.25</v>
      </c>
      <c r="CI59" s="169">
        <f t="shared" si="244"/>
        <v>3238.25</v>
      </c>
      <c r="CJ59" s="169">
        <f t="shared" si="244"/>
        <v>3306.25</v>
      </c>
      <c r="CK59" s="169">
        <f t="shared" si="244"/>
        <v>3401.25</v>
      </c>
      <c r="CL59" s="178">
        <f t="shared" si="244"/>
        <v>3273.5</v>
      </c>
      <c r="CM59" s="169">
        <f t="shared" si="244"/>
        <v>3287.5</v>
      </c>
      <c r="CN59" s="169">
        <f t="shared" si="244"/>
        <v>3356.5</v>
      </c>
      <c r="CO59" s="169">
        <f t="shared" si="244"/>
        <v>3445.5</v>
      </c>
      <c r="CP59" s="178">
        <f t="shared" si="244"/>
        <v>3436</v>
      </c>
      <c r="CQ59" s="169">
        <f t="shared" si="244"/>
        <v>3491</v>
      </c>
      <c r="CR59" s="169">
        <f t="shared" si="244"/>
        <v>3545</v>
      </c>
      <c r="CS59" s="169">
        <f t="shared" si="244"/>
        <v>3606</v>
      </c>
      <c r="CT59" s="178">
        <f t="shared" si="244"/>
        <v>3647.75</v>
      </c>
      <c r="CU59" s="169">
        <f t="shared" si="244"/>
        <v>3736.75</v>
      </c>
      <c r="CV59" s="169">
        <f t="shared" si="244"/>
        <v>3802.75</v>
      </c>
      <c r="CW59" s="179">
        <f t="shared" si="244"/>
        <v>3803.75</v>
      </c>
      <c r="CX59" s="169">
        <f t="shared" si="244"/>
        <v>3661</v>
      </c>
      <c r="CY59" s="169">
        <f t="shared" si="244"/>
        <v>3761</v>
      </c>
      <c r="CZ59" s="169">
        <f t="shared" si="244"/>
        <v>3764</v>
      </c>
      <c r="DA59" s="169">
        <f t="shared" si="244"/>
        <v>3734</v>
      </c>
      <c r="DB59" s="178">
        <f t="shared" si="244"/>
        <v>3718</v>
      </c>
      <c r="DC59" s="169">
        <f t="shared" si="244"/>
        <v>3751</v>
      </c>
      <c r="DD59" s="169">
        <f t="shared" si="244"/>
        <v>3754</v>
      </c>
      <c r="DE59" s="169">
        <f t="shared" si="244"/>
        <v>3783</v>
      </c>
      <c r="DF59" s="178">
        <f t="shared" ref="DF59:DK59" si="245">DF40+DF46+DF51+DF54+DF56</f>
        <v>3737</v>
      </c>
      <c r="DG59" s="1051">
        <f t="shared" si="245"/>
        <v>3761</v>
      </c>
      <c r="DH59" s="1051">
        <f t="shared" si="245"/>
        <v>3767</v>
      </c>
      <c r="DI59" s="179">
        <f t="shared" si="245"/>
        <v>3668</v>
      </c>
      <c r="DJ59" s="178">
        <f t="shared" si="245"/>
        <v>3589</v>
      </c>
      <c r="DK59" s="1051">
        <f t="shared" si="245"/>
        <v>3580</v>
      </c>
      <c r="DL59" s="1051">
        <f t="shared" ref="DL59:DQ59" si="246">DL40+DL46+DL51+DL54+DL56</f>
        <v>3609</v>
      </c>
      <c r="DM59" s="179">
        <f t="shared" si="246"/>
        <v>3639</v>
      </c>
      <c r="DN59" s="1051">
        <f t="shared" si="246"/>
        <v>3617</v>
      </c>
      <c r="DO59" s="1051">
        <f t="shared" si="246"/>
        <v>3582</v>
      </c>
      <c r="DP59" s="1051">
        <f t="shared" si="246"/>
        <v>3542</v>
      </c>
      <c r="DQ59" s="179">
        <f t="shared" si="246"/>
        <v>3587</v>
      </c>
      <c r="DR59" s="1051">
        <f t="shared" ref="DR59:DS59" si="247">DR40+DR46+DR51+DR54+DR56</f>
        <v>3659</v>
      </c>
      <c r="DS59" s="1051">
        <f t="shared" si="247"/>
        <v>3767</v>
      </c>
      <c r="DT59" s="1051">
        <f t="shared" ref="DT59:DU59" si="248">DT40+DT46+DT51+DT54+DT56</f>
        <v>3872</v>
      </c>
      <c r="DU59" s="1051">
        <f t="shared" si="248"/>
        <v>4056</v>
      </c>
      <c r="DV59" s="1051">
        <f t="shared" ref="DV59" si="249">DV40+DV46+DV51+DV54+DV56</f>
        <v>3924</v>
      </c>
      <c r="DW59" s="1051">
        <f t="shared" ref="DW59:DY59" ca="1" si="250">DW40+DW46+DW51+DW54*0.5+DW56</f>
        <v>3959.7169081081452</v>
      </c>
      <c r="DX59" s="1051">
        <f t="shared" ca="1" si="250"/>
        <v>4006.1132382490377</v>
      </c>
      <c r="DY59" s="179">
        <f t="shared" ca="1" si="250"/>
        <v>4054.6229602970116</v>
      </c>
      <c r="DZ59" s="109"/>
    </row>
    <row r="60" spans="1:130" hidden="1" outlineLevel="1">
      <c r="A60" s="774" t="s">
        <v>1237</v>
      </c>
      <c r="B60" s="317"/>
      <c r="C60" s="317"/>
      <c r="D60" s="317"/>
      <c r="E60" s="317"/>
      <c r="F60" s="317"/>
      <c r="G60" s="317"/>
      <c r="H60" s="317"/>
      <c r="I60" s="317"/>
      <c r="J60" s="317"/>
      <c r="K60" s="317"/>
      <c r="L60" s="317"/>
      <c r="M60" s="317"/>
      <c r="N60" s="317">
        <f t="shared" ref="N60:V60" si="251">N59-N14</f>
        <v>0</v>
      </c>
      <c r="O60" s="317">
        <f t="shared" si="251"/>
        <v>0</v>
      </c>
      <c r="P60" s="317">
        <f t="shared" si="251"/>
        <v>0</v>
      </c>
      <c r="Q60" s="1083">
        <f t="shared" si="251"/>
        <v>0</v>
      </c>
      <c r="R60" s="317">
        <f t="shared" si="251"/>
        <v>0</v>
      </c>
      <c r="S60" s="317">
        <f t="shared" si="251"/>
        <v>0</v>
      </c>
      <c r="T60" s="1083">
        <f t="shared" si="251"/>
        <v>0</v>
      </c>
      <c r="U60" s="317">
        <f t="shared" si="251"/>
        <v>0</v>
      </c>
      <c r="V60" s="317">
        <f t="shared" si="251"/>
        <v>0</v>
      </c>
      <c r="W60" s="317">
        <f t="shared" ref="W60:AB60" si="252">W59-W14</f>
        <v>0</v>
      </c>
      <c r="X60" s="317">
        <f t="shared" si="252"/>
        <v>0</v>
      </c>
      <c r="Y60" s="317">
        <f t="shared" si="252"/>
        <v>0</v>
      </c>
      <c r="Z60" s="317">
        <f ca="1">Z59-Z14</f>
        <v>106.33071115013627</v>
      </c>
      <c r="AA60" s="317">
        <f t="shared" ca="1" si="252"/>
        <v>0</v>
      </c>
      <c r="AB60" s="317">
        <f t="shared" ca="1" si="252"/>
        <v>0</v>
      </c>
      <c r="AC60" s="317">
        <f t="shared" ref="AC60:AG60" ca="1" si="253">AC59-AC14</f>
        <v>0</v>
      </c>
      <c r="AD60" s="317">
        <f t="shared" ca="1" si="253"/>
        <v>0</v>
      </c>
      <c r="AE60" s="317">
        <f t="shared" ca="1" si="253"/>
        <v>0</v>
      </c>
      <c r="AF60" s="317">
        <f t="shared" ca="1" si="253"/>
        <v>0</v>
      </c>
      <c r="AG60" s="317">
        <f t="shared" ca="1" si="253"/>
        <v>0</v>
      </c>
      <c r="AH60" s="3049"/>
      <c r="AI60" s="317"/>
      <c r="AJ60" s="317"/>
      <c r="AK60" s="317"/>
      <c r="AL60" s="317"/>
      <c r="AM60" s="317"/>
      <c r="AN60" s="317"/>
      <c r="AO60" s="317"/>
      <c r="AP60" s="433"/>
      <c r="AQ60" s="317"/>
      <c r="AR60" s="317"/>
      <c r="AS60" s="317"/>
      <c r="AT60" s="433"/>
      <c r="AU60" s="317"/>
      <c r="AV60" s="317"/>
      <c r="AW60" s="317"/>
      <c r="AX60" s="433"/>
      <c r="AY60" s="317"/>
      <c r="AZ60" s="317"/>
      <c r="BA60" s="317"/>
      <c r="BB60" s="433"/>
      <c r="BC60" s="317"/>
      <c r="BD60" s="317"/>
      <c r="BE60" s="317"/>
      <c r="BF60" s="433"/>
      <c r="BG60" s="317"/>
      <c r="BH60" s="317"/>
      <c r="BI60" s="317"/>
      <c r="BJ60" s="433"/>
      <c r="BK60" s="317"/>
      <c r="BL60" s="317"/>
      <c r="BM60" s="317"/>
      <c r="BN60" s="433"/>
      <c r="BO60" s="317"/>
      <c r="BP60" s="317"/>
      <c r="BQ60" s="317"/>
      <c r="BR60" s="433"/>
      <c r="BS60" s="317"/>
      <c r="BT60" s="317"/>
      <c r="BU60" s="317"/>
      <c r="BV60" s="433"/>
      <c r="BW60" s="317"/>
      <c r="BX60" s="317"/>
      <c r="BY60" s="317"/>
      <c r="BZ60" s="433">
        <f t="shared" ref="BZ60:DF60" si="254">BZ59-BZ14</f>
        <v>0</v>
      </c>
      <c r="CA60" s="317">
        <f t="shared" si="254"/>
        <v>0</v>
      </c>
      <c r="CB60" s="317">
        <f t="shared" si="254"/>
        <v>0</v>
      </c>
      <c r="CC60" s="317">
        <f t="shared" si="254"/>
        <v>0</v>
      </c>
      <c r="CD60" s="433">
        <f t="shared" si="254"/>
        <v>0</v>
      </c>
      <c r="CE60" s="317">
        <f t="shared" si="254"/>
        <v>0</v>
      </c>
      <c r="CF60" s="317">
        <f t="shared" si="254"/>
        <v>0</v>
      </c>
      <c r="CG60" s="317">
        <f t="shared" si="254"/>
        <v>0</v>
      </c>
      <c r="CH60" s="433">
        <f t="shared" si="254"/>
        <v>0</v>
      </c>
      <c r="CI60" s="317">
        <f t="shared" si="254"/>
        <v>0</v>
      </c>
      <c r="CJ60" s="317">
        <f t="shared" si="254"/>
        <v>0</v>
      </c>
      <c r="CK60" s="317">
        <f t="shared" si="254"/>
        <v>0</v>
      </c>
      <c r="CL60" s="433">
        <f t="shared" si="254"/>
        <v>0</v>
      </c>
      <c r="CM60" s="317">
        <f t="shared" si="254"/>
        <v>0</v>
      </c>
      <c r="CN60" s="317">
        <f t="shared" si="254"/>
        <v>0</v>
      </c>
      <c r="CO60" s="317">
        <f t="shared" si="254"/>
        <v>0</v>
      </c>
      <c r="CP60" s="433">
        <f t="shared" si="254"/>
        <v>0</v>
      </c>
      <c r="CQ60" s="317">
        <f t="shared" si="254"/>
        <v>0</v>
      </c>
      <c r="CR60" s="317">
        <f t="shared" si="254"/>
        <v>0</v>
      </c>
      <c r="CS60" s="317">
        <f t="shared" si="254"/>
        <v>0</v>
      </c>
      <c r="CT60" s="433">
        <f t="shared" si="254"/>
        <v>0</v>
      </c>
      <c r="CU60" s="317">
        <f t="shared" si="254"/>
        <v>0</v>
      </c>
      <c r="CV60" s="317">
        <f t="shared" si="254"/>
        <v>0</v>
      </c>
      <c r="CW60" s="318">
        <f t="shared" si="254"/>
        <v>0</v>
      </c>
      <c r="CX60" s="317">
        <f t="shared" si="254"/>
        <v>0</v>
      </c>
      <c r="CY60" s="317">
        <f t="shared" si="254"/>
        <v>0</v>
      </c>
      <c r="CZ60" s="317">
        <f t="shared" si="254"/>
        <v>0</v>
      </c>
      <c r="DA60" s="317">
        <f t="shared" si="254"/>
        <v>0</v>
      </c>
      <c r="DB60" s="433">
        <f t="shared" si="254"/>
        <v>0</v>
      </c>
      <c r="DC60" s="317">
        <f t="shared" si="254"/>
        <v>0</v>
      </c>
      <c r="DD60" s="317">
        <f t="shared" si="254"/>
        <v>0</v>
      </c>
      <c r="DE60" s="317">
        <f t="shared" si="254"/>
        <v>0</v>
      </c>
      <c r="DF60" s="433">
        <f t="shared" si="254"/>
        <v>0</v>
      </c>
      <c r="DG60" s="1083">
        <f>DG59-DG14</f>
        <v>0</v>
      </c>
      <c r="DH60" s="1083">
        <f>DH59-DH14</f>
        <v>0</v>
      </c>
      <c r="DI60" s="318">
        <f>DI59-DI14</f>
        <v>0</v>
      </c>
      <c r="DJ60" s="433">
        <f t="shared" ref="DJ60:DM60" si="255">DJ59-DJ14</f>
        <v>0</v>
      </c>
      <c r="DK60" s="1083">
        <f t="shared" si="255"/>
        <v>0</v>
      </c>
      <c r="DL60" s="1083">
        <f t="shared" si="255"/>
        <v>0</v>
      </c>
      <c r="DM60" s="318">
        <f t="shared" si="255"/>
        <v>0</v>
      </c>
      <c r="DN60" s="1083">
        <f t="shared" ref="DN60:DO60" si="256">DN59-DN14</f>
        <v>0</v>
      </c>
      <c r="DO60" s="1083">
        <f t="shared" si="256"/>
        <v>0</v>
      </c>
      <c r="DP60" s="1083">
        <f t="shared" ref="DP60:DQ60" si="257">DP59-DP14</f>
        <v>0</v>
      </c>
      <c r="DQ60" s="318">
        <f t="shared" si="257"/>
        <v>0</v>
      </c>
      <c r="DR60" s="1083">
        <f t="shared" ref="DR60:DS60" si="258">DR59-DR14</f>
        <v>0</v>
      </c>
      <c r="DS60" s="1083">
        <f t="shared" si="258"/>
        <v>0</v>
      </c>
      <c r="DT60" s="1083">
        <f t="shared" ref="DT60:DU60" si="259">DT59-DT14</f>
        <v>0</v>
      </c>
      <c r="DU60" s="1083">
        <f t="shared" si="259"/>
        <v>0</v>
      </c>
      <c r="DV60" s="1083">
        <f t="shared" ref="DV60" si="260">DV59-DV14</f>
        <v>0</v>
      </c>
      <c r="DW60" s="1083">
        <f t="shared" ref="DW60:DY60" ca="1" si="261">DW59-DW14</f>
        <v>18.081238378703802</v>
      </c>
      <c r="DX60" s="1083">
        <f t="shared" ca="1" si="261"/>
        <v>35.397499534255076</v>
      </c>
      <c r="DY60" s="318">
        <f t="shared" ca="1" si="261"/>
        <v>52.851973237176935</v>
      </c>
      <c r="DZ60" s="109"/>
    </row>
    <row r="61" spans="1:130" hidden="1" outlineLevel="1">
      <c r="A61" s="749"/>
      <c r="B61" s="105"/>
      <c r="C61" s="105"/>
      <c r="D61" s="105"/>
      <c r="E61" s="105"/>
      <c r="F61" s="105"/>
      <c r="G61" s="105"/>
      <c r="H61" s="105"/>
      <c r="I61" s="105"/>
      <c r="J61" s="105"/>
      <c r="K61" s="105"/>
      <c r="L61" s="105"/>
      <c r="M61" s="105"/>
      <c r="N61" s="105"/>
      <c r="O61" s="105"/>
      <c r="P61" s="105"/>
      <c r="Q61" s="1132"/>
      <c r="R61" s="105"/>
      <c r="S61" s="105"/>
      <c r="T61" s="1132"/>
      <c r="U61" s="105"/>
      <c r="V61" s="105"/>
      <c r="W61" s="105"/>
      <c r="X61" s="105"/>
      <c r="Y61" s="105"/>
      <c r="Z61" s="105"/>
      <c r="AA61" s="105"/>
      <c r="AB61" s="105"/>
      <c r="AC61" s="105"/>
      <c r="AD61" s="105"/>
      <c r="AE61" s="105"/>
      <c r="AF61" s="105"/>
      <c r="AG61" s="105"/>
      <c r="AH61" s="1244"/>
      <c r="AI61" s="105"/>
      <c r="AJ61" s="105"/>
      <c r="AK61" s="105"/>
      <c r="AL61" s="105"/>
      <c r="AM61" s="105"/>
      <c r="AN61" s="105"/>
      <c r="AO61" s="105"/>
      <c r="AP61" s="306"/>
      <c r="AQ61" s="105"/>
      <c r="AR61" s="105"/>
      <c r="AS61" s="105"/>
      <c r="AT61" s="306"/>
      <c r="AU61" s="105"/>
      <c r="AV61" s="105"/>
      <c r="AW61" s="105"/>
      <c r="AX61" s="306"/>
      <c r="AY61" s="105"/>
      <c r="AZ61" s="105"/>
      <c r="BA61" s="105"/>
      <c r="BB61" s="306"/>
      <c r="BC61" s="105"/>
      <c r="BD61" s="105"/>
      <c r="BE61" s="105"/>
      <c r="BF61" s="306"/>
      <c r="BG61" s="105"/>
      <c r="BH61" s="105"/>
      <c r="BI61" s="105"/>
      <c r="BJ61" s="268"/>
      <c r="BK61" s="105"/>
      <c r="BL61" s="105"/>
      <c r="BM61" s="105"/>
      <c r="BN61" s="268"/>
      <c r="BO61" s="105"/>
      <c r="BP61" s="105"/>
      <c r="BQ61" s="105"/>
      <c r="BR61" s="306"/>
      <c r="BS61" s="105"/>
      <c r="BT61" s="105"/>
      <c r="BU61" s="105"/>
      <c r="BV61" s="306"/>
      <c r="BW61" s="105"/>
      <c r="BX61" s="105"/>
      <c r="BY61" s="105"/>
      <c r="BZ61" s="306"/>
      <c r="CA61" s="105"/>
      <c r="CB61" s="105"/>
      <c r="CC61" s="105"/>
      <c r="CD61" s="306"/>
      <c r="CE61" s="105"/>
      <c r="CF61" s="105"/>
      <c r="CG61" s="105"/>
      <c r="CH61" s="306"/>
      <c r="CI61" s="105"/>
      <c r="CJ61" s="105"/>
      <c r="CK61" s="105"/>
      <c r="CL61" s="306"/>
      <c r="CM61" s="105"/>
      <c r="CN61" s="105"/>
      <c r="CO61" s="105"/>
      <c r="CP61" s="306"/>
      <c r="CQ61" s="105"/>
      <c r="CR61" s="105"/>
      <c r="CS61" s="105"/>
      <c r="CT61" s="306"/>
      <c r="CU61" s="105"/>
      <c r="CV61" s="105"/>
      <c r="CW61" s="307"/>
      <c r="CX61" s="105"/>
      <c r="CY61" s="105"/>
      <c r="CZ61" s="105"/>
      <c r="DA61" s="105"/>
      <c r="DB61" s="306"/>
      <c r="DC61" s="105"/>
      <c r="DD61" s="105"/>
      <c r="DE61" s="105"/>
      <c r="DF61" s="306"/>
      <c r="DG61" s="1132"/>
      <c r="DH61" s="1132"/>
      <c r="DI61" s="307"/>
      <c r="DJ61" s="306"/>
      <c r="DK61" s="1132"/>
      <c r="DL61" s="1132"/>
      <c r="DM61" s="307"/>
      <c r="DN61" s="1132"/>
      <c r="DO61" s="1132"/>
      <c r="DP61" s="1132"/>
      <c r="DQ61" s="307"/>
      <c r="DR61" s="1132"/>
      <c r="DS61" s="1132"/>
      <c r="DT61" s="1132"/>
      <c r="DU61" s="1132"/>
      <c r="DV61" s="1132"/>
      <c r="DW61" s="1132"/>
      <c r="DX61" s="1132"/>
      <c r="DY61" s="307"/>
      <c r="DZ61" s="87"/>
    </row>
    <row r="62" spans="1:130" hidden="1" outlineLevel="1">
      <c r="A62" s="749"/>
      <c r="B62" s="105"/>
      <c r="C62" s="105"/>
      <c r="D62" s="105"/>
      <c r="E62" s="105"/>
      <c r="F62" s="105"/>
      <c r="G62" s="105"/>
      <c r="H62" s="105"/>
      <c r="I62" s="105"/>
      <c r="J62" s="105"/>
      <c r="K62" s="105"/>
      <c r="L62" s="105"/>
      <c r="M62" s="105"/>
      <c r="N62" s="105"/>
      <c r="O62" s="105"/>
      <c r="P62" s="105"/>
      <c r="Q62" s="1132"/>
      <c r="R62" s="105"/>
      <c r="S62" s="105"/>
      <c r="T62" s="1132"/>
      <c r="U62" s="105"/>
      <c r="V62" s="105"/>
      <c r="W62" s="105"/>
      <c r="X62" s="105"/>
      <c r="Y62" s="105"/>
      <c r="Z62" s="105"/>
      <c r="AA62" s="105"/>
      <c r="AB62" s="105"/>
      <c r="AC62" s="105"/>
      <c r="AD62" s="105"/>
      <c r="AE62" s="105"/>
      <c r="AF62" s="105"/>
      <c r="AG62" s="105"/>
      <c r="AH62" s="1244"/>
      <c r="AI62" s="105"/>
      <c r="AJ62" s="105"/>
      <c r="AK62" s="105"/>
      <c r="AL62" s="105"/>
      <c r="AM62" s="105"/>
      <c r="AN62" s="105"/>
      <c r="AO62" s="105"/>
      <c r="AP62" s="306"/>
      <c r="AQ62" s="105"/>
      <c r="AR62" s="105"/>
      <c r="AS62" s="105"/>
      <c r="AT62" s="306"/>
      <c r="AU62" s="105"/>
      <c r="AV62" s="105"/>
      <c r="AW62" s="105"/>
      <c r="AX62" s="306"/>
      <c r="AY62" s="105"/>
      <c r="AZ62" s="105"/>
      <c r="BA62" s="105"/>
      <c r="BB62" s="306"/>
      <c r="BC62" s="105"/>
      <c r="BD62" s="105"/>
      <c r="BE62" s="105"/>
      <c r="BF62" s="306"/>
      <c r="BG62" s="105"/>
      <c r="BH62" s="105"/>
      <c r="BI62" s="105"/>
      <c r="BJ62" s="268"/>
      <c r="BK62" s="105"/>
      <c r="BL62" s="105"/>
      <c r="BM62" s="105"/>
      <c r="BN62" s="268"/>
      <c r="BO62" s="105"/>
      <c r="BP62" s="105"/>
      <c r="BQ62" s="105"/>
      <c r="BR62" s="306"/>
      <c r="BS62" s="105"/>
      <c r="BT62" s="105"/>
      <c r="BU62" s="105"/>
      <c r="BV62" s="306"/>
      <c r="BW62" s="105"/>
      <c r="BX62" s="105"/>
      <c r="BY62" s="105"/>
      <c r="BZ62" s="306"/>
      <c r="CA62" s="105"/>
      <c r="CB62" s="105"/>
      <c r="CC62" s="105"/>
      <c r="CD62" s="306"/>
      <c r="CE62" s="105"/>
      <c r="CF62" s="105"/>
      <c r="CG62" s="105"/>
      <c r="CH62" s="306"/>
      <c r="CI62" s="105"/>
      <c r="CJ62" s="105"/>
      <c r="CK62" s="105"/>
      <c r="CL62" s="306"/>
      <c r="CM62" s="105"/>
      <c r="CN62" s="105"/>
      <c r="CO62" s="105"/>
      <c r="CP62" s="306"/>
      <c r="CQ62" s="105"/>
      <c r="CR62" s="105"/>
      <c r="CS62" s="105"/>
      <c r="CT62" s="306"/>
      <c r="CU62" s="105"/>
      <c r="CV62" s="105"/>
      <c r="CW62" s="307"/>
      <c r="CX62" s="105"/>
      <c r="CY62" s="105"/>
      <c r="CZ62" s="105"/>
      <c r="DA62" s="105"/>
      <c r="DB62" s="306"/>
      <c r="DC62" s="105"/>
      <c r="DD62" s="105"/>
      <c r="DE62" s="105"/>
      <c r="DF62" s="306"/>
      <c r="DG62" s="1132"/>
      <c r="DH62" s="1132"/>
      <c r="DI62" s="307"/>
      <c r="DJ62" s="306"/>
      <c r="DK62" s="1132"/>
      <c r="DL62" s="1132"/>
      <c r="DM62" s="307"/>
      <c r="DN62" s="1132"/>
      <c r="DO62" s="1132"/>
      <c r="DP62" s="1132"/>
      <c r="DQ62" s="307"/>
      <c r="DR62" s="1132"/>
      <c r="DS62" s="1132"/>
      <c r="DT62" s="1132"/>
      <c r="DU62" s="1132"/>
      <c r="DV62" s="1132"/>
      <c r="DW62" s="1132"/>
      <c r="DX62" s="1132"/>
      <c r="DY62" s="307"/>
      <c r="DZ62" s="87"/>
    </row>
    <row r="63" spans="1:130" hidden="1" outlineLevel="1">
      <c r="A63" s="198" t="s">
        <v>515</v>
      </c>
      <c r="B63" s="139"/>
      <c r="C63" s="139"/>
      <c r="D63" s="139"/>
      <c r="E63" s="139"/>
      <c r="F63" s="139"/>
      <c r="G63" s="139"/>
      <c r="H63" s="140"/>
      <c r="I63" s="140"/>
      <c r="J63" s="140"/>
      <c r="K63" s="140"/>
      <c r="L63" s="140"/>
      <c r="M63" s="140"/>
      <c r="N63" s="140"/>
      <c r="O63" s="140"/>
      <c r="P63" s="140"/>
      <c r="Q63" s="1038"/>
      <c r="R63" s="140"/>
      <c r="S63" s="140"/>
      <c r="T63" s="1038"/>
      <c r="U63" s="140"/>
      <c r="V63" s="140"/>
      <c r="W63" s="140"/>
      <c r="X63" s="140"/>
      <c r="Y63" s="140"/>
      <c r="Z63" s="140"/>
      <c r="AA63" s="140"/>
      <c r="AB63" s="140"/>
      <c r="AC63" s="140"/>
      <c r="AD63" s="140"/>
      <c r="AE63" s="140"/>
      <c r="AF63" s="140"/>
      <c r="AG63" s="140"/>
      <c r="AH63" s="1242"/>
      <c r="AI63" s="140"/>
      <c r="AJ63" s="140"/>
      <c r="AK63" s="140"/>
      <c r="AL63" s="140"/>
      <c r="AM63" s="140"/>
      <c r="AN63" s="140"/>
      <c r="AO63" s="140"/>
      <c r="AP63" s="141"/>
      <c r="AQ63" s="140"/>
      <c r="AR63" s="140"/>
      <c r="AS63" s="140"/>
      <c r="AT63" s="141"/>
      <c r="AU63" s="140"/>
      <c r="AV63" s="140"/>
      <c r="AW63" s="140"/>
      <c r="AX63" s="141"/>
      <c r="AY63" s="140"/>
      <c r="AZ63" s="140"/>
      <c r="BA63" s="140"/>
      <c r="BB63" s="141"/>
      <c r="BC63" s="140"/>
      <c r="BD63" s="140"/>
      <c r="BE63" s="140"/>
      <c r="BF63" s="141"/>
      <c r="BG63" s="140"/>
      <c r="BH63" s="140"/>
      <c r="BI63" s="140"/>
      <c r="BJ63" s="141"/>
      <c r="BK63" s="140"/>
      <c r="BL63" s="140"/>
      <c r="BM63" s="140"/>
      <c r="BN63" s="141"/>
      <c r="BO63" s="140"/>
      <c r="BP63" s="140"/>
      <c r="BQ63" s="140"/>
      <c r="BR63" s="141"/>
      <c r="BS63" s="140"/>
      <c r="BT63" s="140"/>
      <c r="BU63" s="140"/>
      <c r="BV63" s="141"/>
      <c r="BW63" s="140"/>
      <c r="BX63" s="140"/>
      <c r="BY63" s="140"/>
      <c r="BZ63" s="141"/>
      <c r="CA63" s="140"/>
      <c r="CB63" s="140"/>
      <c r="CC63" s="140"/>
      <c r="CD63" s="141"/>
      <c r="CE63" s="140"/>
      <c r="CF63" s="140"/>
      <c r="CG63" s="140"/>
      <c r="CH63" s="141"/>
      <c r="CI63" s="140"/>
      <c r="CJ63" s="140"/>
      <c r="CK63" s="140"/>
      <c r="CL63" s="141"/>
      <c r="CM63" s="140"/>
      <c r="CN63" s="140"/>
      <c r="CO63" s="140"/>
      <c r="CP63" s="141"/>
      <c r="CQ63" s="140"/>
      <c r="CR63" s="140"/>
      <c r="CS63" s="140"/>
      <c r="CT63" s="141"/>
      <c r="CU63" s="140"/>
      <c r="CV63" s="140"/>
      <c r="CW63" s="142"/>
      <c r="CX63" s="140"/>
      <c r="CY63" s="140"/>
      <c r="CZ63" s="140"/>
      <c r="DA63" s="140"/>
      <c r="DB63" s="141"/>
      <c r="DC63" s="140"/>
      <c r="DD63" s="140"/>
      <c r="DE63" s="140"/>
      <c r="DF63" s="141"/>
      <c r="DG63" s="1038"/>
      <c r="DH63" s="1038"/>
      <c r="DI63" s="142"/>
      <c r="DJ63" s="141"/>
      <c r="DK63" s="1038"/>
      <c r="DL63" s="1038"/>
      <c r="DM63" s="142"/>
      <c r="DN63" s="1038"/>
      <c r="DO63" s="1038"/>
      <c r="DP63" s="1038"/>
      <c r="DQ63" s="142"/>
      <c r="DR63" s="1038"/>
      <c r="DS63" s="1038"/>
      <c r="DT63" s="1038"/>
      <c r="DU63" s="1038"/>
      <c r="DV63" s="1038"/>
      <c r="DW63" s="1038"/>
      <c r="DX63" s="1038"/>
      <c r="DY63" s="142"/>
      <c r="DZ63" s="87"/>
    </row>
    <row r="64" spans="1:130" hidden="1" outlineLevel="1">
      <c r="A64" s="88"/>
      <c r="B64" s="87"/>
      <c r="C64" s="87"/>
      <c r="D64" s="87"/>
      <c r="E64" s="143"/>
      <c r="F64" s="143"/>
      <c r="G64" s="143"/>
      <c r="H64" s="87"/>
      <c r="I64" s="87"/>
      <c r="J64" s="87"/>
      <c r="K64" s="87"/>
      <c r="L64" s="87"/>
      <c r="M64" s="87"/>
      <c r="N64" s="143"/>
      <c r="O64" s="143"/>
      <c r="P64" s="143"/>
      <c r="Q64" s="1047"/>
      <c r="R64" s="143"/>
      <c r="S64" s="143"/>
      <c r="T64" s="1047"/>
      <c r="U64" s="143"/>
      <c r="V64" s="143"/>
      <c r="W64" s="143"/>
      <c r="X64" s="143"/>
      <c r="Y64" s="143"/>
      <c r="Z64" s="143"/>
      <c r="AA64" s="143"/>
      <c r="AB64" s="143"/>
      <c r="AC64" s="143"/>
      <c r="AD64" s="143"/>
      <c r="AE64" s="143"/>
      <c r="AF64" s="143"/>
      <c r="AG64" s="143"/>
      <c r="AH64" s="1237"/>
      <c r="AI64" s="143"/>
      <c r="AJ64" s="143"/>
      <c r="AK64" s="143"/>
      <c r="AL64" s="143"/>
      <c r="AM64" s="143"/>
      <c r="AN64" s="143"/>
      <c r="AO64" s="143"/>
      <c r="AP64" s="159"/>
      <c r="AQ64" s="143"/>
      <c r="AR64" s="143"/>
      <c r="AS64" s="143"/>
      <c r="AT64" s="159"/>
      <c r="AU64" s="143"/>
      <c r="AV64" s="143"/>
      <c r="AW64" s="143"/>
      <c r="AX64" s="159"/>
      <c r="AY64" s="143"/>
      <c r="AZ64" s="143"/>
      <c r="BA64" s="143"/>
      <c r="BB64" s="159"/>
      <c r="BC64" s="143"/>
      <c r="BD64" s="143"/>
      <c r="BE64" s="87"/>
      <c r="BF64" s="88"/>
      <c r="BG64" s="87"/>
      <c r="BH64" s="87"/>
      <c r="BI64" s="87"/>
      <c r="BJ64" s="88"/>
      <c r="BK64" s="87"/>
      <c r="BL64" s="87"/>
      <c r="BM64" s="87"/>
      <c r="BN64" s="88"/>
      <c r="BO64" s="87"/>
      <c r="BP64" s="87"/>
      <c r="BQ64" s="87"/>
      <c r="BR64" s="88"/>
      <c r="BS64" s="87"/>
      <c r="BT64" s="87"/>
      <c r="BU64" s="87"/>
      <c r="BV64" s="159"/>
      <c r="BW64" s="143"/>
      <c r="BX64" s="143"/>
      <c r="BY64" s="143"/>
      <c r="BZ64" s="159"/>
      <c r="CA64" s="143"/>
      <c r="CB64" s="143"/>
      <c r="CC64" s="143"/>
      <c r="CD64" s="159"/>
      <c r="CE64" s="143"/>
      <c r="CF64" s="143"/>
      <c r="CG64" s="143"/>
      <c r="CH64" s="159"/>
      <c r="CI64" s="143"/>
      <c r="CJ64" s="143"/>
      <c r="CK64" s="143"/>
      <c r="CL64" s="159"/>
      <c r="CM64" s="143"/>
      <c r="CN64" s="143"/>
      <c r="CO64" s="143"/>
      <c r="CP64" s="159"/>
      <c r="CQ64" s="143"/>
      <c r="CR64" s="143"/>
      <c r="CS64" s="143"/>
      <c r="CT64" s="159"/>
      <c r="CU64" s="143"/>
      <c r="CV64" s="143"/>
      <c r="CW64" s="189"/>
      <c r="CX64" s="143"/>
      <c r="CY64" s="143"/>
      <c r="CZ64" s="143"/>
      <c r="DA64" s="143"/>
      <c r="DB64" s="159"/>
      <c r="DC64" s="143"/>
      <c r="DD64" s="143"/>
      <c r="DE64" s="143"/>
      <c r="DF64" s="159"/>
      <c r="DG64" s="1047"/>
      <c r="DH64" s="1047"/>
      <c r="DI64" s="189"/>
      <c r="DJ64" s="159"/>
      <c r="DK64" s="1047"/>
      <c r="DL64" s="1047"/>
      <c r="DM64" s="189"/>
      <c r="DN64" s="1047"/>
      <c r="DO64" s="1047"/>
      <c r="DP64" s="1047"/>
      <c r="DQ64" s="189"/>
      <c r="DR64" s="1047"/>
      <c r="DS64" s="1047"/>
      <c r="DT64" s="1047"/>
      <c r="DU64" s="1047"/>
      <c r="DV64" s="1047"/>
      <c r="DW64" s="1047"/>
      <c r="DX64" s="1047"/>
      <c r="DY64" s="189"/>
      <c r="DZ64" s="87"/>
    </row>
    <row r="65" spans="1:130" hidden="1" outlineLevel="1">
      <c r="A65" s="88" t="s">
        <v>516</v>
      </c>
      <c r="B65" s="105"/>
      <c r="C65" s="105"/>
      <c r="D65" s="105"/>
      <c r="E65" s="143">
        <v>1529.4</v>
      </c>
      <c r="F65" s="143">
        <v>1749.1</v>
      </c>
      <c r="G65" s="143">
        <v>2219.6999999999998</v>
      </c>
      <c r="H65" s="143"/>
      <c r="I65" s="281"/>
      <c r="J65" s="281"/>
      <c r="K65" s="281"/>
      <c r="L65" s="281"/>
      <c r="M65" s="281"/>
      <c r="N65" s="105"/>
      <c r="O65" s="105"/>
      <c r="P65" s="105"/>
      <c r="Q65" s="1132"/>
      <c r="R65" s="105"/>
      <c r="S65" s="105"/>
      <c r="T65" s="1132"/>
      <c r="U65" s="105"/>
      <c r="V65" s="105"/>
      <c r="W65" s="105"/>
      <c r="X65" s="105"/>
      <c r="Y65" s="105"/>
      <c r="Z65" s="105"/>
      <c r="AA65" s="105"/>
      <c r="AB65" s="105"/>
      <c r="AC65" s="105"/>
      <c r="AD65" s="105"/>
      <c r="AE65" s="105"/>
      <c r="AF65" s="105"/>
      <c r="AG65" s="105"/>
      <c r="AH65" s="1244"/>
      <c r="AI65" s="105"/>
      <c r="AJ65" s="105"/>
      <c r="AK65" s="105"/>
      <c r="AL65" s="105"/>
      <c r="AM65" s="105"/>
      <c r="AN65" s="105"/>
      <c r="AO65" s="105"/>
      <c r="AP65" s="306"/>
      <c r="AQ65" s="105"/>
      <c r="AR65" s="105"/>
      <c r="AS65" s="105"/>
      <c r="AT65" s="306"/>
      <c r="AU65" s="105"/>
      <c r="AV65" s="105"/>
      <c r="AW65" s="105"/>
      <c r="AX65" s="159">
        <v>395.3</v>
      </c>
      <c r="AY65" s="143">
        <f>888.9-395.3</f>
        <v>493.59999999999997</v>
      </c>
      <c r="AZ65" s="143">
        <f>1543.7-888.9</f>
        <v>654.80000000000007</v>
      </c>
      <c r="BA65" s="143">
        <f t="shared" ref="BA65:BA79" si="262">G65-SUM(AX65:AZ65)</f>
        <v>675.99999999999977</v>
      </c>
      <c r="BB65" s="159">
        <v>558</v>
      </c>
      <c r="BC65" s="143">
        <f>1084.6-558</f>
        <v>526.59999999999991</v>
      </c>
      <c r="BD65" s="143">
        <f>1649.9-1084.6</f>
        <v>565.30000000000018</v>
      </c>
      <c r="BE65" s="105"/>
      <c r="BF65" s="306"/>
      <c r="BG65" s="105"/>
      <c r="BH65" s="105"/>
      <c r="BI65" s="105"/>
      <c r="BJ65" s="306"/>
      <c r="BK65" s="105"/>
      <c r="BL65" s="105"/>
      <c r="BM65" s="105"/>
      <c r="BN65" s="306"/>
      <c r="BO65" s="105"/>
      <c r="BP65" s="105"/>
      <c r="BQ65" s="105"/>
      <c r="BR65" s="306"/>
      <c r="BS65" s="105"/>
      <c r="BT65" s="105"/>
      <c r="BU65" s="105"/>
      <c r="BV65" s="306"/>
      <c r="BW65" s="105"/>
      <c r="BX65" s="105"/>
      <c r="BY65" s="105"/>
      <c r="BZ65" s="306"/>
      <c r="CA65" s="105"/>
      <c r="CB65" s="105"/>
      <c r="CC65" s="105"/>
      <c r="CD65" s="306"/>
      <c r="CE65" s="105"/>
      <c r="CF65" s="105"/>
      <c r="CG65" s="105"/>
      <c r="CH65" s="306"/>
      <c r="CI65" s="105"/>
      <c r="CJ65" s="105"/>
      <c r="CK65" s="105"/>
      <c r="CL65" s="306"/>
      <c r="CM65" s="105"/>
      <c r="CN65" s="105"/>
      <c r="CO65" s="105"/>
      <c r="CP65" s="306"/>
      <c r="CQ65" s="105"/>
      <c r="CR65" s="105"/>
      <c r="CS65" s="105"/>
      <c r="CT65" s="306"/>
      <c r="CU65" s="105"/>
      <c r="CV65" s="105"/>
      <c r="CW65" s="307"/>
      <c r="CX65" s="105"/>
      <c r="CY65" s="105"/>
      <c r="CZ65" s="105"/>
      <c r="DA65" s="105"/>
      <c r="DB65" s="306"/>
      <c r="DC65" s="105"/>
      <c r="DD65" s="105"/>
      <c r="DE65" s="105"/>
      <c r="DF65" s="306"/>
      <c r="DG65" s="1132"/>
      <c r="DH65" s="1132"/>
      <c r="DI65" s="307"/>
      <c r="DJ65" s="306"/>
      <c r="DK65" s="1132"/>
      <c r="DL65" s="1132"/>
      <c r="DM65" s="307"/>
      <c r="DN65" s="1132"/>
      <c r="DO65" s="1132"/>
      <c r="DP65" s="1132"/>
      <c r="DQ65" s="307"/>
      <c r="DR65" s="1132"/>
      <c r="DS65" s="1132"/>
      <c r="DT65" s="1132"/>
      <c r="DU65" s="1132"/>
      <c r="DV65" s="1132"/>
      <c r="DW65" s="1132"/>
      <c r="DX65" s="1132"/>
      <c r="DY65" s="307"/>
      <c r="DZ65" s="87"/>
    </row>
    <row r="66" spans="1:130" hidden="1" outlineLevel="1">
      <c r="A66" s="88" t="s">
        <v>517</v>
      </c>
      <c r="B66" s="105"/>
      <c r="C66" s="105"/>
      <c r="D66" s="105"/>
      <c r="E66" s="143">
        <v>310.39999999999998</v>
      </c>
      <c r="F66" s="143">
        <v>354.3</v>
      </c>
      <c r="G66" s="143">
        <v>354</v>
      </c>
      <c r="H66" s="143"/>
      <c r="I66" s="281"/>
      <c r="J66" s="281"/>
      <c r="K66" s="281"/>
      <c r="L66" s="281"/>
      <c r="M66" s="281"/>
      <c r="N66" s="105"/>
      <c r="O66" s="105"/>
      <c r="P66" s="105"/>
      <c r="Q66" s="1132"/>
      <c r="R66" s="105"/>
      <c r="S66" s="105"/>
      <c r="T66" s="1132"/>
      <c r="U66" s="105"/>
      <c r="V66" s="105"/>
      <c r="W66" s="105"/>
      <c r="X66" s="105"/>
      <c r="Y66" s="105"/>
      <c r="Z66" s="105"/>
      <c r="AA66" s="105"/>
      <c r="AB66" s="105"/>
      <c r="AC66" s="105"/>
      <c r="AD66" s="105"/>
      <c r="AE66" s="105"/>
      <c r="AF66" s="105"/>
      <c r="AG66" s="105"/>
      <c r="AH66" s="1244"/>
      <c r="AI66" s="105"/>
      <c r="AJ66" s="105"/>
      <c r="AK66" s="105"/>
      <c r="AL66" s="105"/>
      <c r="AM66" s="105"/>
      <c r="AN66" s="105"/>
      <c r="AO66" s="105"/>
      <c r="AP66" s="306"/>
      <c r="AQ66" s="105"/>
      <c r="AR66" s="105"/>
      <c r="AS66" s="105"/>
      <c r="AT66" s="306"/>
      <c r="AU66" s="105"/>
      <c r="AV66" s="105"/>
      <c r="AW66" s="105"/>
      <c r="AX66" s="159">
        <v>79.900000000000006</v>
      </c>
      <c r="AY66" s="143">
        <f>171.8-79.9</f>
        <v>91.9</v>
      </c>
      <c r="AZ66" s="143">
        <f>261.7-171.8</f>
        <v>89.899999999999977</v>
      </c>
      <c r="BA66" s="143">
        <f t="shared" si="262"/>
        <v>92.300000000000011</v>
      </c>
      <c r="BB66" s="159">
        <v>92.9</v>
      </c>
      <c r="BC66" s="143">
        <f>195.4-92.9</f>
        <v>102.5</v>
      </c>
      <c r="BD66" s="143">
        <f>309.4-195.4</f>
        <v>113.99999999999997</v>
      </c>
      <c r="BE66" s="105"/>
      <c r="BF66" s="306"/>
      <c r="BG66" s="105"/>
      <c r="BH66" s="105"/>
      <c r="BI66" s="105"/>
      <c r="BJ66" s="306"/>
      <c r="BK66" s="105"/>
      <c r="BL66" s="105"/>
      <c r="BM66" s="105"/>
      <c r="BN66" s="306"/>
      <c r="BO66" s="105"/>
      <c r="BP66" s="105"/>
      <c r="BQ66" s="105"/>
      <c r="BR66" s="306"/>
      <c r="BS66" s="105"/>
      <c r="BT66" s="105"/>
      <c r="BU66" s="105"/>
      <c r="BV66" s="306"/>
      <c r="BW66" s="105"/>
      <c r="BX66" s="105"/>
      <c r="BY66" s="105"/>
      <c r="BZ66" s="306"/>
      <c r="CA66" s="105"/>
      <c r="CB66" s="105"/>
      <c r="CC66" s="105"/>
      <c r="CD66" s="306"/>
      <c r="CE66" s="105"/>
      <c r="CF66" s="105"/>
      <c r="CG66" s="105"/>
      <c r="CH66" s="306"/>
      <c r="CI66" s="105"/>
      <c r="CJ66" s="105"/>
      <c r="CK66" s="105"/>
      <c r="CL66" s="306"/>
      <c r="CM66" s="105"/>
      <c r="CN66" s="105"/>
      <c r="CO66" s="105"/>
      <c r="CP66" s="306"/>
      <c r="CQ66" s="105"/>
      <c r="CR66" s="105"/>
      <c r="CS66" s="105"/>
      <c r="CT66" s="306"/>
      <c r="CU66" s="105"/>
      <c r="CV66" s="105"/>
      <c r="CW66" s="307"/>
      <c r="CX66" s="105"/>
      <c r="CY66" s="105"/>
      <c r="CZ66" s="105"/>
      <c r="DA66" s="105"/>
      <c r="DB66" s="306"/>
      <c r="DC66" s="105"/>
      <c r="DD66" s="105"/>
      <c r="DE66" s="105"/>
      <c r="DF66" s="306"/>
      <c r="DG66" s="1132"/>
      <c r="DH66" s="1132"/>
      <c r="DI66" s="307"/>
      <c r="DJ66" s="306"/>
      <c r="DK66" s="1132"/>
      <c r="DL66" s="1132"/>
      <c r="DM66" s="307"/>
      <c r="DN66" s="1132"/>
      <c r="DO66" s="1132"/>
      <c r="DP66" s="1132"/>
      <c r="DQ66" s="307"/>
      <c r="DR66" s="1132"/>
      <c r="DS66" s="1132"/>
      <c r="DT66" s="1132"/>
      <c r="DU66" s="1132"/>
      <c r="DV66" s="1132"/>
      <c r="DW66" s="1132"/>
      <c r="DX66" s="1132"/>
      <c r="DY66" s="307"/>
      <c r="DZ66" s="87"/>
    </row>
    <row r="67" spans="1:130" hidden="1" outlineLevel="1">
      <c r="A67" s="88" t="s">
        <v>518</v>
      </c>
      <c r="B67" s="105"/>
      <c r="C67" s="105"/>
      <c r="D67" s="105"/>
      <c r="E67" s="143">
        <v>786.9</v>
      </c>
      <c r="F67" s="143">
        <v>934</v>
      </c>
      <c r="G67" s="143">
        <v>1011.5</v>
      </c>
      <c r="H67" s="143"/>
      <c r="I67" s="281"/>
      <c r="J67" s="281"/>
      <c r="K67" s="281"/>
      <c r="L67" s="281"/>
      <c r="M67" s="281"/>
      <c r="N67" s="105"/>
      <c r="O67" s="105"/>
      <c r="P67" s="105"/>
      <c r="Q67" s="1132"/>
      <c r="R67" s="105"/>
      <c r="S67" s="105"/>
      <c r="T67" s="1132"/>
      <c r="U67" s="105"/>
      <c r="V67" s="105"/>
      <c r="W67" s="105"/>
      <c r="X67" s="105"/>
      <c r="Y67" s="105"/>
      <c r="Z67" s="105"/>
      <c r="AA67" s="105"/>
      <c r="AB67" s="105"/>
      <c r="AC67" s="105"/>
      <c r="AD67" s="105"/>
      <c r="AE67" s="105"/>
      <c r="AF67" s="105"/>
      <c r="AG67" s="105"/>
      <c r="AH67" s="1244"/>
      <c r="AI67" s="105"/>
      <c r="AJ67" s="105"/>
      <c r="AK67" s="105"/>
      <c r="AL67" s="105"/>
      <c r="AM67" s="105"/>
      <c r="AN67" s="105"/>
      <c r="AO67" s="105"/>
      <c r="AP67" s="306"/>
      <c r="AQ67" s="105"/>
      <c r="AR67" s="105"/>
      <c r="AS67" s="105"/>
      <c r="AT67" s="306"/>
      <c r="AU67" s="105"/>
      <c r="AV67" s="105"/>
      <c r="AW67" s="105"/>
      <c r="AX67" s="159">
        <v>219</v>
      </c>
      <c r="AY67" s="143">
        <f>439.3-219</f>
        <v>220.3</v>
      </c>
      <c r="AZ67" s="143">
        <f>714.5-439.3</f>
        <v>275.2</v>
      </c>
      <c r="BA67" s="143">
        <f t="shared" si="262"/>
        <v>297</v>
      </c>
      <c r="BB67" s="159">
        <v>264.7</v>
      </c>
      <c r="BC67" s="143">
        <f>506.7-264.7</f>
        <v>242</v>
      </c>
      <c r="BD67" s="143">
        <f>795.6-506.7</f>
        <v>288.90000000000003</v>
      </c>
      <c r="BE67" s="105"/>
      <c r="BF67" s="306"/>
      <c r="BG67" s="105"/>
      <c r="BH67" s="105"/>
      <c r="BI67" s="105"/>
      <c r="BJ67" s="306"/>
      <c r="BK67" s="105"/>
      <c r="BL67" s="105"/>
      <c r="BM67" s="105"/>
      <c r="BN67" s="306"/>
      <c r="BO67" s="105"/>
      <c r="BP67" s="105"/>
      <c r="BQ67" s="105"/>
      <c r="BR67" s="306"/>
      <c r="BS67" s="105"/>
      <c r="BT67" s="105"/>
      <c r="BU67" s="105"/>
      <c r="BV67" s="306"/>
      <c r="BW67" s="105"/>
      <c r="BX67" s="105"/>
      <c r="BY67" s="105"/>
      <c r="BZ67" s="306"/>
      <c r="CA67" s="105"/>
      <c r="CB67" s="105"/>
      <c r="CC67" s="105"/>
      <c r="CD67" s="306"/>
      <c r="CE67" s="105"/>
      <c r="CF67" s="105"/>
      <c r="CG67" s="105"/>
      <c r="CH67" s="306"/>
      <c r="CI67" s="105"/>
      <c r="CJ67" s="105"/>
      <c r="CK67" s="105"/>
      <c r="CL67" s="306"/>
      <c r="CM67" s="105"/>
      <c r="CN67" s="105"/>
      <c r="CO67" s="105"/>
      <c r="CP67" s="306"/>
      <c r="CQ67" s="105"/>
      <c r="CR67" s="105"/>
      <c r="CS67" s="105"/>
      <c r="CT67" s="306"/>
      <c r="CU67" s="105"/>
      <c r="CV67" s="105"/>
      <c r="CW67" s="307"/>
      <c r="CX67" s="105"/>
      <c r="CY67" s="105"/>
      <c r="CZ67" s="105"/>
      <c r="DA67" s="105"/>
      <c r="DB67" s="306"/>
      <c r="DC67" s="105"/>
      <c r="DD67" s="105"/>
      <c r="DE67" s="105"/>
      <c r="DF67" s="306"/>
      <c r="DG67" s="1132"/>
      <c r="DH67" s="1132"/>
      <c r="DI67" s="307"/>
      <c r="DJ67" s="306"/>
      <c r="DK67" s="1132"/>
      <c r="DL67" s="1132"/>
      <c r="DM67" s="307"/>
      <c r="DN67" s="1132"/>
      <c r="DO67" s="1132"/>
      <c r="DP67" s="1132"/>
      <c r="DQ67" s="307"/>
      <c r="DR67" s="1132"/>
      <c r="DS67" s="1132"/>
      <c r="DT67" s="1132"/>
      <c r="DU67" s="1132"/>
      <c r="DV67" s="1132"/>
      <c r="DW67" s="1132"/>
      <c r="DX67" s="1132"/>
      <c r="DY67" s="307"/>
      <c r="DZ67" s="87"/>
    </row>
    <row r="68" spans="1:130" hidden="1" outlineLevel="1">
      <c r="A68" s="88" t="s">
        <v>519</v>
      </c>
      <c r="B68" s="105"/>
      <c r="C68" s="105"/>
      <c r="D68" s="105"/>
      <c r="E68" s="143">
        <v>629.4</v>
      </c>
      <c r="F68" s="143">
        <v>692.9</v>
      </c>
      <c r="G68" s="143">
        <v>576.1</v>
      </c>
      <c r="H68" s="143"/>
      <c r="I68" s="281"/>
      <c r="J68" s="281"/>
      <c r="K68" s="281"/>
      <c r="L68" s="281"/>
      <c r="M68" s="281"/>
      <c r="N68" s="105"/>
      <c r="O68" s="105"/>
      <c r="P68" s="105"/>
      <c r="Q68" s="1132"/>
      <c r="R68" s="105"/>
      <c r="S68" s="105"/>
      <c r="T68" s="1132"/>
      <c r="U68" s="105"/>
      <c r="V68" s="105"/>
      <c r="W68" s="105"/>
      <c r="X68" s="105"/>
      <c r="Y68" s="105"/>
      <c r="Z68" s="105"/>
      <c r="AA68" s="105"/>
      <c r="AB68" s="105"/>
      <c r="AC68" s="105"/>
      <c r="AD68" s="105"/>
      <c r="AE68" s="105"/>
      <c r="AF68" s="105"/>
      <c r="AG68" s="105"/>
      <c r="AH68" s="1244"/>
      <c r="AI68" s="105"/>
      <c r="AJ68" s="105"/>
      <c r="AK68" s="105"/>
      <c r="AL68" s="105"/>
      <c r="AM68" s="105"/>
      <c r="AN68" s="105"/>
      <c r="AO68" s="105"/>
      <c r="AP68" s="306"/>
      <c r="AQ68" s="105"/>
      <c r="AR68" s="105"/>
      <c r="AS68" s="105"/>
      <c r="AT68" s="306"/>
      <c r="AU68" s="105"/>
      <c r="AV68" s="105"/>
      <c r="AW68" s="105"/>
      <c r="AX68" s="159">
        <v>113.9</v>
      </c>
      <c r="AY68" s="143">
        <f>263.8-113.9</f>
        <v>149.9</v>
      </c>
      <c r="AZ68" s="143">
        <f>415.3-263.8</f>
        <v>151.5</v>
      </c>
      <c r="BA68" s="143">
        <f t="shared" si="262"/>
        <v>160.80000000000001</v>
      </c>
      <c r="BB68" s="159">
        <v>150.30000000000001</v>
      </c>
      <c r="BC68" s="143">
        <f>302.7-150.3</f>
        <v>152.39999999999998</v>
      </c>
      <c r="BD68" s="143">
        <f>482.7-302.7</f>
        <v>180</v>
      </c>
      <c r="BE68" s="105"/>
      <c r="BF68" s="306"/>
      <c r="BG68" s="105"/>
      <c r="BH68" s="105"/>
      <c r="BI68" s="105"/>
      <c r="BJ68" s="306"/>
      <c r="BK68" s="105"/>
      <c r="BL68" s="105"/>
      <c r="BM68" s="105"/>
      <c r="BN68" s="306"/>
      <c r="BO68" s="105"/>
      <c r="BP68" s="105"/>
      <c r="BQ68" s="105"/>
      <c r="BR68" s="306"/>
      <c r="BS68" s="105"/>
      <c r="BT68" s="105"/>
      <c r="BU68" s="105"/>
      <c r="BV68" s="306"/>
      <c r="BW68" s="105"/>
      <c r="BX68" s="105"/>
      <c r="BY68" s="105"/>
      <c r="BZ68" s="306"/>
      <c r="CA68" s="105"/>
      <c r="CB68" s="105"/>
      <c r="CC68" s="105"/>
      <c r="CD68" s="306"/>
      <c r="CE68" s="105"/>
      <c r="CF68" s="105"/>
      <c r="CG68" s="105"/>
      <c r="CH68" s="306"/>
      <c r="CI68" s="105"/>
      <c r="CJ68" s="105"/>
      <c r="CK68" s="105"/>
      <c r="CL68" s="306"/>
      <c r="CM68" s="105"/>
      <c r="CN68" s="105"/>
      <c r="CO68" s="105"/>
      <c r="CP68" s="306"/>
      <c r="CQ68" s="105"/>
      <c r="CR68" s="105"/>
      <c r="CS68" s="105"/>
      <c r="CT68" s="306"/>
      <c r="CU68" s="105"/>
      <c r="CV68" s="105"/>
      <c r="CW68" s="307"/>
      <c r="CX68" s="105"/>
      <c r="CY68" s="105"/>
      <c r="CZ68" s="105"/>
      <c r="DA68" s="105"/>
      <c r="DB68" s="306"/>
      <c r="DC68" s="105"/>
      <c r="DD68" s="105"/>
      <c r="DE68" s="105"/>
      <c r="DF68" s="306"/>
      <c r="DG68" s="1132"/>
      <c r="DH68" s="1132"/>
      <c r="DI68" s="307"/>
      <c r="DJ68" s="306"/>
      <c r="DK68" s="1132"/>
      <c r="DL68" s="1132"/>
      <c r="DM68" s="307"/>
      <c r="DN68" s="1132"/>
      <c r="DO68" s="1132"/>
      <c r="DP68" s="1132"/>
      <c r="DQ68" s="307"/>
      <c r="DR68" s="1132"/>
      <c r="DS68" s="1132"/>
      <c r="DT68" s="1132"/>
      <c r="DU68" s="1132"/>
      <c r="DV68" s="1132"/>
      <c r="DW68" s="1132"/>
      <c r="DX68" s="1132"/>
      <c r="DY68" s="307"/>
      <c r="DZ68" s="87"/>
    </row>
    <row r="69" spans="1:130" hidden="1" outlineLevel="1">
      <c r="A69" s="88" t="s">
        <v>520</v>
      </c>
      <c r="B69" s="105"/>
      <c r="C69" s="105"/>
      <c r="D69" s="105"/>
      <c r="E69" s="143">
        <v>82.802999999999997</v>
      </c>
      <c r="F69" s="143">
        <v>86.853999999999999</v>
      </c>
      <c r="G69" s="143">
        <v>79.507000000000005</v>
      </c>
      <c r="H69" s="143"/>
      <c r="I69" s="281"/>
      <c r="J69" s="281"/>
      <c r="K69" s="281"/>
      <c r="L69" s="281"/>
      <c r="M69" s="281"/>
      <c r="N69" s="105"/>
      <c r="O69" s="105"/>
      <c r="P69" s="105"/>
      <c r="Q69" s="1132"/>
      <c r="R69" s="105"/>
      <c r="S69" s="105"/>
      <c r="T69" s="1132"/>
      <c r="U69" s="105"/>
      <c r="V69" s="105"/>
      <c r="W69" s="105"/>
      <c r="X69" s="105"/>
      <c r="Y69" s="105"/>
      <c r="Z69" s="105"/>
      <c r="AA69" s="105"/>
      <c r="AB69" s="105"/>
      <c r="AC69" s="105"/>
      <c r="AD69" s="105"/>
      <c r="AE69" s="105"/>
      <c r="AF69" s="105"/>
      <c r="AG69" s="105"/>
      <c r="AH69" s="1244"/>
      <c r="AI69" s="105"/>
      <c r="AJ69" s="105"/>
      <c r="AK69" s="105"/>
      <c r="AL69" s="105"/>
      <c r="AM69" s="105"/>
      <c r="AN69" s="105"/>
      <c r="AO69" s="105"/>
      <c r="AP69" s="306"/>
      <c r="AQ69" s="105"/>
      <c r="AR69" s="105"/>
      <c r="AS69" s="105"/>
      <c r="AT69" s="306"/>
      <c r="AU69" s="105"/>
      <c r="AV69" s="105"/>
      <c r="AW69" s="105"/>
      <c r="AX69" s="159">
        <v>16.893000000000001</v>
      </c>
      <c r="AY69" s="143">
        <f>34.953-16.893</f>
        <v>18.060000000000002</v>
      </c>
      <c r="AZ69" s="143">
        <f>55.864-34.953</f>
        <v>20.910999999999994</v>
      </c>
      <c r="BA69" s="143">
        <f t="shared" si="262"/>
        <v>23.643000000000008</v>
      </c>
      <c r="BB69" s="159">
        <v>24.042999999999999</v>
      </c>
      <c r="BC69" s="143">
        <f>44.072-24.043</f>
        <v>20.029000000000003</v>
      </c>
      <c r="BD69" s="143">
        <f>67.656-44.072</f>
        <v>23.584000000000003</v>
      </c>
      <c r="BE69" s="105"/>
      <c r="BF69" s="306"/>
      <c r="BG69" s="105"/>
      <c r="BH69" s="105"/>
      <c r="BI69" s="105"/>
      <c r="BJ69" s="306"/>
      <c r="BK69" s="105"/>
      <c r="BL69" s="105"/>
      <c r="BM69" s="105"/>
      <c r="BN69" s="306"/>
      <c r="BO69" s="105"/>
      <c r="BP69" s="105"/>
      <c r="BQ69" s="105"/>
      <c r="BR69" s="306"/>
      <c r="BS69" s="105"/>
      <c r="BT69" s="105"/>
      <c r="BU69" s="105"/>
      <c r="BV69" s="306"/>
      <c r="BW69" s="105"/>
      <c r="BX69" s="105"/>
      <c r="BY69" s="105"/>
      <c r="BZ69" s="306"/>
      <c r="CA69" s="105"/>
      <c r="CB69" s="105"/>
      <c r="CC69" s="105"/>
      <c r="CD69" s="306"/>
      <c r="CE69" s="105"/>
      <c r="CF69" s="105"/>
      <c r="CG69" s="105"/>
      <c r="CH69" s="306"/>
      <c r="CI69" s="105"/>
      <c r="CJ69" s="105"/>
      <c r="CK69" s="105"/>
      <c r="CL69" s="306"/>
      <c r="CM69" s="105"/>
      <c r="CN69" s="105"/>
      <c r="CO69" s="105"/>
      <c r="CP69" s="306"/>
      <c r="CQ69" s="105"/>
      <c r="CR69" s="105"/>
      <c r="CS69" s="105"/>
      <c r="CT69" s="306"/>
      <c r="CU69" s="105"/>
      <c r="CV69" s="105"/>
      <c r="CW69" s="307"/>
      <c r="CX69" s="105"/>
      <c r="CY69" s="105"/>
      <c r="CZ69" s="105"/>
      <c r="DA69" s="105"/>
      <c r="DB69" s="306"/>
      <c r="DC69" s="105"/>
      <c r="DD69" s="105"/>
      <c r="DE69" s="105"/>
      <c r="DF69" s="306"/>
      <c r="DG69" s="1132"/>
      <c r="DH69" s="1132"/>
      <c r="DI69" s="307"/>
      <c r="DJ69" s="306"/>
      <c r="DK69" s="1132"/>
      <c r="DL69" s="1132"/>
      <c r="DM69" s="307"/>
      <c r="DN69" s="1132"/>
      <c r="DO69" s="1132"/>
      <c r="DP69" s="1132"/>
      <c r="DQ69" s="307"/>
      <c r="DR69" s="1132"/>
      <c r="DS69" s="1132"/>
      <c r="DT69" s="1132"/>
      <c r="DU69" s="1132"/>
      <c r="DV69" s="1132"/>
      <c r="DW69" s="1132"/>
      <c r="DX69" s="1132"/>
      <c r="DY69" s="307"/>
      <c r="DZ69" s="87"/>
    </row>
    <row r="70" spans="1:130" hidden="1" outlineLevel="1">
      <c r="A70" s="88" t="s">
        <v>521</v>
      </c>
      <c r="B70" s="105"/>
      <c r="C70" s="105"/>
      <c r="D70" s="105"/>
      <c r="E70" s="143">
        <v>405.5</v>
      </c>
      <c r="F70" s="143">
        <v>427.7</v>
      </c>
      <c r="G70" s="143">
        <v>316.10000000000002</v>
      </c>
      <c r="H70" s="143"/>
      <c r="I70" s="281"/>
      <c r="J70" s="281"/>
      <c r="K70" s="281"/>
      <c r="L70" s="281"/>
      <c r="M70" s="281"/>
      <c r="N70" s="105"/>
      <c r="O70" s="105"/>
      <c r="P70" s="105"/>
      <c r="Q70" s="1132"/>
      <c r="R70" s="105"/>
      <c r="S70" s="105"/>
      <c r="T70" s="1132"/>
      <c r="U70" s="105"/>
      <c r="V70" s="105"/>
      <c r="W70" s="105"/>
      <c r="X70" s="105"/>
      <c r="Y70" s="105"/>
      <c r="Z70" s="105"/>
      <c r="AA70" s="105"/>
      <c r="AB70" s="105"/>
      <c r="AC70" s="105"/>
      <c r="AD70" s="105"/>
      <c r="AE70" s="105"/>
      <c r="AF70" s="105"/>
      <c r="AG70" s="105"/>
      <c r="AH70" s="1244"/>
      <c r="AI70" s="105"/>
      <c r="AJ70" s="105"/>
      <c r="AK70" s="105"/>
      <c r="AL70" s="105"/>
      <c r="AM70" s="105"/>
      <c r="AN70" s="105"/>
      <c r="AO70" s="105"/>
      <c r="AP70" s="306"/>
      <c r="AQ70" s="105"/>
      <c r="AR70" s="105"/>
      <c r="AS70" s="105"/>
      <c r="AT70" s="306"/>
      <c r="AU70" s="105"/>
      <c r="AV70" s="105"/>
      <c r="AW70" s="105"/>
      <c r="AX70" s="159">
        <v>94.1</v>
      </c>
      <c r="AY70" s="143">
        <f>166.3-94.1</f>
        <v>72.200000000000017</v>
      </c>
      <c r="AZ70" s="143">
        <f>225.7-166.3</f>
        <v>59.399999999999977</v>
      </c>
      <c r="BA70" s="143">
        <f t="shared" si="262"/>
        <v>90.400000000000034</v>
      </c>
      <c r="BB70" s="159">
        <v>85</v>
      </c>
      <c r="BC70" s="143">
        <f>177.9-85</f>
        <v>92.9</v>
      </c>
      <c r="BD70" s="143">
        <f>272.5-177.9</f>
        <v>94.6</v>
      </c>
      <c r="BE70" s="105"/>
      <c r="BF70" s="306"/>
      <c r="BG70" s="105"/>
      <c r="BH70" s="105"/>
      <c r="BI70" s="105"/>
      <c r="BJ70" s="306"/>
      <c r="BK70" s="105"/>
      <c r="BL70" s="105"/>
      <c r="BM70" s="105"/>
      <c r="BN70" s="306"/>
      <c r="BO70" s="105"/>
      <c r="BP70" s="105"/>
      <c r="BQ70" s="105"/>
      <c r="BR70" s="306"/>
      <c r="BS70" s="105"/>
      <c r="BT70" s="105"/>
      <c r="BU70" s="105"/>
      <c r="BV70" s="306"/>
      <c r="BW70" s="105"/>
      <c r="BX70" s="105"/>
      <c r="BY70" s="105"/>
      <c r="BZ70" s="306"/>
      <c r="CA70" s="105"/>
      <c r="CB70" s="105"/>
      <c r="CC70" s="105"/>
      <c r="CD70" s="306"/>
      <c r="CE70" s="105"/>
      <c r="CF70" s="105"/>
      <c r="CG70" s="105"/>
      <c r="CH70" s="306"/>
      <c r="CI70" s="105"/>
      <c r="CJ70" s="105"/>
      <c r="CK70" s="105"/>
      <c r="CL70" s="306"/>
      <c r="CM70" s="105"/>
      <c r="CN70" s="105"/>
      <c r="CO70" s="105"/>
      <c r="CP70" s="306"/>
      <c r="CQ70" s="105"/>
      <c r="CR70" s="105"/>
      <c r="CS70" s="105"/>
      <c r="CT70" s="306"/>
      <c r="CU70" s="105"/>
      <c r="CV70" s="105"/>
      <c r="CW70" s="307"/>
      <c r="CX70" s="105"/>
      <c r="CY70" s="105"/>
      <c r="CZ70" s="105"/>
      <c r="DA70" s="105"/>
      <c r="DB70" s="306"/>
      <c r="DC70" s="105"/>
      <c r="DD70" s="105"/>
      <c r="DE70" s="105"/>
      <c r="DF70" s="306"/>
      <c r="DG70" s="1132"/>
      <c r="DH70" s="1132"/>
      <c r="DI70" s="307"/>
      <c r="DJ70" s="306"/>
      <c r="DK70" s="1132"/>
      <c r="DL70" s="1132"/>
      <c r="DM70" s="307"/>
      <c r="DN70" s="1132"/>
      <c r="DO70" s="1132"/>
      <c r="DP70" s="1132"/>
      <c r="DQ70" s="307"/>
      <c r="DR70" s="1132"/>
      <c r="DS70" s="1132"/>
      <c r="DT70" s="1132"/>
      <c r="DU70" s="1132"/>
      <c r="DV70" s="1132"/>
      <c r="DW70" s="1132"/>
      <c r="DX70" s="1132"/>
      <c r="DY70" s="307"/>
      <c r="DZ70" s="87"/>
    </row>
    <row r="71" spans="1:130" hidden="1" outlineLevel="1">
      <c r="A71" s="88" t="s">
        <v>522</v>
      </c>
      <c r="B71" s="105"/>
      <c r="C71" s="105"/>
      <c r="D71" s="105"/>
      <c r="E71" s="143">
        <v>138.69999999999999</v>
      </c>
      <c r="F71" s="143">
        <v>117.3</v>
      </c>
      <c r="G71" s="143">
        <v>102</v>
      </c>
      <c r="H71" s="143"/>
      <c r="I71" s="281"/>
      <c r="J71" s="281"/>
      <c r="K71" s="281"/>
      <c r="L71" s="281"/>
      <c r="M71" s="281"/>
      <c r="N71" s="105"/>
      <c r="O71" s="105"/>
      <c r="P71" s="105"/>
      <c r="Q71" s="1132"/>
      <c r="R71" s="105"/>
      <c r="S71" s="105"/>
      <c r="T71" s="1132"/>
      <c r="U71" s="105"/>
      <c r="V71" s="105"/>
      <c r="W71" s="105"/>
      <c r="X71" s="105"/>
      <c r="Y71" s="105"/>
      <c r="Z71" s="105"/>
      <c r="AA71" s="105"/>
      <c r="AB71" s="105"/>
      <c r="AC71" s="105"/>
      <c r="AD71" s="105"/>
      <c r="AE71" s="105"/>
      <c r="AF71" s="105"/>
      <c r="AG71" s="105"/>
      <c r="AH71" s="1244"/>
      <c r="AI71" s="105"/>
      <c r="AJ71" s="105"/>
      <c r="AK71" s="105"/>
      <c r="AL71" s="105"/>
      <c r="AM71" s="105"/>
      <c r="AN71" s="105"/>
      <c r="AO71" s="105"/>
      <c r="AP71" s="306"/>
      <c r="AQ71" s="105"/>
      <c r="AR71" s="105"/>
      <c r="AS71" s="105"/>
      <c r="AT71" s="306"/>
      <c r="AU71" s="105"/>
      <c r="AV71" s="105"/>
      <c r="AW71" s="105"/>
      <c r="AX71" s="159">
        <v>15.8</v>
      </c>
      <c r="AY71" s="143">
        <f>39.1-15.8</f>
        <v>23.3</v>
      </c>
      <c r="AZ71" s="143">
        <f>66.3-39.1</f>
        <v>27.199999999999996</v>
      </c>
      <c r="BA71" s="143">
        <f t="shared" si="262"/>
        <v>35.700000000000003</v>
      </c>
      <c r="BB71" s="159">
        <v>24.4</v>
      </c>
      <c r="BC71" s="143">
        <f>45-24.4</f>
        <v>20.6</v>
      </c>
      <c r="BD71" s="143">
        <f>78.3-45</f>
        <v>33.299999999999997</v>
      </c>
      <c r="BE71" s="105"/>
      <c r="BF71" s="306"/>
      <c r="BG71" s="105"/>
      <c r="BH71" s="105"/>
      <c r="BI71" s="105"/>
      <c r="BJ71" s="306"/>
      <c r="BK71" s="105"/>
      <c r="BL71" s="105"/>
      <c r="BM71" s="105"/>
      <c r="BN71" s="306"/>
      <c r="BO71" s="105"/>
      <c r="BP71" s="105"/>
      <c r="BQ71" s="105"/>
      <c r="BR71" s="306"/>
      <c r="BS71" s="105"/>
      <c r="BT71" s="105"/>
      <c r="BU71" s="105"/>
      <c r="BV71" s="306"/>
      <c r="BW71" s="105"/>
      <c r="BX71" s="105"/>
      <c r="BY71" s="105"/>
      <c r="BZ71" s="306"/>
      <c r="CA71" s="105"/>
      <c r="CB71" s="105"/>
      <c r="CC71" s="105"/>
      <c r="CD71" s="306"/>
      <c r="CE71" s="105"/>
      <c r="CF71" s="105"/>
      <c r="CG71" s="105"/>
      <c r="CH71" s="306"/>
      <c r="CI71" s="105"/>
      <c r="CJ71" s="105"/>
      <c r="CK71" s="105"/>
      <c r="CL71" s="306"/>
      <c r="CM71" s="105"/>
      <c r="CN71" s="105"/>
      <c r="CO71" s="105"/>
      <c r="CP71" s="306"/>
      <c r="CQ71" s="105"/>
      <c r="CR71" s="105"/>
      <c r="CS71" s="105"/>
      <c r="CT71" s="306"/>
      <c r="CU71" s="105"/>
      <c r="CV71" s="105"/>
      <c r="CW71" s="307"/>
      <c r="CX71" s="105"/>
      <c r="CY71" s="105"/>
      <c r="CZ71" s="105"/>
      <c r="DA71" s="105"/>
      <c r="DB71" s="306"/>
      <c r="DC71" s="105"/>
      <c r="DD71" s="105"/>
      <c r="DE71" s="105"/>
      <c r="DF71" s="306"/>
      <c r="DG71" s="1132"/>
      <c r="DH71" s="1132"/>
      <c r="DI71" s="307"/>
      <c r="DJ71" s="306"/>
      <c r="DK71" s="1132"/>
      <c r="DL71" s="1132"/>
      <c r="DM71" s="307"/>
      <c r="DN71" s="1132"/>
      <c r="DO71" s="1132"/>
      <c r="DP71" s="1132"/>
      <c r="DQ71" s="307"/>
      <c r="DR71" s="1132"/>
      <c r="DS71" s="1132"/>
      <c r="DT71" s="1132"/>
      <c r="DU71" s="1132"/>
      <c r="DV71" s="1132"/>
      <c r="DW71" s="1132"/>
      <c r="DX71" s="1132"/>
      <c r="DY71" s="307"/>
      <c r="DZ71" s="87"/>
    </row>
    <row r="72" spans="1:130" hidden="1" outlineLevel="1">
      <c r="A72" s="88" t="s">
        <v>523</v>
      </c>
      <c r="B72" s="105"/>
      <c r="C72" s="105"/>
      <c r="D72" s="105"/>
      <c r="E72" s="143">
        <v>488.5</v>
      </c>
      <c r="F72" s="143">
        <v>538.6</v>
      </c>
      <c r="G72" s="143">
        <v>554.5</v>
      </c>
      <c r="H72" s="143"/>
      <c r="I72" s="281"/>
      <c r="J72" s="281"/>
      <c r="K72" s="281"/>
      <c r="L72" s="281"/>
      <c r="M72" s="281"/>
      <c r="N72" s="105"/>
      <c r="O72" s="105"/>
      <c r="P72" s="105"/>
      <c r="Q72" s="1132"/>
      <c r="R72" s="105"/>
      <c r="S72" s="105"/>
      <c r="T72" s="1132"/>
      <c r="U72" s="105"/>
      <c r="V72" s="105"/>
      <c r="W72" s="105"/>
      <c r="X72" s="105"/>
      <c r="Y72" s="105"/>
      <c r="Z72" s="105"/>
      <c r="AA72" s="105"/>
      <c r="AB72" s="105"/>
      <c r="AC72" s="105"/>
      <c r="AD72" s="105"/>
      <c r="AE72" s="105"/>
      <c r="AF72" s="105"/>
      <c r="AG72" s="105"/>
      <c r="AH72" s="1244"/>
      <c r="AI72" s="105"/>
      <c r="AJ72" s="105"/>
      <c r="AK72" s="105"/>
      <c r="AL72" s="105"/>
      <c r="AM72" s="105"/>
      <c r="AN72" s="105"/>
      <c r="AO72" s="105"/>
      <c r="AP72" s="306"/>
      <c r="AQ72" s="105"/>
      <c r="AR72" s="105"/>
      <c r="AS72" s="105"/>
      <c r="AT72" s="306"/>
      <c r="AU72" s="105"/>
      <c r="AV72" s="105"/>
      <c r="AW72" s="105"/>
      <c r="AX72" s="159">
        <v>107.4</v>
      </c>
      <c r="AY72" s="143">
        <f>246-107.4</f>
        <v>138.6</v>
      </c>
      <c r="AZ72" s="143">
        <f>382.5-246</f>
        <v>136.5</v>
      </c>
      <c r="BA72" s="143">
        <f t="shared" si="262"/>
        <v>172</v>
      </c>
      <c r="BB72" s="159">
        <f>192.3</f>
        <v>192.3</v>
      </c>
      <c r="BC72" s="143">
        <f>385.3-192.3</f>
        <v>193</v>
      </c>
      <c r="BD72" s="143">
        <f>570.4-385.3</f>
        <v>185.09999999999997</v>
      </c>
      <c r="BE72" s="105"/>
      <c r="BF72" s="306"/>
      <c r="BG72" s="105"/>
      <c r="BH72" s="105"/>
      <c r="BI72" s="105"/>
      <c r="BJ72" s="306"/>
      <c r="BK72" s="105"/>
      <c r="BL72" s="105"/>
      <c r="BM72" s="105"/>
      <c r="BN72" s="306"/>
      <c r="BO72" s="105"/>
      <c r="BP72" s="105"/>
      <c r="BQ72" s="105"/>
      <c r="BR72" s="306"/>
      <c r="BS72" s="105"/>
      <c r="BT72" s="105"/>
      <c r="BU72" s="105"/>
      <c r="BV72" s="306"/>
      <c r="BW72" s="105"/>
      <c r="BX72" s="105"/>
      <c r="BY72" s="105"/>
      <c r="BZ72" s="306"/>
      <c r="CA72" s="105"/>
      <c r="CB72" s="105"/>
      <c r="CC72" s="105"/>
      <c r="CD72" s="306"/>
      <c r="CE72" s="105"/>
      <c r="CF72" s="105"/>
      <c r="CG72" s="105"/>
      <c r="CH72" s="306"/>
      <c r="CI72" s="105"/>
      <c r="CJ72" s="105"/>
      <c r="CK72" s="105"/>
      <c r="CL72" s="306"/>
      <c r="CM72" s="105"/>
      <c r="CN72" s="105"/>
      <c r="CO72" s="105"/>
      <c r="CP72" s="306"/>
      <c r="CQ72" s="105"/>
      <c r="CR72" s="105"/>
      <c r="CS72" s="105"/>
      <c r="CT72" s="306"/>
      <c r="CU72" s="105"/>
      <c r="CV72" s="105"/>
      <c r="CW72" s="307"/>
      <c r="CX72" s="105"/>
      <c r="CY72" s="105"/>
      <c r="CZ72" s="105"/>
      <c r="DA72" s="105"/>
      <c r="DB72" s="306"/>
      <c r="DC72" s="105"/>
      <c r="DD72" s="105"/>
      <c r="DE72" s="105"/>
      <c r="DF72" s="306"/>
      <c r="DG72" s="1132"/>
      <c r="DH72" s="1132"/>
      <c r="DI72" s="307"/>
      <c r="DJ72" s="306"/>
      <c r="DK72" s="1132"/>
      <c r="DL72" s="1132"/>
      <c r="DM72" s="307"/>
      <c r="DN72" s="1132"/>
      <c r="DO72" s="1132"/>
      <c r="DP72" s="1132"/>
      <c r="DQ72" s="307"/>
      <c r="DR72" s="1132"/>
      <c r="DS72" s="1132"/>
      <c r="DT72" s="1132"/>
      <c r="DU72" s="1132"/>
      <c r="DV72" s="1132"/>
      <c r="DW72" s="1132"/>
      <c r="DX72" s="1132"/>
      <c r="DY72" s="307"/>
      <c r="DZ72" s="87"/>
    </row>
    <row r="73" spans="1:130" hidden="1" outlineLevel="1">
      <c r="A73" s="88" t="s">
        <v>524</v>
      </c>
      <c r="B73" s="105"/>
      <c r="C73" s="105"/>
      <c r="D73" s="105"/>
      <c r="E73" s="143">
        <v>957.2</v>
      </c>
      <c r="F73" s="143">
        <v>1031.5999999999999</v>
      </c>
      <c r="G73" s="143">
        <v>1128</v>
      </c>
      <c r="H73" s="143"/>
      <c r="I73" s="281"/>
      <c r="J73" s="281"/>
      <c r="K73" s="281"/>
      <c r="L73" s="281"/>
      <c r="M73" s="281"/>
      <c r="N73" s="105"/>
      <c r="O73" s="105"/>
      <c r="P73" s="105"/>
      <c r="Q73" s="1132"/>
      <c r="R73" s="105"/>
      <c r="S73" s="105"/>
      <c r="T73" s="1132"/>
      <c r="U73" s="105"/>
      <c r="V73" s="105"/>
      <c r="W73" s="105"/>
      <c r="X73" s="105"/>
      <c r="Y73" s="105"/>
      <c r="Z73" s="105"/>
      <c r="AA73" s="105"/>
      <c r="AB73" s="105"/>
      <c r="AC73" s="105"/>
      <c r="AD73" s="105"/>
      <c r="AE73" s="105"/>
      <c r="AF73" s="105"/>
      <c r="AG73" s="105"/>
      <c r="AH73" s="1244"/>
      <c r="AI73" s="105"/>
      <c r="AJ73" s="105"/>
      <c r="AK73" s="105"/>
      <c r="AL73" s="105"/>
      <c r="AM73" s="105"/>
      <c r="AN73" s="105"/>
      <c r="AO73" s="105"/>
      <c r="AP73" s="306"/>
      <c r="AQ73" s="105"/>
      <c r="AR73" s="105"/>
      <c r="AS73" s="105"/>
      <c r="AT73" s="306"/>
      <c r="AU73" s="105"/>
      <c r="AV73" s="105"/>
      <c r="AW73" s="105"/>
      <c r="AX73" s="159">
        <v>252.6</v>
      </c>
      <c r="AY73" s="143">
        <f>522.3-252.6</f>
        <v>269.69999999999993</v>
      </c>
      <c r="AZ73" s="143">
        <f>802.5-522.3</f>
        <v>280.20000000000005</v>
      </c>
      <c r="BA73" s="143">
        <f t="shared" si="262"/>
        <v>325.5</v>
      </c>
      <c r="BB73" s="159">
        <v>303</v>
      </c>
      <c r="BC73" s="143">
        <f>621.6-303</f>
        <v>318.60000000000002</v>
      </c>
      <c r="BD73" s="143">
        <f>973.6-621.6</f>
        <v>352</v>
      </c>
      <c r="BE73" s="105"/>
      <c r="BF73" s="306"/>
      <c r="BG73" s="105"/>
      <c r="BH73" s="105"/>
      <c r="BI73" s="105"/>
      <c r="BJ73" s="306"/>
      <c r="BK73" s="105"/>
      <c r="BL73" s="105"/>
      <c r="BM73" s="105"/>
      <c r="BN73" s="306"/>
      <c r="BO73" s="105"/>
      <c r="BP73" s="105"/>
      <c r="BQ73" s="105"/>
      <c r="BR73" s="306"/>
      <c r="BS73" s="105"/>
      <c r="BT73" s="105"/>
      <c r="BU73" s="105"/>
      <c r="BV73" s="306"/>
      <c r="BW73" s="105"/>
      <c r="BX73" s="105"/>
      <c r="BY73" s="105"/>
      <c r="BZ73" s="306"/>
      <c r="CA73" s="105"/>
      <c r="CB73" s="105"/>
      <c r="CC73" s="105"/>
      <c r="CD73" s="306"/>
      <c r="CE73" s="105"/>
      <c r="CF73" s="105"/>
      <c r="CG73" s="105"/>
      <c r="CH73" s="306"/>
      <c r="CI73" s="105"/>
      <c r="CJ73" s="105"/>
      <c r="CK73" s="105"/>
      <c r="CL73" s="306"/>
      <c r="CM73" s="105"/>
      <c r="CN73" s="105"/>
      <c r="CO73" s="105"/>
      <c r="CP73" s="306"/>
      <c r="CQ73" s="105"/>
      <c r="CR73" s="105"/>
      <c r="CS73" s="105"/>
      <c r="CT73" s="306"/>
      <c r="CU73" s="105"/>
      <c r="CV73" s="105"/>
      <c r="CW73" s="307"/>
      <c r="CX73" s="105"/>
      <c r="CY73" s="105"/>
      <c r="CZ73" s="105"/>
      <c r="DA73" s="105"/>
      <c r="DB73" s="306"/>
      <c r="DC73" s="105"/>
      <c r="DD73" s="105"/>
      <c r="DE73" s="105"/>
      <c r="DF73" s="306"/>
      <c r="DG73" s="1132"/>
      <c r="DH73" s="1132"/>
      <c r="DI73" s="307"/>
      <c r="DJ73" s="306"/>
      <c r="DK73" s="1132"/>
      <c r="DL73" s="1132"/>
      <c r="DM73" s="307"/>
      <c r="DN73" s="1132"/>
      <c r="DO73" s="1132"/>
      <c r="DP73" s="1132"/>
      <c r="DQ73" s="307"/>
      <c r="DR73" s="1132"/>
      <c r="DS73" s="1132"/>
      <c r="DT73" s="1132"/>
      <c r="DU73" s="1132"/>
      <c r="DV73" s="1132"/>
      <c r="DW73" s="1132"/>
      <c r="DX73" s="1132"/>
      <c r="DY73" s="307"/>
      <c r="DZ73" s="87"/>
    </row>
    <row r="74" spans="1:130" hidden="1" outlineLevel="1">
      <c r="A74" s="88" t="s">
        <v>525</v>
      </c>
      <c r="B74" s="105"/>
      <c r="C74" s="105"/>
      <c r="D74" s="105"/>
      <c r="E74" s="143">
        <v>708.2</v>
      </c>
      <c r="F74" s="143">
        <v>762.6</v>
      </c>
      <c r="G74" s="143">
        <v>684.3</v>
      </c>
      <c r="H74" s="143"/>
      <c r="I74" s="281"/>
      <c r="J74" s="281"/>
      <c r="K74" s="281"/>
      <c r="L74" s="281"/>
      <c r="M74" s="281"/>
      <c r="N74" s="105"/>
      <c r="O74" s="105"/>
      <c r="P74" s="105"/>
      <c r="Q74" s="1132"/>
      <c r="R74" s="105"/>
      <c r="S74" s="105"/>
      <c r="T74" s="1132"/>
      <c r="U74" s="105"/>
      <c r="V74" s="105"/>
      <c r="W74" s="105"/>
      <c r="X74" s="105"/>
      <c r="Y74" s="105"/>
      <c r="Z74" s="105"/>
      <c r="AA74" s="105"/>
      <c r="AB74" s="105"/>
      <c r="AC74" s="105"/>
      <c r="AD74" s="105"/>
      <c r="AE74" s="105"/>
      <c r="AF74" s="105"/>
      <c r="AG74" s="105"/>
      <c r="AH74" s="1244"/>
      <c r="AI74" s="105"/>
      <c r="AJ74" s="105"/>
      <c r="AK74" s="105"/>
      <c r="AL74" s="105"/>
      <c r="AM74" s="105"/>
      <c r="AN74" s="105"/>
      <c r="AO74" s="105"/>
      <c r="AP74" s="306"/>
      <c r="AQ74" s="105"/>
      <c r="AR74" s="105"/>
      <c r="AS74" s="105"/>
      <c r="AT74" s="306"/>
      <c r="AU74" s="105"/>
      <c r="AV74" s="105"/>
      <c r="AW74" s="105"/>
      <c r="AX74" s="159">
        <v>160.19999999999999</v>
      </c>
      <c r="AY74" s="143">
        <f>331.2-160.2</f>
        <v>171</v>
      </c>
      <c r="AZ74" s="143">
        <f>513.6-331.2</f>
        <v>182.40000000000003</v>
      </c>
      <c r="BA74" s="143">
        <f t="shared" si="262"/>
        <v>170.69999999999993</v>
      </c>
      <c r="BB74" s="159">
        <f>172.7</f>
        <v>172.7</v>
      </c>
      <c r="BC74" s="143">
        <f>348.9-172.7</f>
        <v>176.2</v>
      </c>
      <c r="BD74" s="143">
        <f>547.8-348.9</f>
        <v>198.89999999999998</v>
      </c>
      <c r="BE74" s="105"/>
      <c r="BF74" s="306"/>
      <c r="BG74" s="105"/>
      <c r="BH74" s="105"/>
      <c r="BI74" s="105"/>
      <c r="BJ74" s="306"/>
      <c r="BK74" s="105"/>
      <c r="BL74" s="105"/>
      <c r="BM74" s="105"/>
      <c r="BN74" s="306"/>
      <c r="BO74" s="105"/>
      <c r="BP74" s="105"/>
      <c r="BQ74" s="105"/>
      <c r="BR74" s="306"/>
      <c r="BS74" s="105"/>
      <c r="BT74" s="105"/>
      <c r="BU74" s="105"/>
      <c r="BV74" s="306"/>
      <c r="BW74" s="105"/>
      <c r="BX74" s="105"/>
      <c r="BY74" s="105"/>
      <c r="BZ74" s="306"/>
      <c r="CA74" s="105"/>
      <c r="CB74" s="105"/>
      <c r="CC74" s="105"/>
      <c r="CD74" s="306"/>
      <c r="CE74" s="105"/>
      <c r="CF74" s="105"/>
      <c r="CG74" s="105"/>
      <c r="CH74" s="306"/>
      <c r="CI74" s="105"/>
      <c r="CJ74" s="105"/>
      <c r="CK74" s="105"/>
      <c r="CL74" s="306"/>
      <c r="CM74" s="105"/>
      <c r="CN74" s="105"/>
      <c r="CO74" s="105"/>
      <c r="CP74" s="306"/>
      <c r="CQ74" s="105"/>
      <c r="CR74" s="105"/>
      <c r="CS74" s="105"/>
      <c r="CT74" s="306"/>
      <c r="CU74" s="105"/>
      <c r="CV74" s="105"/>
      <c r="CW74" s="307"/>
      <c r="CX74" s="105"/>
      <c r="CY74" s="105"/>
      <c r="CZ74" s="105"/>
      <c r="DA74" s="105"/>
      <c r="DB74" s="306"/>
      <c r="DC74" s="105"/>
      <c r="DD74" s="105"/>
      <c r="DE74" s="105"/>
      <c r="DF74" s="306"/>
      <c r="DG74" s="1132"/>
      <c r="DH74" s="1132"/>
      <c r="DI74" s="307"/>
      <c r="DJ74" s="306"/>
      <c r="DK74" s="1132"/>
      <c r="DL74" s="1132"/>
      <c r="DM74" s="307"/>
      <c r="DN74" s="1132"/>
      <c r="DO74" s="1132"/>
      <c r="DP74" s="1132"/>
      <c r="DQ74" s="307"/>
      <c r="DR74" s="1132"/>
      <c r="DS74" s="1132"/>
      <c r="DT74" s="1132"/>
      <c r="DU74" s="1132"/>
      <c r="DV74" s="1132"/>
      <c r="DW74" s="1132"/>
      <c r="DX74" s="1132"/>
      <c r="DY74" s="307"/>
      <c r="DZ74" s="87"/>
    </row>
    <row r="75" spans="1:130" hidden="1" outlineLevel="1">
      <c r="A75" s="88" t="s">
        <v>526</v>
      </c>
      <c r="B75" s="105"/>
      <c r="C75" s="105"/>
      <c r="D75" s="105"/>
      <c r="E75" s="143">
        <v>277</v>
      </c>
      <c r="F75" s="143">
        <v>299.10000000000002</v>
      </c>
      <c r="G75" s="143">
        <v>246.4</v>
      </c>
      <c r="H75" s="143"/>
      <c r="I75" s="281"/>
      <c r="J75" s="281"/>
      <c r="K75" s="281"/>
      <c r="L75" s="281"/>
      <c r="M75" s="281"/>
      <c r="N75" s="105"/>
      <c r="O75" s="105"/>
      <c r="P75" s="105"/>
      <c r="Q75" s="1132"/>
      <c r="R75" s="105"/>
      <c r="S75" s="105"/>
      <c r="T75" s="1132"/>
      <c r="U75" s="105"/>
      <c r="V75" s="105"/>
      <c r="W75" s="105"/>
      <c r="X75" s="105"/>
      <c r="Y75" s="105"/>
      <c r="Z75" s="105"/>
      <c r="AA75" s="105"/>
      <c r="AB75" s="105"/>
      <c r="AC75" s="105"/>
      <c r="AD75" s="105"/>
      <c r="AE75" s="105"/>
      <c r="AF75" s="105"/>
      <c r="AG75" s="105"/>
      <c r="AH75" s="1244"/>
      <c r="AI75" s="105"/>
      <c r="AJ75" s="105"/>
      <c r="AK75" s="105"/>
      <c r="AL75" s="105"/>
      <c r="AM75" s="105"/>
      <c r="AN75" s="105"/>
      <c r="AO75" s="105"/>
      <c r="AP75" s="306"/>
      <c r="AQ75" s="105"/>
      <c r="AR75" s="105"/>
      <c r="AS75" s="105"/>
      <c r="AT75" s="306"/>
      <c r="AU75" s="105"/>
      <c r="AV75" s="105"/>
      <c r="AW75" s="105"/>
      <c r="AX75" s="159">
        <v>63</v>
      </c>
      <c r="AY75" s="143">
        <f>128.7-63</f>
        <v>65.699999999999989</v>
      </c>
      <c r="AZ75" s="143">
        <f>182.6-128.7</f>
        <v>53.900000000000006</v>
      </c>
      <c r="BA75" s="143">
        <f t="shared" si="262"/>
        <v>63.800000000000011</v>
      </c>
      <c r="BB75" s="159">
        <v>68</v>
      </c>
      <c r="BC75" s="143">
        <f>155.8-68</f>
        <v>87.800000000000011</v>
      </c>
      <c r="BD75" s="143">
        <f>241.8-155.8</f>
        <v>86</v>
      </c>
      <c r="BE75" s="105"/>
      <c r="BF75" s="306"/>
      <c r="BG75" s="105"/>
      <c r="BH75" s="105"/>
      <c r="BI75" s="105"/>
      <c r="BJ75" s="306"/>
      <c r="BK75" s="105"/>
      <c r="BL75" s="105"/>
      <c r="BM75" s="105"/>
      <c r="BN75" s="306"/>
      <c r="BO75" s="105"/>
      <c r="BP75" s="105"/>
      <c r="BQ75" s="105"/>
      <c r="BR75" s="306"/>
      <c r="BS75" s="105"/>
      <c r="BT75" s="105"/>
      <c r="BU75" s="105"/>
      <c r="BV75" s="306"/>
      <c r="BW75" s="105"/>
      <c r="BX75" s="105"/>
      <c r="BY75" s="105"/>
      <c r="BZ75" s="306"/>
      <c r="CA75" s="105"/>
      <c r="CB75" s="105"/>
      <c r="CC75" s="105"/>
      <c r="CD75" s="306"/>
      <c r="CE75" s="105"/>
      <c r="CF75" s="105"/>
      <c r="CG75" s="105"/>
      <c r="CH75" s="306"/>
      <c r="CI75" s="105"/>
      <c r="CJ75" s="105"/>
      <c r="CK75" s="105"/>
      <c r="CL75" s="306"/>
      <c r="CM75" s="105"/>
      <c r="CN75" s="105"/>
      <c r="CO75" s="105"/>
      <c r="CP75" s="306"/>
      <c r="CQ75" s="105"/>
      <c r="CR75" s="105"/>
      <c r="CS75" s="105"/>
      <c r="CT75" s="306"/>
      <c r="CU75" s="105"/>
      <c r="CV75" s="105"/>
      <c r="CW75" s="307"/>
      <c r="CX75" s="105"/>
      <c r="CY75" s="105"/>
      <c r="CZ75" s="105"/>
      <c r="DA75" s="105"/>
      <c r="DB75" s="306"/>
      <c r="DC75" s="105"/>
      <c r="DD75" s="105"/>
      <c r="DE75" s="105"/>
      <c r="DF75" s="306"/>
      <c r="DG75" s="1132"/>
      <c r="DH75" s="1132"/>
      <c r="DI75" s="307"/>
      <c r="DJ75" s="306"/>
      <c r="DK75" s="1132"/>
      <c r="DL75" s="1132"/>
      <c r="DM75" s="307"/>
      <c r="DN75" s="1132"/>
      <c r="DO75" s="1132"/>
      <c r="DP75" s="1132"/>
      <c r="DQ75" s="307"/>
      <c r="DR75" s="1132"/>
      <c r="DS75" s="1132"/>
      <c r="DT75" s="1132"/>
      <c r="DU75" s="1132"/>
      <c r="DV75" s="1132"/>
      <c r="DW75" s="1132"/>
      <c r="DX75" s="1132"/>
      <c r="DY75" s="307"/>
      <c r="DZ75" s="87"/>
    </row>
    <row r="76" spans="1:130" hidden="1" outlineLevel="1">
      <c r="A76" s="88" t="s">
        <v>527</v>
      </c>
      <c r="B76" s="105"/>
      <c r="C76" s="105"/>
      <c r="D76" s="105"/>
      <c r="E76" s="143">
        <v>753.6</v>
      </c>
      <c r="F76" s="143">
        <v>943</v>
      </c>
      <c r="G76" s="143">
        <v>1011.3</v>
      </c>
      <c r="H76" s="143"/>
      <c r="I76" s="281"/>
      <c r="J76" s="281"/>
      <c r="K76" s="281"/>
      <c r="L76" s="281"/>
      <c r="M76" s="281"/>
      <c r="N76" s="105"/>
      <c r="O76" s="105"/>
      <c r="P76" s="105"/>
      <c r="Q76" s="1132"/>
      <c r="R76" s="105"/>
      <c r="S76" s="105"/>
      <c r="T76" s="1132"/>
      <c r="U76" s="105"/>
      <c r="V76" s="105"/>
      <c r="W76" s="105"/>
      <c r="X76" s="105"/>
      <c r="Y76" s="105"/>
      <c r="Z76" s="105"/>
      <c r="AA76" s="105"/>
      <c r="AB76" s="105"/>
      <c r="AC76" s="105"/>
      <c r="AD76" s="105"/>
      <c r="AE76" s="105"/>
      <c r="AF76" s="105"/>
      <c r="AG76" s="105"/>
      <c r="AH76" s="1244"/>
      <c r="AI76" s="105"/>
      <c r="AJ76" s="105"/>
      <c r="AK76" s="105"/>
      <c r="AL76" s="105"/>
      <c r="AM76" s="105"/>
      <c r="AN76" s="105"/>
      <c r="AO76" s="105"/>
      <c r="AP76" s="306"/>
      <c r="AQ76" s="105"/>
      <c r="AR76" s="105"/>
      <c r="AS76" s="105"/>
      <c r="AT76" s="306"/>
      <c r="AU76" s="105"/>
      <c r="AV76" s="105"/>
      <c r="AW76" s="105"/>
      <c r="AX76" s="159">
        <v>209.4</v>
      </c>
      <c r="AY76" s="143">
        <f>456-209.4</f>
        <v>246.6</v>
      </c>
      <c r="AZ76" s="143">
        <f>714.6-456</f>
        <v>258.60000000000002</v>
      </c>
      <c r="BA76" s="143">
        <f t="shared" si="262"/>
        <v>296.69999999999993</v>
      </c>
      <c r="BB76" s="159">
        <f>291.8</f>
        <v>291.8</v>
      </c>
      <c r="BC76" s="143">
        <f>595.9-291.8</f>
        <v>304.09999999999997</v>
      </c>
      <c r="BD76" s="143">
        <f>893-595.9</f>
        <v>297.10000000000002</v>
      </c>
      <c r="BE76" s="105"/>
      <c r="BF76" s="306"/>
      <c r="BG76" s="105"/>
      <c r="BH76" s="105"/>
      <c r="BI76" s="105"/>
      <c r="BJ76" s="306"/>
      <c r="BK76" s="105"/>
      <c r="BL76" s="105"/>
      <c r="BM76" s="105"/>
      <c r="BN76" s="306"/>
      <c r="BO76" s="105"/>
      <c r="BP76" s="105"/>
      <c r="BQ76" s="105"/>
      <c r="BR76" s="306"/>
      <c r="BS76" s="105"/>
      <c r="BT76" s="105"/>
      <c r="BU76" s="105"/>
      <c r="BV76" s="306"/>
      <c r="BW76" s="105"/>
      <c r="BX76" s="105"/>
      <c r="BY76" s="105"/>
      <c r="BZ76" s="306"/>
      <c r="CA76" s="105"/>
      <c r="CB76" s="105"/>
      <c r="CC76" s="105"/>
      <c r="CD76" s="306"/>
      <c r="CE76" s="105"/>
      <c r="CF76" s="105"/>
      <c r="CG76" s="105"/>
      <c r="CH76" s="306"/>
      <c r="CI76" s="105"/>
      <c r="CJ76" s="105"/>
      <c r="CK76" s="105"/>
      <c r="CL76" s="306"/>
      <c r="CM76" s="105"/>
      <c r="CN76" s="105"/>
      <c r="CO76" s="105"/>
      <c r="CP76" s="306"/>
      <c r="CQ76" s="105"/>
      <c r="CR76" s="105"/>
      <c r="CS76" s="105"/>
      <c r="CT76" s="306"/>
      <c r="CU76" s="105"/>
      <c r="CV76" s="105"/>
      <c r="CW76" s="307"/>
      <c r="CX76" s="105"/>
      <c r="CY76" s="105"/>
      <c r="CZ76" s="105"/>
      <c r="DA76" s="105"/>
      <c r="DB76" s="306"/>
      <c r="DC76" s="105"/>
      <c r="DD76" s="105"/>
      <c r="DE76" s="105"/>
      <c r="DF76" s="306"/>
      <c r="DG76" s="1132"/>
      <c r="DH76" s="1132"/>
      <c r="DI76" s="307"/>
      <c r="DJ76" s="306"/>
      <c r="DK76" s="1132"/>
      <c r="DL76" s="1132"/>
      <c r="DM76" s="307"/>
      <c r="DN76" s="1132"/>
      <c r="DO76" s="1132"/>
      <c r="DP76" s="1132"/>
      <c r="DQ76" s="307"/>
      <c r="DR76" s="1132"/>
      <c r="DS76" s="1132"/>
      <c r="DT76" s="1132"/>
      <c r="DU76" s="1132"/>
      <c r="DV76" s="1132"/>
      <c r="DW76" s="1132"/>
      <c r="DX76" s="1132"/>
      <c r="DY76" s="307"/>
      <c r="DZ76" s="87"/>
    </row>
    <row r="77" spans="1:130" hidden="1" outlineLevel="1">
      <c r="A77" s="88" t="s">
        <v>528</v>
      </c>
      <c r="B77" s="105"/>
      <c r="C77" s="105"/>
      <c r="D77" s="105"/>
      <c r="E77" s="143">
        <v>498.7</v>
      </c>
      <c r="F77" s="143">
        <v>587.1</v>
      </c>
      <c r="G77" s="143">
        <v>576.5</v>
      </c>
      <c r="H77" s="143"/>
      <c r="I77" s="281"/>
      <c r="J77" s="281"/>
      <c r="K77" s="281"/>
      <c r="L77" s="281"/>
      <c r="M77" s="281"/>
      <c r="N77" s="105"/>
      <c r="O77" s="105"/>
      <c r="P77" s="105"/>
      <c r="Q77" s="1132"/>
      <c r="R77" s="105"/>
      <c r="S77" s="105"/>
      <c r="T77" s="1132"/>
      <c r="U77" s="105"/>
      <c r="V77" s="105"/>
      <c r="W77" s="105"/>
      <c r="X77" s="105"/>
      <c r="Y77" s="105"/>
      <c r="Z77" s="105"/>
      <c r="AA77" s="105"/>
      <c r="AB77" s="105"/>
      <c r="AC77" s="105"/>
      <c r="AD77" s="105"/>
      <c r="AE77" s="105"/>
      <c r="AF77" s="105"/>
      <c r="AG77" s="105"/>
      <c r="AH77" s="1244"/>
      <c r="AI77" s="105"/>
      <c r="AJ77" s="105"/>
      <c r="AK77" s="105"/>
      <c r="AL77" s="105"/>
      <c r="AM77" s="105"/>
      <c r="AN77" s="105"/>
      <c r="AO77" s="105"/>
      <c r="AP77" s="306"/>
      <c r="AQ77" s="105"/>
      <c r="AR77" s="105"/>
      <c r="AS77" s="105"/>
      <c r="AT77" s="306"/>
      <c r="AU77" s="105"/>
      <c r="AV77" s="105"/>
      <c r="AW77" s="105"/>
      <c r="AX77" s="159">
        <v>130.4</v>
      </c>
      <c r="AY77" s="143">
        <f>268.2-130.4</f>
        <v>137.79999999999998</v>
      </c>
      <c r="AZ77" s="143">
        <f>408.1-268.2</f>
        <v>139.90000000000003</v>
      </c>
      <c r="BA77" s="143">
        <f t="shared" si="262"/>
        <v>168.39999999999998</v>
      </c>
      <c r="BB77" s="159">
        <v>182.2</v>
      </c>
      <c r="BC77" s="143">
        <f>373.8-182.2</f>
        <v>191.60000000000002</v>
      </c>
      <c r="BD77" s="143">
        <f>546.5-373.8</f>
        <v>172.7</v>
      </c>
      <c r="BE77" s="105"/>
      <c r="BF77" s="306"/>
      <c r="BG77" s="105"/>
      <c r="BH77" s="105"/>
      <c r="BI77" s="105"/>
      <c r="BJ77" s="306"/>
      <c r="BK77" s="105"/>
      <c r="BL77" s="105"/>
      <c r="BM77" s="105"/>
      <c r="BN77" s="306"/>
      <c r="BO77" s="105"/>
      <c r="BP77" s="105"/>
      <c r="BQ77" s="105"/>
      <c r="BR77" s="306"/>
      <c r="BS77" s="105"/>
      <c r="BT77" s="105"/>
      <c r="BU77" s="105"/>
      <c r="BV77" s="306"/>
      <c r="BW77" s="105"/>
      <c r="BX77" s="105"/>
      <c r="BY77" s="105"/>
      <c r="BZ77" s="306"/>
      <c r="CA77" s="105"/>
      <c r="CB77" s="105"/>
      <c r="CC77" s="105"/>
      <c r="CD77" s="306"/>
      <c r="CE77" s="105"/>
      <c r="CF77" s="105"/>
      <c r="CG77" s="105"/>
      <c r="CH77" s="306"/>
      <c r="CI77" s="105"/>
      <c r="CJ77" s="105"/>
      <c r="CK77" s="105"/>
      <c r="CL77" s="306"/>
      <c r="CM77" s="105"/>
      <c r="CN77" s="105"/>
      <c r="CO77" s="105"/>
      <c r="CP77" s="306"/>
      <c r="CQ77" s="105"/>
      <c r="CR77" s="105"/>
      <c r="CS77" s="105"/>
      <c r="CT77" s="306"/>
      <c r="CU77" s="105"/>
      <c r="CV77" s="105"/>
      <c r="CW77" s="307"/>
      <c r="CX77" s="105"/>
      <c r="CY77" s="105"/>
      <c r="CZ77" s="105"/>
      <c r="DA77" s="105"/>
      <c r="DB77" s="306"/>
      <c r="DC77" s="105"/>
      <c r="DD77" s="105"/>
      <c r="DE77" s="105"/>
      <c r="DF77" s="306"/>
      <c r="DG77" s="1132"/>
      <c r="DH77" s="1132"/>
      <c r="DI77" s="307"/>
      <c r="DJ77" s="306"/>
      <c r="DK77" s="1132"/>
      <c r="DL77" s="1132"/>
      <c r="DM77" s="307"/>
      <c r="DN77" s="1132"/>
      <c r="DO77" s="1132"/>
      <c r="DP77" s="1132"/>
      <c r="DQ77" s="307"/>
      <c r="DR77" s="1132"/>
      <c r="DS77" s="1132"/>
      <c r="DT77" s="1132"/>
      <c r="DU77" s="1132"/>
      <c r="DV77" s="1132"/>
      <c r="DW77" s="1132"/>
      <c r="DX77" s="1132"/>
      <c r="DY77" s="307"/>
      <c r="DZ77" s="87"/>
    </row>
    <row r="78" spans="1:130" hidden="1" outlineLevel="1">
      <c r="A78" s="88" t="s">
        <v>529</v>
      </c>
      <c r="B78" s="105"/>
      <c r="C78" s="105"/>
      <c r="D78" s="105"/>
      <c r="E78" s="143">
        <v>188.79900000000001</v>
      </c>
      <c r="F78" s="143">
        <v>211.512</v>
      </c>
      <c r="G78" s="143">
        <v>220.072</v>
      </c>
      <c r="H78" s="143"/>
      <c r="I78" s="281"/>
      <c r="J78" s="281"/>
      <c r="K78" s="281"/>
      <c r="L78" s="281"/>
      <c r="M78" s="281"/>
      <c r="N78" s="105"/>
      <c r="O78" s="105"/>
      <c r="P78" s="105"/>
      <c r="Q78" s="1132"/>
      <c r="R78" s="105"/>
      <c r="S78" s="105"/>
      <c r="T78" s="1132"/>
      <c r="U78" s="105"/>
      <c r="V78" s="105"/>
      <c r="W78" s="105"/>
      <c r="X78" s="105"/>
      <c r="Y78" s="105"/>
      <c r="Z78" s="105"/>
      <c r="AA78" s="105"/>
      <c r="AB78" s="105"/>
      <c r="AC78" s="105"/>
      <c r="AD78" s="105"/>
      <c r="AE78" s="105"/>
      <c r="AF78" s="105"/>
      <c r="AG78" s="105"/>
      <c r="AH78" s="1244"/>
      <c r="AI78" s="105"/>
      <c r="AJ78" s="105"/>
      <c r="AK78" s="105"/>
      <c r="AL78" s="105"/>
      <c r="AM78" s="105"/>
      <c r="AN78" s="105"/>
      <c r="AO78" s="105"/>
      <c r="AP78" s="306"/>
      <c r="AQ78" s="105"/>
      <c r="AR78" s="105"/>
      <c r="AS78" s="105"/>
      <c r="AT78" s="306"/>
      <c r="AU78" s="105"/>
      <c r="AV78" s="105"/>
      <c r="AW78" s="105"/>
      <c r="AX78" s="159">
        <v>61.148000000000003</v>
      </c>
      <c r="AY78" s="143">
        <f>106.99-61.148</f>
        <v>45.841999999999992</v>
      </c>
      <c r="AZ78" s="143">
        <f>155.461-106.99</f>
        <v>48.471000000000018</v>
      </c>
      <c r="BA78" s="143">
        <f t="shared" si="262"/>
        <v>64.61099999999999</v>
      </c>
      <c r="BB78" s="159">
        <f>70.634</f>
        <v>70.634</v>
      </c>
      <c r="BC78" s="143">
        <f>121.919-70.634</f>
        <v>51.284999999999997</v>
      </c>
      <c r="BD78" s="143">
        <f>188.189-121.919</f>
        <v>66.27</v>
      </c>
      <c r="BE78" s="105"/>
      <c r="BF78" s="306"/>
      <c r="BG78" s="105"/>
      <c r="BH78" s="105"/>
      <c r="BI78" s="105"/>
      <c r="BJ78" s="306"/>
      <c r="BK78" s="105"/>
      <c r="BL78" s="105"/>
      <c r="BM78" s="105"/>
      <c r="BN78" s="306"/>
      <c r="BO78" s="105"/>
      <c r="BP78" s="105"/>
      <c r="BQ78" s="105"/>
      <c r="BR78" s="306"/>
      <c r="BS78" s="105"/>
      <c r="BT78" s="105"/>
      <c r="BU78" s="105"/>
      <c r="BV78" s="306"/>
      <c r="BW78" s="105"/>
      <c r="BX78" s="105"/>
      <c r="BY78" s="105"/>
      <c r="BZ78" s="306"/>
      <c r="CA78" s="105"/>
      <c r="CB78" s="105"/>
      <c r="CC78" s="105"/>
      <c r="CD78" s="306"/>
      <c r="CE78" s="105"/>
      <c r="CF78" s="105"/>
      <c r="CG78" s="105"/>
      <c r="CH78" s="306"/>
      <c r="CI78" s="105"/>
      <c r="CJ78" s="105"/>
      <c r="CK78" s="105"/>
      <c r="CL78" s="306"/>
      <c r="CM78" s="105"/>
      <c r="CN78" s="105"/>
      <c r="CO78" s="105"/>
      <c r="CP78" s="306"/>
      <c r="CQ78" s="105"/>
      <c r="CR78" s="105"/>
      <c r="CS78" s="105"/>
      <c r="CT78" s="306"/>
      <c r="CU78" s="105"/>
      <c r="CV78" s="105"/>
      <c r="CW78" s="307"/>
      <c r="CX78" s="105"/>
      <c r="CY78" s="105"/>
      <c r="CZ78" s="105"/>
      <c r="DA78" s="105"/>
      <c r="DB78" s="306"/>
      <c r="DC78" s="105"/>
      <c r="DD78" s="105"/>
      <c r="DE78" s="105"/>
      <c r="DF78" s="306"/>
      <c r="DG78" s="1132"/>
      <c r="DH78" s="1132"/>
      <c r="DI78" s="307"/>
      <c r="DJ78" s="306"/>
      <c r="DK78" s="1132"/>
      <c r="DL78" s="1132"/>
      <c r="DM78" s="307"/>
      <c r="DN78" s="1132"/>
      <c r="DO78" s="1132"/>
      <c r="DP78" s="1132"/>
      <c r="DQ78" s="307"/>
      <c r="DR78" s="1132"/>
      <c r="DS78" s="1132"/>
      <c r="DT78" s="1132"/>
      <c r="DU78" s="1132"/>
      <c r="DV78" s="1132"/>
      <c r="DW78" s="1132"/>
      <c r="DX78" s="1132"/>
      <c r="DY78" s="307"/>
      <c r="DZ78" s="87"/>
    </row>
    <row r="79" spans="1:130" hidden="1" outlineLevel="1">
      <c r="A79" s="88" t="s">
        <v>530</v>
      </c>
      <c r="B79" s="105"/>
      <c r="C79" s="105"/>
      <c r="D79" s="105"/>
      <c r="E79" s="143">
        <v>111.285</v>
      </c>
      <c r="F79" s="143">
        <v>138.47900000000001</v>
      </c>
      <c r="G79" s="143">
        <v>161.965</v>
      </c>
      <c r="H79" s="143"/>
      <c r="I79" s="281"/>
      <c r="J79" s="281"/>
      <c r="K79" s="281"/>
      <c r="L79" s="281"/>
      <c r="M79" s="281"/>
      <c r="N79" s="105"/>
      <c r="O79" s="105"/>
      <c r="P79" s="105"/>
      <c r="Q79" s="1132"/>
      <c r="R79" s="105"/>
      <c r="S79" s="105"/>
      <c r="T79" s="1132"/>
      <c r="U79" s="105"/>
      <c r="V79" s="105"/>
      <c r="W79" s="105"/>
      <c r="X79" s="105"/>
      <c r="Y79" s="105"/>
      <c r="Z79" s="105"/>
      <c r="AA79" s="105"/>
      <c r="AB79" s="105"/>
      <c r="AC79" s="105"/>
      <c r="AD79" s="105"/>
      <c r="AE79" s="105"/>
      <c r="AF79" s="105"/>
      <c r="AG79" s="105"/>
      <c r="AH79" s="1244"/>
      <c r="AI79" s="105"/>
      <c r="AJ79" s="105"/>
      <c r="AK79" s="105"/>
      <c r="AL79" s="105"/>
      <c r="AM79" s="105"/>
      <c r="AN79" s="105"/>
      <c r="AO79" s="105"/>
      <c r="AP79" s="306"/>
      <c r="AQ79" s="105"/>
      <c r="AR79" s="105"/>
      <c r="AS79" s="105"/>
      <c r="AT79" s="306"/>
      <c r="AU79" s="105"/>
      <c r="AV79" s="105"/>
      <c r="AW79" s="105"/>
      <c r="AX79" s="159">
        <f>31.37</f>
        <v>31.37</v>
      </c>
      <c r="AY79" s="143">
        <f>72.649-31.37</f>
        <v>41.278999999999996</v>
      </c>
      <c r="AZ79" s="143">
        <f>115.191-72.649</f>
        <v>42.542000000000002</v>
      </c>
      <c r="BA79" s="143">
        <f t="shared" si="262"/>
        <v>46.774000000000001</v>
      </c>
      <c r="BB79" s="159">
        <f>42.163</f>
        <v>42.162999999999997</v>
      </c>
      <c r="BC79" s="143">
        <f>72.419-42.163</f>
        <v>30.256</v>
      </c>
      <c r="BD79" s="143">
        <f>120.454-72.419</f>
        <v>48.034999999999997</v>
      </c>
      <c r="BE79" s="105"/>
      <c r="BF79" s="306"/>
      <c r="BG79" s="105"/>
      <c r="BH79" s="105"/>
      <c r="BI79" s="105"/>
      <c r="BJ79" s="306"/>
      <c r="BK79" s="105"/>
      <c r="BL79" s="105"/>
      <c r="BM79" s="105"/>
      <c r="BN79" s="306"/>
      <c r="BO79" s="105"/>
      <c r="BP79" s="105"/>
      <c r="BQ79" s="105"/>
      <c r="BR79" s="306"/>
      <c r="BS79" s="105"/>
      <c r="BT79" s="105"/>
      <c r="BU79" s="105"/>
      <c r="BV79" s="306"/>
      <c r="BW79" s="105"/>
      <c r="BX79" s="105"/>
      <c r="BY79" s="105"/>
      <c r="BZ79" s="306"/>
      <c r="CA79" s="105"/>
      <c r="CB79" s="105"/>
      <c r="CC79" s="105"/>
      <c r="CD79" s="306"/>
      <c r="CE79" s="105"/>
      <c r="CF79" s="105"/>
      <c r="CG79" s="105"/>
      <c r="CH79" s="306"/>
      <c r="CI79" s="105"/>
      <c r="CJ79" s="105"/>
      <c r="CK79" s="105"/>
      <c r="CL79" s="306"/>
      <c r="CM79" s="105"/>
      <c r="CN79" s="105"/>
      <c r="CO79" s="105"/>
      <c r="CP79" s="306"/>
      <c r="CQ79" s="105"/>
      <c r="CR79" s="105"/>
      <c r="CS79" s="105"/>
      <c r="CT79" s="306"/>
      <c r="CU79" s="105"/>
      <c r="CV79" s="105"/>
      <c r="CW79" s="307"/>
      <c r="CX79" s="105"/>
      <c r="CY79" s="105"/>
      <c r="CZ79" s="105"/>
      <c r="DA79" s="105"/>
      <c r="DB79" s="306"/>
      <c r="DC79" s="105"/>
      <c r="DD79" s="105"/>
      <c r="DE79" s="105"/>
      <c r="DF79" s="306"/>
      <c r="DG79" s="1132"/>
      <c r="DH79" s="1132"/>
      <c r="DI79" s="307"/>
      <c r="DJ79" s="306"/>
      <c r="DK79" s="1132"/>
      <c r="DL79" s="1132"/>
      <c r="DM79" s="307"/>
      <c r="DN79" s="1132"/>
      <c r="DO79" s="1132"/>
      <c r="DP79" s="1132"/>
      <c r="DQ79" s="307"/>
      <c r="DR79" s="1132"/>
      <c r="DS79" s="1132"/>
      <c r="DT79" s="1132"/>
      <c r="DU79" s="1132"/>
      <c r="DV79" s="1132"/>
      <c r="DW79" s="1132"/>
      <c r="DX79" s="1132"/>
      <c r="DY79" s="307"/>
      <c r="DZ79" s="87"/>
    </row>
    <row r="80" spans="1:130" hidden="1" outlineLevel="1">
      <c r="A80" s="151" t="s">
        <v>531</v>
      </c>
      <c r="B80" s="91"/>
      <c r="C80" s="91"/>
      <c r="D80" s="91"/>
      <c r="E80" s="149">
        <f>SUM(E65:E79)</f>
        <v>7866.3869999999997</v>
      </c>
      <c r="F80" s="149">
        <f>SUM(F65:F79)</f>
        <v>8874.1450000000023</v>
      </c>
      <c r="G80" s="149">
        <f>SUM(G65:G79)</f>
        <v>9241.9439999999995</v>
      </c>
      <c r="H80" s="149"/>
      <c r="I80" s="87"/>
      <c r="J80" s="87"/>
      <c r="K80" s="87"/>
      <c r="L80" s="87"/>
      <c r="M80" s="87"/>
      <c r="N80" s="87"/>
      <c r="O80" s="87"/>
      <c r="P80" s="87"/>
      <c r="Q80" s="1041"/>
      <c r="R80" s="87"/>
      <c r="S80" s="87"/>
      <c r="T80" s="1041"/>
      <c r="U80" s="87"/>
      <c r="V80" s="87"/>
      <c r="W80" s="87"/>
      <c r="X80" s="87"/>
      <c r="Y80" s="87"/>
      <c r="Z80" s="87"/>
      <c r="AA80" s="87"/>
      <c r="AB80" s="87"/>
      <c r="AC80" s="87"/>
      <c r="AD80" s="87"/>
      <c r="AE80" s="87"/>
      <c r="AF80" s="87"/>
      <c r="AG80" s="87"/>
      <c r="AH80" s="678"/>
      <c r="AI80" s="87"/>
      <c r="AJ80" s="87"/>
      <c r="AK80" s="87"/>
      <c r="AL80" s="87"/>
      <c r="AM80" s="87"/>
      <c r="AN80" s="87"/>
      <c r="AO80" s="87"/>
      <c r="AP80" s="88"/>
      <c r="AQ80" s="87"/>
      <c r="AR80" s="87"/>
      <c r="AS80" s="87"/>
      <c r="AT80" s="88"/>
      <c r="AU80" s="87"/>
      <c r="AV80" s="87"/>
      <c r="AW80" s="87"/>
      <c r="AX80" s="150">
        <f t="shared" ref="AX80:BD80" si="263">SUM(AX65:AX79)</f>
        <v>1950.4110000000001</v>
      </c>
      <c r="AY80" s="149">
        <f t="shared" si="263"/>
        <v>2185.7809999999999</v>
      </c>
      <c r="AZ80" s="149">
        <f t="shared" si="263"/>
        <v>2421.4240000000004</v>
      </c>
      <c r="BA80" s="149">
        <f t="shared" si="263"/>
        <v>2684.3279999999995</v>
      </c>
      <c r="BB80" s="150">
        <f t="shared" si="263"/>
        <v>2522.14</v>
      </c>
      <c r="BC80" s="149">
        <f t="shared" si="263"/>
        <v>2509.8699999999994</v>
      </c>
      <c r="BD80" s="149">
        <f t="shared" si="263"/>
        <v>2705.7889999999998</v>
      </c>
      <c r="BE80" s="87"/>
      <c r="BF80" s="88"/>
      <c r="BG80" s="87"/>
      <c r="BH80" s="87"/>
      <c r="BI80" s="87"/>
      <c r="BJ80" s="88"/>
      <c r="BK80" s="87"/>
      <c r="BL80" s="87"/>
      <c r="BM80" s="87"/>
      <c r="BN80" s="88"/>
      <c r="BO80" s="87"/>
      <c r="BP80" s="87"/>
      <c r="BQ80" s="87"/>
      <c r="BR80" s="88"/>
      <c r="BS80" s="87"/>
      <c r="BT80" s="87"/>
      <c r="BU80" s="87"/>
      <c r="BV80" s="88"/>
      <c r="BW80" s="87"/>
      <c r="BX80" s="87"/>
      <c r="BY80" s="87"/>
      <c r="BZ80" s="88"/>
      <c r="CA80" s="87"/>
      <c r="CB80" s="87"/>
      <c r="CC80" s="87"/>
      <c r="CD80" s="88"/>
      <c r="CE80" s="87"/>
      <c r="CF80" s="87"/>
      <c r="CG80" s="87"/>
      <c r="CH80" s="88"/>
      <c r="CI80" s="87"/>
      <c r="CJ80" s="87"/>
      <c r="CK80" s="87"/>
      <c r="CL80" s="88"/>
      <c r="CM80" s="87"/>
      <c r="CN80" s="87"/>
      <c r="CO80" s="87"/>
      <c r="CP80" s="88"/>
      <c r="CQ80" s="87"/>
      <c r="CR80" s="87"/>
      <c r="CS80" s="87"/>
      <c r="CT80" s="88"/>
      <c r="CU80" s="87"/>
      <c r="CV80" s="87"/>
      <c r="CW80" s="144"/>
      <c r="CX80" s="87"/>
      <c r="CY80" s="87"/>
      <c r="CZ80" s="87"/>
      <c r="DA80" s="87"/>
      <c r="DB80" s="88"/>
      <c r="DC80" s="87"/>
      <c r="DD80" s="87"/>
      <c r="DE80" s="87"/>
      <c r="DF80" s="88"/>
      <c r="DG80" s="1041"/>
      <c r="DH80" s="1041"/>
      <c r="DI80" s="144"/>
      <c r="DJ80" s="88"/>
      <c r="DK80" s="1041"/>
      <c r="DL80" s="1041"/>
      <c r="DM80" s="144"/>
      <c r="DN80" s="1041"/>
      <c r="DO80" s="1041"/>
      <c r="DP80" s="1041"/>
      <c r="DQ80" s="144"/>
      <c r="DR80" s="1041"/>
      <c r="DS80" s="1041"/>
      <c r="DT80" s="1041"/>
      <c r="DU80" s="1041"/>
      <c r="DV80" s="1041"/>
      <c r="DW80" s="1041"/>
      <c r="DX80" s="1041"/>
      <c r="DY80" s="144"/>
      <c r="DZ80" s="87"/>
    </row>
    <row r="81" spans="1:130" hidden="1" outlineLevel="1">
      <c r="A81" s="749"/>
      <c r="B81" s="105"/>
      <c r="C81" s="105"/>
      <c r="D81" s="105"/>
      <c r="E81" s="143"/>
      <c r="F81" s="143"/>
      <c r="G81" s="143"/>
      <c r="H81" s="143"/>
      <c r="I81" s="281"/>
      <c r="J81" s="281"/>
      <c r="K81" s="281"/>
      <c r="L81" s="281"/>
      <c r="M81" s="281"/>
      <c r="N81" s="105"/>
      <c r="O81" s="105"/>
      <c r="P81" s="105"/>
      <c r="Q81" s="1132"/>
      <c r="R81" s="105"/>
      <c r="S81" s="105"/>
      <c r="T81" s="1132"/>
      <c r="U81" s="105"/>
      <c r="V81" s="105"/>
      <c r="W81" s="105"/>
      <c r="X81" s="105"/>
      <c r="Y81" s="105"/>
      <c r="Z81" s="105"/>
      <c r="AA81" s="105"/>
      <c r="AB81" s="105"/>
      <c r="AC81" s="105"/>
      <c r="AD81" s="105"/>
      <c r="AE81" s="105"/>
      <c r="AF81" s="105"/>
      <c r="AG81" s="105"/>
      <c r="AH81" s="1244"/>
      <c r="AI81" s="105"/>
      <c r="AJ81" s="105"/>
      <c r="AK81" s="105"/>
      <c r="AL81" s="105"/>
      <c r="AM81" s="105"/>
      <c r="AN81" s="105"/>
      <c r="AO81" s="105"/>
      <c r="AP81" s="306"/>
      <c r="AQ81" s="105"/>
      <c r="AR81" s="105"/>
      <c r="AS81" s="105"/>
      <c r="AT81" s="306"/>
      <c r="AU81" s="105"/>
      <c r="AV81" s="105"/>
      <c r="AW81" s="105"/>
      <c r="AX81" s="159"/>
      <c r="AY81" s="143"/>
      <c r="AZ81" s="143"/>
      <c r="BA81" s="143"/>
      <c r="BB81" s="159"/>
      <c r="BC81" s="143"/>
      <c r="BD81" s="143"/>
      <c r="BE81" s="105"/>
      <c r="BF81" s="306"/>
      <c r="BG81" s="105"/>
      <c r="BH81" s="105"/>
      <c r="BI81" s="105"/>
      <c r="BJ81" s="306"/>
      <c r="BK81" s="105"/>
      <c r="BL81" s="105"/>
      <c r="BM81" s="105"/>
      <c r="BN81" s="306"/>
      <c r="BO81" s="105"/>
      <c r="BP81" s="105"/>
      <c r="BQ81" s="105"/>
      <c r="BR81" s="306"/>
      <c r="BS81" s="105"/>
      <c r="BT81" s="105"/>
      <c r="BU81" s="105"/>
      <c r="BV81" s="306"/>
      <c r="BW81" s="105"/>
      <c r="BX81" s="105"/>
      <c r="BY81" s="105"/>
      <c r="BZ81" s="306"/>
      <c r="CA81" s="105"/>
      <c r="CB81" s="105"/>
      <c r="CC81" s="105"/>
      <c r="CD81" s="306"/>
      <c r="CE81" s="105"/>
      <c r="CF81" s="105"/>
      <c r="CG81" s="105"/>
      <c r="CH81" s="306"/>
      <c r="CI81" s="105"/>
      <c r="CJ81" s="105"/>
      <c r="CK81" s="105"/>
      <c r="CL81" s="306"/>
      <c r="CM81" s="105"/>
      <c r="CN81" s="105"/>
      <c r="CO81" s="105"/>
      <c r="CP81" s="306"/>
      <c r="CQ81" s="105"/>
      <c r="CR81" s="105"/>
      <c r="CS81" s="105"/>
      <c r="CT81" s="306"/>
      <c r="CU81" s="105"/>
      <c r="CV81" s="105"/>
      <c r="CW81" s="307"/>
      <c r="CX81" s="105"/>
      <c r="CY81" s="105"/>
      <c r="CZ81" s="105"/>
      <c r="DA81" s="105"/>
      <c r="DB81" s="306"/>
      <c r="DC81" s="105"/>
      <c r="DD81" s="105"/>
      <c r="DE81" s="105"/>
      <c r="DF81" s="306"/>
      <c r="DG81" s="1132"/>
      <c r="DH81" s="1132"/>
      <c r="DI81" s="307"/>
      <c r="DJ81" s="306"/>
      <c r="DK81" s="1132"/>
      <c r="DL81" s="1132"/>
      <c r="DM81" s="307"/>
      <c r="DN81" s="1132"/>
      <c r="DO81" s="1132"/>
      <c r="DP81" s="1132"/>
      <c r="DQ81" s="307"/>
      <c r="DR81" s="1132"/>
      <c r="DS81" s="1132"/>
      <c r="DT81" s="1132"/>
      <c r="DU81" s="1132"/>
      <c r="DV81" s="1132"/>
      <c r="DW81" s="1132"/>
      <c r="DX81" s="1132"/>
      <c r="DY81" s="307"/>
      <c r="DZ81" s="87"/>
    </row>
    <row r="82" spans="1:130" hidden="1" outlineLevel="1">
      <c r="A82" s="151" t="s">
        <v>532</v>
      </c>
      <c r="B82" s="91"/>
      <c r="C82" s="91"/>
      <c r="D82" s="91"/>
      <c r="E82" s="91"/>
      <c r="F82" s="91"/>
      <c r="G82" s="143"/>
      <c r="H82" s="143"/>
      <c r="I82" s="281"/>
      <c r="J82" s="281"/>
      <c r="K82" s="281"/>
      <c r="L82" s="281"/>
      <c r="M82" s="281"/>
      <c r="N82" s="105"/>
      <c r="O82" s="105"/>
      <c r="P82" s="105"/>
      <c r="Q82" s="1132"/>
      <c r="R82" s="105"/>
      <c r="S82" s="105"/>
      <c r="T82" s="1132"/>
      <c r="U82" s="105"/>
      <c r="V82" s="105"/>
      <c r="W82" s="105"/>
      <c r="X82" s="105"/>
      <c r="Y82" s="105"/>
      <c r="Z82" s="105"/>
      <c r="AA82" s="105"/>
      <c r="AB82" s="105"/>
      <c r="AC82" s="105"/>
      <c r="AD82" s="105"/>
      <c r="AE82" s="105"/>
      <c r="AF82" s="105"/>
      <c r="AG82" s="105"/>
      <c r="AH82" s="1244"/>
      <c r="AI82" s="105"/>
      <c r="AJ82" s="105"/>
      <c r="AK82" s="105"/>
      <c r="AL82" s="105"/>
      <c r="AM82" s="105"/>
      <c r="AN82" s="105"/>
      <c r="AO82" s="105"/>
      <c r="AP82" s="306"/>
      <c r="AQ82" s="105"/>
      <c r="AR82" s="105"/>
      <c r="AS82" s="105"/>
      <c r="AT82" s="306"/>
      <c r="AU82" s="105"/>
      <c r="AV82" s="105"/>
      <c r="AW82" s="105"/>
      <c r="AX82" s="159"/>
      <c r="AY82" s="143"/>
      <c r="AZ82" s="143"/>
      <c r="BA82" s="143"/>
      <c r="BB82" s="159"/>
      <c r="BC82" s="143"/>
      <c r="BD82" s="143"/>
      <c r="BE82" s="105"/>
      <c r="BF82" s="306"/>
      <c r="BG82" s="105"/>
      <c r="BH82" s="105"/>
      <c r="BI82" s="105"/>
      <c r="BJ82" s="306"/>
      <c r="BK82" s="105"/>
      <c r="BL82" s="105"/>
      <c r="BM82" s="105"/>
      <c r="BN82" s="306"/>
      <c r="BO82" s="105"/>
      <c r="BP82" s="105"/>
      <c r="BQ82" s="105"/>
      <c r="BR82" s="306"/>
      <c r="BS82" s="105"/>
      <c r="BT82" s="105"/>
      <c r="BU82" s="105"/>
      <c r="BV82" s="306"/>
      <c r="BW82" s="105"/>
      <c r="BX82" s="105"/>
      <c r="BY82" s="105"/>
      <c r="BZ82" s="306"/>
      <c r="CA82" s="105"/>
      <c r="CB82" s="105"/>
      <c r="CC82" s="105"/>
      <c r="CD82" s="306"/>
      <c r="CE82" s="105"/>
      <c r="CF82" s="105"/>
      <c r="CG82" s="105"/>
      <c r="CH82" s="306"/>
      <c r="CI82" s="105"/>
      <c r="CJ82" s="105"/>
      <c r="CK82" s="105"/>
      <c r="CL82" s="306"/>
      <c r="CM82" s="105"/>
      <c r="CN82" s="105"/>
      <c r="CO82" s="105"/>
      <c r="CP82" s="306"/>
      <c r="CQ82" s="105"/>
      <c r="CR82" s="105"/>
      <c r="CS82" s="105"/>
      <c r="CT82" s="306"/>
      <c r="CU82" s="105"/>
      <c r="CV82" s="105"/>
      <c r="CW82" s="307"/>
      <c r="CX82" s="105"/>
      <c r="CY82" s="105"/>
      <c r="CZ82" s="105"/>
      <c r="DA82" s="105"/>
      <c r="DB82" s="306"/>
      <c r="DC82" s="105"/>
      <c r="DD82" s="105"/>
      <c r="DE82" s="105"/>
      <c r="DF82" s="306"/>
      <c r="DG82" s="1132"/>
      <c r="DH82" s="1132"/>
      <c r="DI82" s="307"/>
      <c r="DJ82" s="306"/>
      <c r="DK82" s="1132"/>
      <c r="DL82" s="1132"/>
      <c r="DM82" s="307"/>
      <c r="DN82" s="1132"/>
      <c r="DO82" s="1132"/>
      <c r="DP82" s="1132"/>
      <c r="DQ82" s="307"/>
      <c r="DR82" s="1132"/>
      <c r="DS82" s="1132"/>
      <c r="DT82" s="1132"/>
      <c r="DU82" s="1132"/>
      <c r="DV82" s="1132"/>
      <c r="DW82" s="1132"/>
      <c r="DX82" s="1132"/>
      <c r="DY82" s="307"/>
      <c r="DZ82" s="87"/>
    </row>
    <row r="83" spans="1:130" hidden="1" outlineLevel="1">
      <c r="A83" s="88" t="s">
        <v>516</v>
      </c>
      <c r="B83" s="105"/>
      <c r="C83" s="105"/>
      <c r="D83" s="105"/>
      <c r="E83" s="87">
        <f>E$65/E$80</f>
        <v>0.19442216611005791</v>
      </c>
      <c r="F83" s="87">
        <f>F$65/F$80</f>
        <v>0.19710067843155588</v>
      </c>
      <c r="G83" s="87">
        <f>G$65/G$80</f>
        <v>0.2401767420360911</v>
      </c>
      <c r="H83" s="87"/>
      <c r="I83" s="87"/>
      <c r="J83" s="87"/>
      <c r="K83" s="87"/>
      <c r="L83" s="87"/>
      <c r="M83" s="87"/>
      <c r="N83" s="87"/>
      <c r="O83" s="87"/>
      <c r="P83" s="87"/>
      <c r="Q83" s="1041"/>
      <c r="R83" s="87"/>
      <c r="S83" s="143"/>
      <c r="T83" s="1047"/>
      <c r="U83" s="87"/>
      <c r="V83" s="87"/>
      <c r="W83" s="87"/>
      <c r="X83" s="87"/>
      <c r="Y83" s="87"/>
      <c r="Z83" s="87"/>
      <c r="AA83" s="87"/>
      <c r="AB83" s="87"/>
      <c r="AC83" s="87"/>
      <c r="AD83" s="87"/>
      <c r="AE83" s="87"/>
      <c r="AF83" s="87"/>
      <c r="AG83" s="87"/>
      <c r="AH83" s="678"/>
      <c r="AI83" s="87"/>
      <c r="AJ83" s="87"/>
      <c r="AK83" s="87"/>
      <c r="AL83" s="87"/>
      <c r="AM83" s="87"/>
      <c r="AN83" s="87"/>
      <c r="AO83" s="87"/>
      <c r="AP83" s="88"/>
      <c r="AQ83" s="87"/>
      <c r="AR83" s="87"/>
      <c r="AS83" s="87"/>
      <c r="AT83" s="88"/>
      <c r="AU83" s="87"/>
      <c r="AV83" s="87"/>
      <c r="AW83" s="87"/>
      <c r="AX83" s="88">
        <f t="shared" ref="AX83:BD83" si="264">AX$65/AX$80</f>
        <v>0.20267523101541163</v>
      </c>
      <c r="AY83" s="87">
        <f t="shared" si="264"/>
        <v>0.22582317258682363</v>
      </c>
      <c r="AZ83" s="87">
        <f t="shared" si="264"/>
        <v>0.27041938958232842</v>
      </c>
      <c r="BA83" s="87">
        <f t="shared" si="264"/>
        <v>0.25183211589641796</v>
      </c>
      <c r="BB83" s="88">
        <f t="shared" si="264"/>
        <v>0.2212406924278589</v>
      </c>
      <c r="BC83" s="87">
        <f t="shared" si="264"/>
        <v>0.20981166355229555</v>
      </c>
      <c r="BD83" s="87">
        <f t="shared" si="264"/>
        <v>0.20892242521497434</v>
      </c>
      <c r="BE83" s="87"/>
      <c r="BF83" s="88"/>
      <c r="BG83" s="87"/>
      <c r="BH83" s="87"/>
      <c r="BI83" s="87"/>
      <c r="BJ83" s="88"/>
      <c r="BK83" s="87"/>
      <c r="BL83" s="87"/>
      <c r="BM83" s="87"/>
      <c r="BN83" s="88"/>
      <c r="BO83" s="87"/>
      <c r="BP83" s="87"/>
      <c r="BQ83" s="87"/>
      <c r="BR83" s="88"/>
      <c r="BS83" s="87"/>
      <c r="BT83" s="87"/>
      <c r="BU83" s="87"/>
      <c r="BV83" s="159"/>
      <c r="BW83" s="143"/>
      <c r="BX83" s="143"/>
      <c r="BY83" s="143"/>
      <c r="BZ83" s="159"/>
      <c r="CA83" s="143"/>
      <c r="CB83" s="143"/>
      <c r="CC83" s="143"/>
      <c r="CD83" s="159"/>
      <c r="CE83" s="143"/>
      <c r="CF83" s="143"/>
      <c r="CG83" s="143"/>
      <c r="CH83" s="159"/>
      <c r="CI83" s="143"/>
      <c r="CJ83" s="143"/>
      <c r="CK83" s="143"/>
      <c r="CL83" s="159"/>
      <c r="CM83" s="143"/>
      <c r="CN83" s="143"/>
      <c r="CO83" s="143"/>
      <c r="CP83" s="159"/>
      <c r="CQ83" s="143"/>
      <c r="CR83" s="143"/>
      <c r="CS83" s="143"/>
      <c r="CT83" s="159"/>
      <c r="CU83" s="143"/>
      <c r="CV83" s="143"/>
      <c r="CW83" s="189"/>
      <c r="CX83" s="143"/>
      <c r="CY83" s="143"/>
      <c r="CZ83" s="143"/>
      <c r="DA83" s="143"/>
      <c r="DB83" s="159"/>
      <c r="DC83" s="143"/>
      <c r="DD83" s="143"/>
      <c r="DE83" s="143"/>
      <c r="DF83" s="159"/>
      <c r="DG83" s="1047"/>
      <c r="DH83" s="1047"/>
      <c r="DI83" s="189"/>
      <c r="DJ83" s="159"/>
      <c r="DK83" s="1047"/>
      <c r="DL83" s="1047"/>
      <c r="DM83" s="189"/>
      <c r="DN83" s="1047"/>
      <c r="DO83" s="1047"/>
      <c r="DP83" s="1047"/>
      <c r="DQ83" s="189"/>
      <c r="DR83" s="1047"/>
      <c r="DS83" s="1047"/>
      <c r="DT83" s="1047"/>
      <c r="DU83" s="1047"/>
      <c r="DV83" s="1047"/>
      <c r="DW83" s="1047"/>
      <c r="DX83" s="1047"/>
      <c r="DY83" s="189"/>
      <c r="DZ83" s="87"/>
    </row>
    <row r="84" spans="1:130" hidden="1" outlineLevel="1">
      <c r="A84" s="88" t="s">
        <v>524</v>
      </c>
      <c r="B84" s="105"/>
      <c r="C84" s="105"/>
      <c r="D84" s="105"/>
      <c r="E84" s="87">
        <f>E$73/E$80</f>
        <v>0.12168229201029648</v>
      </c>
      <c r="F84" s="87">
        <f>F$73/F$80</f>
        <v>0.11624781880395234</v>
      </c>
      <c r="G84" s="87">
        <f>G$73/G$80</f>
        <v>0.1220522435539536</v>
      </c>
      <c r="H84" s="143"/>
      <c r="I84" s="281"/>
      <c r="J84" s="281"/>
      <c r="K84" s="281"/>
      <c r="L84" s="281"/>
      <c r="M84" s="281"/>
      <c r="N84" s="105"/>
      <c r="O84" s="105"/>
      <c r="P84" s="105"/>
      <c r="Q84" s="1132"/>
      <c r="R84" s="105"/>
      <c r="S84" s="143"/>
      <c r="T84" s="1047"/>
      <c r="U84" s="105"/>
      <c r="V84" s="105"/>
      <c r="W84" s="105"/>
      <c r="X84" s="105"/>
      <c r="Y84" s="105"/>
      <c r="Z84" s="105"/>
      <c r="AA84" s="105"/>
      <c r="AB84" s="105"/>
      <c r="AC84" s="105"/>
      <c r="AD84" s="105"/>
      <c r="AE84" s="105"/>
      <c r="AF84" s="105"/>
      <c r="AG84" s="105"/>
      <c r="AH84" s="1244"/>
      <c r="AI84" s="105"/>
      <c r="AJ84" s="105"/>
      <c r="AK84" s="105"/>
      <c r="AL84" s="105"/>
      <c r="AM84" s="105"/>
      <c r="AN84" s="105"/>
      <c r="AO84" s="105"/>
      <c r="AP84" s="306"/>
      <c r="AQ84" s="105"/>
      <c r="AR84" s="105"/>
      <c r="AS84" s="105"/>
      <c r="AT84" s="306"/>
      <c r="AU84" s="105"/>
      <c r="AV84" s="105"/>
      <c r="AW84" s="105"/>
      <c r="AX84" s="88">
        <f t="shared" ref="AX84:BD84" si="265">AX$73/AX$80</f>
        <v>0.12951116456992909</v>
      </c>
      <c r="AY84" s="87">
        <f t="shared" si="265"/>
        <v>0.12338839069421866</v>
      </c>
      <c r="AZ84" s="87">
        <f t="shared" si="265"/>
        <v>0.11571703262212649</v>
      </c>
      <c r="BA84" s="87">
        <f t="shared" si="265"/>
        <v>0.12125939900042024</v>
      </c>
      <c r="BB84" s="88">
        <f t="shared" si="265"/>
        <v>0.12013607492050402</v>
      </c>
      <c r="BC84" s="87">
        <f t="shared" si="265"/>
        <v>0.12693884543820999</v>
      </c>
      <c r="BD84" s="87">
        <f t="shared" si="265"/>
        <v>0.13009144467658049</v>
      </c>
      <c r="BE84" s="87"/>
      <c r="BF84" s="88"/>
      <c r="BG84" s="87"/>
      <c r="BH84" s="87"/>
      <c r="BI84" s="87"/>
      <c r="BJ84" s="88"/>
      <c r="BK84" s="87"/>
      <c r="BL84" s="87"/>
      <c r="BM84" s="87"/>
      <c r="BN84" s="88"/>
      <c r="BO84" s="87"/>
      <c r="BP84" s="87"/>
      <c r="BQ84" s="87"/>
      <c r="BR84" s="88"/>
      <c r="BS84" s="87"/>
      <c r="BT84" s="87"/>
      <c r="BU84" s="87"/>
      <c r="BV84" s="159"/>
      <c r="BW84" s="143"/>
      <c r="BX84" s="143"/>
      <c r="BY84" s="143"/>
      <c r="BZ84" s="159"/>
      <c r="CA84" s="143"/>
      <c r="CB84" s="143"/>
      <c r="CC84" s="143"/>
      <c r="CD84" s="159"/>
      <c r="CE84" s="143"/>
      <c r="CF84" s="143"/>
      <c r="CG84" s="143"/>
      <c r="CH84" s="159"/>
      <c r="CI84" s="143"/>
      <c r="CJ84" s="143"/>
      <c r="CK84" s="143"/>
      <c r="CL84" s="159"/>
      <c r="CM84" s="143"/>
      <c r="CN84" s="143"/>
      <c r="CO84" s="143"/>
      <c r="CP84" s="159"/>
      <c r="CQ84" s="143"/>
      <c r="CR84" s="143"/>
      <c r="CS84" s="143"/>
      <c r="CT84" s="159"/>
      <c r="CU84" s="143"/>
      <c r="CV84" s="143"/>
      <c r="CW84" s="189"/>
      <c r="CX84" s="143"/>
      <c r="CY84" s="143"/>
      <c r="CZ84" s="143"/>
      <c r="DA84" s="143"/>
      <c r="DB84" s="159"/>
      <c r="DC84" s="143"/>
      <c r="DD84" s="143"/>
      <c r="DE84" s="143"/>
      <c r="DF84" s="159"/>
      <c r="DG84" s="1047"/>
      <c r="DH84" s="1047"/>
      <c r="DI84" s="189"/>
      <c r="DJ84" s="159"/>
      <c r="DK84" s="1047"/>
      <c r="DL84" s="1047"/>
      <c r="DM84" s="189"/>
      <c r="DN84" s="1047"/>
      <c r="DO84" s="1047"/>
      <c r="DP84" s="1047"/>
      <c r="DQ84" s="189"/>
      <c r="DR84" s="1047"/>
      <c r="DS84" s="1047"/>
      <c r="DT84" s="1047"/>
      <c r="DU84" s="1047"/>
      <c r="DV84" s="1047"/>
      <c r="DW84" s="1047"/>
      <c r="DX84" s="1047"/>
      <c r="DY84" s="189"/>
      <c r="DZ84" s="87"/>
    </row>
    <row r="85" spans="1:130" hidden="1" outlineLevel="1">
      <c r="A85" s="88" t="s">
        <v>518</v>
      </c>
      <c r="B85" s="105"/>
      <c r="C85" s="105"/>
      <c r="D85" s="105"/>
      <c r="E85" s="87">
        <f>E$67/E$80</f>
        <v>0.10003321728259747</v>
      </c>
      <c r="F85" s="87">
        <f>F$67/F$80</f>
        <v>0.1052495761563508</v>
      </c>
      <c r="G85" s="87">
        <f>G$67/G$80</f>
        <v>0.10944667052732629</v>
      </c>
      <c r="H85" s="143"/>
      <c r="I85" s="281"/>
      <c r="J85" s="281"/>
      <c r="K85" s="281"/>
      <c r="L85" s="281"/>
      <c r="M85" s="281"/>
      <c r="N85" s="105"/>
      <c r="O85" s="105"/>
      <c r="P85" s="105"/>
      <c r="Q85" s="1132"/>
      <c r="R85" s="105"/>
      <c r="S85" s="143"/>
      <c r="T85" s="1047"/>
      <c r="U85" s="105"/>
      <c r="V85" s="105"/>
      <c r="W85" s="105"/>
      <c r="X85" s="105"/>
      <c r="Y85" s="105"/>
      <c r="Z85" s="105"/>
      <c r="AA85" s="105"/>
      <c r="AB85" s="105"/>
      <c r="AC85" s="105"/>
      <c r="AD85" s="105"/>
      <c r="AE85" s="105"/>
      <c r="AF85" s="105"/>
      <c r="AG85" s="105"/>
      <c r="AH85" s="1244"/>
      <c r="AI85" s="105"/>
      <c r="AJ85" s="105"/>
      <c r="AK85" s="105"/>
      <c r="AL85" s="105"/>
      <c r="AM85" s="105"/>
      <c r="AN85" s="105"/>
      <c r="AO85" s="105"/>
      <c r="AP85" s="306"/>
      <c r="AQ85" s="105"/>
      <c r="AR85" s="105"/>
      <c r="AS85" s="105"/>
      <c r="AT85" s="306"/>
      <c r="AU85" s="105"/>
      <c r="AV85" s="105"/>
      <c r="AW85" s="105"/>
      <c r="AX85" s="88">
        <f t="shared" ref="AX85:BD85" si="266">AX$67/AX$80</f>
        <v>0.11228402628984352</v>
      </c>
      <c r="AY85" s="87">
        <f t="shared" si="266"/>
        <v>0.10078777334051307</v>
      </c>
      <c r="AZ85" s="87">
        <f t="shared" si="266"/>
        <v>0.1136521319686267</v>
      </c>
      <c r="BA85" s="87">
        <f t="shared" si="266"/>
        <v>0.11064221659946179</v>
      </c>
      <c r="BB85" s="88">
        <f t="shared" si="266"/>
        <v>0.10495055785959542</v>
      </c>
      <c r="BC85" s="87">
        <f t="shared" si="266"/>
        <v>9.6419336459657293E-2</v>
      </c>
      <c r="BD85" s="87">
        <f t="shared" si="266"/>
        <v>0.10677107490643212</v>
      </c>
      <c r="BE85" s="87"/>
      <c r="BF85" s="88"/>
      <c r="BG85" s="87"/>
      <c r="BH85" s="87"/>
      <c r="BI85" s="87"/>
      <c r="BJ85" s="88"/>
      <c r="BK85" s="87"/>
      <c r="BL85" s="87"/>
      <c r="BM85" s="87"/>
      <c r="BN85" s="88"/>
      <c r="BO85" s="87"/>
      <c r="BP85" s="87"/>
      <c r="BQ85" s="87"/>
      <c r="BR85" s="88"/>
      <c r="BS85" s="87"/>
      <c r="BT85" s="87"/>
      <c r="BU85" s="87"/>
      <c r="BV85" s="159"/>
      <c r="BW85" s="143"/>
      <c r="BX85" s="143"/>
      <c r="BY85" s="143"/>
      <c r="BZ85" s="159"/>
      <c r="CA85" s="143"/>
      <c r="CB85" s="143"/>
      <c r="CC85" s="143"/>
      <c r="CD85" s="159"/>
      <c r="CE85" s="143"/>
      <c r="CF85" s="143"/>
      <c r="CG85" s="143"/>
      <c r="CH85" s="159"/>
      <c r="CI85" s="143"/>
      <c r="CJ85" s="143"/>
      <c r="CK85" s="143"/>
      <c r="CL85" s="159"/>
      <c r="CM85" s="143"/>
      <c r="CN85" s="143"/>
      <c r="CO85" s="143"/>
      <c r="CP85" s="159"/>
      <c r="CQ85" s="143"/>
      <c r="CR85" s="143"/>
      <c r="CS85" s="143"/>
      <c r="CT85" s="159"/>
      <c r="CU85" s="143"/>
      <c r="CV85" s="143"/>
      <c r="CW85" s="189"/>
      <c r="CX85" s="143"/>
      <c r="CY85" s="143"/>
      <c r="CZ85" s="143"/>
      <c r="DA85" s="143"/>
      <c r="DB85" s="159"/>
      <c r="DC85" s="143"/>
      <c r="DD85" s="143"/>
      <c r="DE85" s="143"/>
      <c r="DF85" s="159"/>
      <c r="DG85" s="1047"/>
      <c r="DH85" s="1047"/>
      <c r="DI85" s="189"/>
      <c r="DJ85" s="159"/>
      <c r="DK85" s="1047"/>
      <c r="DL85" s="1047"/>
      <c r="DM85" s="189"/>
      <c r="DN85" s="1047"/>
      <c r="DO85" s="1047"/>
      <c r="DP85" s="1047"/>
      <c r="DQ85" s="189"/>
      <c r="DR85" s="1047"/>
      <c r="DS85" s="1047"/>
      <c r="DT85" s="1047"/>
      <c r="DU85" s="1047"/>
      <c r="DV85" s="1047"/>
      <c r="DW85" s="1047"/>
      <c r="DX85" s="1047"/>
      <c r="DY85" s="189"/>
      <c r="DZ85" s="87"/>
    </row>
    <row r="86" spans="1:130" hidden="1" outlineLevel="1">
      <c r="A86" s="88" t="s">
        <v>527</v>
      </c>
      <c r="B86" s="105"/>
      <c r="C86" s="105"/>
      <c r="D86" s="105"/>
      <c r="E86" s="87">
        <f>E$76/E$80</f>
        <v>9.5800015941244696E-2</v>
      </c>
      <c r="F86" s="87">
        <f>F$76/F$80</f>
        <v>0.1062637583677075</v>
      </c>
      <c r="G86" s="87">
        <f>G$76/G$80</f>
        <v>0.10942503005861105</v>
      </c>
      <c r="H86" s="143"/>
      <c r="I86" s="281"/>
      <c r="J86" s="281"/>
      <c r="K86" s="281"/>
      <c r="L86" s="281"/>
      <c r="M86" s="281"/>
      <c r="N86" s="105"/>
      <c r="O86" s="105"/>
      <c r="P86" s="105"/>
      <c r="Q86" s="1132"/>
      <c r="R86" s="105"/>
      <c r="S86" s="143"/>
      <c r="T86" s="1047"/>
      <c r="U86" s="105"/>
      <c r="V86" s="105"/>
      <c r="W86" s="105"/>
      <c r="X86" s="105"/>
      <c r="Y86" s="105"/>
      <c r="Z86" s="105"/>
      <c r="AA86" s="105"/>
      <c r="AB86" s="105"/>
      <c r="AC86" s="105"/>
      <c r="AD86" s="105"/>
      <c r="AE86" s="105"/>
      <c r="AF86" s="105"/>
      <c r="AG86" s="105"/>
      <c r="AH86" s="1244"/>
      <c r="AI86" s="105"/>
      <c r="AJ86" s="105"/>
      <c r="AK86" s="105"/>
      <c r="AL86" s="105"/>
      <c r="AM86" s="105"/>
      <c r="AN86" s="105"/>
      <c r="AO86" s="105"/>
      <c r="AP86" s="306"/>
      <c r="AQ86" s="105"/>
      <c r="AR86" s="105"/>
      <c r="AS86" s="105"/>
      <c r="AT86" s="306"/>
      <c r="AU86" s="105"/>
      <c r="AV86" s="105"/>
      <c r="AW86" s="105"/>
      <c r="AX86" s="88">
        <f t="shared" ref="AX86:BD86" si="267">AX$76/AX$80</f>
        <v>0.10736198678124764</v>
      </c>
      <c r="AY86" s="87">
        <f t="shared" si="267"/>
        <v>0.11282008581829561</v>
      </c>
      <c r="AZ86" s="87">
        <f t="shared" si="267"/>
        <v>0.10679666179900751</v>
      </c>
      <c r="BA86" s="87">
        <f t="shared" si="267"/>
        <v>0.11053045678471483</v>
      </c>
      <c r="BB86" s="88">
        <f t="shared" si="267"/>
        <v>0.11569540152410256</v>
      </c>
      <c r="BC86" s="87">
        <f t="shared" si="267"/>
        <v>0.1211616537908338</v>
      </c>
      <c r="BD86" s="87">
        <f t="shared" si="267"/>
        <v>0.10980161424264791</v>
      </c>
      <c r="BE86" s="87"/>
      <c r="BF86" s="88"/>
      <c r="BG86" s="87"/>
      <c r="BH86" s="87"/>
      <c r="BI86" s="87"/>
      <c r="BJ86" s="88"/>
      <c r="BK86" s="87"/>
      <c r="BL86" s="87"/>
      <c r="BM86" s="87"/>
      <c r="BN86" s="88"/>
      <c r="BO86" s="87"/>
      <c r="BP86" s="87"/>
      <c r="BQ86" s="87"/>
      <c r="BR86" s="88"/>
      <c r="BS86" s="87"/>
      <c r="BT86" s="87"/>
      <c r="BU86" s="87"/>
      <c r="BV86" s="159"/>
      <c r="BW86" s="143"/>
      <c r="BX86" s="143"/>
      <c r="BY86" s="143"/>
      <c r="BZ86" s="159"/>
      <c r="CA86" s="143"/>
      <c r="CB86" s="143"/>
      <c r="CC86" s="143"/>
      <c r="CD86" s="159"/>
      <c r="CE86" s="143"/>
      <c r="CF86" s="143"/>
      <c r="CG86" s="143"/>
      <c r="CH86" s="159"/>
      <c r="CI86" s="143"/>
      <c r="CJ86" s="143"/>
      <c r="CK86" s="143"/>
      <c r="CL86" s="159"/>
      <c r="CM86" s="143"/>
      <c r="CN86" s="143"/>
      <c r="CO86" s="143"/>
      <c r="CP86" s="159"/>
      <c r="CQ86" s="143"/>
      <c r="CR86" s="143"/>
      <c r="CS86" s="143"/>
      <c r="CT86" s="159"/>
      <c r="CU86" s="143"/>
      <c r="CV86" s="143"/>
      <c r="CW86" s="189"/>
      <c r="CX86" s="143"/>
      <c r="CY86" s="143"/>
      <c r="CZ86" s="143"/>
      <c r="DA86" s="143"/>
      <c r="DB86" s="159"/>
      <c r="DC86" s="143"/>
      <c r="DD86" s="143"/>
      <c r="DE86" s="143"/>
      <c r="DF86" s="159"/>
      <c r="DG86" s="1047"/>
      <c r="DH86" s="1047"/>
      <c r="DI86" s="189"/>
      <c r="DJ86" s="159"/>
      <c r="DK86" s="1047"/>
      <c r="DL86" s="1047"/>
      <c r="DM86" s="189"/>
      <c r="DN86" s="1047"/>
      <c r="DO86" s="1047"/>
      <c r="DP86" s="1047"/>
      <c r="DQ86" s="189"/>
      <c r="DR86" s="1047"/>
      <c r="DS86" s="1047"/>
      <c r="DT86" s="1047"/>
      <c r="DU86" s="1047"/>
      <c r="DV86" s="1047"/>
      <c r="DW86" s="1047"/>
      <c r="DX86" s="1047"/>
      <c r="DY86" s="189"/>
      <c r="DZ86" s="87"/>
    </row>
    <row r="87" spans="1:130" hidden="1" outlineLevel="1">
      <c r="A87" s="88" t="s">
        <v>525</v>
      </c>
      <c r="B87" s="105"/>
      <c r="C87" s="105"/>
      <c r="D87" s="105"/>
      <c r="E87" s="87">
        <f>E$74/E$80</f>
        <v>9.0028624322703685E-2</v>
      </c>
      <c r="F87" s="87">
        <f>F$74/F$80</f>
        <v>8.5935039375624342E-2</v>
      </c>
      <c r="G87" s="87">
        <f>G$74/G$80</f>
        <v>7.4042863709193649E-2</v>
      </c>
      <c r="H87" s="143"/>
      <c r="I87" s="281"/>
      <c r="J87" s="281"/>
      <c r="K87" s="281"/>
      <c r="L87" s="281"/>
      <c r="M87" s="281"/>
      <c r="N87" s="105"/>
      <c r="O87" s="105"/>
      <c r="P87" s="105"/>
      <c r="Q87" s="1132"/>
      <c r="R87" s="105"/>
      <c r="S87" s="143"/>
      <c r="T87" s="1047"/>
      <c r="U87" s="105"/>
      <c r="V87" s="105"/>
      <c r="W87" s="105"/>
      <c r="X87" s="105"/>
      <c r="Y87" s="105"/>
      <c r="Z87" s="105"/>
      <c r="AA87" s="105"/>
      <c r="AB87" s="105"/>
      <c r="AC87" s="105"/>
      <c r="AD87" s="105"/>
      <c r="AE87" s="105"/>
      <c r="AF87" s="105"/>
      <c r="AG87" s="105"/>
      <c r="AH87" s="1244"/>
      <c r="AI87" s="105"/>
      <c r="AJ87" s="105"/>
      <c r="AK87" s="105"/>
      <c r="AL87" s="105"/>
      <c r="AM87" s="105"/>
      <c r="AN87" s="105"/>
      <c r="AO87" s="105"/>
      <c r="AP87" s="306"/>
      <c r="AQ87" s="105"/>
      <c r="AR87" s="105"/>
      <c r="AS87" s="105"/>
      <c r="AT87" s="306"/>
      <c r="AU87" s="105"/>
      <c r="AV87" s="105"/>
      <c r="AW87" s="105"/>
      <c r="AX87" s="88">
        <f t="shared" ref="AX87:BD87" si="268">AX$74/AX$80</f>
        <v>8.2136534299693753E-2</v>
      </c>
      <c r="AY87" s="87">
        <f t="shared" si="268"/>
        <v>7.8232906224365573E-2</v>
      </c>
      <c r="AZ87" s="87">
        <f t="shared" si="268"/>
        <v>7.5327575839671201E-2</v>
      </c>
      <c r="BA87" s="87">
        <f t="shared" si="268"/>
        <v>6.3591334591003773E-2</v>
      </c>
      <c r="BB87" s="88">
        <f t="shared" si="268"/>
        <v>6.8473597817726217E-2</v>
      </c>
      <c r="BC87" s="87">
        <f t="shared" si="268"/>
        <v>7.0202839190874444E-2</v>
      </c>
      <c r="BD87" s="87">
        <f t="shared" si="268"/>
        <v>7.3509057801624589E-2</v>
      </c>
      <c r="BE87" s="87"/>
      <c r="BF87" s="88"/>
      <c r="BG87" s="87"/>
      <c r="BH87" s="87"/>
      <c r="BI87" s="87"/>
      <c r="BJ87" s="88"/>
      <c r="BK87" s="87"/>
      <c r="BL87" s="87"/>
      <c r="BM87" s="87"/>
      <c r="BN87" s="88"/>
      <c r="BO87" s="87"/>
      <c r="BP87" s="87"/>
      <c r="BQ87" s="87"/>
      <c r="BR87" s="88"/>
      <c r="BS87" s="87"/>
      <c r="BT87" s="87"/>
      <c r="BU87" s="87"/>
      <c r="BV87" s="159"/>
      <c r="BW87" s="143"/>
      <c r="BX87" s="143"/>
      <c r="BY87" s="143"/>
      <c r="BZ87" s="159"/>
      <c r="CA87" s="143"/>
      <c r="CB87" s="143"/>
      <c r="CC87" s="143"/>
      <c r="CD87" s="159"/>
      <c r="CE87" s="143"/>
      <c r="CF87" s="143"/>
      <c r="CG87" s="143"/>
      <c r="CH87" s="159"/>
      <c r="CI87" s="143"/>
      <c r="CJ87" s="143"/>
      <c r="CK87" s="143"/>
      <c r="CL87" s="159"/>
      <c r="CM87" s="143"/>
      <c r="CN87" s="143"/>
      <c r="CO87" s="143"/>
      <c r="CP87" s="159"/>
      <c r="CQ87" s="143"/>
      <c r="CR87" s="143"/>
      <c r="CS87" s="143"/>
      <c r="CT87" s="159"/>
      <c r="CU87" s="143"/>
      <c r="CV87" s="143"/>
      <c r="CW87" s="189"/>
      <c r="CX87" s="143"/>
      <c r="CY87" s="143"/>
      <c r="CZ87" s="143"/>
      <c r="DA87" s="143"/>
      <c r="DB87" s="159"/>
      <c r="DC87" s="143"/>
      <c r="DD87" s="143"/>
      <c r="DE87" s="143"/>
      <c r="DF87" s="159"/>
      <c r="DG87" s="1047"/>
      <c r="DH87" s="1047"/>
      <c r="DI87" s="189"/>
      <c r="DJ87" s="159"/>
      <c r="DK87" s="1047"/>
      <c r="DL87" s="1047"/>
      <c r="DM87" s="189"/>
      <c r="DN87" s="1047"/>
      <c r="DO87" s="1047"/>
      <c r="DP87" s="1047"/>
      <c r="DQ87" s="189"/>
      <c r="DR87" s="1047"/>
      <c r="DS87" s="1047"/>
      <c r="DT87" s="1047"/>
      <c r="DU87" s="1047"/>
      <c r="DV87" s="1047"/>
      <c r="DW87" s="1047"/>
      <c r="DX87" s="1047"/>
      <c r="DY87" s="189"/>
      <c r="DZ87" s="87"/>
    </row>
    <row r="88" spans="1:130" hidden="1" outlineLevel="1">
      <c r="A88" s="88" t="s">
        <v>528</v>
      </c>
      <c r="B88" s="105"/>
      <c r="C88" s="105"/>
      <c r="D88" s="105"/>
      <c r="E88" s="87">
        <f>E$77/E$80</f>
        <v>6.3396321589568372E-2</v>
      </c>
      <c r="F88" s="87">
        <f>F$77/F$80</f>
        <v>6.6158486254168702E-2</v>
      </c>
      <c r="G88" s="87">
        <f>G$77/G$80</f>
        <v>6.2378651071679295E-2</v>
      </c>
      <c r="H88" s="143"/>
      <c r="I88" s="281"/>
      <c r="J88" s="281"/>
      <c r="K88" s="281"/>
      <c r="L88" s="281"/>
      <c r="M88" s="281"/>
      <c r="N88" s="105"/>
      <c r="O88" s="105"/>
      <c r="P88" s="105"/>
      <c r="Q88" s="1132"/>
      <c r="R88" s="105"/>
      <c r="S88" s="143"/>
      <c r="T88" s="1047"/>
      <c r="U88" s="105"/>
      <c r="V88" s="105"/>
      <c r="W88" s="105"/>
      <c r="X88" s="105"/>
      <c r="Y88" s="105"/>
      <c r="Z88" s="105"/>
      <c r="AA88" s="105"/>
      <c r="AB88" s="105"/>
      <c r="AC88" s="105"/>
      <c r="AD88" s="105"/>
      <c r="AE88" s="105"/>
      <c r="AF88" s="105"/>
      <c r="AG88" s="105"/>
      <c r="AH88" s="1244"/>
      <c r="AI88" s="105"/>
      <c r="AJ88" s="105"/>
      <c r="AK88" s="105"/>
      <c r="AL88" s="105"/>
      <c r="AM88" s="105"/>
      <c r="AN88" s="105"/>
      <c r="AO88" s="105"/>
      <c r="AP88" s="306"/>
      <c r="AQ88" s="105"/>
      <c r="AR88" s="105"/>
      <c r="AS88" s="105"/>
      <c r="AT88" s="306"/>
      <c r="AU88" s="105"/>
      <c r="AV88" s="105"/>
      <c r="AW88" s="105"/>
      <c r="AX88" s="88">
        <f t="shared" ref="AX88:BD88" si="269">AX$77/AX$80</f>
        <v>6.6857703325094039E-2</v>
      </c>
      <c r="AY88" s="87">
        <f t="shared" si="269"/>
        <v>6.3043827355073537E-2</v>
      </c>
      <c r="AZ88" s="87">
        <f t="shared" si="269"/>
        <v>5.7775920284923253E-2</v>
      </c>
      <c r="BA88" s="87">
        <f t="shared" si="269"/>
        <v>6.2734509344610653E-2</v>
      </c>
      <c r="BB88" s="88">
        <f t="shared" si="269"/>
        <v>7.2240240430745312E-2</v>
      </c>
      <c r="BC88" s="87">
        <f t="shared" si="269"/>
        <v>7.6338615147398092E-2</v>
      </c>
      <c r="BD88" s="87">
        <f t="shared" si="269"/>
        <v>6.3826115044447296E-2</v>
      </c>
      <c r="BE88" s="87"/>
      <c r="BF88" s="88"/>
      <c r="BG88" s="87"/>
      <c r="BH88" s="87"/>
      <c r="BI88" s="87"/>
      <c r="BJ88" s="88"/>
      <c r="BK88" s="87"/>
      <c r="BL88" s="87"/>
      <c r="BM88" s="87"/>
      <c r="BN88" s="88"/>
      <c r="BO88" s="87"/>
      <c r="BP88" s="87"/>
      <c r="BQ88" s="87"/>
      <c r="BR88" s="88"/>
      <c r="BS88" s="87"/>
      <c r="BT88" s="87"/>
      <c r="BU88" s="87"/>
      <c r="BV88" s="159"/>
      <c r="BW88" s="143"/>
      <c r="BX88" s="143"/>
      <c r="BY88" s="143"/>
      <c r="BZ88" s="159"/>
      <c r="CA88" s="143"/>
      <c r="CB88" s="143"/>
      <c r="CC88" s="143"/>
      <c r="CD88" s="159"/>
      <c r="CE88" s="143"/>
      <c r="CF88" s="143"/>
      <c r="CG88" s="143"/>
      <c r="CH88" s="159"/>
      <c r="CI88" s="143"/>
      <c r="CJ88" s="143"/>
      <c r="CK88" s="143"/>
      <c r="CL88" s="159"/>
      <c r="CM88" s="143"/>
      <c r="CN88" s="143"/>
      <c r="CO88" s="143"/>
      <c r="CP88" s="159"/>
      <c r="CQ88" s="143"/>
      <c r="CR88" s="143"/>
      <c r="CS88" s="143"/>
      <c r="CT88" s="159"/>
      <c r="CU88" s="143"/>
      <c r="CV88" s="143"/>
      <c r="CW88" s="189"/>
      <c r="CX88" s="143"/>
      <c r="CY88" s="143"/>
      <c r="CZ88" s="143"/>
      <c r="DA88" s="143"/>
      <c r="DB88" s="159"/>
      <c r="DC88" s="143"/>
      <c r="DD88" s="143"/>
      <c r="DE88" s="143"/>
      <c r="DF88" s="159"/>
      <c r="DG88" s="1047"/>
      <c r="DH88" s="1047"/>
      <c r="DI88" s="189"/>
      <c r="DJ88" s="159"/>
      <c r="DK88" s="1047"/>
      <c r="DL88" s="1047"/>
      <c r="DM88" s="189"/>
      <c r="DN88" s="1047"/>
      <c r="DO88" s="1047"/>
      <c r="DP88" s="1047"/>
      <c r="DQ88" s="189"/>
      <c r="DR88" s="1047"/>
      <c r="DS88" s="1047"/>
      <c r="DT88" s="1047"/>
      <c r="DU88" s="1047"/>
      <c r="DV88" s="1047"/>
      <c r="DW88" s="1047"/>
      <c r="DX88" s="1047"/>
      <c r="DY88" s="189"/>
      <c r="DZ88" s="87"/>
    </row>
    <row r="89" spans="1:130" hidden="1" outlineLevel="1">
      <c r="A89" s="88" t="s">
        <v>519</v>
      </c>
      <c r="B89" s="105"/>
      <c r="C89" s="105"/>
      <c r="D89" s="105"/>
      <c r="E89" s="87">
        <f>E$68/E$80</f>
        <v>8.0011319046469492E-2</v>
      </c>
      <c r="F89" s="87">
        <f>F$68/F$80</f>
        <v>7.8080761583228561E-2</v>
      </c>
      <c r="G89" s="87">
        <f>G$68/G$80</f>
        <v>6.2335370134248815E-2</v>
      </c>
      <c r="H89" s="143"/>
      <c r="I89" s="281"/>
      <c r="J89" s="281"/>
      <c r="K89" s="281"/>
      <c r="L89" s="281"/>
      <c r="M89" s="281"/>
      <c r="N89" s="105"/>
      <c r="O89" s="105"/>
      <c r="P89" s="105"/>
      <c r="Q89" s="1132"/>
      <c r="R89" s="105"/>
      <c r="S89" s="143"/>
      <c r="T89" s="1047"/>
      <c r="U89" s="105"/>
      <c r="V89" s="105"/>
      <c r="W89" s="105"/>
      <c r="X89" s="105"/>
      <c r="Y89" s="105"/>
      <c r="Z89" s="105"/>
      <c r="AA89" s="105"/>
      <c r="AB89" s="105"/>
      <c r="AC89" s="105"/>
      <c r="AD89" s="105"/>
      <c r="AE89" s="105"/>
      <c r="AF89" s="105"/>
      <c r="AG89" s="105"/>
      <c r="AH89" s="1244"/>
      <c r="AI89" s="105"/>
      <c r="AJ89" s="105"/>
      <c r="AK89" s="105"/>
      <c r="AL89" s="105"/>
      <c r="AM89" s="105"/>
      <c r="AN89" s="105"/>
      <c r="AO89" s="105"/>
      <c r="AP89" s="306"/>
      <c r="AQ89" s="105"/>
      <c r="AR89" s="105"/>
      <c r="AS89" s="105"/>
      <c r="AT89" s="306"/>
      <c r="AU89" s="105"/>
      <c r="AV89" s="105"/>
      <c r="AW89" s="105"/>
      <c r="AX89" s="88">
        <f t="shared" ref="AX89:BD89" si="270">AX$68/AX$80</f>
        <v>5.8397947919694874E-2</v>
      </c>
      <c r="AY89" s="87">
        <f t="shared" si="270"/>
        <v>6.8579606099604673E-2</v>
      </c>
      <c r="AZ89" s="87">
        <f t="shared" si="270"/>
        <v>6.256648980104268E-2</v>
      </c>
      <c r="BA89" s="87">
        <f t="shared" si="270"/>
        <v>5.9903260704355074E-2</v>
      </c>
      <c r="BB89" s="88">
        <f t="shared" si="270"/>
        <v>5.9592251024923285E-2</v>
      </c>
      <c r="BC89" s="87">
        <f t="shared" si="270"/>
        <v>6.0720276348974256E-2</v>
      </c>
      <c r="BD89" s="87">
        <f t="shared" si="270"/>
        <v>6.6524034209615016E-2</v>
      </c>
      <c r="BE89" s="87"/>
      <c r="BF89" s="88"/>
      <c r="BG89" s="87"/>
      <c r="BH89" s="87"/>
      <c r="BI89" s="87"/>
      <c r="BJ89" s="88"/>
      <c r="BK89" s="87"/>
      <c r="BL89" s="87"/>
      <c r="BM89" s="87"/>
      <c r="BN89" s="88"/>
      <c r="BO89" s="87"/>
      <c r="BP89" s="87"/>
      <c r="BQ89" s="87"/>
      <c r="BR89" s="88"/>
      <c r="BS89" s="87"/>
      <c r="BT89" s="87"/>
      <c r="BU89" s="87"/>
      <c r="BV89" s="159"/>
      <c r="BW89" s="143"/>
      <c r="BX89" s="143"/>
      <c r="BY89" s="143"/>
      <c r="BZ89" s="159"/>
      <c r="CA89" s="143"/>
      <c r="CB89" s="143"/>
      <c r="CC89" s="143"/>
      <c r="CD89" s="159"/>
      <c r="CE89" s="143"/>
      <c r="CF89" s="143"/>
      <c r="CG89" s="143"/>
      <c r="CH89" s="159"/>
      <c r="CI89" s="143"/>
      <c r="CJ89" s="143"/>
      <c r="CK89" s="143"/>
      <c r="CL89" s="159"/>
      <c r="CM89" s="143"/>
      <c r="CN89" s="143"/>
      <c r="CO89" s="143"/>
      <c r="CP89" s="159"/>
      <c r="CQ89" s="143"/>
      <c r="CR89" s="143"/>
      <c r="CS89" s="143"/>
      <c r="CT89" s="159"/>
      <c r="CU89" s="143"/>
      <c r="CV89" s="143"/>
      <c r="CW89" s="189"/>
      <c r="CX89" s="143"/>
      <c r="CY89" s="143"/>
      <c r="CZ89" s="143"/>
      <c r="DA89" s="143"/>
      <c r="DB89" s="159"/>
      <c r="DC89" s="143"/>
      <c r="DD89" s="143"/>
      <c r="DE89" s="143"/>
      <c r="DF89" s="159"/>
      <c r="DG89" s="1047"/>
      <c r="DH89" s="1047"/>
      <c r="DI89" s="189"/>
      <c r="DJ89" s="159"/>
      <c r="DK89" s="1047"/>
      <c r="DL89" s="1047"/>
      <c r="DM89" s="189"/>
      <c r="DN89" s="1047"/>
      <c r="DO89" s="1047"/>
      <c r="DP89" s="1047"/>
      <c r="DQ89" s="189"/>
      <c r="DR89" s="1047"/>
      <c r="DS89" s="1047"/>
      <c r="DT89" s="1047"/>
      <c r="DU89" s="1047"/>
      <c r="DV89" s="1047"/>
      <c r="DW89" s="1047"/>
      <c r="DX89" s="1047"/>
      <c r="DY89" s="189"/>
      <c r="DZ89" s="87"/>
    </row>
    <row r="90" spans="1:130" hidden="1" outlineLevel="1">
      <c r="A90" s="88" t="s">
        <v>523</v>
      </c>
      <c r="B90" s="105"/>
      <c r="C90" s="105"/>
      <c r="D90" s="105"/>
      <c r="E90" s="87">
        <f>E$72/E$80</f>
        <v>6.2099665322847705E-2</v>
      </c>
      <c r="F90" s="87">
        <f>F$72/F$80</f>
        <v>6.0693171004079817E-2</v>
      </c>
      <c r="G90" s="87">
        <f>G$72/G$80</f>
        <v>5.9998199513002892E-2</v>
      </c>
      <c r="H90" s="143"/>
      <c r="I90" s="281"/>
      <c r="J90" s="281"/>
      <c r="K90" s="281"/>
      <c r="L90" s="281"/>
      <c r="M90" s="281"/>
      <c r="N90" s="105"/>
      <c r="O90" s="105"/>
      <c r="P90" s="105"/>
      <c r="Q90" s="1132"/>
      <c r="R90" s="105"/>
      <c r="S90" s="143"/>
      <c r="T90" s="1047"/>
      <c r="U90" s="105"/>
      <c r="V90" s="105"/>
      <c r="W90" s="105"/>
      <c r="X90" s="105"/>
      <c r="Y90" s="105"/>
      <c r="Z90" s="105"/>
      <c r="AA90" s="105"/>
      <c r="AB90" s="105"/>
      <c r="AC90" s="105"/>
      <c r="AD90" s="105"/>
      <c r="AE90" s="105"/>
      <c r="AF90" s="105"/>
      <c r="AG90" s="105"/>
      <c r="AH90" s="1244"/>
      <c r="AI90" s="105"/>
      <c r="AJ90" s="105"/>
      <c r="AK90" s="105"/>
      <c r="AL90" s="105"/>
      <c r="AM90" s="105"/>
      <c r="AN90" s="105"/>
      <c r="AO90" s="105"/>
      <c r="AP90" s="306"/>
      <c r="AQ90" s="105"/>
      <c r="AR90" s="105"/>
      <c r="AS90" s="105"/>
      <c r="AT90" s="306"/>
      <c r="AU90" s="105"/>
      <c r="AV90" s="105"/>
      <c r="AW90" s="105"/>
      <c r="AX90" s="88">
        <f t="shared" ref="AX90:BD90" si="271">AX$72/AX$80</f>
        <v>5.5065317002416417E-2</v>
      </c>
      <c r="AY90" s="87">
        <f t="shared" si="271"/>
        <v>6.3409829255538411E-2</v>
      </c>
      <c r="AZ90" s="87">
        <f t="shared" si="271"/>
        <v>5.6371787840543405E-2</v>
      </c>
      <c r="BA90" s="87">
        <f t="shared" si="271"/>
        <v>6.407562712157383E-2</v>
      </c>
      <c r="BB90" s="88">
        <f t="shared" si="271"/>
        <v>7.6244776261428795E-2</v>
      </c>
      <c r="BC90" s="87">
        <f t="shared" si="271"/>
        <v>7.6896412961627511E-2</v>
      </c>
      <c r="BD90" s="87">
        <f t="shared" si="271"/>
        <v>6.8408881845554104E-2</v>
      </c>
      <c r="BE90" s="87"/>
      <c r="BF90" s="88"/>
      <c r="BG90" s="87"/>
      <c r="BH90" s="87"/>
      <c r="BI90" s="87"/>
      <c r="BJ90" s="88"/>
      <c r="BK90" s="87"/>
      <c r="BL90" s="87"/>
      <c r="BM90" s="87"/>
      <c r="BN90" s="88"/>
      <c r="BO90" s="87"/>
      <c r="BP90" s="87"/>
      <c r="BQ90" s="87"/>
      <c r="BR90" s="88"/>
      <c r="BS90" s="87"/>
      <c r="BT90" s="87"/>
      <c r="BU90" s="87"/>
      <c r="BV90" s="159"/>
      <c r="BW90" s="143"/>
      <c r="BX90" s="143"/>
      <c r="BY90" s="143"/>
      <c r="BZ90" s="159"/>
      <c r="CA90" s="143"/>
      <c r="CB90" s="143"/>
      <c r="CC90" s="143"/>
      <c r="CD90" s="159"/>
      <c r="CE90" s="143"/>
      <c r="CF90" s="143"/>
      <c r="CG90" s="143"/>
      <c r="CH90" s="159"/>
      <c r="CI90" s="143"/>
      <c r="CJ90" s="143"/>
      <c r="CK90" s="143"/>
      <c r="CL90" s="159"/>
      <c r="CM90" s="143"/>
      <c r="CN90" s="143"/>
      <c r="CO90" s="143"/>
      <c r="CP90" s="159"/>
      <c r="CQ90" s="143"/>
      <c r="CR90" s="143"/>
      <c r="CS90" s="143"/>
      <c r="CT90" s="159"/>
      <c r="CU90" s="143"/>
      <c r="CV90" s="143"/>
      <c r="CW90" s="189"/>
      <c r="CX90" s="143"/>
      <c r="CY90" s="143"/>
      <c r="CZ90" s="143"/>
      <c r="DA90" s="143"/>
      <c r="DB90" s="159"/>
      <c r="DC90" s="143"/>
      <c r="DD90" s="143"/>
      <c r="DE90" s="143"/>
      <c r="DF90" s="159"/>
      <c r="DG90" s="1047"/>
      <c r="DH90" s="1047"/>
      <c r="DI90" s="189"/>
      <c r="DJ90" s="159"/>
      <c r="DK90" s="1047"/>
      <c r="DL90" s="1047"/>
      <c r="DM90" s="189"/>
      <c r="DN90" s="1047"/>
      <c r="DO90" s="1047"/>
      <c r="DP90" s="1047"/>
      <c r="DQ90" s="189"/>
      <c r="DR90" s="1047"/>
      <c r="DS90" s="1047"/>
      <c r="DT90" s="1047"/>
      <c r="DU90" s="1047"/>
      <c r="DV90" s="1047"/>
      <c r="DW90" s="1047"/>
      <c r="DX90" s="1047"/>
      <c r="DY90" s="189"/>
      <c r="DZ90" s="87"/>
    </row>
    <row r="91" spans="1:130" hidden="1" outlineLevel="1">
      <c r="A91" s="88" t="s">
        <v>517</v>
      </c>
      <c r="B91" s="105"/>
      <c r="C91" s="105"/>
      <c r="D91" s="105"/>
      <c r="E91" s="87">
        <f>E$66/E$80</f>
        <v>3.9459029920597598E-2</v>
      </c>
      <c r="F91" s="87">
        <f>F$66/F$80</f>
        <v>3.9924973053742069E-2</v>
      </c>
      <c r="G91" s="87">
        <f>G$66/G$80</f>
        <v>3.8303629625974799E-2</v>
      </c>
      <c r="H91" s="143"/>
      <c r="I91" s="281"/>
      <c r="J91" s="281"/>
      <c r="K91" s="281"/>
      <c r="L91" s="281"/>
      <c r="M91" s="281"/>
      <c r="N91" s="105"/>
      <c r="O91" s="105"/>
      <c r="P91" s="105"/>
      <c r="Q91" s="1132"/>
      <c r="R91" s="105"/>
      <c r="S91" s="143"/>
      <c r="T91" s="1047"/>
      <c r="U91" s="105"/>
      <c r="V91" s="105"/>
      <c r="W91" s="105"/>
      <c r="X91" s="105"/>
      <c r="Y91" s="105"/>
      <c r="Z91" s="105"/>
      <c r="AA91" s="105"/>
      <c r="AB91" s="105"/>
      <c r="AC91" s="105"/>
      <c r="AD91" s="105"/>
      <c r="AE91" s="105"/>
      <c r="AF91" s="105"/>
      <c r="AG91" s="105"/>
      <c r="AH91" s="1244"/>
      <c r="AI91" s="105"/>
      <c r="AJ91" s="105"/>
      <c r="AK91" s="105"/>
      <c r="AL91" s="105"/>
      <c r="AM91" s="105"/>
      <c r="AN91" s="105"/>
      <c r="AO91" s="105"/>
      <c r="AP91" s="306"/>
      <c r="AQ91" s="105"/>
      <c r="AR91" s="105"/>
      <c r="AS91" s="105"/>
      <c r="AT91" s="306"/>
      <c r="AU91" s="105"/>
      <c r="AV91" s="105"/>
      <c r="AW91" s="105"/>
      <c r="AX91" s="88">
        <f t="shared" ref="AX91:BD91" si="272">AX$66/AX$80</f>
        <v>4.0965724660084468E-2</v>
      </c>
      <c r="AY91" s="87">
        <f t="shared" si="272"/>
        <v>4.2044468315901737E-2</v>
      </c>
      <c r="AZ91" s="87">
        <f t="shared" si="272"/>
        <v>3.7126913749925647E-2</v>
      </c>
      <c r="BA91" s="87">
        <f t="shared" si="272"/>
        <v>3.4384769670472472E-2</v>
      </c>
      <c r="BB91" s="88">
        <f t="shared" si="272"/>
        <v>3.6833799868365755E-2</v>
      </c>
      <c r="BC91" s="87">
        <f t="shared" si="272"/>
        <v>4.0838768541796994E-2</v>
      </c>
      <c r="BD91" s="87">
        <f t="shared" si="272"/>
        <v>4.2131888332756169E-2</v>
      </c>
      <c r="BE91" s="87"/>
      <c r="BF91" s="88"/>
      <c r="BG91" s="87"/>
      <c r="BH91" s="87"/>
      <c r="BI91" s="87"/>
      <c r="BJ91" s="88"/>
      <c r="BK91" s="87"/>
      <c r="BL91" s="87"/>
      <c r="BM91" s="87"/>
      <c r="BN91" s="88"/>
      <c r="BO91" s="87"/>
      <c r="BP91" s="87"/>
      <c r="BQ91" s="87"/>
      <c r="BR91" s="88"/>
      <c r="BS91" s="87"/>
      <c r="BT91" s="87"/>
      <c r="BU91" s="87"/>
      <c r="BV91" s="159"/>
      <c r="BW91" s="143"/>
      <c r="BX91" s="143"/>
      <c r="BY91" s="143"/>
      <c r="BZ91" s="159"/>
      <c r="CA91" s="143"/>
      <c r="CB91" s="143"/>
      <c r="CC91" s="143"/>
      <c r="CD91" s="159"/>
      <c r="CE91" s="143"/>
      <c r="CF91" s="143"/>
      <c r="CG91" s="143"/>
      <c r="CH91" s="159"/>
      <c r="CI91" s="143"/>
      <c r="CJ91" s="143"/>
      <c r="CK91" s="143"/>
      <c r="CL91" s="159"/>
      <c r="CM91" s="143"/>
      <c r="CN91" s="143"/>
      <c r="CO91" s="143"/>
      <c r="CP91" s="159"/>
      <c r="CQ91" s="143"/>
      <c r="CR91" s="143"/>
      <c r="CS91" s="143"/>
      <c r="CT91" s="159"/>
      <c r="CU91" s="143"/>
      <c r="CV91" s="143"/>
      <c r="CW91" s="189"/>
      <c r="CX91" s="143"/>
      <c r="CY91" s="143"/>
      <c r="CZ91" s="143"/>
      <c r="DA91" s="143"/>
      <c r="DB91" s="159"/>
      <c r="DC91" s="143"/>
      <c r="DD91" s="143"/>
      <c r="DE91" s="143"/>
      <c r="DF91" s="159"/>
      <c r="DG91" s="1047"/>
      <c r="DH91" s="1047"/>
      <c r="DI91" s="189"/>
      <c r="DJ91" s="159"/>
      <c r="DK91" s="1047"/>
      <c r="DL91" s="1047"/>
      <c r="DM91" s="189"/>
      <c r="DN91" s="1047"/>
      <c r="DO91" s="1047"/>
      <c r="DP91" s="1047"/>
      <c r="DQ91" s="189"/>
      <c r="DR91" s="1047"/>
      <c r="DS91" s="1047"/>
      <c r="DT91" s="1047"/>
      <c r="DU91" s="1047"/>
      <c r="DV91" s="1047"/>
      <c r="DW91" s="1047"/>
      <c r="DX91" s="1047"/>
      <c r="DY91" s="189"/>
      <c r="DZ91" s="87"/>
    </row>
    <row r="92" spans="1:130" hidden="1" outlineLevel="1">
      <c r="A92" s="88" t="s">
        <v>521</v>
      </c>
      <c r="B92" s="105"/>
      <c r="C92" s="105"/>
      <c r="D92" s="105"/>
      <c r="E92" s="87">
        <f>E$70/E$80</f>
        <v>5.1548442760316775E-2</v>
      </c>
      <c r="F92" s="87">
        <f>F$70/F$80</f>
        <v>4.8196192421917819E-2</v>
      </c>
      <c r="G92" s="87">
        <f>G$70/G$80</f>
        <v>3.4202760804436821E-2</v>
      </c>
      <c r="H92" s="143"/>
      <c r="I92" s="281"/>
      <c r="J92" s="281"/>
      <c r="K92" s="281"/>
      <c r="L92" s="281"/>
      <c r="M92" s="281"/>
      <c r="N92" s="105"/>
      <c r="O92" s="105"/>
      <c r="P92" s="105"/>
      <c r="Q92" s="1132"/>
      <c r="R92" s="105"/>
      <c r="S92" s="143"/>
      <c r="T92" s="1047"/>
      <c r="U92" s="105"/>
      <c r="V92" s="105"/>
      <c r="W92" s="105"/>
      <c r="X92" s="105"/>
      <c r="Y92" s="105"/>
      <c r="Z92" s="105"/>
      <c r="AA92" s="105"/>
      <c r="AB92" s="105"/>
      <c r="AC92" s="105"/>
      <c r="AD92" s="105"/>
      <c r="AE92" s="105"/>
      <c r="AF92" s="105"/>
      <c r="AG92" s="105"/>
      <c r="AH92" s="1244"/>
      <c r="AI92" s="105"/>
      <c r="AJ92" s="105"/>
      <c r="AK92" s="105"/>
      <c r="AL92" s="105"/>
      <c r="AM92" s="105"/>
      <c r="AN92" s="105"/>
      <c r="AO92" s="105"/>
      <c r="AP92" s="306"/>
      <c r="AQ92" s="105"/>
      <c r="AR92" s="105"/>
      <c r="AS92" s="105"/>
      <c r="AT92" s="306"/>
      <c r="AU92" s="105"/>
      <c r="AV92" s="105"/>
      <c r="AW92" s="105"/>
      <c r="AX92" s="88">
        <f t="shared" ref="AX92:BD92" si="273">AX$70/AX$80</f>
        <v>4.8246241433215868E-2</v>
      </c>
      <c r="AY92" s="87">
        <f t="shared" si="273"/>
        <v>3.303167151695436E-2</v>
      </c>
      <c r="AZ92" s="87">
        <f t="shared" si="273"/>
        <v>2.4531019763577119E-2</v>
      </c>
      <c r="BA92" s="87">
        <f t="shared" si="273"/>
        <v>3.3676957510408584E-2</v>
      </c>
      <c r="BB92" s="88">
        <f t="shared" si="273"/>
        <v>3.3701539169118291E-2</v>
      </c>
      <c r="BC92" s="87">
        <f t="shared" si="273"/>
        <v>3.7013869244223813E-2</v>
      </c>
      <c r="BD92" s="87">
        <f t="shared" si="273"/>
        <v>3.4962075756831003E-2</v>
      </c>
      <c r="BE92" s="87"/>
      <c r="BF92" s="88"/>
      <c r="BG92" s="87"/>
      <c r="BH92" s="87"/>
      <c r="BI92" s="87"/>
      <c r="BJ92" s="88"/>
      <c r="BK92" s="87"/>
      <c r="BL92" s="87"/>
      <c r="BM92" s="87"/>
      <c r="BN92" s="88"/>
      <c r="BO92" s="87"/>
      <c r="BP92" s="87"/>
      <c r="BQ92" s="87"/>
      <c r="BR92" s="88"/>
      <c r="BS92" s="87"/>
      <c r="BT92" s="87"/>
      <c r="BU92" s="87"/>
      <c r="BV92" s="159"/>
      <c r="BW92" s="143"/>
      <c r="BX92" s="143"/>
      <c r="BY92" s="143"/>
      <c r="BZ92" s="159"/>
      <c r="CA92" s="143"/>
      <c r="CB92" s="143"/>
      <c r="CC92" s="143"/>
      <c r="CD92" s="159"/>
      <c r="CE92" s="143"/>
      <c r="CF92" s="143"/>
      <c r="CG92" s="143"/>
      <c r="CH92" s="159"/>
      <c r="CI92" s="143"/>
      <c r="CJ92" s="143"/>
      <c r="CK92" s="143"/>
      <c r="CL92" s="159"/>
      <c r="CM92" s="143"/>
      <c r="CN92" s="143"/>
      <c r="CO92" s="143"/>
      <c r="CP92" s="159"/>
      <c r="CQ92" s="143"/>
      <c r="CR92" s="143"/>
      <c r="CS92" s="143"/>
      <c r="CT92" s="159"/>
      <c r="CU92" s="143"/>
      <c r="CV92" s="143"/>
      <c r="CW92" s="189"/>
      <c r="CX92" s="143"/>
      <c r="CY92" s="143"/>
      <c r="CZ92" s="143"/>
      <c r="DA92" s="143"/>
      <c r="DB92" s="159"/>
      <c r="DC92" s="143"/>
      <c r="DD92" s="143"/>
      <c r="DE92" s="143"/>
      <c r="DF92" s="159"/>
      <c r="DG92" s="1047"/>
      <c r="DH92" s="1047"/>
      <c r="DI92" s="189"/>
      <c r="DJ92" s="159"/>
      <c r="DK92" s="1047"/>
      <c r="DL92" s="1047"/>
      <c r="DM92" s="189"/>
      <c r="DN92" s="1047"/>
      <c r="DO92" s="1047"/>
      <c r="DP92" s="1047"/>
      <c r="DQ92" s="189"/>
      <c r="DR92" s="1047"/>
      <c r="DS92" s="1047"/>
      <c r="DT92" s="1047"/>
      <c r="DU92" s="1047"/>
      <c r="DV92" s="1047"/>
      <c r="DW92" s="1047"/>
      <c r="DX92" s="1047"/>
      <c r="DY92" s="189"/>
      <c r="DZ92" s="87"/>
    </row>
    <row r="93" spans="1:130" hidden="1" outlineLevel="1">
      <c r="A93" s="88" t="s">
        <v>526</v>
      </c>
      <c r="B93" s="105"/>
      <c r="C93" s="105"/>
      <c r="D93" s="105"/>
      <c r="E93" s="87">
        <f>E$75/E$80</f>
        <v>3.521311626290443E-2</v>
      </c>
      <c r="F93" s="87">
        <f>F$75/F$80</f>
        <v>3.3704655490754312E-2</v>
      </c>
      <c r="G93" s="87">
        <f>G$75/G$80</f>
        <v>2.6661057457175678E-2</v>
      </c>
      <c r="H93" s="143"/>
      <c r="I93" s="281"/>
      <c r="J93" s="281"/>
      <c r="K93" s="281"/>
      <c r="L93" s="281"/>
      <c r="M93" s="281"/>
      <c r="N93" s="105"/>
      <c r="O93" s="105"/>
      <c r="P93" s="105"/>
      <c r="Q93" s="1132"/>
      <c r="R93" s="105"/>
      <c r="S93" s="143"/>
      <c r="T93" s="1047"/>
      <c r="U93" s="105"/>
      <c r="V93" s="105"/>
      <c r="W93" s="105"/>
      <c r="X93" s="105"/>
      <c r="Y93" s="105"/>
      <c r="Z93" s="105"/>
      <c r="AA93" s="105"/>
      <c r="AB93" s="105"/>
      <c r="AC93" s="105"/>
      <c r="AD93" s="105"/>
      <c r="AE93" s="105"/>
      <c r="AF93" s="105"/>
      <c r="AG93" s="105"/>
      <c r="AH93" s="1244"/>
      <c r="AI93" s="105"/>
      <c r="AJ93" s="105"/>
      <c r="AK93" s="105"/>
      <c r="AL93" s="105"/>
      <c r="AM93" s="105"/>
      <c r="AN93" s="105"/>
      <c r="AO93" s="105"/>
      <c r="AP93" s="306"/>
      <c r="AQ93" s="105"/>
      <c r="AR93" s="105"/>
      <c r="AS93" s="105"/>
      <c r="AT93" s="306"/>
      <c r="AU93" s="105"/>
      <c r="AV93" s="105"/>
      <c r="AW93" s="105"/>
      <c r="AX93" s="88">
        <f t="shared" ref="AX93:BD93" si="274">AX$75/AX$80</f>
        <v>3.2300884275160466E-2</v>
      </c>
      <c r="AY93" s="87">
        <f t="shared" si="274"/>
        <v>3.0057906075677293E-2</v>
      </c>
      <c r="AZ93" s="87">
        <f t="shared" si="274"/>
        <v>2.2259629044727398E-2</v>
      </c>
      <c r="BA93" s="87">
        <f t="shared" si="274"/>
        <v>2.3767587269514018E-2</v>
      </c>
      <c r="BB93" s="88">
        <f t="shared" si="274"/>
        <v>2.6961231335294631E-2</v>
      </c>
      <c r="BC93" s="87">
        <f t="shared" si="274"/>
        <v>3.4981891492388062E-2</v>
      </c>
      <c r="BD93" s="87">
        <f t="shared" si="274"/>
        <v>3.1783705233482729E-2</v>
      </c>
      <c r="BE93" s="87"/>
      <c r="BF93" s="88"/>
      <c r="BG93" s="87"/>
      <c r="BH93" s="87"/>
      <c r="BI93" s="87"/>
      <c r="BJ93" s="88"/>
      <c r="BK93" s="87"/>
      <c r="BL93" s="87"/>
      <c r="BM93" s="87"/>
      <c r="BN93" s="88"/>
      <c r="BO93" s="87"/>
      <c r="BP93" s="87"/>
      <c r="BQ93" s="87"/>
      <c r="BR93" s="88"/>
      <c r="BS93" s="87"/>
      <c r="BT93" s="87"/>
      <c r="BU93" s="87"/>
      <c r="BV93" s="159"/>
      <c r="BW93" s="143"/>
      <c r="BX93" s="143"/>
      <c r="BY93" s="143"/>
      <c r="BZ93" s="159"/>
      <c r="CA93" s="143"/>
      <c r="CB93" s="143"/>
      <c r="CC93" s="143"/>
      <c r="CD93" s="159"/>
      <c r="CE93" s="143"/>
      <c r="CF93" s="143"/>
      <c r="CG93" s="143"/>
      <c r="CH93" s="159"/>
      <c r="CI93" s="143"/>
      <c r="CJ93" s="143"/>
      <c r="CK93" s="143"/>
      <c r="CL93" s="159"/>
      <c r="CM93" s="143"/>
      <c r="CN93" s="143"/>
      <c r="CO93" s="143"/>
      <c r="CP93" s="159"/>
      <c r="CQ93" s="143"/>
      <c r="CR93" s="143"/>
      <c r="CS93" s="143"/>
      <c r="CT93" s="159"/>
      <c r="CU93" s="143"/>
      <c r="CV93" s="143"/>
      <c r="CW93" s="189"/>
      <c r="CX93" s="143"/>
      <c r="CY93" s="143"/>
      <c r="CZ93" s="143"/>
      <c r="DA93" s="143"/>
      <c r="DB93" s="159"/>
      <c r="DC93" s="143"/>
      <c r="DD93" s="143"/>
      <c r="DE93" s="143"/>
      <c r="DF93" s="159"/>
      <c r="DG93" s="1047"/>
      <c r="DH93" s="1047"/>
      <c r="DI93" s="189"/>
      <c r="DJ93" s="159"/>
      <c r="DK93" s="1047"/>
      <c r="DL93" s="1047"/>
      <c r="DM93" s="189"/>
      <c r="DN93" s="1047"/>
      <c r="DO93" s="1047"/>
      <c r="DP93" s="1047"/>
      <c r="DQ93" s="189"/>
      <c r="DR93" s="1047"/>
      <c r="DS93" s="1047"/>
      <c r="DT93" s="1047"/>
      <c r="DU93" s="1047"/>
      <c r="DV93" s="1047"/>
      <c r="DW93" s="1047"/>
      <c r="DX93" s="1047"/>
      <c r="DY93" s="189"/>
      <c r="DZ93" s="87"/>
    </row>
    <row r="94" spans="1:130" hidden="1" outlineLevel="1">
      <c r="A94" s="88" t="s">
        <v>529</v>
      </c>
      <c r="B94" s="105"/>
      <c r="C94" s="105"/>
      <c r="D94" s="105"/>
      <c r="E94" s="87">
        <f>E$78/E$80</f>
        <v>2.4000726127509364E-2</v>
      </c>
      <c r="F94" s="87">
        <f>F$78/F$80</f>
        <v>2.3834634209830913E-2</v>
      </c>
      <c r="G94" s="87">
        <f>G$78/G$80</f>
        <v>2.3812306155501485E-2</v>
      </c>
      <c r="H94" s="143"/>
      <c r="I94" s="281"/>
      <c r="J94" s="281"/>
      <c r="K94" s="281"/>
      <c r="L94" s="281"/>
      <c r="M94" s="281"/>
      <c r="N94" s="105"/>
      <c r="O94" s="105"/>
      <c r="P94" s="105"/>
      <c r="Q94" s="1132"/>
      <c r="R94" s="105"/>
      <c r="S94" s="143"/>
      <c r="T94" s="1047"/>
      <c r="U94" s="105"/>
      <c r="V94" s="105"/>
      <c r="W94" s="105"/>
      <c r="X94" s="105"/>
      <c r="Y94" s="105"/>
      <c r="Z94" s="105"/>
      <c r="AA94" s="105"/>
      <c r="AB94" s="105"/>
      <c r="AC94" s="105"/>
      <c r="AD94" s="105"/>
      <c r="AE94" s="105"/>
      <c r="AF94" s="105"/>
      <c r="AG94" s="105"/>
      <c r="AH94" s="1244"/>
      <c r="AI94" s="105"/>
      <c r="AJ94" s="105"/>
      <c r="AK94" s="105"/>
      <c r="AL94" s="105"/>
      <c r="AM94" s="105"/>
      <c r="AN94" s="105"/>
      <c r="AO94" s="105"/>
      <c r="AP94" s="306"/>
      <c r="AQ94" s="105"/>
      <c r="AR94" s="105"/>
      <c r="AS94" s="105"/>
      <c r="AT94" s="306"/>
      <c r="AU94" s="105"/>
      <c r="AV94" s="105"/>
      <c r="AW94" s="105"/>
      <c r="AX94" s="88">
        <f t="shared" ref="AX94:BD94" si="275">AX$78/AX$80</f>
        <v>3.1351340819960515E-2</v>
      </c>
      <c r="AY94" s="87">
        <f t="shared" si="275"/>
        <v>2.0972823901388105E-2</v>
      </c>
      <c r="AZ94" s="87">
        <f t="shared" si="275"/>
        <v>2.0017559915157367E-2</v>
      </c>
      <c r="BA94" s="87">
        <f t="shared" si="275"/>
        <v>2.4069711302046545E-2</v>
      </c>
      <c r="BB94" s="88">
        <f t="shared" si="275"/>
        <v>2.8005582560841191E-2</v>
      </c>
      <c r="BC94" s="87">
        <f t="shared" si="275"/>
        <v>2.043332921625423E-2</v>
      </c>
      <c r="BD94" s="87">
        <f t="shared" si="275"/>
        <v>2.4491931928173262E-2</v>
      </c>
      <c r="BE94" s="87"/>
      <c r="BF94" s="88"/>
      <c r="BG94" s="87"/>
      <c r="BH94" s="87"/>
      <c r="BI94" s="87"/>
      <c r="BJ94" s="88"/>
      <c r="BK94" s="87"/>
      <c r="BL94" s="87"/>
      <c r="BM94" s="87"/>
      <c r="BN94" s="88"/>
      <c r="BO94" s="87"/>
      <c r="BP94" s="87"/>
      <c r="BQ94" s="87"/>
      <c r="BR94" s="88"/>
      <c r="BS94" s="87"/>
      <c r="BT94" s="87"/>
      <c r="BU94" s="87"/>
      <c r="BV94" s="159"/>
      <c r="BW94" s="143"/>
      <c r="BX94" s="143"/>
      <c r="BY94" s="143"/>
      <c r="BZ94" s="159"/>
      <c r="CA94" s="143"/>
      <c r="CB94" s="143"/>
      <c r="CC94" s="143"/>
      <c r="CD94" s="159"/>
      <c r="CE94" s="143"/>
      <c r="CF94" s="143"/>
      <c r="CG94" s="143"/>
      <c r="CH94" s="159"/>
      <c r="CI94" s="143"/>
      <c r="CJ94" s="143"/>
      <c r="CK94" s="143"/>
      <c r="CL94" s="159"/>
      <c r="CM94" s="143"/>
      <c r="CN94" s="143"/>
      <c r="CO94" s="143"/>
      <c r="CP94" s="159"/>
      <c r="CQ94" s="143"/>
      <c r="CR94" s="143"/>
      <c r="CS94" s="143"/>
      <c r="CT94" s="159"/>
      <c r="CU94" s="143"/>
      <c r="CV94" s="143"/>
      <c r="CW94" s="189"/>
      <c r="CX94" s="143"/>
      <c r="CY94" s="143"/>
      <c r="CZ94" s="143"/>
      <c r="DA94" s="143"/>
      <c r="DB94" s="159"/>
      <c r="DC94" s="143"/>
      <c r="DD94" s="143"/>
      <c r="DE94" s="143"/>
      <c r="DF94" s="159"/>
      <c r="DG94" s="1047"/>
      <c r="DH94" s="1047"/>
      <c r="DI94" s="189"/>
      <c r="DJ94" s="159"/>
      <c r="DK94" s="1047"/>
      <c r="DL94" s="1047"/>
      <c r="DM94" s="189"/>
      <c r="DN94" s="1047"/>
      <c r="DO94" s="1047"/>
      <c r="DP94" s="1047"/>
      <c r="DQ94" s="189"/>
      <c r="DR94" s="1047"/>
      <c r="DS94" s="1047"/>
      <c r="DT94" s="1047"/>
      <c r="DU94" s="1047"/>
      <c r="DV94" s="1047"/>
      <c r="DW94" s="1047"/>
      <c r="DX94" s="1047"/>
      <c r="DY94" s="189"/>
      <c r="DZ94" s="87"/>
    </row>
    <row r="95" spans="1:130" hidden="1" outlineLevel="1">
      <c r="A95" s="88" t="s">
        <v>530</v>
      </c>
      <c r="B95" s="105"/>
      <c r="C95" s="105"/>
      <c r="D95" s="105"/>
      <c r="E95" s="87">
        <f>E$79/E$80</f>
        <v>1.4146901239412707E-2</v>
      </c>
      <c r="F95" s="87">
        <f>F$79/F$80</f>
        <v>1.5604770938496043E-2</v>
      </c>
      <c r="G95" s="87">
        <f>G$79/G$80</f>
        <v>1.752499257731923E-2</v>
      </c>
      <c r="H95" s="143"/>
      <c r="I95" s="281"/>
      <c r="J95" s="281"/>
      <c r="K95" s="281"/>
      <c r="L95" s="281"/>
      <c r="M95" s="281"/>
      <c r="N95" s="105"/>
      <c r="O95" s="105"/>
      <c r="P95" s="105"/>
      <c r="Q95" s="1132"/>
      <c r="R95" s="105"/>
      <c r="S95" s="143"/>
      <c r="T95" s="1047"/>
      <c r="U95" s="105"/>
      <c r="V95" s="105"/>
      <c r="W95" s="105"/>
      <c r="X95" s="105"/>
      <c r="Y95" s="105"/>
      <c r="Z95" s="105"/>
      <c r="AA95" s="105"/>
      <c r="AB95" s="105"/>
      <c r="AC95" s="105"/>
      <c r="AD95" s="105"/>
      <c r="AE95" s="105"/>
      <c r="AF95" s="105"/>
      <c r="AG95" s="105"/>
      <c r="AH95" s="1244"/>
      <c r="AI95" s="105"/>
      <c r="AJ95" s="105"/>
      <c r="AK95" s="105"/>
      <c r="AL95" s="105"/>
      <c r="AM95" s="105"/>
      <c r="AN95" s="105"/>
      <c r="AO95" s="105"/>
      <c r="AP95" s="306"/>
      <c r="AQ95" s="105"/>
      <c r="AR95" s="105"/>
      <c r="AS95" s="105"/>
      <c r="AT95" s="306"/>
      <c r="AU95" s="105"/>
      <c r="AV95" s="105"/>
      <c r="AW95" s="105"/>
      <c r="AX95" s="88">
        <f t="shared" ref="AX95:BD95" si="276">AX$79/AX$80</f>
        <v>1.6083789519234663E-2</v>
      </c>
      <c r="AY95" s="87">
        <f t="shared" si="276"/>
        <v>1.8885240561611616E-2</v>
      </c>
      <c r="AZ95" s="87">
        <f t="shared" si="276"/>
        <v>1.7569000720237347E-2</v>
      </c>
      <c r="BA95" s="87">
        <f t="shared" si="276"/>
        <v>1.7424845249909851E-2</v>
      </c>
      <c r="BB95" s="88">
        <f t="shared" si="276"/>
        <v>1.6717152893970993E-2</v>
      </c>
      <c r="BC95" s="87">
        <f t="shared" si="276"/>
        <v>1.2054807619518146E-2</v>
      </c>
      <c r="BD95" s="87">
        <f t="shared" si="276"/>
        <v>1.7752677684771428E-2</v>
      </c>
      <c r="BE95" s="87"/>
      <c r="BF95" s="88"/>
      <c r="BG95" s="87"/>
      <c r="BH95" s="87"/>
      <c r="BI95" s="87"/>
      <c r="BJ95" s="88"/>
      <c r="BK95" s="87"/>
      <c r="BL95" s="87"/>
      <c r="BM95" s="87"/>
      <c r="BN95" s="88"/>
      <c r="BO95" s="87"/>
      <c r="BP95" s="87"/>
      <c r="BQ95" s="87"/>
      <c r="BR95" s="88"/>
      <c r="BS95" s="87"/>
      <c r="BT95" s="87"/>
      <c r="BU95" s="87"/>
      <c r="BV95" s="159"/>
      <c r="BW95" s="143"/>
      <c r="BX95" s="143"/>
      <c r="BY95" s="143"/>
      <c r="BZ95" s="159"/>
      <c r="CA95" s="143"/>
      <c r="CB95" s="143"/>
      <c r="CC95" s="143"/>
      <c r="CD95" s="159"/>
      <c r="CE95" s="143"/>
      <c r="CF95" s="143"/>
      <c r="CG95" s="143"/>
      <c r="CH95" s="159"/>
      <c r="CI95" s="143"/>
      <c r="CJ95" s="143"/>
      <c r="CK95" s="143"/>
      <c r="CL95" s="159"/>
      <c r="CM95" s="143"/>
      <c r="CN95" s="143"/>
      <c r="CO95" s="143"/>
      <c r="CP95" s="159"/>
      <c r="CQ95" s="143"/>
      <c r="CR95" s="143"/>
      <c r="CS95" s="143"/>
      <c r="CT95" s="159"/>
      <c r="CU95" s="143"/>
      <c r="CV95" s="143"/>
      <c r="CW95" s="189"/>
      <c r="CX95" s="143"/>
      <c r="CY95" s="143"/>
      <c r="CZ95" s="143"/>
      <c r="DA95" s="143"/>
      <c r="DB95" s="159"/>
      <c r="DC95" s="143"/>
      <c r="DD95" s="143"/>
      <c r="DE95" s="143"/>
      <c r="DF95" s="159"/>
      <c r="DG95" s="1047"/>
      <c r="DH95" s="1047"/>
      <c r="DI95" s="189"/>
      <c r="DJ95" s="159"/>
      <c r="DK95" s="1047"/>
      <c r="DL95" s="1047"/>
      <c r="DM95" s="189"/>
      <c r="DN95" s="1047"/>
      <c r="DO95" s="1047"/>
      <c r="DP95" s="1047"/>
      <c r="DQ95" s="189"/>
      <c r="DR95" s="1047"/>
      <c r="DS95" s="1047"/>
      <c r="DT95" s="1047"/>
      <c r="DU95" s="1047"/>
      <c r="DV95" s="1047"/>
      <c r="DW95" s="1047"/>
      <c r="DX95" s="1047"/>
      <c r="DY95" s="189"/>
      <c r="DZ95" s="87"/>
    </row>
    <row r="96" spans="1:130" hidden="1" outlineLevel="1">
      <c r="A96" s="88" t="s">
        <v>522</v>
      </c>
      <c r="B96" s="105"/>
      <c r="C96" s="105"/>
      <c r="D96" s="105"/>
      <c r="E96" s="87">
        <f>E$71/E$80</f>
        <v>1.7631982764133011E-2</v>
      </c>
      <c r="F96" s="87">
        <f>F$71/F$80</f>
        <v>1.3218174821348983E-2</v>
      </c>
      <c r="G96" s="87">
        <f>G$71/G$80</f>
        <v>1.1036639044772398E-2</v>
      </c>
      <c r="H96" s="143"/>
      <c r="I96" s="281"/>
      <c r="J96" s="281"/>
      <c r="K96" s="281"/>
      <c r="L96" s="281"/>
      <c r="M96" s="281"/>
      <c r="N96" s="105"/>
      <c r="O96" s="105"/>
      <c r="P96" s="105"/>
      <c r="Q96" s="1132"/>
      <c r="R96" s="105"/>
      <c r="S96" s="143"/>
      <c r="T96" s="1047"/>
      <c r="U96" s="105"/>
      <c r="V96" s="105"/>
      <c r="W96" s="105"/>
      <c r="X96" s="105"/>
      <c r="Y96" s="105"/>
      <c r="Z96" s="105"/>
      <c r="AA96" s="105"/>
      <c r="AB96" s="105"/>
      <c r="AC96" s="105"/>
      <c r="AD96" s="105"/>
      <c r="AE96" s="105"/>
      <c r="AF96" s="105"/>
      <c r="AG96" s="105"/>
      <c r="AH96" s="1244"/>
      <c r="AI96" s="105"/>
      <c r="AJ96" s="105"/>
      <c r="AK96" s="105"/>
      <c r="AL96" s="105"/>
      <c r="AM96" s="105"/>
      <c r="AN96" s="105"/>
      <c r="AO96" s="105"/>
      <c r="AP96" s="306"/>
      <c r="AQ96" s="105"/>
      <c r="AR96" s="105"/>
      <c r="AS96" s="105"/>
      <c r="AT96" s="306"/>
      <c r="AU96" s="105"/>
      <c r="AV96" s="105"/>
      <c r="AW96" s="105"/>
      <c r="AX96" s="88">
        <f t="shared" ref="AX96:BD96" si="277">AX$71/AX$80</f>
        <v>8.1008566912307203E-3</v>
      </c>
      <c r="AY96" s="87">
        <f t="shared" si="277"/>
        <v>1.0659805351039286E-2</v>
      </c>
      <c r="AZ96" s="87">
        <f t="shared" si="277"/>
        <v>1.1233059555038684E-2</v>
      </c>
      <c r="BA96" s="87">
        <f t="shared" si="277"/>
        <v>1.3299417954884801E-2</v>
      </c>
      <c r="BB96" s="88">
        <f t="shared" si="277"/>
        <v>9.6743241850174855E-3</v>
      </c>
      <c r="BC96" s="87">
        <f t="shared" si="277"/>
        <v>8.207596409375786E-3</v>
      </c>
      <c r="BD96" s="87">
        <f t="shared" si="277"/>
        <v>1.2306946328778778E-2</v>
      </c>
      <c r="BE96" s="87"/>
      <c r="BF96" s="88"/>
      <c r="BG96" s="87"/>
      <c r="BH96" s="87"/>
      <c r="BI96" s="87"/>
      <c r="BJ96" s="88"/>
      <c r="BK96" s="87"/>
      <c r="BL96" s="87"/>
      <c r="BM96" s="87"/>
      <c r="BN96" s="88"/>
      <c r="BO96" s="87"/>
      <c r="BP96" s="87"/>
      <c r="BQ96" s="87"/>
      <c r="BR96" s="88"/>
      <c r="BS96" s="87"/>
      <c r="BT96" s="87"/>
      <c r="BU96" s="87"/>
      <c r="BV96" s="159"/>
      <c r="BW96" s="143"/>
      <c r="BX96" s="143"/>
      <c r="BY96" s="143"/>
      <c r="BZ96" s="159"/>
      <c r="CA96" s="143"/>
      <c r="CB96" s="143"/>
      <c r="CC96" s="143"/>
      <c r="CD96" s="159"/>
      <c r="CE96" s="143"/>
      <c r="CF96" s="143"/>
      <c r="CG96" s="143"/>
      <c r="CH96" s="159"/>
      <c r="CI96" s="143"/>
      <c r="CJ96" s="143"/>
      <c r="CK96" s="143"/>
      <c r="CL96" s="159"/>
      <c r="CM96" s="143"/>
      <c r="CN96" s="143"/>
      <c r="CO96" s="143"/>
      <c r="CP96" s="159"/>
      <c r="CQ96" s="143"/>
      <c r="CR96" s="143"/>
      <c r="CS96" s="143"/>
      <c r="CT96" s="159"/>
      <c r="CU96" s="143"/>
      <c r="CV96" s="143"/>
      <c r="CW96" s="189"/>
      <c r="CX96" s="143"/>
      <c r="CY96" s="143"/>
      <c r="CZ96" s="143"/>
      <c r="DA96" s="143"/>
      <c r="DB96" s="159"/>
      <c r="DC96" s="143"/>
      <c r="DD96" s="143"/>
      <c r="DE96" s="143"/>
      <c r="DF96" s="159"/>
      <c r="DG96" s="1047"/>
      <c r="DH96" s="1047"/>
      <c r="DI96" s="189"/>
      <c r="DJ96" s="159"/>
      <c r="DK96" s="1047"/>
      <c r="DL96" s="1047"/>
      <c r="DM96" s="189"/>
      <c r="DN96" s="1047"/>
      <c r="DO96" s="1047"/>
      <c r="DP96" s="1047"/>
      <c r="DQ96" s="189"/>
      <c r="DR96" s="1047"/>
      <c r="DS96" s="1047"/>
      <c r="DT96" s="1047"/>
      <c r="DU96" s="1047"/>
      <c r="DV96" s="1047"/>
      <c r="DW96" s="1047"/>
      <c r="DX96" s="1047"/>
      <c r="DY96" s="189"/>
      <c r="DZ96" s="87"/>
    </row>
    <row r="97" spans="1:130" hidden="1" outlineLevel="1">
      <c r="A97" s="88" t="s">
        <v>520</v>
      </c>
      <c r="B97" s="105"/>
      <c r="C97" s="105"/>
      <c r="D97" s="105"/>
      <c r="E97" s="87">
        <f>E$69/E$80</f>
        <v>1.0526179299340346E-2</v>
      </c>
      <c r="F97" s="87">
        <f>F$69/F$80</f>
        <v>9.787309087241642E-3</v>
      </c>
      <c r="G97" s="87">
        <f>G$69/G$80</f>
        <v>8.6028437307129335E-3</v>
      </c>
      <c r="H97" s="143"/>
      <c r="I97" s="281"/>
      <c r="J97" s="281"/>
      <c r="K97" s="281"/>
      <c r="L97" s="281"/>
      <c r="M97" s="281"/>
      <c r="N97" s="105"/>
      <c r="O97" s="105"/>
      <c r="P97" s="105"/>
      <c r="Q97" s="1132"/>
      <c r="R97" s="105"/>
      <c r="S97" s="143"/>
      <c r="T97" s="1047"/>
      <c r="U97" s="105"/>
      <c r="V97" s="105"/>
      <c r="W97" s="105"/>
      <c r="X97" s="105"/>
      <c r="Y97" s="105"/>
      <c r="Z97" s="105"/>
      <c r="AA97" s="105"/>
      <c r="AB97" s="105"/>
      <c r="AC97" s="105"/>
      <c r="AD97" s="105"/>
      <c r="AE97" s="105"/>
      <c r="AF97" s="105"/>
      <c r="AG97" s="105"/>
      <c r="AH97" s="1244"/>
      <c r="AI97" s="105"/>
      <c r="AJ97" s="105"/>
      <c r="AK97" s="105"/>
      <c r="AL97" s="105"/>
      <c r="AM97" s="105"/>
      <c r="AN97" s="105"/>
      <c r="AO97" s="105"/>
      <c r="AP97" s="306"/>
      <c r="AQ97" s="105"/>
      <c r="AR97" s="105"/>
      <c r="AS97" s="105"/>
      <c r="AT97" s="306"/>
      <c r="AU97" s="105"/>
      <c r="AV97" s="105"/>
      <c r="AW97" s="105"/>
      <c r="AX97" s="88">
        <f t="shared" ref="AX97:BD97" si="278">AX$69/AX$80</f>
        <v>8.6612513977823141E-3</v>
      </c>
      <c r="AY97" s="87">
        <f t="shared" si="278"/>
        <v>8.2624929029943995E-3</v>
      </c>
      <c r="AZ97" s="87">
        <f t="shared" si="278"/>
        <v>8.6358275130666868E-3</v>
      </c>
      <c r="BA97" s="87">
        <f t="shared" si="278"/>
        <v>8.8077910002056434E-3</v>
      </c>
      <c r="BB97" s="88">
        <f t="shared" si="278"/>
        <v>9.5327777205071879E-3</v>
      </c>
      <c r="BC97" s="87">
        <f t="shared" si="278"/>
        <v>7.9800945865722162E-3</v>
      </c>
      <c r="BD97" s="87">
        <f t="shared" si="278"/>
        <v>8.7161267933308934E-3</v>
      </c>
      <c r="BE97" s="87"/>
      <c r="BF97" s="88"/>
      <c r="BG97" s="87"/>
      <c r="BH97" s="87"/>
      <c r="BI97" s="87"/>
      <c r="BJ97" s="88"/>
      <c r="BK97" s="87"/>
      <c r="BL97" s="87"/>
      <c r="BM97" s="87"/>
      <c r="BN97" s="88"/>
      <c r="BO97" s="87"/>
      <c r="BP97" s="87"/>
      <c r="BQ97" s="87"/>
      <c r="BR97" s="88"/>
      <c r="BS97" s="87"/>
      <c r="BT97" s="87"/>
      <c r="BU97" s="87"/>
      <c r="BV97" s="159"/>
      <c r="BW97" s="143"/>
      <c r="BX97" s="143"/>
      <c r="BY97" s="143"/>
      <c r="BZ97" s="159"/>
      <c r="CA97" s="143"/>
      <c r="CB97" s="143"/>
      <c r="CC97" s="143"/>
      <c r="CD97" s="159"/>
      <c r="CE97" s="143"/>
      <c r="CF97" s="143"/>
      <c r="CG97" s="143"/>
      <c r="CH97" s="159"/>
      <c r="CI97" s="143"/>
      <c r="CJ97" s="143"/>
      <c r="CK97" s="143"/>
      <c r="CL97" s="159"/>
      <c r="CM97" s="143"/>
      <c r="CN97" s="143"/>
      <c r="CO97" s="143"/>
      <c r="CP97" s="159"/>
      <c r="CQ97" s="143"/>
      <c r="CR97" s="143"/>
      <c r="CS97" s="143"/>
      <c r="CT97" s="159"/>
      <c r="CU97" s="143"/>
      <c r="CV97" s="143"/>
      <c r="CW97" s="189"/>
      <c r="CX97" s="143"/>
      <c r="CY97" s="143"/>
      <c r="CZ97" s="143"/>
      <c r="DA97" s="143"/>
      <c r="DB97" s="159"/>
      <c r="DC97" s="143"/>
      <c r="DD97" s="143"/>
      <c r="DE97" s="143"/>
      <c r="DF97" s="159"/>
      <c r="DG97" s="1047"/>
      <c r="DH97" s="1047"/>
      <c r="DI97" s="189"/>
      <c r="DJ97" s="159"/>
      <c r="DK97" s="1047"/>
      <c r="DL97" s="1047"/>
      <c r="DM97" s="189"/>
      <c r="DN97" s="1047"/>
      <c r="DO97" s="1047"/>
      <c r="DP97" s="1047"/>
      <c r="DQ97" s="189"/>
      <c r="DR97" s="1047"/>
      <c r="DS97" s="1047"/>
      <c r="DT97" s="1047"/>
      <c r="DU97" s="1047"/>
      <c r="DV97" s="1047"/>
      <c r="DW97" s="1047"/>
      <c r="DX97" s="1047"/>
      <c r="DY97" s="189"/>
      <c r="DZ97" s="87"/>
    </row>
    <row r="98" spans="1:130" hidden="1" outlineLevel="1">
      <c r="A98" s="88"/>
      <c r="B98" s="87"/>
      <c r="C98" s="87"/>
      <c r="D98" s="87"/>
      <c r="E98" s="143"/>
      <c r="F98" s="143"/>
      <c r="G98" s="143"/>
      <c r="H98" s="143"/>
      <c r="I98" s="143"/>
      <c r="J98" s="143"/>
      <c r="K98" s="143"/>
      <c r="L98" s="143"/>
      <c r="M98" s="143"/>
      <c r="N98" s="143"/>
      <c r="O98" s="143"/>
      <c r="P98" s="143"/>
      <c r="Q98" s="1047"/>
      <c r="R98" s="143"/>
      <c r="S98" s="143"/>
      <c r="T98" s="1047"/>
      <c r="U98" s="143"/>
      <c r="V98" s="143"/>
      <c r="W98" s="143"/>
      <c r="X98" s="143"/>
      <c r="Y98" s="143"/>
      <c r="Z98" s="143"/>
      <c r="AA98" s="143"/>
      <c r="AB98" s="143"/>
      <c r="AC98" s="143"/>
      <c r="AD98" s="143"/>
      <c r="AE98" s="143"/>
      <c r="AF98" s="143"/>
      <c r="AG98" s="143"/>
      <c r="AH98" s="1237"/>
      <c r="AI98" s="143"/>
      <c r="AJ98" s="143"/>
      <c r="AK98" s="143"/>
      <c r="AL98" s="143"/>
      <c r="AM98" s="143"/>
      <c r="AN98" s="143"/>
      <c r="AO98" s="143"/>
      <c r="AP98" s="159"/>
      <c r="AQ98" s="143"/>
      <c r="AR98" s="143"/>
      <c r="AS98" s="143"/>
      <c r="AT98" s="159"/>
      <c r="AU98" s="143"/>
      <c r="AV98" s="143"/>
      <c r="AW98" s="143"/>
      <c r="AX98" s="159"/>
      <c r="AY98" s="143"/>
      <c r="AZ98" s="143"/>
      <c r="BA98" s="143"/>
      <c r="BB98" s="159"/>
      <c r="BC98" s="143"/>
      <c r="BD98" s="143"/>
      <c r="BE98" s="143"/>
      <c r="BF98" s="159"/>
      <c r="BG98" s="143"/>
      <c r="BH98" s="143"/>
      <c r="BI98" s="143"/>
      <c r="BJ98" s="159"/>
      <c r="BK98" s="143"/>
      <c r="BL98" s="143"/>
      <c r="BM98" s="143"/>
      <c r="BN98" s="159"/>
      <c r="BO98" s="143"/>
      <c r="BP98" s="143"/>
      <c r="BQ98" s="143"/>
      <c r="BR98" s="159"/>
      <c r="BS98" s="143"/>
      <c r="BT98" s="143"/>
      <c r="BU98" s="143"/>
      <c r="BV98" s="159"/>
      <c r="BW98" s="143"/>
      <c r="BX98" s="143"/>
      <c r="BY98" s="143"/>
      <c r="BZ98" s="159"/>
      <c r="CA98" s="143"/>
      <c r="CB98" s="143"/>
      <c r="CC98" s="143"/>
      <c r="CD98" s="159"/>
      <c r="CE98" s="143"/>
      <c r="CF98" s="143"/>
      <c r="CG98" s="143"/>
      <c r="CH98" s="159"/>
      <c r="CI98" s="143"/>
      <c r="CJ98" s="143"/>
      <c r="CK98" s="143"/>
      <c r="CL98" s="159"/>
      <c r="CM98" s="143"/>
      <c r="CN98" s="143"/>
      <c r="CO98" s="143"/>
      <c r="CP98" s="159"/>
      <c r="CQ98" s="143"/>
      <c r="CR98" s="143"/>
      <c r="CS98" s="143"/>
      <c r="CT98" s="159"/>
      <c r="CU98" s="143"/>
      <c r="CV98" s="143"/>
      <c r="CW98" s="189"/>
      <c r="CX98" s="143"/>
      <c r="CY98" s="143"/>
      <c r="CZ98" s="143"/>
      <c r="DA98" s="143"/>
      <c r="DB98" s="159"/>
      <c r="DC98" s="143"/>
      <c r="DD98" s="143"/>
      <c r="DE98" s="143"/>
      <c r="DF98" s="159"/>
      <c r="DG98" s="1047"/>
      <c r="DH98" s="1047"/>
      <c r="DI98" s="189"/>
      <c r="DJ98" s="159"/>
      <c r="DK98" s="1047"/>
      <c r="DL98" s="1047"/>
      <c r="DM98" s="189"/>
      <c r="DN98" s="1047"/>
      <c r="DO98" s="1047"/>
      <c r="DP98" s="1047"/>
      <c r="DQ98" s="189"/>
      <c r="DR98" s="1047"/>
      <c r="DS98" s="1047"/>
      <c r="DT98" s="1047"/>
      <c r="DU98" s="1047"/>
      <c r="DV98" s="1047"/>
      <c r="DW98" s="1047"/>
      <c r="DX98" s="1047"/>
      <c r="DY98" s="189"/>
      <c r="DZ98" s="87"/>
    </row>
    <row r="99" spans="1:130" hidden="1" outlineLevel="1">
      <c r="A99" s="88"/>
      <c r="B99" s="87"/>
      <c r="C99" s="87"/>
      <c r="D99" s="87"/>
      <c r="E99" s="143"/>
      <c r="F99" s="143"/>
      <c r="G99" s="143"/>
      <c r="H99" s="143"/>
      <c r="I99" s="143"/>
      <c r="J99" s="143"/>
      <c r="K99" s="143"/>
      <c r="L99" s="143"/>
      <c r="M99" s="143"/>
      <c r="N99" s="87"/>
      <c r="O99" s="87"/>
      <c r="P99" s="87"/>
      <c r="Q99" s="1041"/>
      <c r="R99" s="87"/>
      <c r="S99" s="87"/>
      <c r="T99" s="1041"/>
      <c r="U99" s="87"/>
      <c r="V99" s="87"/>
      <c r="W99" s="87"/>
      <c r="X99" s="87"/>
      <c r="Y99" s="87"/>
      <c r="Z99" s="87"/>
      <c r="AA99" s="87"/>
      <c r="AB99" s="87"/>
      <c r="AC99" s="87"/>
      <c r="AD99" s="87"/>
      <c r="AE99" s="87"/>
      <c r="AF99" s="87"/>
      <c r="AG99" s="87"/>
      <c r="AH99" s="678"/>
      <c r="AI99" s="87"/>
      <c r="AJ99" s="87"/>
      <c r="AK99" s="87"/>
      <c r="AL99" s="87"/>
      <c r="AM99" s="87"/>
      <c r="AN99" s="143"/>
      <c r="AO99" s="143"/>
      <c r="AP99" s="159"/>
      <c r="AQ99" s="143"/>
      <c r="AR99" s="143"/>
      <c r="AS99" s="143"/>
      <c r="AT99" s="159"/>
      <c r="AU99" s="143"/>
      <c r="AV99" s="143"/>
      <c r="AW99" s="143"/>
      <c r="AX99" s="159"/>
      <c r="AY99" s="143"/>
      <c r="AZ99" s="143"/>
      <c r="BA99" s="143"/>
      <c r="BB99" s="159"/>
      <c r="BC99" s="143"/>
      <c r="BD99" s="143"/>
      <c r="BE99" s="143"/>
      <c r="BF99" s="159"/>
      <c r="BG99" s="143"/>
      <c r="BH99" s="143"/>
      <c r="BI99" s="143"/>
      <c r="BJ99" s="268"/>
      <c r="BK99" s="143"/>
      <c r="BL99" s="143"/>
      <c r="BM99" s="143"/>
      <c r="BN99" s="268"/>
      <c r="BO99" s="143"/>
      <c r="BP99" s="143"/>
      <c r="BQ99" s="143"/>
      <c r="BR99" s="159"/>
      <c r="BS99" s="143"/>
      <c r="BT99" s="143"/>
      <c r="BU99" s="143"/>
      <c r="BV99" s="159"/>
      <c r="BW99" s="143"/>
      <c r="BX99" s="143"/>
      <c r="BY99" s="143"/>
      <c r="BZ99" s="159"/>
      <c r="CA99" s="143"/>
      <c r="CB99" s="143"/>
      <c r="CC99" s="143"/>
      <c r="CD99" s="88"/>
      <c r="CE99" s="87"/>
      <c r="CF99" s="87"/>
      <c r="CG99" s="87"/>
      <c r="CH99" s="88"/>
      <c r="CI99" s="87"/>
      <c r="CJ99" s="87"/>
      <c r="CK99" s="87"/>
      <c r="CL99" s="88"/>
      <c r="CM99" s="87"/>
      <c r="CN99" s="87"/>
      <c r="CO99" s="87"/>
      <c r="CP99" s="88"/>
      <c r="CQ99" s="87"/>
      <c r="CR99" s="87"/>
      <c r="CS99" s="87"/>
      <c r="CT99" s="88"/>
      <c r="CU99" s="87"/>
      <c r="CV99" s="87"/>
      <c r="CW99" s="144"/>
      <c r="CX99" s="87"/>
      <c r="CY99" s="87"/>
      <c r="CZ99" s="87"/>
      <c r="DA99" s="87"/>
      <c r="DB99" s="88"/>
      <c r="DC99" s="87"/>
      <c r="DD99" s="87"/>
      <c r="DE99" s="87"/>
      <c r="DF99" s="88"/>
      <c r="DG99" s="1041"/>
      <c r="DH99" s="1041"/>
      <c r="DI99" s="144"/>
      <c r="DJ99" s="88"/>
      <c r="DK99" s="1041"/>
      <c r="DL99" s="1041"/>
      <c r="DM99" s="144"/>
      <c r="DN99" s="1041"/>
      <c r="DO99" s="1041"/>
      <c r="DP99" s="1041"/>
      <c r="DQ99" s="144"/>
      <c r="DR99" s="1041"/>
      <c r="DS99" s="1041"/>
      <c r="DT99" s="1041"/>
      <c r="DU99" s="1041"/>
      <c r="DV99" s="1041"/>
      <c r="DW99" s="1041"/>
      <c r="DX99" s="1041"/>
      <c r="DY99" s="144"/>
      <c r="DZ99" s="87"/>
    </row>
    <row r="100" spans="1:130" collapsed="1">
      <c r="A100" s="198" t="s">
        <v>533</v>
      </c>
      <c r="B100" s="140"/>
      <c r="C100" s="140"/>
      <c r="D100" s="140"/>
      <c r="E100" s="140"/>
      <c r="F100" s="140"/>
      <c r="G100" s="140"/>
      <c r="H100" s="140"/>
      <c r="I100" s="140"/>
      <c r="J100" s="140"/>
      <c r="K100" s="140"/>
      <c r="L100" s="140"/>
      <c r="M100" s="140"/>
      <c r="N100" s="140"/>
      <c r="O100" s="140"/>
      <c r="P100" s="140"/>
      <c r="Q100" s="1038"/>
      <c r="R100" s="140"/>
      <c r="S100" s="140"/>
      <c r="T100" s="1038"/>
      <c r="U100" s="140"/>
      <c r="V100" s="140"/>
      <c r="W100" s="140"/>
      <c r="X100" s="140"/>
      <c r="Y100" s="140"/>
      <c r="Z100" s="140"/>
      <c r="AA100" s="140"/>
      <c r="AB100" s="140"/>
      <c r="AC100" s="140"/>
      <c r="AD100" s="140"/>
      <c r="AE100" s="140"/>
      <c r="AF100" s="140"/>
      <c r="AG100" s="140"/>
      <c r="AH100" s="1242"/>
      <c r="AI100" s="140"/>
      <c r="AJ100" s="140"/>
      <c r="AK100" s="140"/>
      <c r="AL100" s="140"/>
      <c r="AM100" s="140"/>
      <c r="AN100" s="140"/>
      <c r="AO100" s="140"/>
      <c r="AP100" s="141"/>
      <c r="AQ100" s="140"/>
      <c r="AR100" s="140"/>
      <c r="AS100" s="140"/>
      <c r="AT100" s="141"/>
      <c r="AU100" s="140"/>
      <c r="AV100" s="140"/>
      <c r="AW100" s="140"/>
      <c r="AX100" s="141"/>
      <c r="AY100" s="140"/>
      <c r="AZ100" s="140"/>
      <c r="BA100" s="140"/>
      <c r="BB100" s="141"/>
      <c r="BC100" s="140"/>
      <c r="BD100" s="140"/>
      <c r="BE100" s="140"/>
      <c r="BF100" s="141"/>
      <c r="BG100" s="140"/>
      <c r="BH100" s="140"/>
      <c r="BI100" s="140"/>
      <c r="BJ100" s="141"/>
      <c r="BK100" s="140"/>
      <c r="BL100" s="140"/>
      <c r="BM100" s="140"/>
      <c r="BN100" s="141"/>
      <c r="BO100" s="140"/>
      <c r="BP100" s="140"/>
      <c r="BQ100" s="140"/>
      <c r="BR100" s="141"/>
      <c r="BS100" s="140"/>
      <c r="BT100" s="140"/>
      <c r="BU100" s="140"/>
      <c r="BV100" s="141"/>
      <c r="BW100" s="140"/>
      <c r="BX100" s="140"/>
      <c r="BY100" s="140"/>
      <c r="BZ100" s="141"/>
      <c r="CA100" s="140"/>
      <c r="CB100" s="140"/>
      <c r="CC100" s="140"/>
      <c r="CD100" s="141"/>
      <c r="CE100" s="140"/>
      <c r="CF100" s="140"/>
      <c r="CG100" s="140"/>
      <c r="CH100" s="141"/>
      <c r="CI100" s="140"/>
      <c r="CJ100" s="140"/>
      <c r="CK100" s="140"/>
      <c r="CL100" s="141"/>
      <c r="CM100" s="140"/>
      <c r="CN100" s="140"/>
      <c r="CO100" s="140"/>
      <c r="CP100" s="141"/>
      <c r="CQ100" s="140"/>
      <c r="CR100" s="140"/>
      <c r="CS100" s="140"/>
      <c r="CT100" s="141"/>
      <c r="CU100" s="140"/>
      <c r="CV100" s="140"/>
      <c r="CW100" s="142"/>
      <c r="CX100" s="140"/>
      <c r="CY100" s="140"/>
      <c r="CZ100" s="140"/>
      <c r="DA100" s="140"/>
      <c r="DB100" s="141"/>
      <c r="DC100" s="140"/>
      <c r="DD100" s="140"/>
      <c r="DE100" s="140"/>
      <c r="DF100" s="141"/>
      <c r="DG100" s="1038"/>
      <c r="DH100" s="1038"/>
      <c r="DI100" s="142"/>
      <c r="DJ100" s="141"/>
      <c r="DK100" s="1038"/>
      <c r="DL100" s="1038"/>
      <c r="DM100" s="142"/>
      <c r="DN100" s="1038"/>
      <c r="DO100" s="1038"/>
      <c r="DP100" s="1038"/>
      <c r="DQ100" s="142"/>
      <c r="DR100" s="1038"/>
      <c r="DS100" s="1038"/>
      <c r="DT100" s="1038"/>
      <c r="DU100" s="1038"/>
      <c r="DV100" s="1038"/>
      <c r="DW100" s="1038"/>
      <c r="DX100" s="1038"/>
      <c r="DY100" s="142"/>
      <c r="DZ100" s="87"/>
    </row>
    <row r="101" spans="1:130">
      <c r="A101" s="474"/>
      <c r="B101" s="446"/>
      <c r="C101" s="446"/>
      <c r="D101" s="348"/>
      <c r="E101" s="348"/>
      <c r="F101" s="348"/>
      <c r="G101" s="348"/>
      <c r="H101" s="348"/>
      <c r="I101" s="348"/>
      <c r="J101" s="348">
        <f t="shared" ref="J101:V101" si="279">J5</f>
        <v>2002</v>
      </c>
      <c r="K101" s="348">
        <f t="shared" si="279"/>
        <v>2003</v>
      </c>
      <c r="L101" s="348">
        <f t="shared" si="279"/>
        <v>2004</v>
      </c>
      <c r="M101" s="348">
        <f t="shared" si="279"/>
        <v>2005</v>
      </c>
      <c r="N101" s="348">
        <f t="shared" si="279"/>
        <v>2006</v>
      </c>
      <c r="O101" s="348">
        <f t="shared" si="279"/>
        <v>2007</v>
      </c>
      <c r="P101" s="348">
        <f t="shared" si="279"/>
        <v>2008</v>
      </c>
      <c r="Q101" s="1073">
        <f t="shared" si="279"/>
        <v>2009</v>
      </c>
      <c r="R101" s="348">
        <f t="shared" si="279"/>
        <v>2010</v>
      </c>
      <c r="S101" s="348">
        <f t="shared" si="279"/>
        <v>2011</v>
      </c>
      <c r="T101" s="1073">
        <f t="shared" si="279"/>
        <v>2012</v>
      </c>
      <c r="U101" s="348">
        <f t="shared" si="279"/>
        <v>2013</v>
      </c>
      <c r="V101" s="348" t="str">
        <f t="shared" si="279"/>
        <v>2014</v>
      </c>
      <c r="W101" s="348" t="str">
        <f t="shared" ref="W101:AB101" si="280">W5</f>
        <v>2015</v>
      </c>
      <c r="X101" s="348" t="str">
        <f t="shared" si="280"/>
        <v>2016</v>
      </c>
      <c r="Y101" s="348" t="str">
        <f t="shared" si="280"/>
        <v>2017</v>
      </c>
      <c r="Z101" s="348" t="str">
        <f t="shared" si="280"/>
        <v>2018E</v>
      </c>
      <c r="AA101" s="348" t="str">
        <f t="shared" si="280"/>
        <v>2019E</v>
      </c>
      <c r="AB101" s="348" t="str">
        <f t="shared" si="280"/>
        <v>2020E</v>
      </c>
      <c r="AC101" s="348" t="str">
        <f t="shared" ref="AC101:AG101" si="281">AC5</f>
        <v>2021E</v>
      </c>
      <c r="AD101" s="348" t="str">
        <f t="shared" si="281"/>
        <v>2022E</v>
      </c>
      <c r="AE101" s="348" t="str">
        <f t="shared" si="281"/>
        <v>2023E</v>
      </c>
      <c r="AF101" s="348" t="str">
        <f t="shared" si="281"/>
        <v>2024E</v>
      </c>
      <c r="AG101" s="348" t="str">
        <f t="shared" si="281"/>
        <v>2025E</v>
      </c>
      <c r="AH101" s="1242"/>
      <c r="AI101" s="446"/>
      <c r="AJ101" s="446"/>
      <c r="AK101" s="446"/>
      <c r="AL101" s="446"/>
      <c r="AM101" s="446"/>
      <c r="AN101" s="348"/>
      <c r="AO101" s="446"/>
      <c r="AP101" s="448"/>
      <c r="AQ101" s="348"/>
      <c r="AR101" s="348"/>
      <c r="AS101" s="348"/>
      <c r="AT101" s="448"/>
      <c r="AU101" s="348"/>
      <c r="AV101" s="348"/>
      <c r="AW101" s="348"/>
      <c r="AX101" s="448"/>
      <c r="AY101" s="348"/>
      <c r="AZ101" s="348"/>
      <c r="BA101" s="348"/>
      <c r="BB101" s="448"/>
      <c r="BC101" s="348"/>
      <c r="BD101" s="348"/>
      <c r="BE101" s="348"/>
      <c r="BF101" s="448"/>
      <c r="BG101" s="348"/>
      <c r="BH101" s="348"/>
      <c r="BI101" s="348"/>
      <c r="BJ101" s="448"/>
      <c r="BK101" s="348"/>
      <c r="BL101" s="348"/>
      <c r="BM101" s="348"/>
      <c r="BN101" s="448"/>
      <c r="BO101" s="348"/>
      <c r="BP101" s="348"/>
      <c r="BQ101" s="348"/>
      <c r="BR101" s="448"/>
      <c r="BS101" s="348"/>
      <c r="BT101" s="348"/>
      <c r="BU101" s="348"/>
      <c r="BV101" s="448"/>
      <c r="BW101" s="348"/>
      <c r="BX101" s="348"/>
      <c r="BY101" s="348"/>
      <c r="BZ101" s="448"/>
      <c r="CA101" s="348"/>
      <c r="CB101" s="348"/>
      <c r="CC101" s="348"/>
      <c r="CD101" s="448"/>
      <c r="CE101" s="348"/>
      <c r="CF101" s="348"/>
      <c r="CG101" s="348"/>
      <c r="CH101" s="448" t="str">
        <f t="shared" ref="CH101:DE101" si="282">CH5</f>
        <v>1Q08</v>
      </c>
      <c r="CI101" s="348" t="str">
        <f t="shared" si="282"/>
        <v>2Q08</v>
      </c>
      <c r="CJ101" s="348" t="str">
        <f t="shared" si="282"/>
        <v>3Q08</v>
      </c>
      <c r="CK101" s="348" t="str">
        <f t="shared" si="282"/>
        <v>4Q08</v>
      </c>
      <c r="CL101" s="448" t="str">
        <f t="shared" si="282"/>
        <v>1Q09</v>
      </c>
      <c r="CM101" s="348" t="str">
        <f t="shared" si="282"/>
        <v>2Q09</v>
      </c>
      <c r="CN101" s="348" t="str">
        <f t="shared" si="282"/>
        <v>3Q09</v>
      </c>
      <c r="CO101" s="348" t="str">
        <f t="shared" si="282"/>
        <v>4Q09</v>
      </c>
      <c r="CP101" s="448" t="str">
        <f t="shared" si="282"/>
        <v>1Q10</v>
      </c>
      <c r="CQ101" s="348" t="str">
        <f t="shared" si="282"/>
        <v>2Q10</v>
      </c>
      <c r="CR101" s="348" t="str">
        <f t="shared" si="282"/>
        <v>3Q10</v>
      </c>
      <c r="CS101" s="348" t="str">
        <f t="shared" si="282"/>
        <v>4Q10</v>
      </c>
      <c r="CT101" s="448" t="str">
        <f t="shared" si="282"/>
        <v>1Q11</v>
      </c>
      <c r="CU101" s="348" t="str">
        <f t="shared" si="282"/>
        <v>2Q11</v>
      </c>
      <c r="CV101" s="348" t="str">
        <f t="shared" si="282"/>
        <v>3Q11</v>
      </c>
      <c r="CW101" s="447" t="str">
        <f t="shared" si="282"/>
        <v>4Q11</v>
      </c>
      <c r="CX101" s="348" t="str">
        <f t="shared" si="282"/>
        <v>1Q12</v>
      </c>
      <c r="CY101" s="348" t="str">
        <f t="shared" si="282"/>
        <v>2Q12</v>
      </c>
      <c r="CZ101" s="348" t="str">
        <f t="shared" si="282"/>
        <v>3Q12</v>
      </c>
      <c r="DA101" s="348" t="str">
        <f t="shared" si="282"/>
        <v>4Q12</v>
      </c>
      <c r="DB101" s="448" t="str">
        <f t="shared" si="282"/>
        <v>1Q13</v>
      </c>
      <c r="DC101" s="348" t="str">
        <f t="shared" si="282"/>
        <v>2Q13</v>
      </c>
      <c r="DD101" s="348" t="str">
        <f t="shared" si="282"/>
        <v>3Q13</v>
      </c>
      <c r="DE101" s="348" t="str">
        <f t="shared" si="282"/>
        <v>4Q13</v>
      </c>
      <c r="DF101" s="448" t="str">
        <f>DF5</f>
        <v>1Q14</v>
      </c>
      <c r="DG101" s="1073" t="str">
        <f>DG5</f>
        <v>2Q14</v>
      </c>
      <c r="DH101" s="1073" t="str">
        <f>DH5</f>
        <v>3Q14</v>
      </c>
      <c r="DI101" s="447" t="str">
        <f>DI5</f>
        <v>4Q14</v>
      </c>
      <c r="DJ101" s="448" t="str">
        <f t="shared" ref="DJ101:DM101" si="283">DJ5</f>
        <v>1Q15</v>
      </c>
      <c r="DK101" s="1073" t="str">
        <f t="shared" si="283"/>
        <v>2Q15</v>
      </c>
      <c r="DL101" s="1073" t="str">
        <f t="shared" si="283"/>
        <v>3Q15</v>
      </c>
      <c r="DM101" s="447" t="str">
        <f t="shared" si="283"/>
        <v>4Q15</v>
      </c>
      <c r="DN101" s="1073" t="str">
        <f t="shared" ref="DN101:DO101" si="284">DN5</f>
        <v>1Q16</v>
      </c>
      <c r="DO101" s="1073" t="str">
        <f t="shared" si="284"/>
        <v>2Q16</v>
      </c>
      <c r="DP101" s="1073" t="str">
        <f t="shared" ref="DP101:DQ101" si="285">DP5</f>
        <v>3Q16</v>
      </c>
      <c r="DQ101" s="447" t="str">
        <f t="shared" si="285"/>
        <v>4Q16</v>
      </c>
      <c r="DR101" s="1073" t="str">
        <f t="shared" ref="DR101:DS101" si="286">DR5</f>
        <v>1Q17</v>
      </c>
      <c r="DS101" s="1073" t="str">
        <f t="shared" si="286"/>
        <v>2Q17</v>
      </c>
      <c r="DT101" s="1073" t="str">
        <f t="shared" ref="DT101:DU101" si="287">DT5</f>
        <v>3Q17</v>
      </c>
      <c r="DU101" s="1073" t="str">
        <f t="shared" si="287"/>
        <v>4Q17</v>
      </c>
      <c r="DV101" s="1073" t="str">
        <f t="shared" ref="DV101" si="288">DV5</f>
        <v>1Q18</v>
      </c>
      <c r="DW101" s="1073" t="str">
        <f t="shared" ref="DW101:DY101" si="289">DW5</f>
        <v>2Q18E</v>
      </c>
      <c r="DX101" s="1073" t="str">
        <f t="shared" si="289"/>
        <v>3Q18E</v>
      </c>
      <c r="DY101" s="447" t="str">
        <f t="shared" si="289"/>
        <v>4Q18E</v>
      </c>
      <c r="DZ101" s="87"/>
    </row>
    <row r="102" spans="1:130" hidden="1">
      <c r="A102" s="88" t="s">
        <v>315</v>
      </c>
      <c r="B102" s="87"/>
      <c r="C102" s="87"/>
      <c r="D102" s="87"/>
      <c r="E102" s="143"/>
      <c r="F102" s="143"/>
      <c r="G102" s="143">
        <v>2500</v>
      </c>
      <c r="H102" s="143">
        <v>3900</v>
      </c>
      <c r="I102" s="143">
        <v>4500</v>
      </c>
      <c r="J102" s="143"/>
      <c r="K102" s="143"/>
      <c r="L102" s="143"/>
      <c r="M102" s="143"/>
      <c r="N102" s="143"/>
      <c r="O102" s="143"/>
      <c r="P102" s="143"/>
      <c r="Q102" s="1047"/>
      <c r="R102" s="143"/>
      <c r="S102" s="143"/>
      <c r="T102" s="1047"/>
      <c r="U102" s="143"/>
      <c r="V102" s="143"/>
      <c r="W102" s="143"/>
      <c r="X102" s="143"/>
      <c r="Y102" s="143"/>
      <c r="Z102" s="143"/>
      <c r="AA102" s="143"/>
      <c r="AB102" s="143"/>
      <c r="AC102" s="143"/>
      <c r="AD102" s="143"/>
      <c r="AE102" s="143"/>
      <c r="AF102" s="143"/>
      <c r="AG102" s="143"/>
      <c r="AH102" s="1237"/>
      <c r="AI102" s="143"/>
      <c r="AJ102" s="143"/>
      <c r="AK102" s="143"/>
      <c r="AL102" s="143"/>
      <c r="AM102" s="143"/>
      <c r="AN102" s="143"/>
      <c r="AO102" s="143"/>
      <c r="AP102" s="159"/>
      <c r="AQ102" s="143"/>
      <c r="AR102" s="143"/>
      <c r="AS102" s="143"/>
      <c r="AT102" s="159"/>
      <c r="AU102" s="143"/>
      <c r="AV102" s="143"/>
      <c r="AW102" s="143"/>
      <c r="AX102" s="159"/>
      <c r="AY102" s="143"/>
      <c r="AZ102" s="143"/>
      <c r="BA102" s="143"/>
      <c r="BB102" s="159"/>
      <c r="BC102" s="143"/>
      <c r="BD102" s="143"/>
      <c r="BE102" s="143"/>
      <c r="BF102" s="159"/>
      <c r="BG102" s="143"/>
      <c r="BH102" s="143"/>
      <c r="BI102" s="143"/>
      <c r="BJ102" s="159"/>
      <c r="BK102" s="143"/>
      <c r="BL102" s="143"/>
      <c r="BM102" s="143"/>
      <c r="BN102" s="159"/>
      <c r="BO102" s="143"/>
      <c r="BP102" s="143"/>
      <c r="BQ102" s="143"/>
      <c r="BR102" s="159"/>
      <c r="BS102" s="143"/>
      <c r="BT102" s="143"/>
      <c r="BU102" s="143"/>
      <c r="BV102" s="159"/>
      <c r="BW102" s="143"/>
      <c r="BX102" s="143"/>
      <c r="BY102" s="143"/>
      <c r="BZ102" s="159"/>
      <c r="CA102" s="143"/>
      <c r="CB102" s="143"/>
      <c r="CC102" s="143"/>
      <c r="CD102" s="159"/>
      <c r="CE102" s="143"/>
      <c r="CF102" s="143"/>
      <c r="CG102" s="143"/>
      <c r="CH102" s="159"/>
      <c r="CI102" s="143"/>
      <c r="CJ102" s="143"/>
      <c r="CK102" s="143"/>
      <c r="CL102" s="159"/>
      <c r="CM102" s="143"/>
      <c r="CN102" s="143"/>
      <c r="CO102" s="143"/>
      <c r="CP102" s="159"/>
      <c r="CQ102" s="143"/>
      <c r="CR102" s="143"/>
      <c r="CS102" s="143"/>
      <c r="CT102" s="159"/>
      <c r="CU102" s="143"/>
      <c r="CV102" s="143"/>
      <c r="CW102" s="189"/>
      <c r="CX102" s="143"/>
      <c r="CY102" s="143"/>
      <c r="CZ102" s="143"/>
      <c r="DA102" s="143"/>
      <c r="DB102" s="159"/>
      <c r="DC102" s="143"/>
      <c r="DD102" s="143"/>
      <c r="DE102" s="143"/>
      <c r="DF102" s="159"/>
      <c r="DG102" s="1047"/>
      <c r="DH102" s="1047"/>
      <c r="DI102" s="189"/>
      <c r="DJ102" s="159"/>
      <c r="DK102" s="1047"/>
      <c r="DL102" s="1047"/>
      <c r="DM102" s="189"/>
      <c r="DN102" s="1047"/>
      <c r="DO102" s="1047"/>
      <c r="DP102" s="1047"/>
      <c r="DQ102" s="189"/>
      <c r="DR102" s="1047"/>
      <c r="DS102" s="1047"/>
      <c r="DT102" s="1047"/>
      <c r="DU102" s="1047"/>
      <c r="DV102" s="1047"/>
      <c r="DW102" s="1047"/>
      <c r="DX102" s="1047"/>
      <c r="DY102" s="189"/>
      <c r="DZ102" s="87"/>
    </row>
    <row r="103" spans="1:130" hidden="1">
      <c r="A103" s="749" t="s">
        <v>991</v>
      </c>
      <c r="B103" s="87"/>
      <c r="C103" s="87"/>
      <c r="D103" s="91"/>
      <c r="E103" s="149"/>
      <c r="F103" s="105"/>
      <c r="G103" s="105"/>
      <c r="H103" s="105">
        <f>H102/G102-1</f>
        <v>0.56000000000000005</v>
      </c>
      <c r="I103" s="105">
        <f>I102/H102-1</f>
        <v>0.15384615384615374</v>
      </c>
      <c r="J103" s="105"/>
      <c r="K103" s="105"/>
      <c r="L103" s="105"/>
      <c r="M103" s="105"/>
      <c r="N103" s="105"/>
      <c r="O103" s="105"/>
      <c r="P103" s="105"/>
      <c r="Q103" s="1132"/>
      <c r="R103" s="105"/>
      <c r="S103" s="105"/>
      <c r="T103" s="1132"/>
      <c r="U103" s="105"/>
      <c r="V103" s="105"/>
      <c r="W103" s="105"/>
      <c r="X103" s="105"/>
      <c r="Y103" s="105"/>
      <c r="Z103" s="105"/>
      <c r="AA103" s="105"/>
      <c r="AB103" s="105"/>
      <c r="AC103" s="105"/>
      <c r="AD103" s="105"/>
      <c r="AE103" s="105"/>
      <c r="AF103" s="105"/>
      <c r="AG103" s="105"/>
      <c r="AH103" s="3050"/>
      <c r="AI103" s="149"/>
      <c r="AJ103" s="149"/>
      <c r="AK103" s="149"/>
      <c r="AL103" s="149"/>
      <c r="AM103" s="91"/>
      <c r="AN103" s="149"/>
      <c r="AO103" s="149"/>
      <c r="AP103" s="150"/>
      <c r="AQ103" s="149"/>
      <c r="AR103" s="149"/>
      <c r="AS103" s="149"/>
      <c r="AT103" s="150"/>
      <c r="AU103" s="149"/>
      <c r="AV103" s="149"/>
      <c r="AW103" s="149"/>
      <c r="AX103" s="150"/>
      <c r="AY103" s="149"/>
      <c r="AZ103" s="149"/>
      <c r="BA103" s="149"/>
      <c r="BB103" s="150"/>
      <c r="BC103" s="149"/>
      <c r="BD103" s="149"/>
      <c r="BE103" s="149"/>
      <c r="BF103" s="150"/>
      <c r="BG103" s="149"/>
      <c r="BH103" s="149"/>
      <c r="BI103" s="149"/>
      <c r="BJ103" s="150"/>
      <c r="BK103" s="149"/>
      <c r="BL103" s="149"/>
      <c r="BM103" s="149"/>
      <c r="BN103" s="150"/>
      <c r="BO103" s="149"/>
      <c r="BP103" s="149"/>
      <c r="BQ103" s="149"/>
      <c r="BR103" s="150"/>
      <c r="BS103" s="149"/>
      <c r="BT103" s="149"/>
      <c r="BU103" s="149"/>
      <c r="BV103" s="150"/>
      <c r="BW103" s="149"/>
      <c r="BX103" s="149"/>
      <c r="BY103" s="149"/>
      <c r="BZ103" s="150"/>
      <c r="CA103" s="149"/>
      <c r="CB103" s="149"/>
      <c r="CC103" s="149"/>
      <c r="CD103" s="150"/>
      <c r="CE103" s="149"/>
      <c r="CF103" s="149"/>
      <c r="CG103" s="149"/>
      <c r="CH103" s="150"/>
      <c r="CI103" s="149"/>
      <c r="CJ103" s="149"/>
      <c r="CK103" s="149"/>
      <c r="CL103" s="150"/>
      <c r="CM103" s="149"/>
      <c r="CN103" s="149"/>
      <c r="CO103" s="149"/>
      <c r="CP103" s="150"/>
      <c r="CQ103" s="149"/>
      <c r="CR103" s="149"/>
      <c r="CS103" s="149"/>
      <c r="CT103" s="150"/>
      <c r="CU103" s="149"/>
      <c r="CV103" s="149"/>
      <c r="CW103" s="155"/>
      <c r="CX103" s="149"/>
      <c r="CY103" s="149"/>
      <c r="CZ103" s="149"/>
      <c r="DA103" s="149"/>
      <c r="DB103" s="150"/>
      <c r="DC103" s="149"/>
      <c r="DD103" s="149"/>
      <c r="DE103" s="149"/>
      <c r="DF103" s="150"/>
      <c r="DG103" s="1113"/>
      <c r="DH103" s="1113"/>
      <c r="DI103" s="155"/>
      <c r="DJ103" s="150"/>
      <c r="DK103" s="1113"/>
      <c r="DL103" s="1113"/>
      <c r="DM103" s="155"/>
      <c r="DN103" s="1113"/>
      <c r="DO103" s="1113"/>
      <c r="DP103" s="1113"/>
      <c r="DQ103" s="155"/>
      <c r="DR103" s="1113"/>
      <c r="DS103" s="1113"/>
      <c r="DT103" s="1113"/>
      <c r="DU103" s="1113"/>
      <c r="DV103" s="1113"/>
      <c r="DW103" s="1113"/>
      <c r="DX103" s="1113"/>
      <c r="DY103" s="155"/>
      <c r="DZ103" s="87"/>
    </row>
    <row r="104" spans="1:130" hidden="1">
      <c r="A104" s="88" t="s">
        <v>534</v>
      </c>
      <c r="B104" s="87"/>
      <c r="C104" s="87"/>
      <c r="D104" s="87"/>
      <c r="E104" s="143"/>
      <c r="F104" s="143"/>
      <c r="G104" s="143">
        <v>5300</v>
      </c>
      <c r="H104" s="143">
        <v>5700</v>
      </c>
      <c r="I104" s="143">
        <v>5250</v>
      </c>
      <c r="J104" s="143"/>
      <c r="K104" s="143"/>
      <c r="L104" s="143"/>
      <c r="M104" s="143"/>
      <c r="N104" s="143"/>
      <c r="O104" s="143"/>
      <c r="P104" s="143"/>
      <c r="Q104" s="1047"/>
      <c r="R104" s="143"/>
      <c r="S104" s="143"/>
      <c r="T104" s="1047"/>
      <c r="U104" s="143"/>
      <c r="V104" s="143"/>
      <c r="W104" s="143"/>
      <c r="X104" s="143"/>
      <c r="Y104" s="143"/>
      <c r="Z104" s="143"/>
      <c r="AA104" s="143"/>
      <c r="AB104" s="143"/>
      <c r="AC104" s="143"/>
      <c r="AD104" s="143"/>
      <c r="AE104" s="143"/>
      <c r="AF104" s="143"/>
      <c r="AG104" s="143"/>
      <c r="AH104" s="1237"/>
      <c r="AI104" s="143"/>
      <c r="AJ104" s="143"/>
      <c r="AK104" s="143"/>
      <c r="AL104" s="143"/>
      <c r="AM104" s="143"/>
      <c r="AN104" s="143"/>
      <c r="AO104" s="143"/>
      <c r="AP104" s="159"/>
      <c r="AQ104" s="143"/>
      <c r="AR104" s="143"/>
      <c r="AS104" s="143"/>
      <c r="AT104" s="159"/>
      <c r="AU104" s="143"/>
      <c r="AV104" s="143"/>
      <c r="AW104" s="143"/>
      <c r="AX104" s="159"/>
      <c r="AY104" s="143"/>
      <c r="AZ104" s="143"/>
      <c r="BA104" s="143"/>
      <c r="BB104" s="159"/>
      <c r="BC104" s="143"/>
      <c r="BD104" s="143"/>
      <c r="BE104" s="143"/>
      <c r="BF104" s="159"/>
      <c r="BG104" s="143"/>
      <c r="BH104" s="143"/>
      <c r="BI104" s="143"/>
      <c r="BJ104" s="159"/>
      <c r="BK104" s="143"/>
      <c r="BL104" s="143"/>
      <c r="BM104" s="143"/>
      <c r="BN104" s="159"/>
      <c r="BO104" s="143"/>
      <c r="BP104" s="143"/>
      <c r="BQ104" s="143"/>
      <c r="BR104" s="159"/>
      <c r="BS104" s="143"/>
      <c r="BT104" s="143"/>
      <c r="BU104" s="143"/>
      <c r="BV104" s="159"/>
      <c r="BW104" s="143"/>
      <c r="BX104" s="143"/>
      <c r="BY104" s="143"/>
      <c r="BZ104" s="159"/>
      <c r="CA104" s="143"/>
      <c r="CB104" s="143"/>
      <c r="CC104" s="143"/>
      <c r="CD104" s="159"/>
      <c r="CE104" s="143"/>
      <c r="CF104" s="143"/>
      <c r="CG104" s="143"/>
      <c r="CH104" s="159"/>
      <c r="CI104" s="143"/>
      <c r="CJ104" s="143"/>
      <c r="CK104" s="143"/>
      <c r="CL104" s="159"/>
      <c r="CM104" s="143"/>
      <c r="CN104" s="143"/>
      <c r="CO104" s="143"/>
      <c r="CP104" s="159"/>
      <c r="CQ104" s="143"/>
      <c r="CR104" s="143"/>
      <c r="CS104" s="143"/>
      <c r="CT104" s="159"/>
      <c r="CU104" s="143"/>
      <c r="CV104" s="143"/>
      <c r="CW104" s="189"/>
      <c r="CX104" s="143"/>
      <c r="CY104" s="143"/>
      <c r="CZ104" s="143"/>
      <c r="DA104" s="143"/>
      <c r="DB104" s="159"/>
      <c r="DC104" s="143"/>
      <c r="DD104" s="143"/>
      <c r="DE104" s="143"/>
      <c r="DF104" s="159"/>
      <c r="DG104" s="1047"/>
      <c r="DH104" s="1047"/>
      <c r="DI104" s="189"/>
      <c r="DJ104" s="159"/>
      <c r="DK104" s="1047"/>
      <c r="DL104" s="1047"/>
      <c r="DM104" s="189"/>
      <c r="DN104" s="1047"/>
      <c r="DO104" s="1047"/>
      <c r="DP104" s="1047"/>
      <c r="DQ104" s="189"/>
      <c r="DR104" s="1047"/>
      <c r="DS104" s="1047"/>
      <c r="DT104" s="1047"/>
      <c r="DU104" s="1047"/>
      <c r="DV104" s="1047"/>
      <c r="DW104" s="1047"/>
      <c r="DX104" s="1047"/>
      <c r="DY104" s="189"/>
      <c r="DZ104" s="87"/>
    </row>
    <row r="105" spans="1:130" hidden="1">
      <c r="A105" s="749" t="s">
        <v>991</v>
      </c>
      <c r="B105" s="87"/>
      <c r="C105" s="87"/>
      <c r="D105" s="91"/>
      <c r="E105" s="149"/>
      <c r="F105" s="105"/>
      <c r="G105" s="105"/>
      <c r="H105" s="105">
        <f>H104/G104-1</f>
        <v>7.547169811320753E-2</v>
      </c>
      <c r="I105" s="105">
        <f>I104/H104-1</f>
        <v>-7.8947368421052655E-2</v>
      </c>
      <c r="J105" s="105"/>
      <c r="K105" s="105"/>
      <c r="L105" s="105"/>
      <c r="M105" s="105"/>
      <c r="N105" s="105"/>
      <c r="O105" s="105"/>
      <c r="P105" s="105"/>
      <c r="Q105" s="1132"/>
      <c r="R105" s="105"/>
      <c r="S105" s="105"/>
      <c r="T105" s="1132"/>
      <c r="U105" s="105"/>
      <c r="V105" s="105"/>
      <c r="W105" s="105"/>
      <c r="X105" s="105"/>
      <c r="Y105" s="105"/>
      <c r="Z105" s="105"/>
      <c r="AA105" s="105"/>
      <c r="AB105" s="105"/>
      <c r="AC105" s="105"/>
      <c r="AD105" s="105"/>
      <c r="AE105" s="105"/>
      <c r="AF105" s="105"/>
      <c r="AG105" s="105"/>
      <c r="AH105" s="3050"/>
      <c r="AI105" s="149"/>
      <c r="AJ105" s="149"/>
      <c r="AK105" s="149"/>
      <c r="AL105" s="149"/>
      <c r="AM105" s="91"/>
      <c r="AN105" s="149"/>
      <c r="AO105" s="149"/>
      <c r="AP105" s="150"/>
      <c r="AQ105" s="149"/>
      <c r="AR105" s="149"/>
      <c r="AS105" s="149"/>
      <c r="AT105" s="150"/>
      <c r="AU105" s="149"/>
      <c r="AV105" s="149"/>
      <c r="AW105" s="149"/>
      <c r="AX105" s="150"/>
      <c r="AY105" s="149"/>
      <c r="AZ105" s="149"/>
      <c r="BA105" s="149"/>
      <c r="BB105" s="150"/>
      <c r="BC105" s="149"/>
      <c r="BD105" s="149"/>
      <c r="BE105" s="149"/>
      <c r="BF105" s="150"/>
      <c r="BG105" s="149"/>
      <c r="BH105" s="149"/>
      <c r="BI105" s="149"/>
      <c r="BJ105" s="150"/>
      <c r="BK105" s="149"/>
      <c r="BL105" s="149"/>
      <c r="BM105" s="149"/>
      <c r="BN105" s="150"/>
      <c r="BO105" s="149"/>
      <c r="BP105" s="149"/>
      <c r="BQ105" s="149"/>
      <c r="BR105" s="150"/>
      <c r="BS105" s="149"/>
      <c r="BT105" s="149"/>
      <c r="BU105" s="149"/>
      <c r="BV105" s="150"/>
      <c r="BW105" s="149"/>
      <c r="BX105" s="149"/>
      <c r="BY105" s="149"/>
      <c r="BZ105" s="150"/>
      <c r="CA105" s="149"/>
      <c r="CB105" s="149"/>
      <c r="CC105" s="149"/>
      <c r="CD105" s="150"/>
      <c r="CE105" s="149"/>
      <c r="CF105" s="149"/>
      <c r="CG105" s="149"/>
      <c r="CH105" s="150"/>
      <c r="CI105" s="149"/>
      <c r="CJ105" s="149"/>
      <c r="CK105" s="149"/>
      <c r="CL105" s="150"/>
      <c r="CM105" s="149"/>
      <c r="CN105" s="149"/>
      <c r="CO105" s="149"/>
      <c r="CP105" s="150"/>
      <c r="CQ105" s="149"/>
      <c r="CR105" s="149"/>
      <c r="CS105" s="149"/>
      <c r="CT105" s="150"/>
      <c r="CU105" s="149"/>
      <c r="CV105" s="149"/>
      <c r="CW105" s="155"/>
      <c r="CX105" s="149"/>
      <c r="CY105" s="149"/>
      <c r="CZ105" s="149"/>
      <c r="DA105" s="149"/>
      <c r="DB105" s="150"/>
      <c r="DC105" s="149"/>
      <c r="DD105" s="149"/>
      <c r="DE105" s="149"/>
      <c r="DF105" s="150"/>
      <c r="DG105" s="1113"/>
      <c r="DH105" s="1113"/>
      <c r="DI105" s="155"/>
      <c r="DJ105" s="150"/>
      <c r="DK105" s="1113"/>
      <c r="DL105" s="1113"/>
      <c r="DM105" s="155"/>
      <c r="DN105" s="1113"/>
      <c r="DO105" s="1113"/>
      <c r="DP105" s="1113"/>
      <c r="DQ105" s="155"/>
      <c r="DR105" s="1113"/>
      <c r="DS105" s="1113"/>
      <c r="DT105" s="1113"/>
      <c r="DU105" s="1113"/>
      <c r="DV105" s="1113"/>
      <c r="DW105" s="1113"/>
      <c r="DX105" s="1113"/>
      <c r="DY105" s="155"/>
      <c r="DZ105" s="87"/>
    </row>
    <row r="106" spans="1:130" hidden="1">
      <c r="A106" s="88" t="s">
        <v>535</v>
      </c>
      <c r="B106" s="87"/>
      <c r="C106" s="87"/>
      <c r="D106" s="87"/>
      <c r="E106" s="143"/>
      <c r="F106" s="143"/>
      <c r="G106" s="143">
        <v>2300</v>
      </c>
      <c r="H106" s="143">
        <v>2500</v>
      </c>
      <c r="I106" s="143">
        <f>I108-I102-I104</f>
        <v>2963</v>
      </c>
      <c r="J106" s="143"/>
      <c r="K106" s="143"/>
      <c r="L106" s="143"/>
      <c r="M106" s="143"/>
      <c r="N106" s="143"/>
      <c r="O106" s="143"/>
      <c r="P106" s="143"/>
      <c r="Q106" s="1047"/>
      <c r="R106" s="143"/>
      <c r="S106" s="143"/>
      <c r="T106" s="1047"/>
      <c r="U106" s="143"/>
      <c r="V106" s="143"/>
      <c r="W106" s="143"/>
      <c r="X106" s="143"/>
      <c r="Y106" s="143"/>
      <c r="Z106" s="143"/>
      <c r="AA106" s="143"/>
      <c r="AB106" s="143"/>
      <c r="AC106" s="143"/>
      <c r="AD106" s="143"/>
      <c r="AE106" s="143"/>
      <c r="AF106" s="143"/>
      <c r="AG106" s="143"/>
      <c r="AH106" s="1237"/>
      <c r="AI106" s="143"/>
      <c r="AJ106" s="143"/>
      <c r="AK106" s="143"/>
      <c r="AL106" s="143"/>
      <c r="AM106" s="143"/>
      <c r="AN106" s="143"/>
      <c r="AO106" s="143"/>
      <c r="AP106" s="159"/>
      <c r="AQ106" s="143"/>
      <c r="AR106" s="143"/>
      <c r="AS106" s="143"/>
      <c r="AT106" s="159"/>
      <c r="AU106" s="143"/>
      <c r="AV106" s="143"/>
      <c r="AW106" s="143"/>
      <c r="AX106" s="159"/>
      <c r="AY106" s="143"/>
      <c r="AZ106" s="143"/>
      <c r="BA106" s="143"/>
      <c r="BB106" s="159"/>
      <c r="BC106" s="143"/>
      <c r="BD106" s="143"/>
      <c r="BE106" s="143"/>
      <c r="BF106" s="159"/>
      <c r="BG106" s="143"/>
      <c r="BH106" s="143"/>
      <c r="BI106" s="143"/>
      <c r="BJ106" s="159"/>
      <c r="BK106" s="143"/>
      <c r="BL106" s="143"/>
      <c r="BM106" s="143"/>
      <c r="BN106" s="159"/>
      <c r="BO106" s="143"/>
      <c r="BP106" s="143"/>
      <c r="BQ106" s="143"/>
      <c r="BR106" s="159"/>
      <c r="BS106" s="143"/>
      <c r="BT106" s="143"/>
      <c r="BU106" s="143"/>
      <c r="BV106" s="159"/>
      <c r="BW106" s="143"/>
      <c r="BX106" s="143"/>
      <c r="BY106" s="143"/>
      <c r="BZ106" s="159"/>
      <c r="CA106" s="143"/>
      <c r="CB106" s="143"/>
      <c r="CC106" s="143"/>
      <c r="CD106" s="159"/>
      <c r="CE106" s="143"/>
      <c r="CF106" s="143"/>
      <c r="CG106" s="143"/>
      <c r="CH106" s="159"/>
      <c r="CI106" s="149"/>
      <c r="CJ106" s="143"/>
      <c r="CK106" s="143"/>
      <c r="CL106" s="159"/>
      <c r="CM106" s="143"/>
      <c r="CN106" s="143"/>
      <c r="CO106" s="143"/>
      <c r="CP106" s="159"/>
      <c r="CQ106" s="143"/>
      <c r="CR106" s="143"/>
      <c r="CS106" s="143"/>
      <c r="CT106" s="159"/>
      <c r="CU106" s="143"/>
      <c r="CV106" s="143"/>
      <c r="CW106" s="189"/>
      <c r="CX106" s="143"/>
      <c r="CY106" s="143"/>
      <c r="CZ106" s="143"/>
      <c r="DA106" s="143"/>
      <c r="DB106" s="159"/>
      <c r="DC106" s="143"/>
      <c r="DD106" s="143"/>
      <c r="DE106" s="143"/>
      <c r="DF106" s="159"/>
      <c r="DG106" s="1047"/>
      <c r="DH106" s="1047"/>
      <c r="DI106" s="189"/>
      <c r="DJ106" s="159"/>
      <c r="DK106" s="1047"/>
      <c r="DL106" s="1047"/>
      <c r="DM106" s="189"/>
      <c r="DN106" s="1047"/>
      <c r="DO106" s="1047"/>
      <c r="DP106" s="1047"/>
      <c r="DQ106" s="189"/>
      <c r="DR106" s="1047"/>
      <c r="DS106" s="1047"/>
      <c r="DT106" s="1047"/>
      <c r="DU106" s="1047"/>
      <c r="DV106" s="1047"/>
      <c r="DW106" s="1047"/>
      <c r="DX106" s="1047"/>
      <c r="DY106" s="189"/>
      <c r="DZ106" s="87"/>
    </row>
    <row r="107" spans="1:130" hidden="1">
      <c r="A107" s="749" t="s">
        <v>991</v>
      </c>
      <c r="B107" s="87"/>
      <c r="C107" s="87"/>
      <c r="D107" s="91"/>
      <c r="E107" s="149"/>
      <c r="F107" s="105"/>
      <c r="G107" s="105"/>
      <c r="H107" s="105">
        <f>H106/G106-1</f>
        <v>8.6956521739130377E-2</v>
      </c>
      <c r="I107" s="105">
        <f>I106/H106-1</f>
        <v>0.18520000000000003</v>
      </c>
      <c r="J107" s="105"/>
      <c r="K107" s="105"/>
      <c r="L107" s="105"/>
      <c r="M107" s="105"/>
      <c r="N107" s="105"/>
      <c r="O107" s="105"/>
      <c r="P107" s="105"/>
      <c r="Q107" s="1113"/>
      <c r="R107" s="105"/>
      <c r="S107" s="105"/>
      <c r="T107" s="1132"/>
      <c r="U107" s="105"/>
      <c r="V107" s="105"/>
      <c r="W107" s="105"/>
      <c r="X107" s="105"/>
      <c r="Y107" s="105"/>
      <c r="Z107" s="105"/>
      <c r="AA107" s="105"/>
      <c r="AB107" s="105"/>
      <c r="AC107" s="105"/>
      <c r="AD107" s="105"/>
      <c r="AE107" s="105"/>
      <c r="AF107" s="105"/>
      <c r="AG107" s="105"/>
      <c r="AH107" s="3050"/>
      <c r="AI107" s="149"/>
      <c r="AJ107" s="149"/>
      <c r="AK107" s="149"/>
      <c r="AL107" s="149"/>
      <c r="AM107" s="91"/>
      <c r="AN107" s="149"/>
      <c r="AO107" s="149"/>
      <c r="AP107" s="150"/>
      <c r="AQ107" s="149"/>
      <c r="AR107" s="149"/>
      <c r="AS107" s="149"/>
      <c r="AT107" s="150"/>
      <c r="AU107" s="149"/>
      <c r="AV107" s="149"/>
      <c r="AW107" s="149"/>
      <c r="AX107" s="150"/>
      <c r="AY107" s="149"/>
      <c r="AZ107" s="149"/>
      <c r="BA107" s="149"/>
      <c r="BB107" s="150"/>
      <c r="BC107" s="149"/>
      <c r="BD107" s="149"/>
      <c r="BE107" s="149"/>
      <c r="BF107" s="150"/>
      <c r="BG107" s="149"/>
      <c r="BH107" s="149"/>
      <c r="BI107" s="149"/>
      <c r="BJ107" s="150"/>
      <c r="BK107" s="149"/>
      <c r="BL107" s="149"/>
      <c r="BM107" s="149"/>
      <c r="BN107" s="150"/>
      <c r="BO107" s="149"/>
      <c r="BP107" s="149"/>
      <c r="BQ107" s="149"/>
      <c r="BR107" s="150"/>
      <c r="BS107" s="149"/>
      <c r="BT107" s="149"/>
      <c r="BU107" s="149"/>
      <c r="BV107" s="150"/>
      <c r="BW107" s="149"/>
      <c r="BX107" s="149"/>
      <c r="BY107" s="149"/>
      <c r="BZ107" s="150"/>
      <c r="CA107" s="149"/>
      <c r="CB107" s="149"/>
      <c r="CC107" s="149"/>
      <c r="CD107" s="150"/>
      <c r="CE107" s="149"/>
      <c r="CF107" s="149"/>
      <c r="CG107" s="149"/>
      <c r="CH107" s="150"/>
      <c r="CI107" s="149"/>
      <c r="CJ107" s="149"/>
      <c r="CK107" s="149"/>
      <c r="CL107" s="150"/>
      <c r="CM107" s="149"/>
      <c r="CN107" s="149"/>
      <c r="CO107" s="149"/>
      <c r="CP107" s="150"/>
      <c r="CQ107" s="149"/>
      <c r="CR107" s="149"/>
      <c r="CS107" s="149"/>
      <c r="CT107" s="150"/>
      <c r="CU107" s="149"/>
      <c r="CV107" s="149"/>
      <c r="CW107" s="155"/>
      <c r="CX107" s="149"/>
      <c r="CY107" s="149"/>
      <c r="CZ107" s="149"/>
      <c r="DA107" s="149"/>
      <c r="DB107" s="150"/>
      <c r="DC107" s="149"/>
      <c r="DD107" s="149"/>
      <c r="DE107" s="149"/>
      <c r="DF107" s="150"/>
      <c r="DG107" s="1113"/>
      <c r="DH107" s="1113"/>
      <c r="DI107" s="155"/>
      <c r="DJ107" s="150"/>
      <c r="DK107" s="1113"/>
      <c r="DL107" s="1113"/>
      <c r="DM107" s="155"/>
      <c r="DN107" s="1113"/>
      <c r="DO107" s="1113"/>
      <c r="DP107" s="1113"/>
      <c r="DQ107" s="155"/>
      <c r="DR107" s="1113"/>
      <c r="DS107" s="1113"/>
      <c r="DT107" s="1113"/>
      <c r="DU107" s="1113"/>
      <c r="DV107" s="1113"/>
      <c r="DW107" s="1113"/>
      <c r="DX107" s="1113"/>
      <c r="DY107" s="155"/>
      <c r="DZ107" s="87"/>
    </row>
    <row r="108" spans="1:130">
      <c r="A108" s="178" t="s">
        <v>689</v>
      </c>
      <c r="B108" s="169"/>
      <c r="C108" s="169"/>
      <c r="D108" s="169"/>
      <c r="E108" s="169"/>
      <c r="F108" s="169"/>
      <c r="G108" s="169">
        <f>G106+G104+G102</f>
        <v>10100</v>
      </c>
      <c r="H108" s="169">
        <f>H106+H104+H102</f>
        <v>12100</v>
      </c>
      <c r="I108" s="169">
        <f>I128-I114-I126</f>
        <v>12713</v>
      </c>
      <c r="J108" s="169">
        <f>J128-J114-J126</f>
        <v>8054</v>
      </c>
      <c r="K108" s="169">
        <f>K128-K114-K126</f>
        <v>6820</v>
      </c>
      <c r="L108" s="169">
        <f>L128-L114-L126</f>
        <v>7118</v>
      </c>
      <c r="M108" s="169">
        <f>M128-M114-M126</f>
        <v>8267</v>
      </c>
      <c r="N108" s="169">
        <f t="shared" ref="N108:S108" si="290">N128-N114-N126-N112</f>
        <v>10259</v>
      </c>
      <c r="O108" s="169">
        <f t="shared" si="290"/>
        <v>10956</v>
      </c>
      <c r="P108" s="169">
        <f t="shared" si="290"/>
        <v>9797</v>
      </c>
      <c r="Q108" s="1051">
        <f t="shared" si="290"/>
        <v>8892</v>
      </c>
      <c r="R108" s="169">
        <f t="shared" si="290"/>
        <v>7269</v>
      </c>
      <c r="S108" s="169">
        <f t="shared" si="290"/>
        <v>6399</v>
      </c>
      <c r="T108" s="1051">
        <f>SUM(CX108:DA108)</f>
        <v>6342</v>
      </c>
      <c r="U108" s="169">
        <f>SUM(DB108:DE108)</f>
        <v>6229</v>
      </c>
      <c r="V108" s="169">
        <f>SUM(DF108:DI108)</f>
        <v>5750</v>
      </c>
      <c r="W108" s="169">
        <f>SUM(DJ108:DM108)</f>
        <v>5049</v>
      </c>
      <c r="X108" s="169">
        <f>SUM(DN108:DQ108)</f>
        <v>4504</v>
      </c>
      <c r="Y108" s="169">
        <f>SUM(DR108:DU108)</f>
        <v>5331</v>
      </c>
      <c r="Z108" s="169">
        <f ca="1">SUM(DV108:DY108)</f>
        <v>6512.188470243851</v>
      </c>
      <c r="AA108" s="169">
        <f ca="1">AA128-AA114-AA126-AA112</f>
        <v>3587.9476174181673</v>
      </c>
      <c r="AB108" s="169">
        <f ca="1">AB128-AB114-AB126-AB112</f>
        <v>3606.8442337023062</v>
      </c>
      <c r="AC108" s="169">
        <f t="shared" ref="AC108:AG108" ca="1" si="291">AC128-AC114-AC126-AC112</f>
        <v>3621.6999312516746</v>
      </c>
      <c r="AD108" s="169">
        <f t="shared" ca="1" si="291"/>
        <v>3633.4765103809896</v>
      </c>
      <c r="AE108" s="169">
        <f t="shared" ca="1" si="291"/>
        <v>3642.3157773849325</v>
      </c>
      <c r="AF108" s="169">
        <f t="shared" ca="1" si="291"/>
        <v>3648.0426393360285</v>
      </c>
      <c r="AG108" s="169">
        <f t="shared" ca="1" si="291"/>
        <v>4951.542148952989</v>
      </c>
      <c r="AH108" s="532"/>
      <c r="AI108" s="169"/>
      <c r="AJ108" s="169"/>
      <c r="AK108" s="169"/>
      <c r="AL108" s="169"/>
      <c r="AM108" s="761"/>
      <c r="AN108" s="317">
        <f>(T108/N108)^(1/6)-1</f>
        <v>-7.7031523928816403E-2</v>
      </c>
      <c r="AO108" s="169"/>
      <c r="AP108" s="178"/>
      <c r="AQ108" s="169"/>
      <c r="AR108" s="169"/>
      <c r="AS108" s="169"/>
      <c r="AT108" s="178"/>
      <c r="AU108" s="169"/>
      <c r="AV108" s="169"/>
      <c r="AW108" s="169"/>
      <c r="AX108" s="178"/>
      <c r="AY108" s="169"/>
      <c r="AZ108" s="169"/>
      <c r="BA108" s="169"/>
      <c r="BB108" s="178"/>
      <c r="BC108" s="169"/>
      <c r="BD108" s="169"/>
      <c r="BE108" s="169"/>
      <c r="BF108" s="178"/>
      <c r="BG108" s="169"/>
      <c r="BH108" s="169"/>
      <c r="BI108" s="169"/>
      <c r="BJ108" s="178">
        <f t="shared" ref="BJ108:BY108" si="292">BJ131</f>
        <v>1685</v>
      </c>
      <c r="BK108" s="169">
        <f t="shared" si="292"/>
        <v>1960</v>
      </c>
      <c r="BL108" s="169">
        <f t="shared" si="292"/>
        <v>1764</v>
      </c>
      <c r="BM108" s="169">
        <f t="shared" si="292"/>
        <v>2645</v>
      </c>
      <c r="BN108" s="178">
        <f t="shared" si="292"/>
        <v>1286</v>
      </c>
      <c r="BO108" s="169">
        <f t="shared" si="292"/>
        <v>1733</v>
      </c>
      <c r="BP108" s="169">
        <f t="shared" si="292"/>
        <v>1746</v>
      </c>
      <c r="BQ108" s="169">
        <f t="shared" si="292"/>
        <v>2055</v>
      </c>
      <c r="BR108" s="178">
        <f t="shared" si="292"/>
        <v>1282</v>
      </c>
      <c r="BS108" s="169">
        <f t="shared" si="292"/>
        <v>1660</v>
      </c>
      <c r="BT108" s="169">
        <f t="shared" si="292"/>
        <v>1761</v>
      </c>
      <c r="BU108" s="169">
        <f t="shared" si="292"/>
        <v>2415</v>
      </c>
      <c r="BV108" s="178">
        <f t="shared" si="292"/>
        <v>1892</v>
      </c>
      <c r="BW108" s="169">
        <f t="shared" si="292"/>
        <v>2152</v>
      </c>
      <c r="BX108" s="169">
        <f t="shared" si="292"/>
        <v>2172</v>
      </c>
      <c r="BY108" s="169">
        <f t="shared" si="292"/>
        <v>2051</v>
      </c>
      <c r="BZ108" s="178">
        <f t="shared" ref="BZ108:DE108" si="293">BZ131-BZ112</f>
        <v>2418</v>
      </c>
      <c r="CA108" s="169">
        <f t="shared" si="293"/>
        <v>2592</v>
      </c>
      <c r="CB108" s="169">
        <f t="shared" si="293"/>
        <v>2334</v>
      </c>
      <c r="CC108" s="169">
        <f t="shared" si="293"/>
        <v>2915</v>
      </c>
      <c r="CD108" s="178">
        <f t="shared" si="293"/>
        <v>2439</v>
      </c>
      <c r="CE108" s="169">
        <f t="shared" si="293"/>
        <v>2681</v>
      </c>
      <c r="CF108" s="169">
        <f t="shared" si="293"/>
        <v>2753</v>
      </c>
      <c r="CG108" s="169">
        <f t="shared" si="293"/>
        <v>3083</v>
      </c>
      <c r="CH108" s="178">
        <f t="shared" si="293"/>
        <v>2379</v>
      </c>
      <c r="CI108" s="169">
        <f t="shared" si="293"/>
        <v>2456</v>
      </c>
      <c r="CJ108" s="169">
        <f t="shared" si="293"/>
        <v>2483</v>
      </c>
      <c r="CK108" s="169">
        <f t="shared" si="293"/>
        <v>2479</v>
      </c>
      <c r="CL108" s="178">
        <f t="shared" si="293"/>
        <v>2003</v>
      </c>
      <c r="CM108" s="169">
        <f t="shared" si="293"/>
        <v>2338</v>
      </c>
      <c r="CN108" s="169">
        <f t="shared" si="293"/>
        <v>2273</v>
      </c>
      <c r="CO108" s="169">
        <f t="shared" si="293"/>
        <v>2278</v>
      </c>
      <c r="CP108" s="178">
        <f t="shared" si="293"/>
        <v>1566</v>
      </c>
      <c r="CQ108" s="169">
        <f t="shared" si="293"/>
        <v>1781</v>
      </c>
      <c r="CR108" s="169">
        <f t="shared" si="293"/>
        <v>1751</v>
      </c>
      <c r="CS108" s="169">
        <f t="shared" si="293"/>
        <v>2171</v>
      </c>
      <c r="CT108" s="178">
        <f t="shared" si="293"/>
        <v>1465</v>
      </c>
      <c r="CU108" s="169">
        <f t="shared" si="293"/>
        <v>1685</v>
      </c>
      <c r="CV108" s="169">
        <f t="shared" si="293"/>
        <v>1617</v>
      </c>
      <c r="CW108" s="179">
        <f t="shared" si="293"/>
        <v>1632</v>
      </c>
      <c r="CX108" s="169">
        <f t="shared" si="293"/>
        <v>1537</v>
      </c>
      <c r="CY108" s="169">
        <f t="shared" si="293"/>
        <v>1596</v>
      </c>
      <c r="CZ108" s="169">
        <f t="shared" si="293"/>
        <v>1484</v>
      </c>
      <c r="DA108" s="169">
        <f t="shared" si="293"/>
        <v>1725</v>
      </c>
      <c r="DB108" s="178">
        <f t="shared" si="293"/>
        <v>1434</v>
      </c>
      <c r="DC108" s="169">
        <f t="shared" si="293"/>
        <v>1515</v>
      </c>
      <c r="DD108" s="169">
        <f t="shared" si="293"/>
        <v>1518</v>
      </c>
      <c r="DE108" s="169">
        <f t="shared" si="293"/>
        <v>1762</v>
      </c>
      <c r="DF108" s="178">
        <f t="shared" ref="DF108:DK108" si="294">DF131-DF112</f>
        <v>1385</v>
      </c>
      <c r="DG108" s="1051">
        <f t="shared" si="294"/>
        <v>1345</v>
      </c>
      <c r="DH108" s="1051">
        <f t="shared" si="294"/>
        <v>1464</v>
      </c>
      <c r="DI108" s="179">
        <f t="shared" si="294"/>
        <v>1556</v>
      </c>
      <c r="DJ108" s="178">
        <f t="shared" si="294"/>
        <v>1077</v>
      </c>
      <c r="DK108" s="1051">
        <f t="shared" si="294"/>
        <v>1134</v>
      </c>
      <c r="DL108" s="1051">
        <f t="shared" ref="DL108:DQ108" si="295">DL131-DL112</f>
        <v>1202</v>
      </c>
      <c r="DM108" s="179">
        <f t="shared" si="295"/>
        <v>1636</v>
      </c>
      <c r="DN108" s="1051">
        <f t="shared" si="295"/>
        <v>1006</v>
      </c>
      <c r="DO108" s="1051">
        <f t="shared" si="295"/>
        <v>814</v>
      </c>
      <c r="DP108" s="1051">
        <f t="shared" si="295"/>
        <v>1036</v>
      </c>
      <c r="DQ108" s="179">
        <f t="shared" si="295"/>
        <v>1648</v>
      </c>
      <c r="DR108" s="1051">
        <f t="shared" ref="DR108:DS108" si="296">DR131-DR112</f>
        <v>960</v>
      </c>
      <c r="DS108" s="1051">
        <f t="shared" si="296"/>
        <v>1190</v>
      </c>
      <c r="DT108" s="1051">
        <f t="shared" ref="DT108:DU108" si="297">DT131-DT112</f>
        <v>1200</v>
      </c>
      <c r="DU108" s="1051">
        <f t="shared" si="297"/>
        <v>1981</v>
      </c>
      <c r="DV108" s="1051">
        <f t="shared" ref="DV108" si="298">DV131-DV112</f>
        <v>1673</v>
      </c>
      <c r="DW108" s="1051">
        <f t="shared" ref="DW108:DY108" ca="1" si="299">DW128-DW114-DW126</f>
        <v>1560.522143410531</v>
      </c>
      <c r="DX108" s="1051">
        <f t="shared" ca="1" si="299"/>
        <v>1581.3189985517956</v>
      </c>
      <c r="DY108" s="179">
        <f t="shared" ca="1" si="299"/>
        <v>1697.3473282815248</v>
      </c>
      <c r="DZ108" s="109"/>
    </row>
    <row r="109" spans="1:130">
      <c r="A109" s="176" t="s">
        <v>991</v>
      </c>
      <c r="B109" s="94"/>
      <c r="C109" s="94"/>
      <c r="D109" s="94"/>
      <c r="E109" s="94"/>
      <c r="F109" s="94"/>
      <c r="G109" s="94"/>
      <c r="H109" s="94">
        <f t="shared" ref="H109:AB109" si="300">H108/G108-1</f>
        <v>0.19801980198019797</v>
      </c>
      <c r="I109" s="94">
        <f t="shared" si="300"/>
        <v>5.0661157024793457E-2</v>
      </c>
      <c r="J109" s="94">
        <f t="shared" si="300"/>
        <v>-0.36647526154330212</v>
      </c>
      <c r="K109" s="94">
        <f t="shared" si="300"/>
        <v>-0.15321579339458657</v>
      </c>
      <c r="L109" s="94">
        <f t="shared" si="300"/>
        <v>4.3695014662756604E-2</v>
      </c>
      <c r="M109" s="94">
        <f t="shared" si="300"/>
        <v>0.16142174768193307</v>
      </c>
      <c r="N109" s="94">
        <f t="shared" si="300"/>
        <v>0.24095802588605308</v>
      </c>
      <c r="O109" s="94">
        <f t="shared" si="300"/>
        <v>6.7940345062871721E-2</v>
      </c>
      <c r="P109" s="94">
        <f t="shared" si="300"/>
        <v>-0.10578678349762682</v>
      </c>
      <c r="Q109" s="1045">
        <f t="shared" si="300"/>
        <v>-9.2375216903133661E-2</v>
      </c>
      <c r="R109" s="94">
        <f t="shared" si="300"/>
        <v>-0.18252361673414308</v>
      </c>
      <c r="S109" s="94">
        <f t="shared" si="300"/>
        <v>-0.11968633924886507</v>
      </c>
      <c r="T109" s="1045">
        <f t="shared" si="300"/>
        <v>-8.907641819034251E-3</v>
      </c>
      <c r="U109" s="94">
        <f t="shared" si="300"/>
        <v>-1.7817723115736372E-2</v>
      </c>
      <c r="V109" s="94">
        <f t="shared" si="300"/>
        <v>-7.6898378551934488E-2</v>
      </c>
      <c r="W109" s="94">
        <f>W108/V108-1</f>
        <v>-0.12191304347826082</v>
      </c>
      <c r="X109" s="94">
        <f>X108/W108-1</f>
        <v>-0.10794216676569612</v>
      </c>
      <c r="Y109" s="94">
        <f>Y108/X108-1</f>
        <v>0.18361456483126104</v>
      </c>
      <c r="Z109" s="94">
        <f ca="1">Z108/Y108-1</f>
        <v>0.2215697749472616</v>
      </c>
      <c r="AA109" s="94">
        <f t="shared" ca="1" si="300"/>
        <v>-0.44904118887028843</v>
      </c>
      <c r="AB109" s="94">
        <f t="shared" ca="1" si="300"/>
        <v>5.2666923542592503E-3</v>
      </c>
      <c r="AC109" s="94">
        <f t="shared" ref="AC109" ca="1" si="301">AC108/AB108-1</f>
        <v>4.1187521796912652E-3</v>
      </c>
      <c r="AD109" s="94">
        <f t="shared" ref="AD109" ca="1" si="302">AD108/AC108-1</f>
        <v>3.2516716881194618E-3</v>
      </c>
      <c r="AE109" s="94">
        <f t="shared" ref="AE109" ca="1" si="303">AE108/AD108-1</f>
        <v>2.4327299154649484E-3</v>
      </c>
      <c r="AF109" s="94">
        <f t="shared" ref="AF109" ca="1" si="304">AF108/AE108-1</f>
        <v>1.5723134129814742E-3</v>
      </c>
      <c r="AG109" s="94">
        <f t="shared" ref="AG109" ca="1" si="305">AG108/AF108-1</f>
        <v>0.35731476807908336</v>
      </c>
      <c r="AH109" s="138"/>
      <c r="AI109" s="94"/>
      <c r="AJ109" s="94"/>
      <c r="AK109" s="94"/>
      <c r="AL109" s="94"/>
      <c r="AM109" s="94"/>
      <c r="AN109" s="94"/>
      <c r="AO109" s="94"/>
      <c r="AP109" s="147"/>
      <c r="AQ109" s="94"/>
      <c r="AR109" s="94"/>
      <c r="AS109" s="94"/>
      <c r="AT109" s="147"/>
      <c r="AU109" s="94"/>
      <c r="AV109" s="94"/>
      <c r="AW109" s="94"/>
      <c r="AX109" s="147"/>
      <c r="AY109" s="94"/>
      <c r="AZ109" s="94"/>
      <c r="BA109" s="94"/>
      <c r="BB109" s="147"/>
      <c r="BC109" s="94"/>
      <c r="BD109" s="94"/>
      <c r="BE109" s="94"/>
      <c r="BF109" s="147"/>
      <c r="BG109" s="94"/>
      <c r="BH109" s="94"/>
      <c r="BI109" s="94"/>
      <c r="BJ109" s="147"/>
      <c r="BK109" s="94"/>
      <c r="BL109" s="94"/>
      <c r="BM109" s="94"/>
      <c r="BN109" s="147">
        <f t="shared" ref="BN109:DV109" si="306">BN108/BJ108-1</f>
        <v>-0.23679525222551934</v>
      </c>
      <c r="BO109" s="94">
        <f t="shared" si="306"/>
        <v>-0.11581632653061225</v>
      </c>
      <c r="BP109" s="94">
        <f t="shared" si="306"/>
        <v>-1.0204081632653073E-2</v>
      </c>
      <c r="BQ109" s="94">
        <f t="shared" si="306"/>
        <v>-0.22306238185255201</v>
      </c>
      <c r="BR109" s="147">
        <f t="shared" si="306"/>
        <v>-3.1104199066873672E-3</v>
      </c>
      <c r="BS109" s="94">
        <f t="shared" si="306"/>
        <v>-4.2123485285631812E-2</v>
      </c>
      <c r="BT109" s="94">
        <f t="shared" si="306"/>
        <v>8.5910652920961894E-3</v>
      </c>
      <c r="BU109" s="94">
        <f t="shared" si="306"/>
        <v>0.17518248175182483</v>
      </c>
      <c r="BV109" s="147">
        <f t="shared" si="306"/>
        <v>0.47581903276131055</v>
      </c>
      <c r="BW109" s="94">
        <f t="shared" si="306"/>
        <v>0.29638554216867474</v>
      </c>
      <c r="BX109" s="94">
        <f t="shared" si="306"/>
        <v>0.23339011925042596</v>
      </c>
      <c r="BY109" s="94">
        <f t="shared" si="306"/>
        <v>-0.1507246376811594</v>
      </c>
      <c r="BZ109" s="147">
        <f t="shared" si="306"/>
        <v>0.2780126849894291</v>
      </c>
      <c r="CA109" s="94">
        <f t="shared" si="306"/>
        <v>0.20446096654275103</v>
      </c>
      <c r="CB109" s="94">
        <f t="shared" si="306"/>
        <v>7.4585635359116109E-2</v>
      </c>
      <c r="CC109" s="94">
        <f t="shared" si="306"/>
        <v>0.42125792296440756</v>
      </c>
      <c r="CD109" s="147">
        <f t="shared" si="306"/>
        <v>8.6848635235732274E-3</v>
      </c>
      <c r="CE109" s="94">
        <f t="shared" si="306"/>
        <v>3.4336419753086433E-2</v>
      </c>
      <c r="CF109" s="94">
        <f t="shared" si="306"/>
        <v>0.17952013710368475</v>
      </c>
      <c r="CG109" s="94">
        <f t="shared" si="306"/>
        <v>5.7632933104631245E-2</v>
      </c>
      <c r="CH109" s="147">
        <f t="shared" si="306"/>
        <v>-2.4600246002460024E-2</v>
      </c>
      <c r="CI109" s="94">
        <f t="shared" si="306"/>
        <v>-8.3923908989183116E-2</v>
      </c>
      <c r="CJ109" s="94">
        <f t="shared" si="306"/>
        <v>-9.8074827460951641E-2</v>
      </c>
      <c r="CK109" s="94">
        <f t="shared" si="306"/>
        <v>-0.1959130716834252</v>
      </c>
      <c r="CL109" s="147">
        <f t="shared" si="306"/>
        <v>-0.15804960067255147</v>
      </c>
      <c r="CM109" s="94">
        <f t="shared" si="306"/>
        <v>-4.8045602605863214E-2</v>
      </c>
      <c r="CN109" s="94">
        <f t="shared" si="306"/>
        <v>-8.4575110753121185E-2</v>
      </c>
      <c r="CO109" s="94">
        <f t="shared" si="306"/>
        <v>-8.108108108108103E-2</v>
      </c>
      <c r="CP109" s="147">
        <f t="shared" si="306"/>
        <v>-0.218172740888667</v>
      </c>
      <c r="CQ109" s="94">
        <f t="shared" si="306"/>
        <v>-0.2382378100940975</v>
      </c>
      <c r="CR109" s="94">
        <f t="shared" si="306"/>
        <v>-0.22965244170699517</v>
      </c>
      <c r="CS109" s="94">
        <f t="shared" si="306"/>
        <v>-4.6971027216856864E-2</v>
      </c>
      <c r="CT109" s="147">
        <f t="shared" si="306"/>
        <v>-6.4495530012771418E-2</v>
      </c>
      <c r="CU109" s="94">
        <f t="shared" si="306"/>
        <v>-5.3902302077484587E-2</v>
      </c>
      <c r="CV109" s="94">
        <f t="shared" si="306"/>
        <v>-7.6527698458023985E-2</v>
      </c>
      <c r="CW109" s="101">
        <f t="shared" si="306"/>
        <v>-0.24827268539843395</v>
      </c>
      <c r="CX109" s="94">
        <f t="shared" si="306"/>
        <v>4.9146757679180864E-2</v>
      </c>
      <c r="CY109" s="94">
        <f t="shared" si="306"/>
        <v>-5.2818991097922874E-2</v>
      </c>
      <c r="CZ109" s="94">
        <f t="shared" si="306"/>
        <v>-8.2251082251082241E-2</v>
      </c>
      <c r="DA109" s="94">
        <f t="shared" si="306"/>
        <v>5.6985294117646967E-2</v>
      </c>
      <c r="DB109" s="147">
        <f t="shared" si="306"/>
        <v>-6.7013662979830801E-2</v>
      </c>
      <c r="DC109" s="94">
        <f t="shared" si="306"/>
        <v>-5.0751879699248104E-2</v>
      </c>
      <c r="DD109" s="94">
        <f t="shared" si="306"/>
        <v>2.2911051212938016E-2</v>
      </c>
      <c r="DE109" s="94">
        <f t="shared" si="306"/>
        <v>2.1449275362318776E-2</v>
      </c>
      <c r="DF109" s="147">
        <f t="shared" si="306"/>
        <v>-3.4170153417015348E-2</v>
      </c>
      <c r="DG109" s="1045">
        <f t="shared" si="306"/>
        <v>-0.11221122112211224</v>
      </c>
      <c r="DH109" s="1045">
        <f t="shared" si="306"/>
        <v>-3.5573122529644285E-2</v>
      </c>
      <c r="DI109" s="101">
        <f t="shared" si="306"/>
        <v>-0.1169125993189557</v>
      </c>
      <c r="DJ109" s="147">
        <f t="shared" si="306"/>
        <v>-0.22238267148014446</v>
      </c>
      <c r="DK109" s="1045">
        <f t="shared" si="306"/>
        <v>-0.15687732342007432</v>
      </c>
      <c r="DL109" s="1045">
        <f t="shared" si="306"/>
        <v>-0.17896174863387981</v>
      </c>
      <c r="DM109" s="101">
        <f t="shared" si="306"/>
        <v>5.1413881748072043E-2</v>
      </c>
      <c r="DN109" s="1045">
        <f t="shared" si="306"/>
        <v>-6.5923862581244164E-2</v>
      </c>
      <c r="DO109" s="1045">
        <f t="shared" si="306"/>
        <v>-0.2821869488536155</v>
      </c>
      <c r="DP109" s="1045">
        <f t="shared" si="306"/>
        <v>-0.13810316139767054</v>
      </c>
      <c r="DQ109" s="101">
        <f t="shared" si="306"/>
        <v>7.3349633251833524E-3</v>
      </c>
      <c r="DR109" s="1045">
        <f t="shared" si="306"/>
        <v>-4.5725646123260466E-2</v>
      </c>
      <c r="DS109" s="1045">
        <f t="shared" si="306"/>
        <v>0.46191646191646196</v>
      </c>
      <c r="DT109" s="1045">
        <f t="shared" si="306"/>
        <v>0.15830115830115821</v>
      </c>
      <c r="DU109" s="1045">
        <f t="shared" si="306"/>
        <v>0.2020631067961165</v>
      </c>
      <c r="DV109" s="1045">
        <f t="shared" si="306"/>
        <v>0.7427083333333333</v>
      </c>
      <c r="DW109" s="1045">
        <f t="shared" ref="DW109" ca="1" si="307">DW108/DS108-1</f>
        <v>0.31136314572313539</v>
      </c>
      <c r="DX109" s="1045">
        <f t="shared" ref="DX109" ca="1" si="308">DX108/DT108-1</f>
        <v>0.31776583212649645</v>
      </c>
      <c r="DY109" s="101">
        <f t="shared" ref="DY109" ca="1" si="309">DY108/DU108-1</f>
        <v>-0.14318660864133026</v>
      </c>
      <c r="DZ109" s="94"/>
    </row>
    <row r="110" spans="1:130">
      <c r="A110" s="176" t="s">
        <v>499</v>
      </c>
      <c r="B110" s="94"/>
      <c r="C110" s="94"/>
      <c r="D110" s="94"/>
      <c r="E110" s="94"/>
      <c r="F110" s="94"/>
      <c r="G110" s="94"/>
      <c r="H110" s="94"/>
      <c r="I110" s="94"/>
      <c r="J110" s="94"/>
      <c r="K110" s="94"/>
      <c r="L110" s="94"/>
      <c r="M110" s="94"/>
      <c r="N110" s="94">
        <f>N108/(IS!N30-IS!N14)</f>
        <v>0.20858862307988935</v>
      </c>
      <c r="O110" s="94">
        <f>O108/(IS!O30-IS!O14)</f>
        <v>0.22592951560018973</v>
      </c>
      <c r="P110" s="94">
        <f>P108/(IS!P30-IS!P14)</f>
        <v>0.20511263713256847</v>
      </c>
      <c r="Q110" s="1045">
        <f>Q108/(IS!Q30-IS!Q14)</f>
        <v>0.21127162136475955</v>
      </c>
      <c r="R110" s="94">
        <f>R108/(IS!R30-IS!R14)</f>
        <v>0.17721056095955534</v>
      </c>
      <c r="S110" s="94">
        <f>S108/(IS!S30-IS!S14)</f>
        <v>0.15714250632351859</v>
      </c>
      <c r="T110" s="1045">
        <f>T108/(IS!T30-IS!T14)</f>
        <v>0.15966365398655624</v>
      </c>
      <c r="U110" s="94">
        <f>U108/(IS!U30-IS!U14)</f>
        <v>0.16001335799424579</v>
      </c>
      <c r="V110" s="94">
        <f>V108/(IS!V30-IS!V14)</f>
        <v>0.1467697883962529</v>
      </c>
      <c r="W110" s="94">
        <f>W108/(IS!W30-IS!W14)</f>
        <v>0.13378023899737687</v>
      </c>
      <c r="X110" s="94">
        <f>X108/(IS!X30-IS!X14)</f>
        <v>0.12418318674349996</v>
      </c>
      <c r="Y110" s="94">
        <f>Y108/(IS!Y30-IS!Y14)</f>
        <v>0.13838486099213457</v>
      </c>
      <c r="Z110" s="94">
        <f ca="1">Z108/(IS!Z30-IS!Z14)</f>
        <v>0.16302974073284957</v>
      </c>
      <c r="AA110" s="94">
        <f ca="1">AA108/(IS!AA30-IS!AA14)</f>
        <v>9.0344623496965842E-2</v>
      </c>
      <c r="AB110" s="94">
        <f ca="1">AB108/(IS!AB30-IS!AB14)</f>
        <v>9.1329139675970575E-2</v>
      </c>
      <c r="AC110" s="94">
        <f ca="1">AC108/(IS!AC30-IS!AC14)</f>
        <v>9.2158751661735788E-2</v>
      </c>
      <c r="AD110" s="94">
        <f ca="1">AD108/(IS!AD30-IS!AD14)</f>
        <v>9.2863282329431182E-2</v>
      </c>
      <c r="AE110" s="94">
        <f ca="1">AE108/(IS!AE30-IS!AE14)</f>
        <v>9.3450855091985141E-2</v>
      </c>
      <c r="AF110" s="94">
        <f ca="1">AF108/(IS!AF30-IS!AF14)</f>
        <v>9.3920543662787612E-2</v>
      </c>
      <c r="AG110" s="94">
        <f ca="1">AG108/(IS!AG30-IS!AG14)</f>
        <v>0.12786933919392857</v>
      </c>
      <c r="AH110" s="138"/>
      <c r="AI110" s="94"/>
      <c r="AJ110" s="94"/>
      <c r="AK110" s="94"/>
      <c r="AL110" s="94"/>
      <c r="AM110" s="94"/>
      <c r="AN110" s="94"/>
      <c r="AO110" s="94"/>
      <c r="AP110" s="147"/>
      <c r="AQ110" s="94"/>
      <c r="AR110" s="94"/>
      <c r="AS110" s="94"/>
      <c r="AT110" s="147"/>
      <c r="AU110" s="94"/>
      <c r="AV110" s="94"/>
      <c r="AW110" s="94"/>
      <c r="AX110" s="147"/>
      <c r="AY110" s="94"/>
      <c r="AZ110" s="94"/>
      <c r="BA110" s="94"/>
      <c r="BB110" s="147"/>
      <c r="BC110" s="94"/>
      <c r="BD110" s="94"/>
      <c r="BE110" s="94"/>
      <c r="BF110" s="147"/>
      <c r="BG110" s="94"/>
      <c r="BH110" s="94"/>
      <c r="BI110" s="94"/>
      <c r="BJ110" s="147"/>
      <c r="BK110" s="94"/>
      <c r="BL110" s="94"/>
      <c r="BM110" s="94"/>
      <c r="BN110" s="147">
        <v>0.13118433132714474</v>
      </c>
      <c r="BO110" s="94">
        <v>0.17734343020875973</v>
      </c>
      <c r="BP110" s="94">
        <v>0.1796850879901204</v>
      </c>
      <c r="BQ110" s="94">
        <v>0.21048857933012394</v>
      </c>
      <c r="BR110" s="147">
        <v>0.13521780402911085</v>
      </c>
      <c r="BS110" s="94">
        <v>0.17488411293721029</v>
      </c>
      <c r="BT110" s="94">
        <v>0.18507619548081977</v>
      </c>
      <c r="BU110" s="94">
        <v>0.25333053603272843</v>
      </c>
      <c r="BV110" s="147">
        <v>0.20198569445927192</v>
      </c>
      <c r="BW110" s="94">
        <v>0.22784542085759663</v>
      </c>
      <c r="BX110" s="94">
        <v>0.22996294335627315</v>
      </c>
      <c r="BY110" s="94">
        <v>0.21914734480179507</v>
      </c>
      <c r="BZ110" s="147">
        <f>BZ108/Wireline!BZ75</f>
        <v>0.19914346895074947</v>
      </c>
      <c r="CA110" s="94">
        <f>CA108/Wireline!CA75</f>
        <v>0.20807578068555832</v>
      </c>
      <c r="CB110" s="94">
        <f>CB108/Wireline!CB75</f>
        <v>0.18697428502763758</v>
      </c>
      <c r="CC110" s="94">
        <f>CC108/Wireline!CC75</f>
        <v>0.23466430526485269</v>
      </c>
      <c r="CD110" s="147">
        <f>CD108/Wireline!CD75</f>
        <v>0.20027919198554772</v>
      </c>
      <c r="CE110" s="94">
        <f>CE108/Wireline!CE75</f>
        <v>0.21743714517437146</v>
      </c>
      <c r="CF110" s="94">
        <f>CF108/Wireline!CF75</f>
        <v>0.22251859036534108</v>
      </c>
      <c r="CG110" s="94">
        <f>CG108/Wireline!CG75</f>
        <v>0.25169401583802758</v>
      </c>
      <c r="CH110" s="147">
        <f>CH108/Wireline!CH75</f>
        <v>0.1978213869948445</v>
      </c>
      <c r="CI110" s="94">
        <f>CI108/Wireline!CI75</f>
        <v>0.20275736811689921</v>
      </c>
      <c r="CJ110" s="94">
        <f>CJ108/Wireline!CJ75</f>
        <v>0.20422766902451062</v>
      </c>
      <c r="CK110" s="94">
        <f>CK108/Wireline!CK75</f>
        <v>0.20802215322648318</v>
      </c>
      <c r="CL110" s="147">
        <f>CL108/Wireline!CL75</f>
        <v>0.19000189717321192</v>
      </c>
      <c r="CM110" s="94">
        <f>CM108/Wireline!CM75</f>
        <v>0.22133863485752153</v>
      </c>
      <c r="CN110" s="94">
        <f>CN108/Wireline!CN75</f>
        <v>0.21308709102840537</v>
      </c>
      <c r="CO110" s="94">
        <f>CO108/Wireline!CO75</f>
        <v>0.21529156034401287</v>
      </c>
      <c r="CP110" s="147">
        <f>CP108/Wireline!CP75</f>
        <v>0.15093975903614457</v>
      </c>
      <c r="CQ110" s="94">
        <f>CQ108/Wireline!CQ75</f>
        <v>0.17329960105089035</v>
      </c>
      <c r="CR110" s="94">
        <f>CR108/Wireline!CR75</f>
        <v>0.1702313824615983</v>
      </c>
      <c r="CS110" s="94">
        <f>CS108/Wireline!CS75</f>
        <v>0.21100204101467587</v>
      </c>
      <c r="CT110" s="147">
        <f>CT108/Wireline!CT75</f>
        <v>0.14437764856607865</v>
      </c>
      <c r="CU110" s="94">
        <f>CU108/Wireline!CU75</f>
        <v>0.16443837220649946</v>
      </c>
      <c r="CV110" s="94">
        <f>CV108/Wireline!CV75</f>
        <v>0.15932604197457878</v>
      </c>
      <c r="CW110" s="101">
        <f>CW108/Wireline!CW75</f>
        <v>0.16096261958773053</v>
      </c>
      <c r="CX110" s="94">
        <f>CX108/Wireline!CX75</f>
        <v>0.15455002513826044</v>
      </c>
      <c r="CY110" s="94">
        <f>CY108/Wireline!CY75</f>
        <v>0.16114701130856221</v>
      </c>
      <c r="CZ110" s="94">
        <f>CZ108/Wireline!CZ75</f>
        <v>0.1496873108735122</v>
      </c>
      <c r="DA110" s="94">
        <f>DA108/Wireline!DA75</f>
        <v>0.17674180327868852</v>
      </c>
      <c r="DB110" s="147">
        <f>DB108/Wireline!DB75</f>
        <v>0.14860103626943005</v>
      </c>
      <c r="DC110" s="94">
        <f>DC108/Wireline!DC75</f>
        <v>0.15773034877667882</v>
      </c>
      <c r="DD110" s="94">
        <f>DD108/Wireline!DD75</f>
        <v>0.15719167443305374</v>
      </c>
      <c r="DE110" s="94">
        <f>DE108/Wireline!DE75</f>
        <v>0.18142504118616146</v>
      </c>
      <c r="DF110" s="147">
        <f>DF108/Wireline!DF75</f>
        <v>0.14334506313392673</v>
      </c>
      <c r="DG110" s="1045">
        <f>DG108/Wireline!DG75</f>
        <v>0.13965320319800645</v>
      </c>
      <c r="DH110" s="1045">
        <f>DH108/Wireline!DH75</f>
        <v>0.15288220551378445</v>
      </c>
      <c r="DI110" s="101">
        <f>DI108/Wireline!DI75</f>
        <v>0.16276150627615063</v>
      </c>
      <c r="DJ110" s="147">
        <f>DJ108/Wireline!DJ75</f>
        <v>0.12082118016603097</v>
      </c>
      <c r="DK110" s="1045">
        <f>DK108/Wireline!DK75</f>
        <v>0.12776025236593061</v>
      </c>
      <c r="DL110" s="1537">
        <f>DL108/Wireline!DL75</f>
        <v>0.13642038361139486</v>
      </c>
      <c r="DM110" s="2476">
        <f>DM108/Wireline!DM75</f>
        <v>0.18340807174887894</v>
      </c>
      <c r="DN110" s="1537">
        <f>DN108/Wireline!DN75</f>
        <v>0.1147746719908728</v>
      </c>
      <c r="DO110" s="1537">
        <f>DO108/Wireline!DO75</f>
        <v>0.10405215390515148</v>
      </c>
      <c r="DP110" s="1537">
        <f>DP108/Wireline!DP75</f>
        <v>0.13304224990368563</v>
      </c>
      <c r="DQ110" s="2476">
        <f>DQ108/Wireline!DQ75</f>
        <v>0.21095750128008192</v>
      </c>
      <c r="DR110" s="1537">
        <f>DR108/Wireline!DR75</f>
        <v>0.12188928390045708</v>
      </c>
      <c r="DS110" s="1537">
        <f>DS108/Wireline!DS75</f>
        <v>0.15252499359138683</v>
      </c>
      <c r="DT110" s="1537">
        <f>DT108/Wireline!DT75</f>
        <v>0.15661707126076743</v>
      </c>
      <c r="DU110" s="1537">
        <f>DU108/Wireline!DU75</f>
        <v>0.26007614546409347</v>
      </c>
      <c r="DV110" s="1537">
        <f>DV108/Wireline!DV75</f>
        <v>0.22138414714833929</v>
      </c>
      <c r="DW110" s="1045">
        <f ca="1">DW108/Wireline!DW75</f>
        <v>0.20690994801473067</v>
      </c>
      <c r="DX110" s="1045">
        <f ca="1">DX108/Wireline!DX75</f>
        <v>0.20999909901195454</v>
      </c>
      <c r="DY110" s="101">
        <f ca="1">DY108/Wireline!DY75</f>
        <v>0.22654344408411914</v>
      </c>
      <c r="DZ110" s="94"/>
    </row>
    <row r="111" spans="1:130">
      <c r="A111" s="762" t="s">
        <v>536</v>
      </c>
      <c r="B111" s="109"/>
      <c r="C111" s="109"/>
      <c r="D111" s="109"/>
      <c r="E111" s="109"/>
      <c r="F111" s="109"/>
      <c r="G111" s="109">
        <f>G108/Lines!G64*12*100</f>
        <v>195.43085561998916</v>
      </c>
      <c r="H111" s="109">
        <f>H108/Lines!H64*12*100</f>
        <v>235.46200499464857</v>
      </c>
      <c r="I111" s="109">
        <f>I108/Lines!I64*12*100</f>
        <v>253.40686355935017</v>
      </c>
      <c r="J111" s="109">
        <f>J108/Lines!J64*12*100</f>
        <v>166.7092144754545</v>
      </c>
      <c r="K111" s="109">
        <f>K108/Lines!K64*12*100</f>
        <v>149.27224309634116</v>
      </c>
      <c r="L111" s="109">
        <f>L108/Lines!L64*12*100</f>
        <v>163.35366903172749</v>
      </c>
      <c r="M111" s="109">
        <f>M108/Lines!M64*12*100</f>
        <v>203.27438886953669</v>
      </c>
      <c r="N111" s="109">
        <f>N108/Lines!N64*12*100</f>
        <v>283.7047450049547</v>
      </c>
      <c r="O111" s="109">
        <f>O108/Lines!O64*12*100</f>
        <v>380.24062933826934</v>
      </c>
      <c r="P111" s="109">
        <f>P108/Lines!P64*12*100</f>
        <v>374.47285406261193</v>
      </c>
      <c r="Q111" s="1044">
        <f>Q108/Lines!Q64*12*100</f>
        <v>376.99265121537593</v>
      </c>
      <c r="R111" s="109">
        <f>R108/Lines!R64*12*100</f>
        <v>346.36277001270651</v>
      </c>
      <c r="S111" s="109">
        <f>S108/Lines!S64*12*100</f>
        <v>345.06808070821916</v>
      </c>
      <c r="T111" s="1044">
        <f>T108/Lines!T64*12*100</f>
        <v>394.81220170159787</v>
      </c>
      <c r="U111" s="109">
        <f>U108/Lines!U64*12*100</f>
        <v>443.95082259309851</v>
      </c>
      <c r="V111" s="109">
        <f>V108/Lines!V64*12*100</f>
        <v>454.15651944974655</v>
      </c>
      <c r="W111" s="109">
        <f>W108/Lines!W64*12*100</f>
        <v>444.42162400058686</v>
      </c>
      <c r="X111" s="109">
        <f>X108/Lines!X64*12*100</f>
        <v>538.11230585424141</v>
      </c>
      <c r="Y111" s="109">
        <f>Y108/Lines!Y64*12*100</f>
        <v>717.49663526244956</v>
      </c>
      <c r="Z111" s="3394"/>
      <c r="AA111" s="3394"/>
      <c r="AB111" s="3394"/>
      <c r="AC111" s="3394"/>
      <c r="AD111" s="3394"/>
      <c r="AE111" s="3394"/>
      <c r="AF111" s="3394"/>
      <c r="AG111" s="3394"/>
      <c r="AH111" s="536"/>
      <c r="AI111" s="109"/>
      <c r="AJ111" s="109"/>
      <c r="AK111" s="109"/>
      <c r="AL111" s="109"/>
      <c r="AM111" s="109"/>
      <c r="AN111" s="109"/>
      <c r="AO111" s="109"/>
      <c r="AP111" s="171"/>
      <c r="AQ111" s="109"/>
      <c r="AR111" s="109"/>
      <c r="AS111" s="109"/>
      <c r="AT111" s="171"/>
      <c r="AU111" s="109"/>
      <c r="AV111" s="109"/>
      <c r="AW111" s="109"/>
      <c r="AX111" s="171"/>
      <c r="AY111" s="109"/>
      <c r="AZ111" s="109"/>
      <c r="BA111" s="109"/>
      <c r="BB111" s="171"/>
      <c r="BC111" s="109"/>
      <c r="BD111" s="109"/>
      <c r="BE111" s="109"/>
      <c r="BF111" s="171"/>
      <c r="BG111" s="109"/>
      <c r="BH111" s="109"/>
      <c r="BI111" s="109"/>
      <c r="BJ111" s="171"/>
      <c r="BK111" s="109"/>
      <c r="BL111" s="109"/>
      <c r="BM111" s="109"/>
      <c r="BN111" s="171"/>
      <c r="BO111" s="109"/>
      <c r="BP111" s="109"/>
      <c r="BQ111" s="109"/>
      <c r="BR111" s="171"/>
      <c r="BS111" s="168"/>
      <c r="BT111" s="168"/>
      <c r="BU111" s="168"/>
      <c r="BV111" s="173"/>
      <c r="BW111" s="168"/>
      <c r="BX111" s="168"/>
      <c r="BY111" s="109"/>
      <c r="BZ111" s="171"/>
      <c r="CA111" s="109"/>
      <c r="CB111" s="109"/>
      <c r="CC111" s="109"/>
      <c r="CD111" s="171"/>
      <c r="CE111" s="109"/>
      <c r="CF111" s="109"/>
      <c r="CG111" s="109"/>
      <c r="CH111" s="171"/>
      <c r="CI111" s="109"/>
      <c r="CJ111" s="109"/>
      <c r="CK111" s="109"/>
      <c r="CL111" s="171"/>
      <c r="CM111" s="109"/>
      <c r="CN111" s="109"/>
      <c r="CO111" s="109"/>
      <c r="CP111" s="171"/>
      <c r="CQ111" s="109"/>
      <c r="CR111" s="109"/>
      <c r="CS111" s="109"/>
      <c r="CT111" s="171"/>
      <c r="CU111" s="109"/>
      <c r="CV111" s="109"/>
      <c r="CW111" s="172"/>
      <c r="CX111" s="109"/>
      <c r="CY111" s="109"/>
      <c r="CZ111" s="109"/>
      <c r="DA111" s="109"/>
      <c r="DB111" s="171"/>
      <c r="DC111" s="109"/>
      <c r="DD111" s="109"/>
      <c r="DE111" s="109"/>
      <c r="DF111" s="171"/>
      <c r="DG111" s="1044"/>
      <c r="DH111" s="1044"/>
      <c r="DI111" s="172"/>
      <c r="DJ111" s="171"/>
      <c r="DK111" s="1044"/>
      <c r="DL111" s="1044"/>
      <c r="DM111" s="172"/>
      <c r="DN111" s="1044"/>
      <c r="DO111" s="1044"/>
      <c r="DP111" s="1044"/>
      <c r="DQ111" s="172"/>
      <c r="DR111" s="1044"/>
      <c r="DS111" s="1044"/>
      <c r="DT111" s="1044"/>
      <c r="DU111" s="1044"/>
      <c r="DV111" s="1044"/>
      <c r="DW111" s="1044"/>
      <c r="DX111" s="1044"/>
      <c r="DY111" s="172"/>
      <c r="DZ111" s="109"/>
    </row>
    <row r="112" spans="1:130" hidden="1">
      <c r="A112" s="711" t="s">
        <v>537</v>
      </c>
      <c r="B112" s="308"/>
      <c r="C112" s="308"/>
      <c r="D112" s="87"/>
      <c r="E112" s="87"/>
      <c r="F112" s="87"/>
      <c r="G112" s="87"/>
      <c r="H112" s="87"/>
      <c r="I112" s="87"/>
      <c r="J112" s="87"/>
      <c r="K112" s="87"/>
      <c r="L112" s="87"/>
      <c r="M112" s="87"/>
      <c r="N112" s="91"/>
      <c r="O112" s="91"/>
      <c r="P112" s="91"/>
      <c r="Q112" s="1068"/>
      <c r="R112" s="91"/>
      <c r="S112" s="91"/>
      <c r="T112" s="1068"/>
      <c r="U112" s="91"/>
      <c r="V112" s="91"/>
      <c r="W112" s="91"/>
      <c r="X112" s="91"/>
      <c r="Y112" s="91"/>
      <c r="Z112" s="91"/>
      <c r="AA112" s="91"/>
      <c r="AB112" s="91"/>
      <c r="AC112" s="91"/>
      <c r="AD112" s="91"/>
      <c r="AE112" s="91"/>
      <c r="AF112" s="91"/>
      <c r="AG112" s="91"/>
      <c r="AH112" s="678"/>
      <c r="AI112" s="87"/>
      <c r="AJ112" s="87"/>
      <c r="AK112" s="87"/>
      <c r="AL112" s="87"/>
      <c r="AM112" s="87"/>
      <c r="AN112" s="87"/>
      <c r="AO112" s="87"/>
      <c r="AP112" s="88"/>
      <c r="AQ112" s="87"/>
      <c r="AR112" s="87"/>
      <c r="AS112" s="87"/>
      <c r="AT112" s="88"/>
      <c r="AU112" s="87"/>
      <c r="AV112" s="87"/>
      <c r="AW112" s="87"/>
      <c r="AX112" s="88"/>
      <c r="AY112" s="87"/>
      <c r="AZ112" s="87"/>
      <c r="BA112" s="87"/>
      <c r="BB112" s="88"/>
      <c r="BC112" s="87"/>
      <c r="BD112" s="87"/>
      <c r="BE112" s="87"/>
      <c r="BF112" s="88"/>
      <c r="BG112" s="87"/>
      <c r="BH112" s="87"/>
      <c r="BI112" s="87"/>
      <c r="BJ112" s="88"/>
      <c r="BK112" s="87"/>
      <c r="BL112" s="87"/>
      <c r="BM112" s="87"/>
      <c r="BN112" s="88"/>
      <c r="BO112" s="87"/>
      <c r="BP112" s="87"/>
      <c r="BQ112" s="87"/>
      <c r="BR112" s="88"/>
      <c r="BS112" s="87"/>
      <c r="BT112" s="87"/>
      <c r="BU112" s="87"/>
      <c r="BV112" s="88"/>
      <c r="BW112" s="87"/>
      <c r="BX112" s="87"/>
      <c r="BY112" s="87"/>
      <c r="BZ112" s="151"/>
      <c r="CA112" s="91"/>
      <c r="CB112" s="91"/>
      <c r="CC112" s="91"/>
      <c r="CD112" s="151"/>
      <c r="CE112" s="91"/>
      <c r="CF112" s="91"/>
      <c r="CG112" s="91"/>
      <c r="CH112" s="151"/>
      <c r="CI112" s="91"/>
      <c r="CJ112" s="91"/>
      <c r="CK112" s="91"/>
      <c r="CL112" s="151"/>
      <c r="CM112" s="91"/>
      <c r="CN112" s="91"/>
      <c r="CO112" s="91"/>
      <c r="CP112" s="151"/>
      <c r="CQ112" s="91"/>
      <c r="CR112" s="91"/>
      <c r="CS112" s="91"/>
      <c r="CT112" s="151"/>
      <c r="CU112" s="91"/>
      <c r="CV112" s="91"/>
      <c r="CW112" s="93"/>
      <c r="CX112" s="91"/>
      <c r="CY112" s="91"/>
      <c r="CZ112" s="91"/>
      <c r="DA112" s="91"/>
      <c r="DB112" s="151"/>
      <c r="DC112" s="91"/>
      <c r="DD112" s="91"/>
      <c r="DE112" s="91"/>
      <c r="DF112" s="151"/>
      <c r="DG112" s="1068"/>
      <c r="DH112" s="1068"/>
      <c r="DI112" s="93"/>
      <c r="DJ112" s="151"/>
      <c r="DK112" s="1068"/>
      <c r="DL112" s="1068"/>
      <c r="DM112" s="93"/>
      <c r="DN112" s="1068"/>
      <c r="DO112" s="1068"/>
      <c r="DP112" s="1068"/>
      <c r="DQ112" s="93"/>
      <c r="DR112" s="1068"/>
      <c r="DS112" s="1068"/>
      <c r="DT112" s="1068"/>
      <c r="DU112" s="1068"/>
      <c r="DV112" s="1068"/>
      <c r="DW112" s="1068"/>
      <c r="DX112" s="1068"/>
      <c r="DY112" s="93"/>
      <c r="DZ112" s="87"/>
    </row>
    <row r="113" spans="1:130">
      <c r="A113" s="100"/>
      <c r="B113" s="87"/>
      <c r="C113" s="87"/>
      <c r="D113" s="87"/>
      <c r="E113" s="87"/>
      <c r="F113" s="87"/>
      <c r="G113" s="87"/>
      <c r="H113" s="87"/>
      <c r="I113" s="87"/>
      <c r="J113" s="87"/>
      <c r="K113" s="87"/>
      <c r="L113" s="87"/>
      <c r="M113" s="87"/>
      <c r="N113" s="87"/>
      <c r="O113" s="87"/>
      <c r="P113" s="87"/>
      <c r="Q113" s="1041"/>
      <c r="R113" s="87"/>
      <c r="S113" s="87"/>
      <c r="T113" s="1041"/>
      <c r="U113" s="87"/>
      <c r="V113" s="87"/>
      <c r="W113" s="87"/>
      <c r="X113" s="87"/>
      <c r="Y113" s="87"/>
      <c r="Z113" s="87"/>
      <c r="AA113" s="87"/>
      <c r="AB113" s="87"/>
      <c r="AC113" s="87"/>
      <c r="AD113" s="87"/>
      <c r="AE113" s="87"/>
      <c r="AF113" s="87"/>
      <c r="AG113" s="87"/>
      <c r="AH113" s="678"/>
      <c r="AI113" s="87"/>
      <c r="AJ113" s="87"/>
      <c r="AK113" s="87"/>
      <c r="AL113" s="87"/>
      <c r="AM113" s="87"/>
      <c r="AN113" s="87"/>
      <c r="AO113" s="87"/>
      <c r="AP113" s="88"/>
      <c r="AQ113" s="87"/>
      <c r="AR113" s="87"/>
      <c r="AS113" s="87"/>
      <c r="AT113" s="88"/>
      <c r="AU113" s="87"/>
      <c r="AV113" s="87"/>
      <c r="AW113" s="87"/>
      <c r="AX113" s="88"/>
      <c r="AY113" s="87"/>
      <c r="AZ113" s="87"/>
      <c r="BA113" s="87"/>
      <c r="BB113" s="88"/>
      <c r="BC113" s="87"/>
      <c r="BD113" s="87"/>
      <c r="BE113" s="87"/>
      <c r="BF113" s="88"/>
      <c r="BG113" s="87"/>
      <c r="BH113" s="87"/>
      <c r="BI113" s="87"/>
      <c r="BJ113" s="88"/>
      <c r="BK113" s="87"/>
      <c r="BL113" s="87"/>
      <c r="BM113" s="87"/>
      <c r="BN113" s="88"/>
      <c r="BO113" s="87"/>
      <c r="BP113" s="87"/>
      <c r="BQ113" s="87"/>
      <c r="BR113" s="88"/>
      <c r="BS113" s="87"/>
      <c r="BT113" s="87"/>
      <c r="BU113" s="87"/>
      <c r="BV113" s="88"/>
      <c r="BW113" s="87"/>
      <c r="BX113" s="87"/>
      <c r="BY113" s="87"/>
      <c r="BZ113" s="493"/>
      <c r="CA113" s="148"/>
      <c r="CB113" s="148"/>
      <c r="CC113" s="148"/>
      <c r="CD113" s="150"/>
      <c r="CE113" s="775"/>
      <c r="CF113" s="775"/>
      <c r="CG113" s="775"/>
      <c r="CH113" s="776"/>
      <c r="CI113" s="775"/>
      <c r="CJ113" s="775"/>
      <c r="CK113" s="148"/>
      <c r="CL113" s="493"/>
      <c r="CM113" s="148"/>
      <c r="CN113" s="148"/>
      <c r="CO113" s="148"/>
      <c r="CP113" s="493"/>
      <c r="CQ113" s="148"/>
      <c r="CR113" s="148"/>
      <c r="CS113" s="148"/>
      <c r="CT113" s="493"/>
      <c r="CU113" s="148"/>
      <c r="CV113" s="148"/>
      <c r="CW113" s="747"/>
      <c r="CX113" s="148"/>
      <c r="CY113" s="148"/>
      <c r="CZ113" s="148"/>
      <c r="DA113" s="148"/>
      <c r="DB113" s="493"/>
      <c r="DC113" s="148"/>
      <c r="DD113" s="148"/>
      <c r="DE113" s="148"/>
      <c r="DF113" s="493"/>
      <c r="DG113" s="1387"/>
      <c r="DH113" s="1387"/>
      <c r="DI113" s="747"/>
      <c r="DJ113" s="493"/>
      <c r="DK113" s="1387"/>
      <c r="DL113" s="1387"/>
      <c r="DM113" s="747"/>
      <c r="DN113" s="1387"/>
      <c r="DO113" s="1387"/>
      <c r="DP113" s="1387"/>
      <c r="DQ113" s="747"/>
      <c r="DR113" s="1387"/>
      <c r="DS113" s="1387"/>
      <c r="DT113" s="1387"/>
      <c r="DU113" s="1387"/>
      <c r="DV113" s="1387"/>
      <c r="DW113" s="1387"/>
      <c r="DX113" s="1387"/>
      <c r="DY113" s="747"/>
      <c r="DZ113" s="87"/>
    </row>
    <row r="114" spans="1:130">
      <c r="A114" s="178" t="s">
        <v>538</v>
      </c>
      <c r="B114" s="169"/>
      <c r="C114" s="169"/>
      <c r="D114" s="169"/>
      <c r="E114" s="169"/>
      <c r="F114" s="169"/>
      <c r="G114" s="169"/>
      <c r="H114" s="169">
        <v>4300</v>
      </c>
      <c r="I114" s="169">
        <f>I134</f>
        <v>5006</v>
      </c>
      <c r="J114" s="169">
        <f>J134</f>
        <v>4354</v>
      </c>
      <c r="K114" s="169">
        <f>K134</f>
        <v>4590</v>
      </c>
      <c r="L114" s="169">
        <f>SUM(BR114:BU114)</f>
        <v>5633</v>
      </c>
      <c r="M114" s="169">
        <f>SUM(BV114:BY114)</f>
        <v>6484</v>
      </c>
      <c r="N114" s="169">
        <f>SUM(BZ114:CC114)</f>
        <v>6618</v>
      </c>
      <c r="O114" s="169">
        <f>SUM(CD114:CG114)</f>
        <v>6503</v>
      </c>
      <c r="P114" s="169">
        <f>SUM(CH114:CK114)</f>
        <v>6510</v>
      </c>
      <c r="Q114" s="1051">
        <f>SUM(CL114:CO114)</f>
        <v>7152</v>
      </c>
      <c r="R114" s="169">
        <f>SUM(CP114:CS114)</f>
        <v>8438</v>
      </c>
      <c r="S114" s="169">
        <f>SUM(CT114:CW114)</f>
        <v>8973</v>
      </c>
      <c r="T114" s="1051">
        <f>SUM(CX114:DA114)</f>
        <v>8857</v>
      </c>
      <c r="U114" s="169">
        <f>SUM(DB114:DE114)</f>
        <v>9425</v>
      </c>
      <c r="V114" s="169">
        <f>SUM(DF114:DI114)</f>
        <v>10515</v>
      </c>
      <c r="W114" s="169">
        <f>SUM(DJ114:DM114)</f>
        <v>11725</v>
      </c>
      <c r="X114" s="169">
        <f>SUM(DN114:DQ114)</f>
        <v>11240</v>
      </c>
      <c r="Y114" s="169">
        <f>SUM(DR114:DU114)</f>
        <v>10628</v>
      </c>
      <c r="Z114" s="169">
        <f ca="1">SUM(DV114:DY114)</f>
        <v>8906.4523480695134</v>
      </c>
      <c r="AA114" s="169">
        <f ca="1">AA116*Wless!AA25</f>
        <v>11971.816370188671</v>
      </c>
      <c r="AB114" s="169">
        <f ca="1">AB116*Wless!AB25</f>
        <v>12165.382932009355</v>
      </c>
      <c r="AC114" s="169">
        <f ca="1">AC116*Wless!AC25</f>
        <v>12373.92195528193</v>
      </c>
      <c r="AD114" s="169">
        <f ca="1">AD116*Wless!AD25</f>
        <v>12595.669303914367</v>
      </c>
      <c r="AE114" s="169">
        <f ca="1">AE116*Wless!AE25</f>
        <v>12831.701873574641</v>
      </c>
      <c r="AF114" s="169">
        <f ca="1">AF116*Wless!AF25</f>
        <v>13084.32525619944</v>
      </c>
      <c r="AG114" s="169">
        <f ca="1">AG116*Wless!AG25</f>
        <v>13356.358738063651</v>
      </c>
      <c r="AH114" s="532"/>
      <c r="AI114" s="169"/>
      <c r="AJ114" s="169"/>
      <c r="AK114" s="169"/>
      <c r="AL114" s="169"/>
      <c r="AM114" s="169"/>
      <c r="AN114" s="109">
        <f>(T114/N114)^(1/6)-1</f>
        <v>4.9767960297528058E-2</v>
      </c>
      <c r="AO114" s="169"/>
      <c r="AP114" s="178"/>
      <c r="AQ114" s="169"/>
      <c r="AR114" s="169"/>
      <c r="AS114" s="169"/>
      <c r="AT114" s="178"/>
      <c r="AU114" s="169"/>
      <c r="AV114" s="169"/>
      <c r="AW114" s="169"/>
      <c r="AX114" s="651">
        <v>305</v>
      </c>
      <c r="AY114" s="177">
        <v>315</v>
      </c>
      <c r="AZ114" s="177">
        <v>376</v>
      </c>
      <c r="BA114" s="177">
        <v>501</v>
      </c>
      <c r="BB114" s="651">
        <v>473</v>
      </c>
      <c r="BC114" s="177">
        <v>913</v>
      </c>
      <c r="BD114" s="177">
        <v>992</v>
      </c>
      <c r="BE114" s="177">
        <v>1944</v>
      </c>
      <c r="BF114" s="651">
        <v>988</v>
      </c>
      <c r="BG114" s="177">
        <v>1384</v>
      </c>
      <c r="BH114" s="177">
        <v>970</v>
      </c>
      <c r="BI114" s="177">
        <v>1664</v>
      </c>
      <c r="BJ114" s="651">
        <v>812</v>
      </c>
      <c r="BK114" s="177">
        <v>1248</v>
      </c>
      <c r="BL114" s="177">
        <v>921</v>
      </c>
      <c r="BM114" s="169">
        <f>J114-BJ114-BK114-BL114</f>
        <v>1373</v>
      </c>
      <c r="BN114" s="178">
        <f t="shared" ref="BN114:DE114" si="310">BN134</f>
        <v>1107</v>
      </c>
      <c r="BO114" s="169">
        <f t="shared" si="310"/>
        <v>989</v>
      </c>
      <c r="BP114" s="169">
        <f t="shared" si="310"/>
        <v>983</v>
      </c>
      <c r="BQ114" s="169">
        <f t="shared" si="310"/>
        <v>1511</v>
      </c>
      <c r="BR114" s="178">
        <f t="shared" si="310"/>
        <v>1314</v>
      </c>
      <c r="BS114" s="169">
        <f t="shared" si="310"/>
        <v>1433</v>
      </c>
      <c r="BT114" s="169">
        <f t="shared" si="310"/>
        <v>1374</v>
      </c>
      <c r="BU114" s="169">
        <f t="shared" si="310"/>
        <v>1512</v>
      </c>
      <c r="BV114" s="178">
        <f t="shared" si="310"/>
        <v>1641</v>
      </c>
      <c r="BW114" s="169">
        <f t="shared" si="310"/>
        <v>1698</v>
      </c>
      <c r="BX114" s="169">
        <f t="shared" si="310"/>
        <v>1623</v>
      </c>
      <c r="BY114" s="169">
        <f t="shared" si="310"/>
        <v>1522</v>
      </c>
      <c r="BZ114" s="178">
        <f t="shared" si="310"/>
        <v>1581</v>
      </c>
      <c r="CA114" s="169">
        <f t="shared" si="310"/>
        <v>1597</v>
      </c>
      <c r="CB114" s="169">
        <f t="shared" si="310"/>
        <v>1623</v>
      </c>
      <c r="CC114" s="169">
        <f t="shared" si="310"/>
        <v>1817</v>
      </c>
      <c r="CD114" s="178">
        <f t="shared" si="310"/>
        <v>1721</v>
      </c>
      <c r="CE114" s="169">
        <f t="shared" si="310"/>
        <v>1667</v>
      </c>
      <c r="CF114" s="169">
        <f t="shared" si="310"/>
        <v>1515</v>
      </c>
      <c r="CG114" s="169">
        <f t="shared" si="310"/>
        <v>1600</v>
      </c>
      <c r="CH114" s="178">
        <f t="shared" si="310"/>
        <v>1722</v>
      </c>
      <c r="CI114" s="169">
        <f t="shared" si="310"/>
        <v>1528</v>
      </c>
      <c r="CJ114" s="169">
        <f t="shared" si="310"/>
        <v>1473</v>
      </c>
      <c r="CK114" s="169">
        <f t="shared" si="310"/>
        <v>1787</v>
      </c>
      <c r="CL114" s="178">
        <f t="shared" si="310"/>
        <v>1551</v>
      </c>
      <c r="CM114" s="169">
        <f t="shared" si="310"/>
        <v>1783</v>
      </c>
      <c r="CN114" s="169">
        <f t="shared" si="310"/>
        <v>1800</v>
      </c>
      <c r="CO114" s="169">
        <f t="shared" si="310"/>
        <v>2018</v>
      </c>
      <c r="CP114" s="178">
        <f t="shared" si="310"/>
        <v>1770</v>
      </c>
      <c r="CQ114" s="169">
        <f t="shared" si="310"/>
        <v>2262</v>
      </c>
      <c r="CR114" s="169">
        <f t="shared" si="310"/>
        <v>2173</v>
      </c>
      <c r="CS114" s="169">
        <f t="shared" si="310"/>
        <v>2233</v>
      </c>
      <c r="CT114" s="178">
        <f t="shared" si="310"/>
        <v>2735</v>
      </c>
      <c r="CU114" s="169">
        <f t="shared" si="310"/>
        <v>2667</v>
      </c>
      <c r="CV114" s="169">
        <f t="shared" si="310"/>
        <v>1784</v>
      </c>
      <c r="CW114" s="179">
        <f t="shared" si="310"/>
        <v>1787</v>
      </c>
      <c r="CX114" s="169">
        <f t="shared" si="310"/>
        <v>1885</v>
      </c>
      <c r="CY114" s="169">
        <f t="shared" si="310"/>
        <v>2048</v>
      </c>
      <c r="CZ114" s="169">
        <f t="shared" si="310"/>
        <v>2133</v>
      </c>
      <c r="DA114" s="169">
        <f t="shared" si="310"/>
        <v>2791</v>
      </c>
      <c r="DB114" s="178">
        <f t="shared" si="310"/>
        <v>1992</v>
      </c>
      <c r="DC114" s="169">
        <f t="shared" si="310"/>
        <v>2278</v>
      </c>
      <c r="DD114" s="169">
        <f t="shared" si="310"/>
        <v>2450</v>
      </c>
      <c r="DE114" s="169">
        <f t="shared" si="310"/>
        <v>2705</v>
      </c>
      <c r="DF114" s="178">
        <f t="shared" ref="DF114:DK114" si="311">DF134</f>
        <v>2554</v>
      </c>
      <c r="DG114" s="1051">
        <f t="shared" si="311"/>
        <v>2771</v>
      </c>
      <c r="DH114" s="1051">
        <f t="shared" si="311"/>
        <v>2483</v>
      </c>
      <c r="DI114" s="179">
        <f t="shared" si="311"/>
        <v>2707</v>
      </c>
      <c r="DJ114" s="178">
        <f t="shared" si="311"/>
        <v>2419</v>
      </c>
      <c r="DK114" s="1051">
        <f t="shared" si="311"/>
        <v>3126</v>
      </c>
      <c r="DL114" s="1051">
        <f t="shared" ref="DL114:DQ114" si="312">DL134</f>
        <v>2921</v>
      </c>
      <c r="DM114" s="179">
        <f t="shared" si="312"/>
        <v>3259</v>
      </c>
      <c r="DN114" s="1051">
        <f t="shared" si="312"/>
        <v>2190</v>
      </c>
      <c r="DO114" s="1051">
        <f t="shared" si="312"/>
        <v>2815</v>
      </c>
      <c r="DP114" s="1051">
        <f t="shared" si="312"/>
        <v>2771</v>
      </c>
      <c r="DQ114" s="179">
        <f t="shared" si="312"/>
        <v>3464</v>
      </c>
      <c r="DR114" s="1051">
        <f t="shared" ref="DR114:DS114" si="313">DR134</f>
        <v>1831</v>
      </c>
      <c r="DS114" s="1051">
        <f t="shared" si="313"/>
        <v>2444</v>
      </c>
      <c r="DT114" s="1051">
        <f t="shared" ref="DT114:DU114" si="314">DT134</f>
        <v>2970</v>
      </c>
      <c r="DU114" s="1051">
        <f t="shared" si="314"/>
        <v>3383</v>
      </c>
      <c r="DV114" s="1051">
        <f t="shared" ref="DV114" si="315">DV134</f>
        <v>2367</v>
      </c>
      <c r="DW114" s="1051">
        <f ca="1">DW116*Wless!DW25</f>
        <v>2160.2546911785289</v>
      </c>
      <c r="DX114" s="1051">
        <f ca="1">DX116*Wless!DX25</f>
        <v>2189.5444932167957</v>
      </c>
      <c r="DY114" s="179">
        <f ca="1">DY116*Wless!DY25</f>
        <v>2189.6531636741884</v>
      </c>
      <c r="DZ114" s="109"/>
    </row>
    <row r="115" spans="1:130">
      <c r="A115" s="176" t="s">
        <v>991</v>
      </c>
      <c r="B115" s="94"/>
      <c r="C115" s="94"/>
      <c r="D115" s="94"/>
      <c r="E115" s="94"/>
      <c r="F115" s="94"/>
      <c r="G115" s="94"/>
      <c r="H115" s="94"/>
      <c r="I115" s="94">
        <f t="shared" ref="I115:AB115" si="316">I114/H114-1</f>
        <v>0.16418604651162783</v>
      </c>
      <c r="J115" s="94">
        <f t="shared" si="316"/>
        <v>-0.13024370755093884</v>
      </c>
      <c r="K115" s="94">
        <f t="shared" si="316"/>
        <v>5.4203031694993076E-2</v>
      </c>
      <c r="L115" s="94">
        <f t="shared" si="316"/>
        <v>0.22723311546840952</v>
      </c>
      <c r="M115" s="94">
        <f t="shared" si="316"/>
        <v>0.15107402804899706</v>
      </c>
      <c r="N115" s="94">
        <f t="shared" si="316"/>
        <v>2.0666255397902455E-2</v>
      </c>
      <c r="O115" s="94">
        <f t="shared" si="316"/>
        <v>-1.7376851012390504E-2</v>
      </c>
      <c r="P115" s="94">
        <f t="shared" si="316"/>
        <v>1.0764262648008671E-3</v>
      </c>
      <c r="Q115" s="1045">
        <f t="shared" si="316"/>
        <v>9.8617511520737278E-2</v>
      </c>
      <c r="R115" s="94">
        <f t="shared" si="316"/>
        <v>0.17980984340044737</v>
      </c>
      <c r="S115" s="94">
        <f t="shared" si="316"/>
        <v>6.3403650154064906E-2</v>
      </c>
      <c r="T115" s="1045">
        <f t="shared" si="316"/>
        <v>-1.2927671904602644E-2</v>
      </c>
      <c r="U115" s="94">
        <f t="shared" si="316"/>
        <v>6.4130066613977688E-2</v>
      </c>
      <c r="V115" s="94">
        <f t="shared" si="316"/>
        <v>0.1156498673740054</v>
      </c>
      <c r="W115" s="94">
        <f>W114/V114-1</f>
        <v>0.11507370423204955</v>
      </c>
      <c r="X115" s="94">
        <f>X114/W114-1</f>
        <v>-4.136460554371002E-2</v>
      </c>
      <c r="Y115" s="94">
        <f>Y114/X114-1</f>
        <v>-5.4448398576512402E-2</v>
      </c>
      <c r="Z115" s="94">
        <f ca="1">Z114/Y114-1</f>
        <v>-0.16198227812669241</v>
      </c>
      <c r="AA115" s="94">
        <f t="shared" ca="1" si="316"/>
        <v>0.34417340399104934</v>
      </c>
      <c r="AB115" s="94">
        <f t="shared" ca="1" si="316"/>
        <v>1.6168520785424745E-2</v>
      </c>
      <c r="AC115" s="94">
        <f t="shared" ref="AC115" ca="1" si="317">AC114/AB114-1</f>
        <v>1.7142002388093491E-2</v>
      </c>
      <c r="AD115" s="94">
        <f t="shared" ref="AD115" ca="1" si="318">AD114/AC114-1</f>
        <v>1.7920538810072273E-2</v>
      </c>
      <c r="AE115" s="94">
        <f t="shared" ref="AE115" ca="1" si="319">AE114/AD114-1</f>
        <v>1.8739184394665154E-2</v>
      </c>
      <c r="AF115" s="94">
        <f t="shared" ref="AF115" ca="1" si="320">AF114/AE114-1</f>
        <v>1.9687441706002229E-2</v>
      </c>
      <c r="AG115" s="94">
        <f t="shared" ref="AG115" ca="1" si="321">AG114/AF114-1</f>
        <v>2.0790791770887829E-2</v>
      </c>
      <c r="AH115" s="138"/>
      <c r="AI115" s="94"/>
      <c r="AJ115" s="94"/>
      <c r="AK115" s="94"/>
      <c r="AL115" s="94"/>
      <c r="AM115" s="94"/>
      <c r="AN115" s="94"/>
      <c r="AO115" s="94"/>
      <c r="AP115" s="147"/>
      <c r="AQ115" s="94"/>
      <c r="AR115" s="94"/>
      <c r="AS115" s="94"/>
      <c r="AT115" s="147"/>
      <c r="AU115" s="94"/>
      <c r="AV115" s="94"/>
      <c r="AW115" s="94"/>
      <c r="AX115" s="147"/>
      <c r="AY115" s="94"/>
      <c r="AZ115" s="94"/>
      <c r="BA115" s="94"/>
      <c r="BB115" s="147"/>
      <c r="BC115" s="94"/>
      <c r="BD115" s="94"/>
      <c r="BE115" s="94"/>
      <c r="BF115" s="147"/>
      <c r="BG115" s="94"/>
      <c r="BH115" s="94"/>
      <c r="BI115" s="94"/>
      <c r="BJ115" s="147"/>
      <c r="BK115" s="94"/>
      <c r="BL115" s="94"/>
      <c r="BM115" s="94"/>
      <c r="BN115" s="147">
        <f t="shared" ref="BN115:DV115" si="322">BN114/BJ114-1</f>
        <v>0.36330049261083741</v>
      </c>
      <c r="BO115" s="94">
        <f t="shared" si="322"/>
        <v>-0.20753205128205132</v>
      </c>
      <c r="BP115" s="94">
        <f t="shared" si="322"/>
        <v>6.7318132464712299E-2</v>
      </c>
      <c r="BQ115" s="94">
        <f t="shared" si="322"/>
        <v>0.10050983248361245</v>
      </c>
      <c r="BR115" s="147">
        <f t="shared" si="322"/>
        <v>0.18699186991869921</v>
      </c>
      <c r="BS115" s="94">
        <f t="shared" si="322"/>
        <v>0.44893832153690605</v>
      </c>
      <c r="BT115" s="94">
        <f t="shared" si="322"/>
        <v>0.39776195320447605</v>
      </c>
      <c r="BU115" s="94">
        <f t="shared" si="322"/>
        <v>6.6181336863002649E-4</v>
      </c>
      <c r="BV115" s="147">
        <f t="shared" si="322"/>
        <v>0.24885844748858443</v>
      </c>
      <c r="BW115" s="94">
        <f t="shared" si="322"/>
        <v>0.1849267271458479</v>
      </c>
      <c r="BX115" s="94">
        <f t="shared" si="322"/>
        <v>0.18122270742358082</v>
      </c>
      <c r="BY115" s="94">
        <f t="shared" si="322"/>
        <v>6.6137566137565162E-3</v>
      </c>
      <c r="BZ115" s="147">
        <f t="shared" si="322"/>
        <v>-3.656307129798908E-2</v>
      </c>
      <c r="CA115" s="94">
        <f t="shared" si="322"/>
        <v>-5.9481743227326245E-2</v>
      </c>
      <c r="CB115" s="94">
        <f t="shared" si="322"/>
        <v>0</v>
      </c>
      <c r="CC115" s="94">
        <f t="shared" si="322"/>
        <v>0.19382391590013137</v>
      </c>
      <c r="CD115" s="147">
        <f t="shared" si="322"/>
        <v>8.8551549652118977E-2</v>
      </c>
      <c r="CE115" s="94">
        <f t="shared" si="322"/>
        <v>4.3832185347526531E-2</v>
      </c>
      <c r="CF115" s="94">
        <f t="shared" si="322"/>
        <v>-6.6543438077633965E-2</v>
      </c>
      <c r="CG115" s="94">
        <f t="shared" si="322"/>
        <v>-0.11942762795817286</v>
      </c>
      <c r="CH115" s="147">
        <f t="shared" si="322"/>
        <v>5.8105752469495009E-4</v>
      </c>
      <c r="CI115" s="94">
        <f t="shared" si="322"/>
        <v>-8.3383323335332937E-2</v>
      </c>
      <c r="CJ115" s="94">
        <f t="shared" si="322"/>
        <v>-2.7722772277227747E-2</v>
      </c>
      <c r="CK115" s="94">
        <f t="shared" si="322"/>
        <v>0.11687500000000006</v>
      </c>
      <c r="CL115" s="147">
        <f t="shared" si="322"/>
        <v>-9.9303135888501703E-2</v>
      </c>
      <c r="CM115" s="94">
        <f t="shared" si="322"/>
        <v>0.16688481675392675</v>
      </c>
      <c r="CN115" s="94">
        <f t="shared" si="322"/>
        <v>0.22199592668024448</v>
      </c>
      <c r="CO115" s="94">
        <f t="shared" si="322"/>
        <v>0.12926692781197535</v>
      </c>
      <c r="CP115" s="147">
        <f t="shared" si="322"/>
        <v>0.14119922630560922</v>
      </c>
      <c r="CQ115" s="94">
        <f t="shared" si="322"/>
        <v>0.26864834548513739</v>
      </c>
      <c r="CR115" s="94">
        <f t="shared" si="322"/>
        <v>0.2072222222222222</v>
      </c>
      <c r="CS115" s="94">
        <f t="shared" si="322"/>
        <v>0.10654112983151642</v>
      </c>
      <c r="CT115" s="147">
        <f t="shared" si="322"/>
        <v>0.54519774011299438</v>
      </c>
      <c r="CU115" s="94">
        <f t="shared" si="322"/>
        <v>0.17904509283819636</v>
      </c>
      <c r="CV115" s="94">
        <f t="shared" si="322"/>
        <v>-0.17901518637827885</v>
      </c>
      <c r="CW115" s="101">
        <f t="shared" si="322"/>
        <v>-0.19973130317957899</v>
      </c>
      <c r="CX115" s="94">
        <f t="shared" si="322"/>
        <v>-0.31078610603290679</v>
      </c>
      <c r="CY115" s="94">
        <f t="shared" si="322"/>
        <v>-0.23209598800149978</v>
      </c>
      <c r="CZ115" s="94">
        <f t="shared" si="322"/>
        <v>0.19562780269058289</v>
      </c>
      <c r="DA115" s="94">
        <f t="shared" si="322"/>
        <v>0.56183547845551196</v>
      </c>
      <c r="DB115" s="147">
        <f t="shared" si="322"/>
        <v>5.6763925729442999E-2</v>
      </c>
      <c r="DC115" s="94">
        <f t="shared" si="322"/>
        <v>0.1123046875</v>
      </c>
      <c r="DD115" s="94">
        <f t="shared" si="322"/>
        <v>0.14861697140178154</v>
      </c>
      <c r="DE115" s="94">
        <f t="shared" si="322"/>
        <v>-3.0813328556073105E-2</v>
      </c>
      <c r="DF115" s="147">
        <f t="shared" si="322"/>
        <v>0.28212851405622486</v>
      </c>
      <c r="DG115" s="1045">
        <f t="shared" si="322"/>
        <v>0.21641791044776126</v>
      </c>
      <c r="DH115" s="1045">
        <f t="shared" si="322"/>
        <v>1.346938775510198E-2</v>
      </c>
      <c r="DI115" s="101">
        <f t="shared" si="322"/>
        <v>7.3937153419589841E-4</v>
      </c>
      <c r="DJ115" s="147">
        <f t="shared" si="322"/>
        <v>-5.2858261550508989E-2</v>
      </c>
      <c r="DK115" s="1045">
        <f t="shared" si="322"/>
        <v>0.12811259473114389</v>
      </c>
      <c r="DL115" s="1045">
        <f t="shared" si="322"/>
        <v>0.17639951671365295</v>
      </c>
      <c r="DM115" s="101">
        <f t="shared" si="322"/>
        <v>0.20391577391946814</v>
      </c>
      <c r="DN115" s="1045">
        <f t="shared" si="322"/>
        <v>-9.4667217858619312E-2</v>
      </c>
      <c r="DO115" s="1045">
        <f t="shared" si="322"/>
        <v>-9.9488163787587958E-2</v>
      </c>
      <c r="DP115" s="1045">
        <f t="shared" si="322"/>
        <v>-5.1352276617596671E-2</v>
      </c>
      <c r="DQ115" s="101">
        <f t="shared" si="322"/>
        <v>6.2902730899048853E-2</v>
      </c>
      <c r="DR115" s="1045">
        <f t="shared" si="322"/>
        <v>-0.16392694063926938</v>
      </c>
      <c r="DS115" s="1045">
        <f t="shared" si="322"/>
        <v>-0.1317939609236235</v>
      </c>
      <c r="DT115" s="1045">
        <f t="shared" si="322"/>
        <v>7.1815229159148286E-2</v>
      </c>
      <c r="DU115" s="1045">
        <f t="shared" si="322"/>
        <v>-2.3383371824480359E-2</v>
      </c>
      <c r="DV115" s="1045">
        <f t="shared" si="322"/>
        <v>0.29273620972146364</v>
      </c>
      <c r="DW115" s="1045">
        <f t="shared" ref="DW115" ca="1" si="323">DW114/DS114-1</f>
        <v>-0.11609873519700131</v>
      </c>
      <c r="DX115" s="1045">
        <f t="shared" ref="DX115" ca="1" si="324">DX114/DT114-1</f>
        <v>-0.26277963191353682</v>
      </c>
      <c r="DY115" s="101">
        <f t="shared" ref="DY115" ca="1" si="325">DY114/DU114-1</f>
        <v>-0.35274810414596858</v>
      </c>
      <c r="DZ115" s="94"/>
    </row>
    <row r="116" spans="1:130">
      <c r="A116" s="176" t="s">
        <v>539</v>
      </c>
      <c r="B116" s="94"/>
      <c r="C116" s="94"/>
      <c r="D116" s="94"/>
      <c r="E116" s="94"/>
      <c r="F116" s="94"/>
      <c r="G116" s="94"/>
      <c r="H116" s="94">
        <f>H114/Wless!H10</f>
        <v>0.30322262181792542</v>
      </c>
      <c r="I116" s="94">
        <f>I114/Wless!I10</f>
        <v>0.31266004621822496</v>
      </c>
      <c r="J116" s="94">
        <f>J114/Wless!J10</f>
        <v>0.24533724009691779</v>
      </c>
      <c r="K116" s="94">
        <f>K114/Wless!K10</f>
        <v>0.2257081038552321</v>
      </c>
      <c r="L116" s="94">
        <f>L114/Wless!L10</f>
        <v>0.23086065573770492</v>
      </c>
      <c r="M116" s="94">
        <f>M114/Wless!M10</f>
        <v>0.2304930503714763</v>
      </c>
      <c r="N116" s="94">
        <f>N114/Wless!N10</f>
        <v>0.17133615952561476</v>
      </c>
      <c r="O116" s="94">
        <f>O114/Wless!O10</f>
        <v>0.14515524557754178</v>
      </c>
      <c r="P116" s="94">
        <f>P114/Wless!P10</f>
        <v>0.15269145068605605</v>
      </c>
      <c r="Q116" s="1045">
        <f>Q114/Wless!Q10</f>
        <v>0.13741690043423127</v>
      </c>
      <c r="R116" s="94">
        <f>R114/Wless!R25</f>
        <v>0.15168347444678135</v>
      </c>
      <c r="S116" s="94">
        <f>S114/Wless!S25</f>
        <v>0.15168111973223794</v>
      </c>
      <c r="T116" s="1045">
        <f>T114/Wless!T25</f>
        <v>0.13897039210456122</v>
      </c>
      <c r="U116" s="94">
        <f>U114/Wless!U25</f>
        <v>0.13652890646502397</v>
      </c>
      <c r="V116" s="94">
        <f>V114/Wless!V25</f>
        <v>0.14477488641057415</v>
      </c>
      <c r="W116" s="94">
        <f>W114/Wless!W25</f>
        <v>0.16655775896357747</v>
      </c>
      <c r="X116" s="94">
        <f>X114/Wless!X25</f>
        <v>0.16881946530489636</v>
      </c>
      <c r="Y116" s="94">
        <f>Y114/Wless!Y25</f>
        <v>0.16837502574420557</v>
      </c>
      <c r="Z116" s="94">
        <f ca="1">Z114/Wless!Z25</f>
        <v>0.14339256072049519</v>
      </c>
      <c r="AA116" s="110">
        <v>0.19</v>
      </c>
      <c r="AB116" s="110">
        <v>0.19</v>
      </c>
      <c r="AC116" s="110">
        <v>0.19</v>
      </c>
      <c r="AD116" s="110">
        <v>0.19</v>
      </c>
      <c r="AE116" s="110">
        <v>0.19</v>
      </c>
      <c r="AF116" s="110">
        <v>0.19</v>
      </c>
      <c r="AG116" s="110">
        <v>0.19</v>
      </c>
      <c r="AH116" s="138"/>
      <c r="AI116" s="94"/>
      <c r="AJ116" s="94"/>
      <c r="AK116" s="94"/>
      <c r="AL116" s="94"/>
      <c r="AM116" s="94"/>
      <c r="AN116" s="94"/>
      <c r="AO116" s="94"/>
      <c r="AP116" s="147"/>
      <c r="AQ116" s="94"/>
      <c r="AR116" s="94"/>
      <c r="AS116" s="94"/>
      <c r="AT116" s="147"/>
      <c r="AU116" s="94"/>
      <c r="AV116" s="94"/>
      <c r="AW116" s="94"/>
      <c r="AX116" s="147"/>
      <c r="AY116" s="94"/>
      <c r="AZ116" s="94"/>
      <c r="BA116" s="94"/>
      <c r="BB116" s="147"/>
      <c r="BC116" s="94"/>
      <c r="BD116" s="94"/>
      <c r="BE116" s="94"/>
      <c r="BF116" s="147"/>
      <c r="BG116" s="94"/>
      <c r="BH116" s="94"/>
      <c r="BI116" s="94"/>
      <c r="BJ116" s="147"/>
      <c r="BK116" s="94"/>
      <c r="BL116" s="94"/>
      <c r="BM116" s="94"/>
      <c r="BN116" s="147">
        <f t="shared" ref="BN116:DE116" si="326">BN136</f>
        <v>0.21765631144317735</v>
      </c>
      <c r="BO116" s="94">
        <f t="shared" si="326"/>
        <v>0.18057330655468323</v>
      </c>
      <c r="BP116" s="94">
        <f t="shared" si="326"/>
        <v>0.16543251430494782</v>
      </c>
      <c r="BQ116" s="94">
        <f t="shared" si="326"/>
        <v>0.25250668449197861</v>
      </c>
      <c r="BR116" s="147">
        <f t="shared" si="326"/>
        <v>0.21324245374878287</v>
      </c>
      <c r="BS116" s="94">
        <f t="shared" si="326"/>
        <v>0.20928873959398275</v>
      </c>
      <c r="BT116" s="94">
        <f t="shared" si="326"/>
        <v>0.18793598686910135</v>
      </c>
      <c r="BU116" s="94">
        <f t="shared" si="326"/>
        <v>0.2059384363933533</v>
      </c>
      <c r="BV116" s="147">
        <f t="shared" si="326"/>
        <v>0.22121865732003235</v>
      </c>
      <c r="BW116" s="94">
        <f t="shared" si="326"/>
        <v>0.21641600815702269</v>
      </c>
      <c r="BX116" s="94">
        <f t="shared" si="326"/>
        <v>0.19434798227757155</v>
      </c>
      <c r="BY116" s="94">
        <f t="shared" si="326"/>
        <v>0.17522449919410546</v>
      </c>
      <c r="BZ116" s="147">
        <f t="shared" si="326"/>
        <v>0.17939407693180529</v>
      </c>
      <c r="CA116" s="94">
        <f t="shared" si="326"/>
        <v>0.1724249622111855</v>
      </c>
      <c r="CB116" s="94">
        <f t="shared" si="326"/>
        <v>0.16445435201134867</v>
      </c>
      <c r="CC116" s="94">
        <f t="shared" si="326"/>
        <v>0.17991880384196454</v>
      </c>
      <c r="CD116" s="147">
        <f t="shared" si="326"/>
        <v>0.1914136358580803</v>
      </c>
      <c r="CE116" s="94">
        <f t="shared" si="326"/>
        <v>0.1773027015528611</v>
      </c>
      <c r="CF116" s="94">
        <f t="shared" si="326"/>
        <v>0.15540055390296439</v>
      </c>
      <c r="CG116" s="94">
        <f t="shared" si="326"/>
        <v>0.16204172574437917</v>
      </c>
      <c r="CH116" s="147">
        <f t="shared" si="326"/>
        <v>0.1697387875800887</v>
      </c>
      <c r="CI116" s="94">
        <f t="shared" si="326"/>
        <v>0.14563476934807473</v>
      </c>
      <c r="CJ116" s="94">
        <f t="shared" si="326"/>
        <v>0.1347050754458162</v>
      </c>
      <c r="CK116" s="94">
        <f t="shared" si="326"/>
        <v>0.16152942239898763</v>
      </c>
      <c r="CL116" s="147">
        <f t="shared" si="326"/>
        <v>0.1218860510805501</v>
      </c>
      <c r="CM116" s="94">
        <f t="shared" si="326"/>
        <v>0.13726999769035336</v>
      </c>
      <c r="CN116" s="94">
        <f t="shared" si="326"/>
        <v>0.13689253935660506</v>
      </c>
      <c r="CO116" s="94">
        <f t="shared" si="326"/>
        <v>0.15307593112341653</v>
      </c>
      <c r="CP116" s="147">
        <f t="shared" si="326"/>
        <v>0.13144215060151493</v>
      </c>
      <c r="CQ116" s="94">
        <f t="shared" si="326"/>
        <v>0.16388929140704245</v>
      </c>
      <c r="CR116" s="94">
        <f t="shared" si="326"/>
        <v>0.15337380011293056</v>
      </c>
      <c r="CS116" s="94">
        <f t="shared" si="326"/>
        <v>0.15733107870076798</v>
      </c>
      <c r="CT116" s="147">
        <f t="shared" si="326"/>
        <v>0.19111173223394592</v>
      </c>
      <c r="CU116" s="94">
        <f t="shared" si="326"/>
        <v>0.18134221799143266</v>
      </c>
      <c r="CV116" s="94">
        <f t="shared" si="326"/>
        <v>0.11867225437371116</v>
      </c>
      <c r="CW116" s="101">
        <f t="shared" si="326"/>
        <v>0.11829736528531709</v>
      </c>
      <c r="CX116" s="94">
        <f t="shared" si="326"/>
        <v>0.12232316677482155</v>
      </c>
      <c r="CY116" s="94">
        <f t="shared" si="326"/>
        <v>0.12981744421906694</v>
      </c>
      <c r="CZ116" s="94">
        <f t="shared" si="326"/>
        <v>0.13204159960381329</v>
      </c>
      <c r="DA116" s="94">
        <f t="shared" si="326"/>
        <v>0.17025559690111633</v>
      </c>
      <c r="DB116" s="147">
        <f t="shared" si="326"/>
        <v>0.11908177905308465</v>
      </c>
      <c r="DC116" s="94">
        <f t="shared" si="326"/>
        <v>0.1333879845415154</v>
      </c>
      <c r="DD116" s="94">
        <f t="shared" si="326"/>
        <v>0.13987211692167162</v>
      </c>
      <c r="DE116" s="94">
        <f t="shared" si="326"/>
        <v>0.15272994184405173</v>
      </c>
      <c r="DF116" s="147">
        <f t="shared" ref="DF116:DM116" si="327">DF136</f>
        <v>0.14199143826096625</v>
      </c>
      <c r="DG116" s="1045">
        <f t="shared" si="327"/>
        <v>0.15328023011395067</v>
      </c>
      <c r="DH116" s="1045">
        <f t="shared" si="327"/>
        <v>0.13526912181303116</v>
      </c>
      <c r="DI116" s="101">
        <f t="shared" si="327"/>
        <v>0.148662749189961</v>
      </c>
      <c r="DJ116" s="147">
        <f t="shared" si="327"/>
        <v>0.13503405157977003</v>
      </c>
      <c r="DK116" s="1045">
        <f t="shared" si="327"/>
        <v>0.17671999547741535</v>
      </c>
      <c r="DL116" s="1045">
        <f t="shared" si="327"/>
        <v>0.16598477099670417</v>
      </c>
      <c r="DM116" s="101">
        <f t="shared" si="327"/>
        <v>0.18953184065135215</v>
      </c>
      <c r="DN116" s="1045">
        <f t="shared" ref="DN116:DO116" si="328">DN136</f>
        <v>0.13028734606460823</v>
      </c>
      <c r="DO116" s="1045">
        <f t="shared" si="328"/>
        <v>0.16815005077354997</v>
      </c>
      <c r="DP116" s="1045">
        <f t="shared" ref="DP116:DQ116" si="329">DP136</f>
        <v>0.1660872692399904</v>
      </c>
      <c r="DQ116" s="101">
        <f t="shared" si="329"/>
        <v>0.21191728863330478</v>
      </c>
      <c r="DR116" s="1045">
        <f t="shared" ref="DR116:DS116" si="330">DR136</f>
        <v>0.11604766130054506</v>
      </c>
      <c r="DS116" s="1045">
        <f t="shared" si="330"/>
        <v>0.15644603763922674</v>
      </c>
      <c r="DT116" s="1045">
        <f t="shared" ref="DT116:DU116" si="331">DT136</f>
        <v>0.18748816362603371</v>
      </c>
      <c r="DU116" s="1045">
        <f t="shared" si="331"/>
        <v>0.2130352644836272</v>
      </c>
      <c r="DV116" s="1045">
        <f t="shared" ref="DV116" si="332">DV136</f>
        <v>0.15368134008570317</v>
      </c>
      <c r="DW116" s="3268">
        <v>0.14000000000000001</v>
      </c>
      <c r="DX116" s="3268">
        <v>0.14000000000000001</v>
      </c>
      <c r="DY116" s="2147">
        <v>0.14000000000000001</v>
      </c>
      <c r="DZ116" s="94"/>
    </row>
    <row r="117" spans="1:130">
      <c r="A117" s="100"/>
      <c r="B117" s="87"/>
      <c r="C117" s="87"/>
      <c r="D117" s="87"/>
      <c r="E117" s="143"/>
      <c r="F117" s="87"/>
      <c r="G117" s="87"/>
      <c r="H117" s="87"/>
      <c r="I117" s="87"/>
      <c r="J117" s="87"/>
      <c r="K117" s="87"/>
      <c r="L117" s="87"/>
      <c r="M117" s="87"/>
      <c r="N117" s="87"/>
      <c r="O117" s="87"/>
      <c r="P117" s="87"/>
      <c r="Q117" s="1041"/>
      <c r="R117" s="103"/>
      <c r="S117" s="87"/>
      <c r="T117" s="1043"/>
      <c r="U117" s="103"/>
      <c r="V117" s="103"/>
      <c r="W117" s="103"/>
      <c r="X117" s="103"/>
      <c r="Y117" s="103"/>
      <c r="Z117" s="103"/>
      <c r="AA117" s="103"/>
      <c r="AB117" s="103"/>
      <c r="AC117" s="103"/>
      <c r="AD117" s="103"/>
      <c r="AE117" s="103"/>
      <c r="AF117" s="103"/>
      <c r="AG117" s="103"/>
      <c r="AH117" s="1237"/>
      <c r="AI117" s="143"/>
      <c r="AJ117" s="143"/>
      <c r="AK117" s="143"/>
      <c r="AL117" s="143"/>
      <c r="AM117" s="87"/>
      <c r="AN117" s="143"/>
      <c r="AO117" s="143"/>
      <c r="AP117" s="159"/>
      <c r="AQ117" s="143"/>
      <c r="AR117" s="143"/>
      <c r="AS117" s="143"/>
      <c r="AT117" s="159"/>
      <c r="AU117" s="143"/>
      <c r="AV117" s="143"/>
      <c r="AW117" s="143"/>
      <c r="AX117" s="159"/>
      <c r="AY117" s="143"/>
      <c r="AZ117" s="143"/>
      <c r="BA117" s="143"/>
      <c r="BB117" s="159"/>
      <c r="BC117" s="143"/>
      <c r="BD117" s="143"/>
      <c r="BE117" s="143"/>
      <c r="BF117" s="159"/>
      <c r="BG117" s="143"/>
      <c r="BH117" s="143"/>
      <c r="BI117" s="143"/>
      <c r="BJ117" s="159"/>
      <c r="BK117" s="143"/>
      <c r="BL117" s="143"/>
      <c r="BM117" s="143"/>
      <c r="BN117" s="88"/>
      <c r="BO117" s="87"/>
      <c r="BP117" s="87"/>
      <c r="BQ117" s="87"/>
      <c r="BR117" s="88"/>
      <c r="BS117" s="87"/>
      <c r="BT117" s="87"/>
      <c r="BU117" s="87"/>
      <c r="BV117" s="88"/>
      <c r="BW117" s="87"/>
      <c r="BX117" s="87"/>
      <c r="BY117" s="87"/>
      <c r="BZ117" s="88"/>
      <c r="CA117" s="87"/>
      <c r="CB117" s="87"/>
      <c r="CC117" s="87"/>
      <c r="CD117" s="88"/>
      <c r="CE117" s="87"/>
      <c r="CF117" s="87"/>
      <c r="CG117" s="87"/>
      <c r="CH117" s="88"/>
      <c r="CI117" s="87"/>
      <c r="CJ117" s="87"/>
      <c r="CK117" s="87"/>
      <c r="CL117" s="88"/>
      <c r="CM117" s="87"/>
      <c r="CN117" s="87"/>
      <c r="CO117" s="87"/>
      <c r="CP117" s="88"/>
      <c r="CQ117" s="87"/>
      <c r="CR117" s="87"/>
      <c r="CS117" s="87"/>
      <c r="CT117" s="88"/>
      <c r="CU117" s="87"/>
      <c r="CV117" s="87"/>
      <c r="CW117" s="144"/>
      <c r="CX117" s="87"/>
      <c r="CY117" s="87"/>
      <c r="CZ117" s="87"/>
      <c r="DA117" s="87"/>
      <c r="DB117" s="88"/>
      <c r="DC117" s="87"/>
      <c r="DD117" s="87"/>
      <c r="DE117" s="87"/>
      <c r="DF117" s="88"/>
      <c r="DG117" s="1041"/>
      <c r="DH117" s="1041"/>
      <c r="DI117" s="144"/>
      <c r="DJ117" s="88"/>
      <c r="DK117" s="1041"/>
      <c r="DL117" s="1041"/>
      <c r="DM117" s="144"/>
      <c r="DN117" s="1041"/>
      <c r="DO117" s="1041"/>
      <c r="DP117" s="1041"/>
      <c r="DQ117" s="144"/>
      <c r="DR117" s="1041"/>
      <c r="DS117" s="1041"/>
      <c r="DT117" s="1041"/>
      <c r="DU117" s="1041"/>
      <c r="DV117" s="1041"/>
      <c r="DW117" s="1041"/>
      <c r="DX117" s="1041"/>
      <c r="DY117" s="144"/>
      <c r="DZ117" s="87"/>
    </row>
    <row r="118" spans="1:130" hidden="1" outlineLevel="1">
      <c r="A118" s="778" t="s">
        <v>540</v>
      </c>
      <c r="B118" s="777"/>
      <c r="C118" s="777"/>
      <c r="D118" s="533"/>
      <c r="E118" s="533"/>
      <c r="F118" s="533"/>
      <c r="G118" s="533"/>
      <c r="H118" s="533"/>
      <c r="I118" s="533"/>
      <c r="J118" s="533"/>
      <c r="K118" s="533"/>
      <c r="L118" s="533"/>
      <c r="M118" s="533"/>
      <c r="N118" s="533"/>
      <c r="O118" s="533">
        <f>SUM(CD118:CG118)</f>
        <v>7589.1949999999997</v>
      </c>
      <c r="P118" s="533">
        <f>SUM(CH118:CK118)</f>
        <v>7426.2</v>
      </c>
      <c r="Q118" s="1137">
        <f>SUM(CL118:CO118)</f>
        <v>7152</v>
      </c>
      <c r="R118" s="533">
        <f>SUM(CP118:CS118)</f>
        <v>8438</v>
      </c>
      <c r="S118" s="533">
        <f>SUM(CT118:CW118)</f>
        <v>8973</v>
      </c>
      <c r="T118" s="1137">
        <f t="shared" ref="T118:V118" si="333">+T114</f>
        <v>8857</v>
      </c>
      <c r="U118" s="533">
        <f t="shared" si="333"/>
        <v>9425</v>
      </c>
      <c r="V118" s="533">
        <f t="shared" si="333"/>
        <v>10515</v>
      </c>
      <c r="W118" s="533">
        <f t="shared" ref="W118:AB118" si="334">+W114</f>
        <v>11725</v>
      </c>
      <c r="X118" s="533">
        <f t="shared" si="334"/>
        <v>11240</v>
      </c>
      <c r="Y118" s="533">
        <f t="shared" si="334"/>
        <v>10628</v>
      </c>
      <c r="Z118" s="533">
        <f t="shared" ca="1" si="334"/>
        <v>8906.4523480695134</v>
      </c>
      <c r="AA118" s="533">
        <f t="shared" ca="1" si="334"/>
        <v>11971.816370188671</v>
      </c>
      <c r="AB118" s="533">
        <f t="shared" ca="1" si="334"/>
        <v>12165.382932009355</v>
      </c>
      <c r="AC118" s="533">
        <f t="shared" ref="AC118:AG118" ca="1" si="335">+AC114</f>
        <v>12373.92195528193</v>
      </c>
      <c r="AD118" s="533">
        <f t="shared" ca="1" si="335"/>
        <v>12595.669303914367</v>
      </c>
      <c r="AE118" s="533">
        <f t="shared" ca="1" si="335"/>
        <v>12831.701873574641</v>
      </c>
      <c r="AF118" s="533">
        <f t="shared" ca="1" si="335"/>
        <v>13084.32525619944</v>
      </c>
      <c r="AG118" s="533">
        <f t="shared" ca="1" si="335"/>
        <v>13356.358738063651</v>
      </c>
      <c r="AH118" s="536"/>
      <c r="AI118" s="533"/>
      <c r="AJ118" s="533"/>
      <c r="AK118" s="533"/>
      <c r="AL118" s="533"/>
      <c r="AM118" s="533"/>
      <c r="AN118" s="533"/>
      <c r="AO118" s="533"/>
      <c r="AP118" s="534"/>
      <c r="AQ118" s="533"/>
      <c r="AR118" s="533"/>
      <c r="AS118" s="533"/>
      <c r="AT118" s="534"/>
      <c r="AU118" s="533"/>
      <c r="AV118" s="533"/>
      <c r="AW118" s="533"/>
      <c r="AX118" s="534"/>
      <c r="AY118" s="533"/>
      <c r="AZ118" s="533"/>
      <c r="BA118" s="533"/>
      <c r="BB118" s="534"/>
      <c r="BC118" s="533"/>
      <c r="BD118" s="533"/>
      <c r="BE118" s="533"/>
      <c r="BF118" s="534"/>
      <c r="BG118" s="533"/>
      <c r="BH118" s="533"/>
      <c r="BI118" s="533"/>
      <c r="BJ118" s="534"/>
      <c r="BK118" s="533"/>
      <c r="BL118" s="533"/>
      <c r="BM118" s="533"/>
      <c r="BN118" s="534"/>
      <c r="BO118" s="533"/>
      <c r="BP118" s="533"/>
      <c r="BQ118" s="533"/>
      <c r="BR118" s="534"/>
      <c r="BS118" s="533"/>
      <c r="BT118" s="533"/>
      <c r="BU118" s="533"/>
      <c r="BV118" s="534"/>
      <c r="BW118" s="533"/>
      <c r="BX118" s="533"/>
      <c r="BY118" s="533"/>
      <c r="BZ118" s="534">
        <f t="shared" ref="BZ118:DE118" si="336">+BZ114+BZ122</f>
        <v>1739.3869999999999</v>
      </c>
      <c r="CA118" s="533">
        <f t="shared" si="336"/>
        <v>1887.7850000000001</v>
      </c>
      <c r="CB118" s="533">
        <f t="shared" si="336"/>
        <v>1900.373</v>
      </c>
      <c r="CC118" s="533">
        <f t="shared" si="336"/>
        <v>2262.9920000000002</v>
      </c>
      <c r="CD118" s="534">
        <f t="shared" si="336"/>
        <v>1890.6479999999999</v>
      </c>
      <c r="CE118" s="533">
        <f t="shared" si="336"/>
        <v>1992.4</v>
      </c>
      <c r="CF118" s="533">
        <f t="shared" si="336"/>
        <v>1764.547</v>
      </c>
      <c r="CG118" s="533">
        <f t="shared" si="336"/>
        <v>1941.6</v>
      </c>
      <c r="CH118" s="534">
        <f t="shared" si="336"/>
        <v>1868.3</v>
      </c>
      <c r="CI118" s="533">
        <f t="shared" si="336"/>
        <v>1754.3</v>
      </c>
      <c r="CJ118" s="533">
        <f t="shared" si="336"/>
        <v>1744.8</v>
      </c>
      <c r="CK118" s="533">
        <f t="shared" si="336"/>
        <v>2058.8000000000002</v>
      </c>
      <c r="CL118" s="534">
        <f t="shared" si="336"/>
        <v>1551</v>
      </c>
      <c r="CM118" s="533">
        <f t="shared" si="336"/>
        <v>1783</v>
      </c>
      <c r="CN118" s="533">
        <f t="shared" si="336"/>
        <v>1800</v>
      </c>
      <c r="CO118" s="533">
        <f t="shared" si="336"/>
        <v>2018</v>
      </c>
      <c r="CP118" s="534">
        <f t="shared" si="336"/>
        <v>1770</v>
      </c>
      <c r="CQ118" s="533">
        <f t="shared" si="336"/>
        <v>2262</v>
      </c>
      <c r="CR118" s="533">
        <f t="shared" si="336"/>
        <v>2173</v>
      </c>
      <c r="CS118" s="533">
        <f t="shared" si="336"/>
        <v>2233</v>
      </c>
      <c r="CT118" s="534">
        <f t="shared" si="336"/>
        <v>2735</v>
      </c>
      <c r="CU118" s="533">
        <f t="shared" si="336"/>
        <v>2667</v>
      </c>
      <c r="CV118" s="533">
        <f t="shared" si="336"/>
        <v>1784</v>
      </c>
      <c r="CW118" s="535">
        <f t="shared" si="336"/>
        <v>1787</v>
      </c>
      <c r="CX118" s="533">
        <f t="shared" si="336"/>
        <v>1885</v>
      </c>
      <c r="CY118" s="533">
        <f t="shared" si="336"/>
        <v>2048</v>
      </c>
      <c r="CZ118" s="533">
        <f t="shared" si="336"/>
        <v>2133</v>
      </c>
      <c r="DA118" s="533">
        <f t="shared" si="336"/>
        <v>2791</v>
      </c>
      <c r="DB118" s="534">
        <f t="shared" si="336"/>
        <v>1992</v>
      </c>
      <c r="DC118" s="533">
        <f t="shared" si="336"/>
        <v>2278</v>
      </c>
      <c r="DD118" s="533">
        <f t="shared" si="336"/>
        <v>2450</v>
      </c>
      <c r="DE118" s="533">
        <f t="shared" si="336"/>
        <v>2705</v>
      </c>
      <c r="DF118" s="534">
        <f>+DF114+DF122</f>
        <v>2554</v>
      </c>
      <c r="DG118" s="1137">
        <f>+DG114+DG122</f>
        <v>2771</v>
      </c>
      <c r="DH118" s="1137">
        <f>+DH114+DH122</f>
        <v>2483</v>
      </c>
      <c r="DI118" s="535">
        <f>+DI114+DI122</f>
        <v>2707</v>
      </c>
      <c r="DJ118" s="534">
        <f t="shared" ref="DJ118:DM118" si="337">+DJ114+DJ122</f>
        <v>2419</v>
      </c>
      <c r="DK118" s="1137">
        <f t="shared" si="337"/>
        <v>3126</v>
      </c>
      <c r="DL118" s="1137">
        <f t="shared" si="337"/>
        <v>2921</v>
      </c>
      <c r="DM118" s="535">
        <f t="shared" si="337"/>
        <v>3259</v>
      </c>
      <c r="DN118" s="1137">
        <f t="shared" ref="DN118:DO118" si="338">+DN114+DN122</f>
        <v>2190</v>
      </c>
      <c r="DO118" s="1137">
        <f t="shared" si="338"/>
        <v>2815</v>
      </c>
      <c r="DP118" s="1137">
        <f t="shared" ref="DP118:DQ118" si="339">+DP114+DP122</f>
        <v>2771</v>
      </c>
      <c r="DQ118" s="535">
        <f t="shared" si="339"/>
        <v>3464</v>
      </c>
      <c r="DR118" s="1137">
        <f t="shared" ref="DR118:DS118" si="340">+DR114+DR122</f>
        <v>1831</v>
      </c>
      <c r="DS118" s="1137">
        <f t="shared" si="340"/>
        <v>2444</v>
      </c>
      <c r="DT118" s="1137">
        <f t="shared" ref="DT118:DU118" si="341">+DT114+DT122</f>
        <v>2970</v>
      </c>
      <c r="DU118" s="1137">
        <f t="shared" si="341"/>
        <v>3383</v>
      </c>
      <c r="DV118" s="1137">
        <f t="shared" ref="DV118" si="342">+DV114+DV122</f>
        <v>2367</v>
      </c>
      <c r="DW118" s="1137">
        <f t="shared" ref="DW118:DY118" ca="1" si="343">+DW114+DW122</f>
        <v>2160.2546911785289</v>
      </c>
      <c r="DX118" s="1137">
        <f t="shared" ca="1" si="343"/>
        <v>2189.5444932167957</v>
      </c>
      <c r="DY118" s="535">
        <f t="shared" ca="1" si="343"/>
        <v>2189.6531636741884</v>
      </c>
      <c r="DZ118" s="109"/>
    </row>
    <row r="119" spans="1:130" hidden="1" outlineLevel="1">
      <c r="A119" s="779" t="s">
        <v>991</v>
      </c>
      <c r="B119" s="485"/>
      <c r="C119" s="485"/>
      <c r="D119" s="485"/>
      <c r="E119" s="485"/>
      <c r="F119" s="485"/>
      <c r="G119" s="485"/>
      <c r="H119" s="485"/>
      <c r="I119" s="485"/>
      <c r="J119" s="485"/>
      <c r="K119" s="485"/>
      <c r="L119" s="485"/>
      <c r="M119" s="485"/>
      <c r="N119" s="485"/>
      <c r="O119" s="485"/>
      <c r="P119" s="485">
        <f t="shared" ref="P119:AB119" si="344">P118/O118-1</f>
        <v>-2.1477244951539687E-2</v>
      </c>
      <c r="Q119" s="1138">
        <f t="shared" si="344"/>
        <v>-3.6923325523147699E-2</v>
      </c>
      <c r="R119" s="485">
        <f t="shared" si="344"/>
        <v>0.17980984340044737</v>
      </c>
      <c r="S119" s="485">
        <f t="shared" si="344"/>
        <v>6.3403650154064906E-2</v>
      </c>
      <c r="T119" s="1138">
        <f t="shared" si="344"/>
        <v>-1.2927671904602644E-2</v>
      </c>
      <c r="U119" s="485">
        <f t="shared" si="344"/>
        <v>6.4130066613977688E-2</v>
      </c>
      <c r="V119" s="485">
        <f t="shared" si="344"/>
        <v>0.1156498673740054</v>
      </c>
      <c r="W119" s="485">
        <f>W118/V118-1</f>
        <v>0.11507370423204955</v>
      </c>
      <c r="X119" s="485">
        <f>X118/W118-1</f>
        <v>-4.136460554371002E-2</v>
      </c>
      <c r="Y119" s="485">
        <f>Y118/X118-1</f>
        <v>-5.4448398576512402E-2</v>
      </c>
      <c r="Z119" s="485">
        <f ca="1">Z118/Y118-1</f>
        <v>-0.16198227812669241</v>
      </c>
      <c r="AA119" s="485">
        <f t="shared" ca="1" si="344"/>
        <v>0.34417340399104934</v>
      </c>
      <c r="AB119" s="485">
        <f t="shared" ca="1" si="344"/>
        <v>1.6168520785424745E-2</v>
      </c>
      <c r="AC119" s="485">
        <f t="shared" ref="AC119" ca="1" si="345">AC118/AB118-1</f>
        <v>1.7142002388093491E-2</v>
      </c>
      <c r="AD119" s="485">
        <f t="shared" ref="AD119" ca="1" si="346">AD118/AC118-1</f>
        <v>1.7920538810072273E-2</v>
      </c>
      <c r="AE119" s="485">
        <f t="shared" ref="AE119" ca="1" si="347">AE118/AD118-1</f>
        <v>1.8739184394665154E-2</v>
      </c>
      <c r="AF119" s="485">
        <f t="shared" ref="AF119" ca="1" si="348">AF118/AE118-1</f>
        <v>1.9687441706002229E-2</v>
      </c>
      <c r="AG119" s="485">
        <f t="shared" ref="AG119" ca="1" si="349">AG118/AF118-1</f>
        <v>2.0790791770887829E-2</v>
      </c>
      <c r="AH119" s="138"/>
      <c r="AI119" s="485"/>
      <c r="AJ119" s="485"/>
      <c r="AK119" s="485"/>
      <c r="AL119" s="485"/>
      <c r="AM119" s="485"/>
      <c r="AN119" s="485"/>
      <c r="AO119" s="485"/>
      <c r="AP119" s="486"/>
      <c r="AQ119" s="485"/>
      <c r="AR119" s="485"/>
      <c r="AS119" s="485"/>
      <c r="AT119" s="486"/>
      <c r="AU119" s="485"/>
      <c r="AV119" s="485"/>
      <c r="AW119" s="485"/>
      <c r="AX119" s="486"/>
      <c r="AY119" s="485"/>
      <c r="AZ119" s="485"/>
      <c r="BA119" s="485"/>
      <c r="BB119" s="486"/>
      <c r="BC119" s="485"/>
      <c r="BD119" s="485"/>
      <c r="BE119" s="485"/>
      <c r="BF119" s="486"/>
      <c r="BG119" s="485"/>
      <c r="BH119" s="485"/>
      <c r="BI119" s="485"/>
      <c r="BJ119" s="486"/>
      <c r="BK119" s="485"/>
      <c r="BL119" s="485"/>
      <c r="BM119" s="485"/>
      <c r="BN119" s="486"/>
      <c r="BO119" s="485"/>
      <c r="BP119" s="485"/>
      <c r="BQ119" s="485"/>
      <c r="BR119" s="486"/>
      <c r="BS119" s="485"/>
      <c r="BT119" s="485"/>
      <c r="BU119" s="485"/>
      <c r="BV119" s="486"/>
      <c r="BW119" s="485"/>
      <c r="BX119" s="485"/>
      <c r="BY119" s="485"/>
      <c r="BZ119" s="486"/>
      <c r="CA119" s="485"/>
      <c r="CB119" s="485"/>
      <c r="CC119" s="485"/>
      <c r="CD119" s="486">
        <f t="shared" ref="CD119:DV119" si="350">CD118/BZ118-1</f>
        <v>8.6962245894674384E-2</v>
      </c>
      <c r="CE119" s="485">
        <f t="shared" si="350"/>
        <v>5.5416797993415479E-2</v>
      </c>
      <c r="CF119" s="485">
        <f t="shared" si="350"/>
        <v>-7.1473337076458199E-2</v>
      </c>
      <c r="CG119" s="485">
        <f t="shared" si="350"/>
        <v>-0.14202082906170255</v>
      </c>
      <c r="CH119" s="486">
        <f t="shared" si="350"/>
        <v>-1.1820285954868393E-2</v>
      </c>
      <c r="CI119" s="485">
        <f t="shared" si="350"/>
        <v>-0.11950411563942986</v>
      </c>
      <c r="CJ119" s="485">
        <f t="shared" si="350"/>
        <v>-1.1190974227379691E-2</v>
      </c>
      <c r="CK119" s="485">
        <f t="shared" si="350"/>
        <v>6.0362587556654468E-2</v>
      </c>
      <c r="CL119" s="486">
        <f t="shared" si="350"/>
        <v>-0.16983353851094574</v>
      </c>
      <c r="CM119" s="485">
        <f t="shared" si="350"/>
        <v>1.6359801630279946E-2</v>
      </c>
      <c r="CN119" s="485">
        <f t="shared" si="350"/>
        <v>3.1636863823933936E-2</v>
      </c>
      <c r="CO119" s="485">
        <f t="shared" si="350"/>
        <v>-1.9817369341364022E-2</v>
      </c>
      <c r="CP119" s="486">
        <f t="shared" si="350"/>
        <v>0.14119922630560922</v>
      </c>
      <c r="CQ119" s="485">
        <f t="shared" si="350"/>
        <v>0.26864834548513739</v>
      </c>
      <c r="CR119" s="485">
        <f t="shared" si="350"/>
        <v>0.2072222222222222</v>
      </c>
      <c r="CS119" s="485">
        <f t="shared" si="350"/>
        <v>0.10654112983151642</v>
      </c>
      <c r="CT119" s="486">
        <f t="shared" si="350"/>
        <v>0.54519774011299438</v>
      </c>
      <c r="CU119" s="485">
        <f t="shared" si="350"/>
        <v>0.17904509283819636</v>
      </c>
      <c r="CV119" s="485">
        <f t="shared" si="350"/>
        <v>-0.17901518637827885</v>
      </c>
      <c r="CW119" s="537">
        <f t="shared" si="350"/>
        <v>-0.19973130317957899</v>
      </c>
      <c r="CX119" s="485">
        <f t="shared" si="350"/>
        <v>-0.31078610603290679</v>
      </c>
      <c r="CY119" s="485">
        <f t="shared" si="350"/>
        <v>-0.23209598800149978</v>
      </c>
      <c r="CZ119" s="485">
        <f t="shared" si="350"/>
        <v>0.19562780269058289</v>
      </c>
      <c r="DA119" s="485">
        <f t="shared" si="350"/>
        <v>0.56183547845551196</v>
      </c>
      <c r="DB119" s="486">
        <f t="shared" si="350"/>
        <v>5.6763925729442999E-2</v>
      </c>
      <c r="DC119" s="485">
        <f t="shared" si="350"/>
        <v>0.1123046875</v>
      </c>
      <c r="DD119" s="485">
        <f t="shared" si="350"/>
        <v>0.14861697140178154</v>
      </c>
      <c r="DE119" s="485">
        <f t="shared" si="350"/>
        <v>-3.0813328556073105E-2</v>
      </c>
      <c r="DF119" s="486">
        <f t="shared" si="350"/>
        <v>0.28212851405622486</v>
      </c>
      <c r="DG119" s="1138">
        <f t="shared" si="350"/>
        <v>0.21641791044776126</v>
      </c>
      <c r="DH119" s="1138">
        <f t="shared" si="350"/>
        <v>1.346938775510198E-2</v>
      </c>
      <c r="DI119" s="537">
        <f t="shared" si="350"/>
        <v>7.3937153419589841E-4</v>
      </c>
      <c r="DJ119" s="486">
        <f t="shared" si="350"/>
        <v>-5.2858261550508989E-2</v>
      </c>
      <c r="DK119" s="1138">
        <f t="shared" si="350"/>
        <v>0.12811259473114389</v>
      </c>
      <c r="DL119" s="1138">
        <f t="shared" si="350"/>
        <v>0.17639951671365295</v>
      </c>
      <c r="DM119" s="537">
        <f t="shared" si="350"/>
        <v>0.20391577391946814</v>
      </c>
      <c r="DN119" s="1138">
        <f t="shared" si="350"/>
        <v>-9.4667217858619312E-2</v>
      </c>
      <c r="DO119" s="1138">
        <f t="shared" si="350"/>
        <v>-9.9488163787587958E-2</v>
      </c>
      <c r="DP119" s="1138">
        <f t="shared" si="350"/>
        <v>-5.1352276617596671E-2</v>
      </c>
      <c r="DQ119" s="537">
        <f t="shared" si="350"/>
        <v>6.2902730899048853E-2</v>
      </c>
      <c r="DR119" s="1138">
        <f t="shared" si="350"/>
        <v>-0.16392694063926938</v>
      </c>
      <c r="DS119" s="1138">
        <f t="shared" si="350"/>
        <v>-0.1317939609236235</v>
      </c>
      <c r="DT119" s="1138">
        <f t="shared" si="350"/>
        <v>7.1815229159148286E-2</v>
      </c>
      <c r="DU119" s="1138">
        <f t="shared" si="350"/>
        <v>-2.3383371824480359E-2</v>
      </c>
      <c r="DV119" s="1138">
        <f t="shared" si="350"/>
        <v>0.29273620972146364</v>
      </c>
      <c r="DW119" s="1138">
        <f t="shared" ref="DW119" ca="1" si="351">DW118/DS118-1</f>
        <v>-0.11609873519700131</v>
      </c>
      <c r="DX119" s="1138">
        <f t="shared" ref="DX119" ca="1" si="352">DX118/DT118-1</f>
        <v>-0.26277963191353682</v>
      </c>
      <c r="DY119" s="537">
        <f t="shared" ref="DY119" ca="1" si="353">DY118/DU118-1</f>
        <v>-0.35274810414596858</v>
      </c>
      <c r="DZ119" s="94"/>
    </row>
    <row r="120" spans="1:130" hidden="1" outlineLevel="1">
      <c r="A120" s="779" t="s">
        <v>539</v>
      </c>
      <c r="B120" s="485"/>
      <c r="C120" s="485"/>
      <c r="D120" s="485"/>
      <c r="E120" s="485"/>
      <c r="F120" s="485"/>
      <c r="G120" s="485"/>
      <c r="H120" s="485"/>
      <c r="I120" s="485"/>
      <c r="J120" s="485"/>
      <c r="K120" s="485"/>
      <c r="L120" s="485"/>
      <c r="M120" s="485"/>
      <c r="N120" s="485"/>
      <c r="O120" s="485"/>
      <c r="P120" s="485">
        <f>+P118/Wless!P25</f>
        <v>0.15331984474357915</v>
      </c>
      <c r="Q120" s="1138">
        <f>+Q118/Wless!Q25</f>
        <v>0.13741690043423127</v>
      </c>
      <c r="R120" s="485">
        <f>+R118/Wless!R25</f>
        <v>0.15168347444678135</v>
      </c>
      <c r="S120" s="485">
        <f>+S118/Wless!S25</f>
        <v>0.15168111973223794</v>
      </c>
      <c r="T120" s="1138">
        <f>+T118/Wless!T25</f>
        <v>0.13897039210456122</v>
      </c>
      <c r="U120" s="485">
        <f>+U118/Wless!U25</f>
        <v>0.13652890646502397</v>
      </c>
      <c r="V120" s="485">
        <f>+V118/Wless!V25</f>
        <v>0.14477488641057415</v>
      </c>
      <c r="W120" s="485">
        <f>+W118/Wless!W25</f>
        <v>0.16655775896357747</v>
      </c>
      <c r="X120" s="485">
        <f>+X118/Wless!X25</f>
        <v>0.16881946530489636</v>
      </c>
      <c r="Y120" s="485">
        <f>+Y118/Wless!Y25</f>
        <v>0.16837502574420557</v>
      </c>
      <c r="Z120" s="485">
        <f ca="1">+Z118/Wless!Z25</f>
        <v>0.14339256072049519</v>
      </c>
      <c r="AA120" s="485">
        <f ca="1">+AA118/Wless!AA25</f>
        <v>0.19</v>
      </c>
      <c r="AB120" s="485">
        <f ca="1">+AB118/Wless!AB25</f>
        <v>0.19</v>
      </c>
      <c r="AC120" s="485">
        <f ca="1">+AC118/Wless!AC25</f>
        <v>0.19</v>
      </c>
      <c r="AD120" s="485">
        <f ca="1">+AD118/Wless!AD25</f>
        <v>0.19</v>
      </c>
      <c r="AE120" s="485">
        <f ca="1">+AE118/Wless!AE25</f>
        <v>0.19</v>
      </c>
      <c r="AF120" s="485">
        <f ca="1">+AF118/Wless!AF25</f>
        <v>0.19</v>
      </c>
      <c r="AG120" s="485">
        <f ca="1">+AG118/Wless!AG25</f>
        <v>0.19</v>
      </c>
      <c r="AH120" s="138"/>
      <c r="AI120" s="485"/>
      <c r="AJ120" s="485"/>
      <c r="AK120" s="485"/>
      <c r="AL120" s="485"/>
      <c r="AM120" s="485"/>
      <c r="AN120" s="485"/>
      <c r="AO120" s="485"/>
      <c r="AP120" s="486"/>
      <c r="AQ120" s="485"/>
      <c r="AR120" s="485"/>
      <c r="AS120" s="485"/>
      <c r="AT120" s="486"/>
      <c r="AU120" s="485"/>
      <c r="AV120" s="485"/>
      <c r="AW120" s="485"/>
      <c r="AX120" s="486"/>
      <c r="AY120" s="485"/>
      <c r="AZ120" s="485"/>
      <c r="BA120" s="485"/>
      <c r="BB120" s="486"/>
      <c r="BC120" s="485"/>
      <c r="BD120" s="485"/>
      <c r="BE120" s="485"/>
      <c r="BF120" s="486"/>
      <c r="BG120" s="485"/>
      <c r="BH120" s="485"/>
      <c r="BI120" s="485"/>
      <c r="BJ120" s="486"/>
      <c r="BK120" s="485"/>
      <c r="BL120" s="485"/>
      <c r="BM120" s="485"/>
      <c r="BN120" s="486"/>
      <c r="BO120" s="485"/>
      <c r="BP120" s="485"/>
      <c r="BQ120" s="485"/>
      <c r="BR120" s="486"/>
      <c r="BS120" s="485"/>
      <c r="BT120" s="485"/>
      <c r="BU120" s="485"/>
      <c r="BV120" s="486"/>
      <c r="BW120" s="485"/>
      <c r="BX120" s="485"/>
      <c r="BY120" s="485"/>
      <c r="BZ120" s="486">
        <f>+BZ118/Wless!BZ25</f>
        <v>0.19416814725543718</v>
      </c>
      <c r="CA120" s="485">
        <f>+CA118/Wless!CA25</f>
        <v>0.19934102263454095</v>
      </c>
      <c r="CB120" s="485">
        <f>+CB118/Wless!CB25</f>
        <v>0.19071542684322648</v>
      </c>
      <c r="CC120" s="485">
        <f>+CC118/Wless!CC25</f>
        <v>0.22114426093434225</v>
      </c>
      <c r="CD120" s="486">
        <f>+CD118/Wless!CD25</f>
        <v>0.17885030157637036</v>
      </c>
      <c r="CE120" s="485">
        <f>+CE118/Wless!CE25</f>
        <v>0.17992316150388454</v>
      </c>
      <c r="CF120" s="485">
        <f>+CF118/Wless!CF25</f>
        <v>0.15316618048875419</v>
      </c>
      <c r="CG120" s="485">
        <f>+CG118/Wless!CG25</f>
        <v>0.16687437151378157</v>
      </c>
      <c r="CH120" s="486">
        <f>+CH118/Wless!CH25</f>
        <v>0.16196792371044647</v>
      </c>
      <c r="CI120" s="485">
        <f>+CI118/Wless!CI25</f>
        <v>0.14713578797282562</v>
      </c>
      <c r="CJ120" s="485">
        <f>+CJ118/Wless!CJ25</f>
        <v>0.14048309178743962</v>
      </c>
      <c r="CK120" s="485">
        <f>+CK118/Wless!CK25</f>
        <v>0.16394330307373786</v>
      </c>
      <c r="CL120" s="486">
        <f>+CL118/Wless!CL25</f>
        <v>0.1218860510805501</v>
      </c>
      <c r="CM120" s="485">
        <f>+CM118/Wless!CM25</f>
        <v>0.13726999769035336</v>
      </c>
      <c r="CN120" s="485">
        <f>+CN118/Wless!CN25</f>
        <v>0.13689253935660506</v>
      </c>
      <c r="CO120" s="485">
        <f>+CO118/Wless!CO25</f>
        <v>0.15307593112341653</v>
      </c>
      <c r="CP120" s="486">
        <f>+CP118/Wless!CP25</f>
        <v>0.13144215060151493</v>
      </c>
      <c r="CQ120" s="485">
        <f>+CQ118/Wless!CQ25</f>
        <v>0.16388929140704245</v>
      </c>
      <c r="CR120" s="485">
        <f>+CR118/Wless!CR25</f>
        <v>0.15337380011293056</v>
      </c>
      <c r="CS120" s="485">
        <f>+CS118/Wless!CS25</f>
        <v>0.15733107870076798</v>
      </c>
      <c r="CT120" s="486">
        <f>+CT118/Wless!CT25</f>
        <v>0.19111173223394592</v>
      </c>
      <c r="CU120" s="485">
        <f>+CU118/Wless!CU25</f>
        <v>0.18134221799143266</v>
      </c>
      <c r="CV120" s="485">
        <f>+CV118/Wless!CV25</f>
        <v>0.11867225437371116</v>
      </c>
      <c r="CW120" s="537">
        <f>+CW118/Wless!CW25</f>
        <v>0.11829736528531709</v>
      </c>
      <c r="CX120" s="485">
        <f>+CX118/Wless!CX25</f>
        <v>0.12232316677482155</v>
      </c>
      <c r="CY120" s="485">
        <f>+CY118/Wless!CY25</f>
        <v>0.12981744421906694</v>
      </c>
      <c r="CZ120" s="485">
        <f>+CZ118/Wless!CZ25</f>
        <v>0.13204159960381329</v>
      </c>
      <c r="DA120" s="485">
        <f>+DA118/Wless!DA25</f>
        <v>0.17025559690111633</v>
      </c>
      <c r="DB120" s="486">
        <f>+DB118/Wless!DB25</f>
        <v>0.11908177905308465</v>
      </c>
      <c r="DC120" s="485">
        <f>+DC118/Wless!DC25</f>
        <v>0.1333879845415154</v>
      </c>
      <c r="DD120" s="485">
        <f>+DD118/Wless!DD25</f>
        <v>0.13987211692167162</v>
      </c>
      <c r="DE120" s="485">
        <f>+DE118/Wless!DE25</f>
        <v>0.15272994184405173</v>
      </c>
      <c r="DF120" s="486">
        <f>+DF118/Wless!DF25</f>
        <v>0.14199143826096625</v>
      </c>
      <c r="DG120" s="1138">
        <f>+DG118/Wless!DG25</f>
        <v>0.15328023011395067</v>
      </c>
      <c r="DH120" s="1138">
        <f>+DH118/Wless!DH25</f>
        <v>0.13526912181303116</v>
      </c>
      <c r="DI120" s="537">
        <f>+DI118/Wless!DI25</f>
        <v>0.148662749189961</v>
      </c>
      <c r="DJ120" s="486">
        <f>+DJ118/Wless!DJ25</f>
        <v>0.13503405157977003</v>
      </c>
      <c r="DK120" s="1138">
        <f>+DK118/Wless!DK25</f>
        <v>0.17671999547741535</v>
      </c>
      <c r="DL120" s="1138">
        <f>+DL118/Wless!DL25</f>
        <v>0.16598477099670417</v>
      </c>
      <c r="DM120" s="537">
        <f>+DM118/Wless!DM25</f>
        <v>0.18953184065135215</v>
      </c>
      <c r="DN120" s="1138">
        <f>+DN118/Wless!DN25</f>
        <v>0.13028734606460823</v>
      </c>
      <c r="DO120" s="1138">
        <f>+DO118/Wless!DO25</f>
        <v>0.16815005077354997</v>
      </c>
      <c r="DP120" s="1138">
        <f>+DP118/Wless!DP25</f>
        <v>0.1660872692399904</v>
      </c>
      <c r="DQ120" s="537">
        <f>+DQ118/Wless!DQ25</f>
        <v>0.21191728863330478</v>
      </c>
      <c r="DR120" s="1138">
        <f>+DR118/Wless!DR25</f>
        <v>0.11604766130054506</v>
      </c>
      <c r="DS120" s="1138">
        <f>+DS118/Wless!DS25</f>
        <v>0.15644603763922674</v>
      </c>
      <c r="DT120" s="1138">
        <f>+DT118/Wless!DT25</f>
        <v>0.18748816362603371</v>
      </c>
      <c r="DU120" s="1138">
        <f>+DU118/Wless!DU25</f>
        <v>0.2130352644836272</v>
      </c>
      <c r="DV120" s="1138">
        <f>+DV118/Wless!DV25</f>
        <v>0.15368134008570317</v>
      </c>
      <c r="DW120" s="1138">
        <f ca="1">+DW118/Wless!DW25</f>
        <v>0.14000000000000001</v>
      </c>
      <c r="DX120" s="1138">
        <f ca="1">+DX118/Wless!DX25</f>
        <v>0.14000000000000001</v>
      </c>
      <c r="DY120" s="537">
        <f ca="1">+DY118/Wless!DY25</f>
        <v>0.14000000000000001</v>
      </c>
      <c r="DZ120" s="94"/>
    </row>
    <row r="121" spans="1:130" hidden="1" outlineLevel="1">
      <c r="A121" s="100"/>
      <c r="B121" s="87"/>
      <c r="C121" s="87"/>
      <c r="D121" s="87"/>
      <c r="E121" s="143"/>
      <c r="F121" s="87"/>
      <c r="G121" s="87"/>
      <c r="H121" s="87"/>
      <c r="I121" s="87"/>
      <c r="J121" s="87"/>
      <c r="K121" s="87"/>
      <c r="L121" s="87"/>
      <c r="M121" s="87"/>
      <c r="N121" s="87"/>
      <c r="O121" s="87"/>
      <c r="P121" s="87"/>
      <c r="Q121" s="1041"/>
      <c r="R121" s="103"/>
      <c r="S121" s="87"/>
      <c r="T121" s="1043"/>
      <c r="U121" s="103"/>
      <c r="V121" s="103"/>
      <c r="W121" s="103"/>
      <c r="X121" s="103"/>
      <c r="Y121" s="103"/>
      <c r="Z121" s="103"/>
      <c r="AA121" s="103"/>
      <c r="AB121" s="103"/>
      <c r="AC121" s="103"/>
      <c r="AD121" s="103"/>
      <c r="AE121" s="103"/>
      <c r="AF121" s="103"/>
      <c r="AG121" s="103"/>
      <c r="AH121" s="1237"/>
      <c r="AI121" s="143"/>
      <c r="AJ121" s="143"/>
      <c r="AK121" s="143"/>
      <c r="AL121" s="143"/>
      <c r="AM121" s="87"/>
      <c r="AN121" s="143"/>
      <c r="AO121" s="143"/>
      <c r="AP121" s="159"/>
      <c r="AQ121" s="143"/>
      <c r="AR121" s="143"/>
      <c r="AS121" s="143"/>
      <c r="AT121" s="159"/>
      <c r="AU121" s="143"/>
      <c r="AV121" s="143"/>
      <c r="AW121" s="143"/>
      <c r="AX121" s="159"/>
      <c r="AY121" s="143"/>
      <c r="AZ121" s="143"/>
      <c r="BA121" s="143"/>
      <c r="BB121" s="159"/>
      <c r="BC121" s="143"/>
      <c r="BD121" s="143"/>
      <c r="BE121" s="143"/>
      <c r="BF121" s="159"/>
      <c r="BG121" s="143"/>
      <c r="BH121" s="143"/>
      <c r="BI121" s="143"/>
      <c r="BJ121" s="159"/>
      <c r="BK121" s="143"/>
      <c r="BL121" s="143"/>
      <c r="BM121" s="143"/>
      <c r="BN121" s="88"/>
      <c r="BO121" s="87"/>
      <c r="BP121" s="87"/>
      <c r="BQ121" s="87"/>
      <c r="BR121" s="88"/>
      <c r="BS121" s="87"/>
      <c r="BT121" s="87"/>
      <c r="BU121" s="87"/>
      <c r="BV121" s="88"/>
      <c r="BW121" s="87"/>
      <c r="BX121" s="87"/>
      <c r="BY121" s="87"/>
      <c r="BZ121" s="88"/>
      <c r="CA121" s="87"/>
      <c r="CB121" s="87"/>
      <c r="CC121" s="87"/>
      <c r="CD121" s="88"/>
      <c r="CE121" s="87"/>
      <c r="CF121" s="87"/>
      <c r="CG121" s="87"/>
      <c r="CH121" s="88"/>
      <c r="CI121" s="87"/>
      <c r="CJ121" s="87"/>
      <c r="CK121" s="87"/>
      <c r="CL121" s="88"/>
      <c r="CM121" s="87"/>
      <c r="CN121" s="87"/>
      <c r="CO121" s="87"/>
      <c r="CP121" s="88"/>
      <c r="CQ121" s="87"/>
      <c r="CR121" s="87"/>
      <c r="CS121" s="87"/>
      <c r="CT121" s="88"/>
      <c r="CU121" s="87"/>
      <c r="CV121" s="87"/>
      <c r="CW121" s="144"/>
      <c r="CX121" s="87"/>
      <c r="CY121" s="87"/>
      <c r="CZ121" s="87"/>
      <c r="DA121" s="87"/>
      <c r="DB121" s="88"/>
      <c r="DC121" s="87"/>
      <c r="DD121" s="87"/>
      <c r="DE121" s="87"/>
      <c r="DF121" s="88"/>
      <c r="DG121" s="1041"/>
      <c r="DH121" s="1041"/>
      <c r="DI121" s="144"/>
      <c r="DJ121" s="88"/>
      <c r="DK121" s="1041"/>
      <c r="DL121" s="1041"/>
      <c r="DM121" s="144"/>
      <c r="DN121" s="1041"/>
      <c r="DO121" s="1041"/>
      <c r="DP121" s="1041"/>
      <c r="DQ121" s="144"/>
      <c r="DR121" s="1041"/>
      <c r="DS121" s="1041"/>
      <c r="DT121" s="1041"/>
      <c r="DU121" s="1041"/>
      <c r="DV121" s="1041"/>
      <c r="DW121" s="1041"/>
      <c r="DX121" s="1041"/>
      <c r="DY121" s="144"/>
      <c r="DZ121" s="87"/>
    </row>
    <row r="122" spans="1:130" hidden="1" outlineLevel="1">
      <c r="A122" s="780" t="s">
        <v>541</v>
      </c>
      <c r="B122" s="175"/>
      <c r="C122" s="175"/>
      <c r="D122" s="175"/>
      <c r="E122" s="175"/>
      <c r="F122" s="175"/>
      <c r="G122" s="175"/>
      <c r="H122" s="175"/>
      <c r="I122" s="175"/>
      <c r="J122" s="175"/>
      <c r="K122" s="175"/>
      <c r="L122" s="175"/>
      <c r="M122" s="175"/>
      <c r="N122" s="175">
        <f>SUM(BZ122:CC122)</f>
        <v>1172.537</v>
      </c>
      <c r="O122" s="175">
        <f>SUM(CD122:CG122)</f>
        <v>1086.1950000000002</v>
      </c>
      <c r="P122" s="175">
        <f>SUM(CH122:CK122)</f>
        <v>916.2</v>
      </c>
      <c r="Q122" s="1044"/>
      <c r="R122" s="168"/>
      <c r="S122" s="109"/>
      <c r="T122" s="1050"/>
      <c r="U122" s="168"/>
      <c r="V122" s="168"/>
      <c r="W122" s="168"/>
      <c r="X122" s="168"/>
      <c r="Y122" s="168"/>
      <c r="Z122" s="168"/>
      <c r="AA122" s="168"/>
      <c r="AB122" s="168"/>
      <c r="AC122" s="168"/>
      <c r="AD122" s="168"/>
      <c r="AE122" s="168"/>
      <c r="AF122" s="168"/>
      <c r="AG122" s="168"/>
      <c r="AH122" s="536"/>
      <c r="AI122" s="109"/>
      <c r="AJ122" s="109"/>
      <c r="AK122" s="109"/>
      <c r="AL122" s="109"/>
      <c r="AM122" s="109"/>
      <c r="AN122" s="109"/>
      <c r="AO122" s="175"/>
      <c r="AP122" s="205"/>
      <c r="AQ122" s="175"/>
      <c r="AR122" s="175"/>
      <c r="AS122" s="175"/>
      <c r="AT122" s="205"/>
      <c r="AU122" s="175"/>
      <c r="AV122" s="175"/>
      <c r="AW122" s="175"/>
      <c r="AX122" s="205"/>
      <c r="AY122" s="175"/>
      <c r="AZ122" s="175"/>
      <c r="BA122" s="175"/>
      <c r="BB122" s="205"/>
      <c r="BC122" s="175"/>
      <c r="BD122" s="175"/>
      <c r="BE122" s="175"/>
      <c r="BF122" s="205"/>
      <c r="BG122" s="175"/>
      <c r="BH122" s="175"/>
      <c r="BI122" s="175"/>
      <c r="BJ122" s="205"/>
      <c r="BK122" s="175"/>
      <c r="BL122" s="175"/>
      <c r="BM122" s="175"/>
      <c r="BN122" s="205"/>
      <c r="BO122" s="175"/>
      <c r="BP122" s="175"/>
      <c r="BQ122" s="175"/>
      <c r="BR122" s="205"/>
      <c r="BS122" s="175"/>
      <c r="BT122" s="175"/>
      <c r="BU122" s="175"/>
      <c r="BV122" s="781">
        <v>265</v>
      </c>
      <c r="BW122" s="215">
        <v>328</v>
      </c>
      <c r="BX122" s="215">
        <v>234</v>
      </c>
      <c r="BY122" s="215">
        <v>271</v>
      </c>
      <c r="BZ122" s="781">
        <v>158.387</v>
      </c>
      <c r="CA122" s="215">
        <v>290.78500000000003</v>
      </c>
      <c r="CB122" s="215">
        <v>277.37299999999999</v>
      </c>
      <c r="CC122" s="215">
        <v>445.99200000000002</v>
      </c>
      <c r="CD122" s="781">
        <v>169.648</v>
      </c>
      <c r="CE122" s="215">
        <v>325.39999999999998</v>
      </c>
      <c r="CF122" s="215">
        <v>249.547</v>
      </c>
      <c r="CG122" s="215">
        <v>341.6</v>
      </c>
      <c r="CH122" s="781">
        <v>146.30000000000001</v>
      </c>
      <c r="CI122" s="215">
        <v>226.3</v>
      </c>
      <c r="CJ122" s="215">
        <v>271.8</v>
      </c>
      <c r="CK122" s="215">
        <v>271.8</v>
      </c>
      <c r="CL122" s="171"/>
      <c r="CM122" s="109"/>
      <c r="CN122" s="109"/>
      <c r="CO122" s="109"/>
      <c r="CP122" s="171"/>
      <c r="CQ122" s="109"/>
      <c r="CR122" s="109"/>
      <c r="CS122" s="109"/>
      <c r="CT122" s="171"/>
      <c r="CU122" s="109"/>
      <c r="CV122" s="109"/>
      <c r="CW122" s="172"/>
      <c r="CX122" s="109"/>
      <c r="CY122" s="109"/>
      <c r="CZ122" s="109"/>
      <c r="DA122" s="109"/>
      <c r="DB122" s="171"/>
      <c r="DC122" s="109"/>
      <c r="DD122" s="109"/>
      <c r="DE122" s="109"/>
      <c r="DF122" s="171"/>
      <c r="DG122" s="1044"/>
      <c r="DH122" s="1044"/>
      <c r="DI122" s="172"/>
      <c r="DJ122" s="171"/>
      <c r="DK122" s="1044"/>
      <c r="DL122" s="1044"/>
      <c r="DM122" s="172"/>
      <c r="DN122" s="1044"/>
      <c r="DO122" s="1044"/>
      <c r="DP122" s="1044"/>
      <c r="DQ122" s="172"/>
      <c r="DR122" s="1044"/>
      <c r="DS122" s="1044"/>
      <c r="DT122" s="1044"/>
      <c r="DU122" s="1044"/>
      <c r="DV122" s="1044"/>
      <c r="DW122" s="1044"/>
      <c r="DX122" s="1044"/>
      <c r="DY122" s="172"/>
      <c r="DZ122" s="109"/>
    </row>
    <row r="123" spans="1:130" hidden="1" outlineLevel="1">
      <c r="A123" s="492" t="s">
        <v>991</v>
      </c>
      <c r="B123" s="121"/>
      <c r="C123" s="121"/>
      <c r="D123" s="121"/>
      <c r="E123" s="337"/>
      <c r="F123" s="121"/>
      <c r="G123" s="121"/>
      <c r="H123" s="121"/>
      <c r="I123" s="121"/>
      <c r="J123" s="121"/>
      <c r="K123" s="121"/>
      <c r="L123" s="121"/>
      <c r="M123" s="121"/>
      <c r="N123" s="121"/>
      <c r="O123" s="121"/>
      <c r="P123" s="121">
        <f>+P122/O122-1</f>
        <v>-0.15650504743623395</v>
      </c>
      <c r="Q123" s="1041"/>
      <c r="R123" s="103"/>
      <c r="S123" s="87"/>
      <c r="T123" s="1043"/>
      <c r="U123" s="103"/>
      <c r="V123" s="103"/>
      <c r="W123" s="103"/>
      <c r="X123" s="103"/>
      <c r="Y123" s="103"/>
      <c r="Z123" s="103"/>
      <c r="AA123" s="103"/>
      <c r="AB123" s="103"/>
      <c r="AC123" s="103"/>
      <c r="AD123" s="103"/>
      <c r="AE123" s="103"/>
      <c r="AF123" s="103"/>
      <c r="AG123" s="103"/>
      <c r="AH123" s="1237"/>
      <c r="AI123" s="143"/>
      <c r="AJ123" s="143"/>
      <c r="AK123" s="143"/>
      <c r="AL123" s="143"/>
      <c r="AM123" s="87"/>
      <c r="AN123" s="143"/>
      <c r="AO123" s="337"/>
      <c r="AP123" s="449"/>
      <c r="AQ123" s="337"/>
      <c r="AR123" s="337"/>
      <c r="AS123" s="337"/>
      <c r="AT123" s="449"/>
      <c r="AU123" s="337"/>
      <c r="AV123" s="337"/>
      <c r="AW123" s="337"/>
      <c r="AX123" s="449"/>
      <c r="AY123" s="337"/>
      <c r="AZ123" s="337"/>
      <c r="BA123" s="337"/>
      <c r="BB123" s="449"/>
      <c r="BC123" s="337"/>
      <c r="BD123" s="337"/>
      <c r="BE123" s="337"/>
      <c r="BF123" s="449"/>
      <c r="BG123" s="337"/>
      <c r="BH123" s="337"/>
      <c r="BI123" s="337"/>
      <c r="BJ123" s="449"/>
      <c r="BK123" s="337"/>
      <c r="BL123" s="337"/>
      <c r="BM123" s="337"/>
      <c r="BN123" s="451"/>
      <c r="BO123" s="121"/>
      <c r="BP123" s="121"/>
      <c r="BQ123" s="121"/>
      <c r="BR123" s="451"/>
      <c r="BS123" s="121"/>
      <c r="BT123" s="121"/>
      <c r="BU123" s="121"/>
      <c r="BV123" s="451"/>
      <c r="BW123" s="121"/>
      <c r="BX123" s="121"/>
      <c r="BY123" s="121"/>
      <c r="BZ123" s="451"/>
      <c r="CA123" s="121"/>
      <c r="CB123" s="121"/>
      <c r="CC123" s="121"/>
      <c r="CD123" s="451">
        <f t="shared" ref="CD123:CK123" si="354">CD122/BZ122-1</f>
        <v>7.1098006780859535E-2</v>
      </c>
      <c r="CE123" s="121">
        <f t="shared" si="354"/>
        <v>0.11903984043193416</v>
      </c>
      <c r="CF123" s="121">
        <f t="shared" si="354"/>
        <v>-0.10031978599214775</v>
      </c>
      <c r="CG123" s="121">
        <f t="shared" si="354"/>
        <v>-0.23406697877988836</v>
      </c>
      <c r="CH123" s="451">
        <f t="shared" si="354"/>
        <v>-0.13762614354427982</v>
      </c>
      <c r="CI123" s="121">
        <f t="shared" si="354"/>
        <v>-0.30454824830977245</v>
      </c>
      <c r="CJ123" s="121">
        <f t="shared" si="354"/>
        <v>8.9173582531547169E-2</v>
      </c>
      <c r="CK123" s="121">
        <f t="shared" si="354"/>
        <v>-0.20433255269320849</v>
      </c>
      <c r="CL123" s="88"/>
      <c r="CM123" s="87"/>
      <c r="CN123" s="87"/>
      <c r="CO123" s="87"/>
      <c r="CP123" s="88"/>
      <c r="CQ123" s="87"/>
      <c r="CR123" s="87"/>
      <c r="CS123" s="87"/>
      <c r="CT123" s="88"/>
      <c r="CU123" s="87"/>
      <c r="CV123" s="87"/>
      <c r="CW123" s="144"/>
      <c r="CX123" s="87"/>
      <c r="CY123" s="87"/>
      <c r="CZ123" s="87"/>
      <c r="DA123" s="87"/>
      <c r="DB123" s="88"/>
      <c r="DC123" s="87"/>
      <c r="DD123" s="87"/>
      <c r="DE123" s="87"/>
      <c r="DF123" s="88"/>
      <c r="DG123" s="1041"/>
      <c r="DH123" s="1041"/>
      <c r="DI123" s="144"/>
      <c r="DJ123" s="88"/>
      <c r="DK123" s="1041"/>
      <c r="DL123" s="1041"/>
      <c r="DM123" s="144"/>
      <c r="DN123" s="1041"/>
      <c r="DO123" s="1041"/>
      <c r="DP123" s="1041"/>
      <c r="DQ123" s="144"/>
      <c r="DR123" s="1041"/>
      <c r="DS123" s="1041"/>
      <c r="DT123" s="1041"/>
      <c r="DU123" s="1041"/>
      <c r="DV123" s="1041"/>
      <c r="DW123" s="1041"/>
      <c r="DX123" s="1041"/>
      <c r="DY123" s="144"/>
      <c r="DZ123" s="87"/>
    </row>
    <row r="124" spans="1:130" hidden="1" outlineLevel="1">
      <c r="A124" s="492" t="s">
        <v>539</v>
      </c>
      <c r="B124" s="121"/>
      <c r="C124" s="121"/>
      <c r="D124" s="121"/>
      <c r="E124" s="337"/>
      <c r="F124" s="121"/>
      <c r="G124" s="121"/>
      <c r="H124" s="121"/>
      <c r="I124" s="121"/>
      <c r="J124" s="121"/>
      <c r="K124" s="121"/>
      <c r="L124" s="121"/>
      <c r="M124" s="121"/>
      <c r="N124" s="121"/>
      <c r="O124" s="121">
        <f>+O122/Wless!O17</f>
        <v>0.13604118577560242</v>
      </c>
      <c r="P124" s="121">
        <f>+P122/Wless!P17</f>
        <v>9.9378711456451649E-2</v>
      </c>
      <c r="Q124" s="1041"/>
      <c r="R124" s="103"/>
      <c r="S124" s="87"/>
      <c r="T124" s="1043"/>
      <c r="U124" s="103"/>
      <c r="V124" s="103"/>
      <c r="W124" s="103"/>
      <c r="X124" s="103"/>
      <c r="Y124" s="103"/>
      <c r="Z124" s="103"/>
      <c r="AA124" s="103"/>
      <c r="AB124" s="103"/>
      <c r="AC124" s="103"/>
      <c r="AD124" s="103"/>
      <c r="AE124" s="103"/>
      <c r="AF124" s="103"/>
      <c r="AG124" s="103"/>
      <c r="AH124" s="1237"/>
      <c r="AI124" s="143"/>
      <c r="AJ124" s="143"/>
      <c r="AK124" s="143"/>
      <c r="AL124" s="143"/>
      <c r="AM124" s="87"/>
      <c r="AN124" s="143"/>
      <c r="AO124" s="337"/>
      <c r="AP124" s="449"/>
      <c r="AQ124" s="337"/>
      <c r="AR124" s="337"/>
      <c r="AS124" s="337"/>
      <c r="AT124" s="449"/>
      <c r="AU124" s="337"/>
      <c r="AV124" s="337"/>
      <c r="AW124" s="337"/>
      <c r="AX124" s="449"/>
      <c r="AY124" s="337"/>
      <c r="AZ124" s="337"/>
      <c r="BA124" s="337"/>
      <c r="BB124" s="449"/>
      <c r="BC124" s="337"/>
      <c r="BD124" s="337"/>
      <c r="BE124" s="337"/>
      <c r="BF124" s="449"/>
      <c r="BG124" s="337"/>
      <c r="BH124" s="337"/>
      <c r="BI124" s="337"/>
      <c r="BJ124" s="449"/>
      <c r="BK124" s="337"/>
      <c r="BL124" s="337"/>
      <c r="BM124" s="337"/>
      <c r="BN124" s="451"/>
      <c r="BO124" s="121"/>
      <c r="BP124" s="121"/>
      <c r="BQ124" s="121"/>
      <c r="BR124" s="451"/>
      <c r="BS124" s="121"/>
      <c r="BT124" s="121"/>
      <c r="BU124" s="121"/>
      <c r="BV124" s="451"/>
      <c r="BW124" s="121"/>
      <c r="BX124" s="121"/>
      <c r="BY124" s="121"/>
      <c r="BZ124" s="451">
        <f>+BZ122/Wless!BZ17</f>
        <v>9.6041713660629621E-2</v>
      </c>
      <c r="CA124" s="121">
        <f>+CA122/Wless!CA17</f>
        <v>0.16768370039581856</v>
      </c>
      <c r="CB124" s="121">
        <f>+CB122/Wless!CB17</f>
        <v>0.15448722125959999</v>
      </c>
      <c r="CC124" s="121">
        <f>+CC122/Wless!CC17</f>
        <v>0.24093310853042754</v>
      </c>
      <c r="CD124" s="451">
        <f>+CD122/Wless!CD17</f>
        <v>9.0232538348616054E-2</v>
      </c>
      <c r="CE124" s="121">
        <f>+CE122/Wless!CE17</f>
        <v>0.1650422800383036</v>
      </c>
      <c r="CF124" s="121">
        <f>+CF122/Wless!CF17</f>
        <v>0.12046832352228412</v>
      </c>
      <c r="CG124" s="121">
        <f>+CG122/Wless!CG17</f>
        <v>0.16573674251613218</v>
      </c>
      <c r="CH124" s="451">
        <f>+CH122/Wless!CH17</f>
        <v>7.0013399693721293E-2</v>
      </c>
      <c r="CI124" s="121">
        <f>+CI122/Wless!CI17</f>
        <v>0.10408426087756417</v>
      </c>
      <c r="CJ124" s="121">
        <f>+CJ122/Wless!CJ17</f>
        <v>0.11921575507697706</v>
      </c>
      <c r="CK124" s="207">
        <f>+CK122/Wless!CK17</f>
        <v>0.10158551441693549</v>
      </c>
      <c r="CL124" s="88"/>
      <c r="CM124" s="87"/>
      <c r="CN124" s="87"/>
      <c r="CO124" s="87"/>
      <c r="CP124" s="88"/>
      <c r="CQ124" s="87"/>
      <c r="CR124" s="87"/>
      <c r="CS124" s="87"/>
      <c r="CT124" s="88"/>
      <c r="CU124" s="87"/>
      <c r="CV124" s="87"/>
      <c r="CW124" s="144"/>
      <c r="CX124" s="87"/>
      <c r="CY124" s="87"/>
      <c r="CZ124" s="87"/>
      <c r="DA124" s="87"/>
      <c r="DB124" s="88"/>
      <c r="DC124" s="87"/>
      <c r="DD124" s="87"/>
      <c r="DE124" s="87"/>
      <c r="DF124" s="88"/>
      <c r="DG124" s="1041"/>
      <c r="DH124" s="1041"/>
      <c r="DI124" s="144"/>
      <c r="DJ124" s="88"/>
      <c r="DK124" s="1041"/>
      <c r="DL124" s="1041"/>
      <c r="DM124" s="144"/>
      <c r="DN124" s="1041"/>
      <c r="DO124" s="1041"/>
      <c r="DP124" s="1041"/>
      <c r="DQ124" s="144"/>
      <c r="DR124" s="1041"/>
      <c r="DS124" s="1041"/>
      <c r="DT124" s="1041"/>
      <c r="DU124" s="1041"/>
      <c r="DV124" s="1041"/>
      <c r="DW124" s="1041"/>
      <c r="DX124" s="1041"/>
      <c r="DY124" s="144"/>
      <c r="DZ124" s="87"/>
    </row>
    <row r="125" spans="1:130" hidden="1" outlineLevel="1">
      <c r="A125" s="100"/>
      <c r="B125" s="87"/>
      <c r="C125" s="87"/>
      <c r="D125" s="87"/>
      <c r="E125" s="143"/>
      <c r="F125" s="87"/>
      <c r="G125" s="87"/>
      <c r="H125" s="87"/>
      <c r="I125" s="87"/>
      <c r="J125" s="87"/>
      <c r="K125" s="87"/>
      <c r="L125" s="87"/>
      <c r="M125" s="87"/>
      <c r="N125" s="87"/>
      <c r="O125" s="87"/>
      <c r="P125" s="87"/>
      <c r="Q125" s="1041"/>
      <c r="R125" s="103"/>
      <c r="S125" s="87"/>
      <c r="T125" s="1043"/>
      <c r="U125" s="103"/>
      <c r="V125" s="103"/>
      <c r="W125" s="103"/>
      <c r="X125" s="103"/>
      <c r="Y125" s="103"/>
      <c r="Z125" s="103"/>
      <c r="AA125" s="103"/>
      <c r="AB125" s="103"/>
      <c r="AC125" s="103"/>
      <c r="AD125" s="103"/>
      <c r="AE125" s="103"/>
      <c r="AF125" s="103"/>
      <c r="AG125" s="103"/>
      <c r="AH125" s="1237"/>
      <c r="AI125" s="143"/>
      <c r="AJ125" s="143"/>
      <c r="AK125" s="143"/>
      <c r="AL125" s="143"/>
      <c r="AM125" s="87"/>
      <c r="AN125" s="143"/>
      <c r="AO125" s="143"/>
      <c r="AP125" s="159"/>
      <c r="AQ125" s="143"/>
      <c r="AR125" s="143"/>
      <c r="AS125" s="143"/>
      <c r="AT125" s="159"/>
      <c r="AU125" s="143"/>
      <c r="AV125" s="143"/>
      <c r="AW125" s="143"/>
      <c r="AX125" s="159"/>
      <c r="AY125" s="143"/>
      <c r="AZ125" s="143"/>
      <c r="BA125" s="143"/>
      <c r="BB125" s="159"/>
      <c r="BC125" s="143"/>
      <c r="BD125" s="143"/>
      <c r="BE125" s="143"/>
      <c r="BF125" s="159"/>
      <c r="BG125" s="143"/>
      <c r="BH125" s="143"/>
      <c r="BI125" s="143"/>
      <c r="BJ125" s="159"/>
      <c r="BK125" s="143"/>
      <c r="BL125" s="143"/>
      <c r="BM125" s="143"/>
      <c r="BN125" s="88"/>
      <c r="BO125" s="87"/>
      <c r="BP125" s="87"/>
      <c r="BQ125" s="87"/>
      <c r="BR125" s="88"/>
      <c r="BS125" s="87"/>
      <c r="BT125" s="87"/>
      <c r="BU125" s="87"/>
      <c r="BV125" s="88"/>
      <c r="BW125" s="87"/>
      <c r="BX125" s="87"/>
      <c r="BY125" s="87"/>
      <c r="BZ125" s="88"/>
      <c r="CA125" s="87"/>
      <c r="CB125" s="87"/>
      <c r="CC125" s="87"/>
      <c r="CD125" s="88"/>
      <c r="CE125" s="87"/>
      <c r="CF125" s="87"/>
      <c r="CG125" s="87"/>
      <c r="CH125" s="88"/>
      <c r="CI125" s="87"/>
      <c r="CJ125" s="87"/>
      <c r="CK125" s="87"/>
      <c r="CL125" s="88"/>
      <c r="CM125" s="87"/>
      <c r="CN125" s="87"/>
      <c r="CO125" s="87"/>
      <c r="CP125" s="88"/>
      <c r="CQ125" s="87"/>
      <c r="CR125" s="87"/>
      <c r="CS125" s="87"/>
      <c r="CT125" s="88"/>
      <c r="CU125" s="87"/>
      <c r="CV125" s="87"/>
      <c r="CW125" s="144"/>
      <c r="CX125" s="87"/>
      <c r="CY125" s="87"/>
      <c r="CZ125" s="87"/>
      <c r="DA125" s="87"/>
      <c r="DB125" s="88"/>
      <c r="DC125" s="87"/>
      <c r="DD125" s="87"/>
      <c r="DE125" s="87"/>
      <c r="DF125" s="88"/>
      <c r="DG125" s="1041"/>
      <c r="DH125" s="1041"/>
      <c r="DI125" s="144"/>
      <c r="DJ125" s="88"/>
      <c r="DK125" s="1041"/>
      <c r="DL125" s="1041"/>
      <c r="DM125" s="144"/>
      <c r="DN125" s="1041"/>
      <c r="DO125" s="1041"/>
      <c r="DP125" s="1041"/>
      <c r="DQ125" s="144"/>
      <c r="DR125" s="1041"/>
      <c r="DS125" s="1041"/>
      <c r="DT125" s="1041"/>
      <c r="DU125" s="1041"/>
      <c r="DV125" s="1041"/>
      <c r="DW125" s="1041"/>
      <c r="DX125" s="1041"/>
      <c r="DY125" s="144"/>
      <c r="DZ125" s="87"/>
    </row>
    <row r="126" spans="1:130" collapsed="1">
      <c r="A126" s="178" t="s">
        <v>542</v>
      </c>
      <c r="B126" s="169"/>
      <c r="C126" s="169"/>
      <c r="D126" s="169"/>
      <c r="E126" s="169"/>
      <c r="F126" s="169"/>
      <c r="G126" s="169"/>
      <c r="H126" s="169">
        <f>H128-H108-H114</f>
        <v>2433</v>
      </c>
      <c r="I126" s="169">
        <f>I137+I141</f>
        <v>792</v>
      </c>
      <c r="J126" s="169">
        <f>J137+J139+J141</f>
        <v>653</v>
      </c>
      <c r="K126" s="169">
        <f>K137+K141+K139</f>
        <v>464</v>
      </c>
      <c r="L126" s="169">
        <f>SUM(BR126:BU126)</f>
        <v>508</v>
      </c>
      <c r="M126" s="169">
        <f>SUM(BV126:BY126)</f>
        <v>573</v>
      </c>
      <c r="N126" s="169">
        <f>N137+N139+N141</f>
        <v>224</v>
      </c>
      <c r="O126" s="169">
        <f>O137+O139+O141</f>
        <v>79</v>
      </c>
      <c r="P126" s="169">
        <f>P137+P139+P141</f>
        <v>931</v>
      </c>
      <c r="Q126" s="1051">
        <f>Q137+Q139+Q141</f>
        <v>828</v>
      </c>
      <c r="R126" s="169">
        <f>R137+R139+R141</f>
        <v>751</v>
      </c>
      <c r="S126" s="169">
        <f>SUM(CT126:CW126)</f>
        <v>872</v>
      </c>
      <c r="T126" s="1051">
        <f>SUM(CX126:DA126)</f>
        <v>976</v>
      </c>
      <c r="U126" s="169">
        <f>SUM(DB126:DE126)</f>
        <v>950</v>
      </c>
      <c r="V126" s="169">
        <f>SUM(DF126:DI126)</f>
        <v>926</v>
      </c>
      <c r="W126" s="169">
        <f>SUM(DJ126:DM126)</f>
        <v>1001</v>
      </c>
      <c r="X126" s="169">
        <f>SUM(DN126:DQ126)</f>
        <v>1315</v>
      </c>
      <c r="Y126" s="169">
        <f>SUM(DR126:DU126)</f>
        <v>1288</v>
      </c>
      <c r="Z126" s="169">
        <f>SUM(DV126:DY126)</f>
        <v>1766.890625</v>
      </c>
      <c r="AA126" s="177">
        <f>+Z126</f>
        <v>1766.890625</v>
      </c>
      <c r="AB126" s="177">
        <f>+AA126</f>
        <v>1766.890625</v>
      </c>
      <c r="AC126" s="177">
        <f t="shared" ref="AC126:AG126" si="355">+AB126</f>
        <v>1766.890625</v>
      </c>
      <c r="AD126" s="177">
        <f t="shared" si="355"/>
        <v>1766.890625</v>
      </c>
      <c r="AE126" s="177">
        <f t="shared" si="355"/>
        <v>1766.890625</v>
      </c>
      <c r="AF126" s="177">
        <f t="shared" si="355"/>
        <v>1766.890625</v>
      </c>
      <c r="AG126" s="177">
        <f t="shared" si="355"/>
        <v>1766.890625</v>
      </c>
      <c r="AH126" s="532"/>
      <c r="AI126" s="169"/>
      <c r="AJ126" s="169"/>
      <c r="AK126" s="169"/>
      <c r="AL126" s="169"/>
      <c r="AM126" s="169"/>
      <c r="AN126" s="109">
        <f>(T126/N126)^(1/6)-1</f>
        <v>0.27800817897610863</v>
      </c>
      <c r="AO126" s="169"/>
      <c r="AP126" s="178"/>
      <c r="AQ126" s="169"/>
      <c r="AR126" s="169"/>
      <c r="AS126" s="169"/>
      <c r="AT126" s="178"/>
      <c r="AU126" s="169"/>
      <c r="AV126" s="169"/>
      <c r="AW126" s="169"/>
      <c r="AX126" s="178"/>
      <c r="AY126" s="169"/>
      <c r="AZ126" s="169"/>
      <c r="BA126" s="169"/>
      <c r="BB126" s="178"/>
      <c r="BC126" s="169"/>
      <c r="BD126" s="169"/>
      <c r="BE126" s="169"/>
      <c r="BF126" s="178"/>
      <c r="BG126" s="169"/>
      <c r="BH126" s="169"/>
      <c r="BI126" s="169"/>
      <c r="BJ126" s="178">
        <f t="shared" ref="BJ126:BY126" si="356">BJ137+BJ139+BJ141</f>
        <v>83</v>
      </c>
      <c r="BK126" s="169">
        <f t="shared" si="356"/>
        <v>192</v>
      </c>
      <c r="BL126" s="169">
        <f t="shared" si="356"/>
        <v>129</v>
      </c>
      <c r="BM126" s="169">
        <f t="shared" si="356"/>
        <v>249</v>
      </c>
      <c r="BN126" s="178">
        <f t="shared" si="356"/>
        <v>70</v>
      </c>
      <c r="BO126" s="169">
        <f t="shared" si="356"/>
        <v>102</v>
      </c>
      <c r="BP126" s="169">
        <f t="shared" si="356"/>
        <v>118</v>
      </c>
      <c r="BQ126" s="169">
        <f t="shared" si="356"/>
        <v>174</v>
      </c>
      <c r="BR126" s="178">
        <f t="shared" si="356"/>
        <v>45</v>
      </c>
      <c r="BS126" s="169">
        <f t="shared" si="356"/>
        <v>90</v>
      </c>
      <c r="BT126" s="169">
        <f t="shared" si="356"/>
        <v>118</v>
      </c>
      <c r="BU126" s="169">
        <f t="shared" si="356"/>
        <v>255</v>
      </c>
      <c r="BV126" s="178">
        <f t="shared" si="356"/>
        <v>61</v>
      </c>
      <c r="BW126" s="169">
        <f t="shared" si="356"/>
        <v>211</v>
      </c>
      <c r="BX126" s="169">
        <f t="shared" si="356"/>
        <v>102</v>
      </c>
      <c r="BY126" s="169">
        <f t="shared" si="356"/>
        <v>199</v>
      </c>
      <c r="BZ126" s="178">
        <v>22</v>
      </c>
      <c r="CA126" s="169">
        <f t="shared" ref="CA126:CO126" si="357">CA137+CA139+CA141</f>
        <v>75</v>
      </c>
      <c r="CB126" s="169">
        <f t="shared" si="357"/>
        <v>36</v>
      </c>
      <c r="CC126" s="169">
        <f t="shared" si="357"/>
        <v>91</v>
      </c>
      <c r="CD126" s="178">
        <f t="shared" si="357"/>
        <v>3</v>
      </c>
      <c r="CE126" s="169">
        <f t="shared" si="357"/>
        <v>4</v>
      </c>
      <c r="CF126" s="169">
        <f t="shared" si="357"/>
        <v>9</v>
      </c>
      <c r="CG126" s="169">
        <f t="shared" si="357"/>
        <v>63</v>
      </c>
      <c r="CH126" s="178">
        <f t="shared" si="357"/>
        <v>119</v>
      </c>
      <c r="CI126" s="169">
        <f t="shared" si="357"/>
        <v>193</v>
      </c>
      <c r="CJ126" s="169">
        <f t="shared" si="357"/>
        <v>222</v>
      </c>
      <c r="CK126" s="169">
        <f t="shared" si="357"/>
        <v>397</v>
      </c>
      <c r="CL126" s="178">
        <f t="shared" si="357"/>
        <v>109</v>
      </c>
      <c r="CM126" s="169">
        <f t="shared" si="357"/>
        <v>222</v>
      </c>
      <c r="CN126" s="169">
        <f t="shared" si="357"/>
        <v>240</v>
      </c>
      <c r="CO126" s="169">
        <f t="shared" si="357"/>
        <v>257</v>
      </c>
      <c r="CP126" s="178">
        <f t="shared" ref="CP126:DE126" si="358">CP141</f>
        <v>87</v>
      </c>
      <c r="CQ126" s="169">
        <f t="shared" si="358"/>
        <v>153</v>
      </c>
      <c r="CR126" s="169">
        <f t="shared" si="358"/>
        <v>201</v>
      </c>
      <c r="CS126" s="169">
        <f t="shared" si="358"/>
        <v>310</v>
      </c>
      <c r="CT126" s="178">
        <f t="shared" si="358"/>
        <v>163</v>
      </c>
      <c r="CU126" s="169">
        <f t="shared" si="358"/>
        <v>203</v>
      </c>
      <c r="CV126" s="169">
        <f t="shared" si="358"/>
        <v>227</v>
      </c>
      <c r="CW126" s="179">
        <f t="shared" si="358"/>
        <v>279</v>
      </c>
      <c r="CX126" s="169">
        <f t="shared" si="358"/>
        <v>143</v>
      </c>
      <c r="CY126" s="169">
        <f t="shared" si="358"/>
        <v>88</v>
      </c>
      <c r="CZ126" s="169">
        <f t="shared" si="358"/>
        <v>268</v>
      </c>
      <c r="DA126" s="169">
        <f t="shared" si="358"/>
        <v>477</v>
      </c>
      <c r="DB126" s="178">
        <f t="shared" si="358"/>
        <v>176</v>
      </c>
      <c r="DC126" s="169">
        <f t="shared" si="358"/>
        <v>221</v>
      </c>
      <c r="DD126" s="169">
        <f t="shared" si="358"/>
        <v>223</v>
      </c>
      <c r="DE126" s="169">
        <f t="shared" si="358"/>
        <v>330</v>
      </c>
      <c r="DF126" s="178">
        <f t="shared" ref="DF126:DK126" si="359">DF141</f>
        <v>211</v>
      </c>
      <c r="DG126" s="1051">
        <f t="shared" si="359"/>
        <v>228</v>
      </c>
      <c r="DH126" s="1051">
        <f t="shared" si="359"/>
        <v>183</v>
      </c>
      <c r="DI126" s="179">
        <f t="shared" si="359"/>
        <v>304</v>
      </c>
      <c r="DJ126" s="178">
        <f t="shared" si="359"/>
        <v>169</v>
      </c>
      <c r="DK126" s="1051">
        <f t="shared" si="359"/>
        <v>228</v>
      </c>
      <c r="DL126" s="1051">
        <f t="shared" ref="DL126:DQ126" si="360">DL141</f>
        <v>264</v>
      </c>
      <c r="DM126" s="179">
        <f t="shared" si="360"/>
        <v>340</v>
      </c>
      <c r="DN126" s="1051">
        <f t="shared" si="360"/>
        <v>191</v>
      </c>
      <c r="DO126" s="1051">
        <f t="shared" si="360"/>
        <v>257</v>
      </c>
      <c r="DP126" s="1051">
        <f t="shared" si="360"/>
        <v>318</v>
      </c>
      <c r="DQ126" s="179">
        <f t="shared" si="360"/>
        <v>549</v>
      </c>
      <c r="DR126" s="1051">
        <f t="shared" ref="DR126:DS126" si="361">DR141</f>
        <v>276</v>
      </c>
      <c r="DS126" s="1051">
        <f t="shared" si="361"/>
        <v>310</v>
      </c>
      <c r="DT126" s="1051">
        <f t="shared" ref="DT126:DU126" si="362">DT141</f>
        <v>101</v>
      </c>
      <c r="DU126" s="1051">
        <f t="shared" si="362"/>
        <v>601</v>
      </c>
      <c r="DV126" s="1051">
        <f t="shared" ref="DV126" si="363">DV141</f>
        <v>513</v>
      </c>
      <c r="DW126" s="1135">
        <f t="shared" ref="DW126" si="364">+AVERAGE(DS126:DV126)</f>
        <v>381.25</v>
      </c>
      <c r="DX126" s="1135">
        <f t="shared" ref="DX126" si="365">+AVERAGE(DT126:DW126)</f>
        <v>399.0625</v>
      </c>
      <c r="DY126" s="551">
        <f t="shared" ref="DY126" si="366">+AVERAGE(DU126:DX126)</f>
        <v>473.578125</v>
      </c>
      <c r="DZ126" s="109"/>
    </row>
    <row r="127" spans="1:130">
      <c r="A127" s="176" t="s">
        <v>991</v>
      </c>
      <c r="B127" s="94"/>
      <c r="C127" s="94"/>
      <c r="D127" s="195"/>
      <c r="E127" s="195"/>
      <c r="F127" s="94"/>
      <c r="G127" s="94"/>
      <c r="H127" s="94"/>
      <c r="I127" s="94">
        <f t="shared" ref="I127:AB127" si="367">I126/H126-1</f>
        <v>-0.67447595561035756</v>
      </c>
      <c r="J127" s="94">
        <f t="shared" si="367"/>
        <v>-0.1755050505050505</v>
      </c>
      <c r="K127" s="94">
        <f t="shared" si="367"/>
        <v>-0.28943338437978561</v>
      </c>
      <c r="L127" s="94">
        <f t="shared" si="367"/>
        <v>9.4827586206896575E-2</v>
      </c>
      <c r="M127" s="94">
        <f t="shared" si="367"/>
        <v>0.12795275590551181</v>
      </c>
      <c r="N127" s="94">
        <f t="shared" si="367"/>
        <v>-0.60907504363001741</v>
      </c>
      <c r="O127" s="94">
        <f t="shared" si="367"/>
        <v>-0.6473214285714286</v>
      </c>
      <c r="P127" s="94">
        <f t="shared" si="367"/>
        <v>10.784810126582279</v>
      </c>
      <c r="Q127" s="1045">
        <f t="shared" si="367"/>
        <v>-0.11063372717508058</v>
      </c>
      <c r="R127" s="94">
        <f t="shared" si="367"/>
        <v>-9.2995169082125573E-2</v>
      </c>
      <c r="S127" s="94">
        <f t="shared" si="367"/>
        <v>0.16111850865512656</v>
      </c>
      <c r="T127" s="1045">
        <f t="shared" si="367"/>
        <v>0.11926605504587151</v>
      </c>
      <c r="U127" s="94">
        <f t="shared" si="367"/>
        <v>-2.6639344262295084E-2</v>
      </c>
      <c r="V127" s="94">
        <f t="shared" si="367"/>
        <v>-2.5263157894736876E-2</v>
      </c>
      <c r="W127" s="94">
        <f>W126/V126-1</f>
        <v>8.0993520518358508E-2</v>
      </c>
      <c r="X127" s="94">
        <f>X126/W126-1</f>
        <v>0.31368631368631372</v>
      </c>
      <c r="Y127" s="94">
        <f>Y126/X126-1</f>
        <v>-2.0532319391635023E-2</v>
      </c>
      <c r="Z127" s="94">
        <f>Z126/Y126-1</f>
        <v>0.37180949145962727</v>
      </c>
      <c r="AA127" s="94">
        <f t="shared" si="367"/>
        <v>0</v>
      </c>
      <c r="AB127" s="94">
        <f t="shared" si="367"/>
        <v>0</v>
      </c>
      <c r="AC127" s="94">
        <f t="shared" ref="AC127" si="368">AC126/AB126-1</f>
        <v>0</v>
      </c>
      <c r="AD127" s="94">
        <f t="shared" ref="AD127" si="369">AD126/AC126-1</f>
        <v>0</v>
      </c>
      <c r="AE127" s="94">
        <f t="shared" ref="AE127" si="370">AE126/AD126-1</f>
        <v>0</v>
      </c>
      <c r="AF127" s="94">
        <f t="shared" ref="AF127" si="371">AF126/AE126-1</f>
        <v>0</v>
      </c>
      <c r="AG127" s="94">
        <f t="shared" ref="AG127" si="372">AG126/AF126-1</f>
        <v>0</v>
      </c>
      <c r="AH127" s="193"/>
      <c r="AI127" s="195"/>
      <c r="AJ127" s="195"/>
      <c r="AK127" s="195"/>
      <c r="AL127" s="195"/>
      <c r="AM127" s="195"/>
      <c r="AN127" s="195"/>
      <c r="AO127" s="195"/>
      <c r="AP127" s="182"/>
      <c r="AQ127" s="195"/>
      <c r="AR127" s="195"/>
      <c r="AS127" s="195"/>
      <c r="AT127" s="182"/>
      <c r="AU127" s="195"/>
      <c r="AV127" s="195"/>
      <c r="AW127" s="195"/>
      <c r="AX127" s="182"/>
      <c r="AY127" s="195"/>
      <c r="AZ127" s="195"/>
      <c r="BA127" s="195"/>
      <c r="BB127" s="182"/>
      <c r="BC127" s="195"/>
      <c r="BD127" s="195"/>
      <c r="BE127" s="195"/>
      <c r="BF127" s="182"/>
      <c r="BG127" s="195"/>
      <c r="BH127" s="195"/>
      <c r="BI127" s="195"/>
      <c r="BJ127" s="182"/>
      <c r="BK127" s="195"/>
      <c r="BL127" s="195"/>
      <c r="BM127" s="195"/>
      <c r="BN127" s="147">
        <f t="shared" ref="BN127:DV127" si="373">BN126/BJ126-1</f>
        <v>-0.15662650602409633</v>
      </c>
      <c r="BO127" s="94">
        <f t="shared" si="373"/>
        <v>-0.46875</v>
      </c>
      <c r="BP127" s="94">
        <f t="shared" si="373"/>
        <v>-8.5271317829457405E-2</v>
      </c>
      <c r="BQ127" s="94">
        <f t="shared" si="373"/>
        <v>-0.3012048192771084</v>
      </c>
      <c r="BR127" s="147">
        <f t="shared" si="373"/>
        <v>-0.3571428571428571</v>
      </c>
      <c r="BS127" s="94">
        <f t="shared" si="373"/>
        <v>-0.11764705882352944</v>
      </c>
      <c r="BT127" s="94">
        <f t="shared" si="373"/>
        <v>0</v>
      </c>
      <c r="BU127" s="94">
        <f t="shared" si="373"/>
        <v>0.46551724137931028</v>
      </c>
      <c r="BV127" s="147">
        <f t="shared" si="373"/>
        <v>0.35555555555555562</v>
      </c>
      <c r="BW127" s="94">
        <f t="shared" si="373"/>
        <v>1.3444444444444446</v>
      </c>
      <c r="BX127" s="94">
        <f t="shared" si="373"/>
        <v>-0.13559322033898302</v>
      </c>
      <c r="BY127" s="94">
        <f t="shared" si="373"/>
        <v>-0.2196078431372549</v>
      </c>
      <c r="BZ127" s="147">
        <f t="shared" si="373"/>
        <v>-0.63934426229508201</v>
      </c>
      <c r="CA127" s="94">
        <f t="shared" si="373"/>
        <v>-0.64454976303317535</v>
      </c>
      <c r="CB127" s="94">
        <f t="shared" si="373"/>
        <v>-0.64705882352941169</v>
      </c>
      <c r="CC127" s="94">
        <f t="shared" si="373"/>
        <v>-0.542713567839196</v>
      </c>
      <c r="CD127" s="147">
        <f t="shared" si="373"/>
        <v>-0.86363636363636365</v>
      </c>
      <c r="CE127" s="94">
        <f t="shared" si="373"/>
        <v>-0.94666666666666666</v>
      </c>
      <c r="CF127" s="94">
        <f t="shared" si="373"/>
        <v>-0.75</v>
      </c>
      <c r="CG127" s="94">
        <f t="shared" si="373"/>
        <v>-0.30769230769230771</v>
      </c>
      <c r="CH127" s="147">
        <f t="shared" si="373"/>
        <v>38.666666666666664</v>
      </c>
      <c r="CI127" s="94">
        <f t="shared" si="373"/>
        <v>47.25</v>
      </c>
      <c r="CJ127" s="94">
        <f t="shared" si="373"/>
        <v>23.666666666666668</v>
      </c>
      <c r="CK127" s="94">
        <f t="shared" si="373"/>
        <v>5.3015873015873014</v>
      </c>
      <c r="CL127" s="147">
        <f t="shared" si="373"/>
        <v>-8.4033613445378186E-2</v>
      </c>
      <c r="CM127" s="94">
        <f t="shared" si="373"/>
        <v>0.15025906735751304</v>
      </c>
      <c r="CN127" s="94">
        <f t="shared" si="373"/>
        <v>8.1081081081081141E-2</v>
      </c>
      <c r="CO127" s="94">
        <f t="shared" si="373"/>
        <v>-0.35264483627204035</v>
      </c>
      <c r="CP127" s="147">
        <f t="shared" si="373"/>
        <v>-0.20183486238532111</v>
      </c>
      <c r="CQ127" s="94">
        <f t="shared" si="373"/>
        <v>-0.31081081081081086</v>
      </c>
      <c r="CR127" s="94">
        <f t="shared" si="373"/>
        <v>-0.16249999999999998</v>
      </c>
      <c r="CS127" s="94">
        <f t="shared" si="373"/>
        <v>0.20622568093385207</v>
      </c>
      <c r="CT127" s="147">
        <f t="shared" si="373"/>
        <v>0.87356321839080464</v>
      </c>
      <c r="CU127" s="94">
        <f t="shared" si="373"/>
        <v>0.32679738562091498</v>
      </c>
      <c r="CV127" s="94">
        <f t="shared" si="373"/>
        <v>0.12935323383084585</v>
      </c>
      <c r="CW127" s="101">
        <f t="shared" si="373"/>
        <v>-9.9999999999999978E-2</v>
      </c>
      <c r="CX127" s="94">
        <f t="shared" si="373"/>
        <v>-0.12269938650306744</v>
      </c>
      <c r="CY127" s="94">
        <f t="shared" si="373"/>
        <v>-0.56650246305418717</v>
      </c>
      <c r="CZ127" s="94">
        <f t="shared" si="373"/>
        <v>0.1806167400881058</v>
      </c>
      <c r="DA127" s="94">
        <f t="shared" si="373"/>
        <v>0.70967741935483875</v>
      </c>
      <c r="DB127" s="147">
        <f t="shared" si="373"/>
        <v>0.23076923076923084</v>
      </c>
      <c r="DC127" s="94">
        <f t="shared" si="373"/>
        <v>1.5113636363636362</v>
      </c>
      <c r="DD127" s="94">
        <f t="shared" si="373"/>
        <v>-0.16791044776119401</v>
      </c>
      <c r="DE127" s="94">
        <f t="shared" si="373"/>
        <v>-0.30817610062893086</v>
      </c>
      <c r="DF127" s="147">
        <f t="shared" si="373"/>
        <v>0.19886363636363646</v>
      </c>
      <c r="DG127" s="1045">
        <f t="shared" si="373"/>
        <v>3.167420814479649E-2</v>
      </c>
      <c r="DH127" s="1045">
        <f t="shared" si="373"/>
        <v>-0.179372197309417</v>
      </c>
      <c r="DI127" s="101">
        <f t="shared" si="373"/>
        <v>-7.878787878787874E-2</v>
      </c>
      <c r="DJ127" s="147">
        <f t="shared" si="373"/>
        <v>-0.19905213270142175</v>
      </c>
      <c r="DK127" s="1045">
        <f t="shared" si="373"/>
        <v>0</v>
      </c>
      <c r="DL127" s="1045">
        <f t="shared" si="373"/>
        <v>0.44262295081967218</v>
      </c>
      <c r="DM127" s="101">
        <f t="shared" si="373"/>
        <v>0.11842105263157898</v>
      </c>
      <c r="DN127" s="1045">
        <f t="shared" si="373"/>
        <v>0.13017751479289941</v>
      </c>
      <c r="DO127" s="1045">
        <f t="shared" si="373"/>
        <v>0.12719298245614041</v>
      </c>
      <c r="DP127" s="1045">
        <f t="shared" si="373"/>
        <v>0.20454545454545459</v>
      </c>
      <c r="DQ127" s="101">
        <f t="shared" si="373"/>
        <v>0.61470588235294121</v>
      </c>
      <c r="DR127" s="1045">
        <f t="shared" si="373"/>
        <v>0.44502617801047117</v>
      </c>
      <c r="DS127" s="1045">
        <f t="shared" si="373"/>
        <v>0.20622568093385207</v>
      </c>
      <c r="DT127" s="1045">
        <f t="shared" si="373"/>
        <v>-0.6823899371069182</v>
      </c>
      <c r="DU127" s="1045">
        <f t="shared" si="373"/>
        <v>9.4717668488160323E-2</v>
      </c>
      <c r="DV127" s="1045">
        <f t="shared" si="373"/>
        <v>0.85869565217391308</v>
      </c>
      <c r="DW127" s="1045">
        <f t="shared" ref="DW127" si="374">DW126/DS126-1</f>
        <v>0.22983870967741926</v>
      </c>
      <c r="DX127" s="1045">
        <f t="shared" ref="DX127" si="375">DX126/DT126-1</f>
        <v>2.9511138613861387</v>
      </c>
      <c r="DY127" s="101">
        <f t="shared" ref="DY127" si="376">DY126/DU126-1</f>
        <v>-0.21201643094841927</v>
      </c>
      <c r="DZ127" s="94"/>
    </row>
    <row r="128" spans="1:130">
      <c r="A128" s="178" t="s">
        <v>543</v>
      </c>
      <c r="B128" s="169"/>
      <c r="C128" s="169"/>
      <c r="D128" s="169"/>
      <c r="E128" s="169"/>
      <c r="F128" s="169"/>
      <c r="G128" s="169">
        <f t="shared" ref="G128:V128" si="377">G17</f>
        <v>13013</v>
      </c>
      <c r="H128" s="169">
        <f t="shared" si="377"/>
        <v>18833</v>
      </c>
      <c r="I128" s="169">
        <f t="shared" si="377"/>
        <v>18511</v>
      </c>
      <c r="J128" s="169">
        <f t="shared" si="377"/>
        <v>13061</v>
      </c>
      <c r="K128" s="169">
        <f t="shared" si="377"/>
        <v>11874</v>
      </c>
      <c r="L128" s="169">
        <f t="shared" si="377"/>
        <v>13259</v>
      </c>
      <c r="M128" s="169">
        <f t="shared" si="377"/>
        <v>15324</v>
      </c>
      <c r="N128" s="169">
        <f t="shared" si="377"/>
        <v>17101</v>
      </c>
      <c r="O128" s="169">
        <f t="shared" si="377"/>
        <v>17538</v>
      </c>
      <c r="P128" s="169">
        <f t="shared" si="377"/>
        <v>17238</v>
      </c>
      <c r="Q128" s="1051">
        <f t="shared" si="377"/>
        <v>16872</v>
      </c>
      <c r="R128" s="169">
        <f t="shared" si="377"/>
        <v>16458</v>
      </c>
      <c r="S128" s="169">
        <f t="shared" si="377"/>
        <v>16244</v>
      </c>
      <c r="T128" s="1051">
        <f t="shared" si="377"/>
        <v>16175</v>
      </c>
      <c r="U128" s="169">
        <f t="shared" si="377"/>
        <v>16604</v>
      </c>
      <c r="V128" s="169">
        <f t="shared" si="377"/>
        <v>17191</v>
      </c>
      <c r="W128" s="169">
        <f t="shared" ref="W128:AB128" si="378">W17</f>
        <v>17775</v>
      </c>
      <c r="X128" s="169">
        <f t="shared" si="378"/>
        <v>17059</v>
      </c>
      <c r="Y128" s="169">
        <f t="shared" si="378"/>
        <v>17247</v>
      </c>
      <c r="Z128" s="169">
        <f t="shared" ca="1" si="378"/>
        <v>17185.531443313364</v>
      </c>
      <c r="AA128" s="169">
        <f t="shared" ca="1" si="378"/>
        <v>17326.654612606839</v>
      </c>
      <c r="AB128" s="169">
        <f t="shared" ca="1" si="378"/>
        <v>17539.117790711662</v>
      </c>
      <c r="AC128" s="169">
        <f t="shared" ref="AC128:AG128" ca="1" si="379">AC17</f>
        <v>17762.512511533605</v>
      </c>
      <c r="AD128" s="169">
        <f t="shared" ca="1" si="379"/>
        <v>17996.036439295356</v>
      </c>
      <c r="AE128" s="169">
        <f t="shared" ca="1" si="379"/>
        <v>18240.908275959573</v>
      </c>
      <c r="AF128" s="169">
        <f t="shared" ca="1" si="379"/>
        <v>18499.258520535466</v>
      </c>
      <c r="AG128" s="169">
        <f t="shared" ca="1" si="379"/>
        <v>20074.791512016636</v>
      </c>
      <c r="AH128" s="532"/>
      <c r="AI128" s="169"/>
      <c r="AJ128" s="169"/>
      <c r="AK128" s="169"/>
      <c r="AL128" s="169"/>
      <c r="AM128" s="169"/>
      <c r="AN128" s="109">
        <f>(T128/N128)^(1/6)-1</f>
        <v>-9.235439083710828E-3</v>
      </c>
      <c r="AO128" s="169"/>
      <c r="AP128" s="178"/>
      <c r="AQ128" s="169"/>
      <c r="AR128" s="169"/>
      <c r="AS128" s="169"/>
      <c r="AT128" s="178"/>
      <c r="AU128" s="169"/>
      <c r="AV128" s="169"/>
      <c r="AW128" s="169"/>
      <c r="AX128" s="178"/>
      <c r="AY128" s="169"/>
      <c r="AZ128" s="169"/>
      <c r="BA128" s="169"/>
      <c r="BB128" s="178"/>
      <c r="BC128" s="169"/>
      <c r="BD128" s="169"/>
      <c r="BE128" s="169"/>
      <c r="BF128" s="178"/>
      <c r="BG128" s="169"/>
      <c r="BH128" s="169"/>
      <c r="BI128" s="169"/>
      <c r="BJ128" s="178">
        <f t="shared" ref="BJ128:BY128" si="380">BJ108+BJ114+BJ126</f>
        <v>2580</v>
      </c>
      <c r="BK128" s="169">
        <f t="shared" si="380"/>
        <v>3400</v>
      </c>
      <c r="BL128" s="169">
        <f t="shared" si="380"/>
        <v>2814</v>
      </c>
      <c r="BM128" s="169">
        <f t="shared" si="380"/>
        <v>4267</v>
      </c>
      <c r="BN128" s="178">
        <f t="shared" si="380"/>
        <v>2463</v>
      </c>
      <c r="BO128" s="169">
        <f t="shared" si="380"/>
        <v>2824</v>
      </c>
      <c r="BP128" s="169">
        <f t="shared" si="380"/>
        <v>2847</v>
      </c>
      <c r="BQ128" s="169">
        <f t="shared" si="380"/>
        <v>3740</v>
      </c>
      <c r="BR128" s="178">
        <f t="shared" si="380"/>
        <v>2641</v>
      </c>
      <c r="BS128" s="169">
        <f t="shared" si="380"/>
        <v>3183</v>
      </c>
      <c r="BT128" s="169">
        <f t="shared" si="380"/>
        <v>3253</v>
      </c>
      <c r="BU128" s="169">
        <f t="shared" si="380"/>
        <v>4182</v>
      </c>
      <c r="BV128" s="178">
        <f t="shared" si="380"/>
        <v>3594</v>
      </c>
      <c r="BW128" s="169">
        <f t="shared" si="380"/>
        <v>4061</v>
      </c>
      <c r="BX128" s="169">
        <f t="shared" si="380"/>
        <v>3897</v>
      </c>
      <c r="BY128" s="169">
        <f t="shared" si="380"/>
        <v>3772</v>
      </c>
      <c r="BZ128" s="178">
        <f t="shared" ref="BZ128:DE128" si="381">BZ108+BZ114+BZ126+BZ112</f>
        <v>4021</v>
      </c>
      <c r="CA128" s="169">
        <f t="shared" si="381"/>
        <v>4264</v>
      </c>
      <c r="CB128" s="169">
        <f t="shared" si="381"/>
        <v>3993</v>
      </c>
      <c r="CC128" s="169">
        <f t="shared" si="381"/>
        <v>4823</v>
      </c>
      <c r="CD128" s="178">
        <f t="shared" si="381"/>
        <v>4163</v>
      </c>
      <c r="CE128" s="169">
        <f t="shared" si="381"/>
        <v>4352</v>
      </c>
      <c r="CF128" s="169">
        <f t="shared" si="381"/>
        <v>4277</v>
      </c>
      <c r="CG128" s="169">
        <f t="shared" si="381"/>
        <v>4746</v>
      </c>
      <c r="CH128" s="178">
        <f t="shared" si="381"/>
        <v>4220</v>
      </c>
      <c r="CI128" s="169">
        <f t="shared" si="381"/>
        <v>4177</v>
      </c>
      <c r="CJ128" s="169">
        <f t="shared" si="381"/>
        <v>4178</v>
      </c>
      <c r="CK128" s="169">
        <f t="shared" si="381"/>
        <v>4663</v>
      </c>
      <c r="CL128" s="178">
        <f t="shared" si="381"/>
        <v>3663</v>
      </c>
      <c r="CM128" s="169">
        <f t="shared" si="381"/>
        <v>4343</v>
      </c>
      <c r="CN128" s="169">
        <f t="shared" si="381"/>
        <v>4313</v>
      </c>
      <c r="CO128" s="169">
        <f t="shared" si="381"/>
        <v>4553</v>
      </c>
      <c r="CP128" s="178">
        <f t="shared" si="381"/>
        <v>3423</v>
      </c>
      <c r="CQ128" s="169">
        <f t="shared" si="381"/>
        <v>4196</v>
      </c>
      <c r="CR128" s="169">
        <f t="shared" si="381"/>
        <v>4125</v>
      </c>
      <c r="CS128" s="169">
        <f t="shared" si="381"/>
        <v>4714</v>
      </c>
      <c r="CT128" s="178">
        <f t="shared" si="381"/>
        <v>4363</v>
      </c>
      <c r="CU128" s="169">
        <f t="shared" si="381"/>
        <v>4555</v>
      </c>
      <c r="CV128" s="169">
        <f t="shared" si="381"/>
        <v>3628</v>
      </c>
      <c r="CW128" s="179">
        <f t="shared" si="381"/>
        <v>3698</v>
      </c>
      <c r="CX128" s="169">
        <f t="shared" si="381"/>
        <v>3565</v>
      </c>
      <c r="CY128" s="169">
        <f t="shared" si="381"/>
        <v>3732</v>
      </c>
      <c r="CZ128" s="169">
        <f t="shared" si="381"/>
        <v>3885</v>
      </c>
      <c r="DA128" s="169">
        <f t="shared" si="381"/>
        <v>4993</v>
      </c>
      <c r="DB128" s="178">
        <f t="shared" si="381"/>
        <v>3602</v>
      </c>
      <c r="DC128" s="169">
        <f t="shared" si="381"/>
        <v>4014</v>
      </c>
      <c r="DD128" s="169">
        <f t="shared" si="381"/>
        <v>4191</v>
      </c>
      <c r="DE128" s="169">
        <f t="shared" si="381"/>
        <v>4797</v>
      </c>
      <c r="DF128" s="178">
        <f t="shared" ref="DF128:DK128" si="382">DF108+DF114+DF126+DF112</f>
        <v>4150</v>
      </c>
      <c r="DG128" s="1051">
        <f t="shared" si="382"/>
        <v>4344</v>
      </c>
      <c r="DH128" s="1051">
        <f t="shared" si="382"/>
        <v>4130</v>
      </c>
      <c r="DI128" s="179">
        <f t="shared" si="382"/>
        <v>4567</v>
      </c>
      <c r="DJ128" s="178">
        <f t="shared" si="382"/>
        <v>3665</v>
      </c>
      <c r="DK128" s="1051">
        <f t="shared" si="382"/>
        <v>4488</v>
      </c>
      <c r="DL128" s="1051">
        <f t="shared" ref="DL128:DQ128" si="383">DL108+DL114+DL126+DL112</f>
        <v>4387</v>
      </c>
      <c r="DM128" s="179">
        <f t="shared" si="383"/>
        <v>5235</v>
      </c>
      <c r="DN128" s="1051">
        <f t="shared" si="383"/>
        <v>3387</v>
      </c>
      <c r="DO128" s="1051">
        <f t="shared" si="383"/>
        <v>3886</v>
      </c>
      <c r="DP128" s="1051">
        <f t="shared" si="383"/>
        <v>4125</v>
      </c>
      <c r="DQ128" s="179">
        <f t="shared" si="383"/>
        <v>5661</v>
      </c>
      <c r="DR128" s="1051">
        <f t="shared" ref="DR128:DS128" si="384">DR108+DR114+DR126+DR112</f>
        <v>3067</v>
      </c>
      <c r="DS128" s="1051">
        <f t="shared" si="384"/>
        <v>3944</v>
      </c>
      <c r="DT128" s="1051">
        <f t="shared" ref="DT128:DU128" si="385">DT108+DT114+DT126+DT112</f>
        <v>4271</v>
      </c>
      <c r="DU128" s="1051">
        <f t="shared" si="385"/>
        <v>5965</v>
      </c>
      <c r="DV128" s="1051">
        <f t="shared" ref="DV128" si="386">DV108+DV114+DV126+DV112</f>
        <v>4553</v>
      </c>
      <c r="DW128" s="1051">
        <f t="shared" ref="DW128:DY128" ca="1" si="387">DW17</f>
        <v>4102.0268345890599</v>
      </c>
      <c r="DX128" s="1051">
        <f t="shared" ca="1" si="387"/>
        <v>4169.9259917685913</v>
      </c>
      <c r="DY128" s="179">
        <f t="shared" ca="1" si="387"/>
        <v>4360.5786169557132</v>
      </c>
      <c r="DZ128" s="109"/>
    </row>
    <row r="129" spans="1:130">
      <c r="A129" s="176" t="s">
        <v>991</v>
      </c>
      <c r="B129" s="94"/>
      <c r="C129" s="94"/>
      <c r="D129" s="94"/>
      <c r="E129" s="94"/>
      <c r="F129" s="94"/>
      <c r="G129" s="94"/>
      <c r="H129" s="94">
        <f t="shared" ref="H129:AB129" si="388">H128/G128-1</f>
        <v>0.447245062629678</v>
      </c>
      <c r="I129" s="94">
        <f t="shared" si="388"/>
        <v>-1.7097647745977773E-2</v>
      </c>
      <c r="J129" s="94">
        <f t="shared" si="388"/>
        <v>-0.29441953433093837</v>
      </c>
      <c r="K129" s="94">
        <f t="shared" si="388"/>
        <v>-9.0881249521476137E-2</v>
      </c>
      <c r="L129" s="94">
        <f t="shared" si="388"/>
        <v>0.11664140138116896</v>
      </c>
      <c r="M129" s="94">
        <f t="shared" si="388"/>
        <v>0.15574326872313149</v>
      </c>
      <c r="N129" s="94">
        <f t="shared" si="388"/>
        <v>0.11596188984599332</v>
      </c>
      <c r="O129" s="94">
        <f t="shared" si="388"/>
        <v>2.5554061166013664E-2</v>
      </c>
      <c r="P129" s="94">
        <f t="shared" si="388"/>
        <v>-1.7105713308244952E-2</v>
      </c>
      <c r="Q129" s="1045">
        <f t="shared" si="388"/>
        <v>-2.1232161503654701E-2</v>
      </c>
      <c r="R129" s="94">
        <f t="shared" si="388"/>
        <v>-2.4537695590327147E-2</v>
      </c>
      <c r="S129" s="94">
        <f t="shared" si="388"/>
        <v>-1.3002794993316358E-2</v>
      </c>
      <c r="T129" s="1045">
        <f t="shared" si="388"/>
        <v>-4.2477222359025291E-3</v>
      </c>
      <c r="U129" s="94">
        <f t="shared" si="388"/>
        <v>2.6522411128284462E-2</v>
      </c>
      <c r="V129" s="94">
        <f t="shared" si="388"/>
        <v>3.5352927005540824E-2</v>
      </c>
      <c r="W129" s="94">
        <f>W128/V128-1</f>
        <v>3.3971264033505921E-2</v>
      </c>
      <c r="X129" s="94">
        <f>X128/W128-1</f>
        <v>-4.0281293952180053E-2</v>
      </c>
      <c r="Y129" s="94">
        <f>Y128/X128-1</f>
        <v>1.1020575649217434E-2</v>
      </c>
      <c r="Z129" s="94">
        <f ca="1">Z128/Y128-1</f>
        <v>-3.5640144191242396E-3</v>
      </c>
      <c r="AA129" s="94">
        <f t="shared" ca="1" si="388"/>
        <v>8.2117431025610088E-3</v>
      </c>
      <c r="AB129" s="94">
        <f t="shared" ca="1" si="388"/>
        <v>1.2262215808828802E-2</v>
      </c>
      <c r="AC129" s="94">
        <f t="shared" ref="AC129" ca="1" si="389">AC128/AB128-1</f>
        <v>1.2736941702977012E-2</v>
      </c>
      <c r="AD129" s="94">
        <f t="shared" ref="AD129" ca="1" si="390">AD128/AC128-1</f>
        <v>1.314700989570694E-2</v>
      </c>
      <c r="AE129" s="94">
        <f t="shared" ref="AE129" ca="1" si="391">AE128/AD128-1</f>
        <v>1.3606987154656247E-2</v>
      </c>
      <c r="AF129" s="94">
        <f t="shared" ref="AF129" ca="1" si="392">AF128/AE128-1</f>
        <v>1.4163233577375367E-2</v>
      </c>
      <c r="AG129" s="94">
        <f t="shared" ref="AG129" ca="1" si="393">AG128/AF128-1</f>
        <v>8.5167358990752007E-2</v>
      </c>
      <c r="AH129" s="138"/>
      <c r="AI129" s="94"/>
      <c r="AJ129" s="94"/>
      <c r="AK129" s="94"/>
      <c r="AL129" s="94"/>
      <c r="AM129" s="94"/>
      <c r="AN129" s="94"/>
      <c r="AO129" s="94"/>
      <c r="AP129" s="147"/>
      <c r="AQ129" s="94"/>
      <c r="AR129" s="94"/>
      <c r="AS129" s="94"/>
      <c r="AT129" s="147"/>
      <c r="AU129" s="94"/>
      <c r="AV129" s="94"/>
      <c r="AW129" s="94"/>
      <c r="AX129" s="147"/>
      <c r="AY129" s="94"/>
      <c r="AZ129" s="94"/>
      <c r="BA129" s="94"/>
      <c r="BB129" s="147"/>
      <c r="BC129" s="94"/>
      <c r="BD129" s="94"/>
      <c r="BE129" s="94"/>
      <c r="BF129" s="147"/>
      <c r="BG129" s="94"/>
      <c r="BH129" s="94"/>
      <c r="BI129" s="94"/>
      <c r="BJ129" s="147"/>
      <c r="BK129" s="94"/>
      <c r="BL129" s="94"/>
      <c r="BM129" s="94"/>
      <c r="BN129" s="147">
        <f t="shared" ref="BN129:DV129" si="394">BN128/BJ128-1</f>
        <v>-4.5348837209302273E-2</v>
      </c>
      <c r="BO129" s="94">
        <f t="shared" si="394"/>
        <v>-0.16941176470588237</v>
      </c>
      <c r="BP129" s="94">
        <f t="shared" si="394"/>
        <v>1.1727078891258014E-2</v>
      </c>
      <c r="BQ129" s="94">
        <f t="shared" si="394"/>
        <v>-0.12350597609561753</v>
      </c>
      <c r="BR129" s="147">
        <f t="shared" si="394"/>
        <v>7.2269589930978428E-2</v>
      </c>
      <c r="BS129" s="94">
        <f t="shared" si="394"/>
        <v>0.12712464589235117</v>
      </c>
      <c r="BT129" s="94">
        <f t="shared" si="394"/>
        <v>0.14260625219529333</v>
      </c>
      <c r="BU129" s="94">
        <f t="shared" si="394"/>
        <v>0.11818181818181817</v>
      </c>
      <c r="BV129" s="147">
        <f t="shared" si="394"/>
        <v>0.36084816357440364</v>
      </c>
      <c r="BW129" s="94">
        <f t="shared" si="394"/>
        <v>0.27584040213634942</v>
      </c>
      <c r="BX129" s="94">
        <f t="shared" si="394"/>
        <v>0.19797110359668002</v>
      </c>
      <c r="BY129" s="94">
        <f t="shared" si="394"/>
        <v>-9.8039215686274495E-2</v>
      </c>
      <c r="BZ129" s="147">
        <f t="shared" si="394"/>
        <v>0.11880912632164708</v>
      </c>
      <c r="CA129" s="94">
        <f t="shared" si="394"/>
        <v>4.998768776163498E-2</v>
      </c>
      <c r="CB129" s="94">
        <f t="shared" si="394"/>
        <v>2.4634334103156297E-2</v>
      </c>
      <c r="CC129" s="94">
        <f t="shared" si="394"/>
        <v>0.27863202545068932</v>
      </c>
      <c r="CD129" s="147">
        <f t="shared" si="394"/>
        <v>3.5314598358617166E-2</v>
      </c>
      <c r="CE129" s="94">
        <f t="shared" si="394"/>
        <v>2.063789868667909E-2</v>
      </c>
      <c r="CF129" s="94">
        <f t="shared" si="394"/>
        <v>7.1124467818682646E-2</v>
      </c>
      <c r="CG129" s="94">
        <f t="shared" si="394"/>
        <v>-1.5965166908563089E-2</v>
      </c>
      <c r="CH129" s="147">
        <f t="shared" si="394"/>
        <v>1.3692049003122708E-2</v>
      </c>
      <c r="CI129" s="94">
        <f t="shared" si="394"/>
        <v>-4.0211397058823484E-2</v>
      </c>
      <c r="CJ129" s="94">
        <f t="shared" si="394"/>
        <v>-2.3147065700257152E-2</v>
      </c>
      <c r="CK129" s="94">
        <f t="shared" si="394"/>
        <v>-1.7488411293721029E-2</v>
      </c>
      <c r="CL129" s="147">
        <f t="shared" si="394"/>
        <v>-0.13199052132701417</v>
      </c>
      <c r="CM129" s="94">
        <f t="shared" si="394"/>
        <v>3.9741441225760177E-2</v>
      </c>
      <c r="CN129" s="94">
        <f t="shared" si="394"/>
        <v>3.2312111057922532E-2</v>
      </c>
      <c r="CO129" s="94">
        <f t="shared" si="394"/>
        <v>-2.3589963542783643E-2</v>
      </c>
      <c r="CP129" s="147">
        <f t="shared" si="394"/>
        <v>-6.5520065520065507E-2</v>
      </c>
      <c r="CQ129" s="94">
        <f t="shared" si="394"/>
        <v>-3.384757080359202E-2</v>
      </c>
      <c r="CR129" s="94">
        <f t="shared" si="394"/>
        <v>-4.3589149084164114E-2</v>
      </c>
      <c r="CS129" s="94">
        <f t="shared" si="394"/>
        <v>3.5361300241598892E-2</v>
      </c>
      <c r="CT129" s="147">
        <f t="shared" si="394"/>
        <v>0.27461291264972254</v>
      </c>
      <c r="CU129" s="94">
        <f t="shared" si="394"/>
        <v>8.555767397521441E-2</v>
      </c>
      <c r="CV129" s="94">
        <f t="shared" si="394"/>
        <v>-0.12048484848484853</v>
      </c>
      <c r="CW129" s="101">
        <f t="shared" si="394"/>
        <v>-0.21552821383114129</v>
      </c>
      <c r="CX129" s="94">
        <f t="shared" si="394"/>
        <v>-0.1829016731606693</v>
      </c>
      <c r="CY129" s="94">
        <f t="shared" si="394"/>
        <v>-0.18068057080131728</v>
      </c>
      <c r="CZ129" s="94">
        <f t="shared" si="394"/>
        <v>7.0837927232635156E-2</v>
      </c>
      <c r="DA129" s="94">
        <f t="shared" si="394"/>
        <v>0.35018929150892375</v>
      </c>
      <c r="DB129" s="147">
        <f t="shared" si="394"/>
        <v>1.0378681626928454E-2</v>
      </c>
      <c r="DC129" s="94">
        <f t="shared" si="394"/>
        <v>7.5562700964630247E-2</v>
      </c>
      <c r="DD129" s="94">
        <f t="shared" si="394"/>
        <v>7.8764478764478785E-2</v>
      </c>
      <c r="DE129" s="94">
        <f t="shared" si="394"/>
        <v>-3.9254956939715591E-2</v>
      </c>
      <c r="DF129" s="147">
        <f t="shared" si="394"/>
        <v>0.15213770127706838</v>
      </c>
      <c r="DG129" s="1045">
        <f t="shared" si="394"/>
        <v>8.2212257100149566E-2</v>
      </c>
      <c r="DH129" s="1045">
        <f t="shared" si="394"/>
        <v>-1.4554998806967312E-2</v>
      </c>
      <c r="DI129" s="101">
        <f t="shared" si="394"/>
        <v>-4.7946633312486941E-2</v>
      </c>
      <c r="DJ129" s="147">
        <f t="shared" si="394"/>
        <v>-0.11686746987951813</v>
      </c>
      <c r="DK129" s="1045">
        <f t="shared" si="394"/>
        <v>3.3149171270718147E-2</v>
      </c>
      <c r="DL129" s="1045">
        <f t="shared" si="394"/>
        <v>6.2227602905569057E-2</v>
      </c>
      <c r="DM129" s="101">
        <f t="shared" si="394"/>
        <v>0.14626669586161589</v>
      </c>
      <c r="DN129" s="1045">
        <f t="shared" si="394"/>
        <v>-7.5852660300136376E-2</v>
      </c>
      <c r="DO129" s="1045">
        <f t="shared" si="394"/>
        <v>-0.13413547237076651</v>
      </c>
      <c r="DP129" s="1045">
        <f t="shared" si="394"/>
        <v>-5.9721905630271244E-2</v>
      </c>
      <c r="DQ129" s="101">
        <f t="shared" si="394"/>
        <v>8.1375358166189127E-2</v>
      </c>
      <c r="DR129" s="1045">
        <f t="shared" si="394"/>
        <v>-9.4478889873043981E-2</v>
      </c>
      <c r="DS129" s="1045">
        <f t="shared" si="394"/>
        <v>1.4925373134328401E-2</v>
      </c>
      <c r="DT129" s="1045">
        <f t="shared" si="394"/>
        <v>3.5393939393939311E-2</v>
      </c>
      <c r="DU129" s="1045">
        <f t="shared" si="394"/>
        <v>5.370075958311249E-2</v>
      </c>
      <c r="DV129" s="1045">
        <f t="shared" si="394"/>
        <v>0.48451255298337137</v>
      </c>
      <c r="DW129" s="1045">
        <f t="shared" ref="DW129" ca="1" si="395">DW128/DS128-1</f>
        <v>4.0067655828869064E-2</v>
      </c>
      <c r="DX129" s="1045">
        <f t="shared" ref="DX129" ca="1" si="396">DX128/DT128-1</f>
        <v>-2.3665185724984439E-2</v>
      </c>
      <c r="DY129" s="101">
        <f t="shared" ref="DY129" ca="1" si="397">DY128/DU128-1</f>
        <v>-0.26897257050197598</v>
      </c>
      <c r="DZ129" s="94"/>
    </row>
    <row r="130" spans="1:130" hidden="1" outlineLevel="1">
      <c r="A130" s="100"/>
      <c r="B130" s="87"/>
      <c r="C130" s="87"/>
      <c r="D130" s="91"/>
      <c r="E130" s="149"/>
      <c r="F130" s="87"/>
      <c r="G130" s="87"/>
      <c r="H130" s="87"/>
      <c r="I130" s="87"/>
      <c r="J130" s="87"/>
      <c r="K130" s="87"/>
      <c r="L130" s="118"/>
      <c r="M130" s="118"/>
      <c r="N130" s="118"/>
      <c r="O130" s="118"/>
      <c r="P130" s="118"/>
      <c r="Q130" s="1139"/>
      <c r="R130" s="118"/>
      <c r="S130" s="149"/>
      <c r="T130" s="1139"/>
      <c r="U130" s="118"/>
      <c r="V130" s="118"/>
      <c r="W130" s="118"/>
      <c r="X130" s="118"/>
      <c r="Y130" s="118"/>
      <c r="Z130" s="118"/>
      <c r="AA130" s="118"/>
      <c r="AB130" s="118"/>
      <c r="AC130" s="118"/>
      <c r="AD130" s="118"/>
      <c r="AE130" s="118"/>
      <c r="AF130" s="118"/>
      <c r="AG130" s="118"/>
      <c r="AH130" s="3050"/>
      <c r="AI130" s="149"/>
      <c r="AJ130" s="149"/>
      <c r="AK130" s="149"/>
      <c r="AL130" s="149"/>
      <c r="AM130" s="91"/>
      <c r="AN130" s="149"/>
      <c r="AO130" s="149"/>
      <c r="AP130" s="150"/>
      <c r="AQ130" s="149"/>
      <c r="AR130" s="149"/>
      <c r="AS130" s="149"/>
      <c r="AT130" s="150"/>
      <c r="AU130" s="149"/>
      <c r="AV130" s="149"/>
      <c r="AW130" s="149"/>
      <c r="AX130" s="150"/>
      <c r="AY130" s="149"/>
      <c r="AZ130" s="149"/>
      <c r="BA130" s="149"/>
      <c r="BB130" s="150"/>
      <c r="BC130" s="149"/>
      <c r="BD130" s="149"/>
      <c r="BE130" s="149"/>
      <c r="BF130" s="368"/>
      <c r="BG130" s="149"/>
      <c r="BH130" s="149"/>
      <c r="BI130" s="149"/>
      <c r="BJ130" s="150"/>
      <c r="BK130" s="149"/>
      <c r="BL130" s="149"/>
      <c r="BM130" s="149"/>
      <c r="BN130" s="150"/>
      <c r="BO130" s="149"/>
      <c r="BP130" s="149"/>
      <c r="BQ130" s="149"/>
      <c r="BR130" s="150"/>
      <c r="BS130" s="149"/>
      <c r="BT130" s="149"/>
      <c r="BU130" s="149"/>
      <c r="BV130" s="150"/>
      <c r="BW130" s="149"/>
      <c r="BX130" s="87"/>
      <c r="BY130" s="87"/>
      <c r="BZ130" s="88"/>
      <c r="CA130" s="87"/>
      <c r="CB130" s="87"/>
      <c r="CC130" s="87"/>
      <c r="CD130" s="88"/>
      <c r="CE130" s="87"/>
      <c r="CF130" s="87"/>
      <c r="CG130" s="87"/>
      <c r="CH130" s="88"/>
      <c r="CI130" s="87"/>
      <c r="CJ130" s="87"/>
      <c r="CK130" s="149"/>
      <c r="CL130" s="150"/>
      <c r="CM130" s="149"/>
      <c r="CN130" s="149"/>
      <c r="CO130" s="149"/>
      <c r="CP130" s="150"/>
      <c r="CQ130" s="149"/>
      <c r="CR130" s="149"/>
      <c r="CS130" s="149"/>
      <c r="CT130" s="150"/>
      <c r="CU130" s="149"/>
      <c r="CV130" s="149"/>
      <c r="CW130" s="155"/>
      <c r="CX130" s="149"/>
      <c r="CY130" s="149"/>
      <c r="CZ130" s="149"/>
      <c r="DA130" s="149"/>
      <c r="DB130" s="150"/>
      <c r="DC130" s="149"/>
      <c r="DD130" s="149"/>
      <c r="DE130" s="149"/>
      <c r="DF130" s="150"/>
      <c r="DG130" s="1113"/>
      <c r="DH130" s="1113"/>
      <c r="DI130" s="155"/>
      <c r="DJ130" s="150"/>
      <c r="DK130" s="1113"/>
      <c r="DL130" s="1113"/>
      <c r="DM130" s="155"/>
      <c r="DN130" s="1113"/>
      <c r="DO130" s="1113"/>
      <c r="DP130" s="1113"/>
      <c r="DQ130" s="155"/>
      <c r="DR130" s="1113"/>
      <c r="DS130" s="1113"/>
      <c r="DT130" s="1113"/>
      <c r="DU130" s="1113"/>
      <c r="DV130" s="1113"/>
      <c r="DW130" s="1113"/>
      <c r="DX130" s="1113"/>
      <c r="DY130" s="155"/>
      <c r="DZ130" s="87"/>
    </row>
    <row r="131" spans="1:130" hidden="1" outlineLevel="1">
      <c r="A131" s="762" t="s">
        <v>948</v>
      </c>
      <c r="B131" s="109"/>
      <c r="C131" s="109"/>
      <c r="D131" s="169"/>
      <c r="E131" s="169"/>
      <c r="F131" s="109"/>
      <c r="G131" s="109">
        <f>NormInputs!G126</f>
        <v>10087</v>
      </c>
      <c r="H131" s="109">
        <f>SUM(BB131:BE131)</f>
        <v>13319</v>
      </c>
      <c r="I131" s="109">
        <f>SUM(BF131:BI131)</f>
        <v>12620</v>
      </c>
      <c r="J131" s="109">
        <f>SUM(BJ131:BM131)</f>
        <v>8054</v>
      </c>
      <c r="K131" s="109">
        <f>SUM(BN131:BQ131)</f>
        <v>6820</v>
      </c>
      <c r="L131" s="109">
        <f>SUM(BR131:BU131)</f>
        <v>7118</v>
      </c>
      <c r="M131" s="109">
        <f>SUM(BV131:BY131)</f>
        <v>8267</v>
      </c>
      <c r="N131" s="109">
        <f t="shared" ref="N131:X131" si="398">N108</f>
        <v>10259</v>
      </c>
      <c r="O131" s="109">
        <f t="shared" si="398"/>
        <v>10956</v>
      </c>
      <c r="P131" s="109">
        <f t="shared" si="398"/>
        <v>9797</v>
      </c>
      <c r="Q131" s="1044">
        <f t="shared" si="398"/>
        <v>8892</v>
      </c>
      <c r="R131" s="109">
        <f t="shared" si="398"/>
        <v>7269</v>
      </c>
      <c r="S131" s="109">
        <f t="shared" si="398"/>
        <v>6399</v>
      </c>
      <c r="T131" s="1044">
        <f t="shared" si="398"/>
        <v>6342</v>
      </c>
      <c r="U131" s="109">
        <f t="shared" si="398"/>
        <v>6229</v>
      </c>
      <c r="V131" s="109">
        <f t="shared" si="398"/>
        <v>5750</v>
      </c>
      <c r="W131" s="109">
        <f>W108</f>
        <v>5049</v>
      </c>
      <c r="X131" s="109">
        <f t="shared" si="398"/>
        <v>4504</v>
      </c>
      <c r="Y131" s="109">
        <f t="shared" ref="Y131:Z131" si="399">Y108</f>
        <v>5331</v>
      </c>
      <c r="Z131" s="109">
        <f t="shared" ca="1" si="399"/>
        <v>6512.188470243851</v>
      </c>
      <c r="AA131" s="109">
        <f ca="1">AA108</f>
        <v>3587.9476174181673</v>
      </c>
      <c r="AB131" s="109">
        <f ca="1">AB108</f>
        <v>3606.8442337023062</v>
      </c>
      <c r="AC131" s="109">
        <f t="shared" ref="AC131:AG131" ca="1" si="400">AC108</f>
        <v>3621.6999312516746</v>
      </c>
      <c r="AD131" s="109">
        <f t="shared" ca="1" si="400"/>
        <v>3633.4765103809896</v>
      </c>
      <c r="AE131" s="109">
        <f t="shared" ca="1" si="400"/>
        <v>3642.3157773849325</v>
      </c>
      <c r="AF131" s="109">
        <f t="shared" ca="1" si="400"/>
        <v>3648.0426393360285</v>
      </c>
      <c r="AG131" s="109">
        <f t="shared" ca="1" si="400"/>
        <v>4951.542148952989</v>
      </c>
      <c r="AH131" s="532"/>
      <c r="AI131" s="169"/>
      <c r="AJ131" s="169"/>
      <c r="AK131" s="169"/>
      <c r="AL131" s="169"/>
      <c r="AM131" s="169"/>
      <c r="AN131" s="169"/>
      <c r="AO131" s="169"/>
      <c r="AP131" s="178"/>
      <c r="AQ131" s="169"/>
      <c r="AR131" s="169"/>
      <c r="AS131" s="169"/>
      <c r="AT131" s="178"/>
      <c r="AU131" s="169"/>
      <c r="AV131" s="169"/>
      <c r="AW131" s="169"/>
      <c r="AX131" s="178"/>
      <c r="AY131" s="169"/>
      <c r="AZ131" s="169"/>
      <c r="BA131" s="169"/>
      <c r="BB131" s="171">
        <f>NormInputs!AR126</f>
        <v>2764</v>
      </c>
      <c r="BC131" s="109">
        <f>NormInputs!AS126</f>
        <v>3430</v>
      </c>
      <c r="BD131" s="109">
        <f>NormInputs!AT126</f>
        <v>3286</v>
      </c>
      <c r="BE131" s="109">
        <f>NormInputs!AU126</f>
        <v>3839</v>
      </c>
      <c r="BF131" s="171">
        <f>NormInputs!AV126</f>
        <v>3629</v>
      </c>
      <c r="BG131" s="109">
        <f>NormInputs!AW126</f>
        <v>3357</v>
      </c>
      <c r="BH131" s="109">
        <f>NormInputs!AX126</f>
        <v>2354</v>
      </c>
      <c r="BI131" s="109">
        <f>NormInputs!AY126</f>
        <v>3280</v>
      </c>
      <c r="BJ131" s="171">
        <f>NormInputs!AZ126</f>
        <v>1685</v>
      </c>
      <c r="BK131" s="109">
        <f>NormInputs!BA126</f>
        <v>1960</v>
      </c>
      <c r="BL131" s="109">
        <f>NormInputs!BB126</f>
        <v>1764</v>
      </c>
      <c r="BM131" s="109">
        <f>NormInputs!BC126</f>
        <v>2645</v>
      </c>
      <c r="BN131" s="171">
        <f>NormInputs!BD126</f>
        <v>1286</v>
      </c>
      <c r="BO131" s="109">
        <f>NormInputs!BE126</f>
        <v>1733</v>
      </c>
      <c r="BP131" s="109">
        <f>NormInputs!BF126</f>
        <v>1746</v>
      </c>
      <c r="BQ131" s="109">
        <f>NormInputs!BG126</f>
        <v>2055</v>
      </c>
      <c r="BR131" s="171">
        <f>NormInputs!BH126</f>
        <v>1282</v>
      </c>
      <c r="BS131" s="109">
        <f>NormInputs!BI126</f>
        <v>1660</v>
      </c>
      <c r="BT131" s="109">
        <f>NormInputs!BJ126</f>
        <v>1761</v>
      </c>
      <c r="BU131" s="109">
        <f>NormInputs!BK126</f>
        <v>2415</v>
      </c>
      <c r="BV131" s="171">
        <f>NormInputs!BL126</f>
        <v>1892</v>
      </c>
      <c r="BW131" s="109">
        <f>NormInputs!BM126</f>
        <v>2152</v>
      </c>
      <c r="BX131" s="109">
        <f>NormInputs!BN126</f>
        <v>2172</v>
      </c>
      <c r="BY131" s="109">
        <f>NormInputs!BO126</f>
        <v>2051</v>
      </c>
      <c r="BZ131" s="205">
        <f>NormInputs!BP126</f>
        <v>2418</v>
      </c>
      <c r="CA131" s="109">
        <f>NormInputs!BQ126</f>
        <v>2592</v>
      </c>
      <c r="CB131" s="109">
        <f>NormInputs!BR126</f>
        <v>2334</v>
      </c>
      <c r="CC131" s="109">
        <f>NormInputs!BS126</f>
        <v>2915</v>
      </c>
      <c r="CD131" s="171">
        <f>NormInputs!BT126</f>
        <v>2439</v>
      </c>
      <c r="CE131" s="109">
        <f>NormInputs!BU126</f>
        <v>2681</v>
      </c>
      <c r="CF131" s="109">
        <f>NormInputs!BV126</f>
        <v>2753</v>
      </c>
      <c r="CG131" s="109">
        <f>NormInputs!BW126</f>
        <v>3083</v>
      </c>
      <c r="CH131" s="171">
        <f>NormInputs!BX126</f>
        <v>2379</v>
      </c>
      <c r="CI131" s="109">
        <f>NormInputs!BY126</f>
        <v>2456</v>
      </c>
      <c r="CJ131" s="109">
        <f>NormInputs!BZ126</f>
        <v>2483</v>
      </c>
      <c r="CK131" s="109">
        <f>NormInputs!CA126</f>
        <v>2479</v>
      </c>
      <c r="CL131" s="171">
        <f>NormInputs!CB126</f>
        <v>2003</v>
      </c>
      <c r="CM131" s="109">
        <f>NormInputs!CC126</f>
        <v>2338</v>
      </c>
      <c r="CN131" s="109">
        <f>NormInputs!CD126</f>
        <v>2273</v>
      </c>
      <c r="CO131" s="109">
        <f>NormInputs!CE126</f>
        <v>2278</v>
      </c>
      <c r="CP131" s="171">
        <f>NormInputs!CF126</f>
        <v>1566</v>
      </c>
      <c r="CQ131" s="109">
        <f>NormInputs!CG126</f>
        <v>1781</v>
      </c>
      <c r="CR131" s="109">
        <f>NormInputs!CH126</f>
        <v>1751</v>
      </c>
      <c r="CS131" s="109">
        <f>NormInputs!CI126</f>
        <v>2171</v>
      </c>
      <c r="CT131" s="171">
        <f>NormInputs!CJ126</f>
        <v>1465</v>
      </c>
      <c r="CU131" s="109">
        <f>NormInputs!CK126</f>
        <v>1685</v>
      </c>
      <c r="CV131" s="109">
        <f>NormInputs!CL126</f>
        <v>1617</v>
      </c>
      <c r="CW131" s="172">
        <f>NormInputs!CM126</f>
        <v>1632</v>
      </c>
      <c r="CX131" s="109">
        <f>NormInputs!CN126</f>
        <v>1537</v>
      </c>
      <c r="CY131" s="109">
        <f>NormInputs!CO126</f>
        <v>1596</v>
      </c>
      <c r="CZ131" s="109">
        <f>NormInputs!CP126</f>
        <v>1484</v>
      </c>
      <c r="DA131" s="109">
        <f>NormInputs!CQ126</f>
        <v>1725</v>
      </c>
      <c r="DB131" s="171">
        <f>NormInputs!CR126</f>
        <v>1434</v>
      </c>
      <c r="DC131" s="109">
        <f>NormInputs!CS126</f>
        <v>1515</v>
      </c>
      <c r="DD131" s="109">
        <f>NormInputs!CT126</f>
        <v>1518</v>
      </c>
      <c r="DE131" s="109">
        <f>NormInputs!CU126</f>
        <v>1762</v>
      </c>
      <c r="DF131" s="171">
        <f>NormInputs!CV126</f>
        <v>1385</v>
      </c>
      <c r="DG131" s="1044">
        <f>NormInputs!CW126</f>
        <v>1345</v>
      </c>
      <c r="DH131" s="1044">
        <f>NormInputs!CX126</f>
        <v>1464</v>
      </c>
      <c r="DI131" s="172">
        <f>NormInputs!CY126</f>
        <v>1556</v>
      </c>
      <c r="DJ131" s="171">
        <f>NormInputs!CZ126</f>
        <v>1077</v>
      </c>
      <c r="DK131" s="1044">
        <f>NormInputs!DA126</f>
        <v>1134</v>
      </c>
      <c r="DL131" s="1044">
        <f>NormInputs!DB126</f>
        <v>1202</v>
      </c>
      <c r="DM131" s="172">
        <f>NormInputs!DC126</f>
        <v>1636</v>
      </c>
      <c r="DN131" s="1044">
        <f>NormInputs!DD126</f>
        <v>1006</v>
      </c>
      <c r="DO131" s="1044">
        <f>NormInputs!DE126</f>
        <v>814</v>
      </c>
      <c r="DP131" s="1044">
        <f>NormInputs!DF126</f>
        <v>1036</v>
      </c>
      <c r="DQ131" s="172">
        <f>NormInputs!DG126</f>
        <v>1648</v>
      </c>
      <c r="DR131" s="1044">
        <f>NormInputs!DH126</f>
        <v>960</v>
      </c>
      <c r="DS131" s="1044">
        <f>NormInputs!DI126</f>
        <v>1190</v>
      </c>
      <c r="DT131" s="1044">
        <f>NormInputs!DJ126</f>
        <v>1200</v>
      </c>
      <c r="DU131" s="1044">
        <f>NormInputs!DK126</f>
        <v>1981</v>
      </c>
      <c r="DV131" s="1044">
        <f>NormInputs!DL126</f>
        <v>1673</v>
      </c>
      <c r="DW131" s="1044">
        <f t="shared" ref="DW131:DY131" ca="1" si="401">DW108</f>
        <v>1560.522143410531</v>
      </c>
      <c r="DX131" s="1044">
        <f t="shared" ca="1" si="401"/>
        <v>1581.3189985517956</v>
      </c>
      <c r="DY131" s="172">
        <f t="shared" ca="1" si="401"/>
        <v>1697.3473282815248</v>
      </c>
      <c r="DZ131" s="109"/>
    </row>
    <row r="132" spans="1:130" hidden="1" outlineLevel="1">
      <c r="A132" s="176" t="s">
        <v>991</v>
      </c>
      <c r="B132" s="94"/>
      <c r="C132" s="94"/>
      <c r="D132" s="195"/>
      <c r="E132" s="195"/>
      <c r="F132" s="94"/>
      <c r="G132" s="94"/>
      <c r="H132" s="94">
        <f t="shared" ref="H132:AB132" si="402">H131/G131-1</f>
        <v>0.32041241201546544</v>
      </c>
      <c r="I132" s="94">
        <f t="shared" si="402"/>
        <v>-5.248141752383817E-2</v>
      </c>
      <c r="J132" s="94">
        <f t="shared" si="402"/>
        <v>-0.36180665610142626</v>
      </c>
      <c r="K132" s="94">
        <f t="shared" si="402"/>
        <v>-0.15321579339458657</v>
      </c>
      <c r="L132" s="94">
        <f t="shared" si="402"/>
        <v>4.3695014662756604E-2</v>
      </c>
      <c r="M132" s="94">
        <f t="shared" si="402"/>
        <v>0.16142174768193307</v>
      </c>
      <c r="N132" s="94">
        <f t="shared" si="402"/>
        <v>0.24095802588605308</v>
      </c>
      <c r="O132" s="94">
        <f t="shared" si="402"/>
        <v>6.7940345062871721E-2</v>
      </c>
      <c r="P132" s="94">
        <f t="shared" si="402"/>
        <v>-0.10578678349762682</v>
      </c>
      <c r="Q132" s="1045">
        <f t="shared" si="402"/>
        <v>-9.2375216903133661E-2</v>
      </c>
      <c r="R132" s="94">
        <f t="shared" si="402"/>
        <v>-0.18252361673414308</v>
      </c>
      <c r="S132" s="94">
        <f t="shared" si="402"/>
        <v>-0.11968633924886507</v>
      </c>
      <c r="T132" s="1045">
        <f t="shared" si="402"/>
        <v>-8.907641819034251E-3</v>
      </c>
      <c r="U132" s="94">
        <f t="shared" si="402"/>
        <v>-1.7817723115736372E-2</v>
      </c>
      <c r="V132" s="94">
        <f t="shared" si="402"/>
        <v>-7.6898378551934488E-2</v>
      </c>
      <c r="W132" s="94">
        <f>W131/V131-1</f>
        <v>-0.12191304347826082</v>
      </c>
      <c r="X132" s="94">
        <f t="shared" si="402"/>
        <v>-0.10794216676569612</v>
      </c>
      <c r="Y132" s="94">
        <f t="shared" si="402"/>
        <v>0.18361456483126104</v>
      </c>
      <c r="Z132" s="94">
        <f t="shared" ca="1" si="402"/>
        <v>0.2215697749472616</v>
      </c>
      <c r="AA132" s="94">
        <f t="shared" ca="1" si="402"/>
        <v>-0.44904118887028843</v>
      </c>
      <c r="AB132" s="94">
        <f t="shared" ca="1" si="402"/>
        <v>5.2666923542592503E-3</v>
      </c>
      <c r="AC132" s="94">
        <f t="shared" ref="AC132" ca="1" si="403">AC131/AB131-1</f>
        <v>4.1187521796912652E-3</v>
      </c>
      <c r="AD132" s="94">
        <f t="shared" ref="AD132" ca="1" si="404">AD131/AC131-1</f>
        <v>3.2516716881194618E-3</v>
      </c>
      <c r="AE132" s="94">
        <f t="shared" ref="AE132" ca="1" si="405">AE131/AD131-1</f>
        <v>2.4327299154649484E-3</v>
      </c>
      <c r="AF132" s="94">
        <f t="shared" ref="AF132" ca="1" si="406">AF131/AE131-1</f>
        <v>1.5723134129814742E-3</v>
      </c>
      <c r="AG132" s="94">
        <f t="shared" ref="AG132" ca="1" si="407">AG131/AF131-1</f>
        <v>0.35731476807908336</v>
      </c>
      <c r="AH132" s="193"/>
      <c r="AI132" s="195"/>
      <c r="AJ132" s="195"/>
      <c r="AK132" s="195"/>
      <c r="AL132" s="195"/>
      <c r="AM132" s="195"/>
      <c r="AN132" s="195"/>
      <c r="AO132" s="195"/>
      <c r="AP132" s="182"/>
      <c r="AQ132" s="195"/>
      <c r="AR132" s="195"/>
      <c r="AS132" s="195"/>
      <c r="AT132" s="182"/>
      <c r="AU132" s="195"/>
      <c r="AV132" s="195"/>
      <c r="AW132" s="195"/>
      <c r="AX132" s="182"/>
      <c r="AY132" s="195"/>
      <c r="AZ132" s="195"/>
      <c r="BA132" s="195"/>
      <c r="BB132" s="182"/>
      <c r="BC132" s="195"/>
      <c r="BD132" s="195"/>
      <c r="BE132" s="94"/>
      <c r="BF132" s="147">
        <f t="shared" ref="BF132:CK132" si="408">BF131/BB131-1</f>
        <v>0.31295224312590442</v>
      </c>
      <c r="BG132" s="94">
        <f t="shared" si="408"/>
        <v>-2.1282798833819228E-2</v>
      </c>
      <c r="BH132" s="94">
        <f t="shared" si="408"/>
        <v>-0.28362751065124769</v>
      </c>
      <c r="BI132" s="94">
        <f t="shared" si="408"/>
        <v>-0.14561083615524872</v>
      </c>
      <c r="BJ132" s="147">
        <f t="shared" si="408"/>
        <v>-0.5356847616423257</v>
      </c>
      <c r="BK132" s="94">
        <f t="shared" si="408"/>
        <v>-0.41614536788799528</v>
      </c>
      <c r="BL132" s="94">
        <f t="shared" si="408"/>
        <v>-0.25063721325403565</v>
      </c>
      <c r="BM132" s="94">
        <f t="shared" si="408"/>
        <v>-0.19359756097560976</v>
      </c>
      <c r="BN132" s="147">
        <f t="shared" si="408"/>
        <v>-0.23679525222551934</v>
      </c>
      <c r="BO132" s="94">
        <f t="shared" si="408"/>
        <v>-0.11581632653061225</v>
      </c>
      <c r="BP132" s="94">
        <f t="shared" si="408"/>
        <v>-1.0204081632653073E-2</v>
      </c>
      <c r="BQ132" s="94">
        <f t="shared" si="408"/>
        <v>-0.22306238185255201</v>
      </c>
      <c r="BR132" s="147">
        <f t="shared" si="408"/>
        <v>-3.1104199066873672E-3</v>
      </c>
      <c r="BS132" s="94">
        <f t="shared" si="408"/>
        <v>-4.2123485285631812E-2</v>
      </c>
      <c r="BT132" s="94">
        <f t="shared" si="408"/>
        <v>8.5910652920961894E-3</v>
      </c>
      <c r="BU132" s="94">
        <f t="shared" si="408"/>
        <v>0.17518248175182483</v>
      </c>
      <c r="BV132" s="147">
        <f t="shared" si="408"/>
        <v>0.47581903276131055</v>
      </c>
      <c r="BW132" s="94">
        <f t="shared" si="408"/>
        <v>0.29638554216867474</v>
      </c>
      <c r="BX132" s="94">
        <f t="shared" si="408"/>
        <v>0.23339011925042596</v>
      </c>
      <c r="BY132" s="94">
        <f t="shared" si="408"/>
        <v>-0.1507246376811594</v>
      </c>
      <c r="BZ132" s="469">
        <f t="shared" si="408"/>
        <v>0.2780126849894291</v>
      </c>
      <c r="CA132" s="94">
        <f t="shared" si="408"/>
        <v>0.20446096654275103</v>
      </c>
      <c r="CB132" s="94">
        <f t="shared" si="408"/>
        <v>7.4585635359116109E-2</v>
      </c>
      <c r="CC132" s="94">
        <f t="shared" si="408"/>
        <v>0.42125792296440756</v>
      </c>
      <c r="CD132" s="147">
        <f t="shared" si="408"/>
        <v>8.6848635235732274E-3</v>
      </c>
      <c r="CE132" s="94">
        <f t="shared" si="408"/>
        <v>3.4336419753086433E-2</v>
      </c>
      <c r="CF132" s="94">
        <f t="shared" si="408"/>
        <v>0.17952013710368475</v>
      </c>
      <c r="CG132" s="94">
        <f t="shared" si="408"/>
        <v>5.7632933104631245E-2</v>
      </c>
      <c r="CH132" s="147">
        <f t="shared" si="408"/>
        <v>-2.4600246002460024E-2</v>
      </c>
      <c r="CI132" s="94">
        <f t="shared" si="408"/>
        <v>-8.3923908989183116E-2</v>
      </c>
      <c r="CJ132" s="94">
        <f t="shared" si="408"/>
        <v>-9.8074827460951641E-2</v>
      </c>
      <c r="CK132" s="94">
        <f t="shared" si="408"/>
        <v>-0.1959130716834252</v>
      </c>
      <c r="CL132" s="147">
        <f t="shared" ref="CL132:DV132" si="409">CL131/CH131-1</f>
        <v>-0.15804960067255147</v>
      </c>
      <c r="CM132" s="94">
        <f t="shared" si="409"/>
        <v>-4.8045602605863214E-2</v>
      </c>
      <c r="CN132" s="94">
        <f t="shared" si="409"/>
        <v>-8.4575110753121185E-2</v>
      </c>
      <c r="CO132" s="94">
        <f t="shared" si="409"/>
        <v>-8.108108108108103E-2</v>
      </c>
      <c r="CP132" s="147">
        <f t="shared" si="409"/>
        <v>-0.218172740888667</v>
      </c>
      <c r="CQ132" s="94">
        <f t="shared" si="409"/>
        <v>-0.2382378100940975</v>
      </c>
      <c r="CR132" s="94">
        <f t="shared" si="409"/>
        <v>-0.22965244170699517</v>
      </c>
      <c r="CS132" s="94">
        <f t="shared" si="409"/>
        <v>-4.6971027216856864E-2</v>
      </c>
      <c r="CT132" s="147">
        <f t="shared" si="409"/>
        <v>-6.4495530012771418E-2</v>
      </c>
      <c r="CU132" s="94">
        <f t="shared" si="409"/>
        <v>-5.3902302077484587E-2</v>
      </c>
      <c r="CV132" s="94">
        <f t="shared" si="409"/>
        <v>-7.6527698458023985E-2</v>
      </c>
      <c r="CW132" s="101">
        <f t="shared" si="409"/>
        <v>-0.24827268539843395</v>
      </c>
      <c r="CX132" s="94">
        <f t="shared" si="409"/>
        <v>4.9146757679180864E-2</v>
      </c>
      <c r="CY132" s="94">
        <f t="shared" si="409"/>
        <v>-5.2818991097922874E-2</v>
      </c>
      <c r="CZ132" s="94">
        <f t="shared" si="409"/>
        <v>-8.2251082251082241E-2</v>
      </c>
      <c r="DA132" s="94">
        <f t="shared" si="409"/>
        <v>5.6985294117646967E-2</v>
      </c>
      <c r="DB132" s="147">
        <f t="shared" si="409"/>
        <v>-6.7013662979830801E-2</v>
      </c>
      <c r="DC132" s="94">
        <f t="shared" si="409"/>
        <v>-5.0751879699248104E-2</v>
      </c>
      <c r="DD132" s="94">
        <f t="shared" si="409"/>
        <v>2.2911051212938016E-2</v>
      </c>
      <c r="DE132" s="94">
        <f t="shared" si="409"/>
        <v>2.1449275362318776E-2</v>
      </c>
      <c r="DF132" s="147">
        <f t="shared" si="409"/>
        <v>-3.4170153417015348E-2</v>
      </c>
      <c r="DG132" s="1045">
        <f t="shared" si="409"/>
        <v>-0.11221122112211224</v>
      </c>
      <c r="DH132" s="1045">
        <f t="shared" si="409"/>
        <v>-3.5573122529644285E-2</v>
      </c>
      <c r="DI132" s="101">
        <f t="shared" si="409"/>
        <v>-0.1169125993189557</v>
      </c>
      <c r="DJ132" s="147">
        <f t="shared" si="409"/>
        <v>-0.22238267148014446</v>
      </c>
      <c r="DK132" s="1045">
        <f t="shared" si="409"/>
        <v>-0.15687732342007432</v>
      </c>
      <c r="DL132" s="1045">
        <f t="shared" si="409"/>
        <v>-0.17896174863387981</v>
      </c>
      <c r="DM132" s="101">
        <f t="shared" si="409"/>
        <v>5.1413881748072043E-2</v>
      </c>
      <c r="DN132" s="1045">
        <f t="shared" si="409"/>
        <v>-6.5923862581244164E-2</v>
      </c>
      <c r="DO132" s="1045">
        <f t="shared" si="409"/>
        <v>-0.2821869488536155</v>
      </c>
      <c r="DP132" s="1045">
        <f t="shared" si="409"/>
        <v>-0.13810316139767054</v>
      </c>
      <c r="DQ132" s="101">
        <f t="shared" si="409"/>
        <v>7.3349633251833524E-3</v>
      </c>
      <c r="DR132" s="1045">
        <f t="shared" si="409"/>
        <v>-4.5725646123260466E-2</v>
      </c>
      <c r="DS132" s="1045">
        <f t="shared" si="409"/>
        <v>0.46191646191646196</v>
      </c>
      <c r="DT132" s="1045">
        <f t="shared" si="409"/>
        <v>0.15830115830115821</v>
      </c>
      <c r="DU132" s="1045">
        <f t="shared" si="409"/>
        <v>0.2020631067961165</v>
      </c>
      <c r="DV132" s="1045">
        <f t="shared" si="409"/>
        <v>0.7427083333333333</v>
      </c>
      <c r="DW132" s="1045">
        <f t="shared" ref="DW132" ca="1" si="410">DW131/DS131-1</f>
        <v>0.31136314572313539</v>
      </c>
      <c r="DX132" s="1045">
        <f t="shared" ref="DX132" ca="1" si="411">DX131/DT131-1</f>
        <v>0.31776583212649645</v>
      </c>
      <c r="DY132" s="101">
        <f t="shared" ref="DY132" ca="1" si="412">DY131/DU131-1</f>
        <v>-0.14318660864133026</v>
      </c>
      <c r="DZ132" s="94"/>
    </row>
    <row r="133" spans="1:130" hidden="1" outlineLevel="1">
      <c r="A133" s="176" t="s">
        <v>499</v>
      </c>
      <c r="B133" s="94"/>
      <c r="C133" s="94"/>
      <c r="D133" s="195"/>
      <c r="E133" s="195"/>
      <c r="F133" s="94"/>
      <c r="G133" s="94">
        <v>0.24176113894015291</v>
      </c>
      <c r="H133" s="94">
        <v>0.31470629932422856</v>
      </c>
      <c r="I133" s="94">
        <v>0.29989781611653715</v>
      </c>
      <c r="J133" s="94">
        <v>0.19721344792967507</v>
      </c>
      <c r="K133" s="94">
        <v>0.17462552810139548</v>
      </c>
      <c r="L133" s="94">
        <v>0.18721233002814233</v>
      </c>
      <c r="M133" s="94">
        <v>0.21977350063802636</v>
      </c>
      <c r="N133" s="94">
        <v>0.21110384923662237</v>
      </c>
      <c r="O133" s="94">
        <v>0.24684941175386327</v>
      </c>
      <c r="P133" s="94">
        <v>0.2289772666521798</v>
      </c>
      <c r="Q133" s="1045">
        <v>0.20949282582955037</v>
      </c>
      <c r="R133" s="94">
        <v>0.18404766567324946</v>
      </c>
      <c r="S133" s="94"/>
      <c r="T133" s="1045"/>
      <c r="U133" s="94"/>
      <c r="V133" s="94"/>
      <c r="W133" s="94"/>
      <c r="X133" s="94"/>
      <c r="Y133" s="94"/>
      <c r="Z133" s="94"/>
      <c r="AA133" s="94"/>
      <c r="AB133" s="94"/>
      <c r="AC133" s="94"/>
      <c r="AD133" s="94"/>
      <c r="AE133" s="94"/>
      <c r="AF133" s="94"/>
      <c r="AG133" s="94"/>
      <c r="AH133" s="193"/>
      <c r="AI133" s="195"/>
      <c r="AJ133" s="195"/>
      <c r="AK133" s="195"/>
      <c r="AL133" s="195"/>
      <c r="AM133" s="195"/>
      <c r="AN133" s="195"/>
      <c r="AO133" s="195"/>
      <c r="AP133" s="182"/>
      <c r="AQ133" s="195"/>
      <c r="AR133" s="195"/>
      <c r="AS133" s="195"/>
      <c r="AT133" s="182"/>
      <c r="AU133" s="195"/>
      <c r="AV133" s="195"/>
      <c r="AW133" s="195"/>
      <c r="AX133" s="182"/>
      <c r="AY133" s="195"/>
      <c r="AZ133" s="195"/>
      <c r="BA133" s="195"/>
      <c r="BB133" s="147">
        <v>0.26664094153964885</v>
      </c>
      <c r="BC133" s="94">
        <v>0.32173342087984241</v>
      </c>
      <c r="BD133" s="94">
        <v>0.30947447730269356</v>
      </c>
      <c r="BE133" s="94">
        <v>0.359557928257001</v>
      </c>
      <c r="BF133" s="147">
        <v>0.34039958728074288</v>
      </c>
      <c r="BG133" s="94">
        <v>0.31367968603999252</v>
      </c>
      <c r="BH133" s="94">
        <v>0.22586835540203415</v>
      </c>
      <c r="BI133" s="94">
        <v>0.31857031857031859</v>
      </c>
      <c r="BJ133" s="147">
        <v>0.16437420739440053</v>
      </c>
      <c r="BK133" s="94">
        <v>0.19114491905597816</v>
      </c>
      <c r="BL133" s="94">
        <v>0.17179587066614727</v>
      </c>
      <c r="BM133" s="94">
        <v>0.26276574607589909</v>
      </c>
      <c r="BN133" s="147">
        <v>0.13118433132714474</v>
      </c>
      <c r="BO133" s="94">
        <v>0.17734343020875973</v>
      </c>
      <c r="BP133" s="94">
        <v>0.1796850879901204</v>
      </c>
      <c r="BQ133" s="94">
        <v>0.21048857933012394</v>
      </c>
      <c r="BR133" s="147">
        <v>0.13521780402911085</v>
      </c>
      <c r="BS133" s="94">
        <v>0.17488411293721029</v>
      </c>
      <c r="BT133" s="94">
        <v>0.18507619548081977</v>
      </c>
      <c r="BU133" s="94">
        <v>0.25333053603272843</v>
      </c>
      <c r="BV133" s="147">
        <v>0.20198569445927192</v>
      </c>
      <c r="BW133" s="94">
        <v>0.22784542085759663</v>
      </c>
      <c r="BX133" s="94">
        <v>0.22996294335627315</v>
      </c>
      <c r="BY133" s="94">
        <v>0.21914734480179507</v>
      </c>
      <c r="BZ133" s="469">
        <v>0.19914346895074947</v>
      </c>
      <c r="CA133" s="94">
        <v>0.21169870319848572</v>
      </c>
      <c r="CB133" s="94">
        <v>0.1920384847538279</v>
      </c>
      <c r="CC133" s="94">
        <v>0.24176215575569673</v>
      </c>
      <c r="CD133" s="147"/>
      <c r="CE133" s="94"/>
      <c r="CF133" s="94"/>
      <c r="CG133" s="94"/>
      <c r="CH133" s="147"/>
      <c r="CI133" s="94"/>
      <c r="CJ133" s="94"/>
      <c r="CK133" s="94"/>
      <c r="CL133" s="147"/>
      <c r="CM133" s="94"/>
      <c r="CN133" s="94"/>
      <c r="CO133" s="94"/>
      <c r="CP133" s="147"/>
      <c r="CQ133" s="94"/>
      <c r="CR133" s="94"/>
      <c r="CS133" s="94"/>
      <c r="CT133" s="147"/>
      <c r="CU133" s="94"/>
      <c r="CV133" s="94"/>
      <c r="CW133" s="101"/>
      <c r="CX133" s="94"/>
      <c r="CY133" s="94"/>
      <c r="CZ133" s="94"/>
      <c r="DA133" s="94"/>
      <c r="DB133" s="147"/>
      <c r="DC133" s="94"/>
      <c r="DD133" s="94"/>
      <c r="DE133" s="94"/>
      <c r="DF133" s="147"/>
      <c r="DG133" s="1045"/>
      <c r="DH133" s="1045"/>
      <c r="DI133" s="101"/>
      <c r="DJ133" s="147"/>
      <c r="DK133" s="1045"/>
      <c r="DL133" s="1045"/>
      <c r="DM133" s="101"/>
      <c r="DN133" s="1045"/>
      <c r="DO133" s="1045"/>
      <c r="DP133" s="1045"/>
      <c r="DQ133" s="101"/>
      <c r="DR133" s="1045"/>
      <c r="DS133" s="1045"/>
      <c r="DT133" s="1045"/>
      <c r="DU133" s="1045"/>
      <c r="DV133" s="1045"/>
      <c r="DW133" s="1045"/>
      <c r="DX133" s="1045"/>
      <c r="DY133" s="101"/>
      <c r="DZ133" s="94"/>
    </row>
    <row r="134" spans="1:130" hidden="1" outlineLevel="1">
      <c r="A134" s="762" t="s">
        <v>951</v>
      </c>
      <c r="B134" s="109"/>
      <c r="C134" s="109"/>
      <c r="D134" s="169"/>
      <c r="E134" s="169"/>
      <c r="F134" s="109"/>
      <c r="G134" s="109">
        <f>NormInputs!G127</f>
        <v>1497</v>
      </c>
      <c r="H134" s="109">
        <f>SUM(BB134:BE134)</f>
        <v>4322</v>
      </c>
      <c r="I134" s="109">
        <f>SUM(BF134:BI134)</f>
        <v>5006</v>
      </c>
      <c r="J134" s="109">
        <f>SUM(BJ134:BM134)</f>
        <v>4354</v>
      </c>
      <c r="K134" s="109">
        <f>SUM(BN134:BQ134)</f>
        <v>4590</v>
      </c>
      <c r="L134" s="109">
        <f>SUM(BR134:BU134)</f>
        <v>5633</v>
      </c>
      <c r="M134" s="109">
        <f>SUM(BV134:BY134)</f>
        <v>6484</v>
      </c>
      <c r="N134" s="109">
        <f t="shared" ref="N134:X134" si="413">N114</f>
        <v>6618</v>
      </c>
      <c r="O134" s="109">
        <f t="shared" si="413"/>
        <v>6503</v>
      </c>
      <c r="P134" s="109">
        <f t="shared" si="413"/>
        <v>6510</v>
      </c>
      <c r="Q134" s="1044">
        <f t="shared" si="413"/>
        <v>7152</v>
      </c>
      <c r="R134" s="109">
        <f t="shared" si="413"/>
        <v>8438</v>
      </c>
      <c r="S134" s="109">
        <f t="shared" si="413"/>
        <v>8973</v>
      </c>
      <c r="T134" s="1044">
        <f t="shared" si="413"/>
        <v>8857</v>
      </c>
      <c r="U134" s="109">
        <f t="shared" si="413"/>
        <v>9425</v>
      </c>
      <c r="V134" s="109">
        <f t="shared" si="413"/>
        <v>10515</v>
      </c>
      <c r="W134" s="109">
        <f>W114</f>
        <v>11725</v>
      </c>
      <c r="X134" s="109">
        <f t="shared" si="413"/>
        <v>11240</v>
      </c>
      <c r="Y134" s="109">
        <f t="shared" ref="Y134:Z134" si="414">Y114</f>
        <v>10628</v>
      </c>
      <c r="Z134" s="109">
        <f t="shared" ca="1" si="414"/>
        <v>8906.4523480695134</v>
      </c>
      <c r="AA134" s="109">
        <f ca="1">AA114</f>
        <v>11971.816370188671</v>
      </c>
      <c r="AB134" s="109">
        <f ca="1">AB114</f>
        <v>12165.382932009355</v>
      </c>
      <c r="AC134" s="109">
        <f t="shared" ref="AC134:AG134" ca="1" si="415">AC114</f>
        <v>12373.92195528193</v>
      </c>
      <c r="AD134" s="109">
        <f t="shared" ca="1" si="415"/>
        <v>12595.669303914367</v>
      </c>
      <c r="AE134" s="109">
        <f t="shared" ca="1" si="415"/>
        <v>12831.701873574641</v>
      </c>
      <c r="AF134" s="109">
        <f t="shared" ca="1" si="415"/>
        <v>13084.32525619944</v>
      </c>
      <c r="AG134" s="109">
        <f t="shared" ca="1" si="415"/>
        <v>13356.358738063651</v>
      </c>
      <c r="AH134" s="532"/>
      <c r="AI134" s="169"/>
      <c r="AJ134" s="169"/>
      <c r="AK134" s="169"/>
      <c r="AL134" s="169"/>
      <c r="AM134" s="169"/>
      <c r="AN134" s="169"/>
      <c r="AO134" s="169"/>
      <c r="AP134" s="178"/>
      <c r="AQ134" s="169"/>
      <c r="AR134" s="169"/>
      <c r="AS134" s="169"/>
      <c r="AT134" s="178"/>
      <c r="AU134" s="169"/>
      <c r="AV134" s="169"/>
      <c r="AW134" s="169"/>
      <c r="AX134" s="178"/>
      <c r="AY134" s="169"/>
      <c r="AZ134" s="169"/>
      <c r="BA134" s="169"/>
      <c r="BB134" s="171">
        <f>NormInputs!AR127</f>
        <v>473</v>
      </c>
      <c r="BC134" s="109">
        <f>NormInputs!AS127</f>
        <v>913</v>
      </c>
      <c r="BD134" s="109">
        <f>NormInputs!AT127</f>
        <v>992</v>
      </c>
      <c r="BE134" s="109">
        <f>NormInputs!AU127</f>
        <v>1944</v>
      </c>
      <c r="BF134" s="171">
        <f>NormInputs!AV127</f>
        <v>988</v>
      </c>
      <c r="BG134" s="109">
        <f>NormInputs!AW127</f>
        <v>1384</v>
      </c>
      <c r="BH134" s="109">
        <f>NormInputs!AX127</f>
        <v>970</v>
      </c>
      <c r="BI134" s="109">
        <f>NormInputs!AY127</f>
        <v>1664</v>
      </c>
      <c r="BJ134" s="171">
        <f>NormInputs!AZ127</f>
        <v>812</v>
      </c>
      <c r="BK134" s="109">
        <f>NormInputs!BA127</f>
        <v>1248</v>
      </c>
      <c r="BL134" s="109">
        <f>NormInputs!BB127</f>
        <v>921</v>
      </c>
      <c r="BM134" s="109">
        <f>NormInputs!BC127</f>
        <v>1373</v>
      </c>
      <c r="BN134" s="171">
        <f>NormInputs!BD127</f>
        <v>1107</v>
      </c>
      <c r="BO134" s="109">
        <f>NormInputs!BE127</f>
        <v>989</v>
      </c>
      <c r="BP134" s="109">
        <f>NormInputs!BF127</f>
        <v>983</v>
      </c>
      <c r="BQ134" s="109">
        <f>NormInputs!BG127</f>
        <v>1511</v>
      </c>
      <c r="BR134" s="171">
        <f>NormInputs!BH127</f>
        <v>1314</v>
      </c>
      <c r="BS134" s="109">
        <f>NormInputs!BI127</f>
        <v>1433</v>
      </c>
      <c r="BT134" s="109">
        <f>NormInputs!BJ127</f>
        <v>1374</v>
      </c>
      <c r="BU134" s="109">
        <f>NormInputs!BK127</f>
        <v>1512</v>
      </c>
      <c r="BV134" s="171">
        <f>NormInputs!BL127</f>
        <v>1641</v>
      </c>
      <c r="BW134" s="109">
        <f>NormInputs!BM127</f>
        <v>1698</v>
      </c>
      <c r="BX134" s="109">
        <f>NormInputs!BN127</f>
        <v>1623</v>
      </c>
      <c r="BY134" s="109">
        <f>NormInputs!BO127</f>
        <v>1522</v>
      </c>
      <c r="BZ134" s="205">
        <f>NormInputs!BP127</f>
        <v>1581</v>
      </c>
      <c r="CA134" s="109">
        <f>NormInputs!BQ127</f>
        <v>1597</v>
      </c>
      <c r="CB134" s="109">
        <f>NormInputs!BR127</f>
        <v>1623</v>
      </c>
      <c r="CC134" s="109">
        <f>NormInputs!BS127</f>
        <v>1817</v>
      </c>
      <c r="CD134" s="171">
        <f>NormInputs!BT127</f>
        <v>1721</v>
      </c>
      <c r="CE134" s="109">
        <f>NormInputs!BU127</f>
        <v>1667</v>
      </c>
      <c r="CF134" s="109">
        <f>NormInputs!BV127</f>
        <v>1515</v>
      </c>
      <c r="CG134" s="109">
        <f>NormInputs!BW127</f>
        <v>1600</v>
      </c>
      <c r="CH134" s="171">
        <f>NormInputs!BX127</f>
        <v>1722</v>
      </c>
      <c r="CI134" s="109">
        <f>NormInputs!BY127</f>
        <v>1528</v>
      </c>
      <c r="CJ134" s="109">
        <f>NormInputs!BZ127</f>
        <v>1473</v>
      </c>
      <c r="CK134" s="109">
        <f>NormInputs!CA127</f>
        <v>1787</v>
      </c>
      <c r="CL134" s="171">
        <f>NormInputs!CB127</f>
        <v>1551</v>
      </c>
      <c r="CM134" s="109">
        <f>NormInputs!CC127</f>
        <v>1783</v>
      </c>
      <c r="CN134" s="109">
        <f>NormInputs!CD127</f>
        <v>1800</v>
      </c>
      <c r="CO134" s="109">
        <f>NormInputs!CE127</f>
        <v>2018</v>
      </c>
      <c r="CP134" s="171">
        <f>NormInputs!CF127</f>
        <v>1770</v>
      </c>
      <c r="CQ134" s="109">
        <f>NormInputs!CG127</f>
        <v>2262</v>
      </c>
      <c r="CR134" s="109">
        <f>NormInputs!CH127</f>
        <v>2173</v>
      </c>
      <c r="CS134" s="109">
        <f>NormInputs!CI127</f>
        <v>2233</v>
      </c>
      <c r="CT134" s="171">
        <f>NormInputs!CJ127</f>
        <v>2735</v>
      </c>
      <c r="CU134" s="109">
        <f>NormInputs!CK127</f>
        <v>2667</v>
      </c>
      <c r="CV134" s="109">
        <f>NormInputs!CL127</f>
        <v>1784</v>
      </c>
      <c r="CW134" s="172">
        <f>NormInputs!CM127</f>
        <v>1787</v>
      </c>
      <c r="CX134" s="109">
        <f>NormInputs!CN127</f>
        <v>1885</v>
      </c>
      <c r="CY134" s="109">
        <f>NormInputs!CO127</f>
        <v>2048</v>
      </c>
      <c r="CZ134" s="109">
        <f>NormInputs!CP127</f>
        <v>2133</v>
      </c>
      <c r="DA134" s="109">
        <f>NormInputs!CQ127</f>
        <v>2791</v>
      </c>
      <c r="DB134" s="171">
        <f>NormInputs!CR127</f>
        <v>1992</v>
      </c>
      <c r="DC134" s="109">
        <f>NormInputs!CS127</f>
        <v>2278</v>
      </c>
      <c r="DD134" s="109">
        <f>NormInputs!CT127</f>
        <v>2450</v>
      </c>
      <c r="DE134" s="109">
        <f>NormInputs!CU127</f>
        <v>2705</v>
      </c>
      <c r="DF134" s="171">
        <f>NormInputs!CV127</f>
        <v>2554</v>
      </c>
      <c r="DG134" s="1044">
        <f>NormInputs!CW127</f>
        <v>2771</v>
      </c>
      <c r="DH134" s="1044">
        <f>NormInputs!CX127</f>
        <v>2483</v>
      </c>
      <c r="DI134" s="172">
        <f>NormInputs!CY127</f>
        <v>2707</v>
      </c>
      <c r="DJ134" s="171">
        <f>NormInputs!CZ127</f>
        <v>2419</v>
      </c>
      <c r="DK134" s="1044">
        <f>NormInputs!DA127</f>
        <v>3126</v>
      </c>
      <c r="DL134" s="1044">
        <f>NormInputs!DB127</f>
        <v>2921</v>
      </c>
      <c r="DM134" s="172">
        <f>NormInputs!DC127</f>
        <v>3259</v>
      </c>
      <c r="DN134" s="1044">
        <f>NormInputs!DD127</f>
        <v>2190</v>
      </c>
      <c r="DO134" s="1044">
        <f>NormInputs!DE127</f>
        <v>2815</v>
      </c>
      <c r="DP134" s="1044">
        <f>NormInputs!DF127</f>
        <v>2771</v>
      </c>
      <c r="DQ134" s="172">
        <f>NormInputs!DG127</f>
        <v>3464</v>
      </c>
      <c r="DR134" s="1044">
        <f>NormInputs!DH127</f>
        <v>1831</v>
      </c>
      <c r="DS134" s="1044">
        <f>NormInputs!DI127</f>
        <v>2444</v>
      </c>
      <c r="DT134" s="1044">
        <f>NormInputs!DJ127</f>
        <v>2970</v>
      </c>
      <c r="DU134" s="1044">
        <f>NormInputs!DK127</f>
        <v>3383</v>
      </c>
      <c r="DV134" s="1044">
        <f>NormInputs!DL127</f>
        <v>2367</v>
      </c>
      <c r="DW134" s="1044">
        <f t="shared" ref="DW134:DY134" ca="1" si="416">DW114</f>
        <v>2160.2546911785289</v>
      </c>
      <c r="DX134" s="1044">
        <f t="shared" ca="1" si="416"/>
        <v>2189.5444932167957</v>
      </c>
      <c r="DY134" s="172">
        <f t="shared" ca="1" si="416"/>
        <v>2189.6531636741884</v>
      </c>
      <c r="DZ134" s="109"/>
    </row>
    <row r="135" spans="1:130" hidden="1" outlineLevel="1">
      <c r="A135" s="176" t="s">
        <v>991</v>
      </c>
      <c r="B135" s="94"/>
      <c r="C135" s="94"/>
      <c r="D135" s="195"/>
      <c r="E135" s="195"/>
      <c r="F135" s="94"/>
      <c r="G135" s="94"/>
      <c r="H135" s="94">
        <f t="shared" ref="H135:AB135" si="417">H134/G134-1</f>
        <v>1.8871075484301936</v>
      </c>
      <c r="I135" s="94">
        <f t="shared" si="417"/>
        <v>0.1582600647848218</v>
      </c>
      <c r="J135" s="94">
        <f t="shared" si="417"/>
        <v>-0.13024370755093884</v>
      </c>
      <c r="K135" s="94">
        <f t="shared" si="417"/>
        <v>5.4203031694993076E-2</v>
      </c>
      <c r="L135" s="94">
        <f t="shared" si="417"/>
        <v>0.22723311546840952</v>
      </c>
      <c r="M135" s="94">
        <f t="shared" si="417"/>
        <v>0.15107402804899706</v>
      </c>
      <c r="N135" s="94">
        <f t="shared" si="417"/>
        <v>2.0666255397902455E-2</v>
      </c>
      <c r="O135" s="94">
        <f t="shared" si="417"/>
        <v>-1.7376851012390504E-2</v>
      </c>
      <c r="P135" s="94">
        <f t="shared" si="417"/>
        <v>1.0764262648008671E-3</v>
      </c>
      <c r="Q135" s="1045">
        <f t="shared" si="417"/>
        <v>9.8617511520737278E-2</v>
      </c>
      <c r="R135" s="94">
        <f t="shared" si="417"/>
        <v>0.17980984340044737</v>
      </c>
      <c r="S135" s="94">
        <f t="shared" si="417"/>
        <v>6.3403650154064906E-2</v>
      </c>
      <c r="T135" s="1045">
        <f t="shared" si="417"/>
        <v>-1.2927671904602644E-2</v>
      </c>
      <c r="U135" s="94">
        <f t="shared" si="417"/>
        <v>6.4130066613977688E-2</v>
      </c>
      <c r="V135" s="94">
        <f t="shared" si="417"/>
        <v>0.1156498673740054</v>
      </c>
      <c r="W135" s="94">
        <f>W134/V134-1</f>
        <v>0.11507370423204955</v>
      </c>
      <c r="X135" s="94">
        <f t="shared" si="417"/>
        <v>-4.136460554371002E-2</v>
      </c>
      <c r="Y135" s="94">
        <f t="shared" si="417"/>
        <v>-5.4448398576512402E-2</v>
      </c>
      <c r="Z135" s="94">
        <f t="shared" ca="1" si="417"/>
        <v>-0.16198227812669241</v>
      </c>
      <c r="AA135" s="94">
        <f t="shared" ca="1" si="417"/>
        <v>0.34417340399104934</v>
      </c>
      <c r="AB135" s="94">
        <f t="shared" ca="1" si="417"/>
        <v>1.6168520785424745E-2</v>
      </c>
      <c r="AC135" s="94">
        <f t="shared" ref="AC135" ca="1" si="418">AC134/AB134-1</f>
        <v>1.7142002388093491E-2</v>
      </c>
      <c r="AD135" s="94">
        <f t="shared" ref="AD135" ca="1" si="419">AD134/AC134-1</f>
        <v>1.7920538810072273E-2</v>
      </c>
      <c r="AE135" s="94">
        <f t="shared" ref="AE135" ca="1" si="420">AE134/AD134-1</f>
        <v>1.8739184394665154E-2</v>
      </c>
      <c r="AF135" s="94">
        <f t="shared" ref="AF135" ca="1" si="421">AF134/AE134-1</f>
        <v>1.9687441706002229E-2</v>
      </c>
      <c r="AG135" s="94">
        <f t="shared" ref="AG135" ca="1" si="422">AG134/AF134-1</f>
        <v>2.0790791770887829E-2</v>
      </c>
      <c r="AH135" s="193"/>
      <c r="AI135" s="195"/>
      <c r="AJ135" s="195"/>
      <c r="AK135" s="195"/>
      <c r="AL135" s="195"/>
      <c r="AM135" s="195"/>
      <c r="AN135" s="195"/>
      <c r="AO135" s="195"/>
      <c r="AP135" s="182"/>
      <c r="AQ135" s="195"/>
      <c r="AR135" s="195"/>
      <c r="AS135" s="195"/>
      <c r="AT135" s="182"/>
      <c r="AU135" s="195"/>
      <c r="AV135" s="195"/>
      <c r="AW135" s="195"/>
      <c r="AX135" s="182"/>
      <c r="AY135" s="195"/>
      <c r="AZ135" s="195"/>
      <c r="BA135" s="195"/>
      <c r="BB135" s="182"/>
      <c r="BC135" s="195"/>
      <c r="BD135" s="195"/>
      <c r="BE135" s="195"/>
      <c r="BF135" s="147">
        <f t="shared" ref="BF135:CK135" si="423">BF134/BB134-1</f>
        <v>1.0887949260042284</v>
      </c>
      <c r="BG135" s="94">
        <f t="shared" si="423"/>
        <v>0.51588170865279293</v>
      </c>
      <c r="BH135" s="94">
        <f t="shared" si="423"/>
        <v>-2.2177419354838745E-2</v>
      </c>
      <c r="BI135" s="94">
        <f t="shared" si="423"/>
        <v>-0.1440329218106996</v>
      </c>
      <c r="BJ135" s="147">
        <f t="shared" si="423"/>
        <v>-0.17813765182186236</v>
      </c>
      <c r="BK135" s="94">
        <f t="shared" si="423"/>
        <v>-9.8265895953757232E-2</v>
      </c>
      <c r="BL135" s="94">
        <f t="shared" si="423"/>
        <v>-5.0515463917525816E-2</v>
      </c>
      <c r="BM135" s="94">
        <f t="shared" si="423"/>
        <v>-0.17487980769230771</v>
      </c>
      <c r="BN135" s="147">
        <f t="shared" si="423"/>
        <v>0.36330049261083741</v>
      </c>
      <c r="BO135" s="94">
        <f t="shared" si="423"/>
        <v>-0.20753205128205132</v>
      </c>
      <c r="BP135" s="94">
        <f t="shared" si="423"/>
        <v>6.7318132464712299E-2</v>
      </c>
      <c r="BQ135" s="94">
        <f t="shared" si="423"/>
        <v>0.10050983248361245</v>
      </c>
      <c r="BR135" s="147">
        <f t="shared" si="423"/>
        <v>0.18699186991869921</v>
      </c>
      <c r="BS135" s="94">
        <f t="shared" si="423"/>
        <v>0.44893832153690605</v>
      </c>
      <c r="BT135" s="94">
        <f t="shared" si="423"/>
        <v>0.39776195320447605</v>
      </c>
      <c r="BU135" s="94">
        <f t="shared" si="423"/>
        <v>6.6181336863002649E-4</v>
      </c>
      <c r="BV135" s="147">
        <f t="shared" si="423"/>
        <v>0.24885844748858443</v>
      </c>
      <c r="BW135" s="94">
        <f t="shared" si="423"/>
        <v>0.1849267271458479</v>
      </c>
      <c r="BX135" s="94">
        <f t="shared" si="423"/>
        <v>0.18122270742358082</v>
      </c>
      <c r="BY135" s="94">
        <f t="shared" si="423"/>
        <v>6.6137566137565162E-3</v>
      </c>
      <c r="BZ135" s="469">
        <f t="shared" si="423"/>
        <v>-3.656307129798908E-2</v>
      </c>
      <c r="CA135" s="94">
        <f t="shared" si="423"/>
        <v>-5.9481743227326245E-2</v>
      </c>
      <c r="CB135" s="94">
        <f t="shared" si="423"/>
        <v>0</v>
      </c>
      <c r="CC135" s="94">
        <f t="shared" si="423"/>
        <v>0.19382391590013137</v>
      </c>
      <c r="CD135" s="147">
        <f t="shared" si="423"/>
        <v>8.8551549652118977E-2</v>
      </c>
      <c r="CE135" s="94">
        <f t="shared" si="423"/>
        <v>4.3832185347526531E-2</v>
      </c>
      <c r="CF135" s="94">
        <f t="shared" si="423"/>
        <v>-6.6543438077633965E-2</v>
      </c>
      <c r="CG135" s="94">
        <f t="shared" si="423"/>
        <v>-0.11942762795817286</v>
      </c>
      <c r="CH135" s="147">
        <f t="shared" si="423"/>
        <v>5.8105752469495009E-4</v>
      </c>
      <c r="CI135" s="94">
        <f t="shared" si="423"/>
        <v>-8.3383323335332937E-2</v>
      </c>
      <c r="CJ135" s="94">
        <f t="shared" si="423"/>
        <v>-2.7722772277227747E-2</v>
      </c>
      <c r="CK135" s="94">
        <f t="shared" si="423"/>
        <v>0.11687500000000006</v>
      </c>
      <c r="CL135" s="147">
        <f t="shared" ref="CL135:DV135" si="424">CL134/CH134-1</f>
        <v>-9.9303135888501703E-2</v>
      </c>
      <c r="CM135" s="94">
        <f t="shared" si="424"/>
        <v>0.16688481675392675</v>
      </c>
      <c r="CN135" s="94">
        <f t="shared" si="424"/>
        <v>0.22199592668024448</v>
      </c>
      <c r="CO135" s="94">
        <f t="shared" si="424"/>
        <v>0.12926692781197535</v>
      </c>
      <c r="CP135" s="147">
        <f t="shared" si="424"/>
        <v>0.14119922630560922</v>
      </c>
      <c r="CQ135" s="94">
        <f t="shared" si="424"/>
        <v>0.26864834548513739</v>
      </c>
      <c r="CR135" s="94">
        <f t="shared" si="424"/>
        <v>0.2072222222222222</v>
      </c>
      <c r="CS135" s="94">
        <f t="shared" si="424"/>
        <v>0.10654112983151642</v>
      </c>
      <c r="CT135" s="147">
        <f t="shared" si="424"/>
        <v>0.54519774011299438</v>
      </c>
      <c r="CU135" s="94">
        <f t="shared" si="424"/>
        <v>0.17904509283819636</v>
      </c>
      <c r="CV135" s="94">
        <f t="shared" si="424"/>
        <v>-0.17901518637827885</v>
      </c>
      <c r="CW135" s="101">
        <f t="shared" si="424"/>
        <v>-0.19973130317957899</v>
      </c>
      <c r="CX135" s="94">
        <f t="shared" si="424"/>
        <v>-0.31078610603290679</v>
      </c>
      <c r="CY135" s="94">
        <f t="shared" si="424"/>
        <v>-0.23209598800149978</v>
      </c>
      <c r="CZ135" s="94">
        <f t="shared" si="424"/>
        <v>0.19562780269058289</v>
      </c>
      <c r="DA135" s="94">
        <f t="shared" si="424"/>
        <v>0.56183547845551196</v>
      </c>
      <c r="DB135" s="147">
        <f t="shared" si="424"/>
        <v>5.6763925729442999E-2</v>
      </c>
      <c r="DC135" s="94">
        <f t="shared" si="424"/>
        <v>0.1123046875</v>
      </c>
      <c r="DD135" s="94">
        <f t="shared" si="424"/>
        <v>0.14861697140178154</v>
      </c>
      <c r="DE135" s="94">
        <f t="shared" si="424"/>
        <v>-3.0813328556073105E-2</v>
      </c>
      <c r="DF135" s="147">
        <f t="shared" si="424"/>
        <v>0.28212851405622486</v>
      </c>
      <c r="DG135" s="1045">
        <f t="shared" si="424"/>
        <v>0.21641791044776126</v>
      </c>
      <c r="DH135" s="1045">
        <f t="shared" si="424"/>
        <v>1.346938775510198E-2</v>
      </c>
      <c r="DI135" s="101">
        <f t="shared" si="424"/>
        <v>7.3937153419589841E-4</v>
      </c>
      <c r="DJ135" s="147">
        <f t="shared" si="424"/>
        <v>-5.2858261550508989E-2</v>
      </c>
      <c r="DK135" s="1045">
        <f t="shared" si="424"/>
        <v>0.12811259473114389</v>
      </c>
      <c r="DL135" s="1045">
        <f t="shared" si="424"/>
        <v>0.17639951671365295</v>
      </c>
      <c r="DM135" s="101">
        <f t="shared" si="424"/>
        <v>0.20391577391946814</v>
      </c>
      <c r="DN135" s="1045">
        <f t="shared" si="424"/>
        <v>-9.4667217858619312E-2</v>
      </c>
      <c r="DO135" s="1045">
        <f t="shared" si="424"/>
        <v>-9.9488163787587958E-2</v>
      </c>
      <c r="DP135" s="1045">
        <f t="shared" si="424"/>
        <v>-5.1352276617596671E-2</v>
      </c>
      <c r="DQ135" s="101">
        <f t="shared" si="424"/>
        <v>6.2902730899048853E-2</v>
      </c>
      <c r="DR135" s="1045">
        <f t="shared" si="424"/>
        <v>-0.16392694063926938</v>
      </c>
      <c r="DS135" s="1045">
        <f t="shared" si="424"/>
        <v>-0.1317939609236235</v>
      </c>
      <c r="DT135" s="1045">
        <f t="shared" si="424"/>
        <v>7.1815229159148286E-2</v>
      </c>
      <c r="DU135" s="1045">
        <f t="shared" si="424"/>
        <v>-2.3383371824480359E-2</v>
      </c>
      <c r="DV135" s="1045">
        <f t="shared" si="424"/>
        <v>0.29273620972146364</v>
      </c>
      <c r="DW135" s="1045">
        <f t="shared" ref="DW135" ca="1" si="425">DW134/DS134-1</f>
        <v>-0.11609873519700131</v>
      </c>
      <c r="DX135" s="1045">
        <f t="shared" ref="DX135" ca="1" si="426">DX134/DT134-1</f>
        <v>-0.26277963191353682</v>
      </c>
      <c r="DY135" s="101">
        <f t="shared" ref="DY135" ca="1" si="427">DY134/DU134-1</f>
        <v>-0.35274810414596858</v>
      </c>
      <c r="DZ135" s="94"/>
    </row>
    <row r="136" spans="1:130" hidden="1" outlineLevel="1">
      <c r="A136" s="176" t="s">
        <v>499</v>
      </c>
      <c r="B136" s="94"/>
      <c r="C136" s="94"/>
      <c r="D136" s="195"/>
      <c r="E136" s="195"/>
      <c r="F136" s="94"/>
      <c r="G136" s="94">
        <f>G134/Wless!G14</f>
        <v>0.11216843998201709</v>
      </c>
      <c r="H136" s="94">
        <f>H134/Wless!H14</f>
        <v>0.2784434995490272</v>
      </c>
      <c r="I136" s="94">
        <f>I134/Wless!I14</f>
        <v>0.28781693784855977</v>
      </c>
      <c r="J136" s="94">
        <f>J134/Wless!J14</f>
        <v>0.22359163970625995</v>
      </c>
      <c r="K136" s="94">
        <f>K134/Wless!K14</f>
        <v>0.20409978211570101</v>
      </c>
      <c r="L136" s="94">
        <f>L134/Wless!L14</f>
        <v>0.20363675800737474</v>
      </c>
      <c r="M136" s="94">
        <f>M134/Wless!M14</f>
        <v>0.20073681929352033</v>
      </c>
      <c r="N136" s="94">
        <f>N134/Wless!N14</f>
        <v>0.15084509494283271</v>
      </c>
      <c r="O136" s="94">
        <f>O134/Wless!O14</f>
        <v>0.12834958772407148</v>
      </c>
      <c r="P136" s="94">
        <f>P134/Wless!P10</f>
        <v>0.15269145068605605</v>
      </c>
      <c r="Q136" s="1045">
        <f>Q134/Wless!Q10</f>
        <v>0.13741690043423127</v>
      </c>
      <c r="R136" s="94">
        <f>R134/Wless!R25</f>
        <v>0.15168347444678135</v>
      </c>
      <c r="S136" s="94">
        <f>S134/Wless!S25</f>
        <v>0.15168111973223794</v>
      </c>
      <c r="T136" s="1045">
        <f>T134/Wless!T25</f>
        <v>0.13897039210456122</v>
      </c>
      <c r="U136" s="94">
        <f>U134/Wless!U25</f>
        <v>0.13652890646502397</v>
      </c>
      <c r="V136" s="94">
        <f>V134/Wless!V25</f>
        <v>0.14477488641057415</v>
      </c>
      <c r="W136" s="94">
        <f>W134/Wless!W25</f>
        <v>0.16655775896357747</v>
      </c>
      <c r="X136" s="94">
        <f>X134/Wless!X25</f>
        <v>0.16881946530489636</v>
      </c>
      <c r="Y136" s="94">
        <f>Y134/Wless!Y25</f>
        <v>0.16837502574420557</v>
      </c>
      <c r="Z136" s="94">
        <f ca="1">Z134/Wless!Z25</f>
        <v>0.14339256072049519</v>
      </c>
      <c r="AA136" s="94">
        <f ca="1">AA134/Wless!AA25</f>
        <v>0.19</v>
      </c>
      <c r="AB136" s="94">
        <f ca="1">AB134/Wless!AB25</f>
        <v>0.19</v>
      </c>
      <c r="AC136" s="94">
        <f ca="1">AC134/Wless!AC25</f>
        <v>0.19</v>
      </c>
      <c r="AD136" s="94">
        <f ca="1">AD134/Wless!AD25</f>
        <v>0.19</v>
      </c>
      <c r="AE136" s="94">
        <f ca="1">AE134/Wless!AE25</f>
        <v>0.19</v>
      </c>
      <c r="AF136" s="94">
        <f ca="1">AF134/Wless!AF25</f>
        <v>0.19</v>
      </c>
      <c r="AG136" s="94">
        <f ca="1">AG134/Wless!AG25</f>
        <v>0.19</v>
      </c>
      <c r="AH136" s="193"/>
      <c r="AI136" s="195"/>
      <c r="AJ136" s="195"/>
      <c r="AK136" s="195"/>
      <c r="AL136" s="195"/>
      <c r="AM136" s="195"/>
      <c r="AN136" s="195"/>
      <c r="AO136" s="195"/>
      <c r="AP136" s="182"/>
      <c r="AQ136" s="195"/>
      <c r="AR136" s="195"/>
      <c r="AS136" s="195"/>
      <c r="AT136" s="182"/>
      <c r="AU136" s="195"/>
      <c r="AV136" s="195"/>
      <c r="AW136" s="195"/>
      <c r="AX136" s="182"/>
      <c r="AY136" s="195"/>
      <c r="AZ136" s="195"/>
      <c r="BA136" s="195"/>
      <c r="BB136" s="147">
        <f>BB134/Wless!BB14</f>
        <v>0.13710144927536233</v>
      </c>
      <c r="BC136" s="94">
        <f>BC134/Wless!BC14</f>
        <v>0.23102226720647773</v>
      </c>
      <c r="BD136" s="94">
        <f>BD134/Wless!BD14</f>
        <v>0.24578790882061446</v>
      </c>
      <c r="BE136" s="94">
        <f>BE134/Wless!BE14</f>
        <v>0.47600391772771794</v>
      </c>
      <c r="BF136" s="147">
        <f>BF134/Wless!BF14</f>
        <v>0.24419179436480473</v>
      </c>
      <c r="BG136" s="94">
        <f>BG134/Wless!BG14</f>
        <v>0.31576545744923568</v>
      </c>
      <c r="BH136" s="94">
        <f>BH134/Wless!BH14</f>
        <v>0.21455430214554302</v>
      </c>
      <c r="BI136" s="94">
        <f>BI134/Wless!BI14</f>
        <v>0.3745217195588566</v>
      </c>
      <c r="BJ136" s="147">
        <f>BJ134/Wless!BJ14</f>
        <v>0.18329571106094808</v>
      </c>
      <c r="BK136" s="94">
        <f>BK134/Wless!BK14</f>
        <v>0.2604884157795867</v>
      </c>
      <c r="BL136" s="94">
        <f>BL134/Wless!BL14</f>
        <v>0.18313780075561742</v>
      </c>
      <c r="BM136" s="94">
        <f>BM134/Wless!BM14</f>
        <v>0.26287574191077923</v>
      </c>
      <c r="BN136" s="147">
        <f>BN134/Wless!BN14</f>
        <v>0.21765631144317735</v>
      </c>
      <c r="BO136" s="94">
        <f>BO134/Wless!BO14</f>
        <v>0.18057330655468323</v>
      </c>
      <c r="BP136" s="94">
        <f>BP134/Wless!BP14</f>
        <v>0.16543251430494782</v>
      </c>
      <c r="BQ136" s="94">
        <f>BQ134/Wless!BQ14</f>
        <v>0.25250668449197861</v>
      </c>
      <c r="BR136" s="147">
        <f>BR134/Wless!BR14</f>
        <v>0.21324245374878287</v>
      </c>
      <c r="BS136" s="94">
        <f>BS134/Wless!BS14</f>
        <v>0.20928873959398275</v>
      </c>
      <c r="BT136" s="94">
        <f>BT134/Wless!BT14</f>
        <v>0.18793598686910135</v>
      </c>
      <c r="BU136" s="94">
        <f>BU134/Wless!BU14</f>
        <v>0.2059384363933533</v>
      </c>
      <c r="BV136" s="147">
        <f>BV134/Wless!BV14</f>
        <v>0.22121865732003235</v>
      </c>
      <c r="BW136" s="94">
        <f>BW134/Wless!BW14</f>
        <v>0.21641600815702269</v>
      </c>
      <c r="BX136" s="94">
        <f>BX134/Wless!BX14</f>
        <v>0.19434798227757155</v>
      </c>
      <c r="BY136" s="94">
        <f>BY134/Wless!BY14</f>
        <v>0.17522449919410546</v>
      </c>
      <c r="BZ136" s="469">
        <f>BZ134/Wless!BZ14</f>
        <v>0.17939407693180529</v>
      </c>
      <c r="CA136" s="94">
        <f>CA134/Wless!CA14</f>
        <v>0.1724249622111855</v>
      </c>
      <c r="CB136" s="94">
        <f>CB134/Wless!CB14</f>
        <v>0.16445435201134867</v>
      </c>
      <c r="CC136" s="94">
        <f>CC134/Wless!CC14</f>
        <v>0.17991880384196454</v>
      </c>
      <c r="CD136" s="147">
        <f>CD134/Wless!CD10</f>
        <v>0.1914136358580803</v>
      </c>
      <c r="CE136" s="94">
        <f>CE134/Wless!CE10</f>
        <v>0.1773027015528611</v>
      </c>
      <c r="CF136" s="94">
        <f>CF134/Wless!CF10</f>
        <v>0.15540055390296439</v>
      </c>
      <c r="CG136" s="94">
        <f>CG134/Wless!CG10</f>
        <v>0.16204172574437917</v>
      </c>
      <c r="CH136" s="147">
        <f>CH134/Wless!CH10</f>
        <v>0.1697387875800887</v>
      </c>
      <c r="CI136" s="94">
        <f>CI134/Wless!CI10</f>
        <v>0.14563476934807473</v>
      </c>
      <c r="CJ136" s="94">
        <f>CJ134/Wless!CJ10</f>
        <v>0.1347050754458162</v>
      </c>
      <c r="CK136" s="94">
        <f>CK134/Wless!CK10</f>
        <v>0.16152942239898763</v>
      </c>
      <c r="CL136" s="147">
        <f>CL134/Wless!CL25</f>
        <v>0.1218860510805501</v>
      </c>
      <c r="CM136" s="94">
        <f>CM134/Wless!CM25</f>
        <v>0.13726999769035336</v>
      </c>
      <c r="CN136" s="94">
        <f>CN134/Wless!CN25</f>
        <v>0.13689253935660506</v>
      </c>
      <c r="CO136" s="94">
        <f>CO134/Wless!CO25</f>
        <v>0.15307593112341653</v>
      </c>
      <c r="CP136" s="147">
        <f>CP134/Wless!CP25</f>
        <v>0.13144215060151493</v>
      </c>
      <c r="CQ136" s="94">
        <f>CQ134/Wless!CQ25</f>
        <v>0.16388929140704245</v>
      </c>
      <c r="CR136" s="94">
        <f>CR134/Wless!CR25</f>
        <v>0.15337380011293056</v>
      </c>
      <c r="CS136" s="94">
        <f>CS134/Wless!CS25</f>
        <v>0.15733107870076798</v>
      </c>
      <c r="CT136" s="147">
        <f>CT134/Wless!CT25</f>
        <v>0.19111173223394592</v>
      </c>
      <c r="CU136" s="94">
        <f>CU134/Wless!CU25</f>
        <v>0.18134221799143266</v>
      </c>
      <c r="CV136" s="94">
        <f>CV134/Wless!CV25</f>
        <v>0.11867225437371116</v>
      </c>
      <c r="CW136" s="101">
        <f>CW134/Wless!CW25</f>
        <v>0.11829736528531709</v>
      </c>
      <c r="CX136" s="94">
        <f>CX134/Wless!CX25</f>
        <v>0.12232316677482155</v>
      </c>
      <c r="CY136" s="94">
        <f>CY134/Wless!CY25</f>
        <v>0.12981744421906694</v>
      </c>
      <c r="CZ136" s="94">
        <f>CZ134/Wless!CZ25</f>
        <v>0.13204159960381329</v>
      </c>
      <c r="DA136" s="94">
        <f>DA134/Wless!DA25</f>
        <v>0.17025559690111633</v>
      </c>
      <c r="DB136" s="147">
        <f>DB134/Wless!DB25</f>
        <v>0.11908177905308465</v>
      </c>
      <c r="DC136" s="94">
        <f>DC134/Wless!DC25</f>
        <v>0.1333879845415154</v>
      </c>
      <c r="DD136" s="94">
        <f>DD134/Wless!DD25</f>
        <v>0.13987211692167162</v>
      </c>
      <c r="DE136" s="94">
        <f>DE134/Wless!DE25</f>
        <v>0.15272994184405173</v>
      </c>
      <c r="DF136" s="147">
        <f>DF134/Wless!DF25</f>
        <v>0.14199143826096625</v>
      </c>
      <c r="DG136" s="1045">
        <f>DG134/Wless!DG25</f>
        <v>0.15328023011395067</v>
      </c>
      <c r="DH136" s="1045">
        <f>DH134/Wless!DH25</f>
        <v>0.13526912181303116</v>
      </c>
      <c r="DI136" s="101">
        <f>DI134/Wless!DI25</f>
        <v>0.148662749189961</v>
      </c>
      <c r="DJ136" s="147">
        <f>DJ134/Wless!DJ25</f>
        <v>0.13503405157977003</v>
      </c>
      <c r="DK136" s="1045">
        <f>DK134/Wless!DK25</f>
        <v>0.17671999547741535</v>
      </c>
      <c r="DL136" s="1045">
        <f>DL134/Wless!DL25</f>
        <v>0.16598477099670417</v>
      </c>
      <c r="DM136" s="101">
        <f>DM134/Wless!DM25</f>
        <v>0.18953184065135215</v>
      </c>
      <c r="DN136" s="1045">
        <f>DN134/Wless!DN25</f>
        <v>0.13028734606460823</v>
      </c>
      <c r="DO136" s="1045">
        <f>DO134/Wless!DO25</f>
        <v>0.16815005077354997</v>
      </c>
      <c r="DP136" s="1045">
        <f>DP134/Wless!DP25</f>
        <v>0.1660872692399904</v>
      </c>
      <c r="DQ136" s="101">
        <f>DQ134/Wless!DQ25</f>
        <v>0.21191728863330478</v>
      </c>
      <c r="DR136" s="1045">
        <f>DR134/Wless!DR25</f>
        <v>0.11604766130054506</v>
      </c>
      <c r="DS136" s="1045">
        <f>DS134/Wless!DS25</f>
        <v>0.15644603763922674</v>
      </c>
      <c r="DT136" s="1045">
        <f>DT134/Wless!DT25</f>
        <v>0.18748816362603371</v>
      </c>
      <c r="DU136" s="1045">
        <f>DU134/Wless!DU25</f>
        <v>0.2130352644836272</v>
      </c>
      <c r="DV136" s="1045">
        <f>DV134/Wless!DV25</f>
        <v>0.15368134008570317</v>
      </c>
      <c r="DW136" s="1045">
        <f ca="1">DW134/Wless!DW25</f>
        <v>0.14000000000000001</v>
      </c>
      <c r="DX136" s="1045">
        <f ca="1">DX134/Wless!DX25</f>
        <v>0.14000000000000001</v>
      </c>
      <c r="DY136" s="101">
        <f ca="1">DY134/Wless!DY25</f>
        <v>0.14000000000000001</v>
      </c>
      <c r="DZ136" s="94"/>
    </row>
    <row r="137" spans="1:130" hidden="1" outlineLevel="1">
      <c r="A137" s="762" t="s">
        <v>953</v>
      </c>
      <c r="B137" s="109"/>
      <c r="C137" s="109"/>
      <c r="D137" s="169"/>
      <c r="E137" s="169"/>
      <c r="F137" s="109"/>
      <c r="G137" s="109">
        <f>NormInputs!G128</f>
        <v>521</v>
      </c>
      <c r="H137" s="109">
        <f>SUM(BB137:BE137)</f>
        <v>586</v>
      </c>
      <c r="I137" s="109">
        <f>SUM(BF137:BI137)</f>
        <v>704</v>
      </c>
      <c r="J137" s="109">
        <f>SUM(BJ137:BM137)</f>
        <v>532</v>
      </c>
      <c r="K137" s="109">
        <f>SUM(BN137:BQ137)</f>
        <v>358</v>
      </c>
      <c r="L137" s="109">
        <f>SUM(BR137:BU137)</f>
        <v>382</v>
      </c>
      <c r="M137" s="109">
        <f>SUM(BV137:BY137)</f>
        <v>283</v>
      </c>
      <c r="N137" s="109">
        <f>SUM(BZ137:CC137)</f>
        <v>0</v>
      </c>
      <c r="O137" s="109">
        <f>SUM(CD137:CG137)</f>
        <v>0</v>
      </c>
      <c r="P137" s="109">
        <f>SUM(CH137:CK137)</f>
        <v>0</v>
      </c>
      <c r="Q137" s="1135">
        <v>0</v>
      </c>
      <c r="R137" s="177">
        <v>0</v>
      </c>
      <c r="S137" s="177">
        <v>0</v>
      </c>
      <c r="T137" s="1135">
        <v>0</v>
      </c>
      <c r="U137" s="177">
        <v>0</v>
      </c>
      <c r="V137" s="177">
        <v>0</v>
      </c>
      <c r="W137" s="177">
        <v>0</v>
      </c>
      <c r="X137" s="177">
        <v>0</v>
      </c>
      <c r="Y137" s="177">
        <v>0</v>
      </c>
      <c r="Z137" s="177">
        <v>0</v>
      </c>
      <c r="AA137" s="177">
        <v>0</v>
      </c>
      <c r="AB137" s="177">
        <v>0</v>
      </c>
      <c r="AC137" s="177">
        <v>0</v>
      </c>
      <c r="AD137" s="177">
        <v>0</v>
      </c>
      <c r="AE137" s="177">
        <v>0</v>
      </c>
      <c r="AF137" s="177">
        <v>0</v>
      </c>
      <c r="AG137" s="177">
        <v>0</v>
      </c>
      <c r="AH137" s="532"/>
      <c r="AI137" s="169"/>
      <c r="AJ137" s="169"/>
      <c r="AK137" s="169"/>
      <c r="AL137" s="169"/>
      <c r="AM137" s="169"/>
      <c r="AN137" s="169"/>
      <c r="AO137" s="169"/>
      <c r="AP137" s="178"/>
      <c r="AQ137" s="169"/>
      <c r="AR137" s="169"/>
      <c r="AS137" s="169"/>
      <c r="AT137" s="178"/>
      <c r="AU137" s="169"/>
      <c r="AV137" s="169"/>
      <c r="AW137" s="169"/>
      <c r="AX137" s="178"/>
      <c r="AY137" s="169"/>
      <c r="AZ137" s="169"/>
      <c r="BA137" s="169"/>
      <c r="BB137" s="171">
        <f>NormInputs!AR128</f>
        <v>41</v>
      </c>
      <c r="BC137" s="109">
        <f>NormInputs!AS128</f>
        <v>185</v>
      </c>
      <c r="BD137" s="109">
        <f>NormInputs!AT128</f>
        <v>123</v>
      </c>
      <c r="BE137" s="109">
        <f>NormInputs!AU128</f>
        <v>237</v>
      </c>
      <c r="BF137" s="171">
        <f>NormInputs!AV128</f>
        <v>111</v>
      </c>
      <c r="BG137" s="109">
        <f>NormInputs!AW128</f>
        <v>181</v>
      </c>
      <c r="BH137" s="109">
        <f>NormInputs!AX128</f>
        <v>232</v>
      </c>
      <c r="BI137" s="109">
        <f>NormInputs!AY128</f>
        <v>180</v>
      </c>
      <c r="BJ137" s="171">
        <f>NormInputs!AZ128</f>
        <v>62</v>
      </c>
      <c r="BK137" s="109">
        <f>NormInputs!BA128</f>
        <v>154</v>
      </c>
      <c r="BL137" s="109">
        <f>NormInputs!BB128</f>
        <v>107</v>
      </c>
      <c r="BM137" s="109">
        <f>NormInputs!BC128</f>
        <v>209</v>
      </c>
      <c r="BN137" s="171">
        <f>NormInputs!BD128</f>
        <v>48</v>
      </c>
      <c r="BO137" s="109">
        <f>NormInputs!BE128</f>
        <v>75</v>
      </c>
      <c r="BP137" s="109">
        <f>NormInputs!BF128</f>
        <v>99</v>
      </c>
      <c r="BQ137" s="109">
        <f>NormInputs!BG128</f>
        <v>136</v>
      </c>
      <c r="BR137" s="171">
        <f>NormInputs!BH128</f>
        <v>28</v>
      </c>
      <c r="BS137" s="109">
        <f>NormInputs!BI128</f>
        <v>69</v>
      </c>
      <c r="BT137" s="109">
        <f>NormInputs!BJ128</f>
        <v>98</v>
      </c>
      <c r="BU137" s="109">
        <f>NormInputs!BK128</f>
        <v>187</v>
      </c>
      <c r="BV137" s="171">
        <f>NormInputs!BL128</f>
        <v>46</v>
      </c>
      <c r="BW137" s="109">
        <f>NormInputs!BM128</f>
        <v>76</v>
      </c>
      <c r="BX137" s="109">
        <f>NormInputs!BN128</f>
        <v>70</v>
      </c>
      <c r="BY137" s="109">
        <f>NormInputs!BO128</f>
        <v>91</v>
      </c>
      <c r="BZ137" s="205">
        <f>NormInputs!BP128</f>
        <v>0</v>
      </c>
      <c r="CA137" s="109">
        <f>NormInputs!BQ128</f>
        <v>0</v>
      </c>
      <c r="CB137" s="109">
        <f>NormInputs!BR128</f>
        <v>0</v>
      </c>
      <c r="CC137" s="109">
        <f>NormInputs!BS128</f>
        <v>0</v>
      </c>
      <c r="CD137" s="171">
        <f>NormInputs!BT128</f>
        <v>0</v>
      </c>
      <c r="CE137" s="109">
        <f>NormInputs!BU128</f>
        <v>0</v>
      </c>
      <c r="CF137" s="109">
        <f>NormInputs!BV128</f>
        <v>0</v>
      </c>
      <c r="CG137" s="109">
        <f>NormInputs!BW128</f>
        <v>0</v>
      </c>
      <c r="CH137" s="171">
        <f>NormInputs!BX128</f>
        <v>0</v>
      </c>
      <c r="CI137" s="109">
        <f>NormInputs!BY128</f>
        <v>0</v>
      </c>
      <c r="CJ137" s="109">
        <f>NormInputs!BZ128</f>
        <v>0</v>
      </c>
      <c r="CK137" s="169">
        <f>NormInputs!CA128</f>
        <v>0</v>
      </c>
      <c r="CL137" s="178">
        <f>NormInputs!CB128</f>
        <v>0</v>
      </c>
      <c r="CM137" s="169">
        <f>NormInputs!CC128</f>
        <v>0</v>
      </c>
      <c r="CN137" s="169">
        <f>NormInputs!CD128</f>
        <v>0</v>
      </c>
      <c r="CO137" s="169">
        <f>NormInputs!CE128</f>
        <v>0</v>
      </c>
      <c r="CP137" s="178">
        <f>NormInputs!CF128</f>
        <v>0</v>
      </c>
      <c r="CQ137" s="169">
        <f>NormInputs!CG128</f>
        <v>0</v>
      </c>
      <c r="CR137" s="169">
        <f>NormInputs!CH128</f>
        <v>0</v>
      </c>
      <c r="CS137" s="169">
        <f>NormInputs!CI128</f>
        <v>0</v>
      </c>
      <c r="CT137" s="178">
        <f>NormInputs!CJ128</f>
        <v>0</v>
      </c>
      <c r="CU137" s="169">
        <f>NormInputs!CK128</f>
        <v>0</v>
      </c>
      <c r="CV137" s="169">
        <f>NormInputs!CL128</f>
        <v>0</v>
      </c>
      <c r="CW137" s="179">
        <f>NormInputs!CM128</f>
        <v>0</v>
      </c>
      <c r="CX137" s="169">
        <f>NormInputs!CN128</f>
        <v>0</v>
      </c>
      <c r="CY137" s="169">
        <f>NormInputs!CO128</f>
        <v>0</v>
      </c>
      <c r="CZ137" s="169">
        <f>NormInputs!CP128</f>
        <v>0</v>
      </c>
      <c r="DA137" s="169">
        <f>NormInputs!CQ128</f>
        <v>0</v>
      </c>
      <c r="DB137" s="178">
        <f>NormInputs!CR128</f>
        <v>0</v>
      </c>
      <c r="DC137" s="169">
        <f>NormInputs!CS128</f>
        <v>0</v>
      </c>
      <c r="DD137" s="169">
        <f>NormInputs!CT128</f>
        <v>0</v>
      </c>
      <c r="DE137" s="169">
        <f>NormInputs!CU128</f>
        <v>0</v>
      </c>
      <c r="DF137" s="178">
        <f>NormInputs!CV128</f>
        <v>0</v>
      </c>
      <c r="DG137" s="1051">
        <f>NormInputs!CW128</f>
        <v>0</v>
      </c>
      <c r="DH137" s="1051">
        <f>NormInputs!CX128</f>
        <v>0</v>
      </c>
      <c r="DI137" s="179">
        <f>NormInputs!CY128</f>
        <v>0</v>
      </c>
      <c r="DJ137" s="178">
        <f>NormInputs!CZ128</f>
        <v>0</v>
      </c>
      <c r="DK137" s="1051">
        <f>NormInputs!DA128</f>
        <v>0</v>
      </c>
      <c r="DL137" s="1051">
        <f>NormInputs!DB128</f>
        <v>0</v>
      </c>
      <c r="DM137" s="179">
        <f>NormInputs!DC128</f>
        <v>0</v>
      </c>
      <c r="DN137" s="1051">
        <f>NormInputs!DD128</f>
        <v>0</v>
      </c>
      <c r="DO137" s="1051">
        <f>NormInputs!DE128</f>
        <v>0</v>
      </c>
      <c r="DP137" s="1051">
        <f>NormInputs!DF128</f>
        <v>0</v>
      </c>
      <c r="DQ137" s="179">
        <f>NormInputs!DG128</f>
        <v>0</v>
      </c>
      <c r="DR137" s="1051">
        <f>NormInputs!DH128</f>
        <v>0</v>
      </c>
      <c r="DS137" s="1051">
        <f>NormInputs!DI128</f>
        <v>0</v>
      </c>
      <c r="DT137" s="1051">
        <f>NormInputs!DJ128</f>
        <v>0</v>
      </c>
      <c r="DU137" s="1051">
        <f>NormInputs!DK128</f>
        <v>0</v>
      </c>
      <c r="DV137" s="1051">
        <f>NormInputs!DL128</f>
        <v>0</v>
      </c>
      <c r="DW137" s="1135"/>
      <c r="DX137" s="1135"/>
      <c r="DY137" s="551"/>
      <c r="DZ137" s="109"/>
    </row>
    <row r="138" spans="1:130" hidden="1" outlineLevel="1">
      <c r="A138" s="176" t="s">
        <v>991</v>
      </c>
      <c r="B138" s="94"/>
      <c r="C138" s="94"/>
      <c r="D138" s="195"/>
      <c r="E138" s="195"/>
      <c r="F138" s="94"/>
      <c r="G138" s="94"/>
      <c r="H138" s="94">
        <f t="shared" ref="H138:N138" si="428">H137/G137-1</f>
        <v>0.12476007677543177</v>
      </c>
      <c r="I138" s="94">
        <f t="shared" si="428"/>
        <v>0.20136518771331069</v>
      </c>
      <c r="J138" s="94">
        <f t="shared" si="428"/>
        <v>-0.24431818181818177</v>
      </c>
      <c r="K138" s="94">
        <f t="shared" si="428"/>
        <v>-0.32706766917293228</v>
      </c>
      <c r="L138" s="94">
        <f t="shared" si="428"/>
        <v>6.7039106145251326E-2</v>
      </c>
      <c r="M138" s="94">
        <f t="shared" si="428"/>
        <v>-0.25916230366492143</v>
      </c>
      <c r="N138" s="94">
        <f t="shared" si="428"/>
        <v>-1</v>
      </c>
      <c r="O138" s="94"/>
      <c r="P138" s="94"/>
      <c r="Q138" s="1045"/>
      <c r="R138" s="94"/>
      <c r="S138" s="94"/>
      <c r="T138" s="1045"/>
      <c r="U138" s="94"/>
      <c r="V138" s="94"/>
      <c r="W138" s="94"/>
      <c r="X138" s="94"/>
      <c r="Y138" s="94"/>
      <c r="Z138" s="94"/>
      <c r="AA138" s="94"/>
      <c r="AB138" s="94"/>
      <c r="AC138" s="94"/>
      <c r="AD138" s="94"/>
      <c r="AE138" s="94"/>
      <c r="AF138" s="94"/>
      <c r="AG138" s="94"/>
      <c r="AH138" s="193"/>
      <c r="AI138" s="195"/>
      <c r="AJ138" s="195"/>
      <c r="AK138" s="195"/>
      <c r="AL138" s="195"/>
      <c r="AM138" s="195"/>
      <c r="AN138" s="195"/>
      <c r="AO138" s="195"/>
      <c r="AP138" s="182"/>
      <c r="AQ138" s="195"/>
      <c r="AR138" s="195"/>
      <c r="AS138" s="195"/>
      <c r="AT138" s="182"/>
      <c r="AU138" s="195"/>
      <c r="AV138" s="195"/>
      <c r="AW138" s="195"/>
      <c r="AX138" s="182"/>
      <c r="AY138" s="195"/>
      <c r="AZ138" s="195"/>
      <c r="BA138" s="195"/>
      <c r="BB138" s="182"/>
      <c r="BC138" s="195"/>
      <c r="BD138" s="195"/>
      <c r="BE138" s="94"/>
      <c r="BF138" s="147">
        <f t="shared" ref="BF138:CC138" si="429">BF137/BB137-1</f>
        <v>1.7073170731707319</v>
      </c>
      <c r="BG138" s="94">
        <f t="shared" si="429"/>
        <v>-2.1621621621621623E-2</v>
      </c>
      <c r="BH138" s="94">
        <f t="shared" si="429"/>
        <v>0.88617886178861793</v>
      </c>
      <c r="BI138" s="94">
        <f t="shared" si="429"/>
        <v>-0.240506329113924</v>
      </c>
      <c r="BJ138" s="147">
        <f t="shared" si="429"/>
        <v>-0.44144144144144148</v>
      </c>
      <c r="BK138" s="94">
        <f t="shared" si="429"/>
        <v>-0.149171270718232</v>
      </c>
      <c r="BL138" s="94">
        <f t="shared" si="429"/>
        <v>-0.5387931034482758</v>
      </c>
      <c r="BM138" s="94">
        <f t="shared" si="429"/>
        <v>0.1611111111111112</v>
      </c>
      <c r="BN138" s="147">
        <f t="shared" si="429"/>
        <v>-0.22580645161290325</v>
      </c>
      <c r="BO138" s="94">
        <f t="shared" si="429"/>
        <v>-0.51298701298701299</v>
      </c>
      <c r="BP138" s="94">
        <f t="shared" si="429"/>
        <v>-7.4766355140186924E-2</v>
      </c>
      <c r="BQ138" s="94">
        <f t="shared" si="429"/>
        <v>-0.34928229665071775</v>
      </c>
      <c r="BR138" s="147">
        <f t="shared" si="429"/>
        <v>-0.41666666666666663</v>
      </c>
      <c r="BS138" s="94">
        <f t="shared" si="429"/>
        <v>-7.999999999999996E-2</v>
      </c>
      <c r="BT138" s="94">
        <f t="shared" si="429"/>
        <v>-1.0101010101010055E-2</v>
      </c>
      <c r="BU138" s="94">
        <f t="shared" si="429"/>
        <v>0.375</v>
      </c>
      <c r="BV138" s="147">
        <f t="shared" si="429"/>
        <v>0.64285714285714279</v>
      </c>
      <c r="BW138" s="94">
        <f t="shared" si="429"/>
        <v>0.10144927536231885</v>
      </c>
      <c r="BX138" s="94">
        <f t="shared" si="429"/>
        <v>-0.2857142857142857</v>
      </c>
      <c r="BY138" s="94">
        <f t="shared" si="429"/>
        <v>-0.5133689839572193</v>
      </c>
      <c r="BZ138" s="469">
        <f t="shared" si="429"/>
        <v>-1</v>
      </c>
      <c r="CA138" s="94">
        <f t="shared" si="429"/>
        <v>-1</v>
      </c>
      <c r="CB138" s="94">
        <f t="shared" si="429"/>
        <v>-1</v>
      </c>
      <c r="CC138" s="94">
        <f t="shared" si="429"/>
        <v>-1</v>
      </c>
      <c r="CD138" s="147"/>
      <c r="CE138" s="94"/>
      <c r="CF138" s="94"/>
      <c r="CG138" s="94"/>
      <c r="CH138" s="147"/>
      <c r="CI138" s="94"/>
      <c r="CJ138" s="94"/>
      <c r="CK138" s="94"/>
      <c r="CL138" s="147"/>
      <c r="CM138" s="94"/>
      <c r="CN138" s="94"/>
      <c r="CO138" s="94"/>
      <c r="CP138" s="147"/>
      <c r="CQ138" s="94"/>
      <c r="CR138" s="94"/>
      <c r="CS138" s="94"/>
      <c r="CT138" s="147"/>
      <c r="CU138" s="94"/>
      <c r="CV138" s="94"/>
      <c r="CW138" s="101"/>
      <c r="CX138" s="94"/>
      <c r="CY138" s="94"/>
      <c r="CZ138" s="94"/>
      <c r="DA138" s="94"/>
      <c r="DB138" s="147"/>
      <c r="DC138" s="94"/>
      <c r="DD138" s="94"/>
      <c r="DE138" s="94"/>
      <c r="DF138" s="147"/>
      <c r="DG138" s="1045"/>
      <c r="DH138" s="1045"/>
      <c r="DI138" s="101"/>
      <c r="DJ138" s="147"/>
      <c r="DK138" s="1045"/>
      <c r="DL138" s="1045"/>
      <c r="DM138" s="101"/>
      <c r="DN138" s="1045"/>
      <c r="DO138" s="1045"/>
      <c r="DP138" s="1045"/>
      <c r="DQ138" s="101"/>
      <c r="DR138" s="1045"/>
      <c r="DS138" s="1045"/>
      <c r="DT138" s="1045"/>
      <c r="DU138" s="1045"/>
      <c r="DV138" s="1045"/>
      <c r="DW138" s="1045"/>
      <c r="DX138" s="1045"/>
      <c r="DY138" s="101"/>
      <c r="DZ138" s="94"/>
    </row>
    <row r="139" spans="1:130" hidden="1" outlineLevel="1">
      <c r="A139" s="762" t="s">
        <v>1434</v>
      </c>
      <c r="B139" s="109"/>
      <c r="C139" s="109"/>
      <c r="D139" s="169"/>
      <c r="E139" s="169"/>
      <c r="F139" s="109"/>
      <c r="G139" s="109">
        <f>NormInputs!G129</f>
        <v>50</v>
      </c>
      <c r="H139" s="109">
        <f>SUM(BB139:BE139)</f>
        <v>48</v>
      </c>
      <c r="I139" s="109">
        <f>SUM(BF139:BI139)</f>
        <v>93</v>
      </c>
      <c r="J139" s="109">
        <f>SUM(BJ139:BM139)</f>
        <v>69</v>
      </c>
      <c r="K139" s="109">
        <f>SUM(BN139:BQ139)</f>
        <v>74</v>
      </c>
      <c r="L139" s="109">
        <f>SUM(BR139:BU139)</f>
        <v>87</v>
      </c>
      <c r="M139" s="109">
        <f>SUM(BV139:BY139)</f>
        <v>80</v>
      </c>
      <c r="N139" s="109">
        <f>SUM(BZ139:CC139)</f>
        <v>0</v>
      </c>
      <c r="O139" s="109">
        <f>SUM(CD139:CG139)</f>
        <v>0</v>
      </c>
      <c r="P139" s="109">
        <f>SUM(CH139:CK139)</f>
        <v>0</v>
      </c>
      <c r="Q139" s="1135">
        <v>0</v>
      </c>
      <c r="R139" s="177">
        <v>0</v>
      </c>
      <c r="S139" s="177">
        <v>0</v>
      </c>
      <c r="T139" s="1135">
        <v>0</v>
      </c>
      <c r="U139" s="177">
        <v>0</v>
      </c>
      <c r="V139" s="177">
        <v>0</v>
      </c>
      <c r="W139" s="177">
        <v>0</v>
      </c>
      <c r="X139" s="177">
        <v>0</v>
      </c>
      <c r="Y139" s="177">
        <v>0</v>
      </c>
      <c r="Z139" s="177">
        <v>0</v>
      </c>
      <c r="AA139" s="177">
        <v>0</v>
      </c>
      <c r="AB139" s="177">
        <v>0</v>
      </c>
      <c r="AC139" s="177">
        <v>0</v>
      </c>
      <c r="AD139" s="177">
        <v>0</v>
      </c>
      <c r="AE139" s="177">
        <v>0</v>
      </c>
      <c r="AF139" s="177">
        <v>0</v>
      </c>
      <c r="AG139" s="177">
        <v>0</v>
      </c>
      <c r="AH139" s="532"/>
      <c r="AI139" s="169"/>
      <c r="AJ139" s="169"/>
      <c r="AK139" s="169"/>
      <c r="AL139" s="169"/>
      <c r="AM139" s="169"/>
      <c r="AN139" s="169"/>
      <c r="AO139" s="169"/>
      <c r="AP139" s="178"/>
      <c r="AQ139" s="169"/>
      <c r="AR139" s="169"/>
      <c r="AS139" s="169"/>
      <c r="AT139" s="178"/>
      <c r="AU139" s="169"/>
      <c r="AV139" s="169"/>
      <c r="AW139" s="169"/>
      <c r="AX139" s="178"/>
      <c r="AY139" s="169"/>
      <c r="AZ139" s="169"/>
      <c r="BA139" s="169"/>
      <c r="BB139" s="171">
        <f>NormInputs!AR129</f>
        <v>10</v>
      </c>
      <c r="BC139" s="109">
        <f>NormInputs!AS129</f>
        <v>9</v>
      </c>
      <c r="BD139" s="109">
        <f>NormInputs!AT129</f>
        <v>12</v>
      </c>
      <c r="BE139" s="109">
        <f>NormInputs!AU129</f>
        <v>17</v>
      </c>
      <c r="BF139" s="171">
        <f>NormInputs!AV129</f>
        <v>9</v>
      </c>
      <c r="BG139" s="109">
        <f>NormInputs!AW129</f>
        <v>29</v>
      </c>
      <c r="BH139" s="109">
        <f>NormInputs!AX129</f>
        <v>31</v>
      </c>
      <c r="BI139" s="109">
        <f>NormInputs!AY129</f>
        <v>24</v>
      </c>
      <c r="BJ139" s="171">
        <f>NormInputs!AZ129</f>
        <v>13</v>
      </c>
      <c r="BK139" s="109">
        <f>NormInputs!BA129</f>
        <v>28</v>
      </c>
      <c r="BL139" s="109">
        <f>NormInputs!BB129</f>
        <v>13</v>
      </c>
      <c r="BM139" s="109">
        <f>NormInputs!BC129</f>
        <v>15</v>
      </c>
      <c r="BN139" s="171">
        <f>NormInputs!BD129</f>
        <v>15</v>
      </c>
      <c r="BO139" s="109">
        <f>NormInputs!BE129</f>
        <v>20</v>
      </c>
      <c r="BP139" s="109">
        <f>NormInputs!BF129</f>
        <v>12</v>
      </c>
      <c r="BQ139" s="109">
        <f>NormInputs!BG129</f>
        <v>27</v>
      </c>
      <c r="BR139" s="171">
        <f>NormInputs!BH129</f>
        <v>13</v>
      </c>
      <c r="BS139" s="109">
        <f>NormInputs!BI129</f>
        <v>18</v>
      </c>
      <c r="BT139" s="109">
        <f>NormInputs!BJ129</f>
        <v>18</v>
      </c>
      <c r="BU139" s="109">
        <f>NormInputs!BK129</f>
        <v>38</v>
      </c>
      <c r="BV139" s="171">
        <f>NormInputs!BL129</f>
        <v>13</v>
      </c>
      <c r="BW139" s="109">
        <f>NormInputs!BM129</f>
        <v>20</v>
      </c>
      <c r="BX139" s="109">
        <f>NormInputs!BN129</f>
        <v>20</v>
      </c>
      <c r="BY139" s="109">
        <f>NormInputs!BO129</f>
        <v>27</v>
      </c>
      <c r="BZ139" s="205">
        <f>NormInputs!BP129</f>
        <v>0</v>
      </c>
      <c r="CA139" s="109">
        <f>NormInputs!BQ129</f>
        <v>0</v>
      </c>
      <c r="CB139" s="109">
        <f>NormInputs!BR129</f>
        <v>0</v>
      </c>
      <c r="CC139" s="109">
        <f>NormInputs!BS129</f>
        <v>0</v>
      </c>
      <c r="CD139" s="171"/>
      <c r="CE139" s="109"/>
      <c r="CF139" s="109"/>
      <c r="CG139" s="109"/>
      <c r="CH139" s="171"/>
      <c r="CI139" s="109"/>
      <c r="CJ139" s="109"/>
      <c r="CK139" s="177"/>
      <c r="CL139" s="651"/>
      <c r="CM139" s="177"/>
      <c r="CN139" s="177"/>
      <c r="CO139" s="177"/>
      <c r="CP139" s="651"/>
      <c r="CQ139" s="177"/>
      <c r="CR139" s="177"/>
      <c r="CS139" s="177"/>
      <c r="CT139" s="651"/>
      <c r="CU139" s="177"/>
      <c r="CV139" s="177"/>
      <c r="CW139" s="551"/>
      <c r="CX139" s="177"/>
      <c r="CY139" s="177"/>
      <c r="CZ139" s="177"/>
      <c r="DA139" s="177"/>
      <c r="DB139" s="651"/>
      <c r="DC139" s="177"/>
      <c r="DD139" s="177"/>
      <c r="DE139" s="177"/>
      <c r="DF139" s="651"/>
      <c r="DG139" s="1135"/>
      <c r="DH139" s="1135"/>
      <c r="DI139" s="551"/>
      <c r="DJ139" s="651"/>
      <c r="DK139" s="1135"/>
      <c r="DL139" s="1135"/>
      <c r="DM139" s="551"/>
      <c r="DN139" s="1135"/>
      <c r="DO139" s="1135"/>
      <c r="DP139" s="1135"/>
      <c r="DQ139" s="551"/>
      <c r="DR139" s="1135"/>
      <c r="DS139" s="1135"/>
      <c r="DT139" s="1135"/>
      <c r="DU139" s="1135"/>
      <c r="DV139" s="1135"/>
      <c r="DW139" s="1135"/>
      <c r="DX139" s="1135"/>
      <c r="DY139" s="551"/>
      <c r="DZ139" s="109"/>
    </row>
    <row r="140" spans="1:130" hidden="1" outlineLevel="1">
      <c r="A140" s="176" t="s">
        <v>991</v>
      </c>
      <c r="B140" s="94"/>
      <c r="C140" s="94"/>
      <c r="D140" s="195"/>
      <c r="E140" s="195"/>
      <c r="F140" s="94"/>
      <c r="G140" s="94"/>
      <c r="H140" s="94">
        <f t="shared" ref="H140:N140" si="430">H139/G139-1</f>
        <v>-4.0000000000000036E-2</v>
      </c>
      <c r="I140" s="94">
        <f t="shared" si="430"/>
        <v>0.9375</v>
      </c>
      <c r="J140" s="94">
        <f t="shared" si="430"/>
        <v>-0.25806451612903225</v>
      </c>
      <c r="K140" s="94">
        <f t="shared" si="430"/>
        <v>7.2463768115942129E-2</v>
      </c>
      <c r="L140" s="94">
        <f t="shared" si="430"/>
        <v>0.17567567567567566</v>
      </c>
      <c r="M140" s="94">
        <f t="shared" si="430"/>
        <v>-8.0459770114942541E-2</v>
      </c>
      <c r="N140" s="94">
        <f t="shared" si="430"/>
        <v>-1</v>
      </c>
      <c r="O140" s="94"/>
      <c r="P140" s="94"/>
      <c r="Q140" s="1045"/>
      <c r="R140" s="94"/>
      <c r="S140" s="94"/>
      <c r="T140" s="1045"/>
      <c r="U140" s="94"/>
      <c r="V140" s="94"/>
      <c r="W140" s="94"/>
      <c r="X140" s="94"/>
      <c r="Y140" s="94"/>
      <c r="Z140" s="94"/>
      <c r="AA140" s="94"/>
      <c r="AB140" s="94"/>
      <c r="AC140" s="94"/>
      <c r="AD140" s="94"/>
      <c r="AE140" s="94"/>
      <c r="AF140" s="94"/>
      <c r="AG140" s="94"/>
      <c r="AH140" s="193"/>
      <c r="AI140" s="195"/>
      <c r="AJ140" s="195"/>
      <c r="AK140" s="195"/>
      <c r="AL140" s="195"/>
      <c r="AM140" s="195"/>
      <c r="AN140" s="195"/>
      <c r="AO140" s="195"/>
      <c r="AP140" s="182"/>
      <c r="AQ140" s="195"/>
      <c r="AR140" s="195"/>
      <c r="AS140" s="195"/>
      <c r="AT140" s="182"/>
      <c r="AU140" s="195"/>
      <c r="AV140" s="195"/>
      <c r="AW140" s="195"/>
      <c r="AX140" s="182"/>
      <c r="AY140" s="195"/>
      <c r="AZ140" s="195"/>
      <c r="BA140" s="195"/>
      <c r="BB140" s="182"/>
      <c r="BC140" s="195"/>
      <c r="BD140" s="195"/>
      <c r="BE140" s="94"/>
      <c r="BF140" s="147">
        <f t="shared" ref="BF140:CC140" si="431">BF139/BB139-1</f>
        <v>-9.9999999999999978E-2</v>
      </c>
      <c r="BG140" s="94">
        <f t="shared" si="431"/>
        <v>2.2222222222222223</v>
      </c>
      <c r="BH140" s="94">
        <f t="shared" si="431"/>
        <v>1.5833333333333335</v>
      </c>
      <c r="BI140" s="94">
        <f t="shared" si="431"/>
        <v>0.41176470588235303</v>
      </c>
      <c r="BJ140" s="147">
        <f t="shared" si="431"/>
        <v>0.44444444444444442</v>
      </c>
      <c r="BK140" s="94">
        <f t="shared" si="431"/>
        <v>-3.4482758620689613E-2</v>
      </c>
      <c r="BL140" s="94">
        <f t="shared" si="431"/>
        <v>-0.58064516129032251</v>
      </c>
      <c r="BM140" s="94">
        <f t="shared" si="431"/>
        <v>-0.375</v>
      </c>
      <c r="BN140" s="147">
        <f t="shared" si="431"/>
        <v>0.15384615384615374</v>
      </c>
      <c r="BO140" s="94">
        <f t="shared" si="431"/>
        <v>-0.2857142857142857</v>
      </c>
      <c r="BP140" s="94">
        <f t="shared" si="431"/>
        <v>-7.6923076923076872E-2</v>
      </c>
      <c r="BQ140" s="94">
        <f t="shared" si="431"/>
        <v>0.8</v>
      </c>
      <c r="BR140" s="147">
        <f t="shared" si="431"/>
        <v>-0.1333333333333333</v>
      </c>
      <c r="BS140" s="94">
        <f t="shared" si="431"/>
        <v>-9.9999999999999978E-2</v>
      </c>
      <c r="BT140" s="94">
        <f t="shared" si="431"/>
        <v>0.5</v>
      </c>
      <c r="BU140" s="94">
        <f t="shared" si="431"/>
        <v>0.40740740740740744</v>
      </c>
      <c r="BV140" s="147">
        <f t="shared" si="431"/>
        <v>0</v>
      </c>
      <c r="BW140" s="94">
        <f t="shared" si="431"/>
        <v>0.11111111111111116</v>
      </c>
      <c r="BX140" s="94">
        <f t="shared" si="431"/>
        <v>0.11111111111111116</v>
      </c>
      <c r="BY140" s="94">
        <f t="shared" si="431"/>
        <v>-0.28947368421052633</v>
      </c>
      <c r="BZ140" s="469">
        <f t="shared" si="431"/>
        <v>-1</v>
      </c>
      <c r="CA140" s="94">
        <f t="shared" si="431"/>
        <v>-1</v>
      </c>
      <c r="CB140" s="94">
        <f t="shared" si="431"/>
        <v>-1</v>
      </c>
      <c r="CC140" s="94">
        <f t="shared" si="431"/>
        <v>-1</v>
      </c>
      <c r="CD140" s="147"/>
      <c r="CE140" s="94"/>
      <c r="CF140" s="94"/>
      <c r="CG140" s="94"/>
      <c r="CH140" s="147"/>
      <c r="CI140" s="94"/>
      <c r="CJ140" s="94"/>
      <c r="CK140" s="94"/>
      <c r="CL140" s="147"/>
      <c r="CM140" s="94"/>
      <c r="CN140" s="94"/>
      <c r="CO140" s="94"/>
      <c r="CP140" s="147"/>
      <c r="CQ140" s="94"/>
      <c r="CR140" s="94"/>
      <c r="CS140" s="94"/>
      <c r="CT140" s="147"/>
      <c r="CU140" s="94"/>
      <c r="CV140" s="94"/>
      <c r="CW140" s="101"/>
      <c r="CX140" s="94"/>
      <c r="CY140" s="94"/>
      <c r="CZ140" s="94"/>
      <c r="DA140" s="94"/>
      <c r="DB140" s="147"/>
      <c r="DC140" s="94"/>
      <c r="DD140" s="94"/>
      <c r="DE140" s="94"/>
      <c r="DF140" s="147"/>
      <c r="DG140" s="1045"/>
      <c r="DH140" s="1045"/>
      <c r="DI140" s="101"/>
      <c r="DJ140" s="147"/>
      <c r="DK140" s="1045"/>
      <c r="DL140" s="1045"/>
      <c r="DM140" s="101"/>
      <c r="DN140" s="1045"/>
      <c r="DO140" s="1045"/>
      <c r="DP140" s="1045"/>
      <c r="DQ140" s="101"/>
      <c r="DR140" s="1045"/>
      <c r="DS140" s="1045"/>
      <c r="DT140" s="1045"/>
      <c r="DU140" s="1045"/>
      <c r="DV140" s="1045"/>
      <c r="DW140" s="1045"/>
      <c r="DX140" s="1045"/>
      <c r="DY140" s="101"/>
      <c r="DZ140" s="94"/>
    </row>
    <row r="141" spans="1:130" hidden="1" outlineLevel="1">
      <c r="A141" s="762" t="s">
        <v>955</v>
      </c>
      <c r="B141" s="109"/>
      <c r="C141" s="109"/>
      <c r="D141" s="169"/>
      <c r="E141" s="169"/>
      <c r="F141" s="109"/>
      <c r="G141" s="109">
        <f>NormInputs!G130</f>
        <v>858</v>
      </c>
      <c r="H141" s="109">
        <f>SUM(BB141:BE141)</f>
        <v>558</v>
      </c>
      <c r="I141" s="109">
        <f>SUM(BF141:BI141)</f>
        <v>88</v>
      </c>
      <c r="J141" s="109">
        <f>SUM(BJ141:BM141)</f>
        <v>52</v>
      </c>
      <c r="K141" s="109">
        <f>SUM(BN141:BQ141)</f>
        <v>32</v>
      </c>
      <c r="L141" s="109">
        <f>SUM(BR141:BU141)</f>
        <v>39</v>
      </c>
      <c r="M141" s="109">
        <f>SUM(BV141:BY141)</f>
        <v>210</v>
      </c>
      <c r="N141" s="109">
        <f>SUM(BZ141:CC141)</f>
        <v>224</v>
      </c>
      <c r="O141" s="109">
        <f>SUM(CD141:CG141)</f>
        <v>79</v>
      </c>
      <c r="P141" s="109">
        <f>SUM(CH141:CK141)</f>
        <v>931</v>
      </c>
      <c r="Q141" s="1044">
        <f>SUM(CL141:CO141)</f>
        <v>828</v>
      </c>
      <c r="R141" s="109">
        <f>SUM(CP141:CS141)</f>
        <v>751</v>
      </c>
      <c r="S141" s="109">
        <f t="shared" ref="S141:X141" si="432">+S126</f>
        <v>872</v>
      </c>
      <c r="T141" s="1044">
        <f t="shared" si="432"/>
        <v>976</v>
      </c>
      <c r="U141" s="109">
        <f t="shared" si="432"/>
        <v>950</v>
      </c>
      <c r="V141" s="109">
        <f t="shared" si="432"/>
        <v>926</v>
      </c>
      <c r="W141" s="109">
        <f>+W126</f>
        <v>1001</v>
      </c>
      <c r="X141" s="109">
        <f t="shared" si="432"/>
        <v>1315</v>
      </c>
      <c r="Y141" s="109">
        <f t="shared" ref="Y141:Z141" si="433">+Y126</f>
        <v>1288</v>
      </c>
      <c r="Z141" s="109">
        <f t="shared" si="433"/>
        <v>1766.890625</v>
      </c>
      <c r="AA141" s="109">
        <f>+AA126</f>
        <v>1766.890625</v>
      </c>
      <c r="AB141" s="109">
        <f>+AB126</f>
        <v>1766.890625</v>
      </c>
      <c r="AC141" s="109">
        <f t="shared" ref="AC141:AG141" si="434">+AC126</f>
        <v>1766.890625</v>
      </c>
      <c r="AD141" s="109">
        <f t="shared" si="434"/>
        <v>1766.890625</v>
      </c>
      <c r="AE141" s="109">
        <f t="shared" si="434"/>
        <v>1766.890625</v>
      </c>
      <c r="AF141" s="109">
        <f t="shared" si="434"/>
        <v>1766.890625</v>
      </c>
      <c r="AG141" s="109">
        <f t="shared" si="434"/>
        <v>1766.890625</v>
      </c>
      <c r="AH141" s="532"/>
      <c r="AI141" s="169"/>
      <c r="AJ141" s="169"/>
      <c r="AK141" s="169"/>
      <c r="AL141" s="169"/>
      <c r="AM141" s="169"/>
      <c r="AN141" s="169"/>
      <c r="AO141" s="169"/>
      <c r="AP141" s="178"/>
      <c r="AQ141" s="169"/>
      <c r="AR141" s="169"/>
      <c r="AS141" s="169"/>
      <c r="AT141" s="178"/>
      <c r="AU141" s="169"/>
      <c r="AV141" s="169"/>
      <c r="AW141" s="169"/>
      <c r="AX141" s="178"/>
      <c r="AY141" s="169"/>
      <c r="AZ141" s="169"/>
      <c r="BA141" s="169"/>
      <c r="BB141" s="171">
        <f>NormInputs!AR130</f>
        <v>161</v>
      </c>
      <c r="BC141" s="109">
        <f>NormInputs!AS130</f>
        <v>246</v>
      </c>
      <c r="BD141" s="109">
        <f>NormInputs!AT130</f>
        <v>135</v>
      </c>
      <c r="BE141" s="109">
        <f>NormInputs!AU130</f>
        <v>16</v>
      </c>
      <c r="BF141" s="171">
        <f>NormInputs!AV130</f>
        <v>31</v>
      </c>
      <c r="BG141" s="109">
        <f>NormInputs!AW130</f>
        <v>24</v>
      </c>
      <c r="BH141" s="109">
        <f>NormInputs!AX130</f>
        <v>17</v>
      </c>
      <c r="BI141" s="109">
        <f>NormInputs!AY130</f>
        <v>16</v>
      </c>
      <c r="BJ141" s="171">
        <f>NormInputs!AZ130</f>
        <v>8</v>
      </c>
      <c r="BK141" s="109">
        <f>NormInputs!BA130</f>
        <v>10</v>
      </c>
      <c r="BL141" s="109">
        <f>NormInputs!BB130</f>
        <v>9</v>
      </c>
      <c r="BM141" s="109">
        <f>NormInputs!BC130</f>
        <v>25</v>
      </c>
      <c r="BN141" s="171">
        <f>NormInputs!BD130</f>
        <v>7</v>
      </c>
      <c r="BO141" s="109">
        <f>NormInputs!BE130</f>
        <v>7</v>
      </c>
      <c r="BP141" s="109">
        <f>NormInputs!BF130</f>
        <v>7</v>
      </c>
      <c r="BQ141" s="109">
        <f>NormInputs!BG130</f>
        <v>11</v>
      </c>
      <c r="BR141" s="171">
        <f>NormInputs!BH130</f>
        <v>4</v>
      </c>
      <c r="BS141" s="109">
        <f>NormInputs!BI130</f>
        <v>3</v>
      </c>
      <c r="BT141" s="109">
        <f>NormInputs!BJ130</f>
        <v>2</v>
      </c>
      <c r="BU141" s="109">
        <f>NormInputs!BK130</f>
        <v>30</v>
      </c>
      <c r="BV141" s="171">
        <f>NormInputs!BL130</f>
        <v>2</v>
      </c>
      <c r="BW141" s="109">
        <f>NormInputs!BM130</f>
        <v>115</v>
      </c>
      <c r="BX141" s="109">
        <f>NormInputs!BN130</f>
        <v>12</v>
      </c>
      <c r="BY141" s="109">
        <f>NormInputs!BO130</f>
        <v>81</v>
      </c>
      <c r="BZ141" s="205">
        <f>NormInputs!BP130</f>
        <v>22</v>
      </c>
      <c r="CA141" s="109">
        <f>NormInputs!BQ130</f>
        <v>75</v>
      </c>
      <c r="CB141" s="109">
        <f>NormInputs!BR130</f>
        <v>36</v>
      </c>
      <c r="CC141" s="109">
        <f>NormInputs!BS130</f>
        <v>91</v>
      </c>
      <c r="CD141" s="171">
        <f>NormInputs!BT130</f>
        <v>3</v>
      </c>
      <c r="CE141" s="109">
        <f>NormInputs!BU130</f>
        <v>4</v>
      </c>
      <c r="CF141" s="109">
        <f>NormInputs!BV130</f>
        <v>9</v>
      </c>
      <c r="CG141" s="109">
        <f>NormInputs!BW130</f>
        <v>63</v>
      </c>
      <c r="CH141" s="171">
        <f>NormInputs!BX130</f>
        <v>119</v>
      </c>
      <c r="CI141" s="109">
        <f>NormInputs!BY130</f>
        <v>193</v>
      </c>
      <c r="CJ141" s="109">
        <f>NormInputs!BZ130</f>
        <v>222</v>
      </c>
      <c r="CK141" s="109">
        <f>NormInputs!CA130</f>
        <v>397</v>
      </c>
      <c r="CL141" s="171">
        <f>NormInputs!CB130</f>
        <v>109</v>
      </c>
      <c r="CM141" s="109">
        <f>NormInputs!CC130</f>
        <v>222</v>
      </c>
      <c r="CN141" s="109">
        <f>NormInputs!CD130</f>
        <v>240</v>
      </c>
      <c r="CO141" s="109">
        <f>NormInputs!CE130</f>
        <v>257</v>
      </c>
      <c r="CP141" s="171">
        <f>NormInputs!CF130</f>
        <v>87</v>
      </c>
      <c r="CQ141" s="109">
        <f>NormInputs!CG130</f>
        <v>153</v>
      </c>
      <c r="CR141" s="109">
        <f>NormInputs!CH130</f>
        <v>201</v>
      </c>
      <c r="CS141" s="109">
        <f>NormInputs!CI130</f>
        <v>310</v>
      </c>
      <c r="CT141" s="171">
        <f>NormInputs!CJ130</f>
        <v>163</v>
      </c>
      <c r="CU141" s="109">
        <f>NormInputs!CK130</f>
        <v>203</v>
      </c>
      <c r="CV141" s="109">
        <f>NormInputs!CL130</f>
        <v>227</v>
      </c>
      <c r="CW141" s="172">
        <f>NormInputs!CM130</f>
        <v>279</v>
      </c>
      <c r="CX141" s="109">
        <f>NormInputs!CN130</f>
        <v>143</v>
      </c>
      <c r="CY141" s="109">
        <f>NormInputs!CO130</f>
        <v>88</v>
      </c>
      <c r="CZ141" s="109">
        <f>NormInputs!CP130</f>
        <v>268</v>
      </c>
      <c r="DA141" s="109">
        <f>NormInputs!CQ130</f>
        <v>477</v>
      </c>
      <c r="DB141" s="171">
        <f>NormInputs!CR130</f>
        <v>176</v>
      </c>
      <c r="DC141" s="109">
        <f>NormInputs!CS130</f>
        <v>221</v>
      </c>
      <c r="DD141" s="109">
        <f>NormInputs!CT130</f>
        <v>223</v>
      </c>
      <c r="DE141" s="109">
        <f>NormInputs!CU130</f>
        <v>330</v>
      </c>
      <c r="DF141" s="171">
        <f>NormInputs!CV130</f>
        <v>211</v>
      </c>
      <c r="DG141" s="1044">
        <f>NormInputs!CW130</f>
        <v>228</v>
      </c>
      <c r="DH141" s="1044">
        <f>NormInputs!CX130</f>
        <v>183</v>
      </c>
      <c r="DI141" s="172">
        <f>NormInputs!CY130</f>
        <v>304</v>
      </c>
      <c r="DJ141" s="171">
        <f>NormInputs!CZ130</f>
        <v>169</v>
      </c>
      <c r="DK141" s="1044">
        <f>NormInputs!DA130</f>
        <v>228</v>
      </c>
      <c r="DL141" s="1044">
        <f>NormInputs!DB130</f>
        <v>264</v>
      </c>
      <c r="DM141" s="172">
        <f>NormInputs!DC130</f>
        <v>340</v>
      </c>
      <c r="DN141" s="1044">
        <f>NormInputs!DD130</f>
        <v>191</v>
      </c>
      <c r="DO141" s="1044">
        <f>NormInputs!DE130</f>
        <v>257</v>
      </c>
      <c r="DP141" s="1044">
        <f>NormInputs!DF130</f>
        <v>318</v>
      </c>
      <c r="DQ141" s="172">
        <f>NormInputs!DG130</f>
        <v>549</v>
      </c>
      <c r="DR141" s="1044">
        <f>NormInputs!DH130</f>
        <v>276</v>
      </c>
      <c r="DS141" s="1044">
        <f>NormInputs!DI130</f>
        <v>310</v>
      </c>
      <c r="DT141" s="1044">
        <f>NormInputs!DJ130</f>
        <v>101</v>
      </c>
      <c r="DU141" s="1044">
        <f>NormInputs!DK130</f>
        <v>601</v>
      </c>
      <c r="DV141" s="1044">
        <f>NormInputs!DL130</f>
        <v>513</v>
      </c>
      <c r="DW141" s="1044">
        <f t="shared" ref="DW141:DY141" si="435">+DW126</f>
        <v>381.25</v>
      </c>
      <c r="DX141" s="1044">
        <f t="shared" si="435"/>
        <v>399.0625</v>
      </c>
      <c r="DY141" s="172">
        <f t="shared" si="435"/>
        <v>473.578125</v>
      </c>
      <c r="DZ141" s="109"/>
    </row>
    <row r="142" spans="1:130" hidden="1" outlineLevel="1">
      <c r="A142" s="178" t="s">
        <v>543</v>
      </c>
      <c r="B142" s="169"/>
      <c r="C142" s="169"/>
      <c r="D142" s="169"/>
      <c r="E142" s="169"/>
      <c r="F142" s="169"/>
      <c r="G142" s="169">
        <f>SUM(G131:G141)</f>
        <v>13013.353929578923</v>
      </c>
      <c r="H142" s="169">
        <f>SUM(BB142:BE142)</f>
        <v>18833</v>
      </c>
      <c r="I142" s="169">
        <f>SUM(BF142:BI142)</f>
        <v>18511</v>
      </c>
      <c r="J142" s="169">
        <f>SUM(BJ142:BM142)</f>
        <v>13061</v>
      </c>
      <c r="K142" s="169">
        <f>SUM(BN142:BQ142)</f>
        <v>11874</v>
      </c>
      <c r="L142" s="169">
        <f>SUM(BO142:BR142)</f>
        <v>12052</v>
      </c>
      <c r="M142" s="169">
        <f>SUM(BP142:BS142)</f>
        <v>12411</v>
      </c>
      <c r="N142" s="169">
        <f t="shared" ref="N142:X142" si="436">N141+N139+N137+N134+N131</f>
        <v>17101</v>
      </c>
      <c r="O142" s="169">
        <f t="shared" si="436"/>
        <v>17538</v>
      </c>
      <c r="P142" s="169">
        <f t="shared" si="436"/>
        <v>17238</v>
      </c>
      <c r="Q142" s="1051">
        <f t="shared" si="436"/>
        <v>16872</v>
      </c>
      <c r="R142" s="169">
        <f t="shared" si="436"/>
        <v>16458</v>
      </c>
      <c r="S142" s="169">
        <f t="shared" si="436"/>
        <v>16244</v>
      </c>
      <c r="T142" s="1051">
        <f t="shared" si="436"/>
        <v>16175</v>
      </c>
      <c r="U142" s="169">
        <f t="shared" si="436"/>
        <v>16604</v>
      </c>
      <c r="V142" s="169">
        <f t="shared" si="436"/>
        <v>17191</v>
      </c>
      <c r="W142" s="169">
        <f>W141+W139+W137+W134+W131</f>
        <v>17775</v>
      </c>
      <c r="X142" s="169">
        <f t="shared" si="436"/>
        <v>17059</v>
      </c>
      <c r="Y142" s="169">
        <f t="shared" ref="Y142:Z142" si="437">Y141+Y139+Y137+Y134+Y131</f>
        <v>17247</v>
      </c>
      <c r="Z142" s="169">
        <f t="shared" ca="1" si="437"/>
        <v>17185.531443313364</v>
      </c>
      <c r="AA142" s="169">
        <f ca="1">AA141+AA139+AA137+AA134+AA131</f>
        <v>17326.654612606839</v>
      </c>
      <c r="AB142" s="169">
        <f ca="1">AB141+AB139+AB137+AB134+AB131</f>
        <v>17539.117790711662</v>
      </c>
      <c r="AC142" s="169">
        <f t="shared" ref="AC142:AG142" ca="1" si="438">AC141+AC139+AC137+AC134+AC131</f>
        <v>17762.512511533605</v>
      </c>
      <c r="AD142" s="169">
        <f t="shared" ca="1" si="438"/>
        <v>17996.036439295356</v>
      </c>
      <c r="AE142" s="169">
        <f t="shared" ca="1" si="438"/>
        <v>18240.908275959573</v>
      </c>
      <c r="AF142" s="169">
        <f t="shared" ca="1" si="438"/>
        <v>18499.25852053547</v>
      </c>
      <c r="AG142" s="169">
        <f t="shared" ca="1" si="438"/>
        <v>20074.79151201664</v>
      </c>
      <c r="AH142" s="532"/>
      <c r="AI142" s="169"/>
      <c r="AJ142" s="169"/>
      <c r="AK142" s="169"/>
      <c r="AL142" s="169"/>
      <c r="AM142" s="169"/>
      <c r="AN142" s="109">
        <f>(T142/N142)^(1/6)-1</f>
        <v>-9.235439083710828E-3</v>
      </c>
      <c r="AO142" s="169"/>
      <c r="AP142" s="178"/>
      <c r="AQ142" s="169"/>
      <c r="AR142" s="169"/>
      <c r="AS142" s="169"/>
      <c r="AT142" s="178"/>
      <c r="AU142" s="169"/>
      <c r="AV142" s="169"/>
      <c r="AW142" s="169"/>
      <c r="AX142" s="178"/>
      <c r="AY142" s="169"/>
      <c r="AZ142" s="169"/>
      <c r="BA142" s="169"/>
      <c r="BB142" s="178">
        <f t="shared" ref="BB142:CG142" si="439">BB141+BB139+BB137+BB134+BB131</f>
        <v>3449</v>
      </c>
      <c r="BC142" s="169">
        <f t="shared" si="439"/>
        <v>4783</v>
      </c>
      <c r="BD142" s="169">
        <f t="shared" si="439"/>
        <v>4548</v>
      </c>
      <c r="BE142" s="169">
        <f t="shared" si="439"/>
        <v>6053</v>
      </c>
      <c r="BF142" s="178">
        <f t="shared" si="439"/>
        <v>4768</v>
      </c>
      <c r="BG142" s="169">
        <f t="shared" si="439"/>
        <v>4975</v>
      </c>
      <c r="BH142" s="169">
        <f t="shared" si="439"/>
        <v>3604</v>
      </c>
      <c r="BI142" s="169">
        <f t="shared" si="439"/>
        <v>5164</v>
      </c>
      <c r="BJ142" s="178">
        <f t="shared" si="439"/>
        <v>2580</v>
      </c>
      <c r="BK142" s="169">
        <f t="shared" si="439"/>
        <v>3400</v>
      </c>
      <c r="BL142" s="169">
        <f t="shared" si="439"/>
        <v>2814</v>
      </c>
      <c r="BM142" s="169">
        <f t="shared" si="439"/>
        <v>4267</v>
      </c>
      <c r="BN142" s="178">
        <f t="shared" si="439"/>
        <v>2463</v>
      </c>
      <c r="BO142" s="169">
        <f t="shared" si="439"/>
        <v>2824</v>
      </c>
      <c r="BP142" s="169">
        <f t="shared" si="439"/>
        <v>2847</v>
      </c>
      <c r="BQ142" s="169">
        <f t="shared" si="439"/>
        <v>3740</v>
      </c>
      <c r="BR142" s="178">
        <f t="shared" si="439"/>
        <v>2641</v>
      </c>
      <c r="BS142" s="169">
        <f t="shared" si="439"/>
        <v>3183</v>
      </c>
      <c r="BT142" s="169">
        <f t="shared" si="439"/>
        <v>3253</v>
      </c>
      <c r="BU142" s="169">
        <f t="shared" si="439"/>
        <v>4182</v>
      </c>
      <c r="BV142" s="178">
        <f t="shared" si="439"/>
        <v>3594</v>
      </c>
      <c r="BW142" s="169">
        <f t="shared" si="439"/>
        <v>4061</v>
      </c>
      <c r="BX142" s="169">
        <f t="shared" si="439"/>
        <v>3897</v>
      </c>
      <c r="BY142" s="169">
        <f t="shared" si="439"/>
        <v>3772</v>
      </c>
      <c r="BZ142" s="782">
        <f t="shared" si="439"/>
        <v>4021</v>
      </c>
      <c r="CA142" s="169">
        <f t="shared" si="439"/>
        <v>4264</v>
      </c>
      <c r="CB142" s="169">
        <f t="shared" si="439"/>
        <v>3993</v>
      </c>
      <c r="CC142" s="169">
        <f t="shared" si="439"/>
        <v>4823</v>
      </c>
      <c r="CD142" s="178">
        <f t="shared" si="439"/>
        <v>4163</v>
      </c>
      <c r="CE142" s="169">
        <f t="shared" si="439"/>
        <v>4352</v>
      </c>
      <c r="CF142" s="169">
        <f t="shared" si="439"/>
        <v>4277</v>
      </c>
      <c r="CG142" s="169">
        <f t="shared" si="439"/>
        <v>4746</v>
      </c>
      <c r="CH142" s="178">
        <f t="shared" ref="CH142:DF142" si="440">CH141+CH139+CH137+CH134+CH131</f>
        <v>4220</v>
      </c>
      <c r="CI142" s="169">
        <f t="shared" si="440"/>
        <v>4177</v>
      </c>
      <c r="CJ142" s="169">
        <f t="shared" si="440"/>
        <v>4178</v>
      </c>
      <c r="CK142" s="169">
        <f t="shared" si="440"/>
        <v>4663</v>
      </c>
      <c r="CL142" s="178">
        <f t="shared" si="440"/>
        <v>3663</v>
      </c>
      <c r="CM142" s="169">
        <f t="shared" si="440"/>
        <v>4343</v>
      </c>
      <c r="CN142" s="169">
        <f t="shared" si="440"/>
        <v>4313</v>
      </c>
      <c r="CO142" s="169">
        <f t="shared" si="440"/>
        <v>4553</v>
      </c>
      <c r="CP142" s="178">
        <f t="shared" si="440"/>
        <v>3423</v>
      </c>
      <c r="CQ142" s="169">
        <f t="shared" si="440"/>
        <v>4196</v>
      </c>
      <c r="CR142" s="169">
        <f t="shared" si="440"/>
        <v>4125</v>
      </c>
      <c r="CS142" s="169">
        <f t="shared" si="440"/>
        <v>4714</v>
      </c>
      <c r="CT142" s="178">
        <f t="shared" si="440"/>
        <v>4363</v>
      </c>
      <c r="CU142" s="169">
        <f t="shared" si="440"/>
        <v>4555</v>
      </c>
      <c r="CV142" s="169">
        <f t="shared" si="440"/>
        <v>3628</v>
      </c>
      <c r="CW142" s="179">
        <f t="shared" si="440"/>
        <v>3698</v>
      </c>
      <c r="CX142" s="169">
        <f t="shared" si="440"/>
        <v>3565</v>
      </c>
      <c r="CY142" s="169">
        <f t="shared" si="440"/>
        <v>3732</v>
      </c>
      <c r="CZ142" s="169">
        <f t="shared" si="440"/>
        <v>3885</v>
      </c>
      <c r="DA142" s="169">
        <f t="shared" si="440"/>
        <v>4993</v>
      </c>
      <c r="DB142" s="178">
        <f t="shared" si="440"/>
        <v>3602</v>
      </c>
      <c r="DC142" s="169">
        <f t="shared" si="440"/>
        <v>4014</v>
      </c>
      <c r="DD142" s="169">
        <f t="shared" si="440"/>
        <v>4191</v>
      </c>
      <c r="DE142" s="169">
        <f t="shared" si="440"/>
        <v>4797</v>
      </c>
      <c r="DF142" s="178">
        <f t="shared" si="440"/>
        <v>4150</v>
      </c>
      <c r="DG142" s="1051">
        <f>DG141+DG139+DG137+DG134+DG131</f>
        <v>4344</v>
      </c>
      <c r="DH142" s="1051">
        <f>DH141+DH139+DH137+DH134+DH131</f>
        <v>4130</v>
      </c>
      <c r="DI142" s="179">
        <f>DI141+DI139+DI137+DI134+DI131</f>
        <v>4567</v>
      </c>
      <c r="DJ142" s="178">
        <f t="shared" ref="DJ142:DM142" si="441">DJ141+DJ139+DJ137+DJ134+DJ131</f>
        <v>3665</v>
      </c>
      <c r="DK142" s="1051">
        <f t="shared" si="441"/>
        <v>4488</v>
      </c>
      <c r="DL142" s="1051">
        <f t="shared" si="441"/>
        <v>4387</v>
      </c>
      <c r="DM142" s="179">
        <f t="shared" si="441"/>
        <v>5235</v>
      </c>
      <c r="DN142" s="1051">
        <f t="shared" ref="DN142:DO142" si="442">DN141+DN139+DN137+DN134+DN131</f>
        <v>3387</v>
      </c>
      <c r="DO142" s="1051">
        <f t="shared" si="442"/>
        <v>3886</v>
      </c>
      <c r="DP142" s="1051">
        <f t="shared" ref="DP142:DQ142" si="443">DP141+DP139+DP137+DP134+DP131</f>
        <v>4125</v>
      </c>
      <c r="DQ142" s="179">
        <f t="shared" si="443"/>
        <v>5661</v>
      </c>
      <c r="DR142" s="1051">
        <f t="shared" ref="DR142:DS142" si="444">DR141+DR139+DR137+DR134+DR131</f>
        <v>3067</v>
      </c>
      <c r="DS142" s="1051">
        <f t="shared" si="444"/>
        <v>3944</v>
      </c>
      <c r="DT142" s="1051">
        <f t="shared" ref="DT142:DU142" si="445">DT141+DT139+DT137+DT134+DT131</f>
        <v>4271</v>
      </c>
      <c r="DU142" s="1051">
        <f t="shared" si="445"/>
        <v>5965</v>
      </c>
      <c r="DV142" s="1051">
        <f t="shared" ref="DV142" si="446">DV141+DV139+DV137+DV134+DV131</f>
        <v>4553</v>
      </c>
      <c r="DW142" s="1051">
        <f t="shared" ref="DW142:DY142" ca="1" si="447">DW141+DW139+DW137+DW134+DW131</f>
        <v>4102.0268345890599</v>
      </c>
      <c r="DX142" s="1051">
        <f t="shared" ca="1" si="447"/>
        <v>4169.9259917685913</v>
      </c>
      <c r="DY142" s="179">
        <f t="shared" ca="1" si="447"/>
        <v>4360.5786169557132</v>
      </c>
      <c r="DZ142" s="109"/>
    </row>
    <row r="143" spans="1:130" hidden="1" outlineLevel="1">
      <c r="A143" s="176" t="s">
        <v>544</v>
      </c>
      <c r="B143" s="94"/>
      <c r="C143" s="94"/>
      <c r="D143" s="195"/>
      <c r="E143" s="195"/>
      <c r="F143" s="94"/>
      <c r="G143" s="94"/>
      <c r="H143" s="94"/>
      <c r="I143" s="94"/>
      <c r="J143" s="94"/>
      <c r="K143" s="94"/>
      <c r="L143" s="94"/>
      <c r="M143" s="94"/>
      <c r="N143" s="94"/>
      <c r="O143" s="94">
        <f>O142/IS!O30</f>
        <v>0.18985656292286873</v>
      </c>
      <c r="P143" s="94">
        <f>P142/IS!P30</f>
        <v>0.17753563483562659</v>
      </c>
      <c r="Q143" s="1045">
        <f>Q142/IS!Q30</f>
        <v>0.16474471014421999</v>
      </c>
      <c r="R143" s="94">
        <f>R142/IS!R30</f>
        <v>0.15760442801601135</v>
      </c>
      <c r="S143" s="94">
        <f>S142/IS!S30</f>
        <v>0.14650732807215333</v>
      </c>
      <c r="T143" s="1045">
        <f>T142/IS!T30</f>
        <v>0.13993546098677209</v>
      </c>
      <c r="U143" s="94">
        <f>U142/IS!U30</f>
        <v>0.13842318946903318</v>
      </c>
      <c r="V143" s="94">
        <f>V142/IS!V30</f>
        <v>0.13555112243047396</v>
      </c>
      <c r="W143" s="94">
        <f>W142/IS!W30</f>
        <v>0.13734247146908152</v>
      </c>
      <c r="X143" s="94">
        <f>X142/IS!X30</f>
        <v>0.13597704356143636</v>
      </c>
      <c r="Y143" s="94">
        <f>Y142/IS!Y30</f>
        <v>0.1368440262151483</v>
      </c>
      <c r="Z143" s="94">
        <f ca="1">Z142/IS!Z30</f>
        <v>0.13327766842527139</v>
      </c>
      <c r="AA143" s="94">
        <f ca="1">AA142/IS!AA30</f>
        <v>0.13427766842527139</v>
      </c>
      <c r="AB143" s="94">
        <f ca="1">AB142/IS!AB30</f>
        <v>0.13527766842527139</v>
      </c>
      <c r="AC143" s="94">
        <f ca="1">AC142/IS!AC30</f>
        <v>0.13627766842527139</v>
      </c>
      <c r="AD143" s="94">
        <f ca="1">AD142/IS!AD30</f>
        <v>0.13727766842527139</v>
      </c>
      <c r="AE143" s="94">
        <f ca="1">AE142/IS!AE30</f>
        <v>0.13827766842527139</v>
      </c>
      <c r="AF143" s="94">
        <f ca="1">AF142/IS!AF30</f>
        <v>0.13927766842527142</v>
      </c>
      <c r="AG143" s="94">
        <f ca="1">AG142/IS!AG30</f>
        <v>0.15000000000000002</v>
      </c>
      <c r="AH143" s="193"/>
      <c r="AI143" s="195"/>
      <c r="AJ143" s="195"/>
      <c r="AK143" s="195"/>
      <c r="AL143" s="195"/>
      <c r="AM143" s="195"/>
      <c r="AN143" s="195"/>
      <c r="AO143" s="195"/>
      <c r="AP143" s="182"/>
      <c r="AQ143" s="195"/>
      <c r="AR143" s="195"/>
      <c r="AS143" s="195"/>
      <c r="AT143" s="182"/>
      <c r="AU143" s="195"/>
      <c r="AV143" s="195"/>
      <c r="AW143" s="195"/>
      <c r="AX143" s="182"/>
      <c r="AY143" s="195"/>
      <c r="AZ143" s="195"/>
      <c r="BA143" s="195"/>
      <c r="BB143" s="182"/>
      <c r="BC143" s="195"/>
      <c r="BD143" s="195"/>
      <c r="BE143" s="195"/>
      <c r="BF143" s="182"/>
      <c r="BG143" s="195"/>
      <c r="BH143" s="195"/>
      <c r="BI143" s="195"/>
      <c r="BJ143" s="182"/>
      <c r="BK143" s="195"/>
      <c r="BL143" s="195"/>
      <c r="BM143" s="195"/>
      <c r="BN143" s="182"/>
      <c r="BO143" s="195"/>
      <c r="BP143" s="195"/>
      <c r="BQ143" s="195"/>
      <c r="BR143" s="182"/>
      <c r="BS143" s="195"/>
      <c r="BT143" s="195"/>
      <c r="BU143" s="195"/>
      <c r="BV143" s="182"/>
      <c r="BW143" s="195"/>
      <c r="BX143" s="195"/>
      <c r="BY143" s="195"/>
      <c r="BZ143" s="147">
        <f>+BZ142/IS!BW30</f>
        <v>0.18995715118103182</v>
      </c>
      <c r="CA143" s="94">
        <f>+CA142/IS!BX30</f>
        <v>0.19756289672427374</v>
      </c>
      <c r="CB143" s="94">
        <f>+CB142/IS!BY30</f>
        <v>0.18017326956050897</v>
      </c>
      <c r="CC143" s="94">
        <f>+CC142/IS!BZ30</f>
        <v>0.2161520190023753</v>
      </c>
      <c r="CD143" s="147">
        <f>+CD142/IS!CA30</f>
        <v>0.18658957464927614</v>
      </c>
      <c r="CE143" s="94">
        <f>+CE142/IS!CB30</f>
        <v>0.18921739130434784</v>
      </c>
      <c r="CF143" s="94">
        <f>+CF142/IS!CC30</f>
        <v>0.18205422891925255</v>
      </c>
      <c r="CG143" s="94">
        <f>+CG142/IS!CD30</f>
        <v>0.20134911543846251</v>
      </c>
      <c r="CH143" s="147">
        <f>+CH142/IS!CE30</f>
        <v>0.17900318133616119</v>
      </c>
      <c r="CI143" s="94">
        <f>+CI142/IS!CF30</f>
        <v>0.17314707345382191</v>
      </c>
      <c r="CJ143" s="94">
        <f>+CJ142/IS!CG30</f>
        <v>0.16879444085326439</v>
      </c>
      <c r="CK143" s="94">
        <f>+CK142/IS!CH30</f>
        <v>0.18920673564617568</v>
      </c>
      <c r="CL143" s="147">
        <f>+CL142/IS!CI30</f>
        <v>0.14555930856348104</v>
      </c>
      <c r="CM143" s="94">
        <f>+CM142/IS!CJ30</f>
        <v>0.17024028850299872</v>
      </c>
      <c r="CN143" s="94">
        <f>+CN142/IS!CK30</f>
        <v>0.16630677874604766</v>
      </c>
      <c r="CO143" s="94">
        <f>+CO142/IS!CL30</f>
        <v>0.17645235050187963</v>
      </c>
      <c r="CP143" s="147">
        <f>+CP142/IS!CM30</f>
        <v>0.13352837916910473</v>
      </c>
      <c r="CQ143" s="94">
        <f>+CQ142/IS!CN30</f>
        <v>0.16193269527631984</v>
      </c>
      <c r="CR143" s="94">
        <f>+CR142/IS!CO30</f>
        <v>0.15575441776166743</v>
      </c>
      <c r="CS143" s="94">
        <f>+CS142/IS!CP30</f>
        <v>0.17859443076340217</v>
      </c>
      <c r="CT143" s="147">
        <f>+CT142/IS!CQ30</f>
        <v>0.16165246387550944</v>
      </c>
      <c r="CU143" s="94">
        <f>+CU142/IS!CR30</f>
        <v>0.16541981406159209</v>
      </c>
      <c r="CV143" s="94">
        <f>+CV142/IS!CS30</f>
        <v>0.12997528033532763</v>
      </c>
      <c r="CW143" s="101">
        <f>+CW142/IS!CT30</f>
        <v>0.13004642003094669</v>
      </c>
      <c r="CX143" s="94">
        <f>+CX142/IS!CU30</f>
        <v>0.12623043693789393</v>
      </c>
      <c r="CY143" s="94">
        <f>+CY142/IS!CV30</f>
        <v>0.13083260297984226</v>
      </c>
      <c r="CZ143" s="94">
        <f>+CZ142/IS!CW30</f>
        <v>0.13393318854069708</v>
      </c>
      <c r="DA143" s="94">
        <f>+DA142/IS!CX30</f>
        <v>0.16746604058359885</v>
      </c>
      <c r="DB143" s="147">
        <f>+DB142/IS!CY30</f>
        <v>0.12318741450068399</v>
      </c>
      <c r="DC143" s="94">
        <f>+DC142/IS!CZ30</f>
        <v>0.13534747277202683</v>
      </c>
      <c r="DD143" s="94">
        <f>+DD142/IS!DA30</f>
        <v>0.1391341876369431</v>
      </c>
      <c r="DE143" s="94">
        <f>+DE142/IS!DB30</f>
        <v>0.15508211560843141</v>
      </c>
      <c r="DF143" s="147">
        <f>+DF142/IS!DC30</f>
        <v>0.13522319973932878</v>
      </c>
      <c r="DG143" s="1045">
        <f>+DG142/IS!DD30</f>
        <v>0.1385424972093765</v>
      </c>
      <c r="DH143" s="1045">
        <f>+DH142/IS!DE30</f>
        <v>0.13075413157728108</v>
      </c>
      <c r="DI143" s="101">
        <f>+DI142/IS!DF30</f>
        <v>0.13759339599903592</v>
      </c>
      <c r="DJ143" s="147">
        <f>+DJ142/IS!DG30</f>
        <v>0.11661204619937</v>
      </c>
      <c r="DK143" s="1045">
        <f>+DK142/IS!DH30</f>
        <v>0.1416800833412255</v>
      </c>
      <c r="DL143" s="1045">
        <f>+DL142/IS!DI30</f>
        <v>0.13451278592015697</v>
      </c>
      <c r="DM143" s="101">
        <f>+DM142/IS!DJ30</f>
        <v>0.15533663689504762</v>
      </c>
      <c r="DN143" s="1045">
        <f>+DN142/IS!DK30</f>
        <v>0.10702774442267585</v>
      </c>
      <c r="DO143" s="1045">
        <f>+DO142/IS!DL30</f>
        <v>0.12727630027512118</v>
      </c>
      <c r="DP143" s="1045">
        <f>+DP142/IS!DM30</f>
        <v>0.13333548825031516</v>
      </c>
      <c r="DQ143" s="101">
        <f>+DQ142/IS!DN30</f>
        <v>0.17504638218923932</v>
      </c>
      <c r="DR143" s="1045">
        <f>+DR142/IS!DO30</f>
        <v>0.10287113436640505</v>
      </c>
      <c r="DS143" s="1045">
        <f>+DS142/IS!DP30</f>
        <v>0.12910828859499804</v>
      </c>
      <c r="DT143" s="1045">
        <f>+DT142/IS!DQ30</f>
        <v>0.1346596462464924</v>
      </c>
      <c r="DU143" s="1045">
        <f>+DU142/IS!DR30</f>
        <v>0.17567368576056547</v>
      </c>
      <c r="DV143" s="1045">
        <f>+DV142/IS!DS30</f>
        <v>0.14330227873599397</v>
      </c>
      <c r="DW143" s="1045">
        <f ca="1">+DW142/IS!DT30</f>
        <v>0.13</v>
      </c>
      <c r="DX143" s="1045">
        <f ca="1">+DX142/IS!DU30</f>
        <v>0.13</v>
      </c>
      <c r="DY143" s="101">
        <f ca="1">+DY142/IS!DV30</f>
        <v>0.13</v>
      </c>
      <c r="DZ143" s="94"/>
    </row>
    <row r="144" spans="1:130" hidden="1" outlineLevel="1">
      <c r="A144" s="100"/>
      <c r="B144" s="87"/>
      <c r="C144" s="87"/>
      <c r="D144" s="91"/>
      <c r="E144" s="149"/>
      <c r="F144" s="87"/>
      <c r="G144" s="87"/>
      <c r="H144" s="87"/>
      <c r="I144" s="87"/>
      <c r="J144" s="87"/>
      <c r="K144" s="87"/>
      <c r="L144" s="87"/>
      <c r="M144" s="87"/>
      <c r="N144" s="87"/>
      <c r="O144" s="87"/>
      <c r="P144" s="87"/>
      <c r="Q144" s="1041"/>
      <c r="R144" s="87"/>
      <c r="S144" s="149"/>
      <c r="T144" s="1041"/>
      <c r="U144" s="87"/>
      <c r="V144" s="87"/>
      <c r="W144" s="87"/>
      <c r="X144" s="87"/>
      <c r="Y144" s="87"/>
      <c r="Z144" s="87"/>
      <c r="AA144" s="87"/>
      <c r="AB144" s="87"/>
      <c r="AC144" s="87"/>
      <c r="AD144" s="87"/>
      <c r="AE144" s="87"/>
      <c r="AF144" s="87"/>
      <c r="AG144" s="87"/>
      <c r="AH144" s="3050"/>
      <c r="AI144" s="149"/>
      <c r="AJ144" s="149"/>
      <c r="AK144" s="149"/>
      <c r="AL144" s="149"/>
      <c r="AM144" s="91"/>
      <c r="AN144" s="149"/>
      <c r="AO144" s="149"/>
      <c r="AP144" s="150"/>
      <c r="AQ144" s="149"/>
      <c r="AR144" s="149"/>
      <c r="AS144" s="149"/>
      <c r="AT144" s="150"/>
      <c r="AU144" s="149"/>
      <c r="AV144" s="149"/>
      <c r="AW144" s="149"/>
      <c r="AX144" s="150"/>
      <c r="AY144" s="149"/>
      <c r="AZ144" s="149"/>
      <c r="BA144" s="149"/>
      <c r="BB144" s="150"/>
      <c r="BC144" s="149"/>
      <c r="BD144" s="149"/>
      <c r="BE144" s="149"/>
      <c r="BF144" s="150"/>
      <c r="BG144" s="149"/>
      <c r="BH144" s="149"/>
      <c r="BI144" s="149"/>
      <c r="BJ144" s="150"/>
      <c r="BK144" s="149"/>
      <c r="BL144" s="149"/>
      <c r="BM144" s="149"/>
      <c r="BN144" s="150"/>
      <c r="BO144" s="149"/>
      <c r="BP144" s="149"/>
      <c r="BQ144" s="149"/>
      <c r="BR144" s="150"/>
      <c r="BS144" s="149"/>
      <c r="BT144" s="149"/>
      <c r="BU144" s="149"/>
      <c r="BV144" s="150"/>
      <c r="BW144" s="149"/>
      <c r="BX144" s="149"/>
      <c r="BY144" s="149"/>
      <c r="BZ144" s="88"/>
      <c r="CA144" s="87"/>
      <c r="CB144" s="87"/>
      <c r="CC144" s="87"/>
      <c r="CD144" s="88"/>
      <c r="CE144" s="87"/>
      <c r="CF144" s="87"/>
      <c r="CG144" s="87"/>
      <c r="CH144" s="88"/>
      <c r="CI144" s="87"/>
      <c r="CJ144" s="87"/>
      <c r="CK144" s="149"/>
      <c r="CL144" s="150"/>
      <c r="CM144" s="149"/>
      <c r="CN144" s="149"/>
      <c r="CO144" s="149"/>
      <c r="CP144" s="150"/>
      <c r="CQ144" s="149"/>
      <c r="CR144" s="149"/>
      <c r="CS144" s="149"/>
      <c r="CT144" s="150"/>
      <c r="CU144" s="149"/>
      <c r="CV144" s="149"/>
      <c r="CW144" s="155"/>
      <c r="CX144" s="149"/>
      <c r="CY144" s="149"/>
      <c r="CZ144" s="149"/>
      <c r="DA144" s="149"/>
      <c r="DB144" s="150"/>
      <c r="DC144" s="149"/>
      <c r="DD144" s="149"/>
      <c r="DE144" s="149"/>
      <c r="DF144" s="150"/>
      <c r="DG144" s="1113"/>
      <c r="DH144" s="1113"/>
      <c r="DI144" s="155"/>
      <c r="DJ144" s="150"/>
      <c r="DK144" s="1113"/>
      <c r="DL144" s="1113"/>
      <c r="DM144" s="155"/>
      <c r="DN144" s="1113"/>
      <c r="DO144" s="1113"/>
      <c r="DP144" s="1113"/>
      <c r="DQ144" s="155"/>
      <c r="DR144" s="1113"/>
      <c r="DS144" s="1113"/>
      <c r="DT144" s="1113"/>
      <c r="DU144" s="1113"/>
      <c r="DV144" s="1113"/>
      <c r="DW144" s="1113"/>
      <c r="DX144" s="1113"/>
      <c r="DY144" s="155"/>
      <c r="DZ144" s="87"/>
    </row>
    <row r="145" spans="1:130" hidden="1" outlineLevel="1">
      <c r="A145" s="778" t="s">
        <v>545</v>
      </c>
      <c r="B145" s="777"/>
      <c r="C145" s="777"/>
      <c r="D145" s="777"/>
      <c r="E145" s="531"/>
      <c r="F145" s="533"/>
      <c r="G145" s="533"/>
      <c r="H145" s="533"/>
      <c r="I145" s="533"/>
      <c r="J145" s="533"/>
      <c r="K145" s="533"/>
      <c r="L145" s="533"/>
      <c r="M145" s="533"/>
      <c r="N145" s="533">
        <f t="shared" ref="N145:X145" si="448">N141+N139+N137+N134+N131+N122</f>
        <v>18273.537</v>
      </c>
      <c r="O145" s="533">
        <f t="shared" si="448"/>
        <v>18624.195</v>
      </c>
      <c r="P145" s="533">
        <f t="shared" si="448"/>
        <v>18154.2</v>
      </c>
      <c r="Q145" s="1137">
        <f t="shared" si="448"/>
        <v>16872</v>
      </c>
      <c r="R145" s="533">
        <f t="shared" si="448"/>
        <v>16458</v>
      </c>
      <c r="S145" s="533">
        <f t="shared" si="448"/>
        <v>16244</v>
      </c>
      <c r="T145" s="1137">
        <f t="shared" si="448"/>
        <v>16175</v>
      </c>
      <c r="U145" s="533">
        <f t="shared" si="448"/>
        <v>16604</v>
      </c>
      <c r="V145" s="533">
        <f t="shared" si="448"/>
        <v>17191</v>
      </c>
      <c r="W145" s="533">
        <f>W141+W139+W137+W134+W131+W122</f>
        <v>17775</v>
      </c>
      <c r="X145" s="533">
        <f t="shared" si="448"/>
        <v>17059</v>
      </c>
      <c r="Y145" s="533">
        <f t="shared" ref="Y145:Z145" si="449">Y141+Y139+Y137+Y134+Y131+Y122</f>
        <v>17247</v>
      </c>
      <c r="Z145" s="533">
        <f t="shared" ca="1" si="449"/>
        <v>17185.531443313364</v>
      </c>
      <c r="AA145" s="533">
        <f ca="1">AA141+AA139+AA137+AA134+AA131+AA122</f>
        <v>17326.654612606839</v>
      </c>
      <c r="AB145" s="533">
        <f ca="1">AB141+AB139+AB137+AB134+AB131+AB122</f>
        <v>17539.117790711662</v>
      </c>
      <c r="AC145" s="533">
        <f t="shared" ref="AC145:AG145" ca="1" si="450">AC141+AC139+AC137+AC134+AC131+AC122</f>
        <v>17762.512511533605</v>
      </c>
      <c r="AD145" s="533">
        <f t="shared" ca="1" si="450"/>
        <v>17996.036439295356</v>
      </c>
      <c r="AE145" s="533">
        <f t="shared" ca="1" si="450"/>
        <v>18240.908275959573</v>
      </c>
      <c r="AF145" s="533">
        <f t="shared" ca="1" si="450"/>
        <v>18499.25852053547</v>
      </c>
      <c r="AG145" s="533">
        <f t="shared" ca="1" si="450"/>
        <v>20074.79151201664</v>
      </c>
      <c r="AH145" s="532"/>
      <c r="AI145" s="531"/>
      <c r="AJ145" s="531"/>
      <c r="AK145" s="531"/>
      <c r="AL145" s="531"/>
      <c r="AM145" s="531"/>
      <c r="AN145" s="531"/>
      <c r="AO145" s="531"/>
      <c r="AP145" s="783"/>
      <c r="AQ145" s="531"/>
      <c r="AR145" s="531"/>
      <c r="AS145" s="531"/>
      <c r="AT145" s="783"/>
      <c r="AU145" s="531"/>
      <c r="AV145" s="531"/>
      <c r="AW145" s="531"/>
      <c r="AX145" s="783"/>
      <c r="AY145" s="531"/>
      <c r="AZ145" s="531"/>
      <c r="BA145" s="531"/>
      <c r="BB145" s="783"/>
      <c r="BC145" s="531"/>
      <c r="BD145" s="531"/>
      <c r="BE145" s="531"/>
      <c r="BF145" s="783"/>
      <c r="BG145" s="531"/>
      <c r="BH145" s="531"/>
      <c r="BI145" s="531"/>
      <c r="BJ145" s="783"/>
      <c r="BK145" s="531"/>
      <c r="BL145" s="531"/>
      <c r="BM145" s="531"/>
      <c r="BN145" s="783"/>
      <c r="BO145" s="531"/>
      <c r="BP145" s="531"/>
      <c r="BQ145" s="531"/>
      <c r="BR145" s="783"/>
      <c r="BS145" s="531"/>
      <c r="BT145" s="531"/>
      <c r="BU145" s="531"/>
      <c r="BV145" s="534">
        <f t="shared" ref="BV145:DE145" si="451">BV141+BV139+BV137+BV134+BV131+BV122</f>
        <v>3859</v>
      </c>
      <c r="BW145" s="533">
        <f t="shared" si="451"/>
        <v>4389</v>
      </c>
      <c r="BX145" s="533">
        <f t="shared" si="451"/>
        <v>4131</v>
      </c>
      <c r="BY145" s="533">
        <f t="shared" si="451"/>
        <v>4043</v>
      </c>
      <c r="BZ145" s="534">
        <f t="shared" si="451"/>
        <v>4179.3869999999997</v>
      </c>
      <c r="CA145" s="533">
        <f t="shared" si="451"/>
        <v>4554.7849999999999</v>
      </c>
      <c r="CB145" s="533">
        <f t="shared" si="451"/>
        <v>4270.3729999999996</v>
      </c>
      <c r="CC145" s="533">
        <f t="shared" si="451"/>
        <v>5268.9920000000002</v>
      </c>
      <c r="CD145" s="534">
        <f t="shared" si="451"/>
        <v>4332.6480000000001</v>
      </c>
      <c r="CE145" s="533">
        <f t="shared" si="451"/>
        <v>4677.3999999999996</v>
      </c>
      <c r="CF145" s="533">
        <f t="shared" si="451"/>
        <v>4526.5469999999996</v>
      </c>
      <c r="CG145" s="533">
        <f t="shared" si="451"/>
        <v>5087.6000000000004</v>
      </c>
      <c r="CH145" s="534">
        <f t="shared" si="451"/>
        <v>4366.3</v>
      </c>
      <c r="CI145" s="533">
        <f t="shared" si="451"/>
        <v>4403.3</v>
      </c>
      <c r="CJ145" s="533">
        <f t="shared" si="451"/>
        <v>4449.8</v>
      </c>
      <c r="CK145" s="533">
        <f t="shared" si="451"/>
        <v>4934.8</v>
      </c>
      <c r="CL145" s="534">
        <f t="shared" si="451"/>
        <v>3663</v>
      </c>
      <c r="CM145" s="533">
        <f t="shared" si="451"/>
        <v>4343</v>
      </c>
      <c r="CN145" s="533">
        <f t="shared" si="451"/>
        <v>4313</v>
      </c>
      <c r="CO145" s="533">
        <f t="shared" si="451"/>
        <v>4553</v>
      </c>
      <c r="CP145" s="534">
        <f t="shared" si="451"/>
        <v>3423</v>
      </c>
      <c r="CQ145" s="533">
        <f t="shared" si="451"/>
        <v>4196</v>
      </c>
      <c r="CR145" s="533">
        <f t="shared" si="451"/>
        <v>4125</v>
      </c>
      <c r="CS145" s="533">
        <f t="shared" si="451"/>
        <v>4714</v>
      </c>
      <c r="CT145" s="534">
        <f t="shared" si="451"/>
        <v>4363</v>
      </c>
      <c r="CU145" s="533">
        <f t="shared" si="451"/>
        <v>4555</v>
      </c>
      <c r="CV145" s="533">
        <f t="shared" si="451"/>
        <v>3628</v>
      </c>
      <c r="CW145" s="535">
        <f t="shared" si="451"/>
        <v>3698</v>
      </c>
      <c r="CX145" s="533">
        <f t="shared" si="451"/>
        <v>3565</v>
      </c>
      <c r="CY145" s="533">
        <f t="shared" si="451"/>
        <v>3732</v>
      </c>
      <c r="CZ145" s="533">
        <f t="shared" si="451"/>
        <v>3885</v>
      </c>
      <c r="DA145" s="533">
        <f t="shared" si="451"/>
        <v>4993</v>
      </c>
      <c r="DB145" s="534">
        <f t="shared" si="451"/>
        <v>3602</v>
      </c>
      <c r="DC145" s="533">
        <f t="shared" si="451"/>
        <v>4014</v>
      </c>
      <c r="DD145" s="533">
        <f t="shared" si="451"/>
        <v>4191</v>
      </c>
      <c r="DE145" s="533">
        <f t="shared" si="451"/>
        <v>4797</v>
      </c>
      <c r="DF145" s="534">
        <f>DF141+DF139+DF137+DF134+DF131+DF122</f>
        <v>4150</v>
      </c>
      <c r="DG145" s="1137">
        <f>DG141+DG139+DG137+DG134+DG131+DG122</f>
        <v>4344</v>
      </c>
      <c r="DH145" s="1137">
        <f>DH141+DH139+DH137+DH134+DH131+DH122</f>
        <v>4130</v>
      </c>
      <c r="DI145" s="535">
        <f>DI141+DI139+DI137+DI134+DI131+DI122</f>
        <v>4567</v>
      </c>
      <c r="DJ145" s="534">
        <f t="shared" ref="DJ145:DM145" si="452">DJ141+DJ139+DJ137+DJ134+DJ131+DJ122</f>
        <v>3665</v>
      </c>
      <c r="DK145" s="1137">
        <f t="shared" si="452"/>
        <v>4488</v>
      </c>
      <c r="DL145" s="1137">
        <f t="shared" si="452"/>
        <v>4387</v>
      </c>
      <c r="DM145" s="535">
        <f t="shared" si="452"/>
        <v>5235</v>
      </c>
      <c r="DN145" s="1137">
        <f t="shared" ref="DN145:DO145" si="453">DN141+DN139+DN137+DN134+DN131+DN122</f>
        <v>3387</v>
      </c>
      <c r="DO145" s="1137">
        <f t="shared" si="453"/>
        <v>3886</v>
      </c>
      <c r="DP145" s="1137">
        <f t="shared" ref="DP145:DQ145" si="454">DP141+DP139+DP137+DP134+DP131+DP122</f>
        <v>4125</v>
      </c>
      <c r="DQ145" s="535">
        <f t="shared" si="454"/>
        <v>5661</v>
      </c>
      <c r="DR145" s="1137">
        <f t="shared" ref="DR145:DS145" si="455">DR141+DR139+DR137+DR134+DR131+DR122</f>
        <v>3067</v>
      </c>
      <c r="DS145" s="1137">
        <f t="shared" si="455"/>
        <v>3944</v>
      </c>
      <c r="DT145" s="1137">
        <f t="shared" ref="DT145:DU145" si="456">DT141+DT139+DT137+DT134+DT131+DT122</f>
        <v>4271</v>
      </c>
      <c r="DU145" s="1137">
        <f t="shared" si="456"/>
        <v>5965</v>
      </c>
      <c r="DV145" s="1137">
        <f t="shared" ref="DV145" si="457">DV141+DV139+DV137+DV134+DV131+DV122</f>
        <v>4553</v>
      </c>
      <c r="DW145" s="1137">
        <f t="shared" ref="DW145:DY145" ca="1" si="458">DW141+DW139+DW137+DW134+DW131+DW122</f>
        <v>4102.0268345890599</v>
      </c>
      <c r="DX145" s="1137">
        <f t="shared" ca="1" si="458"/>
        <v>4169.9259917685913</v>
      </c>
      <c r="DY145" s="535">
        <f t="shared" ca="1" si="458"/>
        <v>4360.5786169557132</v>
      </c>
      <c r="DZ145" s="109"/>
    </row>
    <row r="146" spans="1:130" hidden="1" outlineLevel="1">
      <c r="A146" s="779" t="s">
        <v>544</v>
      </c>
      <c r="B146" s="485"/>
      <c r="C146" s="485"/>
      <c r="D146" s="784"/>
      <c r="E146" s="784"/>
      <c r="F146" s="485"/>
      <c r="G146" s="485"/>
      <c r="H146" s="485"/>
      <c r="I146" s="485"/>
      <c r="J146" s="485"/>
      <c r="K146" s="485"/>
      <c r="L146" s="485"/>
      <c r="M146" s="485"/>
      <c r="N146" s="485">
        <f>N145/(IS!N30+Wless!N19)</f>
        <v>0.19213065774843582</v>
      </c>
      <c r="O146" s="485">
        <f>O145/(IS!O30+Wless!O19)</f>
        <v>0.18407329780484413</v>
      </c>
      <c r="P146" s="485">
        <f>P145/(IS!P30+Wless!P19)</f>
        <v>0.16933393542397476</v>
      </c>
      <c r="Q146" s="1138">
        <f>Q145/(IS!Q30)</f>
        <v>0.16474471014421999</v>
      </c>
      <c r="R146" s="485">
        <f>R145/(IS!R30)</f>
        <v>0.15760442801601135</v>
      </c>
      <c r="S146" s="485">
        <f>S145/(IS!S30)</f>
        <v>0.14650732807215333</v>
      </c>
      <c r="T146" s="1138">
        <f>T145/(IS!T30)</f>
        <v>0.13993546098677209</v>
      </c>
      <c r="U146" s="485">
        <f>U145/(IS!U30)</f>
        <v>0.13842318946903318</v>
      </c>
      <c r="V146" s="485">
        <f>V145/(IS!V30)</f>
        <v>0.13555112243047396</v>
      </c>
      <c r="W146" s="485">
        <f>W145/(IS!W30)</f>
        <v>0.13734247146908152</v>
      </c>
      <c r="X146" s="485">
        <f>X145/(IS!X30)</f>
        <v>0.13597704356143636</v>
      </c>
      <c r="Y146" s="485">
        <f>Y145/(IS!Y30)</f>
        <v>0.1368440262151483</v>
      </c>
      <c r="Z146" s="485">
        <f ca="1">Z145/(IS!Z30)</f>
        <v>0.13327766842527139</v>
      </c>
      <c r="AA146" s="485">
        <f ca="1">AA145/(IS!AA30)</f>
        <v>0.13427766842527139</v>
      </c>
      <c r="AB146" s="485">
        <f ca="1">AB145/(IS!AB30)</f>
        <v>0.13527766842527139</v>
      </c>
      <c r="AC146" s="485">
        <f ca="1">AC145/(IS!AC30)</f>
        <v>0.13627766842527139</v>
      </c>
      <c r="AD146" s="485">
        <f ca="1">AD145/(IS!AD30)</f>
        <v>0.13727766842527139</v>
      </c>
      <c r="AE146" s="485">
        <f ca="1">AE145/(IS!AE30)</f>
        <v>0.13827766842527139</v>
      </c>
      <c r="AF146" s="485">
        <f ca="1">AF145/(IS!AF30)</f>
        <v>0.13927766842527142</v>
      </c>
      <c r="AG146" s="485">
        <f ca="1">AG145/(IS!AG30)</f>
        <v>0.15000000000000002</v>
      </c>
      <c r="AH146" s="193"/>
      <c r="AI146" s="784"/>
      <c r="AJ146" s="784"/>
      <c r="AK146" s="784"/>
      <c r="AL146" s="784"/>
      <c r="AM146" s="784"/>
      <c r="AN146" s="784"/>
      <c r="AO146" s="784"/>
      <c r="AP146" s="785"/>
      <c r="AQ146" s="784"/>
      <c r="AR146" s="784"/>
      <c r="AS146" s="784"/>
      <c r="AT146" s="785"/>
      <c r="AU146" s="784"/>
      <c r="AV146" s="784"/>
      <c r="AW146" s="784"/>
      <c r="AX146" s="785"/>
      <c r="AY146" s="784"/>
      <c r="AZ146" s="784"/>
      <c r="BA146" s="784"/>
      <c r="BB146" s="785"/>
      <c r="BC146" s="784"/>
      <c r="BD146" s="784"/>
      <c r="BE146" s="784"/>
      <c r="BF146" s="785"/>
      <c r="BG146" s="784"/>
      <c r="BH146" s="784"/>
      <c r="BI146" s="784"/>
      <c r="BJ146" s="785"/>
      <c r="BK146" s="784"/>
      <c r="BL146" s="784"/>
      <c r="BM146" s="784"/>
      <c r="BN146" s="785"/>
      <c r="BO146" s="784"/>
      <c r="BP146" s="784"/>
      <c r="BQ146" s="784"/>
      <c r="BR146" s="785"/>
      <c r="BS146" s="784"/>
      <c r="BT146" s="784"/>
      <c r="BU146" s="784"/>
      <c r="BV146" s="785"/>
      <c r="BW146" s="784"/>
      <c r="BX146" s="784"/>
      <c r="BY146" s="784"/>
      <c r="BZ146" s="486"/>
      <c r="CA146" s="485"/>
      <c r="CB146" s="485"/>
      <c r="CC146" s="485"/>
      <c r="CD146" s="486">
        <f>CD145/(IS!CA30+Wless!CD19)</f>
        <v>0.17764363652823745</v>
      </c>
      <c r="CE146" s="485">
        <f>CE145/(IS!CB30+Wless!CE19)</f>
        <v>0.18579478252469264</v>
      </c>
      <c r="CF146" s="485">
        <f>CF145/(IS!CC30+Wless!CF19)</f>
        <v>0.17562106903293212</v>
      </c>
      <c r="CG146" s="485">
        <f>CG145/(IS!CD30+Wless!CG19)</f>
        <v>0.19689616471225668</v>
      </c>
      <c r="CH146" s="486">
        <f>CH145/(IS!CE30+Wless!CH19)</f>
        <v>0.16864421836496646</v>
      </c>
      <c r="CI146" s="485">
        <f>CI145/(IS!CF30+Wless!CI19)</f>
        <v>0.1660532329715583</v>
      </c>
      <c r="CJ146" s="485">
        <f>CJ145/(IS!CG30+Wless!CJ19)</f>
        <v>0.16323850400777712</v>
      </c>
      <c r="CK146" s="485">
        <f>CK145/(IS!CH30+Wless!CK19)</f>
        <v>0.179173877367133</v>
      </c>
      <c r="CL146" s="486">
        <f>CL145/(IS!CI30+Wless!CL19)</f>
        <v>0.14555930856348104</v>
      </c>
      <c r="CM146" s="485">
        <f>CM145/(IS!CJ30+Wless!CM19)</f>
        <v>0.17024028850299872</v>
      </c>
      <c r="CN146" s="485">
        <f>CN145/(IS!CK30+Wless!CN19)</f>
        <v>0.16630677874604766</v>
      </c>
      <c r="CO146" s="485">
        <f>CO145/(IS!CL30+Wless!CO19)</f>
        <v>0.17645235050187963</v>
      </c>
      <c r="CP146" s="486">
        <f>CP145/(IS!CM30+Wless!CP19)</f>
        <v>0.13352837916910473</v>
      </c>
      <c r="CQ146" s="485">
        <f>CQ145/(IS!CN30+Wless!CQ19)</f>
        <v>0.16193269527631984</v>
      </c>
      <c r="CR146" s="485">
        <f>CR145/(IS!CO30+Wless!CR19)</f>
        <v>0.15575441776166743</v>
      </c>
      <c r="CS146" s="485">
        <f>CS145/(IS!CP30+Wless!CS19)</f>
        <v>0.17859443076340217</v>
      </c>
      <c r="CT146" s="486">
        <f>CT145/(IS!CQ30+Wless!CT19)</f>
        <v>0.16165246387550944</v>
      </c>
      <c r="CU146" s="485">
        <f>CU145/(IS!CR30+Wless!CU19)</f>
        <v>0.16541981406159209</v>
      </c>
      <c r="CV146" s="485">
        <f>CV145/(IS!CS30+Wless!CV19)</f>
        <v>0.12997528033532763</v>
      </c>
      <c r="CW146" s="537">
        <f>CW145/(IS!CT30+Wless!CW19)</f>
        <v>0.13004642003094669</v>
      </c>
      <c r="CX146" s="485">
        <f>CX145/(IS!CU30+Wless!CX19)</f>
        <v>0.12623043693789393</v>
      </c>
      <c r="CY146" s="485">
        <f>CY145/(IS!CV30+Wless!CY19)</f>
        <v>0.13083260297984226</v>
      </c>
      <c r="CZ146" s="485">
        <f>CZ145/(IS!CW30+Wless!CZ19)</f>
        <v>0.13393318854069708</v>
      </c>
      <c r="DA146" s="485">
        <f>DA145/(IS!CX30+Wless!DA19)</f>
        <v>0.16746604058359885</v>
      </c>
      <c r="DB146" s="486">
        <f>DB145/(IS!CY30+Wless!DB19)</f>
        <v>0.12318741450068399</v>
      </c>
      <c r="DC146" s="485">
        <f>DC145/(IS!CZ30+Wless!DC19)</f>
        <v>0.13534747277202683</v>
      </c>
      <c r="DD146" s="485">
        <f>DD145/(IS!DA30+Wless!DD19)</f>
        <v>0.1391341876369431</v>
      </c>
      <c r="DE146" s="485">
        <f>DE145/(IS!DB30+Wless!DE19)</f>
        <v>0.15508211560843141</v>
      </c>
      <c r="DF146" s="486">
        <f>DF145/(IS!DC30+Wless!DF19)</f>
        <v>0.13522319973932878</v>
      </c>
      <c r="DG146" s="1138">
        <f>DG145/(IS!DD30+Wless!DG19)</f>
        <v>0.1385424972093765</v>
      </c>
      <c r="DH146" s="1138">
        <f>DH145/(IS!DE30+Wless!DH19)</f>
        <v>0.13075413157728108</v>
      </c>
      <c r="DI146" s="537">
        <f>DI145/(IS!DF30+Wless!DI19)</f>
        <v>0.13759339599903592</v>
      </c>
      <c r="DJ146" s="486">
        <f>DJ145/(IS!DG30+Wless!DJ19)</f>
        <v>0.11661204619937</v>
      </c>
      <c r="DK146" s="1138">
        <f>DK145/(IS!DH30+Wless!DK19)</f>
        <v>0.1416800833412255</v>
      </c>
      <c r="DL146" s="1138">
        <f>DL145/(IS!DI30+Wless!DL19)</f>
        <v>0.13451278592015697</v>
      </c>
      <c r="DM146" s="537">
        <f>DM145/(IS!DJ30+Wless!DM19)</f>
        <v>0.15533663689504762</v>
      </c>
      <c r="DN146" s="1138">
        <f>DN145/(IS!DK30+Wless!DN19)</f>
        <v>0.10702774442267585</v>
      </c>
      <c r="DO146" s="1138">
        <f>DO145/(IS!DL30+Wless!DO19)</f>
        <v>0.12727569582811821</v>
      </c>
      <c r="DP146" s="1138">
        <f>DP145/(IS!DM30+Wless!DP19)</f>
        <v>0.13333486331721947</v>
      </c>
      <c r="DQ146" s="537">
        <f>DQ145/(IS!DN30+Wless!DQ19)</f>
        <v>0.17504559735276387</v>
      </c>
      <c r="DR146" s="1138">
        <f>DR145/(IS!DO30+Wless!DR19)</f>
        <v>0.10287063405641853</v>
      </c>
      <c r="DS146" s="1138">
        <f>DS145/(IS!DP30+Wless!DS19)</f>
        <v>0.12910767576885601</v>
      </c>
      <c r="DT146" s="1138">
        <f>DT145/(IS!DQ30+Wless!DT19)</f>
        <v>0.13465903062838727</v>
      </c>
      <c r="DU146" s="1138">
        <f>DU145/(IS!DR30+Wless!DU19)</f>
        <v>0.17567293557427013</v>
      </c>
      <c r="DV146" s="1138">
        <f>DV145/(IS!DS30+Wless!DV19)</f>
        <v>0.14330162474079103</v>
      </c>
      <c r="DW146" s="1138">
        <f ca="1">DW145/(IS!DT30)</f>
        <v>0.13</v>
      </c>
      <c r="DX146" s="1138">
        <f ca="1">DX145/(IS!DU30)</f>
        <v>0.13</v>
      </c>
      <c r="DY146" s="537">
        <f ca="1">DY145/(IS!DV30)</f>
        <v>0.13</v>
      </c>
      <c r="DZ146" s="94"/>
    </row>
    <row r="147" spans="1:130" hidden="1" outlineLevel="1">
      <c r="A147" s="779" t="s">
        <v>991</v>
      </c>
      <c r="B147" s="485"/>
      <c r="C147" s="485"/>
      <c r="D147" s="784"/>
      <c r="E147" s="784"/>
      <c r="F147" s="485"/>
      <c r="G147" s="485"/>
      <c r="H147" s="485"/>
      <c r="I147" s="485"/>
      <c r="J147" s="485"/>
      <c r="K147" s="485"/>
      <c r="L147" s="485"/>
      <c r="M147" s="485"/>
      <c r="N147" s="485"/>
      <c r="O147" s="485"/>
      <c r="P147" s="485"/>
      <c r="Q147" s="1138">
        <f t="shared" ref="Q147:AB147" si="459">+Q145/P145-1</f>
        <v>-7.0628284363948857E-2</v>
      </c>
      <c r="R147" s="485">
        <f t="shared" si="459"/>
        <v>-2.4537695590327147E-2</v>
      </c>
      <c r="S147" s="485">
        <f t="shared" si="459"/>
        <v>-1.3002794993316358E-2</v>
      </c>
      <c r="T147" s="1138">
        <f t="shared" si="459"/>
        <v>-4.2477222359025291E-3</v>
      </c>
      <c r="U147" s="485">
        <f t="shared" si="459"/>
        <v>2.6522411128284462E-2</v>
      </c>
      <c r="V147" s="485">
        <f t="shared" si="459"/>
        <v>3.5352927005540824E-2</v>
      </c>
      <c r="W147" s="485">
        <f>+W145/V145-1</f>
        <v>3.3971264033505921E-2</v>
      </c>
      <c r="X147" s="485">
        <f t="shared" si="459"/>
        <v>-4.0281293952180053E-2</v>
      </c>
      <c r="Y147" s="485">
        <f t="shared" si="459"/>
        <v>1.1020575649217434E-2</v>
      </c>
      <c r="Z147" s="485">
        <f t="shared" ca="1" si="459"/>
        <v>-3.5640144191242396E-3</v>
      </c>
      <c r="AA147" s="485">
        <f t="shared" ca="1" si="459"/>
        <v>8.2117431025610088E-3</v>
      </c>
      <c r="AB147" s="485">
        <f t="shared" ca="1" si="459"/>
        <v>1.2262215808828802E-2</v>
      </c>
      <c r="AC147" s="485">
        <f t="shared" ref="AC147" ca="1" si="460">+AC145/AB145-1</f>
        <v>1.2736941702977012E-2</v>
      </c>
      <c r="AD147" s="485">
        <f t="shared" ref="AD147" ca="1" si="461">+AD145/AC145-1</f>
        <v>1.314700989570694E-2</v>
      </c>
      <c r="AE147" s="485">
        <f t="shared" ref="AE147" ca="1" si="462">+AE145/AD145-1</f>
        <v>1.3606987154656247E-2</v>
      </c>
      <c r="AF147" s="485">
        <f t="shared" ref="AF147" ca="1" si="463">+AF145/AE145-1</f>
        <v>1.4163233577375367E-2</v>
      </c>
      <c r="AG147" s="485">
        <f t="shared" ref="AG147" ca="1" si="464">+AG145/AF145-1</f>
        <v>8.5167358990751785E-2</v>
      </c>
      <c r="AH147" s="193"/>
      <c r="AI147" s="784"/>
      <c r="AJ147" s="784"/>
      <c r="AK147" s="784"/>
      <c r="AL147" s="784"/>
      <c r="AM147" s="784"/>
      <c r="AN147" s="784"/>
      <c r="AO147" s="784"/>
      <c r="AP147" s="785"/>
      <c r="AQ147" s="784"/>
      <c r="AR147" s="784"/>
      <c r="AS147" s="784"/>
      <c r="AT147" s="785"/>
      <c r="AU147" s="784"/>
      <c r="AV147" s="784"/>
      <c r="AW147" s="784"/>
      <c r="AX147" s="785"/>
      <c r="AY147" s="784"/>
      <c r="AZ147" s="784"/>
      <c r="BA147" s="784"/>
      <c r="BB147" s="785"/>
      <c r="BC147" s="784"/>
      <c r="BD147" s="784"/>
      <c r="BE147" s="784"/>
      <c r="BF147" s="785"/>
      <c r="BG147" s="784"/>
      <c r="BH147" s="784"/>
      <c r="BI147" s="784"/>
      <c r="BJ147" s="785"/>
      <c r="BK147" s="784"/>
      <c r="BL147" s="784"/>
      <c r="BM147" s="784"/>
      <c r="BN147" s="785"/>
      <c r="BO147" s="784"/>
      <c r="BP147" s="784"/>
      <c r="BQ147" s="784"/>
      <c r="BR147" s="785"/>
      <c r="BS147" s="784"/>
      <c r="BT147" s="784"/>
      <c r="BU147" s="784"/>
      <c r="BV147" s="785"/>
      <c r="BW147" s="784"/>
      <c r="BX147" s="784"/>
      <c r="BY147" s="784"/>
      <c r="BZ147" s="486"/>
      <c r="CA147" s="485"/>
      <c r="CB147" s="485"/>
      <c r="CC147" s="485"/>
      <c r="CD147" s="486"/>
      <c r="CE147" s="485"/>
      <c r="CF147" s="485"/>
      <c r="CG147" s="485"/>
      <c r="CH147" s="486">
        <f t="shared" ref="CH147:DV147" si="465">+CH145/CD145-1</f>
        <v>7.7670745465590052E-3</v>
      </c>
      <c r="CI147" s="485">
        <f t="shared" si="465"/>
        <v>-5.8600932141788076E-2</v>
      </c>
      <c r="CJ147" s="485">
        <f t="shared" si="465"/>
        <v>-1.6954866479901631E-2</v>
      </c>
      <c r="CK147" s="485">
        <f t="shared" si="465"/>
        <v>-3.0033807689283765E-2</v>
      </c>
      <c r="CL147" s="486">
        <f t="shared" si="465"/>
        <v>-0.16107459404988211</v>
      </c>
      <c r="CM147" s="485">
        <f t="shared" si="465"/>
        <v>-1.369427474848417E-2</v>
      </c>
      <c r="CN147" s="485">
        <f t="shared" si="465"/>
        <v>-3.0742954739538919E-2</v>
      </c>
      <c r="CO147" s="485">
        <f t="shared" si="465"/>
        <v>-7.7368890329901907E-2</v>
      </c>
      <c r="CP147" s="486">
        <f t="shared" si="465"/>
        <v>-6.5520065520065507E-2</v>
      </c>
      <c r="CQ147" s="485">
        <f t="shared" si="465"/>
        <v>-3.384757080359202E-2</v>
      </c>
      <c r="CR147" s="485">
        <f t="shared" si="465"/>
        <v>-4.3589149084164114E-2</v>
      </c>
      <c r="CS147" s="485">
        <f t="shared" si="465"/>
        <v>3.5361300241598892E-2</v>
      </c>
      <c r="CT147" s="486">
        <f t="shared" si="465"/>
        <v>0.27461291264972254</v>
      </c>
      <c r="CU147" s="485">
        <f t="shared" si="465"/>
        <v>8.555767397521441E-2</v>
      </c>
      <c r="CV147" s="485">
        <f t="shared" si="465"/>
        <v>-0.12048484848484853</v>
      </c>
      <c r="CW147" s="537">
        <f t="shared" si="465"/>
        <v>-0.21552821383114129</v>
      </c>
      <c r="CX147" s="485">
        <f t="shared" si="465"/>
        <v>-0.1829016731606693</v>
      </c>
      <c r="CY147" s="485">
        <f t="shared" si="465"/>
        <v>-0.18068057080131728</v>
      </c>
      <c r="CZ147" s="485">
        <f t="shared" si="465"/>
        <v>7.0837927232635156E-2</v>
      </c>
      <c r="DA147" s="485">
        <f t="shared" si="465"/>
        <v>0.35018929150892375</v>
      </c>
      <c r="DB147" s="486">
        <f t="shared" si="465"/>
        <v>1.0378681626928454E-2</v>
      </c>
      <c r="DC147" s="485">
        <f t="shared" si="465"/>
        <v>7.5562700964630247E-2</v>
      </c>
      <c r="DD147" s="485">
        <f t="shared" si="465"/>
        <v>7.8764478764478785E-2</v>
      </c>
      <c r="DE147" s="485">
        <f t="shared" si="465"/>
        <v>-3.9254956939715591E-2</v>
      </c>
      <c r="DF147" s="486">
        <f t="shared" si="465"/>
        <v>0.15213770127706838</v>
      </c>
      <c r="DG147" s="1138">
        <f t="shared" si="465"/>
        <v>8.2212257100149566E-2</v>
      </c>
      <c r="DH147" s="1138">
        <f t="shared" si="465"/>
        <v>-1.4554998806967312E-2</v>
      </c>
      <c r="DI147" s="537">
        <f t="shared" si="465"/>
        <v>-4.7946633312486941E-2</v>
      </c>
      <c r="DJ147" s="486">
        <f t="shared" si="465"/>
        <v>-0.11686746987951813</v>
      </c>
      <c r="DK147" s="1138">
        <f t="shared" si="465"/>
        <v>3.3149171270718147E-2</v>
      </c>
      <c r="DL147" s="1138">
        <f t="shared" si="465"/>
        <v>6.2227602905569057E-2</v>
      </c>
      <c r="DM147" s="537">
        <f t="shared" si="465"/>
        <v>0.14626669586161589</v>
      </c>
      <c r="DN147" s="1138">
        <f t="shared" si="465"/>
        <v>-7.5852660300136376E-2</v>
      </c>
      <c r="DO147" s="1138">
        <f t="shared" si="465"/>
        <v>-0.13413547237076651</v>
      </c>
      <c r="DP147" s="1138">
        <f t="shared" si="465"/>
        <v>-5.9721905630271244E-2</v>
      </c>
      <c r="DQ147" s="537">
        <f t="shared" si="465"/>
        <v>8.1375358166189127E-2</v>
      </c>
      <c r="DR147" s="1138">
        <f t="shared" si="465"/>
        <v>-9.4478889873043981E-2</v>
      </c>
      <c r="DS147" s="1138">
        <f t="shared" si="465"/>
        <v>1.4925373134328401E-2</v>
      </c>
      <c r="DT147" s="1138">
        <f t="shared" si="465"/>
        <v>3.5393939393939311E-2</v>
      </c>
      <c r="DU147" s="1138">
        <f t="shared" si="465"/>
        <v>5.370075958311249E-2</v>
      </c>
      <c r="DV147" s="1138">
        <f t="shared" si="465"/>
        <v>0.48451255298337137</v>
      </c>
      <c r="DW147" s="1138">
        <f t="shared" ref="DW147" ca="1" si="466">+DW145/DS145-1</f>
        <v>4.0067655828869064E-2</v>
      </c>
      <c r="DX147" s="1138">
        <f t="shared" ref="DX147" ca="1" si="467">+DX145/DT145-1</f>
        <v>-2.3665185724984439E-2</v>
      </c>
      <c r="DY147" s="537">
        <f t="shared" ref="DY147" ca="1" si="468">+DY145/DU145-1</f>
        <v>-0.26897257050197598</v>
      </c>
      <c r="DZ147" s="94"/>
    </row>
    <row r="148" spans="1:130" hidden="1" outlineLevel="1">
      <c r="A148" s="749"/>
      <c r="B148" s="87"/>
      <c r="C148" s="87"/>
      <c r="D148" s="91"/>
      <c r="E148" s="149"/>
      <c r="F148" s="105"/>
      <c r="G148" s="105"/>
      <c r="H148" s="105"/>
      <c r="I148" s="105"/>
      <c r="J148" s="105"/>
      <c r="K148" s="105"/>
      <c r="L148" s="105"/>
      <c r="M148" s="105"/>
      <c r="N148" s="105"/>
      <c r="O148" s="105"/>
      <c r="P148" s="105"/>
      <c r="Q148" s="1132"/>
      <c r="R148" s="105"/>
      <c r="S148" s="149"/>
      <c r="T148" s="1132"/>
      <c r="U148" s="105"/>
      <c r="V148" s="105"/>
      <c r="W148" s="105"/>
      <c r="X148" s="105"/>
      <c r="Y148" s="105"/>
      <c r="Z148" s="105"/>
      <c r="AA148" s="105"/>
      <c r="AB148" s="105"/>
      <c r="AC148" s="105"/>
      <c r="AD148" s="105"/>
      <c r="AE148" s="105"/>
      <c r="AF148" s="105"/>
      <c r="AG148" s="105"/>
      <c r="AH148" s="3050"/>
      <c r="AI148" s="149"/>
      <c r="AJ148" s="149"/>
      <c r="AK148" s="149"/>
      <c r="AL148" s="149"/>
      <c r="AM148" s="91"/>
      <c r="AN148" s="149"/>
      <c r="AO148" s="149"/>
      <c r="AP148" s="150"/>
      <c r="AQ148" s="149"/>
      <c r="AR148" s="149"/>
      <c r="AS148" s="149"/>
      <c r="AT148" s="150"/>
      <c r="AU148" s="149"/>
      <c r="AV148" s="149"/>
      <c r="AW148" s="149"/>
      <c r="AX148" s="150"/>
      <c r="AY148" s="149"/>
      <c r="AZ148" s="149"/>
      <c r="BA148" s="149"/>
      <c r="BB148" s="150"/>
      <c r="BC148" s="149"/>
      <c r="BD148" s="149"/>
      <c r="BE148" s="149"/>
      <c r="BF148" s="150"/>
      <c r="BG148" s="149"/>
      <c r="BH148" s="149"/>
      <c r="BI148" s="149"/>
      <c r="BJ148" s="150"/>
      <c r="BK148" s="149"/>
      <c r="BL148" s="149"/>
      <c r="BM148" s="149"/>
      <c r="BN148" s="150"/>
      <c r="BO148" s="149"/>
      <c r="BP148" s="149"/>
      <c r="BQ148" s="149"/>
      <c r="BR148" s="150"/>
      <c r="BS148" s="149"/>
      <c r="BT148" s="149"/>
      <c r="BU148" s="149"/>
      <c r="BV148" s="150"/>
      <c r="BW148" s="149"/>
      <c r="BX148" s="149"/>
      <c r="BY148" s="149"/>
      <c r="BZ148" s="88"/>
      <c r="CA148" s="87"/>
      <c r="CB148" s="87"/>
      <c r="CC148" s="87"/>
      <c r="CD148" s="88"/>
      <c r="CE148" s="87"/>
      <c r="CF148" s="87"/>
      <c r="CG148" s="87"/>
      <c r="CH148" s="88"/>
      <c r="CI148" s="87"/>
      <c r="CJ148" s="87"/>
      <c r="CK148" s="149"/>
      <c r="CL148" s="150"/>
      <c r="CM148" s="87"/>
      <c r="CN148" s="87"/>
      <c r="CO148" s="149"/>
      <c r="CP148" s="150"/>
      <c r="CQ148" s="149"/>
      <c r="CR148" s="149"/>
      <c r="CS148" s="149"/>
      <c r="CT148" s="150"/>
      <c r="CU148" s="149"/>
      <c r="CV148" s="149"/>
      <c r="CW148" s="155"/>
      <c r="CX148" s="149"/>
      <c r="CY148" s="149"/>
      <c r="CZ148" s="149"/>
      <c r="DA148" s="149"/>
      <c r="DB148" s="150"/>
      <c r="DC148" s="149"/>
      <c r="DD148" s="149"/>
      <c r="DE148" s="149"/>
      <c r="DF148" s="150"/>
      <c r="DG148" s="1113"/>
      <c r="DH148" s="1113"/>
      <c r="DI148" s="155"/>
      <c r="DJ148" s="150"/>
      <c r="DK148" s="1113"/>
      <c r="DL148" s="1113"/>
      <c r="DM148" s="155"/>
      <c r="DN148" s="1113"/>
      <c r="DO148" s="1113"/>
      <c r="DP148" s="1113"/>
      <c r="DQ148" s="155"/>
      <c r="DR148" s="1113"/>
      <c r="DS148" s="1113"/>
      <c r="DT148" s="1113"/>
      <c r="DU148" s="1113"/>
      <c r="DV148" s="1113"/>
      <c r="DW148" s="1113"/>
      <c r="DX148" s="1113"/>
      <c r="DY148" s="155"/>
      <c r="DZ148" s="87"/>
    </row>
    <row r="149" spans="1:130" hidden="1" outlineLevel="1">
      <c r="A149" s="749"/>
      <c r="B149" s="87"/>
      <c r="C149" s="87"/>
      <c r="D149" s="91"/>
      <c r="E149" s="149"/>
      <c r="F149" s="105"/>
      <c r="G149" s="105"/>
      <c r="H149" s="105"/>
      <c r="I149" s="105"/>
      <c r="J149" s="105"/>
      <c r="K149" s="105"/>
      <c r="L149" s="105"/>
      <c r="M149" s="105"/>
      <c r="N149" s="105"/>
      <c r="O149" s="105"/>
      <c r="P149" s="105"/>
      <c r="Q149" s="1132"/>
      <c r="R149" s="105"/>
      <c r="S149" s="149"/>
      <c r="T149" s="1113"/>
      <c r="U149" s="149"/>
      <c r="V149" s="149"/>
      <c r="W149" s="149"/>
      <c r="X149" s="149"/>
      <c r="Y149" s="149"/>
      <c r="Z149" s="149"/>
      <c r="AA149" s="149"/>
      <c r="AB149" s="149"/>
      <c r="AC149" s="149"/>
      <c r="AD149" s="149"/>
      <c r="AE149" s="149"/>
      <c r="AF149" s="149"/>
      <c r="AG149" s="149"/>
      <c r="AH149" s="3050"/>
      <c r="AI149" s="149"/>
      <c r="AJ149" s="149"/>
      <c r="AK149" s="149"/>
      <c r="AL149" s="149"/>
      <c r="AM149" s="91"/>
      <c r="AN149" s="149"/>
      <c r="AO149" s="149"/>
      <c r="AP149" s="150"/>
      <c r="AQ149" s="149"/>
      <c r="AR149" s="149"/>
      <c r="AS149" s="149"/>
      <c r="AT149" s="150"/>
      <c r="AU149" s="149"/>
      <c r="AV149" s="149"/>
      <c r="AW149" s="149"/>
      <c r="AX149" s="150"/>
      <c r="AY149" s="149"/>
      <c r="AZ149" s="149"/>
      <c r="BA149" s="149"/>
      <c r="BB149" s="150"/>
      <c r="BC149" s="149"/>
      <c r="BD149" s="149"/>
      <c r="BE149" s="149"/>
      <c r="BF149" s="150"/>
      <c r="BG149" s="149"/>
      <c r="BH149" s="149"/>
      <c r="BI149" s="149"/>
      <c r="BJ149" s="150"/>
      <c r="BK149" s="149"/>
      <c r="BL149" s="149"/>
      <c r="BM149" s="149"/>
      <c r="BN149" s="150"/>
      <c r="BO149" s="149"/>
      <c r="BP149" s="149"/>
      <c r="BQ149" s="149"/>
      <c r="BR149" s="150"/>
      <c r="BS149" s="149"/>
      <c r="BT149" s="149"/>
      <c r="BU149" s="149"/>
      <c r="BV149" s="150"/>
      <c r="BW149" s="149"/>
      <c r="BX149" s="149"/>
      <c r="BY149" s="149"/>
      <c r="BZ149" s="150"/>
      <c r="CA149" s="149"/>
      <c r="CB149" s="149"/>
      <c r="CC149" s="149"/>
      <c r="CD149" s="150"/>
      <c r="CE149" s="149"/>
      <c r="CF149" s="149"/>
      <c r="CG149" s="149"/>
      <c r="CH149" s="150"/>
      <c r="CI149" s="149"/>
      <c r="CJ149" s="149"/>
      <c r="CK149" s="149"/>
      <c r="CL149" s="150"/>
      <c r="CM149" s="149"/>
      <c r="CN149" s="149"/>
      <c r="CO149" s="149"/>
      <c r="CP149" s="150"/>
      <c r="CQ149" s="149"/>
      <c r="CR149" s="149"/>
      <c r="CS149" s="149"/>
      <c r="CT149" s="150"/>
      <c r="CU149" s="149"/>
      <c r="CV149" s="149"/>
      <c r="CW149" s="155"/>
      <c r="CX149" s="149"/>
      <c r="CY149" s="149"/>
      <c r="CZ149" s="149"/>
      <c r="DA149" s="149"/>
      <c r="DB149" s="150"/>
      <c r="DC149" s="149"/>
      <c r="DD149" s="149"/>
      <c r="DE149" s="149"/>
      <c r="DF149" s="150"/>
      <c r="DG149" s="1113"/>
      <c r="DH149" s="1113"/>
      <c r="DI149" s="155"/>
      <c r="DJ149" s="150"/>
      <c r="DK149" s="1113"/>
      <c r="DL149" s="1113"/>
      <c r="DM149" s="155"/>
      <c r="DN149" s="1113"/>
      <c r="DO149" s="1113"/>
      <c r="DP149" s="1113"/>
      <c r="DQ149" s="155"/>
      <c r="DR149" s="1113"/>
      <c r="DS149" s="1113"/>
      <c r="DT149" s="1113"/>
      <c r="DU149" s="1113"/>
      <c r="DV149" s="1113"/>
      <c r="DW149" s="1113"/>
      <c r="DX149" s="1113"/>
      <c r="DY149" s="155"/>
      <c r="DZ149" s="87"/>
    </row>
    <row r="150" spans="1:130" hidden="1" outlineLevel="1">
      <c r="A150" s="749"/>
      <c r="B150" s="87"/>
      <c r="C150" s="87"/>
      <c r="D150" s="91"/>
      <c r="E150" s="149"/>
      <c r="F150" s="105"/>
      <c r="G150" s="105"/>
      <c r="H150" s="105"/>
      <c r="I150" s="105"/>
      <c r="J150" s="105"/>
      <c r="K150" s="105"/>
      <c r="L150" s="105"/>
      <c r="M150" s="105"/>
      <c r="N150" s="105"/>
      <c r="O150" s="105"/>
      <c r="P150" s="105"/>
      <c r="Q150" s="1132"/>
      <c r="R150" s="105"/>
      <c r="S150" s="105"/>
      <c r="T150" s="1113"/>
      <c r="U150" s="149"/>
      <c r="V150" s="149"/>
      <c r="W150" s="149"/>
      <c r="X150" s="149"/>
      <c r="Y150" s="149"/>
      <c r="Z150" s="149"/>
      <c r="AA150" s="149"/>
      <c r="AB150" s="149"/>
      <c r="AC150" s="149"/>
      <c r="AD150" s="149"/>
      <c r="AE150" s="149"/>
      <c r="AF150" s="149"/>
      <c r="AG150" s="149"/>
      <c r="AH150" s="3050"/>
      <c r="AI150" s="149"/>
      <c r="AJ150" s="149"/>
      <c r="AK150" s="149"/>
      <c r="AL150" s="149"/>
      <c r="AM150" s="91"/>
      <c r="AN150" s="149"/>
      <c r="AO150" s="149"/>
      <c r="AP150" s="150"/>
      <c r="AQ150" s="149"/>
      <c r="AR150" s="149"/>
      <c r="AS150" s="149"/>
      <c r="AT150" s="150"/>
      <c r="AU150" s="149"/>
      <c r="AV150" s="149"/>
      <c r="AW150" s="149"/>
      <c r="AX150" s="150"/>
      <c r="AY150" s="149"/>
      <c r="AZ150" s="149"/>
      <c r="BA150" s="149"/>
      <c r="BB150" s="150"/>
      <c r="BC150" s="149"/>
      <c r="BD150" s="149"/>
      <c r="BE150" s="149"/>
      <c r="BF150" s="150"/>
      <c r="BG150" s="149"/>
      <c r="BH150" s="149"/>
      <c r="BI150" s="149"/>
      <c r="BJ150" s="150"/>
      <c r="BK150" s="149"/>
      <c r="BL150" s="149"/>
      <c r="BM150" s="149"/>
      <c r="BN150" s="150"/>
      <c r="BO150" s="149"/>
      <c r="BP150" s="149"/>
      <c r="BQ150" s="149"/>
      <c r="BR150" s="150"/>
      <c r="BS150" s="149"/>
      <c r="BT150" s="149"/>
      <c r="BU150" s="149"/>
      <c r="BV150" s="150"/>
      <c r="BW150" s="149"/>
      <c r="BX150" s="149"/>
      <c r="BY150" s="149"/>
      <c r="BZ150" s="150"/>
      <c r="CA150" s="149"/>
      <c r="CB150" s="149"/>
      <c r="CC150" s="149"/>
      <c r="CD150" s="150"/>
      <c r="CE150" s="149"/>
      <c r="CF150" s="149"/>
      <c r="CG150" s="149"/>
      <c r="CH150" s="150"/>
      <c r="CI150" s="149"/>
      <c r="CJ150" s="149"/>
      <c r="CK150" s="149"/>
      <c r="CL150" s="150"/>
      <c r="CM150" s="149"/>
      <c r="CN150" s="149"/>
      <c r="CO150" s="149"/>
      <c r="CP150" s="150"/>
      <c r="CQ150" s="149"/>
      <c r="CR150" s="149"/>
      <c r="CS150" s="149"/>
      <c r="CT150" s="150"/>
      <c r="CU150" s="149"/>
      <c r="CV150" s="149"/>
      <c r="CW150" s="155"/>
      <c r="CX150" s="149"/>
      <c r="CY150" s="87"/>
      <c r="CZ150" s="87"/>
      <c r="DA150" s="87"/>
      <c r="DB150" s="88"/>
      <c r="DC150" s="87"/>
      <c r="DD150" s="87"/>
      <c r="DE150" s="87"/>
      <c r="DF150" s="88"/>
      <c r="DG150" s="1041"/>
      <c r="DH150" s="1041"/>
      <c r="DI150" s="144"/>
      <c r="DJ150" s="88"/>
      <c r="DK150" s="1041"/>
      <c r="DL150" s="1041"/>
      <c r="DM150" s="144"/>
      <c r="DN150" s="1041"/>
      <c r="DO150" s="1041"/>
      <c r="DP150" s="1041"/>
      <c r="DQ150" s="144"/>
      <c r="DR150" s="1041"/>
      <c r="DS150" s="1041"/>
      <c r="DT150" s="1041"/>
      <c r="DU150" s="1041"/>
      <c r="DV150" s="1041"/>
      <c r="DW150" s="1041"/>
      <c r="DX150" s="1041"/>
      <c r="DY150" s="144"/>
      <c r="DZ150" s="87"/>
    </row>
    <row r="151" spans="1:130" hidden="1" outlineLevel="1">
      <c r="A151" s="786" t="s">
        <v>546</v>
      </c>
      <c r="B151" s="87"/>
      <c r="C151" s="87"/>
      <c r="D151" s="91"/>
      <c r="E151" s="149"/>
      <c r="F151" s="105"/>
      <c r="G151" s="105"/>
      <c r="H151" s="105"/>
      <c r="I151" s="105"/>
      <c r="J151" s="105"/>
      <c r="K151" s="105"/>
      <c r="L151" s="105"/>
      <c r="M151" s="105"/>
      <c r="N151" s="105"/>
      <c r="O151" s="105"/>
      <c r="P151" s="143"/>
      <c r="Q151" s="1041"/>
      <c r="R151" s="149"/>
      <c r="S151" s="87"/>
      <c r="T151" s="1047"/>
      <c r="U151" s="149"/>
      <c r="V151" s="149"/>
      <c r="W151" s="149"/>
      <c r="X151" s="149"/>
      <c r="Y151" s="149"/>
      <c r="Z151" s="149"/>
      <c r="AA151" s="149"/>
      <c r="AB151" s="149"/>
      <c r="AC151" s="149"/>
      <c r="AD151" s="149"/>
      <c r="AE151" s="149"/>
      <c r="AF151" s="149"/>
      <c r="AG151" s="149"/>
      <c r="AH151" s="3050"/>
      <c r="AI151" s="149"/>
      <c r="AJ151" s="149"/>
      <c r="AK151" s="149"/>
      <c r="AL151" s="149"/>
      <c r="AM151" s="91"/>
      <c r="AN151" s="149"/>
      <c r="AO151" s="149"/>
      <c r="AP151" s="150"/>
      <c r="AQ151" s="149"/>
      <c r="AR151" s="149"/>
      <c r="AS151" s="149"/>
      <c r="AT151" s="150"/>
      <c r="AU151" s="149"/>
      <c r="AV151" s="149"/>
      <c r="AW151" s="149"/>
      <c r="AX151" s="150"/>
      <c r="AY151" s="149"/>
      <c r="AZ151" s="149"/>
      <c r="BA151" s="149"/>
      <c r="BB151" s="150"/>
      <c r="BC151" s="149"/>
      <c r="BD151" s="149"/>
      <c r="BE151" s="149"/>
      <c r="BF151" s="150"/>
      <c r="BG151" s="149"/>
      <c r="BH151" s="149"/>
      <c r="BI151" s="149"/>
      <c r="BJ151" s="150"/>
      <c r="BK151" s="149"/>
      <c r="BL151" s="149"/>
      <c r="BM151" s="149"/>
      <c r="BN151" s="150"/>
      <c r="BO151" s="149"/>
      <c r="BP151" s="149"/>
      <c r="BQ151" s="149"/>
      <c r="BR151" s="150"/>
      <c r="BS151" s="149"/>
      <c r="BT151" s="149"/>
      <c r="BU151" s="149"/>
      <c r="BV151" s="150"/>
      <c r="BW151" s="149"/>
      <c r="BX151" s="149"/>
      <c r="BY151" s="149"/>
      <c r="BZ151" s="150"/>
      <c r="CA151" s="149"/>
      <c r="CB151" s="149"/>
      <c r="CC151" s="149"/>
      <c r="CD151" s="151"/>
      <c r="CE151" s="91"/>
      <c r="CF151" s="91"/>
      <c r="CG151" s="91"/>
      <c r="CH151" s="151"/>
      <c r="CI151" s="91"/>
      <c r="CJ151" s="91"/>
      <c r="CK151" s="91"/>
      <c r="CL151" s="151"/>
      <c r="CM151" s="91"/>
      <c r="CN151" s="91"/>
      <c r="CO151" s="91"/>
      <c r="CP151" s="150"/>
      <c r="CQ151" s="787">
        <v>42</v>
      </c>
      <c r="CR151" s="787">
        <v>34</v>
      </c>
      <c r="CS151" s="787">
        <v>36</v>
      </c>
      <c r="CT151" s="788">
        <f>130-CS151-CR151-CQ151</f>
        <v>18</v>
      </c>
      <c r="CU151" s="91"/>
      <c r="CV151" s="91"/>
      <c r="CW151" s="93"/>
      <c r="CX151" s="91"/>
      <c r="CY151" s="149"/>
      <c r="CZ151" s="149"/>
      <c r="DA151" s="149"/>
      <c r="DB151" s="150"/>
      <c r="DC151" s="149"/>
      <c r="DD151" s="149"/>
      <c r="DE151" s="149"/>
      <c r="DF151" s="150"/>
      <c r="DG151" s="1113"/>
      <c r="DH151" s="1113"/>
      <c r="DI151" s="155"/>
      <c r="DJ151" s="150"/>
      <c r="DK151" s="1113"/>
      <c r="DL151" s="1113"/>
      <c r="DM151" s="155"/>
      <c r="DN151" s="1113"/>
      <c r="DO151" s="1113"/>
      <c r="DP151" s="1113"/>
      <c r="DQ151" s="155"/>
      <c r="DR151" s="1113"/>
      <c r="DS151" s="1113"/>
      <c r="DT151" s="1113"/>
      <c r="DU151" s="1113"/>
      <c r="DV151" s="1113"/>
      <c r="DW151" s="1113"/>
      <c r="DX151" s="1113"/>
      <c r="DY151" s="155"/>
      <c r="DZ151" s="87"/>
    </row>
    <row r="152" spans="1:130" collapsed="1">
      <c r="A152" s="749"/>
      <c r="B152" s="87"/>
      <c r="C152" s="87"/>
      <c r="D152" s="91"/>
      <c r="E152" s="149"/>
      <c r="F152" s="105"/>
      <c r="G152" s="105"/>
      <c r="H152" s="105"/>
      <c r="I152" s="105"/>
      <c r="J152" s="105"/>
      <c r="K152" s="105"/>
      <c r="L152" s="105"/>
      <c r="M152" s="105"/>
      <c r="N152" s="105"/>
      <c r="O152" s="105"/>
      <c r="P152" s="143"/>
      <c r="Q152" s="1047"/>
      <c r="R152" s="149"/>
      <c r="S152" s="149"/>
      <c r="T152" s="1113"/>
      <c r="U152" s="149"/>
      <c r="V152" s="149"/>
      <c r="W152" s="149"/>
      <c r="X152" s="149"/>
      <c r="Y152" s="149"/>
      <c r="Z152" s="149"/>
      <c r="AA152" s="149"/>
      <c r="AB152" s="149"/>
      <c r="AC152" s="149"/>
      <c r="AD152" s="149"/>
      <c r="AE152" s="149"/>
      <c r="AF152" s="149"/>
      <c r="AG152" s="149"/>
      <c r="AH152" s="3051"/>
      <c r="AI152" s="149"/>
      <c r="AJ152" s="149"/>
      <c r="AK152" s="149"/>
      <c r="AL152" s="149"/>
      <c r="AM152" s="91"/>
      <c r="AN152" s="149"/>
      <c r="AO152" s="149"/>
      <c r="AP152" s="150"/>
      <c r="AQ152" s="149"/>
      <c r="AR152" s="149"/>
      <c r="AS152" s="149"/>
      <c r="AT152" s="150"/>
      <c r="AU152" s="149"/>
      <c r="AV152" s="149"/>
      <c r="AW152" s="149"/>
      <c r="AX152" s="150"/>
      <c r="AY152" s="149"/>
      <c r="AZ152" s="149"/>
      <c r="BA152" s="149"/>
      <c r="BB152" s="150"/>
      <c r="BC152" s="149"/>
      <c r="BD152" s="149"/>
      <c r="BE152" s="149"/>
      <c r="BF152" s="150"/>
      <c r="BG152" s="149"/>
      <c r="BH152" s="149"/>
      <c r="BI152" s="149"/>
      <c r="BJ152" s="150"/>
      <c r="BK152" s="149"/>
      <c r="BL152" s="149"/>
      <c r="BM152" s="149"/>
      <c r="BN152" s="150"/>
      <c r="BO152" s="149"/>
      <c r="BP152" s="149"/>
      <c r="BQ152" s="149"/>
      <c r="BR152" s="150"/>
      <c r="BS152" s="149"/>
      <c r="BT152" s="149"/>
      <c r="BU152" s="149"/>
      <c r="BV152" s="150"/>
      <c r="BW152" s="149"/>
      <c r="BX152" s="149"/>
      <c r="BY152" s="149"/>
      <c r="BZ152" s="150"/>
      <c r="CA152" s="149"/>
      <c r="CB152" s="149"/>
      <c r="CC152" s="149"/>
      <c r="CD152" s="150"/>
      <c r="CE152" s="149"/>
      <c r="CF152" s="149"/>
      <c r="CG152" s="91"/>
      <c r="CH152" s="151"/>
      <c r="CI152" s="91"/>
      <c r="CJ152" s="149"/>
      <c r="CK152" s="149"/>
      <c r="CL152" s="150"/>
      <c r="CM152" s="149"/>
      <c r="CN152" s="149"/>
      <c r="CO152" s="149"/>
      <c r="CP152" s="150"/>
      <c r="CQ152" s="149"/>
      <c r="CR152" s="149"/>
      <c r="CS152" s="149"/>
      <c r="CT152" s="150"/>
      <c r="CU152" s="149"/>
      <c r="CV152" s="149"/>
      <c r="CW152" s="155"/>
      <c r="CX152" s="149"/>
      <c r="CY152" s="149"/>
      <c r="CZ152" s="149"/>
      <c r="DA152" s="149"/>
      <c r="DB152" s="789"/>
      <c r="DC152" s="209"/>
      <c r="DD152" s="209"/>
      <c r="DE152" s="209"/>
      <c r="DF152" s="789"/>
      <c r="DG152" s="209"/>
      <c r="DH152" s="209"/>
      <c r="DI152" s="1362"/>
      <c r="DJ152" s="789"/>
      <c r="DK152" s="209"/>
      <c r="DL152" s="209"/>
      <c r="DM152" s="1362"/>
      <c r="DN152" s="209"/>
      <c r="DO152" s="209"/>
      <c r="DP152" s="209"/>
      <c r="DQ152" s="1362"/>
      <c r="DR152" s="209"/>
      <c r="DS152" s="209"/>
      <c r="DT152" s="209"/>
      <c r="DU152" s="209"/>
      <c r="DV152" s="209"/>
      <c r="DW152" s="209"/>
      <c r="DX152" s="209"/>
      <c r="DY152" s="1362"/>
      <c r="DZ152" s="149"/>
    </row>
    <row r="153" spans="1:130">
      <c r="Q153"/>
      <c r="T153"/>
      <c r="AB153"/>
      <c r="AC153"/>
      <c r="AD153"/>
      <c r="AE153"/>
      <c r="AF153"/>
      <c r="AG153"/>
      <c r="DG153"/>
      <c r="DH153"/>
      <c r="DI153"/>
      <c r="DJ153"/>
      <c r="DK153"/>
      <c r="DL153"/>
      <c r="DM153"/>
      <c r="DN153"/>
      <c r="DO153"/>
      <c r="DP153"/>
      <c r="DQ153"/>
      <c r="DR153"/>
      <c r="DS153"/>
      <c r="DT153"/>
      <c r="DU153"/>
      <c r="DV153"/>
      <c r="DW153"/>
      <c r="DX153"/>
      <c r="DY153"/>
    </row>
  </sheetData>
  <phoneticPr fontId="76" type="noConversion"/>
  <pageMargins left="0" right="0" top="0" bottom="0" header="0" footer="0"/>
  <pageSetup scale="92" orientation="landscape"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tabColor indexed="56"/>
    <pageSetUpPr fitToPage="1"/>
  </sheetPr>
  <dimension ref="A1:DZ60"/>
  <sheetViews>
    <sheetView showGridLines="0" zoomScale="85" workbookViewId="0">
      <pane xSplit="1" ySplit="7" topLeftCell="X8" activePane="bottomRight" state="frozen"/>
      <selection activeCell="U8" sqref="U8"/>
      <selection pane="topRight" activeCell="U8" sqref="U8"/>
      <selection pane="bottomLeft" activeCell="U8" sqref="U8"/>
      <selection pane="bottomRight" activeCell="X8" sqref="X8"/>
    </sheetView>
  </sheetViews>
  <sheetFormatPr defaultColWidth="8.6640625" defaultRowHeight="15" outlineLevelCol="1"/>
  <cols>
    <col min="1" max="1" width="30.88671875" customWidth="1"/>
    <col min="2" max="4" width="2.5546875" hidden="1" customWidth="1" outlineLevel="1"/>
    <col min="5" max="16" width="7.44140625" hidden="1" customWidth="1" outlineLevel="1"/>
    <col min="17" max="17" width="7.44140625" style="1074" hidden="1" customWidth="1" outlineLevel="1"/>
    <col min="18" max="18" width="7.44140625" hidden="1" customWidth="1" outlineLevel="1" collapsed="1"/>
    <col min="19" max="19" width="7.44140625" hidden="1" customWidth="1" outlineLevel="1"/>
    <col min="20" max="20" width="7.44140625" style="1074" hidden="1" customWidth="1" outlineLevel="1" collapsed="1"/>
    <col min="21" max="23" width="7.44140625" hidden="1" customWidth="1" outlineLevel="1" collapsed="1"/>
    <col min="24" max="24" width="7.44140625" customWidth="1" collapsed="1"/>
    <col min="25" max="27" width="7.44140625" customWidth="1"/>
    <col min="28" max="28" width="7.44140625" style="3144" hidden="1" customWidth="1" outlineLevel="1"/>
    <col min="29" max="33" width="7.44140625" style="3146" hidden="1" customWidth="1" outlineLevel="1"/>
    <col min="34" max="34" width="2.5546875" style="1564" customWidth="1" collapsed="1"/>
    <col min="35" max="49" width="2.5546875" hidden="1" customWidth="1" outlineLevel="1"/>
    <col min="50" max="97" width="7.44140625" hidden="1" customWidth="1" outlineLevel="1"/>
    <col min="98" max="98" width="7.44140625" hidden="1" customWidth="1" outlineLevel="1" collapsed="1"/>
    <col min="99" max="101" width="7.44140625" hidden="1" customWidth="1" outlineLevel="1"/>
    <col min="102" max="102" width="7.44140625" hidden="1" customWidth="1" outlineLevel="1" collapsed="1"/>
    <col min="103" max="105" width="7.44140625" hidden="1" customWidth="1" outlineLevel="1"/>
    <col min="106" max="106" width="7.44140625" hidden="1" customWidth="1" outlineLevel="1" collapsed="1"/>
    <col min="107" max="109" width="7.44140625" hidden="1" customWidth="1" outlineLevel="1"/>
    <col min="110" max="110" width="7.44140625" hidden="1" customWidth="1" outlineLevel="1" collapsed="1"/>
    <col min="111" max="113" width="7.44140625" style="1074" hidden="1" customWidth="1" outlineLevel="1"/>
    <col min="114" max="114" width="7.44140625" style="1074" hidden="1" customWidth="1" outlineLevel="1" collapsed="1"/>
    <col min="115" max="117" width="7.44140625" style="1074" hidden="1" customWidth="1" outlineLevel="1"/>
    <col min="118" max="118" width="7.44140625" style="1074" hidden="1" customWidth="1" outlineLevel="1" collapsed="1"/>
    <col min="119" max="121" width="7.44140625" style="1074" hidden="1" customWidth="1" outlineLevel="1"/>
    <col min="122" max="122" width="7.44140625" style="1074" customWidth="1" collapsed="1"/>
    <col min="123" max="129" width="7.44140625" style="1074" customWidth="1"/>
  </cols>
  <sheetData>
    <row r="1" spans="1:130">
      <c r="A1" s="91" t="s">
        <v>1111</v>
      </c>
      <c r="B1" s="87"/>
      <c r="C1" s="87"/>
      <c r="D1" s="87"/>
      <c r="E1" s="87"/>
      <c r="F1" s="87"/>
      <c r="G1" s="87"/>
      <c r="H1" s="87"/>
      <c r="I1" s="87"/>
      <c r="J1" s="87"/>
      <c r="K1" s="87"/>
      <c r="L1" s="87"/>
      <c r="M1" s="87"/>
      <c r="N1" s="87"/>
      <c r="O1" s="87"/>
      <c r="P1" s="123"/>
      <c r="Q1" s="1110"/>
      <c r="R1" s="123"/>
    </row>
    <row r="2" spans="1:130">
      <c r="A2" s="91" t="s">
        <v>1112</v>
      </c>
      <c r="B2" s="87"/>
      <c r="C2" s="87"/>
      <c r="D2" s="87"/>
      <c r="E2" s="87"/>
      <c r="F2" s="87"/>
      <c r="G2" s="87"/>
      <c r="H2" s="87"/>
      <c r="I2" s="87"/>
      <c r="J2" s="87"/>
      <c r="K2" s="87"/>
      <c r="L2" s="87"/>
      <c r="M2" s="87"/>
      <c r="N2" s="87"/>
      <c r="O2" s="87"/>
      <c r="P2" s="123"/>
      <c r="Q2" s="1110"/>
      <c r="R2" s="123"/>
      <c r="V2" s="1443"/>
      <c r="W2" s="1443"/>
    </row>
    <row r="3" spans="1:130">
      <c r="A3" s="87" t="s">
        <v>1113</v>
      </c>
      <c r="B3" s="87"/>
      <c r="C3" s="87"/>
      <c r="D3" s="87"/>
      <c r="E3" s="87"/>
      <c r="F3" s="87"/>
      <c r="G3" s="87"/>
      <c r="H3" s="87"/>
      <c r="I3" s="87"/>
      <c r="J3" s="87"/>
      <c r="K3" s="87"/>
      <c r="L3" s="87"/>
      <c r="M3" s="87"/>
      <c r="N3" s="87"/>
      <c r="O3" s="87"/>
      <c r="P3" s="123"/>
      <c r="Q3" s="1110"/>
      <c r="R3" s="123"/>
    </row>
    <row r="4" spans="1:130" ht="22.5" customHeight="1">
      <c r="A4" s="91"/>
      <c r="B4" s="87"/>
      <c r="C4" s="87"/>
      <c r="D4" s="87"/>
      <c r="E4" s="87"/>
      <c r="F4" s="87"/>
      <c r="G4" s="87"/>
      <c r="H4" s="87"/>
      <c r="I4" s="87"/>
      <c r="J4" s="87"/>
      <c r="K4" s="87"/>
      <c r="L4" s="87"/>
      <c r="M4" s="87"/>
      <c r="N4" s="87"/>
      <c r="O4" s="87"/>
      <c r="P4" s="123"/>
      <c r="Q4" s="1110"/>
      <c r="R4" s="123"/>
    </row>
    <row r="5" spans="1:130">
      <c r="A5" s="1231"/>
      <c r="B5" s="346"/>
      <c r="C5" s="346"/>
      <c r="D5" s="231"/>
      <c r="E5" s="231">
        <v>1997</v>
      </c>
      <c r="F5" s="231">
        <v>1998</v>
      </c>
      <c r="G5" s="231">
        <v>1999</v>
      </c>
      <c r="H5" s="231">
        <v>2000</v>
      </c>
      <c r="I5" s="231">
        <v>2001</v>
      </c>
      <c r="J5" s="231">
        <v>2002</v>
      </c>
      <c r="K5" s="231">
        <f>IS!K5</f>
        <v>2003</v>
      </c>
      <c r="L5" s="231">
        <f>IS!L5</f>
        <v>2004</v>
      </c>
      <c r="M5" s="231">
        <f>IS!M5</f>
        <v>2005</v>
      </c>
      <c r="N5" s="231">
        <f>IS!N5</f>
        <v>2006</v>
      </c>
      <c r="O5" s="231">
        <f>IS!O5</f>
        <v>2007</v>
      </c>
      <c r="P5" s="231">
        <f>IS!P5</f>
        <v>2008</v>
      </c>
      <c r="Q5" s="231">
        <f>IS!Q5</f>
        <v>2009</v>
      </c>
      <c r="R5" s="231">
        <f>IS!R5</f>
        <v>2010</v>
      </c>
      <c r="S5" s="231">
        <f>IS!S5</f>
        <v>2011</v>
      </c>
      <c r="T5" s="234">
        <f>IS!T5</f>
        <v>2012</v>
      </c>
      <c r="U5" s="231">
        <f>IS!U5</f>
        <v>2013</v>
      </c>
      <c r="V5" s="231" t="str">
        <f>IS!V5</f>
        <v>2014</v>
      </c>
      <c r="W5" s="231" t="str">
        <f>IS!W5</f>
        <v>2015</v>
      </c>
      <c r="X5" s="231" t="str">
        <f>IS!X5</f>
        <v>2016</v>
      </c>
      <c r="Y5" s="231" t="str">
        <f>IS!Y5</f>
        <v>2017</v>
      </c>
      <c r="Z5" s="231" t="str">
        <f>IS!Z5</f>
        <v>2018E</v>
      </c>
      <c r="AA5" s="231" t="str">
        <f>IS!AA5</f>
        <v>2019E</v>
      </c>
      <c r="AB5" s="231" t="str">
        <f>IS!AB5</f>
        <v>2020E</v>
      </c>
      <c r="AC5" s="231" t="str">
        <f>IS!AC5</f>
        <v>2021E</v>
      </c>
      <c r="AD5" s="231" t="str">
        <f>IS!AD5</f>
        <v>2022E</v>
      </c>
      <c r="AE5" s="231" t="str">
        <f>IS!AE5</f>
        <v>2023E</v>
      </c>
      <c r="AF5" s="231" t="str">
        <f>IS!AF5</f>
        <v>2024E</v>
      </c>
      <c r="AG5" s="231" t="str">
        <f>IS!AG5</f>
        <v>2025E</v>
      </c>
      <c r="AH5" s="1565"/>
      <c r="AI5" s="346"/>
      <c r="AJ5" s="346"/>
      <c r="AK5" s="346"/>
      <c r="AL5" s="346"/>
      <c r="AM5" s="346"/>
      <c r="AN5" s="231"/>
      <c r="AO5" s="346"/>
      <c r="AP5" s="231"/>
      <c r="AQ5" s="231"/>
      <c r="AR5" s="231"/>
      <c r="AS5" s="231"/>
      <c r="AT5" s="231"/>
      <c r="AU5" s="231"/>
      <c r="AV5" s="231"/>
      <c r="AW5" s="231"/>
      <c r="AX5" s="234" t="s">
        <v>910</v>
      </c>
      <c r="AY5" s="231" t="s">
        <v>911</v>
      </c>
      <c r="AZ5" s="231" t="s">
        <v>912</v>
      </c>
      <c r="BA5" s="231" t="s">
        <v>913</v>
      </c>
      <c r="BB5" s="234" t="s">
        <v>914</v>
      </c>
      <c r="BC5" s="231" t="s">
        <v>915</v>
      </c>
      <c r="BD5" s="231" t="s">
        <v>916</v>
      </c>
      <c r="BE5" s="231" t="s">
        <v>917</v>
      </c>
      <c r="BF5" s="234" t="s">
        <v>918</v>
      </c>
      <c r="BG5" s="231" t="s">
        <v>919</v>
      </c>
      <c r="BH5" s="231" t="s">
        <v>920</v>
      </c>
      <c r="BI5" s="231" t="s">
        <v>921</v>
      </c>
      <c r="BJ5" s="234" t="str">
        <f>IS!BG5</f>
        <v>1Q02</v>
      </c>
      <c r="BK5" s="231" t="str">
        <f>IS!BH5</f>
        <v>2Q02</v>
      </c>
      <c r="BL5" s="231" t="str">
        <f>IS!BI5</f>
        <v>3Q02</v>
      </c>
      <c r="BM5" s="231" t="str">
        <f>IS!BJ5</f>
        <v>4Q02</v>
      </c>
      <c r="BN5" s="234" t="str">
        <f>IS!BK5</f>
        <v>1Q03</v>
      </c>
      <c r="BO5" s="231" t="str">
        <f>IS!BL5</f>
        <v>2Q03</v>
      </c>
      <c r="BP5" s="231" t="str">
        <f>IS!BM5</f>
        <v>3Q03</v>
      </c>
      <c r="BQ5" s="231" t="str">
        <f>IS!BN5</f>
        <v>4Q03</v>
      </c>
      <c r="BR5" s="234" t="str">
        <f>IS!BO5</f>
        <v>1Q04</v>
      </c>
      <c r="BS5" s="231" t="str">
        <f>IS!BP5</f>
        <v>2Q04</v>
      </c>
      <c r="BT5" s="231" t="str">
        <f>IS!BQ5</f>
        <v>3Q04</v>
      </c>
      <c r="BU5" s="231" t="str">
        <f>IS!BR5</f>
        <v>4Q04</v>
      </c>
      <c r="BV5" s="234" t="str">
        <f>IS!BS5</f>
        <v>1Q05</v>
      </c>
      <c r="BW5" s="231" t="str">
        <f>IS!BT5</f>
        <v>2Q05</v>
      </c>
      <c r="BX5" s="231" t="str">
        <f>IS!BU5</f>
        <v>3Q05</v>
      </c>
      <c r="BY5" s="231" t="str">
        <f>IS!BV5</f>
        <v>4Q05</v>
      </c>
      <c r="BZ5" s="234" t="str">
        <f>IS!BW5</f>
        <v>1Q06</v>
      </c>
      <c r="CA5" s="231" t="str">
        <f>IS!BX5</f>
        <v>2Q06</v>
      </c>
      <c r="CB5" s="231" t="str">
        <f>IS!BY5</f>
        <v>3Q06</v>
      </c>
      <c r="CC5" s="231" t="str">
        <f>IS!BZ5</f>
        <v>4Q06</v>
      </c>
      <c r="CD5" s="234" t="str">
        <f>IS!CA5</f>
        <v>1Q07</v>
      </c>
      <c r="CE5" s="231" t="str">
        <f>IS!CB5</f>
        <v>2Q07</v>
      </c>
      <c r="CF5" s="231" t="str">
        <f>IS!CC5</f>
        <v>3Q07</v>
      </c>
      <c r="CG5" s="231" t="str">
        <f>IS!CD5</f>
        <v>4Q07</v>
      </c>
      <c r="CH5" s="234" t="str">
        <f>IS!CE5</f>
        <v>1Q08</v>
      </c>
      <c r="CI5" s="231" t="str">
        <f>IS!CF5</f>
        <v>2Q08</v>
      </c>
      <c r="CJ5" s="231" t="str">
        <f>IS!CG5</f>
        <v>3Q08</v>
      </c>
      <c r="CK5" s="231" t="str">
        <f>IS!CH5</f>
        <v>4Q08</v>
      </c>
      <c r="CL5" s="234" t="str">
        <f>IS!CI5</f>
        <v>1Q09</v>
      </c>
      <c r="CM5" s="231" t="str">
        <f>IS!CJ5</f>
        <v>2Q09</v>
      </c>
      <c r="CN5" s="231" t="str">
        <f>IS!CK5</f>
        <v>3Q09</v>
      </c>
      <c r="CO5" s="231" t="str">
        <f>IS!CL5</f>
        <v>4Q09</v>
      </c>
      <c r="CP5" s="234" t="str">
        <f>IS!CM5</f>
        <v>1Q10</v>
      </c>
      <c r="CQ5" s="231" t="str">
        <f>IS!CN5</f>
        <v>2Q10</v>
      </c>
      <c r="CR5" s="231" t="str">
        <f>IS!CO5</f>
        <v>3Q10</v>
      </c>
      <c r="CS5" s="231" t="str">
        <f>IS!CP5</f>
        <v>4Q10</v>
      </c>
      <c r="CT5" s="234" t="str">
        <f>IS!CQ5</f>
        <v>1Q11</v>
      </c>
      <c r="CU5" s="231" t="str">
        <f>IS!CR5</f>
        <v>2Q11</v>
      </c>
      <c r="CV5" s="231" t="str">
        <f>IS!CS5</f>
        <v>3Q11</v>
      </c>
      <c r="CW5" s="232" t="str">
        <f>IS!CT5</f>
        <v>4Q11</v>
      </c>
      <c r="CX5" s="231" t="str">
        <f>IS!CU5</f>
        <v>1Q12</v>
      </c>
      <c r="CY5" s="231" t="str">
        <f>IS!CV5</f>
        <v>2Q12</v>
      </c>
      <c r="CZ5" s="231" t="str">
        <f>IS!CW5</f>
        <v>3Q12</v>
      </c>
      <c r="DA5" s="231" t="str">
        <f>IS!CX5</f>
        <v>4Q12</v>
      </c>
      <c r="DB5" s="231" t="str">
        <f>IS!CY5</f>
        <v>1Q13</v>
      </c>
      <c r="DC5" s="232" t="str">
        <f>IS!CZ5</f>
        <v>2Q13</v>
      </c>
      <c r="DD5" s="232" t="str">
        <f>IS!DA5</f>
        <v>3Q13</v>
      </c>
      <c r="DE5" s="231" t="str">
        <f>IS!DB5</f>
        <v>4Q13</v>
      </c>
      <c r="DF5" s="234" t="str">
        <f>IS!DC5</f>
        <v>1Q14</v>
      </c>
      <c r="DG5" s="231" t="str">
        <f>IS!DD5</f>
        <v>2Q14</v>
      </c>
      <c r="DH5" s="231" t="str">
        <f>IS!DE5</f>
        <v>3Q14</v>
      </c>
      <c r="DI5" s="232" t="str">
        <f>IS!DF5</f>
        <v>4Q14</v>
      </c>
      <c r="DJ5" s="234" t="str">
        <f>IS!DG5</f>
        <v>1Q15</v>
      </c>
      <c r="DK5" s="231" t="str">
        <f>IS!DH5</f>
        <v>2Q15</v>
      </c>
      <c r="DL5" s="231" t="str">
        <f>IS!DI5</f>
        <v>3Q15</v>
      </c>
      <c r="DM5" s="232" t="str">
        <f>IS!DJ5</f>
        <v>4Q15</v>
      </c>
      <c r="DN5" s="232" t="str">
        <f>IS!DK5</f>
        <v>1Q16</v>
      </c>
      <c r="DO5" s="232" t="str">
        <f>IS!DL5</f>
        <v>2Q16</v>
      </c>
      <c r="DP5" s="232" t="str">
        <f>IS!DM5</f>
        <v>3Q16</v>
      </c>
      <c r="DQ5" s="232" t="str">
        <f>IS!DN5</f>
        <v>4Q16</v>
      </c>
      <c r="DR5" s="232" t="str">
        <f>IS!DO5</f>
        <v>1Q17</v>
      </c>
      <c r="DS5" s="232" t="str">
        <f>IS!DP5</f>
        <v>2Q17</v>
      </c>
      <c r="DT5" s="232" t="str">
        <f>IS!DQ5</f>
        <v>3Q17</v>
      </c>
      <c r="DU5" s="232" t="str">
        <f>IS!DR5</f>
        <v>4Q17</v>
      </c>
      <c r="DV5" s="232" t="str">
        <f>IS!DS5</f>
        <v>1Q18</v>
      </c>
      <c r="DW5" s="232" t="str">
        <f>IS!DT5</f>
        <v>2Q18E</v>
      </c>
      <c r="DX5" s="232" t="str">
        <f>IS!DU5</f>
        <v>3Q18E</v>
      </c>
      <c r="DY5" s="232" t="str">
        <f>IS!DV5</f>
        <v>4Q18E</v>
      </c>
    </row>
    <row r="6" spans="1:130">
      <c r="A6" s="584" t="s">
        <v>1212</v>
      </c>
      <c r="B6" s="128"/>
      <c r="C6" s="128"/>
      <c r="D6" s="128"/>
      <c r="E6" s="128"/>
      <c r="F6" s="130"/>
      <c r="G6" s="130"/>
      <c r="H6" s="130"/>
      <c r="I6" s="130"/>
      <c r="J6" s="130">
        <f>IS!J6</f>
        <v>3.06</v>
      </c>
      <c r="K6" s="130">
        <f>IS!K6</f>
        <v>2.59</v>
      </c>
      <c r="L6" s="130">
        <f>IS!L6</f>
        <v>2.4900000000000002</v>
      </c>
      <c r="M6" s="130">
        <f>IS!M6</f>
        <v>1</v>
      </c>
      <c r="N6" s="130">
        <f>IS!N6</f>
        <v>2.61</v>
      </c>
      <c r="O6" s="130">
        <f>IS!O6</f>
        <v>2.3866533099135196</v>
      </c>
      <c r="P6" s="130">
        <f>IS!P6</f>
        <v>2.538231328484017</v>
      </c>
      <c r="Q6" s="1036">
        <f>IS!Q6</f>
        <v>1.9136349876803944</v>
      </c>
      <c r="R6" s="130">
        <f>IS!R6</f>
        <v>2.0773481954809991</v>
      </c>
      <c r="S6" s="130">
        <f>IS!S6</f>
        <v>2.1540899052696991</v>
      </c>
      <c r="T6" s="1036">
        <f>IS!T6</f>
        <v>2.2251970649895183</v>
      </c>
      <c r="U6" s="130">
        <f>IS!U6</f>
        <v>2.8220215727209466</v>
      </c>
      <c r="V6" s="130">
        <f>IS!V6</f>
        <v>3.4132820851600503</v>
      </c>
      <c r="W6" s="130">
        <f>IS!W6</f>
        <v>3.4502992549163305</v>
      </c>
      <c r="X6" s="3276">
        <f>IS!X6</f>
        <v>3.7416043566052744</v>
      </c>
      <c r="Y6" s="3276">
        <f>IS!Y6</f>
        <v>3.7374602397846832</v>
      </c>
      <c r="Z6" s="3276">
        <f ca="1">IS!Z6</f>
        <v>4.5447318949672786</v>
      </c>
      <c r="AA6" s="3276">
        <f ca="1">IS!AA6</f>
        <v>4.7340805279717273</v>
      </c>
      <c r="AB6" s="130">
        <f ca="1">IS!AB6</f>
        <v>4.949467505016357</v>
      </c>
      <c r="AC6" s="130">
        <f ca="1">IS!AC6</f>
        <v>5.1589882052989253</v>
      </c>
      <c r="AD6" s="130">
        <f ca="1">IS!AD6</f>
        <v>5.3885502047206435</v>
      </c>
      <c r="AE6" s="130">
        <f ca="1">IS!AE6</f>
        <v>5.6328247202620876</v>
      </c>
      <c r="AF6" s="130">
        <f ca="1">IS!AF6</f>
        <v>5.8930980122776537</v>
      </c>
      <c r="AG6" s="130">
        <f ca="1">IS!AG6</f>
        <v>6.1637765370324633</v>
      </c>
      <c r="AH6" s="1566"/>
      <c r="AI6" s="121"/>
      <c r="AJ6" s="121"/>
      <c r="AK6" s="121"/>
      <c r="AL6" s="121"/>
      <c r="AM6" s="121"/>
      <c r="AN6" s="121"/>
      <c r="AO6" s="121"/>
      <c r="AP6" s="130"/>
      <c r="AQ6" s="130"/>
      <c r="AR6" s="130"/>
      <c r="AS6" s="130"/>
      <c r="AT6" s="130"/>
      <c r="AU6" s="130"/>
      <c r="AV6" s="130"/>
      <c r="AW6" s="130"/>
      <c r="AX6" s="131"/>
      <c r="AY6" s="130"/>
      <c r="AZ6" s="130"/>
      <c r="BA6" s="130"/>
      <c r="BB6" s="131"/>
      <c r="BC6" s="130"/>
      <c r="BD6" s="130"/>
      <c r="BE6" s="130"/>
      <c r="BF6" s="131"/>
      <c r="BG6" s="130"/>
      <c r="BH6" s="130"/>
      <c r="BI6" s="130"/>
      <c r="BJ6" s="131"/>
      <c r="BK6" s="130"/>
      <c r="BL6" s="130"/>
      <c r="BM6" s="130"/>
      <c r="BN6" s="131"/>
      <c r="BO6" s="130"/>
      <c r="BP6" s="130"/>
      <c r="BQ6" s="130"/>
      <c r="BR6" s="131">
        <f>IS!BO6</f>
        <v>0.57428872497365646</v>
      </c>
      <c r="BS6" s="130">
        <f>IS!BP6</f>
        <v>0.63161609033168664</v>
      </c>
      <c r="BT6" s="130">
        <f>IS!BQ6</f>
        <v>0.64290780141843973</v>
      </c>
      <c r="BU6" s="130">
        <f>IS!BR6</f>
        <v>0.6415161176053843</v>
      </c>
      <c r="BV6" s="131">
        <f>IS!BS6</f>
        <v>0.60262318326834452</v>
      </c>
      <c r="BW6" s="130">
        <f>IS!BT6</f>
        <v>0.61653068463994321</v>
      </c>
      <c r="BX6" s="130">
        <f>IS!BU6</f>
        <v>0.6340078097266596</v>
      </c>
      <c r="BY6" s="130">
        <f>IS!BV6</f>
        <v>0.61079545454545459</v>
      </c>
      <c r="BZ6" s="131">
        <f>IS!BW6</f>
        <v>0.67530600364649018</v>
      </c>
      <c r="CA6" s="130">
        <f>IS!BX6</f>
        <v>0.63953882672092233</v>
      </c>
      <c r="CB6" s="130">
        <f>IS!BY6</f>
        <v>0.68114950393431406</v>
      </c>
      <c r="CC6" s="130">
        <f>IS!BZ6</f>
        <v>0.61870503597122306</v>
      </c>
      <c r="CD6" s="131">
        <f>IS!CA6</f>
        <v>0.55994503607007906</v>
      </c>
      <c r="CE6" s="130">
        <f>IS!CB6</f>
        <v>0.58479532163742687</v>
      </c>
      <c r="CF6" s="130">
        <f>IS!CC6</f>
        <v>0.62551724137931031</v>
      </c>
      <c r="CG6" s="130">
        <f>IS!CD6</f>
        <v>0.61639571082670352</v>
      </c>
      <c r="CH6" s="131">
        <f>IS!CE6</f>
        <v>0.60767888307155327</v>
      </c>
      <c r="CI6" s="130">
        <f>IS!CF6</f>
        <v>0.66783584707120314</v>
      </c>
      <c r="CJ6" s="130">
        <f>IS!CG6</f>
        <v>0.65553602811950795</v>
      </c>
      <c r="CK6" s="130">
        <f>IS!CH6</f>
        <v>0.60718057022175287</v>
      </c>
      <c r="CL6" s="131">
        <f>IS!CI6</f>
        <v>0.47437486800422379</v>
      </c>
      <c r="CM6" s="130">
        <f>IS!CJ6</f>
        <v>0.51500422386483635</v>
      </c>
      <c r="CN6" s="130">
        <f>IS!CK6</f>
        <v>0.48104963041182691</v>
      </c>
      <c r="CO6" s="130">
        <f>IS!CL6</f>
        <v>0.44320626539950719</v>
      </c>
      <c r="CP6" s="131">
        <f>IS!CM6</f>
        <v>0.47732157968970379</v>
      </c>
      <c r="CQ6" s="130">
        <f>IS!CN6</f>
        <v>0.51364803678811444</v>
      </c>
      <c r="CR6" s="130">
        <f>IS!CO6</f>
        <v>0.54674690703428763</v>
      </c>
      <c r="CS6" s="130">
        <f>IS!CP6</f>
        <v>0.53963167196889361</v>
      </c>
      <c r="CT6" s="131">
        <f>IS!CQ6</f>
        <v>0.50918727915194351</v>
      </c>
      <c r="CU6" s="130">
        <f>IS!CR6</f>
        <v>0.5692090395480226</v>
      </c>
      <c r="CV6" s="130">
        <f>IS!CS6</f>
        <v>0.55881792519407203</v>
      </c>
      <c r="CW6" s="132">
        <f>IS!CT6</f>
        <v>0.51687566137566132</v>
      </c>
      <c r="CX6" s="130">
        <f>IS!CU6</f>
        <v>0.59301860301860299</v>
      </c>
      <c r="CY6" s="130">
        <f>IS!CV6</f>
        <v>0.63033939818054585</v>
      </c>
      <c r="CZ6" s="130">
        <f>IS!CW6</f>
        <v>0.6364312630844382</v>
      </c>
      <c r="DA6" s="130">
        <f>IS!CX6</f>
        <v>0.37228581411600281</v>
      </c>
      <c r="DB6" s="131">
        <f>IS!CY6</f>
        <v>0.67757660167130918</v>
      </c>
      <c r="DC6" s="130">
        <f>IS!CZ6</f>
        <v>0.72865250696378836</v>
      </c>
      <c r="DD6" s="130">
        <f>IS!DA6</f>
        <v>0.76658315935977728</v>
      </c>
      <c r="DE6" s="130">
        <f>IS!DB6</f>
        <v>0.64996173913043476</v>
      </c>
      <c r="DF6" s="131">
        <f>IS!DC6</f>
        <v>0.91084337349397593</v>
      </c>
      <c r="DG6" s="1036">
        <f>IS!DD6</f>
        <v>0.90769564170479167</v>
      </c>
      <c r="DH6" s="1036">
        <f>IS!DE6</f>
        <v>0.88843471988458766</v>
      </c>
      <c r="DI6" s="132">
        <f>IS!DF6</f>
        <v>0.71300938176569639</v>
      </c>
      <c r="DJ6" s="131">
        <f>IS!DG6</f>
        <v>0.88910458626546951</v>
      </c>
      <c r="DK6" s="1036">
        <f>IS!DH6</f>
        <v>0.90183598531211751</v>
      </c>
      <c r="DL6" s="2156">
        <f>IS!DI6</f>
        <v>0.91012770137524557</v>
      </c>
      <c r="DM6" s="2156">
        <f>IS!DJ6</f>
        <v>0.7531305201177626</v>
      </c>
      <c r="DN6" s="2166">
        <f>IS!DK6</f>
        <v>0.93005140758873939</v>
      </c>
      <c r="DO6" s="2167">
        <f>IS!DL6</f>
        <v>0.94394124847001226</v>
      </c>
      <c r="DP6" s="2167">
        <f>IS!DM6</f>
        <v>1.0088105726872247</v>
      </c>
      <c r="DQ6" s="2168">
        <f>IS!DN6</f>
        <v>0.85882065084413994</v>
      </c>
      <c r="DR6" s="2166">
        <f>IS!DO6</f>
        <v>0.94519207242476144</v>
      </c>
      <c r="DS6" s="2167">
        <f>IS!DP6</f>
        <v>0.95639392454679084</v>
      </c>
      <c r="DT6" s="2167">
        <f>IS!DQ6</f>
        <v>0.97676693568109563</v>
      </c>
      <c r="DU6" s="3336">
        <f>IS!DR6</f>
        <v>0.85916870415647917</v>
      </c>
      <c r="DV6" s="3336">
        <f>IS!DS6</f>
        <v>1.1714146579011444</v>
      </c>
      <c r="DW6" s="2167">
        <f ca="1">IS!DT6</f>
        <v>1.1606189746252034</v>
      </c>
      <c r="DX6" s="2167">
        <f ca="1">IS!DU6</f>
        <v>1.2111746666504053</v>
      </c>
      <c r="DY6" s="2168">
        <f ca="1">IS!DV6</f>
        <v>1.0018026868648913</v>
      </c>
    </row>
    <row r="7" spans="1:130">
      <c r="A7" s="469"/>
      <c r="B7" s="133"/>
      <c r="C7" s="133"/>
      <c r="D7" s="134"/>
      <c r="E7" s="134"/>
      <c r="F7" s="135"/>
      <c r="G7" s="135"/>
      <c r="H7" s="135"/>
      <c r="I7" s="135"/>
      <c r="J7" s="135">
        <f>IS!J7</f>
        <v>1.9999999999999796E-2</v>
      </c>
      <c r="K7" s="135">
        <f>IS!K7</f>
        <v>-0.15359477124182996</v>
      </c>
      <c r="L7" s="135">
        <f>IS!L7</f>
        <v>-3.8610038610038422E-2</v>
      </c>
      <c r="M7" s="135">
        <f>IS!M7</f>
        <v>-0.59839357429718887</v>
      </c>
      <c r="N7" s="135">
        <f>IS!N7</f>
        <v>1.6099999999999999</v>
      </c>
      <c r="O7" s="135">
        <f>IS!O7</f>
        <v>-8.5573444477578642E-2</v>
      </c>
      <c r="P7" s="135">
        <f>IS!P7</f>
        <v>6.3510698408052235E-2</v>
      </c>
      <c r="Q7" s="1037" t="str">
        <f>IS!Q7</f>
        <v>na</v>
      </c>
      <c r="R7" s="135">
        <f>IS!R7</f>
        <v>8.5550906444832986E-2</v>
      </c>
      <c r="S7" s="135">
        <f>IS!S7</f>
        <v>3.6942150553114672E-2</v>
      </c>
      <c r="T7" s="1037">
        <f>IS!T7</f>
        <v>3.3010302655364976E-2</v>
      </c>
      <c r="U7" s="135">
        <f>IS!U7</f>
        <v>0.26821197866996083</v>
      </c>
      <c r="V7" s="135">
        <f>IS!V7</f>
        <v>0.20951665223062776</v>
      </c>
      <c r="W7" s="135">
        <f>IS!W7</f>
        <v>1.0845036780645856E-2</v>
      </c>
      <c r="X7" s="3277">
        <f>IS!X7</f>
        <v>8.4428937946140037E-2</v>
      </c>
      <c r="Y7" s="3277">
        <f>IS!Y7</f>
        <v>-1.1075775056962334E-3</v>
      </c>
      <c r="Z7" s="3277">
        <f ca="1">IS!Z7</f>
        <v>0.21599471389402725</v>
      </c>
      <c r="AA7" s="3277">
        <f ca="1">IS!AA7</f>
        <v>4.1663323025529442E-2</v>
      </c>
      <c r="AB7" s="135">
        <f ca="1">IS!AB7</f>
        <v>4.5497108841304534E-2</v>
      </c>
      <c r="AC7" s="135">
        <f ca="1">IS!AC7</f>
        <v>4.2331968049131863E-2</v>
      </c>
      <c r="AD7" s="135">
        <f ca="1">IS!AD7</f>
        <v>4.4497484833543322E-2</v>
      </c>
      <c r="AE7" s="135">
        <f ca="1">IS!AE7</f>
        <v>4.5332140605732318E-2</v>
      </c>
      <c r="AF7" s="135">
        <f ca="1">IS!AF7</f>
        <v>4.6206531348175206E-2</v>
      </c>
      <c r="AG7" s="135">
        <f ca="1">IS!AG7</f>
        <v>4.5931447973693862E-2</v>
      </c>
      <c r="AH7" s="1112"/>
      <c r="AI7" s="133"/>
      <c r="AJ7" s="133"/>
      <c r="AK7" s="133"/>
      <c r="AL7" s="133"/>
      <c r="AM7" s="133"/>
      <c r="AN7" s="133"/>
      <c r="AO7" s="133"/>
      <c r="AP7" s="134"/>
      <c r="AQ7" s="134"/>
      <c r="AR7" s="134"/>
      <c r="AS7" s="134"/>
      <c r="AT7" s="134"/>
      <c r="AU7" s="134"/>
      <c r="AV7" s="134"/>
      <c r="AW7" s="134"/>
      <c r="AX7" s="648"/>
      <c r="AY7" s="134"/>
      <c r="AZ7" s="134"/>
      <c r="BA7" s="134"/>
      <c r="BB7" s="648"/>
      <c r="BC7" s="134"/>
      <c r="BD7" s="134"/>
      <c r="BE7" s="134"/>
      <c r="BF7" s="648"/>
      <c r="BG7" s="134"/>
      <c r="BH7" s="134"/>
      <c r="BI7" s="134"/>
      <c r="BJ7" s="648"/>
      <c r="BK7" s="134"/>
      <c r="BL7" s="134"/>
      <c r="BM7" s="134"/>
      <c r="BN7" s="136"/>
      <c r="BO7" s="135"/>
      <c r="BP7" s="135"/>
      <c r="BQ7" s="135"/>
      <c r="BR7" s="136">
        <f>IS!BO7</f>
        <v>-0.15545775739168177</v>
      </c>
      <c r="BS7" s="135">
        <f>IS!BP7</f>
        <v>-5.7289417415393173E-2</v>
      </c>
      <c r="BT7" s="135">
        <f>IS!BQ7</f>
        <v>3.6948066803935031E-2</v>
      </c>
      <c r="BU7" s="135">
        <f>IS!BR7</f>
        <v>0.1254668729919024</v>
      </c>
      <c r="BV7" s="136">
        <f>IS!BS7</f>
        <v>4.9338350314970691E-2</v>
      </c>
      <c r="BW7" s="135">
        <f>IS!BT7</f>
        <v>-2.3883821078436229E-2</v>
      </c>
      <c r="BX7" s="135">
        <f>IS!BU7</f>
        <v>-1.3843340634760004E-2</v>
      </c>
      <c r="BY7" s="135">
        <f>IS!BV7</f>
        <v>-4.7887593494302383E-2</v>
      </c>
      <c r="BZ7" s="136">
        <f>IS!BW7</f>
        <v>0.12061072722749944</v>
      </c>
      <c r="CA7" s="135">
        <f>IS!BX7</f>
        <v>3.731872987703122E-2</v>
      </c>
      <c r="CB7" s="135">
        <f>IS!BY7</f>
        <v>7.4355068635477473E-2</v>
      </c>
      <c r="CC7" s="135">
        <f>IS!BZ7</f>
        <v>1.2949640287769792E-2</v>
      </c>
      <c r="CD7" s="136">
        <f>IS!CA7</f>
        <v>-0.17082769433929157</v>
      </c>
      <c r="CE7" s="135">
        <f>IS!CB7</f>
        <v>-8.5598407471488946E-2</v>
      </c>
      <c r="CF7" s="135">
        <f>IS!CC7</f>
        <v>-8.1674085107120042E-2</v>
      </c>
      <c r="CG7" s="135">
        <f>IS!CD7</f>
        <v>-3.732513896374634E-3</v>
      </c>
      <c r="CH7" s="136">
        <f>IS!CE7</f>
        <v>8.5247379522264577E-2</v>
      </c>
      <c r="CI7" s="135">
        <f>IS!CF7</f>
        <v>0.14199929849175752</v>
      </c>
      <c r="CJ7" s="135">
        <f>IS!CG7</f>
        <v>4.7990342638684291E-2</v>
      </c>
      <c r="CK7" s="135">
        <f>IS!CH7</f>
        <v>-1.4950040117234775E-2</v>
      </c>
      <c r="CL7" s="136" t="str">
        <f>IS!CI7</f>
        <v>na</v>
      </c>
      <c r="CM7" s="135" t="str">
        <f>IS!CJ7</f>
        <v>na</v>
      </c>
      <c r="CN7" s="135" t="str">
        <f>IS!CK7</f>
        <v>na</v>
      </c>
      <c r="CO7" s="135" t="str">
        <f>IS!CL7</f>
        <v>na</v>
      </c>
      <c r="CP7" s="136">
        <f>IS!CM7</f>
        <v>6.2117786675279785E-3</v>
      </c>
      <c r="CQ7" s="135">
        <f>IS!CN7</f>
        <v>-2.6333513666051411E-3</v>
      </c>
      <c r="CR7" s="135">
        <f>IS!CO7</f>
        <v>0.13657068308360865</v>
      </c>
      <c r="CS7" s="135">
        <f>IS!CP7</f>
        <v>0.21756327492904082</v>
      </c>
      <c r="CT7" s="136">
        <f>IS!CQ7</f>
        <v>6.6759394123674154E-2</v>
      </c>
      <c r="CU7" s="135">
        <f>IS!CR7</f>
        <v>0.10816940546942599</v>
      </c>
      <c r="CV7" s="135">
        <f>IS!CS7</f>
        <v>2.2077890161758873E-2</v>
      </c>
      <c r="CW7" s="137">
        <f>IS!CT7</f>
        <v>-4.2169523723848523E-2</v>
      </c>
      <c r="CX7" s="135">
        <f>IS!CU7</f>
        <v>0.16463750627525764</v>
      </c>
      <c r="CY7" s="135">
        <f>IS!CV7</f>
        <v>0.10739527025267104</v>
      </c>
      <c r="CZ7" s="135">
        <f>IS!CW7</f>
        <v>0.13888841855495571</v>
      </c>
      <c r="DA7" s="135">
        <f>IS!CX7</f>
        <v>-0.27973816154321052</v>
      </c>
      <c r="DB7" s="136">
        <f>IS!CY7</f>
        <v>0.14258911646664418</v>
      </c>
      <c r="DC7" s="135">
        <f>IS!CZ7</f>
        <v>0.15596852912418302</v>
      </c>
      <c r="DD7" s="135">
        <f>IS!DA7</f>
        <v>0.20450267581853732</v>
      </c>
      <c r="DE7" s="135">
        <f>IS!DB7</f>
        <v>0.74586759550260284</v>
      </c>
      <c r="DF7" s="136">
        <f>IS!DC7</f>
        <v>0.34426627372800556</v>
      </c>
      <c r="DG7" s="1037">
        <f>IS!DD7</f>
        <v>0.24571813454269931</v>
      </c>
      <c r="DH7" s="1037">
        <f>IS!DE7</f>
        <v>0.15895413176905215</v>
      </c>
      <c r="DI7" s="137">
        <f>IS!DF7</f>
        <v>9.7002083106632275E-2</v>
      </c>
      <c r="DJ7" s="136">
        <f>IS!DG7</f>
        <v>-2.3866657936058577E-2</v>
      </c>
      <c r="DK7" s="1037">
        <f>IS!DH7</f>
        <v>-6.4555299413675549E-3</v>
      </c>
      <c r="DL7" s="2157">
        <f>IS!DI7</f>
        <v>2.4417079842935285E-2</v>
      </c>
      <c r="DM7" s="2157">
        <f>IS!DJ7</f>
        <v>5.6270140867866525E-2</v>
      </c>
      <c r="DN7" s="2169">
        <f>IS!DK7</f>
        <v>4.6053998546177644E-2</v>
      </c>
      <c r="DO7" s="2170">
        <f>IS!DL7</f>
        <v>4.6688382193268207E-2</v>
      </c>
      <c r="DP7" s="2170">
        <f>IS!DM7</f>
        <v>0.1084274999682624</v>
      </c>
      <c r="DQ7" s="2171">
        <f>IS!DN7</f>
        <v>0.14033441469063179</v>
      </c>
      <c r="DR7" s="2169">
        <f>IS!DO7</f>
        <v>1.6279384894729576E-2</v>
      </c>
      <c r="DS7" s="2170">
        <f>IS!DP7</f>
        <v>1.3192215190259482E-2</v>
      </c>
      <c r="DT7" s="2170">
        <f>IS!DQ7</f>
        <v>-3.1763779914372514E-2</v>
      </c>
      <c r="DU7" s="2170">
        <f>IS!DR7</f>
        <v>4.0526891382630659E-4</v>
      </c>
      <c r="DV7" s="2170">
        <f>IS!DS7</f>
        <v>0.23934033311984915</v>
      </c>
      <c r="DW7" s="2170">
        <f ca="1">IS!DT7</f>
        <v>0.2135365405789138</v>
      </c>
      <c r="DX7" s="2170">
        <f ca="1">IS!DU7</f>
        <v>0.23998327790022711</v>
      </c>
      <c r="DY7" s="2171">
        <f ca="1">IS!DV7</f>
        <v>0.16601394117171475</v>
      </c>
    </row>
    <row r="8" spans="1:130">
      <c r="A8" s="88"/>
      <c r="B8" s="87"/>
      <c r="C8" s="87"/>
      <c r="D8" s="87"/>
      <c r="E8" s="87"/>
      <c r="F8" s="87"/>
      <c r="G8" s="87"/>
      <c r="H8" s="87"/>
      <c r="I8" s="87"/>
      <c r="J8" s="87"/>
      <c r="K8" s="87"/>
      <c r="L8" s="87"/>
      <c r="M8" s="87"/>
      <c r="N8" s="87"/>
      <c r="O8" s="87"/>
      <c r="P8" s="87"/>
      <c r="Q8" s="1041"/>
      <c r="R8" s="87"/>
      <c r="S8" s="87"/>
      <c r="T8" s="1041"/>
      <c r="U8" s="87"/>
      <c r="V8" s="87"/>
      <c r="W8" s="87"/>
      <c r="X8" s="87"/>
      <c r="Y8" s="87"/>
      <c r="Z8" s="87"/>
      <c r="AA8" s="87"/>
      <c r="AB8" s="87"/>
      <c r="AC8" s="87"/>
      <c r="AD8" s="87"/>
      <c r="AE8" s="87"/>
      <c r="AF8" s="87"/>
      <c r="AG8" s="87"/>
      <c r="AH8" s="1566"/>
      <c r="AI8" s="87"/>
      <c r="AJ8" s="87"/>
      <c r="AK8" s="87"/>
      <c r="AL8" s="87"/>
      <c r="AM8" s="87"/>
      <c r="AN8" s="87"/>
      <c r="AO8" s="87"/>
      <c r="AP8" s="87"/>
      <c r="AQ8" s="87"/>
      <c r="AR8" s="87"/>
      <c r="AS8" s="87"/>
      <c r="AT8" s="87"/>
      <c r="AU8" s="87"/>
      <c r="AV8" s="87"/>
      <c r="AW8" s="87"/>
      <c r="AX8" s="88"/>
      <c r="AY8" s="87"/>
      <c r="AZ8" s="87"/>
      <c r="BA8" s="87"/>
      <c r="BB8" s="88"/>
      <c r="BC8" s="87"/>
      <c r="BD8" s="87"/>
      <c r="BE8" s="87"/>
      <c r="BF8" s="88"/>
      <c r="BG8" s="87"/>
      <c r="BH8" s="87"/>
      <c r="BI8" s="87"/>
      <c r="BJ8" s="88"/>
      <c r="BK8" s="87"/>
      <c r="BL8" s="87"/>
      <c r="BM8" s="87"/>
      <c r="BN8" s="88"/>
      <c r="BO8" s="87"/>
      <c r="BP8" s="87"/>
      <c r="BQ8" s="87"/>
      <c r="BR8" s="88"/>
      <c r="BS8" s="87"/>
      <c r="BT8" s="87"/>
      <c r="BU8" s="87"/>
      <c r="BV8" s="88"/>
      <c r="BW8" s="87"/>
      <c r="BX8" s="87"/>
      <c r="BY8" s="87"/>
      <c r="BZ8" s="88"/>
      <c r="CA8" s="87"/>
      <c r="CB8" s="87"/>
      <c r="CC8" s="87"/>
      <c r="CD8" s="88"/>
      <c r="CE8" s="87"/>
      <c r="CF8" s="87"/>
      <c r="CG8" s="87"/>
      <c r="CH8" s="88"/>
      <c r="CI8" s="87"/>
      <c r="CJ8" s="87"/>
      <c r="CK8" s="87"/>
      <c r="CL8" s="88"/>
      <c r="CM8" s="87"/>
      <c r="CN8" s="87"/>
      <c r="CO8" s="87"/>
      <c r="CP8" s="88"/>
      <c r="CQ8" s="87"/>
      <c r="CR8" s="87"/>
      <c r="CS8" s="87"/>
      <c r="CT8" s="88"/>
      <c r="CU8" s="87"/>
      <c r="CV8" s="87"/>
      <c r="CW8" s="144"/>
      <c r="CX8" s="87"/>
      <c r="CY8" s="87"/>
      <c r="CZ8" s="87"/>
      <c r="DA8" s="87"/>
      <c r="DB8" s="88"/>
      <c r="DC8" s="87"/>
      <c r="DD8" s="87"/>
      <c r="DE8" s="87"/>
      <c r="DF8" s="88"/>
      <c r="DG8" s="1041"/>
      <c r="DH8" s="1041"/>
      <c r="DI8" s="144"/>
      <c r="DJ8" s="88"/>
      <c r="DK8" s="1041"/>
      <c r="DL8" s="1041"/>
      <c r="DM8" s="1041"/>
      <c r="DN8" s="88"/>
      <c r="DO8" s="1041"/>
      <c r="DP8" s="1041"/>
      <c r="DQ8" s="1041"/>
      <c r="DR8" s="88"/>
      <c r="DS8" s="1041"/>
      <c r="DT8" s="1041"/>
      <c r="DU8" s="1041"/>
      <c r="DV8" s="1041"/>
      <c r="DW8" s="1041"/>
      <c r="DX8" s="1041"/>
      <c r="DY8" s="144"/>
    </row>
    <row r="9" spans="1:130">
      <c r="A9" s="198" t="s">
        <v>489</v>
      </c>
      <c r="B9" s="139"/>
      <c r="C9" s="139"/>
      <c r="D9" s="139"/>
      <c r="E9" s="140"/>
      <c r="F9" s="140"/>
      <c r="G9" s="140"/>
      <c r="H9" s="140"/>
      <c r="I9" s="140"/>
      <c r="J9" s="140"/>
      <c r="K9" s="140"/>
      <c r="L9" s="140"/>
      <c r="M9" s="140"/>
      <c r="N9" s="140"/>
      <c r="O9" s="140"/>
      <c r="P9" s="140"/>
      <c r="Q9" s="1038"/>
      <c r="R9" s="140"/>
      <c r="S9" s="140"/>
      <c r="T9" s="1038"/>
      <c r="U9" s="140"/>
      <c r="V9" s="140"/>
      <c r="W9" s="140"/>
      <c r="X9" s="140"/>
      <c r="Y9" s="140"/>
      <c r="Z9" s="140"/>
      <c r="AA9" s="140"/>
      <c r="AB9" s="140"/>
      <c r="AC9" s="140"/>
      <c r="AD9" s="140"/>
      <c r="AE9" s="140"/>
      <c r="AF9" s="140"/>
      <c r="AG9" s="140"/>
      <c r="AH9" s="1565"/>
      <c r="AI9" s="140"/>
      <c r="AJ9" s="140"/>
      <c r="AK9" s="140"/>
      <c r="AL9" s="140"/>
      <c r="AM9" s="140"/>
      <c r="AN9" s="140"/>
      <c r="AO9" s="140"/>
      <c r="AP9" s="140"/>
      <c r="AQ9" s="140"/>
      <c r="AR9" s="140"/>
      <c r="AS9" s="140"/>
      <c r="AT9" s="140"/>
      <c r="AU9" s="140"/>
      <c r="AV9" s="140"/>
      <c r="AW9" s="140"/>
      <c r="AX9" s="141"/>
      <c r="AY9" s="140"/>
      <c r="AZ9" s="140"/>
      <c r="BA9" s="140"/>
      <c r="BB9" s="141"/>
      <c r="BC9" s="140"/>
      <c r="BD9" s="140"/>
      <c r="BE9" s="140"/>
      <c r="BF9" s="141"/>
      <c r="BG9" s="140"/>
      <c r="BH9" s="140"/>
      <c r="BI9" s="140"/>
      <c r="BJ9" s="141"/>
      <c r="BK9" s="140"/>
      <c r="BL9" s="140"/>
      <c r="BM9" s="140"/>
      <c r="BN9" s="141"/>
      <c r="BO9" s="140"/>
      <c r="BP9" s="140"/>
      <c r="BQ9" s="140"/>
      <c r="BR9" s="141"/>
      <c r="BS9" s="140"/>
      <c r="BT9" s="140"/>
      <c r="BU9" s="140"/>
      <c r="BV9" s="141"/>
      <c r="BW9" s="140"/>
      <c r="BX9" s="140"/>
      <c r="BY9" s="140"/>
      <c r="BZ9" s="141"/>
      <c r="CA9" s="140"/>
      <c r="CB9" s="140"/>
      <c r="CC9" s="140"/>
      <c r="CD9" s="141"/>
      <c r="CE9" s="140"/>
      <c r="CF9" s="140"/>
      <c r="CG9" s="140"/>
      <c r="CH9" s="141"/>
      <c r="CI9" s="140"/>
      <c r="CJ9" s="140"/>
      <c r="CK9" s="140"/>
      <c r="CL9" s="141"/>
      <c r="CM9" s="140"/>
      <c r="CN9" s="140"/>
      <c r="CO9" s="140"/>
      <c r="CP9" s="141"/>
      <c r="CQ9" s="140"/>
      <c r="CR9" s="140"/>
      <c r="CS9" s="140"/>
      <c r="CT9" s="141"/>
      <c r="CU9" s="140"/>
      <c r="CV9" s="140"/>
      <c r="CW9" s="142"/>
      <c r="CX9" s="140"/>
      <c r="CY9" s="140"/>
      <c r="CZ9" s="140"/>
      <c r="DA9" s="140"/>
      <c r="DB9" s="141"/>
      <c r="DC9" s="140"/>
      <c r="DD9" s="140"/>
      <c r="DE9" s="140"/>
      <c r="DF9" s="141"/>
      <c r="DG9" s="1038"/>
      <c r="DH9" s="1038"/>
      <c r="DI9" s="142"/>
      <c r="DJ9" s="141"/>
      <c r="DK9" s="1038"/>
      <c r="DL9" s="1038"/>
      <c r="DM9" s="1038"/>
      <c r="DN9" s="141"/>
      <c r="DO9" s="1038"/>
      <c r="DP9" s="1038"/>
      <c r="DQ9" s="1038"/>
      <c r="DR9" s="141"/>
      <c r="DS9" s="1038"/>
      <c r="DT9" s="1038"/>
      <c r="DU9" s="1038"/>
      <c r="DV9" s="1038"/>
      <c r="DW9" s="1038"/>
      <c r="DX9" s="1038"/>
      <c r="DY9" s="142"/>
    </row>
    <row r="10" spans="1:130">
      <c r="A10" s="151"/>
      <c r="B10" s="87"/>
      <c r="C10" s="87"/>
      <c r="D10" s="143"/>
      <c r="E10" s="143"/>
      <c r="F10" s="143"/>
      <c r="G10" s="143"/>
      <c r="H10" s="143"/>
      <c r="I10" s="143"/>
      <c r="J10" s="143"/>
      <c r="K10" s="143"/>
      <c r="L10" s="143"/>
      <c r="M10" s="143"/>
      <c r="N10" s="143"/>
      <c r="O10" s="143"/>
      <c r="P10" s="143"/>
      <c r="Q10" s="1047"/>
      <c r="R10" s="143"/>
      <c r="S10" s="143"/>
      <c r="T10" s="1047"/>
      <c r="U10" s="143"/>
      <c r="V10" s="143"/>
      <c r="W10" s="143"/>
      <c r="X10" s="143"/>
      <c r="Y10" s="143"/>
      <c r="Z10" s="143"/>
      <c r="AA10" s="143"/>
      <c r="AB10" s="143"/>
      <c r="AC10" s="143"/>
      <c r="AD10" s="143"/>
      <c r="AE10" s="143"/>
      <c r="AF10" s="143"/>
      <c r="AG10" s="143"/>
      <c r="AH10" s="1567"/>
      <c r="AI10" s="143"/>
      <c r="AJ10" s="143"/>
      <c r="AK10" s="143"/>
      <c r="AL10" s="143"/>
      <c r="AM10" s="143"/>
      <c r="AN10" s="143"/>
      <c r="AO10" s="143"/>
      <c r="AP10" s="143"/>
      <c r="AQ10" s="143"/>
      <c r="AR10" s="143"/>
      <c r="AS10" s="143"/>
      <c r="AT10" s="143"/>
      <c r="AU10" s="143"/>
      <c r="AV10" s="143"/>
      <c r="AW10" s="143"/>
      <c r="AX10" s="159"/>
      <c r="AY10" s="143"/>
      <c r="AZ10" s="143"/>
      <c r="BA10" s="143"/>
      <c r="BB10" s="88"/>
      <c r="BC10" s="87"/>
      <c r="BD10" s="87"/>
      <c r="BE10" s="87"/>
      <c r="BF10" s="88"/>
      <c r="BG10" s="143"/>
      <c r="BH10" s="143"/>
      <c r="BI10" s="143"/>
      <c r="BJ10" s="368"/>
      <c r="BK10" s="745"/>
      <c r="BL10" s="143"/>
      <c r="BM10" s="143"/>
      <c r="BN10" s="159"/>
      <c r="BO10" s="143"/>
      <c r="BP10" s="143"/>
      <c r="BQ10" s="143"/>
      <c r="BR10" s="159"/>
      <c r="BS10" s="143"/>
      <c r="BT10" s="143"/>
      <c r="BU10" s="143"/>
      <c r="BV10" s="159"/>
      <c r="BW10" s="143"/>
      <c r="BX10" s="143"/>
      <c r="BY10" s="143"/>
      <c r="BZ10" s="159"/>
      <c r="CA10" s="143"/>
      <c r="CB10" s="143"/>
      <c r="CC10" s="143"/>
      <c r="CD10" s="159"/>
      <c r="CE10" s="143"/>
      <c r="CF10" s="143"/>
      <c r="CG10" s="143"/>
      <c r="CH10" s="746"/>
      <c r="CI10" s="143"/>
      <c r="CJ10" s="143"/>
      <c r="CK10" s="143"/>
      <c r="CL10" s="159"/>
      <c r="CM10" s="143"/>
      <c r="CN10" s="143"/>
      <c r="CO10" s="143"/>
      <c r="CP10" s="159"/>
      <c r="CQ10" s="143"/>
      <c r="CR10" s="143"/>
      <c r="CS10" s="143"/>
      <c r="CT10" s="159"/>
      <c r="CU10" s="143"/>
      <c r="CV10" s="143"/>
      <c r="CW10" s="189"/>
      <c r="CX10" s="143"/>
      <c r="CY10" s="143"/>
      <c r="CZ10" s="143"/>
      <c r="DA10" s="143"/>
      <c r="DB10" s="159"/>
      <c r="DC10" s="143"/>
      <c r="DD10" s="143"/>
      <c r="DE10" s="143"/>
      <c r="DF10" s="159"/>
      <c r="DG10" s="1047"/>
      <c r="DH10" s="1047"/>
      <c r="DI10" s="189"/>
      <c r="DJ10" s="159"/>
      <c r="DK10" s="1047"/>
      <c r="DL10" s="1047"/>
      <c r="DM10" s="1047"/>
      <c r="DN10" s="159"/>
      <c r="DO10" s="1047"/>
      <c r="DP10" s="1047"/>
      <c r="DQ10" s="1047"/>
      <c r="DR10" s="159"/>
      <c r="DS10" s="1047"/>
      <c r="DT10" s="1047"/>
      <c r="DU10" s="1047"/>
      <c r="DV10" s="1047"/>
      <c r="DW10" s="1047"/>
      <c r="DX10" s="1047"/>
      <c r="DY10" s="189"/>
    </row>
    <row r="11" spans="1:130">
      <c r="A11" s="151" t="s">
        <v>1449</v>
      </c>
      <c r="B11" s="91"/>
      <c r="C11" s="91"/>
      <c r="D11" s="149"/>
      <c r="E11" s="149">
        <f>NormInputs!E10</f>
        <v>209</v>
      </c>
      <c r="F11" s="149">
        <f>NormInputs!F10</f>
        <v>-159</v>
      </c>
      <c r="G11" s="149">
        <f>NormInputs!G10</f>
        <v>-278</v>
      </c>
      <c r="H11" s="149">
        <f>NormInputs!H10</f>
        <v>-276</v>
      </c>
      <c r="I11" s="149">
        <f>NormInputs!I10</f>
        <v>69</v>
      </c>
      <c r="J11" s="149">
        <f>NormInputs!J10</f>
        <v>-137</v>
      </c>
      <c r="K11" s="149">
        <f>SUM(BN11:BQ11)</f>
        <v>-402</v>
      </c>
      <c r="L11" s="149">
        <f>SUM(BR11:BU11)</f>
        <v>-558</v>
      </c>
      <c r="M11" s="149">
        <f>SUM(BV11:BY11)</f>
        <v>-652</v>
      </c>
      <c r="N11" s="149">
        <f>SUM(BZ11:CC11)</f>
        <v>-177.09786784569405</v>
      </c>
      <c r="O11" s="149">
        <f>SUM(CD11:CG11)</f>
        <v>-636</v>
      </c>
      <c r="P11" s="149">
        <f>SUM(CH11:CK11)</f>
        <v>-450</v>
      </c>
      <c r="Q11" s="1113">
        <f>SUM(CL11:CO11)</f>
        <v>-265</v>
      </c>
      <c r="R11" s="149">
        <f>SUM(CP11:CS11)</f>
        <v>-208</v>
      </c>
      <c r="S11" s="149">
        <f>SUM(CT11:CW11)</f>
        <v>39</v>
      </c>
      <c r="T11" s="1113">
        <f>SUM(CX11:DA11)</f>
        <v>198</v>
      </c>
      <c r="U11" s="149">
        <f>SUM(DB11:DE11)</f>
        <v>304</v>
      </c>
      <c r="V11" s="149">
        <f>SUM(DF11:DI11)</f>
        <v>748</v>
      </c>
      <c r="W11" s="149">
        <f>SUM(DJ11:DM11)</f>
        <v>2220</v>
      </c>
      <c r="X11" s="149">
        <f>SUM(DN11:DQ11)</f>
        <v>4082</v>
      </c>
      <c r="Y11" s="149">
        <f>SUM(DR11:DU11)</f>
        <v>7566</v>
      </c>
      <c r="Z11" s="149">
        <f>SUM(DV11:DY11)</f>
        <v>9823.26</v>
      </c>
      <c r="AA11" s="149">
        <f t="shared" ref="AA11:AG11" si="0">+Z11*(1+AA12)</f>
        <v>10019.725200000001</v>
      </c>
      <c r="AB11" s="149">
        <f t="shared" si="0"/>
        <v>10220.119704000001</v>
      </c>
      <c r="AC11" s="149">
        <f t="shared" si="0"/>
        <v>10424.52209808</v>
      </c>
      <c r="AD11" s="149">
        <f t="shared" si="0"/>
        <v>10633.0125400416</v>
      </c>
      <c r="AE11" s="149">
        <f t="shared" si="0"/>
        <v>10845.672790842433</v>
      </c>
      <c r="AF11" s="149">
        <f t="shared" si="0"/>
        <v>11062.586246659281</v>
      </c>
      <c r="AG11" s="149">
        <f t="shared" si="0"/>
        <v>11283.837971592466</v>
      </c>
      <c r="AH11" s="3003"/>
      <c r="AI11" s="148"/>
      <c r="AJ11" s="148"/>
      <c r="AK11" s="148"/>
      <c r="AL11" s="148"/>
      <c r="AM11" s="149"/>
      <c r="AN11" s="149"/>
      <c r="AO11" s="149"/>
      <c r="AP11" s="149"/>
      <c r="AQ11" s="149"/>
      <c r="AR11" s="149"/>
      <c r="AS11" s="149"/>
      <c r="AT11" s="149"/>
      <c r="AU11" s="149"/>
      <c r="AV11" s="149"/>
      <c r="AW11" s="149"/>
      <c r="AX11" s="150">
        <f>NormInputs!AN10</f>
        <v>-59</v>
      </c>
      <c r="AY11" s="149">
        <f>NormInputs!AO10</f>
        <v>-79</v>
      </c>
      <c r="AZ11" s="149">
        <f>NormInputs!AP10</f>
        <v>-36</v>
      </c>
      <c r="BA11" s="149">
        <f>NormInputs!AQ10</f>
        <v>-104</v>
      </c>
      <c r="BB11" s="150">
        <f>NormInputs!AR10</f>
        <v>-98</v>
      </c>
      <c r="BC11" s="149">
        <f>NormInputs!AS10</f>
        <v>-132</v>
      </c>
      <c r="BD11" s="149">
        <f>NormInputs!AT10</f>
        <v>1</v>
      </c>
      <c r="BE11" s="149">
        <f>NormInputs!AU10</f>
        <v>-47</v>
      </c>
      <c r="BF11" s="150">
        <f>NormInputs!AV10</f>
        <v>-16</v>
      </c>
      <c r="BG11" s="149">
        <f>NormInputs!AW10</f>
        <v>-9</v>
      </c>
      <c r="BH11" s="149">
        <f>NormInputs!AX10</f>
        <v>108</v>
      </c>
      <c r="BI11" s="149">
        <f>NormInputs!AY10</f>
        <v>-14</v>
      </c>
      <c r="BJ11" s="150">
        <f>NormInputs!AZ10</f>
        <v>-2</v>
      </c>
      <c r="BK11" s="149">
        <f>NormInputs!BA10</f>
        <v>-45</v>
      </c>
      <c r="BL11" s="149">
        <f>NormInputs!BB10</f>
        <v>-32</v>
      </c>
      <c r="BM11" s="149">
        <f>NormInputs!BC10</f>
        <v>-58</v>
      </c>
      <c r="BN11" s="150">
        <f>NormInputs!BD10</f>
        <v>-75</v>
      </c>
      <c r="BO11" s="149">
        <f>NormInputs!BE10</f>
        <v>-111</v>
      </c>
      <c r="BP11" s="149">
        <f>NormInputs!BF10</f>
        <v>-115</v>
      </c>
      <c r="BQ11" s="149">
        <f>NormInputs!BG10</f>
        <v>-101</v>
      </c>
      <c r="BR11" s="150">
        <f>NormInputs!BH10</f>
        <v>-107</v>
      </c>
      <c r="BS11" s="149">
        <f>NormInputs!BI10</f>
        <v>-122</v>
      </c>
      <c r="BT11" s="149">
        <f>NormInputs!BJ10</f>
        <v>-148</v>
      </c>
      <c r="BU11" s="149">
        <f>NormInputs!BK10</f>
        <v>-181</v>
      </c>
      <c r="BV11" s="150">
        <f>NormInputs!BL10</f>
        <v>-153</v>
      </c>
      <c r="BW11" s="149">
        <f>NormInputs!BM10</f>
        <v>-182</v>
      </c>
      <c r="BX11" s="149">
        <f>NormInputs!BN10</f>
        <v>-187</v>
      </c>
      <c r="BY11" s="149">
        <f>NormInputs!BO10</f>
        <v>-130</v>
      </c>
      <c r="BZ11" s="150">
        <f>NormInputs!BP10</f>
        <v>356.90213215430595</v>
      </c>
      <c r="CA11" s="149">
        <f>NormInputs!BQ10</f>
        <v>-136</v>
      </c>
      <c r="CB11" s="149">
        <f>NormInputs!BR10</f>
        <v>-190</v>
      </c>
      <c r="CC11" s="149">
        <f>NormInputs!BS10</f>
        <v>-208</v>
      </c>
      <c r="CD11" s="150">
        <f>NormInputs!BT10</f>
        <v>-174</v>
      </c>
      <c r="CE11" s="149">
        <f>NormInputs!BU10</f>
        <v>-173</v>
      </c>
      <c r="CF11" s="149">
        <f>NormInputs!BV10</f>
        <v>-168</v>
      </c>
      <c r="CG11" s="149">
        <f>NormInputs!BW10</f>
        <v>-121</v>
      </c>
      <c r="CH11" s="150">
        <f>NormInputs!BX10</f>
        <v>-120</v>
      </c>
      <c r="CI11" s="149">
        <f>NormInputs!BY10</f>
        <v>-107</v>
      </c>
      <c r="CJ11" s="149">
        <f>NormInputs!BZ10</f>
        <v>-105</v>
      </c>
      <c r="CK11" s="149">
        <f>NormInputs!CA10</f>
        <v>-118</v>
      </c>
      <c r="CL11" s="150">
        <f>NormInputs!CB10</f>
        <v>-67</v>
      </c>
      <c r="CM11" s="149">
        <f>NormInputs!CC10</f>
        <v>-81</v>
      </c>
      <c r="CN11" s="149">
        <f>NormInputs!CD10</f>
        <v>-64</v>
      </c>
      <c r="CO11" s="149">
        <f>NormInputs!CE10</f>
        <v>-53</v>
      </c>
      <c r="CP11" s="150">
        <f>NormInputs!CF10</f>
        <v>-52</v>
      </c>
      <c r="CQ11" s="149">
        <f>NormInputs!CG10</f>
        <v>-62</v>
      </c>
      <c r="CR11" s="149">
        <f>NormInputs!CH10</f>
        <v>-52</v>
      </c>
      <c r="CS11" s="149">
        <f>NormInputs!CI10</f>
        <v>-42</v>
      </c>
      <c r="CT11" s="150">
        <f>NormInputs!CJ10</f>
        <v>-38</v>
      </c>
      <c r="CU11" s="149">
        <f>NormInputs!CK10</f>
        <v>-4</v>
      </c>
      <c r="CV11" s="149">
        <f>NormInputs!CL10</f>
        <v>38</v>
      </c>
      <c r="CW11" s="155">
        <f>NormInputs!CM10</f>
        <v>43</v>
      </c>
      <c r="CX11" s="149">
        <f>NormInputs!CN10</f>
        <v>24</v>
      </c>
      <c r="CY11" s="149">
        <f>NormInputs!CO10</f>
        <v>44</v>
      </c>
      <c r="CZ11" s="149">
        <f>NormInputs!CP10</f>
        <v>69</v>
      </c>
      <c r="DA11" s="149">
        <f>NormInputs!CQ10</f>
        <v>61</v>
      </c>
      <c r="DB11" s="150">
        <f>NormInputs!CR10</f>
        <v>67</v>
      </c>
      <c r="DC11" s="149">
        <f>NormInputs!CS10</f>
        <v>76</v>
      </c>
      <c r="DD11" s="149">
        <f>NormInputs!CT10</f>
        <v>66</v>
      </c>
      <c r="DE11" s="149">
        <f>NormInputs!CU10</f>
        <v>95</v>
      </c>
      <c r="DF11" s="150">
        <f>NormInputs!CV10</f>
        <v>149</v>
      </c>
      <c r="DG11" s="1113">
        <f>NormInputs!CW10</f>
        <v>241</v>
      </c>
      <c r="DH11" s="1113">
        <f>NormInputs!CX10</f>
        <v>175</v>
      </c>
      <c r="DI11" s="155">
        <f>NormInputs!CY10</f>
        <v>183</v>
      </c>
      <c r="DJ11" s="150">
        <f>NormInputs!CZ10</f>
        <v>187</v>
      </c>
      <c r="DK11" s="1113">
        <f>NormInputs!DA10</f>
        <v>188</v>
      </c>
      <c r="DL11" s="2150">
        <f>NormInputs!DB10</f>
        <v>798</v>
      </c>
      <c r="DM11" s="2477">
        <f>NormInputs!DC10</f>
        <v>1047</v>
      </c>
      <c r="DN11" s="2150">
        <f>NormInputs!DD10</f>
        <v>877</v>
      </c>
      <c r="DO11" s="2150">
        <f>NormInputs!DE10</f>
        <v>1005</v>
      </c>
      <c r="DP11" s="2150">
        <f>NormInputs!DF10</f>
        <v>1049</v>
      </c>
      <c r="DQ11" s="2477">
        <f>NormInputs!DG10</f>
        <v>1151</v>
      </c>
      <c r="DR11" s="2150">
        <f>NormInputs!DH10</f>
        <v>1060</v>
      </c>
      <c r="DS11" s="2150">
        <f>NormInputs!DI10</f>
        <v>1464</v>
      </c>
      <c r="DT11" s="2150">
        <f>NormInputs!DJ10</f>
        <v>2475</v>
      </c>
      <c r="DU11" s="2150">
        <f>NormInputs!DK10</f>
        <v>2567</v>
      </c>
      <c r="DV11" s="2150">
        <f>NormInputs!DL10</f>
        <v>2315</v>
      </c>
      <c r="DW11" s="3296">
        <f t="shared" ref="DW11" si="1">+DV11</f>
        <v>2315</v>
      </c>
      <c r="DX11" s="1113">
        <f>+DT11*(1+DX12)</f>
        <v>2549.25</v>
      </c>
      <c r="DY11" s="155">
        <f t="shared" ref="DY11" si="2">+DU11*(1+DY12)</f>
        <v>2644.01</v>
      </c>
      <c r="DZ11" s="1443"/>
    </row>
    <row r="12" spans="1:130">
      <c r="A12" s="748" t="s">
        <v>952</v>
      </c>
      <c r="B12" s="295"/>
      <c r="C12" s="295"/>
      <c r="D12" s="295"/>
      <c r="E12" s="295"/>
      <c r="F12" s="295">
        <f t="shared" ref="F12:V12" si="3">F11/E11-1</f>
        <v>-1.7607655502392343</v>
      </c>
      <c r="G12" s="295">
        <f t="shared" si="3"/>
        <v>0.7484276729559749</v>
      </c>
      <c r="H12" s="295">
        <f t="shared" si="3"/>
        <v>-7.194244604316502E-3</v>
      </c>
      <c r="I12" s="295">
        <f t="shared" si="3"/>
        <v>-1.25</v>
      </c>
      <c r="J12" s="295">
        <f t="shared" si="3"/>
        <v>-2.9855072463768115</v>
      </c>
      <c r="K12" s="295">
        <f t="shared" si="3"/>
        <v>1.9343065693430659</v>
      </c>
      <c r="L12" s="295">
        <f t="shared" si="3"/>
        <v>0.38805970149253732</v>
      </c>
      <c r="M12" s="295">
        <f t="shared" si="3"/>
        <v>0.16845878136200709</v>
      </c>
      <c r="N12" s="295">
        <f t="shared" si="3"/>
        <v>-0.72837750330415019</v>
      </c>
      <c r="O12" s="295">
        <f t="shared" si="3"/>
        <v>2.5912346531136605</v>
      </c>
      <c r="P12" s="295">
        <f t="shared" si="3"/>
        <v>-0.29245283018867929</v>
      </c>
      <c r="Q12" s="1130">
        <f t="shared" si="3"/>
        <v>-0.41111111111111109</v>
      </c>
      <c r="R12" s="295">
        <f t="shared" si="3"/>
        <v>-0.21509433962264146</v>
      </c>
      <c r="S12" s="295">
        <f t="shared" si="3"/>
        <v>-1.1875</v>
      </c>
      <c r="T12" s="1130">
        <f t="shared" si="3"/>
        <v>4.0769230769230766</v>
      </c>
      <c r="U12" s="295">
        <f t="shared" si="3"/>
        <v>0.53535353535353525</v>
      </c>
      <c r="V12" s="295">
        <f t="shared" si="3"/>
        <v>1.4605263157894739</v>
      </c>
      <c r="W12" s="295">
        <f>W11/V11-1</f>
        <v>1.9679144385026737</v>
      </c>
      <c r="X12" s="295">
        <f>X11/W11-1</f>
        <v>0.83873873873873883</v>
      </c>
      <c r="Y12" s="295">
        <f>Y11/X11-1</f>
        <v>0.85350318471337583</v>
      </c>
      <c r="Z12" s="295">
        <f>Z11/Y11-1</f>
        <v>0.29834258524980184</v>
      </c>
      <c r="AA12" s="3246">
        <v>0.02</v>
      </c>
      <c r="AB12" s="3246">
        <v>0.02</v>
      </c>
      <c r="AC12" s="3246">
        <v>0.02</v>
      </c>
      <c r="AD12" s="3246">
        <v>0.02</v>
      </c>
      <c r="AE12" s="3246">
        <v>0.02</v>
      </c>
      <c r="AF12" s="3246">
        <v>0.02</v>
      </c>
      <c r="AG12" s="3246">
        <v>0.02</v>
      </c>
      <c r="AH12" s="3004"/>
      <c r="AI12" s="295"/>
      <c r="AJ12" s="295"/>
      <c r="AK12" s="295"/>
      <c r="AL12" s="295"/>
      <c r="AM12" s="295"/>
      <c r="AN12" s="295"/>
      <c r="AO12" s="295"/>
      <c r="AP12" s="295"/>
      <c r="AQ12" s="295"/>
      <c r="AR12" s="295"/>
      <c r="AS12" s="295"/>
      <c r="AT12" s="295"/>
      <c r="AU12" s="295"/>
      <c r="AV12" s="295"/>
      <c r="AW12" s="295"/>
      <c r="AX12" s="298"/>
      <c r="AY12" s="295"/>
      <c r="AZ12" s="295"/>
      <c r="BA12" s="295"/>
      <c r="BB12" s="298">
        <f t="shared" ref="BB12:CG12" si="4">BB11/AX11-1</f>
        <v>0.66101694915254239</v>
      </c>
      <c r="BC12" s="295">
        <f t="shared" si="4"/>
        <v>0.67088607594936711</v>
      </c>
      <c r="BD12" s="295">
        <f t="shared" si="4"/>
        <v>-1.0277777777777777</v>
      </c>
      <c r="BE12" s="295">
        <f t="shared" si="4"/>
        <v>-0.54807692307692313</v>
      </c>
      <c r="BF12" s="298">
        <f t="shared" si="4"/>
        <v>-0.83673469387755106</v>
      </c>
      <c r="BG12" s="295">
        <f t="shared" si="4"/>
        <v>-0.93181818181818188</v>
      </c>
      <c r="BH12" s="295">
        <f t="shared" si="4"/>
        <v>107</v>
      </c>
      <c r="BI12" s="295">
        <f t="shared" si="4"/>
        <v>-0.7021276595744681</v>
      </c>
      <c r="BJ12" s="298">
        <f t="shared" si="4"/>
        <v>-0.875</v>
      </c>
      <c r="BK12" s="295">
        <f t="shared" si="4"/>
        <v>4</v>
      </c>
      <c r="BL12" s="295">
        <f t="shared" si="4"/>
        <v>-1.2962962962962963</v>
      </c>
      <c r="BM12" s="295">
        <f t="shared" si="4"/>
        <v>3.1428571428571432</v>
      </c>
      <c r="BN12" s="298">
        <f t="shared" si="4"/>
        <v>36.5</v>
      </c>
      <c r="BO12" s="295">
        <f t="shared" si="4"/>
        <v>1.4666666666666668</v>
      </c>
      <c r="BP12" s="295">
        <f t="shared" si="4"/>
        <v>2.59375</v>
      </c>
      <c r="BQ12" s="295">
        <f t="shared" si="4"/>
        <v>0.74137931034482762</v>
      </c>
      <c r="BR12" s="298">
        <f t="shared" si="4"/>
        <v>0.42666666666666675</v>
      </c>
      <c r="BS12" s="295">
        <f t="shared" si="4"/>
        <v>9.9099099099099197E-2</v>
      </c>
      <c r="BT12" s="295">
        <f t="shared" si="4"/>
        <v>0.28695652173913033</v>
      </c>
      <c r="BU12" s="295">
        <f t="shared" si="4"/>
        <v>0.79207920792079212</v>
      </c>
      <c r="BV12" s="298">
        <f t="shared" si="4"/>
        <v>0.42990654205607481</v>
      </c>
      <c r="BW12" s="295">
        <f t="shared" si="4"/>
        <v>0.49180327868852469</v>
      </c>
      <c r="BX12" s="295">
        <f t="shared" si="4"/>
        <v>0.2635135135135136</v>
      </c>
      <c r="BY12" s="295">
        <f t="shared" si="4"/>
        <v>-0.28176795580110492</v>
      </c>
      <c r="BZ12" s="298">
        <f t="shared" si="4"/>
        <v>-3.3326936742111499</v>
      </c>
      <c r="CA12" s="295">
        <f t="shared" si="4"/>
        <v>-0.25274725274725274</v>
      </c>
      <c r="CB12" s="295">
        <f t="shared" si="4"/>
        <v>1.6042780748663166E-2</v>
      </c>
      <c r="CC12" s="295">
        <f t="shared" si="4"/>
        <v>0.60000000000000009</v>
      </c>
      <c r="CD12" s="298">
        <f t="shared" si="4"/>
        <v>-1.4875286088926234</v>
      </c>
      <c r="CE12" s="295">
        <f t="shared" si="4"/>
        <v>0.27205882352941169</v>
      </c>
      <c r="CF12" s="295">
        <f t="shared" si="4"/>
        <v>-0.11578947368421055</v>
      </c>
      <c r="CG12" s="295">
        <f t="shared" si="4"/>
        <v>-0.41826923076923073</v>
      </c>
      <c r="CH12" s="298">
        <f t="shared" ref="CH12:DV12" si="5">CH11/CD11-1</f>
        <v>-0.31034482758620685</v>
      </c>
      <c r="CI12" s="295">
        <f t="shared" si="5"/>
        <v>-0.38150289017341044</v>
      </c>
      <c r="CJ12" s="295">
        <f t="shared" si="5"/>
        <v>-0.375</v>
      </c>
      <c r="CK12" s="295">
        <f t="shared" si="5"/>
        <v>-2.4793388429752095E-2</v>
      </c>
      <c r="CL12" s="298">
        <f t="shared" si="5"/>
        <v>-0.44166666666666665</v>
      </c>
      <c r="CM12" s="295">
        <f t="shared" si="5"/>
        <v>-0.2429906542056075</v>
      </c>
      <c r="CN12" s="295">
        <f t="shared" si="5"/>
        <v>-0.39047619047619042</v>
      </c>
      <c r="CO12" s="295">
        <f t="shared" si="5"/>
        <v>-0.55084745762711862</v>
      </c>
      <c r="CP12" s="298">
        <f t="shared" si="5"/>
        <v>-0.22388059701492535</v>
      </c>
      <c r="CQ12" s="295">
        <f t="shared" si="5"/>
        <v>-0.23456790123456794</v>
      </c>
      <c r="CR12" s="295">
        <f t="shared" si="5"/>
        <v>-0.1875</v>
      </c>
      <c r="CS12" s="295">
        <f t="shared" si="5"/>
        <v>-0.20754716981132071</v>
      </c>
      <c r="CT12" s="298">
        <f t="shared" si="5"/>
        <v>-0.26923076923076927</v>
      </c>
      <c r="CU12" s="295">
        <f t="shared" si="5"/>
        <v>-0.93548387096774199</v>
      </c>
      <c r="CV12" s="295">
        <f t="shared" si="5"/>
        <v>-1.7307692307692308</v>
      </c>
      <c r="CW12" s="299">
        <f t="shared" si="5"/>
        <v>-2.0238095238095237</v>
      </c>
      <c r="CX12" s="295">
        <f t="shared" si="5"/>
        <v>-1.631578947368421</v>
      </c>
      <c r="CY12" s="295">
        <f t="shared" si="5"/>
        <v>-12</v>
      </c>
      <c r="CZ12" s="295">
        <f t="shared" si="5"/>
        <v>0.81578947368421062</v>
      </c>
      <c r="DA12" s="295">
        <f t="shared" si="5"/>
        <v>0.41860465116279078</v>
      </c>
      <c r="DB12" s="298">
        <f t="shared" si="5"/>
        <v>1.7916666666666665</v>
      </c>
      <c r="DC12" s="295">
        <f t="shared" si="5"/>
        <v>0.72727272727272729</v>
      </c>
      <c r="DD12" s="295">
        <f t="shared" si="5"/>
        <v>-4.3478260869565188E-2</v>
      </c>
      <c r="DE12" s="295">
        <f t="shared" si="5"/>
        <v>0.55737704918032782</v>
      </c>
      <c r="DF12" s="298">
        <f t="shared" si="5"/>
        <v>1.2238805970149254</v>
      </c>
      <c r="DG12" s="1130">
        <f t="shared" si="5"/>
        <v>2.1710526315789473</v>
      </c>
      <c r="DH12" s="1130">
        <f t="shared" si="5"/>
        <v>1.6515151515151514</v>
      </c>
      <c r="DI12" s="299">
        <f t="shared" si="5"/>
        <v>0.9263157894736842</v>
      </c>
      <c r="DJ12" s="298">
        <f t="shared" si="5"/>
        <v>0.25503355704697994</v>
      </c>
      <c r="DK12" s="1130">
        <f t="shared" si="5"/>
        <v>-0.21991701244813278</v>
      </c>
      <c r="DL12" s="1130">
        <f t="shared" si="5"/>
        <v>3.5599999999999996</v>
      </c>
      <c r="DM12" s="299">
        <f t="shared" si="5"/>
        <v>4.721311475409836</v>
      </c>
      <c r="DN12" s="1130">
        <f t="shared" si="5"/>
        <v>3.689839572192513</v>
      </c>
      <c r="DO12" s="1130">
        <f t="shared" si="5"/>
        <v>4.3457446808510642</v>
      </c>
      <c r="DP12" s="1130">
        <f t="shared" si="5"/>
        <v>0.31453634085213023</v>
      </c>
      <c r="DQ12" s="299">
        <f t="shared" si="5"/>
        <v>9.9331423113658168E-2</v>
      </c>
      <c r="DR12" s="1130">
        <f t="shared" si="5"/>
        <v>0.20866590649942984</v>
      </c>
      <c r="DS12" s="1130">
        <f t="shared" si="5"/>
        <v>0.4567164179104477</v>
      </c>
      <c r="DT12" s="1130">
        <f t="shared" si="5"/>
        <v>1.3593898951382268</v>
      </c>
      <c r="DU12" s="1130">
        <f t="shared" si="5"/>
        <v>1.2302345786272806</v>
      </c>
      <c r="DV12" s="1130">
        <f t="shared" si="5"/>
        <v>1.1839622641509435</v>
      </c>
      <c r="DW12" s="1130">
        <f t="shared" ref="DW12" si="6">DW11/DS11-1</f>
        <v>0.58128415300546443</v>
      </c>
      <c r="DX12" s="3269">
        <v>0.03</v>
      </c>
      <c r="DY12" s="3248">
        <v>0.03</v>
      </c>
    </row>
    <row r="13" spans="1:130">
      <c r="A13" s="749" t="s">
        <v>1237</v>
      </c>
      <c r="B13" s="105"/>
      <c r="C13" s="105"/>
      <c r="D13" s="256"/>
      <c r="E13" s="256"/>
      <c r="F13" s="256"/>
      <c r="G13" s="256"/>
      <c r="H13" s="256"/>
      <c r="I13" s="256"/>
      <c r="J13" s="256"/>
      <c r="K13" s="256"/>
      <c r="L13" s="256"/>
      <c r="M13" s="256"/>
      <c r="N13" s="256"/>
      <c r="O13" s="256"/>
      <c r="P13" s="256"/>
      <c r="Q13" s="1082"/>
      <c r="R13" s="256"/>
      <c r="S13" s="256"/>
      <c r="T13" s="1082"/>
      <c r="U13" s="256"/>
      <c r="V13" s="256"/>
      <c r="W13" s="256"/>
      <c r="X13" s="256"/>
      <c r="Y13" s="256"/>
      <c r="Z13" s="256"/>
      <c r="AA13" s="256"/>
      <c r="AB13" s="256"/>
      <c r="AC13" s="256"/>
      <c r="AD13" s="256"/>
      <c r="AE13" s="256"/>
      <c r="AF13" s="256"/>
      <c r="AG13" s="256"/>
      <c r="AH13" s="3005"/>
      <c r="AI13" s="256"/>
      <c r="AJ13" s="256"/>
      <c r="AK13" s="256"/>
      <c r="AL13" s="256"/>
      <c r="AM13" s="256"/>
      <c r="AN13" s="256"/>
      <c r="AO13" s="256"/>
      <c r="AP13" s="256"/>
      <c r="AQ13" s="256"/>
      <c r="AR13" s="256"/>
      <c r="AS13" s="256"/>
      <c r="AT13" s="256"/>
      <c r="AU13" s="256"/>
      <c r="AV13" s="256"/>
      <c r="AW13" s="256"/>
      <c r="AX13" s="257"/>
      <c r="AY13" s="256"/>
      <c r="AZ13" s="256"/>
      <c r="BA13" s="256"/>
      <c r="BB13" s="257"/>
      <c r="BC13" s="256"/>
      <c r="BD13" s="256"/>
      <c r="BE13" s="256"/>
      <c r="BF13" s="257"/>
      <c r="BG13" s="256"/>
      <c r="BH13" s="256"/>
      <c r="BI13" s="750"/>
      <c r="BJ13" s="257"/>
      <c r="BK13" s="256"/>
      <c r="BL13" s="256"/>
      <c r="BM13" s="256"/>
      <c r="BN13" s="257"/>
      <c r="BO13" s="256"/>
      <c r="BP13" s="256"/>
      <c r="BQ13" s="256"/>
      <c r="BR13" s="257"/>
      <c r="BS13" s="256"/>
      <c r="BT13" s="256"/>
      <c r="BU13" s="256"/>
      <c r="BV13" s="257"/>
      <c r="BW13" s="256"/>
      <c r="BX13" s="256"/>
      <c r="BY13" s="256"/>
      <c r="BZ13" s="257"/>
      <c r="CA13" s="256"/>
      <c r="CB13" s="256"/>
      <c r="CC13" s="256"/>
      <c r="CD13" s="257"/>
      <c r="CE13" s="256"/>
      <c r="CF13" s="256"/>
      <c r="CG13" s="256"/>
      <c r="CH13" s="257"/>
      <c r="CI13" s="256"/>
      <c r="CJ13" s="256"/>
      <c r="CK13" s="256"/>
      <c r="CL13" s="257"/>
      <c r="CM13" s="256"/>
      <c r="CN13" s="256"/>
      <c r="CO13" s="256"/>
      <c r="CP13" s="257"/>
      <c r="CQ13" s="256"/>
      <c r="CR13" s="256"/>
      <c r="CS13" s="256"/>
      <c r="CT13" s="257"/>
      <c r="CU13" s="256"/>
      <c r="CV13" s="256"/>
      <c r="CW13" s="258"/>
      <c r="CX13" s="256"/>
      <c r="CY13" s="256"/>
      <c r="CZ13" s="256"/>
      <c r="DA13" s="256"/>
      <c r="DB13" s="257"/>
      <c r="DC13" s="256"/>
      <c r="DD13" s="256"/>
      <c r="DE13" s="256"/>
      <c r="DF13" s="257"/>
      <c r="DG13" s="1082"/>
      <c r="DH13" s="1082"/>
      <c r="DI13" s="258"/>
      <c r="DJ13" s="257"/>
      <c r="DK13" s="1082"/>
      <c r="DL13" s="1082"/>
      <c r="DM13" s="258"/>
      <c r="DN13" s="1082"/>
      <c r="DO13" s="1082"/>
      <c r="DP13" s="1082"/>
      <c r="DQ13" s="258"/>
      <c r="DR13" s="1082"/>
      <c r="DS13" s="1082"/>
      <c r="DT13" s="1082"/>
      <c r="DU13" s="1082"/>
      <c r="DV13" s="1082"/>
      <c r="DW13" s="1082"/>
      <c r="DX13" s="1082"/>
      <c r="DY13" s="258"/>
    </row>
    <row r="14" spans="1:130">
      <c r="A14" s="749"/>
      <c r="B14" s="87"/>
      <c r="C14" s="87"/>
      <c r="D14" s="143"/>
      <c r="E14" s="256"/>
      <c r="F14" s="143"/>
      <c r="G14" s="143"/>
      <c r="H14" s="143"/>
      <c r="I14" s="143"/>
      <c r="J14" s="143"/>
      <c r="K14" s="143"/>
      <c r="L14" s="143"/>
      <c r="M14" s="143"/>
      <c r="N14" s="143"/>
      <c r="O14" s="143"/>
      <c r="P14" s="143"/>
      <c r="Q14" s="1047"/>
      <c r="R14" s="143"/>
      <c r="S14" s="143"/>
      <c r="T14" s="1047"/>
      <c r="U14" s="143"/>
      <c r="V14" s="143"/>
      <c r="W14" s="143"/>
      <c r="X14" s="143"/>
      <c r="Y14" s="143"/>
      <c r="Z14" s="143"/>
      <c r="AA14" s="143"/>
      <c r="AB14" s="143"/>
      <c r="AC14" s="143"/>
      <c r="AD14" s="143"/>
      <c r="AE14" s="143"/>
      <c r="AF14" s="143"/>
      <c r="AG14" s="143"/>
      <c r="AH14" s="3006"/>
      <c r="AI14" s="143"/>
      <c r="AJ14" s="143"/>
      <c r="AK14" s="143"/>
      <c r="AL14" s="143"/>
      <c r="AM14" s="143"/>
      <c r="AN14" s="143"/>
      <c r="AO14" s="143"/>
      <c r="AP14" s="143"/>
      <c r="AQ14" s="143"/>
      <c r="AR14" s="143"/>
      <c r="AS14" s="143"/>
      <c r="AT14" s="143"/>
      <c r="AU14" s="143"/>
      <c r="AV14" s="143"/>
      <c r="AW14" s="143"/>
      <c r="AX14" s="159"/>
      <c r="AY14" s="143"/>
      <c r="AZ14" s="143"/>
      <c r="BA14" s="143"/>
      <c r="BB14" s="159"/>
      <c r="BC14" s="143"/>
      <c r="BD14" s="143"/>
      <c r="BE14" s="143"/>
      <c r="BF14" s="159"/>
      <c r="BG14" s="143"/>
      <c r="BH14" s="143"/>
      <c r="BI14" s="143"/>
      <c r="BJ14" s="88"/>
      <c r="BK14" s="143"/>
      <c r="BL14" s="143"/>
      <c r="BM14" s="143"/>
      <c r="BN14" s="159"/>
      <c r="BO14" s="143"/>
      <c r="BP14" s="143"/>
      <c r="BQ14" s="143"/>
      <c r="BR14" s="159"/>
      <c r="BS14" s="143"/>
      <c r="BT14" s="143"/>
      <c r="BU14" s="143"/>
      <c r="BV14" s="159"/>
      <c r="BW14" s="143"/>
      <c r="BX14" s="143"/>
      <c r="BY14" s="143"/>
      <c r="BZ14" s="159"/>
      <c r="CA14" s="143"/>
      <c r="CB14" s="143"/>
      <c r="CC14" s="143"/>
      <c r="CD14" s="159"/>
      <c r="CE14" s="143"/>
      <c r="CF14" s="143"/>
      <c r="CG14" s="143"/>
      <c r="CH14" s="159"/>
      <c r="CI14" s="143"/>
      <c r="CJ14" s="143"/>
      <c r="CK14" s="143"/>
      <c r="CL14" s="159"/>
      <c r="CM14" s="143"/>
      <c r="CN14" s="143"/>
      <c r="CO14" s="143"/>
      <c r="CP14" s="159"/>
      <c r="CQ14" s="143"/>
      <c r="CR14" s="143"/>
      <c r="CS14" s="143"/>
      <c r="CT14" s="159"/>
      <c r="CU14" s="143"/>
      <c r="CV14" s="143"/>
      <c r="CW14" s="189"/>
      <c r="CX14" s="143"/>
      <c r="CY14" s="143"/>
      <c r="CZ14" s="143"/>
      <c r="DA14" s="143"/>
      <c r="DB14" s="159"/>
      <c r="DC14" s="143"/>
      <c r="DD14" s="143"/>
      <c r="DE14" s="143"/>
      <c r="DF14" s="159"/>
      <c r="DG14" s="1047"/>
      <c r="DH14" s="1047"/>
      <c r="DI14" s="189"/>
      <c r="DJ14" s="159"/>
      <c r="DK14" s="1047"/>
      <c r="DL14" s="1047"/>
      <c r="DM14" s="189"/>
      <c r="DN14" s="1047"/>
      <c r="DO14" s="1047"/>
      <c r="DP14" s="1047"/>
      <c r="DQ14" s="189"/>
      <c r="DR14" s="1047"/>
      <c r="DS14" s="1047"/>
      <c r="DT14" s="1047"/>
      <c r="DU14" s="1047"/>
      <c r="DV14" s="1047"/>
      <c r="DW14" s="1047"/>
      <c r="DX14" s="1047"/>
      <c r="DY14" s="189"/>
    </row>
    <row r="15" spans="1:130">
      <c r="A15" s="151" t="s">
        <v>960</v>
      </c>
      <c r="B15" s="87"/>
      <c r="C15" s="87"/>
      <c r="D15" s="143"/>
      <c r="E15" s="143"/>
      <c r="F15" s="143"/>
      <c r="G15" s="143"/>
      <c r="H15" s="143"/>
      <c r="I15" s="143"/>
      <c r="J15" s="143"/>
      <c r="K15" s="143"/>
      <c r="L15" s="143"/>
      <c r="M15" s="143"/>
      <c r="N15" s="143"/>
      <c r="O15" s="143"/>
      <c r="P15" s="143"/>
      <c r="Q15" s="1047"/>
      <c r="R15" s="143"/>
      <c r="S15" s="143"/>
      <c r="T15" s="1047"/>
      <c r="U15" s="143"/>
      <c r="V15" s="143"/>
      <c r="W15" s="143"/>
      <c r="X15" s="143"/>
      <c r="Y15" s="143"/>
      <c r="Z15" s="143"/>
      <c r="AA15" s="143"/>
      <c r="AB15" s="143"/>
      <c r="AC15" s="143"/>
      <c r="AD15" s="143"/>
      <c r="AE15" s="143"/>
      <c r="AF15" s="143"/>
      <c r="AG15" s="143"/>
      <c r="AH15" s="3006"/>
      <c r="AI15" s="143"/>
      <c r="AJ15" s="143"/>
      <c r="AK15" s="143"/>
      <c r="AL15" s="143"/>
      <c r="AM15" s="143"/>
      <c r="AN15" s="143"/>
      <c r="AO15" s="143"/>
      <c r="AP15" s="143"/>
      <c r="AQ15" s="143"/>
      <c r="AR15" s="143"/>
      <c r="AS15" s="143"/>
      <c r="AT15" s="143"/>
      <c r="AU15" s="143"/>
      <c r="AV15" s="143"/>
      <c r="AW15" s="143"/>
      <c r="AX15" s="159"/>
      <c r="AY15" s="143"/>
      <c r="AZ15" s="143"/>
      <c r="BA15" s="143"/>
      <c r="BB15" s="159"/>
      <c r="BC15" s="143"/>
      <c r="BD15" s="143"/>
      <c r="BE15" s="143"/>
      <c r="BF15" s="159"/>
      <c r="BG15" s="143"/>
      <c r="BH15" s="143"/>
      <c r="BI15" s="143"/>
      <c r="BJ15" s="746"/>
      <c r="BK15" s="143"/>
      <c r="BL15" s="143"/>
      <c r="BM15" s="143"/>
      <c r="BN15" s="159"/>
      <c r="BO15" s="143"/>
      <c r="BP15" s="143"/>
      <c r="BQ15" s="143"/>
      <c r="BR15" s="159"/>
      <c r="BS15" s="143"/>
      <c r="BT15" s="143"/>
      <c r="BU15" s="143"/>
      <c r="BV15" s="159"/>
      <c r="BW15" s="143"/>
      <c r="BX15" s="143"/>
      <c r="BY15" s="143"/>
      <c r="BZ15" s="159"/>
      <c r="CA15" s="143"/>
      <c r="CB15" s="143"/>
      <c r="CC15" s="143"/>
      <c r="CD15" s="159"/>
      <c r="CE15" s="143"/>
      <c r="CF15" s="143"/>
      <c r="CG15" s="143"/>
      <c r="CH15" s="159"/>
      <c r="CI15" s="143"/>
      <c r="CJ15" s="143"/>
      <c r="CK15" s="143"/>
      <c r="CL15" s="159"/>
      <c r="CM15" s="143"/>
      <c r="CN15" s="143"/>
      <c r="CO15" s="143"/>
      <c r="CP15" s="159"/>
      <c r="CQ15" s="143"/>
      <c r="CR15" s="143"/>
      <c r="CS15" s="143"/>
      <c r="CT15" s="159"/>
      <c r="CU15" s="143"/>
      <c r="CV15" s="143"/>
      <c r="CW15" s="189"/>
      <c r="CX15" s="143"/>
      <c r="CY15" s="143"/>
      <c r="CZ15" s="143"/>
      <c r="DA15" s="143"/>
      <c r="DB15" s="159"/>
      <c r="DC15" s="143"/>
      <c r="DD15" s="143"/>
      <c r="DE15" s="143"/>
      <c r="DF15" s="159"/>
      <c r="DG15" s="1047"/>
      <c r="DH15" s="1047"/>
      <c r="DI15" s="189"/>
      <c r="DJ15" s="159"/>
      <c r="DK15" s="1047"/>
      <c r="DL15" s="1047"/>
      <c r="DM15" s="189"/>
      <c r="DN15" s="1047"/>
      <c r="DO15" s="1047"/>
      <c r="DP15" s="1047"/>
      <c r="DQ15" s="189"/>
      <c r="DR15" s="1047"/>
      <c r="DS15" s="1047"/>
      <c r="DT15" s="1047"/>
      <c r="DU15" s="1047"/>
      <c r="DV15" s="1047"/>
      <c r="DW15" s="1047"/>
      <c r="DX15" s="1047"/>
      <c r="DY15" s="189"/>
    </row>
    <row r="16" spans="1:130">
      <c r="A16" s="96" t="s">
        <v>961</v>
      </c>
      <c r="B16" s="91"/>
      <c r="C16" s="91"/>
      <c r="D16" s="149"/>
      <c r="E16" s="149"/>
      <c r="F16" s="149"/>
      <c r="G16" s="149"/>
      <c r="H16" s="149"/>
      <c r="I16" s="149"/>
      <c r="J16" s="149"/>
      <c r="K16" s="149"/>
      <c r="L16" s="149"/>
      <c r="M16" s="149"/>
      <c r="N16" s="149"/>
      <c r="O16" s="149">
        <f>SUM(CD16:CG16)</f>
        <v>-547</v>
      </c>
      <c r="P16" s="149">
        <f>SUM(CH16:CK16)</f>
        <v>-3288</v>
      </c>
      <c r="Q16" s="1113">
        <f>SUM(CL16:CO16)</f>
        <v>-426</v>
      </c>
      <c r="R16" s="149">
        <f>SUM(CP16:CS16)</f>
        <v>-429</v>
      </c>
      <c r="S16" s="149">
        <f>SUM(CT16:CW16)</f>
        <v>-369</v>
      </c>
      <c r="T16" s="1113">
        <f>SUM(CX16:DA16)</f>
        <v>-668</v>
      </c>
      <c r="U16" s="149">
        <f>SUM(DB16:DE16)</f>
        <v>-689</v>
      </c>
      <c r="V16" s="149">
        <f>SUM(DF16:DI16)</f>
        <v>-493</v>
      </c>
      <c r="W16" s="149">
        <f>SUM(DJ16:DM16)</f>
        <v>415</v>
      </c>
      <c r="X16" s="149">
        <f>SUM(DN16:DQ16)</f>
        <v>2060</v>
      </c>
      <c r="Y16" s="149">
        <f>SUM(DR16:DU16)</f>
        <v>3402</v>
      </c>
      <c r="Z16" s="149">
        <f>SUM(DV16:DY16)</f>
        <v>5010.13</v>
      </c>
      <c r="AA16" s="149">
        <f t="shared" ref="AA16:AG16" si="7">+AA18*AA11</f>
        <v>4709.2708439999997</v>
      </c>
      <c r="AB16" s="149">
        <f t="shared" si="7"/>
        <v>4803.4562608799997</v>
      </c>
      <c r="AC16" s="149">
        <f t="shared" si="7"/>
        <v>4899.5253860975999</v>
      </c>
      <c r="AD16" s="149">
        <f t="shared" si="7"/>
        <v>4997.5158938195518</v>
      </c>
      <c r="AE16" s="149">
        <f t="shared" si="7"/>
        <v>5097.4662116959435</v>
      </c>
      <c r="AF16" s="149">
        <f t="shared" si="7"/>
        <v>5199.415535929862</v>
      </c>
      <c r="AG16" s="149">
        <f t="shared" si="7"/>
        <v>5303.403846648459</v>
      </c>
      <c r="AH16" s="973"/>
      <c r="AI16" s="149"/>
      <c r="AJ16" s="149"/>
      <c r="AK16" s="149"/>
      <c r="AL16" s="149"/>
      <c r="AM16" s="149"/>
      <c r="AN16" s="149"/>
      <c r="AO16" s="149"/>
      <c r="AP16" s="149"/>
      <c r="AQ16" s="149"/>
      <c r="AR16" s="149"/>
      <c r="AS16" s="149"/>
      <c r="AT16" s="149"/>
      <c r="AU16" s="149"/>
      <c r="AV16" s="149"/>
      <c r="AW16" s="149"/>
      <c r="AX16" s="150"/>
      <c r="AY16" s="149"/>
      <c r="AZ16" s="149"/>
      <c r="BA16" s="149"/>
      <c r="BB16" s="150"/>
      <c r="BC16" s="149"/>
      <c r="BD16" s="149"/>
      <c r="BE16" s="149"/>
      <c r="BF16" s="150"/>
      <c r="BG16" s="149"/>
      <c r="BH16" s="149"/>
      <c r="BI16" s="149"/>
      <c r="BJ16" s="150"/>
      <c r="BK16" s="149"/>
      <c r="BL16" s="149"/>
      <c r="BM16" s="149"/>
      <c r="BN16" s="150"/>
      <c r="BO16" s="149"/>
      <c r="BP16" s="149"/>
      <c r="BQ16" s="149"/>
      <c r="BR16" s="150"/>
      <c r="BS16" s="149"/>
      <c r="BT16" s="149"/>
      <c r="BU16" s="149"/>
      <c r="BV16" s="150"/>
      <c r="BW16" s="149"/>
      <c r="BX16" s="149"/>
      <c r="BY16" s="149"/>
      <c r="BZ16" s="150">
        <v>-221</v>
      </c>
      <c r="CA16" s="149">
        <v>-226</v>
      </c>
      <c r="CB16" s="149">
        <v>-300</v>
      </c>
      <c r="CC16" s="149">
        <v>-168</v>
      </c>
      <c r="CD16" s="150">
        <v>-139</v>
      </c>
      <c r="CE16" s="149">
        <v>-136</v>
      </c>
      <c r="CF16" s="149">
        <v>-147</v>
      </c>
      <c r="CG16" s="149">
        <v>-125</v>
      </c>
      <c r="CH16" s="150">
        <v>-806</v>
      </c>
      <c r="CI16" s="149">
        <v>-811</v>
      </c>
      <c r="CJ16" s="149">
        <v>-833</v>
      </c>
      <c r="CK16" s="149">
        <v>-838</v>
      </c>
      <c r="CL16" s="150">
        <v>-97</v>
      </c>
      <c r="CM16" s="149">
        <v>-105</v>
      </c>
      <c r="CN16" s="149">
        <v>-107</v>
      </c>
      <c r="CO16" s="149">
        <v>-117</v>
      </c>
      <c r="CP16" s="150">
        <v>-122</v>
      </c>
      <c r="CQ16" s="149">
        <v>-114</v>
      </c>
      <c r="CR16" s="149">
        <v>-96</v>
      </c>
      <c r="CS16" s="149">
        <v>-97</v>
      </c>
      <c r="CT16" s="150">
        <v>-113</v>
      </c>
      <c r="CU16" s="149">
        <v>-175</v>
      </c>
      <c r="CV16" s="149">
        <v>47</v>
      </c>
      <c r="CW16" s="155">
        <v>-128</v>
      </c>
      <c r="CX16" s="149">
        <v>-163</v>
      </c>
      <c r="CY16" s="149">
        <v>-162</v>
      </c>
      <c r="CZ16" s="149">
        <v>-162</v>
      </c>
      <c r="DA16" s="149">
        <v>-181</v>
      </c>
      <c r="DB16" s="150">
        <v>-176</v>
      </c>
      <c r="DC16" s="149">
        <v>-173</v>
      </c>
      <c r="DD16" s="149">
        <v>-175</v>
      </c>
      <c r="DE16" s="149">
        <v>-165</v>
      </c>
      <c r="DF16" s="150">
        <f>IS!DC39-Wireline!DF87-Wless!DF38</f>
        <v>-126</v>
      </c>
      <c r="DG16" s="1113">
        <f>IS!DD39-Wireline!DG87-Wless!DG38</f>
        <v>-117</v>
      </c>
      <c r="DH16" s="1113">
        <f>IS!DE39-Wireline!DH87-Wless!DH38</f>
        <v>-116</v>
      </c>
      <c r="DI16" s="155">
        <f>IS!DF39-Wireline!DI87-Wless!DI38</f>
        <v>-134</v>
      </c>
      <c r="DJ16" s="150">
        <f>IS!DG39-Wireline!DJ87-Wless!DJ38</f>
        <v>-150</v>
      </c>
      <c r="DK16" s="1113">
        <f>IS!DH39-Wireline!DK87-Wless!DK38</f>
        <v>-160</v>
      </c>
      <c r="DL16" s="2150">
        <f>IS!DI39-Wireline!DL87-Wless!DL38</f>
        <v>34</v>
      </c>
      <c r="DM16" s="2477">
        <f>IS!DJ39-Wireline!DM87-Wless!DM38</f>
        <v>691</v>
      </c>
      <c r="DN16" s="2150">
        <f>IS!DK39-Wireline!DN87-Wless!DN38</f>
        <v>509</v>
      </c>
      <c r="DO16" s="2150">
        <f>IS!DL39-Wireline!DO87-Wless!DO38</f>
        <v>486</v>
      </c>
      <c r="DP16" s="2150">
        <f>IS!DM39-Wireline!DP87-Wless!DP38</f>
        <v>543</v>
      </c>
      <c r="DQ16" s="2477">
        <f>IS!DN39-Wireline!DQ87-Wless!DQ38</f>
        <v>522</v>
      </c>
      <c r="DR16" s="2150">
        <f>IS!DO39-Wireline!DR87-Wless!DR38</f>
        <v>420</v>
      </c>
      <c r="DS16" s="2150">
        <f>IS!DP39-Wireline!DS87-Wless!DS38</f>
        <v>502</v>
      </c>
      <c r="DT16" s="2150">
        <f>IS!DQ39-Wireline!DT87-Wless!DT38</f>
        <v>1092</v>
      </c>
      <c r="DU16" s="2150">
        <f>IS!DR39-Wireline!DU87-Wless!DU38</f>
        <v>1388</v>
      </c>
      <c r="DV16" s="2150">
        <f>IS!DS39-Wireline!DV87-Wless!DV38</f>
        <v>1256</v>
      </c>
      <c r="DW16" s="1051">
        <f t="shared" ref="DW16:DY16" si="8">+DW18*DW11</f>
        <v>1157.5</v>
      </c>
      <c r="DX16" s="1051">
        <f t="shared" si="8"/>
        <v>1274.625</v>
      </c>
      <c r="DY16" s="179">
        <f t="shared" si="8"/>
        <v>1322.0050000000001</v>
      </c>
    </row>
    <row r="17" spans="1:130">
      <c r="A17" s="748" t="s">
        <v>952</v>
      </c>
      <c r="B17" s="295"/>
      <c r="C17" s="295"/>
      <c r="D17" s="295"/>
      <c r="E17" s="295"/>
      <c r="F17" s="295"/>
      <c r="G17" s="295"/>
      <c r="H17" s="295"/>
      <c r="I17" s="295"/>
      <c r="J17" s="295"/>
      <c r="K17" s="295"/>
      <c r="L17" s="295"/>
      <c r="M17" s="295"/>
      <c r="N17" s="295"/>
      <c r="O17" s="295"/>
      <c r="P17" s="295">
        <f t="shared" ref="P17:AB17" si="9">P16/O16-1</f>
        <v>5.0109689213893969</v>
      </c>
      <c r="Q17" s="1130">
        <f t="shared" si="9"/>
        <v>-0.87043795620437958</v>
      </c>
      <c r="R17" s="295">
        <f t="shared" si="9"/>
        <v>7.0422535211267512E-3</v>
      </c>
      <c r="S17" s="295">
        <f t="shared" si="9"/>
        <v>-0.1398601398601399</v>
      </c>
      <c r="T17" s="1130">
        <f t="shared" si="9"/>
        <v>0.81029810298102989</v>
      </c>
      <c r="U17" s="295">
        <f t="shared" si="9"/>
        <v>3.1437125748503103E-2</v>
      </c>
      <c r="V17" s="295">
        <f t="shared" si="9"/>
        <v>-0.28447024673439769</v>
      </c>
      <c r="W17" s="295">
        <f>W16/V16-1</f>
        <v>-1.8417849898580121</v>
      </c>
      <c r="X17" s="295">
        <f>X16/W16-1</f>
        <v>3.9638554216867474</v>
      </c>
      <c r="Y17" s="295">
        <f>Y16/X16-1</f>
        <v>0.65145631067961163</v>
      </c>
      <c r="Z17" s="295">
        <f>Z16/Y16-1</f>
        <v>0.47270135214579656</v>
      </c>
      <c r="AA17" s="295">
        <f t="shared" si="9"/>
        <v>-6.0050169556478683E-2</v>
      </c>
      <c r="AB17" s="295">
        <f t="shared" si="9"/>
        <v>2.0000000000000018E-2</v>
      </c>
      <c r="AC17" s="295">
        <f t="shared" ref="AC17" si="10">AC16/AB16-1</f>
        <v>2.0000000000000018E-2</v>
      </c>
      <c r="AD17" s="295">
        <f t="shared" ref="AD17" si="11">AD16/AC16-1</f>
        <v>2.0000000000000018E-2</v>
      </c>
      <c r="AE17" s="295">
        <f t="shared" ref="AE17" si="12">AE16/AD16-1</f>
        <v>2.0000000000000018E-2</v>
      </c>
      <c r="AF17" s="295">
        <f t="shared" ref="AF17" si="13">AF16/AE16-1</f>
        <v>2.0000000000000018E-2</v>
      </c>
      <c r="AG17" s="295">
        <f t="shared" ref="AG17" si="14">AG16/AF16-1</f>
        <v>2.0000000000000018E-2</v>
      </c>
      <c r="AH17" s="3004"/>
      <c r="AI17" s="295"/>
      <c r="AJ17" s="295"/>
      <c r="AK17" s="295"/>
      <c r="AL17" s="295"/>
      <c r="AM17" s="295"/>
      <c r="AN17" s="295"/>
      <c r="AO17" s="295"/>
      <c r="AP17" s="295"/>
      <c r="AQ17" s="295"/>
      <c r="AR17" s="295"/>
      <c r="AS17" s="295"/>
      <c r="AT17" s="295"/>
      <c r="AU17" s="295"/>
      <c r="AV17" s="295"/>
      <c r="AW17" s="295"/>
      <c r="AX17" s="298"/>
      <c r="AY17" s="295"/>
      <c r="AZ17" s="295"/>
      <c r="BA17" s="295"/>
      <c r="BB17" s="298"/>
      <c r="BC17" s="295"/>
      <c r="BD17" s="295"/>
      <c r="BE17" s="295"/>
      <c r="BF17" s="298"/>
      <c r="BG17" s="295"/>
      <c r="BH17" s="295"/>
      <c r="BI17" s="295"/>
      <c r="BJ17" s="298"/>
      <c r="BK17" s="295"/>
      <c r="BL17" s="295"/>
      <c r="BM17" s="295"/>
      <c r="BN17" s="298"/>
      <c r="BO17" s="295"/>
      <c r="BP17" s="295"/>
      <c r="BQ17" s="295"/>
      <c r="BR17" s="298"/>
      <c r="BS17" s="295"/>
      <c r="BT17" s="295"/>
      <c r="BU17" s="295"/>
      <c r="BV17" s="298"/>
      <c r="BW17" s="295"/>
      <c r="BX17" s="295"/>
      <c r="BY17" s="295"/>
      <c r="BZ17" s="298"/>
      <c r="CA17" s="295"/>
      <c r="CB17" s="295"/>
      <c r="CC17" s="295"/>
      <c r="CD17" s="298">
        <f t="shared" ref="CD17:DV17" si="15">CD16/BZ16-1</f>
        <v>-0.37104072398190047</v>
      </c>
      <c r="CE17" s="295">
        <f t="shared" si="15"/>
        <v>-0.39823008849557517</v>
      </c>
      <c r="CF17" s="295">
        <f t="shared" si="15"/>
        <v>-0.51</v>
      </c>
      <c r="CG17" s="295">
        <f t="shared" si="15"/>
        <v>-0.25595238095238093</v>
      </c>
      <c r="CH17" s="298">
        <f t="shared" si="15"/>
        <v>4.7985611510791371</v>
      </c>
      <c r="CI17" s="295">
        <f t="shared" si="15"/>
        <v>4.9632352941176467</v>
      </c>
      <c r="CJ17" s="295">
        <f t="shared" si="15"/>
        <v>4.666666666666667</v>
      </c>
      <c r="CK17" s="295">
        <f t="shared" si="15"/>
        <v>5.7039999999999997</v>
      </c>
      <c r="CL17" s="298">
        <f t="shared" si="15"/>
        <v>-0.8796526054590571</v>
      </c>
      <c r="CM17" s="295">
        <f t="shared" si="15"/>
        <v>-0.87053020961775585</v>
      </c>
      <c r="CN17" s="295">
        <f t="shared" si="15"/>
        <v>-0.87154861944777906</v>
      </c>
      <c r="CO17" s="295">
        <f t="shared" si="15"/>
        <v>-0.86038186157517904</v>
      </c>
      <c r="CP17" s="298">
        <f t="shared" si="15"/>
        <v>0.25773195876288657</v>
      </c>
      <c r="CQ17" s="295">
        <f t="shared" si="15"/>
        <v>8.5714285714285632E-2</v>
      </c>
      <c r="CR17" s="295">
        <f t="shared" si="15"/>
        <v>-0.10280373831775702</v>
      </c>
      <c r="CS17" s="295">
        <f t="shared" si="15"/>
        <v>-0.17094017094017089</v>
      </c>
      <c r="CT17" s="298">
        <f t="shared" si="15"/>
        <v>-7.3770491803278659E-2</v>
      </c>
      <c r="CU17" s="295">
        <f t="shared" si="15"/>
        <v>0.53508771929824572</v>
      </c>
      <c r="CV17" s="295">
        <f t="shared" si="15"/>
        <v>-1.4895833333333333</v>
      </c>
      <c r="CW17" s="299">
        <f t="shared" si="15"/>
        <v>0.31958762886597936</v>
      </c>
      <c r="CX17" s="295">
        <f t="shared" si="15"/>
        <v>0.44247787610619471</v>
      </c>
      <c r="CY17" s="295">
        <f t="shared" si="15"/>
        <v>-7.4285714285714288E-2</v>
      </c>
      <c r="CZ17" s="295">
        <f t="shared" si="15"/>
        <v>-4.4468085106382977</v>
      </c>
      <c r="DA17" s="295">
        <f t="shared" si="15"/>
        <v>0.4140625</v>
      </c>
      <c r="DB17" s="298">
        <f t="shared" si="15"/>
        <v>7.9754601226993849E-2</v>
      </c>
      <c r="DC17" s="295">
        <f t="shared" si="15"/>
        <v>6.7901234567901314E-2</v>
      </c>
      <c r="DD17" s="295">
        <f t="shared" si="15"/>
        <v>8.0246913580246826E-2</v>
      </c>
      <c r="DE17" s="295">
        <f t="shared" si="15"/>
        <v>-8.8397790055248615E-2</v>
      </c>
      <c r="DF17" s="298">
        <f t="shared" si="15"/>
        <v>-0.28409090909090906</v>
      </c>
      <c r="DG17" s="1130">
        <f t="shared" si="15"/>
        <v>-0.32369942196531787</v>
      </c>
      <c r="DH17" s="1130">
        <f t="shared" si="15"/>
        <v>-0.33714285714285719</v>
      </c>
      <c r="DI17" s="299">
        <f t="shared" si="15"/>
        <v>-0.18787878787878787</v>
      </c>
      <c r="DJ17" s="298">
        <f t="shared" si="15"/>
        <v>0.19047619047619047</v>
      </c>
      <c r="DK17" s="1130">
        <f t="shared" si="15"/>
        <v>0.36752136752136755</v>
      </c>
      <c r="DL17" s="1130">
        <f t="shared" si="15"/>
        <v>-1.2931034482758621</v>
      </c>
      <c r="DM17" s="299">
        <f t="shared" si="15"/>
        <v>-6.1567164179104479</v>
      </c>
      <c r="DN17" s="1130">
        <f t="shared" si="15"/>
        <v>-4.3933333333333335</v>
      </c>
      <c r="DO17" s="1130">
        <f t="shared" si="15"/>
        <v>-4.0374999999999996</v>
      </c>
      <c r="DP17" s="1130">
        <f t="shared" si="15"/>
        <v>14.970588235294118</v>
      </c>
      <c r="DQ17" s="299">
        <f t="shared" si="15"/>
        <v>-0.24457308248914611</v>
      </c>
      <c r="DR17" s="1130">
        <f t="shared" si="15"/>
        <v>-0.174852652259332</v>
      </c>
      <c r="DS17" s="1130">
        <f t="shared" si="15"/>
        <v>3.292181069958855E-2</v>
      </c>
      <c r="DT17" s="1130">
        <f t="shared" si="15"/>
        <v>1.0110497237569063</v>
      </c>
      <c r="DU17" s="1130">
        <f t="shared" si="15"/>
        <v>1.6590038314176243</v>
      </c>
      <c r="DV17" s="1130">
        <f t="shared" si="15"/>
        <v>1.9904761904761905</v>
      </c>
      <c r="DW17" s="1130">
        <f t="shared" ref="DW17" si="16">DW16/DS16-1</f>
        <v>1.3057768924302788</v>
      </c>
      <c r="DX17" s="1130">
        <f t="shared" ref="DX17" si="17">DX16/DT16-1</f>
        <v>0.16723901098901095</v>
      </c>
      <c r="DY17" s="299">
        <f t="shared" ref="DY17" si="18">DY16/DU16-1</f>
        <v>-4.7546829971181426E-2</v>
      </c>
    </row>
    <row r="18" spans="1:130" s="3242" customFormat="1">
      <c r="A18" s="748" t="s">
        <v>970</v>
      </c>
      <c r="B18" s="295"/>
      <c r="C18" s="295"/>
      <c r="D18" s="295"/>
      <c r="E18" s="295"/>
      <c r="F18" s="295"/>
      <c r="G18" s="295"/>
      <c r="H18" s="295"/>
      <c r="I18" s="295"/>
      <c r="J18" s="295"/>
      <c r="K18" s="295"/>
      <c r="L18" s="295"/>
      <c r="M18" s="295"/>
      <c r="N18" s="295"/>
      <c r="O18" s="295"/>
      <c r="P18" s="295"/>
      <c r="Q18" s="1130"/>
      <c r="R18" s="295"/>
      <c r="S18" s="295"/>
      <c r="T18" s="1130"/>
      <c r="U18" s="295"/>
      <c r="V18" s="295"/>
      <c r="W18" s="295"/>
      <c r="X18" s="295"/>
      <c r="Y18" s="295"/>
      <c r="Z18" s="295"/>
      <c r="AA18" s="3246">
        <v>0.47</v>
      </c>
      <c r="AB18" s="3246">
        <f t="shared" ref="AB18:AG18" si="19">+AA18</f>
        <v>0.47</v>
      </c>
      <c r="AC18" s="3246">
        <f t="shared" si="19"/>
        <v>0.47</v>
      </c>
      <c r="AD18" s="3246">
        <f t="shared" si="19"/>
        <v>0.47</v>
      </c>
      <c r="AE18" s="3246">
        <f t="shared" si="19"/>
        <v>0.47</v>
      </c>
      <c r="AF18" s="3246">
        <f t="shared" si="19"/>
        <v>0.47</v>
      </c>
      <c r="AG18" s="3246">
        <f t="shared" si="19"/>
        <v>0.47</v>
      </c>
      <c r="AH18" s="3004"/>
      <c r="AI18" s="295"/>
      <c r="AJ18" s="295"/>
      <c r="AK18" s="295"/>
      <c r="AL18" s="295"/>
      <c r="AM18" s="295"/>
      <c r="AN18" s="295"/>
      <c r="AO18" s="295"/>
      <c r="AP18" s="295"/>
      <c r="AQ18" s="295"/>
      <c r="AR18" s="295"/>
      <c r="AS18" s="295"/>
      <c r="AT18" s="295"/>
      <c r="AU18" s="295"/>
      <c r="AV18" s="295"/>
      <c r="AW18" s="295"/>
      <c r="AX18" s="298"/>
      <c r="AY18" s="295"/>
      <c r="AZ18" s="295"/>
      <c r="BA18" s="295"/>
      <c r="BB18" s="298"/>
      <c r="BC18" s="295"/>
      <c r="BD18" s="295"/>
      <c r="BE18" s="295"/>
      <c r="BF18" s="298"/>
      <c r="BG18" s="295"/>
      <c r="BH18" s="295"/>
      <c r="BI18" s="295"/>
      <c r="BJ18" s="298"/>
      <c r="BK18" s="295"/>
      <c r="BL18" s="295"/>
      <c r="BM18" s="295"/>
      <c r="BN18" s="298"/>
      <c r="BO18" s="295"/>
      <c r="BP18" s="295"/>
      <c r="BQ18" s="295"/>
      <c r="BR18" s="298"/>
      <c r="BS18" s="295"/>
      <c r="BT18" s="295"/>
      <c r="BU18" s="295"/>
      <c r="BV18" s="298"/>
      <c r="BW18" s="295"/>
      <c r="BX18" s="295"/>
      <c r="BY18" s="295"/>
      <c r="BZ18" s="298"/>
      <c r="CA18" s="295"/>
      <c r="CB18" s="295"/>
      <c r="CC18" s="295"/>
      <c r="CD18" s="298"/>
      <c r="CE18" s="295"/>
      <c r="CF18" s="295"/>
      <c r="CG18" s="295"/>
      <c r="CH18" s="298"/>
      <c r="CI18" s="295"/>
      <c r="CJ18" s="295"/>
      <c r="CK18" s="295"/>
      <c r="CL18" s="298"/>
      <c r="CM18" s="295"/>
      <c r="CN18" s="295"/>
      <c r="CO18" s="295"/>
      <c r="CP18" s="298"/>
      <c r="CQ18" s="295"/>
      <c r="CR18" s="295"/>
      <c r="CS18" s="295"/>
      <c r="CT18" s="298"/>
      <c r="CU18" s="295"/>
      <c r="CV18" s="295"/>
      <c r="CW18" s="299"/>
      <c r="CX18" s="295"/>
      <c r="CY18" s="295"/>
      <c r="CZ18" s="295"/>
      <c r="DA18" s="295"/>
      <c r="DB18" s="298"/>
      <c r="DC18" s="295"/>
      <c r="DD18" s="295"/>
      <c r="DE18" s="295"/>
      <c r="DF18" s="298"/>
      <c r="DG18" s="1130"/>
      <c r="DH18" s="1130"/>
      <c r="DI18" s="299"/>
      <c r="DJ18" s="298"/>
      <c r="DK18" s="1130"/>
      <c r="DL18" s="1130"/>
      <c r="DM18" s="299"/>
      <c r="DN18" s="3247">
        <f t="shared" ref="DN18:DT18" si="20">+DN16/DN11</f>
        <v>0.58038768529076401</v>
      </c>
      <c r="DO18" s="3247">
        <f t="shared" si="20"/>
        <v>0.4835820895522388</v>
      </c>
      <c r="DP18" s="3247">
        <f t="shared" si="20"/>
        <v>0.5176358436606292</v>
      </c>
      <c r="DQ18" s="3247">
        <f t="shared" si="20"/>
        <v>0.45351867940920937</v>
      </c>
      <c r="DR18" s="3247">
        <f t="shared" si="20"/>
        <v>0.39622641509433965</v>
      </c>
      <c r="DS18" s="3247">
        <f t="shared" si="20"/>
        <v>0.34289617486338797</v>
      </c>
      <c r="DT18" s="3247">
        <f t="shared" si="20"/>
        <v>0.44121212121212122</v>
      </c>
      <c r="DU18" s="3247">
        <f t="shared" ref="DU18:DV18" si="21">+DU16/DU11</f>
        <v>0.54070899883132062</v>
      </c>
      <c r="DV18" s="3247">
        <f t="shared" si="21"/>
        <v>0.54254859611231099</v>
      </c>
      <c r="DW18" s="3269">
        <v>0.5</v>
      </c>
      <c r="DX18" s="3269">
        <f>+DW18</f>
        <v>0.5</v>
      </c>
      <c r="DY18" s="3248">
        <f>+DX18</f>
        <v>0.5</v>
      </c>
    </row>
    <row r="19" spans="1:130">
      <c r="A19" s="749"/>
      <c r="B19" s="87"/>
      <c r="C19" s="87"/>
      <c r="D19" s="143"/>
      <c r="E19" s="143"/>
      <c r="F19" s="143"/>
      <c r="G19" s="143"/>
      <c r="H19" s="143"/>
      <c r="I19" s="143"/>
      <c r="J19" s="143"/>
      <c r="K19" s="143"/>
      <c r="L19" s="183"/>
      <c r="M19" s="183"/>
      <c r="N19" s="183"/>
      <c r="O19" s="183"/>
      <c r="P19" s="183"/>
      <c r="Q19" s="1131"/>
      <c r="R19" s="183"/>
      <c r="S19" s="183"/>
      <c r="T19" s="1131"/>
      <c r="U19" s="183"/>
      <c r="V19" s="183"/>
      <c r="W19" s="183"/>
      <c r="X19" s="183"/>
      <c r="Y19" s="183"/>
      <c r="Z19" s="183"/>
      <c r="AA19" s="183"/>
      <c r="AB19" s="183"/>
      <c r="AC19" s="183"/>
      <c r="AD19" s="183"/>
      <c r="AE19" s="183"/>
      <c r="AF19" s="183"/>
      <c r="AG19" s="183"/>
      <c r="AH19" s="3006"/>
      <c r="AI19" s="143"/>
      <c r="AJ19" s="143"/>
      <c r="AK19" s="143"/>
      <c r="AL19" s="143"/>
      <c r="AM19" s="143"/>
      <c r="AN19" s="143"/>
      <c r="AO19" s="143"/>
      <c r="AP19" s="143"/>
      <c r="AQ19" s="143"/>
      <c r="AR19" s="143"/>
      <c r="AS19" s="143"/>
      <c r="AT19" s="143"/>
      <c r="AU19" s="143"/>
      <c r="AV19" s="143"/>
      <c r="AW19" s="143"/>
      <c r="AX19" s="159"/>
      <c r="AY19" s="143"/>
      <c r="AZ19" s="143"/>
      <c r="BA19" s="143"/>
      <c r="BB19" s="159"/>
      <c r="BC19" s="143"/>
      <c r="BD19" s="143"/>
      <c r="BE19" s="143"/>
      <c r="BF19" s="159"/>
      <c r="BG19" s="143"/>
      <c r="BH19" s="143"/>
      <c r="BI19" s="143"/>
      <c r="BJ19" s="746"/>
      <c r="BK19" s="143"/>
      <c r="BL19" s="143"/>
      <c r="BM19" s="143"/>
      <c r="BN19" s="159"/>
      <c r="BO19" s="143"/>
      <c r="BP19" s="143"/>
      <c r="BQ19" s="143"/>
      <c r="BR19" s="159"/>
      <c r="BS19" s="143"/>
      <c r="BT19" s="143"/>
      <c r="BU19" s="143"/>
      <c r="BV19" s="159"/>
      <c r="BW19" s="143"/>
      <c r="BX19" s="143"/>
      <c r="BY19" s="143"/>
      <c r="BZ19" s="159"/>
      <c r="CA19" s="143"/>
      <c r="CB19" s="143"/>
      <c r="CC19" s="143"/>
      <c r="CD19" s="159"/>
      <c r="CE19" s="143"/>
      <c r="CF19" s="143"/>
      <c r="CG19" s="143"/>
      <c r="CH19" s="159"/>
      <c r="CI19" s="143"/>
      <c r="CJ19" s="143"/>
      <c r="CK19" s="143"/>
      <c r="CL19" s="159"/>
      <c r="CM19" s="143"/>
      <c r="CN19" s="143"/>
      <c r="CO19" s="143"/>
      <c r="CP19" s="159"/>
      <c r="CQ19" s="143"/>
      <c r="CR19" s="143"/>
      <c r="CS19" s="143"/>
      <c r="CT19" s="159"/>
      <c r="CU19" s="143"/>
      <c r="CV19" s="143"/>
      <c r="CW19" s="189"/>
      <c r="CX19" s="143"/>
      <c r="CY19" s="143"/>
      <c r="CZ19" s="143"/>
      <c r="DA19" s="143"/>
      <c r="DB19" s="159"/>
      <c r="DC19" s="143"/>
      <c r="DD19" s="143"/>
      <c r="DE19" s="143"/>
      <c r="DF19" s="159"/>
      <c r="DG19" s="1047"/>
      <c r="DH19" s="1047"/>
      <c r="DI19" s="189"/>
      <c r="DJ19" s="159"/>
      <c r="DK19" s="1047"/>
      <c r="DL19" s="1047"/>
      <c r="DM19" s="189"/>
      <c r="DN19" s="1047"/>
      <c r="DO19" s="1047"/>
      <c r="DP19" s="1047"/>
      <c r="DQ19" s="189"/>
      <c r="DR19" s="1047"/>
      <c r="DS19" s="1047"/>
      <c r="DT19" s="1047"/>
      <c r="DU19" s="1047"/>
      <c r="DV19" s="1047"/>
      <c r="DW19" s="1047"/>
      <c r="DX19" s="1047"/>
      <c r="DY19" s="189"/>
    </row>
    <row r="20" spans="1:130">
      <c r="A20" s="96" t="s">
        <v>963</v>
      </c>
      <c r="B20" s="91"/>
      <c r="C20" s="91"/>
      <c r="D20" s="149"/>
      <c r="E20" s="149"/>
      <c r="F20" s="149"/>
      <c r="G20" s="149"/>
      <c r="H20" s="149"/>
      <c r="I20" s="149"/>
      <c r="J20" s="149"/>
      <c r="K20" s="149"/>
      <c r="L20" s="149"/>
      <c r="M20" s="149"/>
      <c r="N20" s="149"/>
      <c r="O20" s="149">
        <f>SUM(CD20:CG20)</f>
        <v>-384</v>
      </c>
      <c r="P20" s="149">
        <f>SUM(CH20:CK20)</f>
        <v>-2375</v>
      </c>
      <c r="Q20" s="1113">
        <f>SUM(CL20:CO20)</f>
        <v>1251</v>
      </c>
      <c r="R20" s="149">
        <f>SUM(CP20:CS20)</f>
        <v>1162</v>
      </c>
      <c r="S20" s="149">
        <f>SUM(CT20:CW20)</f>
        <v>864</v>
      </c>
      <c r="T20" s="1113">
        <f>SUM(CX20:DA20)</f>
        <v>1612</v>
      </c>
      <c r="U20" s="751">
        <f>SUM(DB20:DE20)</f>
        <v>1828</v>
      </c>
      <c r="V20" s="751">
        <f>SUM(DF20:DI20)</f>
        <v>2123</v>
      </c>
      <c r="W20" s="751">
        <f>SUM(DJ20:DM20)</f>
        <v>3044</v>
      </c>
      <c r="X20" s="751">
        <f>SUM(DN20:DQ20)</f>
        <v>3106</v>
      </c>
      <c r="Y20" s="751">
        <f>SUM(DR20:DU20)</f>
        <v>2722</v>
      </c>
      <c r="Z20" s="751">
        <f>SUM(DV20:DY20)</f>
        <v>4301.0104999999994</v>
      </c>
      <c r="AA20" s="149">
        <f t="shared" ref="AA20:AG20" si="22">+AA22*AA11</f>
        <v>3707.2983240000003</v>
      </c>
      <c r="AB20" s="149">
        <f t="shared" si="22"/>
        <v>3781.4442904800003</v>
      </c>
      <c r="AC20" s="149">
        <f t="shared" si="22"/>
        <v>3857.0731762896003</v>
      </c>
      <c r="AD20" s="149">
        <f t="shared" si="22"/>
        <v>3934.2146398153918</v>
      </c>
      <c r="AE20" s="149">
        <f t="shared" si="22"/>
        <v>4012.8989326117003</v>
      </c>
      <c r="AF20" s="149">
        <f t="shared" si="22"/>
        <v>4093.156911263934</v>
      </c>
      <c r="AG20" s="149">
        <f t="shared" si="22"/>
        <v>4175.0200494892124</v>
      </c>
      <c r="AH20" s="973"/>
      <c r="AI20" s="149"/>
      <c r="AJ20" s="149"/>
      <c r="AK20" s="149"/>
      <c r="AL20" s="149"/>
      <c r="AM20" s="149"/>
      <c r="AN20" s="149"/>
      <c r="AO20" s="149"/>
      <c r="AP20" s="149"/>
      <c r="AQ20" s="149"/>
      <c r="AR20" s="149"/>
      <c r="AS20" s="149"/>
      <c r="AT20" s="149"/>
      <c r="AU20" s="149"/>
      <c r="AV20" s="149"/>
      <c r="AW20" s="149"/>
      <c r="AX20" s="150"/>
      <c r="AY20" s="149"/>
      <c r="AZ20" s="149"/>
      <c r="BA20" s="149"/>
      <c r="BB20" s="150"/>
      <c r="BC20" s="149"/>
      <c r="BD20" s="149"/>
      <c r="BE20" s="149"/>
      <c r="BF20" s="150"/>
      <c r="BG20" s="149"/>
      <c r="BH20" s="149"/>
      <c r="BI20" s="149"/>
      <c r="BJ20" s="150"/>
      <c r="BK20" s="149"/>
      <c r="BL20" s="149"/>
      <c r="BM20" s="149"/>
      <c r="BN20" s="150"/>
      <c r="BO20" s="149"/>
      <c r="BP20" s="149"/>
      <c r="BQ20" s="149"/>
      <c r="BR20" s="150"/>
      <c r="BS20" s="149"/>
      <c r="BT20" s="149"/>
      <c r="BU20" s="149"/>
      <c r="BV20" s="150"/>
      <c r="BW20" s="149"/>
      <c r="BX20" s="149"/>
      <c r="BY20" s="149"/>
      <c r="BZ20" s="150">
        <v>-304</v>
      </c>
      <c r="CA20" s="149">
        <v>-371</v>
      </c>
      <c r="CB20" s="149">
        <v>-242</v>
      </c>
      <c r="CC20" s="149">
        <v>-46</v>
      </c>
      <c r="CD20" s="150">
        <v>-91</v>
      </c>
      <c r="CE20" s="149">
        <v>-81</v>
      </c>
      <c r="CF20" s="149">
        <v>-106</v>
      </c>
      <c r="CG20" s="149">
        <v>-106</v>
      </c>
      <c r="CH20" s="150">
        <v>-644</v>
      </c>
      <c r="CI20" s="149">
        <v>-562</v>
      </c>
      <c r="CJ20" s="149">
        <v>-534</v>
      </c>
      <c r="CK20" s="149">
        <v>-635</v>
      </c>
      <c r="CL20" s="150">
        <v>321</v>
      </c>
      <c r="CM20" s="149">
        <v>306</v>
      </c>
      <c r="CN20" s="149">
        <v>295</v>
      </c>
      <c r="CO20" s="149">
        <v>329</v>
      </c>
      <c r="CP20" s="150">
        <f>IS!CM42-Wireline!CP84-Wless!CP41</f>
        <v>234</v>
      </c>
      <c r="CQ20" s="149">
        <f>IS!CN42-Wireline!CQ84-Wless!CQ41</f>
        <v>309</v>
      </c>
      <c r="CR20" s="149">
        <f>IS!CO42-Wireline!CR84-Wless!CR41</f>
        <v>271</v>
      </c>
      <c r="CS20" s="149">
        <f>IS!CP42-Wireline!CS84-Wless!CS41</f>
        <v>348</v>
      </c>
      <c r="CT20" s="150">
        <f>IS!CQ42-Wireline!CT84-Wless!CT41</f>
        <v>243</v>
      </c>
      <c r="CU20" s="149">
        <f>IS!CR42-Wireline!CU84-Wless!CU41</f>
        <v>271</v>
      </c>
      <c r="CV20" s="149">
        <f>IS!CS42-Wireline!CV84-Wless!CV41</f>
        <v>197</v>
      </c>
      <c r="CW20" s="155">
        <f>IS!CT42-Wireline!CW84-Wless!CW41</f>
        <v>153</v>
      </c>
      <c r="CX20" s="149">
        <f>IS!CU42-Wireline!CX84-Wless!CX41</f>
        <v>346</v>
      </c>
      <c r="CY20" s="149">
        <f>IS!CV42-Wireline!CY84-Wless!CY41</f>
        <v>441</v>
      </c>
      <c r="CZ20" s="149">
        <f>IS!CW42-Wireline!CZ84-Wless!CZ41</f>
        <v>429</v>
      </c>
      <c r="DA20" s="149">
        <f>IS!CX42-Wireline!DA84-Wless!DA41</f>
        <v>396</v>
      </c>
      <c r="DB20" s="150">
        <f>IS!CY42-Wireline!DB84-Wless!DB41</f>
        <v>435</v>
      </c>
      <c r="DC20" s="149">
        <f>IS!CZ42-Wireline!DC84-Wless!DC41</f>
        <v>450</v>
      </c>
      <c r="DD20" s="149">
        <f>IS!DA42-Wireline!DD84-Wless!DD41</f>
        <v>412</v>
      </c>
      <c r="DE20" s="149">
        <f>IS!DB42-Wireline!DE84-Wless!DE41</f>
        <v>531</v>
      </c>
      <c r="DF20" s="150">
        <f>IS!DC42-Wireline!DF84-Wless!DF41</f>
        <v>537</v>
      </c>
      <c r="DG20" s="1113">
        <f>IS!DD42-Wireline!DG84-Wless!DG41</f>
        <v>575</v>
      </c>
      <c r="DH20" s="1113">
        <f>IS!DE42-Wireline!DH84-Wless!DH41</f>
        <v>531</v>
      </c>
      <c r="DI20" s="155">
        <f>IS!DF42-Wireline!DI84-Wless!DI41</f>
        <v>480</v>
      </c>
      <c r="DJ20" s="150">
        <f>IS!DG42-Wireline!DJ84-Wless!DJ41</f>
        <v>539</v>
      </c>
      <c r="DK20" s="1113">
        <f>IS!DH42-Wireline!DK84-Wless!DK41</f>
        <v>678</v>
      </c>
      <c r="DL20" s="2150">
        <f>IS!DI42-Wireline!DL84-Wless!DL41</f>
        <v>1006</v>
      </c>
      <c r="DM20" s="2477">
        <f>IS!DJ42-Wireline!DM84-Wless!DM41</f>
        <v>821</v>
      </c>
      <c r="DN20" s="2150">
        <f>IS!DK42-Wireline!DN84-Wless!DN41</f>
        <v>736</v>
      </c>
      <c r="DO20" s="2150">
        <f>IS!DL42-Wireline!DO84-Wless!DO41</f>
        <v>838</v>
      </c>
      <c r="DP20" s="2150">
        <f>IS!DM42-Wireline!DP84-Wless!DP41</f>
        <v>815</v>
      </c>
      <c r="DQ20" s="2477">
        <f>IS!DN42-Wireline!DQ84-Wless!DQ41</f>
        <v>717</v>
      </c>
      <c r="DR20" s="2150">
        <f>IS!DO42-Wireline!DR84-Wless!DR41</f>
        <v>473</v>
      </c>
      <c r="DS20" s="2150">
        <f>IS!DP42-Wireline!DS84-Wless!DS41</f>
        <v>955</v>
      </c>
      <c r="DT20" s="2150">
        <f>IS!DQ42-Wireline!DT84-Wless!DT41</f>
        <v>866</v>
      </c>
      <c r="DU20" s="2150">
        <f>IS!DR42-Wireline!DU84-Wless!DU41</f>
        <v>428</v>
      </c>
      <c r="DV20" s="2150">
        <f>IS!DS42-Wireline!DV84-Wless!DV41</f>
        <v>1110</v>
      </c>
      <c r="DW20" s="1051">
        <f t="shared" ref="DW20:DY20" si="23">+DW22*DW11</f>
        <v>983.875</v>
      </c>
      <c r="DX20" s="1051">
        <f t="shared" si="23"/>
        <v>1083.4312499999999</v>
      </c>
      <c r="DY20" s="179">
        <f t="shared" si="23"/>
        <v>1123.70425</v>
      </c>
      <c r="DZ20" s="1443"/>
    </row>
    <row r="21" spans="1:130">
      <c r="A21" s="748" t="s">
        <v>952</v>
      </c>
      <c r="B21" s="295"/>
      <c r="C21" s="295"/>
      <c r="D21" s="295"/>
      <c r="E21" s="295"/>
      <c r="F21" s="295"/>
      <c r="G21" s="295"/>
      <c r="H21" s="295"/>
      <c r="I21" s="295"/>
      <c r="J21" s="295"/>
      <c r="K21" s="295"/>
      <c r="L21" s="295"/>
      <c r="M21" s="295"/>
      <c r="N21" s="295"/>
      <c r="O21" s="295"/>
      <c r="P21" s="295">
        <f>P20/O20-1</f>
        <v>5.184895833333333</v>
      </c>
      <c r="Q21" s="1130">
        <f>Q20/P20-1</f>
        <v>-1.5267368421052632</v>
      </c>
      <c r="R21" s="295"/>
      <c r="S21" s="295">
        <f t="shared" ref="S21:AB21" si="24">S20/R20-1</f>
        <v>-0.25645438898450945</v>
      </c>
      <c r="T21" s="1130">
        <f t="shared" si="24"/>
        <v>0.8657407407407407</v>
      </c>
      <c r="U21" s="295">
        <f t="shared" si="24"/>
        <v>0.1339950372208436</v>
      </c>
      <c r="V21" s="295">
        <f t="shared" si="24"/>
        <v>0.1613785557986871</v>
      </c>
      <c r="W21" s="295">
        <f>W20/V20-1</f>
        <v>0.43382006594441824</v>
      </c>
      <c r="X21" s="295">
        <f>X20/W20-1</f>
        <v>2.036793692509864E-2</v>
      </c>
      <c r="Y21" s="295">
        <f>Y20/X20-1</f>
        <v>-0.12363168061815843</v>
      </c>
      <c r="Z21" s="295">
        <f>Z20/Y20-1</f>
        <v>0.58009202792064629</v>
      </c>
      <c r="AA21" s="295">
        <f t="shared" si="24"/>
        <v>-0.13804015963225369</v>
      </c>
      <c r="AB21" s="295">
        <f t="shared" si="24"/>
        <v>2.0000000000000018E-2</v>
      </c>
      <c r="AC21" s="295">
        <f t="shared" ref="AC21" si="25">AC20/AB20-1</f>
        <v>2.0000000000000018E-2</v>
      </c>
      <c r="AD21" s="295">
        <f t="shared" ref="AD21" si="26">AD20/AC20-1</f>
        <v>1.9999999999999796E-2</v>
      </c>
      <c r="AE21" s="295">
        <f t="shared" ref="AE21" si="27">AE20/AD20-1</f>
        <v>2.000000000000024E-2</v>
      </c>
      <c r="AF21" s="295">
        <f t="shared" ref="AF21" si="28">AF20/AE20-1</f>
        <v>2.0000000000000018E-2</v>
      </c>
      <c r="AG21" s="295">
        <f t="shared" ref="AG21" si="29">AG20/AF20-1</f>
        <v>2.0000000000000018E-2</v>
      </c>
      <c r="AH21" s="3004"/>
      <c r="AI21" s="295"/>
      <c r="AJ21" s="295"/>
      <c r="AK21" s="295"/>
      <c r="AL21" s="295"/>
      <c r="AM21" s="295"/>
      <c r="AN21" s="295"/>
      <c r="AO21" s="295"/>
      <c r="AP21" s="295"/>
      <c r="AQ21" s="295"/>
      <c r="AR21" s="295"/>
      <c r="AS21" s="295"/>
      <c r="AT21" s="295"/>
      <c r="AU21" s="295"/>
      <c r="AV21" s="295"/>
      <c r="AW21" s="295"/>
      <c r="AX21" s="298"/>
      <c r="AY21" s="295"/>
      <c r="AZ21" s="295"/>
      <c r="BA21" s="295"/>
      <c r="BB21" s="298"/>
      <c r="BC21" s="295"/>
      <c r="BD21" s="295"/>
      <c r="BE21" s="295"/>
      <c r="BF21" s="298"/>
      <c r="BG21" s="295"/>
      <c r="BH21" s="295"/>
      <c r="BI21" s="295"/>
      <c r="BJ21" s="298"/>
      <c r="BK21" s="295"/>
      <c r="BL21" s="295"/>
      <c r="BM21" s="295"/>
      <c r="BN21" s="298"/>
      <c r="BO21" s="295"/>
      <c r="BP21" s="295"/>
      <c r="BQ21" s="295"/>
      <c r="BR21" s="298"/>
      <c r="BS21" s="295"/>
      <c r="BT21" s="295"/>
      <c r="BU21" s="295"/>
      <c r="BV21" s="298"/>
      <c r="BW21" s="295"/>
      <c r="BX21" s="295"/>
      <c r="BY21" s="295"/>
      <c r="BZ21" s="298"/>
      <c r="CA21" s="295"/>
      <c r="CB21" s="295"/>
      <c r="CC21" s="295"/>
      <c r="CD21" s="298">
        <f t="shared" ref="CD21:DV21" si="30">CD20/BZ20-1</f>
        <v>-0.70065789473684204</v>
      </c>
      <c r="CE21" s="295">
        <f t="shared" si="30"/>
        <v>-0.78167115902964956</v>
      </c>
      <c r="CF21" s="295">
        <f t="shared" si="30"/>
        <v>-0.56198347107438018</v>
      </c>
      <c r="CG21" s="295">
        <f t="shared" si="30"/>
        <v>1.3043478260869565</v>
      </c>
      <c r="CH21" s="298">
        <f t="shared" si="30"/>
        <v>6.0769230769230766</v>
      </c>
      <c r="CI21" s="295">
        <f t="shared" si="30"/>
        <v>5.9382716049382713</v>
      </c>
      <c r="CJ21" s="295">
        <f t="shared" si="30"/>
        <v>4.0377358490566042</v>
      </c>
      <c r="CK21" s="295">
        <f t="shared" si="30"/>
        <v>4.9905660377358494</v>
      </c>
      <c r="CL21" s="298">
        <f t="shared" si="30"/>
        <v>-1.4984472049689441</v>
      </c>
      <c r="CM21" s="295">
        <f t="shared" si="30"/>
        <v>-1.5444839857651247</v>
      </c>
      <c r="CN21" s="295">
        <f t="shared" si="30"/>
        <v>-1.5524344569288391</v>
      </c>
      <c r="CO21" s="295">
        <f t="shared" si="30"/>
        <v>-1.5181102362204726</v>
      </c>
      <c r="CP21" s="298">
        <f t="shared" si="30"/>
        <v>-0.2710280373831776</v>
      </c>
      <c r="CQ21" s="295">
        <f t="shared" si="30"/>
        <v>9.8039215686274161E-3</v>
      </c>
      <c r="CR21" s="295">
        <f t="shared" si="30"/>
        <v>-8.135593220338988E-2</v>
      </c>
      <c r="CS21" s="295">
        <f t="shared" si="30"/>
        <v>5.7750759878419489E-2</v>
      </c>
      <c r="CT21" s="298">
        <f t="shared" si="30"/>
        <v>3.8461538461538547E-2</v>
      </c>
      <c r="CU21" s="295">
        <f t="shared" si="30"/>
        <v>-0.12297734627831713</v>
      </c>
      <c r="CV21" s="295">
        <f t="shared" si="30"/>
        <v>-0.27306273062730624</v>
      </c>
      <c r="CW21" s="299">
        <f t="shared" si="30"/>
        <v>-0.56034482758620685</v>
      </c>
      <c r="CX21" s="295">
        <f t="shared" si="30"/>
        <v>0.4238683127572016</v>
      </c>
      <c r="CY21" s="295">
        <f t="shared" si="30"/>
        <v>0.62730627306273057</v>
      </c>
      <c r="CZ21" s="295">
        <f t="shared" si="30"/>
        <v>1.1776649746192893</v>
      </c>
      <c r="DA21" s="295">
        <f t="shared" si="30"/>
        <v>1.5882352941176472</v>
      </c>
      <c r="DB21" s="298">
        <f t="shared" si="30"/>
        <v>0.25722543352601157</v>
      </c>
      <c r="DC21" s="295">
        <f t="shared" si="30"/>
        <v>2.0408163265306145E-2</v>
      </c>
      <c r="DD21" s="295">
        <f t="shared" si="30"/>
        <v>-3.9627039627039617E-2</v>
      </c>
      <c r="DE21" s="295">
        <f t="shared" si="30"/>
        <v>0.34090909090909083</v>
      </c>
      <c r="DF21" s="298">
        <f t="shared" si="30"/>
        <v>0.23448275862068968</v>
      </c>
      <c r="DG21" s="1130">
        <f t="shared" si="30"/>
        <v>0.27777777777777768</v>
      </c>
      <c r="DH21" s="1130">
        <f t="shared" si="30"/>
        <v>0.28883495145631066</v>
      </c>
      <c r="DI21" s="299">
        <f t="shared" si="30"/>
        <v>-9.6045197740112997E-2</v>
      </c>
      <c r="DJ21" s="298">
        <f t="shared" si="30"/>
        <v>3.7243947858474069E-3</v>
      </c>
      <c r="DK21" s="1130">
        <f t="shared" si="30"/>
        <v>0.17913043478260859</v>
      </c>
      <c r="DL21" s="1130">
        <f t="shared" si="30"/>
        <v>0.89453860640301319</v>
      </c>
      <c r="DM21" s="299">
        <f t="shared" si="30"/>
        <v>0.7104166666666667</v>
      </c>
      <c r="DN21" s="1130">
        <f t="shared" si="30"/>
        <v>0.36549165120593696</v>
      </c>
      <c r="DO21" s="1130">
        <f t="shared" si="30"/>
        <v>0.2359882005899705</v>
      </c>
      <c r="DP21" s="1130">
        <f t="shared" si="30"/>
        <v>-0.18986083499005968</v>
      </c>
      <c r="DQ21" s="299">
        <f t="shared" si="30"/>
        <v>-0.12667478684531064</v>
      </c>
      <c r="DR21" s="1130">
        <f t="shared" si="30"/>
        <v>-0.35733695652173914</v>
      </c>
      <c r="DS21" s="1130">
        <f t="shared" si="30"/>
        <v>0.13961813842482096</v>
      </c>
      <c r="DT21" s="1130">
        <f t="shared" si="30"/>
        <v>6.25766871165645E-2</v>
      </c>
      <c r="DU21" s="1130">
        <f t="shared" si="30"/>
        <v>-0.40306834030683403</v>
      </c>
      <c r="DV21" s="1130">
        <f t="shared" si="30"/>
        <v>1.3467230443974629</v>
      </c>
      <c r="DW21" s="1130">
        <f t="shared" ref="DW21" si="31">DW20/DS20-1</f>
        <v>3.0235602094240921E-2</v>
      </c>
      <c r="DX21" s="1130">
        <f t="shared" ref="DX21" si="32">DX20/DT20-1</f>
        <v>0.25107534642032325</v>
      </c>
      <c r="DY21" s="299">
        <f t="shared" ref="DY21" si="33">DY20/DU20-1</f>
        <v>1.6254772196261684</v>
      </c>
    </row>
    <row r="22" spans="1:130" s="3242" customFormat="1">
      <c r="A22" s="748" t="s">
        <v>970</v>
      </c>
      <c r="B22" s="295"/>
      <c r="C22" s="295"/>
      <c r="D22" s="295"/>
      <c r="E22" s="295"/>
      <c r="F22" s="295"/>
      <c r="G22" s="295"/>
      <c r="H22" s="295"/>
      <c r="I22" s="295"/>
      <c r="J22" s="295"/>
      <c r="K22" s="295"/>
      <c r="L22" s="295"/>
      <c r="M22" s="295"/>
      <c r="N22" s="295"/>
      <c r="O22" s="295"/>
      <c r="P22" s="295"/>
      <c r="Q22" s="1130"/>
      <c r="R22" s="295"/>
      <c r="S22" s="295"/>
      <c r="T22" s="1130"/>
      <c r="U22" s="295"/>
      <c r="V22" s="295"/>
      <c r="W22" s="295"/>
      <c r="X22" s="295"/>
      <c r="Y22" s="295"/>
      <c r="Z22" s="295">
        <f>+Z20/Z11</f>
        <v>0.43783942397941206</v>
      </c>
      <c r="AA22" s="3246">
        <v>0.37</v>
      </c>
      <c r="AB22" s="3246">
        <f t="shared" ref="AB22:AG22" si="34">+AA22</f>
        <v>0.37</v>
      </c>
      <c r="AC22" s="3246">
        <f t="shared" si="34"/>
        <v>0.37</v>
      </c>
      <c r="AD22" s="3246">
        <f t="shared" si="34"/>
        <v>0.37</v>
      </c>
      <c r="AE22" s="3246">
        <f t="shared" si="34"/>
        <v>0.37</v>
      </c>
      <c r="AF22" s="3246">
        <f t="shared" si="34"/>
        <v>0.37</v>
      </c>
      <c r="AG22" s="3246">
        <f t="shared" si="34"/>
        <v>0.37</v>
      </c>
      <c r="AH22" s="3004"/>
      <c r="AI22" s="295"/>
      <c r="AJ22" s="295"/>
      <c r="AK22" s="295"/>
      <c r="AL22" s="295"/>
      <c r="AM22" s="295"/>
      <c r="AN22" s="295"/>
      <c r="AO22" s="295"/>
      <c r="AP22" s="295"/>
      <c r="AQ22" s="295"/>
      <c r="AR22" s="295"/>
      <c r="AS22" s="295"/>
      <c r="AT22" s="295"/>
      <c r="AU22" s="295"/>
      <c r="AV22" s="295"/>
      <c r="AW22" s="295"/>
      <c r="AX22" s="298"/>
      <c r="AY22" s="295"/>
      <c r="AZ22" s="295"/>
      <c r="BA22" s="295"/>
      <c r="BB22" s="298"/>
      <c r="BC22" s="295"/>
      <c r="BD22" s="295"/>
      <c r="BE22" s="295"/>
      <c r="BF22" s="298"/>
      <c r="BG22" s="295"/>
      <c r="BH22" s="295"/>
      <c r="BI22" s="295"/>
      <c r="BJ22" s="298"/>
      <c r="BK22" s="295"/>
      <c r="BL22" s="295"/>
      <c r="BM22" s="295"/>
      <c r="BN22" s="298"/>
      <c r="BO22" s="295"/>
      <c r="BP22" s="295"/>
      <c r="BQ22" s="295"/>
      <c r="BR22" s="298"/>
      <c r="BS22" s="295"/>
      <c r="BT22" s="295"/>
      <c r="BU22" s="295"/>
      <c r="BV22" s="298"/>
      <c r="BW22" s="295"/>
      <c r="BX22" s="295"/>
      <c r="BY22" s="295"/>
      <c r="BZ22" s="298"/>
      <c r="CA22" s="295"/>
      <c r="CB22" s="295"/>
      <c r="CC22" s="295"/>
      <c r="CD22" s="298"/>
      <c r="CE22" s="295"/>
      <c r="CF22" s="295"/>
      <c r="CG22" s="295"/>
      <c r="CH22" s="298"/>
      <c r="CI22" s="295"/>
      <c r="CJ22" s="295"/>
      <c r="CK22" s="295"/>
      <c r="CL22" s="298"/>
      <c r="CM22" s="295"/>
      <c r="CN22" s="295"/>
      <c r="CO22" s="295"/>
      <c r="CP22" s="298"/>
      <c r="CQ22" s="295"/>
      <c r="CR22" s="295"/>
      <c r="CS22" s="295"/>
      <c r="CT22" s="298"/>
      <c r="CU22" s="295"/>
      <c r="CV22" s="295"/>
      <c r="CW22" s="299"/>
      <c r="CX22" s="295"/>
      <c r="CY22" s="295"/>
      <c r="CZ22" s="295"/>
      <c r="DA22" s="295"/>
      <c r="DB22" s="298"/>
      <c r="DC22" s="295"/>
      <c r="DD22" s="295"/>
      <c r="DE22" s="295"/>
      <c r="DF22" s="298"/>
      <c r="DG22" s="1130"/>
      <c r="DH22" s="1130"/>
      <c r="DI22" s="299"/>
      <c r="DJ22" s="298"/>
      <c r="DK22" s="1130"/>
      <c r="DL22" s="1130"/>
      <c r="DM22" s="299"/>
      <c r="DN22" s="3247">
        <f t="shared" ref="DN22:DT22" si="35">+DN20/DN11</f>
        <v>0.83922462941847209</v>
      </c>
      <c r="DO22" s="3247">
        <f t="shared" si="35"/>
        <v>0.8338308457711443</v>
      </c>
      <c r="DP22" s="3247">
        <f t="shared" si="35"/>
        <v>0.77693040991420403</v>
      </c>
      <c r="DQ22" s="3247">
        <f t="shared" si="35"/>
        <v>0.6229365768896612</v>
      </c>
      <c r="DR22" s="3247">
        <f t="shared" si="35"/>
        <v>0.44622641509433963</v>
      </c>
      <c r="DS22" s="3247">
        <f t="shared" si="35"/>
        <v>0.65232240437158473</v>
      </c>
      <c r="DT22" s="3247">
        <f t="shared" si="35"/>
        <v>0.34989898989898988</v>
      </c>
      <c r="DU22" s="3247">
        <f t="shared" ref="DU22:DV22" si="36">+DU20/DU11</f>
        <v>0.16673159329957149</v>
      </c>
      <c r="DV22" s="3247">
        <f t="shared" si="36"/>
        <v>0.4794816414686825</v>
      </c>
      <c r="DW22" s="3269">
        <v>0.42499999999999999</v>
      </c>
      <c r="DX22" s="3269">
        <f t="shared" ref="DX22:DY22" si="37">+DW22</f>
        <v>0.42499999999999999</v>
      </c>
      <c r="DY22" s="3248">
        <f t="shared" si="37"/>
        <v>0.42499999999999999</v>
      </c>
    </row>
    <row r="23" spans="1:130">
      <c r="A23" s="92" t="s">
        <v>490</v>
      </c>
      <c r="B23" s="87"/>
      <c r="C23" s="87"/>
      <c r="D23" s="143"/>
      <c r="E23" s="143"/>
      <c r="F23" s="143"/>
      <c r="G23" s="143"/>
      <c r="H23" s="143"/>
      <c r="I23" s="143"/>
      <c r="J23" s="143"/>
      <c r="K23" s="143"/>
      <c r="L23" s="143"/>
      <c r="M23" s="143"/>
      <c r="N23" s="143"/>
      <c r="O23" s="105"/>
      <c r="P23" s="143"/>
      <c r="Q23" s="1047">
        <f>+SUM(CL23:CO23)</f>
        <v>451</v>
      </c>
      <c r="R23" s="143">
        <f>+SUM(CP23:CS23)</f>
        <v>1008</v>
      </c>
      <c r="S23" s="143">
        <f>+SUM(CT23:CW23)</f>
        <v>872</v>
      </c>
      <c r="T23" s="1047">
        <f t="shared" ref="T23:V23" si="38">+T48</f>
        <v>767</v>
      </c>
      <c r="U23" s="143">
        <f t="shared" si="38"/>
        <v>709</v>
      </c>
      <c r="V23" s="143">
        <f t="shared" si="38"/>
        <v>800</v>
      </c>
      <c r="W23" s="143">
        <f t="shared" ref="W23:AB23" si="39">+W48</f>
        <v>715</v>
      </c>
      <c r="X23" s="143">
        <f t="shared" si="39"/>
        <v>324</v>
      </c>
      <c r="Y23" s="143">
        <f t="shared" si="39"/>
        <v>685.52799999999991</v>
      </c>
      <c r="Z23" s="143">
        <f t="shared" si="39"/>
        <v>664.15730399999995</v>
      </c>
      <c r="AA23" s="143">
        <f t="shared" si="39"/>
        <v>633.14183543199988</v>
      </c>
      <c r="AB23" s="143">
        <f t="shared" si="39"/>
        <v>0</v>
      </c>
      <c r="AC23" s="143">
        <f t="shared" ref="AC23:AG23" si="40">+AC48</f>
        <v>0</v>
      </c>
      <c r="AD23" s="143">
        <f t="shared" si="40"/>
        <v>0</v>
      </c>
      <c r="AE23" s="143">
        <f t="shared" si="40"/>
        <v>0</v>
      </c>
      <c r="AF23" s="143">
        <f t="shared" si="40"/>
        <v>0</v>
      </c>
      <c r="AG23" s="143">
        <f t="shared" si="40"/>
        <v>0</v>
      </c>
      <c r="AH23" s="3006"/>
      <c r="AI23" s="143"/>
      <c r="AJ23" s="143"/>
      <c r="AK23" s="143"/>
      <c r="AL23" s="143"/>
      <c r="AM23" s="143"/>
      <c r="AN23" s="143"/>
      <c r="AO23" s="143"/>
      <c r="AP23" s="143"/>
      <c r="AQ23" s="143"/>
      <c r="AR23" s="143"/>
      <c r="AS23" s="143"/>
      <c r="AT23" s="143"/>
      <c r="AU23" s="143"/>
      <c r="AV23" s="143"/>
      <c r="AW23" s="143"/>
      <c r="AX23" s="159"/>
      <c r="AY23" s="143"/>
      <c r="AZ23" s="143"/>
      <c r="BA23" s="143"/>
      <c r="BB23" s="159"/>
      <c r="BC23" s="143"/>
      <c r="BD23" s="143"/>
      <c r="BE23" s="143"/>
      <c r="BF23" s="159"/>
      <c r="BG23" s="143"/>
      <c r="BH23" s="143"/>
      <c r="BI23" s="143"/>
      <c r="BJ23" s="746"/>
      <c r="BK23" s="143"/>
      <c r="BL23" s="143"/>
      <c r="BM23" s="143"/>
      <c r="BN23" s="159"/>
      <c r="BO23" s="143"/>
      <c r="BP23" s="143"/>
      <c r="BQ23" s="143"/>
      <c r="BR23" s="159"/>
      <c r="BS23" s="143"/>
      <c r="BT23" s="143"/>
      <c r="BU23" s="143"/>
      <c r="BV23" s="159"/>
      <c r="BW23" s="143"/>
      <c r="BX23" s="143"/>
      <c r="BY23" s="143"/>
      <c r="BZ23" s="159"/>
      <c r="CA23" s="143"/>
      <c r="CB23" s="143"/>
      <c r="CC23" s="143"/>
      <c r="CD23" s="159"/>
      <c r="CE23" s="143"/>
      <c r="CF23" s="143"/>
      <c r="CG23" s="143"/>
      <c r="CH23" s="159"/>
      <c r="CI23" s="143"/>
      <c r="CJ23" s="143"/>
      <c r="CK23" s="143"/>
      <c r="CL23" s="159">
        <f t="shared" ref="CL23:DE23" si="41">+CL48</f>
        <v>112.75</v>
      </c>
      <c r="CM23" s="143">
        <f t="shared" si="41"/>
        <v>112.75</v>
      </c>
      <c r="CN23" s="143">
        <f t="shared" si="41"/>
        <v>112.75</v>
      </c>
      <c r="CO23" s="143">
        <f t="shared" si="41"/>
        <v>112.75</v>
      </c>
      <c r="CP23" s="159">
        <f t="shared" si="41"/>
        <v>252</v>
      </c>
      <c r="CQ23" s="143">
        <f t="shared" si="41"/>
        <v>252</v>
      </c>
      <c r="CR23" s="143">
        <f t="shared" si="41"/>
        <v>252</v>
      </c>
      <c r="CS23" s="143">
        <f t="shared" si="41"/>
        <v>252</v>
      </c>
      <c r="CT23" s="159">
        <f t="shared" si="41"/>
        <v>218</v>
      </c>
      <c r="CU23" s="143">
        <f t="shared" si="41"/>
        <v>218</v>
      </c>
      <c r="CV23" s="143">
        <f t="shared" si="41"/>
        <v>218</v>
      </c>
      <c r="CW23" s="189">
        <f t="shared" si="41"/>
        <v>218</v>
      </c>
      <c r="CX23" s="143">
        <f t="shared" si="41"/>
        <v>191.75</v>
      </c>
      <c r="CY23" s="143">
        <f t="shared" si="41"/>
        <v>191.75</v>
      </c>
      <c r="CZ23" s="143">
        <f t="shared" si="41"/>
        <v>191.75</v>
      </c>
      <c r="DA23" s="143">
        <f t="shared" si="41"/>
        <v>191.75</v>
      </c>
      <c r="DB23" s="159">
        <f t="shared" si="41"/>
        <v>177.25</v>
      </c>
      <c r="DC23" s="143">
        <f t="shared" si="41"/>
        <v>177.25</v>
      </c>
      <c r="DD23" s="143">
        <f t="shared" si="41"/>
        <v>177.25</v>
      </c>
      <c r="DE23" s="143">
        <f t="shared" si="41"/>
        <v>177.25</v>
      </c>
      <c r="DF23" s="159">
        <f>+DF48</f>
        <v>177.25</v>
      </c>
      <c r="DG23" s="1047">
        <f>+DG48</f>
        <v>177.25</v>
      </c>
      <c r="DH23" s="1047">
        <f>+DH48</f>
        <v>177.25</v>
      </c>
      <c r="DI23" s="189">
        <f>+DI48</f>
        <v>177.25</v>
      </c>
      <c r="DJ23" s="159">
        <f t="shared" ref="DJ23:DM23" si="42">+DJ48</f>
        <v>177.25</v>
      </c>
      <c r="DK23" s="1047">
        <f t="shared" si="42"/>
        <v>177.25</v>
      </c>
      <c r="DL23" s="1047">
        <f t="shared" si="42"/>
        <v>177.25</v>
      </c>
      <c r="DM23" s="189">
        <f t="shared" si="42"/>
        <v>177.25</v>
      </c>
      <c r="DN23" s="1047">
        <f t="shared" ref="DN23:DO23" si="43">+DN48</f>
        <v>177.25</v>
      </c>
      <c r="DO23" s="1047">
        <f t="shared" si="43"/>
        <v>177.25</v>
      </c>
      <c r="DP23" s="1047">
        <f t="shared" ref="DP23:DQ23" si="44">+DP48</f>
        <v>177.25</v>
      </c>
      <c r="DQ23" s="189">
        <f t="shared" si="44"/>
        <v>177.25</v>
      </c>
      <c r="DR23" s="1047">
        <f t="shared" ref="DR23:DS23" si="45">+DR48</f>
        <v>177.25</v>
      </c>
      <c r="DS23" s="1047">
        <f t="shared" si="45"/>
        <v>177.25</v>
      </c>
      <c r="DT23" s="1047">
        <f t="shared" ref="DT23:DU23" si="46">+DT48</f>
        <v>177.25</v>
      </c>
      <c r="DU23" s="1047">
        <f t="shared" si="46"/>
        <v>177.25</v>
      </c>
      <c r="DV23" s="1047">
        <f t="shared" ref="DV23" si="47">+DV48</f>
        <v>177.25</v>
      </c>
      <c r="DW23" s="1047">
        <f t="shared" ref="DW23:DY23" si="48">+DW48</f>
        <v>177.25</v>
      </c>
      <c r="DX23" s="1047">
        <f t="shared" si="48"/>
        <v>177.25</v>
      </c>
      <c r="DY23" s="189">
        <f t="shared" si="48"/>
        <v>177.25</v>
      </c>
    </row>
    <row r="24" spans="1:130">
      <c r="A24" s="96" t="s">
        <v>964</v>
      </c>
      <c r="B24" s="91"/>
      <c r="C24" s="91"/>
      <c r="D24" s="149"/>
      <c r="E24" s="149"/>
      <c r="F24" s="149"/>
      <c r="G24" s="149"/>
      <c r="H24" s="149"/>
      <c r="I24" s="149"/>
      <c r="J24" s="149"/>
      <c r="K24" s="149"/>
      <c r="L24" s="149"/>
      <c r="M24" s="149"/>
      <c r="N24" s="149"/>
      <c r="O24" s="149">
        <f>SUM(CD24:CG24)</f>
        <v>-931</v>
      </c>
      <c r="P24" s="149">
        <f>SUM(CH24:CK24)</f>
        <v>-5663</v>
      </c>
      <c r="Q24" s="1113">
        <f>SUM(CL24:CO24)</f>
        <v>1276</v>
      </c>
      <c r="R24" s="149">
        <f>SUM(CP24:CS24)</f>
        <v>733</v>
      </c>
      <c r="S24" s="149">
        <f>SUM(CT24:CW24)</f>
        <v>495</v>
      </c>
      <c r="T24" s="1113">
        <f>SUM(CX24:DA24)</f>
        <v>944</v>
      </c>
      <c r="U24" s="149">
        <f>SUM(DB24:DE24)</f>
        <v>1139</v>
      </c>
      <c r="V24" s="149">
        <f>SUM(DF24:DI24)</f>
        <v>1630</v>
      </c>
      <c r="W24" s="149">
        <f>SUM(DJ24:DM24)</f>
        <v>3459</v>
      </c>
      <c r="X24" s="149">
        <f>SUM(DN24:DQ24)</f>
        <v>5166</v>
      </c>
      <c r="Y24" s="149">
        <f>SUM(DR24:DU24)</f>
        <v>6124</v>
      </c>
      <c r="Z24" s="149">
        <f>SUM(DV24:DY24)</f>
        <v>9311.1404999999995</v>
      </c>
      <c r="AA24" s="149">
        <f>AA16+AA20</f>
        <v>8416.569168</v>
      </c>
      <c r="AB24" s="149">
        <f>AB16+AB20</f>
        <v>8584.9005513600005</v>
      </c>
      <c r="AC24" s="149">
        <f t="shared" ref="AC24:AG24" si="49">AC16+AC20</f>
        <v>8756.5985623872002</v>
      </c>
      <c r="AD24" s="149">
        <f t="shared" si="49"/>
        <v>8931.7305336349436</v>
      </c>
      <c r="AE24" s="149">
        <f t="shared" si="49"/>
        <v>9110.3651443076433</v>
      </c>
      <c r="AF24" s="149">
        <f t="shared" si="49"/>
        <v>9292.5724471937956</v>
      </c>
      <c r="AG24" s="149">
        <f t="shared" si="49"/>
        <v>9478.4238961376723</v>
      </c>
      <c r="AH24" s="973"/>
      <c r="AI24" s="149"/>
      <c r="AJ24" s="149"/>
      <c r="AK24" s="149"/>
      <c r="AL24" s="149"/>
      <c r="AM24" s="149"/>
      <c r="AN24" s="149"/>
      <c r="AO24" s="149"/>
      <c r="AP24" s="149"/>
      <c r="AQ24" s="149"/>
      <c r="AR24" s="149"/>
      <c r="AS24" s="149"/>
      <c r="AT24" s="149"/>
      <c r="AU24" s="149"/>
      <c r="AV24" s="149"/>
      <c r="AW24" s="149"/>
      <c r="AX24" s="150"/>
      <c r="AY24" s="149"/>
      <c r="AZ24" s="149"/>
      <c r="BA24" s="149"/>
      <c r="BB24" s="150"/>
      <c r="BC24" s="149"/>
      <c r="BD24" s="149"/>
      <c r="BE24" s="149"/>
      <c r="BF24" s="150"/>
      <c r="BG24" s="149"/>
      <c r="BH24" s="149"/>
      <c r="BI24" s="149"/>
      <c r="BJ24" s="150"/>
      <c r="BK24" s="149"/>
      <c r="BL24" s="149"/>
      <c r="BM24" s="149"/>
      <c r="BN24" s="150"/>
      <c r="BO24" s="149"/>
      <c r="BP24" s="149"/>
      <c r="BQ24" s="149"/>
      <c r="BR24" s="150"/>
      <c r="BS24" s="149"/>
      <c r="BT24" s="149"/>
      <c r="BU24" s="149"/>
      <c r="BV24" s="150"/>
      <c r="BW24" s="149"/>
      <c r="BX24" s="149"/>
      <c r="BY24" s="149"/>
      <c r="BZ24" s="484"/>
      <c r="CA24" s="149">
        <f t="shared" ref="CA24:CK24" si="50">CA16+CA20</f>
        <v>-597</v>
      </c>
      <c r="CB24" s="149">
        <f t="shared" si="50"/>
        <v>-542</v>
      </c>
      <c r="CC24" s="149">
        <f t="shared" si="50"/>
        <v>-214</v>
      </c>
      <c r="CD24" s="150">
        <f t="shared" si="50"/>
        <v>-230</v>
      </c>
      <c r="CE24" s="149">
        <f t="shared" si="50"/>
        <v>-217</v>
      </c>
      <c r="CF24" s="149">
        <f t="shared" si="50"/>
        <v>-253</v>
      </c>
      <c r="CG24" s="149">
        <f t="shared" si="50"/>
        <v>-231</v>
      </c>
      <c r="CH24" s="150">
        <f t="shared" si="50"/>
        <v>-1450</v>
      </c>
      <c r="CI24" s="149">
        <f t="shared" si="50"/>
        <v>-1373</v>
      </c>
      <c r="CJ24" s="149">
        <f t="shared" si="50"/>
        <v>-1367</v>
      </c>
      <c r="CK24" s="149">
        <f t="shared" si="50"/>
        <v>-1473</v>
      </c>
      <c r="CL24" s="150">
        <f>CL16+CL20+CL23</f>
        <v>336.75</v>
      </c>
      <c r="CM24" s="149">
        <f>CM16+CM20+CM23</f>
        <v>313.75</v>
      </c>
      <c r="CN24" s="149">
        <f>CN16+CN20+CN23</f>
        <v>300.75</v>
      </c>
      <c r="CO24" s="149">
        <f>CO16+CO20+CO23</f>
        <v>324.75</v>
      </c>
      <c r="CP24" s="159">
        <f t="shared" ref="CP24:DE24" si="51">CP16+CP20</f>
        <v>112</v>
      </c>
      <c r="CQ24" s="143">
        <f t="shared" si="51"/>
        <v>195</v>
      </c>
      <c r="CR24" s="143">
        <f t="shared" si="51"/>
        <v>175</v>
      </c>
      <c r="CS24" s="143">
        <f t="shared" si="51"/>
        <v>251</v>
      </c>
      <c r="CT24" s="159">
        <f t="shared" si="51"/>
        <v>130</v>
      </c>
      <c r="CU24" s="143">
        <f t="shared" si="51"/>
        <v>96</v>
      </c>
      <c r="CV24" s="143">
        <f t="shared" si="51"/>
        <v>244</v>
      </c>
      <c r="CW24" s="189">
        <f t="shared" si="51"/>
        <v>25</v>
      </c>
      <c r="CX24" s="143">
        <f t="shared" si="51"/>
        <v>183</v>
      </c>
      <c r="CY24" s="143">
        <f t="shared" si="51"/>
        <v>279</v>
      </c>
      <c r="CZ24" s="143">
        <f t="shared" si="51"/>
        <v>267</v>
      </c>
      <c r="DA24" s="143">
        <f t="shared" si="51"/>
        <v>215</v>
      </c>
      <c r="DB24" s="159">
        <f t="shared" si="51"/>
        <v>259</v>
      </c>
      <c r="DC24" s="143">
        <f t="shared" si="51"/>
        <v>277</v>
      </c>
      <c r="DD24" s="143">
        <f t="shared" si="51"/>
        <v>237</v>
      </c>
      <c r="DE24" s="143">
        <f t="shared" si="51"/>
        <v>366</v>
      </c>
      <c r="DF24" s="159">
        <f t="shared" ref="DF24:DM24" si="52">DF16+DF20</f>
        <v>411</v>
      </c>
      <c r="DG24" s="1047">
        <f t="shared" si="52"/>
        <v>458</v>
      </c>
      <c r="DH24" s="1047">
        <f t="shared" si="52"/>
        <v>415</v>
      </c>
      <c r="DI24" s="189">
        <f t="shared" si="52"/>
        <v>346</v>
      </c>
      <c r="DJ24" s="159">
        <f t="shared" si="52"/>
        <v>389</v>
      </c>
      <c r="DK24" s="1047">
        <f t="shared" si="52"/>
        <v>518</v>
      </c>
      <c r="DL24" s="1047">
        <f t="shared" si="52"/>
        <v>1040</v>
      </c>
      <c r="DM24" s="189">
        <f t="shared" si="52"/>
        <v>1512</v>
      </c>
      <c r="DN24" s="1047">
        <f t="shared" ref="DN24:DO24" si="53">DN16+DN20</f>
        <v>1245</v>
      </c>
      <c r="DO24" s="1047">
        <f t="shared" si="53"/>
        <v>1324</v>
      </c>
      <c r="DP24" s="1047">
        <f t="shared" ref="DP24:DQ24" si="54">DP16+DP20</f>
        <v>1358</v>
      </c>
      <c r="DQ24" s="189">
        <f t="shared" si="54"/>
        <v>1239</v>
      </c>
      <c r="DR24" s="1047">
        <f t="shared" ref="DR24:DS24" si="55">DR16+DR20</f>
        <v>893</v>
      </c>
      <c r="DS24" s="1047">
        <f t="shared" si="55"/>
        <v>1457</v>
      </c>
      <c r="DT24" s="1047">
        <f t="shared" ref="DT24:DU24" si="56">DT16+DT20</f>
        <v>1958</v>
      </c>
      <c r="DU24" s="1047">
        <f t="shared" si="56"/>
        <v>1816</v>
      </c>
      <c r="DV24" s="1047">
        <f t="shared" ref="DV24" si="57">DV16+DV20</f>
        <v>2366</v>
      </c>
      <c r="DW24" s="1047">
        <f t="shared" ref="DW24:DY24" si="58">DW16+DW20</f>
        <v>2141.375</v>
      </c>
      <c r="DX24" s="1047">
        <f t="shared" si="58"/>
        <v>2358.0562499999996</v>
      </c>
      <c r="DY24" s="189">
        <f t="shared" si="58"/>
        <v>2445.7092499999999</v>
      </c>
    </row>
    <row r="25" spans="1:130">
      <c r="A25" s="748" t="s">
        <v>952</v>
      </c>
      <c r="B25" s="295"/>
      <c r="C25" s="295"/>
      <c r="D25" s="295"/>
      <c r="E25" s="295"/>
      <c r="F25" s="295"/>
      <c r="G25" s="295"/>
      <c r="H25" s="295"/>
      <c r="I25" s="295"/>
      <c r="J25" s="295"/>
      <c r="K25" s="295"/>
      <c r="L25" s="295"/>
      <c r="M25" s="295"/>
      <c r="N25" s="295"/>
      <c r="O25" s="295"/>
      <c r="P25" s="295">
        <f t="shared" ref="P25:AB25" si="59">P24/O24-1</f>
        <v>5.0827067669172932</v>
      </c>
      <c r="Q25" s="1130">
        <f t="shared" si="59"/>
        <v>-1.2253222673494615</v>
      </c>
      <c r="R25" s="295">
        <f t="shared" si="59"/>
        <v>-0.42554858934169282</v>
      </c>
      <c r="S25" s="295">
        <f t="shared" si="59"/>
        <v>-0.32469304229195084</v>
      </c>
      <c r="T25" s="1130">
        <f t="shared" si="59"/>
        <v>0.90707070707070714</v>
      </c>
      <c r="U25" s="295">
        <f t="shared" si="59"/>
        <v>0.20656779661016955</v>
      </c>
      <c r="V25" s="295">
        <f t="shared" si="59"/>
        <v>0.43107989464442498</v>
      </c>
      <c r="W25" s="295">
        <f>W24/V24-1</f>
        <v>1.1220858895705521</v>
      </c>
      <c r="X25" s="295">
        <f>X24/W24-1</f>
        <v>0.49349522983521243</v>
      </c>
      <c r="Y25" s="295">
        <f>Y24/X24-1</f>
        <v>0.18544328300425872</v>
      </c>
      <c r="Z25" s="295">
        <f>Z24/Y24-1</f>
        <v>0.52043443827563673</v>
      </c>
      <c r="AA25" s="295">
        <f t="shared" si="59"/>
        <v>-9.6075376802659096E-2</v>
      </c>
      <c r="AB25" s="295">
        <f t="shared" si="59"/>
        <v>2.0000000000000018E-2</v>
      </c>
      <c r="AC25" s="295">
        <f t="shared" ref="AC25" si="60">AC24/AB24-1</f>
        <v>2.0000000000000018E-2</v>
      </c>
      <c r="AD25" s="295">
        <f t="shared" ref="AD25" si="61">AD24/AC24-1</f>
        <v>2.0000000000000018E-2</v>
      </c>
      <c r="AE25" s="295">
        <f t="shared" ref="AE25" si="62">AE24/AD24-1</f>
        <v>2.0000000000000018E-2</v>
      </c>
      <c r="AF25" s="295">
        <f t="shared" ref="AF25" si="63">AF24/AE24-1</f>
        <v>2.0000000000000018E-2</v>
      </c>
      <c r="AG25" s="295">
        <f t="shared" ref="AG25" si="64">AG24/AF24-1</f>
        <v>2.0000000000000018E-2</v>
      </c>
      <c r="AH25" s="3004"/>
      <c r="AI25" s="295"/>
      <c r="AJ25" s="295"/>
      <c r="AK25" s="295"/>
      <c r="AL25" s="295"/>
      <c r="AM25" s="295"/>
      <c r="AN25" s="295"/>
      <c r="AO25" s="295"/>
      <c r="AP25" s="295"/>
      <c r="AQ25" s="295"/>
      <c r="AR25" s="295"/>
      <c r="AS25" s="295"/>
      <c r="AT25" s="295"/>
      <c r="AU25" s="295"/>
      <c r="AV25" s="295"/>
      <c r="AW25" s="295"/>
      <c r="AX25" s="298"/>
      <c r="AY25" s="295"/>
      <c r="AZ25" s="295"/>
      <c r="BA25" s="295"/>
      <c r="BB25" s="298"/>
      <c r="BC25" s="295"/>
      <c r="BD25" s="295"/>
      <c r="BE25" s="295"/>
      <c r="BF25" s="298"/>
      <c r="BG25" s="295"/>
      <c r="BH25" s="295"/>
      <c r="BI25" s="295"/>
      <c r="BJ25" s="298"/>
      <c r="BK25" s="295"/>
      <c r="BL25" s="295"/>
      <c r="BM25" s="295"/>
      <c r="BN25" s="298"/>
      <c r="BO25" s="295"/>
      <c r="BP25" s="295"/>
      <c r="BQ25" s="295"/>
      <c r="BR25" s="298"/>
      <c r="BS25" s="295"/>
      <c r="BT25" s="295"/>
      <c r="BU25" s="295"/>
      <c r="BV25" s="298"/>
      <c r="BW25" s="295"/>
      <c r="BX25" s="295"/>
      <c r="BY25" s="295"/>
      <c r="BZ25" s="298"/>
      <c r="CA25" s="295"/>
      <c r="CB25" s="295"/>
      <c r="CC25" s="295"/>
      <c r="CD25" s="298"/>
      <c r="CE25" s="295">
        <f t="shared" ref="CE25:DV25" si="65">CE24/CA24-1</f>
        <v>-0.63651591289782239</v>
      </c>
      <c r="CF25" s="295">
        <f t="shared" si="65"/>
        <v>-0.53321033210332103</v>
      </c>
      <c r="CG25" s="295">
        <f t="shared" si="65"/>
        <v>7.9439252336448662E-2</v>
      </c>
      <c r="CH25" s="298">
        <f t="shared" si="65"/>
        <v>5.3043478260869561</v>
      </c>
      <c r="CI25" s="295">
        <f t="shared" si="65"/>
        <v>5.3271889400921655</v>
      </c>
      <c r="CJ25" s="295">
        <f t="shared" si="65"/>
        <v>4.4031620553359687</v>
      </c>
      <c r="CK25" s="295">
        <f t="shared" si="65"/>
        <v>5.3766233766233764</v>
      </c>
      <c r="CL25" s="298">
        <f t="shared" si="65"/>
        <v>-1.2322413793103448</v>
      </c>
      <c r="CM25" s="295">
        <f t="shared" si="65"/>
        <v>-1.2285142024763291</v>
      </c>
      <c r="CN25" s="295">
        <f t="shared" si="65"/>
        <v>-1.2200073152889539</v>
      </c>
      <c r="CO25" s="295">
        <f t="shared" si="65"/>
        <v>-1.2204684317718941</v>
      </c>
      <c r="CP25" s="298">
        <f t="shared" si="65"/>
        <v>-0.66740905716406829</v>
      </c>
      <c r="CQ25" s="295">
        <f t="shared" si="65"/>
        <v>-0.37848605577689243</v>
      </c>
      <c r="CR25" s="295">
        <f t="shared" si="65"/>
        <v>-0.41812136325852034</v>
      </c>
      <c r="CS25" s="295">
        <f t="shared" si="65"/>
        <v>-0.22709776751347188</v>
      </c>
      <c r="CT25" s="298">
        <f t="shared" si="65"/>
        <v>0.16071428571428581</v>
      </c>
      <c r="CU25" s="295">
        <f t="shared" si="65"/>
        <v>-0.50769230769230766</v>
      </c>
      <c r="CV25" s="295">
        <f t="shared" si="65"/>
        <v>0.39428571428571435</v>
      </c>
      <c r="CW25" s="299">
        <f t="shared" si="65"/>
        <v>-0.90039840637450197</v>
      </c>
      <c r="CX25" s="295">
        <f t="shared" si="65"/>
        <v>0.4076923076923078</v>
      </c>
      <c r="CY25" s="295">
        <f t="shared" si="65"/>
        <v>1.90625</v>
      </c>
      <c r="CZ25" s="295">
        <f t="shared" si="65"/>
        <v>9.4262295081967151E-2</v>
      </c>
      <c r="DA25" s="295">
        <f t="shared" si="65"/>
        <v>7.6</v>
      </c>
      <c r="DB25" s="298">
        <f t="shared" si="65"/>
        <v>0.41530054644808745</v>
      </c>
      <c r="DC25" s="295">
        <f t="shared" si="65"/>
        <v>-7.1684587813619638E-3</v>
      </c>
      <c r="DD25" s="295">
        <f t="shared" si="65"/>
        <v>-0.11235955056179781</v>
      </c>
      <c r="DE25" s="295">
        <f t="shared" si="65"/>
        <v>0.70232558139534884</v>
      </c>
      <c r="DF25" s="298">
        <f t="shared" si="65"/>
        <v>0.58687258687258681</v>
      </c>
      <c r="DG25" s="1130">
        <f t="shared" si="65"/>
        <v>0.6534296028880866</v>
      </c>
      <c r="DH25" s="1130">
        <f t="shared" si="65"/>
        <v>0.75105485232067504</v>
      </c>
      <c r="DI25" s="299">
        <f t="shared" si="65"/>
        <v>-5.4644808743169349E-2</v>
      </c>
      <c r="DJ25" s="298">
        <f t="shared" si="65"/>
        <v>-5.3527980535279851E-2</v>
      </c>
      <c r="DK25" s="1130">
        <f t="shared" si="65"/>
        <v>0.13100436681222716</v>
      </c>
      <c r="DL25" s="1130">
        <f t="shared" si="65"/>
        <v>1.5060240963855422</v>
      </c>
      <c r="DM25" s="299">
        <f t="shared" si="65"/>
        <v>3.3699421965317917</v>
      </c>
      <c r="DN25" s="1130">
        <f t="shared" si="65"/>
        <v>2.2005141388174807</v>
      </c>
      <c r="DO25" s="1130">
        <f t="shared" si="65"/>
        <v>1.5559845559845562</v>
      </c>
      <c r="DP25" s="1130">
        <f t="shared" si="65"/>
        <v>0.30576923076923079</v>
      </c>
      <c r="DQ25" s="299">
        <f t="shared" si="65"/>
        <v>-0.18055555555555558</v>
      </c>
      <c r="DR25" s="1130">
        <f t="shared" si="65"/>
        <v>-0.28273092369477915</v>
      </c>
      <c r="DS25" s="1130">
        <f t="shared" si="65"/>
        <v>0.10045317220543803</v>
      </c>
      <c r="DT25" s="1130">
        <f t="shared" si="65"/>
        <v>0.4418262150220913</v>
      </c>
      <c r="DU25" s="1130">
        <f t="shared" si="65"/>
        <v>0.46569814366424533</v>
      </c>
      <c r="DV25" s="1130">
        <f t="shared" si="65"/>
        <v>1.6494960806270997</v>
      </c>
      <c r="DW25" s="1130">
        <f t="shared" ref="DW25" si="66">DW24/DS24-1</f>
        <v>0.46971516815374059</v>
      </c>
      <c r="DX25" s="1130">
        <f t="shared" ref="DX25" si="67">DX24/DT24-1</f>
        <v>0.20431882022471881</v>
      </c>
      <c r="DY25" s="299">
        <f t="shared" ref="DY25" si="68">DY24/DU24-1</f>
        <v>0.34675619493392063</v>
      </c>
    </row>
    <row r="26" spans="1:130">
      <c r="A26" s="749"/>
      <c r="B26" s="105"/>
      <c r="C26" s="105"/>
      <c r="D26" s="105"/>
      <c r="E26" s="105"/>
      <c r="F26" s="105"/>
      <c r="G26" s="105"/>
      <c r="H26" s="105"/>
      <c r="I26" s="105"/>
      <c r="J26" s="105"/>
      <c r="K26" s="105"/>
      <c r="L26" s="105"/>
      <c r="M26" s="105"/>
      <c r="N26" s="105"/>
      <c r="O26" s="105"/>
      <c r="P26" s="105"/>
      <c r="Q26" s="1132"/>
      <c r="R26" s="105"/>
      <c r="S26" s="105"/>
      <c r="T26" s="1132"/>
      <c r="U26" s="105"/>
      <c r="V26" s="105"/>
      <c r="W26" s="105"/>
      <c r="X26" s="105"/>
      <c r="Y26" s="105"/>
      <c r="Z26" s="105"/>
      <c r="AA26" s="105"/>
      <c r="AB26" s="105"/>
      <c r="AC26" s="105"/>
      <c r="AD26" s="105"/>
      <c r="AE26" s="105"/>
      <c r="AF26" s="105"/>
      <c r="AG26" s="105"/>
      <c r="AH26" s="3007"/>
      <c r="AI26" s="105"/>
      <c r="AJ26" s="105"/>
      <c r="AK26" s="105"/>
      <c r="AL26" s="105"/>
      <c r="AM26" s="105"/>
      <c r="AN26" s="105"/>
      <c r="AO26" s="105"/>
      <c r="AP26" s="105"/>
      <c r="AQ26" s="105"/>
      <c r="AR26" s="105"/>
      <c r="AS26" s="105"/>
      <c r="AT26" s="105"/>
      <c r="AU26" s="105"/>
      <c r="AV26" s="105"/>
      <c r="AW26" s="105"/>
      <c r="AX26" s="306"/>
      <c r="AY26" s="105"/>
      <c r="AZ26" s="105"/>
      <c r="BA26" s="105"/>
      <c r="BB26" s="306"/>
      <c r="BC26" s="105"/>
      <c r="BD26" s="105"/>
      <c r="BE26" s="105"/>
      <c r="BF26" s="306"/>
      <c r="BG26" s="105"/>
      <c r="BH26" s="105"/>
      <c r="BI26" s="105"/>
      <c r="BJ26" s="306"/>
      <c r="BK26" s="105"/>
      <c r="BL26" s="105"/>
      <c r="BM26" s="105"/>
      <c r="BN26" s="306"/>
      <c r="BO26" s="105"/>
      <c r="BP26" s="105"/>
      <c r="BQ26" s="105"/>
      <c r="BR26" s="306"/>
      <c r="BS26" s="105"/>
      <c r="BT26" s="105"/>
      <c r="BU26" s="105"/>
      <c r="BV26" s="306"/>
      <c r="BW26" s="105"/>
      <c r="BX26" s="105"/>
      <c r="BY26" s="105"/>
      <c r="BZ26" s="306"/>
      <c r="CA26" s="105"/>
      <c r="CB26" s="105"/>
      <c r="CC26" s="105"/>
      <c r="CD26" s="306"/>
      <c r="CE26" s="105"/>
      <c r="CF26" s="105"/>
      <c r="CG26" s="105"/>
      <c r="CH26" s="306"/>
      <c r="CI26" s="105"/>
      <c r="CJ26" s="105"/>
      <c r="CK26" s="105"/>
      <c r="CL26" s="306"/>
      <c r="CM26" s="105"/>
      <c r="CN26" s="105"/>
      <c r="CO26" s="105"/>
      <c r="CP26" s="306"/>
      <c r="CQ26" s="105"/>
      <c r="CR26" s="105"/>
      <c r="CS26" s="105"/>
      <c r="CT26" s="306"/>
      <c r="CU26" s="105"/>
      <c r="CV26" s="105"/>
      <c r="CW26" s="307"/>
      <c r="CX26" s="105"/>
      <c r="CY26" s="105"/>
      <c r="CZ26" s="105"/>
      <c r="DA26" s="105"/>
      <c r="DB26" s="306"/>
      <c r="DC26" s="105"/>
      <c r="DD26" s="105"/>
      <c r="DE26" s="105"/>
      <c r="DF26" s="306"/>
      <c r="DG26" s="1132"/>
      <c r="DH26" s="1132"/>
      <c r="DI26" s="307"/>
      <c r="DJ26" s="306"/>
      <c r="DK26" s="1132"/>
      <c r="DL26" s="1132"/>
      <c r="DM26" s="307"/>
      <c r="DN26" s="1132"/>
      <c r="DO26" s="1132"/>
      <c r="DP26" s="1132"/>
      <c r="DQ26" s="307"/>
      <c r="DR26" s="1132"/>
      <c r="DS26" s="1132"/>
      <c r="DT26" s="1132"/>
      <c r="DU26" s="1132"/>
      <c r="DV26" s="1132"/>
      <c r="DW26" s="1132"/>
      <c r="DX26" s="1132"/>
      <c r="DY26" s="307"/>
    </row>
    <row r="27" spans="1:130">
      <c r="A27" s="96" t="s">
        <v>965</v>
      </c>
      <c r="B27" s="91"/>
      <c r="C27" s="91"/>
      <c r="D27" s="149"/>
      <c r="E27" s="149"/>
      <c r="F27" s="149"/>
      <c r="G27" s="149"/>
      <c r="H27" s="149"/>
      <c r="I27" s="149"/>
      <c r="J27" s="149"/>
      <c r="K27" s="149"/>
      <c r="L27" s="149"/>
      <c r="M27" s="149"/>
      <c r="N27" s="149"/>
      <c r="O27" s="149">
        <f>SUM(CD27:CG27)</f>
        <v>39</v>
      </c>
      <c r="P27" s="149">
        <f>SUM(CH27:CK27)</f>
        <v>-1081.476339925759</v>
      </c>
      <c r="Q27" s="1113">
        <f>SUM(CL27:CO27)</f>
        <v>65</v>
      </c>
      <c r="R27" s="149">
        <f>SUM(CP27:CS27)</f>
        <v>65</v>
      </c>
      <c r="S27" s="149">
        <f>SUM(CT27:CW27)</f>
        <v>76</v>
      </c>
      <c r="T27" s="1113">
        <f>SUM(CX27:DA27)</f>
        <v>76</v>
      </c>
      <c r="U27" s="149">
        <f>SUM(DB27:DE27)</f>
        <v>77</v>
      </c>
      <c r="V27" s="149">
        <f>SUM(DF27:DI27)</f>
        <v>192</v>
      </c>
      <c r="W27" s="149">
        <f>SUM(DJ27:DM27)</f>
        <v>359</v>
      </c>
      <c r="X27" s="149">
        <f>SUM(DN27:DQ27)</f>
        <v>632</v>
      </c>
      <c r="Y27" s="149">
        <f>SUM(DR27:DU27)</f>
        <v>1434</v>
      </c>
      <c r="Z27" s="149">
        <f>SUM(DV27:DY27)</f>
        <v>1448</v>
      </c>
      <c r="AA27" s="149">
        <f ca="1">Capex!AA56</f>
        <v>1342.5439216337636</v>
      </c>
      <c r="AB27" s="149">
        <f ca="1">Capex!AB56</f>
        <v>1337.4627354011482</v>
      </c>
      <c r="AC27" s="149">
        <f ca="1">Capex!AC56</f>
        <v>1332.7014375084163</v>
      </c>
      <c r="AD27" s="149">
        <f ca="1">Capex!AD56</f>
        <v>1328.2944944928822</v>
      </c>
      <c r="AE27" s="149">
        <f ca="1">Capex!AE56</f>
        <v>1324.2725761214697</v>
      </c>
      <c r="AF27" s="149">
        <f ca="1">Capex!AF56</f>
        <v>1320.6708060819019</v>
      </c>
      <c r="AG27" s="149">
        <f ca="1">Capex!AG56</f>
        <v>1320.9664044243073</v>
      </c>
      <c r="AH27" s="973"/>
      <c r="AI27" s="149"/>
      <c r="AJ27" s="149"/>
      <c r="AK27" s="149"/>
      <c r="AL27" s="149"/>
      <c r="AM27" s="149"/>
      <c r="AN27" s="149"/>
      <c r="AO27" s="149"/>
      <c r="AP27" s="149"/>
      <c r="AQ27" s="149"/>
      <c r="AR27" s="149"/>
      <c r="AS27" s="149"/>
      <c r="AT27" s="149"/>
      <c r="AU27" s="149"/>
      <c r="AV27" s="149"/>
      <c r="AW27" s="149"/>
      <c r="AX27" s="150"/>
      <c r="AY27" s="149"/>
      <c r="AZ27" s="149"/>
      <c r="BA27" s="149"/>
      <c r="BB27" s="150"/>
      <c r="BC27" s="149"/>
      <c r="BD27" s="149"/>
      <c r="BE27" s="149"/>
      <c r="BF27" s="150"/>
      <c r="BG27" s="149"/>
      <c r="BH27" s="149"/>
      <c r="BI27" s="149"/>
      <c r="BJ27" s="150"/>
      <c r="BK27" s="149"/>
      <c r="BL27" s="149"/>
      <c r="BM27" s="149"/>
      <c r="BN27" s="150"/>
      <c r="BO27" s="149"/>
      <c r="BP27" s="149"/>
      <c r="BQ27" s="149"/>
      <c r="BR27" s="150"/>
      <c r="BS27" s="149"/>
      <c r="BT27" s="149"/>
      <c r="BU27" s="149"/>
      <c r="BV27" s="150"/>
      <c r="BW27" s="149"/>
      <c r="BX27" s="149"/>
      <c r="BY27" s="149"/>
      <c r="BZ27" s="150">
        <v>-11</v>
      </c>
      <c r="CA27" s="149">
        <v>-12</v>
      </c>
      <c r="CB27" s="149">
        <v>-13</v>
      </c>
      <c r="CC27" s="149">
        <v>11</v>
      </c>
      <c r="CD27" s="150">
        <v>10</v>
      </c>
      <c r="CE27" s="149">
        <v>10</v>
      </c>
      <c r="CF27" s="149">
        <v>11</v>
      </c>
      <c r="CG27" s="149">
        <v>8</v>
      </c>
      <c r="CH27" s="150">
        <v>-278.04964539007142</v>
      </c>
      <c r="CI27" s="149">
        <v>-267.6854034451494</v>
      </c>
      <c r="CJ27" s="149">
        <v>-273.41416893732958</v>
      </c>
      <c r="CK27" s="149">
        <v>-262.32712215320862</v>
      </c>
      <c r="CL27" s="150">
        <v>19</v>
      </c>
      <c r="CM27" s="149">
        <f>IS!CJ48-Wireline!CM93-Wless!CM52</f>
        <v>14</v>
      </c>
      <c r="CN27" s="149">
        <f>IS!CK48-Wireline!CN93-Wless!CN52</f>
        <v>16</v>
      </c>
      <c r="CO27" s="149">
        <f>IS!CL48-Wireline!CO93-Wless!CO52</f>
        <v>16</v>
      </c>
      <c r="CP27" s="150">
        <f>IS!CM48-Wireline!CP93-Wless!CP52</f>
        <v>14</v>
      </c>
      <c r="CQ27" s="149">
        <f>IS!CN48-Wireline!CQ93-Wless!CQ52</f>
        <v>17</v>
      </c>
      <c r="CR27" s="149">
        <f>IS!CO48-Wireline!CR93-Wless!CR52</f>
        <v>17</v>
      </c>
      <c r="CS27" s="149">
        <f>IS!CP48-Wireline!CS93-Wless!CS52</f>
        <v>17</v>
      </c>
      <c r="CT27" s="150">
        <f>IS!CQ48-Wireline!CT93-Wless!CT52</f>
        <v>18</v>
      </c>
      <c r="CU27" s="149">
        <f>IS!CR48-Wireline!CU93-Wless!CU52</f>
        <v>18</v>
      </c>
      <c r="CV27" s="149">
        <f>IS!CS48-Wireline!CV93-Wless!CV52</f>
        <v>20</v>
      </c>
      <c r="CW27" s="155">
        <f>IS!CT48-Wireline!CW93-Wless!CW52</f>
        <v>20</v>
      </c>
      <c r="CX27" s="149">
        <f>IS!CU48-Wireline!CX93-Wless!CX52</f>
        <v>20</v>
      </c>
      <c r="CY27" s="149">
        <f>IS!CV48-Wireline!CY93-Wless!CY52</f>
        <v>15</v>
      </c>
      <c r="CZ27" s="149">
        <f>IS!CW48-Wireline!CZ93-Wless!CZ52</f>
        <v>23</v>
      </c>
      <c r="DA27" s="149">
        <f>IS!CX48-Wireline!DA93-Wless!DA52</f>
        <v>18</v>
      </c>
      <c r="DB27" s="150">
        <f>IS!CY48-Wireline!DB93-Wless!DB52</f>
        <v>17</v>
      </c>
      <c r="DC27" s="149">
        <f>IS!CZ48-Wireline!DC93-Wless!DC52</f>
        <v>19</v>
      </c>
      <c r="DD27" s="149">
        <f>IS!DA48-Wireline!DD93-Wless!DD52</f>
        <v>20</v>
      </c>
      <c r="DE27" s="149">
        <f>IS!DB48-Wireline!DE93-Wless!DE52</f>
        <v>21</v>
      </c>
      <c r="DF27" s="150">
        <f>IS!DC48-Wireline!DF93-Wless!DF52</f>
        <v>43</v>
      </c>
      <c r="DG27" s="1113">
        <f>IS!DD48-Wireline!DG93-Wless!DG52</f>
        <v>49</v>
      </c>
      <c r="DH27" s="1113">
        <f>IS!DE48-Wireline!DH93-Wless!DH52</f>
        <v>50</v>
      </c>
      <c r="DI27" s="155">
        <f>IS!DF48-Wireline!DI93-Wless!DI52</f>
        <v>50</v>
      </c>
      <c r="DJ27" s="150">
        <f>IS!DG48-Wireline!DJ93-Wless!DJ52</f>
        <v>53</v>
      </c>
      <c r="DK27" s="1113">
        <f>IS!DH48-Wireline!DK93-Wless!DK52</f>
        <v>49</v>
      </c>
      <c r="DL27" s="2150">
        <f>IS!DI48-Wireline!DL93-Wless!DL52</f>
        <v>126</v>
      </c>
      <c r="DM27" s="2477">
        <f>IS!DJ48-Wireline!DM93-Wless!DM52</f>
        <v>131</v>
      </c>
      <c r="DN27" s="2150">
        <f>IS!DK48-Wireline!DN93-Wless!DN52</f>
        <v>136</v>
      </c>
      <c r="DO27" s="2150">
        <f>IS!DL48-Wireline!DO93-Wless!DO52</f>
        <v>138</v>
      </c>
      <c r="DP27" s="2150">
        <f>IS!DM48-Wireline!DP93-Wless!DP52</f>
        <v>157</v>
      </c>
      <c r="DQ27" s="2477">
        <f>IS!DN48-Wireline!DQ93-Wless!DQ52</f>
        <v>201</v>
      </c>
      <c r="DR27" s="2150">
        <f>IS!DO48-Wireline!DR93-Wless!DR52</f>
        <v>229</v>
      </c>
      <c r="DS27" s="2150">
        <f>IS!DP48-Wireline!DS93-Wless!DS52</f>
        <v>268</v>
      </c>
      <c r="DT27" s="2150">
        <f>IS!DQ48-Wireline!DT93-Wless!DT52</f>
        <v>357</v>
      </c>
      <c r="DU27" s="2150">
        <f>IS!DR48-Wireline!DU93-Wless!DU52</f>
        <v>580</v>
      </c>
      <c r="DV27" s="2150">
        <f>IS!DS48-Wireline!DV93-Wless!DV52</f>
        <v>362</v>
      </c>
      <c r="DW27" s="3270">
        <f t="shared" ref="DW27" si="69">+DV27</f>
        <v>362</v>
      </c>
      <c r="DX27" s="3270">
        <f t="shared" ref="DX27" si="70">+DW27</f>
        <v>362</v>
      </c>
      <c r="DY27" s="2999">
        <f t="shared" ref="DY27" si="71">+DX27</f>
        <v>362</v>
      </c>
    </row>
    <row r="28" spans="1:130">
      <c r="A28" s="748" t="s">
        <v>952</v>
      </c>
      <c r="B28" s="295"/>
      <c r="C28" s="295"/>
      <c r="D28" s="295"/>
      <c r="E28" s="295"/>
      <c r="F28" s="295"/>
      <c r="G28" s="295"/>
      <c r="H28" s="295"/>
      <c r="I28" s="295"/>
      <c r="J28" s="295"/>
      <c r="K28" s="295"/>
      <c r="L28" s="295"/>
      <c r="M28" s="295"/>
      <c r="N28" s="295"/>
      <c r="O28" s="295"/>
      <c r="P28" s="295">
        <f>P27/O27-1</f>
        <v>-28.730162562198949</v>
      </c>
      <c r="Q28" s="1130">
        <f>Q27/P27-1</f>
        <v>-1.0601030254665229</v>
      </c>
      <c r="R28" s="295">
        <f>R27/Q27-1</f>
        <v>0</v>
      </c>
      <c r="S28" s="295"/>
      <c r="T28" s="1130"/>
      <c r="U28" s="295"/>
      <c r="V28" s="295"/>
      <c r="W28" s="295"/>
      <c r="X28" s="295"/>
      <c r="Y28" s="295"/>
      <c r="Z28" s="295"/>
      <c r="AA28" s="295"/>
      <c r="AB28" s="295"/>
      <c r="AC28" s="295"/>
      <c r="AD28" s="295"/>
      <c r="AE28" s="295"/>
      <c r="AF28" s="295"/>
      <c r="AG28" s="295"/>
      <c r="AH28" s="3004"/>
      <c r="AI28" s="295"/>
      <c r="AJ28" s="295"/>
      <c r="AK28" s="295"/>
      <c r="AL28" s="295"/>
      <c r="AM28" s="295"/>
      <c r="AN28" s="295"/>
      <c r="AO28" s="295"/>
      <c r="AP28" s="295"/>
      <c r="AQ28" s="295"/>
      <c r="AR28" s="295"/>
      <c r="AS28" s="295"/>
      <c r="AT28" s="295"/>
      <c r="AU28" s="295"/>
      <c r="AV28" s="295"/>
      <c r="AW28" s="295"/>
      <c r="AX28" s="298"/>
      <c r="AY28" s="295"/>
      <c r="AZ28" s="295"/>
      <c r="BA28" s="295"/>
      <c r="BB28" s="298"/>
      <c r="BC28" s="295"/>
      <c r="BD28" s="295"/>
      <c r="BE28" s="295"/>
      <c r="BF28" s="298"/>
      <c r="BG28" s="295"/>
      <c r="BH28" s="295"/>
      <c r="BI28" s="295"/>
      <c r="BJ28" s="298"/>
      <c r="BK28" s="295"/>
      <c r="BL28" s="295"/>
      <c r="BM28" s="295"/>
      <c r="BN28" s="298"/>
      <c r="BO28" s="295"/>
      <c r="BP28" s="295"/>
      <c r="BQ28" s="295"/>
      <c r="BR28" s="298"/>
      <c r="BS28" s="295"/>
      <c r="BT28" s="295"/>
      <c r="BU28" s="295"/>
      <c r="BV28" s="298"/>
      <c r="BW28" s="295"/>
      <c r="BX28" s="295"/>
      <c r="BY28" s="295"/>
      <c r="BZ28" s="298"/>
      <c r="CA28" s="295"/>
      <c r="CB28" s="295"/>
      <c r="CC28" s="295"/>
      <c r="CD28" s="298">
        <f t="shared" ref="CD28:CU28" si="72">CD27/BZ27-1</f>
        <v>-1.9090909090909092</v>
      </c>
      <c r="CE28" s="295">
        <f t="shared" si="72"/>
        <v>-1.8333333333333335</v>
      </c>
      <c r="CF28" s="295">
        <f t="shared" si="72"/>
        <v>-1.8461538461538463</v>
      </c>
      <c r="CG28" s="295">
        <f t="shared" si="72"/>
        <v>-0.27272727272727271</v>
      </c>
      <c r="CH28" s="298">
        <f t="shared" si="72"/>
        <v>-28.804964539007141</v>
      </c>
      <c r="CI28" s="295">
        <f t="shared" si="72"/>
        <v>-27.768540344514939</v>
      </c>
      <c r="CJ28" s="295">
        <f t="shared" si="72"/>
        <v>-25.855833539757235</v>
      </c>
      <c r="CK28" s="295">
        <f t="shared" si="72"/>
        <v>-33.790890269151078</v>
      </c>
      <c r="CL28" s="298">
        <f t="shared" si="72"/>
        <v>-1.0683331207754112</v>
      </c>
      <c r="CM28" s="295">
        <f t="shared" si="72"/>
        <v>-1.0523001994872265</v>
      </c>
      <c r="CN28" s="295">
        <f t="shared" si="72"/>
        <v>-1.0585192788734641</v>
      </c>
      <c r="CO28" s="295">
        <f t="shared" si="72"/>
        <v>-1.0609925495643391</v>
      </c>
      <c r="CP28" s="298">
        <f t="shared" si="72"/>
        <v>-0.26315789473684215</v>
      </c>
      <c r="CQ28" s="295">
        <f t="shared" si="72"/>
        <v>0.21428571428571419</v>
      </c>
      <c r="CR28" s="295">
        <f t="shared" si="72"/>
        <v>6.25E-2</v>
      </c>
      <c r="CS28" s="295">
        <f t="shared" si="72"/>
        <v>6.25E-2</v>
      </c>
      <c r="CT28" s="298">
        <f t="shared" si="72"/>
        <v>0.28571428571428581</v>
      </c>
      <c r="CU28" s="295">
        <f t="shared" si="72"/>
        <v>5.8823529411764719E-2</v>
      </c>
      <c r="CV28" s="295"/>
      <c r="CW28" s="299"/>
      <c r="CX28" s="295"/>
      <c r="CY28" s="295"/>
      <c r="CZ28" s="295"/>
      <c r="DA28" s="295"/>
      <c r="DB28" s="298"/>
      <c r="DC28" s="295"/>
      <c r="DD28" s="295"/>
      <c r="DE28" s="295"/>
      <c r="DF28" s="298"/>
      <c r="DG28" s="1130"/>
      <c r="DH28" s="1130"/>
      <c r="DI28" s="299"/>
      <c r="DJ28" s="298"/>
      <c r="DK28" s="1130"/>
      <c r="DL28" s="1130"/>
      <c r="DM28" s="299"/>
      <c r="DN28" s="1130"/>
      <c r="DO28" s="1130"/>
      <c r="DP28" s="1130"/>
      <c r="DQ28" s="299"/>
      <c r="DR28" s="1130"/>
      <c r="DS28" s="1130"/>
      <c r="DT28" s="1130"/>
      <c r="DU28" s="1130"/>
      <c r="DV28" s="1130"/>
      <c r="DW28" s="1130">
        <f t="shared" ref="DW28" si="73">DW27/DS27-1</f>
        <v>0.35074626865671643</v>
      </c>
      <c r="DX28" s="1130">
        <f t="shared" ref="DX28" si="74">DX27/DT27-1</f>
        <v>1.4005602240896309E-2</v>
      </c>
      <c r="DY28" s="299">
        <f t="shared" ref="DY28" si="75">DY27/DU27-1</f>
        <v>-0.37586206896551722</v>
      </c>
    </row>
    <row r="29" spans="1:130">
      <c r="A29" s="749"/>
      <c r="B29" s="105"/>
      <c r="C29" s="105"/>
      <c r="D29" s="105"/>
      <c r="E29" s="105"/>
      <c r="F29" s="105"/>
      <c r="G29" s="105"/>
      <c r="H29" s="105"/>
      <c r="I29" s="105"/>
      <c r="J29" s="105"/>
      <c r="K29" s="105"/>
      <c r="L29" s="105"/>
      <c r="M29" s="105"/>
      <c r="N29" s="105"/>
      <c r="O29" s="105"/>
      <c r="P29" s="105"/>
      <c r="Q29" s="1132"/>
      <c r="R29" s="105"/>
      <c r="S29" s="105"/>
      <c r="T29" s="1132"/>
      <c r="U29" s="105"/>
      <c r="V29" s="105"/>
      <c r="W29" s="105"/>
      <c r="X29" s="105"/>
      <c r="Y29" s="105"/>
      <c r="Z29" s="105"/>
      <c r="AA29" s="105"/>
      <c r="AB29" s="105"/>
      <c r="AC29" s="105"/>
      <c r="AD29" s="105"/>
      <c r="AE29" s="105"/>
      <c r="AF29" s="105"/>
      <c r="AG29" s="105"/>
      <c r="AH29" s="3007"/>
      <c r="AI29" s="105"/>
      <c r="AJ29" s="105"/>
      <c r="AK29" s="105"/>
      <c r="AL29" s="105"/>
      <c r="AM29" s="105"/>
      <c r="AN29" s="105"/>
      <c r="AO29" s="105"/>
      <c r="AP29" s="105"/>
      <c r="AQ29" s="105"/>
      <c r="AR29" s="105"/>
      <c r="AS29" s="105"/>
      <c r="AT29" s="105"/>
      <c r="AU29" s="105"/>
      <c r="AV29" s="105"/>
      <c r="AW29" s="105"/>
      <c r="AX29" s="306"/>
      <c r="AY29" s="105"/>
      <c r="AZ29" s="105"/>
      <c r="BA29" s="105"/>
      <c r="BB29" s="306"/>
      <c r="BC29" s="105"/>
      <c r="BD29" s="105"/>
      <c r="BE29" s="105"/>
      <c r="BF29" s="306"/>
      <c r="BG29" s="105"/>
      <c r="BH29" s="105"/>
      <c r="BI29" s="105"/>
      <c r="BJ29" s="306"/>
      <c r="BK29" s="105"/>
      <c r="BL29" s="105"/>
      <c r="BM29" s="105"/>
      <c r="BN29" s="306"/>
      <c r="BO29" s="105"/>
      <c r="BP29" s="105"/>
      <c r="BQ29" s="105"/>
      <c r="BR29" s="306"/>
      <c r="BS29" s="105"/>
      <c r="BT29" s="105"/>
      <c r="BU29" s="105"/>
      <c r="BV29" s="306"/>
      <c r="BW29" s="105"/>
      <c r="BX29" s="105"/>
      <c r="BY29" s="105"/>
      <c r="BZ29" s="306"/>
      <c r="CA29" s="105"/>
      <c r="CB29" s="105"/>
      <c r="CC29" s="105"/>
      <c r="CD29" s="306"/>
      <c r="CE29" s="105"/>
      <c r="CF29" s="105"/>
      <c r="CG29" s="105"/>
      <c r="CH29" s="306"/>
      <c r="CI29" s="105"/>
      <c r="CJ29" s="105"/>
      <c r="CK29" s="105"/>
      <c r="CL29" s="306"/>
      <c r="CM29" s="105"/>
      <c r="CN29" s="105"/>
      <c r="CO29" s="105"/>
      <c r="CP29" s="306"/>
      <c r="CQ29" s="105"/>
      <c r="CR29" s="105"/>
      <c r="CS29" s="105"/>
      <c r="CT29" s="306"/>
      <c r="CU29" s="105"/>
      <c r="CV29" s="105"/>
      <c r="CW29" s="307"/>
      <c r="CX29" s="105"/>
      <c r="CY29" s="105"/>
      <c r="CZ29" s="105"/>
      <c r="DA29" s="105"/>
      <c r="DB29" s="306"/>
      <c r="DC29" s="105"/>
      <c r="DD29" s="105"/>
      <c r="DE29" s="105"/>
      <c r="DF29" s="306"/>
      <c r="DG29" s="1132"/>
      <c r="DH29" s="1132"/>
      <c r="DI29" s="307"/>
      <c r="DJ29" s="306"/>
      <c r="DK29" s="1132"/>
      <c r="DL29" s="1132"/>
      <c r="DM29" s="307"/>
      <c r="DN29" s="1132"/>
      <c r="DO29" s="1132"/>
      <c r="DP29" s="1132"/>
      <c r="DQ29" s="307"/>
      <c r="DR29" s="1132"/>
      <c r="DS29" s="1132"/>
      <c r="DT29" s="1132"/>
      <c r="DU29" s="1132"/>
      <c r="DV29" s="1132"/>
      <c r="DW29" s="1132"/>
      <c r="DX29" s="1132"/>
      <c r="DY29" s="307"/>
    </row>
    <row r="30" spans="1:130">
      <c r="A30" s="151" t="s">
        <v>968</v>
      </c>
      <c r="B30" s="91"/>
      <c r="C30" s="91"/>
      <c r="D30" s="149"/>
      <c r="E30" s="149"/>
      <c r="F30" s="149"/>
      <c r="G30" s="149"/>
      <c r="H30" s="149"/>
      <c r="I30" s="149"/>
      <c r="J30" s="149"/>
      <c r="K30" s="149"/>
      <c r="L30" s="149"/>
      <c r="M30" s="149"/>
      <c r="N30" s="149"/>
      <c r="O30" s="149">
        <f>O24+O27</f>
        <v>-892</v>
      </c>
      <c r="P30" s="149">
        <f>P24+P27</f>
        <v>-6744.476339925759</v>
      </c>
      <c r="Q30" s="1113">
        <f>SUM(CL30:CO30)</f>
        <v>1341</v>
      </c>
      <c r="R30" s="149">
        <f>SUM(CP30:CS30)</f>
        <v>798</v>
      </c>
      <c r="S30" s="149">
        <f>SUM(CT30:CW30)</f>
        <v>571</v>
      </c>
      <c r="T30" s="1113">
        <f t="shared" ref="T30:V30" si="76">T24+T27</f>
        <v>1020</v>
      </c>
      <c r="U30" s="149">
        <f t="shared" si="76"/>
        <v>1216</v>
      </c>
      <c r="V30" s="149">
        <f t="shared" si="76"/>
        <v>1822</v>
      </c>
      <c r="W30" s="149">
        <f t="shared" ref="W30:AB30" si="77">W24+W27</f>
        <v>3818</v>
      </c>
      <c r="X30" s="149">
        <f t="shared" si="77"/>
        <v>5798</v>
      </c>
      <c r="Y30" s="149">
        <f t="shared" si="77"/>
        <v>7558</v>
      </c>
      <c r="Z30" s="149">
        <f t="shared" si="77"/>
        <v>10759.1405</v>
      </c>
      <c r="AA30" s="149">
        <f t="shared" ca="1" si="77"/>
        <v>9759.1130896337636</v>
      </c>
      <c r="AB30" s="149">
        <f t="shared" ca="1" si="77"/>
        <v>9922.3632867611486</v>
      </c>
      <c r="AC30" s="149">
        <f t="shared" ref="AC30:AG30" ca="1" si="78">AC24+AC27</f>
        <v>10089.299999895617</v>
      </c>
      <c r="AD30" s="149">
        <f t="shared" ca="1" si="78"/>
        <v>10260.025028127826</v>
      </c>
      <c r="AE30" s="149">
        <f t="shared" ca="1" si="78"/>
        <v>10434.637720429113</v>
      </c>
      <c r="AF30" s="149">
        <f t="shared" ca="1" si="78"/>
        <v>10613.243253275697</v>
      </c>
      <c r="AG30" s="149">
        <f t="shared" ca="1" si="78"/>
        <v>10799.39030056198</v>
      </c>
      <c r="AH30" s="973"/>
      <c r="AI30" s="149"/>
      <c r="AJ30" s="149"/>
      <c r="AK30" s="149"/>
      <c r="AL30" s="149"/>
      <c r="AM30" s="149"/>
      <c r="AN30" s="149"/>
      <c r="AO30" s="149"/>
      <c r="AP30" s="149"/>
      <c r="AQ30" s="149"/>
      <c r="AR30" s="149"/>
      <c r="AS30" s="149"/>
      <c r="AT30" s="149"/>
      <c r="AU30" s="149"/>
      <c r="AV30" s="149"/>
      <c r="AW30" s="149"/>
      <c r="AX30" s="150"/>
      <c r="AY30" s="149"/>
      <c r="AZ30" s="149"/>
      <c r="BA30" s="149"/>
      <c r="BB30" s="150"/>
      <c r="BC30" s="149"/>
      <c r="BD30" s="149"/>
      <c r="BE30" s="149"/>
      <c r="BF30" s="150"/>
      <c r="BG30" s="149"/>
      <c r="BH30" s="149"/>
      <c r="BI30" s="149"/>
      <c r="BJ30" s="150"/>
      <c r="BK30" s="149"/>
      <c r="BL30" s="149"/>
      <c r="BM30" s="149"/>
      <c r="BN30" s="150"/>
      <c r="BO30" s="149"/>
      <c r="BP30" s="149"/>
      <c r="BQ30" s="149"/>
      <c r="BR30" s="150"/>
      <c r="BS30" s="149"/>
      <c r="BT30" s="149"/>
      <c r="BU30" s="149"/>
      <c r="BV30" s="150"/>
      <c r="BW30" s="149"/>
      <c r="BX30" s="149"/>
      <c r="BY30" s="149"/>
      <c r="BZ30" s="150"/>
      <c r="CA30" s="149">
        <f t="shared" ref="CA30:DE30" si="79">CA24+CA27</f>
        <v>-609</v>
      </c>
      <c r="CB30" s="149">
        <f t="shared" si="79"/>
        <v>-555</v>
      </c>
      <c r="CC30" s="149">
        <f t="shared" si="79"/>
        <v>-203</v>
      </c>
      <c r="CD30" s="150">
        <f t="shared" si="79"/>
        <v>-220</v>
      </c>
      <c r="CE30" s="149">
        <f t="shared" si="79"/>
        <v>-207</v>
      </c>
      <c r="CF30" s="149">
        <f t="shared" si="79"/>
        <v>-242</v>
      </c>
      <c r="CG30" s="149">
        <f t="shared" si="79"/>
        <v>-223</v>
      </c>
      <c r="CH30" s="150">
        <f t="shared" si="79"/>
        <v>-1728.0496453900714</v>
      </c>
      <c r="CI30" s="149">
        <f t="shared" si="79"/>
        <v>-1640.6854034451494</v>
      </c>
      <c r="CJ30" s="149">
        <f t="shared" si="79"/>
        <v>-1640.4141689373296</v>
      </c>
      <c r="CK30" s="149">
        <f t="shared" si="79"/>
        <v>-1735.3271221532086</v>
      </c>
      <c r="CL30" s="150">
        <f t="shared" si="79"/>
        <v>355.75</v>
      </c>
      <c r="CM30" s="149">
        <f t="shared" si="79"/>
        <v>327.75</v>
      </c>
      <c r="CN30" s="149">
        <f t="shared" si="79"/>
        <v>316.75</v>
      </c>
      <c r="CO30" s="149">
        <f t="shared" si="79"/>
        <v>340.75</v>
      </c>
      <c r="CP30" s="150">
        <f t="shared" si="79"/>
        <v>126</v>
      </c>
      <c r="CQ30" s="149">
        <f t="shared" si="79"/>
        <v>212</v>
      </c>
      <c r="CR30" s="149">
        <f t="shared" si="79"/>
        <v>192</v>
      </c>
      <c r="CS30" s="149">
        <f t="shared" si="79"/>
        <v>268</v>
      </c>
      <c r="CT30" s="150">
        <f t="shared" si="79"/>
        <v>148</v>
      </c>
      <c r="CU30" s="149">
        <f t="shared" si="79"/>
        <v>114</v>
      </c>
      <c r="CV30" s="149">
        <f t="shared" si="79"/>
        <v>264</v>
      </c>
      <c r="CW30" s="155">
        <f t="shared" si="79"/>
        <v>45</v>
      </c>
      <c r="CX30" s="149">
        <f t="shared" si="79"/>
        <v>203</v>
      </c>
      <c r="CY30" s="149">
        <f t="shared" si="79"/>
        <v>294</v>
      </c>
      <c r="CZ30" s="149">
        <f t="shared" si="79"/>
        <v>290</v>
      </c>
      <c r="DA30" s="149">
        <f t="shared" si="79"/>
        <v>233</v>
      </c>
      <c r="DB30" s="150">
        <f t="shared" si="79"/>
        <v>276</v>
      </c>
      <c r="DC30" s="149">
        <f t="shared" si="79"/>
        <v>296</v>
      </c>
      <c r="DD30" s="149">
        <f t="shared" si="79"/>
        <v>257</v>
      </c>
      <c r="DE30" s="149">
        <f t="shared" si="79"/>
        <v>387</v>
      </c>
      <c r="DF30" s="150">
        <f>DF24+DF27</f>
        <v>454</v>
      </c>
      <c r="DG30" s="1113">
        <f>DG24+DG27</f>
        <v>507</v>
      </c>
      <c r="DH30" s="1113">
        <f>DH24+DH27</f>
        <v>465</v>
      </c>
      <c r="DI30" s="155">
        <f>DI24+DI27</f>
        <v>396</v>
      </c>
      <c r="DJ30" s="150">
        <f t="shared" ref="DJ30:DM30" si="80">DJ24+DJ27</f>
        <v>442</v>
      </c>
      <c r="DK30" s="1113">
        <f t="shared" si="80"/>
        <v>567</v>
      </c>
      <c r="DL30" s="1113">
        <f t="shared" si="80"/>
        <v>1166</v>
      </c>
      <c r="DM30" s="155">
        <f t="shared" si="80"/>
        <v>1643</v>
      </c>
      <c r="DN30" s="1113">
        <f t="shared" ref="DN30:DO30" si="81">DN24+DN27</f>
        <v>1381</v>
      </c>
      <c r="DO30" s="1113">
        <f t="shared" si="81"/>
        <v>1462</v>
      </c>
      <c r="DP30" s="1113">
        <f t="shared" ref="DP30:DQ30" si="82">DP24+DP27</f>
        <v>1515</v>
      </c>
      <c r="DQ30" s="155">
        <f t="shared" si="82"/>
        <v>1440</v>
      </c>
      <c r="DR30" s="1113">
        <f t="shared" ref="DR30:DS30" si="83">DR24+DR27</f>
        <v>1122</v>
      </c>
      <c r="DS30" s="1113">
        <f t="shared" si="83"/>
        <v>1725</v>
      </c>
      <c r="DT30" s="1113">
        <f t="shared" ref="DT30:DU30" si="84">DT24+DT27</f>
        <v>2315</v>
      </c>
      <c r="DU30" s="1113">
        <f t="shared" si="84"/>
        <v>2396</v>
      </c>
      <c r="DV30" s="1113">
        <f t="shared" ref="DV30" si="85">DV24+DV27</f>
        <v>2728</v>
      </c>
      <c r="DW30" s="1113">
        <f t="shared" ref="DW30:DY30" si="86">DW24+DW27</f>
        <v>2503.375</v>
      </c>
      <c r="DX30" s="1113">
        <f t="shared" si="86"/>
        <v>2720.0562499999996</v>
      </c>
      <c r="DY30" s="155">
        <f t="shared" si="86"/>
        <v>2807.7092499999999</v>
      </c>
    </row>
    <row r="31" spans="1:130">
      <c r="A31" s="748"/>
      <c r="B31" s="295"/>
      <c r="C31" s="295"/>
      <c r="D31" s="295"/>
      <c r="E31" s="295"/>
      <c r="F31" s="295"/>
      <c r="G31" s="295"/>
      <c r="H31" s="295"/>
      <c r="I31" s="295"/>
      <c r="J31" s="295"/>
      <c r="K31" s="295"/>
      <c r="L31" s="295"/>
      <c r="M31" s="295"/>
      <c r="N31" s="295"/>
      <c r="O31" s="295"/>
      <c r="P31" s="295">
        <f t="shared" ref="P31:AB31" si="87">P30/O30-1</f>
        <v>6.5610721299616133</v>
      </c>
      <c r="Q31" s="1130">
        <f t="shared" si="87"/>
        <v>-1.1988293727211388</v>
      </c>
      <c r="R31" s="295">
        <f t="shared" si="87"/>
        <v>-0.40492170022371365</v>
      </c>
      <c r="S31" s="295">
        <f t="shared" si="87"/>
        <v>-0.28446115288220553</v>
      </c>
      <c r="T31" s="1130">
        <f t="shared" si="87"/>
        <v>0.78633975481611218</v>
      </c>
      <c r="U31" s="295">
        <f t="shared" si="87"/>
        <v>0.19215686274509802</v>
      </c>
      <c r="V31" s="295">
        <f t="shared" si="87"/>
        <v>0.49835526315789469</v>
      </c>
      <c r="W31" s="295">
        <f>W30/V30-1</f>
        <v>1.0954994511525795</v>
      </c>
      <c r="X31" s="295">
        <f>X30/W30-1</f>
        <v>0.51859612362493457</v>
      </c>
      <c r="Y31" s="295">
        <f>Y30/X30-1</f>
        <v>0.3035529492928597</v>
      </c>
      <c r="Z31" s="295">
        <f>Z30/Y30-1</f>
        <v>0.4235433315691981</v>
      </c>
      <c r="AA31" s="295">
        <f t="shared" ca="1" si="87"/>
        <v>-9.2946774918148511E-2</v>
      </c>
      <c r="AB31" s="295">
        <f t="shared" ca="1" si="87"/>
        <v>1.6727974727620554E-2</v>
      </c>
      <c r="AC31" s="295">
        <f t="shared" ref="AC31" ca="1" si="88">AC30/AB30-1</f>
        <v>1.6824289567909823E-2</v>
      </c>
      <c r="AD31" s="295">
        <f t="shared" ref="AD31" ca="1" si="89">AD30/AC30-1</f>
        <v>1.6921394768118159E-2</v>
      </c>
      <c r="AE31" s="295">
        <f t="shared" ref="AE31" ca="1" si="90">AE30/AD30-1</f>
        <v>1.7018739410731065E-2</v>
      </c>
      <c r="AF31" s="295">
        <f t="shared" ref="AF31" ca="1" si="91">AF30/AE30-1</f>
        <v>1.711660123062142E-2</v>
      </c>
      <c r="AG31" s="295">
        <f t="shared" ref="AG31" ca="1" si="92">AG30/AF30-1</f>
        <v>1.7539129448373769E-2</v>
      </c>
      <c r="AH31" s="3004"/>
      <c r="AI31" s="295"/>
      <c r="AJ31" s="295"/>
      <c r="AK31" s="295"/>
      <c r="AL31" s="295"/>
      <c r="AM31" s="295"/>
      <c r="AN31" s="295"/>
      <c r="AO31" s="295"/>
      <c r="AP31" s="295"/>
      <c r="AQ31" s="295"/>
      <c r="AR31" s="295"/>
      <c r="AS31" s="295"/>
      <c r="AT31" s="295"/>
      <c r="AU31" s="295"/>
      <c r="AV31" s="295"/>
      <c r="AW31" s="295"/>
      <c r="AX31" s="298"/>
      <c r="AY31" s="295"/>
      <c r="AZ31" s="295"/>
      <c r="BA31" s="295"/>
      <c r="BB31" s="298"/>
      <c r="BC31" s="295"/>
      <c r="BD31" s="295"/>
      <c r="BE31" s="295"/>
      <c r="BF31" s="298"/>
      <c r="BG31" s="295"/>
      <c r="BH31" s="295"/>
      <c r="BI31" s="295"/>
      <c r="BJ31" s="298"/>
      <c r="BK31" s="295"/>
      <c r="BL31" s="295"/>
      <c r="BM31" s="295"/>
      <c r="BN31" s="298"/>
      <c r="BO31" s="295"/>
      <c r="BP31" s="295"/>
      <c r="BQ31" s="295"/>
      <c r="BR31" s="298"/>
      <c r="BS31" s="295"/>
      <c r="BT31" s="295"/>
      <c r="BU31" s="295"/>
      <c r="BV31" s="298"/>
      <c r="BW31" s="295"/>
      <c r="BX31" s="295"/>
      <c r="BY31" s="295"/>
      <c r="BZ31" s="298"/>
      <c r="CA31" s="295"/>
      <c r="CB31" s="295"/>
      <c r="CC31" s="295"/>
      <c r="CD31" s="298"/>
      <c r="CE31" s="295"/>
      <c r="CF31" s="295"/>
      <c r="CG31" s="295"/>
      <c r="CH31" s="298"/>
      <c r="CI31" s="295"/>
      <c r="CJ31" s="295"/>
      <c r="CK31" s="295"/>
      <c r="CL31" s="298"/>
      <c r="CM31" s="295"/>
      <c r="CN31" s="295"/>
      <c r="CO31" s="295"/>
      <c r="CP31" s="298"/>
      <c r="CQ31" s="295"/>
      <c r="CR31" s="295"/>
      <c r="CS31" s="295"/>
      <c r="CT31" s="298"/>
      <c r="CU31" s="295"/>
      <c r="CV31" s="295"/>
      <c r="CW31" s="299"/>
      <c r="CX31" s="295"/>
      <c r="CY31" s="295"/>
      <c r="CZ31" s="295"/>
      <c r="DA31" s="295"/>
      <c r="DB31" s="298"/>
      <c r="DC31" s="295"/>
      <c r="DD31" s="295"/>
      <c r="DE31" s="295"/>
      <c r="DF31" s="298"/>
      <c r="DG31" s="1130"/>
      <c r="DH31" s="1130"/>
      <c r="DI31" s="299"/>
      <c r="DJ31" s="298"/>
      <c r="DK31" s="1130"/>
      <c r="DL31" s="1130"/>
      <c r="DM31" s="299"/>
      <c r="DN31" s="1130"/>
      <c r="DO31" s="1130"/>
      <c r="DP31" s="1130"/>
      <c r="DQ31" s="299"/>
      <c r="DR31" s="1130"/>
      <c r="DS31" s="1130"/>
      <c r="DT31" s="1130"/>
      <c r="DU31" s="1130"/>
      <c r="DV31" s="1130"/>
      <c r="DW31" s="1130"/>
      <c r="DX31" s="1130"/>
      <c r="DY31" s="299"/>
    </row>
    <row r="32" spans="1:130">
      <c r="A32" s="88"/>
      <c r="B32" s="87"/>
      <c r="C32" s="87"/>
      <c r="D32" s="143"/>
      <c r="E32" s="256"/>
      <c r="F32" s="143"/>
      <c r="G32" s="143"/>
      <c r="H32" s="143"/>
      <c r="I32" s="143"/>
      <c r="J32" s="143"/>
      <c r="K32" s="143"/>
      <c r="L32" s="143"/>
      <c r="M32" s="143"/>
      <c r="N32" s="143"/>
      <c r="O32" s="143"/>
      <c r="P32" s="143"/>
      <c r="Q32" s="1047"/>
      <c r="R32" s="143"/>
      <c r="S32" s="143"/>
      <c r="T32" s="1047"/>
      <c r="U32" s="143"/>
      <c r="V32" s="143"/>
      <c r="W32" s="143"/>
      <c r="X32" s="143"/>
      <c r="Y32" s="143"/>
      <c r="Z32" s="143"/>
      <c r="AA32" s="143"/>
      <c r="AB32" s="143"/>
      <c r="AC32" s="143"/>
      <c r="AD32" s="143"/>
      <c r="AE32" s="143"/>
      <c r="AF32" s="143"/>
      <c r="AG32" s="143"/>
      <c r="AH32" s="3006"/>
      <c r="AI32" s="143"/>
      <c r="AJ32" s="143"/>
      <c r="AK32" s="143"/>
      <c r="AL32" s="143"/>
      <c r="AM32" s="143"/>
      <c r="AN32" s="143"/>
      <c r="AO32" s="143"/>
      <c r="AP32" s="143"/>
      <c r="AQ32" s="143"/>
      <c r="AR32" s="143"/>
      <c r="AS32" s="143"/>
      <c r="AT32" s="143"/>
      <c r="AU32" s="143"/>
      <c r="AV32" s="143"/>
      <c r="AW32" s="143"/>
      <c r="AX32" s="159"/>
      <c r="AY32" s="143"/>
      <c r="AZ32" s="143"/>
      <c r="BA32" s="143"/>
      <c r="BB32" s="159"/>
      <c r="BC32" s="143"/>
      <c r="BD32" s="143"/>
      <c r="BE32" s="143"/>
      <c r="BF32" s="159"/>
      <c r="BG32" s="143"/>
      <c r="BH32" s="143"/>
      <c r="BI32" s="143"/>
      <c r="BJ32" s="159"/>
      <c r="BK32" s="143"/>
      <c r="BL32" s="143"/>
      <c r="BM32" s="143"/>
      <c r="BN32" s="159"/>
      <c r="BO32" s="143"/>
      <c r="BP32" s="143"/>
      <c r="BQ32" s="143"/>
      <c r="BR32" s="159"/>
      <c r="BS32" s="143"/>
      <c r="BT32" s="143"/>
      <c r="BU32" s="143"/>
      <c r="BV32" s="159"/>
      <c r="BW32" s="143"/>
      <c r="BX32" s="143"/>
      <c r="BY32" s="143"/>
      <c r="BZ32" s="159"/>
      <c r="CA32" s="143"/>
      <c r="CB32" s="143"/>
      <c r="CC32" s="143"/>
      <c r="CD32" s="159"/>
      <c r="CE32" s="143"/>
      <c r="CF32" s="143"/>
      <c r="CG32" s="143"/>
      <c r="CH32" s="159"/>
      <c r="CI32" s="143"/>
      <c r="CJ32" s="143"/>
      <c r="CK32" s="143"/>
      <c r="CL32" s="159"/>
      <c r="CM32" s="143"/>
      <c r="CN32" s="143"/>
      <c r="CO32" s="143"/>
      <c r="CP32" s="159"/>
      <c r="CQ32" s="143"/>
      <c r="CR32" s="143"/>
      <c r="CS32" s="143"/>
      <c r="CT32" s="159"/>
      <c r="CU32" s="143"/>
      <c r="CV32" s="143"/>
      <c r="CW32" s="189"/>
      <c r="CX32" s="143"/>
      <c r="CY32" s="143"/>
      <c r="CZ32" s="143"/>
      <c r="DA32" s="143"/>
      <c r="DB32" s="159"/>
      <c r="DC32" s="143"/>
      <c r="DD32" s="143"/>
      <c r="DE32" s="143"/>
      <c r="DF32" s="159"/>
      <c r="DG32" s="1047"/>
      <c r="DH32" s="1047"/>
      <c r="DI32" s="189"/>
      <c r="DJ32" s="159"/>
      <c r="DK32" s="1047"/>
      <c r="DL32" s="1047"/>
      <c r="DM32" s="189"/>
      <c r="DN32" s="1047"/>
      <c r="DO32" s="1047"/>
      <c r="DP32" s="1047"/>
      <c r="DQ32" s="189"/>
      <c r="DR32" s="1047"/>
      <c r="DS32" s="1047"/>
      <c r="DT32" s="1047"/>
      <c r="DU32" s="1047"/>
      <c r="DV32" s="1047"/>
      <c r="DW32" s="1047"/>
      <c r="DX32" s="1047"/>
      <c r="DY32" s="189"/>
    </row>
    <row r="33" spans="1:129">
      <c r="A33" s="151" t="s">
        <v>1460</v>
      </c>
      <c r="B33" s="91"/>
      <c r="C33" s="91"/>
      <c r="D33" s="149"/>
      <c r="E33" s="149"/>
      <c r="F33" s="149"/>
      <c r="G33" s="149"/>
      <c r="H33" s="149"/>
      <c r="I33" s="149"/>
      <c r="J33" s="149"/>
      <c r="K33" s="149"/>
      <c r="L33" s="149"/>
      <c r="M33" s="149"/>
      <c r="N33" s="149"/>
      <c r="O33" s="149">
        <f t="shared" ref="O33:V33" si="93">O11-O30</f>
        <v>256</v>
      </c>
      <c r="P33" s="149">
        <f t="shared" si="93"/>
        <v>6294.476339925759</v>
      </c>
      <c r="Q33" s="1113">
        <f t="shared" si="93"/>
        <v>-1606</v>
      </c>
      <c r="R33" s="149">
        <f t="shared" si="93"/>
        <v>-1006</v>
      </c>
      <c r="S33" s="149">
        <f t="shared" si="93"/>
        <v>-532</v>
      </c>
      <c r="T33" s="1113">
        <f t="shared" si="93"/>
        <v>-822</v>
      </c>
      <c r="U33" s="149">
        <f t="shared" si="93"/>
        <v>-912</v>
      </c>
      <c r="V33" s="149">
        <f t="shared" si="93"/>
        <v>-1074</v>
      </c>
      <c r="W33" s="149">
        <f t="shared" ref="W33:AB33" si="94">W11-W30</f>
        <v>-1598</v>
      </c>
      <c r="X33" s="149">
        <f t="shared" si="94"/>
        <v>-1716</v>
      </c>
      <c r="Y33" s="149">
        <f t="shared" si="94"/>
        <v>8</v>
      </c>
      <c r="Z33" s="149">
        <f t="shared" si="94"/>
        <v>-935.8804999999993</v>
      </c>
      <c r="AA33" s="149">
        <f t="shared" ca="1" si="94"/>
        <v>260.61211036623718</v>
      </c>
      <c r="AB33" s="149">
        <f t="shared" ca="1" si="94"/>
        <v>297.75641723885201</v>
      </c>
      <c r="AC33" s="149">
        <f t="shared" ref="AC33:AG33" ca="1" si="95">AC11-AC30</f>
        <v>335.22209818438387</v>
      </c>
      <c r="AD33" s="149">
        <f t="shared" ca="1" si="95"/>
        <v>372.98751191377414</v>
      </c>
      <c r="AE33" s="149">
        <f t="shared" ca="1" si="95"/>
        <v>411.03507041331977</v>
      </c>
      <c r="AF33" s="149">
        <f t="shared" ca="1" si="95"/>
        <v>449.34299338358323</v>
      </c>
      <c r="AG33" s="149">
        <f t="shared" ca="1" si="95"/>
        <v>484.44767103048616</v>
      </c>
      <c r="AH33" s="973"/>
      <c r="AI33" s="149"/>
      <c r="AJ33" s="149"/>
      <c r="AK33" s="149"/>
      <c r="AL33" s="149"/>
      <c r="AM33" s="149"/>
      <c r="AN33" s="149"/>
      <c r="AO33" s="149"/>
      <c r="AP33" s="149"/>
      <c r="AQ33" s="149"/>
      <c r="AR33" s="149"/>
      <c r="AS33" s="149"/>
      <c r="AT33" s="149"/>
      <c r="AU33" s="149"/>
      <c r="AV33" s="149"/>
      <c r="AW33" s="149"/>
      <c r="AX33" s="150"/>
      <c r="AY33" s="149"/>
      <c r="AZ33" s="149"/>
      <c r="BA33" s="149"/>
      <c r="BB33" s="150"/>
      <c r="BC33" s="149"/>
      <c r="BD33" s="149"/>
      <c r="BE33" s="149"/>
      <c r="BF33" s="150"/>
      <c r="BG33" s="149"/>
      <c r="BH33" s="149"/>
      <c r="BI33" s="149"/>
      <c r="BJ33" s="150"/>
      <c r="BK33" s="149"/>
      <c r="BL33" s="149"/>
      <c r="BM33" s="149"/>
      <c r="BN33" s="150"/>
      <c r="BO33" s="149"/>
      <c r="BP33" s="149"/>
      <c r="BQ33" s="149"/>
      <c r="BR33" s="150"/>
      <c r="BS33" s="149"/>
      <c r="BT33" s="149"/>
      <c r="BU33" s="149"/>
      <c r="BV33" s="150"/>
      <c r="BW33" s="149"/>
      <c r="BX33" s="149"/>
      <c r="BY33" s="149"/>
      <c r="BZ33" s="150">
        <f t="shared" ref="BZ33:DE33" si="96">BZ11-BZ30</f>
        <v>356.90213215430595</v>
      </c>
      <c r="CA33" s="149">
        <f t="shared" si="96"/>
        <v>473</v>
      </c>
      <c r="CB33" s="149">
        <f t="shared" si="96"/>
        <v>365</v>
      </c>
      <c r="CC33" s="149">
        <f t="shared" si="96"/>
        <v>-5</v>
      </c>
      <c r="CD33" s="150">
        <f t="shared" si="96"/>
        <v>46</v>
      </c>
      <c r="CE33" s="149">
        <f t="shared" si="96"/>
        <v>34</v>
      </c>
      <c r="CF33" s="149">
        <f t="shared" si="96"/>
        <v>74</v>
      </c>
      <c r="CG33" s="149">
        <f t="shared" si="96"/>
        <v>102</v>
      </c>
      <c r="CH33" s="150">
        <f t="shared" si="96"/>
        <v>1608.0496453900714</v>
      </c>
      <c r="CI33" s="149">
        <f t="shared" si="96"/>
        <v>1533.6854034451494</v>
      </c>
      <c r="CJ33" s="149">
        <f t="shared" si="96"/>
        <v>1535.4141689373296</v>
      </c>
      <c r="CK33" s="149">
        <f t="shared" si="96"/>
        <v>1617.3271221532086</v>
      </c>
      <c r="CL33" s="150">
        <f t="shared" si="96"/>
        <v>-422.75</v>
      </c>
      <c r="CM33" s="149">
        <f t="shared" si="96"/>
        <v>-408.75</v>
      </c>
      <c r="CN33" s="149">
        <f t="shared" si="96"/>
        <v>-380.75</v>
      </c>
      <c r="CO33" s="149">
        <f t="shared" si="96"/>
        <v>-393.75</v>
      </c>
      <c r="CP33" s="150">
        <f t="shared" si="96"/>
        <v>-178</v>
      </c>
      <c r="CQ33" s="149">
        <f t="shared" si="96"/>
        <v>-274</v>
      </c>
      <c r="CR33" s="149">
        <f t="shared" si="96"/>
        <v>-244</v>
      </c>
      <c r="CS33" s="149">
        <f t="shared" si="96"/>
        <v>-310</v>
      </c>
      <c r="CT33" s="150">
        <f t="shared" si="96"/>
        <v>-186</v>
      </c>
      <c r="CU33" s="149">
        <f t="shared" si="96"/>
        <v>-118</v>
      </c>
      <c r="CV33" s="149">
        <f t="shared" si="96"/>
        <v>-226</v>
      </c>
      <c r="CW33" s="155">
        <f t="shared" si="96"/>
        <v>-2</v>
      </c>
      <c r="CX33" s="149">
        <f t="shared" si="96"/>
        <v>-179</v>
      </c>
      <c r="CY33" s="149">
        <f t="shared" si="96"/>
        <v>-250</v>
      </c>
      <c r="CZ33" s="149">
        <f t="shared" si="96"/>
        <v>-221</v>
      </c>
      <c r="DA33" s="149">
        <f t="shared" si="96"/>
        <v>-172</v>
      </c>
      <c r="DB33" s="150">
        <f t="shared" si="96"/>
        <v>-209</v>
      </c>
      <c r="DC33" s="149">
        <f t="shared" si="96"/>
        <v>-220</v>
      </c>
      <c r="DD33" s="149">
        <f t="shared" si="96"/>
        <v>-191</v>
      </c>
      <c r="DE33" s="149">
        <f t="shared" si="96"/>
        <v>-292</v>
      </c>
      <c r="DF33" s="150">
        <f>DF11-DF30</f>
        <v>-305</v>
      </c>
      <c r="DG33" s="1113">
        <f>DG11-DG30</f>
        <v>-266</v>
      </c>
      <c r="DH33" s="1113">
        <f>DH11-DH30</f>
        <v>-290</v>
      </c>
      <c r="DI33" s="155">
        <f>DI11-DI30</f>
        <v>-213</v>
      </c>
      <c r="DJ33" s="150">
        <f t="shared" ref="DJ33:DM33" si="97">DJ11-DJ30</f>
        <v>-255</v>
      </c>
      <c r="DK33" s="1113">
        <f t="shared" si="97"/>
        <v>-379</v>
      </c>
      <c r="DL33" s="1113">
        <f t="shared" si="97"/>
        <v>-368</v>
      </c>
      <c r="DM33" s="155">
        <f t="shared" si="97"/>
        <v>-596</v>
      </c>
      <c r="DN33" s="1113">
        <f t="shared" ref="DN33:DO33" si="98">DN11-DN30</f>
        <v>-504</v>
      </c>
      <c r="DO33" s="1113">
        <f t="shared" si="98"/>
        <v>-457</v>
      </c>
      <c r="DP33" s="1113">
        <f t="shared" ref="DP33:DQ33" si="99">DP11-DP30</f>
        <v>-466</v>
      </c>
      <c r="DQ33" s="155">
        <f t="shared" si="99"/>
        <v>-289</v>
      </c>
      <c r="DR33" s="1113">
        <f t="shared" ref="DR33:DS33" si="100">DR11-DR30</f>
        <v>-62</v>
      </c>
      <c r="DS33" s="1113">
        <f t="shared" si="100"/>
        <v>-261</v>
      </c>
      <c r="DT33" s="1113">
        <f t="shared" ref="DT33:DU33" si="101">DT11-DT30</f>
        <v>160</v>
      </c>
      <c r="DU33" s="1113">
        <f t="shared" si="101"/>
        <v>171</v>
      </c>
      <c r="DV33" s="1113">
        <f t="shared" ref="DV33" si="102">DV11-DV30</f>
        <v>-413</v>
      </c>
      <c r="DW33" s="1113">
        <f t="shared" ref="DW33:DY33" si="103">DW11-DW30</f>
        <v>-188.375</v>
      </c>
      <c r="DX33" s="1113">
        <f t="shared" si="103"/>
        <v>-170.80624999999964</v>
      </c>
      <c r="DY33" s="155">
        <f t="shared" si="103"/>
        <v>-163.69924999999967</v>
      </c>
    </row>
    <row r="34" spans="1:129">
      <c r="A34" s="748" t="s">
        <v>952</v>
      </c>
      <c r="B34" s="295"/>
      <c r="C34" s="295"/>
      <c r="D34" s="295"/>
      <c r="E34" s="295"/>
      <c r="F34" s="295"/>
      <c r="G34" s="295"/>
      <c r="H34" s="295"/>
      <c r="I34" s="295"/>
      <c r="J34" s="295"/>
      <c r="K34" s="295"/>
      <c r="L34" s="295"/>
      <c r="M34" s="295"/>
      <c r="N34" s="295"/>
      <c r="O34" s="295"/>
      <c r="P34" s="295">
        <f t="shared" ref="P34:AB34" si="104">P33/O33-1</f>
        <v>23.587798202834996</v>
      </c>
      <c r="Q34" s="1130">
        <f t="shared" si="104"/>
        <v>-1.255144338189528</v>
      </c>
      <c r="R34" s="295">
        <f t="shared" si="104"/>
        <v>-0.37359900373599009</v>
      </c>
      <c r="S34" s="295">
        <f t="shared" si="104"/>
        <v>-0.47117296222664018</v>
      </c>
      <c r="T34" s="1130">
        <f t="shared" si="104"/>
        <v>0.54511278195488733</v>
      </c>
      <c r="U34" s="295">
        <f t="shared" si="104"/>
        <v>0.10948905109489049</v>
      </c>
      <c r="V34" s="295">
        <f t="shared" si="104"/>
        <v>0.17763157894736836</v>
      </c>
      <c r="W34" s="295">
        <f>W33/V33-1</f>
        <v>0.48789571694599632</v>
      </c>
      <c r="X34" s="295">
        <f>X33/W33-1</f>
        <v>7.3842302878598165E-2</v>
      </c>
      <c r="Y34" s="295">
        <f>Y33/X33-1</f>
        <v>-1.0046620046620047</v>
      </c>
      <c r="Z34" s="295">
        <f>Z33/Y33-1</f>
        <v>-117.98506249999991</v>
      </c>
      <c r="AA34" s="295">
        <f t="shared" ca="1" si="104"/>
        <v>-1.2784672940255057</v>
      </c>
      <c r="AB34" s="295">
        <f t="shared" ca="1" si="104"/>
        <v>0.14252717120634228</v>
      </c>
      <c r="AC34" s="295">
        <f t="shared" ref="AC34" ca="1" si="105">AC33/AB33-1</f>
        <v>0.12582661120441241</v>
      </c>
      <c r="AD34" s="295">
        <f t="shared" ref="AD34" ca="1" si="106">AD33/AC33-1</f>
        <v>0.11265788840871105</v>
      </c>
      <c r="AE34" s="295">
        <f t="shared" ref="AE34" ca="1" si="107">AE33/AD33-1</f>
        <v>0.10200759350983657</v>
      </c>
      <c r="AF34" s="295">
        <f t="shared" ref="AF34" ca="1" si="108">AF33/AE33-1</f>
        <v>9.3198672638183044E-2</v>
      </c>
      <c r="AG34" s="295">
        <f t="shared" ref="AG34" ca="1" si="109">AG33/AF33-1</f>
        <v>7.8124457627707367E-2</v>
      </c>
      <c r="AH34" s="3004"/>
      <c r="AI34" s="295"/>
      <c r="AJ34" s="295"/>
      <c r="AK34" s="295"/>
      <c r="AL34" s="295"/>
      <c r="AM34" s="295"/>
      <c r="AN34" s="295"/>
      <c r="AO34" s="295"/>
      <c r="AP34" s="295"/>
      <c r="AQ34" s="295"/>
      <c r="AR34" s="295"/>
      <c r="AS34" s="295"/>
      <c r="AT34" s="295"/>
      <c r="AU34" s="295"/>
      <c r="AV34" s="295"/>
      <c r="AW34" s="295"/>
      <c r="AX34" s="298"/>
      <c r="AY34" s="295"/>
      <c r="AZ34" s="295"/>
      <c r="BA34" s="295"/>
      <c r="BB34" s="298"/>
      <c r="BC34" s="295"/>
      <c r="BD34" s="295"/>
      <c r="BE34" s="295"/>
      <c r="BF34" s="298"/>
      <c r="BG34" s="295"/>
      <c r="BH34" s="295"/>
      <c r="BI34" s="295"/>
      <c r="BJ34" s="298"/>
      <c r="BK34" s="295"/>
      <c r="BL34" s="295"/>
      <c r="BM34" s="295"/>
      <c r="BN34" s="298"/>
      <c r="BO34" s="295"/>
      <c r="BP34" s="295"/>
      <c r="BQ34" s="295"/>
      <c r="BR34" s="298"/>
      <c r="BS34" s="295"/>
      <c r="BT34" s="295"/>
      <c r="BU34" s="295"/>
      <c r="BV34" s="298"/>
      <c r="BW34" s="295"/>
      <c r="BX34" s="295"/>
      <c r="BY34" s="295"/>
      <c r="BZ34" s="298"/>
      <c r="CA34" s="295"/>
      <c r="CB34" s="295"/>
      <c r="CC34" s="295"/>
      <c r="CD34" s="298">
        <f t="shared" ref="CD34:CM34" si="110">CD33/BZ33-1</f>
        <v>-0.87111312638470872</v>
      </c>
      <c r="CE34" s="295">
        <f t="shared" si="110"/>
        <v>-0.92811839323467227</v>
      </c>
      <c r="CF34" s="295">
        <f t="shared" si="110"/>
        <v>-0.79726027397260268</v>
      </c>
      <c r="CG34" s="295">
        <f t="shared" si="110"/>
        <v>-21.4</v>
      </c>
      <c r="CH34" s="298">
        <f t="shared" si="110"/>
        <v>33.95760098674068</v>
      </c>
      <c r="CI34" s="295">
        <f t="shared" si="110"/>
        <v>44.108394218974979</v>
      </c>
      <c r="CJ34" s="295">
        <f t="shared" si="110"/>
        <v>19.748840120774723</v>
      </c>
      <c r="CK34" s="295">
        <f t="shared" si="110"/>
        <v>14.856148256404007</v>
      </c>
      <c r="CL34" s="298">
        <f t="shared" si="110"/>
        <v>-1.2628961122014686</v>
      </c>
      <c r="CM34" s="295">
        <f t="shared" si="110"/>
        <v>-1.2665148922209317</v>
      </c>
      <c r="CN34" s="295"/>
      <c r="CO34" s="295">
        <f t="shared" ref="CO34:DV34" si="111">CO33/CK33-1</f>
        <v>-1.2434572416468139</v>
      </c>
      <c r="CP34" s="298">
        <f t="shared" si="111"/>
        <v>-0.57894736842105265</v>
      </c>
      <c r="CQ34" s="295">
        <f t="shared" si="111"/>
        <v>-0.32966360856269117</v>
      </c>
      <c r="CR34" s="295">
        <f t="shared" si="111"/>
        <v>-0.35915955351280371</v>
      </c>
      <c r="CS34" s="295">
        <f t="shared" si="111"/>
        <v>-0.21269841269841272</v>
      </c>
      <c r="CT34" s="298">
        <f t="shared" si="111"/>
        <v>4.4943820224719211E-2</v>
      </c>
      <c r="CU34" s="295">
        <f t="shared" si="111"/>
        <v>-0.56934306569343063</v>
      </c>
      <c r="CV34" s="295">
        <f t="shared" si="111"/>
        <v>-7.3770491803278659E-2</v>
      </c>
      <c r="CW34" s="299">
        <f t="shared" si="111"/>
        <v>-0.99354838709677418</v>
      </c>
      <c r="CX34" s="295">
        <f t="shared" si="111"/>
        <v>-3.7634408602150504E-2</v>
      </c>
      <c r="CY34" s="295">
        <f t="shared" si="111"/>
        <v>1.1186440677966103</v>
      </c>
      <c r="CZ34" s="295">
        <f t="shared" si="111"/>
        <v>-2.2123893805309769E-2</v>
      </c>
      <c r="DA34" s="295">
        <f t="shared" si="111"/>
        <v>85</v>
      </c>
      <c r="DB34" s="298">
        <f t="shared" si="111"/>
        <v>0.16759776536312843</v>
      </c>
      <c r="DC34" s="295">
        <f t="shared" si="111"/>
        <v>-0.12</v>
      </c>
      <c r="DD34" s="295">
        <f t="shared" si="111"/>
        <v>-0.13574660633484159</v>
      </c>
      <c r="DE34" s="295">
        <f t="shared" si="111"/>
        <v>0.69767441860465107</v>
      </c>
      <c r="DF34" s="298">
        <f t="shared" si="111"/>
        <v>0.45933014354066981</v>
      </c>
      <c r="DG34" s="1130">
        <f t="shared" si="111"/>
        <v>0.20909090909090899</v>
      </c>
      <c r="DH34" s="1130">
        <f t="shared" si="111"/>
        <v>0.51832460732984287</v>
      </c>
      <c r="DI34" s="299">
        <f t="shared" si="111"/>
        <v>-0.27054794520547942</v>
      </c>
      <c r="DJ34" s="298">
        <f t="shared" si="111"/>
        <v>-0.16393442622950816</v>
      </c>
      <c r="DK34" s="1130">
        <f t="shared" si="111"/>
        <v>0.42481203007518786</v>
      </c>
      <c r="DL34" s="1130">
        <f t="shared" si="111"/>
        <v>0.2689655172413794</v>
      </c>
      <c r="DM34" s="299">
        <f t="shared" si="111"/>
        <v>1.7981220657276995</v>
      </c>
      <c r="DN34" s="1130">
        <f t="shared" si="111"/>
        <v>0.9764705882352942</v>
      </c>
      <c r="DO34" s="1130">
        <f t="shared" si="111"/>
        <v>0.20580474934036941</v>
      </c>
      <c r="DP34" s="1130">
        <f t="shared" si="111"/>
        <v>0.26630434782608692</v>
      </c>
      <c r="DQ34" s="299">
        <f t="shared" si="111"/>
        <v>-0.5151006711409396</v>
      </c>
      <c r="DR34" s="1130">
        <f t="shared" si="111"/>
        <v>-0.87698412698412698</v>
      </c>
      <c r="DS34" s="1130">
        <f t="shared" si="111"/>
        <v>-0.42888402625820565</v>
      </c>
      <c r="DT34" s="1130">
        <f t="shared" si="111"/>
        <v>-1.3433476394849786</v>
      </c>
      <c r="DU34" s="1130">
        <f t="shared" si="111"/>
        <v>-1.5916955017301038</v>
      </c>
      <c r="DV34" s="1130">
        <f t="shared" si="111"/>
        <v>5.661290322580645</v>
      </c>
      <c r="DW34" s="1130">
        <f t="shared" ref="DW34" si="112">DW33/DS33-1</f>
        <v>-0.27825670498084287</v>
      </c>
      <c r="DX34" s="1130">
        <f t="shared" ref="DX34" si="113">DX33/DT33-1</f>
        <v>-2.0675390624999976</v>
      </c>
      <c r="DY34" s="299">
        <f t="shared" ref="DY34" si="114">DY33/DU33-1</f>
        <v>-1.9573055555555536</v>
      </c>
    </row>
    <row r="35" spans="1:129">
      <c r="A35" s="749"/>
      <c r="B35" s="105"/>
      <c r="C35" s="105"/>
      <c r="D35" s="105"/>
      <c r="E35" s="105"/>
      <c r="F35" s="105"/>
      <c r="G35" s="105"/>
      <c r="H35" s="105"/>
      <c r="I35" s="105"/>
      <c r="J35" s="105"/>
      <c r="K35" s="105"/>
      <c r="L35" s="105"/>
      <c r="M35" s="105"/>
      <c r="N35" s="105"/>
      <c r="O35" s="105"/>
      <c r="P35" s="105"/>
      <c r="Q35" s="1132"/>
      <c r="R35" s="105"/>
      <c r="S35" s="105"/>
      <c r="T35" s="1132"/>
      <c r="U35" s="105"/>
      <c r="V35" s="105"/>
      <c r="W35" s="105"/>
      <c r="X35" s="105"/>
      <c r="Y35" s="105"/>
      <c r="Z35" s="105"/>
      <c r="AA35" s="105"/>
      <c r="AB35" s="105"/>
      <c r="AC35" s="105"/>
      <c r="AD35" s="105"/>
      <c r="AE35" s="105"/>
      <c r="AF35" s="105"/>
      <c r="AG35" s="105"/>
      <c r="AH35" s="3007"/>
      <c r="AI35" s="105"/>
      <c r="AJ35" s="105"/>
      <c r="AK35" s="105"/>
      <c r="AL35" s="105"/>
      <c r="AM35" s="105"/>
      <c r="AN35" s="105"/>
      <c r="AO35" s="105"/>
      <c r="AP35" s="105"/>
      <c r="AQ35" s="105"/>
      <c r="AR35" s="105"/>
      <c r="AS35" s="105"/>
      <c r="AT35" s="105"/>
      <c r="AU35" s="105"/>
      <c r="AV35" s="105"/>
      <c r="AW35" s="105"/>
      <c r="AX35" s="306"/>
      <c r="AY35" s="105"/>
      <c r="AZ35" s="105"/>
      <c r="BA35" s="105"/>
      <c r="BB35" s="306"/>
      <c r="BC35" s="105"/>
      <c r="BD35" s="105"/>
      <c r="BE35" s="105"/>
      <c r="BF35" s="306"/>
      <c r="BG35" s="105"/>
      <c r="BH35" s="105"/>
      <c r="BI35" s="105"/>
      <c r="BJ35" s="306"/>
      <c r="BK35" s="105"/>
      <c r="BL35" s="105"/>
      <c r="BM35" s="105"/>
      <c r="BN35" s="306"/>
      <c r="BO35" s="105"/>
      <c r="BP35" s="105"/>
      <c r="BQ35" s="105"/>
      <c r="BR35" s="306"/>
      <c r="BS35" s="105"/>
      <c r="BT35" s="105"/>
      <c r="BU35" s="105"/>
      <c r="BV35" s="306"/>
      <c r="BW35" s="105"/>
      <c r="BX35" s="105"/>
      <c r="BY35" s="105"/>
      <c r="BZ35" s="306"/>
      <c r="CA35" s="105"/>
      <c r="CB35" s="105"/>
      <c r="CC35" s="105"/>
      <c r="CD35" s="306"/>
      <c r="CE35" s="105"/>
      <c r="CF35" s="105"/>
      <c r="CG35" s="105"/>
      <c r="CH35" s="306"/>
      <c r="CI35" s="105"/>
      <c r="CJ35" s="105"/>
      <c r="CK35" s="105"/>
      <c r="CL35" s="306"/>
      <c r="CM35" s="105"/>
      <c r="CN35" s="105"/>
      <c r="CO35" s="105"/>
      <c r="CP35" s="306"/>
      <c r="CQ35" s="105"/>
      <c r="CR35" s="105"/>
      <c r="CS35" s="105"/>
      <c r="CT35" s="306"/>
      <c r="CU35" s="105"/>
      <c r="CV35" s="105"/>
      <c r="CW35" s="307"/>
      <c r="CX35" s="105"/>
      <c r="CY35" s="105"/>
      <c r="CZ35" s="105"/>
      <c r="DA35" s="105"/>
      <c r="DB35" s="306"/>
      <c r="DC35" s="105"/>
      <c r="DD35" s="105"/>
      <c r="DE35" s="105"/>
      <c r="DF35" s="306"/>
      <c r="DG35" s="1132"/>
      <c r="DH35" s="1132"/>
      <c r="DI35" s="307"/>
      <c r="DJ35" s="306"/>
      <c r="DK35" s="1132"/>
      <c r="DL35" s="1132"/>
      <c r="DM35" s="307"/>
      <c r="DN35" s="1132"/>
      <c r="DO35" s="1132"/>
      <c r="DP35" s="1132"/>
      <c r="DQ35" s="307"/>
      <c r="DR35" s="1132"/>
      <c r="DS35" s="1132"/>
      <c r="DT35" s="1132"/>
      <c r="DU35" s="1132"/>
      <c r="DV35" s="1132"/>
      <c r="DW35" s="1132"/>
      <c r="DX35" s="1132"/>
      <c r="DY35" s="307"/>
    </row>
    <row r="36" spans="1:129">
      <c r="A36" s="88"/>
      <c r="B36" s="87"/>
      <c r="C36" s="87"/>
      <c r="D36" s="143"/>
      <c r="E36" s="143"/>
      <c r="F36" s="143"/>
      <c r="G36" s="143"/>
      <c r="H36" s="143"/>
      <c r="I36" s="143"/>
      <c r="J36" s="143"/>
      <c r="K36" s="143"/>
      <c r="L36" s="143"/>
      <c r="M36" s="143"/>
      <c r="N36" s="143"/>
      <c r="O36" s="143"/>
      <c r="P36" s="143"/>
      <c r="Q36" s="1047"/>
      <c r="R36" s="143"/>
      <c r="S36" s="143"/>
      <c r="T36" s="1047"/>
      <c r="U36" s="143"/>
      <c r="V36" s="143"/>
      <c r="W36" s="143"/>
      <c r="X36" s="143"/>
      <c r="Y36" s="143"/>
      <c r="Z36" s="143"/>
      <c r="AA36" s="143"/>
      <c r="AB36" s="143"/>
      <c r="AC36" s="143"/>
      <c r="AD36" s="143"/>
      <c r="AE36" s="143"/>
      <c r="AF36" s="143"/>
      <c r="AG36" s="143"/>
      <c r="AH36" s="3006"/>
      <c r="AI36" s="143"/>
      <c r="AJ36" s="143"/>
      <c r="AK36" s="143"/>
      <c r="AL36" s="143"/>
      <c r="AM36" s="143"/>
      <c r="AN36" s="143"/>
      <c r="AO36" s="143"/>
      <c r="AP36" s="143"/>
      <c r="AQ36" s="143"/>
      <c r="AR36" s="143"/>
      <c r="AS36" s="143"/>
      <c r="AT36" s="143"/>
      <c r="AU36" s="143"/>
      <c r="AV36" s="143"/>
      <c r="AW36" s="143"/>
      <c r="AX36" s="159"/>
      <c r="AY36" s="143"/>
      <c r="AZ36" s="143"/>
      <c r="BA36" s="143"/>
      <c r="BB36" s="159"/>
      <c r="BC36" s="143"/>
      <c r="BD36" s="143"/>
      <c r="BE36" s="143"/>
      <c r="BF36" s="159"/>
      <c r="BG36" s="143"/>
      <c r="BH36" s="143"/>
      <c r="BI36" s="143"/>
      <c r="BJ36" s="159"/>
      <c r="BK36" s="143"/>
      <c r="BL36" s="143"/>
      <c r="BM36" s="143"/>
      <c r="BN36" s="159"/>
      <c r="BO36" s="143"/>
      <c r="BP36" s="143"/>
      <c r="BQ36" s="143"/>
      <c r="BR36" s="159"/>
      <c r="BS36" s="143"/>
      <c r="BT36" s="143"/>
      <c r="BU36" s="143"/>
      <c r="BV36" s="159"/>
      <c r="BW36" s="143"/>
      <c r="BX36" s="143"/>
      <c r="BY36" s="143"/>
      <c r="BZ36" s="159"/>
      <c r="CA36" s="143"/>
      <c r="CB36" s="143"/>
      <c r="CC36" s="143"/>
      <c r="CD36" s="159"/>
      <c r="CE36" s="143"/>
      <c r="CF36" s="143"/>
      <c r="CG36" s="143"/>
      <c r="CH36" s="159"/>
      <c r="CI36" s="143"/>
      <c r="CJ36" s="143"/>
      <c r="CK36" s="143"/>
      <c r="CL36" s="159"/>
      <c r="CM36" s="143"/>
      <c r="CN36" s="143"/>
      <c r="CO36" s="143"/>
      <c r="CP36" s="159"/>
      <c r="CQ36" s="143"/>
      <c r="CR36" s="143"/>
      <c r="CS36" s="143"/>
      <c r="CT36" s="159"/>
      <c r="CU36" s="143"/>
      <c r="CV36" s="143"/>
      <c r="CW36" s="189"/>
      <c r="CX36" s="143"/>
      <c r="CY36" s="143"/>
      <c r="CZ36" s="143"/>
      <c r="DA36" s="143"/>
      <c r="DB36" s="159"/>
      <c r="DC36" s="143"/>
      <c r="DD36" s="143"/>
      <c r="DE36" s="143"/>
      <c r="DF36" s="159"/>
      <c r="DG36" s="1047"/>
      <c r="DH36" s="1047"/>
      <c r="DI36" s="189"/>
      <c r="DJ36" s="159"/>
      <c r="DK36" s="1047"/>
      <c r="DL36" s="1047"/>
      <c r="DM36" s="189"/>
      <c r="DN36" s="1047"/>
      <c r="DO36" s="1047"/>
      <c r="DP36" s="1047"/>
      <c r="DQ36" s="189"/>
      <c r="DR36" s="1047"/>
      <c r="DS36" s="1047"/>
      <c r="DT36" s="1047"/>
      <c r="DU36" s="1047"/>
      <c r="DV36" s="1047"/>
      <c r="DW36" s="1047"/>
      <c r="DX36" s="1047"/>
      <c r="DY36" s="189"/>
    </row>
    <row r="37" spans="1:129">
      <c r="A37" s="151" t="s">
        <v>491</v>
      </c>
      <c r="B37" s="91"/>
      <c r="C37" s="91"/>
      <c r="D37" s="149"/>
      <c r="E37" s="149"/>
      <c r="F37" s="149"/>
      <c r="G37" s="149"/>
      <c r="H37" s="149"/>
      <c r="I37" s="149"/>
      <c r="J37" s="149"/>
      <c r="K37" s="149"/>
      <c r="L37" s="149"/>
      <c r="M37" s="149"/>
      <c r="N37" s="149"/>
      <c r="O37" s="149">
        <f t="shared" ref="O37:V37" si="115">O11-O24</f>
        <v>295</v>
      </c>
      <c r="P37" s="149">
        <f t="shared" si="115"/>
        <v>5213</v>
      </c>
      <c r="Q37" s="1113">
        <f t="shared" si="115"/>
        <v>-1541</v>
      </c>
      <c r="R37" s="149">
        <f t="shared" si="115"/>
        <v>-941</v>
      </c>
      <c r="S37" s="149">
        <f t="shared" si="115"/>
        <v>-456</v>
      </c>
      <c r="T37" s="1113">
        <f t="shared" si="115"/>
        <v>-746</v>
      </c>
      <c r="U37" s="149">
        <f t="shared" si="115"/>
        <v>-835</v>
      </c>
      <c r="V37" s="149">
        <f t="shared" si="115"/>
        <v>-882</v>
      </c>
      <c r="W37" s="149">
        <f t="shared" ref="W37:AB37" si="116">W11-W24</f>
        <v>-1239</v>
      </c>
      <c r="X37" s="149">
        <f t="shared" si="116"/>
        <v>-1084</v>
      </c>
      <c r="Y37" s="149">
        <f t="shared" si="116"/>
        <v>1442</v>
      </c>
      <c r="Z37" s="149">
        <f t="shared" si="116"/>
        <v>512.1195000000007</v>
      </c>
      <c r="AA37" s="149">
        <f t="shared" si="116"/>
        <v>1603.1560320000008</v>
      </c>
      <c r="AB37" s="149">
        <f t="shared" si="116"/>
        <v>1635.2191526400002</v>
      </c>
      <c r="AC37" s="149">
        <f t="shared" ref="AC37:AG37" si="117">AC11-AC24</f>
        <v>1667.9235356928002</v>
      </c>
      <c r="AD37" s="149">
        <f t="shared" si="117"/>
        <v>1701.2820064066564</v>
      </c>
      <c r="AE37" s="149">
        <f t="shared" si="117"/>
        <v>1735.3076465347895</v>
      </c>
      <c r="AF37" s="149">
        <f t="shared" si="117"/>
        <v>1770.0137994654851</v>
      </c>
      <c r="AG37" s="149">
        <f t="shared" si="117"/>
        <v>1805.4140754547934</v>
      </c>
      <c r="AH37" s="973"/>
      <c r="AI37" s="149"/>
      <c r="AJ37" s="149"/>
      <c r="AK37" s="149"/>
      <c r="AL37" s="149"/>
      <c r="AM37" s="149"/>
      <c r="AN37" s="149"/>
      <c r="AO37" s="149"/>
      <c r="AP37" s="149"/>
      <c r="AQ37" s="149"/>
      <c r="AR37" s="149"/>
      <c r="AS37" s="149"/>
      <c r="AT37" s="149"/>
      <c r="AU37" s="149"/>
      <c r="AV37" s="149"/>
      <c r="AW37" s="149"/>
      <c r="AX37" s="150"/>
      <c r="AY37" s="149"/>
      <c r="AZ37" s="149"/>
      <c r="BA37" s="149"/>
      <c r="BB37" s="150"/>
      <c r="BC37" s="149"/>
      <c r="BD37" s="149"/>
      <c r="BE37" s="149"/>
      <c r="BF37" s="150"/>
      <c r="BG37" s="149"/>
      <c r="BH37" s="149"/>
      <c r="BI37" s="149"/>
      <c r="BJ37" s="150"/>
      <c r="BK37" s="149"/>
      <c r="BL37" s="149"/>
      <c r="BM37" s="149"/>
      <c r="BN37" s="150"/>
      <c r="BO37" s="149"/>
      <c r="BP37" s="149"/>
      <c r="BQ37" s="149"/>
      <c r="BR37" s="150"/>
      <c r="BS37" s="149"/>
      <c r="BT37" s="149"/>
      <c r="BU37" s="149"/>
      <c r="BV37" s="150"/>
      <c r="BW37" s="149"/>
      <c r="BX37" s="149"/>
      <c r="BY37" s="149"/>
      <c r="BZ37" s="150"/>
      <c r="CA37" s="149">
        <f t="shared" ref="CA37:DE37" si="118">CA11-CA24</f>
        <v>461</v>
      </c>
      <c r="CB37" s="149">
        <f t="shared" si="118"/>
        <v>352</v>
      </c>
      <c r="CC37" s="149">
        <f t="shared" si="118"/>
        <v>6</v>
      </c>
      <c r="CD37" s="150">
        <f t="shared" si="118"/>
        <v>56</v>
      </c>
      <c r="CE37" s="149">
        <f t="shared" si="118"/>
        <v>44</v>
      </c>
      <c r="CF37" s="149">
        <f t="shared" si="118"/>
        <v>85</v>
      </c>
      <c r="CG37" s="149">
        <f t="shared" si="118"/>
        <v>110</v>
      </c>
      <c r="CH37" s="150">
        <f t="shared" si="118"/>
        <v>1330</v>
      </c>
      <c r="CI37" s="149">
        <f t="shared" si="118"/>
        <v>1266</v>
      </c>
      <c r="CJ37" s="149">
        <f t="shared" si="118"/>
        <v>1262</v>
      </c>
      <c r="CK37" s="149">
        <f t="shared" si="118"/>
        <v>1355</v>
      </c>
      <c r="CL37" s="150">
        <f t="shared" si="118"/>
        <v>-403.75</v>
      </c>
      <c r="CM37" s="149">
        <f t="shared" si="118"/>
        <v>-394.75</v>
      </c>
      <c r="CN37" s="149">
        <f t="shared" si="118"/>
        <v>-364.75</v>
      </c>
      <c r="CO37" s="149">
        <f t="shared" si="118"/>
        <v>-377.75</v>
      </c>
      <c r="CP37" s="150">
        <f t="shared" si="118"/>
        <v>-164</v>
      </c>
      <c r="CQ37" s="149">
        <f t="shared" si="118"/>
        <v>-257</v>
      </c>
      <c r="CR37" s="149">
        <f t="shared" si="118"/>
        <v>-227</v>
      </c>
      <c r="CS37" s="149">
        <f t="shared" si="118"/>
        <v>-293</v>
      </c>
      <c r="CT37" s="150">
        <f t="shared" si="118"/>
        <v>-168</v>
      </c>
      <c r="CU37" s="149">
        <f t="shared" si="118"/>
        <v>-100</v>
      </c>
      <c r="CV37" s="149">
        <f t="shared" si="118"/>
        <v>-206</v>
      </c>
      <c r="CW37" s="155">
        <f t="shared" si="118"/>
        <v>18</v>
      </c>
      <c r="CX37" s="149">
        <f t="shared" si="118"/>
        <v>-159</v>
      </c>
      <c r="CY37" s="149">
        <f t="shared" si="118"/>
        <v>-235</v>
      </c>
      <c r="CZ37" s="149">
        <f t="shared" si="118"/>
        <v>-198</v>
      </c>
      <c r="DA37" s="149">
        <f t="shared" si="118"/>
        <v>-154</v>
      </c>
      <c r="DB37" s="150">
        <f t="shared" si="118"/>
        <v>-192</v>
      </c>
      <c r="DC37" s="149">
        <f t="shared" si="118"/>
        <v>-201</v>
      </c>
      <c r="DD37" s="149">
        <f t="shared" si="118"/>
        <v>-171</v>
      </c>
      <c r="DE37" s="149">
        <f t="shared" si="118"/>
        <v>-271</v>
      </c>
      <c r="DF37" s="150">
        <f>DF11-DF24</f>
        <v>-262</v>
      </c>
      <c r="DG37" s="1113">
        <f>DG11-DG24</f>
        <v>-217</v>
      </c>
      <c r="DH37" s="1113">
        <f>DH11-DH24</f>
        <v>-240</v>
      </c>
      <c r="DI37" s="155">
        <f>DI11-DI24</f>
        <v>-163</v>
      </c>
      <c r="DJ37" s="150">
        <f t="shared" ref="DJ37:DM37" si="119">DJ11-DJ24</f>
        <v>-202</v>
      </c>
      <c r="DK37" s="1113">
        <f t="shared" si="119"/>
        <v>-330</v>
      </c>
      <c r="DL37" s="1113">
        <f t="shared" si="119"/>
        <v>-242</v>
      </c>
      <c r="DM37" s="155">
        <f t="shared" si="119"/>
        <v>-465</v>
      </c>
      <c r="DN37" s="1113">
        <f t="shared" ref="DN37:DO37" si="120">DN11-DN24</f>
        <v>-368</v>
      </c>
      <c r="DO37" s="1113">
        <f t="shared" si="120"/>
        <v>-319</v>
      </c>
      <c r="DP37" s="1113">
        <f t="shared" ref="DP37:DQ37" si="121">DP11-DP24</f>
        <v>-309</v>
      </c>
      <c r="DQ37" s="155">
        <f t="shared" si="121"/>
        <v>-88</v>
      </c>
      <c r="DR37" s="1113">
        <f t="shared" ref="DR37:DS37" si="122">DR11-DR24</f>
        <v>167</v>
      </c>
      <c r="DS37" s="1113">
        <f t="shared" si="122"/>
        <v>7</v>
      </c>
      <c r="DT37" s="1113">
        <f t="shared" ref="DT37:DU37" si="123">DT11-DT24</f>
        <v>517</v>
      </c>
      <c r="DU37" s="1113">
        <f t="shared" si="123"/>
        <v>751</v>
      </c>
      <c r="DV37" s="1113">
        <f t="shared" ref="DV37" si="124">DV11-DV24</f>
        <v>-51</v>
      </c>
      <c r="DW37" s="1113">
        <f t="shared" ref="DW37:DY37" si="125">DW11-DW24</f>
        <v>173.625</v>
      </c>
      <c r="DX37" s="1113">
        <f t="shared" si="125"/>
        <v>191.19375000000036</v>
      </c>
      <c r="DY37" s="155">
        <f t="shared" si="125"/>
        <v>198.30075000000033</v>
      </c>
    </row>
    <row r="38" spans="1:129">
      <c r="A38" s="748" t="s">
        <v>952</v>
      </c>
      <c r="B38" s="295"/>
      <c r="C38" s="295"/>
      <c r="D38" s="295"/>
      <c r="E38" s="295"/>
      <c r="F38" s="295"/>
      <c r="G38" s="295"/>
      <c r="H38" s="295"/>
      <c r="I38" s="295"/>
      <c r="J38" s="295"/>
      <c r="K38" s="295"/>
      <c r="L38" s="295"/>
      <c r="M38" s="295"/>
      <c r="N38" s="295"/>
      <c r="O38" s="295"/>
      <c r="P38" s="295">
        <f t="shared" ref="P38:AB38" si="126">P37/O37-1</f>
        <v>16.671186440677968</v>
      </c>
      <c r="Q38" s="1130">
        <f t="shared" si="126"/>
        <v>-1.2956071360061385</v>
      </c>
      <c r="R38" s="295">
        <f t="shared" si="126"/>
        <v>-0.38935756002595712</v>
      </c>
      <c r="S38" s="295">
        <f t="shared" si="126"/>
        <v>-0.51540913921360254</v>
      </c>
      <c r="T38" s="1130">
        <f t="shared" si="126"/>
        <v>0.63596491228070184</v>
      </c>
      <c r="U38" s="295">
        <f t="shared" si="126"/>
        <v>0.11930294906166217</v>
      </c>
      <c r="V38" s="295">
        <f t="shared" si="126"/>
        <v>5.6287425149700532E-2</v>
      </c>
      <c r="W38" s="295">
        <f>W37/V37-1</f>
        <v>0.40476190476190466</v>
      </c>
      <c r="X38" s="295">
        <f>X37/W37-1</f>
        <v>-0.12510088781275219</v>
      </c>
      <c r="Y38" s="295">
        <f>Y37/X37-1</f>
        <v>-2.3302583025830259</v>
      </c>
      <c r="Z38" s="295">
        <f>Z37/Y37-1</f>
        <v>-0.64485471567267627</v>
      </c>
      <c r="AA38" s="295">
        <f t="shared" si="126"/>
        <v>2.1304334867155004</v>
      </c>
      <c r="AB38" s="295">
        <f t="shared" si="126"/>
        <v>1.9999999999999574E-2</v>
      </c>
      <c r="AC38" s="295">
        <f t="shared" ref="AC38" si="127">AC37/AB37-1</f>
        <v>2.0000000000000018E-2</v>
      </c>
      <c r="AD38" s="295">
        <f t="shared" ref="AD38" si="128">AD37/AC37-1</f>
        <v>2.0000000000000018E-2</v>
      </c>
      <c r="AE38" s="295">
        <f t="shared" ref="AE38" si="129">AE37/AD37-1</f>
        <v>2.0000000000000018E-2</v>
      </c>
      <c r="AF38" s="295">
        <f t="shared" ref="AF38" si="130">AF37/AE37-1</f>
        <v>2.0000000000000018E-2</v>
      </c>
      <c r="AG38" s="295">
        <f t="shared" ref="AG38" si="131">AG37/AF37-1</f>
        <v>1.999999999999913E-2</v>
      </c>
      <c r="AH38" s="3004"/>
      <c r="AI38" s="295"/>
      <c r="AJ38" s="295"/>
      <c r="AK38" s="295"/>
      <c r="AL38" s="295"/>
      <c r="AM38" s="295"/>
      <c r="AN38" s="295"/>
      <c r="AO38" s="295"/>
      <c r="AP38" s="295"/>
      <c r="AQ38" s="295"/>
      <c r="AR38" s="295"/>
      <c r="AS38" s="295"/>
      <c r="AT38" s="295"/>
      <c r="AU38" s="295"/>
      <c r="AV38" s="295"/>
      <c r="AW38" s="295"/>
      <c r="AX38" s="298"/>
      <c r="AY38" s="295"/>
      <c r="AZ38" s="295"/>
      <c r="BA38" s="295"/>
      <c r="BB38" s="298"/>
      <c r="BC38" s="295"/>
      <c r="BD38" s="295"/>
      <c r="BE38" s="295"/>
      <c r="BF38" s="298"/>
      <c r="BG38" s="295"/>
      <c r="BH38" s="295"/>
      <c r="BI38" s="295"/>
      <c r="BJ38" s="298"/>
      <c r="BK38" s="295"/>
      <c r="BL38" s="295"/>
      <c r="BM38" s="295"/>
      <c r="BN38" s="298"/>
      <c r="BO38" s="295"/>
      <c r="BP38" s="295"/>
      <c r="BQ38" s="295"/>
      <c r="BR38" s="298"/>
      <c r="BS38" s="295"/>
      <c r="BT38" s="295"/>
      <c r="BU38" s="295"/>
      <c r="BV38" s="298"/>
      <c r="BW38" s="295"/>
      <c r="BX38" s="295"/>
      <c r="BY38" s="295"/>
      <c r="BZ38" s="298"/>
      <c r="CA38" s="295"/>
      <c r="CB38" s="295"/>
      <c r="CC38" s="295"/>
      <c r="CD38" s="298"/>
      <c r="CE38" s="295">
        <f t="shared" ref="CE38:CM38" si="132">CE37/CA37-1</f>
        <v>-0.90455531453362259</v>
      </c>
      <c r="CF38" s="295">
        <f t="shared" si="132"/>
        <v>-0.75852272727272729</v>
      </c>
      <c r="CG38" s="295">
        <f t="shared" si="132"/>
        <v>17.333333333333332</v>
      </c>
      <c r="CH38" s="298">
        <f t="shared" si="132"/>
        <v>22.75</v>
      </c>
      <c r="CI38" s="295">
        <f t="shared" si="132"/>
        <v>27.772727272727273</v>
      </c>
      <c r="CJ38" s="295">
        <f t="shared" si="132"/>
        <v>13.847058823529412</v>
      </c>
      <c r="CK38" s="295">
        <f t="shared" si="132"/>
        <v>11.318181818181818</v>
      </c>
      <c r="CL38" s="298">
        <f t="shared" si="132"/>
        <v>-1.3035714285714286</v>
      </c>
      <c r="CM38" s="295">
        <f t="shared" si="132"/>
        <v>-1.3118088467614535</v>
      </c>
      <c r="CN38" s="295"/>
      <c r="CO38" s="295">
        <f t="shared" ref="CO38:DV38" si="133">CO37/CK37-1</f>
        <v>-1.2787822878228783</v>
      </c>
      <c r="CP38" s="298">
        <f t="shared" si="133"/>
        <v>-0.59380804953560373</v>
      </c>
      <c r="CQ38" s="295">
        <f t="shared" si="133"/>
        <v>-0.34895503483217227</v>
      </c>
      <c r="CR38" s="295">
        <f t="shared" si="133"/>
        <v>-0.37765592871830023</v>
      </c>
      <c r="CS38" s="295">
        <f t="shared" si="133"/>
        <v>-0.22435473196558575</v>
      </c>
      <c r="CT38" s="298">
        <f t="shared" si="133"/>
        <v>2.4390243902439046E-2</v>
      </c>
      <c r="CU38" s="295">
        <f t="shared" si="133"/>
        <v>-0.6108949416342413</v>
      </c>
      <c r="CV38" s="295">
        <f t="shared" si="133"/>
        <v>-9.2511013215859084E-2</v>
      </c>
      <c r="CW38" s="299">
        <f t="shared" si="133"/>
        <v>-1.0614334470989761</v>
      </c>
      <c r="CX38" s="295">
        <f t="shared" si="133"/>
        <v>-5.3571428571428603E-2</v>
      </c>
      <c r="CY38" s="295">
        <f t="shared" si="133"/>
        <v>1.35</v>
      </c>
      <c r="CZ38" s="295">
        <f t="shared" si="133"/>
        <v>-3.8834951456310662E-2</v>
      </c>
      <c r="DA38" s="295">
        <f t="shared" si="133"/>
        <v>-9.5555555555555554</v>
      </c>
      <c r="DB38" s="298">
        <f t="shared" si="133"/>
        <v>0.20754716981132071</v>
      </c>
      <c r="DC38" s="295">
        <f t="shared" si="133"/>
        <v>-0.14468085106382977</v>
      </c>
      <c r="DD38" s="295">
        <f t="shared" si="133"/>
        <v>-0.13636363636363635</v>
      </c>
      <c r="DE38" s="295">
        <f t="shared" si="133"/>
        <v>0.75974025974025983</v>
      </c>
      <c r="DF38" s="298">
        <f t="shared" si="133"/>
        <v>0.36458333333333326</v>
      </c>
      <c r="DG38" s="1130">
        <f t="shared" si="133"/>
        <v>7.9601990049751326E-2</v>
      </c>
      <c r="DH38" s="1130">
        <f t="shared" si="133"/>
        <v>0.40350877192982448</v>
      </c>
      <c r="DI38" s="299">
        <f t="shared" si="133"/>
        <v>-0.39852398523985244</v>
      </c>
      <c r="DJ38" s="298">
        <f t="shared" si="133"/>
        <v>-0.22900763358778631</v>
      </c>
      <c r="DK38" s="1130">
        <f t="shared" si="133"/>
        <v>0.52073732718894017</v>
      </c>
      <c r="DL38" s="1130">
        <f t="shared" si="133"/>
        <v>8.3333333333333037E-3</v>
      </c>
      <c r="DM38" s="299">
        <f t="shared" si="133"/>
        <v>1.852760736196319</v>
      </c>
      <c r="DN38" s="1130">
        <f t="shared" si="133"/>
        <v>0.82178217821782185</v>
      </c>
      <c r="DO38" s="1130">
        <f t="shared" si="133"/>
        <v>-3.3333333333333326E-2</v>
      </c>
      <c r="DP38" s="1130">
        <f t="shared" si="133"/>
        <v>0.27685950413223148</v>
      </c>
      <c r="DQ38" s="299">
        <f t="shared" si="133"/>
        <v>-0.81075268817204305</v>
      </c>
      <c r="DR38" s="1130">
        <f t="shared" si="133"/>
        <v>-1.4538043478260869</v>
      </c>
      <c r="DS38" s="1130">
        <f t="shared" si="133"/>
        <v>-1.0219435736677116</v>
      </c>
      <c r="DT38" s="1130">
        <f t="shared" si="133"/>
        <v>-2.6731391585760518</v>
      </c>
      <c r="DU38" s="1130">
        <f t="shared" si="133"/>
        <v>-9.5340909090909083</v>
      </c>
      <c r="DV38" s="1130">
        <f t="shared" si="133"/>
        <v>-1.3053892215568863</v>
      </c>
      <c r="DW38" s="1130">
        <f t="shared" ref="DW38" si="134">DW37/DS37-1</f>
        <v>23.803571428571427</v>
      </c>
      <c r="DX38" s="1130">
        <f t="shared" ref="DX38" si="135">DX37/DT37-1</f>
        <v>-0.63018617021276524</v>
      </c>
      <c r="DY38" s="299">
        <f t="shared" ref="DY38" si="136">DY37/DU37-1</f>
        <v>-0.73595106524633769</v>
      </c>
    </row>
    <row r="39" spans="1:129">
      <c r="A39" s="749"/>
      <c r="B39" s="105"/>
      <c r="C39" s="105"/>
      <c r="D39" s="105"/>
      <c r="E39" s="105"/>
      <c r="F39" s="105"/>
      <c r="G39" s="105"/>
      <c r="H39" s="105"/>
      <c r="I39" s="105"/>
      <c r="J39" s="105"/>
      <c r="K39" s="105"/>
      <c r="L39" s="105"/>
      <c r="M39" s="105"/>
      <c r="N39" s="105"/>
      <c r="O39" s="105"/>
      <c r="P39" s="105"/>
      <c r="Q39" s="1132"/>
      <c r="R39" s="105"/>
      <c r="S39" s="105"/>
      <c r="T39" s="1132"/>
      <c r="U39" s="105"/>
      <c r="V39" s="105"/>
      <c r="W39" s="105"/>
      <c r="X39" s="105"/>
      <c r="Y39" s="105"/>
      <c r="Z39" s="105"/>
      <c r="AA39" s="105"/>
      <c r="AB39" s="105"/>
      <c r="AC39" s="105"/>
      <c r="AD39" s="105"/>
      <c r="AE39" s="105"/>
      <c r="AF39" s="105"/>
      <c r="AG39" s="105"/>
      <c r="AH39" s="3007"/>
      <c r="AI39" s="105"/>
      <c r="AJ39" s="105"/>
      <c r="AK39" s="105"/>
      <c r="AL39" s="105"/>
      <c r="AM39" s="105"/>
      <c r="AN39" s="105"/>
      <c r="AO39" s="105"/>
      <c r="AP39" s="105"/>
      <c r="AQ39" s="105"/>
      <c r="AR39" s="105"/>
      <c r="AS39" s="105"/>
      <c r="AT39" s="105"/>
      <c r="AU39" s="105"/>
      <c r="AV39" s="105"/>
      <c r="AW39" s="105"/>
      <c r="AX39" s="306"/>
      <c r="AY39" s="105"/>
      <c r="AZ39" s="105"/>
      <c r="BA39" s="105"/>
      <c r="BB39" s="306"/>
      <c r="BC39" s="105"/>
      <c r="BD39" s="105"/>
      <c r="BE39" s="105"/>
      <c r="BF39" s="306"/>
      <c r="BG39" s="105"/>
      <c r="BH39" s="105"/>
      <c r="BI39" s="105"/>
      <c r="BJ39" s="306"/>
      <c r="BK39" s="105"/>
      <c r="BL39" s="105"/>
      <c r="BM39" s="105"/>
      <c r="BN39" s="306"/>
      <c r="BO39" s="105"/>
      <c r="BP39" s="105"/>
      <c r="BQ39" s="105"/>
      <c r="BR39" s="306"/>
      <c r="BS39" s="105"/>
      <c r="BT39" s="105"/>
      <c r="BU39" s="105"/>
      <c r="BV39" s="306"/>
      <c r="BW39" s="105"/>
      <c r="BX39" s="105"/>
      <c r="BY39" s="105"/>
      <c r="BZ39" s="306"/>
      <c r="CA39" s="105"/>
      <c r="CB39" s="105"/>
      <c r="CC39" s="105"/>
      <c r="CD39" s="306"/>
      <c r="CE39" s="105"/>
      <c r="CF39" s="105"/>
      <c r="CG39" s="105"/>
      <c r="CH39" s="306"/>
      <c r="CI39" s="105"/>
      <c r="CJ39" s="105"/>
      <c r="CK39" s="105"/>
      <c r="CL39" s="306"/>
      <c r="CM39" s="105"/>
      <c r="CN39" s="105"/>
      <c r="CO39" s="105"/>
      <c r="CP39" s="306"/>
      <c r="CQ39" s="105"/>
      <c r="CR39" s="105"/>
      <c r="CS39" s="105"/>
      <c r="CT39" s="306"/>
      <c r="CU39" s="105"/>
      <c r="CV39" s="105"/>
      <c r="CW39" s="307"/>
      <c r="CX39" s="105"/>
      <c r="CY39" s="105"/>
      <c r="CZ39" s="105"/>
      <c r="DA39" s="105"/>
      <c r="DB39" s="306"/>
      <c r="DC39" s="105"/>
      <c r="DD39" s="105"/>
      <c r="DE39" s="105"/>
      <c r="DF39" s="306"/>
      <c r="DG39" s="1132"/>
      <c r="DH39" s="1132"/>
      <c r="DI39" s="307"/>
      <c r="DJ39" s="306"/>
      <c r="DK39" s="1132"/>
      <c r="DL39" s="1132"/>
      <c r="DM39" s="307"/>
      <c r="DN39" s="1132"/>
      <c r="DO39" s="1132"/>
      <c r="DP39" s="1132"/>
      <c r="DQ39" s="307"/>
      <c r="DR39" s="1132"/>
      <c r="DS39" s="1132"/>
      <c r="DT39" s="1132"/>
      <c r="DU39" s="1132"/>
      <c r="DV39" s="1132"/>
      <c r="DW39" s="1132"/>
      <c r="DX39" s="1132"/>
      <c r="DY39" s="307"/>
    </row>
    <row r="40" spans="1:129">
      <c r="A40" s="88"/>
      <c r="B40" s="87"/>
      <c r="C40" s="87"/>
      <c r="D40" s="87"/>
      <c r="E40" s="87"/>
      <c r="F40" s="87"/>
      <c r="G40" s="87"/>
      <c r="H40" s="87"/>
      <c r="I40" s="87"/>
      <c r="J40" s="87"/>
      <c r="K40" s="87"/>
      <c r="L40" s="87"/>
      <c r="M40" s="87"/>
      <c r="N40" s="87"/>
      <c r="O40" s="87"/>
      <c r="P40" s="87"/>
      <c r="Q40" s="1041"/>
      <c r="R40" s="87"/>
      <c r="S40" s="87"/>
      <c r="T40" s="1041"/>
      <c r="U40" s="87"/>
      <c r="V40" s="87"/>
      <c r="W40" s="87"/>
      <c r="X40" s="87"/>
      <c r="Y40" s="87"/>
      <c r="Z40" s="87"/>
      <c r="AA40" s="87"/>
      <c r="AB40" s="87"/>
      <c r="AC40" s="87"/>
      <c r="AD40" s="87"/>
      <c r="AE40" s="87"/>
      <c r="AF40" s="87"/>
      <c r="AG40" s="87"/>
      <c r="AH40" s="3008"/>
      <c r="AI40" s="87"/>
      <c r="AJ40" s="87"/>
      <c r="AK40" s="87"/>
      <c r="AL40" s="87"/>
      <c r="AM40" s="87"/>
      <c r="AN40" s="87"/>
      <c r="AO40" s="87"/>
      <c r="AP40" s="87"/>
      <c r="AQ40" s="87"/>
      <c r="AR40" s="87"/>
      <c r="AS40" s="87"/>
      <c r="AT40" s="87"/>
      <c r="AU40" s="87"/>
      <c r="AV40" s="87"/>
      <c r="AW40" s="87"/>
      <c r="AX40" s="88"/>
      <c r="AY40" s="87"/>
      <c r="AZ40" s="87"/>
      <c r="BA40" s="87"/>
      <c r="BB40" s="88"/>
      <c r="BC40" s="87"/>
      <c r="BD40" s="87"/>
      <c r="BE40" s="87"/>
      <c r="BF40" s="88"/>
      <c r="BG40" s="87"/>
      <c r="BH40" s="87"/>
      <c r="BI40" s="87"/>
      <c r="BJ40" s="88"/>
      <c r="BK40" s="87"/>
      <c r="BL40" s="87"/>
      <c r="BM40" s="87"/>
      <c r="BN40" s="88"/>
      <c r="BO40" s="87"/>
      <c r="BP40" s="87"/>
      <c r="BQ40" s="87"/>
      <c r="BR40" s="88"/>
      <c r="BS40" s="87"/>
      <c r="BT40" s="87"/>
      <c r="BU40" s="87"/>
      <c r="BV40" s="88"/>
      <c r="BW40" s="87"/>
      <c r="BX40" s="87"/>
      <c r="BY40" s="87"/>
      <c r="BZ40" s="88"/>
      <c r="CA40" s="87"/>
      <c r="CB40" s="87"/>
      <c r="CC40" s="87"/>
      <c r="CD40" s="88"/>
      <c r="CE40" s="87"/>
      <c r="CF40" s="87"/>
      <c r="CG40" s="87"/>
      <c r="CH40" s="88"/>
      <c r="CI40" s="87"/>
      <c r="CJ40" s="87"/>
      <c r="CK40" s="87"/>
      <c r="CL40" s="88"/>
      <c r="CM40" s="87"/>
      <c r="CN40" s="87"/>
      <c r="CO40" s="87"/>
      <c r="CP40" s="88"/>
      <c r="CQ40" s="87"/>
      <c r="CR40" s="87"/>
      <c r="CS40" s="87"/>
      <c r="CT40" s="88"/>
      <c r="CU40" s="87"/>
      <c r="CV40" s="87"/>
      <c r="CW40" s="144"/>
      <c r="CX40" s="87"/>
      <c r="CY40" s="87"/>
      <c r="CZ40" s="87"/>
      <c r="DA40" s="87"/>
      <c r="DB40" s="88"/>
      <c r="DC40" s="87"/>
      <c r="DD40" s="87"/>
      <c r="DE40" s="87"/>
      <c r="DF40" s="88"/>
      <c r="DG40" s="1041"/>
      <c r="DH40" s="1041"/>
      <c r="DI40" s="144"/>
      <c r="DJ40" s="88"/>
      <c r="DK40" s="1041"/>
      <c r="DL40" s="1041"/>
      <c r="DM40" s="144"/>
      <c r="DN40" s="1041"/>
      <c r="DO40" s="1041"/>
      <c r="DP40" s="1041"/>
      <c r="DQ40" s="144"/>
      <c r="DR40" s="1041"/>
      <c r="DS40" s="1041"/>
      <c r="DT40" s="1041"/>
      <c r="DU40" s="1041"/>
      <c r="DV40" s="1041"/>
      <c r="DW40" s="1041"/>
      <c r="DX40" s="1041"/>
      <c r="DY40" s="144"/>
    </row>
    <row r="41" spans="1:129">
      <c r="A41" s="752" t="s">
        <v>971</v>
      </c>
      <c r="B41" s="753"/>
      <c r="C41" s="753"/>
      <c r="D41" s="753"/>
      <c r="E41" s="753"/>
      <c r="F41" s="753"/>
      <c r="G41" s="753"/>
      <c r="H41" s="753"/>
      <c r="I41" s="753"/>
      <c r="J41" s="753"/>
      <c r="K41" s="753"/>
      <c r="L41" s="753"/>
      <c r="M41" s="753"/>
      <c r="N41" s="753"/>
      <c r="O41" s="753"/>
      <c r="P41" s="754">
        <f t="shared" ref="P41:V41" si="137">+P11-P24</f>
        <v>5213</v>
      </c>
      <c r="Q41" s="1133">
        <f t="shared" si="137"/>
        <v>-1541</v>
      </c>
      <c r="R41" s="754">
        <f t="shared" si="137"/>
        <v>-941</v>
      </c>
      <c r="S41" s="754">
        <f t="shared" si="137"/>
        <v>-456</v>
      </c>
      <c r="T41" s="1133">
        <f t="shared" si="137"/>
        <v>-746</v>
      </c>
      <c r="U41" s="754">
        <f t="shared" si="137"/>
        <v>-835</v>
      </c>
      <c r="V41" s="754">
        <f t="shared" si="137"/>
        <v>-882</v>
      </c>
      <c r="W41" s="754">
        <f t="shared" ref="W41:AB41" si="138">+W11-W24</f>
        <v>-1239</v>
      </c>
      <c r="X41" s="754">
        <f t="shared" si="138"/>
        <v>-1084</v>
      </c>
      <c r="Y41" s="754">
        <f t="shared" si="138"/>
        <v>1442</v>
      </c>
      <c r="Z41" s="754">
        <f t="shared" si="138"/>
        <v>512.1195000000007</v>
      </c>
      <c r="AA41" s="754">
        <f t="shared" si="138"/>
        <v>1603.1560320000008</v>
      </c>
      <c r="AB41" s="754">
        <f t="shared" si="138"/>
        <v>1635.2191526400002</v>
      </c>
      <c r="AC41" s="754">
        <f t="shared" ref="AC41:AG41" si="139">+AC11-AC24</f>
        <v>1667.9235356928002</v>
      </c>
      <c r="AD41" s="754">
        <f t="shared" si="139"/>
        <v>1701.2820064066564</v>
      </c>
      <c r="AE41" s="754">
        <f t="shared" si="139"/>
        <v>1735.3076465347895</v>
      </c>
      <c r="AF41" s="754">
        <f t="shared" si="139"/>
        <v>1770.0137994654851</v>
      </c>
      <c r="AG41" s="754">
        <f t="shared" si="139"/>
        <v>1805.4140754547934</v>
      </c>
      <c r="AH41" s="3008"/>
      <c r="AI41" s="753"/>
      <c r="AJ41" s="753"/>
      <c r="AK41" s="753"/>
      <c r="AL41" s="753"/>
      <c r="AM41" s="753"/>
      <c r="AN41" s="753"/>
      <c r="AO41" s="753"/>
      <c r="AP41" s="753"/>
      <c r="AQ41" s="753"/>
      <c r="AR41" s="753"/>
      <c r="AS41" s="753"/>
      <c r="AT41" s="753"/>
      <c r="AU41" s="753"/>
      <c r="AV41" s="753"/>
      <c r="AW41" s="753"/>
      <c r="AX41" s="752"/>
      <c r="AY41" s="753"/>
      <c r="AZ41" s="753"/>
      <c r="BA41" s="753"/>
      <c r="BB41" s="752"/>
      <c r="BC41" s="753"/>
      <c r="BD41" s="753"/>
      <c r="BE41" s="753"/>
      <c r="BF41" s="752"/>
      <c r="BG41" s="753"/>
      <c r="BH41" s="753"/>
      <c r="BI41" s="753"/>
      <c r="BJ41" s="752"/>
      <c r="BK41" s="753"/>
      <c r="BL41" s="753"/>
      <c r="BM41" s="753"/>
      <c r="BN41" s="752"/>
      <c r="BO41" s="753"/>
      <c r="BP41" s="753"/>
      <c r="BQ41" s="753"/>
      <c r="BR41" s="752"/>
      <c r="BS41" s="753"/>
      <c r="BT41" s="753"/>
      <c r="BU41" s="753"/>
      <c r="BV41" s="752"/>
      <c r="BW41" s="753"/>
      <c r="BX41" s="753"/>
      <c r="BY41" s="753"/>
      <c r="BZ41" s="752"/>
      <c r="CA41" s="753"/>
      <c r="CB41" s="753"/>
      <c r="CC41" s="753"/>
      <c r="CD41" s="752"/>
      <c r="CE41" s="753"/>
      <c r="CF41" s="753"/>
      <c r="CG41" s="753"/>
      <c r="CH41" s="755">
        <f t="shared" ref="CH41:DE41" si="140">+CH11-CH24</f>
        <v>1330</v>
      </c>
      <c r="CI41" s="754">
        <f t="shared" si="140"/>
        <v>1266</v>
      </c>
      <c r="CJ41" s="754">
        <f t="shared" si="140"/>
        <v>1262</v>
      </c>
      <c r="CK41" s="754">
        <f t="shared" si="140"/>
        <v>1355</v>
      </c>
      <c r="CL41" s="755">
        <f t="shared" si="140"/>
        <v>-403.75</v>
      </c>
      <c r="CM41" s="754">
        <f t="shared" si="140"/>
        <v>-394.75</v>
      </c>
      <c r="CN41" s="754">
        <f t="shared" si="140"/>
        <v>-364.75</v>
      </c>
      <c r="CO41" s="754">
        <f t="shared" si="140"/>
        <v>-377.75</v>
      </c>
      <c r="CP41" s="755">
        <f t="shared" si="140"/>
        <v>-164</v>
      </c>
      <c r="CQ41" s="754">
        <f t="shared" si="140"/>
        <v>-257</v>
      </c>
      <c r="CR41" s="754">
        <f t="shared" si="140"/>
        <v>-227</v>
      </c>
      <c r="CS41" s="754">
        <f t="shared" si="140"/>
        <v>-293</v>
      </c>
      <c r="CT41" s="755">
        <f t="shared" si="140"/>
        <v>-168</v>
      </c>
      <c r="CU41" s="754">
        <f t="shared" si="140"/>
        <v>-100</v>
      </c>
      <c r="CV41" s="754">
        <f t="shared" si="140"/>
        <v>-206</v>
      </c>
      <c r="CW41" s="756">
        <f t="shared" si="140"/>
        <v>18</v>
      </c>
      <c r="CX41" s="754">
        <f t="shared" si="140"/>
        <v>-159</v>
      </c>
      <c r="CY41" s="754">
        <f t="shared" si="140"/>
        <v>-235</v>
      </c>
      <c r="CZ41" s="754">
        <f t="shared" si="140"/>
        <v>-198</v>
      </c>
      <c r="DA41" s="754">
        <f t="shared" si="140"/>
        <v>-154</v>
      </c>
      <c r="DB41" s="755">
        <f t="shared" si="140"/>
        <v>-192</v>
      </c>
      <c r="DC41" s="754">
        <f t="shared" si="140"/>
        <v>-201</v>
      </c>
      <c r="DD41" s="754">
        <f t="shared" si="140"/>
        <v>-171</v>
      </c>
      <c r="DE41" s="754">
        <f t="shared" si="140"/>
        <v>-271</v>
      </c>
      <c r="DF41" s="755">
        <f t="shared" ref="DF41:DM41" si="141">+DF11-DF24</f>
        <v>-262</v>
      </c>
      <c r="DG41" s="1133">
        <f t="shared" si="141"/>
        <v>-217</v>
      </c>
      <c r="DH41" s="1133">
        <f t="shared" si="141"/>
        <v>-240</v>
      </c>
      <c r="DI41" s="756">
        <f t="shared" si="141"/>
        <v>-163</v>
      </c>
      <c r="DJ41" s="755">
        <f t="shared" si="141"/>
        <v>-202</v>
      </c>
      <c r="DK41" s="1133">
        <f t="shared" si="141"/>
        <v>-330</v>
      </c>
      <c r="DL41" s="1133">
        <f t="shared" si="141"/>
        <v>-242</v>
      </c>
      <c r="DM41" s="756">
        <f t="shared" si="141"/>
        <v>-465</v>
      </c>
      <c r="DN41" s="1133">
        <f t="shared" ref="DN41:DO41" si="142">+DN11-DN24</f>
        <v>-368</v>
      </c>
      <c r="DO41" s="1133">
        <f t="shared" si="142"/>
        <v>-319</v>
      </c>
      <c r="DP41" s="1133">
        <f t="shared" ref="DP41:DQ41" si="143">+DP11-DP24</f>
        <v>-309</v>
      </c>
      <c r="DQ41" s="756">
        <f t="shared" si="143"/>
        <v>-88</v>
      </c>
      <c r="DR41" s="1133">
        <f t="shared" ref="DR41:DS41" si="144">+DR11-DR24</f>
        <v>167</v>
      </c>
      <c r="DS41" s="1133">
        <f t="shared" si="144"/>
        <v>7</v>
      </c>
      <c r="DT41" s="1133">
        <f t="shared" ref="DT41:DU41" si="145">+DT11-DT24</f>
        <v>517</v>
      </c>
      <c r="DU41" s="1133">
        <f t="shared" si="145"/>
        <v>751</v>
      </c>
      <c r="DV41" s="1133">
        <f t="shared" ref="DV41" si="146">+DV11-DV24</f>
        <v>-51</v>
      </c>
      <c r="DW41" s="1133">
        <f t="shared" ref="DW41:DY41" si="147">+DW11-DW24</f>
        <v>173.625</v>
      </c>
      <c r="DX41" s="1133">
        <f t="shared" si="147"/>
        <v>191.19375000000036</v>
      </c>
      <c r="DY41" s="756">
        <f t="shared" si="147"/>
        <v>198.30075000000033</v>
      </c>
    </row>
    <row r="42" spans="1:129">
      <c r="A42" s="554"/>
      <c r="Y42" s="2995"/>
      <c r="Z42" s="3250"/>
      <c r="AH42" s="3009"/>
      <c r="AX42" s="554"/>
      <c r="BB42" s="554"/>
      <c r="BF42" s="554"/>
      <c r="BJ42" s="554"/>
      <c r="BN42" s="554"/>
      <c r="BR42" s="554"/>
      <c r="BV42" s="554"/>
      <c r="BZ42" s="554"/>
      <c r="CD42" s="554"/>
      <c r="CH42" s="554"/>
      <c r="CL42" s="554"/>
      <c r="CP42" s="554"/>
      <c r="CT42" s="554"/>
      <c r="CW42" s="555"/>
      <c r="DB42" s="554"/>
      <c r="DF42" s="554"/>
      <c r="DI42" s="555"/>
      <c r="DJ42" s="554"/>
      <c r="DM42" s="555"/>
      <c r="DQ42" s="555"/>
      <c r="DR42" s="298">
        <f>+DR41/DR11</f>
        <v>0.15754716981132075</v>
      </c>
      <c r="DS42" s="1130">
        <f t="shared" ref="DS42" si="148">+DS41/DS11</f>
        <v>4.7814207650273225E-3</v>
      </c>
      <c r="DT42" s="1130">
        <f t="shared" ref="DT42" si="149">+DT41/DT11</f>
        <v>0.2088888888888889</v>
      </c>
      <c r="DU42" s="1130">
        <f t="shared" ref="DU42:DV42" si="150">+DU41/DU11</f>
        <v>0.29255940786910789</v>
      </c>
      <c r="DV42" s="1130">
        <f t="shared" si="150"/>
        <v>-2.2030237580993522E-2</v>
      </c>
      <c r="DW42" s="1130">
        <f t="shared" ref="DW42:DY42" si="151">+DW41/DW11</f>
        <v>7.4999999999999997E-2</v>
      </c>
      <c r="DX42" s="1130">
        <f t="shared" si="151"/>
        <v>7.5000000000000136E-2</v>
      </c>
      <c r="DY42" s="299">
        <f t="shared" si="151"/>
        <v>7.5000000000000122E-2</v>
      </c>
    </row>
    <row r="43" spans="1:129">
      <c r="A43" s="554"/>
      <c r="Y43" s="2995"/>
      <c r="Z43" s="3250"/>
      <c r="AH43" s="3009"/>
      <c r="AX43" s="554"/>
      <c r="BB43" s="554"/>
      <c r="BF43" s="554"/>
      <c r="BJ43" s="554"/>
      <c r="BN43" s="554"/>
      <c r="BR43" s="554"/>
      <c r="BV43" s="554"/>
      <c r="BZ43" s="554"/>
      <c r="CD43" s="554"/>
      <c r="CH43" s="554"/>
      <c r="CL43" s="554"/>
      <c r="CP43" s="554"/>
      <c r="CT43" s="554"/>
      <c r="CW43" s="555"/>
      <c r="DB43" s="554"/>
      <c r="DE43" s="1074"/>
      <c r="DF43" s="554"/>
      <c r="DI43" s="555"/>
      <c r="DJ43" s="554"/>
      <c r="DM43" s="555"/>
      <c r="DQ43" s="555"/>
      <c r="DY43" s="555"/>
    </row>
    <row r="44" spans="1:129">
      <c r="A44" s="677" t="s">
        <v>492</v>
      </c>
      <c r="Q44" s="1047">
        <f>'Pension - NEW'!I15</f>
        <v>1924</v>
      </c>
      <c r="R44" s="143">
        <f>'Pension - NEW'!J15</f>
        <v>1797</v>
      </c>
      <c r="S44" s="143">
        <f>'Pension - NEW'!K15</f>
        <v>1590</v>
      </c>
      <c r="T44" s="1047">
        <f>'Pension - NEW'!L15</f>
        <v>1449</v>
      </c>
      <c r="U44" s="143">
        <f>'Pension - NEW'!M15</f>
        <v>1002</v>
      </c>
      <c r="V44" s="143">
        <f>'Pension - NEW'!N15</f>
        <v>1035</v>
      </c>
      <c r="W44" s="143">
        <f>'Pension - NEW'!O15</f>
        <v>969</v>
      </c>
      <c r="X44" s="143">
        <f>'Pension - NEW'!P15</f>
        <v>677</v>
      </c>
      <c r="Y44" s="143">
        <f>'Pension - NEW'!Q15</f>
        <v>938.4319999999999</v>
      </c>
      <c r="Z44" s="143">
        <f>'Pension - NEW'!R15</f>
        <v>917.07957599999997</v>
      </c>
      <c r="AA44" s="143">
        <f>'Pension - NEW'!S15</f>
        <v>908.39699776800001</v>
      </c>
      <c r="AB44" s="143">
        <f>'Pension - NEW'!Z15</f>
        <v>0</v>
      </c>
      <c r="AC44" s="143">
        <f>'Pension - NEW'!AA15</f>
        <v>0</v>
      </c>
      <c r="AD44" s="143">
        <f>'Pension - NEW'!AB15</f>
        <v>0</v>
      </c>
      <c r="AE44" s="143">
        <f>'Pension - NEW'!AC15</f>
        <v>0</v>
      </c>
      <c r="AF44" s="143">
        <f>'Pension - NEW'!AD15</f>
        <v>0</v>
      </c>
      <c r="AG44" s="143">
        <f>'Pension - NEW'!AE15</f>
        <v>0</v>
      </c>
      <c r="AH44" s="3009"/>
      <c r="AX44" s="554"/>
      <c r="BB44" s="554"/>
      <c r="BF44" s="554"/>
      <c r="BJ44" s="554"/>
      <c r="BN44" s="554"/>
      <c r="BR44" s="554"/>
      <c r="BV44" s="554"/>
      <c r="BZ44" s="554"/>
      <c r="CD44" s="554"/>
      <c r="CH44" s="554"/>
      <c r="CL44" s="159">
        <f t="shared" ref="CL44:CO47" si="152">+$Q44/4</f>
        <v>481</v>
      </c>
      <c r="CM44" s="143">
        <f t="shared" si="152"/>
        <v>481</v>
      </c>
      <c r="CN44" s="143">
        <f t="shared" si="152"/>
        <v>481</v>
      </c>
      <c r="CO44" s="143">
        <f t="shared" si="152"/>
        <v>481</v>
      </c>
      <c r="CP44" s="159">
        <f t="shared" ref="CP44:CS47" si="153">+$R44/4</f>
        <v>449.25</v>
      </c>
      <c r="CQ44" s="143">
        <f t="shared" si="153"/>
        <v>449.25</v>
      </c>
      <c r="CR44" s="143">
        <f t="shared" si="153"/>
        <v>449.25</v>
      </c>
      <c r="CS44" s="143">
        <f t="shared" si="153"/>
        <v>449.25</v>
      </c>
      <c r="CT44" s="159">
        <f t="shared" ref="CT44:CW47" si="154">+$S44/4</f>
        <v>397.5</v>
      </c>
      <c r="CU44" s="143">
        <f t="shared" si="154"/>
        <v>397.5</v>
      </c>
      <c r="CV44" s="143">
        <f t="shared" si="154"/>
        <v>397.5</v>
      </c>
      <c r="CW44" s="189">
        <f t="shared" si="154"/>
        <v>397.5</v>
      </c>
      <c r="CX44" s="143">
        <f t="shared" ref="CX44:DA47" si="155">+$T44/4</f>
        <v>362.25</v>
      </c>
      <c r="CY44" s="143">
        <f t="shared" si="155"/>
        <v>362.25</v>
      </c>
      <c r="CZ44" s="143">
        <f t="shared" si="155"/>
        <v>362.25</v>
      </c>
      <c r="DA44" s="189">
        <f t="shared" si="155"/>
        <v>362.25</v>
      </c>
      <c r="DB44" s="143">
        <f t="shared" ref="DB44:DV47" si="156">+$U44/4</f>
        <v>250.5</v>
      </c>
      <c r="DC44" s="143">
        <f t="shared" si="156"/>
        <v>250.5</v>
      </c>
      <c r="DD44" s="143">
        <f t="shared" si="156"/>
        <v>250.5</v>
      </c>
      <c r="DE44" s="1047">
        <f t="shared" si="156"/>
        <v>250.5</v>
      </c>
      <c r="DF44" s="159">
        <f t="shared" si="156"/>
        <v>250.5</v>
      </c>
      <c r="DG44" s="1047">
        <f t="shared" si="156"/>
        <v>250.5</v>
      </c>
      <c r="DH44" s="1047">
        <f t="shared" si="156"/>
        <v>250.5</v>
      </c>
      <c r="DI44" s="189">
        <f t="shared" si="156"/>
        <v>250.5</v>
      </c>
      <c r="DJ44" s="159">
        <f t="shared" si="156"/>
        <v>250.5</v>
      </c>
      <c r="DK44" s="1047">
        <f t="shared" si="156"/>
        <v>250.5</v>
      </c>
      <c r="DL44" s="1047">
        <f t="shared" si="156"/>
        <v>250.5</v>
      </c>
      <c r="DM44" s="189">
        <f t="shared" si="156"/>
        <v>250.5</v>
      </c>
      <c r="DN44" s="1047">
        <f t="shared" si="156"/>
        <v>250.5</v>
      </c>
      <c r="DO44" s="1047">
        <f t="shared" si="156"/>
        <v>250.5</v>
      </c>
      <c r="DP44" s="1047">
        <f t="shared" si="156"/>
        <v>250.5</v>
      </c>
      <c r="DQ44" s="189">
        <f t="shared" si="156"/>
        <v>250.5</v>
      </c>
      <c r="DR44" s="1047">
        <f t="shared" si="156"/>
        <v>250.5</v>
      </c>
      <c r="DS44" s="1047">
        <f t="shared" si="156"/>
        <v>250.5</v>
      </c>
      <c r="DT44" s="1047">
        <f t="shared" si="156"/>
        <v>250.5</v>
      </c>
      <c r="DU44" s="1047">
        <f t="shared" si="156"/>
        <v>250.5</v>
      </c>
      <c r="DV44" s="1047">
        <f t="shared" si="156"/>
        <v>250.5</v>
      </c>
      <c r="DW44" s="1047">
        <f t="shared" ref="DW44:DY47" si="157">+$U44/4</f>
        <v>250.5</v>
      </c>
      <c r="DX44" s="1047">
        <f t="shared" si="157"/>
        <v>250.5</v>
      </c>
      <c r="DY44" s="189">
        <f t="shared" si="157"/>
        <v>250.5</v>
      </c>
    </row>
    <row r="45" spans="1:129">
      <c r="A45" s="677" t="s">
        <v>493</v>
      </c>
      <c r="Q45" s="1047">
        <f>'Pension - NEW'!I16</f>
        <v>-2937</v>
      </c>
      <c r="R45" s="143">
        <f>'Pension - NEW'!J16</f>
        <v>-2176</v>
      </c>
      <c r="S45" s="143">
        <f>'Pension - NEW'!K16</f>
        <v>-1976</v>
      </c>
      <c r="T45" s="1047">
        <f>'Pension - NEW'!L16</f>
        <v>-1795</v>
      </c>
      <c r="U45" s="143">
        <f>'Pension - NEW'!M16</f>
        <v>-1245</v>
      </c>
      <c r="V45" s="143">
        <f>'Pension - NEW'!N16</f>
        <v>-1181</v>
      </c>
      <c r="W45" s="143">
        <f>'Pension - NEW'!O16</f>
        <v>-1270</v>
      </c>
      <c r="X45" s="143">
        <f>'Pension - NEW'!P16</f>
        <v>-1045</v>
      </c>
      <c r="Y45" s="143">
        <f>'Pension - NEW'!Q16</f>
        <v>-1026.4100000000001</v>
      </c>
      <c r="Z45" s="143">
        <f>'Pension - NEW'!R16</f>
        <v>-1031.2687000000001</v>
      </c>
      <c r="AA45" s="143">
        <f>'Pension - NEW'!S16</f>
        <v>-1058.5875090000002</v>
      </c>
      <c r="AB45" s="143">
        <f>'Pension - NEW'!Z16</f>
        <v>0</v>
      </c>
      <c r="AC45" s="143">
        <f>'Pension - NEW'!AA16</f>
        <v>0</v>
      </c>
      <c r="AD45" s="143">
        <f>'Pension - NEW'!AB16</f>
        <v>0</v>
      </c>
      <c r="AE45" s="143">
        <f>'Pension - NEW'!AC16</f>
        <v>0</v>
      </c>
      <c r="AF45" s="143">
        <f>'Pension - NEW'!AD16</f>
        <v>0</v>
      </c>
      <c r="AG45" s="143">
        <f>'Pension - NEW'!AE16</f>
        <v>0</v>
      </c>
      <c r="AH45" s="3009"/>
      <c r="AX45" s="554"/>
      <c r="BB45" s="554"/>
      <c r="BF45" s="554"/>
      <c r="BJ45" s="554"/>
      <c r="BN45" s="554"/>
      <c r="BR45" s="554"/>
      <c r="BV45" s="554"/>
      <c r="BZ45" s="554"/>
      <c r="CD45" s="554"/>
      <c r="CH45" s="554"/>
      <c r="CL45" s="159">
        <f t="shared" si="152"/>
        <v>-734.25</v>
      </c>
      <c r="CM45" s="143">
        <f t="shared" si="152"/>
        <v>-734.25</v>
      </c>
      <c r="CN45" s="143">
        <f t="shared" si="152"/>
        <v>-734.25</v>
      </c>
      <c r="CO45" s="143">
        <f t="shared" si="152"/>
        <v>-734.25</v>
      </c>
      <c r="CP45" s="159">
        <f t="shared" si="153"/>
        <v>-544</v>
      </c>
      <c r="CQ45" s="143">
        <f t="shared" si="153"/>
        <v>-544</v>
      </c>
      <c r="CR45" s="143">
        <f t="shared" si="153"/>
        <v>-544</v>
      </c>
      <c r="CS45" s="143">
        <f t="shared" si="153"/>
        <v>-544</v>
      </c>
      <c r="CT45" s="159">
        <f t="shared" si="154"/>
        <v>-494</v>
      </c>
      <c r="CU45" s="143">
        <f t="shared" si="154"/>
        <v>-494</v>
      </c>
      <c r="CV45" s="143">
        <f t="shared" si="154"/>
        <v>-494</v>
      </c>
      <c r="CW45" s="189">
        <f t="shared" si="154"/>
        <v>-494</v>
      </c>
      <c r="CX45" s="143">
        <f t="shared" si="155"/>
        <v>-448.75</v>
      </c>
      <c r="CY45" s="143">
        <f t="shared" si="155"/>
        <v>-448.75</v>
      </c>
      <c r="CZ45" s="143">
        <f t="shared" si="155"/>
        <v>-448.75</v>
      </c>
      <c r="DA45" s="189">
        <f t="shared" si="155"/>
        <v>-448.75</v>
      </c>
      <c r="DB45" s="143">
        <f t="shared" si="156"/>
        <v>-311.25</v>
      </c>
      <c r="DC45" s="143">
        <f t="shared" si="156"/>
        <v>-311.25</v>
      </c>
      <c r="DD45" s="143">
        <f t="shared" si="156"/>
        <v>-311.25</v>
      </c>
      <c r="DE45" s="1047">
        <f t="shared" si="156"/>
        <v>-311.25</v>
      </c>
      <c r="DF45" s="159">
        <f t="shared" si="156"/>
        <v>-311.25</v>
      </c>
      <c r="DG45" s="1047">
        <f t="shared" si="156"/>
        <v>-311.25</v>
      </c>
      <c r="DH45" s="1047">
        <f t="shared" si="156"/>
        <v>-311.25</v>
      </c>
      <c r="DI45" s="189">
        <f t="shared" si="156"/>
        <v>-311.25</v>
      </c>
      <c r="DJ45" s="159">
        <f t="shared" si="156"/>
        <v>-311.25</v>
      </c>
      <c r="DK45" s="1047">
        <f t="shared" si="156"/>
        <v>-311.25</v>
      </c>
      <c r="DL45" s="1047">
        <f t="shared" si="156"/>
        <v>-311.25</v>
      </c>
      <c r="DM45" s="189">
        <f t="shared" si="156"/>
        <v>-311.25</v>
      </c>
      <c r="DN45" s="1047">
        <f t="shared" si="156"/>
        <v>-311.25</v>
      </c>
      <c r="DO45" s="1047">
        <f t="shared" si="156"/>
        <v>-311.25</v>
      </c>
      <c r="DP45" s="1047">
        <f t="shared" si="156"/>
        <v>-311.25</v>
      </c>
      <c r="DQ45" s="189">
        <f t="shared" si="156"/>
        <v>-311.25</v>
      </c>
      <c r="DR45" s="1047">
        <f t="shared" si="156"/>
        <v>-311.25</v>
      </c>
      <c r="DS45" s="1047">
        <f t="shared" si="156"/>
        <v>-311.25</v>
      </c>
      <c r="DT45" s="1047">
        <f t="shared" si="156"/>
        <v>-311.25</v>
      </c>
      <c r="DU45" s="1047">
        <f t="shared" si="156"/>
        <v>-311.25</v>
      </c>
      <c r="DV45" s="1047">
        <f t="shared" si="156"/>
        <v>-311.25</v>
      </c>
      <c r="DW45" s="1047">
        <f t="shared" si="157"/>
        <v>-311.25</v>
      </c>
      <c r="DX45" s="1047">
        <f t="shared" si="157"/>
        <v>-311.25</v>
      </c>
      <c r="DY45" s="189">
        <f t="shared" si="157"/>
        <v>-311.25</v>
      </c>
    </row>
    <row r="46" spans="1:129">
      <c r="A46" s="677" t="s">
        <v>494</v>
      </c>
      <c r="Q46" s="1047">
        <f>'OPEB - NEW'!I15</f>
        <v>1766</v>
      </c>
      <c r="R46" s="143">
        <f>'OPEB - NEW'!J15</f>
        <v>1639</v>
      </c>
      <c r="S46" s="143">
        <f>'OPEB - NEW'!K15</f>
        <v>1421</v>
      </c>
      <c r="T46" s="1047">
        <f>'OPEB - NEW'!L15</f>
        <v>1284</v>
      </c>
      <c r="U46" s="143">
        <f>'OPEB - NEW'!M15</f>
        <v>1095</v>
      </c>
      <c r="V46" s="143">
        <f>'OPEB - NEW'!N15</f>
        <v>1107</v>
      </c>
      <c r="W46" s="143">
        <f>'OPEB - NEW'!O15</f>
        <v>1117</v>
      </c>
      <c r="X46" s="143">
        <f>'OPEB - NEW'!P15</f>
        <v>746</v>
      </c>
      <c r="Y46" s="143">
        <f>'OPEB - NEW'!Q15</f>
        <v>825.30000000000007</v>
      </c>
      <c r="Z46" s="143">
        <f>'OPEB - NEW'!R15</f>
        <v>809.68860000000006</v>
      </c>
      <c r="AA46" s="143">
        <f>'OPEB - NEW'!S15</f>
        <v>793.6735212000001</v>
      </c>
      <c r="AB46" s="143">
        <f>'OPEB - NEW'!Z15</f>
        <v>0</v>
      </c>
      <c r="AC46" s="143">
        <f>'OPEB - NEW'!AA15</f>
        <v>0</v>
      </c>
      <c r="AD46" s="143">
        <f>'OPEB - NEW'!AB15</f>
        <v>0</v>
      </c>
      <c r="AE46" s="143">
        <f>'OPEB - NEW'!AC15</f>
        <v>0</v>
      </c>
      <c r="AF46" s="143">
        <f>'OPEB - NEW'!AD15</f>
        <v>0</v>
      </c>
      <c r="AG46" s="143">
        <f>'OPEB - NEW'!AE15</f>
        <v>0</v>
      </c>
      <c r="AH46" s="3009"/>
      <c r="AX46" s="554"/>
      <c r="BB46" s="554"/>
      <c r="BF46" s="554"/>
      <c r="BJ46" s="554"/>
      <c r="BN46" s="554"/>
      <c r="BR46" s="554"/>
      <c r="BV46" s="554"/>
      <c r="BZ46" s="554"/>
      <c r="CD46" s="554"/>
      <c r="CH46" s="554"/>
      <c r="CL46" s="159">
        <f t="shared" si="152"/>
        <v>441.5</v>
      </c>
      <c r="CM46" s="143">
        <f t="shared" si="152"/>
        <v>441.5</v>
      </c>
      <c r="CN46" s="143">
        <f t="shared" si="152"/>
        <v>441.5</v>
      </c>
      <c r="CO46" s="143">
        <f t="shared" si="152"/>
        <v>441.5</v>
      </c>
      <c r="CP46" s="159">
        <f t="shared" si="153"/>
        <v>409.75</v>
      </c>
      <c r="CQ46" s="143">
        <f t="shared" si="153"/>
        <v>409.75</v>
      </c>
      <c r="CR46" s="143">
        <f t="shared" si="153"/>
        <v>409.75</v>
      </c>
      <c r="CS46" s="143">
        <f t="shared" si="153"/>
        <v>409.75</v>
      </c>
      <c r="CT46" s="159">
        <f t="shared" si="154"/>
        <v>355.25</v>
      </c>
      <c r="CU46" s="143">
        <f t="shared" si="154"/>
        <v>355.25</v>
      </c>
      <c r="CV46" s="143">
        <f t="shared" si="154"/>
        <v>355.25</v>
      </c>
      <c r="CW46" s="189">
        <f t="shared" si="154"/>
        <v>355.25</v>
      </c>
      <c r="CX46" s="143">
        <f t="shared" si="155"/>
        <v>321</v>
      </c>
      <c r="CY46" s="143">
        <f t="shared" si="155"/>
        <v>321</v>
      </c>
      <c r="CZ46" s="143">
        <f t="shared" si="155"/>
        <v>321</v>
      </c>
      <c r="DA46" s="189">
        <f t="shared" si="155"/>
        <v>321</v>
      </c>
      <c r="DB46" s="143">
        <f t="shared" si="156"/>
        <v>273.75</v>
      </c>
      <c r="DC46" s="143">
        <f t="shared" si="156"/>
        <v>273.75</v>
      </c>
      <c r="DD46" s="143">
        <f t="shared" si="156"/>
        <v>273.75</v>
      </c>
      <c r="DE46" s="1047">
        <f t="shared" si="156"/>
        <v>273.75</v>
      </c>
      <c r="DF46" s="159">
        <f t="shared" si="156"/>
        <v>273.75</v>
      </c>
      <c r="DG46" s="1047">
        <f t="shared" si="156"/>
        <v>273.75</v>
      </c>
      <c r="DH46" s="1047">
        <f t="shared" si="156"/>
        <v>273.75</v>
      </c>
      <c r="DI46" s="189">
        <f t="shared" si="156"/>
        <v>273.75</v>
      </c>
      <c r="DJ46" s="159">
        <f t="shared" si="156"/>
        <v>273.75</v>
      </c>
      <c r="DK46" s="1047">
        <f t="shared" si="156"/>
        <v>273.75</v>
      </c>
      <c r="DL46" s="1047">
        <f t="shared" si="156"/>
        <v>273.75</v>
      </c>
      <c r="DM46" s="189">
        <f t="shared" si="156"/>
        <v>273.75</v>
      </c>
      <c r="DN46" s="1047">
        <f t="shared" si="156"/>
        <v>273.75</v>
      </c>
      <c r="DO46" s="1047">
        <f t="shared" si="156"/>
        <v>273.75</v>
      </c>
      <c r="DP46" s="1047">
        <f t="shared" si="156"/>
        <v>273.75</v>
      </c>
      <c r="DQ46" s="189">
        <f t="shared" si="156"/>
        <v>273.75</v>
      </c>
      <c r="DR46" s="1047">
        <f t="shared" si="156"/>
        <v>273.75</v>
      </c>
      <c r="DS46" s="1047">
        <f t="shared" si="156"/>
        <v>273.75</v>
      </c>
      <c r="DT46" s="1047">
        <f t="shared" si="156"/>
        <v>273.75</v>
      </c>
      <c r="DU46" s="1047">
        <f t="shared" si="156"/>
        <v>273.75</v>
      </c>
      <c r="DV46" s="1047">
        <f t="shared" si="156"/>
        <v>273.75</v>
      </c>
      <c r="DW46" s="1047">
        <f t="shared" si="157"/>
        <v>273.75</v>
      </c>
      <c r="DX46" s="1047">
        <f t="shared" si="157"/>
        <v>273.75</v>
      </c>
      <c r="DY46" s="189">
        <f t="shared" si="157"/>
        <v>273.75</v>
      </c>
    </row>
    <row r="47" spans="1:129">
      <c r="A47" s="677" t="s">
        <v>495</v>
      </c>
      <c r="Q47" s="1047">
        <f>'OPEB - NEW'!I16</f>
        <v>-302</v>
      </c>
      <c r="R47" s="143">
        <f>'OPEB - NEW'!J16</f>
        <v>-252</v>
      </c>
      <c r="S47" s="143">
        <f>'OPEB - NEW'!K16</f>
        <v>-163</v>
      </c>
      <c r="T47" s="1047">
        <f>'OPEB - NEW'!L16</f>
        <v>-171</v>
      </c>
      <c r="U47" s="143">
        <f>'OPEB - NEW'!M16</f>
        <v>-143</v>
      </c>
      <c r="V47" s="143">
        <f>'OPEB - NEW'!N16</f>
        <v>-161</v>
      </c>
      <c r="W47" s="143">
        <f>'OPEB - NEW'!O16</f>
        <v>-101</v>
      </c>
      <c r="X47" s="143">
        <f>'OPEB - NEW'!P16</f>
        <v>-54</v>
      </c>
      <c r="Y47" s="143">
        <f>'OPEB - NEW'!Q16</f>
        <v>-51.793999999999997</v>
      </c>
      <c r="Z47" s="143">
        <f>'OPEB - NEW'!R16</f>
        <v>-31.342171999999994</v>
      </c>
      <c r="AA47" s="143">
        <f>'OPEB - NEW'!S16</f>
        <v>-10.341174535999999</v>
      </c>
      <c r="AB47" s="143">
        <f>'OPEB - NEW'!Z16</f>
        <v>0</v>
      </c>
      <c r="AC47" s="143">
        <f>'OPEB - NEW'!AA16</f>
        <v>0</v>
      </c>
      <c r="AD47" s="143">
        <f>'OPEB - NEW'!AB16</f>
        <v>0</v>
      </c>
      <c r="AE47" s="143">
        <f>'OPEB - NEW'!AC16</f>
        <v>0</v>
      </c>
      <c r="AF47" s="143">
        <f>'OPEB - NEW'!AD16</f>
        <v>0</v>
      </c>
      <c r="AG47" s="143">
        <f>'OPEB - NEW'!AE16</f>
        <v>0</v>
      </c>
      <c r="AH47" s="3009"/>
      <c r="AX47" s="554"/>
      <c r="BB47" s="554"/>
      <c r="BF47" s="554"/>
      <c r="BJ47" s="554"/>
      <c r="BN47" s="554"/>
      <c r="BR47" s="554"/>
      <c r="BV47" s="554"/>
      <c r="BZ47" s="554"/>
      <c r="CD47" s="554"/>
      <c r="CH47" s="554"/>
      <c r="CL47" s="159">
        <f t="shared" si="152"/>
        <v>-75.5</v>
      </c>
      <c r="CM47" s="143">
        <f t="shared" si="152"/>
        <v>-75.5</v>
      </c>
      <c r="CN47" s="143">
        <f t="shared" si="152"/>
        <v>-75.5</v>
      </c>
      <c r="CO47" s="143">
        <f t="shared" si="152"/>
        <v>-75.5</v>
      </c>
      <c r="CP47" s="159">
        <f t="shared" si="153"/>
        <v>-63</v>
      </c>
      <c r="CQ47" s="143">
        <f t="shared" si="153"/>
        <v>-63</v>
      </c>
      <c r="CR47" s="143">
        <f t="shared" si="153"/>
        <v>-63</v>
      </c>
      <c r="CS47" s="143">
        <f t="shared" si="153"/>
        <v>-63</v>
      </c>
      <c r="CT47" s="159">
        <f t="shared" si="154"/>
        <v>-40.75</v>
      </c>
      <c r="CU47" s="143">
        <f t="shared" si="154"/>
        <v>-40.75</v>
      </c>
      <c r="CV47" s="143">
        <f t="shared" si="154"/>
        <v>-40.75</v>
      </c>
      <c r="CW47" s="189">
        <f t="shared" si="154"/>
        <v>-40.75</v>
      </c>
      <c r="CX47" s="143">
        <f t="shared" si="155"/>
        <v>-42.75</v>
      </c>
      <c r="CY47" s="143">
        <f t="shared" si="155"/>
        <v>-42.75</v>
      </c>
      <c r="CZ47" s="143">
        <f t="shared" si="155"/>
        <v>-42.75</v>
      </c>
      <c r="DA47" s="503">
        <f t="shared" si="155"/>
        <v>-42.75</v>
      </c>
      <c r="DB47" s="143">
        <f t="shared" si="156"/>
        <v>-35.75</v>
      </c>
      <c r="DC47" s="143">
        <f t="shared" si="156"/>
        <v>-35.75</v>
      </c>
      <c r="DD47" s="143">
        <f t="shared" si="156"/>
        <v>-35.75</v>
      </c>
      <c r="DE47" s="1047">
        <f t="shared" si="156"/>
        <v>-35.75</v>
      </c>
      <c r="DF47" s="159">
        <f t="shared" si="156"/>
        <v>-35.75</v>
      </c>
      <c r="DG47" s="1047">
        <f t="shared" si="156"/>
        <v>-35.75</v>
      </c>
      <c r="DH47" s="1047">
        <f t="shared" si="156"/>
        <v>-35.75</v>
      </c>
      <c r="DI47" s="189">
        <f t="shared" si="156"/>
        <v>-35.75</v>
      </c>
      <c r="DJ47" s="159">
        <f t="shared" si="156"/>
        <v>-35.75</v>
      </c>
      <c r="DK47" s="1047">
        <f t="shared" si="156"/>
        <v>-35.75</v>
      </c>
      <c r="DL47" s="1047">
        <f t="shared" si="156"/>
        <v>-35.75</v>
      </c>
      <c r="DM47" s="503">
        <f t="shared" si="156"/>
        <v>-35.75</v>
      </c>
      <c r="DN47" s="1047">
        <f t="shared" si="156"/>
        <v>-35.75</v>
      </c>
      <c r="DO47" s="1047">
        <f t="shared" si="156"/>
        <v>-35.75</v>
      </c>
      <c r="DP47" s="1047">
        <f t="shared" si="156"/>
        <v>-35.75</v>
      </c>
      <c r="DQ47" s="189">
        <f t="shared" si="156"/>
        <v>-35.75</v>
      </c>
      <c r="DR47" s="1047">
        <f t="shared" si="156"/>
        <v>-35.75</v>
      </c>
      <c r="DS47" s="1047">
        <f t="shared" si="156"/>
        <v>-35.75</v>
      </c>
      <c r="DT47" s="1047">
        <f t="shared" si="156"/>
        <v>-35.75</v>
      </c>
      <c r="DU47" s="1047">
        <f t="shared" si="156"/>
        <v>-35.75</v>
      </c>
      <c r="DV47" s="1047">
        <f t="shared" si="156"/>
        <v>-35.75</v>
      </c>
      <c r="DW47" s="1047">
        <f t="shared" si="157"/>
        <v>-35.75</v>
      </c>
      <c r="DX47" s="1047">
        <f t="shared" si="157"/>
        <v>-35.75</v>
      </c>
      <c r="DY47" s="189">
        <f t="shared" si="157"/>
        <v>-35.75</v>
      </c>
    </row>
    <row r="48" spans="1:129">
      <c r="A48" s="757"/>
      <c r="B48" s="114"/>
      <c r="C48" s="114"/>
      <c r="D48" s="114"/>
      <c r="E48" s="114"/>
      <c r="F48" s="114"/>
      <c r="G48" s="114"/>
      <c r="H48" s="114"/>
      <c r="I48" s="114"/>
      <c r="J48" s="114"/>
      <c r="K48" s="114"/>
      <c r="L48" s="114"/>
      <c r="M48" s="114"/>
      <c r="N48" s="114"/>
      <c r="O48" s="114"/>
      <c r="P48" s="114"/>
      <c r="Q48" s="759">
        <f t="shared" ref="Q48:V48" si="158">SUM(Q44:Q47)</f>
        <v>451</v>
      </c>
      <c r="R48" s="759">
        <f t="shared" si="158"/>
        <v>1008</v>
      </c>
      <c r="S48" s="759">
        <f t="shared" si="158"/>
        <v>872</v>
      </c>
      <c r="T48" s="759">
        <f t="shared" si="158"/>
        <v>767</v>
      </c>
      <c r="U48" s="759">
        <f t="shared" si="158"/>
        <v>709</v>
      </c>
      <c r="V48" s="759">
        <f t="shared" si="158"/>
        <v>800</v>
      </c>
      <c r="W48" s="759">
        <f t="shared" ref="W48:AB48" si="159">SUM(W44:W47)</f>
        <v>715</v>
      </c>
      <c r="X48" s="759">
        <f t="shared" si="159"/>
        <v>324</v>
      </c>
      <c r="Y48" s="759">
        <f t="shared" si="159"/>
        <v>685.52799999999991</v>
      </c>
      <c r="Z48" s="759">
        <f t="shared" si="159"/>
        <v>664.15730399999995</v>
      </c>
      <c r="AA48" s="759">
        <f t="shared" si="159"/>
        <v>633.14183543199988</v>
      </c>
      <c r="AB48" s="759">
        <f t="shared" si="159"/>
        <v>0</v>
      </c>
      <c r="AC48" s="759">
        <f t="shared" ref="AC48:AG48" si="160">SUM(AC44:AC47)</f>
        <v>0</v>
      </c>
      <c r="AD48" s="759">
        <f t="shared" si="160"/>
        <v>0</v>
      </c>
      <c r="AE48" s="759">
        <f t="shared" si="160"/>
        <v>0</v>
      </c>
      <c r="AF48" s="759">
        <f t="shared" si="160"/>
        <v>0</v>
      </c>
      <c r="AG48" s="759">
        <f t="shared" si="160"/>
        <v>0</v>
      </c>
      <c r="AH48" s="3009"/>
      <c r="AI48" s="114"/>
      <c r="AJ48" s="114"/>
      <c r="AK48" s="114"/>
      <c r="AL48" s="114"/>
      <c r="AM48" s="114"/>
      <c r="AN48" s="114"/>
      <c r="AO48" s="114"/>
      <c r="AP48" s="114"/>
      <c r="AQ48" s="114"/>
      <c r="AR48" s="114"/>
      <c r="AS48" s="114"/>
      <c r="AT48" s="114"/>
      <c r="AU48" s="114"/>
      <c r="AV48" s="114"/>
      <c r="AW48" s="114"/>
      <c r="AX48" s="757"/>
      <c r="AY48" s="114"/>
      <c r="AZ48" s="114"/>
      <c r="BA48" s="114"/>
      <c r="BB48" s="757"/>
      <c r="BC48" s="114"/>
      <c r="BD48" s="114"/>
      <c r="BE48" s="114"/>
      <c r="BF48" s="757"/>
      <c r="BG48" s="114"/>
      <c r="BH48" s="114"/>
      <c r="BI48" s="114"/>
      <c r="BJ48" s="757"/>
      <c r="BK48" s="114"/>
      <c r="BL48" s="114"/>
      <c r="BM48" s="114"/>
      <c r="BN48" s="757"/>
      <c r="BO48" s="114"/>
      <c r="BP48" s="114"/>
      <c r="BQ48" s="114"/>
      <c r="BR48" s="757"/>
      <c r="BS48" s="114"/>
      <c r="BT48" s="114"/>
      <c r="BU48" s="114"/>
      <c r="BV48" s="757"/>
      <c r="BW48" s="114"/>
      <c r="BX48" s="114"/>
      <c r="BY48" s="114"/>
      <c r="BZ48" s="757"/>
      <c r="CA48" s="114"/>
      <c r="CB48" s="114"/>
      <c r="CC48" s="114"/>
      <c r="CD48" s="757"/>
      <c r="CE48" s="114"/>
      <c r="CF48" s="114"/>
      <c r="CG48" s="114"/>
      <c r="CH48" s="757"/>
      <c r="CI48" s="114"/>
      <c r="CJ48" s="114"/>
      <c r="CK48" s="114"/>
      <c r="CL48" s="758">
        <f t="shared" ref="CL48:DF48" si="161">SUM(CL44:CL47)</f>
        <v>112.75</v>
      </c>
      <c r="CM48" s="759">
        <f t="shared" si="161"/>
        <v>112.75</v>
      </c>
      <c r="CN48" s="759">
        <f t="shared" si="161"/>
        <v>112.75</v>
      </c>
      <c r="CO48" s="759">
        <f t="shared" si="161"/>
        <v>112.75</v>
      </c>
      <c r="CP48" s="758">
        <f t="shared" si="161"/>
        <v>252</v>
      </c>
      <c r="CQ48" s="759">
        <f t="shared" si="161"/>
        <v>252</v>
      </c>
      <c r="CR48" s="759">
        <f t="shared" si="161"/>
        <v>252</v>
      </c>
      <c r="CS48" s="759">
        <f t="shared" si="161"/>
        <v>252</v>
      </c>
      <c r="CT48" s="758">
        <f t="shared" si="161"/>
        <v>218</v>
      </c>
      <c r="CU48" s="759">
        <f t="shared" si="161"/>
        <v>218</v>
      </c>
      <c r="CV48" s="759">
        <f t="shared" si="161"/>
        <v>218</v>
      </c>
      <c r="CW48" s="760">
        <f t="shared" si="161"/>
        <v>218</v>
      </c>
      <c r="CX48" s="759">
        <f t="shared" si="161"/>
        <v>191.75</v>
      </c>
      <c r="CY48" s="759">
        <f t="shared" si="161"/>
        <v>191.75</v>
      </c>
      <c r="CZ48" s="759">
        <f t="shared" si="161"/>
        <v>191.75</v>
      </c>
      <c r="DA48" s="210">
        <f t="shared" si="161"/>
        <v>191.75</v>
      </c>
      <c r="DB48" s="758">
        <f t="shared" si="161"/>
        <v>177.25</v>
      </c>
      <c r="DC48" s="759">
        <f t="shared" si="161"/>
        <v>177.25</v>
      </c>
      <c r="DD48" s="759">
        <f t="shared" si="161"/>
        <v>177.25</v>
      </c>
      <c r="DE48" s="759">
        <f t="shared" si="161"/>
        <v>177.25</v>
      </c>
      <c r="DF48" s="758">
        <f t="shared" si="161"/>
        <v>177.25</v>
      </c>
      <c r="DG48" s="759">
        <f>SUM(DG44:DG47)</f>
        <v>177.25</v>
      </c>
      <c r="DH48" s="759">
        <f>SUM(DH44:DH47)</f>
        <v>177.25</v>
      </c>
      <c r="DI48" s="760">
        <f>SUM(DI44:DI47)</f>
        <v>177.25</v>
      </c>
      <c r="DJ48" s="758">
        <f t="shared" ref="DJ48:DM48" si="162">SUM(DJ44:DJ47)</f>
        <v>177.25</v>
      </c>
      <c r="DK48" s="759">
        <f t="shared" si="162"/>
        <v>177.25</v>
      </c>
      <c r="DL48" s="759">
        <f t="shared" si="162"/>
        <v>177.25</v>
      </c>
      <c r="DM48" s="759">
        <f t="shared" si="162"/>
        <v>177.25</v>
      </c>
      <c r="DN48" s="759">
        <f t="shared" ref="DN48:DO48" si="163">SUM(DN44:DN47)</f>
        <v>177.25</v>
      </c>
      <c r="DO48" s="759">
        <f t="shared" si="163"/>
        <v>177.25</v>
      </c>
      <c r="DP48" s="759">
        <f t="shared" ref="DP48:DQ48" si="164">SUM(DP44:DP47)</f>
        <v>177.25</v>
      </c>
      <c r="DQ48" s="3069">
        <f t="shared" si="164"/>
        <v>177.25</v>
      </c>
      <c r="DR48" s="759">
        <f t="shared" ref="DR48:DS48" si="165">SUM(DR44:DR47)</f>
        <v>177.25</v>
      </c>
      <c r="DS48" s="759">
        <f t="shared" si="165"/>
        <v>177.25</v>
      </c>
      <c r="DT48" s="759">
        <f t="shared" ref="DT48:DU48" si="166">SUM(DT44:DT47)</f>
        <v>177.25</v>
      </c>
      <c r="DU48" s="759">
        <f t="shared" si="166"/>
        <v>177.25</v>
      </c>
      <c r="DV48" s="3275">
        <f t="shared" ref="DV48" si="167">SUM(DV44:DV47)</f>
        <v>177.25</v>
      </c>
      <c r="DW48" s="3275">
        <f t="shared" ref="DW48:DY48" si="168">SUM(DW44:DW47)</f>
        <v>177.25</v>
      </c>
      <c r="DX48" s="3275">
        <f t="shared" si="168"/>
        <v>177.25</v>
      </c>
      <c r="DY48" s="3069">
        <f t="shared" si="168"/>
        <v>177.25</v>
      </c>
    </row>
    <row r="49" spans="25:26">
      <c r="Y49" s="2995"/>
      <c r="Z49" s="3250"/>
    </row>
    <row r="50" spans="25:26">
      <c r="Y50" s="2995"/>
      <c r="Z50" s="3250"/>
    </row>
    <row r="51" spans="25:26">
      <c r="Y51" s="2995"/>
      <c r="Z51" s="3250"/>
    </row>
    <row r="52" spans="25:26">
      <c r="Z52" s="3250"/>
    </row>
    <row r="53" spans="25:26">
      <c r="Z53" s="3250"/>
    </row>
    <row r="54" spans="25:26">
      <c r="Z54" s="3250"/>
    </row>
    <row r="55" spans="25:26">
      <c r="Z55" s="3250"/>
    </row>
    <row r="56" spans="25:26">
      <c r="Z56" s="3250"/>
    </row>
    <row r="57" spans="25:26">
      <c r="Z57" s="3250"/>
    </row>
    <row r="58" spans="25:26">
      <c r="Z58" s="3250"/>
    </row>
    <row r="59" spans="25:26">
      <c r="Z59" s="3250"/>
    </row>
    <row r="60" spans="25:26">
      <c r="Z60" s="3250"/>
    </row>
  </sheetData>
  <phoneticPr fontId="76" type="noConversion"/>
  <pageMargins left="0.75" right="0.75" top="1" bottom="1" header="0.5" footer="0.5"/>
  <pageSetup fitToHeight="0" orientation="landscape" r:id="rId1"/>
  <headerFooter alignWithMargins="0">
    <oddFooter>&amp;R&amp;A</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indexed="56"/>
    <pageSetUpPr fitToPage="1"/>
  </sheetPr>
  <dimension ref="A1:DT114"/>
  <sheetViews>
    <sheetView showGridLines="0" zoomScale="85" zoomScaleSheetLayoutView="100" workbookViewId="0">
      <pane xSplit="1" ySplit="8" topLeftCell="X9" activePane="bottomRight" state="frozen"/>
      <selection activeCell="U8" sqref="U8"/>
      <selection pane="topRight" activeCell="U8" sqref="U8"/>
      <selection pane="bottomLeft" activeCell="U8" sqref="U8"/>
      <selection pane="bottomRight" activeCell="X9" sqref="X9"/>
    </sheetView>
  </sheetViews>
  <sheetFormatPr defaultColWidth="9.33203125" defaultRowHeight="15" outlineLevelCol="1"/>
  <cols>
    <col min="1" max="1" width="33" customWidth="1"/>
    <col min="2" max="3" width="2.5546875" hidden="1" customWidth="1" outlineLevel="1"/>
    <col min="4" max="16" width="7.44140625" hidden="1" customWidth="1" outlineLevel="1"/>
    <col min="17" max="17" width="7.44140625" style="1074" hidden="1" customWidth="1" outlineLevel="1" collapsed="1"/>
    <col min="18" max="18" width="7.44140625" hidden="1" customWidth="1" outlineLevel="1" collapsed="1"/>
    <col min="19" max="19" width="7.44140625" hidden="1" customWidth="1" outlineLevel="1"/>
    <col min="20" max="20" width="7.44140625" hidden="1" customWidth="1" outlineLevel="1" collapsed="1"/>
    <col min="21" max="21" width="7.44140625" style="1074" hidden="1" customWidth="1" outlineLevel="1" collapsed="1"/>
    <col min="22" max="23" width="7.44140625" hidden="1" customWidth="1" outlineLevel="1" collapsed="1"/>
    <col min="24" max="24" width="7.44140625" customWidth="1" collapsed="1"/>
    <col min="25" max="27" width="7.44140625" customWidth="1"/>
    <col min="28" max="28" width="7.44140625" style="3144" hidden="1" customWidth="1" outlineLevel="1"/>
    <col min="29" max="33" width="7.44140625" style="3146" hidden="1" customWidth="1" outlineLevel="1"/>
    <col min="34" max="34" width="2.5546875" hidden="1" customWidth="1" outlineLevel="1"/>
    <col min="35" max="35" width="2.5546875" customWidth="1" collapsed="1"/>
    <col min="36" max="43" width="7.44140625" hidden="1" customWidth="1" outlineLevel="1"/>
    <col min="44" max="44" width="7.44140625" hidden="1" customWidth="1" outlineLevel="1" collapsed="1"/>
    <col min="45" max="55" width="7.44140625" hidden="1" customWidth="1" outlineLevel="1"/>
    <col min="56" max="56" width="7.44140625" hidden="1" customWidth="1" outlineLevel="1" collapsed="1"/>
    <col min="57" max="63" width="7.44140625" hidden="1" customWidth="1" outlineLevel="1"/>
    <col min="64" max="64" width="7.44140625" hidden="1" customWidth="1" outlineLevel="1" collapsed="1"/>
    <col min="65" max="91" width="7.44140625" hidden="1" customWidth="1" outlineLevel="1"/>
    <col min="92" max="92" width="7.44140625" hidden="1" customWidth="1" outlineLevel="1" collapsed="1"/>
    <col min="93" max="95" width="7.44140625" hidden="1" customWidth="1" outlineLevel="1"/>
    <col min="96" max="96" width="7.44140625" hidden="1" customWidth="1" outlineLevel="1" collapsed="1"/>
    <col min="97" max="99" width="7.44140625" hidden="1" customWidth="1" outlineLevel="1"/>
    <col min="100" max="100" width="7.44140625" hidden="1" customWidth="1" outlineLevel="1" collapsed="1"/>
    <col min="101" max="103" width="7.44140625" hidden="1" customWidth="1" outlineLevel="1"/>
    <col min="104" max="104" width="7.44140625" hidden="1" customWidth="1" outlineLevel="1" collapsed="1"/>
    <col min="105" max="107" width="7.44140625" style="1074" hidden="1" customWidth="1" outlineLevel="1"/>
    <col min="108" max="108" width="7.44140625" style="1074" hidden="1" customWidth="1" outlineLevel="1" collapsed="1"/>
    <col min="109" max="111" width="7.44140625" style="1074" hidden="1" customWidth="1" outlineLevel="1"/>
    <col min="112" max="112" width="7.44140625" style="1074" hidden="1" customWidth="1" outlineLevel="1" collapsed="1"/>
    <col min="113" max="115" width="7.44140625" style="1074" hidden="1" customWidth="1" outlineLevel="1"/>
    <col min="116" max="116" width="7.44140625" style="1074" customWidth="1" collapsed="1"/>
    <col min="117" max="123" width="7.44140625" style="1074" customWidth="1"/>
    <col min="124" max="124" width="2.5546875" customWidth="1"/>
  </cols>
  <sheetData>
    <row r="1" spans="1:124">
      <c r="A1" s="91" t="s">
        <v>1111</v>
      </c>
      <c r="B1" s="87"/>
      <c r="C1" s="87"/>
      <c r="D1" s="103"/>
      <c r="E1" s="103"/>
      <c r="F1" s="103"/>
      <c r="G1" s="103"/>
      <c r="H1" s="103"/>
      <c r="I1" s="103"/>
      <c r="J1" s="103"/>
      <c r="K1" s="103"/>
      <c r="L1" s="103"/>
      <c r="M1" s="103"/>
      <c r="N1" s="87"/>
      <c r="O1" s="87"/>
      <c r="P1" s="123"/>
      <c r="Q1" s="1110"/>
      <c r="R1" s="123"/>
      <c r="S1" s="123"/>
      <c r="T1" s="123"/>
      <c r="U1" s="108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123"/>
      <c r="CD1" s="123"/>
      <c r="CE1" s="123"/>
      <c r="CF1" s="123"/>
      <c r="CG1" s="123"/>
      <c r="CH1" s="123"/>
      <c r="CI1" s="123"/>
      <c r="CJ1" s="87"/>
      <c r="CK1" s="87"/>
      <c r="CL1" s="87"/>
      <c r="CM1" s="87"/>
      <c r="CN1" s="87"/>
      <c r="CO1" s="87"/>
      <c r="CP1" s="87"/>
      <c r="CQ1" s="87"/>
      <c r="CR1" s="87"/>
      <c r="CS1" s="87"/>
      <c r="CT1" s="87"/>
      <c r="CU1" s="87"/>
      <c r="CV1" s="87"/>
      <c r="CW1" s="87"/>
      <c r="CX1" s="87"/>
      <c r="CY1" s="87"/>
      <c r="CZ1" s="87"/>
      <c r="DA1" s="1041"/>
      <c r="DB1" s="1041"/>
      <c r="DC1" s="1041"/>
      <c r="DD1" s="1041"/>
      <c r="DE1" s="1041"/>
      <c r="DF1" s="1041"/>
      <c r="DG1" s="1041"/>
      <c r="DH1" s="1041"/>
      <c r="DI1" s="1041"/>
      <c r="DJ1" s="1041"/>
      <c r="DK1" s="1041"/>
      <c r="DL1" s="1041"/>
      <c r="DM1" s="1041"/>
      <c r="DN1" s="1041"/>
      <c r="DO1" s="1041"/>
      <c r="DP1" s="1041"/>
      <c r="DQ1" s="1041"/>
      <c r="DR1" s="1041"/>
      <c r="DS1" s="1041"/>
      <c r="DT1" s="87"/>
    </row>
    <row r="2" spans="1:124">
      <c r="A2" s="91" t="s">
        <v>1112</v>
      </c>
      <c r="B2" s="87"/>
      <c r="C2" s="87"/>
      <c r="D2" s="103"/>
      <c r="E2" s="103"/>
      <c r="F2" s="103"/>
      <c r="G2" s="103"/>
      <c r="H2" s="103"/>
      <c r="I2" s="103"/>
      <c r="J2" s="103"/>
      <c r="K2" s="103"/>
      <c r="L2" s="103"/>
      <c r="M2" s="103"/>
      <c r="N2" s="87"/>
      <c r="O2" s="87"/>
      <c r="P2" s="123"/>
      <c r="Q2" s="1110"/>
      <c r="R2" s="123"/>
      <c r="S2" s="123"/>
      <c r="T2" s="123"/>
      <c r="U2" s="1086"/>
      <c r="V2" s="344"/>
      <c r="W2" s="216"/>
      <c r="X2" s="27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c r="BF2" s="216"/>
      <c r="BG2" s="216"/>
      <c r="BH2" s="216"/>
      <c r="BI2" s="216"/>
      <c r="BJ2" s="216"/>
      <c r="BK2" s="216"/>
      <c r="BL2" s="216"/>
      <c r="BM2" s="216"/>
      <c r="BN2" s="216"/>
      <c r="BO2" s="216"/>
      <c r="BP2" s="216"/>
      <c r="BQ2" s="216"/>
      <c r="BR2" s="216"/>
      <c r="BS2" s="216"/>
      <c r="BT2" s="216"/>
      <c r="BU2" s="216"/>
      <c r="BV2" s="216"/>
      <c r="BW2" s="216"/>
      <c r="BX2" s="216"/>
      <c r="BY2" s="216"/>
      <c r="BZ2" s="216"/>
      <c r="CA2" s="216"/>
      <c r="CB2" s="216"/>
      <c r="CC2" s="123"/>
      <c r="CD2" s="123"/>
      <c r="CE2" s="123"/>
      <c r="CF2" s="123"/>
      <c r="CG2" s="123"/>
      <c r="CH2" s="123"/>
      <c r="CI2" s="123"/>
      <c r="CJ2" s="87"/>
      <c r="CK2" s="87"/>
      <c r="CL2" s="87"/>
      <c r="CM2" s="87"/>
      <c r="CN2" s="87"/>
      <c r="CO2" s="87"/>
      <c r="CP2" s="87"/>
      <c r="CQ2" s="87"/>
      <c r="CR2" s="87"/>
      <c r="CS2" s="87"/>
      <c r="CT2" s="87"/>
      <c r="CU2" s="87"/>
      <c r="CV2" s="87"/>
      <c r="CW2" s="87"/>
      <c r="CX2" s="87"/>
      <c r="CY2" s="87"/>
      <c r="CZ2" s="87"/>
      <c r="DA2" s="1041"/>
      <c r="DB2" s="1041"/>
      <c r="DC2" s="1041"/>
      <c r="DD2" s="1041"/>
      <c r="DE2" s="1041"/>
      <c r="DF2" s="1041"/>
      <c r="DG2" s="1041"/>
      <c r="DH2" s="1041"/>
      <c r="DI2" s="1041"/>
      <c r="DJ2" s="1041"/>
      <c r="DK2" s="1041"/>
      <c r="DL2" s="1041"/>
      <c r="DM2" s="1041"/>
      <c r="DN2" s="1041"/>
      <c r="DO2" s="1041"/>
      <c r="DP2" s="1041"/>
      <c r="DQ2" s="1041"/>
      <c r="DR2" s="1041"/>
      <c r="DS2" s="1041"/>
      <c r="DT2" s="87"/>
    </row>
    <row r="3" spans="1:124">
      <c r="A3" s="87" t="s">
        <v>1113</v>
      </c>
      <c r="B3" s="87"/>
      <c r="C3" s="87"/>
      <c r="D3" s="103"/>
      <c r="E3" s="103"/>
      <c r="F3" s="103"/>
      <c r="G3" s="103"/>
      <c r="H3" s="103"/>
      <c r="I3" s="103"/>
      <c r="J3" s="103"/>
      <c r="K3" s="103"/>
      <c r="L3" s="103"/>
      <c r="M3" s="103"/>
      <c r="N3" s="87"/>
      <c r="O3" s="87"/>
      <c r="P3" s="123"/>
      <c r="Q3" s="1110"/>
      <c r="R3" s="123"/>
      <c r="S3" s="123"/>
      <c r="T3" s="123"/>
      <c r="U3" s="1086"/>
      <c r="V3" s="216"/>
      <c r="W3" s="216"/>
      <c r="X3" s="276"/>
      <c r="Y3" s="216"/>
      <c r="Z3" s="216"/>
      <c r="AA3" s="216"/>
      <c r="AB3" s="216"/>
      <c r="AC3" s="216"/>
      <c r="AD3" s="216"/>
      <c r="AE3" s="216"/>
      <c r="AF3" s="216"/>
      <c r="AG3" s="216"/>
      <c r="AH3" s="216"/>
      <c r="AI3" s="216"/>
      <c r="AJ3" s="216"/>
      <c r="AK3" s="216"/>
      <c r="AL3" s="216"/>
      <c r="AM3" s="216"/>
      <c r="AN3" s="216"/>
      <c r="AO3" s="216"/>
      <c r="AP3" s="216"/>
      <c r="AQ3" s="216"/>
      <c r="AR3" s="216"/>
      <c r="AS3" s="216"/>
      <c r="AT3" s="216"/>
      <c r="AU3" s="216"/>
      <c r="AV3" s="216"/>
      <c r="AW3" s="216"/>
      <c r="AX3" s="216"/>
      <c r="AY3" s="216"/>
      <c r="AZ3" s="216"/>
      <c r="BA3" s="216"/>
      <c r="BB3" s="216"/>
      <c r="BC3" s="216"/>
      <c r="BD3" s="216"/>
      <c r="BE3" s="216"/>
      <c r="BF3" s="216"/>
      <c r="BG3" s="216"/>
      <c r="BH3" s="216"/>
      <c r="BI3" s="216"/>
      <c r="BJ3" s="216"/>
      <c r="BK3" s="216"/>
      <c r="BL3" s="216"/>
      <c r="BM3" s="216"/>
      <c r="BN3" s="216"/>
      <c r="BO3" s="216"/>
      <c r="BP3" s="216"/>
      <c r="BQ3" s="216"/>
      <c r="BR3" s="216"/>
      <c r="BS3" s="216"/>
      <c r="BT3" s="216"/>
      <c r="BU3" s="216"/>
      <c r="BV3" s="216"/>
      <c r="BW3" s="216"/>
      <c r="BX3" s="216"/>
      <c r="BY3" s="216"/>
      <c r="BZ3" s="216"/>
      <c r="CA3" s="216"/>
      <c r="CB3" s="216"/>
      <c r="CC3" s="123"/>
      <c r="CD3" s="123"/>
      <c r="CE3" s="123"/>
      <c r="CF3" s="123"/>
      <c r="CG3" s="123"/>
      <c r="CH3" s="431"/>
      <c r="CI3" s="123"/>
      <c r="CJ3" s="87"/>
      <c r="CK3" s="87"/>
      <c r="CL3" s="87"/>
      <c r="CM3" s="87"/>
      <c r="CN3" s="87"/>
      <c r="CO3" s="87"/>
      <c r="CP3" s="87"/>
      <c r="CQ3" s="87"/>
      <c r="CR3" s="87"/>
      <c r="CS3" s="87"/>
      <c r="CT3" s="87"/>
      <c r="CU3" s="87"/>
      <c r="CV3" s="87"/>
      <c r="CW3" s="87"/>
      <c r="CX3" s="87"/>
      <c r="CY3" s="87"/>
      <c r="CZ3" s="87"/>
      <c r="DA3" s="1041"/>
      <c r="DB3" s="1041"/>
      <c r="DC3" s="1041"/>
      <c r="DD3" s="1041"/>
      <c r="DE3" s="1041"/>
      <c r="DF3" s="1041"/>
      <c r="DG3" s="1041"/>
      <c r="DH3" s="1041"/>
      <c r="DI3" s="1041"/>
      <c r="DJ3" s="1041"/>
      <c r="DK3" s="1041"/>
      <c r="DL3" s="1041"/>
      <c r="DM3" s="1041"/>
      <c r="DN3" s="1041"/>
      <c r="DO3" s="1041"/>
      <c r="DP3" s="1041"/>
      <c r="DQ3" s="1041"/>
      <c r="DR3" s="1041"/>
      <c r="DS3" s="1041"/>
      <c r="DT3" s="87"/>
    </row>
    <row r="4" spans="1:124">
      <c r="A4" s="91"/>
      <c r="B4" s="87"/>
      <c r="C4" s="87"/>
      <c r="D4" s="103"/>
      <c r="E4" s="103"/>
      <c r="F4" s="103"/>
      <c r="G4" s="103"/>
      <c r="H4" s="103"/>
      <c r="I4" s="103"/>
      <c r="J4" s="103"/>
      <c r="K4" s="103"/>
      <c r="L4" s="103"/>
      <c r="M4" s="103"/>
      <c r="N4" s="87"/>
      <c r="O4" s="87"/>
      <c r="P4" s="123"/>
      <c r="Q4" s="1110"/>
      <c r="R4" s="123"/>
      <c r="S4" s="123"/>
      <c r="T4" s="123"/>
      <c r="U4" s="1086"/>
      <c r="V4" s="216"/>
      <c r="W4" s="216"/>
      <c r="X4" s="276"/>
      <c r="Y4" s="216"/>
      <c r="Z4" s="216"/>
      <c r="AA4" s="216"/>
      <c r="AB4" s="216"/>
      <c r="AC4" s="216"/>
      <c r="AD4" s="216"/>
      <c r="AE4" s="216"/>
      <c r="AF4" s="216"/>
      <c r="AG4" s="216"/>
      <c r="AH4" s="216"/>
      <c r="AI4" s="216"/>
      <c r="AJ4" s="216"/>
      <c r="AK4" s="216"/>
      <c r="AL4" s="216"/>
      <c r="AM4" s="216"/>
      <c r="AN4" s="216"/>
      <c r="AO4" s="216"/>
      <c r="AP4" s="216"/>
      <c r="AQ4" s="216"/>
      <c r="AR4" s="216"/>
      <c r="AS4" s="216"/>
      <c r="AT4" s="216"/>
      <c r="AU4" s="216"/>
      <c r="AV4" s="216"/>
      <c r="AW4" s="216"/>
      <c r="AX4" s="216"/>
      <c r="AY4" s="216"/>
      <c r="AZ4" s="216"/>
      <c r="BA4" s="216"/>
      <c r="BB4" s="216"/>
      <c r="BC4" s="216"/>
      <c r="BD4" s="216"/>
      <c r="BE4" s="216"/>
      <c r="BF4" s="216"/>
      <c r="BG4" s="216"/>
      <c r="BH4" s="216"/>
      <c r="BI4" s="216"/>
      <c r="BJ4" s="216"/>
      <c r="BK4" s="216"/>
      <c r="BL4" s="216"/>
      <c r="BM4" s="216"/>
      <c r="BN4" s="216"/>
      <c r="BO4" s="216"/>
      <c r="BP4" s="216"/>
      <c r="BQ4" s="216"/>
      <c r="BR4" s="216"/>
      <c r="BS4" s="216"/>
      <c r="BT4" s="216"/>
      <c r="BU4" s="216"/>
      <c r="BV4" s="216"/>
      <c r="BW4" s="216"/>
      <c r="BX4" s="216"/>
      <c r="BY4" s="216"/>
      <c r="BZ4" s="216"/>
      <c r="CA4" s="216"/>
      <c r="CB4" s="216"/>
      <c r="CC4" s="123"/>
      <c r="CD4" s="123"/>
      <c r="CE4" s="123"/>
      <c r="CF4" s="123"/>
      <c r="CG4" s="123"/>
      <c r="CH4" s="123"/>
      <c r="CI4" s="123"/>
      <c r="CJ4" s="87"/>
      <c r="CK4" s="87"/>
      <c r="CL4" s="87"/>
      <c r="CM4" s="87"/>
      <c r="CN4" s="87"/>
      <c r="CO4" s="87"/>
      <c r="CP4" s="87"/>
      <c r="CQ4" s="87"/>
      <c r="CR4" s="87"/>
      <c r="CS4" s="87"/>
      <c r="CT4" s="87"/>
      <c r="CU4" s="87"/>
      <c r="CV4" s="87"/>
      <c r="CW4" s="87"/>
      <c r="CX4" s="87"/>
      <c r="CY4" s="87"/>
      <c r="CZ4" s="87"/>
      <c r="DA4" s="1041"/>
      <c r="DB4" s="1041"/>
      <c r="DC4" s="1041"/>
      <c r="DD4" s="1041"/>
      <c r="DE4" s="1041"/>
      <c r="DF4" s="1041"/>
      <c r="DG4" s="1041"/>
      <c r="DH4" s="1041"/>
      <c r="DI4" s="1041"/>
      <c r="DJ4" s="1041"/>
      <c r="DK4" s="1041"/>
      <c r="DL4" s="1041"/>
      <c r="DM4" s="1041"/>
      <c r="DN4" s="1041"/>
      <c r="DO4" s="1041"/>
      <c r="DP4" s="1041"/>
      <c r="DQ4" s="1041"/>
      <c r="DR4" s="1041"/>
      <c r="DS4" s="1041"/>
      <c r="DT4" s="87"/>
    </row>
    <row r="5" spans="1:124">
      <c r="A5" s="91"/>
      <c r="B5" s="87"/>
      <c r="C5" s="87"/>
      <c r="D5" s="103"/>
      <c r="E5" s="117" t="s">
        <v>1114</v>
      </c>
      <c r="F5" s="117" t="s">
        <v>1114</v>
      </c>
      <c r="G5" s="117" t="s">
        <v>1114</v>
      </c>
      <c r="H5" s="117" t="s">
        <v>1114</v>
      </c>
      <c r="I5" s="117" t="s">
        <v>1114</v>
      </c>
      <c r="J5" s="117" t="s">
        <v>1114</v>
      </c>
      <c r="K5" s="117" t="s">
        <v>1114</v>
      </c>
      <c r="L5" s="117" t="s">
        <v>1114</v>
      </c>
      <c r="M5" s="117" t="s">
        <v>1114</v>
      </c>
      <c r="N5" s="117"/>
      <c r="O5" s="87"/>
      <c r="P5" s="123"/>
      <c r="Q5" s="1110"/>
      <c r="R5" s="123"/>
      <c r="S5" s="123"/>
      <c r="T5" s="123"/>
      <c r="U5" s="1086"/>
      <c r="V5" s="216"/>
      <c r="W5" s="216"/>
      <c r="X5" s="216"/>
      <c r="Y5" s="216"/>
      <c r="Z5" s="216"/>
      <c r="AA5" s="216"/>
      <c r="AB5" s="216"/>
      <c r="AC5" s="216"/>
      <c r="AD5" s="216"/>
      <c r="AE5" s="216"/>
      <c r="AF5" s="216"/>
      <c r="AG5" s="216"/>
      <c r="AH5" s="216"/>
      <c r="AI5" s="216"/>
      <c r="AJ5" s="117" t="s">
        <v>1114</v>
      </c>
      <c r="AK5" s="117" t="s">
        <v>1114</v>
      </c>
      <c r="AL5" s="117" t="s">
        <v>1114</v>
      </c>
      <c r="AM5" s="117" t="s">
        <v>1114</v>
      </c>
      <c r="AN5" s="117" t="s">
        <v>1114</v>
      </c>
      <c r="AO5" s="117" t="s">
        <v>1114</v>
      </c>
      <c r="AP5" s="117" t="s">
        <v>1114</v>
      </c>
      <c r="AQ5" s="117" t="s">
        <v>1114</v>
      </c>
      <c r="AR5" s="117" t="s">
        <v>1114</v>
      </c>
      <c r="AS5" s="117" t="s">
        <v>1114</v>
      </c>
      <c r="AT5" s="117" t="s">
        <v>1114</v>
      </c>
      <c r="AU5" s="117" t="s">
        <v>1114</v>
      </c>
      <c r="AV5" s="117" t="s">
        <v>1114</v>
      </c>
      <c r="AW5" s="117" t="s">
        <v>1114</v>
      </c>
      <c r="AX5" s="117" t="s">
        <v>1114</v>
      </c>
      <c r="AY5" s="117" t="s">
        <v>1114</v>
      </c>
      <c r="AZ5" s="117" t="s">
        <v>1114</v>
      </c>
      <c r="BA5" s="117" t="s">
        <v>1114</v>
      </c>
      <c r="BB5" s="117" t="s">
        <v>1114</v>
      </c>
      <c r="BC5" s="117" t="s">
        <v>1114</v>
      </c>
      <c r="BD5" s="117" t="s">
        <v>1114</v>
      </c>
      <c r="BE5" s="117" t="s">
        <v>1114</v>
      </c>
      <c r="BF5" s="117" t="s">
        <v>1114</v>
      </c>
      <c r="BG5" s="117" t="s">
        <v>1114</v>
      </c>
      <c r="BH5" s="117" t="s">
        <v>1114</v>
      </c>
      <c r="BI5" s="117" t="s">
        <v>1114</v>
      </c>
      <c r="BJ5" s="117" t="s">
        <v>1114</v>
      </c>
      <c r="BK5" s="117" t="s">
        <v>1114</v>
      </c>
      <c r="BL5" s="117" t="s">
        <v>1114</v>
      </c>
      <c r="BM5" s="117" t="s">
        <v>1114</v>
      </c>
      <c r="BN5" s="117" t="s">
        <v>1114</v>
      </c>
      <c r="BO5" s="117" t="s">
        <v>1114</v>
      </c>
      <c r="BP5" s="117" t="s">
        <v>1114</v>
      </c>
      <c r="BQ5" s="117" t="s">
        <v>1114</v>
      </c>
      <c r="BR5" s="117" t="s">
        <v>1114</v>
      </c>
      <c r="BS5" s="117" t="s">
        <v>1114</v>
      </c>
      <c r="BT5" s="117"/>
      <c r="BU5" s="216"/>
      <c r="BV5" s="216"/>
      <c r="BW5" s="216"/>
      <c r="BX5" s="216"/>
      <c r="BY5" s="216"/>
      <c r="BZ5" s="216"/>
      <c r="CA5" s="216"/>
      <c r="CB5" s="216"/>
      <c r="CC5" s="123"/>
      <c r="CD5" s="123"/>
      <c r="CE5" s="123"/>
      <c r="CF5" s="123"/>
      <c r="CG5" s="123"/>
      <c r="CH5" s="123"/>
      <c r="CI5" s="123"/>
      <c r="CJ5" s="123"/>
      <c r="CK5" s="123"/>
      <c r="CL5" s="123"/>
      <c r="CM5" s="123"/>
      <c r="CN5" s="123"/>
      <c r="CO5" s="123"/>
      <c r="CP5" s="123"/>
      <c r="CQ5" s="123"/>
      <c r="CR5" s="123"/>
      <c r="CS5" s="87"/>
      <c r="CT5" s="87"/>
      <c r="CU5" s="87"/>
      <c r="CV5" s="87"/>
      <c r="CW5" s="87"/>
      <c r="CX5" s="87"/>
      <c r="CY5" s="87"/>
      <c r="CZ5" s="87"/>
      <c r="DA5" s="1041"/>
      <c r="DB5" s="1041"/>
      <c r="DC5" s="1041"/>
      <c r="DD5" s="1041"/>
      <c r="DE5" s="1041"/>
      <c r="DF5" s="1041"/>
      <c r="DG5" s="1041"/>
      <c r="DH5" s="1041"/>
      <c r="DI5" s="1041"/>
      <c r="DJ5" s="1041"/>
      <c r="DK5" s="1041"/>
      <c r="DL5" s="1041"/>
      <c r="DM5" s="1041"/>
      <c r="DN5" s="1041"/>
      <c r="DO5" s="1041"/>
      <c r="DP5" s="1041"/>
      <c r="DQ5" s="1041"/>
      <c r="DR5" s="1041"/>
      <c r="DS5" s="1041"/>
      <c r="DT5" s="87"/>
    </row>
    <row r="6" spans="1:124">
      <c r="A6" s="346"/>
      <c r="B6" s="346"/>
      <c r="C6" s="346"/>
      <c r="D6" s="231">
        <v>1996</v>
      </c>
      <c r="E6" s="231">
        <v>1997</v>
      </c>
      <c r="F6" s="231">
        <v>1998</v>
      </c>
      <c r="G6" s="231">
        <v>1999</v>
      </c>
      <c r="H6" s="231">
        <v>2000</v>
      </c>
      <c r="I6" s="231">
        <v>2001</v>
      </c>
      <c r="J6" s="231">
        <v>2002</v>
      </c>
      <c r="K6" s="231">
        <v>2003</v>
      </c>
      <c r="L6" s="231">
        <v>2004</v>
      </c>
      <c r="M6" s="231">
        <v>2005</v>
      </c>
      <c r="N6" s="231">
        <f>IS!N5</f>
        <v>2006</v>
      </c>
      <c r="O6" s="231">
        <f>IS!O5</f>
        <v>2007</v>
      </c>
      <c r="P6" s="231">
        <f>IS!P5</f>
        <v>2008</v>
      </c>
      <c r="Q6" s="231">
        <f>IS!Q5</f>
        <v>2009</v>
      </c>
      <c r="R6" s="127">
        <f>IS!R5</f>
        <v>2010</v>
      </c>
      <c r="S6" s="127">
        <f>IS!S5</f>
        <v>2011</v>
      </c>
      <c r="T6" s="231">
        <f>IS!T5</f>
        <v>2012</v>
      </c>
      <c r="U6" s="231">
        <f>IS!U5</f>
        <v>2013</v>
      </c>
      <c r="V6" s="231" t="str">
        <f>IS!V5</f>
        <v>2014</v>
      </c>
      <c r="W6" s="231" t="str">
        <f>IS!W5</f>
        <v>2015</v>
      </c>
      <c r="X6" s="231" t="str">
        <f>IS!X5</f>
        <v>2016</v>
      </c>
      <c r="Y6" s="231" t="str">
        <f>IS!Y5</f>
        <v>2017</v>
      </c>
      <c r="Z6" s="231" t="str">
        <f>IS!Z5</f>
        <v>2018E</v>
      </c>
      <c r="AA6" s="231" t="str">
        <f>IS!AA5</f>
        <v>2019E</v>
      </c>
      <c r="AB6" s="231" t="str">
        <f>IS!AB5</f>
        <v>2020E</v>
      </c>
      <c r="AC6" s="231" t="str">
        <f>IS!AC5</f>
        <v>2021E</v>
      </c>
      <c r="AD6" s="231" t="str">
        <f>IS!AD5</f>
        <v>2022E</v>
      </c>
      <c r="AE6" s="231" t="str">
        <f>IS!AE5</f>
        <v>2023E</v>
      </c>
      <c r="AF6" s="231" t="str">
        <f>IS!AF5</f>
        <v>2024E</v>
      </c>
      <c r="AG6" s="231" t="str">
        <f>IS!AG5</f>
        <v>2025E</v>
      </c>
      <c r="AH6" s="216"/>
      <c r="AI6" s="88"/>
      <c r="AJ6" s="234" t="s">
        <v>902</v>
      </c>
      <c r="AK6" s="231" t="s">
        <v>903</v>
      </c>
      <c r="AL6" s="231" t="s">
        <v>904</v>
      </c>
      <c r="AM6" s="231" t="s">
        <v>905</v>
      </c>
      <c r="AN6" s="231" t="s">
        <v>906</v>
      </c>
      <c r="AO6" s="231" t="s">
        <v>907</v>
      </c>
      <c r="AP6" s="231" t="s">
        <v>908</v>
      </c>
      <c r="AQ6" s="231" t="s">
        <v>909</v>
      </c>
      <c r="AR6" s="231" t="s">
        <v>910</v>
      </c>
      <c r="AS6" s="231" t="s">
        <v>911</v>
      </c>
      <c r="AT6" s="231" t="s">
        <v>912</v>
      </c>
      <c r="AU6" s="231" t="s">
        <v>913</v>
      </c>
      <c r="AV6" s="231" t="s">
        <v>914</v>
      </c>
      <c r="AW6" s="231" t="s">
        <v>915</v>
      </c>
      <c r="AX6" s="231" t="s">
        <v>916</v>
      </c>
      <c r="AY6" s="231" t="s">
        <v>917</v>
      </c>
      <c r="AZ6" s="231" t="s">
        <v>918</v>
      </c>
      <c r="BA6" s="231" t="s">
        <v>919</v>
      </c>
      <c r="BB6" s="231" t="s">
        <v>920</v>
      </c>
      <c r="BC6" s="231" t="s">
        <v>921</v>
      </c>
      <c r="BD6" s="231" t="s">
        <v>922</v>
      </c>
      <c r="BE6" s="231" t="s">
        <v>923</v>
      </c>
      <c r="BF6" s="231" t="s">
        <v>924</v>
      </c>
      <c r="BG6" s="231" t="s">
        <v>925</v>
      </c>
      <c r="BH6" s="231" t="s">
        <v>926</v>
      </c>
      <c r="BI6" s="231" t="s">
        <v>927</v>
      </c>
      <c r="BJ6" s="231" t="s">
        <v>928</v>
      </c>
      <c r="BK6" s="231" t="s">
        <v>929</v>
      </c>
      <c r="BL6" s="234" t="s">
        <v>930</v>
      </c>
      <c r="BM6" s="231" t="s">
        <v>931</v>
      </c>
      <c r="BN6" s="231" t="s">
        <v>932</v>
      </c>
      <c r="BO6" s="231" t="s">
        <v>933</v>
      </c>
      <c r="BP6" s="234" t="s">
        <v>934</v>
      </c>
      <c r="BQ6" s="231" t="s">
        <v>935</v>
      </c>
      <c r="BR6" s="231" t="s">
        <v>936</v>
      </c>
      <c r="BS6" s="231" t="s">
        <v>937</v>
      </c>
      <c r="BT6" s="234" t="str">
        <f>IS!BW5</f>
        <v>1Q06</v>
      </c>
      <c r="BU6" s="231" t="str">
        <f>IS!BX5</f>
        <v>2Q06</v>
      </c>
      <c r="BV6" s="231" t="str">
        <f>IS!BY5</f>
        <v>3Q06</v>
      </c>
      <c r="BW6" s="231" t="str">
        <f>IS!BZ5</f>
        <v>4Q06</v>
      </c>
      <c r="BX6" s="234" t="str">
        <f>IS!CA5</f>
        <v>1Q07</v>
      </c>
      <c r="BY6" s="231" t="str">
        <f>IS!CB5</f>
        <v>2Q07</v>
      </c>
      <c r="BZ6" s="231" t="str">
        <f>IS!CC5</f>
        <v>3Q07</v>
      </c>
      <c r="CA6" s="231" t="str">
        <f>IS!CD5</f>
        <v>4Q07</v>
      </c>
      <c r="CB6" s="234" t="str">
        <f>IS!CE5</f>
        <v>1Q08</v>
      </c>
      <c r="CC6" s="231" t="str">
        <f>IS!CF5</f>
        <v>2Q08</v>
      </c>
      <c r="CD6" s="231" t="str">
        <f>IS!CG5</f>
        <v>3Q08</v>
      </c>
      <c r="CE6" s="231" t="str">
        <f>IS!CH5</f>
        <v>4Q08</v>
      </c>
      <c r="CF6" s="234" t="str">
        <f>IS!CI5</f>
        <v>1Q09</v>
      </c>
      <c r="CG6" s="231" t="str">
        <f>IS!CJ5</f>
        <v>2Q09</v>
      </c>
      <c r="CH6" s="231" t="str">
        <f>IS!CK5</f>
        <v>3Q09</v>
      </c>
      <c r="CI6" s="231" t="str">
        <f>IS!CL5</f>
        <v>4Q09</v>
      </c>
      <c r="CJ6" s="234" t="str">
        <f>IS!CM5</f>
        <v>1Q10</v>
      </c>
      <c r="CK6" s="231" t="str">
        <f>IS!CN5</f>
        <v>2Q10</v>
      </c>
      <c r="CL6" s="231" t="str">
        <f>IS!CO5</f>
        <v>3Q10</v>
      </c>
      <c r="CM6" s="231" t="str">
        <f>IS!CP5</f>
        <v>4Q10</v>
      </c>
      <c r="CN6" s="234" t="str">
        <f>IS!CQ5</f>
        <v>1Q11</v>
      </c>
      <c r="CO6" s="231" t="str">
        <f>IS!CR5</f>
        <v>2Q11</v>
      </c>
      <c r="CP6" s="231" t="str">
        <f>IS!CS5</f>
        <v>3Q11</v>
      </c>
      <c r="CQ6" s="232" t="str">
        <f>IS!CT5</f>
        <v>4Q11</v>
      </c>
      <c r="CR6" s="231" t="str">
        <f>IS!CU5</f>
        <v>1Q12</v>
      </c>
      <c r="CS6" s="231" t="str">
        <f>IS!CV5</f>
        <v>2Q12</v>
      </c>
      <c r="CT6" s="231" t="str">
        <f>IS!CW5</f>
        <v>3Q12</v>
      </c>
      <c r="CU6" s="231" t="str">
        <f>IS!CX5</f>
        <v>4Q12</v>
      </c>
      <c r="CV6" s="234" t="str">
        <f>IS!CY5</f>
        <v>1Q13</v>
      </c>
      <c r="CW6" s="231" t="str">
        <f>IS!CZ5</f>
        <v>2Q13</v>
      </c>
      <c r="CX6" s="231" t="str">
        <f>IS!DA5</f>
        <v>3Q13</v>
      </c>
      <c r="CY6" s="231" t="str">
        <f>IS!DB5</f>
        <v>4Q13</v>
      </c>
      <c r="CZ6" s="234" t="str">
        <f>IS!DC5</f>
        <v>1Q14</v>
      </c>
      <c r="DA6" s="231" t="str">
        <f>IS!DD5</f>
        <v>2Q14</v>
      </c>
      <c r="DB6" s="231" t="str">
        <f>IS!DE5</f>
        <v>3Q14</v>
      </c>
      <c r="DC6" s="232" t="str">
        <f>IS!DF5</f>
        <v>4Q14</v>
      </c>
      <c r="DD6" s="234" t="str">
        <f>IS!DG5</f>
        <v>1Q15</v>
      </c>
      <c r="DE6" s="231" t="str">
        <f>IS!DH5</f>
        <v>2Q15</v>
      </c>
      <c r="DF6" s="231" t="str">
        <f>IS!DI5</f>
        <v>3Q15</v>
      </c>
      <c r="DG6" s="232" t="str">
        <f>IS!DJ5</f>
        <v>4Q15</v>
      </c>
      <c r="DH6" s="232" t="str">
        <f>IS!DK5</f>
        <v>1Q16</v>
      </c>
      <c r="DI6" s="232" t="str">
        <f>IS!DL5</f>
        <v>2Q16</v>
      </c>
      <c r="DJ6" s="232" t="str">
        <f>IS!DM5</f>
        <v>3Q16</v>
      </c>
      <c r="DK6" s="232" t="str">
        <f>IS!DN5</f>
        <v>4Q16</v>
      </c>
      <c r="DL6" s="232" t="str">
        <f>IS!DO5</f>
        <v>1Q17</v>
      </c>
      <c r="DM6" s="232" t="str">
        <f>IS!DP5</f>
        <v>2Q17</v>
      </c>
      <c r="DN6" s="232" t="str">
        <f>IS!DQ5</f>
        <v>3Q17</v>
      </c>
      <c r="DO6" s="232" t="str">
        <f>IS!DR5</f>
        <v>4Q17</v>
      </c>
      <c r="DP6" s="232" t="str">
        <f>IS!DS5</f>
        <v>1Q18</v>
      </c>
      <c r="DQ6" s="232" t="str">
        <f>IS!DT5</f>
        <v>2Q18E</v>
      </c>
      <c r="DR6" s="232" t="str">
        <f>IS!DU5</f>
        <v>3Q18E</v>
      </c>
      <c r="DS6" s="232" t="str">
        <f>IS!DV5</f>
        <v>4Q18E</v>
      </c>
      <c r="DT6" s="87"/>
    </row>
    <row r="7" spans="1:124">
      <c r="A7" s="128" t="s">
        <v>1212</v>
      </c>
      <c r="B7" s="128"/>
      <c r="C7" s="128"/>
      <c r="D7" s="128"/>
      <c r="E7" s="130">
        <v>2.38</v>
      </c>
      <c r="F7" s="130">
        <v>2.67</v>
      </c>
      <c r="G7" s="130">
        <v>2.84</v>
      </c>
      <c r="H7" s="130">
        <v>2.91</v>
      </c>
      <c r="I7" s="130">
        <v>3</v>
      </c>
      <c r="J7" s="130">
        <v>3.06</v>
      </c>
      <c r="K7" s="130">
        <v>2.59</v>
      </c>
      <c r="L7" s="130">
        <v>2.4900000000000002</v>
      </c>
      <c r="M7" s="130">
        <v>1</v>
      </c>
      <c r="N7" s="130">
        <f>IS!N6</f>
        <v>2.61</v>
      </c>
      <c r="O7" s="130">
        <f>IS!O6</f>
        <v>2.3866533099135196</v>
      </c>
      <c r="P7" s="130">
        <f>IS!P6</f>
        <v>2.538231328484017</v>
      </c>
      <c r="Q7" s="1036">
        <f>IS!Q6</f>
        <v>1.9136349876803944</v>
      </c>
      <c r="R7" s="130">
        <f>IS!R6</f>
        <v>2.0773481954809991</v>
      </c>
      <c r="S7" s="130">
        <f>IS!S6</f>
        <v>2.1540899052696991</v>
      </c>
      <c r="T7" s="1036">
        <f>IS!T6</f>
        <v>2.2251970649895183</v>
      </c>
      <c r="U7" s="1036">
        <f>IS!U6</f>
        <v>2.8220215727209466</v>
      </c>
      <c r="V7" s="130">
        <f>IS!V6</f>
        <v>3.4132820851600503</v>
      </c>
      <c r="W7" s="130">
        <f>IS!W6</f>
        <v>3.4502992549163305</v>
      </c>
      <c r="X7" s="130">
        <f>IS!X6</f>
        <v>3.7416043566052744</v>
      </c>
      <c r="Y7" s="130">
        <f>IS!Y6</f>
        <v>3.7374602397846832</v>
      </c>
      <c r="Z7" s="130">
        <f ca="1">IS!Z6</f>
        <v>4.5447318949672786</v>
      </c>
      <c r="AA7" s="130">
        <f ca="1">IS!AA6</f>
        <v>4.7340805279717273</v>
      </c>
      <c r="AB7" s="130">
        <f ca="1">IS!AB6</f>
        <v>4.949467505016357</v>
      </c>
      <c r="AC7" s="130">
        <f ca="1">IS!AC6</f>
        <v>5.1589882052989253</v>
      </c>
      <c r="AD7" s="130">
        <f ca="1">IS!AD6</f>
        <v>5.3885502047206435</v>
      </c>
      <c r="AE7" s="130">
        <f ca="1">IS!AE6</f>
        <v>5.6328247202620876</v>
      </c>
      <c r="AF7" s="130">
        <f ca="1">IS!AF6</f>
        <v>5.8930980122776537</v>
      </c>
      <c r="AG7" s="130">
        <f ca="1">IS!AG6</f>
        <v>6.1637765370324633</v>
      </c>
      <c r="AH7" s="216"/>
      <c r="AI7" s="88"/>
      <c r="AJ7" s="130">
        <v>0.57999999999999996</v>
      </c>
      <c r="AK7" s="130">
        <v>0.59</v>
      </c>
      <c r="AL7" s="130">
        <v>0.64</v>
      </c>
      <c r="AM7" s="130">
        <v>0.56999999999999995</v>
      </c>
      <c r="AN7" s="130">
        <v>0.63</v>
      </c>
      <c r="AO7" s="130">
        <v>0.63</v>
      </c>
      <c r="AP7" s="130">
        <v>0.7</v>
      </c>
      <c r="AQ7" s="130">
        <v>0.72</v>
      </c>
      <c r="AR7" s="130">
        <v>0.7</v>
      </c>
      <c r="AS7" s="130">
        <v>0.67</v>
      </c>
      <c r="AT7" s="130">
        <v>0.72</v>
      </c>
      <c r="AU7" s="130">
        <v>0.75</v>
      </c>
      <c r="AV7" s="130">
        <v>0.69</v>
      </c>
      <c r="AW7" s="130">
        <v>0.72</v>
      </c>
      <c r="AX7" s="130">
        <v>0.73</v>
      </c>
      <c r="AY7" s="130">
        <v>0.77</v>
      </c>
      <c r="AZ7" s="130">
        <v>0.72</v>
      </c>
      <c r="BA7" s="130">
        <v>0.77</v>
      </c>
      <c r="BB7" s="130">
        <v>0.75</v>
      </c>
      <c r="BC7" s="130">
        <v>0.77</v>
      </c>
      <c r="BD7" s="130"/>
      <c r="BE7" s="130"/>
      <c r="BF7" s="130"/>
      <c r="BG7" s="130"/>
      <c r="BH7" s="130"/>
      <c r="BI7" s="130"/>
      <c r="BJ7" s="130"/>
      <c r="BK7" s="130"/>
      <c r="BL7" s="131">
        <v>0.57428872497365646</v>
      </c>
      <c r="BM7" s="130">
        <v>0.63161609033168664</v>
      </c>
      <c r="BN7" s="130">
        <v>0.64290780141843973</v>
      </c>
      <c r="BO7" s="130">
        <v>0.6415161176053843</v>
      </c>
      <c r="BP7" s="131">
        <v>0.60262318326834452</v>
      </c>
      <c r="BQ7" s="130">
        <v>0.61653068463994321</v>
      </c>
      <c r="BR7" s="130">
        <v>0.6340078097266596</v>
      </c>
      <c r="BS7" s="130">
        <v>0.61079545454545459</v>
      </c>
      <c r="BT7" s="131">
        <f>IS!BW6</f>
        <v>0.67530600364649018</v>
      </c>
      <c r="BU7" s="130">
        <f>IS!BX6</f>
        <v>0.63953882672092233</v>
      </c>
      <c r="BV7" s="130">
        <f>IS!BY6</f>
        <v>0.68114950393431406</v>
      </c>
      <c r="BW7" s="130">
        <f>IS!BZ6</f>
        <v>0.61870503597122306</v>
      </c>
      <c r="BX7" s="131">
        <f>IS!CA6</f>
        <v>0.55994503607007906</v>
      </c>
      <c r="BY7" s="130">
        <f>IS!CB6</f>
        <v>0.58479532163742687</v>
      </c>
      <c r="BZ7" s="130">
        <f>IS!CC6</f>
        <v>0.62551724137931031</v>
      </c>
      <c r="CA7" s="130">
        <f>IS!CD6</f>
        <v>0.61639571082670352</v>
      </c>
      <c r="CB7" s="131">
        <f>IS!CE6</f>
        <v>0.60767888307155327</v>
      </c>
      <c r="CC7" s="130">
        <f>IS!CF6</f>
        <v>0.66783584707120314</v>
      </c>
      <c r="CD7" s="130">
        <f>IS!CG6</f>
        <v>0.65553602811950795</v>
      </c>
      <c r="CE7" s="130">
        <f>IS!CH6</f>
        <v>0.60718057022175287</v>
      </c>
      <c r="CF7" s="131">
        <f>IS!CI6</f>
        <v>0.47437486800422379</v>
      </c>
      <c r="CG7" s="130">
        <f>IS!CJ6</f>
        <v>0.51500422386483635</v>
      </c>
      <c r="CH7" s="130">
        <f>IS!CK6</f>
        <v>0.48104963041182691</v>
      </c>
      <c r="CI7" s="130">
        <f>IS!CL6</f>
        <v>0.44320626539950719</v>
      </c>
      <c r="CJ7" s="131">
        <f>IS!CM6</f>
        <v>0.47732157968970379</v>
      </c>
      <c r="CK7" s="130">
        <f>IS!CN6</f>
        <v>0.51364803678811444</v>
      </c>
      <c r="CL7" s="130">
        <f>IS!CO6</f>
        <v>0.54674690703428763</v>
      </c>
      <c r="CM7" s="130">
        <f>IS!CP6</f>
        <v>0.53963167196889361</v>
      </c>
      <c r="CN7" s="131">
        <f>IS!CQ6</f>
        <v>0.50918727915194351</v>
      </c>
      <c r="CO7" s="130">
        <f>IS!CR6</f>
        <v>0.5692090395480226</v>
      </c>
      <c r="CP7" s="130">
        <f>IS!CS6</f>
        <v>0.55881792519407203</v>
      </c>
      <c r="CQ7" s="132">
        <f>IS!CT6</f>
        <v>0.51687566137566132</v>
      </c>
      <c r="CR7" s="130">
        <f>IS!CU6</f>
        <v>0.59301860301860299</v>
      </c>
      <c r="CS7" s="130">
        <f>IS!CV6</f>
        <v>0.63033939818054585</v>
      </c>
      <c r="CT7" s="130">
        <f>IS!CW6</f>
        <v>0.6364312630844382</v>
      </c>
      <c r="CU7" s="130">
        <f>IS!CX6</f>
        <v>0.37228581411600281</v>
      </c>
      <c r="CV7" s="131">
        <f>IS!CY6</f>
        <v>0.67757660167130918</v>
      </c>
      <c r="CW7" s="130">
        <f>IS!CZ6</f>
        <v>0.72865250696378836</v>
      </c>
      <c r="CX7" s="130">
        <f>IS!DA6</f>
        <v>0.76658315935977728</v>
      </c>
      <c r="CY7" s="130">
        <f>IS!DB6</f>
        <v>0.64996173913043476</v>
      </c>
      <c r="CZ7" s="131">
        <f>IS!DC6</f>
        <v>0.91084337349397593</v>
      </c>
      <c r="DA7" s="1036">
        <f>IS!DD6</f>
        <v>0.90769564170479167</v>
      </c>
      <c r="DB7" s="1036">
        <f>IS!DE6</f>
        <v>0.88843471988458766</v>
      </c>
      <c r="DC7" s="132">
        <f>IS!DF6</f>
        <v>0.71300938176569639</v>
      </c>
      <c r="DD7" s="131">
        <f>IS!DG6</f>
        <v>0.88910458626546951</v>
      </c>
      <c r="DE7" s="1036">
        <f>IS!DH6</f>
        <v>0.90183598531211751</v>
      </c>
      <c r="DF7" s="2156">
        <f>IS!DI6</f>
        <v>0.91012770137524557</v>
      </c>
      <c r="DG7" s="2478">
        <f>IS!DJ6</f>
        <v>0.7531305201177626</v>
      </c>
      <c r="DH7" s="2156">
        <f>IS!DK6</f>
        <v>0.93005140758873939</v>
      </c>
      <c r="DI7" s="2167">
        <f>IS!DL6</f>
        <v>0.94394124847001226</v>
      </c>
      <c r="DJ7" s="2167">
        <f>IS!DM6</f>
        <v>1.0088105726872247</v>
      </c>
      <c r="DK7" s="2168">
        <f>IS!DN6</f>
        <v>0.85882065084413994</v>
      </c>
      <c r="DL7" s="2167">
        <f>IS!DO6</f>
        <v>0.94519207242476144</v>
      </c>
      <c r="DM7" s="2167">
        <f>IS!DP6</f>
        <v>0.95639392454679084</v>
      </c>
      <c r="DN7" s="2167">
        <f>IS!DQ6</f>
        <v>0.97676693568109563</v>
      </c>
      <c r="DO7" s="2168">
        <f>IS!DR6</f>
        <v>0.85916870415647917</v>
      </c>
      <c r="DP7" s="2167">
        <f>IS!DS6</f>
        <v>1.1714146579011444</v>
      </c>
      <c r="DQ7" s="2167">
        <f ca="1">IS!DT6</f>
        <v>1.1606189746252034</v>
      </c>
      <c r="DR7" s="2167">
        <f ca="1">IS!DU6</f>
        <v>1.2111746666504053</v>
      </c>
      <c r="DS7" s="2168">
        <f ca="1">IS!DV6</f>
        <v>1.0018026868648913</v>
      </c>
      <c r="DT7" s="87"/>
    </row>
    <row r="8" spans="1:124">
      <c r="A8" s="133" t="s">
        <v>1213</v>
      </c>
      <c r="B8" s="237"/>
      <c r="C8" s="237"/>
      <c r="D8" s="238"/>
      <c r="E8" s="238"/>
      <c r="F8" s="239">
        <v>0.12184873949579833</v>
      </c>
      <c r="G8" s="239">
        <v>6.367041198501866E-2</v>
      </c>
      <c r="H8" s="239">
        <v>2.4647887323943518E-2</v>
      </c>
      <c r="I8" s="239">
        <v>3.0927835051546504E-2</v>
      </c>
      <c r="J8" s="239">
        <v>1.9999999999999796E-2</v>
      </c>
      <c r="K8" s="239">
        <v>-0.15359477124182996</v>
      </c>
      <c r="L8" s="239">
        <v>-3.8610038610038422E-2</v>
      </c>
      <c r="M8" s="239">
        <v>-0.59839357429718887</v>
      </c>
      <c r="N8" s="239">
        <f>IS!N7</f>
        <v>1.6099999999999999</v>
      </c>
      <c r="O8" s="239">
        <f>IS!O7</f>
        <v>-8.5573444477578642E-2</v>
      </c>
      <c r="P8" s="239">
        <f>IS!P7</f>
        <v>6.3510698408052235E-2</v>
      </c>
      <c r="Q8" s="239" t="str">
        <f>IS!Q7</f>
        <v>na</v>
      </c>
      <c r="R8" s="239">
        <f>IS!R7</f>
        <v>8.5550906444832986E-2</v>
      </c>
      <c r="S8" s="135">
        <f>IS!S7</f>
        <v>3.6942150553114672E-2</v>
      </c>
      <c r="T8" s="239">
        <f>IS!T7</f>
        <v>3.3010302655364976E-2</v>
      </c>
      <c r="U8" s="239">
        <f>IS!U7</f>
        <v>0.26821197866996083</v>
      </c>
      <c r="V8" s="239">
        <f>IS!V7</f>
        <v>0.20951665223062776</v>
      </c>
      <c r="W8" s="239">
        <f>IS!W7</f>
        <v>1.0845036780645856E-2</v>
      </c>
      <c r="X8" s="239">
        <f>IS!X7</f>
        <v>8.4428937946140037E-2</v>
      </c>
      <c r="Y8" s="239">
        <f>IS!Y7</f>
        <v>-1.1075775056962334E-3</v>
      </c>
      <c r="Z8" s="239">
        <f ca="1">IS!Z7</f>
        <v>0.21599471389402725</v>
      </c>
      <c r="AA8" s="239">
        <f ca="1">IS!AA7</f>
        <v>4.1663323025529442E-2</v>
      </c>
      <c r="AB8" s="239">
        <f ca="1">IS!AB7</f>
        <v>4.5497108841304534E-2</v>
      </c>
      <c r="AC8" s="239">
        <f ca="1">IS!AC7</f>
        <v>4.2331968049131863E-2</v>
      </c>
      <c r="AD8" s="239">
        <f ca="1">IS!AD7</f>
        <v>4.4497484833543322E-2</v>
      </c>
      <c r="AE8" s="239">
        <f ca="1">IS!AE7</f>
        <v>4.5332140605732318E-2</v>
      </c>
      <c r="AF8" s="239">
        <f ca="1">IS!AF7</f>
        <v>4.6206531348175206E-2</v>
      </c>
      <c r="AG8" s="239">
        <f ca="1">IS!AG7</f>
        <v>4.5931447973693862E-2</v>
      </c>
      <c r="AH8" s="216"/>
      <c r="AI8" s="147"/>
      <c r="AJ8" s="238"/>
      <c r="AK8" s="238"/>
      <c r="AL8" s="238"/>
      <c r="AM8" s="238"/>
      <c r="AN8" s="239">
        <v>8.6206896551724199E-2</v>
      </c>
      <c r="AO8" s="239">
        <v>6.7796610169491567E-2</v>
      </c>
      <c r="AP8" s="239">
        <v>9.375E-2</v>
      </c>
      <c r="AQ8" s="239">
        <v>0.26315789473684226</v>
      </c>
      <c r="AR8" s="239">
        <v>0.11111111111111094</v>
      </c>
      <c r="AS8" s="239">
        <v>6.3492063492063489E-2</v>
      </c>
      <c r="AT8" s="239">
        <v>2.8571428571428692E-2</v>
      </c>
      <c r="AU8" s="239">
        <v>4.1666666666666741E-2</v>
      </c>
      <c r="AV8" s="239">
        <v>-1.4285714285714346E-2</v>
      </c>
      <c r="AW8" s="239">
        <v>7.4626865671641784E-2</v>
      </c>
      <c r="AX8" s="239">
        <v>1.388888888888884E-2</v>
      </c>
      <c r="AY8" s="239">
        <v>2.6666666666666616E-2</v>
      </c>
      <c r="AZ8" s="239">
        <v>4.3478260869565188E-2</v>
      </c>
      <c r="BA8" s="239">
        <v>6.944444444444442E-2</v>
      </c>
      <c r="BB8" s="239">
        <v>2.7397260273972712E-2</v>
      </c>
      <c r="BC8" s="239">
        <v>0</v>
      </c>
      <c r="BD8" s="351"/>
      <c r="BE8" s="351"/>
      <c r="BF8" s="351"/>
      <c r="BG8" s="351"/>
      <c r="BH8" s="239"/>
      <c r="BI8" s="239"/>
      <c r="BJ8" s="239"/>
      <c r="BK8" s="239"/>
      <c r="BL8" s="241">
        <v>-0.15545775739168177</v>
      </c>
      <c r="BM8" s="239">
        <v>-5.7289417415393173E-2</v>
      </c>
      <c r="BN8" s="239">
        <v>3.6948066803935031E-2</v>
      </c>
      <c r="BO8" s="239">
        <v>0.1254668729919024</v>
      </c>
      <c r="BP8" s="241">
        <v>4.9338350314970691E-2</v>
      </c>
      <c r="BQ8" s="239">
        <v>-2.3883821078436229E-2</v>
      </c>
      <c r="BR8" s="239">
        <v>-1.3843340634760004E-2</v>
      </c>
      <c r="BS8" s="239">
        <v>-4.7887593494302383E-2</v>
      </c>
      <c r="BT8" s="241">
        <f>IS!BW7</f>
        <v>0.12061072722749944</v>
      </c>
      <c r="BU8" s="239">
        <f>IS!BX7</f>
        <v>3.731872987703122E-2</v>
      </c>
      <c r="BV8" s="239">
        <f>IS!BY7</f>
        <v>7.4355068635477473E-2</v>
      </c>
      <c r="BW8" s="239">
        <f>IS!BZ7</f>
        <v>1.2949640287769792E-2</v>
      </c>
      <c r="BX8" s="241">
        <f>IS!CA7</f>
        <v>-0.17082769433929157</v>
      </c>
      <c r="BY8" s="239">
        <f>IS!CB7</f>
        <v>-8.5598407471488946E-2</v>
      </c>
      <c r="BZ8" s="239">
        <f>IS!CC7</f>
        <v>-8.1674085107120042E-2</v>
      </c>
      <c r="CA8" s="239">
        <f>IS!CD7</f>
        <v>-3.732513896374634E-3</v>
      </c>
      <c r="CB8" s="241">
        <f>IS!CE7</f>
        <v>8.5247379522264577E-2</v>
      </c>
      <c r="CC8" s="239">
        <f>IS!CF7</f>
        <v>0.14199929849175752</v>
      </c>
      <c r="CD8" s="239">
        <f>IS!CG7</f>
        <v>4.7990342638684291E-2</v>
      </c>
      <c r="CE8" s="239">
        <f>IS!CH7</f>
        <v>-1.4950040117234775E-2</v>
      </c>
      <c r="CF8" s="241" t="str">
        <f>IS!CI7</f>
        <v>na</v>
      </c>
      <c r="CG8" s="239" t="str">
        <f>IS!CJ7</f>
        <v>na</v>
      </c>
      <c r="CH8" s="239" t="str">
        <f>IS!CK7</f>
        <v>na</v>
      </c>
      <c r="CI8" s="239" t="str">
        <f>IS!CL7</f>
        <v>na</v>
      </c>
      <c r="CJ8" s="241">
        <f>IS!CM7</f>
        <v>6.2117786675279785E-3</v>
      </c>
      <c r="CK8" s="239">
        <f>IS!CN7</f>
        <v>-2.6333513666051411E-3</v>
      </c>
      <c r="CL8" s="239">
        <f>IS!CO7</f>
        <v>0.13657068308360865</v>
      </c>
      <c r="CM8" s="239">
        <f>IS!CP7</f>
        <v>0.21756327492904082</v>
      </c>
      <c r="CN8" s="241">
        <f>IS!CQ7</f>
        <v>6.6759394123674154E-2</v>
      </c>
      <c r="CO8" s="239">
        <f>IS!CR7</f>
        <v>0.10816940546942599</v>
      </c>
      <c r="CP8" s="239">
        <f>IS!CS7</f>
        <v>2.2077890161758873E-2</v>
      </c>
      <c r="CQ8" s="242">
        <f>IS!CT7</f>
        <v>-4.2169523723848523E-2</v>
      </c>
      <c r="CR8" s="239">
        <f>IS!CU7</f>
        <v>0.16463750627525764</v>
      </c>
      <c r="CS8" s="239">
        <f>IS!CV7</f>
        <v>0.10739527025267104</v>
      </c>
      <c r="CT8" s="239">
        <f>IS!CW7</f>
        <v>0.13888841855495571</v>
      </c>
      <c r="CU8" s="239">
        <f>IS!CX7</f>
        <v>-0.27973816154321052</v>
      </c>
      <c r="CV8" s="241">
        <f>IS!CY7</f>
        <v>0.14258911646664418</v>
      </c>
      <c r="CW8" s="239">
        <f>IS!CZ7</f>
        <v>0.15596852912418302</v>
      </c>
      <c r="CX8" s="239">
        <f>IS!DA7</f>
        <v>0.20450267581853732</v>
      </c>
      <c r="CY8" s="239">
        <f>IS!DB7</f>
        <v>0.74586759550260284</v>
      </c>
      <c r="CZ8" s="241">
        <f>IS!DC7</f>
        <v>0.34426627372800556</v>
      </c>
      <c r="DA8" s="239">
        <f>IS!DD7</f>
        <v>0.24571813454269931</v>
      </c>
      <c r="DB8" s="239">
        <f>IS!DE7</f>
        <v>0.15895413176905215</v>
      </c>
      <c r="DC8" s="242">
        <f>IS!DF7</f>
        <v>9.7002083106632275E-2</v>
      </c>
      <c r="DD8" s="241">
        <f>IS!DG7</f>
        <v>-2.3866657936058577E-2</v>
      </c>
      <c r="DE8" s="1037">
        <f>IS!DH7</f>
        <v>-6.4555299413675549E-3</v>
      </c>
      <c r="DF8" s="2157">
        <f>IS!DI7</f>
        <v>2.4417079842935285E-2</v>
      </c>
      <c r="DG8" s="2479">
        <f>IS!DJ7</f>
        <v>5.6270140867866525E-2</v>
      </c>
      <c r="DH8" s="2157">
        <f>IS!DK7</f>
        <v>4.6053998546177644E-2</v>
      </c>
      <c r="DI8" s="2170">
        <f>IS!DL7</f>
        <v>4.6688382193268207E-2</v>
      </c>
      <c r="DJ8" s="2170">
        <f>IS!DM7</f>
        <v>0.1084274999682624</v>
      </c>
      <c r="DK8" s="2171">
        <f>IS!DN7</f>
        <v>0.14033441469063179</v>
      </c>
      <c r="DL8" s="2170">
        <f>IS!DO7</f>
        <v>1.6279384894729576E-2</v>
      </c>
      <c r="DM8" s="2170">
        <f>IS!DP7</f>
        <v>1.3192215190259482E-2</v>
      </c>
      <c r="DN8" s="2170">
        <f>IS!DQ7</f>
        <v>-3.1763779914372514E-2</v>
      </c>
      <c r="DO8" s="2171">
        <f>IS!DR7</f>
        <v>4.0526891382630659E-4</v>
      </c>
      <c r="DP8" s="2170">
        <f>IS!DS7</f>
        <v>0.23934033311984915</v>
      </c>
      <c r="DQ8" s="2170">
        <f ca="1">IS!DT7</f>
        <v>0.2135365405789138</v>
      </c>
      <c r="DR8" s="2170">
        <f ca="1">IS!DU7</f>
        <v>0.23998327790022711</v>
      </c>
      <c r="DS8" s="2171">
        <f ca="1">IS!DV7</f>
        <v>0.16601394117171475</v>
      </c>
      <c r="DT8" s="94"/>
    </row>
    <row r="9" spans="1:124">
      <c r="A9" s="109"/>
      <c r="B9" s="109"/>
      <c r="C9" s="109"/>
      <c r="D9" s="109"/>
      <c r="E9" s="109"/>
      <c r="F9" s="109"/>
      <c r="G9" s="109"/>
      <c r="H9" s="109"/>
      <c r="I9" s="109"/>
      <c r="J9" s="109"/>
      <c r="K9" s="109"/>
      <c r="L9" s="109"/>
      <c r="M9" s="109"/>
      <c r="N9" s="109"/>
      <c r="O9" s="109"/>
      <c r="P9" s="109"/>
      <c r="Q9" s="1044"/>
      <c r="R9" s="109"/>
      <c r="S9" s="109"/>
      <c r="T9" s="109"/>
      <c r="U9" s="1044"/>
      <c r="V9" s="109"/>
      <c r="W9" s="109"/>
      <c r="X9" s="109"/>
      <c r="Y9" s="109"/>
      <c r="Z9" s="109"/>
      <c r="AA9" s="109"/>
      <c r="AB9" s="109"/>
      <c r="AC9" s="109"/>
      <c r="AD9" s="109"/>
      <c r="AE9" s="109"/>
      <c r="AF9" s="109"/>
      <c r="AG9" s="109"/>
      <c r="AH9" s="216"/>
      <c r="AI9" s="171"/>
      <c r="AJ9" s="109"/>
      <c r="AK9" s="109"/>
      <c r="AL9" s="109"/>
      <c r="AM9" s="109"/>
      <c r="AN9" s="109"/>
      <c r="AO9" s="109"/>
      <c r="AP9" s="109"/>
      <c r="AQ9" s="109"/>
      <c r="AR9" s="109"/>
      <c r="AS9" s="109"/>
      <c r="AT9" s="109"/>
      <c r="AU9" s="109"/>
      <c r="AV9" s="109"/>
      <c r="AW9" s="109"/>
      <c r="AX9" s="109"/>
      <c r="AY9" s="109"/>
      <c r="AZ9" s="109"/>
      <c r="BA9" s="109"/>
      <c r="BB9" s="109"/>
      <c r="BC9" s="109"/>
      <c r="BD9" s="109"/>
      <c r="BE9" s="109"/>
      <c r="BF9" s="109"/>
      <c r="BG9" s="109"/>
      <c r="BH9" s="109"/>
      <c r="BI9" s="109"/>
      <c r="BJ9" s="109"/>
      <c r="BK9" s="109"/>
      <c r="BL9" s="171"/>
      <c r="BM9" s="109"/>
      <c r="BN9" s="109"/>
      <c r="BO9" s="109"/>
      <c r="BP9" s="171"/>
      <c r="BQ9" s="109"/>
      <c r="BR9" s="109"/>
      <c r="BS9" s="109"/>
      <c r="BT9" s="171"/>
      <c r="BU9" s="109"/>
      <c r="BV9" s="109"/>
      <c r="BW9" s="109"/>
      <c r="BX9" s="171"/>
      <c r="BY9" s="109"/>
      <c r="BZ9" s="109"/>
      <c r="CA9" s="109"/>
      <c r="CB9" s="171"/>
      <c r="CC9" s="109"/>
      <c r="CD9" s="109"/>
      <c r="CE9" s="109"/>
      <c r="CF9" s="171"/>
      <c r="CG9" s="109"/>
      <c r="CH9" s="109"/>
      <c r="CI9" s="109"/>
      <c r="CJ9" s="171"/>
      <c r="CK9" s="109"/>
      <c r="CL9" s="109"/>
      <c r="CM9" s="109"/>
      <c r="CN9" s="171"/>
      <c r="CO9" s="109"/>
      <c r="CP9" s="109"/>
      <c r="CQ9" s="172"/>
      <c r="CR9" s="109"/>
      <c r="CS9" s="109"/>
      <c r="CT9" s="109"/>
      <c r="CU9" s="109"/>
      <c r="CV9" s="171"/>
      <c r="CW9" s="109"/>
      <c r="CX9" s="109"/>
      <c r="CY9" s="109"/>
      <c r="CZ9" s="171"/>
      <c r="DA9" s="1044"/>
      <c r="DB9" s="1044"/>
      <c r="DC9" s="172"/>
      <c r="DD9" s="171"/>
      <c r="DE9" s="1044"/>
      <c r="DF9" s="1044"/>
      <c r="DG9" s="172"/>
      <c r="DH9" s="1044"/>
      <c r="DI9" s="1044"/>
      <c r="DJ9" s="1044"/>
      <c r="DK9" s="172"/>
      <c r="DL9" s="1044"/>
      <c r="DM9" s="1044"/>
      <c r="DN9" s="1044"/>
      <c r="DO9" s="172"/>
      <c r="DP9" s="1044"/>
      <c r="DQ9" s="1044"/>
      <c r="DR9" s="1044"/>
      <c r="DS9" s="172"/>
      <c r="DT9" s="109"/>
    </row>
    <row r="10" spans="1:124">
      <c r="A10" s="353" t="s">
        <v>1432</v>
      </c>
      <c r="B10" s="354"/>
      <c r="C10" s="354"/>
      <c r="D10" s="354"/>
      <c r="E10" s="354"/>
      <c r="F10" s="354"/>
      <c r="G10" s="354"/>
      <c r="H10" s="354"/>
      <c r="I10" s="354"/>
      <c r="J10" s="354"/>
      <c r="K10" s="354"/>
      <c r="L10" s="354"/>
      <c r="M10" s="354"/>
      <c r="N10" s="354"/>
      <c r="O10" s="354"/>
      <c r="P10" s="354"/>
      <c r="Q10" s="1087"/>
      <c r="R10" s="354"/>
      <c r="S10" s="354"/>
      <c r="T10" s="354"/>
      <c r="U10" s="1087"/>
      <c r="V10" s="354"/>
      <c r="W10" s="354"/>
      <c r="X10" s="354"/>
      <c r="Y10" s="354"/>
      <c r="Z10" s="354"/>
      <c r="AA10" s="354"/>
      <c r="AB10" s="354"/>
      <c r="AC10" s="354"/>
      <c r="AD10" s="354"/>
      <c r="AE10" s="354"/>
      <c r="AF10" s="354"/>
      <c r="AG10" s="354"/>
      <c r="AH10" s="216"/>
      <c r="AI10" s="171"/>
      <c r="AJ10" s="354"/>
      <c r="AK10" s="354"/>
      <c r="AL10" s="354"/>
      <c r="AM10" s="354"/>
      <c r="AN10" s="354"/>
      <c r="AO10" s="354"/>
      <c r="AP10" s="354"/>
      <c r="AQ10" s="354"/>
      <c r="AR10" s="354"/>
      <c r="AS10" s="354"/>
      <c r="AT10" s="354"/>
      <c r="AU10" s="354"/>
      <c r="AV10" s="354"/>
      <c r="AW10" s="354"/>
      <c r="AX10" s="354"/>
      <c r="AY10" s="354"/>
      <c r="AZ10" s="354"/>
      <c r="BA10" s="354"/>
      <c r="BB10" s="354"/>
      <c r="BC10" s="354"/>
      <c r="BD10" s="354"/>
      <c r="BE10" s="354"/>
      <c r="BF10" s="354"/>
      <c r="BG10" s="354"/>
      <c r="BH10" s="354"/>
      <c r="BI10" s="354"/>
      <c r="BJ10" s="354"/>
      <c r="BK10" s="354"/>
      <c r="BL10" s="356"/>
      <c r="BM10" s="354"/>
      <c r="BN10" s="354"/>
      <c r="BO10" s="354"/>
      <c r="BP10" s="356"/>
      <c r="BQ10" s="354"/>
      <c r="BR10" s="354"/>
      <c r="BS10" s="354"/>
      <c r="BT10" s="356"/>
      <c r="BU10" s="354"/>
      <c r="BV10" s="354"/>
      <c r="BW10" s="354"/>
      <c r="BX10" s="356"/>
      <c r="BY10" s="354"/>
      <c r="BZ10" s="354"/>
      <c r="CA10" s="354"/>
      <c r="CB10" s="356"/>
      <c r="CC10" s="354"/>
      <c r="CD10" s="354"/>
      <c r="CE10" s="354"/>
      <c r="CF10" s="356"/>
      <c r="CG10" s="354"/>
      <c r="CH10" s="354"/>
      <c r="CI10" s="354"/>
      <c r="CJ10" s="356"/>
      <c r="CK10" s="354"/>
      <c r="CL10" s="354"/>
      <c r="CM10" s="354"/>
      <c r="CN10" s="356"/>
      <c r="CO10" s="354"/>
      <c r="CP10" s="354"/>
      <c r="CQ10" s="355"/>
      <c r="CR10" s="354"/>
      <c r="CS10" s="354"/>
      <c r="CT10" s="354"/>
      <c r="CU10" s="354"/>
      <c r="CV10" s="356"/>
      <c r="CW10" s="354"/>
      <c r="CX10" s="354"/>
      <c r="CY10" s="354"/>
      <c r="CZ10" s="356"/>
      <c r="DA10" s="1087"/>
      <c r="DB10" s="1087"/>
      <c r="DC10" s="355"/>
      <c r="DD10" s="356"/>
      <c r="DE10" s="1087"/>
      <c r="DF10" s="1087"/>
      <c r="DG10" s="355"/>
      <c r="DH10" s="1087"/>
      <c r="DI10" s="1087"/>
      <c r="DJ10" s="1087"/>
      <c r="DK10" s="355"/>
      <c r="DL10" s="1087"/>
      <c r="DM10" s="1087"/>
      <c r="DN10" s="1087"/>
      <c r="DO10" s="355"/>
      <c r="DP10" s="1087"/>
      <c r="DQ10" s="1087"/>
      <c r="DR10" s="1087"/>
      <c r="DS10" s="355"/>
      <c r="DT10" s="109"/>
    </row>
    <row r="11" spans="1:124">
      <c r="A11" s="109"/>
      <c r="B11" s="109"/>
      <c r="C11" s="109"/>
      <c r="D11" s="109"/>
      <c r="E11" s="109"/>
      <c r="F11" s="109"/>
      <c r="G11" s="109"/>
      <c r="H11" s="109"/>
      <c r="I11" s="109"/>
      <c r="J11" s="109"/>
      <c r="K11" s="109"/>
      <c r="L11" s="109"/>
      <c r="M11" s="109"/>
      <c r="N11" s="109"/>
      <c r="O11" s="109"/>
      <c r="P11" s="109"/>
      <c r="Q11" s="1044"/>
      <c r="R11" s="109"/>
      <c r="S11" s="109"/>
      <c r="T11" s="1044"/>
      <c r="U11" s="1044"/>
      <c r="V11" s="109"/>
      <c r="W11" s="109"/>
      <c r="X11" s="109"/>
      <c r="Y11" s="109"/>
      <c r="Z11" s="109"/>
      <c r="AA11" s="109"/>
      <c r="AB11" s="109"/>
      <c r="AC11" s="109"/>
      <c r="AD11" s="109"/>
      <c r="AE11" s="109"/>
      <c r="AF11" s="109"/>
      <c r="AG11" s="109"/>
      <c r="AH11" s="216"/>
      <c r="AI11" s="171"/>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71"/>
      <c r="BM11" s="109"/>
      <c r="BN11" s="109"/>
      <c r="BO11" s="109"/>
      <c r="BP11" s="171"/>
      <c r="BQ11" s="109"/>
      <c r="BR11" s="109"/>
      <c r="BS11" s="109"/>
      <c r="BT11" s="171"/>
      <c r="BU11" s="109"/>
      <c r="BV11" s="109"/>
      <c r="BW11" s="109"/>
      <c r="BX11" s="171"/>
      <c r="BY11" s="109"/>
      <c r="BZ11" s="109"/>
      <c r="CA11" s="109"/>
      <c r="CB11" s="171"/>
      <c r="CC11" s="109"/>
      <c r="CD11" s="109"/>
      <c r="CE11" s="109"/>
      <c r="CF11" s="171"/>
      <c r="CG11" s="109"/>
      <c r="CH11" s="109"/>
      <c r="CI11" s="109"/>
      <c r="CJ11" s="171"/>
      <c r="CK11" s="109"/>
      <c r="CL11" s="109"/>
      <c r="CM11" s="109"/>
      <c r="CN11" s="171"/>
      <c r="CO11" s="109"/>
      <c r="CP11" s="109"/>
      <c r="CQ11" s="172"/>
      <c r="CR11" s="109"/>
      <c r="CS11" s="109"/>
      <c r="CT11" s="109"/>
      <c r="CU11" s="109"/>
      <c r="CV11" s="171"/>
      <c r="CW11" s="109"/>
      <c r="CX11" s="109"/>
      <c r="CY11" s="109"/>
      <c r="CZ11" s="171"/>
      <c r="DA11" s="1044"/>
      <c r="DB11" s="1044"/>
      <c r="DC11" s="172"/>
      <c r="DD11" s="171"/>
      <c r="DE11" s="1044"/>
      <c r="DF11" s="1044"/>
      <c r="DG11" s="172"/>
      <c r="DH11" s="1044"/>
      <c r="DI11" s="1044"/>
      <c r="DJ11" s="1044"/>
      <c r="DK11" s="172"/>
      <c r="DL11" s="1044"/>
      <c r="DM11" s="1044"/>
      <c r="DN11" s="1044"/>
      <c r="DO11" s="172"/>
      <c r="DP11" s="1044"/>
      <c r="DQ11" s="1044"/>
      <c r="DR11" s="1044"/>
      <c r="DS11" s="172"/>
      <c r="DT11" s="109"/>
    </row>
    <row r="12" spans="1:124">
      <c r="A12" s="169" t="s">
        <v>1433</v>
      </c>
      <c r="B12" s="109"/>
      <c r="C12" s="109"/>
      <c r="D12" s="109"/>
      <c r="E12" s="109"/>
      <c r="F12" s="109"/>
      <c r="G12" s="109"/>
      <c r="H12" s="109"/>
      <c r="I12" s="109"/>
      <c r="J12" s="109"/>
      <c r="K12" s="109"/>
      <c r="L12" s="109"/>
      <c r="M12" s="109"/>
      <c r="N12" s="109"/>
      <c r="O12" s="109"/>
      <c r="P12" s="109"/>
      <c r="Q12" s="1044"/>
      <c r="R12" s="109"/>
      <c r="S12" s="109"/>
      <c r="T12" s="1044"/>
      <c r="U12" s="1044"/>
      <c r="V12" s="109"/>
      <c r="W12" s="109"/>
      <c r="X12" s="109"/>
      <c r="Y12" s="109"/>
      <c r="Z12" s="109"/>
      <c r="AA12" s="109"/>
      <c r="AB12" s="109"/>
      <c r="AC12" s="109"/>
      <c r="AD12" s="109"/>
      <c r="AE12" s="109"/>
      <c r="AF12" s="109"/>
      <c r="AG12" s="109"/>
      <c r="AH12" s="109"/>
      <c r="AI12" s="171"/>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71"/>
      <c r="BM12" s="109"/>
      <c r="BN12" s="109"/>
      <c r="BO12" s="109"/>
      <c r="BP12" s="171"/>
      <c r="BQ12" s="109"/>
      <c r="BR12" s="109"/>
      <c r="BS12" s="109"/>
      <c r="BT12" s="171"/>
      <c r="BU12" s="109"/>
      <c r="BV12" s="109"/>
      <c r="BW12" s="109"/>
      <c r="BX12" s="171"/>
      <c r="BY12" s="109"/>
      <c r="BZ12" s="109"/>
      <c r="CA12" s="109"/>
      <c r="CB12" s="171"/>
      <c r="CC12" s="109"/>
      <c r="CD12" s="109"/>
      <c r="CE12" s="109"/>
      <c r="CF12" s="171"/>
      <c r="CG12" s="109"/>
      <c r="CH12" s="109"/>
      <c r="CI12" s="109"/>
      <c r="CJ12" s="171"/>
      <c r="CK12" s="109"/>
      <c r="CL12" s="109"/>
      <c r="CM12" s="109"/>
      <c r="CN12" s="171"/>
      <c r="CO12" s="109"/>
      <c r="CP12" s="109"/>
      <c r="CQ12" s="172"/>
      <c r="CR12" s="109"/>
      <c r="CS12" s="109"/>
      <c r="CT12" s="109"/>
      <c r="CU12" s="109"/>
      <c r="CV12" s="171"/>
      <c r="CW12" s="109"/>
      <c r="CX12" s="109"/>
      <c r="CY12" s="109"/>
      <c r="CZ12" s="171"/>
      <c r="DA12" s="1044"/>
      <c r="DB12" s="1044"/>
      <c r="DC12" s="172"/>
      <c r="DD12" s="171"/>
      <c r="DE12" s="1044"/>
      <c r="DF12" s="1044"/>
      <c r="DG12" s="172"/>
      <c r="DH12" s="1044"/>
      <c r="DI12" s="1044"/>
      <c r="DJ12" s="1044"/>
      <c r="DK12" s="172"/>
      <c r="DL12" s="1044"/>
      <c r="DM12" s="1044"/>
      <c r="DN12" s="1044"/>
      <c r="DO12" s="172"/>
      <c r="DP12" s="1044"/>
      <c r="DQ12" s="1044"/>
      <c r="DR12" s="1044"/>
      <c r="DS12" s="172"/>
      <c r="DT12" s="109"/>
    </row>
    <row r="13" spans="1:124">
      <c r="A13" s="167" t="s">
        <v>948</v>
      </c>
      <c r="B13" s="109"/>
      <c r="C13" s="109"/>
      <c r="D13" s="109"/>
      <c r="E13" s="109">
        <v>39426</v>
      </c>
      <c r="F13" s="109">
        <v>41519</v>
      </c>
      <c r="G13" s="109">
        <v>41723</v>
      </c>
      <c r="H13" s="109">
        <v>42322</v>
      </c>
      <c r="I13" s="109">
        <v>42081</v>
      </c>
      <c r="J13" s="109">
        <v>40839</v>
      </c>
      <c r="K13" s="109">
        <v>39055</v>
      </c>
      <c r="L13" s="109">
        <v>38021</v>
      </c>
      <c r="M13" s="109">
        <v>37616</v>
      </c>
      <c r="N13" s="109">
        <f>SUM(BT13:BW13)</f>
        <v>49504</v>
      </c>
      <c r="O13" s="109">
        <f>SUM(BX13:CA13)</f>
        <v>49129</v>
      </c>
      <c r="P13" s="109">
        <f>SUM(CB13:CE13)</f>
        <v>48214</v>
      </c>
      <c r="Q13" s="1044">
        <f>SUM(CF13:CI13)</f>
        <v>42353</v>
      </c>
      <c r="R13" s="109">
        <f>SUM(CJ13:CM13)</f>
        <v>41227</v>
      </c>
      <c r="S13" s="109">
        <f>SUM(CN13:CQ13)</f>
        <v>40682</v>
      </c>
      <c r="T13" s="1044">
        <f>SUM(CR13:CU13)</f>
        <v>39523</v>
      </c>
      <c r="U13" s="1044">
        <f>SUM(CV13:CY13)</f>
        <v>38624</v>
      </c>
      <c r="V13" s="109">
        <f>SUM(CZ13:DC13)</f>
        <v>38429</v>
      </c>
      <c r="W13" s="109">
        <f>Wireline!W75</f>
        <v>35521</v>
      </c>
      <c r="X13" s="109">
        <f>Wireline!X75</f>
        <v>32187</v>
      </c>
      <c r="Y13" s="2552">
        <f>Wireline!Y75</f>
        <v>30957</v>
      </c>
      <c r="Z13" s="2552">
        <f>Wireline!Z75</f>
        <v>30121.528239068102</v>
      </c>
      <c r="AA13" s="109">
        <f>Wireline!AA75</f>
        <v>29694.288523668522</v>
      </c>
      <c r="AB13" s="109">
        <f>Wireline!AB75</f>
        <v>29272.688905597533</v>
      </c>
      <c r="AC13" s="109">
        <f>Wireline!AC75</f>
        <v>28873.969536712844</v>
      </c>
      <c r="AD13" s="109">
        <f>Wireline!AD75</f>
        <v>28494.147508978458</v>
      </c>
      <c r="AE13" s="109">
        <f>Wireline!AE75</f>
        <v>28130.062356789385</v>
      </c>
      <c r="AF13" s="109">
        <f>Wireline!AF75</f>
        <v>27779.210202411166</v>
      </c>
      <c r="AG13" s="109">
        <f>Wireline!AG75</f>
        <v>27439.613484142417</v>
      </c>
      <c r="AH13" s="109"/>
      <c r="AI13" s="171"/>
      <c r="AJ13" s="109">
        <v>9576</v>
      </c>
      <c r="AK13" s="109">
        <v>9818</v>
      </c>
      <c r="AL13" s="109">
        <v>9912</v>
      </c>
      <c r="AM13" s="109">
        <v>10120</v>
      </c>
      <c r="AN13" s="109">
        <v>10072</v>
      </c>
      <c r="AO13" s="109">
        <v>10325</v>
      </c>
      <c r="AP13" s="109">
        <v>10502</v>
      </c>
      <c r="AQ13" s="109">
        <v>10620</v>
      </c>
      <c r="AR13" s="109">
        <v>10169</v>
      </c>
      <c r="AS13" s="109">
        <v>10435</v>
      </c>
      <c r="AT13" s="109">
        <v>10534</v>
      </c>
      <c r="AU13" s="109">
        <v>10585</v>
      </c>
      <c r="AV13" s="109">
        <v>10366</v>
      </c>
      <c r="AW13" s="109">
        <v>10661</v>
      </c>
      <c r="AX13" s="109">
        <v>10618</v>
      </c>
      <c r="AY13" s="109">
        <v>10677</v>
      </c>
      <c r="AZ13" s="109">
        <v>10661</v>
      </c>
      <c r="BA13" s="109">
        <v>10702</v>
      </c>
      <c r="BB13" s="109">
        <v>10422</v>
      </c>
      <c r="BC13" s="109">
        <v>10296</v>
      </c>
      <c r="BD13" s="109">
        <v>10251</v>
      </c>
      <c r="BE13" s="109">
        <v>10254</v>
      </c>
      <c r="BF13" s="109">
        <v>10268</v>
      </c>
      <c r="BG13" s="109">
        <v>10066</v>
      </c>
      <c r="BH13" s="109">
        <v>9803</v>
      </c>
      <c r="BI13" s="109">
        <v>9772</v>
      </c>
      <c r="BJ13" s="109">
        <v>9717</v>
      </c>
      <c r="BK13" s="109">
        <v>9763</v>
      </c>
      <c r="BL13" s="171">
        <v>9481</v>
      </c>
      <c r="BM13" s="109">
        <v>9492</v>
      </c>
      <c r="BN13" s="109">
        <v>9515</v>
      </c>
      <c r="BO13" s="109">
        <v>9533</v>
      </c>
      <c r="BP13" s="171">
        <v>9367</v>
      </c>
      <c r="BQ13" s="109">
        <v>9445</v>
      </c>
      <c r="BR13" s="109">
        <v>9445</v>
      </c>
      <c r="BS13" s="109">
        <v>9359</v>
      </c>
      <c r="BT13" s="171">
        <f>Wireline!BZ75</f>
        <v>12142</v>
      </c>
      <c r="BU13" s="109">
        <f>Wireline!CA75</f>
        <v>12457</v>
      </c>
      <c r="BV13" s="109">
        <f>Wireline!CB75</f>
        <v>12483</v>
      </c>
      <c r="BW13" s="109">
        <f>Wireline!CC75</f>
        <v>12422</v>
      </c>
      <c r="BX13" s="171">
        <f>Wireline!CD75</f>
        <v>12178</v>
      </c>
      <c r="BY13" s="109">
        <f>Wireline!CE75</f>
        <v>12330</v>
      </c>
      <c r="BZ13" s="109">
        <f>Wireline!CF75</f>
        <v>12372</v>
      </c>
      <c r="CA13" s="109">
        <f>Wireline!CG75</f>
        <v>12249</v>
      </c>
      <c r="CB13" s="171">
        <f>Wireline!CH75</f>
        <v>12026</v>
      </c>
      <c r="CC13" s="109">
        <f>Wireline!CI75</f>
        <v>12113</v>
      </c>
      <c r="CD13" s="109">
        <f>Wireline!CJ75</f>
        <v>12158</v>
      </c>
      <c r="CE13" s="109">
        <f>Wireline!CK75</f>
        <v>11917</v>
      </c>
      <c r="CF13" s="171">
        <f>Wireline!CL75</f>
        <v>10542</v>
      </c>
      <c r="CG13" s="109">
        <f>Wireline!CM75</f>
        <v>10563</v>
      </c>
      <c r="CH13" s="109">
        <f>Wireline!CN75</f>
        <v>10667</v>
      </c>
      <c r="CI13" s="109">
        <f>Wireline!CO75</f>
        <v>10581</v>
      </c>
      <c r="CJ13" s="171">
        <f>Wireline!CP75</f>
        <v>10375</v>
      </c>
      <c r="CK13" s="109">
        <f>Wireline!CQ75</f>
        <v>10277</v>
      </c>
      <c r="CL13" s="109">
        <f>Wireline!CR75</f>
        <v>10286</v>
      </c>
      <c r="CM13" s="109">
        <f>Wireline!CS75</f>
        <v>10289</v>
      </c>
      <c r="CN13" s="171">
        <f>Wireline!CT75</f>
        <v>10147</v>
      </c>
      <c r="CO13" s="109">
        <f>Wireline!CU75</f>
        <v>10247</v>
      </c>
      <c r="CP13" s="109">
        <f>Wireline!CV75</f>
        <v>10149</v>
      </c>
      <c r="CQ13" s="172">
        <f>Wireline!CW75</f>
        <v>10139</v>
      </c>
      <c r="CR13" s="109">
        <f>Wireline!CX75</f>
        <v>9945</v>
      </c>
      <c r="CS13" s="109">
        <f>Wireline!CY75</f>
        <v>9904</v>
      </c>
      <c r="CT13" s="109">
        <f>Wireline!CZ75</f>
        <v>9914</v>
      </c>
      <c r="CU13" s="109">
        <f>Wireline!DA75</f>
        <v>9760</v>
      </c>
      <c r="CV13" s="171">
        <f>Wireline!DB75</f>
        <v>9650</v>
      </c>
      <c r="CW13" s="109">
        <f>Wireline!DC75</f>
        <v>9605</v>
      </c>
      <c r="CX13" s="109">
        <f>Wireline!DD75</f>
        <v>9657</v>
      </c>
      <c r="CY13" s="109">
        <f>Wireline!DE75</f>
        <v>9712</v>
      </c>
      <c r="CZ13" s="171">
        <f>Wireline!DF75</f>
        <v>9662</v>
      </c>
      <c r="DA13" s="1044">
        <f>Wireline!DG75</f>
        <v>9631</v>
      </c>
      <c r="DB13" s="1044">
        <f>Wireline!DH75</f>
        <v>9576</v>
      </c>
      <c r="DC13" s="172">
        <f>Wireline!DI75</f>
        <v>9560</v>
      </c>
      <c r="DD13" s="171">
        <f>Wireline!DJ75</f>
        <v>8914</v>
      </c>
      <c r="DE13" s="1044">
        <f>Wireline!DK75</f>
        <v>8876</v>
      </c>
      <c r="DF13" s="2151">
        <f>Wireline!DL75</f>
        <v>8811</v>
      </c>
      <c r="DG13" s="2473">
        <f>Wireline!DM75</f>
        <v>8920</v>
      </c>
      <c r="DH13" s="2151">
        <f>Wireline!DN75</f>
        <v>8765</v>
      </c>
      <c r="DI13" s="2164">
        <f>Wireline!DO75</f>
        <v>7823</v>
      </c>
      <c r="DJ13" s="2164">
        <f>Wireline!DP75</f>
        <v>7787</v>
      </c>
      <c r="DK13" s="2165">
        <f>Wireline!DQ75</f>
        <v>7812</v>
      </c>
      <c r="DL13" s="2164">
        <f>Wireline!DR75</f>
        <v>7876</v>
      </c>
      <c r="DM13" s="2164">
        <f>Wireline!DS75</f>
        <v>7802</v>
      </c>
      <c r="DN13" s="2164">
        <f>Wireline!DT75</f>
        <v>7662</v>
      </c>
      <c r="DO13" s="2165">
        <f>Wireline!DU75</f>
        <v>7617</v>
      </c>
      <c r="DP13" s="2164">
        <f>Wireline!DV75</f>
        <v>7557</v>
      </c>
      <c r="DQ13" s="2164">
        <f>Wireline!DW75</f>
        <v>7542.0353558806746</v>
      </c>
      <c r="DR13" s="2164">
        <f>Wireline!DX75</f>
        <v>7530.1227766780867</v>
      </c>
      <c r="DS13" s="2165">
        <f>Wireline!DY75</f>
        <v>7492.3701065093419</v>
      </c>
      <c r="DT13" s="109"/>
    </row>
    <row r="14" spans="1:124">
      <c r="A14" s="167" t="s">
        <v>951</v>
      </c>
      <c r="B14" s="109"/>
      <c r="C14" s="109"/>
      <c r="D14" s="109"/>
      <c r="E14" s="109">
        <v>6177</v>
      </c>
      <c r="F14" s="109">
        <v>6652</v>
      </c>
      <c r="G14" s="109">
        <v>13346</v>
      </c>
      <c r="H14" s="109">
        <v>15363</v>
      </c>
      <c r="I14" s="109">
        <v>17393</v>
      </c>
      <c r="J14" s="109">
        <v>19473</v>
      </c>
      <c r="K14" s="109">
        <v>22489</v>
      </c>
      <c r="L14" s="109">
        <v>27662</v>
      </c>
      <c r="M14" s="109">
        <v>32301</v>
      </c>
      <c r="N14" s="109">
        <f>Wless!N14</f>
        <v>43872.822</v>
      </c>
      <c r="O14" s="109">
        <f>Wless!O14</f>
        <v>50666.31</v>
      </c>
      <c r="P14" s="109">
        <f>Wless!P14</f>
        <v>49332</v>
      </c>
      <c r="Q14" s="1044">
        <f>SUM(CF14:CI14)</f>
        <v>56893</v>
      </c>
      <c r="R14" s="109">
        <f>SUM(CJ14:CM14)</f>
        <v>62553</v>
      </c>
      <c r="S14" s="109">
        <f>SUM(CN14:CQ14)</f>
        <v>70154</v>
      </c>
      <c r="T14" s="1044">
        <f>SUM(CR14:CU14)</f>
        <v>75868</v>
      </c>
      <c r="U14" s="1044">
        <f>SUM(CV14:CY14)</f>
        <v>81023</v>
      </c>
      <c r="V14" s="109">
        <f>SUM(CZ14:DC14)</f>
        <v>87646</v>
      </c>
      <c r="W14" s="109">
        <f>Wless!W31</f>
        <v>91680</v>
      </c>
      <c r="X14" s="109">
        <f>Wless!X31</f>
        <v>89186</v>
      </c>
      <c r="Y14" s="2552">
        <f>Wless!Y31</f>
        <v>87511</v>
      </c>
      <c r="Z14" s="2552">
        <f ca="1">Wless!Z31</f>
        <v>89000.530555650083</v>
      </c>
      <c r="AA14" s="109">
        <f ca="1">Wless!AA31</f>
        <v>89321.996625658619</v>
      </c>
      <c r="AB14" s="109">
        <f ca="1">Wless!AB31</f>
        <v>90159.912307901337</v>
      </c>
      <c r="AC14" s="109">
        <f ca="1">Wless!AC31</f>
        <v>91042.104273433884</v>
      </c>
      <c r="AD14" s="109">
        <f ca="1">Wless!AD31</f>
        <v>91965.07545971236</v>
      </c>
      <c r="AE14" s="109">
        <f ca="1">Wless!AE31</f>
        <v>92939.334607954952</v>
      </c>
      <c r="AF14" s="109">
        <f ca="1">Wless!AF31</f>
        <v>93981.065461926715</v>
      </c>
      <c r="AG14" s="109">
        <f ca="1">Wless!AG31</f>
        <v>95108.491957709382</v>
      </c>
      <c r="AH14" s="109"/>
      <c r="AI14" s="171"/>
      <c r="AJ14" s="109">
        <v>1440</v>
      </c>
      <c r="AK14" s="109">
        <v>1548</v>
      </c>
      <c r="AL14" s="109">
        <v>1591</v>
      </c>
      <c r="AM14" s="109">
        <v>1598</v>
      </c>
      <c r="AN14" s="109">
        <v>1567</v>
      </c>
      <c r="AO14" s="109">
        <v>1656</v>
      </c>
      <c r="AP14" s="109">
        <v>1712</v>
      </c>
      <c r="AQ14" s="109">
        <v>1717</v>
      </c>
      <c r="AR14" s="109">
        <v>3081</v>
      </c>
      <c r="AS14" s="109">
        <v>3324</v>
      </c>
      <c r="AT14" s="109">
        <v>3440</v>
      </c>
      <c r="AU14" s="109">
        <v>3501</v>
      </c>
      <c r="AV14" s="109">
        <v>3450</v>
      </c>
      <c r="AW14" s="109">
        <v>3793</v>
      </c>
      <c r="AX14" s="109">
        <v>4036</v>
      </c>
      <c r="AY14" s="109">
        <v>4084</v>
      </c>
      <c r="AZ14" s="109">
        <v>4046</v>
      </c>
      <c r="BA14" s="109">
        <v>4383</v>
      </c>
      <c r="BB14" s="109">
        <v>4521</v>
      </c>
      <c r="BC14" s="109">
        <v>4443</v>
      </c>
      <c r="BD14" s="109">
        <v>4430</v>
      </c>
      <c r="BE14" s="109">
        <v>4791</v>
      </c>
      <c r="BF14" s="109">
        <v>5029</v>
      </c>
      <c r="BG14" s="109">
        <v>5223</v>
      </c>
      <c r="BH14" s="109">
        <v>5086</v>
      </c>
      <c r="BI14" s="109">
        <v>5477</v>
      </c>
      <c r="BJ14" s="109">
        <v>5942</v>
      </c>
      <c r="BK14" s="109">
        <v>5984</v>
      </c>
      <c r="BL14" s="171">
        <v>6162</v>
      </c>
      <c r="BM14" s="109">
        <v>6847</v>
      </c>
      <c r="BN14" s="109">
        <v>7311</v>
      </c>
      <c r="BO14" s="109">
        <v>7342</v>
      </c>
      <c r="BP14" s="171">
        <v>7418</v>
      </c>
      <c r="BQ14" s="109">
        <v>7846</v>
      </c>
      <c r="BR14" s="109">
        <v>8351</v>
      </c>
      <c r="BS14" s="109">
        <v>8686</v>
      </c>
      <c r="BT14" s="171">
        <f>Wless!BZ14</f>
        <v>8813</v>
      </c>
      <c r="BU14" s="109">
        <f>Wless!CA14</f>
        <v>9262</v>
      </c>
      <c r="BV14" s="109">
        <f>Wless!CB14</f>
        <v>9869</v>
      </c>
      <c r="BW14" s="109">
        <f>Wless!CC14</f>
        <v>10099</v>
      </c>
      <c r="BX14" s="171">
        <f>Wless!CD14</f>
        <v>10307</v>
      </c>
      <c r="BY14" s="109">
        <f>Wless!CE14</f>
        <v>10843</v>
      </c>
      <c r="BZ14" s="109">
        <f>Wless!CF14</f>
        <v>11289</v>
      </c>
      <c r="CA14" s="109">
        <f>Wless!CG14</f>
        <v>11443</v>
      </c>
      <c r="CB14" s="171">
        <f>Wless!CH14</f>
        <v>11669</v>
      </c>
      <c r="CC14" s="109">
        <f>Wless!CI14</f>
        <v>12118</v>
      </c>
      <c r="CD14" s="109">
        <f>Wless!CJ14</f>
        <v>12699</v>
      </c>
      <c r="CE14" s="109">
        <f>Wless!CK14</f>
        <v>12846</v>
      </c>
      <c r="CF14" s="171">
        <f>Wless!CL14</f>
        <v>13857</v>
      </c>
      <c r="CG14" s="109">
        <f>Wless!CM14</f>
        <v>14145</v>
      </c>
      <c r="CH14" s="109">
        <f>Wless!CN14</f>
        <v>14449</v>
      </c>
      <c r="CI14" s="109">
        <f>Wless!CO14</f>
        <v>14442</v>
      </c>
      <c r="CJ14" s="171">
        <f>Wless!CP14</f>
        <v>14458</v>
      </c>
      <c r="CK14" s="109">
        <f>Wless!CQ31</f>
        <v>15697</v>
      </c>
      <c r="CL14" s="109">
        <f>Wless!CR31</f>
        <v>16250</v>
      </c>
      <c r="CM14" s="109">
        <f>Wless!CS31</f>
        <v>16148</v>
      </c>
      <c r="CN14" s="171">
        <f>Wless!CT31</f>
        <v>16881</v>
      </c>
      <c r="CO14" s="109">
        <f>Wless!CU31</f>
        <v>17293</v>
      </c>
      <c r="CP14" s="109">
        <f>Wless!CV31</f>
        <v>17726</v>
      </c>
      <c r="CQ14" s="172">
        <f>Wless!CW31</f>
        <v>18254</v>
      </c>
      <c r="CR14" s="109">
        <f>Wless!CX31</f>
        <v>18273</v>
      </c>
      <c r="CS14" s="109">
        <f>Wless!CY31</f>
        <v>18577</v>
      </c>
      <c r="CT14" s="109">
        <f>Wless!CZ31</f>
        <v>19024</v>
      </c>
      <c r="CU14" s="109">
        <f>Wless!DA31</f>
        <v>19994</v>
      </c>
      <c r="CV14" s="171">
        <f>Wless!DB31</f>
        <v>19523</v>
      </c>
      <c r="CW14" s="109">
        <f>Wless!DC31</f>
        <v>19976</v>
      </c>
      <c r="CX14" s="109">
        <f>Wless!DD31</f>
        <v>20399</v>
      </c>
      <c r="CY14" s="109">
        <f>Wless!DE31</f>
        <v>21125</v>
      </c>
      <c r="CZ14" s="171">
        <f>Wless!DF31</f>
        <v>20879</v>
      </c>
      <c r="DA14" s="1044">
        <f>Wless!DG31</f>
        <v>21483</v>
      </c>
      <c r="DB14" s="1044">
        <f>Wless!DH31</f>
        <v>21835</v>
      </c>
      <c r="DC14" s="172">
        <f>Wless!DI31</f>
        <v>23449</v>
      </c>
      <c r="DD14" s="171">
        <f>Wless!DJ31</f>
        <v>22328</v>
      </c>
      <c r="DE14" s="1044">
        <f>Wless!DK31</f>
        <v>22613</v>
      </c>
      <c r="DF14" s="2151">
        <f>Wless!DL31</f>
        <v>23005</v>
      </c>
      <c r="DG14" s="2473">
        <f>Wless!DM31</f>
        <v>23734</v>
      </c>
      <c r="DH14" s="2151">
        <f>Wless!DN31</f>
        <v>22004</v>
      </c>
      <c r="DI14" s="2164">
        <f>Wless!DO31</f>
        <v>21704</v>
      </c>
      <c r="DJ14" s="2164">
        <f>Wless!DP31</f>
        <v>22101</v>
      </c>
      <c r="DK14" s="2165">
        <f>Wless!DQ31</f>
        <v>23377</v>
      </c>
      <c r="DL14" s="2164">
        <f>Wless!DR31</f>
        <v>20878</v>
      </c>
      <c r="DM14" s="2164">
        <f>Wless!DS31</f>
        <v>21282</v>
      </c>
      <c r="DN14" s="2164">
        <f>Wless!DT31</f>
        <v>21580</v>
      </c>
      <c r="DO14" s="2165">
        <f>Wless!DU31</f>
        <v>23771</v>
      </c>
      <c r="DP14" s="2164">
        <f>Wless!DV31</f>
        <v>21900</v>
      </c>
      <c r="DQ14" s="2164">
        <f ca="1">Wless!DW31</f>
        <v>21697.017217881326</v>
      </c>
      <c r="DR14" s="2164">
        <f ca="1">Wless!DX31</f>
        <v>21996.981006157228</v>
      </c>
      <c r="DS14" s="2165">
        <f ca="1">Wless!DY31</f>
        <v>23406.532331611525</v>
      </c>
      <c r="DT14" s="109"/>
    </row>
    <row r="15" spans="1:124">
      <c r="A15" s="167" t="s">
        <v>953</v>
      </c>
      <c r="B15" s="109"/>
      <c r="C15" s="109"/>
      <c r="D15" s="109"/>
      <c r="E15" s="109">
        <v>1418</v>
      </c>
      <c r="F15" s="109">
        <v>1690</v>
      </c>
      <c r="G15" s="109">
        <v>1714</v>
      </c>
      <c r="H15" s="109">
        <v>2889</v>
      </c>
      <c r="I15" s="109">
        <v>3172</v>
      </c>
      <c r="J15" s="109">
        <v>2219</v>
      </c>
      <c r="K15" s="109">
        <v>1949</v>
      </c>
      <c r="L15" s="109">
        <v>2014</v>
      </c>
      <c r="M15" s="109">
        <v>2193</v>
      </c>
      <c r="N15" s="109">
        <f>SUM(BT15:BW15)</f>
        <v>0</v>
      </c>
      <c r="O15" s="109">
        <f>SUM(BX15:CA15)</f>
        <v>0</v>
      </c>
      <c r="P15" s="109"/>
      <c r="Q15" s="1044"/>
      <c r="R15" s="109"/>
      <c r="S15" s="109"/>
      <c r="T15" s="1044"/>
      <c r="U15" s="1044"/>
      <c r="V15" s="109"/>
      <c r="W15" s="109"/>
      <c r="X15" s="109"/>
      <c r="Y15" s="109"/>
      <c r="Z15" s="109"/>
      <c r="AA15" s="109"/>
      <c r="AB15" s="109"/>
      <c r="AC15" s="109"/>
      <c r="AD15" s="109"/>
      <c r="AE15" s="109"/>
      <c r="AF15" s="109"/>
      <c r="AG15" s="109"/>
      <c r="AH15" s="109"/>
      <c r="AI15" s="171"/>
      <c r="AJ15" s="109">
        <v>353</v>
      </c>
      <c r="AK15" s="109">
        <v>326</v>
      </c>
      <c r="AL15" s="109">
        <v>340</v>
      </c>
      <c r="AM15" s="109">
        <v>399</v>
      </c>
      <c r="AN15" s="109">
        <v>400</v>
      </c>
      <c r="AO15" s="109">
        <v>441</v>
      </c>
      <c r="AP15" s="109">
        <v>418</v>
      </c>
      <c r="AQ15" s="109">
        <v>431</v>
      </c>
      <c r="AR15" s="109">
        <v>396</v>
      </c>
      <c r="AS15" s="109">
        <v>411</v>
      </c>
      <c r="AT15" s="109">
        <v>454</v>
      </c>
      <c r="AU15" s="109">
        <v>453</v>
      </c>
      <c r="AV15" s="109">
        <v>679</v>
      </c>
      <c r="AW15" s="109">
        <v>708</v>
      </c>
      <c r="AX15" s="109">
        <v>726</v>
      </c>
      <c r="AY15" s="109">
        <v>776</v>
      </c>
      <c r="AZ15" s="109">
        <v>727</v>
      </c>
      <c r="BA15" s="109">
        <v>828</v>
      </c>
      <c r="BB15" s="109">
        <v>804</v>
      </c>
      <c r="BC15" s="109">
        <v>813</v>
      </c>
      <c r="BD15" s="109">
        <v>562</v>
      </c>
      <c r="BE15" s="109">
        <v>570</v>
      </c>
      <c r="BF15" s="109">
        <v>538</v>
      </c>
      <c r="BG15" s="109">
        <v>549</v>
      </c>
      <c r="BH15" s="109">
        <v>517</v>
      </c>
      <c r="BI15" s="109">
        <v>509</v>
      </c>
      <c r="BJ15" s="109">
        <v>446</v>
      </c>
      <c r="BK15" s="109">
        <v>477</v>
      </c>
      <c r="BL15" s="171">
        <v>468</v>
      </c>
      <c r="BM15" s="109">
        <v>506</v>
      </c>
      <c r="BN15" s="109">
        <v>496</v>
      </c>
      <c r="BO15" s="109">
        <v>544</v>
      </c>
      <c r="BP15" s="171">
        <v>517</v>
      </c>
      <c r="BQ15" s="109">
        <v>537</v>
      </c>
      <c r="BR15" s="109">
        <v>572</v>
      </c>
      <c r="BS15" s="109">
        <v>567</v>
      </c>
      <c r="BT15" s="171"/>
      <c r="BU15" s="109"/>
      <c r="BV15" s="109"/>
      <c r="BW15" s="109"/>
      <c r="BX15" s="171"/>
      <c r="BY15" s="109"/>
      <c r="BZ15" s="109"/>
      <c r="CA15" s="109"/>
      <c r="CB15" s="171"/>
      <c r="CC15" s="109"/>
      <c r="CD15" s="109"/>
      <c r="CE15" s="109"/>
      <c r="CF15" s="171"/>
      <c r="CG15" s="109"/>
      <c r="CH15" s="109"/>
      <c r="CI15" s="109"/>
      <c r="CJ15" s="171"/>
      <c r="CK15" s="109"/>
      <c r="CL15" s="109"/>
      <c r="CM15" s="109"/>
      <c r="CN15" s="171"/>
      <c r="CO15" s="109"/>
      <c r="CP15" s="109"/>
      <c r="CQ15" s="172"/>
      <c r="CR15" s="109"/>
      <c r="CS15" s="109"/>
      <c r="CT15" s="109"/>
      <c r="CU15" s="109"/>
      <c r="CV15" s="171"/>
      <c r="CW15" s="109"/>
      <c r="CX15" s="109"/>
      <c r="CY15" s="109"/>
      <c r="CZ15" s="171"/>
      <c r="DA15" s="1044"/>
      <c r="DB15" s="1044"/>
      <c r="DC15" s="172"/>
      <c r="DD15" s="171"/>
      <c r="DE15" s="1044"/>
      <c r="DF15" s="1044"/>
      <c r="DG15" s="172"/>
      <c r="DH15" s="1044"/>
      <c r="DI15" s="1044"/>
      <c r="DJ15" s="1044"/>
      <c r="DK15" s="172"/>
      <c r="DL15" s="1044"/>
      <c r="DM15" s="1044"/>
      <c r="DN15" s="1044"/>
      <c r="DO15" s="172"/>
      <c r="DP15" s="1044"/>
      <c r="DQ15" s="1044"/>
      <c r="DR15" s="1044"/>
      <c r="DS15" s="172"/>
      <c r="DT15" s="109"/>
    </row>
    <row r="16" spans="1:124">
      <c r="A16" s="167" t="s">
        <v>1434</v>
      </c>
      <c r="B16" s="109"/>
      <c r="C16" s="109"/>
      <c r="D16" s="109"/>
      <c r="E16" s="109">
        <v>3501</v>
      </c>
      <c r="F16" s="109">
        <v>3818</v>
      </c>
      <c r="G16" s="109">
        <v>4086</v>
      </c>
      <c r="H16" s="109">
        <v>4144</v>
      </c>
      <c r="I16" s="109">
        <v>4313</v>
      </c>
      <c r="J16" s="109">
        <v>4287</v>
      </c>
      <c r="K16" s="109">
        <v>3763</v>
      </c>
      <c r="L16" s="109">
        <v>3549</v>
      </c>
      <c r="M16" s="109">
        <v>3452</v>
      </c>
      <c r="N16" s="109">
        <f>SUM(BT16:BW16)</f>
        <v>2443</v>
      </c>
      <c r="O16" s="109">
        <f>SUM(BX16:CA16)</f>
        <v>0</v>
      </c>
      <c r="P16" s="109">
        <v>0</v>
      </c>
      <c r="Q16" s="1044">
        <v>0</v>
      </c>
      <c r="R16" s="109">
        <v>0</v>
      </c>
      <c r="S16" s="109">
        <v>0</v>
      </c>
      <c r="T16" s="1044">
        <v>0</v>
      </c>
      <c r="U16" s="1044">
        <v>0</v>
      </c>
      <c r="V16" s="109">
        <v>0</v>
      </c>
      <c r="W16" s="109">
        <v>0</v>
      </c>
      <c r="X16" s="109">
        <v>0</v>
      </c>
      <c r="Y16" s="2987">
        <v>0</v>
      </c>
      <c r="Z16" s="2987">
        <v>0</v>
      </c>
      <c r="AA16" s="109">
        <v>0</v>
      </c>
      <c r="AB16" s="109">
        <v>0</v>
      </c>
      <c r="AC16" s="109">
        <v>0</v>
      </c>
      <c r="AD16" s="109">
        <v>0</v>
      </c>
      <c r="AE16" s="109">
        <v>0</v>
      </c>
      <c r="AF16" s="109">
        <v>0</v>
      </c>
      <c r="AG16" s="109">
        <v>0</v>
      </c>
      <c r="AH16" s="109"/>
      <c r="AI16" s="171"/>
      <c r="AJ16" s="109">
        <v>654</v>
      </c>
      <c r="AK16" s="109">
        <v>930</v>
      </c>
      <c r="AL16" s="109">
        <v>814</v>
      </c>
      <c r="AM16" s="109">
        <v>1103</v>
      </c>
      <c r="AN16" s="109">
        <v>723</v>
      </c>
      <c r="AO16" s="109">
        <v>969</v>
      </c>
      <c r="AP16" s="109">
        <v>934</v>
      </c>
      <c r="AQ16" s="109">
        <v>1192</v>
      </c>
      <c r="AR16" s="109">
        <v>759</v>
      </c>
      <c r="AS16" s="109">
        <v>1055</v>
      </c>
      <c r="AT16" s="109">
        <v>913</v>
      </c>
      <c r="AU16" s="109">
        <v>1359</v>
      </c>
      <c r="AV16" s="109">
        <v>779</v>
      </c>
      <c r="AW16" s="109">
        <v>1056</v>
      </c>
      <c r="AX16" s="109">
        <v>970</v>
      </c>
      <c r="AY16" s="109">
        <v>1339</v>
      </c>
      <c r="AZ16" s="109">
        <v>789</v>
      </c>
      <c r="BA16" s="109">
        <v>984</v>
      </c>
      <c r="BB16" s="109">
        <v>1112</v>
      </c>
      <c r="BC16" s="109">
        <v>1428</v>
      </c>
      <c r="BD16" s="109">
        <v>803</v>
      </c>
      <c r="BE16" s="109">
        <v>936</v>
      </c>
      <c r="BF16" s="109">
        <v>1174</v>
      </c>
      <c r="BG16" s="109">
        <v>1374</v>
      </c>
      <c r="BH16" s="109">
        <v>955</v>
      </c>
      <c r="BI16" s="109">
        <v>970</v>
      </c>
      <c r="BJ16" s="109">
        <v>922</v>
      </c>
      <c r="BK16" s="109">
        <v>916</v>
      </c>
      <c r="BL16" s="171">
        <v>903</v>
      </c>
      <c r="BM16" s="109">
        <v>889</v>
      </c>
      <c r="BN16" s="109">
        <v>883</v>
      </c>
      <c r="BO16" s="109">
        <v>874</v>
      </c>
      <c r="BP16" s="171">
        <v>881</v>
      </c>
      <c r="BQ16" s="109">
        <v>870</v>
      </c>
      <c r="BR16" s="109">
        <v>857</v>
      </c>
      <c r="BS16" s="109">
        <v>844</v>
      </c>
      <c r="BT16" s="171">
        <v>837</v>
      </c>
      <c r="BU16" s="109">
        <v>802</v>
      </c>
      <c r="BV16" s="109">
        <v>804</v>
      </c>
      <c r="BW16" s="109">
        <v>0</v>
      </c>
      <c r="BX16" s="171">
        <v>0</v>
      </c>
      <c r="BY16" s="109"/>
      <c r="BZ16" s="109"/>
      <c r="CA16" s="109"/>
      <c r="CB16" s="171"/>
      <c r="CC16" s="109"/>
      <c r="CD16" s="109"/>
      <c r="CE16" s="109"/>
      <c r="CF16" s="171"/>
      <c r="CG16" s="109"/>
      <c r="CH16" s="109"/>
      <c r="CI16" s="109"/>
      <c r="CJ16" s="171"/>
      <c r="CK16" s="109"/>
      <c r="CL16" s="109"/>
      <c r="CM16" s="109"/>
      <c r="CN16" s="171"/>
      <c r="CO16" s="109"/>
      <c r="CP16" s="109"/>
      <c r="CQ16" s="172"/>
      <c r="CR16" s="109"/>
      <c r="CS16" s="109"/>
      <c r="CT16" s="109"/>
      <c r="CU16" s="109"/>
      <c r="CV16" s="171"/>
      <c r="CW16" s="109"/>
      <c r="CX16" s="109"/>
      <c r="CY16" s="109"/>
      <c r="CZ16" s="171"/>
      <c r="DA16" s="1044"/>
      <c r="DB16" s="1044"/>
      <c r="DC16" s="172"/>
      <c r="DD16" s="171"/>
      <c r="DE16" s="1044"/>
      <c r="DF16" s="1044"/>
      <c r="DG16" s="172"/>
      <c r="DH16" s="1044"/>
      <c r="DI16" s="1044"/>
      <c r="DJ16" s="1044"/>
      <c r="DK16" s="172"/>
      <c r="DL16" s="1044"/>
      <c r="DM16" s="1044"/>
      <c r="DN16" s="1044"/>
      <c r="DO16" s="172"/>
      <c r="DP16" s="1044"/>
      <c r="DQ16" s="1044"/>
      <c r="DR16" s="1044"/>
      <c r="DS16" s="172"/>
      <c r="DT16" s="109"/>
    </row>
    <row r="17" spans="1:124">
      <c r="A17" s="167" t="s">
        <v>955</v>
      </c>
      <c r="B17" s="109"/>
      <c r="C17" s="109"/>
      <c r="D17" s="109"/>
      <c r="E17" s="109">
        <v>209</v>
      </c>
      <c r="F17" s="109">
        <v>-159</v>
      </c>
      <c r="G17" s="109">
        <v>-278</v>
      </c>
      <c r="H17" s="109">
        <v>-276</v>
      </c>
      <c r="I17" s="109">
        <v>69</v>
      </c>
      <c r="J17" s="109">
        <v>-137</v>
      </c>
      <c r="K17" s="109">
        <v>-402</v>
      </c>
      <c r="L17" s="109">
        <v>-558</v>
      </c>
      <c r="M17" s="109">
        <v>-652</v>
      </c>
      <c r="N17" s="109">
        <f>Other!N11</f>
        <v>-177.09786784569405</v>
      </c>
      <c r="O17" s="109">
        <f>Other!O11</f>
        <v>-636</v>
      </c>
      <c r="P17" s="109">
        <f>Other!P11</f>
        <v>-450</v>
      </c>
      <c r="Q17" s="1044">
        <f>SUM(CF17:CI17)</f>
        <v>-265</v>
      </c>
      <c r="R17" s="109">
        <f>SUM(CJ17:CM17)</f>
        <v>-208</v>
      </c>
      <c r="S17" s="109">
        <f>SUM(CN17:CQ17)</f>
        <v>39</v>
      </c>
      <c r="T17" s="1044">
        <f>SUM(CR17:CU17)</f>
        <v>198</v>
      </c>
      <c r="U17" s="1044">
        <f>SUM(CV17:CY17)</f>
        <v>304</v>
      </c>
      <c r="V17" s="109">
        <f>SUM(CZ17:DC17)</f>
        <v>748</v>
      </c>
      <c r="W17" s="109">
        <f>Other!W11</f>
        <v>2220</v>
      </c>
      <c r="X17" s="109">
        <f>Other!X11</f>
        <v>4082</v>
      </c>
      <c r="Y17" s="2552">
        <f>Other!Y11</f>
        <v>7566</v>
      </c>
      <c r="Z17" s="2552">
        <f>Other!Z11</f>
        <v>9823.26</v>
      </c>
      <c r="AA17" s="109">
        <f>Other!AA11</f>
        <v>10019.725200000001</v>
      </c>
      <c r="AB17" s="109">
        <f>Other!AB11</f>
        <v>10220.119704000001</v>
      </c>
      <c r="AC17" s="109">
        <f>Other!AC11</f>
        <v>10424.52209808</v>
      </c>
      <c r="AD17" s="109">
        <f>Other!AD11</f>
        <v>10633.0125400416</v>
      </c>
      <c r="AE17" s="109">
        <f>Other!AE11</f>
        <v>10845.672790842433</v>
      </c>
      <c r="AF17" s="109">
        <f>Other!AF11</f>
        <v>11062.586246659281</v>
      </c>
      <c r="AG17" s="109">
        <f>Other!AG11</f>
        <v>11283.837971592466</v>
      </c>
      <c r="AH17" s="109"/>
      <c r="AI17" s="171"/>
      <c r="AJ17" s="109">
        <v>56</v>
      </c>
      <c r="AK17" s="109">
        <v>67</v>
      </c>
      <c r="AL17" s="109">
        <v>29</v>
      </c>
      <c r="AM17" s="109">
        <v>57</v>
      </c>
      <c r="AN17" s="109">
        <v>-23</v>
      </c>
      <c r="AO17" s="109">
        <v>-18</v>
      </c>
      <c r="AP17" s="109">
        <v>-45</v>
      </c>
      <c r="AQ17" s="109">
        <v>-73</v>
      </c>
      <c r="AR17" s="109">
        <v>-59</v>
      </c>
      <c r="AS17" s="109">
        <v>-79</v>
      </c>
      <c r="AT17" s="109">
        <v>-36</v>
      </c>
      <c r="AU17" s="109">
        <v>-104</v>
      </c>
      <c r="AV17" s="109">
        <v>-98</v>
      </c>
      <c r="AW17" s="109">
        <v>-132</v>
      </c>
      <c r="AX17" s="109">
        <v>1</v>
      </c>
      <c r="AY17" s="109">
        <v>-47</v>
      </c>
      <c r="AZ17" s="109">
        <v>-16</v>
      </c>
      <c r="BA17" s="109">
        <v>-9</v>
      </c>
      <c r="BB17" s="109">
        <v>108</v>
      </c>
      <c r="BC17" s="109">
        <v>-14</v>
      </c>
      <c r="BD17" s="109">
        <v>-2</v>
      </c>
      <c r="BE17" s="109">
        <v>-45</v>
      </c>
      <c r="BF17" s="109">
        <v>-32</v>
      </c>
      <c r="BG17" s="109">
        <v>-58</v>
      </c>
      <c r="BH17" s="109">
        <v>-75</v>
      </c>
      <c r="BI17" s="109">
        <v>-111</v>
      </c>
      <c r="BJ17" s="109">
        <v>-115</v>
      </c>
      <c r="BK17" s="109">
        <v>-101</v>
      </c>
      <c r="BL17" s="171">
        <v>-107</v>
      </c>
      <c r="BM17" s="109">
        <v>-122</v>
      </c>
      <c r="BN17" s="109">
        <v>-148</v>
      </c>
      <c r="BO17" s="109">
        <v>-181</v>
      </c>
      <c r="BP17" s="171">
        <v>-153</v>
      </c>
      <c r="BQ17" s="109">
        <v>-182</v>
      </c>
      <c r="BR17" s="109">
        <v>-187</v>
      </c>
      <c r="BS17" s="109">
        <v>-130</v>
      </c>
      <c r="BT17" s="171">
        <f>Other!BZ11</f>
        <v>356.90213215430595</v>
      </c>
      <c r="BU17" s="109">
        <f>Other!CA11</f>
        <v>-136</v>
      </c>
      <c r="BV17" s="109">
        <f>Other!CB11</f>
        <v>-190</v>
      </c>
      <c r="BW17" s="109">
        <f>Other!CC11</f>
        <v>-208</v>
      </c>
      <c r="BX17" s="171">
        <f>Other!CD11</f>
        <v>-174</v>
      </c>
      <c r="BY17" s="109">
        <f>Other!CE11</f>
        <v>-173</v>
      </c>
      <c r="BZ17" s="109">
        <f>Other!CF11</f>
        <v>-168</v>
      </c>
      <c r="CA17" s="109">
        <f>Other!CG11</f>
        <v>-121</v>
      </c>
      <c r="CB17" s="171">
        <f>Other!CH11</f>
        <v>-120</v>
      </c>
      <c r="CC17" s="109">
        <f>Other!CI11</f>
        <v>-107</v>
      </c>
      <c r="CD17" s="109">
        <f>Other!CJ11</f>
        <v>-105</v>
      </c>
      <c r="CE17" s="109">
        <f>Other!CK11</f>
        <v>-118</v>
      </c>
      <c r="CF17" s="171">
        <f>Other!CL11</f>
        <v>-67</v>
      </c>
      <c r="CG17" s="109">
        <f>Other!CM11</f>
        <v>-81</v>
      </c>
      <c r="CH17" s="109">
        <f>Other!CN11</f>
        <v>-64</v>
      </c>
      <c r="CI17" s="109">
        <f>Other!CO11</f>
        <v>-53</v>
      </c>
      <c r="CJ17" s="171">
        <f>Other!CP11</f>
        <v>-52</v>
      </c>
      <c r="CK17" s="109">
        <f>Other!CQ11</f>
        <v>-62</v>
      </c>
      <c r="CL17" s="109">
        <f>Other!CR11</f>
        <v>-52</v>
      </c>
      <c r="CM17" s="109">
        <f>Other!CS11</f>
        <v>-42</v>
      </c>
      <c r="CN17" s="171">
        <f>Other!CT11</f>
        <v>-38</v>
      </c>
      <c r="CO17" s="109">
        <f>Other!CU11</f>
        <v>-4</v>
      </c>
      <c r="CP17" s="109">
        <f>Other!CV11</f>
        <v>38</v>
      </c>
      <c r="CQ17" s="172">
        <f>Other!CW11</f>
        <v>43</v>
      </c>
      <c r="CR17" s="109">
        <f>Other!CX11</f>
        <v>24</v>
      </c>
      <c r="CS17" s="109">
        <f>Other!CY11</f>
        <v>44</v>
      </c>
      <c r="CT17" s="109">
        <f>Other!CZ11</f>
        <v>69</v>
      </c>
      <c r="CU17" s="109">
        <f>Other!DA11</f>
        <v>61</v>
      </c>
      <c r="CV17" s="171">
        <f>Other!DB11</f>
        <v>67</v>
      </c>
      <c r="CW17" s="109">
        <f>Other!DC11</f>
        <v>76</v>
      </c>
      <c r="CX17" s="109">
        <f>Other!DD11</f>
        <v>66</v>
      </c>
      <c r="CY17" s="109">
        <f>Other!DE11</f>
        <v>95</v>
      </c>
      <c r="CZ17" s="171">
        <f>Other!DF11</f>
        <v>149</v>
      </c>
      <c r="DA17" s="1044">
        <f>Other!DG11</f>
        <v>241</v>
      </c>
      <c r="DB17" s="1044">
        <f>Other!DH11</f>
        <v>175</v>
      </c>
      <c r="DC17" s="172">
        <f>Other!DI11</f>
        <v>183</v>
      </c>
      <c r="DD17" s="171">
        <f>Other!DJ11</f>
        <v>187</v>
      </c>
      <c r="DE17" s="1044">
        <f>Other!DK11</f>
        <v>188</v>
      </c>
      <c r="DF17" s="2151">
        <f>Other!DL11</f>
        <v>798</v>
      </c>
      <c r="DG17" s="2473">
        <f>Other!DM11</f>
        <v>1047</v>
      </c>
      <c r="DH17" s="2151">
        <f>Other!DN11</f>
        <v>877</v>
      </c>
      <c r="DI17" s="2164">
        <f>Other!DO11</f>
        <v>1005</v>
      </c>
      <c r="DJ17" s="2164">
        <f>Other!DP11</f>
        <v>1049</v>
      </c>
      <c r="DK17" s="2165">
        <f>Other!DQ11</f>
        <v>1151</v>
      </c>
      <c r="DL17" s="2164">
        <f>Other!DR11</f>
        <v>1060</v>
      </c>
      <c r="DM17" s="2164">
        <f>Other!DS11</f>
        <v>1464</v>
      </c>
      <c r="DN17" s="2164">
        <f>Other!DT11</f>
        <v>2475</v>
      </c>
      <c r="DO17" s="2165">
        <f>Other!DU11</f>
        <v>2567</v>
      </c>
      <c r="DP17" s="2164">
        <f>Other!DV11</f>
        <v>2315</v>
      </c>
      <c r="DQ17" s="2164">
        <f>Other!DW11</f>
        <v>2315</v>
      </c>
      <c r="DR17" s="2164">
        <f>Other!DX11</f>
        <v>2549.25</v>
      </c>
      <c r="DS17" s="2165">
        <f>Other!DY11</f>
        <v>2644.01</v>
      </c>
      <c r="DT17" s="109"/>
    </row>
    <row r="18" spans="1:124">
      <c r="A18" s="109" t="s">
        <v>1040</v>
      </c>
      <c r="B18" s="109"/>
      <c r="C18" s="109"/>
      <c r="D18" s="109"/>
      <c r="E18" s="109">
        <v>50731</v>
      </c>
      <c r="F18" s="109">
        <v>53520</v>
      </c>
      <c r="G18" s="109">
        <v>60591</v>
      </c>
      <c r="H18" s="109">
        <v>64442</v>
      </c>
      <c r="I18" s="109">
        <v>67028</v>
      </c>
      <c r="J18" s="109">
        <v>66681</v>
      </c>
      <c r="K18" s="109">
        <v>66854</v>
      </c>
      <c r="L18" s="109">
        <v>70688</v>
      </c>
      <c r="M18" s="109">
        <v>74910</v>
      </c>
      <c r="N18" s="109">
        <f t="shared" ref="N18:W18" si="0">SUM(N13:N17)</f>
        <v>95642.724132154312</v>
      </c>
      <c r="O18" s="109">
        <f t="shared" si="0"/>
        <v>99159.31</v>
      </c>
      <c r="P18" s="109">
        <f t="shared" si="0"/>
        <v>97096</v>
      </c>
      <c r="Q18" s="1044">
        <f t="shared" si="0"/>
        <v>98981</v>
      </c>
      <c r="R18" s="109">
        <f t="shared" si="0"/>
        <v>103572</v>
      </c>
      <c r="S18" s="109">
        <f t="shared" si="0"/>
        <v>110875</v>
      </c>
      <c r="T18" s="1044">
        <f t="shared" si="0"/>
        <v>115589</v>
      </c>
      <c r="U18" s="1044">
        <f t="shared" si="0"/>
        <v>119951</v>
      </c>
      <c r="V18" s="109">
        <f t="shared" si="0"/>
        <v>126823</v>
      </c>
      <c r="W18" s="109">
        <f t="shared" si="0"/>
        <v>129421</v>
      </c>
      <c r="X18" s="109">
        <f>SUM(X13:X17)</f>
        <v>125455</v>
      </c>
      <c r="Y18" s="109">
        <f>SUM(Y13:Y17)</f>
        <v>126034</v>
      </c>
      <c r="Z18" s="109">
        <f ca="1">SUM(Z13:Z17)</f>
        <v>128945.31879471817</v>
      </c>
      <c r="AA18" s="109">
        <f ca="1">SUM(AA13:AA17)</f>
        <v>129036.01034932715</v>
      </c>
      <c r="AB18" s="109">
        <f ca="1">SUM(AB13:AB17)</f>
        <v>129652.72091749887</v>
      </c>
      <c r="AC18" s="109">
        <f t="shared" ref="AC18:AG18" ca="1" si="1">SUM(AC13:AC17)</f>
        <v>130340.59590822674</v>
      </c>
      <c r="AD18" s="109">
        <f t="shared" ca="1" si="1"/>
        <v>131092.23550873244</v>
      </c>
      <c r="AE18" s="109">
        <f t="shared" ca="1" si="1"/>
        <v>131915.06975558677</v>
      </c>
      <c r="AF18" s="109">
        <f t="shared" ca="1" si="1"/>
        <v>132822.86191099716</v>
      </c>
      <c r="AG18" s="109">
        <f t="shared" ca="1" si="1"/>
        <v>133831.94341344427</v>
      </c>
      <c r="AH18" s="109"/>
      <c r="AI18" s="171"/>
      <c r="AJ18" s="109">
        <v>12079</v>
      </c>
      <c r="AK18" s="109">
        <v>12689</v>
      </c>
      <c r="AL18" s="109">
        <v>12686</v>
      </c>
      <c r="AM18" s="109">
        <v>13277</v>
      </c>
      <c r="AN18" s="109">
        <v>12739</v>
      </c>
      <c r="AO18" s="109">
        <v>13373</v>
      </c>
      <c r="AP18" s="109">
        <v>13521</v>
      </c>
      <c r="AQ18" s="109">
        <v>13887</v>
      </c>
      <c r="AR18" s="109">
        <v>14346</v>
      </c>
      <c r="AS18" s="109">
        <v>15146</v>
      </c>
      <c r="AT18" s="109">
        <v>15305</v>
      </c>
      <c r="AU18" s="109">
        <v>15794</v>
      </c>
      <c r="AV18" s="109">
        <v>15176</v>
      </c>
      <c r="AW18" s="109">
        <v>16086</v>
      </c>
      <c r="AX18" s="109">
        <v>16351</v>
      </c>
      <c r="AY18" s="109">
        <v>16829</v>
      </c>
      <c r="AZ18" s="109">
        <v>16207</v>
      </c>
      <c r="BA18" s="109">
        <v>16888</v>
      </c>
      <c r="BB18" s="109">
        <v>16967</v>
      </c>
      <c r="BC18" s="109">
        <v>16966</v>
      </c>
      <c r="BD18" s="109">
        <v>16044</v>
      </c>
      <c r="BE18" s="109">
        <v>16506</v>
      </c>
      <c r="BF18" s="109">
        <v>16977</v>
      </c>
      <c r="BG18" s="109">
        <v>17154</v>
      </c>
      <c r="BH18" s="109">
        <v>16286</v>
      </c>
      <c r="BI18" s="109">
        <v>16617</v>
      </c>
      <c r="BJ18" s="109">
        <v>16912</v>
      </c>
      <c r="BK18" s="109">
        <v>17039</v>
      </c>
      <c r="BL18" s="171">
        <v>16907</v>
      </c>
      <c r="BM18" s="109">
        <v>17612</v>
      </c>
      <c r="BN18" s="109">
        <v>18057</v>
      </c>
      <c r="BO18" s="109">
        <v>18112</v>
      </c>
      <c r="BP18" s="171">
        <v>18030</v>
      </c>
      <c r="BQ18" s="109">
        <v>18516</v>
      </c>
      <c r="BR18" s="109">
        <v>19038</v>
      </c>
      <c r="BS18" s="109">
        <v>19326</v>
      </c>
      <c r="BT18" s="171">
        <f t="shared" ref="BT18:CZ18" si="2">SUM(BT13:BT17)</f>
        <v>22148.902132154304</v>
      </c>
      <c r="BU18" s="109">
        <f t="shared" si="2"/>
        <v>22385</v>
      </c>
      <c r="BV18" s="109">
        <f t="shared" si="2"/>
        <v>22966</v>
      </c>
      <c r="BW18" s="109">
        <f t="shared" si="2"/>
        <v>22313</v>
      </c>
      <c r="BX18" s="171">
        <f t="shared" si="2"/>
        <v>22311</v>
      </c>
      <c r="BY18" s="109">
        <f t="shared" si="2"/>
        <v>23000</v>
      </c>
      <c r="BZ18" s="109">
        <f t="shared" si="2"/>
        <v>23493</v>
      </c>
      <c r="CA18" s="109">
        <f t="shared" si="2"/>
        <v>23571</v>
      </c>
      <c r="CB18" s="171">
        <f t="shared" si="2"/>
        <v>23575</v>
      </c>
      <c r="CC18" s="109">
        <f t="shared" si="2"/>
        <v>24124</v>
      </c>
      <c r="CD18" s="109">
        <f t="shared" si="2"/>
        <v>24752</v>
      </c>
      <c r="CE18" s="109">
        <f t="shared" si="2"/>
        <v>24645</v>
      </c>
      <c r="CF18" s="171">
        <f t="shared" si="2"/>
        <v>24332</v>
      </c>
      <c r="CG18" s="109">
        <f t="shared" si="2"/>
        <v>24627</v>
      </c>
      <c r="CH18" s="109">
        <f t="shared" si="2"/>
        <v>25052</v>
      </c>
      <c r="CI18" s="109">
        <f t="shared" si="2"/>
        <v>24970</v>
      </c>
      <c r="CJ18" s="171">
        <f t="shared" si="2"/>
        <v>24781</v>
      </c>
      <c r="CK18" s="109">
        <f t="shared" si="2"/>
        <v>25912</v>
      </c>
      <c r="CL18" s="109">
        <f t="shared" si="2"/>
        <v>26484</v>
      </c>
      <c r="CM18" s="109">
        <f t="shared" si="2"/>
        <v>26395</v>
      </c>
      <c r="CN18" s="171">
        <f t="shared" si="2"/>
        <v>26990</v>
      </c>
      <c r="CO18" s="109">
        <f t="shared" si="2"/>
        <v>27536</v>
      </c>
      <c r="CP18" s="109">
        <f t="shared" si="2"/>
        <v>27913</v>
      </c>
      <c r="CQ18" s="172">
        <f t="shared" si="2"/>
        <v>28436</v>
      </c>
      <c r="CR18" s="109">
        <f t="shared" si="2"/>
        <v>28242</v>
      </c>
      <c r="CS18" s="109">
        <f t="shared" si="2"/>
        <v>28525</v>
      </c>
      <c r="CT18" s="109">
        <f t="shared" si="2"/>
        <v>29007</v>
      </c>
      <c r="CU18" s="109">
        <f t="shared" si="2"/>
        <v>29815</v>
      </c>
      <c r="CV18" s="171">
        <f t="shared" si="2"/>
        <v>29240</v>
      </c>
      <c r="CW18" s="109">
        <f t="shared" si="2"/>
        <v>29657</v>
      </c>
      <c r="CX18" s="109">
        <f t="shared" si="2"/>
        <v>30122</v>
      </c>
      <c r="CY18" s="109">
        <f t="shared" si="2"/>
        <v>30932</v>
      </c>
      <c r="CZ18" s="171">
        <f t="shared" si="2"/>
        <v>30690</v>
      </c>
      <c r="DA18" s="1044">
        <f t="shared" ref="DA18:DF18" si="3">SUM(DA13:DA17)</f>
        <v>31355</v>
      </c>
      <c r="DB18" s="1044">
        <f t="shared" si="3"/>
        <v>31586</v>
      </c>
      <c r="DC18" s="172">
        <f t="shared" si="3"/>
        <v>33192</v>
      </c>
      <c r="DD18" s="171">
        <f>SUM(DD13:DD17)</f>
        <v>31429</v>
      </c>
      <c r="DE18" s="1044">
        <f t="shared" si="3"/>
        <v>31677</v>
      </c>
      <c r="DF18" s="1044">
        <f t="shared" si="3"/>
        <v>32614</v>
      </c>
      <c r="DG18" s="172">
        <f>SUM(DG13:DG17)</f>
        <v>33701</v>
      </c>
      <c r="DH18" s="1044">
        <f>SUM(DH13:DH17)</f>
        <v>31646</v>
      </c>
      <c r="DI18" s="1044">
        <f>SUM(DI13:DI17)</f>
        <v>30532</v>
      </c>
      <c r="DJ18" s="1044">
        <f>SUM(DJ13:DJ17)</f>
        <v>30937</v>
      </c>
      <c r="DK18" s="172">
        <f>SUM(DK13:DK17)</f>
        <v>32340</v>
      </c>
      <c r="DL18" s="1044">
        <f t="shared" ref="DL18:DO18" si="4">SUM(DL13:DL17)</f>
        <v>29814</v>
      </c>
      <c r="DM18" s="1044">
        <f t="shared" si="4"/>
        <v>30548</v>
      </c>
      <c r="DN18" s="1044">
        <f t="shared" si="4"/>
        <v>31717</v>
      </c>
      <c r="DO18" s="172">
        <f t="shared" si="4"/>
        <v>33955</v>
      </c>
      <c r="DP18" s="1044">
        <f t="shared" ref="DP18:DS18" si="5">SUM(DP13:DP17)</f>
        <v>31772</v>
      </c>
      <c r="DQ18" s="1044">
        <f t="shared" ca="1" si="5"/>
        <v>31554.052573762001</v>
      </c>
      <c r="DR18" s="1044">
        <f t="shared" ca="1" si="5"/>
        <v>32076.353782835315</v>
      </c>
      <c r="DS18" s="172">
        <f t="shared" ca="1" si="5"/>
        <v>33542.912438120868</v>
      </c>
      <c r="DT18" s="109"/>
    </row>
    <row r="19" spans="1:124">
      <c r="A19" s="256" t="s">
        <v>1237</v>
      </c>
      <c r="B19" s="256"/>
      <c r="C19" s="256"/>
      <c r="D19" s="256"/>
      <c r="E19" s="256"/>
      <c r="F19" s="256"/>
      <c r="G19" s="256"/>
      <c r="H19" s="256"/>
      <c r="I19" s="256"/>
      <c r="J19" s="256"/>
      <c r="K19" s="256"/>
      <c r="L19" s="256">
        <v>0</v>
      </c>
      <c r="M19" s="256">
        <v>2120</v>
      </c>
      <c r="N19" s="256">
        <f>N18-IS!N30</f>
        <v>8416.7924433497537</v>
      </c>
      <c r="O19" s="256">
        <f>O18-IS!O30</f>
        <v>6784.3099999999977</v>
      </c>
      <c r="P19" s="256">
        <f>P18-IS!P30</f>
        <v>0</v>
      </c>
      <c r="Q19" s="1082">
        <f>Q18-IS!Q30</f>
        <v>-3432</v>
      </c>
      <c r="R19" s="256">
        <f>R18-IS!R30</f>
        <v>-854</v>
      </c>
      <c r="S19" s="256">
        <f>S18-IS!S30</f>
        <v>0</v>
      </c>
      <c r="T19" s="1082">
        <f>T18-IS!T30</f>
        <v>0</v>
      </c>
      <c r="U19" s="1082">
        <f>U18-IS!U30</f>
        <v>0</v>
      </c>
      <c r="V19" s="256">
        <f>V18-IS!V30</f>
        <v>0</v>
      </c>
      <c r="W19" s="256">
        <f>W18-IS!W30</f>
        <v>0</v>
      </c>
      <c r="X19" s="256">
        <f>X18-IS!X30</f>
        <v>0</v>
      </c>
      <c r="Y19" s="256">
        <f>Y18-IS!Y30</f>
        <v>0</v>
      </c>
      <c r="Z19" s="256">
        <f ca="1">Z18-IS!Z30</f>
        <v>0</v>
      </c>
      <c r="AA19" s="256">
        <f ca="1">AA18-IS!AA30</f>
        <v>0</v>
      </c>
      <c r="AB19" s="256">
        <f ca="1">AB18-IS!AB30</f>
        <v>0</v>
      </c>
      <c r="AC19" s="256">
        <f ca="1">AC18-IS!AC30</f>
        <v>0</v>
      </c>
      <c r="AD19" s="256">
        <f ca="1">AD18-IS!AD30</f>
        <v>0</v>
      </c>
      <c r="AE19" s="256">
        <f ca="1">AE18-IS!AE30</f>
        <v>0</v>
      </c>
      <c r="AF19" s="256">
        <f ca="1">AF18-IS!AF30</f>
        <v>0</v>
      </c>
      <c r="AG19" s="256">
        <f ca="1">AG18-IS!AG30</f>
        <v>0</v>
      </c>
      <c r="AH19" s="143"/>
      <c r="AI19" s="257"/>
      <c r="AJ19" s="256"/>
      <c r="AK19" s="256"/>
      <c r="AL19" s="256"/>
      <c r="AM19" s="256"/>
      <c r="AN19" s="256"/>
      <c r="AO19" s="256"/>
      <c r="AP19" s="256"/>
      <c r="AQ19" s="256"/>
      <c r="AR19" s="256"/>
      <c r="AS19" s="256"/>
      <c r="AT19" s="256"/>
      <c r="AU19" s="256"/>
      <c r="AV19" s="256"/>
      <c r="AW19" s="256"/>
      <c r="AX19" s="256"/>
      <c r="AY19" s="256"/>
      <c r="AZ19" s="256"/>
      <c r="BA19" s="256"/>
      <c r="BB19" s="256"/>
      <c r="BC19" s="256"/>
      <c r="BD19" s="256">
        <v>0</v>
      </c>
      <c r="BE19" s="256">
        <v>0</v>
      </c>
      <c r="BF19" s="256">
        <v>0</v>
      </c>
      <c r="BG19" s="256">
        <v>0</v>
      </c>
      <c r="BH19" s="256">
        <v>0</v>
      </c>
      <c r="BI19" s="256">
        <v>0</v>
      </c>
      <c r="BJ19" s="256">
        <v>0</v>
      </c>
      <c r="BK19" s="256">
        <v>0</v>
      </c>
      <c r="BL19" s="257">
        <v>0</v>
      </c>
      <c r="BM19" s="256">
        <v>0</v>
      </c>
      <c r="BN19" s="256">
        <v>0</v>
      </c>
      <c r="BO19" s="256">
        <v>0</v>
      </c>
      <c r="BP19" s="257">
        <v>497</v>
      </c>
      <c r="BQ19" s="256">
        <v>516</v>
      </c>
      <c r="BR19" s="256">
        <v>552</v>
      </c>
      <c r="BS19" s="256">
        <v>555</v>
      </c>
      <c r="BT19" s="257">
        <f>BT18-IS!BW30</f>
        <v>980.97044334975362</v>
      </c>
      <c r="BU19" s="256">
        <f>BU18-IS!BX30</f>
        <v>802</v>
      </c>
      <c r="BV19" s="256">
        <f>BV18-IS!BY30</f>
        <v>804</v>
      </c>
      <c r="BW19" s="256">
        <f>BW18-IS!BZ30</f>
        <v>0</v>
      </c>
      <c r="BX19" s="257">
        <f>BX18-IS!CA30</f>
        <v>0</v>
      </c>
      <c r="BY19" s="256">
        <f>BY18-IS!CB30</f>
        <v>0</v>
      </c>
      <c r="BZ19" s="256">
        <f>BZ18-IS!CC30</f>
        <v>0</v>
      </c>
      <c r="CA19" s="256">
        <f>CA18-IS!CD30</f>
        <v>0</v>
      </c>
      <c r="CB19" s="257">
        <f>CB18-IS!CE30</f>
        <v>0</v>
      </c>
      <c r="CC19" s="256">
        <f>CC18-IS!CF30</f>
        <v>0</v>
      </c>
      <c r="CD19" s="256">
        <f>CD18-IS!CG30</f>
        <v>0</v>
      </c>
      <c r="CE19" s="256">
        <f>CE18-IS!CH30</f>
        <v>0</v>
      </c>
      <c r="CF19" s="257">
        <f>CF18-IS!CI30</f>
        <v>-833</v>
      </c>
      <c r="CG19" s="256">
        <f>CG18-IS!CJ30</f>
        <v>-884</v>
      </c>
      <c r="CH19" s="256">
        <f>CH18-IS!CK30</f>
        <v>-882</v>
      </c>
      <c r="CI19" s="256">
        <f>CI18-IS!CL30</f>
        <v>-833</v>
      </c>
      <c r="CJ19" s="257">
        <f>CJ18-IS!CM30</f>
        <v>-854</v>
      </c>
      <c r="CK19" s="256">
        <f>CK18-IS!CN30</f>
        <v>0</v>
      </c>
      <c r="CL19" s="256">
        <f>CL18-IS!CO30</f>
        <v>0</v>
      </c>
      <c r="CM19" s="256">
        <f>CM18-IS!CP30</f>
        <v>0</v>
      </c>
      <c r="CN19" s="257">
        <f>CN18-IS!CQ30</f>
        <v>0</v>
      </c>
      <c r="CO19" s="256">
        <f>CO18-IS!CR30</f>
        <v>0</v>
      </c>
      <c r="CP19" s="256">
        <f>CP18-IS!CS30</f>
        <v>0</v>
      </c>
      <c r="CQ19" s="258">
        <f>CQ18-IS!CT30</f>
        <v>0</v>
      </c>
      <c r="CR19" s="256">
        <f>CR18-IS!CU30</f>
        <v>0</v>
      </c>
      <c r="CS19" s="256">
        <f>CS18-IS!CV30</f>
        <v>0</v>
      </c>
      <c r="CT19" s="256">
        <f>CT18-IS!CW30</f>
        <v>0</v>
      </c>
      <c r="CU19" s="256">
        <f>CU18-IS!CX30</f>
        <v>0</v>
      </c>
      <c r="CV19" s="257">
        <f>CV18-IS!CY30</f>
        <v>0</v>
      </c>
      <c r="CW19" s="256">
        <f>CW18-IS!CZ30</f>
        <v>0</v>
      </c>
      <c r="CX19" s="256">
        <f>CX18-IS!DA30</f>
        <v>0</v>
      </c>
      <c r="CY19" s="256">
        <f>CY18-IS!DB30</f>
        <v>0</v>
      </c>
      <c r="CZ19" s="257">
        <f>CZ18-IS!DC30</f>
        <v>0</v>
      </c>
      <c r="DA19" s="1082">
        <f>DA18-IS!DD30</f>
        <v>0</v>
      </c>
      <c r="DB19" s="1082">
        <f>DB18-IS!DE30</f>
        <v>0</v>
      </c>
      <c r="DC19" s="258">
        <f>DC18-IS!DF30</f>
        <v>0</v>
      </c>
      <c r="DD19" s="257">
        <f>DD18-IS!DG30</f>
        <v>0</v>
      </c>
      <c r="DE19" s="1082">
        <f>DE18-IS!DH30</f>
        <v>0</v>
      </c>
      <c r="DF19" s="1082">
        <f>DF18-IS!DI30</f>
        <v>0</v>
      </c>
      <c r="DG19" s="258">
        <f>DG18-IS!DJ30</f>
        <v>0</v>
      </c>
      <c r="DH19" s="1082">
        <f>DH18-IS!DK30</f>
        <v>0</v>
      </c>
      <c r="DI19" s="1082">
        <f>DI18-IS!DL30</f>
        <v>0</v>
      </c>
      <c r="DJ19" s="1082">
        <f>DJ18-IS!DM30</f>
        <v>0</v>
      </c>
      <c r="DK19" s="258">
        <f>DK18-IS!DN30</f>
        <v>0</v>
      </c>
      <c r="DL19" s="1082">
        <f>DL18-IS!DO30</f>
        <v>0</v>
      </c>
      <c r="DM19" s="1082">
        <f>DM18-IS!DP30</f>
        <v>0</v>
      </c>
      <c r="DN19" s="1082">
        <f>DN18-IS!DQ30</f>
        <v>0</v>
      </c>
      <c r="DO19" s="258">
        <f>DO18-IS!DR30</f>
        <v>0</v>
      </c>
      <c r="DP19" s="1082">
        <f>DP18-IS!DS30</f>
        <v>0</v>
      </c>
      <c r="DQ19" s="1082">
        <f ca="1">DQ18-IS!DT30</f>
        <v>0</v>
      </c>
      <c r="DR19" s="1082">
        <f ca="1">DR18-IS!DU30</f>
        <v>0</v>
      </c>
      <c r="DS19" s="258">
        <f ca="1">DS18-IS!DV30</f>
        <v>0</v>
      </c>
      <c r="DT19" s="256"/>
    </row>
    <row r="20" spans="1:124">
      <c r="A20" s="109"/>
      <c r="B20" s="109"/>
      <c r="C20" s="109"/>
      <c r="D20" s="109"/>
      <c r="E20" s="109"/>
      <c r="F20" s="109"/>
      <c r="G20" s="109"/>
      <c r="H20" s="109"/>
      <c r="I20" s="109"/>
      <c r="J20" s="109"/>
      <c r="K20" s="109"/>
      <c r="L20" s="109"/>
      <c r="M20" s="109"/>
      <c r="N20" s="109"/>
      <c r="O20" s="109"/>
      <c r="P20" s="109"/>
      <c r="Q20" s="1044"/>
      <c r="R20" s="109"/>
      <c r="S20" s="109"/>
      <c r="T20" s="1044"/>
      <c r="U20" s="1044"/>
      <c r="V20" s="109"/>
      <c r="W20" s="109"/>
      <c r="X20" s="109"/>
      <c r="Y20" s="109"/>
      <c r="Z20" s="109"/>
      <c r="AA20" s="109"/>
      <c r="AB20" s="109"/>
      <c r="AC20" s="109"/>
      <c r="AD20" s="109"/>
      <c r="AE20" s="109"/>
      <c r="AF20" s="109"/>
      <c r="AG20" s="109"/>
      <c r="AH20" s="109"/>
      <c r="AI20" s="171"/>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71"/>
      <c r="BM20" s="109"/>
      <c r="BN20" s="109"/>
      <c r="BO20" s="109"/>
      <c r="BP20" s="171"/>
      <c r="BQ20" s="109"/>
      <c r="BR20" s="109"/>
      <c r="BS20" s="109"/>
      <c r="BT20" s="171"/>
      <c r="BU20" s="109"/>
      <c r="BV20" s="109"/>
      <c r="BW20" s="109"/>
      <c r="BX20" s="171"/>
      <c r="BY20" s="109"/>
      <c r="BZ20" s="109"/>
      <c r="CA20" s="109"/>
      <c r="CB20" s="171"/>
      <c r="CC20" s="109"/>
      <c r="CD20" s="109"/>
      <c r="CE20" s="109"/>
      <c r="CF20" s="171"/>
      <c r="CG20" s="109"/>
      <c r="CH20" s="109"/>
      <c r="CI20" s="109"/>
      <c r="CJ20" s="171"/>
      <c r="CK20" s="109"/>
      <c r="CL20" s="109"/>
      <c r="CM20" s="109"/>
      <c r="CN20" s="171"/>
      <c r="CO20" s="109"/>
      <c r="CP20" s="109"/>
      <c r="CQ20" s="172"/>
      <c r="CR20" s="109"/>
      <c r="CS20" s="109"/>
      <c r="CT20" s="109"/>
      <c r="CU20" s="109"/>
      <c r="CV20" s="171"/>
      <c r="CW20" s="109"/>
      <c r="CX20" s="109"/>
      <c r="CY20" s="109"/>
      <c r="CZ20" s="171"/>
      <c r="DA20" s="1044"/>
      <c r="DB20" s="1044"/>
      <c r="DC20" s="172"/>
      <c r="DD20" s="171"/>
      <c r="DE20" s="1044"/>
      <c r="DF20" s="1044"/>
      <c r="DG20" s="172"/>
      <c r="DH20" s="1044"/>
      <c r="DI20" s="1044"/>
      <c r="DJ20" s="1044"/>
      <c r="DK20" s="172"/>
      <c r="DL20" s="1044"/>
      <c r="DM20" s="1044"/>
      <c r="DN20" s="1044"/>
      <c r="DO20" s="172"/>
      <c r="DP20" s="1044"/>
      <c r="DQ20" s="1044"/>
      <c r="DR20" s="1044"/>
      <c r="DS20" s="172"/>
      <c r="DT20" s="109"/>
    </row>
    <row r="21" spans="1:124">
      <c r="A21" s="169" t="s">
        <v>961</v>
      </c>
      <c r="B21" s="109"/>
      <c r="C21" s="109"/>
      <c r="D21" s="109"/>
      <c r="E21" s="109"/>
      <c r="F21" s="109"/>
      <c r="G21" s="109"/>
      <c r="H21" s="109"/>
      <c r="I21" s="109"/>
      <c r="J21" s="109"/>
      <c r="K21" s="109"/>
      <c r="L21" s="109"/>
      <c r="M21" s="109"/>
      <c r="N21" s="109"/>
      <c r="O21" s="109"/>
      <c r="P21" s="109"/>
      <c r="Q21" s="1044"/>
      <c r="R21" s="109"/>
      <c r="S21" s="109"/>
      <c r="T21" s="1044"/>
      <c r="U21" s="1044"/>
      <c r="V21" s="109"/>
      <c r="W21" s="109"/>
      <c r="X21" s="109"/>
      <c r="Y21" s="109"/>
      <c r="Z21" s="109"/>
      <c r="AA21" s="109"/>
      <c r="AB21" s="109"/>
      <c r="AC21" s="109"/>
      <c r="AD21" s="109"/>
      <c r="AE21" s="109"/>
      <c r="AF21" s="109"/>
      <c r="AG21" s="109"/>
      <c r="AH21" s="109"/>
      <c r="AI21" s="171"/>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71"/>
      <c r="BM21" s="109"/>
      <c r="BN21" s="109"/>
      <c r="BO21" s="109"/>
      <c r="BP21" s="171"/>
      <c r="BQ21" s="109"/>
      <c r="BR21" s="109"/>
      <c r="BS21" s="109"/>
      <c r="BT21" s="171"/>
      <c r="BU21" s="109"/>
      <c r="BV21" s="109"/>
      <c r="BW21" s="109"/>
      <c r="BX21" s="171"/>
      <c r="BY21" s="109"/>
      <c r="BZ21" s="109"/>
      <c r="CA21" s="109"/>
      <c r="CB21" s="171"/>
      <c r="CC21" s="109"/>
      <c r="CD21" s="109"/>
      <c r="CE21" s="109"/>
      <c r="CF21" s="171"/>
      <c r="CG21" s="109"/>
      <c r="CH21" s="109"/>
      <c r="CI21" s="109"/>
      <c r="CJ21" s="171"/>
      <c r="CK21" s="109"/>
      <c r="CL21" s="109"/>
      <c r="CM21" s="109"/>
      <c r="CN21" s="171"/>
      <c r="CO21" s="109"/>
      <c r="CP21" s="109"/>
      <c r="CQ21" s="172"/>
      <c r="CR21" s="109"/>
      <c r="CS21" s="109"/>
      <c r="CT21" s="109"/>
      <c r="CU21" s="109"/>
      <c r="CV21" s="171"/>
      <c r="CW21" s="109"/>
      <c r="CX21" s="109"/>
      <c r="CY21" s="109"/>
      <c r="CZ21" s="171"/>
      <c r="DA21" s="1044"/>
      <c r="DB21" s="1044"/>
      <c r="DC21" s="172"/>
      <c r="DD21" s="171"/>
      <c r="DE21" s="1044"/>
      <c r="DF21" s="1044"/>
      <c r="DG21" s="172"/>
      <c r="DH21" s="1044"/>
      <c r="DI21" s="1044"/>
      <c r="DJ21" s="1044"/>
      <c r="DK21" s="172"/>
      <c r="DL21" s="1044"/>
      <c r="DM21" s="1044"/>
      <c r="DN21" s="1044"/>
      <c r="DO21" s="172"/>
      <c r="DP21" s="1044"/>
      <c r="DQ21" s="1044"/>
      <c r="DR21" s="1044"/>
      <c r="DS21" s="172"/>
      <c r="DT21" s="109"/>
    </row>
    <row r="22" spans="1:124">
      <c r="A22" s="167" t="s">
        <v>948</v>
      </c>
      <c r="B22" s="109"/>
      <c r="C22" s="109"/>
      <c r="D22" s="109"/>
      <c r="E22" s="109"/>
      <c r="F22" s="109"/>
      <c r="G22" s="109"/>
      <c r="H22" s="109"/>
      <c r="I22" s="109"/>
      <c r="J22" s="109">
        <v>13390</v>
      </c>
      <c r="K22" s="109">
        <v>14512</v>
      </c>
      <c r="L22" s="109">
        <v>14830</v>
      </c>
      <c r="M22" s="109">
        <v>15604</v>
      </c>
      <c r="N22" s="109">
        <f>SUM(BT22:BW22)</f>
        <v>23806</v>
      </c>
      <c r="O22" s="109">
        <f>SUM(BX22:CA22)</f>
        <v>24181</v>
      </c>
      <c r="P22" s="109">
        <f>SUM(CB22:CE22)</f>
        <v>24274</v>
      </c>
      <c r="Q22" s="1044">
        <f>SUM(CF22:CI22)</f>
        <v>22693</v>
      </c>
      <c r="R22" s="109">
        <f>SUM(CJ22:CM22)</f>
        <v>22618</v>
      </c>
      <c r="S22" s="109">
        <f>SUM(CN22:CQ22)</f>
        <v>22158</v>
      </c>
      <c r="T22" s="1044">
        <f>SUM(CR22:CU22)</f>
        <v>22208</v>
      </c>
      <c r="U22" s="1044">
        <f>SUM(CV22:CY22)</f>
        <v>21396</v>
      </c>
      <c r="V22" s="109">
        <f>SUM(CZ22:DC22)</f>
        <v>21332</v>
      </c>
      <c r="W22" s="2183">
        <f>Wireline!W87</f>
        <v>20878</v>
      </c>
      <c r="X22" s="2183">
        <f>Wireline!X87</f>
        <v>19138</v>
      </c>
      <c r="Y22" s="2552">
        <f>Wireline!Y87</f>
        <v>18017</v>
      </c>
      <c r="Z22" s="2552">
        <f ca="1">Wireline!Z87</f>
        <v>17651.926936490585</v>
      </c>
      <c r="AA22" s="2183">
        <f ca="1">Wireline!AA87</f>
        <v>17319.496295199562</v>
      </c>
      <c r="AB22" s="2183">
        <f ca="1">Wireline!AB87</f>
        <v>17097.110859932789</v>
      </c>
      <c r="AC22" s="2183">
        <f ca="1">Wireline!AC87</f>
        <v>16881.860909259267</v>
      </c>
      <c r="AD22" s="2183">
        <f ca="1">Wireline!AD87</f>
        <v>16672.919345972841</v>
      </c>
      <c r="AE22" s="2183">
        <f ca="1">Wireline!AE87</f>
        <v>16469.634532182732</v>
      </c>
      <c r="AF22" s="2183">
        <f ca="1">Wireline!AF87</f>
        <v>16271.49123817898</v>
      </c>
      <c r="AG22" s="2183">
        <f ca="1">Wireline!AG87</f>
        <v>16078.080355913256</v>
      </c>
      <c r="AH22" s="109"/>
      <c r="AI22" s="171"/>
      <c r="AJ22" s="109"/>
      <c r="AK22" s="109"/>
      <c r="AL22" s="109"/>
      <c r="AM22" s="109"/>
      <c r="AN22" s="109"/>
      <c r="AO22" s="109"/>
      <c r="AP22" s="109"/>
      <c r="AQ22" s="109"/>
      <c r="AR22" s="109"/>
      <c r="AS22" s="109"/>
      <c r="AT22" s="109"/>
      <c r="AU22" s="109"/>
      <c r="AV22" s="109"/>
      <c r="AW22" s="109"/>
      <c r="AX22" s="109"/>
      <c r="AY22" s="109"/>
      <c r="AZ22" s="109"/>
      <c r="BA22" s="109"/>
      <c r="BB22" s="109"/>
      <c r="BC22" s="109"/>
      <c r="BD22" s="109">
        <v>3352</v>
      </c>
      <c r="BE22" s="109">
        <v>3340</v>
      </c>
      <c r="BF22" s="109">
        <v>3499</v>
      </c>
      <c r="BG22" s="109">
        <v>3199</v>
      </c>
      <c r="BH22" s="109">
        <v>3477</v>
      </c>
      <c r="BI22" s="109">
        <v>3364</v>
      </c>
      <c r="BJ22" s="109">
        <v>3832</v>
      </c>
      <c r="BK22" s="109">
        <v>3839</v>
      </c>
      <c r="BL22" s="171">
        <v>3670</v>
      </c>
      <c r="BM22" s="109">
        <v>3604</v>
      </c>
      <c r="BN22" s="109">
        <v>3753</v>
      </c>
      <c r="BO22" s="109">
        <v>3803</v>
      </c>
      <c r="BP22" s="171">
        <v>3846</v>
      </c>
      <c r="BQ22" s="109">
        <v>3855</v>
      </c>
      <c r="BR22" s="109">
        <v>3932</v>
      </c>
      <c r="BS22" s="109">
        <v>3971</v>
      </c>
      <c r="BT22" s="171">
        <f>Wireline!BZ87</f>
        <v>5798</v>
      </c>
      <c r="BU22" s="109">
        <f>Wireline!CA87</f>
        <v>5912</v>
      </c>
      <c r="BV22" s="109">
        <f>Wireline!CB87</f>
        <v>6055</v>
      </c>
      <c r="BW22" s="109">
        <f>Wireline!CC87</f>
        <v>6041</v>
      </c>
      <c r="BX22" s="171">
        <f>Wireline!CD87</f>
        <v>5922</v>
      </c>
      <c r="BY22" s="109">
        <f>Wireline!CE87</f>
        <v>5986</v>
      </c>
      <c r="BZ22" s="109">
        <f>Wireline!CF87</f>
        <v>6085</v>
      </c>
      <c r="CA22" s="109">
        <f>Wireline!CG87</f>
        <v>6188</v>
      </c>
      <c r="CB22" s="171">
        <f>Wireline!CH87</f>
        <v>6081</v>
      </c>
      <c r="CC22" s="109">
        <f>Wireline!CI87</f>
        <v>5997</v>
      </c>
      <c r="CD22" s="109">
        <f>Wireline!CJ87</f>
        <v>6155</v>
      </c>
      <c r="CE22" s="109">
        <f>Wireline!CK87</f>
        <v>6041</v>
      </c>
      <c r="CF22" s="171">
        <f>Wireline!CL87</f>
        <v>5542</v>
      </c>
      <c r="CG22" s="109">
        <f>Wireline!CM87</f>
        <v>5572</v>
      </c>
      <c r="CH22" s="109">
        <f>Wireline!CN87</f>
        <v>5851</v>
      </c>
      <c r="CI22" s="109">
        <f>Wireline!CO87</f>
        <v>5728</v>
      </c>
      <c r="CJ22" s="171">
        <f>Wireline!CP87</f>
        <v>5741</v>
      </c>
      <c r="CK22" s="109">
        <f>Wireline!CQ87</f>
        <v>5611</v>
      </c>
      <c r="CL22" s="109">
        <f>Wireline!CR87</f>
        <v>5658</v>
      </c>
      <c r="CM22" s="109">
        <f>Wireline!CS87</f>
        <v>5608</v>
      </c>
      <c r="CN22" s="171">
        <f>Wireline!CT87</f>
        <v>5462</v>
      </c>
      <c r="CO22" s="109">
        <f>Wireline!CU87</f>
        <v>5504</v>
      </c>
      <c r="CP22" s="109">
        <f>Wireline!CV87</f>
        <v>5681</v>
      </c>
      <c r="CQ22" s="172">
        <f>Wireline!CW87</f>
        <v>5511</v>
      </c>
      <c r="CR22" s="109">
        <f>Wireline!CX87</f>
        <v>5572</v>
      </c>
      <c r="CS22" s="109">
        <f>Wireline!CY87</f>
        <v>5500</v>
      </c>
      <c r="CT22" s="109">
        <f>Wireline!CZ87</f>
        <v>5463</v>
      </c>
      <c r="CU22" s="109">
        <f>Wireline!DA87</f>
        <v>5673</v>
      </c>
      <c r="CV22" s="171">
        <f>Wireline!DB87</f>
        <v>5293</v>
      </c>
      <c r="CW22" s="109">
        <f>Wireline!DC87</f>
        <v>5290</v>
      </c>
      <c r="CX22" s="109">
        <f>Wireline!DD87</f>
        <v>5342</v>
      </c>
      <c r="CY22" s="109">
        <f>Wireline!DE87</f>
        <v>5471</v>
      </c>
      <c r="CZ22" s="171">
        <f>Wireline!DF87</f>
        <v>5339</v>
      </c>
      <c r="DA22" s="1044">
        <f>Wireline!DG87</f>
        <v>5342</v>
      </c>
      <c r="DB22" s="1044">
        <f>Wireline!DH87</f>
        <v>5325</v>
      </c>
      <c r="DC22" s="172">
        <f>Wireline!DI87</f>
        <v>5326</v>
      </c>
      <c r="DD22" s="171">
        <f>Wireline!DJ87</f>
        <v>5287</v>
      </c>
      <c r="DE22" s="1044">
        <f>Wireline!DK87</f>
        <v>5206</v>
      </c>
      <c r="DF22" s="2151">
        <f>Wireline!DL87</f>
        <v>5203</v>
      </c>
      <c r="DG22" s="2473">
        <f>Wireline!DM87</f>
        <v>5182</v>
      </c>
      <c r="DH22" s="2151">
        <f>Wireline!DN87</f>
        <v>5163</v>
      </c>
      <c r="DI22" s="2164">
        <f>Wireline!DO87</f>
        <v>5107</v>
      </c>
      <c r="DJ22" s="2164">
        <f>Wireline!DP87</f>
        <v>4440</v>
      </c>
      <c r="DK22" s="2165">
        <f>Wireline!DQ87</f>
        <v>4428</v>
      </c>
      <c r="DL22" s="2164">
        <f>Wireline!DR87</f>
        <v>4480</v>
      </c>
      <c r="DM22" s="2164">
        <f>Wireline!DS87</f>
        <v>4576</v>
      </c>
      <c r="DN22" s="2164">
        <f>Wireline!DT87</f>
        <v>4496</v>
      </c>
      <c r="DO22" s="2165">
        <f>Wireline!DU87</f>
        <v>4465</v>
      </c>
      <c r="DP22" s="2164">
        <f>Wireline!DV87</f>
        <v>4475</v>
      </c>
      <c r="DQ22" s="2164">
        <f ca="1">Wireline!DW87</f>
        <v>4429.40171587433</v>
      </c>
      <c r="DR22" s="2164">
        <f ca="1">Wireline!DX87</f>
        <v>4367.9739419549824</v>
      </c>
      <c r="DS22" s="2165">
        <f ca="1">Wireline!DY87</f>
        <v>4379.5512786612726</v>
      </c>
      <c r="DT22" s="109"/>
    </row>
    <row r="23" spans="1:124">
      <c r="A23" s="167" t="s">
        <v>951</v>
      </c>
      <c r="B23" s="109"/>
      <c r="C23" s="109"/>
      <c r="D23" s="109"/>
      <c r="E23" s="109"/>
      <c r="F23" s="109"/>
      <c r="G23" s="109"/>
      <c r="H23" s="109"/>
      <c r="I23" s="109"/>
      <c r="J23" s="109">
        <v>5456</v>
      </c>
      <c r="K23" s="109">
        <v>6460</v>
      </c>
      <c r="L23" s="109">
        <v>7747</v>
      </c>
      <c r="M23" s="109">
        <v>9393</v>
      </c>
      <c r="N23" s="109">
        <f>Wless!N38</f>
        <v>11491</v>
      </c>
      <c r="O23" s="109">
        <f>Wless!O38</f>
        <v>13456</v>
      </c>
      <c r="P23" s="109">
        <f>Wless!P38</f>
        <v>17815</v>
      </c>
      <c r="Q23" s="1044">
        <f>SUM(CF23:CI23)</f>
        <v>19348</v>
      </c>
      <c r="R23" s="109">
        <f>SUM(CJ23:CM23)</f>
        <v>19245</v>
      </c>
      <c r="S23" s="109">
        <f>SUM(CN23:CQ23)</f>
        <v>24086</v>
      </c>
      <c r="T23" s="1044">
        <f>SUM(CR23:CU23)</f>
        <v>24490</v>
      </c>
      <c r="U23" s="1044">
        <f>SUM(CV23:CY23)</f>
        <v>23648</v>
      </c>
      <c r="V23" s="109">
        <f>SUM(CZ23:DC23)</f>
        <v>28825</v>
      </c>
      <c r="W23" s="109">
        <f>Wless!W38</f>
        <v>30922</v>
      </c>
      <c r="X23" s="109">
        <f>Wless!X38</f>
        <v>30226</v>
      </c>
      <c r="Y23" s="2552">
        <f>Wless!Y38</f>
        <v>30137</v>
      </c>
      <c r="Z23" s="2552">
        <f ca="1">Wless!Z38</f>
        <v>30082.330388297632</v>
      </c>
      <c r="AA23" s="109">
        <f ca="1">Wless!AA38</f>
        <v>30459.337697934458</v>
      </c>
      <c r="AB23" s="109">
        <f ca="1">Wless!AB38</f>
        <v>30284.641228318469</v>
      </c>
      <c r="AC23" s="109">
        <f ca="1">Wless!AC38</f>
        <v>30069.34679957906</v>
      </c>
      <c r="AD23" s="109">
        <f ca="1">Wless!AD38</f>
        <v>29819.109133539496</v>
      </c>
      <c r="AE23" s="109">
        <f ca="1">Wless!AE38</f>
        <v>29539.587916468034</v>
      </c>
      <c r="AF23" s="109">
        <f ca="1">Wless!AF38</f>
        <v>29235.968421302256</v>
      </c>
      <c r="AG23" s="109">
        <f ca="1">Wless!AG38</f>
        <v>28912.811738695113</v>
      </c>
      <c r="AH23" s="109"/>
      <c r="AI23" s="171"/>
      <c r="AJ23" s="109"/>
      <c r="AK23" s="109"/>
      <c r="AL23" s="109"/>
      <c r="AM23" s="109"/>
      <c r="AN23" s="109"/>
      <c r="AO23" s="109"/>
      <c r="AP23" s="109"/>
      <c r="AQ23" s="109"/>
      <c r="AR23" s="109"/>
      <c r="AS23" s="109"/>
      <c r="AT23" s="109"/>
      <c r="AU23" s="109"/>
      <c r="AV23" s="109"/>
      <c r="AW23" s="109"/>
      <c r="AX23" s="109"/>
      <c r="AY23" s="109"/>
      <c r="AZ23" s="109"/>
      <c r="BA23" s="109"/>
      <c r="BB23" s="109"/>
      <c r="BC23" s="109"/>
      <c r="BD23" s="109">
        <v>1246</v>
      </c>
      <c r="BE23" s="109">
        <v>1328</v>
      </c>
      <c r="BF23" s="109">
        <v>1392</v>
      </c>
      <c r="BG23" s="109">
        <v>1490</v>
      </c>
      <c r="BH23" s="109">
        <v>1439</v>
      </c>
      <c r="BI23" s="109">
        <v>1567</v>
      </c>
      <c r="BJ23" s="109">
        <v>1715</v>
      </c>
      <c r="BK23" s="109">
        <v>1739</v>
      </c>
      <c r="BL23" s="171">
        <v>1658</v>
      </c>
      <c r="BM23" s="109">
        <v>1854</v>
      </c>
      <c r="BN23" s="109">
        <v>2107</v>
      </c>
      <c r="BO23" s="109">
        <v>2128</v>
      </c>
      <c r="BP23" s="171">
        <v>2098</v>
      </c>
      <c r="BQ23" s="109">
        <v>2282</v>
      </c>
      <c r="BR23" s="109">
        <v>2519</v>
      </c>
      <c r="BS23" s="109">
        <v>2494</v>
      </c>
      <c r="BT23" s="171">
        <f>Wless!BZ38</f>
        <v>2665</v>
      </c>
      <c r="BU23" s="109">
        <f>Wless!CA38</f>
        <v>2752</v>
      </c>
      <c r="BV23" s="109">
        <f>Wless!CB38</f>
        <v>2930</v>
      </c>
      <c r="BW23" s="109">
        <f>Wless!CC38</f>
        <v>3144</v>
      </c>
      <c r="BX23" s="171">
        <f>Wless!CD38</f>
        <v>3022</v>
      </c>
      <c r="BY23" s="109">
        <f>Wless!CE38</f>
        <v>3270</v>
      </c>
      <c r="BZ23" s="109">
        <f>Wless!CF38</f>
        <v>3551</v>
      </c>
      <c r="CA23" s="109">
        <f>Wless!CG38</f>
        <v>3613</v>
      </c>
      <c r="CB23" s="171">
        <f>Wless!CH38</f>
        <v>4120</v>
      </c>
      <c r="CC23" s="109">
        <f>Wless!CI38</f>
        <v>4272</v>
      </c>
      <c r="CD23" s="109">
        <f>Wless!CJ38</f>
        <v>4721</v>
      </c>
      <c r="CE23" s="109">
        <f>Wless!CK38</f>
        <v>4702</v>
      </c>
      <c r="CF23" s="171">
        <f>Wless!CL38</f>
        <v>4552</v>
      </c>
      <c r="CG23" s="109">
        <f>Wless!CM38</f>
        <v>4723</v>
      </c>
      <c r="CH23" s="109">
        <f>Wless!CN38</f>
        <v>4929</v>
      </c>
      <c r="CI23" s="109">
        <f>Wless!CO38</f>
        <v>5144</v>
      </c>
      <c r="CJ23" s="171">
        <f>Wless!CP38</f>
        <v>4675</v>
      </c>
      <c r="CK23" s="109">
        <f>Wless!CQ38</f>
        <v>4736</v>
      </c>
      <c r="CL23" s="109">
        <f>Wless!CR38</f>
        <v>5017</v>
      </c>
      <c r="CM23" s="109">
        <f>Wless!CS38</f>
        <v>4817</v>
      </c>
      <c r="CN23" s="171">
        <f>Wless!CT38</f>
        <v>5880</v>
      </c>
      <c r="CO23" s="109">
        <f>Wless!CU38</f>
        <v>5829</v>
      </c>
      <c r="CP23" s="109">
        <f>Wless!CV38</f>
        <v>5670</v>
      </c>
      <c r="CQ23" s="172">
        <f>Wless!CW38</f>
        <v>6707</v>
      </c>
      <c r="CR23" s="109">
        <f>Wless!CX38</f>
        <v>5910</v>
      </c>
      <c r="CS23" s="109">
        <f>Wless!CY38</f>
        <v>5558</v>
      </c>
      <c r="CT23" s="109">
        <f>Wless!CZ38</f>
        <v>5690</v>
      </c>
      <c r="CU23" s="109">
        <f>Wless!DA38</f>
        <v>7332</v>
      </c>
      <c r="CV23" s="171">
        <f>Wless!DB38</f>
        <v>5651</v>
      </c>
      <c r="CW23" s="109">
        <f>Wless!DC38</f>
        <v>5799</v>
      </c>
      <c r="CX23" s="109">
        <f>Wless!DD38</f>
        <v>5652</v>
      </c>
      <c r="CY23" s="109">
        <f>Wless!DE38</f>
        <v>6546</v>
      </c>
      <c r="CZ23" s="171">
        <f>Wless!DF38</f>
        <v>5856</v>
      </c>
      <c r="DA23" s="1044">
        <f>Wless!DG38</f>
        <v>6742</v>
      </c>
      <c r="DB23" s="1044">
        <f>Wless!DH38</f>
        <v>7043</v>
      </c>
      <c r="DC23" s="172">
        <f>Wless!DI38</f>
        <v>9184</v>
      </c>
      <c r="DD23" s="171">
        <f>Wless!DJ38</f>
        <v>6959</v>
      </c>
      <c r="DE23" s="1044">
        <f>Wless!DK38</f>
        <v>7403</v>
      </c>
      <c r="DF23" s="2151">
        <f>Wless!DL38</f>
        <v>7726</v>
      </c>
      <c r="DG23" s="2473">
        <f>Wless!DM38</f>
        <v>8834</v>
      </c>
      <c r="DH23" s="2151">
        <f>Wless!DN38</f>
        <v>6940</v>
      </c>
      <c r="DI23" s="2164">
        <f>Wless!DO38</f>
        <v>6628</v>
      </c>
      <c r="DJ23" s="2164">
        <f>Wless!DP38</f>
        <v>7246</v>
      </c>
      <c r="DK23" s="2165">
        <f>Wless!DQ38</f>
        <v>9412</v>
      </c>
      <c r="DL23" s="2164">
        <f>Wless!DR38</f>
        <v>6766</v>
      </c>
      <c r="DM23" s="2164">
        <f>Wless!DS38</f>
        <v>7032</v>
      </c>
      <c r="DN23" s="2164">
        <f>Wless!DT38</f>
        <v>7017</v>
      </c>
      <c r="DO23" s="2165">
        <f>Wless!DU38</f>
        <v>9322</v>
      </c>
      <c r="DP23" s="2164">
        <f>Wless!DV38</f>
        <v>7524</v>
      </c>
      <c r="DQ23" s="2164">
        <f ca="1">Wless!DW38</f>
        <v>6763.5926866618447</v>
      </c>
      <c r="DR23" s="2164">
        <f ca="1">Wless!DX38</f>
        <v>6752.80758404671</v>
      </c>
      <c r="DS23" s="2165">
        <f ca="1">Wless!DY38</f>
        <v>9041.9301175890796</v>
      </c>
      <c r="DT23" s="109"/>
    </row>
    <row r="24" spans="1:124">
      <c r="A24" s="167" t="s">
        <v>953</v>
      </c>
      <c r="B24" s="109"/>
      <c r="C24" s="109"/>
      <c r="D24" s="109"/>
      <c r="E24" s="109"/>
      <c r="F24" s="109"/>
      <c r="G24" s="109"/>
      <c r="H24" s="109"/>
      <c r="I24" s="109"/>
      <c r="J24" s="109">
        <v>586</v>
      </c>
      <c r="K24" s="109">
        <v>574</v>
      </c>
      <c r="L24" s="109">
        <v>626</v>
      </c>
      <c r="M24" s="109">
        <v>707</v>
      </c>
      <c r="N24" s="109">
        <f>SUM(BT24:BW24)</f>
        <v>0</v>
      </c>
      <c r="O24" s="109">
        <f>SUM(BX24:CA24)</f>
        <v>0</v>
      </c>
      <c r="P24" s="109"/>
      <c r="Q24" s="1044"/>
      <c r="R24" s="109"/>
      <c r="S24" s="109"/>
      <c r="T24" s="1044"/>
      <c r="U24" s="1044"/>
      <c r="V24" s="109"/>
      <c r="W24" s="109"/>
      <c r="X24" s="109"/>
      <c r="Y24" s="109"/>
      <c r="Z24" s="109"/>
      <c r="AA24" s="109"/>
      <c r="AB24" s="109"/>
      <c r="AC24" s="109"/>
      <c r="AD24" s="109"/>
      <c r="AE24" s="109"/>
      <c r="AF24" s="109"/>
      <c r="AG24" s="109"/>
      <c r="AH24" s="109"/>
      <c r="AI24" s="171"/>
      <c r="AJ24" s="109"/>
      <c r="AK24" s="109"/>
      <c r="AL24" s="109"/>
      <c r="AM24" s="109"/>
      <c r="AN24" s="109"/>
      <c r="AO24" s="109"/>
      <c r="AP24" s="109"/>
      <c r="AQ24" s="109"/>
      <c r="AR24" s="109"/>
      <c r="AS24" s="109"/>
      <c r="AT24" s="109"/>
      <c r="AU24" s="109"/>
      <c r="AV24" s="109"/>
      <c r="AW24" s="109"/>
      <c r="AX24" s="109"/>
      <c r="AY24" s="109"/>
      <c r="AZ24" s="109"/>
      <c r="BA24" s="109"/>
      <c r="BB24" s="109"/>
      <c r="BC24" s="109"/>
      <c r="BD24" s="109">
        <v>150</v>
      </c>
      <c r="BE24" s="109">
        <v>149</v>
      </c>
      <c r="BF24" s="109">
        <v>124</v>
      </c>
      <c r="BG24" s="109">
        <v>163</v>
      </c>
      <c r="BH24" s="109">
        <v>138</v>
      </c>
      <c r="BI24" s="109">
        <v>140</v>
      </c>
      <c r="BJ24" s="109">
        <v>144</v>
      </c>
      <c r="BK24" s="109">
        <v>152</v>
      </c>
      <c r="BL24" s="171">
        <v>147</v>
      </c>
      <c r="BM24" s="109">
        <v>156</v>
      </c>
      <c r="BN24" s="109">
        <v>153</v>
      </c>
      <c r="BO24" s="109">
        <v>170</v>
      </c>
      <c r="BP24" s="171">
        <v>177</v>
      </c>
      <c r="BQ24" s="109">
        <v>186</v>
      </c>
      <c r="BR24" s="109">
        <v>180</v>
      </c>
      <c r="BS24" s="109">
        <v>164</v>
      </c>
      <c r="BT24" s="171"/>
      <c r="BU24" s="109"/>
      <c r="BV24" s="109"/>
      <c r="BW24" s="109"/>
      <c r="BX24" s="171"/>
      <c r="BY24" s="109"/>
      <c r="BZ24" s="109"/>
      <c r="CA24" s="109"/>
      <c r="CB24" s="171"/>
      <c r="CC24" s="109"/>
      <c r="CD24" s="109"/>
      <c r="CE24" s="109"/>
      <c r="CF24" s="171"/>
      <c r="CG24" s="109"/>
      <c r="CH24" s="109"/>
      <c r="CI24" s="109"/>
      <c r="CJ24" s="171"/>
      <c r="CK24" s="109"/>
      <c r="CL24" s="109"/>
      <c r="CM24" s="109"/>
      <c r="CN24" s="171"/>
      <c r="CO24" s="109"/>
      <c r="CP24" s="109"/>
      <c r="CQ24" s="172"/>
      <c r="CR24" s="109"/>
      <c r="CS24" s="109"/>
      <c r="CT24" s="109"/>
      <c r="CU24" s="109"/>
      <c r="CV24" s="171"/>
      <c r="CW24" s="109"/>
      <c r="CX24" s="109"/>
      <c r="CY24" s="109"/>
      <c r="CZ24" s="171"/>
      <c r="DA24" s="1044"/>
      <c r="DB24" s="1044"/>
      <c r="DC24" s="172"/>
      <c r="DD24" s="171"/>
      <c r="DE24" s="1044"/>
      <c r="DF24" s="1044"/>
      <c r="DG24" s="172"/>
      <c r="DH24" s="1044"/>
      <c r="DI24" s="1044"/>
      <c r="DJ24" s="1044"/>
      <c r="DK24" s="172"/>
      <c r="DL24" s="1044"/>
      <c r="DM24" s="1044"/>
      <c r="DN24" s="1044"/>
      <c r="DO24" s="172"/>
      <c r="DP24" s="1044"/>
      <c r="DQ24" s="1044"/>
      <c r="DR24" s="1044"/>
      <c r="DS24" s="172"/>
      <c r="DT24" s="109"/>
    </row>
    <row r="25" spans="1:124">
      <c r="A25" s="167" t="s">
        <v>1434</v>
      </c>
      <c r="B25" s="109"/>
      <c r="C25" s="109"/>
      <c r="D25" s="109"/>
      <c r="E25" s="109"/>
      <c r="F25" s="109"/>
      <c r="G25" s="109"/>
      <c r="H25" s="109"/>
      <c r="I25" s="109"/>
      <c r="J25" s="109">
        <v>688</v>
      </c>
      <c r="K25" s="109">
        <v>554</v>
      </c>
      <c r="L25" s="109">
        <v>542</v>
      </c>
      <c r="M25" s="109">
        <v>593</v>
      </c>
      <c r="N25" s="109">
        <f>SUM(BT25:BW25)</f>
        <v>420</v>
      </c>
      <c r="O25" s="109">
        <f>SUM(BX25:CA25)</f>
        <v>0</v>
      </c>
      <c r="P25" s="109">
        <v>0</v>
      </c>
      <c r="Q25" s="1044">
        <v>0</v>
      </c>
      <c r="R25" s="109">
        <v>0</v>
      </c>
      <c r="S25" s="109">
        <f>SUM(CN25:CQ25)</f>
        <v>0</v>
      </c>
      <c r="T25" s="1044">
        <v>0</v>
      </c>
      <c r="U25" s="1044">
        <v>0</v>
      </c>
      <c r="V25" s="109">
        <v>0</v>
      </c>
      <c r="W25" s="109">
        <v>0</v>
      </c>
      <c r="X25" s="109">
        <v>0</v>
      </c>
      <c r="Y25" s="2987">
        <v>0</v>
      </c>
      <c r="Z25" s="2987">
        <v>0</v>
      </c>
      <c r="AA25" s="109">
        <v>0</v>
      </c>
      <c r="AB25" s="109">
        <v>0</v>
      </c>
      <c r="AC25" s="109">
        <v>0</v>
      </c>
      <c r="AD25" s="109">
        <v>0</v>
      </c>
      <c r="AE25" s="109">
        <v>0</v>
      </c>
      <c r="AF25" s="109">
        <v>0</v>
      </c>
      <c r="AG25" s="109">
        <v>0</v>
      </c>
      <c r="AH25" s="109"/>
      <c r="AI25" s="171"/>
      <c r="AJ25" s="109"/>
      <c r="AK25" s="109"/>
      <c r="AL25" s="109"/>
      <c r="AM25" s="109"/>
      <c r="AN25" s="109"/>
      <c r="AO25" s="109"/>
      <c r="AP25" s="109"/>
      <c r="AQ25" s="109"/>
      <c r="AR25" s="109"/>
      <c r="AS25" s="109"/>
      <c r="AT25" s="109"/>
      <c r="AU25" s="109"/>
      <c r="AV25" s="109"/>
      <c r="AW25" s="109"/>
      <c r="AX25" s="109"/>
      <c r="AY25" s="109"/>
      <c r="AZ25" s="109"/>
      <c r="BA25" s="109"/>
      <c r="BB25" s="109"/>
      <c r="BC25" s="109"/>
      <c r="BD25" s="109">
        <v>137</v>
      </c>
      <c r="BE25" s="109">
        <v>152</v>
      </c>
      <c r="BF25" s="109">
        <v>170</v>
      </c>
      <c r="BG25" s="109">
        <v>229</v>
      </c>
      <c r="BH25" s="109">
        <v>139</v>
      </c>
      <c r="BI25" s="109">
        <v>149</v>
      </c>
      <c r="BJ25" s="109">
        <v>146</v>
      </c>
      <c r="BK25" s="109">
        <v>120</v>
      </c>
      <c r="BL25" s="171">
        <v>133</v>
      </c>
      <c r="BM25" s="109">
        <v>135</v>
      </c>
      <c r="BN25" s="109">
        <v>126</v>
      </c>
      <c r="BO25" s="109">
        <v>148</v>
      </c>
      <c r="BP25" s="171">
        <v>155</v>
      </c>
      <c r="BQ25" s="109">
        <v>148</v>
      </c>
      <c r="BR25" s="109">
        <v>141</v>
      </c>
      <c r="BS25" s="109">
        <v>149</v>
      </c>
      <c r="BT25" s="171">
        <v>150</v>
      </c>
      <c r="BU25" s="109">
        <v>139</v>
      </c>
      <c r="BV25" s="109">
        <v>131</v>
      </c>
      <c r="BW25" s="109">
        <v>0</v>
      </c>
      <c r="BX25" s="171">
        <v>0</v>
      </c>
      <c r="BY25" s="109"/>
      <c r="BZ25" s="109"/>
      <c r="CA25" s="109"/>
      <c r="CB25" s="171"/>
      <c r="CC25" s="109"/>
      <c r="CD25" s="109"/>
      <c r="CE25" s="109"/>
      <c r="CF25" s="171"/>
      <c r="CG25" s="109"/>
      <c r="CH25" s="109"/>
      <c r="CI25" s="109"/>
      <c r="CJ25" s="171"/>
      <c r="CK25" s="109"/>
      <c r="CL25" s="109"/>
      <c r="CM25" s="109"/>
      <c r="CN25" s="171"/>
      <c r="CO25" s="109"/>
      <c r="CP25" s="109"/>
      <c r="CQ25" s="172"/>
      <c r="CR25" s="109"/>
      <c r="CS25" s="109"/>
      <c r="CT25" s="109"/>
      <c r="CU25" s="109"/>
      <c r="CV25" s="171"/>
      <c r="CW25" s="109"/>
      <c r="CX25" s="109"/>
      <c r="CY25" s="109"/>
      <c r="CZ25" s="171"/>
      <c r="DA25" s="1044"/>
      <c r="DB25" s="1044"/>
      <c r="DC25" s="172"/>
      <c r="DD25" s="171"/>
      <c r="DE25" s="1044"/>
      <c r="DF25" s="1044"/>
      <c r="DG25" s="172"/>
      <c r="DH25" s="1044"/>
      <c r="DI25" s="1044"/>
      <c r="DJ25" s="1044"/>
      <c r="DK25" s="172"/>
      <c r="DL25" s="1044"/>
      <c r="DM25" s="1044"/>
      <c r="DN25" s="1044"/>
      <c r="DO25" s="172"/>
      <c r="DP25" s="1044"/>
      <c r="DQ25" s="1044"/>
      <c r="DR25" s="1044"/>
      <c r="DS25" s="172"/>
      <c r="DT25" s="109"/>
    </row>
    <row r="26" spans="1:124">
      <c r="A26" s="167" t="s">
        <v>955</v>
      </c>
      <c r="B26" s="109"/>
      <c r="C26" s="109"/>
      <c r="D26" s="109"/>
      <c r="E26" s="109"/>
      <c r="F26" s="109"/>
      <c r="G26" s="109"/>
      <c r="H26" s="109"/>
      <c r="I26" s="109"/>
      <c r="J26" s="109">
        <v>-488</v>
      </c>
      <c r="K26" s="109">
        <v>-701</v>
      </c>
      <c r="L26" s="109">
        <v>-770</v>
      </c>
      <c r="M26" s="109">
        <v>-1587</v>
      </c>
      <c r="N26" s="109">
        <f>Other!N16</f>
        <v>0</v>
      </c>
      <c r="O26" s="109">
        <f>Other!O16</f>
        <v>-547</v>
      </c>
      <c r="P26" s="109">
        <f>Other!P16</f>
        <v>-3288</v>
      </c>
      <c r="Q26" s="1044">
        <f>SUM(CF26:CI26)</f>
        <v>-426</v>
      </c>
      <c r="R26" s="109">
        <f>SUM(CJ26:CM26)</f>
        <v>-429</v>
      </c>
      <c r="S26" s="109">
        <f>SUM(CN26:CQ26)</f>
        <v>-369</v>
      </c>
      <c r="T26" s="1044">
        <f>SUM(CR26:CU26)</f>
        <v>-668</v>
      </c>
      <c r="U26" s="1044">
        <f>SUM(CV26:CY26)</f>
        <v>-689</v>
      </c>
      <c r="V26" s="109">
        <f>SUM(CZ26:DC26)</f>
        <v>-493</v>
      </c>
      <c r="W26" s="109">
        <f>Other!W16</f>
        <v>415</v>
      </c>
      <c r="X26" s="109">
        <f>Other!X16</f>
        <v>2060</v>
      </c>
      <c r="Y26" s="2552">
        <f>Other!Y16</f>
        <v>3402</v>
      </c>
      <c r="Z26" s="2552">
        <f>Other!Z16</f>
        <v>5010.13</v>
      </c>
      <c r="AA26" s="109">
        <f>Other!AA16</f>
        <v>4709.2708439999997</v>
      </c>
      <c r="AB26" s="109">
        <f>Other!AB16</f>
        <v>4803.4562608799997</v>
      </c>
      <c r="AC26" s="109">
        <f>Other!AC16</f>
        <v>4899.5253860975999</v>
      </c>
      <c r="AD26" s="109">
        <f>Other!AD16</f>
        <v>4997.5158938195518</v>
      </c>
      <c r="AE26" s="109">
        <f>Other!AE16</f>
        <v>5097.4662116959435</v>
      </c>
      <c r="AF26" s="109">
        <f>Other!AF16</f>
        <v>5199.415535929862</v>
      </c>
      <c r="AG26" s="109">
        <f>Other!AG16</f>
        <v>5303.403846648459</v>
      </c>
      <c r="AH26" s="109"/>
      <c r="AI26" s="171"/>
      <c r="AJ26" s="109"/>
      <c r="AK26" s="109"/>
      <c r="AL26" s="109"/>
      <c r="AM26" s="109"/>
      <c r="AN26" s="109"/>
      <c r="AO26" s="109"/>
      <c r="AP26" s="109"/>
      <c r="AQ26" s="109"/>
      <c r="AR26" s="109"/>
      <c r="AS26" s="109"/>
      <c r="AT26" s="109"/>
      <c r="AU26" s="109"/>
      <c r="AV26" s="109"/>
      <c r="AW26" s="109"/>
      <c r="AX26" s="109"/>
      <c r="AY26" s="109"/>
      <c r="AZ26" s="109"/>
      <c r="BA26" s="109"/>
      <c r="BB26" s="109"/>
      <c r="BC26" s="109"/>
      <c r="BD26" s="109">
        <v>-137</v>
      </c>
      <c r="BE26" s="109">
        <v>-96</v>
      </c>
      <c r="BF26" s="109">
        <v>-130</v>
      </c>
      <c r="BG26" s="109">
        <v>-125</v>
      </c>
      <c r="BH26" s="109">
        <v>-130</v>
      </c>
      <c r="BI26" s="109">
        <v>-238</v>
      </c>
      <c r="BJ26" s="109">
        <v>-179</v>
      </c>
      <c r="BK26" s="109">
        <v>-154</v>
      </c>
      <c r="BL26" s="171">
        <v>-168</v>
      </c>
      <c r="BM26" s="109">
        <v>-168</v>
      </c>
      <c r="BN26" s="109">
        <v>-198</v>
      </c>
      <c r="BO26" s="109">
        <v>-236</v>
      </c>
      <c r="BP26" s="171">
        <v>-377</v>
      </c>
      <c r="BQ26" s="109">
        <v>-414</v>
      </c>
      <c r="BR26" s="109">
        <v>-411</v>
      </c>
      <c r="BS26" s="109">
        <v>-385</v>
      </c>
      <c r="BT26" s="171">
        <f>Other!BZ16</f>
        <v>-221</v>
      </c>
      <c r="BU26" s="109">
        <f>Other!CA16</f>
        <v>-226</v>
      </c>
      <c r="BV26" s="109">
        <f>Other!CB16</f>
        <v>-300</v>
      </c>
      <c r="BW26" s="109">
        <f>Other!CC16</f>
        <v>-168</v>
      </c>
      <c r="BX26" s="171">
        <f>Other!CD16</f>
        <v>-139</v>
      </c>
      <c r="BY26" s="109">
        <f>Other!CE16</f>
        <v>-136</v>
      </c>
      <c r="BZ26" s="109">
        <f>Other!CF16</f>
        <v>-147</v>
      </c>
      <c r="CA26" s="109">
        <f>Other!CG16</f>
        <v>-125</v>
      </c>
      <c r="CB26" s="171">
        <f>Other!CH16</f>
        <v>-806</v>
      </c>
      <c r="CC26" s="109">
        <f>Other!CI16</f>
        <v>-811</v>
      </c>
      <c r="CD26" s="109">
        <f>Other!CJ16</f>
        <v>-833</v>
      </c>
      <c r="CE26" s="109">
        <f>Other!CK16</f>
        <v>-838</v>
      </c>
      <c r="CF26" s="171">
        <f>Other!CL16</f>
        <v>-97</v>
      </c>
      <c r="CG26" s="109">
        <f>Other!CM16</f>
        <v>-105</v>
      </c>
      <c r="CH26" s="109">
        <f>Other!CN16</f>
        <v>-107</v>
      </c>
      <c r="CI26" s="109">
        <f>Other!CO16</f>
        <v>-117</v>
      </c>
      <c r="CJ26" s="171">
        <f>Other!CP16</f>
        <v>-122</v>
      </c>
      <c r="CK26" s="109">
        <f>Other!CQ16</f>
        <v>-114</v>
      </c>
      <c r="CL26" s="109">
        <f>Other!CR16</f>
        <v>-96</v>
      </c>
      <c r="CM26" s="109">
        <f>Other!CS16</f>
        <v>-97</v>
      </c>
      <c r="CN26" s="171">
        <f>Other!CT16</f>
        <v>-113</v>
      </c>
      <c r="CO26" s="109">
        <f>Other!CU16</f>
        <v>-175</v>
      </c>
      <c r="CP26" s="109">
        <f>Other!CV16</f>
        <v>47</v>
      </c>
      <c r="CQ26" s="172">
        <f>Other!CW16</f>
        <v>-128</v>
      </c>
      <c r="CR26" s="109">
        <f>Other!CX16</f>
        <v>-163</v>
      </c>
      <c r="CS26" s="109">
        <f>Other!CY16</f>
        <v>-162</v>
      </c>
      <c r="CT26" s="109">
        <f>Other!CZ16</f>
        <v>-162</v>
      </c>
      <c r="CU26" s="109">
        <f>Other!DA16</f>
        <v>-181</v>
      </c>
      <c r="CV26" s="171">
        <f>Other!DB16</f>
        <v>-176</v>
      </c>
      <c r="CW26" s="109">
        <f>Other!DC16</f>
        <v>-173</v>
      </c>
      <c r="CX26" s="109">
        <f>Other!DD16</f>
        <v>-175</v>
      </c>
      <c r="CY26" s="109">
        <f>Other!DE16</f>
        <v>-165</v>
      </c>
      <c r="CZ26" s="171">
        <f>Other!DF16</f>
        <v>-126</v>
      </c>
      <c r="DA26" s="1044">
        <f>Other!DG16</f>
        <v>-117</v>
      </c>
      <c r="DB26" s="1044">
        <f>Other!DH16</f>
        <v>-116</v>
      </c>
      <c r="DC26" s="172">
        <f>Other!DI16</f>
        <v>-134</v>
      </c>
      <c r="DD26" s="171">
        <f>Other!DJ16</f>
        <v>-150</v>
      </c>
      <c r="DE26" s="1044">
        <f>Other!DK16</f>
        <v>-160</v>
      </c>
      <c r="DF26" s="2151">
        <f>Other!DL16</f>
        <v>34</v>
      </c>
      <c r="DG26" s="2473">
        <f>Other!DM16</f>
        <v>691</v>
      </c>
      <c r="DH26" s="2151">
        <f>Other!DN16</f>
        <v>509</v>
      </c>
      <c r="DI26" s="2164">
        <f>Other!DO16</f>
        <v>486</v>
      </c>
      <c r="DJ26" s="2164">
        <f>Other!DP16</f>
        <v>543</v>
      </c>
      <c r="DK26" s="2165">
        <f>Other!DQ16</f>
        <v>522</v>
      </c>
      <c r="DL26" s="2164">
        <f>Other!DR16</f>
        <v>420</v>
      </c>
      <c r="DM26" s="2164">
        <f>Other!DS16</f>
        <v>502</v>
      </c>
      <c r="DN26" s="2164">
        <f>Other!DT16</f>
        <v>1092</v>
      </c>
      <c r="DO26" s="2165">
        <f>Other!DU16</f>
        <v>1388</v>
      </c>
      <c r="DP26" s="2164">
        <f>Other!DV16</f>
        <v>1256</v>
      </c>
      <c r="DQ26" s="2164">
        <f>Other!DW16</f>
        <v>1157.5</v>
      </c>
      <c r="DR26" s="2164">
        <f>Other!DX16</f>
        <v>1274.625</v>
      </c>
      <c r="DS26" s="2165">
        <f>Other!DY16</f>
        <v>1322.0050000000001</v>
      </c>
      <c r="DT26" s="109"/>
    </row>
    <row r="27" spans="1:124">
      <c r="A27" s="109" t="s">
        <v>1040</v>
      </c>
      <c r="B27" s="109"/>
      <c r="C27" s="109"/>
      <c r="D27" s="109"/>
      <c r="E27" s="109"/>
      <c r="F27" s="109"/>
      <c r="G27" s="109"/>
      <c r="H27" s="109"/>
      <c r="I27" s="109"/>
      <c r="J27" s="109">
        <v>19632</v>
      </c>
      <c r="K27" s="109">
        <v>21399</v>
      </c>
      <c r="L27" s="109">
        <v>22975</v>
      </c>
      <c r="M27" s="109">
        <v>24710</v>
      </c>
      <c r="N27" s="109">
        <f t="shared" ref="N27:W27" si="6">N22+N23+N24+N25+N26</f>
        <v>35717</v>
      </c>
      <c r="O27" s="109">
        <f t="shared" si="6"/>
        <v>37090</v>
      </c>
      <c r="P27" s="109">
        <f t="shared" si="6"/>
        <v>38801</v>
      </c>
      <c r="Q27" s="1044">
        <f t="shared" si="6"/>
        <v>41615</v>
      </c>
      <c r="R27" s="109">
        <f t="shared" si="6"/>
        <v>41434</v>
      </c>
      <c r="S27" s="109">
        <f t="shared" si="6"/>
        <v>45875</v>
      </c>
      <c r="T27" s="1044">
        <f t="shared" si="6"/>
        <v>46030</v>
      </c>
      <c r="U27" s="1044">
        <f t="shared" si="6"/>
        <v>44355</v>
      </c>
      <c r="V27" s="109">
        <f t="shared" si="6"/>
        <v>49664</v>
      </c>
      <c r="W27" s="109">
        <f t="shared" si="6"/>
        <v>52215</v>
      </c>
      <c r="X27" s="109">
        <f>X22+X23+X24+X25+X26</f>
        <v>51424</v>
      </c>
      <c r="Y27" s="109">
        <f>Y22+Y23+Y24+Y25+Y26</f>
        <v>51556</v>
      </c>
      <c r="Z27" s="109">
        <f ca="1">Z22+Z23+Z24+Z25+Z26</f>
        <v>52744.387324788215</v>
      </c>
      <c r="AA27" s="109">
        <f ca="1">AA22+AA23+AA24+AA25+AA26</f>
        <v>52488.104837134015</v>
      </c>
      <c r="AB27" s="109">
        <f ca="1">AB22+AB23+AB24+AB25+AB26</f>
        <v>52185.208349131259</v>
      </c>
      <c r="AC27" s="109">
        <f t="shared" ref="AC27:AG27" ca="1" si="7">AC22+AC23+AC24+AC25+AC26</f>
        <v>51850.733094935924</v>
      </c>
      <c r="AD27" s="109">
        <f t="shared" ca="1" si="7"/>
        <v>51489.54437333189</v>
      </c>
      <c r="AE27" s="109">
        <f t="shared" ca="1" si="7"/>
        <v>51106.688660346706</v>
      </c>
      <c r="AF27" s="109">
        <f t="shared" ca="1" si="7"/>
        <v>50706.875195411092</v>
      </c>
      <c r="AG27" s="109">
        <f t="shared" ca="1" si="7"/>
        <v>50294.295941256823</v>
      </c>
      <c r="AH27" s="109"/>
      <c r="AI27" s="171"/>
      <c r="AJ27" s="109"/>
      <c r="AK27" s="109"/>
      <c r="AL27" s="109"/>
      <c r="AM27" s="109"/>
      <c r="AN27" s="109"/>
      <c r="AO27" s="109"/>
      <c r="AP27" s="109"/>
      <c r="AQ27" s="109"/>
      <c r="AR27" s="109"/>
      <c r="AS27" s="109"/>
      <c r="AT27" s="109"/>
      <c r="AU27" s="109"/>
      <c r="AV27" s="109"/>
      <c r="AW27" s="109"/>
      <c r="AX27" s="109"/>
      <c r="AY27" s="109"/>
      <c r="AZ27" s="109"/>
      <c r="BA27" s="109"/>
      <c r="BB27" s="109"/>
      <c r="BC27" s="109"/>
      <c r="BD27" s="109">
        <v>4748</v>
      </c>
      <c r="BE27" s="109">
        <v>4873</v>
      </c>
      <c r="BF27" s="109">
        <v>5055</v>
      </c>
      <c r="BG27" s="109">
        <v>4956</v>
      </c>
      <c r="BH27" s="109">
        <v>5063</v>
      </c>
      <c r="BI27" s="109">
        <v>4982</v>
      </c>
      <c r="BJ27" s="109">
        <v>5658</v>
      </c>
      <c r="BK27" s="109">
        <v>5696</v>
      </c>
      <c r="BL27" s="171">
        <v>5440</v>
      </c>
      <c r="BM27" s="109">
        <v>5581</v>
      </c>
      <c r="BN27" s="109">
        <v>5941</v>
      </c>
      <c r="BO27" s="109">
        <v>6013</v>
      </c>
      <c r="BP27" s="171">
        <v>5899</v>
      </c>
      <c r="BQ27" s="109">
        <v>6057</v>
      </c>
      <c r="BR27" s="109">
        <v>6361</v>
      </c>
      <c r="BS27" s="109">
        <v>6393</v>
      </c>
      <c r="BT27" s="171">
        <f t="shared" ref="BT27:CZ27" si="8">BT22+BT23+BT24+BT25+BT26</f>
        <v>8392</v>
      </c>
      <c r="BU27" s="109">
        <f t="shared" si="8"/>
        <v>8577</v>
      </c>
      <c r="BV27" s="109">
        <f t="shared" si="8"/>
        <v>8816</v>
      </c>
      <c r="BW27" s="109">
        <f t="shared" si="8"/>
        <v>9017</v>
      </c>
      <c r="BX27" s="171">
        <f t="shared" si="8"/>
        <v>8805</v>
      </c>
      <c r="BY27" s="109">
        <f t="shared" si="8"/>
        <v>9120</v>
      </c>
      <c r="BZ27" s="109">
        <f t="shared" si="8"/>
        <v>9489</v>
      </c>
      <c r="CA27" s="109">
        <f t="shared" si="8"/>
        <v>9676</v>
      </c>
      <c r="CB27" s="171">
        <f t="shared" si="8"/>
        <v>9395</v>
      </c>
      <c r="CC27" s="109">
        <f t="shared" si="8"/>
        <v>9458</v>
      </c>
      <c r="CD27" s="109">
        <f t="shared" si="8"/>
        <v>10043</v>
      </c>
      <c r="CE27" s="109">
        <f t="shared" si="8"/>
        <v>9905</v>
      </c>
      <c r="CF27" s="171">
        <f t="shared" si="8"/>
        <v>9997</v>
      </c>
      <c r="CG27" s="109">
        <f t="shared" si="8"/>
        <v>10190</v>
      </c>
      <c r="CH27" s="109">
        <f t="shared" si="8"/>
        <v>10673</v>
      </c>
      <c r="CI27" s="109">
        <f t="shared" si="8"/>
        <v>10755</v>
      </c>
      <c r="CJ27" s="171">
        <f t="shared" si="8"/>
        <v>10294</v>
      </c>
      <c r="CK27" s="109">
        <f t="shared" si="8"/>
        <v>10233</v>
      </c>
      <c r="CL27" s="109">
        <f t="shared" si="8"/>
        <v>10579</v>
      </c>
      <c r="CM27" s="109">
        <f t="shared" si="8"/>
        <v>10328</v>
      </c>
      <c r="CN27" s="171">
        <f t="shared" si="8"/>
        <v>11229</v>
      </c>
      <c r="CO27" s="109">
        <f t="shared" si="8"/>
        <v>11158</v>
      </c>
      <c r="CP27" s="109">
        <f t="shared" si="8"/>
        <v>11398</v>
      </c>
      <c r="CQ27" s="172">
        <f t="shared" si="8"/>
        <v>12090</v>
      </c>
      <c r="CR27" s="109">
        <f t="shared" si="8"/>
        <v>11319</v>
      </c>
      <c r="CS27" s="109">
        <f t="shared" si="8"/>
        <v>10896</v>
      </c>
      <c r="CT27" s="109">
        <f t="shared" si="8"/>
        <v>10991</v>
      </c>
      <c r="CU27" s="109">
        <f t="shared" si="8"/>
        <v>12824</v>
      </c>
      <c r="CV27" s="171">
        <f t="shared" si="8"/>
        <v>10768</v>
      </c>
      <c r="CW27" s="109">
        <f t="shared" si="8"/>
        <v>10916</v>
      </c>
      <c r="CX27" s="109">
        <f t="shared" si="8"/>
        <v>10819</v>
      </c>
      <c r="CY27" s="109">
        <f t="shared" si="8"/>
        <v>11852</v>
      </c>
      <c r="CZ27" s="171">
        <f t="shared" si="8"/>
        <v>11069</v>
      </c>
      <c r="DA27" s="1044">
        <f t="shared" ref="DA27:DF27" si="9">DA22+DA23+DA24+DA25+DA26</f>
        <v>11967</v>
      </c>
      <c r="DB27" s="1044">
        <f t="shared" si="9"/>
        <v>12252</v>
      </c>
      <c r="DC27" s="172">
        <f t="shared" si="9"/>
        <v>14376</v>
      </c>
      <c r="DD27" s="171">
        <f>DD22+DD23+DD24+DD25+DD26</f>
        <v>12096</v>
      </c>
      <c r="DE27" s="1044">
        <f t="shared" si="9"/>
        <v>12449</v>
      </c>
      <c r="DF27" s="1044">
        <f t="shared" si="9"/>
        <v>12963</v>
      </c>
      <c r="DG27" s="172">
        <f t="shared" ref="DG27:DL27" si="10">DG22+DG23+DG24+DG25+DG26</f>
        <v>14707</v>
      </c>
      <c r="DH27" s="1044">
        <f t="shared" si="10"/>
        <v>12612</v>
      </c>
      <c r="DI27" s="1044">
        <f t="shared" si="10"/>
        <v>12221</v>
      </c>
      <c r="DJ27" s="1044">
        <f t="shared" si="10"/>
        <v>12229</v>
      </c>
      <c r="DK27" s="172">
        <f t="shared" si="10"/>
        <v>14362</v>
      </c>
      <c r="DL27" s="1044">
        <f t="shared" si="10"/>
        <v>11666</v>
      </c>
      <c r="DM27" s="1044">
        <f t="shared" ref="DM27:DO27" si="11">DM22+DM23+DM24+DM25+DM26</f>
        <v>12110</v>
      </c>
      <c r="DN27" s="1044">
        <f t="shared" si="11"/>
        <v>12605</v>
      </c>
      <c r="DO27" s="172">
        <f t="shared" si="11"/>
        <v>15175</v>
      </c>
      <c r="DP27" s="1044">
        <f t="shared" ref="DP27:DS27" si="12">DP22+DP23+DP24+DP25+DP26</f>
        <v>13255</v>
      </c>
      <c r="DQ27" s="1044">
        <f t="shared" ca="1" si="12"/>
        <v>12350.494402536175</v>
      </c>
      <c r="DR27" s="1044">
        <f t="shared" ca="1" si="12"/>
        <v>12395.406526001692</v>
      </c>
      <c r="DS27" s="172">
        <f t="shared" ca="1" si="12"/>
        <v>14743.486396250351</v>
      </c>
      <c r="DT27" s="109"/>
    </row>
    <row r="28" spans="1:124">
      <c r="A28" s="256" t="s">
        <v>1237</v>
      </c>
      <c r="B28" s="143"/>
      <c r="C28" s="143"/>
      <c r="D28" s="143"/>
      <c r="E28" s="143"/>
      <c r="F28" s="143"/>
      <c r="G28" s="143"/>
      <c r="H28" s="143"/>
      <c r="I28" s="143"/>
      <c r="J28" s="143">
        <v>0</v>
      </c>
      <c r="K28" s="143">
        <v>0</v>
      </c>
      <c r="L28" s="143">
        <v>0</v>
      </c>
      <c r="M28" s="143">
        <v>0</v>
      </c>
      <c r="N28" s="143">
        <f>N27-IS!N39</f>
        <v>915</v>
      </c>
      <c r="O28" s="143">
        <f>O27-IS!O39</f>
        <v>0</v>
      </c>
      <c r="P28" s="143">
        <f>P27-IS!P39</f>
        <v>0</v>
      </c>
      <c r="Q28" s="1047">
        <f>Q27-IS!Q39</f>
        <v>0</v>
      </c>
      <c r="R28" s="143">
        <f>R27-IS!R39</f>
        <v>0</v>
      </c>
      <c r="S28" s="143">
        <f>S27-IS!S39</f>
        <v>0</v>
      </c>
      <c r="T28" s="1047">
        <f>T27-IS!T39</f>
        <v>0</v>
      </c>
      <c r="U28" s="1047">
        <f>U27-IS!U39</f>
        <v>0</v>
      </c>
      <c r="V28" s="143">
        <f>V27-IS!V39</f>
        <v>0</v>
      </c>
      <c r="W28" s="143">
        <f>W27-IS!W39</f>
        <v>0</v>
      </c>
      <c r="X28" s="143">
        <f>X27-IS!X39</f>
        <v>0</v>
      </c>
      <c r="Y28" s="143">
        <f>Y27-IS!Y39</f>
        <v>0</v>
      </c>
      <c r="Z28" s="143">
        <f ca="1">Z27-IS!Z39</f>
        <v>0</v>
      </c>
      <c r="AA28" s="143">
        <f ca="1">AA27-IS!AA39</f>
        <v>0</v>
      </c>
      <c r="AB28" s="143">
        <f ca="1">AB27-IS!AB39</f>
        <v>0</v>
      </c>
      <c r="AC28" s="143">
        <f ca="1">AC27-IS!AC39</f>
        <v>0</v>
      </c>
      <c r="AD28" s="143">
        <f ca="1">AD27-IS!AD39</f>
        <v>0</v>
      </c>
      <c r="AE28" s="143">
        <f ca="1">AE27-IS!AE39</f>
        <v>0</v>
      </c>
      <c r="AF28" s="143">
        <f ca="1">AF27-IS!AF39</f>
        <v>0</v>
      </c>
      <c r="AG28" s="143">
        <f ca="1">AG27-IS!AG39</f>
        <v>0</v>
      </c>
      <c r="AH28" s="143"/>
      <c r="AI28" s="159"/>
      <c r="AJ28" s="143"/>
      <c r="AK28" s="143"/>
      <c r="AL28" s="143"/>
      <c r="AM28" s="143"/>
      <c r="AN28" s="143"/>
      <c r="AO28" s="143"/>
      <c r="AP28" s="143"/>
      <c r="AQ28" s="143"/>
      <c r="AR28" s="143"/>
      <c r="AS28" s="143"/>
      <c r="AT28" s="143"/>
      <c r="AU28" s="143"/>
      <c r="AV28" s="143"/>
      <c r="AW28" s="143"/>
      <c r="AX28" s="143"/>
      <c r="AY28" s="143"/>
      <c r="AZ28" s="143"/>
      <c r="BA28" s="143"/>
      <c r="BB28" s="143"/>
      <c r="BC28" s="143"/>
      <c r="BD28" s="143">
        <v>0</v>
      </c>
      <c r="BE28" s="143">
        <v>0</v>
      </c>
      <c r="BF28" s="143">
        <v>0</v>
      </c>
      <c r="BG28" s="143">
        <v>0</v>
      </c>
      <c r="BH28" s="143">
        <v>0</v>
      </c>
      <c r="BI28" s="143">
        <v>0</v>
      </c>
      <c r="BJ28" s="143">
        <v>0</v>
      </c>
      <c r="BK28" s="143">
        <v>0</v>
      </c>
      <c r="BL28" s="159">
        <v>0</v>
      </c>
      <c r="BM28" s="143">
        <v>0</v>
      </c>
      <c r="BN28" s="143">
        <v>0</v>
      </c>
      <c r="BO28" s="143">
        <v>0</v>
      </c>
      <c r="BP28" s="159">
        <v>0</v>
      </c>
      <c r="BQ28" s="143">
        <v>0</v>
      </c>
      <c r="BR28" s="143">
        <v>0</v>
      </c>
      <c r="BS28" s="143">
        <v>0</v>
      </c>
      <c r="BT28" s="159">
        <f>BT27-IS!BW39</f>
        <v>0</v>
      </c>
      <c r="BU28" s="143">
        <f>BU27-IS!BX39</f>
        <v>0</v>
      </c>
      <c r="BV28" s="143">
        <f>BV27-IS!BY39</f>
        <v>0</v>
      </c>
      <c r="BW28" s="143">
        <f>BW27-IS!BZ39</f>
        <v>0</v>
      </c>
      <c r="BX28" s="159">
        <f>BX27-IS!CA39</f>
        <v>0</v>
      </c>
      <c r="BY28" s="143">
        <f>BY27-IS!CB39</f>
        <v>0</v>
      </c>
      <c r="BZ28" s="143">
        <f>BZ27-IS!CC39</f>
        <v>0</v>
      </c>
      <c r="CA28" s="143">
        <f>CA27-IS!CD39</f>
        <v>0</v>
      </c>
      <c r="CB28" s="159">
        <f>CB27-IS!CE39</f>
        <v>0</v>
      </c>
      <c r="CC28" s="143">
        <f>CC27-IS!CF39</f>
        <v>0</v>
      </c>
      <c r="CD28" s="143">
        <f>CD27-IS!CG39</f>
        <v>0</v>
      </c>
      <c r="CE28" s="143">
        <f>CE27-IS!CH39</f>
        <v>0</v>
      </c>
      <c r="CF28" s="159">
        <f>CF27-IS!CI39</f>
        <v>0</v>
      </c>
      <c r="CG28" s="143">
        <f>CG27-IS!CJ39</f>
        <v>0</v>
      </c>
      <c r="CH28" s="143">
        <f>CH27-IS!CK39</f>
        <v>0</v>
      </c>
      <c r="CI28" s="143">
        <f>CI27-IS!CL39</f>
        <v>0</v>
      </c>
      <c r="CJ28" s="159">
        <f>CJ27-IS!CM39</f>
        <v>0</v>
      </c>
      <c r="CK28" s="143">
        <f>CK27-IS!CN39</f>
        <v>0</v>
      </c>
      <c r="CL28" s="143">
        <f>CL27-IS!CO39</f>
        <v>0</v>
      </c>
      <c r="CM28" s="143">
        <f>CM27-IS!CP39</f>
        <v>0</v>
      </c>
      <c r="CN28" s="159">
        <f>CN27-IS!CQ39</f>
        <v>0</v>
      </c>
      <c r="CO28" s="143">
        <f>CO27-IS!CR39</f>
        <v>0</v>
      </c>
      <c r="CP28" s="143">
        <f>CP27-IS!CS39</f>
        <v>0</v>
      </c>
      <c r="CQ28" s="189">
        <f>CQ27-IS!CT39</f>
        <v>0</v>
      </c>
      <c r="CR28" s="143">
        <f>CR27-IS!CU39</f>
        <v>0</v>
      </c>
      <c r="CS28" s="143">
        <f>CS27-IS!CV39</f>
        <v>0</v>
      </c>
      <c r="CT28" s="143">
        <f>CT27-IS!CW39</f>
        <v>0</v>
      </c>
      <c r="CU28" s="143">
        <f>CU27-IS!CX39</f>
        <v>0</v>
      </c>
      <c r="CV28" s="159">
        <f>CV27-IS!CY39</f>
        <v>0</v>
      </c>
      <c r="CW28" s="143">
        <f>CW27-IS!CZ39</f>
        <v>0</v>
      </c>
      <c r="CX28" s="143">
        <f>CX27-IS!DA39</f>
        <v>0</v>
      </c>
      <c r="CY28" s="143">
        <f>CY27-IS!DB39</f>
        <v>0</v>
      </c>
      <c r="CZ28" s="159">
        <f>CZ27-IS!DC39</f>
        <v>0</v>
      </c>
      <c r="DA28" s="1047">
        <f>DA27-IS!DD39</f>
        <v>0</v>
      </c>
      <c r="DB28" s="1047">
        <f>DB27-IS!DE39</f>
        <v>0</v>
      </c>
      <c r="DC28" s="189">
        <f>DC27-IS!DF39</f>
        <v>0</v>
      </c>
      <c r="DD28" s="159">
        <f>DD27-IS!DG39</f>
        <v>0</v>
      </c>
      <c r="DE28" s="1047">
        <f>DE27-IS!DH39</f>
        <v>0</v>
      </c>
      <c r="DF28" s="1047">
        <f>DF27-IS!DI39</f>
        <v>0</v>
      </c>
      <c r="DG28" s="189">
        <f>DG27-IS!DJ39</f>
        <v>0</v>
      </c>
      <c r="DH28" s="1047">
        <f>DH27-IS!DK39</f>
        <v>0</v>
      </c>
      <c r="DI28" s="1047">
        <f>DI27-IS!DL39</f>
        <v>0</v>
      </c>
      <c r="DJ28" s="1047">
        <f>DJ27-IS!DM39</f>
        <v>0</v>
      </c>
      <c r="DK28" s="189">
        <f>DK27-IS!DN39</f>
        <v>0</v>
      </c>
      <c r="DL28" s="1047">
        <f>DL27-IS!DO39</f>
        <v>0</v>
      </c>
      <c r="DM28" s="1047">
        <f>DM27-IS!DP39</f>
        <v>0</v>
      </c>
      <c r="DN28" s="1047">
        <f>DN27-IS!DQ39</f>
        <v>0</v>
      </c>
      <c r="DO28" s="189">
        <f>DO27-IS!DR39</f>
        <v>0</v>
      </c>
      <c r="DP28" s="1047">
        <f>DP27-IS!DS39</f>
        <v>0</v>
      </c>
      <c r="DQ28" s="1047">
        <f ca="1">DQ27-IS!DT39</f>
        <v>0</v>
      </c>
      <c r="DR28" s="1047">
        <f ca="1">DR27-IS!DU39</f>
        <v>0</v>
      </c>
      <c r="DS28" s="189">
        <f ca="1">DS27-IS!DV39</f>
        <v>0</v>
      </c>
      <c r="DT28" s="143"/>
    </row>
    <row r="29" spans="1:124">
      <c r="A29" s="109"/>
      <c r="B29" s="109"/>
      <c r="C29" s="109"/>
      <c r="D29" s="109"/>
      <c r="E29" s="109"/>
      <c r="F29" s="109"/>
      <c r="G29" s="109"/>
      <c r="H29" s="109"/>
      <c r="I29" s="109"/>
      <c r="J29" s="109"/>
      <c r="K29" s="109"/>
      <c r="L29" s="109"/>
      <c r="M29" s="109"/>
      <c r="N29" s="109"/>
      <c r="O29" s="109"/>
      <c r="P29" s="109"/>
      <c r="Q29" s="1044"/>
      <c r="R29" s="109"/>
      <c r="S29" s="109"/>
      <c r="T29" s="1044"/>
      <c r="U29" s="1044"/>
      <c r="V29" s="109"/>
      <c r="W29" s="109"/>
      <c r="X29" s="109"/>
      <c r="Y29" s="109"/>
      <c r="Z29" s="109"/>
      <c r="AA29" s="109"/>
      <c r="AB29" s="109"/>
      <c r="AC29" s="109"/>
      <c r="AD29" s="109"/>
      <c r="AE29" s="109"/>
      <c r="AF29" s="109"/>
      <c r="AG29" s="109"/>
      <c r="AH29" s="109"/>
      <c r="AI29" s="171"/>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71"/>
      <c r="BM29" s="109"/>
      <c r="BN29" s="109"/>
      <c r="BO29" s="109"/>
      <c r="BP29" s="171"/>
      <c r="BQ29" s="109"/>
      <c r="BR29" s="109"/>
      <c r="BS29" s="109"/>
      <c r="BT29" s="171"/>
      <c r="BU29" s="109"/>
      <c r="BV29" s="109"/>
      <c r="BW29" s="109"/>
      <c r="BX29" s="171"/>
      <c r="BY29" s="109"/>
      <c r="BZ29" s="109"/>
      <c r="CA29" s="109"/>
      <c r="CB29" s="171"/>
      <c r="CC29" s="109"/>
      <c r="CD29" s="109"/>
      <c r="CE29" s="109"/>
      <c r="CF29" s="171"/>
      <c r="CG29" s="109"/>
      <c r="CH29" s="109"/>
      <c r="CI29" s="109"/>
      <c r="CJ29" s="171"/>
      <c r="CK29" s="109"/>
      <c r="CL29" s="109"/>
      <c r="CM29" s="109"/>
      <c r="CN29" s="171"/>
      <c r="CO29" s="109"/>
      <c r="CP29" s="109"/>
      <c r="CQ29" s="172"/>
      <c r="CR29" s="109"/>
      <c r="CS29" s="109"/>
      <c r="CT29" s="109"/>
      <c r="CU29" s="109"/>
      <c r="CV29" s="171"/>
      <c r="CW29" s="109"/>
      <c r="CX29" s="109"/>
      <c r="CY29" s="109"/>
      <c r="CZ29" s="171"/>
      <c r="DA29" s="1044"/>
      <c r="DB29" s="1044"/>
      <c r="DC29" s="172"/>
      <c r="DD29" s="171"/>
      <c r="DE29" s="1044"/>
      <c r="DF29" s="1044"/>
      <c r="DG29" s="172"/>
      <c r="DH29" s="1044"/>
      <c r="DI29" s="1044"/>
      <c r="DJ29" s="1044"/>
      <c r="DK29" s="172"/>
      <c r="DL29" s="1044"/>
      <c r="DM29" s="1044"/>
      <c r="DN29" s="1044"/>
      <c r="DO29" s="172"/>
      <c r="DP29" s="1044"/>
      <c r="DQ29" s="1044"/>
      <c r="DR29" s="1044"/>
      <c r="DS29" s="172"/>
      <c r="DT29" s="109"/>
    </row>
    <row r="30" spans="1:124">
      <c r="A30" s="169" t="s">
        <v>963</v>
      </c>
      <c r="B30" s="109"/>
      <c r="C30" s="109"/>
      <c r="D30" s="109"/>
      <c r="E30" s="109"/>
      <c r="F30" s="109"/>
      <c r="G30" s="109"/>
      <c r="H30" s="109"/>
      <c r="I30" s="109"/>
      <c r="J30" s="109"/>
      <c r="K30" s="109"/>
      <c r="L30" s="109"/>
      <c r="M30" s="109"/>
      <c r="N30" s="109"/>
      <c r="O30" s="109"/>
      <c r="P30" s="109"/>
      <c r="Q30" s="1044"/>
      <c r="R30" s="109"/>
      <c r="S30" s="109"/>
      <c r="T30" s="1044"/>
      <c r="U30" s="1044"/>
      <c r="V30" s="109"/>
      <c r="W30" s="109"/>
      <c r="X30" s="109"/>
      <c r="Y30" s="109"/>
      <c r="Z30" s="109"/>
      <c r="AA30" s="109"/>
      <c r="AB30" s="109"/>
      <c r="AC30" s="109"/>
      <c r="AD30" s="109"/>
      <c r="AE30" s="109"/>
      <c r="AF30" s="109"/>
      <c r="AG30" s="109"/>
      <c r="AH30" s="109"/>
      <c r="AI30" s="171"/>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c r="BL30" s="171"/>
      <c r="BM30" s="109"/>
      <c r="BN30" s="109"/>
      <c r="BO30" s="109"/>
      <c r="BP30" s="171"/>
      <c r="BQ30" s="109"/>
      <c r="BR30" s="109"/>
      <c r="BS30" s="109"/>
      <c r="BT30" s="171"/>
      <c r="BU30" s="109"/>
      <c r="BV30" s="109"/>
      <c r="BW30" s="109"/>
      <c r="BX30" s="171"/>
      <c r="BY30" s="109"/>
      <c r="BZ30" s="109"/>
      <c r="CA30" s="109"/>
      <c r="CB30" s="171"/>
      <c r="CC30" s="109"/>
      <c r="CD30" s="109"/>
      <c r="CE30" s="109"/>
      <c r="CF30" s="171"/>
      <c r="CG30" s="109"/>
      <c r="CH30" s="109"/>
      <c r="CI30" s="109"/>
      <c r="CJ30" s="171"/>
      <c r="CK30" s="109"/>
      <c r="CL30" s="109"/>
      <c r="CM30" s="109"/>
      <c r="CN30" s="171"/>
      <c r="CO30" s="109"/>
      <c r="CP30" s="109"/>
      <c r="CQ30" s="172"/>
      <c r="CR30" s="109"/>
      <c r="CS30" s="109"/>
      <c r="CT30" s="109"/>
      <c r="CU30" s="109"/>
      <c r="CV30" s="171"/>
      <c r="CW30" s="109"/>
      <c r="CX30" s="109"/>
      <c r="CY30" s="109"/>
      <c r="CZ30" s="171"/>
      <c r="DA30" s="1044"/>
      <c r="DB30" s="1044"/>
      <c r="DC30" s="172"/>
      <c r="DD30" s="171"/>
      <c r="DE30" s="1044"/>
      <c r="DF30" s="1044"/>
      <c r="DG30" s="172"/>
      <c r="DH30" s="1044"/>
      <c r="DI30" s="1044"/>
      <c r="DJ30" s="1044"/>
      <c r="DK30" s="172"/>
      <c r="DL30" s="1044"/>
      <c r="DM30" s="1044"/>
      <c r="DN30" s="1044"/>
      <c r="DO30" s="172"/>
      <c r="DP30" s="1044"/>
      <c r="DQ30" s="1044"/>
      <c r="DR30" s="1044"/>
      <c r="DS30" s="172"/>
      <c r="DT30" s="109"/>
    </row>
    <row r="31" spans="1:124">
      <c r="A31" s="167" t="s">
        <v>948</v>
      </c>
      <c r="B31" s="109"/>
      <c r="C31" s="109"/>
      <c r="D31" s="109"/>
      <c r="E31" s="109"/>
      <c r="F31" s="109"/>
      <c r="G31" s="109"/>
      <c r="H31" s="109"/>
      <c r="I31" s="109"/>
      <c r="J31" s="109">
        <v>9048</v>
      </c>
      <c r="K31" s="109">
        <v>8363</v>
      </c>
      <c r="L31" s="109">
        <v>8621</v>
      </c>
      <c r="M31" s="109">
        <v>8419</v>
      </c>
      <c r="N31" s="109">
        <f>SUM(BT31:BW31)</f>
        <v>11998</v>
      </c>
      <c r="O31" s="109">
        <f>SUM(BX31:CA31)</f>
        <v>11527</v>
      </c>
      <c r="P31" s="109">
        <f>SUM(CB31:CE31)</f>
        <v>11047</v>
      </c>
      <c r="Q31" s="1044">
        <f>SUM(CF31:CI31)</f>
        <v>9947</v>
      </c>
      <c r="R31" s="109">
        <f>SUM(CJ31:CM31)</f>
        <v>9372</v>
      </c>
      <c r="S31" s="109">
        <f>SUM(CN31:CQ31)</f>
        <v>9107</v>
      </c>
      <c r="T31" s="1044">
        <f>SUM(CR31:CU31)</f>
        <v>8880</v>
      </c>
      <c r="U31" s="1044">
        <f>SUM(CV31:CY31)</f>
        <v>8571</v>
      </c>
      <c r="V31" s="109">
        <f>SUM(CZ31:DC31)</f>
        <v>8180</v>
      </c>
      <c r="W31" s="109">
        <f>Wireline!W84</f>
        <v>7989</v>
      </c>
      <c r="X31" s="109">
        <f>Wireline!X84</f>
        <v>6765</v>
      </c>
      <c r="Y31" s="2552">
        <f>Wireline!Y84</f>
        <v>6327</v>
      </c>
      <c r="Z31" s="2552">
        <f>Wireline!Z84</f>
        <v>6040.7453800088078</v>
      </c>
      <c r="AA31" s="109">
        <f>Wireline!AA84</f>
        <v>5955.0642579730111</v>
      </c>
      <c r="AB31" s="109">
        <f>Wireline!AB84</f>
        <v>5870.5142336560984</v>
      </c>
      <c r="AC31" s="109">
        <f>Wireline!AC84</f>
        <v>5790.5527467622733</v>
      </c>
      <c r="AD31" s="109">
        <f>Wireline!AD84</f>
        <v>5714.3810418921939</v>
      </c>
      <c r="AE31" s="109">
        <f>Wireline!AE84</f>
        <v>5641.3653010054695</v>
      </c>
      <c r="AF31" s="109">
        <f>Wireline!AF84</f>
        <v>5571.0033819884438</v>
      </c>
      <c r="AG31" s="109">
        <f>Wireline!AG84</f>
        <v>5502.8986931869176</v>
      </c>
      <c r="AH31" s="109"/>
      <c r="AI31" s="171"/>
      <c r="AJ31" s="109"/>
      <c r="AK31" s="109"/>
      <c r="AL31" s="109"/>
      <c r="AM31" s="109"/>
      <c r="AN31" s="109"/>
      <c r="AO31" s="109"/>
      <c r="AP31" s="109"/>
      <c r="AQ31" s="109"/>
      <c r="AR31" s="109"/>
      <c r="AS31" s="109"/>
      <c r="AT31" s="109"/>
      <c r="AU31" s="109"/>
      <c r="AV31" s="109"/>
      <c r="AW31" s="109"/>
      <c r="AX31" s="109"/>
      <c r="AY31" s="109"/>
      <c r="AZ31" s="109"/>
      <c r="BA31" s="109"/>
      <c r="BB31" s="109"/>
      <c r="BC31" s="109"/>
      <c r="BD31" s="109">
        <v>2172</v>
      </c>
      <c r="BE31" s="109">
        <v>2204</v>
      </c>
      <c r="BF31" s="109">
        <v>2323</v>
      </c>
      <c r="BG31" s="109">
        <v>2349</v>
      </c>
      <c r="BH31" s="109">
        <v>1964</v>
      </c>
      <c r="BI31" s="109">
        <v>2213</v>
      </c>
      <c r="BJ31" s="109">
        <v>2029</v>
      </c>
      <c r="BK31" s="109">
        <v>2157</v>
      </c>
      <c r="BL31" s="171">
        <v>2112</v>
      </c>
      <c r="BM31" s="109">
        <v>2303</v>
      </c>
      <c r="BN31" s="109">
        <v>2168</v>
      </c>
      <c r="BO31" s="109">
        <v>2038</v>
      </c>
      <c r="BP31" s="171">
        <v>2080</v>
      </c>
      <c r="BQ31" s="109">
        <v>2192</v>
      </c>
      <c r="BR31" s="109">
        <v>2016</v>
      </c>
      <c r="BS31" s="109">
        <v>2131</v>
      </c>
      <c r="BT31" s="171">
        <f>Wireline!BZ84</f>
        <v>2998</v>
      </c>
      <c r="BU31" s="109">
        <f>Wireline!CA84</f>
        <v>3025</v>
      </c>
      <c r="BV31" s="109">
        <f>Wireline!CB84</f>
        <v>3055</v>
      </c>
      <c r="BW31" s="109">
        <f>Wireline!CC84</f>
        <v>2920</v>
      </c>
      <c r="BX31" s="171">
        <f>Wireline!CD84</f>
        <v>2970</v>
      </c>
      <c r="BY31" s="109">
        <f>Wireline!CE84</f>
        <v>3051</v>
      </c>
      <c r="BZ31" s="109">
        <f>Wireline!CF84</f>
        <v>2922</v>
      </c>
      <c r="CA31" s="109">
        <f>Wireline!CG84</f>
        <v>2584</v>
      </c>
      <c r="CB31" s="171">
        <f>Wireline!CH84</f>
        <v>2696</v>
      </c>
      <c r="CC31" s="109">
        <f>Wireline!CI84</f>
        <v>2808</v>
      </c>
      <c r="CD31" s="109">
        <f>Wireline!CJ84</f>
        <v>2689</v>
      </c>
      <c r="CE31" s="109">
        <f>Wireline!CK84</f>
        <v>2854</v>
      </c>
      <c r="CF31" s="171">
        <f>Wireline!CL84</f>
        <v>2555</v>
      </c>
      <c r="CG31" s="109">
        <f>Wireline!CM84</f>
        <v>2517</v>
      </c>
      <c r="CH31" s="109">
        <f>Wireline!CN84</f>
        <v>2407</v>
      </c>
      <c r="CI31" s="109">
        <f>Wireline!CO84</f>
        <v>2468</v>
      </c>
      <c r="CJ31" s="171">
        <f>Wireline!CP84</f>
        <v>2450</v>
      </c>
      <c r="CK31" s="109">
        <f>Wireline!CQ84</f>
        <v>2359</v>
      </c>
      <c r="CL31" s="109">
        <f>Wireline!CR84</f>
        <v>2296</v>
      </c>
      <c r="CM31" s="109">
        <f>Wireline!CS84</f>
        <v>2267</v>
      </c>
      <c r="CN31" s="171">
        <f>Wireline!CT84</f>
        <v>2290</v>
      </c>
      <c r="CO31" s="109">
        <f>Wireline!CU84</f>
        <v>2308</v>
      </c>
      <c r="CP31" s="109">
        <f>Wireline!CV84</f>
        <v>2296</v>
      </c>
      <c r="CQ31" s="172">
        <f>Wireline!CW84</f>
        <v>2213</v>
      </c>
      <c r="CR31" s="109">
        <f>Wireline!CX84</f>
        <v>2126</v>
      </c>
      <c r="CS31" s="109">
        <f>Wireline!CY84</f>
        <v>2141</v>
      </c>
      <c r="CT31" s="109">
        <f>Wireline!CZ84</f>
        <v>2303</v>
      </c>
      <c r="CU31" s="109">
        <f>Wireline!DA84</f>
        <v>2310</v>
      </c>
      <c r="CV31" s="171">
        <f>Wireline!DB84</f>
        <v>2259</v>
      </c>
      <c r="CW31" s="109">
        <f>Wireline!DC84</f>
        <v>2164</v>
      </c>
      <c r="CX31" s="109">
        <f>Wireline!DD84</f>
        <v>2094</v>
      </c>
      <c r="CY31" s="109">
        <f>Wireline!DE84</f>
        <v>2054</v>
      </c>
      <c r="CZ31" s="171">
        <f>Wireline!DF84</f>
        <v>2149</v>
      </c>
      <c r="DA31" s="1044">
        <f>Wireline!DG84</f>
        <v>2031</v>
      </c>
      <c r="DB31" s="1044">
        <f>Wireline!DH84</f>
        <v>2048</v>
      </c>
      <c r="DC31" s="172">
        <f>Wireline!DI84</f>
        <v>1952</v>
      </c>
      <c r="DD31" s="171">
        <f>Wireline!DJ84</f>
        <v>2031</v>
      </c>
      <c r="DE31" s="1044">
        <f>Wireline!DK84</f>
        <v>2007</v>
      </c>
      <c r="DF31" s="2151">
        <f>Wireline!DL84</f>
        <v>1952</v>
      </c>
      <c r="DG31" s="2473">
        <f>Wireline!DM84</f>
        <v>1999</v>
      </c>
      <c r="DH31" s="2151">
        <f>Wireline!DN84</f>
        <v>1950</v>
      </c>
      <c r="DI31" s="2164">
        <f>Wireline!DO84</f>
        <v>1617</v>
      </c>
      <c r="DJ31" s="2164">
        <f>Wireline!DP84</f>
        <v>1693</v>
      </c>
      <c r="DK31" s="2165">
        <f>Wireline!DQ84</f>
        <v>1505</v>
      </c>
      <c r="DL31" s="2164">
        <f>Wireline!DR84</f>
        <v>1611</v>
      </c>
      <c r="DM31" s="2164">
        <f>Wireline!DS84</f>
        <v>1606</v>
      </c>
      <c r="DN31" s="2164">
        <f>Wireline!DT84</f>
        <v>1552</v>
      </c>
      <c r="DO31" s="2165">
        <f>Wireline!DU84</f>
        <v>1558</v>
      </c>
      <c r="DP31" s="2164">
        <f>Wireline!DV84</f>
        <v>1479</v>
      </c>
      <c r="DQ31" s="2164">
        <f>Wireline!DW84</f>
        <v>1524.731409229438</v>
      </c>
      <c r="DR31" s="2164">
        <f>Wireline!DX84</f>
        <v>1522.3231092390438</v>
      </c>
      <c r="DS31" s="2165">
        <f>Wireline!DY84</f>
        <v>1514.6908615403265</v>
      </c>
      <c r="DT31" s="109"/>
    </row>
    <row r="32" spans="1:124">
      <c r="A32" s="167" t="s">
        <v>951</v>
      </c>
      <c r="B32" s="109"/>
      <c r="C32" s="109"/>
      <c r="D32" s="109"/>
      <c r="E32" s="109"/>
      <c r="F32" s="109"/>
      <c r="G32" s="109"/>
      <c r="H32" s="109"/>
      <c r="I32" s="109"/>
      <c r="J32" s="109">
        <v>7084</v>
      </c>
      <c r="K32" s="109">
        <v>8057</v>
      </c>
      <c r="L32" s="109">
        <v>9591</v>
      </c>
      <c r="M32" s="109">
        <v>10768</v>
      </c>
      <c r="N32" s="109">
        <f>Wless!N41</f>
        <v>12039</v>
      </c>
      <c r="O32" s="109">
        <f>Wless!O41</f>
        <v>13477</v>
      </c>
      <c r="P32" s="109">
        <f>Wless!P41</f>
        <v>17051</v>
      </c>
      <c r="Q32" s="1044">
        <f>SUM(CF32:CI32)</f>
        <v>17309</v>
      </c>
      <c r="R32" s="109">
        <f>SUM(CJ32:CM32)</f>
        <v>18082</v>
      </c>
      <c r="S32" s="109">
        <f>SUM(CN32:CQ32)</f>
        <v>19579</v>
      </c>
      <c r="T32" s="1044">
        <f>SUM(CR32:CU32)</f>
        <v>21650</v>
      </c>
      <c r="U32" s="1044">
        <f>SUM(CV32:CY32)</f>
        <v>23176</v>
      </c>
      <c r="V32" s="109">
        <f>SUM(CZ32:DC32)</f>
        <v>23602</v>
      </c>
      <c r="W32" s="109">
        <f>Wless!W41</f>
        <v>21805</v>
      </c>
      <c r="X32" s="109">
        <f>Wless!X41</f>
        <v>19924</v>
      </c>
      <c r="Y32" s="2552">
        <f>Wless!Y41</f>
        <v>18772</v>
      </c>
      <c r="Z32" s="2552">
        <f ca="1">Wless!Z41</f>
        <v>18072.922293069205</v>
      </c>
      <c r="AA32" s="109">
        <f ca="1">Wless!AA41</f>
        <v>18048.87891070405</v>
      </c>
      <c r="AB32" s="109">
        <f ca="1">Wless!AB41</f>
        <v>18128.032708988176</v>
      </c>
      <c r="AC32" s="109">
        <f ca="1">Wless!AC41</f>
        <v>18214.36882522771</v>
      </c>
      <c r="AD32" s="109">
        <f ca="1">Wless!AD41</f>
        <v>18307.058286656153</v>
      </c>
      <c r="AE32" s="109">
        <f ca="1">Wless!AE41</f>
        <v>18408.060172930451</v>
      </c>
      <c r="AF32" s="109">
        <f ca="1">Wless!AF41</f>
        <v>18520.409875004156</v>
      </c>
      <c r="AG32" s="109">
        <f ca="1">Wless!AG41</f>
        <v>18647.478059839857</v>
      </c>
      <c r="AH32" s="109"/>
      <c r="AI32" s="171"/>
      <c r="AJ32" s="109"/>
      <c r="AK32" s="109"/>
      <c r="AL32" s="109"/>
      <c r="AM32" s="109"/>
      <c r="AN32" s="109"/>
      <c r="AO32" s="109"/>
      <c r="AP32" s="109"/>
      <c r="AQ32" s="109"/>
      <c r="AR32" s="109"/>
      <c r="AS32" s="109"/>
      <c r="AT32" s="109"/>
      <c r="AU32" s="109"/>
      <c r="AV32" s="109"/>
      <c r="AW32" s="109"/>
      <c r="AX32" s="109"/>
      <c r="AY32" s="109"/>
      <c r="AZ32" s="109"/>
      <c r="BA32" s="109"/>
      <c r="BB32" s="109"/>
      <c r="BC32" s="109"/>
      <c r="BD32" s="109">
        <v>1629</v>
      </c>
      <c r="BE32" s="109">
        <v>1771</v>
      </c>
      <c r="BF32" s="109">
        <v>1839</v>
      </c>
      <c r="BG32" s="109">
        <v>1845</v>
      </c>
      <c r="BH32" s="109">
        <v>1866</v>
      </c>
      <c r="BI32" s="109">
        <v>1973</v>
      </c>
      <c r="BJ32" s="109">
        <v>2103</v>
      </c>
      <c r="BK32" s="109">
        <v>2115</v>
      </c>
      <c r="BL32" s="171">
        <v>2247</v>
      </c>
      <c r="BM32" s="109">
        <v>2275</v>
      </c>
      <c r="BN32" s="109">
        <v>2411</v>
      </c>
      <c r="BO32" s="109">
        <v>2658</v>
      </c>
      <c r="BP32" s="171">
        <v>2630</v>
      </c>
      <c r="BQ32" s="109">
        <v>2607</v>
      </c>
      <c r="BR32" s="109">
        <v>2814</v>
      </c>
      <c r="BS32" s="109">
        <v>2717</v>
      </c>
      <c r="BT32" s="171">
        <f>Wless!BZ41</f>
        <v>2759</v>
      </c>
      <c r="BU32" s="109">
        <f>Wless!CA41</f>
        <v>2946</v>
      </c>
      <c r="BV32" s="109">
        <f>Wless!CB41</f>
        <v>3132</v>
      </c>
      <c r="BW32" s="109">
        <f>Wless!CC41</f>
        <v>3202</v>
      </c>
      <c r="BX32" s="171">
        <f>Wless!CD41</f>
        <v>3300</v>
      </c>
      <c r="BY32" s="109">
        <f>Wless!CE41</f>
        <v>3271</v>
      </c>
      <c r="BZ32" s="109">
        <f>Wless!CF41</f>
        <v>3385</v>
      </c>
      <c r="CA32" s="109">
        <f>Wless!CG41</f>
        <v>3521</v>
      </c>
      <c r="CB32" s="171">
        <f>Wless!CH41</f>
        <v>4185</v>
      </c>
      <c r="CC32" s="109">
        <f>Wless!CI41</f>
        <v>4254</v>
      </c>
      <c r="CD32" s="109">
        <f>Wless!CJ41</f>
        <v>4414</v>
      </c>
      <c r="CE32" s="109">
        <f>Wless!CK41</f>
        <v>4198</v>
      </c>
      <c r="CF32" s="171">
        <f>Wless!CL41</f>
        <v>4326</v>
      </c>
      <c r="CG32" s="109">
        <f>Wless!CM41</f>
        <v>4331</v>
      </c>
      <c r="CH32" s="109">
        <f>Wless!CN41</f>
        <v>4399</v>
      </c>
      <c r="CI32" s="109">
        <f>Wless!CO41</f>
        <v>4253</v>
      </c>
      <c r="CJ32" s="171">
        <f>Wless!CP41</f>
        <v>4492</v>
      </c>
      <c r="CK32" s="109">
        <f>Wless!CQ41</f>
        <v>4451</v>
      </c>
      <c r="CL32" s="109">
        <f>Wless!CR41</f>
        <v>4543</v>
      </c>
      <c r="CM32" s="109">
        <f>Wless!CS41</f>
        <v>4596</v>
      </c>
      <c r="CN32" s="171">
        <f>Wless!CT41</f>
        <v>4751</v>
      </c>
      <c r="CO32" s="109">
        <f>Wless!CU41</f>
        <v>4794</v>
      </c>
      <c r="CP32" s="109">
        <f>Wless!CV41</f>
        <v>4867</v>
      </c>
      <c r="CQ32" s="172">
        <f>Wless!CW41</f>
        <v>5167</v>
      </c>
      <c r="CR32" s="109">
        <f>Wless!CX41</f>
        <v>5228</v>
      </c>
      <c r="CS32" s="109">
        <f>Wless!CY41</f>
        <v>5295</v>
      </c>
      <c r="CT32" s="109">
        <f>Wless!CZ41</f>
        <v>5250</v>
      </c>
      <c r="CU32" s="109">
        <f>Wless!DA41</f>
        <v>5877</v>
      </c>
      <c r="CV32" s="171">
        <f>Wless!DB41</f>
        <v>5448</v>
      </c>
      <c r="CW32" s="109">
        <f>Wless!DC41</f>
        <v>5666</v>
      </c>
      <c r="CX32" s="109">
        <f>Wless!DD41</f>
        <v>5801</v>
      </c>
      <c r="CY32" s="109">
        <f>Wless!DE41</f>
        <v>6261</v>
      </c>
      <c r="CZ32" s="171">
        <f>Wless!DF41</f>
        <v>5644</v>
      </c>
      <c r="DA32" s="1044">
        <f>Wless!DG41</f>
        <v>5649</v>
      </c>
      <c r="DB32" s="1044">
        <f>Wless!DH41</f>
        <v>5698</v>
      </c>
      <c r="DC32" s="172">
        <f>Wless!DI41</f>
        <v>6611</v>
      </c>
      <c r="DD32" s="171">
        <f>Wless!DJ41</f>
        <v>5369</v>
      </c>
      <c r="DE32" s="1044">
        <f>Wless!DK41</f>
        <v>5289</v>
      </c>
      <c r="DF32" s="2151">
        <f>Wless!DL41</f>
        <v>5351</v>
      </c>
      <c r="DG32" s="2473">
        <f>Wless!DM41</f>
        <v>5796</v>
      </c>
      <c r="DH32" s="2151">
        <f>Wless!DN41</f>
        <v>4891</v>
      </c>
      <c r="DI32" s="2164">
        <f>Wless!DO41</f>
        <v>4777</v>
      </c>
      <c r="DJ32" s="2164">
        <f>Wless!DP41</f>
        <v>4921</v>
      </c>
      <c r="DK32" s="2165">
        <f>Wless!DQ41</f>
        <v>5335</v>
      </c>
      <c r="DL32" s="2164">
        <f>Wless!DR41</f>
        <v>4698</v>
      </c>
      <c r="DM32" s="2164">
        <f>Wless!DS41</f>
        <v>4493</v>
      </c>
      <c r="DN32" s="2164">
        <f>Wless!DT41</f>
        <v>4594</v>
      </c>
      <c r="DO32" s="2165">
        <f>Wless!DU41</f>
        <v>4987</v>
      </c>
      <c r="DP32" s="2164">
        <f>Wless!DV41</f>
        <v>3899</v>
      </c>
      <c r="DQ32" s="2164">
        <f ca="1">Wless!DW41</f>
        <v>4580.6173461113049</v>
      </c>
      <c r="DR32" s="2164">
        <f ca="1">Wless!DX41</f>
        <v>4682.7678749900979</v>
      </c>
      <c r="DS32" s="2165">
        <f ca="1">Wless!DY41</f>
        <v>4910.537071967804</v>
      </c>
      <c r="DT32" s="109"/>
    </row>
    <row r="33" spans="1:124">
      <c r="A33" s="167" t="s">
        <v>953</v>
      </c>
      <c r="B33" s="109"/>
      <c r="C33" s="109"/>
      <c r="D33" s="109"/>
      <c r="E33" s="109"/>
      <c r="F33" s="109"/>
      <c r="G33" s="109"/>
      <c r="H33" s="109"/>
      <c r="I33" s="109"/>
      <c r="J33" s="109">
        <v>610</v>
      </c>
      <c r="K33" s="109">
        <v>691</v>
      </c>
      <c r="L33" s="109">
        <v>471</v>
      </c>
      <c r="M33" s="109">
        <v>675</v>
      </c>
      <c r="N33" s="109">
        <f>SUM(BT33:BW33)</f>
        <v>0</v>
      </c>
      <c r="O33" s="109">
        <f>SUM(BX33:CA33)</f>
        <v>0</v>
      </c>
      <c r="P33" s="109"/>
      <c r="Q33" s="1044"/>
      <c r="R33" s="109"/>
      <c r="S33" s="109"/>
      <c r="T33" s="1044">
        <f>SUM(CR33:CU33)</f>
        <v>0</v>
      </c>
      <c r="U33" s="1044">
        <f>SUM(CV33:CY33)</f>
        <v>0</v>
      </c>
      <c r="V33" s="109">
        <f>SUM(CZ33:DC33)</f>
        <v>0</v>
      </c>
      <c r="W33" s="109"/>
      <c r="X33" s="109"/>
      <c r="Y33" s="109"/>
      <c r="Z33" s="109"/>
      <c r="AA33" s="109"/>
      <c r="AB33" s="109"/>
      <c r="AC33" s="109"/>
      <c r="AD33" s="109"/>
      <c r="AE33" s="109"/>
      <c r="AF33" s="109"/>
      <c r="AG33" s="109"/>
      <c r="AH33" s="109"/>
      <c r="AI33" s="171"/>
      <c r="AJ33" s="109"/>
      <c r="AK33" s="109"/>
      <c r="AL33" s="109"/>
      <c r="AM33" s="109"/>
      <c r="AN33" s="109"/>
      <c r="AO33" s="109"/>
      <c r="AP33" s="109"/>
      <c r="AQ33" s="109"/>
      <c r="AR33" s="109"/>
      <c r="AS33" s="109"/>
      <c r="AT33" s="109"/>
      <c r="AU33" s="109"/>
      <c r="AV33" s="109"/>
      <c r="AW33" s="109"/>
      <c r="AX33" s="109"/>
      <c r="AY33" s="109"/>
      <c r="AZ33" s="109"/>
      <c r="BA33" s="109"/>
      <c r="BB33" s="109"/>
      <c r="BC33" s="109"/>
      <c r="BD33" s="109">
        <v>186</v>
      </c>
      <c r="BE33" s="109">
        <v>170</v>
      </c>
      <c r="BF33" s="109">
        <v>116</v>
      </c>
      <c r="BG33" s="109">
        <v>138</v>
      </c>
      <c r="BH33" s="109">
        <v>156</v>
      </c>
      <c r="BI33" s="109">
        <v>195</v>
      </c>
      <c r="BJ33" s="109">
        <v>222</v>
      </c>
      <c r="BK33" s="109">
        <v>118</v>
      </c>
      <c r="BL33" s="171">
        <v>128</v>
      </c>
      <c r="BM33" s="109">
        <v>87</v>
      </c>
      <c r="BN33" s="109">
        <v>136</v>
      </c>
      <c r="BO33" s="109">
        <v>120</v>
      </c>
      <c r="BP33" s="171">
        <v>157</v>
      </c>
      <c r="BQ33" s="109">
        <v>161</v>
      </c>
      <c r="BR33" s="109">
        <v>173</v>
      </c>
      <c r="BS33" s="109">
        <v>184</v>
      </c>
      <c r="BT33" s="171"/>
      <c r="BU33" s="109"/>
      <c r="BV33" s="109"/>
      <c r="BW33" s="109"/>
      <c r="BX33" s="171"/>
      <c r="BY33" s="109"/>
      <c r="BZ33" s="109"/>
      <c r="CA33" s="109"/>
      <c r="CB33" s="171"/>
      <c r="CC33" s="109"/>
      <c r="CD33" s="109"/>
      <c r="CE33" s="109"/>
      <c r="CF33" s="171"/>
      <c r="CG33" s="109"/>
      <c r="CH33" s="109"/>
      <c r="CI33" s="109"/>
      <c r="CJ33" s="171"/>
      <c r="CK33" s="109"/>
      <c r="CL33" s="109"/>
      <c r="CM33" s="109"/>
      <c r="CN33" s="171"/>
      <c r="CO33" s="109"/>
      <c r="CP33" s="109"/>
      <c r="CQ33" s="172"/>
      <c r="CR33" s="109"/>
      <c r="CS33" s="109"/>
      <c r="CT33" s="109"/>
      <c r="CU33" s="109"/>
      <c r="CV33" s="171"/>
      <c r="CW33" s="109"/>
      <c r="CX33" s="109"/>
      <c r="CY33" s="109"/>
      <c r="CZ33" s="171"/>
      <c r="DA33" s="1044"/>
      <c r="DB33" s="1044"/>
      <c r="DC33" s="172"/>
      <c r="DD33" s="171"/>
      <c r="DE33" s="1044"/>
      <c r="DF33" s="1044"/>
      <c r="DG33" s="172"/>
      <c r="DH33" s="1044"/>
      <c r="DI33" s="1044"/>
      <c r="DJ33" s="1044"/>
      <c r="DK33" s="172"/>
      <c r="DL33" s="1044"/>
      <c r="DM33" s="1044"/>
      <c r="DN33" s="1044"/>
      <c r="DO33" s="172"/>
      <c r="DP33" s="1044"/>
      <c r="DQ33" s="1044"/>
      <c r="DR33" s="1044"/>
      <c r="DS33" s="172"/>
      <c r="DT33" s="109"/>
    </row>
    <row r="34" spans="1:124">
      <c r="A34" s="167" t="s">
        <v>1434</v>
      </c>
      <c r="B34" s="109"/>
      <c r="C34" s="109"/>
      <c r="D34" s="109"/>
      <c r="E34" s="109"/>
      <c r="F34" s="109"/>
      <c r="G34" s="109"/>
      <c r="H34" s="109"/>
      <c r="I34" s="109"/>
      <c r="J34" s="109">
        <v>1411</v>
      </c>
      <c r="K34" s="109">
        <v>1246</v>
      </c>
      <c r="L34" s="109">
        <v>1319</v>
      </c>
      <c r="M34" s="109">
        <v>1107</v>
      </c>
      <c r="N34" s="109">
        <f>SUM(BT34:BW34)</f>
        <v>812</v>
      </c>
      <c r="O34" s="109">
        <f>SUM(BX34:CA34)</f>
        <v>0</v>
      </c>
      <c r="P34" s="109">
        <v>0</v>
      </c>
      <c r="Q34" s="1044">
        <f>SUM(CF34:CI34)</f>
        <v>0</v>
      </c>
      <c r="R34" s="109">
        <v>0</v>
      </c>
      <c r="S34" s="109">
        <f>SUM(CN34:CQ34)</f>
        <v>0</v>
      </c>
      <c r="T34" s="1044">
        <f>SUM(CR34:CU34)</f>
        <v>0</v>
      </c>
      <c r="U34" s="1044">
        <f>SUM(CV34:CY34)</f>
        <v>0</v>
      </c>
      <c r="V34" s="109">
        <f>SUM(CZ34:DC34)</f>
        <v>0</v>
      </c>
      <c r="W34" s="109">
        <v>0</v>
      </c>
      <c r="X34" s="109">
        <v>0</v>
      </c>
      <c r="Y34" s="2987">
        <v>0</v>
      </c>
      <c r="Z34" s="2987">
        <v>0</v>
      </c>
      <c r="AA34" s="109">
        <v>0</v>
      </c>
      <c r="AB34" s="109">
        <v>0</v>
      </c>
      <c r="AC34" s="109">
        <v>0</v>
      </c>
      <c r="AD34" s="109">
        <v>0</v>
      </c>
      <c r="AE34" s="109">
        <v>0</v>
      </c>
      <c r="AF34" s="109">
        <v>0</v>
      </c>
      <c r="AG34" s="109">
        <v>0</v>
      </c>
      <c r="AH34" s="109"/>
      <c r="AI34" s="171"/>
      <c r="AJ34" s="109"/>
      <c r="AK34" s="109"/>
      <c r="AL34" s="109"/>
      <c r="AM34" s="109"/>
      <c r="AN34" s="109"/>
      <c r="AO34" s="109"/>
      <c r="AP34" s="109"/>
      <c r="AQ34" s="109"/>
      <c r="AR34" s="109"/>
      <c r="AS34" s="109"/>
      <c r="AT34" s="109"/>
      <c r="AU34" s="109"/>
      <c r="AV34" s="109"/>
      <c r="AW34" s="109"/>
      <c r="AX34" s="109"/>
      <c r="AY34" s="109"/>
      <c r="AZ34" s="109"/>
      <c r="BA34" s="109"/>
      <c r="BB34" s="109"/>
      <c r="BC34" s="109"/>
      <c r="BD34" s="109">
        <v>297</v>
      </c>
      <c r="BE34" s="109">
        <v>325</v>
      </c>
      <c r="BF34" s="109">
        <v>411</v>
      </c>
      <c r="BG34" s="109">
        <v>378</v>
      </c>
      <c r="BH34" s="109">
        <v>332</v>
      </c>
      <c r="BI34" s="109">
        <v>333</v>
      </c>
      <c r="BJ34" s="109">
        <v>186</v>
      </c>
      <c r="BK34" s="109">
        <v>395</v>
      </c>
      <c r="BL34" s="171">
        <v>318</v>
      </c>
      <c r="BM34" s="109">
        <v>341</v>
      </c>
      <c r="BN34" s="109">
        <v>324</v>
      </c>
      <c r="BO34" s="109">
        <v>336</v>
      </c>
      <c r="BP34" s="171">
        <v>281</v>
      </c>
      <c r="BQ34" s="109">
        <v>293</v>
      </c>
      <c r="BR34" s="109">
        <v>252</v>
      </c>
      <c r="BS34" s="109">
        <v>281</v>
      </c>
      <c r="BT34" s="171">
        <v>260</v>
      </c>
      <c r="BU34" s="109">
        <v>274</v>
      </c>
      <c r="BV34" s="109">
        <v>278</v>
      </c>
      <c r="BW34" s="109">
        <v>0</v>
      </c>
      <c r="BX34" s="171">
        <v>0</v>
      </c>
      <c r="BY34" s="109"/>
      <c r="BZ34" s="109"/>
      <c r="CA34" s="109"/>
      <c r="CB34" s="171"/>
      <c r="CC34" s="109"/>
      <c r="CD34" s="109"/>
      <c r="CE34" s="109"/>
      <c r="CF34" s="171"/>
      <c r="CG34" s="109"/>
      <c r="CH34" s="109"/>
      <c r="CI34" s="109"/>
      <c r="CJ34" s="171"/>
      <c r="CK34" s="109"/>
      <c r="CL34" s="109"/>
      <c r="CM34" s="109"/>
      <c r="CN34" s="171"/>
      <c r="CO34" s="109"/>
      <c r="CP34" s="109"/>
      <c r="CQ34" s="172"/>
      <c r="CR34" s="109"/>
      <c r="CS34" s="109"/>
      <c r="CT34" s="109"/>
      <c r="CU34" s="109"/>
      <c r="CV34" s="171"/>
      <c r="CW34" s="109"/>
      <c r="CX34" s="109"/>
      <c r="CY34" s="109"/>
      <c r="CZ34" s="171"/>
      <c r="DA34" s="1044"/>
      <c r="DB34" s="1044"/>
      <c r="DC34" s="172"/>
      <c r="DD34" s="171"/>
      <c r="DE34" s="1044"/>
      <c r="DF34" s="1044"/>
      <c r="DG34" s="172"/>
      <c r="DH34" s="1044"/>
      <c r="DI34" s="1044"/>
      <c r="DJ34" s="1044"/>
      <c r="DK34" s="172"/>
      <c r="DL34" s="1044"/>
      <c r="DM34" s="1044"/>
      <c r="DN34" s="1044"/>
      <c r="DO34" s="172"/>
      <c r="DP34" s="1044"/>
      <c r="DQ34" s="1044"/>
      <c r="DR34" s="1044"/>
      <c r="DS34" s="172"/>
      <c r="DT34" s="109"/>
    </row>
    <row r="35" spans="1:124">
      <c r="A35" s="167" t="s">
        <v>955</v>
      </c>
      <c r="B35" s="109"/>
      <c r="C35" s="109"/>
      <c r="D35" s="109"/>
      <c r="E35" s="109"/>
      <c r="F35" s="109"/>
      <c r="G35" s="109"/>
      <c r="H35" s="109"/>
      <c r="I35" s="109"/>
      <c r="J35" s="109">
        <v>-228</v>
      </c>
      <c r="K35" s="109">
        <v>152</v>
      </c>
      <c r="L35" s="109">
        <v>91</v>
      </c>
      <c r="M35" s="109">
        <v>-580</v>
      </c>
      <c r="N35" s="109">
        <f>Other!N20</f>
        <v>0</v>
      </c>
      <c r="O35" s="109">
        <f>Other!O20</f>
        <v>-384</v>
      </c>
      <c r="P35" s="109">
        <f>Other!P20</f>
        <v>-2375</v>
      </c>
      <c r="Q35" s="1044">
        <f>SUM(CF35:CI35)</f>
        <v>1702</v>
      </c>
      <c r="R35" s="109">
        <f>SUM(CJ35:CM35)</f>
        <v>1162</v>
      </c>
      <c r="S35" s="109">
        <f>SUM(CN35:CQ35)</f>
        <v>864</v>
      </c>
      <c r="T35" s="1044">
        <f>SUM(CR35:CU35)</f>
        <v>1612</v>
      </c>
      <c r="U35" s="1044">
        <f>SUM(CV35:CY35)</f>
        <v>1828</v>
      </c>
      <c r="V35" s="109">
        <f>SUM(CZ35:DC35)</f>
        <v>2123</v>
      </c>
      <c r="W35" s="109">
        <f>Other!W20</f>
        <v>3044</v>
      </c>
      <c r="X35" s="109">
        <f>Other!X20</f>
        <v>3106</v>
      </c>
      <c r="Y35" s="2552">
        <f>Other!Y20</f>
        <v>2722</v>
      </c>
      <c r="Z35" s="2552">
        <f>Other!Z20</f>
        <v>4301.0104999999994</v>
      </c>
      <c r="AA35" s="109">
        <f>Other!AA20</f>
        <v>3707.2983240000003</v>
      </c>
      <c r="AB35" s="109">
        <f>Other!AB20</f>
        <v>3781.4442904800003</v>
      </c>
      <c r="AC35" s="109">
        <f>Other!AC20</f>
        <v>3857.0731762896003</v>
      </c>
      <c r="AD35" s="109">
        <f>Other!AD20</f>
        <v>3934.2146398153918</v>
      </c>
      <c r="AE35" s="109">
        <f>Other!AE20</f>
        <v>4012.8989326117003</v>
      </c>
      <c r="AF35" s="109">
        <f>Other!AF20</f>
        <v>4093.156911263934</v>
      </c>
      <c r="AG35" s="109">
        <f>Other!AG20</f>
        <v>4175.0200494892124</v>
      </c>
      <c r="AH35" s="109"/>
      <c r="AI35" s="171"/>
      <c r="AJ35" s="109"/>
      <c r="AK35" s="109"/>
      <c r="AL35" s="109"/>
      <c r="AM35" s="109"/>
      <c r="AN35" s="109"/>
      <c r="AO35" s="109"/>
      <c r="AP35" s="109"/>
      <c r="AQ35" s="109"/>
      <c r="AR35" s="109"/>
      <c r="AS35" s="109"/>
      <c r="AT35" s="109"/>
      <c r="AU35" s="109"/>
      <c r="AV35" s="109"/>
      <c r="AW35" s="109"/>
      <c r="AX35" s="109"/>
      <c r="AY35" s="109"/>
      <c r="AZ35" s="109"/>
      <c r="BA35" s="109"/>
      <c r="BB35" s="109"/>
      <c r="BC35" s="109"/>
      <c r="BD35" s="109">
        <v>42</v>
      </c>
      <c r="BE35" s="109">
        <v>-43</v>
      </c>
      <c r="BF35" s="109">
        <v>-98</v>
      </c>
      <c r="BG35" s="109">
        <v>-129</v>
      </c>
      <c r="BH35" s="109">
        <v>-74</v>
      </c>
      <c r="BI35" s="109">
        <v>-3</v>
      </c>
      <c r="BJ35" s="109">
        <v>177</v>
      </c>
      <c r="BK35" s="109">
        <v>52</v>
      </c>
      <c r="BL35" s="171">
        <v>103</v>
      </c>
      <c r="BM35" s="109">
        <v>11</v>
      </c>
      <c r="BN35" s="109">
        <v>18</v>
      </c>
      <c r="BO35" s="109">
        <v>-41</v>
      </c>
      <c r="BP35" s="171">
        <v>-109</v>
      </c>
      <c r="BQ35" s="109">
        <v>-156</v>
      </c>
      <c r="BR35" s="109">
        <v>-121</v>
      </c>
      <c r="BS35" s="109">
        <v>-194</v>
      </c>
      <c r="BT35" s="171">
        <f>Other!BZ20</f>
        <v>-304</v>
      </c>
      <c r="BU35" s="109">
        <f>Other!CA20</f>
        <v>-371</v>
      </c>
      <c r="BV35" s="109">
        <f>Other!CB20</f>
        <v>-242</v>
      </c>
      <c r="BW35" s="109">
        <f>Other!CC20</f>
        <v>-46</v>
      </c>
      <c r="BX35" s="171">
        <f>Other!CD20</f>
        <v>-91</v>
      </c>
      <c r="BY35" s="109">
        <f>Other!CE20</f>
        <v>-81</v>
      </c>
      <c r="BZ35" s="109">
        <f>Other!CF20</f>
        <v>-106</v>
      </c>
      <c r="CA35" s="109">
        <f>Other!CG20</f>
        <v>-106</v>
      </c>
      <c r="CB35" s="171">
        <f>Other!CH20</f>
        <v>-644</v>
      </c>
      <c r="CC35" s="109">
        <f>Other!CI20</f>
        <v>-562</v>
      </c>
      <c r="CD35" s="109">
        <f>Other!CJ20</f>
        <v>-534</v>
      </c>
      <c r="CE35" s="109">
        <f>Other!CK20</f>
        <v>-635</v>
      </c>
      <c r="CF35" s="171">
        <f>Other!CL20+Other!CL23</f>
        <v>433.75</v>
      </c>
      <c r="CG35" s="109">
        <f>Other!CM20+Other!CM23</f>
        <v>418.75</v>
      </c>
      <c r="CH35" s="109">
        <f>Other!CN20+Other!CN23</f>
        <v>407.75</v>
      </c>
      <c r="CI35" s="109">
        <f>Other!CO20+Other!CO23</f>
        <v>441.75</v>
      </c>
      <c r="CJ35" s="171">
        <f>Other!CP20</f>
        <v>234</v>
      </c>
      <c r="CK35" s="109">
        <f>Other!CQ20</f>
        <v>309</v>
      </c>
      <c r="CL35" s="109">
        <f>Other!CR20</f>
        <v>271</v>
      </c>
      <c r="CM35" s="109">
        <f>Other!CS20</f>
        <v>348</v>
      </c>
      <c r="CN35" s="171">
        <f>Other!CT20</f>
        <v>243</v>
      </c>
      <c r="CO35" s="109">
        <f>Other!CU20</f>
        <v>271</v>
      </c>
      <c r="CP35" s="109">
        <f>Other!CV20</f>
        <v>197</v>
      </c>
      <c r="CQ35" s="172">
        <f>Other!CW20</f>
        <v>153</v>
      </c>
      <c r="CR35" s="109">
        <f>Other!CX20</f>
        <v>346</v>
      </c>
      <c r="CS35" s="109">
        <f>Other!CY20</f>
        <v>441</v>
      </c>
      <c r="CT35" s="109">
        <f>Other!CZ20</f>
        <v>429</v>
      </c>
      <c r="CU35" s="109">
        <f>Other!DA20</f>
        <v>396</v>
      </c>
      <c r="CV35" s="171">
        <f>Other!DB20</f>
        <v>435</v>
      </c>
      <c r="CW35" s="109">
        <f>Other!DC20</f>
        <v>450</v>
      </c>
      <c r="CX35" s="109">
        <f>Other!DD20</f>
        <v>412</v>
      </c>
      <c r="CY35" s="109">
        <f>Other!DE20</f>
        <v>531</v>
      </c>
      <c r="CZ35" s="171">
        <f>Other!DF20</f>
        <v>537</v>
      </c>
      <c r="DA35" s="1044">
        <f>Other!DG20</f>
        <v>575</v>
      </c>
      <c r="DB35" s="1044">
        <f>Other!DH20</f>
        <v>531</v>
      </c>
      <c r="DC35" s="172">
        <f>Other!DI20</f>
        <v>480</v>
      </c>
      <c r="DD35" s="171">
        <f>Other!DJ20</f>
        <v>539</v>
      </c>
      <c r="DE35" s="1044">
        <f>Other!DK20</f>
        <v>678</v>
      </c>
      <c r="DF35" s="2151">
        <f>Other!DL20</f>
        <v>1006</v>
      </c>
      <c r="DG35" s="2473">
        <f>Other!DM20</f>
        <v>821</v>
      </c>
      <c r="DH35" s="2151">
        <f>Other!DN20</f>
        <v>736</v>
      </c>
      <c r="DI35" s="2164">
        <f>Other!DO20</f>
        <v>838</v>
      </c>
      <c r="DJ35" s="2164">
        <f>Other!DP20</f>
        <v>815</v>
      </c>
      <c r="DK35" s="2165">
        <f>Other!DQ20</f>
        <v>717</v>
      </c>
      <c r="DL35" s="2164">
        <f>Other!DR20</f>
        <v>473</v>
      </c>
      <c r="DM35" s="2164">
        <f>Other!DS20</f>
        <v>955</v>
      </c>
      <c r="DN35" s="2164">
        <f>Other!DT20</f>
        <v>866</v>
      </c>
      <c r="DO35" s="2165">
        <f>Other!DU20</f>
        <v>428</v>
      </c>
      <c r="DP35" s="2164">
        <f>Other!DV20</f>
        <v>1110</v>
      </c>
      <c r="DQ35" s="2164">
        <f>Other!DW20</f>
        <v>983.875</v>
      </c>
      <c r="DR35" s="2164">
        <f>Other!DX20</f>
        <v>1083.4312499999999</v>
      </c>
      <c r="DS35" s="2165">
        <f>Other!DY20</f>
        <v>1123.70425</v>
      </c>
      <c r="DT35" s="109"/>
    </row>
    <row r="36" spans="1:124">
      <c r="A36" s="109" t="s">
        <v>1040</v>
      </c>
      <c r="B36" s="109"/>
      <c r="C36" s="109"/>
      <c r="D36" s="109"/>
      <c r="E36" s="109"/>
      <c r="F36" s="109"/>
      <c r="G36" s="109"/>
      <c r="H36" s="109"/>
      <c r="I36" s="109"/>
      <c r="J36" s="109">
        <v>17925</v>
      </c>
      <c r="K36" s="109">
        <v>18509</v>
      </c>
      <c r="L36" s="109">
        <v>20093</v>
      </c>
      <c r="M36" s="109">
        <v>20389</v>
      </c>
      <c r="N36" s="109">
        <f t="shared" ref="N36:W36" si="13">N31+N32+N33+N34+N35</f>
        <v>24849</v>
      </c>
      <c r="O36" s="109">
        <f t="shared" si="13"/>
        <v>24620</v>
      </c>
      <c r="P36" s="109">
        <f t="shared" si="13"/>
        <v>25723</v>
      </c>
      <c r="Q36" s="1044">
        <f t="shared" si="13"/>
        <v>28958</v>
      </c>
      <c r="R36" s="109">
        <f t="shared" si="13"/>
        <v>28616</v>
      </c>
      <c r="S36" s="109">
        <f t="shared" si="13"/>
        <v>29550</v>
      </c>
      <c r="T36" s="1044">
        <f t="shared" si="13"/>
        <v>32142</v>
      </c>
      <c r="U36" s="1044">
        <f t="shared" si="13"/>
        <v>33575</v>
      </c>
      <c r="V36" s="109">
        <f t="shared" si="13"/>
        <v>33905</v>
      </c>
      <c r="W36" s="109">
        <f t="shared" si="13"/>
        <v>32838</v>
      </c>
      <c r="X36" s="109">
        <f>X31+X32+X33+X34+X35</f>
        <v>29795</v>
      </c>
      <c r="Y36" s="109">
        <f>Y31+Y32+Y33+Y34+Y35</f>
        <v>27821</v>
      </c>
      <c r="Z36" s="109">
        <f ca="1">Z31+Z32+Z33+Z34+Z35</f>
        <v>28414.678173078013</v>
      </c>
      <c r="AA36" s="109">
        <f ca="1">AA31+AA32+AA33+AA34+AA35</f>
        <v>27711.241492677062</v>
      </c>
      <c r="AB36" s="109">
        <f ca="1">AB31+AB32+AB33+AB34+AB35</f>
        <v>27779.991233124274</v>
      </c>
      <c r="AC36" s="109">
        <f t="shared" ref="AC36:AG36" ca="1" si="14">AC31+AC32+AC33+AC34+AC35</f>
        <v>27861.994748279583</v>
      </c>
      <c r="AD36" s="109">
        <f t="shared" ca="1" si="14"/>
        <v>27955.653968363738</v>
      </c>
      <c r="AE36" s="109">
        <f t="shared" ca="1" si="14"/>
        <v>28062.324406547621</v>
      </c>
      <c r="AF36" s="109">
        <f t="shared" ca="1" si="14"/>
        <v>28184.570168256534</v>
      </c>
      <c r="AG36" s="109">
        <f t="shared" ca="1" si="14"/>
        <v>28325.396802515988</v>
      </c>
      <c r="AH36" s="109"/>
      <c r="AI36" s="171"/>
      <c r="AJ36" s="109"/>
      <c r="AK36" s="109"/>
      <c r="AL36" s="109"/>
      <c r="AM36" s="109"/>
      <c r="AN36" s="109"/>
      <c r="AO36" s="109"/>
      <c r="AP36" s="109"/>
      <c r="AQ36" s="109"/>
      <c r="AR36" s="109"/>
      <c r="AS36" s="109"/>
      <c r="AT36" s="109"/>
      <c r="AU36" s="109"/>
      <c r="AV36" s="109"/>
      <c r="AW36" s="109"/>
      <c r="AX36" s="109"/>
      <c r="AY36" s="109"/>
      <c r="AZ36" s="109"/>
      <c r="BA36" s="109"/>
      <c r="BB36" s="109"/>
      <c r="BC36" s="109"/>
      <c r="BD36" s="109">
        <v>4326</v>
      </c>
      <c r="BE36" s="109">
        <v>4427</v>
      </c>
      <c r="BF36" s="109">
        <v>4591</v>
      </c>
      <c r="BG36" s="109">
        <v>4581</v>
      </c>
      <c r="BH36" s="109">
        <v>4244</v>
      </c>
      <c r="BI36" s="109">
        <v>4711</v>
      </c>
      <c r="BJ36" s="109">
        <v>4717</v>
      </c>
      <c r="BK36" s="109">
        <v>4837</v>
      </c>
      <c r="BL36" s="171">
        <v>4908</v>
      </c>
      <c r="BM36" s="109">
        <v>5017</v>
      </c>
      <c r="BN36" s="109">
        <v>5057</v>
      </c>
      <c r="BO36" s="109">
        <v>5111</v>
      </c>
      <c r="BP36" s="171">
        <v>5039</v>
      </c>
      <c r="BQ36" s="109">
        <v>5097</v>
      </c>
      <c r="BR36" s="109">
        <v>5134</v>
      </c>
      <c r="BS36" s="109">
        <v>5119</v>
      </c>
      <c r="BT36" s="171">
        <f t="shared" ref="BT36:CZ36" si="15">BT31+BT32+BT33+BT34+BT35</f>
        <v>5713</v>
      </c>
      <c r="BU36" s="109">
        <f t="shared" si="15"/>
        <v>5874</v>
      </c>
      <c r="BV36" s="109">
        <f t="shared" si="15"/>
        <v>6223</v>
      </c>
      <c r="BW36" s="109">
        <f t="shared" si="15"/>
        <v>6076</v>
      </c>
      <c r="BX36" s="171">
        <f t="shared" si="15"/>
        <v>6179</v>
      </c>
      <c r="BY36" s="109">
        <f t="shared" si="15"/>
        <v>6241</v>
      </c>
      <c r="BZ36" s="109">
        <f t="shared" si="15"/>
        <v>6201</v>
      </c>
      <c r="CA36" s="109">
        <f t="shared" si="15"/>
        <v>5999</v>
      </c>
      <c r="CB36" s="171">
        <f t="shared" si="15"/>
        <v>6237</v>
      </c>
      <c r="CC36" s="109">
        <f t="shared" si="15"/>
        <v>6500</v>
      </c>
      <c r="CD36" s="109">
        <f t="shared" si="15"/>
        <v>6569</v>
      </c>
      <c r="CE36" s="109">
        <f t="shared" si="15"/>
        <v>6417</v>
      </c>
      <c r="CF36" s="171">
        <f t="shared" si="15"/>
        <v>7314.75</v>
      </c>
      <c r="CG36" s="109">
        <f t="shared" si="15"/>
        <v>7266.75</v>
      </c>
      <c r="CH36" s="109">
        <f t="shared" si="15"/>
        <v>7213.75</v>
      </c>
      <c r="CI36" s="109">
        <f t="shared" si="15"/>
        <v>7162.75</v>
      </c>
      <c r="CJ36" s="171">
        <f t="shared" si="15"/>
        <v>7176</v>
      </c>
      <c r="CK36" s="109">
        <f t="shared" si="15"/>
        <v>7119</v>
      </c>
      <c r="CL36" s="109">
        <f t="shared" si="15"/>
        <v>7110</v>
      </c>
      <c r="CM36" s="109">
        <f t="shared" si="15"/>
        <v>7211</v>
      </c>
      <c r="CN36" s="171">
        <f t="shared" si="15"/>
        <v>7284</v>
      </c>
      <c r="CO36" s="109">
        <f t="shared" si="15"/>
        <v>7373</v>
      </c>
      <c r="CP36" s="109">
        <f t="shared" si="15"/>
        <v>7360</v>
      </c>
      <c r="CQ36" s="172">
        <f t="shared" si="15"/>
        <v>7533</v>
      </c>
      <c r="CR36" s="109">
        <f t="shared" si="15"/>
        <v>7700</v>
      </c>
      <c r="CS36" s="109">
        <f t="shared" si="15"/>
        <v>7877</v>
      </c>
      <c r="CT36" s="109">
        <f t="shared" si="15"/>
        <v>7982</v>
      </c>
      <c r="CU36" s="109">
        <f t="shared" si="15"/>
        <v>8583</v>
      </c>
      <c r="CV36" s="171">
        <f t="shared" si="15"/>
        <v>8142</v>
      </c>
      <c r="CW36" s="109">
        <f t="shared" si="15"/>
        <v>8280</v>
      </c>
      <c r="CX36" s="109">
        <f t="shared" si="15"/>
        <v>8307</v>
      </c>
      <c r="CY36" s="109">
        <f t="shared" si="15"/>
        <v>8846</v>
      </c>
      <c r="CZ36" s="171">
        <f t="shared" si="15"/>
        <v>8330</v>
      </c>
      <c r="DA36" s="1044">
        <f t="shared" ref="DA36:DF36" si="16">DA31+DA32+DA33+DA34+DA35</f>
        <v>8255</v>
      </c>
      <c r="DB36" s="1044">
        <f t="shared" si="16"/>
        <v>8277</v>
      </c>
      <c r="DC36" s="172">
        <f t="shared" si="16"/>
        <v>9043</v>
      </c>
      <c r="DD36" s="171">
        <f>DD31+DD32+DD33+DD34+DD35</f>
        <v>7939</v>
      </c>
      <c r="DE36" s="1044">
        <f t="shared" si="16"/>
        <v>7974</v>
      </c>
      <c r="DF36" s="1044">
        <f t="shared" si="16"/>
        <v>8309</v>
      </c>
      <c r="DG36" s="172">
        <f>DG31+DG32+DG33+DG34+DG35</f>
        <v>8616</v>
      </c>
      <c r="DH36" s="1044">
        <f>DH31+DH32+DH33+DH34+DH35</f>
        <v>7577</v>
      </c>
      <c r="DI36" s="1044">
        <f>DI31+DI32+DI33+DI34+DI35</f>
        <v>7232</v>
      </c>
      <c r="DJ36" s="1044">
        <f>DJ31+DJ32+DJ33+DJ34+DJ35</f>
        <v>7429</v>
      </c>
      <c r="DK36" s="172">
        <f>DK31+DK32+DK33+DK34+DK35</f>
        <v>7557</v>
      </c>
      <c r="DL36" s="1044">
        <f t="shared" ref="DL36:DO36" si="17">DL31+DL32+DL33+DL34+DL35</f>
        <v>6782</v>
      </c>
      <c r="DM36" s="1044">
        <f t="shared" si="17"/>
        <v>7054</v>
      </c>
      <c r="DN36" s="1044">
        <f t="shared" si="17"/>
        <v>7012</v>
      </c>
      <c r="DO36" s="172">
        <f t="shared" si="17"/>
        <v>6973</v>
      </c>
      <c r="DP36" s="1044">
        <f t="shared" ref="DP36:DS36" si="18">DP31+DP32+DP33+DP34+DP35</f>
        <v>6488</v>
      </c>
      <c r="DQ36" s="1044">
        <f t="shared" ca="1" si="18"/>
        <v>7089.2237553407431</v>
      </c>
      <c r="DR36" s="1044">
        <f t="shared" ca="1" si="18"/>
        <v>7288.5222342291418</v>
      </c>
      <c r="DS36" s="172">
        <f t="shared" ca="1" si="18"/>
        <v>7548.93218350813</v>
      </c>
      <c r="DT36" s="109"/>
    </row>
    <row r="37" spans="1:124">
      <c r="A37" s="256" t="s">
        <v>1237</v>
      </c>
      <c r="B37" s="143"/>
      <c r="C37" s="143"/>
      <c r="D37" s="143"/>
      <c r="E37" s="143"/>
      <c r="F37" s="143"/>
      <c r="G37" s="143"/>
      <c r="H37" s="143"/>
      <c r="I37" s="143"/>
      <c r="J37" s="143">
        <v>0</v>
      </c>
      <c r="K37" s="143">
        <v>0</v>
      </c>
      <c r="L37" s="143">
        <v>0</v>
      </c>
      <c r="M37" s="143">
        <v>0</v>
      </c>
      <c r="N37" s="143">
        <f>N36-IS!N42</f>
        <v>963</v>
      </c>
      <c r="O37" s="143">
        <f>O36-IS!O42</f>
        <v>0</v>
      </c>
      <c r="P37" s="143">
        <f>P36-IS!P42</f>
        <v>0</v>
      </c>
      <c r="Q37" s="1047">
        <f>Q36-IS!Q42</f>
        <v>451</v>
      </c>
      <c r="R37" s="143">
        <f>R36-IS!R42</f>
        <v>0</v>
      </c>
      <c r="S37" s="143">
        <f>S36-IS!S42</f>
        <v>0</v>
      </c>
      <c r="T37" s="1047">
        <f>T36-IS!T42</f>
        <v>0</v>
      </c>
      <c r="U37" s="1047">
        <f>U36-IS!U42</f>
        <v>0</v>
      </c>
      <c r="V37" s="143">
        <f>V36-IS!V42</f>
        <v>0</v>
      </c>
      <c r="W37" s="143">
        <f>W36-IS!W42</f>
        <v>0</v>
      </c>
      <c r="X37" s="143">
        <f>X36-IS!X42</f>
        <v>0</v>
      </c>
      <c r="Y37" s="143">
        <f>Y36-IS!Y42</f>
        <v>0</v>
      </c>
      <c r="Z37" s="143">
        <f ca="1">Z36-IS!Z42</f>
        <v>0</v>
      </c>
      <c r="AA37" s="143">
        <f ca="1">AA36-IS!AA42</f>
        <v>0</v>
      </c>
      <c r="AB37" s="143">
        <f ca="1">AB36-IS!AB42</f>
        <v>0</v>
      </c>
      <c r="AC37" s="143">
        <f ca="1">AC36-IS!AC42</f>
        <v>0</v>
      </c>
      <c r="AD37" s="143">
        <f ca="1">AD36-IS!AD42</f>
        <v>0</v>
      </c>
      <c r="AE37" s="143">
        <f ca="1">AE36-IS!AE42</f>
        <v>0</v>
      </c>
      <c r="AF37" s="143">
        <f ca="1">AF36-IS!AF42</f>
        <v>0</v>
      </c>
      <c r="AG37" s="143">
        <f ca="1">AG36-IS!AG42</f>
        <v>0</v>
      </c>
      <c r="AH37" s="143"/>
      <c r="AI37" s="159"/>
      <c r="AJ37" s="143"/>
      <c r="AK37" s="143"/>
      <c r="AL37" s="143"/>
      <c r="AM37" s="143"/>
      <c r="AN37" s="143"/>
      <c r="AO37" s="143"/>
      <c r="AP37" s="143"/>
      <c r="AQ37" s="143"/>
      <c r="AR37" s="143"/>
      <c r="AS37" s="143"/>
      <c r="AT37" s="143"/>
      <c r="AU37" s="143"/>
      <c r="AV37" s="143"/>
      <c r="AW37" s="143"/>
      <c r="AX37" s="143"/>
      <c r="AY37" s="143"/>
      <c r="AZ37" s="143"/>
      <c r="BA37" s="143"/>
      <c r="BB37" s="143"/>
      <c r="BC37" s="143"/>
      <c r="BD37" s="143">
        <v>0</v>
      </c>
      <c r="BE37" s="143">
        <v>0</v>
      </c>
      <c r="BF37" s="143">
        <v>0</v>
      </c>
      <c r="BG37" s="143">
        <v>0</v>
      </c>
      <c r="BH37" s="143">
        <v>0</v>
      </c>
      <c r="BI37" s="143">
        <v>0</v>
      </c>
      <c r="BJ37" s="143">
        <v>0</v>
      </c>
      <c r="BK37" s="143">
        <v>0</v>
      </c>
      <c r="BL37" s="159">
        <v>0</v>
      </c>
      <c r="BM37" s="143">
        <v>0</v>
      </c>
      <c r="BN37" s="143">
        <v>0</v>
      </c>
      <c r="BO37" s="143">
        <v>0</v>
      </c>
      <c r="BP37" s="159">
        <v>0</v>
      </c>
      <c r="BQ37" s="143">
        <v>0</v>
      </c>
      <c r="BR37" s="143">
        <v>0</v>
      </c>
      <c r="BS37" s="143">
        <v>0</v>
      </c>
      <c r="BT37" s="159">
        <f>BT36-IS!BW42</f>
        <v>0</v>
      </c>
      <c r="BU37" s="143">
        <f>BU36-IS!BX42</f>
        <v>0</v>
      </c>
      <c r="BV37" s="143">
        <f>BV36-IS!BY42</f>
        <v>0</v>
      </c>
      <c r="BW37" s="143">
        <f>BW36-IS!BZ42</f>
        <v>0</v>
      </c>
      <c r="BX37" s="159">
        <f>BX36-IS!CA42</f>
        <v>0</v>
      </c>
      <c r="BY37" s="143">
        <f>BY36-IS!CB42</f>
        <v>0</v>
      </c>
      <c r="BZ37" s="143">
        <f>BZ36-IS!CC42</f>
        <v>0</v>
      </c>
      <c r="CA37" s="143">
        <f>CA36-IS!CD42</f>
        <v>0</v>
      </c>
      <c r="CB37" s="159">
        <f>CB36-IS!CE42</f>
        <v>0</v>
      </c>
      <c r="CC37" s="143">
        <f>CC36-IS!CF42</f>
        <v>0</v>
      </c>
      <c r="CD37" s="143">
        <f>CD36-IS!CG42</f>
        <v>0</v>
      </c>
      <c r="CE37" s="143">
        <f>CE36-IS!CH42</f>
        <v>0</v>
      </c>
      <c r="CF37" s="159">
        <f>CF36-IS!CI42</f>
        <v>112.75</v>
      </c>
      <c r="CG37" s="143">
        <f>CG36-IS!CJ42</f>
        <v>112.75</v>
      </c>
      <c r="CH37" s="143">
        <f>CH36-IS!CK42</f>
        <v>112.75</v>
      </c>
      <c r="CI37" s="143">
        <f>CI36-IS!CL42</f>
        <v>112.75</v>
      </c>
      <c r="CJ37" s="159">
        <f>CJ36-IS!CM42</f>
        <v>0</v>
      </c>
      <c r="CK37" s="143">
        <f>CK36-IS!CN42</f>
        <v>0</v>
      </c>
      <c r="CL37" s="143">
        <f>CL36-IS!CO42</f>
        <v>0</v>
      </c>
      <c r="CM37" s="143">
        <f>CM36-IS!CP42</f>
        <v>0</v>
      </c>
      <c r="CN37" s="159">
        <f>CN36-IS!CQ42</f>
        <v>0</v>
      </c>
      <c r="CO37" s="143">
        <f>CO36-IS!CR42</f>
        <v>0</v>
      </c>
      <c r="CP37" s="143">
        <f>CP36-IS!CS42</f>
        <v>0</v>
      </c>
      <c r="CQ37" s="189">
        <f>CQ36-IS!CT42</f>
        <v>0</v>
      </c>
      <c r="CR37" s="143">
        <f>CR36-IS!CU42</f>
        <v>0</v>
      </c>
      <c r="CS37" s="143">
        <f>CS36-IS!CV42</f>
        <v>0</v>
      </c>
      <c r="CT37" s="143">
        <f>CT36-IS!CW42</f>
        <v>0</v>
      </c>
      <c r="CU37" s="143">
        <f>CU36-IS!CX42</f>
        <v>0</v>
      </c>
      <c r="CV37" s="159">
        <f>CV36-IS!CY42</f>
        <v>0</v>
      </c>
      <c r="CW37" s="143">
        <f>CW36-IS!CZ42</f>
        <v>0</v>
      </c>
      <c r="CX37" s="143">
        <f>CX36-IS!DA42</f>
        <v>0</v>
      </c>
      <c r="CY37" s="143">
        <f>CY36-IS!DB42</f>
        <v>0</v>
      </c>
      <c r="CZ37" s="159">
        <f>CZ36-IS!DC42</f>
        <v>0</v>
      </c>
      <c r="DA37" s="1047">
        <f>DA36-IS!DD42</f>
        <v>0</v>
      </c>
      <c r="DB37" s="1047">
        <f>DB36-IS!DE42</f>
        <v>0</v>
      </c>
      <c r="DC37" s="189">
        <f>DC36-IS!DF42</f>
        <v>0</v>
      </c>
      <c r="DD37" s="159">
        <f>DD36-IS!DG42</f>
        <v>0</v>
      </c>
      <c r="DE37" s="1047">
        <f>DE36-IS!DH42</f>
        <v>0</v>
      </c>
      <c r="DF37" s="1047">
        <f>DF36-IS!DI42</f>
        <v>0</v>
      </c>
      <c r="DG37" s="189">
        <f>DG36-IS!DJ42</f>
        <v>0</v>
      </c>
      <c r="DH37" s="1047">
        <f>DH36-IS!DK42</f>
        <v>0</v>
      </c>
      <c r="DI37" s="1047">
        <f>DI36-IS!DL42</f>
        <v>0</v>
      </c>
      <c r="DJ37" s="1047">
        <f>DJ36-IS!DM42</f>
        <v>0</v>
      </c>
      <c r="DK37" s="189">
        <f>DK36-IS!DN42</f>
        <v>0</v>
      </c>
      <c r="DL37" s="1047">
        <f>DL36-IS!DO42</f>
        <v>0</v>
      </c>
      <c r="DM37" s="1047">
        <f>DM36-IS!DP42</f>
        <v>0</v>
      </c>
      <c r="DN37" s="1047">
        <f>DN36-IS!DQ42</f>
        <v>0</v>
      </c>
      <c r="DO37" s="189">
        <f>DO36-IS!DR42</f>
        <v>0</v>
      </c>
      <c r="DP37" s="1047">
        <f>DP36-IS!DS42</f>
        <v>0</v>
      </c>
      <c r="DQ37" s="1047">
        <f ca="1">DQ36-IS!DT42</f>
        <v>0</v>
      </c>
      <c r="DR37" s="1047">
        <f ca="1">DR36-IS!DU42</f>
        <v>0</v>
      </c>
      <c r="DS37" s="189">
        <f ca="1">DS36-IS!DV42</f>
        <v>0</v>
      </c>
      <c r="DT37" s="143"/>
    </row>
    <row r="38" spans="1:124">
      <c r="A38" s="109"/>
      <c r="B38" s="109"/>
      <c r="C38" s="109"/>
      <c r="D38" s="109"/>
      <c r="E38" s="109"/>
      <c r="F38" s="109"/>
      <c r="G38" s="109"/>
      <c r="H38" s="109"/>
      <c r="I38" s="109"/>
      <c r="J38" s="109"/>
      <c r="K38" s="109"/>
      <c r="L38" s="109"/>
      <c r="M38" s="109"/>
      <c r="N38" s="109"/>
      <c r="O38" s="109"/>
      <c r="P38" s="109"/>
      <c r="Q38" s="1044"/>
      <c r="R38" s="109"/>
      <c r="S38" s="109"/>
      <c r="T38" s="1044"/>
      <c r="U38" s="1044"/>
      <c r="V38" s="109"/>
      <c r="W38" s="109"/>
      <c r="X38" s="109"/>
      <c r="Y38" s="109"/>
      <c r="Z38" s="109"/>
      <c r="AA38" s="109"/>
      <c r="AB38" s="109"/>
      <c r="AC38" s="109"/>
      <c r="AD38" s="109"/>
      <c r="AE38" s="109"/>
      <c r="AF38" s="109"/>
      <c r="AG38" s="109"/>
      <c r="AH38" s="109"/>
      <c r="AI38" s="171"/>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71"/>
      <c r="BM38" s="109"/>
      <c r="BN38" s="109"/>
      <c r="BO38" s="109"/>
      <c r="BP38" s="171"/>
      <c r="BQ38" s="109"/>
      <c r="BR38" s="109"/>
      <c r="BS38" s="109"/>
      <c r="BT38" s="171"/>
      <c r="BU38" s="109"/>
      <c r="BV38" s="109"/>
      <c r="BW38" s="109"/>
      <c r="BX38" s="171"/>
      <c r="BY38" s="109"/>
      <c r="BZ38" s="109"/>
      <c r="CA38" s="109"/>
      <c r="CB38" s="171"/>
      <c r="CC38" s="109"/>
      <c r="CD38" s="109"/>
      <c r="CE38" s="109"/>
      <c r="CF38" s="171"/>
      <c r="CG38" s="109"/>
      <c r="CH38" s="109"/>
      <c r="CI38" s="109"/>
      <c r="CJ38" s="171"/>
      <c r="CK38" s="109"/>
      <c r="CL38" s="109"/>
      <c r="CM38" s="109"/>
      <c r="CN38" s="171"/>
      <c r="CO38" s="109"/>
      <c r="CP38" s="109"/>
      <c r="CQ38" s="172"/>
      <c r="CR38" s="109"/>
      <c r="CS38" s="109"/>
      <c r="CT38" s="109"/>
      <c r="CU38" s="109"/>
      <c r="CV38" s="171"/>
      <c r="CW38" s="109"/>
      <c r="CX38" s="109"/>
      <c r="CY38" s="109"/>
      <c r="CZ38" s="171"/>
      <c r="DA38" s="1044"/>
      <c r="DB38" s="1044"/>
      <c r="DC38" s="172"/>
      <c r="DD38" s="171"/>
      <c r="DE38" s="1044"/>
      <c r="DF38" s="1044"/>
      <c r="DG38" s="172"/>
      <c r="DH38" s="1044"/>
      <c r="DI38" s="1044"/>
      <c r="DJ38" s="1044"/>
      <c r="DK38" s="172"/>
      <c r="DL38" s="1044"/>
      <c r="DM38" s="1044"/>
      <c r="DN38" s="1044"/>
      <c r="DO38" s="172"/>
      <c r="DP38" s="1044"/>
      <c r="DQ38" s="1044"/>
      <c r="DR38" s="1044"/>
      <c r="DS38" s="172"/>
      <c r="DT38" s="109"/>
    </row>
    <row r="39" spans="1:124">
      <c r="A39" s="169" t="s">
        <v>1435</v>
      </c>
      <c r="B39" s="169"/>
      <c r="C39" s="109"/>
      <c r="D39" s="109"/>
      <c r="E39" s="109"/>
      <c r="F39" s="109"/>
      <c r="G39" s="109"/>
      <c r="H39" s="109"/>
      <c r="I39" s="109"/>
      <c r="J39" s="109"/>
      <c r="K39" s="109"/>
      <c r="L39" s="109"/>
      <c r="M39" s="109"/>
      <c r="N39" s="109"/>
      <c r="O39" s="109"/>
      <c r="P39" s="109"/>
      <c r="Q39" s="1044"/>
      <c r="R39" s="109"/>
      <c r="S39" s="109"/>
      <c r="T39" s="1044"/>
      <c r="U39" s="1044"/>
      <c r="V39" s="109"/>
      <c r="W39" s="109"/>
      <c r="X39" s="109"/>
      <c r="Y39" s="109"/>
      <c r="Z39" s="109"/>
      <c r="AA39" s="109"/>
      <c r="AB39" s="109"/>
      <c r="AC39" s="109"/>
      <c r="AD39" s="109"/>
      <c r="AE39" s="109"/>
      <c r="AF39" s="109"/>
      <c r="AG39" s="109"/>
      <c r="AH39" s="109"/>
      <c r="AI39" s="171"/>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c r="BL39" s="171"/>
      <c r="BM39" s="109"/>
      <c r="BN39" s="109"/>
      <c r="BO39" s="109"/>
      <c r="BP39" s="171"/>
      <c r="BQ39" s="109"/>
      <c r="BR39" s="109"/>
      <c r="BS39" s="109"/>
      <c r="BT39" s="171"/>
      <c r="BU39" s="109"/>
      <c r="BV39" s="109"/>
      <c r="BW39" s="109"/>
      <c r="BX39" s="171"/>
      <c r="BY39" s="109"/>
      <c r="BZ39" s="109"/>
      <c r="CA39" s="109"/>
      <c r="CB39" s="171"/>
      <c r="CC39" s="109"/>
      <c r="CD39" s="109"/>
      <c r="CE39" s="109"/>
      <c r="CF39" s="171"/>
      <c r="CG39" s="109"/>
      <c r="CH39" s="109"/>
      <c r="CI39" s="109"/>
      <c r="CJ39" s="171"/>
      <c r="CK39" s="109"/>
      <c r="CL39" s="109"/>
      <c r="CM39" s="109"/>
      <c r="CN39" s="171"/>
      <c r="CO39" s="109"/>
      <c r="CP39" s="109"/>
      <c r="CQ39" s="172"/>
      <c r="CR39" s="109"/>
      <c r="CS39" s="109"/>
      <c r="CT39" s="109"/>
      <c r="CU39" s="109"/>
      <c r="CV39" s="171"/>
      <c r="CW39" s="109"/>
      <c r="CX39" s="109"/>
      <c r="CY39" s="109"/>
      <c r="CZ39" s="171"/>
      <c r="DA39" s="1044"/>
      <c r="DB39" s="1044"/>
      <c r="DC39" s="172"/>
      <c r="DD39" s="171"/>
      <c r="DE39" s="1044"/>
      <c r="DF39" s="1044"/>
      <c r="DG39" s="172"/>
      <c r="DH39" s="1044"/>
      <c r="DI39" s="1044"/>
      <c r="DJ39" s="1044"/>
      <c r="DK39" s="172"/>
      <c r="DL39" s="1044"/>
      <c r="DM39" s="1044"/>
      <c r="DN39" s="1044"/>
      <c r="DO39" s="172"/>
      <c r="DP39" s="1044"/>
      <c r="DQ39" s="1044"/>
      <c r="DR39" s="1044"/>
      <c r="DS39" s="172"/>
      <c r="DT39" s="109"/>
    </row>
    <row r="40" spans="1:124">
      <c r="A40" s="167" t="s">
        <v>948</v>
      </c>
      <c r="B40" s="109"/>
      <c r="C40" s="109"/>
      <c r="D40" s="109"/>
      <c r="E40" s="109">
        <v>22338</v>
      </c>
      <c r="F40" s="109">
        <v>23820</v>
      </c>
      <c r="G40" s="109">
        <v>23691</v>
      </c>
      <c r="H40" s="109">
        <v>24200</v>
      </c>
      <c r="I40" s="109">
        <v>23599</v>
      </c>
      <c r="J40" s="109">
        <v>22438</v>
      </c>
      <c r="K40" s="109">
        <v>22875</v>
      </c>
      <c r="L40" s="109">
        <v>23451</v>
      </c>
      <c r="M40" s="109">
        <v>24023</v>
      </c>
      <c r="N40" s="109">
        <f>SUM(BT40:BW40)</f>
        <v>35804</v>
      </c>
      <c r="O40" s="109">
        <f>SUM(BX40:CA40)</f>
        <v>35708</v>
      </c>
      <c r="P40" s="109">
        <f>SUM(CB40:CE40)</f>
        <v>35321</v>
      </c>
      <c r="Q40" s="1044">
        <f>SUM(CF40:CI40)</f>
        <v>32640</v>
      </c>
      <c r="R40" s="109">
        <f>SUM(CJ40:CM40)</f>
        <v>31990</v>
      </c>
      <c r="S40" s="109">
        <f>SUM(CN40:CQ40)</f>
        <v>31265</v>
      </c>
      <c r="T40" s="1044">
        <f>SUM(CR40:CU40)</f>
        <v>31088</v>
      </c>
      <c r="U40" s="1044">
        <f>SUM(CV40:CY40)</f>
        <v>29967</v>
      </c>
      <c r="V40" s="109">
        <f>SUM(CZ40:DC40)</f>
        <v>29512</v>
      </c>
      <c r="W40" s="109">
        <f t="shared" ref="W40:AB40" si="19">W22+W31</f>
        <v>28867</v>
      </c>
      <c r="X40" s="109">
        <f t="shared" si="19"/>
        <v>25903</v>
      </c>
      <c r="Y40" s="109">
        <f t="shared" si="19"/>
        <v>24344</v>
      </c>
      <c r="Z40" s="109">
        <f t="shared" ref="Z40" ca="1" si="20">Z22+Z31</f>
        <v>23692.672316499393</v>
      </c>
      <c r="AA40" s="109">
        <f t="shared" ca="1" si="19"/>
        <v>23274.560553172574</v>
      </c>
      <c r="AB40" s="109">
        <f t="shared" ca="1" si="19"/>
        <v>22967.625093588889</v>
      </c>
      <c r="AC40" s="109">
        <f t="shared" ref="AC40:AG40" ca="1" si="21">AC22+AC31</f>
        <v>22672.413656021541</v>
      </c>
      <c r="AD40" s="109">
        <f t="shared" ca="1" si="21"/>
        <v>22387.300387865034</v>
      </c>
      <c r="AE40" s="109">
        <f t="shared" ca="1" si="21"/>
        <v>22110.999833188202</v>
      </c>
      <c r="AF40" s="109">
        <f t="shared" ca="1" si="21"/>
        <v>21842.494620167425</v>
      </c>
      <c r="AG40" s="109">
        <f t="shared" ca="1" si="21"/>
        <v>21580.979049100173</v>
      </c>
      <c r="AH40" s="109"/>
      <c r="AI40" s="171"/>
      <c r="AJ40" s="109">
        <v>5109</v>
      </c>
      <c r="AK40" s="109">
        <v>5583</v>
      </c>
      <c r="AL40" s="109">
        <v>5596</v>
      </c>
      <c r="AM40" s="109">
        <v>6050</v>
      </c>
      <c r="AN40" s="109">
        <v>5607</v>
      </c>
      <c r="AO40" s="109">
        <v>5964</v>
      </c>
      <c r="AP40" s="109">
        <v>5984</v>
      </c>
      <c r="AQ40" s="109">
        <v>6265</v>
      </c>
      <c r="AR40" s="109">
        <v>5586</v>
      </c>
      <c r="AS40" s="109">
        <v>6015</v>
      </c>
      <c r="AT40" s="109">
        <v>6016</v>
      </c>
      <c r="AU40" s="109">
        <v>6074</v>
      </c>
      <c r="AV40" s="109">
        <v>5929</v>
      </c>
      <c r="AW40" s="109">
        <v>6033</v>
      </c>
      <c r="AX40" s="109">
        <v>6023</v>
      </c>
      <c r="AY40" s="109">
        <v>6215</v>
      </c>
      <c r="AZ40" s="109">
        <v>5872</v>
      </c>
      <c r="BA40" s="109">
        <v>5820</v>
      </c>
      <c r="BB40" s="109">
        <v>5979</v>
      </c>
      <c r="BC40" s="109">
        <v>5928</v>
      </c>
      <c r="BD40" s="109">
        <v>5524</v>
      </c>
      <c r="BE40" s="109">
        <v>5544</v>
      </c>
      <c r="BF40" s="109">
        <v>5822</v>
      </c>
      <c r="BG40" s="109">
        <v>5548</v>
      </c>
      <c r="BH40" s="109">
        <v>5441</v>
      </c>
      <c r="BI40" s="109">
        <v>5577</v>
      </c>
      <c r="BJ40" s="109">
        <v>5861</v>
      </c>
      <c r="BK40" s="109">
        <v>5996</v>
      </c>
      <c r="BL40" s="171">
        <v>5782</v>
      </c>
      <c r="BM40" s="109">
        <v>5907</v>
      </c>
      <c r="BN40" s="109">
        <v>5921</v>
      </c>
      <c r="BO40" s="109">
        <v>5841</v>
      </c>
      <c r="BP40" s="171">
        <v>5926</v>
      </c>
      <c r="BQ40" s="109">
        <v>6047</v>
      </c>
      <c r="BR40" s="109">
        <v>5948</v>
      </c>
      <c r="BS40" s="109">
        <v>6102</v>
      </c>
      <c r="BT40" s="171">
        <f t="shared" ref="BT40:CY40" si="22">BT22+BT31</f>
        <v>8796</v>
      </c>
      <c r="BU40" s="109">
        <f t="shared" si="22"/>
        <v>8937</v>
      </c>
      <c r="BV40" s="109">
        <f t="shared" si="22"/>
        <v>9110</v>
      </c>
      <c r="BW40" s="109">
        <f t="shared" si="22"/>
        <v>8961</v>
      </c>
      <c r="BX40" s="171">
        <f t="shared" si="22"/>
        <v>8892</v>
      </c>
      <c r="BY40" s="109">
        <f t="shared" si="22"/>
        <v>9037</v>
      </c>
      <c r="BZ40" s="109">
        <f t="shared" si="22"/>
        <v>9007</v>
      </c>
      <c r="CA40" s="109">
        <f t="shared" si="22"/>
        <v>8772</v>
      </c>
      <c r="CB40" s="171">
        <f t="shared" si="22"/>
        <v>8777</v>
      </c>
      <c r="CC40" s="109">
        <f t="shared" si="22"/>
        <v>8805</v>
      </c>
      <c r="CD40" s="109">
        <f t="shared" si="22"/>
        <v>8844</v>
      </c>
      <c r="CE40" s="109">
        <f t="shared" si="22"/>
        <v>8895</v>
      </c>
      <c r="CF40" s="171">
        <f t="shared" si="22"/>
        <v>8097</v>
      </c>
      <c r="CG40" s="109">
        <f t="shared" si="22"/>
        <v>8089</v>
      </c>
      <c r="CH40" s="109">
        <f t="shared" si="22"/>
        <v>8258</v>
      </c>
      <c r="CI40" s="109">
        <f t="shared" si="22"/>
        <v>8196</v>
      </c>
      <c r="CJ40" s="171">
        <f t="shared" si="22"/>
        <v>8191</v>
      </c>
      <c r="CK40" s="109">
        <f t="shared" si="22"/>
        <v>7970</v>
      </c>
      <c r="CL40" s="109">
        <f t="shared" si="22"/>
        <v>7954</v>
      </c>
      <c r="CM40" s="109">
        <f t="shared" si="22"/>
        <v>7875</v>
      </c>
      <c r="CN40" s="171">
        <f t="shared" si="22"/>
        <v>7752</v>
      </c>
      <c r="CO40" s="109">
        <f t="shared" si="22"/>
        <v>7812</v>
      </c>
      <c r="CP40" s="109">
        <f t="shared" si="22"/>
        <v>7977</v>
      </c>
      <c r="CQ40" s="172">
        <f t="shared" si="22"/>
        <v>7724</v>
      </c>
      <c r="CR40" s="109">
        <f t="shared" si="22"/>
        <v>7698</v>
      </c>
      <c r="CS40" s="109">
        <f t="shared" si="22"/>
        <v>7641</v>
      </c>
      <c r="CT40" s="109">
        <f t="shared" si="22"/>
        <v>7766</v>
      </c>
      <c r="CU40" s="109">
        <f t="shared" si="22"/>
        <v>7983</v>
      </c>
      <c r="CV40" s="171">
        <f t="shared" si="22"/>
        <v>7552</v>
      </c>
      <c r="CW40" s="109">
        <f t="shared" si="22"/>
        <v>7454</v>
      </c>
      <c r="CX40" s="109">
        <f t="shared" si="22"/>
        <v>7436</v>
      </c>
      <c r="CY40" s="109">
        <f t="shared" si="22"/>
        <v>7525</v>
      </c>
      <c r="CZ40" s="171">
        <f t="shared" ref="CZ40:DF40" si="23">CZ22+CZ31</f>
        <v>7488</v>
      </c>
      <c r="DA40" s="1044">
        <f t="shared" si="23"/>
        <v>7373</v>
      </c>
      <c r="DB40" s="1044">
        <f t="shared" si="23"/>
        <v>7373</v>
      </c>
      <c r="DC40" s="172">
        <f t="shared" si="23"/>
        <v>7278</v>
      </c>
      <c r="DD40" s="171">
        <f>DD22+DD31</f>
        <v>7318</v>
      </c>
      <c r="DE40" s="1044">
        <f t="shared" si="23"/>
        <v>7213</v>
      </c>
      <c r="DF40" s="1044">
        <f t="shared" si="23"/>
        <v>7155</v>
      </c>
      <c r="DG40" s="172">
        <f>DG22+DG31</f>
        <v>7181</v>
      </c>
      <c r="DH40" s="1044">
        <f>DH22+DH31</f>
        <v>7113</v>
      </c>
      <c r="DI40" s="1044">
        <f>DI22+DI31</f>
        <v>6724</v>
      </c>
      <c r="DJ40" s="1044">
        <f>DJ22+DJ31</f>
        <v>6133</v>
      </c>
      <c r="DK40" s="172">
        <f>DK22+DK31</f>
        <v>5933</v>
      </c>
      <c r="DL40" s="1044">
        <f t="shared" ref="DL40:DO40" si="24">DL22+DL31</f>
        <v>6091</v>
      </c>
      <c r="DM40" s="1044">
        <f t="shared" si="24"/>
        <v>6182</v>
      </c>
      <c r="DN40" s="1044">
        <f t="shared" si="24"/>
        <v>6048</v>
      </c>
      <c r="DO40" s="172">
        <f t="shared" si="24"/>
        <v>6023</v>
      </c>
      <c r="DP40" s="1044">
        <f t="shared" ref="DP40:DS40" si="25">DP22+DP31</f>
        <v>5954</v>
      </c>
      <c r="DQ40" s="1044">
        <f t="shared" ca="1" si="25"/>
        <v>5954.1331251037682</v>
      </c>
      <c r="DR40" s="1044">
        <f t="shared" ca="1" si="25"/>
        <v>5890.2970511940257</v>
      </c>
      <c r="DS40" s="172">
        <f t="shared" ca="1" si="25"/>
        <v>5894.2421402015989</v>
      </c>
      <c r="DT40" s="109"/>
    </row>
    <row r="41" spans="1:124">
      <c r="A41" s="167" t="s">
        <v>951</v>
      </c>
      <c r="B41" s="109"/>
      <c r="C41" s="109"/>
      <c r="D41" s="109"/>
      <c r="E41" s="109">
        <v>4170</v>
      </c>
      <c r="F41" s="109">
        <v>4174</v>
      </c>
      <c r="G41" s="109">
        <v>8764</v>
      </c>
      <c r="H41" s="109">
        <v>10358</v>
      </c>
      <c r="I41" s="109">
        <v>11379</v>
      </c>
      <c r="J41" s="109">
        <v>12540</v>
      </c>
      <c r="K41" s="109">
        <v>14517</v>
      </c>
      <c r="L41" s="109">
        <v>17338</v>
      </c>
      <c r="M41" s="109">
        <v>20161</v>
      </c>
      <c r="N41" s="109">
        <f>Wless!N47</f>
        <v>23530</v>
      </c>
      <c r="O41" s="109">
        <f>Wless!O47</f>
        <v>26933</v>
      </c>
      <c r="P41" s="109">
        <f>Wless!P47</f>
        <v>34866</v>
      </c>
      <c r="Q41" s="1044">
        <f>SUM(CF41:CI41)</f>
        <v>36657</v>
      </c>
      <c r="R41" s="109">
        <f>SUM(CJ41:CM41)</f>
        <v>37327</v>
      </c>
      <c r="S41" s="109">
        <f>SUM(CN41:CQ41)</f>
        <v>43665</v>
      </c>
      <c r="T41" s="1044">
        <f>SUM(CR41:CU41)</f>
        <v>46140</v>
      </c>
      <c r="U41" s="1044">
        <f>SUM(CV41:CY41)</f>
        <v>46824</v>
      </c>
      <c r="V41" s="109">
        <f>SUM(CZ41:DC41)</f>
        <v>52427</v>
      </c>
      <c r="W41" s="109">
        <f>Wless!W47</f>
        <v>52727</v>
      </c>
      <c r="X41" s="109">
        <f>Wless!X47</f>
        <v>50150</v>
      </c>
      <c r="Y41" s="2552">
        <f>Wless!Y47</f>
        <v>48909</v>
      </c>
      <c r="Z41" s="2552">
        <f ca="1">Wless!Z47</f>
        <v>48155.252681366845</v>
      </c>
      <c r="AA41" s="109">
        <f ca="1">Wless!AA47</f>
        <v>48508.216608638511</v>
      </c>
      <c r="AB41" s="109">
        <f ca="1">Wless!AB47</f>
        <v>48412.673937306645</v>
      </c>
      <c r="AC41" s="109">
        <f ca="1">Wless!AC47</f>
        <v>48283.715624806769</v>
      </c>
      <c r="AD41" s="109">
        <f ca="1">Wless!AD47</f>
        <v>48126.167420195648</v>
      </c>
      <c r="AE41" s="109">
        <f ca="1">Wless!AE47</f>
        <v>47947.648089398484</v>
      </c>
      <c r="AF41" s="109">
        <f ca="1">Wless!AF47</f>
        <v>47756.378296306415</v>
      </c>
      <c r="AG41" s="109">
        <f ca="1">Wless!AG47</f>
        <v>47560.28979853497</v>
      </c>
      <c r="AH41" s="109"/>
      <c r="AI41" s="171"/>
      <c r="AJ41" s="109">
        <v>990</v>
      </c>
      <c r="AK41" s="109">
        <v>1028</v>
      </c>
      <c r="AL41" s="109">
        <v>1038</v>
      </c>
      <c r="AM41" s="109">
        <v>1114</v>
      </c>
      <c r="AN41" s="109">
        <v>996</v>
      </c>
      <c r="AO41" s="109">
        <v>988</v>
      </c>
      <c r="AP41" s="109">
        <v>1069</v>
      </c>
      <c r="AQ41" s="109">
        <v>1121</v>
      </c>
      <c r="AR41" s="109">
        <v>1988</v>
      </c>
      <c r="AS41" s="109">
        <v>2134</v>
      </c>
      <c r="AT41" s="109">
        <v>2219</v>
      </c>
      <c r="AU41" s="109">
        <v>2423</v>
      </c>
      <c r="AV41" s="109">
        <v>2279</v>
      </c>
      <c r="AW41" s="109">
        <v>2633</v>
      </c>
      <c r="AX41" s="109">
        <v>2583</v>
      </c>
      <c r="AY41" s="109">
        <v>2863</v>
      </c>
      <c r="AZ41" s="109">
        <v>2637</v>
      </c>
      <c r="BA41" s="109">
        <v>2817</v>
      </c>
      <c r="BB41" s="109">
        <v>2890</v>
      </c>
      <c r="BC41" s="109">
        <v>3035</v>
      </c>
      <c r="BD41" s="109">
        <v>2875</v>
      </c>
      <c r="BE41" s="109">
        <v>3099</v>
      </c>
      <c r="BF41" s="109">
        <v>3231</v>
      </c>
      <c r="BG41" s="109">
        <v>3335</v>
      </c>
      <c r="BH41" s="109">
        <v>3305</v>
      </c>
      <c r="BI41" s="109">
        <v>3540</v>
      </c>
      <c r="BJ41" s="109">
        <v>3818</v>
      </c>
      <c r="BK41" s="109">
        <v>3854</v>
      </c>
      <c r="BL41" s="171">
        <v>3905</v>
      </c>
      <c r="BM41" s="109">
        <v>4129</v>
      </c>
      <c r="BN41" s="109">
        <v>4518</v>
      </c>
      <c r="BO41" s="109">
        <v>4786</v>
      </c>
      <c r="BP41" s="171">
        <v>4728</v>
      </c>
      <c r="BQ41" s="109">
        <v>4889</v>
      </c>
      <c r="BR41" s="109">
        <v>5333</v>
      </c>
      <c r="BS41" s="109">
        <v>5211</v>
      </c>
      <c r="BT41" s="171">
        <f>Wless!BZ47</f>
        <v>5424</v>
      </c>
      <c r="BU41" s="109">
        <f>Wless!CA47</f>
        <v>5698</v>
      </c>
      <c r="BV41" s="109">
        <f>Wless!CB47</f>
        <v>6062</v>
      </c>
      <c r="BW41" s="109">
        <f>Wless!CC47</f>
        <v>6346</v>
      </c>
      <c r="BX41" s="171">
        <f>Wless!CD47</f>
        <v>6322</v>
      </c>
      <c r="BY41" s="109">
        <f>Wless!CE47</f>
        <v>6541</v>
      </c>
      <c r="BZ41" s="109">
        <f>Wless!CF47</f>
        <v>6936</v>
      </c>
      <c r="CA41" s="109">
        <f>Wless!CG47</f>
        <v>7134</v>
      </c>
      <c r="CB41" s="171">
        <f>Wless!CH47</f>
        <v>8305</v>
      </c>
      <c r="CC41" s="109">
        <f>Wless!CI47</f>
        <v>8526</v>
      </c>
      <c r="CD41" s="109">
        <f>Wless!CJ47</f>
        <v>9135</v>
      </c>
      <c r="CE41" s="109">
        <f>Wless!CK47</f>
        <v>8900</v>
      </c>
      <c r="CF41" s="171">
        <f>Wless!CL47</f>
        <v>8878</v>
      </c>
      <c r="CG41" s="109">
        <f>Wless!CM47</f>
        <v>9054</v>
      </c>
      <c r="CH41" s="109">
        <f>Wless!CN47</f>
        <v>9328</v>
      </c>
      <c r="CI41" s="109">
        <f>Wless!CO47</f>
        <v>9397</v>
      </c>
      <c r="CJ41" s="171">
        <f>Wless!CP47</f>
        <v>9167</v>
      </c>
      <c r="CK41" s="109">
        <f>Wless!CQ47</f>
        <v>9187</v>
      </c>
      <c r="CL41" s="109">
        <f>Wless!CR47</f>
        <v>9560</v>
      </c>
      <c r="CM41" s="109">
        <f>Wless!CS47</f>
        <v>9413</v>
      </c>
      <c r="CN41" s="171">
        <f>Wless!CT47</f>
        <v>10631</v>
      </c>
      <c r="CO41" s="109">
        <f>Wless!CU47</f>
        <v>10623</v>
      </c>
      <c r="CP41" s="109">
        <f>Wless!CV47</f>
        <v>10537</v>
      </c>
      <c r="CQ41" s="172">
        <f>Wless!CW47</f>
        <v>11874</v>
      </c>
      <c r="CR41" s="109">
        <f>Wless!CX47</f>
        <v>11138</v>
      </c>
      <c r="CS41" s="109">
        <f>Wless!CY47</f>
        <v>10853</v>
      </c>
      <c r="CT41" s="109">
        <f>Wless!CZ47</f>
        <v>10940</v>
      </c>
      <c r="CU41" s="109">
        <f>Wless!DA47</f>
        <v>13209</v>
      </c>
      <c r="CV41" s="171">
        <f>Wless!DB47</f>
        <v>11099</v>
      </c>
      <c r="CW41" s="109">
        <f>Wless!DC47</f>
        <v>11465</v>
      </c>
      <c r="CX41" s="109">
        <f>Wless!DD47</f>
        <v>11453</v>
      </c>
      <c r="CY41" s="109">
        <f>Wless!DE47</f>
        <v>12807</v>
      </c>
      <c r="CZ41" s="171">
        <f>Wless!DF47</f>
        <v>11500</v>
      </c>
      <c r="DA41" s="1044">
        <f>Wless!DG47</f>
        <v>12391</v>
      </c>
      <c r="DB41" s="1044">
        <f>Wless!DH47</f>
        <v>12741</v>
      </c>
      <c r="DC41" s="172">
        <f>Wless!DI47</f>
        <v>15795</v>
      </c>
      <c r="DD41" s="171">
        <f>Wless!DJ47</f>
        <v>12328</v>
      </c>
      <c r="DE41" s="1044">
        <f>Wless!DK47</f>
        <v>12692</v>
      </c>
      <c r="DF41" s="2151">
        <f>Wless!DL47</f>
        <v>13077</v>
      </c>
      <c r="DG41" s="2473">
        <f>Wless!DM47</f>
        <v>14630</v>
      </c>
      <c r="DH41" s="2151">
        <f>Wless!DN47</f>
        <v>11831</v>
      </c>
      <c r="DI41" s="2164">
        <f>Wless!DO47</f>
        <v>11405</v>
      </c>
      <c r="DJ41" s="2164">
        <f>Wless!DP47</f>
        <v>12167</v>
      </c>
      <c r="DK41" s="2165">
        <f>Wless!DQ47</f>
        <v>14747</v>
      </c>
      <c r="DL41" s="2164">
        <f>Wless!DR47</f>
        <v>11464</v>
      </c>
      <c r="DM41" s="2164">
        <f>Wless!DS47</f>
        <v>11525</v>
      </c>
      <c r="DN41" s="2164">
        <f>Wless!DT47</f>
        <v>11611</v>
      </c>
      <c r="DO41" s="2165">
        <f>Wless!DU47</f>
        <v>14309</v>
      </c>
      <c r="DP41" s="2164">
        <f>Wless!DV47</f>
        <v>11423</v>
      </c>
      <c r="DQ41" s="2164">
        <f ca="1">Wless!DW47</f>
        <v>11344.21003277315</v>
      </c>
      <c r="DR41" s="2164">
        <f ca="1">Wless!DX47</f>
        <v>11435.575459036809</v>
      </c>
      <c r="DS41" s="2165">
        <f ca="1">Wless!DY47</f>
        <v>13952.467189556883</v>
      </c>
      <c r="DT41" s="109"/>
    </row>
    <row r="42" spans="1:124">
      <c r="A42" s="167" t="s">
        <v>953</v>
      </c>
      <c r="B42" s="109"/>
      <c r="C42" s="109"/>
      <c r="D42" s="109"/>
      <c r="E42" s="109">
        <v>1146</v>
      </c>
      <c r="F42" s="109">
        <v>1255</v>
      </c>
      <c r="G42" s="109">
        <v>1195</v>
      </c>
      <c r="H42" s="109">
        <v>1359</v>
      </c>
      <c r="I42" s="109">
        <v>1622</v>
      </c>
      <c r="J42" s="109">
        <v>1196</v>
      </c>
      <c r="K42" s="109">
        <v>1265</v>
      </c>
      <c r="L42" s="109">
        <v>1097</v>
      </c>
      <c r="M42" s="109">
        <v>1382</v>
      </c>
      <c r="N42" s="109">
        <f>SUM(BT42:BW42)</f>
        <v>0</v>
      </c>
      <c r="O42" s="109">
        <f>SUM(BX42:CA42)</f>
        <v>0</v>
      </c>
      <c r="P42" s="109"/>
      <c r="Q42" s="1044"/>
      <c r="R42" s="109"/>
      <c r="S42" s="109"/>
      <c r="T42" s="1044">
        <f>SUM(CR42:CU42)</f>
        <v>0</v>
      </c>
      <c r="U42" s="1044">
        <f>SUM(CV42:CY42)</f>
        <v>0</v>
      </c>
      <c r="V42" s="109">
        <f>SUM(CZ42:DC42)</f>
        <v>0</v>
      </c>
      <c r="W42" s="109"/>
      <c r="X42" s="109"/>
      <c r="Y42" s="109"/>
      <c r="Z42" s="109"/>
      <c r="AA42" s="109"/>
      <c r="AB42" s="109"/>
      <c r="AC42" s="109"/>
      <c r="AD42" s="109"/>
      <c r="AE42" s="109"/>
      <c r="AF42" s="109"/>
      <c r="AG42" s="109"/>
      <c r="AH42" s="109"/>
      <c r="AI42" s="171"/>
      <c r="AJ42" s="109">
        <v>305</v>
      </c>
      <c r="AK42" s="109">
        <v>266</v>
      </c>
      <c r="AL42" s="109">
        <v>244</v>
      </c>
      <c r="AM42" s="109">
        <v>331</v>
      </c>
      <c r="AN42" s="109">
        <v>285</v>
      </c>
      <c r="AO42" s="109">
        <v>335</v>
      </c>
      <c r="AP42" s="109">
        <v>320</v>
      </c>
      <c r="AQ42" s="109">
        <v>315</v>
      </c>
      <c r="AR42" s="109">
        <v>278</v>
      </c>
      <c r="AS42" s="109">
        <v>285</v>
      </c>
      <c r="AT42" s="109">
        <v>307</v>
      </c>
      <c r="AU42" s="109">
        <v>325</v>
      </c>
      <c r="AV42" s="109">
        <v>328</v>
      </c>
      <c r="AW42" s="109">
        <v>288</v>
      </c>
      <c r="AX42" s="109">
        <v>390</v>
      </c>
      <c r="AY42" s="109">
        <v>353</v>
      </c>
      <c r="AZ42" s="109">
        <v>384</v>
      </c>
      <c r="BA42" s="109">
        <v>432</v>
      </c>
      <c r="BB42" s="109">
        <v>387</v>
      </c>
      <c r="BC42" s="109">
        <v>419</v>
      </c>
      <c r="BD42" s="109">
        <v>336</v>
      </c>
      <c r="BE42" s="109">
        <v>319</v>
      </c>
      <c r="BF42" s="109">
        <v>240</v>
      </c>
      <c r="BG42" s="109">
        <v>301</v>
      </c>
      <c r="BH42" s="109">
        <v>294</v>
      </c>
      <c r="BI42" s="109">
        <v>335</v>
      </c>
      <c r="BJ42" s="109">
        <v>366</v>
      </c>
      <c r="BK42" s="109">
        <v>270</v>
      </c>
      <c r="BL42" s="171">
        <v>275</v>
      </c>
      <c r="BM42" s="109">
        <v>243</v>
      </c>
      <c r="BN42" s="109">
        <v>289</v>
      </c>
      <c r="BO42" s="109">
        <v>290</v>
      </c>
      <c r="BP42" s="171">
        <v>334</v>
      </c>
      <c r="BQ42" s="109">
        <v>347</v>
      </c>
      <c r="BR42" s="109">
        <v>353</v>
      </c>
      <c r="BS42" s="109">
        <v>348</v>
      </c>
      <c r="BT42" s="171"/>
      <c r="BU42" s="109"/>
      <c r="BV42" s="109"/>
      <c r="BW42" s="109"/>
      <c r="BX42" s="171"/>
      <c r="BY42" s="109"/>
      <c r="BZ42" s="109"/>
      <c r="CA42" s="109"/>
      <c r="CB42" s="171"/>
      <c r="CC42" s="109"/>
      <c r="CD42" s="109"/>
      <c r="CE42" s="109"/>
      <c r="CF42" s="171"/>
      <c r="CG42" s="109"/>
      <c r="CH42" s="109"/>
      <c r="CI42" s="109"/>
      <c r="CJ42" s="171"/>
      <c r="CK42" s="109"/>
      <c r="CL42" s="109"/>
      <c r="CM42" s="109"/>
      <c r="CN42" s="171"/>
      <c r="CO42" s="109"/>
      <c r="CP42" s="109"/>
      <c r="CQ42" s="172"/>
      <c r="CR42" s="109"/>
      <c r="CS42" s="109"/>
      <c r="CT42" s="109"/>
      <c r="CU42" s="109"/>
      <c r="CV42" s="171"/>
      <c r="CW42" s="109"/>
      <c r="CX42" s="109"/>
      <c r="CY42" s="109"/>
      <c r="CZ42" s="171"/>
      <c r="DA42" s="1044"/>
      <c r="DB42" s="1044"/>
      <c r="DC42" s="172"/>
      <c r="DD42" s="171"/>
      <c r="DE42" s="1044"/>
      <c r="DF42" s="1044"/>
      <c r="DG42" s="172"/>
      <c r="DH42" s="1044"/>
      <c r="DI42" s="1044"/>
      <c r="DJ42" s="1044"/>
      <c r="DK42" s="172"/>
      <c r="DL42" s="1044"/>
      <c r="DM42" s="1044"/>
      <c r="DN42" s="1044"/>
      <c r="DO42" s="172"/>
      <c r="DP42" s="1044"/>
      <c r="DQ42" s="1044"/>
      <c r="DR42" s="1044"/>
      <c r="DS42" s="172"/>
      <c r="DT42" s="109"/>
    </row>
    <row r="43" spans="1:124">
      <c r="A43" s="167" t="s">
        <v>1434</v>
      </c>
      <c r="B43" s="109"/>
      <c r="C43" s="109"/>
      <c r="D43" s="109"/>
      <c r="E43" s="109">
        <v>1751</v>
      </c>
      <c r="F43" s="109">
        <v>1878</v>
      </c>
      <c r="G43" s="109">
        <v>2007</v>
      </c>
      <c r="H43" s="109">
        <v>2026</v>
      </c>
      <c r="I43" s="109">
        <v>1961</v>
      </c>
      <c r="J43" s="109">
        <v>2099</v>
      </c>
      <c r="K43" s="109">
        <v>1800</v>
      </c>
      <c r="L43" s="109">
        <v>1861</v>
      </c>
      <c r="M43" s="109">
        <v>1700</v>
      </c>
      <c r="N43" s="109">
        <f>SUM(BT43:BW43)</f>
        <v>1232</v>
      </c>
      <c r="O43" s="109">
        <f>SUM(BX43:CA43)</f>
        <v>0</v>
      </c>
      <c r="P43" s="109">
        <v>0</v>
      </c>
      <c r="Q43" s="1044">
        <f>SUM(CF43:CI43)</f>
        <v>0</v>
      </c>
      <c r="R43" s="109">
        <v>0</v>
      </c>
      <c r="S43" s="109">
        <f>SUM(CN43:CQ43)</f>
        <v>0</v>
      </c>
      <c r="T43" s="1044">
        <f>SUM(CR43:CU43)</f>
        <v>0</v>
      </c>
      <c r="U43" s="1044">
        <f>SUM(CV43:CY43)</f>
        <v>0</v>
      </c>
      <c r="V43" s="109">
        <f>SUM(CZ43:DC43)</f>
        <v>0</v>
      </c>
      <c r="W43" s="109">
        <v>0</v>
      </c>
      <c r="X43" s="109">
        <v>0</v>
      </c>
      <c r="Y43" s="2987">
        <v>0</v>
      </c>
      <c r="Z43" s="2987">
        <v>0</v>
      </c>
      <c r="AA43" s="109">
        <v>0</v>
      </c>
      <c r="AB43" s="109">
        <v>0</v>
      </c>
      <c r="AC43" s="109">
        <v>0</v>
      </c>
      <c r="AD43" s="109">
        <v>0</v>
      </c>
      <c r="AE43" s="109">
        <v>0</v>
      </c>
      <c r="AF43" s="109">
        <v>0</v>
      </c>
      <c r="AG43" s="109">
        <v>0</v>
      </c>
      <c r="AH43" s="109"/>
      <c r="AI43" s="171"/>
      <c r="AJ43" s="109">
        <v>383</v>
      </c>
      <c r="AK43" s="109">
        <v>438</v>
      </c>
      <c r="AL43" s="109">
        <v>379</v>
      </c>
      <c r="AM43" s="109">
        <v>551</v>
      </c>
      <c r="AN43" s="109">
        <v>401</v>
      </c>
      <c r="AO43" s="109">
        <v>464</v>
      </c>
      <c r="AP43" s="109">
        <v>441</v>
      </c>
      <c r="AQ43" s="109">
        <v>572</v>
      </c>
      <c r="AR43" s="109">
        <v>422</v>
      </c>
      <c r="AS43" s="109">
        <v>506</v>
      </c>
      <c r="AT43" s="109">
        <v>467</v>
      </c>
      <c r="AU43" s="109">
        <v>612</v>
      </c>
      <c r="AV43" s="109">
        <v>434</v>
      </c>
      <c r="AW43" s="109">
        <v>475</v>
      </c>
      <c r="AX43" s="109">
        <v>473</v>
      </c>
      <c r="AY43" s="109">
        <v>644</v>
      </c>
      <c r="AZ43" s="109">
        <v>416</v>
      </c>
      <c r="BA43" s="109">
        <v>453</v>
      </c>
      <c r="BB43" s="109">
        <v>485</v>
      </c>
      <c r="BC43" s="109">
        <v>607</v>
      </c>
      <c r="BD43" s="109">
        <v>434</v>
      </c>
      <c r="BE43" s="109">
        <v>477</v>
      </c>
      <c r="BF43" s="109">
        <v>581</v>
      </c>
      <c r="BG43" s="109">
        <v>607</v>
      </c>
      <c r="BH43" s="109">
        <v>471</v>
      </c>
      <c r="BI43" s="109">
        <v>482</v>
      </c>
      <c r="BJ43" s="109">
        <v>332</v>
      </c>
      <c r="BK43" s="109">
        <v>515</v>
      </c>
      <c r="BL43" s="171">
        <v>451</v>
      </c>
      <c r="BM43" s="109">
        <v>476</v>
      </c>
      <c r="BN43" s="109">
        <v>450</v>
      </c>
      <c r="BO43" s="109">
        <v>484</v>
      </c>
      <c r="BP43" s="171">
        <v>436</v>
      </c>
      <c r="BQ43" s="109">
        <v>441</v>
      </c>
      <c r="BR43" s="109">
        <v>393</v>
      </c>
      <c r="BS43" s="109">
        <v>430</v>
      </c>
      <c r="BT43" s="171">
        <v>410</v>
      </c>
      <c r="BU43" s="109">
        <v>413</v>
      </c>
      <c r="BV43" s="109">
        <v>409</v>
      </c>
      <c r="BW43" s="109">
        <v>0</v>
      </c>
      <c r="BX43" s="171">
        <v>0</v>
      </c>
      <c r="BY43" s="109"/>
      <c r="BZ43" s="109"/>
      <c r="CA43" s="109"/>
      <c r="CB43" s="171"/>
      <c r="CC43" s="109"/>
      <c r="CD43" s="109"/>
      <c r="CE43" s="109"/>
      <c r="CF43" s="171"/>
      <c r="CG43" s="109"/>
      <c r="CH43" s="109"/>
      <c r="CI43" s="109"/>
      <c r="CJ43" s="171"/>
      <c r="CK43" s="109"/>
      <c r="CL43" s="109"/>
      <c r="CM43" s="109"/>
      <c r="CN43" s="171"/>
      <c r="CO43" s="109"/>
      <c r="CP43" s="109"/>
      <c r="CQ43" s="172"/>
      <c r="CR43" s="109"/>
      <c r="CS43" s="109"/>
      <c r="CT43" s="109"/>
      <c r="CU43" s="109"/>
      <c r="CV43" s="171"/>
      <c r="CW43" s="109"/>
      <c r="CX43" s="109"/>
      <c r="CY43" s="109"/>
      <c r="CZ43" s="171"/>
      <c r="DA43" s="1044"/>
      <c r="DB43" s="1044"/>
      <c r="DC43" s="172"/>
      <c r="DD43" s="171"/>
      <c r="DE43" s="1044"/>
      <c r="DF43" s="1044"/>
      <c r="DG43" s="172"/>
      <c r="DH43" s="1044"/>
      <c r="DI43" s="1044"/>
      <c r="DJ43" s="1044"/>
      <c r="DK43" s="172"/>
      <c r="DL43" s="1044"/>
      <c r="DM43" s="1044"/>
      <c r="DN43" s="1044"/>
      <c r="DO43" s="172"/>
      <c r="DP43" s="1044"/>
      <c r="DQ43" s="1044"/>
      <c r="DR43" s="1044"/>
      <c r="DS43" s="172"/>
      <c r="DT43" s="109"/>
    </row>
    <row r="44" spans="1:124">
      <c r="A44" s="167" t="s">
        <v>955</v>
      </c>
      <c r="B44" s="109"/>
      <c r="C44" s="109"/>
      <c r="D44" s="109"/>
      <c r="E44" s="109">
        <v>173</v>
      </c>
      <c r="F44" s="109">
        <v>-387</v>
      </c>
      <c r="G44" s="109">
        <v>-803</v>
      </c>
      <c r="H44" s="109">
        <v>-402</v>
      </c>
      <c r="I44" s="109">
        <v>-374</v>
      </c>
      <c r="J44" s="109">
        <v>-716</v>
      </c>
      <c r="K44" s="109">
        <v>-549</v>
      </c>
      <c r="L44" s="109">
        <v>-679</v>
      </c>
      <c r="M44" s="109">
        <v>-2167</v>
      </c>
      <c r="N44" s="109">
        <f>N26+N35</f>
        <v>0</v>
      </c>
      <c r="O44" s="109">
        <f>O26+O35</f>
        <v>-931</v>
      </c>
      <c r="P44" s="109">
        <f>Other!P24</f>
        <v>-5663</v>
      </c>
      <c r="Q44" s="1044">
        <f>SUM(CF44:CI44)</f>
        <v>1276</v>
      </c>
      <c r="R44" s="109">
        <f>SUM(CJ44:CM44)</f>
        <v>733</v>
      </c>
      <c r="S44" s="109">
        <f>SUM(CN44:CQ44)</f>
        <v>495</v>
      </c>
      <c r="T44" s="1044">
        <f>SUM(CR44:CU44)</f>
        <v>944</v>
      </c>
      <c r="U44" s="1044">
        <f>SUM(CV44:CY44)</f>
        <v>1139</v>
      </c>
      <c r="V44" s="109">
        <f>SUM(CZ44:DC44)</f>
        <v>1630</v>
      </c>
      <c r="W44" s="109">
        <f>Other!W24</f>
        <v>3459</v>
      </c>
      <c r="X44" s="109">
        <f>Other!X24</f>
        <v>5166</v>
      </c>
      <c r="Y44" s="2552">
        <f>Other!Y24</f>
        <v>6124</v>
      </c>
      <c r="Z44" s="2552">
        <f>Other!Z24</f>
        <v>9311.1404999999995</v>
      </c>
      <c r="AA44" s="109">
        <f>Other!AA24</f>
        <v>8416.569168</v>
      </c>
      <c r="AB44" s="109">
        <f>Other!AB24</f>
        <v>8584.9005513600005</v>
      </c>
      <c r="AC44" s="109">
        <f>Other!AC24</f>
        <v>8756.5985623872002</v>
      </c>
      <c r="AD44" s="109">
        <f>Other!AD24</f>
        <v>8931.7305336349436</v>
      </c>
      <c r="AE44" s="109">
        <f>Other!AE24</f>
        <v>9110.3651443076433</v>
      </c>
      <c r="AF44" s="109">
        <f>Other!AF24</f>
        <v>9292.5724471937956</v>
      </c>
      <c r="AG44" s="109">
        <f>Other!AG24</f>
        <v>9478.4238961376723</v>
      </c>
      <c r="AH44" s="109"/>
      <c r="AI44" s="171"/>
      <c r="AJ44" s="109">
        <v>49</v>
      </c>
      <c r="AK44" s="109">
        <v>-23</v>
      </c>
      <c r="AL44" s="109">
        <v>-18</v>
      </c>
      <c r="AM44" s="109">
        <v>165</v>
      </c>
      <c r="AN44" s="109">
        <v>-58</v>
      </c>
      <c r="AO44" s="109">
        <v>-27</v>
      </c>
      <c r="AP44" s="109">
        <v>-132</v>
      </c>
      <c r="AQ44" s="109">
        <v>-170</v>
      </c>
      <c r="AR44" s="109">
        <v>-167</v>
      </c>
      <c r="AS44" s="109">
        <v>-102</v>
      </c>
      <c r="AT44" s="109">
        <v>-229</v>
      </c>
      <c r="AU44" s="109">
        <v>-305</v>
      </c>
      <c r="AV44" s="109">
        <v>-41</v>
      </c>
      <c r="AW44" s="109">
        <v>-138</v>
      </c>
      <c r="AX44" s="109">
        <v>-72</v>
      </c>
      <c r="AY44" s="109">
        <v>-151</v>
      </c>
      <c r="AZ44" s="109">
        <v>-189</v>
      </c>
      <c r="BA44" s="109">
        <v>-77</v>
      </c>
      <c r="BB44" s="109">
        <v>-40</v>
      </c>
      <c r="BC44" s="109">
        <v>-68</v>
      </c>
      <c r="BD44" s="109">
        <v>-95</v>
      </c>
      <c r="BE44" s="109">
        <v>-139</v>
      </c>
      <c r="BF44" s="109">
        <v>-228</v>
      </c>
      <c r="BG44" s="109">
        <v>-254</v>
      </c>
      <c r="BH44" s="109">
        <v>-204</v>
      </c>
      <c r="BI44" s="109">
        <v>-241</v>
      </c>
      <c r="BJ44" s="109">
        <v>-2</v>
      </c>
      <c r="BK44" s="109">
        <v>-102</v>
      </c>
      <c r="BL44" s="171">
        <v>-65</v>
      </c>
      <c r="BM44" s="109">
        <v>-157</v>
      </c>
      <c r="BN44" s="109">
        <v>-180</v>
      </c>
      <c r="BO44" s="109">
        <v>-277</v>
      </c>
      <c r="BP44" s="171">
        <v>-486</v>
      </c>
      <c r="BQ44" s="109">
        <v>-570</v>
      </c>
      <c r="BR44" s="109">
        <v>-532</v>
      </c>
      <c r="BS44" s="109">
        <v>-579</v>
      </c>
      <c r="BT44" s="171">
        <f t="shared" ref="BT44:CB44" si="26">BT26+BT35</f>
        <v>-525</v>
      </c>
      <c r="BU44" s="109">
        <f t="shared" si="26"/>
        <v>-597</v>
      </c>
      <c r="BV44" s="109">
        <f t="shared" si="26"/>
        <v>-542</v>
      </c>
      <c r="BW44" s="109">
        <f t="shared" si="26"/>
        <v>-214</v>
      </c>
      <c r="BX44" s="171">
        <f t="shared" si="26"/>
        <v>-230</v>
      </c>
      <c r="BY44" s="109">
        <f t="shared" si="26"/>
        <v>-217</v>
      </c>
      <c r="BZ44" s="109">
        <f t="shared" si="26"/>
        <v>-253</v>
      </c>
      <c r="CA44" s="109">
        <f t="shared" si="26"/>
        <v>-231</v>
      </c>
      <c r="CB44" s="171">
        <f t="shared" si="26"/>
        <v>-1450</v>
      </c>
      <c r="CC44" s="109">
        <f>Other!CI24</f>
        <v>-1373</v>
      </c>
      <c r="CD44" s="109">
        <f>Other!CJ24</f>
        <v>-1367</v>
      </c>
      <c r="CE44" s="109">
        <f>Other!CK24</f>
        <v>-1473</v>
      </c>
      <c r="CF44" s="171">
        <f>Other!CL24</f>
        <v>336.75</v>
      </c>
      <c r="CG44" s="109">
        <f>Other!CM24</f>
        <v>313.75</v>
      </c>
      <c r="CH44" s="109">
        <f>Other!CN24</f>
        <v>300.75</v>
      </c>
      <c r="CI44" s="109">
        <f>Other!CO24</f>
        <v>324.75</v>
      </c>
      <c r="CJ44" s="171">
        <f>Other!CP24</f>
        <v>112</v>
      </c>
      <c r="CK44" s="109">
        <f>Other!CQ24</f>
        <v>195</v>
      </c>
      <c r="CL44" s="109">
        <f>Other!CR24</f>
        <v>175</v>
      </c>
      <c r="CM44" s="109">
        <f>Other!CS24</f>
        <v>251</v>
      </c>
      <c r="CN44" s="171">
        <f>Other!CT24</f>
        <v>130</v>
      </c>
      <c r="CO44" s="109">
        <f>Other!CU24</f>
        <v>96</v>
      </c>
      <c r="CP44" s="109">
        <f>Other!CV24</f>
        <v>244</v>
      </c>
      <c r="CQ44" s="172">
        <f>Other!CW24</f>
        <v>25</v>
      </c>
      <c r="CR44" s="109">
        <f>Other!CX24</f>
        <v>183</v>
      </c>
      <c r="CS44" s="109">
        <f>Other!CY24</f>
        <v>279</v>
      </c>
      <c r="CT44" s="109">
        <f>Other!CZ24</f>
        <v>267</v>
      </c>
      <c r="CU44" s="109">
        <f>Other!DA24</f>
        <v>215</v>
      </c>
      <c r="CV44" s="171">
        <f>Other!DB24</f>
        <v>259</v>
      </c>
      <c r="CW44" s="109">
        <f>Other!DC24</f>
        <v>277</v>
      </c>
      <c r="CX44" s="109">
        <f>Other!DD24</f>
        <v>237</v>
      </c>
      <c r="CY44" s="109">
        <f>Other!DE24</f>
        <v>366</v>
      </c>
      <c r="CZ44" s="171">
        <f>Other!DF24</f>
        <v>411</v>
      </c>
      <c r="DA44" s="1044">
        <f>Other!DG24</f>
        <v>458</v>
      </c>
      <c r="DB44" s="1044">
        <f>Other!DH24</f>
        <v>415</v>
      </c>
      <c r="DC44" s="172">
        <f>Other!DI24</f>
        <v>346</v>
      </c>
      <c r="DD44" s="171">
        <f>Other!DJ24</f>
        <v>389</v>
      </c>
      <c r="DE44" s="1044">
        <f>Other!DK24</f>
        <v>518</v>
      </c>
      <c r="DF44" s="2151">
        <f>Other!DL24</f>
        <v>1040</v>
      </c>
      <c r="DG44" s="2473">
        <f>Other!DM24</f>
        <v>1512</v>
      </c>
      <c r="DH44" s="2151">
        <f>Other!DN24</f>
        <v>1245</v>
      </c>
      <c r="DI44" s="2164">
        <f>Other!DO24</f>
        <v>1324</v>
      </c>
      <c r="DJ44" s="2164">
        <f>Other!DP24</f>
        <v>1358</v>
      </c>
      <c r="DK44" s="2165">
        <f>Other!DQ24</f>
        <v>1239</v>
      </c>
      <c r="DL44" s="2164">
        <f>Other!DR24</f>
        <v>893</v>
      </c>
      <c r="DM44" s="2164">
        <f>Other!DS24</f>
        <v>1457</v>
      </c>
      <c r="DN44" s="2164">
        <f>Other!DT24</f>
        <v>1958</v>
      </c>
      <c r="DO44" s="2165">
        <f>Other!DU24</f>
        <v>1816</v>
      </c>
      <c r="DP44" s="2164">
        <f>Other!DV24</f>
        <v>2366</v>
      </c>
      <c r="DQ44" s="2164">
        <f>Other!DW24</f>
        <v>2141.375</v>
      </c>
      <c r="DR44" s="2164">
        <f>Other!DX24</f>
        <v>2358.0562499999996</v>
      </c>
      <c r="DS44" s="2165">
        <f>Other!DY24</f>
        <v>2445.7092499999999</v>
      </c>
      <c r="DT44" s="109"/>
    </row>
    <row r="45" spans="1:124">
      <c r="A45" s="109" t="s">
        <v>1040</v>
      </c>
      <c r="B45" s="109"/>
      <c r="C45" s="109"/>
      <c r="D45" s="109"/>
      <c r="E45" s="109">
        <v>29578</v>
      </c>
      <c r="F45" s="109">
        <v>30740</v>
      </c>
      <c r="G45" s="109">
        <v>34854</v>
      </c>
      <c r="H45" s="109">
        <v>37541</v>
      </c>
      <c r="I45" s="109">
        <v>38187</v>
      </c>
      <c r="J45" s="109">
        <v>37557</v>
      </c>
      <c r="K45" s="109">
        <v>39908</v>
      </c>
      <c r="L45" s="109">
        <v>43068</v>
      </c>
      <c r="M45" s="109">
        <v>45099</v>
      </c>
      <c r="N45" s="109">
        <f t="shared" ref="N45:W45" si="27">SUM(N40:N44)</f>
        <v>60566</v>
      </c>
      <c r="O45" s="109">
        <f t="shared" si="27"/>
        <v>61710</v>
      </c>
      <c r="P45" s="109">
        <f t="shared" si="27"/>
        <v>64524</v>
      </c>
      <c r="Q45" s="1044">
        <f t="shared" si="27"/>
        <v>70573</v>
      </c>
      <c r="R45" s="109">
        <f t="shared" si="27"/>
        <v>70050</v>
      </c>
      <c r="S45" s="109">
        <f t="shared" si="27"/>
        <v>75425</v>
      </c>
      <c r="T45" s="1044">
        <f t="shared" si="27"/>
        <v>78172</v>
      </c>
      <c r="U45" s="1044">
        <f t="shared" si="27"/>
        <v>77930</v>
      </c>
      <c r="V45" s="109">
        <f t="shared" si="27"/>
        <v>83569</v>
      </c>
      <c r="W45" s="109">
        <f t="shared" si="27"/>
        <v>85053</v>
      </c>
      <c r="X45" s="109">
        <f>SUM(X40:X44)</f>
        <v>81219</v>
      </c>
      <c r="Y45" s="109">
        <f>SUM(Y40:Y44)</f>
        <v>79377</v>
      </c>
      <c r="Z45" s="109">
        <f ca="1">SUM(Z40:Z44)</f>
        <v>81159.065497866235</v>
      </c>
      <c r="AA45" s="109">
        <f ca="1">SUM(AA40:AA44)</f>
        <v>80199.346329811087</v>
      </c>
      <c r="AB45" s="109">
        <f ca="1">SUM(AB40:AB44)</f>
        <v>79965.199582255533</v>
      </c>
      <c r="AC45" s="109">
        <f t="shared" ref="AC45:AG45" ca="1" si="28">SUM(AC40:AC44)</f>
        <v>79712.727843215514</v>
      </c>
      <c r="AD45" s="109">
        <f t="shared" ca="1" si="28"/>
        <v>79445.198341695621</v>
      </c>
      <c r="AE45" s="109">
        <f t="shared" ca="1" si="28"/>
        <v>79169.013066894317</v>
      </c>
      <c r="AF45" s="109">
        <f t="shared" ca="1" si="28"/>
        <v>78891.445363667634</v>
      </c>
      <c r="AG45" s="109">
        <f t="shared" ca="1" si="28"/>
        <v>78619.692743772815</v>
      </c>
      <c r="AH45" s="109"/>
      <c r="AI45" s="171"/>
      <c r="AJ45" s="109">
        <v>6836</v>
      </c>
      <c r="AK45" s="109">
        <v>7292</v>
      </c>
      <c r="AL45" s="109">
        <v>7239</v>
      </c>
      <c r="AM45" s="109">
        <v>8211</v>
      </c>
      <c r="AN45" s="109">
        <v>7231</v>
      </c>
      <c r="AO45" s="109">
        <v>7724</v>
      </c>
      <c r="AP45" s="109">
        <v>7682</v>
      </c>
      <c r="AQ45" s="109">
        <v>8103</v>
      </c>
      <c r="AR45" s="109">
        <v>8107</v>
      </c>
      <c r="AS45" s="109">
        <v>8838</v>
      </c>
      <c r="AT45" s="109">
        <v>8780</v>
      </c>
      <c r="AU45" s="109">
        <v>9129</v>
      </c>
      <c r="AV45" s="109">
        <v>8929</v>
      </c>
      <c r="AW45" s="109">
        <v>9291</v>
      </c>
      <c r="AX45" s="109">
        <v>9397</v>
      </c>
      <c r="AY45" s="109">
        <v>9924</v>
      </c>
      <c r="AZ45" s="109">
        <v>9120</v>
      </c>
      <c r="BA45" s="109">
        <v>9445</v>
      </c>
      <c r="BB45" s="109">
        <v>9701</v>
      </c>
      <c r="BC45" s="109">
        <v>9921</v>
      </c>
      <c r="BD45" s="109">
        <v>9074</v>
      </c>
      <c r="BE45" s="109">
        <v>9300</v>
      </c>
      <c r="BF45" s="109">
        <v>9646</v>
      </c>
      <c r="BG45" s="109">
        <v>9537</v>
      </c>
      <c r="BH45" s="109">
        <v>9307</v>
      </c>
      <c r="BI45" s="109">
        <v>9693</v>
      </c>
      <c r="BJ45" s="109">
        <v>10375</v>
      </c>
      <c r="BK45" s="109">
        <v>10533</v>
      </c>
      <c r="BL45" s="171">
        <v>10348</v>
      </c>
      <c r="BM45" s="109">
        <v>10598</v>
      </c>
      <c r="BN45" s="109">
        <v>10998</v>
      </c>
      <c r="BO45" s="109">
        <v>11124</v>
      </c>
      <c r="BP45" s="171">
        <v>10938</v>
      </c>
      <c r="BQ45" s="109">
        <v>11154</v>
      </c>
      <c r="BR45" s="109">
        <v>11495</v>
      </c>
      <c r="BS45" s="109">
        <v>11512</v>
      </c>
      <c r="BT45" s="171">
        <f t="shared" ref="BT45:CZ45" si="29">SUM(BT40:BT44)</f>
        <v>14105</v>
      </c>
      <c r="BU45" s="109">
        <f t="shared" si="29"/>
        <v>14451</v>
      </c>
      <c r="BV45" s="109">
        <f t="shared" si="29"/>
        <v>15039</v>
      </c>
      <c r="BW45" s="109">
        <f t="shared" si="29"/>
        <v>15093</v>
      </c>
      <c r="BX45" s="171">
        <f t="shared" si="29"/>
        <v>14984</v>
      </c>
      <c r="BY45" s="109">
        <f t="shared" si="29"/>
        <v>15361</v>
      </c>
      <c r="BZ45" s="109">
        <f t="shared" si="29"/>
        <v>15690</v>
      </c>
      <c r="CA45" s="109">
        <f t="shared" si="29"/>
        <v>15675</v>
      </c>
      <c r="CB45" s="171">
        <f t="shared" si="29"/>
        <v>15632</v>
      </c>
      <c r="CC45" s="109">
        <f t="shared" si="29"/>
        <v>15958</v>
      </c>
      <c r="CD45" s="109">
        <f t="shared" si="29"/>
        <v>16612</v>
      </c>
      <c r="CE45" s="109">
        <f t="shared" si="29"/>
        <v>16322</v>
      </c>
      <c r="CF45" s="171">
        <f t="shared" si="29"/>
        <v>17311.75</v>
      </c>
      <c r="CG45" s="109">
        <f t="shared" si="29"/>
        <v>17456.75</v>
      </c>
      <c r="CH45" s="109">
        <f t="shared" si="29"/>
        <v>17886.75</v>
      </c>
      <c r="CI45" s="109">
        <f t="shared" si="29"/>
        <v>17917.75</v>
      </c>
      <c r="CJ45" s="171">
        <f t="shared" si="29"/>
        <v>17470</v>
      </c>
      <c r="CK45" s="109">
        <f t="shared" si="29"/>
        <v>17352</v>
      </c>
      <c r="CL45" s="109">
        <f t="shared" si="29"/>
        <v>17689</v>
      </c>
      <c r="CM45" s="109">
        <f t="shared" si="29"/>
        <v>17539</v>
      </c>
      <c r="CN45" s="171">
        <f t="shared" si="29"/>
        <v>18513</v>
      </c>
      <c r="CO45" s="109">
        <f t="shared" si="29"/>
        <v>18531</v>
      </c>
      <c r="CP45" s="109">
        <f t="shared" si="29"/>
        <v>18758</v>
      </c>
      <c r="CQ45" s="172">
        <f t="shared" si="29"/>
        <v>19623</v>
      </c>
      <c r="CR45" s="109">
        <f t="shared" si="29"/>
        <v>19019</v>
      </c>
      <c r="CS45" s="109">
        <f t="shared" si="29"/>
        <v>18773</v>
      </c>
      <c r="CT45" s="109">
        <f t="shared" si="29"/>
        <v>18973</v>
      </c>
      <c r="CU45" s="109">
        <f t="shared" si="29"/>
        <v>21407</v>
      </c>
      <c r="CV45" s="171">
        <f t="shared" si="29"/>
        <v>18910</v>
      </c>
      <c r="CW45" s="109">
        <f t="shared" si="29"/>
        <v>19196</v>
      </c>
      <c r="CX45" s="109">
        <f t="shared" si="29"/>
        <v>19126</v>
      </c>
      <c r="CY45" s="109">
        <f t="shared" si="29"/>
        <v>20698</v>
      </c>
      <c r="CZ45" s="171">
        <f t="shared" si="29"/>
        <v>19399</v>
      </c>
      <c r="DA45" s="1044">
        <f t="shared" ref="DA45:DF45" si="30">SUM(DA40:DA44)</f>
        <v>20222</v>
      </c>
      <c r="DB45" s="1044">
        <f t="shared" si="30"/>
        <v>20529</v>
      </c>
      <c r="DC45" s="172">
        <f t="shared" si="30"/>
        <v>23419</v>
      </c>
      <c r="DD45" s="171">
        <f>SUM(DD40:DD44)</f>
        <v>20035</v>
      </c>
      <c r="DE45" s="1044">
        <f t="shared" si="30"/>
        <v>20423</v>
      </c>
      <c r="DF45" s="1044">
        <f t="shared" si="30"/>
        <v>21272</v>
      </c>
      <c r="DG45" s="172">
        <f>SUM(DG40:DG44)</f>
        <v>23323</v>
      </c>
      <c r="DH45" s="1044">
        <f>SUM(DH40:DH44)</f>
        <v>20189</v>
      </c>
      <c r="DI45" s="1044">
        <f>SUM(DI40:DI44)</f>
        <v>19453</v>
      </c>
      <c r="DJ45" s="1044">
        <f>SUM(DJ40:DJ44)</f>
        <v>19658</v>
      </c>
      <c r="DK45" s="172">
        <f>SUM(DK40:DK44)</f>
        <v>21919</v>
      </c>
      <c r="DL45" s="1044">
        <f t="shared" ref="DL45:DO45" si="31">SUM(DL40:DL44)</f>
        <v>18448</v>
      </c>
      <c r="DM45" s="1044">
        <f t="shared" si="31"/>
        <v>19164</v>
      </c>
      <c r="DN45" s="1044">
        <f t="shared" si="31"/>
        <v>19617</v>
      </c>
      <c r="DO45" s="172">
        <f t="shared" si="31"/>
        <v>22148</v>
      </c>
      <c r="DP45" s="1044">
        <f t="shared" ref="DP45:DS45" si="32">SUM(DP40:DP44)</f>
        <v>19743</v>
      </c>
      <c r="DQ45" s="1044">
        <f t="shared" ca="1" si="32"/>
        <v>19439.718157876916</v>
      </c>
      <c r="DR45" s="1044">
        <f t="shared" ca="1" si="32"/>
        <v>19683.928760230832</v>
      </c>
      <c r="DS45" s="172">
        <f t="shared" ca="1" si="32"/>
        <v>22292.41857975848</v>
      </c>
      <c r="DT45" s="109"/>
    </row>
    <row r="46" spans="1:124">
      <c r="A46" s="256" t="s">
        <v>1237</v>
      </c>
      <c r="B46" s="256"/>
      <c r="C46" s="256"/>
      <c r="D46" s="256"/>
      <c r="E46" s="256">
        <v>0</v>
      </c>
      <c r="F46" s="256">
        <v>0</v>
      </c>
      <c r="G46" s="256">
        <v>0</v>
      </c>
      <c r="H46" s="256">
        <v>0</v>
      </c>
      <c r="I46" s="256">
        <v>0</v>
      </c>
      <c r="J46" s="256">
        <v>0</v>
      </c>
      <c r="K46" s="256">
        <v>0</v>
      </c>
      <c r="L46" s="256">
        <v>0</v>
      </c>
      <c r="M46" s="256">
        <v>0</v>
      </c>
      <c r="N46" s="256">
        <f>N45-IS!N45</f>
        <v>1878</v>
      </c>
      <c r="O46" s="256">
        <f>O45-IS!O45</f>
        <v>0</v>
      </c>
      <c r="P46" s="256">
        <f>P45-IS!P45</f>
        <v>0</v>
      </c>
      <c r="Q46" s="1047">
        <f>SUM(CF46:CI46)</f>
        <v>451</v>
      </c>
      <c r="R46" s="256">
        <f>R45-IS!R45</f>
        <v>0</v>
      </c>
      <c r="S46" s="256">
        <f>S45-IS!S45</f>
        <v>0</v>
      </c>
      <c r="T46" s="1082">
        <f>T45-IS!T45</f>
        <v>0</v>
      </c>
      <c r="U46" s="1082">
        <f>U45-IS!U45</f>
        <v>0</v>
      </c>
      <c r="V46" s="256">
        <f>V45-IS!V45</f>
        <v>0</v>
      </c>
      <c r="W46" s="256">
        <f>W45-IS!W45</f>
        <v>0</v>
      </c>
      <c r="X46" s="256">
        <f>X45-IS!X45</f>
        <v>0</v>
      </c>
      <c r="Y46" s="256">
        <f>Y45-IS!Y45</f>
        <v>0</v>
      </c>
      <c r="Z46" s="256">
        <f ca="1">Z45-IS!Z45</f>
        <v>0</v>
      </c>
      <c r="AA46" s="256">
        <f ca="1">AA45-IS!AA45</f>
        <v>0</v>
      </c>
      <c r="AB46" s="256">
        <f ca="1">AB45-IS!AB45</f>
        <v>0</v>
      </c>
      <c r="AC46" s="256">
        <f ca="1">AC45-IS!AC45</f>
        <v>0</v>
      </c>
      <c r="AD46" s="256">
        <f ca="1">AD45-IS!AD45</f>
        <v>0</v>
      </c>
      <c r="AE46" s="256">
        <f ca="1">AE45-IS!AE45</f>
        <v>0</v>
      </c>
      <c r="AF46" s="256">
        <f ca="1">AF45-IS!AF45</f>
        <v>0</v>
      </c>
      <c r="AG46" s="256">
        <f ca="1">AG45-IS!AG45</f>
        <v>0</v>
      </c>
      <c r="AH46" s="143"/>
      <c r="AI46" s="257"/>
      <c r="AJ46" s="256">
        <v>0</v>
      </c>
      <c r="AK46" s="256">
        <v>0</v>
      </c>
      <c r="AL46" s="256">
        <v>0</v>
      </c>
      <c r="AM46" s="256">
        <v>0</v>
      </c>
      <c r="AN46" s="256">
        <v>0</v>
      </c>
      <c r="AO46" s="256">
        <v>0</v>
      </c>
      <c r="AP46" s="256">
        <v>0</v>
      </c>
      <c r="AQ46" s="256">
        <v>0</v>
      </c>
      <c r="AR46" s="256">
        <v>0</v>
      </c>
      <c r="AS46" s="256">
        <v>0</v>
      </c>
      <c r="AT46" s="256">
        <v>0</v>
      </c>
      <c r="AU46" s="256">
        <v>0</v>
      </c>
      <c r="AV46" s="256">
        <v>0</v>
      </c>
      <c r="AW46" s="256">
        <v>0</v>
      </c>
      <c r="AX46" s="256">
        <v>0</v>
      </c>
      <c r="AY46" s="256">
        <v>0</v>
      </c>
      <c r="AZ46" s="256">
        <v>0</v>
      </c>
      <c r="BA46" s="256">
        <v>0</v>
      </c>
      <c r="BB46" s="256">
        <v>0</v>
      </c>
      <c r="BC46" s="256">
        <v>0</v>
      </c>
      <c r="BD46" s="256">
        <v>0</v>
      </c>
      <c r="BE46" s="256">
        <v>0</v>
      </c>
      <c r="BF46" s="256">
        <v>0</v>
      </c>
      <c r="BG46" s="256">
        <v>0</v>
      </c>
      <c r="BH46" s="256">
        <v>0</v>
      </c>
      <c r="BI46" s="256">
        <v>0</v>
      </c>
      <c r="BJ46" s="256">
        <v>0</v>
      </c>
      <c r="BK46" s="256">
        <v>0</v>
      </c>
      <c r="BL46" s="257">
        <v>0</v>
      </c>
      <c r="BM46" s="256">
        <v>0</v>
      </c>
      <c r="BN46" s="256">
        <v>0</v>
      </c>
      <c r="BO46" s="256">
        <v>0</v>
      </c>
      <c r="BP46" s="257">
        <v>0</v>
      </c>
      <c r="BQ46" s="256">
        <v>0</v>
      </c>
      <c r="BR46" s="256">
        <v>0</v>
      </c>
      <c r="BS46" s="256">
        <v>0</v>
      </c>
      <c r="BT46" s="257">
        <f>BT45-IS!BW45</f>
        <v>0</v>
      </c>
      <c r="BU46" s="256">
        <f>BU45-IS!BX45</f>
        <v>0</v>
      </c>
      <c r="BV46" s="256">
        <f>BV45-IS!BY45</f>
        <v>0</v>
      </c>
      <c r="BW46" s="256">
        <f>BW45-IS!BZ45</f>
        <v>0</v>
      </c>
      <c r="BX46" s="257">
        <f>BX45-IS!CA45</f>
        <v>0</v>
      </c>
      <c r="BY46" s="256">
        <f>BY45-IS!CB45</f>
        <v>0</v>
      </c>
      <c r="BZ46" s="256">
        <f>BZ45-IS!CC45</f>
        <v>0</v>
      </c>
      <c r="CA46" s="256">
        <f>CA45-IS!CD45</f>
        <v>0</v>
      </c>
      <c r="CB46" s="257">
        <f>CB45-IS!CE45</f>
        <v>0</v>
      </c>
      <c r="CC46" s="256">
        <f>CC45-IS!CF45</f>
        <v>0</v>
      </c>
      <c r="CD46" s="256">
        <f>CD45-IS!CG45</f>
        <v>0</v>
      </c>
      <c r="CE46" s="256">
        <f>CE45-IS!CH45</f>
        <v>0</v>
      </c>
      <c r="CF46" s="257">
        <f>CF45-IS!CI45</f>
        <v>112.75</v>
      </c>
      <c r="CG46" s="256">
        <f>CG45-IS!CJ45</f>
        <v>112.75</v>
      </c>
      <c r="CH46" s="256">
        <f>CH45-IS!CK45</f>
        <v>112.75</v>
      </c>
      <c r="CI46" s="256">
        <f>CI45-IS!CL45</f>
        <v>112.75</v>
      </c>
      <c r="CJ46" s="257">
        <f>CJ45-IS!CM45</f>
        <v>0</v>
      </c>
      <c r="CK46" s="256">
        <f>CK45-IS!CN45</f>
        <v>0</v>
      </c>
      <c r="CL46" s="256">
        <f>CL45-IS!CO45</f>
        <v>0</v>
      </c>
      <c r="CM46" s="256">
        <f>CM45-IS!CP45</f>
        <v>0</v>
      </c>
      <c r="CN46" s="257">
        <f>CN45-IS!CQ45</f>
        <v>0</v>
      </c>
      <c r="CO46" s="256">
        <f>CO45-IS!CR45</f>
        <v>0</v>
      </c>
      <c r="CP46" s="256">
        <f>CP45-IS!CS45</f>
        <v>0</v>
      </c>
      <c r="CQ46" s="258">
        <f>CQ45-IS!CT45</f>
        <v>0</v>
      </c>
      <c r="CR46" s="256">
        <f>CR45-IS!CU45</f>
        <v>0</v>
      </c>
      <c r="CS46" s="256">
        <f>CS45-IS!CV45</f>
        <v>0</v>
      </c>
      <c r="CT46" s="256">
        <f>CT45-IS!CW45</f>
        <v>0</v>
      </c>
      <c r="CU46" s="256">
        <f>CU45-IS!CX45</f>
        <v>0</v>
      </c>
      <c r="CV46" s="257">
        <f>CV45-IS!CY45</f>
        <v>0</v>
      </c>
      <c r="CW46" s="256">
        <f>CW45-IS!CZ45</f>
        <v>0</v>
      </c>
      <c r="CX46" s="256">
        <f>CX45-IS!DA45</f>
        <v>0</v>
      </c>
      <c r="CY46" s="256">
        <f>CY45-IS!DB45</f>
        <v>0</v>
      </c>
      <c r="CZ46" s="257">
        <f>CZ45-IS!DC45</f>
        <v>0</v>
      </c>
      <c r="DA46" s="1082">
        <f>DA45-IS!DD45</f>
        <v>0</v>
      </c>
      <c r="DB46" s="1082">
        <f>DB45-IS!DE45</f>
        <v>0</v>
      </c>
      <c r="DC46" s="258">
        <f>DC45-IS!DF45</f>
        <v>0</v>
      </c>
      <c r="DD46" s="257">
        <f>DD45-IS!DG45</f>
        <v>0</v>
      </c>
      <c r="DE46" s="1082">
        <f>DE45-IS!DH45</f>
        <v>0</v>
      </c>
      <c r="DF46" s="1082">
        <f>DF45-IS!DI45</f>
        <v>0</v>
      </c>
      <c r="DG46" s="258">
        <f>DG45-IS!DJ45</f>
        <v>0</v>
      </c>
      <c r="DH46" s="1082">
        <f>DH45-IS!DK45</f>
        <v>0</v>
      </c>
      <c r="DI46" s="1082">
        <f>DI45-IS!DL45</f>
        <v>0</v>
      </c>
      <c r="DJ46" s="1082">
        <f>DJ45-IS!DM45</f>
        <v>0</v>
      </c>
      <c r="DK46" s="258">
        <f>DK45-IS!DN45</f>
        <v>0</v>
      </c>
      <c r="DL46" s="1082">
        <f>DL45-IS!DO45</f>
        <v>0</v>
      </c>
      <c r="DM46" s="1082">
        <f>DM45-IS!DP45</f>
        <v>0</v>
      </c>
      <c r="DN46" s="1082">
        <f>DN45-IS!DQ45</f>
        <v>0</v>
      </c>
      <c r="DO46" s="258">
        <f>DO45-IS!DR45</f>
        <v>0</v>
      </c>
      <c r="DP46" s="1082">
        <f>DP45-IS!DS45</f>
        <v>0</v>
      </c>
      <c r="DQ46" s="1082">
        <f ca="1">DQ45-IS!DT45</f>
        <v>0</v>
      </c>
      <c r="DR46" s="1082">
        <f ca="1">DR45-IS!DU45</f>
        <v>0</v>
      </c>
      <c r="DS46" s="258">
        <f ca="1">DS45-IS!DV45</f>
        <v>0</v>
      </c>
      <c r="DT46" s="256"/>
    </row>
    <row r="47" spans="1:124">
      <c r="A47" s="109"/>
      <c r="B47" s="109"/>
      <c r="C47" s="109"/>
      <c r="D47" s="109"/>
      <c r="E47" s="109"/>
      <c r="F47" s="109"/>
      <c r="G47" s="109"/>
      <c r="H47" s="109"/>
      <c r="I47" s="109"/>
      <c r="J47" s="109"/>
      <c r="K47" s="109"/>
      <c r="L47" s="109"/>
      <c r="M47" s="109"/>
      <c r="N47" s="109"/>
      <c r="O47" s="109"/>
      <c r="P47" s="109"/>
      <c r="Q47" s="1044"/>
      <c r="R47" s="109"/>
      <c r="S47" s="109"/>
      <c r="T47" s="1044"/>
      <c r="U47" s="1044"/>
      <c r="V47" s="109"/>
      <c r="W47" s="109"/>
      <c r="X47" s="109"/>
      <c r="Y47" s="109"/>
      <c r="Z47" s="109"/>
      <c r="AA47" s="109"/>
      <c r="AB47" s="109"/>
      <c r="AC47" s="109"/>
      <c r="AD47" s="109"/>
      <c r="AE47" s="109"/>
      <c r="AF47" s="109"/>
      <c r="AG47" s="109"/>
      <c r="AH47" s="109"/>
      <c r="AI47" s="171"/>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c r="BL47" s="171"/>
      <c r="BM47" s="109"/>
      <c r="BN47" s="109"/>
      <c r="BO47" s="109"/>
      <c r="BP47" s="171"/>
      <c r="BQ47" s="109"/>
      <c r="BR47" s="109"/>
      <c r="BS47" s="109"/>
      <c r="BT47" s="171"/>
      <c r="BU47" s="109"/>
      <c r="BV47" s="109"/>
      <c r="BW47" s="109"/>
      <c r="BX47" s="171"/>
      <c r="BY47" s="109"/>
      <c r="BZ47" s="109"/>
      <c r="CA47" s="109"/>
      <c r="CB47" s="171"/>
      <c r="CC47" s="109"/>
      <c r="CD47" s="109"/>
      <c r="CE47" s="109"/>
      <c r="CF47" s="171"/>
      <c r="CG47" s="109"/>
      <c r="CH47" s="109"/>
      <c r="CI47" s="109"/>
      <c r="CJ47" s="171"/>
      <c r="CK47" s="109"/>
      <c r="CL47" s="109"/>
      <c r="CM47" s="109"/>
      <c r="CN47" s="171"/>
      <c r="CO47" s="109"/>
      <c r="CP47" s="109"/>
      <c r="CQ47" s="172"/>
      <c r="CR47" s="109"/>
      <c r="CS47" s="109"/>
      <c r="CT47" s="109"/>
      <c r="CU47" s="109"/>
      <c r="CV47" s="171"/>
      <c r="CW47" s="109"/>
      <c r="CX47" s="109"/>
      <c r="CY47" s="109"/>
      <c r="CZ47" s="171"/>
      <c r="DA47" s="1044"/>
      <c r="DB47" s="1044"/>
      <c r="DC47" s="172"/>
      <c r="DD47" s="171"/>
      <c r="DE47" s="1044"/>
      <c r="DF47" s="1044"/>
      <c r="DG47" s="172"/>
      <c r="DH47" s="1044"/>
      <c r="DI47" s="1044"/>
      <c r="DJ47" s="1044"/>
      <c r="DK47" s="172"/>
      <c r="DL47" s="1044"/>
      <c r="DM47" s="1044"/>
      <c r="DN47" s="1044"/>
      <c r="DO47" s="172"/>
      <c r="DP47" s="1044"/>
      <c r="DQ47" s="1044"/>
      <c r="DR47" s="1044"/>
      <c r="DS47" s="172"/>
      <c r="DT47" s="109"/>
    </row>
    <row r="48" spans="1:124">
      <c r="A48" s="169" t="s">
        <v>965</v>
      </c>
      <c r="B48" s="109"/>
      <c r="C48" s="109"/>
      <c r="D48" s="109"/>
      <c r="E48" s="109"/>
      <c r="F48" s="109"/>
      <c r="G48" s="109"/>
      <c r="H48" s="109"/>
      <c r="I48" s="109"/>
      <c r="J48" s="109"/>
      <c r="K48" s="109"/>
      <c r="L48" s="109"/>
      <c r="M48" s="109"/>
      <c r="N48" s="109"/>
      <c r="O48" s="109"/>
      <c r="P48" s="109"/>
      <c r="Q48" s="1044"/>
      <c r="R48" s="109"/>
      <c r="S48" s="109"/>
      <c r="T48" s="1044"/>
      <c r="U48" s="1044"/>
      <c r="V48" s="109"/>
      <c r="W48" s="109"/>
      <c r="X48" s="109"/>
      <c r="Y48" s="109"/>
      <c r="Z48" s="109"/>
      <c r="AA48" s="109"/>
      <c r="AB48" s="109"/>
      <c r="AC48" s="109"/>
      <c r="AD48" s="109"/>
      <c r="AE48" s="109"/>
      <c r="AF48" s="109"/>
      <c r="AG48" s="109"/>
      <c r="AH48" s="109"/>
      <c r="AI48" s="171"/>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c r="BL48" s="171"/>
      <c r="BM48" s="109"/>
      <c r="BN48" s="109"/>
      <c r="BO48" s="109"/>
      <c r="BP48" s="171"/>
      <c r="BQ48" s="109"/>
      <c r="BR48" s="109"/>
      <c r="BS48" s="109"/>
      <c r="BT48" s="171"/>
      <c r="BU48" s="109"/>
      <c r="BV48" s="109"/>
      <c r="BW48" s="109"/>
      <c r="BX48" s="171"/>
      <c r="BY48" s="109"/>
      <c r="BZ48" s="109"/>
      <c r="CA48" s="109"/>
      <c r="CB48" s="171"/>
      <c r="CC48" s="109"/>
      <c r="CD48" s="109"/>
      <c r="CE48" s="109"/>
      <c r="CF48" s="171"/>
      <c r="CG48" s="109"/>
      <c r="CH48" s="109"/>
      <c r="CI48" s="109"/>
      <c r="CJ48" s="171"/>
      <c r="CK48" s="109"/>
      <c r="CL48" s="109"/>
      <c r="CM48" s="109"/>
      <c r="CN48" s="171"/>
      <c r="CO48" s="109"/>
      <c r="CP48" s="109"/>
      <c r="CQ48" s="172"/>
      <c r="CR48" s="109"/>
      <c r="CS48" s="109"/>
      <c r="CT48" s="109"/>
      <c r="CU48" s="109"/>
      <c r="CV48" s="171"/>
      <c r="CW48" s="109"/>
      <c r="CX48" s="109"/>
      <c r="CY48" s="109"/>
      <c r="CZ48" s="171"/>
      <c r="DA48" s="1044"/>
      <c r="DB48" s="1044"/>
      <c r="DC48" s="172"/>
      <c r="DD48" s="171"/>
      <c r="DE48" s="1044"/>
      <c r="DF48" s="1044"/>
      <c r="DG48" s="172"/>
      <c r="DH48" s="1044"/>
      <c r="DI48" s="1044"/>
      <c r="DJ48" s="1044"/>
      <c r="DK48" s="172"/>
      <c r="DL48" s="1044"/>
      <c r="DM48" s="1044"/>
      <c r="DN48" s="1044"/>
      <c r="DO48" s="172"/>
      <c r="DP48" s="1044"/>
      <c r="DQ48" s="1044"/>
      <c r="DR48" s="1044"/>
      <c r="DS48" s="172"/>
      <c r="DT48" s="109"/>
    </row>
    <row r="49" spans="1:124">
      <c r="A49" s="167" t="s">
        <v>948</v>
      </c>
      <c r="B49" s="109"/>
      <c r="C49" s="109"/>
      <c r="D49" s="109"/>
      <c r="E49" s="109">
        <v>7684</v>
      </c>
      <c r="F49" s="109">
        <v>7906</v>
      </c>
      <c r="G49" s="109">
        <v>8200</v>
      </c>
      <c r="H49" s="109">
        <v>8550</v>
      </c>
      <c r="I49" s="109">
        <v>9248</v>
      </c>
      <c r="J49" s="109">
        <v>9456</v>
      </c>
      <c r="K49" s="109">
        <v>9107</v>
      </c>
      <c r="L49" s="109">
        <v>8910</v>
      </c>
      <c r="M49" s="109">
        <v>8801</v>
      </c>
      <c r="N49" s="109">
        <f>SUM(BT49:BW49)</f>
        <v>9309</v>
      </c>
      <c r="O49" s="109">
        <f>SUM(BX49:CA49)</f>
        <v>8927</v>
      </c>
      <c r="P49" s="109">
        <f>SUM(CB49:CE49)</f>
        <v>9031</v>
      </c>
      <c r="Q49" s="1044">
        <f>SUM(CF49:CI49)</f>
        <v>8238</v>
      </c>
      <c r="R49" s="109">
        <f>SUM(CJ49:CM49)</f>
        <v>8469</v>
      </c>
      <c r="S49" s="109">
        <f>SUM(CN49:CQ49)</f>
        <v>8458</v>
      </c>
      <c r="T49" s="1044">
        <f>SUM(CR49:CU49)</f>
        <v>8424</v>
      </c>
      <c r="U49" s="1044">
        <f>SUM(CV49:CY49)</f>
        <v>8327</v>
      </c>
      <c r="V49" s="109">
        <f>SUM(CZ49:DC49)</f>
        <v>7882</v>
      </c>
      <c r="W49" s="109">
        <f>Wireline!W93</f>
        <v>6678</v>
      </c>
      <c r="X49" s="109">
        <f>Wireline!X93</f>
        <v>6113</v>
      </c>
      <c r="Y49" s="2552">
        <f>Wireline!Y93</f>
        <v>6125</v>
      </c>
      <c r="Z49" s="2552">
        <f ca="1">Wireline!Z93</f>
        <v>6177.9413185508929</v>
      </c>
      <c r="AA49" s="109">
        <f ca="1">Wireline!AA93</f>
        <v>6101.7460196771408</v>
      </c>
      <c r="AB49" s="109">
        <f ca="1">Wireline!AB93</f>
        <v>6005.4023993674818</v>
      </c>
      <c r="AC49" s="109">
        <f ca="1">Wireline!AC93</f>
        <v>5910.7163465240037</v>
      </c>
      <c r="AD49" s="109">
        <f ca="1">Wireline!AD93</f>
        <v>5817.7431507836745</v>
      </c>
      <c r="AE49" s="109">
        <f ca="1">Wireline!AE93</f>
        <v>5726.5178581630253</v>
      </c>
      <c r="AF49" s="109">
        <f ca="1">Wireline!AF93</f>
        <v>5637.0822123661355</v>
      </c>
      <c r="AG49" s="109">
        <f ca="1">Wireline!AG93</f>
        <v>5560.0386508844113</v>
      </c>
      <c r="AH49" s="109"/>
      <c r="AI49" s="171"/>
      <c r="AJ49" s="109">
        <v>1914</v>
      </c>
      <c r="AK49" s="109">
        <v>1925</v>
      </c>
      <c r="AL49" s="109">
        <v>1952</v>
      </c>
      <c r="AM49" s="109">
        <v>1893</v>
      </c>
      <c r="AN49" s="109">
        <v>1942</v>
      </c>
      <c r="AO49" s="109">
        <v>1978</v>
      </c>
      <c r="AP49" s="109">
        <v>1998</v>
      </c>
      <c r="AQ49" s="109">
        <v>1988</v>
      </c>
      <c r="AR49" s="109">
        <v>2011</v>
      </c>
      <c r="AS49" s="109">
        <v>2025</v>
      </c>
      <c r="AT49" s="109">
        <v>2059</v>
      </c>
      <c r="AU49" s="109">
        <v>2105</v>
      </c>
      <c r="AV49" s="109">
        <v>2050</v>
      </c>
      <c r="AW49" s="109">
        <v>2105</v>
      </c>
      <c r="AX49" s="109">
        <v>2169</v>
      </c>
      <c r="AY49" s="109">
        <v>2226</v>
      </c>
      <c r="AZ49" s="109">
        <v>2241</v>
      </c>
      <c r="BA49" s="109">
        <v>2302</v>
      </c>
      <c r="BB49" s="109">
        <v>2332</v>
      </c>
      <c r="BC49" s="109">
        <v>2373</v>
      </c>
      <c r="BD49" s="109">
        <v>2371</v>
      </c>
      <c r="BE49" s="109">
        <v>2400</v>
      </c>
      <c r="BF49" s="109">
        <v>2319</v>
      </c>
      <c r="BG49" s="109">
        <v>2366</v>
      </c>
      <c r="BH49" s="109">
        <v>2308</v>
      </c>
      <c r="BI49" s="109">
        <v>2271</v>
      </c>
      <c r="BJ49" s="109">
        <v>2267</v>
      </c>
      <c r="BK49" s="109">
        <v>2261</v>
      </c>
      <c r="BL49" s="171">
        <v>2228</v>
      </c>
      <c r="BM49" s="109">
        <v>2209</v>
      </c>
      <c r="BN49" s="109">
        <v>2215</v>
      </c>
      <c r="BO49" s="109">
        <v>2258</v>
      </c>
      <c r="BP49" s="171">
        <v>2187</v>
      </c>
      <c r="BQ49" s="109">
        <v>2198</v>
      </c>
      <c r="BR49" s="109">
        <v>2197</v>
      </c>
      <c r="BS49" s="109">
        <v>2219</v>
      </c>
      <c r="BT49" s="171">
        <f>Wireline!BZ93</f>
        <v>2313</v>
      </c>
      <c r="BU49" s="109">
        <f>Wireline!CA93</f>
        <v>2339</v>
      </c>
      <c r="BV49" s="109">
        <f>Wireline!CB93</f>
        <v>2308</v>
      </c>
      <c r="BW49" s="109">
        <f>Wireline!CC93</f>
        <v>2349</v>
      </c>
      <c r="BX49" s="171">
        <f>Wireline!CD93</f>
        <v>2203</v>
      </c>
      <c r="BY49" s="109">
        <f>Wireline!CE93</f>
        <v>2206</v>
      </c>
      <c r="BZ49" s="109">
        <f>Wireline!CF93</f>
        <v>2230</v>
      </c>
      <c r="CA49" s="109">
        <f>Wireline!CG93</f>
        <v>2288</v>
      </c>
      <c r="CB49" s="171">
        <f>Wireline!CH93</f>
        <v>2209</v>
      </c>
      <c r="CC49" s="109">
        <f>Wireline!CI93</f>
        <v>2245</v>
      </c>
      <c r="CD49" s="109">
        <f>Wireline!CJ93</f>
        <v>2268</v>
      </c>
      <c r="CE49" s="109">
        <f>Wireline!CK93</f>
        <v>2309</v>
      </c>
      <c r="CF49" s="171">
        <f>Wireline!CL93</f>
        <v>1998</v>
      </c>
      <c r="CG49" s="109">
        <f>Wireline!CM93</f>
        <v>2039</v>
      </c>
      <c r="CH49" s="109">
        <f>Wireline!CN93</f>
        <v>2075</v>
      </c>
      <c r="CI49" s="109">
        <f>Wireline!CO93</f>
        <v>2126</v>
      </c>
      <c r="CJ49" s="171">
        <f>Wireline!CP93</f>
        <v>2063</v>
      </c>
      <c r="CK49" s="109">
        <f>Wireline!CQ93</f>
        <v>2100</v>
      </c>
      <c r="CL49" s="109">
        <f>Wireline!CR93</f>
        <v>2145</v>
      </c>
      <c r="CM49" s="109">
        <f>Wireline!CS93</f>
        <v>2161</v>
      </c>
      <c r="CN49" s="171">
        <f>Wireline!CT93</f>
        <v>2107</v>
      </c>
      <c r="CO49" s="109">
        <f>Wireline!CU93</f>
        <v>2117</v>
      </c>
      <c r="CP49" s="109">
        <f>Wireline!CV93</f>
        <v>2119</v>
      </c>
      <c r="CQ49" s="172">
        <f>Wireline!CW93</f>
        <v>2115</v>
      </c>
      <c r="CR49" s="109">
        <f>Wireline!CX93</f>
        <v>2090</v>
      </c>
      <c r="CS49" s="109">
        <f>Wireline!CY93</f>
        <v>2102</v>
      </c>
      <c r="CT49" s="109">
        <f>Wireline!CZ93</f>
        <v>2107</v>
      </c>
      <c r="CU49" s="109">
        <f>Wireline!DA93</f>
        <v>2125</v>
      </c>
      <c r="CV49" s="171">
        <f>Wireline!DB93</f>
        <v>2095</v>
      </c>
      <c r="CW49" s="109">
        <f>Wireline!DC93</f>
        <v>2085</v>
      </c>
      <c r="CX49" s="109">
        <f>Wireline!DD93</f>
        <v>2074</v>
      </c>
      <c r="CY49" s="109">
        <f>Wireline!DE93</f>
        <v>2073</v>
      </c>
      <c r="CZ49" s="171">
        <f>Wireline!DF93</f>
        <v>2033</v>
      </c>
      <c r="DA49" s="1044">
        <f>Wireline!DG93</f>
        <v>2005</v>
      </c>
      <c r="DB49" s="1044">
        <f>Wireline!DH93</f>
        <v>1978</v>
      </c>
      <c r="DC49" s="172">
        <f>Wireline!DI93</f>
        <v>1866</v>
      </c>
      <c r="DD49" s="171">
        <f>Wireline!DJ93</f>
        <v>1746</v>
      </c>
      <c r="DE49" s="1044">
        <f>Wireline!DK93</f>
        <v>1706</v>
      </c>
      <c r="DF49" s="2151">
        <f>Wireline!DL93</f>
        <v>1623</v>
      </c>
      <c r="DG49" s="2473">
        <f>Wireline!DM93</f>
        <v>1603</v>
      </c>
      <c r="DH49" s="2151">
        <f>Wireline!DN93</f>
        <v>1588</v>
      </c>
      <c r="DI49" s="2164">
        <f>Wireline!DO93</f>
        <v>1562</v>
      </c>
      <c r="DJ49" s="2164">
        <f>Wireline!DP93</f>
        <v>1498</v>
      </c>
      <c r="DK49" s="2165">
        <f>Wireline!DQ93</f>
        <v>1465</v>
      </c>
      <c r="DL49" s="2164">
        <f>Wireline!DR93</f>
        <v>1492</v>
      </c>
      <c r="DM49" s="2164">
        <f>Wireline!DS93</f>
        <v>1552</v>
      </c>
      <c r="DN49" s="2164">
        <f>Wireline!DT93</f>
        <v>1549</v>
      </c>
      <c r="DO49" s="2165">
        <f>Wireline!DU93</f>
        <v>1532</v>
      </c>
      <c r="DP49" s="2164">
        <f>Wireline!DV93</f>
        <v>1534</v>
      </c>
      <c r="DQ49" s="2164">
        <f ca="1">Wireline!DW93</f>
        <v>1539.2044101800952</v>
      </c>
      <c r="DR49" s="2164">
        <f ca="1">Wireline!DX93</f>
        <v>1547.786143076381</v>
      </c>
      <c r="DS49" s="2165">
        <f ca="1">Wireline!DY93</f>
        <v>1556.9507652944162</v>
      </c>
      <c r="DT49" s="109"/>
    </row>
    <row r="50" spans="1:124">
      <c r="A50" s="167" t="s">
        <v>951</v>
      </c>
      <c r="B50" s="109"/>
      <c r="C50" s="109"/>
      <c r="D50" s="109"/>
      <c r="E50" s="109">
        <v>839</v>
      </c>
      <c r="F50" s="109">
        <v>959</v>
      </c>
      <c r="G50" s="109">
        <v>3212</v>
      </c>
      <c r="H50" s="109">
        <v>3394</v>
      </c>
      <c r="I50" s="109">
        <v>3709</v>
      </c>
      <c r="J50" s="109">
        <v>3293</v>
      </c>
      <c r="K50" s="109">
        <v>3888</v>
      </c>
      <c r="L50" s="109">
        <v>4486</v>
      </c>
      <c r="M50" s="109">
        <v>4760</v>
      </c>
      <c r="N50" s="109">
        <f>Wless!N52</f>
        <v>4913</v>
      </c>
      <c r="O50" s="109">
        <f>Wless!O52</f>
        <v>5154</v>
      </c>
      <c r="P50" s="109">
        <f>Wless!P52</f>
        <v>6555.476339925759</v>
      </c>
      <c r="Q50" s="1044">
        <f>SUM(CF50:CI50)</f>
        <v>7030</v>
      </c>
      <c r="R50" s="109">
        <f>SUM(CJ50:CM50)</f>
        <v>7356</v>
      </c>
      <c r="S50" s="109">
        <f>SUM(CN50:CQ50)</f>
        <v>7962</v>
      </c>
      <c r="T50" s="1044">
        <f>SUM(CR50:CU50)</f>
        <v>7960</v>
      </c>
      <c r="U50" s="1044">
        <f>SUM(CV50:CY50)</f>
        <v>8202</v>
      </c>
      <c r="V50" s="109">
        <f>SUM(CZ50:DC50)</f>
        <v>8459</v>
      </c>
      <c r="W50" s="109">
        <f>Wless!W52</f>
        <v>8980</v>
      </c>
      <c r="X50" s="109">
        <f>Wless!X52</f>
        <v>9183</v>
      </c>
      <c r="Y50" s="2552">
        <f>Wless!Y52</f>
        <v>9395</v>
      </c>
      <c r="Z50" s="2552">
        <f ca="1">Wless!Z52</f>
        <v>9918.511788103302</v>
      </c>
      <c r="AA50" s="109">
        <f ca="1">Wless!AA52</f>
        <v>10004.15730935504</v>
      </c>
      <c r="AB50" s="109">
        <f ca="1">Wless!AB52</f>
        <v>10045.599786320787</v>
      </c>
      <c r="AC50" s="109">
        <f ca="1">Wless!AC52</f>
        <v>10088.841021724978</v>
      </c>
      <c r="AD50" s="109">
        <f ca="1">Wless!AD52</f>
        <v>10134.19812958184</v>
      </c>
      <c r="AE50" s="109">
        <f ca="1">Wless!AE52</f>
        <v>10181.967444224525</v>
      </c>
      <c r="AF50" s="109">
        <f ca="1">Wless!AF52</f>
        <v>10232.486725971457</v>
      </c>
      <c r="AG50" s="109">
        <f ca="1">Wless!AG52</f>
        <v>10312.724165068708</v>
      </c>
      <c r="AH50" s="109"/>
      <c r="AI50" s="171"/>
      <c r="AJ50" s="109">
        <v>193</v>
      </c>
      <c r="AK50" s="109">
        <v>207</v>
      </c>
      <c r="AL50" s="109">
        <v>219</v>
      </c>
      <c r="AM50" s="109">
        <v>220</v>
      </c>
      <c r="AN50" s="109">
        <v>228</v>
      </c>
      <c r="AO50" s="109">
        <v>237</v>
      </c>
      <c r="AP50" s="109">
        <v>246</v>
      </c>
      <c r="AQ50" s="109">
        <v>248</v>
      </c>
      <c r="AR50" s="109">
        <v>818</v>
      </c>
      <c r="AS50" s="109">
        <v>827</v>
      </c>
      <c r="AT50" s="109">
        <v>789</v>
      </c>
      <c r="AU50" s="109">
        <v>778</v>
      </c>
      <c r="AV50" s="109">
        <v>822</v>
      </c>
      <c r="AW50" s="109">
        <v>877</v>
      </c>
      <c r="AX50" s="109">
        <v>879</v>
      </c>
      <c r="AY50" s="109">
        <v>816</v>
      </c>
      <c r="AZ50" s="109">
        <v>919</v>
      </c>
      <c r="BA50" s="109">
        <v>887</v>
      </c>
      <c r="BB50" s="109">
        <v>943</v>
      </c>
      <c r="BC50" s="109">
        <v>960</v>
      </c>
      <c r="BD50" s="109">
        <v>781</v>
      </c>
      <c r="BE50" s="109">
        <v>785</v>
      </c>
      <c r="BF50" s="109">
        <v>828</v>
      </c>
      <c r="BG50" s="109">
        <v>899</v>
      </c>
      <c r="BH50" s="109">
        <v>907</v>
      </c>
      <c r="BI50" s="109">
        <v>956</v>
      </c>
      <c r="BJ50" s="109">
        <v>1000</v>
      </c>
      <c r="BK50" s="109">
        <v>1025</v>
      </c>
      <c r="BL50" s="171">
        <v>1055</v>
      </c>
      <c r="BM50" s="109">
        <v>1103</v>
      </c>
      <c r="BN50" s="109">
        <v>1147</v>
      </c>
      <c r="BO50" s="109">
        <v>1181</v>
      </c>
      <c r="BP50" s="171">
        <v>1150</v>
      </c>
      <c r="BQ50" s="109">
        <v>1175</v>
      </c>
      <c r="BR50" s="109">
        <v>1199</v>
      </c>
      <c r="BS50" s="109">
        <v>1236</v>
      </c>
      <c r="BT50" s="171">
        <f>Wless!BZ52</f>
        <v>1274</v>
      </c>
      <c r="BU50" s="109">
        <f>Wless!CA52</f>
        <v>1190</v>
      </c>
      <c r="BV50" s="109">
        <f>Wless!CB52</f>
        <v>1220</v>
      </c>
      <c r="BW50" s="109">
        <f>Wless!CC52</f>
        <v>1229</v>
      </c>
      <c r="BX50" s="171">
        <f>Wless!CD52</f>
        <v>1256</v>
      </c>
      <c r="BY50" s="109">
        <f>Wless!CE52</f>
        <v>1293</v>
      </c>
      <c r="BZ50" s="109">
        <f>Wless!CF52</f>
        <v>1299</v>
      </c>
      <c r="CA50" s="109">
        <f>Wless!CG52</f>
        <v>1306</v>
      </c>
      <c r="CB50" s="171">
        <f>Wless!CH52</f>
        <v>1591.0496453900714</v>
      </c>
      <c r="CC50" s="109">
        <f>Wless!CI52</f>
        <v>1606.6854034451494</v>
      </c>
      <c r="CD50" s="109">
        <f>Wless!CJ52</f>
        <v>1657.4141689373296</v>
      </c>
      <c r="CE50" s="109">
        <f>Wless!CK52</f>
        <v>1700.3271221532086</v>
      </c>
      <c r="CF50" s="171">
        <f>Wless!CL52</f>
        <v>1749</v>
      </c>
      <c r="CG50" s="109">
        <f>Wless!CM52</f>
        <v>1727</v>
      </c>
      <c r="CH50" s="109">
        <f>Wless!CN52</f>
        <v>1758</v>
      </c>
      <c r="CI50" s="109">
        <f>Wless!CO52</f>
        <v>1796</v>
      </c>
      <c r="CJ50" s="171">
        <f>Wless!CP52</f>
        <v>1812</v>
      </c>
      <c r="CK50" s="109">
        <f>Wless!CQ52</f>
        <v>1827</v>
      </c>
      <c r="CL50" s="109">
        <f>Wless!CR52</f>
        <v>1836</v>
      </c>
      <c r="CM50" s="109">
        <f>Wless!CS52</f>
        <v>1881</v>
      </c>
      <c r="CN50" s="171">
        <f>Wless!CT52</f>
        <v>1899</v>
      </c>
      <c r="CO50" s="109">
        <f>Wless!CU52</f>
        <v>1978</v>
      </c>
      <c r="CP50" s="109">
        <f>Wless!CV52</f>
        <v>2040</v>
      </c>
      <c r="CQ50" s="172">
        <f>Wless!CW52</f>
        <v>2045</v>
      </c>
      <c r="CR50" s="109">
        <f>Wless!CX52</f>
        <v>1918</v>
      </c>
      <c r="CS50" s="109">
        <f>Wless!CY52</f>
        <v>2011</v>
      </c>
      <c r="CT50" s="109">
        <f>Wless!CZ52</f>
        <v>2037</v>
      </c>
      <c r="CU50" s="109">
        <f>Wless!DA52</f>
        <v>1994</v>
      </c>
      <c r="CV50" s="171">
        <f>Wless!DB52</f>
        <v>2006</v>
      </c>
      <c r="CW50" s="109">
        <f>Wless!DC52</f>
        <v>2047</v>
      </c>
      <c r="CX50" s="109">
        <f>Wless!DD52</f>
        <v>2060</v>
      </c>
      <c r="CY50" s="109">
        <f>Wless!DE52</f>
        <v>2089</v>
      </c>
      <c r="CZ50" s="171">
        <f>Wless!DF52</f>
        <v>2061</v>
      </c>
      <c r="DA50" s="1044">
        <f>Wless!DG52</f>
        <v>2107</v>
      </c>
      <c r="DB50" s="1044">
        <f>Wless!DH52</f>
        <v>2139</v>
      </c>
      <c r="DC50" s="172">
        <f>Wless!DI52</f>
        <v>2152</v>
      </c>
      <c r="DD50" s="171">
        <f>Wless!DJ52</f>
        <v>2190</v>
      </c>
      <c r="DE50" s="1044">
        <f>Wless!DK52</f>
        <v>2225</v>
      </c>
      <c r="DF50" s="2151">
        <f>Wless!DL52</f>
        <v>2260</v>
      </c>
      <c r="DG50" s="2473">
        <f>Wless!DM52</f>
        <v>2305</v>
      </c>
      <c r="DH50" s="2151">
        <f>Wless!DN52</f>
        <v>2293</v>
      </c>
      <c r="DI50" s="2164">
        <f>Wless!DO52</f>
        <v>2282</v>
      </c>
      <c r="DJ50" s="2164">
        <f>Wless!DP52</f>
        <v>2287</v>
      </c>
      <c r="DK50" s="2165">
        <f>Wless!DQ52</f>
        <v>2321</v>
      </c>
      <c r="DL50" s="2164">
        <f>Wless!DR52</f>
        <v>2338</v>
      </c>
      <c r="DM50" s="2164">
        <f>Wless!DS52</f>
        <v>2347</v>
      </c>
      <c r="DN50" s="2164">
        <f>Wless!DT52</f>
        <v>2366</v>
      </c>
      <c r="DO50" s="2165">
        <f>Wless!DU52</f>
        <v>2344</v>
      </c>
      <c r="DP50" s="2164">
        <f>Wless!DV52</f>
        <v>2428</v>
      </c>
      <c r="DQ50" s="2164">
        <f ca="1">Wless!DW52</f>
        <v>2458.5124979280499</v>
      </c>
      <c r="DR50" s="2164">
        <f ca="1">Wless!DX52</f>
        <v>2496.3270951726568</v>
      </c>
      <c r="DS50" s="2165">
        <f ca="1">Wless!DY52</f>
        <v>2535.6721950025953</v>
      </c>
      <c r="DT50" s="109"/>
    </row>
    <row r="51" spans="1:124">
      <c r="A51" s="167" t="s">
        <v>953</v>
      </c>
      <c r="B51" s="109"/>
      <c r="C51" s="109"/>
      <c r="D51" s="109"/>
      <c r="E51" s="109">
        <v>289</v>
      </c>
      <c r="F51" s="109">
        <v>281</v>
      </c>
      <c r="G51" s="109">
        <v>264</v>
      </c>
      <c r="H51" s="109">
        <v>355</v>
      </c>
      <c r="I51" s="109">
        <v>422</v>
      </c>
      <c r="J51" s="109">
        <v>376</v>
      </c>
      <c r="K51" s="109">
        <v>346</v>
      </c>
      <c r="L51" s="109">
        <v>324</v>
      </c>
      <c r="M51" s="109">
        <v>340</v>
      </c>
      <c r="N51" s="109">
        <f>SUM(BT51:BW51)</f>
        <v>0</v>
      </c>
      <c r="O51" s="109">
        <f>SUM(BX51:CA51)</f>
        <v>0</v>
      </c>
      <c r="P51" s="109"/>
      <c r="Q51" s="1044"/>
      <c r="R51" s="109"/>
      <c r="S51" s="109">
        <f>SUM(CN51:CQ51)</f>
        <v>0</v>
      </c>
      <c r="T51" s="1044">
        <f>SUM(CR51:CU51)</f>
        <v>0</v>
      </c>
      <c r="U51" s="1044">
        <f>SUM(CV51:CY51)</f>
        <v>0</v>
      </c>
      <c r="V51" s="109">
        <f>SUM(CZ51:DC51)</f>
        <v>0</v>
      </c>
      <c r="W51" s="109"/>
      <c r="X51" s="109"/>
      <c r="Y51" s="109"/>
      <c r="Z51" s="109"/>
      <c r="AA51" s="109"/>
      <c r="AB51" s="109"/>
      <c r="AC51" s="109"/>
      <c r="AD51" s="109"/>
      <c r="AE51" s="109"/>
      <c r="AF51" s="109"/>
      <c r="AG51" s="109"/>
      <c r="AH51" s="109"/>
      <c r="AI51" s="171"/>
      <c r="AJ51" s="109">
        <v>88</v>
      </c>
      <c r="AK51" s="109">
        <v>68</v>
      </c>
      <c r="AL51" s="109">
        <v>87</v>
      </c>
      <c r="AM51" s="109">
        <v>46</v>
      </c>
      <c r="AN51" s="109">
        <v>71</v>
      </c>
      <c r="AO51" s="109">
        <v>66</v>
      </c>
      <c r="AP51" s="109">
        <v>70</v>
      </c>
      <c r="AQ51" s="109">
        <v>74</v>
      </c>
      <c r="AR51" s="109">
        <v>64</v>
      </c>
      <c r="AS51" s="109">
        <v>63</v>
      </c>
      <c r="AT51" s="109">
        <v>51</v>
      </c>
      <c r="AU51" s="109">
        <v>86</v>
      </c>
      <c r="AV51" s="109">
        <v>81</v>
      </c>
      <c r="AW51" s="109">
        <v>83</v>
      </c>
      <c r="AX51" s="109">
        <v>89</v>
      </c>
      <c r="AY51" s="109">
        <v>102</v>
      </c>
      <c r="AZ51" s="109">
        <v>105</v>
      </c>
      <c r="BA51" s="109">
        <v>114</v>
      </c>
      <c r="BB51" s="109">
        <v>85</v>
      </c>
      <c r="BC51" s="109">
        <v>118</v>
      </c>
      <c r="BD51" s="109">
        <v>95</v>
      </c>
      <c r="BE51" s="109">
        <v>96</v>
      </c>
      <c r="BF51" s="109">
        <v>97</v>
      </c>
      <c r="BG51" s="109">
        <v>88</v>
      </c>
      <c r="BH51" s="109">
        <v>87</v>
      </c>
      <c r="BI51" s="109">
        <v>85</v>
      </c>
      <c r="BJ51" s="109">
        <v>80</v>
      </c>
      <c r="BK51" s="109">
        <v>94</v>
      </c>
      <c r="BL51" s="171">
        <v>77</v>
      </c>
      <c r="BM51" s="109">
        <v>80</v>
      </c>
      <c r="BN51" s="109">
        <v>80</v>
      </c>
      <c r="BO51" s="109">
        <v>87</v>
      </c>
      <c r="BP51" s="171">
        <v>84</v>
      </c>
      <c r="BQ51" s="109">
        <v>86</v>
      </c>
      <c r="BR51" s="109">
        <v>85</v>
      </c>
      <c r="BS51" s="109">
        <v>85</v>
      </c>
      <c r="BT51" s="171"/>
      <c r="BU51" s="109"/>
      <c r="BV51" s="109"/>
      <c r="BW51" s="109"/>
      <c r="BX51" s="171"/>
      <c r="BY51" s="109"/>
      <c r="BZ51" s="109"/>
      <c r="CA51" s="109"/>
      <c r="CB51" s="171"/>
      <c r="CC51" s="109"/>
      <c r="CD51" s="109"/>
      <c r="CE51" s="109"/>
      <c r="CF51" s="171"/>
      <c r="CG51" s="109"/>
      <c r="CH51" s="109"/>
      <c r="CI51" s="109"/>
      <c r="CJ51" s="171"/>
      <c r="CK51" s="109"/>
      <c r="CL51" s="109"/>
      <c r="CM51" s="109"/>
      <c r="CN51" s="171"/>
      <c r="CO51" s="109"/>
      <c r="CP51" s="109"/>
      <c r="CQ51" s="172"/>
      <c r="CR51" s="109"/>
      <c r="CS51" s="109"/>
      <c r="CT51" s="109"/>
      <c r="CU51" s="109"/>
      <c r="CV51" s="171"/>
      <c r="CW51" s="109"/>
      <c r="CX51" s="109"/>
      <c r="CY51" s="109"/>
      <c r="CZ51" s="171"/>
      <c r="DA51" s="1044"/>
      <c r="DB51" s="1044"/>
      <c r="DC51" s="172"/>
      <c r="DD51" s="171"/>
      <c r="DE51" s="1044"/>
      <c r="DF51" s="1044"/>
      <c r="DG51" s="172"/>
      <c r="DH51" s="1044"/>
      <c r="DI51" s="1044"/>
      <c r="DJ51" s="1044"/>
      <c r="DK51" s="172"/>
      <c r="DL51" s="1044"/>
      <c r="DM51" s="1044"/>
      <c r="DN51" s="1044"/>
      <c r="DO51" s="172"/>
      <c r="DP51" s="1044"/>
      <c r="DQ51" s="1044"/>
      <c r="DR51" s="1044"/>
      <c r="DS51" s="172"/>
      <c r="DT51" s="109"/>
    </row>
    <row r="52" spans="1:124">
      <c r="A52" s="167" t="s">
        <v>1434</v>
      </c>
      <c r="B52" s="109"/>
      <c r="C52" s="109"/>
      <c r="D52" s="109"/>
      <c r="E52" s="109">
        <v>72</v>
      </c>
      <c r="F52" s="109">
        <v>77</v>
      </c>
      <c r="G52" s="109">
        <v>76</v>
      </c>
      <c r="H52" s="109">
        <v>74</v>
      </c>
      <c r="I52" s="109">
        <v>79</v>
      </c>
      <c r="J52" s="109">
        <v>74</v>
      </c>
      <c r="K52" s="109">
        <v>79</v>
      </c>
      <c r="L52" s="109">
        <v>87</v>
      </c>
      <c r="M52" s="109">
        <v>92</v>
      </c>
      <c r="N52" s="109">
        <f>SUM(BT52:BW52)</f>
        <v>67</v>
      </c>
      <c r="O52" s="109">
        <f>SUM(BX52:CA52)</f>
        <v>0</v>
      </c>
      <c r="P52" s="109">
        <v>0</v>
      </c>
      <c r="Q52" s="1044">
        <f>SUM(CF52:CI52)</f>
        <v>0</v>
      </c>
      <c r="R52" s="109">
        <v>0</v>
      </c>
      <c r="S52" s="109">
        <f>SUM(CN52:CQ52)</f>
        <v>0</v>
      </c>
      <c r="T52" s="1044">
        <f>SUM(CR52:CU52)</f>
        <v>0</v>
      </c>
      <c r="U52" s="1044">
        <f>SUM(CV52:CY52)</f>
        <v>0</v>
      </c>
      <c r="V52" s="109">
        <f>SUM(CZ52:DC52)</f>
        <v>0</v>
      </c>
      <c r="W52" s="109">
        <v>0</v>
      </c>
      <c r="X52" s="109">
        <v>0</v>
      </c>
      <c r="Y52" s="2987">
        <v>0</v>
      </c>
      <c r="Z52" s="2987">
        <v>0</v>
      </c>
      <c r="AA52" s="109">
        <v>0</v>
      </c>
      <c r="AB52" s="109">
        <v>0</v>
      </c>
      <c r="AC52" s="109">
        <v>0</v>
      </c>
      <c r="AD52" s="109">
        <v>0</v>
      </c>
      <c r="AE52" s="109">
        <v>0</v>
      </c>
      <c r="AF52" s="109">
        <v>0</v>
      </c>
      <c r="AG52" s="109">
        <v>0</v>
      </c>
      <c r="AH52" s="109"/>
      <c r="AI52" s="171"/>
      <c r="AJ52" s="109">
        <v>15</v>
      </c>
      <c r="AK52" s="109">
        <v>18</v>
      </c>
      <c r="AL52" s="109">
        <v>16</v>
      </c>
      <c r="AM52" s="109">
        <v>23</v>
      </c>
      <c r="AN52" s="109">
        <v>18</v>
      </c>
      <c r="AO52" s="109">
        <v>19</v>
      </c>
      <c r="AP52" s="109">
        <v>19</v>
      </c>
      <c r="AQ52" s="109">
        <v>21</v>
      </c>
      <c r="AR52" s="109">
        <v>18</v>
      </c>
      <c r="AS52" s="109">
        <v>20</v>
      </c>
      <c r="AT52" s="109">
        <v>18</v>
      </c>
      <c r="AU52" s="109">
        <v>20</v>
      </c>
      <c r="AV52" s="109">
        <v>19</v>
      </c>
      <c r="AW52" s="109">
        <v>20</v>
      </c>
      <c r="AX52" s="109">
        <v>17</v>
      </c>
      <c r="AY52" s="109">
        <v>18</v>
      </c>
      <c r="AZ52" s="109">
        <v>21</v>
      </c>
      <c r="BA52" s="109">
        <v>20</v>
      </c>
      <c r="BB52" s="109">
        <v>21</v>
      </c>
      <c r="BC52" s="109">
        <v>17</v>
      </c>
      <c r="BD52" s="109">
        <v>15</v>
      </c>
      <c r="BE52" s="109">
        <v>16</v>
      </c>
      <c r="BF52" s="109">
        <v>21</v>
      </c>
      <c r="BG52" s="109">
        <v>22</v>
      </c>
      <c r="BH52" s="109">
        <v>19</v>
      </c>
      <c r="BI52" s="109">
        <v>21</v>
      </c>
      <c r="BJ52" s="109">
        <v>19</v>
      </c>
      <c r="BK52" s="109">
        <v>20</v>
      </c>
      <c r="BL52" s="171">
        <v>21</v>
      </c>
      <c r="BM52" s="109">
        <v>21</v>
      </c>
      <c r="BN52" s="109">
        <v>23</v>
      </c>
      <c r="BO52" s="109">
        <v>22</v>
      </c>
      <c r="BP52" s="171">
        <v>23</v>
      </c>
      <c r="BQ52" s="109">
        <v>23</v>
      </c>
      <c r="BR52" s="109">
        <v>23</v>
      </c>
      <c r="BS52" s="109">
        <v>23</v>
      </c>
      <c r="BT52" s="171">
        <v>23</v>
      </c>
      <c r="BU52" s="109">
        <v>22</v>
      </c>
      <c r="BV52" s="109">
        <v>22</v>
      </c>
      <c r="BW52" s="109">
        <v>0</v>
      </c>
      <c r="BX52" s="171">
        <v>0</v>
      </c>
      <c r="BY52" s="109"/>
      <c r="BZ52" s="109"/>
      <c r="CA52" s="109"/>
      <c r="CB52" s="171"/>
      <c r="CC52" s="109"/>
      <c r="CD52" s="109"/>
      <c r="CE52" s="109"/>
      <c r="CF52" s="171"/>
      <c r="CG52" s="109"/>
      <c r="CH52" s="109"/>
      <c r="CI52" s="109"/>
      <c r="CJ52" s="171"/>
      <c r="CK52" s="109"/>
      <c r="CL52" s="109"/>
      <c r="CM52" s="109"/>
      <c r="CN52" s="171"/>
      <c r="CO52" s="109"/>
      <c r="CP52" s="109"/>
      <c r="CQ52" s="172"/>
      <c r="CR52" s="109"/>
      <c r="CS52" s="109"/>
      <c r="CT52" s="109"/>
      <c r="CU52" s="109"/>
      <c r="CV52" s="171"/>
      <c r="CW52" s="109"/>
      <c r="CX52" s="109"/>
      <c r="CY52" s="109"/>
      <c r="CZ52" s="171"/>
      <c r="DA52" s="1044"/>
      <c r="DB52" s="1044"/>
      <c r="DC52" s="172"/>
      <c r="DD52" s="171"/>
      <c r="DE52" s="1044"/>
      <c r="DF52" s="1044"/>
      <c r="DG52" s="172"/>
      <c r="DH52" s="1044"/>
      <c r="DI52" s="1044"/>
      <c r="DJ52" s="1044"/>
      <c r="DK52" s="172"/>
      <c r="DL52" s="1044"/>
      <c r="DM52" s="1044"/>
      <c r="DN52" s="1044"/>
      <c r="DO52" s="172"/>
      <c r="DP52" s="1044"/>
      <c r="DQ52" s="1044"/>
      <c r="DR52" s="1044"/>
      <c r="DS52" s="172"/>
      <c r="DT52" s="109"/>
    </row>
    <row r="53" spans="1:124">
      <c r="A53" s="167" t="s">
        <v>955</v>
      </c>
      <c r="B53" s="109"/>
      <c r="C53" s="109"/>
      <c r="D53" s="109"/>
      <c r="E53" s="109">
        <v>75</v>
      </c>
      <c r="F53" s="109">
        <v>30</v>
      </c>
      <c r="G53" s="109">
        <v>36</v>
      </c>
      <c r="H53" s="109">
        <v>213</v>
      </c>
      <c r="I53" s="109">
        <v>228</v>
      </c>
      <c r="J53" s="109">
        <v>91</v>
      </c>
      <c r="K53" s="109">
        <v>77</v>
      </c>
      <c r="L53" s="109">
        <v>74</v>
      </c>
      <c r="M53" s="109">
        <v>-285</v>
      </c>
      <c r="N53" s="109">
        <f>Other!N27</f>
        <v>0</v>
      </c>
      <c r="O53" s="109">
        <f>Other!O27</f>
        <v>39</v>
      </c>
      <c r="P53" s="109">
        <f>Other!P27</f>
        <v>-1081.476339925759</v>
      </c>
      <c r="Q53" s="1044">
        <f>SUM(CF53:CI53)</f>
        <v>65</v>
      </c>
      <c r="R53" s="109">
        <f>SUM(CJ53:CM53)</f>
        <v>65</v>
      </c>
      <c r="S53" s="109">
        <f>SUM(CN53:CQ53)</f>
        <v>76</v>
      </c>
      <c r="T53" s="1044">
        <f>SUM(CR53:CU53)</f>
        <v>76</v>
      </c>
      <c r="U53" s="1044">
        <f>SUM(CV53:CY53)</f>
        <v>77</v>
      </c>
      <c r="V53" s="109">
        <f>SUM(CZ53:DC53)</f>
        <v>192</v>
      </c>
      <c r="W53" s="109">
        <f>Other!W27</f>
        <v>359</v>
      </c>
      <c r="X53" s="109">
        <f>Other!X27</f>
        <v>632</v>
      </c>
      <c r="Y53" s="2552">
        <f>Other!Y27</f>
        <v>1434</v>
      </c>
      <c r="Z53" s="2552">
        <f>Other!Z27</f>
        <v>1448</v>
      </c>
      <c r="AA53" s="109">
        <f ca="1">Other!AA27</f>
        <v>1342.5439216337636</v>
      </c>
      <c r="AB53" s="109">
        <f ca="1">Other!AB27</f>
        <v>1337.4627354011482</v>
      </c>
      <c r="AC53" s="109">
        <f ca="1">Other!AC27</f>
        <v>1332.7014375084163</v>
      </c>
      <c r="AD53" s="109">
        <f ca="1">Other!AD27</f>
        <v>1328.2944944928822</v>
      </c>
      <c r="AE53" s="109">
        <f ca="1">Other!AE27</f>
        <v>1324.2725761214697</v>
      </c>
      <c r="AF53" s="109">
        <f ca="1">Other!AF27</f>
        <v>1320.6708060819019</v>
      </c>
      <c r="AG53" s="109">
        <f ca="1">Other!AG27</f>
        <v>1320.9664044243073</v>
      </c>
      <c r="AH53" s="109"/>
      <c r="AI53" s="171"/>
      <c r="AJ53" s="109">
        <v>20</v>
      </c>
      <c r="AK53" s="109">
        <v>21</v>
      </c>
      <c r="AL53" s="109">
        <v>17</v>
      </c>
      <c r="AM53" s="109">
        <v>17</v>
      </c>
      <c r="AN53" s="109">
        <v>8</v>
      </c>
      <c r="AO53" s="109">
        <v>11</v>
      </c>
      <c r="AP53" s="109">
        <v>6</v>
      </c>
      <c r="AQ53" s="109">
        <v>5</v>
      </c>
      <c r="AR53" s="109">
        <v>10</v>
      </c>
      <c r="AS53" s="109">
        <v>9</v>
      </c>
      <c r="AT53" s="109">
        <v>11</v>
      </c>
      <c r="AU53" s="109">
        <v>6</v>
      </c>
      <c r="AV53" s="109">
        <v>60</v>
      </c>
      <c r="AW53" s="109">
        <v>41</v>
      </c>
      <c r="AX53" s="109">
        <v>54</v>
      </c>
      <c r="AY53" s="109">
        <v>58</v>
      </c>
      <c r="AZ53" s="109">
        <v>66</v>
      </c>
      <c r="BA53" s="109">
        <v>65</v>
      </c>
      <c r="BB53" s="109">
        <v>46</v>
      </c>
      <c r="BC53" s="109">
        <v>51</v>
      </c>
      <c r="BD53" s="109">
        <v>24</v>
      </c>
      <c r="BE53" s="109">
        <v>25</v>
      </c>
      <c r="BF53" s="109">
        <v>22</v>
      </c>
      <c r="BG53" s="109">
        <v>20</v>
      </c>
      <c r="BH53" s="109">
        <v>21</v>
      </c>
      <c r="BI53" s="109">
        <v>20</v>
      </c>
      <c r="BJ53" s="109">
        <v>21</v>
      </c>
      <c r="BK53" s="109">
        <v>15</v>
      </c>
      <c r="BL53" s="171">
        <v>15</v>
      </c>
      <c r="BM53" s="109">
        <v>24</v>
      </c>
      <c r="BN53" s="109">
        <v>18</v>
      </c>
      <c r="BO53" s="109">
        <v>17</v>
      </c>
      <c r="BP53" s="171">
        <v>-68</v>
      </c>
      <c r="BQ53" s="109">
        <v>-72</v>
      </c>
      <c r="BR53" s="109">
        <v>-71</v>
      </c>
      <c r="BS53" s="109">
        <v>-74</v>
      </c>
      <c r="BT53" s="171">
        <f>IS!BW48-BT52-BT51-BT50-BT49</f>
        <v>-11</v>
      </c>
      <c r="BU53" s="109">
        <f>IS!BX48-BU52-BU51-BU50-BU49</f>
        <v>-12</v>
      </c>
      <c r="BV53" s="109">
        <f>IS!BY48-BV52-BV51-BV50-BV49</f>
        <v>-13</v>
      </c>
      <c r="BW53" s="109">
        <f>IS!BZ48-BW52-BW51-BW50-BW49</f>
        <v>11</v>
      </c>
      <c r="BX53" s="171">
        <f>IS!CA48-BX52-BX51-BX50-BX49</f>
        <v>10</v>
      </c>
      <c r="BY53" s="109">
        <f>IS!CB48-BY52-BY51-BY50-BY49</f>
        <v>10</v>
      </c>
      <c r="BZ53" s="109">
        <f>IS!CC48-BZ52-BZ51-BZ50-BZ49</f>
        <v>11</v>
      </c>
      <c r="CA53" s="109">
        <f>IS!CD48-CA52-CA51-CA50-CA49</f>
        <v>8</v>
      </c>
      <c r="CB53" s="171">
        <f>IS!CE48-CB52-CB51-CB50-CB49</f>
        <v>-278.04964539007142</v>
      </c>
      <c r="CC53" s="109">
        <f>IS!CF48-CC52-CC51-CC50-CC49</f>
        <v>-267.6854034451494</v>
      </c>
      <c r="CD53" s="109">
        <f>IS!CG48-CD52-CD51-CD50-CD49</f>
        <v>-273.41416893732958</v>
      </c>
      <c r="CE53" s="109">
        <f>IS!CH48-CE52-CE51-CE50-CE49</f>
        <v>-262.32712215320862</v>
      </c>
      <c r="CF53" s="171">
        <f>IS!CI48-CF52-CF51-CF50-CF49</f>
        <v>19</v>
      </c>
      <c r="CG53" s="109">
        <f>IS!CJ48-CG52-CG51-CG50-CG49</f>
        <v>14</v>
      </c>
      <c r="CH53" s="109">
        <f>IS!CK48-CH52-CH51-CH50-CH49</f>
        <v>16</v>
      </c>
      <c r="CI53" s="109">
        <f>IS!CL48-CI52-CI51-CI50-CI49</f>
        <v>16</v>
      </c>
      <c r="CJ53" s="171">
        <f>IS!CM48-CJ52-CJ51-CJ50-CJ49</f>
        <v>14</v>
      </c>
      <c r="CK53" s="109">
        <f>IS!CN48-CK52-CK51-CK50-CK49</f>
        <v>17</v>
      </c>
      <c r="CL53" s="109">
        <f>IS!CO48-CL52-CL51-CL50-CL49</f>
        <v>17</v>
      </c>
      <c r="CM53" s="109">
        <f>IS!CP48-CM52-CM51-CM50-CM49</f>
        <v>17</v>
      </c>
      <c r="CN53" s="171">
        <f>IS!CQ48-CN52-CN51-CN50-CN49</f>
        <v>18</v>
      </c>
      <c r="CO53" s="109">
        <f>IS!CR48-CO52-CO51-CO50-CO49</f>
        <v>18</v>
      </c>
      <c r="CP53" s="109">
        <f>IS!CS48-CP52-CP51-CP50-CP49</f>
        <v>20</v>
      </c>
      <c r="CQ53" s="172">
        <f>IS!CT48-CQ52-CQ51-CQ50-CQ49</f>
        <v>20</v>
      </c>
      <c r="CR53" s="109">
        <f>IS!CU48-CR52-CR51-CR50-CR49</f>
        <v>20</v>
      </c>
      <c r="CS53" s="109">
        <f>IS!CV48-CS52-CS51-CS50-CS49</f>
        <v>15</v>
      </c>
      <c r="CT53" s="109">
        <f>IS!CW48-CT52-CT51-CT50-CT49</f>
        <v>23</v>
      </c>
      <c r="CU53" s="109">
        <f>IS!CX48-CU52-CU51-CU50-CU49</f>
        <v>18</v>
      </c>
      <c r="CV53" s="171">
        <f>IS!CY48-CV52-CV51-CV50-CV49</f>
        <v>17</v>
      </c>
      <c r="CW53" s="109">
        <f>IS!CZ48-CW52-CW51-CW50-CW49</f>
        <v>19</v>
      </c>
      <c r="CX53" s="109">
        <f>IS!DA48-CX52-CX51-CX50-CX49</f>
        <v>20</v>
      </c>
      <c r="CY53" s="109">
        <f>IS!DB48-CY52-CY51-CY50-CY49</f>
        <v>21</v>
      </c>
      <c r="CZ53" s="171">
        <f>IS!DC48-CZ52-CZ51-CZ50-CZ49</f>
        <v>43</v>
      </c>
      <c r="DA53" s="1044">
        <f>IS!DD48-DA52-DA51-DA50-DA49</f>
        <v>49</v>
      </c>
      <c r="DB53" s="1044">
        <f>IS!DE48-DB52-DB51-DB50-DB49</f>
        <v>50</v>
      </c>
      <c r="DC53" s="172">
        <f>IS!DF48-DC52-DC51-DC50-DC49</f>
        <v>50</v>
      </c>
      <c r="DD53" s="171">
        <f>IS!DG48-DD52-DD51-DD50-DD49</f>
        <v>53</v>
      </c>
      <c r="DE53" s="1044">
        <f>IS!DH48-DE52-DE51-DE50-DE49</f>
        <v>49</v>
      </c>
      <c r="DF53" s="2151">
        <f>IS!DI48-DF52-DF51-DF50-DF49</f>
        <v>126</v>
      </c>
      <c r="DG53" s="2473">
        <f>IS!DJ48-DG52-DG51-DG50-DG49</f>
        <v>131</v>
      </c>
      <c r="DH53" s="2151">
        <f>IS!DK48-DH52-DH51-DH50-DH49</f>
        <v>136</v>
      </c>
      <c r="DI53" s="2164">
        <f>IS!DL48-DI52-DI51-DI50-DI49</f>
        <v>138</v>
      </c>
      <c r="DJ53" s="2164">
        <f>IS!DM48-DJ52-DJ51-DJ50-DJ49</f>
        <v>157</v>
      </c>
      <c r="DK53" s="2165">
        <f>IS!DN48-DK52-DK51-DK50-DK49</f>
        <v>201</v>
      </c>
      <c r="DL53" s="2164">
        <f>IS!DO48-DL52-DL51-DL50-DL49</f>
        <v>229</v>
      </c>
      <c r="DM53" s="2164">
        <f>IS!DP48-DM52-DM51-DM50-DM49</f>
        <v>268</v>
      </c>
      <c r="DN53" s="2164">
        <f>IS!DQ48-DN52-DN51-DN50-DN49</f>
        <v>357</v>
      </c>
      <c r="DO53" s="2165">
        <f>IS!DR48-DO52-DO51-DO50-DO49</f>
        <v>580</v>
      </c>
      <c r="DP53" s="2164">
        <f>IS!DS48-DP52-DP51-DP50-DP49</f>
        <v>362</v>
      </c>
      <c r="DQ53" s="2164">
        <f ca="1">IS!DT48-DQ52-DQ51-DQ50-DQ49</f>
        <v>343.9187616212962</v>
      </c>
      <c r="DR53" s="2164">
        <f ca="1">IS!DU48-DR52-DR51-DR50-DR49</f>
        <v>326.60250046574492</v>
      </c>
      <c r="DS53" s="2165">
        <f ca="1">IS!DV48-DS52-DS51-DS50-DS49</f>
        <v>309.14802676282306</v>
      </c>
      <c r="DT53" s="109"/>
    </row>
    <row r="54" spans="1:124">
      <c r="A54" s="109" t="s">
        <v>1040</v>
      </c>
      <c r="B54" s="109"/>
      <c r="C54" s="109"/>
      <c r="D54" s="109"/>
      <c r="E54" s="109">
        <v>8959</v>
      </c>
      <c r="F54" s="109">
        <v>9253</v>
      </c>
      <c r="G54" s="109">
        <v>11788</v>
      </c>
      <c r="H54" s="109">
        <v>12586</v>
      </c>
      <c r="I54" s="109">
        <v>13686</v>
      </c>
      <c r="J54" s="109">
        <v>13290</v>
      </c>
      <c r="K54" s="109">
        <v>13497</v>
      </c>
      <c r="L54" s="109">
        <v>13881</v>
      </c>
      <c r="M54" s="109">
        <v>13708</v>
      </c>
      <c r="N54" s="109">
        <f t="shared" ref="N54:W54" si="33">SUM(N49:N53)</f>
        <v>14289</v>
      </c>
      <c r="O54" s="109">
        <f t="shared" si="33"/>
        <v>14120</v>
      </c>
      <c r="P54" s="109">
        <f t="shared" si="33"/>
        <v>14505</v>
      </c>
      <c r="Q54" s="1044">
        <f t="shared" si="33"/>
        <v>15333</v>
      </c>
      <c r="R54" s="109">
        <f t="shared" si="33"/>
        <v>15890</v>
      </c>
      <c r="S54" s="109">
        <f t="shared" si="33"/>
        <v>16496</v>
      </c>
      <c r="T54" s="1044">
        <f t="shared" si="33"/>
        <v>16460</v>
      </c>
      <c r="U54" s="1044">
        <f t="shared" si="33"/>
        <v>16606</v>
      </c>
      <c r="V54" s="109">
        <f t="shared" si="33"/>
        <v>16533</v>
      </c>
      <c r="W54" s="109">
        <f t="shared" si="33"/>
        <v>16017</v>
      </c>
      <c r="X54" s="109">
        <f>SUM(X49:X53)</f>
        <v>15928</v>
      </c>
      <c r="Y54" s="109">
        <f>SUM(Y49:Y53)</f>
        <v>16954</v>
      </c>
      <c r="Z54" s="109">
        <f ca="1">SUM(Z49:Z53)</f>
        <v>17544.453106654197</v>
      </c>
      <c r="AA54" s="109">
        <f ca="1">SUM(AA49:AA53)</f>
        <v>17448.447250665944</v>
      </c>
      <c r="AB54" s="109">
        <f ca="1">SUM(AB49:AB53)</f>
        <v>17388.464921089417</v>
      </c>
      <c r="AC54" s="109">
        <f t="shared" ref="AC54:AG54" ca="1" si="34">SUM(AC49:AC53)</f>
        <v>17332.258805757396</v>
      </c>
      <c r="AD54" s="109">
        <f t="shared" ca="1" si="34"/>
        <v>17280.235774858396</v>
      </c>
      <c r="AE54" s="109">
        <f t="shared" ca="1" si="34"/>
        <v>17232.757878509023</v>
      </c>
      <c r="AF54" s="109">
        <f t="shared" ca="1" si="34"/>
        <v>17190.239744419494</v>
      </c>
      <c r="AG54" s="109">
        <f t="shared" ca="1" si="34"/>
        <v>17193.729220377427</v>
      </c>
      <c r="AH54" s="109"/>
      <c r="AI54" s="171"/>
      <c r="AJ54" s="109">
        <v>2230</v>
      </c>
      <c r="AK54" s="109">
        <v>2239</v>
      </c>
      <c r="AL54" s="109">
        <v>2291</v>
      </c>
      <c r="AM54" s="109">
        <v>2199</v>
      </c>
      <c r="AN54" s="109">
        <v>2267</v>
      </c>
      <c r="AO54" s="109">
        <v>2311</v>
      </c>
      <c r="AP54" s="109">
        <v>2339</v>
      </c>
      <c r="AQ54" s="109">
        <v>2336</v>
      </c>
      <c r="AR54" s="109">
        <v>2921</v>
      </c>
      <c r="AS54" s="109">
        <v>2944</v>
      </c>
      <c r="AT54" s="109">
        <v>2928</v>
      </c>
      <c r="AU54" s="109">
        <v>2995</v>
      </c>
      <c r="AV54" s="109">
        <v>3032</v>
      </c>
      <c r="AW54" s="109">
        <v>3126</v>
      </c>
      <c r="AX54" s="109">
        <v>3208</v>
      </c>
      <c r="AY54" s="109">
        <v>3220</v>
      </c>
      <c r="AZ54" s="109">
        <v>3352</v>
      </c>
      <c r="BA54" s="109">
        <v>3388</v>
      </c>
      <c r="BB54" s="109">
        <v>3427</v>
      </c>
      <c r="BC54" s="109">
        <v>3519</v>
      </c>
      <c r="BD54" s="109">
        <v>3286</v>
      </c>
      <c r="BE54" s="109">
        <v>3322</v>
      </c>
      <c r="BF54" s="109">
        <v>3287</v>
      </c>
      <c r="BG54" s="109">
        <v>3395</v>
      </c>
      <c r="BH54" s="109">
        <v>3342</v>
      </c>
      <c r="BI54" s="109">
        <v>3353</v>
      </c>
      <c r="BJ54" s="109">
        <v>3387</v>
      </c>
      <c r="BK54" s="109">
        <v>3415</v>
      </c>
      <c r="BL54" s="171">
        <v>3396</v>
      </c>
      <c r="BM54" s="109">
        <v>3437</v>
      </c>
      <c r="BN54" s="109">
        <v>3483</v>
      </c>
      <c r="BO54" s="109">
        <v>3565</v>
      </c>
      <c r="BP54" s="171">
        <v>3376</v>
      </c>
      <c r="BQ54" s="109">
        <v>3410</v>
      </c>
      <c r="BR54" s="109">
        <v>3433</v>
      </c>
      <c r="BS54" s="109">
        <v>3489</v>
      </c>
      <c r="BT54" s="171">
        <f t="shared" ref="BT54:CZ54" si="35">SUM(BT49:BT53)</f>
        <v>3599</v>
      </c>
      <c r="BU54" s="109">
        <f t="shared" si="35"/>
        <v>3539</v>
      </c>
      <c r="BV54" s="109">
        <f t="shared" si="35"/>
        <v>3537</v>
      </c>
      <c r="BW54" s="109">
        <f t="shared" si="35"/>
        <v>3589</v>
      </c>
      <c r="BX54" s="171">
        <f t="shared" si="35"/>
        <v>3469</v>
      </c>
      <c r="BY54" s="109">
        <f t="shared" si="35"/>
        <v>3509</v>
      </c>
      <c r="BZ54" s="109">
        <f t="shared" si="35"/>
        <v>3540</v>
      </c>
      <c r="CA54" s="109">
        <f t="shared" si="35"/>
        <v>3602</v>
      </c>
      <c r="CB54" s="171">
        <f t="shared" si="35"/>
        <v>3522</v>
      </c>
      <c r="CC54" s="109">
        <f t="shared" si="35"/>
        <v>3584</v>
      </c>
      <c r="CD54" s="109">
        <f t="shared" si="35"/>
        <v>3652</v>
      </c>
      <c r="CE54" s="109">
        <f t="shared" si="35"/>
        <v>3747</v>
      </c>
      <c r="CF54" s="171">
        <f t="shared" si="35"/>
        <v>3766</v>
      </c>
      <c r="CG54" s="109">
        <f t="shared" si="35"/>
        <v>3780</v>
      </c>
      <c r="CH54" s="109">
        <f t="shared" si="35"/>
        <v>3849</v>
      </c>
      <c r="CI54" s="109">
        <f t="shared" si="35"/>
        <v>3938</v>
      </c>
      <c r="CJ54" s="171">
        <f t="shared" si="35"/>
        <v>3889</v>
      </c>
      <c r="CK54" s="109">
        <f t="shared" si="35"/>
        <v>3944</v>
      </c>
      <c r="CL54" s="109">
        <f t="shared" si="35"/>
        <v>3998</v>
      </c>
      <c r="CM54" s="109">
        <f t="shared" si="35"/>
        <v>4059</v>
      </c>
      <c r="CN54" s="171">
        <f t="shared" si="35"/>
        <v>4024</v>
      </c>
      <c r="CO54" s="109">
        <f t="shared" si="35"/>
        <v>4113</v>
      </c>
      <c r="CP54" s="109">
        <f t="shared" si="35"/>
        <v>4179</v>
      </c>
      <c r="CQ54" s="172">
        <f t="shared" si="35"/>
        <v>4180</v>
      </c>
      <c r="CR54" s="109">
        <f t="shared" si="35"/>
        <v>4028</v>
      </c>
      <c r="CS54" s="109">
        <f t="shared" si="35"/>
        <v>4128</v>
      </c>
      <c r="CT54" s="109">
        <f t="shared" si="35"/>
        <v>4167</v>
      </c>
      <c r="CU54" s="109">
        <f t="shared" si="35"/>
        <v>4137</v>
      </c>
      <c r="CV54" s="171">
        <f t="shared" si="35"/>
        <v>4118</v>
      </c>
      <c r="CW54" s="109">
        <f t="shared" si="35"/>
        <v>4151</v>
      </c>
      <c r="CX54" s="109">
        <f t="shared" si="35"/>
        <v>4154</v>
      </c>
      <c r="CY54" s="109">
        <f t="shared" si="35"/>
        <v>4183</v>
      </c>
      <c r="CZ54" s="171">
        <f t="shared" si="35"/>
        <v>4137</v>
      </c>
      <c r="DA54" s="1044">
        <f t="shared" ref="DA54:DF54" si="36">SUM(DA49:DA53)</f>
        <v>4161</v>
      </c>
      <c r="DB54" s="1044">
        <f t="shared" si="36"/>
        <v>4167</v>
      </c>
      <c r="DC54" s="172">
        <f t="shared" si="36"/>
        <v>4068</v>
      </c>
      <c r="DD54" s="171">
        <f>SUM(DD49:DD53)</f>
        <v>3989</v>
      </c>
      <c r="DE54" s="1044">
        <f t="shared" si="36"/>
        <v>3980</v>
      </c>
      <c r="DF54" s="1044">
        <f t="shared" si="36"/>
        <v>4009</v>
      </c>
      <c r="DG54" s="172">
        <f>SUM(DG49:DG53)</f>
        <v>4039</v>
      </c>
      <c r="DH54" s="1044">
        <f>SUM(DH49:DH53)</f>
        <v>4017</v>
      </c>
      <c r="DI54" s="1044">
        <f>SUM(DI49:DI53)</f>
        <v>3982</v>
      </c>
      <c r="DJ54" s="1044">
        <f>SUM(DJ49:DJ53)</f>
        <v>3942</v>
      </c>
      <c r="DK54" s="172">
        <f>SUM(DK49:DK53)</f>
        <v>3987</v>
      </c>
      <c r="DL54" s="1044">
        <f t="shared" ref="DL54:DO54" si="37">SUM(DL49:DL53)</f>
        <v>4059</v>
      </c>
      <c r="DM54" s="1044">
        <f t="shared" si="37"/>
        <v>4167</v>
      </c>
      <c r="DN54" s="1044">
        <f t="shared" si="37"/>
        <v>4272</v>
      </c>
      <c r="DO54" s="172">
        <f t="shared" si="37"/>
        <v>4456</v>
      </c>
      <c r="DP54" s="1044">
        <f t="shared" ref="DP54:DS54" si="38">SUM(DP49:DP53)</f>
        <v>4324</v>
      </c>
      <c r="DQ54" s="1044">
        <f t="shared" ca="1" si="38"/>
        <v>4341.6356697294414</v>
      </c>
      <c r="DR54" s="1044">
        <f t="shared" ca="1" si="38"/>
        <v>4370.7157387147827</v>
      </c>
      <c r="DS54" s="172">
        <f t="shared" ca="1" si="38"/>
        <v>4401.7709870598346</v>
      </c>
      <c r="DT54" s="109"/>
    </row>
    <row r="55" spans="1:124">
      <c r="A55" s="256" t="s">
        <v>1237</v>
      </c>
      <c r="B55" s="256"/>
      <c r="C55" s="256"/>
      <c r="D55" s="256"/>
      <c r="E55" s="256">
        <v>0</v>
      </c>
      <c r="F55" s="256">
        <v>0</v>
      </c>
      <c r="G55" s="256">
        <v>0</v>
      </c>
      <c r="H55" s="256">
        <v>0</v>
      </c>
      <c r="I55" s="256">
        <v>0</v>
      </c>
      <c r="J55" s="256">
        <v>0</v>
      </c>
      <c r="K55" s="256">
        <v>0</v>
      </c>
      <c r="L55" s="256">
        <v>0</v>
      </c>
      <c r="M55" s="256">
        <v>0</v>
      </c>
      <c r="N55" s="256">
        <f>N54-IS!N48</f>
        <v>25</v>
      </c>
      <c r="O55" s="256">
        <f>O54-IS!O48</f>
        <v>0</v>
      </c>
      <c r="P55" s="256">
        <f>P54-IS!P48</f>
        <v>0</v>
      </c>
      <c r="Q55" s="1082">
        <f>Q54-IS!Q48</f>
        <v>0</v>
      </c>
      <c r="R55" s="256">
        <f>R54-IS!R48</f>
        <v>0</v>
      </c>
      <c r="S55" s="256">
        <f>S54-IS!S48</f>
        <v>0</v>
      </c>
      <c r="T55" s="1082">
        <f>T54-IS!T48</f>
        <v>0</v>
      </c>
      <c r="U55" s="1082">
        <f>U54-IS!U48</f>
        <v>0</v>
      </c>
      <c r="V55" s="256">
        <f>V54-IS!V48</f>
        <v>0</v>
      </c>
      <c r="W55" s="256">
        <f>W54-IS!W48</f>
        <v>0</v>
      </c>
      <c r="X55" s="256">
        <f>X54-IS!X48</f>
        <v>0</v>
      </c>
      <c r="Y55" s="256">
        <f>Y54-IS!Y48</f>
        <v>0</v>
      </c>
      <c r="Z55" s="256">
        <f ca="1">Z54-IS!Z48</f>
        <v>106.33071115013809</v>
      </c>
      <c r="AA55" s="256">
        <f ca="1">AA54-IS!AA48</f>
        <v>0</v>
      </c>
      <c r="AB55" s="256">
        <f ca="1">AB54-IS!AB48</f>
        <v>0</v>
      </c>
      <c r="AC55" s="256">
        <f ca="1">AC54-IS!AC48</f>
        <v>0</v>
      </c>
      <c r="AD55" s="256">
        <f ca="1">AD54-IS!AD48</f>
        <v>0</v>
      </c>
      <c r="AE55" s="256">
        <f ca="1">AE54-IS!AE48</f>
        <v>0</v>
      </c>
      <c r="AF55" s="256">
        <f ca="1">AF54-IS!AF48</f>
        <v>0</v>
      </c>
      <c r="AG55" s="256">
        <f ca="1">AG54-IS!AG48</f>
        <v>0</v>
      </c>
      <c r="AH55" s="143"/>
      <c r="AI55" s="257"/>
      <c r="AJ55" s="256">
        <v>0</v>
      </c>
      <c r="AK55" s="256">
        <v>0</v>
      </c>
      <c r="AL55" s="256">
        <v>0</v>
      </c>
      <c r="AM55" s="256">
        <v>0</v>
      </c>
      <c r="AN55" s="256">
        <v>0</v>
      </c>
      <c r="AO55" s="256">
        <v>0</v>
      </c>
      <c r="AP55" s="256">
        <v>0</v>
      </c>
      <c r="AQ55" s="256">
        <v>0</v>
      </c>
      <c r="AR55" s="256">
        <v>0</v>
      </c>
      <c r="AS55" s="256">
        <v>0</v>
      </c>
      <c r="AT55" s="256">
        <v>0</v>
      </c>
      <c r="AU55" s="256">
        <v>0</v>
      </c>
      <c r="AV55" s="256">
        <v>0</v>
      </c>
      <c r="AW55" s="256">
        <v>0</v>
      </c>
      <c r="AX55" s="256">
        <v>0</v>
      </c>
      <c r="AY55" s="256">
        <v>0</v>
      </c>
      <c r="AZ55" s="256">
        <v>0</v>
      </c>
      <c r="BA55" s="256">
        <v>0</v>
      </c>
      <c r="BB55" s="256">
        <v>0</v>
      </c>
      <c r="BC55" s="256">
        <v>0</v>
      </c>
      <c r="BD55" s="256">
        <v>0</v>
      </c>
      <c r="BE55" s="256">
        <v>0</v>
      </c>
      <c r="BF55" s="256">
        <v>0</v>
      </c>
      <c r="BG55" s="256">
        <v>0</v>
      </c>
      <c r="BH55" s="256">
        <v>0</v>
      </c>
      <c r="BI55" s="256">
        <v>0</v>
      </c>
      <c r="BJ55" s="256">
        <v>0</v>
      </c>
      <c r="BK55" s="256">
        <v>0</v>
      </c>
      <c r="BL55" s="257">
        <v>0</v>
      </c>
      <c r="BM55" s="256">
        <v>0</v>
      </c>
      <c r="BN55" s="256">
        <v>0</v>
      </c>
      <c r="BO55" s="256">
        <v>0</v>
      </c>
      <c r="BP55" s="257">
        <v>0</v>
      </c>
      <c r="BQ55" s="256">
        <v>0</v>
      </c>
      <c r="BR55" s="256">
        <v>0</v>
      </c>
      <c r="BS55" s="256">
        <v>0</v>
      </c>
      <c r="BT55" s="257">
        <f>BT54-IS!BW48</f>
        <v>0</v>
      </c>
      <c r="BU55" s="256">
        <f>BU54-IS!BX48</f>
        <v>0</v>
      </c>
      <c r="BV55" s="256">
        <f>BV54-IS!BY48</f>
        <v>0</v>
      </c>
      <c r="BW55" s="256">
        <f>BW54-IS!BZ48</f>
        <v>0</v>
      </c>
      <c r="BX55" s="257">
        <f>BX54-IS!CA48</f>
        <v>0</v>
      </c>
      <c r="BY55" s="256">
        <f>BY54-IS!CB48</f>
        <v>0</v>
      </c>
      <c r="BZ55" s="256">
        <f>BZ54-IS!CC48</f>
        <v>0</v>
      </c>
      <c r="CA55" s="256">
        <f>CA54-IS!CD48</f>
        <v>0</v>
      </c>
      <c r="CB55" s="257">
        <f>CB54-IS!CE48</f>
        <v>0</v>
      </c>
      <c r="CC55" s="256">
        <f>CC54-IS!CF48</f>
        <v>0</v>
      </c>
      <c r="CD55" s="256">
        <f>CD54-IS!CG48</f>
        <v>0</v>
      </c>
      <c r="CE55" s="256">
        <f>CE54-IS!CH48</f>
        <v>0</v>
      </c>
      <c r="CF55" s="257">
        <f>CF54-IS!CI48</f>
        <v>0</v>
      </c>
      <c r="CG55" s="256">
        <f>CG54-IS!CJ48</f>
        <v>0</v>
      </c>
      <c r="CH55" s="256">
        <f>CH54-IS!CK48</f>
        <v>0</v>
      </c>
      <c r="CI55" s="256">
        <f>CI54-IS!CL48</f>
        <v>0</v>
      </c>
      <c r="CJ55" s="257">
        <f>CJ54-IS!CM48</f>
        <v>0</v>
      </c>
      <c r="CK55" s="256">
        <f>CK54-IS!CN48</f>
        <v>0</v>
      </c>
      <c r="CL55" s="256">
        <f>CL54-IS!CO48</f>
        <v>0</v>
      </c>
      <c r="CM55" s="256">
        <f>CM54-IS!CP48</f>
        <v>0</v>
      </c>
      <c r="CN55" s="257">
        <f>CN54-IS!CQ48</f>
        <v>0</v>
      </c>
      <c r="CO55" s="256">
        <f>CO54-IS!CR48</f>
        <v>0</v>
      </c>
      <c r="CP55" s="256">
        <f>CP54-IS!CS48</f>
        <v>0</v>
      </c>
      <c r="CQ55" s="258">
        <f>CQ54-IS!CT48</f>
        <v>0</v>
      </c>
      <c r="CR55" s="256">
        <f>CR54-IS!CU48</f>
        <v>0</v>
      </c>
      <c r="CS55" s="256">
        <f>CS54-IS!CV48</f>
        <v>0</v>
      </c>
      <c r="CT55" s="256">
        <f>CT54-IS!CW48</f>
        <v>0</v>
      </c>
      <c r="CU55" s="256">
        <f>CU54-IS!CX48</f>
        <v>0</v>
      </c>
      <c r="CV55" s="257">
        <f>CV54-IS!CY48</f>
        <v>0</v>
      </c>
      <c r="CW55" s="256">
        <f>CW54-IS!CZ48</f>
        <v>0</v>
      </c>
      <c r="CX55" s="256">
        <f>CX54-IS!DA48</f>
        <v>0</v>
      </c>
      <c r="CY55" s="256">
        <f>CY54-IS!DB48</f>
        <v>0</v>
      </c>
      <c r="CZ55" s="257">
        <f>CZ54-IS!DC48</f>
        <v>0</v>
      </c>
      <c r="DA55" s="1082">
        <f>DA54-IS!DD48</f>
        <v>0</v>
      </c>
      <c r="DB55" s="1082">
        <f>DB54-IS!DE48</f>
        <v>0</v>
      </c>
      <c r="DC55" s="258">
        <f>DC54-IS!DF48</f>
        <v>0</v>
      </c>
      <c r="DD55" s="257">
        <f>DD54-IS!DG48</f>
        <v>0</v>
      </c>
      <c r="DE55" s="1082">
        <f>DE54-IS!DH48</f>
        <v>0</v>
      </c>
      <c r="DF55" s="2158">
        <f>DF54-IS!DI48</f>
        <v>0</v>
      </c>
      <c r="DG55" s="2480">
        <f>DG54-IS!DJ48</f>
        <v>0</v>
      </c>
      <c r="DH55" s="2158">
        <f>DH54-IS!DK48</f>
        <v>0</v>
      </c>
      <c r="DI55" s="1082">
        <f>DI54-IS!DL48</f>
        <v>0</v>
      </c>
      <c r="DJ55" s="1082">
        <f>DJ54-IS!DM48</f>
        <v>0</v>
      </c>
      <c r="DK55" s="258">
        <f>DK54-IS!DN48</f>
        <v>0</v>
      </c>
      <c r="DL55" s="1082">
        <f>DL54-IS!DO48</f>
        <v>0</v>
      </c>
      <c r="DM55" s="1082">
        <f>DM54-IS!DP48</f>
        <v>0</v>
      </c>
      <c r="DN55" s="1082">
        <f>DN54-IS!DQ48</f>
        <v>0</v>
      </c>
      <c r="DO55" s="258">
        <f>DO54-IS!DR48</f>
        <v>0</v>
      </c>
      <c r="DP55" s="1082">
        <f>DP54-IS!DS48</f>
        <v>0</v>
      </c>
      <c r="DQ55" s="1082">
        <f ca="1">DQ54-IS!DT48</f>
        <v>0</v>
      </c>
      <c r="DR55" s="1082">
        <f ca="1">DR54-IS!DU48</f>
        <v>0</v>
      </c>
      <c r="DS55" s="258">
        <f ca="1">DS54-IS!DV48</f>
        <v>0</v>
      </c>
      <c r="DT55" s="143"/>
    </row>
    <row r="56" spans="1:124">
      <c r="A56" s="109"/>
      <c r="B56" s="109"/>
      <c r="C56" s="109"/>
      <c r="D56" s="109"/>
      <c r="E56" s="109"/>
      <c r="F56" s="109"/>
      <c r="G56" s="109"/>
      <c r="H56" s="109"/>
      <c r="I56" s="109"/>
      <c r="J56" s="109"/>
      <c r="K56" s="109"/>
      <c r="L56" s="109"/>
      <c r="M56" s="109"/>
      <c r="N56" s="109"/>
      <c r="O56" s="109"/>
      <c r="P56" s="109"/>
      <c r="Q56" s="1044"/>
      <c r="R56" s="109"/>
      <c r="S56" s="109"/>
      <c r="T56" s="1044"/>
      <c r="U56" s="1044"/>
      <c r="V56" s="109"/>
      <c r="W56" s="109"/>
      <c r="X56" s="109"/>
      <c r="Y56" s="109"/>
      <c r="Z56" s="109"/>
      <c r="AA56" s="109"/>
      <c r="AB56" s="109"/>
      <c r="AC56" s="109"/>
      <c r="AD56" s="109"/>
      <c r="AE56" s="109"/>
      <c r="AF56" s="109"/>
      <c r="AG56" s="109"/>
      <c r="AH56" s="109"/>
      <c r="AI56" s="171"/>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09"/>
      <c r="BG56" s="109"/>
      <c r="BH56" s="109"/>
      <c r="BI56" s="109"/>
      <c r="BJ56" s="109"/>
      <c r="BK56" s="109"/>
      <c r="BL56" s="171"/>
      <c r="BM56" s="109"/>
      <c r="BN56" s="109"/>
      <c r="BO56" s="109"/>
      <c r="BP56" s="171"/>
      <c r="BQ56" s="109"/>
      <c r="BR56" s="109"/>
      <c r="BS56" s="109"/>
      <c r="BT56" s="171"/>
      <c r="BU56" s="109"/>
      <c r="BV56" s="109"/>
      <c r="BW56" s="109"/>
      <c r="BX56" s="171"/>
      <c r="BY56" s="109"/>
      <c r="BZ56" s="109"/>
      <c r="CA56" s="109"/>
      <c r="CB56" s="171"/>
      <c r="CC56" s="109"/>
      <c r="CD56" s="109"/>
      <c r="CE56" s="109"/>
      <c r="CF56" s="171"/>
      <c r="CG56" s="109"/>
      <c r="CH56" s="109"/>
      <c r="CI56" s="109"/>
      <c r="CJ56" s="171"/>
      <c r="CK56" s="109"/>
      <c r="CL56" s="109"/>
      <c r="CM56" s="109"/>
      <c r="CN56" s="171"/>
      <c r="CO56" s="109"/>
      <c r="CP56" s="109"/>
      <c r="CQ56" s="172"/>
      <c r="CR56" s="109"/>
      <c r="CS56" s="109"/>
      <c r="CT56" s="109"/>
      <c r="CU56" s="109"/>
      <c r="CV56" s="171"/>
      <c r="CW56" s="109"/>
      <c r="CX56" s="109"/>
      <c r="CY56" s="109"/>
      <c r="CZ56" s="171"/>
      <c r="DA56" s="1044"/>
      <c r="DB56" s="1044"/>
      <c r="DC56" s="172"/>
      <c r="DD56" s="171"/>
      <c r="DE56" s="1044"/>
      <c r="DF56" s="1044"/>
      <c r="DG56" s="172"/>
      <c r="DH56" s="1044"/>
      <c r="DI56" s="1044"/>
      <c r="DJ56" s="1044"/>
      <c r="DK56" s="172"/>
      <c r="DL56" s="1044"/>
      <c r="DM56" s="1044"/>
      <c r="DN56" s="1044"/>
      <c r="DO56" s="172"/>
      <c r="DP56" s="1044"/>
      <c r="DQ56" s="1044"/>
      <c r="DR56" s="1044"/>
      <c r="DS56" s="172"/>
      <c r="DT56" s="109"/>
    </row>
    <row r="57" spans="1:124">
      <c r="A57" s="169" t="s">
        <v>969</v>
      </c>
      <c r="B57" s="109"/>
      <c r="C57" s="109"/>
      <c r="D57" s="109"/>
      <c r="E57" s="109"/>
      <c r="F57" s="109"/>
      <c r="G57" s="109"/>
      <c r="H57" s="109"/>
      <c r="I57" s="109"/>
      <c r="J57" s="109"/>
      <c r="K57" s="109"/>
      <c r="L57" s="109"/>
      <c r="M57" s="109"/>
      <c r="N57" s="109"/>
      <c r="O57" s="109"/>
      <c r="P57" s="109"/>
      <c r="Q57" s="1044"/>
      <c r="R57" s="109"/>
      <c r="S57" s="109"/>
      <c r="T57" s="1044"/>
      <c r="U57" s="1044"/>
      <c r="V57" s="109"/>
      <c r="W57" s="109"/>
      <c r="X57" s="109"/>
      <c r="Y57" s="109"/>
      <c r="Z57" s="109"/>
      <c r="AA57" s="109"/>
      <c r="AB57" s="109"/>
      <c r="AC57" s="109"/>
      <c r="AD57" s="109"/>
      <c r="AE57" s="109"/>
      <c r="AF57" s="109"/>
      <c r="AG57" s="109"/>
      <c r="AH57" s="109"/>
      <c r="AI57" s="171"/>
      <c r="AJ57" s="109"/>
      <c r="AK57" s="109"/>
      <c r="AL57" s="109"/>
      <c r="AM57" s="109"/>
      <c r="AN57" s="109"/>
      <c r="AO57" s="109"/>
      <c r="AP57" s="109"/>
      <c r="AQ57" s="109"/>
      <c r="AR57" s="109"/>
      <c r="AS57" s="109"/>
      <c r="AT57" s="109"/>
      <c r="AU57" s="109"/>
      <c r="AV57" s="109"/>
      <c r="AW57" s="109"/>
      <c r="AX57" s="109"/>
      <c r="AY57" s="109"/>
      <c r="AZ57" s="109"/>
      <c r="BA57" s="109"/>
      <c r="BB57" s="109"/>
      <c r="BC57" s="109"/>
      <c r="BD57" s="109"/>
      <c r="BE57" s="109"/>
      <c r="BF57" s="109"/>
      <c r="BG57" s="109"/>
      <c r="BH57" s="109"/>
      <c r="BI57" s="109"/>
      <c r="BJ57" s="109"/>
      <c r="BK57" s="109"/>
      <c r="BL57" s="171"/>
      <c r="BM57" s="109"/>
      <c r="BN57" s="109"/>
      <c r="BO57" s="109"/>
      <c r="BP57" s="171"/>
      <c r="BQ57" s="109"/>
      <c r="BR57" s="109"/>
      <c r="BS57" s="109"/>
      <c r="BT57" s="171"/>
      <c r="BU57" s="109"/>
      <c r="BV57" s="109"/>
      <c r="BW57" s="109"/>
      <c r="BX57" s="171"/>
      <c r="BY57" s="109"/>
      <c r="BZ57" s="109"/>
      <c r="CA57" s="109"/>
      <c r="CB57" s="171"/>
      <c r="CC57" s="109"/>
      <c r="CD57" s="109"/>
      <c r="CE57" s="109"/>
      <c r="CF57" s="171"/>
      <c r="CG57" s="109"/>
      <c r="CH57" s="109"/>
      <c r="CI57" s="109"/>
      <c r="CJ57" s="171"/>
      <c r="CK57" s="109"/>
      <c r="CL57" s="109"/>
      <c r="CM57" s="109"/>
      <c r="CN57" s="171"/>
      <c r="CO57" s="109"/>
      <c r="CP57" s="109"/>
      <c r="CQ57" s="172"/>
      <c r="CR57" s="109"/>
      <c r="CS57" s="109"/>
      <c r="CT57" s="109"/>
      <c r="CU57" s="109"/>
      <c r="CV57" s="171"/>
      <c r="CW57" s="109"/>
      <c r="CX57" s="109"/>
      <c r="CY57" s="109"/>
      <c r="CZ57" s="171"/>
      <c r="DA57" s="1044"/>
      <c r="DB57" s="1044"/>
      <c r="DC57" s="172"/>
      <c r="DD57" s="171"/>
      <c r="DE57" s="1044"/>
      <c r="DF57" s="1044"/>
      <c r="DG57" s="172"/>
      <c r="DH57" s="1044"/>
      <c r="DI57" s="1044"/>
      <c r="DJ57" s="1044"/>
      <c r="DK57" s="172"/>
      <c r="DL57" s="1044"/>
      <c r="DM57" s="1044"/>
      <c r="DN57" s="1044"/>
      <c r="DO57" s="172"/>
      <c r="DP57" s="1044"/>
      <c r="DQ57" s="1044"/>
      <c r="DR57" s="1044"/>
      <c r="DS57" s="172"/>
      <c r="DT57" s="109"/>
    </row>
    <row r="58" spans="1:124">
      <c r="A58" s="167" t="s">
        <v>948</v>
      </c>
      <c r="B58" s="109"/>
      <c r="C58" s="109"/>
      <c r="D58" s="109"/>
      <c r="E58" s="109">
        <v>9404</v>
      </c>
      <c r="F58" s="109">
        <v>9793</v>
      </c>
      <c r="G58" s="109">
        <v>9832</v>
      </c>
      <c r="H58" s="109">
        <v>9572</v>
      </c>
      <c r="I58" s="109">
        <v>9234</v>
      </c>
      <c r="J58" s="109">
        <v>8945</v>
      </c>
      <c r="K58" s="109">
        <v>7073</v>
      </c>
      <c r="L58" s="109">
        <v>5660</v>
      </c>
      <c r="M58" s="109">
        <v>4792</v>
      </c>
      <c r="N58" s="109">
        <f>SUM(BT58:BW58)</f>
        <v>4391</v>
      </c>
      <c r="O58" s="109">
        <f>SUM(BX58:CA58)</f>
        <v>4494</v>
      </c>
      <c r="P58" s="109">
        <f>SUM(CB58:CE58)</f>
        <v>3862</v>
      </c>
      <c r="Q58" s="1044">
        <f>SUM(CF58:CI58)</f>
        <v>1475</v>
      </c>
      <c r="R58" s="109">
        <f>SUM(CJ58:CM58)</f>
        <v>768</v>
      </c>
      <c r="S58" s="109">
        <f>SUM(CN58:CQ58)</f>
        <v>959</v>
      </c>
      <c r="T58" s="1044">
        <f>SUM(CR58:CU58)</f>
        <v>11</v>
      </c>
      <c r="U58" s="1044">
        <f>SUM(CV58:CY58)</f>
        <v>330</v>
      </c>
      <c r="V58" s="109">
        <f>SUM(CZ58:DC58)</f>
        <v>1035</v>
      </c>
      <c r="W58" s="109">
        <f t="shared" ref="W58:AB58" si="39">W13-W40-W49</f>
        <v>-24</v>
      </c>
      <c r="X58" s="109">
        <f t="shared" si="39"/>
        <v>171</v>
      </c>
      <c r="Y58" s="109">
        <f t="shared" si="39"/>
        <v>488</v>
      </c>
      <c r="Z58" s="109">
        <f t="shared" ref="Z58" ca="1" si="40">Z13-Z40-Z49</f>
        <v>250.9146040178166</v>
      </c>
      <c r="AA58" s="109">
        <f t="shared" ca="1" si="39"/>
        <v>317.98195081880658</v>
      </c>
      <c r="AB58" s="109">
        <f t="shared" ca="1" si="39"/>
        <v>299.66141264116231</v>
      </c>
      <c r="AC58" s="109">
        <f t="shared" ref="AC58:AG58" ca="1" si="41">AC13-AC40-AC49</f>
        <v>290.83953416729946</v>
      </c>
      <c r="AD58" s="109">
        <f t="shared" ca="1" si="41"/>
        <v>289.10397032974925</v>
      </c>
      <c r="AE58" s="109">
        <f t="shared" ca="1" si="41"/>
        <v>292.54466543815852</v>
      </c>
      <c r="AF58" s="109">
        <f t="shared" ca="1" si="41"/>
        <v>299.63336987760613</v>
      </c>
      <c r="AG58" s="109">
        <f t="shared" ca="1" si="41"/>
        <v>298.5957841578329</v>
      </c>
      <c r="AH58" s="109"/>
      <c r="AI58" s="171"/>
      <c r="AJ58" s="109">
        <v>2553</v>
      </c>
      <c r="AK58" s="109">
        <v>2310</v>
      </c>
      <c r="AL58" s="109">
        <v>2364</v>
      </c>
      <c r="AM58" s="109">
        <v>2177</v>
      </c>
      <c r="AN58" s="109">
        <v>2523</v>
      </c>
      <c r="AO58" s="109">
        <v>2383</v>
      </c>
      <c r="AP58" s="109">
        <v>2520</v>
      </c>
      <c r="AQ58" s="109">
        <v>2367</v>
      </c>
      <c r="AR58" s="109">
        <v>2572</v>
      </c>
      <c r="AS58" s="109">
        <v>2395</v>
      </c>
      <c r="AT58" s="109">
        <v>2459</v>
      </c>
      <c r="AU58" s="109">
        <v>2406</v>
      </c>
      <c r="AV58" s="109">
        <v>2387</v>
      </c>
      <c r="AW58" s="109">
        <v>2523</v>
      </c>
      <c r="AX58" s="109">
        <v>2426</v>
      </c>
      <c r="AY58" s="109">
        <v>2236</v>
      </c>
      <c r="AZ58" s="109">
        <v>2548</v>
      </c>
      <c r="BA58" s="109">
        <v>2580</v>
      </c>
      <c r="BB58" s="109">
        <v>2111</v>
      </c>
      <c r="BC58" s="109">
        <v>1995</v>
      </c>
      <c r="BD58" s="109">
        <v>2356</v>
      </c>
      <c r="BE58" s="109">
        <v>2310</v>
      </c>
      <c r="BF58" s="109">
        <v>2127</v>
      </c>
      <c r="BG58" s="109">
        <v>2152</v>
      </c>
      <c r="BH58" s="109">
        <v>2054</v>
      </c>
      <c r="BI58" s="109">
        <v>1924</v>
      </c>
      <c r="BJ58" s="109">
        <v>1589</v>
      </c>
      <c r="BK58" s="109">
        <v>1506</v>
      </c>
      <c r="BL58" s="171">
        <v>1471</v>
      </c>
      <c r="BM58" s="109">
        <v>1376</v>
      </c>
      <c r="BN58" s="109">
        <v>1379</v>
      </c>
      <c r="BO58" s="109">
        <v>1434</v>
      </c>
      <c r="BP58" s="171">
        <v>1254</v>
      </c>
      <c r="BQ58" s="109">
        <v>1200</v>
      </c>
      <c r="BR58" s="109">
        <v>1300</v>
      </c>
      <c r="BS58" s="109">
        <v>1038</v>
      </c>
      <c r="BT58" s="171">
        <f t="shared" ref="BT58:CY58" si="42">BT13-BT40-BT49</f>
        <v>1033</v>
      </c>
      <c r="BU58" s="109">
        <f t="shared" si="42"/>
        <v>1181</v>
      </c>
      <c r="BV58" s="109">
        <f t="shared" si="42"/>
        <v>1065</v>
      </c>
      <c r="BW58" s="109">
        <f t="shared" si="42"/>
        <v>1112</v>
      </c>
      <c r="BX58" s="171">
        <f t="shared" si="42"/>
        <v>1083</v>
      </c>
      <c r="BY58" s="109">
        <f t="shared" si="42"/>
        <v>1087</v>
      </c>
      <c r="BZ58" s="109">
        <f t="shared" si="42"/>
        <v>1135</v>
      </c>
      <c r="CA58" s="109">
        <f t="shared" si="42"/>
        <v>1189</v>
      </c>
      <c r="CB58" s="171">
        <f t="shared" si="42"/>
        <v>1040</v>
      </c>
      <c r="CC58" s="109">
        <f t="shared" si="42"/>
        <v>1063</v>
      </c>
      <c r="CD58" s="109">
        <f t="shared" si="42"/>
        <v>1046</v>
      </c>
      <c r="CE58" s="109">
        <f t="shared" si="42"/>
        <v>713</v>
      </c>
      <c r="CF58" s="171">
        <f t="shared" si="42"/>
        <v>447</v>
      </c>
      <c r="CG58" s="109">
        <f t="shared" si="42"/>
        <v>435</v>
      </c>
      <c r="CH58" s="109">
        <f t="shared" si="42"/>
        <v>334</v>
      </c>
      <c r="CI58" s="109">
        <f t="shared" si="42"/>
        <v>259</v>
      </c>
      <c r="CJ58" s="171">
        <f t="shared" si="42"/>
        <v>121</v>
      </c>
      <c r="CK58" s="109">
        <f t="shared" si="42"/>
        <v>207</v>
      </c>
      <c r="CL58" s="109">
        <f t="shared" si="42"/>
        <v>187</v>
      </c>
      <c r="CM58" s="109">
        <f t="shared" si="42"/>
        <v>253</v>
      </c>
      <c r="CN58" s="171">
        <f t="shared" si="42"/>
        <v>288</v>
      </c>
      <c r="CO58" s="109">
        <f t="shared" si="42"/>
        <v>318</v>
      </c>
      <c r="CP58" s="109">
        <f t="shared" si="42"/>
        <v>53</v>
      </c>
      <c r="CQ58" s="172">
        <f t="shared" si="42"/>
        <v>300</v>
      </c>
      <c r="CR58" s="109">
        <f t="shared" si="42"/>
        <v>157</v>
      </c>
      <c r="CS58" s="109">
        <f t="shared" si="42"/>
        <v>161</v>
      </c>
      <c r="CT58" s="109">
        <f t="shared" si="42"/>
        <v>41</v>
      </c>
      <c r="CU58" s="109">
        <f t="shared" si="42"/>
        <v>-348</v>
      </c>
      <c r="CV58" s="171">
        <f t="shared" si="42"/>
        <v>3</v>
      </c>
      <c r="CW58" s="109">
        <f t="shared" si="42"/>
        <v>66</v>
      </c>
      <c r="CX58" s="109">
        <f t="shared" si="42"/>
        <v>147</v>
      </c>
      <c r="CY58" s="109">
        <f t="shared" si="42"/>
        <v>114</v>
      </c>
      <c r="CZ58" s="171">
        <f t="shared" ref="CZ58:DB59" si="43">CZ13-CZ40-CZ49</f>
        <v>141</v>
      </c>
      <c r="DA58" s="1044">
        <f t="shared" si="43"/>
        <v>253</v>
      </c>
      <c r="DB58" s="1044">
        <f t="shared" si="43"/>
        <v>225</v>
      </c>
      <c r="DC58" s="172">
        <f t="shared" ref="DC58:DG59" si="44">DC13-DC40-DC49</f>
        <v>416</v>
      </c>
      <c r="DD58" s="171">
        <f t="shared" si="44"/>
        <v>-150</v>
      </c>
      <c r="DE58" s="1044">
        <f t="shared" si="44"/>
        <v>-43</v>
      </c>
      <c r="DF58" s="1044">
        <f t="shared" si="44"/>
        <v>33</v>
      </c>
      <c r="DG58" s="172">
        <f t="shared" si="44"/>
        <v>136</v>
      </c>
      <c r="DH58" s="1044">
        <f t="shared" ref="DH58" si="45">DH13-DH40-DH49</f>
        <v>64</v>
      </c>
      <c r="DI58" s="1044">
        <f t="shared" ref="DI58:DK59" si="46">DI13-DI40-DI49</f>
        <v>-463</v>
      </c>
      <c r="DJ58" s="1044">
        <f t="shared" ref="DJ58" si="47">DJ13-DJ40-DJ49</f>
        <v>156</v>
      </c>
      <c r="DK58" s="172">
        <f t="shared" si="46"/>
        <v>414</v>
      </c>
      <c r="DL58" s="1044">
        <f t="shared" ref="DL58:DO58" si="48">DL13-DL40-DL49</f>
        <v>293</v>
      </c>
      <c r="DM58" s="1044">
        <f t="shared" si="48"/>
        <v>68</v>
      </c>
      <c r="DN58" s="1044">
        <f t="shared" si="48"/>
        <v>65</v>
      </c>
      <c r="DO58" s="172">
        <f t="shared" si="48"/>
        <v>62</v>
      </c>
      <c r="DP58" s="1044">
        <f t="shared" ref="DP58:DS58" si="49">DP13-DP40-DP49</f>
        <v>69</v>
      </c>
      <c r="DQ58" s="1044">
        <f t="shared" ca="1" si="49"/>
        <v>48.697820596811198</v>
      </c>
      <c r="DR58" s="1044">
        <f t="shared" ca="1" si="49"/>
        <v>92.039582407679973</v>
      </c>
      <c r="DS58" s="172">
        <f t="shared" ca="1" si="49"/>
        <v>41.177201013326794</v>
      </c>
      <c r="DT58" s="109"/>
    </row>
    <row r="59" spans="1:124">
      <c r="A59" s="167" t="s">
        <v>951</v>
      </c>
      <c r="B59" s="109"/>
      <c r="C59" s="109"/>
      <c r="D59" s="109"/>
      <c r="E59" s="109">
        <v>1168</v>
      </c>
      <c r="F59" s="109">
        <v>1519</v>
      </c>
      <c r="G59" s="109">
        <v>1370</v>
      </c>
      <c r="H59" s="109">
        <v>1611</v>
      </c>
      <c r="I59" s="109">
        <v>2305</v>
      </c>
      <c r="J59" s="109">
        <v>3640</v>
      </c>
      <c r="K59" s="109">
        <v>4084</v>
      </c>
      <c r="L59" s="109">
        <v>5838</v>
      </c>
      <c r="M59" s="109">
        <v>7380</v>
      </c>
      <c r="N59" s="109">
        <f>Wless!N65</f>
        <v>15429.822</v>
      </c>
      <c r="O59" s="109">
        <f>Wless!O65</f>
        <v>18579.309999999998</v>
      </c>
      <c r="P59" s="109">
        <f>Wless!P65</f>
        <v>7910.5236600742428</v>
      </c>
      <c r="Q59" s="1044">
        <f>SUM(CF59:CI59)</f>
        <v>13206</v>
      </c>
      <c r="R59" s="109">
        <f>SUM(CJ59:CM59)</f>
        <v>17870</v>
      </c>
      <c r="S59" s="109">
        <f>SUM(CN59:CQ59)</f>
        <v>18527</v>
      </c>
      <c r="T59" s="1044">
        <f>SUM(CR59:CU59)</f>
        <v>21768</v>
      </c>
      <c r="U59" s="1044">
        <f>SUM(CV59:CY59)</f>
        <v>25997</v>
      </c>
      <c r="V59" s="109">
        <f>SUM(CZ59:DC59)</f>
        <v>26760</v>
      </c>
      <c r="W59" s="109">
        <f>Wless!W65</f>
        <v>29973</v>
      </c>
      <c r="X59" s="109">
        <f>Wless!X65</f>
        <v>29853</v>
      </c>
      <c r="Y59" s="2552">
        <f>Wless!Y65</f>
        <v>29207</v>
      </c>
      <c r="Z59" s="2552">
        <f ca="1">Wless!Z65</f>
        <v>30926.766086179938</v>
      </c>
      <c r="AA59" s="109">
        <f ca="1">Wless!AA65</f>
        <v>30809.622707665068</v>
      </c>
      <c r="AB59" s="109">
        <f ca="1">Wless!AB65</f>
        <v>31701.638584273904</v>
      </c>
      <c r="AC59" s="109">
        <f ca="1">Wless!AC65</f>
        <v>32669.547626902138</v>
      </c>
      <c r="AD59" s="109">
        <f ca="1">Wless!AD65</f>
        <v>33704.709909934871</v>
      </c>
      <c r="AE59" s="109">
        <f ca="1">Wless!AE65</f>
        <v>34809.719074331944</v>
      </c>
      <c r="AF59" s="109">
        <f ca="1">Wless!AF65</f>
        <v>35992.200439648841</v>
      </c>
      <c r="AG59" s="109">
        <f ca="1">Wless!AG65</f>
        <v>37235.477994105706</v>
      </c>
      <c r="AH59" s="109"/>
      <c r="AI59" s="171"/>
      <c r="AJ59" s="109">
        <v>257</v>
      </c>
      <c r="AK59" s="109">
        <v>313</v>
      </c>
      <c r="AL59" s="109">
        <v>334</v>
      </c>
      <c r="AM59" s="109">
        <v>264</v>
      </c>
      <c r="AN59" s="109">
        <v>343</v>
      </c>
      <c r="AO59" s="109">
        <v>431</v>
      </c>
      <c r="AP59" s="109">
        <v>397</v>
      </c>
      <c r="AQ59" s="109">
        <v>348</v>
      </c>
      <c r="AR59" s="109">
        <v>275</v>
      </c>
      <c r="AS59" s="109">
        <v>363</v>
      </c>
      <c r="AT59" s="109">
        <v>432</v>
      </c>
      <c r="AU59" s="109">
        <v>300</v>
      </c>
      <c r="AV59" s="109">
        <v>349</v>
      </c>
      <c r="AW59" s="109">
        <v>283</v>
      </c>
      <c r="AX59" s="109">
        <v>574</v>
      </c>
      <c r="AY59" s="109">
        <v>405</v>
      </c>
      <c r="AZ59" s="109">
        <v>490</v>
      </c>
      <c r="BA59" s="109">
        <v>679</v>
      </c>
      <c r="BB59" s="109">
        <v>688</v>
      </c>
      <c r="BC59" s="109">
        <v>448</v>
      </c>
      <c r="BD59" s="109">
        <v>774</v>
      </c>
      <c r="BE59" s="109">
        <v>907</v>
      </c>
      <c r="BF59" s="109">
        <v>970</v>
      </c>
      <c r="BG59" s="109">
        <v>989</v>
      </c>
      <c r="BH59" s="109">
        <v>874</v>
      </c>
      <c r="BI59" s="109">
        <v>981</v>
      </c>
      <c r="BJ59" s="109">
        <v>1124</v>
      </c>
      <c r="BK59" s="109">
        <v>1105</v>
      </c>
      <c r="BL59" s="171">
        <v>1202</v>
      </c>
      <c r="BM59" s="109">
        <v>1615</v>
      </c>
      <c r="BN59" s="109">
        <v>1646</v>
      </c>
      <c r="BO59" s="109">
        <v>1375</v>
      </c>
      <c r="BP59" s="171">
        <v>1540</v>
      </c>
      <c r="BQ59" s="109">
        <v>1782</v>
      </c>
      <c r="BR59" s="109">
        <v>1819</v>
      </c>
      <c r="BS59" s="109">
        <v>2239</v>
      </c>
      <c r="BT59" s="171">
        <f t="shared" ref="BT59:CY59" si="50">BT14-BT41-BT50</f>
        <v>2115</v>
      </c>
      <c r="BU59" s="109">
        <f t="shared" si="50"/>
        <v>2374</v>
      </c>
      <c r="BV59" s="109">
        <f t="shared" si="50"/>
        <v>2587</v>
      </c>
      <c r="BW59" s="109">
        <f t="shared" si="50"/>
        <v>2524</v>
      </c>
      <c r="BX59" s="171">
        <f t="shared" si="50"/>
        <v>2729</v>
      </c>
      <c r="BY59" s="109">
        <f t="shared" si="50"/>
        <v>3009</v>
      </c>
      <c r="BZ59" s="109">
        <f t="shared" si="50"/>
        <v>3054</v>
      </c>
      <c r="CA59" s="109">
        <f t="shared" si="50"/>
        <v>3003</v>
      </c>
      <c r="CB59" s="171">
        <f t="shared" si="50"/>
        <v>1772.9503546099286</v>
      </c>
      <c r="CC59" s="109">
        <f t="shared" si="50"/>
        <v>1985.3145965548506</v>
      </c>
      <c r="CD59" s="109">
        <f t="shared" si="50"/>
        <v>1906.5858310626704</v>
      </c>
      <c r="CE59" s="109">
        <f t="shared" si="50"/>
        <v>2245.6728778467914</v>
      </c>
      <c r="CF59" s="171">
        <f t="shared" si="50"/>
        <v>3230</v>
      </c>
      <c r="CG59" s="109">
        <f t="shared" si="50"/>
        <v>3364</v>
      </c>
      <c r="CH59" s="109">
        <f t="shared" si="50"/>
        <v>3363</v>
      </c>
      <c r="CI59" s="109">
        <f t="shared" si="50"/>
        <v>3249</v>
      </c>
      <c r="CJ59" s="171">
        <f t="shared" si="50"/>
        <v>3479</v>
      </c>
      <c r="CK59" s="109">
        <f t="shared" si="50"/>
        <v>4683</v>
      </c>
      <c r="CL59" s="109">
        <f t="shared" si="50"/>
        <v>4854</v>
      </c>
      <c r="CM59" s="109">
        <f t="shared" si="50"/>
        <v>4854</v>
      </c>
      <c r="CN59" s="171">
        <f t="shared" si="50"/>
        <v>4351</v>
      </c>
      <c r="CO59" s="109">
        <f t="shared" si="50"/>
        <v>4692</v>
      </c>
      <c r="CP59" s="109">
        <f t="shared" si="50"/>
        <v>5149</v>
      </c>
      <c r="CQ59" s="172">
        <f t="shared" si="50"/>
        <v>4335</v>
      </c>
      <c r="CR59" s="109">
        <f t="shared" si="50"/>
        <v>5217</v>
      </c>
      <c r="CS59" s="109">
        <f t="shared" si="50"/>
        <v>5713</v>
      </c>
      <c r="CT59" s="109">
        <f t="shared" si="50"/>
        <v>6047</v>
      </c>
      <c r="CU59" s="109">
        <f t="shared" si="50"/>
        <v>4791</v>
      </c>
      <c r="CV59" s="171">
        <f t="shared" si="50"/>
        <v>6418</v>
      </c>
      <c r="CW59" s="109">
        <f t="shared" si="50"/>
        <v>6464</v>
      </c>
      <c r="CX59" s="109">
        <f t="shared" si="50"/>
        <v>6886</v>
      </c>
      <c r="CY59" s="109">
        <f t="shared" si="50"/>
        <v>6229</v>
      </c>
      <c r="CZ59" s="171">
        <f t="shared" si="43"/>
        <v>7318</v>
      </c>
      <c r="DA59" s="1044">
        <f t="shared" si="43"/>
        <v>6985</v>
      </c>
      <c r="DB59" s="1044">
        <f t="shared" si="43"/>
        <v>6955</v>
      </c>
      <c r="DC59" s="172">
        <f t="shared" si="44"/>
        <v>5502</v>
      </c>
      <c r="DD59" s="171">
        <f t="shared" si="44"/>
        <v>7810</v>
      </c>
      <c r="DE59" s="1044">
        <f t="shared" si="44"/>
        <v>7696</v>
      </c>
      <c r="DF59" s="1044">
        <f t="shared" si="44"/>
        <v>7668</v>
      </c>
      <c r="DG59" s="172">
        <f t="shared" si="44"/>
        <v>6799</v>
      </c>
      <c r="DH59" s="1044">
        <f t="shared" ref="DH59" si="51">DH14-DH41-DH50</f>
        <v>7880</v>
      </c>
      <c r="DI59" s="1044">
        <f t="shared" si="46"/>
        <v>8017</v>
      </c>
      <c r="DJ59" s="1044">
        <f t="shared" ref="DJ59" si="52">DJ14-DJ41-DJ50</f>
        <v>7647</v>
      </c>
      <c r="DK59" s="172">
        <f t="shared" si="46"/>
        <v>6309</v>
      </c>
      <c r="DL59" s="1044">
        <f t="shared" ref="DL59:DO59" si="53">DL14-DL41-DL50</f>
        <v>7076</v>
      </c>
      <c r="DM59" s="1044">
        <f t="shared" si="53"/>
        <v>7410</v>
      </c>
      <c r="DN59" s="1044">
        <f t="shared" si="53"/>
        <v>7603</v>
      </c>
      <c r="DO59" s="172">
        <f t="shared" si="53"/>
        <v>7118</v>
      </c>
      <c r="DP59" s="1044">
        <f t="shared" ref="DP59:DS59" si="54">DP14-DP41-DP50</f>
        <v>8049</v>
      </c>
      <c r="DQ59" s="1044">
        <f t="shared" ca="1" si="54"/>
        <v>7894.2946871801269</v>
      </c>
      <c r="DR59" s="1044">
        <f t="shared" ca="1" si="54"/>
        <v>8065.078451947762</v>
      </c>
      <c r="DS59" s="172">
        <f t="shared" ca="1" si="54"/>
        <v>6918.392947052047</v>
      </c>
      <c r="DT59" s="109"/>
    </row>
    <row r="60" spans="1:124">
      <c r="A60" s="167" t="s">
        <v>953</v>
      </c>
      <c r="B60" s="109"/>
      <c r="C60" s="109"/>
      <c r="D60" s="109"/>
      <c r="E60" s="109">
        <v>-17</v>
      </c>
      <c r="F60" s="109">
        <v>154</v>
      </c>
      <c r="G60" s="109">
        <v>255</v>
      </c>
      <c r="H60" s="109">
        <v>1175</v>
      </c>
      <c r="I60" s="109">
        <v>1128</v>
      </c>
      <c r="J60" s="109">
        <v>647</v>
      </c>
      <c r="K60" s="109">
        <v>338</v>
      </c>
      <c r="L60" s="109">
        <v>593</v>
      </c>
      <c r="M60" s="109">
        <v>471</v>
      </c>
      <c r="N60" s="109">
        <f>SUM(BT60:BW60)</f>
        <v>0</v>
      </c>
      <c r="O60" s="109">
        <f>SUM(BX60:CA60)</f>
        <v>0</v>
      </c>
      <c r="P60" s="109"/>
      <c r="Q60" s="1044"/>
      <c r="R60" s="109"/>
      <c r="S60" s="109">
        <f>SUM(CN60:CQ60)</f>
        <v>0</v>
      </c>
      <c r="T60" s="1044">
        <f>SUM(CR60:CU60)</f>
        <v>0</v>
      </c>
      <c r="U60" s="1044">
        <f>SUM(CV60:CY60)</f>
        <v>0</v>
      </c>
      <c r="V60" s="109">
        <f>SUM(CZ60:DC60)</f>
        <v>0</v>
      </c>
      <c r="W60" s="109"/>
      <c r="X60" s="109"/>
      <c r="Y60" s="109"/>
      <c r="Z60" s="109"/>
      <c r="AA60" s="109"/>
      <c r="AB60" s="109"/>
      <c r="AC60" s="109"/>
      <c r="AD60" s="109"/>
      <c r="AE60" s="109"/>
      <c r="AF60" s="109"/>
      <c r="AG60" s="109"/>
      <c r="AH60" s="109"/>
      <c r="AI60" s="171"/>
      <c r="AJ60" s="109">
        <v>-40</v>
      </c>
      <c r="AK60" s="109">
        <v>-8</v>
      </c>
      <c r="AL60" s="109">
        <v>9</v>
      </c>
      <c r="AM60" s="109">
        <v>22</v>
      </c>
      <c r="AN60" s="109">
        <v>44</v>
      </c>
      <c r="AO60" s="109">
        <v>40</v>
      </c>
      <c r="AP60" s="109">
        <v>28</v>
      </c>
      <c r="AQ60" s="109">
        <v>42</v>
      </c>
      <c r="AR60" s="109">
        <v>54</v>
      </c>
      <c r="AS60" s="109">
        <v>63</v>
      </c>
      <c r="AT60" s="109">
        <v>96</v>
      </c>
      <c r="AU60" s="109">
        <v>42</v>
      </c>
      <c r="AV60" s="109">
        <v>270</v>
      </c>
      <c r="AW60" s="109">
        <v>337</v>
      </c>
      <c r="AX60" s="109">
        <v>247</v>
      </c>
      <c r="AY60" s="109">
        <v>321</v>
      </c>
      <c r="AZ60" s="109">
        <v>238</v>
      </c>
      <c r="BA60" s="109">
        <v>282</v>
      </c>
      <c r="BB60" s="109">
        <v>332</v>
      </c>
      <c r="BC60" s="109">
        <v>276</v>
      </c>
      <c r="BD60" s="109">
        <v>131</v>
      </c>
      <c r="BE60" s="109">
        <v>155</v>
      </c>
      <c r="BF60" s="109">
        <v>201</v>
      </c>
      <c r="BG60" s="109">
        <v>160</v>
      </c>
      <c r="BH60" s="109">
        <v>136</v>
      </c>
      <c r="BI60" s="109">
        <v>89</v>
      </c>
      <c r="BJ60" s="109">
        <v>0</v>
      </c>
      <c r="BK60" s="109">
        <v>113</v>
      </c>
      <c r="BL60" s="171">
        <v>116</v>
      </c>
      <c r="BM60" s="109">
        <v>183</v>
      </c>
      <c r="BN60" s="109">
        <v>127</v>
      </c>
      <c r="BO60" s="109">
        <v>167</v>
      </c>
      <c r="BP60" s="171">
        <v>99</v>
      </c>
      <c r="BQ60" s="109">
        <v>104</v>
      </c>
      <c r="BR60" s="109">
        <v>134</v>
      </c>
      <c r="BS60" s="109">
        <v>134</v>
      </c>
      <c r="BT60" s="171"/>
      <c r="BU60" s="109"/>
      <c r="BV60" s="109"/>
      <c r="BW60" s="109"/>
      <c r="BX60" s="171"/>
      <c r="BY60" s="109"/>
      <c r="BZ60" s="109"/>
      <c r="CA60" s="109"/>
      <c r="CB60" s="171"/>
      <c r="CC60" s="109"/>
      <c r="CD60" s="109"/>
      <c r="CE60" s="109"/>
      <c r="CF60" s="171"/>
      <c r="CG60" s="109"/>
      <c r="CH60" s="109"/>
      <c r="CI60" s="109"/>
      <c r="CJ60" s="171"/>
      <c r="CK60" s="109"/>
      <c r="CL60" s="109"/>
      <c r="CM60" s="109"/>
      <c r="CN60" s="171"/>
      <c r="CO60" s="109"/>
      <c r="CP60" s="109"/>
      <c r="CQ60" s="172"/>
      <c r="CR60" s="109"/>
      <c r="CS60" s="109"/>
      <c r="CT60" s="109"/>
      <c r="CU60" s="109"/>
      <c r="CV60" s="171"/>
      <c r="CW60" s="109"/>
      <c r="CX60" s="109"/>
      <c r="CY60" s="109"/>
      <c r="CZ60" s="171"/>
      <c r="DA60" s="1044"/>
      <c r="DB60" s="1044"/>
      <c r="DC60" s="172"/>
      <c r="DD60" s="171"/>
      <c r="DE60" s="1044"/>
      <c r="DF60" s="1044"/>
      <c r="DG60" s="172"/>
      <c r="DH60" s="1044"/>
      <c r="DI60" s="1044"/>
      <c r="DJ60" s="1044"/>
      <c r="DK60" s="172"/>
      <c r="DL60" s="1044"/>
      <c r="DM60" s="1044"/>
      <c r="DN60" s="1044"/>
      <c r="DO60" s="172"/>
      <c r="DP60" s="1044"/>
      <c r="DQ60" s="1044"/>
      <c r="DR60" s="1044"/>
      <c r="DS60" s="172"/>
      <c r="DT60" s="109"/>
    </row>
    <row r="61" spans="1:124">
      <c r="A61" s="167" t="s">
        <v>1434</v>
      </c>
      <c r="B61" s="109"/>
      <c r="C61" s="109"/>
      <c r="D61" s="109"/>
      <c r="E61" s="109">
        <v>1678</v>
      </c>
      <c r="F61" s="109">
        <v>1863</v>
      </c>
      <c r="G61" s="109">
        <v>2003</v>
      </c>
      <c r="H61" s="109">
        <v>2044</v>
      </c>
      <c r="I61" s="109">
        <v>2273</v>
      </c>
      <c r="J61" s="109">
        <v>2114</v>
      </c>
      <c r="K61" s="109">
        <v>1884</v>
      </c>
      <c r="L61" s="109">
        <v>1601</v>
      </c>
      <c r="M61" s="109">
        <v>1660</v>
      </c>
      <c r="N61" s="109">
        <f>N16-N43-N52</f>
        <v>1144</v>
      </c>
      <c r="O61" s="109">
        <f>O16-O43-O52</f>
        <v>0</v>
      </c>
      <c r="P61" s="109">
        <f>P16-P43-P52</f>
        <v>0</v>
      </c>
      <c r="Q61" s="1044">
        <f>Q16-Q43-Q52</f>
        <v>0</v>
      </c>
      <c r="R61" s="109">
        <f>R16-R43-R52</f>
        <v>0</v>
      </c>
      <c r="S61" s="109">
        <f>SUM(CN61:CQ61)</f>
        <v>0</v>
      </c>
      <c r="T61" s="1044">
        <f>SUM(CR61:CU61)</f>
        <v>0</v>
      </c>
      <c r="U61" s="1044">
        <f>SUM(CV61:CY61)</f>
        <v>0</v>
      </c>
      <c r="V61" s="109">
        <f>SUM(CZ61:DC61)</f>
        <v>0</v>
      </c>
      <c r="W61" s="109">
        <f t="shared" ref="W61:W62" si="55">W16-W43-W52</f>
        <v>0</v>
      </c>
      <c r="X61" s="109">
        <f t="shared" ref="X61:AB62" si="56">X16-X43-X52</f>
        <v>0</v>
      </c>
      <c r="Y61" s="109">
        <f t="shared" si="56"/>
        <v>0</v>
      </c>
      <c r="Z61" s="109">
        <f t="shared" si="56"/>
        <v>0</v>
      </c>
      <c r="AA61" s="109">
        <f t="shared" si="56"/>
        <v>0</v>
      </c>
      <c r="AB61" s="109">
        <f t="shared" si="56"/>
        <v>0</v>
      </c>
      <c r="AC61" s="109">
        <f t="shared" ref="AC61:AG61" si="57">AC16-AC43-AC52</f>
        <v>0</v>
      </c>
      <c r="AD61" s="109">
        <f t="shared" si="57"/>
        <v>0</v>
      </c>
      <c r="AE61" s="109">
        <f t="shared" si="57"/>
        <v>0</v>
      </c>
      <c r="AF61" s="109">
        <f t="shared" si="57"/>
        <v>0</v>
      </c>
      <c r="AG61" s="109">
        <f t="shared" si="57"/>
        <v>0</v>
      </c>
      <c r="AH61" s="109"/>
      <c r="AI61" s="171"/>
      <c r="AJ61" s="109">
        <v>256</v>
      </c>
      <c r="AK61" s="109">
        <v>474</v>
      </c>
      <c r="AL61" s="109">
        <v>419</v>
      </c>
      <c r="AM61" s="109">
        <v>529</v>
      </c>
      <c r="AN61" s="109">
        <v>304</v>
      </c>
      <c r="AO61" s="109">
        <v>486</v>
      </c>
      <c r="AP61" s="109">
        <v>474</v>
      </c>
      <c r="AQ61" s="109">
        <v>599</v>
      </c>
      <c r="AR61" s="109">
        <v>319</v>
      </c>
      <c r="AS61" s="109">
        <v>529</v>
      </c>
      <c r="AT61" s="109">
        <v>428</v>
      </c>
      <c r="AU61" s="109">
        <v>727</v>
      </c>
      <c r="AV61" s="109">
        <v>326</v>
      </c>
      <c r="AW61" s="109">
        <v>561</v>
      </c>
      <c r="AX61" s="109">
        <v>480</v>
      </c>
      <c r="AY61" s="109">
        <v>677</v>
      </c>
      <c r="AZ61" s="109">
        <v>352</v>
      </c>
      <c r="BA61" s="109">
        <v>511</v>
      </c>
      <c r="BB61" s="109">
        <v>606</v>
      </c>
      <c r="BC61" s="109">
        <v>804</v>
      </c>
      <c r="BD61" s="109">
        <v>354</v>
      </c>
      <c r="BE61" s="109">
        <v>443</v>
      </c>
      <c r="BF61" s="109">
        <v>572</v>
      </c>
      <c r="BG61" s="109">
        <v>745</v>
      </c>
      <c r="BH61" s="109">
        <v>465</v>
      </c>
      <c r="BI61" s="109">
        <v>467</v>
      </c>
      <c r="BJ61" s="109">
        <v>571</v>
      </c>
      <c r="BK61" s="109">
        <v>381</v>
      </c>
      <c r="BL61" s="171">
        <v>431</v>
      </c>
      <c r="BM61" s="109">
        <v>392</v>
      </c>
      <c r="BN61" s="109">
        <v>410</v>
      </c>
      <c r="BO61" s="109">
        <v>368</v>
      </c>
      <c r="BP61" s="171">
        <v>422</v>
      </c>
      <c r="BQ61" s="109">
        <v>406</v>
      </c>
      <c r="BR61" s="109">
        <v>441</v>
      </c>
      <c r="BS61" s="109">
        <v>391</v>
      </c>
      <c r="BT61" s="171">
        <f t="shared" ref="BT61:BX62" si="58">BT16-BT43-BT52</f>
        <v>404</v>
      </c>
      <c r="BU61" s="109">
        <f t="shared" si="58"/>
        <v>367</v>
      </c>
      <c r="BV61" s="109">
        <f t="shared" si="58"/>
        <v>373</v>
      </c>
      <c r="BW61" s="109">
        <f t="shared" si="58"/>
        <v>0</v>
      </c>
      <c r="BX61" s="171">
        <f t="shared" si="58"/>
        <v>0</v>
      </c>
      <c r="BY61" s="109"/>
      <c r="BZ61" s="109"/>
      <c r="CA61" s="109"/>
      <c r="CB61" s="171"/>
      <c r="CC61" s="109"/>
      <c r="CD61" s="109"/>
      <c r="CE61" s="109"/>
      <c r="CF61" s="171"/>
      <c r="CG61" s="109"/>
      <c r="CH61" s="109"/>
      <c r="CI61" s="109"/>
      <c r="CJ61" s="171"/>
      <c r="CK61" s="109"/>
      <c r="CL61" s="109"/>
      <c r="CM61" s="109"/>
      <c r="CN61" s="171"/>
      <c r="CO61" s="109"/>
      <c r="CP61" s="109"/>
      <c r="CQ61" s="172"/>
      <c r="CR61" s="109"/>
      <c r="CS61" s="109"/>
      <c r="CT61" s="109"/>
      <c r="CU61" s="109"/>
      <c r="CV61" s="171"/>
      <c r="CW61" s="109"/>
      <c r="CX61" s="109"/>
      <c r="CY61" s="109"/>
      <c r="CZ61" s="171"/>
      <c r="DA61" s="1044"/>
      <c r="DB61" s="1044"/>
      <c r="DC61" s="172"/>
      <c r="DD61" s="171"/>
      <c r="DE61" s="1044"/>
      <c r="DF61" s="1044"/>
      <c r="DG61" s="172"/>
      <c r="DH61" s="1044"/>
      <c r="DI61" s="1044"/>
      <c r="DJ61" s="1044"/>
      <c r="DK61" s="172"/>
      <c r="DL61" s="1044"/>
      <c r="DM61" s="1044"/>
      <c r="DN61" s="1044"/>
      <c r="DO61" s="172"/>
      <c r="DP61" s="1044"/>
      <c r="DQ61" s="1044"/>
      <c r="DR61" s="1044"/>
      <c r="DS61" s="172"/>
      <c r="DT61" s="109"/>
    </row>
    <row r="62" spans="1:124">
      <c r="A62" s="167" t="s">
        <v>955</v>
      </c>
      <c r="B62" s="109"/>
      <c r="C62" s="109"/>
      <c r="D62" s="109"/>
      <c r="E62" s="109">
        <v>-39</v>
      </c>
      <c r="F62" s="109">
        <v>198</v>
      </c>
      <c r="G62" s="109">
        <v>489</v>
      </c>
      <c r="H62" s="109">
        <v>-87</v>
      </c>
      <c r="I62" s="109">
        <v>215</v>
      </c>
      <c r="J62" s="109">
        <v>488</v>
      </c>
      <c r="K62" s="109">
        <v>70</v>
      </c>
      <c r="L62" s="109">
        <v>47</v>
      </c>
      <c r="M62" s="109">
        <v>1800</v>
      </c>
      <c r="N62" s="109">
        <f>N17-N44-N53</f>
        <v>-177.09786784569405</v>
      </c>
      <c r="O62" s="109">
        <f>O17-O44-O53</f>
        <v>256</v>
      </c>
      <c r="P62" s="109">
        <f>P17-P44-P53</f>
        <v>6294.476339925759</v>
      </c>
      <c r="Q62" s="1044">
        <f>SUM(CF62:CI62)</f>
        <v>-1606</v>
      </c>
      <c r="R62" s="109">
        <f>SUM(CJ62:CM62)</f>
        <v>-1006</v>
      </c>
      <c r="S62" s="109">
        <f>SUM(CN62:CQ62)</f>
        <v>-532</v>
      </c>
      <c r="T62" s="1044">
        <f>SUM(CR62:CU62)</f>
        <v>-822</v>
      </c>
      <c r="U62" s="1044">
        <f>SUM(CV62:CY62)</f>
        <v>-912</v>
      </c>
      <c r="V62" s="109">
        <f>SUM(CZ62:DC62)</f>
        <v>-1074</v>
      </c>
      <c r="W62" s="109">
        <f t="shared" si="55"/>
        <v>-1598</v>
      </c>
      <c r="X62" s="109">
        <f t="shared" si="56"/>
        <v>-1716</v>
      </c>
      <c r="Y62" s="109">
        <f t="shared" si="56"/>
        <v>8</v>
      </c>
      <c r="Z62" s="109">
        <f t="shared" si="56"/>
        <v>-935.8804999999993</v>
      </c>
      <c r="AA62" s="109">
        <f t="shared" ca="1" si="56"/>
        <v>260.61211036623718</v>
      </c>
      <c r="AB62" s="109">
        <f t="shared" ca="1" si="56"/>
        <v>297.75641723885201</v>
      </c>
      <c r="AC62" s="109">
        <f t="shared" ref="AC62:AG62" ca="1" si="59">AC17-AC44-AC53</f>
        <v>335.22209818438387</v>
      </c>
      <c r="AD62" s="109">
        <f t="shared" ca="1" si="59"/>
        <v>372.98751191377414</v>
      </c>
      <c r="AE62" s="109">
        <f t="shared" ca="1" si="59"/>
        <v>411.03507041331977</v>
      </c>
      <c r="AF62" s="109">
        <f t="shared" ca="1" si="59"/>
        <v>449.34299338358323</v>
      </c>
      <c r="AG62" s="109">
        <f t="shared" ca="1" si="59"/>
        <v>484.44767103048616</v>
      </c>
      <c r="AH62" s="109"/>
      <c r="AI62" s="171"/>
      <c r="AJ62" s="109">
        <v>-13</v>
      </c>
      <c r="AK62" s="109">
        <v>69</v>
      </c>
      <c r="AL62" s="109">
        <v>30</v>
      </c>
      <c r="AM62" s="109">
        <v>-125</v>
      </c>
      <c r="AN62" s="109">
        <v>27</v>
      </c>
      <c r="AO62" s="109">
        <v>-2</v>
      </c>
      <c r="AP62" s="109">
        <v>81</v>
      </c>
      <c r="AQ62" s="109">
        <v>92</v>
      </c>
      <c r="AR62" s="109">
        <v>98</v>
      </c>
      <c r="AS62" s="109">
        <v>14</v>
      </c>
      <c r="AT62" s="109">
        <v>182</v>
      </c>
      <c r="AU62" s="109">
        <v>195</v>
      </c>
      <c r="AV62" s="109">
        <v>-117</v>
      </c>
      <c r="AW62" s="109">
        <v>-35</v>
      </c>
      <c r="AX62" s="109">
        <v>19</v>
      </c>
      <c r="AY62" s="109">
        <v>46</v>
      </c>
      <c r="AZ62" s="109">
        <v>107</v>
      </c>
      <c r="BA62" s="109">
        <v>3</v>
      </c>
      <c r="BB62" s="109">
        <v>102</v>
      </c>
      <c r="BC62" s="109">
        <v>3</v>
      </c>
      <c r="BD62" s="109">
        <v>69</v>
      </c>
      <c r="BE62" s="109">
        <v>69</v>
      </c>
      <c r="BF62" s="109">
        <v>174</v>
      </c>
      <c r="BG62" s="109">
        <v>176</v>
      </c>
      <c r="BH62" s="109">
        <v>108</v>
      </c>
      <c r="BI62" s="109">
        <v>110</v>
      </c>
      <c r="BJ62" s="109">
        <v>-134</v>
      </c>
      <c r="BK62" s="109">
        <v>-14</v>
      </c>
      <c r="BL62" s="171">
        <v>-57</v>
      </c>
      <c r="BM62" s="109">
        <v>11</v>
      </c>
      <c r="BN62" s="109">
        <v>14</v>
      </c>
      <c r="BO62" s="109">
        <v>79</v>
      </c>
      <c r="BP62" s="171">
        <v>401</v>
      </c>
      <c r="BQ62" s="109">
        <v>460</v>
      </c>
      <c r="BR62" s="109">
        <v>416</v>
      </c>
      <c r="BS62" s="109">
        <v>523</v>
      </c>
      <c r="BT62" s="171">
        <f t="shared" si="58"/>
        <v>892.90213215430595</v>
      </c>
      <c r="BU62" s="109">
        <f t="shared" si="58"/>
        <v>473</v>
      </c>
      <c r="BV62" s="109">
        <f t="shared" si="58"/>
        <v>365</v>
      </c>
      <c r="BW62" s="109">
        <f t="shared" si="58"/>
        <v>-5</v>
      </c>
      <c r="BX62" s="171">
        <f t="shared" si="58"/>
        <v>46</v>
      </c>
      <c r="BY62" s="109">
        <f t="shared" ref="BY62:CY62" si="60">BY17-BY44-BY53</f>
        <v>34</v>
      </c>
      <c r="BZ62" s="109">
        <f t="shared" si="60"/>
        <v>74</v>
      </c>
      <c r="CA62" s="109">
        <f t="shared" si="60"/>
        <v>102</v>
      </c>
      <c r="CB62" s="171">
        <f t="shared" si="60"/>
        <v>1608.0496453900714</v>
      </c>
      <c r="CC62" s="109">
        <f t="shared" si="60"/>
        <v>1533.6854034451494</v>
      </c>
      <c r="CD62" s="109">
        <f t="shared" si="60"/>
        <v>1535.4141689373296</v>
      </c>
      <c r="CE62" s="109">
        <f t="shared" si="60"/>
        <v>1617.3271221532086</v>
      </c>
      <c r="CF62" s="171">
        <f t="shared" si="60"/>
        <v>-422.75</v>
      </c>
      <c r="CG62" s="109">
        <f t="shared" si="60"/>
        <v>-408.75</v>
      </c>
      <c r="CH62" s="109">
        <f t="shared" si="60"/>
        <v>-380.75</v>
      </c>
      <c r="CI62" s="109">
        <f t="shared" si="60"/>
        <v>-393.75</v>
      </c>
      <c r="CJ62" s="171">
        <f t="shared" si="60"/>
        <v>-178</v>
      </c>
      <c r="CK62" s="109">
        <f t="shared" si="60"/>
        <v>-274</v>
      </c>
      <c r="CL62" s="109">
        <f t="shared" si="60"/>
        <v>-244</v>
      </c>
      <c r="CM62" s="109">
        <f t="shared" si="60"/>
        <v>-310</v>
      </c>
      <c r="CN62" s="171">
        <f t="shared" si="60"/>
        <v>-186</v>
      </c>
      <c r="CO62" s="109">
        <f t="shared" si="60"/>
        <v>-118</v>
      </c>
      <c r="CP62" s="109">
        <f t="shared" si="60"/>
        <v>-226</v>
      </c>
      <c r="CQ62" s="172">
        <f t="shared" si="60"/>
        <v>-2</v>
      </c>
      <c r="CR62" s="109">
        <f t="shared" si="60"/>
        <v>-179</v>
      </c>
      <c r="CS62" s="109">
        <f t="shared" si="60"/>
        <v>-250</v>
      </c>
      <c r="CT62" s="109">
        <f t="shared" si="60"/>
        <v>-221</v>
      </c>
      <c r="CU62" s="109">
        <f t="shared" si="60"/>
        <v>-172</v>
      </c>
      <c r="CV62" s="171">
        <f t="shared" si="60"/>
        <v>-209</v>
      </c>
      <c r="CW62" s="109">
        <f t="shared" si="60"/>
        <v>-220</v>
      </c>
      <c r="CX62" s="109">
        <f t="shared" si="60"/>
        <v>-191</v>
      </c>
      <c r="CY62" s="109">
        <f t="shared" si="60"/>
        <v>-292</v>
      </c>
      <c r="CZ62" s="171">
        <f t="shared" ref="CZ62:DF62" si="61">CZ17-CZ44-CZ53</f>
        <v>-305</v>
      </c>
      <c r="DA62" s="1044">
        <f t="shared" si="61"/>
        <v>-266</v>
      </c>
      <c r="DB62" s="1044">
        <f t="shared" si="61"/>
        <v>-290</v>
      </c>
      <c r="DC62" s="172">
        <f t="shared" si="61"/>
        <v>-213</v>
      </c>
      <c r="DD62" s="171">
        <f>DD17-DD44-DD53</f>
        <v>-255</v>
      </c>
      <c r="DE62" s="1044">
        <f t="shared" si="61"/>
        <v>-379</v>
      </c>
      <c r="DF62" s="1044">
        <f t="shared" si="61"/>
        <v>-368</v>
      </c>
      <c r="DG62" s="172">
        <f>DG17-DG44-DG53</f>
        <v>-596</v>
      </c>
      <c r="DH62" s="1044">
        <f>DH17-DH44-DH53</f>
        <v>-504</v>
      </c>
      <c r="DI62" s="1044">
        <f>DI17-DI44-DI53</f>
        <v>-457</v>
      </c>
      <c r="DJ62" s="1044">
        <f>DJ17-DJ44-DJ53</f>
        <v>-466</v>
      </c>
      <c r="DK62" s="172">
        <f>DK17-DK44-DK53</f>
        <v>-289</v>
      </c>
      <c r="DL62" s="1044">
        <f t="shared" ref="DL62:DO62" si="62">DL17-DL44-DL53</f>
        <v>-62</v>
      </c>
      <c r="DM62" s="1044">
        <f t="shared" si="62"/>
        <v>-261</v>
      </c>
      <c r="DN62" s="1044">
        <f t="shared" si="62"/>
        <v>160</v>
      </c>
      <c r="DO62" s="172">
        <f t="shared" si="62"/>
        <v>171</v>
      </c>
      <c r="DP62" s="1044">
        <f t="shared" ref="DP62:DS62" si="63">DP17-DP44-DP53</f>
        <v>-413</v>
      </c>
      <c r="DQ62" s="1044">
        <f t="shared" ca="1" si="63"/>
        <v>-170.2937616212962</v>
      </c>
      <c r="DR62" s="1044">
        <f t="shared" ca="1" si="63"/>
        <v>-135.40875046574456</v>
      </c>
      <c r="DS62" s="172">
        <f t="shared" ca="1" si="63"/>
        <v>-110.84727676282273</v>
      </c>
      <c r="DT62" s="109"/>
    </row>
    <row r="63" spans="1:124">
      <c r="A63" s="109" t="s">
        <v>1040</v>
      </c>
      <c r="B63" s="109"/>
      <c r="C63" s="109"/>
      <c r="D63" s="109"/>
      <c r="E63" s="109">
        <v>12194</v>
      </c>
      <c r="F63" s="109">
        <v>13527</v>
      </c>
      <c r="G63" s="109">
        <v>13949</v>
      </c>
      <c r="H63" s="109">
        <v>14315</v>
      </c>
      <c r="I63" s="109">
        <v>15155</v>
      </c>
      <c r="J63" s="109">
        <v>15834</v>
      </c>
      <c r="K63" s="109">
        <v>13449</v>
      </c>
      <c r="L63" s="109">
        <v>13739</v>
      </c>
      <c r="M63" s="109">
        <v>16103</v>
      </c>
      <c r="N63" s="109">
        <f t="shared" ref="N63:W63" si="64">SUM(N58:N62)</f>
        <v>20787.724132154304</v>
      </c>
      <c r="O63" s="109">
        <f t="shared" si="64"/>
        <v>23329.309999999998</v>
      </c>
      <c r="P63" s="109">
        <f t="shared" si="64"/>
        <v>18067</v>
      </c>
      <c r="Q63" s="1044">
        <f t="shared" si="64"/>
        <v>13075</v>
      </c>
      <c r="R63" s="109">
        <f t="shared" si="64"/>
        <v>17632</v>
      </c>
      <c r="S63" s="109">
        <f t="shared" si="64"/>
        <v>18954</v>
      </c>
      <c r="T63" s="1044">
        <f t="shared" si="64"/>
        <v>20957</v>
      </c>
      <c r="U63" s="1044">
        <f t="shared" si="64"/>
        <v>25415</v>
      </c>
      <c r="V63" s="109">
        <f t="shared" si="64"/>
        <v>26721</v>
      </c>
      <c r="W63" s="109">
        <f t="shared" si="64"/>
        <v>28351</v>
      </c>
      <c r="X63" s="109">
        <f>SUM(X58:X62)</f>
        <v>28308</v>
      </c>
      <c r="Y63" s="109">
        <f>SUM(Y58:Y62)</f>
        <v>29703</v>
      </c>
      <c r="Z63" s="109">
        <f ca="1">SUM(Z58:Z62)</f>
        <v>30241.800190197755</v>
      </c>
      <c r="AA63" s="109">
        <f ca="1">SUM(AA58:AA62)</f>
        <v>31388.216768850114</v>
      </c>
      <c r="AB63" s="109">
        <f ca="1">SUM(AB58:AB62)</f>
        <v>32299.056414153918</v>
      </c>
      <c r="AC63" s="109">
        <f t="shared" ref="AC63:AG63" ca="1" si="65">SUM(AC58:AC62)</f>
        <v>33295.609259253826</v>
      </c>
      <c r="AD63" s="109">
        <f t="shared" ca="1" si="65"/>
        <v>34366.801392178393</v>
      </c>
      <c r="AE63" s="109">
        <f t="shared" ca="1" si="65"/>
        <v>35513.29881018342</v>
      </c>
      <c r="AF63" s="109">
        <f t="shared" ca="1" si="65"/>
        <v>36741.176802910035</v>
      </c>
      <c r="AG63" s="109">
        <f t="shared" ca="1" si="65"/>
        <v>38018.521449294029</v>
      </c>
      <c r="AH63" s="109"/>
      <c r="AI63" s="171"/>
      <c r="AJ63" s="109">
        <v>3013</v>
      </c>
      <c r="AK63" s="109">
        <v>3158</v>
      </c>
      <c r="AL63" s="109">
        <v>3156</v>
      </c>
      <c r="AM63" s="109">
        <v>2867</v>
      </c>
      <c r="AN63" s="109">
        <v>3241</v>
      </c>
      <c r="AO63" s="109">
        <v>3338</v>
      </c>
      <c r="AP63" s="109">
        <v>3500</v>
      </c>
      <c r="AQ63" s="109">
        <v>3448</v>
      </c>
      <c r="AR63" s="109">
        <v>3318</v>
      </c>
      <c r="AS63" s="109">
        <v>3364</v>
      </c>
      <c r="AT63" s="109">
        <v>3597</v>
      </c>
      <c r="AU63" s="109">
        <v>3670</v>
      </c>
      <c r="AV63" s="109">
        <v>3215</v>
      </c>
      <c r="AW63" s="109">
        <v>3669</v>
      </c>
      <c r="AX63" s="109">
        <v>3746</v>
      </c>
      <c r="AY63" s="109">
        <v>3685</v>
      </c>
      <c r="AZ63" s="109">
        <v>3735</v>
      </c>
      <c r="BA63" s="109">
        <v>4055</v>
      </c>
      <c r="BB63" s="109">
        <v>3839</v>
      </c>
      <c r="BC63" s="109">
        <v>3526</v>
      </c>
      <c r="BD63" s="109">
        <v>3684</v>
      </c>
      <c r="BE63" s="109">
        <v>3884</v>
      </c>
      <c r="BF63" s="109">
        <v>4044</v>
      </c>
      <c r="BG63" s="109">
        <v>4222</v>
      </c>
      <c r="BH63" s="109">
        <v>3637</v>
      </c>
      <c r="BI63" s="109">
        <v>3571</v>
      </c>
      <c r="BJ63" s="109">
        <v>3150</v>
      </c>
      <c r="BK63" s="109">
        <v>3091</v>
      </c>
      <c r="BL63" s="171">
        <v>3163</v>
      </c>
      <c r="BM63" s="109">
        <v>3577</v>
      </c>
      <c r="BN63" s="109">
        <v>3576</v>
      </c>
      <c r="BO63" s="109">
        <v>3423</v>
      </c>
      <c r="BP63" s="171">
        <v>3716</v>
      </c>
      <c r="BQ63" s="109">
        <v>3952</v>
      </c>
      <c r="BR63" s="109">
        <v>4110</v>
      </c>
      <c r="BS63" s="109">
        <v>4325</v>
      </c>
      <c r="BT63" s="171">
        <f t="shared" ref="BT63:CZ63" si="66">SUM(BT58:BT62)</f>
        <v>4444.9021321543059</v>
      </c>
      <c r="BU63" s="109">
        <f t="shared" si="66"/>
        <v>4395</v>
      </c>
      <c r="BV63" s="109">
        <f t="shared" si="66"/>
        <v>4390</v>
      </c>
      <c r="BW63" s="109">
        <f t="shared" si="66"/>
        <v>3631</v>
      </c>
      <c r="BX63" s="171">
        <f t="shared" si="66"/>
        <v>3858</v>
      </c>
      <c r="BY63" s="109">
        <f t="shared" si="66"/>
        <v>4130</v>
      </c>
      <c r="BZ63" s="109">
        <f t="shared" si="66"/>
        <v>4263</v>
      </c>
      <c r="CA63" s="109">
        <f t="shared" si="66"/>
        <v>4294</v>
      </c>
      <c r="CB63" s="171">
        <f t="shared" si="66"/>
        <v>4421</v>
      </c>
      <c r="CC63" s="109">
        <f t="shared" si="66"/>
        <v>4582</v>
      </c>
      <c r="CD63" s="109">
        <f t="shared" si="66"/>
        <v>4488</v>
      </c>
      <c r="CE63" s="109">
        <f t="shared" si="66"/>
        <v>4576</v>
      </c>
      <c r="CF63" s="171">
        <f t="shared" si="66"/>
        <v>3254.25</v>
      </c>
      <c r="CG63" s="109">
        <f t="shared" si="66"/>
        <v>3390.25</v>
      </c>
      <c r="CH63" s="109">
        <f t="shared" si="66"/>
        <v>3316.25</v>
      </c>
      <c r="CI63" s="109">
        <f t="shared" si="66"/>
        <v>3114.25</v>
      </c>
      <c r="CJ63" s="171">
        <f t="shared" si="66"/>
        <v>3422</v>
      </c>
      <c r="CK63" s="109">
        <f t="shared" si="66"/>
        <v>4616</v>
      </c>
      <c r="CL63" s="109">
        <f t="shared" si="66"/>
        <v>4797</v>
      </c>
      <c r="CM63" s="109">
        <f t="shared" si="66"/>
        <v>4797</v>
      </c>
      <c r="CN63" s="171">
        <f t="shared" si="66"/>
        <v>4453</v>
      </c>
      <c r="CO63" s="109">
        <f t="shared" si="66"/>
        <v>4892</v>
      </c>
      <c r="CP63" s="109">
        <f t="shared" si="66"/>
        <v>4976</v>
      </c>
      <c r="CQ63" s="172">
        <f t="shared" si="66"/>
        <v>4633</v>
      </c>
      <c r="CR63" s="109">
        <f t="shared" si="66"/>
        <v>5195</v>
      </c>
      <c r="CS63" s="109">
        <f t="shared" si="66"/>
        <v>5624</v>
      </c>
      <c r="CT63" s="109">
        <f t="shared" si="66"/>
        <v>5867</v>
      </c>
      <c r="CU63" s="109">
        <f t="shared" si="66"/>
        <v>4271</v>
      </c>
      <c r="CV63" s="171">
        <f t="shared" si="66"/>
        <v>6212</v>
      </c>
      <c r="CW63" s="109">
        <f t="shared" si="66"/>
        <v>6310</v>
      </c>
      <c r="CX63" s="109">
        <f t="shared" si="66"/>
        <v>6842</v>
      </c>
      <c r="CY63" s="109">
        <f t="shared" si="66"/>
        <v>6051</v>
      </c>
      <c r="CZ63" s="171">
        <f t="shared" si="66"/>
        <v>7154</v>
      </c>
      <c r="DA63" s="1044">
        <f t="shared" ref="DA63:DF63" si="67">SUM(DA58:DA62)</f>
        <v>6972</v>
      </c>
      <c r="DB63" s="1044">
        <f t="shared" si="67"/>
        <v>6890</v>
      </c>
      <c r="DC63" s="172">
        <f t="shared" si="67"/>
        <v>5705</v>
      </c>
      <c r="DD63" s="171">
        <f>SUM(DD58:DD62)</f>
        <v>7405</v>
      </c>
      <c r="DE63" s="1044">
        <f t="shared" si="67"/>
        <v>7274</v>
      </c>
      <c r="DF63" s="1044">
        <f t="shared" si="67"/>
        <v>7333</v>
      </c>
      <c r="DG63" s="172">
        <f>SUM(DG58:DG62)</f>
        <v>6339</v>
      </c>
      <c r="DH63" s="1044">
        <f>SUM(DH58:DH62)</f>
        <v>7440</v>
      </c>
      <c r="DI63" s="1044">
        <f>SUM(DI58:DI62)</f>
        <v>7097</v>
      </c>
      <c r="DJ63" s="1044">
        <f>SUM(DJ58:DJ62)</f>
        <v>7337</v>
      </c>
      <c r="DK63" s="172">
        <f>SUM(DK58:DK62)</f>
        <v>6434</v>
      </c>
      <c r="DL63" s="1044">
        <f t="shared" ref="DL63:DO63" si="68">SUM(DL58:DL62)</f>
        <v>7307</v>
      </c>
      <c r="DM63" s="1044">
        <f t="shared" si="68"/>
        <v>7217</v>
      </c>
      <c r="DN63" s="1044">
        <f t="shared" si="68"/>
        <v>7828</v>
      </c>
      <c r="DO63" s="172">
        <f t="shared" si="68"/>
        <v>7351</v>
      </c>
      <c r="DP63" s="1044">
        <f t="shared" ref="DP63:DS63" si="69">SUM(DP58:DP62)</f>
        <v>7705</v>
      </c>
      <c r="DQ63" s="1044">
        <f t="shared" ca="1" si="69"/>
        <v>7772.6987461556419</v>
      </c>
      <c r="DR63" s="1044">
        <f t="shared" ca="1" si="69"/>
        <v>8021.7092838896979</v>
      </c>
      <c r="DS63" s="172">
        <f t="shared" ca="1" si="69"/>
        <v>6848.7228713025506</v>
      </c>
      <c r="DT63" s="109"/>
    </row>
    <row r="64" spans="1:124">
      <c r="A64" s="256" t="s">
        <v>1237</v>
      </c>
      <c r="B64" s="256"/>
      <c r="C64" s="256"/>
      <c r="D64" s="256"/>
      <c r="E64" s="256">
        <v>0</v>
      </c>
      <c r="F64" s="256">
        <v>0</v>
      </c>
      <c r="G64" s="256">
        <v>0</v>
      </c>
      <c r="H64" s="256">
        <v>0</v>
      </c>
      <c r="I64" s="256">
        <v>0</v>
      </c>
      <c r="J64" s="256">
        <v>0</v>
      </c>
      <c r="K64" s="256">
        <v>0</v>
      </c>
      <c r="L64" s="256">
        <v>0</v>
      </c>
      <c r="M64" s="256">
        <v>-2120</v>
      </c>
      <c r="N64" s="256">
        <f>IS!N56-Segments!N63</f>
        <v>-6513.7924433497465</v>
      </c>
      <c r="O64" s="256">
        <f>IS!O56-Segments!O63</f>
        <v>-6784.3099999999977</v>
      </c>
      <c r="P64" s="256">
        <f>IS!P56-Segments!P63</f>
        <v>0</v>
      </c>
      <c r="Q64" s="1082">
        <f>IS!Q56-Segments!Q63</f>
        <v>3883</v>
      </c>
      <c r="R64" s="256">
        <f>IS!R56-Segments!R63</f>
        <v>854</v>
      </c>
      <c r="S64" s="256">
        <f>IS!S56-Segments!S63</f>
        <v>0</v>
      </c>
      <c r="T64" s="1082">
        <f>IS!T56-Segments!T63</f>
        <v>0</v>
      </c>
      <c r="U64" s="1082">
        <f>IS!U56-Segments!U63</f>
        <v>0</v>
      </c>
      <c r="V64" s="256">
        <f>IS!V56-Segments!V63</f>
        <v>0</v>
      </c>
      <c r="W64" s="256">
        <f>IS!W56-Segments!W63</f>
        <v>0</v>
      </c>
      <c r="X64" s="256">
        <f>IS!X56-Segments!X63</f>
        <v>0</v>
      </c>
      <c r="Y64" s="256">
        <f>IS!Y56-Segments!Y63</f>
        <v>0</v>
      </c>
      <c r="Z64" s="256">
        <f ca="1">IS!Z56-Segments!Z63</f>
        <v>106.33071115013445</v>
      </c>
      <c r="AA64" s="256">
        <f ca="1">IS!AA56-Segments!AA63</f>
        <v>0</v>
      </c>
      <c r="AB64" s="256">
        <f ca="1">IS!AB56-Segments!AB63</f>
        <v>0</v>
      </c>
      <c r="AC64" s="256">
        <f ca="1">IS!AC56-Segments!AC63</f>
        <v>0</v>
      </c>
      <c r="AD64" s="256">
        <f ca="1">IS!AD56-Segments!AD63</f>
        <v>0</v>
      </c>
      <c r="AE64" s="256">
        <f ca="1">IS!AE56-Segments!AE63</f>
        <v>0</v>
      </c>
      <c r="AF64" s="256">
        <f ca="1">IS!AF56-Segments!AF63</f>
        <v>0</v>
      </c>
      <c r="AG64" s="256">
        <f ca="1">IS!AG56-Segments!AG63</f>
        <v>0</v>
      </c>
      <c r="AH64" s="143"/>
      <c r="AI64" s="257"/>
      <c r="AJ64" s="256">
        <v>0</v>
      </c>
      <c r="AK64" s="256">
        <v>0</v>
      </c>
      <c r="AL64" s="256">
        <v>0</v>
      </c>
      <c r="AM64" s="256">
        <v>0</v>
      </c>
      <c r="AN64" s="256">
        <v>0</v>
      </c>
      <c r="AO64" s="256">
        <v>0</v>
      </c>
      <c r="AP64" s="256">
        <v>0</v>
      </c>
      <c r="AQ64" s="256">
        <v>0</v>
      </c>
      <c r="AR64" s="256">
        <v>0</v>
      </c>
      <c r="AS64" s="256">
        <v>0</v>
      </c>
      <c r="AT64" s="256">
        <v>0</v>
      </c>
      <c r="AU64" s="256">
        <v>0</v>
      </c>
      <c r="AV64" s="256">
        <v>0</v>
      </c>
      <c r="AW64" s="256">
        <v>0</v>
      </c>
      <c r="AX64" s="256">
        <v>0</v>
      </c>
      <c r="AY64" s="256">
        <v>0</v>
      </c>
      <c r="AZ64" s="256">
        <v>0</v>
      </c>
      <c r="BA64" s="256">
        <v>0</v>
      </c>
      <c r="BB64" s="256">
        <v>0</v>
      </c>
      <c r="BC64" s="256">
        <v>0</v>
      </c>
      <c r="BD64" s="256">
        <v>0</v>
      </c>
      <c r="BE64" s="256">
        <v>0</v>
      </c>
      <c r="BF64" s="256">
        <v>0</v>
      </c>
      <c r="BG64" s="256">
        <v>0</v>
      </c>
      <c r="BH64" s="256">
        <v>0</v>
      </c>
      <c r="BI64" s="256">
        <v>0</v>
      </c>
      <c r="BJ64" s="256">
        <v>0</v>
      </c>
      <c r="BK64" s="256">
        <v>0</v>
      </c>
      <c r="BL64" s="257">
        <v>0</v>
      </c>
      <c r="BM64" s="256">
        <v>0</v>
      </c>
      <c r="BN64" s="256">
        <v>0</v>
      </c>
      <c r="BO64" s="256">
        <v>0</v>
      </c>
      <c r="BP64" s="257">
        <v>-497</v>
      </c>
      <c r="BQ64" s="256">
        <v>-516</v>
      </c>
      <c r="BR64" s="256">
        <v>-552</v>
      </c>
      <c r="BS64" s="256">
        <v>-555</v>
      </c>
      <c r="BT64" s="257">
        <f>IS!BW56-Segments!BT63</f>
        <v>-980.97044334975544</v>
      </c>
      <c r="BU64" s="256">
        <f>IS!BX56-Segments!BU63</f>
        <v>-802</v>
      </c>
      <c r="BV64" s="256">
        <f>IS!BY56-Segments!BV63</f>
        <v>-804</v>
      </c>
      <c r="BW64" s="256">
        <f>IS!BZ56-Segments!BW63</f>
        <v>0</v>
      </c>
      <c r="BX64" s="257">
        <f>IS!CA56-Segments!BX63</f>
        <v>0</v>
      </c>
      <c r="BY64" s="256">
        <f>IS!CB56-Segments!BY63</f>
        <v>0</v>
      </c>
      <c r="BZ64" s="256">
        <f>IS!CC56-Segments!BZ63</f>
        <v>0</v>
      </c>
      <c r="CA64" s="256">
        <f>IS!CD56-Segments!CA63</f>
        <v>0</v>
      </c>
      <c r="CB64" s="257">
        <f>IS!CE56-Segments!CB63</f>
        <v>0</v>
      </c>
      <c r="CC64" s="256">
        <f>IS!CF56-Segments!CC63</f>
        <v>0</v>
      </c>
      <c r="CD64" s="256">
        <f>IS!CG56-Segments!CD63</f>
        <v>0</v>
      </c>
      <c r="CE64" s="256">
        <f>IS!CH56-Segments!CE63</f>
        <v>0</v>
      </c>
      <c r="CF64" s="257">
        <f>IS!CI56-Segments!CF63</f>
        <v>945.75</v>
      </c>
      <c r="CG64" s="256">
        <f>IS!CJ56-Segments!CG63</f>
        <v>996.75</v>
      </c>
      <c r="CH64" s="256">
        <f>IS!CK56-Segments!CH63</f>
        <v>994.75</v>
      </c>
      <c r="CI64" s="256">
        <f>IS!CL56-Segments!CI63</f>
        <v>945.75</v>
      </c>
      <c r="CJ64" s="257">
        <f>IS!CM56-Segments!CJ63</f>
        <v>854</v>
      </c>
      <c r="CK64" s="256">
        <f>IS!CN56-Segments!CK63</f>
        <v>0</v>
      </c>
      <c r="CL64" s="256">
        <f>IS!CO56-Segments!CL63</f>
        <v>0</v>
      </c>
      <c r="CM64" s="256">
        <f>IS!CP56-Segments!CM63</f>
        <v>0</v>
      </c>
      <c r="CN64" s="257">
        <f>IS!CQ56-Segments!CN63</f>
        <v>0</v>
      </c>
      <c r="CO64" s="256">
        <f>IS!CR56-Segments!CO63</f>
        <v>0</v>
      </c>
      <c r="CP64" s="256">
        <f>IS!CS56-Segments!CP63</f>
        <v>0</v>
      </c>
      <c r="CQ64" s="258">
        <f>IS!CT56-Segments!CQ63</f>
        <v>0</v>
      </c>
      <c r="CR64" s="256">
        <f>IS!CU56-Segments!CR63</f>
        <v>0</v>
      </c>
      <c r="CS64" s="256">
        <f>IS!CV56-Segments!CS63</f>
        <v>0</v>
      </c>
      <c r="CT64" s="256">
        <f>IS!CW56-Segments!CT63</f>
        <v>0</v>
      </c>
      <c r="CU64" s="256">
        <f>IS!CX56-Segments!CU63</f>
        <v>0</v>
      </c>
      <c r="CV64" s="257">
        <f>IS!CY56-Segments!CV63</f>
        <v>0</v>
      </c>
      <c r="CW64" s="256">
        <f>IS!CZ56-Segments!CW63</f>
        <v>0</v>
      </c>
      <c r="CX64" s="256">
        <f>IS!DA56-Segments!CX63</f>
        <v>0</v>
      </c>
      <c r="CY64" s="256">
        <f>IS!DB56-Segments!CY63</f>
        <v>0</v>
      </c>
      <c r="CZ64" s="257">
        <f>IS!DC56-Segments!CZ63</f>
        <v>0</v>
      </c>
      <c r="DA64" s="1082">
        <f>IS!DD56-Segments!DA63</f>
        <v>0</v>
      </c>
      <c r="DB64" s="1082">
        <f>IS!DE56-Segments!DB63</f>
        <v>0</v>
      </c>
      <c r="DC64" s="258">
        <f>IS!DF56-Segments!DC63</f>
        <v>0</v>
      </c>
      <c r="DD64" s="257">
        <f>IS!DG56-Segments!DD63</f>
        <v>0</v>
      </c>
      <c r="DE64" s="1082">
        <f>IS!DH56-Segments!DE63</f>
        <v>0</v>
      </c>
      <c r="DF64" s="2158">
        <f>IS!DI56-Segments!DF63</f>
        <v>0</v>
      </c>
      <c r="DG64" s="2480">
        <f>IS!DJ56-Segments!DG63</f>
        <v>0</v>
      </c>
      <c r="DH64" s="2158">
        <f>IS!DK56-Segments!DH63</f>
        <v>0</v>
      </c>
      <c r="DI64" s="2173">
        <f>IS!DL56-Segments!DI63</f>
        <v>0</v>
      </c>
      <c r="DJ64" s="2173">
        <f>IS!DM56-Segments!DJ63</f>
        <v>0</v>
      </c>
      <c r="DK64" s="2174">
        <f>IS!DN56-Segments!DK63</f>
        <v>0</v>
      </c>
      <c r="DL64" s="2173">
        <f>IS!DO56-Segments!DL63</f>
        <v>0</v>
      </c>
      <c r="DM64" s="2173">
        <f>IS!DP56-Segments!DM63</f>
        <v>0</v>
      </c>
      <c r="DN64" s="2173">
        <f>IS!DQ56-Segments!DN63</f>
        <v>0</v>
      </c>
      <c r="DO64" s="2174">
        <f>IS!DR56-Segments!DO63</f>
        <v>0</v>
      </c>
      <c r="DP64" s="2173">
        <f>IS!DS56-Segments!DP63</f>
        <v>0</v>
      </c>
      <c r="DQ64" s="2173">
        <f ca="1">IS!DT56-Segments!DQ63</f>
        <v>0</v>
      </c>
      <c r="DR64" s="2173">
        <f ca="1">IS!DU56-Segments!DR63</f>
        <v>0</v>
      </c>
      <c r="DS64" s="2174">
        <f ca="1">IS!DV56-Segments!DS63</f>
        <v>0</v>
      </c>
      <c r="DT64" s="143"/>
    </row>
    <row r="65" spans="1:124">
      <c r="A65" s="109"/>
      <c r="B65" s="109"/>
      <c r="C65" s="109"/>
      <c r="D65" s="109"/>
      <c r="E65" s="109"/>
      <c r="F65" s="109"/>
      <c r="G65" s="109"/>
      <c r="H65" s="109"/>
      <c r="I65" s="109"/>
      <c r="J65" s="109"/>
      <c r="K65" s="109"/>
      <c r="L65" s="109"/>
      <c r="M65" s="109"/>
      <c r="N65" s="109"/>
      <c r="O65" s="109"/>
      <c r="P65" s="109"/>
      <c r="Q65" s="1044"/>
      <c r="R65" s="109"/>
      <c r="S65" s="109"/>
      <c r="T65" s="1044"/>
      <c r="U65" s="1044"/>
      <c r="V65" s="109"/>
      <c r="W65" s="109"/>
      <c r="X65" s="109"/>
      <c r="Y65" s="109"/>
      <c r="Z65" s="109"/>
      <c r="AA65" s="109"/>
      <c r="AB65" s="109"/>
      <c r="AC65" s="109"/>
      <c r="AD65" s="109"/>
      <c r="AE65" s="109"/>
      <c r="AF65" s="109"/>
      <c r="AG65" s="109"/>
      <c r="AH65" s="109"/>
      <c r="AI65" s="171"/>
      <c r="AJ65" s="109"/>
      <c r="AK65" s="109"/>
      <c r="AL65" s="109"/>
      <c r="AM65" s="109"/>
      <c r="AN65" s="109"/>
      <c r="AO65" s="109"/>
      <c r="AP65" s="109"/>
      <c r="AQ65" s="109"/>
      <c r="AR65" s="109"/>
      <c r="AS65" s="109"/>
      <c r="AT65" s="109"/>
      <c r="AU65" s="109"/>
      <c r="AV65" s="109"/>
      <c r="AW65" s="109"/>
      <c r="AX65" s="109"/>
      <c r="AY65" s="109"/>
      <c r="AZ65" s="109"/>
      <c r="BA65" s="109"/>
      <c r="BB65" s="109"/>
      <c r="BC65" s="109"/>
      <c r="BD65" s="109"/>
      <c r="BE65" s="109"/>
      <c r="BF65" s="109"/>
      <c r="BG65" s="109"/>
      <c r="BH65" s="109"/>
      <c r="BI65" s="109"/>
      <c r="BJ65" s="109"/>
      <c r="BK65" s="109"/>
      <c r="BL65" s="171"/>
      <c r="BM65" s="109"/>
      <c r="BN65" s="109"/>
      <c r="BO65" s="109"/>
      <c r="BP65" s="171"/>
      <c r="BQ65" s="109"/>
      <c r="BR65" s="109"/>
      <c r="BS65" s="109"/>
      <c r="BT65" s="171"/>
      <c r="BU65" s="109"/>
      <c r="BV65" s="109"/>
      <c r="BW65" s="109"/>
      <c r="BX65" s="171"/>
      <c r="BY65" s="109"/>
      <c r="BZ65" s="109"/>
      <c r="CA65" s="109"/>
      <c r="CB65" s="171"/>
      <c r="CC65" s="109"/>
      <c r="CD65" s="109"/>
      <c r="CE65" s="109"/>
      <c r="CF65" s="171"/>
      <c r="CG65" s="109"/>
      <c r="CH65" s="109"/>
      <c r="CI65" s="109"/>
      <c r="CJ65" s="171"/>
      <c r="CK65" s="109"/>
      <c r="CL65" s="109"/>
      <c r="CM65" s="109"/>
      <c r="CN65" s="171"/>
      <c r="CO65" s="109"/>
      <c r="CP65" s="109"/>
      <c r="CQ65" s="172"/>
      <c r="CR65" s="109"/>
      <c r="CS65" s="109"/>
      <c r="CT65" s="109"/>
      <c r="CU65" s="109"/>
      <c r="CV65" s="171"/>
      <c r="CW65" s="109"/>
      <c r="CX65" s="109"/>
      <c r="CY65" s="109"/>
      <c r="CZ65" s="171"/>
      <c r="DA65" s="1044"/>
      <c r="DB65" s="1044"/>
      <c r="DC65" s="172"/>
      <c r="DD65" s="171"/>
      <c r="DE65" s="1044"/>
      <c r="DF65" s="1044"/>
      <c r="DG65" s="172"/>
      <c r="DH65" s="1044"/>
      <c r="DI65" s="1044"/>
      <c r="DJ65" s="1044"/>
      <c r="DK65" s="172"/>
      <c r="DL65" s="1044"/>
      <c r="DM65" s="1044"/>
      <c r="DN65" s="1044"/>
      <c r="DO65" s="172"/>
      <c r="DP65" s="1044"/>
      <c r="DQ65" s="1044"/>
      <c r="DR65" s="1044"/>
      <c r="DS65" s="172"/>
      <c r="DT65" s="109"/>
    </row>
    <row r="66" spans="1:124">
      <c r="A66" s="169" t="s">
        <v>971</v>
      </c>
      <c r="B66" s="109"/>
      <c r="C66" s="109"/>
      <c r="D66" s="109"/>
      <c r="E66" s="109"/>
      <c r="F66" s="109"/>
      <c r="G66" s="109"/>
      <c r="H66" s="109"/>
      <c r="I66" s="109"/>
      <c r="J66" s="109"/>
      <c r="K66" s="109"/>
      <c r="L66" s="109"/>
      <c r="M66" s="109"/>
      <c r="N66" s="109"/>
      <c r="O66" s="109"/>
      <c r="P66" s="109"/>
      <c r="Q66" s="1044"/>
      <c r="R66" s="109"/>
      <c r="S66" s="109"/>
      <c r="T66" s="1044"/>
      <c r="U66" s="1044"/>
      <c r="V66" s="109"/>
      <c r="W66" s="109"/>
      <c r="X66" s="109"/>
      <c r="Y66" s="109"/>
      <c r="Z66" s="109"/>
      <c r="AA66" s="109"/>
      <c r="AB66" s="109"/>
      <c r="AC66" s="109"/>
      <c r="AD66" s="109"/>
      <c r="AE66" s="109"/>
      <c r="AF66" s="109"/>
      <c r="AG66" s="109"/>
      <c r="AH66" s="109"/>
      <c r="AI66" s="171"/>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c r="BL66" s="171"/>
      <c r="BM66" s="109"/>
      <c r="BN66" s="109"/>
      <c r="BO66" s="109"/>
      <c r="BP66" s="171"/>
      <c r="BQ66" s="109"/>
      <c r="BR66" s="109"/>
      <c r="BS66" s="109"/>
      <c r="BT66" s="171"/>
      <c r="BU66" s="109"/>
      <c r="BV66" s="109"/>
      <c r="BW66" s="109"/>
      <c r="BX66" s="171"/>
      <c r="BY66" s="109"/>
      <c r="BZ66" s="109"/>
      <c r="CA66" s="109"/>
      <c r="CB66" s="171"/>
      <c r="CC66" s="109"/>
      <c r="CD66" s="109"/>
      <c r="CE66" s="109"/>
      <c r="CF66" s="171"/>
      <c r="CG66" s="109"/>
      <c r="CH66" s="109"/>
      <c r="CI66" s="109"/>
      <c r="CJ66" s="171"/>
      <c r="CK66" s="109"/>
      <c r="CL66" s="109"/>
      <c r="CM66" s="109"/>
      <c r="CN66" s="171"/>
      <c r="CO66" s="109"/>
      <c r="CP66" s="109"/>
      <c r="CQ66" s="172"/>
      <c r="CR66" s="109"/>
      <c r="CS66" s="109"/>
      <c r="CT66" s="109"/>
      <c r="CU66" s="109"/>
      <c r="CV66" s="171"/>
      <c r="CW66" s="109"/>
      <c r="CX66" s="109"/>
      <c r="CY66" s="109"/>
      <c r="CZ66" s="171"/>
      <c r="DA66" s="1044"/>
      <c r="DB66" s="1044"/>
      <c r="DC66" s="172"/>
      <c r="DD66" s="171"/>
      <c r="DE66" s="1044"/>
      <c r="DF66" s="1044"/>
      <c r="DG66" s="172"/>
      <c r="DH66" s="1044"/>
      <c r="DI66" s="1044"/>
      <c r="DJ66" s="1044"/>
      <c r="DK66" s="172"/>
      <c r="DL66" s="1044"/>
      <c r="DM66" s="1044"/>
      <c r="DN66" s="1044"/>
      <c r="DO66" s="172"/>
      <c r="DP66" s="1044"/>
      <c r="DQ66" s="1044"/>
      <c r="DR66" s="1044"/>
      <c r="DS66" s="172"/>
      <c r="DT66" s="109"/>
    </row>
    <row r="67" spans="1:124">
      <c r="A67" s="167" t="s">
        <v>948</v>
      </c>
      <c r="B67" s="109"/>
      <c r="C67" s="109"/>
      <c r="D67" s="109"/>
      <c r="E67" s="109">
        <v>17088</v>
      </c>
      <c r="F67" s="109">
        <v>17699</v>
      </c>
      <c r="G67" s="109">
        <v>18032</v>
      </c>
      <c r="H67" s="109">
        <v>18122</v>
      </c>
      <c r="I67" s="109">
        <v>18482</v>
      </c>
      <c r="J67" s="109">
        <v>18401</v>
      </c>
      <c r="K67" s="109">
        <v>16180</v>
      </c>
      <c r="L67" s="109">
        <v>14570</v>
      </c>
      <c r="M67" s="109">
        <v>13593</v>
      </c>
      <c r="N67" s="109">
        <f>SUM(BT67:BW67)</f>
        <v>13700</v>
      </c>
      <c r="O67" s="109">
        <f>SUM(BX67:CA67)</f>
        <v>13421</v>
      </c>
      <c r="P67" s="109">
        <f>SUM(CB67:CE67)</f>
        <v>12893</v>
      </c>
      <c r="Q67" s="1044">
        <f>SUM(CF67:CI67)</f>
        <v>9713</v>
      </c>
      <c r="R67" s="109">
        <f>SUM(CJ67:CM67)</f>
        <v>9237</v>
      </c>
      <c r="S67" s="109">
        <f>SUM(CN67:CQ67)</f>
        <v>9417</v>
      </c>
      <c r="T67" s="1044">
        <f>SUM(CR67:CU67)</f>
        <v>8435</v>
      </c>
      <c r="U67" s="1044">
        <f>SUM(CV67:CY67)</f>
        <v>8657</v>
      </c>
      <c r="V67" s="109">
        <f>SUM(CZ67:DC67)</f>
        <v>8917</v>
      </c>
      <c r="W67" s="109">
        <f t="shared" ref="W67:AB67" si="70">W13-W40</f>
        <v>6654</v>
      </c>
      <c r="X67" s="109">
        <f t="shared" si="70"/>
        <v>6284</v>
      </c>
      <c r="Y67" s="109">
        <f t="shared" si="70"/>
        <v>6613</v>
      </c>
      <c r="Z67" s="109">
        <f t="shared" ref="Z67" ca="1" si="71">Z13-Z40</f>
        <v>6428.8559225687095</v>
      </c>
      <c r="AA67" s="109">
        <f t="shared" ca="1" si="70"/>
        <v>6419.7279704959474</v>
      </c>
      <c r="AB67" s="109">
        <f t="shared" ca="1" si="70"/>
        <v>6305.0638120086442</v>
      </c>
      <c r="AC67" s="109">
        <f t="shared" ref="AC67:AG67" ca="1" si="72">AC13-AC40</f>
        <v>6201.5558806913032</v>
      </c>
      <c r="AD67" s="109">
        <f t="shared" ca="1" si="72"/>
        <v>6106.8471211134238</v>
      </c>
      <c r="AE67" s="109">
        <f t="shared" ca="1" si="72"/>
        <v>6019.0625236011838</v>
      </c>
      <c r="AF67" s="109">
        <f t="shared" ca="1" si="72"/>
        <v>5936.7155822437417</v>
      </c>
      <c r="AG67" s="109">
        <f t="shared" ca="1" si="72"/>
        <v>5858.6344350422441</v>
      </c>
      <c r="AH67" s="109"/>
      <c r="AI67" s="171"/>
      <c r="AJ67" s="109">
        <v>4467</v>
      </c>
      <c r="AK67" s="109">
        <v>4235</v>
      </c>
      <c r="AL67" s="109">
        <v>4316</v>
      </c>
      <c r="AM67" s="109">
        <v>4070</v>
      </c>
      <c r="AN67" s="109">
        <v>4465</v>
      </c>
      <c r="AO67" s="109">
        <v>4361</v>
      </c>
      <c r="AP67" s="109">
        <v>4518</v>
      </c>
      <c r="AQ67" s="109">
        <v>4355</v>
      </c>
      <c r="AR67" s="109">
        <v>4583</v>
      </c>
      <c r="AS67" s="109">
        <v>4420</v>
      </c>
      <c r="AT67" s="109">
        <v>4518</v>
      </c>
      <c r="AU67" s="109">
        <v>4511</v>
      </c>
      <c r="AV67" s="109">
        <v>4437</v>
      </c>
      <c r="AW67" s="109">
        <v>4628</v>
      </c>
      <c r="AX67" s="109">
        <v>4595</v>
      </c>
      <c r="AY67" s="109">
        <v>4462</v>
      </c>
      <c r="AZ67" s="109">
        <v>4789</v>
      </c>
      <c r="BA67" s="109">
        <v>4882</v>
      </c>
      <c r="BB67" s="109">
        <v>4443</v>
      </c>
      <c r="BC67" s="109">
        <v>4368</v>
      </c>
      <c r="BD67" s="109">
        <v>4727</v>
      </c>
      <c r="BE67" s="109">
        <v>4710</v>
      </c>
      <c r="BF67" s="109">
        <v>4446</v>
      </c>
      <c r="BG67" s="109">
        <v>4518</v>
      </c>
      <c r="BH67" s="109">
        <v>4362</v>
      </c>
      <c r="BI67" s="109">
        <v>4195</v>
      </c>
      <c r="BJ67" s="109">
        <v>3856</v>
      </c>
      <c r="BK67" s="109">
        <v>3767</v>
      </c>
      <c r="BL67" s="171">
        <v>3699</v>
      </c>
      <c r="BM67" s="109">
        <v>3585</v>
      </c>
      <c r="BN67" s="109">
        <v>3594</v>
      </c>
      <c r="BO67" s="109">
        <v>3692</v>
      </c>
      <c r="BP67" s="171">
        <v>3441</v>
      </c>
      <c r="BQ67" s="109">
        <v>3398</v>
      </c>
      <c r="BR67" s="109">
        <v>3497</v>
      </c>
      <c r="BS67" s="109">
        <v>3257</v>
      </c>
      <c r="BT67" s="171">
        <f t="shared" ref="BT67:CY67" si="73">BT13-BT40</f>
        <v>3346</v>
      </c>
      <c r="BU67" s="109">
        <f t="shared" si="73"/>
        <v>3520</v>
      </c>
      <c r="BV67" s="109">
        <f t="shared" si="73"/>
        <v>3373</v>
      </c>
      <c r="BW67" s="109">
        <f t="shared" si="73"/>
        <v>3461</v>
      </c>
      <c r="BX67" s="171">
        <f t="shared" si="73"/>
        <v>3286</v>
      </c>
      <c r="BY67" s="109">
        <f t="shared" si="73"/>
        <v>3293</v>
      </c>
      <c r="BZ67" s="109">
        <f t="shared" si="73"/>
        <v>3365</v>
      </c>
      <c r="CA67" s="109">
        <f t="shared" si="73"/>
        <v>3477</v>
      </c>
      <c r="CB67" s="171">
        <f t="shared" si="73"/>
        <v>3249</v>
      </c>
      <c r="CC67" s="109">
        <f t="shared" si="73"/>
        <v>3308</v>
      </c>
      <c r="CD67" s="109">
        <f t="shared" si="73"/>
        <v>3314</v>
      </c>
      <c r="CE67" s="109">
        <f t="shared" si="73"/>
        <v>3022</v>
      </c>
      <c r="CF67" s="171">
        <f t="shared" si="73"/>
        <v>2445</v>
      </c>
      <c r="CG67" s="109">
        <f t="shared" si="73"/>
        <v>2474</v>
      </c>
      <c r="CH67" s="109">
        <f t="shared" si="73"/>
        <v>2409</v>
      </c>
      <c r="CI67" s="109">
        <f t="shared" si="73"/>
        <v>2385</v>
      </c>
      <c r="CJ67" s="171">
        <f t="shared" si="73"/>
        <v>2184</v>
      </c>
      <c r="CK67" s="109">
        <f t="shared" si="73"/>
        <v>2307</v>
      </c>
      <c r="CL67" s="109">
        <f t="shared" si="73"/>
        <v>2332</v>
      </c>
      <c r="CM67" s="109">
        <f t="shared" si="73"/>
        <v>2414</v>
      </c>
      <c r="CN67" s="171">
        <f t="shared" si="73"/>
        <v>2395</v>
      </c>
      <c r="CO67" s="109">
        <f t="shared" si="73"/>
        <v>2435</v>
      </c>
      <c r="CP67" s="109">
        <f t="shared" si="73"/>
        <v>2172</v>
      </c>
      <c r="CQ67" s="172">
        <f t="shared" si="73"/>
        <v>2415</v>
      </c>
      <c r="CR67" s="109">
        <f t="shared" si="73"/>
        <v>2247</v>
      </c>
      <c r="CS67" s="109">
        <f t="shared" si="73"/>
        <v>2263</v>
      </c>
      <c r="CT67" s="109">
        <f t="shared" si="73"/>
        <v>2148</v>
      </c>
      <c r="CU67" s="109">
        <f t="shared" si="73"/>
        <v>1777</v>
      </c>
      <c r="CV67" s="171">
        <f t="shared" si="73"/>
        <v>2098</v>
      </c>
      <c r="CW67" s="109">
        <f t="shared" si="73"/>
        <v>2151</v>
      </c>
      <c r="CX67" s="109">
        <f t="shared" si="73"/>
        <v>2221</v>
      </c>
      <c r="CY67" s="109">
        <f t="shared" si="73"/>
        <v>2187</v>
      </c>
      <c r="CZ67" s="171">
        <f t="shared" ref="CZ67:DF67" si="74">CZ13-CZ40</f>
        <v>2174</v>
      </c>
      <c r="DA67" s="1044">
        <f t="shared" si="74"/>
        <v>2258</v>
      </c>
      <c r="DB67" s="1044">
        <f t="shared" si="74"/>
        <v>2203</v>
      </c>
      <c r="DC67" s="172">
        <f t="shared" si="74"/>
        <v>2282</v>
      </c>
      <c r="DD67" s="171">
        <f>DD13-DD40</f>
        <v>1596</v>
      </c>
      <c r="DE67" s="1044">
        <f t="shared" si="74"/>
        <v>1663</v>
      </c>
      <c r="DF67" s="1044">
        <f t="shared" si="74"/>
        <v>1656</v>
      </c>
      <c r="DG67" s="172">
        <f>DG13-DG40</f>
        <v>1739</v>
      </c>
      <c r="DH67" s="1044">
        <f>DH13-DH40</f>
        <v>1652</v>
      </c>
      <c r="DI67" s="1044">
        <f>DI13-DI40</f>
        <v>1099</v>
      </c>
      <c r="DJ67" s="1044">
        <f>DJ13-DJ40</f>
        <v>1654</v>
      </c>
      <c r="DK67" s="172">
        <f>DK13-DK40</f>
        <v>1879</v>
      </c>
      <c r="DL67" s="1044">
        <f t="shared" ref="DL67:DO67" si="75">DL13-DL40</f>
        <v>1785</v>
      </c>
      <c r="DM67" s="1044">
        <f t="shared" si="75"/>
        <v>1620</v>
      </c>
      <c r="DN67" s="1044">
        <f t="shared" si="75"/>
        <v>1614</v>
      </c>
      <c r="DO67" s="172">
        <f t="shared" si="75"/>
        <v>1594</v>
      </c>
      <c r="DP67" s="1044">
        <f t="shared" ref="DP67:DS67" si="76">DP13-DP40</f>
        <v>1603</v>
      </c>
      <c r="DQ67" s="1044">
        <f t="shared" ca="1" si="76"/>
        <v>1587.9022307769064</v>
      </c>
      <c r="DR67" s="1044">
        <f t="shared" ca="1" si="76"/>
        <v>1639.825725484061</v>
      </c>
      <c r="DS67" s="172">
        <f t="shared" ca="1" si="76"/>
        <v>1598.127966307743</v>
      </c>
      <c r="DT67" s="109"/>
    </row>
    <row r="68" spans="1:124">
      <c r="A68" s="167" t="s">
        <v>951</v>
      </c>
      <c r="B68" s="109"/>
      <c r="C68" s="109"/>
      <c r="D68" s="109"/>
      <c r="E68" s="109">
        <v>2007</v>
      </c>
      <c r="F68" s="109">
        <v>2478</v>
      </c>
      <c r="G68" s="109">
        <v>4582</v>
      </c>
      <c r="H68" s="109">
        <v>5005</v>
      </c>
      <c r="I68" s="109">
        <v>6014</v>
      </c>
      <c r="J68" s="109">
        <v>6933</v>
      </c>
      <c r="K68" s="109">
        <v>7972</v>
      </c>
      <c r="L68" s="109">
        <v>10324</v>
      </c>
      <c r="M68" s="109">
        <v>12140</v>
      </c>
      <c r="N68" s="109">
        <f>Wless!N69</f>
        <v>20342.822</v>
      </c>
      <c r="O68" s="109">
        <f>Wless!O69</f>
        <v>23733.309999999998</v>
      </c>
      <c r="P68" s="109">
        <f>Wless!P69</f>
        <v>14466</v>
      </c>
      <c r="Q68" s="1044">
        <f>SUM(CF68:CI68)</f>
        <v>20236</v>
      </c>
      <c r="R68" s="109">
        <f>SUM(CJ68:CM68)</f>
        <v>25226</v>
      </c>
      <c r="S68" s="109">
        <f>SUM(CN68:CQ68)</f>
        <v>26489</v>
      </c>
      <c r="T68" s="1044">
        <f>SUM(CR68:CU68)</f>
        <v>29728</v>
      </c>
      <c r="U68" s="1044">
        <f>SUM(CV68:CY68)</f>
        <v>34199</v>
      </c>
      <c r="V68" s="109">
        <f>SUM(CZ68:DC68)</f>
        <v>35219</v>
      </c>
      <c r="W68" s="109">
        <f>Wless!W69</f>
        <v>38953</v>
      </c>
      <c r="X68" s="109">
        <f>Wless!X69</f>
        <v>39036</v>
      </c>
      <c r="Y68" s="2552">
        <f>Wless!Y69</f>
        <v>38602</v>
      </c>
      <c r="Z68" s="2552">
        <f ca="1">Wless!Z69</f>
        <v>40845.277874283238</v>
      </c>
      <c r="AA68" s="109">
        <f ca="1">Wless!AA69</f>
        <v>40813.780017020108</v>
      </c>
      <c r="AB68" s="109">
        <f ca="1">Wless!AB69</f>
        <v>41747.238370594692</v>
      </c>
      <c r="AC68" s="109">
        <f ca="1">Wless!AC69</f>
        <v>42758.388648627115</v>
      </c>
      <c r="AD68" s="109">
        <f ca="1">Wless!AD69</f>
        <v>43838.908039516711</v>
      </c>
      <c r="AE68" s="109">
        <f ca="1">Wless!AE69</f>
        <v>44991.686518556467</v>
      </c>
      <c r="AF68" s="109">
        <f ca="1">Wless!AF69</f>
        <v>46224.6871656203</v>
      </c>
      <c r="AG68" s="109">
        <f ca="1">Wless!AG69</f>
        <v>47548.202159174412</v>
      </c>
      <c r="AH68" s="109"/>
      <c r="AI68" s="171"/>
      <c r="AJ68" s="109">
        <v>450</v>
      </c>
      <c r="AK68" s="109">
        <v>520</v>
      </c>
      <c r="AL68" s="109">
        <v>553</v>
      </c>
      <c r="AM68" s="109">
        <v>484</v>
      </c>
      <c r="AN68" s="109">
        <v>571</v>
      </c>
      <c r="AO68" s="109">
        <v>668</v>
      </c>
      <c r="AP68" s="109">
        <v>643</v>
      </c>
      <c r="AQ68" s="109">
        <v>596</v>
      </c>
      <c r="AR68" s="109">
        <v>1093</v>
      </c>
      <c r="AS68" s="109">
        <v>1190</v>
      </c>
      <c r="AT68" s="109">
        <v>1221</v>
      </c>
      <c r="AU68" s="109">
        <v>1078</v>
      </c>
      <c r="AV68" s="109">
        <v>1171</v>
      </c>
      <c r="AW68" s="109">
        <v>1160</v>
      </c>
      <c r="AX68" s="109">
        <v>1453</v>
      </c>
      <c r="AY68" s="109">
        <v>1221</v>
      </c>
      <c r="AZ68" s="109">
        <v>1409</v>
      </c>
      <c r="BA68" s="109">
        <v>1566</v>
      </c>
      <c r="BB68" s="109">
        <v>1631</v>
      </c>
      <c r="BC68" s="109">
        <v>1408</v>
      </c>
      <c r="BD68" s="109">
        <v>1555</v>
      </c>
      <c r="BE68" s="109">
        <v>1692</v>
      </c>
      <c r="BF68" s="109">
        <v>1798</v>
      </c>
      <c r="BG68" s="109">
        <v>1888</v>
      </c>
      <c r="BH68" s="109">
        <v>1781</v>
      </c>
      <c r="BI68" s="109">
        <v>1937</v>
      </c>
      <c r="BJ68" s="109">
        <v>2124</v>
      </c>
      <c r="BK68" s="109">
        <v>2130</v>
      </c>
      <c r="BL68" s="171">
        <v>2257</v>
      </c>
      <c r="BM68" s="109">
        <v>2718</v>
      </c>
      <c r="BN68" s="109">
        <v>2793</v>
      </c>
      <c r="BO68" s="109">
        <v>2556</v>
      </c>
      <c r="BP68" s="171">
        <v>2690</v>
      </c>
      <c r="BQ68" s="109">
        <v>2957</v>
      </c>
      <c r="BR68" s="109">
        <v>3018</v>
      </c>
      <c r="BS68" s="109">
        <v>3475</v>
      </c>
      <c r="BT68" s="171">
        <f t="shared" ref="BT68:CY68" si="77">BT59+BT50</f>
        <v>3389</v>
      </c>
      <c r="BU68" s="109">
        <f t="shared" si="77"/>
        <v>3564</v>
      </c>
      <c r="BV68" s="109">
        <f t="shared" si="77"/>
        <v>3807</v>
      </c>
      <c r="BW68" s="109">
        <f t="shared" si="77"/>
        <v>3753</v>
      </c>
      <c r="BX68" s="171">
        <f t="shared" si="77"/>
        <v>3985</v>
      </c>
      <c r="BY68" s="109">
        <f t="shared" si="77"/>
        <v>4302</v>
      </c>
      <c r="BZ68" s="109">
        <f t="shared" si="77"/>
        <v>4353</v>
      </c>
      <c r="CA68" s="109">
        <f t="shared" si="77"/>
        <v>4309</v>
      </c>
      <c r="CB68" s="171">
        <f t="shared" si="77"/>
        <v>3364</v>
      </c>
      <c r="CC68" s="109">
        <f t="shared" si="77"/>
        <v>3592</v>
      </c>
      <c r="CD68" s="109">
        <f t="shared" si="77"/>
        <v>3564</v>
      </c>
      <c r="CE68" s="109">
        <f t="shared" si="77"/>
        <v>3946</v>
      </c>
      <c r="CF68" s="171">
        <f t="shared" si="77"/>
        <v>4979</v>
      </c>
      <c r="CG68" s="109">
        <f t="shared" si="77"/>
        <v>5091</v>
      </c>
      <c r="CH68" s="109">
        <f t="shared" si="77"/>
        <v>5121</v>
      </c>
      <c r="CI68" s="109">
        <f t="shared" si="77"/>
        <v>5045</v>
      </c>
      <c r="CJ68" s="171">
        <f t="shared" si="77"/>
        <v>5291</v>
      </c>
      <c r="CK68" s="109">
        <f t="shared" si="77"/>
        <v>6510</v>
      </c>
      <c r="CL68" s="109">
        <f t="shared" si="77"/>
        <v>6690</v>
      </c>
      <c r="CM68" s="109">
        <f t="shared" si="77"/>
        <v>6735</v>
      </c>
      <c r="CN68" s="171">
        <f t="shared" si="77"/>
        <v>6250</v>
      </c>
      <c r="CO68" s="109">
        <f t="shared" si="77"/>
        <v>6670</v>
      </c>
      <c r="CP68" s="109">
        <f t="shared" si="77"/>
        <v>7189</v>
      </c>
      <c r="CQ68" s="172">
        <f t="shared" si="77"/>
        <v>6380</v>
      </c>
      <c r="CR68" s="109">
        <f t="shared" si="77"/>
        <v>7135</v>
      </c>
      <c r="CS68" s="109">
        <f t="shared" si="77"/>
        <v>7724</v>
      </c>
      <c r="CT68" s="109">
        <f t="shared" si="77"/>
        <v>8084</v>
      </c>
      <c r="CU68" s="109">
        <f t="shared" si="77"/>
        <v>6785</v>
      </c>
      <c r="CV68" s="171">
        <f t="shared" si="77"/>
        <v>8424</v>
      </c>
      <c r="CW68" s="109">
        <f t="shared" si="77"/>
        <v>8511</v>
      </c>
      <c r="CX68" s="109">
        <f t="shared" si="77"/>
        <v>8946</v>
      </c>
      <c r="CY68" s="109">
        <f t="shared" si="77"/>
        <v>8318</v>
      </c>
      <c r="CZ68" s="171">
        <f t="shared" ref="CZ68:DF68" si="78">CZ59+CZ50</f>
        <v>9379</v>
      </c>
      <c r="DA68" s="1044">
        <f t="shared" si="78"/>
        <v>9092</v>
      </c>
      <c r="DB68" s="1044">
        <f t="shared" si="78"/>
        <v>9094</v>
      </c>
      <c r="DC68" s="172">
        <f t="shared" si="78"/>
        <v>7654</v>
      </c>
      <c r="DD68" s="171">
        <f>DD59+DD50</f>
        <v>10000</v>
      </c>
      <c r="DE68" s="1044">
        <f t="shared" si="78"/>
        <v>9921</v>
      </c>
      <c r="DF68" s="1044">
        <f t="shared" si="78"/>
        <v>9928</v>
      </c>
      <c r="DG68" s="172">
        <f>DG59+DG50</f>
        <v>9104</v>
      </c>
      <c r="DH68" s="1044">
        <f>DH59+DH50</f>
        <v>10173</v>
      </c>
      <c r="DI68" s="1044">
        <f>DI59+DI50</f>
        <v>10299</v>
      </c>
      <c r="DJ68" s="1044">
        <f>DJ59+DJ50</f>
        <v>9934</v>
      </c>
      <c r="DK68" s="172">
        <f>DK59+DK50</f>
        <v>8630</v>
      </c>
      <c r="DL68" s="1044">
        <f t="shared" ref="DL68:DO68" si="79">DL59+DL50</f>
        <v>9414</v>
      </c>
      <c r="DM68" s="1044">
        <f t="shared" si="79"/>
        <v>9757</v>
      </c>
      <c r="DN68" s="1044">
        <f t="shared" si="79"/>
        <v>9969</v>
      </c>
      <c r="DO68" s="172">
        <f t="shared" si="79"/>
        <v>9462</v>
      </c>
      <c r="DP68" s="1044">
        <f t="shared" ref="DP68:DS68" si="80">DP59+DP50</f>
        <v>10477</v>
      </c>
      <c r="DQ68" s="1044">
        <f t="shared" ca="1" si="80"/>
        <v>10352.807185108177</v>
      </c>
      <c r="DR68" s="1044">
        <f t="shared" ca="1" si="80"/>
        <v>10561.405547120419</v>
      </c>
      <c r="DS68" s="172">
        <f t="shared" ca="1" si="80"/>
        <v>9454.0651420546419</v>
      </c>
      <c r="DT68" s="109"/>
    </row>
    <row r="69" spans="1:124">
      <c r="A69" s="167" t="s">
        <v>953</v>
      </c>
      <c r="B69" s="109"/>
      <c r="C69" s="109"/>
      <c r="D69" s="109"/>
      <c r="E69" s="109">
        <v>272</v>
      </c>
      <c r="F69" s="109">
        <v>435</v>
      </c>
      <c r="G69" s="109">
        <v>519</v>
      </c>
      <c r="H69" s="109">
        <v>617</v>
      </c>
      <c r="I69" s="109">
        <v>715</v>
      </c>
      <c r="J69" s="109">
        <v>1023</v>
      </c>
      <c r="K69" s="109">
        <v>684</v>
      </c>
      <c r="L69" s="109">
        <v>917</v>
      </c>
      <c r="M69" s="109">
        <v>811</v>
      </c>
      <c r="N69" s="109">
        <f>SUM(BT69:BW69)</f>
        <v>0</v>
      </c>
      <c r="O69" s="109">
        <f>SUM(BX69:CA69)</f>
        <v>0</v>
      </c>
      <c r="P69" s="109"/>
      <c r="Q69" s="1044"/>
      <c r="R69" s="109"/>
      <c r="S69" s="109">
        <f>SUM(CN69:CQ69)</f>
        <v>0</v>
      </c>
      <c r="T69" s="1044">
        <f>SUM(CR69:CU69)</f>
        <v>0</v>
      </c>
      <c r="U69" s="1044">
        <f>SUM(CV69:CY69)</f>
        <v>0</v>
      </c>
      <c r="V69" s="109">
        <f>SUM(CZ69:DC69)</f>
        <v>0</v>
      </c>
      <c r="W69" s="109"/>
      <c r="X69" s="109"/>
      <c r="Y69" s="109"/>
      <c r="Z69" s="109"/>
      <c r="AA69" s="109"/>
      <c r="AB69" s="109"/>
      <c r="AC69" s="109"/>
      <c r="AD69" s="109"/>
      <c r="AE69" s="109"/>
      <c r="AF69" s="109"/>
      <c r="AG69" s="109"/>
      <c r="AH69" s="109"/>
      <c r="AI69" s="171"/>
      <c r="AJ69" s="109">
        <v>48</v>
      </c>
      <c r="AK69" s="109">
        <v>60</v>
      </c>
      <c r="AL69" s="109">
        <v>96</v>
      </c>
      <c r="AM69" s="109">
        <v>68</v>
      </c>
      <c r="AN69" s="109">
        <v>115</v>
      </c>
      <c r="AO69" s="109">
        <v>106</v>
      </c>
      <c r="AP69" s="109">
        <v>98</v>
      </c>
      <c r="AQ69" s="109">
        <v>116</v>
      </c>
      <c r="AR69" s="109">
        <v>118</v>
      </c>
      <c r="AS69" s="109">
        <v>126</v>
      </c>
      <c r="AT69" s="109">
        <v>147</v>
      </c>
      <c r="AU69" s="109">
        <v>128</v>
      </c>
      <c r="AV69" s="109">
        <v>351</v>
      </c>
      <c r="AW69" s="109">
        <v>420</v>
      </c>
      <c r="AX69" s="109">
        <v>336</v>
      </c>
      <c r="AY69" s="109">
        <v>423</v>
      </c>
      <c r="AZ69" s="109">
        <v>343</v>
      </c>
      <c r="BA69" s="109">
        <v>396</v>
      </c>
      <c r="BB69" s="109">
        <v>417</v>
      </c>
      <c r="BC69" s="109">
        <v>394</v>
      </c>
      <c r="BD69" s="109">
        <v>226</v>
      </c>
      <c r="BE69" s="109">
        <v>251</v>
      </c>
      <c r="BF69" s="109">
        <v>298</v>
      </c>
      <c r="BG69" s="109">
        <v>248</v>
      </c>
      <c r="BH69" s="109">
        <v>223</v>
      </c>
      <c r="BI69" s="109">
        <v>174</v>
      </c>
      <c r="BJ69" s="109">
        <v>80</v>
      </c>
      <c r="BK69" s="109">
        <v>207</v>
      </c>
      <c r="BL69" s="171">
        <v>193</v>
      </c>
      <c r="BM69" s="109">
        <v>263</v>
      </c>
      <c r="BN69" s="109">
        <v>207</v>
      </c>
      <c r="BO69" s="109">
        <v>254</v>
      </c>
      <c r="BP69" s="171">
        <v>183</v>
      </c>
      <c r="BQ69" s="109">
        <v>190</v>
      </c>
      <c r="BR69" s="109">
        <v>219</v>
      </c>
      <c r="BS69" s="109">
        <v>219</v>
      </c>
      <c r="BT69" s="171"/>
      <c r="BU69" s="109"/>
      <c r="BV69" s="109"/>
      <c r="BW69" s="109"/>
      <c r="BX69" s="171"/>
      <c r="BY69" s="109"/>
      <c r="BZ69" s="109"/>
      <c r="CA69" s="109"/>
      <c r="CB69" s="171"/>
      <c r="CC69" s="109"/>
      <c r="CD69" s="109"/>
      <c r="CE69" s="109"/>
      <c r="CF69" s="171"/>
      <c r="CG69" s="109"/>
      <c r="CH69" s="109"/>
      <c r="CI69" s="109"/>
      <c r="CJ69" s="171"/>
      <c r="CK69" s="109"/>
      <c r="CL69" s="109"/>
      <c r="CM69" s="109"/>
      <c r="CN69" s="171"/>
      <c r="CO69" s="109"/>
      <c r="CP69" s="109"/>
      <c r="CQ69" s="172"/>
      <c r="CR69" s="109"/>
      <c r="CS69" s="109"/>
      <c r="CT69" s="109"/>
      <c r="CU69" s="109"/>
      <c r="CV69" s="171"/>
      <c r="CW69" s="109"/>
      <c r="CX69" s="109"/>
      <c r="CY69" s="109"/>
      <c r="CZ69" s="171"/>
      <c r="DA69" s="1044"/>
      <c r="DB69" s="1044"/>
      <c r="DC69" s="172"/>
      <c r="DD69" s="171"/>
      <c r="DE69" s="1044"/>
      <c r="DF69" s="1044"/>
      <c r="DG69" s="172"/>
      <c r="DH69" s="1044"/>
      <c r="DI69" s="1044"/>
      <c r="DJ69" s="1044"/>
      <c r="DK69" s="172"/>
      <c r="DL69" s="1044"/>
      <c r="DM69" s="1044"/>
      <c r="DN69" s="1044"/>
      <c r="DO69" s="172"/>
      <c r="DP69" s="1044"/>
      <c r="DQ69" s="1044"/>
      <c r="DR69" s="1044"/>
      <c r="DS69" s="172"/>
      <c r="DT69" s="109"/>
    </row>
    <row r="70" spans="1:124">
      <c r="A70" s="167" t="s">
        <v>1434</v>
      </c>
      <c r="B70" s="109"/>
      <c r="C70" s="109"/>
      <c r="D70" s="109"/>
      <c r="E70" s="109">
        <v>1750</v>
      </c>
      <c r="F70" s="109">
        <v>1940</v>
      </c>
      <c r="G70" s="109">
        <v>2079</v>
      </c>
      <c r="H70" s="109">
        <v>2118</v>
      </c>
      <c r="I70" s="109">
        <v>2352</v>
      </c>
      <c r="J70" s="109">
        <v>2188</v>
      </c>
      <c r="K70" s="109">
        <v>1963</v>
      </c>
      <c r="L70" s="109">
        <v>1688</v>
      </c>
      <c r="M70" s="109">
        <v>1752</v>
      </c>
      <c r="N70" s="109">
        <f>SUM(BT70:BW70)</f>
        <v>1211</v>
      </c>
      <c r="O70" s="109">
        <f>SUM(BX70:CA70)</f>
        <v>0</v>
      </c>
      <c r="P70" s="109">
        <v>0</v>
      </c>
      <c r="Q70" s="1044">
        <v>0</v>
      </c>
      <c r="R70" s="109">
        <v>0</v>
      </c>
      <c r="S70" s="109">
        <f>SUM(CN70:CQ70)</f>
        <v>0</v>
      </c>
      <c r="T70" s="1044">
        <f>SUM(CR70:CU70)</f>
        <v>0</v>
      </c>
      <c r="U70" s="1044">
        <f>SUM(CV70:CY70)</f>
        <v>0</v>
      </c>
      <c r="V70" s="109">
        <f>SUM(CZ70:DC70)</f>
        <v>0</v>
      </c>
      <c r="W70" s="109">
        <v>0</v>
      </c>
      <c r="X70" s="109">
        <v>0</v>
      </c>
      <c r="Y70" s="2987">
        <v>0</v>
      </c>
      <c r="Z70" s="2987">
        <v>0</v>
      </c>
      <c r="AA70" s="109">
        <v>0</v>
      </c>
      <c r="AB70" s="109">
        <v>0</v>
      </c>
      <c r="AC70" s="109">
        <v>0</v>
      </c>
      <c r="AD70" s="109">
        <v>0</v>
      </c>
      <c r="AE70" s="109">
        <v>0</v>
      </c>
      <c r="AF70" s="109">
        <v>0</v>
      </c>
      <c r="AG70" s="109">
        <v>0</v>
      </c>
      <c r="AH70" s="109"/>
      <c r="AI70" s="171"/>
      <c r="AJ70" s="109">
        <v>271</v>
      </c>
      <c r="AK70" s="109">
        <v>492</v>
      </c>
      <c r="AL70" s="109">
        <v>435</v>
      </c>
      <c r="AM70" s="109">
        <v>552</v>
      </c>
      <c r="AN70" s="109">
        <v>322</v>
      </c>
      <c r="AO70" s="109">
        <v>505</v>
      </c>
      <c r="AP70" s="109">
        <v>493</v>
      </c>
      <c r="AQ70" s="109">
        <v>620</v>
      </c>
      <c r="AR70" s="109">
        <v>337</v>
      </c>
      <c r="AS70" s="109">
        <v>549</v>
      </c>
      <c r="AT70" s="109">
        <v>446</v>
      </c>
      <c r="AU70" s="109">
        <v>747</v>
      </c>
      <c r="AV70" s="109">
        <v>345</v>
      </c>
      <c r="AW70" s="109">
        <v>581</v>
      </c>
      <c r="AX70" s="109">
        <v>497</v>
      </c>
      <c r="AY70" s="109">
        <v>695</v>
      </c>
      <c r="AZ70" s="109">
        <v>373</v>
      </c>
      <c r="BA70" s="109">
        <v>531</v>
      </c>
      <c r="BB70" s="109">
        <v>627</v>
      </c>
      <c r="BC70" s="109">
        <v>821</v>
      </c>
      <c r="BD70" s="109">
        <v>369</v>
      </c>
      <c r="BE70" s="109">
        <v>459</v>
      </c>
      <c r="BF70" s="109">
        <v>593</v>
      </c>
      <c r="BG70" s="109">
        <v>767</v>
      </c>
      <c r="BH70" s="109">
        <v>484</v>
      </c>
      <c r="BI70" s="109">
        <v>488</v>
      </c>
      <c r="BJ70" s="109">
        <v>590</v>
      </c>
      <c r="BK70" s="109">
        <v>401</v>
      </c>
      <c r="BL70" s="171">
        <v>452</v>
      </c>
      <c r="BM70" s="109">
        <v>413</v>
      </c>
      <c r="BN70" s="109">
        <v>433</v>
      </c>
      <c r="BO70" s="109">
        <v>390</v>
      </c>
      <c r="BP70" s="171">
        <v>445</v>
      </c>
      <c r="BQ70" s="109">
        <v>429</v>
      </c>
      <c r="BR70" s="109">
        <v>464</v>
      </c>
      <c r="BS70" s="109">
        <v>414</v>
      </c>
      <c r="BT70" s="171">
        <v>427</v>
      </c>
      <c r="BU70" s="109">
        <v>389</v>
      </c>
      <c r="BV70" s="109">
        <v>395</v>
      </c>
      <c r="BW70" s="109">
        <v>0</v>
      </c>
      <c r="BX70" s="171">
        <v>0</v>
      </c>
      <c r="BY70" s="109"/>
      <c r="BZ70" s="109"/>
      <c r="CA70" s="109"/>
      <c r="CB70" s="171"/>
      <c r="CC70" s="109"/>
      <c r="CD70" s="109"/>
      <c r="CE70" s="109"/>
      <c r="CF70" s="171"/>
      <c r="CG70" s="109"/>
      <c r="CH70" s="109"/>
      <c r="CI70" s="109"/>
      <c r="CJ70" s="171"/>
      <c r="CK70" s="109"/>
      <c r="CL70" s="109"/>
      <c r="CM70" s="109"/>
      <c r="CN70" s="171"/>
      <c r="CO70" s="109"/>
      <c r="CP70" s="109"/>
      <c r="CQ70" s="172"/>
      <c r="CR70" s="109"/>
      <c r="CS70" s="109"/>
      <c r="CT70" s="109"/>
      <c r="CU70" s="109"/>
      <c r="CV70" s="171"/>
      <c r="CW70" s="109"/>
      <c r="CX70" s="109"/>
      <c r="CY70" s="109"/>
      <c r="CZ70" s="171"/>
      <c r="DA70" s="1044"/>
      <c r="DB70" s="1044"/>
      <c r="DC70" s="172"/>
      <c r="DD70" s="171"/>
      <c r="DE70" s="1044"/>
      <c r="DF70" s="1044"/>
      <c r="DG70" s="172"/>
      <c r="DH70" s="1044"/>
      <c r="DI70" s="1044"/>
      <c r="DJ70" s="1044"/>
      <c r="DK70" s="172"/>
      <c r="DL70" s="1044"/>
      <c r="DM70" s="1044"/>
      <c r="DN70" s="1044"/>
      <c r="DO70" s="172"/>
      <c r="DP70" s="1044"/>
      <c r="DQ70" s="1044"/>
      <c r="DR70" s="1044"/>
      <c r="DS70" s="172"/>
      <c r="DT70" s="109"/>
    </row>
    <row r="71" spans="1:124">
      <c r="A71" s="167" t="s">
        <v>955</v>
      </c>
      <c r="B71" s="109"/>
      <c r="C71" s="109"/>
      <c r="D71" s="109"/>
      <c r="E71" s="109">
        <v>36</v>
      </c>
      <c r="F71" s="109">
        <v>228</v>
      </c>
      <c r="G71" s="109">
        <v>525</v>
      </c>
      <c r="H71" s="109">
        <v>126</v>
      </c>
      <c r="I71" s="109">
        <v>443</v>
      </c>
      <c r="J71" s="109">
        <v>579</v>
      </c>
      <c r="K71" s="109">
        <v>147</v>
      </c>
      <c r="L71" s="109">
        <v>121</v>
      </c>
      <c r="M71" s="109">
        <v>1515</v>
      </c>
      <c r="N71" s="109">
        <f>N62+N53</f>
        <v>-177.09786784569405</v>
      </c>
      <c r="O71" s="109">
        <f>O62+O53</f>
        <v>295</v>
      </c>
      <c r="P71" s="109">
        <f>P62+P53</f>
        <v>5213</v>
      </c>
      <c r="Q71" s="1044">
        <f>SUM(CF71:CI71)</f>
        <v>-1541</v>
      </c>
      <c r="R71" s="109">
        <f>SUM(CJ71:CM71)</f>
        <v>-941</v>
      </c>
      <c r="S71" s="109">
        <f>SUM(CN71:CQ71)</f>
        <v>-456</v>
      </c>
      <c r="T71" s="1044">
        <f>SUM(CR71:CU71)</f>
        <v>-746</v>
      </c>
      <c r="U71" s="1044">
        <f>SUM(CV71:CY71)</f>
        <v>-835</v>
      </c>
      <c r="V71" s="109">
        <f>SUM(CZ71:DC71)</f>
        <v>-882</v>
      </c>
      <c r="W71" s="109">
        <f t="shared" ref="W71:AB71" si="81">W62+W53</f>
        <v>-1239</v>
      </c>
      <c r="X71" s="109">
        <f t="shared" si="81"/>
        <v>-1084</v>
      </c>
      <c r="Y71" s="109">
        <f t="shared" si="81"/>
        <v>1442</v>
      </c>
      <c r="Z71" s="109">
        <f t="shared" ref="Z71" si="82">Z62+Z53</f>
        <v>512.1195000000007</v>
      </c>
      <c r="AA71" s="109">
        <f t="shared" ca="1" si="81"/>
        <v>1603.1560320000008</v>
      </c>
      <c r="AB71" s="109">
        <f t="shared" ca="1" si="81"/>
        <v>1635.2191526400002</v>
      </c>
      <c r="AC71" s="109">
        <f t="shared" ref="AC71:AG71" ca="1" si="83">AC62+AC53</f>
        <v>1667.9235356928002</v>
      </c>
      <c r="AD71" s="109">
        <f t="shared" ca="1" si="83"/>
        <v>1701.2820064066564</v>
      </c>
      <c r="AE71" s="109">
        <f t="shared" ca="1" si="83"/>
        <v>1735.3076465347895</v>
      </c>
      <c r="AF71" s="109">
        <f t="shared" ca="1" si="83"/>
        <v>1770.0137994654851</v>
      </c>
      <c r="AG71" s="109">
        <f t="shared" ca="1" si="83"/>
        <v>1805.4140754547934</v>
      </c>
      <c r="AH71" s="109"/>
      <c r="AI71" s="171"/>
      <c r="AJ71" s="109">
        <v>7</v>
      </c>
      <c r="AK71" s="109">
        <v>90</v>
      </c>
      <c r="AL71" s="109">
        <v>47</v>
      </c>
      <c r="AM71" s="109">
        <v>-108</v>
      </c>
      <c r="AN71" s="109">
        <v>35</v>
      </c>
      <c r="AO71" s="109">
        <v>9</v>
      </c>
      <c r="AP71" s="109">
        <v>87</v>
      </c>
      <c r="AQ71" s="109">
        <v>97</v>
      </c>
      <c r="AR71" s="109">
        <v>108</v>
      </c>
      <c r="AS71" s="109">
        <v>23</v>
      </c>
      <c r="AT71" s="109">
        <v>193</v>
      </c>
      <c r="AU71" s="109">
        <v>201</v>
      </c>
      <c r="AV71" s="109">
        <v>-57</v>
      </c>
      <c r="AW71" s="109">
        <v>6</v>
      </c>
      <c r="AX71" s="109">
        <v>73</v>
      </c>
      <c r="AY71" s="109">
        <v>104</v>
      </c>
      <c r="AZ71" s="109">
        <v>173</v>
      </c>
      <c r="BA71" s="109">
        <v>68</v>
      </c>
      <c r="BB71" s="109">
        <v>148</v>
      </c>
      <c r="BC71" s="109">
        <v>54</v>
      </c>
      <c r="BD71" s="109">
        <v>93</v>
      </c>
      <c r="BE71" s="109">
        <v>94</v>
      </c>
      <c r="BF71" s="109">
        <v>196</v>
      </c>
      <c r="BG71" s="109">
        <v>196</v>
      </c>
      <c r="BH71" s="109">
        <v>129</v>
      </c>
      <c r="BI71" s="109">
        <v>130</v>
      </c>
      <c r="BJ71" s="109">
        <v>-113</v>
      </c>
      <c r="BK71" s="109">
        <v>1</v>
      </c>
      <c r="BL71" s="171">
        <v>-42</v>
      </c>
      <c r="BM71" s="109">
        <v>35</v>
      </c>
      <c r="BN71" s="109">
        <v>32</v>
      </c>
      <c r="BO71" s="109">
        <v>96</v>
      </c>
      <c r="BP71" s="171">
        <v>333</v>
      </c>
      <c r="BQ71" s="109">
        <v>388</v>
      </c>
      <c r="BR71" s="109">
        <v>345</v>
      </c>
      <c r="BS71" s="109">
        <v>449</v>
      </c>
      <c r="BT71" s="171">
        <f t="shared" ref="BT71:CY71" si="84">BT62+BT53</f>
        <v>881.90213215430595</v>
      </c>
      <c r="BU71" s="109">
        <f t="shared" si="84"/>
        <v>461</v>
      </c>
      <c r="BV71" s="109">
        <f t="shared" si="84"/>
        <v>352</v>
      </c>
      <c r="BW71" s="109">
        <f t="shared" si="84"/>
        <v>6</v>
      </c>
      <c r="BX71" s="171">
        <f t="shared" si="84"/>
        <v>56</v>
      </c>
      <c r="BY71" s="109">
        <f t="shared" si="84"/>
        <v>44</v>
      </c>
      <c r="BZ71" s="109">
        <f t="shared" si="84"/>
        <v>85</v>
      </c>
      <c r="CA71" s="109">
        <f t="shared" si="84"/>
        <v>110</v>
      </c>
      <c r="CB71" s="171">
        <f t="shared" si="84"/>
        <v>1330</v>
      </c>
      <c r="CC71" s="109">
        <f t="shared" si="84"/>
        <v>1266</v>
      </c>
      <c r="CD71" s="109">
        <f t="shared" si="84"/>
        <v>1262</v>
      </c>
      <c r="CE71" s="109">
        <f t="shared" si="84"/>
        <v>1355</v>
      </c>
      <c r="CF71" s="171">
        <f t="shared" si="84"/>
        <v>-403.75</v>
      </c>
      <c r="CG71" s="109">
        <f t="shared" si="84"/>
        <v>-394.75</v>
      </c>
      <c r="CH71" s="109">
        <f t="shared" si="84"/>
        <v>-364.75</v>
      </c>
      <c r="CI71" s="109">
        <f t="shared" si="84"/>
        <v>-377.75</v>
      </c>
      <c r="CJ71" s="171">
        <f t="shared" si="84"/>
        <v>-164</v>
      </c>
      <c r="CK71" s="109">
        <f t="shared" si="84"/>
        <v>-257</v>
      </c>
      <c r="CL71" s="109">
        <f t="shared" si="84"/>
        <v>-227</v>
      </c>
      <c r="CM71" s="109">
        <f t="shared" si="84"/>
        <v>-293</v>
      </c>
      <c r="CN71" s="171">
        <f t="shared" si="84"/>
        <v>-168</v>
      </c>
      <c r="CO71" s="109">
        <f t="shared" si="84"/>
        <v>-100</v>
      </c>
      <c r="CP71" s="109">
        <f t="shared" si="84"/>
        <v>-206</v>
      </c>
      <c r="CQ71" s="172">
        <f t="shared" si="84"/>
        <v>18</v>
      </c>
      <c r="CR71" s="109">
        <f t="shared" si="84"/>
        <v>-159</v>
      </c>
      <c r="CS71" s="109">
        <f t="shared" si="84"/>
        <v>-235</v>
      </c>
      <c r="CT71" s="109">
        <f t="shared" si="84"/>
        <v>-198</v>
      </c>
      <c r="CU71" s="109">
        <f t="shared" si="84"/>
        <v>-154</v>
      </c>
      <c r="CV71" s="171">
        <f t="shared" si="84"/>
        <v>-192</v>
      </c>
      <c r="CW71" s="109">
        <f t="shared" si="84"/>
        <v>-201</v>
      </c>
      <c r="CX71" s="109">
        <f t="shared" si="84"/>
        <v>-171</v>
      </c>
      <c r="CY71" s="109">
        <f t="shared" si="84"/>
        <v>-271</v>
      </c>
      <c r="CZ71" s="171">
        <f t="shared" ref="CZ71:DF71" si="85">CZ62+CZ53</f>
        <v>-262</v>
      </c>
      <c r="DA71" s="1044">
        <f t="shared" si="85"/>
        <v>-217</v>
      </c>
      <c r="DB71" s="1044">
        <f t="shared" si="85"/>
        <v>-240</v>
      </c>
      <c r="DC71" s="172">
        <f t="shared" si="85"/>
        <v>-163</v>
      </c>
      <c r="DD71" s="171">
        <f>DD62+DD53</f>
        <v>-202</v>
      </c>
      <c r="DE71" s="1044">
        <f t="shared" si="85"/>
        <v>-330</v>
      </c>
      <c r="DF71" s="1044">
        <f t="shared" si="85"/>
        <v>-242</v>
      </c>
      <c r="DG71" s="172">
        <f>DG62+DG53</f>
        <v>-465</v>
      </c>
      <c r="DH71" s="1044">
        <f>DH62+DH53</f>
        <v>-368</v>
      </c>
      <c r="DI71" s="1044">
        <f>DI62+DI53</f>
        <v>-319</v>
      </c>
      <c r="DJ71" s="1044">
        <f>DJ62+DJ53</f>
        <v>-309</v>
      </c>
      <c r="DK71" s="172">
        <f>DK62+DK53</f>
        <v>-88</v>
      </c>
      <c r="DL71" s="1044">
        <f t="shared" ref="DL71:DO71" si="86">DL62+DL53</f>
        <v>167</v>
      </c>
      <c r="DM71" s="1044">
        <f t="shared" si="86"/>
        <v>7</v>
      </c>
      <c r="DN71" s="1044">
        <f t="shared" si="86"/>
        <v>517</v>
      </c>
      <c r="DO71" s="172">
        <f t="shared" si="86"/>
        <v>751</v>
      </c>
      <c r="DP71" s="1044">
        <f t="shared" ref="DP71:DS71" si="87">DP62+DP53</f>
        <v>-51</v>
      </c>
      <c r="DQ71" s="1044">
        <f t="shared" ca="1" si="87"/>
        <v>173.625</v>
      </c>
      <c r="DR71" s="1044">
        <f t="shared" ca="1" si="87"/>
        <v>191.19375000000036</v>
      </c>
      <c r="DS71" s="172">
        <f t="shared" ca="1" si="87"/>
        <v>198.30075000000033</v>
      </c>
      <c r="DT71" s="109"/>
    </row>
    <row r="72" spans="1:124">
      <c r="A72" s="109" t="s">
        <v>1040</v>
      </c>
      <c r="B72" s="109"/>
      <c r="C72" s="109"/>
      <c r="D72" s="109"/>
      <c r="E72" s="109">
        <v>21153</v>
      </c>
      <c r="F72" s="109">
        <v>22780</v>
      </c>
      <c r="G72" s="109">
        <v>25737</v>
      </c>
      <c r="H72" s="109">
        <v>25988</v>
      </c>
      <c r="I72" s="109">
        <v>28006</v>
      </c>
      <c r="J72" s="109">
        <v>29124</v>
      </c>
      <c r="K72" s="109">
        <v>26946</v>
      </c>
      <c r="L72" s="109">
        <v>27620</v>
      </c>
      <c r="M72" s="109">
        <v>29811</v>
      </c>
      <c r="N72" s="109">
        <f t="shared" ref="N72:W72" si="88">SUM(N67:N71)</f>
        <v>35076.724132154304</v>
      </c>
      <c r="O72" s="109">
        <f t="shared" si="88"/>
        <v>37449.31</v>
      </c>
      <c r="P72" s="109">
        <f t="shared" si="88"/>
        <v>32572</v>
      </c>
      <c r="Q72" s="1044">
        <f t="shared" si="88"/>
        <v>28408</v>
      </c>
      <c r="R72" s="109">
        <f t="shared" si="88"/>
        <v>33522</v>
      </c>
      <c r="S72" s="109">
        <f t="shared" si="88"/>
        <v>35450</v>
      </c>
      <c r="T72" s="1044">
        <f t="shared" si="88"/>
        <v>37417</v>
      </c>
      <c r="U72" s="1044">
        <f t="shared" si="88"/>
        <v>42021</v>
      </c>
      <c r="V72" s="109">
        <f>SUM(V67:V71)</f>
        <v>43254</v>
      </c>
      <c r="W72" s="109">
        <f t="shared" si="88"/>
        <v>44368</v>
      </c>
      <c r="X72" s="109">
        <f>SUM(X67:X71)</f>
        <v>44236</v>
      </c>
      <c r="Y72" s="109">
        <f>SUM(Y67:Y71)</f>
        <v>46657</v>
      </c>
      <c r="Z72" s="109">
        <f ca="1">SUM(Z67:Z71)</f>
        <v>47786.253296851952</v>
      </c>
      <c r="AA72" s="109">
        <f ca="1">SUM(AA67:AA71)</f>
        <v>48836.664019516058</v>
      </c>
      <c r="AB72" s="109">
        <f ca="1">SUM(AB67:AB71)</f>
        <v>49687.521335243335</v>
      </c>
      <c r="AC72" s="109">
        <f t="shared" ref="AC72:AG72" ca="1" si="89">SUM(AC67:AC71)</f>
        <v>50627.868065011222</v>
      </c>
      <c r="AD72" s="109">
        <f t="shared" ca="1" si="89"/>
        <v>51647.037167036789</v>
      </c>
      <c r="AE72" s="109">
        <f t="shared" ca="1" si="89"/>
        <v>52746.056688692443</v>
      </c>
      <c r="AF72" s="109">
        <f t="shared" ca="1" si="89"/>
        <v>53931.416547329529</v>
      </c>
      <c r="AG72" s="109">
        <f t="shared" ca="1" si="89"/>
        <v>55212.250669671448</v>
      </c>
      <c r="AH72" s="109"/>
      <c r="AI72" s="171"/>
      <c r="AJ72" s="109">
        <v>5243</v>
      </c>
      <c r="AK72" s="109">
        <v>5397</v>
      </c>
      <c r="AL72" s="109">
        <v>5447</v>
      </c>
      <c r="AM72" s="109">
        <v>5066</v>
      </c>
      <c r="AN72" s="109">
        <v>5508</v>
      </c>
      <c r="AO72" s="109">
        <v>5649</v>
      </c>
      <c r="AP72" s="109">
        <v>5839</v>
      </c>
      <c r="AQ72" s="109">
        <v>5784</v>
      </c>
      <c r="AR72" s="109">
        <v>6239</v>
      </c>
      <c r="AS72" s="109">
        <v>6308</v>
      </c>
      <c r="AT72" s="109">
        <v>6525</v>
      </c>
      <c r="AU72" s="109">
        <v>6665</v>
      </c>
      <c r="AV72" s="109">
        <v>6247</v>
      </c>
      <c r="AW72" s="109">
        <v>6795</v>
      </c>
      <c r="AX72" s="109">
        <v>6954</v>
      </c>
      <c r="AY72" s="109">
        <v>6905</v>
      </c>
      <c r="AZ72" s="109">
        <v>7087</v>
      </c>
      <c r="BA72" s="109">
        <v>7443</v>
      </c>
      <c r="BB72" s="109">
        <v>7266</v>
      </c>
      <c r="BC72" s="109">
        <v>7045</v>
      </c>
      <c r="BD72" s="109">
        <v>6970</v>
      </c>
      <c r="BE72" s="109">
        <v>7206</v>
      </c>
      <c r="BF72" s="109">
        <v>7331</v>
      </c>
      <c r="BG72" s="109">
        <v>7617</v>
      </c>
      <c r="BH72" s="109">
        <v>6979</v>
      </c>
      <c r="BI72" s="109">
        <v>6924</v>
      </c>
      <c r="BJ72" s="109">
        <v>6537</v>
      </c>
      <c r="BK72" s="109">
        <v>6506</v>
      </c>
      <c r="BL72" s="171">
        <v>6559</v>
      </c>
      <c r="BM72" s="109">
        <v>7014</v>
      </c>
      <c r="BN72" s="109">
        <v>7059</v>
      </c>
      <c r="BO72" s="109">
        <v>6988</v>
      </c>
      <c r="BP72" s="171">
        <v>7092</v>
      </c>
      <c r="BQ72" s="109">
        <v>7362</v>
      </c>
      <c r="BR72" s="109">
        <v>7543</v>
      </c>
      <c r="BS72" s="109">
        <v>7814</v>
      </c>
      <c r="BT72" s="171">
        <f t="shared" ref="BT72:CZ72" si="90">SUM(BT67:BT71)</f>
        <v>8043.9021321543059</v>
      </c>
      <c r="BU72" s="109">
        <f t="shared" si="90"/>
        <v>7934</v>
      </c>
      <c r="BV72" s="109">
        <f t="shared" si="90"/>
        <v>7927</v>
      </c>
      <c r="BW72" s="109">
        <f t="shared" si="90"/>
        <v>7220</v>
      </c>
      <c r="BX72" s="171">
        <f t="shared" si="90"/>
        <v>7327</v>
      </c>
      <c r="BY72" s="109">
        <f t="shared" si="90"/>
        <v>7639</v>
      </c>
      <c r="BZ72" s="109">
        <f t="shared" si="90"/>
        <v>7803</v>
      </c>
      <c r="CA72" s="109">
        <f t="shared" si="90"/>
        <v>7896</v>
      </c>
      <c r="CB72" s="171">
        <f t="shared" si="90"/>
        <v>7943</v>
      </c>
      <c r="CC72" s="109">
        <f t="shared" si="90"/>
        <v>8166</v>
      </c>
      <c r="CD72" s="109">
        <f t="shared" si="90"/>
        <v>8140</v>
      </c>
      <c r="CE72" s="109">
        <f t="shared" si="90"/>
        <v>8323</v>
      </c>
      <c r="CF72" s="171">
        <f t="shared" si="90"/>
        <v>7020.25</v>
      </c>
      <c r="CG72" s="109">
        <f t="shared" si="90"/>
        <v>7170.25</v>
      </c>
      <c r="CH72" s="109">
        <f t="shared" si="90"/>
        <v>7165.25</v>
      </c>
      <c r="CI72" s="109">
        <f t="shared" si="90"/>
        <v>7052.25</v>
      </c>
      <c r="CJ72" s="171">
        <f t="shared" si="90"/>
        <v>7311</v>
      </c>
      <c r="CK72" s="109">
        <f t="shared" si="90"/>
        <v>8560</v>
      </c>
      <c r="CL72" s="109">
        <f t="shared" si="90"/>
        <v>8795</v>
      </c>
      <c r="CM72" s="109">
        <f t="shared" si="90"/>
        <v>8856</v>
      </c>
      <c r="CN72" s="171">
        <f t="shared" si="90"/>
        <v>8477</v>
      </c>
      <c r="CO72" s="109">
        <f t="shared" si="90"/>
        <v>9005</v>
      </c>
      <c r="CP72" s="109">
        <f t="shared" si="90"/>
        <v>9155</v>
      </c>
      <c r="CQ72" s="172">
        <f t="shared" si="90"/>
        <v>8813</v>
      </c>
      <c r="CR72" s="109">
        <f t="shared" si="90"/>
        <v>9223</v>
      </c>
      <c r="CS72" s="109">
        <f t="shared" si="90"/>
        <v>9752</v>
      </c>
      <c r="CT72" s="109">
        <f t="shared" si="90"/>
        <v>10034</v>
      </c>
      <c r="CU72" s="109">
        <f t="shared" si="90"/>
        <v>8408</v>
      </c>
      <c r="CV72" s="171">
        <f t="shared" si="90"/>
        <v>10330</v>
      </c>
      <c r="CW72" s="109">
        <f t="shared" si="90"/>
        <v>10461</v>
      </c>
      <c r="CX72" s="109">
        <f t="shared" si="90"/>
        <v>10996</v>
      </c>
      <c r="CY72" s="109">
        <f t="shared" si="90"/>
        <v>10234</v>
      </c>
      <c r="CZ72" s="171">
        <f t="shared" si="90"/>
        <v>11291</v>
      </c>
      <c r="DA72" s="1044">
        <f t="shared" ref="DA72:DF72" si="91">SUM(DA67:DA71)</f>
        <v>11133</v>
      </c>
      <c r="DB72" s="1044">
        <f t="shared" si="91"/>
        <v>11057</v>
      </c>
      <c r="DC72" s="172">
        <f t="shared" si="91"/>
        <v>9773</v>
      </c>
      <c r="DD72" s="171">
        <f>SUM(DD67:DD71)</f>
        <v>11394</v>
      </c>
      <c r="DE72" s="1044">
        <f t="shared" si="91"/>
        <v>11254</v>
      </c>
      <c r="DF72" s="1044">
        <f t="shared" si="91"/>
        <v>11342</v>
      </c>
      <c r="DG72" s="172">
        <f>SUM(DG67:DG71)</f>
        <v>10378</v>
      </c>
      <c r="DH72" s="1044">
        <f>SUM(DH67:DH71)</f>
        <v>11457</v>
      </c>
      <c r="DI72" s="1044">
        <f>SUM(DI67:DI71)</f>
        <v>11079</v>
      </c>
      <c r="DJ72" s="1044">
        <f>SUM(DJ67:DJ71)</f>
        <v>11279</v>
      </c>
      <c r="DK72" s="172">
        <f>SUM(DK67:DK71)</f>
        <v>10421</v>
      </c>
      <c r="DL72" s="1044">
        <f t="shared" ref="DL72:DO72" si="92">SUM(DL67:DL71)</f>
        <v>11366</v>
      </c>
      <c r="DM72" s="1044">
        <f t="shared" si="92"/>
        <v>11384</v>
      </c>
      <c r="DN72" s="1044">
        <f t="shared" si="92"/>
        <v>12100</v>
      </c>
      <c r="DO72" s="172">
        <f t="shared" si="92"/>
        <v>11807</v>
      </c>
      <c r="DP72" s="1044">
        <f t="shared" ref="DP72:DS72" si="93">SUM(DP67:DP71)</f>
        <v>12029</v>
      </c>
      <c r="DQ72" s="1044">
        <f t="shared" ca="1" si="93"/>
        <v>12114.334415885083</v>
      </c>
      <c r="DR72" s="1044">
        <f t="shared" ca="1" si="93"/>
        <v>12392.425022604481</v>
      </c>
      <c r="DS72" s="172">
        <f t="shared" ca="1" si="93"/>
        <v>11250.493858362386</v>
      </c>
      <c r="DT72" s="109"/>
    </row>
    <row r="73" spans="1:124">
      <c r="A73" s="256" t="s">
        <v>1237</v>
      </c>
      <c r="B73" s="256"/>
      <c r="C73" s="256"/>
      <c r="D73" s="256"/>
      <c r="E73" s="256">
        <v>0</v>
      </c>
      <c r="F73" s="256">
        <v>0</v>
      </c>
      <c r="G73" s="256">
        <v>0</v>
      </c>
      <c r="H73" s="256">
        <v>-913</v>
      </c>
      <c r="I73" s="256">
        <v>-835</v>
      </c>
      <c r="J73" s="256">
        <v>0</v>
      </c>
      <c r="K73" s="256">
        <v>0</v>
      </c>
      <c r="L73" s="256">
        <v>0</v>
      </c>
      <c r="M73" s="256">
        <v>2120</v>
      </c>
      <c r="N73" s="256">
        <f>N72-IS!N59</f>
        <v>6538.7924433497465</v>
      </c>
      <c r="O73" s="256">
        <f>O72-IS!O59</f>
        <v>6784.3099999999977</v>
      </c>
      <c r="P73" s="256">
        <f>P72-IS!P59</f>
        <v>0</v>
      </c>
      <c r="Q73" s="1082">
        <f>Q72-IS!Q59</f>
        <v>-3883</v>
      </c>
      <c r="R73" s="256">
        <f>R72-IS!R59</f>
        <v>-854</v>
      </c>
      <c r="S73" s="256">
        <f>S72-IS!S59</f>
        <v>0</v>
      </c>
      <c r="T73" s="1082">
        <f>T72-IS!T59</f>
        <v>0</v>
      </c>
      <c r="U73" s="1082">
        <f>U72-IS!U59</f>
        <v>0</v>
      </c>
      <c r="V73" s="256">
        <f>V72-IS!V59</f>
        <v>0</v>
      </c>
      <c r="W73" s="256">
        <f>W72-IS!W59</f>
        <v>0</v>
      </c>
      <c r="X73" s="256">
        <f>X72-IS!X59</f>
        <v>0</v>
      </c>
      <c r="Y73" s="256">
        <f>Y72-IS!Y59</f>
        <v>0</v>
      </c>
      <c r="Z73" s="256">
        <f ca="1">Z72-IS!Z59</f>
        <v>0</v>
      </c>
      <c r="AA73" s="256">
        <f ca="1">AA72-IS!AA59</f>
        <v>0</v>
      </c>
      <c r="AB73" s="256">
        <f ca="1">AB72-IS!AB59</f>
        <v>0</v>
      </c>
      <c r="AC73" s="256">
        <f ca="1">AC72-IS!AC59</f>
        <v>0</v>
      </c>
      <c r="AD73" s="256">
        <f ca="1">AD72-IS!AD59</f>
        <v>0</v>
      </c>
      <c r="AE73" s="256">
        <f ca="1">AE72-IS!AE59</f>
        <v>0</v>
      </c>
      <c r="AF73" s="256">
        <f ca="1">AF72-IS!AF59</f>
        <v>0</v>
      </c>
      <c r="AG73" s="256">
        <f ca="1">AG72-IS!AG59</f>
        <v>0</v>
      </c>
      <c r="AH73" s="143"/>
      <c r="AI73" s="257"/>
      <c r="AJ73" s="256">
        <v>0</v>
      </c>
      <c r="AK73" s="256">
        <v>0</v>
      </c>
      <c r="AL73" s="256">
        <v>0</v>
      </c>
      <c r="AM73" s="256">
        <v>0</v>
      </c>
      <c r="AN73" s="256">
        <v>0</v>
      </c>
      <c r="AO73" s="256">
        <v>0</v>
      </c>
      <c r="AP73" s="256">
        <v>0</v>
      </c>
      <c r="AQ73" s="256">
        <v>0</v>
      </c>
      <c r="AR73" s="256">
        <v>0</v>
      </c>
      <c r="AS73" s="256">
        <v>0</v>
      </c>
      <c r="AT73" s="256">
        <v>0</v>
      </c>
      <c r="AU73" s="256">
        <v>0</v>
      </c>
      <c r="AV73" s="256">
        <v>0</v>
      </c>
      <c r="AW73" s="256">
        <v>0</v>
      </c>
      <c r="AX73" s="256">
        <v>0</v>
      </c>
      <c r="AY73" s="256">
        <v>0</v>
      </c>
      <c r="AZ73" s="256">
        <v>0</v>
      </c>
      <c r="BA73" s="256">
        <v>0</v>
      </c>
      <c r="BB73" s="256">
        <v>0</v>
      </c>
      <c r="BC73" s="256">
        <v>0</v>
      </c>
      <c r="BD73" s="256">
        <v>0</v>
      </c>
      <c r="BE73" s="256">
        <v>0</v>
      </c>
      <c r="BF73" s="256">
        <v>0</v>
      </c>
      <c r="BG73" s="256">
        <v>0</v>
      </c>
      <c r="BH73" s="256">
        <v>0</v>
      </c>
      <c r="BI73" s="256">
        <v>0</v>
      </c>
      <c r="BJ73" s="256">
        <v>0</v>
      </c>
      <c r="BK73" s="256">
        <v>0</v>
      </c>
      <c r="BL73" s="257">
        <v>0</v>
      </c>
      <c r="BM73" s="256">
        <v>0</v>
      </c>
      <c r="BN73" s="256">
        <v>0</v>
      </c>
      <c r="BO73" s="256">
        <v>0</v>
      </c>
      <c r="BP73" s="257">
        <v>497</v>
      </c>
      <c r="BQ73" s="256">
        <v>516</v>
      </c>
      <c r="BR73" s="256">
        <v>552</v>
      </c>
      <c r="BS73" s="256">
        <v>555</v>
      </c>
      <c r="BT73" s="257">
        <f>BT72-IS!BW59</f>
        <v>980.97044334975544</v>
      </c>
      <c r="BU73" s="256">
        <f>BU72-IS!BX59</f>
        <v>802</v>
      </c>
      <c r="BV73" s="256">
        <f>BV72-IS!BY59</f>
        <v>804</v>
      </c>
      <c r="BW73" s="256">
        <f>BW72-IS!BZ59</f>
        <v>0</v>
      </c>
      <c r="BX73" s="257">
        <f>BX72-IS!CA59</f>
        <v>0</v>
      </c>
      <c r="BY73" s="256">
        <f>BY72-IS!CB59</f>
        <v>0</v>
      </c>
      <c r="BZ73" s="256">
        <f>BZ72-IS!CC59</f>
        <v>0</v>
      </c>
      <c r="CA73" s="256">
        <f>CA72-IS!CD59</f>
        <v>0</v>
      </c>
      <c r="CB73" s="257">
        <f>CB72-IS!CE59</f>
        <v>0</v>
      </c>
      <c r="CC73" s="256">
        <f>CC72-IS!CF59</f>
        <v>0</v>
      </c>
      <c r="CD73" s="256">
        <f>CD72-IS!CG59</f>
        <v>0</v>
      </c>
      <c r="CE73" s="256">
        <f>CE72-IS!CH59</f>
        <v>0</v>
      </c>
      <c r="CF73" s="257">
        <f>CF72-IS!CI59</f>
        <v>-945.75</v>
      </c>
      <c r="CG73" s="256">
        <f>CG72-IS!CJ59</f>
        <v>-996.75</v>
      </c>
      <c r="CH73" s="256">
        <f>CH72-IS!CK59</f>
        <v>-994.75</v>
      </c>
      <c r="CI73" s="256">
        <f>CI72-IS!CL59</f>
        <v>-945.75</v>
      </c>
      <c r="CJ73" s="257">
        <f>CJ72-IS!CM59</f>
        <v>-854</v>
      </c>
      <c r="CK73" s="256">
        <f>CK72-IS!CN59</f>
        <v>0</v>
      </c>
      <c r="CL73" s="256">
        <f>CL72-IS!CO59</f>
        <v>0</v>
      </c>
      <c r="CM73" s="256">
        <f>CM72-IS!CP59</f>
        <v>0</v>
      </c>
      <c r="CN73" s="257">
        <f>CN72-IS!CQ59</f>
        <v>0</v>
      </c>
      <c r="CO73" s="256">
        <f>CO72-IS!CR59</f>
        <v>0</v>
      </c>
      <c r="CP73" s="256">
        <f>CP72-IS!CS59</f>
        <v>0</v>
      </c>
      <c r="CQ73" s="258">
        <f>CQ72-IS!CT59</f>
        <v>0</v>
      </c>
      <c r="CR73" s="256">
        <f>CR72-IS!CU59</f>
        <v>0</v>
      </c>
      <c r="CS73" s="256">
        <f>CS72-IS!CV59</f>
        <v>0</v>
      </c>
      <c r="CT73" s="256">
        <f>CT72-IS!CW59</f>
        <v>0</v>
      </c>
      <c r="CU73" s="256">
        <f>CU72-IS!CX59</f>
        <v>0</v>
      </c>
      <c r="CV73" s="257">
        <f>CV72-IS!CY59</f>
        <v>0</v>
      </c>
      <c r="CW73" s="256">
        <f>CW72-IS!CZ59</f>
        <v>0</v>
      </c>
      <c r="CX73" s="256">
        <f>CX72-IS!DA59</f>
        <v>0</v>
      </c>
      <c r="CY73" s="256">
        <f>CY72-IS!DB59</f>
        <v>0</v>
      </c>
      <c r="CZ73" s="257">
        <f>CZ72-IS!DC59</f>
        <v>0</v>
      </c>
      <c r="DA73" s="1082">
        <f>DA72-IS!DD59</f>
        <v>0</v>
      </c>
      <c r="DB73" s="1082">
        <f>DB72-IS!DE59</f>
        <v>0</v>
      </c>
      <c r="DC73" s="258">
        <f>DC72-IS!DF59</f>
        <v>0</v>
      </c>
      <c r="DD73" s="257">
        <f>DD72-IS!DG59</f>
        <v>0</v>
      </c>
      <c r="DE73" s="1082">
        <f>DE72-IS!DH59</f>
        <v>0</v>
      </c>
      <c r="DF73" s="2158">
        <f>DF72-IS!DI59</f>
        <v>0</v>
      </c>
      <c r="DG73" s="2480">
        <f>DG72-IS!DJ59</f>
        <v>0</v>
      </c>
      <c r="DH73" s="2158">
        <f>DH72-IS!DK59</f>
        <v>0</v>
      </c>
      <c r="DI73" s="1082">
        <f>DI72-IS!DL59</f>
        <v>0</v>
      </c>
      <c r="DJ73" s="1082">
        <f>DJ72-IS!DM59</f>
        <v>0</v>
      </c>
      <c r="DK73" s="258">
        <f>DK72-IS!DN59</f>
        <v>0</v>
      </c>
      <c r="DL73" s="1082">
        <f>DL72-IS!DO59</f>
        <v>0</v>
      </c>
      <c r="DM73" s="1082">
        <f>DM72-IS!DP59</f>
        <v>0</v>
      </c>
      <c r="DN73" s="1082">
        <f>DN72-IS!DQ59</f>
        <v>0</v>
      </c>
      <c r="DO73" s="258">
        <f>DO72-IS!DR59</f>
        <v>0</v>
      </c>
      <c r="DP73" s="1082">
        <f>DP72-IS!DS59</f>
        <v>0</v>
      </c>
      <c r="DQ73" s="1082">
        <f ca="1">DQ72-IS!DT59</f>
        <v>0</v>
      </c>
      <c r="DR73" s="1082">
        <f ca="1">DR72-IS!DU59</f>
        <v>0</v>
      </c>
      <c r="DS73" s="258">
        <f ca="1">DS72-IS!DV59</f>
        <v>0</v>
      </c>
      <c r="DT73" s="143"/>
    </row>
    <row r="74" spans="1:124">
      <c r="A74" s="317"/>
      <c r="B74" s="317"/>
      <c r="C74" s="317"/>
      <c r="D74" s="317"/>
      <c r="E74" s="317"/>
      <c r="F74" s="317"/>
      <c r="G74" s="317"/>
      <c r="H74" s="317"/>
      <c r="I74" s="317"/>
      <c r="J74" s="317"/>
      <c r="K74" s="317"/>
      <c r="L74" s="317"/>
      <c r="M74" s="317"/>
      <c r="N74" s="317"/>
      <c r="O74" s="317"/>
      <c r="P74" s="317"/>
      <c r="Q74" s="1083"/>
      <c r="R74" s="317"/>
      <c r="S74" s="317"/>
      <c r="T74" s="1083"/>
      <c r="U74" s="1083"/>
      <c r="V74" s="317"/>
      <c r="W74" s="317"/>
      <c r="X74" s="317"/>
      <c r="Y74" s="317"/>
      <c r="Z74" s="317"/>
      <c r="AA74" s="317"/>
      <c r="AB74" s="317"/>
      <c r="AC74" s="317"/>
      <c r="AD74" s="317"/>
      <c r="AE74" s="317"/>
      <c r="AF74" s="317"/>
      <c r="AG74" s="317"/>
      <c r="AH74" s="109"/>
      <c r="AI74" s="433"/>
      <c r="AJ74" s="317"/>
      <c r="AK74" s="317"/>
      <c r="AL74" s="317"/>
      <c r="AM74" s="317"/>
      <c r="AN74" s="317"/>
      <c r="AO74" s="317"/>
      <c r="AP74" s="317"/>
      <c r="AQ74" s="317"/>
      <c r="AR74" s="317"/>
      <c r="AS74" s="317"/>
      <c r="AT74" s="317"/>
      <c r="AU74" s="317"/>
      <c r="AV74" s="317"/>
      <c r="AW74" s="317"/>
      <c r="AX74" s="317"/>
      <c r="AY74" s="317"/>
      <c r="AZ74" s="317"/>
      <c r="BA74" s="317"/>
      <c r="BB74" s="317"/>
      <c r="BC74" s="317"/>
      <c r="BD74" s="317"/>
      <c r="BE74" s="317"/>
      <c r="BF74" s="317"/>
      <c r="BG74" s="317"/>
      <c r="BH74" s="317"/>
      <c r="BI74" s="317"/>
      <c r="BJ74" s="317"/>
      <c r="BK74" s="317"/>
      <c r="BL74" s="433"/>
      <c r="BM74" s="317"/>
      <c r="BN74" s="317"/>
      <c r="BO74" s="317"/>
      <c r="BP74" s="171"/>
      <c r="BQ74" s="109"/>
      <c r="BR74" s="109"/>
      <c r="BS74" s="109"/>
      <c r="BT74" s="171"/>
      <c r="BU74" s="109"/>
      <c r="BV74" s="109"/>
      <c r="BW74" s="109"/>
      <c r="BX74" s="171"/>
      <c r="BY74" s="109"/>
      <c r="BZ74" s="109"/>
      <c r="CA74" s="109"/>
      <c r="CB74" s="171"/>
      <c r="CC74" s="109"/>
      <c r="CD74" s="109"/>
      <c r="CE74" s="109"/>
      <c r="CF74" s="171"/>
      <c r="CG74" s="109"/>
      <c r="CH74" s="109"/>
      <c r="CI74" s="109"/>
      <c r="CJ74" s="171"/>
      <c r="CK74" s="109"/>
      <c r="CL74" s="109"/>
      <c r="CM74" s="109"/>
      <c r="CN74" s="171"/>
      <c r="CO74" s="109"/>
      <c r="CP74" s="109"/>
      <c r="CQ74" s="172"/>
      <c r="CR74" s="109"/>
      <c r="CS74" s="109"/>
      <c r="CT74" s="109"/>
      <c r="CU74" s="109"/>
      <c r="CV74" s="171"/>
      <c r="CW74" s="109"/>
      <c r="CX74" s="109"/>
      <c r="CY74" s="109"/>
      <c r="CZ74" s="171"/>
      <c r="DA74" s="1044"/>
      <c r="DB74" s="1044"/>
      <c r="DC74" s="172"/>
      <c r="DD74" s="171"/>
      <c r="DE74" s="1044"/>
      <c r="DF74" s="1044"/>
      <c r="DG74" s="172"/>
      <c r="DH74" s="1044"/>
      <c r="DI74" s="1044"/>
      <c r="DJ74" s="1044"/>
      <c r="DK74" s="172"/>
      <c r="DL74" s="1044"/>
      <c r="DM74" s="1044"/>
      <c r="DN74" s="1044"/>
      <c r="DO74" s="172"/>
      <c r="DP74" s="1044"/>
      <c r="DQ74" s="1044"/>
      <c r="DR74" s="1044"/>
      <c r="DS74" s="172"/>
      <c r="DT74" s="109"/>
    </row>
    <row r="75" spans="1:124">
      <c r="A75" s="169" t="s">
        <v>1436</v>
      </c>
      <c r="B75" s="317"/>
      <c r="C75" s="317"/>
      <c r="D75" s="317"/>
      <c r="E75" s="317"/>
      <c r="F75" s="317"/>
      <c r="G75" s="317"/>
      <c r="H75" s="317"/>
      <c r="I75" s="317"/>
      <c r="J75" s="317"/>
      <c r="K75" s="317"/>
      <c r="L75" s="317"/>
      <c r="M75" s="317"/>
      <c r="N75" s="317"/>
      <c r="O75" s="317"/>
      <c r="P75" s="317"/>
      <c r="Q75" s="1083"/>
      <c r="R75" s="317"/>
      <c r="S75" s="317"/>
      <c r="T75" s="1083"/>
      <c r="U75" s="1083"/>
      <c r="V75" s="317"/>
      <c r="W75" s="317"/>
      <c r="X75" s="317"/>
      <c r="Y75" s="317"/>
      <c r="Z75" s="317"/>
      <c r="AA75" s="317"/>
      <c r="AB75" s="317"/>
      <c r="AC75" s="317"/>
      <c r="AD75" s="317"/>
      <c r="AE75" s="317"/>
      <c r="AF75" s="317"/>
      <c r="AG75" s="317"/>
      <c r="AH75" s="109"/>
      <c r="AI75" s="433"/>
      <c r="AJ75" s="317"/>
      <c r="AK75" s="317"/>
      <c r="AL75" s="317"/>
      <c r="AM75" s="317"/>
      <c r="AN75" s="317"/>
      <c r="AO75" s="317"/>
      <c r="AP75" s="317"/>
      <c r="AQ75" s="317"/>
      <c r="AR75" s="317"/>
      <c r="AS75" s="317"/>
      <c r="AT75" s="317"/>
      <c r="AU75" s="317"/>
      <c r="AV75" s="317"/>
      <c r="AW75" s="317"/>
      <c r="AX75" s="317"/>
      <c r="AY75" s="317"/>
      <c r="AZ75" s="317"/>
      <c r="BA75" s="317"/>
      <c r="BB75" s="317"/>
      <c r="BC75" s="317"/>
      <c r="BD75" s="317"/>
      <c r="BE75" s="317"/>
      <c r="BF75" s="317"/>
      <c r="BG75" s="317"/>
      <c r="BH75" s="317"/>
      <c r="BI75" s="317"/>
      <c r="BJ75" s="317"/>
      <c r="BK75" s="317"/>
      <c r="BL75" s="433"/>
      <c r="BM75" s="317"/>
      <c r="BN75" s="317"/>
      <c r="BO75" s="317"/>
      <c r="BP75" s="171"/>
      <c r="BQ75" s="109"/>
      <c r="BR75" s="109"/>
      <c r="BS75" s="109"/>
      <c r="BT75" s="171"/>
      <c r="BU75" s="109"/>
      <c r="BV75" s="109"/>
      <c r="BW75" s="109"/>
      <c r="BX75" s="171">
        <f>+BX49/BX54</f>
        <v>0.63505332948976645</v>
      </c>
      <c r="BY75" s="109">
        <f>+BY49/BY54</f>
        <v>0.6286691365061271</v>
      </c>
      <c r="BZ75" s="109">
        <f>+BZ49/BZ54</f>
        <v>0.62994350282485878</v>
      </c>
      <c r="CA75" s="109">
        <f>+CA49/CA54</f>
        <v>0.63520266518600776</v>
      </c>
      <c r="CB75" s="171">
        <f>+CB49/CB54</f>
        <v>0.62720045428733673</v>
      </c>
      <c r="CC75" s="109"/>
      <c r="CD75" s="109"/>
      <c r="CE75" s="109"/>
      <c r="CF75" s="171"/>
      <c r="CG75" s="109"/>
      <c r="CH75" s="109"/>
      <c r="CI75" s="109"/>
      <c r="CJ75" s="171"/>
      <c r="CK75" s="109"/>
      <c r="CL75" s="109"/>
      <c r="CM75" s="109"/>
      <c r="CN75" s="171"/>
      <c r="CO75" s="109"/>
      <c r="CP75" s="109"/>
      <c r="CQ75" s="172"/>
      <c r="CR75" s="109"/>
      <c r="CS75" s="109"/>
      <c r="CT75" s="109"/>
      <c r="CU75" s="109"/>
      <c r="CV75" s="171"/>
      <c r="CW75" s="109"/>
      <c r="CX75" s="109"/>
      <c r="CY75" s="109"/>
      <c r="CZ75" s="171"/>
      <c r="DA75" s="1044"/>
      <c r="DB75" s="1044"/>
      <c r="DC75" s="172"/>
      <c r="DD75" s="171"/>
      <c r="DE75" s="1044"/>
      <c r="DF75" s="1044"/>
      <c r="DG75" s="172"/>
      <c r="DH75" s="1044"/>
      <c r="DI75" s="1044"/>
      <c r="DJ75" s="1044"/>
      <c r="DK75" s="172"/>
      <c r="DL75" s="1044"/>
      <c r="DM75" s="1044"/>
      <c r="DN75" s="1044"/>
      <c r="DO75" s="172"/>
      <c r="DP75" s="1044"/>
      <c r="DQ75" s="1044"/>
      <c r="DR75" s="1044"/>
      <c r="DS75" s="172"/>
      <c r="DT75" s="109"/>
    </row>
    <row r="76" spans="1:124">
      <c r="A76" s="434" t="s">
        <v>948</v>
      </c>
      <c r="B76" s="435"/>
      <c r="C76" s="435"/>
      <c r="D76" s="435"/>
      <c r="E76" s="435"/>
      <c r="F76" s="435"/>
      <c r="G76" s="435"/>
      <c r="H76" s="435"/>
      <c r="I76" s="435"/>
      <c r="J76" s="435">
        <v>0.45057420602855114</v>
      </c>
      <c r="K76" s="435">
        <v>0.41428754320829597</v>
      </c>
      <c r="L76" s="435">
        <v>0.38320927908261226</v>
      </c>
      <c r="M76" s="435">
        <v>0.36136218630370054</v>
      </c>
      <c r="N76" s="435">
        <f t="shared" ref="N76:W76" si="94">N67/N13</f>
        <v>0.27674531351001941</v>
      </c>
      <c r="O76" s="435">
        <f t="shared" si="94"/>
        <v>0.27317877424738951</v>
      </c>
      <c r="P76" s="435">
        <f t="shared" si="94"/>
        <v>0.2674119550338076</v>
      </c>
      <c r="Q76" s="1084">
        <f t="shared" si="94"/>
        <v>0.22933440370221708</v>
      </c>
      <c r="R76" s="435">
        <f t="shared" si="94"/>
        <v>0.22405219880175614</v>
      </c>
      <c r="S76" s="435">
        <f t="shared" si="94"/>
        <v>0.2314782950690723</v>
      </c>
      <c r="T76" s="1084">
        <f t="shared" si="94"/>
        <v>0.21342003390430889</v>
      </c>
      <c r="U76" s="1084">
        <f t="shared" si="94"/>
        <v>0.22413525269262635</v>
      </c>
      <c r="V76" s="435">
        <f t="shared" si="94"/>
        <v>0.23203830440552708</v>
      </c>
      <c r="W76" s="435">
        <f t="shared" si="94"/>
        <v>0.18732580726893949</v>
      </c>
      <c r="X76" s="435">
        <f t="shared" ref="X76:AB77" si="95">X67/X13</f>
        <v>0.19523410072389474</v>
      </c>
      <c r="Y76" s="435">
        <f t="shared" si="95"/>
        <v>0.21361889071938495</v>
      </c>
      <c r="Z76" s="435">
        <f t="shared" ca="1" si="95"/>
        <v>0.21343060257581423</v>
      </c>
      <c r="AA76" s="435">
        <f t="shared" ca="1" si="95"/>
        <v>0.21619403224222578</v>
      </c>
      <c r="AB76" s="435">
        <f t="shared" ca="1" si="95"/>
        <v>0.21539066097897783</v>
      </c>
      <c r="AC76" s="435">
        <f t="shared" ref="AC76:AG76" ca="1" si="96">AC67/AC13</f>
        <v>0.21478016290091712</v>
      </c>
      <c r="AD76" s="435">
        <f t="shared" ca="1" si="96"/>
        <v>0.21431934818155787</v>
      </c>
      <c r="AE76" s="435">
        <f t="shared" ca="1" si="96"/>
        <v>0.21397259797216345</v>
      </c>
      <c r="AF76" s="435">
        <f t="shared" ca="1" si="96"/>
        <v>0.21371074047772781</v>
      </c>
      <c r="AG76" s="435">
        <f t="shared" ca="1" si="96"/>
        <v>0.21351009329734175</v>
      </c>
      <c r="AH76" s="436"/>
      <c r="AI76" s="437"/>
      <c r="AJ76" s="435"/>
      <c r="AK76" s="435"/>
      <c r="AL76" s="435"/>
      <c r="AM76" s="435"/>
      <c r="AN76" s="435"/>
      <c r="AO76" s="435"/>
      <c r="AP76" s="435"/>
      <c r="AQ76" s="435"/>
      <c r="AR76" s="435"/>
      <c r="AS76" s="435"/>
      <c r="AT76" s="435"/>
      <c r="AU76" s="435"/>
      <c r="AV76" s="435"/>
      <c r="AW76" s="435"/>
      <c r="AX76" s="435"/>
      <c r="AY76" s="435"/>
      <c r="AZ76" s="435"/>
      <c r="BA76" s="435"/>
      <c r="BB76" s="435"/>
      <c r="BC76" s="435"/>
      <c r="BD76" s="435"/>
      <c r="BE76" s="435"/>
      <c r="BF76" s="435"/>
      <c r="BG76" s="435"/>
      <c r="BH76" s="435"/>
      <c r="BI76" s="435"/>
      <c r="BJ76" s="435"/>
      <c r="BK76" s="435"/>
      <c r="BL76" s="437"/>
      <c r="BM76" s="435"/>
      <c r="BN76" s="435"/>
      <c r="BO76" s="435"/>
      <c r="BP76" s="438"/>
      <c r="BQ76" s="436"/>
      <c r="BR76" s="436"/>
      <c r="BS76" s="436"/>
      <c r="BT76" s="438"/>
      <c r="BU76" s="436"/>
      <c r="BV76" s="436"/>
      <c r="BW76" s="436"/>
      <c r="BX76" s="438">
        <f>+BX50/BX54</f>
        <v>0.36206399538771983</v>
      </c>
      <c r="BY76" s="436">
        <f>+BY50/BY54</f>
        <v>0.36848104873183241</v>
      </c>
      <c r="BZ76" s="436">
        <f>+BZ50/BZ54</f>
        <v>0.36694915254237287</v>
      </c>
      <c r="CA76" s="436">
        <f>+CA50/CA54</f>
        <v>0.36257634647418102</v>
      </c>
      <c r="CB76" s="438">
        <f>+CB50/CB54</f>
        <v>0.45174606626634622</v>
      </c>
      <c r="CC76" s="436"/>
      <c r="CD76" s="436"/>
      <c r="CE76" s="436"/>
      <c r="CF76" s="438"/>
      <c r="CG76" s="436"/>
      <c r="CH76" s="436"/>
      <c r="CI76" s="436"/>
      <c r="CJ76" s="438"/>
      <c r="CK76" s="436"/>
      <c r="CL76" s="436"/>
      <c r="CM76" s="436"/>
      <c r="CN76" s="438"/>
      <c r="CO76" s="436"/>
      <c r="CP76" s="436"/>
      <c r="CQ76" s="115"/>
      <c r="CR76" s="436"/>
      <c r="CS76" s="436"/>
      <c r="CT76" s="436"/>
      <c r="CU76" s="436"/>
      <c r="CV76" s="438"/>
      <c r="CW76" s="436"/>
      <c r="CX76" s="436"/>
      <c r="CY76" s="436"/>
      <c r="CZ76" s="438"/>
      <c r="DA76" s="1062"/>
      <c r="DB76" s="1062"/>
      <c r="DC76" s="115"/>
      <c r="DD76" s="438"/>
      <c r="DE76" s="1062"/>
      <c r="DF76" s="1062"/>
      <c r="DG76" s="115"/>
      <c r="DH76" s="1062"/>
      <c r="DI76" s="1062"/>
      <c r="DJ76" s="1062"/>
      <c r="DK76" s="115"/>
      <c r="DL76" s="1062"/>
      <c r="DM76" s="1062"/>
      <c r="DN76" s="1062"/>
      <c r="DO76" s="115"/>
      <c r="DP76" s="1062"/>
      <c r="DQ76" s="1062"/>
      <c r="DR76" s="1062"/>
      <c r="DS76" s="115"/>
      <c r="DT76" s="436"/>
    </row>
    <row r="77" spans="1:124">
      <c r="A77" s="434" t="s">
        <v>951</v>
      </c>
      <c r="B77" s="435"/>
      <c r="C77" s="435"/>
      <c r="D77" s="435"/>
      <c r="E77" s="435"/>
      <c r="F77" s="435"/>
      <c r="G77" s="435"/>
      <c r="H77" s="435"/>
      <c r="I77" s="435"/>
      <c r="J77" s="435">
        <v>0.35603142813125865</v>
      </c>
      <c r="K77" s="435">
        <v>0.35448441460269464</v>
      </c>
      <c r="L77" s="435">
        <v>0.37321957920613114</v>
      </c>
      <c r="M77" s="435">
        <v>0.37583975728305624</v>
      </c>
      <c r="N77" s="435">
        <f t="shared" ref="N77:W77" si="97">N68/N14</f>
        <v>0.46367708008388425</v>
      </c>
      <c r="O77" s="435">
        <f t="shared" si="97"/>
        <v>0.46842388956290676</v>
      </c>
      <c r="P77" s="435">
        <f t="shared" si="97"/>
        <v>0.2932376550717587</v>
      </c>
      <c r="Q77" s="1084">
        <f t="shared" si="97"/>
        <v>0.35568523368428451</v>
      </c>
      <c r="R77" s="435">
        <f t="shared" si="97"/>
        <v>0.4032740236279635</v>
      </c>
      <c r="S77" s="435">
        <f t="shared" si="97"/>
        <v>0.37758360179034695</v>
      </c>
      <c r="T77" s="1084">
        <f t="shared" si="97"/>
        <v>0.39183845626614644</v>
      </c>
      <c r="U77" s="1084">
        <f t="shared" si="97"/>
        <v>0.42209002382039668</v>
      </c>
      <c r="V77" s="435">
        <f t="shared" si="97"/>
        <v>0.40183237112931564</v>
      </c>
      <c r="W77" s="435">
        <f t="shared" si="97"/>
        <v>0.42488001745200699</v>
      </c>
      <c r="X77" s="435">
        <f t="shared" si="95"/>
        <v>0.43769201444172851</v>
      </c>
      <c r="Y77" s="435">
        <f t="shared" si="95"/>
        <v>0.44111026042440377</v>
      </c>
      <c r="Z77" s="435">
        <f t="shared" ca="1" si="95"/>
        <v>0.45893297061576033</v>
      </c>
      <c r="AA77" s="435">
        <f t="shared" ca="1" si="95"/>
        <v>0.45692865765268786</v>
      </c>
      <c r="AB77" s="435">
        <f t="shared" ca="1" si="95"/>
        <v>0.46303548109081394</v>
      </c>
      <c r="AC77" s="435">
        <f t="shared" ref="AC77:AG77" ca="1" si="98">AC68/AC14</f>
        <v>0.4696551006796536</v>
      </c>
      <c r="AD77" s="435">
        <f t="shared" ca="1" si="98"/>
        <v>0.47669082877794688</v>
      </c>
      <c r="AE77" s="435">
        <f t="shared" ca="1" si="98"/>
        <v>0.48409735994285347</v>
      </c>
      <c r="AF77" s="435">
        <f t="shared" ca="1" si="98"/>
        <v>0.4918510653015174</v>
      </c>
      <c r="AG77" s="435">
        <f t="shared" ca="1" si="98"/>
        <v>0.49993645341697812</v>
      </c>
      <c r="AH77" s="436"/>
      <c r="AI77" s="437"/>
      <c r="AJ77" s="435"/>
      <c r="AK77" s="435"/>
      <c r="AL77" s="435"/>
      <c r="AM77" s="435"/>
      <c r="AN77" s="435"/>
      <c r="AO77" s="435"/>
      <c r="AP77" s="435"/>
      <c r="AQ77" s="435"/>
      <c r="AR77" s="435"/>
      <c r="AS77" s="435"/>
      <c r="AT77" s="435"/>
      <c r="AU77" s="435"/>
      <c r="AV77" s="435"/>
      <c r="AW77" s="435"/>
      <c r="AX77" s="435"/>
      <c r="AY77" s="435"/>
      <c r="AZ77" s="435"/>
      <c r="BA77" s="435"/>
      <c r="BB77" s="435"/>
      <c r="BC77" s="435"/>
      <c r="BD77" s="435"/>
      <c r="BE77" s="435"/>
      <c r="BF77" s="435"/>
      <c r="BG77" s="435"/>
      <c r="BH77" s="435"/>
      <c r="BI77" s="435"/>
      <c r="BJ77" s="435"/>
      <c r="BK77" s="435"/>
      <c r="BL77" s="437"/>
      <c r="BM77" s="435"/>
      <c r="BN77" s="435"/>
      <c r="BO77" s="435"/>
      <c r="BP77" s="438"/>
      <c r="BQ77" s="436"/>
      <c r="BR77" s="436"/>
      <c r="BS77" s="436"/>
      <c r="BT77" s="438"/>
      <c r="BU77" s="436"/>
      <c r="BV77" s="436"/>
      <c r="BW77" s="436"/>
      <c r="BX77" s="438"/>
      <c r="BY77" s="436"/>
      <c r="BZ77" s="436"/>
      <c r="CA77" s="436"/>
      <c r="CB77" s="438"/>
      <c r="CC77" s="436"/>
      <c r="CD77" s="436"/>
      <c r="CE77" s="436"/>
      <c r="CF77" s="438"/>
      <c r="CG77" s="436"/>
      <c r="CH77" s="436"/>
      <c r="CI77" s="436"/>
      <c r="CJ77" s="438"/>
      <c r="CK77" s="436"/>
      <c r="CL77" s="436"/>
      <c r="CM77" s="436"/>
      <c r="CN77" s="438"/>
      <c r="CO77" s="436"/>
      <c r="CP77" s="436"/>
      <c r="CQ77" s="115"/>
      <c r="CR77" s="436"/>
      <c r="CS77" s="436"/>
      <c r="CT77" s="436"/>
      <c r="CU77" s="436"/>
      <c r="CV77" s="438"/>
      <c r="CW77" s="436"/>
      <c r="CX77" s="436"/>
      <c r="CY77" s="436"/>
      <c r="CZ77" s="438"/>
      <c r="DA77" s="1062"/>
      <c r="DB77" s="1062"/>
      <c r="DC77" s="115"/>
      <c r="DD77" s="438"/>
      <c r="DE77" s="1062"/>
      <c r="DF77" s="1062"/>
      <c r="DG77" s="115"/>
      <c r="DH77" s="1062"/>
      <c r="DI77" s="1062"/>
      <c r="DJ77" s="1062"/>
      <c r="DK77" s="115"/>
      <c r="DL77" s="1062"/>
      <c r="DM77" s="1062"/>
      <c r="DN77" s="1062"/>
      <c r="DO77" s="115"/>
      <c r="DP77" s="1062"/>
      <c r="DQ77" s="1062"/>
      <c r="DR77" s="1062"/>
      <c r="DS77" s="115"/>
      <c r="DT77" s="436"/>
    </row>
    <row r="78" spans="1:124">
      <c r="A78" s="434" t="s">
        <v>953</v>
      </c>
      <c r="B78" s="435"/>
      <c r="C78" s="435"/>
      <c r="D78" s="435"/>
      <c r="E78" s="435"/>
      <c r="F78" s="435"/>
      <c r="G78" s="435"/>
      <c r="H78" s="435"/>
      <c r="I78" s="435"/>
      <c r="J78" s="435">
        <v>0.46101847679134744</v>
      </c>
      <c r="K78" s="435">
        <v>0.35094920472036945</v>
      </c>
      <c r="L78" s="435">
        <v>0.45531281032770604</v>
      </c>
      <c r="M78" s="435">
        <v>0.36981304149566802</v>
      </c>
      <c r="N78" s="435"/>
      <c r="O78" s="435"/>
      <c r="P78" s="435"/>
      <c r="Q78" s="1084"/>
      <c r="R78" s="435"/>
      <c r="S78" s="435"/>
      <c r="T78" s="1084"/>
      <c r="U78" s="1084"/>
      <c r="V78" s="435"/>
      <c r="W78" s="435"/>
      <c r="X78" s="435"/>
      <c r="Y78" s="435"/>
      <c r="Z78" s="435"/>
      <c r="AA78" s="435"/>
      <c r="AB78" s="435"/>
      <c r="AC78" s="435"/>
      <c r="AD78" s="435"/>
      <c r="AE78" s="435"/>
      <c r="AF78" s="435"/>
      <c r="AG78" s="435"/>
      <c r="AH78" s="436"/>
      <c r="AI78" s="437"/>
      <c r="AJ78" s="435"/>
      <c r="AK78" s="435"/>
      <c r="AL78" s="435"/>
      <c r="AM78" s="435"/>
      <c r="AN78" s="435"/>
      <c r="AO78" s="435"/>
      <c r="AP78" s="435"/>
      <c r="AQ78" s="435"/>
      <c r="AR78" s="435"/>
      <c r="AS78" s="435"/>
      <c r="AT78" s="435"/>
      <c r="AU78" s="435"/>
      <c r="AV78" s="435"/>
      <c r="AW78" s="435"/>
      <c r="AX78" s="435"/>
      <c r="AY78" s="435"/>
      <c r="AZ78" s="435"/>
      <c r="BA78" s="435"/>
      <c r="BB78" s="435"/>
      <c r="BC78" s="435"/>
      <c r="BD78" s="435"/>
      <c r="BE78" s="435"/>
      <c r="BF78" s="435"/>
      <c r="BG78" s="435"/>
      <c r="BH78" s="435"/>
      <c r="BI78" s="435"/>
      <c r="BJ78" s="435"/>
      <c r="BK78" s="435"/>
      <c r="BL78" s="437"/>
      <c r="BM78" s="435"/>
      <c r="BN78" s="435"/>
      <c r="BO78" s="435"/>
      <c r="BP78" s="438"/>
      <c r="BQ78" s="436"/>
      <c r="BR78" s="436"/>
      <c r="BS78" s="436"/>
      <c r="BT78" s="438"/>
      <c r="BU78" s="436"/>
      <c r="BV78" s="436"/>
      <c r="BW78" s="436"/>
      <c r="BX78" s="438"/>
      <c r="BY78" s="436"/>
      <c r="BZ78" s="436"/>
      <c r="CA78" s="436"/>
      <c r="CB78" s="438"/>
      <c r="CC78" s="436"/>
      <c r="CD78" s="436"/>
      <c r="CE78" s="436"/>
      <c r="CF78" s="438"/>
      <c r="CG78" s="436"/>
      <c r="CH78" s="436"/>
      <c r="CI78" s="436"/>
      <c r="CJ78" s="438"/>
      <c r="CK78" s="436"/>
      <c r="CL78" s="436"/>
      <c r="CM78" s="436"/>
      <c r="CN78" s="438"/>
      <c r="CO78" s="436"/>
      <c r="CP78" s="436"/>
      <c r="CQ78" s="115"/>
      <c r="CR78" s="436"/>
      <c r="CS78" s="436"/>
      <c r="CT78" s="436"/>
      <c r="CU78" s="436"/>
      <c r="CV78" s="438"/>
      <c r="CW78" s="436"/>
      <c r="CX78" s="436"/>
      <c r="CY78" s="436"/>
      <c r="CZ78" s="438"/>
      <c r="DA78" s="1062"/>
      <c r="DB78" s="1062"/>
      <c r="DC78" s="115"/>
      <c r="DD78" s="438"/>
      <c r="DE78" s="1062"/>
      <c r="DF78" s="1062"/>
      <c r="DG78" s="115"/>
      <c r="DH78" s="1062"/>
      <c r="DI78" s="1062"/>
      <c r="DJ78" s="1062"/>
      <c r="DK78" s="115"/>
      <c r="DL78" s="1062"/>
      <c r="DM78" s="1062"/>
      <c r="DN78" s="1062"/>
      <c r="DO78" s="115"/>
      <c r="DP78" s="1062"/>
      <c r="DQ78" s="1062"/>
      <c r="DR78" s="1062"/>
      <c r="DS78" s="115"/>
      <c r="DT78" s="436"/>
    </row>
    <row r="79" spans="1:124">
      <c r="A79" s="434" t="s">
        <v>1434</v>
      </c>
      <c r="B79" s="435"/>
      <c r="C79" s="435"/>
      <c r="D79" s="435"/>
      <c r="E79" s="435"/>
      <c r="F79" s="435"/>
      <c r="G79" s="435"/>
      <c r="H79" s="435"/>
      <c r="I79" s="435"/>
      <c r="J79" s="435">
        <v>0.51038021926755306</v>
      </c>
      <c r="K79" s="435">
        <v>0.52165825139516342</v>
      </c>
      <c r="L79" s="435">
        <v>0.47562693716539872</v>
      </c>
      <c r="M79" s="435">
        <v>0.50753186558516805</v>
      </c>
      <c r="N79" s="435">
        <f>N70/N16</f>
        <v>0.49570200573065903</v>
      </c>
      <c r="O79" s="435"/>
      <c r="P79" s="435"/>
      <c r="Q79" s="1084"/>
      <c r="R79" s="435"/>
      <c r="S79" s="435"/>
      <c r="T79" s="1084"/>
      <c r="U79" s="1084"/>
      <c r="V79" s="435"/>
      <c r="W79" s="435"/>
      <c r="X79" s="435"/>
      <c r="Y79" s="435"/>
      <c r="Z79" s="435"/>
      <c r="AA79" s="435"/>
      <c r="AB79" s="435"/>
      <c r="AC79" s="435"/>
      <c r="AD79" s="435"/>
      <c r="AE79" s="435"/>
      <c r="AF79" s="435"/>
      <c r="AG79" s="435"/>
      <c r="AH79" s="436"/>
      <c r="AI79" s="437"/>
      <c r="AJ79" s="435"/>
      <c r="AK79" s="435"/>
      <c r="AL79" s="435"/>
      <c r="AM79" s="435"/>
      <c r="AN79" s="435"/>
      <c r="AO79" s="435"/>
      <c r="AP79" s="435"/>
      <c r="AQ79" s="435"/>
      <c r="AR79" s="435"/>
      <c r="AS79" s="435"/>
      <c r="AT79" s="435"/>
      <c r="AU79" s="435"/>
      <c r="AV79" s="435"/>
      <c r="AW79" s="435"/>
      <c r="AX79" s="435"/>
      <c r="AY79" s="435"/>
      <c r="AZ79" s="435"/>
      <c r="BA79" s="435"/>
      <c r="BB79" s="435"/>
      <c r="BC79" s="435"/>
      <c r="BD79" s="435"/>
      <c r="BE79" s="435"/>
      <c r="BF79" s="435"/>
      <c r="BG79" s="435"/>
      <c r="BH79" s="435"/>
      <c r="BI79" s="435"/>
      <c r="BJ79" s="435"/>
      <c r="BK79" s="435"/>
      <c r="BL79" s="437"/>
      <c r="BM79" s="435"/>
      <c r="BN79" s="435"/>
      <c r="BO79" s="435"/>
      <c r="BP79" s="438"/>
      <c r="BQ79" s="436"/>
      <c r="BR79" s="436"/>
      <c r="BS79" s="436"/>
      <c r="BT79" s="438"/>
      <c r="BU79" s="436"/>
      <c r="BV79" s="436"/>
      <c r="BW79" s="436"/>
      <c r="BX79" s="438">
        <f>+BX53/BX54</f>
        <v>2.8826751225136927E-3</v>
      </c>
      <c r="BY79" s="436">
        <f>+BY53/BY54</f>
        <v>2.8498147620404672E-3</v>
      </c>
      <c r="BZ79" s="436">
        <f>+BZ53/BZ54</f>
        <v>3.1073446327683617E-3</v>
      </c>
      <c r="CA79" s="436">
        <f>+CA53/CA54</f>
        <v>2.2209883398112162E-3</v>
      </c>
      <c r="CB79" s="438">
        <f>+CB53/CB54</f>
        <v>-7.8946520553682967E-2</v>
      </c>
      <c r="CC79" s="436"/>
      <c r="CD79" s="436"/>
      <c r="CE79" s="436"/>
      <c r="CF79" s="438"/>
      <c r="CG79" s="436"/>
      <c r="CH79" s="436"/>
      <c r="CI79" s="436"/>
      <c r="CJ79" s="438"/>
      <c r="CK79" s="436"/>
      <c r="CL79" s="436"/>
      <c r="CM79" s="436"/>
      <c r="CN79" s="438"/>
      <c r="CO79" s="436"/>
      <c r="CP79" s="436"/>
      <c r="CQ79" s="115"/>
      <c r="CR79" s="436"/>
      <c r="CS79" s="436"/>
      <c r="CT79" s="436"/>
      <c r="CU79" s="436"/>
      <c r="CV79" s="438"/>
      <c r="CW79" s="436"/>
      <c r="CX79" s="436"/>
      <c r="CY79" s="436"/>
      <c r="CZ79" s="438"/>
      <c r="DA79" s="1062"/>
      <c r="DB79" s="1062"/>
      <c r="DC79" s="115"/>
      <c r="DD79" s="438"/>
      <c r="DE79" s="1062"/>
      <c r="DF79" s="1062"/>
      <c r="DG79" s="115"/>
      <c r="DH79" s="1062"/>
      <c r="DI79" s="1062"/>
      <c r="DJ79" s="1062"/>
      <c r="DK79" s="115"/>
      <c r="DL79" s="1062"/>
      <c r="DM79" s="1062"/>
      <c r="DN79" s="1062"/>
      <c r="DO79" s="115"/>
      <c r="DP79" s="1062"/>
      <c r="DQ79" s="1062"/>
      <c r="DR79" s="1062"/>
      <c r="DS79" s="115"/>
      <c r="DT79" s="436"/>
    </row>
    <row r="80" spans="1:124">
      <c r="A80" s="434" t="s">
        <v>955</v>
      </c>
      <c r="B80" s="435"/>
      <c r="C80" s="435"/>
      <c r="D80" s="435"/>
      <c r="E80" s="435"/>
      <c r="F80" s="435"/>
      <c r="G80" s="435"/>
      <c r="H80" s="435"/>
      <c r="I80" s="435"/>
      <c r="J80" s="439">
        <v>-4.226277372262774</v>
      </c>
      <c r="K80" s="439">
        <v>-0.36567164179104478</v>
      </c>
      <c r="L80" s="439">
        <v>-0.21684587813620071</v>
      </c>
      <c r="M80" s="439">
        <v>-2.3236196319018405</v>
      </c>
      <c r="N80" s="439">
        <f>N71/N17</f>
        <v>1</v>
      </c>
      <c r="O80" s="439">
        <f t="shared" ref="O80:W80" si="99">O71/O17</f>
        <v>-0.46383647798742139</v>
      </c>
      <c r="P80" s="439">
        <f t="shared" si="99"/>
        <v>-11.584444444444445</v>
      </c>
      <c r="Q80" s="439">
        <f t="shared" si="99"/>
        <v>5.8150943396226413</v>
      </c>
      <c r="R80" s="439">
        <f t="shared" si="99"/>
        <v>4.5240384615384617</v>
      </c>
      <c r="S80" s="435">
        <f t="shared" si="99"/>
        <v>-11.692307692307692</v>
      </c>
      <c r="T80" s="439">
        <f t="shared" si="99"/>
        <v>-3.7676767676767677</v>
      </c>
      <c r="U80" s="439">
        <f t="shared" si="99"/>
        <v>-2.7467105263157894</v>
      </c>
      <c r="V80" s="439">
        <f t="shared" si="99"/>
        <v>-1.179144385026738</v>
      </c>
      <c r="W80" s="439">
        <f t="shared" si="99"/>
        <v>-0.55810810810810807</v>
      </c>
      <c r="X80" s="439">
        <f t="shared" ref="X80:AB81" si="100">X71/X17</f>
        <v>-0.26555609995100443</v>
      </c>
      <c r="Y80" s="439">
        <f t="shared" si="100"/>
        <v>0.19058947924927305</v>
      </c>
      <c r="Z80" s="439">
        <f t="shared" si="100"/>
        <v>5.2133354914763598E-2</v>
      </c>
      <c r="AA80" s="439">
        <f t="shared" ca="1" si="100"/>
        <v>0.16000000000000006</v>
      </c>
      <c r="AB80" s="439">
        <f t="shared" ca="1" si="100"/>
        <v>0.16</v>
      </c>
      <c r="AC80" s="439">
        <f t="shared" ref="AC80:AG80" ca="1" si="101">AC71/AC17</f>
        <v>0.16</v>
      </c>
      <c r="AD80" s="439">
        <f t="shared" ca="1" si="101"/>
        <v>0.16000000000000003</v>
      </c>
      <c r="AE80" s="439">
        <f t="shared" ca="1" si="101"/>
        <v>0.16000000000000003</v>
      </c>
      <c r="AF80" s="439">
        <f t="shared" ca="1" si="101"/>
        <v>0.16000000000000003</v>
      </c>
      <c r="AG80" s="439">
        <f t="shared" ca="1" si="101"/>
        <v>0.15999999999999989</v>
      </c>
      <c r="AH80" s="436"/>
      <c r="AI80" s="437"/>
      <c r="AJ80" s="435"/>
      <c r="AK80" s="435"/>
      <c r="AL80" s="435"/>
      <c r="AM80" s="435"/>
      <c r="AN80" s="435"/>
      <c r="AO80" s="435"/>
      <c r="AP80" s="435"/>
      <c r="AQ80" s="435"/>
      <c r="AR80" s="435"/>
      <c r="AS80" s="435"/>
      <c r="AT80" s="435"/>
      <c r="AU80" s="435"/>
      <c r="AV80" s="435"/>
      <c r="AW80" s="435"/>
      <c r="AX80" s="435"/>
      <c r="AY80" s="435"/>
      <c r="AZ80" s="435"/>
      <c r="BA80" s="435"/>
      <c r="BB80" s="435"/>
      <c r="BC80" s="435"/>
      <c r="BD80" s="435"/>
      <c r="BE80" s="435"/>
      <c r="BF80" s="435"/>
      <c r="BG80" s="435"/>
      <c r="BH80" s="435"/>
      <c r="BI80" s="435"/>
      <c r="BJ80" s="435"/>
      <c r="BK80" s="435"/>
      <c r="BL80" s="437"/>
      <c r="BM80" s="435"/>
      <c r="BN80" s="435"/>
      <c r="BO80" s="435"/>
      <c r="BP80" s="438"/>
      <c r="BQ80" s="436"/>
      <c r="BR80" s="436"/>
      <c r="BS80" s="436"/>
      <c r="BT80" s="438"/>
      <c r="BU80" s="436"/>
      <c r="BV80" s="436"/>
      <c r="BW80" s="436"/>
      <c r="BX80" s="438"/>
      <c r="BY80" s="436"/>
      <c r="BZ80" s="436"/>
      <c r="CA80" s="436"/>
      <c r="CB80" s="438"/>
      <c r="CC80" s="436"/>
      <c r="CD80" s="436"/>
      <c r="CE80" s="436"/>
      <c r="CF80" s="438"/>
      <c r="CG80" s="436"/>
      <c r="CH80" s="436"/>
      <c r="CI80" s="436"/>
      <c r="CJ80" s="438"/>
      <c r="CK80" s="436"/>
      <c r="CL80" s="436"/>
      <c r="CM80" s="436"/>
      <c r="CN80" s="438"/>
      <c r="CO80" s="436"/>
      <c r="CP80" s="436"/>
      <c r="CQ80" s="115"/>
      <c r="CR80" s="436"/>
      <c r="CS80" s="436"/>
      <c r="CT80" s="436"/>
      <c r="CU80" s="436"/>
      <c r="CV80" s="438"/>
      <c r="CW80" s="436"/>
      <c r="CX80" s="436"/>
      <c r="CY80" s="436"/>
      <c r="CZ80" s="438"/>
      <c r="DA80" s="1062"/>
      <c r="DB80" s="1062"/>
      <c r="DC80" s="115"/>
      <c r="DD80" s="438"/>
      <c r="DE80" s="1062"/>
      <c r="DF80" s="1062"/>
      <c r="DG80" s="115"/>
      <c r="DH80" s="1062"/>
      <c r="DI80" s="1062"/>
      <c r="DJ80" s="1062"/>
      <c r="DK80" s="115"/>
      <c r="DL80" s="1062"/>
      <c r="DM80" s="1062"/>
      <c r="DN80" s="1062"/>
      <c r="DO80" s="115"/>
      <c r="DP80" s="1062"/>
      <c r="DQ80" s="1062"/>
      <c r="DR80" s="1062"/>
      <c r="DS80" s="115"/>
      <c r="DT80" s="436"/>
    </row>
    <row r="81" spans="1:124">
      <c r="A81" s="436" t="s">
        <v>1040</v>
      </c>
      <c r="B81" s="436"/>
      <c r="C81" s="436"/>
      <c r="D81" s="436"/>
      <c r="E81" s="436"/>
      <c r="F81" s="436"/>
      <c r="G81" s="436"/>
      <c r="H81" s="436"/>
      <c r="I81" s="436"/>
      <c r="J81" s="435">
        <v>0.43676609528951277</v>
      </c>
      <c r="K81" s="435">
        <v>0.40305740868160467</v>
      </c>
      <c r="L81" s="435">
        <v>0.39073110004526934</v>
      </c>
      <c r="M81" s="435">
        <v>0.39795754905887065</v>
      </c>
      <c r="N81" s="435">
        <f>N72/N18</f>
        <v>0.36674743897598577</v>
      </c>
      <c r="O81" s="435">
        <f t="shared" ref="O81:W81" si="102">O72/O18</f>
        <v>0.37766811810207229</v>
      </c>
      <c r="P81" s="435">
        <f t="shared" si="102"/>
        <v>0.335461810991184</v>
      </c>
      <c r="Q81" s="1084">
        <f t="shared" si="102"/>
        <v>0.28700457663592005</v>
      </c>
      <c r="R81" s="435">
        <f t="shared" si="102"/>
        <v>0.32365890395087477</v>
      </c>
      <c r="S81" s="435">
        <f t="shared" si="102"/>
        <v>0.31972942502818491</v>
      </c>
      <c r="T81" s="1084">
        <f t="shared" si="102"/>
        <v>0.3237072731834344</v>
      </c>
      <c r="U81" s="1084">
        <f t="shared" si="102"/>
        <v>0.35031804653566873</v>
      </c>
      <c r="V81" s="435">
        <f t="shared" si="102"/>
        <v>0.34105800998241642</v>
      </c>
      <c r="W81" s="435">
        <f t="shared" si="102"/>
        <v>0.34281917154094005</v>
      </c>
      <c r="X81" s="435">
        <f t="shared" si="100"/>
        <v>0.3526045195488422</v>
      </c>
      <c r="Y81" s="435">
        <f t="shared" si="100"/>
        <v>0.37019375724010983</v>
      </c>
      <c r="Z81" s="435">
        <f t="shared" ca="1" si="100"/>
        <v>0.37059316106642065</v>
      </c>
      <c r="AA81" s="435">
        <f t="shared" ca="1" si="100"/>
        <v>0.37847314007388416</v>
      </c>
      <c r="AB81" s="435">
        <f t="shared" ca="1" si="100"/>
        <v>0.38323546921055901</v>
      </c>
      <c r="AC81" s="435">
        <f t="shared" ref="AC81:AG81" ca="1" si="103">AC72/AC18</f>
        <v>0.38842747121287124</v>
      </c>
      <c r="AD81" s="435">
        <f t="shared" ca="1" si="103"/>
        <v>0.39397479924428042</v>
      </c>
      <c r="AE81" s="435">
        <f t="shared" ca="1" si="103"/>
        <v>0.39984860551884432</v>
      </c>
      <c r="AF81" s="435">
        <f t="shared" ca="1" si="103"/>
        <v>0.4060401633528139</v>
      </c>
      <c r="AG81" s="435">
        <f t="shared" ca="1" si="103"/>
        <v>0.41254912139402605</v>
      </c>
      <c r="AH81" s="436"/>
      <c r="AI81" s="438"/>
      <c r="AJ81" s="436"/>
      <c r="AK81" s="436"/>
      <c r="AL81" s="436"/>
      <c r="AM81" s="436"/>
      <c r="AN81" s="436"/>
      <c r="AO81" s="436"/>
      <c r="AP81" s="436"/>
      <c r="AQ81" s="436"/>
      <c r="AR81" s="436"/>
      <c r="AS81" s="436"/>
      <c r="AT81" s="436"/>
      <c r="AU81" s="436"/>
      <c r="AV81" s="436"/>
      <c r="AW81" s="436"/>
      <c r="AX81" s="436"/>
      <c r="AY81" s="436"/>
      <c r="AZ81" s="436"/>
      <c r="BA81" s="436"/>
      <c r="BB81" s="436"/>
      <c r="BC81" s="436"/>
      <c r="BD81" s="436"/>
      <c r="BE81" s="436"/>
      <c r="BF81" s="436"/>
      <c r="BG81" s="436"/>
      <c r="BH81" s="436"/>
      <c r="BI81" s="436"/>
      <c r="BJ81" s="436"/>
      <c r="BK81" s="436"/>
      <c r="BL81" s="438"/>
      <c r="BM81" s="436"/>
      <c r="BN81" s="436"/>
      <c r="BO81" s="436"/>
      <c r="BP81" s="438"/>
      <c r="BQ81" s="436"/>
      <c r="BR81" s="436"/>
      <c r="BS81" s="436"/>
      <c r="BT81" s="438"/>
      <c r="BU81" s="436"/>
      <c r="BV81" s="436"/>
      <c r="BW81" s="436"/>
      <c r="BX81" s="438"/>
      <c r="BY81" s="436"/>
      <c r="BZ81" s="436"/>
      <c r="CA81" s="436"/>
      <c r="CB81" s="438"/>
      <c r="CC81" s="436"/>
      <c r="CD81" s="436"/>
      <c r="CE81" s="436"/>
      <c r="CF81" s="438"/>
      <c r="CG81" s="436"/>
      <c r="CH81" s="436"/>
      <c r="CI81" s="436"/>
      <c r="CJ81" s="438"/>
      <c r="CK81" s="436"/>
      <c r="CL81" s="436"/>
      <c r="CM81" s="436"/>
      <c r="CN81" s="438"/>
      <c r="CO81" s="436"/>
      <c r="CP81" s="436"/>
      <c r="CQ81" s="115"/>
      <c r="CR81" s="436"/>
      <c r="CS81" s="436"/>
      <c r="CT81" s="436"/>
      <c r="CU81" s="436"/>
      <c r="CV81" s="438"/>
      <c r="CW81" s="436"/>
      <c r="CX81" s="436"/>
      <c r="CY81" s="436"/>
      <c r="CZ81" s="438"/>
      <c r="DA81" s="1062"/>
      <c r="DB81" s="1062"/>
      <c r="DC81" s="115"/>
      <c r="DD81" s="438"/>
      <c r="DE81" s="1062"/>
      <c r="DF81" s="1062"/>
      <c r="DG81" s="115"/>
      <c r="DH81" s="1062"/>
      <c r="DI81" s="1062"/>
      <c r="DJ81" s="1062"/>
      <c r="DK81" s="115"/>
      <c r="DL81" s="1062"/>
      <c r="DM81" s="1062"/>
      <c r="DN81" s="1062"/>
      <c r="DO81" s="115"/>
      <c r="DP81" s="1062"/>
      <c r="DQ81" s="1062"/>
      <c r="DR81" s="1062"/>
      <c r="DS81" s="115"/>
      <c r="DT81" s="436"/>
    </row>
    <row r="82" spans="1:124">
      <c r="A82" s="109"/>
      <c r="B82" s="109"/>
      <c r="C82" s="109"/>
      <c r="D82" s="109"/>
      <c r="E82" s="109"/>
      <c r="F82" s="109"/>
      <c r="G82" s="109"/>
      <c r="H82" s="109"/>
      <c r="I82" s="109"/>
      <c r="J82" s="109"/>
      <c r="K82" s="109"/>
      <c r="L82" s="109"/>
      <c r="M82" s="109"/>
      <c r="N82" s="109"/>
      <c r="O82" s="109"/>
      <c r="P82" s="109"/>
      <c r="Q82" s="1044"/>
      <c r="R82" s="109"/>
      <c r="S82" s="109"/>
      <c r="T82" s="1044"/>
      <c r="U82" s="1044"/>
      <c r="V82" s="109"/>
      <c r="W82" s="109"/>
      <c r="X82" s="109"/>
      <c r="Y82" s="109"/>
      <c r="Z82" s="109"/>
      <c r="AA82" s="109"/>
      <c r="AB82" s="109"/>
      <c r="AC82" s="109"/>
      <c r="AD82" s="109"/>
      <c r="AE82" s="109"/>
      <c r="AF82" s="109"/>
      <c r="AG82" s="109"/>
      <c r="AH82" s="109"/>
      <c r="AI82" s="171"/>
      <c r="AJ82" s="109"/>
      <c r="AK82" s="109"/>
      <c r="AL82" s="109"/>
      <c r="AM82" s="109"/>
      <c r="AN82" s="109"/>
      <c r="AO82" s="109"/>
      <c r="AP82" s="109"/>
      <c r="AQ82" s="109"/>
      <c r="AR82" s="109"/>
      <c r="AS82" s="109"/>
      <c r="AT82" s="109"/>
      <c r="AU82" s="109"/>
      <c r="AV82" s="109"/>
      <c r="AW82" s="109"/>
      <c r="AX82" s="109"/>
      <c r="AY82" s="109"/>
      <c r="AZ82" s="109"/>
      <c r="BA82" s="109"/>
      <c r="BB82" s="109"/>
      <c r="BC82" s="109"/>
      <c r="BD82" s="109"/>
      <c r="BE82" s="109"/>
      <c r="BF82" s="109"/>
      <c r="BG82" s="109"/>
      <c r="BH82" s="109"/>
      <c r="BI82" s="109"/>
      <c r="BJ82" s="109"/>
      <c r="BK82" s="109"/>
      <c r="BL82" s="171"/>
      <c r="BM82" s="109"/>
      <c r="BN82" s="109"/>
      <c r="BO82" s="109"/>
      <c r="BP82" s="171"/>
      <c r="BQ82" s="109"/>
      <c r="BR82" s="109"/>
      <c r="BS82" s="109"/>
      <c r="BT82" s="171"/>
      <c r="BU82" s="109"/>
      <c r="BV82" s="109"/>
      <c r="BW82" s="109"/>
      <c r="BX82" s="171"/>
      <c r="BY82" s="109"/>
      <c r="BZ82" s="109"/>
      <c r="CA82" s="109"/>
      <c r="CB82" s="171"/>
      <c r="CC82" s="109"/>
      <c r="CD82" s="109"/>
      <c r="CE82" s="109"/>
      <c r="CF82" s="171"/>
      <c r="CG82" s="109"/>
      <c r="CH82" s="109"/>
      <c r="CI82" s="109"/>
      <c r="CJ82" s="171"/>
      <c r="CK82" s="109"/>
      <c r="CL82" s="109"/>
      <c r="CM82" s="109"/>
      <c r="CN82" s="171"/>
      <c r="CO82" s="109"/>
      <c r="CP82" s="109"/>
      <c r="CQ82" s="172"/>
      <c r="CR82" s="109"/>
      <c r="CS82" s="109"/>
      <c r="CT82" s="109"/>
      <c r="CU82" s="109"/>
      <c r="CV82" s="171"/>
      <c r="CW82" s="109"/>
      <c r="CX82" s="109"/>
      <c r="CY82" s="109"/>
      <c r="CZ82" s="171"/>
      <c r="DA82" s="1044"/>
      <c r="DB82" s="1044"/>
      <c r="DC82" s="172"/>
      <c r="DD82" s="171"/>
      <c r="DE82" s="1044"/>
      <c r="DF82" s="1044"/>
      <c r="DG82" s="172"/>
      <c r="DH82" s="1044"/>
      <c r="DI82" s="1044"/>
      <c r="DJ82" s="1044"/>
      <c r="DK82" s="172"/>
      <c r="DL82" s="1044"/>
      <c r="DM82" s="1044"/>
      <c r="DN82" s="1044"/>
      <c r="DO82" s="172"/>
      <c r="DP82" s="1044"/>
      <c r="DQ82" s="1044"/>
      <c r="DR82" s="1044"/>
      <c r="DS82" s="172"/>
      <c r="DT82" s="109"/>
    </row>
    <row r="83" spans="1:124">
      <c r="A83" s="169" t="s">
        <v>1437</v>
      </c>
      <c r="B83" s="109"/>
      <c r="C83" s="109"/>
      <c r="D83" s="109"/>
      <c r="E83" s="109"/>
      <c r="F83" s="109"/>
      <c r="G83" s="109"/>
      <c r="H83" s="109"/>
      <c r="I83" s="109"/>
      <c r="J83" s="109"/>
      <c r="K83" s="109"/>
      <c r="L83" s="109"/>
      <c r="M83" s="109"/>
      <c r="N83" s="109"/>
      <c r="O83" s="109"/>
      <c r="P83" s="109"/>
      <c r="Q83" s="1044"/>
      <c r="R83" s="109"/>
      <c r="S83" s="109"/>
      <c r="T83" s="1044"/>
      <c r="U83" s="1044"/>
      <c r="V83" s="109"/>
      <c r="W83" s="109"/>
      <c r="X83" s="109"/>
      <c r="Y83" s="109"/>
      <c r="Z83" s="109"/>
      <c r="AA83" s="109"/>
      <c r="AB83" s="109"/>
      <c r="AC83" s="109"/>
      <c r="AD83" s="109"/>
      <c r="AE83" s="109"/>
      <c r="AF83" s="109"/>
      <c r="AG83" s="109"/>
      <c r="AH83" s="109"/>
      <c r="AI83" s="171"/>
      <c r="AJ83" s="109"/>
      <c r="AK83" s="109"/>
      <c r="AL83" s="109"/>
      <c r="AM83" s="109"/>
      <c r="AN83" s="109"/>
      <c r="AO83" s="109"/>
      <c r="AP83" s="109"/>
      <c r="AQ83" s="109"/>
      <c r="AR83" s="109"/>
      <c r="AS83" s="109"/>
      <c r="AT83" s="109"/>
      <c r="AU83" s="109"/>
      <c r="AV83" s="109"/>
      <c r="AW83" s="109"/>
      <c r="AX83" s="109"/>
      <c r="AY83" s="109"/>
      <c r="AZ83" s="109"/>
      <c r="BA83" s="109"/>
      <c r="BB83" s="109"/>
      <c r="BC83" s="109"/>
      <c r="BD83" s="109"/>
      <c r="BE83" s="109"/>
      <c r="BF83" s="109"/>
      <c r="BG83" s="109"/>
      <c r="BH83" s="109"/>
      <c r="BI83" s="109"/>
      <c r="BJ83" s="109"/>
      <c r="BK83" s="109"/>
      <c r="BL83" s="171"/>
      <c r="BM83" s="109"/>
      <c r="BN83" s="109"/>
      <c r="BO83" s="109"/>
      <c r="BP83" s="171"/>
      <c r="BQ83" s="109"/>
      <c r="BR83" s="109"/>
      <c r="BS83" s="109"/>
      <c r="BT83" s="171"/>
      <c r="BU83" s="109"/>
      <c r="BV83" s="109"/>
      <c r="BW83" s="109"/>
      <c r="BX83" s="171"/>
      <c r="BY83" s="109"/>
      <c r="BZ83" s="109"/>
      <c r="CA83" s="109"/>
      <c r="CB83" s="171"/>
      <c r="CC83" s="109"/>
      <c r="CD83" s="109"/>
      <c r="CE83" s="109"/>
      <c r="CF83" s="171"/>
      <c r="CG83" s="109"/>
      <c r="CH83" s="109"/>
      <c r="CI83" s="109"/>
      <c r="CJ83" s="171"/>
      <c r="CK83" s="109"/>
      <c r="CL83" s="109"/>
      <c r="CM83" s="109"/>
      <c r="CN83" s="171"/>
      <c r="CO83" s="109"/>
      <c r="CP83" s="109"/>
      <c r="CQ83" s="172"/>
      <c r="CR83" s="109"/>
      <c r="CS83" s="109"/>
      <c r="CT83" s="109"/>
      <c r="CU83" s="109"/>
      <c r="CV83" s="171"/>
      <c r="CW83" s="109"/>
      <c r="CX83" s="109"/>
      <c r="CY83" s="109"/>
      <c r="CZ83" s="171"/>
      <c r="DA83" s="1044"/>
      <c r="DB83" s="1044"/>
      <c r="DC83" s="172"/>
      <c r="DD83" s="171"/>
      <c r="DE83" s="1044"/>
      <c r="DF83" s="1044"/>
      <c r="DG83" s="172"/>
      <c r="DH83" s="1044"/>
      <c r="DI83" s="1044"/>
      <c r="DJ83" s="1044"/>
      <c r="DK83" s="172"/>
      <c r="DL83" s="1044"/>
      <c r="DM83" s="1044"/>
      <c r="DN83" s="1044"/>
      <c r="DO83" s="172"/>
      <c r="DP83" s="1044"/>
      <c r="DQ83" s="1044"/>
      <c r="DR83" s="1044"/>
      <c r="DS83" s="172"/>
      <c r="DT83" s="109"/>
    </row>
    <row r="84" spans="1:124">
      <c r="A84" s="167" t="s">
        <v>1438</v>
      </c>
      <c r="B84" s="167"/>
      <c r="C84" s="167"/>
      <c r="D84" s="109"/>
      <c r="E84" s="109">
        <v>118197.11240674065</v>
      </c>
      <c r="F84" s="109">
        <v>120286.2766427842</v>
      </c>
      <c r="G84" s="109">
        <v>136506.76776538414</v>
      </c>
      <c r="H84" s="109"/>
      <c r="I84" s="109"/>
      <c r="J84" s="109"/>
      <c r="K84" s="109"/>
      <c r="L84" s="109"/>
      <c r="M84" s="109"/>
      <c r="N84" s="109"/>
      <c r="O84" s="109"/>
      <c r="P84" s="109"/>
      <c r="Q84" s="1044"/>
      <c r="R84" s="109"/>
      <c r="S84" s="109"/>
      <c r="T84" s="1044"/>
      <c r="U84" s="1044"/>
      <c r="V84" s="109"/>
      <c r="W84" s="109"/>
      <c r="X84" s="109"/>
      <c r="Y84" s="109"/>
      <c r="Z84" s="109"/>
      <c r="AA84" s="109"/>
      <c r="AB84" s="109"/>
      <c r="AC84" s="109"/>
      <c r="AD84" s="109"/>
      <c r="AE84" s="109"/>
      <c r="AF84" s="109"/>
      <c r="AG84" s="109"/>
      <c r="AH84" s="109"/>
      <c r="AI84" s="171"/>
      <c r="AJ84" s="109"/>
      <c r="AK84" s="109"/>
      <c r="AL84" s="109"/>
      <c r="AM84" s="109">
        <v>32812.106632353352</v>
      </c>
      <c r="AN84" s="109"/>
      <c r="AO84" s="109"/>
      <c r="AP84" s="109"/>
      <c r="AQ84" s="109">
        <v>31707.212089670797</v>
      </c>
      <c r="AR84" s="109">
        <v>33375.737440356359</v>
      </c>
      <c r="AS84" s="109">
        <v>34181.621287128713</v>
      </c>
      <c r="AT84" s="109">
        <v>34782.746490032645</v>
      </c>
      <c r="AU84" s="109">
        <v>35754.010527635044</v>
      </c>
      <c r="AV84" s="109">
        <v>34461.331830707597</v>
      </c>
      <c r="AW84" s="109">
        <v>34711.299572226475</v>
      </c>
      <c r="AX84" s="109">
        <v>35986.872087100717</v>
      </c>
      <c r="AY84" s="109">
        <v>37654.808159300628</v>
      </c>
      <c r="AZ84" s="109"/>
      <c r="BA84" s="109"/>
      <c r="BB84" s="109"/>
      <c r="BC84" s="109"/>
      <c r="BD84" s="109"/>
      <c r="BE84" s="109"/>
      <c r="BF84" s="109"/>
      <c r="BG84" s="109"/>
      <c r="BH84" s="109"/>
      <c r="BI84" s="109"/>
      <c r="BJ84" s="109"/>
      <c r="BK84" s="109"/>
      <c r="BL84" s="171"/>
      <c r="BM84" s="109"/>
      <c r="BN84" s="109"/>
      <c r="BO84" s="109"/>
      <c r="BP84" s="171"/>
      <c r="BQ84" s="109"/>
      <c r="BR84" s="109"/>
      <c r="BS84" s="109"/>
      <c r="BT84" s="171"/>
      <c r="BU84" s="109"/>
      <c r="BV84" s="109"/>
      <c r="BW84" s="109"/>
      <c r="BX84" s="171"/>
      <c r="BY84" s="109"/>
      <c r="BZ84" s="109"/>
      <c r="CA84" s="109"/>
      <c r="CB84" s="171"/>
      <c r="CC84" s="109"/>
      <c r="CD84" s="109"/>
      <c r="CE84" s="109"/>
      <c r="CF84" s="171"/>
      <c r="CG84" s="109"/>
      <c r="CH84" s="109"/>
      <c r="CI84" s="109"/>
      <c r="CJ84" s="171"/>
      <c r="CK84" s="109"/>
      <c r="CL84" s="109"/>
      <c r="CM84" s="109"/>
      <c r="CN84" s="171"/>
      <c r="CO84" s="109"/>
      <c r="CP84" s="109"/>
      <c r="CQ84" s="172"/>
      <c r="CR84" s="109"/>
      <c r="CS84" s="109"/>
      <c r="CT84" s="109"/>
      <c r="CU84" s="109"/>
      <c r="CV84" s="171"/>
      <c r="CW84" s="109"/>
      <c r="CX84" s="109"/>
      <c r="CY84" s="109"/>
      <c r="CZ84" s="171"/>
      <c r="DA84" s="1044"/>
      <c r="DB84" s="1044"/>
      <c r="DC84" s="172"/>
      <c r="DD84" s="171"/>
      <c r="DE84" s="1044"/>
      <c r="DF84" s="1044"/>
      <c r="DG84" s="172"/>
      <c r="DH84" s="1044"/>
      <c r="DI84" s="1044"/>
      <c r="DJ84" s="1044"/>
      <c r="DK84" s="172"/>
      <c r="DL84" s="1044"/>
      <c r="DM84" s="1044"/>
      <c r="DN84" s="1044"/>
      <c r="DO84" s="172"/>
      <c r="DP84" s="1044"/>
      <c r="DQ84" s="1044"/>
      <c r="DR84" s="1044"/>
      <c r="DS84" s="172"/>
      <c r="DT84" s="109"/>
    </row>
    <row r="85" spans="1:124">
      <c r="A85" s="440" t="s">
        <v>991</v>
      </c>
      <c r="B85" s="317"/>
      <c r="C85" s="317"/>
      <c r="D85" s="317"/>
      <c r="E85" s="317"/>
      <c r="F85" s="317"/>
      <c r="G85" s="317"/>
      <c r="H85" s="317"/>
      <c r="I85" s="317"/>
      <c r="J85" s="317"/>
      <c r="K85" s="317"/>
      <c r="L85" s="317"/>
      <c r="M85" s="317"/>
      <c r="N85" s="317"/>
      <c r="O85" s="317"/>
      <c r="P85" s="317"/>
      <c r="Q85" s="1083"/>
      <c r="R85" s="317"/>
      <c r="S85" s="317"/>
      <c r="T85" s="1083"/>
      <c r="U85" s="1083"/>
      <c r="V85" s="317"/>
      <c r="W85" s="317"/>
      <c r="X85" s="317"/>
      <c r="Y85" s="317"/>
      <c r="Z85" s="317"/>
      <c r="AA85" s="317"/>
      <c r="AB85" s="317"/>
      <c r="AC85" s="317"/>
      <c r="AD85" s="317"/>
      <c r="AE85" s="317"/>
      <c r="AF85" s="317"/>
      <c r="AG85" s="317"/>
      <c r="AH85" s="109"/>
      <c r="AI85" s="433"/>
      <c r="AJ85" s="317"/>
      <c r="AK85" s="317"/>
      <c r="AL85" s="317"/>
      <c r="AM85" s="317"/>
      <c r="AN85" s="317"/>
      <c r="AO85" s="317"/>
      <c r="AP85" s="317"/>
      <c r="AQ85" s="317"/>
      <c r="AR85" s="317"/>
      <c r="AS85" s="317"/>
      <c r="AT85" s="317"/>
      <c r="AU85" s="317">
        <v>0.12763021947560516</v>
      </c>
      <c r="AV85" s="317">
        <v>3.2526454053374287E-2</v>
      </c>
      <c r="AW85" s="317">
        <v>1.5495996537098655E-2</v>
      </c>
      <c r="AX85" s="317">
        <v>3.4618473771561575E-2</v>
      </c>
      <c r="AY85" s="317">
        <v>5.3163200536522126E-2</v>
      </c>
      <c r="AZ85" s="317"/>
      <c r="BA85" s="317"/>
      <c r="BB85" s="317"/>
      <c r="BC85" s="317"/>
      <c r="BD85" s="317"/>
      <c r="BE85" s="317"/>
      <c r="BF85" s="317"/>
      <c r="BG85" s="317"/>
      <c r="BH85" s="317"/>
      <c r="BI85" s="317"/>
      <c r="BJ85" s="317"/>
      <c r="BK85" s="317"/>
      <c r="BL85" s="433"/>
      <c r="BM85" s="317"/>
      <c r="BN85" s="317"/>
      <c r="BO85" s="317"/>
      <c r="BP85" s="433"/>
      <c r="BQ85" s="317"/>
      <c r="BR85" s="317"/>
      <c r="BS85" s="317"/>
      <c r="BT85" s="433"/>
      <c r="BU85" s="317"/>
      <c r="BV85" s="317"/>
      <c r="BW85" s="317"/>
      <c r="BX85" s="433"/>
      <c r="BY85" s="317"/>
      <c r="BZ85" s="317"/>
      <c r="CA85" s="317"/>
      <c r="CB85" s="433"/>
      <c r="CC85" s="317"/>
      <c r="CD85" s="317"/>
      <c r="CE85" s="317"/>
      <c r="CF85" s="433"/>
      <c r="CG85" s="317"/>
      <c r="CH85" s="317"/>
      <c r="CI85" s="317"/>
      <c r="CJ85" s="433"/>
      <c r="CK85" s="317"/>
      <c r="CL85" s="317"/>
      <c r="CM85" s="317"/>
      <c r="CN85" s="433"/>
      <c r="CO85" s="317"/>
      <c r="CP85" s="317"/>
      <c r="CQ85" s="318"/>
      <c r="CR85" s="317"/>
      <c r="CS85" s="317"/>
      <c r="CT85" s="317"/>
      <c r="CU85" s="317"/>
      <c r="CV85" s="433"/>
      <c r="CW85" s="317"/>
      <c r="CX85" s="317"/>
      <c r="CY85" s="317"/>
      <c r="CZ85" s="433"/>
      <c r="DA85" s="1083"/>
      <c r="DB85" s="1083"/>
      <c r="DC85" s="318"/>
      <c r="DD85" s="433"/>
      <c r="DE85" s="1083"/>
      <c r="DF85" s="1083"/>
      <c r="DG85" s="318"/>
      <c r="DH85" s="1083"/>
      <c r="DI85" s="1083"/>
      <c r="DJ85" s="1083"/>
      <c r="DK85" s="318"/>
      <c r="DL85" s="1083"/>
      <c r="DM85" s="1083"/>
      <c r="DN85" s="1083"/>
      <c r="DO85" s="318"/>
      <c r="DP85" s="1083"/>
      <c r="DQ85" s="1083"/>
      <c r="DR85" s="1083"/>
      <c r="DS85" s="318"/>
      <c r="DT85" s="317"/>
    </row>
    <row r="86" spans="1:124">
      <c r="A86" s="109"/>
      <c r="B86" s="109"/>
      <c r="C86" s="109"/>
      <c r="D86" s="109"/>
      <c r="E86" s="109"/>
      <c r="F86" s="109"/>
      <c r="G86" s="109"/>
      <c r="H86" s="109"/>
      <c r="I86" s="109"/>
      <c r="J86" s="109"/>
      <c r="K86" s="109"/>
      <c r="L86" s="109"/>
      <c r="M86" s="109"/>
      <c r="N86" s="109"/>
      <c r="O86" s="109"/>
      <c r="P86" s="109"/>
      <c r="Q86" s="1044"/>
      <c r="R86" s="109"/>
      <c r="S86" s="109"/>
      <c r="T86" s="1044"/>
      <c r="U86" s="1044"/>
      <c r="V86" s="109"/>
      <c r="W86" s="109"/>
      <c r="X86" s="109"/>
      <c r="Y86" s="109"/>
      <c r="Z86" s="109"/>
      <c r="AA86" s="109"/>
      <c r="AB86" s="109"/>
      <c r="AC86" s="109"/>
      <c r="AD86" s="109"/>
      <c r="AE86" s="109"/>
      <c r="AF86" s="109"/>
      <c r="AG86" s="109"/>
      <c r="AH86" s="109"/>
      <c r="AI86" s="171"/>
      <c r="AJ86" s="109"/>
      <c r="AK86" s="109"/>
      <c r="AL86" s="109"/>
      <c r="AM86" s="109"/>
      <c r="AN86" s="109"/>
      <c r="AO86" s="109"/>
      <c r="AP86" s="109"/>
      <c r="AQ86" s="109"/>
      <c r="AR86" s="109"/>
      <c r="AS86" s="109"/>
      <c r="AT86" s="109"/>
      <c r="AU86" s="109"/>
      <c r="AV86" s="109"/>
      <c r="AW86" s="109"/>
      <c r="AX86" s="109"/>
      <c r="AY86" s="109"/>
      <c r="AZ86" s="109"/>
      <c r="BA86" s="109"/>
      <c r="BB86" s="109"/>
      <c r="BC86" s="109"/>
      <c r="BD86" s="109"/>
      <c r="BE86" s="109"/>
      <c r="BF86" s="109"/>
      <c r="BG86" s="109"/>
      <c r="BH86" s="109"/>
      <c r="BI86" s="109"/>
      <c r="BJ86" s="109"/>
      <c r="BK86" s="109"/>
      <c r="BL86" s="171"/>
      <c r="BM86" s="109"/>
      <c r="BN86" s="109"/>
      <c r="BO86" s="109"/>
      <c r="BP86" s="171"/>
      <c r="BQ86" s="109"/>
      <c r="BR86" s="109"/>
      <c r="BS86" s="109"/>
      <c r="BT86" s="171"/>
      <c r="BU86" s="109"/>
      <c r="BV86" s="109"/>
      <c r="BW86" s="109"/>
      <c r="BX86" s="171"/>
      <c r="BY86" s="109"/>
      <c r="BZ86" s="109"/>
      <c r="CA86" s="109"/>
      <c r="CB86" s="171"/>
      <c r="CC86" s="109"/>
      <c r="CD86" s="109"/>
      <c r="CE86" s="109"/>
      <c r="CF86" s="171"/>
      <c r="CG86" s="109"/>
      <c r="CH86" s="109"/>
      <c r="CI86" s="109"/>
      <c r="CJ86" s="171"/>
      <c r="CK86" s="109"/>
      <c r="CL86" s="109"/>
      <c r="CM86" s="109"/>
      <c r="CN86" s="171"/>
      <c r="CO86" s="109"/>
      <c r="CP86" s="109"/>
      <c r="CQ86" s="172"/>
      <c r="CR86" s="109"/>
      <c r="CS86" s="109"/>
      <c r="CT86" s="109"/>
      <c r="CU86" s="109"/>
      <c r="CV86" s="171"/>
      <c r="CW86" s="109"/>
      <c r="CX86" s="109"/>
      <c r="CY86" s="109"/>
      <c r="CZ86" s="171"/>
      <c r="DA86" s="1044"/>
      <c r="DB86" s="1044"/>
      <c r="DC86" s="172"/>
      <c r="DD86" s="171"/>
      <c r="DE86" s="1044"/>
      <c r="DF86" s="1044"/>
      <c r="DG86" s="172"/>
      <c r="DH86" s="1044"/>
      <c r="DI86" s="1044"/>
      <c r="DJ86" s="1044"/>
      <c r="DK86" s="172"/>
      <c r="DL86" s="1044"/>
      <c r="DM86" s="1044"/>
      <c r="DN86" s="1044"/>
      <c r="DO86" s="172"/>
      <c r="DP86" s="1044"/>
      <c r="DQ86" s="1044"/>
      <c r="DR86" s="1044"/>
      <c r="DS86" s="172"/>
      <c r="DT86" s="109"/>
    </row>
    <row r="87" spans="1:124">
      <c r="A87" s="169" t="s">
        <v>1439</v>
      </c>
      <c r="B87" s="169"/>
      <c r="C87" s="169"/>
      <c r="D87" s="169"/>
      <c r="E87" s="169"/>
      <c r="F87" s="169"/>
      <c r="G87" s="169"/>
      <c r="H87" s="169"/>
      <c r="I87" s="169"/>
      <c r="J87" s="169"/>
      <c r="K87" s="169"/>
      <c r="L87" s="169"/>
      <c r="M87" s="169"/>
      <c r="N87" s="169"/>
      <c r="O87" s="169"/>
      <c r="P87" s="169"/>
      <c r="Q87" s="1051"/>
      <c r="R87" s="169"/>
      <c r="S87" s="169"/>
      <c r="T87" s="1051"/>
      <c r="U87" s="1051"/>
      <c r="V87" s="169"/>
      <c r="W87" s="169"/>
      <c r="X87" s="169"/>
      <c r="Y87" s="169"/>
      <c r="Z87" s="169"/>
      <c r="AA87" s="169"/>
      <c r="AB87" s="169"/>
      <c r="AC87" s="169"/>
      <c r="AD87" s="169"/>
      <c r="AE87" s="169"/>
      <c r="AF87" s="169"/>
      <c r="AG87" s="169"/>
      <c r="AH87" s="109"/>
      <c r="AI87" s="178"/>
      <c r="AJ87" s="169"/>
      <c r="AK87" s="169"/>
      <c r="AL87" s="169"/>
      <c r="AM87" s="169"/>
      <c r="AN87" s="169"/>
      <c r="AO87" s="169"/>
      <c r="AP87" s="169"/>
      <c r="AQ87" s="169"/>
      <c r="AR87" s="169"/>
      <c r="AS87" s="169"/>
      <c r="AT87" s="169"/>
      <c r="AU87" s="169"/>
      <c r="AV87" s="169"/>
      <c r="AW87" s="169"/>
      <c r="AX87" s="169"/>
      <c r="AY87" s="169"/>
      <c r="AZ87" s="169"/>
      <c r="BA87" s="169"/>
      <c r="BB87" s="169"/>
      <c r="BC87" s="169"/>
      <c r="BD87" s="169"/>
      <c r="BE87" s="169"/>
      <c r="BF87" s="169"/>
      <c r="BG87" s="169"/>
      <c r="BH87" s="169"/>
      <c r="BI87" s="169"/>
      <c r="BJ87" s="169"/>
      <c r="BK87" s="169"/>
      <c r="BL87" s="178"/>
      <c r="BM87" s="169"/>
      <c r="BN87" s="169"/>
      <c r="BO87" s="169"/>
      <c r="BP87" s="178"/>
      <c r="BQ87" s="169"/>
      <c r="BR87" s="169"/>
      <c r="BS87" s="169"/>
      <c r="BT87" s="178"/>
      <c r="BU87" s="169"/>
      <c r="BV87" s="169"/>
      <c r="BW87" s="169"/>
      <c r="BX87" s="178"/>
      <c r="BY87" s="169"/>
      <c r="BZ87" s="169"/>
      <c r="CA87" s="169"/>
      <c r="CB87" s="178"/>
      <c r="CC87" s="169"/>
      <c r="CD87" s="169"/>
      <c r="CE87" s="169"/>
      <c r="CF87" s="178"/>
      <c r="CG87" s="169"/>
      <c r="CH87" s="169"/>
      <c r="CI87" s="169"/>
      <c r="CJ87" s="178"/>
      <c r="CK87" s="169"/>
      <c r="CL87" s="169"/>
      <c r="CM87" s="169"/>
      <c r="CN87" s="178"/>
      <c r="CO87" s="169"/>
      <c r="CP87" s="169"/>
      <c r="CQ87" s="179"/>
      <c r="CR87" s="169"/>
      <c r="CS87" s="169"/>
      <c r="CT87" s="169"/>
      <c r="CU87" s="169"/>
      <c r="CV87" s="178"/>
      <c r="CW87" s="169"/>
      <c r="CX87" s="169"/>
      <c r="CY87" s="169"/>
      <c r="CZ87" s="178"/>
      <c r="DA87" s="1051"/>
      <c r="DB87" s="1051"/>
      <c r="DC87" s="179"/>
      <c r="DD87" s="178"/>
      <c r="DE87" s="1051"/>
      <c r="DF87" s="1051"/>
      <c r="DG87" s="179"/>
      <c r="DH87" s="1051"/>
      <c r="DI87" s="1051"/>
      <c r="DJ87" s="1051"/>
      <c r="DK87" s="179"/>
      <c r="DL87" s="1051"/>
      <c r="DM87" s="1051"/>
      <c r="DN87" s="1051"/>
      <c r="DO87" s="179"/>
      <c r="DP87" s="1051"/>
      <c r="DQ87" s="1051"/>
      <c r="DR87" s="1051"/>
      <c r="DS87" s="179"/>
      <c r="DT87" s="169"/>
    </row>
    <row r="88" spans="1:124">
      <c r="A88" s="167" t="s">
        <v>948</v>
      </c>
      <c r="B88" s="109"/>
      <c r="C88" s="109"/>
      <c r="D88" s="109"/>
      <c r="E88" s="109"/>
      <c r="F88" s="109"/>
      <c r="G88" s="109"/>
      <c r="H88" s="109"/>
      <c r="I88" s="109"/>
      <c r="J88" s="109"/>
      <c r="K88" s="109"/>
      <c r="L88" s="109">
        <v>7452</v>
      </c>
      <c r="M88" s="109"/>
      <c r="N88" s="109"/>
      <c r="O88" s="109"/>
      <c r="P88" s="109"/>
      <c r="Q88" s="1044"/>
      <c r="R88" s="109"/>
      <c r="S88" s="109"/>
      <c r="T88" s="1044"/>
      <c r="U88" s="1044"/>
      <c r="V88" s="109"/>
      <c r="W88" s="109"/>
      <c r="X88" s="109"/>
      <c r="Y88" s="109"/>
      <c r="Z88" s="109"/>
      <c r="AA88" s="109"/>
      <c r="AB88" s="109"/>
      <c r="AC88" s="109"/>
      <c r="AD88" s="109"/>
      <c r="AE88" s="109"/>
      <c r="AF88" s="109"/>
      <c r="AG88" s="109"/>
      <c r="AH88" s="109"/>
      <c r="AI88" s="171"/>
      <c r="AJ88" s="109"/>
      <c r="AK88" s="109"/>
      <c r="AL88" s="109"/>
      <c r="AM88" s="109"/>
      <c r="AN88" s="109"/>
      <c r="AO88" s="109"/>
      <c r="AP88" s="109"/>
      <c r="AQ88" s="109"/>
      <c r="AR88" s="109"/>
      <c r="AS88" s="109"/>
      <c r="AT88" s="109"/>
      <c r="AU88" s="109"/>
      <c r="AV88" s="109"/>
      <c r="AW88" s="109"/>
      <c r="AX88" s="109"/>
      <c r="AY88" s="109"/>
      <c r="AZ88" s="109"/>
      <c r="BA88" s="109"/>
      <c r="BB88" s="109"/>
      <c r="BC88" s="109"/>
      <c r="BD88" s="109"/>
      <c r="BE88" s="109"/>
      <c r="BF88" s="109"/>
      <c r="BG88" s="109"/>
      <c r="BH88" s="109"/>
      <c r="BI88" s="109"/>
      <c r="BJ88" s="109"/>
      <c r="BK88" s="109"/>
      <c r="BL88" s="171"/>
      <c r="BM88" s="109"/>
      <c r="BN88" s="109"/>
      <c r="BO88" s="109"/>
      <c r="BP88" s="171"/>
      <c r="BQ88" s="109"/>
      <c r="BR88" s="109"/>
      <c r="BS88" s="109"/>
      <c r="BT88" s="171"/>
      <c r="BU88" s="109"/>
      <c r="BV88" s="109"/>
      <c r="BW88" s="109"/>
      <c r="BX88" s="171"/>
      <c r="BY88" s="109"/>
      <c r="BZ88" s="109"/>
      <c r="CA88" s="109"/>
      <c r="CB88" s="171"/>
      <c r="CC88" s="109"/>
      <c r="CD88" s="109"/>
      <c r="CE88" s="109"/>
      <c r="CF88" s="171"/>
      <c r="CG88" s="109"/>
      <c r="CH88" s="109"/>
      <c r="CI88" s="109"/>
      <c r="CJ88" s="171"/>
      <c r="CK88" s="109"/>
      <c r="CL88" s="109"/>
      <c r="CM88" s="109"/>
      <c r="CN88" s="171"/>
      <c r="CO88" s="109"/>
      <c r="CP88" s="109"/>
      <c r="CQ88" s="172"/>
      <c r="CR88" s="109"/>
      <c r="CS88" s="109"/>
      <c r="CT88" s="109"/>
      <c r="CU88" s="109"/>
      <c r="CV88" s="171"/>
      <c r="CW88" s="109"/>
      <c r="CX88" s="109"/>
      <c r="CY88" s="109"/>
      <c r="CZ88" s="171"/>
      <c r="DA88" s="1044"/>
      <c r="DB88" s="1044"/>
      <c r="DC88" s="172"/>
      <c r="DD88" s="171"/>
      <c r="DE88" s="1044"/>
      <c r="DF88" s="1044"/>
      <c r="DG88" s="172"/>
      <c r="DH88" s="1044"/>
      <c r="DI88" s="1044"/>
      <c r="DJ88" s="1044"/>
      <c r="DK88" s="172"/>
      <c r="DL88" s="1044"/>
      <c r="DM88" s="1044"/>
      <c r="DN88" s="1044"/>
      <c r="DO88" s="172"/>
      <c r="DP88" s="1044"/>
      <c r="DQ88" s="1044"/>
      <c r="DR88" s="1044"/>
      <c r="DS88" s="172"/>
      <c r="DT88" s="109"/>
    </row>
    <row r="89" spans="1:124">
      <c r="A89" s="167" t="s">
        <v>951</v>
      </c>
      <c r="B89" s="109"/>
      <c r="C89" s="109"/>
      <c r="D89" s="109"/>
      <c r="E89" s="109"/>
      <c r="F89" s="109"/>
      <c r="G89" s="109"/>
      <c r="H89" s="109"/>
      <c r="I89" s="109"/>
      <c r="J89" s="109"/>
      <c r="K89" s="109"/>
      <c r="L89" s="109">
        <v>4691</v>
      </c>
      <c r="M89" s="109"/>
      <c r="N89" s="109"/>
      <c r="O89" s="109"/>
      <c r="P89" s="109"/>
      <c r="Q89" s="1044"/>
      <c r="R89" s="109"/>
      <c r="S89" s="109"/>
      <c r="T89" s="1044"/>
      <c r="U89" s="1044"/>
      <c r="V89" s="109"/>
      <c r="W89" s="109"/>
      <c r="X89" s="109"/>
      <c r="Y89" s="109"/>
      <c r="Z89" s="109"/>
      <c r="AA89" s="109"/>
      <c r="AB89" s="109"/>
      <c r="AC89" s="109"/>
      <c r="AD89" s="109"/>
      <c r="AE89" s="109"/>
      <c r="AF89" s="109"/>
      <c r="AG89" s="109"/>
      <c r="AH89" s="109"/>
      <c r="AI89" s="171"/>
      <c r="AJ89" s="109"/>
      <c r="AK89" s="109"/>
      <c r="AL89" s="109"/>
      <c r="AM89" s="109"/>
      <c r="AN89" s="109"/>
      <c r="AO89" s="109"/>
      <c r="AP89" s="109"/>
      <c r="AQ89" s="109"/>
      <c r="AR89" s="109"/>
      <c r="AS89" s="109"/>
      <c r="AT89" s="109"/>
      <c r="AU89" s="109"/>
      <c r="AV89" s="109"/>
      <c r="AW89" s="109"/>
      <c r="AX89" s="109"/>
      <c r="AY89" s="109"/>
      <c r="AZ89" s="109"/>
      <c r="BA89" s="109"/>
      <c r="BB89" s="109"/>
      <c r="BC89" s="109"/>
      <c r="BD89" s="109"/>
      <c r="BE89" s="109"/>
      <c r="BF89" s="109"/>
      <c r="BG89" s="109"/>
      <c r="BH89" s="109"/>
      <c r="BI89" s="109"/>
      <c r="BJ89" s="109"/>
      <c r="BK89" s="109"/>
      <c r="BL89" s="171"/>
      <c r="BM89" s="109"/>
      <c r="BN89" s="109"/>
      <c r="BO89" s="109"/>
      <c r="BP89" s="171"/>
      <c r="BQ89" s="109"/>
      <c r="BR89" s="109"/>
      <c r="BS89" s="109"/>
      <c r="BT89" s="171"/>
      <c r="BU89" s="109"/>
      <c r="BV89" s="109"/>
      <c r="BW89" s="109"/>
      <c r="BX89" s="171"/>
      <c r="BY89" s="109"/>
      <c r="BZ89" s="109"/>
      <c r="CA89" s="109"/>
      <c r="CB89" s="171"/>
      <c r="CC89" s="109"/>
      <c r="CD89" s="109"/>
      <c r="CE89" s="109"/>
      <c r="CF89" s="171"/>
      <c r="CG89" s="109"/>
      <c r="CH89" s="109"/>
      <c r="CI89" s="109"/>
      <c r="CJ89" s="171"/>
      <c r="CK89" s="109"/>
      <c r="CL89" s="109"/>
      <c r="CM89" s="109"/>
      <c r="CN89" s="171"/>
      <c r="CO89" s="109"/>
      <c r="CP89" s="109"/>
      <c r="CQ89" s="172"/>
      <c r="CR89" s="109"/>
      <c r="CS89" s="109"/>
      <c r="CT89" s="109"/>
      <c r="CU89" s="109"/>
      <c r="CV89" s="171"/>
      <c r="CW89" s="109"/>
      <c r="CX89" s="109"/>
      <c r="CY89" s="109"/>
      <c r="CZ89" s="171"/>
      <c r="DA89" s="1044"/>
      <c r="DB89" s="1044"/>
      <c r="DC89" s="172"/>
      <c r="DD89" s="171"/>
      <c r="DE89" s="1044"/>
      <c r="DF89" s="1044"/>
      <c r="DG89" s="172"/>
      <c r="DH89" s="1044"/>
      <c r="DI89" s="1044"/>
      <c r="DJ89" s="1044"/>
      <c r="DK89" s="172"/>
      <c r="DL89" s="1044"/>
      <c r="DM89" s="1044"/>
      <c r="DN89" s="1044"/>
      <c r="DO89" s="172"/>
      <c r="DP89" s="1044"/>
      <c r="DQ89" s="1044"/>
      <c r="DR89" s="1044"/>
      <c r="DS89" s="172"/>
      <c r="DT89" s="109"/>
    </row>
    <row r="90" spans="1:124">
      <c r="A90" s="167" t="s">
        <v>953</v>
      </c>
      <c r="B90" s="109"/>
      <c r="C90" s="109"/>
      <c r="D90" s="109"/>
      <c r="E90" s="109"/>
      <c r="F90" s="109"/>
      <c r="G90" s="109"/>
      <c r="H90" s="109"/>
      <c r="I90" s="109"/>
      <c r="J90" s="109"/>
      <c r="K90" s="109"/>
      <c r="L90" s="109">
        <v>409</v>
      </c>
      <c r="M90" s="109"/>
      <c r="N90" s="109"/>
      <c r="O90" s="109"/>
      <c r="P90" s="109"/>
      <c r="Q90" s="1044"/>
      <c r="R90" s="109"/>
      <c r="S90" s="109"/>
      <c r="T90" s="1044"/>
      <c r="U90" s="1044"/>
      <c r="V90" s="109"/>
      <c r="W90" s="109"/>
      <c r="X90" s="109"/>
      <c r="Y90" s="109"/>
      <c r="Z90" s="109"/>
      <c r="AA90" s="109"/>
      <c r="AB90" s="109"/>
      <c r="AC90" s="109"/>
      <c r="AD90" s="109"/>
      <c r="AE90" s="109"/>
      <c r="AF90" s="109"/>
      <c r="AG90" s="109"/>
      <c r="AH90" s="109"/>
      <c r="AI90" s="171"/>
      <c r="AJ90" s="109"/>
      <c r="AK90" s="109"/>
      <c r="AL90" s="109"/>
      <c r="AM90" s="109"/>
      <c r="AN90" s="109"/>
      <c r="AO90" s="109"/>
      <c r="AP90" s="109"/>
      <c r="AQ90" s="109"/>
      <c r="AR90" s="109"/>
      <c r="AS90" s="109"/>
      <c r="AT90" s="109"/>
      <c r="AU90" s="109"/>
      <c r="AV90" s="109"/>
      <c r="AW90" s="109"/>
      <c r="AX90" s="109"/>
      <c r="AY90" s="109"/>
      <c r="AZ90" s="109"/>
      <c r="BA90" s="109"/>
      <c r="BB90" s="109"/>
      <c r="BC90" s="109"/>
      <c r="BD90" s="109"/>
      <c r="BE90" s="109"/>
      <c r="BF90" s="109"/>
      <c r="BG90" s="109"/>
      <c r="BH90" s="109"/>
      <c r="BI90" s="109"/>
      <c r="BJ90" s="109"/>
      <c r="BK90" s="109"/>
      <c r="BL90" s="171"/>
      <c r="BM90" s="109"/>
      <c r="BN90" s="109"/>
      <c r="BO90" s="109"/>
      <c r="BP90" s="171"/>
      <c r="BQ90" s="109"/>
      <c r="BR90" s="109"/>
      <c r="BS90" s="109"/>
      <c r="BT90" s="171"/>
      <c r="BU90" s="109"/>
      <c r="BV90" s="109"/>
      <c r="BW90" s="109"/>
      <c r="BX90" s="171"/>
      <c r="BY90" s="109"/>
      <c r="BZ90" s="109"/>
      <c r="CA90" s="109"/>
      <c r="CB90" s="171"/>
      <c r="CC90" s="109"/>
      <c r="CD90" s="109"/>
      <c r="CE90" s="109"/>
      <c r="CF90" s="171"/>
      <c r="CG90" s="109"/>
      <c r="CH90" s="109"/>
      <c r="CI90" s="109"/>
      <c r="CJ90" s="171"/>
      <c r="CK90" s="109"/>
      <c r="CL90" s="109"/>
      <c r="CM90" s="109"/>
      <c r="CN90" s="171"/>
      <c r="CO90" s="109"/>
      <c r="CP90" s="109"/>
      <c r="CQ90" s="172"/>
      <c r="CR90" s="109"/>
      <c r="CS90" s="109"/>
      <c r="CT90" s="109"/>
      <c r="CU90" s="109"/>
      <c r="CV90" s="171"/>
      <c r="CW90" s="109"/>
      <c r="CX90" s="109"/>
      <c r="CY90" s="109"/>
      <c r="CZ90" s="171"/>
      <c r="DA90" s="1044"/>
      <c r="DB90" s="1044"/>
      <c r="DC90" s="172"/>
      <c r="DD90" s="171"/>
      <c r="DE90" s="1044"/>
      <c r="DF90" s="1044"/>
      <c r="DG90" s="172"/>
      <c r="DH90" s="1044"/>
      <c r="DI90" s="1044"/>
      <c r="DJ90" s="1044"/>
      <c r="DK90" s="172"/>
      <c r="DL90" s="1044"/>
      <c r="DM90" s="1044"/>
      <c r="DN90" s="1044"/>
      <c r="DO90" s="172"/>
      <c r="DP90" s="1044"/>
      <c r="DQ90" s="1044"/>
      <c r="DR90" s="1044"/>
      <c r="DS90" s="172"/>
      <c r="DT90" s="109"/>
    </row>
    <row r="91" spans="1:124">
      <c r="A91" s="167" t="s">
        <v>1434</v>
      </c>
      <c r="B91" s="109"/>
      <c r="C91" s="109"/>
      <c r="D91" s="109"/>
      <c r="E91" s="109"/>
      <c r="F91" s="109"/>
      <c r="G91" s="109"/>
      <c r="H91" s="109"/>
      <c r="I91" s="109"/>
      <c r="J91" s="109"/>
      <c r="K91" s="109"/>
      <c r="L91" s="109">
        <v>1638</v>
      </c>
      <c r="M91" s="109"/>
      <c r="N91" s="109"/>
      <c r="O91" s="109"/>
      <c r="P91" s="109"/>
      <c r="Q91" s="1044"/>
      <c r="R91" s="109"/>
      <c r="S91" s="109"/>
      <c r="T91" s="1044"/>
      <c r="U91" s="1044"/>
      <c r="V91" s="109"/>
      <c r="W91" s="109"/>
      <c r="X91" s="109"/>
      <c r="Y91" s="109"/>
      <c r="Z91" s="109"/>
      <c r="AA91" s="109"/>
      <c r="AB91" s="109"/>
      <c r="AC91" s="109"/>
      <c r="AD91" s="109"/>
      <c r="AE91" s="109"/>
      <c r="AF91" s="109"/>
      <c r="AG91" s="109"/>
      <c r="AH91" s="109"/>
      <c r="AI91" s="171"/>
      <c r="AJ91" s="109"/>
      <c r="AK91" s="109"/>
      <c r="AL91" s="109"/>
      <c r="AM91" s="109"/>
      <c r="AN91" s="109"/>
      <c r="AO91" s="109"/>
      <c r="AP91" s="109"/>
      <c r="AQ91" s="109"/>
      <c r="AR91" s="109"/>
      <c r="AS91" s="109"/>
      <c r="AT91" s="109"/>
      <c r="AU91" s="109"/>
      <c r="AV91" s="109"/>
      <c r="AW91" s="109"/>
      <c r="AX91" s="109"/>
      <c r="AY91" s="109"/>
      <c r="AZ91" s="109"/>
      <c r="BA91" s="109"/>
      <c r="BB91" s="109"/>
      <c r="BC91" s="109"/>
      <c r="BD91" s="109"/>
      <c r="BE91" s="109"/>
      <c r="BF91" s="109"/>
      <c r="BG91" s="109"/>
      <c r="BH91" s="109"/>
      <c r="BI91" s="109"/>
      <c r="BJ91" s="109"/>
      <c r="BK91" s="109"/>
      <c r="BL91" s="171"/>
      <c r="BM91" s="109"/>
      <c r="BN91" s="109"/>
      <c r="BO91" s="109"/>
      <c r="BP91" s="171"/>
      <c r="BQ91" s="109"/>
      <c r="BR91" s="109"/>
      <c r="BS91" s="109"/>
      <c r="BT91" s="171"/>
      <c r="BU91" s="109"/>
      <c r="BV91" s="109"/>
      <c r="BW91" s="109"/>
      <c r="BX91" s="171"/>
      <c r="BY91" s="109"/>
      <c r="BZ91" s="109"/>
      <c r="CA91" s="109"/>
      <c r="CB91" s="171"/>
      <c r="CC91" s="109"/>
      <c r="CD91" s="109"/>
      <c r="CE91" s="109"/>
      <c r="CF91" s="171"/>
      <c r="CG91" s="109"/>
      <c r="CH91" s="109"/>
      <c r="CI91" s="109"/>
      <c r="CJ91" s="171"/>
      <c r="CK91" s="109"/>
      <c r="CL91" s="109"/>
      <c r="CM91" s="109"/>
      <c r="CN91" s="171"/>
      <c r="CO91" s="109"/>
      <c r="CP91" s="109"/>
      <c r="CQ91" s="172"/>
      <c r="CR91" s="109"/>
      <c r="CS91" s="109"/>
      <c r="CT91" s="109"/>
      <c r="CU91" s="109"/>
      <c r="CV91" s="171"/>
      <c r="CW91" s="109"/>
      <c r="CX91" s="109"/>
      <c r="CY91" s="109"/>
      <c r="CZ91" s="171"/>
      <c r="DA91" s="1044"/>
      <c r="DB91" s="1044"/>
      <c r="DC91" s="172"/>
      <c r="DD91" s="171"/>
      <c r="DE91" s="1044"/>
      <c r="DF91" s="1044"/>
      <c r="DG91" s="172"/>
      <c r="DH91" s="1044"/>
      <c r="DI91" s="1044"/>
      <c r="DJ91" s="1044"/>
      <c r="DK91" s="172"/>
      <c r="DL91" s="1044"/>
      <c r="DM91" s="1044"/>
      <c r="DN91" s="1044"/>
      <c r="DO91" s="172"/>
      <c r="DP91" s="1044"/>
      <c r="DQ91" s="1044"/>
      <c r="DR91" s="1044"/>
      <c r="DS91" s="172"/>
      <c r="DT91" s="109"/>
    </row>
    <row r="92" spans="1:124">
      <c r="A92" s="167" t="s">
        <v>955</v>
      </c>
      <c r="B92" s="109"/>
      <c r="C92" s="109"/>
      <c r="D92" s="109"/>
      <c r="E92" s="109"/>
      <c r="F92" s="109"/>
      <c r="G92" s="109"/>
      <c r="H92" s="109"/>
      <c r="I92" s="109"/>
      <c r="J92" s="109"/>
      <c r="K92" s="109"/>
      <c r="L92" s="109"/>
      <c r="M92" s="109"/>
      <c r="N92" s="109"/>
      <c r="O92" s="109"/>
      <c r="P92" s="109"/>
      <c r="Q92" s="1044"/>
      <c r="R92" s="109"/>
      <c r="S92" s="109"/>
      <c r="T92" s="1044"/>
      <c r="U92" s="1044"/>
      <c r="V92" s="109"/>
      <c r="W92" s="109"/>
      <c r="X92" s="109"/>
      <c r="Y92" s="109"/>
      <c r="Z92" s="109"/>
      <c r="AA92" s="109"/>
      <c r="AB92" s="109"/>
      <c r="AC92" s="109"/>
      <c r="AD92" s="109"/>
      <c r="AE92" s="109"/>
      <c r="AF92" s="109"/>
      <c r="AG92" s="109"/>
      <c r="AH92" s="109"/>
      <c r="AI92" s="171"/>
      <c r="AJ92" s="109"/>
      <c r="AK92" s="109"/>
      <c r="AL92" s="109"/>
      <c r="AM92" s="109"/>
      <c r="AN92" s="109"/>
      <c r="AO92" s="109"/>
      <c r="AP92" s="109"/>
      <c r="AQ92" s="109"/>
      <c r="AR92" s="109"/>
      <c r="AS92" s="109"/>
      <c r="AT92" s="109"/>
      <c r="AU92" s="109"/>
      <c r="AV92" s="109"/>
      <c r="AW92" s="109"/>
      <c r="AX92" s="109"/>
      <c r="AY92" s="109"/>
      <c r="AZ92" s="109"/>
      <c r="BA92" s="109"/>
      <c r="BB92" s="109"/>
      <c r="BC92" s="109"/>
      <c r="BD92" s="109"/>
      <c r="BE92" s="109"/>
      <c r="BF92" s="109"/>
      <c r="BG92" s="109"/>
      <c r="BH92" s="109"/>
      <c r="BI92" s="109"/>
      <c r="BJ92" s="109"/>
      <c r="BK92" s="109"/>
      <c r="BL92" s="171"/>
      <c r="BM92" s="109"/>
      <c r="BN92" s="109"/>
      <c r="BO92" s="109"/>
      <c r="BP92" s="171"/>
      <c r="BQ92" s="109"/>
      <c r="BR92" s="109"/>
      <c r="BS92" s="109"/>
      <c r="BT92" s="171"/>
      <c r="BU92" s="109"/>
      <c r="BV92" s="109"/>
      <c r="BW92" s="109"/>
      <c r="BX92" s="171"/>
      <c r="BY92" s="109"/>
      <c r="BZ92" s="109"/>
      <c r="CA92" s="109"/>
      <c r="CB92" s="171"/>
      <c r="CC92" s="109"/>
      <c r="CD92" s="109"/>
      <c r="CE92" s="109"/>
      <c r="CF92" s="171"/>
      <c r="CG92" s="109"/>
      <c r="CH92" s="109"/>
      <c r="CI92" s="109"/>
      <c r="CJ92" s="171"/>
      <c r="CK92" s="109"/>
      <c r="CL92" s="109"/>
      <c r="CM92" s="109"/>
      <c r="CN92" s="171"/>
      <c r="CO92" s="109"/>
      <c r="CP92" s="109"/>
      <c r="CQ92" s="172"/>
      <c r="CR92" s="109"/>
      <c r="CS92" s="109"/>
      <c r="CT92" s="109"/>
      <c r="CU92" s="109"/>
      <c r="CV92" s="171"/>
      <c r="CW92" s="109"/>
      <c r="CX92" s="109"/>
      <c r="CY92" s="109"/>
      <c r="CZ92" s="171"/>
      <c r="DA92" s="1044"/>
      <c r="DB92" s="1044"/>
      <c r="DC92" s="172"/>
      <c r="DD92" s="171"/>
      <c r="DE92" s="1044"/>
      <c r="DF92" s="1044"/>
      <c r="DG92" s="172"/>
      <c r="DH92" s="1044"/>
      <c r="DI92" s="1044"/>
      <c r="DJ92" s="1044"/>
      <c r="DK92" s="172"/>
      <c r="DL92" s="1044"/>
      <c r="DM92" s="1044"/>
      <c r="DN92" s="1044"/>
      <c r="DO92" s="172"/>
      <c r="DP92" s="1044"/>
      <c r="DQ92" s="1044"/>
      <c r="DR92" s="1044"/>
      <c r="DS92" s="172"/>
      <c r="DT92" s="109"/>
    </row>
    <row r="93" spans="1:124">
      <c r="A93" s="109" t="s">
        <v>1040</v>
      </c>
      <c r="B93" s="109"/>
      <c r="C93" s="109"/>
      <c r="D93" s="109"/>
      <c r="E93" s="109"/>
      <c r="F93" s="109"/>
      <c r="G93" s="109"/>
      <c r="H93" s="109"/>
      <c r="I93" s="109"/>
      <c r="J93" s="109"/>
      <c r="K93" s="109"/>
      <c r="L93" s="109">
        <v>14190</v>
      </c>
      <c r="M93" s="109"/>
      <c r="N93" s="109"/>
      <c r="O93" s="109"/>
      <c r="P93" s="109"/>
      <c r="Q93" s="1044"/>
      <c r="R93" s="109"/>
      <c r="S93" s="109"/>
      <c r="T93" s="1044"/>
      <c r="U93" s="1044"/>
      <c r="V93" s="109"/>
      <c r="W93" s="109"/>
      <c r="X93" s="109"/>
      <c r="Y93" s="109"/>
      <c r="Z93" s="109"/>
      <c r="AA93" s="109"/>
      <c r="AB93" s="109"/>
      <c r="AC93" s="109"/>
      <c r="AD93" s="109"/>
      <c r="AE93" s="109"/>
      <c r="AF93" s="109"/>
      <c r="AG93" s="109"/>
      <c r="AH93" s="109"/>
      <c r="AI93" s="171"/>
      <c r="AJ93" s="109"/>
      <c r="AK93" s="109"/>
      <c r="AL93" s="109"/>
      <c r="AM93" s="109"/>
      <c r="AN93" s="109"/>
      <c r="AO93" s="109"/>
      <c r="AP93" s="109"/>
      <c r="AQ93" s="109"/>
      <c r="AR93" s="109"/>
      <c r="AS93" s="109"/>
      <c r="AT93" s="109"/>
      <c r="AU93" s="109"/>
      <c r="AV93" s="109"/>
      <c r="AW93" s="109"/>
      <c r="AX93" s="109"/>
      <c r="AY93" s="109"/>
      <c r="AZ93" s="109"/>
      <c r="BA93" s="109"/>
      <c r="BB93" s="109"/>
      <c r="BC93" s="109"/>
      <c r="BD93" s="109"/>
      <c r="BE93" s="109"/>
      <c r="BF93" s="109"/>
      <c r="BG93" s="109"/>
      <c r="BH93" s="109"/>
      <c r="BI93" s="109"/>
      <c r="BJ93" s="109"/>
      <c r="BK93" s="109"/>
      <c r="BL93" s="171"/>
      <c r="BM93" s="109"/>
      <c r="BN93" s="109"/>
      <c r="BO93" s="109"/>
      <c r="BP93" s="171"/>
      <c r="BQ93" s="109"/>
      <c r="BR93" s="109"/>
      <c r="BS93" s="109"/>
      <c r="BT93" s="171"/>
      <c r="BU93" s="109"/>
      <c r="BV93" s="109"/>
      <c r="BW93" s="109"/>
      <c r="BX93" s="171"/>
      <c r="BY93" s="109"/>
      <c r="BZ93" s="109"/>
      <c r="CA93" s="109"/>
      <c r="CB93" s="171"/>
      <c r="CC93" s="109"/>
      <c r="CD93" s="109"/>
      <c r="CE93" s="109"/>
      <c r="CF93" s="171"/>
      <c r="CG93" s="109"/>
      <c r="CH93" s="109"/>
      <c r="CI93" s="109"/>
      <c r="CJ93" s="171"/>
      <c r="CK93" s="109"/>
      <c r="CL93" s="109"/>
      <c r="CM93" s="109"/>
      <c r="CN93" s="171"/>
      <c r="CO93" s="109"/>
      <c r="CP93" s="109"/>
      <c r="CQ93" s="172"/>
      <c r="CR93" s="109"/>
      <c r="CS93" s="109"/>
      <c r="CT93" s="109"/>
      <c r="CU93" s="109"/>
      <c r="CV93" s="171"/>
      <c r="CW93" s="109"/>
      <c r="CX93" s="109"/>
      <c r="CY93" s="109"/>
      <c r="CZ93" s="171"/>
      <c r="DA93" s="1044"/>
      <c r="DB93" s="1044"/>
      <c r="DC93" s="172"/>
      <c r="DD93" s="171"/>
      <c r="DE93" s="1044"/>
      <c r="DF93" s="1044"/>
      <c r="DG93" s="172"/>
      <c r="DH93" s="1044"/>
      <c r="DI93" s="1044"/>
      <c r="DJ93" s="1044"/>
      <c r="DK93" s="172"/>
      <c r="DL93" s="1044"/>
      <c r="DM93" s="1044"/>
      <c r="DN93" s="1044"/>
      <c r="DO93" s="172"/>
      <c r="DP93" s="1044"/>
      <c r="DQ93" s="1044"/>
      <c r="DR93" s="1044"/>
      <c r="DS93" s="172"/>
      <c r="DT93" s="109"/>
    </row>
    <row r="94" spans="1:124">
      <c r="A94" s="109"/>
      <c r="B94" s="109"/>
      <c r="C94" s="109"/>
      <c r="D94" s="109"/>
      <c r="E94" s="109"/>
      <c r="F94" s="109"/>
      <c r="G94" s="109"/>
      <c r="H94" s="109"/>
      <c r="I94" s="109"/>
      <c r="J94" s="109"/>
      <c r="K94" s="109"/>
      <c r="L94" s="109"/>
      <c r="M94" s="109"/>
      <c r="N94" s="109"/>
      <c r="O94" s="109"/>
      <c r="P94" s="109"/>
      <c r="Q94" s="1044"/>
      <c r="R94" s="109"/>
      <c r="S94" s="109"/>
      <c r="T94" s="1044"/>
      <c r="U94" s="1044"/>
      <c r="V94" s="109"/>
      <c r="W94" s="109"/>
      <c r="X94" s="109"/>
      <c r="Y94" s="109"/>
      <c r="Z94" s="109"/>
      <c r="AA94" s="109"/>
      <c r="AB94" s="109"/>
      <c r="AC94" s="109"/>
      <c r="AD94" s="109"/>
      <c r="AE94" s="109"/>
      <c r="AF94" s="109"/>
      <c r="AG94" s="109"/>
      <c r="AH94" s="109"/>
      <c r="AI94" s="171"/>
      <c r="AJ94" s="109"/>
      <c r="AK94" s="109"/>
      <c r="AL94" s="109"/>
      <c r="AM94" s="109"/>
      <c r="AN94" s="109"/>
      <c r="AO94" s="109"/>
      <c r="AP94" s="109"/>
      <c r="AQ94" s="109"/>
      <c r="AR94" s="109"/>
      <c r="AS94" s="109"/>
      <c r="AT94" s="109"/>
      <c r="AU94" s="109"/>
      <c r="AV94" s="109"/>
      <c r="AW94" s="109"/>
      <c r="AX94" s="109"/>
      <c r="AY94" s="109"/>
      <c r="AZ94" s="109"/>
      <c r="BA94" s="109"/>
      <c r="BB94" s="109"/>
      <c r="BC94" s="109"/>
      <c r="BD94" s="109"/>
      <c r="BE94" s="109"/>
      <c r="BF94" s="109"/>
      <c r="BG94" s="109"/>
      <c r="BH94" s="109"/>
      <c r="BI94" s="109"/>
      <c r="BJ94" s="109"/>
      <c r="BK94" s="109"/>
      <c r="BL94" s="171"/>
      <c r="BM94" s="109"/>
      <c r="BN94" s="109"/>
      <c r="BO94" s="109"/>
      <c r="BP94" s="171"/>
      <c r="BQ94" s="109"/>
      <c r="BR94" s="109"/>
      <c r="BS94" s="109"/>
      <c r="BT94" s="171"/>
      <c r="BU94" s="109"/>
      <c r="BV94" s="109"/>
      <c r="BW94" s="109"/>
      <c r="BX94" s="171"/>
      <c r="BY94" s="109"/>
      <c r="BZ94" s="109"/>
      <c r="CA94" s="109"/>
      <c r="CB94" s="171"/>
      <c r="CC94" s="109"/>
      <c r="CD94" s="109"/>
      <c r="CE94" s="109"/>
      <c r="CF94" s="171"/>
      <c r="CG94" s="109"/>
      <c r="CH94" s="109"/>
      <c r="CI94" s="109"/>
      <c r="CJ94" s="171"/>
      <c r="CK94" s="109"/>
      <c r="CL94" s="109"/>
      <c r="CM94" s="109"/>
      <c r="CN94" s="171"/>
      <c r="CO94" s="109"/>
      <c r="CP94" s="109"/>
      <c r="CQ94" s="172"/>
      <c r="CR94" s="109"/>
      <c r="CS94" s="109"/>
      <c r="CT94" s="109"/>
      <c r="CU94" s="109"/>
      <c r="CV94" s="171"/>
      <c r="CW94" s="109"/>
      <c r="CX94" s="109"/>
      <c r="CY94" s="109"/>
      <c r="CZ94" s="171"/>
      <c r="DA94" s="1044"/>
      <c r="DB94" s="1044"/>
      <c r="DC94" s="172"/>
      <c r="DD94" s="171"/>
      <c r="DE94" s="1044"/>
      <c r="DF94" s="1044"/>
      <c r="DG94" s="172"/>
      <c r="DH94" s="1044"/>
      <c r="DI94" s="1044"/>
      <c r="DJ94" s="1044"/>
      <c r="DK94" s="172"/>
      <c r="DL94" s="1044"/>
      <c r="DM94" s="1044"/>
      <c r="DN94" s="1044"/>
      <c r="DO94" s="172"/>
      <c r="DP94" s="1044"/>
      <c r="DQ94" s="1044"/>
      <c r="DR94" s="1044"/>
      <c r="DS94" s="172"/>
      <c r="DT94" s="109"/>
    </row>
    <row r="95" spans="1:124">
      <c r="A95" s="109"/>
      <c r="B95" s="109"/>
      <c r="C95" s="109"/>
      <c r="D95" s="109"/>
      <c r="E95" s="109"/>
      <c r="F95" s="109"/>
      <c r="G95" s="109"/>
      <c r="H95" s="109"/>
      <c r="I95" s="109"/>
      <c r="J95" s="109"/>
      <c r="K95" s="109"/>
      <c r="L95" s="109"/>
      <c r="M95" s="109"/>
      <c r="N95" s="109"/>
      <c r="O95" s="109"/>
      <c r="P95" s="109"/>
      <c r="Q95" s="1044"/>
      <c r="R95" s="109"/>
      <c r="S95" s="109"/>
      <c r="T95" s="1044"/>
      <c r="U95" s="1044"/>
      <c r="V95" s="109"/>
      <c r="W95" s="109"/>
      <c r="X95" s="109"/>
      <c r="Y95" s="109"/>
      <c r="Z95" s="109"/>
      <c r="AA95" s="109"/>
      <c r="AB95" s="109"/>
      <c r="AC95" s="109"/>
      <c r="AD95" s="109"/>
      <c r="AE95" s="109"/>
      <c r="AF95" s="109"/>
      <c r="AG95" s="109"/>
      <c r="AH95" s="109"/>
      <c r="AI95" s="171"/>
      <c r="AJ95" s="109"/>
      <c r="AK95" s="109"/>
      <c r="AL95" s="109"/>
      <c r="AM95" s="109"/>
      <c r="AN95" s="109"/>
      <c r="AO95" s="109"/>
      <c r="AP95" s="109"/>
      <c r="AQ95" s="109"/>
      <c r="AR95" s="109"/>
      <c r="AS95" s="109"/>
      <c r="AT95" s="109"/>
      <c r="AU95" s="109"/>
      <c r="AV95" s="109"/>
      <c r="AW95" s="109"/>
      <c r="AX95" s="109"/>
      <c r="AY95" s="109"/>
      <c r="AZ95" s="109"/>
      <c r="BA95" s="109"/>
      <c r="BB95" s="109"/>
      <c r="BC95" s="109"/>
      <c r="BD95" s="109"/>
      <c r="BE95" s="109"/>
      <c r="BF95" s="109"/>
      <c r="BG95" s="109"/>
      <c r="BH95" s="109"/>
      <c r="BI95" s="109"/>
      <c r="BJ95" s="109"/>
      <c r="BK95" s="109"/>
      <c r="BL95" s="171"/>
      <c r="BM95" s="109"/>
      <c r="BN95" s="109"/>
      <c r="BO95" s="109"/>
      <c r="BP95" s="171"/>
      <c r="BQ95" s="109"/>
      <c r="BR95" s="109"/>
      <c r="BS95" s="109"/>
      <c r="BT95" s="171"/>
      <c r="BU95" s="109"/>
      <c r="BV95" s="109"/>
      <c r="BW95" s="109"/>
      <c r="BX95" s="171"/>
      <c r="BY95" s="109"/>
      <c r="BZ95" s="109"/>
      <c r="CA95" s="109"/>
      <c r="CB95" s="171"/>
      <c r="CC95" s="109"/>
      <c r="CD95" s="109"/>
      <c r="CE95" s="109"/>
      <c r="CF95" s="171"/>
      <c r="CG95" s="109"/>
      <c r="CH95" s="109"/>
      <c r="CI95" s="109"/>
      <c r="CJ95" s="171"/>
      <c r="CK95" s="109"/>
      <c r="CL95" s="109"/>
      <c r="CM95" s="109"/>
      <c r="CN95" s="171"/>
      <c r="CO95" s="109"/>
      <c r="CP95" s="109"/>
      <c r="CQ95" s="172"/>
      <c r="CR95" s="109"/>
      <c r="CS95" s="109"/>
      <c r="CT95" s="109"/>
      <c r="CU95" s="109"/>
      <c r="CV95" s="171"/>
      <c r="CW95" s="109"/>
      <c r="CX95" s="109"/>
      <c r="CY95" s="109"/>
      <c r="CZ95" s="171"/>
      <c r="DA95" s="1044"/>
      <c r="DB95" s="1044"/>
      <c r="DC95" s="172"/>
      <c r="DD95" s="171"/>
      <c r="DE95" s="1044"/>
      <c r="DF95" s="1044"/>
      <c r="DG95" s="172"/>
      <c r="DH95" s="1044"/>
      <c r="DI95" s="1044"/>
      <c r="DJ95" s="1044"/>
      <c r="DK95" s="172"/>
      <c r="DL95" s="1044"/>
      <c r="DM95" s="1044"/>
      <c r="DN95" s="1044"/>
      <c r="DO95" s="172"/>
      <c r="DP95" s="1044"/>
      <c r="DQ95" s="1044"/>
      <c r="DR95" s="1044"/>
      <c r="DS95" s="172"/>
      <c r="DT95" s="109"/>
    </row>
    <row r="96" spans="1:124">
      <c r="A96" s="109"/>
      <c r="B96" s="109"/>
      <c r="C96" s="109"/>
      <c r="D96" s="109"/>
      <c r="E96" s="109"/>
      <c r="F96" s="109"/>
      <c r="G96" s="109"/>
      <c r="H96" s="109"/>
      <c r="I96" s="109"/>
      <c r="J96" s="109"/>
      <c r="K96" s="109"/>
      <c r="L96" s="109"/>
      <c r="M96" s="109"/>
      <c r="N96" s="109"/>
      <c r="O96" s="109"/>
      <c r="P96" s="109"/>
      <c r="Q96" s="1044"/>
      <c r="R96" s="109"/>
      <c r="S96" s="109"/>
      <c r="T96" s="1044"/>
      <c r="U96" s="1044"/>
      <c r="V96" s="109"/>
      <c r="W96" s="109"/>
      <c r="X96" s="109"/>
      <c r="Y96" s="109"/>
      <c r="Z96" s="109"/>
      <c r="AA96" s="109"/>
      <c r="AB96" s="109"/>
      <c r="AC96" s="109"/>
      <c r="AD96" s="109"/>
      <c r="AE96" s="109"/>
      <c r="AF96" s="109"/>
      <c r="AG96" s="109"/>
      <c r="AH96" s="109"/>
      <c r="AI96" s="171"/>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09"/>
      <c r="BL96" s="171"/>
      <c r="BM96" s="109"/>
      <c r="BN96" s="109"/>
      <c r="BO96" s="109"/>
      <c r="BP96" s="171"/>
      <c r="BQ96" s="109"/>
      <c r="BR96" s="109"/>
      <c r="BS96" s="109"/>
      <c r="BT96" s="171"/>
      <c r="BU96" s="109"/>
      <c r="BV96" s="109"/>
      <c r="BW96" s="109"/>
      <c r="BX96" s="171"/>
      <c r="BY96" s="109"/>
      <c r="BZ96" s="109"/>
      <c r="CA96" s="109"/>
      <c r="CB96" s="171"/>
      <c r="CC96" s="109"/>
      <c r="CD96" s="109"/>
      <c r="CE96" s="109"/>
      <c r="CF96" s="171"/>
      <c r="CG96" s="109"/>
      <c r="CH96" s="109"/>
      <c r="CI96" s="109"/>
      <c r="CJ96" s="171"/>
      <c r="CK96" s="109"/>
      <c r="CL96" s="109"/>
      <c r="CM96" s="109"/>
      <c r="CN96" s="171"/>
      <c r="CO96" s="109"/>
      <c r="CP96" s="109"/>
      <c r="CQ96" s="172"/>
      <c r="CR96" s="109"/>
      <c r="CS96" s="109"/>
      <c r="CT96" s="109"/>
      <c r="CU96" s="109"/>
      <c r="CV96" s="171"/>
      <c r="CW96" s="109"/>
      <c r="CX96" s="109"/>
      <c r="CY96" s="109"/>
      <c r="CZ96" s="171"/>
      <c r="DA96" s="1044"/>
      <c r="DB96" s="1044"/>
      <c r="DC96" s="172"/>
      <c r="DD96" s="171"/>
      <c r="DE96" s="1044"/>
      <c r="DF96" s="1044"/>
      <c r="DG96" s="172"/>
      <c r="DH96" s="1044"/>
      <c r="DI96" s="1044"/>
      <c r="DJ96" s="1044"/>
      <c r="DK96" s="172"/>
      <c r="DL96" s="1044"/>
      <c r="DM96" s="1044"/>
      <c r="DN96" s="1044"/>
      <c r="DO96" s="172"/>
      <c r="DP96" s="1044"/>
      <c r="DQ96" s="1044"/>
      <c r="DR96" s="1044"/>
      <c r="DS96" s="172"/>
      <c r="DT96" s="109"/>
    </row>
    <row r="97" spans="1:124">
      <c r="A97" s="109"/>
      <c r="B97" s="109"/>
      <c r="C97" s="109"/>
      <c r="D97" s="109"/>
      <c r="E97" s="109"/>
      <c r="F97" s="109"/>
      <c r="G97" s="109"/>
      <c r="H97" s="109"/>
      <c r="I97" s="109"/>
      <c r="J97" s="109"/>
      <c r="K97" s="109"/>
      <c r="L97" s="109"/>
      <c r="M97" s="109"/>
      <c r="N97" s="109"/>
      <c r="O97" s="109"/>
      <c r="P97" s="109"/>
      <c r="Q97" s="1044"/>
      <c r="R97" s="109"/>
      <c r="S97" s="109"/>
      <c r="T97" s="1044"/>
      <c r="U97" s="1044"/>
      <c r="V97" s="109"/>
      <c r="W97" s="109"/>
      <c r="X97" s="109"/>
      <c r="Y97" s="109"/>
      <c r="Z97" s="109"/>
      <c r="AA97" s="109"/>
      <c r="AB97" s="109"/>
      <c r="AC97" s="109"/>
      <c r="AD97" s="109"/>
      <c r="AE97" s="109"/>
      <c r="AF97" s="109"/>
      <c r="AG97" s="109"/>
      <c r="AH97" s="109"/>
      <c r="AI97" s="171"/>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09"/>
      <c r="BL97" s="171"/>
      <c r="BM97" s="109"/>
      <c r="BN97" s="109"/>
      <c r="BO97" s="109"/>
      <c r="BP97" s="171"/>
      <c r="BQ97" s="109"/>
      <c r="BR97" s="109"/>
      <c r="BS97" s="109"/>
      <c r="BT97" s="171"/>
      <c r="BU97" s="109"/>
      <c r="BV97" s="109"/>
      <c r="BW97" s="109"/>
      <c r="BX97" s="171"/>
      <c r="BY97" s="109"/>
      <c r="BZ97" s="109"/>
      <c r="CA97" s="109"/>
      <c r="CB97" s="171"/>
      <c r="CC97" s="109"/>
      <c r="CD97" s="109"/>
      <c r="CE97" s="109"/>
      <c r="CF97" s="171"/>
      <c r="CG97" s="109"/>
      <c r="CH97" s="109"/>
      <c r="CI97" s="109"/>
      <c r="CJ97" s="171"/>
      <c r="CK97" s="109"/>
      <c r="CL97" s="109"/>
      <c r="CM97" s="109"/>
      <c r="CN97" s="171"/>
      <c r="CO97" s="109"/>
      <c r="CP97" s="109"/>
      <c r="CQ97" s="172"/>
      <c r="CR97" s="109"/>
      <c r="CS97" s="109"/>
      <c r="CT97" s="109"/>
      <c r="CU97" s="109"/>
      <c r="CV97" s="171"/>
      <c r="CW97" s="109"/>
      <c r="CX97" s="109"/>
      <c r="CY97" s="109"/>
      <c r="CZ97" s="171"/>
      <c r="DA97" s="1044"/>
      <c r="DB97" s="1044"/>
      <c r="DC97" s="172"/>
      <c r="DD97" s="171"/>
      <c r="DE97" s="1044"/>
      <c r="DF97" s="1044"/>
      <c r="DG97" s="172"/>
      <c r="DH97" s="1044"/>
      <c r="DI97" s="1044"/>
      <c r="DJ97" s="1044"/>
      <c r="DK97" s="172"/>
      <c r="DL97" s="1044"/>
      <c r="DM97" s="1044"/>
      <c r="DN97" s="1044"/>
      <c r="DO97" s="172"/>
      <c r="DP97" s="1044"/>
      <c r="DQ97" s="1044"/>
      <c r="DR97" s="1044"/>
      <c r="DS97" s="172"/>
      <c r="DT97" s="109"/>
    </row>
    <row r="98" spans="1:124">
      <c r="A98" s="109"/>
      <c r="B98" s="109"/>
      <c r="C98" s="109"/>
      <c r="D98" s="109"/>
      <c r="E98" s="109"/>
      <c r="F98" s="109"/>
      <c r="G98" s="109"/>
      <c r="H98" s="109"/>
      <c r="I98" s="109"/>
      <c r="J98" s="109"/>
      <c r="K98" s="109"/>
      <c r="L98" s="109"/>
      <c r="M98" s="109"/>
      <c r="N98" s="109"/>
      <c r="O98" s="109"/>
      <c r="P98" s="109"/>
      <c r="Q98" s="1044"/>
      <c r="R98" s="109"/>
      <c r="S98" s="109"/>
      <c r="T98" s="1044"/>
      <c r="U98" s="1044"/>
      <c r="V98" s="109"/>
      <c r="W98" s="109"/>
      <c r="X98" s="109"/>
      <c r="Y98" s="109"/>
      <c r="Z98" s="109"/>
      <c r="AA98" s="109"/>
      <c r="AB98" s="109"/>
      <c r="AC98" s="109"/>
      <c r="AD98" s="109"/>
      <c r="AE98" s="109"/>
      <c r="AF98" s="109"/>
      <c r="AG98" s="109"/>
      <c r="AH98" s="109"/>
      <c r="AI98" s="171"/>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09"/>
      <c r="BL98" s="171"/>
      <c r="BM98" s="109"/>
      <c r="BN98" s="109"/>
      <c r="BO98" s="109"/>
      <c r="BP98" s="171"/>
      <c r="BQ98" s="109"/>
      <c r="BR98" s="109"/>
      <c r="BS98" s="109"/>
      <c r="BT98" s="171"/>
      <c r="BU98" s="109"/>
      <c r="BV98" s="109"/>
      <c r="BW98" s="109"/>
      <c r="BX98" s="171"/>
      <c r="BY98" s="109"/>
      <c r="BZ98" s="109"/>
      <c r="CA98" s="109"/>
      <c r="CB98" s="171"/>
      <c r="CC98" s="109"/>
      <c r="CD98" s="109"/>
      <c r="CE98" s="109"/>
      <c r="CF98" s="171"/>
      <c r="CG98" s="109"/>
      <c r="CH98" s="109"/>
      <c r="CI98" s="109"/>
      <c r="CJ98" s="171"/>
      <c r="CK98" s="109"/>
      <c r="CL98" s="109"/>
      <c r="CM98" s="109"/>
      <c r="CN98" s="171"/>
      <c r="CO98" s="109"/>
      <c r="CP98" s="109"/>
      <c r="CQ98" s="172"/>
      <c r="CR98" s="109"/>
      <c r="CS98" s="109"/>
      <c r="CT98" s="109"/>
      <c r="CU98" s="109"/>
      <c r="CV98" s="171"/>
      <c r="CW98" s="109"/>
      <c r="CX98" s="109"/>
      <c r="CY98" s="109"/>
      <c r="CZ98" s="171"/>
      <c r="DA98" s="1044"/>
      <c r="DB98" s="1044"/>
      <c r="DC98" s="172"/>
      <c r="DD98" s="171"/>
      <c r="DE98" s="1044"/>
      <c r="DF98" s="1044"/>
      <c r="DG98" s="172"/>
      <c r="DH98" s="1044"/>
      <c r="DI98" s="1044"/>
      <c r="DJ98" s="1044"/>
      <c r="DK98" s="172"/>
      <c r="DL98" s="1044"/>
      <c r="DM98" s="1044"/>
      <c r="DN98" s="1044"/>
      <c r="DO98" s="172"/>
      <c r="DP98" s="1044"/>
      <c r="DQ98" s="1044"/>
      <c r="DR98" s="1044"/>
      <c r="DS98" s="172"/>
      <c r="DT98" s="109"/>
    </row>
    <row r="99" spans="1:124">
      <c r="A99" s="109"/>
      <c r="B99" s="109"/>
      <c r="C99" s="109"/>
      <c r="D99" s="109"/>
      <c r="E99" s="109"/>
      <c r="F99" s="109"/>
      <c r="G99" s="109"/>
      <c r="H99" s="109"/>
      <c r="I99" s="109"/>
      <c r="J99" s="109"/>
      <c r="K99" s="109"/>
      <c r="L99" s="109"/>
      <c r="M99" s="109"/>
      <c r="N99" s="109"/>
      <c r="O99" s="109"/>
      <c r="P99" s="109"/>
      <c r="Q99" s="1044"/>
      <c r="R99" s="109"/>
      <c r="S99" s="109"/>
      <c r="T99" s="1044"/>
      <c r="U99" s="1044"/>
      <c r="V99" s="109"/>
      <c r="W99" s="109"/>
      <c r="X99" s="109"/>
      <c r="Y99" s="109"/>
      <c r="Z99" s="109"/>
      <c r="AA99" s="109"/>
      <c r="AB99" s="109"/>
      <c r="AC99" s="109"/>
      <c r="AD99" s="109"/>
      <c r="AE99" s="109"/>
      <c r="AF99" s="109"/>
      <c r="AG99" s="109"/>
      <c r="AH99" s="109"/>
      <c r="AI99" s="171"/>
      <c r="AJ99" s="109"/>
      <c r="AK99" s="109"/>
      <c r="AL99" s="109"/>
      <c r="AM99" s="109"/>
      <c r="AN99" s="109"/>
      <c r="AO99" s="109"/>
      <c r="AP99" s="109"/>
      <c r="AQ99" s="109"/>
      <c r="AR99" s="109"/>
      <c r="AS99" s="109"/>
      <c r="AT99" s="109"/>
      <c r="AU99" s="109"/>
      <c r="AV99" s="109"/>
      <c r="AW99" s="109"/>
      <c r="AX99" s="109"/>
      <c r="AY99" s="109"/>
      <c r="AZ99" s="109"/>
      <c r="BA99" s="109"/>
      <c r="BB99" s="109"/>
      <c r="BC99" s="109"/>
      <c r="BD99" s="109"/>
      <c r="BE99" s="109"/>
      <c r="BF99" s="109"/>
      <c r="BG99" s="109"/>
      <c r="BH99" s="109"/>
      <c r="BI99" s="109"/>
      <c r="BJ99" s="109"/>
      <c r="BK99" s="109"/>
      <c r="BL99" s="171"/>
      <c r="BM99" s="109"/>
      <c r="BN99" s="109"/>
      <c r="BO99" s="109"/>
      <c r="BP99" s="171"/>
      <c r="BQ99" s="109"/>
      <c r="BR99" s="109"/>
      <c r="BS99" s="109"/>
      <c r="BT99" s="171"/>
      <c r="BU99" s="109"/>
      <c r="BV99" s="109"/>
      <c r="BW99" s="109"/>
      <c r="BX99" s="171"/>
      <c r="BY99" s="109"/>
      <c r="BZ99" s="109"/>
      <c r="CA99" s="109"/>
      <c r="CB99" s="171"/>
      <c r="CC99" s="109"/>
      <c r="CD99" s="109"/>
      <c r="CE99" s="109"/>
      <c r="CF99" s="171"/>
      <c r="CG99" s="109"/>
      <c r="CH99" s="109"/>
      <c r="CI99" s="109"/>
      <c r="CJ99" s="171"/>
      <c r="CK99" s="109"/>
      <c r="CL99" s="109"/>
      <c r="CM99" s="109"/>
      <c r="CN99" s="171"/>
      <c r="CO99" s="109"/>
      <c r="CP99" s="109"/>
      <c r="CQ99" s="172"/>
      <c r="CR99" s="109"/>
      <c r="CS99" s="109"/>
      <c r="CT99" s="109"/>
      <c r="CU99" s="109"/>
      <c r="CV99" s="171"/>
      <c r="CW99" s="109"/>
      <c r="CX99" s="109"/>
      <c r="CY99" s="109"/>
      <c r="CZ99" s="171"/>
      <c r="DA99" s="1044"/>
      <c r="DB99" s="1044"/>
      <c r="DC99" s="172"/>
      <c r="DD99" s="171"/>
      <c r="DE99" s="1044"/>
      <c r="DF99" s="1044"/>
      <c r="DG99" s="172"/>
      <c r="DH99" s="1044"/>
      <c r="DI99" s="1044"/>
      <c r="DJ99" s="1044"/>
      <c r="DK99" s="172"/>
      <c r="DL99" s="1044"/>
      <c r="DM99" s="1044"/>
      <c r="DN99" s="1044"/>
      <c r="DO99" s="172"/>
      <c r="DP99" s="1044"/>
      <c r="DQ99" s="1044"/>
      <c r="DR99" s="1044"/>
      <c r="DS99" s="172"/>
      <c r="DT99" s="109"/>
    </row>
    <row r="100" spans="1:124">
      <c r="A100" s="441"/>
      <c r="B100" s="109"/>
      <c r="C100" s="109"/>
      <c r="D100" s="109"/>
      <c r="E100" s="109"/>
      <c r="F100" s="109"/>
      <c r="G100" s="109"/>
      <c r="H100" s="109"/>
      <c r="I100" s="109"/>
      <c r="J100" s="109"/>
      <c r="K100" s="109"/>
      <c r="L100" s="109"/>
      <c r="M100" s="109"/>
      <c r="N100" s="109"/>
      <c r="O100" s="109"/>
      <c r="P100" s="109"/>
      <c r="Q100" s="1044"/>
      <c r="R100" s="109"/>
      <c r="S100" s="109"/>
      <c r="T100" s="1044"/>
      <c r="U100" s="1044"/>
      <c r="V100" s="109"/>
      <c r="W100" s="109"/>
      <c r="X100" s="109"/>
      <c r="Y100" s="109"/>
      <c r="Z100" s="109"/>
      <c r="AA100" s="109"/>
      <c r="AB100" s="109"/>
      <c r="AC100" s="109"/>
      <c r="AD100" s="109"/>
      <c r="AE100" s="109"/>
      <c r="AF100" s="109"/>
      <c r="AG100" s="109"/>
      <c r="AH100" s="109"/>
      <c r="AI100" s="171"/>
      <c r="AJ100" s="109"/>
      <c r="AK100" s="109"/>
      <c r="AL100" s="109"/>
      <c r="AM100" s="109"/>
      <c r="AN100" s="109"/>
      <c r="AO100" s="109"/>
      <c r="AP100" s="109"/>
      <c r="AQ100" s="109"/>
      <c r="AR100" s="109"/>
      <c r="AS100" s="109"/>
      <c r="AT100" s="109"/>
      <c r="AU100" s="109"/>
      <c r="AV100" s="109"/>
      <c r="AW100" s="109"/>
      <c r="AX100" s="109"/>
      <c r="AY100" s="109"/>
      <c r="AZ100" s="109"/>
      <c r="BA100" s="109"/>
      <c r="BB100" s="109"/>
      <c r="BC100" s="109"/>
      <c r="BD100" s="109"/>
      <c r="BE100" s="109"/>
      <c r="BF100" s="109"/>
      <c r="BG100" s="109"/>
      <c r="BH100" s="109"/>
      <c r="BI100" s="109"/>
      <c r="BJ100" s="109"/>
      <c r="BK100" s="109"/>
      <c r="BL100" s="171"/>
      <c r="BM100" s="109"/>
      <c r="BN100" s="109"/>
      <c r="BO100" s="109"/>
      <c r="BP100" s="171"/>
      <c r="BQ100" s="109"/>
      <c r="BR100" s="109"/>
      <c r="BS100" s="109"/>
      <c r="BT100" s="171"/>
      <c r="BU100" s="109"/>
      <c r="BV100" s="109"/>
      <c r="BW100" s="109"/>
      <c r="BX100" s="171"/>
      <c r="BY100" s="109"/>
      <c r="BZ100" s="109"/>
      <c r="CA100" s="109"/>
      <c r="CB100" s="171"/>
      <c r="CC100" s="109"/>
      <c r="CD100" s="109"/>
      <c r="CE100" s="109"/>
      <c r="CF100" s="171"/>
      <c r="CG100" s="109"/>
      <c r="CH100" s="109"/>
      <c r="CI100" s="109"/>
      <c r="CJ100" s="171"/>
      <c r="CK100" s="109"/>
      <c r="CL100" s="109"/>
      <c r="CM100" s="109"/>
      <c r="CN100" s="171"/>
      <c r="CO100" s="109"/>
      <c r="CP100" s="109"/>
      <c r="CQ100" s="172"/>
      <c r="CR100" s="109"/>
      <c r="CS100" s="109"/>
      <c r="CT100" s="109"/>
      <c r="CU100" s="109"/>
      <c r="CV100" s="171"/>
      <c r="CW100" s="109"/>
      <c r="CX100" s="109"/>
      <c r="CY100" s="109"/>
      <c r="CZ100" s="171"/>
      <c r="DA100" s="1044"/>
      <c r="DB100" s="1044"/>
      <c r="DC100" s="172"/>
      <c r="DD100" s="171"/>
      <c r="DE100" s="1044"/>
      <c r="DF100" s="1044"/>
      <c r="DG100" s="172"/>
      <c r="DH100" s="1044"/>
      <c r="DI100" s="1044"/>
      <c r="DJ100" s="1044"/>
      <c r="DK100" s="172"/>
      <c r="DL100" s="1044"/>
      <c r="DM100" s="1044"/>
      <c r="DN100" s="1044"/>
      <c r="DO100" s="172"/>
      <c r="DP100" s="1044"/>
      <c r="DQ100" s="1044"/>
      <c r="DR100" s="1044"/>
      <c r="DS100" s="172"/>
      <c r="DT100" s="109"/>
    </row>
    <row r="101" spans="1:124">
      <c r="A101" s="109"/>
      <c r="B101" s="109"/>
      <c r="C101" s="109"/>
      <c r="D101" s="109"/>
      <c r="E101" s="109"/>
      <c r="F101" s="109"/>
      <c r="G101" s="109"/>
      <c r="H101" s="109"/>
      <c r="I101" s="109"/>
      <c r="J101" s="109"/>
      <c r="K101" s="109"/>
      <c r="L101" s="109"/>
      <c r="M101" s="109"/>
      <c r="N101" s="109"/>
      <c r="O101" s="109"/>
      <c r="P101" s="109"/>
      <c r="Q101" s="1044"/>
      <c r="R101" s="109"/>
      <c r="S101" s="109"/>
      <c r="T101" s="1044"/>
      <c r="U101" s="1044"/>
      <c r="V101" s="109"/>
      <c r="W101" s="109"/>
      <c r="X101" s="109"/>
      <c r="Y101" s="109"/>
      <c r="Z101" s="109"/>
      <c r="AA101" s="109"/>
      <c r="AB101" s="109"/>
      <c r="AC101" s="109"/>
      <c r="AD101" s="109"/>
      <c r="AE101" s="109"/>
      <c r="AF101" s="109"/>
      <c r="AG101" s="109"/>
      <c r="AH101" s="109"/>
      <c r="AI101" s="171"/>
      <c r="AJ101" s="109"/>
      <c r="AK101" s="109"/>
      <c r="AL101" s="109"/>
      <c r="AM101" s="109"/>
      <c r="AN101" s="109"/>
      <c r="AO101" s="109"/>
      <c r="AP101" s="109"/>
      <c r="AQ101" s="109"/>
      <c r="AR101" s="109"/>
      <c r="AS101" s="109"/>
      <c r="AT101" s="109"/>
      <c r="AU101" s="109"/>
      <c r="AV101" s="109"/>
      <c r="AW101" s="109"/>
      <c r="AX101" s="109"/>
      <c r="AY101" s="109"/>
      <c r="AZ101" s="109"/>
      <c r="BA101" s="109"/>
      <c r="BB101" s="109"/>
      <c r="BC101" s="109"/>
      <c r="BD101" s="109"/>
      <c r="BE101" s="109"/>
      <c r="BF101" s="109"/>
      <c r="BG101" s="109"/>
      <c r="BH101" s="109"/>
      <c r="BI101" s="109"/>
      <c r="BJ101" s="109"/>
      <c r="BK101" s="109"/>
      <c r="BL101" s="171"/>
      <c r="BM101" s="109"/>
      <c r="BN101" s="109"/>
      <c r="BO101" s="109"/>
      <c r="BP101" s="171"/>
      <c r="BQ101" s="109"/>
      <c r="BR101" s="109"/>
      <c r="BS101" s="109"/>
      <c r="BT101" s="171"/>
      <c r="BU101" s="109"/>
      <c r="BV101" s="109"/>
      <c r="BW101" s="109"/>
      <c r="BX101" s="171"/>
      <c r="BY101" s="109"/>
      <c r="BZ101" s="109"/>
      <c r="CA101" s="109"/>
      <c r="CB101" s="171"/>
      <c r="CC101" s="109"/>
      <c r="CD101" s="109"/>
      <c r="CE101" s="109"/>
      <c r="CF101" s="171"/>
      <c r="CG101" s="109"/>
      <c r="CH101" s="109"/>
      <c r="CI101" s="109"/>
      <c r="CJ101" s="171"/>
      <c r="CK101" s="109"/>
      <c r="CL101" s="109"/>
      <c r="CM101" s="109"/>
      <c r="CN101" s="171"/>
      <c r="CO101" s="109"/>
      <c r="CP101" s="109"/>
      <c r="CQ101" s="172"/>
      <c r="CR101" s="109"/>
      <c r="CS101" s="109"/>
      <c r="CT101" s="109"/>
      <c r="CU101" s="109"/>
      <c r="CV101" s="171"/>
      <c r="CW101" s="109"/>
      <c r="CX101" s="109"/>
      <c r="CY101" s="109"/>
      <c r="CZ101" s="171"/>
      <c r="DA101" s="1044"/>
      <c r="DB101" s="1044"/>
      <c r="DC101" s="172"/>
      <c r="DD101" s="171"/>
      <c r="DE101" s="1044"/>
      <c r="DF101" s="1044"/>
      <c r="DG101" s="172"/>
      <c r="DH101" s="1044"/>
      <c r="DI101" s="1044"/>
      <c r="DJ101" s="1044"/>
      <c r="DK101" s="172"/>
      <c r="DL101" s="1044"/>
      <c r="DM101" s="1044"/>
      <c r="DN101" s="1044"/>
      <c r="DO101" s="172"/>
      <c r="DP101" s="1044"/>
      <c r="DQ101" s="1044"/>
      <c r="DR101" s="1044"/>
      <c r="DS101" s="172"/>
      <c r="DT101" s="109"/>
    </row>
    <row r="102" spans="1:124">
      <c r="A102" s="109" t="s">
        <v>1440</v>
      </c>
      <c r="B102" s="109"/>
      <c r="C102" s="109"/>
      <c r="D102" s="109"/>
      <c r="E102" s="109">
        <v>250243</v>
      </c>
      <c r="F102" s="109">
        <v>255557</v>
      </c>
      <c r="G102" s="109">
        <v>255328</v>
      </c>
      <c r="H102" s="109">
        <v>263552</v>
      </c>
      <c r="I102" s="109">
        <v>247309</v>
      </c>
      <c r="J102" s="109">
        <v>229497</v>
      </c>
      <c r="K102" s="109">
        <v>203065</v>
      </c>
      <c r="L102" s="109">
        <v>210396</v>
      </c>
      <c r="M102" s="109">
        <v>214496</v>
      </c>
      <c r="N102" s="109">
        <v>218675.89695621587</v>
      </c>
      <c r="O102" s="109">
        <f>+CA102</f>
        <v>232417</v>
      </c>
      <c r="P102" s="109">
        <f>+CE102</f>
        <v>223880</v>
      </c>
      <c r="Q102" s="1044">
        <f>+CI102</f>
        <v>222927</v>
      </c>
      <c r="R102" s="109">
        <f>+Wireline!R101</f>
        <v>194400</v>
      </c>
      <c r="S102" s="109">
        <f>+Wireline!S101</f>
        <v>193900</v>
      </c>
      <c r="T102" s="1044">
        <f>+Wireline!T101</f>
        <v>183400</v>
      </c>
      <c r="U102" s="1044">
        <f>+Wireline!U101</f>
        <v>176800</v>
      </c>
      <c r="V102" s="109">
        <f>+Wireline!V101</f>
        <v>177300</v>
      </c>
      <c r="W102" s="109">
        <f>+Wireline!W101</f>
        <v>177700</v>
      </c>
      <c r="X102" s="109">
        <f>+Wireline!X101</f>
        <v>160900</v>
      </c>
      <c r="Y102" s="2552">
        <f>+Wireline!Y101</f>
        <v>155400</v>
      </c>
      <c r="Z102" s="2552">
        <f>+Wireline!Z101</f>
        <v>151700</v>
      </c>
      <c r="AA102" s="109">
        <f>+Wireline!AA101</f>
        <v>150183</v>
      </c>
      <c r="AB102" s="109">
        <f>+Wireline!AB101</f>
        <v>148681.17000000001</v>
      </c>
      <c r="AC102" s="109">
        <f>+Wireline!AC101</f>
        <v>147194.35830000002</v>
      </c>
      <c r="AD102" s="109">
        <f>+Wireline!AD101</f>
        <v>145722.41471700001</v>
      </c>
      <c r="AE102" s="109">
        <f>+Wireline!AE101</f>
        <v>144265.19056983001</v>
      </c>
      <c r="AF102" s="109">
        <f>+Wireline!AF101</f>
        <v>142822.53866413172</v>
      </c>
      <c r="AG102" s="109">
        <f>+Wireline!AG101</f>
        <v>141394.31327749041</v>
      </c>
      <c r="AH102" s="109"/>
      <c r="AI102" s="171"/>
      <c r="AJ102" s="109"/>
      <c r="AK102" s="109"/>
      <c r="AL102" s="109"/>
      <c r="AM102" s="109"/>
      <c r="AN102" s="109"/>
      <c r="AO102" s="109"/>
      <c r="AP102" s="109"/>
      <c r="AQ102" s="109">
        <v>255557</v>
      </c>
      <c r="AR102" s="109">
        <v>242901</v>
      </c>
      <c r="AS102" s="109">
        <v>258560</v>
      </c>
      <c r="AT102" s="109">
        <v>252424</v>
      </c>
      <c r="AU102" s="109">
        <v>255328</v>
      </c>
      <c r="AV102" s="109">
        <v>259102</v>
      </c>
      <c r="AW102" s="109">
        <v>267665</v>
      </c>
      <c r="AX102" s="109">
        <v>261123</v>
      </c>
      <c r="AY102" s="109">
        <v>263552</v>
      </c>
      <c r="AZ102" s="109">
        <v>261153</v>
      </c>
      <c r="BA102" s="109">
        <v>259513</v>
      </c>
      <c r="BB102" s="109">
        <v>255994</v>
      </c>
      <c r="BC102" s="109">
        <v>247309</v>
      </c>
      <c r="BD102" s="109">
        <v>247742</v>
      </c>
      <c r="BE102" s="109">
        <v>241129</v>
      </c>
      <c r="BF102" s="109">
        <v>236408</v>
      </c>
      <c r="BG102" s="109">
        <v>229497</v>
      </c>
      <c r="BH102" s="109">
        <v>225508</v>
      </c>
      <c r="BI102" s="109">
        <v>218032</v>
      </c>
      <c r="BJ102" s="109">
        <v>218117</v>
      </c>
      <c r="BK102" s="109">
        <v>200151</v>
      </c>
      <c r="BL102" s="171">
        <v>202116</v>
      </c>
      <c r="BM102" s="109">
        <v>204828</v>
      </c>
      <c r="BN102" s="109">
        <v>206616</v>
      </c>
      <c r="BO102" s="109">
        <v>208747</v>
      </c>
      <c r="BP102" s="171">
        <v>196628</v>
      </c>
      <c r="BQ102" s="109">
        <v>198899</v>
      </c>
      <c r="BR102" s="109">
        <v>199347</v>
      </c>
      <c r="BS102" s="109">
        <v>201083</v>
      </c>
      <c r="BT102" s="171">
        <f>NormInputs!BP133</f>
        <v>234005</v>
      </c>
      <c r="BU102" s="109">
        <f>NormInputs!BQ133</f>
        <v>234300</v>
      </c>
      <c r="BV102" s="109">
        <f>NormInputs!BR133</f>
        <v>232191</v>
      </c>
      <c r="BW102" s="109">
        <f>NormInputs!BS133</f>
        <v>235272</v>
      </c>
      <c r="BX102" s="171">
        <f>NormInputs!BT133</f>
        <v>236073</v>
      </c>
      <c r="BY102" s="109">
        <f>NormInputs!BU133</f>
        <v>235879</v>
      </c>
      <c r="BZ102" s="109">
        <f>NormInputs!BV133</f>
        <v>235252</v>
      </c>
      <c r="CA102" s="109">
        <f>NormInputs!BW133</f>
        <v>232417</v>
      </c>
      <c r="CB102" s="171">
        <f>NormInputs!BX133</f>
        <v>230228</v>
      </c>
      <c r="CC102" s="109">
        <f>NormInputs!BY133</f>
        <v>228633</v>
      </c>
      <c r="CD102" s="109">
        <f>NormInputs!BZ133</f>
        <v>228315</v>
      </c>
      <c r="CE102" s="109">
        <f>NormInputs!CA133</f>
        <v>223880</v>
      </c>
      <c r="CF102" s="171">
        <f>NormInputs!CB133</f>
        <v>237255</v>
      </c>
      <c r="CG102" s="109">
        <f>Wireline!CM101</f>
        <v>235326</v>
      </c>
      <c r="CH102" s="109">
        <f>Wireline!CN101</f>
        <v>230340</v>
      </c>
      <c r="CI102" s="109">
        <f>Wireline!CO101</f>
        <v>222927</v>
      </c>
      <c r="CJ102" s="171">
        <f>Wireline!CP101</f>
        <v>217100</v>
      </c>
      <c r="CK102" s="109">
        <f>Wireline!CQ101</f>
        <v>210800</v>
      </c>
      <c r="CL102" s="109">
        <f>Wireline!CR101</f>
        <v>195100</v>
      </c>
      <c r="CM102" s="109">
        <f>Wireline!CS101</f>
        <v>194400</v>
      </c>
      <c r="CN102" s="171">
        <f>Wireline!CT101</f>
        <v>196200</v>
      </c>
      <c r="CO102" s="109">
        <f>Wireline!CU101</f>
        <v>195900</v>
      </c>
      <c r="CP102" s="109">
        <f>Wireline!CV101</f>
        <v>195400</v>
      </c>
      <c r="CQ102" s="172">
        <f>Wireline!CW101</f>
        <v>193900</v>
      </c>
      <c r="CR102" s="109">
        <f>Wireline!CX101</f>
        <v>191800</v>
      </c>
      <c r="CS102" s="109">
        <f>Wireline!CY101</f>
        <v>188200</v>
      </c>
      <c r="CT102" s="109">
        <f>Wireline!CZ101</f>
        <v>184500</v>
      </c>
      <c r="CU102" s="109">
        <f>Wireline!DA101</f>
        <v>183400</v>
      </c>
      <c r="CV102" s="171">
        <f>Wireline!DB101</f>
        <v>181900</v>
      </c>
      <c r="CW102" s="109">
        <f>Wireline!DC101</f>
        <v>180900</v>
      </c>
      <c r="CX102" s="109">
        <f>Wireline!DD101</f>
        <v>178300</v>
      </c>
      <c r="CY102" s="109">
        <f>Wireline!DE101</f>
        <v>176800</v>
      </c>
      <c r="CZ102" s="171">
        <f>Wireline!DF101</f>
        <v>176900</v>
      </c>
      <c r="DA102" s="1044">
        <f>Wireline!DG101</f>
        <v>177800</v>
      </c>
      <c r="DB102" s="1044">
        <f>Wireline!DH101</f>
        <v>178500</v>
      </c>
      <c r="DC102" s="172">
        <f>Wireline!DI101</f>
        <v>177300</v>
      </c>
      <c r="DD102" s="171">
        <f>Wireline!DJ101</f>
        <v>176200</v>
      </c>
      <c r="DE102" s="1044">
        <f>Wireline!DK101</f>
        <v>178500</v>
      </c>
      <c r="DF102" s="2151">
        <f>Wireline!DL101</f>
        <v>177900</v>
      </c>
      <c r="DG102" s="2473">
        <f>Wireline!DM101</f>
        <v>177700</v>
      </c>
      <c r="DH102" s="2151">
        <f>Wireline!DN101</f>
        <v>173300</v>
      </c>
      <c r="DI102" s="1044">
        <f>Wireline!DO101</f>
        <v>162700</v>
      </c>
      <c r="DJ102" s="1044">
        <f>Wireline!DP101</f>
        <v>162000</v>
      </c>
      <c r="DK102" s="172">
        <f>Wireline!DQ101</f>
        <v>160900</v>
      </c>
      <c r="DL102" s="1044">
        <f>Wireline!DR101</f>
        <v>161000</v>
      </c>
      <c r="DM102" s="1044">
        <f>Wireline!DS101</f>
        <v>163400</v>
      </c>
      <c r="DN102" s="1044">
        <f>Wireline!DT101</f>
        <v>160100</v>
      </c>
      <c r="DO102" s="172">
        <f>Wireline!DU101</f>
        <v>155400</v>
      </c>
      <c r="DP102" s="1044">
        <f>Wireline!DV101</f>
        <v>154700</v>
      </c>
      <c r="DQ102" s="1044">
        <f>Wireline!DW101</f>
        <v>153700</v>
      </c>
      <c r="DR102" s="1044">
        <f>Wireline!DX101</f>
        <v>152700</v>
      </c>
      <c r="DS102" s="172">
        <f>Wireline!DY101</f>
        <v>151700</v>
      </c>
      <c r="DT102" s="109"/>
    </row>
    <row r="103" spans="1:124">
      <c r="A103" s="109" t="s">
        <v>1441</v>
      </c>
      <c r="B103" s="109"/>
      <c r="C103" s="109"/>
      <c r="D103" s="109"/>
      <c r="E103" s="109"/>
      <c r="F103" s="109">
        <v>252900</v>
      </c>
      <c r="G103" s="109">
        <v>255442.5</v>
      </c>
      <c r="H103" s="109">
        <v>259440</v>
      </c>
      <c r="I103" s="109">
        <v>255430.5</v>
      </c>
      <c r="J103" s="109">
        <v>238403</v>
      </c>
      <c r="K103" s="109">
        <v>216281</v>
      </c>
      <c r="L103" s="109">
        <v>206730.5</v>
      </c>
      <c r="M103" s="109">
        <v>212446</v>
      </c>
      <c r="N103" s="109">
        <f t="shared" ref="N103:AB103" si="104">AVERAGE(M102:N102)</f>
        <v>216585.94847810792</v>
      </c>
      <c r="O103" s="109">
        <f t="shared" si="104"/>
        <v>225546.44847810792</v>
      </c>
      <c r="P103" s="109">
        <f t="shared" si="104"/>
        <v>228148.5</v>
      </c>
      <c r="Q103" s="1044">
        <f t="shared" si="104"/>
        <v>223403.5</v>
      </c>
      <c r="R103" s="109">
        <f t="shared" si="104"/>
        <v>208663.5</v>
      </c>
      <c r="S103" s="109">
        <f t="shared" si="104"/>
        <v>194150</v>
      </c>
      <c r="T103" s="1044">
        <f t="shared" si="104"/>
        <v>188650</v>
      </c>
      <c r="U103" s="1044">
        <f t="shared" si="104"/>
        <v>180100</v>
      </c>
      <c r="V103" s="109">
        <f t="shared" si="104"/>
        <v>177050</v>
      </c>
      <c r="W103" s="109">
        <f t="shared" si="104"/>
        <v>177500</v>
      </c>
      <c r="X103" s="109">
        <f t="shared" si="104"/>
        <v>169300</v>
      </c>
      <c r="Y103" s="109">
        <f t="shared" si="104"/>
        <v>158150</v>
      </c>
      <c r="Z103" s="109">
        <f t="shared" si="104"/>
        <v>153550</v>
      </c>
      <c r="AA103" s="109">
        <f t="shared" si="104"/>
        <v>150941.5</v>
      </c>
      <c r="AB103" s="109">
        <f t="shared" si="104"/>
        <v>149432.08500000002</v>
      </c>
      <c r="AC103" s="109">
        <f t="shared" ref="AC103" si="105">AVERAGE(AB102:AC102)</f>
        <v>147937.76415</v>
      </c>
      <c r="AD103" s="109">
        <f t="shared" ref="AD103" si="106">AVERAGE(AC102:AD102)</f>
        <v>146458.38650850003</v>
      </c>
      <c r="AE103" s="109">
        <f t="shared" ref="AE103" si="107">AVERAGE(AD102:AE102)</f>
        <v>144993.80264341499</v>
      </c>
      <c r="AF103" s="109">
        <f t="shared" ref="AF103" si="108">AVERAGE(AE102:AF102)</f>
        <v>143543.86461698086</v>
      </c>
      <c r="AG103" s="109">
        <f t="shared" ref="AG103" si="109">AVERAGE(AF102:AG102)</f>
        <v>142108.42597081105</v>
      </c>
      <c r="AH103" s="109"/>
      <c r="AI103" s="171"/>
      <c r="AJ103" s="109"/>
      <c r="AK103" s="109"/>
      <c r="AL103" s="109"/>
      <c r="AM103" s="109"/>
      <c r="AN103" s="109"/>
      <c r="AO103" s="109"/>
      <c r="AP103" s="109"/>
      <c r="AQ103" s="109">
        <v>255557</v>
      </c>
      <c r="AR103" s="109">
        <v>249229</v>
      </c>
      <c r="AS103" s="109">
        <v>250730.5</v>
      </c>
      <c r="AT103" s="109">
        <v>255492</v>
      </c>
      <c r="AU103" s="109">
        <v>253876</v>
      </c>
      <c r="AV103" s="109">
        <v>257215</v>
      </c>
      <c r="AW103" s="109">
        <v>263383.5</v>
      </c>
      <c r="AX103" s="109">
        <v>264394</v>
      </c>
      <c r="AY103" s="109">
        <v>262337.5</v>
      </c>
      <c r="AZ103" s="109">
        <v>262352.5</v>
      </c>
      <c r="BA103" s="109">
        <v>260333</v>
      </c>
      <c r="BB103" s="109">
        <v>257753.5</v>
      </c>
      <c r="BC103" s="109">
        <v>251651.5</v>
      </c>
      <c r="BD103" s="109">
        <v>247525.5</v>
      </c>
      <c r="BE103" s="109">
        <v>244435.5</v>
      </c>
      <c r="BF103" s="109">
        <v>238768.5</v>
      </c>
      <c r="BG103" s="109">
        <v>232952.5</v>
      </c>
      <c r="BH103" s="109">
        <v>227502.5</v>
      </c>
      <c r="BI103" s="109">
        <v>221770</v>
      </c>
      <c r="BJ103" s="109">
        <v>218074.5</v>
      </c>
      <c r="BK103" s="109">
        <v>209134</v>
      </c>
      <c r="BL103" s="171">
        <v>201133.5</v>
      </c>
      <c r="BM103" s="109">
        <v>203472</v>
      </c>
      <c r="BN103" s="109">
        <v>205722</v>
      </c>
      <c r="BO103" s="109">
        <v>207681.5</v>
      </c>
      <c r="BP103" s="171">
        <v>202687.5</v>
      </c>
      <c r="BQ103" s="109">
        <v>197763.5</v>
      </c>
      <c r="BR103" s="109">
        <v>199123</v>
      </c>
      <c r="BS103" s="109">
        <v>200215</v>
      </c>
      <c r="BT103" s="171">
        <f t="shared" ref="BT103:DD103" si="110">AVERAGE(BS102:BT102)</f>
        <v>217544</v>
      </c>
      <c r="BU103" s="109">
        <f t="shared" si="110"/>
        <v>234152.5</v>
      </c>
      <c r="BV103" s="109">
        <f t="shared" si="110"/>
        <v>233245.5</v>
      </c>
      <c r="BW103" s="109">
        <f t="shared" si="110"/>
        <v>233731.5</v>
      </c>
      <c r="BX103" s="171">
        <f t="shared" si="110"/>
        <v>235672.5</v>
      </c>
      <c r="BY103" s="109">
        <f t="shared" si="110"/>
        <v>235976</v>
      </c>
      <c r="BZ103" s="109">
        <f t="shared" si="110"/>
        <v>235565.5</v>
      </c>
      <c r="CA103" s="109">
        <f t="shared" si="110"/>
        <v>233834.5</v>
      </c>
      <c r="CB103" s="171">
        <f t="shared" si="110"/>
        <v>231322.5</v>
      </c>
      <c r="CC103" s="109">
        <f t="shared" si="110"/>
        <v>229430.5</v>
      </c>
      <c r="CD103" s="109">
        <f t="shared" si="110"/>
        <v>228474</v>
      </c>
      <c r="CE103" s="109">
        <f t="shared" si="110"/>
        <v>226097.5</v>
      </c>
      <c r="CF103" s="171">
        <f t="shared" si="110"/>
        <v>230567.5</v>
      </c>
      <c r="CG103" s="109">
        <f t="shared" si="110"/>
        <v>236290.5</v>
      </c>
      <c r="CH103" s="109">
        <f t="shared" si="110"/>
        <v>232833</v>
      </c>
      <c r="CI103" s="109">
        <f t="shared" si="110"/>
        <v>226633.5</v>
      </c>
      <c r="CJ103" s="171">
        <f t="shared" si="110"/>
        <v>220013.5</v>
      </c>
      <c r="CK103" s="109">
        <f t="shared" si="110"/>
        <v>213950</v>
      </c>
      <c r="CL103" s="109">
        <f t="shared" si="110"/>
        <v>202950</v>
      </c>
      <c r="CM103" s="109">
        <f t="shared" si="110"/>
        <v>194750</v>
      </c>
      <c r="CN103" s="171">
        <f t="shared" si="110"/>
        <v>195300</v>
      </c>
      <c r="CO103" s="109">
        <f t="shared" si="110"/>
        <v>196050</v>
      </c>
      <c r="CP103" s="109">
        <f t="shared" si="110"/>
        <v>195650</v>
      </c>
      <c r="CQ103" s="172">
        <f t="shared" si="110"/>
        <v>194650</v>
      </c>
      <c r="CR103" s="109">
        <f t="shared" si="110"/>
        <v>192850</v>
      </c>
      <c r="CS103" s="109">
        <f t="shared" si="110"/>
        <v>190000</v>
      </c>
      <c r="CT103" s="109">
        <f t="shared" si="110"/>
        <v>186350</v>
      </c>
      <c r="CU103" s="109">
        <f t="shared" si="110"/>
        <v>183950</v>
      </c>
      <c r="CV103" s="171">
        <f t="shared" si="110"/>
        <v>182650</v>
      </c>
      <c r="CW103" s="109">
        <f t="shared" si="110"/>
        <v>181400</v>
      </c>
      <c r="CX103" s="109">
        <f t="shared" si="110"/>
        <v>179600</v>
      </c>
      <c r="CY103" s="109">
        <f t="shared" si="110"/>
        <v>177550</v>
      </c>
      <c r="CZ103" s="171">
        <f t="shared" si="110"/>
        <v>176850</v>
      </c>
      <c r="DA103" s="1044">
        <f t="shared" si="110"/>
        <v>177350</v>
      </c>
      <c r="DB103" s="1044">
        <f t="shared" si="110"/>
        <v>178150</v>
      </c>
      <c r="DC103" s="172">
        <f t="shared" si="110"/>
        <v>177900</v>
      </c>
      <c r="DD103" s="171">
        <f t="shared" si="110"/>
        <v>176750</v>
      </c>
      <c r="DE103" s="1044">
        <f t="shared" ref="DE103:DK103" si="111">AVERAGE(DD102:DE102)</f>
        <v>177350</v>
      </c>
      <c r="DF103" s="1044">
        <f t="shared" si="111"/>
        <v>178200</v>
      </c>
      <c r="DG103" s="172">
        <f t="shared" si="111"/>
        <v>177800</v>
      </c>
      <c r="DH103" s="1044">
        <f t="shared" si="111"/>
        <v>175500</v>
      </c>
      <c r="DI103" s="1044">
        <f t="shared" si="111"/>
        <v>168000</v>
      </c>
      <c r="DJ103" s="1044">
        <f t="shared" si="111"/>
        <v>162350</v>
      </c>
      <c r="DK103" s="172">
        <f t="shared" si="111"/>
        <v>161450</v>
      </c>
      <c r="DL103" s="1044">
        <f t="shared" ref="DL103" si="112">AVERAGE(DK102:DL102)</f>
        <v>160950</v>
      </c>
      <c r="DM103" s="1044">
        <f t="shared" ref="DM103" si="113">AVERAGE(DL102:DM102)</f>
        <v>162200</v>
      </c>
      <c r="DN103" s="1044">
        <f t="shared" ref="DN103" si="114">AVERAGE(DM102:DN102)</f>
        <v>161750</v>
      </c>
      <c r="DO103" s="172">
        <f t="shared" ref="DO103" si="115">AVERAGE(DN102:DO102)</f>
        <v>157750</v>
      </c>
      <c r="DP103" s="1044">
        <f t="shared" ref="DP103" si="116">AVERAGE(DO102:DP102)</f>
        <v>155050</v>
      </c>
      <c r="DQ103" s="1044">
        <f t="shared" ref="DQ103" si="117">AVERAGE(DP102:DQ102)</f>
        <v>154200</v>
      </c>
      <c r="DR103" s="1044">
        <f t="shared" ref="DR103" si="118">AVERAGE(DQ102:DR102)</f>
        <v>153200</v>
      </c>
      <c r="DS103" s="172">
        <f t="shared" ref="DS103" si="119">AVERAGE(DR102:DS102)</f>
        <v>152200</v>
      </c>
      <c r="DT103" s="109"/>
    </row>
    <row r="104" spans="1:124">
      <c r="A104" s="277" t="s">
        <v>1442</v>
      </c>
      <c r="B104" s="277"/>
      <c r="C104" s="277"/>
      <c r="D104" s="277">
        <v>5.3999999999999999E-2</v>
      </c>
      <c r="E104" s="277">
        <v>5.3999999999999999E-2</v>
      </c>
      <c r="F104" s="277">
        <v>5.3999999999999999E-2</v>
      </c>
      <c r="G104" s="277">
        <v>5.3999999999999999E-2</v>
      </c>
      <c r="H104" s="277">
        <v>5.3999999999999999E-2</v>
      </c>
      <c r="I104" s="277">
        <v>5.3999999999999999E-2</v>
      </c>
      <c r="J104" s="277">
        <v>5.3999999999999999E-2</v>
      </c>
      <c r="K104" s="277">
        <v>5.3999999999999999E-2</v>
      </c>
      <c r="L104" s="277">
        <v>5.3999999999999999E-2</v>
      </c>
      <c r="M104" s="277">
        <v>5.3999999999999999E-2</v>
      </c>
      <c r="N104" s="277">
        <v>5.3999999999999999E-2</v>
      </c>
      <c r="O104" s="277">
        <v>1.054</v>
      </c>
      <c r="P104" s="277">
        <v>5.3999999999999999E-2</v>
      </c>
      <c r="Q104" s="1085">
        <v>5.3999999999999999E-2</v>
      </c>
      <c r="R104" s="277">
        <v>5.3999999999999999E-2</v>
      </c>
      <c r="S104" s="277">
        <v>5.3999999999999999E-2</v>
      </c>
      <c r="T104" s="1085">
        <v>5.3999999999999999E-2</v>
      </c>
      <c r="U104" s="1085">
        <v>5.3999999999999999E-2</v>
      </c>
      <c r="V104" s="277">
        <v>5.3999999999999999E-2</v>
      </c>
      <c r="W104" s="277">
        <v>2.0539999999999998</v>
      </c>
      <c r="X104" s="277">
        <v>2.0539999999999998</v>
      </c>
      <c r="Y104" s="3012">
        <f>+Valuation!$E$15</f>
        <v>2.5000000000000001E-2</v>
      </c>
      <c r="Z104" s="3012">
        <f>+Valuation!$E$15</f>
        <v>2.5000000000000001E-2</v>
      </c>
      <c r="AA104" s="277">
        <v>2.0539999999999998</v>
      </c>
      <c r="AB104" s="277">
        <v>2.0539999999999998</v>
      </c>
      <c r="AC104" s="277">
        <v>2.0539999999999998</v>
      </c>
      <c r="AD104" s="277">
        <v>2.0539999999999998</v>
      </c>
      <c r="AE104" s="277">
        <v>2.0539999999999998</v>
      </c>
      <c r="AF104" s="277">
        <v>2.0539999999999998</v>
      </c>
      <c r="AG104" s="277">
        <v>2.0539999999999998</v>
      </c>
      <c r="AH104" s="277"/>
      <c r="AI104" s="278"/>
      <c r="AJ104" s="277">
        <v>5.3999999999999999E-2</v>
      </c>
      <c r="AK104" s="277">
        <v>5.3999999999999999E-2</v>
      </c>
      <c r="AL104" s="277">
        <v>5.3999999999999999E-2</v>
      </c>
      <c r="AM104" s="277">
        <v>5.3999999999999999E-2</v>
      </c>
      <c r="AN104" s="277">
        <v>5.3999999999999999E-2</v>
      </c>
      <c r="AO104" s="277">
        <v>5.3999999999999999E-2</v>
      </c>
      <c r="AP104" s="277">
        <v>5.3999999999999999E-2</v>
      </c>
      <c r="AQ104" s="277">
        <v>5.3999999999999999E-2</v>
      </c>
      <c r="AR104" s="277">
        <v>5.3999999999999999E-2</v>
      </c>
      <c r="AS104" s="277">
        <v>5.3999999999999999E-2</v>
      </c>
      <c r="AT104" s="277">
        <v>5.3999999999999999E-2</v>
      </c>
      <c r="AU104" s="277">
        <v>5.3999999999999999E-2</v>
      </c>
      <c r="AV104" s="277">
        <v>5.3999999999999999E-2</v>
      </c>
      <c r="AW104" s="277">
        <v>5.3999999999999999E-2</v>
      </c>
      <c r="AX104" s="277">
        <v>5.3999999999999999E-2</v>
      </c>
      <c r="AY104" s="277">
        <v>5.3999999999999999E-2</v>
      </c>
      <c r="AZ104" s="277">
        <v>5.3999999999999999E-2</v>
      </c>
      <c r="BA104" s="277">
        <v>5.3999999999999999E-2</v>
      </c>
      <c r="BB104" s="277">
        <v>5.3999999999999999E-2</v>
      </c>
      <c r="BC104" s="277">
        <v>5.3999999999999999E-2</v>
      </c>
      <c r="BD104" s="277">
        <v>5.3999999999999999E-2</v>
      </c>
      <c r="BE104" s="277">
        <v>5.3999999999999999E-2</v>
      </c>
      <c r="BF104" s="277">
        <v>5.3999999999999999E-2</v>
      </c>
      <c r="BG104" s="277">
        <v>5.3999999999999999E-2</v>
      </c>
      <c r="BH104" s="277">
        <v>5.3999999999999999E-2</v>
      </c>
      <c r="BI104" s="277">
        <v>5.3999999999999999E-2</v>
      </c>
      <c r="BJ104" s="277">
        <v>5.3999999999999999E-2</v>
      </c>
      <c r="BK104" s="277">
        <v>5.3999999999999999E-2</v>
      </c>
      <c r="BL104" s="278">
        <v>5.3999999999999999E-2</v>
      </c>
      <c r="BM104" s="277">
        <v>5.3999999999999999E-2</v>
      </c>
      <c r="BN104" s="277">
        <v>5.3999999999999999E-2</v>
      </c>
      <c r="BO104" s="277">
        <v>5.3999999999999999E-2</v>
      </c>
      <c r="BP104" s="278">
        <v>5.3999999999999999E-2</v>
      </c>
      <c r="BQ104" s="277">
        <v>5.3999999999999999E-2</v>
      </c>
      <c r="BR104" s="277">
        <v>5.3999999999999999E-2</v>
      </c>
      <c r="BS104" s="277">
        <v>5.3999999999999999E-2</v>
      </c>
      <c r="BT104" s="278">
        <v>5.3999999999999999E-2</v>
      </c>
      <c r="BU104" s="277">
        <v>5.3999999999999999E-2</v>
      </c>
      <c r="BV104" s="277">
        <v>5.3999999999999999E-2</v>
      </c>
      <c r="BW104" s="277">
        <v>5.3999999999999999E-2</v>
      </c>
      <c r="BX104" s="278">
        <v>5.3999999999999999E-2</v>
      </c>
      <c r="BY104" s="277">
        <v>5.3999999999999999E-2</v>
      </c>
      <c r="BZ104" s="277">
        <v>5.3999999999999999E-2</v>
      </c>
      <c r="CA104" s="277">
        <v>5.3999999999999999E-2</v>
      </c>
      <c r="CB104" s="278">
        <v>5.3999999999999999E-2</v>
      </c>
      <c r="CC104" s="277">
        <v>5.3999999999999999E-2</v>
      </c>
      <c r="CD104" s="277">
        <v>5.3999999999999999E-2</v>
      </c>
      <c r="CE104" s="277">
        <v>5.3999999999999999E-2</v>
      </c>
      <c r="CF104" s="278">
        <v>5.3999999999999999E-2</v>
      </c>
      <c r="CG104" s="277">
        <v>5.3999999999999999E-2</v>
      </c>
      <c r="CH104" s="277">
        <v>5.3999999999999999E-2</v>
      </c>
      <c r="CI104" s="277">
        <v>5.3999999999999999E-2</v>
      </c>
      <c r="CJ104" s="278">
        <v>5.3999999999999999E-2</v>
      </c>
      <c r="CK104" s="277">
        <v>5.3999999999999999E-2</v>
      </c>
      <c r="CL104" s="277">
        <v>5.3999999999999999E-2</v>
      </c>
      <c r="CM104" s="277">
        <v>5.3999999999999999E-2</v>
      </c>
      <c r="CN104" s="278">
        <v>5.3999999999999999E-2</v>
      </c>
      <c r="CO104" s="277">
        <v>5.3999999999999999E-2</v>
      </c>
      <c r="CP104" s="277">
        <v>5.3999999999999999E-2</v>
      </c>
      <c r="CQ104" s="442">
        <v>5.3999999999999999E-2</v>
      </c>
      <c r="CR104" s="277">
        <v>5.3999999999999999E-2</v>
      </c>
      <c r="CS104" s="277">
        <v>5.3999999999999999E-2</v>
      </c>
      <c r="CT104" s="277">
        <v>5.3999999999999999E-2</v>
      </c>
      <c r="CU104" s="277">
        <v>5.3999999999999999E-2</v>
      </c>
      <c r="CV104" s="278">
        <v>5.3999999999999999E-2</v>
      </c>
      <c r="CW104" s="277">
        <v>5.3999999999999999E-2</v>
      </c>
      <c r="CX104" s="277">
        <v>5.3999999999999999E-2</v>
      </c>
      <c r="CY104" s="277">
        <v>5.3999999999999999E-2</v>
      </c>
      <c r="CZ104" s="278">
        <v>5.3999999999999999E-2</v>
      </c>
      <c r="DA104" s="1085">
        <v>5.3999999999999999E-2</v>
      </c>
      <c r="DB104" s="1085">
        <v>5.3999999999999999E-2</v>
      </c>
      <c r="DC104" s="442">
        <v>5.3999999999999999E-2</v>
      </c>
      <c r="DD104" s="278">
        <v>5.3999999999999999E-2</v>
      </c>
      <c r="DE104" s="1085">
        <v>5.3999999999999999E-2</v>
      </c>
      <c r="DF104" s="1085">
        <v>5.3999999999999999E-2</v>
      </c>
      <c r="DG104" s="442">
        <v>5.3999999999999999E-2</v>
      </c>
      <c r="DH104" s="1085">
        <v>5.3999999999999999E-2</v>
      </c>
      <c r="DI104" s="1085">
        <v>5.3999999999999999E-2</v>
      </c>
      <c r="DJ104" s="1085">
        <v>5.3999999999999999E-2</v>
      </c>
      <c r="DK104" s="3010">
        <f>+Valuation!$E$15</f>
        <v>2.5000000000000001E-2</v>
      </c>
      <c r="DL104" s="3011">
        <f>+Valuation!$E$15</f>
        <v>2.5000000000000001E-2</v>
      </c>
      <c r="DM104" s="3011">
        <f>+Valuation!$E$15</f>
        <v>2.5000000000000001E-2</v>
      </c>
      <c r="DN104" s="3011">
        <f>+Valuation!$E$15</f>
        <v>2.5000000000000001E-2</v>
      </c>
      <c r="DO104" s="3010">
        <f>+Valuation!$E$15</f>
        <v>2.5000000000000001E-2</v>
      </c>
      <c r="DP104" s="3011">
        <f>+Valuation!$E$15</f>
        <v>2.5000000000000001E-2</v>
      </c>
      <c r="DQ104" s="3011">
        <f>+Valuation!$E$15</f>
        <v>2.5000000000000001E-2</v>
      </c>
      <c r="DR104" s="3011">
        <f>+Valuation!$E$15</f>
        <v>2.5000000000000001E-2</v>
      </c>
      <c r="DS104" s="3010">
        <f>+Valuation!$E$15</f>
        <v>2.5000000000000001E-2</v>
      </c>
      <c r="DT104" s="277"/>
    </row>
    <row r="105" spans="1:124">
      <c r="A105" s="206" t="s">
        <v>1097</v>
      </c>
      <c r="B105" s="206"/>
      <c r="C105" s="206"/>
      <c r="D105" s="206">
        <v>0.86</v>
      </c>
      <c r="E105" s="206">
        <v>0.86</v>
      </c>
      <c r="F105" s="206">
        <v>0.86</v>
      </c>
      <c r="G105" s="206">
        <v>0.86</v>
      </c>
      <c r="H105" s="206">
        <v>0.86</v>
      </c>
      <c r="I105" s="206">
        <v>0.86</v>
      </c>
      <c r="J105" s="206">
        <v>0.86</v>
      </c>
      <c r="K105" s="206">
        <v>0.86</v>
      </c>
      <c r="L105" s="206">
        <v>0.86</v>
      </c>
      <c r="M105" s="206">
        <v>0.86</v>
      </c>
      <c r="N105" s="206">
        <v>0.86</v>
      </c>
      <c r="O105" s="206">
        <v>1.86</v>
      </c>
      <c r="P105" s="206">
        <v>0.86</v>
      </c>
      <c r="Q105" s="1071">
        <v>0.86</v>
      </c>
      <c r="R105" s="206">
        <v>0.86</v>
      </c>
      <c r="S105" s="206">
        <v>0.86</v>
      </c>
      <c r="T105" s="1071">
        <v>0.86</v>
      </c>
      <c r="U105" s="1071">
        <v>0.86</v>
      </c>
      <c r="V105" s="206">
        <v>0.86</v>
      </c>
      <c r="W105" s="206">
        <v>2.86</v>
      </c>
      <c r="X105" s="206">
        <v>2.86</v>
      </c>
      <c r="Y105" s="206">
        <v>2.86</v>
      </c>
      <c r="Z105" s="206">
        <v>2.86</v>
      </c>
      <c r="AA105" s="206">
        <v>2.86</v>
      </c>
      <c r="AB105" s="206">
        <v>2.86</v>
      </c>
      <c r="AC105" s="206">
        <v>2.86</v>
      </c>
      <c r="AD105" s="206">
        <v>2.86</v>
      </c>
      <c r="AE105" s="206">
        <v>2.86</v>
      </c>
      <c r="AF105" s="206">
        <v>2.86</v>
      </c>
      <c r="AG105" s="206">
        <v>2.86</v>
      </c>
      <c r="AH105" s="206"/>
      <c r="AI105" s="273"/>
      <c r="AJ105" s="206">
        <v>0.86</v>
      </c>
      <c r="AK105" s="206">
        <v>0.86</v>
      </c>
      <c r="AL105" s="206">
        <v>0.86</v>
      </c>
      <c r="AM105" s="206">
        <v>0.86</v>
      </c>
      <c r="AN105" s="206">
        <v>0.86</v>
      </c>
      <c r="AO105" s="206">
        <v>0.86</v>
      </c>
      <c r="AP105" s="206">
        <v>0.86</v>
      </c>
      <c r="AQ105" s="206">
        <v>0.86</v>
      </c>
      <c r="AR105" s="206">
        <v>0.86</v>
      </c>
      <c r="AS105" s="206">
        <v>0.86</v>
      </c>
      <c r="AT105" s="206">
        <v>0.86</v>
      </c>
      <c r="AU105" s="206">
        <v>0.86</v>
      </c>
      <c r="AV105" s="206">
        <v>0.86</v>
      </c>
      <c r="AW105" s="206">
        <v>0.86</v>
      </c>
      <c r="AX105" s="206">
        <v>0.86</v>
      </c>
      <c r="AY105" s="206">
        <v>0.86</v>
      </c>
      <c r="AZ105" s="206">
        <v>0.86</v>
      </c>
      <c r="BA105" s="206">
        <v>0.86</v>
      </c>
      <c r="BB105" s="206">
        <v>0.86</v>
      </c>
      <c r="BC105" s="206">
        <v>0.86</v>
      </c>
      <c r="BD105" s="206">
        <v>0.86</v>
      </c>
      <c r="BE105" s="206">
        <v>0.86</v>
      </c>
      <c r="BF105" s="206">
        <v>0.86</v>
      </c>
      <c r="BG105" s="206">
        <v>0.86</v>
      </c>
      <c r="BH105" s="206">
        <v>0.86</v>
      </c>
      <c r="BI105" s="206">
        <v>0.86</v>
      </c>
      <c r="BJ105" s="206">
        <v>0.86</v>
      </c>
      <c r="BK105" s="206">
        <v>0.86</v>
      </c>
      <c r="BL105" s="273">
        <v>0.86</v>
      </c>
      <c r="BM105" s="206">
        <v>0.86</v>
      </c>
      <c r="BN105" s="206">
        <v>0.86</v>
      </c>
      <c r="BO105" s="206">
        <v>0.86</v>
      </c>
      <c r="BP105" s="273">
        <v>0.86</v>
      </c>
      <c r="BQ105" s="206">
        <v>0.86</v>
      </c>
      <c r="BR105" s="206">
        <v>0.86</v>
      </c>
      <c r="BS105" s="206">
        <v>0.86</v>
      </c>
      <c r="BT105" s="273">
        <v>0.86</v>
      </c>
      <c r="BU105" s="206">
        <v>0.86</v>
      </c>
      <c r="BV105" s="206">
        <v>0.86</v>
      </c>
      <c r="BW105" s="206">
        <v>0.86</v>
      </c>
      <c r="BX105" s="273">
        <v>0.86</v>
      </c>
      <c r="BY105" s="206">
        <v>0.86</v>
      </c>
      <c r="BZ105" s="206">
        <v>0.86</v>
      </c>
      <c r="CA105" s="206">
        <v>0.86</v>
      </c>
      <c r="CB105" s="273">
        <v>0.86</v>
      </c>
      <c r="CC105" s="206">
        <v>0.86</v>
      </c>
      <c r="CD105" s="206">
        <v>0.86</v>
      </c>
      <c r="CE105" s="206">
        <v>0.86</v>
      </c>
      <c r="CF105" s="273">
        <v>0.86</v>
      </c>
      <c r="CG105" s="206">
        <v>0.86</v>
      </c>
      <c r="CH105" s="206">
        <v>0.86</v>
      </c>
      <c r="CI105" s="206">
        <v>0.86</v>
      </c>
      <c r="CJ105" s="273">
        <v>0.86</v>
      </c>
      <c r="CK105" s="206">
        <v>0.86</v>
      </c>
      <c r="CL105" s="206">
        <v>0.86</v>
      </c>
      <c r="CM105" s="206">
        <v>0.86</v>
      </c>
      <c r="CN105" s="273">
        <v>0.86</v>
      </c>
      <c r="CO105" s="206">
        <v>0.86</v>
      </c>
      <c r="CP105" s="206">
        <v>0.86</v>
      </c>
      <c r="CQ105" s="274">
        <v>0.86</v>
      </c>
      <c r="CR105" s="206">
        <v>0.86</v>
      </c>
      <c r="CS105" s="206">
        <v>0.86</v>
      </c>
      <c r="CT105" s="206">
        <v>0.86</v>
      </c>
      <c r="CU105" s="206">
        <v>0.86</v>
      </c>
      <c r="CV105" s="273">
        <v>0.86</v>
      </c>
      <c r="CW105" s="206">
        <v>0.86</v>
      </c>
      <c r="CX105" s="206">
        <v>0.86</v>
      </c>
      <c r="CY105" s="206">
        <v>0.86</v>
      </c>
      <c r="CZ105" s="273">
        <v>0.86</v>
      </c>
      <c r="DA105" s="1071">
        <v>0.86</v>
      </c>
      <c r="DB105" s="1071">
        <v>0.86</v>
      </c>
      <c r="DC105" s="274">
        <v>0.86</v>
      </c>
      <c r="DD105" s="273">
        <v>0.86</v>
      </c>
      <c r="DE105" s="1071">
        <v>0.86</v>
      </c>
      <c r="DF105" s="1071">
        <v>0.86</v>
      </c>
      <c r="DG105" s="274">
        <v>0.86</v>
      </c>
      <c r="DH105" s="1071">
        <v>0.86</v>
      </c>
      <c r="DI105" s="1071">
        <v>0.86</v>
      </c>
      <c r="DJ105" s="1071">
        <v>0.86</v>
      </c>
      <c r="DK105" s="274">
        <v>0.86</v>
      </c>
      <c r="DL105" s="1071">
        <v>0.86</v>
      </c>
      <c r="DM105" s="1071">
        <v>0.86</v>
      </c>
      <c r="DN105" s="1071">
        <v>0.86</v>
      </c>
      <c r="DO105" s="274">
        <v>0.86</v>
      </c>
      <c r="DP105" s="1071">
        <v>0.86</v>
      </c>
      <c r="DQ105" s="1071">
        <v>0.86</v>
      </c>
      <c r="DR105" s="1071">
        <v>0.86</v>
      </c>
      <c r="DS105" s="274">
        <v>0.86</v>
      </c>
      <c r="DT105" s="206"/>
    </row>
    <row r="106" spans="1:124">
      <c r="A106" s="277" t="s">
        <v>1098</v>
      </c>
      <c r="B106" s="277"/>
      <c r="C106" s="277"/>
      <c r="D106" s="277">
        <v>4.3799999999999999E-2</v>
      </c>
      <c r="E106" s="277">
        <v>4.3799999999999999E-2</v>
      </c>
      <c r="F106" s="277">
        <v>4.3799999999999999E-2</v>
      </c>
      <c r="G106" s="277">
        <v>4.3799999999999999E-2</v>
      </c>
      <c r="H106" s="277">
        <v>4.3799999999999999E-2</v>
      </c>
      <c r="I106" s="277">
        <v>4.3799999999999999E-2</v>
      </c>
      <c r="J106" s="277">
        <v>4.3799999999999999E-2</v>
      </c>
      <c r="K106" s="277">
        <v>4.3799999999999999E-2</v>
      </c>
      <c r="L106" s="277">
        <v>4.3799999999999999E-2</v>
      </c>
      <c r="M106" s="277">
        <v>4.3799999999999999E-2</v>
      </c>
      <c r="N106" s="277">
        <v>4.3799999999999999E-2</v>
      </c>
      <c r="O106" s="277">
        <v>1.0438000000000001</v>
      </c>
      <c r="P106" s="277">
        <v>4.3799999999999999E-2</v>
      </c>
      <c r="Q106" s="1085">
        <v>4.3799999999999999E-2</v>
      </c>
      <c r="R106" s="277">
        <v>4.3799999999999999E-2</v>
      </c>
      <c r="S106" s="277">
        <v>4.3799999999999999E-2</v>
      </c>
      <c r="T106" s="1085">
        <v>4.3799999999999999E-2</v>
      </c>
      <c r="U106" s="1085">
        <v>4.3799999999999999E-2</v>
      </c>
      <c r="V106" s="277">
        <v>4.3799999999999999E-2</v>
      </c>
      <c r="W106" s="277">
        <v>2.0438000000000001</v>
      </c>
      <c r="X106" s="277">
        <v>2.0438000000000001</v>
      </c>
      <c r="Y106" s="277">
        <v>2.0438000000000001</v>
      </c>
      <c r="Z106" s="277">
        <v>2.0438000000000001</v>
      </c>
      <c r="AA106" s="277">
        <v>2.0438000000000001</v>
      </c>
      <c r="AB106" s="277">
        <v>2.0438000000000001</v>
      </c>
      <c r="AC106" s="277">
        <v>2.0438000000000001</v>
      </c>
      <c r="AD106" s="277">
        <v>2.0438000000000001</v>
      </c>
      <c r="AE106" s="277">
        <v>2.0438000000000001</v>
      </c>
      <c r="AF106" s="277">
        <v>2.0438000000000001</v>
      </c>
      <c r="AG106" s="277">
        <v>2.0438000000000001</v>
      </c>
      <c r="AH106" s="277"/>
      <c r="AI106" s="278"/>
      <c r="AJ106" s="277">
        <v>4.3799999999999999E-2</v>
      </c>
      <c r="AK106" s="277">
        <v>4.3799999999999999E-2</v>
      </c>
      <c r="AL106" s="277">
        <v>4.3799999999999999E-2</v>
      </c>
      <c r="AM106" s="277">
        <v>4.3799999999999999E-2</v>
      </c>
      <c r="AN106" s="277">
        <v>4.3799999999999999E-2</v>
      </c>
      <c r="AO106" s="277">
        <v>4.3799999999999999E-2</v>
      </c>
      <c r="AP106" s="277">
        <v>4.3799999999999999E-2</v>
      </c>
      <c r="AQ106" s="277">
        <v>4.3799999999999999E-2</v>
      </c>
      <c r="AR106" s="277">
        <v>4.3799999999999999E-2</v>
      </c>
      <c r="AS106" s="277">
        <v>4.3799999999999999E-2</v>
      </c>
      <c r="AT106" s="277">
        <v>4.3799999999999999E-2</v>
      </c>
      <c r="AU106" s="277">
        <v>4.3799999999999999E-2</v>
      </c>
      <c r="AV106" s="277">
        <v>4.3799999999999999E-2</v>
      </c>
      <c r="AW106" s="277">
        <v>4.3799999999999999E-2</v>
      </c>
      <c r="AX106" s="277">
        <v>4.3799999999999999E-2</v>
      </c>
      <c r="AY106" s="277">
        <v>4.3799999999999999E-2</v>
      </c>
      <c r="AZ106" s="277">
        <v>4.3799999999999999E-2</v>
      </c>
      <c r="BA106" s="277">
        <v>4.3799999999999999E-2</v>
      </c>
      <c r="BB106" s="277">
        <v>4.3799999999999999E-2</v>
      </c>
      <c r="BC106" s="277">
        <v>4.3799999999999999E-2</v>
      </c>
      <c r="BD106" s="277">
        <v>4.3799999999999999E-2</v>
      </c>
      <c r="BE106" s="277">
        <v>4.3799999999999999E-2</v>
      </c>
      <c r="BF106" s="277">
        <v>4.3799999999999999E-2</v>
      </c>
      <c r="BG106" s="277">
        <v>4.3799999999999999E-2</v>
      </c>
      <c r="BH106" s="277">
        <v>4.3799999999999999E-2</v>
      </c>
      <c r="BI106" s="277">
        <v>4.3799999999999999E-2</v>
      </c>
      <c r="BJ106" s="277">
        <v>4.3799999999999999E-2</v>
      </c>
      <c r="BK106" s="277">
        <v>4.3799999999999999E-2</v>
      </c>
      <c r="BL106" s="278">
        <v>4.3799999999999999E-2</v>
      </c>
      <c r="BM106" s="277">
        <v>4.3799999999999999E-2</v>
      </c>
      <c r="BN106" s="277">
        <v>4.3799999999999999E-2</v>
      </c>
      <c r="BO106" s="277">
        <v>4.3799999999999999E-2</v>
      </c>
      <c r="BP106" s="278">
        <v>4.3799999999999999E-2</v>
      </c>
      <c r="BQ106" s="277">
        <v>4.3799999999999999E-2</v>
      </c>
      <c r="BR106" s="277">
        <v>4.3799999999999999E-2</v>
      </c>
      <c r="BS106" s="277">
        <v>4.3799999999999999E-2</v>
      </c>
      <c r="BT106" s="278">
        <v>4.3799999999999999E-2</v>
      </c>
      <c r="BU106" s="277">
        <v>4.3799999999999999E-2</v>
      </c>
      <c r="BV106" s="277">
        <v>4.3799999999999999E-2</v>
      </c>
      <c r="BW106" s="277">
        <v>4.3799999999999999E-2</v>
      </c>
      <c r="BX106" s="278">
        <v>4.3799999999999999E-2</v>
      </c>
      <c r="BY106" s="277">
        <v>4.3799999999999999E-2</v>
      </c>
      <c r="BZ106" s="277">
        <v>4.3799999999999999E-2</v>
      </c>
      <c r="CA106" s="277">
        <v>4.3799999999999999E-2</v>
      </c>
      <c r="CB106" s="278">
        <v>4.3799999999999999E-2</v>
      </c>
      <c r="CC106" s="277">
        <v>4.3799999999999999E-2</v>
      </c>
      <c r="CD106" s="277">
        <v>4.3799999999999999E-2</v>
      </c>
      <c r="CE106" s="277">
        <v>4.3799999999999999E-2</v>
      </c>
      <c r="CF106" s="278">
        <v>4.3799999999999999E-2</v>
      </c>
      <c r="CG106" s="277">
        <v>4.3799999999999999E-2</v>
      </c>
      <c r="CH106" s="277">
        <v>4.3799999999999999E-2</v>
      </c>
      <c r="CI106" s="277">
        <v>4.3799999999999999E-2</v>
      </c>
      <c r="CJ106" s="278">
        <v>4.3799999999999999E-2</v>
      </c>
      <c r="CK106" s="277">
        <v>4.3799999999999999E-2</v>
      </c>
      <c r="CL106" s="277">
        <v>4.3799999999999999E-2</v>
      </c>
      <c r="CM106" s="277">
        <v>4.3799999999999999E-2</v>
      </c>
      <c r="CN106" s="278">
        <v>4.3799999999999999E-2</v>
      </c>
      <c r="CO106" s="277">
        <v>4.3799999999999999E-2</v>
      </c>
      <c r="CP106" s="277">
        <v>4.3799999999999999E-2</v>
      </c>
      <c r="CQ106" s="442">
        <v>4.3799999999999999E-2</v>
      </c>
      <c r="CR106" s="277">
        <v>4.3799999999999999E-2</v>
      </c>
      <c r="CS106" s="277">
        <v>4.3799999999999999E-2</v>
      </c>
      <c r="CT106" s="277">
        <v>4.3799999999999999E-2</v>
      </c>
      <c r="CU106" s="277">
        <v>4.3799999999999999E-2</v>
      </c>
      <c r="CV106" s="278">
        <v>4.3799999999999999E-2</v>
      </c>
      <c r="CW106" s="277">
        <v>4.3799999999999999E-2</v>
      </c>
      <c r="CX106" s="277">
        <v>4.3799999999999999E-2</v>
      </c>
      <c r="CY106" s="277">
        <v>4.3799999999999999E-2</v>
      </c>
      <c r="CZ106" s="278">
        <v>4.3799999999999999E-2</v>
      </c>
      <c r="DA106" s="1085">
        <v>4.3799999999999999E-2</v>
      </c>
      <c r="DB106" s="1085">
        <v>4.3799999999999999E-2</v>
      </c>
      <c r="DC106" s="442">
        <v>4.3799999999999999E-2</v>
      </c>
      <c r="DD106" s="278">
        <v>4.3799999999999999E-2</v>
      </c>
      <c r="DE106" s="1085">
        <v>4.3799999999999999E-2</v>
      </c>
      <c r="DF106" s="1085">
        <v>4.3799999999999999E-2</v>
      </c>
      <c r="DG106" s="442">
        <v>4.3799999999999999E-2</v>
      </c>
      <c r="DH106" s="1085">
        <v>4.3799999999999999E-2</v>
      </c>
      <c r="DI106" s="1085">
        <v>4.3799999999999999E-2</v>
      </c>
      <c r="DJ106" s="1085">
        <v>4.3799999999999999E-2</v>
      </c>
      <c r="DK106" s="442">
        <v>4.3799999999999999E-2</v>
      </c>
      <c r="DL106" s="1085">
        <v>4.3799999999999999E-2</v>
      </c>
      <c r="DM106" s="1085">
        <v>4.3799999999999999E-2</v>
      </c>
      <c r="DN106" s="1085">
        <v>4.3799999999999999E-2</v>
      </c>
      <c r="DO106" s="442">
        <v>4.3799999999999999E-2</v>
      </c>
      <c r="DP106" s="1085">
        <v>4.3799999999999999E-2</v>
      </c>
      <c r="DQ106" s="1085">
        <v>4.3799999999999999E-2</v>
      </c>
      <c r="DR106" s="1085">
        <v>4.3799999999999999E-2</v>
      </c>
      <c r="DS106" s="442">
        <v>4.3799999999999999E-2</v>
      </c>
      <c r="DT106" s="277"/>
    </row>
    <row r="107" spans="1:124">
      <c r="A107" s="109" t="s">
        <v>1443</v>
      </c>
      <c r="B107" s="109"/>
      <c r="C107" s="109"/>
      <c r="D107" s="109"/>
      <c r="E107" s="109">
        <v>44554</v>
      </c>
      <c r="F107" s="109">
        <v>46868</v>
      </c>
      <c r="G107" s="109">
        <v>47245</v>
      </c>
      <c r="H107" s="109">
        <v>49079</v>
      </c>
      <c r="I107" s="109">
        <v>49635</v>
      </c>
      <c r="J107" s="109">
        <v>47208</v>
      </c>
      <c r="K107" s="109">
        <v>45263</v>
      </c>
      <c r="L107" s="109">
        <v>43781</v>
      </c>
      <c r="M107" s="109">
        <v>42621.539981992661</v>
      </c>
      <c r="N107" s="109">
        <v>41858.521016214174</v>
      </c>
      <c r="O107" s="109">
        <f t="shared" ref="O107:W107" si="120">+O13+O17</f>
        <v>48493</v>
      </c>
      <c r="P107" s="109">
        <f t="shared" si="120"/>
        <v>47764</v>
      </c>
      <c r="Q107" s="1044">
        <f t="shared" si="120"/>
        <v>42088</v>
      </c>
      <c r="R107" s="109">
        <f t="shared" si="120"/>
        <v>41019</v>
      </c>
      <c r="S107" s="109">
        <f t="shared" si="120"/>
        <v>40721</v>
      </c>
      <c r="T107" s="1044">
        <f t="shared" si="120"/>
        <v>39721</v>
      </c>
      <c r="U107" s="1044">
        <f t="shared" si="120"/>
        <v>38928</v>
      </c>
      <c r="V107" s="109">
        <f t="shared" si="120"/>
        <v>39177</v>
      </c>
      <c r="W107" s="109">
        <f t="shared" si="120"/>
        <v>37741</v>
      </c>
      <c r="X107" s="109">
        <f>+X13+X17</f>
        <v>36269</v>
      </c>
      <c r="Y107" s="109">
        <f>+Y13+Y17</f>
        <v>38523</v>
      </c>
      <c r="Z107" s="109">
        <f>+Z13+Z17</f>
        <v>39944.788239068104</v>
      </c>
      <c r="AA107" s="109">
        <f>+AA13+AA17</f>
        <v>39714.013723668526</v>
      </c>
      <c r="AB107" s="109">
        <f>+AB13+AB17</f>
        <v>39492.80860959753</v>
      </c>
      <c r="AC107" s="109">
        <f t="shared" ref="AC107:AG107" si="121">+AC13+AC17</f>
        <v>39298.491634792845</v>
      </c>
      <c r="AD107" s="109">
        <f t="shared" si="121"/>
        <v>39127.160049020058</v>
      </c>
      <c r="AE107" s="109">
        <f t="shared" si="121"/>
        <v>38975.735147631814</v>
      </c>
      <c r="AF107" s="109">
        <f t="shared" si="121"/>
        <v>38841.796449070447</v>
      </c>
      <c r="AG107" s="109">
        <f t="shared" si="121"/>
        <v>38723.451455734881</v>
      </c>
      <c r="AH107" s="109"/>
      <c r="AI107" s="171"/>
      <c r="AJ107" s="109">
        <v>10639</v>
      </c>
      <c r="AK107" s="109">
        <v>11141</v>
      </c>
      <c r="AL107" s="109">
        <v>11095</v>
      </c>
      <c r="AM107" s="109">
        <v>11679</v>
      </c>
      <c r="AN107" s="109">
        <v>11172</v>
      </c>
      <c r="AO107" s="109">
        <v>11717</v>
      </c>
      <c r="AP107" s="109">
        <v>11809</v>
      </c>
      <c r="AQ107" s="109">
        <v>12170</v>
      </c>
      <c r="AR107" s="109">
        <v>11265</v>
      </c>
      <c r="AS107" s="109">
        <v>11822</v>
      </c>
      <c r="AT107" s="109">
        <v>11865</v>
      </c>
      <c r="AU107" s="109">
        <v>12293</v>
      </c>
      <c r="AV107" s="109">
        <v>11726</v>
      </c>
      <c r="AW107" s="109">
        <v>12293</v>
      </c>
      <c r="AX107" s="109">
        <v>12315</v>
      </c>
      <c r="AY107" s="109">
        <v>12745</v>
      </c>
      <c r="AZ107" s="109">
        <v>12161</v>
      </c>
      <c r="BA107" s="109">
        <v>12505</v>
      </c>
      <c r="BB107" s="109">
        <v>12446</v>
      </c>
      <c r="BC107" s="109">
        <v>12523</v>
      </c>
      <c r="BD107" s="109">
        <v>11614</v>
      </c>
      <c r="BE107" s="109">
        <v>11715</v>
      </c>
      <c r="BF107" s="109">
        <v>11948</v>
      </c>
      <c r="BG107" s="109">
        <v>11931</v>
      </c>
      <c r="BH107" s="109">
        <v>11404</v>
      </c>
      <c r="BI107" s="109">
        <v>11352</v>
      </c>
      <c r="BJ107" s="109">
        <v>11213</v>
      </c>
      <c r="BK107" s="109">
        <v>11294</v>
      </c>
      <c r="BL107" s="171">
        <v>10974</v>
      </c>
      <c r="BM107" s="109">
        <v>10991</v>
      </c>
      <c r="BN107" s="109">
        <v>10895</v>
      </c>
      <c r="BO107" s="109">
        <v>10921</v>
      </c>
      <c r="BP107" s="171">
        <v>10707.915833601599</v>
      </c>
      <c r="BQ107" s="109">
        <v>10680.247331846662</v>
      </c>
      <c r="BR107" s="109">
        <v>10578.375571829476</v>
      </c>
      <c r="BS107" s="109">
        <v>10655.001244714926</v>
      </c>
      <c r="BT107" s="171">
        <v>10655.001244714926</v>
      </c>
      <c r="BU107" s="109">
        <v>10655.001244714926</v>
      </c>
      <c r="BV107" s="109">
        <v>10655.001244714926</v>
      </c>
      <c r="BW107" s="109">
        <v>10655.001244714926</v>
      </c>
      <c r="BX107" s="171">
        <v>10655.0012447149</v>
      </c>
      <c r="BY107" s="109">
        <v>10655.0012447149</v>
      </c>
      <c r="BZ107" s="109">
        <v>10655.0012447149</v>
      </c>
      <c r="CA107" s="109">
        <v>10655.0012447149</v>
      </c>
      <c r="CB107" s="171">
        <v>10655.0012447149</v>
      </c>
      <c r="CC107" s="109">
        <v>10655.0012447149</v>
      </c>
      <c r="CD107" s="109">
        <v>10655.0012447149</v>
      </c>
      <c r="CE107" s="109">
        <v>10655.0012447149</v>
      </c>
      <c r="CF107" s="171">
        <v>10655.0012447149</v>
      </c>
      <c r="CG107" s="109">
        <v>10655.0012447149</v>
      </c>
      <c r="CH107" s="109">
        <v>10655.0012447149</v>
      </c>
      <c r="CI107" s="109">
        <v>10655.0012447149</v>
      </c>
      <c r="CJ107" s="171">
        <f t="shared" ref="CJ107:CY107" si="122">+CJ13+CJ17</f>
        <v>10323</v>
      </c>
      <c r="CK107" s="109">
        <f t="shared" si="122"/>
        <v>10215</v>
      </c>
      <c r="CL107" s="109">
        <f t="shared" si="122"/>
        <v>10234</v>
      </c>
      <c r="CM107" s="109">
        <f t="shared" si="122"/>
        <v>10247</v>
      </c>
      <c r="CN107" s="171">
        <f t="shared" si="122"/>
        <v>10109</v>
      </c>
      <c r="CO107" s="109">
        <f t="shared" si="122"/>
        <v>10243</v>
      </c>
      <c r="CP107" s="109">
        <f t="shared" si="122"/>
        <v>10187</v>
      </c>
      <c r="CQ107" s="172">
        <f t="shared" si="122"/>
        <v>10182</v>
      </c>
      <c r="CR107" s="109">
        <f t="shared" si="122"/>
        <v>9969</v>
      </c>
      <c r="CS107" s="109">
        <f t="shared" si="122"/>
        <v>9948</v>
      </c>
      <c r="CT107" s="109">
        <f t="shared" si="122"/>
        <v>9983</v>
      </c>
      <c r="CU107" s="109">
        <f t="shared" si="122"/>
        <v>9821</v>
      </c>
      <c r="CV107" s="171">
        <f t="shared" si="122"/>
        <v>9717</v>
      </c>
      <c r="CW107" s="109">
        <f t="shared" si="122"/>
        <v>9681</v>
      </c>
      <c r="CX107" s="109">
        <f t="shared" si="122"/>
        <v>9723</v>
      </c>
      <c r="CY107" s="109">
        <f t="shared" si="122"/>
        <v>9807</v>
      </c>
      <c r="CZ107" s="171">
        <f t="shared" ref="CZ107:DF107" si="123">+CZ13+CZ17</f>
        <v>9811</v>
      </c>
      <c r="DA107" s="1044">
        <f t="shared" si="123"/>
        <v>9872</v>
      </c>
      <c r="DB107" s="1044">
        <f t="shared" si="123"/>
        <v>9751</v>
      </c>
      <c r="DC107" s="172">
        <f t="shared" si="123"/>
        <v>9743</v>
      </c>
      <c r="DD107" s="171">
        <f>+DD13+DD17</f>
        <v>9101</v>
      </c>
      <c r="DE107" s="1044">
        <f t="shared" si="123"/>
        <v>9064</v>
      </c>
      <c r="DF107" s="1044">
        <f t="shared" si="123"/>
        <v>9609</v>
      </c>
      <c r="DG107" s="172">
        <f>+DG13+DG17</f>
        <v>9967</v>
      </c>
      <c r="DH107" s="1044">
        <f>+DH13+DH17</f>
        <v>9642</v>
      </c>
      <c r="DI107" s="1044">
        <f>+DI13+DI17</f>
        <v>8828</v>
      </c>
      <c r="DJ107" s="1044">
        <f>+DJ13+DJ17</f>
        <v>8836</v>
      </c>
      <c r="DK107" s="172">
        <f>+DK13+DK17</f>
        <v>8963</v>
      </c>
      <c r="DL107" s="1044">
        <f t="shared" ref="DL107:DO107" si="124">+DL13+DL17</f>
        <v>8936</v>
      </c>
      <c r="DM107" s="1044">
        <f t="shared" si="124"/>
        <v>9266</v>
      </c>
      <c r="DN107" s="1044">
        <f t="shared" si="124"/>
        <v>10137</v>
      </c>
      <c r="DO107" s="172">
        <f t="shared" si="124"/>
        <v>10184</v>
      </c>
      <c r="DP107" s="1044">
        <f t="shared" ref="DP107:DS107" si="125">+DP13+DP17</f>
        <v>9872</v>
      </c>
      <c r="DQ107" s="1044">
        <f t="shared" si="125"/>
        <v>9857.0353558806746</v>
      </c>
      <c r="DR107" s="1044">
        <f t="shared" si="125"/>
        <v>10079.372776678087</v>
      </c>
      <c r="DS107" s="172">
        <f t="shared" si="125"/>
        <v>10136.380106509343</v>
      </c>
      <c r="DT107" s="109"/>
    </row>
    <row r="108" spans="1:124">
      <c r="A108" s="109" t="s">
        <v>1444</v>
      </c>
      <c r="B108" s="443"/>
      <c r="C108" s="109"/>
      <c r="D108" s="109"/>
      <c r="E108" s="109">
        <v>19146</v>
      </c>
      <c r="F108" s="109">
        <v>20302</v>
      </c>
      <c r="G108" s="109">
        <v>21155</v>
      </c>
      <c r="H108" s="109">
        <v>20983</v>
      </c>
      <c r="I108" s="109">
        <v>21992</v>
      </c>
      <c r="J108" s="109">
        <v>22191</v>
      </c>
      <c r="K108" s="109">
        <v>18974</v>
      </c>
      <c r="L108" s="109">
        <v>17296</v>
      </c>
      <c r="M108" s="109">
        <v>17671</v>
      </c>
      <c r="N108" s="109">
        <f t="shared" ref="N108:W108" si="126">N67+SUM(N69:N71)</f>
        <v>14733.902132154306</v>
      </c>
      <c r="O108" s="109">
        <f t="shared" si="126"/>
        <v>13716</v>
      </c>
      <c r="P108" s="109">
        <f t="shared" si="126"/>
        <v>18106</v>
      </c>
      <c r="Q108" s="1044">
        <f t="shared" si="126"/>
        <v>8172</v>
      </c>
      <c r="R108" s="109">
        <f t="shared" si="126"/>
        <v>8296</v>
      </c>
      <c r="S108" s="109">
        <f t="shared" si="126"/>
        <v>8961</v>
      </c>
      <c r="T108" s="1044">
        <f t="shared" si="126"/>
        <v>7689</v>
      </c>
      <c r="U108" s="1044">
        <f t="shared" si="126"/>
        <v>7822</v>
      </c>
      <c r="V108" s="109">
        <f t="shared" si="126"/>
        <v>8035</v>
      </c>
      <c r="W108" s="109">
        <f t="shared" si="126"/>
        <v>5415</v>
      </c>
      <c r="X108" s="109">
        <f>X67+SUM(X69:X71)</f>
        <v>5200</v>
      </c>
      <c r="Y108" s="109">
        <f>Y67+SUM(Y69:Y71)</f>
        <v>8055</v>
      </c>
      <c r="Z108" s="109">
        <f ca="1">Z67+SUM(Z69:Z71)</f>
        <v>6940.9754225687102</v>
      </c>
      <c r="AA108" s="109">
        <f ca="1">AA67+SUM(AA69:AA71)</f>
        <v>8022.8840024959482</v>
      </c>
      <c r="AB108" s="109">
        <f ca="1">AB67+SUM(AB69:AB71)</f>
        <v>7940.2829646486443</v>
      </c>
      <c r="AC108" s="109">
        <f t="shared" ref="AC108:AG108" ca="1" si="127">AC67+SUM(AC69:AC71)</f>
        <v>7869.4794163841034</v>
      </c>
      <c r="AD108" s="109">
        <f t="shared" ca="1" si="127"/>
        <v>7808.1291275200801</v>
      </c>
      <c r="AE108" s="109">
        <f t="shared" ca="1" si="127"/>
        <v>7754.3701701359732</v>
      </c>
      <c r="AF108" s="109">
        <f t="shared" ca="1" si="127"/>
        <v>7706.7293817092268</v>
      </c>
      <c r="AG108" s="109">
        <f t="shared" ca="1" si="127"/>
        <v>7664.0485104970376</v>
      </c>
      <c r="AH108" s="109"/>
      <c r="AI108" s="171"/>
      <c r="AJ108" s="109">
        <v>4793</v>
      </c>
      <c r="AK108" s="109">
        <v>4877</v>
      </c>
      <c r="AL108" s="109">
        <v>4894</v>
      </c>
      <c r="AM108" s="109">
        <v>4582</v>
      </c>
      <c r="AN108" s="109">
        <v>4937</v>
      </c>
      <c r="AO108" s="109">
        <v>4981</v>
      </c>
      <c r="AP108" s="109">
        <v>5196</v>
      </c>
      <c r="AQ108" s="109">
        <v>5188</v>
      </c>
      <c r="AR108" s="109">
        <v>5146</v>
      </c>
      <c r="AS108" s="109">
        <v>5118</v>
      </c>
      <c r="AT108" s="109">
        <v>5304</v>
      </c>
      <c r="AU108" s="109">
        <v>5587</v>
      </c>
      <c r="AV108" s="109">
        <v>5076</v>
      </c>
      <c r="AW108" s="109">
        <v>5635</v>
      </c>
      <c r="AX108" s="109">
        <v>5501</v>
      </c>
      <c r="AY108" s="109">
        <v>5684</v>
      </c>
      <c r="AZ108" s="109">
        <v>5678</v>
      </c>
      <c r="BA108" s="109">
        <v>5877</v>
      </c>
      <c r="BB108" s="109">
        <v>5635</v>
      </c>
      <c r="BC108" s="109">
        <v>5637</v>
      </c>
      <c r="BD108" s="109">
        <v>5415</v>
      </c>
      <c r="BE108" s="109">
        <v>5514</v>
      </c>
      <c r="BF108" s="109">
        <v>5533</v>
      </c>
      <c r="BG108" s="109">
        <v>5729</v>
      </c>
      <c r="BH108" s="109">
        <v>5198</v>
      </c>
      <c r="BI108" s="109">
        <v>4987</v>
      </c>
      <c r="BJ108" s="109">
        <v>4413</v>
      </c>
      <c r="BK108" s="109">
        <v>4376</v>
      </c>
      <c r="BL108" s="171">
        <v>4302</v>
      </c>
      <c r="BM108" s="109">
        <v>4296</v>
      </c>
      <c r="BN108" s="109">
        <v>4266</v>
      </c>
      <c r="BO108" s="109">
        <v>4432</v>
      </c>
      <c r="BP108" s="171">
        <v>4402</v>
      </c>
      <c r="BQ108" s="109">
        <v>4405</v>
      </c>
      <c r="BR108" s="109">
        <v>4525</v>
      </c>
      <c r="BS108" s="109">
        <v>4339</v>
      </c>
      <c r="BT108" s="171">
        <f t="shared" ref="BT108:CY108" si="128">BT67+SUM(BT69:BT71)</f>
        <v>4654.9021321543059</v>
      </c>
      <c r="BU108" s="109">
        <f t="shared" si="128"/>
        <v>4370</v>
      </c>
      <c r="BV108" s="109">
        <f t="shared" si="128"/>
        <v>4120</v>
      </c>
      <c r="BW108" s="109">
        <f t="shared" si="128"/>
        <v>3467</v>
      </c>
      <c r="BX108" s="171">
        <f t="shared" si="128"/>
        <v>3342</v>
      </c>
      <c r="BY108" s="109">
        <f t="shared" si="128"/>
        <v>3337</v>
      </c>
      <c r="BZ108" s="109">
        <f t="shared" si="128"/>
        <v>3450</v>
      </c>
      <c r="CA108" s="109">
        <f t="shared" si="128"/>
        <v>3587</v>
      </c>
      <c r="CB108" s="171">
        <f t="shared" si="128"/>
        <v>4579</v>
      </c>
      <c r="CC108" s="109">
        <f t="shared" si="128"/>
        <v>4574</v>
      </c>
      <c r="CD108" s="109">
        <f t="shared" si="128"/>
        <v>4576</v>
      </c>
      <c r="CE108" s="109">
        <f t="shared" si="128"/>
        <v>4377</v>
      </c>
      <c r="CF108" s="171">
        <f t="shared" si="128"/>
        <v>2041.25</v>
      </c>
      <c r="CG108" s="109">
        <f t="shared" si="128"/>
        <v>2079.25</v>
      </c>
      <c r="CH108" s="109">
        <f t="shared" si="128"/>
        <v>2044.25</v>
      </c>
      <c r="CI108" s="109">
        <f t="shared" si="128"/>
        <v>2007.25</v>
      </c>
      <c r="CJ108" s="171">
        <f t="shared" si="128"/>
        <v>2020</v>
      </c>
      <c r="CK108" s="109">
        <f t="shared" si="128"/>
        <v>2050</v>
      </c>
      <c r="CL108" s="109">
        <f t="shared" si="128"/>
        <v>2105</v>
      </c>
      <c r="CM108" s="109">
        <f t="shared" si="128"/>
        <v>2121</v>
      </c>
      <c r="CN108" s="171">
        <f t="shared" si="128"/>
        <v>2227</v>
      </c>
      <c r="CO108" s="109">
        <f t="shared" si="128"/>
        <v>2335</v>
      </c>
      <c r="CP108" s="109">
        <f t="shared" si="128"/>
        <v>1966</v>
      </c>
      <c r="CQ108" s="172">
        <f t="shared" si="128"/>
        <v>2433</v>
      </c>
      <c r="CR108" s="109">
        <f t="shared" si="128"/>
        <v>2088</v>
      </c>
      <c r="CS108" s="109">
        <f t="shared" si="128"/>
        <v>2028</v>
      </c>
      <c r="CT108" s="109">
        <f t="shared" si="128"/>
        <v>1950</v>
      </c>
      <c r="CU108" s="109">
        <f t="shared" si="128"/>
        <v>1623</v>
      </c>
      <c r="CV108" s="171">
        <f t="shared" si="128"/>
        <v>1906</v>
      </c>
      <c r="CW108" s="109">
        <f t="shared" si="128"/>
        <v>1950</v>
      </c>
      <c r="CX108" s="109">
        <f t="shared" si="128"/>
        <v>2050</v>
      </c>
      <c r="CY108" s="109">
        <f t="shared" si="128"/>
        <v>1916</v>
      </c>
      <c r="CZ108" s="171">
        <f t="shared" ref="CZ108:DF108" si="129">CZ67+SUM(CZ69:CZ71)</f>
        <v>1912</v>
      </c>
      <c r="DA108" s="1044">
        <f t="shared" si="129"/>
        <v>2041</v>
      </c>
      <c r="DB108" s="1044">
        <f t="shared" si="129"/>
        <v>1963</v>
      </c>
      <c r="DC108" s="172">
        <f t="shared" si="129"/>
        <v>2119</v>
      </c>
      <c r="DD108" s="171">
        <f>DD67+SUM(DD69:DD71)</f>
        <v>1394</v>
      </c>
      <c r="DE108" s="1044">
        <f t="shared" si="129"/>
        <v>1333</v>
      </c>
      <c r="DF108" s="1044">
        <f t="shared" si="129"/>
        <v>1414</v>
      </c>
      <c r="DG108" s="172">
        <f>DG67+SUM(DG69:DG71)</f>
        <v>1274</v>
      </c>
      <c r="DH108" s="1044">
        <f>DH67+SUM(DH69:DH71)</f>
        <v>1284</v>
      </c>
      <c r="DI108" s="1044">
        <f>DI67+SUM(DI69:DI71)</f>
        <v>780</v>
      </c>
      <c r="DJ108" s="1044">
        <f>DJ67+SUM(DJ69:DJ71)</f>
        <v>1345</v>
      </c>
      <c r="DK108" s="172">
        <f>DK67+SUM(DK69:DK71)</f>
        <v>1791</v>
      </c>
      <c r="DL108" s="1044">
        <f t="shared" ref="DL108:DO108" si="130">DL67+SUM(DL69:DL71)</f>
        <v>1952</v>
      </c>
      <c r="DM108" s="1044">
        <f t="shared" si="130"/>
        <v>1627</v>
      </c>
      <c r="DN108" s="1044">
        <f t="shared" si="130"/>
        <v>2131</v>
      </c>
      <c r="DO108" s="172">
        <f t="shared" si="130"/>
        <v>2345</v>
      </c>
      <c r="DP108" s="1044">
        <f t="shared" ref="DP108:DS108" si="131">DP67+SUM(DP69:DP71)</f>
        <v>1552</v>
      </c>
      <c r="DQ108" s="1044">
        <f t="shared" ca="1" si="131"/>
        <v>1761.5272307769064</v>
      </c>
      <c r="DR108" s="1044">
        <f t="shared" ca="1" si="131"/>
        <v>1831.0194754840613</v>
      </c>
      <c r="DS108" s="172">
        <f t="shared" ca="1" si="131"/>
        <v>1796.4287163077433</v>
      </c>
      <c r="DT108" s="109"/>
    </row>
    <row r="109" spans="1:124">
      <c r="A109" s="109" t="s">
        <v>1445</v>
      </c>
      <c r="B109" s="109"/>
      <c r="C109" s="109"/>
      <c r="D109" s="109"/>
      <c r="E109" s="109">
        <v>59050</v>
      </c>
      <c r="F109" s="109">
        <v>61562</v>
      </c>
      <c r="G109" s="109">
        <v>62016.819000000003</v>
      </c>
      <c r="H109" s="109">
        <v>61666</v>
      </c>
      <c r="I109" s="109">
        <v>60202</v>
      </c>
      <c r="J109" s="109">
        <v>57974</v>
      </c>
      <c r="K109" s="109">
        <v>54826</v>
      </c>
      <c r="L109" s="109">
        <v>52289</v>
      </c>
      <c r="M109" s="109">
        <v>48803</v>
      </c>
      <c r="N109" s="109">
        <f>Lines!N64</f>
        <v>43393</v>
      </c>
      <c r="O109" s="109">
        <f>Lines!O64</f>
        <v>34576</v>
      </c>
      <c r="P109" s="109">
        <f>Lines!P64</f>
        <v>31394.531999999999</v>
      </c>
      <c r="Q109" s="1044">
        <f>Lines!Q64</f>
        <v>28304</v>
      </c>
      <c r="R109" s="109">
        <f>Lines!R64</f>
        <v>25184</v>
      </c>
      <c r="S109" s="109">
        <f>Lines!S64</f>
        <v>22253</v>
      </c>
      <c r="T109" s="1044">
        <f>Lines!T64</f>
        <v>19276</v>
      </c>
      <c r="U109" s="1044">
        <f>Lines!U64</f>
        <v>16837</v>
      </c>
      <c r="V109" s="109">
        <f>Lines!V64</f>
        <v>15193</v>
      </c>
      <c r="W109" s="109">
        <f>Lines!W64</f>
        <v>13633</v>
      </c>
      <c r="X109" s="109">
        <f>Lines!X64</f>
        <v>10044</v>
      </c>
      <c r="Y109" s="2552">
        <f>Lines!Y64</f>
        <v>8916</v>
      </c>
      <c r="Z109" s="2552">
        <f>Lines!Z64</f>
        <v>0</v>
      </c>
      <c r="AA109" s="109">
        <f>Lines!AA64</f>
        <v>0</v>
      </c>
      <c r="AB109" s="109">
        <f>Lines!AB64</f>
        <v>0</v>
      </c>
      <c r="AC109" s="109">
        <f>Lines!AC64</f>
        <v>0</v>
      </c>
      <c r="AD109" s="109">
        <f>Lines!AD64</f>
        <v>0</v>
      </c>
      <c r="AE109" s="109">
        <f>Lines!AE64</f>
        <v>0</v>
      </c>
      <c r="AF109" s="109">
        <f>Lines!AF64</f>
        <v>0</v>
      </c>
      <c r="AG109" s="109">
        <f>Lines!AG64</f>
        <v>0</v>
      </c>
      <c r="AH109" s="109"/>
      <c r="AI109" s="171"/>
      <c r="AJ109" s="109">
        <v>57064</v>
      </c>
      <c r="AK109" s="109">
        <v>57697</v>
      </c>
      <c r="AL109" s="109">
        <v>58325</v>
      </c>
      <c r="AM109" s="109">
        <v>59050</v>
      </c>
      <c r="AN109" s="109">
        <v>59755</v>
      </c>
      <c r="AO109" s="109">
        <v>60319</v>
      </c>
      <c r="AP109" s="109">
        <v>61059</v>
      </c>
      <c r="AQ109" s="109">
        <v>61562</v>
      </c>
      <c r="AR109" s="109">
        <v>60681.690999999999</v>
      </c>
      <c r="AS109" s="109">
        <v>61110.709000000003</v>
      </c>
      <c r="AT109" s="109">
        <v>61615.482000000004</v>
      </c>
      <c r="AU109" s="109">
        <v>62016.819000000003</v>
      </c>
      <c r="AV109" s="109">
        <v>61273</v>
      </c>
      <c r="AW109" s="109">
        <v>61485</v>
      </c>
      <c r="AX109" s="109">
        <v>61616</v>
      </c>
      <c r="AY109" s="109">
        <v>61666</v>
      </c>
      <c r="AZ109" s="109">
        <v>61650</v>
      </c>
      <c r="BA109" s="109">
        <v>61223</v>
      </c>
      <c r="BB109" s="109">
        <v>60770</v>
      </c>
      <c r="BC109" s="109">
        <v>60202</v>
      </c>
      <c r="BD109" s="109">
        <v>59761</v>
      </c>
      <c r="BE109" s="109">
        <v>58952</v>
      </c>
      <c r="BF109" s="109">
        <v>58456</v>
      </c>
      <c r="BG109" s="109">
        <v>57974</v>
      </c>
      <c r="BH109" s="109">
        <v>56747</v>
      </c>
      <c r="BI109" s="109">
        <v>56037</v>
      </c>
      <c r="BJ109" s="109">
        <v>55437</v>
      </c>
      <c r="BK109" s="109">
        <v>54826</v>
      </c>
      <c r="BL109" s="171">
        <v>54324</v>
      </c>
      <c r="BM109" s="109">
        <v>53651</v>
      </c>
      <c r="BN109" s="109">
        <v>52983</v>
      </c>
      <c r="BO109" s="109">
        <v>52289</v>
      </c>
      <c r="BP109" s="171">
        <v>51531</v>
      </c>
      <c r="BQ109" s="109">
        <v>50691</v>
      </c>
      <c r="BR109" s="109">
        <v>49689</v>
      </c>
      <c r="BS109" s="109">
        <v>48803</v>
      </c>
      <c r="BT109" s="171">
        <f>Lines!BZ64</f>
        <v>46198</v>
      </c>
      <c r="BU109" s="109">
        <f>Lines!CA64</f>
        <v>45200</v>
      </c>
      <c r="BV109" s="109">
        <f>Lines!CB64</f>
        <v>44257</v>
      </c>
      <c r="BW109" s="109">
        <f>Lines!CC64</f>
        <v>43393</v>
      </c>
      <c r="BX109" s="171">
        <f>Lines!CD64</f>
        <v>42494</v>
      </c>
      <c r="BY109" s="109">
        <f>Lines!CE64</f>
        <v>41652</v>
      </c>
      <c r="BZ109" s="109">
        <f>Lines!CF64</f>
        <v>40719</v>
      </c>
      <c r="CA109" s="109">
        <f>Lines!CG64</f>
        <v>34576</v>
      </c>
      <c r="CB109" s="171">
        <f>Lines!CH64</f>
        <v>33815</v>
      </c>
      <c r="CC109" s="109">
        <f>Lines!CI64</f>
        <v>33025.679054054053</v>
      </c>
      <c r="CD109" s="109">
        <f>Lines!CJ64</f>
        <v>32166.023728813561</v>
      </c>
      <c r="CE109" s="109">
        <f>Lines!CK64</f>
        <v>31394.531999999999</v>
      </c>
      <c r="CF109" s="171">
        <f>Lines!CL64</f>
        <v>30543</v>
      </c>
      <c r="CG109" s="109">
        <f>Lines!CM64</f>
        <v>29794</v>
      </c>
      <c r="CH109" s="109">
        <f>Lines!CN64</f>
        <v>28997</v>
      </c>
      <c r="CI109" s="109">
        <f>Lines!CO64</f>
        <v>28304</v>
      </c>
      <c r="CJ109" s="171">
        <f>Lines!CP64</f>
        <v>27626</v>
      </c>
      <c r="CK109" s="109">
        <f>Lines!CQ64</f>
        <v>26792</v>
      </c>
      <c r="CL109" s="109">
        <f>Lines!CR64</f>
        <v>25872</v>
      </c>
      <c r="CM109" s="109">
        <f>Lines!CS64</f>
        <v>25184</v>
      </c>
      <c r="CN109" s="171">
        <f>Lines!CT64</f>
        <v>24477</v>
      </c>
      <c r="CO109" s="109">
        <f>Lines!CU64</f>
        <v>23802</v>
      </c>
      <c r="CP109" s="109">
        <f>Lines!CV64</f>
        <v>23059</v>
      </c>
      <c r="CQ109" s="172">
        <f>Lines!CW64</f>
        <v>22253</v>
      </c>
      <c r="CR109" s="109">
        <f>Lines!CX64</f>
        <v>21402</v>
      </c>
      <c r="CS109" s="109">
        <f>Lines!CY64</f>
        <v>20630</v>
      </c>
      <c r="CT109" s="109">
        <f>Lines!CZ64</f>
        <v>19909</v>
      </c>
      <c r="CU109" s="109">
        <f>Lines!DA64</f>
        <v>19276</v>
      </c>
      <c r="CV109" s="171">
        <f>Lines!DB64</f>
        <v>18660</v>
      </c>
      <c r="CW109" s="109">
        <f>Lines!DC64</f>
        <v>18011</v>
      </c>
      <c r="CX109" s="109">
        <f>Lines!DD64</f>
        <v>17388</v>
      </c>
      <c r="CY109" s="109">
        <f>Lines!DE64</f>
        <v>16837</v>
      </c>
      <c r="CZ109" s="171">
        <f>Lines!DF64</f>
        <v>16383</v>
      </c>
      <c r="DA109" s="1044">
        <f>Lines!DG64</f>
        <v>15951</v>
      </c>
      <c r="DB109" s="1044">
        <f>Lines!DH64</f>
        <v>15575</v>
      </c>
      <c r="DC109" s="172">
        <f>Lines!DI64</f>
        <v>15193</v>
      </c>
      <c r="DD109" s="171">
        <f>Lines!DJ64</f>
        <v>14814</v>
      </c>
      <c r="DE109" s="1044">
        <f>Lines!DK64</f>
        <v>14418</v>
      </c>
      <c r="DF109" s="2151">
        <f>Lines!DL64</f>
        <v>14037</v>
      </c>
      <c r="DG109" s="2473">
        <f>Lines!DM64</f>
        <v>13633</v>
      </c>
      <c r="DH109" s="2151">
        <f>Lines!DN64</f>
        <v>13237</v>
      </c>
      <c r="DI109" s="1044">
        <f>Lines!DO64</f>
        <v>10597</v>
      </c>
      <c r="DJ109" s="1044">
        <f>Lines!DP64</f>
        <v>10312</v>
      </c>
      <c r="DK109" s="172">
        <f>Lines!DQ64</f>
        <v>10044</v>
      </c>
      <c r="DL109" s="1044">
        <f>Lines!DR64</f>
        <v>9747</v>
      </c>
      <c r="DM109" s="1044">
        <f>Lines!DS64</f>
        <v>9443</v>
      </c>
      <c r="DN109" s="1044">
        <f>Lines!DT64</f>
        <v>9180</v>
      </c>
      <c r="DO109" s="172">
        <f>Lines!DU64</f>
        <v>8916</v>
      </c>
      <c r="DP109" s="1044">
        <f>Lines!DV64</f>
        <v>0</v>
      </c>
      <c r="DQ109" s="1044">
        <f>Lines!DW64</f>
        <v>0</v>
      </c>
      <c r="DR109" s="1044">
        <f>Lines!DX64</f>
        <v>0</v>
      </c>
      <c r="DS109" s="172">
        <f>Lines!DY64</f>
        <v>0</v>
      </c>
      <c r="DT109" s="109"/>
    </row>
    <row r="110" spans="1:124">
      <c r="A110" s="87"/>
      <c r="B110" s="87"/>
      <c r="C110" s="87"/>
      <c r="D110" s="87"/>
      <c r="E110" s="87"/>
      <c r="F110" s="87"/>
      <c r="G110" s="87"/>
      <c r="H110" s="87"/>
      <c r="I110" s="87"/>
      <c r="J110" s="87"/>
      <c r="K110" s="87"/>
      <c r="L110" s="87"/>
      <c r="M110" s="87"/>
      <c r="N110" s="87"/>
      <c r="O110" s="87"/>
      <c r="P110" s="87"/>
      <c r="Q110" s="1041"/>
      <c r="R110" s="87"/>
      <c r="S110" s="87"/>
      <c r="T110" s="1041"/>
      <c r="U110" s="1041"/>
      <c r="V110" s="87"/>
      <c r="W110" s="87"/>
      <c r="X110" s="87"/>
      <c r="Y110" s="87"/>
      <c r="Z110" s="87"/>
      <c r="AA110" s="87"/>
      <c r="AB110" s="87"/>
      <c r="AC110" s="87"/>
      <c r="AD110" s="87"/>
      <c r="AE110" s="87"/>
      <c r="AF110" s="87"/>
      <c r="AG110" s="87"/>
      <c r="AH110" s="143"/>
      <c r="AI110" s="88"/>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8"/>
      <c r="BM110" s="87"/>
      <c r="BN110" s="87"/>
      <c r="BO110" s="87"/>
      <c r="BP110" s="88"/>
      <c r="BQ110" s="87"/>
      <c r="BR110" s="87"/>
      <c r="BS110" s="87"/>
      <c r="BT110" s="88"/>
      <c r="BU110" s="87"/>
      <c r="BV110" s="87"/>
      <c r="BW110" s="87"/>
      <c r="BX110" s="88"/>
      <c r="BY110" s="87"/>
      <c r="BZ110" s="87"/>
      <c r="CA110" s="87"/>
      <c r="CB110" s="88"/>
      <c r="CC110" s="87"/>
      <c r="CD110" s="87"/>
      <c r="CE110" s="87"/>
      <c r="CF110" s="88"/>
      <c r="CG110" s="87"/>
      <c r="CH110" s="87"/>
      <c r="CI110" s="87"/>
      <c r="CJ110" s="88"/>
      <c r="CK110" s="87"/>
      <c r="CL110" s="87"/>
      <c r="CM110" s="87"/>
      <c r="CN110" s="88"/>
      <c r="CO110" s="87"/>
      <c r="CP110" s="87"/>
      <c r="CQ110" s="144"/>
      <c r="CR110" s="87"/>
      <c r="CS110" s="87"/>
      <c r="CT110" s="87"/>
      <c r="CU110" s="87"/>
      <c r="CV110" s="88"/>
      <c r="CW110" s="87"/>
      <c r="CX110" s="87"/>
      <c r="CY110" s="87"/>
      <c r="CZ110" s="88"/>
      <c r="DA110" s="1041"/>
      <c r="DB110" s="1041"/>
      <c r="DC110" s="144"/>
      <c r="DD110" s="88"/>
      <c r="DE110" s="1041"/>
      <c r="DF110" s="1041"/>
      <c r="DG110" s="144"/>
      <c r="DH110" s="1041"/>
      <c r="DI110" s="1041"/>
      <c r="DJ110" s="1041"/>
      <c r="DK110" s="144"/>
      <c r="DL110" s="1041"/>
      <c r="DM110" s="1041"/>
      <c r="DN110" s="1041"/>
      <c r="DO110" s="144"/>
      <c r="DP110" s="1041"/>
      <c r="DQ110" s="1041"/>
      <c r="DR110" s="1041"/>
      <c r="DS110" s="144"/>
      <c r="DT110" s="87"/>
    </row>
    <row r="111" spans="1:124">
      <c r="A111" s="98"/>
      <c r="B111" s="98"/>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210"/>
      <c r="AI111" s="303"/>
      <c r="AJ111" s="98"/>
      <c r="AK111" s="98"/>
      <c r="AL111" s="98"/>
      <c r="AM111" s="98"/>
      <c r="AN111" s="98"/>
      <c r="AO111" s="98"/>
      <c r="AP111" s="98"/>
      <c r="AQ111" s="98"/>
      <c r="AR111" s="98"/>
      <c r="AS111" s="98"/>
      <c r="AT111" s="98"/>
      <c r="AU111" s="98"/>
      <c r="AV111" s="98"/>
      <c r="AW111" s="98"/>
      <c r="AX111" s="98"/>
      <c r="AY111" s="98"/>
      <c r="AZ111" s="98"/>
      <c r="BA111" s="98"/>
      <c r="BB111" s="98"/>
      <c r="BC111" s="98"/>
      <c r="BD111" s="98"/>
      <c r="BE111" s="98"/>
      <c r="BF111" s="98"/>
      <c r="BG111" s="98"/>
      <c r="BH111" s="98"/>
      <c r="BI111" s="98"/>
      <c r="BJ111" s="98"/>
      <c r="BK111" s="98"/>
      <c r="BL111" s="303"/>
      <c r="BM111" s="98"/>
      <c r="BN111" s="98"/>
      <c r="BO111" s="98"/>
      <c r="BP111" s="303"/>
      <c r="BQ111" s="98"/>
      <c r="BR111" s="98"/>
      <c r="BS111" s="98"/>
      <c r="BT111" s="303"/>
      <c r="BU111" s="98"/>
      <c r="BV111" s="98"/>
      <c r="BW111" s="98"/>
      <c r="BX111" s="303"/>
      <c r="BY111" s="98"/>
      <c r="BZ111" s="98"/>
      <c r="CA111" s="98"/>
      <c r="CB111" s="303"/>
      <c r="CC111" s="98"/>
      <c r="CD111" s="98"/>
      <c r="CE111" s="98"/>
      <c r="CF111" s="303"/>
      <c r="CG111" s="98"/>
      <c r="CH111" s="98"/>
      <c r="CI111" s="98"/>
      <c r="CJ111" s="303"/>
      <c r="CK111" s="98"/>
      <c r="CL111" s="98"/>
      <c r="CM111" s="98"/>
      <c r="CN111" s="303"/>
      <c r="CO111" s="98"/>
      <c r="CP111" s="98"/>
      <c r="CQ111" s="104"/>
      <c r="CR111" s="98"/>
      <c r="CS111" s="98"/>
      <c r="CT111" s="98"/>
      <c r="CU111" s="98"/>
      <c r="CV111" s="303"/>
      <c r="CW111" s="98"/>
      <c r="CX111" s="98"/>
      <c r="CY111" s="98"/>
      <c r="CZ111" s="303"/>
      <c r="DA111" s="98"/>
      <c r="DB111" s="98"/>
      <c r="DC111" s="104"/>
      <c r="DD111" s="303"/>
      <c r="DE111" s="98"/>
      <c r="DF111" s="98"/>
      <c r="DG111" s="104"/>
      <c r="DH111" s="98"/>
      <c r="DI111" s="98"/>
      <c r="DJ111" s="98"/>
      <c r="DK111" s="104"/>
      <c r="DL111" s="98"/>
      <c r="DM111" s="98"/>
      <c r="DN111" s="98"/>
      <c r="DO111" s="104"/>
      <c r="DP111" s="98"/>
      <c r="DQ111" s="98"/>
      <c r="DR111" s="98"/>
      <c r="DS111" s="104"/>
      <c r="DT111" s="87"/>
    </row>
    <row r="112" spans="1:124">
      <c r="A112" s="87"/>
      <c r="B112" s="87"/>
      <c r="C112" s="87"/>
      <c r="D112" s="87"/>
      <c r="E112" s="87"/>
      <c r="F112" s="87"/>
      <c r="G112" s="87"/>
      <c r="H112" s="87"/>
      <c r="I112" s="87"/>
      <c r="J112" s="87"/>
      <c r="K112" s="87"/>
      <c r="L112" s="87"/>
      <c r="M112" s="87"/>
      <c r="N112" s="87"/>
      <c r="O112" s="87"/>
      <c r="P112" s="87"/>
      <c r="Q112" s="1041"/>
      <c r="R112" s="87"/>
      <c r="S112" s="87"/>
      <c r="T112" s="87"/>
      <c r="U112" s="1041"/>
      <c r="V112" s="87"/>
      <c r="W112" s="87"/>
      <c r="X112" s="87"/>
      <c r="Y112" s="87"/>
      <c r="Z112" s="87"/>
      <c r="AA112" s="3278"/>
      <c r="AB112" s="3278"/>
      <c r="AC112" s="3278"/>
      <c r="AD112" s="3278"/>
      <c r="AE112" s="3278"/>
      <c r="AF112" s="3278"/>
      <c r="AG112" s="3278"/>
      <c r="AH112" s="3279"/>
      <c r="AI112" s="3278"/>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144"/>
      <c r="CR112" s="87"/>
      <c r="CS112" s="87"/>
      <c r="CT112" s="87"/>
      <c r="CU112" s="87"/>
      <c r="CV112" s="88"/>
      <c r="CW112" s="87"/>
      <c r="CX112" s="87"/>
      <c r="CY112" s="87"/>
      <c r="CZ112" s="87"/>
      <c r="DA112" s="1041"/>
      <c r="DB112" s="1041"/>
      <c r="DC112" s="1041"/>
      <c r="DD112" s="1041"/>
      <c r="DE112" s="1041"/>
      <c r="DF112" s="1041"/>
      <c r="DG112" s="1041"/>
      <c r="DH112" s="1041"/>
      <c r="DI112" s="1041"/>
      <c r="DJ112" s="1041"/>
      <c r="DK112" s="1041"/>
      <c r="DL112" s="1041"/>
      <c r="DM112" s="1041"/>
      <c r="DN112" s="1041"/>
      <c r="DO112" s="1041"/>
      <c r="DP112" s="1041"/>
      <c r="DQ112" s="1041"/>
      <c r="DR112" s="1041"/>
      <c r="DS112" s="1041"/>
      <c r="DT112" s="87"/>
    </row>
    <row r="113" spans="1:124">
      <c r="A113" s="87"/>
      <c r="B113" s="87"/>
      <c r="C113" s="87"/>
      <c r="D113" s="87"/>
      <c r="E113" s="87"/>
      <c r="F113" s="87"/>
      <c r="G113" s="87"/>
      <c r="H113" s="87"/>
      <c r="I113" s="87"/>
      <c r="J113" s="87"/>
      <c r="K113" s="87"/>
      <c r="L113" s="87"/>
      <c r="M113" s="87"/>
      <c r="N113" s="87"/>
      <c r="O113" s="87"/>
      <c r="P113" s="87"/>
      <c r="Q113" s="1041"/>
      <c r="R113" s="87"/>
      <c r="S113" s="87"/>
      <c r="T113" s="87"/>
      <c r="U113" s="1041"/>
      <c r="V113" s="87"/>
      <c r="W113" s="87"/>
      <c r="X113" s="87"/>
      <c r="Y113" s="87"/>
      <c r="Z113" s="87"/>
      <c r="AA113" s="1041"/>
      <c r="AB113" s="1041"/>
      <c r="AC113" s="1041"/>
      <c r="AD113" s="1041"/>
      <c r="AE113" s="1041"/>
      <c r="AF113" s="1041"/>
      <c r="AG113" s="1041"/>
      <c r="AH113" s="1041"/>
      <c r="AI113" s="1041"/>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144"/>
      <c r="CR113" s="87"/>
      <c r="CS113" s="87"/>
      <c r="CT113" s="87"/>
      <c r="CU113" s="87"/>
      <c r="CV113" s="88"/>
      <c r="CW113" s="87"/>
      <c r="CX113" s="87"/>
      <c r="CY113" s="87"/>
      <c r="CZ113" s="87"/>
      <c r="DA113" s="1041"/>
      <c r="DB113" s="1041"/>
      <c r="DC113" s="1041"/>
      <c r="DD113" s="1041"/>
      <c r="DE113" s="1041"/>
      <c r="DF113" s="1041"/>
      <c r="DG113" s="1041"/>
      <c r="DH113" s="1041"/>
      <c r="DI113" s="1041"/>
      <c r="DJ113" s="1041"/>
      <c r="DK113" s="1041"/>
      <c r="DL113" s="1041"/>
      <c r="DM113" s="1041"/>
      <c r="DN113" s="1041"/>
      <c r="DO113" s="1041"/>
      <c r="DP113" s="1041"/>
      <c r="DQ113" s="1041"/>
      <c r="DR113" s="1041"/>
      <c r="DS113" s="1041"/>
      <c r="DT113" s="87"/>
    </row>
    <row r="114" spans="1:124">
      <c r="Q114"/>
      <c r="U114"/>
      <c r="AB114"/>
      <c r="AC114"/>
      <c r="AD114"/>
      <c r="AE114"/>
      <c r="AF114"/>
      <c r="AG114"/>
      <c r="DA114"/>
      <c r="DB114"/>
      <c r="DC114"/>
      <c r="DD114"/>
      <c r="DE114"/>
      <c r="DF114"/>
      <c r="DG114"/>
      <c r="DH114"/>
      <c r="DI114"/>
      <c r="DJ114"/>
      <c r="DK114"/>
      <c r="DL114"/>
      <c r="DM114"/>
      <c r="DN114"/>
      <c r="DO114"/>
      <c r="DP114"/>
      <c r="DQ114"/>
      <c r="DR114"/>
      <c r="DS114"/>
    </row>
  </sheetData>
  <phoneticPr fontId="76" type="noConversion"/>
  <pageMargins left="0" right="0" top="0" bottom="0" header="0.5" footer="0.5"/>
  <pageSetup scale="53" fitToHeight="0" orientation="portrait" r:id="rId1"/>
  <headerFooter alignWithMargins="0">
    <oddFooter>&amp;R&amp;A</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enableFormatConditionsCalculation="0">
    <tabColor indexed="44"/>
    <pageSetUpPr fitToPage="1"/>
  </sheetPr>
  <dimension ref="A1:AF64"/>
  <sheetViews>
    <sheetView showGridLines="0" workbookViewId="0"/>
  </sheetViews>
  <sheetFormatPr defaultColWidth="9.109375" defaultRowHeight="15" outlineLevelRow="1" outlineLevelCol="1"/>
  <cols>
    <col min="1" max="2" width="1.44140625" style="801" customWidth="1"/>
    <col min="3" max="3" width="42.21875" style="801" bestFit="1" customWidth="1"/>
    <col min="4" max="4" width="1.44140625" style="801" hidden="1" customWidth="1" outlineLevel="1"/>
    <col min="5" max="7" width="8.109375" style="801" hidden="1" customWidth="1" outlineLevel="1"/>
    <col min="8" max="8" width="8.5546875" style="801" hidden="1" customWidth="1" outlineLevel="1"/>
    <col min="9" max="9" width="8.109375" style="801" hidden="1" customWidth="1" outlineLevel="1"/>
    <col min="10" max="10" width="8.109375" style="801" hidden="1" customWidth="1" outlineLevel="1" collapsed="1"/>
    <col min="11" max="11" width="8.109375" style="801" hidden="1" customWidth="1" outlineLevel="1"/>
    <col min="12" max="12" width="8.109375" style="801" bestFit="1" customWidth="1" collapsed="1"/>
    <col min="13" max="13" width="8.109375" style="801" bestFit="1" customWidth="1"/>
    <col min="14" max="15" width="8.5546875" style="801" bestFit="1" customWidth="1"/>
    <col min="16" max="18" width="8.5546875" style="801" customWidth="1"/>
    <col min="19" max="25" width="8.5546875" style="801" hidden="1" customWidth="1" outlineLevel="1"/>
    <col min="26" max="26" width="2.6640625" style="801" customWidth="1" collapsed="1"/>
    <col min="27" max="27" width="40.109375" bestFit="1" customWidth="1"/>
    <col min="28" max="28" width="8.44140625" bestFit="1" customWidth="1"/>
    <col min="29" max="29" width="25.21875" bestFit="1" customWidth="1"/>
    <col min="30" max="30" width="7.6640625" bestFit="1" customWidth="1"/>
    <col min="31" max="31" width="11.6640625" bestFit="1" customWidth="1"/>
    <col min="32" max="32" width="6.44140625" bestFit="1" customWidth="1"/>
    <col min="33" max="16384" width="9.109375" style="801"/>
  </cols>
  <sheetData>
    <row r="1" spans="1:25" ht="15" customHeight="1">
      <c r="A1" s="945" t="s">
        <v>1111</v>
      </c>
      <c r="B1" s="946"/>
      <c r="C1" s="947"/>
      <c r="D1" s="947"/>
      <c r="E1" s="948"/>
      <c r="F1" s="948"/>
      <c r="G1" s="948"/>
      <c r="H1" s="948"/>
      <c r="I1" s="948"/>
      <c r="J1" s="948"/>
      <c r="K1" s="948"/>
      <c r="L1" s="948"/>
      <c r="M1" s="948"/>
      <c r="N1" s="948"/>
      <c r="O1" s="948"/>
      <c r="P1" s="948"/>
      <c r="Q1" s="948"/>
      <c r="R1" s="948"/>
      <c r="S1" s="948"/>
      <c r="T1" s="948"/>
      <c r="U1" s="948"/>
      <c r="V1" s="948"/>
      <c r="W1" s="948"/>
      <c r="X1" s="948"/>
      <c r="Y1" s="948"/>
    </row>
    <row r="2" spans="1:25">
      <c r="A2" s="945" t="s">
        <v>547</v>
      </c>
      <c r="B2" s="946"/>
      <c r="C2" s="947"/>
      <c r="D2" s="947"/>
      <c r="E2" s="948"/>
      <c r="F2" s="948"/>
      <c r="G2" s="948"/>
      <c r="H2" s="948"/>
      <c r="I2" s="948"/>
      <c r="J2" s="948"/>
      <c r="K2" s="948"/>
      <c r="L2" s="948"/>
      <c r="M2" s="948"/>
      <c r="N2" s="948"/>
      <c r="O2" s="948"/>
      <c r="P2" s="948"/>
      <c r="Q2" s="948"/>
      <c r="R2" s="948"/>
      <c r="S2" s="948"/>
      <c r="T2" s="948"/>
      <c r="U2" s="948"/>
      <c r="V2" s="948"/>
      <c r="W2" s="948"/>
      <c r="X2" s="948"/>
      <c r="Y2" s="948"/>
    </row>
    <row r="3" spans="1:25" customFormat="1" ht="12.75" customHeight="1" outlineLevel="1"/>
    <row r="4" spans="1:25">
      <c r="A4" s="947"/>
      <c r="B4" s="938" t="s">
        <v>548</v>
      </c>
      <c r="C4" s="938"/>
      <c r="D4" s="938"/>
      <c r="E4" s="943">
        <v>2005</v>
      </c>
      <c r="F4" s="943">
        <v>2006</v>
      </c>
      <c r="G4" s="943">
        <v>2007</v>
      </c>
      <c r="H4" s="943">
        <v>2008</v>
      </c>
      <c r="I4" s="943">
        <v>2009</v>
      </c>
      <c r="J4" s="943">
        <v>2010</v>
      </c>
      <c r="K4" s="943">
        <v>2011</v>
      </c>
      <c r="L4" s="943">
        <v>2012</v>
      </c>
      <c r="M4" s="943">
        <v>2013</v>
      </c>
      <c r="N4" s="943" t="s">
        <v>1607</v>
      </c>
      <c r="O4" s="943" t="str">
        <f>IS!W5</f>
        <v>2015</v>
      </c>
      <c r="P4" s="943" t="str">
        <f>IS!X5</f>
        <v>2016</v>
      </c>
      <c r="Q4" s="942" t="str">
        <f>IS!Y5</f>
        <v>2017</v>
      </c>
      <c r="R4" s="942" t="str">
        <f>IS!Z5</f>
        <v>2018E</v>
      </c>
      <c r="S4" s="942" t="str">
        <f>IS!AA5</f>
        <v>2019E</v>
      </c>
      <c r="T4" s="942" t="str">
        <f>IS!AB5</f>
        <v>2020E</v>
      </c>
      <c r="U4" s="942" t="str">
        <f>IS!AC5</f>
        <v>2021E</v>
      </c>
      <c r="V4" s="942" t="str">
        <f>IS!AD5</f>
        <v>2022E</v>
      </c>
      <c r="W4" s="942" t="str">
        <f>IS!AE5</f>
        <v>2023E</v>
      </c>
      <c r="X4" s="942" t="str">
        <f>IS!AF5</f>
        <v>2024E</v>
      </c>
      <c r="Y4" s="942" t="str">
        <f>IS!AG5</f>
        <v>2025E</v>
      </c>
    </row>
    <row r="5" spans="1:25">
      <c r="A5" s="947"/>
      <c r="B5" s="1"/>
      <c r="C5" s="801" t="s">
        <v>1096</v>
      </c>
      <c r="E5" s="1030">
        <v>5.7500000000000002E-2</v>
      </c>
      <c r="F5" s="1030">
        <v>0.06</v>
      </c>
      <c r="G5" s="1030">
        <v>6.5000000000000002E-2</v>
      </c>
      <c r="H5" s="1030">
        <v>6.7500000000000004E-2</v>
      </c>
      <c r="I5" s="1030">
        <v>6.25E-2</v>
      </c>
      <c r="J5" s="1030">
        <v>5.7500000000000002E-2</v>
      </c>
      <c r="K5" s="1030">
        <v>0.05</v>
      </c>
      <c r="L5" s="1030">
        <v>4.2000000000000003E-2</v>
      </c>
      <c r="M5" s="1030">
        <v>0.05</v>
      </c>
      <c r="N5" s="1030">
        <v>4.2000000000000003E-2</v>
      </c>
      <c r="O5" s="2979">
        <v>4.5999999999999999E-2</v>
      </c>
      <c r="P5" s="2979">
        <v>4.2999999999999997E-2</v>
      </c>
      <c r="Q5" s="821">
        <f t="shared" ref="Q5:T7" si="0">+P5</f>
        <v>4.2999999999999997E-2</v>
      </c>
      <c r="R5" s="821">
        <f t="shared" si="0"/>
        <v>4.2999999999999997E-2</v>
      </c>
      <c r="S5" s="821">
        <f t="shared" si="0"/>
        <v>4.2999999999999997E-2</v>
      </c>
      <c r="T5" s="821">
        <f t="shared" si="0"/>
        <v>4.2999999999999997E-2</v>
      </c>
      <c r="U5" s="821">
        <f t="shared" ref="U5:U7" si="1">+T5</f>
        <v>4.2999999999999997E-2</v>
      </c>
      <c r="V5" s="821">
        <f t="shared" ref="V5:V7" si="2">+U5</f>
        <v>4.2999999999999997E-2</v>
      </c>
      <c r="W5" s="821">
        <f t="shared" ref="W5:W7" si="3">+V5</f>
        <v>4.2999999999999997E-2</v>
      </c>
      <c r="X5" s="821">
        <f t="shared" ref="X5:X7" si="4">+W5</f>
        <v>4.2999999999999997E-2</v>
      </c>
      <c r="Y5" s="821">
        <f t="shared" ref="Y5:Y7" si="5">+X5</f>
        <v>4.2999999999999997E-2</v>
      </c>
    </row>
    <row r="6" spans="1:25" ht="12.75" customHeight="1" outlineLevel="1">
      <c r="A6" s="947"/>
      <c r="B6" s="1"/>
      <c r="C6" s="801" t="s">
        <v>549</v>
      </c>
      <c r="E6" s="1031"/>
      <c r="F6" s="1031"/>
      <c r="G6" s="1031"/>
      <c r="H6" s="1031"/>
      <c r="I6" s="1031"/>
      <c r="J6" s="1031"/>
      <c r="K6" s="1031"/>
      <c r="L6" s="1031"/>
      <c r="M6" s="1032"/>
      <c r="N6" s="1032"/>
      <c r="O6" s="1032"/>
      <c r="P6" s="1032"/>
      <c r="Q6" s="818">
        <f t="shared" si="0"/>
        <v>0</v>
      </c>
      <c r="R6" s="818">
        <f t="shared" si="0"/>
        <v>0</v>
      </c>
      <c r="S6" s="818">
        <f t="shared" si="0"/>
        <v>0</v>
      </c>
      <c r="T6" s="818">
        <f t="shared" si="0"/>
        <v>0</v>
      </c>
      <c r="U6" s="818">
        <f t="shared" si="1"/>
        <v>0</v>
      </c>
      <c r="V6" s="818">
        <f t="shared" si="2"/>
        <v>0</v>
      </c>
      <c r="W6" s="818">
        <f t="shared" si="3"/>
        <v>0</v>
      </c>
      <c r="X6" s="818">
        <f t="shared" si="4"/>
        <v>0</v>
      </c>
      <c r="Y6" s="818">
        <f t="shared" si="5"/>
        <v>0</v>
      </c>
    </row>
    <row r="7" spans="1:25">
      <c r="A7" s="947"/>
      <c r="B7" s="1"/>
      <c r="C7" s="801" t="s">
        <v>550</v>
      </c>
      <c r="E7" s="1030">
        <v>8.5000000000000006E-2</v>
      </c>
      <c r="F7" s="1030">
        <v>8.5000000000000006E-2</v>
      </c>
      <c r="G7" s="1030">
        <v>8.5000000000000006E-2</v>
      </c>
      <c r="H7" s="1030">
        <v>8.5000000000000006E-2</v>
      </c>
      <c r="I7" s="1030">
        <v>8.5000000000000006E-2</v>
      </c>
      <c r="J7" s="1030">
        <v>8.5000000000000006E-2</v>
      </c>
      <c r="K7" s="1030">
        <v>0.08</v>
      </c>
      <c r="L7" s="1030">
        <v>7.4999999999999997E-2</v>
      </c>
      <c r="M7" s="1030">
        <v>7.4999999999999997E-2</v>
      </c>
      <c r="N7" s="1030">
        <v>7.2499999999999995E-2</v>
      </c>
      <c r="O7" s="2979">
        <v>7.2499999999999995E-2</v>
      </c>
      <c r="P7" s="2979">
        <v>7.0000000000000007E-2</v>
      </c>
      <c r="Q7" s="821">
        <f t="shared" si="0"/>
        <v>7.0000000000000007E-2</v>
      </c>
      <c r="R7" s="821">
        <f t="shared" si="0"/>
        <v>7.0000000000000007E-2</v>
      </c>
      <c r="S7" s="821">
        <f t="shared" si="0"/>
        <v>7.0000000000000007E-2</v>
      </c>
      <c r="T7" s="821">
        <f t="shared" si="0"/>
        <v>7.0000000000000007E-2</v>
      </c>
      <c r="U7" s="821">
        <f t="shared" si="1"/>
        <v>7.0000000000000007E-2</v>
      </c>
      <c r="V7" s="821">
        <f t="shared" si="2"/>
        <v>7.0000000000000007E-2</v>
      </c>
      <c r="W7" s="821">
        <f t="shared" si="3"/>
        <v>7.0000000000000007E-2</v>
      </c>
      <c r="X7" s="821">
        <f t="shared" si="4"/>
        <v>7.0000000000000007E-2</v>
      </c>
      <c r="Y7" s="821">
        <f t="shared" si="5"/>
        <v>7.0000000000000007E-2</v>
      </c>
    </row>
    <row r="8" spans="1:25">
      <c r="A8" s="947"/>
      <c r="B8" s="1"/>
      <c r="C8" s="801" t="s">
        <v>551</v>
      </c>
      <c r="E8" s="818">
        <f t="shared" ref="E8:M8" si="6">IF(ISNUMBER(E31/E30),E31/E30,0)</f>
        <v>0.11040815781746349</v>
      </c>
      <c r="F8" s="818">
        <f t="shared" si="6"/>
        <v>0.14112728477834144</v>
      </c>
      <c r="G8" s="818">
        <f t="shared" si="6"/>
        <v>0.11060251993543568</v>
      </c>
      <c r="H8" s="818">
        <f t="shared" si="6"/>
        <v>-0.25035748611078551</v>
      </c>
      <c r="I8" s="818">
        <f t="shared" si="6"/>
        <v>0.17246590622863517</v>
      </c>
      <c r="J8" s="818">
        <f t="shared" si="6"/>
        <v>0.10803721320649133</v>
      </c>
      <c r="K8" s="818">
        <f t="shared" si="6"/>
        <v>4.6137754706748274E-2</v>
      </c>
      <c r="L8" s="818">
        <f t="shared" si="6"/>
        <v>9.6474491912069679E-2</v>
      </c>
      <c r="M8" s="818">
        <f t="shared" si="6"/>
        <v>7.592167158954162E-2</v>
      </c>
      <c r="N8" s="818">
        <f>IF(ISNUMBER(N31/N30),N31/N30,0)</f>
        <v>0.10390976564782889</v>
      </c>
      <c r="O8" s="818">
        <f>IF(ISNUMBER(O31/O30),O31/O30,0)</f>
        <v>6.3618718999353032E-3</v>
      </c>
      <c r="P8" s="818">
        <f>IF(ISNUMBER(P31/P30),P31/P30,0)</f>
        <v>5.4701066732820637E-2</v>
      </c>
      <c r="Q8" s="818">
        <f>+Q7</f>
        <v>7.0000000000000007E-2</v>
      </c>
      <c r="R8" s="818">
        <f>+R7</f>
        <v>7.0000000000000007E-2</v>
      </c>
      <c r="S8" s="818">
        <f>+S7</f>
        <v>7.0000000000000007E-2</v>
      </c>
      <c r="T8" s="818">
        <f>+T7</f>
        <v>7.0000000000000007E-2</v>
      </c>
      <c r="U8" s="818">
        <f t="shared" ref="U8:Y8" si="7">+U7</f>
        <v>7.0000000000000007E-2</v>
      </c>
      <c r="V8" s="818">
        <f t="shared" si="7"/>
        <v>7.0000000000000007E-2</v>
      </c>
      <c r="W8" s="818">
        <f t="shared" si="7"/>
        <v>7.0000000000000007E-2</v>
      </c>
      <c r="X8" s="818">
        <f t="shared" si="7"/>
        <v>7.0000000000000007E-2</v>
      </c>
      <c r="Y8" s="818">
        <f t="shared" si="7"/>
        <v>7.0000000000000007E-2</v>
      </c>
    </row>
    <row r="9" spans="1:25">
      <c r="A9" s="947"/>
      <c r="B9" s="1"/>
      <c r="C9" s="801" t="s">
        <v>552</v>
      </c>
      <c r="E9" s="1032">
        <v>0.35</v>
      </c>
      <c r="F9" s="1032">
        <v>0.35</v>
      </c>
      <c r="G9" s="1032">
        <v>0.35</v>
      </c>
      <c r="H9" s="1032">
        <v>0.35</v>
      </c>
      <c r="I9" s="1032">
        <v>0.35</v>
      </c>
      <c r="J9" s="1032">
        <v>0.35</v>
      </c>
      <c r="K9" s="1032">
        <v>0.35</v>
      </c>
      <c r="L9" s="1032">
        <v>0.35</v>
      </c>
      <c r="M9" s="1032">
        <v>0.35</v>
      </c>
      <c r="N9" s="1032">
        <v>0.35</v>
      </c>
      <c r="O9" s="1032">
        <v>0.35</v>
      </c>
      <c r="P9" s="1032">
        <v>0.35</v>
      </c>
      <c r="Q9" s="1032">
        <v>0.35</v>
      </c>
      <c r="R9" s="1032">
        <v>0.35</v>
      </c>
      <c r="S9" s="1032">
        <v>0.35</v>
      </c>
      <c r="T9" s="1032">
        <v>0.35</v>
      </c>
      <c r="U9" s="1032">
        <v>0.35</v>
      </c>
      <c r="V9" s="1032">
        <v>0.35</v>
      </c>
      <c r="W9" s="1032">
        <v>0.35</v>
      </c>
      <c r="X9" s="1032">
        <v>0.35</v>
      </c>
      <c r="Y9" s="1032">
        <v>0.35</v>
      </c>
    </row>
    <row r="10" spans="1:25" ht="7.5" customHeight="1">
      <c r="A10" s="947"/>
      <c r="B10" s="1"/>
      <c r="E10" s="929"/>
      <c r="F10" s="929"/>
      <c r="G10" s="929"/>
      <c r="H10" s="929"/>
      <c r="I10" s="929"/>
      <c r="J10" s="929"/>
      <c r="K10" s="929"/>
      <c r="L10" s="929"/>
      <c r="M10" s="929"/>
      <c r="N10" s="929"/>
      <c r="O10" s="929"/>
      <c r="P10" s="929"/>
      <c r="Q10" s="812"/>
      <c r="R10" s="812"/>
      <c r="S10" s="812"/>
      <c r="T10" s="812"/>
      <c r="U10" s="812"/>
      <c r="V10" s="812"/>
      <c r="W10" s="812"/>
      <c r="X10" s="812"/>
      <c r="Y10" s="812"/>
    </row>
    <row r="11" spans="1:25">
      <c r="A11" s="947"/>
      <c r="B11" s="938" t="s">
        <v>553</v>
      </c>
      <c r="C11" s="938"/>
      <c r="D11" s="938"/>
      <c r="E11" s="943">
        <f t="shared" ref="E11:K11" si="8">+E4</f>
        <v>2005</v>
      </c>
      <c r="F11" s="943">
        <f t="shared" si="8"/>
        <v>2006</v>
      </c>
      <c r="G11" s="943">
        <f t="shared" si="8"/>
        <v>2007</v>
      </c>
      <c r="H11" s="943">
        <f t="shared" si="8"/>
        <v>2008</v>
      </c>
      <c r="I11" s="943">
        <f t="shared" si="8"/>
        <v>2009</v>
      </c>
      <c r="J11" s="943">
        <f t="shared" si="8"/>
        <v>2010</v>
      </c>
      <c r="K11" s="943">
        <f t="shared" si="8"/>
        <v>2011</v>
      </c>
      <c r="L11" s="943">
        <v>2012</v>
      </c>
      <c r="M11" s="943">
        <v>2013</v>
      </c>
      <c r="N11" s="943" t="str">
        <f t="shared" ref="N11:S11" si="9">+N4</f>
        <v>2014</v>
      </c>
      <c r="O11" s="943" t="str">
        <f t="shared" ref="O11:P11" si="10">+O4</f>
        <v>2015</v>
      </c>
      <c r="P11" s="2984" t="str">
        <f t="shared" si="10"/>
        <v>2016</v>
      </c>
      <c r="Q11" s="942" t="str">
        <f t="shared" si="9"/>
        <v>2017</v>
      </c>
      <c r="R11" s="942" t="str">
        <f t="shared" si="9"/>
        <v>2018E</v>
      </c>
      <c r="S11" s="942" t="str">
        <f t="shared" si="9"/>
        <v>2019E</v>
      </c>
      <c r="T11" s="942" t="str">
        <f t="shared" ref="T11:Y11" si="11">+T4</f>
        <v>2020E</v>
      </c>
      <c r="U11" s="942" t="str">
        <f t="shared" si="11"/>
        <v>2021E</v>
      </c>
      <c r="V11" s="942" t="str">
        <f t="shared" si="11"/>
        <v>2022E</v>
      </c>
      <c r="W11" s="942" t="str">
        <f t="shared" si="11"/>
        <v>2023E</v>
      </c>
      <c r="X11" s="942" t="str">
        <f t="shared" si="11"/>
        <v>2024E</v>
      </c>
      <c r="Y11" s="942" t="str">
        <f t="shared" si="11"/>
        <v>2025E</v>
      </c>
    </row>
    <row r="12" spans="1:25" ht="15" customHeight="1">
      <c r="A12" s="947"/>
      <c r="B12" s="944" t="s">
        <v>554</v>
      </c>
      <c r="E12" s="812"/>
      <c r="F12" s="812"/>
      <c r="G12" s="812"/>
      <c r="H12" s="812"/>
      <c r="I12" s="812"/>
      <c r="J12" s="812"/>
      <c r="K12" s="812"/>
      <c r="L12" s="812"/>
      <c r="M12" s="812"/>
      <c r="N12" s="812"/>
      <c r="O12" s="812"/>
      <c r="P12" s="812"/>
      <c r="Q12" s="812"/>
      <c r="R12" s="812"/>
      <c r="S12" s="812"/>
      <c r="T12" s="812"/>
      <c r="U12" s="812"/>
      <c r="V12" s="812"/>
      <c r="W12" s="812"/>
      <c r="X12" s="812"/>
      <c r="Y12" s="812"/>
    </row>
    <row r="13" spans="1:25" outlineLevel="1">
      <c r="A13" s="947"/>
      <c r="B13" s="1"/>
      <c r="C13" s="801" t="s">
        <v>555</v>
      </c>
      <c r="E13" s="929">
        <v>675</v>
      </c>
      <c r="F13" s="929">
        <v>581</v>
      </c>
      <c r="G13" s="929">
        <v>442</v>
      </c>
      <c r="H13" s="929">
        <v>382</v>
      </c>
      <c r="I13" s="929">
        <v>384</v>
      </c>
      <c r="J13" s="929">
        <v>353</v>
      </c>
      <c r="K13" s="929">
        <v>307</v>
      </c>
      <c r="L13" s="929">
        <v>358</v>
      </c>
      <c r="M13" s="929">
        <v>395</v>
      </c>
      <c r="N13" s="929">
        <v>327</v>
      </c>
      <c r="O13" s="929">
        <v>374</v>
      </c>
      <c r="P13" s="929">
        <v>322</v>
      </c>
      <c r="Q13" s="812">
        <f>P13</f>
        <v>322</v>
      </c>
      <c r="R13" s="812">
        <f>Q13</f>
        <v>322</v>
      </c>
      <c r="S13" s="812">
        <f>R13</f>
        <v>322</v>
      </c>
      <c r="T13" s="812">
        <f>S13</f>
        <v>322</v>
      </c>
      <c r="U13" s="812">
        <f t="shared" ref="U13:Y13" si="12">T13</f>
        <v>322</v>
      </c>
      <c r="V13" s="812">
        <f t="shared" si="12"/>
        <v>322</v>
      </c>
      <c r="W13" s="812">
        <f t="shared" si="12"/>
        <v>322</v>
      </c>
      <c r="X13" s="812">
        <f t="shared" si="12"/>
        <v>322</v>
      </c>
      <c r="Y13" s="812">
        <f t="shared" si="12"/>
        <v>322</v>
      </c>
    </row>
    <row r="14" spans="1:25" outlineLevel="1">
      <c r="A14" s="947"/>
      <c r="B14" s="1"/>
      <c r="C14" s="801" t="s">
        <v>556</v>
      </c>
      <c r="E14" s="929">
        <v>42</v>
      </c>
      <c r="F14" s="929">
        <v>44</v>
      </c>
      <c r="G14" s="929">
        <v>43</v>
      </c>
      <c r="H14" s="929">
        <v>62</v>
      </c>
      <c r="I14" s="929">
        <v>112</v>
      </c>
      <c r="J14" s="929">
        <v>109</v>
      </c>
      <c r="K14" s="929">
        <v>72</v>
      </c>
      <c r="L14" s="929">
        <v>-1</v>
      </c>
      <c r="M14" s="929">
        <v>6</v>
      </c>
      <c r="N14" s="929">
        <v>-8</v>
      </c>
      <c r="O14" s="2980">
        <v>-5</v>
      </c>
      <c r="P14" s="2980">
        <v>21</v>
      </c>
      <c r="Q14" s="812">
        <f>+P14</f>
        <v>21</v>
      </c>
      <c r="R14" s="812">
        <f>+Q14</f>
        <v>21</v>
      </c>
      <c r="S14" s="812">
        <f>+R14</f>
        <v>21</v>
      </c>
      <c r="T14" s="812">
        <f>+S14</f>
        <v>21</v>
      </c>
      <c r="U14" s="812">
        <f t="shared" ref="U14:Y14" si="13">+T14</f>
        <v>21</v>
      </c>
      <c r="V14" s="812">
        <f t="shared" si="13"/>
        <v>21</v>
      </c>
      <c r="W14" s="812">
        <f t="shared" si="13"/>
        <v>21</v>
      </c>
      <c r="X14" s="812">
        <f t="shared" si="13"/>
        <v>21</v>
      </c>
      <c r="Y14" s="812">
        <f t="shared" si="13"/>
        <v>21</v>
      </c>
    </row>
    <row r="15" spans="1:25" outlineLevel="1">
      <c r="A15" s="947"/>
      <c r="B15" s="1"/>
      <c r="C15" s="801" t="s">
        <v>557</v>
      </c>
      <c r="E15" s="929">
        <v>1959</v>
      </c>
      <c r="F15" s="929">
        <v>1995</v>
      </c>
      <c r="G15" s="929">
        <v>1975</v>
      </c>
      <c r="H15" s="929">
        <v>1966</v>
      </c>
      <c r="I15" s="929">
        <v>1924</v>
      </c>
      <c r="J15" s="929">
        <v>1797</v>
      </c>
      <c r="K15" s="929">
        <v>1590</v>
      </c>
      <c r="L15" s="929">
        <v>1449</v>
      </c>
      <c r="M15" s="929">
        <v>1002</v>
      </c>
      <c r="N15" s="929">
        <v>1035</v>
      </c>
      <c r="O15" s="929">
        <v>969</v>
      </c>
      <c r="P15" s="929">
        <v>677</v>
      </c>
      <c r="Q15" s="812">
        <f>+Q22*P5</f>
        <v>938.4319999999999</v>
      </c>
      <c r="R15" s="812">
        <f>+R22*Q5</f>
        <v>917.07957599999997</v>
      </c>
      <c r="S15" s="812">
        <f>+S22*R5</f>
        <v>908.39699776800001</v>
      </c>
      <c r="T15" s="812">
        <f>+T22*S5</f>
        <v>901.49106867202397</v>
      </c>
      <c r="U15" s="812">
        <f t="shared" ref="U15:Y15" si="14">+U22*T5</f>
        <v>894.28818462492097</v>
      </c>
      <c r="V15" s="812">
        <f t="shared" si="14"/>
        <v>886.77557656379258</v>
      </c>
      <c r="W15" s="812">
        <f t="shared" si="14"/>
        <v>878.9399263560357</v>
      </c>
      <c r="X15" s="812">
        <f t="shared" si="14"/>
        <v>870.7673431893453</v>
      </c>
      <c r="Y15" s="812">
        <f t="shared" si="14"/>
        <v>862.24333894648714</v>
      </c>
    </row>
    <row r="16" spans="1:25" outlineLevel="1">
      <c r="A16" s="947"/>
      <c r="B16" s="1"/>
      <c r="C16" s="801" t="s">
        <v>558</v>
      </c>
      <c r="E16" s="929">
        <v>-3231</v>
      </c>
      <c r="F16" s="929">
        <v>-3173</v>
      </c>
      <c r="G16" s="929">
        <v>-3175</v>
      </c>
      <c r="H16" s="929">
        <v>-3187</v>
      </c>
      <c r="I16" s="929">
        <v>-2937</v>
      </c>
      <c r="J16" s="929">
        <v>-2176</v>
      </c>
      <c r="K16" s="929">
        <v>-1976</v>
      </c>
      <c r="L16" s="929">
        <v>-1795</v>
      </c>
      <c r="M16" s="929">
        <v>-1245</v>
      </c>
      <c r="N16" s="929">
        <v>-1181</v>
      </c>
      <c r="O16" s="2980">
        <v>-1270</v>
      </c>
      <c r="P16" s="2980">
        <v>-1045</v>
      </c>
      <c r="Q16" s="812">
        <f>-Q30*Q7</f>
        <v>-1026.4100000000001</v>
      </c>
      <c r="R16" s="812">
        <f>-R30*R7</f>
        <v>-1031.2687000000001</v>
      </c>
      <c r="S16" s="812">
        <f>-S30*S7</f>
        <v>-1058.5875090000002</v>
      </c>
      <c r="T16" s="812">
        <f>-T30*T7</f>
        <v>-1091.3186346300001</v>
      </c>
      <c r="U16" s="812">
        <f t="shared" ref="U16:Y16" si="15">-U30*U7</f>
        <v>-1126.3409390541001</v>
      </c>
      <c r="V16" s="812">
        <f t="shared" si="15"/>
        <v>-1163.8148047878869</v>
      </c>
      <c r="W16" s="812">
        <f t="shared" si="15"/>
        <v>-1203.911841123039</v>
      </c>
      <c r="X16" s="812">
        <f t="shared" si="15"/>
        <v>-1246.8156700016516</v>
      </c>
      <c r="Y16" s="812">
        <f t="shared" si="15"/>
        <v>-1292.7227669017673</v>
      </c>
    </row>
    <row r="17" spans="1:25" outlineLevel="1">
      <c r="A17" s="947"/>
      <c r="B17" s="1"/>
      <c r="C17" s="801" t="s">
        <v>559</v>
      </c>
      <c r="E17" s="929">
        <v>651</v>
      </c>
      <c r="F17" s="929">
        <v>285</v>
      </c>
      <c r="G17" s="929">
        <v>98</v>
      </c>
      <c r="H17" s="929">
        <v>436</v>
      </c>
      <c r="I17" s="929">
        <v>2666</v>
      </c>
      <c r="J17" s="929">
        <v>694</v>
      </c>
      <c r="K17" s="929">
        <v>4146</v>
      </c>
      <c r="L17" s="929">
        <v>5542</v>
      </c>
      <c r="M17" s="929">
        <f>-2470+4</f>
        <v>-2466</v>
      </c>
      <c r="N17" s="929">
        <f>2380+11</f>
        <v>2391</v>
      </c>
      <c r="O17" s="2980">
        <v>-209</v>
      </c>
      <c r="P17" s="2980">
        <v>1198</v>
      </c>
      <c r="Q17" s="812">
        <f>Q25-((Q8-Q7)*Q30)</f>
        <v>0</v>
      </c>
      <c r="R17" s="812">
        <f>R25-((R8-R7)*R30)</f>
        <v>0</v>
      </c>
      <c r="S17" s="812">
        <f>S25-((S8-S7)*S30)</f>
        <v>0</v>
      </c>
      <c r="T17" s="812">
        <f>T25-((T8-T7)*T30)</f>
        <v>0</v>
      </c>
      <c r="U17" s="812">
        <f t="shared" ref="U17:Y17" si="16">U25-((U8-U7)*U30)</f>
        <v>0</v>
      </c>
      <c r="V17" s="812">
        <f t="shared" si="16"/>
        <v>0</v>
      </c>
      <c r="W17" s="812">
        <f t="shared" si="16"/>
        <v>0</v>
      </c>
      <c r="X17" s="812">
        <f t="shared" si="16"/>
        <v>0</v>
      </c>
      <c r="Y17" s="812">
        <f t="shared" si="16"/>
        <v>0</v>
      </c>
    </row>
    <row r="18" spans="1:25">
      <c r="A18" s="946"/>
      <c r="B18" s="1"/>
      <c r="C18" s="1" t="s">
        <v>560</v>
      </c>
      <c r="D18" s="1"/>
      <c r="E18" s="820">
        <f t="shared" ref="E18:R18" si="17">SUM(E13:E17)</f>
        <v>96</v>
      </c>
      <c r="F18" s="820">
        <f t="shared" si="17"/>
        <v>-268</v>
      </c>
      <c r="G18" s="820">
        <f t="shared" si="17"/>
        <v>-617</v>
      </c>
      <c r="H18" s="820">
        <f t="shared" si="17"/>
        <v>-341</v>
      </c>
      <c r="I18" s="820">
        <f t="shared" si="17"/>
        <v>2149</v>
      </c>
      <c r="J18" s="820">
        <f t="shared" si="17"/>
        <v>777</v>
      </c>
      <c r="K18" s="820">
        <f t="shared" si="17"/>
        <v>4139</v>
      </c>
      <c r="L18" s="820">
        <f t="shared" si="17"/>
        <v>5553</v>
      </c>
      <c r="M18" s="820">
        <f t="shared" si="17"/>
        <v>-2308</v>
      </c>
      <c r="N18" s="820">
        <f t="shared" si="17"/>
        <v>2564</v>
      </c>
      <c r="O18" s="820">
        <f t="shared" ref="O18:P18" si="18">SUM(O13:O17)</f>
        <v>-141</v>
      </c>
      <c r="P18" s="820">
        <f t="shared" si="18"/>
        <v>1173</v>
      </c>
      <c r="Q18" s="820">
        <f t="shared" si="17"/>
        <v>255.02199999999971</v>
      </c>
      <c r="R18" s="820">
        <f t="shared" si="17"/>
        <v>228.81087600000001</v>
      </c>
      <c r="S18" s="820">
        <f>SUM(S13:S17)</f>
        <v>192.80948876799971</v>
      </c>
      <c r="T18" s="820">
        <f>SUM(T13:T17)</f>
        <v>153.17243404202395</v>
      </c>
      <c r="U18" s="820">
        <f t="shared" ref="U18:Y18" si="19">SUM(U13:U17)</f>
        <v>110.947245570821</v>
      </c>
      <c r="V18" s="820">
        <f t="shared" si="19"/>
        <v>65.960771775905641</v>
      </c>
      <c r="W18" s="820">
        <f t="shared" si="19"/>
        <v>18.028085232996773</v>
      </c>
      <c r="X18" s="820">
        <f t="shared" si="19"/>
        <v>-33.048326812306186</v>
      </c>
      <c r="Y18" s="820">
        <f t="shared" si="19"/>
        <v>-87.479427955280016</v>
      </c>
    </row>
    <row r="19" spans="1:25">
      <c r="A19" s="947"/>
      <c r="B19" s="1"/>
      <c r="C19" s="939" t="s">
        <v>561</v>
      </c>
      <c r="D19" s="939"/>
      <c r="E19" s="840">
        <f t="shared" ref="E19:R19" si="20">SUM(E13:E16)</f>
        <v>-555</v>
      </c>
      <c r="F19" s="840">
        <f t="shared" si="20"/>
        <v>-553</v>
      </c>
      <c r="G19" s="840">
        <f t="shared" si="20"/>
        <v>-715</v>
      </c>
      <c r="H19" s="840">
        <f t="shared" si="20"/>
        <v>-777</v>
      </c>
      <c r="I19" s="840">
        <f t="shared" si="20"/>
        <v>-517</v>
      </c>
      <c r="J19" s="840">
        <f t="shared" si="20"/>
        <v>83</v>
      </c>
      <c r="K19" s="840">
        <f t="shared" si="20"/>
        <v>-7</v>
      </c>
      <c r="L19" s="840">
        <f t="shared" si="20"/>
        <v>11</v>
      </c>
      <c r="M19" s="840">
        <f t="shared" si="20"/>
        <v>158</v>
      </c>
      <c r="N19" s="840">
        <f t="shared" si="20"/>
        <v>173</v>
      </c>
      <c r="O19" s="840">
        <f t="shared" ref="O19:P19" si="21">SUM(O13:O16)</f>
        <v>68</v>
      </c>
      <c r="P19" s="840">
        <f t="shared" si="21"/>
        <v>-25</v>
      </c>
      <c r="Q19" s="840">
        <f t="shared" si="20"/>
        <v>255.02199999999971</v>
      </c>
      <c r="R19" s="840">
        <f t="shared" si="20"/>
        <v>228.81087600000001</v>
      </c>
      <c r="S19" s="840">
        <f>SUM(S13:S16)</f>
        <v>192.80948876799971</v>
      </c>
      <c r="T19" s="840">
        <f>SUM(T13:T16)</f>
        <v>153.17243404202395</v>
      </c>
      <c r="U19" s="840">
        <f t="shared" ref="U19:Y19" si="22">SUM(U13:U16)</f>
        <v>110.947245570821</v>
      </c>
      <c r="V19" s="840">
        <f t="shared" si="22"/>
        <v>65.960771775905641</v>
      </c>
      <c r="W19" s="840">
        <f t="shared" si="22"/>
        <v>18.028085232996773</v>
      </c>
      <c r="X19" s="840">
        <f t="shared" si="22"/>
        <v>-33.048326812306186</v>
      </c>
      <c r="Y19" s="840">
        <f t="shared" si="22"/>
        <v>-87.479427955280016</v>
      </c>
    </row>
    <row r="20" spans="1:25">
      <c r="A20" s="947"/>
      <c r="B20" s="1"/>
      <c r="E20" s="812"/>
      <c r="F20" s="812"/>
      <c r="G20" s="812"/>
      <c r="H20" s="812"/>
      <c r="I20" s="812"/>
      <c r="J20" s="812"/>
      <c r="K20" s="812"/>
      <c r="L20" s="812"/>
      <c r="M20" s="812"/>
      <c r="N20" s="812"/>
      <c r="O20" s="812"/>
      <c r="P20" s="812"/>
      <c r="Q20" s="812"/>
      <c r="R20" s="812"/>
      <c r="S20" s="812"/>
      <c r="T20" s="812"/>
      <c r="U20" s="812"/>
      <c r="V20" s="812"/>
      <c r="W20" s="812"/>
      <c r="X20" s="812"/>
      <c r="Y20" s="812"/>
    </row>
    <row r="21" spans="1:25">
      <c r="A21" s="947"/>
      <c r="B21" s="944" t="s">
        <v>837</v>
      </c>
      <c r="E21" s="812"/>
      <c r="F21" s="812"/>
      <c r="G21" s="812"/>
      <c r="H21" s="812"/>
      <c r="I21" s="812"/>
      <c r="J21" s="812"/>
      <c r="K21" s="812"/>
      <c r="L21" s="812"/>
      <c r="M21" s="812"/>
      <c r="N21" s="812"/>
      <c r="O21" s="812"/>
      <c r="P21" s="812"/>
      <c r="Q21" s="812"/>
      <c r="R21" s="812"/>
      <c r="S21" s="812"/>
      <c r="T21" s="812"/>
      <c r="U21" s="812"/>
      <c r="V21" s="812"/>
      <c r="W21" s="812"/>
      <c r="X21" s="812"/>
      <c r="Y21" s="812"/>
    </row>
    <row r="22" spans="1:25" outlineLevel="1">
      <c r="A22" s="947"/>
      <c r="B22" s="1"/>
      <c r="C22" s="6" t="s">
        <v>562</v>
      </c>
      <c r="D22" s="6"/>
      <c r="E22" s="1034">
        <v>35479</v>
      </c>
      <c r="F22" s="828">
        <f t="shared" ref="F22:K22" si="23">E28</f>
        <v>35540</v>
      </c>
      <c r="G22" s="828">
        <f t="shared" si="23"/>
        <v>34159</v>
      </c>
      <c r="H22" s="828">
        <f t="shared" si="23"/>
        <v>32495</v>
      </c>
      <c r="I22" s="828">
        <f t="shared" si="23"/>
        <v>30394</v>
      </c>
      <c r="J22" s="828">
        <f t="shared" si="23"/>
        <v>31818</v>
      </c>
      <c r="K22" s="828">
        <f t="shared" si="23"/>
        <v>29217</v>
      </c>
      <c r="L22" s="828">
        <f t="shared" ref="L22:T22" si="24">+K28</f>
        <v>30582</v>
      </c>
      <c r="M22" s="828">
        <f t="shared" si="24"/>
        <v>26773</v>
      </c>
      <c r="N22" s="828">
        <f t="shared" si="24"/>
        <v>23032</v>
      </c>
      <c r="O22" s="828">
        <f t="shared" si="24"/>
        <v>25320</v>
      </c>
      <c r="P22" s="828">
        <f t="shared" si="24"/>
        <v>22016</v>
      </c>
      <c r="Q22" s="828">
        <f t="shared" si="24"/>
        <v>21824</v>
      </c>
      <c r="R22" s="828">
        <f t="shared" si="24"/>
        <v>21327.432000000001</v>
      </c>
      <c r="S22" s="828">
        <f t="shared" si="24"/>
        <v>21125.511576000001</v>
      </c>
      <c r="T22" s="828">
        <f t="shared" si="24"/>
        <v>20964.908573768</v>
      </c>
      <c r="U22" s="828">
        <f t="shared" ref="U22" si="25">+T28</f>
        <v>20797.399642440025</v>
      </c>
      <c r="V22" s="828">
        <f t="shared" ref="V22" si="26">+U28</f>
        <v>20622.687827064947</v>
      </c>
      <c r="W22" s="828">
        <f t="shared" ref="W22" si="27">+V28</f>
        <v>20440.463403628739</v>
      </c>
      <c r="X22" s="828">
        <f t="shared" ref="X22" si="28">+W28</f>
        <v>20250.403329984776</v>
      </c>
      <c r="Y22" s="828">
        <f t="shared" ref="Y22" si="29">+X28</f>
        <v>20052.170673174121</v>
      </c>
    </row>
    <row r="23" spans="1:25" outlineLevel="1">
      <c r="A23" s="947"/>
      <c r="B23" s="1"/>
      <c r="C23" s="801" t="s">
        <v>555</v>
      </c>
      <c r="E23" s="929">
        <f t="shared" ref="E23:K23" si="30">E13</f>
        <v>675</v>
      </c>
      <c r="F23" s="812">
        <f t="shared" si="30"/>
        <v>581</v>
      </c>
      <c r="G23" s="812">
        <f t="shared" si="30"/>
        <v>442</v>
      </c>
      <c r="H23" s="812">
        <f t="shared" si="30"/>
        <v>382</v>
      </c>
      <c r="I23" s="812">
        <f t="shared" si="30"/>
        <v>384</v>
      </c>
      <c r="J23" s="812">
        <f t="shared" si="30"/>
        <v>353</v>
      </c>
      <c r="K23" s="812">
        <f t="shared" si="30"/>
        <v>307</v>
      </c>
      <c r="L23" s="812">
        <f t="shared" ref="L23:R23" si="31">+L13</f>
        <v>358</v>
      </c>
      <c r="M23" s="812">
        <f t="shared" si="31"/>
        <v>395</v>
      </c>
      <c r="N23" s="812">
        <f t="shared" si="31"/>
        <v>327</v>
      </c>
      <c r="O23" s="812">
        <f t="shared" ref="O23:P23" si="32">+O13</f>
        <v>374</v>
      </c>
      <c r="P23" s="812">
        <f t="shared" si="32"/>
        <v>322</v>
      </c>
      <c r="Q23" s="812">
        <f t="shared" si="31"/>
        <v>322</v>
      </c>
      <c r="R23" s="812">
        <f t="shared" si="31"/>
        <v>322</v>
      </c>
      <c r="S23" s="812">
        <f>+S13</f>
        <v>322</v>
      </c>
      <c r="T23" s="812">
        <f>+T13</f>
        <v>322</v>
      </c>
      <c r="U23" s="812">
        <f t="shared" ref="U23:Y23" si="33">+U13</f>
        <v>322</v>
      </c>
      <c r="V23" s="812">
        <f t="shared" si="33"/>
        <v>322</v>
      </c>
      <c r="W23" s="812">
        <f t="shared" si="33"/>
        <v>322</v>
      </c>
      <c r="X23" s="812">
        <f t="shared" si="33"/>
        <v>322</v>
      </c>
      <c r="Y23" s="812">
        <f t="shared" si="33"/>
        <v>322</v>
      </c>
    </row>
    <row r="24" spans="1:25" outlineLevel="1">
      <c r="A24" s="947"/>
      <c r="B24" s="1"/>
      <c r="C24" s="801" t="s">
        <v>557</v>
      </c>
      <c r="E24" s="929">
        <f t="shared" ref="E24:K24" si="34">E15</f>
        <v>1959</v>
      </c>
      <c r="F24" s="812">
        <f t="shared" si="34"/>
        <v>1995</v>
      </c>
      <c r="G24" s="812">
        <f t="shared" si="34"/>
        <v>1975</v>
      </c>
      <c r="H24" s="812">
        <f t="shared" si="34"/>
        <v>1966</v>
      </c>
      <c r="I24" s="812">
        <f t="shared" si="34"/>
        <v>1924</v>
      </c>
      <c r="J24" s="812">
        <f t="shared" si="34"/>
        <v>1797</v>
      </c>
      <c r="K24" s="812">
        <f t="shared" si="34"/>
        <v>1590</v>
      </c>
      <c r="L24" s="812">
        <f t="shared" ref="L24:R24" si="35">+L15</f>
        <v>1449</v>
      </c>
      <c r="M24" s="812">
        <f t="shared" si="35"/>
        <v>1002</v>
      </c>
      <c r="N24" s="812">
        <f t="shared" si="35"/>
        <v>1035</v>
      </c>
      <c r="O24" s="812">
        <f t="shared" ref="O24:P24" si="36">+O15</f>
        <v>969</v>
      </c>
      <c r="P24" s="812">
        <f t="shared" si="36"/>
        <v>677</v>
      </c>
      <c r="Q24" s="812">
        <f t="shared" si="35"/>
        <v>938.4319999999999</v>
      </c>
      <c r="R24" s="812">
        <f t="shared" si="35"/>
        <v>917.07957599999997</v>
      </c>
      <c r="S24" s="812">
        <f>+S15</f>
        <v>908.39699776800001</v>
      </c>
      <c r="T24" s="812">
        <f>+T15</f>
        <v>901.49106867202397</v>
      </c>
      <c r="U24" s="812">
        <f t="shared" ref="U24:Y24" si="37">+U15</f>
        <v>894.28818462492097</v>
      </c>
      <c r="V24" s="812">
        <f t="shared" si="37"/>
        <v>886.77557656379258</v>
      </c>
      <c r="W24" s="812">
        <f t="shared" si="37"/>
        <v>878.9399263560357</v>
      </c>
      <c r="X24" s="812">
        <f t="shared" si="37"/>
        <v>870.7673431893453</v>
      </c>
      <c r="Y24" s="812">
        <f t="shared" si="37"/>
        <v>862.24333894648714</v>
      </c>
    </row>
    <row r="25" spans="1:25" outlineLevel="1">
      <c r="A25" s="947"/>
      <c r="B25" s="1"/>
      <c r="C25" s="801" t="s">
        <v>563</v>
      </c>
      <c r="E25" s="929">
        <v>327</v>
      </c>
      <c r="F25" s="929">
        <v>-282</v>
      </c>
      <c r="G25" s="929">
        <v>123</v>
      </c>
      <c r="H25" s="929">
        <v>-154</v>
      </c>
      <c r="I25" s="929">
        <v>2056</v>
      </c>
      <c r="J25" s="929">
        <v>748</v>
      </c>
      <c r="K25" s="929">
        <v>3360</v>
      </c>
      <c r="L25" s="929">
        <v>6074</v>
      </c>
      <c r="M25" s="823">
        <v>-2327</v>
      </c>
      <c r="N25" s="823">
        <v>2977</v>
      </c>
      <c r="O25" s="2981">
        <v>-1361</v>
      </c>
      <c r="P25" s="2981">
        <v>1017</v>
      </c>
      <c r="Q25" s="812">
        <f>P28*(-(Q5-P5))*Q6*100</f>
        <v>0</v>
      </c>
      <c r="R25" s="812">
        <f>Q28*(-(R5-Q5))*R6*100</f>
        <v>0</v>
      </c>
      <c r="S25" s="812">
        <f>R28*(-(S5-R5))*S6*100</f>
        <v>0</v>
      </c>
      <c r="T25" s="812">
        <f>S28*(-(T5-S5))*T6*100</f>
        <v>0</v>
      </c>
      <c r="U25" s="812">
        <f t="shared" ref="U25:Y25" si="38">T28*(-(U5-T5))*U6*100</f>
        <v>0</v>
      </c>
      <c r="V25" s="812">
        <f t="shared" si="38"/>
        <v>0</v>
      </c>
      <c r="W25" s="812">
        <f t="shared" si="38"/>
        <v>0</v>
      </c>
      <c r="X25" s="812">
        <f t="shared" si="38"/>
        <v>0</v>
      </c>
      <c r="Y25" s="812">
        <f t="shared" si="38"/>
        <v>0</v>
      </c>
    </row>
    <row r="26" spans="1:25" outlineLevel="1">
      <c r="A26" s="947"/>
      <c r="B26" s="1"/>
      <c r="C26" s="801" t="s">
        <v>564</v>
      </c>
      <c r="E26" s="929">
        <v>-2831</v>
      </c>
      <c r="F26" s="929">
        <v>-2762</v>
      </c>
      <c r="G26" s="929">
        <v>-4204</v>
      </c>
      <c r="H26" s="929">
        <v>-2577</v>
      </c>
      <c r="I26" s="929">
        <v>-2565</v>
      </c>
      <c r="J26" s="929">
        <v>-1996</v>
      </c>
      <c r="K26" s="929">
        <v>-2564</v>
      </c>
      <c r="L26" s="929">
        <v>-2735</v>
      </c>
      <c r="M26" s="823">
        <v>-1777</v>
      </c>
      <c r="N26" s="823">
        <v>-1566</v>
      </c>
      <c r="O26" s="823">
        <v>-971</v>
      </c>
      <c r="P26" s="823">
        <v>-938</v>
      </c>
      <c r="Q26" s="929">
        <v>-1757</v>
      </c>
      <c r="R26" s="929">
        <v>-1441</v>
      </c>
      <c r="S26" s="929">
        <v>-1391</v>
      </c>
      <c r="T26" s="929">
        <v>-1391</v>
      </c>
      <c r="U26" s="929">
        <v>-1391</v>
      </c>
      <c r="V26" s="929">
        <v>-1391</v>
      </c>
      <c r="W26" s="929">
        <v>-1391</v>
      </c>
      <c r="X26" s="929">
        <v>-1391</v>
      </c>
      <c r="Y26" s="929">
        <v>-1391</v>
      </c>
    </row>
    <row r="27" spans="1:25" outlineLevel="1">
      <c r="A27" s="947"/>
      <c r="B27" s="1"/>
      <c r="C27" s="801" t="s">
        <v>565</v>
      </c>
      <c r="E27" s="929">
        <f>149+11-194-35</f>
        <v>-69</v>
      </c>
      <c r="F27" s="929">
        <f>47+477-1437</f>
        <v>-913</v>
      </c>
      <c r="G27" s="929">
        <v>0</v>
      </c>
      <c r="H27" s="929">
        <f>300+32-183-1867</f>
        <v>-1718</v>
      </c>
      <c r="I27" s="929">
        <f>75+1245+192-1887</f>
        <v>-375</v>
      </c>
      <c r="J27" s="929">
        <f>-212+687+61-581-3458</f>
        <v>-3503</v>
      </c>
      <c r="K27" s="929">
        <f>-485-843</f>
        <v>-1328</v>
      </c>
      <c r="L27" s="929">
        <f>-8352-786+183</f>
        <v>-8955</v>
      </c>
      <c r="M27" s="823">
        <f>-889-149+4</f>
        <v>-1034</v>
      </c>
      <c r="N27" s="823">
        <f>-407+11-89</f>
        <v>-485</v>
      </c>
      <c r="O27" s="823">
        <v>-2315</v>
      </c>
      <c r="P27" s="823">
        <v>-1270</v>
      </c>
      <c r="Q27" s="812">
        <v>0</v>
      </c>
      <c r="R27" s="812">
        <v>0</v>
      </c>
      <c r="S27" s="812">
        <v>0</v>
      </c>
      <c r="T27" s="812">
        <v>0</v>
      </c>
      <c r="U27" s="812">
        <v>0</v>
      </c>
      <c r="V27" s="812">
        <v>0</v>
      </c>
      <c r="W27" s="812">
        <v>0</v>
      </c>
      <c r="X27" s="812">
        <v>0</v>
      </c>
      <c r="Y27" s="812">
        <v>0</v>
      </c>
    </row>
    <row r="28" spans="1:25">
      <c r="A28" s="946"/>
      <c r="B28" s="1"/>
      <c r="C28" s="938" t="s">
        <v>566</v>
      </c>
      <c r="D28" s="938"/>
      <c r="E28" s="1035">
        <f t="shared" ref="E28:R28" si="39">SUM(E22:E27)</f>
        <v>35540</v>
      </c>
      <c r="F28" s="952">
        <f t="shared" si="39"/>
        <v>34159</v>
      </c>
      <c r="G28" s="952">
        <f t="shared" si="39"/>
        <v>32495</v>
      </c>
      <c r="H28" s="952">
        <f t="shared" si="39"/>
        <v>30394</v>
      </c>
      <c r="I28" s="952">
        <f t="shared" si="39"/>
        <v>31818</v>
      </c>
      <c r="J28" s="952">
        <f t="shared" si="39"/>
        <v>29217</v>
      </c>
      <c r="K28" s="952">
        <f t="shared" si="39"/>
        <v>30582</v>
      </c>
      <c r="L28" s="952">
        <f t="shared" si="39"/>
        <v>26773</v>
      </c>
      <c r="M28" s="952">
        <f t="shared" si="39"/>
        <v>23032</v>
      </c>
      <c r="N28" s="952">
        <f t="shared" si="39"/>
        <v>25320</v>
      </c>
      <c r="O28" s="952">
        <f t="shared" ref="O28:P28" si="40">SUM(O22:O27)</f>
        <v>22016</v>
      </c>
      <c r="P28" s="952">
        <f t="shared" si="40"/>
        <v>21824</v>
      </c>
      <c r="Q28" s="952">
        <f t="shared" si="39"/>
        <v>21327.432000000001</v>
      </c>
      <c r="R28" s="952">
        <f t="shared" si="39"/>
        <v>21125.511576000001</v>
      </c>
      <c r="S28" s="952">
        <f>SUM(S22:S27)</f>
        <v>20964.908573768</v>
      </c>
      <c r="T28" s="952">
        <f>SUM(T22:T27)</f>
        <v>20797.399642440025</v>
      </c>
      <c r="U28" s="952">
        <f t="shared" ref="U28:Y28" si="41">SUM(U22:U27)</f>
        <v>20622.687827064947</v>
      </c>
      <c r="V28" s="952">
        <f t="shared" si="41"/>
        <v>20440.463403628739</v>
      </c>
      <c r="W28" s="952">
        <f t="shared" si="41"/>
        <v>20250.403329984776</v>
      </c>
      <c r="X28" s="952">
        <f t="shared" si="41"/>
        <v>20052.170673174121</v>
      </c>
      <c r="Y28" s="952">
        <f t="shared" si="41"/>
        <v>19845.414012120607</v>
      </c>
    </row>
    <row r="29" spans="1:25">
      <c r="A29" s="947"/>
      <c r="B29" s="1"/>
      <c r="E29" s="812"/>
      <c r="F29" s="812"/>
      <c r="G29" s="812"/>
      <c r="H29" s="812"/>
      <c r="I29" s="812"/>
      <c r="J29" s="812"/>
      <c r="K29" s="812"/>
      <c r="L29" s="812"/>
      <c r="M29" s="812"/>
      <c r="N29" s="812"/>
      <c r="O29" s="812"/>
      <c r="P29" s="812"/>
      <c r="Q29" s="812"/>
      <c r="R29" s="812"/>
      <c r="S29" s="812"/>
      <c r="T29" s="812"/>
      <c r="U29" s="812"/>
      <c r="V29" s="812"/>
      <c r="W29" s="812"/>
      <c r="X29" s="812"/>
      <c r="Y29" s="812"/>
    </row>
    <row r="30" spans="1:25" outlineLevel="1">
      <c r="A30" s="950"/>
      <c r="B30" s="1"/>
      <c r="C30" s="6" t="s">
        <v>567</v>
      </c>
      <c r="D30" s="6"/>
      <c r="E30" s="1034">
        <v>37461</v>
      </c>
      <c r="F30" s="828">
        <f t="shared" ref="F30:K30" si="42">E35</f>
        <v>39227</v>
      </c>
      <c r="G30" s="828">
        <f t="shared" si="42"/>
        <v>41509</v>
      </c>
      <c r="H30" s="828">
        <f t="shared" si="42"/>
        <v>42659</v>
      </c>
      <c r="I30" s="828">
        <f t="shared" si="42"/>
        <v>27791</v>
      </c>
      <c r="J30" s="828">
        <f t="shared" si="42"/>
        <v>28592</v>
      </c>
      <c r="K30" s="828">
        <f t="shared" si="42"/>
        <v>25814</v>
      </c>
      <c r="L30" s="828">
        <f t="shared" ref="L30:T30" si="43">+K35</f>
        <v>24110</v>
      </c>
      <c r="M30" s="828">
        <f t="shared" si="43"/>
        <v>18282</v>
      </c>
      <c r="N30" s="828">
        <f t="shared" si="43"/>
        <v>17111</v>
      </c>
      <c r="O30" s="828">
        <f t="shared" si="43"/>
        <v>18548</v>
      </c>
      <c r="P30" s="828">
        <f t="shared" si="43"/>
        <v>16124</v>
      </c>
      <c r="Q30" s="828">
        <f t="shared" si="43"/>
        <v>14663</v>
      </c>
      <c r="R30" s="828">
        <f t="shared" si="43"/>
        <v>14732.41</v>
      </c>
      <c r="S30" s="828">
        <f t="shared" si="43"/>
        <v>15122.6787</v>
      </c>
      <c r="T30" s="828">
        <f t="shared" si="43"/>
        <v>15590.266209000001</v>
      </c>
      <c r="U30" s="828">
        <f t="shared" ref="U30" si="44">+T35</f>
        <v>16090.58484363</v>
      </c>
      <c r="V30" s="828">
        <f t="shared" ref="V30" si="45">+U35</f>
        <v>16625.925782684099</v>
      </c>
      <c r="W30" s="828">
        <f t="shared" ref="W30" si="46">+V35</f>
        <v>17198.740587471984</v>
      </c>
      <c r="X30" s="828">
        <f t="shared" ref="X30" si="47">+W35</f>
        <v>17811.652428595022</v>
      </c>
      <c r="Y30" s="828">
        <f t="shared" ref="Y30" si="48">+X35</f>
        <v>18467.468098596673</v>
      </c>
    </row>
    <row r="31" spans="1:25" outlineLevel="1">
      <c r="A31" s="947"/>
      <c r="B31" s="1"/>
      <c r="C31" s="801" t="s">
        <v>568</v>
      </c>
      <c r="E31" s="929">
        <v>4136</v>
      </c>
      <c r="F31" s="929">
        <v>5536</v>
      </c>
      <c r="G31" s="929">
        <v>4591</v>
      </c>
      <c r="H31" s="929">
        <v>-10680</v>
      </c>
      <c r="I31" s="929">
        <v>4793</v>
      </c>
      <c r="J31" s="929">
        <v>3089</v>
      </c>
      <c r="K31" s="929">
        <v>1191</v>
      </c>
      <c r="L31" s="929">
        <v>2326</v>
      </c>
      <c r="M31" s="929">
        <v>1388</v>
      </c>
      <c r="N31" s="929">
        <v>1778</v>
      </c>
      <c r="O31" s="929">
        <v>118</v>
      </c>
      <c r="P31" s="929">
        <v>882</v>
      </c>
      <c r="Q31" s="812">
        <f>IF(Q8=Q7,-Q16,Q8*Q30)</f>
        <v>1026.4100000000001</v>
      </c>
      <c r="R31" s="812">
        <f>IF(R8=R7,-R16,R8*R30)</f>
        <v>1031.2687000000001</v>
      </c>
      <c r="S31" s="812">
        <f>IF(S8=S7,-S16,S8*S30)</f>
        <v>1058.5875090000002</v>
      </c>
      <c r="T31" s="812">
        <f>IF(T8=T7,-T16,T8*T30)</f>
        <v>1091.3186346300001</v>
      </c>
      <c r="U31" s="812">
        <f t="shared" ref="U31:Y31" si="49">IF(U8=U7,-U16,U8*U30)</f>
        <v>1126.3409390541001</v>
      </c>
      <c r="V31" s="812">
        <f t="shared" si="49"/>
        <v>1163.8148047878869</v>
      </c>
      <c r="W31" s="812">
        <f t="shared" si="49"/>
        <v>1203.911841123039</v>
      </c>
      <c r="X31" s="812">
        <f t="shared" si="49"/>
        <v>1246.8156700016516</v>
      </c>
      <c r="Y31" s="812">
        <f t="shared" si="49"/>
        <v>1292.7227669017673</v>
      </c>
    </row>
    <row r="32" spans="1:25" outlineLevel="1">
      <c r="A32" s="947"/>
      <c r="B32" s="1"/>
      <c r="C32" s="801" t="s">
        <v>569</v>
      </c>
      <c r="E32" s="929">
        <v>698</v>
      </c>
      <c r="F32" s="929">
        <v>568</v>
      </c>
      <c r="G32" s="929">
        <v>737</v>
      </c>
      <c r="H32" s="929">
        <v>487</v>
      </c>
      <c r="I32" s="929">
        <v>337</v>
      </c>
      <c r="J32" s="929">
        <v>138</v>
      </c>
      <c r="K32" s="929">
        <v>512</v>
      </c>
      <c r="L32" s="929">
        <v>3719</v>
      </c>
      <c r="M32" s="929">
        <v>107</v>
      </c>
      <c r="N32" s="929">
        <v>1632</v>
      </c>
      <c r="O32" s="929">
        <v>744</v>
      </c>
      <c r="P32" s="929">
        <v>837</v>
      </c>
      <c r="Q32" s="929">
        <v>800</v>
      </c>
      <c r="R32" s="929">
        <v>800</v>
      </c>
      <c r="S32" s="929">
        <v>800</v>
      </c>
      <c r="T32" s="929">
        <v>800</v>
      </c>
      <c r="U32" s="929">
        <v>800</v>
      </c>
      <c r="V32" s="929">
        <v>800</v>
      </c>
      <c r="W32" s="929">
        <v>800</v>
      </c>
      <c r="X32" s="929">
        <v>800</v>
      </c>
      <c r="Y32" s="929">
        <v>800</v>
      </c>
    </row>
    <row r="33" spans="1:25" outlineLevel="1">
      <c r="A33" s="947"/>
      <c r="B33" s="1"/>
      <c r="C33" s="801" t="s">
        <v>564</v>
      </c>
      <c r="E33" s="812">
        <f t="shared" ref="E33:R33" si="50">E26</f>
        <v>-2831</v>
      </c>
      <c r="F33" s="812">
        <f t="shared" si="50"/>
        <v>-2762</v>
      </c>
      <c r="G33" s="812">
        <f t="shared" si="50"/>
        <v>-4204</v>
      </c>
      <c r="H33" s="812">
        <f t="shared" si="50"/>
        <v>-2577</v>
      </c>
      <c r="I33" s="812">
        <f t="shared" si="50"/>
        <v>-2565</v>
      </c>
      <c r="J33" s="812">
        <f t="shared" si="50"/>
        <v>-1996</v>
      </c>
      <c r="K33" s="812">
        <f t="shared" si="50"/>
        <v>-2564</v>
      </c>
      <c r="L33" s="812">
        <f t="shared" si="50"/>
        <v>-2735</v>
      </c>
      <c r="M33" s="812">
        <f t="shared" si="50"/>
        <v>-1777</v>
      </c>
      <c r="N33" s="812">
        <f t="shared" si="50"/>
        <v>-1566</v>
      </c>
      <c r="O33" s="812">
        <f t="shared" ref="O33:P33" si="51">O26</f>
        <v>-971</v>
      </c>
      <c r="P33" s="812">
        <f t="shared" si="51"/>
        <v>-938</v>
      </c>
      <c r="Q33" s="812">
        <f t="shared" si="50"/>
        <v>-1757</v>
      </c>
      <c r="R33" s="812">
        <f t="shared" si="50"/>
        <v>-1441</v>
      </c>
      <c r="S33" s="812">
        <f>S26</f>
        <v>-1391</v>
      </c>
      <c r="T33" s="812">
        <f>T26</f>
        <v>-1391</v>
      </c>
      <c r="U33" s="812">
        <f t="shared" ref="U33:Y33" si="52">U26</f>
        <v>-1391</v>
      </c>
      <c r="V33" s="812">
        <f t="shared" si="52"/>
        <v>-1391</v>
      </c>
      <c r="W33" s="812">
        <f t="shared" si="52"/>
        <v>-1391</v>
      </c>
      <c r="X33" s="812">
        <f t="shared" si="52"/>
        <v>-1391</v>
      </c>
      <c r="Y33" s="812">
        <f t="shared" si="52"/>
        <v>-1391</v>
      </c>
    </row>
    <row r="34" spans="1:25" outlineLevel="1">
      <c r="A34" s="947"/>
      <c r="B34" s="1"/>
      <c r="C34" s="801" t="s">
        <v>570</v>
      </c>
      <c r="E34" s="929">
        <f>-35-202</f>
        <v>-237</v>
      </c>
      <c r="F34" s="929">
        <f>-1437+377</f>
        <v>-1060</v>
      </c>
      <c r="G34" s="929">
        <v>26</v>
      </c>
      <c r="H34" s="929">
        <f>-1867-231</f>
        <v>-2098</v>
      </c>
      <c r="I34" s="929">
        <f>-1887+123</f>
        <v>-1764</v>
      </c>
      <c r="J34" s="929">
        <f>-3458-551</f>
        <v>-4009</v>
      </c>
      <c r="K34" s="929">
        <v>-843</v>
      </c>
      <c r="L34" s="929">
        <f>-786-8352</f>
        <v>-9138</v>
      </c>
      <c r="M34" s="929">
        <v>-889</v>
      </c>
      <c r="N34" s="929">
        <v>-407</v>
      </c>
      <c r="O34" s="929">
        <v>-2315</v>
      </c>
      <c r="P34" s="929">
        <f>-1270-972</f>
        <v>-2242</v>
      </c>
      <c r="Q34" s="929">
        <v>0</v>
      </c>
      <c r="R34" s="929">
        <v>0</v>
      </c>
      <c r="S34" s="929">
        <v>0</v>
      </c>
      <c r="T34" s="929">
        <v>0</v>
      </c>
      <c r="U34" s="929">
        <v>0</v>
      </c>
      <c r="V34" s="929">
        <v>0</v>
      </c>
      <c r="W34" s="929">
        <v>0</v>
      </c>
      <c r="X34" s="929">
        <v>0</v>
      </c>
      <c r="Y34" s="929">
        <v>0</v>
      </c>
    </row>
    <row r="35" spans="1:25">
      <c r="A35" s="946"/>
      <c r="B35" s="1"/>
      <c r="C35" s="938" t="s">
        <v>571</v>
      </c>
      <c r="D35" s="938"/>
      <c r="E35" s="952">
        <f t="shared" ref="E35:R35" si="53">SUM(E30:E34)</f>
        <v>39227</v>
      </c>
      <c r="F35" s="952">
        <f t="shared" si="53"/>
        <v>41509</v>
      </c>
      <c r="G35" s="952">
        <f t="shared" si="53"/>
        <v>42659</v>
      </c>
      <c r="H35" s="952">
        <f t="shared" si="53"/>
        <v>27791</v>
      </c>
      <c r="I35" s="952">
        <f t="shared" si="53"/>
        <v>28592</v>
      </c>
      <c r="J35" s="952">
        <f t="shared" si="53"/>
        <v>25814</v>
      </c>
      <c r="K35" s="952">
        <f t="shared" si="53"/>
        <v>24110</v>
      </c>
      <c r="L35" s="952">
        <f t="shared" si="53"/>
        <v>18282</v>
      </c>
      <c r="M35" s="952">
        <f t="shared" si="53"/>
        <v>17111</v>
      </c>
      <c r="N35" s="952">
        <f t="shared" si="53"/>
        <v>18548</v>
      </c>
      <c r="O35" s="952">
        <f t="shared" ref="O35:P35" si="54">SUM(O30:O34)</f>
        <v>16124</v>
      </c>
      <c r="P35" s="952">
        <f t="shared" si="54"/>
        <v>14663</v>
      </c>
      <c r="Q35" s="952">
        <f t="shared" si="53"/>
        <v>14732.41</v>
      </c>
      <c r="R35" s="952">
        <f t="shared" si="53"/>
        <v>15122.6787</v>
      </c>
      <c r="S35" s="952">
        <f>SUM(S30:S34)</f>
        <v>15590.266209000001</v>
      </c>
      <c r="T35" s="952">
        <f>SUM(T30:T34)</f>
        <v>16090.58484363</v>
      </c>
      <c r="U35" s="952">
        <f t="shared" ref="U35:Y35" si="55">SUM(U30:U34)</f>
        <v>16625.925782684099</v>
      </c>
      <c r="V35" s="952">
        <f t="shared" si="55"/>
        <v>17198.740587471984</v>
      </c>
      <c r="W35" s="952">
        <f t="shared" si="55"/>
        <v>17811.652428595022</v>
      </c>
      <c r="X35" s="952">
        <f t="shared" si="55"/>
        <v>18467.468098596673</v>
      </c>
      <c r="Y35" s="952">
        <f t="shared" si="55"/>
        <v>19169.19086549844</v>
      </c>
    </row>
    <row r="36" spans="1:25">
      <c r="A36" s="947"/>
      <c r="B36" s="1"/>
      <c r="E36" s="812"/>
      <c r="F36" s="812"/>
      <c r="G36" s="812"/>
      <c r="H36" s="812"/>
      <c r="I36" s="812"/>
      <c r="J36" s="812"/>
      <c r="K36" s="812"/>
      <c r="L36" s="812"/>
      <c r="M36" s="812"/>
      <c r="N36" s="812"/>
      <c r="O36" s="812"/>
      <c r="P36" s="812"/>
      <c r="Q36" s="812"/>
      <c r="R36" s="812"/>
      <c r="S36" s="812"/>
      <c r="T36" s="812"/>
      <c r="U36" s="812"/>
      <c r="V36" s="812"/>
      <c r="W36" s="812"/>
      <c r="X36" s="812"/>
      <c r="Y36" s="812"/>
    </row>
    <row r="37" spans="1:25">
      <c r="A37" s="946"/>
      <c r="B37" s="1"/>
      <c r="C37" s="946" t="s">
        <v>572</v>
      </c>
      <c r="D37" s="946"/>
      <c r="E37" s="951">
        <f t="shared" ref="E37:R37" si="56">IF(ISERROR(E28-E35),0,E28-E35)</f>
        <v>-3687</v>
      </c>
      <c r="F37" s="951">
        <f t="shared" si="56"/>
        <v>-7350</v>
      </c>
      <c r="G37" s="951">
        <f t="shared" si="56"/>
        <v>-10164</v>
      </c>
      <c r="H37" s="951">
        <f t="shared" si="56"/>
        <v>2603</v>
      </c>
      <c r="I37" s="951">
        <f t="shared" si="56"/>
        <v>3226</v>
      </c>
      <c r="J37" s="951">
        <f t="shared" si="56"/>
        <v>3403</v>
      </c>
      <c r="K37" s="951">
        <f t="shared" si="56"/>
        <v>6472</v>
      </c>
      <c r="L37" s="951">
        <f t="shared" si="56"/>
        <v>8491</v>
      </c>
      <c r="M37" s="951">
        <f t="shared" si="56"/>
        <v>5921</v>
      </c>
      <c r="N37" s="951">
        <f t="shared" si="56"/>
        <v>6772</v>
      </c>
      <c r="O37" s="951">
        <f t="shared" ref="O37:P37" si="57">IF(ISERROR(O28-O35),0,O28-O35)</f>
        <v>5892</v>
      </c>
      <c r="P37" s="951">
        <f t="shared" si="57"/>
        <v>7161</v>
      </c>
      <c r="Q37" s="951">
        <f t="shared" si="56"/>
        <v>6595.0220000000008</v>
      </c>
      <c r="R37" s="951">
        <f t="shared" si="56"/>
        <v>6002.8328760000004</v>
      </c>
      <c r="S37" s="951">
        <f>IF(ISERROR(S28-S35),0,S28-S35)</f>
        <v>5374.6423647679985</v>
      </c>
      <c r="T37" s="951">
        <f>IF(ISERROR(T28-T35),0,T28-T35)</f>
        <v>4706.8147988100245</v>
      </c>
      <c r="U37" s="951">
        <f t="shared" ref="U37:Y37" si="58">IF(ISERROR(U28-U35),0,U28-U35)</f>
        <v>3996.7620443808482</v>
      </c>
      <c r="V37" s="951">
        <f t="shared" si="58"/>
        <v>3241.7228161567546</v>
      </c>
      <c r="W37" s="951">
        <f t="shared" si="58"/>
        <v>2438.7509013897543</v>
      </c>
      <c r="X37" s="951">
        <f t="shared" si="58"/>
        <v>1584.7025745774481</v>
      </c>
      <c r="Y37" s="951">
        <f t="shared" si="58"/>
        <v>676.22314662216741</v>
      </c>
    </row>
    <row r="38" spans="1:25">
      <c r="A38" s="946"/>
      <c r="B38" s="1"/>
      <c r="C38" s="1" t="s">
        <v>573</v>
      </c>
      <c r="D38" s="1"/>
      <c r="E38" s="941">
        <f t="shared" ref="E38:R38" si="59">IF(ISERROR(E35/E28),"NA",E35/E28)</f>
        <v>1.1037422622397299</v>
      </c>
      <c r="F38" s="941">
        <f t="shared" si="59"/>
        <v>1.2151702333206476</v>
      </c>
      <c r="G38" s="941">
        <f t="shared" si="59"/>
        <v>1.3127865825511618</v>
      </c>
      <c r="H38" s="941">
        <f t="shared" si="59"/>
        <v>0.91435809699282755</v>
      </c>
      <c r="I38" s="941">
        <f t="shared" si="59"/>
        <v>0.89861084920485257</v>
      </c>
      <c r="J38" s="941">
        <f t="shared" si="59"/>
        <v>0.88352671389944215</v>
      </c>
      <c r="K38" s="941">
        <f t="shared" si="59"/>
        <v>0.7883722451115035</v>
      </c>
      <c r="L38" s="941">
        <f t="shared" si="59"/>
        <v>0.68285212714301724</v>
      </c>
      <c r="M38" s="941">
        <f t="shared" si="59"/>
        <v>0.74292288989232369</v>
      </c>
      <c r="N38" s="941">
        <f t="shared" si="59"/>
        <v>0.73254344391785153</v>
      </c>
      <c r="O38" s="941">
        <f t="shared" ref="O38:P38" si="60">IF(ISERROR(O35/O28),"NA",O35/O28)</f>
        <v>0.7323764534883721</v>
      </c>
      <c r="P38" s="941">
        <f t="shared" si="60"/>
        <v>0.671875</v>
      </c>
      <c r="Q38" s="941">
        <f t="shared" si="59"/>
        <v>0.69077280377684469</v>
      </c>
      <c r="R38" s="941">
        <f t="shared" si="59"/>
        <v>0.71584911189466194</v>
      </c>
      <c r="S38" s="941">
        <f>IF(ISERROR(S35/S28),"NA",S35/S28)</f>
        <v>0.74363626028434338</v>
      </c>
      <c r="T38" s="941">
        <f>IF(ISERROR(T35/T28),"NA",T35/T28)</f>
        <v>0.77368253340647908</v>
      </c>
      <c r="U38" s="941">
        <f t="shared" ref="U38:Y38" si="61">IF(ISERROR(U35/U28),"NA",U35/U28)</f>
        <v>0.80619587136767157</v>
      </c>
      <c r="V38" s="941">
        <f t="shared" si="61"/>
        <v>0.84140658887502229</v>
      </c>
      <c r="W38" s="941">
        <f t="shared" si="61"/>
        <v>0.87957025538455846</v>
      </c>
      <c r="X38" s="941">
        <f t="shared" si="61"/>
        <v>0.92097102102280282</v>
      </c>
      <c r="Y38" s="941">
        <f t="shared" si="61"/>
        <v>0.96592547042812194</v>
      </c>
    </row>
    <row r="39" spans="1:25" ht="12.75" customHeight="1">
      <c r="A39" s="947"/>
      <c r="B39" s="1"/>
      <c r="E39" s="812"/>
      <c r="F39" s="812"/>
      <c r="G39" s="812"/>
      <c r="H39" s="812"/>
      <c r="I39" s="812"/>
      <c r="J39" s="812"/>
      <c r="K39" s="812"/>
      <c r="L39" s="812"/>
      <c r="M39" s="812"/>
      <c r="N39" s="812"/>
      <c r="O39" s="812"/>
      <c r="P39" s="812"/>
      <c r="Q39" s="812"/>
      <c r="R39" s="812"/>
      <c r="S39" s="812"/>
      <c r="T39" s="812"/>
      <c r="U39" s="812"/>
      <c r="V39" s="812"/>
      <c r="W39" s="812"/>
      <c r="X39" s="812"/>
      <c r="Y39" s="812"/>
    </row>
    <row r="40" spans="1:25">
      <c r="A40" s="947"/>
      <c r="B40" s="1"/>
      <c r="C40" s="801" t="s">
        <v>574</v>
      </c>
      <c r="E40" s="812">
        <f t="shared" ref="E40:R40" si="62">IF(ISERROR(E37*E9),0,E37*E9)</f>
        <v>-1290.4499999999998</v>
      </c>
      <c r="F40" s="812">
        <f t="shared" si="62"/>
        <v>-2572.5</v>
      </c>
      <c r="G40" s="812">
        <f t="shared" si="62"/>
        <v>-3557.3999999999996</v>
      </c>
      <c r="H40" s="812">
        <f t="shared" si="62"/>
        <v>911.05</v>
      </c>
      <c r="I40" s="812">
        <f t="shared" si="62"/>
        <v>1129.0999999999999</v>
      </c>
      <c r="J40" s="812">
        <f t="shared" si="62"/>
        <v>1191.05</v>
      </c>
      <c r="K40" s="812">
        <f t="shared" si="62"/>
        <v>2265.1999999999998</v>
      </c>
      <c r="L40" s="812">
        <f t="shared" si="62"/>
        <v>2971.85</v>
      </c>
      <c r="M40" s="812">
        <f t="shared" si="62"/>
        <v>2072.35</v>
      </c>
      <c r="N40" s="812">
        <f t="shared" si="62"/>
        <v>2370.1999999999998</v>
      </c>
      <c r="O40" s="812">
        <f t="shared" ref="O40:P40" si="63">IF(ISERROR(O37*O9),0,O37*O9)</f>
        <v>2062.1999999999998</v>
      </c>
      <c r="P40" s="812">
        <f t="shared" si="63"/>
        <v>2506.35</v>
      </c>
      <c r="Q40" s="812">
        <f t="shared" si="62"/>
        <v>2308.2577000000001</v>
      </c>
      <c r="R40" s="812">
        <f t="shared" si="62"/>
        <v>2100.9915065999999</v>
      </c>
      <c r="S40" s="812">
        <f>IF(ISERROR(S37*S9),0,S37*S9)</f>
        <v>1881.1248276687993</v>
      </c>
      <c r="T40" s="812">
        <f>IF(ISERROR(T37*T9),0,T37*T9)</f>
        <v>1647.3851795835085</v>
      </c>
      <c r="U40" s="812">
        <f t="shared" ref="U40:Y40" si="64">IF(ISERROR(U37*U9),0,U37*U9)</f>
        <v>1398.8667155332969</v>
      </c>
      <c r="V40" s="812">
        <f t="shared" si="64"/>
        <v>1134.6029856548639</v>
      </c>
      <c r="W40" s="812">
        <f t="shared" si="64"/>
        <v>853.56281548641391</v>
      </c>
      <c r="X40" s="812">
        <f t="shared" si="64"/>
        <v>554.64590110210679</v>
      </c>
      <c r="Y40" s="812">
        <f t="shared" si="64"/>
        <v>236.67810131775857</v>
      </c>
    </row>
    <row r="41" spans="1:25">
      <c r="A41" s="947"/>
      <c r="B41" s="1"/>
      <c r="E41" s="812"/>
      <c r="F41" s="812"/>
      <c r="G41" s="812"/>
      <c r="H41" s="812"/>
      <c r="I41" s="812"/>
      <c r="J41" s="812"/>
      <c r="K41" s="812"/>
      <c r="L41" s="812"/>
      <c r="M41" s="812"/>
      <c r="N41" s="812"/>
      <c r="O41" s="812"/>
      <c r="P41" s="812"/>
      <c r="Q41" s="812"/>
      <c r="R41" s="812"/>
      <c r="S41" s="812"/>
      <c r="T41" s="812"/>
      <c r="U41" s="812"/>
      <c r="V41" s="812"/>
      <c r="W41" s="812"/>
      <c r="X41" s="812"/>
      <c r="Y41" s="812"/>
    </row>
    <row r="42" spans="1:25">
      <c r="A42" s="947"/>
      <c r="B42" s="944" t="s">
        <v>575</v>
      </c>
      <c r="E42" s="812"/>
      <c r="F42" s="812"/>
      <c r="G42" s="812"/>
      <c r="H42" s="812"/>
      <c r="I42" s="812"/>
      <c r="J42" s="812"/>
      <c r="K42" s="812"/>
      <c r="L42" s="812"/>
      <c r="M42" s="812"/>
      <c r="N42" s="812"/>
      <c r="O42" s="812"/>
      <c r="P42" s="812"/>
      <c r="Q42" s="812"/>
      <c r="R42" s="812"/>
      <c r="S42" s="812"/>
      <c r="T42" s="812"/>
      <c r="U42" s="812"/>
      <c r="V42" s="812"/>
      <c r="W42" s="812"/>
      <c r="X42" s="812"/>
      <c r="Y42" s="812"/>
    </row>
    <row r="43" spans="1:25">
      <c r="A43" s="946"/>
      <c r="B43" s="1"/>
      <c r="C43" s="1" t="s">
        <v>576</v>
      </c>
      <c r="D43" s="1"/>
      <c r="E43" s="820">
        <f t="shared" ref="E43:R43" si="65">IF(ISERROR(-E32*(1-E9)),0,(-E32*(1-E9)))</f>
        <v>-453.7</v>
      </c>
      <c r="F43" s="820">
        <f t="shared" si="65"/>
        <v>-369.2</v>
      </c>
      <c r="G43" s="820">
        <f t="shared" si="65"/>
        <v>-479.05</v>
      </c>
      <c r="H43" s="820">
        <f t="shared" si="65"/>
        <v>-316.55</v>
      </c>
      <c r="I43" s="820">
        <f t="shared" si="65"/>
        <v>-219.05</v>
      </c>
      <c r="J43" s="820">
        <f t="shared" si="65"/>
        <v>-89.7</v>
      </c>
      <c r="K43" s="820">
        <f t="shared" si="65"/>
        <v>-332.8</v>
      </c>
      <c r="L43" s="820">
        <f t="shared" si="65"/>
        <v>-2417.35</v>
      </c>
      <c r="M43" s="820">
        <f t="shared" si="65"/>
        <v>-69.55</v>
      </c>
      <c r="N43" s="820">
        <f t="shared" si="65"/>
        <v>-1060.8</v>
      </c>
      <c r="O43" s="820">
        <f t="shared" ref="O43:P43" si="66">IF(ISERROR(-O32*(1-O9)),0,(-O32*(1-O9)))</f>
        <v>-483.6</v>
      </c>
      <c r="P43" s="820">
        <f t="shared" si="66"/>
        <v>-544.05000000000007</v>
      </c>
      <c r="Q43" s="820">
        <f t="shared" si="65"/>
        <v>-520</v>
      </c>
      <c r="R43" s="820">
        <f t="shared" si="65"/>
        <v>-520</v>
      </c>
      <c r="S43" s="820">
        <f>IF(ISERROR(-S32*(1-S9)),0,(-S32*(1-S9)))</f>
        <v>-520</v>
      </c>
      <c r="T43" s="820">
        <f>IF(ISERROR(-T32*(1-T9)),0,(-T32*(1-T9)))</f>
        <v>-520</v>
      </c>
      <c r="U43" s="820">
        <f t="shared" ref="U43:Y43" si="67">IF(ISERROR(-U32*(1-U9)),0,(-U32*(1-U9)))</f>
        <v>-520</v>
      </c>
      <c r="V43" s="820">
        <f t="shared" si="67"/>
        <v>-520</v>
      </c>
      <c r="W43" s="820">
        <f t="shared" si="67"/>
        <v>-520</v>
      </c>
      <c r="X43" s="820">
        <f t="shared" si="67"/>
        <v>-520</v>
      </c>
      <c r="Y43" s="820">
        <f t="shared" si="67"/>
        <v>-520</v>
      </c>
    </row>
    <row r="44" spans="1:25">
      <c r="A44" s="946"/>
      <c r="B44" s="1"/>
      <c r="C44" s="1"/>
      <c r="D44" s="1"/>
      <c r="E44" s="820"/>
      <c r="F44" s="820"/>
      <c r="G44" s="820"/>
      <c r="H44" s="820"/>
      <c r="I44" s="820"/>
      <c r="J44" s="820"/>
      <c r="K44" s="820"/>
      <c r="L44" s="820"/>
      <c r="M44" s="820"/>
      <c r="N44" s="820"/>
      <c r="O44" s="820"/>
      <c r="P44" s="820"/>
      <c r="Q44" s="820"/>
      <c r="R44" s="820"/>
      <c r="S44" s="820"/>
      <c r="T44" s="820"/>
      <c r="U44" s="820"/>
      <c r="V44" s="820"/>
      <c r="W44" s="820"/>
      <c r="X44" s="820"/>
      <c r="Y44" s="820"/>
    </row>
    <row r="45" spans="1:25" ht="7.5" customHeight="1">
      <c r="A45" s="947"/>
      <c r="B45" s="1"/>
      <c r="E45" s="812"/>
      <c r="F45" s="812"/>
      <c r="G45" s="812"/>
      <c r="H45" s="812"/>
      <c r="I45" s="812"/>
      <c r="J45" s="812"/>
      <c r="K45" s="812"/>
      <c r="L45" s="812"/>
      <c r="M45" s="812"/>
      <c r="N45" s="812"/>
      <c r="O45" s="812"/>
      <c r="P45" s="812"/>
      <c r="Q45" s="812"/>
      <c r="R45" s="812"/>
      <c r="S45" s="812"/>
      <c r="T45" s="812"/>
      <c r="U45" s="812"/>
      <c r="V45" s="812"/>
      <c r="W45" s="812"/>
      <c r="X45" s="812"/>
      <c r="Y45" s="812"/>
    </row>
    <row r="46" spans="1:25">
      <c r="A46" s="947"/>
      <c r="B46" s="938" t="s">
        <v>577</v>
      </c>
      <c r="C46" s="938"/>
      <c r="D46" s="938"/>
      <c r="E46" s="943">
        <f t="shared" ref="E46:R46" si="68">+E11</f>
        <v>2005</v>
      </c>
      <c r="F46" s="943">
        <f t="shared" si="68"/>
        <v>2006</v>
      </c>
      <c r="G46" s="943">
        <f t="shared" si="68"/>
        <v>2007</v>
      </c>
      <c r="H46" s="943">
        <f t="shared" si="68"/>
        <v>2008</v>
      </c>
      <c r="I46" s="943">
        <f t="shared" si="68"/>
        <v>2009</v>
      </c>
      <c r="J46" s="943">
        <f t="shared" si="68"/>
        <v>2010</v>
      </c>
      <c r="K46" s="943">
        <f t="shared" si="68"/>
        <v>2011</v>
      </c>
      <c r="L46" s="943">
        <f t="shared" si="68"/>
        <v>2012</v>
      </c>
      <c r="M46" s="943">
        <f t="shared" si="68"/>
        <v>2013</v>
      </c>
      <c r="N46" s="943" t="str">
        <f t="shared" si="68"/>
        <v>2014</v>
      </c>
      <c r="O46" s="943" t="str">
        <f t="shared" ref="O46:P46" si="69">+O11</f>
        <v>2015</v>
      </c>
      <c r="P46" s="2984" t="str">
        <f t="shared" si="69"/>
        <v>2016</v>
      </c>
      <c r="Q46" s="942" t="str">
        <f t="shared" si="68"/>
        <v>2017</v>
      </c>
      <c r="R46" s="942" t="str">
        <f t="shared" si="68"/>
        <v>2018E</v>
      </c>
      <c r="S46" s="942" t="str">
        <f>+S11</f>
        <v>2019E</v>
      </c>
      <c r="T46" s="942" t="str">
        <f>+T11</f>
        <v>2020E</v>
      </c>
      <c r="U46" s="942" t="str">
        <f t="shared" ref="U46:Y46" si="70">+U11</f>
        <v>2021E</v>
      </c>
      <c r="V46" s="942" t="str">
        <f t="shared" si="70"/>
        <v>2022E</v>
      </c>
      <c r="W46" s="942" t="str">
        <f t="shared" si="70"/>
        <v>2023E</v>
      </c>
      <c r="X46" s="942" t="str">
        <f t="shared" si="70"/>
        <v>2024E</v>
      </c>
      <c r="Y46" s="942" t="str">
        <f t="shared" si="70"/>
        <v>2025E</v>
      </c>
    </row>
    <row r="47" spans="1:25">
      <c r="A47" s="947"/>
      <c r="B47" s="944" t="s">
        <v>578</v>
      </c>
      <c r="E47" s="812"/>
      <c r="F47" s="812"/>
      <c r="G47" s="812"/>
      <c r="H47" s="812"/>
      <c r="I47" s="812"/>
      <c r="J47" s="812"/>
      <c r="K47" s="812"/>
      <c r="L47" s="812"/>
      <c r="M47" s="812"/>
      <c r="N47" s="812"/>
      <c r="O47" s="812"/>
      <c r="P47" s="812"/>
      <c r="Q47" s="812"/>
      <c r="R47" s="812"/>
      <c r="S47" s="812"/>
      <c r="T47" s="812"/>
      <c r="U47" s="812"/>
      <c r="V47" s="812"/>
      <c r="W47" s="812"/>
      <c r="X47" s="812"/>
      <c r="Y47" s="812"/>
    </row>
    <row r="48" spans="1:25" ht="15.75" customHeight="1">
      <c r="A48" s="947"/>
      <c r="B48" s="1"/>
      <c r="C48" s="801" t="s">
        <v>579</v>
      </c>
      <c r="E48" s="812"/>
      <c r="F48" s="812"/>
      <c r="G48" s="812"/>
      <c r="H48" s="812"/>
      <c r="I48" s="812"/>
      <c r="J48" s="812"/>
      <c r="K48" s="812"/>
      <c r="L48" s="812"/>
      <c r="M48" s="812"/>
      <c r="N48" s="812"/>
      <c r="O48" s="812"/>
      <c r="P48" s="812"/>
      <c r="Q48" s="812">
        <f>+Q43</f>
        <v>-520</v>
      </c>
      <c r="R48" s="812">
        <f>+R43</f>
        <v>-520</v>
      </c>
      <c r="S48" s="812">
        <f>+S43</f>
        <v>-520</v>
      </c>
      <c r="T48" s="812">
        <f>+T43</f>
        <v>-520</v>
      </c>
      <c r="U48" s="812">
        <f t="shared" ref="U48:Y48" si="71">+U43</f>
        <v>-520</v>
      </c>
      <c r="V48" s="812">
        <f t="shared" si="71"/>
        <v>-520</v>
      </c>
      <c r="W48" s="812">
        <f t="shared" si="71"/>
        <v>-520</v>
      </c>
      <c r="X48" s="812">
        <f t="shared" si="71"/>
        <v>-520</v>
      </c>
      <c r="Y48" s="812">
        <f t="shared" si="71"/>
        <v>-520</v>
      </c>
    </row>
    <row r="49" spans="1:25" ht="15.75" customHeight="1">
      <c r="A49" s="947"/>
      <c r="B49" s="1"/>
      <c r="C49" s="805" t="s">
        <v>580</v>
      </c>
      <c r="D49" s="805"/>
      <c r="E49" s="811"/>
      <c r="F49" s="811"/>
      <c r="G49" s="811"/>
      <c r="H49" s="811"/>
      <c r="I49" s="811"/>
      <c r="J49" s="811"/>
      <c r="K49" s="811"/>
      <c r="L49" s="811"/>
      <c r="M49" s="811"/>
      <c r="N49" s="811"/>
      <c r="O49" s="811"/>
      <c r="P49" s="811"/>
      <c r="Q49" s="811">
        <f>Q40-P40</f>
        <v>-198.0922999999998</v>
      </c>
      <c r="R49" s="811">
        <f>R40-Q40</f>
        <v>-207.26619340000025</v>
      </c>
      <c r="S49" s="811">
        <f>S40-R40</f>
        <v>-219.86667893120057</v>
      </c>
      <c r="T49" s="811">
        <f>T40-S40</f>
        <v>-233.73964808529081</v>
      </c>
      <c r="U49" s="811">
        <f t="shared" ref="U49:Y49" si="72">U40-T40</f>
        <v>-248.51846405021161</v>
      </c>
      <c r="V49" s="811">
        <f t="shared" si="72"/>
        <v>-264.26372987843297</v>
      </c>
      <c r="W49" s="811">
        <f t="shared" si="72"/>
        <v>-281.04017016845</v>
      </c>
      <c r="X49" s="811">
        <f t="shared" si="72"/>
        <v>-298.91691438430712</v>
      </c>
      <c r="Y49" s="811">
        <f t="shared" si="72"/>
        <v>-317.96779978434824</v>
      </c>
    </row>
    <row r="50" spans="1:25" ht="15.75" customHeight="1">
      <c r="A50" s="946"/>
      <c r="B50" s="1"/>
      <c r="C50" s="1" t="s">
        <v>581</v>
      </c>
      <c r="D50" s="1"/>
      <c r="E50" s="820"/>
      <c r="F50" s="820"/>
      <c r="G50" s="820"/>
      <c r="H50" s="820"/>
      <c r="I50" s="820"/>
      <c r="J50" s="820"/>
      <c r="K50" s="820"/>
      <c r="L50" s="820"/>
      <c r="M50" s="820"/>
      <c r="N50" s="820"/>
      <c r="O50" s="820"/>
      <c r="P50" s="820"/>
      <c r="Q50" s="820">
        <f>SUM(Q48:Q49)</f>
        <v>-718.0922999999998</v>
      </c>
      <c r="R50" s="820">
        <f>SUM(R48:R49)</f>
        <v>-727.26619340000025</v>
      </c>
      <c r="S50" s="820">
        <f>SUM(S48:S49)</f>
        <v>-739.86667893120057</v>
      </c>
      <c r="T50" s="820">
        <f>SUM(T48:T49)</f>
        <v>-753.73964808529081</v>
      </c>
      <c r="U50" s="820">
        <f t="shared" ref="U50:Y50" si="73">SUM(U48:U49)</f>
        <v>-768.51846405021161</v>
      </c>
      <c r="V50" s="820">
        <f t="shared" si="73"/>
        <v>-784.26372987843297</v>
      </c>
      <c r="W50" s="820">
        <f t="shared" si="73"/>
        <v>-801.04017016845</v>
      </c>
      <c r="X50" s="820">
        <f t="shared" si="73"/>
        <v>-818.91691438430712</v>
      </c>
      <c r="Y50" s="820">
        <f t="shared" si="73"/>
        <v>-837.96779978434824</v>
      </c>
    </row>
    <row r="51" spans="1:25">
      <c r="A51" s="947"/>
      <c r="B51" s="1"/>
      <c r="E51" s="812"/>
      <c r="F51" s="812"/>
      <c r="G51" s="812"/>
      <c r="H51" s="812"/>
      <c r="I51" s="812"/>
      <c r="J51" s="812"/>
      <c r="K51" s="812"/>
      <c r="L51" s="812"/>
      <c r="M51" s="812"/>
      <c r="N51" s="812"/>
      <c r="O51" s="812"/>
      <c r="P51" s="812"/>
      <c r="Q51" s="812"/>
      <c r="R51" s="812"/>
      <c r="S51" s="812"/>
      <c r="T51" s="812"/>
      <c r="U51" s="812"/>
      <c r="V51" s="812"/>
      <c r="W51" s="812"/>
      <c r="X51" s="812"/>
      <c r="Y51" s="812"/>
    </row>
    <row r="52" spans="1:25">
      <c r="A52" s="947"/>
      <c r="B52" s="944" t="s">
        <v>582</v>
      </c>
      <c r="E52" s="812"/>
      <c r="F52" s="812"/>
      <c r="G52" s="812"/>
      <c r="H52" s="812"/>
      <c r="I52" s="812"/>
      <c r="J52" s="812"/>
      <c r="K52" s="812"/>
      <c r="L52" s="812"/>
      <c r="M52" s="812"/>
      <c r="N52" s="812"/>
      <c r="O52" s="812"/>
      <c r="P52" s="812"/>
      <c r="Q52" s="812"/>
      <c r="R52" s="812"/>
      <c r="S52" s="812"/>
      <c r="T52" s="812"/>
      <c r="U52" s="812"/>
      <c r="V52" s="812"/>
      <c r="W52" s="812"/>
      <c r="X52" s="812"/>
      <c r="Y52" s="812"/>
    </row>
    <row r="53" spans="1:25" ht="15.75" customHeight="1">
      <c r="A53" s="947"/>
      <c r="B53" s="1"/>
      <c r="C53" s="801" t="s">
        <v>586</v>
      </c>
      <c r="E53" s="812"/>
      <c r="F53" s="812"/>
      <c r="G53" s="812"/>
      <c r="H53" s="812"/>
      <c r="I53" s="812"/>
      <c r="J53" s="812"/>
      <c r="K53" s="812"/>
      <c r="L53" s="812"/>
      <c r="M53" s="812"/>
      <c r="N53" s="812"/>
      <c r="O53" s="812"/>
      <c r="P53" s="812"/>
      <c r="Q53" s="812">
        <f>Q37-P37</f>
        <v>-565.97799999999916</v>
      </c>
      <c r="R53" s="812">
        <f>R37-Q37</f>
        <v>-592.18912400000045</v>
      </c>
      <c r="S53" s="812">
        <f>S37-R37</f>
        <v>-628.19051123200188</v>
      </c>
      <c r="T53" s="812">
        <f>T37-S37</f>
        <v>-667.827565957974</v>
      </c>
      <c r="U53" s="812">
        <f t="shared" ref="U53:Y53" si="74">U37-T37</f>
        <v>-710.05275442917628</v>
      </c>
      <c r="V53" s="812">
        <f t="shared" si="74"/>
        <v>-755.03922822409368</v>
      </c>
      <c r="W53" s="812">
        <f t="shared" si="74"/>
        <v>-802.97191476700027</v>
      </c>
      <c r="X53" s="812">
        <f t="shared" si="74"/>
        <v>-854.04832681230619</v>
      </c>
      <c r="Y53" s="812">
        <f t="shared" si="74"/>
        <v>-908.4794279552807</v>
      </c>
    </row>
    <row r="54" spans="1:25" ht="15.75" customHeight="1">
      <c r="A54" s="947"/>
      <c r="B54" s="1"/>
      <c r="C54" s="801" t="s">
        <v>588</v>
      </c>
      <c r="E54" s="812"/>
      <c r="F54" s="812"/>
      <c r="G54" s="812"/>
      <c r="H54" s="812"/>
      <c r="I54" s="812"/>
      <c r="J54" s="812"/>
      <c r="K54" s="812"/>
      <c r="L54" s="812"/>
      <c r="M54" s="812"/>
      <c r="N54" s="812"/>
      <c r="O54" s="812"/>
      <c r="P54" s="812"/>
      <c r="Q54" s="812">
        <f>-Q18*(1-Q9)</f>
        <v>-165.76429999999982</v>
      </c>
      <c r="R54" s="812">
        <f>-R18*(1-R9)</f>
        <v>-148.7270694</v>
      </c>
      <c r="S54" s="812">
        <f>-S18*(1-S9)</f>
        <v>-125.32616769919981</v>
      </c>
      <c r="T54" s="812">
        <f>-T18*(1-T9)</f>
        <v>-99.562082127315577</v>
      </c>
      <c r="U54" s="812">
        <f t="shared" ref="U54:Y54" si="75">-U18*(1-U9)</f>
        <v>-72.115709621033645</v>
      </c>
      <c r="V54" s="812">
        <f t="shared" si="75"/>
        <v>-42.874501654338665</v>
      </c>
      <c r="W54" s="812">
        <f t="shared" si="75"/>
        <v>-11.718255401447903</v>
      </c>
      <c r="X54" s="812">
        <f t="shared" si="75"/>
        <v>21.481412427999022</v>
      </c>
      <c r="Y54" s="812">
        <f t="shared" si="75"/>
        <v>56.861628170932015</v>
      </c>
    </row>
    <row r="55" spans="1:25" ht="15.75" customHeight="1">
      <c r="A55" s="947"/>
      <c r="B55" s="1"/>
      <c r="C55" s="805" t="s">
        <v>590</v>
      </c>
      <c r="D55" s="805"/>
      <c r="E55" s="811"/>
      <c r="F55" s="811"/>
      <c r="G55" s="811"/>
      <c r="H55" s="811"/>
      <c r="I55" s="811"/>
      <c r="J55" s="811"/>
      <c r="K55" s="811"/>
      <c r="L55" s="811"/>
      <c r="M55" s="811"/>
      <c r="N55" s="811"/>
      <c r="O55" s="811"/>
      <c r="P55" s="811"/>
      <c r="Q55" s="811">
        <f>IF(ISERROR((Q16+Q31)*(1-Q9)+(-Q25*(1-Q9))+((Q14)*(1-Q9))),0,(Q16+Q31)*(1-Q9)+(-Q25*(1-Q9))+((Q14)*(1-Q9)))</f>
        <v>13.65</v>
      </c>
      <c r="R55" s="811">
        <f>IF(ISERROR((R16+R31)*(1-R9)+(-R25*(1-R9))+((R14)*(1-R9))),0,(R16+R31)*(1-R9)+(-R25*(1-R9))+((R14)*(1-R9)))</f>
        <v>13.65</v>
      </c>
      <c r="S55" s="811">
        <f>IF(ISERROR((S16+S31)*(1-S9)+(-S25*(1-S9))+((S14)*(1-S9))),0,(S16+S31)*(1-S9)+(-S25*(1-S9))+((S14)*(1-S9)))</f>
        <v>13.65</v>
      </c>
      <c r="T55" s="811">
        <f>IF(ISERROR((T16+T31)*(1-T9)+(-T25*(1-T9))+((T14)*(1-T9))),0,(T16+T31)*(1-T9)+(-T25*(1-T9))+((T14)*(1-T9)))</f>
        <v>13.65</v>
      </c>
      <c r="U55" s="811">
        <f t="shared" ref="U55:Y55" si="76">IF(ISERROR((U16+U31)*(1-U9)+(-U25*(1-U9))+((U14)*(1-U9))),0,(U16+U31)*(1-U9)+(-U25*(1-U9))+((U14)*(1-U9)))</f>
        <v>13.65</v>
      </c>
      <c r="V55" s="811">
        <f t="shared" si="76"/>
        <v>13.65</v>
      </c>
      <c r="W55" s="811">
        <f t="shared" si="76"/>
        <v>13.65</v>
      </c>
      <c r="X55" s="811">
        <f t="shared" si="76"/>
        <v>13.65</v>
      </c>
      <c r="Y55" s="811">
        <f t="shared" si="76"/>
        <v>13.65</v>
      </c>
    </row>
    <row r="56" spans="1:25" ht="15.75" customHeight="1">
      <c r="A56" s="946"/>
      <c r="B56" s="1"/>
      <c r="C56" s="1" t="s">
        <v>592</v>
      </c>
      <c r="D56" s="1"/>
      <c r="E56" s="820"/>
      <c r="F56" s="820"/>
      <c r="G56" s="820"/>
      <c r="H56" s="820"/>
      <c r="I56" s="820"/>
      <c r="J56" s="820"/>
      <c r="K56" s="820"/>
      <c r="L56" s="820"/>
      <c r="M56" s="820"/>
      <c r="N56" s="820"/>
      <c r="O56" s="820"/>
      <c r="P56" s="820"/>
      <c r="Q56" s="820">
        <f>SUM(Q53:Q55)</f>
        <v>-718.092299999999</v>
      </c>
      <c r="R56" s="820">
        <f>SUM(R53:R55)</f>
        <v>-727.26619340000047</v>
      </c>
      <c r="S56" s="820">
        <f>SUM(S53:S55)</f>
        <v>-739.8666789312017</v>
      </c>
      <c r="T56" s="820">
        <f>SUM(T53:T55)</f>
        <v>-753.73964808528956</v>
      </c>
      <c r="U56" s="820">
        <f t="shared" ref="U56:Y56" si="77">SUM(U53:U55)</f>
        <v>-768.5184640502099</v>
      </c>
      <c r="V56" s="820">
        <f t="shared" si="77"/>
        <v>-784.2637298784324</v>
      </c>
      <c r="W56" s="820">
        <f t="shared" si="77"/>
        <v>-801.04017016844818</v>
      </c>
      <c r="X56" s="820">
        <f t="shared" si="77"/>
        <v>-818.91691438430723</v>
      </c>
      <c r="Y56" s="820">
        <f t="shared" si="77"/>
        <v>-837.9677997843487</v>
      </c>
    </row>
    <row r="57" spans="1:25" ht="24.75" customHeight="1">
      <c r="A57" s="949"/>
      <c r="B57" s="936"/>
      <c r="C57" s="6" t="s">
        <v>1351</v>
      </c>
      <c r="D57" s="6"/>
      <c r="E57" s="828"/>
      <c r="F57" s="828"/>
      <c r="G57" s="828"/>
      <c r="H57" s="828"/>
      <c r="I57" s="828"/>
      <c r="J57" s="828"/>
      <c r="K57" s="828"/>
      <c r="L57" s="828"/>
      <c r="M57" s="828"/>
      <c r="N57" s="828"/>
      <c r="O57" s="828"/>
      <c r="P57" s="828"/>
      <c r="Q57" s="828">
        <f>ROUND(Q50-Q56,0)</f>
        <v>0</v>
      </c>
      <c r="R57" s="828">
        <f>ROUND(R50-R56,0)</f>
        <v>0</v>
      </c>
      <c r="S57" s="828">
        <f>ROUND(S50-S56,0)</f>
        <v>0</v>
      </c>
      <c r="T57" s="828">
        <f>ROUND(T50-T56,0)</f>
        <v>0</v>
      </c>
      <c r="U57" s="828">
        <f t="shared" ref="U57:Y57" si="78">ROUND(U50-U56,0)</f>
        <v>0</v>
      </c>
      <c r="V57" s="828">
        <f t="shared" si="78"/>
        <v>0</v>
      </c>
      <c r="W57" s="828">
        <f t="shared" si="78"/>
        <v>0</v>
      </c>
      <c r="X57" s="828">
        <f t="shared" si="78"/>
        <v>0</v>
      </c>
      <c r="Y57" s="828">
        <f t="shared" si="78"/>
        <v>0</v>
      </c>
    </row>
    <row r="58" spans="1:25">
      <c r="A58" s="949"/>
    </row>
    <row r="59" spans="1:25">
      <c r="A59" s="949"/>
      <c r="C59" s="938" t="s">
        <v>585</v>
      </c>
      <c r="D59" s="937"/>
      <c r="E59" s="937"/>
      <c r="F59" s="937"/>
      <c r="G59" s="937"/>
      <c r="H59" s="938">
        <v>2008</v>
      </c>
      <c r="I59" s="938">
        <v>2009</v>
      </c>
      <c r="J59" s="938">
        <v>2010</v>
      </c>
      <c r="K59" s="938">
        <v>2011</v>
      </c>
      <c r="L59" s="938">
        <v>2012</v>
      </c>
      <c r="M59" s="1222">
        <v>2013</v>
      </c>
      <c r="N59" s="1222" t="s">
        <v>1607</v>
      </c>
      <c r="O59" s="2982" t="str">
        <f>+O4</f>
        <v>2015</v>
      </c>
      <c r="P59" s="2982" t="str">
        <f>+P4</f>
        <v>2016</v>
      </c>
    </row>
    <row r="60" spans="1:25">
      <c r="A60" s="949"/>
      <c r="C60" s="937" t="s">
        <v>587</v>
      </c>
      <c r="D60" s="937"/>
      <c r="E60" s="937"/>
      <c r="F60" s="937"/>
      <c r="G60" s="937"/>
      <c r="H60" s="953">
        <v>0.46</v>
      </c>
      <c r="I60" s="953">
        <v>0.443865416899832</v>
      </c>
      <c r="J60" s="953">
        <v>0.39350739908576743</v>
      </c>
      <c r="K60" s="953">
        <v>0.2832434674408959</v>
      </c>
      <c r="L60" s="953">
        <v>0.16103270976917186</v>
      </c>
      <c r="M60" s="953">
        <v>0.24545613932558003</v>
      </c>
      <c r="N60" s="953">
        <v>0.23393357774423118</v>
      </c>
      <c r="O60" s="953">
        <f>3216/16124</f>
        <v>0.19945422971967253</v>
      </c>
      <c r="P60" s="3143">
        <f>3216/16124</f>
        <v>0.19945422971967253</v>
      </c>
    </row>
    <row r="61" spans="1:25">
      <c r="A61" s="949"/>
      <c r="C61" s="937" t="s">
        <v>589</v>
      </c>
      <c r="D61" s="937"/>
      <c r="E61" s="937"/>
      <c r="F61" s="937"/>
      <c r="G61" s="937"/>
      <c r="H61" s="953">
        <v>0.2</v>
      </c>
      <c r="I61" s="953">
        <f>+(1095+2531+1112+646)/28592</f>
        <v>0.18830442081701176</v>
      </c>
      <c r="J61" s="953">
        <f>+(599+1615+910+502)/25814</f>
        <v>0.14046641357402959</v>
      </c>
      <c r="K61" s="953">
        <f>+(1796+2140+1163+359)/24110</f>
        <v>0.22637909581086685</v>
      </c>
      <c r="L61" s="953">
        <f>+(1589+2456+601+210)/18282</f>
        <v>0.26561645334208511</v>
      </c>
      <c r="M61" s="953">
        <f>+(1097+2953+364+3)/17111</f>
        <v>0.25813803985740169</v>
      </c>
      <c r="N61" s="953">
        <v>0.25469053267198621</v>
      </c>
      <c r="O61" s="953">
        <f>(1264+3024+713+3)/16124</f>
        <v>0.31034482758620691</v>
      </c>
      <c r="P61" s="3143">
        <f>(1264+3024+713+3)/16124</f>
        <v>0.31034482758620691</v>
      </c>
    </row>
    <row r="62" spans="1:25">
      <c r="A62" s="949"/>
      <c r="C62" s="937" t="s">
        <v>591</v>
      </c>
      <c r="D62" s="937"/>
      <c r="E62" s="937"/>
      <c r="F62" s="937"/>
      <c r="G62" s="937"/>
      <c r="H62" s="953">
        <v>0.09</v>
      </c>
      <c r="I62" s="953">
        <v>5.3896194739787351E-2</v>
      </c>
      <c r="J62" s="953">
        <v>6.852870535368405E-2</v>
      </c>
      <c r="K62" s="953">
        <v>8.9506428867689752E-2</v>
      </c>
      <c r="L62" s="953">
        <v>0.11038179630237392</v>
      </c>
      <c r="M62" s="953">
        <v>0.10426041727543685</v>
      </c>
      <c r="N62" s="953">
        <v>9.6614190209186976E-2</v>
      </c>
      <c r="O62" s="953">
        <f>1670/16124</f>
        <v>0.10357231456214339</v>
      </c>
      <c r="P62" s="3143">
        <f>1670/16124</f>
        <v>0.10357231456214339</v>
      </c>
    </row>
    <row r="63" spans="1:25">
      <c r="A63" s="949"/>
      <c r="C63" s="937" t="s">
        <v>593</v>
      </c>
      <c r="D63" s="937"/>
      <c r="E63" s="937"/>
      <c r="F63" s="937"/>
      <c r="G63" s="937"/>
      <c r="H63" s="953">
        <v>0.25</v>
      </c>
      <c r="I63" s="953">
        <f>+(5362+1315)/28592</f>
        <v>0.23352686066032458</v>
      </c>
      <c r="J63" s="953">
        <f>+(5889+2197+2175)/25814</f>
        <v>0.39749748198651896</v>
      </c>
      <c r="K63" s="953">
        <f>+(6109+2341+1215)/24110</f>
        <v>0.40087100788054747</v>
      </c>
      <c r="L63" s="953">
        <f>+(1618+5039+1807)/18282</f>
        <v>0.46296904058636912</v>
      </c>
      <c r="M63" s="953">
        <f>+(968+3942+1800)/17111</f>
        <v>0.39214540354158145</v>
      </c>
      <c r="N63" s="953">
        <f>1-N62-N61-N60</f>
        <v>0.41476169937459562</v>
      </c>
      <c r="O63" s="2983">
        <f>1-O62-O61-O60</f>
        <v>0.38662862813197718</v>
      </c>
      <c r="P63" s="2983">
        <f>1-P62-P61-P60</f>
        <v>0.38662862813197718</v>
      </c>
    </row>
    <row r="64" spans="1:25">
      <c r="A64" s="949"/>
      <c r="C64" s="937" t="s">
        <v>1040</v>
      </c>
      <c r="D64" s="937"/>
      <c r="E64" s="937"/>
      <c r="F64" s="937"/>
      <c r="G64" s="937"/>
      <c r="H64" s="940">
        <f t="shared" ref="H64:M64" si="79">SUM(H60:H63)</f>
        <v>1</v>
      </c>
      <c r="I64" s="940">
        <f t="shared" si="79"/>
        <v>0.91959289311695569</v>
      </c>
      <c r="J64" s="940">
        <f t="shared" si="79"/>
        <v>1</v>
      </c>
      <c r="K64" s="940">
        <f t="shared" si="79"/>
        <v>1</v>
      </c>
      <c r="L64" s="940">
        <f t="shared" si="79"/>
        <v>1</v>
      </c>
      <c r="M64" s="1223">
        <f t="shared" si="79"/>
        <v>1</v>
      </c>
      <c r="N64" s="1223">
        <f>SUM(N60:N63)</f>
        <v>1</v>
      </c>
      <c r="O64" s="1223">
        <f>SUM(O60:O63)</f>
        <v>1</v>
      </c>
      <c r="P64" s="1223">
        <f>SUM(P60:P63)</f>
        <v>1</v>
      </c>
    </row>
  </sheetData>
  <phoneticPr fontId="76" type="noConversion"/>
  <pageMargins left="0.33" right="0.36" top="0.5" bottom="0.51" header="0.5" footer="0.5"/>
  <pageSetup scale="75" orientation="portrait" r:id="rId1"/>
  <headerFooter alignWithMargins="0">
    <oddFooter>&amp;R&amp;A</oddFooter>
  </headerFooter>
  <rowBreaks count="1" manualBreakCount="1">
    <brk id="45" max="16383" man="1"/>
  </rowBreaks>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enableFormatConditionsCalculation="0">
    <tabColor indexed="44"/>
    <pageSetUpPr fitToPage="1"/>
  </sheetPr>
  <dimension ref="A1:AF57"/>
  <sheetViews>
    <sheetView showGridLines="0" zoomScaleSheetLayoutView="100" workbookViewId="0"/>
  </sheetViews>
  <sheetFormatPr defaultColWidth="9.109375" defaultRowHeight="15" outlineLevelRow="1" outlineLevelCol="1"/>
  <cols>
    <col min="1" max="1" width="1.44140625" style="801" customWidth="1"/>
    <col min="2" max="2" width="1.44140625" style="1" customWidth="1"/>
    <col min="3" max="3" width="42.21875" style="801" bestFit="1" customWidth="1"/>
    <col min="4" max="4" width="1.44140625" style="801" hidden="1" customWidth="1" outlineLevel="1"/>
    <col min="5" max="7" width="8.109375" style="812" hidden="1" customWidth="1" outlineLevel="1"/>
    <col min="8" max="8" width="8.5546875" style="812" hidden="1" customWidth="1" outlineLevel="1"/>
    <col min="9" max="9" width="8.109375" style="812" hidden="1" customWidth="1" outlineLevel="1"/>
    <col min="10" max="10" width="8.109375" style="812" hidden="1" customWidth="1" outlineLevel="1" collapsed="1"/>
    <col min="11" max="11" width="8.109375" style="812" hidden="1" customWidth="1" outlineLevel="1"/>
    <col min="12" max="12" width="8.109375" style="812" bestFit="1" customWidth="1" collapsed="1"/>
    <col min="13" max="13" width="8.109375" style="812" bestFit="1" customWidth="1"/>
    <col min="14" max="15" width="8.5546875" style="812" bestFit="1" customWidth="1"/>
    <col min="16" max="18" width="8.5546875" style="812" customWidth="1"/>
    <col min="19" max="25" width="8.5546875" style="812" hidden="1" customWidth="1" outlineLevel="1"/>
    <col min="26" max="26" width="2.6640625" style="801" customWidth="1" collapsed="1"/>
    <col min="27" max="27" width="40.109375" bestFit="1" customWidth="1"/>
    <col min="28" max="28" width="8.44140625" bestFit="1" customWidth="1"/>
    <col min="29" max="29" width="25.21875" bestFit="1" customWidth="1"/>
    <col min="30" max="30" width="7.6640625" bestFit="1" customWidth="1"/>
    <col min="31" max="31" width="11.6640625" bestFit="1" customWidth="1"/>
    <col min="32" max="32" width="6.44140625" bestFit="1" customWidth="1"/>
    <col min="33" max="33" width="9.44140625" style="801" customWidth="1"/>
    <col min="34" max="38" width="9.109375" style="801" customWidth="1"/>
    <col min="39" max="39" width="9.109375" style="801"/>
    <col min="40" max="40" width="34.44140625" style="801" customWidth="1"/>
    <col min="41" max="41" width="9.109375" style="801"/>
    <col min="42" max="42" width="10.44140625" style="801" customWidth="1"/>
    <col min="43" max="45" width="9.109375" style="801"/>
    <col min="46" max="46" width="24.88671875" style="801" customWidth="1"/>
    <col min="47" max="48" width="9.109375" style="801"/>
    <col min="49" max="49" width="16.88671875" style="801" customWidth="1"/>
    <col min="50" max="50" width="8" style="801" customWidth="1"/>
    <col min="51" max="51" width="7.5546875" style="801" customWidth="1"/>
    <col min="52" max="52" width="8.6640625" style="801" customWidth="1"/>
    <col min="53" max="53" width="9.109375" style="801"/>
    <col min="54" max="54" width="7.5546875" style="801" customWidth="1"/>
    <col min="55" max="59" width="9.109375" style="801"/>
    <col min="60" max="60" width="13.33203125" style="801" customWidth="1"/>
    <col min="61" max="78" width="9.109375" style="801"/>
    <col min="79" max="79" width="13.33203125" style="801" customWidth="1"/>
    <col min="80" max="80" width="10.5546875" style="801" customWidth="1"/>
    <col min="81" max="16384" width="9.109375" style="801"/>
  </cols>
  <sheetData>
    <row r="1" spans="1:26" ht="15" customHeight="1">
      <c r="A1" s="945" t="s">
        <v>1111</v>
      </c>
      <c r="B1" s="946"/>
      <c r="C1" s="1893"/>
      <c r="D1" s="1893"/>
      <c r="E1" s="1894"/>
      <c r="F1" s="1894"/>
      <c r="G1" s="1894"/>
      <c r="H1" s="1894"/>
      <c r="I1" s="1894"/>
      <c r="J1" s="1894"/>
      <c r="K1" s="1894"/>
      <c r="L1" s="1894"/>
      <c r="M1" s="1894"/>
      <c r="N1" s="1894"/>
      <c r="O1" s="1894"/>
      <c r="P1" s="1894"/>
      <c r="Q1" s="1894"/>
      <c r="R1" s="1894"/>
      <c r="S1" s="1894"/>
      <c r="T1" s="1894"/>
      <c r="U1" s="1894"/>
      <c r="V1" s="1894"/>
      <c r="W1" s="1894"/>
      <c r="X1" s="1894"/>
      <c r="Y1" s="1894"/>
      <c r="Z1" s="799"/>
    </row>
    <row r="2" spans="1:26">
      <c r="A2" s="945" t="s">
        <v>594</v>
      </c>
      <c r="B2" s="946"/>
      <c r="C2" s="1893"/>
      <c r="D2" s="1893"/>
      <c r="E2" s="1894"/>
      <c r="F2" s="1894"/>
      <c r="G2" s="1894"/>
      <c r="H2" s="1894"/>
      <c r="I2" s="1894"/>
      <c r="J2" s="1894"/>
      <c r="K2" s="1894"/>
      <c r="L2" s="1894"/>
      <c r="M2" s="1894"/>
      <c r="N2" s="1894"/>
      <c r="O2" s="1894"/>
      <c r="P2" s="1894"/>
      <c r="Q2" s="1894"/>
      <c r="R2" s="1894"/>
      <c r="S2" s="1894"/>
      <c r="T2" s="1894"/>
      <c r="U2" s="1894"/>
      <c r="V2" s="1894"/>
      <c r="W2" s="1894"/>
      <c r="X2" s="1894"/>
      <c r="Y2" s="1894"/>
      <c r="Z2" s="799"/>
    </row>
    <row r="3" spans="1:26" customFormat="1" outlineLevel="1"/>
    <row r="4" spans="1:26">
      <c r="A4" s="1893"/>
      <c r="B4" s="938" t="s">
        <v>548</v>
      </c>
      <c r="C4" s="938"/>
      <c r="D4" s="938"/>
      <c r="E4" s="1895">
        <v>2005</v>
      </c>
      <c r="F4" s="1895">
        <v>2006</v>
      </c>
      <c r="G4" s="1895">
        <v>2007</v>
      </c>
      <c r="H4" s="1895">
        <v>2008</v>
      </c>
      <c r="I4" s="1895">
        <v>2009</v>
      </c>
      <c r="J4" s="1895">
        <v>2010</v>
      </c>
      <c r="K4" s="1895">
        <v>2011</v>
      </c>
      <c r="L4" s="1895">
        <v>2012</v>
      </c>
      <c r="M4" s="1895">
        <v>2013</v>
      </c>
      <c r="N4" s="1895" t="s">
        <v>1607</v>
      </c>
      <c r="O4" s="1895" t="str">
        <f>IS!W5</f>
        <v>2015</v>
      </c>
      <c r="P4" s="1895" t="str">
        <f>IS!X5</f>
        <v>2016</v>
      </c>
      <c r="Q4" s="1792" t="str">
        <f>IS!Y5</f>
        <v>2017</v>
      </c>
      <c r="R4" s="1792" t="str">
        <f>IS!Z5</f>
        <v>2018E</v>
      </c>
      <c r="S4" s="1792" t="str">
        <f>IS!AA5</f>
        <v>2019E</v>
      </c>
      <c r="T4" s="1792" t="str">
        <f>IS!AB5</f>
        <v>2020E</v>
      </c>
      <c r="U4" s="1792" t="str">
        <f>IS!AC5</f>
        <v>2021E</v>
      </c>
      <c r="V4" s="1792" t="str">
        <f>IS!AD5</f>
        <v>2022E</v>
      </c>
      <c r="W4" s="1792" t="str">
        <f>IS!AE5</f>
        <v>2023E</v>
      </c>
      <c r="X4" s="1792" t="str">
        <f>IS!AF5</f>
        <v>2024E</v>
      </c>
      <c r="Y4" s="1792" t="str">
        <f>IS!AG5</f>
        <v>2025E</v>
      </c>
      <c r="Z4" s="799"/>
    </row>
    <row r="5" spans="1:26">
      <c r="A5" s="1893"/>
      <c r="C5" s="2" t="s">
        <v>595</v>
      </c>
      <c r="D5" s="2"/>
      <c r="E5" s="1163">
        <v>5.7500000000000002E-2</v>
      </c>
      <c r="F5" s="1163">
        <v>0.06</v>
      </c>
      <c r="G5" s="1163">
        <v>6.5000000000000002E-2</v>
      </c>
      <c r="H5" s="1163">
        <v>6.7500000000000004E-2</v>
      </c>
      <c r="I5" s="1163">
        <v>6.25E-2</v>
      </c>
      <c r="J5" s="1163">
        <v>5.7500000000000002E-2</v>
      </c>
      <c r="K5" s="1163">
        <v>0.05</v>
      </c>
      <c r="L5" s="1163">
        <v>4.2000000000000003E-2</v>
      </c>
      <c r="M5" s="1163">
        <v>0.05</v>
      </c>
      <c r="N5" s="1163">
        <v>4.2000000000000003E-2</v>
      </c>
      <c r="O5" s="1163">
        <v>4.2000000000000003E-2</v>
      </c>
      <c r="P5" s="1163">
        <v>4.2000000000000003E-2</v>
      </c>
      <c r="Q5" s="1793">
        <f t="shared" ref="Q5:T7" si="0">+P5</f>
        <v>4.2000000000000003E-2</v>
      </c>
      <c r="R5" s="1793">
        <f t="shared" si="0"/>
        <v>4.2000000000000003E-2</v>
      </c>
      <c r="S5" s="1793">
        <f t="shared" si="0"/>
        <v>4.2000000000000003E-2</v>
      </c>
      <c r="T5" s="1793">
        <f t="shared" si="0"/>
        <v>4.2000000000000003E-2</v>
      </c>
      <c r="U5" s="1793">
        <f t="shared" ref="U5:U7" si="1">+T5</f>
        <v>4.2000000000000003E-2</v>
      </c>
      <c r="V5" s="1793">
        <f t="shared" ref="V5:V7" si="2">+U5</f>
        <v>4.2000000000000003E-2</v>
      </c>
      <c r="W5" s="1793">
        <f t="shared" ref="W5:W7" si="3">+V5</f>
        <v>4.2000000000000003E-2</v>
      </c>
      <c r="X5" s="1793">
        <f t="shared" ref="X5:X7" si="4">+W5</f>
        <v>4.2000000000000003E-2</v>
      </c>
      <c r="Y5" s="1793">
        <f t="shared" ref="Y5:Y7" si="5">+X5</f>
        <v>4.2000000000000003E-2</v>
      </c>
      <c r="Z5" s="799"/>
    </row>
    <row r="6" spans="1:26" outlineLevel="1">
      <c r="A6" s="1893"/>
      <c r="C6" s="2" t="s">
        <v>549</v>
      </c>
      <c r="D6" s="2"/>
      <c r="E6" s="1896"/>
      <c r="F6" s="1896"/>
      <c r="G6" s="1896"/>
      <c r="H6" s="1896"/>
      <c r="I6" s="1896"/>
      <c r="J6" s="1896"/>
      <c r="K6" s="1896"/>
      <c r="L6" s="1896"/>
      <c r="M6" s="1794"/>
      <c r="N6" s="1794"/>
      <c r="O6" s="1794"/>
      <c r="P6" s="1794"/>
      <c r="Q6" s="1795">
        <f t="shared" si="0"/>
        <v>0</v>
      </c>
      <c r="R6" s="1795">
        <f t="shared" si="0"/>
        <v>0</v>
      </c>
      <c r="S6" s="1795">
        <f t="shared" si="0"/>
        <v>0</v>
      </c>
      <c r="T6" s="1795">
        <f t="shared" si="0"/>
        <v>0</v>
      </c>
      <c r="U6" s="1795">
        <f t="shared" si="1"/>
        <v>0</v>
      </c>
      <c r="V6" s="1795">
        <f t="shared" si="2"/>
        <v>0</v>
      </c>
      <c r="W6" s="1795">
        <f t="shared" si="3"/>
        <v>0</v>
      </c>
      <c r="X6" s="1795">
        <f t="shared" si="4"/>
        <v>0</v>
      </c>
      <c r="Y6" s="1795">
        <f t="shared" si="5"/>
        <v>0</v>
      </c>
      <c r="Z6" s="799"/>
    </row>
    <row r="7" spans="1:26">
      <c r="A7" s="1893"/>
      <c r="C7" s="2" t="s">
        <v>550</v>
      </c>
      <c r="D7" s="2"/>
      <c r="E7" s="1163">
        <v>7.7499999999999999E-2</v>
      </c>
      <c r="F7" s="1163">
        <v>8.2500000000000004E-2</v>
      </c>
      <c r="G7" s="1163">
        <v>8.2500000000000004E-2</v>
      </c>
      <c r="H7" s="1163">
        <v>8.2500000000000004E-2</v>
      </c>
      <c r="I7" s="1163">
        <v>8.2500000000000004E-2</v>
      </c>
      <c r="J7" s="1163">
        <v>8.2500000000000004E-2</v>
      </c>
      <c r="K7" s="1163">
        <v>0.06</v>
      </c>
      <c r="L7" s="1163">
        <v>7.0000000000000007E-2</v>
      </c>
      <c r="M7" s="1163">
        <v>5.6000000000000001E-2</v>
      </c>
      <c r="N7" s="1163">
        <v>5.5E-2</v>
      </c>
      <c r="O7" s="1163">
        <v>4.8000000000000001E-2</v>
      </c>
      <c r="P7" s="1163">
        <v>3.7999999999999999E-2</v>
      </c>
      <c r="Q7" s="1793">
        <f t="shared" si="0"/>
        <v>3.7999999999999999E-2</v>
      </c>
      <c r="R7" s="1793">
        <f t="shared" si="0"/>
        <v>3.7999999999999999E-2</v>
      </c>
      <c r="S7" s="1793">
        <f t="shared" si="0"/>
        <v>3.7999999999999999E-2</v>
      </c>
      <c r="T7" s="1793">
        <f t="shared" si="0"/>
        <v>3.7999999999999999E-2</v>
      </c>
      <c r="U7" s="1793">
        <f t="shared" si="1"/>
        <v>3.7999999999999999E-2</v>
      </c>
      <c r="V7" s="1793">
        <f t="shared" si="2"/>
        <v>3.7999999999999999E-2</v>
      </c>
      <c r="W7" s="1793">
        <f t="shared" si="3"/>
        <v>3.7999999999999999E-2</v>
      </c>
      <c r="X7" s="1793">
        <f t="shared" si="4"/>
        <v>3.7999999999999999E-2</v>
      </c>
      <c r="Y7" s="1793">
        <f t="shared" si="5"/>
        <v>3.7999999999999999E-2</v>
      </c>
      <c r="Z7" s="799"/>
    </row>
    <row r="8" spans="1:26">
      <c r="A8" s="1893"/>
      <c r="C8" s="2" t="s">
        <v>551</v>
      </c>
      <c r="D8" s="2"/>
      <c r="E8" s="1795">
        <f t="shared" ref="E8:L8" si="6">IF(ISNUMBER(E31/E30),E31/E30,0)</f>
        <v>7.6500329742800618E-2</v>
      </c>
      <c r="F8" s="1795">
        <f t="shared" si="6"/>
        <v>0.11532163742690059</v>
      </c>
      <c r="G8" s="1795">
        <f t="shared" si="6"/>
        <v>8.1803392981640716E-2</v>
      </c>
      <c r="H8" s="1795">
        <f t="shared" si="6"/>
        <v>-0.31023660067600195</v>
      </c>
      <c r="I8" s="1795">
        <f t="shared" si="6"/>
        <v>0.24970645792563601</v>
      </c>
      <c r="J8" s="1795">
        <f t="shared" si="6"/>
        <v>0.10320284697508897</v>
      </c>
      <c r="K8" s="1795">
        <f t="shared" si="6"/>
        <v>2.1392190152801357E-2</v>
      </c>
      <c r="L8" s="1795">
        <f t="shared" si="6"/>
        <v>0.11872146118721461</v>
      </c>
      <c r="M8" s="1795">
        <f>IF(ISNUMBER(M31/M30),M31/M30,0)</f>
        <v>0.20925856228829506</v>
      </c>
      <c r="N8" s="1795">
        <f>IF(ISNUMBER(N31/N30),N31/N30,0)</f>
        <v>6.321650835244022E-2</v>
      </c>
      <c r="O8" s="1795">
        <f>IF(ISNUMBER(O31/O30),O31/O30,0)</f>
        <v>1.1498973305954825E-2</v>
      </c>
      <c r="P8" s="1795">
        <f>IF(ISNUMBER(P31/P30),P31/P30,0)</f>
        <v>1.9886363636363636E-2</v>
      </c>
      <c r="Q8" s="1795">
        <f>+Q7</f>
        <v>3.7999999999999999E-2</v>
      </c>
      <c r="R8" s="1795">
        <f>+R7</f>
        <v>3.7999999999999999E-2</v>
      </c>
      <c r="S8" s="1795">
        <f>+S7</f>
        <v>3.7999999999999999E-2</v>
      </c>
      <c r="T8" s="1795">
        <f>+T7</f>
        <v>3.7999999999999999E-2</v>
      </c>
      <c r="U8" s="1795">
        <f t="shared" ref="U8:Y8" si="7">+U7</f>
        <v>3.7999999999999999E-2</v>
      </c>
      <c r="V8" s="1795">
        <f t="shared" si="7"/>
        <v>3.7999999999999999E-2</v>
      </c>
      <c r="W8" s="1795">
        <f t="shared" si="7"/>
        <v>3.7999999999999999E-2</v>
      </c>
      <c r="X8" s="1795">
        <f t="shared" si="7"/>
        <v>3.7999999999999999E-2</v>
      </c>
      <c r="Y8" s="1795">
        <f t="shared" si="7"/>
        <v>3.7999999999999999E-2</v>
      </c>
      <c r="Z8" s="799"/>
    </row>
    <row r="9" spans="1:26">
      <c r="A9" s="1893"/>
      <c r="C9" s="2" t="s">
        <v>552</v>
      </c>
      <c r="D9" s="2"/>
      <c r="E9" s="1794">
        <v>0.35</v>
      </c>
      <c r="F9" s="1794">
        <v>0.35</v>
      </c>
      <c r="G9" s="1794">
        <v>0.35</v>
      </c>
      <c r="H9" s="1794">
        <v>0.35</v>
      </c>
      <c r="I9" s="1794">
        <v>0.35</v>
      </c>
      <c r="J9" s="1794">
        <v>0.35</v>
      </c>
      <c r="K9" s="1794">
        <v>0.35</v>
      </c>
      <c r="L9" s="1794">
        <v>0.35</v>
      </c>
      <c r="M9" s="1794">
        <v>0.35</v>
      </c>
      <c r="N9" s="1794">
        <v>0.35</v>
      </c>
      <c r="O9" s="1794">
        <v>0.35</v>
      </c>
      <c r="P9" s="1794">
        <v>0.35</v>
      </c>
      <c r="Q9" s="1794">
        <v>0.35</v>
      </c>
      <c r="R9" s="1794">
        <v>0.35</v>
      </c>
      <c r="S9" s="1794">
        <v>0.35</v>
      </c>
      <c r="T9" s="1794">
        <v>0.35</v>
      </c>
      <c r="U9" s="1794">
        <v>0.35</v>
      </c>
      <c r="V9" s="1794">
        <v>0.35</v>
      </c>
      <c r="W9" s="1794">
        <v>0.35</v>
      </c>
      <c r="X9" s="1794">
        <v>0.35</v>
      </c>
      <c r="Y9" s="1794">
        <v>0.35</v>
      </c>
      <c r="Z9" s="799"/>
    </row>
    <row r="10" spans="1:26" ht="7.5" customHeight="1">
      <c r="A10" s="1893"/>
      <c r="C10" s="2"/>
      <c r="D10" s="2"/>
      <c r="E10" s="815"/>
      <c r="F10" s="815"/>
      <c r="G10" s="815"/>
      <c r="H10" s="815"/>
      <c r="I10" s="815"/>
      <c r="J10" s="815"/>
      <c r="K10" s="815"/>
      <c r="L10" s="815"/>
      <c r="M10" s="815"/>
      <c r="N10" s="815"/>
      <c r="O10" s="815"/>
      <c r="P10" s="815"/>
      <c r="Q10" s="815"/>
      <c r="R10" s="815"/>
      <c r="S10" s="815"/>
      <c r="T10" s="815"/>
      <c r="U10" s="815"/>
      <c r="V10" s="815"/>
      <c r="W10" s="815"/>
      <c r="X10" s="815"/>
      <c r="Y10" s="815"/>
      <c r="Z10" s="799"/>
    </row>
    <row r="11" spans="1:26">
      <c r="A11" s="1893"/>
      <c r="B11" s="938" t="s">
        <v>553</v>
      </c>
      <c r="C11" s="938"/>
      <c r="D11" s="938"/>
      <c r="E11" s="1895">
        <f t="shared" ref="E11:S11" si="8">+E4</f>
        <v>2005</v>
      </c>
      <c r="F11" s="1895">
        <f t="shared" si="8"/>
        <v>2006</v>
      </c>
      <c r="G11" s="1895">
        <f t="shared" si="8"/>
        <v>2007</v>
      </c>
      <c r="H11" s="1895">
        <f t="shared" si="8"/>
        <v>2008</v>
      </c>
      <c r="I11" s="1895">
        <f t="shared" si="8"/>
        <v>2009</v>
      </c>
      <c r="J11" s="1895">
        <f t="shared" si="8"/>
        <v>2010</v>
      </c>
      <c r="K11" s="1895">
        <f t="shared" si="8"/>
        <v>2011</v>
      </c>
      <c r="L11" s="1222">
        <f t="shared" si="8"/>
        <v>2012</v>
      </c>
      <c r="M11" s="1222">
        <f t="shared" si="8"/>
        <v>2013</v>
      </c>
      <c r="N11" s="1222" t="str">
        <f t="shared" si="8"/>
        <v>2014</v>
      </c>
      <c r="O11" s="1222" t="str">
        <f t="shared" ref="O11:P11" si="9">+O4</f>
        <v>2015</v>
      </c>
      <c r="P11" s="1222" t="str">
        <f t="shared" si="9"/>
        <v>2016</v>
      </c>
      <c r="Q11" s="1792" t="str">
        <f t="shared" si="8"/>
        <v>2017</v>
      </c>
      <c r="R11" s="1792" t="str">
        <f t="shared" si="8"/>
        <v>2018E</v>
      </c>
      <c r="S11" s="1792" t="str">
        <f t="shared" si="8"/>
        <v>2019E</v>
      </c>
      <c r="T11" s="1792" t="str">
        <f t="shared" ref="T11:Y11" si="10">+T4</f>
        <v>2020E</v>
      </c>
      <c r="U11" s="1792" t="str">
        <f t="shared" si="10"/>
        <v>2021E</v>
      </c>
      <c r="V11" s="1792" t="str">
        <f t="shared" si="10"/>
        <v>2022E</v>
      </c>
      <c r="W11" s="1792" t="str">
        <f t="shared" si="10"/>
        <v>2023E</v>
      </c>
      <c r="X11" s="1792" t="str">
        <f t="shared" si="10"/>
        <v>2024E</v>
      </c>
      <c r="Y11" s="1792" t="str">
        <f t="shared" si="10"/>
        <v>2025E</v>
      </c>
      <c r="Z11" s="799"/>
    </row>
    <row r="12" spans="1:26" ht="15" customHeight="1">
      <c r="A12" s="1893"/>
      <c r="B12" s="944" t="s">
        <v>554</v>
      </c>
      <c r="C12" s="2"/>
      <c r="D12" s="2"/>
      <c r="E12" s="815"/>
      <c r="F12" s="815"/>
      <c r="G12" s="815"/>
      <c r="H12" s="815"/>
      <c r="I12" s="815"/>
      <c r="J12" s="815"/>
      <c r="K12" s="815"/>
      <c r="L12" s="815"/>
      <c r="M12" s="815"/>
      <c r="N12" s="815"/>
      <c r="O12" s="815"/>
      <c r="P12" s="815"/>
      <c r="Q12" s="815"/>
      <c r="R12" s="815"/>
      <c r="S12" s="815"/>
      <c r="T12" s="815"/>
      <c r="U12" s="815"/>
      <c r="V12" s="815"/>
      <c r="W12" s="815"/>
      <c r="X12" s="815"/>
      <c r="Y12" s="815"/>
      <c r="Z12" s="799"/>
    </row>
    <row r="13" spans="1:26" outlineLevel="1">
      <c r="A13" s="1893"/>
      <c r="C13" s="2" t="s">
        <v>555</v>
      </c>
      <c r="D13" s="2"/>
      <c r="E13" s="1796">
        <v>358</v>
      </c>
      <c r="F13" s="1796">
        <v>356</v>
      </c>
      <c r="G13" s="1796">
        <v>354</v>
      </c>
      <c r="H13" s="1796">
        <v>306</v>
      </c>
      <c r="I13" s="1796">
        <v>311</v>
      </c>
      <c r="J13" s="1796">
        <v>305</v>
      </c>
      <c r="K13" s="1796">
        <v>299</v>
      </c>
      <c r="L13" s="1796">
        <v>359</v>
      </c>
      <c r="M13" s="1796">
        <v>318</v>
      </c>
      <c r="N13" s="1796">
        <v>258</v>
      </c>
      <c r="O13" s="1796">
        <v>324</v>
      </c>
      <c r="P13" s="1796">
        <v>193</v>
      </c>
      <c r="Q13" s="815">
        <f>P13</f>
        <v>193</v>
      </c>
      <c r="R13" s="815">
        <f>Q13</f>
        <v>193</v>
      </c>
      <c r="S13" s="815">
        <f>R13</f>
        <v>193</v>
      </c>
      <c r="T13" s="815">
        <f>S13</f>
        <v>193</v>
      </c>
      <c r="U13" s="815">
        <f t="shared" ref="U13:Y13" si="11">T13</f>
        <v>193</v>
      </c>
      <c r="V13" s="815">
        <f t="shared" si="11"/>
        <v>193</v>
      </c>
      <c r="W13" s="815">
        <f t="shared" si="11"/>
        <v>193</v>
      </c>
      <c r="X13" s="815">
        <f t="shared" si="11"/>
        <v>193</v>
      </c>
      <c r="Y13" s="815">
        <f t="shared" si="11"/>
        <v>193</v>
      </c>
      <c r="Z13" s="799"/>
    </row>
    <row r="14" spans="1:26" outlineLevel="1">
      <c r="A14" s="1893"/>
      <c r="C14" s="2" t="s">
        <v>556</v>
      </c>
      <c r="D14" s="2"/>
      <c r="E14" s="1796">
        <v>290</v>
      </c>
      <c r="F14" s="1796">
        <v>360</v>
      </c>
      <c r="G14" s="1796">
        <v>392</v>
      </c>
      <c r="H14" s="1796">
        <v>395</v>
      </c>
      <c r="I14" s="1796">
        <v>401</v>
      </c>
      <c r="J14" s="1796">
        <v>375</v>
      </c>
      <c r="K14" s="1796">
        <v>-57</v>
      </c>
      <c r="L14" s="1796">
        <v>-89</v>
      </c>
      <c r="M14" s="1796">
        <v>-247</v>
      </c>
      <c r="N14" s="1796">
        <v>-253</v>
      </c>
      <c r="O14" s="1796">
        <v>-287</v>
      </c>
      <c r="P14" s="1796">
        <v>-657</v>
      </c>
      <c r="Q14" s="815">
        <f>+P14</f>
        <v>-657</v>
      </c>
      <c r="R14" s="815">
        <f>+Q14</f>
        <v>-657</v>
      </c>
      <c r="S14" s="815">
        <f>+R14</f>
        <v>-657</v>
      </c>
      <c r="T14" s="815">
        <f>+S14</f>
        <v>-657</v>
      </c>
      <c r="U14" s="815">
        <f t="shared" ref="U14:Y14" si="12">+T14</f>
        <v>-657</v>
      </c>
      <c r="V14" s="815">
        <f t="shared" si="12"/>
        <v>-657</v>
      </c>
      <c r="W14" s="815">
        <f t="shared" si="12"/>
        <v>-657</v>
      </c>
      <c r="X14" s="815">
        <f t="shared" si="12"/>
        <v>-657</v>
      </c>
      <c r="Y14" s="815">
        <f t="shared" si="12"/>
        <v>-657</v>
      </c>
      <c r="Z14" s="799"/>
    </row>
    <row r="15" spans="1:26" outlineLevel="1">
      <c r="A15" s="1893"/>
      <c r="C15" s="2" t="s">
        <v>557</v>
      </c>
      <c r="D15" s="2"/>
      <c r="E15" s="1796">
        <v>1467</v>
      </c>
      <c r="F15" s="1796">
        <v>1499</v>
      </c>
      <c r="G15" s="1796">
        <v>1592</v>
      </c>
      <c r="H15" s="1796">
        <v>1663</v>
      </c>
      <c r="I15" s="1796">
        <v>1766</v>
      </c>
      <c r="J15" s="1796">
        <v>1639</v>
      </c>
      <c r="K15" s="1796">
        <v>1421</v>
      </c>
      <c r="L15" s="1796">
        <v>1284</v>
      </c>
      <c r="M15" s="1796">
        <v>1095</v>
      </c>
      <c r="N15" s="1796">
        <v>1107</v>
      </c>
      <c r="O15" s="1796">
        <v>1117</v>
      </c>
      <c r="P15" s="1796">
        <v>746</v>
      </c>
      <c r="Q15" s="815">
        <f>+P28*P5</f>
        <v>825.30000000000007</v>
      </c>
      <c r="R15" s="815">
        <f>+Q28*Q5</f>
        <v>809.68860000000006</v>
      </c>
      <c r="S15" s="815">
        <f>+R28*R5</f>
        <v>793.6735212000001</v>
      </c>
      <c r="T15" s="815">
        <f>+S28*S5</f>
        <v>778.24580909040003</v>
      </c>
      <c r="U15" s="815">
        <f t="shared" ref="U15:Y15" si="13">+T28*T5</f>
        <v>762.17013307219679</v>
      </c>
      <c r="V15" s="815">
        <f t="shared" si="13"/>
        <v>745.41927866122899</v>
      </c>
      <c r="W15" s="815">
        <f t="shared" si="13"/>
        <v>727.96488836500066</v>
      </c>
      <c r="X15" s="815">
        <f t="shared" si="13"/>
        <v>709.77741367633064</v>
      </c>
      <c r="Y15" s="815">
        <f t="shared" si="13"/>
        <v>690.82606505073647</v>
      </c>
      <c r="Z15" s="799"/>
    </row>
    <row r="16" spans="1:26" outlineLevel="1">
      <c r="A16" s="1893"/>
      <c r="C16" s="2" t="s">
        <v>558</v>
      </c>
      <c r="D16" s="2"/>
      <c r="E16" s="1796">
        <v>-349</v>
      </c>
      <c r="F16" s="1796">
        <v>-328</v>
      </c>
      <c r="G16" s="1796">
        <v>-317</v>
      </c>
      <c r="H16" s="1796">
        <v>-321</v>
      </c>
      <c r="I16" s="1796">
        <v>-302</v>
      </c>
      <c r="J16" s="1796">
        <v>-252</v>
      </c>
      <c r="K16" s="1796">
        <v>-163</v>
      </c>
      <c r="L16" s="1796">
        <v>-171</v>
      </c>
      <c r="M16" s="1796">
        <v>-143</v>
      </c>
      <c r="N16" s="1796">
        <v>-161</v>
      </c>
      <c r="O16" s="1796">
        <v>-101</v>
      </c>
      <c r="P16" s="1796">
        <v>-54</v>
      </c>
      <c r="Q16" s="815">
        <f>-Q30*Q7</f>
        <v>-51.793999999999997</v>
      </c>
      <c r="R16" s="815">
        <f>-R30*R7</f>
        <v>-31.342171999999994</v>
      </c>
      <c r="S16" s="815">
        <f>-S30*S7</f>
        <v>-10.341174535999999</v>
      </c>
      <c r="T16" s="815">
        <f>-T30*T7</f>
        <v>10.317860831632004</v>
      </c>
      <c r="U16" s="815">
        <f t="shared" ref="U16:Y16" si="14">-U30*U7</f>
        <v>31.761939543234021</v>
      </c>
      <c r="V16" s="815">
        <f t="shared" si="14"/>
        <v>54.020893245876906</v>
      </c>
      <c r="W16" s="815">
        <f t="shared" si="14"/>
        <v>77.12568718922023</v>
      </c>
      <c r="X16" s="815">
        <f t="shared" si="14"/>
        <v>101.10846330241061</v>
      </c>
      <c r="Y16" s="815">
        <f t="shared" si="14"/>
        <v>126.0025849079022</v>
      </c>
      <c r="Z16" s="799"/>
    </row>
    <row r="17" spans="1:32" outlineLevel="1">
      <c r="A17" s="1893"/>
      <c r="C17" s="2" t="s">
        <v>559</v>
      </c>
      <c r="D17" s="2"/>
      <c r="E17" s="1796">
        <v>-73</v>
      </c>
      <c r="F17" s="1796">
        <v>304</v>
      </c>
      <c r="G17" s="1796">
        <v>316</v>
      </c>
      <c r="H17" s="1796">
        <v>253</v>
      </c>
      <c r="I17" s="1796">
        <v>770</v>
      </c>
      <c r="J17" s="1796">
        <v>1144</v>
      </c>
      <c r="K17" s="1796">
        <v>1787</v>
      </c>
      <c r="L17" s="1796">
        <v>1262</v>
      </c>
      <c r="M17" s="1796">
        <v>-3989</v>
      </c>
      <c r="N17" s="1796">
        <v>4615</v>
      </c>
      <c r="O17" s="1796">
        <v>-2659</v>
      </c>
      <c r="P17" s="1796">
        <v>1300</v>
      </c>
      <c r="Q17" s="815">
        <f>Q25-((Q8-Q7)*Q30)</f>
        <v>0</v>
      </c>
      <c r="R17" s="815">
        <f>R25-((R8-R7)*R30)</f>
        <v>0</v>
      </c>
      <c r="S17" s="815">
        <f>S25-((S8-S7)*S30)</f>
        <v>0</v>
      </c>
      <c r="T17" s="815">
        <f>T25-((T8-T7)*T30)</f>
        <v>0</v>
      </c>
      <c r="U17" s="815">
        <f t="shared" ref="U17:Y17" si="15">U25-((U8-U7)*U30)</f>
        <v>0</v>
      </c>
      <c r="V17" s="815">
        <f t="shared" si="15"/>
        <v>0</v>
      </c>
      <c r="W17" s="815">
        <f t="shared" si="15"/>
        <v>0</v>
      </c>
      <c r="X17" s="815">
        <f t="shared" si="15"/>
        <v>0</v>
      </c>
      <c r="Y17" s="815">
        <f t="shared" si="15"/>
        <v>0</v>
      </c>
      <c r="Z17" s="799"/>
    </row>
    <row r="18" spans="1:32" s="1" customFormat="1">
      <c r="A18" s="946"/>
      <c r="C18" s="1" t="s">
        <v>596</v>
      </c>
      <c r="E18" s="816">
        <f t="shared" ref="E18:R18" si="16">SUM(E13:E17)</f>
        <v>1693</v>
      </c>
      <c r="F18" s="816">
        <f t="shared" si="16"/>
        <v>2191</v>
      </c>
      <c r="G18" s="816">
        <f t="shared" si="16"/>
        <v>2337</v>
      </c>
      <c r="H18" s="816">
        <f t="shared" si="16"/>
        <v>2296</v>
      </c>
      <c r="I18" s="816">
        <f t="shared" si="16"/>
        <v>2946</v>
      </c>
      <c r="J18" s="816">
        <f t="shared" si="16"/>
        <v>3211</v>
      </c>
      <c r="K18" s="816">
        <f t="shared" si="16"/>
        <v>3287</v>
      </c>
      <c r="L18" s="816">
        <f t="shared" si="16"/>
        <v>2645</v>
      </c>
      <c r="M18" s="816">
        <f t="shared" si="16"/>
        <v>-2966</v>
      </c>
      <c r="N18" s="816">
        <f t="shared" si="16"/>
        <v>5566</v>
      </c>
      <c r="O18" s="816">
        <f t="shared" ref="O18:P18" si="17">SUM(O13:O17)</f>
        <v>-1606</v>
      </c>
      <c r="P18" s="816">
        <f t="shared" si="17"/>
        <v>1528</v>
      </c>
      <c r="Q18" s="816">
        <f t="shared" si="16"/>
        <v>309.50600000000009</v>
      </c>
      <c r="R18" s="816">
        <f t="shared" si="16"/>
        <v>314.34642800000006</v>
      </c>
      <c r="S18" s="816">
        <f>SUM(S13:S17)</f>
        <v>319.33234666400011</v>
      </c>
      <c r="T18" s="816">
        <f>SUM(T13:T17)</f>
        <v>324.56366992203203</v>
      </c>
      <c r="U18" s="816">
        <f t="shared" ref="U18:Y18" si="18">SUM(U13:U17)</f>
        <v>329.9320726154308</v>
      </c>
      <c r="V18" s="816">
        <f t="shared" si="18"/>
        <v>335.44017190710588</v>
      </c>
      <c r="W18" s="816">
        <f t="shared" si="18"/>
        <v>341.09057555422089</v>
      </c>
      <c r="X18" s="816">
        <f t="shared" si="18"/>
        <v>346.88587697874124</v>
      </c>
      <c r="Y18" s="816">
        <f t="shared" si="18"/>
        <v>352.82864995863866</v>
      </c>
      <c r="Z18" s="793"/>
      <c r="AA18"/>
      <c r="AB18"/>
      <c r="AC18"/>
      <c r="AD18"/>
      <c r="AE18"/>
      <c r="AF18"/>
    </row>
    <row r="19" spans="1:32">
      <c r="A19" s="1893"/>
      <c r="C19" s="939" t="s">
        <v>597</v>
      </c>
      <c r="D19" s="939"/>
      <c r="E19" s="841">
        <f t="shared" ref="E19:R19" si="19">SUM(E13:E16)</f>
        <v>1766</v>
      </c>
      <c r="F19" s="841">
        <f t="shared" si="19"/>
        <v>1887</v>
      </c>
      <c r="G19" s="841">
        <f t="shared" si="19"/>
        <v>2021</v>
      </c>
      <c r="H19" s="841">
        <f t="shared" si="19"/>
        <v>2043</v>
      </c>
      <c r="I19" s="841">
        <f t="shared" si="19"/>
        <v>2176</v>
      </c>
      <c r="J19" s="841">
        <f t="shared" si="19"/>
        <v>2067</v>
      </c>
      <c r="K19" s="841">
        <f t="shared" si="19"/>
        <v>1500</v>
      </c>
      <c r="L19" s="841">
        <f t="shared" si="19"/>
        <v>1383</v>
      </c>
      <c r="M19" s="841">
        <f t="shared" si="19"/>
        <v>1023</v>
      </c>
      <c r="N19" s="841">
        <f t="shared" si="19"/>
        <v>951</v>
      </c>
      <c r="O19" s="841">
        <f t="shared" ref="O19:P19" si="20">SUM(O13:O16)</f>
        <v>1053</v>
      </c>
      <c r="P19" s="841">
        <f t="shared" si="20"/>
        <v>228</v>
      </c>
      <c r="Q19" s="841">
        <f t="shared" si="19"/>
        <v>309.50600000000009</v>
      </c>
      <c r="R19" s="841">
        <f t="shared" si="19"/>
        <v>314.34642800000006</v>
      </c>
      <c r="S19" s="841">
        <f>SUM(S13:S16)</f>
        <v>319.33234666400011</v>
      </c>
      <c r="T19" s="841">
        <f>SUM(T13:T16)</f>
        <v>324.56366992203203</v>
      </c>
      <c r="U19" s="841">
        <f t="shared" ref="U19:Y19" si="21">SUM(U13:U16)</f>
        <v>329.9320726154308</v>
      </c>
      <c r="V19" s="841">
        <f t="shared" si="21"/>
        <v>335.44017190710588</v>
      </c>
      <c r="W19" s="841">
        <f t="shared" si="21"/>
        <v>341.09057555422089</v>
      </c>
      <c r="X19" s="841">
        <f t="shared" si="21"/>
        <v>346.88587697874124</v>
      </c>
      <c r="Y19" s="841">
        <f t="shared" si="21"/>
        <v>352.82864995863866</v>
      </c>
      <c r="Z19" s="799"/>
    </row>
    <row r="20" spans="1:32">
      <c r="A20" s="1893"/>
      <c r="C20" s="2"/>
      <c r="D20" s="2"/>
      <c r="E20" s="815"/>
      <c r="F20" s="815"/>
      <c r="G20" s="815"/>
      <c r="H20" s="815"/>
      <c r="I20" s="815"/>
      <c r="J20" s="815"/>
      <c r="K20" s="815"/>
      <c r="L20" s="815"/>
      <c r="M20" s="815"/>
      <c r="N20" s="815"/>
      <c r="O20" s="815"/>
      <c r="P20" s="815"/>
      <c r="Q20" s="815"/>
      <c r="R20" s="815"/>
      <c r="S20" s="815"/>
      <c r="T20" s="815"/>
      <c r="U20" s="815"/>
      <c r="V20" s="815"/>
      <c r="W20" s="815"/>
      <c r="X20" s="815"/>
      <c r="Y20" s="815"/>
      <c r="Z20" s="799"/>
    </row>
    <row r="21" spans="1:32">
      <c r="A21" s="1893"/>
      <c r="B21" s="944" t="s">
        <v>837</v>
      </c>
      <c r="C21" s="2"/>
      <c r="D21" s="2"/>
      <c r="E21" s="815"/>
      <c r="F21" s="815"/>
      <c r="G21" s="815"/>
      <c r="H21" s="815"/>
      <c r="I21" s="815"/>
      <c r="J21" s="815"/>
      <c r="K21" s="815"/>
      <c r="L21" s="815"/>
      <c r="M21" s="815"/>
      <c r="N21" s="815"/>
      <c r="O21" s="815"/>
      <c r="P21" s="815"/>
      <c r="Q21" s="815"/>
      <c r="R21" s="815"/>
      <c r="S21" s="815"/>
      <c r="T21" s="815"/>
      <c r="U21" s="815"/>
      <c r="V21" s="815"/>
      <c r="W21" s="815"/>
      <c r="X21" s="815"/>
      <c r="Y21" s="815"/>
      <c r="Z21" s="799"/>
    </row>
    <row r="22" spans="1:32" outlineLevel="1">
      <c r="A22" s="1893"/>
      <c r="C22" s="6" t="s">
        <v>562</v>
      </c>
      <c r="D22" s="6"/>
      <c r="E22" s="1897">
        <v>26181</v>
      </c>
      <c r="F22" s="831">
        <f t="shared" ref="F22:K22" si="22">E28</f>
        <v>26783</v>
      </c>
      <c r="G22" s="831">
        <f t="shared" si="22"/>
        <v>27330</v>
      </c>
      <c r="H22" s="831">
        <f t="shared" si="22"/>
        <v>27306</v>
      </c>
      <c r="I22" s="831">
        <f t="shared" si="22"/>
        <v>27096</v>
      </c>
      <c r="J22" s="831">
        <f t="shared" si="22"/>
        <v>27337</v>
      </c>
      <c r="K22" s="831">
        <f t="shared" si="22"/>
        <v>25718</v>
      </c>
      <c r="L22" s="831">
        <f t="shared" ref="L22:T22" si="23">+K28</f>
        <v>27369</v>
      </c>
      <c r="M22" s="831">
        <f t="shared" si="23"/>
        <v>26844</v>
      </c>
      <c r="N22" s="831">
        <f t="shared" si="23"/>
        <v>23042</v>
      </c>
      <c r="O22" s="831">
        <f t="shared" si="23"/>
        <v>27097</v>
      </c>
      <c r="P22" s="831">
        <f t="shared" si="23"/>
        <v>24223</v>
      </c>
      <c r="Q22" s="831">
        <f t="shared" si="23"/>
        <v>19650</v>
      </c>
      <c r="R22" s="831">
        <f t="shared" si="23"/>
        <v>19278.3</v>
      </c>
      <c r="S22" s="831">
        <f t="shared" si="23"/>
        <v>18896.988600000001</v>
      </c>
      <c r="T22" s="831">
        <f t="shared" si="23"/>
        <v>18529.662121199999</v>
      </c>
      <c r="U22" s="831">
        <f t="shared" ref="U22" si="24">+T28</f>
        <v>18146.907930290399</v>
      </c>
      <c r="V22" s="831">
        <f t="shared" ref="V22" si="25">+U28</f>
        <v>17748.078063362595</v>
      </c>
      <c r="W22" s="831">
        <f t="shared" ref="W22" si="26">+V28</f>
        <v>17332.497342023824</v>
      </c>
      <c r="X22" s="831">
        <f t="shared" ref="X22" si="27">+W28</f>
        <v>16899.462230388825</v>
      </c>
      <c r="Y22" s="831">
        <f t="shared" ref="Y22" si="28">+X28</f>
        <v>16448.239644065154</v>
      </c>
      <c r="Z22" s="799"/>
    </row>
    <row r="23" spans="1:32" outlineLevel="1">
      <c r="A23" s="1893"/>
      <c r="C23" s="2" t="s">
        <v>555</v>
      </c>
      <c r="D23" s="2"/>
      <c r="E23" s="1796">
        <v>358</v>
      </c>
      <c r="F23" s="815">
        <f t="shared" ref="F23:K23" si="29">F13</f>
        <v>356</v>
      </c>
      <c r="G23" s="815">
        <f t="shared" si="29"/>
        <v>354</v>
      </c>
      <c r="H23" s="815">
        <f t="shared" si="29"/>
        <v>306</v>
      </c>
      <c r="I23" s="815">
        <f t="shared" si="29"/>
        <v>311</v>
      </c>
      <c r="J23" s="815">
        <f t="shared" si="29"/>
        <v>305</v>
      </c>
      <c r="K23" s="815">
        <f t="shared" si="29"/>
        <v>299</v>
      </c>
      <c r="L23" s="815">
        <f t="shared" ref="L23:R23" si="30">+L13</f>
        <v>359</v>
      </c>
      <c r="M23" s="815">
        <f t="shared" si="30"/>
        <v>318</v>
      </c>
      <c r="N23" s="815">
        <f>+N13</f>
        <v>258</v>
      </c>
      <c r="O23" s="815">
        <f>+O13</f>
        <v>324</v>
      </c>
      <c r="P23" s="815">
        <f>+P13</f>
        <v>193</v>
      </c>
      <c r="Q23" s="815">
        <f t="shared" si="30"/>
        <v>193</v>
      </c>
      <c r="R23" s="815">
        <f t="shared" si="30"/>
        <v>193</v>
      </c>
      <c r="S23" s="815">
        <f>+S13</f>
        <v>193</v>
      </c>
      <c r="T23" s="815">
        <f>+T13</f>
        <v>193</v>
      </c>
      <c r="U23" s="815">
        <f t="shared" ref="U23:Y23" si="31">+U13</f>
        <v>193</v>
      </c>
      <c r="V23" s="815">
        <f t="shared" si="31"/>
        <v>193</v>
      </c>
      <c r="W23" s="815">
        <f t="shared" si="31"/>
        <v>193</v>
      </c>
      <c r="X23" s="815">
        <f t="shared" si="31"/>
        <v>193</v>
      </c>
      <c r="Y23" s="815">
        <f t="shared" si="31"/>
        <v>193</v>
      </c>
      <c r="Z23" s="799"/>
    </row>
    <row r="24" spans="1:32" outlineLevel="1">
      <c r="A24" s="1893"/>
      <c r="C24" s="2" t="s">
        <v>557</v>
      </c>
      <c r="D24" s="2"/>
      <c r="E24" s="1796">
        <v>1467</v>
      </c>
      <c r="F24" s="815">
        <f t="shared" ref="F24:K24" si="32">F15</f>
        <v>1499</v>
      </c>
      <c r="G24" s="815">
        <f t="shared" si="32"/>
        <v>1592</v>
      </c>
      <c r="H24" s="815">
        <f t="shared" si="32"/>
        <v>1663</v>
      </c>
      <c r="I24" s="815">
        <f t="shared" si="32"/>
        <v>1766</v>
      </c>
      <c r="J24" s="815">
        <f t="shared" si="32"/>
        <v>1639</v>
      </c>
      <c r="K24" s="815">
        <f t="shared" si="32"/>
        <v>1421</v>
      </c>
      <c r="L24" s="815">
        <f t="shared" ref="L24:R24" si="33">+L15</f>
        <v>1284</v>
      </c>
      <c r="M24" s="815">
        <f t="shared" si="33"/>
        <v>1095</v>
      </c>
      <c r="N24" s="815">
        <f>+N15</f>
        <v>1107</v>
      </c>
      <c r="O24" s="815">
        <f>+O15</f>
        <v>1117</v>
      </c>
      <c r="P24" s="815">
        <f>+P15</f>
        <v>746</v>
      </c>
      <c r="Q24" s="815">
        <f t="shared" si="33"/>
        <v>825.30000000000007</v>
      </c>
      <c r="R24" s="815">
        <f t="shared" si="33"/>
        <v>809.68860000000006</v>
      </c>
      <c r="S24" s="815">
        <f>+S15</f>
        <v>793.6735212000001</v>
      </c>
      <c r="T24" s="815">
        <f>+T15</f>
        <v>778.24580909040003</v>
      </c>
      <c r="U24" s="815">
        <f t="shared" ref="U24:Y24" si="34">+U15</f>
        <v>762.17013307219679</v>
      </c>
      <c r="V24" s="815">
        <f t="shared" si="34"/>
        <v>745.41927866122899</v>
      </c>
      <c r="W24" s="815">
        <f t="shared" si="34"/>
        <v>727.96488836500066</v>
      </c>
      <c r="X24" s="815">
        <f t="shared" si="34"/>
        <v>709.77741367633064</v>
      </c>
      <c r="Y24" s="815">
        <f t="shared" si="34"/>
        <v>690.82606505073647</v>
      </c>
      <c r="Z24" s="799"/>
    </row>
    <row r="25" spans="1:32" outlineLevel="1">
      <c r="A25" s="1893"/>
      <c r="C25" s="2" t="s">
        <v>563</v>
      </c>
      <c r="D25" s="2"/>
      <c r="E25" s="1796">
        <v>403</v>
      </c>
      <c r="F25" s="1796">
        <v>152</v>
      </c>
      <c r="G25" s="1796">
        <v>-409</v>
      </c>
      <c r="H25" s="1796">
        <v>-483</v>
      </c>
      <c r="I25" s="1796">
        <v>-469</v>
      </c>
      <c r="J25" s="1796">
        <v>826</v>
      </c>
      <c r="K25" s="1796">
        <v>1687</v>
      </c>
      <c r="L25" s="1796">
        <v>1402</v>
      </c>
      <c r="M25" s="1796">
        <v>-3576</v>
      </c>
      <c r="N25" s="1796">
        <v>4645</v>
      </c>
      <c r="O25" s="1796">
        <v>-2733</v>
      </c>
      <c r="P25" s="1796">
        <v>1289</v>
      </c>
      <c r="Q25" s="815">
        <f>P28*(-(Q5-P5))*Q6*100</f>
        <v>0</v>
      </c>
      <c r="R25" s="815">
        <f>Q28*(-(R5-Q5))*R6*100</f>
        <v>0</v>
      </c>
      <c r="S25" s="815">
        <f>R28*(-(S5-R5))*S6*100</f>
        <v>0</v>
      </c>
      <c r="T25" s="815">
        <f>S28*(-(T5-S5))*T6*100</f>
        <v>0</v>
      </c>
      <c r="U25" s="815">
        <f t="shared" ref="U25:Y25" si="35">T28*(-(U5-T5))*U6*100</f>
        <v>0</v>
      </c>
      <c r="V25" s="815">
        <f t="shared" si="35"/>
        <v>0</v>
      </c>
      <c r="W25" s="815">
        <f t="shared" si="35"/>
        <v>0</v>
      </c>
      <c r="X25" s="815">
        <f t="shared" si="35"/>
        <v>0</v>
      </c>
      <c r="Y25" s="815">
        <f t="shared" si="35"/>
        <v>0</v>
      </c>
      <c r="Z25" s="799"/>
    </row>
    <row r="26" spans="1:32" outlineLevel="1">
      <c r="A26" s="1893"/>
      <c r="C26" s="2" t="s">
        <v>564</v>
      </c>
      <c r="D26" s="2"/>
      <c r="E26" s="1796">
        <v>-1662</v>
      </c>
      <c r="F26" s="1796">
        <v>-1564</v>
      </c>
      <c r="G26" s="1796">
        <v>-1561</v>
      </c>
      <c r="H26" s="1796">
        <v>-1529</v>
      </c>
      <c r="I26" s="1796">
        <v>-1740</v>
      </c>
      <c r="J26" s="1796">
        <v>-1675</v>
      </c>
      <c r="K26" s="1796">
        <v>-1756</v>
      </c>
      <c r="L26" s="1796">
        <v>-1744</v>
      </c>
      <c r="M26" s="1796">
        <v>-1520</v>
      </c>
      <c r="N26" s="1796">
        <v>-1543</v>
      </c>
      <c r="O26" s="1796">
        <v>-1370</v>
      </c>
      <c r="P26" s="1796">
        <v>-1349</v>
      </c>
      <c r="Q26" s="1796">
        <v>-1390</v>
      </c>
      <c r="R26" s="1796">
        <v>-1384</v>
      </c>
      <c r="S26" s="1796">
        <v>-1354</v>
      </c>
      <c r="T26" s="1796">
        <v>-1354</v>
      </c>
      <c r="U26" s="1796">
        <v>-1354</v>
      </c>
      <c r="V26" s="1796">
        <v>-1354</v>
      </c>
      <c r="W26" s="1796">
        <v>-1354</v>
      </c>
      <c r="X26" s="1796">
        <v>-1354</v>
      </c>
      <c r="Y26" s="1796">
        <v>-1354</v>
      </c>
      <c r="Z26" s="799"/>
    </row>
    <row r="27" spans="1:32" outlineLevel="1">
      <c r="A27" s="1893"/>
      <c r="C27" s="2" t="s">
        <v>565</v>
      </c>
      <c r="D27" s="2"/>
      <c r="E27" s="1796">
        <f>69+1-34</f>
        <v>36</v>
      </c>
      <c r="F27" s="1796">
        <f>50+14+40</f>
        <v>104</v>
      </c>
      <c r="G27" s="1796">
        <v>0</v>
      </c>
      <c r="H27" s="1796">
        <f>24+7-29-169</f>
        <v>-167</v>
      </c>
      <c r="I27" s="1796">
        <f>-5+18+352+8</f>
        <v>373</v>
      </c>
      <c r="J27" s="1796">
        <f>-2580+132-266</f>
        <v>-2714</v>
      </c>
      <c r="K27" s="1796">
        <v>0</v>
      </c>
      <c r="L27" s="1796">
        <v>-1826</v>
      </c>
      <c r="M27" s="1796">
        <v>-119</v>
      </c>
      <c r="N27" s="1796">
        <v>-412</v>
      </c>
      <c r="O27" s="1796">
        <f>-45-167</f>
        <v>-212</v>
      </c>
      <c r="P27" s="1796">
        <f>-5142-310</f>
        <v>-5452</v>
      </c>
      <c r="Q27" s="815">
        <v>0</v>
      </c>
      <c r="R27" s="815">
        <v>0</v>
      </c>
      <c r="S27" s="815">
        <v>0</v>
      </c>
      <c r="T27" s="815">
        <v>0</v>
      </c>
      <c r="U27" s="815">
        <v>0</v>
      </c>
      <c r="V27" s="815">
        <v>0</v>
      </c>
      <c r="W27" s="815">
        <v>0</v>
      </c>
      <c r="X27" s="815">
        <v>0</v>
      </c>
      <c r="Y27" s="815">
        <v>0</v>
      </c>
      <c r="Z27" s="799"/>
    </row>
    <row r="28" spans="1:32" s="1" customFormat="1">
      <c r="A28" s="946"/>
      <c r="C28" s="938" t="s">
        <v>566</v>
      </c>
      <c r="D28" s="938"/>
      <c r="E28" s="1797">
        <f t="shared" ref="E28:R28" si="36">SUM(E22:E27)</f>
        <v>26783</v>
      </c>
      <c r="F28" s="1797">
        <f t="shared" si="36"/>
        <v>27330</v>
      </c>
      <c r="G28" s="1797">
        <f t="shared" si="36"/>
        <v>27306</v>
      </c>
      <c r="H28" s="1797">
        <f t="shared" si="36"/>
        <v>27096</v>
      </c>
      <c r="I28" s="1797">
        <f t="shared" si="36"/>
        <v>27337</v>
      </c>
      <c r="J28" s="1797">
        <f t="shared" si="36"/>
        <v>25718</v>
      </c>
      <c r="K28" s="1797">
        <f t="shared" si="36"/>
        <v>27369</v>
      </c>
      <c r="L28" s="1797">
        <f t="shared" si="36"/>
        <v>26844</v>
      </c>
      <c r="M28" s="1797">
        <f t="shared" si="36"/>
        <v>23042</v>
      </c>
      <c r="N28" s="1797">
        <f>SUM(N22:N27)</f>
        <v>27097</v>
      </c>
      <c r="O28" s="1797">
        <f>SUM(O22:O27)</f>
        <v>24223</v>
      </c>
      <c r="P28" s="1797">
        <f>SUM(P22:P27)</f>
        <v>19650</v>
      </c>
      <c r="Q28" s="1797">
        <f t="shared" si="36"/>
        <v>19278.3</v>
      </c>
      <c r="R28" s="1797">
        <f t="shared" si="36"/>
        <v>18896.988600000001</v>
      </c>
      <c r="S28" s="1797">
        <f>SUM(S22:S27)</f>
        <v>18529.662121199999</v>
      </c>
      <c r="T28" s="1797">
        <f>SUM(T22:T27)</f>
        <v>18146.907930290399</v>
      </c>
      <c r="U28" s="1797">
        <f t="shared" ref="U28:Y28" si="37">SUM(U22:U27)</f>
        <v>17748.078063362595</v>
      </c>
      <c r="V28" s="1797">
        <f t="shared" si="37"/>
        <v>17332.497342023824</v>
      </c>
      <c r="W28" s="1797">
        <f t="shared" si="37"/>
        <v>16899.462230388825</v>
      </c>
      <c r="X28" s="1797">
        <f t="shared" si="37"/>
        <v>16448.239644065154</v>
      </c>
      <c r="Y28" s="1797">
        <f t="shared" si="37"/>
        <v>15978.06570911589</v>
      </c>
      <c r="Z28" s="793"/>
      <c r="AA28"/>
      <c r="AB28"/>
      <c r="AC28"/>
      <c r="AD28"/>
      <c r="AE28"/>
      <c r="AF28"/>
    </row>
    <row r="29" spans="1:32">
      <c r="A29" s="1893"/>
      <c r="C29" s="2"/>
      <c r="D29" s="2"/>
      <c r="E29" s="815"/>
      <c r="F29" s="815"/>
      <c r="G29" s="815"/>
      <c r="H29" s="815"/>
      <c r="I29" s="815"/>
      <c r="J29" s="815"/>
      <c r="K29" s="815"/>
      <c r="L29" s="815"/>
      <c r="M29" s="815"/>
      <c r="N29" s="815"/>
      <c r="O29" s="815"/>
      <c r="P29" s="815"/>
      <c r="Q29" s="815"/>
      <c r="R29" s="815"/>
      <c r="S29" s="815"/>
      <c r="T29" s="815"/>
      <c r="U29" s="815"/>
      <c r="V29" s="815"/>
      <c r="W29" s="815"/>
      <c r="X29" s="815"/>
      <c r="Y29" s="815"/>
      <c r="Z29" s="799"/>
    </row>
    <row r="30" spans="1:32" outlineLevel="1">
      <c r="A30" s="1898"/>
      <c r="C30" s="6" t="s">
        <v>567</v>
      </c>
      <c r="D30" s="6"/>
      <c r="E30" s="1897">
        <v>4549</v>
      </c>
      <c r="F30" s="831">
        <f t="shared" ref="F30:K30" si="38">E35</f>
        <v>4275</v>
      </c>
      <c r="G30" s="831">
        <f t="shared" si="38"/>
        <v>4303</v>
      </c>
      <c r="H30" s="831">
        <f t="shared" si="38"/>
        <v>4142</v>
      </c>
      <c r="I30" s="831">
        <f t="shared" si="38"/>
        <v>2555</v>
      </c>
      <c r="J30" s="831">
        <f t="shared" si="38"/>
        <v>3091</v>
      </c>
      <c r="K30" s="831">
        <f t="shared" si="38"/>
        <v>2945</v>
      </c>
      <c r="L30" s="831">
        <f t="shared" ref="L30:T30" si="39">+K35</f>
        <v>2628</v>
      </c>
      <c r="M30" s="831">
        <f t="shared" si="39"/>
        <v>2657</v>
      </c>
      <c r="N30" s="831">
        <f t="shared" si="39"/>
        <v>3053</v>
      </c>
      <c r="O30" s="831">
        <f t="shared" si="39"/>
        <v>2435</v>
      </c>
      <c r="P30" s="831">
        <f t="shared" si="39"/>
        <v>1760</v>
      </c>
      <c r="Q30" s="831">
        <f t="shared" si="39"/>
        <v>1363</v>
      </c>
      <c r="R30" s="831">
        <f t="shared" si="39"/>
        <v>824.79399999999987</v>
      </c>
      <c r="S30" s="831">
        <f t="shared" si="39"/>
        <v>272.13617199999999</v>
      </c>
      <c r="T30" s="831">
        <f t="shared" si="39"/>
        <v>-271.52265346400009</v>
      </c>
      <c r="U30" s="831">
        <f t="shared" ref="U30" si="40">+T35</f>
        <v>-835.84051429563215</v>
      </c>
      <c r="V30" s="831">
        <f t="shared" ref="V30" si="41">+U35</f>
        <v>-1421.602453838866</v>
      </c>
      <c r="W30" s="831">
        <f t="shared" ref="W30" si="42">+V35</f>
        <v>-2029.623347084743</v>
      </c>
      <c r="X30" s="831">
        <f t="shared" ref="X30" si="43">+W35</f>
        <v>-2660.7490342739634</v>
      </c>
      <c r="Y30" s="831">
        <f t="shared" ref="Y30" si="44">+X35</f>
        <v>-3315.857497576374</v>
      </c>
      <c r="Z30" s="799"/>
    </row>
    <row r="31" spans="1:32" outlineLevel="1">
      <c r="A31" s="1893"/>
      <c r="C31" s="2" t="s">
        <v>568</v>
      </c>
      <c r="D31" s="2"/>
      <c r="E31" s="1796">
        <v>348</v>
      </c>
      <c r="F31" s="1796">
        <v>493</v>
      </c>
      <c r="G31" s="1796">
        <v>352</v>
      </c>
      <c r="H31" s="1796">
        <v>-1285</v>
      </c>
      <c r="I31" s="1796">
        <v>638</v>
      </c>
      <c r="J31" s="1796">
        <v>319</v>
      </c>
      <c r="K31" s="1796">
        <v>63</v>
      </c>
      <c r="L31" s="1796">
        <v>312</v>
      </c>
      <c r="M31" s="1796">
        <v>556</v>
      </c>
      <c r="N31" s="1796">
        <v>193</v>
      </c>
      <c r="O31" s="1796">
        <v>28</v>
      </c>
      <c r="P31" s="1796">
        <v>35</v>
      </c>
      <c r="Q31" s="815">
        <f>IF(Q8=Q7,-Q16,Q8*Q30)</f>
        <v>51.793999999999997</v>
      </c>
      <c r="R31" s="815">
        <f>IF(R8=R7,-R16,R8*R30)</f>
        <v>31.342171999999994</v>
      </c>
      <c r="S31" s="815">
        <f>IF(S8=S7,-S16,S8*S30)</f>
        <v>10.341174535999999</v>
      </c>
      <c r="T31" s="815">
        <f>IF(T8=T7,-T16,T8*T30)</f>
        <v>-10.317860831632004</v>
      </c>
      <c r="U31" s="815">
        <f t="shared" ref="U31:Y31" si="45">IF(U8=U7,-U16,U8*U30)</f>
        <v>-31.761939543234021</v>
      </c>
      <c r="V31" s="815">
        <f t="shared" si="45"/>
        <v>-54.020893245876906</v>
      </c>
      <c r="W31" s="815">
        <f t="shared" si="45"/>
        <v>-77.12568718922023</v>
      </c>
      <c r="X31" s="815">
        <f t="shared" si="45"/>
        <v>-101.10846330241061</v>
      </c>
      <c r="Y31" s="815">
        <f t="shared" si="45"/>
        <v>-126.0025849079022</v>
      </c>
      <c r="Z31" s="799"/>
    </row>
    <row r="32" spans="1:32" outlineLevel="1">
      <c r="A32" s="1893"/>
      <c r="C32" s="2" t="s">
        <v>569</v>
      </c>
      <c r="D32" s="2"/>
      <c r="E32" s="1796">
        <v>1040</v>
      </c>
      <c r="F32" s="1796">
        <v>1099</v>
      </c>
      <c r="G32" s="1796">
        <v>1048</v>
      </c>
      <c r="H32" s="1796">
        <v>1227</v>
      </c>
      <c r="I32" s="1796">
        <v>1638</v>
      </c>
      <c r="J32" s="1796">
        <v>1210</v>
      </c>
      <c r="K32" s="1796">
        <v>1376</v>
      </c>
      <c r="L32" s="1796">
        <v>1461</v>
      </c>
      <c r="M32" s="1796">
        <v>1360</v>
      </c>
      <c r="N32" s="1796">
        <v>732</v>
      </c>
      <c r="O32" s="1796">
        <v>667</v>
      </c>
      <c r="P32" s="1796">
        <v>917</v>
      </c>
      <c r="Q32" s="1796">
        <v>800</v>
      </c>
      <c r="R32" s="1796">
        <v>800</v>
      </c>
      <c r="S32" s="1796">
        <v>800</v>
      </c>
      <c r="T32" s="1796">
        <v>800</v>
      </c>
      <c r="U32" s="1796">
        <v>800</v>
      </c>
      <c r="V32" s="1796">
        <v>800</v>
      </c>
      <c r="W32" s="1796">
        <v>800</v>
      </c>
      <c r="X32" s="1796">
        <v>800</v>
      </c>
      <c r="Y32" s="1796">
        <v>800</v>
      </c>
      <c r="Z32" s="799"/>
    </row>
    <row r="33" spans="1:32" outlineLevel="1">
      <c r="A33" s="1893"/>
      <c r="C33" s="2" t="s">
        <v>564</v>
      </c>
      <c r="D33" s="2"/>
      <c r="E33" s="815">
        <f t="shared" ref="E33:K33" si="46">E26</f>
        <v>-1662</v>
      </c>
      <c r="F33" s="815">
        <f t="shared" si="46"/>
        <v>-1564</v>
      </c>
      <c r="G33" s="815">
        <f t="shared" si="46"/>
        <v>-1561</v>
      </c>
      <c r="H33" s="815">
        <f t="shared" si="46"/>
        <v>-1529</v>
      </c>
      <c r="I33" s="815">
        <f t="shared" si="46"/>
        <v>-1740</v>
      </c>
      <c r="J33" s="815">
        <f t="shared" si="46"/>
        <v>-1675</v>
      </c>
      <c r="K33" s="815">
        <f t="shared" si="46"/>
        <v>-1756</v>
      </c>
      <c r="L33" s="815">
        <f t="shared" ref="L33:R33" si="47">+L26</f>
        <v>-1744</v>
      </c>
      <c r="M33" s="815">
        <f t="shared" si="47"/>
        <v>-1520</v>
      </c>
      <c r="N33" s="815">
        <f>+N26</f>
        <v>-1543</v>
      </c>
      <c r="O33" s="815">
        <f>+O26</f>
        <v>-1370</v>
      </c>
      <c r="P33" s="815">
        <f>+P26</f>
        <v>-1349</v>
      </c>
      <c r="Q33" s="815">
        <f t="shared" si="47"/>
        <v>-1390</v>
      </c>
      <c r="R33" s="815">
        <f t="shared" si="47"/>
        <v>-1384</v>
      </c>
      <c r="S33" s="815">
        <f>+S26</f>
        <v>-1354</v>
      </c>
      <c r="T33" s="815">
        <f>+T26</f>
        <v>-1354</v>
      </c>
      <c r="U33" s="815">
        <f t="shared" ref="U33:Y33" si="48">+U26</f>
        <v>-1354</v>
      </c>
      <c r="V33" s="815">
        <f t="shared" si="48"/>
        <v>-1354</v>
      </c>
      <c r="W33" s="815">
        <f t="shared" si="48"/>
        <v>-1354</v>
      </c>
      <c r="X33" s="815">
        <f t="shared" si="48"/>
        <v>-1354</v>
      </c>
      <c r="Y33" s="815">
        <f t="shared" si="48"/>
        <v>-1354</v>
      </c>
      <c r="Z33" s="799"/>
    </row>
    <row r="34" spans="1:32" outlineLevel="1">
      <c r="A34" s="1893"/>
      <c r="C34" s="2" t="s">
        <v>570</v>
      </c>
      <c r="D34" s="2"/>
      <c r="E34" s="1796">
        <v>0</v>
      </c>
      <c r="F34" s="1796">
        <v>0</v>
      </c>
      <c r="G34" s="1796">
        <v>0</v>
      </c>
      <c r="H34" s="1796">
        <v>0</v>
      </c>
      <c r="I34" s="1796">
        <v>0</v>
      </c>
      <c r="J34" s="1796">
        <v>0</v>
      </c>
      <c r="K34" s="1796">
        <v>0</v>
      </c>
      <c r="L34" s="1796">
        <v>0</v>
      </c>
      <c r="M34" s="1796">
        <v>0</v>
      </c>
      <c r="N34" s="1796">
        <v>0</v>
      </c>
      <c r="O34" s="1796">
        <v>0</v>
      </c>
      <c r="P34" s="1796">
        <v>0</v>
      </c>
      <c r="Q34" s="1796">
        <v>0</v>
      </c>
      <c r="R34" s="1796">
        <v>0</v>
      </c>
      <c r="S34" s="1796">
        <v>0</v>
      </c>
      <c r="T34" s="1796">
        <v>0</v>
      </c>
      <c r="U34" s="1796">
        <v>0</v>
      </c>
      <c r="V34" s="1796">
        <v>0</v>
      </c>
      <c r="W34" s="1796">
        <v>0</v>
      </c>
      <c r="X34" s="1796">
        <v>0</v>
      </c>
      <c r="Y34" s="1796">
        <v>0</v>
      </c>
      <c r="Z34" s="799"/>
    </row>
    <row r="35" spans="1:32" s="1" customFormat="1">
      <c r="A35" s="946"/>
      <c r="C35" s="938" t="s">
        <v>571</v>
      </c>
      <c r="D35" s="938"/>
      <c r="E35" s="1797">
        <f t="shared" ref="E35:R35" si="49">SUM(E30:E34)</f>
        <v>4275</v>
      </c>
      <c r="F35" s="1797">
        <f t="shared" si="49"/>
        <v>4303</v>
      </c>
      <c r="G35" s="1797">
        <f t="shared" si="49"/>
        <v>4142</v>
      </c>
      <c r="H35" s="1797">
        <f t="shared" si="49"/>
        <v>2555</v>
      </c>
      <c r="I35" s="1797">
        <f t="shared" si="49"/>
        <v>3091</v>
      </c>
      <c r="J35" s="1797">
        <f t="shared" si="49"/>
        <v>2945</v>
      </c>
      <c r="K35" s="1797">
        <f t="shared" si="49"/>
        <v>2628</v>
      </c>
      <c r="L35" s="1797">
        <f t="shared" si="49"/>
        <v>2657</v>
      </c>
      <c r="M35" s="1797">
        <f t="shared" si="49"/>
        <v>3053</v>
      </c>
      <c r="N35" s="1797">
        <f>SUM(N30:N34)</f>
        <v>2435</v>
      </c>
      <c r="O35" s="1797">
        <f>SUM(O30:O34)</f>
        <v>1760</v>
      </c>
      <c r="P35" s="1797">
        <f>SUM(P30:P34)</f>
        <v>1363</v>
      </c>
      <c r="Q35" s="1797">
        <f t="shared" si="49"/>
        <v>824.79399999999987</v>
      </c>
      <c r="R35" s="1797">
        <f t="shared" si="49"/>
        <v>272.13617199999999</v>
      </c>
      <c r="S35" s="1797">
        <f>SUM(S30:S34)</f>
        <v>-271.52265346400009</v>
      </c>
      <c r="T35" s="1797">
        <f>SUM(T30:T34)</f>
        <v>-835.84051429563215</v>
      </c>
      <c r="U35" s="1797">
        <f t="shared" ref="U35:Y35" si="50">SUM(U30:U34)</f>
        <v>-1421.602453838866</v>
      </c>
      <c r="V35" s="1797">
        <f t="shared" si="50"/>
        <v>-2029.623347084743</v>
      </c>
      <c r="W35" s="1797">
        <f t="shared" si="50"/>
        <v>-2660.7490342739634</v>
      </c>
      <c r="X35" s="1797">
        <f t="shared" si="50"/>
        <v>-3315.857497576374</v>
      </c>
      <c r="Y35" s="1797">
        <f t="shared" si="50"/>
        <v>-3995.8600824842761</v>
      </c>
      <c r="Z35" s="793"/>
      <c r="AA35"/>
      <c r="AB35"/>
      <c r="AC35"/>
      <c r="AD35"/>
      <c r="AE35"/>
      <c r="AF35"/>
    </row>
    <row r="36" spans="1:32">
      <c r="A36" s="1893"/>
      <c r="C36" s="2"/>
      <c r="D36" s="2"/>
      <c r="E36" s="815"/>
      <c r="F36" s="815"/>
      <c r="G36" s="815"/>
      <c r="H36" s="815"/>
      <c r="I36" s="815"/>
      <c r="J36" s="815"/>
      <c r="K36" s="815"/>
      <c r="L36" s="815"/>
      <c r="M36" s="815"/>
      <c r="N36" s="815"/>
      <c r="O36" s="815"/>
      <c r="P36" s="815"/>
      <c r="Q36" s="815"/>
      <c r="R36" s="815"/>
      <c r="S36" s="815"/>
      <c r="T36" s="815"/>
      <c r="U36" s="815"/>
      <c r="V36" s="815"/>
      <c r="W36" s="815"/>
      <c r="X36" s="815"/>
      <c r="Y36" s="815"/>
      <c r="Z36" s="799"/>
    </row>
    <row r="37" spans="1:32" s="1" customFormat="1">
      <c r="A37" s="946"/>
      <c r="C37" s="946" t="s">
        <v>572</v>
      </c>
      <c r="D37" s="946"/>
      <c r="E37" s="1798">
        <f t="shared" ref="E37:R37" si="51">IF(ISERROR(E28-E35),0,E28-E35)</f>
        <v>22508</v>
      </c>
      <c r="F37" s="1798">
        <f t="shared" si="51"/>
        <v>23027</v>
      </c>
      <c r="G37" s="1798">
        <f t="shared" si="51"/>
        <v>23164</v>
      </c>
      <c r="H37" s="1798">
        <f t="shared" si="51"/>
        <v>24541</v>
      </c>
      <c r="I37" s="1798">
        <f t="shared" si="51"/>
        <v>24246</v>
      </c>
      <c r="J37" s="1798">
        <f t="shared" si="51"/>
        <v>22773</v>
      </c>
      <c r="K37" s="1798">
        <f t="shared" si="51"/>
        <v>24741</v>
      </c>
      <c r="L37" s="1798">
        <f t="shared" si="51"/>
        <v>24187</v>
      </c>
      <c r="M37" s="1798">
        <f t="shared" si="51"/>
        <v>19989</v>
      </c>
      <c r="N37" s="1798">
        <f t="shared" si="51"/>
        <v>24662</v>
      </c>
      <c r="O37" s="1798">
        <f t="shared" ref="O37:P37" si="52">IF(ISERROR(O28-O35),0,O28-O35)</f>
        <v>22463</v>
      </c>
      <c r="P37" s="1798">
        <f t="shared" si="52"/>
        <v>18287</v>
      </c>
      <c r="Q37" s="1798">
        <f t="shared" si="51"/>
        <v>18453.506000000001</v>
      </c>
      <c r="R37" s="1798">
        <f t="shared" si="51"/>
        <v>18624.852428000002</v>
      </c>
      <c r="S37" s="1798">
        <f>IF(ISERROR(S28-S35),0,S28-S35)</f>
        <v>18801.184774663998</v>
      </c>
      <c r="T37" s="1798">
        <f>IF(ISERROR(T28-T35),0,T28-T35)</f>
        <v>18982.748444586032</v>
      </c>
      <c r="U37" s="1798">
        <f t="shared" ref="U37:Y37" si="53">IF(ISERROR(U28-U35),0,U28-U35)</f>
        <v>19169.680517201461</v>
      </c>
      <c r="V37" s="1798">
        <f t="shared" si="53"/>
        <v>19362.120689108568</v>
      </c>
      <c r="W37" s="1798">
        <f t="shared" si="53"/>
        <v>19560.211264662787</v>
      </c>
      <c r="X37" s="1798">
        <f t="shared" si="53"/>
        <v>19764.097141641527</v>
      </c>
      <c r="Y37" s="1798">
        <f t="shared" si="53"/>
        <v>19973.925791600166</v>
      </c>
      <c r="Z37" s="793"/>
      <c r="AA37"/>
      <c r="AB37"/>
      <c r="AC37"/>
      <c r="AD37"/>
      <c r="AE37"/>
      <c r="AF37"/>
    </row>
    <row r="38" spans="1:32" s="1" customFormat="1">
      <c r="A38" s="946"/>
      <c r="C38" s="1" t="s">
        <v>573</v>
      </c>
      <c r="E38" s="1799">
        <f t="shared" ref="E38:R38" si="54">IF(ISERROR(E35/E28),"NA",E35/E28)</f>
        <v>0.15961617443900983</v>
      </c>
      <c r="F38" s="1799">
        <f t="shared" si="54"/>
        <v>0.15744603000365898</v>
      </c>
      <c r="G38" s="1799">
        <f t="shared" si="54"/>
        <v>0.15168827363949317</v>
      </c>
      <c r="H38" s="1799">
        <f t="shared" si="54"/>
        <v>9.4294360791260703E-2</v>
      </c>
      <c r="I38" s="1799">
        <f t="shared" si="54"/>
        <v>0.11307019790028167</v>
      </c>
      <c r="J38" s="1799">
        <f t="shared" si="54"/>
        <v>0.11451123726572829</v>
      </c>
      <c r="K38" s="1799">
        <f t="shared" si="54"/>
        <v>9.6021045708648473E-2</v>
      </c>
      <c r="L38" s="1799">
        <f t="shared" si="54"/>
        <v>9.897928773655193E-2</v>
      </c>
      <c r="M38" s="1799">
        <f t="shared" si="54"/>
        <v>0.13249717906431732</v>
      </c>
      <c r="N38" s="1799">
        <f t="shared" si="54"/>
        <v>8.9862346385208694E-2</v>
      </c>
      <c r="O38" s="1799">
        <f t="shared" ref="O38:P38" si="55">IF(ISERROR(O35/O28),"NA",O35/O28)</f>
        <v>7.2658217396689095E-2</v>
      </c>
      <c r="P38" s="1799">
        <f t="shared" si="55"/>
        <v>6.9363867684478372E-2</v>
      </c>
      <c r="Q38" s="1799">
        <f t="shared" si="54"/>
        <v>4.2783544192174616E-2</v>
      </c>
      <c r="R38" s="1799">
        <f t="shared" si="54"/>
        <v>1.440103382398188E-2</v>
      </c>
      <c r="S38" s="1799">
        <f>IF(ISERROR(S35/S28),"NA",S35/S28)</f>
        <v>-1.4653405533679316E-2</v>
      </c>
      <c r="T38" s="1799">
        <f>IF(ISERROR(T35/T28),"NA",T35/T28)</f>
        <v>-4.6059665784740467E-2</v>
      </c>
      <c r="U38" s="1799">
        <f t="shared" ref="U38:Y38" si="56">IF(ISERROR(U35/U28),"NA",U35/U28)</f>
        <v>-8.0098952053489325E-2</v>
      </c>
      <c r="V38" s="1799">
        <f t="shared" si="56"/>
        <v>-0.11709930237022351</v>
      </c>
      <c r="W38" s="1799">
        <f t="shared" si="56"/>
        <v>-0.15744578129174852</v>
      </c>
      <c r="X38" s="1799">
        <f t="shared" si="56"/>
        <v>-0.20159345737480183</v>
      </c>
      <c r="Y38" s="1799">
        <f t="shared" si="56"/>
        <v>-0.2500840937338577</v>
      </c>
      <c r="Z38" s="793"/>
      <c r="AA38"/>
      <c r="AB38"/>
      <c r="AC38"/>
      <c r="AD38"/>
      <c r="AE38"/>
      <c r="AF38"/>
    </row>
    <row r="39" spans="1:32" ht="12.75" customHeight="1">
      <c r="A39" s="947"/>
    </row>
    <row r="40" spans="1:32">
      <c r="A40" s="947"/>
      <c r="C40" s="801" t="s">
        <v>598</v>
      </c>
      <c r="E40" s="812">
        <f t="shared" ref="E40:R40" si="57">IF(ISERROR(E37*E9),0,E37*E9)</f>
        <v>7877.7999999999993</v>
      </c>
      <c r="F40" s="812">
        <f t="shared" si="57"/>
        <v>8059.45</v>
      </c>
      <c r="G40" s="812">
        <f t="shared" si="57"/>
        <v>8107.4</v>
      </c>
      <c r="H40" s="812">
        <f t="shared" si="57"/>
        <v>8589.35</v>
      </c>
      <c r="I40" s="812">
        <f t="shared" si="57"/>
        <v>8486.1</v>
      </c>
      <c r="J40" s="812">
        <f t="shared" si="57"/>
        <v>7970.5499999999993</v>
      </c>
      <c r="K40" s="812">
        <f t="shared" si="57"/>
        <v>8659.3499999999985</v>
      </c>
      <c r="L40" s="812">
        <f t="shared" si="57"/>
        <v>8465.4499999999989</v>
      </c>
      <c r="M40" s="812">
        <f t="shared" si="57"/>
        <v>6996.15</v>
      </c>
      <c r="N40" s="812">
        <f t="shared" si="57"/>
        <v>8631.6999999999989</v>
      </c>
      <c r="O40" s="812">
        <f t="shared" ref="O40:P40" si="58">IF(ISERROR(O37*O9),0,O37*O9)</f>
        <v>7862.0499999999993</v>
      </c>
      <c r="P40" s="812">
        <f t="shared" si="58"/>
        <v>6400.45</v>
      </c>
      <c r="Q40" s="812">
        <f t="shared" si="57"/>
        <v>6458.7271000000001</v>
      </c>
      <c r="R40" s="812">
        <f t="shared" si="57"/>
        <v>6518.6983498</v>
      </c>
      <c r="S40" s="812">
        <f>IF(ISERROR(S37*S9),0,S37*S9)</f>
        <v>6580.4146711323992</v>
      </c>
      <c r="T40" s="812">
        <f>IF(ISERROR(T37*T9),0,T37*T9)</f>
        <v>6643.9619556051111</v>
      </c>
      <c r="U40" s="812">
        <f t="shared" ref="U40:Y40" si="59">IF(ISERROR(U37*U9),0,U37*U9)</f>
        <v>6709.3881810205112</v>
      </c>
      <c r="V40" s="812">
        <f t="shared" si="59"/>
        <v>6776.7422411879979</v>
      </c>
      <c r="W40" s="812">
        <f t="shared" si="59"/>
        <v>6846.0739426319751</v>
      </c>
      <c r="X40" s="812">
        <f t="shared" si="59"/>
        <v>6917.433999574534</v>
      </c>
      <c r="Y40" s="812">
        <f t="shared" si="59"/>
        <v>6990.8740270600574</v>
      </c>
    </row>
    <row r="41" spans="1:32">
      <c r="A41" s="947"/>
    </row>
    <row r="42" spans="1:32">
      <c r="A42" s="947"/>
      <c r="B42" s="944" t="s">
        <v>575</v>
      </c>
    </row>
    <row r="43" spans="1:32" s="1" customFormat="1">
      <c r="A43" s="946"/>
      <c r="C43" s="1" t="s">
        <v>599</v>
      </c>
      <c r="E43" s="820">
        <f t="shared" ref="E43:R43" si="60">IF(ISERROR(-E32*(1-E9)),0,(-E32*(1-E9)))</f>
        <v>-676</v>
      </c>
      <c r="F43" s="820">
        <f t="shared" si="60"/>
        <v>-714.35</v>
      </c>
      <c r="G43" s="820">
        <f t="shared" si="60"/>
        <v>-681.2</v>
      </c>
      <c r="H43" s="820">
        <f t="shared" si="60"/>
        <v>-797.55000000000007</v>
      </c>
      <c r="I43" s="820">
        <f t="shared" si="60"/>
        <v>-1064.7</v>
      </c>
      <c r="J43" s="820">
        <f t="shared" si="60"/>
        <v>-786.5</v>
      </c>
      <c r="K43" s="820">
        <f t="shared" si="60"/>
        <v>-894.4</v>
      </c>
      <c r="L43" s="820">
        <f t="shared" si="60"/>
        <v>-949.65</v>
      </c>
      <c r="M43" s="820">
        <f t="shared" si="60"/>
        <v>-884</v>
      </c>
      <c r="N43" s="820">
        <f t="shared" si="60"/>
        <v>-475.8</v>
      </c>
      <c r="O43" s="820">
        <f t="shared" ref="O43:P43" si="61">IF(ISERROR(-O32*(1-O9)),0,(-O32*(1-O9)))</f>
        <v>-433.55</v>
      </c>
      <c r="P43" s="820">
        <f t="shared" si="61"/>
        <v>-596.05000000000007</v>
      </c>
      <c r="Q43" s="820">
        <f t="shared" si="60"/>
        <v>-520</v>
      </c>
      <c r="R43" s="820">
        <f t="shared" si="60"/>
        <v>-520</v>
      </c>
      <c r="S43" s="820">
        <f>IF(ISERROR(-S32*(1-S9)),0,(-S32*(1-S9)))</f>
        <v>-520</v>
      </c>
      <c r="T43" s="820">
        <f>IF(ISERROR(-T32*(1-T9)),0,(-T32*(1-T9)))</f>
        <v>-520</v>
      </c>
      <c r="U43" s="820">
        <f t="shared" ref="U43:Y43" si="62">IF(ISERROR(-U32*(1-U9)),0,(-U32*(1-U9)))</f>
        <v>-520</v>
      </c>
      <c r="V43" s="820">
        <f t="shared" si="62"/>
        <v>-520</v>
      </c>
      <c r="W43" s="820">
        <f t="shared" si="62"/>
        <v>-520</v>
      </c>
      <c r="X43" s="820">
        <f t="shared" si="62"/>
        <v>-520</v>
      </c>
      <c r="Y43" s="820">
        <f t="shared" si="62"/>
        <v>-520</v>
      </c>
      <c r="AA43"/>
      <c r="AB43"/>
      <c r="AC43"/>
      <c r="AD43"/>
      <c r="AE43"/>
      <c r="AF43"/>
    </row>
    <row r="44" spans="1:32" s="1" customFormat="1">
      <c r="A44" s="946"/>
      <c r="C44" s="1" t="s">
        <v>600</v>
      </c>
      <c r="E44" s="820">
        <f t="shared" ref="E44:R44" si="63">+(E26-E33)*(1-E9)</f>
        <v>0</v>
      </c>
      <c r="F44" s="820">
        <f t="shared" si="63"/>
        <v>0</v>
      </c>
      <c r="G44" s="820">
        <f t="shared" si="63"/>
        <v>0</v>
      </c>
      <c r="H44" s="820">
        <f t="shared" si="63"/>
        <v>0</v>
      </c>
      <c r="I44" s="820">
        <f t="shared" si="63"/>
        <v>0</v>
      </c>
      <c r="J44" s="820">
        <f t="shared" si="63"/>
        <v>0</v>
      </c>
      <c r="K44" s="820">
        <f t="shared" si="63"/>
        <v>0</v>
      </c>
      <c r="L44" s="820">
        <f t="shared" si="63"/>
        <v>0</v>
      </c>
      <c r="M44" s="820">
        <f t="shared" si="63"/>
        <v>0</v>
      </c>
      <c r="N44" s="820">
        <f t="shared" si="63"/>
        <v>0</v>
      </c>
      <c r="O44" s="820">
        <f t="shared" ref="O44:P44" si="64">+(O26-O33)*(1-O9)</f>
        <v>0</v>
      </c>
      <c r="P44" s="820">
        <f t="shared" si="64"/>
        <v>0</v>
      </c>
      <c r="Q44" s="820">
        <f t="shared" si="63"/>
        <v>0</v>
      </c>
      <c r="R44" s="820">
        <f t="shared" si="63"/>
        <v>0</v>
      </c>
      <c r="S44" s="820">
        <f>+(S26-S33)*(1-S9)</f>
        <v>0</v>
      </c>
      <c r="T44" s="820">
        <f>+(T26-T33)*(1-T9)</f>
        <v>0</v>
      </c>
      <c r="U44" s="820">
        <f t="shared" ref="U44:Y44" si="65">+(U26-U33)*(1-U9)</f>
        <v>0</v>
      </c>
      <c r="V44" s="820">
        <f t="shared" si="65"/>
        <v>0</v>
      </c>
      <c r="W44" s="820">
        <f t="shared" si="65"/>
        <v>0</v>
      </c>
      <c r="X44" s="820">
        <f t="shared" si="65"/>
        <v>0</v>
      </c>
      <c r="Y44" s="820">
        <f t="shared" si="65"/>
        <v>0</v>
      </c>
      <c r="AA44"/>
      <c r="AB44"/>
      <c r="AC44"/>
      <c r="AD44"/>
      <c r="AE44"/>
      <c r="AF44"/>
    </row>
    <row r="45" spans="1:32" ht="7.5" customHeight="1">
      <c r="A45" s="947"/>
    </row>
    <row r="46" spans="1:32">
      <c r="A46" s="947"/>
      <c r="B46" s="938" t="s">
        <v>577</v>
      </c>
      <c r="C46" s="938"/>
      <c r="D46" s="938"/>
      <c r="E46" s="943">
        <f t="shared" ref="E46:R46" si="66">E4</f>
        <v>2005</v>
      </c>
      <c r="F46" s="943">
        <f t="shared" si="66"/>
        <v>2006</v>
      </c>
      <c r="G46" s="943">
        <f t="shared" si="66"/>
        <v>2007</v>
      </c>
      <c r="H46" s="943">
        <f t="shared" si="66"/>
        <v>2008</v>
      </c>
      <c r="I46" s="943">
        <f t="shared" si="66"/>
        <v>2009</v>
      </c>
      <c r="J46" s="943">
        <f t="shared" si="66"/>
        <v>2010</v>
      </c>
      <c r="K46" s="943">
        <f t="shared" si="66"/>
        <v>2011</v>
      </c>
      <c r="L46" s="2984">
        <f t="shared" si="66"/>
        <v>2012</v>
      </c>
      <c r="M46" s="2984">
        <f t="shared" si="66"/>
        <v>2013</v>
      </c>
      <c r="N46" s="2984" t="str">
        <f t="shared" si="66"/>
        <v>2014</v>
      </c>
      <c r="O46" s="2984" t="str">
        <f t="shared" ref="O46:P46" si="67">O4</f>
        <v>2015</v>
      </c>
      <c r="P46" s="2984" t="str">
        <f t="shared" si="67"/>
        <v>2016</v>
      </c>
      <c r="Q46" s="942" t="str">
        <f t="shared" si="66"/>
        <v>2017</v>
      </c>
      <c r="R46" s="942" t="str">
        <f t="shared" si="66"/>
        <v>2018E</v>
      </c>
      <c r="S46" s="942" t="str">
        <f>S4</f>
        <v>2019E</v>
      </c>
      <c r="T46" s="942" t="str">
        <f>T4</f>
        <v>2020E</v>
      </c>
      <c r="U46" s="942" t="str">
        <f t="shared" ref="U46:Y46" si="68">U4</f>
        <v>2021E</v>
      </c>
      <c r="V46" s="942" t="str">
        <f t="shared" si="68"/>
        <v>2022E</v>
      </c>
      <c r="W46" s="942" t="str">
        <f t="shared" si="68"/>
        <v>2023E</v>
      </c>
      <c r="X46" s="942" t="str">
        <f t="shared" si="68"/>
        <v>2024E</v>
      </c>
      <c r="Y46" s="942" t="str">
        <f t="shared" si="68"/>
        <v>2025E</v>
      </c>
    </row>
    <row r="47" spans="1:32">
      <c r="A47" s="947"/>
      <c r="B47" s="944" t="s">
        <v>578</v>
      </c>
    </row>
    <row r="48" spans="1:32" ht="15.75" customHeight="1">
      <c r="A48" s="947"/>
      <c r="C48" s="801" t="s">
        <v>601</v>
      </c>
      <c r="Q48" s="812">
        <f>+Q43+Q44</f>
        <v>-520</v>
      </c>
      <c r="R48" s="812">
        <f>+R43+R44</f>
        <v>-520</v>
      </c>
      <c r="S48" s="812">
        <f>+S43+S44</f>
        <v>-520</v>
      </c>
      <c r="T48" s="812">
        <f>+T43+T44</f>
        <v>-520</v>
      </c>
      <c r="U48" s="812">
        <f t="shared" ref="U48:Y48" si="69">+U43+U44</f>
        <v>-520</v>
      </c>
      <c r="V48" s="812">
        <f t="shared" si="69"/>
        <v>-520</v>
      </c>
      <c r="W48" s="812">
        <f t="shared" si="69"/>
        <v>-520</v>
      </c>
      <c r="X48" s="812">
        <f t="shared" si="69"/>
        <v>-520</v>
      </c>
      <c r="Y48" s="812">
        <f t="shared" si="69"/>
        <v>-520</v>
      </c>
    </row>
    <row r="49" spans="1:32" ht="15.75" customHeight="1">
      <c r="A49" s="947"/>
      <c r="C49" s="805" t="s">
        <v>602</v>
      </c>
      <c r="D49" s="805"/>
      <c r="E49" s="811"/>
      <c r="F49" s="811"/>
      <c r="G49" s="811"/>
      <c r="H49" s="811"/>
      <c r="I49" s="811"/>
      <c r="J49" s="811"/>
      <c r="K49" s="811"/>
      <c r="L49" s="811"/>
      <c r="M49" s="811"/>
      <c r="N49" s="811"/>
      <c r="O49" s="811"/>
      <c r="P49" s="811"/>
      <c r="Q49" s="811">
        <f>Q40-P40</f>
        <v>58.277100000000246</v>
      </c>
      <c r="R49" s="811">
        <f>R40-Q40</f>
        <v>59.971249799999896</v>
      </c>
      <c r="S49" s="811">
        <f>S40-R40</f>
        <v>61.716321332399275</v>
      </c>
      <c r="T49" s="811">
        <f>T40-S40</f>
        <v>63.547284472711908</v>
      </c>
      <c r="U49" s="811">
        <f t="shared" ref="U49:Y49" si="70">U40-T40</f>
        <v>65.42622541540004</v>
      </c>
      <c r="V49" s="811">
        <f t="shared" si="70"/>
        <v>67.35406016748675</v>
      </c>
      <c r="W49" s="811">
        <f t="shared" si="70"/>
        <v>69.331701443977181</v>
      </c>
      <c r="X49" s="811">
        <f t="shared" si="70"/>
        <v>71.360056942558913</v>
      </c>
      <c r="Y49" s="811">
        <f t="shared" si="70"/>
        <v>73.440027485523387</v>
      </c>
    </row>
    <row r="50" spans="1:32" s="1" customFormat="1" ht="15.75" customHeight="1">
      <c r="A50" s="946"/>
      <c r="C50" s="1" t="s">
        <v>581</v>
      </c>
      <c r="E50" s="820"/>
      <c r="F50" s="820"/>
      <c r="G50" s="820"/>
      <c r="H50" s="820"/>
      <c r="I50" s="820"/>
      <c r="J50" s="820"/>
      <c r="K50" s="820"/>
      <c r="L50" s="820"/>
      <c r="M50" s="820"/>
      <c r="N50" s="820"/>
      <c r="O50" s="820"/>
      <c r="P50" s="820"/>
      <c r="Q50" s="820">
        <f>+Q48+Q49</f>
        <v>-461.72289999999975</v>
      </c>
      <c r="R50" s="820">
        <f>+R48+R49</f>
        <v>-460.0287502000001</v>
      </c>
      <c r="S50" s="820">
        <f>+S48+S49</f>
        <v>-458.28367866760073</v>
      </c>
      <c r="T50" s="820">
        <f>+T48+T49</f>
        <v>-456.45271552728809</v>
      </c>
      <c r="U50" s="820">
        <f t="shared" ref="U50:Y50" si="71">+U48+U49</f>
        <v>-454.57377458459996</v>
      </c>
      <c r="V50" s="820">
        <f t="shared" si="71"/>
        <v>-452.64593983251325</v>
      </c>
      <c r="W50" s="820">
        <f t="shared" si="71"/>
        <v>-450.66829855602282</v>
      </c>
      <c r="X50" s="820">
        <f t="shared" si="71"/>
        <v>-448.63994305744109</v>
      </c>
      <c r="Y50" s="820">
        <f t="shared" si="71"/>
        <v>-446.55997251447661</v>
      </c>
      <c r="AA50"/>
      <c r="AB50"/>
      <c r="AC50"/>
      <c r="AD50"/>
      <c r="AE50"/>
      <c r="AF50"/>
    </row>
    <row r="51" spans="1:32">
      <c r="A51" s="947"/>
    </row>
    <row r="52" spans="1:32">
      <c r="A52" s="947"/>
      <c r="B52" s="944" t="s">
        <v>582</v>
      </c>
    </row>
    <row r="53" spans="1:32" ht="15.75" customHeight="1">
      <c r="A53" s="947"/>
      <c r="C53" s="801" t="s">
        <v>603</v>
      </c>
      <c r="Q53" s="812">
        <f>Q37-P37</f>
        <v>166.50600000000122</v>
      </c>
      <c r="R53" s="812">
        <f>R37-Q37</f>
        <v>171.34642800000074</v>
      </c>
      <c r="S53" s="812">
        <f>S37-R37</f>
        <v>176.33234666399585</v>
      </c>
      <c r="T53" s="812">
        <f>T37-S37</f>
        <v>181.56366992203402</v>
      </c>
      <c r="U53" s="812">
        <f t="shared" ref="U53:Y53" si="72">U37-T37</f>
        <v>186.93207261542921</v>
      </c>
      <c r="V53" s="812">
        <f t="shared" si="72"/>
        <v>192.44017190710656</v>
      </c>
      <c r="W53" s="812">
        <f t="shared" si="72"/>
        <v>198.09057555421896</v>
      </c>
      <c r="X53" s="812">
        <f t="shared" si="72"/>
        <v>203.88587697874027</v>
      </c>
      <c r="Y53" s="812">
        <f t="shared" si="72"/>
        <v>209.82864995863929</v>
      </c>
    </row>
    <row r="54" spans="1:32" ht="15.75" customHeight="1">
      <c r="A54" s="947"/>
      <c r="C54" s="801" t="s">
        <v>604</v>
      </c>
      <c r="Q54" s="812">
        <f>-Q18*(1-Q9)</f>
        <v>-201.17890000000006</v>
      </c>
      <c r="R54" s="812">
        <f>-R18*(1-R9)</f>
        <v>-204.32517820000004</v>
      </c>
      <c r="S54" s="812">
        <f>-S18*(1-S9)</f>
        <v>-207.56602533160009</v>
      </c>
      <c r="T54" s="812">
        <f>-T18*(1-T9)</f>
        <v>-210.96638544932082</v>
      </c>
      <c r="U54" s="812">
        <f t="shared" ref="U54:Y54" si="73">-U18*(1-U9)</f>
        <v>-214.45584720003004</v>
      </c>
      <c r="V54" s="812">
        <f t="shared" si="73"/>
        <v>-218.03611173961883</v>
      </c>
      <c r="W54" s="812">
        <f t="shared" si="73"/>
        <v>-221.70887411024358</v>
      </c>
      <c r="X54" s="812">
        <f t="shared" si="73"/>
        <v>-225.4758200361818</v>
      </c>
      <c r="Y54" s="812">
        <f t="shared" si="73"/>
        <v>-229.33862247311515</v>
      </c>
    </row>
    <row r="55" spans="1:32" ht="15.75" customHeight="1">
      <c r="A55" s="947"/>
      <c r="C55" s="805" t="s">
        <v>605</v>
      </c>
      <c r="D55" s="805"/>
      <c r="E55" s="811"/>
      <c r="F55" s="811"/>
      <c r="G55" s="811"/>
      <c r="H55" s="811"/>
      <c r="I55" s="811"/>
      <c r="J55" s="811"/>
      <c r="K55" s="811"/>
      <c r="L55" s="811"/>
      <c r="M55" s="811"/>
      <c r="N55" s="811"/>
      <c r="O55" s="811"/>
      <c r="P55" s="811"/>
      <c r="Q55" s="811">
        <f>IF(ISERROR((Q16+Q31)*(1-Q9)+(-Q25*(1-Q9))+((Q14)*(1-Q9))),0,(Q16+Q31)*(1-Q9)+(-Q25*(1-Q9))+((Q14)*(1-Q9)))</f>
        <v>-427.05</v>
      </c>
      <c r="R55" s="811">
        <f>IF(ISERROR((R16+R31)*(1-R9)+(-R25*(1-R9))+((R14)*(1-R9))),0,(R16+R31)*(1-R9)+(-R25*(1-R9))+((R14)*(1-R9)))</f>
        <v>-427.05</v>
      </c>
      <c r="S55" s="811">
        <f>IF(ISERROR((S16+S31)*(1-S9)+(-S25*(1-S9))+((S14)*(1-S9))),0,(S16+S31)*(1-S9)+(-S25*(1-S9))+((S14)*(1-S9)))</f>
        <v>-427.05</v>
      </c>
      <c r="T55" s="811">
        <f>IF(ISERROR((T16+T31)*(1-T9)+(-T25*(1-T9))+((T14)*(1-T9))),0,(T16+T31)*(1-T9)+(-T25*(1-T9))+((T14)*(1-T9)))</f>
        <v>-427.05</v>
      </c>
      <c r="U55" s="811">
        <f t="shared" ref="U55:Y55" si="74">IF(ISERROR((U16+U31)*(1-U9)+(-U25*(1-U9))+((U14)*(1-U9))),0,(U16+U31)*(1-U9)+(-U25*(1-U9))+((U14)*(1-U9)))</f>
        <v>-427.05</v>
      </c>
      <c r="V55" s="811">
        <f t="shared" si="74"/>
        <v>-427.05</v>
      </c>
      <c r="W55" s="811">
        <f t="shared" si="74"/>
        <v>-427.05</v>
      </c>
      <c r="X55" s="811">
        <f t="shared" si="74"/>
        <v>-427.05</v>
      </c>
      <c r="Y55" s="811">
        <f t="shared" si="74"/>
        <v>-427.05</v>
      </c>
    </row>
    <row r="56" spans="1:32" s="1" customFormat="1" ht="15.75" customHeight="1">
      <c r="A56" s="946"/>
      <c r="C56" s="1" t="s">
        <v>592</v>
      </c>
      <c r="E56" s="820"/>
      <c r="F56" s="820"/>
      <c r="G56" s="820"/>
      <c r="H56" s="820"/>
      <c r="I56" s="820"/>
      <c r="J56" s="820"/>
      <c r="K56" s="820"/>
      <c r="L56" s="820"/>
      <c r="M56" s="820"/>
      <c r="N56" s="820"/>
      <c r="O56" s="820"/>
      <c r="P56" s="820"/>
      <c r="Q56" s="820">
        <f>SUM(Q53:Q55)</f>
        <v>-461.72289999999884</v>
      </c>
      <c r="R56" s="820">
        <f>SUM(R53:R55)</f>
        <v>-460.02875019999931</v>
      </c>
      <c r="S56" s="820">
        <f>SUM(S53:S55)</f>
        <v>-458.28367866760425</v>
      </c>
      <c r="T56" s="820">
        <f>SUM(T53:T55)</f>
        <v>-456.45271552728684</v>
      </c>
      <c r="U56" s="820">
        <f t="shared" ref="U56:Y56" si="75">SUM(U53:U55)</f>
        <v>-454.57377458460087</v>
      </c>
      <c r="V56" s="820">
        <f t="shared" si="75"/>
        <v>-452.64593983251228</v>
      </c>
      <c r="W56" s="820">
        <f t="shared" si="75"/>
        <v>-450.66829855602464</v>
      </c>
      <c r="X56" s="820">
        <f t="shared" si="75"/>
        <v>-448.63994305744154</v>
      </c>
      <c r="Y56" s="820">
        <f t="shared" si="75"/>
        <v>-446.55997251447587</v>
      </c>
      <c r="AA56"/>
      <c r="AB56"/>
      <c r="AC56"/>
      <c r="AD56"/>
      <c r="AE56"/>
      <c r="AF56"/>
    </row>
    <row r="57" spans="1:32" s="6" customFormat="1" ht="24.75" customHeight="1">
      <c r="A57" s="949"/>
      <c r="B57" s="936"/>
      <c r="C57" s="6" t="s">
        <v>1351</v>
      </c>
      <c r="E57" s="828"/>
      <c r="F57" s="828"/>
      <c r="G57" s="828"/>
      <c r="H57" s="828"/>
      <c r="I57" s="828"/>
      <c r="J57" s="828"/>
      <c r="K57" s="828"/>
      <c r="L57" s="828"/>
      <c r="M57" s="828"/>
      <c r="N57" s="828"/>
      <c r="O57" s="828"/>
      <c r="P57" s="828"/>
      <c r="Q57" s="828">
        <f>ROUND(Q50-Q56,0)</f>
        <v>0</v>
      </c>
      <c r="R57" s="828">
        <f>ROUND(R50-R56,0)</f>
        <v>0</v>
      </c>
      <c r="S57" s="828">
        <f>ROUND(S50-S56,0)</f>
        <v>0</v>
      </c>
      <c r="T57" s="828">
        <f>ROUND(T50-T56,0)</f>
        <v>0</v>
      </c>
      <c r="U57" s="828">
        <f t="shared" ref="U57:Y57" si="76">ROUND(U50-U56,0)</f>
        <v>0</v>
      </c>
      <c r="V57" s="828">
        <f t="shared" si="76"/>
        <v>0</v>
      </c>
      <c r="W57" s="828">
        <f t="shared" si="76"/>
        <v>0</v>
      </c>
      <c r="X57" s="828">
        <f t="shared" si="76"/>
        <v>0</v>
      </c>
      <c r="Y57" s="828">
        <f t="shared" si="76"/>
        <v>0</v>
      </c>
      <c r="AA57"/>
      <c r="AB57"/>
      <c r="AC57"/>
      <c r="AD57"/>
      <c r="AE57"/>
      <c r="AF57"/>
    </row>
  </sheetData>
  <phoneticPr fontId="76" type="noConversion"/>
  <pageMargins left="0.37" right="0.34" top="0.49" bottom="0.51" header="0.5" footer="0.5"/>
  <pageSetup scale="78" orientation="portrait" r:id="rId1"/>
  <headerFooter alignWithMargins="0">
    <oddFooter>&amp;R&amp;A</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enableFormatConditionsCalculation="0">
    <tabColor indexed="44"/>
    <pageSetUpPr fitToPage="1"/>
  </sheetPr>
  <dimension ref="B2:Y133"/>
  <sheetViews>
    <sheetView showGridLines="0" workbookViewId="0"/>
  </sheetViews>
  <sheetFormatPr defaultColWidth="6.33203125" defaultRowHeight="11.25" outlineLevelRow="1" outlineLevelCol="1"/>
  <cols>
    <col min="1" max="1" width="1.6640625" style="812" customWidth="1"/>
    <col min="2" max="2" width="24.77734375" style="812" customWidth="1"/>
    <col min="3" max="8" width="6.33203125" style="812" hidden="1" customWidth="1" outlineLevel="1"/>
    <col min="9" max="9" width="6.33203125" style="812" bestFit="1" customWidth="1" collapsed="1"/>
    <col min="10" max="12" width="6.33203125" style="812" bestFit="1" customWidth="1"/>
    <col min="13" max="20" width="6.33203125" style="932" bestFit="1" customWidth="1"/>
    <col min="21" max="23" width="6.33203125" style="812" hidden="1" customWidth="1" outlineLevel="1"/>
    <col min="24" max="24" width="1.6640625" style="812" customWidth="1" collapsed="1"/>
    <col min="25" max="25" width="6.33203125" style="812" bestFit="1"/>
    <col min="26" max="16384" width="6.33203125" style="812"/>
  </cols>
  <sheetData>
    <row r="2" spans="2:22">
      <c r="B2" s="812" t="s">
        <v>1058</v>
      </c>
    </row>
    <row r="3" spans="2:22" s="917" customFormat="1" ht="12.75" customHeight="1">
      <c r="B3" s="917" t="s">
        <v>1059</v>
      </c>
      <c r="M3" s="1568"/>
      <c r="N3" s="1568"/>
      <c r="O3" s="1568"/>
      <c r="P3" s="1568"/>
      <c r="Q3" s="1568"/>
      <c r="R3" s="1568"/>
      <c r="S3" s="1568"/>
      <c r="T3" s="1568"/>
    </row>
    <row r="4" spans="2:22">
      <c r="B4" s="812" t="s">
        <v>1060</v>
      </c>
    </row>
    <row r="5" spans="2:22">
      <c r="B5" s="911" t="s">
        <v>1061</v>
      </c>
      <c r="C5" s="810"/>
      <c r="D5" s="810"/>
      <c r="E5" s="810"/>
      <c r="F5" s="810"/>
      <c r="G5" s="810"/>
      <c r="H5" s="810"/>
      <c r="I5" s="915">
        <v>1</v>
      </c>
      <c r="K5" s="836"/>
    </row>
    <row r="6" spans="2:22">
      <c r="B6" s="913" t="s">
        <v>1062</v>
      </c>
      <c r="C6" s="811"/>
      <c r="D6" s="811"/>
      <c r="E6" s="811"/>
      <c r="F6" s="811"/>
      <c r="G6" s="811"/>
      <c r="H6" s="811"/>
      <c r="I6" s="916">
        <v>0.35</v>
      </c>
    </row>
    <row r="7" spans="2:22">
      <c r="B7" s="812" t="s">
        <v>1063</v>
      </c>
      <c r="K7" s="836"/>
    </row>
    <row r="9" spans="2:22">
      <c r="B9" s="917" t="s">
        <v>1064</v>
      </c>
    </row>
    <row r="10" spans="2:22">
      <c r="B10" s="911"/>
      <c r="C10" s="912">
        <v>2008</v>
      </c>
      <c r="D10" s="912">
        <v>2009</v>
      </c>
      <c r="E10" s="912">
        <v>2010</v>
      </c>
      <c r="F10" s="912">
        <v>2011</v>
      </c>
      <c r="G10" s="912">
        <v>2012</v>
      </c>
      <c r="H10" s="1800" t="s">
        <v>1608</v>
      </c>
      <c r="I10" s="1800" t="s">
        <v>1607</v>
      </c>
      <c r="J10" s="1800" t="str">
        <f>IS!W5</f>
        <v>2015</v>
      </c>
      <c r="K10" s="912" t="str">
        <f>IS!X5</f>
        <v>2016</v>
      </c>
      <c r="L10" s="912" t="str">
        <f>IS!Y5</f>
        <v>2017</v>
      </c>
      <c r="M10" s="912" t="str">
        <f>IS!Z5</f>
        <v>2018E</v>
      </c>
      <c r="N10" s="1800" t="str">
        <f>IS!AA5</f>
        <v>2019E</v>
      </c>
      <c r="O10" s="1800" t="str">
        <f>IS!AB5</f>
        <v>2020E</v>
      </c>
      <c r="P10" s="1800" t="str">
        <f>IS!AC5</f>
        <v>2021E</v>
      </c>
      <c r="Q10" s="1800" t="str">
        <f>IS!AD5</f>
        <v>2022E</v>
      </c>
      <c r="R10" s="1800" t="str">
        <f>IS!AE5</f>
        <v>2023E</v>
      </c>
      <c r="S10" s="1800" t="str">
        <f>IS!AF5</f>
        <v>2024E</v>
      </c>
      <c r="T10" s="1571" t="str">
        <f>IS!AG5</f>
        <v>2025E</v>
      </c>
    </row>
    <row r="11" spans="2:22">
      <c r="B11" s="913" t="s">
        <v>1065</v>
      </c>
      <c r="C11" s="914">
        <f>+Capex!P$128</f>
        <v>17238</v>
      </c>
      <c r="D11" s="914">
        <f>+Capex!Q$128</f>
        <v>16872</v>
      </c>
      <c r="E11" s="914">
        <f>+Capex!R$128</f>
        <v>16458</v>
      </c>
      <c r="F11" s="914">
        <f>+Capex!S$128</f>
        <v>16244</v>
      </c>
      <c r="G11" s="914">
        <f>+Capex!T$128</f>
        <v>16175</v>
      </c>
      <c r="H11" s="914">
        <f>+Capex!U$128</f>
        <v>16604</v>
      </c>
      <c r="I11" s="2985">
        <f>+Capex!V$128</f>
        <v>17191</v>
      </c>
      <c r="J11" s="2985">
        <f>+Capex!W$128</f>
        <v>17775</v>
      </c>
      <c r="K11" s="2985">
        <f>+Capex!X$128</f>
        <v>17059</v>
      </c>
      <c r="L11" s="2985">
        <f>+Capex!Y$128</f>
        <v>17247</v>
      </c>
      <c r="M11" s="2985">
        <f ca="1">+Capex!Z$128</f>
        <v>17185.531443313364</v>
      </c>
      <c r="N11" s="2985">
        <f ca="1">+Capex!AA$128</f>
        <v>17326.654612606839</v>
      </c>
      <c r="O11" s="2985">
        <f ca="1">+Capex!AB$128</f>
        <v>17539.117790711662</v>
      </c>
      <c r="P11" s="2985">
        <f ca="1">+Capex!AC$128</f>
        <v>17762.512511533605</v>
      </c>
      <c r="Q11" s="2985">
        <f ca="1">+Capex!AD$128</f>
        <v>17996.036439295356</v>
      </c>
      <c r="R11" s="2985">
        <f ca="1">+Capex!AE$128</f>
        <v>18240.908275959573</v>
      </c>
      <c r="S11" s="2985">
        <f ca="1">+Capex!AF$128</f>
        <v>18499.258520535466</v>
      </c>
      <c r="T11" s="2986">
        <f ca="1">+Capex!AG$128</f>
        <v>20074.791512016636</v>
      </c>
    </row>
    <row r="13" spans="2:22" s="820" customFormat="1" outlineLevel="1">
      <c r="B13" s="918">
        <v>2008</v>
      </c>
      <c r="C13" s="826">
        <v>0</v>
      </c>
      <c r="D13" s="826">
        <v>1</v>
      </c>
      <c r="E13" s="826">
        <v>2</v>
      </c>
      <c r="F13" s="826">
        <v>3</v>
      </c>
      <c r="G13" s="826">
        <v>4</v>
      </c>
      <c r="H13" s="826">
        <v>5</v>
      </c>
      <c r="I13" s="826">
        <v>6</v>
      </c>
      <c r="J13" s="826">
        <v>7</v>
      </c>
      <c r="K13" s="826">
        <v>8</v>
      </c>
      <c r="L13" s="826">
        <v>9</v>
      </c>
      <c r="M13" s="1177">
        <v>10</v>
      </c>
      <c r="N13" s="1177">
        <v>11</v>
      </c>
      <c r="O13" s="1177">
        <v>11</v>
      </c>
      <c r="P13" s="1177">
        <v>11</v>
      </c>
      <c r="Q13" s="1177">
        <v>11</v>
      </c>
      <c r="R13" s="1177">
        <v>11</v>
      </c>
      <c r="S13" s="1177">
        <v>11</v>
      </c>
      <c r="T13" s="1177">
        <v>11</v>
      </c>
      <c r="U13" s="826" t="s">
        <v>50</v>
      </c>
      <c r="V13" s="826">
        <v>15</v>
      </c>
    </row>
    <row r="14" spans="2:22" outlineLevel="1">
      <c r="B14" s="812" t="s">
        <v>1071</v>
      </c>
      <c r="C14" s="1198">
        <v>0.05</v>
      </c>
      <c r="D14" s="1198">
        <v>9.5000000000000001E-2</v>
      </c>
      <c r="E14" s="1198">
        <v>8.5500000000000007E-2</v>
      </c>
      <c r="F14" s="1198">
        <v>7.6999999999999999E-2</v>
      </c>
      <c r="G14" s="1198">
        <v>6.93E-2</v>
      </c>
      <c r="H14" s="1198">
        <v>6.2300000000000001E-2</v>
      </c>
      <c r="I14" s="1198">
        <v>5.8999999999999997E-2</v>
      </c>
      <c r="J14" s="1198">
        <v>5.8999999999999997E-2</v>
      </c>
      <c r="K14" s="1198">
        <v>5.91E-2</v>
      </c>
      <c r="L14" s="1198">
        <v>5.8999999999999997E-2</v>
      </c>
      <c r="M14" s="1569">
        <v>5.91E-2</v>
      </c>
      <c r="N14" s="1569">
        <v>5.8999999999999997E-2</v>
      </c>
      <c r="O14" s="1569">
        <v>5.8999999999999997E-2</v>
      </c>
      <c r="P14" s="1569">
        <v>5.8999999999999997E-2</v>
      </c>
      <c r="Q14" s="1569">
        <v>5.8999999999999997E-2</v>
      </c>
      <c r="R14" s="1569">
        <v>5.8999999999999997E-2</v>
      </c>
      <c r="S14" s="1569">
        <v>5.8999999999999997E-2</v>
      </c>
      <c r="T14" s="1569">
        <v>5.8999999999999997E-2</v>
      </c>
    </row>
    <row r="15" spans="2:22" ht="3" customHeight="1" outlineLevel="1"/>
    <row r="16" spans="2:22" outlineLevel="1">
      <c r="B16" s="812" t="s">
        <v>1072</v>
      </c>
      <c r="C16" s="812">
        <f>($C$11*0.5*$I$5)+($C$11*(1-0.5*$I$5)*C14)</f>
        <v>9049.9500000000007</v>
      </c>
      <c r="D16" s="812">
        <f t="shared" ref="D16:M16" si="0">+($C$11*(1-0.5*$I$5)*D14)</f>
        <v>818.80500000000006</v>
      </c>
      <c r="E16" s="812">
        <f t="shared" si="0"/>
        <v>736.92450000000008</v>
      </c>
      <c r="F16" s="812">
        <f t="shared" si="0"/>
        <v>663.66300000000001</v>
      </c>
      <c r="G16" s="812">
        <f t="shared" si="0"/>
        <v>597.29669999999999</v>
      </c>
      <c r="H16" s="812">
        <f t="shared" si="0"/>
        <v>536.96370000000002</v>
      </c>
      <c r="I16" s="812">
        <f t="shared" si="0"/>
        <v>508.52099999999996</v>
      </c>
      <c r="J16" s="812">
        <f t="shared" si="0"/>
        <v>508.52099999999996</v>
      </c>
      <c r="K16" s="812">
        <f t="shared" si="0"/>
        <v>509.38290000000001</v>
      </c>
      <c r="L16" s="812">
        <f t="shared" si="0"/>
        <v>508.52099999999996</v>
      </c>
      <c r="M16" s="932">
        <f t="shared" si="0"/>
        <v>509.38290000000001</v>
      </c>
      <c r="N16" s="932">
        <f>+($C$11*(1-0.5*$I$5)*N14)</f>
        <v>508.52099999999996</v>
      </c>
      <c r="O16" s="932">
        <f>+($C$11*(1-0.5*$I$5)*O14)</f>
        <v>508.52099999999996</v>
      </c>
      <c r="P16" s="932">
        <f t="shared" ref="P16:T16" si="1">+($C$11*(1-0.5*$I$5)*P14)</f>
        <v>508.52099999999996</v>
      </c>
      <c r="Q16" s="932">
        <f t="shared" si="1"/>
        <v>508.52099999999996</v>
      </c>
      <c r="R16" s="932">
        <f t="shared" si="1"/>
        <v>508.52099999999996</v>
      </c>
      <c r="S16" s="932">
        <f t="shared" si="1"/>
        <v>508.52099999999996</v>
      </c>
      <c r="T16" s="932">
        <f t="shared" si="1"/>
        <v>508.52099999999996</v>
      </c>
    </row>
    <row r="17" spans="2:20" outlineLevel="1">
      <c r="B17" s="812" t="s">
        <v>1073</v>
      </c>
      <c r="C17" s="812">
        <f t="shared" ref="C17:J17" si="2">$C$11*C14</f>
        <v>861.90000000000009</v>
      </c>
      <c r="D17" s="812">
        <f t="shared" si="2"/>
        <v>1637.6100000000001</v>
      </c>
      <c r="E17" s="812">
        <f t="shared" si="2"/>
        <v>1473.8490000000002</v>
      </c>
      <c r="F17" s="812">
        <f t="shared" si="2"/>
        <v>1327.326</v>
      </c>
      <c r="G17" s="812">
        <f t="shared" si="2"/>
        <v>1194.5934</v>
      </c>
      <c r="H17" s="812">
        <f t="shared" si="2"/>
        <v>1073.9274</v>
      </c>
      <c r="I17" s="812">
        <f t="shared" si="2"/>
        <v>1017.0419999999999</v>
      </c>
      <c r="J17" s="812">
        <f t="shared" si="2"/>
        <v>1017.0419999999999</v>
      </c>
      <c r="K17" s="812">
        <f>$C$11*K14</f>
        <v>1018.7658</v>
      </c>
      <c r="L17" s="812">
        <f>$C$11*L14</f>
        <v>1017.0419999999999</v>
      </c>
      <c r="M17" s="932">
        <f>$C$11*M14</f>
        <v>1018.7658</v>
      </c>
      <c r="N17" s="932">
        <f>$C$11*N14</f>
        <v>1017.0419999999999</v>
      </c>
      <c r="O17" s="932">
        <f>$C$11*O14</f>
        <v>1017.0419999999999</v>
      </c>
      <c r="P17" s="932">
        <f t="shared" ref="P17:T17" si="3">$C$11*P14</f>
        <v>1017.0419999999999</v>
      </c>
      <c r="Q17" s="932">
        <f t="shared" si="3"/>
        <v>1017.0419999999999</v>
      </c>
      <c r="R17" s="932">
        <f t="shared" si="3"/>
        <v>1017.0419999999999</v>
      </c>
      <c r="S17" s="932">
        <f t="shared" si="3"/>
        <v>1017.0419999999999</v>
      </c>
      <c r="T17" s="932">
        <f t="shared" si="3"/>
        <v>1017.0419999999999</v>
      </c>
    </row>
    <row r="18" spans="2:20" ht="3" customHeight="1" outlineLevel="1"/>
    <row r="19" spans="2:20" outlineLevel="1">
      <c r="B19" s="812" t="s">
        <v>1074</v>
      </c>
      <c r="C19" s="812">
        <f t="shared" ref="C19:J19" si="4">C16-C17</f>
        <v>8188.0500000000011</v>
      </c>
      <c r="D19" s="812">
        <f t="shared" si="4"/>
        <v>-818.80500000000006</v>
      </c>
      <c r="E19" s="812">
        <f t="shared" si="4"/>
        <v>-736.92450000000008</v>
      </c>
      <c r="F19" s="812">
        <f t="shared" si="4"/>
        <v>-663.66300000000001</v>
      </c>
      <c r="G19" s="812">
        <f t="shared" si="4"/>
        <v>-597.29669999999999</v>
      </c>
      <c r="H19" s="812">
        <f t="shared" si="4"/>
        <v>-536.96370000000002</v>
      </c>
      <c r="I19" s="812">
        <f t="shared" si="4"/>
        <v>-508.52099999999996</v>
      </c>
      <c r="J19" s="812">
        <f t="shared" si="4"/>
        <v>-508.52099999999996</v>
      </c>
      <c r="K19" s="812">
        <f>K16-K17</f>
        <v>-509.38290000000001</v>
      </c>
      <c r="L19" s="812">
        <f>L16-L17</f>
        <v>-508.52099999999996</v>
      </c>
      <c r="M19" s="932">
        <f>M16-M17</f>
        <v>-509.38290000000001</v>
      </c>
      <c r="N19" s="932">
        <f>N16-N17</f>
        <v>-508.52099999999996</v>
      </c>
      <c r="O19" s="932">
        <f>O16-O17</f>
        <v>-508.52099999999996</v>
      </c>
      <c r="P19" s="932">
        <f t="shared" ref="P19:T19" si="5">P16-P17</f>
        <v>-508.52099999999996</v>
      </c>
      <c r="Q19" s="932">
        <f t="shared" si="5"/>
        <v>-508.52099999999996</v>
      </c>
      <c r="R19" s="932">
        <f t="shared" si="5"/>
        <v>-508.52099999999996</v>
      </c>
      <c r="S19" s="932">
        <f t="shared" si="5"/>
        <v>-508.52099999999996</v>
      </c>
      <c r="T19" s="932">
        <f t="shared" si="5"/>
        <v>-508.52099999999996</v>
      </c>
    </row>
    <row r="20" spans="2:20" outlineLevel="1">
      <c r="B20" s="812" t="s">
        <v>1075</v>
      </c>
      <c r="C20" s="919">
        <f t="shared" ref="C20:M20" si="6">C19*$I$6</f>
        <v>2865.8175000000001</v>
      </c>
      <c r="D20" s="812">
        <f t="shared" si="6"/>
        <v>-286.58175</v>
      </c>
      <c r="E20" s="812">
        <f t="shared" si="6"/>
        <v>-257.92357500000003</v>
      </c>
      <c r="F20" s="812">
        <f t="shared" si="6"/>
        <v>-232.28205</v>
      </c>
      <c r="G20" s="812">
        <f t="shared" si="6"/>
        <v>-209.053845</v>
      </c>
      <c r="H20" s="812">
        <f t="shared" si="6"/>
        <v>-187.93729500000001</v>
      </c>
      <c r="I20" s="812">
        <f t="shared" si="6"/>
        <v>-177.98234999999997</v>
      </c>
      <c r="J20" s="812">
        <f t="shared" si="6"/>
        <v>-177.98234999999997</v>
      </c>
      <c r="K20" s="812">
        <f t="shared" si="6"/>
        <v>-178.28401499999998</v>
      </c>
      <c r="L20" s="812">
        <f t="shared" si="6"/>
        <v>-177.98234999999997</v>
      </c>
      <c r="M20" s="932">
        <f t="shared" si="6"/>
        <v>-178.28401499999998</v>
      </c>
      <c r="N20" s="932">
        <f>N19*$I$6</f>
        <v>-177.98234999999997</v>
      </c>
      <c r="O20" s="932">
        <f>O19*$I$6</f>
        <v>-177.98234999999997</v>
      </c>
      <c r="P20" s="932">
        <f t="shared" ref="P20:T20" si="7">P19*$I$6</f>
        <v>-177.98234999999997</v>
      </c>
      <c r="Q20" s="932">
        <f t="shared" si="7"/>
        <v>-177.98234999999997</v>
      </c>
      <c r="R20" s="932">
        <f t="shared" si="7"/>
        <v>-177.98234999999997</v>
      </c>
      <c r="S20" s="932">
        <f t="shared" si="7"/>
        <v>-177.98234999999997</v>
      </c>
      <c r="T20" s="932">
        <f t="shared" si="7"/>
        <v>-177.98234999999997</v>
      </c>
    </row>
    <row r="21" spans="2:20" outlineLevel="1"/>
    <row r="22" spans="2:20" s="820" customFormat="1" outlineLevel="1">
      <c r="B22" s="918">
        <v>2009</v>
      </c>
      <c r="C22" s="826">
        <v>0</v>
      </c>
      <c r="D22" s="826">
        <v>1</v>
      </c>
      <c r="E22" s="826">
        <v>2</v>
      </c>
      <c r="F22" s="826">
        <v>3</v>
      </c>
      <c r="G22" s="826">
        <v>4</v>
      </c>
      <c r="H22" s="826">
        <v>5</v>
      </c>
      <c r="I22" s="826">
        <v>6</v>
      </c>
      <c r="J22" s="826">
        <v>7</v>
      </c>
      <c r="K22" s="826">
        <v>8</v>
      </c>
      <c r="L22" s="826">
        <v>9</v>
      </c>
      <c r="M22" s="1177">
        <v>10</v>
      </c>
      <c r="N22" s="1177">
        <v>11</v>
      </c>
      <c r="O22" s="1177">
        <v>11</v>
      </c>
      <c r="P22" s="1177">
        <v>11</v>
      </c>
      <c r="Q22" s="1177">
        <v>11</v>
      </c>
      <c r="R22" s="1177">
        <v>11</v>
      </c>
      <c r="S22" s="1177">
        <v>11</v>
      </c>
      <c r="T22" s="1177">
        <v>11</v>
      </c>
    </row>
    <row r="23" spans="2:20" outlineLevel="1">
      <c r="B23" s="812" t="s">
        <v>1071</v>
      </c>
      <c r="C23" s="1198">
        <v>0.05</v>
      </c>
      <c r="D23" s="1198">
        <v>9.5000000000000001E-2</v>
      </c>
      <c r="E23" s="1198">
        <v>8.5500000000000007E-2</v>
      </c>
      <c r="F23" s="1198">
        <v>7.6999999999999999E-2</v>
      </c>
      <c r="G23" s="1198">
        <v>6.93E-2</v>
      </c>
      <c r="H23" s="1198">
        <v>6.2300000000000001E-2</v>
      </c>
      <c r="I23" s="1198">
        <v>5.8999999999999997E-2</v>
      </c>
      <c r="J23" s="1198">
        <v>5.8999999999999997E-2</v>
      </c>
      <c r="K23" s="1198">
        <v>5.91E-2</v>
      </c>
      <c r="L23" s="1198">
        <v>5.8999999999999997E-2</v>
      </c>
      <c r="M23" s="1569">
        <v>5.91E-2</v>
      </c>
      <c r="N23" s="1569">
        <v>5.8999999999999997E-2</v>
      </c>
      <c r="O23" s="1569">
        <v>5.8999999999999997E-2</v>
      </c>
      <c r="P23" s="1569">
        <v>5.8999999999999997E-2</v>
      </c>
      <c r="Q23" s="1569">
        <v>5.8999999999999997E-2</v>
      </c>
      <c r="R23" s="1569">
        <v>5.8999999999999997E-2</v>
      </c>
      <c r="S23" s="1569">
        <v>5.8999999999999997E-2</v>
      </c>
      <c r="T23" s="1569">
        <v>5.8999999999999997E-2</v>
      </c>
    </row>
    <row r="24" spans="2:20" ht="3" customHeight="1" outlineLevel="1"/>
    <row r="25" spans="2:20" outlineLevel="1">
      <c r="B25" s="812" t="s">
        <v>1072</v>
      </c>
      <c r="C25" s="812">
        <f>($D$11*0.5*$I$5)+($D$11*(1-0.5*$I$5)*C23)</f>
        <v>8857.7999999999993</v>
      </c>
      <c r="D25" s="812">
        <f t="shared" ref="D25:M25" si="8">+($D$11*(1-0.5*$I$5)*D23)</f>
        <v>801.42</v>
      </c>
      <c r="E25" s="812">
        <f t="shared" si="8"/>
        <v>721.27800000000002</v>
      </c>
      <c r="F25" s="812">
        <f t="shared" si="8"/>
        <v>649.572</v>
      </c>
      <c r="G25" s="812">
        <f t="shared" si="8"/>
        <v>584.61480000000006</v>
      </c>
      <c r="H25" s="812">
        <f t="shared" si="8"/>
        <v>525.56280000000004</v>
      </c>
      <c r="I25" s="812">
        <f t="shared" si="8"/>
        <v>497.72399999999999</v>
      </c>
      <c r="J25" s="812">
        <f t="shared" si="8"/>
        <v>497.72399999999999</v>
      </c>
      <c r="K25" s="812">
        <f t="shared" si="8"/>
        <v>498.56759999999997</v>
      </c>
      <c r="L25" s="812">
        <f t="shared" si="8"/>
        <v>497.72399999999999</v>
      </c>
      <c r="M25" s="932">
        <f t="shared" si="8"/>
        <v>498.56759999999997</v>
      </c>
      <c r="N25" s="932">
        <f>+($D$11*(1-0.5*$I$5)*N23)</f>
        <v>497.72399999999999</v>
      </c>
      <c r="O25" s="932">
        <f>+($D$11*(1-0.5*$I$5)*O23)</f>
        <v>497.72399999999999</v>
      </c>
      <c r="P25" s="932">
        <f t="shared" ref="P25:T25" si="9">+($D$11*(1-0.5*$I$5)*P23)</f>
        <v>497.72399999999999</v>
      </c>
      <c r="Q25" s="932">
        <f t="shared" si="9"/>
        <v>497.72399999999999</v>
      </c>
      <c r="R25" s="932">
        <f t="shared" si="9"/>
        <v>497.72399999999999</v>
      </c>
      <c r="S25" s="932">
        <f t="shared" si="9"/>
        <v>497.72399999999999</v>
      </c>
      <c r="T25" s="932">
        <f t="shared" si="9"/>
        <v>497.72399999999999</v>
      </c>
    </row>
    <row r="26" spans="2:20" outlineLevel="1">
      <c r="B26" s="812" t="s">
        <v>1073</v>
      </c>
      <c r="C26" s="812">
        <f t="shared" ref="C26:J26" si="10">$D$11*C23</f>
        <v>843.6</v>
      </c>
      <c r="D26" s="812">
        <f t="shared" si="10"/>
        <v>1602.84</v>
      </c>
      <c r="E26" s="812">
        <f t="shared" si="10"/>
        <v>1442.556</v>
      </c>
      <c r="F26" s="812">
        <f t="shared" si="10"/>
        <v>1299.144</v>
      </c>
      <c r="G26" s="812">
        <f t="shared" si="10"/>
        <v>1169.2296000000001</v>
      </c>
      <c r="H26" s="812">
        <f t="shared" si="10"/>
        <v>1051.1256000000001</v>
      </c>
      <c r="I26" s="812">
        <f t="shared" si="10"/>
        <v>995.44799999999998</v>
      </c>
      <c r="J26" s="812">
        <f t="shared" si="10"/>
        <v>995.44799999999998</v>
      </c>
      <c r="K26" s="812">
        <f>$D$11*K23</f>
        <v>997.13519999999994</v>
      </c>
      <c r="L26" s="812">
        <f>$D$11*L23</f>
        <v>995.44799999999998</v>
      </c>
      <c r="M26" s="932">
        <f>$D$11*M23</f>
        <v>997.13519999999994</v>
      </c>
      <c r="N26" s="932">
        <f>$D$11*N23</f>
        <v>995.44799999999998</v>
      </c>
      <c r="O26" s="932">
        <f>$D$11*O23</f>
        <v>995.44799999999998</v>
      </c>
      <c r="P26" s="932">
        <f t="shared" ref="P26:T26" si="11">$D$11*P23</f>
        <v>995.44799999999998</v>
      </c>
      <c r="Q26" s="932">
        <f t="shared" si="11"/>
        <v>995.44799999999998</v>
      </c>
      <c r="R26" s="932">
        <f t="shared" si="11"/>
        <v>995.44799999999998</v>
      </c>
      <c r="S26" s="932">
        <f t="shared" si="11"/>
        <v>995.44799999999998</v>
      </c>
      <c r="T26" s="932">
        <f t="shared" si="11"/>
        <v>995.44799999999998</v>
      </c>
    </row>
    <row r="27" spans="2:20" ht="3" customHeight="1" outlineLevel="1"/>
    <row r="28" spans="2:20" outlineLevel="1">
      <c r="B28" s="812" t="s">
        <v>1074</v>
      </c>
      <c r="C28" s="812">
        <f t="shared" ref="C28:J28" si="12">C25-C26</f>
        <v>8014.1999999999989</v>
      </c>
      <c r="D28" s="812">
        <f t="shared" si="12"/>
        <v>-801.42</v>
      </c>
      <c r="E28" s="812">
        <f t="shared" si="12"/>
        <v>-721.27800000000002</v>
      </c>
      <c r="F28" s="812">
        <f t="shared" si="12"/>
        <v>-649.572</v>
      </c>
      <c r="G28" s="812">
        <f t="shared" si="12"/>
        <v>-584.61480000000006</v>
      </c>
      <c r="H28" s="812">
        <f t="shared" si="12"/>
        <v>-525.56280000000004</v>
      </c>
      <c r="I28" s="812">
        <f t="shared" si="12"/>
        <v>-497.72399999999999</v>
      </c>
      <c r="J28" s="812">
        <f t="shared" si="12"/>
        <v>-497.72399999999999</v>
      </c>
      <c r="K28" s="812">
        <f>K25-K26</f>
        <v>-498.56759999999997</v>
      </c>
      <c r="L28" s="812">
        <f>L25-L26</f>
        <v>-497.72399999999999</v>
      </c>
      <c r="M28" s="932">
        <f>M25-M26</f>
        <v>-498.56759999999997</v>
      </c>
      <c r="N28" s="932">
        <f>N25-N26</f>
        <v>-497.72399999999999</v>
      </c>
      <c r="O28" s="932">
        <f>O25-O26</f>
        <v>-497.72399999999999</v>
      </c>
      <c r="P28" s="932">
        <f t="shared" ref="P28:T28" si="13">P25-P26</f>
        <v>-497.72399999999999</v>
      </c>
      <c r="Q28" s="932">
        <f t="shared" si="13"/>
        <v>-497.72399999999999</v>
      </c>
      <c r="R28" s="932">
        <f t="shared" si="13"/>
        <v>-497.72399999999999</v>
      </c>
      <c r="S28" s="932">
        <f t="shared" si="13"/>
        <v>-497.72399999999999</v>
      </c>
      <c r="T28" s="932">
        <f t="shared" si="13"/>
        <v>-497.72399999999999</v>
      </c>
    </row>
    <row r="29" spans="2:20" outlineLevel="1">
      <c r="B29" s="812" t="s">
        <v>1075</v>
      </c>
      <c r="C29" s="919">
        <f t="shared" ref="C29:M29" si="14">C28*$I$6</f>
        <v>2804.9699999999993</v>
      </c>
      <c r="D29" s="812">
        <f t="shared" si="14"/>
        <v>-280.49699999999996</v>
      </c>
      <c r="E29" s="812">
        <f t="shared" si="14"/>
        <v>-252.44729999999998</v>
      </c>
      <c r="F29" s="812">
        <f t="shared" si="14"/>
        <v>-227.35019999999997</v>
      </c>
      <c r="G29" s="812">
        <f t="shared" si="14"/>
        <v>-204.61518000000001</v>
      </c>
      <c r="H29" s="812">
        <f t="shared" si="14"/>
        <v>-183.94698</v>
      </c>
      <c r="I29" s="812">
        <f t="shared" si="14"/>
        <v>-174.20339999999999</v>
      </c>
      <c r="J29" s="812">
        <f t="shared" si="14"/>
        <v>-174.20339999999999</v>
      </c>
      <c r="K29" s="812">
        <f t="shared" si="14"/>
        <v>-174.49865999999997</v>
      </c>
      <c r="L29" s="812">
        <f t="shared" si="14"/>
        <v>-174.20339999999999</v>
      </c>
      <c r="M29" s="932">
        <f t="shared" si="14"/>
        <v>-174.49865999999997</v>
      </c>
      <c r="N29" s="932">
        <f>N28*$I$6</f>
        <v>-174.20339999999999</v>
      </c>
      <c r="O29" s="932">
        <f>O28*$I$6</f>
        <v>-174.20339999999999</v>
      </c>
      <c r="P29" s="932">
        <f t="shared" ref="P29:T29" si="15">P28*$I$6</f>
        <v>-174.20339999999999</v>
      </c>
      <c r="Q29" s="932">
        <f t="shared" si="15"/>
        <v>-174.20339999999999</v>
      </c>
      <c r="R29" s="932">
        <f t="shared" si="15"/>
        <v>-174.20339999999999</v>
      </c>
      <c r="S29" s="932">
        <f t="shared" si="15"/>
        <v>-174.20339999999999</v>
      </c>
      <c r="T29" s="932">
        <f t="shared" si="15"/>
        <v>-174.20339999999999</v>
      </c>
    </row>
    <row r="30" spans="2:20" outlineLevel="1"/>
    <row r="31" spans="2:20" s="820" customFormat="1" outlineLevel="1">
      <c r="B31" s="918">
        <v>2010</v>
      </c>
      <c r="C31" s="826">
        <v>0</v>
      </c>
      <c r="D31" s="826">
        <v>1</v>
      </c>
      <c r="E31" s="826">
        <v>2</v>
      </c>
      <c r="F31" s="826">
        <v>3</v>
      </c>
      <c r="G31" s="826">
        <v>4</v>
      </c>
      <c r="H31" s="826">
        <v>5</v>
      </c>
      <c r="I31" s="826">
        <v>6</v>
      </c>
      <c r="J31" s="826">
        <v>7</v>
      </c>
      <c r="K31" s="826">
        <v>8</v>
      </c>
      <c r="L31" s="826">
        <v>9</v>
      </c>
      <c r="M31" s="1177">
        <v>10</v>
      </c>
      <c r="N31" s="1177">
        <v>11</v>
      </c>
      <c r="O31" s="1177">
        <v>11</v>
      </c>
      <c r="P31" s="1177">
        <v>11</v>
      </c>
      <c r="Q31" s="1177">
        <v>11</v>
      </c>
      <c r="R31" s="1177">
        <v>11</v>
      </c>
      <c r="S31" s="1177">
        <v>11</v>
      </c>
      <c r="T31" s="1177">
        <v>11</v>
      </c>
    </row>
    <row r="32" spans="2:20" outlineLevel="1">
      <c r="B32" s="812" t="s">
        <v>1071</v>
      </c>
      <c r="C32" s="1198">
        <v>0.05</v>
      </c>
      <c r="D32" s="1198">
        <v>9.5000000000000001E-2</v>
      </c>
      <c r="E32" s="1198">
        <v>8.5500000000000007E-2</v>
      </c>
      <c r="F32" s="1198">
        <v>7.6999999999999999E-2</v>
      </c>
      <c r="G32" s="1198">
        <v>6.93E-2</v>
      </c>
      <c r="H32" s="1198">
        <v>6.2300000000000001E-2</v>
      </c>
      <c r="I32" s="1198">
        <v>5.8999999999999997E-2</v>
      </c>
      <c r="J32" s="1198">
        <v>5.8999999999999997E-2</v>
      </c>
      <c r="K32" s="1198">
        <v>5.91E-2</v>
      </c>
      <c r="L32" s="1198">
        <v>5.8999999999999997E-2</v>
      </c>
      <c r="M32" s="1569">
        <v>5.91E-2</v>
      </c>
      <c r="N32" s="1569">
        <v>5.8999999999999997E-2</v>
      </c>
      <c r="O32" s="1569">
        <v>5.8999999999999997E-2</v>
      </c>
      <c r="P32" s="1569">
        <v>5.8999999999999997E-2</v>
      </c>
      <c r="Q32" s="1569">
        <v>5.8999999999999997E-2</v>
      </c>
      <c r="R32" s="1569">
        <v>5.8999999999999997E-2</v>
      </c>
      <c r="S32" s="1569">
        <v>5.8999999999999997E-2</v>
      </c>
      <c r="T32" s="1569">
        <v>5.8999999999999997E-2</v>
      </c>
    </row>
    <row r="33" spans="2:20" ht="3" customHeight="1" outlineLevel="1"/>
    <row r="34" spans="2:20" outlineLevel="1">
      <c r="B34" s="812" t="s">
        <v>1072</v>
      </c>
      <c r="C34" s="921">
        <f>(($E$11-Capex!$CS$145)*0.5*$I$5)+($E$11*(1-0.5*$I$5)*C32)+(Capex!$CS$145*$I$5)</f>
        <v>10997.45</v>
      </c>
      <c r="D34" s="812">
        <f t="shared" ref="D34:M34" si="16">+($E$11*(1-0.5*$I$5)*D32)</f>
        <v>781.755</v>
      </c>
      <c r="E34" s="812">
        <f t="shared" si="16"/>
        <v>703.57950000000005</v>
      </c>
      <c r="F34" s="812">
        <f t="shared" si="16"/>
        <v>633.63300000000004</v>
      </c>
      <c r="G34" s="812">
        <f t="shared" si="16"/>
        <v>570.26970000000006</v>
      </c>
      <c r="H34" s="812">
        <f t="shared" si="16"/>
        <v>512.66669999999999</v>
      </c>
      <c r="I34" s="812">
        <f t="shared" si="16"/>
        <v>485.51099999999997</v>
      </c>
      <c r="J34" s="812">
        <f t="shared" si="16"/>
        <v>485.51099999999997</v>
      </c>
      <c r="K34" s="812">
        <f t="shared" si="16"/>
        <v>486.33389999999997</v>
      </c>
      <c r="L34" s="812">
        <f t="shared" si="16"/>
        <v>485.51099999999997</v>
      </c>
      <c r="M34" s="932">
        <f t="shared" si="16"/>
        <v>486.33389999999997</v>
      </c>
      <c r="N34" s="932">
        <f>+($E$11*(1-0.5*$I$5)*N32)</f>
        <v>485.51099999999997</v>
      </c>
      <c r="O34" s="932">
        <f>+($E$11*(1-0.5*$I$5)*O32)</f>
        <v>485.51099999999997</v>
      </c>
      <c r="P34" s="932">
        <f t="shared" ref="P34:T34" si="17">+($E$11*(1-0.5*$I$5)*P32)</f>
        <v>485.51099999999997</v>
      </c>
      <c r="Q34" s="932">
        <f t="shared" si="17"/>
        <v>485.51099999999997</v>
      </c>
      <c r="R34" s="932">
        <f t="shared" si="17"/>
        <v>485.51099999999997</v>
      </c>
      <c r="S34" s="932">
        <f t="shared" si="17"/>
        <v>485.51099999999997</v>
      </c>
      <c r="T34" s="932">
        <f t="shared" si="17"/>
        <v>485.51099999999997</v>
      </c>
    </row>
    <row r="35" spans="2:20" outlineLevel="1">
      <c r="B35" s="812" t="s">
        <v>1073</v>
      </c>
      <c r="C35" s="812">
        <f t="shared" ref="C35:J35" si="18">$E$11*C32</f>
        <v>822.90000000000009</v>
      </c>
      <c r="D35" s="812">
        <f t="shared" si="18"/>
        <v>1563.51</v>
      </c>
      <c r="E35" s="812">
        <f t="shared" si="18"/>
        <v>1407.1590000000001</v>
      </c>
      <c r="F35" s="812">
        <f t="shared" si="18"/>
        <v>1267.2660000000001</v>
      </c>
      <c r="G35" s="812">
        <f t="shared" si="18"/>
        <v>1140.5394000000001</v>
      </c>
      <c r="H35" s="812">
        <f t="shared" si="18"/>
        <v>1025.3334</v>
      </c>
      <c r="I35" s="812">
        <f t="shared" si="18"/>
        <v>971.02199999999993</v>
      </c>
      <c r="J35" s="812">
        <f t="shared" si="18"/>
        <v>971.02199999999993</v>
      </c>
      <c r="K35" s="812">
        <f>$E$11*K32</f>
        <v>972.66779999999994</v>
      </c>
      <c r="L35" s="812">
        <f>$E$11*L32</f>
        <v>971.02199999999993</v>
      </c>
      <c r="M35" s="932">
        <f>$E$11*M32</f>
        <v>972.66779999999994</v>
      </c>
      <c r="N35" s="932">
        <f>$E$11*N32</f>
        <v>971.02199999999993</v>
      </c>
      <c r="O35" s="932">
        <f>$E$11*O32</f>
        <v>971.02199999999993</v>
      </c>
      <c r="P35" s="932">
        <f t="shared" ref="P35:T35" si="19">$E$11*P32</f>
        <v>971.02199999999993</v>
      </c>
      <c r="Q35" s="932">
        <f t="shared" si="19"/>
        <v>971.02199999999993</v>
      </c>
      <c r="R35" s="932">
        <f t="shared" si="19"/>
        <v>971.02199999999993</v>
      </c>
      <c r="S35" s="932">
        <f t="shared" si="19"/>
        <v>971.02199999999993</v>
      </c>
      <c r="T35" s="932">
        <f t="shared" si="19"/>
        <v>971.02199999999993</v>
      </c>
    </row>
    <row r="36" spans="2:20" ht="3" customHeight="1" outlineLevel="1"/>
    <row r="37" spans="2:20" outlineLevel="1">
      <c r="B37" s="812" t="s">
        <v>1074</v>
      </c>
      <c r="C37" s="812">
        <f t="shared" ref="C37:J37" si="20">C34-C35</f>
        <v>10174.550000000001</v>
      </c>
      <c r="D37" s="812">
        <f t="shared" si="20"/>
        <v>-781.755</v>
      </c>
      <c r="E37" s="812">
        <f t="shared" si="20"/>
        <v>-703.57950000000005</v>
      </c>
      <c r="F37" s="812">
        <f t="shared" si="20"/>
        <v>-633.63300000000004</v>
      </c>
      <c r="G37" s="812">
        <f t="shared" si="20"/>
        <v>-570.26970000000006</v>
      </c>
      <c r="H37" s="812">
        <f t="shared" si="20"/>
        <v>-512.66669999999999</v>
      </c>
      <c r="I37" s="812">
        <f t="shared" si="20"/>
        <v>-485.51099999999997</v>
      </c>
      <c r="J37" s="812">
        <f t="shared" si="20"/>
        <v>-485.51099999999997</v>
      </c>
      <c r="K37" s="812">
        <f>K34-K35</f>
        <v>-486.33389999999997</v>
      </c>
      <c r="L37" s="812">
        <f>L34-L35</f>
        <v>-485.51099999999997</v>
      </c>
      <c r="M37" s="932">
        <f>M34-M35</f>
        <v>-486.33389999999997</v>
      </c>
      <c r="N37" s="932">
        <f>N34-N35</f>
        <v>-485.51099999999997</v>
      </c>
      <c r="O37" s="932">
        <f>O34-O35</f>
        <v>-485.51099999999997</v>
      </c>
      <c r="P37" s="932">
        <f t="shared" ref="P37:T37" si="21">P34-P35</f>
        <v>-485.51099999999997</v>
      </c>
      <c r="Q37" s="932">
        <f t="shared" si="21"/>
        <v>-485.51099999999997</v>
      </c>
      <c r="R37" s="932">
        <f t="shared" si="21"/>
        <v>-485.51099999999997</v>
      </c>
      <c r="S37" s="932">
        <f t="shared" si="21"/>
        <v>-485.51099999999997</v>
      </c>
      <c r="T37" s="932">
        <f t="shared" si="21"/>
        <v>-485.51099999999997</v>
      </c>
    </row>
    <row r="38" spans="2:20" outlineLevel="1">
      <c r="B38" s="812" t="s">
        <v>1075</v>
      </c>
      <c r="C38" s="919">
        <f t="shared" ref="C38:M38" si="22">C37*$I$6</f>
        <v>3561.0925000000002</v>
      </c>
      <c r="D38" s="812">
        <f t="shared" si="22"/>
        <v>-273.61424999999997</v>
      </c>
      <c r="E38" s="812">
        <f t="shared" si="22"/>
        <v>-246.252825</v>
      </c>
      <c r="F38" s="812">
        <f t="shared" si="22"/>
        <v>-221.77154999999999</v>
      </c>
      <c r="G38" s="812">
        <f t="shared" si="22"/>
        <v>-199.59439500000002</v>
      </c>
      <c r="H38" s="812">
        <f t="shared" si="22"/>
        <v>-179.43334499999997</v>
      </c>
      <c r="I38" s="812">
        <f t="shared" si="22"/>
        <v>-169.92884999999998</v>
      </c>
      <c r="J38" s="812">
        <f t="shared" si="22"/>
        <v>-169.92884999999998</v>
      </c>
      <c r="K38" s="812">
        <f t="shared" si="22"/>
        <v>-170.21686499999998</v>
      </c>
      <c r="L38" s="812">
        <f t="shared" si="22"/>
        <v>-169.92884999999998</v>
      </c>
      <c r="M38" s="932">
        <f t="shared" si="22"/>
        <v>-170.21686499999998</v>
      </c>
      <c r="N38" s="932">
        <f>N37*$I$6</f>
        <v>-169.92884999999998</v>
      </c>
      <c r="O38" s="932">
        <f>O37*$I$6</f>
        <v>-169.92884999999998</v>
      </c>
      <c r="P38" s="932">
        <f t="shared" ref="P38:T38" si="23">P37*$I$6</f>
        <v>-169.92884999999998</v>
      </c>
      <c r="Q38" s="932">
        <f t="shared" si="23"/>
        <v>-169.92884999999998</v>
      </c>
      <c r="R38" s="932">
        <f t="shared" si="23"/>
        <v>-169.92884999999998</v>
      </c>
      <c r="S38" s="932">
        <f t="shared" si="23"/>
        <v>-169.92884999999998</v>
      </c>
      <c r="T38" s="932">
        <f t="shared" si="23"/>
        <v>-169.92884999999998</v>
      </c>
    </row>
    <row r="39" spans="2:20" outlineLevel="1"/>
    <row r="40" spans="2:20" s="820" customFormat="1" outlineLevel="1">
      <c r="B40" s="918">
        <v>2011</v>
      </c>
      <c r="C40" s="826">
        <v>0</v>
      </c>
      <c r="D40" s="826">
        <v>1</v>
      </c>
      <c r="E40" s="826">
        <v>2</v>
      </c>
      <c r="F40" s="826">
        <v>3</v>
      </c>
      <c r="G40" s="826">
        <v>4</v>
      </c>
      <c r="H40" s="826">
        <v>5</v>
      </c>
      <c r="I40" s="826">
        <v>6</v>
      </c>
      <c r="J40" s="826">
        <v>7</v>
      </c>
      <c r="K40" s="826">
        <v>8</v>
      </c>
      <c r="L40" s="826">
        <v>9</v>
      </c>
      <c r="M40" s="1177">
        <v>10</v>
      </c>
      <c r="N40" s="1177">
        <v>11</v>
      </c>
      <c r="O40" s="1177">
        <v>11</v>
      </c>
      <c r="P40" s="1177">
        <v>11</v>
      </c>
      <c r="Q40" s="1177">
        <v>11</v>
      </c>
      <c r="R40" s="1177">
        <v>11</v>
      </c>
      <c r="S40" s="1177">
        <v>11</v>
      </c>
      <c r="T40" s="1177">
        <v>11</v>
      </c>
    </row>
    <row r="41" spans="2:20" outlineLevel="1">
      <c r="B41" s="812" t="s">
        <v>1071</v>
      </c>
      <c r="C41" s="1198">
        <v>0.05</v>
      </c>
      <c r="D41" s="1198">
        <v>9.5000000000000001E-2</v>
      </c>
      <c r="E41" s="1198">
        <v>8.5500000000000007E-2</v>
      </c>
      <c r="F41" s="1198">
        <v>7.6999999999999999E-2</v>
      </c>
      <c r="G41" s="1198">
        <v>6.93E-2</v>
      </c>
      <c r="H41" s="1198">
        <v>6.2300000000000001E-2</v>
      </c>
      <c r="I41" s="1198">
        <v>5.8999999999999997E-2</v>
      </c>
      <c r="J41" s="1198">
        <v>5.8999999999999997E-2</v>
      </c>
      <c r="K41" s="1198">
        <v>5.91E-2</v>
      </c>
      <c r="L41" s="1198">
        <v>5.8999999999999997E-2</v>
      </c>
      <c r="M41" s="1569">
        <v>5.91E-2</v>
      </c>
      <c r="N41" s="1569">
        <v>5.8999999999999997E-2</v>
      </c>
      <c r="O41" s="1569">
        <v>5.8999999999999997E-2</v>
      </c>
      <c r="P41" s="1569">
        <v>5.8999999999999997E-2</v>
      </c>
      <c r="Q41" s="1569">
        <v>5.8999999999999997E-2</v>
      </c>
      <c r="R41" s="1569">
        <v>5.8999999999999997E-2</v>
      </c>
      <c r="S41" s="1569">
        <v>5.8999999999999997E-2</v>
      </c>
      <c r="T41" s="1569">
        <v>5.8999999999999997E-2</v>
      </c>
    </row>
    <row r="42" spans="2:20" ht="3" customHeight="1" outlineLevel="1"/>
    <row r="43" spans="2:20" outlineLevel="1">
      <c r="B43" s="920" t="s">
        <v>1076</v>
      </c>
      <c r="C43" s="812">
        <f>($F$11*$I$5)+($F$11*(1-$I$5)*C41)</f>
        <v>16244</v>
      </c>
      <c r="D43" s="812">
        <f t="shared" ref="D43:M43" si="24">+($F$11*(1-$I$5)*D41)</f>
        <v>0</v>
      </c>
      <c r="E43" s="812">
        <f t="shared" si="24"/>
        <v>0</v>
      </c>
      <c r="F43" s="812">
        <f t="shared" si="24"/>
        <v>0</v>
      </c>
      <c r="G43" s="812">
        <f t="shared" si="24"/>
        <v>0</v>
      </c>
      <c r="H43" s="812">
        <f t="shared" si="24"/>
        <v>0</v>
      </c>
      <c r="I43" s="812">
        <f t="shared" si="24"/>
        <v>0</v>
      </c>
      <c r="J43" s="812">
        <f t="shared" si="24"/>
        <v>0</v>
      </c>
      <c r="K43" s="812">
        <f t="shared" si="24"/>
        <v>0</v>
      </c>
      <c r="L43" s="812">
        <f t="shared" si="24"/>
        <v>0</v>
      </c>
      <c r="M43" s="932">
        <f t="shared" si="24"/>
        <v>0</v>
      </c>
      <c r="N43" s="932">
        <f>+($F$11*(1-$I$5)*N41)</f>
        <v>0</v>
      </c>
      <c r="O43" s="932">
        <f>+($F$11*(1-$I$5)*O41)</f>
        <v>0</v>
      </c>
      <c r="P43" s="932">
        <f t="shared" ref="P43:T43" si="25">+($F$11*(1-$I$5)*P41)</f>
        <v>0</v>
      </c>
      <c r="Q43" s="932">
        <f t="shared" si="25"/>
        <v>0</v>
      </c>
      <c r="R43" s="932">
        <f t="shared" si="25"/>
        <v>0</v>
      </c>
      <c r="S43" s="932">
        <f t="shared" si="25"/>
        <v>0</v>
      </c>
      <c r="T43" s="932">
        <f t="shared" si="25"/>
        <v>0</v>
      </c>
    </row>
    <row r="44" spans="2:20" outlineLevel="1">
      <c r="B44" s="812" t="s">
        <v>1073</v>
      </c>
      <c r="C44" s="812">
        <f t="shared" ref="C44:J44" si="26">$F$11*C41</f>
        <v>812.2</v>
      </c>
      <c r="D44" s="812">
        <f t="shared" si="26"/>
        <v>1543.18</v>
      </c>
      <c r="E44" s="812">
        <f t="shared" si="26"/>
        <v>1388.8620000000001</v>
      </c>
      <c r="F44" s="812">
        <f t="shared" si="26"/>
        <v>1250.788</v>
      </c>
      <c r="G44" s="812">
        <f t="shared" si="26"/>
        <v>1125.7092</v>
      </c>
      <c r="H44" s="812">
        <f t="shared" si="26"/>
        <v>1012.0012</v>
      </c>
      <c r="I44" s="812">
        <f t="shared" si="26"/>
        <v>958.39599999999996</v>
      </c>
      <c r="J44" s="812">
        <f t="shared" si="26"/>
        <v>958.39599999999996</v>
      </c>
      <c r="K44" s="812">
        <f>$F$11*K41</f>
        <v>960.0204</v>
      </c>
      <c r="L44" s="812">
        <f>$F$11*L41</f>
        <v>958.39599999999996</v>
      </c>
      <c r="M44" s="932">
        <f>$F$11*M41</f>
        <v>960.0204</v>
      </c>
      <c r="N44" s="932">
        <f>$F$11*N41</f>
        <v>958.39599999999996</v>
      </c>
      <c r="O44" s="932">
        <f>$F$11*O41</f>
        <v>958.39599999999996</v>
      </c>
      <c r="P44" s="932">
        <f t="shared" ref="P44:T44" si="27">$F$11*P41</f>
        <v>958.39599999999996</v>
      </c>
      <c r="Q44" s="932">
        <f t="shared" si="27"/>
        <v>958.39599999999996</v>
      </c>
      <c r="R44" s="932">
        <f t="shared" si="27"/>
        <v>958.39599999999996</v>
      </c>
      <c r="S44" s="932">
        <f t="shared" si="27"/>
        <v>958.39599999999996</v>
      </c>
      <c r="T44" s="932">
        <f t="shared" si="27"/>
        <v>958.39599999999996</v>
      </c>
    </row>
    <row r="45" spans="2:20" ht="3" customHeight="1" outlineLevel="1"/>
    <row r="46" spans="2:20" outlineLevel="1">
      <c r="B46" s="812" t="s">
        <v>1074</v>
      </c>
      <c r="C46" s="812">
        <f t="shared" ref="C46:J46" si="28">C43-C44</f>
        <v>15431.8</v>
      </c>
      <c r="D46" s="812">
        <f t="shared" si="28"/>
        <v>-1543.18</v>
      </c>
      <c r="E46" s="812">
        <f t="shared" si="28"/>
        <v>-1388.8620000000001</v>
      </c>
      <c r="F46" s="812">
        <f t="shared" si="28"/>
        <v>-1250.788</v>
      </c>
      <c r="G46" s="812">
        <f t="shared" si="28"/>
        <v>-1125.7092</v>
      </c>
      <c r="H46" s="812">
        <f t="shared" si="28"/>
        <v>-1012.0012</v>
      </c>
      <c r="I46" s="812">
        <f t="shared" si="28"/>
        <v>-958.39599999999996</v>
      </c>
      <c r="J46" s="812">
        <f t="shared" si="28"/>
        <v>-958.39599999999996</v>
      </c>
      <c r="K46" s="812">
        <f>K43-K44</f>
        <v>-960.0204</v>
      </c>
      <c r="L46" s="812">
        <f>L43-L44</f>
        <v>-958.39599999999996</v>
      </c>
      <c r="M46" s="932">
        <f>M43-M44</f>
        <v>-960.0204</v>
      </c>
      <c r="N46" s="932">
        <f>N43-N44</f>
        <v>-958.39599999999996</v>
      </c>
      <c r="O46" s="932">
        <f>O43-O44</f>
        <v>-958.39599999999996</v>
      </c>
      <c r="P46" s="932">
        <f t="shared" ref="P46:T46" si="29">P43-P44</f>
        <v>-958.39599999999996</v>
      </c>
      <c r="Q46" s="932">
        <f t="shared" si="29"/>
        <v>-958.39599999999996</v>
      </c>
      <c r="R46" s="932">
        <f t="shared" si="29"/>
        <v>-958.39599999999996</v>
      </c>
      <c r="S46" s="932">
        <f t="shared" si="29"/>
        <v>-958.39599999999996</v>
      </c>
      <c r="T46" s="932">
        <f t="shared" si="29"/>
        <v>-958.39599999999996</v>
      </c>
    </row>
    <row r="47" spans="2:20" outlineLevel="1">
      <c r="B47" s="812" t="s">
        <v>1075</v>
      </c>
      <c r="C47" s="919">
        <f t="shared" ref="C47:M47" si="30">C46*$I$6</f>
        <v>5401.1299999999992</v>
      </c>
      <c r="D47" s="812">
        <f t="shared" si="30"/>
        <v>-540.11299999999994</v>
      </c>
      <c r="E47" s="812">
        <f t="shared" si="30"/>
        <v>-486.10169999999999</v>
      </c>
      <c r="F47" s="812">
        <f t="shared" si="30"/>
        <v>-437.7758</v>
      </c>
      <c r="G47" s="812">
        <f t="shared" si="30"/>
        <v>-393.99822</v>
      </c>
      <c r="H47" s="812">
        <f t="shared" si="30"/>
        <v>-354.20042000000001</v>
      </c>
      <c r="I47" s="812">
        <f t="shared" si="30"/>
        <v>-335.43859999999995</v>
      </c>
      <c r="J47" s="812">
        <f t="shared" si="30"/>
        <v>-335.43859999999995</v>
      </c>
      <c r="K47" s="812">
        <f t="shared" si="30"/>
        <v>-336.00713999999999</v>
      </c>
      <c r="L47" s="812">
        <f t="shared" si="30"/>
        <v>-335.43859999999995</v>
      </c>
      <c r="M47" s="932">
        <f t="shared" si="30"/>
        <v>-336.00713999999999</v>
      </c>
      <c r="N47" s="932">
        <f>N46*$I$6</f>
        <v>-335.43859999999995</v>
      </c>
      <c r="O47" s="932">
        <f>O46*$I$6</f>
        <v>-335.43859999999995</v>
      </c>
      <c r="P47" s="932">
        <f t="shared" ref="P47:T47" si="31">P46*$I$6</f>
        <v>-335.43859999999995</v>
      </c>
      <c r="Q47" s="932">
        <f t="shared" si="31"/>
        <v>-335.43859999999995</v>
      </c>
      <c r="R47" s="932">
        <f t="shared" si="31"/>
        <v>-335.43859999999995</v>
      </c>
      <c r="S47" s="932">
        <f t="shared" si="31"/>
        <v>-335.43859999999995</v>
      </c>
      <c r="T47" s="932">
        <f t="shared" si="31"/>
        <v>-335.43859999999995</v>
      </c>
    </row>
    <row r="48" spans="2:20" outlineLevel="1"/>
    <row r="49" spans="2:20" s="820" customFormat="1" outlineLevel="1">
      <c r="B49" s="918">
        <v>2012</v>
      </c>
      <c r="C49" s="826">
        <v>0</v>
      </c>
      <c r="D49" s="826">
        <v>1</v>
      </c>
      <c r="E49" s="826">
        <v>2</v>
      </c>
      <c r="F49" s="826">
        <v>3</v>
      </c>
      <c r="G49" s="826">
        <v>4</v>
      </c>
      <c r="H49" s="826">
        <v>5</v>
      </c>
      <c r="I49" s="826">
        <v>6</v>
      </c>
      <c r="J49" s="826">
        <v>7</v>
      </c>
      <c r="K49" s="826">
        <v>8</v>
      </c>
      <c r="L49" s="826">
        <v>9</v>
      </c>
      <c r="M49" s="1177">
        <v>10</v>
      </c>
      <c r="N49" s="1177">
        <v>11</v>
      </c>
      <c r="O49" s="1177">
        <v>11</v>
      </c>
      <c r="P49" s="1177">
        <v>11</v>
      </c>
      <c r="Q49" s="1177">
        <v>11</v>
      </c>
      <c r="R49" s="1177">
        <v>11</v>
      </c>
      <c r="S49" s="1177">
        <v>11</v>
      </c>
      <c r="T49" s="1177">
        <v>11</v>
      </c>
    </row>
    <row r="50" spans="2:20" outlineLevel="1">
      <c r="B50" s="812" t="s">
        <v>1071</v>
      </c>
      <c r="C50" s="1198">
        <v>0.05</v>
      </c>
      <c r="D50" s="1198">
        <v>9.5000000000000001E-2</v>
      </c>
      <c r="E50" s="1198">
        <v>8.5500000000000007E-2</v>
      </c>
      <c r="F50" s="1198">
        <v>7.6999999999999999E-2</v>
      </c>
      <c r="G50" s="1198">
        <v>6.93E-2</v>
      </c>
      <c r="H50" s="1198">
        <v>6.2300000000000001E-2</v>
      </c>
      <c r="I50" s="1198">
        <v>5.8999999999999997E-2</v>
      </c>
      <c r="J50" s="1198">
        <v>5.8999999999999997E-2</v>
      </c>
      <c r="K50" s="1198">
        <v>5.91E-2</v>
      </c>
      <c r="L50" s="1198">
        <v>5.8999999999999997E-2</v>
      </c>
      <c r="M50" s="1569">
        <v>5.91E-2</v>
      </c>
      <c r="N50" s="1569">
        <v>5.8999999999999997E-2</v>
      </c>
      <c r="O50" s="1569">
        <v>5.8999999999999997E-2</v>
      </c>
      <c r="P50" s="1569">
        <v>5.8999999999999997E-2</v>
      </c>
      <c r="Q50" s="1569">
        <v>5.8999999999999997E-2</v>
      </c>
      <c r="R50" s="1569">
        <v>5.8999999999999997E-2</v>
      </c>
      <c r="S50" s="1569">
        <v>5.8999999999999997E-2</v>
      </c>
      <c r="T50" s="1569">
        <v>5.8999999999999997E-2</v>
      </c>
    </row>
    <row r="51" spans="2:20" ht="3" customHeight="1" outlineLevel="1"/>
    <row r="52" spans="2:20" outlineLevel="1">
      <c r="B52" s="812" t="s">
        <v>1072</v>
      </c>
      <c r="C52" s="812">
        <f>($G$11*0.5*$I$5)+($G$11*(1-0.5*$I$5)*C50)</f>
        <v>8491.875</v>
      </c>
      <c r="D52" s="812">
        <f t="shared" ref="D52:M52" si="32">+($G$11*(1-0.5*$I$5)*D50)</f>
        <v>768.3125</v>
      </c>
      <c r="E52" s="812">
        <f t="shared" si="32"/>
        <v>691.48125000000005</v>
      </c>
      <c r="F52" s="812">
        <f t="shared" si="32"/>
        <v>622.73749999999995</v>
      </c>
      <c r="G52" s="812">
        <f t="shared" si="32"/>
        <v>560.46375</v>
      </c>
      <c r="H52" s="812">
        <f t="shared" si="32"/>
        <v>503.85124999999999</v>
      </c>
      <c r="I52" s="812">
        <f t="shared" si="32"/>
        <v>477.16249999999997</v>
      </c>
      <c r="J52" s="812">
        <f t="shared" si="32"/>
        <v>477.16249999999997</v>
      </c>
      <c r="K52" s="812">
        <f t="shared" si="32"/>
        <v>477.97125</v>
      </c>
      <c r="L52" s="812">
        <f t="shared" si="32"/>
        <v>477.16249999999997</v>
      </c>
      <c r="M52" s="932">
        <f t="shared" si="32"/>
        <v>477.97125</v>
      </c>
      <c r="N52" s="932">
        <f>+($G$11*(1-0.5*$I$5)*N50)</f>
        <v>477.16249999999997</v>
      </c>
      <c r="O52" s="932">
        <f>+($G$11*(1-0.5*$I$5)*O50)</f>
        <v>477.16249999999997</v>
      </c>
      <c r="P52" s="932">
        <f t="shared" ref="P52:T52" si="33">+($G$11*(1-0.5*$I$5)*P50)</f>
        <v>477.16249999999997</v>
      </c>
      <c r="Q52" s="932">
        <f t="shared" si="33"/>
        <v>477.16249999999997</v>
      </c>
      <c r="R52" s="932">
        <f t="shared" si="33"/>
        <v>477.16249999999997</v>
      </c>
      <c r="S52" s="932">
        <f t="shared" si="33"/>
        <v>477.16249999999997</v>
      </c>
      <c r="T52" s="932">
        <f t="shared" si="33"/>
        <v>477.16249999999997</v>
      </c>
    </row>
    <row r="53" spans="2:20" outlineLevel="1">
      <c r="B53" s="812" t="s">
        <v>1073</v>
      </c>
      <c r="C53" s="812">
        <f t="shared" ref="C53:J53" si="34">$G$11*C50</f>
        <v>808.75</v>
      </c>
      <c r="D53" s="812">
        <f t="shared" si="34"/>
        <v>1536.625</v>
      </c>
      <c r="E53" s="812">
        <f t="shared" si="34"/>
        <v>1382.9625000000001</v>
      </c>
      <c r="F53" s="812">
        <f t="shared" si="34"/>
        <v>1245.4749999999999</v>
      </c>
      <c r="G53" s="812">
        <f t="shared" si="34"/>
        <v>1120.9275</v>
      </c>
      <c r="H53" s="812">
        <f t="shared" si="34"/>
        <v>1007.7025</v>
      </c>
      <c r="I53" s="812">
        <f t="shared" si="34"/>
        <v>954.32499999999993</v>
      </c>
      <c r="J53" s="812">
        <f t="shared" si="34"/>
        <v>954.32499999999993</v>
      </c>
      <c r="K53" s="812">
        <f>$G$11*K50</f>
        <v>955.9425</v>
      </c>
      <c r="L53" s="812">
        <f>$G$11*L50</f>
        <v>954.32499999999993</v>
      </c>
      <c r="M53" s="932">
        <f>$G$11*M50</f>
        <v>955.9425</v>
      </c>
      <c r="N53" s="932">
        <f>$G$11*N50</f>
        <v>954.32499999999993</v>
      </c>
      <c r="O53" s="932">
        <f>$G$11*O50</f>
        <v>954.32499999999993</v>
      </c>
      <c r="P53" s="932">
        <f t="shared" ref="P53:T53" si="35">$G$11*P50</f>
        <v>954.32499999999993</v>
      </c>
      <c r="Q53" s="932">
        <f t="shared" si="35"/>
        <v>954.32499999999993</v>
      </c>
      <c r="R53" s="932">
        <f t="shared" si="35"/>
        <v>954.32499999999993</v>
      </c>
      <c r="S53" s="932">
        <f t="shared" si="35"/>
        <v>954.32499999999993</v>
      </c>
      <c r="T53" s="932">
        <f t="shared" si="35"/>
        <v>954.32499999999993</v>
      </c>
    </row>
    <row r="54" spans="2:20" ht="3" customHeight="1" outlineLevel="1"/>
    <row r="55" spans="2:20" outlineLevel="1">
      <c r="B55" s="812" t="s">
        <v>1074</v>
      </c>
      <c r="C55" s="812">
        <f t="shared" ref="C55:J55" si="36">C52-C53</f>
        <v>7683.125</v>
      </c>
      <c r="D55" s="812">
        <f t="shared" si="36"/>
        <v>-768.3125</v>
      </c>
      <c r="E55" s="812">
        <f t="shared" si="36"/>
        <v>-691.48125000000005</v>
      </c>
      <c r="F55" s="812">
        <f t="shared" si="36"/>
        <v>-622.73749999999995</v>
      </c>
      <c r="G55" s="812">
        <f t="shared" si="36"/>
        <v>-560.46375</v>
      </c>
      <c r="H55" s="812">
        <f t="shared" si="36"/>
        <v>-503.85124999999999</v>
      </c>
      <c r="I55" s="812">
        <f t="shared" si="36"/>
        <v>-477.16249999999997</v>
      </c>
      <c r="J55" s="812">
        <f t="shared" si="36"/>
        <v>-477.16249999999997</v>
      </c>
      <c r="K55" s="812">
        <f>K52-K53</f>
        <v>-477.97125</v>
      </c>
      <c r="L55" s="812">
        <f>L52-L53</f>
        <v>-477.16249999999997</v>
      </c>
      <c r="M55" s="932">
        <f>M52-M53</f>
        <v>-477.97125</v>
      </c>
      <c r="N55" s="932">
        <f>N52-N53</f>
        <v>-477.16249999999997</v>
      </c>
      <c r="O55" s="932">
        <f>O52-O53</f>
        <v>-477.16249999999997</v>
      </c>
      <c r="P55" s="932">
        <f t="shared" ref="P55:T55" si="37">P52-P53</f>
        <v>-477.16249999999997</v>
      </c>
      <c r="Q55" s="932">
        <f t="shared" si="37"/>
        <v>-477.16249999999997</v>
      </c>
      <c r="R55" s="932">
        <f t="shared" si="37"/>
        <v>-477.16249999999997</v>
      </c>
      <c r="S55" s="932">
        <f t="shared" si="37"/>
        <v>-477.16249999999997</v>
      </c>
      <c r="T55" s="932">
        <f t="shared" si="37"/>
        <v>-477.16249999999997</v>
      </c>
    </row>
    <row r="56" spans="2:20" outlineLevel="1">
      <c r="B56" s="812" t="s">
        <v>1075</v>
      </c>
      <c r="C56" s="919">
        <f t="shared" ref="C56:M56" si="38">C55*$I$6</f>
        <v>2689.09375</v>
      </c>
      <c r="D56" s="812">
        <f t="shared" si="38"/>
        <v>-268.90937499999995</v>
      </c>
      <c r="E56" s="812">
        <f t="shared" si="38"/>
        <v>-242.0184375</v>
      </c>
      <c r="F56" s="812">
        <f t="shared" si="38"/>
        <v>-217.95812499999997</v>
      </c>
      <c r="G56" s="812">
        <f t="shared" si="38"/>
        <v>-196.16231249999998</v>
      </c>
      <c r="H56" s="812">
        <f t="shared" si="38"/>
        <v>-176.3479375</v>
      </c>
      <c r="I56" s="812">
        <f t="shared" si="38"/>
        <v>-167.00687499999998</v>
      </c>
      <c r="J56" s="812">
        <f t="shared" si="38"/>
        <v>-167.00687499999998</v>
      </c>
      <c r="K56" s="812">
        <f t="shared" si="38"/>
        <v>-167.28993749999998</v>
      </c>
      <c r="L56" s="812">
        <f t="shared" si="38"/>
        <v>-167.00687499999998</v>
      </c>
      <c r="M56" s="932">
        <f t="shared" si="38"/>
        <v>-167.28993749999998</v>
      </c>
      <c r="N56" s="932">
        <f>N55*$I$6</f>
        <v>-167.00687499999998</v>
      </c>
      <c r="O56" s="932">
        <f>O55*$I$6</f>
        <v>-167.00687499999998</v>
      </c>
      <c r="P56" s="932">
        <f t="shared" ref="P56:T56" si="39">P55*$I$6</f>
        <v>-167.00687499999998</v>
      </c>
      <c r="Q56" s="932">
        <f t="shared" si="39"/>
        <v>-167.00687499999998</v>
      </c>
      <c r="R56" s="932">
        <f t="shared" si="39"/>
        <v>-167.00687499999998</v>
      </c>
      <c r="S56" s="932">
        <f t="shared" si="39"/>
        <v>-167.00687499999998</v>
      </c>
      <c r="T56" s="932">
        <f t="shared" si="39"/>
        <v>-167.00687499999998</v>
      </c>
    </row>
    <row r="57" spans="2:20" outlineLevel="1"/>
    <row r="58" spans="2:20" s="820" customFormat="1" outlineLevel="1">
      <c r="B58" s="918">
        <v>2013</v>
      </c>
      <c r="C58" s="826">
        <v>0</v>
      </c>
      <c r="D58" s="826">
        <v>1</v>
      </c>
      <c r="E58" s="826">
        <v>2</v>
      </c>
      <c r="F58" s="826">
        <v>3</v>
      </c>
      <c r="G58" s="826">
        <v>4</v>
      </c>
      <c r="H58" s="826">
        <v>5</v>
      </c>
      <c r="I58" s="826">
        <v>6</v>
      </c>
      <c r="J58" s="826">
        <v>7</v>
      </c>
      <c r="K58" s="826">
        <v>8</v>
      </c>
      <c r="L58" s="826">
        <v>9</v>
      </c>
      <c r="M58" s="1177">
        <v>10</v>
      </c>
      <c r="N58" s="1177">
        <v>11</v>
      </c>
      <c r="O58" s="1177">
        <v>11</v>
      </c>
      <c r="P58" s="1177">
        <v>11</v>
      </c>
      <c r="Q58" s="1177">
        <v>11</v>
      </c>
      <c r="R58" s="1177">
        <v>11</v>
      </c>
      <c r="S58" s="1177">
        <v>11</v>
      </c>
      <c r="T58" s="1177">
        <v>11</v>
      </c>
    </row>
    <row r="59" spans="2:20" outlineLevel="1">
      <c r="B59" s="812" t="s">
        <v>1071</v>
      </c>
      <c r="C59" s="1198">
        <v>0.05</v>
      </c>
      <c r="D59" s="1198">
        <v>9.5000000000000001E-2</v>
      </c>
      <c r="E59" s="1198">
        <v>8.5500000000000007E-2</v>
      </c>
      <c r="F59" s="1198">
        <v>7.6999999999999999E-2</v>
      </c>
      <c r="G59" s="1198">
        <v>6.93E-2</v>
      </c>
      <c r="H59" s="1198">
        <v>6.2300000000000001E-2</v>
      </c>
      <c r="I59" s="1198">
        <v>5.8999999999999997E-2</v>
      </c>
      <c r="J59" s="1198">
        <v>5.8999999999999997E-2</v>
      </c>
      <c r="K59" s="1198">
        <v>5.91E-2</v>
      </c>
      <c r="L59" s="1198">
        <v>5.8999999999999997E-2</v>
      </c>
      <c r="M59" s="1569">
        <v>5.91E-2</v>
      </c>
      <c r="N59" s="1569">
        <v>5.8999999999999997E-2</v>
      </c>
      <c r="O59" s="1569">
        <v>5.8999999999999997E-2</v>
      </c>
      <c r="P59" s="1569">
        <v>5.8999999999999997E-2</v>
      </c>
      <c r="Q59" s="1569">
        <v>5.8999999999999997E-2</v>
      </c>
      <c r="R59" s="1569">
        <v>5.8999999999999997E-2</v>
      </c>
      <c r="S59" s="1569">
        <v>5.8999999999999997E-2</v>
      </c>
      <c r="T59" s="1569">
        <v>5.8999999999999997E-2</v>
      </c>
    </row>
    <row r="60" spans="2:20" ht="3" customHeight="1" outlineLevel="1"/>
    <row r="61" spans="2:20" outlineLevel="1">
      <c r="B61" s="812" t="s">
        <v>1072</v>
      </c>
      <c r="C61" s="812">
        <f>($H$11*0.5*$I$5)+($H$11*(1-0.5*$I$5)*C59)</f>
        <v>8717.1</v>
      </c>
      <c r="D61" s="812">
        <f t="shared" ref="D61:M61" si="40">+($H$11*(1-0.5*$I$5)*D59)</f>
        <v>788.69</v>
      </c>
      <c r="E61" s="812">
        <f t="shared" si="40"/>
        <v>709.82100000000003</v>
      </c>
      <c r="F61" s="812">
        <f t="shared" si="40"/>
        <v>639.25400000000002</v>
      </c>
      <c r="G61" s="812">
        <f t="shared" si="40"/>
        <v>575.32860000000005</v>
      </c>
      <c r="H61" s="812">
        <f t="shared" si="40"/>
        <v>517.21460000000002</v>
      </c>
      <c r="I61" s="812">
        <f t="shared" si="40"/>
        <v>489.81799999999998</v>
      </c>
      <c r="J61" s="812">
        <f t="shared" si="40"/>
        <v>489.81799999999998</v>
      </c>
      <c r="K61" s="812">
        <f t="shared" si="40"/>
        <v>490.64819999999997</v>
      </c>
      <c r="L61" s="812">
        <f t="shared" si="40"/>
        <v>489.81799999999998</v>
      </c>
      <c r="M61" s="932">
        <f t="shared" si="40"/>
        <v>490.64819999999997</v>
      </c>
      <c r="N61" s="932">
        <f>+($H$11*(1-0.5*$I$5)*N59)</f>
        <v>489.81799999999998</v>
      </c>
      <c r="O61" s="932">
        <f>+($H$11*(1-0.5*$I$5)*O59)</f>
        <v>489.81799999999998</v>
      </c>
      <c r="P61" s="932">
        <f t="shared" ref="P61:T61" si="41">+($H$11*(1-0.5*$I$5)*P59)</f>
        <v>489.81799999999998</v>
      </c>
      <c r="Q61" s="932">
        <f t="shared" si="41"/>
        <v>489.81799999999998</v>
      </c>
      <c r="R61" s="932">
        <f t="shared" si="41"/>
        <v>489.81799999999998</v>
      </c>
      <c r="S61" s="932">
        <f t="shared" si="41"/>
        <v>489.81799999999998</v>
      </c>
      <c r="T61" s="932">
        <f t="shared" si="41"/>
        <v>489.81799999999998</v>
      </c>
    </row>
    <row r="62" spans="2:20" outlineLevel="1">
      <c r="B62" s="812" t="s">
        <v>1073</v>
      </c>
      <c r="C62" s="812">
        <f t="shared" ref="C62:J62" si="42">$H$11*C59</f>
        <v>830.2</v>
      </c>
      <c r="D62" s="812">
        <f t="shared" si="42"/>
        <v>1577.38</v>
      </c>
      <c r="E62" s="812">
        <f t="shared" si="42"/>
        <v>1419.6420000000001</v>
      </c>
      <c r="F62" s="812">
        <f t="shared" si="42"/>
        <v>1278.508</v>
      </c>
      <c r="G62" s="812">
        <f t="shared" si="42"/>
        <v>1150.6572000000001</v>
      </c>
      <c r="H62" s="812">
        <f t="shared" si="42"/>
        <v>1034.4292</v>
      </c>
      <c r="I62" s="812">
        <f t="shared" si="42"/>
        <v>979.63599999999997</v>
      </c>
      <c r="J62" s="812">
        <f t="shared" si="42"/>
        <v>979.63599999999997</v>
      </c>
      <c r="K62" s="812">
        <f>$H$11*K59</f>
        <v>981.29639999999995</v>
      </c>
      <c r="L62" s="812">
        <f>$H$11*L59</f>
        <v>979.63599999999997</v>
      </c>
      <c r="M62" s="932">
        <f>$H$11*M59</f>
        <v>981.29639999999995</v>
      </c>
      <c r="N62" s="932">
        <f>$H$11*N59</f>
        <v>979.63599999999997</v>
      </c>
      <c r="O62" s="932">
        <f>$H$11*O59</f>
        <v>979.63599999999997</v>
      </c>
      <c r="P62" s="932">
        <f t="shared" ref="P62:T62" si="43">$H$11*P59</f>
        <v>979.63599999999997</v>
      </c>
      <c r="Q62" s="932">
        <f t="shared" si="43"/>
        <v>979.63599999999997</v>
      </c>
      <c r="R62" s="932">
        <f t="shared" si="43"/>
        <v>979.63599999999997</v>
      </c>
      <c r="S62" s="932">
        <f t="shared" si="43"/>
        <v>979.63599999999997</v>
      </c>
      <c r="T62" s="932">
        <f t="shared" si="43"/>
        <v>979.63599999999997</v>
      </c>
    </row>
    <row r="63" spans="2:20" ht="3" customHeight="1" outlineLevel="1"/>
    <row r="64" spans="2:20" outlineLevel="1">
      <c r="B64" s="812" t="s">
        <v>1074</v>
      </c>
      <c r="C64" s="812">
        <f t="shared" ref="C64:J64" si="44">C61-C62</f>
        <v>7886.9000000000005</v>
      </c>
      <c r="D64" s="812">
        <f t="shared" si="44"/>
        <v>-788.69</v>
      </c>
      <c r="E64" s="812">
        <f t="shared" si="44"/>
        <v>-709.82100000000003</v>
      </c>
      <c r="F64" s="812">
        <f t="shared" si="44"/>
        <v>-639.25400000000002</v>
      </c>
      <c r="G64" s="812">
        <f t="shared" si="44"/>
        <v>-575.32860000000005</v>
      </c>
      <c r="H64" s="812">
        <f t="shared" si="44"/>
        <v>-517.21460000000002</v>
      </c>
      <c r="I64" s="812">
        <f t="shared" si="44"/>
        <v>-489.81799999999998</v>
      </c>
      <c r="J64" s="812">
        <f t="shared" si="44"/>
        <v>-489.81799999999998</v>
      </c>
      <c r="K64" s="812">
        <f>K61-K62</f>
        <v>-490.64819999999997</v>
      </c>
      <c r="L64" s="812">
        <f>L61-L62</f>
        <v>-489.81799999999998</v>
      </c>
      <c r="M64" s="932">
        <f>M61-M62</f>
        <v>-490.64819999999997</v>
      </c>
      <c r="N64" s="932">
        <f>N61-N62</f>
        <v>-489.81799999999998</v>
      </c>
      <c r="O64" s="932">
        <f>O61-O62</f>
        <v>-489.81799999999998</v>
      </c>
      <c r="P64" s="932">
        <f t="shared" ref="P64:T64" si="45">P61-P62</f>
        <v>-489.81799999999998</v>
      </c>
      <c r="Q64" s="932">
        <f t="shared" si="45"/>
        <v>-489.81799999999998</v>
      </c>
      <c r="R64" s="932">
        <f t="shared" si="45"/>
        <v>-489.81799999999998</v>
      </c>
      <c r="S64" s="932">
        <f t="shared" si="45"/>
        <v>-489.81799999999998</v>
      </c>
      <c r="T64" s="932">
        <f t="shared" si="45"/>
        <v>-489.81799999999998</v>
      </c>
    </row>
    <row r="65" spans="2:20" outlineLevel="1">
      <c r="B65" s="812" t="s">
        <v>1075</v>
      </c>
      <c r="C65" s="919">
        <f t="shared" ref="C65:M65" si="46">C64*$I$6</f>
        <v>2760.415</v>
      </c>
      <c r="D65" s="812">
        <f t="shared" si="46"/>
        <v>-276.04149999999998</v>
      </c>
      <c r="E65" s="812">
        <f t="shared" si="46"/>
        <v>-248.43734999999998</v>
      </c>
      <c r="F65" s="812">
        <f t="shared" si="46"/>
        <v>-223.7389</v>
      </c>
      <c r="G65" s="812">
        <f t="shared" si="46"/>
        <v>-201.36501000000001</v>
      </c>
      <c r="H65" s="812">
        <f t="shared" si="46"/>
        <v>-181.02510999999998</v>
      </c>
      <c r="I65" s="812">
        <f t="shared" si="46"/>
        <v>-171.43629999999999</v>
      </c>
      <c r="J65" s="812">
        <f t="shared" si="46"/>
        <v>-171.43629999999999</v>
      </c>
      <c r="K65" s="812">
        <f t="shared" si="46"/>
        <v>-171.72686999999999</v>
      </c>
      <c r="L65" s="812">
        <f t="shared" si="46"/>
        <v>-171.43629999999999</v>
      </c>
      <c r="M65" s="932">
        <f t="shared" si="46"/>
        <v>-171.72686999999999</v>
      </c>
      <c r="N65" s="932">
        <f>N64*$I$6</f>
        <v>-171.43629999999999</v>
      </c>
      <c r="O65" s="932">
        <f>O64*$I$6</f>
        <v>-171.43629999999999</v>
      </c>
      <c r="P65" s="932">
        <f t="shared" ref="P65:T65" si="47">P64*$I$6</f>
        <v>-171.43629999999999</v>
      </c>
      <c r="Q65" s="932">
        <f t="shared" si="47"/>
        <v>-171.43629999999999</v>
      </c>
      <c r="R65" s="932">
        <f t="shared" si="47"/>
        <v>-171.43629999999999</v>
      </c>
      <c r="S65" s="932">
        <f t="shared" si="47"/>
        <v>-171.43629999999999</v>
      </c>
      <c r="T65" s="932">
        <f t="shared" si="47"/>
        <v>-171.43629999999999</v>
      </c>
    </row>
    <row r="66" spans="2:20" outlineLevel="1"/>
    <row r="67" spans="2:20" s="820" customFormat="1" outlineLevel="1">
      <c r="B67" s="918">
        <v>2014</v>
      </c>
      <c r="C67" s="826">
        <v>0</v>
      </c>
      <c r="D67" s="826">
        <v>1</v>
      </c>
      <c r="E67" s="826">
        <v>2</v>
      </c>
      <c r="F67" s="826">
        <v>3</v>
      </c>
      <c r="G67" s="826">
        <v>4</v>
      </c>
      <c r="H67" s="826">
        <v>5</v>
      </c>
      <c r="I67" s="826">
        <v>6</v>
      </c>
      <c r="J67" s="826">
        <v>7</v>
      </c>
      <c r="K67" s="826">
        <v>8</v>
      </c>
      <c r="L67" s="826">
        <v>9</v>
      </c>
      <c r="M67" s="1177">
        <v>10</v>
      </c>
      <c r="N67" s="1177">
        <v>11</v>
      </c>
      <c r="O67" s="1177">
        <v>11</v>
      </c>
      <c r="P67" s="1177">
        <v>11</v>
      </c>
      <c r="Q67" s="1177">
        <v>11</v>
      </c>
      <c r="R67" s="1177">
        <v>11</v>
      </c>
      <c r="S67" s="1177">
        <v>11</v>
      </c>
      <c r="T67" s="1177">
        <v>11</v>
      </c>
    </row>
    <row r="68" spans="2:20" outlineLevel="1">
      <c r="B68" s="812" t="s">
        <v>1071</v>
      </c>
      <c r="C68" s="1198">
        <v>0.05</v>
      </c>
      <c r="D68" s="1198">
        <v>9.5000000000000001E-2</v>
      </c>
      <c r="E68" s="1198">
        <v>8.5500000000000007E-2</v>
      </c>
      <c r="F68" s="1198">
        <v>7.6999999999999999E-2</v>
      </c>
      <c r="G68" s="1198">
        <v>6.93E-2</v>
      </c>
      <c r="H68" s="1198">
        <v>6.2300000000000001E-2</v>
      </c>
      <c r="I68" s="1198">
        <v>5.8999999999999997E-2</v>
      </c>
      <c r="J68" s="1198">
        <v>5.8999999999999997E-2</v>
      </c>
      <c r="K68" s="1198">
        <v>5.91E-2</v>
      </c>
      <c r="L68" s="1198">
        <v>5.8999999999999997E-2</v>
      </c>
      <c r="M68" s="1569">
        <v>5.91E-2</v>
      </c>
      <c r="N68" s="1569">
        <v>5.8999999999999997E-2</v>
      </c>
      <c r="O68" s="1569">
        <v>5.8999999999999997E-2</v>
      </c>
      <c r="P68" s="1569">
        <v>5.8999999999999997E-2</v>
      </c>
      <c r="Q68" s="1569">
        <v>5.8999999999999997E-2</v>
      </c>
      <c r="R68" s="1569">
        <v>5.8999999999999997E-2</v>
      </c>
      <c r="S68" s="1569">
        <v>5.8999999999999997E-2</v>
      </c>
      <c r="T68" s="1569">
        <v>5.8999999999999997E-2</v>
      </c>
    </row>
    <row r="69" spans="2:20" ht="3" customHeight="1" outlineLevel="1"/>
    <row r="70" spans="2:20" outlineLevel="1">
      <c r="B70" s="812" t="s">
        <v>1072</v>
      </c>
      <c r="C70" s="812">
        <f>($I$11*0.5*$I$5)+($I$11*(1-0.5*$I$5)*C68)</f>
        <v>9025.2749999999996</v>
      </c>
      <c r="D70" s="812">
        <f>($I$11*(1-0.5*$I$5))*D68</f>
        <v>816.57249999999999</v>
      </c>
      <c r="E70" s="812">
        <f t="shared" ref="E70:N70" si="48">($I$11*(1-0.5*$I$5))*E68</f>
        <v>734.91525000000001</v>
      </c>
      <c r="F70" s="812">
        <f t="shared" si="48"/>
        <v>661.85349999999994</v>
      </c>
      <c r="G70" s="812">
        <f t="shared" si="48"/>
        <v>595.66814999999997</v>
      </c>
      <c r="H70" s="812">
        <f t="shared" si="48"/>
        <v>535.49964999999997</v>
      </c>
      <c r="I70" s="812">
        <f t="shared" si="48"/>
        <v>507.13449999999995</v>
      </c>
      <c r="J70" s="812">
        <f t="shared" si="48"/>
        <v>507.13449999999995</v>
      </c>
      <c r="K70" s="812">
        <f t="shared" si="48"/>
        <v>507.99405000000002</v>
      </c>
      <c r="L70" s="812">
        <f t="shared" si="48"/>
        <v>507.13449999999995</v>
      </c>
      <c r="M70" s="932">
        <f t="shared" si="48"/>
        <v>507.99405000000002</v>
      </c>
      <c r="N70" s="932">
        <f t="shared" si="48"/>
        <v>507.13449999999995</v>
      </c>
      <c r="O70" s="932">
        <f t="shared" ref="O70:T70" si="49">($I$11*(1-0.5*$I$5))*O68</f>
        <v>507.13449999999995</v>
      </c>
      <c r="P70" s="932">
        <f t="shared" si="49"/>
        <v>507.13449999999995</v>
      </c>
      <c r="Q70" s="932">
        <f t="shared" si="49"/>
        <v>507.13449999999995</v>
      </c>
      <c r="R70" s="932">
        <f t="shared" si="49"/>
        <v>507.13449999999995</v>
      </c>
      <c r="S70" s="932">
        <f t="shared" si="49"/>
        <v>507.13449999999995</v>
      </c>
      <c r="T70" s="932">
        <f t="shared" si="49"/>
        <v>507.13449999999995</v>
      </c>
    </row>
    <row r="71" spans="2:20" outlineLevel="1">
      <c r="B71" s="812" t="s">
        <v>1073</v>
      </c>
      <c r="C71" s="812">
        <f t="shared" ref="C71:J71" si="50">$I$11*C68</f>
        <v>859.55000000000007</v>
      </c>
      <c r="D71" s="812">
        <f t="shared" si="50"/>
        <v>1633.145</v>
      </c>
      <c r="E71" s="812">
        <f t="shared" si="50"/>
        <v>1469.8305</v>
      </c>
      <c r="F71" s="812">
        <f t="shared" si="50"/>
        <v>1323.7069999999999</v>
      </c>
      <c r="G71" s="812">
        <f t="shared" si="50"/>
        <v>1191.3362999999999</v>
      </c>
      <c r="H71" s="812">
        <f t="shared" si="50"/>
        <v>1070.9992999999999</v>
      </c>
      <c r="I71" s="812">
        <f t="shared" si="50"/>
        <v>1014.2689999999999</v>
      </c>
      <c r="J71" s="812">
        <f t="shared" si="50"/>
        <v>1014.2689999999999</v>
      </c>
      <c r="K71" s="812">
        <f>$I$11*K68</f>
        <v>1015.9881</v>
      </c>
      <c r="L71" s="812">
        <f>$I$11*L68</f>
        <v>1014.2689999999999</v>
      </c>
      <c r="M71" s="932">
        <f>$I$11*M68</f>
        <v>1015.9881</v>
      </c>
      <c r="N71" s="932">
        <f>$I$11*N68</f>
        <v>1014.2689999999999</v>
      </c>
      <c r="O71" s="932">
        <f>$I$11*O68</f>
        <v>1014.2689999999999</v>
      </c>
      <c r="P71" s="932">
        <f t="shared" ref="P71:T71" si="51">$I$11*P68</f>
        <v>1014.2689999999999</v>
      </c>
      <c r="Q71" s="932">
        <f t="shared" si="51"/>
        <v>1014.2689999999999</v>
      </c>
      <c r="R71" s="932">
        <f t="shared" si="51"/>
        <v>1014.2689999999999</v>
      </c>
      <c r="S71" s="932">
        <f t="shared" si="51"/>
        <v>1014.2689999999999</v>
      </c>
      <c r="T71" s="932">
        <f t="shared" si="51"/>
        <v>1014.2689999999999</v>
      </c>
    </row>
    <row r="72" spans="2:20" ht="3" customHeight="1" outlineLevel="1"/>
    <row r="73" spans="2:20" outlineLevel="1">
      <c r="B73" s="812" t="s">
        <v>1074</v>
      </c>
      <c r="C73" s="812">
        <f t="shared" ref="C73:J73" si="52">C70-C71</f>
        <v>8165.7249999999995</v>
      </c>
      <c r="D73" s="812">
        <f t="shared" si="52"/>
        <v>-816.57249999999999</v>
      </c>
      <c r="E73" s="812">
        <f t="shared" si="52"/>
        <v>-734.91525000000001</v>
      </c>
      <c r="F73" s="812">
        <f t="shared" si="52"/>
        <v>-661.85349999999994</v>
      </c>
      <c r="G73" s="812">
        <f t="shared" si="52"/>
        <v>-595.66814999999997</v>
      </c>
      <c r="H73" s="812">
        <f t="shared" si="52"/>
        <v>-535.49964999999997</v>
      </c>
      <c r="I73" s="812">
        <f t="shared" si="52"/>
        <v>-507.13449999999995</v>
      </c>
      <c r="J73" s="812">
        <f t="shared" si="52"/>
        <v>-507.13449999999995</v>
      </c>
      <c r="K73" s="812">
        <f>K70-K71</f>
        <v>-507.99405000000002</v>
      </c>
      <c r="L73" s="812">
        <f>L70-L71</f>
        <v>-507.13449999999995</v>
      </c>
      <c r="M73" s="932">
        <f>M70-M71</f>
        <v>-507.99405000000002</v>
      </c>
      <c r="N73" s="932">
        <f>N70-N71</f>
        <v>-507.13449999999995</v>
      </c>
      <c r="O73" s="932">
        <f>O70-O71</f>
        <v>-507.13449999999995</v>
      </c>
      <c r="P73" s="932">
        <f t="shared" ref="P73:T73" si="53">P70-P71</f>
        <v>-507.13449999999995</v>
      </c>
      <c r="Q73" s="932">
        <f t="shared" si="53"/>
        <v>-507.13449999999995</v>
      </c>
      <c r="R73" s="932">
        <f t="shared" si="53"/>
        <v>-507.13449999999995</v>
      </c>
      <c r="S73" s="932">
        <f t="shared" si="53"/>
        <v>-507.13449999999995</v>
      </c>
      <c r="T73" s="932">
        <f t="shared" si="53"/>
        <v>-507.13449999999995</v>
      </c>
    </row>
    <row r="74" spans="2:20" outlineLevel="1">
      <c r="B74" s="812" t="s">
        <v>1075</v>
      </c>
      <c r="C74" s="919">
        <f t="shared" ref="C74:M74" si="54">C73*$I$6</f>
        <v>2858.0037499999999</v>
      </c>
      <c r="D74" s="812">
        <f t="shared" si="54"/>
        <v>-285.80037499999997</v>
      </c>
      <c r="E74" s="812">
        <f t="shared" si="54"/>
        <v>-257.22033749999997</v>
      </c>
      <c r="F74" s="812">
        <f t="shared" si="54"/>
        <v>-231.64872499999996</v>
      </c>
      <c r="G74" s="812">
        <f t="shared" si="54"/>
        <v>-208.48385249999998</v>
      </c>
      <c r="H74" s="812">
        <f t="shared" si="54"/>
        <v>-187.42487749999998</v>
      </c>
      <c r="I74" s="812">
        <f t="shared" si="54"/>
        <v>-177.49707499999997</v>
      </c>
      <c r="J74" s="812">
        <f t="shared" si="54"/>
        <v>-177.49707499999997</v>
      </c>
      <c r="K74" s="812">
        <f t="shared" si="54"/>
        <v>-177.79791749999998</v>
      </c>
      <c r="L74" s="812">
        <f t="shared" si="54"/>
        <v>-177.49707499999997</v>
      </c>
      <c r="M74" s="932">
        <f t="shared" si="54"/>
        <v>-177.79791749999998</v>
      </c>
      <c r="N74" s="932">
        <f>N73*$I$6</f>
        <v>-177.49707499999997</v>
      </c>
      <c r="O74" s="932">
        <f>O73*$I$6</f>
        <v>-177.49707499999997</v>
      </c>
      <c r="P74" s="932">
        <f t="shared" ref="P74:T74" si="55">P73*$I$6</f>
        <v>-177.49707499999997</v>
      </c>
      <c r="Q74" s="932">
        <f t="shared" si="55"/>
        <v>-177.49707499999997</v>
      </c>
      <c r="R74" s="932">
        <f t="shared" si="55"/>
        <v>-177.49707499999997</v>
      </c>
      <c r="S74" s="932">
        <f t="shared" si="55"/>
        <v>-177.49707499999997</v>
      </c>
      <c r="T74" s="932">
        <f t="shared" si="55"/>
        <v>-177.49707499999997</v>
      </c>
    </row>
    <row r="75" spans="2:20" outlineLevel="1" collapsed="1"/>
    <row r="76" spans="2:20" outlineLevel="1">
      <c r="B76" s="918" t="s">
        <v>1066</v>
      </c>
      <c r="C76" s="826">
        <v>0</v>
      </c>
      <c r="D76" s="826">
        <v>1</v>
      </c>
      <c r="E76" s="826">
        <v>2</v>
      </c>
      <c r="F76" s="826">
        <v>3</v>
      </c>
      <c r="G76" s="826">
        <v>4</v>
      </c>
      <c r="H76" s="826">
        <v>5</v>
      </c>
      <c r="I76" s="826">
        <v>6</v>
      </c>
      <c r="J76" s="826">
        <v>7</v>
      </c>
      <c r="K76" s="826">
        <v>8</v>
      </c>
      <c r="L76" s="826">
        <v>9</v>
      </c>
      <c r="M76" s="1177">
        <v>10</v>
      </c>
      <c r="N76" s="1177">
        <v>11</v>
      </c>
      <c r="O76" s="1177">
        <v>11</v>
      </c>
      <c r="P76" s="1177">
        <v>11</v>
      </c>
      <c r="Q76" s="1177">
        <v>11</v>
      </c>
      <c r="R76" s="1177">
        <v>11</v>
      </c>
      <c r="S76" s="1177">
        <v>11</v>
      </c>
      <c r="T76" s="1177">
        <v>11</v>
      </c>
    </row>
    <row r="77" spans="2:20" outlineLevel="1">
      <c r="B77" s="812" t="s">
        <v>1071</v>
      </c>
      <c r="C77" s="1198">
        <v>0.05</v>
      </c>
      <c r="D77" s="1198">
        <v>9.5000000000000001E-2</v>
      </c>
      <c r="E77" s="1198">
        <v>8.5500000000000007E-2</v>
      </c>
      <c r="F77" s="1198">
        <v>7.6999999999999999E-2</v>
      </c>
      <c r="G77" s="1198">
        <v>6.93E-2</v>
      </c>
      <c r="H77" s="1198">
        <v>6.2300000000000001E-2</v>
      </c>
      <c r="I77" s="1198">
        <v>5.8999999999999997E-2</v>
      </c>
      <c r="J77" s="1198">
        <v>5.8999999999999997E-2</v>
      </c>
      <c r="K77" s="1198">
        <v>5.91E-2</v>
      </c>
      <c r="L77" s="1198">
        <v>5.8999999999999997E-2</v>
      </c>
      <c r="M77" s="1569">
        <v>5.91E-2</v>
      </c>
      <c r="N77" s="1569">
        <v>5.8999999999999997E-2</v>
      </c>
      <c r="O77" s="1569">
        <v>5.8999999999999997E-2</v>
      </c>
      <c r="P77" s="1569">
        <v>5.8999999999999997E-2</v>
      </c>
      <c r="Q77" s="1569">
        <v>5.8999999999999997E-2</v>
      </c>
      <c r="R77" s="1569">
        <v>5.8999999999999997E-2</v>
      </c>
      <c r="S77" s="1569">
        <v>5.8999999999999997E-2</v>
      </c>
      <c r="T77" s="1569">
        <v>5.8999999999999997E-2</v>
      </c>
    </row>
    <row r="78" spans="2:20" outlineLevel="1"/>
    <row r="79" spans="2:20" outlineLevel="1">
      <c r="B79" s="812" t="s">
        <v>1072</v>
      </c>
      <c r="C79" s="812">
        <f>IF($V$101=1,($J$11*0.5*$I$5)+($J$11*(1-0.5*$I$5)*C77),C80)</f>
        <v>9331.875</v>
      </c>
      <c r="D79" s="812">
        <f t="shared" ref="D79:T79" si="56">IF($V$101=1,($J$11*(1-0.5*$I$5))*D77,D80)</f>
        <v>844.3125</v>
      </c>
      <c r="E79" s="812">
        <f t="shared" si="56"/>
        <v>759.88125000000002</v>
      </c>
      <c r="F79" s="812">
        <f t="shared" si="56"/>
        <v>684.33749999999998</v>
      </c>
      <c r="G79" s="812">
        <f t="shared" si="56"/>
        <v>615.90375000000006</v>
      </c>
      <c r="H79" s="812">
        <f t="shared" si="56"/>
        <v>553.69124999999997</v>
      </c>
      <c r="I79" s="812">
        <f t="shared" si="56"/>
        <v>524.36249999999995</v>
      </c>
      <c r="J79" s="812">
        <f t="shared" si="56"/>
        <v>524.36249999999995</v>
      </c>
      <c r="K79" s="812">
        <f t="shared" si="56"/>
        <v>525.25125000000003</v>
      </c>
      <c r="L79" s="812">
        <f t="shared" si="56"/>
        <v>524.36249999999995</v>
      </c>
      <c r="M79" s="932">
        <f t="shared" si="56"/>
        <v>525.25125000000003</v>
      </c>
      <c r="N79" s="932">
        <f t="shared" si="56"/>
        <v>524.36249999999995</v>
      </c>
      <c r="O79" s="932">
        <f t="shared" si="56"/>
        <v>524.36249999999995</v>
      </c>
      <c r="P79" s="932">
        <f t="shared" si="56"/>
        <v>524.36249999999995</v>
      </c>
      <c r="Q79" s="932">
        <f t="shared" si="56"/>
        <v>524.36249999999995</v>
      </c>
      <c r="R79" s="932">
        <f t="shared" si="56"/>
        <v>524.36249999999995</v>
      </c>
      <c r="S79" s="932">
        <f t="shared" si="56"/>
        <v>524.36249999999995</v>
      </c>
      <c r="T79" s="932">
        <f t="shared" si="56"/>
        <v>524.36249999999995</v>
      </c>
    </row>
    <row r="80" spans="2:20" outlineLevel="1">
      <c r="B80" s="812" t="s">
        <v>1073</v>
      </c>
      <c r="C80" s="812">
        <f>$J$11*C77</f>
        <v>888.75</v>
      </c>
      <c r="D80" s="812">
        <f t="shared" ref="D80:M80" si="57">$J$11*D77</f>
        <v>1688.625</v>
      </c>
      <c r="E80" s="812">
        <f t="shared" si="57"/>
        <v>1519.7625</v>
      </c>
      <c r="F80" s="812">
        <f t="shared" si="57"/>
        <v>1368.675</v>
      </c>
      <c r="G80" s="812">
        <f t="shared" si="57"/>
        <v>1231.8075000000001</v>
      </c>
      <c r="H80" s="812">
        <f t="shared" si="57"/>
        <v>1107.3824999999999</v>
      </c>
      <c r="I80" s="812">
        <f t="shared" si="57"/>
        <v>1048.7249999999999</v>
      </c>
      <c r="J80" s="812">
        <f t="shared" si="57"/>
        <v>1048.7249999999999</v>
      </c>
      <c r="K80" s="812">
        <f t="shared" si="57"/>
        <v>1050.5025000000001</v>
      </c>
      <c r="L80" s="812">
        <f t="shared" si="57"/>
        <v>1048.7249999999999</v>
      </c>
      <c r="M80" s="932">
        <f t="shared" si="57"/>
        <v>1050.5025000000001</v>
      </c>
      <c r="N80" s="932">
        <f>$J$11*N77</f>
        <v>1048.7249999999999</v>
      </c>
      <c r="O80" s="932">
        <f>$J$11*O77</f>
        <v>1048.7249999999999</v>
      </c>
      <c r="P80" s="932">
        <f t="shared" ref="P80:T80" si="58">$J$11*P77</f>
        <v>1048.7249999999999</v>
      </c>
      <c r="Q80" s="932">
        <f t="shared" si="58"/>
        <v>1048.7249999999999</v>
      </c>
      <c r="R80" s="932">
        <f t="shared" si="58"/>
        <v>1048.7249999999999</v>
      </c>
      <c r="S80" s="932">
        <f t="shared" si="58"/>
        <v>1048.7249999999999</v>
      </c>
      <c r="T80" s="932">
        <f t="shared" si="58"/>
        <v>1048.7249999999999</v>
      </c>
    </row>
    <row r="81" spans="2:20" outlineLevel="1"/>
    <row r="82" spans="2:20" outlineLevel="1">
      <c r="B82" s="812" t="s">
        <v>1074</v>
      </c>
      <c r="C82" s="812">
        <f t="shared" ref="C82:M82" si="59">C79-C80</f>
        <v>8443.125</v>
      </c>
      <c r="D82" s="812">
        <f t="shared" si="59"/>
        <v>-844.3125</v>
      </c>
      <c r="E82" s="812">
        <f t="shared" si="59"/>
        <v>-759.88125000000002</v>
      </c>
      <c r="F82" s="812">
        <f t="shared" si="59"/>
        <v>-684.33749999999998</v>
      </c>
      <c r="G82" s="812">
        <f t="shared" si="59"/>
        <v>-615.90375000000006</v>
      </c>
      <c r="H82" s="812">
        <f t="shared" si="59"/>
        <v>-553.69124999999997</v>
      </c>
      <c r="I82" s="812">
        <f t="shared" si="59"/>
        <v>-524.36249999999995</v>
      </c>
      <c r="J82" s="812">
        <f t="shared" si="59"/>
        <v>-524.36249999999995</v>
      </c>
      <c r="K82" s="812">
        <f t="shared" si="59"/>
        <v>-525.25125000000003</v>
      </c>
      <c r="L82" s="812">
        <f t="shared" si="59"/>
        <v>-524.36249999999995</v>
      </c>
      <c r="M82" s="932">
        <f t="shared" si="59"/>
        <v>-525.25125000000003</v>
      </c>
      <c r="N82" s="932">
        <f>N79-N80</f>
        <v>-524.36249999999995</v>
      </c>
      <c r="O82" s="932">
        <f>O79-O80</f>
        <v>-524.36249999999995</v>
      </c>
      <c r="P82" s="932">
        <f t="shared" ref="P82:T82" si="60">P79-P80</f>
        <v>-524.36249999999995</v>
      </c>
      <c r="Q82" s="932">
        <f t="shared" si="60"/>
        <v>-524.36249999999995</v>
      </c>
      <c r="R82" s="932">
        <f t="shared" si="60"/>
        <v>-524.36249999999995</v>
      </c>
      <c r="S82" s="932">
        <f t="shared" si="60"/>
        <v>-524.36249999999995</v>
      </c>
      <c r="T82" s="932">
        <f t="shared" si="60"/>
        <v>-524.36249999999995</v>
      </c>
    </row>
    <row r="83" spans="2:20" outlineLevel="1">
      <c r="B83" s="812" t="s">
        <v>1075</v>
      </c>
      <c r="C83" s="919">
        <f t="shared" ref="C83:M83" si="61">C82*$I$6</f>
        <v>2955.09375</v>
      </c>
      <c r="D83" s="812">
        <f t="shared" si="61"/>
        <v>-295.50937499999998</v>
      </c>
      <c r="E83" s="812">
        <f t="shared" si="61"/>
        <v>-265.9584375</v>
      </c>
      <c r="F83" s="812">
        <f t="shared" si="61"/>
        <v>-239.51812499999997</v>
      </c>
      <c r="G83" s="812">
        <f t="shared" si="61"/>
        <v>-215.56631250000001</v>
      </c>
      <c r="H83" s="812">
        <f t="shared" si="61"/>
        <v>-193.79193749999999</v>
      </c>
      <c r="I83" s="812">
        <f t="shared" si="61"/>
        <v>-183.52687499999996</v>
      </c>
      <c r="J83" s="812">
        <f t="shared" si="61"/>
        <v>-183.52687499999996</v>
      </c>
      <c r="K83" s="812">
        <f t="shared" si="61"/>
        <v>-183.83793750000001</v>
      </c>
      <c r="L83" s="812">
        <f t="shared" si="61"/>
        <v>-183.52687499999996</v>
      </c>
      <c r="M83" s="932">
        <f t="shared" si="61"/>
        <v>-183.83793750000001</v>
      </c>
      <c r="N83" s="932">
        <f>N82*$I$6</f>
        <v>-183.52687499999996</v>
      </c>
      <c r="O83" s="932">
        <f>O82*$I$6</f>
        <v>-183.52687499999996</v>
      </c>
      <c r="P83" s="932">
        <f t="shared" ref="P83:T83" si="62">P82*$I$6</f>
        <v>-183.52687499999996</v>
      </c>
      <c r="Q83" s="932">
        <f t="shared" si="62"/>
        <v>-183.52687499999996</v>
      </c>
      <c r="R83" s="932">
        <f t="shared" si="62"/>
        <v>-183.52687499999996</v>
      </c>
      <c r="S83" s="932">
        <f t="shared" si="62"/>
        <v>-183.52687499999996</v>
      </c>
      <c r="T83" s="932">
        <f t="shared" si="62"/>
        <v>-183.52687499999996</v>
      </c>
    </row>
    <row r="84" spans="2:20" s="1918" customFormat="1" outlineLevel="1">
      <c r="C84" s="3058"/>
      <c r="M84" s="3058"/>
      <c r="N84" s="3058"/>
      <c r="O84" s="3058"/>
      <c r="P84" s="3058"/>
      <c r="Q84" s="3058"/>
      <c r="R84" s="3058"/>
      <c r="S84" s="3058"/>
      <c r="T84" s="3058"/>
    </row>
    <row r="85" spans="2:20" outlineLevel="1">
      <c r="B85" s="918" t="s">
        <v>1651</v>
      </c>
      <c r="C85" s="826">
        <v>0</v>
      </c>
      <c r="D85" s="826">
        <v>1</v>
      </c>
      <c r="E85" s="826">
        <v>2</v>
      </c>
      <c r="F85" s="826">
        <v>3</v>
      </c>
      <c r="G85" s="826">
        <v>4</v>
      </c>
      <c r="H85" s="826">
        <v>5</v>
      </c>
      <c r="I85" s="826">
        <v>6</v>
      </c>
      <c r="J85" s="826">
        <v>7</v>
      </c>
      <c r="K85" s="826">
        <v>8</v>
      </c>
      <c r="L85" s="826">
        <v>9</v>
      </c>
      <c r="M85" s="1177">
        <v>10</v>
      </c>
      <c r="N85" s="1177">
        <v>11</v>
      </c>
      <c r="O85" s="1177">
        <v>11</v>
      </c>
      <c r="P85" s="1177">
        <v>11</v>
      </c>
      <c r="Q85" s="1177">
        <v>11</v>
      </c>
      <c r="R85" s="1177">
        <v>11</v>
      </c>
      <c r="S85" s="1177">
        <v>11</v>
      </c>
      <c r="T85" s="1177">
        <v>11</v>
      </c>
    </row>
    <row r="86" spans="2:20" outlineLevel="1">
      <c r="B86" s="812" t="s">
        <v>1071</v>
      </c>
      <c r="C86" s="3059">
        <v>0.05</v>
      </c>
      <c r="D86" s="3059">
        <v>9.5000000000000001E-2</v>
      </c>
      <c r="E86" s="3059">
        <v>8.5500000000000007E-2</v>
      </c>
      <c r="F86" s="3059">
        <v>7.6999999999999999E-2</v>
      </c>
      <c r="G86" s="3059">
        <v>6.93E-2</v>
      </c>
      <c r="H86" s="3059">
        <v>6.2300000000000001E-2</v>
      </c>
      <c r="I86" s="3059">
        <v>5.8999999999999997E-2</v>
      </c>
      <c r="J86" s="3059">
        <v>5.8999999999999997E-2</v>
      </c>
      <c r="K86" s="3059">
        <v>5.91E-2</v>
      </c>
      <c r="L86" s="3059">
        <v>5.8999999999999997E-2</v>
      </c>
      <c r="M86" s="3060">
        <v>5.91E-2</v>
      </c>
      <c r="N86" s="3060">
        <v>5.8999999999999997E-2</v>
      </c>
      <c r="O86" s="3060">
        <v>5.8999999999999997E-2</v>
      </c>
      <c r="P86" s="3060">
        <v>5.8999999999999997E-2</v>
      </c>
      <c r="Q86" s="3060">
        <v>5.8999999999999997E-2</v>
      </c>
      <c r="R86" s="3060">
        <v>5.8999999999999997E-2</v>
      </c>
      <c r="S86" s="3060">
        <v>5.8999999999999997E-2</v>
      </c>
      <c r="T86" s="3060">
        <v>5.8999999999999997E-2</v>
      </c>
    </row>
    <row r="87" spans="2:20" outlineLevel="1"/>
    <row r="88" spans="2:20" outlineLevel="1">
      <c r="B88" s="812" t="s">
        <v>1072</v>
      </c>
      <c r="C88" s="812">
        <f>IF($V$101=1,($K$11*0.5*$I$5)+($K$11*(1-0.5*$I$5)*C86),C89)</f>
        <v>8955.9750000000004</v>
      </c>
      <c r="D88" s="812">
        <f t="shared" ref="D88:T88" si="63">IF($V$101=1,($K$11*(1-0.5*$I$5))*D86,D89)</f>
        <v>810.30250000000001</v>
      </c>
      <c r="E88" s="812">
        <f t="shared" si="63"/>
        <v>729.2722500000001</v>
      </c>
      <c r="F88" s="812">
        <f t="shared" si="63"/>
        <v>656.77149999999995</v>
      </c>
      <c r="G88" s="812">
        <f t="shared" si="63"/>
        <v>591.09434999999996</v>
      </c>
      <c r="H88" s="812">
        <f t="shared" si="63"/>
        <v>531.38784999999996</v>
      </c>
      <c r="I88" s="812">
        <f t="shared" si="63"/>
        <v>503.2405</v>
      </c>
      <c r="J88" s="812">
        <f t="shared" si="63"/>
        <v>503.2405</v>
      </c>
      <c r="K88" s="812">
        <f t="shared" si="63"/>
        <v>504.09345000000002</v>
      </c>
      <c r="L88" s="812">
        <f t="shared" si="63"/>
        <v>503.2405</v>
      </c>
      <c r="M88" s="932">
        <f t="shared" si="63"/>
        <v>504.09345000000002</v>
      </c>
      <c r="N88" s="932">
        <f t="shared" si="63"/>
        <v>503.2405</v>
      </c>
      <c r="O88" s="932">
        <f t="shared" si="63"/>
        <v>503.2405</v>
      </c>
      <c r="P88" s="932">
        <f t="shared" si="63"/>
        <v>503.2405</v>
      </c>
      <c r="Q88" s="932">
        <f t="shared" si="63"/>
        <v>503.2405</v>
      </c>
      <c r="R88" s="932">
        <f t="shared" si="63"/>
        <v>503.2405</v>
      </c>
      <c r="S88" s="932">
        <f t="shared" si="63"/>
        <v>503.2405</v>
      </c>
      <c r="T88" s="932">
        <f t="shared" si="63"/>
        <v>503.2405</v>
      </c>
    </row>
    <row r="89" spans="2:20" outlineLevel="1">
      <c r="B89" s="812" t="s">
        <v>1073</v>
      </c>
      <c r="C89" s="812">
        <f>$K$11*C86</f>
        <v>852.95</v>
      </c>
      <c r="D89" s="812">
        <f t="shared" ref="D89:M89" si="64">$J$11*D86</f>
        <v>1688.625</v>
      </c>
      <c r="E89" s="812">
        <f t="shared" si="64"/>
        <v>1519.7625</v>
      </c>
      <c r="F89" s="812">
        <f t="shared" si="64"/>
        <v>1368.675</v>
      </c>
      <c r="G89" s="812">
        <f t="shared" si="64"/>
        <v>1231.8075000000001</v>
      </c>
      <c r="H89" s="812">
        <f t="shared" si="64"/>
        <v>1107.3824999999999</v>
      </c>
      <c r="I89" s="812">
        <f t="shared" si="64"/>
        <v>1048.7249999999999</v>
      </c>
      <c r="J89" s="812">
        <f t="shared" si="64"/>
        <v>1048.7249999999999</v>
      </c>
      <c r="K89" s="812">
        <f t="shared" si="64"/>
        <v>1050.5025000000001</v>
      </c>
      <c r="L89" s="812">
        <f t="shared" si="64"/>
        <v>1048.7249999999999</v>
      </c>
      <c r="M89" s="932">
        <f t="shared" si="64"/>
        <v>1050.5025000000001</v>
      </c>
      <c r="N89" s="932">
        <f>$J$11*N86</f>
        <v>1048.7249999999999</v>
      </c>
      <c r="O89" s="932">
        <f>$J$11*O86</f>
        <v>1048.7249999999999</v>
      </c>
      <c r="P89" s="932">
        <f t="shared" ref="P89:T89" si="65">$J$11*P86</f>
        <v>1048.7249999999999</v>
      </c>
      <c r="Q89" s="932">
        <f t="shared" si="65"/>
        <v>1048.7249999999999</v>
      </c>
      <c r="R89" s="932">
        <f t="shared" si="65"/>
        <v>1048.7249999999999</v>
      </c>
      <c r="S89" s="932">
        <f t="shared" si="65"/>
        <v>1048.7249999999999</v>
      </c>
      <c r="T89" s="932">
        <f t="shared" si="65"/>
        <v>1048.7249999999999</v>
      </c>
    </row>
    <row r="90" spans="2:20" outlineLevel="1"/>
    <row r="91" spans="2:20" outlineLevel="1">
      <c r="B91" s="812" t="s">
        <v>1074</v>
      </c>
      <c r="C91" s="812">
        <f t="shared" ref="C91:M91" si="66">C88-C89</f>
        <v>8103.0250000000005</v>
      </c>
      <c r="D91" s="812">
        <f t="shared" si="66"/>
        <v>-878.32249999999999</v>
      </c>
      <c r="E91" s="812">
        <f t="shared" si="66"/>
        <v>-790.49024999999995</v>
      </c>
      <c r="F91" s="812">
        <f t="shared" si="66"/>
        <v>-711.90350000000001</v>
      </c>
      <c r="G91" s="812">
        <f t="shared" si="66"/>
        <v>-640.71315000000016</v>
      </c>
      <c r="H91" s="812">
        <f t="shared" si="66"/>
        <v>-575.99464999999998</v>
      </c>
      <c r="I91" s="812">
        <f t="shared" si="66"/>
        <v>-545.48449999999991</v>
      </c>
      <c r="J91" s="812">
        <f t="shared" si="66"/>
        <v>-545.48449999999991</v>
      </c>
      <c r="K91" s="812">
        <f t="shared" si="66"/>
        <v>-546.40904999999998</v>
      </c>
      <c r="L91" s="812">
        <f t="shared" si="66"/>
        <v>-545.48449999999991</v>
      </c>
      <c r="M91" s="932">
        <f t="shared" si="66"/>
        <v>-546.40904999999998</v>
      </c>
      <c r="N91" s="932">
        <f>N88-N89</f>
        <v>-545.48449999999991</v>
      </c>
      <c r="O91" s="932">
        <f>O88-O89</f>
        <v>-545.48449999999991</v>
      </c>
      <c r="P91" s="932">
        <f t="shared" ref="P91:T91" si="67">P88-P89</f>
        <v>-545.48449999999991</v>
      </c>
      <c r="Q91" s="932">
        <f t="shared" si="67"/>
        <v>-545.48449999999991</v>
      </c>
      <c r="R91" s="932">
        <f t="shared" si="67"/>
        <v>-545.48449999999991</v>
      </c>
      <c r="S91" s="932">
        <f t="shared" si="67"/>
        <v>-545.48449999999991</v>
      </c>
      <c r="T91" s="932">
        <f t="shared" si="67"/>
        <v>-545.48449999999991</v>
      </c>
    </row>
    <row r="92" spans="2:20" outlineLevel="1">
      <c r="B92" s="812" t="s">
        <v>1075</v>
      </c>
      <c r="C92" s="919">
        <f t="shared" ref="C92:M92" si="68">C91*$I$6</f>
        <v>2836.0587500000001</v>
      </c>
      <c r="D92" s="812">
        <f t="shared" si="68"/>
        <v>-307.41287499999999</v>
      </c>
      <c r="E92" s="812">
        <f t="shared" si="68"/>
        <v>-276.67158749999999</v>
      </c>
      <c r="F92" s="812">
        <f t="shared" si="68"/>
        <v>-249.166225</v>
      </c>
      <c r="G92" s="812">
        <f t="shared" si="68"/>
        <v>-224.24960250000004</v>
      </c>
      <c r="H92" s="812">
        <f t="shared" si="68"/>
        <v>-201.59812749999998</v>
      </c>
      <c r="I92" s="812">
        <f t="shared" si="68"/>
        <v>-190.91957499999995</v>
      </c>
      <c r="J92" s="812">
        <f t="shared" si="68"/>
        <v>-190.91957499999995</v>
      </c>
      <c r="K92" s="812">
        <f t="shared" si="68"/>
        <v>-191.24316749999997</v>
      </c>
      <c r="L92" s="812">
        <f t="shared" si="68"/>
        <v>-190.91957499999995</v>
      </c>
      <c r="M92" s="932">
        <f t="shared" si="68"/>
        <v>-191.24316749999997</v>
      </c>
      <c r="N92" s="932">
        <f>N91*$I$6</f>
        <v>-190.91957499999995</v>
      </c>
      <c r="O92" s="932">
        <f>O91*$I$6</f>
        <v>-190.91957499999995</v>
      </c>
      <c r="P92" s="932">
        <f t="shared" ref="P92:T92" si="69">P91*$I$6</f>
        <v>-190.91957499999995</v>
      </c>
      <c r="Q92" s="932">
        <f t="shared" si="69"/>
        <v>-190.91957499999995</v>
      </c>
      <c r="R92" s="932">
        <f t="shared" si="69"/>
        <v>-190.91957499999995</v>
      </c>
      <c r="S92" s="932">
        <f t="shared" si="69"/>
        <v>-190.91957499999995</v>
      </c>
      <c r="T92" s="932">
        <f t="shared" si="69"/>
        <v>-190.91957499999995</v>
      </c>
    </row>
    <row r="93" spans="2:20" s="1918" customFormat="1" outlineLevel="1">
      <c r="C93" s="3058"/>
      <c r="M93" s="3058"/>
      <c r="N93" s="3058"/>
      <c r="O93" s="3058"/>
      <c r="P93" s="3058"/>
      <c r="Q93" s="3058"/>
      <c r="R93" s="3058"/>
      <c r="S93" s="3058"/>
      <c r="T93" s="3058"/>
    </row>
    <row r="94" spans="2:20" s="1918" customFormat="1" outlineLevel="1">
      <c r="C94" s="3058"/>
      <c r="M94" s="3058"/>
      <c r="N94" s="3058"/>
      <c r="O94" s="3058"/>
      <c r="P94" s="3058"/>
      <c r="Q94" s="3058"/>
      <c r="R94" s="3058"/>
      <c r="S94" s="3058"/>
      <c r="T94" s="3058"/>
    </row>
    <row r="95" spans="2:20" s="1918" customFormat="1" outlineLevel="1">
      <c r="C95" s="3058"/>
      <c r="M95" s="3058"/>
      <c r="N95" s="3058"/>
      <c r="O95" s="3058"/>
      <c r="P95" s="3058"/>
      <c r="Q95" s="3058"/>
      <c r="R95" s="3058"/>
      <c r="S95" s="3058"/>
      <c r="T95" s="3058"/>
    </row>
    <row r="96" spans="2:20" s="1918" customFormat="1" outlineLevel="1">
      <c r="C96" s="3058"/>
      <c r="M96" s="3058"/>
      <c r="N96" s="3058"/>
      <c r="O96" s="3058"/>
      <c r="P96" s="3058"/>
      <c r="Q96" s="3058"/>
      <c r="R96" s="3058"/>
      <c r="S96" s="3058"/>
      <c r="T96" s="3058"/>
    </row>
    <row r="97" spans="2:25" outlineLevel="1"/>
    <row r="98" spans="2:25">
      <c r="B98" s="917" t="s">
        <v>1077</v>
      </c>
    </row>
    <row r="99" spans="2:25">
      <c r="B99" s="911"/>
      <c r="C99" s="912">
        <v>2008</v>
      </c>
      <c r="D99" s="912">
        <v>2009</v>
      </c>
      <c r="E99" s="912">
        <v>2010</v>
      </c>
      <c r="F99" s="912">
        <v>2011</v>
      </c>
      <c r="G99" s="912">
        <v>2012</v>
      </c>
      <c r="H99" s="1800" t="s">
        <v>1608</v>
      </c>
      <c r="I99" s="1800" t="s">
        <v>1607</v>
      </c>
      <c r="J99" s="1800" t="s">
        <v>1066</v>
      </c>
      <c r="K99" s="912" t="s">
        <v>1079</v>
      </c>
      <c r="L99" s="912" t="s">
        <v>1080</v>
      </c>
      <c r="M99" s="912" t="s">
        <v>1081</v>
      </c>
      <c r="N99" s="1800" t="s">
        <v>1547</v>
      </c>
      <c r="O99" s="1800" t="s">
        <v>1547</v>
      </c>
      <c r="P99" s="1800" t="s">
        <v>1547</v>
      </c>
      <c r="Q99" s="1800" t="s">
        <v>1547</v>
      </c>
      <c r="R99" s="1800" t="s">
        <v>1547</v>
      </c>
      <c r="S99" s="1800" t="s">
        <v>1547</v>
      </c>
      <c r="T99" s="1571" t="s">
        <v>1547</v>
      </c>
    </row>
    <row r="100" spans="2:25" ht="12" thickBot="1">
      <c r="B100" s="913" t="s">
        <v>1082</v>
      </c>
      <c r="C100" s="914">
        <f>+IS!P$76</f>
        <v>11032</v>
      </c>
      <c r="D100" s="914">
        <f>+IS!Q$76</f>
        <v>7867.7719999999999</v>
      </c>
      <c r="E100" s="914">
        <f>+IS!R$76</f>
        <v>8533.7439999999988</v>
      </c>
      <c r="F100" s="914">
        <f>+IS!S$76</f>
        <v>8763</v>
      </c>
      <c r="G100" s="914">
        <f>+IS!T$76</f>
        <v>9109.0000000000018</v>
      </c>
      <c r="H100" s="914">
        <f>+IS!U$76</f>
        <v>11704.1</v>
      </c>
      <c r="I100" s="2985">
        <f>+IS!V$76</f>
        <v>20438</v>
      </c>
      <c r="J100" s="2985">
        <f>+IS!W$76</f>
        <v>23035</v>
      </c>
      <c r="K100" s="2985">
        <f>+IS!X$76</f>
        <v>23576</v>
      </c>
      <c r="L100" s="2985">
        <f>+IS!Y$76</f>
        <v>22434</v>
      </c>
      <c r="M100" s="2985">
        <f ca="1">+IS!Z$76</f>
        <v>24889.67386620698</v>
      </c>
      <c r="N100" s="2985">
        <f ca="1">+IS!AA$76</f>
        <v>26065.728233000984</v>
      </c>
      <c r="O100" s="2985">
        <f ca="1">+IS!AB$76</f>
        <v>27261.414321564356</v>
      </c>
      <c r="P100" s="2985">
        <f ca="1">+IS!AC$76</f>
        <v>28425.624381713671</v>
      </c>
      <c r="Q100" s="2985">
        <f ca="1">+IS!AD$76</f>
        <v>29701.123077086278</v>
      </c>
      <c r="R100" s="2985">
        <f ca="1">+IS!AE$76</f>
        <v>31058.646324380003</v>
      </c>
      <c r="S100" s="2985">
        <f ca="1">+IS!AF$76</f>
        <v>32505.375446862556</v>
      </c>
      <c r="T100" s="2986">
        <f ca="1">+IS!AG$76</f>
        <v>34010.540400611178</v>
      </c>
    </row>
    <row r="101" spans="2:25" ht="13.5" thickBot="1">
      <c r="V101" s="928">
        <v>1</v>
      </c>
      <c r="W101" s="1199" t="s">
        <v>1066</v>
      </c>
      <c r="X101" s="1200"/>
      <c r="Y101" s="1201"/>
    </row>
    <row r="102" spans="2:25" ht="12.75">
      <c r="B102" s="813"/>
      <c r="C102" s="933">
        <v>2008</v>
      </c>
      <c r="D102" s="934">
        <v>2009</v>
      </c>
      <c r="E102" s="934">
        <v>2010</v>
      </c>
      <c r="F102" s="934">
        <v>2011</v>
      </c>
      <c r="G102" s="934">
        <v>2012</v>
      </c>
      <c r="H102" s="934" t="s">
        <v>1608</v>
      </c>
      <c r="I102" s="934" t="s">
        <v>1607</v>
      </c>
      <c r="J102" s="934" t="s">
        <v>1078</v>
      </c>
      <c r="K102" s="934" t="s">
        <v>1079</v>
      </c>
      <c r="L102" s="934" t="s">
        <v>1080</v>
      </c>
      <c r="M102" s="934" t="s">
        <v>1081</v>
      </c>
      <c r="N102" s="3150" t="s">
        <v>1547</v>
      </c>
      <c r="O102" s="3150" t="s">
        <v>1547</v>
      </c>
      <c r="P102" s="3150" t="s">
        <v>1547</v>
      </c>
      <c r="Q102" s="3150" t="s">
        <v>1547</v>
      </c>
      <c r="R102" s="3150" t="s">
        <v>1547</v>
      </c>
      <c r="S102" s="3150" t="s">
        <v>1547</v>
      </c>
      <c r="T102" s="935" t="s">
        <v>1547</v>
      </c>
      <c r="W102" s="1199"/>
      <c r="X102" s="1200"/>
      <c r="Y102" s="1201"/>
    </row>
    <row r="103" spans="2:25">
      <c r="B103" s="812" t="s">
        <v>1083</v>
      </c>
      <c r="C103" s="812">
        <f t="shared" ref="C103:M103" si="70">-C100*Tax_Rate</f>
        <v>-3861.2</v>
      </c>
      <c r="D103" s="812">
        <f t="shared" si="70"/>
        <v>-2753.7201999999997</v>
      </c>
      <c r="E103" s="812">
        <f t="shared" si="70"/>
        <v>-2986.8103999999994</v>
      </c>
      <c r="F103" s="812">
        <f t="shared" si="70"/>
        <v>-3067.0499999999997</v>
      </c>
      <c r="G103" s="812">
        <f t="shared" si="70"/>
        <v>-3188.1500000000005</v>
      </c>
      <c r="H103" s="812">
        <f>-H100*Tax_Rate</f>
        <v>-4096.4349999999995</v>
      </c>
      <c r="I103" s="812">
        <f>-I100*Tax_Rate</f>
        <v>-7153.2999999999993</v>
      </c>
      <c r="J103" s="812">
        <f t="shared" si="70"/>
        <v>-8062.2499999999991</v>
      </c>
      <c r="K103" s="812">
        <f t="shared" si="70"/>
        <v>-8251.6</v>
      </c>
      <c r="L103" s="812">
        <f t="shared" si="70"/>
        <v>-7851.9</v>
      </c>
      <c r="M103" s="932">
        <f t="shared" ca="1" si="70"/>
        <v>-8711.3858531724418</v>
      </c>
      <c r="N103" s="932">
        <f t="shared" ref="N103:T103" ca="1" si="71">-N100*Tax_Rate</f>
        <v>-9123.0048815503433</v>
      </c>
      <c r="O103" s="932">
        <f t="shared" ca="1" si="71"/>
        <v>-9541.4950125475243</v>
      </c>
      <c r="P103" s="932">
        <f t="shared" ca="1" si="71"/>
        <v>-9948.9685335997838</v>
      </c>
      <c r="Q103" s="932">
        <f t="shared" ca="1" si="71"/>
        <v>-10395.393076980197</v>
      </c>
      <c r="R103" s="932">
        <f t="shared" ca="1" si="71"/>
        <v>-10870.526213532999</v>
      </c>
      <c r="S103" s="932">
        <f t="shared" ca="1" si="71"/>
        <v>-11376.881406401893</v>
      </c>
      <c r="T103" s="932">
        <f t="shared" ca="1" si="71"/>
        <v>-11903.689140213912</v>
      </c>
    </row>
    <row r="104" spans="2:25">
      <c r="B104" s="812" t="s">
        <v>51</v>
      </c>
      <c r="C104" s="812">
        <f>+C20</f>
        <v>2865.8175000000001</v>
      </c>
      <c r="D104" s="812">
        <f>+D20+C29</f>
        <v>2518.3882499999995</v>
      </c>
      <c r="E104" s="812">
        <f>+E20+D29+C38</f>
        <v>3022.6719250000001</v>
      </c>
      <c r="F104" s="812">
        <f>+F20+E29+D38+C47</f>
        <v>4642.786399999999</v>
      </c>
      <c r="G104" s="812">
        <f>+G20+F29+E38+D47+C56</f>
        <v>1466.3238799999999</v>
      </c>
      <c r="H104" s="812">
        <f>+H20+G29+F38+E47+D56+C65</f>
        <v>1391.0799</v>
      </c>
      <c r="I104" s="812">
        <f>+I20+H29+G38+F47+E56+D65</f>
        <v>-1517.3594625000001</v>
      </c>
      <c r="J104" s="812">
        <f>+J20+I29+H38+G47+F56+E65+C74+(C83-142)</f>
        <v>4279.0847100000001</v>
      </c>
      <c r="K104" s="812">
        <f>+K20+J29+I38+H47+G56+F65+D74+D83</f>
        <v>-1877.8276475000002</v>
      </c>
      <c r="L104" s="812">
        <f>+L20+K29+J38+I47+H56+G65+E74+E83</f>
        <v>-1758.7401824999997</v>
      </c>
      <c r="M104" s="812">
        <f>+M20+L29+K38+J47+I56+H65+F74+F83</f>
        <v>-1677.341715</v>
      </c>
      <c r="N104" s="932">
        <f>+N20+M29+L38+K47+J56+I65+G74+G83</f>
        <v>-1620.9103400000001</v>
      </c>
      <c r="O104" s="932">
        <f>+O20+N29+M38+L47+K56+J65+H74+H83</f>
        <v>-1577.7842674999999</v>
      </c>
      <c r="P104" s="932">
        <f t="shared" ref="P104:T104" si="72">+P20+O29+N38+M47+L56+K65+I74+I83</f>
        <v>-1557.8794350000001</v>
      </c>
      <c r="Q104" s="932">
        <f t="shared" si="72"/>
        <v>-1557.3033875000001</v>
      </c>
      <c r="R104" s="932">
        <f t="shared" si="72"/>
        <v>-1557.9227999999998</v>
      </c>
      <c r="S104" s="932">
        <f t="shared" si="72"/>
        <v>-1557.020325</v>
      </c>
      <c r="T104" s="812">
        <f t="shared" si="72"/>
        <v>-1557.6322299999999</v>
      </c>
    </row>
    <row r="105" spans="2:25">
      <c r="B105" s="812" t="s">
        <v>52</v>
      </c>
      <c r="C105" s="812">
        <f t="shared" ref="C105:M105" si="73">+Tax_Rate*C121</f>
        <v>705.59999999999991</v>
      </c>
      <c r="D105" s="812">
        <f t="shared" si="73"/>
        <v>726.94999999999993</v>
      </c>
      <c r="E105" s="812">
        <f t="shared" si="73"/>
        <v>634.54999999999995</v>
      </c>
      <c r="F105" s="812">
        <f t="shared" si="73"/>
        <v>793.8</v>
      </c>
      <c r="G105" s="812">
        <f t="shared" si="73"/>
        <v>1912.05</v>
      </c>
      <c r="H105" s="812">
        <f t="shared" si="73"/>
        <v>569.44999999999993</v>
      </c>
      <c r="I105" s="812">
        <f>+Tax_Rate*I121</f>
        <v>1111.25</v>
      </c>
      <c r="J105" s="812">
        <f>+Tax_Rate*J121</f>
        <v>739.9</v>
      </c>
      <c r="K105" s="812">
        <f t="shared" si="73"/>
        <v>765.09999999999991</v>
      </c>
      <c r="L105" s="812">
        <f t="shared" si="73"/>
        <v>766.5</v>
      </c>
      <c r="M105" s="932">
        <f t="shared" si="73"/>
        <v>764.4</v>
      </c>
      <c r="N105" s="932">
        <f t="shared" ref="N105:T105" si="74">+Tax_Rate*N121</f>
        <v>753.9</v>
      </c>
      <c r="O105" s="932">
        <f t="shared" si="74"/>
        <v>753.9</v>
      </c>
      <c r="P105" s="932">
        <f t="shared" si="74"/>
        <v>753.9</v>
      </c>
      <c r="Q105" s="932">
        <f t="shared" si="74"/>
        <v>753.9</v>
      </c>
      <c r="R105" s="932">
        <f t="shared" si="74"/>
        <v>753.9</v>
      </c>
      <c r="S105" s="932">
        <f t="shared" si="74"/>
        <v>753.9</v>
      </c>
      <c r="T105" s="932">
        <f t="shared" si="74"/>
        <v>753.9</v>
      </c>
    </row>
    <row r="106" spans="2:25">
      <c r="B106" s="812" t="s">
        <v>53</v>
      </c>
      <c r="C106" s="929">
        <f>+C109-C103-C104-C105</f>
        <v>-916.2175000000002</v>
      </c>
      <c r="D106" s="929">
        <f t="shared" ref="D106:M106" si="75">+D109-D103-D104-D105</f>
        <v>-649.6180499999997</v>
      </c>
      <c r="E106" s="929">
        <f t="shared" si="75"/>
        <v>-1100.4115250000007</v>
      </c>
      <c r="F106" s="929">
        <f t="shared" si="75"/>
        <v>-3131.536399999999</v>
      </c>
      <c r="G106" s="929">
        <f t="shared" si="75"/>
        <v>-541.22387999999933</v>
      </c>
      <c r="H106" s="929">
        <f>+H109-H103-H104-H105</f>
        <v>1713.9050999999999</v>
      </c>
      <c r="I106" s="929">
        <f>+I109-I103-I104-I105</f>
        <v>3466.4094624999998</v>
      </c>
      <c r="J106" s="929">
        <f>+J109-J103-J104-J105</f>
        <v>-2351.9347100000018</v>
      </c>
      <c r="K106" s="929">
        <f>+K109-K103-K104-K105</f>
        <v>12.587647500000912</v>
      </c>
      <c r="L106" s="929">
        <f t="shared" si="75"/>
        <v>-12777.859817500001</v>
      </c>
      <c r="M106" s="1184">
        <f t="shared" ca="1" si="75"/>
        <v>3050.6240230706962</v>
      </c>
      <c r="N106" s="1184">
        <f ca="1">+N109-N103-N104-N105</f>
        <v>4260.8231808988912</v>
      </c>
      <c r="O106" s="1184">
        <f ca="1">+O109-O103-O104-O105</f>
        <v>4392.4337957690159</v>
      </c>
      <c r="P106" s="1184">
        <f t="shared" ref="P106:T106" ca="1" si="76">+P109-P103-P104-P105</f>
        <v>6079.6341118061764</v>
      </c>
      <c r="Q106" s="1184">
        <f t="shared" ca="1" si="76"/>
        <v>6220.4253649195698</v>
      </c>
      <c r="R106" s="1184">
        <f t="shared" ca="1" si="76"/>
        <v>6371.5959011624782</v>
      </c>
      <c r="S106" s="1184">
        <f t="shared" ca="1" si="76"/>
        <v>6531.2147271280028</v>
      </c>
      <c r="T106" s="1184">
        <f t="shared" ca="1" si="76"/>
        <v>6699.3140423599352</v>
      </c>
    </row>
    <row r="107" spans="2:25">
      <c r="B107" s="922" t="s">
        <v>54</v>
      </c>
      <c r="C107" s="923">
        <f t="shared" ref="C107:M107" si="77">SUM(C103:C106)</f>
        <v>-1206</v>
      </c>
      <c r="D107" s="923">
        <f t="shared" si="77"/>
        <v>-158</v>
      </c>
      <c r="E107" s="923">
        <f t="shared" si="77"/>
        <v>-430</v>
      </c>
      <c r="F107" s="923">
        <f t="shared" si="77"/>
        <v>-762</v>
      </c>
      <c r="G107" s="923">
        <f t="shared" si="77"/>
        <v>-351</v>
      </c>
      <c r="H107" s="923">
        <f t="shared" si="77"/>
        <v>-422</v>
      </c>
      <c r="I107" s="923">
        <f>SUM(I103:I106)</f>
        <v>-4093</v>
      </c>
      <c r="J107" s="923">
        <f>SUM(J103:J106)</f>
        <v>-5395.2000000000007</v>
      </c>
      <c r="K107" s="923">
        <f t="shared" si="77"/>
        <v>-9351.74</v>
      </c>
      <c r="L107" s="923">
        <f t="shared" si="77"/>
        <v>-21622</v>
      </c>
      <c r="M107" s="923">
        <f t="shared" ca="1" si="77"/>
        <v>-6573.7035451017464</v>
      </c>
      <c r="N107" s="3151">
        <f ca="1">SUM(N103:N106)</f>
        <v>-5729.1920406514528</v>
      </c>
      <c r="O107" s="3151">
        <f ca="1">SUM(O103:O106)</f>
        <v>-5972.945484278508</v>
      </c>
      <c r="P107" s="3151">
        <f t="shared" ref="P107:T107" ca="1" si="78">SUM(P103:P106)</f>
        <v>-4673.3138567936085</v>
      </c>
      <c r="Q107" s="3151">
        <f t="shared" ca="1" si="78"/>
        <v>-4978.371099560628</v>
      </c>
      <c r="R107" s="3151">
        <f t="shared" ca="1" si="78"/>
        <v>-5302.9531123705219</v>
      </c>
      <c r="S107" s="3151">
        <f t="shared" ca="1" si="78"/>
        <v>-5648.7870042738905</v>
      </c>
      <c r="T107" s="924">
        <f t="shared" ca="1" si="78"/>
        <v>-6008.1073278539761</v>
      </c>
    </row>
    <row r="109" spans="2:25">
      <c r="B109" s="922" t="s">
        <v>55</v>
      </c>
      <c r="C109" s="927">
        <v>-1206</v>
      </c>
      <c r="D109" s="927">
        <v>-158</v>
      </c>
      <c r="E109" s="927">
        <v>-430</v>
      </c>
      <c r="F109" s="927">
        <v>-762</v>
      </c>
      <c r="G109" s="927">
        <v>-351</v>
      </c>
      <c r="H109" s="927">
        <v>-422</v>
      </c>
      <c r="I109" s="927">
        <v>-4093</v>
      </c>
      <c r="J109" s="925">
        <f>-IS!W$78+CFS!W$22</f>
        <v>-5395.2000000000007</v>
      </c>
      <c r="K109" s="925">
        <f>-IS!X$78+CFS!X$22</f>
        <v>-9351.74</v>
      </c>
      <c r="L109" s="925">
        <f>-IS!Y$78+CFS!Y$22</f>
        <v>-21622</v>
      </c>
      <c r="M109" s="925">
        <f ca="1">-IS!Z$78+CFS!Z$22</f>
        <v>-6573.7035451017455</v>
      </c>
      <c r="N109" s="3152">
        <f ca="1">-IS!AA$78+CFS!AA$22</f>
        <v>-5729.1920406514528</v>
      </c>
      <c r="O109" s="3152">
        <f ca="1">-IS!AB$78+CFS!AB$22</f>
        <v>-5972.945484278509</v>
      </c>
      <c r="P109" s="3152">
        <f ca="1">-IS!AC$78+CFS!AC$22</f>
        <v>-4673.3138567936076</v>
      </c>
      <c r="Q109" s="3152">
        <f ca="1">-IS!AD$78+CFS!AD$22</f>
        <v>-4978.371099560628</v>
      </c>
      <c r="R109" s="3152">
        <f ca="1">-IS!AE$78+CFS!AE$22</f>
        <v>-5302.9531123705219</v>
      </c>
      <c r="S109" s="3152">
        <f ca="1">-IS!AF$78+CFS!AF$22</f>
        <v>-5648.7870042738905</v>
      </c>
      <c r="T109" s="926">
        <f ca="1">-IS!AG$78+CFS!AG$22</f>
        <v>-6008.1073278539698</v>
      </c>
    </row>
    <row r="110" spans="2:25">
      <c r="J110" s="821">
        <f>+J109/IS!W76</f>
        <v>-0.23421749511612766</v>
      </c>
      <c r="K110" s="821">
        <f>+K109/IS!X76</f>
        <v>-0.39666355615880555</v>
      </c>
      <c r="L110" s="821">
        <f>+L109/IS!Y76</f>
        <v>-0.96380493893197827</v>
      </c>
      <c r="M110" s="821">
        <f ca="1">+M109/IS!Z76</f>
        <v>-0.26411368748495112</v>
      </c>
      <c r="N110" s="821">
        <f ca="1">+N109/IS!AA76</f>
        <v>-0.21979788899194869</v>
      </c>
      <c r="O110" s="821">
        <f ca="1">+O109/IS!AB76</f>
        <v>-0.21909888510640413</v>
      </c>
      <c r="P110" s="821">
        <f ca="1">+P109/IS!AC76</f>
        <v>-0.16440496764602192</v>
      </c>
      <c r="Q110" s="821">
        <f ca="1">+Q109/IS!AD76</f>
        <v>-0.16761558432116411</v>
      </c>
      <c r="R110" s="821">
        <f ca="1">+R109/IS!AE76</f>
        <v>-0.17073999481451579</v>
      </c>
      <c r="S110" s="821">
        <f ca="1">+S109/IS!AF76</f>
        <v>-0.17378008795831693</v>
      </c>
      <c r="T110" s="821">
        <f ca="1">+T109/IS!AG76</f>
        <v>-0.17665427414808152</v>
      </c>
    </row>
    <row r="111" spans="2:25">
      <c r="B111" s="812" t="s">
        <v>491</v>
      </c>
      <c r="C111" s="812">
        <f>+CFS!P$34</f>
        <v>26620</v>
      </c>
      <c r="D111" s="812">
        <f>+CFS!Q$34</f>
        <v>31565</v>
      </c>
      <c r="E111" s="812">
        <f>+CFS!R$34</f>
        <v>33363</v>
      </c>
      <c r="F111" s="812">
        <f>+CFS!S$34</f>
        <v>29780</v>
      </c>
      <c r="G111" s="812">
        <f>+CFS!T$34</f>
        <v>31486</v>
      </c>
      <c r="H111" s="812">
        <f>+CFS!U$34</f>
        <v>38818</v>
      </c>
      <c r="I111" s="812">
        <f>+CFS!V$34</f>
        <v>30631</v>
      </c>
      <c r="J111" s="812">
        <f>+CFS!W$34</f>
        <v>38930</v>
      </c>
      <c r="K111" s="812">
        <f>+CFS!X$34</f>
        <v>22715</v>
      </c>
      <c r="L111" s="812">
        <f>+CFS!Y$34</f>
        <v>25305</v>
      </c>
      <c r="M111" s="932">
        <f ca="1">+CFS!Z$34</f>
        <v>34024.027173677896</v>
      </c>
      <c r="N111" s="932">
        <f ca="1">+CFS!AA$34</f>
        <v>37058.782391355649</v>
      </c>
      <c r="O111" s="932">
        <f ca="1">+CFS!AB$34</f>
        <v>37951.569158953622</v>
      </c>
      <c r="P111" s="932">
        <f ca="1">+CFS!AC$34</f>
        <v>40294.1562497044</v>
      </c>
      <c r="Q111" s="932">
        <f ca="1">+CFS!AD$34</f>
        <v>41147.650519499672</v>
      </c>
      <c r="R111" s="932">
        <f ca="1">+CFS!AE$34</f>
        <v>42065.384179528621</v>
      </c>
      <c r="S111" s="932">
        <f ca="1">+CFS!AF$34</f>
        <v>43051.656924537507</v>
      </c>
      <c r="T111" s="932">
        <f ca="1">+CFS!AG$34</f>
        <v>44123.560055002614</v>
      </c>
    </row>
    <row r="112" spans="2:25">
      <c r="B112" s="812" t="s">
        <v>1085</v>
      </c>
      <c r="C112" s="812">
        <f>-Capex!P$142</f>
        <v>-17238</v>
      </c>
      <c r="D112" s="812">
        <f>-Capex!Q$142</f>
        <v>-16872</v>
      </c>
      <c r="E112" s="812">
        <f>-Capex!R$142</f>
        <v>-16458</v>
      </c>
      <c r="F112" s="812">
        <f>-Capex!S$142</f>
        <v>-16244</v>
      </c>
      <c r="G112" s="812">
        <f>-Capex!T$142</f>
        <v>-16175</v>
      </c>
      <c r="H112" s="812">
        <f>-Capex!U$142</f>
        <v>-16604</v>
      </c>
      <c r="I112" s="812">
        <f>-Capex!V$142</f>
        <v>-17191</v>
      </c>
      <c r="J112" s="812">
        <f>-Capex!W$142</f>
        <v>-17775</v>
      </c>
      <c r="K112" s="812">
        <f>-Capex!X$142</f>
        <v>-17059</v>
      </c>
      <c r="L112" s="812">
        <f>-Capex!Y$142</f>
        <v>-17247</v>
      </c>
      <c r="M112" s="932">
        <f ca="1">-Capex!Z$142</f>
        <v>-17185.531443313364</v>
      </c>
      <c r="N112" s="932">
        <f ca="1">-Capex!AA$142</f>
        <v>-17326.654612606839</v>
      </c>
      <c r="O112" s="932">
        <f ca="1">-Capex!AB$142</f>
        <v>-17539.117790711662</v>
      </c>
      <c r="P112" s="932">
        <f ca="1">-Capex!AC$142</f>
        <v>-17762.512511533605</v>
      </c>
      <c r="Q112" s="932">
        <f ca="1">-Capex!AD$142</f>
        <v>-17996.036439295356</v>
      </c>
      <c r="R112" s="932">
        <f ca="1">-Capex!AE$142</f>
        <v>-18240.908275959573</v>
      </c>
      <c r="S112" s="932">
        <f ca="1">-Capex!AF$142</f>
        <v>-18499.25852053547</v>
      </c>
      <c r="T112" s="932">
        <f ca="1">-Capex!AG$142</f>
        <v>-20074.79151201664</v>
      </c>
    </row>
    <row r="113" spans="2:20" ht="12" thickBot="1">
      <c r="B113" s="930" t="s">
        <v>1087</v>
      </c>
      <c r="C113" s="930">
        <f t="shared" ref="C113:M113" si="79">SUM(C111:C112)</f>
        <v>9382</v>
      </c>
      <c r="D113" s="930">
        <f t="shared" si="79"/>
        <v>14693</v>
      </c>
      <c r="E113" s="930">
        <f t="shared" si="79"/>
        <v>16905</v>
      </c>
      <c r="F113" s="930">
        <f t="shared" si="79"/>
        <v>13536</v>
      </c>
      <c r="G113" s="930">
        <f t="shared" si="79"/>
        <v>15311</v>
      </c>
      <c r="H113" s="930">
        <f t="shared" si="79"/>
        <v>22214</v>
      </c>
      <c r="I113" s="930">
        <f t="shared" si="79"/>
        <v>13440</v>
      </c>
      <c r="J113" s="930">
        <f>SUM(J111:J112)</f>
        <v>21155</v>
      </c>
      <c r="K113" s="930">
        <f t="shared" si="79"/>
        <v>5656</v>
      </c>
      <c r="L113" s="930">
        <f t="shared" si="79"/>
        <v>8058</v>
      </c>
      <c r="M113" s="930">
        <f t="shared" ca="1" si="79"/>
        <v>16838.495730364531</v>
      </c>
      <c r="N113" s="930">
        <f ca="1">SUM(N111:N112)</f>
        <v>19732.127778748811</v>
      </c>
      <c r="O113" s="930">
        <f ca="1">SUM(O111:O112)</f>
        <v>20412.45136824196</v>
      </c>
      <c r="P113" s="930">
        <f t="shared" ref="P113:T113" ca="1" si="80">SUM(P111:P112)</f>
        <v>22531.643738170795</v>
      </c>
      <c r="Q113" s="930">
        <f t="shared" ca="1" si="80"/>
        <v>23151.614080204316</v>
      </c>
      <c r="R113" s="930">
        <f t="shared" ca="1" si="80"/>
        <v>23824.475903569048</v>
      </c>
      <c r="S113" s="930">
        <f t="shared" ca="1" si="80"/>
        <v>24552.398404002037</v>
      </c>
      <c r="T113" s="930">
        <f t="shared" ca="1" si="80"/>
        <v>24048.768542985974</v>
      </c>
    </row>
    <row r="114" spans="2:20" ht="12" thickTop="1"/>
    <row r="115" spans="2:20">
      <c r="B115" s="812" t="s">
        <v>1088</v>
      </c>
      <c r="C115" s="812">
        <f>+IS!$V$109*IS!P$115</f>
        <v>7355.0972045220951</v>
      </c>
      <c r="D115" s="812">
        <f>+IS!$V$109*IS!Q$115</f>
        <v>7726.9841418293927</v>
      </c>
      <c r="E115" s="812">
        <f>+IS!$V$109*IS!R$115</f>
        <v>7954.2483812949631</v>
      </c>
      <c r="F115" s="812">
        <f>+IS!$V$109*IS!S$115</f>
        <v>8160.8522353545723</v>
      </c>
      <c r="G115" s="812">
        <f>+IS!$V$109*IS!T$115</f>
        <v>8388.1164748201427</v>
      </c>
      <c r="H115" s="812">
        <f>+IS!$V$109*IS!U$115</f>
        <v>8636.0410996916726</v>
      </c>
      <c r="I115" s="812">
        <f>+IS!V$117</f>
        <v>8925.2864953751268</v>
      </c>
      <c r="J115" s="812">
        <f>+IS!W$117</f>
        <v>9082.7899999999991</v>
      </c>
      <c r="K115" s="812">
        <f>+IS!X$117</f>
        <v>9315.9449999999997</v>
      </c>
      <c r="L115" s="812">
        <f>+IS!Y$117</f>
        <v>9524.4650000000001</v>
      </c>
      <c r="M115" s="932">
        <f>+IS!Z$117</f>
        <v>9854.82</v>
      </c>
      <c r="N115" s="932">
        <f>+IS!AA$117</f>
        <v>10068.724999999999</v>
      </c>
      <c r="O115" s="932">
        <f>+IS!AB$117</f>
        <v>10324.31</v>
      </c>
      <c r="P115" s="932">
        <f>+IS!AC$117</f>
        <v>10580.254999999999</v>
      </c>
      <c r="Q115" s="932">
        <f>+IS!AD$117</f>
        <v>10836.56</v>
      </c>
      <c r="R115" s="932">
        <f>+IS!AE$117</f>
        <v>11093.224999999999</v>
      </c>
      <c r="S115" s="932">
        <f>+IS!AF$117</f>
        <v>11350.25</v>
      </c>
      <c r="T115" s="932">
        <f>+IS!AG$117</f>
        <v>11607.635</v>
      </c>
    </row>
    <row r="117" spans="2:20" s="931" customFormat="1">
      <c r="B117" s="931" t="s">
        <v>1089</v>
      </c>
      <c r="C117" s="931">
        <f t="shared" ref="C117:M117" si="81">C115/C113</f>
        <v>0.78395834625048977</v>
      </c>
      <c r="D117" s="931">
        <f t="shared" si="81"/>
        <v>0.52589560619542586</v>
      </c>
      <c r="E117" s="931">
        <f t="shared" si="81"/>
        <v>0.47052637570511463</v>
      </c>
      <c r="F117" s="931">
        <f t="shared" si="81"/>
        <v>0.60289984008234132</v>
      </c>
      <c r="G117" s="931">
        <f t="shared" si="81"/>
        <v>0.547849028464512</v>
      </c>
      <c r="H117" s="931">
        <f t="shared" si="81"/>
        <v>0.38876569279245848</v>
      </c>
      <c r="I117" s="931">
        <f t="shared" si="81"/>
        <v>0.66408381662017313</v>
      </c>
      <c r="J117" s="931">
        <f t="shared" si="81"/>
        <v>0.4293448357362325</v>
      </c>
      <c r="K117" s="931">
        <f t="shared" si="81"/>
        <v>1.6470907001414428</v>
      </c>
      <c r="L117" s="931">
        <f t="shared" si="81"/>
        <v>1.1819887068751551</v>
      </c>
      <c r="M117" s="1002">
        <f t="shared" ca="1" si="81"/>
        <v>0.58525536709487624</v>
      </c>
      <c r="N117" s="1002">
        <f ca="1">N115/N113</f>
        <v>0.51027061616962854</v>
      </c>
      <c r="O117" s="1002">
        <f ca="1">O115/O113</f>
        <v>0.50578491596862962</v>
      </c>
      <c r="P117" s="1002">
        <f t="shared" ref="P117:T117" ca="1" si="82">P115/P113</f>
        <v>0.46957315333705629</v>
      </c>
      <c r="Q117" s="1002">
        <f t="shared" ca="1" si="82"/>
        <v>0.46806930879457564</v>
      </c>
      <c r="R117" s="1002">
        <f t="shared" ca="1" si="82"/>
        <v>0.46562304433895929</v>
      </c>
      <c r="S117" s="1002">
        <f t="shared" ca="1" si="82"/>
        <v>0.46228681260523663</v>
      </c>
      <c r="T117" s="1002">
        <f t="shared" ca="1" si="82"/>
        <v>0.48267066063078995</v>
      </c>
    </row>
    <row r="119" spans="2:20">
      <c r="B119" s="812" t="s">
        <v>56</v>
      </c>
      <c r="C119" s="812">
        <f>+'Pension - NEW'!H$32</f>
        <v>487</v>
      </c>
      <c r="D119" s="812">
        <f>+'Pension - NEW'!I$32</f>
        <v>337</v>
      </c>
      <c r="E119" s="812">
        <f>+'Pension - NEW'!J$32</f>
        <v>138</v>
      </c>
      <c r="F119" s="812">
        <f>+'Pension - NEW'!K$32</f>
        <v>512</v>
      </c>
      <c r="G119" s="812">
        <f>+'Pension - NEW'!L$32</f>
        <v>3719</v>
      </c>
      <c r="H119" s="812">
        <f>+'Pension - NEW'!M$32</f>
        <v>107</v>
      </c>
      <c r="I119" s="812">
        <f>+'Pension - NEW'!N$32</f>
        <v>1632</v>
      </c>
      <c r="J119" s="812">
        <f>+'Pension - NEW'!O$32</f>
        <v>744</v>
      </c>
      <c r="K119" s="812">
        <f>+'Pension - NEW'!P$32</f>
        <v>837</v>
      </c>
      <c r="L119" s="812">
        <f>+'Pension - NEW'!Q$32</f>
        <v>800</v>
      </c>
      <c r="M119" s="932">
        <f>+'Pension - NEW'!R$32</f>
        <v>800</v>
      </c>
      <c r="N119" s="932">
        <f>+'Pension - NEW'!S$32</f>
        <v>800</v>
      </c>
      <c r="O119" s="932">
        <f>+'Pension - NEW'!T$32</f>
        <v>800</v>
      </c>
      <c r="P119" s="932">
        <f>+'Pension - NEW'!U$32</f>
        <v>800</v>
      </c>
      <c r="Q119" s="932">
        <f>+'Pension - NEW'!V$32</f>
        <v>800</v>
      </c>
      <c r="R119" s="932">
        <f>+'Pension - NEW'!W$32</f>
        <v>800</v>
      </c>
      <c r="S119" s="932">
        <f>+'Pension - NEW'!X$32</f>
        <v>800</v>
      </c>
      <c r="T119" s="932">
        <f>+'Pension - NEW'!Y$32</f>
        <v>800</v>
      </c>
    </row>
    <row r="120" spans="2:20">
      <c r="B120" s="812" t="s">
        <v>57</v>
      </c>
      <c r="C120" s="812">
        <f>-'OPEB - NEW'!H$33</f>
        <v>1529</v>
      </c>
      <c r="D120" s="812">
        <f>-'OPEB - NEW'!I$33</f>
        <v>1740</v>
      </c>
      <c r="E120" s="812">
        <f>-'OPEB - NEW'!J$33</f>
        <v>1675</v>
      </c>
      <c r="F120" s="812">
        <f>-'OPEB - NEW'!K$33</f>
        <v>1756</v>
      </c>
      <c r="G120" s="812">
        <f>-'OPEB - NEW'!L$33</f>
        <v>1744</v>
      </c>
      <c r="H120" s="812">
        <f>-'OPEB - NEW'!M$33</f>
        <v>1520</v>
      </c>
      <c r="I120" s="812">
        <f>-'OPEB - NEW'!N$33</f>
        <v>1543</v>
      </c>
      <c r="J120" s="812">
        <f>-'OPEB - NEW'!O$33</f>
        <v>1370</v>
      </c>
      <c r="K120" s="812">
        <f>-'OPEB - NEW'!P$33</f>
        <v>1349</v>
      </c>
      <c r="L120" s="812">
        <f>-'OPEB - NEW'!Q$33</f>
        <v>1390</v>
      </c>
      <c r="M120" s="932">
        <f>-'OPEB - NEW'!R$33</f>
        <v>1384</v>
      </c>
      <c r="N120" s="932">
        <f>-'OPEB - NEW'!S$33</f>
        <v>1354</v>
      </c>
      <c r="O120" s="932">
        <f>-'OPEB - NEW'!T$33</f>
        <v>1354</v>
      </c>
      <c r="P120" s="932">
        <f>-'OPEB - NEW'!U$33</f>
        <v>1354</v>
      </c>
      <c r="Q120" s="932">
        <f>-'OPEB - NEW'!V$33</f>
        <v>1354</v>
      </c>
      <c r="R120" s="932">
        <f>-'OPEB - NEW'!W$33</f>
        <v>1354</v>
      </c>
      <c r="S120" s="932">
        <f>-'OPEB - NEW'!X$33</f>
        <v>1354</v>
      </c>
      <c r="T120" s="932">
        <f>-'OPEB - NEW'!Y$33</f>
        <v>1354</v>
      </c>
    </row>
    <row r="121" spans="2:20" ht="12" thickBot="1">
      <c r="B121" s="930" t="s">
        <v>58</v>
      </c>
      <c r="C121" s="930">
        <f t="shared" ref="C121:M121" si="83">+C119+C120</f>
        <v>2016</v>
      </c>
      <c r="D121" s="930">
        <f t="shared" si="83"/>
        <v>2077</v>
      </c>
      <c r="E121" s="930">
        <f t="shared" si="83"/>
        <v>1813</v>
      </c>
      <c r="F121" s="930">
        <f t="shared" si="83"/>
        <v>2268</v>
      </c>
      <c r="G121" s="930">
        <f t="shared" si="83"/>
        <v>5463</v>
      </c>
      <c r="H121" s="930">
        <f t="shared" si="83"/>
        <v>1627</v>
      </c>
      <c r="I121" s="930">
        <f t="shared" si="83"/>
        <v>3175</v>
      </c>
      <c r="J121" s="930">
        <f t="shared" si="83"/>
        <v>2114</v>
      </c>
      <c r="K121" s="930">
        <f t="shared" si="83"/>
        <v>2186</v>
      </c>
      <c r="L121" s="930">
        <f t="shared" si="83"/>
        <v>2190</v>
      </c>
      <c r="M121" s="930">
        <f t="shared" si="83"/>
        <v>2184</v>
      </c>
      <c r="N121" s="930">
        <f>+N119+N120</f>
        <v>2154</v>
      </c>
      <c r="O121" s="930">
        <f>+O119+O120</f>
        <v>2154</v>
      </c>
      <c r="P121" s="930">
        <f t="shared" ref="P121:T121" si="84">+P119+P120</f>
        <v>2154</v>
      </c>
      <c r="Q121" s="930">
        <f t="shared" si="84"/>
        <v>2154</v>
      </c>
      <c r="R121" s="930">
        <f t="shared" si="84"/>
        <v>2154</v>
      </c>
      <c r="S121" s="930">
        <f t="shared" si="84"/>
        <v>2154</v>
      </c>
      <c r="T121" s="930">
        <f t="shared" si="84"/>
        <v>2154</v>
      </c>
    </row>
    <row r="122" spans="2:20" ht="12" thickTop="1"/>
    <row r="123" spans="2:20" hidden="1" outlineLevel="1">
      <c r="B123" s="1213" t="s">
        <v>59</v>
      </c>
      <c r="C123" s="1214">
        <v>2906.7577500000002</v>
      </c>
      <c r="D123" s="1214">
        <v>2554.3652249999991</v>
      </c>
      <c r="E123" s="1214">
        <v>3065.8529525000004</v>
      </c>
      <c r="F123" s="1214">
        <v>4709.1119199999994</v>
      </c>
      <c r="G123" s="1214">
        <v>1487.2713639999997</v>
      </c>
      <c r="H123" s="1214">
        <v>1410.9524700000002</v>
      </c>
      <c r="I123" s="1214">
        <v>-1539.0360262500001</v>
      </c>
      <c r="J123" s="1214">
        <v>1344.9336879999996</v>
      </c>
      <c r="K123" s="1214">
        <v>-1604.9228192499997</v>
      </c>
      <c r="L123" s="1214">
        <v>-1514.1071984999999</v>
      </c>
      <c r="M123" s="1214">
        <v>-1458.3639269999999</v>
      </c>
      <c r="N123" s="1215">
        <v>-1425.4203707499996</v>
      </c>
      <c r="O123" s="1215">
        <v>-1425.4203707499996</v>
      </c>
      <c r="P123" s="1215">
        <v>-1425.4203707499996</v>
      </c>
      <c r="Q123" s="1215">
        <v>-1425.4203707499996</v>
      </c>
      <c r="R123" s="1215">
        <v>-1425.4203707499996</v>
      </c>
      <c r="S123" s="1215">
        <v>-1425.4203707499996</v>
      </c>
      <c r="T123" s="1215">
        <v>-1425.4203707499996</v>
      </c>
    </row>
    <row r="124" spans="2:20" hidden="1" outlineLevel="1">
      <c r="B124" s="1216" t="s">
        <v>60</v>
      </c>
      <c r="C124" s="1217">
        <f t="shared" ref="C124:M124" si="85">+C104-C123</f>
        <v>-40.940250000000106</v>
      </c>
      <c r="D124" s="1217">
        <f t="shared" si="85"/>
        <v>-35.976974999999584</v>
      </c>
      <c r="E124" s="1217">
        <f t="shared" si="85"/>
        <v>-43.181027500000255</v>
      </c>
      <c r="F124" s="1217">
        <f t="shared" si="85"/>
        <v>-66.325520000000324</v>
      </c>
      <c r="G124" s="1217">
        <f t="shared" si="85"/>
        <v>-20.947483999999804</v>
      </c>
      <c r="H124" s="1217">
        <f t="shared" si="85"/>
        <v>-19.872570000000223</v>
      </c>
      <c r="I124" s="1217">
        <f t="shared" si="85"/>
        <v>21.676563750000014</v>
      </c>
      <c r="J124" s="1217">
        <f t="shared" si="85"/>
        <v>2934.1510220000005</v>
      </c>
      <c r="K124" s="1217">
        <f t="shared" si="85"/>
        <v>-272.90482825000049</v>
      </c>
      <c r="L124" s="1217">
        <f t="shared" si="85"/>
        <v>-244.63298399999985</v>
      </c>
      <c r="M124" s="1217">
        <f t="shared" si="85"/>
        <v>-218.97778800000015</v>
      </c>
      <c r="N124" s="1218">
        <f>+N104-N123</f>
        <v>-195.48996925000051</v>
      </c>
      <c r="O124" s="1218">
        <f>+O104-O123</f>
        <v>-152.36389675000032</v>
      </c>
      <c r="P124" s="1218">
        <f t="shared" ref="P124:T124" si="86">+P104-P123</f>
        <v>-132.45906425000044</v>
      </c>
      <c r="Q124" s="1218">
        <f t="shared" si="86"/>
        <v>-131.88301675000048</v>
      </c>
      <c r="R124" s="1218">
        <f t="shared" si="86"/>
        <v>-132.5024292500002</v>
      </c>
      <c r="S124" s="1218">
        <f t="shared" si="86"/>
        <v>-131.59995425000034</v>
      </c>
      <c r="T124" s="1218">
        <f t="shared" si="86"/>
        <v>-132.21185925000032</v>
      </c>
    </row>
    <row r="125" spans="2:20" hidden="1" outlineLevel="1">
      <c r="B125" s="1216"/>
      <c r="C125" s="1217"/>
      <c r="D125" s="1217"/>
      <c r="E125" s="1217"/>
      <c r="F125" s="1217"/>
      <c r="G125" s="1217"/>
      <c r="H125" s="1217"/>
      <c r="I125" s="1217"/>
      <c r="J125" s="1217"/>
      <c r="K125" s="1217"/>
      <c r="L125" s="1217"/>
      <c r="M125" s="1217"/>
      <c r="N125" s="1218"/>
      <c r="O125" s="1218"/>
      <c r="P125" s="1218"/>
      <c r="Q125" s="1218"/>
      <c r="R125" s="1218"/>
      <c r="S125" s="1218"/>
      <c r="T125" s="1218"/>
    </row>
    <row r="126" spans="2:20" s="931" customFormat="1" hidden="1" outlineLevel="1">
      <c r="B126" s="1219" t="s">
        <v>1089</v>
      </c>
      <c r="C126" s="1220">
        <f t="shared" ref="C126:H126" si="87">+C115/(C113+C124)</f>
        <v>0.78739430015123224</v>
      </c>
      <c r="D126" s="1220">
        <f t="shared" si="87"/>
        <v>0.52718646403500435</v>
      </c>
      <c r="E126" s="1220">
        <f t="shared" si="87"/>
        <v>0.47173133540738243</v>
      </c>
      <c r="F126" s="1220">
        <f t="shared" si="87"/>
        <v>0.60586855662116734</v>
      </c>
      <c r="G126" s="1220">
        <f t="shared" si="87"/>
        <v>0.54859958564841749</v>
      </c>
      <c r="H126" s="1220">
        <f t="shared" si="87"/>
        <v>0.3891137926881621</v>
      </c>
      <c r="I126" s="1220">
        <f>+J115/(J113+I124)</f>
        <v>0.4289053559777089</v>
      </c>
      <c r="J126" s="1220">
        <f>+K115/(K113+J124)</f>
        <v>1.0844914107029304</v>
      </c>
      <c r="K126" s="1220">
        <f>+L115/(L113+K124)</f>
        <v>1.2234230654702467</v>
      </c>
      <c r="L126" s="1220">
        <f ca="1">+M115/(M113+L124)</f>
        <v>0.59388342248154635</v>
      </c>
      <c r="M126" s="1220">
        <f ca="1">+N115/(N113+M124)</f>
        <v>0.51599690489611283</v>
      </c>
      <c r="N126" s="1221"/>
      <c r="O126" s="1221"/>
      <c r="P126" s="1221"/>
      <c r="Q126" s="1221"/>
      <c r="R126" s="1221"/>
      <c r="S126" s="1221"/>
      <c r="T126" s="1221"/>
    </row>
    <row r="127" spans="2:20" hidden="1" outlineLevel="1"/>
    <row r="128" spans="2:20" s="1202" customFormat="1" ht="12.75" collapsed="1">
      <c r="B128" s="1203" t="s">
        <v>1067</v>
      </c>
      <c r="C128" s="1204"/>
      <c r="D128" s="1204"/>
      <c r="E128" s="1204"/>
      <c r="F128" s="1204"/>
      <c r="G128" s="1204"/>
      <c r="H128" s="1204"/>
      <c r="I128" s="1205">
        <v>2014</v>
      </c>
      <c r="J128" s="1205">
        <v>2015</v>
      </c>
      <c r="K128" s="1205" t="s">
        <v>1079</v>
      </c>
      <c r="L128" s="1205" t="s">
        <v>1080</v>
      </c>
      <c r="M128" s="1205" t="s">
        <v>1081</v>
      </c>
      <c r="N128" s="1206" t="s">
        <v>1081</v>
      </c>
      <c r="O128" s="1206" t="s">
        <v>1081</v>
      </c>
      <c r="P128" s="1206" t="s">
        <v>1081</v>
      </c>
      <c r="Q128" s="1206" t="s">
        <v>1081</v>
      </c>
      <c r="R128" s="1206" t="s">
        <v>1081</v>
      </c>
      <c r="S128" s="1206" t="s">
        <v>1081</v>
      </c>
      <c r="T128" s="1206" t="s">
        <v>1081</v>
      </c>
    </row>
    <row r="129" spans="2:20" s="1202" customFormat="1" ht="12.75">
      <c r="B129" s="1207" t="s">
        <v>1068</v>
      </c>
      <c r="C129" s="1208">
        <v>0</v>
      </c>
      <c r="D129" s="1208">
        <v>0</v>
      </c>
      <c r="E129" s="1208">
        <v>0</v>
      </c>
      <c r="F129" s="1208">
        <v>0</v>
      </c>
      <c r="G129" s="1208">
        <v>0</v>
      </c>
      <c r="H129" s="1208">
        <v>0</v>
      </c>
      <c r="I129" s="1208">
        <f>25*17/3</f>
        <v>141.66666666666666</v>
      </c>
      <c r="J129" s="1208">
        <f>+C74-I129</f>
        <v>2716.3370833333333</v>
      </c>
      <c r="K129" s="1208">
        <v>-289.88323750000001</v>
      </c>
      <c r="L129" s="1208">
        <v>-260.89491375</v>
      </c>
      <c r="M129" s="1208">
        <v>-234.95799249999996</v>
      </c>
      <c r="N129" s="1208">
        <v>-211.46219324999998</v>
      </c>
      <c r="O129" s="1208">
        <v>-211.46219324999998</v>
      </c>
      <c r="P129" s="1208">
        <v>-211.46219324999998</v>
      </c>
      <c r="Q129" s="1208">
        <v>-211.46219324999998</v>
      </c>
      <c r="R129" s="1208">
        <v>-211.46219324999998</v>
      </c>
      <c r="S129" s="1208">
        <v>-211.46219324999998</v>
      </c>
      <c r="T129" s="1208">
        <v>-211.46219324999998</v>
      </c>
    </row>
    <row r="130" spans="2:20" s="1202" customFormat="1" ht="12.75">
      <c r="B130" s="1207" t="s">
        <v>1069</v>
      </c>
      <c r="C130" s="1208">
        <v>0</v>
      </c>
      <c r="D130" s="1208">
        <v>0</v>
      </c>
      <c r="E130" s="1208">
        <v>0</v>
      </c>
      <c r="F130" s="1208">
        <v>0</v>
      </c>
      <c r="G130" s="1208">
        <v>0</v>
      </c>
      <c r="H130" s="1208">
        <v>0</v>
      </c>
      <c r="I130" s="1208">
        <v>0</v>
      </c>
      <c r="J130" s="1208">
        <v>0</v>
      </c>
      <c r="K130" s="1208">
        <v>3017.9136331390787</v>
      </c>
      <c r="L130" s="1208">
        <v>-301.79136331390805</v>
      </c>
      <c r="M130" s="1208">
        <v>-271.61222698251709</v>
      </c>
      <c r="N130" s="1208">
        <v>-244.60984184390441</v>
      </c>
      <c r="O130" s="1208">
        <v>-244.60984184390441</v>
      </c>
      <c r="P130" s="1208">
        <v>-244.60984184390441</v>
      </c>
      <c r="Q130" s="1208">
        <v>-244.60984184390441</v>
      </c>
      <c r="R130" s="1208">
        <v>-244.60984184390441</v>
      </c>
      <c r="S130" s="1208">
        <v>-244.60984184390441</v>
      </c>
      <c r="T130" s="1208">
        <v>-244.60984184390441</v>
      </c>
    </row>
    <row r="131" spans="2:20" s="1202" customFormat="1" ht="12.75">
      <c r="B131" s="1209" t="s">
        <v>1070</v>
      </c>
      <c r="C131" s="1210"/>
      <c r="D131" s="1210"/>
      <c r="E131" s="1210"/>
      <c r="F131" s="1210"/>
      <c r="G131" s="1210"/>
      <c r="H131" s="1210"/>
      <c r="I131" s="1211">
        <f t="shared" ref="I131:N131" si="88">+I129+I130</f>
        <v>141.66666666666666</v>
      </c>
      <c r="J131" s="1211">
        <f t="shared" si="88"/>
        <v>2716.3370833333333</v>
      </c>
      <c r="K131" s="1211">
        <f t="shared" si="88"/>
        <v>2728.0303956390785</v>
      </c>
      <c r="L131" s="1211">
        <f t="shared" si="88"/>
        <v>-562.68627706390805</v>
      </c>
      <c r="M131" s="1211">
        <f t="shared" si="88"/>
        <v>-506.57021948251702</v>
      </c>
      <c r="N131" s="1212">
        <f t="shared" si="88"/>
        <v>-456.07203509390439</v>
      </c>
      <c r="O131" s="1212">
        <f t="shared" ref="O131:T131" si="89">+O129+O130</f>
        <v>-456.07203509390439</v>
      </c>
      <c r="P131" s="1212">
        <f t="shared" si="89"/>
        <v>-456.07203509390439</v>
      </c>
      <c r="Q131" s="1212">
        <f t="shared" si="89"/>
        <v>-456.07203509390439</v>
      </c>
      <c r="R131" s="1212">
        <f t="shared" si="89"/>
        <v>-456.07203509390439</v>
      </c>
      <c r="S131" s="1212">
        <f t="shared" si="89"/>
        <v>-456.07203509390439</v>
      </c>
      <c r="T131" s="1212">
        <f t="shared" si="89"/>
        <v>-456.07203509390439</v>
      </c>
    </row>
    <row r="132" spans="2:20" s="1202" customFormat="1" ht="12.75">
      <c r="N132" s="1570"/>
      <c r="O132" s="1570"/>
      <c r="P132" s="1570"/>
      <c r="Q132" s="1570"/>
      <c r="R132" s="1570"/>
      <c r="S132" s="1570"/>
      <c r="T132" s="1570"/>
    </row>
    <row r="133" spans="2:20">
      <c r="M133" s="812"/>
      <c r="N133" s="812"/>
      <c r="O133" s="812"/>
      <c r="P133" s="812"/>
      <c r="Q133" s="812"/>
      <c r="R133" s="812"/>
      <c r="S133" s="812"/>
      <c r="T133" s="812"/>
    </row>
  </sheetData>
  <phoneticPr fontId="107" type="noConversion"/>
  <pageMargins left="0.5" right="0.5" top="0.5" bottom="0.5" header="0.5" footer="0.5"/>
  <pageSetup scale="40" orientation="landscape" r:id="rId1"/>
  <headerFooter alignWithMargins="0">
    <oddFooter>&amp;R&amp;A</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tabColor indexed="60"/>
    <pageSetUpPr fitToPage="1"/>
  </sheetPr>
  <dimension ref="A1:DL458"/>
  <sheetViews>
    <sheetView zoomScale="85" workbookViewId="0">
      <pane xSplit="1" ySplit="2" topLeftCell="CR3" activePane="bottomRight" state="frozen"/>
      <selection pane="topRight" activeCell="B1" sqref="B1"/>
      <selection pane="bottomLeft" activeCell="A3" sqref="A3"/>
      <selection pane="bottomRight" activeCell="CR3" sqref="CR3"/>
    </sheetView>
  </sheetViews>
  <sheetFormatPr defaultRowHeight="12.75" customHeight="1" outlineLevelRow="1" outlineLevelCol="1"/>
  <cols>
    <col min="1" max="1" width="50.6640625" style="1626" customWidth="1"/>
    <col min="2" max="4" width="1.88671875" style="1673" hidden="1" customWidth="1" outlineLevel="1"/>
    <col min="5" max="11" width="12.5546875" style="1673" hidden="1" customWidth="1" outlineLevel="1"/>
    <col min="12" max="16" width="1.88671875" style="1673" hidden="1" customWidth="1" outlineLevel="1"/>
    <col min="17" max="17" width="1.88671875" style="1673" hidden="1" customWidth="1" outlineLevel="1" collapsed="1"/>
    <col min="18" max="28" width="1.88671875" style="1673" hidden="1" customWidth="1" outlineLevel="1"/>
    <col min="29" max="29" width="1.88671875" style="1673" hidden="1" customWidth="1" outlineLevel="1" collapsed="1"/>
    <col min="30" max="31" width="1.88671875" style="1673" hidden="1" customWidth="1" outlineLevel="1"/>
    <col min="32" max="47" width="12.5546875" style="1673" hidden="1" customWidth="1" outlineLevel="1"/>
    <col min="48" max="48" width="12.5546875" style="1673" hidden="1" customWidth="1" outlineLevel="1" collapsed="1"/>
    <col min="49" max="63" width="12.5546875" style="1673" hidden="1" customWidth="1" outlineLevel="1"/>
    <col min="64" max="64" width="13.44140625" style="1673" hidden="1" customWidth="1" outlineLevel="1"/>
    <col min="65" max="83" width="12.5546875" style="1673" hidden="1" customWidth="1" outlineLevel="1"/>
    <col min="84" max="89" width="13.109375" style="1673" hidden="1" customWidth="1" outlineLevel="1"/>
    <col min="90" max="91" width="11.5546875" style="1673" hidden="1" customWidth="1" outlineLevel="1"/>
    <col min="92" max="94" width="11.5546875" style="1781" hidden="1" customWidth="1" outlineLevel="1"/>
    <col min="95" max="95" width="9.6640625" style="1781" hidden="1" customWidth="1" outlineLevel="1"/>
    <col min="96" max="96" width="11" style="1781" customWidth="1" collapsed="1"/>
    <col min="97" max="97" width="9.6640625" style="1781" customWidth="1"/>
    <col min="98" max="98" width="9.44140625" style="1781" customWidth="1"/>
    <col min="99" max="99" width="8.88671875" style="1781"/>
    <col min="100" max="100" width="8.88671875" style="1673"/>
    <col min="101" max="116" width="8.88671875" style="1781"/>
    <col min="117" max="16384" width="8.88671875" style="1673"/>
  </cols>
  <sheetData>
    <row r="1" spans="1:116" ht="12.75" customHeight="1" thickBot="1">
      <c r="A1" s="955" t="s">
        <v>900</v>
      </c>
      <c r="B1" s="1642"/>
      <c r="C1" s="1642"/>
      <c r="D1" s="1642"/>
      <c r="E1" s="1642"/>
      <c r="F1" s="1642"/>
      <c r="G1" s="1642"/>
      <c r="H1" s="1642"/>
      <c r="I1" s="1642"/>
      <c r="J1" s="1642"/>
      <c r="K1" s="1642"/>
      <c r="L1" s="1642"/>
      <c r="M1" s="1642"/>
      <c r="N1" s="1642"/>
      <c r="O1" s="1642"/>
      <c r="P1" s="1642"/>
      <c r="Q1" s="1642"/>
      <c r="R1" s="1642"/>
      <c r="S1" s="1642"/>
      <c r="T1" s="1642"/>
      <c r="U1" s="1642"/>
      <c r="V1" s="1642"/>
      <c r="W1" s="1642"/>
      <c r="X1" s="1642"/>
      <c r="Y1" s="1642"/>
      <c r="Z1" s="1642"/>
      <c r="AA1" s="1642"/>
      <c r="AB1" s="1642"/>
      <c r="AC1" s="1642"/>
      <c r="AD1" s="1642"/>
      <c r="AE1" s="1642"/>
      <c r="AF1" s="1642"/>
      <c r="AG1" s="1642"/>
      <c r="AH1" s="1642"/>
      <c r="AI1" s="1642"/>
      <c r="AJ1" s="1642"/>
      <c r="AK1" s="1642"/>
      <c r="AL1" s="1642"/>
      <c r="AM1" s="1642"/>
      <c r="AN1" s="1642"/>
      <c r="AO1" s="1642"/>
      <c r="AP1" s="1642"/>
      <c r="AQ1" s="1642"/>
      <c r="AR1" s="1642"/>
      <c r="AS1" s="1642"/>
      <c r="AT1" s="1642"/>
      <c r="AU1" s="1642"/>
      <c r="AV1" s="1642"/>
      <c r="AW1" s="1642"/>
      <c r="AX1" s="1642"/>
      <c r="AY1" s="1642"/>
      <c r="AZ1" s="1642"/>
      <c r="BA1" s="1642"/>
      <c r="BB1" s="1642"/>
      <c r="BC1" s="1642"/>
      <c r="BD1" s="1668" t="s">
        <v>606</v>
      </c>
      <c r="BE1" s="1669"/>
      <c r="BF1" s="1669"/>
      <c r="BG1" s="1625"/>
      <c r="BH1" s="1668" t="s">
        <v>607</v>
      </c>
      <c r="BI1" s="1669"/>
      <c r="BJ1" s="1669"/>
      <c r="BK1" s="1670"/>
      <c r="BL1" s="1625"/>
      <c r="BM1" s="1669"/>
      <c r="BN1" s="1669"/>
      <c r="BO1" s="1669"/>
      <c r="BP1" s="1625" t="s">
        <v>608</v>
      </c>
      <c r="BQ1" s="1642"/>
      <c r="BR1" s="1642"/>
      <c r="BS1" s="1642"/>
      <c r="BT1" s="1642"/>
      <c r="BU1" s="1642"/>
      <c r="BV1" s="1642"/>
      <c r="BW1" s="1642"/>
      <c r="BX1" s="1642"/>
      <c r="BY1" s="1642"/>
      <c r="BZ1" s="1642"/>
      <c r="CA1" s="1642"/>
      <c r="CB1" s="1642"/>
      <c r="CC1" s="1642"/>
      <c r="CD1" s="1642"/>
      <c r="CE1" s="1642"/>
      <c r="CF1" s="1671"/>
      <c r="CG1" s="1671"/>
      <c r="CH1" s="1671"/>
      <c r="CI1" s="1671"/>
      <c r="CJ1" s="1671"/>
      <c r="CK1" s="1671"/>
      <c r="CL1" s="1671"/>
      <c r="CM1" s="1671"/>
      <c r="CN1" s="1671"/>
      <c r="CO1" s="1672"/>
      <c r="CP1" s="1672"/>
      <c r="CQ1" s="1672"/>
      <c r="CR1" s="1672"/>
      <c r="CS1" s="1672"/>
      <c r="CT1" s="1672"/>
      <c r="CU1" s="1672"/>
      <c r="CV1" s="1672"/>
      <c r="CW1" s="1672"/>
      <c r="CX1" s="1672"/>
      <c r="CY1" s="1672"/>
      <c r="CZ1" s="1672"/>
      <c r="DA1" s="1672"/>
      <c r="DB1" s="1672"/>
      <c r="DC1" s="1672"/>
      <c r="DD1" s="1672"/>
      <c r="DE1" s="1672"/>
      <c r="DF1" s="1672"/>
      <c r="DG1" s="1672"/>
      <c r="DH1" s="1672"/>
      <c r="DI1" s="1672"/>
      <c r="DJ1" s="1672"/>
      <c r="DK1" s="1672"/>
      <c r="DL1" s="3325" t="s">
        <v>1710</v>
      </c>
    </row>
    <row r="2" spans="1:116" ht="12.75" customHeight="1">
      <c r="A2" s="1665"/>
      <c r="B2" s="1674"/>
      <c r="C2" s="1674"/>
      <c r="D2" s="1675"/>
      <c r="E2" s="1676">
        <v>1997</v>
      </c>
      <c r="F2" s="1675">
        <v>1998</v>
      </c>
      <c r="G2" s="1675">
        <v>1999</v>
      </c>
      <c r="H2" s="1675">
        <v>2000</v>
      </c>
      <c r="I2" s="1675">
        <v>2001</v>
      </c>
      <c r="J2" s="1675">
        <v>2002</v>
      </c>
      <c r="K2" s="1677">
        <v>2003</v>
      </c>
      <c r="L2" s="1675"/>
      <c r="M2" s="1675"/>
      <c r="N2" s="1675"/>
      <c r="O2" s="1675"/>
      <c r="P2" s="1675"/>
      <c r="Q2" s="1674"/>
      <c r="R2" s="1674"/>
      <c r="S2" s="1674"/>
      <c r="T2" s="1674"/>
      <c r="U2" s="1674"/>
      <c r="V2" s="1674"/>
      <c r="W2" s="1674"/>
      <c r="X2" s="1674"/>
      <c r="Y2" s="1674"/>
      <c r="Z2" s="1674"/>
      <c r="AA2" s="1674"/>
      <c r="AB2" s="1674"/>
      <c r="AC2" s="1674"/>
      <c r="AD2" s="1675"/>
      <c r="AE2" s="1674"/>
      <c r="AF2" s="1676" t="s">
        <v>902</v>
      </c>
      <c r="AG2" s="1675" t="s">
        <v>903</v>
      </c>
      <c r="AH2" s="1675" t="s">
        <v>904</v>
      </c>
      <c r="AI2" s="1675" t="s">
        <v>905</v>
      </c>
      <c r="AJ2" s="1676" t="s">
        <v>906</v>
      </c>
      <c r="AK2" s="1675" t="s">
        <v>907</v>
      </c>
      <c r="AL2" s="1675" t="s">
        <v>908</v>
      </c>
      <c r="AM2" s="1675" t="s">
        <v>909</v>
      </c>
      <c r="AN2" s="1676" t="s">
        <v>910</v>
      </c>
      <c r="AO2" s="1675" t="s">
        <v>911</v>
      </c>
      <c r="AP2" s="1675" t="s">
        <v>912</v>
      </c>
      <c r="AQ2" s="1675" t="s">
        <v>913</v>
      </c>
      <c r="AR2" s="1676" t="s">
        <v>914</v>
      </c>
      <c r="AS2" s="1675" t="s">
        <v>915</v>
      </c>
      <c r="AT2" s="1675" t="s">
        <v>916</v>
      </c>
      <c r="AU2" s="1675" t="s">
        <v>917</v>
      </c>
      <c r="AV2" s="1676" t="s">
        <v>918</v>
      </c>
      <c r="AW2" s="1675" t="s">
        <v>919</v>
      </c>
      <c r="AX2" s="1675" t="s">
        <v>920</v>
      </c>
      <c r="AY2" s="1675" t="s">
        <v>921</v>
      </c>
      <c r="AZ2" s="1676" t="s">
        <v>922</v>
      </c>
      <c r="BA2" s="1675" t="s">
        <v>923</v>
      </c>
      <c r="BB2" s="1675" t="s">
        <v>924</v>
      </c>
      <c r="BC2" s="1675" t="s">
        <v>925</v>
      </c>
      <c r="BD2" s="1678" t="s">
        <v>926</v>
      </c>
      <c r="BE2" s="1679" t="s">
        <v>927</v>
      </c>
      <c r="BF2" s="1679" t="s">
        <v>928</v>
      </c>
      <c r="BG2" s="1679" t="s">
        <v>929</v>
      </c>
      <c r="BH2" s="1678" t="s">
        <v>930</v>
      </c>
      <c r="BI2" s="1679" t="s">
        <v>931</v>
      </c>
      <c r="BJ2" s="1679" t="s">
        <v>932</v>
      </c>
      <c r="BK2" s="1679" t="s">
        <v>933</v>
      </c>
      <c r="BL2" s="1678" t="s">
        <v>934</v>
      </c>
      <c r="BM2" s="1679" t="s">
        <v>935</v>
      </c>
      <c r="BN2" s="1679" t="s">
        <v>936</v>
      </c>
      <c r="BO2" s="1679" t="s">
        <v>937</v>
      </c>
      <c r="BP2" s="1678" t="s">
        <v>1116</v>
      </c>
      <c r="BQ2" s="1675" t="s">
        <v>1117</v>
      </c>
      <c r="BR2" s="1675" t="s">
        <v>1118</v>
      </c>
      <c r="BS2" s="1675" t="s">
        <v>1119</v>
      </c>
      <c r="BT2" s="1676" t="s">
        <v>1120</v>
      </c>
      <c r="BU2" s="1675" t="s">
        <v>1121</v>
      </c>
      <c r="BV2" s="1675" t="s">
        <v>1122</v>
      </c>
      <c r="BW2" s="1675" t="s">
        <v>1123</v>
      </c>
      <c r="BX2" s="1676" t="s">
        <v>1124</v>
      </c>
      <c r="BY2" s="1675" t="s">
        <v>1125</v>
      </c>
      <c r="BZ2" s="1675" t="s">
        <v>1126</v>
      </c>
      <c r="CA2" s="1675" t="s">
        <v>1127</v>
      </c>
      <c r="CB2" s="1676" t="s">
        <v>1128</v>
      </c>
      <c r="CC2" s="1675" t="s">
        <v>1129</v>
      </c>
      <c r="CD2" s="1675" t="s">
        <v>1130</v>
      </c>
      <c r="CE2" s="1675" t="s">
        <v>1131</v>
      </c>
      <c r="CF2" s="1678" t="s">
        <v>1132</v>
      </c>
      <c r="CG2" s="1679" t="s">
        <v>1133</v>
      </c>
      <c r="CH2" s="1679" t="s">
        <v>1134</v>
      </c>
      <c r="CI2" s="1679" t="s">
        <v>1135</v>
      </c>
      <c r="CJ2" s="1678" t="s">
        <v>1136</v>
      </c>
      <c r="CK2" s="1679" t="s">
        <v>1137</v>
      </c>
      <c r="CL2" s="1679" t="s">
        <v>1138</v>
      </c>
      <c r="CM2" s="1680" t="s">
        <v>1139</v>
      </c>
      <c r="CN2" s="1679" t="s">
        <v>1140</v>
      </c>
      <c r="CO2" s="1675" t="s">
        <v>1141</v>
      </c>
      <c r="CP2" s="1675" t="s">
        <v>1142</v>
      </c>
      <c r="CQ2" s="1677" t="s">
        <v>1143</v>
      </c>
      <c r="CR2" s="1675" t="s">
        <v>1144</v>
      </c>
      <c r="CS2" s="1675" t="s">
        <v>1145</v>
      </c>
      <c r="CT2" s="1675" t="s">
        <v>1146</v>
      </c>
      <c r="CU2" s="1677" t="s">
        <v>1147</v>
      </c>
      <c r="CV2" s="1675" t="s">
        <v>583</v>
      </c>
      <c r="CW2" s="1675" t="s">
        <v>1523</v>
      </c>
      <c r="CX2" s="1675" t="s">
        <v>1524</v>
      </c>
      <c r="CY2" s="1677" t="s">
        <v>1525</v>
      </c>
      <c r="CZ2" s="1675" t="s">
        <v>1543</v>
      </c>
      <c r="DA2" s="1675" t="s">
        <v>1544</v>
      </c>
      <c r="DB2" s="1675" t="s">
        <v>1545</v>
      </c>
      <c r="DC2" s="1675" t="s">
        <v>1546</v>
      </c>
      <c r="DD2" s="2493" t="s">
        <v>1654</v>
      </c>
      <c r="DE2" s="2493" t="s">
        <v>1657</v>
      </c>
      <c r="DF2" s="2493" t="s">
        <v>1658</v>
      </c>
      <c r="DG2" s="2493" t="s">
        <v>1659</v>
      </c>
      <c r="DH2" s="2493" t="s">
        <v>1672</v>
      </c>
      <c r="DI2" s="2493" t="s">
        <v>1692</v>
      </c>
      <c r="DJ2" s="2493" t="s">
        <v>1694</v>
      </c>
      <c r="DK2" s="2493" t="s">
        <v>1701</v>
      </c>
      <c r="DL2" s="2493" t="s">
        <v>1722</v>
      </c>
    </row>
    <row r="3" spans="1:116" ht="12.75" customHeight="1">
      <c r="A3" s="1539"/>
      <c r="B3" s="1642"/>
      <c r="C3" s="1642"/>
      <c r="D3" s="1642"/>
      <c r="E3" s="1641"/>
      <c r="F3" s="1642"/>
      <c r="G3" s="1642"/>
      <c r="H3" s="1642"/>
      <c r="I3" s="1642"/>
      <c r="J3" s="1642"/>
      <c r="K3" s="1681"/>
      <c r="L3" s="1642"/>
      <c r="M3" s="1642"/>
      <c r="N3" s="1642"/>
      <c r="O3" s="1642"/>
      <c r="P3" s="1642"/>
      <c r="Q3" s="1642"/>
      <c r="R3" s="1642"/>
      <c r="S3" s="1642"/>
      <c r="T3" s="1642"/>
      <c r="U3" s="1642"/>
      <c r="V3" s="1642"/>
      <c r="W3" s="1642"/>
      <c r="X3" s="1642"/>
      <c r="Y3" s="1642"/>
      <c r="Z3" s="1642"/>
      <c r="AA3" s="1642"/>
      <c r="AB3" s="1642"/>
      <c r="AC3" s="1642"/>
      <c r="AD3" s="1642"/>
      <c r="AE3" s="1642"/>
      <c r="AF3" s="1641"/>
      <c r="AG3" s="1642"/>
      <c r="AH3" s="1642"/>
      <c r="AI3" s="1642"/>
      <c r="AJ3" s="1641"/>
      <c r="AK3" s="1642"/>
      <c r="AL3" s="1642"/>
      <c r="AM3" s="1642"/>
      <c r="AN3" s="1641"/>
      <c r="AO3" s="1642"/>
      <c r="AP3" s="1642"/>
      <c r="AQ3" s="1642"/>
      <c r="AR3" s="1641"/>
      <c r="AS3" s="1642"/>
      <c r="AT3" s="1642"/>
      <c r="AU3" s="1642"/>
      <c r="AV3" s="1641"/>
      <c r="AW3" s="1642"/>
      <c r="AX3" s="1642"/>
      <c r="AY3" s="1642"/>
      <c r="AZ3" s="1641"/>
      <c r="BA3" s="1642"/>
      <c r="BB3" s="1642"/>
      <c r="BC3" s="1642"/>
      <c r="BD3" s="1641"/>
      <c r="BE3" s="1642"/>
      <c r="BF3" s="1642"/>
      <c r="BG3" s="1642"/>
      <c r="BH3" s="1641"/>
      <c r="BI3" s="1642"/>
      <c r="BJ3" s="1642"/>
      <c r="BK3" s="1642"/>
      <c r="BL3" s="1641"/>
      <c r="BM3" s="1642"/>
      <c r="BN3" s="1642"/>
      <c r="BO3" s="1642"/>
      <c r="BP3" s="1641"/>
      <c r="BQ3" s="1642"/>
      <c r="BR3" s="1642"/>
      <c r="BS3" s="1642"/>
      <c r="BT3" s="1641"/>
      <c r="BU3" s="1642"/>
      <c r="BV3" s="1642"/>
      <c r="BW3" s="1642"/>
      <c r="BX3" s="1641"/>
      <c r="BY3" s="1642"/>
      <c r="BZ3" s="1642"/>
      <c r="CA3" s="1642"/>
      <c r="CB3" s="1641"/>
      <c r="CC3" s="1642"/>
      <c r="CD3" s="1642"/>
      <c r="CE3" s="1642"/>
      <c r="CF3" s="1641"/>
      <c r="CG3" s="1642"/>
      <c r="CH3" s="1642"/>
      <c r="CI3" s="1642"/>
      <c r="CJ3" s="1641"/>
      <c r="CK3" s="1642"/>
      <c r="CL3" s="1642"/>
      <c r="CM3" s="1681"/>
      <c r="CN3" s="1672"/>
      <c r="CO3" s="1672"/>
      <c r="CP3" s="1672"/>
      <c r="CQ3" s="1681"/>
      <c r="CR3" s="1672"/>
      <c r="CS3" s="1672"/>
      <c r="CT3" s="1672"/>
      <c r="CU3" s="1681"/>
      <c r="CV3" s="1672"/>
      <c r="CW3" s="1672"/>
      <c r="CX3" s="1672"/>
      <c r="CY3" s="1681"/>
      <c r="CZ3" s="1672"/>
      <c r="DA3" s="1672"/>
      <c r="DB3" s="1672"/>
      <c r="DC3" s="1672"/>
      <c r="DD3" s="1672"/>
      <c r="DE3" s="1672"/>
      <c r="DF3" s="1672"/>
      <c r="DG3" s="1672"/>
      <c r="DH3" s="1672"/>
      <c r="DI3" s="1672"/>
      <c r="DJ3" s="1672"/>
      <c r="DK3" s="1672"/>
      <c r="DL3" s="1672"/>
    </row>
    <row r="4" spans="1:116">
      <c r="A4" s="1664" t="s">
        <v>946</v>
      </c>
      <c r="B4" s="1682"/>
      <c r="C4" s="1682"/>
      <c r="D4" s="1683"/>
      <c r="E4" s="1684"/>
      <c r="F4" s="1683"/>
      <c r="G4" s="1683"/>
      <c r="H4" s="1683"/>
      <c r="I4" s="1683"/>
      <c r="J4" s="1683"/>
      <c r="K4" s="1685"/>
      <c r="L4" s="1683"/>
      <c r="M4" s="1683"/>
      <c r="N4" s="1683"/>
      <c r="O4" s="1683"/>
      <c r="P4" s="1683"/>
      <c r="Q4" s="1683"/>
      <c r="R4" s="1683"/>
      <c r="S4" s="1683"/>
      <c r="T4" s="1683"/>
      <c r="U4" s="1683"/>
      <c r="V4" s="1683"/>
      <c r="W4" s="1683"/>
      <c r="X4" s="1683"/>
      <c r="Y4" s="1683"/>
      <c r="Z4" s="1683"/>
      <c r="AA4" s="1683"/>
      <c r="AB4" s="1683"/>
      <c r="AC4" s="1683"/>
      <c r="AD4" s="1683"/>
      <c r="AE4" s="1683"/>
      <c r="AF4" s="1684"/>
      <c r="AG4" s="1683"/>
      <c r="AH4" s="1683"/>
      <c r="AI4" s="1683"/>
      <c r="AJ4" s="1684"/>
      <c r="AK4" s="1683"/>
      <c r="AL4" s="1683"/>
      <c r="AM4" s="1683"/>
      <c r="AN4" s="1684"/>
      <c r="AO4" s="1683"/>
      <c r="AP4" s="1683"/>
      <c r="AQ4" s="1683"/>
      <c r="AR4" s="1684"/>
      <c r="AS4" s="1683"/>
      <c r="AT4" s="1683"/>
      <c r="AU4" s="1683"/>
      <c r="AV4" s="1684"/>
      <c r="AW4" s="1683"/>
      <c r="AX4" s="1683"/>
      <c r="AY4" s="1683"/>
      <c r="AZ4" s="1684"/>
      <c r="BA4" s="1683"/>
      <c r="BB4" s="1683"/>
      <c r="BC4" s="1683"/>
      <c r="BD4" s="1684"/>
      <c r="BE4" s="1683"/>
      <c r="BF4" s="1683"/>
      <c r="BG4" s="1683"/>
      <c r="BH4" s="1684"/>
      <c r="BI4" s="1683"/>
      <c r="BJ4" s="1683"/>
      <c r="BK4" s="1683"/>
      <c r="BL4" s="1684"/>
      <c r="BM4" s="1683"/>
      <c r="BN4" s="1683"/>
      <c r="BO4" s="1683"/>
      <c r="BP4" s="1684"/>
      <c r="BQ4" s="1683"/>
      <c r="BR4" s="1683"/>
      <c r="BS4" s="1683"/>
      <c r="BT4" s="1684"/>
      <c r="BU4" s="1683"/>
      <c r="BV4" s="1683"/>
      <c r="BW4" s="1683"/>
      <c r="BX4" s="1684"/>
      <c r="BY4" s="1683"/>
      <c r="BZ4" s="1683"/>
      <c r="CA4" s="1683"/>
      <c r="CB4" s="1684"/>
      <c r="CC4" s="1683"/>
      <c r="CD4" s="1683"/>
      <c r="CE4" s="1683"/>
      <c r="CF4" s="1684"/>
      <c r="CG4" s="1683"/>
      <c r="CH4" s="1683"/>
      <c r="CI4" s="1683"/>
      <c r="CJ4" s="1684"/>
      <c r="CK4" s="1683"/>
      <c r="CL4" s="1683"/>
      <c r="CM4" s="1685"/>
      <c r="CN4" s="1686"/>
      <c r="CO4" s="1686"/>
      <c r="CP4" s="1686"/>
      <c r="CQ4" s="1685"/>
      <c r="CR4" s="1686"/>
      <c r="CS4" s="1686"/>
      <c r="CT4" s="1686"/>
      <c r="CU4" s="1685"/>
      <c r="CV4" s="1686"/>
      <c r="CW4" s="1686"/>
      <c r="CX4" s="1686"/>
      <c r="CY4" s="1685"/>
      <c r="CZ4" s="1686"/>
      <c r="DA4" s="1686"/>
      <c r="DB4" s="1686"/>
      <c r="DC4" s="1686"/>
      <c r="DD4" s="1686"/>
      <c r="DE4" s="1686"/>
      <c r="DF4" s="1686"/>
      <c r="DG4" s="1686"/>
      <c r="DH4" s="1686"/>
      <c r="DI4" s="1686"/>
      <c r="DJ4" s="1686"/>
      <c r="DK4" s="1686"/>
      <c r="DL4" s="1686"/>
    </row>
    <row r="5" spans="1:116">
      <c r="A5" s="1539" t="s">
        <v>947</v>
      </c>
      <c r="B5" s="1642"/>
      <c r="C5" s="1642"/>
      <c r="D5" s="1642"/>
      <c r="E5" s="1641"/>
      <c r="F5" s="1642"/>
      <c r="G5" s="1642"/>
      <c r="H5" s="1642"/>
      <c r="I5" s="1642"/>
      <c r="J5" s="1642"/>
      <c r="K5" s="1681"/>
      <c r="L5" s="1642"/>
      <c r="M5" s="1642"/>
      <c r="N5" s="1642"/>
      <c r="O5" s="1642"/>
      <c r="P5" s="1642"/>
      <c r="Q5" s="1642"/>
      <c r="R5" s="1642"/>
      <c r="S5" s="1642"/>
      <c r="T5" s="1642"/>
      <c r="U5" s="1642"/>
      <c r="V5" s="1642"/>
      <c r="W5" s="1642"/>
      <c r="X5" s="1642"/>
      <c r="Y5" s="1642"/>
      <c r="Z5" s="1642"/>
      <c r="AA5" s="1642"/>
      <c r="AB5" s="1642"/>
      <c r="AC5" s="1642"/>
      <c r="AD5" s="1642"/>
      <c r="AE5" s="1642"/>
      <c r="AF5" s="1641"/>
      <c r="AG5" s="1642"/>
      <c r="AH5" s="1642"/>
      <c r="AI5" s="1642"/>
      <c r="AJ5" s="1641"/>
      <c r="AK5" s="1642"/>
      <c r="AL5" s="1642"/>
      <c r="AM5" s="1642"/>
      <c r="AN5" s="1641" t="s">
        <v>609</v>
      </c>
      <c r="AO5" s="1642"/>
      <c r="AP5" s="1642"/>
      <c r="AQ5" s="1642"/>
      <c r="AR5" s="1641"/>
      <c r="AS5" s="1642"/>
      <c r="AT5" s="1642" t="s">
        <v>610</v>
      </c>
      <c r="AU5" s="1642"/>
      <c r="AV5" s="1641"/>
      <c r="AW5" s="1642"/>
      <c r="AX5" s="1642"/>
      <c r="AY5" s="1642"/>
      <c r="AZ5" s="1641"/>
      <c r="BA5" s="1642"/>
      <c r="BB5" s="1642"/>
      <c r="BC5" s="1642"/>
      <c r="BD5" s="1641"/>
      <c r="BE5" s="1642"/>
      <c r="BF5" s="1642"/>
      <c r="BG5" s="1642"/>
      <c r="BH5" s="1641"/>
      <c r="BI5" s="1642"/>
      <c r="BJ5" s="1642"/>
      <c r="BK5" s="1642"/>
      <c r="BL5" s="1641"/>
      <c r="BM5" s="1642"/>
      <c r="BN5" s="1642"/>
      <c r="BO5" s="1642"/>
      <c r="BP5" s="3486" t="s">
        <v>1150</v>
      </c>
      <c r="BQ5" s="3487"/>
      <c r="BR5" s="3487"/>
      <c r="BS5" s="3487"/>
      <c r="BT5" s="3487"/>
      <c r="BU5" s="3487"/>
      <c r="BV5" s="3487"/>
      <c r="BW5" s="3487"/>
      <c r="BX5" s="3487"/>
      <c r="BY5" s="1642"/>
      <c r="BZ5" s="1642"/>
      <c r="CA5" s="1642"/>
      <c r="CB5" s="1641"/>
      <c r="CC5" s="1642"/>
      <c r="CD5" s="1642"/>
      <c r="CE5" s="1642"/>
      <c r="CF5" s="1641"/>
      <c r="CG5" s="1642"/>
      <c r="CH5" s="1642"/>
      <c r="CI5" s="1642"/>
      <c r="CJ5" s="1641"/>
      <c r="CK5" s="1642"/>
      <c r="CL5" s="1642"/>
      <c r="CM5" s="1681"/>
      <c r="CN5" s="1672"/>
      <c r="CO5" s="1672"/>
      <c r="CP5" s="1672"/>
      <c r="CQ5" s="1681"/>
      <c r="CR5" s="1672"/>
      <c r="CS5" s="1672"/>
      <c r="CT5" s="1672"/>
      <c r="CU5" s="1681"/>
      <c r="CV5" s="1672"/>
      <c r="CW5" s="1672"/>
      <c r="CX5" s="1672"/>
      <c r="CY5" s="1681"/>
      <c r="CZ5" s="1672"/>
      <c r="DA5" s="1672"/>
      <c r="DB5" s="1672"/>
      <c r="DC5" s="1672"/>
      <c r="DD5" s="1672"/>
      <c r="DE5" s="1672"/>
      <c r="DF5" s="1672"/>
      <c r="DG5" s="1672"/>
      <c r="DH5" s="1672"/>
      <c r="DI5" s="1672"/>
      <c r="DJ5" s="1672"/>
      <c r="DK5" s="1672"/>
      <c r="DL5" s="1672"/>
    </row>
    <row r="6" spans="1:116">
      <c r="A6" s="1628" t="s">
        <v>1151</v>
      </c>
      <c r="B6" s="1642"/>
      <c r="C6" s="1642"/>
      <c r="D6" s="1642"/>
      <c r="E6" s="1641">
        <v>39426</v>
      </c>
      <c r="F6" s="1642">
        <v>41519</v>
      </c>
      <c r="G6" s="1642">
        <f>SUM(AN6:AQ6)</f>
        <v>41723</v>
      </c>
      <c r="H6" s="1642">
        <f>SUM(AR6:AU6)</f>
        <v>42322</v>
      </c>
      <c r="I6" s="1642">
        <f>SUM(AV6:AY6)</f>
        <v>42081</v>
      </c>
      <c r="J6" s="1642">
        <f>SUM(AZ6:BC6)</f>
        <v>40839</v>
      </c>
      <c r="K6" s="1681">
        <f>SUM(BD6:BG6)</f>
        <v>39055</v>
      </c>
      <c r="L6" s="1642"/>
      <c r="M6" s="1642"/>
      <c r="N6" s="1642"/>
      <c r="O6" s="1642"/>
      <c r="P6" s="1642"/>
      <c r="Q6" s="1642"/>
      <c r="R6" s="1642"/>
      <c r="S6" s="1642"/>
      <c r="T6" s="1642"/>
      <c r="U6" s="1642"/>
      <c r="V6" s="1642"/>
      <c r="W6" s="1642"/>
      <c r="X6" s="1642"/>
      <c r="Y6" s="1642"/>
      <c r="Z6" s="1642"/>
      <c r="AA6" s="1642"/>
      <c r="AB6" s="1642"/>
      <c r="AC6" s="1642"/>
      <c r="AD6" s="1642"/>
      <c r="AE6" s="1642"/>
      <c r="AF6" s="1641">
        <v>9576</v>
      </c>
      <c r="AG6" s="1642">
        <v>9818</v>
      </c>
      <c r="AH6" s="1642">
        <v>9912</v>
      </c>
      <c r="AI6" s="1642">
        <v>10120</v>
      </c>
      <c r="AJ6" s="1641">
        <v>10072</v>
      </c>
      <c r="AK6" s="1642">
        <v>10325</v>
      </c>
      <c r="AL6" s="1642">
        <v>10502</v>
      </c>
      <c r="AM6" s="1642">
        <v>10620</v>
      </c>
      <c r="AN6" s="1641">
        <v>10169</v>
      </c>
      <c r="AO6" s="1642">
        <v>10435</v>
      </c>
      <c r="AP6" s="1642">
        <v>10534</v>
      </c>
      <c r="AQ6" s="1642">
        <v>10585</v>
      </c>
      <c r="AR6" s="1641">
        <v>10366</v>
      </c>
      <c r="AS6" s="1642">
        <v>10661</v>
      </c>
      <c r="AT6" s="1642">
        <v>10618</v>
      </c>
      <c r="AU6" s="1642">
        <v>10677</v>
      </c>
      <c r="AV6" s="1641">
        <v>10661</v>
      </c>
      <c r="AW6" s="1642">
        <v>10702</v>
      </c>
      <c r="AX6" s="1642">
        <v>10422</v>
      </c>
      <c r="AY6" s="1642">
        <v>10296</v>
      </c>
      <c r="AZ6" s="1641">
        <v>10251</v>
      </c>
      <c r="BA6" s="1642">
        <v>10254</v>
      </c>
      <c r="BB6" s="1642">
        <v>10268</v>
      </c>
      <c r="BC6" s="1642">
        <v>10066</v>
      </c>
      <c r="BD6" s="1641">
        <v>9803</v>
      </c>
      <c r="BE6" s="1642">
        <v>9772</v>
      </c>
      <c r="BF6" s="1642">
        <v>9717</v>
      </c>
      <c r="BG6" s="1642">
        <v>9763</v>
      </c>
      <c r="BH6" s="1641">
        <v>9481</v>
      </c>
      <c r="BI6" s="1642">
        <v>9492</v>
      </c>
      <c r="BJ6" s="1642">
        <v>9515</v>
      </c>
      <c r="BK6" s="1642">
        <v>9533</v>
      </c>
      <c r="BL6" s="1641">
        <v>9367</v>
      </c>
      <c r="BM6" s="1642">
        <v>9445</v>
      </c>
      <c r="BN6" s="1642">
        <v>9445</v>
      </c>
      <c r="BO6" s="1642">
        <v>9359</v>
      </c>
      <c r="BP6" s="1641">
        <f>BT6/(1+1.5%)</f>
        <v>11998.029556650248</v>
      </c>
      <c r="BQ6" s="1634">
        <v>12457</v>
      </c>
      <c r="BR6" s="1634">
        <v>12483</v>
      </c>
      <c r="BS6" s="1634">
        <v>12422</v>
      </c>
      <c r="BT6" s="1633">
        <v>12178</v>
      </c>
      <c r="BU6" s="1634">
        <v>12330</v>
      </c>
      <c r="BV6" s="1634">
        <v>12372</v>
      </c>
      <c r="BW6" s="1634">
        <v>12249</v>
      </c>
      <c r="BX6" s="1633">
        <v>12026</v>
      </c>
      <c r="BY6" s="1634">
        <v>12113</v>
      </c>
      <c r="BZ6" s="1634">
        <v>12158</v>
      </c>
      <c r="CA6" s="1634">
        <v>11917</v>
      </c>
      <c r="CB6" s="1687">
        <f t="shared" ref="CB6:CU6" si="0">+CB18</f>
        <v>10640</v>
      </c>
      <c r="CC6" s="1688">
        <f t="shared" si="0"/>
        <v>10563</v>
      </c>
      <c r="CD6" s="1688">
        <f t="shared" si="0"/>
        <v>10667</v>
      </c>
      <c r="CE6" s="1688">
        <f t="shared" si="0"/>
        <v>10581</v>
      </c>
      <c r="CF6" s="1687">
        <f t="shared" si="0"/>
        <v>10375</v>
      </c>
      <c r="CG6" s="1688">
        <f t="shared" si="0"/>
        <v>10277</v>
      </c>
      <c r="CH6" s="1688">
        <f t="shared" si="0"/>
        <v>10286</v>
      </c>
      <c r="CI6" s="1688">
        <f t="shared" si="0"/>
        <v>10289</v>
      </c>
      <c r="CJ6" s="1687">
        <f t="shared" si="0"/>
        <v>10147</v>
      </c>
      <c r="CK6" s="1688">
        <f t="shared" si="0"/>
        <v>10247</v>
      </c>
      <c r="CL6" s="1688">
        <f t="shared" si="0"/>
        <v>10149</v>
      </c>
      <c r="CM6" s="1689">
        <f t="shared" si="0"/>
        <v>10139</v>
      </c>
      <c r="CN6" s="1690">
        <f t="shared" si="0"/>
        <v>9945</v>
      </c>
      <c r="CO6" s="1690">
        <f t="shared" si="0"/>
        <v>9931</v>
      </c>
      <c r="CP6" s="1690">
        <f t="shared" si="0"/>
        <v>9914</v>
      </c>
      <c r="CQ6" s="1689">
        <f t="shared" si="0"/>
        <v>9760</v>
      </c>
      <c r="CR6" s="1690">
        <f t="shared" si="0"/>
        <v>9650</v>
      </c>
      <c r="CS6" s="1690">
        <f t="shared" si="0"/>
        <v>9605</v>
      </c>
      <c r="CT6" s="1690">
        <f t="shared" si="0"/>
        <v>9657</v>
      </c>
      <c r="CU6" s="1689">
        <f t="shared" si="0"/>
        <v>9712</v>
      </c>
      <c r="CV6" s="1690">
        <f t="shared" ref="CV6:CX7" si="1">+CV18</f>
        <v>9662</v>
      </c>
      <c r="CW6" s="1690">
        <f t="shared" si="1"/>
        <v>9631</v>
      </c>
      <c r="CX6" s="1690">
        <f t="shared" si="1"/>
        <v>9576</v>
      </c>
      <c r="CY6" s="1689">
        <f t="shared" ref="CY6:DA7" si="2">+CY18</f>
        <v>9560</v>
      </c>
      <c r="CZ6" s="1690">
        <f t="shared" si="2"/>
        <v>9469</v>
      </c>
      <c r="DA6" s="1690">
        <f t="shared" si="2"/>
        <v>9423</v>
      </c>
      <c r="DB6" s="1690">
        <f t="shared" ref="DB6:DD7" si="3">+DB18</f>
        <v>9355</v>
      </c>
      <c r="DC6" s="1690">
        <f t="shared" si="3"/>
        <v>9473</v>
      </c>
      <c r="DD6" s="1672">
        <f t="shared" si="3"/>
        <v>9290</v>
      </c>
      <c r="DE6" s="1672">
        <f t="shared" ref="DE6:DF6" si="4">+DE18</f>
        <v>7823</v>
      </c>
      <c r="DF6" s="1672">
        <f t="shared" si="4"/>
        <v>7787</v>
      </c>
      <c r="DG6" s="1672">
        <f t="shared" ref="DG6:DH6" si="5">+DG18</f>
        <v>7812</v>
      </c>
      <c r="DH6" s="1672">
        <f t="shared" si="5"/>
        <v>7876</v>
      </c>
      <c r="DI6" s="1672">
        <f t="shared" ref="DI6:DJ6" si="6">+DI18</f>
        <v>7802</v>
      </c>
      <c r="DJ6" s="1672">
        <f t="shared" si="6"/>
        <v>7662</v>
      </c>
      <c r="DK6" s="1672">
        <f t="shared" ref="DK6:DL6" si="7">+DK18</f>
        <v>7617</v>
      </c>
      <c r="DL6" s="1672">
        <f t="shared" si="7"/>
        <v>7557</v>
      </c>
    </row>
    <row r="7" spans="1:116">
      <c r="A7" s="1628" t="s">
        <v>951</v>
      </c>
      <c r="B7" s="1642"/>
      <c r="C7" s="1642"/>
      <c r="D7" s="1642"/>
      <c r="E7" s="1641">
        <v>6177</v>
      </c>
      <c r="F7" s="1642">
        <v>6652</v>
      </c>
      <c r="G7" s="1642">
        <f>SUM(AN7:AQ7)</f>
        <v>13346</v>
      </c>
      <c r="H7" s="1642">
        <f>SUM(AR7:AU7)</f>
        <v>15363</v>
      </c>
      <c r="I7" s="1642">
        <f>SUM(AV7:AY7)</f>
        <v>17393</v>
      </c>
      <c r="J7" s="1642">
        <f>SUM(AZ7:BC7)</f>
        <v>19473</v>
      </c>
      <c r="K7" s="1681">
        <f>SUM(BD7:BG7)</f>
        <v>22489</v>
      </c>
      <c r="L7" s="1642"/>
      <c r="M7" s="1642"/>
      <c r="N7" s="1642"/>
      <c r="O7" s="1642"/>
      <c r="P7" s="1642"/>
      <c r="Q7" s="1642"/>
      <c r="R7" s="1642"/>
      <c r="S7" s="1642"/>
      <c r="T7" s="1642"/>
      <c r="U7" s="1642"/>
      <c r="V7" s="1642"/>
      <c r="W7" s="1642"/>
      <c r="X7" s="1642"/>
      <c r="Y7" s="1642"/>
      <c r="Z7" s="1642"/>
      <c r="AA7" s="1642"/>
      <c r="AB7" s="1642"/>
      <c r="AC7" s="1642"/>
      <c r="AD7" s="1642"/>
      <c r="AE7" s="1642"/>
      <c r="AF7" s="1641">
        <v>1440</v>
      </c>
      <c r="AG7" s="1642">
        <v>1548</v>
      </c>
      <c r="AH7" s="1642">
        <v>1591</v>
      </c>
      <c r="AI7" s="1642">
        <v>1598</v>
      </c>
      <c r="AJ7" s="1641">
        <v>1567</v>
      </c>
      <c r="AK7" s="1642">
        <v>1656</v>
      </c>
      <c r="AL7" s="1642">
        <v>1712</v>
      </c>
      <c r="AM7" s="1642">
        <v>1717</v>
      </c>
      <c r="AN7" s="1641">
        <v>3081</v>
      </c>
      <c r="AO7" s="1642">
        <v>3324</v>
      </c>
      <c r="AP7" s="1642">
        <v>3440</v>
      </c>
      <c r="AQ7" s="1642">
        <v>3501</v>
      </c>
      <c r="AR7" s="1641">
        <v>3450</v>
      </c>
      <c r="AS7" s="1642">
        <v>3793</v>
      </c>
      <c r="AT7" s="1642">
        <v>4036</v>
      </c>
      <c r="AU7" s="1642">
        <v>4084</v>
      </c>
      <c r="AV7" s="1641">
        <v>4046</v>
      </c>
      <c r="AW7" s="1642">
        <v>4383</v>
      </c>
      <c r="AX7" s="1642">
        <v>4521</v>
      </c>
      <c r="AY7" s="1642">
        <v>4443</v>
      </c>
      <c r="AZ7" s="1641">
        <v>4430</v>
      </c>
      <c r="BA7" s="1642">
        <v>4791</v>
      </c>
      <c r="BB7" s="1642">
        <v>5029</v>
      </c>
      <c r="BC7" s="1642">
        <v>5223</v>
      </c>
      <c r="BD7" s="1641">
        <v>5086</v>
      </c>
      <c r="BE7" s="1642">
        <v>5477</v>
      </c>
      <c r="BF7" s="1642">
        <v>5942</v>
      </c>
      <c r="BG7" s="1642">
        <v>5984</v>
      </c>
      <c r="BH7" s="1641">
        <v>6162</v>
      </c>
      <c r="BI7" s="1642">
        <v>6847</v>
      </c>
      <c r="BJ7" s="1642">
        <v>7311</v>
      </c>
      <c r="BK7" s="1642">
        <v>7342</v>
      </c>
      <c r="BL7" s="1641">
        <v>7418</v>
      </c>
      <c r="BM7" s="1642">
        <v>7846</v>
      </c>
      <c r="BN7" s="1642">
        <v>8351</v>
      </c>
      <c r="BO7" s="1642">
        <v>8686</v>
      </c>
      <c r="BP7" s="1641">
        <v>8813</v>
      </c>
      <c r="BQ7" s="1642">
        <v>9262</v>
      </c>
      <c r="BR7" s="1642">
        <v>9869</v>
      </c>
      <c r="BS7" s="1642">
        <v>10099</v>
      </c>
      <c r="BT7" s="1641">
        <v>10307</v>
      </c>
      <c r="BU7" s="1634">
        <v>10843</v>
      </c>
      <c r="BV7" s="1634">
        <v>11289</v>
      </c>
      <c r="BW7" s="1634">
        <v>11443</v>
      </c>
      <c r="BX7" s="1633">
        <v>11669</v>
      </c>
      <c r="BY7" s="1634">
        <v>12118</v>
      </c>
      <c r="BZ7" s="1634">
        <v>12699</v>
      </c>
      <c r="CA7" s="1634">
        <v>12846</v>
      </c>
      <c r="CB7" s="1687">
        <f t="shared" ref="CB7:CU7" si="8">+CB19</f>
        <v>14690</v>
      </c>
      <c r="CC7" s="1688">
        <f t="shared" si="8"/>
        <v>15029</v>
      </c>
      <c r="CD7" s="1688">
        <f t="shared" si="8"/>
        <v>15331</v>
      </c>
      <c r="CE7" s="1688">
        <f t="shared" si="8"/>
        <v>15275</v>
      </c>
      <c r="CF7" s="1687">
        <f t="shared" si="8"/>
        <v>15312</v>
      </c>
      <c r="CG7" s="1688">
        <f t="shared" si="8"/>
        <v>15697</v>
      </c>
      <c r="CH7" s="1688">
        <f t="shared" si="8"/>
        <v>16250</v>
      </c>
      <c r="CI7" s="1688">
        <f t="shared" si="8"/>
        <v>16148</v>
      </c>
      <c r="CJ7" s="1687">
        <f t="shared" si="8"/>
        <v>16881</v>
      </c>
      <c r="CK7" s="1688">
        <f t="shared" si="8"/>
        <v>17293</v>
      </c>
      <c r="CL7" s="1688">
        <f t="shared" si="8"/>
        <v>17726</v>
      </c>
      <c r="CM7" s="1689">
        <f t="shared" si="8"/>
        <v>18254</v>
      </c>
      <c r="CN7" s="1690">
        <f t="shared" si="8"/>
        <v>18273</v>
      </c>
      <c r="CO7" s="1690">
        <f t="shared" si="8"/>
        <v>18577</v>
      </c>
      <c r="CP7" s="1690">
        <f t="shared" si="8"/>
        <v>19024</v>
      </c>
      <c r="CQ7" s="1689">
        <f t="shared" si="8"/>
        <v>19994</v>
      </c>
      <c r="CR7" s="1690">
        <f t="shared" si="8"/>
        <v>19523</v>
      </c>
      <c r="CS7" s="1690">
        <f t="shared" si="8"/>
        <v>19976</v>
      </c>
      <c r="CT7" s="1690">
        <f t="shared" si="8"/>
        <v>20399</v>
      </c>
      <c r="CU7" s="1689">
        <f t="shared" si="8"/>
        <v>21125</v>
      </c>
      <c r="CV7" s="1690">
        <f t="shared" si="1"/>
        <v>20879</v>
      </c>
      <c r="CW7" s="1690">
        <f t="shared" si="1"/>
        <v>21483</v>
      </c>
      <c r="CX7" s="1690">
        <f t="shared" si="1"/>
        <v>21835</v>
      </c>
      <c r="CY7" s="1689">
        <f t="shared" si="2"/>
        <v>23449</v>
      </c>
      <c r="CZ7" s="1690">
        <f t="shared" si="2"/>
        <v>22328</v>
      </c>
      <c r="DA7" s="1690">
        <f t="shared" si="2"/>
        <v>22613</v>
      </c>
      <c r="DB7" s="1690">
        <f t="shared" si="3"/>
        <v>23005</v>
      </c>
      <c r="DC7" s="1690">
        <f t="shared" si="3"/>
        <v>23734</v>
      </c>
      <c r="DD7" s="1672">
        <f t="shared" si="3"/>
        <v>22004</v>
      </c>
      <c r="DE7" s="1672">
        <f t="shared" ref="DE7:DF7" si="9">+DE19</f>
        <v>21704</v>
      </c>
      <c r="DF7" s="1672">
        <f t="shared" si="9"/>
        <v>22101</v>
      </c>
      <c r="DG7" s="1672">
        <f t="shared" ref="DG7:DH7" si="10">+DG19</f>
        <v>23377</v>
      </c>
      <c r="DH7" s="1672">
        <f t="shared" si="10"/>
        <v>20878</v>
      </c>
      <c r="DI7" s="1672">
        <f t="shared" ref="DI7:DJ7" si="11">+DI19</f>
        <v>21282</v>
      </c>
      <c r="DJ7" s="1672">
        <f t="shared" si="11"/>
        <v>21580</v>
      </c>
      <c r="DK7" s="1672">
        <f t="shared" ref="DK7:DL7" si="12">+DK19</f>
        <v>23771</v>
      </c>
      <c r="DL7" s="1672">
        <f t="shared" si="12"/>
        <v>21900</v>
      </c>
    </row>
    <row r="8" spans="1:116">
      <c r="A8" s="1628" t="s">
        <v>953</v>
      </c>
      <c r="B8" s="1642"/>
      <c r="C8" s="1642"/>
      <c r="D8" s="1642"/>
      <c r="E8" s="1641">
        <v>1418</v>
      </c>
      <c r="F8" s="1642">
        <v>1690</v>
      </c>
      <c r="G8" s="1642">
        <f>SUM(AN8:AQ8)</f>
        <v>1714</v>
      </c>
      <c r="H8" s="1642">
        <f>SUM(AR8:AU8)</f>
        <v>2889</v>
      </c>
      <c r="I8" s="1642">
        <f>SUM(AV8:AY8)</f>
        <v>3172</v>
      </c>
      <c r="J8" s="1642">
        <f>SUM(AZ8:BC8)</f>
        <v>2219</v>
      </c>
      <c r="K8" s="1681">
        <f>SUM(BD8:BG8)</f>
        <v>1949</v>
      </c>
      <c r="L8" s="1642"/>
      <c r="M8" s="1642"/>
      <c r="N8" s="1642"/>
      <c r="O8" s="1642"/>
      <c r="P8" s="1642"/>
      <c r="Q8" s="1642"/>
      <c r="R8" s="1642"/>
      <c r="S8" s="1642"/>
      <c r="T8" s="1642"/>
      <c r="U8" s="1642"/>
      <c r="V8" s="1642"/>
      <c r="W8" s="1642"/>
      <c r="X8" s="1642"/>
      <c r="Y8" s="1642"/>
      <c r="Z8" s="1642"/>
      <c r="AA8" s="1642"/>
      <c r="AB8" s="1642"/>
      <c r="AC8" s="1642"/>
      <c r="AD8" s="1642"/>
      <c r="AE8" s="1642"/>
      <c r="AF8" s="1641">
        <v>353</v>
      </c>
      <c r="AG8" s="1642">
        <v>326</v>
      </c>
      <c r="AH8" s="1642">
        <v>340</v>
      </c>
      <c r="AI8" s="1642">
        <v>399</v>
      </c>
      <c r="AJ8" s="1641">
        <v>400</v>
      </c>
      <c r="AK8" s="1642">
        <v>441</v>
      </c>
      <c r="AL8" s="1642">
        <v>418</v>
      </c>
      <c r="AM8" s="1642">
        <v>431</v>
      </c>
      <c r="AN8" s="1641">
        <v>396</v>
      </c>
      <c r="AO8" s="1642">
        <v>411</v>
      </c>
      <c r="AP8" s="1642">
        <v>454</v>
      </c>
      <c r="AQ8" s="1642">
        <v>453</v>
      </c>
      <c r="AR8" s="1641">
        <v>679</v>
      </c>
      <c r="AS8" s="1642">
        <v>708</v>
      </c>
      <c r="AT8" s="1642">
        <v>726</v>
      </c>
      <c r="AU8" s="1642">
        <v>776</v>
      </c>
      <c r="AV8" s="1641">
        <v>727</v>
      </c>
      <c r="AW8" s="1642">
        <v>828</v>
      </c>
      <c r="AX8" s="1642">
        <v>804</v>
      </c>
      <c r="AY8" s="1642">
        <v>813</v>
      </c>
      <c r="AZ8" s="1641">
        <v>562</v>
      </c>
      <c r="BA8" s="1642">
        <v>570</v>
      </c>
      <c r="BB8" s="1642">
        <v>538</v>
      </c>
      <c r="BC8" s="1642">
        <v>549</v>
      </c>
      <c r="BD8" s="1641">
        <v>517</v>
      </c>
      <c r="BE8" s="1642">
        <v>509</v>
      </c>
      <c r="BF8" s="1642">
        <v>446</v>
      </c>
      <c r="BG8" s="1642">
        <v>477</v>
      </c>
      <c r="BH8" s="1641">
        <v>468</v>
      </c>
      <c r="BI8" s="1642">
        <v>506</v>
      </c>
      <c r="BJ8" s="1642">
        <v>496</v>
      </c>
      <c r="BK8" s="1642">
        <v>544</v>
      </c>
      <c r="BL8" s="1691">
        <v>517</v>
      </c>
      <c r="BM8" s="1692">
        <v>537</v>
      </c>
      <c r="BN8" s="1692">
        <v>572</v>
      </c>
      <c r="BO8" s="1692">
        <v>567</v>
      </c>
      <c r="BP8" s="1691"/>
      <c r="BQ8" s="1642"/>
      <c r="BR8" s="1642"/>
      <c r="BS8" s="1642"/>
      <c r="BT8" s="1641"/>
      <c r="BU8" s="1634"/>
      <c r="BV8" s="1634"/>
      <c r="BW8" s="1634"/>
      <c r="BX8" s="1641"/>
      <c r="BY8" s="1642"/>
      <c r="BZ8" s="1642"/>
      <c r="CA8" s="1642"/>
      <c r="CB8" s="1687"/>
      <c r="CC8" s="1688"/>
      <c r="CD8" s="1688"/>
      <c r="CE8" s="1688"/>
      <c r="CF8" s="1687"/>
      <c r="CG8" s="1688"/>
      <c r="CH8" s="1688"/>
      <c r="CI8" s="1688"/>
      <c r="CJ8" s="1687"/>
      <c r="CK8" s="1688"/>
      <c r="CL8" s="1688"/>
      <c r="CM8" s="1689"/>
      <c r="CN8" s="1690"/>
      <c r="CO8" s="1690"/>
      <c r="CP8" s="1690"/>
      <c r="CQ8" s="1689"/>
      <c r="CR8" s="1690"/>
      <c r="CS8" s="1690"/>
      <c r="CT8" s="1690"/>
      <c r="CU8" s="1689"/>
      <c r="CV8" s="1690"/>
      <c r="CW8" s="1690"/>
      <c r="CX8" s="1690"/>
      <c r="CY8" s="1689"/>
      <c r="CZ8" s="1690"/>
      <c r="DA8" s="1690"/>
      <c r="DB8" s="1690"/>
      <c r="DC8" s="1690"/>
      <c r="DD8" s="1672"/>
      <c r="DE8" s="1672"/>
      <c r="DF8" s="1672"/>
      <c r="DG8" s="1672"/>
      <c r="DH8" s="1672"/>
      <c r="DI8" s="1672"/>
      <c r="DJ8" s="1672"/>
      <c r="DK8" s="1672"/>
      <c r="DL8" s="1672"/>
    </row>
    <row r="9" spans="1:116">
      <c r="A9" s="1628" t="s">
        <v>1434</v>
      </c>
      <c r="B9" s="1642"/>
      <c r="C9" s="1642"/>
      <c r="D9" s="1642"/>
      <c r="E9" s="1641">
        <v>3501</v>
      </c>
      <c r="F9" s="1642">
        <v>3818</v>
      </c>
      <c r="G9" s="1642">
        <f>SUM(AN9:AQ9)</f>
        <v>4086</v>
      </c>
      <c r="H9" s="1642">
        <f>SUM(AR9:AU9)</f>
        <v>4144</v>
      </c>
      <c r="I9" s="1642">
        <f>SUM(AV9:AY9)</f>
        <v>4313</v>
      </c>
      <c r="J9" s="1642">
        <f>SUM(AZ9:BC9)</f>
        <v>4287</v>
      </c>
      <c r="K9" s="1681">
        <f>SUM(BD9:BG9)</f>
        <v>3763</v>
      </c>
      <c r="L9" s="1642"/>
      <c r="M9" s="1642"/>
      <c r="N9" s="1642"/>
      <c r="O9" s="1642"/>
      <c r="P9" s="1642"/>
      <c r="Q9" s="1642"/>
      <c r="R9" s="1642"/>
      <c r="S9" s="1642"/>
      <c r="T9" s="1642"/>
      <c r="U9" s="1642"/>
      <c r="V9" s="1642"/>
      <c r="W9" s="1642"/>
      <c r="X9" s="1642"/>
      <c r="Y9" s="1642"/>
      <c r="Z9" s="1642"/>
      <c r="AA9" s="1642"/>
      <c r="AB9" s="1642"/>
      <c r="AC9" s="1642"/>
      <c r="AD9" s="1642"/>
      <c r="AE9" s="1642"/>
      <c r="AF9" s="1641">
        <v>654</v>
      </c>
      <c r="AG9" s="1642">
        <v>930</v>
      </c>
      <c r="AH9" s="1642">
        <v>814</v>
      </c>
      <c r="AI9" s="1642">
        <v>1103</v>
      </c>
      <c r="AJ9" s="1641">
        <v>723</v>
      </c>
      <c r="AK9" s="1642">
        <v>969</v>
      </c>
      <c r="AL9" s="1642">
        <v>934</v>
      </c>
      <c r="AM9" s="1642">
        <v>1192</v>
      </c>
      <c r="AN9" s="1641">
        <v>759</v>
      </c>
      <c r="AO9" s="1642">
        <v>1055</v>
      </c>
      <c r="AP9" s="1642">
        <v>913</v>
      </c>
      <c r="AQ9" s="1642">
        <v>1359</v>
      </c>
      <c r="AR9" s="1641">
        <v>779</v>
      </c>
      <c r="AS9" s="1642">
        <v>1056</v>
      </c>
      <c r="AT9" s="1642">
        <v>970</v>
      </c>
      <c r="AU9" s="1642">
        <v>1339</v>
      </c>
      <c r="AV9" s="1641">
        <v>789</v>
      </c>
      <c r="AW9" s="1642">
        <v>984</v>
      </c>
      <c r="AX9" s="1642">
        <v>1112</v>
      </c>
      <c r="AY9" s="1642">
        <v>1428</v>
      </c>
      <c r="AZ9" s="1641">
        <v>803</v>
      </c>
      <c r="BA9" s="1642">
        <v>936</v>
      </c>
      <c r="BB9" s="1642">
        <v>1174</v>
      </c>
      <c r="BC9" s="1642">
        <v>1374</v>
      </c>
      <c r="BD9" s="1641">
        <v>955</v>
      </c>
      <c r="BE9" s="1642">
        <v>970</v>
      </c>
      <c r="BF9" s="1642">
        <v>922</v>
      </c>
      <c r="BG9" s="1642">
        <v>916</v>
      </c>
      <c r="BH9" s="1641">
        <v>903</v>
      </c>
      <c r="BI9" s="1642">
        <v>889</v>
      </c>
      <c r="BJ9" s="1642">
        <v>883</v>
      </c>
      <c r="BK9" s="1642">
        <v>874</v>
      </c>
      <c r="BL9" s="1641">
        <v>881</v>
      </c>
      <c r="BM9" s="1642">
        <v>870</v>
      </c>
      <c r="BN9" s="1642">
        <v>857</v>
      </c>
      <c r="BO9" s="1642">
        <v>844</v>
      </c>
      <c r="BP9" s="1641"/>
      <c r="BQ9" s="1642"/>
      <c r="BR9" s="1642"/>
      <c r="BS9" s="1642"/>
      <c r="BT9" s="1641"/>
      <c r="BU9" s="1634"/>
      <c r="BV9" s="1634"/>
      <c r="BW9" s="1634"/>
      <c r="BX9" s="1641"/>
      <c r="BY9" s="1642"/>
      <c r="BZ9" s="1642"/>
      <c r="CA9" s="1642"/>
      <c r="CB9" s="1687"/>
      <c r="CC9" s="1688"/>
      <c r="CD9" s="1688"/>
      <c r="CE9" s="1688"/>
      <c r="CF9" s="1687"/>
      <c r="CG9" s="1688"/>
      <c r="CH9" s="1688"/>
      <c r="CI9" s="1688"/>
      <c r="CJ9" s="1687"/>
      <c r="CK9" s="1688"/>
      <c r="CL9" s="1688"/>
      <c r="CM9" s="1689"/>
      <c r="CN9" s="1690"/>
      <c r="CO9" s="1690"/>
      <c r="CP9" s="1690"/>
      <c r="CQ9" s="1689"/>
      <c r="CR9" s="1690"/>
      <c r="CS9" s="1690"/>
      <c r="CT9" s="1690"/>
      <c r="CU9" s="1689"/>
      <c r="CV9" s="1690"/>
      <c r="CW9" s="1690"/>
      <c r="CX9" s="1690"/>
      <c r="CY9" s="1689"/>
      <c r="CZ9" s="1690"/>
      <c r="DA9" s="1690"/>
      <c r="DB9" s="1690"/>
      <c r="DC9" s="1690"/>
      <c r="DD9" s="1672"/>
      <c r="DE9" s="1672"/>
      <c r="DF9" s="1672"/>
      <c r="DG9" s="1672"/>
      <c r="DH9" s="1672"/>
      <c r="DI9" s="1672"/>
      <c r="DJ9" s="1672"/>
      <c r="DK9" s="1672"/>
      <c r="DL9" s="1672"/>
    </row>
    <row r="10" spans="1:116">
      <c r="A10" s="1628" t="s">
        <v>955</v>
      </c>
      <c r="B10" s="1642"/>
      <c r="C10" s="1642"/>
      <c r="D10" s="1642"/>
      <c r="E10" s="1641">
        <v>209</v>
      </c>
      <c r="F10" s="1642">
        <v>-159</v>
      </c>
      <c r="G10" s="1642">
        <f>SUM(AN10:AQ10)</f>
        <v>-278</v>
      </c>
      <c r="H10" s="1642">
        <f>SUM(AR10:AU10)</f>
        <v>-276</v>
      </c>
      <c r="I10" s="1642">
        <f>SUM(AV10:AY10)</f>
        <v>69</v>
      </c>
      <c r="J10" s="1642">
        <f>SUM(AZ10:BC10)</f>
        <v>-137</v>
      </c>
      <c r="K10" s="1681">
        <f>SUM(BD10:BG10)</f>
        <v>-402</v>
      </c>
      <c r="L10" s="1642"/>
      <c r="M10" s="1642"/>
      <c r="N10" s="1642"/>
      <c r="O10" s="1642"/>
      <c r="P10" s="1642"/>
      <c r="Q10" s="1642"/>
      <c r="R10" s="1642"/>
      <c r="S10" s="1642"/>
      <c r="T10" s="1642"/>
      <c r="U10" s="1642"/>
      <c r="V10" s="1642"/>
      <c r="W10" s="1642"/>
      <c r="X10" s="1642"/>
      <c r="Y10" s="1642"/>
      <c r="Z10" s="1642"/>
      <c r="AA10" s="1642"/>
      <c r="AB10" s="1642"/>
      <c r="AC10" s="1642"/>
      <c r="AD10" s="1642"/>
      <c r="AE10" s="1642"/>
      <c r="AF10" s="1641">
        <v>56</v>
      </c>
      <c r="AG10" s="1642">
        <v>67</v>
      </c>
      <c r="AH10" s="1642">
        <v>29</v>
      </c>
      <c r="AI10" s="1642">
        <v>57</v>
      </c>
      <c r="AJ10" s="1641">
        <v>-23</v>
      </c>
      <c r="AK10" s="1642">
        <v>-18</v>
      </c>
      <c r="AL10" s="1642">
        <v>-45</v>
      </c>
      <c r="AM10" s="1642">
        <v>-73</v>
      </c>
      <c r="AN10" s="1641">
        <v>-59</v>
      </c>
      <c r="AO10" s="1642">
        <v>-79</v>
      </c>
      <c r="AP10" s="1642">
        <v>-36</v>
      </c>
      <c r="AQ10" s="1642">
        <v>-104</v>
      </c>
      <c r="AR10" s="1641">
        <v>-98</v>
      </c>
      <c r="AS10" s="1642">
        <v>-132</v>
      </c>
      <c r="AT10" s="1642">
        <v>1</v>
      </c>
      <c r="AU10" s="1642">
        <v>-47</v>
      </c>
      <c r="AV10" s="1641">
        <v>-16</v>
      </c>
      <c r="AW10" s="1642">
        <v>-9</v>
      </c>
      <c r="AX10" s="1642">
        <v>108</v>
      </c>
      <c r="AY10" s="1642">
        <v>-14</v>
      </c>
      <c r="AZ10" s="1641">
        <v>-2</v>
      </c>
      <c r="BA10" s="1642">
        <v>-45</v>
      </c>
      <c r="BB10" s="1642">
        <v>-32</v>
      </c>
      <c r="BC10" s="1642">
        <v>-58</v>
      </c>
      <c r="BD10" s="1641">
        <v>-75</v>
      </c>
      <c r="BE10" s="1642">
        <v>-111</v>
      </c>
      <c r="BF10" s="1642">
        <v>-115</v>
      </c>
      <c r="BG10" s="1642">
        <v>-101</v>
      </c>
      <c r="BH10" s="1641">
        <v>-107</v>
      </c>
      <c r="BI10" s="1642">
        <v>-122</v>
      </c>
      <c r="BJ10" s="1642">
        <v>-148</v>
      </c>
      <c r="BK10" s="1642">
        <v>-181</v>
      </c>
      <c r="BL10" s="1641">
        <v>-153</v>
      </c>
      <c r="BM10" s="1642">
        <v>-182</v>
      </c>
      <c r="BN10" s="1642">
        <v>-187</v>
      </c>
      <c r="BO10" s="1642">
        <v>-130</v>
      </c>
      <c r="BP10" s="1633">
        <f>+BT12/(1+0.054)-BP6-BP7</f>
        <v>356.90213215430595</v>
      </c>
      <c r="BQ10" s="1634">
        <v>-136</v>
      </c>
      <c r="BR10" s="1634">
        <v>-190</v>
      </c>
      <c r="BS10" s="1634">
        <v>-208</v>
      </c>
      <c r="BT10" s="1633">
        <v>-174</v>
      </c>
      <c r="BU10" s="1634">
        <v>-173</v>
      </c>
      <c r="BV10" s="1634">
        <v>-168</v>
      </c>
      <c r="BW10" s="1634">
        <v>-121</v>
      </c>
      <c r="BX10" s="1633">
        <v>-120</v>
      </c>
      <c r="BY10" s="1634">
        <v>-107</v>
      </c>
      <c r="BZ10" s="1634">
        <v>-105</v>
      </c>
      <c r="CA10" s="1634">
        <v>-118</v>
      </c>
      <c r="CB10" s="1687">
        <f t="shared" ref="CB10:CU10" si="13">+CB20</f>
        <v>-67</v>
      </c>
      <c r="CC10" s="1688">
        <f t="shared" si="13"/>
        <v>-81</v>
      </c>
      <c r="CD10" s="1688">
        <f t="shared" si="13"/>
        <v>-64</v>
      </c>
      <c r="CE10" s="1688">
        <f t="shared" si="13"/>
        <v>-53</v>
      </c>
      <c r="CF10" s="1687">
        <f t="shared" si="13"/>
        <v>-52</v>
      </c>
      <c r="CG10" s="1688">
        <f t="shared" si="13"/>
        <v>-62</v>
      </c>
      <c r="CH10" s="1688">
        <f t="shared" si="13"/>
        <v>-52</v>
      </c>
      <c r="CI10" s="1688">
        <f t="shared" si="13"/>
        <v>-42</v>
      </c>
      <c r="CJ10" s="1687">
        <f t="shared" si="13"/>
        <v>-38</v>
      </c>
      <c r="CK10" s="1688">
        <f t="shared" si="13"/>
        <v>-4</v>
      </c>
      <c r="CL10" s="1688">
        <f t="shared" si="13"/>
        <v>38</v>
      </c>
      <c r="CM10" s="1689">
        <f t="shared" si="13"/>
        <v>43</v>
      </c>
      <c r="CN10" s="1690">
        <f t="shared" si="13"/>
        <v>24</v>
      </c>
      <c r="CO10" s="1690">
        <f t="shared" si="13"/>
        <v>44</v>
      </c>
      <c r="CP10" s="1690">
        <f t="shared" si="13"/>
        <v>69</v>
      </c>
      <c r="CQ10" s="1689">
        <f t="shared" si="13"/>
        <v>61</v>
      </c>
      <c r="CR10" s="1690">
        <f t="shared" si="13"/>
        <v>67</v>
      </c>
      <c r="CS10" s="1690">
        <f t="shared" si="13"/>
        <v>76</v>
      </c>
      <c r="CT10" s="1690">
        <f t="shared" si="13"/>
        <v>66</v>
      </c>
      <c r="CU10" s="1689">
        <f t="shared" si="13"/>
        <v>95</v>
      </c>
      <c r="CV10" s="1690">
        <f t="shared" ref="CV10:DA10" si="14">+CV20</f>
        <v>149</v>
      </c>
      <c r="CW10" s="1690">
        <f t="shared" si="14"/>
        <v>241</v>
      </c>
      <c r="CX10" s="1690">
        <f t="shared" si="14"/>
        <v>175</v>
      </c>
      <c r="CY10" s="1689">
        <f t="shared" si="14"/>
        <v>183</v>
      </c>
      <c r="CZ10" s="1690">
        <f t="shared" si="14"/>
        <v>187</v>
      </c>
      <c r="DA10" s="1690">
        <f t="shared" si="14"/>
        <v>188</v>
      </c>
      <c r="DB10" s="1690">
        <f t="shared" ref="DB10:DG10" si="15">+DB20</f>
        <v>798</v>
      </c>
      <c r="DC10" s="1690">
        <f t="shared" si="15"/>
        <v>1047</v>
      </c>
      <c r="DD10" s="1672">
        <f t="shared" si="15"/>
        <v>877</v>
      </c>
      <c r="DE10" s="1672">
        <f t="shared" si="15"/>
        <v>1005</v>
      </c>
      <c r="DF10" s="1672">
        <f t="shared" si="15"/>
        <v>1049</v>
      </c>
      <c r="DG10" s="1672">
        <f t="shared" si="15"/>
        <v>1151</v>
      </c>
      <c r="DH10" s="1672">
        <f t="shared" ref="DH10:DI10" si="16">+DH20</f>
        <v>1060</v>
      </c>
      <c r="DI10" s="1672">
        <f t="shared" si="16"/>
        <v>1464</v>
      </c>
      <c r="DJ10" s="1672">
        <f t="shared" ref="DJ10:DK10" si="17">+DJ20</f>
        <v>2475</v>
      </c>
      <c r="DK10" s="1672">
        <f t="shared" si="17"/>
        <v>2567</v>
      </c>
      <c r="DL10" s="1672">
        <f t="shared" ref="DL10" si="18">+DL20</f>
        <v>2315</v>
      </c>
    </row>
    <row r="11" spans="1:116">
      <c r="A11" s="1628" t="s">
        <v>611</v>
      </c>
      <c r="B11" s="1642"/>
      <c r="C11" s="1642"/>
      <c r="D11" s="1642"/>
      <c r="E11" s="1641"/>
      <c r="F11" s="1642"/>
      <c r="G11" s="1642"/>
      <c r="H11" s="1642"/>
      <c r="I11" s="1642"/>
      <c r="J11" s="1642"/>
      <c r="K11" s="1681"/>
      <c r="L11" s="1642"/>
      <c r="M11" s="1642"/>
      <c r="N11" s="1642"/>
      <c r="O11" s="1642"/>
      <c r="P11" s="1642"/>
      <c r="Q11" s="1642"/>
      <c r="R11" s="1642"/>
      <c r="S11" s="1642"/>
      <c r="T11" s="1642"/>
      <c r="U11" s="1642"/>
      <c r="V11" s="1642"/>
      <c r="W11" s="1642"/>
      <c r="X11" s="1642"/>
      <c r="Y11" s="1642"/>
      <c r="Z11" s="1642"/>
      <c r="AA11" s="1642"/>
      <c r="AB11" s="1642"/>
      <c r="AC11" s="1642"/>
      <c r="AD11" s="1642"/>
      <c r="AE11" s="1642"/>
      <c r="AF11" s="1641"/>
      <c r="AG11" s="1642"/>
      <c r="AH11" s="1642"/>
      <c r="AI11" s="1642"/>
      <c r="AJ11" s="1641"/>
      <c r="AK11" s="1642"/>
      <c r="AL11" s="1642"/>
      <c r="AM11" s="1642"/>
      <c r="AN11" s="1641"/>
      <c r="AO11" s="1642"/>
      <c r="AP11" s="1642"/>
      <c r="AQ11" s="1642"/>
      <c r="AR11" s="1641"/>
      <c r="AS11" s="1642"/>
      <c r="AT11" s="1642"/>
      <c r="AU11" s="1642"/>
      <c r="AV11" s="1641"/>
      <c r="AW11" s="1642"/>
      <c r="AX11" s="1642"/>
      <c r="AY11" s="1642"/>
      <c r="AZ11" s="1641"/>
      <c r="BA11" s="1642"/>
      <c r="BB11" s="1642"/>
      <c r="BC11" s="1642"/>
      <c r="BD11" s="1641"/>
      <c r="BE11" s="1642"/>
      <c r="BF11" s="1642"/>
      <c r="BG11" s="1642"/>
      <c r="BH11" s="1641"/>
      <c r="BI11" s="1642"/>
      <c r="BJ11" s="1642"/>
      <c r="BK11" s="1642"/>
      <c r="BL11" s="1641">
        <f>-(SUM(BL6:BL10)-BL12-BL8)</f>
        <v>20</v>
      </c>
      <c r="BM11" s="1642">
        <f>-(SUM(BM6:BM10)-BM12-BM8)</f>
        <v>21</v>
      </c>
      <c r="BN11" s="1642">
        <f>-(SUM(BN6:BN10)-BN12-BN8)</f>
        <v>20</v>
      </c>
      <c r="BO11" s="1642">
        <f>-(SUM(BO6:BO10)-BO12-BO8)</f>
        <v>12</v>
      </c>
      <c r="BP11" s="1641"/>
      <c r="BQ11" s="1642"/>
      <c r="BR11" s="1642"/>
      <c r="BS11" s="1642"/>
      <c r="BT11" s="1641"/>
      <c r="BU11" s="1642"/>
      <c r="BV11" s="1642"/>
      <c r="BW11" s="1642"/>
      <c r="BX11" s="1641"/>
      <c r="BY11" s="1642"/>
      <c r="BZ11" s="1642"/>
      <c r="CA11" s="1642"/>
      <c r="CB11" s="1687"/>
      <c r="CC11" s="1688"/>
      <c r="CD11" s="1688"/>
      <c r="CE11" s="1688"/>
      <c r="CF11" s="1687"/>
      <c r="CG11" s="1688"/>
      <c r="CH11" s="1688"/>
      <c r="CI11" s="1688"/>
      <c r="CJ11" s="1687"/>
      <c r="CK11" s="1688"/>
      <c r="CL11" s="1688"/>
      <c r="CM11" s="1689"/>
      <c r="CN11" s="1690"/>
      <c r="CO11" s="1690"/>
      <c r="CP11" s="1690"/>
      <c r="CQ11" s="1689"/>
      <c r="CR11" s="1690"/>
      <c r="CS11" s="1690"/>
      <c r="CT11" s="1690"/>
      <c r="CU11" s="1689"/>
      <c r="CV11" s="1690"/>
      <c r="CW11" s="1690"/>
      <c r="CX11" s="1690"/>
      <c r="CY11" s="1689"/>
      <c r="CZ11" s="1690"/>
      <c r="DA11" s="1690"/>
      <c r="DB11" s="1690"/>
      <c r="DC11" s="1690"/>
      <c r="DD11" s="1690"/>
      <c r="DE11" s="1690"/>
      <c r="DF11" s="1690"/>
      <c r="DG11" s="1690"/>
      <c r="DH11" s="1690"/>
      <c r="DI11" s="1690"/>
      <c r="DJ11" s="1690"/>
      <c r="DK11" s="1690"/>
      <c r="DL11" s="1690"/>
    </row>
    <row r="12" spans="1:116">
      <c r="A12" s="954" t="s">
        <v>956</v>
      </c>
      <c r="B12" s="1693"/>
      <c r="C12" s="1693"/>
      <c r="D12" s="1693"/>
      <c r="E12" s="1694">
        <v>50731</v>
      </c>
      <c r="F12" s="1693">
        <v>53520</v>
      </c>
      <c r="G12" s="1693">
        <f>SUM(G6:G10)</f>
        <v>60591</v>
      </c>
      <c r="H12" s="1693">
        <f>SUM(H6:H10)</f>
        <v>64442</v>
      </c>
      <c r="I12" s="1693">
        <f>SUM(I6:I10)</f>
        <v>67028</v>
      </c>
      <c r="J12" s="1693">
        <f>SUM(J6:J10)</f>
        <v>66681</v>
      </c>
      <c r="K12" s="1681">
        <f>SUM(BD12:BG12)</f>
        <v>66854</v>
      </c>
      <c r="L12" s="1693"/>
      <c r="M12" s="1693"/>
      <c r="N12" s="1693"/>
      <c r="O12" s="1693"/>
      <c r="P12" s="1693"/>
      <c r="Q12" s="1693"/>
      <c r="R12" s="1693"/>
      <c r="S12" s="1693"/>
      <c r="T12" s="1693"/>
      <c r="U12" s="1693"/>
      <c r="V12" s="1693"/>
      <c r="W12" s="1693"/>
      <c r="X12" s="1693"/>
      <c r="Y12" s="1693"/>
      <c r="Z12" s="1693"/>
      <c r="AA12" s="1693"/>
      <c r="AB12" s="1693"/>
      <c r="AC12" s="1693"/>
      <c r="AD12" s="1693"/>
      <c r="AE12" s="1693"/>
      <c r="AF12" s="1694">
        <v>12079</v>
      </c>
      <c r="AG12" s="1693">
        <v>12689</v>
      </c>
      <c r="AH12" s="1693">
        <v>12686</v>
      </c>
      <c r="AI12" s="1693">
        <v>13277</v>
      </c>
      <c r="AJ12" s="1694">
        <v>12739</v>
      </c>
      <c r="AK12" s="1693">
        <v>13373</v>
      </c>
      <c r="AL12" s="1693">
        <v>13521</v>
      </c>
      <c r="AM12" s="1693">
        <v>13887</v>
      </c>
      <c r="AN12" s="1694">
        <f t="shared" ref="AN12:AY12" si="19">SUM(AN6:AN10)</f>
        <v>14346</v>
      </c>
      <c r="AO12" s="1693">
        <f t="shared" si="19"/>
        <v>15146</v>
      </c>
      <c r="AP12" s="1693">
        <f t="shared" si="19"/>
        <v>15305</v>
      </c>
      <c r="AQ12" s="1693">
        <f t="shared" si="19"/>
        <v>15794</v>
      </c>
      <c r="AR12" s="1694">
        <f t="shared" si="19"/>
        <v>15176</v>
      </c>
      <c r="AS12" s="1693">
        <f t="shared" si="19"/>
        <v>16086</v>
      </c>
      <c r="AT12" s="1693">
        <f t="shared" si="19"/>
        <v>16351</v>
      </c>
      <c r="AU12" s="1693">
        <f t="shared" si="19"/>
        <v>16829</v>
      </c>
      <c r="AV12" s="1694">
        <f t="shared" si="19"/>
        <v>16207</v>
      </c>
      <c r="AW12" s="1693">
        <f t="shared" si="19"/>
        <v>16888</v>
      </c>
      <c r="AX12" s="1693">
        <f t="shared" si="19"/>
        <v>16967</v>
      </c>
      <c r="AY12" s="1693">
        <f t="shared" si="19"/>
        <v>16966</v>
      </c>
      <c r="AZ12" s="1694">
        <v>16044</v>
      </c>
      <c r="BA12" s="1693">
        <v>16506</v>
      </c>
      <c r="BB12" s="1693">
        <v>16977</v>
      </c>
      <c r="BC12" s="1693">
        <v>17154</v>
      </c>
      <c r="BD12" s="1694">
        <v>16286</v>
      </c>
      <c r="BE12" s="1693">
        <v>16617</v>
      </c>
      <c r="BF12" s="1693">
        <v>16912</v>
      </c>
      <c r="BG12" s="1693">
        <v>17039</v>
      </c>
      <c r="BH12" s="1694">
        <f>SUM(BH6:BH10)</f>
        <v>16907</v>
      </c>
      <c r="BI12" s="1693">
        <f>SUM(BI6:BI10)</f>
        <v>17612</v>
      </c>
      <c r="BJ12" s="1693">
        <f>SUM(BJ6:BJ10)</f>
        <v>18057</v>
      </c>
      <c r="BK12" s="1693">
        <f>SUM(BK6:BK10)</f>
        <v>18112</v>
      </c>
      <c r="BL12" s="1694">
        <v>17533</v>
      </c>
      <c r="BM12" s="1693">
        <v>18000</v>
      </c>
      <c r="BN12" s="1693">
        <v>18486</v>
      </c>
      <c r="BO12" s="1693">
        <v>18771</v>
      </c>
      <c r="BP12" s="1694">
        <f t="shared" ref="BP12:CV12" si="20">SUM(BP6:BP11)</f>
        <v>21167.931688804551</v>
      </c>
      <c r="BQ12" s="1693">
        <f t="shared" si="20"/>
        <v>21583</v>
      </c>
      <c r="BR12" s="1693">
        <f t="shared" si="20"/>
        <v>22162</v>
      </c>
      <c r="BS12" s="1693">
        <f t="shared" si="20"/>
        <v>22313</v>
      </c>
      <c r="BT12" s="1694">
        <f t="shared" si="20"/>
        <v>22311</v>
      </c>
      <c r="BU12" s="1693">
        <f t="shared" si="20"/>
        <v>23000</v>
      </c>
      <c r="BV12" s="1693">
        <f t="shared" si="20"/>
        <v>23493</v>
      </c>
      <c r="BW12" s="1693">
        <f t="shared" si="20"/>
        <v>23571</v>
      </c>
      <c r="BX12" s="1694">
        <f t="shared" si="20"/>
        <v>23575</v>
      </c>
      <c r="BY12" s="1693">
        <f t="shared" si="20"/>
        <v>24124</v>
      </c>
      <c r="BZ12" s="1693">
        <f t="shared" si="20"/>
        <v>24752</v>
      </c>
      <c r="CA12" s="1693">
        <f t="shared" si="20"/>
        <v>24645</v>
      </c>
      <c r="CB12" s="1694">
        <f t="shared" si="20"/>
        <v>25263</v>
      </c>
      <c r="CC12" s="1693">
        <f t="shared" si="20"/>
        <v>25511</v>
      </c>
      <c r="CD12" s="1693">
        <f t="shared" si="20"/>
        <v>25934</v>
      </c>
      <c r="CE12" s="1693">
        <f t="shared" si="20"/>
        <v>25803</v>
      </c>
      <c r="CF12" s="1694">
        <f t="shared" si="20"/>
        <v>25635</v>
      </c>
      <c r="CG12" s="1693">
        <f t="shared" si="20"/>
        <v>25912</v>
      </c>
      <c r="CH12" s="1693">
        <f t="shared" si="20"/>
        <v>26484</v>
      </c>
      <c r="CI12" s="1693">
        <f t="shared" si="20"/>
        <v>26395</v>
      </c>
      <c r="CJ12" s="1694">
        <f t="shared" si="20"/>
        <v>26990</v>
      </c>
      <c r="CK12" s="1693">
        <f t="shared" si="20"/>
        <v>27536</v>
      </c>
      <c r="CL12" s="1693">
        <f t="shared" si="20"/>
        <v>27913</v>
      </c>
      <c r="CM12" s="1695">
        <f t="shared" si="20"/>
        <v>28436</v>
      </c>
      <c r="CN12" s="1267">
        <f t="shared" si="20"/>
        <v>28242</v>
      </c>
      <c r="CO12" s="1267">
        <f t="shared" si="20"/>
        <v>28552</v>
      </c>
      <c r="CP12" s="1267">
        <f t="shared" si="20"/>
        <v>29007</v>
      </c>
      <c r="CQ12" s="1695">
        <f t="shared" si="20"/>
        <v>29815</v>
      </c>
      <c r="CR12" s="1267">
        <f t="shared" si="20"/>
        <v>29240</v>
      </c>
      <c r="CS12" s="1267">
        <f t="shared" si="20"/>
        <v>29657</v>
      </c>
      <c r="CT12" s="1267">
        <f t="shared" si="20"/>
        <v>30122</v>
      </c>
      <c r="CU12" s="1695">
        <f t="shared" si="20"/>
        <v>30932</v>
      </c>
      <c r="CV12" s="1267">
        <f t="shared" si="20"/>
        <v>30690</v>
      </c>
      <c r="CW12" s="1267">
        <f t="shared" ref="CW12:DB12" si="21">SUM(CW6:CW11)</f>
        <v>31355</v>
      </c>
      <c r="CX12" s="1267">
        <f t="shared" si="21"/>
        <v>31586</v>
      </c>
      <c r="CY12" s="1695">
        <f t="shared" si="21"/>
        <v>33192</v>
      </c>
      <c r="CZ12" s="1267">
        <f t="shared" si="21"/>
        <v>31984</v>
      </c>
      <c r="DA12" s="1267">
        <f t="shared" si="21"/>
        <v>32224</v>
      </c>
      <c r="DB12" s="1267">
        <f t="shared" si="21"/>
        <v>33158</v>
      </c>
      <c r="DC12" s="1267">
        <f t="shared" ref="DC12:DH12" si="22">SUM(DC6:DC11)</f>
        <v>34254</v>
      </c>
      <c r="DD12" s="1267">
        <f t="shared" si="22"/>
        <v>32171</v>
      </c>
      <c r="DE12" s="1267">
        <f t="shared" si="22"/>
        <v>30532</v>
      </c>
      <c r="DF12" s="1267">
        <f t="shared" si="22"/>
        <v>30937</v>
      </c>
      <c r="DG12" s="1267">
        <f t="shared" si="22"/>
        <v>32340</v>
      </c>
      <c r="DH12" s="1267">
        <f t="shared" si="22"/>
        <v>29814</v>
      </c>
      <c r="DI12" s="1267">
        <f t="shared" ref="DI12:DJ12" si="23">SUM(DI6:DI11)</f>
        <v>30548</v>
      </c>
      <c r="DJ12" s="1267">
        <f t="shared" si="23"/>
        <v>31717</v>
      </c>
      <c r="DK12" s="1267">
        <f t="shared" ref="DK12:DL12" si="24">SUM(DK6:DK11)</f>
        <v>33955</v>
      </c>
      <c r="DL12" s="1267">
        <f t="shared" si="24"/>
        <v>31772</v>
      </c>
    </row>
    <row r="13" spans="1:116">
      <c r="A13" s="1629" t="s">
        <v>1237</v>
      </c>
      <c r="B13" s="1658"/>
      <c r="C13" s="1658"/>
      <c r="D13" s="1658"/>
      <c r="E13" s="1659">
        <f t="shared" ref="E13:K13" si="25">E12-SUM(E6:E10)</f>
        <v>0</v>
      </c>
      <c r="F13" s="1658">
        <f t="shared" si="25"/>
        <v>0</v>
      </c>
      <c r="G13" s="1658">
        <f t="shared" si="25"/>
        <v>0</v>
      </c>
      <c r="H13" s="1658">
        <f t="shared" si="25"/>
        <v>0</v>
      </c>
      <c r="I13" s="1658">
        <f t="shared" si="25"/>
        <v>0</v>
      </c>
      <c r="J13" s="1658">
        <f t="shared" si="25"/>
        <v>0</v>
      </c>
      <c r="K13" s="1696">
        <f t="shared" si="25"/>
        <v>0</v>
      </c>
      <c r="L13" s="1658"/>
      <c r="M13" s="1658"/>
      <c r="N13" s="1658"/>
      <c r="O13" s="1658"/>
      <c r="P13" s="1658"/>
      <c r="Q13" s="1658"/>
      <c r="R13" s="1658"/>
      <c r="S13" s="1658"/>
      <c r="T13" s="1658"/>
      <c r="U13" s="1658"/>
      <c r="V13" s="1658"/>
      <c r="W13" s="1658"/>
      <c r="X13" s="1658"/>
      <c r="Y13" s="1658"/>
      <c r="Z13" s="1658"/>
      <c r="AA13" s="1658"/>
      <c r="AB13" s="1658"/>
      <c r="AC13" s="1658"/>
      <c r="AD13" s="1658"/>
      <c r="AE13" s="1658"/>
      <c r="AF13" s="1659">
        <f t="shared" ref="AF13:BK13" si="26">AF12-SUM(AF6:AF10)</f>
        <v>0</v>
      </c>
      <c r="AG13" s="1658">
        <f t="shared" si="26"/>
        <v>0</v>
      </c>
      <c r="AH13" s="1658">
        <f t="shared" si="26"/>
        <v>0</v>
      </c>
      <c r="AI13" s="1658">
        <f t="shared" si="26"/>
        <v>0</v>
      </c>
      <c r="AJ13" s="1659">
        <f t="shared" si="26"/>
        <v>0</v>
      </c>
      <c r="AK13" s="1658">
        <f t="shared" si="26"/>
        <v>0</v>
      </c>
      <c r="AL13" s="1658">
        <f t="shared" si="26"/>
        <v>0</v>
      </c>
      <c r="AM13" s="1658">
        <f t="shared" si="26"/>
        <v>0</v>
      </c>
      <c r="AN13" s="1659">
        <f t="shared" si="26"/>
        <v>0</v>
      </c>
      <c r="AO13" s="1658">
        <f t="shared" si="26"/>
        <v>0</v>
      </c>
      <c r="AP13" s="1658">
        <f t="shared" si="26"/>
        <v>0</v>
      </c>
      <c r="AQ13" s="1658">
        <f t="shared" si="26"/>
        <v>0</v>
      </c>
      <c r="AR13" s="1659">
        <f t="shared" si="26"/>
        <v>0</v>
      </c>
      <c r="AS13" s="1658">
        <f t="shared" si="26"/>
        <v>0</v>
      </c>
      <c r="AT13" s="1658">
        <f t="shared" si="26"/>
        <v>0</v>
      </c>
      <c r="AU13" s="1658">
        <f t="shared" si="26"/>
        <v>0</v>
      </c>
      <c r="AV13" s="1659">
        <f t="shared" si="26"/>
        <v>0</v>
      </c>
      <c r="AW13" s="1658">
        <f t="shared" si="26"/>
        <v>0</v>
      </c>
      <c r="AX13" s="1658">
        <f t="shared" si="26"/>
        <v>0</v>
      </c>
      <c r="AY13" s="1658">
        <f t="shared" si="26"/>
        <v>0</v>
      </c>
      <c r="AZ13" s="1659">
        <f t="shared" si="26"/>
        <v>0</v>
      </c>
      <c r="BA13" s="1658">
        <f t="shared" si="26"/>
        <v>0</v>
      </c>
      <c r="BB13" s="1658">
        <f t="shared" si="26"/>
        <v>0</v>
      </c>
      <c r="BC13" s="1658">
        <f t="shared" si="26"/>
        <v>0</v>
      </c>
      <c r="BD13" s="1659">
        <f t="shared" si="26"/>
        <v>0</v>
      </c>
      <c r="BE13" s="1658">
        <f t="shared" si="26"/>
        <v>0</v>
      </c>
      <c r="BF13" s="1658">
        <f t="shared" si="26"/>
        <v>0</v>
      </c>
      <c r="BG13" s="1658">
        <f t="shared" si="26"/>
        <v>0</v>
      </c>
      <c r="BH13" s="1659">
        <f t="shared" si="26"/>
        <v>0</v>
      </c>
      <c r="BI13" s="1658">
        <f t="shared" si="26"/>
        <v>0</v>
      </c>
      <c r="BJ13" s="1658">
        <f t="shared" si="26"/>
        <v>0</v>
      </c>
      <c r="BK13" s="1658">
        <f t="shared" si="26"/>
        <v>0</v>
      </c>
      <c r="BL13" s="1659">
        <f t="shared" ref="BL13:BR13" si="27">BL12-SUM(BL6:BL10)+BL8</f>
        <v>20</v>
      </c>
      <c r="BM13" s="1658">
        <f t="shared" si="27"/>
        <v>21</v>
      </c>
      <c r="BN13" s="1658">
        <f t="shared" si="27"/>
        <v>20</v>
      </c>
      <c r="BO13" s="1658">
        <f t="shared" si="27"/>
        <v>12</v>
      </c>
      <c r="BP13" s="1659">
        <f t="shared" si="27"/>
        <v>0</v>
      </c>
      <c r="BQ13" s="1658">
        <f t="shared" si="27"/>
        <v>0</v>
      </c>
      <c r="BR13" s="1658">
        <f t="shared" si="27"/>
        <v>0</v>
      </c>
      <c r="BS13" s="1642"/>
      <c r="BT13" s="1641"/>
      <c r="BU13" s="1642"/>
      <c r="BV13" s="1642"/>
      <c r="BW13" s="1642"/>
      <c r="BX13" s="1641"/>
      <c r="BY13" s="1642"/>
      <c r="BZ13" s="1642"/>
      <c r="CA13" s="1642"/>
      <c r="CB13" s="1641"/>
      <c r="CC13" s="1642"/>
      <c r="CD13" s="1642"/>
      <c r="CE13" s="1642"/>
      <c r="CF13" s="1641"/>
      <c r="CG13" s="1642"/>
      <c r="CH13" s="1642"/>
      <c r="CI13" s="1642"/>
      <c r="CJ13" s="1641"/>
      <c r="CK13" s="1642"/>
      <c r="CL13" s="1642"/>
      <c r="CM13" s="1681"/>
      <c r="CN13" s="1672"/>
      <c r="CO13" s="1672"/>
      <c r="CP13" s="1672"/>
      <c r="CQ13" s="1681"/>
      <c r="CR13" s="1672"/>
      <c r="CS13" s="1672"/>
      <c r="CT13" s="1672"/>
      <c r="CU13" s="1681"/>
      <c r="CV13" s="1672"/>
      <c r="CW13" s="1672"/>
      <c r="CX13" s="1672"/>
      <c r="CY13" s="1681"/>
      <c r="CZ13" s="1672"/>
      <c r="DA13" s="1672"/>
      <c r="DB13" s="1672"/>
      <c r="DC13" s="1672"/>
      <c r="DD13" s="1672"/>
      <c r="DE13" s="1672"/>
      <c r="DF13" s="1672"/>
      <c r="DG13" s="1672"/>
      <c r="DH13" s="1672"/>
      <c r="DI13" s="1672"/>
      <c r="DJ13" s="1672"/>
      <c r="DK13" s="1672"/>
      <c r="DL13" s="1672"/>
    </row>
    <row r="14" spans="1:116">
      <c r="A14" s="1539"/>
      <c r="B14" s="1642"/>
      <c r="C14" s="1642"/>
      <c r="D14" s="1642"/>
      <c r="E14" s="1641"/>
      <c r="F14" s="1642"/>
      <c r="G14" s="1642"/>
      <c r="H14" s="1642"/>
      <c r="I14" s="1642"/>
      <c r="J14" s="1642"/>
      <c r="K14" s="1681"/>
      <c r="L14" s="1642"/>
      <c r="M14" s="1642"/>
      <c r="N14" s="1642"/>
      <c r="O14" s="1642"/>
      <c r="P14" s="1642"/>
      <c r="Q14" s="1642"/>
      <c r="R14" s="1642"/>
      <c r="S14" s="1642"/>
      <c r="T14" s="1642"/>
      <c r="U14" s="1642"/>
      <c r="V14" s="1642"/>
      <c r="W14" s="1642"/>
      <c r="X14" s="1642"/>
      <c r="Y14" s="1642"/>
      <c r="Z14" s="1642"/>
      <c r="AA14" s="1642"/>
      <c r="AB14" s="1642"/>
      <c r="AC14" s="1642"/>
      <c r="AD14" s="1642"/>
      <c r="AE14" s="1642"/>
      <c r="AF14" s="1641"/>
      <c r="AG14" s="1642"/>
      <c r="AH14" s="1642"/>
      <c r="AI14" s="1642"/>
      <c r="AJ14" s="1641"/>
      <c r="AK14" s="1642"/>
      <c r="AL14" s="1642"/>
      <c r="AM14" s="1642"/>
      <c r="AN14" s="1641"/>
      <c r="AO14" s="1642"/>
      <c r="AP14" s="1642"/>
      <c r="AQ14" s="1642"/>
      <c r="AR14" s="1641"/>
      <c r="AS14" s="1642"/>
      <c r="AT14" s="1642"/>
      <c r="AU14" s="1642"/>
      <c r="AV14" s="1641"/>
      <c r="AW14" s="1642"/>
      <c r="AX14" s="1642"/>
      <c r="AY14" s="1642"/>
      <c r="AZ14" s="1641"/>
      <c r="BA14" s="1642"/>
      <c r="BB14" s="1642"/>
      <c r="BC14" s="1642"/>
      <c r="BD14" s="1641"/>
      <c r="BE14" s="1642"/>
      <c r="BF14" s="1642"/>
      <c r="BG14" s="1642"/>
      <c r="BH14" s="1641"/>
      <c r="BI14" s="1642"/>
      <c r="BJ14" s="1642"/>
      <c r="BK14" s="1642"/>
      <c r="BL14" s="1641"/>
      <c r="BM14" s="1642"/>
      <c r="BN14" s="1642"/>
      <c r="BO14" s="1642"/>
      <c r="BP14" s="1641"/>
      <c r="BQ14" s="1642"/>
      <c r="BR14" s="1642"/>
      <c r="BS14" s="1642"/>
      <c r="BT14" s="1641"/>
      <c r="BU14" s="1642"/>
      <c r="BV14" s="1642"/>
      <c r="BW14" s="1642"/>
      <c r="BX14" s="1641"/>
      <c r="BY14" s="1642"/>
      <c r="BZ14" s="1642"/>
      <c r="CA14" s="1642"/>
      <c r="CB14" s="1641"/>
      <c r="CC14" s="1642"/>
      <c r="CD14" s="1642"/>
      <c r="CE14" s="1642"/>
      <c r="CF14" s="1641"/>
      <c r="CG14" s="1642"/>
      <c r="CH14" s="1642"/>
      <c r="CI14" s="1642"/>
      <c r="CJ14" s="1641"/>
      <c r="CK14" s="1642"/>
      <c r="CL14" s="1642"/>
      <c r="CM14" s="1681"/>
      <c r="CN14" s="1672"/>
      <c r="CO14" s="1672"/>
      <c r="CP14" s="1672"/>
      <c r="CQ14" s="1681"/>
      <c r="CR14" s="1672"/>
      <c r="CS14" s="1672"/>
      <c r="CT14" s="1672"/>
      <c r="CU14" s="1681"/>
      <c r="CV14" s="1672"/>
      <c r="CW14" s="1672"/>
      <c r="CX14" s="1672"/>
      <c r="CY14" s="1681"/>
      <c r="CZ14" s="1672"/>
      <c r="DA14" s="1672"/>
      <c r="DB14" s="1672"/>
      <c r="DC14" s="1672"/>
      <c r="DD14" s="1672"/>
      <c r="DE14" s="1672"/>
      <c r="DF14" s="1672"/>
      <c r="DG14" s="1672"/>
      <c r="DH14" s="1672"/>
      <c r="DI14" s="1672"/>
      <c r="DJ14" s="1672"/>
      <c r="DK14" s="1672"/>
      <c r="DL14" s="1672"/>
    </row>
    <row r="15" spans="1:116">
      <c r="A15" s="1539" t="s">
        <v>612</v>
      </c>
      <c r="B15" s="1642"/>
      <c r="C15" s="1642"/>
      <c r="D15" s="1642"/>
      <c r="E15" s="1641"/>
      <c r="F15" s="1642"/>
      <c r="G15" s="1642"/>
      <c r="H15" s="1642"/>
      <c r="I15" s="1642"/>
      <c r="J15" s="1642"/>
      <c r="K15" s="1681">
        <f>SUM(BD15:BG15)</f>
        <v>-141</v>
      </c>
      <c r="L15" s="1642"/>
      <c r="M15" s="1642"/>
      <c r="N15" s="1642"/>
      <c r="O15" s="1642"/>
      <c r="P15" s="1642"/>
      <c r="Q15" s="1642"/>
      <c r="R15" s="1642"/>
      <c r="S15" s="1642"/>
      <c r="T15" s="1642"/>
      <c r="U15" s="1642"/>
      <c r="V15" s="1642"/>
      <c r="W15" s="1642"/>
      <c r="X15" s="1642"/>
      <c r="Y15" s="1642"/>
      <c r="Z15" s="1642"/>
      <c r="AA15" s="1642"/>
      <c r="AB15" s="1642"/>
      <c r="AC15" s="1642"/>
      <c r="AD15" s="1642"/>
      <c r="AE15" s="1642"/>
      <c r="AF15" s="1641"/>
      <c r="AG15" s="1642"/>
      <c r="AH15" s="1642"/>
      <c r="AI15" s="1642"/>
      <c r="AJ15" s="1641"/>
      <c r="AK15" s="1642"/>
      <c r="AL15" s="1642"/>
      <c r="AM15" s="1642"/>
      <c r="AN15" s="1641"/>
      <c r="AO15" s="1642"/>
      <c r="AP15" s="1642"/>
      <c r="AQ15" s="1642"/>
      <c r="AR15" s="1641"/>
      <c r="AS15" s="1642"/>
      <c r="AT15" s="1642"/>
      <c r="AU15" s="1642"/>
      <c r="AV15" s="1641"/>
      <c r="AW15" s="1642"/>
      <c r="AX15" s="1642"/>
      <c r="AY15" s="1642"/>
      <c r="AZ15" s="1641"/>
      <c r="BA15" s="1642"/>
      <c r="BB15" s="1642"/>
      <c r="BC15" s="1642"/>
      <c r="BD15" s="1641">
        <v>0</v>
      </c>
      <c r="BE15" s="1642">
        <v>0</v>
      </c>
      <c r="BF15" s="1642">
        <v>-141</v>
      </c>
      <c r="BG15" s="1642">
        <v>0</v>
      </c>
      <c r="BH15" s="1641">
        <v>0</v>
      </c>
      <c r="BI15" s="1642">
        <v>0</v>
      </c>
      <c r="BJ15" s="1642">
        <v>0</v>
      </c>
      <c r="BK15" s="1642">
        <v>0</v>
      </c>
      <c r="BL15" s="1641">
        <v>0</v>
      </c>
      <c r="BM15" s="1642">
        <v>0</v>
      </c>
      <c r="BN15" s="1642">
        <v>0</v>
      </c>
      <c r="BO15" s="1642">
        <v>0</v>
      </c>
      <c r="BP15" s="1641">
        <v>0</v>
      </c>
      <c r="BQ15" s="1642"/>
      <c r="BR15" s="1642"/>
      <c r="BS15" s="1642"/>
      <c r="BT15" s="1641"/>
      <c r="BU15" s="1642"/>
      <c r="BV15" s="1642"/>
      <c r="BW15" s="1642"/>
      <c r="BX15" s="1641"/>
      <c r="BY15" s="1642"/>
      <c r="BZ15" s="1642"/>
      <c r="CA15" s="1642"/>
      <c r="CB15" s="1641"/>
      <c r="CC15" s="1642"/>
      <c r="CD15" s="1642"/>
      <c r="CE15" s="1642"/>
      <c r="CF15" s="1641"/>
      <c r="CG15" s="1642"/>
      <c r="CH15" s="1642"/>
      <c r="CI15" s="1642"/>
      <c r="CJ15" s="1641"/>
      <c r="CK15" s="1642"/>
      <c r="CL15" s="1642"/>
      <c r="CM15" s="1681"/>
      <c r="CN15" s="1672"/>
      <c r="CO15" s="1672"/>
      <c r="CP15" s="1672"/>
      <c r="CQ15" s="1681"/>
      <c r="CR15" s="1672"/>
      <c r="CS15" s="1672"/>
      <c r="CT15" s="1672"/>
      <c r="CU15" s="1681"/>
      <c r="CV15" s="1672"/>
      <c r="CW15" s="1672"/>
      <c r="CX15" s="1672"/>
      <c r="CY15" s="1681"/>
      <c r="CZ15" s="1672"/>
      <c r="DA15" s="1672"/>
      <c r="DB15" s="1672"/>
      <c r="DC15" s="1672"/>
      <c r="DD15" s="1672"/>
      <c r="DE15" s="1672"/>
      <c r="DF15" s="1672"/>
      <c r="DG15" s="1672"/>
      <c r="DH15" s="1672"/>
      <c r="DI15" s="1672"/>
      <c r="DJ15" s="1672"/>
      <c r="DK15" s="1672"/>
      <c r="DL15" s="1672"/>
    </row>
    <row r="16" spans="1:116">
      <c r="A16" s="1539"/>
      <c r="B16" s="1642"/>
      <c r="C16" s="1642"/>
      <c r="D16" s="1642"/>
      <c r="E16" s="1641"/>
      <c r="F16" s="1642"/>
      <c r="G16" s="1642"/>
      <c r="H16" s="1642"/>
      <c r="I16" s="1642"/>
      <c r="J16" s="1642"/>
      <c r="K16" s="1681"/>
      <c r="L16" s="1642"/>
      <c r="M16" s="1642"/>
      <c r="N16" s="1642"/>
      <c r="O16" s="1642"/>
      <c r="P16" s="1642"/>
      <c r="Q16" s="1642"/>
      <c r="R16" s="1642"/>
      <c r="S16" s="1642"/>
      <c r="T16" s="1642"/>
      <c r="U16" s="1642"/>
      <c r="V16" s="1642"/>
      <c r="W16" s="1642"/>
      <c r="X16" s="1642"/>
      <c r="Y16" s="1642"/>
      <c r="Z16" s="1642"/>
      <c r="AA16" s="1642"/>
      <c r="AB16" s="1642"/>
      <c r="AC16" s="1642"/>
      <c r="AD16" s="1642"/>
      <c r="AE16" s="1642"/>
      <c r="AF16" s="1641"/>
      <c r="AG16" s="1642"/>
      <c r="AH16" s="1642"/>
      <c r="AI16" s="1642"/>
      <c r="AJ16" s="1641"/>
      <c r="AK16" s="1642"/>
      <c r="AL16" s="1642"/>
      <c r="AM16" s="1642"/>
      <c r="AN16" s="1641"/>
      <c r="AO16" s="1642"/>
      <c r="AP16" s="1642"/>
      <c r="AQ16" s="1642"/>
      <c r="AR16" s="1641"/>
      <c r="AS16" s="1642"/>
      <c r="AT16" s="1642"/>
      <c r="AU16" s="1642"/>
      <c r="AV16" s="1641"/>
      <c r="AW16" s="1642"/>
      <c r="AX16" s="1642"/>
      <c r="AY16" s="1642"/>
      <c r="AZ16" s="1641"/>
      <c r="BA16" s="1642"/>
      <c r="BB16" s="1642"/>
      <c r="BC16" s="1642"/>
      <c r="BD16" s="1641"/>
      <c r="BE16" s="1642"/>
      <c r="BF16" s="1642"/>
      <c r="BG16" s="1642"/>
      <c r="BH16" s="1641"/>
      <c r="BI16" s="1642"/>
      <c r="BJ16" s="1642"/>
      <c r="BK16" s="1642"/>
      <c r="BL16" s="1641"/>
      <c r="BM16" s="1642"/>
      <c r="BN16" s="1642"/>
      <c r="BO16" s="1642"/>
      <c r="BP16" s="1641"/>
      <c r="BQ16" s="1642"/>
      <c r="BR16" s="1642"/>
      <c r="BS16" s="1642"/>
      <c r="BT16" s="1641"/>
      <c r="BU16" s="1642"/>
      <c r="BV16" s="1642"/>
      <c r="BW16" s="1642"/>
      <c r="BX16" s="1641"/>
      <c r="BY16" s="1642"/>
      <c r="BZ16" s="1642"/>
      <c r="CA16" s="1642"/>
      <c r="CB16" s="1641"/>
      <c r="CC16" s="1642"/>
      <c r="CD16" s="1642"/>
      <c r="CE16" s="1642"/>
      <c r="CF16" s="1641"/>
      <c r="CG16" s="1642"/>
      <c r="CH16" s="1642"/>
      <c r="CI16" s="1642"/>
      <c r="CJ16" s="1641"/>
      <c r="CK16" s="1642"/>
      <c r="CL16" s="1642"/>
      <c r="CM16" s="1681"/>
      <c r="CN16" s="1672"/>
      <c r="CO16" s="1672"/>
      <c r="CP16" s="1672"/>
      <c r="CQ16" s="1681"/>
      <c r="CR16" s="1672"/>
      <c r="CS16" s="1672"/>
      <c r="CT16" s="1672"/>
      <c r="CU16" s="1681"/>
      <c r="CV16" s="1672"/>
      <c r="CW16" s="1672"/>
      <c r="CX16" s="1672"/>
      <c r="CY16" s="1681"/>
      <c r="CZ16" s="1672"/>
      <c r="DA16" s="1672"/>
      <c r="DB16" s="1672"/>
      <c r="DC16" s="1672"/>
      <c r="DD16" s="1672"/>
      <c r="DE16" s="1672"/>
      <c r="DF16" s="1672"/>
      <c r="DG16" s="1672"/>
      <c r="DH16" s="1672"/>
      <c r="DI16" s="1672"/>
      <c r="DJ16" s="1672"/>
      <c r="DK16" s="1672"/>
      <c r="DL16" s="1672"/>
    </row>
    <row r="17" spans="1:116">
      <c r="A17" s="1539"/>
      <c r="B17" s="1642"/>
      <c r="C17" s="1642"/>
      <c r="D17" s="1642"/>
      <c r="E17" s="1641"/>
      <c r="F17" s="1642"/>
      <c r="G17" s="1642"/>
      <c r="H17" s="1642"/>
      <c r="I17" s="1642"/>
      <c r="J17" s="1642"/>
      <c r="K17" s="1681">
        <f>SUM(BD17:BG17)</f>
        <v>0</v>
      </c>
      <c r="L17" s="1642"/>
      <c r="M17" s="1642"/>
      <c r="N17" s="1642"/>
      <c r="O17" s="1642"/>
      <c r="P17" s="1642"/>
      <c r="Q17" s="1642"/>
      <c r="R17" s="1642"/>
      <c r="S17" s="1642"/>
      <c r="T17" s="1642"/>
      <c r="U17" s="1642"/>
      <c r="V17" s="1642"/>
      <c r="W17" s="1642"/>
      <c r="X17" s="1642"/>
      <c r="Y17" s="1642"/>
      <c r="Z17" s="1642"/>
      <c r="AA17" s="1642"/>
      <c r="AB17" s="1642"/>
      <c r="AC17" s="1642"/>
      <c r="AD17" s="1642"/>
      <c r="AE17" s="1642"/>
      <c r="AF17" s="1641"/>
      <c r="AG17" s="1642"/>
      <c r="AH17" s="1642"/>
      <c r="AI17" s="1642"/>
      <c r="AJ17" s="1641"/>
      <c r="AK17" s="1642"/>
      <c r="AL17" s="1642"/>
      <c r="AM17" s="1642"/>
      <c r="AN17" s="1641"/>
      <c r="AO17" s="1642"/>
      <c r="AP17" s="1642"/>
      <c r="AQ17" s="1642"/>
      <c r="AR17" s="1641"/>
      <c r="AS17" s="1642"/>
      <c r="AT17" s="1642">
        <f>AT12</f>
        <v>16351</v>
      </c>
      <c r="AU17" s="1642"/>
      <c r="AV17" s="1641"/>
      <c r="AW17" s="1642"/>
      <c r="AX17" s="1642"/>
      <c r="AY17" s="1642"/>
      <c r="AZ17" s="1641"/>
      <c r="BA17" s="1642"/>
      <c r="BB17" s="1642"/>
      <c r="BC17" s="1642"/>
      <c r="BD17" s="1641"/>
      <c r="BE17" s="1642"/>
      <c r="BF17" s="1642"/>
      <c r="BG17" s="1642"/>
      <c r="BH17" s="1641"/>
      <c r="BI17" s="1642"/>
      <c r="BJ17" s="1642"/>
      <c r="BK17" s="1642"/>
      <c r="BL17" s="1641"/>
      <c r="BM17" s="1642"/>
      <c r="BN17" s="1642"/>
      <c r="BO17" s="1642"/>
      <c r="BP17" s="1641"/>
      <c r="BQ17" s="1642"/>
      <c r="BR17" s="1642"/>
      <c r="BS17" s="1642"/>
      <c r="BT17" s="1641"/>
      <c r="BU17" s="1642"/>
      <c r="BV17" s="1642"/>
      <c r="BW17" s="1642"/>
      <c r="BX17" s="1650" t="s">
        <v>613</v>
      </c>
      <c r="BY17" s="1651"/>
      <c r="BZ17" s="1651"/>
      <c r="CA17" s="1651"/>
      <c r="CB17" s="1650" t="s">
        <v>614</v>
      </c>
      <c r="CC17" s="1651"/>
      <c r="CD17" s="1651"/>
      <c r="CE17" s="1651"/>
      <c r="CF17" s="1650"/>
      <c r="CG17" s="1651"/>
      <c r="CH17" s="1651"/>
      <c r="CI17" s="1651"/>
      <c r="CJ17" s="1650"/>
      <c r="CK17" s="1651"/>
      <c r="CL17" s="1651"/>
      <c r="CM17" s="1652"/>
      <c r="CN17" s="1653"/>
      <c r="CO17" s="1653"/>
      <c r="CP17" s="1653"/>
      <c r="CQ17" s="1652" t="s">
        <v>1549</v>
      </c>
      <c r="CR17" s="1653"/>
      <c r="CS17" s="1653"/>
      <c r="CT17" s="1653"/>
      <c r="CU17" s="1652"/>
      <c r="CV17" s="1653"/>
      <c r="CW17" s="1653"/>
      <c r="CX17" s="1653"/>
      <c r="CY17" s="1652"/>
      <c r="CZ17" s="1653"/>
      <c r="DA17" s="1653"/>
      <c r="DB17" s="1653"/>
      <c r="DC17" s="1653"/>
      <c r="DD17" s="1653"/>
      <c r="DE17" s="2966"/>
      <c r="DF17" s="2989"/>
      <c r="DG17" s="3027"/>
      <c r="DH17" s="3062"/>
      <c r="DI17" s="3161"/>
      <c r="DJ17" s="3241"/>
      <c r="DK17" s="3286"/>
      <c r="DL17" s="3317"/>
    </row>
    <row r="18" spans="1:116" ht="12.75" customHeight="1">
      <c r="A18" s="1628" t="s">
        <v>689</v>
      </c>
      <c r="B18" s="1642"/>
      <c r="C18" s="1642"/>
      <c r="D18" s="1642"/>
      <c r="E18" s="1641"/>
      <c r="F18" s="1642"/>
      <c r="G18" s="1642"/>
      <c r="H18" s="1642"/>
      <c r="I18" s="1642"/>
      <c r="J18" s="1642"/>
      <c r="K18" s="1681"/>
      <c r="L18" s="1642"/>
      <c r="M18" s="1642"/>
      <c r="N18" s="1642"/>
      <c r="O18" s="1642"/>
      <c r="P18" s="1642"/>
      <c r="Q18" s="1642"/>
      <c r="R18" s="1642"/>
      <c r="S18" s="1642"/>
      <c r="T18" s="1642"/>
      <c r="U18" s="1642"/>
      <c r="V18" s="1642"/>
      <c r="W18" s="1642"/>
      <c r="X18" s="1642"/>
      <c r="Y18" s="1642"/>
      <c r="Z18" s="1642"/>
      <c r="AA18" s="1642"/>
      <c r="AB18" s="1642"/>
      <c r="AC18" s="1642"/>
      <c r="AD18" s="1642"/>
      <c r="AE18" s="1642"/>
      <c r="AF18" s="1641"/>
      <c r="AG18" s="1642"/>
      <c r="AH18" s="1642"/>
      <c r="AI18" s="1642"/>
      <c r="AJ18" s="1641"/>
      <c r="AK18" s="1642"/>
      <c r="AL18" s="1642"/>
      <c r="AM18" s="1642"/>
      <c r="AN18" s="1641"/>
      <c r="AO18" s="1642"/>
      <c r="AP18" s="1642"/>
      <c r="AQ18" s="1642"/>
      <c r="AR18" s="1641"/>
      <c r="AS18" s="1642"/>
      <c r="AT18" s="1642"/>
      <c r="AU18" s="1642"/>
      <c r="AV18" s="1641"/>
      <c r="AW18" s="1642"/>
      <c r="AX18" s="1642"/>
      <c r="AY18" s="1642"/>
      <c r="AZ18" s="1641"/>
      <c r="BA18" s="1642"/>
      <c r="BB18" s="1642"/>
      <c r="BC18" s="1642"/>
      <c r="BD18" s="1641"/>
      <c r="BE18" s="1642"/>
      <c r="BF18" s="1642"/>
      <c r="BG18" s="1642"/>
      <c r="BH18" s="1641"/>
      <c r="BI18" s="1642"/>
      <c r="BJ18" s="1642"/>
      <c r="BK18" s="1642"/>
      <c r="BL18" s="1641"/>
      <c r="BM18" s="1642"/>
      <c r="BN18" s="1642"/>
      <c r="BO18" s="1642"/>
      <c r="BP18" s="1641"/>
      <c r="BQ18" s="1642"/>
      <c r="BR18" s="1642"/>
      <c r="BS18" s="1642"/>
      <c r="BT18" s="1641"/>
      <c r="BU18" s="1642"/>
      <c r="BV18" s="1642"/>
      <c r="BW18" s="1642"/>
      <c r="BX18" s="1633">
        <v>12026</v>
      </c>
      <c r="BY18" s="1634">
        <v>12113</v>
      </c>
      <c r="BZ18" s="1634">
        <v>12158</v>
      </c>
      <c r="CA18" s="1634">
        <v>11917</v>
      </c>
      <c r="CB18" s="1633">
        <v>10640</v>
      </c>
      <c r="CC18" s="1634">
        <v>10563</v>
      </c>
      <c r="CD18" s="1634">
        <v>10667</v>
      </c>
      <c r="CE18" s="1634">
        <v>10581</v>
      </c>
      <c r="CF18" s="1633">
        <v>10375</v>
      </c>
      <c r="CG18" s="1634">
        <v>10277</v>
      </c>
      <c r="CH18" s="1634">
        <v>10286</v>
      </c>
      <c r="CI18" s="1634">
        <v>10289</v>
      </c>
      <c r="CJ18" s="1633">
        <v>10147</v>
      </c>
      <c r="CK18" s="1634">
        <v>10247</v>
      </c>
      <c r="CL18" s="1634">
        <v>10149</v>
      </c>
      <c r="CM18" s="1648">
        <v>10139</v>
      </c>
      <c r="CN18" s="1649">
        <v>9945</v>
      </c>
      <c r="CO18" s="1649">
        <v>9931</v>
      </c>
      <c r="CP18" s="1649">
        <v>9914</v>
      </c>
      <c r="CQ18" s="1648">
        <v>9760</v>
      </c>
      <c r="CR18" s="1649">
        <v>9650</v>
      </c>
      <c r="CS18" s="1649">
        <v>9605</v>
      </c>
      <c r="CT18" s="1649">
        <v>9657</v>
      </c>
      <c r="CU18" s="1648">
        <v>9712</v>
      </c>
      <c r="CV18" s="1649">
        <v>9662</v>
      </c>
      <c r="CW18" s="1649">
        <v>9631</v>
      </c>
      <c r="CX18" s="1649">
        <v>9576</v>
      </c>
      <c r="CY18" s="1648">
        <v>9560</v>
      </c>
      <c r="CZ18" s="1649">
        <v>9469</v>
      </c>
      <c r="DA18" s="1649">
        <v>9423</v>
      </c>
      <c r="DB18" s="1649">
        <v>9355</v>
      </c>
      <c r="DC18" s="1649">
        <v>9473</v>
      </c>
      <c r="DD18" s="1649">
        <v>9290</v>
      </c>
      <c r="DE18" s="1649">
        <v>7823</v>
      </c>
      <c r="DF18" s="1649">
        <v>7787</v>
      </c>
      <c r="DG18" s="1649">
        <v>7812</v>
      </c>
      <c r="DH18" s="1649">
        <v>7876</v>
      </c>
      <c r="DI18" s="1649">
        <v>7802</v>
      </c>
      <c r="DJ18" s="1649">
        <v>7662</v>
      </c>
      <c r="DK18" s="1649">
        <v>7617</v>
      </c>
      <c r="DL18" s="1649">
        <v>7557</v>
      </c>
    </row>
    <row r="19" spans="1:116" ht="12.75" customHeight="1">
      <c r="A19" s="1628" t="s">
        <v>538</v>
      </c>
      <c r="B19" s="1642"/>
      <c r="C19" s="1642"/>
      <c r="D19" s="1642"/>
      <c r="E19" s="1641"/>
      <c r="F19" s="1642"/>
      <c r="G19" s="1642"/>
      <c r="H19" s="1642"/>
      <c r="I19" s="1642"/>
      <c r="J19" s="1642"/>
      <c r="K19" s="1681"/>
      <c r="L19" s="1642"/>
      <c r="M19" s="1642"/>
      <c r="N19" s="1642"/>
      <c r="O19" s="1642"/>
      <c r="P19" s="1642"/>
      <c r="Q19" s="1642"/>
      <c r="R19" s="1642"/>
      <c r="S19" s="1642"/>
      <c r="T19" s="1642"/>
      <c r="U19" s="1642"/>
      <c r="V19" s="1642"/>
      <c r="W19" s="1642"/>
      <c r="X19" s="1642"/>
      <c r="Y19" s="1642"/>
      <c r="Z19" s="1642"/>
      <c r="AA19" s="1642"/>
      <c r="AB19" s="1642"/>
      <c r="AC19" s="1642"/>
      <c r="AD19" s="1642"/>
      <c r="AE19" s="1642"/>
      <c r="AF19" s="1641"/>
      <c r="AG19" s="1642"/>
      <c r="AH19" s="1642"/>
      <c r="AI19" s="1642"/>
      <c r="AJ19" s="1641"/>
      <c r="AK19" s="1642"/>
      <c r="AL19" s="1642"/>
      <c r="AM19" s="1642"/>
      <c r="AN19" s="1641"/>
      <c r="AO19" s="1642"/>
      <c r="AP19" s="1642"/>
      <c r="AQ19" s="1642"/>
      <c r="AR19" s="1641"/>
      <c r="AS19" s="1642"/>
      <c r="AT19" s="1642"/>
      <c r="AU19" s="1642"/>
      <c r="AV19" s="1641"/>
      <c r="AW19" s="1642"/>
      <c r="AX19" s="1642"/>
      <c r="AY19" s="1642"/>
      <c r="AZ19" s="1641"/>
      <c r="BA19" s="1642"/>
      <c r="BB19" s="1642"/>
      <c r="BC19" s="1642"/>
      <c r="BD19" s="1641"/>
      <c r="BE19" s="1642"/>
      <c r="BF19" s="1642"/>
      <c r="BG19" s="1642"/>
      <c r="BH19" s="1641"/>
      <c r="BI19" s="1642"/>
      <c r="BJ19" s="1642"/>
      <c r="BK19" s="1642"/>
      <c r="BL19" s="1641"/>
      <c r="BM19" s="1642"/>
      <c r="BN19" s="1642"/>
      <c r="BO19" s="1642"/>
      <c r="BP19" s="1641"/>
      <c r="BQ19" s="1642"/>
      <c r="BR19" s="1642"/>
      <c r="BS19" s="1642"/>
      <c r="BT19" s="1641"/>
      <c r="BU19" s="1642"/>
      <c r="BV19" s="1642"/>
      <c r="BW19" s="1642"/>
      <c r="BX19" s="1633">
        <v>13871</v>
      </c>
      <c r="BY19" s="1634">
        <v>14382</v>
      </c>
      <c r="BZ19" s="1634">
        <v>15066</v>
      </c>
      <c r="CA19" s="1634">
        <v>15253</v>
      </c>
      <c r="CB19" s="1633">
        <v>14690</v>
      </c>
      <c r="CC19" s="1634">
        <v>15029</v>
      </c>
      <c r="CD19" s="1634">
        <v>15331</v>
      </c>
      <c r="CE19" s="1634">
        <v>15275</v>
      </c>
      <c r="CF19" s="1633">
        <v>15312</v>
      </c>
      <c r="CG19" s="1634">
        <v>15697</v>
      </c>
      <c r="CH19" s="1634">
        <v>16250</v>
      </c>
      <c r="CI19" s="1634">
        <v>16148</v>
      </c>
      <c r="CJ19" s="1633">
        <v>16881</v>
      </c>
      <c r="CK19" s="1634">
        <v>17293</v>
      </c>
      <c r="CL19" s="1634">
        <v>17726</v>
      </c>
      <c r="CM19" s="1648">
        <v>18254</v>
      </c>
      <c r="CN19" s="1649">
        <v>18273</v>
      </c>
      <c r="CO19" s="1649">
        <v>18577</v>
      </c>
      <c r="CP19" s="1649">
        <v>19024</v>
      </c>
      <c r="CQ19" s="1648">
        <v>19994</v>
      </c>
      <c r="CR19" s="1649">
        <v>19523</v>
      </c>
      <c r="CS19" s="1649">
        <v>19976</v>
      </c>
      <c r="CT19" s="1649">
        <v>20399</v>
      </c>
      <c r="CU19" s="1648">
        <v>21125</v>
      </c>
      <c r="CV19" s="1649">
        <v>20879</v>
      </c>
      <c r="CW19" s="1649">
        <v>21483</v>
      </c>
      <c r="CX19" s="1649">
        <v>21835</v>
      </c>
      <c r="CY19" s="1648">
        <v>23449</v>
      </c>
      <c r="CZ19" s="1649">
        <v>22328</v>
      </c>
      <c r="DA19" s="1649">
        <v>22613</v>
      </c>
      <c r="DB19" s="1649">
        <v>23005</v>
      </c>
      <c r="DC19" s="1649">
        <v>23734</v>
      </c>
      <c r="DD19" s="1649">
        <v>22004</v>
      </c>
      <c r="DE19" s="1649">
        <v>21704</v>
      </c>
      <c r="DF19" s="1649">
        <v>22101</v>
      </c>
      <c r="DG19" s="1649">
        <v>23377</v>
      </c>
      <c r="DH19" s="1649">
        <v>20878</v>
      </c>
      <c r="DI19" s="1649">
        <v>21282</v>
      </c>
      <c r="DJ19" s="1649">
        <v>21580</v>
      </c>
      <c r="DK19" s="1649">
        <v>23771</v>
      </c>
      <c r="DL19" s="1649">
        <v>21900</v>
      </c>
    </row>
    <row r="20" spans="1:116" ht="12.75" customHeight="1">
      <c r="A20" s="1628" t="s">
        <v>955</v>
      </c>
      <c r="B20" s="1642"/>
      <c r="C20" s="1642"/>
      <c r="D20" s="1642"/>
      <c r="E20" s="1641"/>
      <c r="F20" s="1642"/>
      <c r="G20" s="1642"/>
      <c r="H20" s="1642"/>
      <c r="I20" s="1642"/>
      <c r="J20" s="1642"/>
      <c r="K20" s="1681"/>
      <c r="L20" s="1642"/>
      <c r="M20" s="1642"/>
      <c r="N20" s="1642"/>
      <c r="O20" s="1642"/>
      <c r="P20" s="1642"/>
      <c r="Q20" s="1642"/>
      <c r="R20" s="1642"/>
      <c r="S20" s="1642"/>
      <c r="T20" s="1642"/>
      <c r="U20" s="1642"/>
      <c r="V20" s="1642"/>
      <c r="W20" s="1642"/>
      <c r="X20" s="1642"/>
      <c r="Y20" s="1642"/>
      <c r="Z20" s="1642"/>
      <c r="AA20" s="1642"/>
      <c r="AB20" s="1642"/>
      <c r="AC20" s="1642"/>
      <c r="AD20" s="1642"/>
      <c r="AE20" s="1642"/>
      <c r="AF20" s="1641"/>
      <c r="AG20" s="1642"/>
      <c r="AH20" s="1642"/>
      <c r="AI20" s="1642"/>
      <c r="AJ20" s="1641"/>
      <c r="AK20" s="1642"/>
      <c r="AL20" s="1642"/>
      <c r="AM20" s="1642"/>
      <c r="AN20" s="1641"/>
      <c r="AO20" s="1642"/>
      <c r="AP20" s="1642"/>
      <c r="AQ20" s="1642"/>
      <c r="AR20" s="1641"/>
      <c r="AS20" s="1642"/>
      <c r="AT20" s="1642"/>
      <c r="AU20" s="1642"/>
      <c r="AV20" s="1641"/>
      <c r="AW20" s="1642"/>
      <c r="AX20" s="1642"/>
      <c r="AY20" s="1642"/>
      <c r="AZ20" s="1641"/>
      <c r="BA20" s="1642"/>
      <c r="BB20" s="1642"/>
      <c r="BC20" s="1642"/>
      <c r="BD20" s="1641"/>
      <c r="BE20" s="1642"/>
      <c r="BF20" s="1642"/>
      <c r="BG20" s="1642"/>
      <c r="BH20" s="1641"/>
      <c r="BI20" s="1642"/>
      <c r="BJ20" s="1642"/>
      <c r="BK20" s="1642"/>
      <c r="BL20" s="1641"/>
      <c r="BM20" s="1642"/>
      <c r="BN20" s="1642"/>
      <c r="BO20" s="1642"/>
      <c r="BP20" s="1641"/>
      <c r="BQ20" s="1642"/>
      <c r="BR20" s="1642"/>
      <c r="BS20" s="1642"/>
      <c r="BT20" s="1641"/>
      <c r="BU20" s="1642"/>
      <c r="BV20" s="1642"/>
      <c r="BW20" s="1642"/>
      <c r="BX20" s="1641">
        <f t="shared" ref="BX20:CV20" si="28">+BX21-BX18-BX19</f>
        <v>-145</v>
      </c>
      <c r="BY20" s="1642">
        <f t="shared" si="28"/>
        <v>-129</v>
      </c>
      <c r="BZ20" s="1642">
        <f t="shared" si="28"/>
        <v>-125</v>
      </c>
      <c r="CA20" s="1642">
        <f t="shared" si="28"/>
        <v>-135</v>
      </c>
      <c r="CB20" s="1641">
        <f t="shared" si="28"/>
        <v>-67</v>
      </c>
      <c r="CC20" s="1642">
        <f t="shared" si="28"/>
        <v>-81</v>
      </c>
      <c r="CD20" s="1642">
        <f t="shared" si="28"/>
        <v>-64</v>
      </c>
      <c r="CE20" s="1642">
        <f t="shared" si="28"/>
        <v>-53</v>
      </c>
      <c r="CF20" s="1641">
        <f t="shared" si="28"/>
        <v>-52</v>
      </c>
      <c r="CG20" s="1642">
        <f t="shared" si="28"/>
        <v>-62</v>
      </c>
      <c r="CH20" s="1642">
        <f t="shared" si="28"/>
        <v>-52</v>
      </c>
      <c r="CI20" s="1642">
        <f t="shared" si="28"/>
        <v>-42</v>
      </c>
      <c r="CJ20" s="1641">
        <f t="shared" si="28"/>
        <v>-38</v>
      </c>
      <c r="CK20" s="1642">
        <f t="shared" si="28"/>
        <v>-4</v>
      </c>
      <c r="CL20" s="1642">
        <f t="shared" si="28"/>
        <v>38</v>
      </c>
      <c r="CM20" s="1681">
        <f t="shared" si="28"/>
        <v>43</v>
      </c>
      <c r="CN20" s="1672">
        <f t="shared" si="28"/>
        <v>24</v>
      </c>
      <c r="CO20" s="1672">
        <f t="shared" si="28"/>
        <v>44</v>
      </c>
      <c r="CP20" s="1672">
        <f t="shared" si="28"/>
        <v>69</v>
      </c>
      <c r="CQ20" s="1681">
        <f t="shared" si="28"/>
        <v>61</v>
      </c>
      <c r="CR20" s="1672">
        <f t="shared" si="28"/>
        <v>67</v>
      </c>
      <c r="CS20" s="1672">
        <f t="shared" si="28"/>
        <v>76</v>
      </c>
      <c r="CT20" s="1672">
        <f t="shared" si="28"/>
        <v>66</v>
      </c>
      <c r="CU20" s="1681">
        <f t="shared" si="28"/>
        <v>95</v>
      </c>
      <c r="CV20" s="1672">
        <f t="shared" si="28"/>
        <v>149</v>
      </c>
      <c r="CW20" s="1672">
        <f t="shared" ref="CW20:DB20" si="29">+CW21-CW18-CW19</f>
        <v>241</v>
      </c>
      <c r="CX20" s="1672">
        <f t="shared" si="29"/>
        <v>175</v>
      </c>
      <c r="CY20" s="1681">
        <f t="shared" si="29"/>
        <v>183</v>
      </c>
      <c r="CZ20" s="1672">
        <f t="shared" si="29"/>
        <v>187</v>
      </c>
      <c r="DA20" s="1672">
        <f t="shared" si="29"/>
        <v>188</v>
      </c>
      <c r="DB20" s="1672">
        <f t="shared" si="29"/>
        <v>798</v>
      </c>
      <c r="DC20" s="1672">
        <f t="shared" ref="DC20:DH20" si="30">+DC21-DC18-DC19</f>
        <v>1047</v>
      </c>
      <c r="DD20" s="1672">
        <f t="shared" si="30"/>
        <v>877</v>
      </c>
      <c r="DE20" s="1672">
        <f t="shared" si="30"/>
        <v>1005</v>
      </c>
      <c r="DF20" s="1672">
        <f t="shared" si="30"/>
        <v>1049</v>
      </c>
      <c r="DG20" s="1672">
        <f t="shared" si="30"/>
        <v>1151</v>
      </c>
      <c r="DH20" s="1672">
        <f t="shared" si="30"/>
        <v>1060</v>
      </c>
      <c r="DI20" s="1672">
        <f t="shared" ref="DI20:DJ20" si="31">+DI21-DI18-DI19</f>
        <v>1464</v>
      </c>
      <c r="DJ20" s="1672">
        <f t="shared" si="31"/>
        <v>2475</v>
      </c>
      <c r="DK20" s="1672">
        <f t="shared" ref="DK20:DL20" si="32">+DK21-DK18-DK19</f>
        <v>2567</v>
      </c>
      <c r="DL20" s="1672">
        <f t="shared" si="32"/>
        <v>2315</v>
      </c>
    </row>
    <row r="21" spans="1:116" s="1785" customFormat="1" ht="12.75" customHeight="1">
      <c r="A21" s="954" t="s">
        <v>956</v>
      </c>
      <c r="B21" s="1693"/>
      <c r="C21" s="1693"/>
      <c r="D21" s="1693"/>
      <c r="E21" s="1694"/>
      <c r="F21" s="1693"/>
      <c r="G21" s="1693"/>
      <c r="H21" s="1693"/>
      <c r="I21" s="1693"/>
      <c r="J21" s="1693"/>
      <c r="K21" s="1695"/>
      <c r="L21" s="1693"/>
      <c r="M21" s="1693"/>
      <c r="N21" s="1693"/>
      <c r="O21" s="1693"/>
      <c r="P21" s="1693"/>
      <c r="Q21" s="1693"/>
      <c r="R21" s="1693"/>
      <c r="S21" s="1693"/>
      <c r="T21" s="1693"/>
      <c r="U21" s="1693"/>
      <c r="V21" s="1693"/>
      <c r="W21" s="1693"/>
      <c r="X21" s="1693"/>
      <c r="Y21" s="1693"/>
      <c r="Z21" s="1693"/>
      <c r="AA21" s="1693"/>
      <c r="AB21" s="1693"/>
      <c r="AC21" s="1693"/>
      <c r="AD21" s="1693"/>
      <c r="AE21" s="1693"/>
      <c r="AF21" s="1694"/>
      <c r="AG21" s="1693"/>
      <c r="AH21" s="1693"/>
      <c r="AI21" s="1693"/>
      <c r="AJ21" s="1694"/>
      <c r="AK21" s="1693"/>
      <c r="AL21" s="1693"/>
      <c r="AM21" s="1693"/>
      <c r="AN21" s="1694"/>
      <c r="AO21" s="1693"/>
      <c r="AP21" s="1693"/>
      <c r="AQ21" s="1693"/>
      <c r="AR21" s="1694"/>
      <c r="AS21" s="1693"/>
      <c r="AT21" s="1693"/>
      <c r="AU21" s="1693"/>
      <c r="AV21" s="1694"/>
      <c r="AW21" s="1693"/>
      <c r="AX21" s="1693"/>
      <c r="AY21" s="1693"/>
      <c r="AZ21" s="1694"/>
      <c r="BA21" s="1693"/>
      <c r="BB21" s="1693"/>
      <c r="BC21" s="1693"/>
      <c r="BD21" s="1694"/>
      <c r="BE21" s="1693"/>
      <c r="BF21" s="1693"/>
      <c r="BG21" s="1693"/>
      <c r="BH21" s="1694"/>
      <c r="BI21" s="1693"/>
      <c r="BJ21" s="1693"/>
      <c r="BK21" s="1693"/>
      <c r="BL21" s="1694"/>
      <c r="BM21" s="1693"/>
      <c r="BN21" s="1693"/>
      <c r="BO21" s="1693"/>
      <c r="BP21" s="1694"/>
      <c r="BQ21" s="1693"/>
      <c r="BR21" s="1693"/>
      <c r="BS21" s="1693"/>
      <c r="BT21" s="1694"/>
      <c r="BU21" s="1693"/>
      <c r="BV21" s="1693"/>
      <c r="BW21" s="1693"/>
      <c r="BX21" s="1697">
        <v>25752</v>
      </c>
      <c r="BY21" s="1698">
        <v>26366</v>
      </c>
      <c r="BZ21" s="1698">
        <v>27099</v>
      </c>
      <c r="CA21" s="1698">
        <v>27035</v>
      </c>
      <c r="CB21" s="1697">
        <f>26591-1328</f>
        <v>25263</v>
      </c>
      <c r="CC21" s="1698">
        <f>26861-1350</f>
        <v>25511</v>
      </c>
      <c r="CD21" s="1698">
        <f>27265-1331</f>
        <v>25934</v>
      </c>
      <c r="CE21" s="1698">
        <f>27091-1288</f>
        <v>25803</v>
      </c>
      <c r="CF21" s="1697">
        <f>26913-1278</f>
        <v>25635</v>
      </c>
      <c r="CG21" s="1698">
        <f>26773-1129+268</f>
        <v>25912</v>
      </c>
      <c r="CH21" s="1698">
        <v>26484</v>
      </c>
      <c r="CI21" s="1698">
        <v>26395</v>
      </c>
      <c r="CJ21" s="1697">
        <v>26990</v>
      </c>
      <c r="CK21" s="1698">
        <v>27536</v>
      </c>
      <c r="CL21" s="1698">
        <v>27913</v>
      </c>
      <c r="CM21" s="1751">
        <v>28436</v>
      </c>
      <c r="CN21" s="1750">
        <v>28242</v>
      </c>
      <c r="CO21" s="1750">
        <v>28552</v>
      </c>
      <c r="CP21" s="1750">
        <v>29007</v>
      </c>
      <c r="CQ21" s="1751">
        <f>30045+9760-9990</f>
        <v>29815</v>
      </c>
      <c r="CR21" s="1750">
        <f>29420+9650-9830</f>
        <v>29240</v>
      </c>
      <c r="CS21" s="1750">
        <f>29786+9605-9734</f>
        <v>29657</v>
      </c>
      <c r="CT21" s="1750">
        <f>30279+9657-9814</f>
        <v>30122</v>
      </c>
      <c r="CU21" s="1751">
        <f>31065+9712-9845</f>
        <v>30932</v>
      </c>
      <c r="CV21" s="1750">
        <f>30818+9662-9790</f>
        <v>30690</v>
      </c>
      <c r="CW21" s="1750">
        <f>31483+9631-9759</f>
        <v>31355</v>
      </c>
      <c r="CX21" s="1750">
        <v>31586</v>
      </c>
      <c r="CY21" s="1751">
        <v>33192</v>
      </c>
      <c r="CZ21" s="1750">
        <v>31984</v>
      </c>
      <c r="DA21" s="1750">
        <v>32224</v>
      </c>
      <c r="DB21" s="1750">
        <v>33158</v>
      </c>
      <c r="DC21" s="1750">
        <v>34254</v>
      </c>
      <c r="DD21" s="1750">
        <v>32171</v>
      </c>
      <c r="DE21" s="1750">
        <v>30532</v>
      </c>
      <c r="DF21" s="1750">
        <v>30937</v>
      </c>
      <c r="DG21" s="1750">
        <v>32340</v>
      </c>
      <c r="DH21" s="1750">
        <v>29814</v>
      </c>
      <c r="DI21" s="1750">
        <v>30548</v>
      </c>
      <c r="DJ21" s="1750">
        <v>31717</v>
      </c>
      <c r="DK21" s="1750">
        <v>33955</v>
      </c>
      <c r="DL21" s="1750">
        <v>31772</v>
      </c>
    </row>
    <row r="22" spans="1:116">
      <c r="A22" s="1628"/>
      <c r="B22" s="1658"/>
      <c r="C22" s="1658"/>
      <c r="D22" s="1658"/>
      <c r="E22" s="1659"/>
      <c r="F22" s="1658"/>
      <c r="G22" s="1658"/>
      <c r="H22" s="1658"/>
      <c r="I22" s="1658"/>
      <c r="J22" s="1658"/>
      <c r="K22" s="1696"/>
      <c r="L22" s="1658"/>
      <c r="M22" s="1658"/>
      <c r="N22" s="1658"/>
      <c r="O22" s="1658"/>
      <c r="P22" s="1658"/>
      <c r="Q22" s="1658"/>
      <c r="R22" s="1658"/>
      <c r="S22" s="1658"/>
      <c r="T22" s="1658"/>
      <c r="U22" s="1658"/>
      <c r="V22" s="1658"/>
      <c r="W22" s="1658"/>
      <c r="X22" s="1658"/>
      <c r="Y22" s="1658"/>
      <c r="Z22" s="1658"/>
      <c r="AA22" s="1658"/>
      <c r="AB22" s="1658"/>
      <c r="AC22" s="1658"/>
      <c r="AD22" s="1658"/>
      <c r="AE22" s="1658"/>
      <c r="AF22" s="1659"/>
      <c r="AG22" s="1658"/>
      <c r="AH22" s="1658"/>
      <c r="AI22" s="1658"/>
      <c r="AJ22" s="1659"/>
      <c r="AK22" s="1658"/>
      <c r="AL22" s="1658"/>
      <c r="AM22" s="1658"/>
      <c r="AN22" s="1659"/>
      <c r="AO22" s="1658"/>
      <c r="AP22" s="1658"/>
      <c r="AQ22" s="1658"/>
      <c r="AR22" s="1659"/>
      <c r="AS22" s="1658"/>
      <c r="AT22" s="1658"/>
      <c r="AU22" s="1658"/>
      <c r="AV22" s="1659"/>
      <c r="AW22" s="1658"/>
      <c r="AX22" s="1658"/>
      <c r="AY22" s="1658"/>
      <c r="AZ22" s="1659"/>
      <c r="BA22" s="1658"/>
      <c r="BB22" s="1658"/>
      <c r="BC22" s="1658"/>
      <c r="BD22" s="1659"/>
      <c r="BE22" s="1658"/>
      <c r="BF22" s="1658"/>
      <c r="BG22" s="1658"/>
      <c r="BH22" s="1659"/>
      <c r="BI22" s="1658"/>
      <c r="BJ22" s="1658"/>
      <c r="BK22" s="1658"/>
      <c r="BL22" s="1659"/>
      <c r="BM22" s="1658"/>
      <c r="BN22" s="1658"/>
      <c r="BO22" s="1658"/>
      <c r="BP22" s="1641"/>
      <c r="BQ22" s="1642"/>
      <c r="BR22" s="1642"/>
      <c r="BS22" s="1642"/>
      <c r="BT22" s="1641"/>
      <c r="BU22" s="1642"/>
      <c r="BV22" s="1642"/>
      <c r="BW22" s="1642"/>
      <c r="BX22" s="1635"/>
      <c r="BY22" s="1701"/>
      <c r="BZ22" s="1701"/>
      <c r="CA22" s="1701"/>
      <c r="CB22" s="1635"/>
      <c r="CC22" s="1701"/>
      <c r="CD22" s="1701"/>
      <c r="CE22" s="1701"/>
      <c r="CF22" s="1635"/>
      <c r="CG22" s="1701"/>
      <c r="CH22" s="1701"/>
      <c r="CI22" s="1701"/>
      <c r="CJ22" s="1635"/>
      <c r="CK22" s="1701"/>
      <c r="CL22" s="1701"/>
      <c r="CM22" s="1710"/>
      <c r="CN22" s="1711"/>
      <c r="CO22" s="1711"/>
      <c r="CP22" s="1711"/>
      <c r="CQ22" s="1710"/>
      <c r="CR22" s="1711"/>
      <c r="CS22" s="1711"/>
      <c r="CT22" s="1711"/>
      <c r="CU22" s="1710"/>
      <c r="CV22" s="1711"/>
      <c r="CW22" s="1711"/>
      <c r="CX22" s="1711"/>
      <c r="CY22" s="1710"/>
      <c r="CZ22" s="1711"/>
      <c r="DA22" s="1711"/>
      <c r="DB22" s="1711"/>
      <c r="DC22" s="1711"/>
      <c r="DD22" s="1711"/>
      <c r="DE22" s="1711"/>
      <c r="DF22" s="1711"/>
      <c r="DG22" s="1711"/>
      <c r="DH22" s="1711"/>
      <c r="DI22" s="1711"/>
      <c r="DJ22" s="1711"/>
      <c r="DK22" s="1711"/>
      <c r="DL22" s="1711"/>
    </row>
    <row r="23" spans="1:116">
      <c r="A23" s="1539"/>
      <c r="B23" s="1642"/>
      <c r="C23" s="1642"/>
      <c r="D23" s="1642"/>
      <c r="E23" s="1641"/>
      <c r="F23" s="1642"/>
      <c r="G23" s="1642"/>
      <c r="H23" s="1642"/>
      <c r="I23" s="1642"/>
      <c r="J23" s="1642"/>
      <c r="K23" s="1681"/>
      <c r="L23" s="1642"/>
      <c r="M23" s="1642"/>
      <c r="N23" s="1642"/>
      <c r="O23" s="1642"/>
      <c r="P23" s="1642"/>
      <c r="Q23" s="1642"/>
      <c r="R23" s="1642"/>
      <c r="S23" s="1642"/>
      <c r="T23" s="1642"/>
      <c r="U23" s="1642"/>
      <c r="V23" s="1642"/>
      <c r="W23" s="1642"/>
      <c r="X23" s="1642"/>
      <c r="Y23" s="1642"/>
      <c r="Z23" s="1642"/>
      <c r="AA23" s="1642"/>
      <c r="AB23" s="1642"/>
      <c r="AC23" s="1642"/>
      <c r="AD23" s="1642"/>
      <c r="AE23" s="1642"/>
      <c r="AF23" s="1641"/>
      <c r="AG23" s="1642"/>
      <c r="AH23" s="1642"/>
      <c r="AI23" s="1642"/>
      <c r="AJ23" s="1641"/>
      <c r="AK23" s="1642"/>
      <c r="AL23" s="1642"/>
      <c r="AM23" s="1642"/>
      <c r="AN23" s="1641"/>
      <c r="AO23" s="1642"/>
      <c r="AP23" s="1642"/>
      <c r="AQ23" s="1642"/>
      <c r="AR23" s="1641"/>
      <c r="AS23" s="1642"/>
      <c r="AT23" s="1642"/>
      <c r="AU23" s="1642"/>
      <c r="AV23" s="1641"/>
      <c r="AW23" s="1642"/>
      <c r="AX23" s="1642"/>
      <c r="AY23" s="1642"/>
      <c r="AZ23" s="1641"/>
      <c r="BA23" s="1642"/>
      <c r="BB23" s="1642"/>
      <c r="BC23" s="1642"/>
      <c r="BD23" s="1641"/>
      <c r="BE23" s="1642"/>
      <c r="BF23" s="1642"/>
      <c r="BG23" s="1642"/>
      <c r="BH23" s="1641"/>
      <c r="BI23" s="1642"/>
      <c r="BJ23" s="1642"/>
      <c r="BK23" s="1642"/>
      <c r="BL23" s="1641"/>
      <c r="BM23" s="1642"/>
      <c r="BN23" s="1642"/>
      <c r="BO23" s="1642"/>
      <c r="BP23" s="1641"/>
      <c r="BQ23" s="1642"/>
      <c r="BR23" s="1642"/>
      <c r="BS23" s="1642"/>
      <c r="BT23" s="1641"/>
      <c r="BU23" s="1642"/>
      <c r="BV23" s="1642"/>
      <c r="BW23" s="1642"/>
      <c r="BX23" s="1641"/>
      <c r="BY23" s="1642"/>
      <c r="BZ23" s="1642"/>
      <c r="CA23" s="1642"/>
      <c r="CB23" s="1641"/>
      <c r="CC23" s="1642"/>
      <c r="CD23" s="1642"/>
      <c r="CE23" s="1642"/>
      <c r="CF23" s="1641"/>
      <c r="CG23" s="1642"/>
      <c r="CH23" s="1642"/>
      <c r="CI23" s="1642"/>
      <c r="CJ23" s="1641"/>
      <c r="CK23" s="1642"/>
      <c r="CL23" s="1642"/>
      <c r="CM23" s="1681"/>
      <c r="CN23" s="1672"/>
      <c r="CO23" s="1672"/>
      <c r="CP23" s="1672"/>
      <c r="CQ23" s="1681"/>
      <c r="CR23" s="1672"/>
      <c r="CS23" s="1672"/>
      <c r="CT23" s="1672"/>
      <c r="CU23" s="1681"/>
      <c r="CV23" s="1672"/>
      <c r="CW23" s="1672"/>
      <c r="CX23" s="1672"/>
      <c r="CY23" s="1681"/>
      <c r="CZ23" s="1672"/>
      <c r="DA23" s="1672"/>
      <c r="DB23" s="1672"/>
      <c r="DC23" s="1672"/>
      <c r="DD23" s="1672"/>
      <c r="DE23" s="1672"/>
      <c r="DF23" s="1672"/>
      <c r="DG23" s="1672"/>
      <c r="DH23" s="1672"/>
      <c r="DI23" s="1672"/>
      <c r="DJ23" s="1672"/>
      <c r="DK23" s="1672"/>
      <c r="DL23" s="1672"/>
    </row>
    <row r="24" spans="1:116">
      <c r="A24" s="1539"/>
      <c r="B24" s="1642"/>
      <c r="C24" s="1642"/>
      <c r="D24" s="1642"/>
      <c r="E24" s="1641"/>
      <c r="F24" s="1642"/>
      <c r="G24" s="1642"/>
      <c r="H24" s="1642"/>
      <c r="I24" s="1642"/>
      <c r="J24" s="1642"/>
      <c r="K24" s="1681"/>
      <c r="L24" s="1642"/>
      <c r="M24" s="1642"/>
      <c r="N24" s="1642"/>
      <c r="O24" s="1642"/>
      <c r="P24" s="1642"/>
      <c r="Q24" s="1642"/>
      <c r="R24" s="1642"/>
      <c r="S24" s="1642"/>
      <c r="T24" s="1642"/>
      <c r="U24" s="1642"/>
      <c r="V24" s="1642"/>
      <c r="W24" s="1642"/>
      <c r="X24" s="1642"/>
      <c r="Y24" s="1642"/>
      <c r="Z24" s="1642"/>
      <c r="AA24" s="1642"/>
      <c r="AB24" s="1642"/>
      <c r="AC24" s="1642"/>
      <c r="AD24" s="1642"/>
      <c r="AE24" s="1642"/>
      <c r="AF24" s="1641"/>
      <c r="AG24" s="1642"/>
      <c r="AH24" s="1642"/>
      <c r="AI24" s="1642"/>
      <c r="AJ24" s="1641"/>
      <c r="AK24" s="1642"/>
      <c r="AL24" s="1642"/>
      <c r="AM24" s="1642"/>
      <c r="AN24" s="1641"/>
      <c r="AO24" s="1642"/>
      <c r="AP24" s="1642"/>
      <c r="AQ24" s="1642"/>
      <c r="AR24" s="1641"/>
      <c r="AS24" s="1642"/>
      <c r="AT24" s="1642"/>
      <c r="AU24" s="1642"/>
      <c r="AV24" s="1641"/>
      <c r="AW24" s="1642"/>
      <c r="AX24" s="1642"/>
      <c r="AY24" s="1642"/>
      <c r="AZ24" s="1641"/>
      <c r="BA24" s="1642"/>
      <c r="BB24" s="1642"/>
      <c r="BC24" s="1642"/>
      <c r="BD24" s="1641"/>
      <c r="BE24" s="1642"/>
      <c r="BF24" s="1642"/>
      <c r="BG24" s="1642"/>
      <c r="BH24" s="1641"/>
      <c r="BI24" s="1642"/>
      <c r="BJ24" s="1642"/>
      <c r="BK24" s="1642"/>
      <c r="BL24" s="1641"/>
      <c r="BM24" s="1642"/>
      <c r="BN24" s="1642"/>
      <c r="BO24" s="1642"/>
      <c r="BP24" s="1641"/>
      <c r="BQ24" s="1642"/>
      <c r="BR24" s="1642"/>
      <c r="BS24" s="1642"/>
      <c r="BT24" s="1641"/>
      <c r="BU24" s="1642"/>
      <c r="BV24" s="1642"/>
      <c r="BW24" s="1642"/>
      <c r="BX24" s="1641"/>
      <c r="BY24" s="1642"/>
      <c r="BZ24" s="1642"/>
      <c r="CA24" s="1642"/>
      <c r="CB24" s="1641"/>
      <c r="CC24" s="1642"/>
      <c r="CD24" s="1642"/>
      <c r="CE24" s="1642"/>
      <c r="CF24" s="1641"/>
      <c r="CG24" s="1642"/>
      <c r="CH24" s="1642"/>
      <c r="CI24" s="1642"/>
      <c r="CJ24" s="1641"/>
      <c r="CK24" s="1642"/>
      <c r="CL24" s="1642"/>
      <c r="CM24" s="1681"/>
      <c r="CN24" s="1672"/>
      <c r="CO24" s="1672"/>
      <c r="CP24" s="1672"/>
      <c r="CQ24" s="1681"/>
      <c r="CR24" s="1672"/>
      <c r="CS24" s="1672"/>
      <c r="CT24" s="1672"/>
      <c r="CU24" s="1681"/>
      <c r="CV24" s="1672"/>
      <c r="CW24" s="1672"/>
      <c r="CX24" s="1672"/>
      <c r="CY24" s="1681"/>
      <c r="CZ24" s="1672"/>
      <c r="DA24" s="1672"/>
      <c r="DB24" s="1672"/>
      <c r="DC24" s="1672"/>
      <c r="DD24" s="1672"/>
      <c r="DE24" s="1672"/>
      <c r="DF24" s="1672"/>
      <c r="DG24" s="1672"/>
      <c r="DH24" s="1672"/>
      <c r="DI24" s="1672"/>
      <c r="DJ24" s="1672"/>
      <c r="DK24" s="1672"/>
      <c r="DL24" s="1672"/>
    </row>
    <row r="25" spans="1:116">
      <c r="A25" s="1539" t="s">
        <v>960</v>
      </c>
      <c r="B25" s="1642"/>
      <c r="C25" s="1642"/>
      <c r="D25" s="1642"/>
      <c r="E25" s="1641"/>
      <c r="F25" s="1642"/>
      <c r="G25" s="1642"/>
      <c r="H25" s="1642"/>
      <c r="I25" s="1642"/>
      <c r="J25" s="1642"/>
      <c r="K25" s="1681"/>
      <c r="L25" s="1642"/>
      <c r="M25" s="1642"/>
      <c r="N25" s="1642"/>
      <c r="O25" s="1642"/>
      <c r="P25" s="1642"/>
      <c r="Q25" s="1642"/>
      <c r="R25" s="1642"/>
      <c r="S25" s="1642"/>
      <c r="T25" s="1642"/>
      <c r="U25" s="1642"/>
      <c r="V25" s="1642"/>
      <c r="W25" s="1642"/>
      <c r="X25" s="1642"/>
      <c r="Y25" s="1642"/>
      <c r="Z25" s="1642"/>
      <c r="AA25" s="1642"/>
      <c r="AB25" s="1642"/>
      <c r="AC25" s="1642"/>
      <c r="AD25" s="1642"/>
      <c r="AE25" s="1642"/>
      <c r="AF25" s="1641"/>
      <c r="AG25" s="1642"/>
      <c r="AH25" s="1642"/>
      <c r="AI25" s="1642"/>
      <c r="AJ25" s="1641"/>
      <c r="AK25" s="1642"/>
      <c r="AL25" s="1642"/>
      <c r="AM25" s="1642"/>
      <c r="AN25" s="1641"/>
      <c r="AO25" s="1642"/>
      <c r="AP25" s="1642"/>
      <c r="AQ25" s="1642"/>
      <c r="AR25" s="1641"/>
      <c r="AS25" s="1642"/>
      <c r="AT25" s="1642"/>
      <c r="AU25" s="1642"/>
      <c r="AV25" s="1641"/>
      <c r="AW25" s="1642"/>
      <c r="AX25" s="1642"/>
      <c r="AY25" s="1642"/>
      <c r="AZ25" s="1641"/>
      <c r="BA25" s="1642"/>
      <c r="BB25" s="1642"/>
      <c r="BC25" s="1642"/>
      <c r="BD25" s="1641"/>
      <c r="BE25" s="1642"/>
      <c r="BF25" s="1642"/>
      <c r="BG25" s="1642"/>
      <c r="BH25" s="1641"/>
      <c r="BI25" s="1642"/>
      <c r="BJ25" s="1642"/>
      <c r="BK25" s="1642"/>
      <c r="BL25" s="1641"/>
      <c r="BM25" s="1642"/>
      <c r="BN25" s="1642"/>
      <c r="BO25" s="1642"/>
      <c r="BP25" s="3486" t="s">
        <v>1150</v>
      </c>
      <c r="BQ25" s="3487"/>
      <c r="BR25" s="3487"/>
      <c r="BS25" s="3487"/>
      <c r="BT25" s="3487"/>
      <c r="BU25" s="3487"/>
      <c r="BV25" s="3487"/>
      <c r="BW25" s="3487"/>
      <c r="BX25" s="3487"/>
      <c r="BY25" s="1642"/>
      <c r="BZ25" s="1642"/>
      <c r="CA25" s="1642"/>
      <c r="CB25" s="1641"/>
      <c r="CC25" s="1642"/>
      <c r="CD25" s="1642"/>
      <c r="CE25" s="1642"/>
      <c r="CF25" s="1641"/>
      <c r="CG25" s="1642"/>
      <c r="CH25" s="1642"/>
      <c r="CI25" s="1642"/>
      <c r="CJ25" s="1641"/>
      <c r="CK25" s="1642"/>
      <c r="CL25" s="1642"/>
      <c r="CM25" s="1681"/>
      <c r="CN25" s="1672"/>
      <c r="CO25" s="1672"/>
      <c r="CP25" s="1672"/>
      <c r="CQ25" s="1681"/>
      <c r="CR25" s="1672"/>
      <c r="CS25" s="1672"/>
      <c r="CT25" s="1672"/>
      <c r="CU25" s="1681"/>
      <c r="CV25" s="1672"/>
      <c r="CW25" s="1672"/>
      <c r="CX25" s="1672"/>
      <c r="CY25" s="1681"/>
      <c r="CZ25" s="1672"/>
      <c r="DA25" s="1672"/>
      <c r="DB25" s="1672"/>
      <c r="DC25" s="1672"/>
      <c r="DD25" s="1672"/>
      <c r="DE25" s="1672"/>
      <c r="DF25" s="1672"/>
      <c r="DG25" s="1672"/>
      <c r="DH25" s="1672"/>
      <c r="DI25" s="1672"/>
      <c r="DJ25" s="1672"/>
      <c r="DK25" s="1672"/>
      <c r="DL25" s="1672"/>
    </row>
    <row r="26" spans="1:116">
      <c r="A26" s="1628" t="s">
        <v>961</v>
      </c>
      <c r="B26" s="1642"/>
      <c r="C26" s="1642"/>
      <c r="D26" s="1642"/>
      <c r="E26" s="1641"/>
      <c r="F26" s="1642"/>
      <c r="G26" s="1642"/>
      <c r="H26" s="1642"/>
      <c r="I26" s="1642"/>
      <c r="J26" s="1642">
        <f>SUM(AZ26:BC26)</f>
        <v>19632</v>
      </c>
      <c r="K26" s="1681">
        <f>SUM(BD26:BG26)</f>
        <v>21399</v>
      </c>
      <c r="L26" s="1642"/>
      <c r="M26" s="1642"/>
      <c r="N26" s="1642"/>
      <c r="O26" s="1642"/>
      <c r="P26" s="1642"/>
      <c r="Q26" s="1642"/>
      <c r="R26" s="1642"/>
      <c r="S26" s="1642"/>
      <c r="T26" s="1642"/>
      <c r="U26" s="1642"/>
      <c r="V26" s="1642"/>
      <c r="W26" s="1642"/>
      <c r="X26" s="1642"/>
      <c r="Y26" s="1642"/>
      <c r="Z26" s="1642"/>
      <c r="AA26" s="1642"/>
      <c r="AB26" s="1642"/>
      <c r="AC26" s="1642"/>
      <c r="AD26" s="1642"/>
      <c r="AE26" s="1642"/>
      <c r="AF26" s="1641"/>
      <c r="AG26" s="1642"/>
      <c r="AH26" s="1642"/>
      <c r="AI26" s="1642"/>
      <c r="AJ26" s="1641"/>
      <c r="AK26" s="1642"/>
      <c r="AL26" s="1642"/>
      <c r="AM26" s="1642"/>
      <c r="AN26" s="1641"/>
      <c r="AO26" s="1642"/>
      <c r="AP26" s="1642"/>
      <c r="AQ26" s="1642"/>
      <c r="AR26" s="1641"/>
      <c r="AS26" s="1642"/>
      <c r="AT26" s="1642"/>
      <c r="AU26" s="1642"/>
      <c r="AV26" s="1641"/>
      <c r="AW26" s="1642"/>
      <c r="AX26" s="1642"/>
      <c r="AY26" s="1642"/>
      <c r="AZ26" s="1631">
        <v>4748</v>
      </c>
      <c r="BA26" s="1632">
        <v>4873</v>
      </c>
      <c r="BB26" s="1632">
        <v>5055</v>
      </c>
      <c r="BC26" s="1632">
        <v>4956</v>
      </c>
      <c r="BD26" s="1631">
        <v>5063</v>
      </c>
      <c r="BE26" s="1632">
        <v>4982</v>
      </c>
      <c r="BF26" s="1632">
        <v>5658</v>
      </c>
      <c r="BG26" s="1632">
        <v>5696</v>
      </c>
      <c r="BH26" s="1631">
        <v>5440</v>
      </c>
      <c r="BI26" s="1632">
        <v>5581</v>
      </c>
      <c r="BJ26" s="1632">
        <v>5941</v>
      </c>
      <c r="BK26" s="1632">
        <v>6013</v>
      </c>
      <c r="BL26" s="1631">
        <v>5899</v>
      </c>
      <c r="BM26" s="1632">
        <v>6057</v>
      </c>
      <c r="BN26" s="1632">
        <v>6361</v>
      </c>
      <c r="BO26" s="1632">
        <v>6393</v>
      </c>
      <c r="BP26" s="1635">
        <v>8392</v>
      </c>
      <c r="BQ26" s="1701">
        <v>8577</v>
      </c>
      <c r="BR26" s="1701">
        <v>8816</v>
      </c>
      <c r="BS26" s="1701">
        <v>9017</v>
      </c>
      <c r="BT26" s="1635">
        <v>8805</v>
      </c>
      <c r="BU26" s="1701">
        <v>9120</v>
      </c>
      <c r="BV26" s="1701">
        <v>9489</v>
      </c>
      <c r="BW26" s="1701">
        <v>9676</v>
      </c>
      <c r="BX26" s="1635">
        <v>9395</v>
      </c>
      <c r="BY26" s="1701">
        <v>9458</v>
      </c>
      <c r="BZ26" s="1701">
        <v>10043</v>
      </c>
      <c r="CA26" s="1701">
        <v>9905</v>
      </c>
      <c r="CB26" s="1702">
        <f t="shared" ref="CB26:CU26" si="33">+CB34</f>
        <v>9997</v>
      </c>
      <c r="CC26" s="1703">
        <f t="shared" si="33"/>
        <v>10190</v>
      </c>
      <c r="CD26" s="1703">
        <f t="shared" si="33"/>
        <v>10673</v>
      </c>
      <c r="CE26" s="1703">
        <f t="shared" si="33"/>
        <v>10755</v>
      </c>
      <c r="CF26" s="1702">
        <f t="shared" si="33"/>
        <v>10294</v>
      </c>
      <c r="CG26" s="1703">
        <f t="shared" si="33"/>
        <v>10233</v>
      </c>
      <c r="CH26" s="1703">
        <f t="shared" si="33"/>
        <v>10579</v>
      </c>
      <c r="CI26" s="1703">
        <f t="shared" si="33"/>
        <v>10328</v>
      </c>
      <c r="CJ26" s="1702">
        <f t="shared" si="33"/>
        <v>11229</v>
      </c>
      <c r="CK26" s="1703">
        <f t="shared" si="33"/>
        <v>11158</v>
      </c>
      <c r="CL26" s="1703">
        <f t="shared" si="33"/>
        <v>11398</v>
      </c>
      <c r="CM26" s="1704">
        <f t="shared" si="33"/>
        <v>12090</v>
      </c>
      <c r="CN26" s="1705">
        <f t="shared" si="33"/>
        <v>11319</v>
      </c>
      <c r="CO26" s="1705">
        <f t="shared" si="33"/>
        <v>10896</v>
      </c>
      <c r="CP26" s="1705">
        <f t="shared" si="33"/>
        <v>10991</v>
      </c>
      <c r="CQ26" s="1704">
        <f t="shared" si="33"/>
        <v>12824</v>
      </c>
      <c r="CR26" s="1705">
        <f t="shared" si="33"/>
        <v>10768</v>
      </c>
      <c r="CS26" s="1705">
        <f t="shared" si="33"/>
        <v>10916</v>
      </c>
      <c r="CT26" s="1705">
        <f t="shared" si="33"/>
        <v>10819</v>
      </c>
      <c r="CU26" s="1704">
        <f t="shared" si="33"/>
        <v>11852</v>
      </c>
      <c r="CV26" s="1705">
        <f t="shared" ref="CV26:CX27" si="34">+CV34</f>
        <v>11069</v>
      </c>
      <c r="CW26" s="1705">
        <f t="shared" si="34"/>
        <v>11967</v>
      </c>
      <c r="CX26" s="1705">
        <f t="shared" si="34"/>
        <v>12252</v>
      </c>
      <c r="CY26" s="1704">
        <f t="shared" ref="CY26:DA27" si="35">+CY34</f>
        <v>14376</v>
      </c>
      <c r="CZ26" s="1705">
        <f t="shared" si="35"/>
        <v>12096</v>
      </c>
      <c r="DA26" s="1705">
        <f t="shared" si="35"/>
        <v>12449</v>
      </c>
      <c r="DB26" s="1705">
        <f t="shared" ref="DB26:DD27" si="36">+DB34</f>
        <v>12963</v>
      </c>
      <c r="DC26" s="1705">
        <f t="shared" si="36"/>
        <v>14707</v>
      </c>
      <c r="DD26" s="2494">
        <f t="shared" si="36"/>
        <v>12612</v>
      </c>
      <c r="DE26" s="2494">
        <f t="shared" ref="DE26:DF26" si="37">+DE34</f>
        <v>12221</v>
      </c>
      <c r="DF26" s="2494">
        <f t="shared" si="37"/>
        <v>12229</v>
      </c>
      <c r="DG26" s="2494">
        <f t="shared" ref="DG26:DH26" si="38">+DG34</f>
        <v>14362</v>
      </c>
      <c r="DH26" s="2494">
        <f t="shared" si="38"/>
        <v>11666</v>
      </c>
      <c r="DI26" s="2494">
        <f t="shared" ref="DI26:DJ26" si="39">+DI34</f>
        <v>12110</v>
      </c>
      <c r="DJ26" s="2494">
        <f t="shared" si="39"/>
        <v>12605</v>
      </c>
      <c r="DK26" s="2494">
        <f t="shared" ref="DK26:DL26" si="40">+DK34</f>
        <v>15175</v>
      </c>
      <c r="DL26" s="2494">
        <f t="shared" si="40"/>
        <v>13255</v>
      </c>
    </row>
    <row r="27" spans="1:116">
      <c r="A27" s="1628" t="s">
        <v>963</v>
      </c>
      <c r="B27" s="1642"/>
      <c r="C27" s="1642"/>
      <c r="D27" s="1642"/>
      <c r="E27" s="1641"/>
      <c r="F27" s="1642"/>
      <c r="G27" s="1642"/>
      <c r="H27" s="1642"/>
      <c r="I27" s="1642"/>
      <c r="J27" s="1642">
        <f>SUM(AZ27:BC27)</f>
        <v>17925</v>
      </c>
      <c r="K27" s="1681">
        <f>SUM(BD27:BG27)</f>
        <v>18509</v>
      </c>
      <c r="L27" s="1642"/>
      <c r="M27" s="1642"/>
      <c r="N27" s="1642"/>
      <c r="O27" s="1642"/>
      <c r="P27" s="1642"/>
      <c r="Q27" s="1642"/>
      <c r="R27" s="1642"/>
      <c r="S27" s="1642"/>
      <c r="T27" s="1642"/>
      <c r="U27" s="1642"/>
      <c r="V27" s="1642"/>
      <c r="W27" s="1642"/>
      <c r="X27" s="1642"/>
      <c r="Y27" s="1642"/>
      <c r="Z27" s="1642"/>
      <c r="AA27" s="1642"/>
      <c r="AB27" s="1642"/>
      <c r="AC27" s="1642"/>
      <c r="AD27" s="1642"/>
      <c r="AE27" s="1642"/>
      <c r="AF27" s="1641"/>
      <c r="AG27" s="1642"/>
      <c r="AH27" s="1642"/>
      <c r="AI27" s="1642"/>
      <c r="AJ27" s="1641"/>
      <c r="AK27" s="1642"/>
      <c r="AL27" s="1642"/>
      <c r="AM27" s="1642"/>
      <c r="AN27" s="1641"/>
      <c r="AO27" s="1642"/>
      <c r="AP27" s="1642"/>
      <c r="AQ27" s="1642"/>
      <c r="AR27" s="1641"/>
      <c r="AS27" s="1642"/>
      <c r="AT27" s="1642"/>
      <c r="AU27" s="1642"/>
      <c r="AV27" s="1641"/>
      <c r="AW27" s="1642"/>
      <c r="AX27" s="1642"/>
      <c r="AY27" s="1642"/>
      <c r="AZ27" s="1631">
        <v>4326</v>
      </c>
      <c r="BA27" s="1632">
        <v>4427</v>
      </c>
      <c r="BB27" s="1632">
        <v>4591</v>
      </c>
      <c r="BC27" s="1632">
        <v>4581</v>
      </c>
      <c r="BD27" s="1631">
        <v>4244</v>
      </c>
      <c r="BE27" s="1632">
        <v>4711</v>
      </c>
      <c r="BF27" s="1632">
        <v>4717</v>
      </c>
      <c r="BG27" s="1632">
        <v>4837</v>
      </c>
      <c r="BH27" s="1631">
        <v>4908</v>
      </c>
      <c r="BI27" s="1632">
        <v>5017</v>
      </c>
      <c r="BJ27" s="1632">
        <v>5057</v>
      </c>
      <c r="BK27" s="1632">
        <v>5111</v>
      </c>
      <c r="BL27" s="1631">
        <v>5039</v>
      </c>
      <c r="BM27" s="1632">
        <v>5097</v>
      </c>
      <c r="BN27" s="1632">
        <v>5134</v>
      </c>
      <c r="BO27" s="1632">
        <v>5119</v>
      </c>
      <c r="BP27" s="1635">
        <v>5713</v>
      </c>
      <c r="BQ27" s="1701">
        <v>5874</v>
      </c>
      <c r="BR27" s="1701">
        <v>6223</v>
      </c>
      <c r="BS27" s="1701">
        <v>6076</v>
      </c>
      <c r="BT27" s="1635">
        <v>6179</v>
      </c>
      <c r="BU27" s="1701">
        <v>6241</v>
      </c>
      <c r="BV27" s="1701">
        <v>6201</v>
      </c>
      <c r="BW27" s="1701">
        <v>5999</v>
      </c>
      <c r="BX27" s="1635">
        <v>6237</v>
      </c>
      <c r="BY27" s="1701">
        <v>6500</v>
      </c>
      <c r="BZ27" s="1701">
        <v>6569</v>
      </c>
      <c r="CA27" s="1701">
        <v>6417</v>
      </c>
      <c r="CB27" s="1702">
        <f t="shared" ref="CB27:CU27" si="41">+CB35</f>
        <v>7202</v>
      </c>
      <c r="CC27" s="1703">
        <f t="shared" si="41"/>
        <v>7154</v>
      </c>
      <c r="CD27" s="1703">
        <f t="shared" si="41"/>
        <v>7101</v>
      </c>
      <c r="CE27" s="1703">
        <f t="shared" si="41"/>
        <v>7050</v>
      </c>
      <c r="CF27" s="1702">
        <f t="shared" si="41"/>
        <v>7176</v>
      </c>
      <c r="CG27" s="1703">
        <f t="shared" si="41"/>
        <v>7119</v>
      </c>
      <c r="CH27" s="1703">
        <f t="shared" si="41"/>
        <v>7110</v>
      </c>
      <c r="CI27" s="1703">
        <f t="shared" si="41"/>
        <v>7211</v>
      </c>
      <c r="CJ27" s="1702">
        <f t="shared" si="41"/>
        <v>7284</v>
      </c>
      <c r="CK27" s="1703">
        <f t="shared" si="41"/>
        <v>7373</v>
      </c>
      <c r="CL27" s="1703">
        <f t="shared" si="41"/>
        <v>7360</v>
      </c>
      <c r="CM27" s="1704">
        <f t="shared" si="41"/>
        <v>7533</v>
      </c>
      <c r="CN27" s="1705">
        <f t="shared" si="41"/>
        <v>7700</v>
      </c>
      <c r="CO27" s="1705">
        <f t="shared" si="41"/>
        <v>7877</v>
      </c>
      <c r="CP27" s="1705">
        <f t="shared" si="41"/>
        <v>7982</v>
      </c>
      <c r="CQ27" s="1704">
        <f t="shared" si="41"/>
        <v>8583</v>
      </c>
      <c r="CR27" s="1705">
        <f t="shared" si="41"/>
        <v>8142</v>
      </c>
      <c r="CS27" s="1705">
        <f t="shared" si="41"/>
        <v>8280</v>
      </c>
      <c r="CT27" s="1705">
        <f t="shared" si="41"/>
        <v>8307</v>
      </c>
      <c r="CU27" s="1704">
        <f t="shared" si="41"/>
        <v>8846</v>
      </c>
      <c r="CV27" s="1705">
        <f t="shared" si="34"/>
        <v>8330</v>
      </c>
      <c r="CW27" s="1705">
        <f t="shared" si="34"/>
        <v>8255</v>
      </c>
      <c r="CX27" s="1705">
        <f t="shared" si="34"/>
        <v>8277</v>
      </c>
      <c r="CY27" s="1704">
        <f t="shared" si="35"/>
        <v>9043</v>
      </c>
      <c r="CZ27" s="1705">
        <f t="shared" si="35"/>
        <v>7939</v>
      </c>
      <c r="DA27" s="1705">
        <f t="shared" si="35"/>
        <v>7974</v>
      </c>
      <c r="DB27" s="1705">
        <f t="shared" si="36"/>
        <v>8309</v>
      </c>
      <c r="DC27" s="1705">
        <f t="shared" si="36"/>
        <v>8616</v>
      </c>
      <c r="DD27" s="2494">
        <f t="shared" si="36"/>
        <v>7577</v>
      </c>
      <c r="DE27" s="2494">
        <f t="shared" ref="DE27:DF27" si="42">+DE35</f>
        <v>7232</v>
      </c>
      <c r="DF27" s="2494">
        <f t="shared" si="42"/>
        <v>7429</v>
      </c>
      <c r="DG27" s="2494">
        <f t="shared" ref="DG27:DH27" si="43">+DG35</f>
        <v>7557</v>
      </c>
      <c r="DH27" s="2494">
        <f t="shared" si="43"/>
        <v>6782</v>
      </c>
      <c r="DI27" s="2494">
        <f t="shared" ref="DI27:DJ27" si="44">+DI35</f>
        <v>7054</v>
      </c>
      <c r="DJ27" s="2494">
        <f t="shared" si="44"/>
        <v>7012</v>
      </c>
      <c r="DK27" s="2494">
        <f t="shared" ref="DK27:DL27" si="45">+DK35</f>
        <v>6973</v>
      </c>
      <c r="DL27" s="2494">
        <f t="shared" si="45"/>
        <v>6488</v>
      </c>
    </row>
    <row r="28" spans="1:116">
      <c r="A28" s="1390" t="s">
        <v>964</v>
      </c>
      <c r="B28" s="1693"/>
      <c r="C28" s="1693"/>
      <c r="D28" s="1693"/>
      <c r="E28" s="1694">
        <v>29578</v>
      </c>
      <c r="F28" s="1693">
        <v>30740</v>
      </c>
      <c r="G28" s="1693">
        <f>SUM(AN28:AQ28)</f>
        <v>34854</v>
      </c>
      <c r="H28" s="1693">
        <f>SUM(AR28:AU28)</f>
        <v>37541</v>
      </c>
      <c r="I28" s="1693">
        <f>SUM(AV28:AY28)</f>
        <v>38187</v>
      </c>
      <c r="J28" s="1693">
        <f>SUM(AZ28:BC28)</f>
        <v>37557</v>
      </c>
      <c r="K28" s="1695">
        <f>SUM(BD28:BG28)</f>
        <v>39908</v>
      </c>
      <c r="L28" s="1693"/>
      <c r="M28" s="1693"/>
      <c r="N28" s="1693"/>
      <c r="O28" s="1693"/>
      <c r="P28" s="1693"/>
      <c r="Q28" s="1693"/>
      <c r="R28" s="1693"/>
      <c r="S28" s="1693"/>
      <c r="T28" s="1693"/>
      <c r="U28" s="1693"/>
      <c r="V28" s="1693"/>
      <c r="W28" s="1693"/>
      <c r="X28" s="1693"/>
      <c r="Y28" s="1693"/>
      <c r="Z28" s="1693"/>
      <c r="AA28" s="1693"/>
      <c r="AB28" s="1693"/>
      <c r="AC28" s="1693"/>
      <c r="AD28" s="1693"/>
      <c r="AE28" s="1693"/>
      <c r="AF28" s="1694">
        <v>6836</v>
      </c>
      <c r="AG28" s="1693">
        <v>7292</v>
      </c>
      <c r="AH28" s="1693">
        <v>7239</v>
      </c>
      <c r="AI28" s="1693">
        <v>8211</v>
      </c>
      <c r="AJ28" s="1694">
        <v>7231</v>
      </c>
      <c r="AK28" s="1693">
        <v>7724</v>
      </c>
      <c r="AL28" s="1693">
        <v>7682</v>
      </c>
      <c r="AM28" s="1693">
        <v>8103</v>
      </c>
      <c r="AN28" s="1694">
        <f>7213+1988-1094</f>
        <v>8107</v>
      </c>
      <c r="AO28" s="1693">
        <v>8838</v>
      </c>
      <c r="AP28" s="1693">
        <v>8780</v>
      </c>
      <c r="AQ28" s="1693">
        <v>9129</v>
      </c>
      <c r="AR28" s="1694">
        <v>8929</v>
      </c>
      <c r="AS28" s="1693">
        <v>9291</v>
      </c>
      <c r="AT28" s="1693">
        <v>9397</v>
      </c>
      <c r="AU28" s="1693">
        <v>9924</v>
      </c>
      <c r="AV28" s="1694">
        <v>9120</v>
      </c>
      <c r="AW28" s="1693">
        <v>9445</v>
      </c>
      <c r="AX28" s="1693">
        <v>9701</v>
      </c>
      <c r="AY28" s="1693">
        <v>9921</v>
      </c>
      <c r="AZ28" s="1694">
        <f t="shared" ref="AZ28:CV28" si="46">AZ26+AZ27</f>
        <v>9074</v>
      </c>
      <c r="BA28" s="1693">
        <f t="shared" si="46"/>
        <v>9300</v>
      </c>
      <c r="BB28" s="1693">
        <f t="shared" si="46"/>
        <v>9646</v>
      </c>
      <c r="BC28" s="1693">
        <f t="shared" si="46"/>
        <v>9537</v>
      </c>
      <c r="BD28" s="1694">
        <f t="shared" si="46"/>
        <v>9307</v>
      </c>
      <c r="BE28" s="1693">
        <f t="shared" si="46"/>
        <v>9693</v>
      </c>
      <c r="BF28" s="1693">
        <f t="shared" si="46"/>
        <v>10375</v>
      </c>
      <c r="BG28" s="1693">
        <f t="shared" si="46"/>
        <v>10533</v>
      </c>
      <c r="BH28" s="1694">
        <f t="shared" si="46"/>
        <v>10348</v>
      </c>
      <c r="BI28" s="1693">
        <f t="shared" si="46"/>
        <v>10598</v>
      </c>
      <c r="BJ28" s="1693">
        <f t="shared" si="46"/>
        <v>10998</v>
      </c>
      <c r="BK28" s="1693">
        <f t="shared" si="46"/>
        <v>11124</v>
      </c>
      <c r="BL28" s="1694">
        <f t="shared" si="46"/>
        <v>10938</v>
      </c>
      <c r="BM28" s="1693">
        <f t="shared" si="46"/>
        <v>11154</v>
      </c>
      <c r="BN28" s="1693">
        <f t="shared" si="46"/>
        <v>11495</v>
      </c>
      <c r="BO28" s="1693">
        <f t="shared" si="46"/>
        <v>11512</v>
      </c>
      <c r="BP28" s="1694">
        <f t="shared" si="46"/>
        <v>14105</v>
      </c>
      <c r="BQ28" s="1693">
        <f t="shared" si="46"/>
        <v>14451</v>
      </c>
      <c r="BR28" s="1693">
        <f t="shared" si="46"/>
        <v>15039</v>
      </c>
      <c r="BS28" s="1693">
        <f t="shared" si="46"/>
        <v>15093</v>
      </c>
      <c r="BT28" s="1694">
        <f t="shared" si="46"/>
        <v>14984</v>
      </c>
      <c r="BU28" s="1693">
        <f t="shared" si="46"/>
        <v>15361</v>
      </c>
      <c r="BV28" s="1693">
        <f t="shared" si="46"/>
        <v>15690</v>
      </c>
      <c r="BW28" s="1693">
        <f t="shared" si="46"/>
        <v>15675</v>
      </c>
      <c r="BX28" s="1694">
        <f t="shared" si="46"/>
        <v>15632</v>
      </c>
      <c r="BY28" s="1693">
        <f t="shared" si="46"/>
        <v>15958</v>
      </c>
      <c r="BZ28" s="1693">
        <f t="shared" si="46"/>
        <v>16612</v>
      </c>
      <c r="CA28" s="1693">
        <f t="shared" si="46"/>
        <v>16322</v>
      </c>
      <c r="CB28" s="1706">
        <f t="shared" si="46"/>
        <v>17199</v>
      </c>
      <c r="CC28" s="1707">
        <f t="shared" si="46"/>
        <v>17344</v>
      </c>
      <c r="CD28" s="1707">
        <f t="shared" si="46"/>
        <v>17774</v>
      </c>
      <c r="CE28" s="1707">
        <f t="shared" si="46"/>
        <v>17805</v>
      </c>
      <c r="CF28" s="1706">
        <f t="shared" si="46"/>
        <v>17470</v>
      </c>
      <c r="CG28" s="1707">
        <f t="shared" si="46"/>
        <v>17352</v>
      </c>
      <c r="CH28" s="1707">
        <f t="shared" si="46"/>
        <v>17689</v>
      </c>
      <c r="CI28" s="1707">
        <f t="shared" si="46"/>
        <v>17539</v>
      </c>
      <c r="CJ28" s="1706">
        <f t="shared" si="46"/>
        <v>18513</v>
      </c>
      <c r="CK28" s="1707">
        <f t="shared" si="46"/>
        <v>18531</v>
      </c>
      <c r="CL28" s="1707">
        <f t="shared" si="46"/>
        <v>18758</v>
      </c>
      <c r="CM28" s="1708">
        <f t="shared" si="46"/>
        <v>19623</v>
      </c>
      <c r="CN28" s="1709">
        <f t="shared" si="46"/>
        <v>19019</v>
      </c>
      <c r="CO28" s="1709">
        <f t="shared" si="46"/>
        <v>18773</v>
      </c>
      <c r="CP28" s="1709">
        <f t="shared" si="46"/>
        <v>18973</v>
      </c>
      <c r="CQ28" s="1708">
        <f t="shared" si="46"/>
        <v>21407</v>
      </c>
      <c r="CR28" s="1709">
        <f t="shared" si="46"/>
        <v>18910</v>
      </c>
      <c r="CS28" s="1709">
        <f t="shared" si="46"/>
        <v>19196</v>
      </c>
      <c r="CT28" s="1709">
        <f t="shared" si="46"/>
        <v>19126</v>
      </c>
      <c r="CU28" s="1708">
        <f t="shared" si="46"/>
        <v>20698</v>
      </c>
      <c r="CV28" s="1709">
        <f t="shared" si="46"/>
        <v>19399</v>
      </c>
      <c r="CW28" s="1709">
        <f t="shared" ref="CW28:DB28" si="47">CW26+CW27</f>
        <v>20222</v>
      </c>
      <c r="CX28" s="1709">
        <f t="shared" si="47"/>
        <v>20529</v>
      </c>
      <c r="CY28" s="1708">
        <f t="shared" si="47"/>
        <v>23419</v>
      </c>
      <c r="CZ28" s="1709">
        <f t="shared" si="47"/>
        <v>20035</v>
      </c>
      <c r="DA28" s="1709">
        <f t="shared" si="47"/>
        <v>20423</v>
      </c>
      <c r="DB28" s="1709">
        <f t="shared" si="47"/>
        <v>21272</v>
      </c>
      <c r="DC28" s="1709">
        <f t="shared" ref="DC28:DH28" si="48">DC26+DC27</f>
        <v>23323</v>
      </c>
      <c r="DD28" s="1267">
        <f t="shared" si="48"/>
        <v>20189</v>
      </c>
      <c r="DE28" s="1267">
        <f t="shared" si="48"/>
        <v>19453</v>
      </c>
      <c r="DF28" s="1267">
        <f t="shared" si="48"/>
        <v>19658</v>
      </c>
      <c r="DG28" s="1267">
        <f t="shared" si="48"/>
        <v>21919</v>
      </c>
      <c r="DH28" s="1267">
        <f t="shared" si="48"/>
        <v>18448</v>
      </c>
      <c r="DI28" s="1267">
        <f t="shared" ref="DI28:DJ28" si="49">DI26+DI27</f>
        <v>19164</v>
      </c>
      <c r="DJ28" s="1267">
        <f t="shared" si="49"/>
        <v>19617</v>
      </c>
      <c r="DK28" s="1267">
        <f t="shared" ref="DK28:DL28" si="50">DK26+DK27</f>
        <v>22148</v>
      </c>
      <c r="DL28" s="1267">
        <f t="shared" si="50"/>
        <v>19743</v>
      </c>
    </row>
    <row r="29" spans="1:116">
      <c r="A29" s="1628" t="s">
        <v>965</v>
      </c>
      <c r="B29" s="1642"/>
      <c r="C29" s="1642"/>
      <c r="D29" s="1642"/>
      <c r="E29" s="1641">
        <v>8959</v>
      </c>
      <c r="F29" s="1642">
        <v>9253</v>
      </c>
      <c r="G29" s="1642">
        <f>SUM(AN29:AQ29)</f>
        <v>11788</v>
      </c>
      <c r="H29" s="1642">
        <f>SUM(AR29:AU29)</f>
        <v>12586</v>
      </c>
      <c r="I29" s="1642">
        <f>SUM(AV29:AY29)</f>
        <v>13686</v>
      </c>
      <c r="J29" s="1642">
        <f>SUM(AZ29:BC29)</f>
        <v>13290</v>
      </c>
      <c r="K29" s="1681">
        <f>SUM(BD29:BG29)</f>
        <v>13497</v>
      </c>
      <c r="L29" s="1642"/>
      <c r="M29" s="1642"/>
      <c r="N29" s="1642"/>
      <c r="O29" s="1642"/>
      <c r="P29" s="1642"/>
      <c r="Q29" s="1642"/>
      <c r="R29" s="1642"/>
      <c r="S29" s="1642"/>
      <c r="T29" s="1642"/>
      <c r="U29" s="1642"/>
      <c r="V29" s="1642"/>
      <c r="W29" s="1642"/>
      <c r="X29" s="1642"/>
      <c r="Y29" s="1642"/>
      <c r="Z29" s="1642"/>
      <c r="AA29" s="1642"/>
      <c r="AB29" s="1642"/>
      <c r="AC29" s="1642"/>
      <c r="AD29" s="1642"/>
      <c r="AE29" s="1642"/>
      <c r="AF29" s="1641">
        <v>2230</v>
      </c>
      <c r="AG29" s="1642">
        <v>2239</v>
      </c>
      <c r="AH29" s="1642">
        <v>2291</v>
      </c>
      <c r="AI29" s="1642">
        <v>2199</v>
      </c>
      <c r="AJ29" s="1641">
        <v>2267</v>
      </c>
      <c r="AK29" s="1642">
        <v>2311</v>
      </c>
      <c r="AL29" s="1642">
        <v>2339</v>
      </c>
      <c r="AM29" s="1642">
        <v>2336</v>
      </c>
      <c r="AN29" s="1641">
        <f>2357+818-254</f>
        <v>2921</v>
      </c>
      <c r="AO29" s="1642">
        <v>2944</v>
      </c>
      <c r="AP29" s="1642">
        <v>2928</v>
      </c>
      <c r="AQ29" s="1642">
        <v>2995</v>
      </c>
      <c r="AR29" s="1641">
        <v>3032</v>
      </c>
      <c r="AS29" s="1642">
        <v>3126</v>
      </c>
      <c r="AT29" s="1642">
        <v>3208</v>
      </c>
      <c r="AU29" s="1642">
        <v>3220</v>
      </c>
      <c r="AV29" s="1641">
        <v>3352</v>
      </c>
      <c r="AW29" s="1642">
        <v>3388</v>
      </c>
      <c r="AX29" s="1642">
        <v>3427</v>
      </c>
      <c r="AY29" s="1642">
        <v>3519</v>
      </c>
      <c r="AZ29" s="1641">
        <v>3286</v>
      </c>
      <c r="BA29" s="1642">
        <v>3322</v>
      </c>
      <c r="BB29" s="1642">
        <v>3287</v>
      </c>
      <c r="BC29" s="1642">
        <v>3395</v>
      </c>
      <c r="BD29" s="1641">
        <v>3342</v>
      </c>
      <c r="BE29" s="1642">
        <v>3353</v>
      </c>
      <c r="BF29" s="1642">
        <v>3387</v>
      </c>
      <c r="BG29" s="1642">
        <v>3415</v>
      </c>
      <c r="BH29" s="1631">
        <v>3396</v>
      </c>
      <c r="BI29" s="1632">
        <v>3437</v>
      </c>
      <c r="BJ29" s="1632">
        <v>3483</v>
      </c>
      <c r="BK29" s="1632">
        <v>3565</v>
      </c>
      <c r="BL29" s="1631">
        <v>3376</v>
      </c>
      <c r="BM29" s="1632">
        <v>3410</v>
      </c>
      <c r="BN29" s="1632">
        <v>3433</v>
      </c>
      <c r="BO29" s="1632">
        <v>3489</v>
      </c>
      <c r="BP29" s="1635">
        <v>3599</v>
      </c>
      <c r="BQ29" s="1701">
        <v>3539</v>
      </c>
      <c r="BR29" s="1701">
        <v>3537</v>
      </c>
      <c r="BS29" s="1701">
        <v>3589</v>
      </c>
      <c r="BT29" s="1635">
        <v>3469</v>
      </c>
      <c r="BU29" s="1701">
        <v>3509</v>
      </c>
      <c r="BV29" s="1701">
        <v>3540</v>
      </c>
      <c r="BW29" s="1701">
        <v>3602</v>
      </c>
      <c r="BX29" s="1635">
        <v>3522</v>
      </c>
      <c r="BY29" s="1701">
        <v>3584</v>
      </c>
      <c r="BZ29" s="1701">
        <v>3652</v>
      </c>
      <c r="CA29" s="1701">
        <v>3747</v>
      </c>
      <c r="CB29" s="1702">
        <f t="shared" ref="CB29:CU29" si="51">+CB37</f>
        <v>3766</v>
      </c>
      <c r="CC29" s="1703">
        <f t="shared" si="51"/>
        <v>3780</v>
      </c>
      <c r="CD29" s="1703">
        <f t="shared" si="51"/>
        <v>3849</v>
      </c>
      <c r="CE29" s="1703">
        <f t="shared" si="51"/>
        <v>3938</v>
      </c>
      <c r="CF29" s="1702">
        <f t="shared" si="51"/>
        <v>3889</v>
      </c>
      <c r="CG29" s="1703">
        <f t="shared" si="51"/>
        <v>3944</v>
      </c>
      <c r="CH29" s="1703">
        <f t="shared" si="51"/>
        <v>3998</v>
      </c>
      <c r="CI29" s="1703">
        <f t="shared" si="51"/>
        <v>4059</v>
      </c>
      <c r="CJ29" s="1702">
        <f t="shared" si="51"/>
        <v>4024</v>
      </c>
      <c r="CK29" s="1703">
        <f t="shared" si="51"/>
        <v>4113</v>
      </c>
      <c r="CL29" s="1703">
        <f t="shared" si="51"/>
        <v>4179</v>
      </c>
      <c r="CM29" s="1704">
        <f t="shared" si="51"/>
        <v>4180</v>
      </c>
      <c r="CN29" s="1705">
        <f t="shared" si="51"/>
        <v>4028</v>
      </c>
      <c r="CO29" s="1705">
        <f t="shared" si="51"/>
        <v>4128</v>
      </c>
      <c r="CP29" s="1705">
        <f t="shared" si="51"/>
        <v>4167</v>
      </c>
      <c r="CQ29" s="1704">
        <f t="shared" si="51"/>
        <v>4137</v>
      </c>
      <c r="CR29" s="1705">
        <f t="shared" si="51"/>
        <v>4118</v>
      </c>
      <c r="CS29" s="1705">
        <f t="shared" si="51"/>
        <v>4151</v>
      </c>
      <c r="CT29" s="1705">
        <f t="shared" si="51"/>
        <v>4154</v>
      </c>
      <c r="CU29" s="1704">
        <f t="shared" si="51"/>
        <v>4183</v>
      </c>
      <c r="CV29" s="1705">
        <f t="shared" ref="CV29:DA29" si="52">+CV37</f>
        <v>4137</v>
      </c>
      <c r="CW29" s="1705">
        <f t="shared" si="52"/>
        <v>4161</v>
      </c>
      <c r="CX29" s="1705">
        <f t="shared" si="52"/>
        <v>4167</v>
      </c>
      <c r="CY29" s="1704">
        <f t="shared" si="52"/>
        <v>4068</v>
      </c>
      <c r="CZ29" s="1705">
        <f t="shared" si="52"/>
        <v>3989</v>
      </c>
      <c r="DA29" s="1705">
        <f t="shared" si="52"/>
        <v>3980</v>
      </c>
      <c r="DB29" s="1705">
        <f t="shared" ref="DB29:DG29" si="53">+DB37</f>
        <v>4009</v>
      </c>
      <c r="DC29" s="1705">
        <f t="shared" si="53"/>
        <v>4039</v>
      </c>
      <c r="DD29" s="2494">
        <f t="shared" si="53"/>
        <v>4017</v>
      </c>
      <c r="DE29" s="2494">
        <f t="shared" si="53"/>
        <v>3982</v>
      </c>
      <c r="DF29" s="2494">
        <f t="shared" si="53"/>
        <v>3942</v>
      </c>
      <c r="DG29" s="2494">
        <f t="shared" si="53"/>
        <v>3987</v>
      </c>
      <c r="DH29" s="2494">
        <f t="shared" ref="DH29:DI29" si="54">+DH37</f>
        <v>4059</v>
      </c>
      <c r="DI29" s="2494">
        <f t="shared" si="54"/>
        <v>4167</v>
      </c>
      <c r="DJ29" s="2494">
        <f t="shared" ref="DJ29:DK29" si="55">+DJ37</f>
        <v>4272</v>
      </c>
      <c r="DK29" s="2494">
        <f t="shared" si="55"/>
        <v>4456</v>
      </c>
      <c r="DL29" s="2494">
        <f t="shared" ref="DL29" si="56">+DL37</f>
        <v>4324</v>
      </c>
    </row>
    <row r="30" spans="1:116">
      <c r="A30" s="954" t="s">
        <v>968</v>
      </c>
      <c r="B30" s="1693"/>
      <c r="C30" s="1693"/>
      <c r="D30" s="1693"/>
      <c r="E30" s="1694">
        <v>38537</v>
      </c>
      <c r="F30" s="1693">
        <v>39993</v>
      </c>
      <c r="G30" s="1693">
        <f>SUM(AN30:AQ30)</f>
        <v>46642</v>
      </c>
      <c r="H30" s="1693">
        <f>SUM(H17:H29)</f>
        <v>50127</v>
      </c>
      <c r="I30" s="1693">
        <f>SUM(I17:I29)</f>
        <v>51873</v>
      </c>
      <c r="J30" s="1693">
        <f>J28+J29</f>
        <v>50847</v>
      </c>
      <c r="K30" s="1695">
        <f>SUM(BD30:BG30)</f>
        <v>53264</v>
      </c>
      <c r="L30" s="1693"/>
      <c r="M30" s="1693"/>
      <c r="N30" s="1693"/>
      <c r="O30" s="1693"/>
      <c r="P30" s="1693"/>
      <c r="Q30" s="1693"/>
      <c r="R30" s="1693"/>
      <c r="S30" s="1693"/>
      <c r="T30" s="1693"/>
      <c r="U30" s="1693"/>
      <c r="V30" s="1693"/>
      <c r="W30" s="1693"/>
      <c r="X30" s="1693"/>
      <c r="Y30" s="1693"/>
      <c r="Z30" s="1693"/>
      <c r="AA30" s="1693"/>
      <c r="AB30" s="1693"/>
      <c r="AC30" s="1693"/>
      <c r="AD30" s="1693"/>
      <c r="AE30" s="1693"/>
      <c r="AF30" s="1694">
        <v>9066</v>
      </c>
      <c r="AG30" s="1693">
        <v>9531</v>
      </c>
      <c r="AH30" s="1693">
        <v>9530</v>
      </c>
      <c r="AI30" s="1693">
        <v>10410</v>
      </c>
      <c r="AJ30" s="1694">
        <v>9498</v>
      </c>
      <c r="AK30" s="1693">
        <v>10035</v>
      </c>
      <c r="AL30" s="1693">
        <v>10021</v>
      </c>
      <c r="AM30" s="1693">
        <v>10439</v>
      </c>
      <c r="AN30" s="1694">
        <f t="shared" ref="AN30:BC30" si="57">SUM(AN28:AN29)</f>
        <v>11028</v>
      </c>
      <c r="AO30" s="1693">
        <f t="shared" si="57"/>
        <v>11782</v>
      </c>
      <c r="AP30" s="1693">
        <f t="shared" si="57"/>
        <v>11708</v>
      </c>
      <c r="AQ30" s="1693">
        <f t="shared" si="57"/>
        <v>12124</v>
      </c>
      <c r="AR30" s="1694">
        <f t="shared" si="57"/>
        <v>11961</v>
      </c>
      <c r="AS30" s="1693">
        <f t="shared" si="57"/>
        <v>12417</v>
      </c>
      <c r="AT30" s="1693">
        <f t="shared" si="57"/>
        <v>12605</v>
      </c>
      <c r="AU30" s="1693">
        <f t="shared" si="57"/>
        <v>13144</v>
      </c>
      <c r="AV30" s="1694">
        <f t="shared" si="57"/>
        <v>12472</v>
      </c>
      <c r="AW30" s="1693">
        <f t="shared" si="57"/>
        <v>12833</v>
      </c>
      <c r="AX30" s="1693">
        <f t="shared" si="57"/>
        <v>13128</v>
      </c>
      <c r="AY30" s="1693">
        <f t="shared" si="57"/>
        <v>13440</v>
      </c>
      <c r="AZ30" s="1694">
        <f t="shared" si="57"/>
        <v>12360</v>
      </c>
      <c r="BA30" s="1693">
        <f t="shared" si="57"/>
        <v>12622</v>
      </c>
      <c r="BB30" s="1693">
        <f t="shared" si="57"/>
        <v>12933</v>
      </c>
      <c r="BC30" s="1693">
        <f t="shared" si="57"/>
        <v>12932</v>
      </c>
      <c r="BD30" s="1694">
        <f t="shared" ref="BD30:CV30" si="58">SUM(BD28:BD29)+BD15</f>
        <v>12649</v>
      </c>
      <c r="BE30" s="1693">
        <f t="shared" si="58"/>
        <v>13046</v>
      </c>
      <c r="BF30" s="1693">
        <f t="shared" si="58"/>
        <v>13621</v>
      </c>
      <c r="BG30" s="1693">
        <f t="shared" si="58"/>
        <v>13948</v>
      </c>
      <c r="BH30" s="1694">
        <f t="shared" si="58"/>
        <v>13744</v>
      </c>
      <c r="BI30" s="1693">
        <f t="shared" si="58"/>
        <v>14035</v>
      </c>
      <c r="BJ30" s="1693">
        <f t="shared" si="58"/>
        <v>14481</v>
      </c>
      <c r="BK30" s="1693">
        <f t="shared" si="58"/>
        <v>14689</v>
      </c>
      <c r="BL30" s="1694">
        <f t="shared" si="58"/>
        <v>14314</v>
      </c>
      <c r="BM30" s="1693">
        <f t="shared" si="58"/>
        <v>14564</v>
      </c>
      <c r="BN30" s="1693">
        <f t="shared" si="58"/>
        <v>14928</v>
      </c>
      <c r="BO30" s="1693">
        <f t="shared" si="58"/>
        <v>15001</v>
      </c>
      <c r="BP30" s="1694">
        <f t="shared" si="58"/>
        <v>17704</v>
      </c>
      <c r="BQ30" s="1693">
        <f t="shared" si="58"/>
        <v>17990</v>
      </c>
      <c r="BR30" s="1693">
        <f t="shared" si="58"/>
        <v>18576</v>
      </c>
      <c r="BS30" s="1693">
        <f t="shared" si="58"/>
        <v>18682</v>
      </c>
      <c r="BT30" s="1694">
        <f t="shared" si="58"/>
        <v>18453</v>
      </c>
      <c r="BU30" s="1693">
        <f t="shared" si="58"/>
        <v>18870</v>
      </c>
      <c r="BV30" s="1693">
        <f t="shared" si="58"/>
        <v>19230</v>
      </c>
      <c r="BW30" s="1693">
        <f t="shared" si="58"/>
        <v>19277</v>
      </c>
      <c r="BX30" s="1694">
        <f t="shared" si="58"/>
        <v>19154</v>
      </c>
      <c r="BY30" s="1693">
        <f t="shared" si="58"/>
        <v>19542</v>
      </c>
      <c r="BZ30" s="1693">
        <f t="shared" si="58"/>
        <v>20264</v>
      </c>
      <c r="CA30" s="1693">
        <f t="shared" si="58"/>
        <v>20069</v>
      </c>
      <c r="CB30" s="1706">
        <f t="shared" si="58"/>
        <v>20965</v>
      </c>
      <c r="CC30" s="1707">
        <f t="shared" si="58"/>
        <v>21124</v>
      </c>
      <c r="CD30" s="1707">
        <f t="shared" si="58"/>
        <v>21623</v>
      </c>
      <c r="CE30" s="1707">
        <f t="shared" si="58"/>
        <v>21743</v>
      </c>
      <c r="CF30" s="1706">
        <f t="shared" si="58"/>
        <v>21359</v>
      </c>
      <c r="CG30" s="1707">
        <f t="shared" si="58"/>
        <v>21296</v>
      </c>
      <c r="CH30" s="1707">
        <f t="shared" si="58"/>
        <v>21687</v>
      </c>
      <c r="CI30" s="1707">
        <f t="shared" si="58"/>
        <v>21598</v>
      </c>
      <c r="CJ30" s="1706">
        <f t="shared" si="58"/>
        <v>22537</v>
      </c>
      <c r="CK30" s="1707">
        <f t="shared" si="58"/>
        <v>22644</v>
      </c>
      <c r="CL30" s="1707">
        <f t="shared" si="58"/>
        <v>22937</v>
      </c>
      <c r="CM30" s="1708">
        <f t="shared" si="58"/>
        <v>23803</v>
      </c>
      <c r="CN30" s="1709">
        <f t="shared" si="58"/>
        <v>23047</v>
      </c>
      <c r="CO30" s="1709">
        <f t="shared" si="58"/>
        <v>22901</v>
      </c>
      <c r="CP30" s="1709">
        <f t="shared" si="58"/>
        <v>23140</v>
      </c>
      <c r="CQ30" s="1708">
        <f t="shared" si="58"/>
        <v>25544</v>
      </c>
      <c r="CR30" s="1709">
        <f t="shared" si="58"/>
        <v>23028</v>
      </c>
      <c r="CS30" s="1709">
        <f t="shared" si="58"/>
        <v>23347</v>
      </c>
      <c r="CT30" s="1709">
        <f t="shared" si="58"/>
        <v>23280</v>
      </c>
      <c r="CU30" s="1708">
        <f t="shared" si="58"/>
        <v>24881</v>
      </c>
      <c r="CV30" s="1709">
        <f t="shared" si="58"/>
        <v>23536</v>
      </c>
      <c r="CW30" s="1709">
        <f t="shared" ref="CW30:DB30" si="59">SUM(CW28:CW29)+CW15</f>
        <v>24383</v>
      </c>
      <c r="CX30" s="1709">
        <f t="shared" si="59"/>
        <v>24696</v>
      </c>
      <c r="CY30" s="1708">
        <f t="shared" si="59"/>
        <v>27487</v>
      </c>
      <c r="CZ30" s="1709">
        <f t="shared" si="59"/>
        <v>24024</v>
      </c>
      <c r="DA30" s="1709">
        <f t="shared" si="59"/>
        <v>24403</v>
      </c>
      <c r="DB30" s="1709">
        <f t="shared" si="59"/>
        <v>25281</v>
      </c>
      <c r="DC30" s="1709">
        <f t="shared" ref="DC30:DH30" si="60">SUM(DC28:DC29)+DC15</f>
        <v>27362</v>
      </c>
      <c r="DD30" s="1267">
        <f t="shared" si="60"/>
        <v>24206</v>
      </c>
      <c r="DE30" s="1267">
        <f t="shared" si="60"/>
        <v>23435</v>
      </c>
      <c r="DF30" s="1267">
        <f t="shared" si="60"/>
        <v>23600</v>
      </c>
      <c r="DG30" s="1267">
        <f t="shared" si="60"/>
        <v>25906</v>
      </c>
      <c r="DH30" s="1267">
        <f t="shared" si="60"/>
        <v>22507</v>
      </c>
      <c r="DI30" s="1267">
        <f t="shared" ref="DI30:DJ30" si="61">SUM(DI28:DI29)+DI15</f>
        <v>23331</v>
      </c>
      <c r="DJ30" s="1267">
        <f t="shared" si="61"/>
        <v>23889</v>
      </c>
      <c r="DK30" s="1267">
        <f t="shared" ref="DK30:DL30" si="62">SUM(DK28:DK29)+DK15</f>
        <v>26604</v>
      </c>
      <c r="DL30" s="1267">
        <f t="shared" si="62"/>
        <v>24067</v>
      </c>
    </row>
    <row r="31" spans="1:116">
      <c r="A31" s="1629" t="s">
        <v>1237</v>
      </c>
      <c r="B31" s="1658"/>
      <c r="C31" s="1658"/>
      <c r="D31" s="1658"/>
      <c r="E31" s="1659">
        <f t="shared" ref="E31:J31" si="63">E30-SUM(E28:E29)</f>
        <v>0</v>
      </c>
      <c r="F31" s="1658">
        <f t="shared" si="63"/>
        <v>0</v>
      </c>
      <c r="G31" s="1658">
        <f t="shared" si="63"/>
        <v>0</v>
      </c>
      <c r="H31" s="1658">
        <f t="shared" si="63"/>
        <v>0</v>
      </c>
      <c r="I31" s="1658">
        <f t="shared" si="63"/>
        <v>0</v>
      </c>
      <c r="J31" s="1658">
        <f t="shared" si="63"/>
        <v>0</v>
      </c>
      <c r="K31" s="1696">
        <f>K30-SUM(K28:K29)-K15</f>
        <v>0</v>
      </c>
      <c r="L31" s="1658"/>
      <c r="M31" s="1658"/>
      <c r="N31" s="1658"/>
      <c r="O31" s="1658"/>
      <c r="P31" s="1658"/>
      <c r="Q31" s="1658"/>
      <c r="R31" s="1658"/>
      <c r="S31" s="1658"/>
      <c r="T31" s="1658"/>
      <c r="U31" s="1658"/>
      <c r="V31" s="1658"/>
      <c r="W31" s="1658"/>
      <c r="X31" s="1658"/>
      <c r="Y31" s="1658"/>
      <c r="Z31" s="1658"/>
      <c r="AA31" s="1658"/>
      <c r="AB31" s="1658"/>
      <c r="AC31" s="1658"/>
      <c r="AD31" s="1658"/>
      <c r="AE31" s="1658"/>
      <c r="AF31" s="1659">
        <f t="shared" ref="AF31:BE31" si="64">AF30-SUM(AF28:AF29)</f>
        <v>0</v>
      </c>
      <c r="AG31" s="1658">
        <f t="shared" si="64"/>
        <v>0</v>
      </c>
      <c r="AH31" s="1658">
        <f t="shared" si="64"/>
        <v>0</v>
      </c>
      <c r="AI31" s="1658">
        <f t="shared" si="64"/>
        <v>0</v>
      </c>
      <c r="AJ31" s="1659">
        <f t="shared" si="64"/>
        <v>0</v>
      </c>
      <c r="AK31" s="1658">
        <f t="shared" si="64"/>
        <v>0</v>
      </c>
      <c r="AL31" s="1658">
        <f t="shared" si="64"/>
        <v>0</v>
      </c>
      <c r="AM31" s="1658">
        <f t="shared" si="64"/>
        <v>0</v>
      </c>
      <c r="AN31" s="1659">
        <f t="shared" si="64"/>
        <v>0</v>
      </c>
      <c r="AO31" s="1658">
        <f t="shared" si="64"/>
        <v>0</v>
      </c>
      <c r="AP31" s="1658">
        <f t="shared" si="64"/>
        <v>0</v>
      </c>
      <c r="AQ31" s="1658">
        <f t="shared" si="64"/>
        <v>0</v>
      </c>
      <c r="AR31" s="1659">
        <f t="shared" si="64"/>
        <v>0</v>
      </c>
      <c r="AS31" s="1658">
        <f t="shared" si="64"/>
        <v>0</v>
      </c>
      <c r="AT31" s="1658">
        <f t="shared" si="64"/>
        <v>0</v>
      </c>
      <c r="AU31" s="1658">
        <f t="shared" si="64"/>
        <v>0</v>
      </c>
      <c r="AV31" s="1659">
        <f t="shared" si="64"/>
        <v>0</v>
      </c>
      <c r="AW31" s="1658">
        <f t="shared" si="64"/>
        <v>0</v>
      </c>
      <c r="AX31" s="1658">
        <f t="shared" si="64"/>
        <v>0</v>
      </c>
      <c r="AY31" s="1658">
        <f t="shared" si="64"/>
        <v>0</v>
      </c>
      <c r="AZ31" s="1659">
        <f t="shared" si="64"/>
        <v>0</v>
      </c>
      <c r="BA31" s="1658">
        <f t="shared" si="64"/>
        <v>0</v>
      </c>
      <c r="BB31" s="1658">
        <f t="shared" si="64"/>
        <v>0</v>
      </c>
      <c r="BC31" s="1658">
        <f t="shared" si="64"/>
        <v>0</v>
      </c>
      <c r="BD31" s="1659">
        <f t="shared" si="64"/>
        <v>0</v>
      </c>
      <c r="BE31" s="1658">
        <f t="shared" si="64"/>
        <v>0</v>
      </c>
      <c r="BF31" s="1658">
        <f t="shared" ref="BF31:BP31" si="65">BF30-SUM(BF28:BF29)-BF15</f>
        <v>0</v>
      </c>
      <c r="BG31" s="1658">
        <f t="shared" si="65"/>
        <v>0</v>
      </c>
      <c r="BH31" s="1659">
        <f t="shared" si="65"/>
        <v>0</v>
      </c>
      <c r="BI31" s="1658">
        <f t="shared" si="65"/>
        <v>0</v>
      </c>
      <c r="BJ31" s="1658">
        <f t="shared" si="65"/>
        <v>0</v>
      </c>
      <c r="BK31" s="1658">
        <f t="shared" si="65"/>
        <v>0</v>
      </c>
      <c r="BL31" s="1659">
        <f t="shared" si="65"/>
        <v>0</v>
      </c>
      <c r="BM31" s="1658">
        <f t="shared" si="65"/>
        <v>0</v>
      </c>
      <c r="BN31" s="1658">
        <f t="shared" si="65"/>
        <v>0</v>
      </c>
      <c r="BO31" s="1658">
        <f t="shared" si="65"/>
        <v>0</v>
      </c>
      <c r="BP31" s="1641">
        <f t="shared" si="65"/>
        <v>0</v>
      </c>
      <c r="BQ31" s="1642"/>
      <c r="BR31" s="1642"/>
      <c r="BS31" s="1642"/>
      <c r="BT31" s="1641"/>
      <c r="BU31" s="1642"/>
      <c r="BV31" s="1642"/>
      <c r="BW31" s="1642"/>
      <c r="BX31" s="1641"/>
      <c r="BY31" s="1642"/>
      <c r="BZ31" s="1642"/>
      <c r="CA31" s="1642"/>
      <c r="CB31" s="1641"/>
      <c r="CC31" s="1642"/>
      <c r="CD31" s="1642"/>
      <c r="CE31" s="1642"/>
      <c r="CF31" s="1641"/>
      <c r="CG31" s="1642"/>
      <c r="CH31" s="1642"/>
      <c r="CI31" s="1642"/>
      <c r="CJ31" s="1641"/>
      <c r="CK31" s="1642"/>
      <c r="CL31" s="1642"/>
      <c r="CM31" s="1681"/>
      <c r="CN31" s="1672"/>
      <c r="CO31" s="1672"/>
      <c r="CP31" s="1672"/>
      <c r="CQ31" s="1681"/>
      <c r="CR31" s="1672"/>
      <c r="CS31" s="1672"/>
      <c r="CT31" s="1672"/>
      <c r="CU31" s="1681"/>
      <c r="CV31" s="1672"/>
      <c r="CW31" s="1672"/>
      <c r="CX31" s="1672"/>
      <c r="CY31" s="1681"/>
      <c r="CZ31" s="1672"/>
      <c r="DA31" s="1672"/>
      <c r="DB31" s="1672"/>
      <c r="DC31" s="1672"/>
      <c r="DD31" s="1672"/>
      <c r="DE31" s="1672"/>
      <c r="DF31" s="1672"/>
      <c r="DG31" s="1672"/>
      <c r="DH31" s="1672"/>
      <c r="DI31" s="1672"/>
      <c r="DJ31" s="1672"/>
      <c r="DK31" s="1672"/>
      <c r="DL31" s="1672"/>
    </row>
    <row r="32" spans="1:116">
      <c r="A32" s="1629"/>
      <c r="B32" s="1658"/>
      <c r="C32" s="1658"/>
      <c r="D32" s="1658"/>
      <c r="E32" s="1659"/>
      <c r="F32" s="1658"/>
      <c r="G32" s="1658"/>
      <c r="H32" s="1658"/>
      <c r="I32" s="1658"/>
      <c r="J32" s="1658"/>
      <c r="K32" s="1696"/>
      <c r="L32" s="1658"/>
      <c r="M32" s="1658"/>
      <c r="N32" s="1658"/>
      <c r="O32" s="1658"/>
      <c r="P32" s="1658"/>
      <c r="Q32" s="1658"/>
      <c r="R32" s="1658"/>
      <c r="S32" s="1658"/>
      <c r="T32" s="1658"/>
      <c r="U32" s="1658"/>
      <c r="V32" s="1658"/>
      <c r="W32" s="1658"/>
      <c r="X32" s="1658"/>
      <c r="Y32" s="1658"/>
      <c r="Z32" s="1658"/>
      <c r="AA32" s="1658"/>
      <c r="AB32" s="1658"/>
      <c r="AC32" s="1658"/>
      <c r="AD32" s="1658"/>
      <c r="AE32" s="1658"/>
      <c r="AF32" s="1659"/>
      <c r="AG32" s="1658"/>
      <c r="AH32" s="1658"/>
      <c r="AI32" s="1658"/>
      <c r="AJ32" s="1659"/>
      <c r="AK32" s="1658"/>
      <c r="AL32" s="1658"/>
      <c r="AM32" s="1658"/>
      <c r="AN32" s="1659"/>
      <c r="AO32" s="1658"/>
      <c r="AP32" s="1658"/>
      <c r="AQ32" s="1658"/>
      <c r="AR32" s="1659"/>
      <c r="AS32" s="1658"/>
      <c r="AT32" s="1658"/>
      <c r="AU32" s="1658"/>
      <c r="AV32" s="1659"/>
      <c r="AW32" s="1658"/>
      <c r="AX32" s="1658"/>
      <c r="AY32" s="1658"/>
      <c r="AZ32" s="1659"/>
      <c r="BA32" s="1658"/>
      <c r="BB32" s="1658"/>
      <c r="BC32" s="1658"/>
      <c r="BD32" s="1659"/>
      <c r="BE32" s="1658"/>
      <c r="BF32" s="1658"/>
      <c r="BG32" s="1658"/>
      <c r="BH32" s="1659"/>
      <c r="BI32" s="1658"/>
      <c r="BJ32" s="1658"/>
      <c r="BK32" s="1658"/>
      <c r="BL32" s="1659"/>
      <c r="BM32" s="1658"/>
      <c r="BN32" s="1658"/>
      <c r="BO32" s="1658"/>
      <c r="BP32" s="1641"/>
      <c r="BQ32" s="1642"/>
      <c r="BR32" s="1642"/>
      <c r="BS32" s="1642"/>
      <c r="BT32" s="1641"/>
      <c r="BU32" s="1642"/>
      <c r="BV32" s="1642"/>
      <c r="BW32" s="1642"/>
      <c r="BX32" s="1641"/>
      <c r="BY32" s="1642"/>
      <c r="BZ32" s="1642"/>
      <c r="CA32" s="1642"/>
      <c r="CB32" s="1641"/>
      <c r="CC32" s="1642"/>
      <c r="CD32" s="1642"/>
      <c r="CE32" s="1642"/>
      <c r="CF32" s="1641"/>
      <c r="CG32" s="1642"/>
      <c r="CH32" s="1642"/>
      <c r="CI32" s="1642"/>
      <c r="CJ32" s="1641"/>
      <c r="CK32" s="1642"/>
      <c r="CL32" s="1642"/>
      <c r="CM32" s="1681"/>
      <c r="CN32" s="1672"/>
      <c r="CO32" s="1672"/>
      <c r="CP32" s="1672"/>
      <c r="CQ32" s="1681"/>
      <c r="CR32" s="1672"/>
      <c r="CS32" s="1672"/>
      <c r="CT32" s="1672"/>
      <c r="CU32" s="1681"/>
      <c r="CV32" s="1672"/>
      <c r="CW32" s="1672"/>
      <c r="CX32" s="1672"/>
      <c r="CY32" s="1681"/>
      <c r="CZ32" s="1672"/>
      <c r="DA32" s="1672"/>
      <c r="DB32" s="1672"/>
      <c r="DC32" s="1672"/>
      <c r="DD32" s="1672"/>
      <c r="DE32" s="1672"/>
      <c r="DF32" s="1672"/>
      <c r="DG32" s="1672"/>
      <c r="DH32" s="1672"/>
      <c r="DI32" s="1672"/>
      <c r="DJ32" s="1672"/>
      <c r="DK32" s="1672"/>
      <c r="DL32" s="1672"/>
    </row>
    <row r="33" spans="1:116">
      <c r="A33" s="1539"/>
      <c r="B33" s="1658"/>
      <c r="C33" s="1658"/>
      <c r="D33" s="1658"/>
      <c r="E33" s="1659"/>
      <c r="F33" s="1658"/>
      <c r="G33" s="1658"/>
      <c r="H33" s="1658"/>
      <c r="I33" s="1658"/>
      <c r="J33" s="1658"/>
      <c r="K33" s="1696"/>
      <c r="L33" s="1658"/>
      <c r="M33" s="1658"/>
      <c r="N33" s="1658"/>
      <c r="O33" s="1658"/>
      <c r="P33" s="1658"/>
      <c r="Q33" s="1658"/>
      <c r="R33" s="1658"/>
      <c r="S33" s="1658"/>
      <c r="T33" s="1658"/>
      <c r="U33" s="1658"/>
      <c r="V33" s="1658"/>
      <c r="W33" s="1658"/>
      <c r="X33" s="1658"/>
      <c r="Y33" s="1658"/>
      <c r="Z33" s="1658"/>
      <c r="AA33" s="1658"/>
      <c r="AB33" s="1658"/>
      <c r="AC33" s="1658"/>
      <c r="AD33" s="1658"/>
      <c r="AE33" s="1658"/>
      <c r="AF33" s="1659"/>
      <c r="AG33" s="1658"/>
      <c r="AH33" s="1658"/>
      <c r="AI33" s="1658"/>
      <c r="AJ33" s="1659"/>
      <c r="AK33" s="1658"/>
      <c r="AL33" s="1658"/>
      <c r="AM33" s="1658"/>
      <c r="AN33" s="1659"/>
      <c r="AO33" s="1658"/>
      <c r="AP33" s="1658"/>
      <c r="AQ33" s="1658"/>
      <c r="AR33" s="1659"/>
      <c r="AS33" s="1658"/>
      <c r="AT33" s="1658"/>
      <c r="AU33" s="1658"/>
      <c r="AV33" s="1659"/>
      <c r="AW33" s="1658"/>
      <c r="AX33" s="1658"/>
      <c r="AY33" s="1658"/>
      <c r="AZ33" s="1659"/>
      <c r="BA33" s="1658"/>
      <c r="BB33" s="1658"/>
      <c r="BC33" s="1658"/>
      <c r="BD33" s="1659"/>
      <c r="BE33" s="1658"/>
      <c r="BF33" s="1658"/>
      <c r="BG33" s="1658"/>
      <c r="BH33" s="1659"/>
      <c r="BI33" s="1658"/>
      <c r="BJ33" s="1658"/>
      <c r="BK33" s="1658"/>
      <c r="BL33" s="1659"/>
      <c r="BM33" s="1658"/>
      <c r="BN33" s="1658"/>
      <c r="BO33" s="1658"/>
      <c r="BP33" s="1641"/>
      <c r="BQ33" s="1642"/>
      <c r="BR33" s="1642"/>
      <c r="BS33" s="1642"/>
      <c r="BT33" s="1641"/>
      <c r="BU33" s="1642"/>
      <c r="BV33" s="1642"/>
      <c r="BW33" s="1642"/>
      <c r="BX33" s="1650"/>
      <c r="BY33" s="1651"/>
      <c r="BZ33" s="1651"/>
      <c r="CA33" s="1651"/>
      <c r="CB33" s="1650"/>
      <c r="CC33" s="1651"/>
      <c r="CD33" s="1651"/>
      <c r="CE33" s="1651"/>
      <c r="CF33" s="1650"/>
      <c r="CG33" s="1651"/>
      <c r="CH33" s="1651"/>
      <c r="CI33" s="1651"/>
      <c r="CJ33" s="1650"/>
      <c r="CK33" s="1651"/>
      <c r="CL33" s="1651"/>
      <c r="CM33" s="1652"/>
      <c r="CN33" s="1653"/>
      <c r="CO33" s="1653"/>
      <c r="CP33" s="1653"/>
      <c r="CQ33" s="1652"/>
      <c r="CR33" s="1653"/>
      <c r="CS33" s="1653"/>
      <c r="CT33" s="1653"/>
      <c r="CU33" s="1652"/>
      <c r="CV33" s="1653"/>
      <c r="CW33" s="1653"/>
      <c r="CX33" s="1653"/>
      <c r="CY33" s="1652"/>
      <c r="CZ33" s="1653"/>
      <c r="DA33" s="1653"/>
      <c r="DB33" s="1653"/>
      <c r="DC33" s="1653"/>
      <c r="DD33" s="1653"/>
      <c r="DE33" s="2966"/>
      <c r="DF33" s="2989"/>
      <c r="DG33" s="3027"/>
      <c r="DH33" s="3062"/>
      <c r="DI33" s="3161"/>
      <c r="DJ33" s="3241"/>
      <c r="DK33" s="3286"/>
      <c r="DL33" s="3317"/>
    </row>
    <row r="34" spans="1:116" ht="12.75" customHeight="1">
      <c r="A34" s="1628" t="s">
        <v>961</v>
      </c>
      <c r="B34" s="1658"/>
      <c r="C34" s="1658"/>
      <c r="D34" s="1658"/>
      <c r="E34" s="1659"/>
      <c r="F34" s="1658"/>
      <c r="G34" s="1658"/>
      <c r="H34" s="1658"/>
      <c r="I34" s="1658"/>
      <c r="J34" s="1658"/>
      <c r="K34" s="1696"/>
      <c r="L34" s="1658"/>
      <c r="M34" s="1658"/>
      <c r="N34" s="1658"/>
      <c r="O34" s="1658"/>
      <c r="P34" s="1658"/>
      <c r="Q34" s="1658"/>
      <c r="R34" s="1658"/>
      <c r="S34" s="1658"/>
      <c r="T34" s="1658"/>
      <c r="U34" s="1658"/>
      <c r="V34" s="1658"/>
      <c r="W34" s="1658"/>
      <c r="X34" s="1658"/>
      <c r="Y34" s="1658"/>
      <c r="Z34" s="1658"/>
      <c r="AA34" s="1658"/>
      <c r="AB34" s="1658"/>
      <c r="AC34" s="1658"/>
      <c r="AD34" s="1658"/>
      <c r="AE34" s="1658"/>
      <c r="AF34" s="1659"/>
      <c r="AG34" s="1658"/>
      <c r="AH34" s="1658"/>
      <c r="AI34" s="1658"/>
      <c r="AJ34" s="1659"/>
      <c r="AK34" s="1658"/>
      <c r="AL34" s="1658"/>
      <c r="AM34" s="1658"/>
      <c r="AN34" s="1659"/>
      <c r="AO34" s="1658"/>
      <c r="AP34" s="1658"/>
      <c r="AQ34" s="1658"/>
      <c r="AR34" s="1659"/>
      <c r="AS34" s="1658"/>
      <c r="AT34" s="1658"/>
      <c r="AU34" s="1658"/>
      <c r="AV34" s="1659"/>
      <c r="AW34" s="1658"/>
      <c r="AX34" s="1658"/>
      <c r="AY34" s="1658"/>
      <c r="AZ34" s="1659"/>
      <c r="BA34" s="1658"/>
      <c r="BB34" s="1658"/>
      <c r="BC34" s="1658"/>
      <c r="BD34" s="1659"/>
      <c r="BE34" s="1658"/>
      <c r="BF34" s="1658"/>
      <c r="BG34" s="1658"/>
      <c r="BH34" s="1659"/>
      <c r="BI34" s="1658"/>
      <c r="BJ34" s="1658"/>
      <c r="BK34" s="1658"/>
      <c r="BL34" s="1659"/>
      <c r="BM34" s="1658"/>
      <c r="BN34" s="1658"/>
      <c r="BO34" s="1658"/>
      <c r="BP34" s="1641"/>
      <c r="BQ34" s="1642"/>
      <c r="BR34" s="1642"/>
      <c r="BS34" s="1642"/>
      <c r="BT34" s="1641"/>
      <c r="BU34" s="1642"/>
      <c r="BV34" s="1642"/>
      <c r="BW34" s="1642"/>
      <c r="BX34" s="1635">
        <v>10006</v>
      </c>
      <c r="BY34" s="1701">
        <v>10068</v>
      </c>
      <c r="BZ34" s="1701">
        <v>10676</v>
      </c>
      <c r="CA34" s="1701">
        <v>10548</v>
      </c>
      <c r="CB34" s="1635">
        <v>9997</v>
      </c>
      <c r="CC34" s="1701">
        <v>10190</v>
      </c>
      <c r="CD34" s="1701">
        <v>10673</v>
      </c>
      <c r="CE34" s="1701">
        <v>10755</v>
      </c>
      <c r="CF34" s="1635">
        <v>10294</v>
      </c>
      <c r="CG34" s="1701">
        <v>10233</v>
      </c>
      <c r="CH34" s="1701">
        <f>10671-92</f>
        <v>10579</v>
      </c>
      <c r="CI34" s="1701">
        <f>10610-151-131</f>
        <v>10328</v>
      </c>
      <c r="CJ34" s="1635">
        <v>11229</v>
      </c>
      <c r="CK34" s="1701">
        <v>11158</v>
      </c>
      <c r="CL34" s="1701">
        <v>11398</v>
      </c>
      <c r="CM34" s="1710">
        <v>12090</v>
      </c>
      <c r="CN34" s="1711">
        <v>11319</v>
      </c>
      <c r="CO34" s="1711">
        <v>10896</v>
      </c>
      <c r="CP34" s="1711">
        <v>10991</v>
      </c>
      <c r="CQ34" s="1710">
        <f>13069-40+5673-5878</f>
        <v>12824</v>
      </c>
      <c r="CR34" s="1711">
        <f>10932+5293-5457</f>
        <v>10768</v>
      </c>
      <c r="CS34" s="1711">
        <f>11033+5290-5407</f>
        <v>10916</v>
      </c>
      <c r="CT34" s="1711">
        <f>10960+5342-5483</f>
        <v>10819</v>
      </c>
      <c r="CU34" s="1710">
        <f>11962+5471-5581</f>
        <v>11852</v>
      </c>
      <c r="CV34" s="1711">
        <f>11189+5339-5459</f>
        <v>11069</v>
      </c>
      <c r="CW34" s="1711">
        <f>12087+5339-5459</f>
        <v>11967</v>
      </c>
      <c r="CX34" s="1711">
        <f>12252</f>
        <v>12252</v>
      </c>
      <c r="CY34" s="1710">
        <f>14403-27</f>
        <v>14376</v>
      </c>
      <c r="CZ34" s="1711">
        <v>12096</v>
      </c>
      <c r="DA34" s="1711">
        <f>6994+5455</f>
        <v>12449</v>
      </c>
      <c r="DB34" s="1711">
        <f>7589+5716-342</f>
        <v>12963</v>
      </c>
      <c r="DC34" s="1711">
        <f>7867+6840</f>
        <v>14707</v>
      </c>
      <c r="DD34" s="1711">
        <f>7614+4998</f>
        <v>12612</v>
      </c>
      <c r="DE34" s="1711">
        <f>7577+4644</f>
        <v>12221</v>
      </c>
      <c r="DF34" s="1711">
        <f>6989+5240</f>
        <v>12229</v>
      </c>
      <c r="DG34" s="1711">
        <f>7006+7356</f>
        <v>14362</v>
      </c>
      <c r="DH34" s="1711">
        <f>6858+4808</f>
        <v>11666</v>
      </c>
      <c r="DI34" s="1711">
        <f>7075+5035</f>
        <v>12110</v>
      </c>
      <c r="DJ34" s="1711">
        <f>7640+4965</f>
        <v>12605</v>
      </c>
      <c r="DK34" s="1711">
        <f>7836+7339</f>
        <v>15175</v>
      </c>
      <c r="DL34" s="1711">
        <f>7946+5309</f>
        <v>13255</v>
      </c>
    </row>
    <row r="35" spans="1:116" ht="12.75" customHeight="1">
      <c r="A35" s="1628" t="s">
        <v>963</v>
      </c>
      <c r="B35" s="1658"/>
      <c r="C35" s="1658"/>
      <c r="D35" s="1658"/>
      <c r="E35" s="1659"/>
      <c r="F35" s="1658"/>
      <c r="G35" s="1658"/>
      <c r="H35" s="1658"/>
      <c r="I35" s="1658"/>
      <c r="J35" s="1658"/>
      <c r="K35" s="1696"/>
      <c r="L35" s="1658"/>
      <c r="M35" s="1658"/>
      <c r="N35" s="1658"/>
      <c r="O35" s="1658"/>
      <c r="P35" s="1658"/>
      <c r="Q35" s="1658"/>
      <c r="R35" s="1658"/>
      <c r="S35" s="1658"/>
      <c r="T35" s="1658"/>
      <c r="U35" s="1658"/>
      <c r="V35" s="1658"/>
      <c r="W35" s="1658"/>
      <c r="X35" s="1658"/>
      <c r="Y35" s="1658"/>
      <c r="Z35" s="1658"/>
      <c r="AA35" s="1658"/>
      <c r="AB35" s="1658"/>
      <c r="AC35" s="1658"/>
      <c r="AD35" s="1658"/>
      <c r="AE35" s="1658"/>
      <c r="AF35" s="1659"/>
      <c r="AG35" s="1658"/>
      <c r="AH35" s="1658"/>
      <c r="AI35" s="1658"/>
      <c r="AJ35" s="1659"/>
      <c r="AK35" s="1658"/>
      <c r="AL35" s="1658"/>
      <c r="AM35" s="1658"/>
      <c r="AN35" s="1659"/>
      <c r="AO35" s="1658"/>
      <c r="AP35" s="1658"/>
      <c r="AQ35" s="1658"/>
      <c r="AR35" s="1659"/>
      <c r="AS35" s="1658"/>
      <c r="AT35" s="1658"/>
      <c r="AU35" s="1658"/>
      <c r="AV35" s="1659"/>
      <c r="AW35" s="1658"/>
      <c r="AX35" s="1658"/>
      <c r="AY35" s="1658"/>
      <c r="AZ35" s="1659"/>
      <c r="BA35" s="1658"/>
      <c r="BB35" s="1658"/>
      <c r="BC35" s="1658"/>
      <c r="BD35" s="1659"/>
      <c r="BE35" s="1658"/>
      <c r="BF35" s="1658"/>
      <c r="BG35" s="1658"/>
      <c r="BH35" s="1659"/>
      <c r="BI35" s="1658"/>
      <c r="BJ35" s="1658"/>
      <c r="BK35" s="1658"/>
      <c r="BL35" s="1659"/>
      <c r="BM35" s="1658"/>
      <c r="BN35" s="1658"/>
      <c r="BO35" s="1658"/>
      <c r="BP35" s="1641"/>
      <c r="BQ35" s="1642"/>
      <c r="BR35" s="1642"/>
      <c r="BS35" s="1642"/>
      <c r="BT35" s="1641"/>
      <c r="BU35" s="1642"/>
      <c r="BV35" s="1642"/>
      <c r="BW35" s="1642"/>
      <c r="BX35" s="1635">
        <v>6992</v>
      </c>
      <c r="BY35" s="1701">
        <v>7265</v>
      </c>
      <c r="BZ35" s="1701">
        <v>7409</v>
      </c>
      <c r="CA35" s="1701">
        <v>7267</v>
      </c>
      <c r="CB35" s="1635">
        <v>7202</v>
      </c>
      <c r="CC35" s="1701">
        <v>7154</v>
      </c>
      <c r="CD35" s="1701">
        <v>7101</v>
      </c>
      <c r="CE35" s="1701">
        <v>7050</v>
      </c>
      <c r="CF35" s="1635">
        <v>7176</v>
      </c>
      <c r="CG35" s="1701">
        <v>7119</v>
      </c>
      <c r="CH35" s="1701">
        <f>8407-42-1188-67</f>
        <v>7110</v>
      </c>
      <c r="CI35" s="1701">
        <f>5291-241-98+2259</f>
        <v>7211</v>
      </c>
      <c r="CJ35" s="1635">
        <v>7284</v>
      </c>
      <c r="CK35" s="1701">
        <v>7373</v>
      </c>
      <c r="CL35" s="1701">
        <f>7689-329</f>
        <v>7360</v>
      </c>
      <c r="CM35" s="1710">
        <f>13278-5625-120</f>
        <v>7533</v>
      </c>
      <c r="CN35" s="1711">
        <v>7700</v>
      </c>
      <c r="CO35" s="1711">
        <v>7877</v>
      </c>
      <c r="CP35" s="1711">
        <f>8366-384</f>
        <v>7982</v>
      </c>
      <c r="CQ35" s="1710">
        <f>16008-7186-236+2310-2313</f>
        <v>8583</v>
      </c>
      <c r="CR35" s="1711">
        <f>8148+2259-2265</f>
        <v>8142</v>
      </c>
      <c r="CS35" s="1711">
        <f>8047+237+2164-2168</f>
        <v>8280</v>
      </c>
      <c r="CT35" s="1711">
        <f>8037+278+2094-2102</f>
        <v>8307</v>
      </c>
      <c r="CU35" s="1710">
        <f>2857+5995+2054-2060</f>
        <v>8846</v>
      </c>
      <c r="CV35" s="1711">
        <f>8332+2149-2151</f>
        <v>8330</v>
      </c>
      <c r="CW35" s="1711">
        <f>7550+707+2149-2151</f>
        <v>8255</v>
      </c>
      <c r="CX35" s="1711">
        <f>8277</f>
        <v>8277</v>
      </c>
      <c r="CY35" s="1710">
        <f>16857-7507-307</f>
        <v>9043</v>
      </c>
      <c r="CZ35" s="1711">
        <v>7939</v>
      </c>
      <c r="DA35" s="1711">
        <v>7974</v>
      </c>
      <c r="DB35" s="1711">
        <v>8309</v>
      </c>
      <c r="DC35" s="1711">
        <f>5764+2598+254</f>
        <v>8616</v>
      </c>
      <c r="DD35" s="1711">
        <f>7600-165+142</f>
        <v>7577</v>
      </c>
      <c r="DE35" s="1711">
        <f>9775-3550+1007</f>
        <v>7232</v>
      </c>
      <c r="DF35" s="1711">
        <f>8226-797</f>
        <v>7429</v>
      </c>
      <c r="DG35" s="3041">
        <f>5968-183+1772</f>
        <v>7557</v>
      </c>
      <c r="DH35" s="3041">
        <f>6908-126</f>
        <v>6782</v>
      </c>
      <c r="DI35" s="3041">
        <f>6039-607+1774-152</f>
        <v>7054</v>
      </c>
      <c r="DJ35" s="3041">
        <f>7632-454-166</f>
        <v>7012</v>
      </c>
      <c r="DK35" s="3041">
        <f>9531-1196-681-671-154+144</f>
        <v>6973</v>
      </c>
      <c r="DL35" s="3041">
        <f>6844-249-107</f>
        <v>6488</v>
      </c>
    </row>
    <row r="36" spans="1:116" s="1782" customFormat="1">
      <c r="A36" s="1629" t="s">
        <v>374</v>
      </c>
      <c r="B36" s="1658"/>
      <c r="C36" s="1658"/>
      <c r="D36" s="1658"/>
      <c r="E36" s="1659"/>
      <c r="F36" s="1658"/>
      <c r="G36" s="1658"/>
      <c r="H36" s="1658"/>
      <c r="I36" s="1658"/>
      <c r="J36" s="1658"/>
      <c r="K36" s="1696"/>
      <c r="L36" s="1658"/>
      <c r="M36" s="1658"/>
      <c r="N36" s="1658"/>
      <c r="O36" s="1658"/>
      <c r="P36" s="1658"/>
      <c r="Q36" s="1658"/>
      <c r="R36" s="1658"/>
      <c r="S36" s="1658"/>
      <c r="T36" s="1658"/>
      <c r="U36" s="1658"/>
      <c r="V36" s="1658"/>
      <c r="W36" s="1658"/>
      <c r="X36" s="1658"/>
      <c r="Y36" s="1658"/>
      <c r="Z36" s="1658"/>
      <c r="AA36" s="1658"/>
      <c r="AB36" s="1658"/>
      <c r="AC36" s="1658"/>
      <c r="AD36" s="1658"/>
      <c r="AE36" s="1658"/>
      <c r="AF36" s="1659"/>
      <c r="AG36" s="1658"/>
      <c r="AH36" s="1658"/>
      <c r="AI36" s="1658"/>
      <c r="AJ36" s="1659"/>
      <c r="AK36" s="1658"/>
      <c r="AL36" s="1658"/>
      <c r="AM36" s="1658"/>
      <c r="AN36" s="1659"/>
      <c r="AO36" s="1658"/>
      <c r="AP36" s="1658"/>
      <c r="AQ36" s="1658"/>
      <c r="AR36" s="1659"/>
      <c r="AS36" s="1658"/>
      <c r="AT36" s="1658"/>
      <c r="AU36" s="1658"/>
      <c r="AV36" s="1659"/>
      <c r="AW36" s="1658"/>
      <c r="AX36" s="1658"/>
      <c r="AY36" s="1658"/>
      <c r="AZ36" s="1659"/>
      <c r="BA36" s="1658"/>
      <c r="BB36" s="1658"/>
      <c r="BC36" s="1658"/>
      <c r="BD36" s="1659"/>
      <c r="BE36" s="1658"/>
      <c r="BF36" s="1658"/>
      <c r="BG36" s="1658"/>
      <c r="BH36" s="1659"/>
      <c r="BI36" s="1658"/>
      <c r="BJ36" s="1658"/>
      <c r="BK36" s="1658"/>
      <c r="BL36" s="1659"/>
      <c r="BM36" s="1658"/>
      <c r="BN36" s="1658"/>
      <c r="BO36" s="1658"/>
      <c r="BP36" s="1659"/>
      <c r="BQ36" s="1658"/>
      <c r="BR36" s="1658"/>
      <c r="BS36" s="1658"/>
      <c r="BT36" s="1659"/>
      <c r="BU36" s="1658"/>
      <c r="BV36" s="1658"/>
      <c r="BW36" s="1658"/>
      <c r="BX36" s="1659">
        <f t="shared" ref="BX36:CV36" si="66">BX34+BX35</f>
        <v>16998</v>
      </c>
      <c r="BY36" s="1658">
        <f t="shared" si="66"/>
        <v>17333</v>
      </c>
      <c r="BZ36" s="1658">
        <f t="shared" si="66"/>
        <v>18085</v>
      </c>
      <c r="CA36" s="1658">
        <f t="shared" si="66"/>
        <v>17815</v>
      </c>
      <c r="CB36" s="1659">
        <f t="shared" si="66"/>
        <v>17199</v>
      </c>
      <c r="CC36" s="1658">
        <f t="shared" si="66"/>
        <v>17344</v>
      </c>
      <c r="CD36" s="1658">
        <f t="shared" si="66"/>
        <v>17774</v>
      </c>
      <c r="CE36" s="1658">
        <f t="shared" si="66"/>
        <v>17805</v>
      </c>
      <c r="CF36" s="1659">
        <f t="shared" si="66"/>
        <v>17470</v>
      </c>
      <c r="CG36" s="1658">
        <f t="shared" si="66"/>
        <v>17352</v>
      </c>
      <c r="CH36" s="1658">
        <f t="shared" si="66"/>
        <v>17689</v>
      </c>
      <c r="CI36" s="1658">
        <f t="shared" si="66"/>
        <v>17539</v>
      </c>
      <c r="CJ36" s="1659">
        <f t="shared" si="66"/>
        <v>18513</v>
      </c>
      <c r="CK36" s="1658">
        <f t="shared" si="66"/>
        <v>18531</v>
      </c>
      <c r="CL36" s="1658">
        <f t="shared" si="66"/>
        <v>18758</v>
      </c>
      <c r="CM36" s="1696">
        <f t="shared" si="66"/>
        <v>19623</v>
      </c>
      <c r="CN36" s="1752">
        <f t="shared" si="66"/>
        <v>19019</v>
      </c>
      <c r="CO36" s="1752">
        <f t="shared" si="66"/>
        <v>18773</v>
      </c>
      <c r="CP36" s="1752">
        <f t="shared" si="66"/>
        <v>18973</v>
      </c>
      <c r="CQ36" s="1696">
        <f t="shared" si="66"/>
        <v>21407</v>
      </c>
      <c r="CR36" s="1752">
        <f t="shared" si="66"/>
        <v>18910</v>
      </c>
      <c r="CS36" s="1752">
        <f t="shared" si="66"/>
        <v>19196</v>
      </c>
      <c r="CT36" s="1752">
        <f t="shared" si="66"/>
        <v>19126</v>
      </c>
      <c r="CU36" s="1696">
        <f t="shared" si="66"/>
        <v>20698</v>
      </c>
      <c r="CV36" s="1752">
        <f t="shared" si="66"/>
        <v>19399</v>
      </c>
      <c r="CW36" s="1752">
        <f t="shared" ref="CW36:DB36" si="67">CW34+CW35</f>
        <v>20222</v>
      </c>
      <c r="CX36" s="1752">
        <f t="shared" si="67"/>
        <v>20529</v>
      </c>
      <c r="CY36" s="1696">
        <f t="shared" si="67"/>
        <v>23419</v>
      </c>
      <c r="CZ36" s="1752">
        <f t="shared" si="67"/>
        <v>20035</v>
      </c>
      <c r="DA36" s="1752">
        <f t="shared" si="67"/>
        <v>20423</v>
      </c>
      <c r="DB36" s="1752">
        <f t="shared" si="67"/>
        <v>21272</v>
      </c>
      <c r="DC36" s="1752">
        <f t="shared" ref="DC36:DH36" si="68">DC34+DC35</f>
        <v>23323</v>
      </c>
      <c r="DD36" s="1752">
        <f t="shared" si="68"/>
        <v>20189</v>
      </c>
      <c r="DE36" s="1752">
        <f t="shared" si="68"/>
        <v>19453</v>
      </c>
      <c r="DF36" s="1752">
        <f t="shared" si="68"/>
        <v>19658</v>
      </c>
      <c r="DG36" s="1752">
        <f t="shared" si="68"/>
        <v>21919</v>
      </c>
      <c r="DH36" s="1752">
        <f t="shared" si="68"/>
        <v>18448</v>
      </c>
      <c r="DI36" s="1752">
        <f t="shared" ref="DI36:DJ36" si="69">DI34+DI35</f>
        <v>19164</v>
      </c>
      <c r="DJ36" s="1752">
        <f t="shared" si="69"/>
        <v>19617</v>
      </c>
      <c r="DK36" s="1752">
        <f t="shared" ref="DK36:DL36" si="70">DK34+DK35</f>
        <v>22148</v>
      </c>
      <c r="DL36" s="1752">
        <f t="shared" si="70"/>
        <v>19743</v>
      </c>
    </row>
    <row r="37" spans="1:116" ht="12.75" customHeight="1">
      <c r="A37" s="1628" t="s">
        <v>1578</v>
      </c>
      <c r="B37" s="1658"/>
      <c r="C37" s="1658"/>
      <c r="D37" s="1658"/>
      <c r="E37" s="1659"/>
      <c r="F37" s="1658"/>
      <c r="G37" s="1658"/>
      <c r="H37" s="1658"/>
      <c r="I37" s="1658"/>
      <c r="J37" s="1658"/>
      <c r="K37" s="1696"/>
      <c r="L37" s="1658"/>
      <c r="M37" s="1658"/>
      <c r="N37" s="1658"/>
      <c r="O37" s="1658"/>
      <c r="P37" s="1658"/>
      <c r="Q37" s="1658"/>
      <c r="R37" s="1658"/>
      <c r="S37" s="1658"/>
      <c r="T37" s="1658"/>
      <c r="U37" s="1658"/>
      <c r="V37" s="1658"/>
      <c r="W37" s="1658"/>
      <c r="X37" s="1658"/>
      <c r="Y37" s="1658"/>
      <c r="Z37" s="1658"/>
      <c r="AA37" s="1658"/>
      <c r="AB37" s="1658"/>
      <c r="AC37" s="1658"/>
      <c r="AD37" s="1658"/>
      <c r="AE37" s="1658"/>
      <c r="AF37" s="1659"/>
      <c r="AG37" s="1658"/>
      <c r="AH37" s="1658"/>
      <c r="AI37" s="1658"/>
      <c r="AJ37" s="1659"/>
      <c r="AK37" s="1658"/>
      <c r="AL37" s="1658"/>
      <c r="AM37" s="1658"/>
      <c r="AN37" s="1659"/>
      <c r="AO37" s="1658"/>
      <c r="AP37" s="1658"/>
      <c r="AQ37" s="1658"/>
      <c r="AR37" s="1659"/>
      <c r="AS37" s="1658"/>
      <c r="AT37" s="1658"/>
      <c r="AU37" s="1658"/>
      <c r="AV37" s="1659"/>
      <c r="AW37" s="1658"/>
      <c r="AX37" s="1658"/>
      <c r="AY37" s="1658"/>
      <c r="AZ37" s="1659"/>
      <c r="BA37" s="1658"/>
      <c r="BB37" s="1658"/>
      <c r="BC37" s="1658"/>
      <c r="BD37" s="1659"/>
      <c r="BE37" s="1658"/>
      <c r="BF37" s="1658"/>
      <c r="BG37" s="1658"/>
      <c r="BH37" s="1659"/>
      <c r="BI37" s="1658"/>
      <c r="BJ37" s="1658"/>
      <c r="BK37" s="1658"/>
      <c r="BL37" s="1659"/>
      <c r="BM37" s="1658"/>
      <c r="BN37" s="1658"/>
      <c r="BO37" s="1658"/>
      <c r="BP37" s="1641"/>
      <c r="BQ37" s="1642"/>
      <c r="BR37" s="1642"/>
      <c r="BS37" s="1642"/>
      <c r="BT37" s="1641"/>
      <c r="BU37" s="1642"/>
      <c r="BV37" s="1642"/>
      <c r="BW37" s="1642"/>
      <c r="BX37" s="1635">
        <v>3811</v>
      </c>
      <c r="BY37" s="1701">
        <v>3872</v>
      </c>
      <c r="BZ37" s="1701">
        <v>3941</v>
      </c>
      <c r="CA37" s="1701">
        <v>4036</v>
      </c>
      <c r="CB37" s="1635">
        <v>3766</v>
      </c>
      <c r="CC37" s="1701">
        <v>3780</v>
      </c>
      <c r="CD37" s="1701">
        <v>3849</v>
      </c>
      <c r="CE37" s="1701">
        <v>3938</v>
      </c>
      <c r="CF37" s="1635">
        <v>3889</v>
      </c>
      <c r="CG37" s="1701">
        <v>3944</v>
      </c>
      <c r="CH37" s="1701">
        <f>4023-25</f>
        <v>3998</v>
      </c>
      <c r="CI37" s="1701">
        <f>4083-24</f>
        <v>4059</v>
      </c>
      <c r="CJ37" s="1635">
        <v>4024</v>
      </c>
      <c r="CK37" s="1701">
        <v>4113</v>
      </c>
      <c r="CL37" s="1701">
        <v>4179</v>
      </c>
      <c r="CM37" s="1710">
        <v>4180</v>
      </c>
      <c r="CN37" s="1711">
        <v>4028</v>
      </c>
      <c r="CO37" s="1711">
        <v>4128</v>
      </c>
      <c r="CP37" s="1711">
        <v>4167</v>
      </c>
      <c r="CQ37" s="1710">
        <v>4137</v>
      </c>
      <c r="CR37" s="1711">
        <v>4118</v>
      </c>
      <c r="CS37" s="1711">
        <v>4151</v>
      </c>
      <c r="CT37" s="1711">
        <v>4154</v>
      </c>
      <c r="CU37" s="1710">
        <v>4183</v>
      </c>
      <c r="CV37" s="1711">
        <v>4137</v>
      </c>
      <c r="CW37" s="1711">
        <v>4161</v>
      </c>
      <c r="CX37" s="1711">
        <v>4167</v>
      </c>
      <c r="CY37" s="1710">
        <v>4068</v>
      </c>
      <c r="CZ37" s="1711">
        <v>3989</v>
      </c>
      <c r="DA37" s="1711">
        <v>3980</v>
      </c>
      <c r="DB37" s="1711">
        <v>4009</v>
      </c>
      <c r="DC37" s="1711">
        <v>4039</v>
      </c>
      <c r="DD37" s="1711">
        <v>4017</v>
      </c>
      <c r="DE37" s="1711">
        <v>3982</v>
      </c>
      <c r="DF37" s="1711">
        <v>3942</v>
      </c>
      <c r="DG37" s="1711">
        <v>3987</v>
      </c>
      <c r="DH37" s="1711">
        <v>4059</v>
      </c>
      <c r="DI37" s="1711">
        <v>4167</v>
      </c>
      <c r="DJ37" s="1711">
        <v>4272</v>
      </c>
      <c r="DK37" s="1711">
        <v>4456</v>
      </c>
      <c r="DL37" s="1711">
        <v>4324</v>
      </c>
    </row>
    <row r="38" spans="1:116" ht="12.75" customHeight="1">
      <c r="A38" s="954" t="s">
        <v>968</v>
      </c>
      <c r="B38" s="1658"/>
      <c r="C38" s="1658"/>
      <c r="D38" s="1658"/>
      <c r="E38" s="1659"/>
      <c r="F38" s="1658"/>
      <c r="G38" s="1658"/>
      <c r="H38" s="1658"/>
      <c r="I38" s="1658"/>
      <c r="J38" s="1658"/>
      <c r="K38" s="1696"/>
      <c r="L38" s="1658"/>
      <c r="M38" s="1658"/>
      <c r="N38" s="1658"/>
      <c r="O38" s="1658"/>
      <c r="P38" s="1658"/>
      <c r="Q38" s="1658"/>
      <c r="R38" s="1658"/>
      <c r="S38" s="1658"/>
      <c r="T38" s="1658"/>
      <c r="U38" s="1658"/>
      <c r="V38" s="1658"/>
      <c r="W38" s="1658"/>
      <c r="X38" s="1658"/>
      <c r="Y38" s="1658"/>
      <c r="Z38" s="1658"/>
      <c r="AA38" s="1658"/>
      <c r="AB38" s="1658"/>
      <c r="AC38" s="1658"/>
      <c r="AD38" s="1658"/>
      <c r="AE38" s="1658"/>
      <c r="AF38" s="1659"/>
      <c r="AG38" s="1658"/>
      <c r="AH38" s="1658"/>
      <c r="AI38" s="1658"/>
      <c r="AJ38" s="1659"/>
      <c r="AK38" s="1658"/>
      <c r="AL38" s="1658"/>
      <c r="AM38" s="1658"/>
      <c r="AN38" s="1659"/>
      <c r="AO38" s="1658"/>
      <c r="AP38" s="1658"/>
      <c r="AQ38" s="1658"/>
      <c r="AR38" s="1659"/>
      <c r="AS38" s="1658"/>
      <c r="AT38" s="1658"/>
      <c r="AU38" s="1658"/>
      <c r="AV38" s="1659"/>
      <c r="AW38" s="1658"/>
      <c r="AX38" s="1658"/>
      <c r="AY38" s="1658"/>
      <c r="AZ38" s="1659"/>
      <c r="BA38" s="1658"/>
      <c r="BB38" s="1658"/>
      <c r="BC38" s="1658"/>
      <c r="BD38" s="1659"/>
      <c r="BE38" s="1658"/>
      <c r="BF38" s="1658"/>
      <c r="BG38" s="1658"/>
      <c r="BH38" s="1659"/>
      <c r="BI38" s="1658"/>
      <c r="BJ38" s="1658"/>
      <c r="BK38" s="1658"/>
      <c r="BL38" s="1659"/>
      <c r="BM38" s="1658"/>
      <c r="BN38" s="1658"/>
      <c r="BO38" s="1658"/>
      <c r="BP38" s="1641"/>
      <c r="BQ38" s="1642"/>
      <c r="BR38" s="1642"/>
      <c r="BS38" s="1642"/>
      <c r="BT38" s="1641"/>
      <c r="BU38" s="1642"/>
      <c r="BV38" s="1642"/>
      <c r="BW38" s="1642"/>
      <c r="BX38" s="1694">
        <f t="shared" ref="BX38:CV38" si="71">SUM(BX36:BX37)+BX23</f>
        <v>20809</v>
      </c>
      <c r="BY38" s="1693">
        <f t="shared" si="71"/>
        <v>21205</v>
      </c>
      <c r="BZ38" s="1693">
        <f t="shared" si="71"/>
        <v>22026</v>
      </c>
      <c r="CA38" s="1693">
        <f t="shared" si="71"/>
        <v>21851</v>
      </c>
      <c r="CB38" s="1694">
        <f t="shared" si="71"/>
        <v>20965</v>
      </c>
      <c r="CC38" s="1693">
        <f t="shared" si="71"/>
        <v>21124</v>
      </c>
      <c r="CD38" s="1693">
        <f t="shared" si="71"/>
        <v>21623</v>
      </c>
      <c r="CE38" s="1693">
        <f t="shared" si="71"/>
        <v>21743</v>
      </c>
      <c r="CF38" s="1694">
        <f t="shared" si="71"/>
        <v>21359</v>
      </c>
      <c r="CG38" s="1693">
        <f t="shared" si="71"/>
        <v>21296</v>
      </c>
      <c r="CH38" s="1693">
        <f t="shared" si="71"/>
        <v>21687</v>
      </c>
      <c r="CI38" s="1693">
        <f t="shared" si="71"/>
        <v>21598</v>
      </c>
      <c r="CJ38" s="1694">
        <f t="shared" si="71"/>
        <v>22537</v>
      </c>
      <c r="CK38" s="1693">
        <f t="shared" si="71"/>
        <v>22644</v>
      </c>
      <c r="CL38" s="1693">
        <f t="shared" si="71"/>
        <v>22937</v>
      </c>
      <c r="CM38" s="1695">
        <f t="shared" si="71"/>
        <v>23803</v>
      </c>
      <c r="CN38" s="1267">
        <f t="shared" si="71"/>
        <v>23047</v>
      </c>
      <c r="CO38" s="1267">
        <f t="shared" si="71"/>
        <v>22901</v>
      </c>
      <c r="CP38" s="1267">
        <f t="shared" si="71"/>
        <v>23140</v>
      </c>
      <c r="CQ38" s="1695">
        <f t="shared" si="71"/>
        <v>25544</v>
      </c>
      <c r="CR38" s="1267">
        <f t="shared" si="71"/>
        <v>23028</v>
      </c>
      <c r="CS38" s="1267">
        <f t="shared" si="71"/>
        <v>23347</v>
      </c>
      <c r="CT38" s="1267">
        <f t="shared" si="71"/>
        <v>23280</v>
      </c>
      <c r="CU38" s="1695">
        <f t="shared" si="71"/>
        <v>24881</v>
      </c>
      <c r="CV38" s="1267">
        <f t="shared" si="71"/>
        <v>23536</v>
      </c>
      <c r="CW38" s="1267">
        <f t="shared" ref="CW38:DB38" si="72">SUM(CW36:CW37)+CW23</f>
        <v>24383</v>
      </c>
      <c r="CX38" s="1267">
        <f t="shared" si="72"/>
        <v>24696</v>
      </c>
      <c r="CY38" s="1695">
        <f t="shared" si="72"/>
        <v>27487</v>
      </c>
      <c r="CZ38" s="1267">
        <f t="shared" si="72"/>
        <v>24024</v>
      </c>
      <c r="DA38" s="1267">
        <f t="shared" si="72"/>
        <v>24403</v>
      </c>
      <c r="DB38" s="1267">
        <f t="shared" si="72"/>
        <v>25281</v>
      </c>
      <c r="DC38" s="1267">
        <f t="shared" ref="DC38:DH38" si="73">SUM(DC36:DC37)+DC23</f>
        <v>27362</v>
      </c>
      <c r="DD38" s="1267">
        <f t="shared" si="73"/>
        <v>24206</v>
      </c>
      <c r="DE38" s="1267">
        <f t="shared" si="73"/>
        <v>23435</v>
      </c>
      <c r="DF38" s="1267">
        <f t="shared" si="73"/>
        <v>23600</v>
      </c>
      <c r="DG38" s="1267">
        <f t="shared" si="73"/>
        <v>25906</v>
      </c>
      <c r="DH38" s="1267">
        <f t="shared" si="73"/>
        <v>22507</v>
      </c>
      <c r="DI38" s="1267">
        <f t="shared" ref="DI38:DJ38" si="74">SUM(DI36:DI37)+DI23</f>
        <v>23331</v>
      </c>
      <c r="DJ38" s="1267">
        <f t="shared" si="74"/>
        <v>23889</v>
      </c>
      <c r="DK38" s="1267">
        <f t="shared" ref="DK38:DL38" si="75">SUM(DK36:DK37)+DK23</f>
        <v>26604</v>
      </c>
      <c r="DL38" s="1267">
        <f t="shared" si="75"/>
        <v>24067</v>
      </c>
    </row>
    <row r="39" spans="1:116" ht="12.75" customHeight="1">
      <c r="A39" s="1629" t="s">
        <v>1237</v>
      </c>
      <c r="B39" s="1658"/>
      <c r="C39" s="1658"/>
      <c r="D39" s="1658"/>
      <c r="E39" s="1659"/>
      <c r="F39" s="1658"/>
      <c r="G39" s="1658"/>
      <c r="H39" s="1658"/>
      <c r="I39" s="1658"/>
      <c r="J39" s="1658"/>
      <c r="K39" s="1696"/>
      <c r="L39" s="1658"/>
      <c r="M39" s="1658"/>
      <c r="N39" s="1658"/>
      <c r="O39" s="1658"/>
      <c r="P39" s="1658"/>
      <c r="Q39" s="1658"/>
      <c r="R39" s="1658"/>
      <c r="S39" s="1658"/>
      <c r="T39" s="1658"/>
      <c r="U39" s="1658"/>
      <c r="V39" s="1658"/>
      <c r="W39" s="1658"/>
      <c r="X39" s="1658"/>
      <c r="Y39" s="1658"/>
      <c r="Z39" s="1658"/>
      <c r="AA39" s="1658"/>
      <c r="AB39" s="1658"/>
      <c r="AC39" s="1658"/>
      <c r="AD39" s="1658"/>
      <c r="AE39" s="1658"/>
      <c r="AF39" s="1659"/>
      <c r="AG39" s="1658"/>
      <c r="AH39" s="1658"/>
      <c r="AI39" s="1658"/>
      <c r="AJ39" s="1659"/>
      <c r="AK39" s="1658"/>
      <c r="AL39" s="1658"/>
      <c r="AM39" s="1658"/>
      <c r="AN39" s="1659"/>
      <c r="AO39" s="1658"/>
      <c r="AP39" s="1658"/>
      <c r="AQ39" s="1658"/>
      <c r="AR39" s="1659"/>
      <c r="AS39" s="1658"/>
      <c r="AT39" s="1658"/>
      <c r="AU39" s="1658"/>
      <c r="AV39" s="1659"/>
      <c r="AW39" s="1658"/>
      <c r="AX39" s="1658"/>
      <c r="AY39" s="1658"/>
      <c r="AZ39" s="1659"/>
      <c r="BA39" s="1658"/>
      <c r="BB39" s="1658"/>
      <c r="BC39" s="1658"/>
      <c r="BD39" s="1659"/>
      <c r="BE39" s="1658"/>
      <c r="BF39" s="1658"/>
      <c r="BG39" s="1658"/>
      <c r="BH39" s="1659"/>
      <c r="BI39" s="1658"/>
      <c r="BJ39" s="1658"/>
      <c r="BK39" s="1658"/>
      <c r="BL39" s="1659"/>
      <c r="BM39" s="1658"/>
      <c r="BN39" s="1658"/>
      <c r="BO39" s="1658"/>
      <c r="BP39" s="1641"/>
      <c r="BQ39" s="1642"/>
      <c r="BR39" s="1642"/>
      <c r="BS39" s="1642"/>
      <c r="BT39" s="1641"/>
      <c r="BU39" s="1642"/>
      <c r="BV39" s="1642"/>
      <c r="BW39" s="1642"/>
      <c r="BX39" s="1641"/>
      <c r="BY39" s="1642"/>
      <c r="BZ39" s="1642"/>
      <c r="CA39" s="1642"/>
      <c r="CB39" s="1641"/>
      <c r="CC39" s="1642"/>
      <c r="CD39" s="1642"/>
      <c r="CE39" s="1642"/>
      <c r="CF39" s="1641"/>
      <c r="CG39" s="1642"/>
      <c r="CH39" s="1642"/>
      <c r="CI39" s="1642"/>
      <c r="CJ39" s="1641"/>
      <c r="CK39" s="1642"/>
      <c r="CL39" s="1642"/>
      <c r="CM39" s="1681"/>
      <c r="CN39" s="1672"/>
      <c r="CO39" s="1672"/>
      <c r="CP39" s="1672"/>
      <c r="CQ39" s="1681"/>
      <c r="CR39" s="1672"/>
      <c r="CS39" s="1672"/>
      <c r="CT39" s="1672"/>
      <c r="CU39" s="1681"/>
      <c r="CV39" s="1672"/>
      <c r="CW39" s="1672"/>
      <c r="CX39" s="1672"/>
      <c r="CY39" s="1681"/>
      <c r="CZ39" s="1672"/>
      <c r="DA39" s="1672"/>
      <c r="DB39" s="1672"/>
      <c r="DC39" s="1672"/>
      <c r="DD39" s="1672"/>
      <c r="DE39" s="1672"/>
      <c r="DF39" s="1672"/>
      <c r="DG39" s="1672"/>
      <c r="DH39" s="1672"/>
      <c r="DI39" s="1672"/>
      <c r="DJ39" s="1672"/>
      <c r="DK39" s="1672"/>
      <c r="DL39" s="1672"/>
    </row>
    <row r="40" spans="1:116" ht="12.75" customHeight="1">
      <c r="A40" s="1539"/>
      <c r="B40" s="1642"/>
      <c r="C40" s="1642"/>
      <c r="D40" s="1642"/>
      <c r="E40" s="1641"/>
      <c r="F40" s="1642"/>
      <c r="G40" s="1642"/>
      <c r="H40" s="1642"/>
      <c r="I40" s="1642"/>
      <c r="J40" s="1642"/>
      <c r="K40" s="1681"/>
      <c r="L40" s="1642"/>
      <c r="M40" s="1642"/>
      <c r="N40" s="1642"/>
      <c r="O40" s="1642"/>
      <c r="P40" s="1642"/>
      <c r="Q40" s="1642"/>
      <c r="R40" s="1642"/>
      <c r="S40" s="1642"/>
      <c r="T40" s="1642"/>
      <c r="U40" s="1642"/>
      <c r="V40" s="1642"/>
      <c r="W40" s="1642"/>
      <c r="X40" s="1642"/>
      <c r="Y40" s="1642"/>
      <c r="Z40" s="1642"/>
      <c r="AA40" s="1642"/>
      <c r="AB40" s="1642"/>
      <c r="AC40" s="1642"/>
      <c r="AD40" s="1642"/>
      <c r="AE40" s="1642"/>
      <c r="AF40" s="1641"/>
      <c r="AG40" s="1642"/>
      <c r="AH40" s="1642"/>
      <c r="AI40" s="1642"/>
      <c r="AJ40" s="1641"/>
      <c r="AK40" s="1642"/>
      <c r="AL40" s="1642"/>
      <c r="AM40" s="1642"/>
      <c r="AN40" s="1641"/>
      <c r="AO40" s="1642"/>
      <c r="AP40" s="1642"/>
      <c r="AQ40" s="1642"/>
      <c r="AR40" s="1641"/>
      <c r="AS40" s="1642"/>
      <c r="AT40" s="1642"/>
      <c r="AU40" s="1642"/>
      <c r="AV40" s="1641"/>
      <c r="AW40" s="1642"/>
      <c r="AX40" s="1642"/>
      <c r="AY40" s="1642"/>
      <c r="AZ40" s="1641"/>
      <c r="BA40" s="1642"/>
      <c r="BB40" s="1642"/>
      <c r="BC40" s="1642"/>
      <c r="BD40" s="1641"/>
      <c r="BE40" s="1642"/>
      <c r="BF40" s="1642"/>
      <c r="BG40" s="1642"/>
      <c r="BH40" s="1641"/>
      <c r="BI40" s="1642"/>
      <c r="BJ40" s="1642"/>
      <c r="BK40" s="1642"/>
      <c r="BL40" s="1641"/>
      <c r="BM40" s="1642"/>
      <c r="BN40" s="1642"/>
      <c r="BO40" s="1642"/>
      <c r="BP40" s="1641"/>
      <c r="BQ40" s="1642"/>
      <c r="BR40" s="1642"/>
      <c r="BS40" s="1642"/>
      <c r="BT40" s="1641"/>
      <c r="BU40" s="1642"/>
      <c r="BV40" s="1642"/>
      <c r="BW40" s="1642"/>
      <c r="BX40" s="1641"/>
      <c r="BY40" s="1642"/>
      <c r="BZ40" s="1642"/>
      <c r="CA40" s="1642"/>
      <c r="CB40" s="1641"/>
      <c r="CC40" s="1642"/>
      <c r="CD40" s="1642"/>
      <c r="CE40" s="1642"/>
      <c r="CF40" s="1641"/>
      <c r="CG40" s="1642"/>
      <c r="CH40" s="1642"/>
      <c r="CI40" s="1642"/>
      <c r="CJ40" s="1641"/>
      <c r="CK40" s="1642"/>
      <c r="CL40" s="1642"/>
      <c r="CM40" s="1681"/>
      <c r="CN40" s="1672"/>
      <c r="CO40" s="1672"/>
      <c r="CP40" s="1672"/>
      <c r="CQ40" s="1681"/>
      <c r="CR40" s="1672"/>
      <c r="CS40" s="1672"/>
      <c r="CT40" s="1672"/>
      <c r="CU40" s="1681"/>
      <c r="CV40" s="1672"/>
      <c r="CW40" s="1672"/>
      <c r="CX40" s="1672"/>
      <c r="CY40" s="1681"/>
      <c r="CZ40" s="1672"/>
      <c r="DA40" s="1672"/>
      <c r="DB40" s="1672"/>
      <c r="DC40" s="1672"/>
      <c r="DD40" s="1672"/>
      <c r="DE40" s="1672"/>
      <c r="DF40" s="1672"/>
      <c r="DG40" s="1672"/>
      <c r="DH40" s="1672"/>
      <c r="DI40" s="1672"/>
      <c r="DJ40" s="1672"/>
      <c r="DK40" s="1672"/>
      <c r="DL40" s="1672"/>
    </row>
    <row r="41" spans="1:116" ht="12.75" customHeight="1">
      <c r="A41" s="954" t="s">
        <v>1460</v>
      </c>
      <c r="B41" s="1693"/>
      <c r="C41" s="1693"/>
      <c r="D41" s="1693"/>
      <c r="E41" s="1694">
        <f t="shared" ref="E41:K41" si="76">E12-E30</f>
        <v>12194</v>
      </c>
      <c r="F41" s="1693">
        <f t="shared" si="76"/>
        <v>13527</v>
      </c>
      <c r="G41" s="1693">
        <f t="shared" si="76"/>
        <v>13949</v>
      </c>
      <c r="H41" s="1693">
        <f t="shared" si="76"/>
        <v>14315</v>
      </c>
      <c r="I41" s="1693">
        <f t="shared" si="76"/>
        <v>15155</v>
      </c>
      <c r="J41" s="1693">
        <f t="shared" si="76"/>
        <v>15834</v>
      </c>
      <c r="K41" s="1695">
        <f t="shared" si="76"/>
        <v>13590</v>
      </c>
      <c r="L41" s="1693"/>
      <c r="M41" s="1693"/>
      <c r="N41" s="1693"/>
      <c r="O41" s="1693"/>
      <c r="P41" s="1693"/>
      <c r="Q41" s="1693"/>
      <c r="R41" s="1693"/>
      <c r="S41" s="1693"/>
      <c r="T41" s="1693"/>
      <c r="U41" s="1693"/>
      <c r="V41" s="1693"/>
      <c r="W41" s="1693"/>
      <c r="X41" s="1693"/>
      <c r="Y41" s="1693"/>
      <c r="Z41" s="1693"/>
      <c r="AA41" s="1693"/>
      <c r="AB41" s="1693"/>
      <c r="AC41" s="1693"/>
      <c r="AD41" s="1693"/>
      <c r="AE41" s="1693"/>
      <c r="AF41" s="1694">
        <f t="shared" ref="AF41:CA41" si="77">AF12-AF30</f>
        <v>3013</v>
      </c>
      <c r="AG41" s="1693">
        <f t="shared" si="77"/>
        <v>3158</v>
      </c>
      <c r="AH41" s="1693">
        <f t="shared" si="77"/>
        <v>3156</v>
      </c>
      <c r="AI41" s="1693">
        <f t="shared" si="77"/>
        <v>2867</v>
      </c>
      <c r="AJ41" s="1694">
        <f t="shared" si="77"/>
        <v>3241</v>
      </c>
      <c r="AK41" s="1693">
        <f t="shared" si="77"/>
        <v>3338</v>
      </c>
      <c r="AL41" s="1693">
        <f t="shared" si="77"/>
        <v>3500</v>
      </c>
      <c r="AM41" s="1693">
        <f t="shared" si="77"/>
        <v>3448</v>
      </c>
      <c r="AN41" s="1694">
        <f t="shared" si="77"/>
        <v>3318</v>
      </c>
      <c r="AO41" s="1693">
        <f t="shared" si="77"/>
        <v>3364</v>
      </c>
      <c r="AP41" s="1693">
        <f t="shared" si="77"/>
        <v>3597</v>
      </c>
      <c r="AQ41" s="1693">
        <f t="shared" si="77"/>
        <v>3670</v>
      </c>
      <c r="AR41" s="1694">
        <f t="shared" si="77"/>
        <v>3215</v>
      </c>
      <c r="AS41" s="1693">
        <f t="shared" si="77"/>
        <v>3669</v>
      </c>
      <c r="AT41" s="1693">
        <f t="shared" si="77"/>
        <v>3746</v>
      </c>
      <c r="AU41" s="1693">
        <f t="shared" si="77"/>
        <v>3685</v>
      </c>
      <c r="AV41" s="1694">
        <f t="shared" si="77"/>
        <v>3735</v>
      </c>
      <c r="AW41" s="1693">
        <f t="shared" si="77"/>
        <v>4055</v>
      </c>
      <c r="AX41" s="1693">
        <f t="shared" si="77"/>
        <v>3839</v>
      </c>
      <c r="AY41" s="1693">
        <f t="shared" si="77"/>
        <v>3526</v>
      </c>
      <c r="AZ41" s="1694">
        <f t="shared" si="77"/>
        <v>3684</v>
      </c>
      <c r="BA41" s="1693">
        <f t="shared" si="77"/>
        <v>3884</v>
      </c>
      <c r="BB41" s="1693">
        <f t="shared" si="77"/>
        <v>4044</v>
      </c>
      <c r="BC41" s="1693">
        <f t="shared" si="77"/>
        <v>4222</v>
      </c>
      <c r="BD41" s="1694">
        <f t="shared" si="77"/>
        <v>3637</v>
      </c>
      <c r="BE41" s="1693">
        <f t="shared" si="77"/>
        <v>3571</v>
      </c>
      <c r="BF41" s="1693">
        <f t="shared" si="77"/>
        <v>3291</v>
      </c>
      <c r="BG41" s="1693">
        <f t="shared" si="77"/>
        <v>3091</v>
      </c>
      <c r="BH41" s="1694">
        <f t="shared" si="77"/>
        <v>3163</v>
      </c>
      <c r="BI41" s="1693">
        <f t="shared" si="77"/>
        <v>3577</v>
      </c>
      <c r="BJ41" s="1693">
        <f t="shared" si="77"/>
        <v>3576</v>
      </c>
      <c r="BK41" s="1693">
        <f t="shared" si="77"/>
        <v>3423</v>
      </c>
      <c r="BL41" s="1694">
        <f t="shared" si="77"/>
        <v>3219</v>
      </c>
      <c r="BM41" s="1693">
        <f t="shared" si="77"/>
        <v>3436</v>
      </c>
      <c r="BN41" s="1693">
        <f t="shared" si="77"/>
        <v>3558</v>
      </c>
      <c r="BO41" s="1693">
        <f t="shared" si="77"/>
        <v>3770</v>
      </c>
      <c r="BP41" s="1694">
        <f t="shared" si="77"/>
        <v>3463.9316888045505</v>
      </c>
      <c r="BQ41" s="1693">
        <f t="shared" si="77"/>
        <v>3593</v>
      </c>
      <c r="BR41" s="1693">
        <f t="shared" si="77"/>
        <v>3586</v>
      </c>
      <c r="BS41" s="1693">
        <f t="shared" si="77"/>
        <v>3631</v>
      </c>
      <c r="BT41" s="1694">
        <f t="shared" si="77"/>
        <v>3858</v>
      </c>
      <c r="BU41" s="1693">
        <f t="shared" si="77"/>
        <v>4130</v>
      </c>
      <c r="BV41" s="1693">
        <f t="shared" si="77"/>
        <v>4263</v>
      </c>
      <c r="BW41" s="1693">
        <f t="shared" si="77"/>
        <v>4294</v>
      </c>
      <c r="BX41" s="1694">
        <f t="shared" si="77"/>
        <v>4421</v>
      </c>
      <c r="BY41" s="1693">
        <f t="shared" si="77"/>
        <v>4582</v>
      </c>
      <c r="BZ41" s="1693">
        <f t="shared" si="77"/>
        <v>4488</v>
      </c>
      <c r="CA41" s="1693">
        <f t="shared" si="77"/>
        <v>4576</v>
      </c>
      <c r="CB41" s="1694">
        <f t="shared" ref="CB41:CU41" si="78">CB21-CB38</f>
        <v>4298</v>
      </c>
      <c r="CC41" s="1693">
        <f t="shared" si="78"/>
        <v>4387</v>
      </c>
      <c r="CD41" s="1693">
        <f t="shared" si="78"/>
        <v>4311</v>
      </c>
      <c r="CE41" s="1693">
        <f t="shared" si="78"/>
        <v>4060</v>
      </c>
      <c r="CF41" s="1694">
        <f t="shared" si="78"/>
        <v>4276</v>
      </c>
      <c r="CG41" s="1693">
        <f t="shared" si="78"/>
        <v>4616</v>
      </c>
      <c r="CH41" s="1693">
        <f t="shared" si="78"/>
        <v>4797</v>
      </c>
      <c r="CI41" s="1693">
        <f t="shared" si="78"/>
        <v>4797</v>
      </c>
      <c r="CJ41" s="1694">
        <f t="shared" si="78"/>
        <v>4453</v>
      </c>
      <c r="CK41" s="1693">
        <f t="shared" si="78"/>
        <v>4892</v>
      </c>
      <c r="CL41" s="1693">
        <f t="shared" si="78"/>
        <v>4976</v>
      </c>
      <c r="CM41" s="1695">
        <f t="shared" si="78"/>
        <v>4633</v>
      </c>
      <c r="CN41" s="1267">
        <f t="shared" si="78"/>
        <v>5195</v>
      </c>
      <c r="CO41" s="1267">
        <f t="shared" si="78"/>
        <v>5651</v>
      </c>
      <c r="CP41" s="1267">
        <f t="shared" si="78"/>
        <v>5867</v>
      </c>
      <c r="CQ41" s="1695">
        <f t="shared" si="78"/>
        <v>4271</v>
      </c>
      <c r="CR41" s="1267">
        <f t="shared" si="78"/>
        <v>6212</v>
      </c>
      <c r="CS41" s="1267">
        <f t="shared" si="78"/>
        <v>6310</v>
      </c>
      <c r="CT41" s="1267">
        <f t="shared" si="78"/>
        <v>6842</v>
      </c>
      <c r="CU41" s="1695">
        <f t="shared" si="78"/>
        <v>6051</v>
      </c>
      <c r="CV41" s="1267">
        <f t="shared" ref="CV41:DA41" si="79">CV21-CV38</f>
        <v>7154</v>
      </c>
      <c r="CW41" s="1267">
        <f t="shared" si="79"/>
        <v>6972</v>
      </c>
      <c r="CX41" s="1267">
        <f t="shared" si="79"/>
        <v>6890</v>
      </c>
      <c r="CY41" s="1695">
        <f t="shared" si="79"/>
        <v>5705</v>
      </c>
      <c r="CZ41" s="1267">
        <f t="shared" si="79"/>
        <v>7960</v>
      </c>
      <c r="DA41" s="1267">
        <f t="shared" si="79"/>
        <v>7821</v>
      </c>
      <c r="DB41" s="1267">
        <f t="shared" ref="DB41:DG41" si="80">DB21-DB38</f>
        <v>7877</v>
      </c>
      <c r="DC41" s="1267">
        <f t="shared" si="80"/>
        <v>6892</v>
      </c>
      <c r="DD41" s="1267">
        <f t="shared" si="80"/>
        <v>7965</v>
      </c>
      <c r="DE41" s="1267">
        <f t="shared" si="80"/>
        <v>7097</v>
      </c>
      <c r="DF41" s="1267">
        <f t="shared" si="80"/>
        <v>7337</v>
      </c>
      <c r="DG41" s="1267">
        <f t="shared" si="80"/>
        <v>6434</v>
      </c>
      <c r="DH41" s="1267">
        <f t="shared" ref="DH41:DI41" si="81">DH21-DH38</f>
        <v>7307</v>
      </c>
      <c r="DI41" s="1267">
        <f t="shared" si="81"/>
        <v>7217</v>
      </c>
      <c r="DJ41" s="1267">
        <f t="shared" ref="DJ41:DK41" si="82">DJ21-DJ38</f>
        <v>7828</v>
      </c>
      <c r="DK41" s="1267">
        <f t="shared" si="82"/>
        <v>7351</v>
      </c>
      <c r="DL41" s="1267">
        <f t="shared" ref="DL41" si="83">DL21-DL38</f>
        <v>7705</v>
      </c>
    </row>
    <row r="42" spans="1:116">
      <c r="A42" s="1539" t="s">
        <v>615</v>
      </c>
      <c r="B42" s="1642"/>
      <c r="C42" s="1642"/>
      <c r="D42" s="1642"/>
      <c r="E42" s="1641"/>
      <c r="F42" s="1642"/>
      <c r="G42" s="1642"/>
      <c r="H42" s="1642"/>
      <c r="I42" s="1642"/>
      <c r="J42" s="1642"/>
      <c r="K42" s="1681"/>
      <c r="L42" s="1642"/>
      <c r="M42" s="1642"/>
      <c r="N42" s="1642"/>
      <c r="O42" s="1642"/>
      <c r="P42" s="1642"/>
      <c r="Q42" s="1642"/>
      <c r="R42" s="1642"/>
      <c r="S42" s="1642"/>
      <c r="T42" s="1642"/>
      <c r="U42" s="1642"/>
      <c r="V42" s="1642"/>
      <c r="W42" s="1642"/>
      <c r="X42" s="1642"/>
      <c r="Y42" s="1642"/>
      <c r="Z42" s="1642"/>
      <c r="AA42" s="1642"/>
      <c r="AB42" s="1642"/>
      <c r="AC42" s="1642"/>
      <c r="AD42" s="1642"/>
      <c r="AE42" s="1642"/>
      <c r="AF42" s="1641"/>
      <c r="AG42" s="1642"/>
      <c r="AH42" s="1642"/>
      <c r="AI42" s="1642"/>
      <c r="AJ42" s="1641"/>
      <c r="AK42" s="1642"/>
      <c r="AL42" s="1642"/>
      <c r="AM42" s="1642"/>
      <c r="AN42" s="1641"/>
      <c r="AO42" s="1642"/>
      <c r="AP42" s="1642"/>
      <c r="AQ42" s="1642"/>
      <c r="AR42" s="1641"/>
      <c r="AS42" s="1642"/>
      <c r="AT42" s="1642"/>
      <c r="AU42" s="1642"/>
      <c r="AV42" s="1641"/>
      <c r="AW42" s="1642"/>
      <c r="AX42" s="1642"/>
      <c r="AY42" s="1642"/>
      <c r="AZ42" s="1641">
        <v>162</v>
      </c>
      <c r="BA42" s="1642">
        <v>165</v>
      </c>
      <c r="BB42" s="1642">
        <v>55</v>
      </c>
      <c r="BC42" s="1642"/>
      <c r="BD42" s="1641">
        <v>46</v>
      </c>
      <c r="BE42" s="1642">
        <v>26</v>
      </c>
      <c r="BF42" s="1642">
        <v>31</v>
      </c>
      <c r="BG42" s="1642">
        <v>33</v>
      </c>
      <c r="BH42" s="1641">
        <v>31</v>
      </c>
      <c r="BI42" s="1642">
        <v>64</v>
      </c>
      <c r="BJ42" s="1642">
        <v>54</v>
      </c>
      <c r="BK42" s="1642">
        <v>53</v>
      </c>
      <c r="BL42" s="1641">
        <v>58</v>
      </c>
      <c r="BM42" s="1642">
        <v>20</v>
      </c>
      <c r="BN42" s="1642">
        <v>0</v>
      </c>
      <c r="BO42" s="1642">
        <v>0</v>
      </c>
      <c r="BP42" s="1633">
        <v>47</v>
      </c>
      <c r="BQ42" s="1634">
        <v>45</v>
      </c>
      <c r="BR42" s="1634">
        <v>58</v>
      </c>
      <c r="BS42" s="1634">
        <v>25</v>
      </c>
      <c r="BT42" s="1635">
        <v>52</v>
      </c>
      <c r="BU42" s="1634">
        <v>46</v>
      </c>
      <c r="BV42" s="1634">
        <v>51</v>
      </c>
      <c r="BW42" s="1634">
        <v>33</v>
      </c>
      <c r="BX42" s="1633">
        <v>44</v>
      </c>
      <c r="BY42" s="1634">
        <v>0</v>
      </c>
      <c r="BZ42" s="1634">
        <v>0</v>
      </c>
      <c r="CA42" s="1634">
        <v>0</v>
      </c>
      <c r="CB42" s="1633"/>
      <c r="CC42" s="1634"/>
      <c r="CD42" s="1634"/>
      <c r="CE42" s="1634"/>
      <c r="CF42" s="1641"/>
      <c r="CG42" s="1642"/>
      <c r="CH42" s="1642"/>
      <c r="CI42" s="1642"/>
      <c r="CJ42" s="1641"/>
      <c r="CK42" s="1642"/>
      <c r="CL42" s="1642"/>
      <c r="CM42" s="1681"/>
      <c r="CN42" s="1672"/>
      <c r="CO42" s="1672"/>
      <c r="CP42" s="1672"/>
      <c r="CQ42" s="1681"/>
      <c r="CR42" s="1672"/>
      <c r="CS42" s="1672"/>
      <c r="CT42" s="1672"/>
      <c r="CU42" s="1681"/>
      <c r="CV42" s="1672"/>
      <c r="CW42" s="1672"/>
      <c r="CX42" s="1672"/>
      <c r="CY42" s="1681"/>
      <c r="CZ42" s="1672"/>
      <c r="DA42" s="1672"/>
      <c r="DB42" s="1672"/>
      <c r="DC42" s="1672"/>
      <c r="DD42" s="1672"/>
      <c r="DE42" s="1672"/>
      <c r="DF42" s="1672"/>
      <c r="DG42" s="1672"/>
      <c r="DH42" s="1672"/>
      <c r="DI42" s="1672"/>
      <c r="DJ42" s="1672"/>
      <c r="DK42" s="1672"/>
      <c r="DL42" s="1672"/>
    </row>
    <row r="43" spans="1:116" ht="12.75" customHeight="1">
      <c r="A43" s="1539" t="s">
        <v>1582</v>
      </c>
      <c r="B43" s="1642"/>
      <c r="C43" s="1642"/>
      <c r="D43" s="1642"/>
      <c r="E43" s="1641">
        <v>285</v>
      </c>
      <c r="F43" s="1642">
        <v>430</v>
      </c>
      <c r="G43" s="1642">
        <f>SUM(AN43:AQ43)</f>
        <v>615</v>
      </c>
      <c r="H43" s="1642">
        <f>SUM(AR43:AU43)</f>
        <v>742</v>
      </c>
      <c r="I43" s="1642">
        <f>SUM(AV43:AY43)</f>
        <v>674</v>
      </c>
      <c r="J43" s="1642">
        <f>SUM(AZ43:BC43)</f>
        <v>733</v>
      </c>
      <c r="K43" s="1681">
        <f>SUM(BD43:BG43)</f>
        <v>1085</v>
      </c>
      <c r="L43" s="1642"/>
      <c r="M43" s="1642"/>
      <c r="N43" s="1642"/>
      <c r="O43" s="1642"/>
      <c r="P43" s="1642"/>
      <c r="Q43" s="1642"/>
      <c r="R43" s="1642"/>
      <c r="S43" s="1642"/>
      <c r="T43" s="1642"/>
      <c r="U43" s="1642"/>
      <c r="V43" s="1642"/>
      <c r="W43" s="1642"/>
      <c r="X43" s="1642"/>
      <c r="Y43" s="1642"/>
      <c r="Z43" s="1642"/>
      <c r="AA43" s="1642"/>
      <c r="AB43" s="1642"/>
      <c r="AC43" s="1642"/>
      <c r="AD43" s="1642"/>
      <c r="AE43" s="1642"/>
      <c r="AF43" s="1641">
        <v>35</v>
      </c>
      <c r="AG43" s="1642">
        <v>29</v>
      </c>
      <c r="AH43" s="1642">
        <v>115</v>
      </c>
      <c r="AI43" s="1642">
        <v>106</v>
      </c>
      <c r="AJ43" s="1641">
        <v>99</v>
      </c>
      <c r="AK43" s="1642">
        <v>59</v>
      </c>
      <c r="AL43" s="1642">
        <v>130</v>
      </c>
      <c r="AM43" s="1642">
        <v>142</v>
      </c>
      <c r="AN43" s="1641">
        <v>132</v>
      </c>
      <c r="AO43" s="1642">
        <v>180</v>
      </c>
      <c r="AP43" s="1642">
        <v>163</v>
      </c>
      <c r="AQ43" s="1642">
        <v>140</v>
      </c>
      <c r="AR43" s="1641">
        <v>213</v>
      </c>
      <c r="AS43" s="1642">
        <v>132</v>
      </c>
      <c r="AT43" s="1642">
        <v>226</v>
      </c>
      <c r="AU43" s="1642">
        <v>171</v>
      </c>
      <c r="AV43" s="1641">
        <v>167</v>
      </c>
      <c r="AW43" s="1642">
        <v>200</v>
      </c>
      <c r="AX43" s="1642">
        <v>110</v>
      </c>
      <c r="AY43" s="1642">
        <v>197</v>
      </c>
      <c r="AZ43" s="1641">
        <v>145</v>
      </c>
      <c r="BA43" s="1642">
        <v>241</v>
      </c>
      <c r="BB43" s="1642">
        <v>195</v>
      </c>
      <c r="BC43" s="1642">
        <v>152</v>
      </c>
      <c r="BD43" s="1641">
        <f>19+148</f>
        <v>167</v>
      </c>
      <c r="BE43" s="1642">
        <f>60+167</f>
        <v>227</v>
      </c>
      <c r="BF43" s="1642">
        <f>80+358</f>
        <v>438</v>
      </c>
      <c r="BG43" s="1642">
        <f>-4+257</f>
        <v>253</v>
      </c>
      <c r="BH43" s="1641">
        <f>199+29</f>
        <v>228</v>
      </c>
      <c r="BI43" s="1642">
        <v>212</v>
      </c>
      <c r="BJ43" s="1642">
        <f>224+2</f>
        <v>226</v>
      </c>
      <c r="BK43" s="1642">
        <f>269+1</f>
        <v>270</v>
      </c>
      <c r="BL43" s="1641">
        <f>193+56</f>
        <v>249</v>
      </c>
      <c r="BM43" s="1642">
        <f>178</f>
        <v>178</v>
      </c>
      <c r="BN43" s="1642">
        <f>182+1</f>
        <v>183</v>
      </c>
      <c r="BO43" s="1642">
        <f>133+35</f>
        <v>168</v>
      </c>
      <c r="BP43" s="1633">
        <f>157</f>
        <v>157</v>
      </c>
      <c r="BQ43" s="1634">
        <v>171</v>
      </c>
      <c r="BR43" s="1634">
        <v>288</v>
      </c>
      <c r="BS43" s="1634">
        <v>157</v>
      </c>
      <c r="BT43" s="1633">
        <v>160</v>
      </c>
      <c r="BU43" s="1634">
        <v>185</v>
      </c>
      <c r="BV43" s="1634">
        <v>147</v>
      </c>
      <c r="BW43" s="1634">
        <v>93</v>
      </c>
      <c r="BX43" s="1633">
        <v>97</v>
      </c>
      <c r="BY43" s="1634">
        <v>150</v>
      </c>
      <c r="BZ43" s="1634">
        <v>211</v>
      </c>
      <c r="CA43" s="1634">
        <v>109</v>
      </c>
      <c r="CB43" s="1633">
        <v>128</v>
      </c>
      <c r="CC43" s="1634">
        <v>128</v>
      </c>
      <c r="CD43" s="1634">
        <v>166</v>
      </c>
      <c r="CE43" s="1634">
        <v>131</v>
      </c>
      <c r="CF43" s="1633">
        <v>133</v>
      </c>
      <c r="CG43" s="1634">
        <v>121</v>
      </c>
      <c r="CH43" s="1634">
        <v>141</v>
      </c>
      <c r="CI43" s="1634">
        <v>113</v>
      </c>
      <c r="CJ43" s="1633">
        <v>101</v>
      </c>
      <c r="CK43" s="1634">
        <v>121</v>
      </c>
      <c r="CL43" s="1634">
        <v>125</v>
      </c>
      <c r="CM43" s="1648">
        <v>97</v>
      </c>
      <c r="CN43" s="1649">
        <v>103</v>
      </c>
      <c r="CO43" s="1649">
        <v>72</v>
      </c>
      <c r="CP43" s="1649">
        <v>62</v>
      </c>
      <c r="CQ43" s="1648">
        <v>87</v>
      </c>
      <c r="CR43" s="1649">
        <v>-5</v>
      </c>
      <c r="CS43" s="1649">
        <v>120</v>
      </c>
      <c r="CT43" s="1649">
        <v>19</v>
      </c>
      <c r="CU43" s="1648">
        <v>8</v>
      </c>
      <c r="CV43" s="1649">
        <v>1902</v>
      </c>
      <c r="CW43" s="1649">
        <v>-43</v>
      </c>
      <c r="CX43" s="1649">
        <v>-48</v>
      </c>
      <c r="CY43" s="1648">
        <v>-31</v>
      </c>
      <c r="CZ43" s="1649">
        <v>-34</v>
      </c>
      <c r="DA43" s="1649">
        <v>-18</v>
      </c>
      <c r="DB43" s="1649">
        <v>-18</v>
      </c>
      <c r="DC43" s="1649">
        <v>-16</v>
      </c>
      <c r="DD43" s="1649">
        <v>-20</v>
      </c>
      <c r="DE43" s="1649">
        <v>-20</v>
      </c>
      <c r="DF43" s="1649">
        <v>-23</v>
      </c>
      <c r="DG43" s="1649">
        <v>-35</v>
      </c>
      <c r="DH43" s="1649">
        <v>-21</v>
      </c>
      <c r="DI43" s="1649">
        <v>-28</v>
      </c>
      <c r="DJ43" s="1649">
        <v>-22</v>
      </c>
      <c r="DK43" s="1649">
        <v>-6</v>
      </c>
      <c r="DL43" s="1649">
        <v>-19</v>
      </c>
    </row>
    <row r="44" spans="1:116" ht="12.75" customHeight="1">
      <c r="A44" s="1539" t="s">
        <v>1579</v>
      </c>
      <c r="B44" s="1642"/>
      <c r="C44" s="1642"/>
      <c r="D44" s="1642"/>
      <c r="E44" s="1641">
        <v>100</v>
      </c>
      <c r="F44" s="1642">
        <v>273</v>
      </c>
      <c r="G44" s="1642">
        <f>SUM(AN44:AQ44)</f>
        <v>958</v>
      </c>
      <c r="H44" s="1642">
        <f>SUM(AR44:AU44)</f>
        <v>1349</v>
      </c>
      <c r="I44" s="1642">
        <f>SUM(AV44:AY44)</f>
        <v>1025</v>
      </c>
      <c r="J44" s="1642">
        <f>SUM(AZ44:BC44)</f>
        <v>234</v>
      </c>
      <c r="K44" s="1681">
        <f>SUM(BD44:BG44)</f>
        <v>98</v>
      </c>
      <c r="L44" s="1642"/>
      <c r="M44" s="1642"/>
      <c r="N44" s="1642"/>
      <c r="O44" s="1642"/>
      <c r="P44" s="1642"/>
      <c r="Q44" s="1642"/>
      <c r="R44" s="1642"/>
      <c r="S44" s="1642"/>
      <c r="T44" s="1642"/>
      <c r="U44" s="1642"/>
      <c r="V44" s="1642"/>
      <c r="W44" s="1642"/>
      <c r="X44" s="1642"/>
      <c r="Y44" s="1642"/>
      <c r="Z44" s="1642"/>
      <c r="AA44" s="1642"/>
      <c r="AB44" s="1642"/>
      <c r="AC44" s="1642"/>
      <c r="AD44" s="1642"/>
      <c r="AE44" s="1642"/>
      <c r="AF44" s="1641">
        <v>47</v>
      </c>
      <c r="AG44" s="1642">
        <v>1</v>
      </c>
      <c r="AH44" s="1642">
        <v>44</v>
      </c>
      <c r="AI44" s="1642">
        <v>8</v>
      </c>
      <c r="AJ44" s="1641">
        <v>54</v>
      </c>
      <c r="AK44" s="1642">
        <v>94</v>
      </c>
      <c r="AL44" s="1642">
        <v>67</v>
      </c>
      <c r="AM44" s="1642">
        <v>58</v>
      </c>
      <c r="AN44" s="1641">
        <f>51+196</f>
        <v>247</v>
      </c>
      <c r="AO44" s="1642">
        <f>197+36</f>
        <v>233</v>
      </c>
      <c r="AP44" s="1642">
        <f>22+204</f>
        <v>226</v>
      </c>
      <c r="AQ44" s="1642">
        <f>27+225</f>
        <v>252</v>
      </c>
      <c r="AR44" s="1641">
        <v>411</v>
      </c>
      <c r="AS44" s="1642">
        <v>362</v>
      </c>
      <c r="AT44" s="1642">
        <v>349</v>
      </c>
      <c r="AU44" s="1642">
        <v>227</v>
      </c>
      <c r="AV44" s="1641">
        <v>200</v>
      </c>
      <c r="AW44" s="1642">
        <v>240</v>
      </c>
      <c r="AX44" s="1642">
        <v>244</v>
      </c>
      <c r="AY44" s="1642">
        <v>341</v>
      </c>
      <c r="AZ44" s="1641">
        <v>63</v>
      </c>
      <c r="BA44" s="1642">
        <v>64</v>
      </c>
      <c r="BB44" s="1642">
        <v>39</v>
      </c>
      <c r="BC44" s="1642">
        <v>68</v>
      </c>
      <c r="BD44" s="1641">
        <v>57</v>
      </c>
      <c r="BE44" s="1642">
        <v>16</v>
      </c>
      <c r="BF44" s="1642">
        <v>10</v>
      </c>
      <c r="BG44" s="1642">
        <v>15</v>
      </c>
      <c r="BH44" s="1641">
        <v>9</v>
      </c>
      <c r="BI44" s="1642">
        <v>10</v>
      </c>
      <c r="BJ44" s="1642">
        <f>16</f>
        <v>16</v>
      </c>
      <c r="BK44" s="1642">
        <v>42</v>
      </c>
      <c r="BL44" s="1641">
        <v>69</v>
      </c>
      <c r="BM44" s="1642">
        <v>77</v>
      </c>
      <c r="BN44" s="1642">
        <v>97</v>
      </c>
      <c r="BO44" s="1642">
        <v>-8</v>
      </c>
      <c r="BP44" s="1633">
        <v>103</v>
      </c>
      <c r="BQ44" s="1634">
        <v>60</v>
      </c>
      <c r="BR44" s="1634">
        <v>101</v>
      </c>
      <c r="BS44" s="1634">
        <v>132</v>
      </c>
      <c r="BT44" s="1633">
        <v>48</v>
      </c>
      <c r="BU44" s="1634">
        <v>27</v>
      </c>
      <c r="BV44" s="1634">
        <v>49</v>
      </c>
      <c r="BW44" s="1634">
        <v>87</v>
      </c>
      <c r="BX44" s="1633">
        <v>23</v>
      </c>
      <c r="BY44" s="1634">
        <v>92</v>
      </c>
      <c r="BZ44" s="1634">
        <v>105</v>
      </c>
      <c r="CA44" s="1634">
        <v>110</v>
      </c>
      <c r="CB44" s="1633">
        <v>54</v>
      </c>
      <c r="CC44" s="1634">
        <v>12</v>
      </c>
      <c r="CD44" s="1634">
        <v>14</v>
      </c>
      <c r="CE44" s="1634">
        <v>13</v>
      </c>
      <c r="CF44" s="1633">
        <v>46</v>
      </c>
      <c r="CG44" s="1634">
        <v>16</v>
      </c>
      <c r="CH44" s="1634">
        <v>4</v>
      </c>
      <c r="CI44" s="1634">
        <v>43</v>
      </c>
      <c r="CJ44" s="1633">
        <v>36</v>
      </c>
      <c r="CK44" s="1634">
        <v>10</v>
      </c>
      <c r="CL44" s="1634">
        <v>24</v>
      </c>
      <c r="CM44" s="1648">
        <v>-84</v>
      </c>
      <c r="CN44" s="1649">
        <v>19</v>
      </c>
      <c r="CO44" s="1649">
        <v>34</v>
      </c>
      <c r="CP44" s="1649">
        <v>10</v>
      </c>
      <c r="CQ44" s="1648">
        <f>-1079+1097</f>
        <v>18</v>
      </c>
      <c r="CR44" s="1649">
        <v>39</v>
      </c>
      <c r="CS44" s="1649">
        <v>25</v>
      </c>
      <c r="CT44" s="1649">
        <f>20</f>
        <v>20</v>
      </c>
      <c r="CU44" s="1648">
        <f>-250+249</f>
        <v>-1</v>
      </c>
      <c r="CV44" s="1649">
        <f>-894+260+575-1888+1183-267-24</f>
        <v>-1055</v>
      </c>
      <c r="CW44" s="1649">
        <v>66</v>
      </c>
      <c r="CX44" s="1649">
        <v>71</v>
      </c>
      <c r="CY44" s="1648">
        <f>-437+538</f>
        <v>101</v>
      </c>
      <c r="CZ44" s="1649">
        <v>75</v>
      </c>
      <c r="DA44" s="1649">
        <v>32</v>
      </c>
      <c r="DB44" s="1649">
        <v>51</v>
      </c>
      <c r="DC44" s="1649">
        <v>28</v>
      </c>
      <c r="DD44" s="1649">
        <v>32</v>
      </c>
      <c r="DE44" s="1649">
        <f>-1826+1822</f>
        <v>-4</v>
      </c>
      <c r="DF44" s="1649">
        <v>97</v>
      </c>
      <c r="DG44" s="1649">
        <v>98</v>
      </c>
      <c r="DH44" s="1649">
        <v>-846</v>
      </c>
      <c r="DI44" s="1649">
        <v>-19</v>
      </c>
      <c r="DJ44" s="1649">
        <v>-511</v>
      </c>
      <c r="DK44" s="1649">
        <v>-634</v>
      </c>
      <c r="DL44" s="1649">
        <v>-75</v>
      </c>
    </row>
    <row r="45" spans="1:116" ht="12.75" customHeight="1">
      <c r="A45" s="1539" t="s">
        <v>977</v>
      </c>
      <c r="B45" s="1642"/>
      <c r="C45" s="1642"/>
      <c r="D45" s="1642"/>
      <c r="E45" s="1641">
        <v>2397</v>
      </c>
      <c r="F45" s="1642">
        <v>2605</v>
      </c>
      <c r="G45" s="1642">
        <f>SUM(AN45:AQ45)</f>
        <v>2744</v>
      </c>
      <c r="H45" s="1642">
        <f>SUM(AO45:AR45)</f>
        <v>2856</v>
      </c>
      <c r="I45" s="1642">
        <f>SUM(AV45:AY45)</f>
        <v>3299</v>
      </c>
      <c r="J45" s="1642">
        <f>SUM(AZ45:BC45)</f>
        <v>3130</v>
      </c>
      <c r="K45" s="1681">
        <f>SUM(BD45:BG45)</f>
        <v>2797</v>
      </c>
      <c r="L45" s="1642"/>
      <c r="M45" s="1642"/>
      <c r="N45" s="1642"/>
      <c r="O45" s="1642"/>
      <c r="P45" s="1642"/>
      <c r="Q45" s="1642"/>
      <c r="R45" s="1642"/>
      <c r="S45" s="1642"/>
      <c r="T45" s="1642"/>
      <c r="U45" s="1642"/>
      <c r="V45" s="1642"/>
      <c r="W45" s="1642"/>
      <c r="X45" s="1642"/>
      <c r="Y45" s="1642"/>
      <c r="Z45" s="1642"/>
      <c r="AA45" s="1642"/>
      <c r="AB45" s="1642"/>
      <c r="AC45" s="1642"/>
      <c r="AD45" s="1642"/>
      <c r="AE45" s="1642"/>
      <c r="AF45" s="1641">
        <v>597</v>
      </c>
      <c r="AG45" s="1642">
        <v>586</v>
      </c>
      <c r="AH45" s="1642">
        <v>602</v>
      </c>
      <c r="AI45" s="1642">
        <v>612</v>
      </c>
      <c r="AJ45" s="1641">
        <v>619</v>
      </c>
      <c r="AK45" s="1642">
        <v>695</v>
      </c>
      <c r="AL45" s="1642">
        <v>646</v>
      </c>
      <c r="AM45" s="1642">
        <v>645</v>
      </c>
      <c r="AN45" s="1641">
        <f>30+638</f>
        <v>668</v>
      </c>
      <c r="AO45" s="1642">
        <v>693</v>
      </c>
      <c r="AP45" s="1642">
        <v>655</v>
      </c>
      <c r="AQ45" s="1642">
        <v>728</v>
      </c>
      <c r="AR45" s="1641">
        <v>780</v>
      </c>
      <c r="AS45" s="1642">
        <v>865</v>
      </c>
      <c r="AT45" s="1642">
        <v>899</v>
      </c>
      <c r="AU45" s="1642">
        <v>865</v>
      </c>
      <c r="AV45" s="1641">
        <v>899</v>
      </c>
      <c r="AW45" s="1642">
        <v>891</v>
      </c>
      <c r="AX45" s="1642">
        <v>787</v>
      </c>
      <c r="AY45" s="1642">
        <v>722</v>
      </c>
      <c r="AZ45" s="1641">
        <v>787</v>
      </c>
      <c r="BA45" s="1642">
        <v>769</v>
      </c>
      <c r="BB45" s="1642">
        <v>776</v>
      </c>
      <c r="BC45" s="1642">
        <v>798</v>
      </c>
      <c r="BD45" s="1641">
        <v>755</v>
      </c>
      <c r="BE45" s="1642">
        <v>692</v>
      </c>
      <c r="BF45" s="1642">
        <v>685</v>
      </c>
      <c r="BG45" s="1642">
        <v>665</v>
      </c>
      <c r="BH45" s="1641">
        <v>638</v>
      </c>
      <c r="BI45" s="1642">
        <v>594</v>
      </c>
      <c r="BJ45" s="1642">
        <v>577</v>
      </c>
      <c r="BK45" s="1642">
        <v>575</v>
      </c>
      <c r="BL45" s="1641">
        <v>548</v>
      </c>
      <c r="BM45" s="1642">
        <v>528</v>
      </c>
      <c r="BN45" s="1642">
        <v>525</v>
      </c>
      <c r="BO45" s="1642">
        <v>528</v>
      </c>
      <c r="BP45" s="1633">
        <v>610</v>
      </c>
      <c r="BQ45" s="1634">
        <v>590</v>
      </c>
      <c r="BR45" s="1634">
        <v>572</v>
      </c>
      <c r="BS45" s="1634">
        <v>551</v>
      </c>
      <c r="BT45" s="1633">
        <v>485</v>
      </c>
      <c r="BU45" s="1634">
        <v>455</v>
      </c>
      <c r="BV45" s="1634">
        <v>450</v>
      </c>
      <c r="BW45" s="1634">
        <v>439</v>
      </c>
      <c r="BX45" s="1633">
        <v>459</v>
      </c>
      <c r="BY45" s="1634">
        <v>403</v>
      </c>
      <c r="BZ45" s="1634">
        <v>440</v>
      </c>
      <c r="CA45" s="1634">
        <v>517</v>
      </c>
      <c r="CB45" s="1633">
        <v>717</v>
      </c>
      <c r="CC45" s="1634">
        <v>740</v>
      </c>
      <c r="CD45" s="1634">
        <v>704</v>
      </c>
      <c r="CE45" s="1634">
        <v>686</v>
      </c>
      <c r="CF45" s="1633">
        <v>669</v>
      </c>
      <c r="CG45" s="1634">
        <v>668</v>
      </c>
      <c r="CH45" s="1634">
        <v>597</v>
      </c>
      <c r="CI45" s="1634">
        <v>567</v>
      </c>
      <c r="CJ45" s="1633">
        <v>709</v>
      </c>
      <c r="CK45" s="1634">
        <v>717</v>
      </c>
      <c r="CL45" s="1634">
        <v>698</v>
      </c>
      <c r="CM45" s="1648">
        <v>703</v>
      </c>
      <c r="CN45" s="1649">
        <v>685</v>
      </c>
      <c r="CO45" s="1649">
        <v>679</v>
      </c>
      <c r="CP45" s="1649">
        <v>632</v>
      </c>
      <c r="CQ45" s="1648">
        <v>575</v>
      </c>
      <c r="CR45" s="1649">
        <v>537</v>
      </c>
      <c r="CS45" s="1649">
        <v>514</v>
      </c>
      <c r="CT45" s="1649">
        <f>555-40</f>
        <v>515</v>
      </c>
      <c r="CU45" s="1648">
        <f>1061-616</f>
        <v>445</v>
      </c>
      <c r="CV45" s="1649">
        <v>1214</v>
      </c>
      <c r="CW45" s="1649">
        <v>1164</v>
      </c>
      <c r="CX45" s="1649">
        <v>1255</v>
      </c>
      <c r="CY45" s="1648">
        <v>1282</v>
      </c>
      <c r="CZ45" s="1649">
        <v>1332</v>
      </c>
      <c r="DA45" s="1649">
        <v>1208</v>
      </c>
      <c r="DB45" s="1649">
        <v>1202</v>
      </c>
      <c r="DC45" s="1649">
        <v>1178</v>
      </c>
      <c r="DD45" s="1649">
        <v>1188</v>
      </c>
      <c r="DE45" s="1649">
        <v>1013</v>
      </c>
      <c r="DF45" s="1649">
        <v>1038</v>
      </c>
      <c r="DG45" s="1649">
        <v>1137</v>
      </c>
      <c r="DH45" s="1649">
        <v>1132</v>
      </c>
      <c r="DI45" s="1649">
        <v>1218</v>
      </c>
      <c r="DJ45" s="1649">
        <v>1164</v>
      </c>
      <c r="DK45" s="1649">
        <v>1219</v>
      </c>
      <c r="DL45" s="1649">
        <v>1201</v>
      </c>
    </row>
    <row r="46" spans="1:116" ht="12.75" customHeight="1">
      <c r="A46" s="1539" t="s">
        <v>1580</v>
      </c>
      <c r="B46" s="1642"/>
      <c r="C46" s="1642"/>
      <c r="D46" s="1642"/>
      <c r="E46" s="1641">
        <v>-80</v>
      </c>
      <c r="F46" s="1642">
        <v>-195</v>
      </c>
      <c r="G46" s="1642">
        <f>SUM(AN46:AQ46)</f>
        <v>-613.75</v>
      </c>
      <c r="H46" s="1642">
        <f>SUM(AO46:AR46)</f>
        <v>-539</v>
      </c>
      <c r="I46" s="1642">
        <f>SUM(AP46:AS46)</f>
        <v>-496</v>
      </c>
      <c r="J46" s="1642">
        <f>SUM(AZ46:BC46)</f>
        <v>-1467</v>
      </c>
      <c r="K46" s="1681">
        <f>SUM(BD46:BG46)</f>
        <v>-1583</v>
      </c>
      <c r="L46" s="1642"/>
      <c r="M46" s="1642"/>
      <c r="N46" s="1642"/>
      <c r="O46" s="1642"/>
      <c r="P46" s="1642"/>
      <c r="Q46" s="1642"/>
      <c r="R46" s="1642"/>
      <c r="S46" s="1642"/>
      <c r="T46" s="1642"/>
      <c r="U46" s="1642"/>
      <c r="V46" s="1642"/>
      <c r="W46" s="1642"/>
      <c r="X46" s="1642"/>
      <c r="Y46" s="1642"/>
      <c r="Z46" s="1642"/>
      <c r="AA46" s="1642"/>
      <c r="AB46" s="1642"/>
      <c r="AC46" s="1642"/>
      <c r="AD46" s="1642"/>
      <c r="AE46" s="1642"/>
      <c r="AF46" s="1641">
        <v>-29</v>
      </c>
      <c r="AG46" s="1642">
        <v>-28</v>
      </c>
      <c r="AH46" s="1642">
        <v>-26</v>
      </c>
      <c r="AI46" s="1642">
        <v>3</v>
      </c>
      <c r="AJ46" s="1641">
        <v>-45</v>
      </c>
      <c r="AK46" s="1642">
        <v>-50</v>
      </c>
      <c r="AL46" s="1642">
        <v>-60</v>
      </c>
      <c r="AM46" s="1642">
        <v>-40</v>
      </c>
      <c r="AN46" s="1641">
        <f>0.45*275*-1</f>
        <v>-123.75</v>
      </c>
      <c r="AO46" s="1642">
        <v>-174</v>
      </c>
      <c r="AP46" s="1642">
        <v>-227</v>
      </c>
      <c r="AQ46" s="1642">
        <v>-89</v>
      </c>
      <c r="AR46" s="1641">
        <v>-49</v>
      </c>
      <c r="AS46" s="1642">
        <v>-131</v>
      </c>
      <c r="AT46" s="1642">
        <v>-240</v>
      </c>
      <c r="AU46" s="1642">
        <v>-132</v>
      </c>
      <c r="AV46" s="1641">
        <v>-169</v>
      </c>
      <c r="AW46" s="1642">
        <v>-281</v>
      </c>
      <c r="AX46" s="1642">
        <v>-279</v>
      </c>
      <c r="AY46" s="1642">
        <v>-162</v>
      </c>
      <c r="AZ46" s="1641">
        <v>-273</v>
      </c>
      <c r="BA46" s="1642">
        <v>-396</v>
      </c>
      <c r="BB46" s="1642">
        <v>-400</v>
      </c>
      <c r="BC46" s="1642">
        <v>-398</v>
      </c>
      <c r="BD46" s="1641">
        <v>-342</v>
      </c>
      <c r="BE46" s="1642">
        <v>-380</v>
      </c>
      <c r="BF46" s="1642">
        <v>-410</v>
      </c>
      <c r="BG46" s="1642">
        <v>-451</v>
      </c>
      <c r="BH46" s="1641">
        <v>-477</v>
      </c>
      <c r="BI46" s="1642">
        <v>-676</v>
      </c>
      <c r="BJ46" s="1642">
        <v>-682</v>
      </c>
      <c r="BK46" s="1642">
        <v>-574</v>
      </c>
      <c r="BL46" s="1641">
        <v>-610</v>
      </c>
      <c r="BM46" s="1642">
        <v>-711</v>
      </c>
      <c r="BN46" s="1642">
        <v>-748</v>
      </c>
      <c r="BO46" s="1642">
        <v>-939</v>
      </c>
      <c r="BP46" s="1633">
        <v>-868</v>
      </c>
      <c r="BQ46" s="1634">
        <v>-986</v>
      </c>
      <c r="BR46" s="1634">
        <v>-1088</v>
      </c>
      <c r="BS46" s="1634">
        <v>-1098</v>
      </c>
      <c r="BT46" s="1633">
        <v>-1154</v>
      </c>
      <c r="BU46" s="1634">
        <v>-1268</v>
      </c>
      <c r="BV46" s="1634">
        <v>-1298</v>
      </c>
      <c r="BW46" s="1634">
        <v>-1333</v>
      </c>
      <c r="BX46" s="1633">
        <v>-1407</v>
      </c>
      <c r="BY46" s="1634">
        <v>-1522</v>
      </c>
      <c r="BZ46" s="1634">
        <v>-1530</v>
      </c>
      <c r="CA46" s="1634">
        <v>-1698</v>
      </c>
      <c r="CB46" s="1633">
        <v>-1645.1110000000001</v>
      </c>
      <c r="CC46" s="1634">
        <v>-1658.018</v>
      </c>
      <c r="CD46" s="1634">
        <v>-1828.2829999999999</v>
      </c>
      <c r="CE46" s="1634">
        <v>-1757.816</v>
      </c>
      <c r="CF46" s="1633">
        <v>-1855.8620000000001</v>
      </c>
      <c r="CG46" s="1634">
        <v>-1970.5540000000001</v>
      </c>
      <c r="CH46" s="1634">
        <v>-2088.8180000000002</v>
      </c>
      <c r="CI46" s="1634">
        <v>-2153.0219999999999</v>
      </c>
      <c r="CJ46" s="1633">
        <v>-1825</v>
      </c>
      <c r="CK46" s="1634">
        <v>-1995</v>
      </c>
      <c r="CL46" s="1634">
        <v>-2163</v>
      </c>
      <c r="CM46" s="1648">
        <v>-1811</v>
      </c>
      <c r="CN46" s="1649">
        <v>-2220</v>
      </c>
      <c r="CO46" s="1649">
        <v>-2460</v>
      </c>
      <c r="CP46" s="1649">
        <v>-2699</v>
      </c>
      <c r="CQ46" s="1648">
        <v>-2303</v>
      </c>
      <c r="CR46" s="1649">
        <v>-2903</v>
      </c>
      <c r="CS46" s="1649">
        <v>-2952</v>
      </c>
      <c r="CT46" s="1649">
        <f>-3346+0.45*278</f>
        <v>-3220.9</v>
      </c>
      <c r="CU46" s="1648">
        <v>-2849</v>
      </c>
      <c r="CV46" s="1649">
        <v>-2039</v>
      </c>
      <c r="CW46" s="1649">
        <v>-110</v>
      </c>
      <c r="CX46" s="1649">
        <v>-99</v>
      </c>
      <c r="CY46" s="1648">
        <v>-83</v>
      </c>
      <c r="CZ46" s="1649">
        <v>-119</v>
      </c>
      <c r="DA46" s="1649">
        <v>-122</v>
      </c>
      <c r="DB46" s="1649">
        <v>-133</v>
      </c>
      <c r="DC46" s="1649">
        <v>-122</v>
      </c>
      <c r="DD46" s="1649">
        <v>-120</v>
      </c>
      <c r="DE46" s="1649">
        <v>-129</v>
      </c>
      <c r="DF46" s="1649">
        <v>-127</v>
      </c>
      <c r="DG46" s="1649">
        <v>-105</v>
      </c>
      <c r="DH46" s="1649">
        <v>-103</v>
      </c>
      <c r="DI46" s="1649">
        <v>-116</v>
      </c>
      <c r="DJ46" s="1649">
        <v>-116</v>
      </c>
      <c r="DK46" s="1649">
        <v>-114</v>
      </c>
      <c r="DL46" s="1649">
        <v>-121</v>
      </c>
    </row>
    <row r="47" spans="1:116" ht="12.75" customHeight="1">
      <c r="A47" s="954" t="s">
        <v>1082</v>
      </c>
      <c r="B47" s="1693"/>
      <c r="C47" s="1693"/>
      <c r="D47" s="1693"/>
      <c r="E47" s="1694">
        <f t="shared" ref="E47:K47" si="84">E41+E43+E44-E45+E46</f>
        <v>10102</v>
      </c>
      <c r="F47" s="1693">
        <f t="shared" si="84"/>
        <v>11430</v>
      </c>
      <c r="G47" s="1693">
        <f t="shared" si="84"/>
        <v>12164.25</v>
      </c>
      <c r="H47" s="1693">
        <f t="shared" si="84"/>
        <v>13011</v>
      </c>
      <c r="I47" s="1693">
        <f t="shared" si="84"/>
        <v>13059</v>
      </c>
      <c r="J47" s="1693">
        <f t="shared" si="84"/>
        <v>12204</v>
      </c>
      <c r="K47" s="1695">
        <f t="shared" si="84"/>
        <v>10393</v>
      </c>
      <c r="L47" s="1693"/>
      <c r="M47" s="1693"/>
      <c r="N47" s="1693"/>
      <c r="O47" s="1693"/>
      <c r="P47" s="1693"/>
      <c r="Q47" s="1693"/>
      <c r="R47" s="1693"/>
      <c r="S47" s="1693"/>
      <c r="T47" s="1693"/>
      <c r="U47" s="1693"/>
      <c r="V47" s="1693"/>
      <c r="W47" s="1693"/>
      <c r="X47" s="1693"/>
      <c r="Y47" s="1693"/>
      <c r="Z47" s="1693"/>
      <c r="AA47" s="1693"/>
      <c r="AB47" s="1693"/>
      <c r="AC47" s="1693"/>
      <c r="AD47" s="1693"/>
      <c r="AE47" s="1693"/>
      <c r="AF47" s="1694">
        <f t="shared" ref="AF47:AY47" si="85">AF41+AF43+AF44-AF45+AF46</f>
        <v>2469</v>
      </c>
      <c r="AG47" s="1693">
        <f t="shared" si="85"/>
        <v>2574</v>
      </c>
      <c r="AH47" s="1693">
        <f t="shared" si="85"/>
        <v>2687</v>
      </c>
      <c r="AI47" s="1693">
        <f t="shared" si="85"/>
        <v>2372</v>
      </c>
      <c r="AJ47" s="1694">
        <f t="shared" si="85"/>
        <v>2730</v>
      </c>
      <c r="AK47" s="1693">
        <f t="shared" si="85"/>
        <v>2746</v>
      </c>
      <c r="AL47" s="1693">
        <f t="shared" si="85"/>
        <v>2991</v>
      </c>
      <c r="AM47" s="1693">
        <f t="shared" si="85"/>
        <v>2963</v>
      </c>
      <c r="AN47" s="1694">
        <f t="shared" si="85"/>
        <v>2905.25</v>
      </c>
      <c r="AO47" s="1693">
        <f t="shared" si="85"/>
        <v>2910</v>
      </c>
      <c r="AP47" s="1693">
        <f t="shared" si="85"/>
        <v>3104</v>
      </c>
      <c r="AQ47" s="1693">
        <f t="shared" si="85"/>
        <v>3245</v>
      </c>
      <c r="AR47" s="1694">
        <f t="shared" si="85"/>
        <v>3010</v>
      </c>
      <c r="AS47" s="1693">
        <f t="shared" si="85"/>
        <v>3167</v>
      </c>
      <c r="AT47" s="1693">
        <f t="shared" si="85"/>
        <v>3182</v>
      </c>
      <c r="AU47" s="1693">
        <f t="shared" si="85"/>
        <v>3086</v>
      </c>
      <c r="AV47" s="1694">
        <f t="shared" si="85"/>
        <v>3034</v>
      </c>
      <c r="AW47" s="1693">
        <f t="shared" si="85"/>
        <v>3323</v>
      </c>
      <c r="AX47" s="1693">
        <f t="shared" si="85"/>
        <v>3127</v>
      </c>
      <c r="AY47" s="1693">
        <f t="shared" si="85"/>
        <v>3180</v>
      </c>
      <c r="AZ47" s="1694">
        <f>AZ41+AZ43+AZ44-AZ45+AZ46+AZ42</f>
        <v>2994</v>
      </c>
      <c r="BA47" s="1693">
        <f>BA41+BA43+BA44-BA45+BA46+BA42</f>
        <v>3189</v>
      </c>
      <c r="BB47" s="1693">
        <f>BB41+BB43+BB44-BB45+BB46+BB42</f>
        <v>3157</v>
      </c>
      <c r="BC47" s="1693">
        <f>BC41+BC43+BC44-BC45+BC46</f>
        <v>3246</v>
      </c>
      <c r="BD47" s="1694">
        <f t="shared" ref="BD47:CU47" si="86">BD41+BD43+BD44-BD45+BD46+BD42</f>
        <v>2810</v>
      </c>
      <c r="BE47" s="1693">
        <f t="shared" si="86"/>
        <v>2768</v>
      </c>
      <c r="BF47" s="1693">
        <f t="shared" si="86"/>
        <v>2675</v>
      </c>
      <c r="BG47" s="1693">
        <f t="shared" si="86"/>
        <v>2276</v>
      </c>
      <c r="BH47" s="1694">
        <f t="shared" si="86"/>
        <v>2316</v>
      </c>
      <c r="BI47" s="1693">
        <f t="shared" si="86"/>
        <v>2593</v>
      </c>
      <c r="BJ47" s="1693">
        <f t="shared" si="86"/>
        <v>2613</v>
      </c>
      <c r="BK47" s="1693">
        <f t="shared" si="86"/>
        <v>2639</v>
      </c>
      <c r="BL47" s="1694">
        <f t="shared" si="86"/>
        <v>2437</v>
      </c>
      <c r="BM47" s="1693">
        <f t="shared" si="86"/>
        <v>2472</v>
      </c>
      <c r="BN47" s="1693">
        <f t="shared" si="86"/>
        <v>2565</v>
      </c>
      <c r="BO47" s="1693">
        <f t="shared" si="86"/>
        <v>2463</v>
      </c>
      <c r="BP47" s="1694">
        <f t="shared" si="86"/>
        <v>2292.9316888045505</v>
      </c>
      <c r="BQ47" s="1693">
        <f t="shared" si="86"/>
        <v>2293</v>
      </c>
      <c r="BR47" s="1693">
        <f t="shared" si="86"/>
        <v>2373</v>
      </c>
      <c r="BS47" s="1693">
        <f t="shared" si="86"/>
        <v>2296</v>
      </c>
      <c r="BT47" s="1694">
        <f t="shared" si="86"/>
        <v>2479</v>
      </c>
      <c r="BU47" s="1693">
        <f t="shared" si="86"/>
        <v>2665</v>
      </c>
      <c r="BV47" s="1693">
        <f t="shared" si="86"/>
        <v>2762</v>
      </c>
      <c r="BW47" s="1693">
        <f t="shared" si="86"/>
        <v>2735</v>
      </c>
      <c r="BX47" s="1694">
        <f t="shared" si="86"/>
        <v>2719</v>
      </c>
      <c r="BY47" s="1693">
        <f t="shared" si="86"/>
        <v>2899</v>
      </c>
      <c r="BZ47" s="1693">
        <f t="shared" si="86"/>
        <v>2834</v>
      </c>
      <c r="CA47" s="1693">
        <f t="shared" si="86"/>
        <v>2580</v>
      </c>
      <c r="CB47" s="1694">
        <f t="shared" si="86"/>
        <v>2117.8890000000001</v>
      </c>
      <c r="CC47" s="1693">
        <f t="shared" si="86"/>
        <v>2128.982</v>
      </c>
      <c r="CD47" s="1693">
        <f t="shared" si="86"/>
        <v>1958.7170000000001</v>
      </c>
      <c r="CE47" s="1693">
        <f t="shared" si="86"/>
        <v>1760.184</v>
      </c>
      <c r="CF47" s="1694">
        <f t="shared" si="86"/>
        <v>1930.1379999999999</v>
      </c>
      <c r="CG47" s="1693">
        <f t="shared" si="86"/>
        <v>2114.4459999999999</v>
      </c>
      <c r="CH47" s="1693">
        <f t="shared" si="86"/>
        <v>2256.1819999999998</v>
      </c>
      <c r="CI47" s="1693">
        <f t="shared" si="86"/>
        <v>2232.9780000000001</v>
      </c>
      <c r="CJ47" s="1694">
        <f t="shared" si="86"/>
        <v>2056</v>
      </c>
      <c r="CK47" s="1693">
        <f t="shared" si="86"/>
        <v>2311</v>
      </c>
      <c r="CL47" s="1693">
        <f t="shared" si="86"/>
        <v>2264</v>
      </c>
      <c r="CM47" s="1695">
        <f t="shared" si="86"/>
        <v>2132</v>
      </c>
      <c r="CN47" s="1267">
        <f t="shared" si="86"/>
        <v>2412</v>
      </c>
      <c r="CO47" s="1267">
        <f t="shared" si="86"/>
        <v>2618</v>
      </c>
      <c r="CP47" s="1267">
        <f t="shared" si="86"/>
        <v>2608</v>
      </c>
      <c r="CQ47" s="1695">
        <f t="shared" si="86"/>
        <v>1498</v>
      </c>
      <c r="CR47" s="1267">
        <f t="shared" si="86"/>
        <v>2806</v>
      </c>
      <c r="CS47" s="1267">
        <f t="shared" si="86"/>
        <v>2989</v>
      </c>
      <c r="CT47" s="1267">
        <f t="shared" si="86"/>
        <v>3145.1</v>
      </c>
      <c r="CU47" s="1695">
        <f t="shared" si="86"/>
        <v>2764</v>
      </c>
      <c r="CV47" s="1267">
        <f t="shared" ref="CV47:DA47" si="87">CV41+CV43+CV44-CV45+CV46+CV42</f>
        <v>4748</v>
      </c>
      <c r="CW47" s="1267">
        <f t="shared" si="87"/>
        <v>5721</v>
      </c>
      <c r="CX47" s="1267">
        <f t="shared" si="87"/>
        <v>5559</v>
      </c>
      <c r="CY47" s="1695">
        <f t="shared" si="87"/>
        <v>4410</v>
      </c>
      <c r="CZ47" s="1267">
        <f t="shared" si="87"/>
        <v>6550</v>
      </c>
      <c r="DA47" s="1267">
        <f t="shared" si="87"/>
        <v>6505</v>
      </c>
      <c r="DB47" s="1267">
        <f t="shared" ref="DB47:DG47" si="88">DB41+DB43+DB44-DB45+DB46+DB42</f>
        <v>6575</v>
      </c>
      <c r="DC47" s="1267">
        <f t="shared" si="88"/>
        <v>5604</v>
      </c>
      <c r="DD47" s="1267">
        <f t="shared" si="88"/>
        <v>6669</v>
      </c>
      <c r="DE47" s="1267">
        <f t="shared" si="88"/>
        <v>5931</v>
      </c>
      <c r="DF47" s="1267">
        <f t="shared" si="88"/>
        <v>6246</v>
      </c>
      <c r="DG47" s="1267">
        <f t="shared" si="88"/>
        <v>5255</v>
      </c>
      <c r="DH47" s="1267">
        <f t="shared" ref="DH47:DI47" si="89">DH41+DH43+DH44-DH45+DH46+DH42</f>
        <v>5205</v>
      </c>
      <c r="DI47" s="1267">
        <f t="shared" si="89"/>
        <v>5836</v>
      </c>
      <c r="DJ47" s="1267">
        <f t="shared" ref="DJ47:DK47" si="90">DJ41+DJ43+DJ44-DJ45+DJ46+DJ42</f>
        <v>6015</v>
      </c>
      <c r="DK47" s="1267">
        <f t="shared" si="90"/>
        <v>5378</v>
      </c>
      <c r="DL47" s="1267">
        <f t="shared" ref="DL47" si="91">DL41+DL43+DL44-DL45+DL46+DL42</f>
        <v>6289</v>
      </c>
    </row>
    <row r="48" spans="1:116" ht="12.75" customHeight="1">
      <c r="A48" s="1539" t="s">
        <v>1581</v>
      </c>
      <c r="B48" s="1642"/>
      <c r="C48" s="1642"/>
      <c r="D48" s="1642"/>
      <c r="E48" s="1641">
        <v>3565</v>
      </c>
      <c r="F48" s="1642">
        <v>4072</v>
      </c>
      <c r="G48" s="1642">
        <f>SUM(AN48:AQ48)</f>
        <v>4367.1594475318734</v>
      </c>
      <c r="H48" s="1642">
        <f>SUM(AO48:AR48)</f>
        <v>4427</v>
      </c>
      <c r="I48" s="1642">
        <f>SUM(AP48:AS48)</f>
        <v>4562</v>
      </c>
      <c r="J48" s="1642">
        <f>SUM(AZ48:BC48)</f>
        <v>4140</v>
      </c>
      <c r="K48" s="1681">
        <f>SUM(BD48:BG48)</f>
        <v>3296</v>
      </c>
      <c r="L48" s="1642"/>
      <c r="M48" s="1642"/>
      <c r="N48" s="1642"/>
      <c r="O48" s="1642"/>
      <c r="P48" s="1642"/>
      <c r="Q48" s="1642"/>
      <c r="R48" s="1642"/>
      <c r="S48" s="1642"/>
      <c r="T48" s="1642"/>
      <c r="U48" s="1642"/>
      <c r="V48" s="1642"/>
      <c r="W48" s="1642"/>
      <c r="X48" s="1642"/>
      <c r="Y48" s="1642"/>
      <c r="Z48" s="1642"/>
      <c r="AA48" s="1642"/>
      <c r="AB48" s="1642"/>
      <c r="AC48" s="1642"/>
      <c r="AD48" s="1642"/>
      <c r="AE48" s="1642"/>
      <c r="AF48" s="1641">
        <v>881</v>
      </c>
      <c r="AG48" s="1642">
        <v>948</v>
      </c>
      <c r="AH48" s="1642">
        <v>947</v>
      </c>
      <c r="AI48" s="1642">
        <v>789</v>
      </c>
      <c r="AJ48" s="1641">
        <v>1003</v>
      </c>
      <c r="AK48" s="1642">
        <v>999</v>
      </c>
      <c r="AL48" s="1642">
        <v>1088</v>
      </c>
      <c r="AM48" s="1642">
        <v>982</v>
      </c>
      <c r="AN48" s="1641">
        <f>(1111/(1948+1111))*AN47</f>
        <v>1055.1594475318732</v>
      </c>
      <c r="AO48" s="1642">
        <v>1039</v>
      </c>
      <c r="AP48" s="1642">
        <v>1108</v>
      </c>
      <c r="AQ48" s="1642">
        <v>1165</v>
      </c>
      <c r="AR48" s="1641">
        <v>1115</v>
      </c>
      <c r="AS48" s="1642">
        <v>1174</v>
      </c>
      <c r="AT48" s="1642">
        <v>1198</v>
      </c>
      <c r="AU48" s="1642">
        <v>978</v>
      </c>
      <c r="AV48" s="1641">
        <v>1078</v>
      </c>
      <c r="AW48" s="1642">
        <v>1222</v>
      </c>
      <c r="AX48" s="1642">
        <v>1087</v>
      </c>
      <c r="AY48" s="1642">
        <v>1087</v>
      </c>
      <c r="AZ48" s="1641">
        <v>1014</v>
      </c>
      <c r="BA48" s="1642">
        <v>1056</v>
      </c>
      <c r="BB48" s="1642">
        <v>1040</v>
      </c>
      <c r="BC48" s="1642">
        <v>1030</v>
      </c>
      <c r="BD48" s="1641">
        <v>916</v>
      </c>
      <c r="BE48" s="1642">
        <v>878</v>
      </c>
      <c r="BF48" s="1642">
        <v>808</v>
      </c>
      <c r="BG48" s="1642">
        <v>694</v>
      </c>
      <c r="BH48" s="1641">
        <v>703</v>
      </c>
      <c r="BI48" s="1642">
        <v>821</v>
      </c>
      <c r="BJ48" s="1642">
        <v>814</v>
      </c>
      <c r="BK48" s="1642">
        <v>842</v>
      </c>
      <c r="BL48" s="1641">
        <v>751</v>
      </c>
      <c r="BM48" s="1642">
        <v>749</v>
      </c>
      <c r="BN48" s="1642">
        <v>794</v>
      </c>
      <c r="BO48" s="1642">
        <v>774</v>
      </c>
      <c r="BP48" s="1633">
        <v>699</v>
      </c>
      <c r="BQ48" s="1634">
        <v>767</v>
      </c>
      <c r="BR48" s="1634">
        <v>760</v>
      </c>
      <c r="BS48" s="1634">
        <v>774</v>
      </c>
      <c r="BT48" s="1633">
        <v>921</v>
      </c>
      <c r="BU48" s="1634">
        <v>965</v>
      </c>
      <c r="BV48" s="1634">
        <v>948</v>
      </c>
      <c r="BW48" s="1634">
        <v>953</v>
      </c>
      <c r="BX48" s="1633">
        <v>978</v>
      </c>
      <c r="BY48" s="1634">
        <v>995</v>
      </c>
      <c r="BZ48" s="1634">
        <v>969</v>
      </c>
      <c r="CA48" s="1634">
        <v>855</v>
      </c>
      <c r="CB48" s="1633">
        <v>672.19</v>
      </c>
      <c r="CC48" s="1634">
        <v>665.85500000000002</v>
      </c>
      <c r="CD48" s="1634">
        <v>592.05499999999995</v>
      </c>
      <c r="CE48" s="1634">
        <v>501.03500000000003</v>
      </c>
      <c r="CF48" s="1633">
        <v>576.45399999999995</v>
      </c>
      <c r="CG48" s="1634">
        <v>662.36300000000028</v>
      </c>
      <c r="CH48" s="1634">
        <v>709.43499999999995</v>
      </c>
      <c r="CI48" s="1634">
        <v>707.36</v>
      </c>
      <c r="CJ48" s="1633">
        <v>617</v>
      </c>
      <c r="CK48" s="1634">
        <v>702</v>
      </c>
      <c r="CL48" s="1634">
        <f>556+(329*0.39)</f>
        <v>684.31</v>
      </c>
      <c r="CM48" s="1648">
        <f>-1590+(5625+120)*0.3935</f>
        <v>670.65750000000025</v>
      </c>
      <c r="CN48" s="1649">
        <v>726.49</v>
      </c>
      <c r="CO48" s="1649">
        <v>793.49</v>
      </c>
      <c r="CP48" s="1649">
        <f>631.46+0.392*384+6</f>
        <v>787.98800000000006</v>
      </c>
      <c r="CQ48" s="1648">
        <f>-2810+((7186*0.383)+(40+236+1097)*0.36)</f>
        <v>436.51800000000003</v>
      </c>
      <c r="CR48" s="1649">
        <v>864</v>
      </c>
      <c r="CS48" s="1649">
        <f>988-237*0.37</f>
        <v>900.31</v>
      </c>
      <c r="CT48" s="1649">
        <f>1034-278*0.37+40*0.37</f>
        <v>945.93999999999994</v>
      </c>
      <c r="CU48" s="1648">
        <f>2844+867*0.38-5995*0.38</f>
        <v>895.36000000000013</v>
      </c>
      <c r="CV48" s="1649">
        <v>968</v>
      </c>
      <c r="CW48" s="1649">
        <f>2220-707*0.38</f>
        <v>1951.34</v>
      </c>
      <c r="CX48" s="1649">
        <v>1864</v>
      </c>
      <c r="CY48" s="1648">
        <f>-1738+(7507+27+307+538)*0.38</f>
        <v>1446.02</v>
      </c>
      <c r="CZ48" s="1649">
        <v>2331</v>
      </c>
      <c r="DA48" s="1649">
        <v>2274</v>
      </c>
      <c r="DB48" s="1649">
        <f>2195+342*0.38</f>
        <v>2324.96</v>
      </c>
      <c r="DC48" s="1649">
        <f>3065-(2598+254)*0.38</f>
        <v>1981.24</v>
      </c>
      <c r="DD48" s="1649">
        <f>2336-(-165+142)*0.38</f>
        <v>2344.7399999999998</v>
      </c>
      <c r="DE48" s="1649">
        <f>864+1211</f>
        <v>2075</v>
      </c>
      <c r="DF48" s="1649">
        <f>1829+295</f>
        <v>2124</v>
      </c>
      <c r="DG48" s="1649">
        <f>2349+68-672</f>
        <v>1745</v>
      </c>
      <c r="DH48" s="1649">
        <f>1629-336+49</f>
        <v>1342</v>
      </c>
      <c r="DI48" s="1649">
        <f>2489+230-843+56</f>
        <v>1932</v>
      </c>
      <c r="DJ48" s="3245">
        <f>1775+180+66</f>
        <v>2021</v>
      </c>
      <c r="DK48" s="3245">
        <f>-15849+464+272+210+59-53+16761</f>
        <v>1864</v>
      </c>
      <c r="DL48" s="3245">
        <f>1388+65+25</f>
        <v>1478</v>
      </c>
    </row>
    <row r="49" spans="1:116" ht="12.75" customHeight="1">
      <c r="A49" s="1539"/>
      <c r="B49" s="1642"/>
      <c r="C49" s="1642"/>
      <c r="D49" s="1642"/>
      <c r="E49" s="1641"/>
      <c r="F49" s="1642"/>
      <c r="G49" s="1642"/>
      <c r="H49" s="1642"/>
      <c r="I49" s="1642"/>
      <c r="J49" s="1642"/>
      <c r="K49" s="1681"/>
      <c r="L49" s="1642"/>
      <c r="M49" s="1642"/>
      <c r="N49" s="1642"/>
      <c r="O49" s="1642"/>
      <c r="P49" s="1642"/>
      <c r="Q49" s="1642"/>
      <c r="R49" s="1642"/>
      <c r="S49" s="1642"/>
      <c r="T49" s="1642"/>
      <c r="U49" s="1642"/>
      <c r="V49" s="1642"/>
      <c r="W49" s="1642"/>
      <c r="X49" s="1642"/>
      <c r="Y49" s="1642"/>
      <c r="Z49" s="1642"/>
      <c r="AA49" s="1642"/>
      <c r="AB49" s="1642"/>
      <c r="AC49" s="1642"/>
      <c r="AD49" s="1642"/>
      <c r="AE49" s="1642"/>
      <c r="AF49" s="1641"/>
      <c r="AG49" s="1642"/>
      <c r="AH49" s="1642"/>
      <c r="AI49" s="1642"/>
      <c r="AJ49" s="1641"/>
      <c r="AK49" s="1642"/>
      <c r="AL49" s="1642"/>
      <c r="AM49" s="1642"/>
      <c r="AN49" s="1641"/>
      <c r="AO49" s="1642"/>
      <c r="AP49" s="1642"/>
      <c r="AQ49" s="1642"/>
      <c r="AR49" s="1641"/>
      <c r="AS49" s="1642"/>
      <c r="AT49" s="1642"/>
      <c r="AU49" s="1642"/>
      <c r="AV49" s="1641"/>
      <c r="AW49" s="1642"/>
      <c r="AX49" s="1642"/>
      <c r="AY49" s="1642"/>
      <c r="AZ49" s="1641"/>
      <c r="BA49" s="1642"/>
      <c r="BB49" s="1642"/>
      <c r="BC49" s="1642"/>
      <c r="BD49" s="1641"/>
      <c r="BE49" s="1642"/>
      <c r="BF49" s="1642"/>
      <c r="BG49" s="1642"/>
      <c r="BH49" s="1641"/>
      <c r="BI49" s="1642"/>
      <c r="BJ49" s="1642"/>
      <c r="BK49" s="1642"/>
      <c r="BL49" s="1641"/>
      <c r="BM49" s="1642"/>
      <c r="BN49" s="1642"/>
      <c r="BO49" s="1642"/>
      <c r="BP49" s="1641"/>
      <c r="BQ49" s="1642"/>
      <c r="BR49" s="1642"/>
      <c r="BS49" s="1642"/>
      <c r="BT49" s="1641"/>
      <c r="BU49" s="1642"/>
      <c r="BV49" s="1642"/>
      <c r="BW49" s="1642"/>
      <c r="BX49" s="1641"/>
      <c r="BY49" s="1642"/>
      <c r="BZ49" s="1642"/>
      <c r="CA49" s="1642"/>
      <c r="CB49" s="1641"/>
      <c r="CC49" s="1642"/>
      <c r="CD49" s="1642"/>
      <c r="CE49" s="1642"/>
      <c r="CF49" s="1641"/>
      <c r="CG49" s="1642"/>
      <c r="CH49" s="1642"/>
      <c r="CI49" s="1642"/>
      <c r="CJ49" s="1641"/>
      <c r="CK49" s="1642"/>
      <c r="CL49" s="1642"/>
      <c r="CM49" s="1681"/>
      <c r="CN49" s="1672"/>
      <c r="CO49" s="1672"/>
      <c r="CP49" s="1672"/>
      <c r="CQ49" s="1681"/>
      <c r="CR49" s="1672"/>
      <c r="CS49" s="1672"/>
      <c r="CT49" s="1672"/>
      <c r="CU49" s="1681"/>
      <c r="CV49" s="1672"/>
      <c r="CW49" s="1672"/>
      <c r="CX49" s="1672"/>
      <c r="CY49" s="1681"/>
      <c r="CZ49" s="1672"/>
      <c r="DA49" s="1672"/>
      <c r="DB49" s="1672"/>
      <c r="DC49" s="1672"/>
      <c r="DD49" s="1672"/>
      <c r="DE49" s="1672"/>
      <c r="DF49" s="1672"/>
      <c r="DG49" s="1672"/>
      <c r="DH49" s="1672"/>
      <c r="DI49" s="1672"/>
      <c r="DJ49" s="1672"/>
      <c r="DK49" s="1672"/>
      <c r="DL49" s="1672"/>
    </row>
    <row r="50" spans="1:116" ht="12.75" customHeight="1">
      <c r="A50" s="954" t="s">
        <v>616</v>
      </c>
      <c r="B50" s="1693"/>
      <c r="C50" s="1693"/>
      <c r="D50" s="1693"/>
      <c r="E50" s="1694"/>
      <c r="F50" s="1693"/>
      <c r="G50" s="1693"/>
      <c r="H50" s="1693"/>
      <c r="I50" s="1693"/>
      <c r="J50" s="1693"/>
      <c r="K50" s="1695"/>
      <c r="L50" s="1693"/>
      <c r="M50" s="1693"/>
      <c r="N50" s="1693"/>
      <c r="O50" s="1693"/>
      <c r="P50" s="1693"/>
      <c r="Q50" s="1693"/>
      <c r="R50" s="1693"/>
      <c r="S50" s="1693"/>
      <c r="T50" s="1693"/>
      <c r="U50" s="1693"/>
      <c r="V50" s="1693"/>
      <c r="W50" s="1693"/>
      <c r="X50" s="1693"/>
      <c r="Y50" s="1693"/>
      <c r="Z50" s="1693"/>
      <c r="AA50" s="1693"/>
      <c r="AB50" s="1693"/>
      <c r="AC50" s="1693"/>
      <c r="AD50" s="1693"/>
      <c r="AE50" s="1693"/>
      <c r="AF50" s="1694"/>
      <c r="AG50" s="1693"/>
      <c r="AH50" s="1693"/>
      <c r="AI50" s="1693"/>
      <c r="AJ50" s="1694"/>
      <c r="AK50" s="1693"/>
      <c r="AL50" s="1693"/>
      <c r="AM50" s="1693"/>
      <c r="AN50" s="1694"/>
      <c r="AO50" s="1693"/>
      <c r="AP50" s="1693"/>
      <c r="AQ50" s="1693"/>
      <c r="AR50" s="1694"/>
      <c r="AS50" s="1693"/>
      <c r="AT50" s="1693"/>
      <c r="AU50" s="1693"/>
      <c r="AV50" s="1694"/>
      <c r="AW50" s="1693"/>
      <c r="AX50" s="1693"/>
      <c r="AY50" s="1693"/>
      <c r="AZ50" s="1694">
        <v>-11</v>
      </c>
      <c r="BA50" s="1693">
        <v>-38</v>
      </c>
      <c r="BB50" s="1693">
        <v>-9</v>
      </c>
      <c r="BC50" s="1693">
        <v>-25</v>
      </c>
      <c r="BD50" s="1694">
        <f>19-10</f>
        <v>9</v>
      </c>
      <c r="BE50" s="1693">
        <v>19</v>
      </c>
      <c r="BF50" s="1693">
        <v>5</v>
      </c>
      <c r="BG50" s="1693">
        <v>13</v>
      </c>
      <c r="BH50" s="1694">
        <v>16</v>
      </c>
      <c r="BI50" s="1693">
        <v>15</v>
      </c>
      <c r="BJ50" s="1693">
        <v>17</v>
      </c>
      <c r="BK50" s="1693">
        <f>10-4</f>
        <v>6</v>
      </c>
      <c r="BL50" s="1694">
        <v>71</v>
      </c>
      <c r="BM50" s="1693">
        <v>44</v>
      </c>
      <c r="BN50" s="1693">
        <v>77</v>
      </c>
      <c r="BO50" s="1693">
        <v>90</v>
      </c>
      <c r="BP50" s="1633">
        <v>392</v>
      </c>
      <c r="BQ50" s="1634">
        <v>348</v>
      </c>
      <c r="BR50" s="1634">
        <v>374</v>
      </c>
      <c r="BS50" s="1634">
        <v>284</v>
      </c>
      <c r="BT50" s="1633">
        <v>72</v>
      </c>
      <c r="BU50" s="1642">
        <v>0</v>
      </c>
      <c r="BV50" s="1642">
        <v>0</v>
      </c>
      <c r="BW50" s="1642">
        <v>0</v>
      </c>
      <c r="BX50" s="1633">
        <v>0</v>
      </c>
      <c r="BY50" s="1634">
        <v>0</v>
      </c>
      <c r="BZ50" s="1634">
        <v>0</v>
      </c>
      <c r="CA50" s="1634"/>
      <c r="CB50" s="1633"/>
      <c r="CC50" s="1634"/>
      <c r="CD50" s="1634"/>
      <c r="CE50" s="1634"/>
      <c r="CF50" s="1641"/>
      <c r="CG50" s="1642"/>
      <c r="CH50" s="1642"/>
      <c r="CI50" s="1642"/>
      <c r="CJ50" s="1641"/>
      <c r="CK50" s="1642"/>
      <c r="CL50" s="1642"/>
      <c r="CM50" s="1681"/>
      <c r="CN50" s="1672"/>
      <c r="CO50" s="1672"/>
      <c r="CP50" s="1672"/>
      <c r="CQ50" s="1681"/>
      <c r="CR50" s="1672"/>
      <c r="CS50" s="1672"/>
      <c r="CT50" s="1672"/>
      <c r="CU50" s="1681"/>
      <c r="CV50" s="1672"/>
      <c r="CW50" s="1672"/>
      <c r="CX50" s="1672"/>
      <c r="CY50" s="1681"/>
      <c r="CZ50" s="1672"/>
      <c r="DA50" s="1672"/>
      <c r="DB50" s="1672"/>
      <c r="DC50" s="1672"/>
      <c r="DD50" s="1672"/>
      <c r="DE50" s="1672"/>
      <c r="DF50" s="1672"/>
      <c r="DG50" s="1672"/>
      <c r="DH50" s="1672"/>
      <c r="DI50" s="1672"/>
      <c r="DJ50" s="1672"/>
      <c r="DK50" s="1672"/>
      <c r="DL50" s="1672"/>
    </row>
    <row r="51" spans="1:116" ht="12.75" customHeight="1">
      <c r="A51" s="1539"/>
      <c r="B51" s="1642"/>
      <c r="C51" s="1642"/>
      <c r="D51" s="1642"/>
      <c r="E51" s="1641"/>
      <c r="F51" s="1642"/>
      <c r="G51" s="1642"/>
      <c r="H51" s="1642"/>
      <c r="I51" s="1642"/>
      <c r="J51" s="1642"/>
      <c r="K51" s="1681"/>
      <c r="L51" s="1642"/>
      <c r="M51" s="1642"/>
      <c r="N51" s="1642"/>
      <c r="O51" s="1642"/>
      <c r="P51" s="1642"/>
      <c r="Q51" s="1642"/>
      <c r="R51" s="1642"/>
      <c r="S51" s="1642"/>
      <c r="T51" s="1642"/>
      <c r="U51" s="1642"/>
      <c r="V51" s="1642"/>
      <c r="W51" s="1642"/>
      <c r="X51" s="1642"/>
      <c r="Y51" s="1642"/>
      <c r="Z51" s="1642"/>
      <c r="AA51" s="1642"/>
      <c r="AB51" s="1642"/>
      <c r="AC51" s="1642"/>
      <c r="AD51" s="1642"/>
      <c r="AE51" s="1642"/>
      <c r="AF51" s="1641"/>
      <c r="AG51" s="1642"/>
      <c r="AH51" s="1642"/>
      <c r="AI51" s="1642"/>
      <c r="AJ51" s="1641"/>
      <c r="AK51" s="1642"/>
      <c r="AL51" s="1642"/>
      <c r="AM51" s="1642"/>
      <c r="AN51" s="1641"/>
      <c r="AO51" s="1642"/>
      <c r="AP51" s="1642"/>
      <c r="AQ51" s="1642"/>
      <c r="AR51" s="1641"/>
      <c r="AS51" s="1642"/>
      <c r="AT51" s="1642"/>
      <c r="AU51" s="1642"/>
      <c r="AV51" s="1641"/>
      <c r="AW51" s="1642"/>
      <c r="AX51" s="1642"/>
      <c r="AY51" s="1642"/>
      <c r="AZ51" s="1641"/>
      <c r="BA51" s="1642"/>
      <c r="BB51" s="1642"/>
      <c r="BC51" s="1642"/>
      <c r="BD51" s="1641"/>
      <c r="BE51" s="1642"/>
      <c r="BF51" s="1642"/>
      <c r="BG51" s="1642"/>
      <c r="BH51" s="1641"/>
      <c r="BI51" s="1642"/>
      <c r="BJ51" s="1642"/>
      <c r="BK51" s="1642"/>
      <c r="BL51" s="1641"/>
      <c r="BM51" s="1642"/>
      <c r="BN51" s="1642"/>
      <c r="BO51" s="1642"/>
      <c r="BP51" s="1641"/>
      <c r="BQ51" s="1642"/>
      <c r="BR51" s="1642"/>
      <c r="BS51" s="1642"/>
      <c r="BT51" s="1641"/>
      <c r="BU51" s="1642"/>
      <c r="BV51" s="1642"/>
      <c r="BW51" s="1642"/>
      <c r="BX51" s="1641"/>
      <c r="BY51" s="1642"/>
      <c r="BZ51" s="1642"/>
      <c r="CA51" s="1642"/>
      <c r="CB51" s="1641"/>
      <c r="CC51" s="1642"/>
      <c r="CD51" s="1642"/>
      <c r="CE51" s="1642"/>
      <c r="CF51" s="1641"/>
      <c r="CG51" s="1642"/>
      <c r="CH51" s="1642"/>
      <c r="CI51" s="1642"/>
      <c r="CJ51" s="1641"/>
      <c r="CK51" s="1642"/>
      <c r="CL51" s="1642"/>
      <c r="CM51" s="1681"/>
      <c r="CN51" s="1672"/>
      <c r="CO51" s="1672"/>
      <c r="CP51" s="1672"/>
      <c r="CQ51" s="1681"/>
      <c r="CR51" s="1672"/>
      <c r="CS51" s="1672"/>
      <c r="CT51" s="1672"/>
      <c r="CU51" s="1681"/>
      <c r="CV51" s="1672"/>
      <c r="CW51" s="1672"/>
      <c r="CX51" s="1672"/>
      <c r="CY51" s="1681"/>
      <c r="CZ51" s="1672"/>
      <c r="DA51" s="1672"/>
      <c r="DB51" s="1672"/>
      <c r="DC51" s="1672"/>
      <c r="DD51" s="1672"/>
      <c r="DE51" s="1672"/>
      <c r="DF51" s="1672"/>
      <c r="DG51" s="1672"/>
      <c r="DH51" s="1672"/>
      <c r="DI51" s="1672"/>
      <c r="DJ51" s="1672"/>
      <c r="DK51" s="1672"/>
      <c r="DL51" s="1672"/>
    </row>
    <row r="52" spans="1:116" ht="12.75" customHeight="1">
      <c r="A52" s="954" t="s">
        <v>984</v>
      </c>
      <c r="B52" s="1693"/>
      <c r="C52" s="1693"/>
      <c r="D52" s="1693"/>
      <c r="E52" s="1694">
        <f t="shared" ref="E52:K52" si="92">E41+E43+E44+E46-E45-E48</f>
        <v>6537</v>
      </c>
      <c r="F52" s="1693">
        <f t="shared" si="92"/>
        <v>7358</v>
      </c>
      <c r="G52" s="1693">
        <f t="shared" si="92"/>
        <v>7797.0905524681266</v>
      </c>
      <c r="H52" s="1693">
        <f t="shared" si="92"/>
        <v>8584</v>
      </c>
      <c r="I52" s="1693">
        <f t="shared" si="92"/>
        <v>8497</v>
      </c>
      <c r="J52" s="1693">
        <f t="shared" si="92"/>
        <v>8064</v>
      </c>
      <c r="K52" s="1695">
        <f t="shared" si="92"/>
        <v>7097</v>
      </c>
      <c r="L52" s="1693"/>
      <c r="M52" s="1693"/>
      <c r="N52" s="1693"/>
      <c r="O52" s="1693"/>
      <c r="P52" s="1693"/>
      <c r="Q52" s="1693"/>
      <c r="R52" s="1693"/>
      <c r="S52" s="1693"/>
      <c r="T52" s="1693"/>
      <c r="U52" s="1693"/>
      <c r="V52" s="1693"/>
      <c r="W52" s="1693"/>
      <c r="X52" s="1693"/>
      <c r="Y52" s="1693"/>
      <c r="Z52" s="1693"/>
      <c r="AA52" s="1693"/>
      <c r="AB52" s="1693"/>
      <c r="AC52" s="1693"/>
      <c r="AD52" s="1693"/>
      <c r="AE52" s="1693"/>
      <c r="AF52" s="1694">
        <f t="shared" ref="AF52:AY52" si="93">AF41+AF43+AF44+AF46-AF45-AF48</f>
        <v>1588</v>
      </c>
      <c r="AG52" s="1693">
        <f t="shared" si="93"/>
        <v>1626</v>
      </c>
      <c r="AH52" s="1693">
        <f t="shared" si="93"/>
        <v>1740</v>
      </c>
      <c r="AI52" s="1693">
        <f t="shared" si="93"/>
        <v>1583</v>
      </c>
      <c r="AJ52" s="1694">
        <f t="shared" si="93"/>
        <v>1727</v>
      </c>
      <c r="AK52" s="1693">
        <f t="shared" si="93"/>
        <v>1747</v>
      </c>
      <c r="AL52" s="1693">
        <f t="shared" si="93"/>
        <v>1903</v>
      </c>
      <c r="AM52" s="1693">
        <f t="shared" si="93"/>
        <v>1981</v>
      </c>
      <c r="AN52" s="1694">
        <f t="shared" si="93"/>
        <v>1850.0905524681268</v>
      </c>
      <c r="AO52" s="1693">
        <f t="shared" si="93"/>
        <v>1871</v>
      </c>
      <c r="AP52" s="1693">
        <f t="shared" si="93"/>
        <v>1996</v>
      </c>
      <c r="AQ52" s="1693">
        <f t="shared" si="93"/>
        <v>2080</v>
      </c>
      <c r="AR52" s="1694">
        <f t="shared" si="93"/>
        <v>1895</v>
      </c>
      <c r="AS52" s="1693">
        <f t="shared" si="93"/>
        <v>1993</v>
      </c>
      <c r="AT52" s="1693">
        <f t="shared" si="93"/>
        <v>1984</v>
      </c>
      <c r="AU52" s="1693">
        <f t="shared" si="93"/>
        <v>2108</v>
      </c>
      <c r="AV52" s="1694">
        <f t="shared" si="93"/>
        <v>1956</v>
      </c>
      <c r="AW52" s="1693">
        <f t="shared" si="93"/>
        <v>2101</v>
      </c>
      <c r="AX52" s="1693">
        <f t="shared" si="93"/>
        <v>2040</v>
      </c>
      <c r="AY52" s="1693">
        <f t="shared" si="93"/>
        <v>2093</v>
      </c>
      <c r="AZ52" s="1694">
        <f>AZ41+AZ43+AZ44+AZ46-AZ45-AZ48+AZ42+AZ50</f>
        <v>1969</v>
      </c>
      <c r="BA52" s="1693">
        <f>BA41+BA43+BA44+BA46-BA45-BA48+BA42+BA50</f>
        <v>2095</v>
      </c>
      <c r="BB52" s="1693">
        <f>BB41+BB43+BB44+BB46-BB45-BB48+BB42+BB50</f>
        <v>2108</v>
      </c>
      <c r="BC52" s="1693">
        <f>BC41+BC43+BC44+BC46-BC45-BC48+BC42+BC50</f>
        <v>2191</v>
      </c>
      <c r="BD52" s="1694">
        <f t="shared" ref="BD52:CU52" si="94">BD47-BD48+BD50</f>
        <v>1903</v>
      </c>
      <c r="BE52" s="1693">
        <f t="shared" si="94"/>
        <v>1909</v>
      </c>
      <c r="BF52" s="1693">
        <f t="shared" si="94"/>
        <v>1872</v>
      </c>
      <c r="BG52" s="1693">
        <f t="shared" si="94"/>
        <v>1595</v>
      </c>
      <c r="BH52" s="1694">
        <f t="shared" si="94"/>
        <v>1629</v>
      </c>
      <c r="BI52" s="1693">
        <f t="shared" si="94"/>
        <v>1787</v>
      </c>
      <c r="BJ52" s="1693">
        <f t="shared" si="94"/>
        <v>1816</v>
      </c>
      <c r="BK52" s="1693">
        <f t="shared" si="94"/>
        <v>1803</v>
      </c>
      <c r="BL52" s="1694">
        <f t="shared" si="94"/>
        <v>1757</v>
      </c>
      <c r="BM52" s="1693">
        <f t="shared" si="94"/>
        <v>1767</v>
      </c>
      <c r="BN52" s="1693">
        <f t="shared" si="94"/>
        <v>1848</v>
      </c>
      <c r="BO52" s="1693">
        <f t="shared" si="94"/>
        <v>1779</v>
      </c>
      <c r="BP52" s="1694">
        <f t="shared" si="94"/>
        <v>1985.9316888045505</v>
      </c>
      <c r="BQ52" s="1693">
        <f t="shared" si="94"/>
        <v>1874</v>
      </c>
      <c r="BR52" s="1693">
        <f t="shared" si="94"/>
        <v>1987</v>
      </c>
      <c r="BS52" s="1693">
        <f t="shared" si="94"/>
        <v>1806</v>
      </c>
      <c r="BT52" s="1694">
        <f t="shared" si="94"/>
        <v>1630</v>
      </c>
      <c r="BU52" s="1693">
        <f t="shared" si="94"/>
        <v>1700</v>
      </c>
      <c r="BV52" s="1693">
        <f t="shared" si="94"/>
        <v>1814</v>
      </c>
      <c r="BW52" s="1693">
        <f t="shared" si="94"/>
        <v>1782</v>
      </c>
      <c r="BX52" s="1694">
        <f t="shared" si="94"/>
        <v>1741</v>
      </c>
      <c r="BY52" s="1693">
        <f t="shared" si="94"/>
        <v>1904</v>
      </c>
      <c r="BZ52" s="1693">
        <f t="shared" si="94"/>
        <v>1865</v>
      </c>
      <c r="CA52" s="1693">
        <f t="shared" si="94"/>
        <v>1725</v>
      </c>
      <c r="CB52" s="1694">
        <f t="shared" si="94"/>
        <v>1445.6990000000001</v>
      </c>
      <c r="CC52" s="1693">
        <f t="shared" si="94"/>
        <v>1463.127</v>
      </c>
      <c r="CD52" s="1693">
        <f t="shared" si="94"/>
        <v>1366.6620000000003</v>
      </c>
      <c r="CE52" s="1693">
        <f t="shared" si="94"/>
        <v>1259.1489999999999</v>
      </c>
      <c r="CF52" s="1694">
        <f t="shared" si="94"/>
        <v>1353.684</v>
      </c>
      <c r="CG52" s="1693">
        <f t="shared" si="94"/>
        <v>1452.0829999999996</v>
      </c>
      <c r="CH52" s="1693">
        <f t="shared" si="94"/>
        <v>1546.7469999999998</v>
      </c>
      <c r="CI52" s="1693">
        <f t="shared" si="94"/>
        <v>1525.6179999999999</v>
      </c>
      <c r="CJ52" s="1694">
        <f t="shared" si="94"/>
        <v>1439</v>
      </c>
      <c r="CK52" s="1693">
        <f t="shared" si="94"/>
        <v>1609</v>
      </c>
      <c r="CL52" s="1693">
        <f t="shared" si="94"/>
        <v>1579.69</v>
      </c>
      <c r="CM52" s="1695">
        <f t="shared" si="94"/>
        <v>1461.3424999999997</v>
      </c>
      <c r="CN52" s="1267">
        <f t="shared" si="94"/>
        <v>1685.51</v>
      </c>
      <c r="CO52" s="1267">
        <f t="shared" si="94"/>
        <v>1824.51</v>
      </c>
      <c r="CP52" s="1267">
        <f t="shared" si="94"/>
        <v>1820.0119999999999</v>
      </c>
      <c r="CQ52" s="1695">
        <f t="shared" si="94"/>
        <v>1061.482</v>
      </c>
      <c r="CR52" s="1267">
        <f t="shared" si="94"/>
        <v>1942</v>
      </c>
      <c r="CS52" s="1267">
        <f t="shared" si="94"/>
        <v>2088.69</v>
      </c>
      <c r="CT52" s="1267">
        <f t="shared" si="94"/>
        <v>2199.16</v>
      </c>
      <c r="CU52" s="1695">
        <f t="shared" si="94"/>
        <v>1868.6399999999999</v>
      </c>
      <c r="CV52" s="1267">
        <f t="shared" ref="CV52:DA52" si="95">CV47-CV48+CV50</f>
        <v>3780</v>
      </c>
      <c r="CW52" s="1267">
        <f t="shared" si="95"/>
        <v>3769.66</v>
      </c>
      <c r="CX52" s="1267">
        <f t="shared" si="95"/>
        <v>3695</v>
      </c>
      <c r="CY52" s="1695">
        <f t="shared" si="95"/>
        <v>2963.98</v>
      </c>
      <c r="CZ52" s="1267">
        <f t="shared" si="95"/>
        <v>4219</v>
      </c>
      <c r="DA52" s="1267">
        <f t="shared" si="95"/>
        <v>4231</v>
      </c>
      <c r="DB52" s="1267">
        <f t="shared" ref="DB52:DG52" si="96">DB47-DB48+DB50</f>
        <v>4250.04</v>
      </c>
      <c r="DC52" s="1267">
        <f t="shared" si="96"/>
        <v>3622.76</v>
      </c>
      <c r="DD52" s="1267">
        <f t="shared" si="96"/>
        <v>4324.26</v>
      </c>
      <c r="DE52" s="1267">
        <f t="shared" si="96"/>
        <v>3856</v>
      </c>
      <c r="DF52" s="1267">
        <f t="shared" si="96"/>
        <v>4122</v>
      </c>
      <c r="DG52" s="1267">
        <f t="shared" si="96"/>
        <v>3510</v>
      </c>
      <c r="DH52" s="1267">
        <f t="shared" ref="DH52:DI52" si="97">DH47-DH48+DH50</f>
        <v>3863</v>
      </c>
      <c r="DI52" s="1267">
        <f t="shared" si="97"/>
        <v>3904</v>
      </c>
      <c r="DJ52" s="1267">
        <f t="shared" ref="DJ52:DK52" si="98">DJ47-DJ48+DJ50</f>
        <v>3994</v>
      </c>
      <c r="DK52" s="1267">
        <f t="shared" si="98"/>
        <v>3514</v>
      </c>
      <c r="DL52" s="1267">
        <f t="shared" ref="DL52" si="99">DL47-DL48+DL50</f>
        <v>4811</v>
      </c>
    </row>
    <row r="53" spans="1:116" ht="12.75" customHeight="1">
      <c r="A53" s="1539" t="s">
        <v>617</v>
      </c>
      <c r="B53" s="1642"/>
      <c r="C53" s="1642"/>
      <c r="D53" s="1642"/>
      <c r="E53" s="1641"/>
      <c r="F53" s="1642"/>
      <c r="G53" s="1642"/>
      <c r="H53" s="1642"/>
      <c r="I53" s="1642"/>
      <c r="J53" s="1642"/>
      <c r="K53" s="1681">
        <v>15</v>
      </c>
      <c r="L53" s="1642"/>
      <c r="M53" s="1642"/>
      <c r="N53" s="1642"/>
      <c r="O53" s="1642"/>
      <c r="P53" s="1642"/>
      <c r="Q53" s="1642"/>
      <c r="R53" s="1642"/>
      <c r="S53" s="1642"/>
      <c r="T53" s="1642"/>
      <c r="U53" s="1642"/>
      <c r="V53" s="1642"/>
      <c r="W53" s="1642"/>
      <c r="X53" s="1642"/>
      <c r="Y53" s="1642"/>
      <c r="Z53" s="1642"/>
      <c r="AA53" s="1642"/>
      <c r="AB53" s="1642"/>
      <c r="AC53" s="1642"/>
      <c r="AD53" s="1642"/>
      <c r="AE53" s="1642"/>
      <c r="AF53" s="1641"/>
      <c r="AG53" s="1642"/>
      <c r="AH53" s="1642"/>
      <c r="AI53" s="1642"/>
      <c r="AJ53" s="1641"/>
      <c r="AK53" s="1642"/>
      <c r="AL53" s="1642"/>
      <c r="AM53" s="1642"/>
      <c r="AN53" s="1641"/>
      <c r="AO53" s="1642"/>
      <c r="AP53" s="1642"/>
      <c r="AQ53" s="1642"/>
      <c r="AR53" s="1641"/>
      <c r="AS53" s="1642"/>
      <c r="AT53" s="1642"/>
      <c r="AU53" s="1642"/>
      <c r="AV53" s="1641"/>
      <c r="AW53" s="1642"/>
      <c r="AX53" s="1642"/>
      <c r="AY53" s="1642"/>
      <c r="AZ53" s="1641"/>
      <c r="BA53" s="1642"/>
      <c r="BB53" s="1642"/>
      <c r="BC53" s="1642"/>
      <c r="BD53" s="1641">
        <v>20</v>
      </c>
      <c r="BE53" s="1642">
        <v>20</v>
      </c>
      <c r="BF53" s="1642">
        <v>21</v>
      </c>
      <c r="BG53" s="1642">
        <v>0</v>
      </c>
      <c r="BH53" s="1641">
        <v>22</v>
      </c>
      <c r="BI53" s="1642">
        <v>18</v>
      </c>
      <c r="BJ53" s="1642">
        <v>14</v>
      </c>
      <c r="BK53" s="1642">
        <v>14</v>
      </c>
      <c r="BL53" s="1641">
        <v>14</v>
      </c>
      <c r="BM53" s="1642">
        <v>15</v>
      </c>
      <c r="BN53" s="1642">
        <v>15</v>
      </c>
      <c r="BO53" s="1642">
        <f>17+14</f>
        <v>31</v>
      </c>
      <c r="BP53" s="1641">
        <v>15</v>
      </c>
      <c r="BQ53" s="1642">
        <v>12</v>
      </c>
      <c r="BR53" s="1642">
        <v>4</v>
      </c>
      <c r="BS53" s="1642">
        <f>31-SUM(BP53:BR53)</f>
        <v>0</v>
      </c>
      <c r="BT53" s="1641">
        <v>0</v>
      </c>
      <c r="BU53" s="1642">
        <v>0</v>
      </c>
      <c r="BV53" s="1642">
        <v>0</v>
      </c>
      <c r="BW53" s="1642">
        <v>0</v>
      </c>
      <c r="BX53" s="1641">
        <v>0</v>
      </c>
      <c r="BY53" s="1642">
        <v>0</v>
      </c>
      <c r="BZ53" s="1642">
        <v>0</v>
      </c>
      <c r="CA53" s="1642">
        <v>0</v>
      </c>
      <c r="CB53" s="1641">
        <v>0</v>
      </c>
      <c r="CC53" s="1642"/>
      <c r="CD53" s="1642"/>
      <c r="CE53" s="1642"/>
      <c r="CF53" s="1641"/>
      <c r="CG53" s="1642"/>
      <c r="CH53" s="1642"/>
      <c r="CI53" s="1642"/>
      <c r="CJ53" s="1641"/>
      <c r="CK53" s="1642"/>
      <c r="CL53" s="1642"/>
      <c r="CM53" s="1681"/>
      <c r="CN53" s="1672"/>
      <c r="CO53" s="1672"/>
      <c r="CP53" s="1672"/>
      <c r="CQ53" s="1681"/>
      <c r="CR53" s="1672"/>
      <c r="CS53" s="1672"/>
      <c r="CT53" s="1672"/>
      <c r="CU53" s="1681"/>
      <c r="CV53" s="1672"/>
      <c r="CW53" s="1672"/>
      <c r="CX53" s="1672"/>
      <c r="CY53" s="1681"/>
      <c r="CZ53" s="1672"/>
      <c r="DA53" s="1672"/>
      <c r="DB53" s="1672"/>
      <c r="DC53" s="1672"/>
      <c r="DD53" s="1672"/>
      <c r="DE53" s="1672"/>
      <c r="DF53" s="1672"/>
      <c r="DG53" s="1672"/>
      <c r="DH53" s="1672"/>
      <c r="DI53" s="1672"/>
      <c r="DJ53" s="1672"/>
      <c r="DK53" s="1672"/>
      <c r="DL53" s="1672"/>
    </row>
    <row r="54" spans="1:116" s="1712" customFormat="1" ht="12.75" customHeight="1">
      <c r="A54" s="1667" t="s">
        <v>1577</v>
      </c>
      <c r="E54" s="1713">
        <v>2.38</v>
      </c>
      <c r="F54" s="1712">
        <v>2.67</v>
      </c>
      <c r="G54" s="1712">
        <f>G52/G55</f>
        <v>2.8077387657429336</v>
      </c>
      <c r="H54" s="1712">
        <f>H52/H55</f>
        <v>3.1362805991962004</v>
      </c>
      <c r="I54" s="1712">
        <f>I52/I55</f>
        <v>3.1124542124542125</v>
      </c>
      <c r="J54" s="1712">
        <f>J52/J55</f>
        <v>2.9090909090909092</v>
      </c>
      <c r="K54" s="1714">
        <f>K52/K55</f>
        <v>2.5446396557906059</v>
      </c>
      <c r="AF54" s="1713">
        <f t="shared" ref="AF54:AM54" si="100">AF52/AF55</f>
        <v>0.57935060197008392</v>
      </c>
      <c r="AG54" s="1712">
        <f t="shared" si="100"/>
        <v>0.59386413440467489</v>
      </c>
      <c r="AH54" s="1712">
        <f t="shared" si="100"/>
        <v>0.63900110172603741</v>
      </c>
      <c r="AI54" s="1712">
        <f t="shared" si="100"/>
        <v>0.574800290486565</v>
      </c>
      <c r="AJ54" s="1713">
        <f t="shared" si="100"/>
        <v>0.62572463768115938</v>
      </c>
      <c r="AK54" s="1712">
        <f t="shared" si="100"/>
        <v>0.63205499276411004</v>
      </c>
      <c r="AL54" s="1712">
        <f t="shared" si="100"/>
        <v>0.69604974396488661</v>
      </c>
      <c r="AM54" s="1712">
        <f t="shared" si="100"/>
        <v>0.71567919075144504</v>
      </c>
      <c r="AN54" s="1713">
        <v>0.67</v>
      </c>
      <c r="AO54" s="1712">
        <v>0.67</v>
      </c>
      <c r="AP54" s="1712">
        <v>0.72</v>
      </c>
      <c r="AQ54" s="1712">
        <v>0.75</v>
      </c>
      <c r="AR54" s="1713">
        <v>0.65</v>
      </c>
      <c r="AS54" s="1712">
        <v>0.72</v>
      </c>
      <c r="AT54" s="1712">
        <v>0.73</v>
      </c>
      <c r="AU54" s="1712">
        <v>0.77</v>
      </c>
      <c r="AV54" s="1713">
        <v>0.72</v>
      </c>
      <c r="AW54" s="1712">
        <v>0.77</v>
      </c>
      <c r="AX54" s="1712">
        <v>0.75</v>
      </c>
      <c r="AY54" s="1712">
        <v>0.77</v>
      </c>
      <c r="AZ54" s="1713">
        <v>0.72</v>
      </c>
      <c r="BA54" s="1712">
        <v>0.77</v>
      </c>
      <c r="BB54" s="1712">
        <v>0.77</v>
      </c>
      <c r="BC54" s="1712">
        <v>0.79</v>
      </c>
      <c r="BD54" s="1713">
        <f t="shared" ref="BD54:CV54" si="101">(BD52+BD53)/BD55</f>
        <v>0.68119022316684374</v>
      </c>
      <c r="BE54" s="1712">
        <f t="shared" si="101"/>
        <v>0.68162544169611305</v>
      </c>
      <c r="BF54" s="1712">
        <f t="shared" si="101"/>
        <v>0.6679604798870854</v>
      </c>
      <c r="BG54" s="1712">
        <f t="shared" si="101"/>
        <v>0.57685352622061481</v>
      </c>
      <c r="BH54" s="1713">
        <f t="shared" si="101"/>
        <v>0.57990867579908678</v>
      </c>
      <c r="BI54" s="1712">
        <f t="shared" si="101"/>
        <v>0.636908962597036</v>
      </c>
      <c r="BJ54" s="1712">
        <f t="shared" si="101"/>
        <v>0.64893617021276595</v>
      </c>
      <c r="BK54" s="1712">
        <f t="shared" si="101"/>
        <v>0.64364151611760534</v>
      </c>
      <c r="BL54" s="1713">
        <f t="shared" si="101"/>
        <v>0.62779156327543428</v>
      </c>
      <c r="BM54" s="1712">
        <f t="shared" si="101"/>
        <v>0.63213905640297974</v>
      </c>
      <c r="BN54" s="1712">
        <f t="shared" si="101"/>
        <v>0.66134185303514381</v>
      </c>
      <c r="BO54" s="1712">
        <f t="shared" si="101"/>
        <v>0.64275568181818177</v>
      </c>
      <c r="BP54" s="1713">
        <f t="shared" si="101"/>
        <v>0.67530600364649018</v>
      </c>
      <c r="BQ54" s="1712">
        <f t="shared" si="101"/>
        <v>0.63953882672092233</v>
      </c>
      <c r="BR54" s="1712">
        <f t="shared" si="101"/>
        <v>0.68114950393431406</v>
      </c>
      <c r="BS54" s="1712">
        <f t="shared" si="101"/>
        <v>0.61870503597122306</v>
      </c>
      <c r="BT54" s="1713">
        <f t="shared" si="101"/>
        <v>0.55994503607007906</v>
      </c>
      <c r="BU54" s="1712">
        <f t="shared" si="101"/>
        <v>0.58479532163742687</v>
      </c>
      <c r="BV54" s="1712">
        <f t="shared" si="101"/>
        <v>0.62551724137931031</v>
      </c>
      <c r="BW54" s="1712">
        <f t="shared" si="101"/>
        <v>0.61639571082670352</v>
      </c>
      <c r="BX54" s="1713">
        <f t="shared" si="101"/>
        <v>0.60767888307155327</v>
      </c>
      <c r="BY54" s="1712">
        <f t="shared" si="101"/>
        <v>0.66783584707120314</v>
      </c>
      <c r="BZ54" s="1712">
        <f t="shared" si="101"/>
        <v>0.65553602811950795</v>
      </c>
      <c r="CA54" s="1712">
        <f t="shared" si="101"/>
        <v>0.60718057022175287</v>
      </c>
      <c r="CB54" s="1713">
        <f t="shared" si="101"/>
        <v>0.5088697641675467</v>
      </c>
      <c r="CC54" s="1712">
        <f t="shared" si="101"/>
        <v>0.51500422386483635</v>
      </c>
      <c r="CD54" s="1712">
        <f t="shared" si="101"/>
        <v>0.48104963041182691</v>
      </c>
      <c r="CE54" s="1712">
        <f t="shared" si="101"/>
        <v>0.44320626539950719</v>
      </c>
      <c r="CF54" s="1713">
        <f t="shared" si="101"/>
        <v>0.47732157968970379</v>
      </c>
      <c r="CG54" s="1712">
        <f t="shared" si="101"/>
        <v>0.51364803678811444</v>
      </c>
      <c r="CH54" s="1712">
        <f t="shared" si="101"/>
        <v>0.54674690703428763</v>
      </c>
      <c r="CI54" s="1712">
        <f t="shared" si="101"/>
        <v>0.53927819017320611</v>
      </c>
      <c r="CJ54" s="1713">
        <f t="shared" si="101"/>
        <v>0.50848056537102471</v>
      </c>
      <c r="CK54" s="1712">
        <f t="shared" si="101"/>
        <v>0.56814971751412424</v>
      </c>
      <c r="CL54" s="1712">
        <f t="shared" si="101"/>
        <v>0.55740649258997887</v>
      </c>
      <c r="CM54" s="1714">
        <f t="shared" si="101"/>
        <v>0.5154647266313932</v>
      </c>
      <c r="CN54" s="1715">
        <f t="shared" si="101"/>
        <v>0.59161460161460167</v>
      </c>
      <c r="CO54" s="1715">
        <f t="shared" si="101"/>
        <v>0.63838698390482851</v>
      </c>
      <c r="CP54" s="1715">
        <f t="shared" si="101"/>
        <v>0.63503558967201668</v>
      </c>
      <c r="CQ54" s="1714">
        <f t="shared" si="101"/>
        <v>0.3708881900768693</v>
      </c>
      <c r="CR54" s="1715">
        <f t="shared" si="101"/>
        <v>0.67618384401114207</v>
      </c>
      <c r="CS54" s="1715">
        <f t="shared" si="101"/>
        <v>0.72725974930362114</v>
      </c>
      <c r="CT54" s="1715">
        <f t="shared" si="101"/>
        <v>0.76519137091162137</v>
      </c>
      <c r="CU54" s="1714">
        <f t="shared" si="101"/>
        <v>0.64996173913043476</v>
      </c>
      <c r="CV54" s="1715">
        <f t="shared" si="101"/>
        <v>0.91084337349397593</v>
      </c>
      <c r="CW54" s="1715">
        <f t="shared" ref="CW54:DB54" si="102">(CW52+CW53)/CW55</f>
        <v>0.90769564170479167</v>
      </c>
      <c r="CX54" s="1715">
        <f t="shared" si="102"/>
        <v>0.88843471988458766</v>
      </c>
      <c r="CY54" s="1714">
        <f t="shared" si="102"/>
        <v>0.71300938176569639</v>
      </c>
      <c r="CZ54" s="1917">
        <f t="shared" si="102"/>
        <v>1.0237806357680175</v>
      </c>
      <c r="DA54" s="1917">
        <f t="shared" si="102"/>
        <v>1.0357405140758873</v>
      </c>
      <c r="DB54" s="1917">
        <f t="shared" si="102"/>
        <v>1.0437229862475441</v>
      </c>
      <c r="DC54" s="1917">
        <f t="shared" ref="DC54:DH54" si="103">(DC52+DC53)/DC55</f>
        <v>0.8888027477919529</v>
      </c>
      <c r="DD54" s="1917">
        <f t="shared" si="103"/>
        <v>1.0585703794369645</v>
      </c>
      <c r="DE54" s="1917">
        <f t="shared" si="103"/>
        <v>0.94394124847001226</v>
      </c>
      <c r="DF54" s="1917">
        <f t="shared" si="103"/>
        <v>1.0088105726872247</v>
      </c>
      <c r="DG54" s="1917">
        <f t="shared" si="103"/>
        <v>0.85882065084413994</v>
      </c>
      <c r="DH54" s="1917">
        <f t="shared" si="103"/>
        <v>0.94519207242476144</v>
      </c>
      <c r="DI54" s="1917">
        <f t="shared" ref="DI54:DJ54" si="104">(DI52+DI53)/DI55</f>
        <v>0.95639392454679084</v>
      </c>
      <c r="DJ54" s="1917">
        <f t="shared" si="104"/>
        <v>0.97676693568109563</v>
      </c>
      <c r="DK54" s="1917">
        <f t="shared" ref="DK54:DL54" si="105">(DK52+DK53)/DK55</f>
        <v>0.85916870415647917</v>
      </c>
      <c r="DL54" s="1917">
        <f t="shared" si="105"/>
        <v>1.1714146579011444</v>
      </c>
    </row>
    <row r="55" spans="1:116" ht="12.75" customHeight="1">
      <c r="A55" s="1539" t="s">
        <v>1584</v>
      </c>
      <c r="B55" s="1642"/>
      <c r="C55" s="1642"/>
      <c r="D55" s="1642"/>
      <c r="E55" s="1641">
        <v>2745</v>
      </c>
      <c r="F55" s="1642">
        <v>2759</v>
      </c>
      <c r="G55" s="1642">
        <v>2777</v>
      </c>
      <c r="H55" s="1642">
        <v>2737</v>
      </c>
      <c r="I55" s="1642">
        <v>2730</v>
      </c>
      <c r="J55" s="1642">
        <v>2772</v>
      </c>
      <c r="K55" s="1681">
        <v>2789</v>
      </c>
      <c r="L55" s="1642"/>
      <c r="M55" s="1642"/>
      <c r="N55" s="1642"/>
      <c r="O55" s="1642"/>
      <c r="P55" s="1642"/>
      <c r="Q55" s="1642"/>
      <c r="R55" s="1642"/>
      <c r="S55" s="1642"/>
      <c r="T55" s="1642"/>
      <c r="U55" s="1642"/>
      <c r="V55" s="1642"/>
      <c r="W55" s="1642"/>
      <c r="X55" s="1642"/>
      <c r="Y55" s="1642"/>
      <c r="Z55" s="1642"/>
      <c r="AA55" s="1642"/>
      <c r="AB55" s="1642"/>
      <c r="AC55" s="1642"/>
      <c r="AD55" s="1642"/>
      <c r="AE55" s="1642"/>
      <c r="AF55" s="1641">
        <v>2741</v>
      </c>
      <c r="AG55" s="1642">
        <v>2738</v>
      </c>
      <c r="AH55" s="1642">
        <v>2723</v>
      </c>
      <c r="AI55" s="1642">
        <v>2754</v>
      </c>
      <c r="AJ55" s="1641">
        <v>2760</v>
      </c>
      <c r="AK55" s="1642">
        <v>2764</v>
      </c>
      <c r="AL55" s="1642">
        <v>2734</v>
      </c>
      <c r="AM55" s="1642">
        <v>2768</v>
      </c>
      <c r="AN55" s="1641">
        <v>2774</v>
      </c>
      <c r="AO55" s="1642">
        <v>2775</v>
      </c>
      <c r="AP55" s="1642">
        <v>2786</v>
      </c>
      <c r="AQ55" s="1642">
        <v>2778</v>
      </c>
      <c r="AR55" s="1641">
        <v>2755.96</v>
      </c>
      <c r="AS55" s="1642">
        <v>2746.74</v>
      </c>
      <c r="AT55" s="1642">
        <v>2722</v>
      </c>
      <c r="AU55" s="1642">
        <v>2725</v>
      </c>
      <c r="AV55" s="1641">
        <v>2725</v>
      </c>
      <c r="AW55" s="1642">
        <v>2731</v>
      </c>
      <c r="AX55" s="1642">
        <v>2735</v>
      </c>
      <c r="AY55" s="1642">
        <v>2734</v>
      </c>
      <c r="AZ55" s="1641">
        <v>2732</v>
      </c>
      <c r="BA55" s="1642">
        <v>2733</v>
      </c>
      <c r="BB55" s="1642">
        <v>2749</v>
      </c>
      <c r="BC55" s="1642">
        <v>2772</v>
      </c>
      <c r="BD55" s="1641">
        <v>2823</v>
      </c>
      <c r="BE55" s="1642">
        <v>2830</v>
      </c>
      <c r="BF55" s="1642">
        <v>2834</v>
      </c>
      <c r="BG55" s="1642">
        <v>2765</v>
      </c>
      <c r="BH55" s="1641">
        <v>2847</v>
      </c>
      <c r="BI55" s="1642">
        <v>2834</v>
      </c>
      <c r="BJ55" s="1642">
        <v>2820</v>
      </c>
      <c r="BK55" s="1642">
        <v>2823</v>
      </c>
      <c r="BL55" s="1641">
        <v>2821</v>
      </c>
      <c r="BM55" s="1642">
        <v>2819</v>
      </c>
      <c r="BN55" s="1642">
        <v>2817</v>
      </c>
      <c r="BO55" s="1642">
        <v>2816</v>
      </c>
      <c r="BP55" s="1641">
        <v>2963</v>
      </c>
      <c r="BQ55" s="1642">
        <v>2949</v>
      </c>
      <c r="BR55" s="1642">
        <v>2923</v>
      </c>
      <c r="BS55" s="1642">
        <v>2919</v>
      </c>
      <c r="BT55" s="1641">
        <v>2911</v>
      </c>
      <c r="BU55" s="1642">
        <v>2907</v>
      </c>
      <c r="BV55" s="1634">
        <v>2900</v>
      </c>
      <c r="BW55" s="1634">
        <v>2891</v>
      </c>
      <c r="BX55" s="1633">
        <v>2865</v>
      </c>
      <c r="BY55" s="1634">
        <v>2851</v>
      </c>
      <c r="BZ55" s="1634">
        <v>2845</v>
      </c>
      <c r="CA55" s="1634">
        <v>2841</v>
      </c>
      <c r="CB55" s="1633">
        <v>2841</v>
      </c>
      <c r="CC55" s="1634">
        <v>2841</v>
      </c>
      <c r="CD55" s="1634">
        <v>2841</v>
      </c>
      <c r="CE55" s="1634">
        <v>2841</v>
      </c>
      <c r="CF55" s="1633">
        <v>2836</v>
      </c>
      <c r="CG55" s="1634">
        <v>2827</v>
      </c>
      <c r="CH55" s="1634">
        <v>2829</v>
      </c>
      <c r="CI55" s="1634">
        <v>2829</v>
      </c>
      <c r="CJ55" s="1633">
        <v>2830</v>
      </c>
      <c r="CK55" s="1634">
        <v>2832</v>
      </c>
      <c r="CL55" s="1634">
        <v>2834</v>
      </c>
      <c r="CM55" s="1648">
        <v>2835</v>
      </c>
      <c r="CN55" s="1649">
        <v>2849</v>
      </c>
      <c r="CO55" s="1649">
        <v>2858</v>
      </c>
      <c r="CP55" s="1649">
        <v>2866</v>
      </c>
      <c r="CQ55" s="1648">
        <v>2862</v>
      </c>
      <c r="CR55" s="1649">
        <v>2872</v>
      </c>
      <c r="CS55" s="1649">
        <v>2872</v>
      </c>
      <c r="CT55" s="1649">
        <v>2874</v>
      </c>
      <c r="CU55" s="1648">
        <v>2875</v>
      </c>
      <c r="CV55" s="1649">
        <f>3430+720</f>
        <v>4150</v>
      </c>
      <c r="CW55" s="1649">
        <v>4153</v>
      </c>
      <c r="CX55" s="1649">
        <v>4159</v>
      </c>
      <c r="CY55" s="1648">
        <v>4157</v>
      </c>
      <c r="CZ55" s="1649">
        <v>4121</v>
      </c>
      <c r="DA55" s="1649">
        <v>4085</v>
      </c>
      <c r="DB55" s="1649">
        <v>4072</v>
      </c>
      <c r="DC55" s="1649">
        <v>4076</v>
      </c>
      <c r="DD55" s="1649">
        <v>4085</v>
      </c>
      <c r="DE55" s="1649">
        <v>4085</v>
      </c>
      <c r="DF55" s="1649">
        <v>4086</v>
      </c>
      <c r="DG55" s="1649">
        <v>4087</v>
      </c>
      <c r="DH55" s="1649">
        <v>4087</v>
      </c>
      <c r="DI55" s="1649">
        <v>4082</v>
      </c>
      <c r="DJ55" s="1649">
        <v>4089</v>
      </c>
      <c r="DK55" s="1649">
        <v>4090</v>
      </c>
      <c r="DL55" s="1649">
        <v>4107</v>
      </c>
    </row>
    <row r="56" spans="1:116" ht="12.75" hidden="1" customHeight="1">
      <c r="A56" s="1636" t="s">
        <v>1237</v>
      </c>
      <c r="B56" s="1716"/>
      <c r="C56" s="1716"/>
      <c r="D56" s="1716"/>
      <c r="E56" s="1717">
        <f>E52/E55-E54</f>
        <v>1.4207650273223571E-3</v>
      </c>
      <c r="F56" s="1716">
        <f>F52/F55-F54</f>
        <v>-3.0916998912648985E-3</v>
      </c>
      <c r="G56" s="1716">
        <f>G52/G55-G54</f>
        <v>0</v>
      </c>
      <c r="H56" s="1716">
        <f>H52/H55-H54</f>
        <v>0</v>
      </c>
      <c r="I56" s="1716">
        <f>I52/I55-I54</f>
        <v>0</v>
      </c>
      <c r="J56" s="1716"/>
      <c r="K56" s="1718"/>
      <c r="L56" s="1716"/>
      <c r="M56" s="1716"/>
      <c r="N56" s="1716"/>
      <c r="O56" s="1716"/>
      <c r="P56" s="1716"/>
      <c r="Q56" s="1716"/>
      <c r="R56" s="1716"/>
      <c r="S56" s="1716"/>
      <c r="T56" s="1716"/>
      <c r="U56" s="1716"/>
      <c r="V56" s="1716"/>
      <c r="W56" s="1716"/>
      <c r="X56" s="1716"/>
      <c r="Y56" s="1716"/>
      <c r="Z56" s="1716"/>
      <c r="AA56" s="1716"/>
      <c r="AB56" s="1716"/>
      <c r="AC56" s="1716"/>
      <c r="AD56" s="1716"/>
      <c r="AE56" s="1716"/>
      <c r="AF56" s="1717">
        <f t="shared" ref="AF56:BC56" si="106">AF52/AF55-AF54</f>
        <v>0</v>
      </c>
      <c r="AG56" s="1716">
        <f t="shared" si="106"/>
        <v>0</v>
      </c>
      <c r="AH56" s="1716">
        <f t="shared" si="106"/>
        <v>0</v>
      </c>
      <c r="AI56" s="1716">
        <f t="shared" si="106"/>
        <v>0</v>
      </c>
      <c r="AJ56" s="1717">
        <f t="shared" si="106"/>
        <v>0</v>
      </c>
      <c r="AK56" s="1716">
        <f t="shared" si="106"/>
        <v>0</v>
      </c>
      <c r="AL56" s="1716">
        <f t="shared" si="106"/>
        <v>0</v>
      </c>
      <c r="AM56" s="1716">
        <f t="shared" si="106"/>
        <v>0</v>
      </c>
      <c r="AN56" s="1717">
        <f t="shared" si="106"/>
        <v>-3.0603632054337915E-3</v>
      </c>
      <c r="AO56" s="1716">
        <f t="shared" si="106"/>
        <v>4.234234234234191E-3</v>
      </c>
      <c r="AP56" s="1716">
        <f t="shared" si="106"/>
        <v>-3.5606604450825197E-3</v>
      </c>
      <c r="AQ56" s="1716">
        <f t="shared" si="106"/>
        <v>-1.2598992080633531E-3</v>
      </c>
      <c r="AR56" s="1717">
        <f t="shared" si="106"/>
        <v>3.7600690866340547E-2</v>
      </c>
      <c r="AS56" s="1716">
        <f t="shared" si="106"/>
        <v>5.5874236367476904E-3</v>
      </c>
      <c r="AT56" s="1716">
        <f t="shared" si="106"/>
        <v>-1.1241734019102889E-3</v>
      </c>
      <c r="AU56" s="1716">
        <f t="shared" si="106"/>
        <v>3.5779816513761276E-3</v>
      </c>
      <c r="AV56" s="1717">
        <f t="shared" si="106"/>
        <v>-2.2018348623853434E-3</v>
      </c>
      <c r="AW56" s="1716">
        <f t="shared" si="106"/>
        <v>-6.8473086781395409E-4</v>
      </c>
      <c r="AX56" s="1716">
        <f t="shared" si="106"/>
        <v>-4.1133455210237146E-3</v>
      </c>
      <c r="AY56" s="1716">
        <f t="shared" si="106"/>
        <v>-4.4550109729334375E-3</v>
      </c>
      <c r="AZ56" s="1717">
        <f t="shared" si="106"/>
        <v>7.1742313323575058E-4</v>
      </c>
      <c r="BA56" s="1716">
        <f t="shared" si="106"/>
        <v>-3.4431028174167766E-3</v>
      </c>
      <c r="BB56" s="1716">
        <f t="shared" si="106"/>
        <v>-3.1757002546380919E-3</v>
      </c>
      <c r="BC56" s="1716">
        <f t="shared" si="106"/>
        <v>4.0404040404040664E-4</v>
      </c>
      <c r="BD56" s="1717">
        <f t="shared" ref="BD56:CU56" si="107">BD54-BD58</f>
        <v>1.1902231668436958E-3</v>
      </c>
      <c r="BE56" s="1716">
        <f t="shared" si="107"/>
        <v>1.6254416961130058E-3</v>
      </c>
      <c r="BF56" s="1716">
        <f t="shared" si="107"/>
        <v>-2.039520112914639E-3</v>
      </c>
      <c r="BG56" s="1716">
        <f t="shared" si="107"/>
        <v>-3.1464737793851505E-3</v>
      </c>
      <c r="BH56" s="1717">
        <f t="shared" si="107"/>
        <v>-9.1324200913178721E-5</v>
      </c>
      <c r="BI56" s="1716">
        <f t="shared" si="107"/>
        <v>-3.0910374029640142E-3</v>
      </c>
      <c r="BJ56" s="1716">
        <f t="shared" si="107"/>
        <v>-1.0638297872340718E-3</v>
      </c>
      <c r="BK56" s="1716">
        <f t="shared" si="107"/>
        <v>3.6415161176053257E-3</v>
      </c>
      <c r="BL56" s="1717">
        <f t="shared" si="107"/>
        <v>-2.208436724565721E-3</v>
      </c>
      <c r="BM56" s="1716">
        <f t="shared" si="107"/>
        <v>2.1390564029797332E-3</v>
      </c>
      <c r="BN56" s="1716">
        <f t="shared" si="107"/>
        <v>1.3418530351437807E-3</v>
      </c>
      <c r="BO56" s="1716">
        <f t="shared" si="107"/>
        <v>2.7556818181817544E-3</v>
      </c>
      <c r="BP56" s="1717">
        <f t="shared" si="107"/>
        <v>7.5306003646490205E-2</v>
      </c>
      <c r="BQ56" s="1716">
        <f t="shared" si="107"/>
        <v>-4.6117327907768679E-4</v>
      </c>
      <c r="BR56" s="1716">
        <f t="shared" si="107"/>
        <v>1.1495039343140112E-3</v>
      </c>
      <c r="BS56" s="1716">
        <f t="shared" si="107"/>
        <v>-1.2949640287769348E-3</v>
      </c>
      <c r="BT56" s="1717">
        <f t="shared" si="107"/>
        <v>-5.4963929920992527E-5</v>
      </c>
      <c r="BU56" s="1716">
        <f t="shared" si="107"/>
        <v>4.7953216374269081E-3</v>
      </c>
      <c r="BV56" s="1716">
        <f t="shared" si="107"/>
        <v>-4.4827586206896974E-3</v>
      </c>
      <c r="BW56" s="1716">
        <f t="shared" si="107"/>
        <v>-3.604289173296471E-3</v>
      </c>
      <c r="BX56" s="1717">
        <f t="shared" si="107"/>
        <v>-2.3211169284467204E-3</v>
      </c>
      <c r="BY56" s="1716">
        <f t="shared" si="107"/>
        <v>-2.164152928796903E-3</v>
      </c>
      <c r="BZ56" s="1716">
        <f t="shared" si="107"/>
        <v>-4.4639718804920792E-3</v>
      </c>
      <c r="CA56" s="1716">
        <f t="shared" si="107"/>
        <v>-2.8194297782471178E-3</v>
      </c>
      <c r="CB56" s="1717">
        <f t="shared" si="107"/>
        <v>-0.1211302358324533</v>
      </c>
      <c r="CC56" s="1716">
        <f t="shared" si="107"/>
        <v>-0.11499577613516365</v>
      </c>
      <c r="CD56" s="1716">
        <f t="shared" si="107"/>
        <v>-0.11895036958817307</v>
      </c>
      <c r="CE56" s="1716">
        <f t="shared" si="107"/>
        <v>-9.6793734600492842E-2</v>
      </c>
      <c r="CF56" s="1717">
        <f t="shared" si="107"/>
        <v>0.31732157968970376</v>
      </c>
      <c r="CG56" s="1716">
        <f t="shared" si="107"/>
        <v>0.93364803678811437</v>
      </c>
      <c r="CH56" s="1716">
        <f t="shared" si="107"/>
        <v>0.31674690703428765</v>
      </c>
      <c r="CI56" s="1716">
        <f t="shared" si="107"/>
        <v>-0.39072180982679394</v>
      </c>
      <c r="CJ56" s="1717">
        <f t="shared" si="107"/>
        <v>-1.5194346289753025E-3</v>
      </c>
      <c r="CK56" s="1716">
        <f t="shared" si="107"/>
        <v>-1.8502824858757094E-3</v>
      </c>
      <c r="CL56" s="1716">
        <f t="shared" si="107"/>
        <v>-2.5935074100211786E-3</v>
      </c>
      <c r="CM56" s="1718">
        <f t="shared" si="107"/>
        <v>-4.5352733686068181E-3</v>
      </c>
      <c r="CN56" s="1719">
        <f t="shared" si="107"/>
        <v>1.6146016146016962E-3</v>
      </c>
      <c r="CO56" s="1719">
        <f t="shared" si="107"/>
        <v>-1.6130160951715045E-3</v>
      </c>
      <c r="CP56" s="1719">
        <f t="shared" si="107"/>
        <v>-4.9644103279833374E-3</v>
      </c>
      <c r="CQ56" s="1718">
        <f t="shared" si="107"/>
        <v>-9.1118099231307093E-3</v>
      </c>
      <c r="CR56" s="1719">
        <f t="shared" si="107"/>
        <v>-3.8161559888579832E-3</v>
      </c>
      <c r="CS56" s="1719">
        <f t="shared" si="107"/>
        <v>-2.7402506963788431E-3</v>
      </c>
      <c r="CT56" s="1719">
        <f t="shared" si="107"/>
        <v>-4.8086290883786464E-3</v>
      </c>
      <c r="CU56" s="1718">
        <f t="shared" si="107"/>
        <v>-1.0038260869565274E-2</v>
      </c>
      <c r="CV56" s="1719">
        <f t="shared" ref="CV56:DA56" si="108">CV54-CV58</f>
        <v>8.4337349397589634E-4</v>
      </c>
      <c r="CW56" s="1719">
        <f t="shared" si="108"/>
        <v>-2.3043582952083641E-3</v>
      </c>
      <c r="CX56" s="1719">
        <f t="shared" si="108"/>
        <v>-1.5652801154123486E-3</v>
      </c>
      <c r="CY56" s="1718">
        <f t="shared" si="108"/>
        <v>3.0093817656964283E-3</v>
      </c>
      <c r="CZ56" s="1719">
        <f t="shared" si="108"/>
        <v>3.7806357680174596E-3</v>
      </c>
      <c r="DA56" s="1719">
        <f t="shared" si="108"/>
        <v>-4.2594859241127381E-3</v>
      </c>
      <c r="DB56" s="1719">
        <f t="shared" ref="DB56:DG56" si="109">DB54-DB58</f>
        <v>3.72298624754408E-3</v>
      </c>
      <c r="DC56" s="1719">
        <f t="shared" si="109"/>
        <v>-0.43119725220804717</v>
      </c>
      <c r="DD56" s="1719">
        <f t="shared" si="109"/>
        <v>-1.4296205630355274E-3</v>
      </c>
      <c r="DE56" s="1719">
        <f t="shared" si="109"/>
        <v>3.9412484700123152E-3</v>
      </c>
      <c r="DF56" s="1719">
        <f t="shared" si="109"/>
        <v>0.11881057268722472</v>
      </c>
      <c r="DG56" s="1719">
        <f t="shared" si="109"/>
        <v>-1.1793491558600433E-3</v>
      </c>
      <c r="DH56" s="1719">
        <f t="shared" ref="DH56:DI56" si="110">DH54-DH58</f>
        <v>-4.8079275752385131E-3</v>
      </c>
      <c r="DI56" s="1719">
        <f t="shared" si="110"/>
        <v>-3.6060754532091233E-3</v>
      </c>
      <c r="DJ56" s="1719">
        <f t="shared" ref="DJ56:DK56" si="111">DJ54-DJ58</f>
        <v>-3.2330643189043551E-3</v>
      </c>
      <c r="DK56" s="1719">
        <f t="shared" si="111"/>
        <v>-8.3129584352081842E-4</v>
      </c>
      <c r="DL56" s="1719">
        <f t="shared" ref="DL56" si="112">DL54-DL58</f>
        <v>1.4146579011444782E-3</v>
      </c>
    </row>
    <row r="57" spans="1:116" ht="12.75" hidden="1" customHeight="1">
      <c r="A57" s="1539" t="s">
        <v>618</v>
      </c>
      <c r="B57" s="1642"/>
      <c r="C57" s="1642"/>
      <c r="D57" s="1642"/>
      <c r="E57" s="1641">
        <v>2.38</v>
      </c>
      <c r="F57" s="1642">
        <v>2.67</v>
      </c>
      <c r="G57" s="1642">
        <v>2.85</v>
      </c>
      <c r="H57" s="1642">
        <v>0</v>
      </c>
      <c r="I57" s="1642"/>
      <c r="J57" s="1642"/>
      <c r="K57" s="1681"/>
      <c r="L57" s="1642"/>
      <c r="M57" s="1642"/>
      <c r="N57" s="1642"/>
      <c r="O57" s="1642"/>
      <c r="P57" s="1642"/>
      <c r="Q57" s="1642"/>
      <c r="R57" s="1642"/>
      <c r="S57" s="1642"/>
      <c r="T57" s="1642"/>
      <c r="U57" s="1642"/>
      <c r="V57" s="1642"/>
      <c r="W57" s="1642"/>
      <c r="X57" s="1642"/>
      <c r="Y57" s="1642"/>
      <c r="Z57" s="1642"/>
      <c r="AA57" s="1642"/>
      <c r="AB57" s="1642"/>
      <c r="AC57" s="1642"/>
      <c r="AD57" s="1642"/>
      <c r="AE57" s="1642"/>
      <c r="AF57" s="1641">
        <v>0.57999999999999996</v>
      </c>
      <c r="AG57" s="1642">
        <v>0.59</v>
      </c>
      <c r="AH57" s="1642">
        <v>0.64</v>
      </c>
      <c r="AI57" s="1642">
        <v>0.56999999999999995</v>
      </c>
      <c r="AJ57" s="1641">
        <v>0.63</v>
      </c>
      <c r="AK57" s="1642">
        <v>0.63</v>
      </c>
      <c r="AL57" s="1642">
        <v>0.7</v>
      </c>
      <c r="AM57" s="1642">
        <v>0.72</v>
      </c>
      <c r="AN57" s="1641">
        <v>0.7</v>
      </c>
      <c r="AO57" s="1642">
        <v>0.67</v>
      </c>
      <c r="AP57" s="1642">
        <v>0.72</v>
      </c>
      <c r="AQ57" s="1642">
        <v>0.75</v>
      </c>
      <c r="AR57" s="1641">
        <v>0.69</v>
      </c>
      <c r="AS57" s="1642">
        <v>0.72</v>
      </c>
      <c r="AT57" s="1642">
        <v>1.27</v>
      </c>
      <c r="AU57" s="1642">
        <v>0.7</v>
      </c>
      <c r="AV57" s="1641">
        <v>0.57999999999999996</v>
      </c>
      <c r="AW57" s="1642">
        <v>-0.38</v>
      </c>
      <c r="AX57" s="1642">
        <v>0.69</v>
      </c>
      <c r="AY57" s="1642">
        <v>-0.75</v>
      </c>
      <c r="AZ57" s="1641">
        <v>-0.18</v>
      </c>
      <c r="BA57" s="1642">
        <v>-0.78</v>
      </c>
      <c r="BB57" s="1642">
        <v>1.6</v>
      </c>
      <c r="BC57" s="1642">
        <v>0.83</v>
      </c>
      <c r="BD57" s="1641"/>
      <c r="BE57" s="1642"/>
      <c r="BF57" s="1642"/>
      <c r="BG57" s="1642"/>
      <c r="BH57" s="1641"/>
      <c r="BI57" s="1642"/>
      <c r="BJ57" s="1642"/>
      <c r="BK57" s="1642"/>
      <c r="BL57" s="1641"/>
      <c r="BM57" s="1642"/>
      <c r="BN57" s="1642"/>
      <c r="BO57" s="1642"/>
      <c r="BP57" s="1641"/>
      <c r="BQ57" s="1642"/>
      <c r="BR57" s="1642"/>
      <c r="BS57" s="1642"/>
      <c r="BT57" s="1641"/>
      <c r="BU57" s="1642"/>
      <c r="BV57" s="1642"/>
      <c r="BW57" s="1642"/>
      <c r="BX57" s="1641"/>
      <c r="BY57" s="1642"/>
      <c r="BZ57" s="1642"/>
      <c r="CA57" s="1642"/>
      <c r="CB57" s="1641"/>
      <c r="CC57" s="1642"/>
      <c r="CD57" s="1642"/>
      <c r="CE57" s="1642"/>
      <c r="CF57" s="1641"/>
      <c r="CG57" s="1642"/>
      <c r="CH57" s="1642"/>
      <c r="CI57" s="1642"/>
      <c r="CJ57" s="1641"/>
      <c r="CK57" s="1642"/>
      <c r="CL57" s="1642"/>
      <c r="CM57" s="1681"/>
      <c r="CN57" s="1672"/>
      <c r="CO57" s="1672"/>
      <c r="CP57" s="1672"/>
      <c r="CQ57" s="1681"/>
      <c r="CR57" s="1672"/>
      <c r="CS57" s="1672"/>
      <c r="CT57" s="1672"/>
      <c r="CU57" s="1681"/>
      <c r="CV57" s="1672"/>
      <c r="CW57" s="1672"/>
      <c r="CX57" s="1672"/>
      <c r="CY57" s="1681"/>
      <c r="CZ57" s="1672"/>
      <c r="DA57" s="1672"/>
      <c r="DB57" s="1672"/>
      <c r="DC57" s="1672"/>
      <c r="DD57" s="1672"/>
      <c r="DE57" s="1672"/>
      <c r="DF57" s="1672"/>
      <c r="DG57" s="1672"/>
      <c r="DH57" s="1672"/>
      <c r="DI57" s="1672"/>
      <c r="DJ57" s="1672"/>
      <c r="DK57" s="1672"/>
      <c r="DL57" s="1672"/>
    </row>
    <row r="58" spans="1:116" ht="12.75" customHeight="1">
      <c r="A58" s="1666" t="s">
        <v>1585</v>
      </c>
      <c r="B58" s="1720"/>
      <c r="C58" s="1720"/>
      <c r="D58" s="1720"/>
      <c r="E58" s="1721"/>
      <c r="F58" s="1720"/>
      <c r="G58" s="1720">
        <f>G57+0.003</f>
        <v>2.8530000000000002</v>
      </c>
      <c r="H58" s="1720">
        <f>H57+0.003</f>
        <v>3.0000000000000001E-3</v>
      </c>
      <c r="I58" s="1720">
        <f>I57+0.003</f>
        <v>3.0000000000000001E-3</v>
      </c>
      <c r="J58" s="1720">
        <f>J57+0.003</f>
        <v>3.0000000000000001E-3</v>
      </c>
      <c r="K58" s="1722">
        <f>K57+0.003</f>
        <v>3.0000000000000001E-3</v>
      </c>
      <c r="L58" s="1720"/>
      <c r="M58" s="1720"/>
      <c r="N58" s="1720"/>
      <c r="O58" s="1720"/>
      <c r="P58" s="1720"/>
      <c r="Q58" s="1720"/>
      <c r="R58" s="1720"/>
      <c r="S58" s="1720"/>
      <c r="T58" s="1720"/>
      <c r="U58" s="1720"/>
      <c r="V58" s="1720"/>
      <c r="W58" s="1720"/>
      <c r="X58" s="1720"/>
      <c r="Y58" s="1720"/>
      <c r="Z58" s="1720"/>
      <c r="AA58" s="1720"/>
      <c r="AB58" s="1720"/>
      <c r="AC58" s="1720"/>
      <c r="AD58" s="1720"/>
      <c r="AE58" s="1720"/>
      <c r="AF58" s="1721">
        <f>AF57+0.003</f>
        <v>0.58299999999999996</v>
      </c>
      <c r="AG58" s="1720">
        <f>AG57+0.003</f>
        <v>0.59299999999999997</v>
      </c>
      <c r="AH58" s="1720">
        <f>AH57+0.003</f>
        <v>0.64300000000000002</v>
      </c>
      <c r="AI58" s="1720">
        <f>AI57+0.003</f>
        <v>0.57299999999999995</v>
      </c>
      <c r="AJ58" s="1721">
        <f>AJ57+0.005</f>
        <v>0.63500000000000001</v>
      </c>
      <c r="AK58" s="1720">
        <f>AK57+0.003</f>
        <v>0.63300000000000001</v>
      </c>
      <c r="AL58" s="1720">
        <f>AL57+0.005</f>
        <v>0.70499999999999996</v>
      </c>
      <c r="AM58" s="1720">
        <f>AM57+0.005</f>
        <v>0.72499999999999998</v>
      </c>
      <c r="AN58" s="1721">
        <f>AN57+0.003</f>
        <v>0.70299999999999996</v>
      </c>
      <c r="AO58" s="1720">
        <f>AO57+0.003</f>
        <v>0.67300000000000004</v>
      </c>
      <c r="AP58" s="1720">
        <f>AP57+0.005</f>
        <v>0.72499999999999998</v>
      </c>
      <c r="AQ58" s="1720">
        <f>AQ57+0.003</f>
        <v>0.753</v>
      </c>
      <c r="AR58" s="1721">
        <f>AR57+0.003</f>
        <v>0.69299999999999995</v>
      </c>
      <c r="AS58" s="1720">
        <f>AS57+0.005</f>
        <v>0.72499999999999998</v>
      </c>
      <c r="AT58" s="1720">
        <f>AT57+0.003</f>
        <v>1.2729999999999999</v>
      </c>
      <c r="AU58" s="1720">
        <f>AU57+0.003</f>
        <v>0.70299999999999996</v>
      </c>
      <c r="AV58" s="1721"/>
      <c r="AW58" s="1720"/>
      <c r="AX58" s="1720"/>
      <c r="AY58" s="1720"/>
      <c r="AZ58" s="1721"/>
      <c r="BA58" s="1720"/>
      <c r="BB58" s="1720"/>
      <c r="BC58" s="1720"/>
      <c r="BD58" s="1637">
        <v>0.68</v>
      </c>
      <c r="BE58" s="1723">
        <v>0.68</v>
      </c>
      <c r="BF58" s="1723">
        <v>0.67</v>
      </c>
      <c r="BG58" s="1723">
        <v>0.57999999999999996</v>
      </c>
      <c r="BH58" s="1637">
        <v>0.57999999999999996</v>
      </c>
      <c r="BI58" s="1723">
        <v>0.64</v>
      </c>
      <c r="BJ58" s="1723">
        <v>0.65</v>
      </c>
      <c r="BK58" s="1723">
        <v>0.64</v>
      </c>
      <c r="BL58" s="1637">
        <v>0.63</v>
      </c>
      <c r="BM58" s="1723">
        <v>0.63</v>
      </c>
      <c r="BN58" s="1723">
        <v>0.66</v>
      </c>
      <c r="BO58" s="1723">
        <v>0.64</v>
      </c>
      <c r="BP58" s="1637">
        <v>0.6</v>
      </c>
      <c r="BQ58" s="1723">
        <v>0.64</v>
      </c>
      <c r="BR58" s="1723">
        <v>0.68</v>
      </c>
      <c r="BS58" s="1723">
        <v>0.62</v>
      </c>
      <c r="BT58" s="1637">
        <v>0.56000000000000005</v>
      </c>
      <c r="BU58" s="1723">
        <v>0.57999999999999996</v>
      </c>
      <c r="BV58" s="1723">
        <v>0.63</v>
      </c>
      <c r="BW58" s="1723">
        <v>0.62</v>
      </c>
      <c r="BX58" s="1637">
        <v>0.61</v>
      </c>
      <c r="BY58" s="1723">
        <v>0.67</v>
      </c>
      <c r="BZ58" s="1723">
        <v>0.66</v>
      </c>
      <c r="CA58" s="1723">
        <v>0.61</v>
      </c>
      <c r="CB58" s="1637">
        <v>0.63</v>
      </c>
      <c r="CC58" s="1723">
        <v>0.63</v>
      </c>
      <c r="CD58" s="1723">
        <v>0.6</v>
      </c>
      <c r="CE58" s="1723">
        <v>0.54</v>
      </c>
      <c r="CF58" s="1637">
        <v>0.16</v>
      </c>
      <c r="CG58" s="1723">
        <v>-0.42</v>
      </c>
      <c r="CH58" s="1723">
        <v>0.23</v>
      </c>
      <c r="CI58" s="1723">
        <v>0.93</v>
      </c>
      <c r="CJ58" s="1637">
        <v>0.51</v>
      </c>
      <c r="CK58" s="1723">
        <v>0.56999999999999995</v>
      </c>
      <c r="CL58" s="1723">
        <v>0.56000000000000005</v>
      </c>
      <c r="CM58" s="1724">
        <v>0.52</v>
      </c>
      <c r="CN58" s="1725">
        <v>0.59</v>
      </c>
      <c r="CO58" s="1725">
        <v>0.64</v>
      </c>
      <c r="CP58" s="1725">
        <v>0.64</v>
      </c>
      <c r="CQ58" s="1724">
        <v>0.38</v>
      </c>
      <c r="CR58" s="1725">
        <v>0.68</v>
      </c>
      <c r="CS58" s="1725">
        <v>0.73</v>
      </c>
      <c r="CT58" s="1725">
        <v>0.77</v>
      </c>
      <c r="CU58" s="1724">
        <v>0.66</v>
      </c>
      <c r="CV58" s="1725">
        <v>0.91</v>
      </c>
      <c r="CW58" s="1725">
        <v>0.91</v>
      </c>
      <c r="CX58" s="1725">
        <v>0.89</v>
      </c>
      <c r="CY58" s="1724">
        <v>0.71</v>
      </c>
      <c r="CZ58" s="1725">
        <v>1.02</v>
      </c>
      <c r="DA58" s="1725">
        <v>1.04</v>
      </c>
      <c r="DB58" s="1725">
        <v>1.04</v>
      </c>
      <c r="DC58" s="1725">
        <v>1.32</v>
      </c>
      <c r="DD58" s="1725">
        <v>1.06</v>
      </c>
      <c r="DE58" s="1725">
        <v>0.94</v>
      </c>
      <c r="DF58" s="1725">
        <v>0.89</v>
      </c>
      <c r="DG58" s="1725">
        <v>0.86</v>
      </c>
      <c r="DH58" s="1725">
        <v>0.95</v>
      </c>
      <c r="DI58" s="1725">
        <v>0.96</v>
      </c>
      <c r="DJ58" s="1725">
        <v>0.98</v>
      </c>
      <c r="DK58" s="1725">
        <v>0.86</v>
      </c>
      <c r="DL58" s="1725">
        <v>1.17</v>
      </c>
    </row>
    <row r="59" spans="1:116" ht="12.75" customHeight="1">
      <c r="A59" s="1638"/>
      <c r="B59" s="1726"/>
      <c r="C59" s="1726"/>
      <c r="D59" s="1726"/>
      <c r="E59" s="1727"/>
      <c r="F59" s="1726"/>
      <c r="G59" s="1726">
        <f>G57-0.003</f>
        <v>2.847</v>
      </c>
      <c r="H59" s="1726">
        <f>H57-0.003</f>
        <v>-3.0000000000000001E-3</v>
      </c>
      <c r="I59" s="1726">
        <f>I57-0.003</f>
        <v>-3.0000000000000001E-3</v>
      </c>
      <c r="J59" s="1726">
        <f>J57-0.003</f>
        <v>-3.0000000000000001E-3</v>
      </c>
      <c r="K59" s="1728">
        <f>K57-0.003</f>
        <v>-3.0000000000000001E-3</v>
      </c>
      <c r="L59" s="1726"/>
      <c r="M59" s="1726"/>
      <c r="N59" s="1726"/>
      <c r="O59" s="1726"/>
      <c r="P59" s="1726"/>
      <c r="Q59" s="1726"/>
      <c r="R59" s="1726"/>
      <c r="S59" s="1726"/>
      <c r="T59" s="1726"/>
      <c r="U59" s="1726"/>
      <c r="V59" s="1726"/>
      <c r="W59" s="1726"/>
      <c r="X59" s="1726"/>
      <c r="Y59" s="1726"/>
      <c r="Z59" s="1726"/>
      <c r="AA59" s="1726"/>
      <c r="AB59" s="1726"/>
      <c r="AC59" s="1726"/>
      <c r="AD59" s="1726"/>
      <c r="AE59" s="1726"/>
      <c r="AF59" s="1727">
        <f>AF57-0.003</f>
        <v>0.57699999999999996</v>
      </c>
      <c r="AG59" s="1726">
        <f>AG57-0.003</f>
        <v>0.58699999999999997</v>
      </c>
      <c r="AH59" s="1726">
        <f>AH57-0.003</f>
        <v>0.63700000000000001</v>
      </c>
      <c r="AI59" s="1726">
        <f>AI57-0.003</f>
        <v>0.56699999999999995</v>
      </c>
      <c r="AJ59" s="1727">
        <f>AJ57-0.005</f>
        <v>0.625</v>
      </c>
      <c r="AK59" s="1726">
        <f>AK57-0.003</f>
        <v>0.627</v>
      </c>
      <c r="AL59" s="1726">
        <f>AL57-0.005</f>
        <v>0.69499999999999995</v>
      </c>
      <c r="AM59" s="1726">
        <f>AM57-0.005</f>
        <v>0.71499999999999997</v>
      </c>
      <c r="AN59" s="1727">
        <f>AN57-0.003</f>
        <v>0.69699999999999995</v>
      </c>
      <c r="AO59" s="1726">
        <f>AO57-0.003</f>
        <v>0.66700000000000004</v>
      </c>
      <c r="AP59" s="1726">
        <f>AP57-0.005</f>
        <v>0.71499999999999997</v>
      </c>
      <c r="AQ59" s="1726">
        <f>AQ57-0.003</f>
        <v>0.747</v>
      </c>
      <c r="AR59" s="1727">
        <f>AR57-0.003</f>
        <v>0.68699999999999994</v>
      </c>
      <c r="AS59" s="1726">
        <f>AS57-0.005</f>
        <v>0.71499999999999997</v>
      </c>
      <c r="AT59" s="1726">
        <f>AT57-0.003</f>
        <v>1.2670000000000001</v>
      </c>
      <c r="AU59" s="1726">
        <f>AU57-0.003</f>
        <v>0.69699999999999995</v>
      </c>
      <c r="AV59" s="1727"/>
      <c r="AW59" s="1726"/>
      <c r="AX59" s="1726"/>
      <c r="AY59" s="1726"/>
      <c r="AZ59" s="1727"/>
      <c r="BA59" s="1726"/>
      <c r="BB59" s="1726"/>
      <c r="BC59" s="1726"/>
      <c r="BD59" s="1727"/>
      <c r="BE59" s="1726"/>
      <c r="BF59" s="1726"/>
      <c r="BG59" s="1726"/>
      <c r="BH59" s="1727"/>
      <c r="BI59" s="1726"/>
      <c r="BJ59" s="1726"/>
      <c r="BK59" s="1726"/>
      <c r="BL59" s="1727"/>
      <c r="BM59" s="1726"/>
      <c r="BN59" s="1726"/>
      <c r="BO59" s="1642"/>
      <c r="BP59" s="1641"/>
      <c r="BQ59" s="1642"/>
      <c r="BR59" s="1642"/>
      <c r="BS59" s="1642"/>
      <c r="BT59" s="1641"/>
      <c r="BU59" s="1642"/>
      <c r="BV59" s="1642"/>
      <c r="BW59" s="1642"/>
      <c r="BX59" s="1641"/>
      <c r="BY59" s="1642"/>
      <c r="BZ59" s="1642"/>
      <c r="CA59" s="1642"/>
      <c r="CB59" s="1641"/>
      <c r="CC59" s="1642"/>
      <c r="CD59" s="1642"/>
      <c r="CE59" s="1642"/>
      <c r="CF59" s="1641"/>
      <c r="CG59" s="1642"/>
      <c r="CH59" s="1642"/>
      <c r="CI59" s="1642"/>
      <c r="CJ59" s="1641"/>
      <c r="CK59" s="1642"/>
      <c r="CL59" s="1642"/>
      <c r="CM59" s="1681"/>
      <c r="CN59" s="1672"/>
      <c r="CO59" s="1672"/>
      <c r="CP59" s="1672"/>
      <c r="CQ59" s="1681"/>
      <c r="CR59" s="1672"/>
      <c r="CS59" s="1672"/>
      <c r="CT59" s="1672"/>
      <c r="CU59" s="1681"/>
      <c r="CV59" s="1672"/>
      <c r="CW59" s="1672"/>
      <c r="CX59" s="1672"/>
      <c r="CY59" s="1681"/>
      <c r="CZ59" s="1672"/>
      <c r="DA59" s="1672"/>
      <c r="DB59" s="1672"/>
      <c r="DC59" s="1672"/>
      <c r="DD59" s="1672"/>
      <c r="DE59" s="1672"/>
      <c r="DF59" s="1672"/>
      <c r="DG59" s="1672"/>
      <c r="DH59" s="1672"/>
      <c r="DI59" s="1672"/>
      <c r="DJ59" s="1672"/>
      <c r="DK59" s="1672"/>
      <c r="DL59" s="1672"/>
    </row>
    <row r="60" spans="1:116" ht="12.75" customHeight="1">
      <c r="A60" s="1664" t="s">
        <v>1214</v>
      </c>
      <c r="B60" s="1729"/>
      <c r="C60" s="1729"/>
      <c r="D60" s="1730"/>
      <c r="E60" s="1731"/>
      <c r="F60" s="1730"/>
      <c r="G60" s="1730"/>
      <c r="H60" s="1730"/>
      <c r="I60" s="1730"/>
      <c r="J60" s="1730"/>
      <c r="K60" s="1732"/>
      <c r="L60" s="1730"/>
      <c r="M60" s="1730"/>
      <c r="N60" s="1730"/>
      <c r="O60" s="1730"/>
      <c r="P60" s="1730"/>
      <c r="Q60" s="1730"/>
      <c r="R60" s="1730"/>
      <c r="S60" s="1730"/>
      <c r="T60" s="1730"/>
      <c r="U60" s="1730"/>
      <c r="V60" s="1730"/>
      <c r="W60" s="1730"/>
      <c r="X60" s="1730"/>
      <c r="Y60" s="1730"/>
      <c r="Z60" s="1730"/>
      <c r="AA60" s="1730"/>
      <c r="AB60" s="1730"/>
      <c r="AC60" s="1730"/>
      <c r="AD60" s="1730"/>
      <c r="AE60" s="1730"/>
      <c r="AF60" s="1731"/>
      <c r="AG60" s="1730"/>
      <c r="AH60" s="1730"/>
      <c r="AI60" s="1730"/>
      <c r="AJ60" s="1731"/>
      <c r="AK60" s="1730"/>
      <c r="AL60" s="1730"/>
      <c r="AM60" s="1730"/>
      <c r="AN60" s="1731"/>
      <c r="AO60" s="1730"/>
      <c r="AP60" s="1730"/>
      <c r="AQ60" s="1730"/>
      <c r="AR60" s="1731"/>
      <c r="AS60" s="1730"/>
      <c r="AT60" s="1730"/>
      <c r="AU60" s="1730"/>
      <c r="AV60" s="1731"/>
      <c r="AW60" s="1730"/>
      <c r="AX60" s="1730"/>
      <c r="AY60" s="1730"/>
      <c r="AZ60" s="1731"/>
      <c r="BA60" s="1730"/>
      <c r="BB60" s="1730"/>
      <c r="BC60" s="1730"/>
      <c r="BD60" s="1731"/>
      <c r="BE60" s="1730"/>
      <c r="BF60" s="1730"/>
      <c r="BG60" s="1730"/>
      <c r="BH60" s="1731"/>
      <c r="BI60" s="1730"/>
      <c r="BJ60" s="1730"/>
      <c r="BK60" s="1730"/>
      <c r="BL60" s="1731"/>
      <c r="BM60" s="1730"/>
      <c r="BN60" s="1730"/>
      <c r="BO60" s="1730"/>
      <c r="BP60" s="1731"/>
      <c r="BQ60" s="1730"/>
      <c r="BR60" s="1730"/>
      <c r="BS60" s="1730"/>
      <c r="BT60" s="1731"/>
      <c r="BU60" s="1730"/>
      <c r="BV60" s="1730"/>
      <c r="BW60" s="1730"/>
      <c r="BX60" s="1731"/>
      <c r="BY60" s="1730"/>
      <c r="BZ60" s="1730"/>
      <c r="CA60" s="1730"/>
      <c r="CB60" s="1731"/>
      <c r="CC60" s="1730"/>
      <c r="CD60" s="1730"/>
      <c r="CE60" s="1730"/>
      <c r="CF60" s="1731"/>
      <c r="CG60" s="1730"/>
      <c r="CH60" s="1730"/>
      <c r="CI60" s="1730"/>
      <c r="CJ60" s="1731"/>
      <c r="CK60" s="1730"/>
      <c r="CL60" s="1730"/>
      <c r="CM60" s="1732"/>
      <c r="CN60" s="1733"/>
      <c r="CO60" s="1733"/>
      <c r="CP60" s="1733"/>
      <c r="CQ60" s="1732"/>
      <c r="CR60" s="1733"/>
      <c r="CS60" s="1733"/>
      <c r="CT60" s="1733"/>
      <c r="CU60" s="1732"/>
      <c r="CV60" s="1733"/>
      <c r="CW60" s="1733"/>
      <c r="CX60" s="1733"/>
      <c r="CY60" s="1732"/>
      <c r="CZ60" s="1733"/>
      <c r="DA60" s="1733"/>
      <c r="DB60" s="1733"/>
      <c r="DC60" s="1733"/>
      <c r="DD60" s="1733"/>
      <c r="DE60" s="1733"/>
      <c r="DF60" s="1733"/>
      <c r="DG60" s="1733"/>
      <c r="DH60" s="1733"/>
      <c r="DI60" s="1733"/>
      <c r="DJ60" s="1733"/>
      <c r="DK60" s="1733"/>
      <c r="DL60" s="1733"/>
    </row>
    <row r="61" spans="1:116" ht="12.75" customHeight="1">
      <c r="A61" s="954" t="s">
        <v>1215</v>
      </c>
      <c r="B61" s="1642"/>
      <c r="C61" s="1642"/>
      <c r="D61" s="1642"/>
      <c r="E61" s="1641"/>
      <c r="F61" s="1642"/>
      <c r="G61" s="1642"/>
      <c r="H61" s="1642"/>
      <c r="I61" s="1642"/>
      <c r="J61" s="1642"/>
      <c r="K61" s="1681"/>
      <c r="L61" s="1642"/>
      <c r="M61" s="1642"/>
      <c r="N61" s="1642"/>
      <c r="O61" s="1642"/>
      <c r="P61" s="1642"/>
      <c r="Q61" s="1642"/>
      <c r="R61" s="1642"/>
      <c r="S61" s="1642"/>
      <c r="T61" s="1642"/>
      <c r="U61" s="1642"/>
      <c r="V61" s="1642"/>
      <c r="W61" s="1642"/>
      <c r="X61" s="1642"/>
      <c r="Y61" s="1642"/>
      <c r="Z61" s="1642"/>
      <c r="AA61" s="1642"/>
      <c r="AB61" s="1642"/>
      <c r="AC61" s="1642"/>
      <c r="AD61" s="1642"/>
      <c r="AE61" s="1642"/>
      <c r="AF61" s="1641"/>
      <c r="AG61" s="1642"/>
      <c r="AH61" s="1642"/>
      <c r="AI61" s="1642"/>
      <c r="AJ61" s="1641"/>
      <c r="AK61" s="1642"/>
      <c r="AL61" s="1642"/>
      <c r="AM61" s="1642"/>
      <c r="AN61" s="1641"/>
      <c r="AO61" s="1642"/>
      <c r="AP61" s="1642"/>
      <c r="AQ61" s="1642"/>
      <c r="AR61" s="1641"/>
      <c r="AS61" s="1642"/>
      <c r="AT61" s="1642"/>
      <c r="AU61" s="1642"/>
      <c r="AV61" s="1641"/>
      <c r="AW61" s="1642"/>
      <c r="AX61" s="1642"/>
      <c r="AY61" s="1642"/>
      <c r="AZ61" s="1641"/>
      <c r="BA61" s="1642"/>
      <c r="BB61" s="1642"/>
      <c r="BC61" s="1642"/>
      <c r="BD61" s="1641"/>
      <c r="BE61" s="1642"/>
      <c r="BF61" s="1642"/>
      <c r="BG61" s="1642"/>
      <c r="BH61" s="1641"/>
      <c r="BI61" s="1642"/>
      <c r="BJ61" s="1642"/>
      <c r="BK61" s="1642"/>
      <c r="BL61" s="1641"/>
      <c r="BM61" s="1642"/>
      <c r="BN61" s="1642"/>
      <c r="BO61" s="1642"/>
      <c r="BP61" s="1641"/>
      <c r="BQ61" s="1642"/>
      <c r="BR61" s="1642"/>
      <c r="BS61" s="1642"/>
      <c r="BT61" s="1641"/>
      <c r="BU61" s="1642"/>
      <c r="BV61" s="1642"/>
      <c r="BW61" s="1642"/>
      <c r="BX61" s="1641"/>
      <c r="BY61" s="1642"/>
      <c r="BZ61" s="1642"/>
      <c r="CA61" s="1642"/>
      <c r="CB61" s="1641"/>
      <c r="CC61" s="1642"/>
      <c r="CD61" s="1642"/>
      <c r="CE61" s="1642"/>
      <c r="CF61" s="1641"/>
      <c r="CG61" s="1642"/>
      <c r="CH61" s="1642"/>
      <c r="CI61" s="1642"/>
      <c r="CJ61" s="1641"/>
      <c r="CK61" s="1642"/>
      <c r="CL61" s="1642"/>
      <c r="CM61" s="1681"/>
      <c r="CN61" s="1672"/>
      <c r="CO61" s="1672"/>
      <c r="CP61" s="1672"/>
      <c r="CQ61" s="1681"/>
      <c r="CR61" s="1672"/>
      <c r="CS61" s="1672"/>
      <c r="CT61" s="1672"/>
      <c r="CU61" s="1681"/>
      <c r="CV61" s="1672"/>
      <c r="CW61" s="1672"/>
      <c r="CX61" s="1672"/>
      <c r="CY61" s="1681"/>
      <c r="CZ61" s="1672"/>
      <c r="DA61" s="1672"/>
      <c r="DB61" s="1672"/>
      <c r="DC61" s="1672"/>
      <c r="DD61" s="1672"/>
      <c r="DE61" s="1672"/>
      <c r="DF61" s="1672"/>
      <c r="DG61" s="1672"/>
      <c r="DH61" s="1672"/>
      <c r="DI61" s="1672"/>
      <c r="DJ61" s="1672"/>
      <c r="DK61" s="1672"/>
      <c r="DL61" s="1672"/>
    </row>
    <row r="62" spans="1:116" ht="12.75" customHeight="1">
      <c r="A62" s="1539" t="s">
        <v>1216</v>
      </c>
      <c r="B62" s="1642"/>
      <c r="C62" s="1642"/>
      <c r="D62" s="1642"/>
      <c r="E62" s="1641"/>
      <c r="F62" s="1642"/>
      <c r="G62" s="1642"/>
      <c r="H62" s="1642"/>
      <c r="I62" s="1642"/>
      <c r="J62" s="1642"/>
      <c r="K62" s="1681"/>
      <c r="L62" s="1642"/>
      <c r="M62" s="1642"/>
      <c r="N62" s="1642"/>
      <c r="O62" s="1642"/>
      <c r="P62" s="1642"/>
      <c r="Q62" s="1642"/>
      <c r="R62" s="1642"/>
      <c r="S62" s="1642"/>
      <c r="T62" s="1642"/>
      <c r="U62" s="1642"/>
      <c r="V62" s="1642"/>
      <c r="W62" s="1642"/>
      <c r="X62" s="1642"/>
      <c r="Y62" s="1642"/>
      <c r="Z62" s="1642"/>
      <c r="AA62" s="1642"/>
      <c r="AB62" s="1642"/>
      <c r="AC62" s="1642"/>
      <c r="AD62" s="1642"/>
      <c r="AE62" s="1642"/>
      <c r="AF62" s="1641"/>
      <c r="AG62" s="1642"/>
      <c r="AH62" s="1642"/>
      <c r="AI62" s="1642"/>
      <c r="AJ62" s="1641"/>
      <c r="AK62" s="1642"/>
      <c r="AL62" s="1642"/>
      <c r="AM62" s="1642"/>
      <c r="AN62" s="1641"/>
      <c r="AO62" s="1642"/>
      <c r="AP62" s="1642"/>
      <c r="AQ62" s="1642"/>
      <c r="AR62" s="1641"/>
      <c r="AS62" s="1642"/>
      <c r="AT62" s="1642"/>
      <c r="AU62" s="1642"/>
      <c r="AV62" s="1641"/>
      <c r="AW62" s="1642"/>
      <c r="AX62" s="1642"/>
      <c r="AY62" s="1642"/>
      <c r="AZ62" s="1641"/>
      <c r="BA62" s="1642"/>
      <c r="BB62" s="1642"/>
      <c r="BC62" s="1642"/>
      <c r="BD62" s="1641"/>
      <c r="BE62" s="1642"/>
      <c r="BF62" s="1642"/>
      <c r="BG62" s="1642"/>
      <c r="BH62" s="1641"/>
      <c r="BI62" s="1642"/>
      <c r="BJ62" s="1642"/>
      <c r="BK62" s="1642"/>
      <c r="BL62" s="1641"/>
      <c r="BM62" s="1642"/>
      <c r="BN62" s="1642"/>
      <c r="BO62" s="1642"/>
      <c r="BP62" s="1641"/>
      <c r="BQ62" s="1642"/>
      <c r="BR62" s="1642"/>
      <c r="BS62" s="1642"/>
      <c r="BT62" s="1641"/>
      <c r="BU62" s="1642"/>
      <c r="BV62" s="1642"/>
      <c r="BW62" s="1642"/>
      <c r="BX62" s="1641"/>
      <c r="BY62" s="1642"/>
      <c r="BZ62" s="1642"/>
      <c r="CA62" s="1642"/>
      <c r="CB62" s="1641"/>
      <c r="CC62" s="1642"/>
      <c r="CD62" s="1642"/>
      <c r="CE62" s="1642"/>
      <c r="CF62" s="1641"/>
      <c r="CG62" s="1642"/>
      <c r="CH62" s="1642"/>
      <c r="CI62" s="1642"/>
      <c r="CJ62" s="1641"/>
      <c r="CK62" s="1642"/>
      <c r="CL62" s="1642"/>
      <c r="CM62" s="1681"/>
      <c r="CN62" s="1672"/>
      <c r="CO62" s="1672"/>
      <c r="CP62" s="1672"/>
      <c r="CQ62" s="1681"/>
      <c r="CR62" s="1672"/>
      <c r="CS62" s="1672"/>
      <c r="CT62" s="1672"/>
      <c r="CU62" s="1681"/>
      <c r="CV62" s="1672"/>
      <c r="CW62" s="1672"/>
      <c r="CX62" s="1672"/>
      <c r="CY62" s="1681"/>
      <c r="CZ62" s="1672"/>
      <c r="DA62" s="1672"/>
      <c r="DB62" s="1672"/>
      <c r="DC62" s="1672"/>
      <c r="DD62" s="1672"/>
      <c r="DE62" s="1672"/>
      <c r="DF62" s="1672"/>
      <c r="DG62" s="1672"/>
      <c r="DH62" s="1672"/>
      <c r="DI62" s="1672"/>
      <c r="DJ62" s="1672"/>
      <c r="DK62" s="1672"/>
      <c r="DL62" s="1672"/>
    </row>
    <row r="63" spans="1:116" ht="12.75" customHeight="1">
      <c r="A63" s="1628" t="s">
        <v>1217</v>
      </c>
      <c r="B63" s="1642"/>
      <c r="C63" s="1642"/>
      <c r="D63" s="1642"/>
      <c r="E63" s="1641"/>
      <c r="F63" s="1642">
        <v>704</v>
      </c>
      <c r="G63" s="1642">
        <v>2033</v>
      </c>
      <c r="H63" s="1642">
        <f t="shared" ref="H63:H70" si="113">AU63</f>
        <v>757</v>
      </c>
      <c r="I63" s="1642">
        <f t="shared" ref="I63:I70" si="114">AY63</f>
        <v>979</v>
      </c>
      <c r="J63" s="1642">
        <f t="shared" ref="J63:J70" si="115">BC63</f>
        <v>1422</v>
      </c>
      <c r="K63" s="1681">
        <f t="shared" ref="K63:K110" si="116">BG63</f>
        <v>669</v>
      </c>
      <c r="L63" s="1642"/>
      <c r="M63" s="1642"/>
      <c r="N63" s="1642"/>
      <c r="O63" s="1642"/>
      <c r="P63" s="1642"/>
      <c r="Q63" s="1642"/>
      <c r="R63" s="1642"/>
      <c r="S63" s="1642"/>
      <c r="T63" s="1642"/>
      <c r="U63" s="1642"/>
      <c r="V63" s="1642"/>
      <c r="W63" s="1642"/>
      <c r="X63" s="1642"/>
      <c r="Y63" s="1642"/>
      <c r="Z63" s="1642"/>
      <c r="AA63" s="1642"/>
      <c r="AB63" s="1642"/>
      <c r="AC63" s="1642"/>
      <c r="AD63" s="1642"/>
      <c r="AE63" s="1642"/>
      <c r="AF63" s="1641"/>
      <c r="AG63" s="1642"/>
      <c r="AH63" s="1642"/>
      <c r="AI63" s="1642"/>
      <c r="AJ63" s="1641"/>
      <c r="AK63" s="1642"/>
      <c r="AL63" s="1642"/>
      <c r="AM63" s="1642"/>
      <c r="AN63" s="1641"/>
      <c r="AO63" s="1642"/>
      <c r="AP63" s="1642"/>
      <c r="AQ63" s="1642">
        <f t="shared" ref="AQ63:AQ70" si="117">_fye99</f>
        <v>2033</v>
      </c>
      <c r="AR63" s="1641"/>
      <c r="AS63" s="1642">
        <v>1346</v>
      </c>
      <c r="AT63" s="1642">
        <v>828</v>
      </c>
      <c r="AU63" s="1642">
        <v>757</v>
      </c>
      <c r="AV63" s="1641">
        <v>689</v>
      </c>
      <c r="AW63" s="1642">
        <v>2616</v>
      </c>
      <c r="AX63" s="1642">
        <v>1365</v>
      </c>
      <c r="AY63" s="1642">
        <f>932+47</f>
        <v>979</v>
      </c>
      <c r="AZ63" s="1641">
        <v>1006</v>
      </c>
      <c r="BA63" s="1642">
        <v>2941</v>
      </c>
      <c r="BB63" s="1642">
        <v>5643</v>
      </c>
      <c r="BC63" s="1642">
        <v>1422</v>
      </c>
      <c r="BD63" s="1641">
        <v>4099</v>
      </c>
      <c r="BE63" s="1642">
        <v>779</v>
      </c>
      <c r="BF63" s="1642">
        <v>704</v>
      </c>
      <c r="BG63" s="1642">
        <v>669</v>
      </c>
      <c r="BH63" s="1641">
        <v>575</v>
      </c>
      <c r="BI63" s="1642">
        <v>583</v>
      </c>
      <c r="BJ63" s="1642">
        <v>616</v>
      </c>
      <c r="BK63" s="1642">
        <v>2290</v>
      </c>
      <c r="BL63" s="1641">
        <v>692</v>
      </c>
      <c r="BM63" s="1642">
        <v>1405</v>
      </c>
      <c r="BN63" s="1642">
        <v>616</v>
      </c>
      <c r="BO63" s="1642">
        <v>776</v>
      </c>
      <c r="BP63" s="1641">
        <v>1249</v>
      </c>
      <c r="BQ63" s="1642">
        <v>1186</v>
      </c>
      <c r="BR63" s="1642">
        <v>1846</v>
      </c>
      <c r="BS63" s="1642">
        <v>3219</v>
      </c>
      <c r="BT63" s="1641">
        <v>1301</v>
      </c>
      <c r="BU63" s="1634">
        <v>656</v>
      </c>
      <c r="BV63" s="1634">
        <v>715</v>
      </c>
      <c r="BW63" s="1634">
        <v>1153</v>
      </c>
      <c r="BX63" s="1633">
        <v>5485</v>
      </c>
      <c r="BY63" s="1634">
        <v>582</v>
      </c>
      <c r="BZ63" s="1634">
        <v>696</v>
      </c>
      <c r="CA63" s="1634">
        <v>9782</v>
      </c>
      <c r="CB63" s="1633">
        <v>3979</v>
      </c>
      <c r="CC63" s="1634">
        <v>820</v>
      </c>
      <c r="CD63" s="1634">
        <v>1216</v>
      </c>
      <c r="CE63" s="1634">
        <v>2009</v>
      </c>
      <c r="CF63" s="1633">
        <v>3037</v>
      </c>
      <c r="CG63" s="1634">
        <v>4761</v>
      </c>
      <c r="CH63" s="1634">
        <v>5394</v>
      </c>
      <c r="CI63" s="1634">
        <v>6668</v>
      </c>
      <c r="CJ63" s="1633">
        <v>14007</v>
      </c>
      <c r="CK63" s="1634">
        <v>6240</v>
      </c>
      <c r="CL63" s="1634">
        <v>10324</v>
      </c>
      <c r="CM63" s="1648">
        <v>13362</v>
      </c>
      <c r="CN63" s="1649">
        <v>5909</v>
      </c>
      <c r="CO63" s="1649">
        <v>10001</v>
      </c>
      <c r="CP63" s="1649">
        <v>9714</v>
      </c>
      <c r="CQ63" s="1648">
        <v>3093</v>
      </c>
      <c r="CR63" s="1649">
        <v>5475</v>
      </c>
      <c r="CS63" s="1649">
        <v>1788</v>
      </c>
      <c r="CT63" s="1649">
        <v>56710</v>
      </c>
      <c r="CU63" s="1648">
        <v>53528</v>
      </c>
      <c r="CV63" s="1649">
        <v>2907</v>
      </c>
      <c r="CW63" s="1649">
        <v>5776</v>
      </c>
      <c r="CX63" s="1649">
        <v>7218</v>
      </c>
      <c r="CY63" s="1648">
        <v>10598</v>
      </c>
      <c r="CZ63" s="1649">
        <v>4386</v>
      </c>
      <c r="DA63" s="1649">
        <v>3008</v>
      </c>
      <c r="DB63" s="1649">
        <v>3875</v>
      </c>
      <c r="DC63" s="1649">
        <v>4470</v>
      </c>
      <c r="DD63" s="1649">
        <v>5846</v>
      </c>
      <c r="DE63" s="1649">
        <v>2857</v>
      </c>
      <c r="DF63" s="1649">
        <v>6441</v>
      </c>
      <c r="DG63" s="1649">
        <v>2880</v>
      </c>
      <c r="DH63" s="1649">
        <v>4307</v>
      </c>
      <c r="DI63" s="1649">
        <v>4583</v>
      </c>
      <c r="DJ63" s="1649">
        <v>4487</v>
      </c>
      <c r="DK63" s="1649">
        <v>2079</v>
      </c>
      <c r="DL63" s="1649">
        <v>1923</v>
      </c>
    </row>
    <row r="64" spans="1:116" s="3358" customFormat="1" ht="12.75" customHeight="1">
      <c r="A64" s="3359" t="s">
        <v>1724</v>
      </c>
      <c r="B64" s="3351"/>
      <c r="C64" s="3351"/>
      <c r="D64" s="3351"/>
      <c r="E64" s="3352"/>
      <c r="F64" s="3351"/>
      <c r="G64" s="3351"/>
      <c r="H64" s="3351"/>
      <c r="I64" s="3351"/>
      <c r="J64" s="3351"/>
      <c r="K64" s="3353"/>
      <c r="L64" s="3351"/>
      <c r="M64" s="3351"/>
      <c r="N64" s="3351"/>
      <c r="O64" s="3351"/>
      <c r="P64" s="3351"/>
      <c r="Q64" s="3351"/>
      <c r="R64" s="3351"/>
      <c r="S64" s="3351"/>
      <c r="T64" s="3351"/>
      <c r="U64" s="3351"/>
      <c r="V64" s="3351"/>
      <c r="W64" s="3351"/>
      <c r="X64" s="3351"/>
      <c r="Y64" s="3351"/>
      <c r="Z64" s="3351"/>
      <c r="AA64" s="3351"/>
      <c r="AB64" s="3351"/>
      <c r="AC64" s="3351"/>
      <c r="AD64" s="3351"/>
      <c r="AE64" s="3351"/>
      <c r="AF64" s="3352"/>
      <c r="AG64" s="3351"/>
      <c r="AH64" s="3351"/>
      <c r="AI64" s="3351"/>
      <c r="AJ64" s="3352"/>
      <c r="AK64" s="3351"/>
      <c r="AL64" s="3351"/>
      <c r="AM64" s="3351"/>
      <c r="AN64" s="3352"/>
      <c r="AO64" s="3351"/>
      <c r="AP64" s="3351"/>
      <c r="AQ64" s="3351"/>
      <c r="AR64" s="3352"/>
      <c r="AS64" s="3351"/>
      <c r="AT64" s="3351"/>
      <c r="AU64" s="3351"/>
      <c r="AV64" s="3352"/>
      <c r="AW64" s="3351"/>
      <c r="AX64" s="3351"/>
      <c r="AY64" s="3351"/>
      <c r="AZ64" s="3352"/>
      <c r="BA64" s="3351"/>
      <c r="BB64" s="3351"/>
      <c r="BC64" s="3351"/>
      <c r="BD64" s="3352"/>
      <c r="BE64" s="3351"/>
      <c r="BF64" s="3351"/>
      <c r="BG64" s="3351"/>
      <c r="BH64" s="3352"/>
      <c r="BI64" s="3351"/>
      <c r="BJ64" s="3351"/>
      <c r="BK64" s="3351"/>
      <c r="BL64" s="3352"/>
      <c r="BM64" s="3351"/>
      <c r="BN64" s="3351"/>
      <c r="BO64" s="3351"/>
      <c r="BP64" s="3352"/>
      <c r="BQ64" s="3351"/>
      <c r="BR64" s="3351"/>
      <c r="BS64" s="3351"/>
      <c r="BT64" s="3352"/>
      <c r="BU64" s="3354"/>
      <c r="BV64" s="3354"/>
      <c r="BW64" s="3354"/>
      <c r="BX64" s="3355"/>
      <c r="BY64" s="3354"/>
      <c r="BZ64" s="3354"/>
      <c r="CA64" s="3354"/>
      <c r="CB64" s="3355"/>
      <c r="CC64" s="3354"/>
      <c r="CD64" s="3354"/>
      <c r="CE64" s="3354"/>
      <c r="CF64" s="3355"/>
      <c r="CG64" s="3354"/>
      <c r="CH64" s="3354"/>
      <c r="CI64" s="3354"/>
      <c r="CJ64" s="3355"/>
      <c r="CK64" s="3354"/>
      <c r="CL64" s="3354"/>
      <c r="CM64" s="3356"/>
      <c r="CN64" s="3245"/>
      <c r="CO64" s="3245"/>
      <c r="CP64" s="3245"/>
      <c r="CQ64" s="3356"/>
      <c r="CR64" s="3245"/>
      <c r="CS64" s="3245"/>
      <c r="CT64" s="3245"/>
      <c r="CU64" s="3356"/>
      <c r="CV64" s="3245"/>
      <c r="CW64" s="3245"/>
      <c r="CX64" s="3245"/>
      <c r="CY64" s="3356"/>
      <c r="CZ64" s="3245"/>
      <c r="DA64" s="3245"/>
      <c r="DB64" s="3245"/>
      <c r="DC64" s="3245"/>
      <c r="DD64" s="3245"/>
      <c r="DE64" s="3245"/>
      <c r="DF64" s="3245"/>
      <c r="DG64" s="3245"/>
      <c r="DH64" s="3245"/>
      <c r="DI64" s="3245"/>
      <c r="DJ64" s="3357"/>
      <c r="DK64" s="3357"/>
      <c r="DL64" s="3357">
        <f>+DL407-DL63</f>
        <v>1012</v>
      </c>
    </row>
    <row r="65" spans="1:116" ht="12.75" customHeight="1">
      <c r="A65" s="1628" t="s">
        <v>1218</v>
      </c>
      <c r="B65" s="1642"/>
      <c r="C65" s="1642"/>
      <c r="D65" s="1642"/>
      <c r="E65" s="1641"/>
      <c r="F65" s="1642">
        <v>976</v>
      </c>
      <c r="G65" s="1642">
        <v>1035</v>
      </c>
      <c r="H65" s="1642">
        <f t="shared" si="113"/>
        <v>1613</v>
      </c>
      <c r="I65" s="1642">
        <f t="shared" si="114"/>
        <v>1991</v>
      </c>
      <c r="J65" s="1642">
        <f t="shared" si="115"/>
        <v>2042</v>
      </c>
      <c r="K65" s="1681">
        <f t="shared" si="116"/>
        <v>2172</v>
      </c>
      <c r="L65" s="1642"/>
      <c r="M65" s="1642"/>
      <c r="N65" s="1642"/>
      <c r="O65" s="1642"/>
      <c r="P65" s="1642"/>
      <c r="Q65" s="1642"/>
      <c r="R65" s="1642"/>
      <c r="S65" s="1642"/>
      <c r="T65" s="1642"/>
      <c r="U65" s="1642"/>
      <c r="V65" s="1642"/>
      <c r="W65" s="1642"/>
      <c r="X65" s="1642"/>
      <c r="Y65" s="1642"/>
      <c r="Z65" s="1642"/>
      <c r="AA65" s="1642"/>
      <c r="AB65" s="1642"/>
      <c r="AC65" s="1642"/>
      <c r="AD65" s="1642"/>
      <c r="AE65" s="1642"/>
      <c r="AF65" s="1641"/>
      <c r="AG65" s="1642"/>
      <c r="AH65" s="1642"/>
      <c r="AI65" s="1642"/>
      <c r="AJ65" s="1641"/>
      <c r="AK65" s="1642"/>
      <c r="AL65" s="1642"/>
      <c r="AM65" s="1642"/>
      <c r="AN65" s="1641"/>
      <c r="AO65" s="1642"/>
      <c r="AP65" s="1642"/>
      <c r="AQ65" s="1642">
        <f t="shared" si="117"/>
        <v>1035</v>
      </c>
      <c r="AR65" s="1641"/>
      <c r="AS65" s="1642">
        <v>355</v>
      </c>
      <c r="AT65" s="1642">
        <v>114</v>
      </c>
      <c r="AU65" s="1642">
        <v>1613</v>
      </c>
      <c r="AV65" s="1641">
        <v>1010</v>
      </c>
      <c r="AW65" s="1642">
        <v>797</v>
      </c>
      <c r="AX65" s="1642">
        <v>248</v>
      </c>
      <c r="AY65" s="1642">
        <f>1991</f>
        <v>1991</v>
      </c>
      <c r="AZ65" s="1641">
        <v>1302</v>
      </c>
      <c r="BA65" s="1642">
        <v>743</v>
      </c>
      <c r="BB65" s="1642">
        <v>213</v>
      </c>
      <c r="BC65" s="1642">
        <v>2042</v>
      </c>
      <c r="BD65" s="1641">
        <v>1479</v>
      </c>
      <c r="BE65" s="1642">
        <v>906</v>
      </c>
      <c r="BF65" s="1642">
        <v>366</v>
      </c>
      <c r="BG65" s="1642">
        <v>2172</v>
      </c>
      <c r="BH65" s="1641">
        <v>1891</v>
      </c>
      <c r="BI65" s="1642">
        <v>1390</v>
      </c>
      <c r="BJ65" s="1642">
        <v>986</v>
      </c>
      <c r="BK65" s="1642">
        <v>2257</v>
      </c>
      <c r="BL65" s="1641">
        <v>2019</v>
      </c>
      <c r="BM65" s="1642">
        <v>1596</v>
      </c>
      <c r="BN65" s="1642">
        <v>1208</v>
      </c>
      <c r="BO65" s="1642">
        <v>2498</v>
      </c>
      <c r="BP65" s="1641">
        <v>2678</v>
      </c>
      <c r="BQ65" s="1642">
        <v>2075</v>
      </c>
      <c r="BR65" s="1642">
        <v>1589</v>
      </c>
      <c r="BS65" s="1642">
        <v>2434</v>
      </c>
      <c r="BT65" s="1641">
        <v>2149</v>
      </c>
      <c r="BU65" s="1634">
        <v>1700</v>
      </c>
      <c r="BV65" s="1634">
        <v>1194</v>
      </c>
      <c r="BW65" s="1634">
        <v>2244</v>
      </c>
      <c r="BX65" s="1633">
        <v>1957</v>
      </c>
      <c r="BY65" s="1634">
        <v>1492</v>
      </c>
      <c r="BZ65" s="1634">
        <v>978</v>
      </c>
      <c r="CA65" s="1634">
        <v>509</v>
      </c>
      <c r="CB65" s="1633">
        <v>372</v>
      </c>
      <c r="CC65" s="1634">
        <v>360</v>
      </c>
      <c r="CD65" s="1634">
        <v>474</v>
      </c>
      <c r="CE65" s="1634">
        <v>490</v>
      </c>
      <c r="CF65" s="1633">
        <v>520</v>
      </c>
      <c r="CG65" s="1634">
        <v>464</v>
      </c>
      <c r="CH65" s="1634">
        <v>581</v>
      </c>
      <c r="CI65" s="1634">
        <v>548</v>
      </c>
      <c r="CJ65" s="1633">
        <v>723</v>
      </c>
      <c r="CK65" s="1634">
        <v>588</v>
      </c>
      <c r="CL65" s="1634">
        <v>534</v>
      </c>
      <c r="CM65" s="1648">
        <v>592</v>
      </c>
      <c r="CN65" s="1649">
        <v>623</v>
      </c>
      <c r="CO65" s="1649">
        <v>777</v>
      </c>
      <c r="CP65" s="1649">
        <v>593</v>
      </c>
      <c r="CQ65" s="1648">
        <v>470</v>
      </c>
      <c r="CR65" s="1649">
        <v>660</v>
      </c>
      <c r="CS65" s="1649">
        <v>618</v>
      </c>
      <c r="CT65" s="1649">
        <v>631</v>
      </c>
      <c r="CU65" s="1648">
        <v>601</v>
      </c>
      <c r="CV65" s="1649">
        <v>637</v>
      </c>
      <c r="CW65" s="1649">
        <v>648</v>
      </c>
      <c r="CX65" s="1649">
        <v>635</v>
      </c>
      <c r="CY65" s="1648">
        <v>555</v>
      </c>
      <c r="CZ65" s="1649">
        <v>547</v>
      </c>
      <c r="DA65" s="1649">
        <v>309</v>
      </c>
      <c r="DB65" s="1649">
        <v>306</v>
      </c>
      <c r="DC65" s="1649">
        <v>350</v>
      </c>
      <c r="DD65" s="1649"/>
      <c r="DE65" s="1649"/>
      <c r="DF65" s="1649"/>
      <c r="DG65" s="1649"/>
      <c r="DH65" s="1649"/>
      <c r="DI65" s="1649"/>
      <c r="DJ65" s="1649"/>
      <c r="DK65" s="1649"/>
      <c r="DL65" s="1649"/>
    </row>
    <row r="66" spans="1:116" ht="12.75" customHeight="1">
      <c r="A66" s="1628" t="s">
        <v>1219</v>
      </c>
      <c r="B66" s="1642"/>
      <c r="C66" s="1642"/>
      <c r="D66" s="1642"/>
      <c r="E66" s="1641"/>
      <c r="F66" s="1642">
        <v>11306</v>
      </c>
      <c r="G66" s="1642">
        <v>11998</v>
      </c>
      <c r="H66" s="1642">
        <f t="shared" si="113"/>
        <v>14010</v>
      </c>
      <c r="I66" s="1642">
        <f t="shared" si="114"/>
        <v>14254</v>
      </c>
      <c r="J66" s="1642">
        <f t="shared" si="115"/>
        <v>12496</v>
      </c>
      <c r="K66" s="1681">
        <f t="shared" si="116"/>
        <v>9854</v>
      </c>
      <c r="L66" s="1642"/>
      <c r="M66" s="1642"/>
      <c r="N66" s="1642"/>
      <c r="O66" s="1642"/>
      <c r="P66" s="1642"/>
      <c r="Q66" s="1642"/>
      <c r="R66" s="1642"/>
      <c r="S66" s="1642"/>
      <c r="T66" s="1642"/>
      <c r="U66" s="1642"/>
      <c r="V66" s="1642"/>
      <c r="W66" s="1642"/>
      <c r="X66" s="1642"/>
      <c r="Y66" s="1642"/>
      <c r="Z66" s="1642"/>
      <c r="AA66" s="1642"/>
      <c r="AB66" s="1642"/>
      <c r="AC66" s="1642"/>
      <c r="AD66" s="1642"/>
      <c r="AE66" s="1642"/>
      <c r="AF66" s="1641"/>
      <c r="AG66" s="1642"/>
      <c r="AH66" s="1642"/>
      <c r="AI66" s="1642"/>
      <c r="AJ66" s="1641"/>
      <c r="AK66" s="1642"/>
      <c r="AL66" s="1642"/>
      <c r="AM66" s="1642"/>
      <c r="AN66" s="1641"/>
      <c r="AO66" s="1642"/>
      <c r="AP66" s="1642"/>
      <c r="AQ66" s="1642">
        <f t="shared" si="117"/>
        <v>11998</v>
      </c>
      <c r="AR66" s="1641"/>
      <c r="AS66" s="1642">
        <v>12360</v>
      </c>
      <c r="AT66" s="1642">
        <v>14180</v>
      </c>
      <c r="AU66" s="1642">
        <v>14010</v>
      </c>
      <c r="AV66" s="1641">
        <v>13988</v>
      </c>
      <c r="AW66" s="1642">
        <v>13777</v>
      </c>
      <c r="AX66" s="1642">
        <v>13726</v>
      </c>
      <c r="AY66" s="1642">
        <v>14254</v>
      </c>
      <c r="AZ66" s="1641">
        <v>15288</v>
      </c>
      <c r="BA66" s="1642">
        <v>12968</v>
      </c>
      <c r="BB66" s="1642">
        <v>12834</v>
      </c>
      <c r="BC66" s="1642">
        <v>12496</v>
      </c>
      <c r="BD66" s="1641">
        <v>9528</v>
      </c>
      <c r="BE66" s="1642">
        <v>10055</v>
      </c>
      <c r="BF66" s="1642">
        <v>10031</v>
      </c>
      <c r="BG66" s="1642">
        <v>9854</v>
      </c>
      <c r="BH66" s="1641">
        <v>9460</v>
      </c>
      <c r="BI66" s="1642">
        <v>9578</v>
      </c>
      <c r="BJ66" s="1642">
        <v>9919</v>
      </c>
      <c r="BK66" s="1642">
        <v>9801</v>
      </c>
      <c r="BL66" s="1641">
        <v>9285</v>
      </c>
      <c r="BM66" s="1642">
        <v>9566</v>
      </c>
      <c r="BN66" s="1642">
        <v>9337</v>
      </c>
      <c r="BO66" s="1642">
        <v>9171</v>
      </c>
      <c r="BP66" s="1641">
        <v>10617</v>
      </c>
      <c r="BQ66" s="1642">
        <v>10451</v>
      </c>
      <c r="BR66" s="1642">
        <v>10834</v>
      </c>
      <c r="BS66" s="1642">
        <v>10891</v>
      </c>
      <c r="BT66" s="1641">
        <v>10177</v>
      </c>
      <c r="BU66" s="1634">
        <v>10689</v>
      </c>
      <c r="BV66" s="1634">
        <v>11509</v>
      </c>
      <c r="BW66" s="1634">
        <v>11736</v>
      </c>
      <c r="BX66" s="1633">
        <v>11048</v>
      </c>
      <c r="BY66" s="1634">
        <v>11584</v>
      </c>
      <c r="BZ66" s="1634">
        <v>11724</v>
      </c>
      <c r="CA66" s="1634">
        <v>11703</v>
      </c>
      <c r="CB66" s="1633">
        <v>11989</v>
      </c>
      <c r="CC66" s="1634">
        <v>12170</v>
      </c>
      <c r="CD66" s="1634">
        <v>12489</v>
      </c>
      <c r="CE66" s="1634">
        <v>12573</v>
      </c>
      <c r="CF66" s="1633">
        <v>11969</v>
      </c>
      <c r="CG66" s="1634">
        <v>12058</v>
      </c>
      <c r="CH66" s="1634">
        <v>11973</v>
      </c>
      <c r="CI66" s="1634">
        <v>11781</v>
      </c>
      <c r="CJ66" s="1633">
        <v>11028</v>
      </c>
      <c r="CK66" s="1634">
        <v>11483</v>
      </c>
      <c r="CL66" s="1634">
        <v>11648</v>
      </c>
      <c r="CM66" s="1648">
        <v>11776</v>
      </c>
      <c r="CN66" s="1649">
        <v>11234</v>
      </c>
      <c r="CO66" s="1649">
        <v>11595</v>
      </c>
      <c r="CP66" s="1649">
        <v>12030</v>
      </c>
      <c r="CQ66" s="1648">
        <v>12576</v>
      </c>
      <c r="CR66" s="1649">
        <v>11814</v>
      </c>
      <c r="CS66" s="1649">
        <v>12216</v>
      </c>
      <c r="CT66" s="1649">
        <v>12111</v>
      </c>
      <c r="CU66" s="1648">
        <v>12439</v>
      </c>
      <c r="CV66" s="1649">
        <v>12131</v>
      </c>
      <c r="CW66" s="1649">
        <v>12966</v>
      </c>
      <c r="CX66" s="1649">
        <v>13283</v>
      </c>
      <c r="CY66" s="1648">
        <v>13993</v>
      </c>
      <c r="CZ66" s="1649">
        <v>12698</v>
      </c>
      <c r="DA66" s="1649">
        <v>13444</v>
      </c>
      <c r="DB66" s="1649">
        <v>13105</v>
      </c>
      <c r="DC66" s="1649">
        <v>13457</v>
      </c>
      <c r="DD66" s="1649">
        <v>12485</v>
      </c>
      <c r="DE66" s="1649">
        <v>13294</v>
      </c>
      <c r="DF66" s="1649">
        <v>14832</v>
      </c>
      <c r="DG66" s="1649">
        <v>17513</v>
      </c>
      <c r="DH66" s="1649">
        <v>16863</v>
      </c>
      <c r="DI66" s="1649">
        <v>19771</v>
      </c>
      <c r="DJ66" s="1649">
        <v>21549</v>
      </c>
      <c r="DK66" s="1649">
        <v>23493</v>
      </c>
      <c r="DL66" s="1649">
        <v>22595</v>
      </c>
    </row>
    <row r="67" spans="1:116" ht="12.75" customHeight="1">
      <c r="A67" s="1628" t="s">
        <v>1220</v>
      </c>
      <c r="B67" s="1642"/>
      <c r="C67" s="1642"/>
      <c r="D67" s="1642"/>
      <c r="E67" s="1641"/>
      <c r="F67" s="1642">
        <v>1234</v>
      </c>
      <c r="G67" s="1642">
        <v>1366</v>
      </c>
      <c r="H67" s="1642">
        <f t="shared" si="113"/>
        <v>1910</v>
      </c>
      <c r="I67" s="1642">
        <f t="shared" si="114"/>
        <v>1968</v>
      </c>
      <c r="J67" s="1642">
        <f t="shared" si="115"/>
        <v>1497</v>
      </c>
      <c r="K67" s="1681">
        <f t="shared" si="116"/>
        <v>1262</v>
      </c>
      <c r="L67" s="1642"/>
      <c r="M67" s="1642"/>
      <c r="N67" s="1642"/>
      <c r="O67" s="1642"/>
      <c r="P67" s="1642"/>
      <c r="Q67" s="1642"/>
      <c r="R67" s="1642"/>
      <c r="S67" s="1642"/>
      <c r="T67" s="1642"/>
      <c r="U67" s="1642"/>
      <c r="V67" s="1642"/>
      <c r="W67" s="1642"/>
      <c r="X67" s="1642"/>
      <c r="Y67" s="1642"/>
      <c r="Z67" s="1642"/>
      <c r="AA67" s="1642"/>
      <c r="AB67" s="1642"/>
      <c r="AC67" s="1642"/>
      <c r="AD67" s="1642"/>
      <c r="AE67" s="1642"/>
      <c r="AF67" s="1641"/>
      <c r="AG67" s="1642"/>
      <c r="AH67" s="1642"/>
      <c r="AI67" s="1642"/>
      <c r="AJ67" s="1641"/>
      <c r="AK67" s="1642"/>
      <c r="AL67" s="1642"/>
      <c r="AM67" s="1642"/>
      <c r="AN67" s="1641"/>
      <c r="AO67" s="1642"/>
      <c r="AP67" s="1642"/>
      <c r="AQ67" s="1642">
        <f t="shared" si="117"/>
        <v>1366</v>
      </c>
      <c r="AR67" s="1641"/>
      <c r="AS67" s="1642">
        <v>1385</v>
      </c>
      <c r="AT67" s="1642">
        <v>1487</v>
      </c>
      <c r="AU67" s="1642">
        <v>1910</v>
      </c>
      <c r="AV67" s="1641">
        <v>2049</v>
      </c>
      <c r="AW67" s="1642">
        <v>2047</v>
      </c>
      <c r="AX67" s="1642">
        <v>2259</v>
      </c>
      <c r="AY67" s="1642">
        <v>1968</v>
      </c>
      <c r="AZ67" s="1641">
        <v>1750</v>
      </c>
      <c r="BA67" s="1642">
        <v>1824</v>
      </c>
      <c r="BB67" s="1642">
        <v>1599</v>
      </c>
      <c r="BC67" s="1642">
        <v>1497</v>
      </c>
      <c r="BD67" s="1641">
        <v>1167</v>
      </c>
      <c r="BE67" s="1642">
        <v>1220</v>
      </c>
      <c r="BF67" s="1642">
        <v>1284</v>
      </c>
      <c r="BG67" s="1642">
        <v>1262</v>
      </c>
      <c r="BH67" s="1641">
        <v>1284</v>
      </c>
      <c r="BI67" s="1642">
        <v>1342</v>
      </c>
      <c r="BJ67" s="1642">
        <v>1389</v>
      </c>
      <c r="BK67" s="1642">
        <v>1535</v>
      </c>
      <c r="BL67" s="1641">
        <v>1460</v>
      </c>
      <c r="BM67" s="1642">
        <v>1373</v>
      </c>
      <c r="BN67" s="1642">
        <v>1503</v>
      </c>
      <c r="BO67" s="1642">
        <v>1780</v>
      </c>
      <c r="BP67" s="1641">
        <v>1647</v>
      </c>
      <c r="BQ67" s="1642">
        <v>1698</v>
      </c>
      <c r="BR67" s="1642">
        <v>1650</v>
      </c>
      <c r="BS67" s="1642">
        <v>1514</v>
      </c>
      <c r="BT67" s="1641">
        <v>1780</v>
      </c>
      <c r="BU67" s="1634">
        <v>1793</v>
      </c>
      <c r="BV67" s="1634">
        <v>1786</v>
      </c>
      <c r="BW67" s="1634">
        <v>1729</v>
      </c>
      <c r="BX67" s="1633">
        <v>1672</v>
      </c>
      <c r="BY67" s="1634">
        <v>2216</v>
      </c>
      <c r="BZ67" s="1634">
        <v>2485</v>
      </c>
      <c r="CA67" s="1634">
        <v>2092</v>
      </c>
      <c r="CB67" s="1633">
        <v>2195</v>
      </c>
      <c r="CC67" s="1634">
        <v>2775</v>
      </c>
      <c r="CD67" s="1634">
        <v>2554</v>
      </c>
      <c r="CE67" s="1634">
        <v>2289</v>
      </c>
      <c r="CF67" s="1633">
        <v>1113</v>
      </c>
      <c r="CG67" s="1634">
        <v>985</v>
      </c>
      <c r="CH67" s="1634">
        <v>1010</v>
      </c>
      <c r="CI67" s="1634">
        <v>1131</v>
      </c>
      <c r="CJ67" s="1633">
        <v>1245</v>
      </c>
      <c r="CK67" s="1634">
        <v>1270</v>
      </c>
      <c r="CL67" s="1634">
        <v>1153</v>
      </c>
      <c r="CM67" s="1648">
        <v>940</v>
      </c>
      <c r="CN67" s="1649">
        <v>1063</v>
      </c>
      <c r="CO67" s="1649">
        <v>856</v>
      </c>
      <c r="CP67" s="1649">
        <v>1223</v>
      </c>
      <c r="CQ67" s="1648">
        <v>1075</v>
      </c>
      <c r="CR67" s="1649">
        <v>798</v>
      </c>
      <c r="CS67" s="1649">
        <v>1040</v>
      </c>
      <c r="CT67" s="1649">
        <v>1193</v>
      </c>
      <c r="CU67" s="1648">
        <v>1020</v>
      </c>
      <c r="CV67" s="1649">
        <v>881</v>
      </c>
      <c r="CW67" s="1649">
        <v>1073</v>
      </c>
      <c r="CX67" s="1649">
        <v>1206</v>
      </c>
      <c r="CY67" s="1648">
        <v>1153</v>
      </c>
      <c r="CZ67" s="1649">
        <v>1076</v>
      </c>
      <c r="DA67" s="1649">
        <v>1149</v>
      </c>
      <c r="DB67" s="1649">
        <v>1319</v>
      </c>
      <c r="DC67" s="1649">
        <v>1252</v>
      </c>
      <c r="DD67" s="1649">
        <v>1142</v>
      </c>
      <c r="DE67" s="1649">
        <v>931</v>
      </c>
      <c r="DF67" s="1649">
        <v>1318</v>
      </c>
      <c r="DG67" s="1649">
        <v>1202</v>
      </c>
      <c r="DH67" s="1649">
        <v>1194</v>
      </c>
      <c r="DI67" s="1649">
        <v>1116</v>
      </c>
      <c r="DJ67" s="1649">
        <v>1276</v>
      </c>
      <c r="DK67" s="1649">
        <v>1034</v>
      </c>
      <c r="DL67" s="1649">
        <v>1285</v>
      </c>
    </row>
    <row r="68" spans="1:116" ht="12.75" customHeight="1">
      <c r="A68" s="1628" t="s">
        <v>1221</v>
      </c>
      <c r="B68" s="1642"/>
      <c r="C68" s="1642"/>
      <c r="D68" s="1642"/>
      <c r="E68" s="1641"/>
      <c r="F68" s="1642">
        <v>274</v>
      </c>
      <c r="G68" s="1642">
        <v>1802</v>
      </c>
      <c r="H68" s="1642">
        <f t="shared" si="113"/>
        <v>518</v>
      </c>
      <c r="I68" s="1642">
        <f t="shared" si="114"/>
        <v>1199</v>
      </c>
      <c r="J68" s="1642">
        <f t="shared" si="115"/>
        <v>1305</v>
      </c>
      <c r="K68" s="1681">
        <f t="shared" si="116"/>
        <v>705</v>
      </c>
      <c r="L68" s="1642"/>
      <c r="M68" s="1642"/>
      <c r="N68" s="1642"/>
      <c r="O68" s="1642"/>
      <c r="P68" s="1642"/>
      <c r="Q68" s="1642"/>
      <c r="R68" s="1642"/>
      <c r="S68" s="1642"/>
      <c r="T68" s="1642"/>
      <c r="U68" s="1642"/>
      <c r="V68" s="1642"/>
      <c r="W68" s="1642"/>
      <c r="X68" s="1642"/>
      <c r="Y68" s="1642"/>
      <c r="Z68" s="1642"/>
      <c r="AA68" s="1642"/>
      <c r="AB68" s="1642"/>
      <c r="AC68" s="1642"/>
      <c r="AD68" s="1642"/>
      <c r="AE68" s="1642"/>
      <c r="AF68" s="1641"/>
      <c r="AG68" s="1642"/>
      <c r="AH68" s="1642"/>
      <c r="AI68" s="1642"/>
      <c r="AJ68" s="1641"/>
      <c r="AK68" s="1642"/>
      <c r="AL68" s="1642"/>
      <c r="AM68" s="1642"/>
      <c r="AN68" s="1641"/>
      <c r="AO68" s="1642"/>
      <c r="AP68" s="1642"/>
      <c r="AQ68" s="1642">
        <f t="shared" si="117"/>
        <v>1802</v>
      </c>
      <c r="AR68" s="1641"/>
      <c r="AS68" s="1642">
        <v>2302</v>
      </c>
      <c r="AT68" s="1642">
        <v>715</v>
      </c>
      <c r="AU68" s="1642">
        <v>518</v>
      </c>
      <c r="AV68" s="1641">
        <v>567</v>
      </c>
      <c r="AW68" s="1642">
        <v>279</v>
      </c>
      <c r="AX68" s="1642">
        <v>1487</v>
      </c>
      <c r="AY68" s="1642">
        <v>1199</v>
      </c>
      <c r="AZ68" s="1641">
        <f>1623+1232</f>
        <v>2855</v>
      </c>
      <c r="BA68" s="1642">
        <f>1510+1323</f>
        <v>2833</v>
      </c>
      <c r="BB68" s="1642">
        <v>1431</v>
      </c>
      <c r="BC68" s="1642">
        <v>1305</v>
      </c>
      <c r="BD68" s="1641">
        <v>1834</v>
      </c>
      <c r="BE68" s="1642">
        <v>1670</v>
      </c>
      <c r="BF68" s="1642">
        <v>632</v>
      </c>
      <c r="BG68" s="1642">
        <v>705</v>
      </c>
      <c r="BH68" s="1641">
        <v>681</v>
      </c>
      <c r="BI68" s="1642">
        <v>1595</v>
      </c>
      <c r="BJ68" s="1642">
        <v>1669</v>
      </c>
      <c r="BK68" s="1642">
        <v>950</v>
      </c>
      <c r="BL68" s="1641">
        <v>964</v>
      </c>
      <c r="BM68" s="1642">
        <v>0</v>
      </c>
      <c r="BN68" s="1642">
        <v>0</v>
      </c>
      <c r="BO68" s="1642">
        <v>0</v>
      </c>
      <c r="BP68" s="1641">
        <v>0</v>
      </c>
      <c r="BQ68" s="1642">
        <v>3577</v>
      </c>
      <c r="BR68" s="1642">
        <v>3597</v>
      </c>
      <c r="BS68" s="1642">
        <v>2592</v>
      </c>
      <c r="BT68" s="1641">
        <v>0</v>
      </c>
      <c r="BU68" s="1634"/>
      <c r="BV68" s="1634"/>
      <c r="BW68" s="1634"/>
      <c r="BX68" s="1633"/>
      <c r="BY68" s="1634"/>
      <c r="BZ68" s="1634">
        <v>0</v>
      </c>
      <c r="CA68" s="1634">
        <v>0</v>
      </c>
      <c r="CB68" s="1633">
        <v>0</v>
      </c>
      <c r="CC68" s="1634">
        <v>0</v>
      </c>
      <c r="CD68" s="1634">
        <v>0</v>
      </c>
      <c r="CE68" s="1634">
        <v>0</v>
      </c>
      <c r="CF68" s="1641"/>
      <c r="CG68" s="1642"/>
      <c r="CH68" s="1642"/>
      <c r="CI68" s="1642"/>
      <c r="CJ68" s="1641"/>
      <c r="CK68" s="1642"/>
      <c r="CL68" s="1642"/>
      <c r="CM68" s="1681"/>
      <c r="CN68" s="1672"/>
      <c r="CO68" s="1672"/>
      <c r="CP68" s="1672"/>
      <c r="CQ68" s="1681"/>
      <c r="CR68" s="1672"/>
      <c r="CS68" s="1672"/>
      <c r="CT68" s="1672"/>
      <c r="CU68" s="1681"/>
      <c r="CV68" s="1672"/>
      <c r="CW68" s="1672"/>
      <c r="CX68" s="1672"/>
      <c r="CY68" s="1681"/>
      <c r="CZ68" s="1649">
        <v>893</v>
      </c>
      <c r="DA68" s="1649">
        <v>774</v>
      </c>
      <c r="DB68" s="1649">
        <v>895</v>
      </c>
      <c r="DC68" s="1649">
        <v>792</v>
      </c>
      <c r="DD68" s="1649">
        <v>720</v>
      </c>
      <c r="DE68" s="1649">
        <v>317</v>
      </c>
      <c r="DF68" s="1649"/>
      <c r="DG68" s="1649">
        <v>882</v>
      </c>
      <c r="DH68" s="1649">
        <v>149</v>
      </c>
      <c r="DI68" s="1649"/>
      <c r="DJ68" s="1649">
        <v>275</v>
      </c>
      <c r="DK68" s="1649"/>
      <c r="DL68" s="1649"/>
    </row>
    <row r="69" spans="1:116" ht="12.75" customHeight="1">
      <c r="A69" s="1628" t="s">
        <v>1222</v>
      </c>
      <c r="B69" s="1642"/>
      <c r="C69" s="1642"/>
      <c r="D69" s="1642"/>
      <c r="E69" s="1641"/>
      <c r="F69" s="1642">
        <v>1245</v>
      </c>
      <c r="G69" s="1642">
        <v>1761</v>
      </c>
      <c r="H69" s="1642">
        <f t="shared" si="113"/>
        <v>3313</v>
      </c>
      <c r="I69" s="1642">
        <f t="shared" si="114"/>
        <v>2796</v>
      </c>
      <c r="J69" s="1642">
        <f t="shared" si="115"/>
        <v>3331</v>
      </c>
      <c r="K69" s="1681">
        <f t="shared" si="116"/>
        <v>4233</v>
      </c>
      <c r="L69" s="1642"/>
      <c r="M69" s="1642"/>
      <c r="N69" s="1642"/>
      <c r="O69" s="1642"/>
      <c r="P69" s="1642"/>
      <c r="Q69" s="1642"/>
      <c r="R69" s="1642"/>
      <c r="S69" s="1642"/>
      <c r="T69" s="1642"/>
      <c r="U69" s="1642"/>
      <c r="V69" s="1642"/>
      <c r="W69" s="1642"/>
      <c r="X69" s="1642"/>
      <c r="Y69" s="1642"/>
      <c r="Z69" s="1642"/>
      <c r="AA69" s="1642"/>
      <c r="AB69" s="1642"/>
      <c r="AC69" s="1642"/>
      <c r="AD69" s="1642"/>
      <c r="AE69" s="1642"/>
      <c r="AF69" s="1641"/>
      <c r="AG69" s="1642"/>
      <c r="AH69" s="1642"/>
      <c r="AI69" s="1642"/>
      <c r="AJ69" s="1641"/>
      <c r="AK69" s="1642"/>
      <c r="AL69" s="1642"/>
      <c r="AM69" s="1642"/>
      <c r="AN69" s="1641"/>
      <c r="AO69" s="1642"/>
      <c r="AP69" s="1642"/>
      <c r="AQ69" s="1642">
        <f t="shared" si="117"/>
        <v>1761</v>
      </c>
      <c r="AR69" s="1641"/>
      <c r="AS69" s="1642">
        <v>2388</v>
      </c>
      <c r="AT69" s="1642">
        <v>2770</v>
      </c>
      <c r="AU69" s="1642">
        <v>3313</v>
      </c>
      <c r="AV69" s="1641">
        <v>3674</v>
      </c>
      <c r="AW69" s="1642">
        <v>3744</v>
      </c>
      <c r="AX69" s="1642">
        <v>2747</v>
      </c>
      <c r="AY69" s="1642">
        <v>2796</v>
      </c>
      <c r="AZ69" s="1641">
        <v>3364</v>
      </c>
      <c r="BA69" s="1642">
        <v>3156</v>
      </c>
      <c r="BB69" s="1642">
        <v>2983</v>
      </c>
      <c r="BC69" s="1642">
        <v>3331</v>
      </c>
      <c r="BD69" s="1641">
        <v>4498</v>
      </c>
      <c r="BE69" s="1642">
        <v>4494</v>
      </c>
      <c r="BF69" s="1642">
        <v>4124</v>
      </c>
      <c r="BG69" s="1642">
        <v>4233</v>
      </c>
      <c r="BH69" s="1641">
        <v>3894</v>
      </c>
      <c r="BI69" s="1642">
        <v>3482</v>
      </c>
      <c r="BJ69" s="1642">
        <v>3162</v>
      </c>
      <c r="BK69" s="1642">
        <v>2646</v>
      </c>
      <c r="BL69" s="1641">
        <v>2591</v>
      </c>
      <c r="BM69" s="1642">
        <v>2729</v>
      </c>
      <c r="BN69" s="1642">
        <v>2608</v>
      </c>
      <c r="BO69" s="1642">
        <v>2223</v>
      </c>
      <c r="BP69" s="1641">
        <v>2438</v>
      </c>
      <c r="BQ69" s="1642">
        <v>2289</v>
      </c>
      <c r="BR69" s="1642">
        <v>2099</v>
      </c>
      <c r="BS69" s="1642">
        <v>1888</v>
      </c>
      <c r="BT69" s="1641">
        <v>2487</v>
      </c>
      <c r="BU69" s="1634">
        <v>2190</v>
      </c>
      <c r="BV69" s="1634">
        <v>1833</v>
      </c>
      <c r="BW69" s="1634">
        <v>1836</v>
      </c>
      <c r="BX69" s="1633">
        <v>2286</v>
      </c>
      <c r="BY69" s="1634">
        <v>2122</v>
      </c>
      <c r="BZ69" s="1634">
        <v>3248</v>
      </c>
      <c r="CA69" s="1634">
        <v>1989</v>
      </c>
      <c r="CB69" s="1633">
        <v>3343</v>
      </c>
      <c r="CC69" s="1634">
        <v>5339</v>
      </c>
      <c r="CD69" s="1634">
        <v>5290</v>
      </c>
      <c r="CE69" s="1634">
        <v>5247</v>
      </c>
      <c r="CF69" s="1633">
        <v>5766</v>
      </c>
      <c r="CG69" s="1634">
        <v>2793</v>
      </c>
      <c r="CH69" s="1634">
        <v>2383</v>
      </c>
      <c r="CI69" s="1634">
        <v>2220</v>
      </c>
      <c r="CJ69" s="1633">
        <v>2920</v>
      </c>
      <c r="CK69" s="1634">
        <v>2891</v>
      </c>
      <c r="CL69" s="1634">
        <v>4111</v>
      </c>
      <c r="CM69" s="1648">
        <v>4269</v>
      </c>
      <c r="CN69" s="1649">
        <v>4683</v>
      </c>
      <c r="CO69" s="1649">
        <v>3901</v>
      </c>
      <c r="CP69" s="1649">
        <v>4103</v>
      </c>
      <c r="CQ69" s="1648">
        <v>4021</v>
      </c>
      <c r="CR69" s="1649">
        <v>6511</v>
      </c>
      <c r="CS69" s="1649">
        <v>6295</v>
      </c>
      <c r="CT69" s="1649">
        <v>3060</v>
      </c>
      <c r="CU69" s="1648">
        <v>3406</v>
      </c>
      <c r="CV69" s="1649">
        <v>6716</v>
      </c>
      <c r="CW69" s="1649">
        <v>2424</v>
      </c>
      <c r="CX69" s="1649">
        <v>2431</v>
      </c>
      <c r="CY69" s="1648">
        <v>3324</v>
      </c>
      <c r="CZ69" s="1649">
        <v>3236</v>
      </c>
      <c r="DA69" s="1649">
        <v>2818</v>
      </c>
      <c r="DB69" s="1649">
        <v>2268</v>
      </c>
      <c r="DC69" s="1649">
        <v>1959</v>
      </c>
      <c r="DD69" s="1649">
        <v>3422</v>
      </c>
      <c r="DE69" s="1649">
        <v>3445</v>
      </c>
      <c r="DF69" s="1649">
        <v>3030</v>
      </c>
      <c r="DG69" s="1649">
        <v>3918</v>
      </c>
      <c r="DH69" s="1649">
        <v>4645</v>
      </c>
      <c r="DI69" s="1649">
        <v>3353</v>
      </c>
      <c r="DJ69" s="1649">
        <v>3280</v>
      </c>
      <c r="DK69" s="1649">
        <v>3307</v>
      </c>
      <c r="DL69" s="3340">
        <f>5222-DL64</f>
        <v>4210</v>
      </c>
    </row>
    <row r="70" spans="1:116" ht="12.75" customHeight="1">
      <c r="A70" s="954" t="s">
        <v>1223</v>
      </c>
      <c r="B70" s="1693"/>
      <c r="C70" s="1693"/>
      <c r="D70" s="1693"/>
      <c r="E70" s="1694"/>
      <c r="F70" s="1693">
        <v>15739</v>
      </c>
      <c r="G70" s="1693">
        <v>19995</v>
      </c>
      <c r="H70" s="1693">
        <f t="shared" si="113"/>
        <v>22121</v>
      </c>
      <c r="I70" s="1693">
        <f t="shared" si="114"/>
        <v>23187</v>
      </c>
      <c r="J70" s="1693">
        <f t="shared" si="115"/>
        <v>22093</v>
      </c>
      <c r="K70" s="1681">
        <f t="shared" si="116"/>
        <v>18895</v>
      </c>
      <c r="L70" s="1693"/>
      <c r="M70" s="1693"/>
      <c r="N70" s="1693"/>
      <c r="O70" s="1693"/>
      <c r="P70" s="1693"/>
      <c r="Q70" s="1693"/>
      <c r="R70" s="1693"/>
      <c r="S70" s="1693"/>
      <c r="T70" s="1693"/>
      <c r="U70" s="1693"/>
      <c r="V70" s="1693"/>
      <c r="W70" s="1693"/>
      <c r="X70" s="1693"/>
      <c r="Y70" s="1693"/>
      <c r="Z70" s="1693"/>
      <c r="AA70" s="1693"/>
      <c r="AB70" s="1693"/>
      <c r="AC70" s="1693"/>
      <c r="AD70" s="1693"/>
      <c r="AE70" s="1693"/>
      <c r="AF70" s="1694"/>
      <c r="AG70" s="1693"/>
      <c r="AH70" s="1693"/>
      <c r="AI70" s="1693"/>
      <c r="AJ70" s="1694"/>
      <c r="AK70" s="1693"/>
      <c r="AL70" s="1693"/>
      <c r="AM70" s="1693"/>
      <c r="AN70" s="1694"/>
      <c r="AO70" s="1693"/>
      <c r="AP70" s="1693"/>
      <c r="AQ70" s="1693">
        <f t="shared" si="117"/>
        <v>19995</v>
      </c>
      <c r="AR70" s="1694"/>
      <c r="AS70" s="1693">
        <v>20136</v>
      </c>
      <c r="AT70" s="1693">
        <v>20094</v>
      </c>
      <c r="AU70" s="1693">
        <v>22121</v>
      </c>
      <c r="AV70" s="1694">
        <f t="shared" ref="AV70:CA70" si="118">SUM(AV63:AV69)</f>
        <v>21977</v>
      </c>
      <c r="AW70" s="1693">
        <f t="shared" si="118"/>
        <v>23260</v>
      </c>
      <c r="AX70" s="1693">
        <f t="shared" si="118"/>
        <v>21832</v>
      </c>
      <c r="AY70" s="1693">
        <f t="shared" si="118"/>
        <v>23187</v>
      </c>
      <c r="AZ70" s="1694">
        <f t="shared" si="118"/>
        <v>25565</v>
      </c>
      <c r="BA70" s="1693">
        <f t="shared" si="118"/>
        <v>24465</v>
      </c>
      <c r="BB70" s="1693">
        <f t="shared" si="118"/>
        <v>24703</v>
      </c>
      <c r="BC70" s="1693">
        <f t="shared" si="118"/>
        <v>22093</v>
      </c>
      <c r="BD70" s="1694">
        <f t="shared" si="118"/>
        <v>22605</v>
      </c>
      <c r="BE70" s="1693">
        <f t="shared" si="118"/>
        <v>19124</v>
      </c>
      <c r="BF70" s="1693">
        <f t="shared" si="118"/>
        <v>17141</v>
      </c>
      <c r="BG70" s="1693">
        <f t="shared" si="118"/>
        <v>18895</v>
      </c>
      <c r="BH70" s="1694">
        <f t="shared" si="118"/>
        <v>17785</v>
      </c>
      <c r="BI70" s="1693">
        <f t="shared" si="118"/>
        <v>17970</v>
      </c>
      <c r="BJ70" s="1693">
        <f t="shared" si="118"/>
        <v>17741</v>
      </c>
      <c r="BK70" s="1693">
        <f t="shared" si="118"/>
        <v>19479</v>
      </c>
      <c r="BL70" s="1694">
        <f t="shared" si="118"/>
        <v>17011</v>
      </c>
      <c r="BM70" s="1693">
        <f t="shared" si="118"/>
        <v>16669</v>
      </c>
      <c r="BN70" s="1693">
        <f t="shared" si="118"/>
        <v>15272</v>
      </c>
      <c r="BO70" s="1693">
        <f t="shared" si="118"/>
        <v>16448</v>
      </c>
      <c r="BP70" s="1694">
        <f t="shared" si="118"/>
        <v>18629</v>
      </c>
      <c r="BQ70" s="1693">
        <f t="shared" si="118"/>
        <v>21276</v>
      </c>
      <c r="BR70" s="1693">
        <f t="shared" si="118"/>
        <v>21615</v>
      </c>
      <c r="BS70" s="1693">
        <f t="shared" si="118"/>
        <v>22538</v>
      </c>
      <c r="BT70" s="1694">
        <f t="shared" si="118"/>
        <v>17894</v>
      </c>
      <c r="BU70" s="1693">
        <f t="shared" si="118"/>
        <v>17028</v>
      </c>
      <c r="BV70" s="1693">
        <f t="shared" si="118"/>
        <v>17037</v>
      </c>
      <c r="BW70" s="1693">
        <f t="shared" si="118"/>
        <v>18698</v>
      </c>
      <c r="BX70" s="1694">
        <f t="shared" si="118"/>
        <v>22448</v>
      </c>
      <c r="BY70" s="1693">
        <f t="shared" si="118"/>
        <v>17996</v>
      </c>
      <c r="BZ70" s="1693">
        <f t="shared" si="118"/>
        <v>19131</v>
      </c>
      <c r="CA70" s="1693">
        <f t="shared" si="118"/>
        <v>26075</v>
      </c>
      <c r="CB70" s="1694">
        <f t="shared" ref="CB70:CV70" si="119">SUM(CB63:CB69)</f>
        <v>21878</v>
      </c>
      <c r="CC70" s="1693">
        <f t="shared" si="119"/>
        <v>21464</v>
      </c>
      <c r="CD70" s="1693">
        <f t="shared" si="119"/>
        <v>22023</v>
      </c>
      <c r="CE70" s="1693">
        <f t="shared" si="119"/>
        <v>22608</v>
      </c>
      <c r="CF70" s="1694">
        <f t="shared" si="119"/>
        <v>22405</v>
      </c>
      <c r="CG70" s="1693">
        <f t="shared" si="119"/>
        <v>21061</v>
      </c>
      <c r="CH70" s="1693">
        <f t="shared" si="119"/>
        <v>21341</v>
      </c>
      <c r="CI70" s="1693">
        <f t="shared" si="119"/>
        <v>22348</v>
      </c>
      <c r="CJ70" s="1694">
        <f t="shared" si="119"/>
        <v>29923</v>
      </c>
      <c r="CK70" s="1693">
        <f t="shared" si="119"/>
        <v>22472</v>
      </c>
      <c r="CL70" s="1693">
        <f t="shared" si="119"/>
        <v>27770</v>
      </c>
      <c r="CM70" s="1695">
        <f t="shared" si="119"/>
        <v>30939</v>
      </c>
      <c r="CN70" s="1267">
        <f t="shared" si="119"/>
        <v>23512</v>
      </c>
      <c r="CO70" s="1267">
        <f t="shared" si="119"/>
        <v>27130</v>
      </c>
      <c r="CP70" s="1267">
        <f t="shared" si="119"/>
        <v>27663</v>
      </c>
      <c r="CQ70" s="1695">
        <f t="shared" si="119"/>
        <v>21235</v>
      </c>
      <c r="CR70" s="1267">
        <f t="shared" si="119"/>
        <v>25258</v>
      </c>
      <c r="CS70" s="1267">
        <f t="shared" si="119"/>
        <v>21957</v>
      </c>
      <c r="CT70" s="1267">
        <f t="shared" si="119"/>
        <v>73705</v>
      </c>
      <c r="CU70" s="1695">
        <f t="shared" si="119"/>
        <v>70994</v>
      </c>
      <c r="CV70" s="1267">
        <f t="shared" si="119"/>
        <v>23272</v>
      </c>
      <c r="CW70" s="1267">
        <f t="shared" ref="CW70:DB70" si="120">SUM(CW63:CW69)</f>
        <v>22887</v>
      </c>
      <c r="CX70" s="1267">
        <f t="shared" si="120"/>
        <v>24773</v>
      </c>
      <c r="CY70" s="1695">
        <f t="shared" si="120"/>
        <v>29623</v>
      </c>
      <c r="CZ70" s="1267">
        <f t="shared" si="120"/>
        <v>22836</v>
      </c>
      <c r="DA70" s="1267">
        <f t="shared" si="120"/>
        <v>21502</v>
      </c>
      <c r="DB70" s="1267">
        <f t="shared" si="120"/>
        <v>21768</v>
      </c>
      <c r="DC70" s="1267">
        <f t="shared" ref="DC70:DH70" si="121">SUM(DC63:DC69)</f>
        <v>22280</v>
      </c>
      <c r="DD70" s="1267">
        <f t="shared" si="121"/>
        <v>23615</v>
      </c>
      <c r="DE70" s="1267">
        <f t="shared" si="121"/>
        <v>20844</v>
      </c>
      <c r="DF70" s="1267">
        <f t="shared" si="121"/>
        <v>25621</v>
      </c>
      <c r="DG70" s="1267">
        <f t="shared" si="121"/>
        <v>26395</v>
      </c>
      <c r="DH70" s="1267">
        <f t="shared" si="121"/>
        <v>27158</v>
      </c>
      <c r="DI70" s="1267">
        <f t="shared" ref="DI70:DJ70" si="122">SUM(DI63:DI69)</f>
        <v>28823</v>
      </c>
      <c r="DJ70" s="1267">
        <f t="shared" si="122"/>
        <v>30867</v>
      </c>
      <c r="DK70" s="1267">
        <f t="shared" ref="DK70:DL70" si="123">SUM(DK63:DK69)</f>
        <v>29913</v>
      </c>
      <c r="DL70" s="1267">
        <f t="shared" si="123"/>
        <v>31025</v>
      </c>
    </row>
    <row r="71" spans="1:116" ht="12.75" hidden="1" customHeight="1">
      <c r="A71" s="1629" t="s">
        <v>1237</v>
      </c>
      <c r="B71" s="1658"/>
      <c r="C71" s="1658"/>
      <c r="D71" s="1658"/>
      <c r="E71" s="1659"/>
      <c r="F71" s="1658">
        <f>F70-SUM(F63:F69)</f>
        <v>0</v>
      </c>
      <c r="G71" s="1658">
        <f>G70-SUM(G63:G69)</f>
        <v>0</v>
      </c>
      <c r="H71" s="1658">
        <f>H70-SUM(H63:H69)</f>
        <v>0</v>
      </c>
      <c r="I71" s="1658">
        <f>I70-SUM(I63:I69)</f>
        <v>0</v>
      </c>
      <c r="J71" s="1658">
        <f>J70-SUM(J63:J69)</f>
        <v>0</v>
      </c>
      <c r="K71" s="1681">
        <f t="shared" si="116"/>
        <v>0</v>
      </c>
      <c r="L71" s="1658"/>
      <c r="M71" s="1658"/>
      <c r="N71" s="1658"/>
      <c r="O71" s="1658"/>
      <c r="P71" s="1658"/>
      <c r="Q71" s="1658"/>
      <c r="R71" s="1658"/>
      <c r="S71" s="1658"/>
      <c r="T71" s="1658"/>
      <c r="U71" s="1658"/>
      <c r="V71" s="1658"/>
      <c r="W71" s="1658"/>
      <c r="X71" s="1658"/>
      <c r="Y71" s="1658"/>
      <c r="Z71" s="1658"/>
      <c r="AA71" s="1658"/>
      <c r="AB71" s="1658"/>
      <c r="AC71" s="1658"/>
      <c r="AD71" s="1658"/>
      <c r="AE71" s="1658"/>
      <c r="AF71" s="1659">
        <f t="shared" ref="AF71:BI71" si="124">AF70-SUM(AF63:AF69)</f>
        <v>0</v>
      </c>
      <c r="AG71" s="1658">
        <f t="shared" si="124"/>
        <v>0</v>
      </c>
      <c r="AH71" s="1658">
        <f t="shared" si="124"/>
        <v>0</v>
      </c>
      <c r="AI71" s="1658">
        <f t="shared" si="124"/>
        <v>0</v>
      </c>
      <c r="AJ71" s="1659">
        <f t="shared" si="124"/>
        <v>0</v>
      </c>
      <c r="AK71" s="1658">
        <f t="shared" si="124"/>
        <v>0</v>
      </c>
      <c r="AL71" s="1658">
        <f t="shared" si="124"/>
        <v>0</v>
      </c>
      <c r="AM71" s="1658">
        <f t="shared" si="124"/>
        <v>0</v>
      </c>
      <c r="AN71" s="1659">
        <f t="shared" si="124"/>
        <v>0</v>
      </c>
      <c r="AO71" s="1658">
        <f t="shared" si="124"/>
        <v>0</v>
      </c>
      <c r="AP71" s="1658">
        <f t="shared" si="124"/>
        <v>0</v>
      </c>
      <c r="AQ71" s="1658">
        <f t="shared" si="124"/>
        <v>0</v>
      </c>
      <c r="AR71" s="1659">
        <f t="shared" si="124"/>
        <v>0</v>
      </c>
      <c r="AS71" s="1658">
        <f t="shared" si="124"/>
        <v>0</v>
      </c>
      <c r="AT71" s="1658">
        <f t="shared" si="124"/>
        <v>0</v>
      </c>
      <c r="AU71" s="1658">
        <f t="shared" si="124"/>
        <v>0</v>
      </c>
      <c r="AV71" s="1659">
        <f t="shared" si="124"/>
        <v>0</v>
      </c>
      <c r="AW71" s="1658">
        <f t="shared" si="124"/>
        <v>0</v>
      </c>
      <c r="AX71" s="1658">
        <f t="shared" si="124"/>
        <v>0</v>
      </c>
      <c r="AY71" s="1658">
        <f t="shared" si="124"/>
        <v>0</v>
      </c>
      <c r="AZ71" s="1659">
        <f t="shared" si="124"/>
        <v>0</v>
      </c>
      <c r="BA71" s="1658">
        <f t="shared" si="124"/>
        <v>0</v>
      </c>
      <c r="BB71" s="1658">
        <f t="shared" si="124"/>
        <v>0</v>
      </c>
      <c r="BC71" s="1658">
        <f t="shared" si="124"/>
        <v>0</v>
      </c>
      <c r="BD71" s="1659">
        <f t="shared" si="124"/>
        <v>0</v>
      </c>
      <c r="BE71" s="1658">
        <f t="shared" si="124"/>
        <v>0</v>
      </c>
      <c r="BF71" s="1658">
        <f t="shared" si="124"/>
        <v>0</v>
      </c>
      <c r="BG71" s="1658">
        <f t="shared" si="124"/>
        <v>0</v>
      </c>
      <c r="BH71" s="1659">
        <f t="shared" si="124"/>
        <v>0</v>
      </c>
      <c r="BI71" s="1658">
        <f t="shared" si="124"/>
        <v>0</v>
      </c>
      <c r="BJ71" s="1658"/>
      <c r="BK71" s="1658"/>
      <c r="BL71" s="1659"/>
      <c r="BM71" s="1658"/>
      <c r="BN71" s="1658"/>
      <c r="BO71" s="1642"/>
      <c r="BP71" s="1641"/>
      <c r="BQ71" s="1642"/>
      <c r="BR71" s="1642"/>
      <c r="BS71" s="1642"/>
      <c r="BT71" s="1641"/>
      <c r="BU71" s="1642"/>
      <c r="BV71" s="1642"/>
      <c r="BW71" s="1642"/>
      <c r="BX71" s="1641"/>
      <c r="BY71" s="1642"/>
      <c r="BZ71" s="1642"/>
      <c r="CA71" s="1642"/>
      <c r="CB71" s="1641"/>
      <c r="CC71" s="1642"/>
      <c r="CD71" s="1642"/>
      <c r="CE71" s="1642"/>
      <c r="CF71" s="1641"/>
      <c r="CG71" s="1642"/>
      <c r="CH71" s="1642"/>
      <c r="CI71" s="1642"/>
      <c r="CJ71" s="1641"/>
      <c r="CK71" s="1642"/>
      <c r="CL71" s="1642"/>
      <c r="CM71" s="1681"/>
      <c r="CN71" s="1672"/>
      <c r="CO71" s="1672"/>
      <c r="CP71" s="1672"/>
      <c r="CQ71" s="1681"/>
      <c r="CR71" s="1672"/>
      <c r="CS71" s="1672"/>
      <c r="CT71" s="1672"/>
      <c r="CU71" s="1681"/>
      <c r="CV71" s="1672"/>
      <c r="CW71" s="1672"/>
      <c r="CX71" s="1672"/>
      <c r="CY71" s="1681"/>
      <c r="CZ71" s="1672"/>
      <c r="DA71" s="1672"/>
      <c r="DB71" s="1672"/>
      <c r="DC71" s="1672"/>
      <c r="DD71" s="1672"/>
      <c r="DE71" s="1672"/>
      <c r="DF71" s="1672"/>
      <c r="DG71" s="1672"/>
      <c r="DH71" s="1672"/>
      <c r="DI71" s="1672"/>
      <c r="DJ71" s="1672"/>
      <c r="DK71" s="1672"/>
      <c r="DL71" s="1672"/>
    </row>
    <row r="72" spans="1:116" ht="12.75" customHeight="1">
      <c r="A72" s="1628" t="s">
        <v>619</v>
      </c>
      <c r="B72" s="1642"/>
      <c r="C72" s="1642"/>
      <c r="D72" s="1642"/>
      <c r="E72" s="1641"/>
      <c r="F72" s="1642">
        <v>142113</v>
      </c>
      <c r="G72" s="1642">
        <v>142989</v>
      </c>
      <c r="H72" s="1642">
        <f>AU72</f>
        <v>158957</v>
      </c>
      <c r="I72" s="1642">
        <f>AY72</f>
        <v>169586</v>
      </c>
      <c r="J72" s="1642">
        <f t="shared" ref="J72:J80" si="125">BC72</f>
        <v>176838</v>
      </c>
      <c r="K72" s="1681">
        <f t="shared" si="116"/>
        <v>180940</v>
      </c>
      <c r="L72" s="1642"/>
      <c r="M72" s="1642"/>
      <c r="N72" s="1642"/>
      <c r="O72" s="1642"/>
      <c r="P72" s="1642"/>
      <c r="Q72" s="1642"/>
      <c r="R72" s="1642"/>
      <c r="S72" s="1642"/>
      <c r="T72" s="1642"/>
      <c r="U72" s="1642"/>
      <c r="V72" s="1642"/>
      <c r="W72" s="1642"/>
      <c r="X72" s="1642"/>
      <c r="Y72" s="1642"/>
      <c r="Z72" s="1642"/>
      <c r="AA72" s="1642"/>
      <c r="AB72" s="1642"/>
      <c r="AC72" s="1642"/>
      <c r="AD72" s="1642"/>
      <c r="AE72" s="1642"/>
      <c r="AF72" s="1641"/>
      <c r="AG72" s="1642"/>
      <c r="AH72" s="1642"/>
      <c r="AI72" s="1642"/>
      <c r="AJ72" s="1641"/>
      <c r="AK72" s="1642"/>
      <c r="AL72" s="1642"/>
      <c r="AM72" s="1642"/>
      <c r="AN72" s="1641"/>
      <c r="AO72" s="1642"/>
      <c r="AP72" s="1642"/>
      <c r="AQ72" s="1642">
        <f>_fye99</f>
        <v>142989</v>
      </c>
      <c r="AR72" s="1641"/>
      <c r="AS72" s="1642">
        <v>150896</v>
      </c>
      <c r="AT72" s="1642">
        <v>154496</v>
      </c>
      <c r="AU72" s="1642">
        <v>158957</v>
      </c>
      <c r="AV72" s="1641">
        <v>162892</v>
      </c>
      <c r="AW72" s="1642">
        <v>167219</v>
      </c>
      <c r="AX72" s="1642">
        <v>166312</v>
      </c>
      <c r="AY72" s="1642">
        <v>169586</v>
      </c>
      <c r="AZ72" s="1641">
        <v>171924</v>
      </c>
      <c r="BA72" s="1642">
        <v>174547</v>
      </c>
      <c r="BB72" s="1642">
        <v>175559</v>
      </c>
      <c r="BC72" s="1642">
        <v>176838</v>
      </c>
      <c r="BD72" s="1641">
        <v>177967</v>
      </c>
      <c r="BE72" s="1642">
        <v>179151</v>
      </c>
      <c r="BF72" s="1642">
        <v>179688</v>
      </c>
      <c r="BG72" s="1642">
        <v>180940</v>
      </c>
      <c r="BH72" s="1641">
        <v>181719</v>
      </c>
      <c r="BI72" s="1642">
        <v>181403</v>
      </c>
      <c r="BJ72" s="1642">
        <v>183356</v>
      </c>
      <c r="BK72" s="1642">
        <v>185522</v>
      </c>
      <c r="BL72" s="1641">
        <v>187482</v>
      </c>
      <c r="BM72" s="1642">
        <v>190232</v>
      </c>
      <c r="BN72" s="1642">
        <v>192506</v>
      </c>
      <c r="BO72" s="1642">
        <v>193610</v>
      </c>
      <c r="BP72" s="1641">
        <v>202850</v>
      </c>
      <c r="BQ72" s="1642">
        <v>200080</v>
      </c>
      <c r="BR72" s="1642">
        <v>201967</v>
      </c>
      <c r="BS72" s="1642">
        <v>204109</v>
      </c>
      <c r="BT72" s="1641">
        <v>206585</v>
      </c>
      <c r="BU72" s="1634">
        <v>209291</v>
      </c>
      <c r="BV72" s="1634">
        <v>211152</v>
      </c>
      <c r="BW72" s="1634">
        <v>213994</v>
      </c>
      <c r="BX72" s="1633">
        <v>211834</v>
      </c>
      <c r="BY72" s="1634">
        <v>212605</v>
      </c>
      <c r="BZ72" s="1634">
        <v>214376</v>
      </c>
      <c r="CA72" s="1634">
        <v>215605</v>
      </c>
      <c r="CB72" s="1633">
        <v>221500</v>
      </c>
      <c r="CC72" s="1634">
        <v>224150</v>
      </c>
      <c r="CD72" s="1634">
        <v>226470</v>
      </c>
      <c r="CE72" s="1634">
        <v>228518</v>
      </c>
      <c r="CF72" s="1633">
        <v>231771</v>
      </c>
      <c r="CG72" s="1634">
        <v>234727</v>
      </c>
      <c r="CH72" s="1634">
        <v>217859</v>
      </c>
      <c r="CI72" s="1634">
        <v>211655</v>
      </c>
      <c r="CJ72" s="1633">
        <v>211704</v>
      </c>
      <c r="CK72" s="1634">
        <v>212949</v>
      </c>
      <c r="CL72" s="1634">
        <v>214798</v>
      </c>
      <c r="CM72" s="1648">
        <v>215626</v>
      </c>
      <c r="CN72" s="1649">
        <v>218250</v>
      </c>
      <c r="CO72" s="1649">
        <v>217739</v>
      </c>
      <c r="CP72" s="1649">
        <v>216995</v>
      </c>
      <c r="CQ72" s="1648">
        <v>209575</v>
      </c>
      <c r="CR72" s="1649">
        <v>212082</v>
      </c>
      <c r="CS72" s="1649">
        <v>215224</v>
      </c>
      <c r="CT72" s="1649">
        <v>218336</v>
      </c>
      <c r="CU72" s="1648">
        <v>220865</v>
      </c>
      <c r="CV72" s="1649">
        <v>223841</v>
      </c>
      <c r="CW72" s="1649">
        <v>227475</v>
      </c>
      <c r="CX72" s="1649">
        <v>230452</v>
      </c>
      <c r="CY72" s="1648">
        <v>230508</v>
      </c>
      <c r="CZ72" s="1649">
        <v>210389</v>
      </c>
      <c r="DA72" s="1649">
        <v>213661</v>
      </c>
      <c r="DB72" s="1649">
        <v>216674</v>
      </c>
      <c r="DC72" s="1649">
        <v>220163</v>
      </c>
      <c r="DD72" s="1649">
        <v>222669</v>
      </c>
      <c r="DE72" s="1649">
        <v>225756</v>
      </c>
      <c r="DF72" s="1649">
        <v>228909</v>
      </c>
      <c r="DG72" s="1649">
        <v>232215</v>
      </c>
      <c r="DH72" s="1649">
        <v>235550</v>
      </c>
      <c r="DI72" s="1649">
        <v>239226</v>
      </c>
      <c r="DJ72" s="1649">
        <v>242608</v>
      </c>
      <c r="DK72" s="1649">
        <v>246498</v>
      </c>
      <c r="DL72" s="1649">
        <v>246877</v>
      </c>
    </row>
    <row r="73" spans="1:116" ht="12.75" customHeight="1">
      <c r="A73" s="1628" t="s">
        <v>1225</v>
      </c>
      <c r="B73" s="1642"/>
      <c r="C73" s="1642"/>
      <c r="D73" s="1642"/>
      <c r="E73" s="1641"/>
      <c r="F73" s="1642">
        <v>80868</v>
      </c>
      <c r="G73" s="1642">
        <v>80816</v>
      </c>
      <c r="H73" s="1642">
        <f>AU73</f>
        <v>89453</v>
      </c>
      <c r="I73" s="1642">
        <f>AY73</f>
        <v>95167</v>
      </c>
      <c r="J73" s="1642">
        <f t="shared" si="125"/>
        <v>103080</v>
      </c>
      <c r="K73" s="1681">
        <f t="shared" si="116"/>
        <v>105638</v>
      </c>
      <c r="L73" s="1642"/>
      <c r="M73" s="1642"/>
      <c r="N73" s="1642"/>
      <c r="O73" s="1642"/>
      <c r="P73" s="1642"/>
      <c r="Q73" s="1642"/>
      <c r="R73" s="1642"/>
      <c r="S73" s="1642"/>
      <c r="T73" s="1642"/>
      <c r="U73" s="1642"/>
      <c r="V73" s="1642"/>
      <c r="W73" s="1642"/>
      <c r="X73" s="1642"/>
      <c r="Y73" s="1642"/>
      <c r="Z73" s="1642"/>
      <c r="AA73" s="1642"/>
      <c r="AB73" s="1642"/>
      <c r="AC73" s="1642"/>
      <c r="AD73" s="1642"/>
      <c r="AE73" s="1642"/>
      <c r="AF73" s="1641"/>
      <c r="AG73" s="1642"/>
      <c r="AH73" s="1642"/>
      <c r="AI73" s="1642"/>
      <c r="AJ73" s="1641"/>
      <c r="AK73" s="1642"/>
      <c r="AL73" s="1642"/>
      <c r="AM73" s="1642"/>
      <c r="AN73" s="1641"/>
      <c r="AO73" s="1642"/>
      <c r="AP73" s="1642"/>
      <c r="AQ73" s="1642">
        <f>_fye99</f>
        <v>80816</v>
      </c>
      <c r="AR73" s="1641"/>
      <c r="AS73" s="1642">
        <v>86122</v>
      </c>
      <c r="AT73" s="1642">
        <v>88191</v>
      </c>
      <c r="AU73" s="1642">
        <v>89453</v>
      </c>
      <c r="AV73" s="1641">
        <v>91523</v>
      </c>
      <c r="AW73" s="1642">
        <v>93677</v>
      </c>
      <c r="AX73" s="1642">
        <v>93415</v>
      </c>
      <c r="AY73" s="1642">
        <v>95167</v>
      </c>
      <c r="AZ73" s="1641">
        <v>98449</v>
      </c>
      <c r="BA73" s="1642">
        <v>100989</v>
      </c>
      <c r="BB73" s="1642">
        <v>102201</v>
      </c>
      <c r="BC73" s="1642">
        <v>103080</v>
      </c>
      <c r="BD73" s="1641">
        <v>101556</v>
      </c>
      <c r="BE73" s="1642">
        <v>103393</v>
      </c>
      <c r="BF73" s="1642">
        <v>104602</v>
      </c>
      <c r="BG73" s="1642">
        <v>105638</v>
      </c>
      <c r="BH73" s="1641">
        <v>107115</v>
      </c>
      <c r="BI73" s="1642">
        <v>107873</v>
      </c>
      <c r="BJ73" s="1642">
        <v>109870</v>
      </c>
      <c r="BK73" s="1642">
        <v>111398</v>
      </c>
      <c r="BL73" s="1641">
        <v>113111</v>
      </c>
      <c r="BM73" s="1642">
        <v>115099</v>
      </c>
      <c r="BN73" s="1642">
        <v>117314</v>
      </c>
      <c r="BO73" s="1642">
        <v>118305</v>
      </c>
      <c r="BP73" s="1641">
        <v>120580</v>
      </c>
      <c r="BQ73" s="1642">
        <v>119083</v>
      </c>
      <c r="BR73" s="1642">
        <v>120565</v>
      </c>
      <c r="BS73" s="1642">
        <v>121753</v>
      </c>
      <c r="BT73" s="1641">
        <v>123607</v>
      </c>
      <c r="BU73" s="1634">
        <v>125562</v>
      </c>
      <c r="BV73" s="1634">
        <v>126823</v>
      </c>
      <c r="BW73" s="1634">
        <v>128700</v>
      </c>
      <c r="BX73" s="1633">
        <v>127350</v>
      </c>
      <c r="BY73" s="1634">
        <v>127450</v>
      </c>
      <c r="BZ73" s="1634">
        <v>128687</v>
      </c>
      <c r="CA73" s="1634">
        <v>129059</v>
      </c>
      <c r="CB73" s="1633">
        <v>131645</v>
      </c>
      <c r="CC73" s="1634">
        <v>133848</v>
      </c>
      <c r="CD73" s="1634">
        <v>135636</v>
      </c>
      <c r="CE73" s="1634">
        <v>137052</v>
      </c>
      <c r="CF73" s="1633">
        <v>139937</v>
      </c>
      <c r="CG73" s="1634">
        <v>142626</v>
      </c>
      <c r="CH73" s="1634">
        <v>130429</v>
      </c>
      <c r="CI73" s="1634">
        <v>123944</v>
      </c>
      <c r="CJ73" s="1633">
        <v>123459</v>
      </c>
      <c r="CK73" s="1634">
        <v>123552</v>
      </c>
      <c r="CL73" s="1634">
        <v>125955</v>
      </c>
      <c r="CM73" s="1648">
        <v>127192</v>
      </c>
      <c r="CN73" s="1649">
        <v>130064</v>
      </c>
      <c r="CO73" s="1649">
        <v>129844</v>
      </c>
      <c r="CP73" s="1649">
        <v>129185</v>
      </c>
      <c r="CQ73" s="1648">
        <v>120933</v>
      </c>
      <c r="CR73" s="1649">
        <v>123901</v>
      </c>
      <c r="CS73" s="1649">
        <v>126892</v>
      </c>
      <c r="CT73" s="1649">
        <v>129809</v>
      </c>
      <c r="CU73" s="1648">
        <v>131909</v>
      </c>
      <c r="CV73" s="1649">
        <v>134785</v>
      </c>
      <c r="CW73" s="1649">
        <v>137763</v>
      </c>
      <c r="CX73" s="1649">
        <v>140520</v>
      </c>
      <c r="CY73" s="1648">
        <v>140561</v>
      </c>
      <c r="CZ73" s="1649">
        <v>128747</v>
      </c>
      <c r="DA73" s="1649">
        <v>131129</v>
      </c>
      <c r="DB73" s="1649">
        <v>134112</v>
      </c>
      <c r="DC73" s="1649">
        <v>136622</v>
      </c>
      <c r="DD73" s="1649">
        <v>139658</v>
      </c>
      <c r="DE73" s="1649">
        <v>142584</v>
      </c>
      <c r="DF73" s="1649">
        <v>145495</v>
      </c>
      <c r="DG73" s="1649">
        <v>147464</v>
      </c>
      <c r="DH73" s="1649">
        <v>150337</v>
      </c>
      <c r="DI73" s="1649">
        <v>152705</v>
      </c>
      <c r="DJ73" s="1649">
        <v>155986</v>
      </c>
      <c r="DK73" s="1649">
        <v>157930</v>
      </c>
      <c r="DL73" s="1649">
        <v>158955</v>
      </c>
    </row>
    <row r="74" spans="1:116" ht="12.75" customHeight="1">
      <c r="A74" s="1539" t="s">
        <v>1226</v>
      </c>
      <c r="B74" s="1642"/>
      <c r="C74" s="1642"/>
      <c r="D74" s="1642"/>
      <c r="E74" s="1641"/>
      <c r="F74" s="1642">
        <f>F72-F73</f>
        <v>61245</v>
      </c>
      <c r="G74" s="1642">
        <f>G72-G73</f>
        <v>62173</v>
      </c>
      <c r="H74" s="1642">
        <f>AU74</f>
        <v>69504</v>
      </c>
      <c r="I74" s="1642">
        <f>AY74</f>
        <v>74419</v>
      </c>
      <c r="J74" s="1642">
        <f t="shared" si="125"/>
        <v>73758</v>
      </c>
      <c r="K74" s="1681">
        <f t="shared" si="116"/>
        <v>75302</v>
      </c>
      <c r="L74" s="1642"/>
      <c r="M74" s="1642"/>
      <c r="N74" s="1642"/>
      <c r="O74" s="1642"/>
      <c r="P74" s="1642"/>
      <c r="Q74" s="1642"/>
      <c r="R74" s="1642"/>
      <c r="S74" s="1642"/>
      <c r="T74" s="1642"/>
      <c r="U74" s="1642"/>
      <c r="V74" s="1642"/>
      <c r="W74" s="1642"/>
      <c r="X74" s="1642"/>
      <c r="Y74" s="1642"/>
      <c r="Z74" s="1642"/>
      <c r="AA74" s="1642"/>
      <c r="AB74" s="1642"/>
      <c r="AC74" s="1642"/>
      <c r="AD74" s="1642"/>
      <c r="AE74" s="1642"/>
      <c r="AF74" s="1641">
        <f t="shared" ref="AF74:AU74" si="126">AF72-AF73</f>
        <v>0</v>
      </c>
      <c r="AG74" s="1642">
        <f t="shared" si="126"/>
        <v>0</v>
      </c>
      <c r="AH74" s="1642">
        <f t="shared" si="126"/>
        <v>0</v>
      </c>
      <c r="AI74" s="1642">
        <f t="shared" si="126"/>
        <v>0</v>
      </c>
      <c r="AJ74" s="1641">
        <f t="shared" si="126"/>
        <v>0</v>
      </c>
      <c r="AK74" s="1642">
        <f t="shared" si="126"/>
        <v>0</v>
      </c>
      <c r="AL74" s="1642">
        <f t="shared" si="126"/>
        <v>0</v>
      </c>
      <c r="AM74" s="1642">
        <f t="shared" si="126"/>
        <v>0</v>
      </c>
      <c r="AN74" s="1641">
        <f t="shared" si="126"/>
        <v>0</v>
      </c>
      <c r="AO74" s="1642">
        <f t="shared" si="126"/>
        <v>0</v>
      </c>
      <c r="AP74" s="1642">
        <f t="shared" si="126"/>
        <v>0</v>
      </c>
      <c r="AQ74" s="1642">
        <f t="shared" si="126"/>
        <v>62173</v>
      </c>
      <c r="AR74" s="1641">
        <f t="shared" si="126"/>
        <v>0</v>
      </c>
      <c r="AS74" s="1642">
        <f t="shared" si="126"/>
        <v>64774</v>
      </c>
      <c r="AT74" s="1642">
        <f t="shared" si="126"/>
        <v>66305</v>
      </c>
      <c r="AU74" s="1642">
        <f t="shared" si="126"/>
        <v>69504</v>
      </c>
      <c r="AV74" s="1641">
        <v>71369</v>
      </c>
      <c r="AW74" s="1642">
        <v>73542</v>
      </c>
      <c r="AX74" s="1642">
        <v>72897</v>
      </c>
      <c r="AY74" s="1642">
        <v>74419</v>
      </c>
      <c r="AZ74" s="1641">
        <v>73475</v>
      </c>
      <c r="BA74" s="1642">
        <v>73558</v>
      </c>
      <c r="BB74" s="1642">
        <v>73358</v>
      </c>
      <c r="BC74" s="1642">
        <v>73758</v>
      </c>
      <c r="BD74" s="1641">
        <f t="shared" ref="BD74:BU74" si="127">BD72-BD73</f>
        <v>76411</v>
      </c>
      <c r="BE74" s="1642">
        <f t="shared" si="127"/>
        <v>75758</v>
      </c>
      <c r="BF74" s="1642">
        <f t="shared" si="127"/>
        <v>75086</v>
      </c>
      <c r="BG74" s="1642">
        <f t="shared" si="127"/>
        <v>75302</v>
      </c>
      <c r="BH74" s="1641">
        <f t="shared" si="127"/>
        <v>74604</v>
      </c>
      <c r="BI74" s="1642">
        <f t="shared" si="127"/>
        <v>73530</v>
      </c>
      <c r="BJ74" s="1642">
        <f t="shared" si="127"/>
        <v>73486</v>
      </c>
      <c r="BK74" s="1642">
        <f t="shared" si="127"/>
        <v>74124</v>
      </c>
      <c r="BL74" s="1641">
        <f t="shared" si="127"/>
        <v>74371</v>
      </c>
      <c r="BM74" s="1642">
        <f t="shared" si="127"/>
        <v>75133</v>
      </c>
      <c r="BN74" s="1642">
        <f t="shared" si="127"/>
        <v>75192</v>
      </c>
      <c r="BO74" s="1642">
        <f t="shared" si="127"/>
        <v>75305</v>
      </c>
      <c r="BP74" s="1641">
        <f t="shared" si="127"/>
        <v>82270</v>
      </c>
      <c r="BQ74" s="1642">
        <f t="shared" si="127"/>
        <v>80997</v>
      </c>
      <c r="BR74" s="1642">
        <f t="shared" si="127"/>
        <v>81402</v>
      </c>
      <c r="BS74" s="1642">
        <f t="shared" si="127"/>
        <v>82356</v>
      </c>
      <c r="BT74" s="1641">
        <f t="shared" si="127"/>
        <v>82978</v>
      </c>
      <c r="BU74" s="1634">
        <f t="shared" si="127"/>
        <v>83729</v>
      </c>
      <c r="BV74" s="1634">
        <v>84329</v>
      </c>
      <c r="BW74" s="1634">
        <v>85294</v>
      </c>
      <c r="BX74" s="1633">
        <v>84484</v>
      </c>
      <c r="BY74" s="1634">
        <v>85155</v>
      </c>
      <c r="BZ74" s="1634">
        <v>85689</v>
      </c>
      <c r="CA74" s="1634">
        <v>86546</v>
      </c>
      <c r="CB74" s="1633">
        <v>89855</v>
      </c>
      <c r="CC74" s="1634">
        <v>90302</v>
      </c>
      <c r="CD74" s="1634">
        <v>90834</v>
      </c>
      <c r="CE74" s="1634">
        <v>91466</v>
      </c>
      <c r="CF74" s="1633">
        <v>91834</v>
      </c>
      <c r="CG74" s="1634">
        <v>92101</v>
      </c>
      <c r="CH74" s="1634">
        <v>87430</v>
      </c>
      <c r="CI74" s="1634">
        <v>87711</v>
      </c>
      <c r="CJ74" s="1633">
        <v>88245</v>
      </c>
      <c r="CK74" s="1634">
        <v>89397</v>
      </c>
      <c r="CL74" s="1634">
        <v>88843</v>
      </c>
      <c r="CM74" s="1648">
        <v>88434</v>
      </c>
      <c r="CN74" s="1649">
        <v>88186</v>
      </c>
      <c r="CO74" s="1649">
        <v>87895</v>
      </c>
      <c r="CP74" s="1649">
        <v>87810</v>
      </c>
      <c r="CQ74" s="1648">
        <v>88642</v>
      </c>
      <c r="CR74" s="1649">
        <v>88181</v>
      </c>
      <c r="CS74" s="1649">
        <v>88332</v>
      </c>
      <c r="CT74" s="1649">
        <v>88527</v>
      </c>
      <c r="CU74" s="1648">
        <v>88956</v>
      </c>
      <c r="CV74" s="1649">
        <v>89056</v>
      </c>
      <c r="CW74" s="1649">
        <v>89712</v>
      </c>
      <c r="CX74" s="1649">
        <v>89932</v>
      </c>
      <c r="CY74" s="1648">
        <v>89947</v>
      </c>
      <c r="CZ74" s="1649">
        <v>81642</v>
      </c>
      <c r="DA74" s="1649">
        <v>82532</v>
      </c>
      <c r="DB74" s="1649">
        <v>82562</v>
      </c>
      <c r="DC74" s="1672">
        <f t="shared" ref="DC74:DH74" si="128">+DC72-DC73</f>
        <v>83541</v>
      </c>
      <c r="DD74" s="1672">
        <f t="shared" si="128"/>
        <v>83011</v>
      </c>
      <c r="DE74" s="1672">
        <f t="shared" si="128"/>
        <v>83172</v>
      </c>
      <c r="DF74" s="1672">
        <f t="shared" si="128"/>
        <v>83414</v>
      </c>
      <c r="DG74" s="1672">
        <f t="shared" si="128"/>
        <v>84751</v>
      </c>
      <c r="DH74" s="1672">
        <f t="shared" si="128"/>
        <v>85213</v>
      </c>
      <c r="DI74" s="1672">
        <f t="shared" ref="DI74:DJ74" si="129">+DI72-DI73</f>
        <v>86521</v>
      </c>
      <c r="DJ74" s="1672">
        <f t="shared" si="129"/>
        <v>86622</v>
      </c>
      <c r="DK74" s="1672">
        <f t="shared" ref="DK74:DL74" si="130">+DK72-DK73</f>
        <v>88568</v>
      </c>
      <c r="DL74" s="1672">
        <f t="shared" si="130"/>
        <v>87922</v>
      </c>
    </row>
    <row r="75" spans="1:116" ht="12.75" customHeight="1">
      <c r="A75" s="1539" t="s">
        <v>620</v>
      </c>
      <c r="B75" s="1642"/>
      <c r="C75" s="1642"/>
      <c r="D75" s="1642"/>
      <c r="E75" s="1641"/>
      <c r="F75" s="1642">
        <v>6476</v>
      </c>
      <c r="G75" s="1642">
        <v>10177</v>
      </c>
      <c r="H75" s="1642">
        <f>AU75</f>
        <v>13115</v>
      </c>
      <c r="I75" s="1642">
        <f>AY75</f>
        <v>10202</v>
      </c>
      <c r="J75" s="1642">
        <f t="shared" si="125"/>
        <v>4986</v>
      </c>
      <c r="K75" s="1681">
        <f t="shared" si="116"/>
        <v>5789</v>
      </c>
      <c r="L75" s="1642"/>
      <c r="M75" s="1642"/>
      <c r="N75" s="1642"/>
      <c r="O75" s="1642"/>
      <c r="P75" s="1642"/>
      <c r="Q75" s="1642"/>
      <c r="R75" s="1642"/>
      <c r="S75" s="1642"/>
      <c r="T75" s="1642"/>
      <c r="U75" s="1642"/>
      <c r="V75" s="1642"/>
      <c r="W75" s="1642"/>
      <c r="X75" s="1642"/>
      <c r="Y75" s="1642"/>
      <c r="Z75" s="1642"/>
      <c r="AA75" s="1642"/>
      <c r="AB75" s="1642"/>
      <c r="AC75" s="1642"/>
      <c r="AD75" s="1642"/>
      <c r="AE75" s="1642"/>
      <c r="AF75" s="1641"/>
      <c r="AG75" s="1642"/>
      <c r="AH75" s="1642"/>
      <c r="AI75" s="1642"/>
      <c r="AJ75" s="1641"/>
      <c r="AK75" s="1642"/>
      <c r="AL75" s="1642"/>
      <c r="AM75" s="1642"/>
      <c r="AN75" s="1641"/>
      <c r="AO75" s="1642"/>
      <c r="AP75" s="1642"/>
      <c r="AQ75" s="1642">
        <f>_fye99</f>
        <v>10177</v>
      </c>
      <c r="AR75" s="1641"/>
      <c r="AS75" s="1642">
        <v>15905</v>
      </c>
      <c r="AT75" s="1642">
        <v>14353</v>
      </c>
      <c r="AU75" s="1642">
        <v>13115</v>
      </c>
      <c r="AV75" s="1641">
        <v>12369</v>
      </c>
      <c r="AW75" s="1642">
        <v>11850</v>
      </c>
      <c r="AX75" s="1642">
        <v>11284</v>
      </c>
      <c r="AY75" s="1642">
        <v>10202</v>
      </c>
      <c r="AZ75" s="1641">
        <v>7613</v>
      </c>
      <c r="BA75" s="1642">
        <v>5879</v>
      </c>
      <c r="BB75" s="1642">
        <v>4948</v>
      </c>
      <c r="BC75" s="1642">
        <v>4986</v>
      </c>
      <c r="BD75" s="1641">
        <v>5237</v>
      </c>
      <c r="BE75" s="1642">
        <v>5404</v>
      </c>
      <c r="BF75" s="1642">
        <v>5567</v>
      </c>
      <c r="BG75" s="1642">
        <v>5789</v>
      </c>
      <c r="BH75" s="1641">
        <v>5770</v>
      </c>
      <c r="BI75" s="1642">
        <v>5679</v>
      </c>
      <c r="BJ75" s="1642">
        <v>5989</v>
      </c>
      <c r="BK75" s="1642">
        <v>5855</v>
      </c>
      <c r="BL75" s="1641">
        <v>5817</v>
      </c>
      <c r="BM75" s="1642">
        <v>5609</v>
      </c>
      <c r="BN75" s="1642">
        <v>5754</v>
      </c>
      <c r="BO75" s="1642">
        <v>4604</v>
      </c>
      <c r="BP75" s="1641">
        <v>3918</v>
      </c>
      <c r="BQ75" s="1642">
        <v>4206</v>
      </c>
      <c r="BR75" s="1642">
        <v>4478</v>
      </c>
      <c r="BS75" s="1642">
        <v>4868</v>
      </c>
      <c r="BT75" s="1641">
        <v>4898</v>
      </c>
      <c r="BU75" s="1634">
        <v>5071</v>
      </c>
      <c r="BV75" s="1634">
        <v>5453</v>
      </c>
      <c r="BW75" s="1634">
        <v>3372</v>
      </c>
      <c r="BX75" s="1633">
        <v>3653</v>
      </c>
      <c r="BY75" s="1634">
        <v>3175</v>
      </c>
      <c r="BZ75" s="1634">
        <v>3198</v>
      </c>
      <c r="CA75" s="1634">
        <v>3393</v>
      </c>
      <c r="CB75" s="1633">
        <v>3574</v>
      </c>
      <c r="CC75" s="1634">
        <v>3513</v>
      </c>
      <c r="CD75" s="1634">
        <v>3808</v>
      </c>
      <c r="CE75" s="1634">
        <v>3535</v>
      </c>
      <c r="CF75" s="1633">
        <v>3685</v>
      </c>
      <c r="CG75" s="1634">
        <v>3797</v>
      </c>
      <c r="CH75" s="1634">
        <v>3832</v>
      </c>
      <c r="CI75" s="1634">
        <v>3497</v>
      </c>
      <c r="CJ75" s="1633">
        <v>3732</v>
      </c>
      <c r="CK75" s="1634">
        <v>3908</v>
      </c>
      <c r="CL75" s="1634">
        <v>3461</v>
      </c>
      <c r="CM75" s="1648">
        <v>3448</v>
      </c>
      <c r="CN75" s="1649">
        <v>3566</v>
      </c>
      <c r="CO75" s="1649">
        <v>3539</v>
      </c>
      <c r="CP75" s="1649">
        <v>3625</v>
      </c>
      <c r="CQ75" s="1648">
        <v>3401</v>
      </c>
      <c r="CR75" s="1649">
        <v>3321</v>
      </c>
      <c r="CS75" s="1649">
        <v>3319</v>
      </c>
      <c r="CT75" s="1649">
        <v>3423</v>
      </c>
      <c r="CU75" s="1648">
        <v>3432</v>
      </c>
      <c r="CV75" s="1649">
        <v>889</v>
      </c>
      <c r="CW75" s="1649">
        <v>852</v>
      </c>
      <c r="CX75" s="1649">
        <v>818</v>
      </c>
      <c r="CY75" s="1648">
        <v>802</v>
      </c>
      <c r="CZ75" s="1649">
        <v>762</v>
      </c>
      <c r="DA75" s="1649">
        <v>794</v>
      </c>
      <c r="DB75" s="1649">
        <v>779</v>
      </c>
      <c r="DC75" s="1649">
        <v>796</v>
      </c>
      <c r="DD75" s="1649">
        <v>821</v>
      </c>
      <c r="DE75" s="1649">
        <v>822</v>
      </c>
      <c r="DF75" s="1649">
        <v>1119</v>
      </c>
      <c r="DG75" s="1649">
        <v>1110</v>
      </c>
      <c r="DH75" s="1649">
        <v>1080</v>
      </c>
      <c r="DI75" s="1649">
        <v>1075</v>
      </c>
      <c r="DJ75" s="1649">
        <v>1054</v>
      </c>
      <c r="DK75" s="1649">
        <v>1039</v>
      </c>
      <c r="DL75" s="1649">
        <v>994</v>
      </c>
    </row>
    <row r="76" spans="1:116" ht="12.75" customHeight="1">
      <c r="A76" s="1539" t="s">
        <v>1231</v>
      </c>
      <c r="B76" s="1642"/>
      <c r="C76" s="1642"/>
      <c r="D76" s="1642"/>
      <c r="E76" s="1641"/>
      <c r="F76" s="1642"/>
      <c r="G76" s="1642"/>
      <c r="H76" s="1642"/>
      <c r="I76" s="1642"/>
      <c r="J76" s="1642">
        <f t="shared" si="125"/>
        <v>40038</v>
      </c>
      <c r="K76" s="1681">
        <f t="shared" si="116"/>
        <v>40907</v>
      </c>
      <c r="L76" s="1642"/>
      <c r="M76" s="1642"/>
      <c r="N76" s="1642"/>
      <c r="O76" s="1642"/>
      <c r="P76" s="1642"/>
      <c r="Q76" s="1642"/>
      <c r="R76" s="1642"/>
      <c r="S76" s="1642"/>
      <c r="T76" s="1642"/>
      <c r="U76" s="1642"/>
      <c r="V76" s="1642"/>
      <c r="W76" s="1642"/>
      <c r="X76" s="1642"/>
      <c r="Y76" s="1642"/>
      <c r="Z76" s="1642"/>
      <c r="AA76" s="1642"/>
      <c r="AB76" s="1642"/>
      <c r="AC76" s="1642"/>
      <c r="AD76" s="1642"/>
      <c r="AE76" s="1642"/>
      <c r="AF76" s="1641"/>
      <c r="AG76" s="1642"/>
      <c r="AH76" s="1642"/>
      <c r="AI76" s="1642"/>
      <c r="AJ76" s="1641"/>
      <c r="AK76" s="1642"/>
      <c r="AL76" s="1642"/>
      <c r="AM76" s="1642"/>
      <c r="AN76" s="1641"/>
      <c r="AO76" s="1642"/>
      <c r="AP76" s="1642"/>
      <c r="AQ76" s="1642"/>
      <c r="AR76" s="1641"/>
      <c r="AS76" s="1642"/>
      <c r="AT76" s="1642"/>
      <c r="AU76" s="1642"/>
      <c r="AV76" s="1641"/>
      <c r="AW76" s="1642"/>
      <c r="AX76" s="1642"/>
      <c r="AY76" s="1642"/>
      <c r="AZ76" s="1641">
        <v>38487</v>
      </c>
      <c r="BA76" s="1642">
        <v>38643</v>
      </c>
      <c r="BB76" s="1642">
        <v>40190</v>
      </c>
      <c r="BC76" s="1642">
        <v>40038</v>
      </c>
      <c r="BD76" s="1641">
        <v>40116</v>
      </c>
      <c r="BE76" s="1642">
        <v>40871</v>
      </c>
      <c r="BF76" s="1642">
        <v>40884</v>
      </c>
      <c r="BG76" s="1642">
        <v>40907</v>
      </c>
      <c r="BH76" s="1641">
        <v>40924</v>
      </c>
      <c r="BI76" s="1642">
        <v>41075</v>
      </c>
      <c r="BJ76" s="1642">
        <v>41092</v>
      </c>
      <c r="BK76" s="1642">
        <v>42090</v>
      </c>
      <c r="BL76" s="1641">
        <v>42629</v>
      </c>
      <c r="BM76" s="1642">
        <v>47568</v>
      </c>
      <c r="BN76" s="1642">
        <v>47725</v>
      </c>
      <c r="BO76" s="1642">
        <v>47804</v>
      </c>
      <c r="BP76" s="1641">
        <v>48221</v>
      </c>
      <c r="BQ76" s="1642">
        <v>48250</v>
      </c>
      <c r="BR76" s="1642">
        <v>48318</v>
      </c>
      <c r="BS76" s="1642">
        <v>50959</v>
      </c>
      <c r="BT76" s="1641">
        <v>50566</v>
      </c>
      <c r="BU76" s="1634">
        <v>50670</v>
      </c>
      <c r="BV76" s="1634">
        <v>50755</v>
      </c>
      <c r="BW76" s="1634">
        <v>50796</v>
      </c>
      <c r="BX76" s="1633">
        <v>50833</v>
      </c>
      <c r="BY76" s="1634">
        <v>60423</v>
      </c>
      <c r="BZ76" s="1634">
        <v>61595</v>
      </c>
      <c r="CA76" s="1634">
        <v>61974</v>
      </c>
      <c r="CB76" s="1633">
        <v>70873</v>
      </c>
      <c r="CC76" s="1634">
        <v>71708</v>
      </c>
      <c r="CD76" s="1634">
        <v>71899</v>
      </c>
      <c r="CE76" s="1634">
        <v>72067</v>
      </c>
      <c r="CF76" s="1633">
        <v>72256</v>
      </c>
      <c r="CG76" s="1634">
        <v>72435</v>
      </c>
      <c r="CH76" s="1634">
        <v>72719</v>
      </c>
      <c r="CI76" s="1634">
        <v>72996</v>
      </c>
      <c r="CJ76" s="1633">
        <v>73049</v>
      </c>
      <c r="CK76" s="1634">
        <v>73151</v>
      </c>
      <c r="CL76" s="1634">
        <v>73203</v>
      </c>
      <c r="CM76" s="1648">
        <v>73250</v>
      </c>
      <c r="CN76" s="1649">
        <v>73294</v>
      </c>
      <c r="CO76" s="1649">
        <v>73303</v>
      </c>
      <c r="CP76" s="1649">
        <v>77591</v>
      </c>
      <c r="CQ76" s="1648">
        <v>77744</v>
      </c>
      <c r="CR76" s="1649">
        <v>75645</v>
      </c>
      <c r="CS76" s="1649">
        <v>75825</v>
      </c>
      <c r="CT76" s="1649">
        <v>76503</v>
      </c>
      <c r="CU76" s="1648">
        <v>75747</v>
      </c>
      <c r="CV76" s="1649">
        <v>72713</v>
      </c>
      <c r="CW76" s="1649">
        <v>75270</v>
      </c>
      <c r="CX76" s="1649">
        <v>75303</v>
      </c>
      <c r="CY76" s="1648">
        <f>75341+921</f>
        <v>76262</v>
      </c>
      <c r="CZ76" s="1649">
        <f>75693+10430</f>
        <v>86123</v>
      </c>
      <c r="DA76" s="1649">
        <v>86321</v>
      </c>
      <c r="DB76" s="1649">
        <v>86331</v>
      </c>
      <c r="DC76" s="1649">
        <v>86575</v>
      </c>
      <c r="DD76" s="1649">
        <v>86830</v>
      </c>
      <c r="DE76" s="1649">
        <v>86981</v>
      </c>
      <c r="DF76" s="1649">
        <v>87407</v>
      </c>
      <c r="DG76" s="1649">
        <v>86673</v>
      </c>
      <c r="DH76" s="1649">
        <v>87754</v>
      </c>
      <c r="DI76" s="1649">
        <v>88004</v>
      </c>
      <c r="DJ76" s="1649">
        <v>87883</v>
      </c>
      <c r="DK76" s="1649">
        <v>88417</v>
      </c>
      <c r="DL76" s="1649">
        <v>93677</v>
      </c>
    </row>
    <row r="77" spans="1:116" ht="12.75" customHeight="1">
      <c r="A77" s="1539" t="s">
        <v>1232</v>
      </c>
      <c r="B77" s="1642"/>
      <c r="C77" s="1642"/>
      <c r="D77" s="1642"/>
      <c r="E77" s="1641"/>
      <c r="F77" s="1642"/>
      <c r="G77" s="1642"/>
      <c r="H77" s="1642"/>
      <c r="I77" s="1642"/>
      <c r="J77" s="1642">
        <f t="shared" si="125"/>
        <v>1339</v>
      </c>
      <c r="K77" s="1681">
        <f t="shared" si="116"/>
        <v>835</v>
      </c>
      <c r="L77" s="1642"/>
      <c r="M77" s="1642"/>
      <c r="N77" s="1642"/>
      <c r="O77" s="1642"/>
      <c r="P77" s="1642"/>
      <c r="Q77" s="1642"/>
      <c r="R77" s="1642"/>
      <c r="S77" s="1642"/>
      <c r="T77" s="1642"/>
      <c r="U77" s="1642"/>
      <c r="V77" s="1642"/>
      <c r="W77" s="1642"/>
      <c r="X77" s="1642"/>
      <c r="Y77" s="1642"/>
      <c r="Z77" s="1642"/>
      <c r="AA77" s="1642"/>
      <c r="AB77" s="1642"/>
      <c r="AC77" s="1642"/>
      <c r="AD77" s="1642"/>
      <c r="AE77" s="1642"/>
      <c r="AF77" s="1641"/>
      <c r="AG77" s="1642"/>
      <c r="AH77" s="1642"/>
      <c r="AI77" s="1642"/>
      <c r="AJ77" s="1641"/>
      <c r="AK77" s="1642"/>
      <c r="AL77" s="1642"/>
      <c r="AM77" s="1642"/>
      <c r="AN77" s="1641"/>
      <c r="AO77" s="1642"/>
      <c r="AP77" s="1642"/>
      <c r="AQ77" s="1642"/>
      <c r="AR77" s="1641"/>
      <c r="AS77" s="1642"/>
      <c r="AT77" s="1642"/>
      <c r="AU77" s="1642"/>
      <c r="AV77" s="1641"/>
      <c r="AW77" s="1642"/>
      <c r="AX77" s="1642"/>
      <c r="AY77" s="1642"/>
      <c r="AZ77" s="1641">
        <v>1400</v>
      </c>
      <c r="BA77" s="1642">
        <v>1399</v>
      </c>
      <c r="BB77" s="1642">
        <v>1336</v>
      </c>
      <c r="BC77" s="1642">
        <v>1339</v>
      </c>
      <c r="BD77" s="1641">
        <v>873</v>
      </c>
      <c r="BE77" s="1642">
        <v>870</v>
      </c>
      <c r="BF77" s="1642">
        <v>836</v>
      </c>
      <c r="BG77" s="1642">
        <v>835</v>
      </c>
      <c r="BH77" s="1641">
        <v>834</v>
      </c>
      <c r="BI77" s="1642">
        <v>834</v>
      </c>
      <c r="BJ77" s="1642">
        <v>835</v>
      </c>
      <c r="BK77" s="1642">
        <v>837</v>
      </c>
      <c r="BL77" s="1641">
        <v>837</v>
      </c>
      <c r="BM77" s="1642">
        <v>837</v>
      </c>
      <c r="BN77" s="1642">
        <v>836</v>
      </c>
      <c r="BO77" s="1642">
        <v>836</v>
      </c>
      <c r="BP77" s="1641">
        <v>5740</v>
      </c>
      <c r="BQ77" s="1642">
        <v>5387</v>
      </c>
      <c r="BR77" s="1642">
        <v>5709</v>
      </c>
      <c r="BS77" s="1642">
        <v>5655</v>
      </c>
      <c r="BT77" s="1641">
        <v>5247</v>
      </c>
      <c r="BU77" s="1634">
        <v>5149</v>
      </c>
      <c r="BV77" s="1634">
        <v>5442</v>
      </c>
      <c r="BW77" s="1634">
        <v>5245</v>
      </c>
      <c r="BX77" s="1633">
        <v>5233</v>
      </c>
      <c r="BY77" s="1634">
        <v>5218</v>
      </c>
      <c r="BZ77" s="1634">
        <v>6124</v>
      </c>
      <c r="CA77" s="1634">
        <v>6035</v>
      </c>
      <c r="CB77" s="1633">
        <v>22531</v>
      </c>
      <c r="CC77" s="1634">
        <v>22189</v>
      </c>
      <c r="CD77" s="1634">
        <v>22190</v>
      </c>
      <c r="CE77" s="1634">
        <v>22472</v>
      </c>
      <c r="CF77" s="1633">
        <v>22472</v>
      </c>
      <c r="CG77" s="1634">
        <v>22467</v>
      </c>
      <c r="CH77" s="1634">
        <v>21933</v>
      </c>
      <c r="CI77" s="1634">
        <v>21988</v>
      </c>
      <c r="CJ77" s="1633">
        <v>21993</v>
      </c>
      <c r="CK77" s="1634">
        <v>23480</v>
      </c>
      <c r="CL77" s="1634">
        <v>23541</v>
      </c>
      <c r="CM77" s="1648">
        <v>23357</v>
      </c>
      <c r="CN77" s="1649">
        <v>23465</v>
      </c>
      <c r="CO77" s="1649">
        <v>23478</v>
      </c>
      <c r="CP77" s="1649">
        <v>24048</v>
      </c>
      <c r="CQ77" s="1648">
        <v>24139</v>
      </c>
      <c r="CR77" s="1649">
        <v>24132</v>
      </c>
      <c r="CS77" s="1649">
        <v>24336</v>
      </c>
      <c r="CT77" s="1649">
        <v>24339</v>
      </c>
      <c r="CU77" s="1648">
        <v>24634</v>
      </c>
      <c r="CV77" s="1649">
        <v>24647</v>
      </c>
      <c r="CW77" s="1649">
        <v>24663</v>
      </c>
      <c r="CX77" s="1649">
        <v>24617</v>
      </c>
      <c r="CY77" s="1648">
        <v>24639</v>
      </c>
      <c r="CZ77" s="1649">
        <v>23303</v>
      </c>
      <c r="DA77" s="1649">
        <v>25429</v>
      </c>
      <c r="DB77" s="1649">
        <v>25124</v>
      </c>
      <c r="DC77" s="1649">
        <v>25331</v>
      </c>
      <c r="DD77" s="1649">
        <v>25364</v>
      </c>
      <c r="DE77" s="1649">
        <v>25417</v>
      </c>
      <c r="DF77" s="1649">
        <v>25970</v>
      </c>
      <c r="DG77" s="1649">
        <v>27205</v>
      </c>
      <c r="DH77" s="1649">
        <v>27630</v>
      </c>
      <c r="DI77" s="1649">
        <v>28527</v>
      </c>
      <c r="DJ77" s="1649">
        <v>28725</v>
      </c>
      <c r="DK77" s="1649">
        <v>29172</v>
      </c>
      <c r="DL77" s="1649">
        <v>29121</v>
      </c>
    </row>
    <row r="78" spans="1:116" ht="12.75" customHeight="1">
      <c r="A78" s="1539" t="s">
        <v>621</v>
      </c>
      <c r="B78" s="1642"/>
      <c r="C78" s="1642"/>
      <c r="D78" s="1642"/>
      <c r="E78" s="1641"/>
      <c r="F78" s="1642">
        <v>4164</v>
      </c>
      <c r="G78" s="1642">
        <v>8645</v>
      </c>
      <c r="H78" s="1642">
        <f>AU78</f>
        <v>41990</v>
      </c>
      <c r="I78" s="1642">
        <f>AY78</f>
        <v>44262</v>
      </c>
      <c r="J78" s="1642">
        <f t="shared" si="125"/>
        <v>4962</v>
      </c>
      <c r="K78" s="1681">
        <f t="shared" si="116"/>
        <v>4702</v>
      </c>
      <c r="L78" s="1642"/>
      <c r="M78" s="1642"/>
      <c r="N78" s="1642"/>
      <c r="O78" s="1642"/>
      <c r="P78" s="1642"/>
      <c r="Q78" s="1642"/>
      <c r="R78" s="1642"/>
      <c r="S78" s="1642"/>
      <c r="T78" s="1642"/>
      <c r="U78" s="1642"/>
      <c r="V78" s="1642"/>
      <c r="W78" s="1642"/>
      <c r="X78" s="1642"/>
      <c r="Y78" s="1642"/>
      <c r="Z78" s="1642"/>
      <c r="AA78" s="1642"/>
      <c r="AB78" s="1642"/>
      <c r="AC78" s="1642"/>
      <c r="AD78" s="1642"/>
      <c r="AE78" s="1642"/>
      <c r="AF78" s="1641"/>
      <c r="AG78" s="1642"/>
      <c r="AH78" s="1642"/>
      <c r="AI78" s="1642"/>
      <c r="AJ78" s="1641"/>
      <c r="AK78" s="1642"/>
      <c r="AL78" s="1642"/>
      <c r="AM78" s="1642"/>
      <c r="AN78" s="1641"/>
      <c r="AO78" s="1642"/>
      <c r="AP78" s="1642"/>
      <c r="AQ78" s="1642">
        <f>_fye99</f>
        <v>8645</v>
      </c>
      <c r="AR78" s="1641"/>
      <c r="AS78" s="1642">
        <v>44954</v>
      </c>
      <c r="AT78" s="1642">
        <v>41586</v>
      </c>
      <c r="AU78" s="1642">
        <v>41990</v>
      </c>
      <c r="AV78" s="1641">
        <v>44083</v>
      </c>
      <c r="AW78" s="1642">
        <v>43627</v>
      </c>
      <c r="AX78" s="1642">
        <v>44080</v>
      </c>
      <c r="AY78" s="1642">
        <v>44262</v>
      </c>
      <c r="AZ78" s="1641">
        <v>4838</v>
      </c>
      <c r="BA78" s="1642">
        <v>4762</v>
      </c>
      <c r="BB78" s="1642">
        <v>4822</v>
      </c>
      <c r="BC78" s="1642">
        <v>4962</v>
      </c>
      <c r="BD78" s="1641">
        <v>4780</v>
      </c>
      <c r="BE78" s="1642">
        <v>4707</v>
      </c>
      <c r="BF78" s="1642">
        <v>4659</v>
      </c>
      <c r="BG78" s="1642">
        <v>4702</v>
      </c>
      <c r="BH78" s="1641">
        <v>4522</v>
      </c>
      <c r="BI78" s="1642">
        <v>4448</v>
      </c>
      <c r="BJ78" s="1642">
        <v>4430</v>
      </c>
      <c r="BK78" s="1642">
        <v>4521</v>
      </c>
      <c r="BL78" s="1641">
        <v>4520</v>
      </c>
      <c r="BM78" s="1642">
        <v>4433</v>
      </c>
      <c r="BN78" s="1642">
        <v>4363</v>
      </c>
      <c r="BO78" s="1642">
        <v>4293</v>
      </c>
      <c r="BP78" s="1641">
        <v>5497</v>
      </c>
      <c r="BQ78" s="1642">
        <v>5290</v>
      </c>
      <c r="BR78" s="1642">
        <v>5220</v>
      </c>
      <c r="BS78" s="1642">
        <v>5140</v>
      </c>
      <c r="BT78" s="1641">
        <v>5195</v>
      </c>
      <c r="BU78" s="1634">
        <v>5091</v>
      </c>
      <c r="BV78" s="1634">
        <v>5078</v>
      </c>
      <c r="BW78" s="1634">
        <v>4988</v>
      </c>
      <c r="BX78" s="1633">
        <v>4867</v>
      </c>
      <c r="BY78" s="1634">
        <v>4974</v>
      </c>
      <c r="BZ78" s="1634">
        <v>5093</v>
      </c>
      <c r="CA78" s="1634">
        <v>5199</v>
      </c>
      <c r="CB78" s="1633">
        <v>7299</v>
      </c>
      <c r="CC78" s="1634">
        <v>7232</v>
      </c>
      <c r="CD78" s="1634">
        <v>6948</v>
      </c>
      <c r="CE78" s="1634">
        <v>6764</v>
      </c>
      <c r="CF78" s="1633">
        <v>6510</v>
      </c>
      <c r="CG78" s="1634">
        <v>6324</v>
      </c>
      <c r="CH78" s="1634">
        <v>5915</v>
      </c>
      <c r="CI78" s="1634">
        <v>5830</v>
      </c>
      <c r="CJ78" s="1633">
        <v>5655</v>
      </c>
      <c r="CK78" s="1634">
        <v>5945</v>
      </c>
      <c r="CL78" s="1634">
        <v>5915</v>
      </c>
      <c r="CM78" s="1648">
        <v>5878</v>
      </c>
      <c r="CN78" s="1649">
        <v>5744</v>
      </c>
      <c r="CO78" s="1649">
        <v>5726</v>
      </c>
      <c r="CP78" s="1649">
        <v>5830</v>
      </c>
      <c r="CQ78" s="1648">
        <v>5933</v>
      </c>
      <c r="CR78" s="1649">
        <v>5827</v>
      </c>
      <c r="CS78" s="1649">
        <v>5776</v>
      </c>
      <c r="CT78" s="1649">
        <v>5732</v>
      </c>
      <c r="CU78" s="1648">
        <v>5800</v>
      </c>
      <c r="CV78" s="1649">
        <v>5839</v>
      </c>
      <c r="CW78" s="1649">
        <v>5781</v>
      </c>
      <c r="CX78" s="1649">
        <v>5738</v>
      </c>
      <c r="CY78" s="1648">
        <v>5728</v>
      </c>
      <c r="CZ78" s="1649">
        <v>5779</v>
      </c>
      <c r="DA78" s="1649">
        <v>7983</v>
      </c>
      <c r="DB78" s="1649">
        <v>8322</v>
      </c>
      <c r="DC78" s="1649">
        <v>8338</v>
      </c>
      <c r="DD78" s="1649">
        <v>8216</v>
      </c>
      <c r="DE78" s="1649">
        <v>7399</v>
      </c>
      <c r="DF78" s="1649">
        <v>7692</v>
      </c>
      <c r="DG78" s="1649">
        <v>8897</v>
      </c>
      <c r="DH78" s="1649">
        <v>8912</v>
      </c>
      <c r="DI78" s="1649">
        <v>11143</v>
      </c>
      <c r="DJ78" s="1649">
        <v>10993</v>
      </c>
      <c r="DK78" s="1649">
        <v>10247</v>
      </c>
      <c r="DL78" s="1649">
        <v>10014</v>
      </c>
    </row>
    <row r="79" spans="1:116" ht="12.75" customHeight="1">
      <c r="A79" s="1539" t="s">
        <v>1234</v>
      </c>
      <c r="B79" s="1642"/>
      <c r="C79" s="1642"/>
      <c r="D79" s="1642"/>
      <c r="E79" s="1641"/>
      <c r="F79" s="1642">
        <v>10540</v>
      </c>
      <c r="G79" s="1642">
        <v>11840</v>
      </c>
      <c r="H79" s="1642">
        <f>AU79</f>
        <v>18005</v>
      </c>
      <c r="I79" s="1642">
        <f>AY79</f>
        <v>18725</v>
      </c>
      <c r="J79" s="1642">
        <f t="shared" si="125"/>
        <v>20292</v>
      </c>
      <c r="K79" s="1681">
        <f t="shared" si="116"/>
        <v>19538</v>
      </c>
      <c r="L79" s="1642"/>
      <c r="M79" s="1642"/>
      <c r="N79" s="1642"/>
      <c r="O79" s="1642"/>
      <c r="P79" s="1642"/>
      <c r="Q79" s="1642"/>
      <c r="R79" s="1642"/>
      <c r="S79" s="1642"/>
      <c r="T79" s="1642"/>
      <c r="U79" s="1642"/>
      <c r="V79" s="1642"/>
      <c r="W79" s="1642"/>
      <c r="X79" s="1642"/>
      <c r="Y79" s="1642"/>
      <c r="Z79" s="1642"/>
      <c r="AA79" s="1642"/>
      <c r="AB79" s="1642"/>
      <c r="AC79" s="1642"/>
      <c r="AD79" s="1642"/>
      <c r="AE79" s="1642"/>
      <c r="AF79" s="1641"/>
      <c r="AG79" s="1642"/>
      <c r="AH79" s="1642"/>
      <c r="AI79" s="1642"/>
      <c r="AJ79" s="1641"/>
      <c r="AK79" s="1642"/>
      <c r="AL79" s="1642"/>
      <c r="AM79" s="1642"/>
      <c r="AN79" s="1641"/>
      <c r="AO79" s="1642"/>
      <c r="AP79" s="1642"/>
      <c r="AQ79" s="1642">
        <f>_fye99</f>
        <v>11840</v>
      </c>
      <c r="AR79" s="1641"/>
      <c r="AS79" s="1642">
        <v>15244</v>
      </c>
      <c r="AT79" s="1642">
        <v>15190</v>
      </c>
      <c r="AU79" s="1642">
        <v>18005</v>
      </c>
      <c r="AV79" s="1641">
        <v>18000</v>
      </c>
      <c r="AW79" s="1642">
        <v>17894</v>
      </c>
      <c r="AX79" s="1642">
        <v>19410</v>
      </c>
      <c r="AY79" s="1642">
        <v>18725</v>
      </c>
      <c r="AZ79" s="1641">
        <v>19947</v>
      </c>
      <c r="BA79" s="1642">
        <v>19587</v>
      </c>
      <c r="BB79" s="1642">
        <v>19742</v>
      </c>
      <c r="BC79" s="1642">
        <v>20292</v>
      </c>
      <c r="BD79" s="1641">
        <v>20709</v>
      </c>
      <c r="BE79" s="1642">
        <v>20892</v>
      </c>
      <c r="BF79" s="1642">
        <v>20833</v>
      </c>
      <c r="BG79" s="1642">
        <v>19538</v>
      </c>
      <c r="BH79" s="1641">
        <v>18982</v>
      </c>
      <c r="BI79" s="1642">
        <v>18902</v>
      </c>
      <c r="BJ79" s="1642">
        <v>19324</v>
      </c>
      <c r="BK79" s="1642">
        <v>19052</v>
      </c>
      <c r="BL79" s="1641">
        <v>19697</v>
      </c>
      <c r="BM79" s="1642">
        <v>19128</v>
      </c>
      <c r="BN79" s="1642">
        <v>19159</v>
      </c>
      <c r="BO79" s="1642">
        <v>18840</v>
      </c>
      <c r="BP79" s="1641">
        <v>18539</v>
      </c>
      <c r="BQ79" s="1642">
        <v>18437</v>
      </c>
      <c r="BR79" s="1642">
        <v>18937</v>
      </c>
      <c r="BS79" s="1642">
        <v>17288</v>
      </c>
      <c r="BT79" s="1641">
        <v>17506</v>
      </c>
      <c r="BU79" s="1634">
        <v>18022</v>
      </c>
      <c r="BV79" s="1634">
        <v>17525</v>
      </c>
      <c r="BW79" s="1634">
        <v>18566</v>
      </c>
      <c r="BX79" s="1633">
        <v>19775</v>
      </c>
      <c r="BY79" s="1634">
        <f>4761+18944</f>
        <v>23705</v>
      </c>
      <c r="BZ79" s="1634">
        <f>4759+19272</f>
        <v>24031</v>
      </c>
      <c r="CA79" s="1634">
        <f>8349+4781</f>
        <v>13130</v>
      </c>
      <c r="CB79" s="1633">
        <v>10841</v>
      </c>
      <c r="CC79" s="1634">
        <v>8591</v>
      </c>
      <c r="CD79" s="1634">
        <v>8702</v>
      </c>
      <c r="CE79" s="1634">
        <v>8339</v>
      </c>
      <c r="CF79" s="1633">
        <v>8185</v>
      </c>
      <c r="CG79" s="1634">
        <v>8066</v>
      </c>
      <c r="CH79" s="1634">
        <v>7682</v>
      </c>
      <c r="CI79" s="1634">
        <v>5635</v>
      </c>
      <c r="CJ79" s="1633">
        <v>5511</v>
      </c>
      <c r="CK79" s="1634">
        <v>5403</v>
      </c>
      <c r="CL79" s="1634">
        <v>5299</v>
      </c>
      <c r="CM79" s="1648">
        <v>5155</v>
      </c>
      <c r="CN79" s="1649">
        <v>5154</v>
      </c>
      <c r="CO79" s="1649">
        <v>5001</v>
      </c>
      <c r="CP79" s="1649">
        <v>4515</v>
      </c>
      <c r="CQ79" s="1648">
        <v>4128</v>
      </c>
      <c r="CR79" s="1649">
        <v>3822</v>
      </c>
      <c r="CS79" s="1649">
        <v>3801</v>
      </c>
      <c r="CT79" s="1649">
        <v>4446</v>
      </c>
      <c r="CU79" s="1648">
        <v>4535</v>
      </c>
      <c r="CV79" s="1649">
        <v>5146</v>
      </c>
      <c r="CW79" s="1649">
        <v>5262</v>
      </c>
      <c r="CX79" s="1649">
        <v>5112</v>
      </c>
      <c r="CY79" s="1648">
        <v>5707</v>
      </c>
      <c r="CZ79" s="1649">
        <f>5765+9580</f>
        <v>15345</v>
      </c>
      <c r="DA79" s="1649">
        <f>9647+6545</f>
        <v>16192</v>
      </c>
      <c r="DB79" s="1649">
        <f>10117+7070</f>
        <v>17187</v>
      </c>
      <c r="DC79" s="1649">
        <f>10267+7512</f>
        <v>17779</v>
      </c>
      <c r="DD79" s="1649">
        <f>10432+6298</f>
        <v>16730</v>
      </c>
      <c r="DE79" s="1649">
        <v>7235</v>
      </c>
      <c r="DF79" s="1649">
        <v>8275</v>
      </c>
      <c r="DG79" s="1649">
        <f>613+8536</f>
        <v>9149</v>
      </c>
      <c r="DH79" s="1649">
        <f>762+8222</f>
        <v>8984</v>
      </c>
      <c r="DI79" s="1649">
        <f>100+8785</f>
        <v>8885</v>
      </c>
      <c r="DJ79" s="1649">
        <v>8538</v>
      </c>
      <c r="DK79" s="1649">
        <v>9787</v>
      </c>
      <c r="DL79" s="1649">
        <v>11763</v>
      </c>
    </row>
    <row r="80" spans="1:116" ht="12.75" customHeight="1">
      <c r="A80" s="954" t="s">
        <v>1236</v>
      </c>
      <c r="B80" s="1693"/>
      <c r="C80" s="1693"/>
      <c r="D80" s="1693"/>
      <c r="E80" s="1694"/>
      <c r="F80" s="1693">
        <v>98164</v>
      </c>
      <c r="G80" s="1693">
        <v>112830</v>
      </c>
      <c r="H80" s="1693">
        <f>AU80</f>
        <v>164735</v>
      </c>
      <c r="I80" s="1693">
        <f>AY80</f>
        <v>170795</v>
      </c>
      <c r="J80" s="1693">
        <f t="shared" si="125"/>
        <v>167468</v>
      </c>
      <c r="K80" s="1681">
        <f t="shared" si="116"/>
        <v>165968</v>
      </c>
      <c r="L80" s="1693"/>
      <c r="M80" s="1693"/>
      <c r="N80" s="1693"/>
      <c r="O80" s="1693"/>
      <c r="P80" s="1693"/>
      <c r="Q80" s="1693"/>
      <c r="R80" s="1693"/>
      <c r="S80" s="1693"/>
      <c r="T80" s="1693"/>
      <c r="U80" s="1693"/>
      <c r="V80" s="1693"/>
      <c r="W80" s="1693"/>
      <c r="X80" s="1693"/>
      <c r="Y80" s="1693"/>
      <c r="Z80" s="1693"/>
      <c r="AA80" s="1693"/>
      <c r="AB80" s="1693"/>
      <c r="AC80" s="1693"/>
      <c r="AD80" s="1693"/>
      <c r="AE80" s="1693"/>
      <c r="AF80" s="1694"/>
      <c r="AG80" s="1693"/>
      <c r="AH80" s="1693"/>
      <c r="AI80" s="1693"/>
      <c r="AJ80" s="1694"/>
      <c r="AK80" s="1693"/>
      <c r="AL80" s="1693"/>
      <c r="AM80" s="1693"/>
      <c r="AN80" s="1694"/>
      <c r="AO80" s="1693"/>
      <c r="AP80" s="1693"/>
      <c r="AQ80" s="1693">
        <f>_fye99</f>
        <v>112830</v>
      </c>
      <c r="AR80" s="1694"/>
      <c r="AS80" s="1693">
        <v>161013</v>
      </c>
      <c r="AT80" s="1693">
        <v>157528</v>
      </c>
      <c r="AU80" s="1693">
        <v>164735</v>
      </c>
      <c r="AV80" s="1694">
        <v>167798</v>
      </c>
      <c r="AW80" s="1693">
        <v>170173</v>
      </c>
      <c r="AX80" s="1693">
        <v>169503</v>
      </c>
      <c r="AY80" s="1693">
        <v>170795</v>
      </c>
      <c r="AZ80" s="1694">
        <v>171325</v>
      </c>
      <c r="BA80" s="1693">
        <v>168293</v>
      </c>
      <c r="BB80" s="1693">
        <v>169099</v>
      </c>
      <c r="BC80" s="1693">
        <v>167468</v>
      </c>
      <c r="BD80" s="1694">
        <v>170731</v>
      </c>
      <c r="BE80" s="1693">
        <v>167626</v>
      </c>
      <c r="BF80" s="1693">
        <v>165006</v>
      </c>
      <c r="BG80" s="1693">
        <v>165968</v>
      </c>
      <c r="BH80" s="1694">
        <v>163421</v>
      </c>
      <c r="BI80" s="1693">
        <f t="shared" ref="BI80:CV80" si="131">SUM(BI74:BI79)+BI70</f>
        <v>162438</v>
      </c>
      <c r="BJ80" s="1693">
        <f t="shared" si="131"/>
        <v>162897</v>
      </c>
      <c r="BK80" s="1693">
        <f t="shared" si="131"/>
        <v>165958</v>
      </c>
      <c r="BL80" s="1694">
        <f t="shared" si="131"/>
        <v>164882</v>
      </c>
      <c r="BM80" s="1693">
        <f t="shared" si="131"/>
        <v>169377</v>
      </c>
      <c r="BN80" s="1693">
        <f t="shared" si="131"/>
        <v>168301</v>
      </c>
      <c r="BO80" s="1693">
        <f t="shared" si="131"/>
        <v>168130</v>
      </c>
      <c r="BP80" s="1694">
        <f t="shared" si="131"/>
        <v>182814</v>
      </c>
      <c r="BQ80" s="1693">
        <f t="shared" si="131"/>
        <v>183843</v>
      </c>
      <c r="BR80" s="1693">
        <f t="shared" si="131"/>
        <v>185679</v>
      </c>
      <c r="BS80" s="1693">
        <f t="shared" si="131"/>
        <v>188804</v>
      </c>
      <c r="BT80" s="1694">
        <f t="shared" si="131"/>
        <v>184284</v>
      </c>
      <c r="BU80" s="1693">
        <f t="shared" si="131"/>
        <v>184760</v>
      </c>
      <c r="BV80" s="1693">
        <f t="shared" si="131"/>
        <v>185619</v>
      </c>
      <c r="BW80" s="1693">
        <f t="shared" si="131"/>
        <v>186959</v>
      </c>
      <c r="BX80" s="1694">
        <f t="shared" si="131"/>
        <v>191293</v>
      </c>
      <c r="BY80" s="1693">
        <f t="shared" si="131"/>
        <v>200646</v>
      </c>
      <c r="BZ80" s="1693">
        <f t="shared" si="131"/>
        <v>204861</v>
      </c>
      <c r="CA80" s="1693">
        <f t="shared" si="131"/>
        <v>202352</v>
      </c>
      <c r="CB80" s="1694">
        <f t="shared" si="131"/>
        <v>226851</v>
      </c>
      <c r="CC80" s="1693">
        <f t="shared" si="131"/>
        <v>224999</v>
      </c>
      <c r="CD80" s="1693">
        <f t="shared" si="131"/>
        <v>226404</v>
      </c>
      <c r="CE80" s="1693">
        <f t="shared" si="131"/>
        <v>227251</v>
      </c>
      <c r="CF80" s="1694">
        <f t="shared" si="131"/>
        <v>227347</v>
      </c>
      <c r="CG80" s="1693">
        <f t="shared" si="131"/>
        <v>226251</v>
      </c>
      <c r="CH80" s="1693">
        <f t="shared" si="131"/>
        <v>220852</v>
      </c>
      <c r="CI80" s="1693">
        <f t="shared" si="131"/>
        <v>220005</v>
      </c>
      <c r="CJ80" s="1694">
        <f t="shared" si="131"/>
        <v>228108</v>
      </c>
      <c r="CK80" s="1693">
        <f t="shared" si="131"/>
        <v>223756</v>
      </c>
      <c r="CL80" s="1693">
        <f t="shared" si="131"/>
        <v>228032</v>
      </c>
      <c r="CM80" s="1695">
        <f t="shared" si="131"/>
        <v>230461</v>
      </c>
      <c r="CN80" s="1267">
        <f t="shared" si="131"/>
        <v>222921</v>
      </c>
      <c r="CO80" s="1267">
        <f t="shared" si="131"/>
        <v>226072</v>
      </c>
      <c r="CP80" s="1267">
        <f t="shared" si="131"/>
        <v>231082</v>
      </c>
      <c r="CQ80" s="1695">
        <f t="shared" si="131"/>
        <v>225222</v>
      </c>
      <c r="CR80" s="1267">
        <f t="shared" si="131"/>
        <v>226186</v>
      </c>
      <c r="CS80" s="1267">
        <f t="shared" si="131"/>
        <v>223346</v>
      </c>
      <c r="CT80" s="1267">
        <f t="shared" si="131"/>
        <v>276675</v>
      </c>
      <c r="CU80" s="1695">
        <f t="shared" si="131"/>
        <v>274098</v>
      </c>
      <c r="CV80" s="1267">
        <f t="shared" si="131"/>
        <v>221562</v>
      </c>
      <c r="CW80" s="1267">
        <f t="shared" ref="CW80:DB80" si="132">SUM(CW74:CW79)+CW70</f>
        <v>224427</v>
      </c>
      <c r="CX80" s="1267">
        <f t="shared" si="132"/>
        <v>226293</v>
      </c>
      <c r="CY80" s="1695">
        <f t="shared" si="132"/>
        <v>232708</v>
      </c>
      <c r="CZ80" s="1267">
        <f t="shared" si="132"/>
        <v>235790</v>
      </c>
      <c r="DA80" s="1267">
        <f t="shared" si="132"/>
        <v>240753</v>
      </c>
      <c r="DB80" s="1267">
        <f t="shared" si="132"/>
        <v>242073</v>
      </c>
      <c r="DC80" s="1267">
        <f t="shared" ref="DC80:DH80" si="133">SUM(DC74:DC79)+DC70</f>
        <v>244640</v>
      </c>
      <c r="DD80" s="1267">
        <f t="shared" si="133"/>
        <v>244587</v>
      </c>
      <c r="DE80" s="1267">
        <f t="shared" si="133"/>
        <v>231870</v>
      </c>
      <c r="DF80" s="1267">
        <f t="shared" si="133"/>
        <v>239498</v>
      </c>
      <c r="DG80" s="1267">
        <f t="shared" si="133"/>
        <v>244180</v>
      </c>
      <c r="DH80" s="1267">
        <f t="shared" si="133"/>
        <v>246731</v>
      </c>
      <c r="DI80" s="1267">
        <f t="shared" ref="DI80:DJ80" si="134">SUM(DI74:DI79)+DI70</f>
        <v>252978</v>
      </c>
      <c r="DJ80" s="1267">
        <f t="shared" si="134"/>
        <v>254682</v>
      </c>
      <c r="DK80" s="1267">
        <f t="shared" ref="DK80:DL80" si="135">SUM(DK74:DK79)+DK70</f>
        <v>257143</v>
      </c>
      <c r="DL80" s="1267">
        <f t="shared" si="135"/>
        <v>264516</v>
      </c>
    </row>
    <row r="81" spans="1:116" ht="12.75" customHeight="1">
      <c r="A81" s="1629" t="s">
        <v>1237</v>
      </c>
      <c r="B81" s="1658"/>
      <c r="C81" s="1658"/>
      <c r="D81" s="1658"/>
      <c r="E81" s="1659"/>
      <c r="F81" s="1658">
        <f>F80-F70-SUM(F74:F79)</f>
        <v>0</v>
      </c>
      <c r="G81" s="1658">
        <f>G80-G70-SUM(G74:G79)</f>
        <v>0</v>
      </c>
      <c r="H81" s="1658">
        <f>H80-H70-SUM(H74:H79)</f>
        <v>0</v>
      </c>
      <c r="I81" s="1658">
        <f>I80-I70-SUM(I74:I79)</f>
        <v>0</v>
      </c>
      <c r="J81" s="1658">
        <f>J80-J70-SUM(J74:J79)</f>
        <v>0</v>
      </c>
      <c r="K81" s="1681">
        <f t="shared" si="116"/>
        <v>0</v>
      </c>
      <c r="L81" s="1658"/>
      <c r="M81" s="1658"/>
      <c r="N81" s="1658"/>
      <c r="O81" s="1658"/>
      <c r="P81" s="1658"/>
      <c r="Q81" s="1658"/>
      <c r="R81" s="1658"/>
      <c r="S81" s="1658"/>
      <c r="T81" s="1658"/>
      <c r="U81" s="1658"/>
      <c r="V81" s="1658"/>
      <c r="W81" s="1658"/>
      <c r="X81" s="1658"/>
      <c r="Y81" s="1658"/>
      <c r="Z81" s="1658"/>
      <c r="AA81" s="1658"/>
      <c r="AB81" s="1658"/>
      <c r="AC81" s="1658"/>
      <c r="AD81" s="1658"/>
      <c r="AE81" s="1658"/>
      <c r="AF81" s="1659">
        <f t="shared" ref="AF81:BI81" si="136">AF80-AF70-SUM(AF74:AF79)</f>
        <v>0</v>
      </c>
      <c r="AG81" s="1658">
        <f t="shared" si="136"/>
        <v>0</v>
      </c>
      <c r="AH81" s="1658">
        <f t="shared" si="136"/>
        <v>0</v>
      </c>
      <c r="AI81" s="1658">
        <f t="shared" si="136"/>
        <v>0</v>
      </c>
      <c r="AJ81" s="1659">
        <f t="shared" si="136"/>
        <v>0</v>
      </c>
      <c r="AK81" s="1658">
        <f t="shared" si="136"/>
        <v>0</v>
      </c>
      <c r="AL81" s="1658">
        <f t="shared" si="136"/>
        <v>0</v>
      </c>
      <c r="AM81" s="1658">
        <f t="shared" si="136"/>
        <v>0</v>
      </c>
      <c r="AN81" s="1659">
        <f t="shared" si="136"/>
        <v>0</v>
      </c>
      <c r="AO81" s="1658">
        <f t="shared" si="136"/>
        <v>0</v>
      </c>
      <c r="AP81" s="1658">
        <f t="shared" si="136"/>
        <v>0</v>
      </c>
      <c r="AQ81" s="1658">
        <f t="shared" si="136"/>
        <v>0</v>
      </c>
      <c r="AR81" s="1659">
        <f t="shared" si="136"/>
        <v>0</v>
      </c>
      <c r="AS81" s="1658">
        <f t="shared" si="136"/>
        <v>0</v>
      </c>
      <c r="AT81" s="1658">
        <f t="shared" si="136"/>
        <v>0</v>
      </c>
      <c r="AU81" s="1658">
        <f t="shared" si="136"/>
        <v>0</v>
      </c>
      <c r="AV81" s="1659">
        <f t="shared" si="136"/>
        <v>0</v>
      </c>
      <c r="AW81" s="1658">
        <f t="shared" si="136"/>
        <v>0</v>
      </c>
      <c r="AX81" s="1658">
        <f t="shared" si="136"/>
        <v>0</v>
      </c>
      <c r="AY81" s="1658">
        <f t="shared" si="136"/>
        <v>0</v>
      </c>
      <c r="AZ81" s="1659">
        <f t="shared" si="136"/>
        <v>0</v>
      </c>
      <c r="BA81" s="1658">
        <f t="shared" si="136"/>
        <v>0</v>
      </c>
      <c r="BB81" s="1658">
        <f t="shared" si="136"/>
        <v>0</v>
      </c>
      <c r="BC81" s="1658">
        <f t="shared" si="136"/>
        <v>0</v>
      </c>
      <c r="BD81" s="1659">
        <f t="shared" si="136"/>
        <v>0</v>
      </c>
      <c r="BE81" s="1658">
        <f t="shared" si="136"/>
        <v>0</v>
      </c>
      <c r="BF81" s="1658">
        <f t="shared" si="136"/>
        <v>0</v>
      </c>
      <c r="BG81" s="1658">
        <f t="shared" si="136"/>
        <v>0</v>
      </c>
      <c r="BH81" s="1659">
        <f t="shared" si="136"/>
        <v>0</v>
      </c>
      <c r="BI81" s="1658">
        <f t="shared" si="136"/>
        <v>0</v>
      </c>
      <c r="BJ81" s="1658"/>
      <c r="BK81" s="1658"/>
      <c r="BL81" s="1659"/>
      <c r="BM81" s="1658"/>
      <c r="BN81" s="1658"/>
      <c r="BO81" s="1642"/>
      <c r="BP81" s="1641"/>
      <c r="BQ81" s="1642"/>
      <c r="BR81" s="1642"/>
      <c r="BS81" s="1642"/>
      <c r="BT81" s="1641"/>
      <c r="BU81" s="1642"/>
      <c r="BV81" s="1642"/>
      <c r="BW81" s="1642"/>
      <c r="BX81" s="1641"/>
      <c r="BY81" s="1642"/>
      <c r="BZ81" s="1642"/>
      <c r="CA81" s="1642"/>
      <c r="CB81" s="1641"/>
      <c r="CC81" s="1642"/>
      <c r="CD81" s="1642"/>
      <c r="CE81" s="1642"/>
      <c r="CF81" s="1641"/>
      <c r="CG81" s="1642"/>
      <c r="CH81" s="1642"/>
      <c r="CI81" s="1642"/>
      <c r="CJ81" s="1641"/>
      <c r="CK81" s="1642"/>
      <c r="CL81" s="1642"/>
      <c r="CM81" s="1681"/>
      <c r="CN81" s="1672"/>
      <c r="CO81" s="1672"/>
      <c r="CP81" s="1672"/>
      <c r="CQ81" s="1681"/>
      <c r="CR81" s="1672"/>
      <c r="CS81" s="1672"/>
      <c r="CT81" s="1672"/>
      <c r="CU81" s="1681"/>
      <c r="CV81" s="1672"/>
      <c r="CW81" s="1672"/>
      <c r="CX81" s="1672"/>
      <c r="CY81" s="1681"/>
      <c r="CZ81" s="1672"/>
      <c r="DA81" s="1672"/>
      <c r="DB81" s="1672"/>
      <c r="DC81" s="1672"/>
      <c r="DD81" s="1672"/>
      <c r="DE81" s="1672"/>
      <c r="DF81" s="1672"/>
      <c r="DG81" s="1672"/>
      <c r="DH81" s="1672"/>
      <c r="DI81" s="1672"/>
      <c r="DJ81" s="1672"/>
      <c r="DK81" s="1672"/>
      <c r="DL81" s="1672"/>
    </row>
    <row r="82" spans="1:116" ht="12.75" customHeight="1">
      <c r="A82" s="1539"/>
      <c r="B82" s="1642"/>
      <c r="C82" s="1642"/>
      <c r="D82" s="1642"/>
      <c r="E82" s="1641"/>
      <c r="F82" s="1642"/>
      <c r="G82" s="1642"/>
      <c r="H82" s="1642"/>
      <c r="I82" s="1642"/>
      <c r="J82" s="1642"/>
      <c r="K82" s="1681">
        <f t="shared" si="116"/>
        <v>0</v>
      </c>
      <c r="L82" s="1642"/>
      <c r="M82" s="1642"/>
      <c r="N82" s="1642"/>
      <c r="O82" s="1642"/>
      <c r="P82" s="1642"/>
      <c r="Q82" s="1642"/>
      <c r="R82" s="1642"/>
      <c r="S82" s="1642"/>
      <c r="T82" s="1642"/>
      <c r="U82" s="1642"/>
      <c r="V82" s="1642"/>
      <c r="W82" s="1642"/>
      <c r="X82" s="1642"/>
      <c r="Y82" s="1642"/>
      <c r="Z82" s="1642"/>
      <c r="AA82" s="1642"/>
      <c r="AB82" s="1642"/>
      <c r="AC82" s="1642"/>
      <c r="AD82" s="1642"/>
      <c r="AE82" s="1642"/>
      <c r="AF82" s="1641"/>
      <c r="AG82" s="1642"/>
      <c r="AH82" s="1642"/>
      <c r="AI82" s="1642"/>
      <c r="AJ82" s="1641"/>
      <c r="AK82" s="1642"/>
      <c r="AL82" s="1642"/>
      <c r="AM82" s="1642"/>
      <c r="AN82" s="1641"/>
      <c r="AO82" s="1642"/>
      <c r="AP82" s="1642"/>
      <c r="AQ82" s="1642"/>
      <c r="AR82" s="1641"/>
      <c r="AS82" s="1642"/>
      <c r="AT82" s="1642"/>
      <c r="AU82" s="1642"/>
      <c r="AV82" s="1641"/>
      <c r="AW82" s="1642"/>
      <c r="AX82" s="1642"/>
      <c r="AY82" s="1642"/>
      <c r="AZ82" s="1641"/>
      <c r="BA82" s="1642"/>
      <c r="BB82" s="1642"/>
      <c r="BC82" s="1642"/>
      <c r="BD82" s="1641"/>
      <c r="BE82" s="1642"/>
      <c r="BF82" s="1642"/>
      <c r="BG82" s="1642"/>
      <c r="BH82" s="1641"/>
      <c r="BI82" s="1642"/>
      <c r="BJ82" s="1642"/>
      <c r="BK82" s="1642"/>
      <c r="BL82" s="1641"/>
      <c r="BM82" s="1642"/>
      <c r="BN82" s="1642"/>
      <c r="BO82" s="1642"/>
      <c r="BP82" s="1641"/>
      <c r="BQ82" s="1642"/>
      <c r="BR82" s="1642"/>
      <c r="BS82" s="1642"/>
      <c r="BT82" s="1641"/>
      <c r="BU82" s="1642"/>
      <c r="BV82" s="1642"/>
      <c r="BW82" s="1642"/>
      <c r="BX82" s="1641"/>
      <c r="BY82" s="1642"/>
      <c r="BZ82" s="1642"/>
      <c r="CA82" s="1642"/>
      <c r="CB82" s="1641"/>
      <c r="CC82" s="1642"/>
      <c r="CD82" s="1642"/>
      <c r="CE82" s="1642"/>
      <c r="CF82" s="1641"/>
      <c r="CG82" s="1642"/>
      <c r="CH82" s="1642"/>
      <c r="CI82" s="1642"/>
      <c r="CJ82" s="1641"/>
      <c r="CK82" s="1642"/>
      <c r="CL82" s="1642"/>
      <c r="CM82" s="1681"/>
      <c r="CN82" s="1672"/>
      <c r="CO82" s="1672"/>
      <c r="CP82" s="1672"/>
      <c r="CQ82" s="1681"/>
      <c r="CR82" s="1672"/>
      <c r="CS82" s="1672"/>
      <c r="CT82" s="1672"/>
      <c r="CU82" s="1681"/>
      <c r="CV82" s="1672"/>
      <c r="CW82" s="1672"/>
      <c r="CX82" s="1672"/>
      <c r="CY82" s="1681"/>
      <c r="CZ82" s="1672"/>
      <c r="DA82" s="1672"/>
      <c r="DB82" s="1672"/>
      <c r="DC82" s="1672"/>
      <c r="DD82" s="1672"/>
      <c r="DE82" s="1672"/>
      <c r="DF82" s="1672"/>
      <c r="DG82" s="1672"/>
      <c r="DH82" s="1672"/>
      <c r="DI82" s="1672"/>
      <c r="DJ82" s="1672"/>
      <c r="DK82" s="1672"/>
      <c r="DL82" s="1672"/>
    </row>
    <row r="83" spans="1:116" ht="12.75" customHeight="1">
      <c r="A83" s="954" t="s">
        <v>622</v>
      </c>
      <c r="B83" s="1693"/>
      <c r="C83" s="1642"/>
      <c r="D83" s="1642"/>
      <c r="E83" s="1641"/>
      <c r="F83" s="1642"/>
      <c r="G83" s="1642"/>
      <c r="H83" s="1642"/>
      <c r="I83" s="1642"/>
      <c r="J83" s="1642"/>
      <c r="K83" s="1681">
        <f t="shared" si="116"/>
        <v>0</v>
      </c>
      <c r="L83" s="1642"/>
      <c r="M83" s="1642"/>
      <c r="N83" s="1642"/>
      <c r="O83" s="1642"/>
      <c r="P83" s="1642"/>
      <c r="Q83" s="1642"/>
      <c r="R83" s="1642"/>
      <c r="S83" s="1642"/>
      <c r="T83" s="1642"/>
      <c r="U83" s="1642"/>
      <c r="V83" s="1642"/>
      <c r="W83" s="1642"/>
      <c r="X83" s="1642"/>
      <c r="Y83" s="1642"/>
      <c r="Z83" s="1642"/>
      <c r="AA83" s="1642"/>
      <c r="AB83" s="1642"/>
      <c r="AC83" s="1642"/>
      <c r="AD83" s="1642"/>
      <c r="AE83" s="1642"/>
      <c r="AF83" s="1641"/>
      <c r="AG83" s="1642"/>
      <c r="AH83" s="1642"/>
      <c r="AI83" s="1642"/>
      <c r="AJ83" s="1641"/>
      <c r="AK83" s="1642"/>
      <c r="AL83" s="1642"/>
      <c r="AM83" s="1642"/>
      <c r="AN83" s="1641"/>
      <c r="AO83" s="1642"/>
      <c r="AP83" s="1642"/>
      <c r="AQ83" s="1642"/>
      <c r="AR83" s="1641"/>
      <c r="AS83" s="1642"/>
      <c r="AT83" s="1642"/>
      <c r="AU83" s="1642"/>
      <c r="AV83" s="1641"/>
      <c r="AW83" s="1642"/>
      <c r="AX83" s="1642"/>
      <c r="AY83" s="1642"/>
      <c r="AZ83" s="1641"/>
      <c r="BA83" s="1642"/>
      <c r="BB83" s="1642"/>
      <c r="BC83" s="1642"/>
      <c r="BD83" s="1641"/>
      <c r="BE83" s="1642"/>
      <c r="BF83" s="1642"/>
      <c r="BG83" s="1642"/>
      <c r="BH83" s="1641"/>
      <c r="BI83" s="1642"/>
      <c r="BJ83" s="1642"/>
      <c r="BK83" s="1642"/>
      <c r="BL83" s="1641"/>
      <c r="BM83" s="1642"/>
      <c r="BN83" s="1642"/>
      <c r="BO83" s="1642"/>
      <c r="BP83" s="1641"/>
      <c r="BQ83" s="1642"/>
      <c r="BR83" s="1642"/>
      <c r="BS83" s="1642"/>
      <c r="BT83" s="1641"/>
      <c r="BU83" s="1642"/>
      <c r="BV83" s="1642"/>
      <c r="BW83" s="1642"/>
      <c r="BX83" s="1641"/>
      <c r="BY83" s="1642"/>
      <c r="BZ83" s="1642"/>
      <c r="CA83" s="1642"/>
      <c r="CB83" s="1641"/>
      <c r="CC83" s="1642"/>
      <c r="CD83" s="1642"/>
      <c r="CE83" s="1642"/>
      <c r="CF83" s="1641"/>
      <c r="CG83" s="1642"/>
      <c r="CH83" s="1642"/>
      <c r="CI83" s="1642"/>
      <c r="CJ83" s="1641"/>
      <c r="CK83" s="1642"/>
      <c r="CL83" s="1642"/>
      <c r="CM83" s="1681"/>
      <c r="CN83" s="1672"/>
      <c r="CO83" s="1672"/>
      <c r="CP83" s="1672"/>
      <c r="CQ83" s="1681"/>
      <c r="CR83" s="1672"/>
      <c r="CS83" s="1672"/>
      <c r="CT83" s="1672"/>
      <c r="CU83" s="1681"/>
      <c r="CV83" s="1672"/>
      <c r="CW83" s="1672"/>
      <c r="CX83" s="1672"/>
      <c r="CY83" s="1681"/>
      <c r="CZ83" s="1672"/>
      <c r="DA83" s="1672"/>
      <c r="DB83" s="1672"/>
      <c r="DC83" s="1672"/>
      <c r="DD83" s="1672"/>
      <c r="DE83" s="1672"/>
      <c r="DF83" s="1672"/>
      <c r="DG83" s="1672"/>
      <c r="DH83" s="1672"/>
      <c r="DI83" s="1672"/>
      <c r="DJ83" s="1672"/>
      <c r="DK83" s="1672"/>
      <c r="DL83" s="1672"/>
    </row>
    <row r="84" spans="1:116" ht="12.75" customHeight="1">
      <c r="A84" s="1539" t="s">
        <v>1239</v>
      </c>
      <c r="B84" s="1642"/>
      <c r="C84" s="1642"/>
      <c r="D84" s="1642"/>
      <c r="E84" s="1641"/>
      <c r="F84" s="1642"/>
      <c r="G84" s="1642"/>
      <c r="H84" s="1642"/>
      <c r="I84" s="1642"/>
      <c r="J84" s="1642"/>
      <c r="K84" s="1681">
        <f t="shared" si="116"/>
        <v>0</v>
      </c>
      <c r="L84" s="1642"/>
      <c r="M84" s="1642"/>
      <c r="N84" s="1642"/>
      <c r="O84" s="1642"/>
      <c r="P84" s="1642"/>
      <c r="Q84" s="1642"/>
      <c r="R84" s="1642"/>
      <c r="S84" s="1642"/>
      <c r="T84" s="1642"/>
      <c r="U84" s="1642"/>
      <c r="V84" s="1642"/>
      <c r="W84" s="1642"/>
      <c r="X84" s="1642"/>
      <c r="Y84" s="1642"/>
      <c r="Z84" s="1642"/>
      <c r="AA84" s="1642"/>
      <c r="AB84" s="1642"/>
      <c r="AC84" s="1642"/>
      <c r="AD84" s="1642"/>
      <c r="AE84" s="1642"/>
      <c r="AF84" s="1641"/>
      <c r="AG84" s="1642"/>
      <c r="AH84" s="1642"/>
      <c r="AI84" s="1642"/>
      <c r="AJ84" s="1641"/>
      <c r="AK84" s="1642"/>
      <c r="AL84" s="1642"/>
      <c r="AM84" s="1642"/>
      <c r="AN84" s="1641"/>
      <c r="AO84" s="1642"/>
      <c r="AP84" s="1642"/>
      <c r="AQ84" s="1642"/>
      <c r="AR84" s="1641"/>
      <c r="AS84" s="1642"/>
      <c r="AT84" s="1642"/>
      <c r="AU84" s="1642"/>
      <c r="AV84" s="1641"/>
      <c r="AW84" s="1642"/>
      <c r="AX84" s="1642"/>
      <c r="AY84" s="1642"/>
      <c r="AZ84" s="1641"/>
      <c r="BA84" s="1642"/>
      <c r="BB84" s="1642"/>
      <c r="BC84" s="1642"/>
      <c r="BD84" s="1641"/>
      <c r="BE84" s="1642"/>
      <c r="BF84" s="1642"/>
      <c r="BG84" s="1642"/>
      <c r="BH84" s="1641"/>
      <c r="BI84" s="1642"/>
      <c r="BJ84" s="1642"/>
      <c r="BK84" s="1642"/>
      <c r="BL84" s="1641"/>
      <c r="BM84" s="1642"/>
      <c r="BN84" s="1642"/>
      <c r="BO84" s="1642"/>
      <c r="BP84" s="1641"/>
      <c r="BQ84" s="1642"/>
      <c r="BR84" s="1642"/>
      <c r="BS84" s="1642"/>
      <c r="BT84" s="1641"/>
      <c r="BU84" s="1642"/>
      <c r="BV84" s="1642"/>
      <c r="BW84" s="1642"/>
      <c r="BX84" s="1641"/>
      <c r="BY84" s="1642"/>
      <c r="BZ84" s="1642"/>
      <c r="CA84" s="1642"/>
      <c r="CB84" s="1641"/>
      <c r="CC84" s="1642"/>
      <c r="CD84" s="1642"/>
      <c r="CE84" s="1642"/>
      <c r="CF84" s="1641"/>
      <c r="CG84" s="1642"/>
      <c r="CH84" s="1642"/>
      <c r="CI84" s="1642"/>
      <c r="CJ84" s="1641"/>
      <c r="CK84" s="1642"/>
      <c r="CL84" s="1642"/>
      <c r="CM84" s="1681"/>
      <c r="CN84" s="1672"/>
      <c r="CO84" s="1672"/>
      <c r="CP84" s="1672"/>
      <c r="CQ84" s="1681"/>
      <c r="CR84" s="1672"/>
      <c r="CS84" s="1672"/>
      <c r="CT84" s="1672"/>
      <c r="CU84" s="1681"/>
      <c r="CV84" s="1672"/>
      <c r="CW84" s="1672"/>
      <c r="CX84" s="1672"/>
      <c r="CY84" s="1681"/>
      <c r="CZ84" s="1672"/>
      <c r="DA84" s="1672"/>
      <c r="DB84" s="1672"/>
      <c r="DC84" s="1672"/>
      <c r="DD84" s="1672"/>
      <c r="DE84" s="1672"/>
      <c r="DF84" s="1672"/>
      <c r="DG84" s="1672"/>
      <c r="DH84" s="1672"/>
      <c r="DI84" s="1672"/>
      <c r="DJ84" s="1672"/>
      <c r="DK84" s="1672"/>
      <c r="DL84" s="1672"/>
    </row>
    <row r="85" spans="1:116" ht="12.75" customHeight="1">
      <c r="A85" s="1628" t="s">
        <v>1240</v>
      </c>
      <c r="B85" s="1642"/>
      <c r="C85" s="1642"/>
      <c r="D85" s="1642"/>
      <c r="E85" s="1641"/>
      <c r="F85" s="1642">
        <v>7136</v>
      </c>
      <c r="G85" s="1642">
        <v>15063</v>
      </c>
      <c r="H85" s="1642">
        <f>AU85</f>
        <v>14838</v>
      </c>
      <c r="I85" s="1642">
        <f>AY85</f>
        <v>18669</v>
      </c>
      <c r="J85" s="1642">
        <f t="shared" ref="J85:J107" si="137">BC85</f>
        <v>9267</v>
      </c>
      <c r="K85" s="1681">
        <f t="shared" si="116"/>
        <v>5967</v>
      </c>
      <c r="L85" s="1642"/>
      <c r="M85" s="1642"/>
      <c r="N85" s="1642"/>
      <c r="O85" s="1642"/>
      <c r="P85" s="1642"/>
      <c r="Q85" s="1642"/>
      <c r="R85" s="1642"/>
      <c r="S85" s="1642"/>
      <c r="T85" s="1642"/>
      <c r="U85" s="1642"/>
      <c r="V85" s="1642"/>
      <c r="W85" s="1642"/>
      <c r="X85" s="1642"/>
      <c r="Y85" s="1642"/>
      <c r="Z85" s="1642"/>
      <c r="AA85" s="1642"/>
      <c r="AB85" s="1642"/>
      <c r="AC85" s="1642"/>
      <c r="AD85" s="1642"/>
      <c r="AE85" s="1642"/>
      <c r="AF85" s="1641"/>
      <c r="AG85" s="1642"/>
      <c r="AH85" s="1642"/>
      <c r="AI85" s="1642"/>
      <c r="AJ85" s="1641"/>
      <c r="AK85" s="1642"/>
      <c r="AL85" s="1642"/>
      <c r="AM85" s="1642"/>
      <c r="AN85" s="1641"/>
      <c r="AO85" s="1642"/>
      <c r="AP85" s="1642"/>
      <c r="AQ85" s="1642">
        <f>_fye99</f>
        <v>15063</v>
      </c>
      <c r="AR85" s="1641"/>
      <c r="AS85" s="1642">
        <v>20060</v>
      </c>
      <c r="AT85" s="1642">
        <v>18888</v>
      </c>
      <c r="AU85" s="1642">
        <v>14838</v>
      </c>
      <c r="AV85" s="1641">
        <v>17429</v>
      </c>
      <c r="AW85" s="1642">
        <v>20591</v>
      </c>
      <c r="AX85" s="1642">
        <v>18847</v>
      </c>
      <c r="AY85" s="1642">
        <v>18669</v>
      </c>
      <c r="AZ85" s="1641">
        <v>16308</v>
      </c>
      <c r="BA85" s="1642">
        <v>16930</v>
      </c>
      <c r="BB85" s="1642">
        <v>11388</v>
      </c>
      <c r="BC85" s="1642">
        <v>9267</v>
      </c>
      <c r="BD85" s="1641">
        <v>10606</v>
      </c>
      <c r="BE85" s="1642">
        <v>10083</v>
      </c>
      <c r="BF85" s="1642">
        <v>7499</v>
      </c>
      <c r="BG85" s="1642">
        <v>5967</v>
      </c>
      <c r="BH85" s="1641">
        <v>6320</v>
      </c>
      <c r="BI85" s="1642">
        <v>4439</v>
      </c>
      <c r="BJ85" s="1642">
        <v>3271</v>
      </c>
      <c r="BK85" s="1642">
        <v>3593</v>
      </c>
      <c r="BL85" s="1641">
        <v>3716</v>
      </c>
      <c r="BM85" s="1642">
        <v>8687</v>
      </c>
      <c r="BN85" s="1642">
        <v>5048</v>
      </c>
      <c r="BO85" s="1642">
        <v>7141</v>
      </c>
      <c r="BP85" s="1641">
        <v>8436</v>
      </c>
      <c r="BQ85" s="1642">
        <v>10326</v>
      </c>
      <c r="BR85" s="1642">
        <v>11529</v>
      </c>
      <c r="BS85" s="1642">
        <v>7715</v>
      </c>
      <c r="BT85" s="1641">
        <v>6604</v>
      </c>
      <c r="BU85" s="1634">
        <v>3152</v>
      </c>
      <c r="BV85" s="1634">
        <v>2064</v>
      </c>
      <c r="BW85" s="1634">
        <v>2954</v>
      </c>
      <c r="BX85" s="1633">
        <v>3712</v>
      </c>
      <c r="BY85" s="1634">
        <v>9331</v>
      </c>
      <c r="BZ85" s="1634">
        <v>7297</v>
      </c>
      <c r="CA85" s="1634">
        <v>4993</v>
      </c>
      <c r="CB85" s="1633">
        <v>13459</v>
      </c>
      <c r="CC85" s="1634">
        <v>5440</v>
      </c>
      <c r="CD85" s="1634">
        <v>5443</v>
      </c>
      <c r="CE85" s="1634">
        <v>7205</v>
      </c>
      <c r="CF85" s="1633">
        <v>7129</v>
      </c>
      <c r="CG85" s="1634">
        <v>7874</v>
      </c>
      <c r="CH85" s="1634">
        <v>5810</v>
      </c>
      <c r="CI85" s="1634">
        <v>7542</v>
      </c>
      <c r="CJ85" s="1633">
        <v>11823</v>
      </c>
      <c r="CK85" s="1634">
        <v>6055</v>
      </c>
      <c r="CL85" s="1634">
        <v>8630</v>
      </c>
      <c r="CM85" s="1648">
        <v>4849</v>
      </c>
      <c r="CN85" s="1649">
        <v>3121</v>
      </c>
      <c r="CO85" s="1649">
        <v>5912</v>
      </c>
      <c r="CP85" s="1649">
        <v>6335</v>
      </c>
      <c r="CQ85" s="1648">
        <v>4369</v>
      </c>
      <c r="CR85" s="1649">
        <v>10888</v>
      </c>
      <c r="CS85" s="1649">
        <v>7961</v>
      </c>
      <c r="CT85" s="1649">
        <v>8202</v>
      </c>
      <c r="CU85" s="1648">
        <v>3933</v>
      </c>
      <c r="CV85" s="1649">
        <v>2152</v>
      </c>
      <c r="CW85" s="1649">
        <v>2283</v>
      </c>
      <c r="CX85" s="1649">
        <v>1603</v>
      </c>
      <c r="CY85" s="1648">
        <v>2735</v>
      </c>
      <c r="CZ85" s="1649">
        <v>4439</v>
      </c>
      <c r="DA85" s="1649">
        <v>4206</v>
      </c>
      <c r="DB85" s="1649">
        <v>7264</v>
      </c>
      <c r="DC85" s="1649">
        <v>6489</v>
      </c>
      <c r="DD85" s="1649">
        <v>6265</v>
      </c>
      <c r="DE85" s="1649">
        <v>6803</v>
      </c>
      <c r="DF85" s="1649">
        <v>3852</v>
      </c>
      <c r="DG85" s="1649">
        <v>2645</v>
      </c>
      <c r="DH85" s="1649">
        <v>3707</v>
      </c>
      <c r="DI85" s="1649">
        <v>1153</v>
      </c>
      <c r="DJ85" s="1649">
        <v>2180</v>
      </c>
      <c r="DK85" s="1649">
        <v>3453</v>
      </c>
      <c r="DL85" s="1649">
        <v>6323</v>
      </c>
    </row>
    <row r="86" spans="1:116" ht="12.75" customHeight="1">
      <c r="A86" s="1628" t="s">
        <v>623</v>
      </c>
      <c r="B86" s="1642"/>
      <c r="C86" s="1642"/>
      <c r="D86" s="1642"/>
      <c r="E86" s="1641"/>
      <c r="F86" s="1642">
        <v>10386</v>
      </c>
      <c r="G86" s="1642">
        <v>10878</v>
      </c>
      <c r="H86" s="1642">
        <f>AU86</f>
        <v>13965</v>
      </c>
      <c r="I86" s="1642">
        <f>AY86</f>
        <v>13947</v>
      </c>
      <c r="J86" s="1642">
        <f t="shared" si="137"/>
        <v>12642</v>
      </c>
      <c r="K86" s="1681">
        <f t="shared" si="116"/>
        <v>14652</v>
      </c>
      <c r="L86" s="1642"/>
      <c r="M86" s="1642"/>
      <c r="N86" s="1642"/>
      <c r="O86" s="1642"/>
      <c r="P86" s="1642"/>
      <c r="Q86" s="1642"/>
      <c r="R86" s="1642"/>
      <c r="S86" s="1642"/>
      <c r="T86" s="1642"/>
      <c r="U86" s="1642"/>
      <c r="V86" s="1642"/>
      <c r="W86" s="1642"/>
      <c r="X86" s="1642"/>
      <c r="Y86" s="1642"/>
      <c r="Z86" s="1642"/>
      <c r="AA86" s="1642"/>
      <c r="AB86" s="1642"/>
      <c r="AC86" s="1642"/>
      <c r="AD86" s="1642"/>
      <c r="AE86" s="1642"/>
      <c r="AF86" s="1641"/>
      <c r="AG86" s="1642"/>
      <c r="AH86" s="1642"/>
      <c r="AI86" s="1642"/>
      <c r="AJ86" s="1641"/>
      <c r="AK86" s="1642"/>
      <c r="AL86" s="1642"/>
      <c r="AM86" s="1642"/>
      <c r="AN86" s="1641"/>
      <c r="AO86" s="1642"/>
      <c r="AP86" s="1642"/>
      <c r="AQ86" s="1642">
        <f>_fye99</f>
        <v>10878</v>
      </c>
      <c r="AR86" s="1641"/>
      <c r="AS86" s="1642">
        <v>13275</v>
      </c>
      <c r="AT86" s="1642">
        <v>14927</v>
      </c>
      <c r="AU86" s="1642">
        <v>13965</v>
      </c>
      <c r="AV86" s="1641">
        <v>12610</v>
      </c>
      <c r="AW86" s="1642">
        <v>11740</v>
      </c>
      <c r="AX86" s="1642">
        <v>11945</v>
      </c>
      <c r="AY86" s="1642">
        <v>13947</v>
      </c>
      <c r="AZ86" s="1641">
        <v>12949</v>
      </c>
      <c r="BA86" s="1642">
        <v>12945</v>
      </c>
      <c r="BB86" s="1642">
        <v>14122</v>
      </c>
      <c r="BC86" s="1642">
        <v>12642</v>
      </c>
      <c r="BD86" s="1641">
        <v>12545</v>
      </c>
      <c r="BE86" s="1642">
        <v>12561</v>
      </c>
      <c r="BF86" s="1642">
        <v>12636</v>
      </c>
      <c r="BG86" s="1642">
        <v>14652</v>
      </c>
      <c r="BH86" s="1641">
        <v>12647</v>
      </c>
      <c r="BI86" s="1642">
        <v>12437</v>
      </c>
      <c r="BJ86" s="1642">
        <v>13291</v>
      </c>
      <c r="BK86" s="1642">
        <v>13177</v>
      </c>
      <c r="BL86" s="1641">
        <v>13202</v>
      </c>
      <c r="BM86" s="1642">
        <v>12767</v>
      </c>
      <c r="BN86" s="1642">
        <v>12760</v>
      </c>
      <c r="BO86" s="1642">
        <v>12351</v>
      </c>
      <c r="BP86" s="1641">
        <v>14442</v>
      </c>
      <c r="BQ86" s="1642">
        <v>14335</v>
      </c>
      <c r="BR86" s="1642">
        <v>14501</v>
      </c>
      <c r="BS86" s="1642">
        <v>14320</v>
      </c>
      <c r="BT86" s="1641">
        <v>13309</v>
      </c>
      <c r="BU86" s="1634">
        <v>13542</v>
      </c>
      <c r="BV86" s="1634">
        <v>14244</v>
      </c>
      <c r="BW86" s="1634">
        <v>14462</v>
      </c>
      <c r="BX86" s="1633">
        <v>13661</v>
      </c>
      <c r="BY86" s="1634">
        <v>13299</v>
      </c>
      <c r="BZ86" s="1634">
        <v>13715</v>
      </c>
      <c r="CA86" s="1634">
        <v>13814</v>
      </c>
      <c r="CB86" s="1633">
        <v>14403</v>
      </c>
      <c r="CC86" s="1634">
        <v>14685</v>
      </c>
      <c r="CD86" s="1634">
        <v>14643</v>
      </c>
      <c r="CE86" s="1634">
        <v>15223</v>
      </c>
      <c r="CF86" s="1633">
        <v>14569</v>
      </c>
      <c r="CG86" s="1634">
        <v>16905</v>
      </c>
      <c r="CH86" s="1634">
        <v>16092</v>
      </c>
      <c r="CI86" s="1634">
        <v>15702</v>
      </c>
      <c r="CJ86" s="1633">
        <v>13810</v>
      </c>
      <c r="CK86" s="1634">
        <v>14238</v>
      </c>
      <c r="CL86" s="1634">
        <v>14486</v>
      </c>
      <c r="CM86" s="1648">
        <v>14689</v>
      </c>
      <c r="CN86" s="1649">
        <v>13231</v>
      </c>
      <c r="CO86" s="1649">
        <v>13973</v>
      </c>
      <c r="CP86" s="1649">
        <v>16003</v>
      </c>
      <c r="CQ86" s="1648">
        <v>16182</v>
      </c>
      <c r="CR86" s="1649">
        <v>14030</v>
      </c>
      <c r="CS86" s="1649">
        <v>14671</v>
      </c>
      <c r="CT86" s="1649">
        <v>15622</v>
      </c>
      <c r="CU86" s="1648">
        <v>16453</v>
      </c>
      <c r="CV86" s="1649">
        <v>14984</v>
      </c>
      <c r="CW86" s="1649">
        <v>16521</v>
      </c>
      <c r="CX86" s="1649">
        <v>17055</v>
      </c>
      <c r="CY86" s="1648">
        <v>16680</v>
      </c>
      <c r="CZ86" s="1649">
        <v>15189</v>
      </c>
      <c r="DA86" s="1649">
        <v>16953</v>
      </c>
      <c r="DB86" s="1649">
        <v>17721</v>
      </c>
      <c r="DC86" s="1649">
        <v>19362</v>
      </c>
      <c r="DD86" s="1649">
        <v>18118</v>
      </c>
      <c r="DE86" s="1649">
        <v>19090</v>
      </c>
      <c r="DF86" s="1649">
        <v>18002</v>
      </c>
      <c r="DG86" s="1649">
        <v>19593</v>
      </c>
      <c r="DH86" s="1649">
        <v>14826</v>
      </c>
      <c r="DI86" s="1649">
        <v>17825</v>
      </c>
      <c r="DJ86" s="1649">
        <v>18434</v>
      </c>
      <c r="DK86" s="1649">
        <v>21232</v>
      </c>
      <c r="DL86" s="1649">
        <v>17052</v>
      </c>
    </row>
    <row r="87" spans="1:116">
      <c r="A87" s="1628" t="s">
        <v>624</v>
      </c>
      <c r="B87" s="1642"/>
      <c r="C87" s="1642"/>
      <c r="D87" s="1642"/>
      <c r="E87" s="1641"/>
      <c r="F87" s="1642"/>
      <c r="G87" s="1642"/>
      <c r="H87" s="1642"/>
      <c r="I87" s="1642"/>
      <c r="J87" s="1642">
        <f t="shared" si="137"/>
        <v>1007</v>
      </c>
      <c r="K87" s="1681">
        <f t="shared" si="116"/>
        <v>76</v>
      </c>
      <c r="L87" s="1642"/>
      <c r="M87" s="1642"/>
      <c r="N87" s="1642"/>
      <c r="O87" s="1642"/>
      <c r="P87" s="1642"/>
      <c r="Q87" s="1642"/>
      <c r="R87" s="1642"/>
      <c r="S87" s="1642"/>
      <c r="T87" s="1642"/>
      <c r="U87" s="1642"/>
      <c r="V87" s="1642"/>
      <c r="W87" s="1642"/>
      <c r="X87" s="1642"/>
      <c r="Y87" s="1642"/>
      <c r="Z87" s="1642"/>
      <c r="AA87" s="1642"/>
      <c r="AB87" s="1642"/>
      <c r="AC87" s="1642"/>
      <c r="AD87" s="1642"/>
      <c r="AE87" s="1642"/>
      <c r="AF87" s="1641"/>
      <c r="AG87" s="1642"/>
      <c r="AH87" s="1642"/>
      <c r="AI87" s="1642"/>
      <c r="AJ87" s="1641"/>
      <c r="AK87" s="1642"/>
      <c r="AL87" s="1642"/>
      <c r="AM87" s="1642"/>
      <c r="AN87" s="1641"/>
      <c r="AO87" s="1642"/>
      <c r="AP87" s="1642"/>
      <c r="AQ87" s="1642"/>
      <c r="AR87" s="1641"/>
      <c r="AS87" s="1642"/>
      <c r="AT87" s="1642"/>
      <c r="AU87" s="1642"/>
      <c r="AV87" s="1641"/>
      <c r="AW87" s="1642"/>
      <c r="AX87" s="1642"/>
      <c r="AY87" s="1642"/>
      <c r="AZ87" s="1641">
        <v>1234</v>
      </c>
      <c r="BA87" s="1642">
        <v>1166</v>
      </c>
      <c r="BB87" s="1642">
        <v>1091</v>
      </c>
      <c r="BC87" s="1642">
        <v>1007</v>
      </c>
      <c r="BD87" s="1641">
        <v>999</v>
      </c>
      <c r="BE87" s="1642">
        <v>1082</v>
      </c>
      <c r="BF87" s="1642">
        <v>24</v>
      </c>
      <c r="BG87" s="1642">
        <v>76</v>
      </c>
      <c r="BH87" s="1641">
        <v>69</v>
      </c>
      <c r="BI87" s="1642">
        <v>570</v>
      </c>
      <c r="BJ87" s="1642">
        <v>595</v>
      </c>
      <c r="BK87" s="1642">
        <v>525</v>
      </c>
      <c r="BL87" s="1641">
        <v>400</v>
      </c>
      <c r="BM87" s="1642">
        <v>0</v>
      </c>
      <c r="BN87" s="1642">
        <v>0</v>
      </c>
      <c r="BO87" s="1642">
        <v>0</v>
      </c>
      <c r="BP87" s="1641">
        <v>0</v>
      </c>
      <c r="BQ87" s="1642">
        <v>2080</v>
      </c>
      <c r="BR87" s="1642">
        <v>2065</v>
      </c>
      <c r="BS87" s="1642">
        <v>2154</v>
      </c>
      <c r="BT87" s="1641">
        <v>0</v>
      </c>
      <c r="BU87" s="1634">
        <v>0</v>
      </c>
      <c r="BV87" s="1634">
        <v>0</v>
      </c>
      <c r="BW87" s="1634">
        <v>0</v>
      </c>
      <c r="BX87" s="1633">
        <v>0</v>
      </c>
      <c r="BY87" s="1634">
        <v>0</v>
      </c>
      <c r="BZ87" s="1634">
        <v>0</v>
      </c>
      <c r="CA87" s="1634">
        <v>0</v>
      </c>
      <c r="CB87" s="1633">
        <v>0</v>
      </c>
      <c r="CC87" s="1634"/>
      <c r="CD87" s="1634">
        <v>0</v>
      </c>
      <c r="CE87" s="1634"/>
      <c r="CF87" s="1641"/>
      <c r="CG87" s="1642"/>
      <c r="CH87" s="1642"/>
      <c r="CI87" s="1642"/>
      <c r="CJ87" s="1641"/>
      <c r="CK87" s="1642"/>
      <c r="CL87" s="1642"/>
      <c r="CM87" s="1681"/>
      <c r="CN87" s="1672"/>
      <c r="CO87" s="1672"/>
      <c r="CP87" s="1672"/>
      <c r="CQ87" s="1681"/>
      <c r="CR87" s="1672"/>
      <c r="CS87" s="1672"/>
      <c r="CT87" s="1672"/>
      <c r="CU87" s="1681"/>
      <c r="CV87" s="1672"/>
      <c r="CW87" s="1672"/>
      <c r="CX87" s="1672"/>
      <c r="CY87" s="1681"/>
      <c r="CZ87" s="1672"/>
      <c r="DA87" s="1672"/>
      <c r="DB87" s="1672"/>
      <c r="DC87" s="1672"/>
      <c r="DD87" s="1672"/>
      <c r="DE87" s="1672"/>
      <c r="DF87" s="1672"/>
      <c r="DG87" s="1649">
        <v>24</v>
      </c>
      <c r="DH87" s="1649">
        <v>25</v>
      </c>
      <c r="DI87" s="1649">
        <v>4</v>
      </c>
      <c r="DJ87" s="1649"/>
      <c r="DK87" s="1649"/>
      <c r="DL87" s="1649"/>
    </row>
    <row r="88" spans="1:116" ht="12.75" customHeight="1">
      <c r="A88" s="1628" t="s">
        <v>955</v>
      </c>
      <c r="B88" s="1642"/>
      <c r="C88" s="1642"/>
      <c r="D88" s="1642"/>
      <c r="E88" s="1641"/>
      <c r="F88" s="1642">
        <v>3316</v>
      </c>
      <c r="G88" s="1642">
        <v>3809</v>
      </c>
      <c r="H88" s="1642">
        <f t="shared" ref="H88:H107" si="138">AU88</f>
        <v>5433</v>
      </c>
      <c r="I88" s="1642">
        <f t="shared" ref="I88:I107" si="139">AY88</f>
        <v>5404</v>
      </c>
      <c r="J88" s="1642">
        <f t="shared" si="137"/>
        <v>5013</v>
      </c>
      <c r="K88" s="1681">
        <f t="shared" si="116"/>
        <v>5885</v>
      </c>
      <c r="L88" s="1642"/>
      <c r="M88" s="1642"/>
      <c r="N88" s="1642"/>
      <c r="O88" s="1642"/>
      <c r="P88" s="1642"/>
      <c r="Q88" s="1642"/>
      <c r="R88" s="1642"/>
      <c r="S88" s="1642"/>
      <c r="T88" s="1642"/>
      <c r="U88" s="1642"/>
      <c r="V88" s="1642"/>
      <c r="W88" s="1642"/>
      <c r="X88" s="1642"/>
      <c r="Y88" s="1642"/>
      <c r="Z88" s="1642"/>
      <c r="AA88" s="1642"/>
      <c r="AB88" s="1642"/>
      <c r="AC88" s="1642"/>
      <c r="AD88" s="1642"/>
      <c r="AE88" s="1642"/>
      <c r="AF88" s="1641"/>
      <c r="AG88" s="1642"/>
      <c r="AH88" s="1642"/>
      <c r="AI88" s="1642"/>
      <c r="AJ88" s="1641"/>
      <c r="AK88" s="1642"/>
      <c r="AL88" s="1642"/>
      <c r="AM88" s="1642"/>
      <c r="AN88" s="1641"/>
      <c r="AO88" s="1642"/>
      <c r="AP88" s="1642"/>
      <c r="AQ88" s="1642">
        <f>_fye99</f>
        <v>3809</v>
      </c>
      <c r="AR88" s="1641"/>
      <c r="AS88" s="1642">
        <v>4782</v>
      </c>
      <c r="AT88" s="1642">
        <v>5193</v>
      </c>
      <c r="AU88" s="1642">
        <v>5433</v>
      </c>
      <c r="AV88" s="1641">
        <v>5376</v>
      </c>
      <c r="AW88" s="1642">
        <v>5433</v>
      </c>
      <c r="AX88" s="1642">
        <v>5450</v>
      </c>
      <c r="AY88" s="1642">
        <v>5404</v>
      </c>
      <c r="AZ88" s="1641">
        <v>5641</v>
      </c>
      <c r="BA88" s="1642">
        <v>5575</v>
      </c>
      <c r="BB88" s="1642">
        <v>5317</v>
      </c>
      <c r="BC88" s="1642">
        <v>5013</v>
      </c>
      <c r="BD88" s="1641">
        <v>5348</v>
      </c>
      <c r="BE88" s="1642">
        <v>5636</v>
      </c>
      <c r="BF88" s="1642">
        <v>5716</v>
      </c>
      <c r="BG88" s="1642">
        <v>5885</v>
      </c>
      <c r="BH88" s="1641">
        <v>5931</v>
      </c>
      <c r="BI88" s="1642">
        <v>5938</v>
      </c>
      <c r="BJ88" s="1642">
        <v>5967</v>
      </c>
      <c r="BK88" s="1642">
        <v>5834</v>
      </c>
      <c r="BL88" s="1641">
        <v>5841</v>
      </c>
      <c r="BM88" s="1642">
        <v>5988</v>
      </c>
      <c r="BN88" s="1642">
        <v>5831</v>
      </c>
      <c r="BO88" s="1642">
        <v>5571</v>
      </c>
      <c r="BP88" s="1641">
        <v>8034</v>
      </c>
      <c r="BQ88" s="1642">
        <v>7598</v>
      </c>
      <c r="BR88" s="1642">
        <v>7218</v>
      </c>
      <c r="BS88" s="1642">
        <v>8091</v>
      </c>
      <c r="BT88" s="1641">
        <v>7993</v>
      </c>
      <c r="BU88" s="1634">
        <v>7758</v>
      </c>
      <c r="BV88" s="1634">
        <v>7850</v>
      </c>
      <c r="BW88" s="1634">
        <v>7325</v>
      </c>
      <c r="BX88" s="1633">
        <v>7371</v>
      </c>
      <c r="BY88" s="1634">
        <v>7270</v>
      </c>
      <c r="BZ88" s="1634">
        <v>7263</v>
      </c>
      <c r="CA88" s="1634">
        <v>7099</v>
      </c>
      <c r="CB88" s="1633">
        <v>7207</v>
      </c>
      <c r="CC88" s="1634">
        <v>6243</v>
      </c>
      <c r="CD88" s="1634">
        <v>7219</v>
      </c>
      <c r="CE88" s="1634">
        <v>6708</v>
      </c>
      <c r="CF88" s="1633">
        <v>6365</v>
      </c>
      <c r="CG88" s="1634">
        <v>7055</v>
      </c>
      <c r="CH88" s="1634">
        <v>6865</v>
      </c>
      <c r="CI88" s="1634">
        <v>7353</v>
      </c>
      <c r="CJ88" s="1633">
        <v>7114</v>
      </c>
      <c r="CK88" s="1634">
        <v>7081</v>
      </c>
      <c r="CL88" s="1634">
        <v>11520</v>
      </c>
      <c r="CM88" s="1648">
        <v>11223</v>
      </c>
      <c r="CN88" s="1649">
        <v>6561</v>
      </c>
      <c r="CO88" s="1649">
        <v>6468</v>
      </c>
      <c r="CP88" s="1649">
        <v>6432</v>
      </c>
      <c r="CQ88" s="1648">
        <v>6405</v>
      </c>
      <c r="CR88" s="1649">
        <v>6571</v>
      </c>
      <c r="CS88" s="1649">
        <v>6559</v>
      </c>
      <c r="CT88" s="1649">
        <v>6467</v>
      </c>
      <c r="CU88" s="1648">
        <v>6664</v>
      </c>
      <c r="CV88" s="1649">
        <v>8217</v>
      </c>
      <c r="CW88" s="1649">
        <v>7689</v>
      </c>
      <c r="CX88" s="1649">
        <v>8231</v>
      </c>
      <c r="CY88" s="1648">
        <v>8649</v>
      </c>
      <c r="CZ88" s="1649">
        <f>572+8513</f>
        <v>9085</v>
      </c>
      <c r="DA88" s="1649">
        <f>457+9029</f>
        <v>9486</v>
      </c>
      <c r="DB88" s="1649">
        <f>461+9046</f>
        <v>9507</v>
      </c>
      <c r="DC88" s="1649">
        <f>463+8738</f>
        <v>9201</v>
      </c>
      <c r="DD88" s="1649">
        <f>452+8477</f>
        <v>8929</v>
      </c>
      <c r="DE88" s="1649">
        <v>8515</v>
      </c>
      <c r="DF88" s="1649">
        <v>8444</v>
      </c>
      <c r="DG88" s="1649">
        <f>8078</f>
        <v>8078</v>
      </c>
      <c r="DH88" s="1649">
        <v>8106</v>
      </c>
      <c r="DI88" s="1649">
        <v>8776</v>
      </c>
      <c r="DJ88" s="1649">
        <v>8316</v>
      </c>
      <c r="DK88" s="1649">
        <v>8352</v>
      </c>
      <c r="DL88" s="1649">
        <v>8240</v>
      </c>
    </row>
    <row r="89" spans="1:116" ht="12.75" customHeight="1">
      <c r="A89" s="954" t="s">
        <v>1243</v>
      </c>
      <c r="B89" s="1693"/>
      <c r="C89" s="1693"/>
      <c r="D89" s="1693"/>
      <c r="E89" s="1694"/>
      <c r="F89" s="1693">
        <v>20838</v>
      </c>
      <c r="G89" s="1693">
        <v>29750</v>
      </c>
      <c r="H89" s="1693">
        <f t="shared" si="138"/>
        <v>34236</v>
      </c>
      <c r="I89" s="1693">
        <f t="shared" si="139"/>
        <v>38020</v>
      </c>
      <c r="J89" s="1693">
        <f t="shared" si="137"/>
        <v>27929</v>
      </c>
      <c r="K89" s="1681">
        <f t="shared" si="116"/>
        <v>26580</v>
      </c>
      <c r="L89" s="1693"/>
      <c r="M89" s="1693"/>
      <c r="N89" s="1693"/>
      <c r="O89" s="1693"/>
      <c r="P89" s="1693"/>
      <c r="Q89" s="1693"/>
      <c r="R89" s="1693"/>
      <c r="S89" s="1693"/>
      <c r="T89" s="1693"/>
      <c r="U89" s="1693"/>
      <c r="V89" s="1693"/>
      <c r="W89" s="1693"/>
      <c r="X89" s="1693"/>
      <c r="Y89" s="1693"/>
      <c r="Z89" s="1693"/>
      <c r="AA89" s="1693"/>
      <c r="AB89" s="1693"/>
      <c r="AC89" s="1693"/>
      <c r="AD89" s="1693"/>
      <c r="AE89" s="1693"/>
      <c r="AF89" s="1694"/>
      <c r="AG89" s="1693"/>
      <c r="AH89" s="1693"/>
      <c r="AI89" s="1693"/>
      <c r="AJ89" s="1694"/>
      <c r="AK89" s="1693"/>
      <c r="AL89" s="1693"/>
      <c r="AM89" s="1693"/>
      <c r="AN89" s="1694"/>
      <c r="AO89" s="1693"/>
      <c r="AP89" s="1693"/>
      <c r="AQ89" s="1693">
        <f>_fye99</f>
        <v>29750</v>
      </c>
      <c r="AR89" s="1694"/>
      <c r="AS89" s="1693">
        <v>38117</v>
      </c>
      <c r="AT89" s="1693">
        <v>39008</v>
      </c>
      <c r="AU89" s="1693">
        <v>34236</v>
      </c>
      <c r="AV89" s="1694">
        <f t="shared" ref="AV89:CA89" si="140">SUM(AV85:AV88)</f>
        <v>35415</v>
      </c>
      <c r="AW89" s="1693">
        <f t="shared" si="140"/>
        <v>37764</v>
      </c>
      <c r="AX89" s="1693">
        <f t="shared" si="140"/>
        <v>36242</v>
      </c>
      <c r="AY89" s="1693">
        <f t="shared" si="140"/>
        <v>38020</v>
      </c>
      <c r="AZ89" s="1694">
        <f t="shared" si="140"/>
        <v>36132</v>
      </c>
      <c r="BA89" s="1693">
        <f t="shared" si="140"/>
        <v>36616</v>
      </c>
      <c r="BB89" s="1693">
        <f t="shared" si="140"/>
        <v>31918</v>
      </c>
      <c r="BC89" s="1693">
        <f t="shared" si="140"/>
        <v>27929</v>
      </c>
      <c r="BD89" s="1694">
        <f t="shared" si="140"/>
        <v>29498</v>
      </c>
      <c r="BE89" s="1693">
        <f t="shared" si="140"/>
        <v>29362</v>
      </c>
      <c r="BF89" s="1693">
        <f t="shared" si="140"/>
        <v>25875</v>
      </c>
      <c r="BG89" s="1693">
        <f t="shared" si="140"/>
        <v>26580</v>
      </c>
      <c r="BH89" s="1694">
        <f t="shared" si="140"/>
        <v>24967</v>
      </c>
      <c r="BI89" s="1693">
        <f t="shared" si="140"/>
        <v>23384</v>
      </c>
      <c r="BJ89" s="1693">
        <f t="shared" si="140"/>
        <v>23124</v>
      </c>
      <c r="BK89" s="1693">
        <f t="shared" si="140"/>
        <v>23129</v>
      </c>
      <c r="BL89" s="1694">
        <f t="shared" si="140"/>
        <v>23159</v>
      </c>
      <c r="BM89" s="1693">
        <f t="shared" si="140"/>
        <v>27442</v>
      </c>
      <c r="BN89" s="1693">
        <f t="shared" si="140"/>
        <v>23639</v>
      </c>
      <c r="BO89" s="1693">
        <f t="shared" si="140"/>
        <v>25063</v>
      </c>
      <c r="BP89" s="1694">
        <f t="shared" si="140"/>
        <v>30912</v>
      </c>
      <c r="BQ89" s="1693">
        <f t="shared" si="140"/>
        <v>34339</v>
      </c>
      <c r="BR89" s="1693">
        <f t="shared" si="140"/>
        <v>35313</v>
      </c>
      <c r="BS89" s="1693">
        <f t="shared" si="140"/>
        <v>32280</v>
      </c>
      <c r="BT89" s="1694">
        <f t="shared" si="140"/>
        <v>27906</v>
      </c>
      <c r="BU89" s="1693">
        <f t="shared" si="140"/>
        <v>24452</v>
      </c>
      <c r="BV89" s="1693">
        <f t="shared" si="140"/>
        <v>24158</v>
      </c>
      <c r="BW89" s="1693">
        <f t="shared" si="140"/>
        <v>24741</v>
      </c>
      <c r="BX89" s="1694">
        <f t="shared" si="140"/>
        <v>24744</v>
      </c>
      <c r="BY89" s="1693">
        <f t="shared" si="140"/>
        <v>29900</v>
      </c>
      <c r="BZ89" s="1693">
        <f t="shared" si="140"/>
        <v>28275</v>
      </c>
      <c r="CA89" s="1693">
        <f t="shared" si="140"/>
        <v>25906</v>
      </c>
      <c r="CB89" s="1694">
        <f t="shared" ref="CB89:CV89" si="141">SUM(CB85:CB88)</f>
        <v>35069</v>
      </c>
      <c r="CC89" s="1693">
        <f t="shared" si="141"/>
        <v>26368</v>
      </c>
      <c r="CD89" s="1693">
        <f t="shared" si="141"/>
        <v>27305</v>
      </c>
      <c r="CE89" s="1693">
        <f t="shared" si="141"/>
        <v>29136</v>
      </c>
      <c r="CF89" s="1694">
        <f t="shared" si="141"/>
        <v>28063</v>
      </c>
      <c r="CG89" s="1693">
        <f t="shared" si="141"/>
        <v>31834</v>
      </c>
      <c r="CH89" s="1693">
        <f t="shared" si="141"/>
        <v>28767</v>
      </c>
      <c r="CI89" s="1693">
        <f t="shared" si="141"/>
        <v>30597</v>
      </c>
      <c r="CJ89" s="1694">
        <f t="shared" si="141"/>
        <v>32747</v>
      </c>
      <c r="CK89" s="1693">
        <f t="shared" si="141"/>
        <v>27374</v>
      </c>
      <c r="CL89" s="1693">
        <f t="shared" si="141"/>
        <v>34636</v>
      </c>
      <c r="CM89" s="1695">
        <f t="shared" si="141"/>
        <v>30761</v>
      </c>
      <c r="CN89" s="1267">
        <f t="shared" si="141"/>
        <v>22913</v>
      </c>
      <c r="CO89" s="1267">
        <f t="shared" si="141"/>
        <v>26353</v>
      </c>
      <c r="CP89" s="1267">
        <f t="shared" si="141"/>
        <v>28770</v>
      </c>
      <c r="CQ89" s="1695">
        <f t="shared" si="141"/>
        <v>26956</v>
      </c>
      <c r="CR89" s="1267">
        <f t="shared" si="141"/>
        <v>31489</v>
      </c>
      <c r="CS89" s="1267">
        <f t="shared" si="141"/>
        <v>29191</v>
      </c>
      <c r="CT89" s="1267">
        <f t="shared" si="141"/>
        <v>30291</v>
      </c>
      <c r="CU89" s="1695">
        <f t="shared" si="141"/>
        <v>27050</v>
      </c>
      <c r="CV89" s="1267">
        <f t="shared" si="141"/>
        <v>25353</v>
      </c>
      <c r="CW89" s="1267">
        <f t="shared" ref="CW89:DB89" si="142">SUM(CW85:CW88)</f>
        <v>26493</v>
      </c>
      <c r="CX89" s="1267">
        <f t="shared" si="142"/>
        <v>26889</v>
      </c>
      <c r="CY89" s="1695">
        <f t="shared" si="142"/>
        <v>28064</v>
      </c>
      <c r="CZ89" s="1267">
        <f t="shared" si="142"/>
        <v>28713</v>
      </c>
      <c r="DA89" s="1267">
        <f t="shared" si="142"/>
        <v>30645</v>
      </c>
      <c r="DB89" s="1267">
        <f t="shared" si="142"/>
        <v>34492</v>
      </c>
      <c r="DC89" s="1267">
        <f t="shared" ref="DC89:DH89" si="143">SUM(DC85:DC88)</f>
        <v>35052</v>
      </c>
      <c r="DD89" s="1267">
        <f t="shared" si="143"/>
        <v>33312</v>
      </c>
      <c r="DE89" s="1267">
        <f t="shared" si="143"/>
        <v>34408</v>
      </c>
      <c r="DF89" s="1267">
        <f t="shared" si="143"/>
        <v>30298</v>
      </c>
      <c r="DG89" s="1267">
        <f t="shared" si="143"/>
        <v>30340</v>
      </c>
      <c r="DH89" s="1267">
        <f t="shared" si="143"/>
        <v>26664</v>
      </c>
      <c r="DI89" s="1267">
        <f t="shared" ref="DI89:DJ89" si="144">SUM(DI85:DI88)</f>
        <v>27758</v>
      </c>
      <c r="DJ89" s="1267">
        <f t="shared" si="144"/>
        <v>28930</v>
      </c>
      <c r="DK89" s="1267">
        <f t="shared" ref="DK89:DL89" si="145">SUM(DK85:DK88)</f>
        <v>33037</v>
      </c>
      <c r="DL89" s="1267">
        <f t="shared" si="145"/>
        <v>31615</v>
      </c>
    </row>
    <row r="90" spans="1:116" ht="12.75" hidden="1" customHeight="1">
      <c r="A90" s="1629" t="s">
        <v>1237</v>
      </c>
      <c r="B90" s="1658"/>
      <c r="C90" s="1658"/>
      <c r="D90" s="1658"/>
      <c r="E90" s="1659"/>
      <c r="F90" s="1658">
        <f>F89-SUM(F85:F88)</f>
        <v>0</v>
      </c>
      <c r="G90" s="1658">
        <f>G89-SUM(G85:G88)</f>
        <v>0</v>
      </c>
      <c r="H90" s="1642">
        <f t="shared" si="138"/>
        <v>0</v>
      </c>
      <c r="I90" s="1642">
        <f t="shared" si="139"/>
        <v>0</v>
      </c>
      <c r="J90" s="1642">
        <f t="shared" si="137"/>
        <v>0</v>
      </c>
      <c r="K90" s="1681">
        <f t="shared" si="116"/>
        <v>0</v>
      </c>
      <c r="L90" s="1658"/>
      <c r="M90" s="1658"/>
      <c r="N90" s="1658"/>
      <c r="O90" s="1658"/>
      <c r="P90" s="1658"/>
      <c r="Q90" s="1658"/>
      <c r="R90" s="1658"/>
      <c r="S90" s="1658"/>
      <c r="T90" s="1658"/>
      <c r="U90" s="1658"/>
      <c r="V90" s="1658"/>
      <c r="W90" s="1658"/>
      <c r="X90" s="1658"/>
      <c r="Y90" s="1658"/>
      <c r="Z90" s="1658"/>
      <c r="AA90" s="1658"/>
      <c r="AB90" s="1658"/>
      <c r="AC90" s="1658"/>
      <c r="AD90" s="1658"/>
      <c r="AE90" s="1658"/>
      <c r="AF90" s="1659">
        <f t="shared" ref="AF90:BK90" si="146">AF89-SUM(AF85:AF88)</f>
        <v>0</v>
      </c>
      <c r="AG90" s="1658">
        <f t="shared" si="146"/>
        <v>0</v>
      </c>
      <c r="AH90" s="1658">
        <f t="shared" si="146"/>
        <v>0</v>
      </c>
      <c r="AI90" s="1658">
        <f t="shared" si="146"/>
        <v>0</v>
      </c>
      <c r="AJ90" s="1659">
        <f t="shared" si="146"/>
        <v>0</v>
      </c>
      <c r="AK90" s="1658">
        <f t="shared" si="146"/>
        <v>0</v>
      </c>
      <c r="AL90" s="1658">
        <f t="shared" si="146"/>
        <v>0</v>
      </c>
      <c r="AM90" s="1658">
        <f t="shared" si="146"/>
        <v>0</v>
      </c>
      <c r="AN90" s="1659">
        <f t="shared" si="146"/>
        <v>0</v>
      </c>
      <c r="AO90" s="1658">
        <f t="shared" si="146"/>
        <v>0</v>
      </c>
      <c r="AP90" s="1658">
        <f t="shared" si="146"/>
        <v>0</v>
      </c>
      <c r="AQ90" s="1658">
        <f t="shared" si="146"/>
        <v>0</v>
      </c>
      <c r="AR90" s="1659">
        <f t="shared" si="146"/>
        <v>0</v>
      </c>
      <c r="AS90" s="1658">
        <f t="shared" si="146"/>
        <v>0</v>
      </c>
      <c r="AT90" s="1658">
        <f t="shared" si="146"/>
        <v>0</v>
      </c>
      <c r="AU90" s="1658">
        <f t="shared" si="146"/>
        <v>0</v>
      </c>
      <c r="AV90" s="1659">
        <f t="shared" si="146"/>
        <v>0</v>
      </c>
      <c r="AW90" s="1658">
        <f t="shared" si="146"/>
        <v>0</v>
      </c>
      <c r="AX90" s="1658">
        <f t="shared" si="146"/>
        <v>0</v>
      </c>
      <c r="AY90" s="1658">
        <f t="shared" si="146"/>
        <v>0</v>
      </c>
      <c r="AZ90" s="1659">
        <f t="shared" si="146"/>
        <v>0</v>
      </c>
      <c r="BA90" s="1658">
        <f t="shared" si="146"/>
        <v>0</v>
      </c>
      <c r="BB90" s="1658">
        <f t="shared" si="146"/>
        <v>0</v>
      </c>
      <c r="BC90" s="1658">
        <f t="shared" si="146"/>
        <v>0</v>
      </c>
      <c r="BD90" s="1659">
        <f t="shared" si="146"/>
        <v>0</v>
      </c>
      <c r="BE90" s="1658">
        <f t="shared" si="146"/>
        <v>0</v>
      </c>
      <c r="BF90" s="1658">
        <f t="shared" si="146"/>
        <v>0</v>
      </c>
      <c r="BG90" s="1658">
        <f t="shared" si="146"/>
        <v>0</v>
      </c>
      <c r="BH90" s="1659">
        <f t="shared" si="146"/>
        <v>0</v>
      </c>
      <c r="BI90" s="1658">
        <f t="shared" si="146"/>
        <v>0</v>
      </c>
      <c r="BJ90" s="1658">
        <f t="shared" si="146"/>
        <v>0</v>
      </c>
      <c r="BK90" s="1658">
        <f t="shared" si="146"/>
        <v>0</v>
      </c>
      <c r="BL90" s="1659">
        <f t="shared" ref="BL90:CE90" si="147">BL89-SUM(BL85:BL88)</f>
        <v>0</v>
      </c>
      <c r="BM90" s="1658">
        <f t="shared" si="147"/>
        <v>0</v>
      </c>
      <c r="BN90" s="1658">
        <f t="shared" si="147"/>
        <v>0</v>
      </c>
      <c r="BO90" s="1658">
        <f t="shared" si="147"/>
        <v>0</v>
      </c>
      <c r="BP90" s="1659">
        <f t="shared" si="147"/>
        <v>0</v>
      </c>
      <c r="BQ90" s="1658">
        <f t="shared" si="147"/>
        <v>0</v>
      </c>
      <c r="BR90" s="1658">
        <f t="shared" si="147"/>
        <v>0</v>
      </c>
      <c r="BS90" s="1658">
        <f t="shared" si="147"/>
        <v>0</v>
      </c>
      <c r="BT90" s="1659">
        <f t="shared" si="147"/>
        <v>0</v>
      </c>
      <c r="BU90" s="1658">
        <f t="shared" si="147"/>
        <v>0</v>
      </c>
      <c r="BV90" s="1658">
        <f t="shared" si="147"/>
        <v>0</v>
      </c>
      <c r="BW90" s="1658">
        <f t="shared" si="147"/>
        <v>0</v>
      </c>
      <c r="BX90" s="1659">
        <f t="shared" si="147"/>
        <v>0</v>
      </c>
      <c r="BY90" s="1658">
        <f t="shared" si="147"/>
        <v>0</v>
      </c>
      <c r="BZ90" s="1658">
        <f t="shared" si="147"/>
        <v>0</v>
      </c>
      <c r="CA90" s="1658">
        <f t="shared" si="147"/>
        <v>0</v>
      </c>
      <c r="CB90" s="1659">
        <f t="shared" si="147"/>
        <v>0</v>
      </c>
      <c r="CC90" s="1658">
        <f t="shared" si="147"/>
        <v>0</v>
      </c>
      <c r="CD90" s="1658">
        <f t="shared" si="147"/>
        <v>0</v>
      </c>
      <c r="CE90" s="1658">
        <f t="shared" si="147"/>
        <v>0</v>
      </c>
      <c r="CF90" s="1641"/>
      <c r="CG90" s="1642"/>
      <c r="CH90" s="1642"/>
      <c r="CI90" s="1642"/>
      <c r="CJ90" s="1641"/>
      <c r="CK90" s="1642"/>
      <c r="CL90" s="1642"/>
      <c r="CM90" s="1681"/>
      <c r="CN90" s="1672"/>
      <c r="CO90" s="1672"/>
      <c r="CP90" s="1672"/>
      <c r="CQ90" s="1681"/>
      <c r="CR90" s="1672"/>
      <c r="CS90" s="1672"/>
      <c r="CT90" s="1672"/>
      <c r="CU90" s="1681"/>
      <c r="CV90" s="1672"/>
      <c r="CW90" s="1672"/>
      <c r="CX90" s="1672"/>
      <c r="CY90" s="1681"/>
      <c r="CZ90" s="1672"/>
      <c r="DA90" s="1672"/>
      <c r="DB90" s="1672"/>
      <c r="DC90" s="1672"/>
      <c r="DD90" s="1672"/>
      <c r="DE90" s="1672"/>
      <c r="DF90" s="1672"/>
      <c r="DG90" s="1672"/>
      <c r="DH90" s="1672"/>
      <c r="DI90" s="1672"/>
      <c r="DJ90" s="1672"/>
      <c r="DK90" s="1672"/>
      <c r="DL90" s="1672"/>
    </row>
    <row r="91" spans="1:116" ht="12.75" customHeight="1">
      <c r="A91" s="1539" t="s">
        <v>1244</v>
      </c>
      <c r="B91" s="1642"/>
      <c r="C91" s="1642"/>
      <c r="D91" s="1642"/>
      <c r="E91" s="1641"/>
      <c r="F91" s="1642">
        <v>33064</v>
      </c>
      <c r="G91" s="1642">
        <v>32419</v>
      </c>
      <c r="H91" s="1642">
        <f t="shared" si="138"/>
        <v>42491</v>
      </c>
      <c r="I91" s="1642">
        <f t="shared" si="139"/>
        <v>45657</v>
      </c>
      <c r="J91" s="1642">
        <f t="shared" si="137"/>
        <v>44003</v>
      </c>
      <c r="K91" s="1681">
        <f t="shared" si="116"/>
        <v>39413</v>
      </c>
      <c r="L91" s="1642"/>
      <c r="M91" s="1642"/>
      <c r="N91" s="1642"/>
      <c r="O91" s="1642"/>
      <c r="P91" s="1642"/>
      <c r="Q91" s="1642"/>
      <c r="R91" s="1642"/>
      <c r="S91" s="1642"/>
      <c r="T91" s="1642"/>
      <c r="U91" s="1642"/>
      <c r="V91" s="1642"/>
      <c r="W91" s="1642"/>
      <c r="X91" s="1642"/>
      <c r="Y91" s="1642"/>
      <c r="Z91" s="1642"/>
      <c r="AA91" s="1642"/>
      <c r="AB91" s="1642"/>
      <c r="AC91" s="1642"/>
      <c r="AD91" s="1642"/>
      <c r="AE91" s="1642"/>
      <c r="AF91" s="1641"/>
      <c r="AG91" s="1642"/>
      <c r="AH91" s="1642"/>
      <c r="AI91" s="1642"/>
      <c r="AJ91" s="1641"/>
      <c r="AK91" s="1642"/>
      <c r="AL91" s="1642"/>
      <c r="AM91" s="1642"/>
      <c r="AN91" s="1641"/>
      <c r="AO91" s="1642"/>
      <c r="AP91" s="1642"/>
      <c r="AQ91" s="1642">
        <f>_fye99</f>
        <v>32419</v>
      </c>
      <c r="AR91" s="1641"/>
      <c r="AS91" s="1642">
        <v>33286</v>
      </c>
      <c r="AT91" s="1642">
        <v>32825</v>
      </c>
      <c r="AU91" s="1642">
        <v>42491</v>
      </c>
      <c r="AV91" s="1641">
        <v>44394</v>
      </c>
      <c r="AW91" s="1642">
        <v>44280</v>
      </c>
      <c r="AX91" s="1642">
        <v>45043</v>
      </c>
      <c r="AY91" s="1642">
        <v>45657</v>
      </c>
      <c r="AZ91" s="1641">
        <v>45792</v>
      </c>
      <c r="BA91" s="1642">
        <v>43853</v>
      </c>
      <c r="BB91" s="1642">
        <v>45238</v>
      </c>
      <c r="BC91" s="1642">
        <v>44003</v>
      </c>
      <c r="BD91" s="1641">
        <v>42673</v>
      </c>
      <c r="BE91" s="1642">
        <v>38846</v>
      </c>
      <c r="BF91" s="1642">
        <v>37961</v>
      </c>
      <c r="BG91" s="1642">
        <v>39413</v>
      </c>
      <c r="BH91" s="1641">
        <v>38132</v>
      </c>
      <c r="BI91" s="1642">
        <v>37449</v>
      </c>
      <c r="BJ91" s="1642">
        <v>37252</v>
      </c>
      <c r="BK91" s="1642">
        <v>35674</v>
      </c>
      <c r="BL91" s="1641">
        <v>35471</v>
      </c>
      <c r="BM91" s="1642">
        <v>33070</v>
      </c>
      <c r="BN91" s="1642">
        <v>34391</v>
      </c>
      <c r="BO91" s="1642">
        <v>31869</v>
      </c>
      <c r="BP91" s="1641">
        <v>34614</v>
      </c>
      <c r="BQ91" s="1642">
        <v>32030</v>
      </c>
      <c r="BR91" s="1642">
        <v>30154</v>
      </c>
      <c r="BS91" s="1642">
        <v>28646</v>
      </c>
      <c r="BT91" s="1641">
        <v>28073</v>
      </c>
      <c r="BU91" s="1634">
        <v>29374</v>
      </c>
      <c r="BV91" s="1634">
        <v>29383</v>
      </c>
      <c r="BW91" s="1634">
        <v>28203</v>
      </c>
      <c r="BX91" s="1633">
        <v>32134</v>
      </c>
      <c r="BY91" s="1634">
        <v>33778</v>
      </c>
      <c r="BZ91" s="1634">
        <v>37478</v>
      </c>
      <c r="CA91" s="1634">
        <v>46959</v>
      </c>
      <c r="CB91" s="1633">
        <v>55674</v>
      </c>
      <c r="CC91" s="1634">
        <v>59469</v>
      </c>
      <c r="CD91" s="1634">
        <v>57374</v>
      </c>
      <c r="CE91" s="1634">
        <v>55051</v>
      </c>
      <c r="CF91" s="1633">
        <v>54424</v>
      </c>
      <c r="CG91" s="1634">
        <v>49594</v>
      </c>
      <c r="CH91" s="1634">
        <v>47360</v>
      </c>
      <c r="CI91" s="1634">
        <v>45252</v>
      </c>
      <c r="CJ91" s="1633">
        <v>49374</v>
      </c>
      <c r="CK91" s="1634">
        <v>47927</v>
      </c>
      <c r="CL91" s="1634">
        <v>46285</v>
      </c>
      <c r="CM91" s="1648">
        <v>50303</v>
      </c>
      <c r="CN91" s="1649">
        <v>48476</v>
      </c>
      <c r="CO91" s="1649">
        <v>46479</v>
      </c>
      <c r="CP91" s="1649">
        <v>46467</v>
      </c>
      <c r="CQ91" s="1648">
        <v>47618</v>
      </c>
      <c r="CR91" s="1649">
        <v>41993</v>
      </c>
      <c r="CS91" s="1649">
        <v>41791</v>
      </c>
      <c r="CT91" s="1649">
        <v>90938</v>
      </c>
      <c r="CU91" s="1648">
        <v>89658</v>
      </c>
      <c r="CV91" s="1649">
        <v>107617</v>
      </c>
      <c r="CW91" s="1649">
        <v>107696</v>
      </c>
      <c r="CX91" s="1649">
        <v>107627</v>
      </c>
      <c r="CY91" s="1648">
        <v>110536</v>
      </c>
      <c r="CZ91" s="1649">
        <v>108949</v>
      </c>
      <c r="DA91" s="1649">
        <v>109465</v>
      </c>
      <c r="DB91" s="1649">
        <v>105060</v>
      </c>
      <c r="DC91" s="1649">
        <v>103705</v>
      </c>
      <c r="DD91" s="1649">
        <v>103615</v>
      </c>
      <c r="DE91" s="1649">
        <v>92922</v>
      </c>
      <c r="DF91" s="1649">
        <v>102739</v>
      </c>
      <c r="DG91" s="1649">
        <v>105433</v>
      </c>
      <c r="DH91" s="1649">
        <v>112839</v>
      </c>
      <c r="DI91" s="1649">
        <v>116390</v>
      </c>
      <c r="DJ91" s="1649">
        <v>115317</v>
      </c>
      <c r="DK91" s="1649">
        <v>113642</v>
      </c>
      <c r="DL91" s="1649">
        <v>112734</v>
      </c>
    </row>
    <row r="92" spans="1:116" ht="12.75" customHeight="1">
      <c r="A92" s="1539" t="s">
        <v>1245</v>
      </c>
      <c r="B92" s="1642"/>
      <c r="C92" s="1642"/>
      <c r="D92" s="1642"/>
      <c r="E92" s="1641"/>
      <c r="F92" s="1642">
        <v>14788</v>
      </c>
      <c r="G92" s="1642">
        <v>13744</v>
      </c>
      <c r="H92" s="1642">
        <f t="shared" si="138"/>
        <v>12543</v>
      </c>
      <c r="I92" s="1642">
        <f t="shared" si="139"/>
        <v>11898</v>
      </c>
      <c r="J92" s="1642">
        <f t="shared" si="137"/>
        <v>15389</v>
      </c>
      <c r="K92" s="1681">
        <f t="shared" si="116"/>
        <v>16754</v>
      </c>
      <c r="L92" s="1642"/>
      <c r="M92" s="1642"/>
      <c r="N92" s="1642"/>
      <c r="O92" s="1642"/>
      <c r="P92" s="1642"/>
      <c r="Q92" s="1642"/>
      <c r="R92" s="1642"/>
      <c r="S92" s="1642"/>
      <c r="T92" s="1642"/>
      <c r="U92" s="1642"/>
      <c r="V92" s="1642"/>
      <c r="W92" s="1642"/>
      <c r="X92" s="1642"/>
      <c r="Y92" s="1642"/>
      <c r="Z92" s="1642"/>
      <c r="AA92" s="1642"/>
      <c r="AB92" s="1642"/>
      <c r="AC92" s="1642"/>
      <c r="AD92" s="1642"/>
      <c r="AE92" s="1642"/>
      <c r="AF92" s="1641"/>
      <c r="AG92" s="1642"/>
      <c r="AH92" s="1642"/>
      <c r="AI92" s="1642"/>
      <c r="AJ92" s="1641"/>
      <c r="AK92" s="1642"/>
      <c r="AL92" s="1642"/>
      <c r="AM92" s="1642"/>
      <c r="AN92" s="1641"/>
      <c r="AO92" s="1642"/>
      <c r="AP92" s="1642"/>
      <c r="AQ92" s="1642">
        <f>_fye99</f>
        <v>13744</v>
      </c>
      <c r="AR92" s="1641"/>
      <c r="AS92" s="1642">
        <v>13246</v>
      </c>
      <c r="AT92" s="1642">
        <v>12420</v>
      </c>
      <c r="AU92" s="1642">
        <v>12543</v>
      </c>
      <c r="AV92" s="1641">
        <v>12470</v>
      </c>
      <c r="AW92" s="1642">
        <v>12115</v>
      </c>
      <c r="AX92" s="1642">
        <v>11648</v>
      </c>
      <c r="AY92" s="1642">
        <v>11898</v>
      </c>
      <c r="AZ92" s="1641">
        <v>13454</v>
      </c>
      <c r="BA92" s="1642">
        <v>13627</v>
      </c>
      <c r="BB92" s="1642">
        <v>13648</v>
      </c>
      <c r="BC92" s="1642">
        <v>15389</v>
      </c>
      <c r="BD92" s="1641">
        <v>15287</v>
      </c>
      <c r="BE92" s="1642">
        <v>15540</v>
      </c>
      <c r="BF92" s="1642">
        <v>15596</v>
      </c>
      <c r="BG92" s="1642">
        <v>16754</v>
      </c>
      <c r="BH92" s="1641">
        <v>17178</v>
      </c>
      <c r="BI92" s="1642">
        <v>17249</v>
      </c>
      <c r="BJ92" s="1642">
        <v>17104</v>
      </c>
      <c r="BK92" s="1642">
        <v>17941</v>
      </c>
      <c r="BL92" s="1641">
        <v>17687</v>
      </c>
      <c r="BM92" s="1642">
        <v>18110</v>
      </c>
      <c r="BN92" s="1642">
        <v>18570</v>
      </c>
      <c r="BO92" s="1642">
        <v>18819</v>
      </c>
      <c r="BP92" s="1641">
        <v>19669</v>
      </c>
      <c r="BQ92" s="1642">
        <v>19680</v>
      </c>
      <c r="BR92" s="1642">
        <v>20231</v>
      </c>
      <c r="BS92" s="1642">
        <v>30779</v>
      </c>
      <c r="BT92" s="1641">
        <v>29743</v>
      </c>
      <c r="BU92" s="1634">
        <v>30326</v>
      </c>
      <c r="BV92" s="1634">
        <v>30592</v>
      </c>
      <c r="BW92" s="1634">
        <v>29960</v>
      </c>
      <c r="BX92" s="1633">
        <v>29227</v>
      </c>
      <c r="BY92" s="1634">
        <v>29246</v>
      </c>
      <c r="BZ92" s="1634">
        <v>28800</v>
      </c>
      <c r="CA92" s="1634">
        <v>32512</v>
      </c>
      <c r="CB92" s="1633">
        <v>32149</v>
      </c>
      <c r="CC92" s="1634">
        <v>32162</v>
      </c>
      <c r="CD92" s="1634">
        <v>31881</v>
      </c>
      <c r="CE92" s="1634">
        <v>32622</v>
      </c>
      <c r="CF92" s="1633">
        <v>31770</v>
      </c>
      <c r="CG92" s="1634">
        <v>32435</v>
      </c>
      <c r="CH92" s="1634">
        <v>31915</v>
      </c>
      <c r="CI92" s="1634">
        <v>28164</v>
      </c>
      <c r="CJ92" s="1633">
        <v>27543</v>
      </c>
      <c r="CK92" s="1634">
        <v>27589</v>
      </c>
      <c r="CL92" s="1634">
        <v>27705</v>
      </c>
      <c r="CM92" s="1648">
        <v>32957</v>
      </c>
      <c r="CN92" s="1649">
        <v>32164</v>
      </c>
      <c r="CO92" s="1649">
        <v>31909</v>
      </c>
      <c r="CP92" s="1649">
        <v>30904</v>
      </c>
      <c r="CQ92" s="1648">
        <v>34346</v>
      </c>
      <c r="CR92" s="1649">
        <v>34048</v>
      </c>
      <c r="CS92" s="1649">
        <v>33835</v>
      </c>
      <c r="CT92" s="1649">
        <v>33738</v>
      </c>
      <c r="CU92" s="1648">
        <v>27682</v>
      </c>
      <c r="CV92" s="1649">
        <v>26977</v>
      </c>
      <c r="CW92" s="1649">
        <v>26342</v>
      </c>
      <c r="CX92" s="1649">
        <v>25770</v>
      </c>
      <c r="CY92" s="1648">
        <v>33280</v>
      </c>
      <c r="CZ92" s="1649">
        <v>33010</v>
      </c>
      <c r="DA92" s="1649">
        <v>32711</v>
      </c>
      <c r="DB92" s="1649">
        <v>32962</v>
      </c>
      <c r="DC92" s="1649">
        <v>29957</v>
      </c>
      <c r="DD92" s="1649">
        <v>29665</v>
      </c>
      <c r="DE92" s="1649">
        <v>28059</v>
      </c>
      <c r="DF92" s="1649">
        <v>28285</v>
      </c>
      <c r="DG92" s="1649">
        <v>26166</v>
      </c>
      <c r="DH92" s="1649">
        <v>22079</v>
      </c>
      <c r="DI92" s="1649">
        <v>21775</v>
      </c>
      <c r="DJ92" s="1649">
        <v>21131</v>
      </c>
      <c r="DK92" s="1649">
        <v>22112</v>
      </c>
      <c r="DL92" s="1649">
        <v>20689</v>
      </c>
    </row>
    <row r="93" spans="1:116" ht="12.75" customHeight="1">
      <c r="A93" s="1539" t="s">
        <v>1248</v>
      </c>
      <c r="B93" s="1642"/>
      <c r="C93" s="1642"/>
      <c r="D93" s="1642"/>
      <c r="E93" s="1641"/>
      <c r="F93" s="1642">
        <v>4258</v>
      </c>
      <c r="G93" s="1642">
        <v>7288</v>
      </c>
      <c r="H93" s="1642">
        <f t="shared" si="138"/>
        <v>15260</v>
      </c>
      <c r="I93" s="1642">
        <f t="shared" si="139"/>
        <v>16543</v>
      </c>
      <c r="J93" s="1642">
        <f t="shared" si="137"/>
        <v>19467</v>
      </c>
      <c r="K93" s="1681">
        <f t="shared" si="116"/>
        <v>21704</v>
      </c>
      <c r="L93" s="1642"/>
      <c r="M93" s="1642"/>
      <c r="N93" s="1642"/>
      <c r="O93" s="1642"/>
      <c r="P93" s="1642"/>
      <c r="Q93" s="1642"/>
      <c r="R93" s="1642"/>
      <c r="S93" s="1642"/>
      <c r="T93" s="1642"/>
      <c r="U93" s="1642"/>
      <c r="V93" s="1642"/>
      <c r="W93" s="1642"/>
      <c r="X93" s="1642"/>
      <c r="Y93" s="1642"/>
      <c r="Z93" s="1642"/>
      <c r="AA93" s="1642"/>
      <c r="AB93" s="1642"/>
      <c r="AC93" s="1642"/>
      <c r="AD93" s="1642"/>
      <c r="AE93" s="1642"/>
      <c r="AF93" s="1641"/>
      <c r="AG93" s="1642"/>
      <c r="AH93" s="1642"/>
      <c r="AI93" s="1642"/>
      <c r="AJ93" s="1641"/>
      <c r="AK93" s="1642"/>
      <c r="AL93" s="1642"/>
      <c r="AM93" s="1642"/>
      <c r="AN93" s="1641"/>
      <c r="AO93" s="1642"/>
      <c r="AP93" s="1642"/>
      <c r="AQ93" s="1642">
        <f>_fye99</f>
        <v>7288</v>
      </c>
      <c r="AR93" s="1641"/>
      <c r="AS93" s="1642">
        <v>15122</v>
      </c>
      <c r="AT93" s="1642">
        <v>15304</v>
      </c>
      <c r="AU93" s="1642">
        <v>15260</v>
      </c>
      <c r="AV93" s="1641">
        <v>15559</v>
      </c>
      <c r="AW93" s="1642">
        <v>15689</v>
      </c>
      <c r="AX93" s="1642">
        <v>16129</v>
      </c>
      <c r="AY93" s="1642">
        <v>16543</v>
      </c>
      <c r="AZ93" s="1641">
        <v>18402</v>
      </c>
      <c r="BA93" s="1642">
        <v>18851</v>
      </c>
      <c r="BB93" s="1642">
        <v>18801</v>
      </c>
      <c r="BC93" s="1642">
        <v>19467</v>
      </c>
      <c r="BD93" s="1641">
        <v>21305</v>
      </c>
      <c r="BE93" s="1642">
        <v>21795</v>
      </c>
      <c r="BF93" s="1642">
        <v>22370</v>
      </c>
      <c r="BG93" s="1642">
        <v>21704</v>
      </c>
      <c r="BH93" s="1641">
        <v>21822</v>
      </c>
      <c r="BI93" s="1642">
        <v>21871</v>
      </c>
      <c r="BJ93" s="1642">
        <v>22129</v>
      </c>
      <c r="BK93" s="1642">
        <v>22532</v>
      </c>
      <c r="BL93" s="1641">
        <v>21811</v>
      </c>
      <c r="BM93" s="1642">
        <v>22896</v>
      </c>
      <c r="BN93" s="1642">
        <v>22527</v>
      </c>
      <c r="BO93" s="1642">
        <v>22411</v>
      </c>
      <c r="BP93" s="1641">
        <v>20926</v>
      </c>
      <c r="BQ93" s="1642">
        <v>20943</v>
      </c>
      <c r="BR93" s="1642">
        <v>21905</v>
      </c>
      <c r="BS93" s="1642">
        <v>16804</v>
      </c>
      <c r="BT93" s="1641">
        <v>13518</v>
      </c>
      <c r="BU93" s="1634">
        <v>13710</v>
      </c>
      <c r="BV93" s="1634">
        <v>14118</v>
      </c>
      <c r="BW93" s="1634">
        <v>14784</v>
      </c>
      <c r="BX93" s="1633">
        <v>15468</v>
      </c>
      <c r="BY93" s="1634">
        <v>16346</v>
      </c>
      <c r="BZ93" s="1634">
        <v>17409</v>
      </c>
      <c r="CA93" s="1634">
        <v>11769</v>
      </c>
      <c r="CB93" s="1633">
        <v>16998</v>
      </c>
      <c r="CC93" s="1634">
        <v>17737</v>
      </c>
      <c r="CD93" s="1634">
        <v>18652</v>
      </c>
      <c r="CE93" s="1634">
        <v>19310</v>
      </c>
      <c r="CF93" s="1633">
        <v>21665</v>
      </c>
      <c r="CG93" s="1634">
        <v>21324</v>
      </c>
      <c r="CH93" s="1634">
        <v>21772</v>
      </c>
      <c r="CI93" s="1634">
        <v>22818</v>
      </c>
      <c r="CJ93" s="1633">
        <v>23578</v>
      </c>
      <c r="CK93" s="1634">
        <v>24603</v>
      </c>
      <c r="CL93" s="1634">
        <v>26412</v>
      </c>
      <c r="CM93" s="1648">
        <v>25060</v>
      </c>
      <c r="CN93" s="1649">
        <v>25610</v>
      </c>
      <c r="CO93" s="1649">
        <v>25649</v>
      </c>
      <c r="CP93" s="1649">
        <v>26474</v>
      </c>
      <c r="CQ93" s="1648">
        <v>24677</v>
      </c>
      <c r="CR93" s="1649">
        <v>24993</v>
      </c>
      <c r="CS93" s="1649">
        <v>25696</v>
      </c>
      <c r="CT93" s="1649">
        <v>25821</v>
      </c>
      <c r="CU93" s="1648">
        <v>28639</v>
      </c>
      <c r="CV93" s="1649">
        <v>41597</v>
      </c>
      <c r="CW93" s="1649">
        <v>42027</v>
      </c>
      <c r="CX93" s="1649">
        <v>42289</v>
      </c>
      <c r="CY93" s="1648">
        <v>41578</v>
      </c>
      <c r="CZ93" s="1649">
        <v>42330</v>
      </c>
      <c r="DA93" s="1649">
        <v>42945</v>
      </c>
      <c r="DB93" s="1649">
        <v>42896</v>
      </c>
      <c r="DC93" s="1649">
        <v>45484</v>
      </c>
      <c r="DD93" s="1649">
        <v>45568</v>
      </c>
      <c r="DE93" s="1649">
        <v>43825</v>
      </c>
      <c r="DF93" s="1649">
        <v>44617</v>
      </c>
      <c r="DG93" s="1649">
        <v>45964</v>
      </c>
      <c r="DH93" s="1649">
        <v>47847</v>
      </c>
      <c r="DI93" s="1649">
        <v>47506</v>
      </c>
      <c r="DJ93" s="1649">
        <v>48345</v>
      </c>
      <c r="DK93" s="1649">
        <v>31232</v>
      </c>
      <c r="DL93" s="1649">
        <v>34414</v>
      </c>
    </row>
    <row r="94" spans="1:116" ht="12.75" customHeight="1">
      <c r="A94" s="1539" t="s">
        <v>1249</v>
      </c>
      <c r="B94" s="1642"/>
      <c r="C94" s="1642"/>
      <c r="D94" s="1642"/>
      <c r="E94" s="1641"/>
      <c r="F94" s="1642">
        <v>1291</v>
      </c>
      <c r="G94" s="1642">
        <v>1353</v>
      </c>
      <c r="H94" s="1642">
        <f t="shared" si="138"/>
        <v>3797</v>
      </c>
      <c r="I94" s="1642">
        <f t="shared" si="139"/>
        <v>3989</v>
      </c>
      <c r="J94" s="1642">
        <f t="shared" si="137"/>
        <v>4007</v>
      </c>
      <c r="K94" s="1681">
        <f t="shared" si="116"/>
        <v>3703</v>
      </c>
      <c r="L94" s="1642"/>
      <c r="M94" s="1642"/>
      <c r="N94" s="1642"/>
      <c r="O94" s="1642"/>
      <c r="P94" s="1642"/>
      <c r="Q94" s="1642"/>
      <c r="R94" s="1642"/>
      <c r="S94" s="1642"/>
      <c r="T94" s="1642"/>
      <c r="U94" s="1642"/>
      <c r="V94" s="1642"/>
      <c r="W94" s="1642"/>
      <c r="X94" s="1642"/>
      <c r="Y94" s="1642"/>
      <c r="Z94" s="1642"/>
      <c r="AA94" s="1642"/>
      <c r="AB94" s="1642"/>
      <c r="AC94" s="1642"/>
      <c r="AD94" s="1642"/>
      <c r="AE94" s="1642"/>
      <c r="AF94" s="1641"/>
      <c r="AG94" s="1642"/>
      <c r="AH94" s="1642"/>
      <c r="AI94" s="1642"/>
      <c r="AJ94" s="1641"/>
      <c r="AK94" s="1642"/>
      <c r="AL94" s="1642"/>
      <c r="AM94" s="1642"/>
      <c r="AN94" s="1641"/>
      <c r="AO94" s="1642"/>
      <c r="AP94" s="1642"/>
      <c r="AQ94" s="1642">
        <f>_fye99</f>
        <v>1353</v>
      </c>
      <c r="AR94" s="1641"/>
      <c r="AS94" s="1642">
        <v>1577</v>
      </c>
      <c r="AT94" s="1642">
        <v>1519</v>
      </c>
      <c r="AU94" s="1642">
        <v>3797</v>
      </c>
      <c r="AV94" s="1641">
        <v>3561</v>
      </c>
      <c r="AW94" s="1642">
        <v>3677</v>
      </c>
      <c r="AX94" s="1642">
        <v>3706</v>
      </c>
      <c r="AY94" s="1642">
        <v>3989</v>
      </c>
      <c r="AZ94" s="1641">
        <v>4244</v>
      </c>
      <c r="BA94" s="1642">
        <v>4047</v>
      </c>
      <c r="BB94" s="1642">
        <v>3941</v>
      </c>
      <c r="BC94" s="1642">
        <v>4007</v>
      </c>
      <c r="BD94" s="1641">
        <v>3959</v>
      </c>
      <c r="BE94" s="1642">
        <v>3803</v>
      </c>
      <c r="BF94" s="1642">
        <v>4100</v>
      </c>
      <c r="BG94" s="1642">
        <v>3703</v>
      </c>
      <c r="BH94" s="1641">
        <v>3643</v>
      </c>
      <c r="BI94" s="1642">
        <v>3565</v>
      </c>
      <c r="BJ94" s="1642">
        <v>3526</v>
      </c>
      <c r="BK94" s="1642">
        <v>4069</v>
      </c>
      <c r="BL94" s="1641">
        <v>4020</v>
      </c>
      <c r="BM94" s="1642">
        <v>3952</v>
      </c>
      <c r="BN94" s="1642">
        <v>3978</v>
      </c>
      <c r="BO94" s="1642">
        <v>3534</v>
      </c>
      <c r="BP94" s="1641">
        <v>4544</v>
      </c>
      <c r="BQ94" s="1642">
        <v>4327</v>
      </c>
      <c r="BR94" s="1642">
        <v>4274</v>
      </c>
      <c r="BS94" s="1642">
        <v>3957</v>
      </c>
      <c r="BT94" s="1641">
        <v>7025</v>
      </c>
      <c r="BU94" s="1634">
        <v>6866</v>
      </c>
      <c r="BV94" s="1634">
        <v>6445</v>
      </c>
      <c r="BW94" s="1634">
        <v>6402</v>
      </c>
      <c r="BX94" s="1633">
        <v>6041</v>
      </c>
      <c r="BY94" s="1634">
        <v>5856</v>
      </c>
      <c r="BZ94" s="1634">
        <v>6053</v>
      </c>
      <c r="CA94" s="1634">
        <v>6301</v>
      </c>
      <c r="CB94" s="1633">
        <v>6407</v>
      </c>
      <c r="CC94" s="1634">
        <v>6442</v>
      </c>
      <c r="CD94" s="1634">
        <v>6610</v>
      </c>
      <c r="CE94" s="1634">
        <v>6765</v>
      </c>
      <c r="CF94" s="1633">
        <v>6773</v>
      </c>
      <c r="CG94" s="1634">
        <v>6591</v>
      </c>
      <c r="CH94" s="1634">
        <v>6414</v>
      </c>
      <c r="CI94" s="1634">
        <v>6262</v>
      </c>
      <c r="CJ94" s="1633">
        <v>6002</v>
      </c>
      <c r="CK94" s="1634">
        <v>5551</v>
      </c>
      <c r="CL94" s="1634">
        <v>5479</v>
      </c>
      <c r="CM94" s="1648">
        <v>5472</v>
      </c>
      <c r="CN94" s="1649">
        <v>5337</v>
      </c>
      <c r="CO94" s="1649">
        <v>5254</v>
      </c>
      <c r="CP94" s="1649">
        <v>5839</v>
      </c>
      <c r="CQ94" s="1648">
        <v>6092</v>
      </c>
      <c r="CR94" s="1649">
        <v>6075</v>
      </c>
      <c r="CS94" s="1649">
        <v>5677</v>
      </c>
      <c r="CT94" s="1649">
        <v>5622</v>
      </c>
      <c r="CU94" s="1648">
        <v>5653</v>
      </c>
      <c r="CV94" s="1649">
        <v>6167</v>
      </c>
      <c r="CW94" s="1649">
        <v>5857</v>
      </c>
      <c r="CX94" s="1649">
        <v>5750</v>
      </c>
      <c r="CY94" s="1648">
        <v>5574</v>
      </c>
      <c r="CZ94" s="1649">
        <f>11086+943</f>
        <v>12029</v>
      </c>
      <c r="DA94" s="1649">
        <f>942+11171</f>
        <v>12113</v>
      </c>
      <c r="DB94" s="1649">
        <f>940+11181</f>
        <v>12121</v>
      </c>
      <c r="DC94" s="1649">
        <f>959+11641</f>
        <v>12600</v>
      </c>
      <c r="DD94" s="1649">
        <f>974+11350</f>
        <v>12324</v>
      </c>
      <c r="DE94" s="1649">
        <v>11912</v>
      </c>
      <c r="DF94" s="1649">
        <v>11576</v>
      </c>
      <c r="DG94" s="1649">
        <f>6+12239</f>
        <v>12245</v>
      </c>
      <c r="DH94" s="1649">
        <f>14+12251</f>
        <v>12265</v>
      </c>
      <c r="DI94" s="1649">
        <v>12788</v>
      </c>
      <c r="DJ94" s="1649">
        <v>12508</v>
      </c>
      <c r="DK94" s="1649">
        <v>12433</v>
      </c>
      <c r="DL94" s="1649">
        <v>12719</v>
      </c>
    </row>
    <row r="95" spans="1:116" ht="12.75" customHeight="1">
      <c r="A95" s="954" t="s">
        <v>1250</v>
      </c>
      <c r="B95" s="1693"/>
      <c r="C95" s="1693"/>
      <c r="D95" s="1693"/>
      <c r="E95" s="1694"/>
      <c r="F95" s="1693">
        <f>F89+SUM(F91:F94)</f>
        <v>74239</v>
      </c>
      <c r="G95" s="1693">
        <f>G89+SUM(G91:G94)</f>
        <v>84554</v>
      </c>
      <c r="H95" s="1693">
        <f t="shared" si="138"/>
        <v>108327</v>
      </c>
      <c r="I95" s="1693">
        <f t="shared" si="139"/>
        <v>116107</v>
      </c>
      <c r="J95" s="1693">
        <f t="shared" si="137"/>
        <v>110795</v>
      </c>
      <c r="K95" s="1681">
        <f t="shared" si="116"/>
        <v>108154</v>
      </c>
      <c r="L95" s="1693"/>
      <c r="M95" s="1693"/>
      <c r="N95" s="1693"/>
      <c r="O95" s="1693"/>
      <c r="P95" s="1693"/>
      <c r="Q95" s="1693"/>
      <c r="R95" s="1693"/>
      <c r="S95" s="1693"/>
      <c r="T95" s="1693"/>
      <c r="U95" s="1693"/>
      <c r="V95" s="1693"/>
      <c r="W95" s="1693"/>
      <c r="X95" s="1693"/>
      <c r="Y95" s="1693"/>
      <c r="Z95" s="1693"/>
      <c r="AA95" s="1693"/>
      <c r="AB95" s="1693"/>
      <c r="AC95" s="1693"/>
      <c r="AD95" s="1693"/>
      <c r="AE95" s="1693"/>
      <c r="AF95" s="1694">
        <f t="shared" ref="AF95:BK95" si="148">AF89+SUM(AF91:AF94)</f>
        <v>0</v>
      </c>
      <c r="AG95" s="1693">
        <f t="shared" si="148"/>
        <v>0</v>
      </c>
      <c r="AH95" s="1693">
        <f t="shared" si="148"/>
        <v>0</v>
      </c>
      <c r="AI95" s="1693">
        <f t="shared" si="148"/>
        <v>0</v>
      </c>
      <c r="AJ95" s="1694">
        <f t="shared" si="148"/>
        <v>0</v>
      </c>
      <c r="AK95" s="1693">
        <f t="shared" si="148"/>
        <v>0</v>
      </c>
      <c r="AL95" s="1693">
        <f t="shared" si="148"/>
        <v>0</v>
      </c>
      <c r="AM95" s="1693">
        <f t="shared" si="148"/>
        <v>0</v>
      </c>
      <c r="AN95" s="1694">
        <f t="shared" si="148"/>
        <v>0</v>
      </c>
      <c r="AO95" s="1693">
        <f t="shared" si="148"/>
        <v>0</v>
      </c>
      <c r="AP95" s="1693">
        <f t="shared" si="148"/>
        <v>0</v>
      </c>
      <c r="AQ95" s="1693">
        <f t="shared" si="148"/>
        <v>84554</v>
      </c>
      <c r="AR95" s="1694">
        <f t="shared" si="148"/>
        <v>0</v>
      </c>
      <c r="AS95" s="1693">
        <f t="shared" si="148"/>
        <v>101348</v>
      </c>
      <c r="AT95" s="1693">
        <f t="shared" si="148"/>
        <v>101076</v>
      </c>
      <c r="AU95" s="1693">
        <f t="shared" si="148"/>
        <v>108327</v>
      </c>
      <c r="AV95" s="1694">
        <f t="shared" si="148"/>
        <v>111399</v>
      </c>
      <c r="AW95" s="1693">
        <f t="shared" si="148"/>
        <v>113525</v>
      </c>
      <c r="AX95" s="1693">
        <f t="shared" si="148"/>
        <v>112768</v>
      </c>
      <c r="AY95" s="1693">
        <f t="shared" si="148"/>
        <v>116107</v>
      </c>
      <c r="AZ95" s="1694">
        <f t="shared" si="148"/>
        <v>118024</v>
      </c>
      <c r="BA95" s="1693">
        <f t="shared" si="148"/>
        <v>116994</v>
      </c>
      <c r="BB95" s="1693">
        <f t="shared" si="148"/>
        <v>113546</v>
      </c>
      <c r="BC95" s="1693">
        <f t="shared" si="148"/>
        <v>110795</v>
      </c>
      <c r="BD95" s="1694">
        <f t="shared" si="148"/>
        <v>112722</v>
      </c>
      <c r="BE95" s="1693">
        <f t="shared" si="148"/>
        <v>109346</v>
      </c>
      <c r="BF95" s="1693">
        <f t="shared" si="148"/>
        <v>105902</v>
      </c>
      <c r="BG95" s="1693">
        <f t="shared" si="148"/>
        <v>108154</v>
      </c>
      <c r="BH95" s="1694">
        <f t="shared" si="148"/>
        <v>105742</v>
      </c>
      <c r="BI95" s="1693">
        <f t="shared" si="148"/>
        <v>103518</v>
      </c>
      <c r="BJ95" s="1693">
        <f t="shared" si="148"/>
        <v>103135</v>
      </c>
      <c r="BK95" s="1693">
        <f t="shared" si="148"/>
        <v>103345</v>
      </c>
      <c r="BL95" s="1694">
        <f t="shared" ref="BL95:CQ95" si="149">BL89+SUM(BL91:BL94)</f>
        <v>102148</v>
      </c>
      <c r="BM95" s="1693">
        <f t="shared" si="149"/>
        <v>105470</v>
      </c>
      <c r="BN95" s="1693">
        <f t="shared" si="149"/>
        <v>103105</v>
      </c>
      <c r="BO95" s="1693">
        <f t="shared" si="149"/>
        <v>101696</v>
      </c>
      <c r="BP95" s="1694">
        <f t="shared" si="149"/>
        <v>110665</v>
      </c>
      <c r="BQ95" s="1693">
        <f t="shared" si="149"/>
        <v>111319</v>
      </c>
      <c r="BR95" s="1693">
        <f t="shared" si="149"/>
        <v>111877</v>
      </c>
      <c r="BS95" s="1693">
        <f t="shared" si="149"/>
        <v>112466</v>
      </c>
      <c r="BT95" s="1694">
        <f t="shared" si="149"/>
        <v>106265</v>
      </c>
      <c r="BU95" s="1693">
        <f t="shared" si="149"/>
        <v>104728</v>
      </c>
      <c r="BV95" s="1693">
        <f t="shared" si="149"/>
        <v>104696</v>
      </c>
      <c r="BW95" s="1693">
        <f t="shared" si="149"/>
        <v>104090</v>
      </c>
      <c r="BX95" s="1694">
        <f t="shared" si="149"/>
        <v>107614</v>
      </c>
      <c r="BY95" s="1693">
        <f t="shared" si="149"/>
        <v>115126</v>
      </c>
      <c r="BZ95" s="1693">
        <f t="shared" si="149"/>
        <v>118015</v>
      </c>
      <c r="CA95" s="1693">
        <f t="shared" si="149"/>
        <v>123447</v>
      </c>
      <c r="CB95" s="1694">
        <f t="shared" si="149"/>
        <v>146297</v>
      </c>
      <c r="CC95" s="1693">
        <f t="shared" si="149"/>
        <v>142178</v>
      </c>
      <c r="CD95" s="1693">
        <f t="shared" si="149"/>
        <v>141822</v>
      </c>
      <c r="CE95" s="1693">
        <f t="shared" si="149"/>
        <v>142884</v>
      </c>
      <c r="CF95" s="1694">
        <f t="shared" si="149"/>
        <v>142695</v>
      </c>
      <c r="CG95" s="1693">
        <f t="shared" si="149"/>
        <v>141778</v>
      </c>
      <c r="CH95" s="1693">
        <f t="shared" si="149"/>
        <v>136228</v>
      </c>
      <c r="CI95" s="1693">
        <f t="shared" si="149"/>
        <v>133093</v>
      </c>
      <c r="CJ95" s="1694">
        <f t="shared" si="149"/>
        <v>139244</v>
      </c>
      <c r="CK95" s="1693">
        <f t="shared" si="149"/>
        <v>133044</v>
      </c>
      <c r="CL95" s="1693">
        <f t="shared" si="149"/>
        <v>140517</v>
      </c>
      <c r="CM95" s="1695">
        <f t="shared" si="149"/>
        <v>144553</v>
      </c>
      <c r="CN95" s="1267">
        <f t="shared" si="149"/>
        <v>134500</v>
      </c>
      <c r="CO95" s="1267">
        <f t="shared" si="149"/>
        <v>135644</v>
      </c>
      <c r="CP95" s="1267">
        <f t="shared" si="149"/>
        <v>138454</v>
      </c>
      <c r="CQ95" s="1695">
        <f t="shared" si="149"/>
        <v>139689</v>
      </c>
      <c r="CR95" s="1267">
        <f t="shared" ref="CR95:CW95" si="150">CR89+SUM(CR91:CR94)</f>
        <v>138598</v>
      </c>
      <c r="CS95" s="1267">
        <f t="shared" si="150"/>
        <v>136190</v>
      </c>
      <c r="CT95" s="1267">
        <f t="shared" si="150"/>
        <v>186410</v>
      </c>
      <c r="CU95" s="1695">
        <f t="shared" si="150"/>
        <v>178682</v>
      </c>
      <c r="CV95" s="1267">
        <f t="shared" si="150"/>
        <v>207711</v>
      </c>
      <c r="CW95" s="1267">
        <f t="shared" si="150"/>
        <v>208415</v>
      </c>
      <c r="CX95" s="1267">
        <f t="shared" ref="CX95:DC95" si="151">CX89+SUM(CX91:CX94)</f>
        <v>208325</v>
      </c>
      <c r="CY95" s="1695">
        <f t="shared" si="151"/>
        <v>219032</v>
      </c>
      <c r="CZ95" s="1267">
        <f t="shared" si="151"/>
        <v>225031</v>
      </c>
      <c r="DA95" s="1267">
        <f t="shared" si="151"/>
        <v>227879</v>
      </c>
      <c r="DB95" s="1267">
        <f t="shared" si="151"/>
        <v>227531</v>
      </c>
      <c r="DC95" s="1267">
        <f t="shared" si="151"/>
        <v>226798</v>
      </c>
      <c r="DD95" s="1267">
        <f t="shared" ref="DD95:DE95" si="152">DD89+SUM(DD91:DD94)</f>
        <v>224484</v>
      </c>
      <c r="DE95" s="1267">
        <f t="shared" si="152"/>
        <v>211126</v>
      </c>
      <c r="DF95" s="1267">
        <f t="shared" ref="DF95:DG95" si="153">DF89+SUM(DF91:DF94)</f>
        <v>217515</v>
      </c>
      <c r="DG95" s="1267">
        <f t="shared" si="153"/>
        <v>220148</v>
      </c>
      <c r="DH95" s="1267">
        <f t="shared" ref="DH95:DI95" si="154">DH89+SUM(DH91:DH94)</f>
        <v>221694</v>
      </c>
      <c r="DI95" s="1267">
        <f t="shared" si="154"/>
        <v>226217</v>
      </c>
      <c r="DJ95" s="1267">
        <f t="shared" ref="DJ95:DK95" si="155">DJ89+SUM(DJ91:DJ94)</f>
        <v>226231</v>
      </c>
      <c r="DK95" s="1267">
        <f t="shared" si="155"/>
        <v>212456</v>
      </c>
      <c r="DL95" s="1267">
        <f t="shared" ref="DL95" si="156">DL89+SUM(DL91:DL94)</f>
        <v>212171</v>
      </c>
    </row>
    <row r="96" spans="1:116" ht="12.75" customHeight="1">
      <c r="A96" s="1539"/>
      <c r="B96" s="1642"/>
      <c r="C96" s="1642"/>
      <c r="D96" s="1642"/>
      <c r="E96" s="1641"/>
      <c r="F96" s="1642"/>
      <c r="G96" s="1642"/>
      <c r="H96" s="1642">
        <f t="shared" si="138"/>
        <v>0</v>
      </c>
      <c r="I96" s="1642">
        <f t="shared" si="139"/>
        <v>0</v>
      </c>
      <c r="J96" s="1642">
        <f t="shared" si="137"/>
        <v>0</v>
      </c>
      <c r="K96" s="1681">
        <f t="shared" si="116"/>
        <v>0</v>
      </c>
      <c r="L96" s="1642"/>
      <c r="M96" s="1642"/>
      <c r="N96" s="1642"/>
      <c r="O96" s="1642"/>
      <c r="P96" s="1642"/>
      <c r="Q96" s="1642"/>
      <c r="R96" s="1642"/>
      <c r="S96" s="1642"/>
      <c r="T96" s="1642"/>
      <c r="U96" s="1642"/>
      <c r="V96" s="1642"/>
      <c r="W96" s="1642"/>
      <c r="X96" s="1642"/>
      <c r="Y96" s="1642"/>
      <c r="Z96" s="1642"/>
      <c r="AA96" s="1642"/>
      <c r="AB96" s="1642"/>
      <c r="AC96" s="1642"/>
      <c r="AD96" s="1642"/>
      <c r="AE96" s="1642"/>
      <c r="AF96" s="1641"/>
      <c r="AG96" s="1642"/>
      <c r="AH96" s="1642"/>
      <c r="AI96" s="1642"/>
      <c r="AJ96" s="1641"/>
      <c r="AK96" s="1642"/>
      <c r="AL96" s="1642"/>
      <c r="AM96" s="1642"/>
      <c r="AN96" s="1641"/>
      <c r="AO96" s="1642"/>
      <c r="AP96" s="1642"/>
      <c r="AQ96" s="1642"/>
      <c r="AR96" s="1641"/>
      <c r="AS96" s="1642"/>
      <c r="AT96" s="1642"/>
      <c r="AU96" s="1642"/>
      <c r="AV96" s="1641"/>
      <c r="AW96" s="1642"/>
      <c r="AX96" s="1642"/>
      <c r="AY96" s="1642"/>
      <c r="AZ96" s="1641"/>
      <c r="BA96" s="1642"/>
      <c r="BB96" s="1642"/>
      <c r="BC96" s="1642"/>
      <c r="BD96" s="1641"/>
      <c r="BE96" s="1642"/>
      <c r="BF96" s="1642"/>
      <c r="BG96" s="1642"/>
      <c r="BH96" s="1641"/>
      <c r="BI96" s="1642"/>
      <c r="BJ96" s="1642"/>
      <c r="BK96" s="1642"/>
      <c r="BL96" s="1641"/>
      <c r="BM96" s="1642"/>
      <c r="BN96" s="1642"/>
      <c r="BO96" s="1642"/>
      <c r="BP96" s="1641"/>
      <c r="BQ96" s="1642"/>
      <c r="BR96" s="1642"/>
      <c r="BS96" s="1642"/>
      <c r="BT96" s="1641"/>
      <c r="BU96" s="1642"/>
      <c r="BV96" s="1642"/>
      <c r="BW96" s="1642"/>
      <c r="BX96" s="1641"/>
      <c r="BY96" s="1642"/>
      <c r="BZ96" s="1642"/>
      <c r="CA96" s="1642"/>
      <c r="CB96" s="1641"/>
      <c r="CC96" s="1642"/>
      <c r="CD96" s="1642"/>
      <c r="CE96" s="1642"/>
      <c r="CF96" s="1641"/>
      <c r="CG96" s="1642"/>
      <c r="CH96" s="1642"/>
      <c r="CI96" s="1642"/>
      <c r="CJ96" s="1641"/>
      <c r="CK96" s="1642"/>
      <c r="CL96" s="1642"/>
      <c r="CM96" s="1681"/>
      <c r="CN96" s="1672"/>
      <c r="CO96" s="1672"/>
      <c r="CP96" s="1672"/>
      <c r="CQ96" s="1681"/>
      <c r="CR96" s="1672"/>
      <c r="CS96" s="1672"/>
      <c r="CT96" s="1672"/>
      <c r="CU96" s="1681"/>
      <c r="CV96" s="1672"/>
      <c r="CW96" s="1672"/>
      <c r="CX96" s="1672"/>
      <c r="CY96" s="1681"/>
      <c r="CZ96" s="1672"/>
      <c r="DA96" s="1672"/>
      <c r="DB96" s="1672"/>
      <c r="DC96" s="1672"/>
      <c r="DD96" s="1672"/>
      <c r="DE96" s="1672"/>
      <c r="DF96" s="1672"/>
      <c r="DG96" s="1672"/>
      <c r="DH96" s="1672"/>
      <c r="DI96" s="1672"/>
      <c r="DJ96" s="1672"/>
      <c r="DK96" s="1672"/>
      <c r="DL96" s="1672"/>
    </row>
    <row r="97" spans="1:116" ht="12.75" customHeight="1">
      <c r="A97" s="1539" t="s">
        <v>625</v>
      </c>
      <c r="B97" s="1642"/>
      <c r="C97" s="1642"/>
      <c r="D97" s="1642"/>
      <c r="E97" s="1641"/>
      <c r="F97" s="1642">
        <v>2490</v>
      </c>
      <c r="G97" s="1642">
        <v>1900</v>
      </c>
      <c r="H97" s="1642">
        <f t="shared" si="138"/>
        <v>21830</v>
      </c>
      <c r="I97" s="1642">
        <f t="shared" si="139"/>
        <v>22149</v>
      </c>
      <c r="J97" s="1642">
        <f t="shared" si="137"/>
        <v>24057</v>
      </c>
      <c r="K97" s="1681">
        <f t="shared" si="116"/>
        <v>24348</v>
      </c>
      <c r="L97" s="1642"/>
      <c r="M97" s="1642"/>
      <c r="N97" s="1642"/>
      <c r="O97" s="1642"/>
      <c r="P97" s="1642"/>
      <c r="Q97" s="1642"/>
      <c r="R97" s="1642"/>
      <c r="S97" s="1642"/>
      <c r="T97" s="1642"/>
      <c r="U97" s="1642"/>
      <c r="V97" s="1642"/>
      <c r="W97" s="1642"/>
      <c r="X97" s="1642"/>
      <c r="Y97" s="1642"/>
      <c r="Z97" s="1642"/>
      <c r="AA97" s="1642"/>
      <c r="AB97" s="1642"/>
      <c r="AC97" s="1642"/>
      <c r="AD97" s="1642"/>
      <c r="AE97" s="1642"/>
      <c r="AF97" s="1641"/>
      <c r="AG97" s="1642"/>
      <c r="AH97" s="1642"/>
      <c r="AI97" s="1642"/>
      <c r="AJ97" s="1641"/>
      <c r="AK97" s="1642"/>
      <c r="AL97" s="1642"/>
      <c r="AM97" s="1642"/>
      <c r="AN97" s="1641"/>
      <c r="AO97" s="1642"/>
      <c r="AP97" s="1642"/>
      <c r="AQ97" s="1642">
        <f>_fye99</f>
        <v>1900</v>
      </c>
      <c r="AR97" s="1641"/>
      <c r="AS97" s="1642">
        <v>24638</v>
      </c>
      <c r="AT97" s="1642">
        <v>21970</v>
      </c>
      <c r="AU97" s="1642">
        <v>21830</v>
      </c>
      <c r="AV97" s="1641">
        <v>21701</v>
      </c>
      <c r="AW97" s="1642">
        <v>21739</v>
      </c>
      <c r="AX97" s="1642">
        <v>21899</v>
      </c>
      <c r="AY97" s="1642">
        <v>22149</v>
      </c>
      <c r="AZ97" s="1641">
        <v>22294</v>
      </c>
      <c r="BA97" s="1642">
        <v>22657</v>
      </c>
      <c r="BB97" s="1642">
        <v>23708</v>
      </c>
      <c r="BC97" s="1642">
        <v>24057</v>
      </c>
      <c r="BD97" s="1641">
        <v>23740</v>
      </c>
      <c r="BE97" s="1642">
        <v>24055</v>
      </c>
      <c r="BF97" s="1642">
        <v>23968</v>
      </c>
      <c r="BG97" s="1642">
        <v>24348</v>
      </c>
      <c r="BH97" s="1641">
        <v>24184</v>
      </c>
      <c r="BI97" s="1642">
        <v>24821</v>
      </c>
      <c r="BJ97" s="1642">
        <v>24588</v>
      </c>
      <c r="BK97" s="1642">
        <v>25053</v>
      </c>
      <c r="BL97" s="1641">
        <v>24754</v>
      </c>
      <c r="BM97" s="1642">
        <v>25353</v>
      </c>
      <c r="BN97" s="1642">
        <v>25973</v>
      </c>
      <c r="BO97" s="1642">
        <v>26754</v>
      </c>
      <c r="BP97" s="1641">
        <v>27378</v>
      </c>
      <c r="BQ97" s="1642">
        <v>27745</v>
      </c>
      <c r="BR97" s="1642">
        <v>27523</v>
      </c>
      <c r="BS97" s="1642">
        <v>28337</v>
      </c>
      <c r="BT97" s="1641">
        <v>29237</v>
      </c>
      <c r="BU97" s="1634">
        <v>30201</v>
      </c>
      <c r="BV97" s="1634">
        <v>31234</v>
      </c>
      <c r="BW97" s="1634">
        <v>32288</v>
      </c>
      <c r="BX97" s="1633">
        <v>33399</v>
      </c>
      <c r="BY97" s="1634">
        <v>34633</v>
      </c>
      <c r="BZ97" s="1634">
        <v>35892</v>
      </c>
      <c r="CA97" s="1634">
        <v>37199</v>
      </c>
      <c r="CB97" s="1633">
        <v>38703</v>
      </c>
      <c r="CC97" s="1634">
        <v>40149</v>
      </c>
      <c r="CD97" s="1634">
        <v>41396</v>
      </c>
      <c r="CE97" s="1634">
        <v>42761</v>
      </c>
      <c r="CF97" s="1633">
        <v>44190</v>
      </c>
      <c r="CG97" s="1634">
        <v>45219</v>
      </c>
      <c r="CH97" s="1634">
        <v>46707</v>
      </c>
      <c r="CI97" s="1634">
        <v>48343</v>
      </c>
      <c r="CJ97" s="1633">
        <v>49876</v>
      </c>
      <c r="CK97" s="1634">
        <v>51364</v>
      </c>
      <c r="CL97" s="1634">
        <v>48464</v>
      </c>
      <c r="CM97" s="1648">
        <v>49938</v>
      </c>
      <c r="CN97" s="1649">
        <v>51750</v>
      </c>
      <c r="CO97" s="1649">
        <v>53278</v>
      </c>
      <c r="CP97" s="1649">
        <v>54983</v>
      </c>
      <c r="CQ97" s="1648">
        <v>52376</v>
      </c>
      <c r="CR97" s="1649">
        <v>54278</v>
      </c>
      <c r="CS97" s="1649">
        <v>53095</v>
      </c>
      <c r="CT97" s="1649">
        <v>55280</v>
      </c>
      <c r="CU97" s="1648">
        <v>56580</v>
      </c>
      <c r="CV97" s="1649">
        <v>1140</v>
      </c>
      <c r="CW97" s="1649">
        <v>1111</v>
      </c>
      <c r="CX97" s="1649">
        <v>1391</v>
      </c>
      <c r="CY97" s="1648">
        <v>1378</v>
      </c>
      <c r="CZ97" s="1649">
        <v>1420</v>
      </c>
      <c r="DA97" s="1649">
        <v>1459</v>
      </c>
      <c r="DB97" s="1649">
        <v>1404</v>
      </c>
      <c r="DC97" s="1649">
        <v>1414</v>
      </c>
      <c r="DD97" s="1649">
        <v>1462</v>
      </c>
      <c r="DE97" s="1649">
        <v>1500</v>
      </c>
      <c r="DF97" s="1649">
        <v>1523</v>
      </c>
      <c r="DG97" s="1649">
        <v>1508</v>
      </c>
      <c r="DH97" s="1649">
        <v>1544</v>
      </c>
      <c r="DI97" s="1649">
        <v>1572</v>
      </c>
      <c r="DJ97" s="1649">
        <v>1603</v>
      </c>
      <c r="DK97" s="1649">
        <v>1591</v>
      </c>
      <c r="DL97" s="1649">
        <v>1564</v>
      </c>
    </row>
    <row r="98" spans="1:116" ht="12.75" customHeight="1">
      <c r="A98" s="1539"/>
      <c r="B98" s="1642"/>
      <c r="C98" s="1642"/>
      <c r="D98" s="1642"/>
      <c r="E98" s="1641"/>
      <c r="F98" s="1642"/>
      <c r="G98" s="1642"/>
      <c r="H98" s="1642">
        <f t="shared" si="138"/>
        <v>0</v>
      </c>
      <c r="I98" s="1642">
        <f t="shared" si="139"/>
        <v>0</v>
      </c>
      <c r="J98" s="1642">
        <f t="shared" si="137"/>
        <v>0</v>
      </c>
      <c r="K98" s="1681">
        <f t="shared" si="116"/>
        <v>0</v>
      </c>
      <c r="L98" s="1642"/>
      <c r="M98" s="1642"/>
      <c r="N98" s="1642"/>
      <c r="O98" s="1642"/>
      <c r="P98" s="1642"/>
      <c r="Q98" s="1642"/>
      <c r="R98" s="1642"/>
      <c r="S98" s="1642"/>
      <c r="T98" s="1642"/>
      <c r="U98" s="1642"/>
      <c r="V98" s="1642"/>
      <c r="W98" s="1642"/>
      <c r="X98" s="1642"/>
      <c r="Y98" s="1642"/>
      <c r="Z98" s="1642"/>
      <c r="AA98" s="1642"/>
      <c r="AB98" s="1642"/>
      <c r="AC98" s="1642"/>
      <c r="AD98" s="1642"/>
      <c r="AE98" s="1642"/>
      <c r="AF98" s="1641"/>
      <c r="AG98" s="1642"/>
      <c r="AH98" s="1642"/>
      <c r="AI98" s="1642"/>
      <c r="AJ98" s="1641"/>
      <c r="AK98" s="1642"/>
      <c r="AL98" s="1642"/>
      <c r="AM98" s="1642"/>
      <c r="AN98" s="1641"/>
      <c r="AO98" s="1642"/>
      <c r="AP98" s="1642"/>
      <c r="AQ98" s="1642"/>
      <c r="AR98" s="1641"/>
      <c r="AS98" s="1642"/>
      <c r="AT98" s="1642"/>
      <c r="AU98" s="1642"/>
      <c r="AV98" s="1641"/>
      <c r="AW98" s="1642"/>
      <c r="AX98" s="1642"/>
      <c r="AY98" s="1642"/>
      <c r="AZ98" s="1641"/>
      <c r="BA98" s="1642"/>
      <c r="BB98" s="1642"/>
      <c r="BC98" s="1642"/>
      <c r="BD98" s="1641"/>
      <c r="BE98" s="1642"/>
      <c r="BF98" s="1642"/>
      <c r="BG98" s="1642"/>
      <c r="BH98" s="1641"/>
      <c r="BI98" s="1642"/>
      <c r="BJ98" s="1642"/>
      <c r="BK98" s="1642"/>
      <c r="BL98" s="1641"/>
      <c r="BM98" s="1642"/>
      <c r="BN98" s="1642"/>
      <c r="BO98" s="1642"/>
      <c r="BP98" s="1641"/>
      <c r="BQ98" s="1642"/>
      <c r="BR98" s="1642"/>
      <c r="BS98" s="1642"/>
      <c r="BT98" s="1641"/>
      <c r="BU98" s="1634"/>
      <c r="BV98" s="1634"/>
      <c r="BW98" s="1634"/>
      <c r="BX98" s="1633"/>
      <c r="BY98" s="1634"/>
      <c r="BZ98" s="1634"/>
      <c r="CA98" s="1642"/>
      <c r="CB98" s="1641"/>
      <c r="CC98" s="1642"/>
      <c r="CD98" s="1642"/>
      <c r="CE98" s="1642"/>
      <c r="CF98" s="1641"/>
      <c r="CG98" s="1642"/>
      <c r="CH98" s="1642"/>
      <c r="CI98" s="1642"/>
      <c r="CJ98" s="1641"/>
      <c r="CK98" s="1642"/>
      <c r="CL98" s="1642"/>
      <c r="CM98" s="1681"/>
      <c r="CN98" s="1672"/>
      <c r="CO98" s="1672"/>
      <c r="CP98" s="1672"/>
      <c r="CQ98" s="1681"/>
      <c r="CR98" s="1672"/>
      <c r="CS98" s="1672"/>
      <c r="CT98" s="1672"/>
      <c r="CU98" s="1681"/>
      <c r="CV98" s="1672"/>
      <c r="CW98" s="1672"/>
      <c r="CX98" s="1672"/>
      <c r="CY98" s="1681"/>
      <c r="CZ98" s="1672"/>
      <c r="DA98" s="1672"/>
      <c r="DB98" s="1672"/>
      <c r="DC98" s="1672"/>
      <c r="DD98" s="1672"/>
      <c r="DE98" s="1672"/>
      <c r="DF98" s="1672"/>
      <c r="DG98" s="1672"/>
      <c r="DH98" s="1672"/>
      <c r="DI98" s="1672"/>
      <c r="DJ98" s="1672"/>
      <c r="DK98" s="1672"/>
      <c r="DL98" s="1672"/>
    </row>
    <row r="99" spans="1:116" ht="12.75" hidden="1" customHeight="1">
      <c r="A99" s="1539"/>
      <c r="B99" s="1642"/>
      <c r="C99" s="1642"/>
      <c r="D99" s="1642"/>
      <c r="E99" s="1641"/>
      <c r="F99" s="1642"/>
      <c r="G99" s="1642"/>
      <c r="H99" s="1642"/>
      <c r="I99" s="1642"/>
      <c r="J99" s="1642"/>
      <c r="K99" s="1681"/>
      <c r="L99" s="1642"/>
      <c r="M99" s="1642"/>
      <c r="N99" s="1642"/>
      <c r="O99" s="1642"/>
      <c r="P99" s="1642"/>
      <c r="Q99" s="1642"/>
      <c r="R99" s="1642"/>
      <c r="S99" s="1642"/>
      <c r="T99" s="1642"/>
      <c r="U99" s="1642"/>
      <c r="V99" s="1642"/>
      <c r="W99" s="1642"/>
      <c r="X99" s="1642"/>
      <c r="Y99" s="1642"/>
      <c r="Z99" s="1642"/>
      <c r="AA99" s="1642"/>
      <c r="AB99" s="1642"/>
      <c r="AC99" s="1642"/>
      <c r="AD99" s="1642"/>
      <c r="AE99" s="1642"/>
      <c r="AF99" s="1641"/>
      <c r="AG99" s="1642"/>
      <c r="AH99" s="1642"/>
      <c r="AI99" s="1642"/>
      <c r="AJ99" s="1641"/>
      <c r="AK99" s="1642"/>
      <c r="AL99" s="1642"/>
      <c r="AM99" s="1642"/>
      <c r="AN99" s="1641"/>
      <c r="AO99" s="1642"/>
      <c r="AP99" s="1642"/>
      <c r="AQ99" s="1642"/>
      <c r="AR99" s="1641"/>
      <c r="AS99" s="1642"/>
      <c r="AT99" s="1642"/>
      <c r="AU99" s="1642"/>
      <c r="AV99" s="1641"/>
      <c r="AW99" s="1642"/>
      <c r="AX99" s="1642"/>
      <c r="AY99" s="1642"/>
      <c r="AZ99" s="1641"/>
      <c r="BA99" s="1642"/>
      <c r="BB99" s="1642"/>
      <c r="BC99" s="1642"/>
      <c r="BD99" s="1641"/>
      <c r="BE99" s="1642"/>
      <c r="BF99" s="1642"/>
      <c r="BG99" s="1642"/>
      <c r="BH99" s="1641"/>
      <c r="BI99" s="1642"/>
      <c r="BJ99" s="1642"/>
      <c r="BK99" s="1642"/>
      <c r="BL99" s="1641"/>
      <c r="BM99" s="1642"/>
      <c r="BN99" s="1642"/>
      <c r="BO99" s="1642"/>
      <c r="BP99" s="1641"/>
      <c r="BQ99" s="1642"/>
      <c r="BR99" s="1642"/>
      <c r="BS99" s="1642"/>
      <c r="BT99" s="1641"/>
      <c r="BU99" s="1634"/>
      <c r="BV99" s="1634"/>
      <c r="BW99" s="1634"/>
      <c r="BX99" s="1633"/>
      <c r="BY99" s="1634"/>
      <c r="BZ99" s="1634"/>
      <c r="CA99" s="1642"/>
      <c r="CB99" s="1641"/>
      <c r="CC99" s="1642"/>
      <c r="CD99" s="1642"/>
      <c r="CE99" s="1642"/>
      <c r="CF99" s="1641"/>
      <c r="CG99" s="1642"/>
      <c r="CH99" s="1642"/>
      <c r="CI99" s="1642"/>
      <c r="CJ99" s="1641"/>
      <c r="CK99" s="1642"/>
      <c r="CL99" s="1642"/>
      <c r="CM99" s="1681"/>
      <c r="CN99" s="1672"/>
      <c r="CO99" s="1672"/>
      <c r="CP99" s="1672"/>
      <c r="CQ99" s="1681"/>
      <c r="CR99" s="1672"/>
      <c r="CS99" s="1672"/>
      <c r="CT99" s="1672"/>
      <c r="CU99" s="1681"/>
      <c r="CV99" s="1672"/>
      <c r="CW99" s="1672"/>
      <c r="CX99" s="1672"/>
      <c r="CY99" s="1681"/>
      <c r="CZ99" s="1672"/>
      <c r="DA99" s="1672"/>
      <c r="DB99" s="1672"/>
      <c r="DC99" s="1672"/>
      <c r="DD99" s="1672"/>
      <c r="DE99" s="1672"/>
      <c r="DF99" s="1672"/>
      <c r="DG99" s="1672"/>
      <c r="DH99" s="1672"/>
      <c r="DI99" s="1672"/>
      <c r="DJ99" s="1672"/>
      <c r="DK99" s="1672"/>
      <c r="DL99" s="1672"/>
    </row>
    <row r="100" spans="1:116" ht="12.75" customHeight="1">
      <c r="A100" s="1628" t="s">
        <v>1252</v>
      </c>
      <c r="B100" s="1642"/>
      <c r="C100" s="1642"/>
      <c r="D100" s="1642"/>
      <c r="E100" s="1641"/>
      <c r="F100" s="1642">
        <v>276</v>
      </c>
      <c r="G100" s="1642">
        <v>276</v>
      </c>
      <c r="H100" s="1642">
        <f t="shared" si="138"/>
        <v>275</v>
      </c>
      <c r="I100" s="1642">
        <f t="shared" si="139"/>
        <v>275</v>
      </c>
      <c r="J100" s="1642">
        <f t="shared" si="137"/>
        <v>275</v>
      </c>
      <c r="K100" s="1681">
        <f t="shared" si="116"/>
        <v>277</v>
      </c>
      <c r="L100" s="1642"/>
      <c r="M100" s="1642"/>
      <c r="N100" s="1642"/>
      <c r="O100" s="1642"/>
      <c r="P100" s="1642"/>
      <c r="Q100" s="1642"/>
      <c r="R100" s="1642"/>
      <c r="S100" s="1642"/>
      <c r="T100" s="1642"/>
      <c r="U100" s="1642"/>
      <c r="V100" s="1642"/>
      <c r="W100" s="1642"/>
      <c r="X100" s="1642"/>
      <c r="Y100" s="1642"/>
      <c r="Z100" s="1642"/>
      <c r="AA100" s="1642"/>
      <c r="AB100" s="1642"/>
      <c r="AC100" s="1642"/>
      <c r="AD100" s="1642"/>
      <c r="AE100" s="1642"/>
      <c r="AF100" s="1641"/>
      <c r="AG100" s="1642"/>
      <c r="AH100" s="1642"/>
      <c r="AI100" s="1642"/>
      <c r="AJ100" s="1641"/>
      <c r="AK100" s="1642"/>
      <c r="AL100" s="1642"/>
      <c r="AM100" s="1642"/>
      <c r="AN100" s="1641"/>
      <c r="AO100" s="1642"/>
      <c r="AP100" s="1642"/>
      <c r="AQ100" s="1642">
        <f>_fye99</f>
        <v>276</v>
      </c>
      <c r="AR100" s="1641"/>
      <c r="AS100" s="1642">
        <v>275</v>
      </c>
      <c r="AT100" s="1642">
        <v>275</v>
      </c>
      <c r="AU100" s="1642">
        <v>275</v>
      </c>
      <c r="AV100" s="1641">
        <v>275</v>
      </c>
      <c r="AW100" s="1642">
        <v>275</v>
      </c>
      <c r="AX100" s="1642">
        <v>275</v>
      </c>
      <c r="AY100" s="1642">
        <v>275</v>
      </c>
      <c r="AZ100" s="1641">
        <v>275</v>
      </c>
      <c r="BA100" s="1642">
        <v>275</v>
      </c>
      <c r="BB100" s="1642">
        <v>275</v>
      </c>
      <c r="BC100" s="1642">
        <v>275</v>
      </c>
      <c r="BD100" s="1641">
        <v>276</v>
      </c>
      <c r="BE100" s="1642">
        <v>276</v>
      </c>
      <c r="BF100" s="1642">
        <v>277</v>
      </c>
      <c r="BG100" s="1642">
        <v>277</v>
      </c>
      <c r="BH100" s="1641">
        <v>277</v>
      </c>
      <c r="BI100" s="1642">
        <v>277</v>
      </c>
      <c r="BJ100" s="1642">
        <v>277</v>
      </c>
      <c r="BK100" s="1642">
        <v>277</v>
      </c>
      <c r="BL100" s="1641">
        <v>277</v>
      </c>
      <c r="BM100" s="1642">
        <v>277</v>
      </c>
      <c r="BN100" s="1642">
        <v>277</v>
      </c>
      <c r="BO100" s="1642">
        <v>277</v>
      </c>
      <c r="BP100" s="1641">
        <v>294</v>
      </c>
      <c r="BQ100" s="1642">
        <v>294</v>
      </c>
      <c r="BR100" s="1642">
        <v>297</v>
      </c>
      <c r="BS100" s="1642">
        <v>297</v>
      </c>
      <c r="BT100" s="1641">
        <v>297</v>
      </c>
      <c r="BU100" s="1634">
        <v>297</v>
      </c>
      <c r="BV100" s="1634">
        <v>297</v>
      </c>
      <c r="BW100" s="1634">
        <v>297</v>
      </c>
      <c r="BX100" s="1633">
        <v>297</v>
      </c>
      <c r="BY100" s="1634">
        <v>297</v>
      </c>
      <c r="BZ100" s="1634">
        <v>297</v>
      </c>
      <c r="CA100" s="1634">
        <v>297</v>
      </c>
      <c r="CB100" s="1633">
        <v>297</v>
      </c>
      <c r="CC100" s="1634">
        <v>297</v>
      </c>
      <c r="CD100" s="1634">
        <v>297</v>
      </c>
      <c r="CE100" s="1634">
        <v>297</v>
      </c>
      <c r="CF100" s="1633">
        <v>297</v>
      </c>
      <c r="CG100" s="1634">
        <v>297</v>
      </c>
      <c r="CH100" s="1634">
        <v>297</v>
      </c>
      <c r="CI100" s="1634">
        <v>297</v>
      </c>
      <c r="CJ100" s="1633">
        <v>297</v>
      </c>
      <c r="CK100" s="1634">
        <v>297</v>
      </c>
      <c r="CL100" s="1634">
        <v>297</v>
      </c>
      <c r="CM100" s="1648">
        <v>297</v>
      </c>
      <c r="CN100" s="1649">
        <v>297</v>
      </c>
      <c r="CO100" s="1649">
        <v>297</v>
      </c>
      <c r="CP100" s="1649">
        <v>297</v>
      </c>
      <c r="CQ100" s="1648">
        <v>297</v>
      </c>
      <c r="CR100" s="1649">
        <v>297</v>
      </c>
      <c r="CS100" s="1649">
        <v>297</v>
      </c>
      <c r="CT100" s="1649">
        <v>297</v>
      </c>
      <c r="CU100" s="1648">
        <v>297</v>
      </c>
      <c r="CV100" s="1649">
        <v>424</v>
      </c>
      <c r="CW100" s="1649">
        <v>424</v>
      </c>
      <c r="CX100" s="1649">
        <v>424</v>
      </c>
      <c r="CY100" s="1648">
        <v>424</v>
      </c>
      <c r="CZ100" s="1649">
        <v>424</v>
      </c>
      <c r="DA100" s="1649">
        <v>424</v>
      </c>
      <c r="DB100" s="1649">
        <v>424</v>
      </c>
      <c r="DC100" s="1649">
        <v>424</v>
      </c>
      <c r="DD100" s="1649">
        <v>424</v>
      </c>
      <c r="DE100" s="1649">
        <v>424</v>
      </c>
      <c r="DF100" s="1649">
        <v>424</v>
      </c>
      <c r="DG100" s="1649">
        <v>424</v>
      </c>
      <c r="DH100" s="1649">
        <v>424</v>
      </c>
      <c r="DI100" s="1649">
        <v>424</v>
      </c>
      <c r="DJ100" s="1649">
        <v>424</v>
      </c>
      <c r="DK100" s="1649">
        <v>424</v>
      </c>
      <c r="DL100" s="1649">
        <v>429</v>
      </c>
    </row>
    <row r="101" spans="1:116" ht="12.75" customHeight="1">
      <c r="A101" s="1628" t="s">
        <v>1253</v>
      </c>
      <c r="B101" s="1642"/>
      <c r="C101" s="1642"/>
      <c r="D101" s="1642"/>
      <c r="E101" s="1641"/>
      <c r="F101" s="1642">
        <v>20160</v>
      </c>
      <c r="G101" s="1642">
        <v>20134</v>
      </c>
      <c r="H101" s="1642">
        <f t="shared" si="138"/>
        <v>24555</v>
      </c>
      <c r="I101" s="1642">
        <f t="shared" si="139"/>
        <v>24676</v>
      </c>
      <c r="J101" s="1642">
        <f t="shared" si="137"/>
        <v>24685</v>
      </c>
      <c r="K101" s="1681">
        <f t="shared" si="116"/>
        <v>25363</v>
      </c>
      <c r="L101" s="1642"/>
      <c r="M101" s="1642"/>
      <c r="N101" s="1642"/>
      <c r="O101" s="1642"/>
      <c r="P101" s="1642"/>
      <c r="Q101" s="1642"/>
      <c r="R101" s="1642"/>
      <c r="S101" s="1642"/>
      <c r="T101" s="1642"/>
      <c r="U101" s="1642"/>
      <c r="V101" s="1642"/>
      <c r="W101" s="1642"/>
      <c r="X101" s="1642"/>
      <c r="Y101" s="1642"/>
      <c r="Z101" s="1642"/>
      <c r="AA101" s="1642"/>
      <c r="AB101" s="1642"/>
      <c r="AC101" s="1642"/>
      <c r="AD101" s="1642"/>
      <c r="AE101" s="1642"/>
      <c r="AF101" s="1641"/>
      <c r="AG101" s="1642"/>
      <c r="AH101" s="1642"/>
      <c r="AI101" s="1642"/>
      <c r="AJ101" s="1641"/>
      <c r="AK101" s="1642"/>
      <c r="AL101" s="1642"/>
      <c r="AM101" s="1642"/>
      <c r="AN101" s="1641"/>
      <c r="AO101" s="1642"/>
      <c r="AP101" s="1642"/>
      <c r="AQ101" s="1642">
        <f>_fye99</f>
        <v>20134</v>
      </c>
      <c r="AR101" s="1641"/>
      <c r="AS101" s="1642">
        <v>25175</v>
      </c>
      <c r="AT101" s="1642">
        <v>24323</v>
      </c>
      <c r="AU101" s="1642">
        <v>24555</v>
      </c>
      <c r="AV101" s="1641">
        <v>24545</v>
      </c>
      <c r="AW101" s="1642">
        <v>24498</v>
      </c>
      <c r="AX101" s="1642">
        <v>24505</v>
      </c>
      <c r="AY101" s="1642">
        <v>24676</v>
      </c>
      <c r="AZ101" s="1641">
        <v>24685</v>
      </c>
      <c r="BA101" s="1642">
        <v>24713</v>
      </c>
      <c r="BB101" s="1642">
        <v>24671</v>
      </c>
      <c r="BC101" s="1642">
        <v>24685</v>
      </c>
      <c r="BD101" s="1641">
        <v>24804</v>
      </c>
      <c r="BE101" s="1642">
        <v>25023</v>
      </c>
      <c r="BF101" s="1642">
        <v>25159</v>
      </c>
      <c r="BG101" s="1642">
        <v>25363</v>
      </c>
      <c r="BH101" s="1641">
        <v>25445</v>
      </c>
      <c r="BI101" s="1642">
        <v>25461</v>
      </c>
      <c r="BJ101" s="1642">
        <v>25420</v>
      </c>
      <c r="BK101" s="1642">
        <v>25404</v>
      </c>
      <c r="BL101" s="1641">
        <v>25387</v>
      </c>
      <c r="BM101" s="1642">
        <v>25385</v>
      </c>
      <c r="BN101" s="1642">
        <v>25361</v>
      </c>
      <c r="BO101" s="1642">
        <v>25369</v>
      </c>
      <c r="BP101" s="1641">
        <v>30379</v>
      </c>
      <c r="BQ101" s="1642">
        <v>30381</v>
      </c>
      <c r="BR101" s="1642">
        <v>31423</v>
      </c>
      <c r="BS101" s="1642">
        <v>40124</v>
      </c>
      <c r="BT101" s="1641">
        <v>40122</v>
      </c>
      <c r="BU101" s="1634">
        <v>40217</v>
      </c>
      <c r="BV101" s="1634">
        <v>40289</v>
      </c>
      <c r="BW101" s="1634">
        <v>40316</v>
      </c>
      <c r="BX101" s="1633">
        <v>40290</v>
      </c>
      <c r="BY101" s="1634">
        <v>40291</v>
      </c>
      <c r="BZ101" s="1634">
        <v>40290</v>
      </c>
      <c r="CA101" s="1634">
        <v>40291</v>
      </c>
      <c r="CB101" s="1633">
        <v>40108</v>
      </c>
      <c r="CC101" s="1634">
        <v>40102</v>
      </c>
      <c r="CD101" s="1634">
        <v>40100</v>
      </c>
      <c r="CE101" s="1634">
        <v>40108</v>
      </c>
      <c r="CF101" s="1633">
        <v>40108</v>
      </c>
      <c r="CG101" s="1634">
        <v>40108</v>
      </c>
      <c r="CH101" s="1634">
        <v>37921</v>
      </c>
      <c r="CI101" s="1634">
        <v>37922</v>
      </c>
      <c r="CJ101" s="1633">
        <v>37914</v>
      </c>
      <c r="CK101" s="1634">
        <v>37914</v>
      </c>
      <c r="CL101" s="1634">
        <v>37912</v>
      </c>
      <c r="CM101" s="1648">
        <v>37919</v>
      </c>
      <c r="CN101" s="1649">
        <v>37926</v>
      </c>
      <c r="CO101" s="1649">
        <v>37932</v>
      </c>
      <c r="CP101" s="1649">
        <v>37959</v>
      </c>
      <c r="CQ101" s="1648">
        <v>37990</v>
      </c>
      <c r="CR101" s="1649">
        <v>37894</v>
      </c>
      <c r="CS101" s="1649">
        <v>37895</v>
      </c>
      <c r="CT101" s="1649">
        <v>37918</v>
      </c>
      <c r="CU101" s="1648">
        <v>37939</v>
      </c>
      <c r="CV101" s="1649">
        <v>10976</v>
      </c>
      <c r="CW101" s="1649">
        <v>11038</v>
      </c>
      <c r="CX101" s="1649">
        <v>11089</v>
      </c>
      <c r="CY101" s="1648">
        <v>11155</v>
      </c>
      <c r="CZ101" s="1649">
        <v>10391</v>
      </c>
      <c r="DA101" s="1649">
        <v>11167</v>
      </c>
      <c r="DB101" s="1649">
        <v>11184</v>
      </c>
      <c r="DC101" s="1649">
        <v>11196</v>
      </c>
      <c r="DD101" s="1649">
        <v>11191</v>
      </c>
      <c r="DE101" s="1649">
        <v>11192</v>
      </c>
      <c r="DF101" s="1649">
        <v>11179</v>
      </c>
      <c r="DG101" s="1649">
        <v>11182</v>
      </c>
      <c r="DH101" s="1649">
        <v>11161</v>
      </c>
      <c r="DI101" s="1649">
        <v>11099</v>
      </c>
      <c r="DJ101" s="1649">
        <v>11098</v>
      </c>
      <c r="DK101" s="1649">
        <v>11101</v>
      </c>
      <c r="DL101" s="1649">
        <v>13437</v>
      </c>
    </row>
    <row r="102" spans="1:116" ht="12.75" customHeight="1">
      <c r="A102" s="1628" t="s">
        <v>1254</v>
      </c>
      <c r="B102" s="1642"/>
      <c r="C102" s="1642"/>
      <c r="D102" s="1642"/>
      <c r="E102" s="1641"/>
      <c r="F102" s="1642">
        <v>3754</v>
      </c>
      <c r="G102" s="1642">
        <v>7428</v>
      </c>
      <c r="H102" s="1642">
        <f t="shared" si="138"/>
        <v>14667</v>
      </c>
      <c r="I102" s="1642">
        <f t="shared" si="139"/>
        <v>10704</v>
      </c>
      <c r="J102" s="1642">
        <f t="shared" si="137"/>
        <v>10536</v>
      </c>
      <c r="K102" s="1681">
        <f t="shared" si="116"/>
        <v>9409</v>
      </c>
      <c r="L102" s="1642"/>
      <c r="M102" s="1642"/>
      <c r="N102" s="1642"/>
      <c r="O102" s="1642"/>
      <c r="P102" s="1642"/>
      <c r="Q102" s="1642"/>
      <c r="R102" s="1642"/>
      <c r="S102" s="1642"/>
      <c r="T102" s="1642"/>
      <c r="U102" s="1642"/>
      <c r="V102" s="1642"/>
      <c r="W102" s="1642"/>
      <c r="X102" s="1642"/>
      <c r="Y102" s="1642"/>
      <c r="Z102" s="1642"/>
      <c r="AA102" s="1642"/>
      <c r="AB102" s="1642"/>
      <c r="AC102" s="1642"/>
      <c r="AD102" s="1642"/>
      <c r="AE102" s="1642"/>
      <c r="AF102" s="1641"/>
      <c r="AG102" s="1642"/>
      <c r="AH102" s="1642"/>
      <c r="AI102" s="1642"/>
      <c r="AJ102" s="1641"/>
      <c r="AK102" s="1642"/>
      <c r="AL102" s="1642"/>
      <c r="AM102" s="1642"/>
      <c r="AN102" s="1641"/>
      <c r="AO102" s="1642"/>
      <c r="AP102" s="1642"/>
      <c r="AQ102" s="1642">
        <f>_fye99</f>
        <v>7428</v>
      </c>
      <c r="AR102" s="1641"/>
      <c r="AS102" s="1642">
        <v>11512</v>
      </c>
      <c r="AT102" s="1642">
        <v>13891</v>
      </c>
      <c r="AU102" s="1642">
        <v>14667</v>
      </c>
      <c r="AV102" s="1641">
        <v>15200</v>
      </c>
      <c r="AW102" s="1642">
        <v>13137</v>
      </c>
      <c r="AX102" s="1642">
        <v>13968</v>
      </c>
      <c r="AY102" s="1642">
        <v>10704</v>
      </c>
      <c r="AZ102" s="1641">
        <v>9065</v>
      </c>
      <c r="BA102" s="1642">
        <v>5842</v>
      </c>
      <c r="BB102" s="1642">
        <v>9223</v>
      </c>
      <c r="BC102" s="1642">
        <v>10536</v>
      </c>
      <c r="BD102" s="1641">
        <v>11922</v>
      </c>
      <c r="BE102" s="1642">
        <v>11200</v>
      </c>
      <c r="BF102" s="1642">
        <v>11931</v>
      </c>
      <c r="BG102" s="1642">
        <v>9409</v>
      </c>
      <c r="BH102" s="1641">
        <v>9542</v>
      </c>
      <c r="BI102" s="1642">
        <v>10275</v>
      </c>
      <c r="BJ102" s="1642">
        <v>11005</v>
      </c>
      <c r="BK102" s="1642">
        <v>12984</v>
      </c>
      <c r="BL102" s="1641">
        <v>13621</v>
      </c>
      <c r="BM102" s="1642">
        <v>14615</v>
      </c>
      <c r="BN102" s="1642">
        <v>15365</v>
      </c>
      <c r="BO102" s="1642">
        <v>15905</v>
      </c>
      <c r="BP102" s="1641">
        <v>16290</v>
      </c>
      <c r="BQ102" s="1642">
        <v>16729</v>
      </c>
      <c r="BR102" s="1642">
        <v>17471</v>
      </c>
      <c r="BS102" s="1642">
        <v>17324</v>
      </c>
      <c r="BT102" s="1641">
        <v>17485</v>
      </c>
      <c r="BU102" s="1634">
        <v>18020</v>
      </c>
      <c r="BV102" s="1634">
        <v>18049</v>
      </c>
      <c r="BW102" s="1634">
        <v>17884</v>
      </c>
      <c r="BX102" s="1633">
        <v>18301</v>
      </c>
      <c r="BY102" s="1634">
        <v>18958</v>
      </c>
      <c r="BZ102" s="1634">
        <v>19322</v>
      </c>
      <c r="CA102" s="1634">
        <v>19250</v>
      </c>
      <c r="CB102" s="1633">
        <v>19588</v>
      </c>
      <c r="CC102" s="1634">
        <v>19765</v>
      </c>
      <c r="CD102" s="1634">
        <v>19591</v>
      </c>
      <c r="CE102" s="1634">
        <v>17592</v>
      </c>
      <c r="CF102" s="1633">
        <v>16658</v>
      </c>
      <c r="CG102" s="1634">
        <v>15117</v>
      </c>
      <c r="CH102" s="1634">
        <v>14621</v>
      </c>
      <c r="CI102" s="1634">
        <v>4368</v>
      </c>
      <c r="CJ102" s="1633">
        <v>4427</v>
      </c>
      <c r="CK102" s="1634">
        <v>4656</v>
      </c>
      <c r="CL102" s="1634">
        <v>4619</v>
      </c>
      <c r="CM102" s="1648">
        <v>1179</v>
      </c>
      <c r="CN102" s="1649">
        <v>1444</v>
      </c>
      <c r="CO102" s="1649">
        <v>1845</v>
      </c>
      <c r="CP102" s="1649">
        <v>1968</v>
      </c>
      <c r="CQ102" s="1648">
        <v>-3734</v>
      </c>
      <c r="CR102" s="1649">
        <v>-3255</v>
      </c>
      <c r="CS102" s="1649">
        <v>-2483</v>
      </c>
      <c r="CT102" s="1649">
        <v>-1768</v>
      </c>
      <c r="CU102" s="1648">
        <v>1782</v>
      </c>
      <c r="CV102" s="1649">
        <v>3534</v>
      </c>
      <c r="CW102" s="1649">
        <v>5551</v>
      </c>
      <c r="CX102" s="1649">
        <v>6964</v>
      </c>
      <c r="CY102" s="1648">
        <v>2447</v>
      </c>
      <c r="CZ102" s="1649">
        <v>4422</v>
      </c>
      <c r="DA102" s="1649">
        <v>6418</v>
      </c>
      <c r="DB102" s="1649">
        <v>8156</v>
      </c>
      <c r="DC102" s="1649">
        <v>11246</v>
      </c>
      <c r="DD102" s="1649">
        <v>13253</v>
      </c>
      <c r="DE102" s="1649">
        <v>11652</v>
      </c>
      <c r="DF102" s="1649">
        <v>12918</v>
      </c>
      <c r="DG102" s="1649">
        <v>15059</v>
      </c>
      <c r="DH102" s="1649">
        <v>16153</v>
      </c>
      <c r="DI102" s="1649">
        <v>18159</v>
      </c>
      <c r="DJ102" s="1649">
        <v>19373</v>
      </c>
      <c r="DK102" s="1649">
        <v>35635</v>
      </c>
      <c r="DL102" s="1649">
        <v>39974</v>
      </c>
    </row>
    <row r="103" spans="1:116" ht="12.75" customHeight="1">
      <c r="A103" s="1628" t="s">
        <v>626</v>
      </c>
      <c r="B103" s="1734"/>
      <c r="C103" s="1642"/>
      <c r="D103" s="1642"/>
      <c r="E103" s="1641"/>
      <c r="F103" s="1642">
        <v>-1088</v>
      </c>
      <c r="G103" s="1642">
        <v>75</v>
      </c>
      <c r="H103" s="1642">
        <f t="shared" si="138"/>
        <v>-2176</v>
      </c>
      <c r="I103" s="1642">
        <f t="shared" si="139"/>
        <v>-1187</v>
      </c>
      <c r="J103" s="1642">
        <f t="shared" si="137"/>
        <v>-2110</v>
      </c>
      <c r="K103" s="1681">
        <f t="shared" si="116"/>
        <v>-1250</v>
      </c>
      <c r="L103" s="1642"/>
      <c r="M103" s="1642"/>
      <c r="N103" s="1642"/>
      <c r="O103" s="1642"/>
      <c r="P103" s="1642"/>
      <c r="Q103" s="1642"/>
      <c r="R103" s="1642"/>
      <c r="S103" s="1642"/>
      <c r="T103" s="1642"/>
      <c r="U103" s="1642"/>
      <c r="V103" s="1642"/>
      <c r="W103" s="1642"/>
      <c r="X103" s="1642"/>
      <c r="Y103" s="1642"/>
      <c r="Z103" s="1642"/>
      <c r="AA103" s="1642"/>
      <c r="AB103" s="1642"/>
      <c r="AC103" s="1642"/>
      <c r="AD103" s="1642"/>
      <c r="AE103" s="1642"/>
      <c r="AF103" s="1641"/>
      <c r="AG103" s="1642"/>
      <c r="AH103" s="1642"/>
      <c r="AI103" s="1642"/>
      <c r="AJ103" s="1641"/>
      <c r="AK103" s="1642"/>
      <c r="AL103" s="1642"/>
      <c r="AM103" s="1642"/>
      <c r="AN103" s="1641"/>
      <c r="AO103" s="1642"/>
      <c r="AP103" s="1642"/>
      <c r="AQ103" s="1642">
        <f>_fye99</f>
        <v>75</v>
      </c>
      <c r="AR103" s="1641"/>
      <c r="AS103" s="1642">
        <v>92</v>
      </c>
      <c r="AT103" s="1642">
        <v>-1202</v>
      </c>
      <c r="AU103" s="1642">
        <v>-2176</v>
      </c>
      <c r="AV103" s="1641">
        <v>-2737</v>
      </c>
      <c r="AW103" s="1642">
        <v>-692</v>
      </c>
      <c r="AX103" s="1642">
        <v>-1832</v>
      </c>
      <c r="AY103" s="1642">
        <v>-1187</v>
      </c>
      <c r="AZ103" s="1641">
        <v>-1455</v>
      </c>
      <c r="BA103" s="1642">
        <v>-924</v>
      </c>
      <c r="BB103" s="1642">
        <v>-1336</v>
      </c>
      <c r="BC103" s="1642">
        <v>-2110</v>
      </c>
      <c r="BD103" s="1641">
        <v>-2140</v>
      </c>
      <c r="BE103" s="1642">
        <v>-1757</v>
      </c>
      <c r="BF103" s="1642">
        <v>-1801</v>
      </c>
      <c r="BG103" s="1642">
        <v>-1250</v>
      </c>
      <c r="BH103" s="1641">
        <v>-1528</v>
      </c>
      <c r="BI103" s="1642">
        <v>-1669</v>
      </c>
      <c r="BJ103" s="1642">
        <v>-1372</v>
      </c>
      <c r="BK103" s="1642">
        <v>-1053</v>
      </c>
      <c r="BL103" s="1641">
        <v>-1222</v>
      </c>
      <c r="BM103" s="1642">
        <v>-1613</v>
      </c>
      <c r="BN103" s="1642">
        <v>-1710</v>
      </c>
      <c r="BO103" s="1642">
        <v>-1783</v>
      </c>
      <c r="BP103" s="1641">
        <v>-1655</v>
      </c>
      <c r="BQ103" s="1642">
        <v>-1497</v>
      </c>
      <c r="BR103" s="1642">
        <v>-1516</v>
      </c>
      <c r="BS103" s="1642">
        <v>-8064</v>
      </c>
      <c r="BT103" s="1641">
        <v>-7136</v>
      </c>
      <c r="BU103" s="1634">
        <v>-6532</v>
      </c>
      <c r="BV103" s="1634">
        <v>-6216</v>
      </c>
      <c r="BW103" s="1634">
        <v>-4506</v>
      </c>
      <c r="BX103" s="1633">
        <v>-4207</v>
      </c>
      <c r="BY103" s="1634">
        <v>-4150</v>
      </c>
      <c r="BZ103" s="1634">
        <v>-4199</v>
      </c>
      <c r="CA103" s="1634">
        <v>-13372</v>
      </c>
      <c r="CB103" s="1633">
        <v>-13387</v>
      </c>
      <c r="CC103" s="1634">
        <v>-12742</v>
      </c>
      <c r="CD103" s="1634">
        <v>-12058</v>
      </c>
      <c r="CE103" s="1634">
        <v>-11479</v>
      </c>
      <c r="CF103" s="1633">
        <v>-11442</v>
      </c>
      <c r="CG103" s="1634">
        <v>-11140</v>
      </c>
      <c r="CH103" s="1634">
        <v>-9835</v>
      </c>
      <c r="CI103" s="1634">
        <v>1049</v>
      </c>
      <c r="CJ103" s="1633">
        <v>1293</v>
      </c>
      <c r="CK103" s="1634">
        <v>1354</v>
      </c>
      <c r="CL103" s="1634">
        <v>1037</v>
      </c>
      <c r="CM103" s="1648">
        <v>1269</v>
      </c>
      <c r="CN103" s="1649">
        <v>1398</v>
      </c>
      <c r="CO103" s="1649">
        <v>1147</v>
      </c>
      <c r="CP103" s="1649">
        <v>1257</v>
      </c>
      <c r="CQ103" s="1648">
        <v>2235</v>
      </c>
      <c r="CR103" s="1649">
        <v>2056</v>
      </c>
      <c r="CS103" s="1649">
        <v>1994</v>
      </c>
      <c r="CT103" s="1649">
        <v>2118</v>
      </c>
      <c r="CU103" s="1648">
        <v>2358</v>
      </c>
      <c r="CV103" s="1649">
        <v>1290</v>
      </c>
      <c r="CW103" s="1649">
        <v>1188</v>
      </c>
      <c r="CX103" s="1649">
        <v>1175</v>
      </c>
      <c r="CY103" s="1648">
        <v>1111</v>
      </c>
      <c r="CZ103" s="1649">
        <v>916</v>
      </c>
      <c r="DA103" s="1649">
        <v>821</v>
      </c>
      <c r="DB103" s="1649">
        <v>600</v>
      </c>
      <c r="DC103" s="1649">
        <v>550</v>
      </c>
      <c r="DD103" s="1649">
        <v>459</v>
      </c>
      <c r="DE103" s="1649">
        <v>2847</v>
      </c>
      <c r="DF103" s="1649">
        <v>2758</v>
      </c>
      <c r="DG103" s="1649">
        <v>2673</v>
      </c>
      <c r="DH103" s="1649">
        <v>2609</v>
      </c>
      <c r="DI103" s="1649">
        <v>2284</v>
      </c>
      <c r="DJ103" s="1649">
        <v>2683</v>
      </c>
      <c r="DK103" s="1649">
        <v>2659</v>
      </c>
      <c r="DL103" s="1649">
        <v>3705</v>
      </c>
    </row>
    <row r="104" spans="1:116" ht="12.75" customHeight="1">
      <c r="A104" s="1390"/>
      <c r="B104" s="1693"/>
      <c r="C104" s="1693"/>
      <c r="D104" s="1693"/>
      <c r="E104" s="1694"/>
      <c r="F104" s="1693">
        <f>SUM(F100:F103)</f>
        <v>23102</v>
      </c>
      <c r="G104" s="1693">
        <f>SUM(G100:G103)</f>
        <v>27913</v>
      </c>
      <c r="H104" s="1693">
        <f t="shared" si="138"/>
        <v>37321</v>
      </c>
      <c r="I104" s="1693">
        <f t="shared" si="139"/>
        <v>34468</v>
      </c>
      <c r="J104" s="1693">
        <f t="shared" si="137"/>
        <v>33386</v>
      </c>
      <c r="K104" s="1695">
        <f t="shared" si="116"/>
        <v>33799</v>
      </c>
      <c r="L104" s="1693"/>
      <c r="M104" s="1693"/>
      <c r="N104" s="1693"/>
      <c r="O104" s="1693"/>
      <c r="P104" s="1693"/>
      <c r="Q104" s="1693"/>
      <c r="R104" s="1693"/>
      <c r="S104" s="1693"/>
      <c r="T104" s="1693"/>
      <c r="U104" s="1693"/>
      <c r="V104" s="1693"/>
      <c r="W104" s="1693"/>
      <c r="X104" s="1693"/>
      <c r="Y104" s="1693"/>
      <c r="Z104" s="1693"/>
      <c r="AA104" s="1693"/>
      <c r="AB104" s="1693"/>
      <c r="AC104" s="1693"/>
      <c r="AD104" s="1693"/>
      <c r="AE104" s="1693"/>
      <c r="AF104" s="1694">
        <f t="shared" ref="AF104:BB104" si="157">SUM(AF100:AF103)</f>
        <v>0</v>
      </c>
      <c r="AG104" s="1693">
        <f t="shared" si="157"/>
        <v>0</v>
      </c>
      <c r="AH104" s="1693">
        <f t="shared" si="157"/>
        <v>0</v>
      </c>
      <c r="AI104" s="1693">
        <f t="shared" si="157"/>
        <v>0</v>
      </c>
      <c r="AJ104" s="1694">
        <f t="shared" si="157"/>
        <v>0</v>
      </c>
      <c r="AK104" s="1693">
        <f t="shared" si="157"/>
        <v>0</v>
      </c>
      <c r="AL104" s="1693">
        <f t="shared" si="157"/>
        <v>0</v>
      </c>
      <c r="AM104" s="1693">
        <f t="shared" si="157"/>
        <v>0</v>
      </c>
      <c r="AN104" s="1694">
        <f t="shared" si="157"/>
        <v>0</v>
      </c>
      <c r="AO104" s="1693">
        <f t="shared" si="157"/>
        <v>0</v>
      </c>
      <c r="AP104" s="1693">
        <f t="shared" si="157"/>
        <v>0</v>
      </c>
      <c r="AQ104" s="1693">
        <f t="shared" si="157"/>
        <v>27913</v>
      </c>
      <c r="AR104" s="1694">
        <f t="shared" si="157"/>
        <v>0</v>
      </c>
      <c r="AS104" s="1693">
        <f t="shared" si="157"/>
        <v>37054</v>
      </c>
      <c r="AT104" s="1693">
        <f t="shared" si="157"/>
        <v>37287</v>
      </c>
      <c r="AU104" s="1693">
        <f t="shared" si="157"/>
        <v>37321</v>
      </c>
      <c r="AV104" s="1694">
        <f t="shared" si="157"/>
        <v>37283</v>
      </c>
      <c r="AW104" s="1693">
        <f t="shared" si="157"/>
        <v>37218</v>
      </c>
      <c r="AX104" s="1693">
        <f t="shared" si="157"/>
        <v>36916</v>
      </c>
      <c r="AY104" s="1693">
        <f t="shared" si="157"/>
        <v>34468</v>
      </c>
      <c r="AZ104" s="1694">
        <f t="shared" si="157"/>
        <v>32570</v>
      </c>
      <c r="BA104" s="1693">
        <f t="shared" si="157"/>
        <v>29906</v>
      </c>
      <c r="BB104" s="1693">
        <f t="shared" si="157"/>
        <v>32833</v>
      </c>
      <c r="BC104" s="1693">
        <v>33386</v>
      </c>
      <c r="BD104" s="1694">
        <f t="shared" ref="BD104:CV104" si="158">SUM(BD100:BD103)</f>
        <v>34862</v>
      </c>
      <c r="BE104" s="1693">
        <f t="shared" si="158"/>
        <v>34742</v>
      </c>
      <c r="BF104" s="1693">
        <f t="shared" si="158"/>
        <v>35566</v>
      </c>
      <c r="BG104" s="1693">
        <f t="shared" si="158"/>
        <v>33799</v>
      </c>
      <c r="BH104" s="1694">
        <f t="shared" si="158"/>
        <v>33736</v>
      </c>
      <c r="BI104" s="1693">
        <f t="shared" si="158"/>
        <v>34344</v>
      </c>
      <c r="BJ104" s="1693">
        <f t="shared" si="158"/>
        <v>35330</v>
      </c>
      <c r="BK104" s="1693">
        <f t="shared" si="158"/>
        <v>37612</v>
      </c>
      <c r="BL104" s="1694">
        <f t="shared" si="158"/>
        <v>38063</v>
      </c>
      <c r="BM104" s="1693">
        <f t="shared" si="158"/>
        <v>38664</v>
      </c>
      <c r="BN104" s="1693">
        <f t="shared" si="158"/>
        <v>39293</v>
      </c>
      <c r="BO104" s="1693">
        <f t="shared" si="158"/>
        <v>39768</v>
      </c>
      <c r="BP104" s="1694">
        <f t="shared" si="158"/>
        <v>45308</v>
      </c>
      <c r="BQ104" s="1693">
        <f t="shared" si="158"/>
        <v>45907</v>
      </c>
      <c r="BR104" s="1693">
        <f t="shared" si="158"/>
        <v>47675</v>
      </c>
      <c r="BS104" s="1693">
        <f t="shared" si="158"/>
        <v>49681</v>
      </c>
      <c r="BT104" s="1694">
        <f t="shared" si="158"/>
        <v>50768</v>
      </c>
      <c r="BU104" s="1693">
        <f t="shared" si="158"/>
        <v>52002</v>
      </c>
      <c r="BV104" s="1693">
        <f t="shared" si="158"/>
        <v>52419</v>
      </c>
      <c r="BW104" s="1693">
        <f t="shared" si="158"/>
        <v>53991</v>
      </c>
      <c r="BX104" s="1694">
        <f t="shared" si="158"/>
        <v>54681</v>
      </c>
      <c r="BY104" s="1693">
        <f t="shared" si="158"/>
        <v>55396</v>
      </c>
      <c r="BZ104" s="1693">
        <f t="shared" si="158"/>
        <v>55710</v>
      </c>
      <c r="CA104" s="1693">
        <f t="shared" si="158"/>
        <v>46466</v>
      </c>
      <c r="CB104" s="1694">
        <f t="shared" si="158"/>
        <v>46606</v>
      </c>
      <c r="CC104" s="1693">
        <f t="shared" si="158"/>
        <v>47422</v>
      </c>
      <c r="CD104" s="1693">
        <f t="shared" si="158"/>
        <v>47930</v>
      </c>
      <c r="CE104" s="1693">
        <f t="shared" si="158"/>
        <v>46518</v>
      </c>
      <c r="CF104" s="1694">
        <f t="shared" si="158"/>
        <v>45621</v>
      </c>
      <c r="CG104" s="1693">
        <f t="shared" si="158"/>
        <v>44382</v>
      </c>
      <c r="CH104" s="1693">
        <f t="shared" si="158"/>
        <v>43004</v>
      </c>
      <c r="CI104" s="1693">
        <f t="shared" si="158"/>
        <v>43636</v>
      </c>
      <c r="CJ104" s="1694">
        <f t="shared" si="158"/>
        <v>43931</v>
      </c>
      <c r="CK104" s="1693">
        <f t="shared" si="158"/>
        <v>44221</v>
      </c>
      <c r="CL104" s="1693">
        <f t="shared" si="158"/>
        <v>43865</v>
      </c>
      <c r="CM104" s="1695">
        <f t="shared" si="158"/>
        <v>40664</v>
      </c>
      <c r="CN104" s="1267">
        <f t="shared" si="158"/>
        <v>41065</v>
      </c>
      <c r="CO104" s="1267">
        <f t="shared" si="158"/>
        <v>41221</v>
      </c>
      <c r="CP104" s="1267">
        <f t="shared" si="158"/>
        <v>41481</v>
      </c>
      <c r="CQ104" s="1695">
        <f t="shared" si="158"/>
        <v>36788</v>
      </c>
      <c r="CR104" s="1267">
        <f t="shared" si="158"/>
        <v>36992</v>
      </c>
      <c r="CS104" s="1267">
        <f t="shared" si="158"/>
        <v>37703</v>
      </c>
      <c r="CT104" s="1267">
        <f t="shared" si="158"/>
        <v>38565</v>
      </c>
      <c r="CU104" s="1695">
        <f t="shared" si="158"/>
        <v>42376</v>
      </c>
      <c r="CV104" s="1267">
        <f t="shared" si="158"/>
        <v>16224</v>
      </c>
      <c r="CW104" s="1267">
        <f t="shared" ref="CW104:DB104" si="159">SUM(CW100:CW103)</f>
        <v>18201</v>
      </c>
      <c r="CX104" s="1267">
        <f t="shared" si="159"/>
        <v>19652</v>
      </c>
      <c r="CY104" s="1695">
        <f t="shared" si="159"/>
        <v>15137</v>
      </c>
      <c r="CZ104" s="1267">
        <f t="shared" si="159"/>
        <v>16153</v>
      </c>
      <c r="DA104" s="1267">
        <f t="shared" si="159"/>
        <v>18830</v>
      </c>
      <c r="DB104" s="1267">
        <f t="shared" si="159"/>
        <v>20364</v>
      </c>
      <c r="DC104" s="1267">
        <f t="shared" ref="DC104:DH104" si="160">SUM(DC100:DC103)</f>
        <v>23416</v>
      </c>
      <c r="DD104" s="1267">
        <f t="shared" si="160"/>
        <v>25327</v>
      </c>
      <c r="DE104" s="1267">
        <f t="shared" si="160"/>
        <v>26115</v>
      </c>
      <c r="DF104" s="1267">
        <f t="shared" si="160"/>
        <v>27279</v>
      </c>
      <c r="DG104" s="1267">
        <f t="shared" si="160"/>
        <v>29338</v>
      </c>
      <c r="DH104" s="1267">
        <f t="shared" si="160"/>
        <v>30347</v>
      </c>
      <c r="DI104" s="1267">
        <f t="shared" ref="DI104:DJ104" si="161">SUM(DI100:DI103)</f>
        <v>31966</v>
      </c>
      <c r="DJ104" s="1267">
        <f t="shared" si="161"/>
        <v>33578</v>
      </c>
      <c r="DK104" s="1267">
        <f t="shared" ref="DK104:DL104" si="162">SUM(DK100:DK103)</f>
        <v>49819</v>
      </c>
      <c r="DL104" s="1267">
        <f t="shared" si="162"/>
        <v>57545</v>
      </c>
    </row>
    <row r="105" spans="1:116" ht="12.75" customHeight="1">
      <c r="A105" s="1628" t="s">
        <v>627</v>
      </c>
      <c r="B105" s="1642"/>
      <c r="C105" s="1642"/>
      <c r="D105" s="1642"/>
      <c r="E105" s="1641"/>
      <c r="F105" s="1642">
        <v>593</v>
      </c>
      <c r="G105" s="1642">
        <v>640</v>
      </c>
      <c r="H105" s="1642">
        <f t="shared" si="138"/>
        <v>1861</v>
      </c>
      <c r="I105" s="1642">
        <f t="shared" si="139"/>
        <v>1182</v>
      </c>
      <c r="J105" s="1642">
        <f t="shared" si="137"/>
        <v>218</v>
      </c>
      <c r="K105" s="1681">
        <f t="shared" si="116"/>
        <v>115</v>
      </c>
      <c r="L105" s="1642"/>
      <c r="M105" s="1642"/>
      <c r="N105" s="1642"/>
      <c r="O105" s="1642"/>
      <c r="P105" s="1642"/>
      <c r="Q105" s="1642"/>
      <c r="R105" s="1642"/>
      <c r="S105" s="1642"/>
      <c r="T105" s="1642"/>
      <c r="U105" s="1642"/>
      <c r="V105" s="1642"/>
      <c r="W105" s="1642"/>
      <c r="X105" s="1642"/>
      <c r="Y105" s="1642"/>
      <c r="Z105" s="1642"/>
      <c r="AA105" s="1642"/>
      <c r="AB105" s="1642"/>
      <c r="AC105" s="1642"/>
      <c r="AD105" s="1642"/>
      <c r="AE105" s="1642"/>
      <c r="AF105" s="1641"/>
      <c r="AG105" s="1642"/>
      <c r="AH105" s="1642"/>
      <c r="AI105" s="1642"/>
      <c r="AJ105" s="1641"/>
      <c r="AK105" s="1642"/>
      <c r="AL105" s="1642"/>
      <c r="AM105" s="1642"/>
      <c r="AN105" s="1641"/>
      <c r="AO105" s="1642"/>
      <c r="AP105" s="1642"/>
      <c r="AQ105" s="1642">
        <f>_fye99</f>
        <v>640</v>
      </c>
      <c r="AR105" s="1641"/>
      <c r="AS105" s="1642">
        <v>1200</v>
      </c>
      <c r="AT105" s="1642">
        <v>2021</v>
      </c>
      <c r="AU105" s="1642">
        <v>1861</v>
      </c>
      <c r="AV105" s="1641">
        <v>1753</v>
      </c>
      <c r="AW105" s="1642">
        <v>1525</v>
      </c>
      <c r="AX105" s="1642">
        <v>1277</v>
      </c>
      <c r="AY105" s="1642">
        <v>1182</v>
      </c>
      <c r="AZ105" s="1641">
        <v>867</v>
      </c>
      <c r="BA105" s="1642">
        <v>606</v>
      </c>
      <c r="BB105" s="1642">
        <v>402</v>
      </c>
      <c r="BC105" s="1642">
        <v>218</v>
      </c>
      <c r="BD105" s="1641">
        <v>115</v>
      </c>
      <c r="BE105" s="1642">
        <v>115</v>
      </c>
      <c r="BF105" s="1642">
        <v>115</v>
      </c>
      <c r="BG105" s="1642">
        <v>115</v>
      </c>
      <c r="BH105" s="1641">
        <v>115</v>
      </c>
      <c r="BI105" s="1642">
        <v>180</v>
      </c>
      <c r="BJ105" s="1642">
        <v>168</v>
      </c>
      <c r="BK105" s="1642">
        <v>142</v>
      </c>
      <c r="BL105" s="1641">
        <v>229</v>
      </c>
      <c r="BM105" s="1642">
        <v>298</v>
      </c>
      <c r="BN105" s="1642">
        <v>303</v>
      </c>
      <c r="BO105" s="1642">
        <v>353</v>
      </c>
      <c r="BP105" s="1641">
        <v>677</v>
      </c>
      <c r="BQ105" s="1642">
        <v>1284</v>
      </c>
      <c r="BR105" s="1642">
        <v>1575</v>
      </c>
      <c r="BS105" s="1642">
        <v>1871</v>
      </c>
      <c r="BT105" s="1641">
        <v>2185</v>
      </c>
      <c r="BU105" s="1634">
        <v>2284</v>
      </c>
      <c r="BV105" s="1634">
        <v>2832</v>
      </c>
      <c r="BW105" s="1634">
        <v>3489</v>
      </c>
      <c r="BX105" s="1633">
        <v>4481</v>
      </c>
      <c r="BY105" s="1634">
        <v>4591</v>
      </c>
      <c r="BZ105" s="1634">
        <v>4841</v>
      </c>
      <c r="CA105" s="1634">
        <v>4839</v>
      </c>
      <c r="CB105" s="1633">
        <v>4837</v>
      </c>
      <c r="CC105" s="1634">
        <v>4836</v>
      </c>
      <c r="CD105" s="1634">
        <v>4834</v>
      </c>
      <c r="CE105" s="1634">
        <v>5000</v>
      </c>
      <c r="CF105" s="1633">
        <v>5277</v>
      </c>
      <c r="CG105" s="1634">
        <v>5277</v>
      </c>
      <c r="CH105" s="1634">
        <v>5276</v>
      </c>
      <c r="CI105" s="1634">
        <v>5267</v>
      </c>
      <c r="CJ105" s="1633">
        <v>5189</v>
      </c>
      <c r="CK105" s="1634">
        <v>5132</v>
      </c>
      <c r="CL105" s="1634">
        <v>5112</v>
      </c>
      <c r="CM105" s="1648">
        <v>5002</v>
      </c>
      <c r="CN105" s="1649">
        <v>4735</v>
      </c>
      <c r="CO105" s="1649">
        <v>4438</v>
      </c>
      <c r="CP105" s="1649">
        <v>4247</v>
      </c>
      <c r="CQ105" s="1648">
        <v>4071</v>
      </c>
      <c r="CR105" s="1649">
        <v>3994</v>
      </c>
      <c r="CS105" s="1649">
        <v>3974</v>
      </c>
      <c r="CT105" s="1649">
        <v>3970</v>
      </c>
      <c r="CU105" s="1648">
        <v>3961</v>
      </c>
      <c r="CV105" s="1649">
        <v>3794</v>
      </c>
      <c r="CW105" s="1649">
        <v>3638</v>
      </c>
      <c r="CX105" s="1649">
        <v>3465</v>
      </c>
      <c r="CY105" s="1648">
        <v>3263</v>
      </c>
      <c r="CZ105" s="1649">
        <v>7093</v>
      </c>
      <c r="DA105" s="1649">
        <v>7741</v>
      </c>
      <c r="DB105" s="1649">
        <v>7604</v>
      </c>
      <c r="DC105" s="1649">
        <v>7416</v>
      </c>
      <c r="DD105" s="1649">
        <v>7279</v>
      </c>
      <c r="DE105" s="1649">
        <v>7279</v>
      </c>
      <c r="DF105" s="1649">
        <v>7264</v>
      </c>
      <c r="DG105" s="1649">
        <v>7263</v>
      </c>
      <c r="DH105" s="1649">
        <v>7144</v>
      </c>
      <c r="DI105" s="1649">
        <v>7142</v>
      </c>
      <c r="DJ105" s="1649">
        <v>7141</v>
      </c>
      <c r="DK105" s="1649">
        <v>7139</v>
      </c>
      <c r="DL105" s="1649">
        <v>6992</v>
      </c>
    </row>
    <row r="106" spans="1:116" ht="12.75" customHeight="1">
      <c r="A106" s="1628" t="s">
        <v>628</v>
      </c>
      <c r="B106" s="1734"/>
      <c r="C106" s="1734"/>
      <c r="D106" s="1642"/>
      <c r="E106" s="1641"/>
      <c r="F106" s="1642">
        <v>1074</v>
      </c>
      <c r="G106" s="1642">
        <v>897</v>
      </c>
      <c r="H106" s="1642">
        <f t="shared" si="138"/>
        <v>882</v>
      </c>
      <c r="I106" s="1642">
        <f t="shared" si="139"/>
        <v>747</v>
      </c>
      <c r="J106" s="1642">
        <f t="shared" si="137"/>
        <v>552</v>
      </c>
      <c r="K106" s="1681">
        <f t="shared" si="116"/>
        <v>218</v>
      </c>
      <c r="L106" s="1642"/>
      <c r="M106" s="1642"/>
      <c r="N106" s="1642"/>
      <c r="O106" s="1642"/>
      <c r="P106" s="1642"/>
      <c r="Q106" s="1642"/>
      <c r="R106" s="1642"/>
      <c r="S106" s="1642"/>
      <c r="T106" s="1642"/>
      <c r="U106" s="1642"/>
      <c r="V106" s="1642"/>
      <c r="W106" s="1642"/>
      <c r="X106" s="1642"/>
      <c r="Y106" s="1642"/>
      <c r="Z106" s="1642"/>
      <c r="AA106" s="1642"/>
      <c r="AB106" s="1642"/>
      <c r="AC106" s="1642"/>
      <c r="AD106" s="1642"/>
      <c r="AE106" s="1642"/>
      <c r="AF106" s="1641"/>
      <c r="AG106" s="1642"/>
      <c r="AH106" s="1642"/>
      <c r="AI106" s="1642"/>
      <c r="AJ106" s="1641"/>
      <c r="AK106" s="1642"/>
      <c r="AL106" s="1642"/>
      <c r="AM106" s="1642"/>
      <c r="AN106" s="1641"/>
      <c r="AO106" s="1642"/>
      <c r="AP106" s="1642"/>
      <c r="AQ106" s="1642">
        <f>_fye99</f>
        <v>897</v>
      </c>
      <c r="AR106" s="1641"/>
      <c r="AS106" s="1642">
        <v>827</v>
      </c>
      <c r="AT106" s="1642">
        <v>784</v>
      </c>
      <c r="AU106" s="1642">
        <v>882</v>
      </c>
      <c r="AV106" s="1641">
        <v>832</v>
      </c>
      <c r="AW106" s="1642">
        <v>784</v>
      </c>
      <c r="AX106" s="1642">
        <v>803</v>
      </c>
      <c r="AY106" s="1642">
        <v>747</v>
      </c>
      <c r="AZ106" s="1641">
        <v>696</v>
      </c>
      <c r="BA106" s="1632">
        <v>658</v>
      </c>
      <c r="BB106" s="1642">
        <v>586</v>
      </c>
      <c r="BC106" s="1642">
        <v>552</v>
      </c>
      <c r="BD106" s="1641">
        <v>478</v>
      </c>
      <c r="BE106" s="1642">
        <v>402</v>
      </c>
      <c r="BF106" s="1642">
        <v>315</v>
      </c>
      <c r="BG106" s="1642">
        <v>218</v>
      </c>
      <c r="BH106" s="1641">
        <v>126</v>
      </c>
      <c r="BI106" s="1642">
        <v>65</v>
      </c>
      <c r="BJ106" s="1642">
        <v>-12</v>
      </c>
      <c r="BK106" s="1642">
        <v>-90</v>
      </c>
      <c r="BL106" s="1641">
        <v>-146</v>
      </c>
      <c r="BM106" s="1642">
        <v>-188</v>
      </c>
      <c r="BN106" s="1642">
        <v>-233</v>
      </c>
      <c r="BO106" s="1642">
        <v>-265</v>
      </c>
      <c r="BP106" s="1641">
        <v>-140</v>
      </c>
      <c r="BQ106" s="1642">
        <v>-156</v>
      </c>
      <c r="BR106" s="1642">
        <v>-179</v>
      </c>
      <c r="BS106" s="1642">
        <v>-191</v>
      </c>
      <c r="BT106" s="1641">
        <v>-199</v>
      </c>
      <c r="BU106" s="1634">
        <v>-113</v>
      </c>
      <c r="BV106" s="1634">
        <v>-102</v>
      </c>
      <c r="BW106" s="1634">
        <v>-79</v>
      </c>
      <c r="BX106" s="1633">
        <v>-80</v>
      </c>
      <c r="BY106" s="1634">
        <v>-82</v>
      </c>
      <c r="BZ106" s="1634">
        <v>-85</v>
      </c>
      <c r="CA106" s="1634">
        <v>-79</v>
      </c>
      <c r="CB106" s="1633">
        <v>-82</v>
      </c>
      <c r="CC106" s="1634">
        <v>-86</v>
      </c>
      <c r="CD106" s="1634">
        <v>-90</v>
      </c>
      <c r="CE106" s="1634">
        <v>-88</v>
      </c>
      <c r="CF106" s="1633">
        <v>-118</v>
      </c>
      <c r="CG106" s="1634">
        <v>-149</v>
      </c>
      <c r="CH106" s="1634">
        <v>-189</v>
      </c>
      <c r="CI106" s="1634">
        <v>-200</v>
      </c>
      <c r="CJ106" s="1633">
        <v>-246</v>
      </c>
      <c r="CK106" s="1634">
        <v>-259</v>
      </c>
      <c r="CL106" s="1634">
        <v>-298</v>
      </c>
      <c r="CM106" s="1648">
        <v>-308</v>
      </c>
      <c r="CN106" s="1649">
        <v>-341</v>
      </c>
      <c r="CO106" s="1649">
        <v>-367</v>
      </c>
      <c r="CP106" s="1649">
        <v>-411</v>
      </c>
      <c r="CQ106" s="1648">
        <v>-440</v>
      </c>
      <c r="CR106" s="1649">
        <v>-312</v>
      </c>
      <c r="CS106" s="1649">
        <v>-332</v>
      </c>
      <c r="CT106" s="1649">
        <v>-390</v>
      </c>
      <c r="CU106" s="1648">
        <v>-421</v>
      </c>
      <c r="CV106" s="1649">
        <v>-281</v>
      </c>
      <c r="CW106" s="1649">
        <v>-338</v>
      </c>
      <c r="CX106" s="1649">
        <v>-390</v>
      </c>
      <c r="CY106" s="1648">
        <v>-424</v>
      </c>
      <c r="CZ106" s="1649">
        <v>-279</v>
      </c>
      <c r="DA106" s="1649">
        <v>-326</v>
      </c>
      <c r="DB106" s="1649">
        <v>-378</v>
      </c>
      <c r="DC106" s="1649">
        <v>-428</v>
      </c>
      <c r="DD106" s="1649">
        <v>-593</v>
      </c>
      <c r="DE106" s="1649">
        <v>-408</v>
      </c>
      <c r="DF106" s="1649">
        <v>-445</v>
      </c>
      <c r="DG106" s="1649">
        <v>-449</v>
      </c>
      <c r="DH106" s="1649">
        <v>-290</v>
      </c>
      <c r="DI106" s="1649">
        <v>-365</v>
      </c>
      <c r="DJ106" s="1649">
        <v>-411</v>
      </c>
      <c r="DK106" s="1649">
        <v>-416</v>
      </c>
      <c r="DL106" s="1649">
        <v>-228</v>
      </c>
    </row>
    <row r="107" spans="1:116" ht="12.75" customHeight="1">
      <c r="A107" s="954" t="s">
        <v>1259</v>
      </c>
      <c r="B107" s="1693"/>
      <c r="C107" s="1693"/>
      <c r="D107" s="1693"/>
      <c r="E107" s="1694"/>
      <c r="F107" s="1693">
        <v>21435</v>
      </c>
      <c r="G107" s="1693">
        <v>26376</v>
      </c>
      <c r="H107" s="1693">
        <f t="shared" si="138"/>
        <v>34578</v>
      </c>
      <c r="I107" s="1693">
        <f t="shared" si="139"/>
        <v>32539</v>
      </c>
      <c r="J107" s="1693">
        <f t="shared" si="137"/>
        <v>32616</v>
      </c>
      <c r="K107" s="1681">
        <f t="shared" si="116"/>
        <v>33466</v>
      </c>
      <c r="L107" s="1693"/>
      <c r="M107" s="1693"/>
      <c r="N107" s="1693"/>
      <c r="O107" s="1693"/>
      <c r="P107" s="1693"/>
      <c r="Q107" s="1693"/>
      <c r="R107" s="1693"/>
      <c r="S107" s="1693"/>
      <c r="T107" s="1693"/>
      <c r="U107" s="1693"/>
      <c r="V107" s="1693"/>
      <c r="W107" s="1693"/>
      <c r="X107" s="1693"/>
      <c r="Y107" s="1693"/>
      <c r="Z107" s="1693"/>
      <c r="AA107" s="1693"/>
      <c r="AB107" s="1693"/>
      <c r="AC107" s="1693"/>
      <c r="AD107" s="1693"/>
      <c r="AE107" s="1693"/>
      <c r="AF107" s="1694"/>
      <c r="AG107" s="1693"/>
      <c r="AH107" s="1693"/>
      <c r="AI107" s="1693"/>
      <c r="AJ107" s="1694"/>
      <c r="AK107" s="1693"/>
      <c r="AL107" s="1693"/>
      <c r="AM107" s="1693"/>
      <c r="AN107" s="1694"/>
      <c r="AO107" s="1693"/>
      <c r="AP107" s="1693"/>
      <c r="AQ107" s="1693">
        <f>_fye99</f>
        <v>26376</v>
      </c>
      <c r="AR107" s="1694"/>
      <c r="AS107" s="1693">
        <v>35027</v>
      </c>
      <c r="AT107" s="1693">
        <v>34482</v>
      </c>
      <c r="AU107" s="1693">
        <v>34578</v>
      </c>
      <c r="AV107" s="1694">
        <v>34698</v>
      </c>
      <c r="AW107" s="1693">
        <v>34909</v>
      </c>
      <c r="AX107" s="1693">
        <v>34836</v>
      </c>
      <c r="AY107" s="1693">
        <v>32539</v>
      </c>
      <c r="AZ107" s="1694">
        <v>31007</v>
      </c>
      <c r="BA107" s="1693">
        <v>28642</v>
      </c>
      <c r="BB107" s="1693">
        <v>31845</v>
      </c>
      <c r="BC107" s="1693">
        <v>32616</v>
      </c>
      <c r="BD107" s="1694">
        <f t="shared" ref="BD107:CV107" si="163">BD104-BD105-BD106</f>
        <v>34269</v>
      </c>
      <c r="BE107" s="1693">
        <f t="shared" si="163"/>
        <v>34225</v>
      </c>
      <c r="BF107" s="1693">
        <f t="shared" si="163"/>
        <v>35136</v>
      </c>
      <c r="BG107" s="1693">
        <f t="shared" si="163"/>
        <v>33466</v>
      </c>
      <c r="BH107" s="1694">
        <f t="shared" si="163"/>
        <v>33495</v>
      </c>
      <c r="BI107" s="1693">
        <f t="shared" si="163"/>
        <v>34099</v>
      </c>
      <c r="BJ107" s="1693">
        <f t="shared" si="163"/>
        <v>35174</v>
      </c>
      <c r="BK107" s="1693">
        <f t="shared" si="163"/>
        <v>37560</v>
      </c>
      <c r="BL107" s="1694">
        <f t="shared" si="163"/>
        <v>37980</v>
      </c>
      <c r="BM107" s="1693">
        <f t="shared" si="163"/>
        <v>38554</v>
      </c>
      <c r="BN107" s="1693">
        <f t="shared" si="163"/>
        <v>39223</v>
      </c>
      <c r="BO107" s="1693">
        <f t="shared" si="163"/>
        <v>39680</v>
      </c>
      <c r="BP107" s="1694">
        <f t="shared" si="163"/>
        <v>44771</v>
      </c>
      <c r="BQ107" s="1693">
        <f t="shared" si="163"/>
        <v>44779</v>
      </c>
      <c r="BR107" s="1693">
        <f t="shared" si="163"/>
        <v>46279</v>
      </c>
      <c r="BS107" s="1693">
        <f t="shared" si="163"/>
        <v>48001</v>
      </c>
      <c r="BT107" s="1694">
        <f t="shared" si="163"/>
        <v>48782</v>
      </c>
      <c r="BU107" s="1693">
        <f t="shared" si="163"/>
        <v>49831</v>
      </c>
      <c r="BV107" s="1693">
        <f t="shared" si="163"/>
        <v>49689</v>
      </c>
      <c r="BW107" s="1693">
        <f t="shared" si="163"/>
        <v>50581</v>
      </c>
      <c r="BX107" s="1694">
        <f t="shared" si="163"/>
        <v>50280</v>
      </c>
      <c r="BY107" s="1693">
        <f t="shared" si="163"/>
        <v>50887</v>
      </c>
      <c r="BZ107" s="1693">
        <f t="shared" si="163"/>
        <v>50954</v>
      </c>
      <c r="CA107" s="1693">
        <f t="shared" si="163"/>
        <v>41706</v>
      </c>
      <c r="CB107" s="1694">
        <f t="shared" si="163"/>
        <v>41851</v>
      </c>
      <c r="CC107" s="1693">
        <f t="shared" si="163"/>
        <v>42672</v>
      </c>
      <c r="CD107" s="1693">
        <f t="shared" si="163"/>
        <v>43186</v>
      </c>
      <c r="CE107" s="1693">
        <f t="shared" si="163"/>
        <v>41606</v>
      </c>
      <c r="CF107" s="1694">
        <f t="shared" si="163"/>
        <v>40462</v>
      </c>
      <c r="CG107" s="1693">
        <f t="shared" si="163"/>
        <v>39254</v>
      </c>
      <c r="CH107" s="1693">
        <f t="shared" si="163"/>
        <v>37917</v>
      </c>
      <c r="CI107" s="1693">
        <f t="shared" si="163"/>
        <v>38569</v>
      </c>
      <c r="CJ107" s="1694">
        <f t="shared" si="163"/>
        <v>38988</v>
      </c>
      <c r="CK107" s="1693">
        <f t="shared" si="163"/>
        <v>39348</v>
      </c>
      <c r="CL107" s="1693">
        <f t="shared" si="163"/>
        <v>39051</v>
      </c>
      <c r="CM107" s="1695">
        <f t="shared" si="163"/>
        <v>35970</v>
      </c>
      <c r="CN107" s="1267">
        <f t="shared" si="163"/>
        <v>36671</v>
      </c>
      <c r="CO107" s="1267">
        <f t="shared" si="163"/>
        <v>37150</v>
      </c>
      <c r="CP107" s="1267">
        <f t="shared" si="163"/>
        <v>37645</v>
      </c>
      <c r="CQ107" s="1695">
        <f t="shared" si="163"/>
        <v>33157</v>
      </c>
      <c r="CR107" s="1267">
        <f t="shared" si="163"/>
        <v>33310</v>
      </c>
      <c r="CS107" s="1267">
        <f t="shared" si="163"/>
        <v>34061</v>
      </c>
      <c r="CT107" s="1267">
        <f t="shared" si="163"/>
        <v>34985</v>
      </c>
      <c r="CU107" s="1695">
        <f t="shared" si="163"/>
        <v>38836</v>
      </c>
      <c r="CV107" s="1267">
        <f t="shared" si="163"/>
        <v>12711</v>
      </c>
      <c r="CW107" s="1267">
        <f t="shared" ref="CW107:DB107" si="164">CW104-CW105-CW106</f>
        <v>14901</v>
      </c>
      <c r="CX107" s="1267">
        <f t="shared" si="164"/>
        <v>16577</v>
      </c>
      <c r="CY107" s="1695">
        <f t="shared" si="164"/>
        <v>12298</v>
      </c>
      <c r="CZ107" s="1267">
        <f t="shared" si="164"/>
        <v>9339</v>
      </c>
      <c r="DA107" s="1267">
        <f t="shared" si="164"/>
        <v>11415</v>
      </c>
      <c r="DB107" s="1267">
        <f t="shared" si="164"/>
        <v>13138</v>
      </c>
      <c r="DC107" s="1267">
        <f t="shared" ref="DC107:DH107" si="165">DC104-DC105-DC106</f>
        <v>16428</v>
      </c>
      <c r="DD107" s="1267">
        <f t="shared" si="165"/>
        <v>18641</v>
      </c>
      <c r="DE107" s="1267">
        <f t="shared" si="165"/>
        <v>19244</v>
      </c>
      <c r="DF107" s="1267">
        <f t="shared" si="165"/>
        <v>20460</v>
      </c>
      <c r="DG107" s="1267">
        <f t="shared" si="165"/>
        <v>22524</v>
      </c>
      <c r="DH107" s="1267">
        <f t="shared" si="165"/>
        <v>23493</v>
      </c>
      <c r="DI107" s="1267">
        <f t="shared" ref="DI107:DJ107" si="166">DI104-DI105-DI106</f>
        <v>25189</v>
      </c>
      <c r="DJ107" s="1267">
        <f t="shared" si="166"/>
        <v>26848</v>
      </c>
      <c r="DK107" s="1267">
        <f t="shared" ref="DK107:DL107" si="167">DK104-DK105-DK106</f>
        <v>43096</v>
      </c>
      <c r="DL107" s="1267">
        <f t="shared" si="167"/>
        <v>50781</v>
      </c>
    </row>
    <row r="108" spans="1:116" ht="12.75" customHeight="1">
      <c r="A108" s="1629" t="s">
        <v>1237</v>
      </c>
      <c r="B108" s="1658"/>
      <c r="C108" s="1658"/>
      <c r="D108" s="1658"/>
      <c r="E108" s="1659"/>
      <c r="F108" s="1658">
        <f>F107-F104+F105+F106</f>
        <v>0</v>
      </c>
      <c r="G108" s="1658">
        <f>G107-G104+G105+G106</f>
        <v>0</v>
      </c>
      <c r="H108" s="1658">
        <f>H107-H104+H105+H106</f>
        <v>0</v>
      </c>
      <c r="I108" s="1658">
        <f>I107-I104+I105+I106</f>
        <v>0</v>
      </c>
      <c r="J108" s="1658">
        <f>J107-J104+J105+J106</f>
        <v>0</v>
      </c>
      <c r="K108" s="1681">
        <f t="shared" si="116"/>
        <v>0</v>
      </c>
      <c r="L108" s="1658"/>
      <c r="M108" s="1658"/>
      <c r="N108" s="1658"/>
      <c r="O108" s="1658"/>
      <c r="P108" s="1658"/>
      <c r="Q108" s="1658"/>
      <c r="R108" s="1658"/>
      <c r="S108" s="1658"/>
      <c r="T108" s="1658"/>
      <c r="U108" s="1658"/>
      <c r="V108" s="1658"/>
      <c r="W108" s="1658"/>
      <c r="X108" s="1658"/>
      <c r="Y108" s="1658"/>
      <c r="Z108" s="1658"/>
      <c r="AA108" s="1658"/>
      <c r="AB108" s="1658"/>
      <c r="AC108" s="1658"/>
      <c r="AD108" s="1658"/>
      <c r="AE108" s="1658"/>
      <c r="AF108" s="1659">
        <f t="shared" ref="AF108:BA108" si="168">AF107-AF104+AF105+AF106</f>
        <v>0</v>
      </c>
      <c r="AG108" s="1658">
        <f t="shared" si="168"/>
        <v>0</v>
      </c>
      <c r="AH108" s="1658">
        <f t="shared" si="168"/>
        <v>0</v>
      </c>
      <c r="AI108" s="1658">
        <f t="shared" si="168"/>
        <v>0</v>
      </c>
      <c r="AJ108" s="1659">
        <f t="shared" si="168"/>
        <v>0</v>
      </c>
      <c r="AK108" s="1658">
        <f t="shared" si="168"/>
        <v>0</v>
      </c>
      <c r="AL108" s="1658">
        <f t="shared" si="168"/>
        <v>0</v>
      </c>
      <c r="AM108" s="1658">
        <f t="shared" si="168"/>
        <v>0</v>
      </c>
      <c r="AN108" s="1659">
        <f t="shared" si="168"/>
        <v>0</v>
      </c>
      <c r="AO108" s="1658">
        <f t="shared" si="168"/>
        <v>0</v>
      </c>
      <c r="AP108" s="1658">
        <f t="shared" si="168"/>
        <v>0</v>
      </c>
      <c r="AQ108" s="1658">
        <f t="shared" si="168"/>
        <v>0</v>
      </c>
      <c r="AR108" s="1659">
        <f t="shared" si="168"/>
        <v>0</v>
      </c>
      <c r="AS108" s="1658">
        <f t="shared" si="168"/>
        <v>0</v>
      </c>
      <c r="AT108" s="1658">
        <f t="shared" si="168"/>
        <v>0</v>
      </c>
      <c r="AU108" s="1658">
        <f t="shared" si="168"/>
        <v>0</v>
      </c>
      <c r="AV108" s="1659">
        <f t="shared" si="168"/>
        <v>0</v>
      </c>
      <c r="AW108" s="1658">
        <f t="shared" si="168"/>
        <v>0</v>
      </c>
      <c r="AX108" s="1658">
        <f t="shared" si="168"/>
        <v>0</v>
      </c>
      <c r="AY108" s="1658">
        <f t="shared" si="168"/>
        <v>0</v>
      </c>
      <c r="AZ108" s="1659">
        <f t="shared" si="168"/>
        <v>0</v>
      </c>
      <c r="BA108" s="1658">
        <f t="shared" si="168"/>
        <v>0</v>
      </c>
      <c r="BB108" s="1658"/>
      <c r="BC108" s="1658"/>
      <c r="BD108" s="1659"/>
      <c r="BE108" s="1658"/>
      <c r="BF108" s="1658"/>
      <c r="BG108" s="1658"/>
      <c r="BH108" s="1659"/>
      <c r="BI108" s="1658"/>
      <c r="BJ108" s="1658"/>
      <c r="BK108" s="1658"/>
      <c r="BL108" s="1659"/>
      <c r="BM108" s="1658"/>
      <c r="BN108" s="1658"/>
      <c r="BO108" s="1658"/>
      <c r="BP108" s="1641"/>
      <c r="BQ108" s="1642"/>
      <c r="BR108" s="1642"/>
      <c r="BS108" s="1642"/>
      <c r="BT108" s="1641"/>
      <c r="BU108" s="1642"/>
      <c r="BV108" s="1642"/>
      <c r="BW108" s="1642"/>
      <c r="BX108" s="1641"/>
      <c r="BY108" s="1642"/>
      <c r="BZ108" s="1642"/>
      <c r="CA108" s="1642"/>
      <c r="CB108" s="1641"/>
      <c r="CC108" s="1642"/>
      <c r="CD108" s="1642"/>
      <c r="CE108" s="1642"/>
      <c r="CF108" s="1641"/>
      <c r="CG108" s="1642"/>
      <c r="CH108" s="1642"/>
      <c r="CI108" s="1642"/>
      <c r="CJ108" s="1641"/>
      <c r="CK108" s="1642"/>
      <c r="CL108" s="1642"/>
      <c r="CM108" s="1681"/>
      <c r="CN108" s="1672"/>
      <c r="CO108" s="1672"/>
      <c r="CP108" s="1672"/>
      <c r="CQ108" s="1681"/>
      <c r="CR108" s="1672"/>
      <c r="CS108" s="1672"/>
      <c r="CT108" s="1672"/>
      <c r="CU108" s="1681"/>
      <c r="CV108" s="1672"/>
      <c r="CW108" s="1672"/>
      <c r="CX108" s="1672"/>
      <c r="CY108" s="1681"/>
      <c r="CZ108" s="1672"/>
      <c r="DA108" s="1672"/>
      <c r="DB108" s="1672"/>
      <c r="DC108" s="1672"/>
      <c r="DD108" s="1672"/>
      <c r="DE108" s="1672"/>
      <c r="DF108" s="1672"/>
      <c r="DG108" s="1672"/>
      <c r="DH108" s="1672"/>
      <c r="DI108" s="1672"/>
      <c r="DJ108" s="1672"/>
      <c r="DK108" s="1672"/>
      <c r="DL108" s="1672"/>
    </row>
    <row r="109" spans="1:116" ht="12.75" customHeight="1">
      <c r="A109" s="954" t="s">
        <v>629</v>
      </c>
      <c r="B109" s="1693"/>
      <c r="C109" s="1693"/>
      <c r="D109" s="1693"/>
      <c r="E109" s="1694"/>
      <c r="F109" s="1693">
        <v>98164</v>
      </c>
      <c r="G109" s="1693">
        <v>112830</v>
      </c>
      <c r="H109" s="1693">
        <f>AU109</f>
        <v>164735</v>
      </c>
      <c r="I109" s="1693">
        <f>AY109</f>
        <v>170795</v>
      </c>
      <c r="J109" s="1693">
        <f>BC109</f>
        <v>167468</v>
      </c>
      <c r="K109" s="1681">
        <f t="shared" si="116"/>
        <v>165968</v>
      </c>
      <c r="L109" s="1693"/>
      <c r="M109" s="1693"/>
      <c r="N109" s="1693"/>
      <c r="O109" s="1693"/>
      <c r="P109" s="1693"/>
      <c r="Q109" s="1693"/>
      <c r="R109" s="1693"/>
      <c r="S109" s="1693"/>
      <c r="T109" s="1693"/>
      <c r="U109" s="1693"/>
      <c r="V109" s="1693"/>
      <c r="W109" s="1693"/>
      <c r="X109" s="1693"/>
      <c r="Y109" s="1693"/>
      <c r="Z109" s="1693"/>
      <c r="AA109" s="1693"/>
      <c r="AB109" s="1693"/>
      <c r="AC109" s="1693"/>
      <c r="AD109" s="1693"/>
      <c r="AE109" s="1693"/>
      <c r="AF109" s="1694"/>
      <c r="AG109" s="1693"/>
      <c r="AH109" s="1693"/>
      <c r="AI109" s="1693"/>
      <c r="AJ109" s="1694"/>
      <c r="AK109" s="1693"/>
      <c r="AL109" s="1693"/>
      <c r="AM109" s="1693"/>
      <c r="AN109" s="1694"/>
      <c r="AO109" s="1693"/>
      <c r="AP109" s="1693"/>
      <c r="AQ109" s="1693">
        <f>_fye99</f>
        <v>112830</v>
      </c>
      <c r="AR109" s="1694"/>
      <c r="AS109" s="1693">
        <v>161013</v>
      </c>
      <c r="AT109" s="1693">
        <v>157528</v>
      </c>
      <c r="AU109" s="1693">
        <v>164735</v>
      </c>
      <c r="AV109" s="1694">
        <f t="shared" ref="AV109:CA109" si="169">AV107+AV95+AV97</f>
        <v>167798</v>
      </c>
      <c r="AW109" s="1693">
        <f t="shared" si="169"/>
        <v>170173</v>
      </c>
      <c r="AX109" s="1693">
        <f t="shared" si="169"/>
        <v>169503</v>
      </c>
      <c r="AY109" s="1693">
        <f t="shared" si="169"/>
        <v>170795</v>
      </c>
      <c r="AZ109" s="1694">
        <f t="shared" si="169"/>
        <v>171325</v>
      </c>
      <c r="BA109" s="1693">
        <f t="shared" si="169"/>
        <v>168293</v>
      </c>
      <c r="BB109" s="1693">
        <f t="shared" si="169"/>
        <v>169099</v>
      </c>
      <c r="BC109" s="1693">
        <f t="shared" si="169"/>
        <v>167468</v>
      </c>
      <c r="BD109" s="1694">
        <f t="shared" si="169"/>
        <v>170731</v>
      </c>
      <c r="BE109" s="1693">
        <f t="shared" si="169"/>
        <v>167626</v>
      </c>
      <c r="BF109" s="1693">
        <f t="shared" si="169"/>
        <v>165006</v>
      </c>
      <c r="BG109" s="1693">
        <f t="shared" si="169"/>
        <v>165968</v>
      </c>
      <c r="BH109" s="1694">
        <f t="shared" si="169"/>
        <v>163421</v>
      </c>
      <c r="BI109" s="1693">
        <f t="shared" si="169"/>
        <v>162438</v>
      </c>
      <c r="BJ109" s="1693">
        <f t="shared" si="169"/>
        <v>162897</v>
      </c>
      <c r="BK109" s="1693">
        <f t="shared" si="169"/>
        <v>165958</v>
      </c>
      <c r="BL109" s="1694">
        <f t="shared" si="169"/>
        <v>164882</v>
      </c>
      <c r="BM109" s="1693">
        <f t="shared" si="169"/>
        <v>169377</v>
      </c>
      <c r="BN109" s="1693">
        <f t="shared" si="169"/>
        <v>168301</v>
      </c>
      <c r="BO109" s="1693">
        <f t="shared" si="169"/>
        <v>168130</v>
      </c>
      <c r="BP109" s="1694">
        <f t="shared" si="169"/>
        <v>182814</v>
      </c>
      <c r="BQ109" s="1693">
        <f t="shared" si="169"/>
        <v>183843</v>
      </c>
      <c r="BR109" s="1693">
        <f t="shared" si="169"/>
        <v>185679</v>
      </c>
      <c r="BS109" s="1693">
        <f t="shared" si="169"/>
        <v>188804</v>
      </c>
      <c r="BT109" s="1694">
        <f t="shared" si="169"/>
        <v>184284</v>
      </c>
      <c r="BU109" s="1693">
        <f t="shared" si="169"/>
        <v>184760</v>
      </c>
      <c r="BV109" s="1693">
        <f t="shared" si="169"/>
        <v>185619</v>
      </c>
      <c r="BW109" s="1693">
        <f t="shared" si="169"/>
        <v>186959</v>
      </c>
      <c r="BX109" s="1694">
        <f t="shared" si="169"/>
        <v>191293</v>
      </c>
      <c r="BY109" s="1693">
        <f t="shared" si="169"/>
        <v>200646</v>
      </c>
      <c r="BZ109" s="1693">
        <f t="shared" si="169"/>
        <v>204861</v>
      </c>
      <c r="CA109" s="1693">
        <f t="shared" si="169"/>
        <v>202352</v>
      </c>
      <c r="CB109" s="1694">
        <f t="shared" ref="CB109:CU109" si="170">CB107+CB95+CB97</f>
        <v>226851</v>
      </c>
      <c r="CC109" s="1693">
        <f t="shared" si="170"/>
        <v>224999</v>
      </c>
      <c r="CD109" s="1693">
        <f t="shared" si="170"/>
        <v>226404</v>
      </c>
      <c r="CE109" s="1693">
        <f t="shared" si="170"/>
        <v>227251</v>
      </c>
      <c r="CF109" s="1694">
        <f t="shared" si="170"/>
        <v>227347</v>
      </c>
      <c r="CG109" s="1693">
        <f t="shared" si="170"/>
        <v>226251</v>
      </c>
      <c r="CH109" s="1693">
        <f t="shared" si="170"/>
        <v>220852</v>
      </c>
      <c r="CI109" s="1693">
        <f t="shared" si="170"/>
        <v>220005</v>
      </c>
      <c r="CJ109" s="1694">
        <f t="shared" si="170"/>
        <v>228108</v>
      </c>
      <c r="CK109" s="1693">
        <f t="shared" si="170"/>
        <v>223756</v>
      </c>
      <c r="CL109" s="1693">
        <f t="shared" si="170"/>
        <v>228032</v>
      </c>
      <c r="CM109" s="1695">
        <f t="shared" si="170"/>
        <v>230461</v>
      </c>
      <c r="CN109" s="1267">
        <f t="shared" si="170"/>
        <v>222921</v>
      </c>
      <c r="CO109" s="1267">
        <f t="shared" si="170"/>
        <v>226072</v>
      </c>
      <c r="CP109" s="1267">
        <f t="shared" si="170"/>
        <v>231082</v>
      </c>
      <c r="CQ109" s="1695">
        <f t="shared" si="170"/>
        <v>225222</v>
      </c>
      <c r="CR109" s="1267">
        <f t="shared" si="170"/>
        <v>226186</v>
      </c>
      <c r="CS109" s="1267">
        <f t="shared" si="170"/>
        <v>223346</v>
      </c>
      <c r="CT109" s="1267">
        <f t="shared" si="170"/>
        <v>276675</v>
      </c>
      <c r="CU109" s="1695">
        <f t="shared" si="170"/>
        <v>274098</v>
      </c>
      <c r="CV109" s="1267">
        <f t="shared" ref="CV109:DA109" si="171">CV107+CV95+CV97</f>
        <v>221562</v>
      </c>
      <c r="CW109" s="1267">
        <f t="shared" si="171"/>
        <v>224427</v>
      </c>
      <c r="CX109" s="1267">
        <f t="shared" si="171"/>
        <v>226293</v>
      </c>
      <c r="CY109" s="1695">
        <f t="shared" si="171"/>
        <v>232708</v>
      </c>
      <c r="CZ109" s="1267">
        <f t="shared" si="171"/>
        <v>235790</v>
      </c>
      <c r="DA109" s="1267">
        <f t="shared" si="171"/>
        <v>240753</v>
      </c>
      <c r="DB109" s="1267">
        <f t="shared" ref="DB109:DG109" si="172">DB107+DB95+DB97</f>
        <v>242073</v>
      </c>
      <c r="DC109" s="1267">
        <f t="shared" si="172"/>
        <v>244640</v>
      </c>
      <c r="DD109" s="1267">
        <f t="shared" si="172"/>
        <v>244587</v>
      </c>
      <c r="DE109" s="1267">
        <f t="shared" si="172"/>
        <v>231870</v>
      </c>
      <c r="DF109" s="1267">
        <f t="shared" si="172"/>
        <v>239498</v>
      </c>
      <c r="DG109" s="1267">
        <f t="shared" si="172"/>
        <v>244180</v>
      </c>
      <c r="DH109" s="1267">
        <f t="shared" ref="DH109:DI109" si="173">DH107+DH95+DH97</f>
        <v>246731</v>
      </c>
      <c r="DI109" s="1267">
        <f t="shared" si="173"/>
        <v>252978</v>
      </c>
      <c r="DJ109" s="1267">
        <f t="shared" ref="DJ109:DK109" si="174">DJ107+DJ95+DJ97</f>
        <v>254682</v>
      </c>
      <c r="DK109" s="1267">
        <f t="shared" si="174"/>
        <v>257143</v>
      </c>
      <c r="DL109" s="1267">
        <f t="shared" ref="DL109" si="175">DL107+DL95+DL97</f>
        <v>264516</v>
      </c>
    </row>
    <row r="110" spans="1:116" ht="12.75" customHeight="1" outlineLevel="1">
      <c r="A110" s="1639" t="s">
        <v>1237</v>
      </c>
      <c r="B110" s="1735"/>
      <c r="C110" s="1735"/>
      <c r="D110" s="1735"/>
      <c r="E110" s="1736"/>
      <c r="F110" s="1735">
        <f>F109-F107-F95-F97</f>
        <v>0</v>
      </c>
      <c r="G110" s="1735">
        <f>G109-G107-G95-G97</f>
        <v>0</v>
      </c>
      <c r="H110" s="1735">
        <f>H109-H107-H95-H97</f>
        <v>0</v>
      </c>
      <c r="I110" s="1735">
        <f>I109-I107-I95-I97</f>
        <v>0</v>
      </c>
      <c r="J110" s="1735">
        <f>J109-J107-J95-J97</f>
        <v>0</v>
      </c>
      <c r="K110" s="1737">
        <f t="shared" si="116"/>
        <v>0</v>
      </c>
      <c r="L110" s="1735"/>
      <c r="M110" s="1735"/>
      <c r="N110" s="1735"/>
      <c r="O110" s="1735"/>
      <c r="P110" s="1735"/>
      <c r="Q110" s="1735"/>
      <c r="R110" s="1735"/>
      <c r="S110" s="1735"/>
      <c r="T110" s="1735"/>
      <c r="U110" s="1735"/>
      <c r="V110" s="1735"/>
      <c r="W110" s="1735"/>
      <c r="X110" s="1735"/>
      <c r="Y110" s="1735"/>
      <c r="Z110" s="1735"/>
      <c r="AA110" s="1735"/>
      <c r="AB110" s="1735"/>
      <c r="AC110" s="1735"/>
      <c r="AD110" s="1735"/>
      <c r="AE110" s="1735"/>
      <c r="AF110" s="1736">
        <f t="shared" ref="AF110:BM110" si="176">AF109-AF107-AF95-AF97</f>
        <v>0</v>
      </c>
      <c r="AG110" s="1735">
        <f t="shared" si="176"/>
        <v>0</v>
      </c>
      <c r="AH110" s="1735">
        <f t="shared" si="176"/>
        <v>0</v>
      </c>
      <c r="AI110" s="1735">
        <f t="shared" si="176"/>
        <v>0</v>
      </c>
      <c r="AJ110" s="1736">
        <f t="shared" si="176"/>
        <v>0</v>
      </c>
      <c r="AK110" s="1735">
        <f t="shared" si="176"/>
        <v>0</v>
      </c>
      <c r="AL110" s="1735">
        <f t="shared" si="176"/>
        <v>0</v>
      </c>
      <c r="AM110" s="1735">
        <f t="shared" si="176"/>
        <v>0</v>
      </c>
      <c r="AN110" s="1736">
        <f t="shared" si="176"/>
        <v>0</v>
      </c>
      <c r="AO110" s="1735">
        <f t="shared" si="176"/>
        <v>0</v>
      </c>
      <c r="AP110" s="1735">
        <f t="shared" si="176"/>
        <v>0</v>
      </c>
      <c r="AQ110" s="1735">
        <f t="shared" si="176"/>
        <v>0</v>
      </c>
      <c r="AR110" s="1736">
        <f t="shared" si="176"/>
        <v>0</v>
      </c>
      <c r="AS110" s="1735">
        <f t="shared" si="176"/>
        <v>0</v>
      </c>
      <c r="AT110" s="1735">
        <f t="shared" si="176"/>
        <v>0</v>
      </c>
      <c r="AU110" s="1735">
        <f t="shared" si="176"/>
        <v>0</v>
      </c>
      <c r="AV110" s="1736">
        <f t="shared" si="176"/>
        <v>0</v>
      </c>
      <c r="AW110" s="1735">
        <f t="shared" si="176"/>
        <v>0</v>
      </c>
      <c r="AX110" s="1735">
        <f t="shared" si="176"/>
        <v>0</v>
      </c>
      <c r="AY110" s="1735">
        <f t="shared" si="176"/>
        <v>0</v>
      </c>
      <c r="AZ110" s="1736">
        <f t="shared" si="176"/>
        <v>0</v>
      </c>
      <c r="BA110" s="1735">
        <f t="shared" si="176"/>
        <v>0</v>
      </c>
      <c r="BB110" s="1735">
        <f t="shared" si="176"/>
        <v>0</v>
      </c>
      <c r="BC110" s="1735">
        <f t="shared" si="176"/>
        <v>0</v>
      </c>
      <c r="BD110" s="1736">
        <f t="shared" si="176"/>
        <v>0</v>
      </c>
      <c r="BE110" s="1735">
        <f t="shared" si="176"/>
        <v>0</v>
      </c>
      <c r="BF110" s="1735">
        <f t="shared" si="176"/>
        <v>0</v>
      </c>
      <c r="BG110" s="1735">
        <f t="shared" si="176"/>
        <v>0</v>
      </c>
      <c r="BH110" s="1736">
        <f t="shared" si="176"/>
        <v>0</v>
      </c>
      <c r="BI110" s="1735">
        <f t="shared" si="176"/>
        <v>0</v>
      </c>
      <c r="BJ110" s="1735">
        <f t="shared" si="176"/>
        <v>0</v>
      </c>
      <c r="BK110" s="1735">
        <f t="shared" si="176"/>
        <v>0</v>
      </c>
      <c r="BL110" s="1736">
        <f t="shared" si="176"/>
        <v>0</v>
      </c>
      <c r="BM110" s="1735">
        <f t="shared" si="176"/>
        <v>0</v>
      </c>
      <c r="BN110" s="1735">
        <f t="shared" ref="BN110:CV110" si="177">BN80-BN109</f>
        <v>0</v>
      </c>
      <c r="BO110" s="1735">
        <f t="shared" si="177"/>
        <v>0</v>
      </c>
      <c r="BP110" s="1736">
        <f t="shared" si="177"/>
        <v>0</v>
      </c>
      <c r="BQ110" s="1735">
        <f t="shared" si="177"/>
        <v>0</v>
      </c>
      <c r="BR110" s="1735">
        <f t="shared" si="177"/>
        <v>0</v>
      </c>
      <c r="BS110" s="1735">
        <f t="shared" si="177"/>
        <v>0</v>
      </c>
      <c r="BT110" s="1736">
        <f t="shared" si="177"/>
        <v>0</v>
      </c>
      <c r="BU110" s="1735">
        <f t="shared" si="177"/>
        <v>0</v>
      </c>
      <c r="BV110" s="1735">
        <f t="shared" si="177"/>
        <v>0</v>
      </c>
      <c r="BW110" s="1735">
        <f t="shared" si="177"/>
        <v>0</v>
      </c>
      <c r="BX110" s="1736">
        <f t="shared" si="177"/>
        <v>0</v>
      </c>
      <c r="BY110" s="1735">
        <f t="shared" si="177"/>
        <v>0</v>
      </c>
      <c r="BZ110" s="1735">
        <f t="shared" si="177"/>
        <v>0</v>
      </c>
      <c r="CA110" s="1735">
        <f t="shared" si="177"/>
        <v>0</v>
      </c>
      <c r="CB110" s="1736">
        <f t="shared" si="177"/>
        <v>0</v>
      </c>
      <c r="CC110" s="1735">
        <f t="shared" si="177"/>
        <v>0</v>
      </c>
      <c r="CD110" s="1735">
        <f t="shared" si="177"/>
        <v>0</v>
      </c>
      <c r="CE110" s="1735">
        <f t="shared" si="177"/>
        <v>0</v>
      </c>
      <c r="CF110" s="1736">
        <f t="shared" si="177"/>
        <v>0</v>
      </c>
      <c r="CG110" s="1735">
        <f t="shared" si="177"/>
        <v>0</v>
      </c>
      <c r="CH110" s="1735">
        <f t="shared" si="177"/>
        <v>0</v>
      </c>
      <c r="CI110" s="1735">
        <f t="shared" si="177"/>
        <v>0</v>
      </c>
      <c r="CJ110" s="1736">
        <f t="shared" si="177"/>
        <v>0</v>
      </c>
      <c r="CK110" s="1735">
        <f t="shared" si="177"/>
        <v>0</v>
      </c>
      <c r="CL110" s="1735">
        <f t="shared" si="177"/>
        <v>0</v>
      </c>
      <c r="CM110" s="1738">
        <f t="shared" si="177"/>
        <v>0</v>
      </c>
      <c r="CN110" s="1739">
        <f t="shared" si="177"/>
        <v>0</v>
      </c>
      <c r="CO110" s="1739">
        <f t="shared" si="177"/>
        <v>0</v>
      </c>
      <c r="CP110" s="1739">
        <f t="shared" si="177"/>
        <v>0</v>
      </c>
      <c r="CQ110" s="1738">
        <f t="shared" si="177"/>
        <v>0</v>
      </c>
      <c r="CR110" s="1739">
        <f t="shared" si="177"/>
        <v>0</v>
      </c>
      <c r="CS110" s="1739">
        <f t="shared" si="177"/>
        <v>0</v>
      </c>
      <c r="CT110" s="1739">
        <f t="shared" si="177"/>
        <v>0</v>
      </c>
      <c r="CU110" s="1738">
        <f t="shared" si="177"/>
        <v>0</v>
      </c>
      <c r="CV110" s="1739">
        <f t="shared" si="177"/>
        <v>0</v>
      </c>
      <c r="CW110" s="1739">
        <f t="shared" ref="CW110:DB110" si="178">CW80-CW109</f>
        <v>0</v>
      </c>
      <c r="CX110" s="1739">
        <f t="shared" si="178"/>
        <v>0</v>
      </c>
      <c r="CY110" s="1738">
        <f t="shared" si="178"/>
        <v>0</v>
      </c>
      <c r="CZ110" s="1739">
        <f t="shared" si="178"/>
        <v>0</v>
      </c>
      <c r="DA110" s="1739">
        <f t="shared" si="178"/>
        <v>0</v>
      </c>
      <c r="DB110" s="1739">
        <f t="shared" si="178"/>
        <v>0</v>
      </c>
      <c r="DC110" s="1739">
        <f t="shared" ref="DC110:DH110" si="179">DC80-DC109</f>
        <v>0</v>
      </c>
      <c r="DD110" s="1739">
        <f t="shared" si="179"/>
        <v>0</v>
      </c>
      <c r="DE110" s="1739">
        <f t="shared" si="179"/>
        <v>0</v>
      </c>
      <c r="DF110" s="1739">
        <f t="shared" si="179"/>
        <v>0</v>
      </c>
      <c r="DG110" s="1739">
        <f t="shared" si="179"/>
        <v>0</v>
      </c>
      <c r="DH110" s="1739">
        <f t="shared" si="179"/>
        <v>0</v>
      </c>
      <c r="DI110" s="1739">
        <f t="shared" ref="DI110:DJ110" si="180">DI80-DI109</f>
        <v>0</v>
      </c>
      <c r="DJ110" s="1739">
        <f t="shared" si="180"/>
        <v>0</v>
      </c>
      <c r="DK110" s="1739">
        <f t="shared" ref="DK110:DL110" si="181">DK80-DK109</f>
        <v>0</v>
      </c>
      <c r="DL110" s="1739">
        <f t="shared" si="181"/>
        <v>0</v>
      </c>
    </row>
    <row r="111" spans="1:116" ht="12.75" customHeight="1">
      <c r="A111" s="1539"/>
      <c r="B111" s="1642"/>
      <c r="C111" s="1642"/>
      <c r="D111" s="1642"/>
      <c r="E111" s="1641"/>
      <c r="F111" s="1642"/>
      <c r="G111" s="1642"/>
      <c r="H111" s="1642"/>
      <c r="I111" s="1642"/>
      <c r="J111" s="1642"/>
      <c r="K111" s="1681"/>
      <c r="L111" s="1642"/>
      <c r="M111" s="1642"/>
      <c r="N111" s="1642"/>
      <c r="O111" s="1642"/>
      <c r="P111" s="1642"/>
      <c r="Q111" s="1642"/>
      <c r="R111" s="1642"/>
      <c r="S111" s="1642"/>
      <c r="T111" s="1642"/>
      <c r="U111" s="1642"/>
      <c r="V111" s="1642"/>
      <c r="W111" s="1642"/>
      <c r="X111" s="1642"/>
      <c r="Y111" s="1642"/>
      <c r="Z111" s="1642"/>
      <c r="AA111" s="1642"/>
      <c r="AB111" s="1642"/>
      <c r="AC111" s="1642"/>
      <c r="AD111" s="1642"/>
      <c r="AE111" s="1642"/>
      <c r="AF111" s="1641"/>
      <c r="AG111" s="1642"/>
      <c r="AH111" s="1642"/>
      <c r="AI111" s="1642"/>
      <c r="AJ111" s="1641"/>
      <c r="AK111" s="1642"/>
      <c r="AL111" s="1642"/>
      <c r="AM111" s="1642"/>
      <c r="AN111" s="1641"/>
      <c r="AO111" s="1642"/>
      <c r="AP111" s="1642"/>
      <c r="AQ111" s="1642"/>
      <c r="AR111" s="1641"/>
      <c r="AS111" s="1642"/>
      <c r="AT111" s="1642"/>
      <c r="AU111" s="1642"/>
      <c r="AV111" s="1641"/>
      <c r="AW111" s="1642"/>
      <c r="AX111" s="1642"/>
      <c r="AY111" s="1642"/>
      <c r="AZ111" s="1641"/>
      <c r="BA111" s="1642"/>
      <c r="BB111" s="1642"/>
      <c r="BC111" s="1642"/>
      <c r="BD111" s="1641"/>
      <c r="BE111" s="1642"/>
      <c r="BF111" s="1642"/>
      <c r="BG111" s="1642"/>
      <c r="BH111" s="1641"/>
      <c r="BI111" s="1642"/>
      <c r="BJ111" s="1642"/>
      <c r="BK111" s="1642"/>
      <c r="BL111" s="1641"/>
      <c r="BM111" s="1642"/>
      <c r="BN111" s="1642"/>
      <c r="BO111" s="1642"/>
      <c r="BP111" s="1641"/>
      <c r="BQ111" s="1642"/>
      <c r="BR111" s="1642"/>
      <c r="BS111" s="1642"/>
      <c r="BT111" s="1641"/>
      <c r="BU111" s="1642"/>
      <c r="BV111" s="1642"/>
      <c r="BW111" s="1642"/>
      <c r="BX111" s="1641"/>
      <c r="BY111" s="1642"/>
      <c r="BZ111" s="1642"/>
      <c r="CA111" s="1642"/>
      <c r="CB111" s="1641"/>
      <c r="CC111" s="1642"/>
      <c r="CD111" s="1642"/>
      <c r="CE111" s="1642"/>
      <c r="CF111" s="1641"/>
      <c r="CG111" s="1642"/>
      <c r="CH111" s="1642"/>
      <c r="CI111" s="1642"/>
      <c r="CJ111" s="1641"/>
      <c r="CK111" s="1642"/>
      <c r="CL111" s="1642"/>
      <c r="CM111" s="1681"/>
      <c r="CN111" s="1672"/>
      <c r="CO111" s="1672"/>
      <c r="CP111" s="1672"/>
      <c r="CQ111" s="1681"/>
      <c r="CR111" s="1672"/>
      <c r="CS111" s="1672"/>
      <c r="CT111" s="1672"/>
      <c r="CU111" s="1681"/>
      <c r="CV111" s="1672"/>
      <c r="CW111" s="1672"/>
      <c r="CX111" s="1672"/>
      <c r="CY111" s="1681"/>
      <c r="CZ111" s="1672"/>
      <c r="DA111" s="1672"/>
      <c r="DB111" s="1672"/>
      <c r="DC111" s="1672"/>
      <c r="DD111" s="1672"/>
      <c r="DE111" s="1672"/>
      <c r="DF111" s="1672"/>
      <c r="DG111" s="1672"/>
      <c r="DH111" s="1672"/>
      <c r="DI111" s="1672"/>
      <c r="DJ111" s="1672"/>
      <c r="DK111" s="1672"/>
      <c r="DL111" s="1672"/>
    </row>
    <row r="112" spans="1:116" ht="12.75" hidden="1" customHeight="1">
      <c r="A112" s="1628" t="s">
        <v>630</v>
      </c>
      <c r="B112" s="1734"/>
      <c r="C112" s="1734"/>
      <c r="D112" s="1734"/>
      <c r="E112" s="1641"/>
      <c r="F112" s="1642"/>
      <c r="G112" s="1642"/>
      <c r="H112" s="1642"/>
      <c r="I112" s="1642"/>
      <c r="J112" s="1642"/>
      <c r="K112" s="1681"/>
      <c r="L112" s="1642"/>
      <c r="M112" s="1642"/>
      <c r="N112" s="1642"/>
      <c r="O112" s="1642"/>
      <c r="P112" s="1642"/>
      <c r="Q112" s="1642"/>
      <c r="R112" s="1642"/>
      <c r="S112" s="1642"/>
      <c r="T112" s="1642"/>
      <c r="U112" s="1642"/>
      <c r="V112" s="1642"/>
      <c r="W112" s="1642"/>
      <c r="X112" s="1642"/>
      <c r="Y112" s="1642"/>
      <c r="Z112" s="1642"/>
      <c r="AA112" s="1642"/>
      <c r="AB112" s="1642"/>
      <c r="AC112" s="1642"/>
      <c r="AD112" s="1642"/>
      <c r="AE112" s="1642"/>
      <c r="AF112" s="1641"/>
      <c r="AG112" s="1642"/>
      <c r="AH112" s="1642"/>
      <c r="AI112" s="1642"/>
      <c r="AJ112" s="1641"/>
      <c r="AK112" s="1642"/>
      <c r="AL112" s="1642"/>
      <c r="AM112" s="1642"/>
      <c r="AN112" s="1641"/>
      <c r="AO112" s="1642"/>
      <c r="AP112" s="1642"/>
      <c r="AQ112" s="1642"/>
      <c r="AR112" s="1641"/>
      <c r="AS112" s="1642"/>
      <c r="AT112" s="1642"/>
      <c r="AU112" s="1642"/>
      <c r="AV112" s="1641"/>
      <c r="AW112" s="1642"/>
      <c r="AX112" s="1642"/>
      <c r="AY112" s="1642"/>
      <c r="AZ112" s="1641"/>
      <c r="BA112" s="1642"/>
      <c r="BB112" s="1642"/>
      <c r="BC112" s="1642"/>
      <c r="BD112" s="1641"/>
      <c r="BE112" s="1642"/>
      <c r="BF112" s="1642"/>
      <c r="BG112" s="1642"/>
      <c r="BH112" s="1641"/>
      <c r="BI112" s="1642"/>
      <c r="BJ112" s="1642"/>
      <c r="BK112" s="1642"/>
      <c r="BL112" s="1641"/>
      <c r="BM112" s="1642"/>
      <c r="BN112" s="1642"/>
      <c r="BO112" s="1642"/>
      <c r="BP112" s="1641"/>
      <c r="BQ112" s="1642"/>
      <c r="BR112" s="1642"/>
      <c r="BS112" s="1642"/>
      <c r="BT112" s="1641"/>
      <c r="BU112" s="1642"/>
      <c r="BV112" s="1642"/>
      <c r="BW112" s="1642"/>
      <c r="BX112" s="1641"/>
      <c r="BY112" s="1642"/>
      <c r="BZ112" s="1642"/>
      <c r="CA112" s="1642"/>
      <c r="CB112" s="1641"/>
      <c r="CC112" s="1642"/>
      <c r="CD112" s="1642"/>
      <c r="CE112" s="1642"/>
      <c r="CF112" s="1641"/>
      <c r="CG112" s="1642"/>
      <c r="CH112" s="1642"/>
      <c r="CI112" s="1642"/>
      <c r="CJ112" s="1641"/>
      <c r="CK112" s="1642"/>
      <c r="CL112" s="1642"/>
      <c r="CM112" s="1681"/>
      <c r="CN112" s="1672"/>
      <c r="CO112" s="1672"/>
      <c r="CP112" s="1672"/>
      <c r="CQ112" s="1681"/>
      <c r="CR112" s="1672"/>
      <c r="CS112" s="1672"/>
      <c r="CT112" s="1672"/>
      <c r="CU112" s="1681"/>
      <c r="CV112" s="1672"/>
      <c r="CW112" s="1672"/>
      <c r="CX112" s="1672"/>
      <c r="CY112" s="1681"/>
      <c r="CZ112" s="1672"/>
      <c r="DA112" s="1672"/>
      <c r="DB112" s="1672"/>
      <c r="DC112" s="1672"/>
      <c r="DD112" s="1672"/>
      <c r="DE112" s="1672"/>
      <c r="DF112" s="1672"/>
      <c r="DG112" s="1672"/>
      <c r="DH112" s="1672"/>
      <c r="DI112" s="1672"/>
      <c r="DJ112" s="1672"/>
      <c r="DK112" s="1672"/>
      <c r="DL112" s="1672"/>
    </row>
    <row r="113" spans="1:116" ht="12.75" hidden="1" customHeight="1">
      <c r="A113" s="1628" t="s">
        <v>631</v>
      </c>
      <c r="B113" s="1642"/>
      <c r="C113" s="1642"/>
      <c r="D113" s="1642"/>
      <c r="E113" s="1641"/>
      <c r="F113" s="1642">
        <f>3401+4138</f>
        <v>7539</v>
      </c>
      <c r="G113" s="1642">
        <f>3753+4410</f>
        <v>8163</v>
      </c>
      <c r="H113" s="1642">
        <v>6247</v>
      </c>
      <c r="I113" s="1642"/>
      <c r="J113" s="1642"/>
      <c r="K113" s="1681"/>
      <c r="L113" s="1642"/>
      <c r="M113" s="1642"/>
      <c r="N113" s="1642"/>
      <c r="O113" s="1642"/>
      <c r="P113" s="1642"/>
      <c r="Q113" s="1642"/>
      <c r="R113" s="1642"/>
      <c r="S113" s="1642"/>
      <c r="T113" s="1642"/>
      <c r="U113" s="1642"/>
      <c r="V113" s="1642"/>
      <c r="W113" s="1642"/>
      <c r="X113" s="1642"/>
      <c r="Y113" s="1642"/>
      <c r="Z113" s="1642"/>
      <c r="AA113" s="1642"/>
      <c r="AB113" s="1642"/>
      <c r="AC113" s="1642"/>
      <c r="AD113" s="1642"/>
      <c r="AE113" s="1642"/>
      <c r="AF113" s="1641"/>
      <c r="AG113" s="1642"/>
      <c r="AH113" s="1642"/>
      <c r="AI113" s="1642"/>
      <c r="AJ113" s="1641"/>
      <c r="AK113" s="1642"/>
      <c r="AL113" s="1642"/>
      <c r="AM113" s="1642"/>
      <c r="AN113" s="1641"/>
      <c r="AO113" s="1642"/>
      <c r="AP113" s="1642"/>
      <c r="AQ113" s="1642"/>
      <c r="AR113" s="1641"/>
      <c r="AS113" s="1642"/>
      <c r="AT113" s="1642"/>
      <c r="AU113" s="1642"/>
      <c r="AV113" s="1641"/>
      <c r="AW113" s="1642"/>
      <c r="AX113" s="1642"/>
      <c r="AY113" s="1642"/>
      <c r="AZ113" s="1641"/>
      <c r="BA113" s="1642"/>
      <c r="BB113" s="1642"/>
      <c r="BC113" s="1642"/>
      <c r="BD113" s="1641"/>
      <c r="BE113" s="1642"/>
      <c r="BF113" s="1642"/>
      <c r="BG113" s="1642"/>
      <c r="BH113" s="1641"/>
      <c r="BI113" s="1642"/>
      <c r="BJ113" s="1642"/>
      <c r="BK113" s="1642"/>
      <c r="BL113" s="1641"/>
      <c r="BM113" s="1642"/>
      <c r="BN113" s="1642"/>
      <c r="BO113" s="1642"/>
      <c r="BP113" s="1641"/>
      <c r="BQ113" s="1642"/>
      <c r="BR113" s="1642"/>
      <c r="BS113" s="1642"/>
      <c r="BT113" s="1641"/>
      <c r="BU113" s="1642"/>
      <c r="BV113" s="1642"/>
      <c r="BW113" s="1642"/>
      <c r="BX113" s="1641"/>
      <c r="BY113" s="1642"/>
      <c r="BZ113" s="1642"/>
      <c r="CA113" s="1642"/>
      <c r="CB113" s="1641"/>
      <c r="CC113" s="1642"/>
      <c r="CD113" s="1642"/>
      <c r="CE113" s="1642"/>
      <c r="CF113" s="1641"/>
      <c r="CG113" s="1642"/>
      <c r="CH113" s="1642"/>
      <c r="CI113" s="1642"/>
      <c r="CJ113" s="1641"/>
      <c r="CK113" s="1642"/>
      <c r="CL113" s="1642"/>
      <c r="CM113" s="1681"/>
      <c r="CN113" s="1672"/>
      <c r="CO113" s="1672"/>
      <c r="CP113" s="1672"/>
      <c r="CQ113" s="1681"/>
      <c r="CR113" s="1672"/>
      <c r="CS113" s="1672"/>
      <c r="CT113" s="1672"/>
      <c r="CU113" s="1681"/>
      <c r="CV113" s="1672"/>
      <c r="CW113" s="1672"/>
      <c r="CX113" s="1672"/>
      <c r="CY113" s="1681"/>
      <c r="CZ113" s="1672"/>
      <c r="DA113" s="1672"/>
      <c r="DB113" s="1672"/>
      <c r="DC113" s="1672"/>
      <c r="DD113" s="1672"/>
      <c r="DE113" s="1672"/>
      <c r="DF113" s="1672"/>
      <c r="DG113" s="1672"/>
      <c r="DH113" s="1672"/>
      <c r="DI113" s="1672"/>
      <c r="DJ113" s="1672"/>
      <c r="DK113" s="1672"/>
      <c r="DL113" s="1672"/>
    </row>
    <row r="114" spans="1:116" ht="12.75" hidden="1" customHeight="1">
      <c r="A114" s="1628" t="s">
        <v>632</v>
      </c>
      <c r="B114" s="1642"/>
      <c r="C114" s="1642"/>
      <c r="D114" s="1642"/>
      <c r="E114" s="1641"/>
      <c r="F114" s="1642">
        <v>1272</v>
      </c>
      <c r="G114" s="1642">
        <v>1148</v>
      </c>
      <c r="H114" s="1642">
        <v>3063</v>
      </c>
      <c r="I114" s="1642"/>
      <c r="J114" s="1642"/>
      <c r="K114" s="1681"/>
      <c r="L114" s="1642"/>
      <c r="M114" s="1642"/>
      <c r="N114" s="1642"/>
      <c r="O114" s="1642"/>
      <c r="P114" s="1642"/>
      <c r="Q114" s="1642"/>
      <c r="R114" s="1642"/>
      <c r="S114" s="1642"/>
      <c r="T114" s="1642"/>
      <c r="U114" s="1642"/>
      <c r="V114" s="1642"/>
      <c r="W114" s="1642"/>
      <c r="X114" s="1642"/>
      <c r="Y114" s="1642"/>
      <c r="Z114" s="1642"/>
      <c r="AA114" s="1642"/>
      <c r="AB114" s="1642"/>
      <c r="AC114" s="1642"/>
      <c r="AD114" s="1642"/>
      <c r="AE114" s="1642"/>
      <c r="AF114" s="1641"/>
      <c r="AG114" s="1642"/>
      <c r="AH114" s="1642"/>
      <c r="AI114" s="1642"/>
      <c r="AJ114" s="1641"/>
      <c r="AK114" s="1642"/>
      <c r="AL114" s="1642"/>
      <c r="AM114" s="1642"/>
      <c r="AN114" s="1641"/>
      <c r="AO114" s="1642"/>
      <c r="AP114" s="1642"/>
      <c r="AQ114" s="1642"/>
      <c r="AR114" s="1641"/>
      <c r="AS114" s="1642"/>
      <c r="AT114" s="1642"/>
      <c r="AU114" s="1642"/>
      <c r="AV114" s="1641"/>
      <c r="AW114" s="1642"/>
      <c r="AX114" s="1642"/>
      <c r="AY114" s="1642"/>
      <c r="AZ114" s="1641"/>
      <c r="BA114" s="1642"/>
      <c r="BB114" s="1642"/>
      <c r="BC114" s="1642"/>
      <c r="BD114" s="1641"/>
      <c r="BE114" s="1642"/>
      <c r="BF114" s="1642"/>
      <c r="BG114" s="1642"/>
      <c r="BH114" s="1641"/>
      <c r="BI114" s="1642"/>
      <c r="BJ114" s="1642"/>
      <c r="BK114" s="1642"/>
      <c r="BL114" s="1641"/>
      <c r="BM114" s="1642"/>
      <c r="BN114" s="1642"/>
      <c r="BO114" s="1642"/>
      <c r="BP114" s="1641"/>
      <c r="BQ114" s="1642"/>
      <c r="BR114" s="1642"/>
      <c r="BS114" s="1642"/>
      <c r="BT114" s="1641"/>
      <c r="BU114" s="1642"/>
      <c r="BV114" s="1642"/>
      <c r="BW114" s="1642"/>
      <c r="BX114" s="1641"/>
      <c r="BY114" s="1642"/>
      <c r="BZ114" s="1642"/>
      <c r="CA114" s="1642"/>
      <c r="CB114" s="1641"/>
      <c r="CC114" s="1642"/>
      <c r="CD114" s="1642"/>
      <c r="CE114" s="1642"/>
      <c r="CF114" s="1641"/>
      <c r="CG114" s="1642"/>
      <c r="CH114" s="1642"/>
      <c r="CI114" s="1642"/>
      <c r="CJ114" s="1641"/>
      <c r="CK114" s="1642"/>
      <c r="CL114" s="1642"/>
      <c r="CM114" s="1681"/>
      <c r="CN114" s="1672"/>
      <c r="CO114" s="1672"/>
      <c r="CP114" s="1672"/>
      <c r="CQ114" s="1681"/>
      <c r="CR114" s="1672"/>
      <c r="CS114" s="1672"/>
      <c r="CT114" s="1672"/>
      <c r="CU114" s="1681"/>
      <c r="CV114" s="1672"/>
      <c r="CW114" s="1672"/>
      <c r="CX114" s="1672"/>
      <c r="CY114" s="1681"/>
      <c r="CZ114" s="1672"/>
      <c r="DA114" s="1672"/>
      <c r="DB114" s="1672"/>
      <c r="DC114" s="1672"/>
      <c r="DD114" s="1672"/>
      <c r="DE114" s="1672"/>
      <c r="DF114" s="1672"/>
      <c r="DG114" s="1672"/>
      <c r="DH114" s="1672"/>
      <c r="DI114" s="1672"/>
      <c r="DJ114" s="1672"/>
      <c r="DK114" s="1672"/>
      <c r="DL114" s="1672"/>
    </row>
    <row r="115" spans="1:116" ht="12.75" hidden="1" customHeight="1">
      <c r="A115" s="1628" t="s">
        <v>633</v>
      </c>
      <c r="B115" s="1642"/>
      <c r="C115" s="1642"/>
      <c r="D115" s="1642"/>
      <c r="E115" s="1641"/>
      <c r="F115" s="1642">
        <v>634</v>
      </c>
      <c r="G115" s="1642">
        <v>641</v>
      </c>
      <c r="H115" s="1642">
        <v>1043</v>
      </c>
      <c r="I115" s="1642"/>
      <c r="J115" s="1642"/>
      <c r="K115" s="1681"/>
      <c r="L115" s="1642"/>
      <c r="M115" s="1642"/>
      <c r="N115" s="1642"/>
      <c r="O115" s="1642"/>
      <c r="P115" s="1642"/>
      <c r="Q115" s="1642"/>
      <c r="R115" s="1642"/>
      <c r="S115" s="1642"/>
      <c r="T115" s="1642"/>
      <c r="U115" s="1642"/>
      <c r="V115" s="1642"/>
      <c r="W115" s="1642"/>
      <c r="X115" s="1642"/>
      <c r="Y115" s="1642"/>
      <c r="Z115" s="1642"/>
      <c r="AA115" s="1642"/>
      <c r="AB115" s="1642"/>
      <c r="AC115" s="1642"/>
      <c r="AD115" s="1642"/>
      <c r="AE115" s="1642"/>
      <c r="AF115" s="1641"/>
      <c r="AG115" s="1642"/>
      <c r="AH115" s="1642"/>
      <c r="AI115" s="1642"/>
      <c r="AJ115" s="1641"/>
      <c r="AK115" s="1642"/>
      <c r="AL115" s="1642"/>
      <c r="AM115" s="1642"/>
      <c r="AN115" s="1641"/>
      <c r="AO115" s="1642"/>
      <c r="AP115" s="1642"/>
      <c r="AQ115" s="1642"/>
      <c r="AR115" s="1641"/>
      <c r="AS115" s="1642"/>
      <c r="AT115" s="1642"/>
      <c r="AU115" s="1642"/>
      <c r="AV115" s="1641"/>
      <c r="AW115" s="1642"/>
      <c r="AX115" s="1642"/>
      <c r="AY115" s="1642"/>
      <c r="AZ115" s="1641"/>
      <c r="BA115" s="1642"/>
      <c r="BB115" s="1642"/>
      <c r="BC115" s="1642"/>
      <c r="BD115" s="1641"/>
      <c r="BE115" s="1642"/>
      <c r="BF115" s="1642"/>
      <c r="BG115" s="1642"/>
      <c r="BH115" s="1641"/>
      <c r="BI115" s="1642"/>
      <c r="BJ115" s="1642"/>
      <c r="BK115" s="1642"/>
      <c r="BL115" s="1641"/>
      <c r="BM115" s="1642"/>
      <c r="BN115" s="1642"/>
      <c r="BO115" s="1642"/>
      <c r="BP115" s="1641"/>
      <c r="BQ115" s="1642"/>
      <c r="BR115" s="1642"/>
      <c r="BS115" s="1642"/>
      <c r="BT115" s="1641"/>
      <c r="BU115" s="1642"/>
      <c r="BV115" s="1642"/>
      <c r="BW115" s="1642"/>
      <c r="BX115" s="1641"/>
      <c r="BY115" s="1642"/>
      <c r="BZ115" s="1642"/>
      <c r="CA115" s="1642"/>
      <c r="CB115" s="1641"/>
      <c r="CC115" s="1642"/>
      <c r="CD115" s="1642"/>
      <c r="CE115" s="1642"/>
      <c r="CF115" s="1641"/>
      <c r="CG115" s="1642"/>
      <c r="CH115" s="1642"/>
      <c r="CI115" s="1642"/>
      <c r="CJ115" s="1641"/>
      <c r="CK115" s="1642"/>
      <c r="CL115" s="1642"/>
      <c r="CM115" s="1681"/>
      <c r="CN115" s="1672"/>
      <c r="CO115" s="1672"/>
      <c r="CP115" s="1672"/>
      <c r="CQ115" s="1681"/>
      <c r="CR115" s="1672"/>
      <c r="CS115" s="1672"/>
      <c r="CT115" s="1672"/>
      <c r="CU115" s="1681"/>
      <c r="CV115" s="1672"/>
      <c r="CW115" s="1672"/>
      <c r="CX115" s="1672"/>
      <c r="CY115" s="1681"/>
      <c r="CZ115" s="1672"/>
      <c r="DA115" s="1672"/>
      <c r="DB115" s="1672"/>
      <c r="DC115" s="1672"/>
      <c r="DD115" s="1672"/>
      <c r="DE115" s="1672"/>
      <c r="DF115" s="1672"/>
      <c r="DG115" s="1672"/>
      <c r="DH115" s="1672"/>
      <c r="DI115" s="1672"/>
      <c r="DJ115" s="1672"/>
      <c r="DK115" s="1672"/>
      <c r="DL115" s="1672"/>
    </row>
    <row r="116" spans="1:116" ht="12.75" hidden="1" customHeight="1">
      <c r="A116" s="1628" t="s">
        <v>634</v>
      </c>
      <c r="B116" s="1642"/>
      <c r="C116" s="1642"/>
      <c r="D116" s="1642"/>
      <c r="E116" s="1641"/>
      <c r="F116" s="1642">
        <v>232</v>
      </c>
      <c r="G116" s="1642">
        <v>282</v>
      </c>
      <c r="H116" s="1642">
        <v>1346</v>
      </c>
      <c r="I116" s="1642"/>
      <c r="J116" s="1642"/>
      <c r="K116" s="1681"/>
      <c r="L116" s="1642"/>
      <c r="M116" s="1642"/>
      <c r="N116" s="1642"/>
      <c r="O116" s="1642"/>
      <c r="P116" s="1642"/>
      <c r="Q116" s="1642"/>
      <c r="R116" s="1642"/>
      <c r="S116" s="1642"/>
      <c r="T116" s="1642"/>
      <c r="U116" s="1642"/>
      <c r="V116" s="1642"/>
      <c r="W116" s="1642"/>
      <c r="X116" s="1642"/>
      <c r="Y116" s="1642"/>
      <c r="Z116" s="1642"/>
      <c r="AA116" s="1642"/>
      <c r="AB116" s="1642"/>
      <c r="AC116" s="1642"/>
      <c r="AD116" s="1642"/>
      <c r="AE116" s="1642"/>
      <c r="AF116" s="1641"/>
      <c r="AG116" s="1642"/>
      <c r="AH116" s="1642"/>
      <c r="AI116" s="1642"/>
      <c r="AJ116" s="1641"/>
      <c r="AK116" s="1642"/>
      <c r="AL116" s="1642"/>
      <c r="AM116" s="1642"/>
      <c r="AN116" s="1641"/>
      <c r="AO116" s="1642"/>
      <c r="AP116" s="1642"/>
      <c r="AQ116" s="1642"/>
      <c r="AR116" s="1641"/>
      <c r="AS116" s="1642"/>
      <c r="AT116" s="1642"/>
      <c r="AU116" s="1642"/>
      <c r="AV116" s="1641"/>
      <c r="AW116" s="1642"/>
      <c r="AX116" s="1642"/>
      <c r="AY116" s="1642"/>
      <c r="AZ116" s="1641"/>
      <c r="BA116" s="1642"/>
      <c r="BB116" s="1642"/>
      <c r="BC116" s="1642"/>
      <c r="BD116" s="1641"/>
      <c r="BE116" s="1642"/>
      <c r="BF116" s="1642"/>
      <c r="BG116" s="1642"/>
      <c r="BH116" s="1641"/>
      <c r="BI116" s="1642"/>
      <c r="BJ116" s="1642"/>
      <c r="BK116" s="1642"/>
      <c r="BL116" s="1641"/>
      <c r="BM116" s="1642"/>
      <c r="BN116" s="1642"/>
      <c r="BO116" s="1642"/>
      <c r="BP116" s="1641"/>
      <c r="BQ116" s="1642"/>
      <c r="BR116" s="1642"/>
      <c r="BS116" s="1642"/>
      <c r="BT116" s="1641"/>
      <c r="BU116" s="1642"/>
      <c r="BV116" s="1642"/>
      <c r="BW116" s="1642"/>
      <c r="BX116" s="1641"/>
      <c r="BY116" s="1642"/>
      <c r="BZ116" s="1642"/>
      <c r="CA116" s="1642"/>
      <c r="CB116" s="1641"/>
      <c r="CC116" s="1642"/>
      <c r="CD116" s="1642"/>
      <c r="CE116" s="1642"/>
      <c r="CF116" s="1641"/>
      <c r="CG116" s="1642"/>
      <c r="CH116" s="1642"/>
      <c r="CI116" s="1642"/>
      <c r="CJ116" s="1641"/>
      <c r="CK116" s="1642"/>
      <c r="CL116" s="1642"/>
      <c r="CM116" s="1681"/>
      <c r="CN116" s="1672"/>
      <c r="CO116" s="1672"/>
      <c r="CP116" s="1672"/>
      <c r="CQ116" s="1681"/>
      <c r="CR116" s="1672"/>
      <c r="CS116" s="1672"/>
      <c r="CT116" s="1672"/>
      <c r="CU116" s="1681"/>
      <c r="CV116" s="1672"/>
      <c r="CW116" s="1672"/>
      <c r="CX116" s="1672"/>
      <c r="CY116" s="1681"/>
      <c r="CZ116" s="1672"/>
      <c r="DA116" s="1672"/>
      <c r="DB116" s="1672"/>
      <c r="DC116" s="1672"/>
      <c r="DD116" s="1672"/>
      <c r="DE116" s="1672"/>
      <c r="DF116" s="1672"/>
      <c r="DG116" s="1672"/>
      <c r="DH116" s="1672"/>
      <c r="DI116" s="1672"/>
      <c r="DJ116" s="1672"/>
      <c r="DK116" s="1672"/>
      <c r="DL116" s="1672"/>
    </row>
    <row r="117" spans="1:116" ht="12.75" hidden="1" customHeight="1">
      <c r="A117" s="1628" t="s">
        <v>635</v>
      </c>
      <c r="B117" s="1642"/>
      <c r="C117" s="1642"/>
      <c r="D117" s="1642"/>
      <c r="E117" s="1641"/>
      <c r="F117" s="1642">
        <v>329</v>
      </c>
      <c r="G117" s="1642">
        <v>292</v>
      </c>
      <c r="H117" s="1642">
        <v>574</v>
      </c>
      <c r="I117" s="1642"/>
      <c r="J117" s="1642"/>
      <c r="K117" s="1681"/>
      <c r="L117" s="1642"/>
      <c r="M117" s="1642"/>
      <c r="N117" s="1642"/>
      <c r="O117" s="1642"/>
      <c r="P117" s="1642"/>
      <c r="Q117" s="1642"/>
      <c r="R117" s="1642"/>
      <c r="S117" s="1642"/>
      <c r="T117" s="1642"/>
      <c r="U117" s="1642"/>
      <c r="V117" s="1642"/>
      <c r="W117" s="1642"/>
      <c r="X117" s="1642"/>
      <c r="Y117" s="1642"/>
      <c r="Z117" s="1642"/>
      <c r="AA117" s="1642"/>
      <c r="AB117" s="1642"/>
      <c r="AC117" s="1642"/>
      <c r="AD117" s="1642"/>
      <c r="AE117" s="1642"/>
      <c r="AF117" s="1641"/>
      <c r="AG117" s="1642"/>
      <c r="AH117" s="1642"/>
      <c r="AI117" s="1642"/>
      <c r="AJ117" s="1641"/>
      <c r="AK117" s="1642"/>
      <c r="AL117" s="1642"/>
      <c r="AM117" s="1642"/>
      <c r="AN117" s="1641"/>
      <c r="AO117" s="1642"/>
      <c r="AP117" s="1642"/>
      <c r="AQ117" s="1642"/>
      <c r="AR117" s="1641"/>
      <c r="AS117" s="1642"/>
      <c r="AT117" s="1642"/>
      <c r="AU117" s="1642"/>
      <c r="AV117" s="1641"/>
      <c r="AW117" s="1642"/>
      <c r="AX117" s="1642"/>
      <c r="AY117" s="1642"/>
      <c r="AZ117" s="1641"/>
      <c r="BA117" s="1642"/>
      <c r="BB117" s="1642"/>
      <c r="BC117" s="1642"/>
      <c r="BD117" s="1641"/>
      <c r="BE117" s="1642"/>
      <c r="BF117" s="1642"/>
      <c r="BG117" s="1642"/>
      <c r="BH117" s="1641"/>
      <c r="BI117" s="1642"/>
      <c r="BJ117" s="1642"/>
      <c r="BK117" s="1642"/>
      <c r="BL117" s="1641"/>
      <c r="BM117" s="1642"/>
      <c r="BN117" s="1642"/>
      <c r="BO117" s="1642"/>
      <c r="BP117" s="1641"/>
      <c r="BQ117" s="1642"/>
      <c r="BR117" s="1642"/>
      <c r="BS117" s="1642"/>
      <c r="BT117" s="1641"/>
      <c r="BU117" s="1642"/>
      <c r="BV117" s="1642"/>
      <c r="BW117" s="1642"/>
      <c r="BX117" s="1641"/>
      <c r="BY117" s="1642"/>
      <c r="BZ117" s="1642"/>
      <c r="CA117" s="1642"/>
      <c r="CB117" s="1641"/>
      <c r="CC117" s="1642"/>
      <c r="CD117" s="1642"/>
      <c r="CE117" s="1642"/>
      <c r="CF117" s="1641"/>
      <c r="CG117" s="1642"/>
      <c r="CH117" s="1642"/>
      <c r="CI117" s="1642"/>
      <c r="CJ117" s="1641"/>
      <c r="CK117" s="1642"/>
      <c r="CL117" s="1642"/>
      <c r="CM117" s="1681"/>
      <c r="CN117" s="1672"/>
      <c r="CO117" s="1672"/>
      <c r="CP117" s="1672"/>
      <c r="CQ117" s="1681"/>
      <c r="CR117" s="1672"/>
      <c r="CS117" s="1672"/>
      <c r="CT117" s="1672"/>
      <c r="CU117" s="1681"/>
      <c r="CV117" s="1672"/>
      <c r="CW117" s="1672"/>
      <c r="CX117" s="1672"/>
      <c r="CY117" s="1681"/>
      <c r="CZ117" s="1672"/>
      <c r="DA117" s="1672"/>
      <c r="DB117" s="1672"/>
      <c r="DC117" s="1672"/>
      <c r="DD117" s="1672"/>
      <c r="DE117" s="1672"/>
      <c r="DF117" s="1672"/>
      <c r="DG117" s="1672"/>
      <c r="DH117" s="1672"/>
      <c r="DI117" s="1672"/>
      <c r="DJ117" s="1672"/>
      <c r="DK117" s="1672"/>
      <c r="DL117" s="1672"/>
    </row>
    <row r="118" spans="1:116" ht="12.75" hidden="1" customHeight="1">
      <c r="A118" s="1628" t="s">
        <v>636</v>
      </c>
      <c r="B118" s="1642"/>
      <c r="C118" s="1642"/>
      <c r="D118" s="1642"/>
      <c r="E118" s="1641"/>
      <c r="F118" s="1642">
        <v>237</v>
      </c>
      <c r="G118" s="1642">
        <v>349</v>
      </c>
      <c r="H118" s="1642">
        <v>1692</v>
      </c>
      <c r="I118" s="1642"/>
      <c r="J118" s="1642"/>
      <c r="K118" s="1681"/>
      <c r="L118" s="1642"/>
      <c r="M118" s="1642"/>
      <c r="N118" s="1642"/>
      <c r="O118" s="1642"/>
      <c r="P118" s="1642"/>
      <c r="Q118" s="1642"/>
      <c r="R118" s="1642"/>
      <c r="S118" s="1642"/>
      <c r="T118" s="1642"/>
      <c r="U118" s="1642"/>
      <c r="V118" s="1642"/>
      <c r="W118" s="1642"/>
      <c r="X118" s="1642"/>
      <c r="Y118" s="1642"/>
      <c r="Z118" s="1642"/>
      <c r="AA118" s="1642"/>
      <c r="AB118" s="1642"/>
      <c r="AC118" s="1642"/>
      <c r="AD118" s="1642"/>
      <c r="AE118" s="1642"/>
      <c r="AF118" s="1641"/>
      <c r="AG118" s="1642"/>
      <c r="AH118" s="1642"/>
      <c r="AI118" s="1642"/>
      <c r="AJ118" s="1641"/>
      <c r="AK118" s="1642"/>
      <c r="AL118" s="1642"/>
      <c r="AM118" s="1642"/>
      <c r="AN118" s="1641"/>
      <c r="AO118" s="1642"/>
      <c r="AP118" s="1642"/>
      <c r="AQ118" s="1642"/>
      <c r="AR118" s="1641"/>
      <c r="AS118" s="1642"/>
      <c r="AT118" s="1642"/>
      <c r="AU118" s="1642"/>
      <c r="AV118" s="1641"/>
      <c r="AW118" s="1642"/>
      <c r="AX118" s="1642"/>
      <c r="AY118" s="1642"/>
      <c r="AZ118" s="1641"/>
      <c r="BA118" s="1642"/>
      <c r="BB118" s="1642"/>
      <c r="BC118" s="1642"/>
      <c r="BD118" s="1641"/>
      <c r="BE118" s="1642"/>
      <c r="BF118" s="1642"/>
      <c r="BG118" s="1642"/>
      <c r="BH118" s="1641"/>
      <c r="BI118" s="1642"/>
      <c r="BJ118" s="1642"/>
      <c r="BK118" s="1642"/>
      <c r="BL118" s="1641"/>
      <c r="BM118" s="1642"/>
      <c r="BN118" s="1642"/>
      <c r="BO118" s="1642"/>
      <c r="BP118" s="1641"/>
      <c r="BQ118" s="1642"/>
      <c r="BR118" s="1642"/>
      <c r="BS118" s="1642"/>
      <c r="BT118" s="1641"/>
      <c r="BU118" s="1642"/>
      <c r="BV118" s="1642"/>
      <c r="BW118" s="1642"/>
      <c r="BX118" s="1641"/>
      <c r="BY118" s="1642"/>
      <c r="BZ118" s="1642"/>
      <c r="CA118" s="1642"/>
      <c r="CB118" s="1641"/>
      <c r="CC118" s="1642"/>
      <c r="CD118" s="1642"/>
      <c r="CE118" s="1642"/>
      <c r="CF118" s="1641"/>
      <c r="CG118" s="1642"/>
      <c r="CH118" s="1642"/>
      <c r="CI118" s="1642"/>
      <c r="CJ118" s="1641"/>
      <c r="CK118" s="1642"/>
      <c r="CL118" s="1642"/>
      <c r="CM118" s="1681"/>
      <c r="CN118" s="1672"/>
      <c r="CO118" s="1672"/>
      <c r="CP118" s="1672"/>
      <c r="CQ118" s="1681"/>
      <c r="CR118" s="1672"/>
      <c r="CS118" s="1672"/>
      <c r="CT118" s="1672"/>
      <c r="CU118" s="1681"/>
      <c r="CV118" s="1672"/>
      <c r="CW118" s="1672"/>
      <c r="CX118" s="1672"/>
      <c r="CY118" s="1681"/>
      <c r="CZ118" s="1672"/>
      <c r="DA118" s="1672"/>
      <c r="DB118" s="1672"/>
      <c r="DC118" s="1672"/>
      <c r="DD118" s="1672"/>
      <c r="DE118" s="1672"/>
      <c r="DF118" s="1672"/>
      <c r="DG118" s="1672"/>
      <c r="DH118" s="1672"/>
      <c r="DI118" s="1672"/>
      <c r="DJ118" s="1672"/>
      <c r="DK118" s="1672"/>
      <c r="DL118" s="1672"/>
    </row>
    <row r="119" spans="1:116" ht="12.75" hidden="1" customHeight="1">
      <c r="A119" s="1628" t="s">
        <v>1040</v>
      </c>
      <c r="B119" s="1642"/>
      <c r="C119" s="1642"/>
      <c r="D119" s="1642"/>
      <c r="E119" s="1641"/>
      <c r="F119" s="1642">
        <f>SUM(F113:F118)</f>
        <v>10243</v>
      </c>
      <c r="G119" s="1642">
        <f>SUM(G113:G118)</f>
        <v>10875</v>
      </c>
      <c r="H119" s="1642">
        <f>SUM(H113:H118)</f>
        <v>13965</v>
      </c>
      <c r="I119" s="1642"/>
      <c r="J119" s="1642"/>
      <c r="K119" s="1681"/>
      <c r="L119" s="1642"/>
      <c r="M119" s="1642"/>
      <c r="N119" s="1642"/>
      <c r="O119" s="1642"/>
      <c r="P119" s="1642"/>
      <c r="Q119" s="1642"/>
      <c r="R119" s="1642"/>
      <c r="S119" s="1642"/>
      <c r="T119" s="1642"/>
      <c r="U119" s="1642"/>
      <c r="V119" s="1642"/>
      <c r="W119" s="1642"/>
      <c r="X119" s="1642"/>
      <c r="Y119" s="1642"/>
      <c r="Z119" s="1642"/>
      <c r="AA119" s="1642"/>
      <c r="AB119" s="1642"/>
      <c r="AC119" s="1642"/>
      <c r="AD119" s="1642"/>
      <c r="AE119" s="1642"/>
      <c r="AF119" s="1641"/>
      <c r="AG119" s="1642"/>
      <c r="AH119" s="1642"/>
      <c r="AI119" s="1642"/>
      <c r="AJ119" s="1641"/>
      <c r="AK119" s="1642"/>
      <c r="AL119" s="1642"/>
      <c r="AM119" s="1642"/>
      <c r="AN119" s="1641"/>
      <c r="AO119" s="1642"/>
      <c r="AP119" s="1642"/>
      <c r="AQ119" s="1642"/>
      <c r="AR119" s="1641"/>
      <c r="AS119" s="1642"/>
      <c r="AT119" s="1642"/>
      <c r="AU119" s="1642"/>
      <c r="AV119" s="1641"/>
      <c r="AW119" s="1642"/>
      <c r="AX119" s="1642"/>
      <c r="AY119" s="1642"/>
      <c r="AZ119" s="1641"/>
      <c r="BA119" s="1642"/>
      <c r="BB119" s="1642"/>
      <c r="BC119" s="1642"/>
      <c r="BD119" s="1641"/>
      <c r="BE119" s="1642"/>
      <c r="BF119" s="1642"/>
      <c r="BG119" s="1642"/>
      <c r="BH119" s="1641"/>
      <c r="BI119" s="1642"/>
      <c r="BJ119" s="1642"/>
      <c r="BK119" s="1642"/>
      <c r="BL119" s="1641"/>
      <c r="BM119" s="1642"/>
      <c r="BN119" s="1642"/>
      <c r="BO119" s="1642"/>
      <c r="BP119" s="1641"/>
      <c r="BQ119" s="1642"/>
      <c r="BR119" s="1642"/>
      <c r="BS119" s="1642"/>
      <c r="BT119" s="1641"/>
      <c r="BU119" s="1642"/>
      <c r="BV119" s="1642"/>
      <c r="BW119" s="1642"/>
      <c r="BX119" s="1641"/>
      <c r="BY119" s="1642"/>
      <c r="BZ119" s="1642"/>
      <c r="CA119" s="1642"/>
      <c r="CB119" s="1641"/>
      <c r="CC119" s="1642"/>
      <c r="CD119" s="1642"/>
      <c r="CE119" s="1642"/>
      <c r="CF119" s="1641"/>
      <c r="CG119" s="1642"/>
      <c r="CH119" s="1642"/>
      <c r="CI119" s="1642"/>
      <c r="CJ119" s="1641"/>
      <c r="CK119" s="1642"/>
      <c r="CL119" s="1642"/>
      <c r="CM119" s="1681"/>
      <c r="CN119" s="1672"/>
      <c r="CO119" s="1672"/>
      <c r="CP119" s="1672"/>
      <c r="CQ119" s="1681"/>
      <c r="CR119" s="1672"/>
      <c r="CS119" s="1672"/>
      <c r="CT119" s="1672"/>
      <c r="CU119" s="1681"/>
      <c r="CV119" s="1672"/>
      <c r="CW119" s="1672"/>
      <c r="CX119" s="1672"/>
      <c r="CY119" s="1681"/>
      <c r="CZ119" s="1672"/>
      <c r="DA119" s="1672"/>
      <c r="DB119" s="1672"/>
      <c r="DC119" s="1672"/>
      <c r="DD119" s="1672"/>
      <c r="DE119" s="1672"/>
      <c r="DF119" s="1672"/>
      <c r="DG119" s="1672"/>
      <c r="DH119" s="1672"/>
      <c r="DI119" s="1672"/>
      <c r="DJ119" s="1672"/>
      <c r="DK119" s="1672"/>
      <c r="DL119" s="1672"/>
    </row>
    <row r="120" spans="1:116" ht="12.75" hidden="1" customHeight="1">
      <c r="A120" s="1628"/>
      <c r="B120" s="1642"/>
      <c r="C120" s="1642"/>
      <c r="D120" s="1642"/>
      <c r="E120" s="1641"/>
      <c r="F120" s="1642"/>
      <c r="G120" s="1642"/>
      <c r="H120" s="1642"/>
      <c r="I120" s="1642"/>
      <c r="J120" s="1642"/>
      <c r="K120" s="1681"/>
      <c r="L120" s="1642"/>
      <c r="M120" s="1642"/>
      <c r="N120" s="1642"/>
      <c r="O120" s="1642"/>
      <c r="P120" s="1642"/>
      <c r="Q120" s="1642"/>
      <c r="R120" s="1642"/>
      <c r="S120" s="1642"/>
      <c r="T120" s="1642"/>
      <c r="U120" s="1642"/>
      <c r="V120" s="1642"/>
      <c r="W120" s="1642"/>
      <c r="X120" s="1642"/>
      <c r="Y120" s="1642"/>
      <c r="Z120" s="1642"/>
      <c r="AA120" s="1642"/>
      <c r="AB120" s="1642"/>
      <c r="AC120" s="1642"/>
      <c r="AD120" s="1642"/>
      <c r="AE120" s="1642"/>
      <c r="AF120" s="1641"/>
      <c r="AG120" s="1642"/>
      <c r="AH120" s="1642"/>
      <c r="AI120" s="1642"/>
      <c r="AJ120" s="1641"/>
      <c r="AK120" s="1642"/>
      <c r="AL120" s="1642"/>
      <c r="AM120" s="1642"/>
      <c r="AN120" s="1641"/>
      <c r="AO120" s="1642"/>
      <c r="AP120" s="1642"/>
      <c r="AQ120" s="1642"/>
      <c r="AR120" s="1641"/>
      <c r="AS120" s="1642"/>
      <c r="AT120" s="1642"/>
      <c r="AU120" s="1642"/>
      <c r="AV120" s="1641"/>
      <c r="AW120" s="1642"/>
      <c r="AX120" s="1642"/>
      <c r="AY120" s="1642"/>
      <c r="AZ120" s="1641"/>
      <c r="BA120" s="1642"/>
      <c r="BB120" s="1642"/>
      <c r="BC120" s="1642"/>
      <c r="BD120" s="1641"/>
      <c r="BE120" s="1642"/>
      <c r="BF120" s="1642"/>
      <c r="BG120" s="1642"/>
      <c r="BH120" s="1641"/>
      <c r="BI120" s="1642"/>
      <c r="BJ120" s="1642"/>
      <c r="BK120" s="1642"/>
      <c r="BL120" s="1641"/>
      <c r="BM120" s="1642"/>
      <c r="BN120" s="1642"/>
      <c r="BO120" s="1642"/>
      <c r="BP120" s="1641"/>
      <c r="BQ120" s="1642"/>
      <c r="BR120" s="1642"/>
      <c r="BS120" s="1642"/>
      <c r="BT120" s="1641"/>
      <c r="BU120" s="1642"/>
      <c r="BV120" s="1642"/>
      <c r="BW120" s="1642"/>
      <c r="BX120" s="1641"/>
      <c r="BY120" s="1642"/>
      <c r="BZ120" s="1642"/>
      <c r="CA120" s="1642"/>
      <c r="CB120" s="1641"/>
      <c r="CC120" s="1642"/>
      <c r="CD120" s="1642"/>
      <c r="CE120" s="1642"/>
      <c r="CF120" s="1641"/>
      <c r="CG120" s="1642"/>
      <c r="CH120" s="1642"/>
      <c r="CI120" s="1642"/>
      <c r="CJ120" s="1641"/>
      <c r="CK120" s="1642"/>
      <c r="CL120" s="1642"/>
      <c r="CM120" s="1681"/>
      <c r="CN120" s="1672"/>
      <c r="CO120" s="1672"/>
      <c r="CP120" s="1672"/>
      <c r="CQ120" s="1681"/>
      <c r="CR120" s="1672"/>
      <c r="CS120" s="1672"/>
      <c r="CT120" s="1672"/>
      <c r="CU120" s="1681"/>
      <c r="CV120" s="1672"/>
      <c r="CW120" s="1672"/>
      <c r="CX120" s="1672"/>
      <c r="CY120" s="1681"/>
      <c r="CZ120" s="1672"/>
      <c r="DA120" s="1672"/>
      <c r="DB120" s="1672"/>
      <c r="DC120" s="1672"/>
      <c r="DD120" s="1672"/>
      <c r="DE120" s="1672"/>
      <c r="DF120" s="1672"/>
      <c r="DG120" s="1672"/>
      <c r="DH120" s="1672"/>
      <c r="DI120" s="1672"/>
      <c r="DJ120" s="1672"/>
      <c r="DK120" s="1672"/>
      <c r="DL120" s="1672"/>
    </row>
    <row r="121" spans="1:116" ht="12.75" customHeight="1">
      <c r="A121" s="1664" t="s">
        <v>1583</v>
      </c>
      <c r="B121" s="1729"/>
      <c r="C121" s="1729"/>
      <c r="D121" s="1729"/>
      <c r="E121" s="1740"/>
      <c r="F121" s="1730"/>
      <c r="G121" s="1730"/>
      <c r="H121" s="1730"/>
      <c r="I121" s="1730"/>
      <c r="J121" s="1730"/>
      <c r="K121" s="1732"/>
      <c r="L121" s="1730"/>
      <c r="M121" s="1730"/>
      <c r="N121" s="1730"/>
      <c r="O121" s="1730"/>
      <c r="P121" s="1730"/>
      <c r="Q121" s="1730"/>
      <c r="R121" s="1730"/>
      <c r="S121" s="1730"/>
      <c r="T121" s="1730"/>
      <c r="U121" s="1730"/>
      <c r="V121" s="1730"/>
      <c r="W121" s="1730"/>
      <c r="X121" s="1730"/>
      <c r="Y121" s="1730"/>
      <c r="Z121" s="1730"/>
      <c r="AA121" s="1730"/>
      <c r="AB121" s="1730"/>
      <c r="AC121" s="1730"/>
      <c r="AD121" s="1730"/>
      <c r="AE121" s="1730"/>
      <c r="AF121" s="1731"/>
      <c r="AG121" s="1730"/>
      <c r="AH121" s="1730"/>
      <c r="AI121" s="1730"/>
      <c r="AJ121" s="1731"/>
      <c r="AK121" s="1730"/>
      <c r="AL121" s="1730"/>
      <c r="AM121" s="1730"/>
      <c r="AN121" s="1731"/>
      <c r="AO121" s="1730"/>
      <c r="AP121" s="1730"/>
      <c r="AQ121" s="1730"/>
      <c r="AR121" s="1731"/>
      <c r="AS121" s="1730"/>
      <c r="AT121" s="1730"/>
      <c r="AU121" s="1730"/>
      <c r="AV121" s="1731"/>
      <c r="AW121" s="1730"/>
      <c r="AX121" s="1730"/>
      <c r="AY121" s="1730"/>
      <c r="AZ121" s="1731"/>
      <c r="BA121" s="1730"/>
      <c r="BB121" s="1730"/>
      <c r="BC121" s="1730"/>
      <c r="BD121" s="1731"/>
      <c r="BE121" s="1730"/>
      <c r="BF121" s="1730"/>
      <c r="BG121" s="1730"/>
      <c r="BH121" s="1731"/>
      <c r="BI121" s="1730"/>
      <c r="BJ121" s="1730"/>
      <c r="BK121" s="1730"/>
      <c r="BL121" s="1731"/>
      <c r="BM121" s="1730"/>
      <c r="BN121" s="1730"/>
      <c r="BO121" s="1730"/>
      <c r="BP121" s="1731"/>
      <c r="BQ121" s="1730"/>
      <c r="BR121" s="1730"/>
      <c r="BS121" s="1730"/>
      <c r="BT121" s="1731"/>
      <c r="BU121" s="1730"/>
      <c r="BV121" s="1730"/>
      <c r="BW121" s="1730"/>
      <c r="BX121" s="1731"/>
      <c r="BY121" s="1730"/>
      <c r="BZ121" s="1730"/>
      <c r="CA121" s="1730"/>
      <c r="CB121" s="1731"/>
      <c r="CC121" s="1730"/>
      <c r="CD121" s="1730"/>
      <c r="CE121" s="1730"/>
      <c r="CF121" s="1731"/>
      <c r="CG121" s="1730"/>
      <c r="CH121" s="1730"/>
      <c r="CI121" s="1730"/>
      <c r="CJ121" s="1731"/>
      <c r="CK121" s="1730"/>
      <c r="CL121" s="1730"/>
      <c r="CM121" s="1732"/>
      <c r="CN121" s="1733"/>
      <c r="CO121" s="1733"/>
      <c r="CP121" s="1733"/>
      <c r="CQ121" s="1732"/>
      <c r="CR121" s="1733"/>
      <c r="CS121" s="1733"/>
      <c r="CT121" s="1733"/>
      <c r="CU121" s="1732"/>
      <c r="CV121" s="1733"/>
      <c r="CW121" s="1733"/>
      <c r="CX121" s="1733"/>
      <c r="CY121" s="1732"/>
      <c r="CZ121" s="1733"/>
      <c r="DA121" s="1733"/>
      <c r="DB121" s="1733"/>
      <c r="DC121" s="1733"/>
      <c r="DD121" s="1733"/>
      <c r="DE121" s="1733"/>
      <c r="DF121" s="1733"/>
      <c r="DG121" s="1733"/>
      <c r="DH121" s="1733"/>
      <c r="DI121" s="1733"/>
      <c r="DJ121" s="1733"/>
      <c r="DK121" s="1733"/>
      <c r="DL121" s="1733"/>
    </row>
    <row r="122" spans="1:116" ht="12.75" customHeight="1">
      <c r="A122" s="1640" t="s">
        <v>637</v>
      </c>
      <c r="B122" s="1741"/>
      <c r="C122" s="1741"/>
      <c r="D122" s="1741"/>
      <c r="E122" s="1742">
        <f>SUM(AF122:AI122)</f>
        <v>1.51</v>
      </c>
      <c r="F122" s="1741">
        <f>SUM(AJ122:AM122)</f>
        <v>1.54</v>
      </c>
      <c r="G122" s="1741">
        <f>SUM(AN122:AQ122)</f>
        <v>1.54</v>
      </c>
      <c r="H122" s="1741"/>
      <c r="I122" s="1741"/>
      <c r="J122" s="1741"/>
      <c r="K122" s="1743"/>
      <c r="L122" s="1741"/>
      <c r="M122" s="1741"/>
      <c r="N122" s="1741"/>
      <c r="O122" s="1741"/>
      <c r="P122" s="1741"/>
      <c r="Q122" s="1741"/>
      <c r="R122" s="1741"/>
      <c r="S122" s="1741"/>
      <c r="T122" s="1741"/>
      <c r="U122" s="1741"/>
      <c r="V122" s="1741"/>
      <c r="W122" s="1741"/>
      <c r="X122" s="1741"/>
      <c r="Y122" s="1741"/>
      <c r="Z122" s="1741"/>
      <c r="AA122" s="1741"/>
      <c r="AB122" s="1741"/>
      <c r="AC122" s="1741"/>
      <c r="AD122" s="1741"/>
      <c r="AE122" s="1741"/>
      <c r="AF122" s="1742">
        <v>0.37</v>
      </c>
      <c r="AG122" s="1741">
        <v>0.37</v>
      </c>
      <c r="AH122" s="1741">
        <v>0.38500000000000001</v>
      </c>
      <c r="AI122" s="1741">
        <v>0.38500000000000001</v>
      </c>
      <c r="AJ122" s="1742">
        <v>0.38500000000000001</v>
      </c>
      <c r="AK122" s="1741">
        <v>0.38500000000000001</v>
      </c>
      <c r="AL122" s="1741">
        <v>0.38500000000000001</v>
      </c>
      <c r="AM122" s="1741">
        <v>0.38500000000000001</v>
      </c>
      <c r="AN122" s="1742">
        <v>0.38500000000000001</v>
      </c>
      <c r="AO122" s="1741">
        <v>0.38500000000000001</v>
      </c>
      <c r="AP122" s="1741">
        <v>0.38500000000000001</v>
      </c>
      <c r="AQ122" s="1741">
        <v>0.38500000000000001</v>
      </c>
      <c r="AR122" s="1742">
        <v>0.38500000000000001</v>
      </c>
      <c r="AS122" s="1741">
        <v>0.38500000000000001</v>
      </c>
      <c r="AT122" s="1741">
        <v>0.38500000000000001</v>
      </c>
      <c r="AU122" s="1741">
        <v>0.38500000000000001</v>
      </c>
      <c r="AV122" s="1742">
        <v>0.38500000000000001</v>
      </c>
      <c r="AW122" s="1741">
        <v>0.38500000000000001</v>
      </c>
      <c r="AX122" s="1741">
        <v>0.38500000000000001</v>
      </c>
      <c r="AY122" s="1741">
        <v>0.38500000000000001</v>
      </c>
      <c r="AZ122" s="1742">
        <v>0.38500000000000001</v>
      </c>
      <c r="BA122" s="1741">
        <v>0.38500000000000001</v>
      </c>
      <c r="BB122" s="1741">
        <v>0.38500000000000001</v>
      </c>
      <c r="BC122" s="1741">
        <v>0.38500000000000001</v>
      </c>
      <c r="BD122" s="1742">
        <v>0.38500000000000001</v>
      </c>
      <c r="BE122" s="1741">
        <v>0.38500000000000001</v>
      </c>
      <c r="BF122" s="1741">
        <v>0.38500000000000001</v>
      </c>
      <c r="BG122" s="1741">
        <v>0.38500000000000001</v>
      </c>
      <c r="BH122" s="1742">
        <v>0.38500000000000001</v>
      </c>
      <c r="BI122" s="1741">
        <v>0.38500000000000001</v>
      </c>
      <c r="BJ122" s="1741">
        <v>0.38500000000000001</v>
      </c>
      <c r="BK122" s="1741">
        <v>0.38500000000000001</v>
      </c>
      <c r="BL122" s="1742">
        <v>0.40500000000000003</v>
      </c>
      <c r="BM122" s="1741">
        <v>0.40500000000000003</v>
      </c>
      <c r="BN122" s="1741">
        <v>0.40500000000000003</v>
      </c>
      <c r="BO122" s="1741">
        <v>0.40500000000000003</v>
      </c>
      <c r="BP122" s="1742">
        <v>0.40500000000000003</v>
      </c>
      <c r="BQ122" s="1741">
        <v>0.40500000000000003</v>
      </c>
      <c r="BR122" s="1741">
        <v>0.40500000000000003</v>
      </c>
      <c r="BS122" s="1741">
        <v>0.40500000000000003</v>
      </c>
      <c r="BT122" s="1742">
        <v>0.40500000000000003</v>
      </c>
      <c r="BU122" s="1744">
        <v>0.40500000000000003</v>
      </c>
      <c r="BV122" s="1744">
        <v>0.43</v>
      </c>
      <c r="BW122" s="1744">
        <v>0.43</v>
      </c>
      <c r="BX122" s="1745">
        <v>0.43</v>
      </c>
      <c r="BY122" s="1744">
        <v>0.43</v>
      </c>
      <c r="BZ122" s="1744">
        <v>0.46</v>
      </c>
      <c r="CA122" s="1744">
        <v>0.46</v>
      </c>
      <c r="CB122" s="1745">
        <v>0.46</v>
      </c>
      <c r="CC122" s="1744">
        <v>0.46</v>
      </c>
      <c r="CD122" s="1744">
        <v>0.47499999999999998</v>
      </c>
      <c r="CE122" s="1744">
        <v>0.47499999999999998</v>
      </c>
      <c r="CF122" s="1745">
        <v>0.47499999999999998</v>
      </c>
      <c r="CG122" s="1744">
        <v>0.47499999999999998</v>
      </c>
      <c r="CH122" s="1744">
        <v>0.48749999999999999</v>
      </c>
      <c r="CI122" s="1744">
        <v>0.48749999999999999</v>
      </c>
      <c r="CJ122" s="1745">
        <v>0.48749999999999999</v>
      </c>
      <c r="CK122" s="1744">
        <f>0.975-CJ122</f>
        <v>0.48749999999999999</v>
      </c>
      <c r="CL122" s="1744">
        <f>1.475-CK122-CJ122</f>
        <v>0.5</v>
      </c>
      <c r="CM122" s="1746">
        <v>0.5</v>
      </c>
      <c r="CN122" s="1747">
        <v>0.5</v>
      </c>
      <c r="CO122" s="1747">
        <v>0.5</v>
      </c>
      <c r="CP122" s="1747">
        <v>0.51500000000000001</v>
      </c>
      <c r="CQ122" s="1746">
        <v>0.51500000000000001</v>
      </c>
      <c r="CR122" s="1747">
        <v>0.51500000000000001</v>
      </c>
      <c r="CS122" s="1747">
        <v>0.51500000000000001</v>
      </c>
      <c r="CT122" s="1747">
        <v>0.53</v>
      </c>
      <c r="CU122" s="1746">
        <v>0.53</v>
      </c>
      <c r="CV122" s="1747">
        <v>0.53</v>
      </c>
      <c r="CW122" s="1747">
        <v>0.53</v>
      </c>
      <c r="CX122" s="1747">
        <v>0.55000000000000004</v>
      </c>
      <c r="CY122" s="1746">
        <v>0.55000000000000004</v>
      </c>
      <c r="CZ122" s="1747">
        <v>0.55000000000000004</v>
      </c>
      <c r="DA122" s="1747">
        <v>0.55000000000000004</v>
      </c>
      <c r="DB122" s="1747">
        <v>0.56499999999999995</v>
      </c>
      <c r="DC122" s="1747">
        <v>0.56499999999999995</v>
      </c>
      <c r="DD122" s="1747">
        <v>0.56499999999999995</v>
      </c>
      <c r="DE122" s="1747">
        <v>0.56499999999999995</v>
      </c>
      <c r="DF122" s="1747">
        <v>0.57750000000000001</v>
      </c>
      <c r="DG122" s="1747">
        <v>0.57750000000000001</v>
      </c>
      <c r="DH122" s="1747">
        <v>0.57750000000000001</v>
      </c>
      <c r="DI122" s="1747">
        <v>0.57750000000000001</v>
      </c>
      <c r="DJ122" s="1747">
        <v>0.59</v>
      </c>
      <c r="DK122" s="1747">
        <v>0.59</v>
      </c>
      <c r="DL122" s="1747">
        <v>0.59</v>
      </c>
    </row>
    <row r="123" spans="1:116" ht="12.75" customHeight="1">
      <c r="A123" s="1539" t="s">
        <v>638</v>
      </c>
      <c r="B123" s="1642"/>
      <c r="C123" s="1642"/>
      <c r="D123" s="1642"/>
      <c r="E123" s="1641">
        <f>AI123</f>
        <v>2722</v>
      </c>
      <c r="F123" s="1642">
        <f>AM123</f>
        <v>2734</v>
      </c>
      <c r="G123" s="1642">
        <f>AQ123</f>
        <v>2733</v>
      </c>
      <c r="H123" s="1642">
        <f>AU123</f>
        <v>2702</v>
      </c>
      <c r="I123" s="1642">
        <f>AY123</f>
        <v>2716</v>
      </c>
      <c r="J123" s="1642">
        <f>BC123</f>
        <v>2743</v>
      </c>
      <c r="K123" s="1681">
        <f>BG123</f>
        <v>2756</v>
      </c>
      <c r="L123" s="1642"/>
      <c r="M123" s="1642"/>
      <c r="N123" s="1642"/>
      <c r="O123" s="1642"/>
      <c r="P123" s="1642"/>
      <c r="Q123" s="1642"/>
      <c r="R123" s="1642"/>
      <c r="S123" s="1642"/>
      <c r="T123" s="1642"/>
      <c r="U123" s="1642"/>
      <c r="V123" s="1642"/>
      <c r="W123" s="1642"/>
      <c r="X123" s="1642"/>
      <c r="Y123" s="1642"/>
      <c r="Z123" s="1642"/>
      <c r="AA123" s="1642"/>
      <c r="AB123" s="1642"/>
      <c r="AC123" s="1642"/>
      <c r="AD123" s="1642"/>
      <c r="AE123" s="1642"/>
      <c r="AF123" s="1641">
        <v>2719</v>
      </c>
      <c r="AG123" s="1642">
        <v>2718</v>
      </c>
      <c r="AH123" s="1642">
        <v>2720</v>
      </c>
      <c r="AI123" s="1642">
        <v>2722</v>
      </c>
      <c r="AJ123" s="1641">
        <v>2725</v>
      </c>
      <c r="AK123" s="1642">
        <v>2729</v>
      </c>
      <c r="AL123" s="1642">
        <v>2729</v>
      </c>
      <c r="AM123" s="1642">
        <v>2734</v>
      </c>
      <c r="AN123" s="1641">
        <v>2736</v>
      </c>
      <c r="AO123" s="1642">
        <v>2744</v>
      </c>
      <c r="AP123" s="1642">
        <v>2744</v>
      </c>
      <c r="AQ123" s="1642">
        <v>2733</v>
      </c>
      <c r="AR123" s="1641">
        <v>2718</v>
      </c>
      <c r="AS123" s="1642">
        <v>2718</v>
      </c>
      <c r="AT123" s="1642">
        <v>2699</v>
      </c>
      <c r="AU123" s="1642">
        <v>2702</v>
      </c>
      <c r="AV123" s="1641">
        <v>2704</v>
      </c>
      <c r="AW123" s="1642">
        <v>2709</v>
      </c>
      <c r="AX123" s="1642">
        <v>2714</v>
      </c>
      <c r="AY123" s="1642">
        <v>2716</v>
      </c>
      <c r="AZ123" s="1641">
        <v>2723</v>
      </c>
      <c r="BA123" s="1642">
        <v>2728</v>
      </c>
      <c r="BB123" s="1642">
        <v>2736</v>
      </c>
      <c r="BC123" s="1642">
        <v>2743</v>
      </c>
      <c r="BD123" s="1641">
        <v>2748</v>
      </c>
      <c r="BE123" s="1642">
        <v>2751</v>
      </c>
      <c r="BF123" s="1642">
        <v>2753</v>
      </c>
      <c r="BG123" s="1642">
        <v>2756</v>
      </c>
      <c r="BH123" s="1641">
        <v>2770</v>
      </c>
      <c r="BI123" s="1642">
        <v>2770</v>
      </c>
      <c r="BJ123" s="1642">
        <v>2769</v>
      </c>
      <c r="BK123" s="1642">
        <v>2770</v>
      </c>
      <c r="BL123" s="1641">
        <v>2769</v>
      </c>
      <c r="BM123" s="1642">
        <v>2768</v>
      </c>
      <c r="BN123" s="1642">
        <v>2765</v>
      </c>
      <c r="BO123" s="1642">
        <v>2764</v>
      </c>
      <c r="BP123" s="1633">
        <v>2917</v>
      </c>
      <c r="BQ123" s="1634">
        <v>2899</v>
      </c>
      <c r="BR123" s="1634">
        <v>2920</v>
      </c>
      <c r="BS123" s="1634">
        <v>2912</v>
      </c>
      <c r="BT123" s="1633">
        <v>2903</v>
      </c>
      <c r="BU123" s="1634">
        <v>2903</v>
      </c>
      <c r="BV123" s="1634">
        <v>2890</v>
      </c>
      <c r="BW123" s="1634">
        <v>2877</v>
      </c>
      <c r="BX123" s="1633">
        <v>2851</v>
      </c>
      <c r="BY123" s="1634">
        <v>2848</v>
      </c>
      <c r="BZ123" s="1634">
        <v>2840</v>
      </c>
      <c r="CA123" s="1634">
        <v>2841</v>
      </c>
      <c r="CB123" s="1633">
        <v>2841</v>
      </c>
      <c r="CC123" s="1634">
        <v>2841</v>
      </c>
      <c r="CD123" s="1634">
        <v>2841</v>
      </c>
      <c r="CE123" s="1634">
        <v>2836</v>
      </c>
      <c r="CF123" s="1633">
        <v>2827</v>
      </c>
      <c r="CG123" s="1634">
        <v>2827</v>
      </c>
      <c r="CH123" s="1634">
        <v>2827</v>
      </c>
      <c r="CI123" s="1634">
        <v>2827</v>
      </c>
      <c r="CJ123" s="1633">
        <v>2829</v>
      </c>
      <c r="CK123" s="1634">
        <v>2831</v>
      </c>
      <c r="CL123" s="1634">
        <v>2831</v>
      </c>
      <c r="CM123" s="1648">
        <v>2834</v>
      </c>
      <c r="CN123" s="1649">
        <v>2841</v>
      </c>
      <c r="CO123" s="1649">
        <v>2849</v>
      </c>
      <c r="CP123" s="1649">
        <v>2854</v>
      </c>
      <c r="CQ123" s="1648">
        <v>2859</v>
      </c>
      <c r="CR123" s="1649">
        <v>2861</v>
      </c>
      <c r="CS123" s="1649">
        <v>2862</v>
      </c>
      <c r="CT123" s="1649">
        <v>2862</v>
      </c>
      <c r="CU123" s="1648">
        <v>2862</v>
      </c>
      <c r="CV123" s="1649">
        <v>4141</v>
      </c>
      <c r="CW123" s="1649">
        <v>4145</v>
      </c>
      <c r="CX123" s="1649">
        <v>4150</v>
      </c>
      <c r="CY123" s="1648">
        <v>4155</v>
      </c>
      <c r="CZ123" s="1649">
        <v>4078</v>
      </c>
      <c r="DA123" s="1649">
        <v>4066</v>
      </c>
      <c r="DB123" s="1649">
        <v>4069</v>
      </c>
      <c r="DC123" s="1649">
        <v>4073</v>
      </c>
      <c r="DD123" s="1649">
        <v>4076</v>
      </c>
      <c r="DE123" s="1649">
        <v>4076</v>
      </c>
      <c r="DF123" s="1649">
        <v>4077</v>
      </c>
      <c r="DG123" s="1649">
        <v>4077</v>
      </c>
      <c r="DH123" s="1649">
        <v>4079</v>
      </c>
      <c r="DI123" s="1649">
        <v>4079</v>
      </c>
      <c r="DJ123" s="1649">
        <v>4079</v>
      </c>
      <c r="DK123" s="1649">
        <v>4079</v>
      </c>
      <c r="DL123" s="1649">
        <v>4132</v>
      </c>
    </row>
    <row r="124" spans="1:116" ht="12.75" customHeight="1">
      <c r="A124" s="1539"/>
      <c r="B124" s="1642"/>
      <c r="C124" s="1642"/>
      <c r="D124" s="1642"/>
      <c r="E124" s="1641"/>
      <c r="F124" s="1642"/>
      <c r="G124" s="1642"/>
      <c r="H124" s="1642"/>
      <c r="I124" s="1642"/>
      <c r="J124" s="1642"/>
      <c r="K124" s="1681"/>
      <c r="L124" s="1642"/>
      <c r="M124" s="1642"/>
      <c r="N124" s="1642"/>
      <c r="O124" s="1642"/>
      <c r="P124" s="1642"/>
      <c r="Q124" s="1642"/>
      <c r="R124" s="1642"/>
      <c r="S124" s="1642"/>
      <c r="T124" s="1642"/>
      <c r="U124" s="1642"/>
      <c r="V124" s="1642"/>
      <c r="W124" s="1642"/>
      <c r="X124" s="1642"/>
      <c r="Y124" s="1642"/>
      <c r="Z124" s="1642"/>
      <c r="AA124" s="1642"/>
      <c r="AB124" s="1642"/>
      <c r="AC124" s="1642"/>
      <c r="AD124" s="1642"/>
      <c r="AE124" s="1642"/>
      <c r="AF124" s="1641"/>
      <c r="AG124" s="1642"/>
      <c r="AH124" s="1642"/>
      <c r="AI124" s="1642"/>
      <c r="AJ124" s="1641"/>
      <c r="AK124" s="1642"/>
      <c r="AL124" s="1642"/>
      <c r="AM124" s="1642"/>
      <c r="AN124" s="1641"/>
      <c r="AO124" s="1642"/>
      <c r="AP124" s="1642"/>
      <c r="AQ124" s="1642"/>
      <c r="AR124" s="1641"/>
      <c r="AS124" s="1642"/>
      <c r="AT124" s="1642"/>
      <c r="AU124" s="1642"/>
      <c r="AV124" s="1641"/>
      <c r="AW124" s="1642"/>
      <c r="AX124" s="1642"/>
      <c r="AY124" s="1642"/>
      <c r="AZ124" s="1641"/>
      <c r="BA124" s="1642"/>
      <c r="BB124" s="1642"/>
      <c r="BC124" s="1642"/>
      <c r="BD124" s="1641"/>
      <c r="BE124" s="1642"/>
      <c r="BF124" s="1642"/>
      <c r="BG124" s="1642"/>
      <c r="BH124" s="1641"/>
      <c r="BI124" s="1642"/>
      <c r="BJ124" s="1642"/>
      <c r="BK124" s="1642"/>
      <c r="BL124" s="1641"/>
      <c r="BM124" s="1642"/>
      <c r="BN124" s="1642"/>
      <c r="BO124" s="1642"/>
      <c r="BP124" s="1641"/>
      <c r="BQ124" s="1642"/>
      <c r="BR124" s="1642"/>
      <c r="BS124" s="1642"/>
      <c r="BT124" s="1641"/>
      <c r="BU124" s="1634"/>
      <c r="BV124" s="1634"/>
      <c r="BW124" s="1634"/>
      <c r="BX124" s="1633"/>
      <c r="BY124" s="1634"/>
      <c r="BZ124" s="1634"/>
      <c r="CA124" s="1642"/>
      <c r="CB124" s="1641"/>
      <c r="CC124" s="1642"/>
      <c r="CD124" s="1642"/>
      <c r="CE124" s="1642"/>
      <c r="CF124" s="1641"/>
      <c r="CG124" s="1642"/>
      <c r="CH124" s="1642"/>
      <c r="CI124" s="1642"/>
      <c r="CJ124" s="1641"/>
      <c r="CK124" s="1642"/>
      <c r="CL124" s="1642"/>
      <c r="CM124" s="1681"/>
      <c r="CN124" s="1672"/>
      <c r="CO124" s="1672"/>
      <c r="CP124" s="1672"/>
      <c r="CQ124" s="1681"/>
      <c r="CR124" s="1672"/>
      <c r="CS124" s="1672"/>
      <c r="CT124" s="1672"/>
      <c r="CU124" s="1681"/>
      <c r="CV124" s="1672"/>
      <c r="CW124" s="1672"/>
      <c r="CX124" s="1672"/>
      <c r="CY124" s="1681"/>
      <c r="CZ124" s="1672"/>
      <c r="DA124" s="1672"/>
      <c r="DB124" s="1672"/>
      <c r="DC124" s="1672"/>
      <c r="DD124" s="1672"/>
      <c r="DE124" s="1672"/>
      <c r="DF124" s="1672"/>
      <c r="DG124" s="1672"/>
      <c r="DH124" s="1672"/>
      <c r="DI124" s="1672"/>
      <c r="DJ124" s="1672"/>
      <c r="DK124" s="1672"/>
      <c r="DL124" s="1672"/>
    </row>
    <row r="125" spans="1:116" ht="12.75" hidden="1" customHeight="1">
      <c r="A125" s="1539"/>
      <c r="B125" s="1642"/>
      <c r="C125" s="1642"/>
      <c r="D125" s="1642"/>
      <c r="E125" s="1641"/>
      <c r="F125" s="1642"/>
      <c r="G125" s="1642"/>
      <c r="H125" s="1642"/>
      <c r="I125" s="1642"/>
      <c r="J125" s="1642"/>
      <c r="K125" s="1681"/>
      <c r="L125" s="1642"/>
      <c r="M125" s="1642"/>
      <c r="N125" s="1642"/>
      <c r="O125" s="1642"/>
      <c r="P125" s="1642"/>
      <c r="Q125" s="1642"/>
      <c r="R125" s="1642"/>
      <c r="S125" s="1642"/>
      <c r="T125" s="1642"/>
      <c r="U125" s="1642"/>
      <c r="V125" s="1642"/>
      <c r="W125" s="1642"/>
      <c r="X125" s="1642"/>
      <c r="Y125" s="1642"/>
      <c r="Z125" s="1642"/>
      <c r="AA125" s="1642"/>
      <c r="AB125" s="1642"/>
      <c r="AC125" s="1642"/>
      <c r="AD125" s="1642"/>
      <c r="AE125" s="1642"/>
      <c r="AF125" s="1641"/>
      <c r="AG125" s="1642"/>
      <c r="AH125" s="1642"/>
      <c r="AI125" s="1642"/>
      <c r="AJ125" s="1641"/>
      <c r="AK125" s="1642"/>
      <c r="AL125" s="1642"/>
      <c r="AM125" s="1642"/>
      <c r="AN125" s="1641"/>
      <c r="AO125" s="1642"/>
      <c r="AP125" s="1642"/>
      <c r="AQ125" s="1642"/>
      <c r="AR125" s="1641"/>
      <c r="AS125" s="1642"/>
      <c r="AT125" s="1642"/>
      <c r="AU125" s="1642"/>
      <c r="AV125" s="1641"/>
      <c r="AW125" s="1642"/>
      <c r="AX125" s="1642"/>
      <c r="AY125" s="1642"/>
      <c r="AZ125" s="1641"/>
      <c r="BA125" s="1642"/>
      <c r="BB125" s="1642"/>
      <c r="BC125" s="1642"/>
      <c r="BD125" s="1641"/>
      <c r="BE125" s="1642"/>
      <c r="BF125" s="1642"/>
      <c r="BG125" s="1642"/>
      <c r="BH125" s="1641"/>
      <c r="BI125" s="1642"/>
      <c r="BJ125" s="1642"/>
      <c r="BK125" s="1642"/>
      <c r="BL125" s="1641"/>
      <c r="BM125" s="1642"/>
      <c r="BN125" s="1642"/>
      <c r="BO125" s="1642"/>
      <c r="BP125" s="1641"/>
      <c r="BQ125" s="1642"/>
      <c r="BR125" s="1642"/>
      <c r="BS125" s="1642"/>
      <c r="BT125" s="1641"/>
      <c r="BU125" s="1634"/>
      <c r="BV125" s="1634"/>
      <c r="BW125" s="1634"/>
      <c r="BX125" s="1633"/>
      <c r="BY125" s="1634"/>
      <c r="BZ125" s="1634"/>
      <c r="CA125" s="1642"/>
      <c r="CB125" s="1641"/>
      <c r="CC125" s="1642"/>
      <c r="CD125" s="1642"/>
      <c r="CE125" s="1642"/>
      <c r="CF125" s="1641"/>
      <c r="CG125" s="1642"/>
      <c r="CH125" s="1642"/>
      <c r="CI125" s="1642"/>
      <c r="CJ125" s="1641"/>
      <c r="CK125" s="1642"/>
      <c r="CL125" s="1642"/>
      <c r="CM125" s="1681"/>
      <c r="CN125" s="1672"/>
      <c r="CO125" s="1672"/>
      <c r="CP125" s="1672"/>
      <c r="CQ125" s="1681"/>
      <c r="CR125" s="1672"/>
      <c r="CS125" s="1672"/>
      <c r="CT125" s="1672"/>
      <c r="CU125" s="1681"/>
      <c r="CV125" s="1672"/>
      <c r="CW125" s="1672"/>
      <c r="CX125" s="1672"/>
      <c r="CY125" s="1681"/>
      <c r="CZ125" s="1672"/>
      <c r="DA125" s="1672"/>
      <c r="DB125" s="1672"/>
      <c r="DC125" s="1672"/>
      <c r="DD125" s="1672"/>
      <c r="DE125" s="1672"/>
      <c r="DF125" s="1672"/>
      <c r="DG125" s="1672"/>
      <c r="DH125" s="1672"/>
      <c r="DI125" s="1672"/>
      <c r="DJ125" s="1672"/>
      <c r="DK125" s="1672"/>
      <c r="DL125" s="1672"/>
    </row>
    <row r="126" spans="1:116" ht="12.75" customHeight="1">
      <c r="A126" s="1628" t="s">
        <v>689</v>
      </c>
      <c r="B126" s="1642"/>
      <c r="C126" s="1642"/>
      <c r="D126" s="1642"/>
      <c r="E126" s="1641">
        <f>SUM(AF126:AI126)</f>
        <v>9112</v>
      </c>
      <c r="F126" s="1642">
        <f>SUM(AJ126:AM126)</f>
        <v>10221</v>
      </c>
      <c r="G126" s="1642">
        <f>SUM(AN126:AQ126)</f>
        <v>10087</v>
      </c>
      <c r="H126" s="1642">
        <f t="shared" ref="H126:H131" si="182">SUM(AR126:AU126)</f>
        <v>13319</v>
      </c>
      <c r="I126" s="1642">
        <f t="shared" ref="I126:I131" si="183">SUM(AV126:AY126)</f>
        <v>12620</v>
      </c>
      <c r="J126" s="1642">
        <f t="shared" ref="J126:J131" si="184">SUM(AZ126:BC126)</f>
        <v>8054</v>
      </c>
      <c r="K126" s="1681">
        <f>SUM(BD126:BG126)</f>
        <v>6820</v>
      </c>
      <c r="L126" s="1642"/>
      <c r="M126" s="1642"/>
      <c r="N126" s="1642"/>
      <c r="O126" s="1642"/>
      <c r="P126" s="1642"/>
      <c r="Q126" s="1642"/>
      <c r="R126" s="1642"/>
      <c r="S126" s="1642"/>
      <c r="T126" s="1642"/>
      <c r="U126" s="1642"/>
      <c r="V126" s="1642"/>
      <c r="W126" s="1642"/>
      <c r="X126" s="1642"/>
      <c r="Y126" s="1642"/>
      <c r="Z126" s="1642"/>
      <c r="AA126" s="1642"/>
      <c r="AB126" s="1642"/>
      <c r="AC126" s="1642"/>
      <c r="AD126" s="1642"/>
      <c r="AE126" s="1642"/>
      <c r="AF126" s="1641">
        <v>1670</v>
      </c>
      <c r="AG126" s="1642">
        <v>2171</v>
      </c>
      <c r="AH126" s="1642">
        <v>2594</v>
      </c>
      <c r="AI126" s="1642">
        <v>2677</v>
      </c>
      <c r="AJ126" s="1641">
        <v>2303</v>
      </c>
      <c r="AK126" s="1642">
        <v>2581</v>
      </c>
      <c r="AL126" s="1642">
        <v>2699</v>
      </c>
      <c r="AM126" s="1642">
        <v>2638</v>
      </c>
      <c r="AN126" s="1641">
        <v>2137</v>
      </c>
      <c r="AO126" s="1642">
        <v>2406</v>
      </c>
      <c r="AP126" s="1642">
        <v>2659</v>
      </c>
      <c r="AQ126" s="1642">
        <v>2885</v>
      </c>
      <c r="AR126" s="1641">
        <f>2464+300</f>
        <v>2764</v>
      </c>
      <c r="AS126" s="1642">
        <f>3130+300</f>
        <v>3430</v>
      </c>
      <c r="AT126" s="1642">
        <f>2986+300</f>
        <v>3286</v>
      </c>
      <c r="AU126" s="1642">
        <f>3539+300</f>
        <v>3839</v>
      </c>
      <c r="AV126" s="1641">
        <f>3339+290</f>
        <v>3629</v>
      </c>
      <c r="AW126" s="1642">
        <f>3067+290</f>
        <v>3357</v>
      </c>
      <c r="AX126" s="1642">
        <f>2064+290</f>
        <v>2354</v>
      </c>
      <c r="AY126" s="1642">
        <f>3010+270</f>
        <v>3280</v>
      </c>
      <c r="AZ126" s="1641">
        <v>1685</v>
      </c>
      <c r="BA126" s="1642">
        <v>1960</v>
      </c>
      <c r="BB126" s="1642">
        <v>1764</v>
      </c>
      <c r="BC126" s="1642">
        <v>2645</v>
      </c>
      <c r="BD126" s="1641">
        <v>1286</v>
      </c>
      <c r="BE126" s="1642">
        <v>1733</v>
      </c>
      <c r="BF126" s="1642">
        <v>1746</v>
      </c>
      <c r="BG126" s="1642">
        <v>2055</v>
      </c>
      <c r="BH126" s="1641">
        <v>1282</v>
      </c>
      <c r="BI126" s="1642">
        <v>1660</v>
      </c>
      <c r="BJ126" s="1642">
        <v>1761</v>
      </c>
      <c r="BK126" s="1642">
        <v>2415</v>
      </c>
      <c r="BL126" s="1641">
        <v>1892</v>
      </c>
      <c r="BM126" s="1642">
        <v>2152</v>
      </c>
      <c r="BN126" s="1642">
        <v>2172</v>
      </c>
      <c r="BO126" s="1642">
        <v>2051</v>
      </c>
      <c r="BP126" s="1633">
        <v>2418</v>
      </c>
      <c r="BQ126" s="1634">
        <v>2592</v>
      </c>
      <c r="BR126" s="1634">
        <v>2334</v>
      </c>
      <c r="BS126" s="1634">
        <v>2915</v>
      </c>
      <c r="BT126" s="1633">
        <v>2439</v>
      </c>
      <c r="BU126" s="1634">
        <v>2681</v>
      </c>
      <c r="BV126" s="1634">
        <v>2753</v>
      </c>
      <c r="BW126" s="1634">
        <v>3083</v>
      </c>
      <c r="BX126" s="1633">
        <v>2379</v>
      </c>
      <c r="BY126" s="1634">
        <v>2456</v>
      </c>
      <c r="BZ126" s="1634">
        <v>2483</v>
      </c>
      <c r="CA126" s="1634">
        <v>2479</v>
      </c>
      <c r="CB126" s="1633">
        <v>2003</v>
      </c>
      <c r="CC126" s="1634">
        <v>2338</v>
      </c>
      <c r="CD126" s="1634">
        <v>2273</v>
      </c>
      <c r="CE126" s="1634">
        <v>2278</v>
      </c>
      <c r="CF126" s="1633">
        <v>1566</v>
      </c>
      <c r="CG126" s="1634">
        <v>1781</v>
      </c>
      <c r="CH126" s="1634">
        <v>1751</v>
      </c>
      <c r="CI126" s="1634">
        <v>2171</v>
      </c>
      <c r="CJ126" s="1633">
        <v>1465</v>
      </c>
      <c r="CK126" s="1634">
        <v>1685</v>
      </c>
      <c r="CL126" s="1634">
        <v>1617</v>
      </c>
      <c r="CM126" s="1648">
        <v>1632</v>
      </c>
      <c r="CN126" s="1649">
        <v>1537</v>
      </c>
      <c r="CO126" s="1649">
        <v>1596</v>
      </c>
      <c r="CP126" s="1649">
        <v>1484</v>
      </c>
      <c r="CQ126" s="1648">
        <v>1725</v>
      </c>
      <c r="CR126" s="1649">
        <v>1434</v>
      </c>
      <c r="CS126" s="1649">
        <v>1515</v>
      </c>
      <c r="CT126" s="1649">
        <v>1518</v>
      </c>
      <c r="CU126" s="1648">
        <v>1762</v>
      </c>
      <c r="CV126" s="1649">
        <v>1385</v>
      </c>
      <c r="CW126" s="1649">
        <v>1345</v>
      </c>
      <c r="CX126" s="1649">
        <v>1464</v>
      </c>
      <c r="CY126" s="1648">
        <v>1556</v>
      </c>
      <c r="CZ126" s="1649">
        <v>1077</v>
      </c>
      <c r="DA126" s="1649">
        <v>1134</v>
      </c>
      <c r="DB126" s="1649">
        <v>1202</v>
      </c>
      <c r="DC126" s="1649">
        <v>1636</v>
      </c>
      <c r="DD126" s="1649">
        <v>1006</v>
      </c>
      <c r="DE126" s="1649">
        <v>814</v>
      </c>
      <c r="DF126" s="1649">
        <v>1036</v>
      </c>
      <c r="DG126" s="1649">
        <v>1648</v>
      </c>
      <c r="DH126" s="1649">
        <v>960</v>
      </c>
      <c r="DI126" s="1649">
        <v>1190</v>
      </c>
      <c r="DJ126" s="1649">
        <v>1200</v>
      </c>
      <c r="DK126" s="1649">
        <v>1981</v>
      </c>
      <c r="DL126" s="1649">
        <v>1673</v>
      </c>
    </row>
    <row r="127" spans="1:116" ht="12.75" customHeight="1">
      <c r="A127" s="1628" t="s">
        <v>538</v>
      </c>
      <c r="B127" s="1642"/>
      <c r="C127" s="1642"/>
      <c r="D127" s="1642"/>
      <c r="E127" s="1641">
        <f>SUM(AF127:AI127)</f>
        <v>1307</v>
      </c>
      <c r="F127" s="1642">
        <f>SUM(AJ127:AM127)</f>
        <v>1160</v>
      </c>
      <c r="G127" s="1642">
        <f>SUM(AN127:AQ127)</f>
        <v>1497</v>
      </c>
      <c r="H127" s="1642">
        <f t="shared" si="182"/>
        <v>4322</v>
      </c>
      <c r="I127" s="1642">
        <f t="shared" si="183"/>
        <v>5006</v>
      </c>
      <c r="J127" s="1642">
        <f t="shared" si="184"/>
        <v>4354</v>
      </c>
      <c r="K127" s="1681">
        <f>SUM(BD127:BG127)</f>
        <v>4590</v>
      </c>
      <c r="L127" s="1642"/>
      <c r="M127" s="1642"/>
      <c r="N127" s="1642"/>
      <c r="O127" s="1642"/>
      <c r="P127" s="1642"/>
      <c r="Q127" s="1642"/>
      <c r="R127" s="1642"/>
      <c r="S127" s="1642"/>
      <c r="T127" s="1642"/>
      <c r="U127" s="1642"/>
      <c r="V127" s="1642"/>
      <c r="W127" s="1642"/>
      <c r="X127" s="1642"/>
      <c r="Y127" s="1642"/>
      <c r="Z127" s="1642"/>
      <c r="AA127" s="1642"/>
      <c r="AB127" s="1642"/>
      <c r="AC127" s="1642"/>
      <c r="AD127" s="1642"/>
      <c r="AE127" s="1642"/>
      <c r="AF127" s="1641">
        <v>305</v>
      </c>
      <c r="AG127" s="1642">
        <v>362</v>
      </c>
      <c r="AH127" s="1642">
        <v>217</v>
      </c>
      <c r="AI127" s="1642">
        <v>423</v>
      </c>
      <c r="AJ127" s="1641">
        <v>158</v>
      </c>
      <c r="AK127" s="1642">
        <v>248</v>
      </c>
      <c r="AL127" s="1642">
        <v>310</v>
      </c>
      <c r="AM127" s="1642">
        <v>444</v>
      </c>
      <c r="AN127" s="1641">
        <v>305</v>
      </c>
      <c r="AO127" s="1642">
        <v>315</v>
      </c>
      <c r="AP127" s="1642">
        <v>376</v>
      </c>
      <c r="AQ127" s="1642">
        <v>501</v>
      </c>
      <c r="AR127" s="1641">
        <v>473</v>
      </c>
      <c r="AS127" s="1642">
        <v>913</v>
      </c>
      <c r="AT127" s="1642">
        <v>992</v>
      </c>
      <c r="AU127" s="1642">
        <v>1944</v>
      </c>
      <c r="AV127" s="1641">
        <v>988</v>
      </c>
      <c r="AW127" s="1642">
        <v>1384</v>
      </c>
      <c r="AX127" s="1642">
        <v>970</v>
      </c>
      <c r="AY127" s="1642">
        <v>1664</v>
      </c>
      <c r="AZ127" s="1641">
        <v>812</v>
      </c>
      <c r="BA127" s="1642">
        <v>1248</v>
      </c>
      <c r="BB127" s="1642">
        <v>921</v>
      </c>
      <c r="BC127" s="1642">
        <v>1373</v>
      </c>
      <c r="BD127" s="1641">
        <v>1107</v>
      </c>
      <c r="BE127" s="1642">
        <v>989</v>
      </c>
      <c r="BF127" s="1642">
        <v>983</v>
      </c>
      <c r="BG127" s="1642">
        <v>1511</v>
      </c>
      <c r="BH127" s="1641">
        <v>1314</v>
      </c>
      <c r="BI127" s="1642">
        <v>1433</v>
      </c>
      <c r="BJ127" s="1642">
        <v>1374</v>
      </c>
      <c r="BK127" s="1642">
        <v>1512</v>
      </c>
      <c r="BL127" s="1641">
        <v>1641</v>
      </c>
      <c r="BM127" s="1642">
        <v>1698</v>
      </c>
      <c r="BN127" s="1642">
        <v>1623</v>
      </c>
      <c r="BO127" s="1642">
        <v>1522</v>
      </c>
      <c r="BP127" s="1633">
        <v>1581</v>
      </c>
      <c r="BQ127" s="1634">
        <v>1597</v>
      </c>
      <c r="BR127" s="1634">
        <v>1623</v>
      </c>
      <c r="BS127" s="1634">
        <v>1817</v>
      </c>
      <c r="BT127" s="1633">
        <v>1721</v>
      </c>
      <c r="BU127" s="1634">
        <v>1667</v>
      </c>
      <c r="BV127" s="1634">
        <v>1515</v>
      </c>
      <c r="BW127" s="1634">
        <v>1600</v>
      </c>
      <c r="BX127" s="1633">
        <v>1722</v>
      </c>
      <c r="BY127" s="1634">
        <v>1528</v>
      </c>
      <c r="BZ127" s="1634">
        <v>1473</v>
      </c>
      <c r="CA127" s="1634">
        <v>1787</v>
      </c>
      <c r="CB127" s="1633">
        <v>1551</v>
      </c>
      <c r="CC127" s="1634">
        <v>1783</v>
      </c>
      <c r="CD127" s="1634">
        <v>1800</v>
      </c>
      <c r="CE127" s="1634">
        <v>2018</v>
      </c>
      <c r="CF127" s="1633">
        <v>1770</v>
      </c>
      <c r="CG127" s="1634">
        <v>2262</v>
      </c>
      <c r="CH127" s="1634">
        <v>2173</v>
      </c>
      <c r="CI127" s="1634">
        <v>2233</v>
      </c>
      <c r="CJ127" s="1633">
        <v>2735</v>
      </c>
      <c r="CK127" s="1634">
        <v>2667</v>
      </c>
      <c r="CL127" s="1634">
        <v>1784</v>
      </c>
      <c r="CM127" s="1634">
        <v>1787</v>
      </c>
      <c r="CN127" s="1633">
        <v>1885</v>
      </c>
      <c r="CO127" s="1649">
        <v>2048</v>
      </c>
      <c r="CP127" s="1649">
        <v>2133</v>
      </c>
      <c r="CQ127" s="1648">
        <v>2791</v>
      </c>
      <c r="CR127" s="1649">
        <v>1992</v>
      </c>
      <c r="CS127" s="1649">
        <v>2278</v>
      </c>
      <c r="CT127" s="1649">
        <v>2450</v>
      </c>
      <c r="CU127" s="1648">
        <v>2705</v>
      </c>
      <c r="CV127" s="1649">
        <v>2554</v>
      </c>
      <c r="CW127" s="1649">
        <v>2771</v>
      </c>
      <c r="CX127" s="1649">
        <v>2483</v>
      </c>
      <c r="CY127" s="1648">
        <v>2707</v>
      </c>
      <c r="CZ127" s="1649">
        <v>2419</v>
      </c>
      <c r="DA127" s="1649">
        <v>3126</v>
      </c>
      <c r="DB127" s="1649">
        <v>2921</v>
      </c>
      <c r="DC127" s="1649">
        <v>3259</v>
      </c>
      <c r="DD127" s="1649">
        <v>2190</v>
      </c>
      <c r="DE127" s="1649">
        <v>2815</v>
      </c>
      <c r="DF127" s="1649">
        <v>2771</v>
      </c>
      <c r="DG127" s="1649">
        <v>3464</v>
      </c>
      <c r="DH127" s="1649">
        <v>1831</v>
      </c>
      <c r="DI127" s="1649">
        <v>2444</v>
      </c>
      <c r="DJ127" s="1649">
        <v>2970</v>
      </c>
      <c r="DK127" s="1649">
        <v>3383</v>
      </c>
      <c r="DL127" s="1649">
        <v>2367</v>
      </c>
    </row>
    <row r="128" spans="1:116" ht="12.75" customHeight="1">
      <c r="A128" s="1628" t="s">
        <v>953</v>
      </c>
      <c r="B128" s="1642"/>
      <c r="C128" s="1642"/>
      <c r="D128" s="1642"/>
      <c r="E128" s="1641">
        <f>SUM(AF128:AI128)</f>
        <v>850</v>
      </c>
      <c r="F128" s="1642">
        <f>SUM(AJ128:AM128)</f>
        <v>944</v>
      </c>
      <c r="G128" s="1642">
        <f>SUM(AN128:AQ128)</f>
        <v>521</v>
      </c>
      <c r="H128" s="1642">
        <f t="shared" si="182"/>
        <v>586</v>
      </c>
      <c r="I128" s="1642">
        <f t="shared" si="183"/>
        <v>704</v>
      </c>
      <c r="J128" s="1642">
        <f t="shared" si="184"/>
        <v>532</v>
      </c>
      <c r="K128" s="1681">
        <f>SUM(BD128:BG128)</f>
        <v>358</v>
      </c>
      <c r="L128" s="1642"/>
      <c r="M128" s="1642"/>
      <c r="N128" s="1642"/>
      <c r="O128" s="1642"/>
      <c r="P128" s="1642"/>
      <c r="Q128" s="1642"/>
      <c r="R128" s="1642"/>
      <c r="S128" s="1642"/>
      <c r="T128" s="1642"/>
      <c r="U128" s="1642"/>
      <c r="V128" s="1642"/>
      <c r="W128" s="1642"/>
      <c r="X128" s="1642"/>
      <c r="Y128" s="1642"/>
      <c r="Z128" s="1642"/>
      <c r="AA128" s="1642"/>
      <c r="AB128" s="1642"/>
      <c r="AC128" s="1642"/>
      <c r="AD128" s="1642"/>
      <c r="AE128" s="1642"/>
      <c r="AF128" s="1641">
        <v>231</v>
      </c>
      <c r="AG128" s="1642">
        <v>179</v>
      </c>
      <c r="AH128" s="1642">
        <v>215</v>
      </c>
      <c r="AI128" s="1642">
        <v>225</v>
      </c>
      <c r="AJ128" s="1641">
        <v>183</v>
      </c>
      <c r="AK128" s="1642">
        <v>258</v>
      </c>
      <c r="AL128" s="1642">
        <v>199</v>
      </c>
      <c r="AM128" s="1642">
        <v>304</v>
      </c>
      <c r="AN128" s="1641">
        <v>83</v>
      </c>
      <c r="AO128" s="1642">
        <v>146</v>
      </c>
      <c r="AP128" s="1642">
        <v>72</v>
      </c>
      <c r="AQ128" s="1642">
        <v>220</v>
      </c>
      <c r="AR128" s="1641">
        <v>41</v>
      </c>
      <c r="AS128" s="1642">
        <v>185</v>
      </c>
      <c r="AT128" s="1642">
        <v>123</v>
      </c>
      <c r="AU128" s="1642">
        <v>237</v>
      </c>
      <c r="AV128" s="1641">
        <v>111</v>
      </c>
      <c r="AW128" s="1642">
        <v>181</v>
      </c>
      <c r="AX128" s="1642">
        <v>232</v>
      </c>
      <c r="AY128" s="1642">
        <v>180</v>
      </c>
      <c r="AZ128" s="1641">
        <v>62</v>
      </c>
      <c r="BA128" s="1642">
        <v>154</v>
      </c>
      <c r="BB128" s="1642">
        <v>107</v>
      </c>
      <c r="BC128" s="1642">
        <v>209</v>
      </c>
      <c r="BD128" s="1641">
        <v>48</v>
      </c>
      <c r="BE128" s="1642">
        <v>75</v>
      </c>
      <c r="BF128" s="1642">
        <v>99</v>
      </c>
      <c r="BG128" s="1642">
        <v>136</v>
      </c>
      <c r="BH128" s="1641">
        <v>28</v>
      </c>
      <c r="BI128" s="1642">
        <v>69</v>
      </c>
      <c r="BJ128" s="1642">
        <v>98</v>
      </c>
      <c r="BK128" s="1642">
        <v>187</v>
      </c>
      <c r="BL128" s="1641">
        <v>46</v>
      </c>
      <c r="BM128" s="1642">
        <v>76</v>
      </c>
      <c r="BN128" s="1642">
        <v>70</v>
      </c>
      <c r="BO128" s="1642">
        <v>91</v>
      </c>
      <c r="BP128" s="1633"/>
      <c r="BQ128" s="1634"/>
      <c r="BR128" s="1634"/>
      <c r="BS128" s="1634"/>
      <c r="BT128" s="1633"/>
      <c r="BU128" s="1634"/>
      <c r="BV128" s="1634"/>
      <c r="BW128" s="1634"/>
      <c r="BX128" s="1633"/>
      <c r="BY128" s="1634"/>
      <c r="BZ128" s="1634"/>
      <c r="CA128" s="1634"/>
      <c r="CB128" s="1633"/>
      <c r="CC128" s="1634"/>
      <c r="CD128" s="1634"/>
      <c r="CE128" s="1634"/>
      <c r="CF128" s="1633"/>
      <c r="CG128" s="1634"/>
      <c r="CH128" s="1634"/>
      <c r="CI128" s="1634"/>
      <c r="CJ128" s="1633"/>
      <c r="CK128" s="1634"/>
      <c r="CL128" s="1634"/>
      <c r="CM128" s="1634"/>
      <c r="CN128" s="1633"/>
      <c r="CO128" s="1649"/>
      <c r="CP128" s="1649"/>
      <c r="CQ128" s="1648"/>
      <c r="CR128" s="1649"/>
      <c r="CS128" s="1649"/>
      <c r="CT128" s="1649"/>
      <c r="CU128" s="1648"/>
      <c r="CV128" s="1649"/>
      <c r="CW128" s="1649"/>
      <c r="CX128" s="1649"/>
      <c r="CY128" s="1648"/>
      <c r="CZ128" s="1649"/>
      <c r="DA128" s="1649"/>
      <c r="DB128" s="1649"/>
      <c r="DC128" s="1649"/>
      <c r="DD128" s="1649"/>
      <c r="DE128" s="1649"/>
      <c r="DF128" s="1649"/>
      <c r="DG128" s="1649"/>
      <c r="DH128" s="1649"/>
      <c r="DI128" s="1649"/>
      <c r="DJ128" s="1649"/>
      <c r="DK128" s="1649"/>
      <c r="DL128" s="1649"/>
    </row>
    <row r="129" spans="1:116" ht="12.75" customHeight="1">
      <c r="A129" s="1628" t="s">
        <v>1434</v>
      </c>
      <c r="B129" s="1642"/>
      <c r="C129" s="1642"/>
      <c r="D129" s="1642"/>
      <c r="E129" s="1641">
        <f>SUM(AF129:AI129)</f>
        <v>58</v>
      </c>
      <c r="F129" s="1642">
        <f>SUM(AJ129:AM129)</f>
        <v>62</v>
      </c>
      <c r="G129" s="1642">
        <f>SUM(AN129:AQ129)</f>
        <v>50</v>
      </c>
      <c r="H129" s="1642">
        <f t="shared" si="182"/>
        <v>48</v>
      </c>
      <c r="I129" s="1642">
        <f t="shared" si="183"/>
        <v>93</v>
      </c>
      <c r="J129" s="1642">
        <f t="shared" si="184"/>
        <v>69</v>
      </c>
      <c r="K129" s="1681">
        <f>SUM(BD129:BG129)</f>
        <v>74</v>
      </c>
      <c r="L129" s="1642"/>
      <c r="M129" s="1642"/>
      <c r="N129" s="1642"/>
      <c r="O129" s="1642"/>
      <c r="P129" s="1642"/>
      <c r="Q129" s="1642"/>
      <c r="R129" s="1642"/>
      <c r="S129" s="1642"/>
      <c r="T129" s="1642"/>
      <c r="U129" s="1642"/>
      <c r="V129" s="1642"/>
      <c r="W129" s="1642"/>
      <c r="X129" s="1642"/>
      <c r="Y129" s="1642"/>
      <c r="Z129" s="1642"/>
      <c r="AA129" s="1642"/>
      <c r="AB129" s="1642"/>
      <c r="AC129" s="1642"/>
      <c r="AD129" s="1642"/>
      <c r="AE129" s="1642"/>
      <c r="AF129" s="1641">
        <v>12</v>
      </c>
      <c r="AG129" s="1642">
        <v>14</v>
      </c>
      <c r="AH129" s="1642">
        <v>8</v>
      </c>
      <c r="AI129" s="1642">
        <v>24</v>
      </c>
      <c r="AJ129" s="1641">
        <v>9</v>
      </c>
      <c r="AK129" s="1642">
        <v>19</v>
      </c>
      <c r="AL129" s="1642">
        <v>11</v>
      </c>
      <c r="AM129" s="1642">
        <v>23</v>
      </c>
      <c r="AN129" s="1641">
        <v>7</v>
      </c>
      <c r="AO129" s="1642">
        <v>16</v>
      </c>
      <c r="AP129" s="1642">
        <v>9</v>
      </c>
      <c r="AQ129" s="1642">
        <v>18</v>
      </c>
      <c r="AR129" s="1641">
        <v>10</v>
      </c>
      <c r="AS129" s="1642">
        <v>9</v>
      </c>
      <c r="AT129" s="1642">
        <v>12</v>
      </c>
      <c r="AU129" s="1642">
        <v>17</v>
      </c>
      <c r="AV129" s="1641">
        <v>9</v>
      </c>
      <c r="AW129" s="1642">
        <v>29</v>
      </c>
      <c r="AX129" s="1642">
        <v>31</v>
      </c>
      <c r="AY129" s="1642">
        <v>24</v>
      </c>
      <c r="AZ129" s="1641">
        <v>13</v>
      </c>
      <c r="BA129" s="1642">
        <v>28</v>
      </c>
      <c r="BB129" s="1642">
        <v>13</v>
      </c>
      <c r="BC129" s="1642">
        <v>15</v>
      </c>
      <c r="BD129" s="1641">
        <v>15</v>
      </c>
      <c r="BE129" s="1642">
        <v>20</v>
      </c>
      <c r="BF129" s="1642">
        <v>12</v>
      </c>
      <c r="BG129" s="1642">
        <v>27</v>
      </c>
      <c r="BH129" s="1641">
        <v>13</v>
      </c>
      <c r="BI129" s="1642">
        <v>18</v>
      </c>
      <c r="BJ129" s="1642">
        <v>18</v>
      </c>
      <c r="BK129" s="1642">
        <v>38</v>
      </c>
      <c r="BL129" s="1641">
        <v>13</v>
      </c>
      <c r="BM129" s="1642">
        <v>20</v>
      </c>
      <c r="BN129" s="1642">
        <v>20</v>
      </c>
      <c r="BO129" s="1642">
        <v>27</v>
      </c>
      <c r="BP129" s="1633"/>
      <c r="BQ129" s="1634"/>
      <c r="BR129" s="1634"/>
      <c r="BS129" s="1634"/>
      <c r="BT129" s="1633"/>
      <c r="BU129" s="1634"/>
      <c r="BV129" s="1634"/>
      <c r="BW129" s="1634"/>
      <c r="BX129" s="1633"/>
      <c r="BY129" s="1634"/>
      <c r="BZ129" s="1634"/>
      <c r="CA129" s="1634"/>
      <c r="CB129" s="1633"/>
      <c r="CC129" s="1634"/>
      <c r="CD129" s="1634"/>
      <c r="CE129" s="1634"/>
      <c r="CF129" s="1633"/>
      <c r="CG129" s="1634"/>
      <c r="CH129" s="1634"/>
      <c r="CI129" s="1634"/>
      <c r="CJ129" s="1633"/>
      <c r="CK129" s="1634"/>
      <c r="CL129" s="1634"/>
      <c r="CM129" s="1634"/>
      <c r="CN129" s="1633"/>
      <c r="CO129" s="1649"/>
      <c r="CP129" s="1649"/>
      <c r="CQ129" s="1648"/>
      <c r="CR129" s="1649"/>
      <c r="CS129" s="1649"/>
      <c r="CT129" s="1649"/>
      <c r="CU129" s="1648"/>
      <c r="CV129" s="1649"/>
      <c r="CW129" s="1649"/>
      <c r="CX129" s="1649"/>
      <c r="CY129" s="1648"/>
      <c r="CZ129" s="1649"/>
      <c r="DA129" s="1649"/>
      <c r="DB129" s="1649"/>
      <c r="DC129" s="1649"/>
      <c r="DD129" s="1649"/>
      <c r="DE129" s="1649"/>
      <c r="DF129" s="1649"/>
      <c r="DG129" s="1649"/>
      <c r="DH129" s="1649"/>
      <c r="DI129" s="1649"/>
      <c r="DJ129" s="1649"/>
      <c r="DK129" s="1649"/>
      <c r="DL129" s="1649"/>
    </row>
    <row r="130" spans="1:116" ht="12.75" customHeight="1">
      <c r="A130" s="1628" t="s">
        <v>955</v>
      </c>
      <c r="B130" s="1642"/>
      <c r="C130" s="1642"/>
      <c r="D130" s="1642"/>
      <c r="E130" s="1641">
        <f>SUM(AF130:AI130)</f>
        <v>439</v>
      </c>
      <c r="F130" s="1642">
        <f>SUM(AJ130:AM130)</f>
        <v>670</v>
      </c>
      <c r="G130" s="1642">
        <f>SUM(AN130:AQ130)</f>
        <v>858</v>
      </c>
      <c r="H130" s="1642">
        <f t="shared" si="182"/>
        <v>558</v>
      </c>
      <c r="I130" s="1642">
        <f t="shared" si="183"/>
        <v>88</v>
      </c>
      <c r="J130" s="1642">
        <f t="shared" si="184"/>
        <v>52</v>
      </c>
      <c r="K130" s="1681">
        <f>SUM(BD130:BG130)</f>
        <v>32</v>
      </c>
      <c r="L130" s="1642"/>
      <c r="M130" s="1642"/>
      <c r="N130" s="1642"/>
      <c r="O130" s="1642"/>
      <c r="P130" s="1642"/>
      <c r="Q130" s="1642"/>
      <c r="R130" s="1642"/>
      <c r="S130" s="1642"/>
      <c r="T130" s="1642"/>
      <c r="U130" s="1642"/>
      <c r="V130" s="1642"/>
      <c r="W130" s="1642"/>
      <c r="X130" s="1642"/>
      <c r="Y130" s="1642"/>
      <c r="Z130" s="1642"/>
      <c r="AA130" s="1642"/>
      <c r="AB130" s="1642"/>
      <c r="AC130" s="1642"/>
      <c r="AD130" s="1642"/>
      <c r="AE130" s="1642"/>
      <c r="AF130" s="1641">
        <v>30</v>
      </c>
      <c r="AG130" s="1642">
        <v>134</v>
      </c>
      <c r="AH130" s="1642">
        <v>71</v>
      </c>
      <c r="AI130" s="1642">
        <v>204</v>
      </c>
      <c r="AJ130" s="1641">
        <v>86</v>
      </c>
      <c r="AK130" s="1642">
        <v>189</v>
      </c>
      <c r="AL130" s="1642">
        <v>120</v>
      </c>
      <c r="AM130" s="1642">
        <v>275</v>
      </c>
      <c r="AN130" s="1641">
        <v>114</v>
      </c>
      <c r="AO130" s="1642">
        <v>243</v>
      </c>
      <c r="AP130" s="1642">
        <v>232</v>
      </c>
      <c r="AQ130" s="1642">
        <v>269</v>
      </c>
      <c r="AR130" s="1641">
        <v>161</v>
      </c>
      <c r="AS130" s="1642">
        <v>246</v>
      </c>
      <c r="AT130" s="1642">
        <v>135</v>
      </c>
      <c r="AU130" s="1642">
        <v>16</v>
      </c>
      <c r="AV130" s="1641">
        <v>31</v>
      </c>
      <c r="AW130" s="1642">
        <v>24</v>
      </c>
      <c r="AX130" s="1642">
        <v>17</v>
      </c>
      <c r="AY130" s="1642">
        <v>16</v>
      </c>
      <c r="AZ130" s="1641">
        <v>8</v>
      </c>
      <c r="BA130" s="1642">
        <v>10</v>
      </c>
      <c r="BB130" s="1642">
        <v>9</v>
      </c>
      <c r="BC130" s="1642">
        <v>25</v>
      </c>
      <c r="BD130" s="1641">
        <v>7</v>
      </c>
      <c r="BE130" s="1642">
        <v>7</v>
      </c>
      <c r="BF130" s="1642">
        <v>7</v>
      </c>
      <c r="BG130" s="1642">
        <v>11</v>
      </c>
      <c r="BH130" s="1641">
        <v>4</v>
      </c>
      <c r="BI130" s="1642">
        <v>3</v>
      </c>
      <c r="BJ130" s="1642">
        <v>2</v>
      </c>
      <c r="BK130" s="1642">
        <v>30</v>
      </c>
      <c r="BL130" s="1641">
        <v>2</v>
      </c>
      <c r="BM130" s="1642">
        <v>115</v>
      </c>
      <c r="BN130" s="1642">
        <v>12</v>
      </c>
      <c r="BO130" s="1642">
        <v>81</v>
      </c>
      <c r="BP130" s="1633">
        <v>22</v>
      </c>
      <c r="BQ130" s="1634">
        <v>75</v>
      </c>
      <c r="BR130" s="1634">
        <v>36</v>
      </c>
      <c r="BS130" s="1634">
        <v>91</v>
      </c>
      <c r="BT130" s="1633">
        <v>3</v>
      </c>
      <c r="BU130" s="1634">
        <v>4</v>
      </c>
      <c r="BV130" s="1634">
        <v>9</v>
      </c>
      <c r="BW130" s="1634">
        <v>63</v>
      </c>
      <c r="BX130" s="1633">
        <v>119</v>
      </c>
      <c r="BY130" s="1634">
        <v>193</v>
      </c>
      <c r="BZ130" s="1634">
        <v>222</v>
      </c>
      <c r="CA130" s="1634">
        <v>397</v>
      </c>
      <c r="CB130" s="1748">
        <v>109</v>
      </c>
      <c r="CC130" s="1749">
        <v>222</v>
      </c>
      <c r="CD130" s="1749">
        <v>240</v>
      </c>
      <c r="CE130" s="1634">
        <v>257</v>
      </c>
      <c r="CF130" s="1633">
        <v>87</v>
      </c>
      <c r="CG130" s="1634">
        <v>153</v>
      </c>
      <c r="CH130" s="1634">
        <v>201</v>
      </c>
      <c r="CI130" s="1634">
        <v>310</v>
      </c>
      <c r="CJ130" s="1641">
        <f t="shared" ref="CJ130:CU130" si="185">+CJ131-CJ127-CJ126</f>
        <v>163</v>
      </c>
      <c r="CK130" s="1642">
        <f t="shared" si="185"/>
        <v>203</v>
      </c>
      <c r="CL130" s="1642">
        <f t="shared" si="185"/>
        <v>227</v>
      </c>
      <c r="CM130" s="1642">
        <f t="shared" si="185"/>
        <v>279</v>
      </c>
      <c r="CN130" s="1641">
        <f t="shared" si="185"/>
        <v>143</v>
      </c>
      <c r="CO130" s="1672">
        <f t="shared" si="185"/>
        <v>88</v>
      </c>
      <c r="CP130" s="1672">
        <f t="shared" si="185"/>
        <v>268</v>
      </c>
      <c r="CQ130" s="1681">
        <f t="shared" si="185"/>
        <v>477</v>
      </c>
      <c r="CR130" s="1672">
        <f t="shared" si="185"/>
        <v>176</v>
      </c>
      <c r="CS130" s="1672">
        <f t="shared" si="185"/>
        <v>221</v>
      </c>
      <c r="CT130" s="1672">
        <f t="shared" si="185"/>
        <v>223</v>
      </c>
      <c r="CU130" s="1681">
        <f t="shared" si="185"/>
        <v>330</v>
      </c>
      <c r="CV130" s="1672">
        <f t="shared" ref="CV130:DA130" si="186">+CV131-CV127-CV126</f>
        <v>211</v>
      </c>
      <c r="CW130" s="1672">
        <f t="shared" si="186"/>
        <v>228</v>
      </c>
      <c r="CX130" s="1672">
        <f t="shared" si="186"/>
        <v>183</v>
      </c>
      <c r="CY130" s="1681">
        <f t="shared" si="186"/>
        <v>304</v>
      </c>
      <c r="CZ130" s="1672">
        <f t="shared" si="186"/>
        <v>169</v>
      </c>
      <c r="DA130" s="1672">
        <f t="shared" si="186"/>
        <v>228</v>
      </c>
      <c r="DB130" s="1672">
        <f t="shared" ref="DB130:DG130" si="187">+DB131-DB127-DB126</f>
        <v>264</v>
      </c>
      <c r="DC130" s="1672">
        <f t="shared" si="187"/>
        <v>340</v>
      </c>
      <c r="DD130" s="1672">
        <f t="shared" si="187"/>
        <v>191</v>
      </c>
      <c r="DE130" s="1672">
        <f t="shared" si="187"/>
        <v>257</v>
      </c>
      <c r="DF130" s="1672">
        <f t="shared" si="187"/>
        <v>318</v>
      </c>
      <c r="DG130" s="1672">
        <f t="shared" si="187"/>
        <v>549</v>
      </c>
      <c r="DH130" s="1672">
        <f t="shared" ref="DH130:DI130" si="188">+DH131-DH127-DH126</f>
        <v>276</v>
      </c>
      <c r="DI130" s="1672">
        <f t="shared" si="188"/>
        <v>310</v>
      </c>
      <c r="DJ130" s="1672">
        <f t="shared" ref="DJ130:DK130" si="189">+DJ131-DJ127-DJ126</f>
        <v>101</v>
      </c>
      <c r="DK130" s="1672">
        <f t="shared" si="189"/>
        <v>601</v>
      </c>
      <c r="DL130" s="1672">
        <f t="shared" ref="DL130" si="190">+DL131-DL127-DL126</f>
        <v>513</v>
      </c>
    </row>
    <row r="131" spans="1:116" s="1785" customFormat="1" ht="12.75" customHeight="1">
      <c r="A131" s="954" t="s">
        <v>1065</v>
      </c>
      <c r="B131" s="1693"/>
      <c r="C131" s="1693"/>
      <c r="D131" s="1693">
        <f>SUM(D126:D130)</f>
        <v>0</v>
      </c>
      <c r="E131" s="1694">
        <f>SUM(E126:E130)</f>
        <v>11766</v>
      </c>
      <c r="F131" s="1693">
        <f>SUM(F126:F130)</f>
        <v>13057</v>
      </c>
      <c r="G131" s="1693">
        <f>SUM(G126:G130)</f>
        <v>13013</v>
      </c>
      <c r="H131" s="1693">
        <f t="shared" si="182"/>
        <v>18833</v>
      </c>
      <c r="I131" s="1693">
        <f t="shared" si="183"/>
        <v>18511</v>
      </c>
      <c r="J131" s="1693">
        <f t="shared" si="184"/>
        <v>13061</v>
      </c>
      <c r="K131" s="1695">
        <f>SUM(K126:K130)</f>
        <v>11874</v>
      </c>
      <c r="L131" s="1693"/>
      <c r="M131" s="1693"/>
      <c r="N131" s="1693"/>
      <c r="O131" s="1693"/>
      <c r="P131" s="1693"/>
      <c r="Q131" s="1693"/>
      <c r="R131" s="1693"/>
      <c r="S131" s="1693"/>
      <c r="T131" s="1693"/>
      <c r="U131" s="1693"/>
      <c r="V131" s="1693"/>
      <c r="W131" s="1693"/>
      <c r="X131" s="1693"/>
      <c r="Y131" s="1693"/>
      <c r="Z131" s="1693"/>
      <c r="AA131" s="1693"/>
      <c r="AB131" s="1693"/>
      <c r="AC131" s="1693"/>
      <c r="AD131" s="1693"/>
      <c r="AE131" s="1693"/>
      <c r="AF131" s="1694">
        <f t="shared" ref="AF131:BK131" si="191">SUM(AF126:AF130)</f>
        <v>2248</v>
      </c>
      <c r="AG131" s="1693">
        <f t="shared" si="191"/>
        <v>2860</v>
      </c>
      <c r="AH131" s="1693">
        <f t="shared" si="191"/>
        <v>3105</v>
      </c>
      <c r="AI131" s="1693">
        <f t="shared" si="191"/>
        <v>3553</v>
      </c>
      <c r="AJ131" s="1694">
        <f t="shared" si="191"/>
        <v>2739</v>
      </c>
      <c r="AK131" s="1693">
        <f t="shared" si="191"/>
        <v>3295</v>
      </c>
      <c r="AL131" s="1693">
        <f t="shared" si="191"/>
        <v>3339</v>
      </c>
      <c r="AM131" s="1693">
        <f t="shared" si="191"/>
        <v>3684</v>
      </c>
      <c r="AN131" s="1694">
        <f t="shared" si="191"/>
        <v>2646</v>
      </c>
      <c r="AO131" s="1693">
        <f t="shared" si="191"/>
        <v>3126</v>
      </c>
      <c r="AP131" s="1693">
        <f t="shared" si="191"/>
        <v>3348</v>
      </c>
      <c r="AQ131" s="1693">
        <f t="shared" si="191"/>
        <v>3893</v>
      </c>
      <c r="AR131" s="1694">
        <f t="shared" si="191"/>
        <v>3449</v>
      </c>
      <c r="AS131" s="1693">
        <f t="shared" si="191"/>
        <v>4783</v>
      </c>
      <c r="AT131" s="1693">
        <f t="shared" si="191"/>
        <v>4548</v>
      </c>
      <c r="AU131" s="1693">
        <f t="shared" si="191"/>
        <v>6053</v>
      </c>
      <c r="AV131" s="1694">
        <f t="shared" si="191"/>
        <v>4768</v>
      </c>
      <c r="AW131" s="1693">
        <f t="shared" si="191"/>
        <v>4975</v>
      </c>
      <c r="AX131" s="1693">
        <f t="shared" si="191"/>
        <v>3604</v>
      </c>
      <c r="AY131" s="1693">
        <f t="shared" si="191"/>
        <v>5164</v>
      </c>
      <c r="AZ131" s="1694">
        <f t="shared" si="191"/>
        <v>2580</v>
      </c>
      <c r="BA131" s="1693">
        <f t="shared" si="191"/>
        <v>3400</v>
      </c>
      <c r="BB131" s="1693">
        <f t="shared" si="191"/>
        <v>2814</v>
      </c>
      <c r="BC131" s="1693">
        <f t="shared" si="191"/>
        <v>4267</v>
      </c>
      <c r="BD131" s="1694">
        <f t="shared" si="191"/>
        <v>2463</v>
      </c>
      <c r="BE131" s="1693">
        <f t="shared" si="191"/>
        <v>2824</v>
      </c>
      <c r="BF131" s="1693">
        <f t="shared" si="191"/>
        <v>2847</v>
      </c>
      <c r="BG131" s="1693">
        <f t="shared" si="191"/>
        <v>3740</v>
      </c>
      <c r="BH131" s="1694">
        <f t="shared" si="191"/>
        <v>2641</v>
      </c>
      <c r="BI131" s="1693">
        <f t="shared" si="191"/>
        <v>3183</v>
      </c>
      <c r="BJ131" s="1693">
        <f t="shared" si="191"/>
        <v>3253</v>
      </c>
      <c r="BK131" s="1693">
        <f t="shared" si="191"/>
        <v>4182</v>
      </c>
      <c r="BL131" s="1694">
        <f t="shared" ref="BL131:CI131" si="192">SUM(BL126:BL130)</f>
        <v>3594</v>
      </c>
      <c r="BM131" s="1693">
        <f t="shared" si="192"/>
        <v>4061</v>
      </c>
      <c r="BN131" s="1693">
        <f t="shared" si="192"/>
        <v>3897</v>
      </c>
      <c r="BO131" s="1693">
        <f t="shared" si="192"/>
        <v>3772</v>
      </c>
      <c r="BP131" s="1694">
        <f t="shared" si="192"/>
        <v>4021</v>
      </c>
      <c r="BQ131" s="1693">
        <f t="shared" si="192"/>
        <v>4264</v>
      </c>
      <c r="BR131" s="1693">
        <f t="shared" si="192"/>
        <v>3993</v>
      </c>
      <c r="BS131" s="1693">
        <f t="shared" si="192"/>
        <v>4823</v>
      </c>
      <c r="BT131" s="1694">
        <f t="shared" si="192"/>
        <v>4163</v>
      </c>
      <c r="BU131" s="1693">
        <f t="shared" si="192"/>
        <v>4352</v>
      </c>
      <c r="BV131" s="1693">
        <f t="shared" si="192"/>
        <v>4277</v>
      </c>
      <c r="BW131" s="1693">
        <f t="shared" si="192"/>
        <v>4746</v>
      </c>
      <c r="BX131" s="1694">
        <f t="shared" si="192"/>
        <v>4220</v>
      </c>
      <c r="BY131" s="1693">
        <f t="shared" si="192"/>
        <v>4177</v>
      </c>
      <c r="BZ131" s="1693">
        <f t="shared" si="192"/>
        <v>4178</v>
      </c>
      <c r="CA131" s="1693">
        <f t="shared" si="192"/>
        <v>4663</v>
      </c>
      <c r="CB131" s="1694">
        <f t="shared" si="192"/>
        <v>3663</v>
      </c>
      <c r="CC131" s="1693">
        <f t="shared" si="192"/>
        <v>4343</v>
      </c>
      <c r="CD131" s="1693">
        <f t="shared" si="192"/>
        <v>4313</v>
      </c>
      <c r="CE131" s="1693">
        <f t="shared" si="192"/>
        <v>4553</v>
      </c>
      <c r="CF131" s="1694">
        <f t="shared" si="192"/>
        <v>3423</v>
      </c>
      <c r="CG131" s="1693">
        <f t="shared" si="192"/>
        <v>4196</v>
      </c>
      <c r="CH131" s="1693">
        <f t="shared" si="192"/>
        <v>4125</v>
      </c>
      <c r="CI131" s="1693">
        <f t="shared" si="192"/>
        <v>4714</v>
      </c>
      <c r="CJ131" s="1697">
        <v>4363</v>
      </c>
      <c r="CK131" s="1698">
        <f>8918-CJ131</f>
        <v>4555</v>
      </c>
      <c r="CL131" s="1698">
        <f>12546-CK131-CJ131</f>
        <v>3628</v>
      </c>
      <c r="CM131" s="1698">
        <f>16244-CL131-CK131-CJ131</f>
        <v>3698</v>
      </c>
      <c r="CN131" s="1697">
        <v>3565</v>
      </c>
      <c r="CO131" s="1750">
        <v>3732</v>
      </c>
      <c r="CP131" s="1750">
        <v>3885</v>
      </c>
      <c r="CQ131" s="1751">
        <f>16175-CP131-CO131-CN131</f>
        <v>4993</v>
      </c>
      <c r="CR131" s="1750">
        <v>3602</v>
      </c>
      <c r="CS131" s="1750">
        <f>7616-CR131</f>
        <v>4014</v>
      </c>
      <c r="CT131" s="1750">
        <f>11807-CS131-CR131</f>
        <v>4191</v>
      </c>
      <c r="CU131" s="1751">
        <f>16604-CT131-CS131-CR131</f>
        <v>4797</v>
      </c>
      <c r="CV131" s="1750">
        <v>4150</v>
      </c>
      <c r="CW131" s="1750">
        <f>8494-CV131</f>
        <v>4344</v>
      </c>
      <c r="CX131" s="1750">
        <f>12624-8494</f>
        <v>4130</v>
      </c>
      <c r="CY131" s="1751">
        <f>17191-12624</f>
        <v>4567</v>
      </c>
      <c r="CZ131" s="1750">
        <v>3665</v>
      </c>
      <c r="DA131" s="1750">
        <f>8153-CZ131</f>
        <v>4488</v>
      </c>
      <c r="DB131" s="1750">
        <f>12540-DA131-CZ131</f>
        <v>4387</v>
      </c>
      <c r="DC131" s="1750">
        <f>17775-CZ131-DA131-DB131</f>
        <v>5235</v>
      </c>
      <c r="DD131" s="1750">
        <v>3387</v>
      </c>
      <c r="DE131" s="1750">
        <f>7273-DD131</f>
        <v>3886</v>
      </c>
      <c r="DF131" s="1750">
        <v>4125</v>
      </c>
      <c r="DG131" s="1750">
        <v>5661</v>
      </c>
      <c r="DH131" s="1750">
        <v>3067</v>
      </c>
      <c r="DI131" s="1750">
        <v>3944</v>
      </c>
      <c r="DJ131" s="1750">
        <v>4271</v>
      </c>
      <c r="DK131" s="1750">
        <f>17247-SUM(DH131:DJ131)</f>
        <v>5965</v>
      </c>
      <c r="DL131" s="1750">
        <v>4553</v>
      </c>
    </row>
    <row r="132" spans="1:116" ht="12.75" customHeight="1">
      <c r="A132" s="1539"/>
      <c r="B132" s="1642"/>
      <c r="C132" s="1642"/>
      <c r="D132" s="1642"/>
      <c r="E132" s="1641"/>
      <c r="F132" s="1642"/>
      <c r="G132" s="1642"/>
      <c r="H132" s="1642"/>
      <c r="I132" s="1642"/>
      <c r="J132" s="1642"/>
      <c r="K132" s="1681"/>
      <c r="L132" s="1642"/>
      <c r="M132" s="1642"/>
      <c r="N132" s="1642"/>
      <c r="O132" s="1642"/>
      <c r="P132" s="1642"/>
      <c r="Q132" s="1642"/>
      <c r="R132" s="1642"/>
      <c r="S132" s="1642"/>
      <c r="T132" s="1642"/>
      <c r="U132" s="1642"/>
      <c r="V132" s="1642"/>
      <c r="W132" s="1642"/>
      <c r="X132" s="1642"/>
      <c r="Y132" s="1642"/>
      <c r="Z132" s="1642"/>
      <c r="AA132" s="1642"/>
      <c r="AB132" s="1642"/>
      <c r="AC132" s="1642"/>
      <c r="AD132" s="1642"/>
      <c r="AE132" s="1642"/>
      <c r="AF132" s="1641"/>
      <c r="AG132" s="1642"/>
      <c r="AH132" s="1642"/>
      <c r="AI132" s="1642"/>
      <c r="AJ132" s="1641"/>
      <c r="AK132" s="1642"/>
      <c r="AL132" s="1642"/>
      <c r="AM132" s="1642"/>
      <c r="AN132" s="1641"/>
      <c r="AO132" s="1642"/>
      <c r="AP132" s="1642"/>
      <c r="AQ132" s="1642"/>
      <c r="AR132" s="1641"/>
      <c r="AS132" s="1642"/>
      <c r="AT132" s="1642"/>
      <c r="AU132" s="1642"/>
      <c r="AV132" s="1641"/>
      <c r="AW132" s="1642"/>
      <c r="AX132" s="1642"/>
      <c r="AY132" s="1642"/>
      <c r="AZ132" s="1641"/>
      <c r="BA132" s="1642"/>
      <c r="BB132" s="1642"/>
      <c r="BC132" s="1642"/>
      <c r="BD132" s="1641"/>
      <c r="BE132" s="1642"/>
      <c r="BF132" s="1642"/>
      <c r="BG132" s="1642"/>
      <c r="BH132" s="1641"/>
      <c r="BI132" s="1642"/>
      <c r="BJ132" s="1642"/>
      <c r="BK132" s="1642"/>
      <c r="BL132" s="1641"/>
      <c r="BM132" s="1642"/>
      <c r="BN132" s="1642"/>
      <c r="BO132" s="1642"/>
      <c r="BP132" s="1641"/>
      <c r="BQ132" s="1642"/>
      <c r="BR132" s="1642"/>
      <c r="BS132" s="1642"/>
      <c r="BT132" s="1641"/>
      <c r="BU132" s="1642"/>
      <c r="BV132" s="1642"/>
      <c r="BW132" s="1642"/>
      <c r="BX132" s="1641"/>
      <c r="BY132" s="1642"/>
      <c r="BZ132" s="1642"/>
      <c r="CA132" s="1642"/>
      <c r="CB132" s="1641"/>
      <c r="CC132" s="1642"/>
      <c r="CD132" s="1642"/>
      <c r="CE132" s="1642"/>
      <c r="CF132" s="1641"/>
      <c r="CG132" s="1642"/>
      <c r="CH132" s="1642"/>
      <c r="CI132" s="1642"/>
      <c r="CJ132" s="1641"/>
      <c r="CK132" s="1642"/>
      <c r="CL132" s="1642"/>
      <c r="CM132" s="1642"/>
      <c r="CN132" s="1641"/>
      <c r="CO132" s="1672"/>
      <c r="CP132" s="1672"/>
      <c r="CQ132" s="1681"/>
      <c r="CR132" s="1672"/>
      <c r="CS132" s="1672"/>
      <c r="CT132" s="1672"/>
      <c r="CU132" s="1681"/>
      <c r="CV132" s="1672"/>
      <c r="CW132" s="1672"/>
      <c r="CX132" s="1672"/>
      <c r="CY132" s="1681"/>
      <c r="CZ132" s="1672"/>
      <c r="DA132" s="1672"/>
      <c r="DB132" s="1672"/>
      <c r="DC132" s="1672"/>
      <c r="DD132" s="1672"/>
      <c r="DE132" s="1672"/>
      <c r="DF132" s="1672"/>
      <c r="DG132" s="1672"/>
      <c r="DH132" s="1672"/>
      <c r="DI132" s="1672"/>
      <c r="DJ132" s="1672"/>
      <c r="DK132" s="1672"/>
      <c r="DL132" s="1672"/>
    </row>
    <row r="133" spans="1:116" ht="12.75" customHeight="1">
      <c r="A133" s="1539" t="s">
        <v>639</v>
      </c>
      <c r="B133" s="1642"/>
      <c r="C133" s="1642"/>
      <c r="D133" s="1642"/>
      <c r="E133" s="1641">
        <f>AI133</f>
        <v>250243</v>
      </c>
      <c r="F133" s="1642">
        <f>AM133</f>
        <v>255557</v>
      </c>
      <c r="G133" s="1642">
        <f>AQ133</f>
        <v>255328</v>
      </c>
      <c r="H133" s="1642">
        <f>AU133</f>
        <v>263552</v>
      </c>
      <c r="I133" s="1642">
        <f>AY133</f>
        <v>247309</v>
      </c>
      <c r="J133" s="1642">
        <f>BC133</f>
        <v>229497</v>
      </c>
      <c r="K133" s="1681">
        <f>BG133</f>
        <v>200151</v>
      </c>
      <c r="L133" s="1642"/>
      <c r="M133" s="1642"/>
      <c r="N133" s="1642"/>
      <c r="O133" s="1642"/>
      <c r="P133" s="1642"/>
      <c r="Q133" s="1642"/>
      <c r="R133" s="1642"/>
      <c r="S133" s="1642"/>
      <c r="T133" s="1642"/>
      <c r="U133" s="1642"/>
      <c r="V133" s="1642"/>
      <c r="W133" s="1642"/>
      <c r="X133" s="1642"/>
      <c r="Y133" s="1642"/>
      <c r="Z133" s="1642"/>
      <c r="AA133" s="1642"/>
      <c r="AB133" s="1642"/>
      <c r="AC133" s="1642"/>
      <c r="AD133" s="1642"/>
      <c r="AE133" s="1642"/>
      <c r="AF133" s="1641" t="s">
        <v>1090</v>
      </c>
      <c r="AG133" s="1642" t="s">
        <v>1090</v>
      </c>
      <c r="AH133" s="1642" t="s">
        <v>1090</v>
      </c>
      <c r="AI133" s="1642">
        <v>250243</v>
      </c>
      <c r="AJ133" s="1641" t="s">
        <v>1090</v>
      </c>
      <c r="AK133" s="1642" t="s">
        <v>1090</v>
      </c>
      <c r="AL133" s="1642" t="s">
        <v>1090</v>
      </c>
      <c r="AM133" s="1642">
        <v>255557</v>
      </c>
      <c r="AN133" s="1641">
        <v>242901</v>
      </c>
      <c r="AO133" s="1642">
        <v>258560</v>
      </c>
      <c r="AP133" s="1642">
        <v>252424</v>
      </c>
      <c r="AQ133" s="1642">
        <v>255328</v>
      </c>
      <c r="AR133" s="1641">
        <v>259102</v>
      </c>
      <c r="AS133" s="1642">
        <v>267665</v>
      </c>
      <c r="AT133" s="1642">
        <v>261123</v>
      </c>
      <c r="AU133" s="1642">
        <v>263552</v>
      </c>
      <c r="AV133" s="1641">
        <v>261153</v>
      </c>
      <c r="AW133" s="1642">
        <v>259513</v>
      </c>
      <c r="AX133" s="1642">
        <v>255994</v>
      </c>
      <c r="AY133" s="1642">
        <v>247309</v>
      </c>
      <c r="AZ133" s="1641">
        <v>247742</v>
      </c>
      <c r="BA133" s="1642">
        <v>241129</v>
      </c>
      <c r="BB133" s="1642">
        <v>236408</v>
      </c>
      <c r="BC133" s="1642">
        <v>229497</v>
      </c>
      <c r="BD133" s="1641">
        <v>225508</v>
      </c>
      <c r="BE133" s="1642">
        <v>218032</v>
      </c>
      <c r="BF133" s="1642">
        <v>218117</v>
      </c>
      <c r="BG133" s="1642">
        <v>200151</v>
      </c>
      <c r="BH133" s="1641">
        <v>202116</v>
      </c>
      <c r="BI133" s="1642">
        <v>204828</v>
      </c>
      <c r="BJ133" s="1642">
        <v>206616</v>
      </c>
      <c r="BK133" s="1642">
        <v>208747</v>
      </c>
      <c r="BL133" s="1633">
        <v>196628</v>
      </c>
      <c r="BM133" s="1634">
        <v>198899</v>
      </c>
      <c r="BN133" s="1634">
        <v>199347</v>
      </c>
      <c r="BO133" s="1634">
        <v>201083</v>
      </c>
      <c r="BP133" s="1633">
        <v>234005</v>
      </c>
      <c r="BQ133" s="1634">
        <v>234300</v>
      </c>
      <c r="BR133" s="1634">
        <v>232191</v>
      </c>
      <c r="BS133" s="1634">
        <v>235272</v>
      </c>
      <c r="BT133" s="1633">
        <v>236073</v>
      </c>
      <c r="BU133" s="1634">
        <v>235879</v>
      </c>
      <c r="BV133" s="1634">
        <v>235252</v>
      </c>
      <c r="BW133" s="1634">
        <v>232417</v>
      </c>
      <c r="BX133" s="1633">
        <v>230228</v>
      </c>
      <c r="BY133" s="1634">
        <v>228633</v>
      </c>
      <c r="BZ133" s="1634">
        <v>228315</v>
      </c>
      <c r="CA133" s="1634">
        <v>223880</v>
      </c>
      <c r="CB133" s="1633">
        <v>237255</v>
      </c>
      <c r="CC133" s="1634">
        <v>235326</v>
      </c>
      <c r="CD133" s="1634">
        <v>230340</v>
      </c>
      <c r="CE133" s="1634">
        <v>222927</v>
      </c>
      <c r="CF133" s="1633">
        <v>217100</v>
      </c>
      <c r="CG133" s="1634">
        <v>210800</v>
      </c>
      <c r="CH133" s="1634">
        <v>195100</v>
      </c>
      <c r="CI133" s="1634">
        <v>194400</v>
      </c>
      <c r="CJ133" s="1633">
        <v>196200</v>
      </c>
      <c r="CK133" s="1634">
        <v>195900</v>
      </c>
      <c r="CL133" s="1634">
        <v>195400</v>
      </c>
      <c r="CM133" s="1634">
        <v>193900</v>
      </c>
      <c r="CN133" s="1633">
        <v>191800</v>
      </c>
      <c r="CO133" s="1649">
        <v>188200</v>
      </c>
      <c r="CP133" s="1649">
        <v>184500</v>
      </c>
      <c r="CQ133" s="1648">
        <v>183400</v>
      </c>
      <c r="CR133" s="1649">
        <v>181900</v>
      </c>
      <c r="CS133" s="1649">
        <v>180900</v>
      </c>
      <c r="CT133" s="1649">
        <v>178300</v>
      </c>
      <c r="CU133" s="1648">
        <v>176800</v>
      </c>
      <c r="CV133" s="1649">
        <v>176900</v>
      </c>
      <c r="CW133" s="1649">
        <v>177800</v>
      </c>
      <c r="CX133" s="1649">
        <v>178500</v>
      </c>
      <c r="CY133" s="1648">
        <v>177300</v>
      </c>
      <c r="CZ133" s="1649">
        <v>176200</v>
      </c>
      <c r="DA133" s="1649">
        <v>178500</v>
      </c>
      <c r="DB133" s="1649">
        <v>177900</v>
      </c>
      <c r="DC133" s="1649">
        <v>177700</v>
      </c>
      <c r="DD133" s="1649">
        <v>173300</v>
      </c>
      <c r="DE133" s="1649">
        <v>162700</v>
      </c>
      <c r="DF133" s="1649">
        <v>162000</v>
      </c>
      <c r="DG133" s="1649">
        <v>160900</v>
      </c>
      <c r="DH133" s="1649">
        <v>161000</v>
      </c>
      <c r="DI133" s="1649">
        <v>163400</v>
      </c>
      <c r="DJ133" s="1649">
        <v>160100</v>
      </c>
      <c r="DK133" s="1649">
        <v>155400</v>
      </c>
      <c r="DL133" s="1649">
        <v>154700</v>
      </c>
    </row>
    <row r="134" spans="1:116" ht="12.75" customHeight="1">
      <c r="A134" s="1539" t="s">
        <v>225</v>
      </c>
      <c r="B134" s="1642"/>
      <c r="C134" s="1642"/>
      <c r="D134" s="1642"/>
      <c r="E134" s="1641"/>
      <c r="F134" s="1642"/>
      <c r="G134" s="1642"/>
      <c r="H134" s="1642"/>
      <c r="I134" s="1642"/>
      <c r="J134" s="1642"/>
      <c r="K134" s="1681"/>
      <c r="L134" s="1642"/>
      <c r="M134" s="1642"/>
      <c r="N134" s="1642"/>
      <c r="O134" s="1642"/>
      <c r="P134" s="1642"/>
      <c r="Q134" s="1642"/>
      <c r="R134" s="1642"/>
      <c r="S134" s="1642"/>
      <c r="T134" s="1642"/>
      <c r="U134" s="1642"/>
      <c r="V134" s="1642"/>
      <c r="W134" s="1642"/>
      <c r="X134" s="1642"/>
      <c r="Y134" s="1642"/>
      <c r="Z134" s="1642"/>
      <c r="AA134" s="1642"/>
      <c r="AB134" s="1642"/>
      <c r="AC134" s="1642"/>
      <c r="AD134" s="1642"/>
      <c r="AE134" s="1642"/>
      <c r="AF134" s="1641"/>
      <c r="AG134" s="1642"/>
      <c r="AH134" s="1642"/>
      <c r="AI134" s="1642"/>
      <c r="AJ134" s="1641"/>
      <c r="AK134" s="1642"/>
      <c r="AL134" s="1642"/>
      <c r="AM134" s="1642"/>
      <c r="AN134" s="1641"/>
      <c r="AO134" s="1642"/>
      <c r="AP134" s="1642"/>
      <c r="AQ134" s="1642"/>
      <c r="AR134" s="1641"/>
      <c r="AS134" s="1642"/>
      <c r="AT134" s="1642"/>
      <c r="AU134" s="1642"/>
      <c r="AV134" s="1641"/>
      <c r="AW134" s="1642"/>
      <c r="AX134" s="1642"/>
      <c r="AY134" s="1642"/>
      <c r="AZ134" s="1641"/>
      <c r="BA134" s="1642"/>
      <c r="BB134" s="1642"/>
      <c r="BC134" s="1642"/>
      <c r="BD134" s="1641"/>
      <c r="BE134" s="1642"/>
      <c r="BF134" s="1642"/>
      <c r="BG134" s="1642"/>
      <c r="BH134" s="1641"/>
      <c r="BI134" s="1642"/>
      <c r="BJ134" s="1642"/>
      <c r="BK134" s="1642"/>
      <c r="BL134" s="1641"/>
      <c r="BM134" s="1642"/>
      <c r="BN134" s="1642"/>
      <c r="BO134" s="1642"/>
      <c r="BP134" s="1641"/>
      <c r="BQ134" s="1642"/>
      <c r="BR134" s="1642"/>
      <c r="BS134" s="1642"/>
      <c r="BT134" s="1641"/>
      <c r="BU134" s="1642"/>
      <c r="BV134" s="1642"/>
      <c r="BW134" s="1642"/>
      <c r="BX134" s="1641"/>
      <c r="BY134" s="1642"/>
      <c r="BZ134" s="1642"/>
      <c r="CA134" s="1642"/>
      <c r="CB134" s="1641"/>
      <c r="CC134" s="1634">
        <v>118700</v>
      </c>
      <c r="CD134" s="1634">
        <v>115100</v>
      </c>
      <c r="CE134" s="1634">
        <v>110100</v>
      </c>
      <c r="CF134" s="1633">
        <v>108000</v>
      </c>
      <c r="CG134" s="1634">
        <v>103400</v>
      </c>
      <c r="CH134" s="1634">
        <v>97500</v>
      </c>
      <c r="CI134" s="1634">
        <v>92300</v>
      </c>
      <c r="CJ134" s="1633">
        <v>92000</v>
      </c>
      <c r="CK134" s="1634">
        <v>93200</v>
      </c>
      <c r="CL134" s="1634">
        <v>92800</v>
      </c>
      <c r="CM134" s="1634">
        <v>91800</v>
      </c>
      <c r="CN134" s="1633">
        <v>90800</v>
      </c>
      <c r="CO134" s="1649">
        <v>88600</v>
      </c>
      <c r="CP134" s="1649">
        <v>87400</v>
      </c>
      <c r="CQ134" s="1648">
        <v>86400</v>
      </c>
      <c r="CR134" s="1649">
        <v>85200</v>
      </c>
      <c r="CS134" s="1649">
        <v>84700</v>
      </c>
      <c r="CT134" s="1649">
        <v>83600</v>
      </c>
      <c r="CU134" s="1648">
        <v>81900</v>
      </c>
      <c r="CV134" s="1649">
        <v>80900</v>
      </c>
      <c r="CW134" s="1649">
        <v>80600</v>
      </c>
      <c r="CX134" s="1649">
        <v>79400</v>
      </c>
      <c r="CY134" s="1648">
        <v>76800</v>
      </c>
      <c r="CZ134" s="1649">
        <v>75500</v>
      </c>
      <c r="DA134" s="1649">
        <v>72700</v>
      </c>
      <c r="DB134" s="1649">
        <v>71400</v>
      </c>
      <c r="DC134" s="1649">
        <v>70900</v>
      </c>
      <c r="DD134" s="1649">
        <v>69200</v>
      </c>
      <c r="DE134" s="1649">
        <v>59300</v>
      </c>
      <c r="DF134" s="1649">
        <v>59200</v>
      </c>
      <c r="DG134" s="1649">
        <v>58900</v>
      </c>
      <c r="DH134" s="1649">
        <v>60800</v>
      </c>
      <c r="DI134" s="1649">
        <v>59700</v>
      </c>
      <c r="DJ134" s="1649">
        <v>58200</v>
      </c>
      <c r="DK134" s="1649">
        <v>57100</v>
      </c>
      <c r="DL134" s="1649">
        <v>57200</v>
      </c>
    </row>
    <row r="135" spans="1:116" ht="12.75" customHeight="1">
      <c r="A135" s="1539"/>
      <c r="B135" s="1642"/>
      <c r="C135" s="1642"/>
      <c r="D135" s="1642"/>
      <c r="E135" s="1641"/>
      <c r="F135" s="1642"/>
      <c r="G135" s="1642"/>
      <c r="H135" s="1642"/>
      <c r="I135" s="1642"/>
      <c r="J135" s="1642"/>
      <c r="K135" s="1681"/>
      <c r="L135" s="1642"/>
      <c r="M135" s="1642"/>
      <c r="N135" s="1642"/>
      <c r="O135" s="1642"/>
      <c r="P135" s="1642"/>
      <c r="Q135" s="1642"/>
      <c r="R135" s="1642"/>
      <c r="S135" s="1642"/>
      <c r="T135" s="1642"/>
      <c r="U135" s="1642"/>
      <c r="V135" s="1642"/>
      <c r="W135" s="1642"/>
      <c r="X135" s="1642"/>
      <c r="Y135" s="1642"/>
      <c r="Z135" s="1642"/>
      <c r="AA135" s="1642"/>
      <c r="AB135" s="1642"/>
      <c r="AC135" s="1642"/>
      <c r="AD135" s="1642"/>
      <c r="AE135" s="1642"/>
      <c r="AF135" s="1641"/>
      <c r="AG135" s="1642"/>
      <c r="AH135" s="1642"/>
      <c r="AI135" s="1642"/>
      <c r="AJ135" s="1641"/>
      <c r="AK135" s="1642"/>
      <c r="AL135" s="1642"/>
      <c r="AM135" s="1642"/>
      <c r="AN135" s="1641"/>
      <c r="AO135" s="1642"/>
      <c r="AP135" s="1642"/>
      <c r="AQ135" s="1642"/>
      <c r="AR135" s="1641"/>
      <c r="AS135" s="1642"/>
      <c r="AT135" s="1642"/>
      <c r="AU135" s="1642"/>
      <c r="AV135" s="1641"/>
      <c r="AW135" s="1642"/>
      <c r="AX135" s="1642"/>
      <c r="AY135" s="1642"/>
      <c r="AZ135" s="1641"/>
      <c r="BA135" s="1642"/>
      <c r="BB135" s="1642"/>
      <c r="BC135" s="1642"/>
      <c r="BD135" s="1641"/>
      <c r="BE135" s="1642"/>
      <c r="BF135" s="1642"/>
      <c r="BG135" s="1642"/>
      <c r="BH135" s="1641"/>
      <c r="BI135" s="1642"/>
      <c r="BJ135" s="1642"/>
      <c r="BK135" s="1642"/>
      <c r="BL135" s="1641"/>
      <c r="BM135" s="1642"/>
      <c r="BN135" s="1642"/>
      <c r="BO135" s="1642"/>
      <c r="BP135" s="1641"/>
      <c r="BQ135" s="1642"/>
      <c r="BR135" s="1642"/>
      <c r="BS135" s="1642"/>
      <c r="BT135" s="1641"/>
      <c r="BU135" s="1642"/>
      <c r="BV135" s="1642"/>
      <c r="BW135" s="1642"/>
      <c r="BX135" s="1641"/>
      <c r="BY135" s="1642"/>
      <c r="BZ135" s="1642"/>
      <c r="CA135" s="1642"/>
      <c r="CB135" s="1641"/>
      <c r="CC135" s="1642"/>
      <c r="CD135" s="1642"/>
      <c r="CE135" s="1642"/>
      <c r="CF135" s="1641"/>
      <c r="CG135" s="1642"/>
      <c r="CH135" s="1642"/>
      <c r="CI135" s="1642"/>
      <c r="CJ135" s="1641"/>
      <c r="CK135" s="1642"/>
      <c r="CL135" s="1642"/>
      <c r="CM135" s="1642"/>
      <c r="CN135" s="1641"/>
      <c r="CO135" s="1672"/>
      <c r="CP135" s="1672"/>
      <c r="CQ135" s="1681"/>
      <c r="CR135" s="1672"/>
      <c r="CS135" s="1672"/>
      <c r="CT135" s="1672"/>
      <c r="CU135" s="1681"/>
      <c r="CV135" s="1672"/>
      <c r="CW135" s="1672"/>
      <c r="CX135" s="1672"/>
      <c r="CY135" s="1681"/>
      <c r="CZ135" s="1672"/>
      <c r="DA135" s="1672"/>
      <c r="DB135" s="1672"/>
      <c r="DC135" s="1672"/>
      <c r="DD135" s="1672"/>
      <c r="DE135" s="1672"/>
      <c r="DF135" s="1672"/>
      <c r="DG135" s="1672"/>
      <c r="DH135" s="1672"/>
      <c r="DI135" s="1672"/>
      <c r="DJ135" s="1672"/>
      <c r="DK135" s="1672"/>
      <c r="DL135" s="1672"/>
    </row>
    <row r="136" spans="1:116" ht="12.75" customHeight="1">
      <c r="A136" s="1664" t="s">
        <v>311</v>
      </c>
      <c r="B136" s="1729"/>
      <c r="C136" s="1729"/>
      <c r="D136" s="1729"/>
      <c r="E136" s="1740"/>
      <c r="F136" s="1730"/>
      <c r="G136" s="1730"/>
      <c r="H136" s="1730"/>
      <c r="I136" s="1730"/>
      <c r="J136" s="1730"/>
      <c r="K136" s="1732"/>
      <c r="L136" s="1730"/>
      <c r="M136" s="1730"/>
      <c r="N136" s="1730"/>
      <c r="O136" s="1730"/>
      <c r="P136" s="1730"/>
      <c r="Q136" s="1730"/>
      <c r="R136" s="1730"/>
      <c r="S136" s="1730"/>
      <c r="T136" s="1730"/>
      <c r="U136" s="1730"/>
      <c r="V136" s="1730"/>
      <c r="W136" s="1730"/>
      <c r="X136" s="1730"/>
      <c r="Y136" s="1730"/>
      <c r="Z136" s="1730"/>
      <c r="AA136" s="1730"/>
      <c r="AB136" s="1730"/>
      <c r="AC136" s="1730"/>
      <c r="AD136" s="1730"/>
      <c r="AE136" s="1730"/>
      <c r="AF136" s="1731"/>
      <c r="AG136" s="1730"/>
      <c r="AH136" s="1730"/>
      <c r="AI136" s="1730"/>
      <c r="AJ136" s="1731"/>
      <c r="AK136" s="1730"/>
      <c r="AL136" s="1730"/>
      <c r="AM136" s="1730"/>
      <c r="AN136" s="1731"/>
      <c r="AO136" s="1730"/>
      <c r="AP136" s="1730"/>
      <c r="AQ136" s="1730"/>
      <c r="AR136" s="1731"/>
      <c r="AS136" s="1730"/>
      <c r="AT136" s="1730"/>
      <c r="AU136" s="1730"/>
      <c r="AV136" s="1731"/>
      <c r="AW136" s="1730"/>
      <c r="AX136" s="1730"/>
      <c r="AY136" s="1730"/>
      <c r="AZ136" s="1731"/>
      <c r="BA136" s="1730"/>
      <c r="BB136" s="1730"/>
      <c r="BC136" s="1730"/>
      <c r="BD136" s="1731"/>
      <c r="BE136" s="1730"/>
      <c r="BF136" s="1730"/>
      <c r="BG136" s="1730"/>
      <c r="BH136" s="1731"/>
      <c r="BI136" s="1730"/>
      <c r="BJ136" s="1730"/>
      <c r="BK136" s="1730"/>
      <c r="BL136" s="1731"/>
      <c r="BM136" s="1730"/>
      <c r="BN136" s="1730"/>
      <c r="BO136" s="1730"/>
      <c r="BP136" s="1731"/>
      <c r="BQ136" s="1730"/>
      <c r="BR136" s="1730"/>
      <c r="BS136" s="1730"/>
      <c r="BT136" s="1731"/>
      <c r="BU136" s="1730"/>
      <c r="BV136" s="1730"/>
      <c r="BW136" s="1730"/>
      <c r="BX136" s="1731"/>
      <c r="BY136" s="1730"/>
      <c r="BZ136" s="1730"/>
      <c r="CA136" s="1730"/>
      <c r="CB136" s="1731"/>
      <c r="CC136" s="1730"/>
      <c r="CD136" s="1730"/>
      <c r="CE136" s="1730"/>
      <c r="CF136" s="1731"/>
      <c r="CG136" s="1730"/>
      <c r="CH136" s="1730"/>
      <c r="CI136" s="1730"/>
      <c r="CJ136" s="1731"/>
      <c r="CK136" s="1730"/>
      <c r="CL136" s="1730"/>
      <c r="CM136" s="1732"/>
      <c r="CN136" s="1733"/>
      <c r="CO136" s="1733"/>
      <c r="CP136" s="1733"/>
      <c r="CQ136" s="1732"/>
      <c r="CR136" s="1733"/>
      <c r="CS136" s="1733"/>
      <c r="CT136" s="1733"/>
      <c r="CU136" s="1732"/>
      <c r="CV136" s="1733"/>
      <c r="CW136" s="1733"/>
      <c r="CX136" s="1733"/>
      <c r="CY136" s="1732"/>
      <c r="CZ136" s="1733"/>
      <c r="DA136" s="1733"/>
      <c r="DB136" s="1733"/>
      <c r="DC136" s="1733"/>
      <c r="DD136" s="1733"/>
      <c r="DE136" s="1733"/>
      <c r="DF136" s="1733"/>
      <c r="DG136" s="1733"/>
      <c r="DH136" s="1733"/>
      <c r="DI136" s="1733"/>
      <c r="DJ136" s="1733"/>
      <c r="DK136" s="1733"/>
      <c r="DL136" s="1733"/>
    </row>
    <row r="137" spans="1:116" ht="12.75" hidden="1" customHeight="1">
      <c r="A137" s="1539" t="s">
        <v>1586</v>
      </c>
      <c r="B137" s="1642"/>
      <c r="C137" s="1642"/>
      <c r="D137" s="1642"/>
      <c r="E137" s="1641"/>
      <c r="F137" s="1642"/>
      <c r="G137" s="1642"/>
      <c r="H137" s="1642"/>
      <c r="I137" s="1642"/>
      <c r="J137" s="1642"/>
      <c r="K137" s="1681"/>
      <c r="L137" s="1642"/>
      <c r="M137" s="1642"/>
      <c r="N137" s="1642"/>
      <c r="O137" s="1642"/>
      <c r="P137" s="1642"/>
      <c r="Q137" s="1642"/>
      <c r="R137" s="1642"/>
      <c r="S137" s="1642"/>
      <c r="T137" s="1642"/>
      <c r="U137" s="1642"/>
      <c r="V137" s="1642"/>
      <c r="W137" s="1642"/>
      <c r="X137" s="1642"/>
      <c r="Y137" s="1642"/>
      <c r="Z137" s="1642"/>
      <c r="AA137" s="1642"/>
      <c r="AB137" s="1642"/>
      <c r="AC137" s="1642"/>
      <c r="AD137" s="1642"/>
      <c r="AE137" s="1642"/>
      <c r="AF137" s="1641"/>
      <c r="AG137" s="1642"/>
      <c r="AH137" s="1642"/>
      <c r="AI137" s="1642"/>
      <c r="AJ137" s="1641"/>
      <c r="AK137" s="1642"/>
      <c r="AL137" s="1642"/>
      <c r="AM137" s="1642"/>
      <c r="AN137" s="1641"/>
      <c r="AO137" s="1642"/>
      <c r="AP137" s="1642"/>
      <c r="AQ137" s="1642"/>
      <c r="AR137" s="1641"/>
      <c r="AS137" s="1642"/>
      <c r="AT137" s="1642"/>
      <c r="AU137" s="1642"/>
      <c r="AV137" s="1641"/>
      <c r="AW137" s="1642"/>
      <c r="AX137" s="1642"/>
      <c r="AY137" s="1642"/>
      <c r="AZ137" s="1641"/>
      <c r="BA137" s="1642"/>
      <c r="BB137" s="1642"/>
      <c r="BC137" s="1642"/>
      <c r="BD137" s="1641"/>
      <c r="BE137" s="1642"/>
      <c r="BF137" s="1642"/>
      <c r="BG137" s="1642"/>
      <c r="BH137" s="1641"/>
      <c r="BI137" s="1642"/>
      <c r="BJ137" s="1642"/>
      <c r="BK137" s="1642"/>
      <c r="BL137" s="1641"/>
      <c r="BM137" s="1642"/>
      <c r="BN137" s="1642"/>
      <c r="BO137" s="1642"/>
      <c r="BP137" s="1641"/>
      <c r="BQ137" s="1642"/>
      <c r="BR137" s="1642"/>
      <c r="BS137" s="1642"/>
      <c r="BT137" s="1641"/>
      <c r="BU137" s="1642"/>
      <c r="BV137" s="1642"/>
      <c r="BW137" s="1642"/>
      <c r="BX137" s="1641"/>
      <c r="BY137" s="1642"/>
      <c r="BZ137" s="1642"/>
      <c r="CA137" s="1642"/>
      <c r="CB137" s="1641"/>
      <c r="CC137" s="1642"/>
      <c r="CD137" s="1642"/>
      <c r="CE137" s="1642"/>
      <c r="CF137" s="1641">
        <f t="shared" ref="CF137:CV137" si="193">+CF133-CE133</f>
        <v>-5827</v>
      </c>
      <c r="CG137" s="1642">
        <f t="shared" si="193"/>
        <v>-6300</v>
      </c>
      <c r="CH137" s="1642">
        <f t="shared" si="193"/>
        <v>-15700</v>
      </c>
      <c r="CI137" s="1642">
        <f t="shared" si="193"/>
        <v>-700</v>
      </c>
      <c r="CJ137" s="1641">
        <f t="shared" si="193"/>
        <v>1800</v>
      </c>
      <c r="CK137" s="1642">
        <f t="shared" si="193"/>
        <v>-300</v>
      </c>
      <c r="CL137" s="1642">
        <f t="shared" si="193"/>
        <v>-500</v>
      </c>
      <c r="CM137" s="1681">
        <f t="shared" si="193"/>
        <v>-1500</v>
      </c>
      <c r="CN137" s="1672">
        <f t="shared" si="193"/>
        <v>-2100</v>
      </c>
      <c r="CO137" s="1672">
        <f t="shared" si="193"/>
        <v>-3600</v>
      </c>
      <c r="CP137" s="1672">
        <f t="shared" si="193"/>
        <v>-3700</v>
      </c>
      <c r="CQ137" s="1681">
        <f t="shared" si="193"/>
        <v>-1100</v>
      </c>
      <c r="CR137" s="1672">
        <f t="shared" si="193"/>
        <v>-1500</v>
      </c>
      <c r="CS137" s="1672">
        <f t="shared" si="193"/>
        <v>-1000</v>
      </c>
      <c r="CT137" s="1672">
        <f>+CT133-CS133</f>
        <v>-2600</v>
      </c>
      <c r="CU137" s="1681">
        <f>+CU133-CT133</f>
        <v>-1500</v>
      </c>
      <c r="CV137" s="1672">
        <f t="shared" si="193"/>
        <v>100</v>
      </c>
      <c r="CW137" s="1672">
        <f t="shared" ref="CW137:DL137" si="194">+CW133-CV133</f>
        <v>900</v>
      </c>
      <c r="CX137" s="1672">
        <f t="shared" si="194"/>
        <v>700</v>
      </c>
      <c r="CY137" s="1681">
        <f t="shared" si="194"/>
        <v>-1200</v>
      </c>
      <c r="CZ137" s="1672">
        <f t="shared" si="194"/>
        <v>-1100</v>
      </c>
      <c r="DA137" s="1672">
        <f t="shared" si="194"/>
        <v>2300</v>
      </c>
      <c r="DB137" s="1672">
        <f t="shared" si="194"/>
        <v>-600</v>
      </c>
      <c r="DC137" s="1672">
        <f t="shared" si="194"/>
        <v>-200</v>
      </c>
      <c r="DD137" s="1672">
        <f t="shared" si="194"/>
        <v>-4400</v>
      </c>
      <c r="DE137" s="1672">
        <f t="shared" si="194"/>
        <v>-10600</v>
      </c>
      <c r="DF137" s="1672">
        <f t="shared" si="194"/>
        <v>-700</v>
      </c>
      <c r="DG137" s="1672">
        <f t="shared" si="194"/>
        <v>-1100</v>
      </c>
      <c r="DH137" s="1672">
        <f t="shared" si="194"/>
        <v>100</v>
      </c>
      <c r="DI137" s="1672">
        <f t="shared" si="194"/>
        <v>2400</v>
      </c>
      <c r="DJ137" s="1672">
        <f t="shared" si="194"/>
        <v>-3300</v>
      </c>
      <c r="DK137" s="1672">
        <f t="shared" si="194"/>
        <v>-4700</v>
      </c>
      <c r="DL137" s="1672">
        <f t="shared" si="194"/>
        <v>-700</v>
      </c>
    </row>
    <row r="138" spans="1:116" ht="12.75" hidden="1" customHeight="1">
      <c r="A138" s="1627" t="s">
        <v>198</v>
      </c>
      <c r="B138" s="1642"/>
      <c r="C138" s="1642"/>
      <c r="D138" s="1642"/>
      <c r="E138" s="1641"/>
      <c r="F138" s="1642"/>
      <c r="G138" s="1642"/>
      <c r="H138" s="1642"/>
      <c r="I138" s="1642"/>
      <c r="J138" s="1642"/>
      <c r="K138" s="1681"/>
      <c r="L138" s="1642"/>
      <c r="M138" s="1642"/>
      <c r="N138" s="1642"/>
      <c r="O138" s="1642"/>
      <c r="P138" s="1642"/>
      <c r="Q138" s="1642"/>
      <c r="R138" s="1642"/>
      <c r="S138" s="1642"/>
      <c r="T138" s="1642"/>
      <c r="U138" s="1642"/>
      <c r="V138" s="1642"/>
      <c r="W138" s="1642"/>
      <c r="X138" s="1642"/>
      <c r="Y138" s="1642"/>
      <c r="Z138" s="1642"/>
      <c r="AA138" s="1642"/>
      <c r="AB138" s="1642"/>
      <c r="AC138" s="1642"/>
      <c r="AD138" s="1642"/>
      <c r="AE138" s="1642"/>
      <c r="AF138" s="1641"/>
      <c r="AG138" s="1642"/>
      <c r="AH138" s="1642"/>
      <c r="AI138" s="1642"/>
      <c r="AJ138" s="1641"/>
      <c r="AK138" s="1642"/>
      <c r="AL138" s="1642"/>
      <c r="AM138" s="1642"/>
      <c r="AN138" s="1641"/>
      <c r="AO138" s="1642"/>
      <c r="AP138" s="1642"/>
      <c r="AQ138" s="1642"/>
      <c r="AR138" s="1641"/>
      <c r="AS138" s="1642"/>
      <c r="AT138" s="1642"/>
      <c r="AU138" s="1642"/>
      <c r="AV138" s="1641"/>
      <c r="AW138" s="1642"/>
      <c r="AX138" s="1642"/>
      <c r="AY138" s="1642"/>
      <c r="AZ138" s="1641"/>
      <c r="BA138" s="1642"/>
      <c r="BB138" s="1642"/>
      <c r="BC138" s="1642"/>
      <c r="BD138" s="1641"/>
      <c r="BE138" s="1642"/>
      <c r="BF138" s="1642"/>
      <c r="BG138" s="1642"/>
      <c r="BH138" s="1641"/>
      <c r="BI138" s="1642"/>
      <c r="BJ138" s="1642"/>
      <c r="BK138" s="1642"/>
      <c r="BL138" s="1641"/>
      <c r="BM138" s="1642"/>
      <c r="BN138" s="1642"/>
      <c r="BO138" s="1642"/>
      <c r="BP138" s="1641"/>
      <c r="BQ138" s="1642"/>
      <c r="BR138" s="1642"/>
      <c r="BS138" s="1642"/>
      <c r="BT138" s="1641"/>
      <c r="BU138" s="1642"/>
      <c r="BV138" s="1642"/>
      <c r="BW138" s="1642"/>
      <c r="BX138" s="1641"/>
      <c r="BY138" s="1642"/>
      <c r="BZ138" s="1642"/>
      <c r="CA138" s="1642"/>
      <c r="CB138" s="1641"/>
      <c r="CC138" s="1642"/>
      <c r="CD138" s="1642"/>
      <c r="CE138" s="1642"/>
      <c r="CF138" s="1641"/>
      <c r="CG138" s="1642"/>
      <c r="CH138" s="1642"/>
      <c r="CI138" s="1642"/>
      <c r="CJ138" s="1641"/>
      <c r="CK138" s="1642"/>
      <c r="CL138" s="1642"/>
      <c r="CM138" s="1681"/>
      <c r="CN138" s="1672"/>
      <c r="CO138" s="1672"/>
      <c r="CP138" s="1672"/>
      <c r="CQ138" s="1681"/>
      <c r="CR138" s="1672"/>
      <c r="CS138" s="1672"/>
      <c r="CT138" s="1672"/>
      <c r="CU138" s="1681"/>
      <c r="CV138" s="1672"/>
      <c r="CW138" s="1672"/>
      <c r="CX138" s="1672"/>
      <c r="CY138" s="1681"/>
      <c r="CZ138" s="1672"/>
      <c r="DA138" s="1672"/>
      <c r="DB138" s="1672"/>
      <c r="DC138" s="1672"/>
      <c r="DD138" s="1672"/>
      <c r="DE138" s="1672"/>
      <c r="DF138" s="1672"/>
      <c r="DG138" s="1672"/>
      <c r="DH138" s="1672"/>
      <c r="DI138" s="1672"/>
      <c r="DJ138" s="1672"/>
      <c r="DK138" s="1672"/>
      <c r="DL138" s="1672"/>
    </row>
    <row r="139" spans="1:116" ht="12.75" hidden="1" customHeight="1">
      <c r="A139" s="1539" t="s">
        <v>640</v>
      </c>
      <c r="B139" s="1642"/>
      <c r="C139" s="1642"/>
      <c r="D139" s="1642"/>
      <c r="E139" s="1641"/>
      <c r="F139" s="1642"/>
      <c r="G139" s="1642"/>
      <c r="H139" s="1642"/>
      <c r="I139" s="1642"/>
      <c r="J139" s="1642"/>
      <c r="K139" s="1681"/>
      <c r="L139" s="1642"/>
      <c r="M139" s="1642"/>
      <c r="N139" s="1642"/>
      <c r="O139" s="1642"/>
      <c r="P139" s="1642"/>
      <c r="Q139" s="1642"/>
      <c r="R139" s="1642"/>
      <c r="S139" s="1642"/>
      <c r="T139" s="1642"/>
      <c r="U139" s="1642"/>
      <c r="V139" s="1642"/>
      <c r="W139" s="1642"/>
      <c r="X139" s="1642"/>
      <c r="Y139" s="1642"/>
      <c r="Z139" s="1642"/>
      <c r="AA139" s="1642"/>
      <c r="AB139" s="1642"/>
      <c r="AC139" s="1642"/>
      <c r="AD139" s="1642"/>
      <c r="AE139" s="1642"/>
      <c r="AF139" s="1641"/>
      <c r="AG139" s="1642"/>
      <c r="AH139" s="1642"/>
      <c r="AI139" s="1642"/>
      <c r="AJ139" s="1641"/>
      <c r="AK139" s="1642"/>
      <c r="AL139" s="1642"/>
      <c r="AM139" s="1642"/>
      <c r="AN139" s="1641"/>
      <c r="AO139" s="1642"/>
      <c r="AP139" s="1642"/>
      <c r="AQ139" s="1642"/>
      <c r="AR139" s="1641"/>
      <c r="AS139" s="1642"/>
      <c r="AT139" s="1642"/>
      <c r="AU139" s="1642"/>
      <c r="AV139" s="1641"/>
      <c r="AW139" s="1642"/>
      <c r="AX139" s="1642"/>
      <c r="AY139" s="1642"/>
      <c r="AZ139" s="1641"/>
      <c r="BA139" s="1642"/>
      <c r="BB139" s="1642"/>
      <c r="BC139" s="1642"/>
      <c r="BD139" s="1641"/>
      <c r="BE139" s="1642"/>
      <c r="BF139" s="1642"/>
      <c r="BG139" s="1642"/>
      <c r="BH139" s="1641"/>
      <c r="BI139" s="1642"/>
      <c r="BJ139" s="1642"/>
      <c r="BK139" s="1642"/>
      <c r="BL139" s="3486" t="s">
        <v>641</v>
      </c>
      <c r="BM139" s="3487"/>
      <c r="BN139" s="3487"/>
      <c r="BO139" s="3488"/>
      <c r="BP139" s="3486" t="s">
        <v>1150</v>
      </c>
      <c r="BQ139" s="3487"/>
      <c r="BR139" s="3487"/>
      <c r="BS139" s="3487"/>
      <c r="BT139" s="3487"/>
      <c r="BU139" s="3487"/>
      <c r="BV139" s="3487"/>
      <c r="BW139" s="3487"/>
      <c r="BX139" s="3487"/>
      <c r="BY139" s="1642"/>
      <c r="BZ139" s="1642"/>
      <c r="CA139" s="1642"/>
      <c r="CB139" s="1641"/>
      <c r="CC139" s="1642"/>
      <c r="CD139" s="1642"/>
      <c r="CE139" s="1642"/>
      <c r="CF139" s="1641"/>
      <c r="CG139" s="1642"/>
      <c r="CH139" s="1642"/>
      <c r="CI139" s="1642"/>
      <c r="CJ139" s="1641"/>
      <c r="CK139" s="1642"/>
      <c r="CL139" s="1642"/>
      <c r="CM139" s="1681"/>
      <c r="CN139" s="1672"/>
      <c r="CO139" s="1672"/>
      <c r="CP139" s="1672"/>
      <c r="CQ139" s="1681"/>
      <c r="CR139" s="1672"/>
      <c r="CS139" s="1672"/>
      <c r="CT139" s="1672"/>
      <c r="CU139" s="1681"/>
      <c r="CV139" s="1672"/>
      <c r="CW139" s="1672"/>
      <c r="CX139" s="1672"/>
      <c r="CY139" s="1681"/>
      <c r="CZ139" s="1672"/>
      <c r="DA139" s="1672"/>
      <c r="DB139" s="1672"/>
      <c r="DC139" s="1672"/>
      <c r="DD139" s="1672"/>
      <c r="DE139" s="1672"/>
      <c r="DF139" s="1672"/>
      <c r="DG139" s="1672"/>
      <c r="DH139" s="1672"/>
      <c r="DI139" s="1672"/>
      <c r="DJ139" s="1672"/>
      <c r="DK139" s="1672"/>
      <c r="DL139" s="1672"/>
    </row>
    <row r="140" spans="1:116" ht="12.75" hidden="1" customHeight="1">
      <c r="A140" s="1539" t="s">
        <v>201</v>
      </c>
      <c r="B140" s="1642"/>
      <c r="C140" s="1642"/>
      <c r="D140" s="1642"/>
      <c r="E140" s="1641"/>
      <c r="F140" s="1642"/>
      <c r="G140" s="1642"/>
      <c r="H140" s="1642"/>
      <c r="I140" s="1642"/>
      <c r="J140" s="1642"/>
      <c r="K140" s="1681"/>
      <c r="L140" s="1642"/>
      <c r="M140" s="1642"/>
      <c r="N140" s="1642"/>
      <c r="O140" s="1642"/>
      <c r="P140" s="1642"/>
      <c r="Q140" s="1642"/>
      <c r="R140" s="1642"/>
      <c r="S140" s="1642"/>
      <c r="T140" s="1642"/>
      <c r="U140" s="1642"/>
      <c r="V140" s="1642"/>
      <c r="W140" s="1642"/>
      <c r="X140" s="1642"/>
      <c r="Y140" s="1642"/>
      <c r="Z140" s="1642"/>
      <c r="AA140" s="1642"/>
      <c r="AB140" s="1642"/>
      <c r="AC140" s="1642"/>
      <c r="AD140" s="1642"/>
      <c r="AE140" s="1642"/>
      <c r="AF140" s="1641"/>
      <c r="AG140" s="1642"/>
      <c r="AH140" s="1642"/>
      <c r="AI140" s="1642"/>
      <c r="AJ140" s="1641"/>
      <c r="AK140" s="1642"/>
      <c r="AL140" s="1642"/>
      <c r="AM140" s="1642"/>
      <c r="AN140" s="1641"/>
      <c r="AO140" s="1642"/>
      <c r="AP140" s="1642"/>
      <c r="AQ140" s="1642"/>
      <c r="AR140" s="1641"/>
      <c r="AS140" s="1642"/>
      <c r="AT140" s="1642"/>
      <c r="AU140" s="1642"/>
      <c r="AV140" s="1641"/>
      <c r="AW140" s="1642"/>
      <c r="AX140" s="1642"/>
      <c r="AY140" s="1642"/>
      <c r="AZ140" s="1641"/>
      <c r="BA140" s="1642"/>
      <c r="BB140" s="1642"/>
      <c r="BC140" s="1642"/>
      <c r="BD140" s="1641"/>
      <c r="BE140" s="1642"/>
      <c r="BF140" s="1642"/>
      <c r="BG140" s="1642"/>
      <c r="BH140" s="1641"/>
      <c r="BI140" s="1642"/>
      <c r="BJ140" s="1642"/>
      <c r="BK140" s="1642"/>
      <c r="BL140" s="1633">
        <v>5898</v>
      </c>
      <c r="BM140" s="1634">
        <v>5920</v>
      </c>
      <c r="BN140" s="1634">
        <v>5886</v>
      </c>
      <c r="BO140" s="1634">
        <v>5762</v>
      </c>
      <c r="BP140" s="1633">
        <v>5415</v>
      </c>
      <c r="BQ140" s="1634">
        <v>5429</v>
      </c>
      <c r="BR140" s="1634">
        <v>5410</v>
      </c>
      <c r="BS140" s="1634">
        <v>5288</v>
      </c>
      <c r="BT140" s="1633">
        <v>5336</v>
      </c>
      <c r="BU140" s="1634">
        <v>5367</v>
      </c>
      <c r="BV140" s="1634">
        <v>5329</v>
      </c>
      <c r="BW140" s="1634">
        <v>5257</v>
      </c>
      <c r="BX140" s="1633">
        <v>5224</v>
      </c>
      <c r="BY140" s="1634">
        <v>5247</v>
      </c>
      <c r="BZ140" s="1634">
        <v>5277</v>
      </c>
      <c r="CA140" s="1634">
        <v>5226</v>
      </c>
      <c r="CB140" s="1633"/>
      <c r="CC140" s="1634"/>
      <c r="CD140" s="1634"/>
      <c r="CE140" s="1634"/>
      <c r="CF140" s="1641"/>
      <c r="CG140" s="1642"/>
      <c r="CH140" s="1642"/>
      <c r="CI140" s="1642"/>
      <c r="CJ140" s="1641"/>
      <c r="CK140" s="1642"/>
      <c r="CL140" s="1642"/>
      <c r="CM140" s="1681"/>
      <c r="CN140" s="1672"/>
      <c r="CO140" s="1672"/>
      <c r="CP140" s="1672"/>
      <c r="CQ140" s="1681"/>
      <c r="CR140" s="1672"/>
      <c r="CS140" s="1672"/>
      <c r="CT140" s="1672"/>
      <c r="CU140" s="1681"/>
      <c r="CV140" s="1672"/>
      <c r="CW140" s="1672"/>
      <c r="CX140" s="1672"/>
      <c r="CY140" s="1681"/>
      <c r="CZ140" s="1672"/>
      <c r="DA140" s="1672"/>
      <c r="DB140" s="1672"/>
      <c r="DC140" s="1672"/>
      <c r="DD140" s="1672"/>
      <c r="DE140" s="1672"/>
      <c r="DF140" s="1672"/>
      <c r="DG140" s="1672"/>
      <c r="DH140" s="1672"/>
      <c r="DI140" s="1672"/>
      <c r="DJ140" s="1672"/>
      <c r="DK140" s="1672"/>
      <c r="DL140" s="1672"/>
    </row>
    <row r="141" spans="1:116" ht="12.75" hidden="1" customHeight="1">
      <c r="A141" s="1539" t="s">
        <v>203</v>
      </c>
      <c r="B141" s="1642"/>
      <c r="C141" s="1642"/>
      <c r="D141" s="1642"/>
      <c r="E141" s="1641"/>
      <c r="F141" s="1642"/>
      <c r="G141" s="1642"/>
      <c r="H141" s="1642"/>
      <c r="I141" s="1642"/>
      <c r="J141" s="1642"/>
      <c r="K141" s="1681"/>
      <c r="L141" s="1642"/>
      <c r="M141" s="1642"/>
      <c r="N141" s="1642"/>
      <c r="O141" s="1642"/>
      <c r="P141" s="1642"/>
      <c r="Q141" s="1642"/>
      <c r="R141" s="1642"/>
      <c r="S141" s="1642"/>
      <c r="T141" s="1642"/>
      <c r="U141" s="1642"/>
      <c r="V141" s="1642"/>
      <c r="W141" s="1642"/>
      <c r="X141" s="1642"/>
      <c r="Y141" s="1642"/>
      <c r="Z141" s="1642"/>
      <c r="AA141" s="1642"/>
      <c r="AB141" s="1642"/>
      <c r="AC141" s="1642"/>
      <c r="AD141" s="1642"/>
      <c r="AE141" s="1642"/>
      <c r="AF141" s="1641"/>
      <c r="AG141" s="1642"/>
      <c r="AH141" s="1642"/>
      <c r="AI141" s="1642"/>
      <c r="AJ141" s="1641"/>
      <c r="AK141" s="1642"/>
      <c r="AL141" s="1642"/>
      <c r="AM141" s="1642"/>
      <c r="AN141" s="1641"/>
      <c r="AO141" s="1642"/>
      <c r="AP141" s="1642"/>
      <c r="AQ141" s="1642"/>
      <c r="AR141" s="1641"/>
      <c r="AS141" s="1642"/>
      <c r="AT141" s="1642"/>
      <c r="AU141" s="1642"/>
      <c r="AV141" s="1641"/>
      <c r="AW141" s="1642"/>
      <c r="AX141" s="1642"/>
      <c r="AY141" s="1642"/>
      <c r="AZ141" s="1641"/>
      <c r="BA141" s="1642"/>
      <c r="BB141" s="1642"/>
      <c r="BC141" s="1642"/>
      <c r="BD141" s="1641"/>
      <c r="BE141" s="1642"/>
      <c r="BF141" s="1642"/>
      <c r="BG141" s="1642"/>
      <c r="BH141" s="1641"/>
      <c r="BI141" s="1642"/>
      <c r="BJ141" s="1642"/>
      <c r="BK141" s="1642"/>
      <c r="BL141" s="1633">
        <v>2111</v>
      </c>
      <c r="BM141" s="1634">
        <v>2108</v>
      </c>
      <c r="BN141" s="1634">
        <v>2132</v>
      </c>
      <c r="BO141" s="1634">
        <v>2129</v>
      </c>
      <c r="BP141" s="1633">
        <v>1987</v>
      </c>
      <c r="BQ141" s="1634">
        <v>2021</v>
      </c>
      <c r="BR141" s="1634">
        <v>2025</v>
      </c>
      <c r="BS141" s="1634">
        <v>1984</v>
      </c>
      <c r="BT141" s="1633">
        <v>1919</v>
      </c>
      <c r="BU141" s="1634">
        <v>1956</v>
      </c>
      <c r="BV141" s="1634">
        <v>1967</v>
      </c>
      <c r="BW141" s="1634">
        <v>1932</v>
      </c>
      <c r="BX141" s="1633">
        <v>1912</v>
      </c>
      <c r="BY141" s="1634">
        <v>1895</v>
      </c>
      <c r="BZ141" s="1634">
        <v>1882</v>
      </c>
      <c r="CA141" s="1634">
        <v>1882</v>
      </c>
      <c r="CB141" s="1633"/>
      <c r="CC141" s="1634"/>
      <c r="CD141" s="1634"/>
      <c r="CE141" s="1634"/>
      <c r="CF141" s="1641"/>
      <c r="CG141" s="1642"/>
      <c r="CH141" s="1642"/>
      <c r="CI141" s="1642"/>
      <c r="CJ141" s="1641"/>
      <c r="CK141" s="1642"/>
      <c r="CL141" s="1642"/>
      <c r="CM141" s="1681"/>
      <c r="CN141" s="1672"/>
      <c r="CO141" s="1672"/>
      <c r="CP141" s="1672"/>
      <c r="CQ141" s="1681"/>
      <c r="CR141" s="1672"/>
      <c r="CS141" s="1672"/>
      <c r="CT141" s="1672"/>
      <c r="CU141" s="1681"/>
      <c r="CV141" s="1672"/>
      <c r="CW141" s="1672"/>
      <c r="CX141" s="1672"/>
      <c r="CY141" s="1681"/>
      <c r="CZ141" s="1672"/>
      <c r="DA141" s="1672"/>
      <c r="DB141" s="1672"/>
      <c r="DC141" s="1672"/>
      <c r="DD141" s="1672"/>
      <c r="DE141" s="1672"/>
      <c r="DF141" s="1672"/>
      <c r="DG141" s="1672"/>
      <c r="DH141" s="1672"/>
      <c r="DI141" s="1672"/>
      <c r="DJ141" s="1672"/>
      <c r="DK141" s="1672"/>
      <c r="DL141" s="1672"/>
    </row>
    <row r="142" spans="1:116" ht="12.75" hidden="1" customHeight="1">
      <c r="A142" s="1539" t="s">
        <v>204</v>
      </c>
      <c r="B142" s="1642"/>
      <c r="C142" s="1642"/>
      <c r="D142" s="1642"/>
      <c r="E142" s="1641"/>
      <c r="F142" s="1642"/>
      <c r="G142" s="1642"/>
      <c r="H142" s="1642"/>
      <c r="I142" s="1642"/>
      <c r="J142" s="1642"/>
      <c r="K142" s="1681"/>
      <c r="L142" s="1642"/>
      <c r="M142" s="1642"/>
      <c r="N142" s="1642"/>
      <c r="O142" s="1642"/>
      <c r="P142" s="1642"/>
      <c r="Q142" s="1642"/>
      <c r="R142" s="1642"/>
      <c r="S142" s="1642"/>
      <c r="T142" s="1642"/>
      <c r="U142" s="1642"/>
      <c r="V142" s="1642"/>
      <c r="W142" s="1642"/>
      <c r="X142" s="1642"/>
      <c r="Y142" s="1642"/>
      <c r="Z142" s="1642"/>
      <c r="AA142" s="1642"/>
      <c r="AB142" s="1642"/>
      <c r="AC142" s="1642"/>
      <c r="AD142" s="1642"/>
      <c r="AE142" s="1642"/>
      <c r="AF142" s="1641"/>
      <c r="AG142" s="1642"/>
      <c r="AH142" s="1642"/>
      <c r="AI142" s="1642"/>
      <c r="AJ142" s="1641"/>
      <c r="AK142" s="1642"/>
      <c r="AL142" s="1642"/>
      <c r="AM142" s="1642"/>
      <c r="AN142" s="1641"/>
      <c r="AO142" s="1642"/>
      <c r="AP142" s="1642"/>
      <c r="AQ142" s="1642"/>
      <c r="AR142" s="1641"/>
      <c r="AS142" s="1642"/>
      <c r="AT142" s="1642"/>
      <c r="AU142" s="1642"/>
      <c r="AV142" s="1641"/>
      <c r="AW142" s="1642"/>
      <c r="AX142" s="1642"/>
      <c r="AY142" s="1642"/>
      <c r="AZ142" s="1641"/>
      <c r="BA142" s="1642"/>
      <c r="BB142" s="1642"/>
      <c r="BC142" s="1642"/>
      <c r="BD142" s="1641"/>
      <c r="BE142" s="1642"/>
      <c r="BF142" s="1642"/>
      <c r="BG142" s="1642"/>
      <c r="BH142" s="1641"/>
      <c r="BI142" s="1642"/>
      <c r="BJ142" s="1642"/>
      <c r="BK142" s="1642"/>
      <c r="BL142" s="1633">
        <v>810</v>
      </c>
      <c r="BM142" s="1634">
        <v>780</v>
      </c>
      <c r="BN142" s="1634">
        <v>767</v>
      </c>
      <c r="BO142" s="1634">
        <v>834</v>
      </c>
      <c r="BP142" s="1633">
        <v>557</v>
      </c>
      <c r="BQ142" s="1634">
        <v>570</v>
      </c>
      <c r="BR142" s="1634">
        <v>536</v>
      </c>
      <c r="BS142" s="1634">
        <v>537</v>
      </c>
      <c r="BT142" s="1633">
        <v>444</v>
      </c>
      <c r="BU142" s="1634">
        <v>429</v>
      </c>
      <c r="BV142" s="1634">
        <v>447</v>
      </c>
      <c r="BW142" s="1634">
        <v>397</v>
      </c>
      <c r="BX142" s="1633">
        <v>372</v>
      </c>
      <c r="BY142" s="1634">
        <v>357</v>
      </c>
      <c r="BZ142" s="1634">
        <v>338</v>
      </c>
      <c r="CA142" s="1634">
        <v>300</v>
      </c>
      <c r="CB142" s="1633"/>
      <c r="CC142" s="1634"/>
      <c r="CD142" s="1634"/>
      <c r="CE142" s="1634"/>
      <c r="CF142" s="1641"/>
      <c r="CG142" s="1642"/>
      <c r="CH142" s="1642"/>
      <c r="CI142" s="1642"/>
      <c r="CJ142" s="1641"/>
      <c r="CK142" s="1642"/>
      <c r="CL142" s="1642"/>
      <c r="CM142" s="1681"/>
      <c r="CN142" s="1672"/>
      <c r="CO142" s="1672"/>
      <c r="CP142" s="1672"/>
      <c r="CQ142" s="1681"/>
      <c r="CR142" s="1672"/>
      <c r="CS142" s="1672"/>
      <c r="CT142" s="1672"/>
      <c r="CU142" s="1681"/>
      <c r="CV142" s="1672"/>
      <c r="CW142" s="1672"/>
      <c r="CX142" s="1672"/>
      <c r="CY142" s="1681"/>
      <c r="CZ142" s="1672"/>
      <c r="DA142" s="1672"/>
      <c r="DB142" s="1672"/>
      <c r="DC142" s="1672"/>
      <c r="DD142" s="1672"/>
      <c r="DE142" s="1672"/>
      <c r="DF142" s="1672"/>
      <c r="DG142" s="1672"/>
      <c r="DH142" s="1672"/>
      <c r="DI142" s="1672"/>
      <c r="DJ142" s="1672"/>
      <c r="DK142" s="1672"/>
      <c r="DL142" s="1672"/>
    </row>
    <row r="143" spans="1:116" ht="12.75" hidden="1" customHeight="1">
      <c r="A143" s="1539" t="s">
        <v>205</v>
      </c>
      <c r="B143" s="1642"/>
      <c r="C143" s="1642"/>
      <c r="D143" s="1642"/>
      <c r="E143" s="1641"/>
      <c r="F143" s="1642"/>
      <c r="G143" s="1642"/>
      <c r="H143" s="1642"/>
      <c r="I143" s="1642"/>
      <c r="J143" s="1642"/>
      <c r="K143" s="1681"/>
      <c r="L143" s="1642"/>
      <c r="M143" s="1642"/>
      <c r="N143" s="1642"/>
      <c r="O143" s="1642"/>
      <c r="P143" s="1642"/>
      <c r="Q143" s="1642"/>
      <c r="R143" s="1642"/>
      <c r="S143" s="1642"/>
      <c r="T143" s="1642"/>
      <c r="U143" s="1642"/>
      <c r="V143" s="1642"/>
      <c r="W143" s="1642"/>
      <c r="X143" s="1642"/>
      <c r="Y143" s="1642"/>
      <c r="Z143" s="1642"/>
      <c r="AA143" s="1642"/>
      <c r="AB143" s="1642"/>
      <c r="AC143" s="1642"/>
      <c r="AD143" s="1642"/>
      <c r="AE143" s="1642"/>
      <c r="AF143" s="1641"/>
      <c r="AG143" s="1642"/>
      <c r="AH143" s="1642"/>
      <c r="AI143" s="1642"/>
      <c r="AJ143" s="1641"/>
      <c r="AK143" s="1642"/>
      <c r="AL143" s="1642"/>
      <c r="AM143" s="1642"/>
      <c r="AN143" s="1641"/>
      <c r="AO143" s="1642"/>
      <c r="AP143" s="1642"/>
      <c r="AQ143" s="1642"/>
      <c r="AR143" s="1641"/>
      <c r="AS143" s="1642"/>
      <c r="AT143" s="1642"/>
      <c r="AU143" s="1642"/>
      <c r="AV143" s="1641"/>
      <c r="AW143" s="1642"/>
      <c r="AX143" s="1642"/>
      <c r="AY143" s="1642"/>
      <c r="AZ143" s="1641"/>
      <c r="BA143" s="1642"/>
      <c r="BB143" s="1642"/>
      <c r="BC143" s="1642"/>
      <c r="BD143" s="1641"/>
      <c r="BE143" s="1642"/>
      <c r="BF143" s="1642"/>
      <c r="BG143" s="1642"/>
      <c r="BH143" s="1641"/>
      <c r="BI143" s="1642"/>
      <c r="BJ143" s="1642"/>
      <c r="BK143" s="1642"/>
      <c r="BL143" s="1641">
        <f t="shared" ref="BL143:CE143" si="195">SUM(BL140:BL142)</f>
        <v>8819</v>
      </c>
      <c r="BM143" s="1642">
        <f t="shared" si="195"/>
        <v>8808</v>
      </c>
      <c r="BN143" s="1642">
        <f t="shared" si="195"/>
        <v>8785</v>
      </c>
      <c r="BO143" s="1642">
        <f t="shared" si="195"/>
        <v>8725</v>
      </c>
      <c r="BP143" s="1641">
        <f t="shared" si="195"/>
        <v>7959</v>
      </c>
      <c r="BQ143" s="1642">
        <f t="shared" si="195"/>
        <v>8020</v>
      </c>
      <c r="BR143" s="1642">
        <f t="shared" si="195"/>
        <v>7971</v>
      </c>
      <c r="BS143" s="1642">
        <f t="shared" si="195"/>
        <v>7809</v>
      </c>
      <c r="BT143" s="1641">
        <f t="shared" si="195"/>
        <v>7699</v>
      </c>
      <c r="BU143" s="1642">
        <f t="shared" si="195"/>
        <v>7752</v>
      </c>
      <c r="BV143" s="1642">
        <f t="shared" si="195"/>
        <v>7743</v>
      </c>
      <c r="BW143" s="1642">
        <f t="shared" si="195"/>
        <v>7586</v>
      </c>
      <c r="BX143" s="1641">
        <f t="shared" si="195"/>
        <v>7508</v>
      </c>
      <c r="BY143" s="1642">
        <f t="shared" si="195"/>
        <v>7499</v>
      </c>
      <c r="BZ143" s="1642">
        <f t="shared" si="195"/>
        <v>7497</v>
      </c>
      <c r="CA143" s="1642">
        <f t="shared" si="195"/>
        <v>7408</v>
      </c>
      <c r="CB143" s="1641">
        <f t="shared" si="195"/>
        <v>0</v>
      </c>
      <c r="CC143" s="1642">
        <f t="shared" si="195"/>
        <v>0</v>
      </c>
      <c r="CD143" s="1642">
        <f t="shared" si="195"/>
        <v>0</v>
      </c>
      <c r="CE143" s="1642">
        <f t="shared" si="195"/>
        <v>0</v>
      </c>
      <c r="CF143" s="1641"/>
      <c r="CG143" s="1642"/>
      <c r="CH143" s="1642"/>
      <c r="CI143" s="1642"/>
      <c r="CJ143" s="1641"/>
      <c r="CK143" s="1642"/>
      <c r="CL143" s="1642"/>
      <c r="CM143" s="1681"/>
      <c r="CN143" s="1672"/>
      <c r="CO143" s="1672"/>
      <c r="CP143" s="1672"/>
      <c r="CQ143" s="1681"/>
      <c r="CR143" s="1672"/>
      <c r="CS143" s="1672"/>
      <c r="CT143" s="1672"/>
      <c r="CU143" s="1681"/>
      <c r="CV143" s="1672"/>
      <c r="CW143" s="1672"/>
      <c r="CX143" s="1672"/>
      <c r="CY143" s="1681"/>
      <c r="CZ143" s="1672"/>
      <c r="DA143" s="1672"/>
      <c r="DB143" s="1672"/>
      <c r="DC143" s="1672"/>
      <c r="DD143" s="1672"/>
      <c r="DE143" s="1672"/>
      <c r="DF143" s="1672"/>
      <c r="DG143" s="1672"/>
      <c r="DH143" s="1672"/>
      <c r="DI143" s="1672"/>
      <c r="DJ143" s="1672"/>
      <c r="DK143" s="1672"/>
      <c r="DL143" s="1672"/>
    </row>
    <row r="144" spans="1:116" ht="12.75" hidden="1" customHeight="1">
      <c r="A144" s="1539"/>
      <c r="B144" s="1642"/>
      <c r="C144" s="1642"/>
      <c r="D144" s="1642"/>
      <c r="E144" s="1641"/>
      <c r="F144" s="1642"/>
      <c r="G144" s="1642"/>
      <c r="H144" s="1642"/>
      <c r="I144" s="1642"/>
      <c r="J144" s="1642"/>
      <c r="K144" s="1681"/>
      <c r="L144" s="1642"/>
      <c r="M144" s="1642"/>
      <c r="N144" s="1642"/>
      <c r="O144" s="1642"/>
      <c r="P144" s="1642"/>
      <c r="Q144" s="1642"/>
      <c r="R144" s="1642"/>
      <c r="S144" s="1642"/>
      <c r="T144" s="1642"/>
      <c r="U144" s="1642"/>
      <c r="V144" s="1642"/>
      <c r="W144" s="1642"/>
      <c r="X144" s="1642"/>
      <c r="Y144" s="1642"/>
      <c r="Z144" s="1642"/>
      <c r="AA144" s="1642"/>
      <c r="AB144" s="1642"/>
      <c r="AC144" s="1642"/>
      <c r="AD144" s="1642"/>
      <c r="AE144" s="1642"/>
      <c r="AF144" s="1641"/>
      <c r="AG144" s="1642"/>
      <c r="AH144" s="1642"/>
      <c r="AI144" s="1642"/>
      <c r="AJ144" s="1641"/>
      <c r="AK144" s="1642"/>
      <c r="AL144" s="1642"/>
      <c r="AM144" s="1642"/>
      <c r="AN144" s="1641"/>
      <c r="AO144" s="1642"/>
      <c r="AP144" s="1642"/>
      <c r="AQ144" s="1642"/>
      <c r="AR144" s="1641"/>
      <c r="AS144" s="1642"/>
      <c r="AT144" s="1642"/>
      <c r="AU144" s="1642"/>
      <c r="AV144" s="1641"/>
      <c r="AW144" s="1642"/>
      <c r="AX144" s="1642"/>
      <c r="AY144" s="1642"/>
      <c r="AZ144" s="1641"/>
      <c r="BA144" s="1642"/>
      <c r="BB144" s="1642"/>
      <c r="BC144" s="1642"/>
      <c r="BD144" s="1641"/>
      <c r="BE144" s="1642"/>
      <c r="BF144" s="1642"/>
      <c r="BG144" s="1642"/>
      <c r="BH144" s="1641"/>
      <c r="BI144" s="1642"/>
      <c r="BJ144" s="1642"/>
      <c r="BK144" s="1642"/>
      <c r="BL144" s="1641"/>
      <c r="BM144" s="1642"/>
      <c r="BN144" s="1642"/>
      <c r="BO144" s="1642"/>
      <c r="BP144" s="1633"/>
      <c r="BQ144" s="1634"/>
      <c r="BR144" s="1634"/>
      <c r="BS144" s="1634"/>
      <c r="BT144" s="1633"/>
      <c r="BU144" s="1634"/>
      <c r="BV144" s="1634"/>
      <c r="BW144" s="1634"/>
      <c r="BX144" s="1633"/>
      <c r="BY144" s="1634"/>
      <c r="BZ144" s="1634"/>
      <c r="CA144" s="1642"/>
      <c r="CB144" s="1641"/>
      <c r="CC144" s="1642"/>
      <c r="CD144" s="1642"/>
      <c r="CE144" s="1642"/>
      <c r="CF144" s="1641"/>
      <c r="CG144" s="1642"/>
      <c r="CH144" s="1642"/>
      <c r="CI144" s="1642"/>
      <c r="CJ144" s="1641"/>
      <c r="CK144" s="1642"/>
      <c r="CL144" s="1642"/>
      <c r="CM144" s="1681"/>
      <c r="CN144" s="1672"/>
      <c r="CO144" s="1672"/>
      <c r="CP144" s="1672"/>
      <c r="CQ144" s="1681"/>
      <c r="CR144" s="1672"/>
      <c r="CS144" s="1672"/>
      <c r="CT144" s="1672"/>
      <c r="CU144" s="1681"/>
      <c r="CV144" s="1672"/>
      <c r="CW144" s="1672"/>
      <c r="CX144" s="1672"/>
      <c r="CY144" s="1681"/>
      <c r="CZ144" s="1672"/>
      <c r="DA144" s="1672"/>
      <c r="DB144" s="1672"/>
      <c r="DC144" s="1672"/>
      <c r="DD144" s="1672"/>
      <c r="DE144" s="1672"/>
      <c r="DF144" s="1672"/>
      <c r="DG144" s="1672"/>
      <c r="DH144" s="1672"/>
      <c r="DI144" s="1672"/>
      <c r="DJ144" s="1672"/>
      <c r="DK144" s="1672"/>
      <c r="DL144" s="1672"/>
    </row>
    <row r="145" spans="1:116" ht="12.75" hidden="1" customHeight="1">
      <c r="A145" s="1539" t="s">
        <v>206</v>
      </c>
      <c r="B145" s="1642"/>
      <c r="C145" s="1642"/>
      <c r="D145" s="1642"/>
      <c r="E145" s="1641"/>
      <c r="F145" s="1642"/>
      <c r="G145" s="1642"/>
      <c r="H145" s="1642"/>
      <c r="I145" s="1642"/>
      <c r="J145" s="1642"/>
      <c r="K145" s="1681"/>
      <c r="L145" s="1642"/>
      <c r="M145" s="1642"/>
      <c r="N145" s="1642"/>
      <c r="O145" s="1642"/>
      <c r="P145" s="1642"/>
      <c r="Q145" s="1642"/>
      <c r="R145" s="1642"/>
      <c r="S145" s="1642"/>
      <c r="T145" s="1642"/>
      <c r="U145" s="1642"/>
      <c r="V145" s="1642"/>
      <c r="W145" s="1642"/>
      <c r="X145" s="1642"/>
      <c r="Y145" s="1642"/>
      <c r="Z145" s="1642"/>
      <c r="AA145" s="1642"/>
      <c r="AB145" s="1642"/>
      <c r="AC145" s="1642"/>
      <c r="AD145" s="1642"/>
      <c r="AE145" s="1642"/>
      <c r="AF145" s="1641"/>
      <c r="AG145" s="1642"/>
      <c r="AH145" s="1642"/>
      <c r="AI145" s="1642"/>
      <c r="AJ145" s="1641"/>
      <c r="AK145" s="1642"/>
      <c r="AL145" s="1642"/>
      <c r="AM145" s="1642"/>
      <c r="AN145" s="1641"/>
      <c r="AO145" s="1642"/>
      <c r="AP145" s="1642"/>
      <c r="AQ145" s="1642"/>
      <c r="AR145" s="1641"/>
      <c r="AS145" s="1642"/>
      <c r="AT145" s="1642"/>
      <c r="AU145" s="1642"/>
      <c r="AV145" s="1641"/>
      <c r="AW145" s="1642"/>
      <c r="AX145" s="1642"/>
      <c r="AY145" s="1642"/>
      <c r="AZ145" s="1641"/>
      <c r="BA145" s="1642"/>
      <c r="BB145" s="1642"/>
      <c r="BC145" s="1642"/>
      <c r="BD145" s="1641"/>
      <c r="BE145" s="1642"/>
      <c r="BF145" s="1642"/>
      <c r="BG145" s="1642"/>
      <c r="BH145" s="1641"/>
      <c r="BI145" s="1642"/>
      <c r="BJ145" s="1642"/>
      <c r="BK145" s="1642"/>
      <c r="BL145" s="1641"/>
      <c r="BM145" s="1642"/>
      <c r="BN145" s="1642"/>
      <c r="BO145" s="1642"/>
      <c r="BP145" s="1633"/>
      <c r="BQ145" s="1634"/>
      <c r="BR145" s="1634"/>
      <c r="BS145" s="1634"/>
      <c r="BT145" s="1633"/>
      <c r="BU145" s="1634"/>
      <c r="BV145" s="1634"/>
      <c r="BW145" s="1634"/>
      <c r="BX145" s="1633"/>
      <c r="BY145" s="1634"/>
      <c r="BZ145" s="1634"/>
      <c r="CA145" s="1642"/>
      <c r="CB145" s="1641"/>
      <c r="CC145" s="1642"/>
      <c r="CD145" s="1642"/>
      <c r="CE145" s="1642"/>
      <c r="CF145" s="1641"/>
      <c r="CG145" s="1642"/>
      <c r="CH145" s="1642"/>
      <c r="CI145" s="1642"/>
      <c r="CJ145" s="1641"/>
      <c r="CK145" s="1642"/>
      <c r="CL145" s="1642"/>
      <c r="CM145" s="1681"/>
      <c r="CN145" s="1672"/>
      <c r="CO145" s="1672"/>
      <c r="CP145" s="1672"/>
      <c r="CQ145" s="1681"/>
      <c r="CR145" s="1672"/>
      <c r="CS145" s="1672"/>
      <c r="CT145" s="1672"/>
      <c r="CU145" s="1681"/>
      <c r="CV145" s="1672"/>
      <c r="CW145" s="1672"/>
      <c r="CX145" s="1672"/>
      <c r="CY145" s="1681"/>
      <c r="CZ145" s="1672"/>
      <c r="DA145" s="1672"/>
      <c r="DB145" s="1672"/>
      <c r="DC145" s="1672"/>
      <c r="DD145" s="1672"/>
      <c r="DE145" s="1672"/>
      <c r="DF145" s="1672"/>
      <c r="DG145" s="1672"/>
      <c r="DH145" s="1672"/>
      <c r="DI145" s="1672"/>
      <c r="DJ145" s="1672"/>
      <c r="DK145" s="1672"/>
      <c r="DL145" s="1672"/>
    </row>
    <row r="146" spans="1:116" ht="12.75" hidden="1" customHeight="1">
      <c r="A146" s="1539" t="s">
        <v>207</v>
      </c>
      <c r="B146" s="1642"/>
      <c r="C146" s="1642"/>
      <c r="D146" s="1642"/>
      <c r="E146" s="1641"/>
      <c r="F146" s="1642"/>
      <c r="G146" s="1642"/>
      <c r="H146" s="1642"/>
      <c r="I146" s="1642"/>
      <c r="J146" s="1642"/>
      <c r="K146" s="1681"/>
      <c r="L146" s="1642"/>
      <c r="M146" s="1642"/>
      <c r="N146" s="1642"/>
      <c r="O146" s="1642"/>
      <c r="P146" s="1642"/>
      <c r="Q146" s="1642"/>
      <c r="R146" s="1642"/>
      <c r="S146" s="1642"/>
      <c r="T146" s="1642"/>
      <c r="U146" s="1642"/>
      <c r="V146" s="1642"/>
      <c r="W146" s="1642"/>
      <c r="X146" s="1642"/>
      <c r="Y146" s="1642"/>
      <c r="Z146" s="1642"/>
      <c r="AA146" s="1642"/>
      <c r="AB146" s="1642"/>
      <c r="AC146" s="1642"/>
      <c r="AD146" s="1642"/>
      <c r="AE146" s="1642"/>
      <c r="AF146" s="1641"/>
      <c r="AG146" s="1642"/>
      <c r="AH146" s="1642"/>
      <c r="AI146" s="1642"/>
      <c r="AJ146" s="1641"/>
      <c r="AK146" s="1642"/>
      <c r="AL146" s="1642"/>
      <c r="AM146" s="1642"/>
      <c r="AN146" s="1641"/>
      <c r="AO146" s="1642"/>
      <c r="AP146" s="1642"/>
      <c r="AQ146" s="1642"/>
      <c r="AR146" s="1641"/>
      <c r="AS146" s="1642"/>
      <c r="AT146" s="1642"/>
      <c r="AU146" s="1642"/>
      <c r="AV146" s="1641"/>
      <c r="AW146" s="1642"/>
      <c r="AX146" s="1642"/>
      <c r="AY146" s="1642"/>
      <c r="AZ146" s="1641"/>
      <c r="BA146" s="1642"/>
      <c r="BB146" s="1642"/>
      <c r="BC146" s="1642"/>
      <c r="BD146" s="1641"/>
      <c r="BE146" s="1642"/>
      <c r="BF146" s="1642"/>
      <c r="BG146" s="1642"/>
      <c r="BH146" s="1641"/>
      <c r="BI146" s="1642"/>
      <c r="BJ146" s="1642"/>
      <c r="BK146" s="1642"/>
      <c r="BL146" s="1633">
        <v>3695</v>
      </c>
      <c r="BM146" s="1634">
        <v>3699</v>
      </c>
      <c r="BN146" s="1634">
        <v>3617</v>
      </c>
      <c r="BO146" s="1634">
        <v>3569</v>
      </c>
      <c r="BP146" s="1633">
        <v>3454</v>
      </c>
      <c r="BQ146" s="1634">
        <v>3536</v>
      </c>
      <c r="BR146" s="1634">
        <v>3597</v>
      </c>
      <c r="BS146" s="1634">
        <v>3683</v>
      </c>
      <c r="BT146" s="1633">
        <v>3538</v>
      </c>
      <c r="BU146" s="1634">
        <v>3638</v>
      </c>
      <c r="BV146" s="1634">
        <v>3686</v>
      </c>
      <c r="BW146" s="1634">
        <v>3688</v>
      </c>
      <c r="BX146" s="1633">
        <v>3536</v>
      </c>
      <c r="BY146" s="1634">
        <v>3613</v>
      </c>
      <c r="BZ146" s="1634">
        <v>3655</v>
      </c>
      <c r="CA146" s="1634">
        <v>3607</v>
      </c>
      <c r="CB146" s="1633"/>
      <c r="CC146" s="1634"/>
      <c r="CD146" s="1634"/>
      <c r="CE146" s="1634"/>
      <c r="CF146" s="1641"/>
      <c r="CG146" s="1642"/>
      <c r="CH146" s="1642"/>
      <c r="CI146" s="1642"/>
      <c r="CJ146" s="1641"/>
      <c r="CK146" s="1642"/>
      <c r="CL146" s="1642"/>
      <c r="CM146" s="1681"/>
      <c r="CN146" s="1672"/>
      <c r="CO146" s="1672"/>
      <c r="CP146" s="1672"/>
      <c r="CQ146" s="1681"/>
      <c r="CR146" s="1672"/>
      <c r="CS146" s="1672"/>
      <c r="CT146" s="1672"/>
      <c r="CU146" s="1681"/>
      <c r="CV146" s="1672"/>
      <c r="CW146" s="1672"/>
      <c r="CX146" s="1672"/>
      <c r="CY146" s="1681"/>
      <c r="CZ146" s="1672"/>
      <c r="DA146" s="1672"/>
      <c r="DB146" s="1672"/>
      <c r="DC146" s="1672"/>
      <c r="DD146" s="1672"/>
      <c r="DE146" s="1672"/>
      <c r="DF146" s="1672"/>
      <c r="DG146" s="1672"/>
      <c r="DH146" s="1672"/>
      <c r="DI146" s="1672"/>
      <c r="DJ146" s="1672"/>
      <c r="DK146" s="1672"/>
      <c r="DL146" s="1672"/>
    </row>
    <row r="147" spans="1:116" ht="12.75" hidden="1" customHeight="1">
      <c r="A147" s="1539" t="s">
        <v>203</v>
      </c>
      <c r="B147" s="1642"/>
      <c r="C147" s="1642"/>
      <c r="D147" s="1642"/>
      <c r="E147" s="1641"/>
      <c r="F147" s="1642"/>
      <c r="G147" s="1642"/>
      <c r="H147" s="1642"/>
      <c r="I147" s="1642"/>
      <c r="J147" s="1642"/>
      <c r="K147" s="1681"/>
      <c r="L147" s="1642"/>
      <c r="M147" s="1642"/>
      <c r="N147" s="1642"/>
      <c r="O147" s="1642"/>
      <c r="P147" s="1642"/>
      <c r="Q147" s="1642"/>
      <c r="R147" s="1642"/>
      <c r="S147" s="1642"/>
      <c r="T147" s="1642"/>
      <c r="U147" s="1642"/>
      <c r="V147" s="1642"/>
      <c r="W147" s="1642"/>
      <c r="X147" s="1642"/>
      <c r="Y147" s="1642"/>
      <c r="Z147" s="1642"/>
      <c r="AA147" s="1642"/>
      <c r="AB147" s="1642"/>
      <c r="AC147" s="1642"/>
      <c r="AD147" s="1642"/>
      <c r="AE147" s="1642"/>
      <c r="AF147" s="1641"/>
      <c r="AG147" s="1642"/>
      <c r="AH147" s="1642"/>
      <c r="AI147" s="1642"/>
      <c r="AJ147" s="1641"/>
      <c r="AK147" s="1642"/>
      <c r="AL147" s="1642"/>
      <c r="AM147" s="1642"/>
      <c r="AN147" s="1641"/>
      <c r="AO147" s="1642"/>
      <c r="AP147" s="1642"/>
      <c r="AQ147" s="1642"/>
      <c r="AR147" s="1641"/>
      <c r="AS147" s="1642"/>
      <c r="AT147" s="1642"/>
      <c r="AU147" s="1642"/>
      <c r="AV147" s="1641"/>
      <c r="AW147" s="1642"/>
      <c r="AX147" s="1642"/>
      <c r="AY147" s="1642"/>
      <c r="AZ147" s="1641"/>
      <c r="BA147" s="1642"/>
      <c r="BB147" s="1642"/>
      <c r="BC147" s="1642"/>
      <c r="BD147" s="1641"/>
      <c r="BE147" s="1642"/>
      <c r="BF147" s="1642"/>
      <c r="BG147" s="1642"/>
      <c r="BH147" s="1641"/>
      <c r="BI147" s="1642"/>
      <c r="BJ147" s="1642"/>
      <c r="BK147" s="1642"/>
      <c r="BL147" s="1633">
        <v>879</v>
      </c>
      <c r="BM147" s="1634">
        <v>908</v>
      </c>
      <c r="BN147" s="1634">
        <v>916</v>
      </c>
      <c r="BO147" s="1634">
        <v>878</v>
      </c>
      <c r="BP147" s="1633">
        <v>836</v>
      </c>
      <c r="BQ147" s="1634">
        <v>831</v>
      </c>
      <c r="BR147" s="1634">
        <v>806</v>
      </c>
      <c r="BS147" s="1634">
        <v>840</v>
      </c>
      <c r="BT147" s="1633">
        <v>850</v>
      </c>
      <c r="BU147" s="1634">
        <v>844</v>
      </c>
      <c r="BV147" s="1634">
        <v>836</v>
      </c>
      <c r="BW147" s="1634">
        <v>815</v>
      </c>
      <c r="BX147" s="1633">
        <v>834</v>
      </c>
      <c r="BY147" s="1634">
        <v>846</v>
      </c>
      <c r="BZ147" s="1634">
        <v>851</v>
      </c>
      <c r="CA147" s="1634">
        <v>810</v>
      </c>
      <c r="CB147" s="1633"/>
      <c r="CC147" s="1634"/>
      <c r="CD147" s="1634"/>
      <c r="CE147" s="1634"/>
      <c r="CF147" s="1641"/>
      <c r="CG147" s="1642"/>
      <c r="CH147" s="1642"/>
      <c r="CI147" s="1642"/>
      <c r="CJ147" s="1641"/>
      <c r="CK147" s="1642"/>
      <c r="CL147" s="1642"/>
      <c r="CM147" s="1681"/>
      <c r="CN147" s="1672"/>
      <c r="CO147" s="1672"/>
      <c r="CP147" s="1672"/>
      <c r="CQ147" s="1681"/>
      <c r="CR147" s="1672"/>
      <c r="CS147" s="1672"/>
      <c r="CT147" s="1672"/>
      <c r="CU147" s="1681"/>
      <c r="CV147" s="1672"/>
      <c r="CW147" s="1672"/>
      <c r="CX147" s="1672"/>
      <c r="CY147" s="1681"/>
      <c r="CZ147" s="1672"/>
      <c r="DA147" s="1672"/>
      <c r="DB147" s="1672"/>
      <c r="DC147" s="1672"/>
      <c r="DD147" s="1672"/>
      <c r="DE147" s="1672"/>
      <c r="DF147" s="1672"/>
      <c r="DG147" s="1672"/>
      <c r="DH147" s="1672"/>
      <c r="DI147" s="1672"/>
      <c r="DJ147" s="1672"/>
      <c r="DK147" s="1672"/>
      <c r="DL147" s="1672"/>
    </row>
    <row r="148" spans="1:116" ht="12.75" hidden="1" customHeight="1">
      <c r="A148" s="1539" t="s">
        <v>208</v>
      </c>
      <c r="B148" s="1642"/>
      <c r="C148" s="1642"/>
      <c r="D148" s="1642"/>
      <c r="E148" s="1641"/>
      <c r="F148" s="1642"/>
      <c r="G148" s="1642"/>
      <c r="H148" s="1642"/>
      <c r="I148" s="1642"/>
      <c r="J148" s="1642"/>
      <c r="K148" s="1681"/>
      <c r="L148" s="1642"/>
      <c r="M148" s="1642"/>
      <c r="N148" s="1642"/>
      <c r="O148" s="1642"/>
      <c r="P148" s="1642"/>
      <c r="Q148" s="1642"/>
      <c r="R148" s="1642"/>
      <c r="S148" s="1642"/>
      <c r="T148" s="1642"/>
      <c r="U148" s="1642"/>
      <c r="V148" s="1642"/>
      <c r="W148" s="1642"/>
      <c r="X148" s="1642"/>
      <c r="Y148" s="1642"/>
      <c r="Z148" s="1642"/>
      <c r="AA148" s="1642"/>
      <c r="AB148" s="1642"/>
      <c r="AC148" s="1642"/>
      <c r="AD148" s="1642"/>
      <c r="AE148" s="1642"/>
      <c r="AF148" s="1641"/>
      <c r="AG148" s="1642"/>
      <c r="AH148" s="1642"/>
      <c r="AI148" s="1642"/>
      <c r="AJ148" s="1641"/>
      <c r="AK148" s="1642"/>
      <c r="AL148" s="1642"/>
      <c r="AM148" s="1642"/>
      <c r="AN148" s="1641"/>
      <c r="AO148" s="1642"/>
      <c r="AP148" s="1642"/>
      <c r="AQ148" s="1642"/>
      <c r="AR148" s="1641"/>
      <c r="AS148" s="1642"/>
      <c r="AT148" s="1642"/>
      <c r="AU148" s="1642"/>
      <c r="AV148" s="1641"/>
      <c r="AW148" s="1642"/>
      <c r="AX148" s="1642"/>
      <c r="AY148" s="1642"/>
      <c r="AZ148" s="1641"/>
      <c r="BA148" s="1642"/>
      <c r="BB148" s="1642"/>
      <c r="BC148" s="1642"/>
      <c r="BD148" s="1641"/>
      <c r="BE148" s="1642"/>
      <c r="BF148" s="1642"/>
      <c r="BG148" s="1642"/>
      <c r="BH148" s="1641"/>
      <c r="BI148" s="1642"/>
      <c r="BJ148" s="1642"/>
      <c r="BK148" s="1642"/>
      <c r="BL148" s="1633">
        <v>955</v>
      </c>
      <c r="BM148" s="1634">
        <v>919</v>
      </c>
      <c r="BN148" s="1634">
        <v>817</v>
      </c>
      <c r="BO148" s="1634">
        <v>802</v>
      </c>
      <c r="BP148" s="1633">
        <v>779</v>
      </c>
      <c r="BQ148" s="1634">
        <v>779</v>
      </c>
      <c r="BR148" s="1634">
        <v>793</v>
      </c>
      <c r="BS148" s="1634">
        <v>792</v>
      </c>
      <c r="BT148" s="1633">
        <v>798</v>
      </c>
      <c r="BU148" s="1634">
        <v>789</v>
      </c>
      <c r="BV148" s="1634">
        <v>789</v>
      </c>
      <c r="BW148" s="1634">
        <v>838</v>
      </c>
      <c r="BX148" s="1633">
        <v>844</v>
      </c>
      <c r="BY148" s="1634">
        <v>859</v>
      </c>
      <c r="BZ148" s="1634">
        <v>871</v>
      </c>
      <c r="CA148" s="1634">
        <v>800</v>
      </c>
      <c r="CB148" s="1633"/>
      <c r="CC148" s="1634"/>
      <c r="CD148" s="1634"/>
      <c r="CE148" s="1634"/>
      <c r="CF148" s="1641"/>
      <c r="CG148" s="1642"/>
      <c r="CH148" s="1642"/>
      <c r="CI148" s="1642"/>
      <c r="CJ148" s="1641"/>
      <c r="CK148" s="1642"/>
      <c r="CL148" s="1642"/>
      <c r="CM148" s="1681"/>
      <c r="CN148" s="1672"/>
      <c r="CO148" s="1672"/>
      <c r="CP148" s="1672"/>
      <c r="CQ148" s="1681"/>
      <c r="CR148" s="1672"/>
      <c r="CS148" s="1672"/>
      <c r="CT148" s="1672"/>
      <c r="CU148" s="1681"/>
      <c r="CV148" s="1672"/>
      <c r="CW148" s="1672"/>
      <c r="CX148" s="1672"/>
      <c r="CY148" s="1681"/>
      <c r="CZ148" s="1672"/>
      <c r="DA148" s="1672"/>
      <c r="DB148" s="1672"/>
      <c r="DC148" s="1672"/>
      <c r="DD148" s="1672"/>
      <c r="DE148" s="1672"/>
      <c r="DF148" s="1672"/>
      <c r="DG148" s="1672"/>
      <c r="DH148" s="1672"/>
      <c r="DI148" s="1672"/>
      <c r="DJ148" s="1672"/>
      <c r="DK148" s="1672"/>
      <c r="DL148" s="1672"/>
    </row>
    <row r="149" spans="1:116" ht="12.75" hidden="1" customHeight="1">
      <c r="A149" s="1539" t="s">
        <v>205</v>
      </c>
      <c r="B149" s="1642"/>
      <c r="C149" s="1642"/>
      <c r="D149" s="1642"/>
      <c r="E149" s="1641"/>
      <c r="F149" s="1642"/>
      <c r="G149" s="1642"/>
      <c r="H149" s="1642"/>
      <c r="I149" s="1642"/>
      <c r="J149" s="1642"/>
      <c r="K149" s="1681"/>
      <c r="L149" s="1642"/>
      <c r="M149" s="1642"/>
      <c r="N149" s="1642"/>
      <c r="O149" s="1642"/>
      <c r="P149" s="1642"/>
      <c r="Q149" s="1642"/>
      <c r="R149" s="1642"/>
      <c r="S149" s="1642"/>
      <c r="T149" s="1642"/>
      <c r="U149" s="1642"/>
      <c r="V149" s="1642"/>
      <c r="W149" s="1642"/>
      <c r="X149" s="1642"/>
      <c r="Y149" s="1642"/>
      <c r="Z149" s="1642"/>
      <c r="AA149" s="1642"/>
      <c r="AB149" s="1642"/>
      <c r="AC149" s="1642"/>
      <c r="AD149" s="1642"/>
      <c r="AE149" s="1642"/>
      <c r="AF149" s="1641"/>
      <c r="AG149" s="1642"/>
      <c r="AH149" s="1642"/>
      <c r="AI149" s="1642"/>
      <c r="AJ149" s="1641"/>
      <c r="AK149" s="1642"/>
      <c r="AL149" s="1642"/>
      <c r="AM149" s="1642"/>
      <c r="AN149" s="1641"/>
      <c r="AO149" s="1642"/>
      <c r="AP149" s="1642"/>
      <c r="AQ149" s="1642"/>
      <c r="AR149" s="1641"/>
      <c r="AS149" s="1642"/>
      <c r="AT149" s="1642"/>
      <c r="AU149" s="1642"/>
      <c r="AV149" s="1641"/>
      <c r="AW149" s="1642"/>
      <c r="AX149" s="1642"/>
      <c r="AY149" s="1642"/>
      <c r="AZ149" s="1641"/>
      <c r="BA149" s="1642"/>
      <c r="BB149" s="1642"/>
      <c r="BC149" s="1642"/>
      <c r="BD149" s="1641"/>
      <c r="BE149" s="1642"/>
      <c r="BF149" s="1642"/>
      <c r="BG149" s="1642"/>
      <c r="BH149" s="1641"/>
      <c r="BI149" s="1642"/>
      <c r="BJ149" s="1642"/>
      <c r="BK149" s="1642"/>
      <c r="BL149" s="1641">
        <f t="shared" ref="BL149:CE149" si="196">SUM(BL146:BL148)</f>
        <v>5529</v>
      </c>
      <c r="BM149" s="1642">
        <f t="shared" si="196"/>
        <v>5526</v>
      </c>
      <c r="BN149" s="1642">
        <f t="shared" si="196"/>
        <v>5350</v>
      </c>
      <c r="BO149" s="1642">
        <f t="shared" si="196"/>
        <v>5249</v>
      </c>
      <c r="BP149" s="1641">
        <f t="shared" si="196"/>
        <v>5069</v>
      </c>
      <c r="BQ149" s="1642">
        <f t="shared" si="196"/>
        <v>5146</v>
      </c>
      <c r="BR149" s="1642">
        <f t="shared" si="196"/>
        <v>5196</v>
      </c>
      <c r="BS149" s="1642">
        <f t="shared" si="196"/>
        <v>5315</v>
      </c>
      <c r="BT149" s="1641">
        <f t="shared" si="196"/>
        <v>5186</v>
      </c>
      <c r="BU149" s="1642">
        <f t="shared" si="196"/>
        <v>5271</v>
      </c>
      <c r="BV149" s="1642">
        <f t="shared" si="196"/>
        <v>5311</v>
      </c>
      <c r="BW149" s="1642">
        <f t="shared" si="196"/>
        <v>5341</v>
      </c>
      <c r="BX149" s="1641">
        <f t="shared" si="196"/>
        <v>5214</v>
      </c>
      <c r="BY149" s="1642">
        <f t="shared" si="196"/>
        <v>5318</v>
      </c>
      <c r="BZ149" s="1642">
        <f t="shared" si="196"/>
        <v>5377</v>
      </c>
      <c r="CA149" s="1642">
        <f t="shared" si="196"/>
        <v>5217</v>
      </c>
      <c r="CB149" s="1641">
        <f t="shared" si="196"/>
        <v>0</v>
      </c>
      <c r="CC149" s="1642">
        <f t="shared" si="196"/>
        <v>0</v>
      </c>
      <c r="CD149" s="1642">
        <f t="shared" si="196"/>
        <v>0</v>
      </c>
      <c r="CE149" s="1642">
        <f t="shared" si="196"/>
        <v>0</v>
      </c>
      <c r="CF149" s="1641"/>
      <c r="CG149" s="1642"/>
      <c r="CH149" s="1642"/>
      <c r="CI149" s="1642"/>
      <c r="CJ149" s="1641"/>
      <c r="CK149" s="1642"/>
      <c r="CL149" s="1642"/>
      <c r="CM149" s="1681"/>
      <c r="CN149" s="1672"/>
      <c r="CO149" s="1672"/>
      <c r="CP149" s="1672"/>
      <c r="CQ149" s="1681"/>
      <c r="CR149" s="1672"/>
      <c r="CS149" s="1672"/>
      <c r="CT149" s="1672"/>
      <c r="CU149" s="1681"/>
      <c r="CV149" s="1672"/>
      <c r="CW149" s="1672"/>
      <c r="CX149" s="1672"/>
      <c r="CY149" s="1681"/>
      <c r="CZ149" s="1672"/>
      <c r="DA149" s="1672"/>
      <c r="DB149" s="1672"/>
      <c r="DC149" s="1672"/>
      <c r="DD149" s="1672"/>
      <c r="DE149" s="1672"/>
      <c r="DF149" s="1672"/>
      <c r="DG149" s="1672"/>
      <c r="DH149" s="1672"/>
      <c r="DI149" s="1672"/>
      <c r="DJ149" s="1672"/>
      <c r="DK149" s="1672"/>
      <c r="DL149" s="1672"/>
    </row>
    <row r="150" spans="1:116" ht="12.75" hidden="1" customHeight="1">
      <c r="A150" s="1539" t="s">
        <v>210</v>
      </c>
      <c r="B150" s="1642"/>
      <c r="C150" s="1642"/>
      <c r="D150" s="1642"/>
      <c r="E150" s="1641"/>
      <c r="F150" s="1642"/>
      <c r="G150" s="1642"/>
      <c r="H150" s="1642"/>
      <c r="I150" s="1642"/>
      <c r="J150" s="1642"/>
      <c r="K150" s="1681"/>
      <c r="L150" s="1642"/>
      <c r="M150" s="1642"/>
      <c r="N150" s="1642"/>
      <c r="O150" s="1642"/>
      <c r="P150" s="1642"/>
      <c r="Q150" s="1642"/>
      <c r="R150" s="1642"/>
      <c r="S150" s="1642"/>
      <c r="T150" s="1642"/>
      <c r="U150" s="1642"/>
      <c r="V150" s="1642"/>
      <c r="W150" s="1642"/>
      <c r="X150" s="1642"/>
      <c r="Y150" s="1642"/>
      <c r="Z150" s="1642"/>
      <c r="AA150" s="1642"/>
      <c r="AB150" s="1642"/>
      <c r="AC150" s="1642"/>
      <c r="AD150" s="1642"/>
      <c r="AE150" s="1642"/>
      <c r="AF150" s="1641"/>
      <c r="AG150" s="1642"/>
      <c r="AH150" s="1642"/>
      <c r="AI150" s="1642"/>
      <c r="AJ150" s="1641"/>
      <c r="AK150" s="1642"/>
      <c r="AL150" s="1642"/>
      <c r="AM150" s="1642"/>
      <c r="AN150" s="1641"/>
      <c r="AO150" s="1642"/>
      <c r="AP150" s="1642"/>
      <c r="AQ150" s="1642"/>
      <c r="AR150" s="1641"/>
      <c r="AS150" s="1642"/>
      <c r="AT150" s="1642"/>
      <c r="AU150" s="1642"/>
      <c r="AV150" s="1641"/>
      <c r="AW150" s="1642"/>
      <c r="AX150" s="1642"/>
      <c r="AY150" s="1642"/>
      <c r="AZ150" s="1641"/>
      <c r="BA150" s="1642"/>
      <c r="BB150" s="1642"/>
      <c r="BC150" s="1642"/>
      <c r="BD150" s="1641"/>
      <c r="BE150" s="1642"/>
      <c r="BF150" s="1642"/>
      <c r="BG150" s="1642"/>
      <c r="BH150" s="1641"/>
      <c r="BI150" s="1642"/>
      <c r="BJ150" s="1642"/>
      <c r="BK150" s="1642"/>
      <c r="BL150" s="1641">
        <f t="shared" ref="BL150:BZ150" si="197">BL151-SUM(BL143,BL149)</f>
        <v>-733</v>
      </c>
      <c r="BM150" s="1642">
        <f t="shared" si="197"/>
        <v>-730</v>
      </c>
      <c r="BN150" s="1642">
        <f t="shared" si="197"/>
        <v>-732</v>
      </c>
      <c r="BO150" s="1642">
        <f t="shared" si="197"/>
        <v>-796</v>
      </c>
      <c r="BP150" s="1641">
        <f t="shared" si="197"/>
        <v>-886</v>
      </c>
      <c r="BQ150" s="1642">
        <f t="shared" si="197"/>
        <v>-709</v>
      </c>
      <c r="BR150" s="1642">
        <f t="shared" si="197"/>
        <v>-684</v>
      </c>
      <c r="BS150" s="1642">
        <f t="shared" si="197"/>
        <v>-702</v>
      </c>
      <c r="BT150" s="1641">
        <f t="shared" si="197"/>
        <v>-707</v>
      </c>
      <c r="BU150" s="1642">
        <f t="shared" si="197"/>
        <v>-693</v>
      </c>
      <c r="BV150" s="1642">
        <f t="shared" si="197"/>
        <v>-682</v>
      </c>
      <c r="BW150" s="1642">
        <f t="shared" si="197"/>
        <v>-678</v>
      </c>
      <c r="BX150" s="1641">
        <f t="shared" si="197"/>
        <v>-696</v>
      </c>
      <c r="BY150" s="1642">
        <f t="shared" si="197"/>
        <v>-704</v>
      </c>
      <c r="BZ150" s="1642">
        <f t="shared" si="197"/>
        <v>-716</v>
      </c>
      <c r="CA150" s="1642">
        <v>-708</v>
      </c>
      <c r="CB150" s="1641">
        <v>-708</v>
      </c>
      <c r="CC150" s="1642">
        <v>-708</v>
      </c>
      <c r="CD150" s="1642">
        <v>-708</v>
      </c>
      <c r="CE150" s="1642">
        <v>-708</v>
      </c>
      <c r="CF150" s="1641"/>
      <c r="CG150" s="1642"/>
      <c r="CH150" s="1642"/>
      <c r="CI150" s="1642"/>
      <c r="CJ150" s="1641"/>
      <c r="CK150" s="1642"/>
      <c r="CL150" s="1642"/>
      <c r="CM150" s="1681"/>
      <c r="CN150" s="1672"/>
      <c r="CO150" s="1672"/>
      <c r="CP150" s="1672"/>
      <c r="CQ150" s="1681"/>
      <c r="CR150" s="1672"/>
      <c r="CS150" s="1672"/>
      <c r="CT150" s="1672"/>
      <c r="CU150" s="1681"/>
      <c r="CV150" s="1672"/>
      <c r="CW150" s="1672"/>
      <c r="CX150" s="1672"/>
      <c r="CY150" s="1681"/>
      <c r="CZ150" s="1672"/>
      <c r="DA150" s="1672"/>
      <c r="DB150" s="1672"/>
      <c r="DC150" s="1672"/>
      <c r="DD150" s="1672"/>
      <c r="DE150" s="1672"/>
      <c r="DF150" s="1672"/>
      <c r="DG150" s="1672"/>
      <c r="DH150" s="1672"/>
      <c r="DI150" s="1672"/>
      <c r="DJ150" s="1672"/>
      <c r="DK150" s="1672"/>
      <c r="DL150" s="1672"/>
    </row>
    <row r="151" spans="1:116" ht="12.75" hidden="1" customHeight="1">
      <c r="A151" s="1539" t="s">
        <v>211</v>
      </c>
      <c r="B151" s="1642"/>
      <c r="C151" s="1642"/>
      <c r="D151" s="1642"/>
      <c r="E151" s="1641"/>
      <c r="F151" s="1642"/>
      <c r="G151" s="1642"/>
      <c r="H151" s="1642"/>
      <c r="I151" s="1642"/>
      <c r="J151" s="1642"/>
      <c r="K151" s="1681"/>
      <c r="L151" s="1642"/>
      <c r="M151" s="1642"/>
      <c r="N151" s="1642"/>
      <c r="O151" s="1642"/>
      <c r="P151" s="1642"/>
      <c r="Q151" s="1642"/>
      <c r="R151" s="1642"/>
      <c r="S151" s="1642"/>
      <c r="T151" s="1642"/>
      <c r="U151" s="1642"/>
      <c r="V151" s="1642"/>
      <c r="W151" s="1642"/>
      <c r="X151" s="1642"/>
      <c r="Y151" s="1642"/>
      <c r="Z151" s="1642"/>
      <c r="AA151" s="1642"/>
      <c r="AB151" s="1642"/>
      <c r="AC151" s="1642"/>
      <c r="AD151" s="1642"/>
      <c r="AE151" s="1642"/>
      <c r="AF151" s="1641"/>
      <c r="AG151" s="1642"/>
      <c r="AH151" s="1642"/>
      <c r="AI151" s="1642"/>
      <c r="AJ151" s="1641"/>
      <c r="AK151" s="1642"/>
      <c r="AL151" s="1642"/>
      <c r="AM151" s="1642"/>
      <c r="AN151" s="1641"/>
      <c r="AO151" s="1642"/>
      <c r="AP151" s="1642"/>
      <c r="AQ151" s="1642"/>
      <c r="AR151" s="1641"/>
      <c r="AS151" s="1642"/>
      <c r="AT151" s="1642"/>
      <c r="AU151" s="1642"/>
      <c r="AV151" s="1641"/>
      <c r="AW151" s="1642"/>
      <c r="AX151" s="1642"/>
      <c r="AY151" s="1642"/>
      <c r="AZ151" s="1641"/>
      <c r="BA151" s="1642"/>
      <c r="BB151" s="1642"/>
      <c r="BC151" s="1642"/>
      <c r="BD151" s="1641"/>
      <c r="BE151" s="1642"/>
      <c r="BF151" s="1642"/>
      <c r="BG151" s="1642"/>
      <c r="BH151" s="1641"/>
      <c r="BI151" s="1642"/>
      <c r="BJ151" s="1642"/>
      <c r="BK151" s="1642"/>
      <c r="BL151" s="1633">
        <v>13615</v>
      </c>
      <c r="BM151" s="1634">
        <v>13604</v>
      </c>
      <c r="BN151" s="1634">
        <v>13403</v>
      </c>
      <c r="BO151" s="1634">
        <v>13178</v>
      </c>
      <c r="BP151" s="1633">
        <v>12142</v>
      </c>
      <c r="BQ151" s="1634">
        <v>12457</v>
      </c>
      <c r="BR151" s="1634">
        <v>12483</v>
      </c>
      <c r="BS151" s="1634">
        <v>12422</v>
      </c>
      <c r="BT151" s="1633">
        <v>12178</v>
      </c>
      <c r="BU151" s="1634">
        <v>12330</v>
      </c>
      <c r="BV151" s="1634">
        <v>12372</v>
      </c>
      <c r="BW151" s="1634">
        <v>12249</v>
      </c>
      <c r="BX151" s="1633">
        <v>12026</v>
      </c>
      <c r="BY151" s="1634">
        <v>12113</v>
      </c>
      <c r="BZ151" s="1634">
        <v>12158</v>
      </c>
      <c r="CA151" s="1634">
        <v>11917</v>
      </c>
      <c r="CB151" s="1633"/>
      <c r="CC151" s="1634"/>
      <c r="CD151" s="1634"/>
      <c r="CE151" s="1634"/>
      <c r="CF151" s="1641"/>
      <c r="CG151" s="1642"/>
      <c r="CH151" s="1642"/>
      <c r="CI151" s="1642"/>
      <c r="CJ151" s="1641"/>
      <c r="CK151" s="1642"/>
      <c r="CL151" s="1642"/>
      <c r="CM151" s="1681"/>
      <c r="CN151" s="1672"/>
      <c r="CO151" s="1672"/>
      <c r="CP151" s="1672"/>
      <c r="CQ151" s="1681"/>
      <c r="CR151" s="1672"/>
      <c r="CS151" s="1672"/>
      <c r="CT151" s="1672"/>
      <c r="CU151" s="1681"/>
      <c r="CV151" s="1672"/>
      <c r="CW151" s="1672"/>
      <c r="CX151" s="1672"/>
      <c r="CY151" s="1681"/>
      <c r="CZ151" s="1672"/>
      <c r="DA151" s="1672"/>
      <c r="DB151" s="1672"/>
      <c r="DC151" s="1672"/>
      <c r="DD151" s="1672"/>
      <c r="DE151" s="1672"/>
      <c r="DF151" s="1672"/>
      <c r="DG151" s="1672"/>
      <c r="DH151" s="1672"/>
      <c r="DI151" s="1672"/>
      <c r="DJ151" s="1672"/>
      <c r="DK151" s="1672"/>
      <c r="DL151" s="1672"/>
    </row>
    <row r="152" spans="1:116" ht="12.75" hidden="1" customHeight="1">
      <c r="A152" s="1539"/>
      <c r="B152" s="1642"/>
      <c r="C152" s="1642"/>
      <c r="D152" s="1642"/>
      <c r="E152" s="1641"/>
      <c r="F152" s="1642"/>
      <c r="G152" s="1642"/>
      <c r="H152" s="1642"/>
      <c r="I152" s="1642"/>
      <c r="J152" s="1642"/>
      <c r="K152" s="1681"/>
      <c r="L152" s="1642"/>
      <c r="M152" s="1642"/>
      <c r="N152" s="1642"/>
      <c r="O152" s="1642"/>
      <c r="P152" s="1642"/>
      <c r="Q152" s="1642"/>
      <c r="R152" s="1642"/>
      <c r="S152" s="1642"/>
      <c r="T152" s="1642"/>
      <c r="U152" s="1642"/>
      <c r="V152" s="1642"/>
      <c r="W152" s="1642"/>
      <c r="X152" s="1642"/>
      <c r="Y152" s="1642"/>
      <c r="Z152" s="1642"/>
      <c r="AA152" s="1642"/>
      <c r="AB152" s="1642"/>
      <c r="AC152" s="1642"/>
      <c r="AD152" s="1642"/>
      <c r="AE152" s="1642"/>
      <c r="AF152" s="1641"/>
      <c r="AG152" s="1642"/>
      <c r="AH152" s="1642"/>
      <c r="AI152" s="1642"/>
      <c r="AJ152" s="1641"/>
      <c r="AK152" s="1642"/>
      <c r="AL152" s="1642"/>
      <c r="AM152" s="1642"/>
      <c r="AN152" s="1641"/>
      <c r="AO152" s="1642"/>
      <c r="AP152" s="1642"/>
      <c r="AQ152" s="1642"/>
      <c r="AR152" s="1641"/>
      <c r="AS152" s="1642"/>
      <c r="AT152" s="1642"/>
      <c r="AU152" s="1642"/>
      <c r="AV152" s="1641"/>
      <c r="AW152" s="1642"/>
      <c r="AX152" s="1642"/>
      <c r="AY152" s="1642"/>
      <c r="AZ152" s="1641"/>
      <c r="BA152" s="1642"/>
      <c r="BB152" s="1642"/>
      <c r="BC152" s="1642"/>
      <c r="BD152" s="1641"/>
      <c r="BE152" s="1642"/>
      <c r="BF152" s="1642"/>
      <c r="BG152" s="1642"/>
      <c r="BH152" s="1641"/>
      <c r="BI152" s="1642"/>
      <c r="BJ152" s="1642"/>
      <c r="BK152" s="1642"/>
      <c r="BL152" s="1641"/>
      <c r="BM152" s="1642"/>
      <c r="BN152" s="1642"/>
      <c r="BO152" s="1642"/>
      <c r="BP152" s="1641"/>
      <c r="BQ152" s="1642"/>
      <c r="BR152" s="1642"/>
      <c r="BS152" s="1642"/>
      <c r="BT152" s="1641"/>
      <c r="BU152" s="1642"/>
      <c r="BV152" s="1642"/>
      <c r="BW152" s="1642"/>
      <c r="BX152" s="1641"/>
      <c r="BY152" s="1642"/>
      <c r="BZ152" s="1642"/>
      <c r="CA152" s="1642"/>
      <c r="CB152" s="1641"/>
      <c r="CC152" s="1642"/>
      <c r="CD152" s="1642"/>
      <c r="CE152" s="1642"/>
      <c r="CF152" s="1641"/>
      <c r="CG152" s="1642"/>
      <c r="CH152" s="1642"/>
      <c r="CI152" s="1642"/>
      <c r="CJ152" s="1641"/>
      <c r="CK152" s="1642"/>
      <c r="CL152" s="1642"/>
      <c r="CM152" s="1681"/>
      <c r="CN152" s="1672"/>
      <c r="CO152" s="1672"/>
      <c r="CP152" s="1672"/>
      <c r="CQ152" s="1681"/>
      <c r="CR152" s="1672"/>
      <c r="CS152" s="1672"/>
      <c r="CT152" s="1672"/>
      <c r="CU152" s="1681"/>
      <c r="CV152" s="1672"/>
      <c r="CW152" s="1672"/>
      <c r="CX152" s="1672"/>
      <c r="CY152" s="1681"/>
      <c r="CZ152" s="1672"/>
      <c r="DA152" s="1672"/>
      <c r="DB152" s="1672"/>
      <c r="DC152" s="1672"/>
      <c r="DD152" s="1672"/>
      <c r="DE152" s="1672"/>
      <c r="DF152" s="1672"/>
      <c r="DG152" s="1672"/>
      <c r="DH152" s="1672"/>
      <c r="DI152" s="1672"/>
      <c r="DJ152" s="1672"/>
      <c r="DK152" s="1672"/>
      <c r="DL152" s="1672"/>
    </row>
    <row r="153" spans="1:116" ht="12.75" hidden="1" customHeight="1" collapsed="1">
      <c r="A153" s="1539"/>
      <c r="B153" s="1642"/>
      <c r="C153" s="1642"/>
      <c r="D153" s="1642"/>
      <c r="E153" s="1641"/>
      <c r="F153" s="1642"/>
      <c r="G153" s="1642"/>
      <c r="H153" s="1642"/>
      <c r="I153" s="1642"/>
      <c r="J153" s="1642"/>
      <c r="K153" s="1681"/>
      <c r="L153" s="1642"/>
      <c r="M153" s="1642"/>
      <c r="N153" s="1642"/>
      <c r="O153" s="1642"/>
      <c r="P153" s="1642"/>
      <c r="Q153" s="1642"/>
      <c r="R153" s="1642"/>
      <c r="S153" s="1642"/>
      <c r="T153" s="1642"/>
      <c r="U153" s="1642"/>
      <c r="V153" s="1642"/>
      <c r="W153" s="1642"/>
      <c r="X153" s="1642"/>
      <c r="Y153" s="1642"/>
      <c r="Z153" s="1642"/>
      <c r="AA153" s="1642"/>
      <c r="AB153" s="1642"/>
      <c r="AC153" s="1642"/>
      <c r="AD153" s="1642"/>
      <c r="AE153" s="1642"/>
      <c r="AF153" s="1641"/>
      <c r="AG153" s="1642"/>
      <c r="AH153" s="1642"/>
      <c r="AI153" s="1642"/>
      <c r="AJ153" s="1641"/>
      <c r="AK153" s="1642"/>
      <c r="AL153" s="1642"/>
      <c r="AM153" s="1642"/>
      <c r="AN153" s="1641"/>
      <c r="AO153" s="1642"/>
      <c r="AP153" s="1642"/>
      <c r="AQ153" s="1642"/>
      <c r="AR153" s="1641"/>
      <c r="AS153" s="1642"/>
      <c r="AT153" s="1642"/>
      <c r="AU153" s="1642"/>
      <c r="AV153" s="1641"/>
      <c r="AW153" s="1642"/>
      <c r="AX153" s="1642"/>
      <c r="AY153" s="1642"/>
      <c r="AZ153" s="1641"/>
      <c r="BA153" s="1642"/>
      <c r="BB153" s="1642"/>
      <c r="BC153" s="1642"/>
      <c r="BD153" s="1641"/>
      <c r="BE153" s="1642"/>
      <c r="BF153" s="1642"/>
      <c r="BG153" s="1642"/>
      <c r="BH153" s="1641"/>
      <c r="BI153" s="1642"/>
      <c r="BJ153" s="1642"/>
      <c r="BK153" s="1642"/>
      <c r="BL153" s="1641"/>
      <c r="BM153" s="1642"/>
      <c r="BN153" s="1642"/>
      <c r="BO153" s="1642"/>
      <c r="BP153" s="1641"/>
      <c r="BQ153" s="1642"/>
      <c r="BR153" s="1642"/>
      <c r="BS153" s="1642"/>
      <c r="BT153" s="1641"/>
      <c r="BU153" s="1642"/>
      <c r="BV153" s="1642"/>
      <c r="BW153" s="1642"/>
      <c r="BX153" s="1650" t="s">
        <v>642</v>
      </c>
      <c r="BY153" s="1651"/>
      <c r="BZ153" s="1651"/>
      <c r="CA153" s="1651"/>
      <c r="CB153" s="1650" t="s">
        <v>614</v>
      </c>
      <c r="CC153" s="1651"/>
      <c r="CD153" s="1651"/>
      <c r="CE153" s="1651"/>
      <c r="CF153" s="1650" t="s">
        <v>643</v>
      </c>
      <c r="CG153" s="1651"/>
      <c r="CH153" s="1651"/>
      <c r="CI153" s="1651"/>
      <c r="CJ153" s="1650"/>
      <c r="CK153" s="1651"/>
      <c r="CL153" s="1651"/>
      <c r="CM153" s="1652"/>
      <c r="CN153" s="1653"/>
      <c r="CO153" s="1653" t="s">
        <v>584</v>
      </c>
      <c r="CP153" s="1653"/>
      <c r="CQ153" s="1652"/>
      <c r="CR153" s="1653"/>
      <c r="CS153" s="1653"/>
      <c r="CT153" s="1653"/>
      <c r="CU153" s="1652"/>
      <c r="CV153" s="1653"/>
      <c r="CW153" s="1653"/>
      <c r="CX153" s="1653"/>
      <c r="CY153" s="1652"/>
      <c r="CZ153" s="1653"/>
      <c r="DA153" s="1653"/>
      <c r="DB153" s="1653"/>
      <c r="DC153" s="1653"/>
      <c r="DD153" s="1653"/>
      <c r="DE153" s="2966"/>
      <c r="DF153" s="2989"/>
      <c r="DG153" s="3027"/>
      <c r="DH153" s="3062"/>
      <c r="DI153" s="3161"/>
      <c r="DJ153" s="3241"/>
      <c r="DK153" s="3286"/>
      <c r="DL153" s="3317"/>
    </row>
    <row r="154" spans="1:116" ht="12.75" customHeight="1">
      <c r="A154" s="3091" t="s">
        <v>1677</v>
      </c>
      <c r="B154" s="1642"/>
      <c r="C154" s="1642"/>
      <c r="D154" s="1642"/>
      <c r="E154" s="1641"/>
      <c r="F154" s="1642"/>
      <c r="G154" s="1642"/>
      <c r="H154" s="1642"/>
      <c r="I154" s="1642"/>
      <c r="J154" s="1642"/>
      <c r="K154" s="1681"/>
      <c r="L154" s="1642"/>
      <c r="M154" s="1642"/>
      <c r="N154" s="1642"/>
      <c r="O154" s="1642"/>
      <c r="P154" s="1642"/>
      <c r="Q154" s="1642"/>
      <c r="R154" s="1642"/>
      <c r="S154" s="1642"/>
      <c r="T154" s="1642"/>
      <c r="U154" s="1642"/>
      <c r="V154" s="1642"/>
      <c r="W154" s="1642"/>
      <c r="X154" s="1642"/>
      <c r="Y154" s="1642"/>
      <c r="Z154" s="1642"/>
      <c r="AA154" s="1642"/>
      <c r="AB154" s="1642"/>
      <c r="AC154" s="1642"/>
      <c r="AD154" s="1642"/>
      <c r="AE154" s="1642"/>
      <c r="AF154" s="1641"/>
      <c r="AG154" s="1642"/>
      <c r="AH154" s="1642"/>
      <c r="AI154" s="1642"/>
      <c r="AJ154" s="1641"/>
      <c r="AK154" s="1642"/>
      <c r="AL154" s="1642"/>
      <c r="AM154" s="1642"/>
      <c r="AN154" s="1641"/>
      <c r="AO154" s="1642"/>
      <c r="AP154" s="1642"/>
      <c r="AQ154" s="1642"/>
      <c r="AR154" s="1641"/>
      <c r="AS154" s="1642"/>
      <c r="AT154" s="1642"/>
      <c r="AU154" s="1642"/>
      <c r="AV154" s="1641"/>
      <c r="AW154" s="1642"/>
      <c r="AX154" s="1642"/>
      <c r="AY154" s="1642"/>
      <c r="AZ154" s="1641"/>
      <c r="BA154" s="1642"/>
      <c r="BB154" s="1642"/>
      <c r="BC154" s="1642"/>
      <c r="BD154" s="1641"/>
      <c r="BE154" s="1642"/>
      <c r="BF154" s="1642"/>
      <c r="BG154" s="1642"/>
      <c r="BH154" s="1641"/>
      <c r="BI154" s="1642"/>
      <c r="BJ154" s="1642"/>
      <c r="BK154" s="1642"/>
      <c r="BL154" s="1641"/>
      <c r="BM154" s="1642"/>
      <c r="BN154" s="1642"/>
      <c r="BO154" s="1642"/>
      <c r="BP154" s="1641"/>
      <c r="BQ154" s="1642"/>
      <c r="BR154" s="1642"/>
      <c r="BS154" s="1642"/>
      <c r="BT154" s="1641"/>
      <c r="BU154" s="1642"/>
      <c r="BV154" s="1642"/>
      <c r="BW154" s="1642"/>
      <c r="BX154" s="1650"/>
      <c r="BY154" s="1651"/>
      <c r="BZ154" s="1651"/>
      <c r="CA154" s="1651"/>
      <c r="CB154" s="1633">
        <v>3248</v>
      </c>
      <c r="CC154" s="1634">
        <v>3294</v>
      </c>
      <c r="CD154" s="1634">
        <v>3327</v>
      </c>
      <c r="CE154" s="1634">
        <v>3333</v>
      </c>
      <c r="CF154" s="1633">
        <v>3320</v>
      </c>
      <c r="CG154" s="1634">
        <v>3350</v>
      </c>
      <c r="CH154" s="1634">
        <v>3364</v>
      </c>
      <c r="CI154" s="1634">
        <v>3385</v>
      </c>
      <c r="CJ154" s="1633">
        <v>3383</v>
      </c>
      <c r="CK154" s="1634">
        <v>3394</v>
      </c>
      <c r="CL154" s="1634">
        <v>3400</v>
      </c>
      <c r="CM154" s="1648">
        <v>3429</v>
      </c>
      <c r="CN154" s="1649">
        <v>3441</v>
      </c>
      <c r="CO154" s="1649">
        <v>3504</v>
      </c>
      <c r="CP154" s="1649">
        <v>3580</v>
      </c>
      <c r="CQ154" s="1648">
        <v>3596</v>
      </c>
      <c r="CR154" s="1649">
        <v>3616</v>
      </c>
      <c r="CS154" s="1649">
        <v>3669</v>
      </c>
      <c r="CT154" s="1649">
        <v>3735</v>
      </c>
      <c r="CU154" s="1648">
        <v>3822</v>
      </c>
      <c r="CV154" s="1649">
        <v>3840</v>
      </c>
      <c r="CW154" s="1649">
        <v>3864</v>
      </c>
      <c r="CX154" s="1649">
        <v>3902</v>
      </c>
      <c r="CY154" s="1648">
        <v>3977</v>
      </c>
      <c r="CZ154" s="1649">
        <v>3992</v>
      </c>
      <c r="DA154" s="1649">
        <v>4037</v>
      </c>
      <c r="DB154" s="1649">
        <v>4012</v>
      </c>
      <c r="DC154" s="1649">
        <v>4082</v>
      </c>
      <c r="DD154" s="1649">
        <v>4022</v>
      </c>
      <c r="DE154" s="1649">
        <v>3165</v>
      </c>
      <c r="DF154" s="1649">
        <v>3174</v>
      </c>
      <c r="DG154" s="1649">
        <v>3232</v>
      </c>
      <c r="DH154" s="1649">
        <v>3201</v>
      </c>
      <c r="DI154" s="1649">
        <v>3184</v>
      </c>
      <c r="DJ154" s="1649">
        <v>3204</v>
      </c>
      <c r="DK154" s="1649">
        <v>3188</v>
      </c>
      <c r="DL154" s="1649">
        <v>3150</v>
      </c>
    </row>
    <row r="155" spans="1:116" ht="12.75" customHeight="1">
      <c r="A155" s="3091" t="s">
        <v>1678</v>
      </c>
      <c r="B155" s="1642"/>
      <c r="C155" s="1642"/>
      <c r="D155" s="1642"/>
      <c r="E155" s="1641"/>
      <c r="F155" s="1642"/>
      <c r="G155" s="1642"/>
      <c r="H155" s="1642"/>
      <c r="I155" s="1642"/>
      <c r="J155" s="1642"/>
      <c r="K155" s="1681"/>
      <c r="L155" s="1642"/>
      <c r="M155" s="1642"/>
      <c r="N155" s="1642"/>
      <c r="O155" s="1642"/>
      <c r="P155" s="1642"/>
      <c r="Q155" s="1642"/>
      <c r="R155" s="1642"/>
      <c r="S155" s="1642"/>
      <c r="T155" s="1642"/>
      <c r="U155" s="1642"/>
      <c r="V155" s="1642"/>
      <c r="W155" s="1642"/>
      <c r="X155" s="1642"/>
      <c r="Y155" s="1642"/>
      <c r="Z155" s="1642"/>
      <c r="AA155" s="1642"/>
      <c r="AB155" s="1642"/>
      <c r="AC155" s="1642"/>
      <c r="AD155" s="1642"/>
      <c r="AE155" s="1642"/>
      <c r="AF155" s="1641"/>
      <c r="AG155" s="1642"/>
      <c r="AH155" s="1642"/>
      <c r="AI155" s="1642"/>
      <c r="AJ155" s="1641"/>
      <c r="AK155" s="1642"/>
      <c r="AL155" s="1642"/>
      <c r="AM155" s="1642"/>
      <c r="AN155" s="1641"/>
      <c r="AO155" s="1642"/>
      <c r="AP155" s="1642"/>
      <c r="AQ155" s="1642"/>
      <c r="AR155" s="1641"/>
      <c r="AS155" s="1642"/>
      <c r="AT155" s="1642"/>
      <c r="AU155" s="1642"/>
      <c r="AV155" s="1641"/>
      <c r="AW155" s="1642"/>
      <c r="AX155" s="1642"/>
      <c r="AY155" s="1642"/>
      <c r="AZ155" s="1641"/>
      <c r="BA155" s="1642"/>
      <c r="BB155" s="1642"/>
      <c r="BC155" s="1642"/>
      <c r="BD155" s="1641"/>
      <c r="BE155" s="1642"/>
      <c r="BF155" s="1642"/>
      <c r="BG155" s="1642"/>
      <c r="BH155" s="1641"/>
      <c r="BI155" s="1642"/>
      <c r="BJ155" s="1642"/>
      <c r="BK155" s="1642"/>
      <c r="BL155" s="1641"/>
      <c r="BM155" s="1642"/>
      <c r="BN155" s="1642"/>
      <c r="BO155" s="1642"/>
      <c r="BP155" s="1641"/>
      <c r="BQ155" s="1642"/>
      <c r="BR155" s="1642"/>
      <c r="BS155" s="1642"/>
      <c r="BT155" s="1633"/>
      <c r="BU155" s="1634"/>
      <c r="BV155" s="1634"/>
      <c r="BW155" s="1634"/>
      <c r="BX155" s="1633"/>
      <c r="BY155" s="1634"/>
      <c r="BZ155" s="1634"/>
      <c r="CA155" s="1634"/>
      <c r="CB155" s="1633"/>
      <c r="CC155" s="1634"/>
      <c r="CD155" s="1634"/>
      <c r="CE155" s="1634"/>
      <c r="CF155" s="1633"/>
      <c r="CG155" s="1634"/>
      <c r="CH155" s="1634"/>
      <c r="CI155" s="1634"/>
      <c r="CJ155" s="1633"/>
      <c r="CK155" s="1634"/>
      <c r="CL155" s="1634"/>
      <c r="CM155" s="1648"/>
      <c r="CN155" s="1649"/>
      <c r="CO155" s="1649"/>
      <c r="CP155" s="1649"/>
      <c r="CQ155" s="1648"/>
      <c r="CR155" s="1649"/>
      <c r="CS155" s="1649"/>
      <c r="CT155" s="1649"/>
      <c r="CU155" s="1648"/>
      <c r="CV155" s="1649"/>
      <c r="CW155" s="1649"/>
      <c r="CX155" s="1649"/>
      <c r="CY155" s="1648"/>
      <c r="CZ155" s="1649">
        <v>2571</v>
      </c>
      <c r="DA155" s="1649">
        <v>2534</v>
      </c>
      <c r="DB155" s="1649">
        <v>2515</v>
      </c>
      <c r="DC155" s="1649">
        <v>2534</v>
      </c>
      <c r="DD155" s="1649">
        <v>2501</v>
      </c>
      <c r="DE155" s="1649">
        <v>2454</v>
      </c>
      <c r="DF155" s="1649">
        <v>2445</v>
      </c>
      <c r="DG155" s="1649">
        <v>2442</v>
      </c>
      <c r="DH155" s="1649">
        <v>2466</v>
      </c>
      <c r="DI155" s="1649">
        <v>2388</v>
      </c>
      <c r="DJ155" s="1649">
        <v>2262</v>
      </c>
      <c r="DK155" s="1649">
        <v>2285</v>
      </c>
      <c r="DL155" s="1649">
        <v>2240</v>
      </c>
    </row>
    <row r="156" spans="1:116" ht="12.75" customHeight="1">
      <c r="A156" s="3091" t="s">
        <v>1680</v>
      </c>
      <c r="B156" s="1642"/>
      <c r="C156" s="1642"/>
      <c r="D156" s="1642"/>
      <c r="E156" s="1641"/>
      <c r="F156" s="1642"/>
      <c r="G156" s="1642"/>
      <c r="H156" s="1642"/>
      <c r="I156" s="1642"/>
      <c r="J156" s="1642"/>
      <c r="K156" s="1681"/>
      <c r="L156" s="1642"/>
      <c r="M156" s="1642"/>
      <c r="N156" s="1642"/>
      <c r="O156" s="1642"/>
      <c r="P156" s="1642"/>
      <c r="Q156" s="1642"/>
      <c r="R156" s="1642"/>
      <c r="S156" s="1642"/>
      <c r="T156" s="1642"/>
      <c r="U156" s="1642"/>
      <c r="V156" s="1642"/>
      <c r="W156" s="1642"/>
      <c r="X156" s="1642"/>
      <c r="Y156" s="1642"/>
      <c r="Z156" s="1642"/>
      <c r="AA156" s="1642"/>
      <c r="AB156" s="1642"/>
      <c r="AC156" s="1642"/>
      <c r="AD156" s="1642"/>
      <c r="AE156" s="1642"/>
      <c r="AF156" s="1641"/>
      <c r="AG156" s="1642"/>
      <c r="AH156" s="1642"/>
      <c r="AI156" s="1642"/>
      <c r="AJ156" s="1641"/>
      <c r="AK156" s="1642"/>
      <c r="AL156" s="1642"/>
      <c r="AM156" s="1642"/>
      <c r="AN156" s="1641"/>
      <c r="AO156" s="1642"/>
      <c r="AP156" s="1642"/>
      <c r="AQ156" s="1642"/>
      <c r="AR156" s="1641"/>
      <c r="AS156" s="1642"/>
      <c r="AT156" s="1642"/>
      <c r="AU156" s="1642"/>
      <c r="AV156" s="1641"/>
      <c r="AW156" s="1642"/>
      <c r="AX156" s="1642"/>
      <c r="AY156" s="1642"/>
      <c r="AZ156" s="1641"/>
      <c r="BA156" s="1642"/>
      <c r="BB156" s="1642"/>
      <c r="BC156" s="1642"/>
      <c r="BD156" s="1641"/>
      <c r="BE156" s="1642"/>
      <c r="BF156" s="1642"/>
      <c r="BG156" s="1642"/>
      <c r="BH156" s="1641"/>
      <c r="BI156" s="1642"/>
      <c r="BJ156" s="1642"/>
      <c r="BK156" s="1642"/>
      <c r="BL156" s="1641"/>
      <c r="BM156" s="1642"/>
      <c r="BN156" s="1642"/>
      <c r="BO156" s="1642"/>
      <c r="BP156" s="1641"/>
      <c r="BQ156" s="1642"/>
      <c r="BR156" s="1642"/>
      <c r="BS156" s="1642"/>
      <c r="BT156" s="1633"/>
      <c r="BU156" s="1634"/>
      <c r="BV156" s="1634"/>
      <c r="BW156" s="1634"/>
      <c r="BX156" s="1633"/>
      <c r="BY156" s="1634"/>
      <c r="BZ156" s="1634"/>
      <c r="CA156" s="1634"/>
      <c r="CB156" s="1641"/>
      <c r="CC156" s="1642"/>
      <c r="CD156" s="1642"/>
      <c r="CE156" s="1642"/>
      <c r="CF156" s="1641"/>
      <c r="CG156" s="1642"/>
      <c r="CH156" s="1642"/>
      <c r="CI156" s="1642"/>
      <c r="CJ156" s="1641"/>
      <c r="CK156" s="1642"/>
      <c r="CL156" s="1642"/>
      <c r="CM156" s="1681"/>
      <c r="CN156" s="1672"/>
      <c r="CO156" s="1672"/>
      <c r="CP156" s="1672"/>
      <c r="CQ156" s="1681"/>
      <c r="CR156" s="1672"/>
      <c r="CS156" s="1672"/>
      <c r="CT156" s="1672"/>
      <c r="CU156" s="1681"/>
      <c r="CV156" s="1672"/>
      <c r="CW156" s="1672"/>
      <c r="CX156" s="1672"/>
      <c r="CY156" s="1681"/>
      <c r="CZ156" s="1649">
        <v>1348</v>
      </c>
      <c r="DA156" s="1649">
        <v>1319</v>
      </c>
      <c r="DB156" s="1649">
        <v>1298</v>
      </c>
      <c r="DC156" s="1649">
        <v>1334</v>
      </c>
      <c r="DD156" s="1649">
        <v>1292</v>
      </c>
      <c r="DE156" s="1649">
        <v>1265</v>
      </c>
      <c r="DF156" s="1649">
        <v>1248</v>
      </c>
      <c r="DG156" s="1649">
        <v>1233</v>
      </c>
      <c r="DH156" s="1649">
        <v>1256</v>
      </c>
      <c r="DI156" s="1649">
        <v>1236</v>
      </c>
      <c r="DJ156" s="1649">
        <v>1244</v>
      </c>
      <c r="DK156" s="1649">
        <v>1209</v>
      </c>
      <c r="DL156" s="1649">
        <v>1228</v>
      </c>
    </row>
    <row r="157" spans="1:116" ht="12.75" customHeight="1">
      <c r="A157" s="3091" t="s">
        <v>1681</v>
      </c>
      <c r="B157" s="1642"/>
      <c r="C157" s="1642"/>
      <c r="D157" s="1642"/>
      <c r="E157" s="1641"/>
      <c r="F157" s="1642"/>
      <c r="G157" s="1642"/>
      <c r="H157" s="1642"/>
      <c r="I157" s="1642"/>
      <c r="J157" s="1642"/>
      <c r="K157" s="1681"/>
      <c r="L157" s="1642"/>
      <c r="M157" s="1642"/>
      <c r="N157" s="1642"/>
      <c r="O157" s="1642"/>
      <c r="P157" s="1642"/>
      <c r="Q157" s="1642"/>
      <c r="R157" s="1642"/>
      <c r="S157" s="1642"/>
      <c r="T157" s="1642"/>
      <c r="U157" s="1642"/>
      <c r="V157" s="1642"/>
      <c r="W157" s="1642"/>
      <c r="X157" s="1642"/>
      <c r="Y157" s="1642"/>
      <c r="Z157" s="1642"/>
      <c r="AA157" s="1642"/>
      <c r="AB157" s="1642"/>
      <c r="AC157" s="1642"/>
      <c r="AD157" s="1642"/>
      <c r="AE157" s="1642"/>
      <c r="AF157" s="1641"/>
      <c r="AG157" s="1642"/>
      <c r="AH157" s="1642"/>
      <c r="AI157" s="1642"/>
      <c r="AJ157" s="1641"/>
      <c r="AK157" s="1642"/>
      <c r="AL157" s="1642"/>
      <c r="AM157" s="1642"/>
      <c r="AN157" s="1641"/>
      <c r="AO157" s="1642"/>
      <c r="AP157" s="1642"/>
      <c r="AQ157" s="1642"/>
      <c r="AR157" s="1641"/>
      <c r="AS157" s="1642"/>
      <c r="AT157" s="1642"/>
      <c r="AU157" s="1642"/>
      <c r="AV157" s="1641"/>
      <c r="AW157" s="1642"/>
      <c r="AX157" s="1642"/>
      <c r="AY157" s="1642"/>
      <c r="AZ157" s="1641"/>
      <c r="BA157" s="1642"/>
      <c r="BB157" s="1642"/>
      <c r="BC157" s="1642"/>
      <c r="BD157" s="1641"/>
      <c r="BE157" s="1642"/>
      <c r="BF157" s="1642"/>
      <c r="BG157" s="1642"/>
      <c r="BH157" s="1641"/>
      <c r="BI157" s="1642"/>
      <c r="BJ157" s="1642"/>
      <c r="BK157" s="1642"/>
      <c r="BL157" s="1641"/>
      <c r="BM157" s="1642"/>
      <c r="BN157" s="1642"/>
      <c r="BO157" s="1642"/>
      <c r="BP157" s="1641"/>
      <c r="BQ157" s="1642"/>
      <c r="BR157" s="1642"/>
      <c r="BS157" s="1642"/>
      <c r="BT157" s="1633"/>
      <c r="BU157" s="1634"/>
      <c r="BV157" s="1634"/>
      <c r="BW157" s="1634"/>
      <c r="BX157" s="1633"/>
      <c r="BY157" s="1634"/>
      <c r="BZ157" s="1634"/>
      <c r="CA157" s="1634"/>
      <c r="CB157" s="1633"/>
      <c r="CC157" s="1634"/>
      <c r="CD157" s="1634"/>
      <c r="CE157" s="1634"/>
      <c r="CF157" s="1633"/>
      <c r="CG157" s="1634"/>
      <c r="CH157" s="1634"/>
      <c r="CI157" s="1634"/>
      <c r="CJ157" s="1633"/>
      <c r="CK157" s="1634"/>
      <c r="CL157" s="1634"/>
      <c r="CM157" s="1648"/>
      <c r="CN157" s="1649"/>
      <c r="CO157" s="1649"/>
      <c r="CP157" s="1649"/>
      <c r="CQ157" s="1648"/>
      <c r="CR157" s="1649"/>
      <c r="CS157" s="1649"/>
      <c r="CT157" s="1649"/>
      <c r="CU157" s="1648"/>
      <c r="CV157" s="1649"/>
      <c r="CW157" s="1649"/>
      <c r="CX157" s="1649"/>
      <c r="CY157" s="1648"/>
      <c r="CZ157" s="1649">
        <v>914</v>
      </c>
      <c r="DA157" s="1649">
        <v>906</v>
      </c>
      <c r="DB157" s="1649">
        <v>900</v>
      </c>
      <c r="DC157" s="1649">
        <v>891</v>
      </c>
      <c r="DD157" s="1649">
        <v>870</v>
      </c>
      <c r="DE157" s="1649">
        <v>854</v>
      </c>
      <c r="DF157" s="1649">
        <v>845</v>
      </c>
      <c r="DG157" s="1649">
        <v>833</v>
      </c>
      <c r="DH157" s="1649">
        <v>890</v>
      </c>
      <c r="DI157" s="1649">
        <v>921</v>
      </c>
      <c r="DJ157" s="1649">
        <v>903</v>
      </c>
      <c r="DK157" s="1649">
        <v>885</v>
      </c>
      <c r="DL157" s="1649">
        <v>871</v>
      </c>
    </row>
    <row r="158" spans="1:116" ht="12.75" customHeight="1">
      <c r="A158" s="1643" t="s">
        <v>955</v>
      </c>
      <c r="B158" s="1642"/>
      <c r="C158" s="1642"/>
      <c r="D158" s="1642"/>
      <c r="E158" s="1641"/>
      <c r="F158" s="1642"/>
      <c r="G158" s="1642"/>
      <c r="H158" s="1642"/>
      <c r="I158" s="1642"/>
      <c r="J158" s="1642"/>
      <c r="K158" s="1681"/>
      <c r="L158" s="1642"/>
      <c r="M158" s="1642"/>
      <c r="N158" s="1642"/>
      <c r="O158" s="1642"/>
      <c r="P158" s="1642"/>
      <c r="Q158" s="1642"/>
      <c r="R158" s="1642"/>
      <c r="S158" s="1642"/>
      <c r="T158" s="1642"/>
      <c r="U158" s="1642"/>
      <c r="V158" s="1642"/>
      <c r="W158" s="1642"/>
      <c r="X158" s="1642"/>
      <c r="Y158" s="1642"/>
      <c r="Z158" s="1642"/>
      <c r="AA158" s="1642"/>
      <c r="AB158" s="1642"/>
      <c r="AC158" s="1642"/>
      <c r="AD158" s="1642"/>
      <c r="AE158" s="1642"/>
      <c r="AF158" s="1641"/>
      <c r="AG158" s="1642"/>
      <c r="AH158" s="1642"/>
      <c r="AI158" s="1642"/>
      <c r="AJ158" s="1641"/>
      <c r="AK158" s="1642"/>
      <c r="AL158" s="1642"/>
      <c r="AM158" s="1642"/>
      <c r="AN158" s="1641"/>
      <c r="AO158" s="1642"/>
      <c r="AP158" s="1642"/>
      <c r="AQ158" s="1642"/>
      <c r="AR158" s="1641"/>
      <c r="AS158" s="1642"/>
      <c r="AT158" s="1642"/>
      <c r="AU158" s="1642"/>
      <c r="AV158" s="1641"/>
      <c r="AW158" s="1642"/>
      <c r="AX158" s="1642"/>
      <c r="AY158" s="1642"/>
      <c r="AZ158" s="1641"/>
      <c r="BA158" s="1642"/>
      <c r="BB158" s="1642"/>
      <c r="BC158" s="1642"/>
      <c r="BD158" s="1641"/>
      <c r="BE158" s="1642"/>
      <c r="BF158" s="1642"/>
      <c r="BG158" s="1642"/>
      <c r="BH158" s="1641"/>
      <c r="BI158" s="1642"/>
      <c r="BJ158" s="1642"/>
      <c r="BK158" s="1642"/>
      <c r="BL158" s="1641"/>
      <c r="BM158" s="1642"/>
      <c r="BN158" s="1642"/>
      <c r="BO158" s="1642"/>
      <c r="BP158" s="1641"/>
      <c r="BQ158" s="1642"/>
      <c r="BR158" s="1642"/>
      <c r="BS158" s="1642"/>
      <c r="BT158" s="1633"/>
      <c r="BU158" s="1634"/>
      <c r="BV158" s="1634"/>
      <c r="BW158" s="1634"/>
      <c r="BX158" s="1633"/>
      <c r="BY158" s="1634"/>
      <c r="BZ158" s="1634"/>
      <c r="CA158" s="1634"/>
      <c r="CB158" s="1633"/>
      <c r="CC158" s="1634"/>
      <c r="CD158" s="1634"/>
      <c r="CE158" s="1634"/>
      <c r="CF158" s="1633"/>
      <c r="CG158" s="1634"/>
      <c r="CH158" s="1634"/>
      <c r="CI158" s="1634"/>
      <c r="CJ158" s="1633"/>
      <c r="CK158" s="1634"/>
      <c r="CL158" s="1634"/>
      <c r="CM158" s="1648"/>
      <c r="CN158" s="1649"/>
      <c r="CO158" s="1649"/>
      <c r="CP158" s="1649"/>
      <c r="CQ158" s="1648"/>
      <c r="CR158" s="1649"/>
      <c r="CS158" s="1649"/>
      <c r="CT158" s="1649"/>
      <c r="CU158" s="1648"/>
      <c r="CV158" s="1649"/>
      <c r="CW158" s="1649"/>
      <c r="CX158" s="1649"/>
      <c r="CY158" s="1648"/>
      <c r="CZ158" s="1649">
        <v>89</v>
      </c>
      <c r="DA158" s="1649">
        <v>80</v>
      </c>
      <c r="DB158" s="1649">
        <v>86</v>
      </c>
      <c r="DC158" s="1649">
        <v>79</v>
      </c>
      <c r="DD158" s="1649">
        <v>80</v>
      </c>
      <c r="DE158" s="1649">
        <v>85</v>
      </c>
      <c r="DF158" s="1649">
        <v>75</v>
      </c>
      <c r="DG158" s="1649">
        <v>72</v>
      </c>
      <c r="DH158" s="1649">
        <v>63</v>
      </c>
      <c r="DI158" s="1649">
        <v>73</v>
      </c>
      <c r="DJ158" s="1649">
        <v>49</v>
      </c>
      <c r="DK158" s="1649">
        <v>50</v>
      </c>
      <c r="DL158" s="1649">
        <v>68</v>
      </c>
    </row>
    <row r="159" spans="1:116" s="1785" customFormat="1" ht="12.75" customHeight="1">
      <c r="A159" s="954" t="s">
        <v>956</v>
      </c>
      <c r="B159" s="1693"/>
      <c r="C159" s="1693"/>
      <c r="D159" s="1693"/>
      <c r="E159" s="1694"/>
      <c r="F159" s="1693"/>
      <c r="G159" s="1693"/>
      <c r="H159" s="1693"/>
      <c r="I159" s="1693"/>
      <c r="J159" s="1693"/>
      <c r="K159" s="1695"/>
      <c r="L159" s="1693"/>
      <c r="M159" s="1693"/>
      <c r="N159" s="1693"/>
      <c r="O159" s="1693"/>
      <c r="P159" s="1693"/>
      <c r="Q159" s="1693"/>
      <c r="R159" s="1693"/>
      <c r="S159" s="1693"/>
      <c r="T159" s="1693"/>
      <c r="U159" s="1693"/>
      <c r="V159" s="1693"/>
      <c r="W159" s="1693"/>
      <c r="X159" s="1693"/>
      <c r="Y159" s="1693"/>
      <c r="Z159" s="1693"/>
      <c r="AA159" s="1693"/>
      <c r="AB159" s="1693"/>
      <c r="AC159" s="1693"/>
      <c r="AD159" s="1693"/>
      <c r="AE159" s="1693"/>
      <c r="AF159" s="1694"/>
      <c r="AG159" s="1693"/>
      <c r="AH159" s="1693"/>
      <c r="AI159" s="1693"/>
      <c r="AJ159" s="1694"/>
      <c r="AK159" s="1693"/>
      <c r="AL159" s="1693"/>
      <c r="AM159" s="1693"/>
      <c r="AN159" s="1694"/>
      <c r="AO159" s="1693"/>
      <c r="AP159" s="1693"/>
      <c r="AQ159" s="1693"/>
      <c r="AR159" s="1694"/>
      <c r="AS159" s="1693"/>
      <c r="AT159" s="1693"/>
      <c r="AU159" s="1693"/>
      <c r="AV159" s="1694"/>
      <c r="AW159" s="1693"/>
      <c r="AX159" s="1693"/>
      <c r="AY159" s="1693"/>
      <c r="AZ159" s="1694"/>
      <c r="BA159" s="1693"/>
      <c r="BB159" s="1693"/>
      <c r="BC159" s="1693"/>
      <c r="BD159" s="1694"/>
      <c r="BE159" s="1693"/>
      <c r="BF159" s="1693"/>
      <c r="BG159" s="1693"/>
      <c r="BH159" s="1694"/>
      <c r="BI159" s="1693"/>
      <c r="BJ159" s="1693"/>
      <c r="BK159" s="1693"/>
      <c r="BL159" s="1694"/>
      <c r="BM159" s="1693"/>
      <c r="BN159" s="1693"/>
      <c r="BO159" s="1693"/>
      <c r="BP159" s="1694"/>
      <c r="BQ159" s="1693"/>
      <c r="BR159" s="1693"/>
      <c r="BS159" s="1693"/>
      <c r="BT159" s="1694"/>
      <c r="BU159" s="1693"/>
      <c r="BV159" s="1693"/>
      <c r="BW159" s="1693"/>
      <c r="BX159" s="1694"/>
      <c r="BY159" s="1693"/>
      <c r="BZ159" s="1693"/>
      <c r="CA159" s="1693"/>
      <c r="CB159" s="1694"/>
      <c r="CC159" s="1693"/>
      <c r="CD159" s="1693"/>
      <c r="CE159" s="1693"/>
      <c r="CF159" s="1694"/>
      <c r="CG159" s="1693"/>
      <c r="CH159" s="1693"/>
      <c r="CI159" s="1693"/>
      <c r="CJ159" s="1694"/>
      <c r="CK159" s="1693"/>
      <c r="CL159" s="1693"/>
      <c r="CM159" s="1695"/>
      <c r="CN159" s="1267"/>
      <c r="CO159" s="1267"/>
      <c r="CP159" s="1267"/>
      <c r="CQ159" s="1695"/>
      <c r="CR159" s="1267"/>
      <c r="CS159" s="1267"/>
      <c r="CT159" s="1267"/>
      <c r="CU159" s="1695"/>
      <c r="CV159" s="1267"/>
      <c r="CW159" s="1267"/>
      <c r="CX159" s="1267"/>
      <c r="CY159" s="1695"/>
      <c r="CZ159" s="1267">
        <f>SUM(CZ154:CZ158)</f>
        <v>8914</v>
      </c>
      <c r="DA159" s="1267">
        <f t="shared" ref="DA159:DH159" si="198">SUM(DA154:DA158)</f>
        <v>8876</v>
      </c>
      <c r="DB159" s="1267">
        <f t="shared" si="198"/>
        <v>8811</v>
      </c>
      <c r="DC159" s="1267">
        <f t="shared" si="198"/>
        <v>8920</v>
      </c>
      <c r="DD159" s="1267">
        <f t="shared" si="198"/>
        <v>8765</v>
      </c>
      <c r="DE159" s="1267">
        <f t="shared" si="198"/>
        <v>7823</v>
      </c>
      <c r="DF159" s="1267">
        <f t="shared" si="198"/>
        <v>7787</v>
      </c>
      <c r="DG159" s="1267">
        <f t="shared" si="198"/>
        <v>7812</v>
      </c>
      <c r="DH159" s="1267">
        <f t="shared" si="198"/>
        <v>7876</v>
      </c>
      <c r="DI159" s="1267">
        <f t="shared" ref="DI159:DJ159" si="199">SUM(DI154:DI158)</f>
        <v>7802</v>
      </c>
      <c r="DJ159" s="1267">
        <f t="shared" si="199"/>
        <v>7662</v>
      </c>
      <c r="DK159" s="1267">
        <f t="shared" ref="DK159:DL159" si="200">SUM(DK154:DK158)</f>
        <v>7617</v>
      </c>
      <c r="DL159" s="1267">
        <f t="shared" si="200"/>
        <v>7557</v>
      </c>
    </row>
    <row r="160" spans="1:116">
      <c r="A160" s="1643"/>
      <c r="B160" s="1642"/>
      <c r="C160" s="1642"/>
      <c r="D160" s="1642"/>
      <c r="E160" s="1641"/>
      <c r="F160" s="1642"/>
      <c r="G160" s="1642"/>
      <c r="H160" s="1642"/>
      <c r="I160" s="1642"/>
      <c r="J160" s="1642"/>
      <c r="K160" s="1681"/>
      <c r="L160" s="1642"/>
      <c r="M160" s="1642"/>
      <c r="N160" s="1642"/>
      <c r="O160" s="1642"/>
      <c r="P160" s="1642"/>
      <c r="Q160" s="1642"/>
      <c r="R160" s="1642"/>
      <c r="S160" s="1642"/>
      <c r="T160" s="1642"/>
      <c r="U160" s="1642"/>
      <c r="V160" s="1642"/>
      <c r="W160" s="1642"/>
      <c r="X160" s="1642"/>
      <c r="Y160" s="1642"/>
      <c r="Z160" s="1642"/>
      <c r="AA160" s="1642"/>
      <c r="AB160" s="1642"/>
      <c r="AC160" s="1642"/>
      <c r="AD160" s="1642"/>
      <c r="AE160" s="1642"/>
      <c r="AF160" s="1641"/>
      <c r="AG160" s="1642"/>
      <c r="AH160" s="1642"/>
      <c r="AI160" s="1642"/>
      <c r="AJ160" s="1641"/>
      <c r="AK160" s="1642"/>
      <c r="AL160" s="1642"/>
      <c r="AM160" s="1642"/>
      <c r="AN160" s="1641"/>
      <c r="AO160" s="1642"/>
      <c r="AP160" s="1642"/>
      <c r="AQ160" s="1642"/>
      <c r="AR160" s="1641"/>
      <c r="AS160" s="1642"/>
      <c r="AT160" s="1642"/>
      <c r="AU160" s="1642"/>
      <c r="AV160" s="1641"/>
      <c r="AW160" s="1642"/>
      <c r="AX160" s="1642"/>
      <c r="AY160" s="1642"/>
      <c r="AZ160" s="1641"/>
      <c r="BA160" s="1642"/>
      <c r="BB160" s="1642"/>
      <c r="BC160" s="1642"/>
      <c r="BD160" s="1641"/>
      <c r="BE160" s="1642"/>
      <c r="BF160" s="1642"/>
      <c r="BG160" s="1642"/>
      <c r="BH160" s="1641"/>
      <c r="BI160" s="1642"/>
      <c r="BJ160" s="1642"/>
      <c r="BK160" s="1642"/>
      <c r="BL160" s="1641"/>
      <c r="BM160" s="1642"/>
      <c r="BN160" s="1642"/>
      <c r="BO160" s="1642"/>
      <c r="BP160" s="1641"/>
      <c r="BQ160" s="1642"/>
      <c r="BR160" s="1642"/>
      <c r="BS160" s="1642"/>
      <c r="BT160" s="1641"/>
      <c r="BU160" s="1642"/>
      <c r="BV160" s="1642"/>
      <c r="BW160" s="1642"/>
      <c r="BX160" s="1641"/>
      <c r="BY160" s="1642"/>
      <c r="BZ160" s="1642"/>
      <c r="CA160" s="1642"/>
      <c r="CB160" s="1641"/>
      <c r="CC160" s="1642"/>
      <c r="CD160" s="1642"/>
      <c r="CE160" s="1642"/>
      <c r="CF160" s="1641"/>
      <c r="CG160" s="1642"/>
      <c r="CH160" s="1642"/>
      <c r="CI160" s="1642"/>
      <c r="CJ160" s="1641"/>
      <c r="CK160" s="1642"/>
      <c r="CL160" s="1642"/>
      <c r="CM160" s="1681"/>
      <c r="CN160" s="1672"/>
      <c r="CO160" s="1672"/>
      <c r="CP160" s="1672"/>
      <c r="CQ160" s="1681"/>
      <c r="CR160" s="1672"/>
      <c r="CS160" s="1672"/>
      <c r="CT160" s="1672"/>
      <c r="CU160" s="1681"/>
      <c r="CV160" s="1672"/>
      <c r="CW160" s="1672"/>
      <c r="CX160" s="1672"/>
      <c r="CY160" s="1681"/>
      <c r="CZ160" s="1672"/>
      <c r="DA160" s="1672"/>
      <c r="DB160" s="1672"/>
      <c r="DC160" s="1672"/>
      <c r="DD160" s="1672"/>
      <c r="DE160" s="1672"/>
      <c r="DF160" s="1672"/>
      <c r="DG160" s="1672"/>
      <c r="DH160" s="1672"/>
      <c r="DI160" s="1672"/>
      <c r="DJ160" s="1672"/>
      <c r="DK160" s="1672"/>
      <c r="DL160" s="1672"/>
    </row>
    <row r="161" spans="1:116" hidden="1" outlineLevel="1">
      <c r="A161" s="1539"/>
      <c r="B161" s="1642"/>
      <c r="C161" s="1642"/>
      <c r="D161" s="1642"/>
      <c r="E161" s="1641"/>
      <c r="F161" s="1642"/>
      <c r="G161" s="1642"/>
      <c r="H161" s="1642"/>
      <c r="I161" s="1642"/>
      <c r="J161" s="1642"/>
      <c r="K161" s="1681"/>
      <c r="L161" s="1642"/>
      <c r="M161" s="1642"/>
      <c r="N161" s="1642"/>
      <c r="O161" s="1642"/>
      <c r="P161" s="1642"/>
      <c r="Q161" s="1642"/>
      <c r="R161" s="1642"/>
      <c r="S161" s="1642"/>
      <c r="T161" s="1642"/>
      <c r="U161" s="1642"/>
      <c r="V161" s="1642"/>
      <c r="W161" s="1642"/>
      <c r="X161" s="1642"/>
      <c r="Y161" s="1642"/>
      <c r="Z161" s="1642"/>
      <c r="AA161" s="1642"/>
      <c r="AB161" s="1642"/>
      <c r="AC161" s="1642"/>
      <c r="AD161" s="1642"/>
      <c r="AE161" s="1642"/>
      <c r="AF161" s="1641"/>
      <c r="AG161" s="1642"/>
      <c r="AH161" s="1642"/>
      <c r="AI161" s="1642"/>
      <c r="AJ161" s="1641"/>
      <c r="AK161" s="1642"/>
      <c r="AL161" s="1642"/>
      <c r="AM161" s="1642"/>
      <c r="AN161" s="1641"/>
      <c r="AO161" s="1642"/>
      <c r="AP161" s="1642"/>
      <c r="AQ161" s="1642"/>
      <c r="AR161" s="1641"/>
      <c r="AS161" s="1642"/>
      <c r="AT161" s="1642"/>
      <c r="AU161" s="1642"/>
      <c r="AV161" s="1641"/>
      <c r="AW161" s="1642"/>
      <c r="AX161" s="1642"/>
      <c r="AY161" s="1642"/>
      <c r="AZ161" s="1641"/>
      <c r="BA161" s="1642"/>
      <c r="BB161" s="1642"/>
      <c r="BC161" s="1642"/>
      <c r="BD161" s="1641"/>
      <c r="BE161" s="1642"/>
      <c r="BF161" s="1642"/>
      <c r="BG161" s="1642"/>
      <c r="BH161" s="1641"/>
      <c r="BI161" s="1642"/>
      <c r="BJ161" s="1642"/>
      <c r="BK161" s="1642"/>
      <c r="BL161" s="1641"/>
      <c r="BM161" s="1642"/>
      <c r="BN161" s="1642"/>
      <c r="BO161" s="1642"/>
      <c r="BP161" s="1641"/>
      <c r="BQ161" s="1642"/>
      <c r="BR161" s="1642"/>
      <c r="BS161" s="1642"/>
      <c r="BT161" s="1641"/>
      <c r="BU161" s="1642"/>
      <c r="BV161" s="1642"/>
      <c r="BW161" s="1642"/>
      <c r="BX161" s="1641"/>
      <c r="BY161" s="1642"/>
      <c r="BZ161" s="1642"/>
      <c r="CA161" s="1642"/>
      <c r="CB161" s="1641"/>
      <c r="CC161" s="1642"/>
      <c r="CD161" s="1642"/>
      <c r="CE161" s="1642"/>
      <c r="CF161" s="1641"/>
      <c r="CG161" s="1642"/>
      <c r="CH161" s="1642"/>
      <c r="CI161" s="1642"/>
      <c r="CJ161" s="1641"/>
      <c r="CK161" s="1642"/>
      <c r="CL161" s="1642"/>
      <c r="CM161" s="1681"/>
      <c r="CN161" s="1672"/>
      <c r="CO161" s="1672"/>
      <c r="CP161" s="1672"/>
      <c r="CQ161" s="1681"/>
      <c r="CR161" s="1672"/>
      <c r="CS161" s="1672"/>
      <c r="CT161" s="1672"/>
      <c r="CU161" s="1681"/>
      <c r="CV161" s="1672"/>
      <c r="CW161" s="1672"/>
      <c r="CX161" s="1672"/>
      <c r="CY161" s="1681"/>
      <c r="CZ161" s="1672"/>
      <c r="DA161" s="1672"/>
      <c r="DB161" s="1672"/>
      <c r="DC161" s="1672"/>
      <c r="DD161" s="1672"/>
      <c r="DE161" s="1672"/>
      <c r="DF161" s="1672"/>
      <c r="DG161" s="1672"/>
      <c r="DH161" s="1672"/>
      <c r="DI161" s="1672"/>
      <c r="DJ161" s="1672"/>
      <c r="DK161" s="1672"/>
      <c r="DL161" s="1672"/>
    </row>
    <row r="162" spans="1:116" hidden="1" outlineLevel="1">
      <c r="A162" s="1630" t="s">
        <v>644</v>
      </c>
      <c r="B162" s="1642"/>
      <c r="C162" s="1642"/>
      <c r="D162" s="1642"/>
      <c r="E162" s="1641"/>
      <c r="F162" s="1642"/>
      <c r="G162" s="1642"/>
      <c r="H162" s="1642"/>
      <c r="I162" s="1642"/>
      <c r="J162" s="1642"/>
      <c r="K162" s="1681"/>
      <c r="L162" s="1642"/>
      <c r="M162" s="1642"/>
      <c r="N162" s="1642"/>
      <c r="O162" s="1642"/>
      <c r="P162" s="1642"/>
      <c r="Q162" s="1642"/>
      <c r="R162" s="1642"/>
      <c r="S162" s="1642"/>
      <c r="T162" s="1642"/>
      <c r="U162" s="1642"/>
      <c r="V162" s="1642"/>
      <c r="W162" s="1642"/>
      <c r="X162" s="1642"/>
      <c r="Y162" s="1642"/>
      <c r="Z162" s="1642"/>
      <c r="AA162" s="1642"/>
      <c r="AB162" s="1642"/>
      <c r="AC162" s="1642"/>
      <c r="AD162" s="1642"/>
      <c r="AE162" s="1642"/>
      <c r="AF162" s="1641"/>
      <c r="AG162" s="1642"/>
      <c r="AH162" s="1642"/>
      <c r="AI162" s="1642"/>
      <c r="AJ162" s="1641"/>
      <c r="AK162" s="1642"/>
      <c r="AL162" s="1642"/>
      <c r="AM162" s="1642"/>
      <c r="AN162" s="1641"/>
      <c r="AO162" s="1642"/>
      <c r="AP162" s="1642"/>
      <c r="AQ162" s="1642"/>
      <c r="AR162" s="1641"/>
      <c r="AS162" s="1642"/>
      <c r="AT162" s="1642"/>
      <c r="AU162" s="1642"/>
      <c r="AV162" s="1641"/>
      <c r="AW162" s="1642"/>
      <c r="AX162" s="1642"/>
      <c r="AY162" s="1642"/>
      <c r="AZ162" s="1641"/>
      <c r="BA162" s="1642"/>
      <c r="BB162" s="1642"/>
      <c r="BC162" s="1642"/>
      <c r="BD162" s="1641"/>
      <c r="BE162" s="1642"/>
      <c r="BF162" s="1642"/>
      <c r="BG162" s="1642"/>
      <c r="BH162" s="1641"/>
      <c r="BI162" s="1642"/>
      <c r="BJ162" s="1642"/>
      <c r="BK162" s="1642"/>
      <c r="BL162" s="1641"/>
      <c r="BM162" s="1642"/>
      <c r="BN162" s="1642"/>
      <c r="BO162" s="1642"/>
      <c r="BP162" s="1641"/>
      <c r="BQ162" s="1642"/>
      <c r="BR162" s="1642"/>
      <c r="BS162" s="1642"/>
      <c r="BT162" s="1641"/>
      <c r="BU162" s="1642"/>
      <c r="BV162" s="1642"/>
      <c r="BW162" s="1642"/>
      <c r="BX162" s="1641"/>
      <c r="BY162" s="1642"/>
      <c r="BZ162" s="1642"/>
      <c r="CA162" s="1642"/>
      <c r="CB162" s="1641"/>
      <c r="CC162" s="1642"/>
      <c r="CD162" s="1642"/>
      <c r="CE162" s="1642"/>
      <c r="CF162" s="1641"/>
      <c r="CG162" s="1642"/>
      <c r="CH162" s="1642"/>
      <c r="CI162" s="1642"/>
      <c r="CJ162" s="1641"/>
      <c r="CK162" s="1642"/>
      <c r="CL162" s="1642"/>
      <c r="CM162" s="1681"/>
      <c r="CN162" s="1672"/>
      <c r="CO162" s="1672"/>
      <c r="CP162" s="1672"/>
      <c r="CQ162" s="1681"/>
      <c r="CR162" s="1672"/>
      <c r="CS162" s="1672"/>
      <c r="CT162" s="1672"/>
      <c r="CU162" s="1681"/>
      <c r="CV162" s="1672"/>
      <c r="CW162" s="1672"/>
      <c r="CX162" s="1672"/>
      <c r="CY162" s="1681"/>
      <c r="CZ162" s="1672"/>
      <c r="DA162" s="1672"/>
      <c r="DB162" s="1672"/>
      <c r="DC162" s="1672"/>
      <c r="DD162" s="1672"/>
      <c r="DE162" s="1672"/>
      <c r="DF162" s="1672"/>
      <c r="DG162" s="1672"/>
      <c r="DH162" s="1672"/>
      <c r="DI162" s="1672"/>
      <c r="DJ162" s="1672"/>
      <c r="DK162" s="1672"/>
      <c r="DL162" s="1672"/>
    </row>
    <row r="163" spans="1:116" hidden="1" outlineLevel="1">
      <c r="A163" s="1539" t="s">
        <v>645</v>
      </c>
      <c r="B163" s="1642"/>
      <c r="C163" s="1642"/>
      <c r="D163" s="1642"/>
      <c r="E163" s="1641"/>
      <c r="F163" s="1642"/>
      <c r="G163" s="1642"/>
      <c r="H163" s="1642"/>
      <c r="I163" s="1642"/>
      <c r="J163" s="1642"/>
      <c r="K163" s="1681"/>
      <c r="L163" s="1642"/>
      <c r="M163" s="1642"/>
      <c r="N163" s="1642"/>
      <c r="O163" s="1642"/>
      <c r="P163" s="1642"/>
      <c r="Q163" s="1642"/>
      <c r="R163" s="1642"/>
      <c r="S163" s="1642"/>
      <c r="T163" s="1642"/>
      <c r="U163" s="1642"/>
      <c r="V163" s="1642"/>
      <c r="W163" s="1642"/>
      <c r="X163" s="1642"/>
      <c r="Y163" s="1642"/>
      <c r="Z163" s="1642"/>
      <c r="AA163" s="1642"/>
      <c r="AB163" s="1642"/>
      <c r="AC163" s="1642"/>
      <c r="AD163" s="1642"/>
      <c r="AE163" s="1642"/>
      <c r="AF163" s="1641"/>
      <c r="AG163" s="1642"/>
      <c r="AH163" s="1642"/>
      <c r="AI163" s="1642"/>
      <c r="AJ163" s="1641"/>
      <c r="AK163" s="1642"/>
      <c r="AL163" s="1642"/>
      <c r="AM163" s="1642"/>
      <c r="AN163" s="1641"/>
      <c r="AO163" s="1642"/>
      <c r="AP163" s="1642"/>
      <c r="AQ163" s="1642"/>
      <c r="AR163" s="1641"/>
      <c r="AS163" s="1642"/>
      <c r="AT163" s="1642"/>
      <c r="AU163" s="1642"/>
      <c r="AV163" s="1641"/>
      <c r="AW163" s="1642"/>
      <c r="AX163" s="1642"/>
      <c r="AY163" s="1642"/>
      <c r="AZ163" s="1641"/>
      <c r="BA163" s="1642"/>
      <c r="BB163" s="1642"/>
      <c r="BC163" s="1642"/>
      <c r="BD163" s="1641"/>
      <c r="BE163" s="1642"/>
      <c r="BF163" s="1642"/>
      <c r="BG163" s="1642"/>
      <c r="BH163" s="1641"/>
      <c r="BI163" s="1642"/>
      <c r="BJ163" s="1642"/>
      <c r="BK163" s="1642"/>
      <c r="BL163" s="3486" t="s">
        <v>641</v>
      </c>
      <c r="BM163" s="3487"/>
      <c r="BN163" s="3487"/>
      <c r="BO163" s="3488"/>
      <c r="BP163" s="3486" t="s">
        <v>1150</v>
      </c>
      <c r="BQ163" s="3487"/>
      <c r="BR163" s="3487"/>
      <c r="BS163" s="3487"/>
      <c r="BT163" s="3487"/>
      <c r="BU163" s="3487"/>
      <c r="BV163" s="3487"/>
      <c r="BW163" s="3487"/>
      <c r="BX163" s="3487"/>
      <c r="BY163" s="1642"/>
      <c r="BZ163" s="1642"/>
      <c r="CA163" s="1642"/>
      <c r="CB163" s="1641"/>
      <c r="CC163" s="1642"/>
      <c r="CD163" s="1642"/>
      <c r="CE163" s="1642"/>
      <c r="CF163" s="1641"/>
      <c r="CG163" s="1642"/>
      <c r="CH163" s="1642"/>
      <c r="CI163" s="1642"/>
      <c r="CJ163" s="1641"/>
      <c r="CK163" s="1642"/>
      <c r="CL163" s="1642"/>
      <c r="CM163" s="1681"/>
      <c r="CN163" s="1672"/>
      <c r="CO163" s="1672"/>
      <c r="CP163" s="1672"/>
      <c r="CQ163" s="1681"/>
      <c r="CR163" s="1672"/>
      <c r="CS163" s="1672"/>
      <c r="CT163" s="1672"/>
      <c r="CU163" s="1681"/>
      <c r="CV163" s="1672"/>
      <c r="CW163" s="1672"/>
      <c r="CX163" s="1672"/>
      <c r="CY163" s="1681"/>
      <c r="CZ163" s="1672"/>
      <c r="DA163" s="1672"/>
      <c r="DB163" s="1672"/>
      <c r="DC163" s="1672"/>
      <c r="DD163" s="1672"/>
      <c r="DE163" s="1672"/>
      <c r="DF163" s="1672"/>
      <c r="DG163" s="1672"/>
      <c r="DH163" s="1672"/>
      <c r="DI163" s="1672"/>
      <c r="DJ163" s="1672"/>
      <c r="DK163" s="1672"/>
      <c r="DL163" s="1672"/>
    </row>
    <row r="164" spans="1:116" hidden="1" outlineLevel="1">
      <c r="A164" s="1539" t="s">
        <v>646</v>
      </c>
      <c r="B164" s="1642"/>
      <c r="C164" s="1642"/>
      <c r="D164" s="1642"/>
      <c r="E164" s="1641"/>
      <c r="F164" s="1642"/>
      <c r="G164" s="1642"/>
      <c r="H164" s="1642"/>
      <c r="I164" s="1642"/>
      <c r="J164" s="1642"/>
      <c r="K164" s="1681"/>
      <c r="L164" s="1642"/>
      <c r="M164" s="1642"/>
      <c r="N164" s="1642"/>
      <c r="O164" s="1642"/>
      <c r="P164" s="1642"/>
      <c r="Q164" s="1642"/>
      <c r="R164" s="1642"/>
      <c r="S164" s="1642"/>
      <c r="T164" s="1642"/>
      <c r="U164" s="1642"/>
      <c r="V164" s="1642"/>
      <c r="W164" s="1642"/>
      <c r="X164" s="1642"/>
      <c r="Y164" s="1642"/>
      <c r="Z164" s="1642"/>
      <c r="AA164" s="1642"/>
      <c r="AB164" s="1642"/>
      <c r="AC164" s="1642"/>
      <c r="AD164" s="1642"/>
      <c r="AE164" s="1642"/>
      <c r="AF164" s="1641"/>
      <c r="AG164" s="1642"/>
      <c r="AH164" s="1642"/>
      <c r="AI164" s="1642"/>
      <c r="AJ164" s="1641"/>
      <c r="AK164" s="1642"/>
      <c r="AL164" s="1642"/>
      <c r="AM164" s="1642"/>
      <c r="AN164" s="1641"/>
      <c r="AO164" s="1642"/>
      <c r="AP164" s="1642"/>
      <c r="AQ164" s="1642"/>
      <c r="AR164" s="1641"/>
      <c r="AS164" s="1642"/>
      <c r="AT164" s="1642"/>
      <c r="AU164" s="1642"/>
      <c r="AV164" s="1641"/>
      <c r="AW164" s="1642"/>
      <c r="AX164" s="1642"/>
      <c r="AY164" s="1642"/>
      <c r="AZ164" s="1641"/>
      <c r="BA164" s="1642"/>
      <c r="BB164" s="1642"/>
      <c r="BC164" s="1642"/>
      <c r="BD164" s="1641"/>
      <c r="BE164" s="1642"/>
      <c r="BF164" s="1642"/>
      <c r="BG164" s="1642"/>
      <c r="BH164" s="1641"/>
      <c r="BI164" s="1642"/>
      <c r="BJ164" s="1642"/>
      <c r="BK164" s="1642"/>
      <c r="BL164" s="1641">
        <v>3523</v>
      </c>
      <c r="BM164" s="1642">
        <v>3556</v>
      </c>
      <c r="BN164" s="1642">
        <v>3609</v>
      </c>
      <c r="BO164" s="1642">
        <v>3609</v>
      </c>
      <c r="BP164" s="1633"/>
      <c r="BQ164" s="1634"/>
      <c r="BR164" s="1634"/>
      <c r="BS164" s="1634"/>
      <c r="BT164" s="1633"/>
      <c r="BU164" s="1634"/>
      <c r="BV164" s="1634"/>
      <c r="BW164" s="1634"/>
      <c r="BX164" s="1633"/>
      <c r="BY164" s="1642"/>
      <c r="BZ164" s="1642"/>
      <c r="CA164" s="1642"/>
      <c r="CB164" s="1641"/>
      <c r="CC164" s="1642"/>
      <c r="CD164" s="1642"/>
      <c r="CE164" s="1642"/>
      <c r="CF164" s="1641"/>
      <c r="CG164" s="1642"/>
      <c r="CH164" s="1642"/>
      <c r="CI164" s="1642"/>
      <c r="CJ164" s="1641"/>
      <c r="CK164" s="1642"/>
      <c r="CL164" s="1642"/>
      <c r="CM164" s="1681"/>
      <c r="CN164" s="1672"/>
      <c r="CO164" s="1672"/>
      <c r="CP164" s="1672"/>
      <c r="CQ164" s="1681"/>
      <c r="CR164" s="1672"/>
      <c r="CS164" s="1672"/>
      <c r="CT164" s="1672"/>
      <c r="CU164" s="1681"/>
      <c r="CV164" s="1672"/>
      <c r="CW164" s="1672"/>
      <c r="CX164" s="1672"/>
      <c r="CY164" s="1681"/>
      <c r="CZ164" s="1672"/>
      <c r="DA164" s="1672"/>
      <c r="DB164" s="1672"/>
      <c r="DC164" s="1672"/>
      <c r="DD164" s="1672"/>
      <c r="DE164" s="1672"/>
      <c r="DF164" s="1672"/>
      <c r="DG164" s="1672"/>
      <c r="DH164" s="1672"/>
      <c r="DI164" s="1672"/>
      <c r="DJ164" s="1672"/>
      <c r="DK164" s="1672"/>
      <c r="DL164" s="1672"/>
    </row>
    <row r="165" spans="1:116" hidden="1" outlineLevel="1">
      <c r="A165" s="1539" t="s">
        <v>647</v>
      </c>
      <c r="B165" s="1642"/>
      <c r="C165" s="1642"/>
      <c r="D165" s="1642"/>
      <c r="E165" s="1641"/>
      <c r="F165" s="1642"/>
      <c r="G165" s="1642"/>
      <c r="H165" s="1642"/>
      <c r="I165" s="1642"/>
      <c r="J165" s="1642"/>
      <c r="K165" s="1681"/>
      <c r="L165" s="1642"/>
      <c r="M165" s="1642"/>
      <c r="N165" s="1642"/>
      <c r="O165" s="1642"/>
      <c r="P165" s="1642"/>
      <c r="Q165" s="1642"/>
      <c r="R165" s="1642"/>
      <c r="S165" s="1642"/>
      <c r="T165" s="1642"/>
      <c r="U165" s="1642"/>
      <c r="V165" s="1642"/>
      <c r="W165" s="1642"/>
      <c r="X165" s="1642"/>
      <c r="Y165" s="1642"/>
      <c r="Z165" s="1642"/>
      <c r="AA165" s="1642"/>
      <c r="AB165" s="1642"/>
      <c r="AC165" s="1642"/>
      <c r="AD165" s="1642"/>
      <c r="AE165" s="1642"/>
      <c r="AF165" s="1641"/>
      <c r="AG165" s="1642"/>
      <c r="AH165" s="1642"/>
      <c r="AI165" s="1642"/>
      <c r="AJ165" s="1641"/>
      <c r="AK165" s="1642"/>
      <c r="AL165" s="1642"/>
      <c r="AM165" s="1642"/>
      <c r="AN165" s="1641"/>
      <c r="AO165" s="1642"/>
      <c r="AP165" s="1642"/>
      <c r="AQ165" s="1642"/>
      <c r="AR165" s="1641"/>
      <c r="AS165" s="1642"/>
      <c r="AT165" s="1642"/>
      <c r="AU165" s="1642"/>
      <c r="AV165" s="1641"/>
      <c r="AW165" s="1642"/>
      <c r="AX165" s="1642"/>
      <c r="AY165" s="1642"/>
      <c r="AZ165" s="1641"/>
      <c r="BA165" s="1642"/>
      <c r="BB165" s="1642"/>
      <c r="BC165" s="1642"/>
      <c r="BD165" s="1641"/>
      <c r="BE165" s="1642"/>
      <c r="BF165" s="1642"/>
      <c r="BG165" s="1642"/>
      <c r="BH165" s="1641"/>
      <c r="BI165" s="1642"/>
      <c r="BJ165" s="1642"/>
      <c r="BK165" s="1642"/>
      <c r="BL165" s="1641">
        <v>201</v>
      </c>
      <c r="BM165" s="1642">
        <v>239</v>
      </c>
      <c r="BN165" s="1642">
        <v>242</v>
      </c>
      <c r="BO165" s="1642">
        <v>247</v>
      </c>
      <c r="BP165" s="1641"/>
      <c r="BQ165" s="1634"/>
      <c r="BR165" s="1634"/>
      <c r="BS165" s="1634"/>
      <c r="BT165" s="1633"/>
      <c r="BU165" s="1634"/>
      <c r="BV165" s="1634"/>
      <c r="BW165" s="1634"/>
      <c r="BX165" s="1633"/>
      <c r="BY165" s="1642"/>
      <c r="BZ165" s="1642"/>
      <c r="CA165" s="1642"/>
      <c r="CB165" s="1641"/>
      <c r="CC165" s="1642"/>
      <c r="CD165" s="1642"/>
      <c r="CE165" s="1642"/>
      <c r="CF165" s="1641"/>
      <c r="CG165" s="1642"/>
      <c r="CH165" s="1642"/>
      <c r="CI165" s="1642"/>
      <c r="CJ165" s="1641"/>
      <c r="CK165" s="1642"/>
      <c r="CL165" s="1642"/>
      <c r="CM165" s="1681"/>
      <c r="CN165" s="1672"/>
      <c r="CO165" s="1672"/>
      <c r="CP165" s="1672"/>
      <c r="CQ165" s="1681"/>
      <c r="CR165" s="1672"/>
      <c r="CS165" s="1672"/>
      <c r="CT165" s="1672"/>
      <c r="CU165" s="1681"/>
      <c r="CV165" s="1672"/>
      <c r="CW165" s="1672"/>
      <c r="CX165" s="1672"/>
      <c r="CY165" s="1681"/>
      <c r="CZ165" s="1672"/>
      <c r="DA165" s="1672"/>
      <c r="DB165" s="1672"/>
      <c r="DC165" s="1672"/>
      <c r="DD165" s="1672"/>
      <c r="DE165" s="1672"/>
      <c r="DF165" s="1672"/>
      <c r="DG165" s="1672"/>
      <c r="DH165" s="1672"/>
      <c r="DI165" s="1672"/>
      <c r="DJ165" s="1672"/>
      <c r="DK165" s="1672"/>
      <c r="DL165" s="1672"/>
    </row>
    <row r="166" spans="1:116" hidden="1" outlineLevel="1">
      <c r="A166" s="1539" t="s">
        <v>648</v>
      </c>
      <c r="B166" s="1642"/>
      <c r="C166" s="1642"/>
      <c r="D166" s="1642"/>
      <c r="E166" s="1641"/>
      <c r="F166" s="1642"/>
      <c r="G166" s="1642"/>
      <c r="H166" s="1642"/>
      <c r="I166" s="1642"/>
      <c r="J166" s="1642"/>
      <c r="K166" s="1681"/>
      <c r="L166" s="1642"/>
      <c r="M166" s="1642"/>
      <c r="N166" s="1642"/>
      <c r="O166" s="1642"/>
      <c r="P166" s="1642"/>
      <c r="Q166" s="1642"/>
      <c r="R166" s="1642"/>
      <c r="S166" s="1642"/>
      <c r="T166" s="1642"/>
      <c r="U166" s="1642"/>
      <c r="V166" s="1642"/>
      <c r="W166" s="1642"/>
      <c r="X166" s="1642"/>
      <c r="Y166" s="1642"/>
      <c r="Z166" s="1642"/>
      <c r="AA166" s="1642"/>
      <c r="AB166" s="1642"/>
      <c r="AC166" s="1642"/>
      <c r="AD166" s="1642"/>
      <c r="AE166" s="1642"/>
      <c r="AF166" s="1641"/>
      <c r="AG166" s="1642"/>
      <c r="AH166" s="1642"/>
      <c r="AI166" s="1642"/>
      <c r="AJ166" s="1641"/>
      <c r="AK166" s="1642"/>
      <c r="AL166" s="1642"/>
      <c r="AM166" s="1642"/>
      <c r="AN166" s="1641"/>
      <c r="AO166" s="1642"/>
      <c r="AP166" s="1642"/>
      <c r="AQ166" s="1642"/>
      <c r="AR166" s="1641"/>
      <c r="AS166" s="1642"/>
      <c r="AT166" s="1642"/>
      <c r="AU166" s="1642"/>
      <c r="AV166" s="1641"/>
      <c r="AW166" s="1642"/>
      <c r="AX166" s="1642"/>
      <c r="AY166" s="1642"/>
      <c r="AZ166" s="1641"/>
      <c r="BA166" s="1642"/>
      <c r="BB166" s="1642"/>
      <c r="BC166" s="1642"/>
      <c r="BD166" s="1641"/>
      <c r="BE166" s="1642"/>
      <c r="BF166" s="1642"/>
      <c r="BG166" s="1642"/>
      <c r="BH166" s="1641"/>
      <c r="BI166" s="1642"/>
      <c r="BJ166" s="1642"/>
      <c r="BK166" s="1642"/>
      <c r="BL166" s="1641">
        <f>SUM(BL164:BL165)</f>
        <v>3724</v>
      </c>
      <c r="BM166" s="1642">
        <f>SUM(BM164:BM165)</f>
        <v>3795</v>
      </c>
      <c r="BN166" s="1642">
        <f>SUM(BN164:BN165)</f>
        <v>3851</v>
      </c>
      <c r="BO166" s="1642">
        <f>SUM(BO164:BO165)</f>
        <v>3856</v>
      </c>
      <c r="BP166" s="1633">
        <v>3729</v>
      </c>
      <c r="BQ166" s="1634">
        <v>3918</v>
      </c>
      <c r="BR166" s="1634">
        <v>4040</v>
      </c>
      <c r="BS166" s="1634">
        <v>4168</v>
      </c>
      <c r="BT166" s="1633">
        <v>4173</v>
      </c>
      <c r="BU166" s="1634">
        <v>4361</v>
      </c>
      <c r="BV166" s="1634">
        <v>4554</v>
      </c>
      <c r="BW166" s="1634">
        <v>4691</v>
      </c>
      <c r="BX166" s="1633">
        <v>4799</v>
      </c>
      <c r="BY166" s="1634">
        <v>5063</v>
      </c>
      <c r="BZ166" s="1634">
        <v>5218</v>
      </c>
      <c r="CA166" s="1634">
        <v>5200</v>
      </c>
      <c r="CB166" s="1633"/>
      <c r="CC166" s="1634"/>
      <c r="CD166" s="1634"/>
      <c r="CE166" s="1634"/>
      <c r="CF166" s="1641"/>
      <c r="CG166" s="1642"/>
      <c r="CH166" s="1642"/>
      <c r="CI166" s="1642"/>
      <c r="CJ166" s="1641"/>
      <c r="CK166" s="1642"/>
      <c r="CL166" s="1642"/>
      <c r="CM166" s="1681"/>
      <c r="CN166" s="1672"/>
      <c r="CO166" s="1672"/>
      <c r="CP166" s="1672"/>
      <c r="CQ166" s="1681"/>
      <c r="CR166" s="1672"/>
      <c r="CS166" s="1672"/>
      <c r="CT166" s="1672"/>
      <c r="CU166" s="1681"/>
      <c r="CV166" s="1672"/>
      <c r="CW166" s="1672"/>
      <c r="CX166" s="1672"/>
      <c r="CY166" s="1681"/>
      <c r="CZ166" s="1672"/>
      <c r="DA166" s="1672"/>
      <c r="DB166" s="1672"/>
      <c r="DC166" s="1672"/>
      <c r="DD166" s="1672"/>
      <c r="DE166" s="1672"/>
      <c r="DF166" s="1672"/>
      <c r="DG166" s="1672"/>
      <c r="DH166" s="1672"/>
      <c r="DI166" s="1672"/>
      <c r="DJ166" s="1672"/>
      <c r="DK166" s="1672"/>
      <c r="DL166" s="1672"/>
    </row>
    <row r="167" spans="1:116" hidden="1" outlineLevel="1">
      <c r="A167" s="1630" t="s">
        <v>649</v>
      </c>
      <c r="B167" s="1642"/>
      <c r="C167" s="1642"/>
      <c r="D167" s="1642"/>
      <c r="E167" s="1641"/>
      <c r="F167" s="1642"/>
      <c r="G167" s="1642"/>
      <c r="H167" s="1642"/>
      <c r="I167" s="1642"/>
      <c r="J167" s="1642"/>
      <c r="K167" s="1681"/>
      <c r="L167" s="1642"/>
      <c r="M167" s="1642"/>
      <c r="N167" s="1642"/>
      <c r="O167" s="1642"/>
      <c r="P167" s="1642"/>
      <c r="Q167" s="1642"/>
      <c r="R167" s="1642"/>
      <c r="S167" s="1642"/>
      <c r="T167" s="1642"/>
      <c r="U167" s="1642"/>
      <c r="V167" s="1642"/>
      <c r="W167" s="1642"/>
      <c r="X167" s="1642"/>
      <c r="Y167" s="1642"/>
      <c r="Z167" s="1642"/>
      <c r="AA167" s="1642"/>
      <c r="AB167" s="1642"/>
      <c r="AC167" s="1642"/>
      <c r="AD167" s="1642"/>
      <c r="AE167" s="1642"/>
      <c r="AF167" s="1641"/>
      <c r="AG167" s="1642"/>
      <c r="AH167" s="1642"/>
      <c r="AI167" s="1642"/>
      <c r="AJ167" s="1641"/>
      <c r="AK167" s="1642"/>
      <c r="AL167" s="1642"/>
      <c r="AM167" s="1642"/>
      <c r="AN167" s="1641"/>
      <c r="AO167" s="1642"/>
      <c r="AP167" s="1642"/>
      <c r="AQ167" s="1642"/>
      <c r="AR167" s="1641"/>
      <c r="AS167" s="1642"/>
      <c r="AT167" s="1642"/>
      <c r="AU167" s="1642"/>
      <c r="AV167" s="1641"/>
      <c r="AW167" s="1642"/>
      <c r="AX167" s="1642"/>
      <c r="AY167" s="1642"/>
      <c r="AZ167" s="1641"/>
      <c r="BA167" s="1642"/>
      <c r="BB167" s="1642"/>
      <c r="BC167" s="1642"/>
      <c r="BD167" s="1641"/>
      <c r="BE167" s="1642"/>
      <c r="BF167" s="1642"/>
      <c r="BG167" s="1642"/>
      <c r="BH167" s="1641"/>
      <c r="BI167" s="1642"/>
      <c r="BJ167" s="1642"/>
      <c r="BK167" s="1642"/>
      <c r="BL167" s="1641"/>
      <c r="BM167" s="1642"/>
      <c r="BN167" s="1642"/>
      <c r="BO167" s="1642"/>
      <c r="BP167" s="1633"/>
      <c r="BQ167" s="1634"/>
      <c r="BR167" s="1634"/>
      <c r="BS167" s="1634"/>
      <c r="BT167" s="1641">
        <f t="shared" ref="BT167:CA167" si="201">BT166/BP166-1</f>
        <v>0.11906677393403053</v>
      </c>
      <c r="BU167" s="1642">
        <f t="shared" si="201"/>
        <v>0.1130678917815211</v>
      </c>
      <c r="BV167" s="1642">
        <f t="shared" si="201"/>
        <v>0.12722772277227712</v>
      </c>
      <c r="BW167" s="1642">
        <f t="shared" si="201"/>
        <v>0.12547984644913623</v>
      </c>
      <c r="BX167" s="1641">
        <f t="shared" si="201"/>
        <v>0.15001198178768282</v>
      </c>
      <c r="BY167" s="1642">
        <f t="shared" si="201"/>
        <v>0.16097225407016746</v>
      </c>
      <c r="BZ167" s="1642">
        <f t="shared" si="201"/>
        <v>0.14580588493631974</v>
      </c>
      <c r="CA167" s="1642">
        <f t="shared" si="201"/>
        <v>0.10850564911532712</v>
      </c>
      <c r="CB167" s="1641"/>
      <c r="CC167" s="1642"/>
      <c r="CD167" s="1642"/>
      <c r="CE167" s="1642"/>
      <c r="CF167" s="1641"/>
      <c r="CG167" s="1642"/>
      <c r="CH167" s="1642"/>
      <c r="CI167" s="1642"/>
      <c r="CJ167" s="1641"/>
      <c r="CK167" s="1642"/>
      <c r="CL167" s="1642"/>
      <c r="CM167" s="1681"/>
      <c r="CN167" s="1672"/>
      <c r="CO167" s="1672"/>
      <c r="CP167" s="1672"/>
      <c r="CQ167" s="1681"/>
      <c r="CR167" s="1672"/>
      <c r="CS167" s="1672"/>
      <c r="CT167" s="1672"/>
      <c r="CU167" s="1681"/>
      <c r="CV167" s="1672"/>
      <c r="CW167" s="1672"/>
      <c r="CX167" s="1672"/>
      <c r="CY167" s="1681"/>
      <c r="CZ167" s="1672"/>
      <c r="DA167" s="1672"/>
      <c r="DB167" s="1672"/>
      <c r="DC167" s="1672"/>
      <c r="DD167" s="1672"/>
      <c r="DE167" s="1672"/>
      <c r="DF167" s="1672"/>
      <c r="DG167" s="1672"/>
      <c r="DH167" s="1672"/>
      <c r="DI167" s="1672"/>
      <c r="DJ167" s="1672"/>
      <c r="DK167" s="1672"/>
      <c r="DL167" s="1672"/>
    </row>
    <row r="168" spans="1:116" hidden="1" outlineLevel="1">
      <c r="A168" s="1630"/>
      <c r="B168" s="1642"/>
      <c r="C168" s="1642"/>
      <c r="D168" s="1642"/>
      <c r="E168" s="1641"/>
      <c r="F168" s="1642"/>
      <c r="G168" s="1642"/>
      <c r="H168" s="1642"/>
      <c r="I168" s="1642"/>
      <c r="J168" s="1642"/>
      <c r="K168" s="1681"/>
      <c r="L168" s="1642"/>
      <c r="M168" s="1642"/>
      <c r="N168" s="1642"/>
      <c r="O168" s="1642"/>
      <c r="P168" s="1642"/>
      <c r="Q168" s="1642"/>
      <c r="R168" s="1642"/>
      <c r="S168" s="1642"/>
      <c r="T168" s="1642"/>
      <c r="U168" s="1642"/>
      <c r="V168" s="1642"/>
      <c r="W168" s="1642"/>
      <c r="X168" s="1642"/>
      <c r="Y168" s="1642"/>
      <c r="Z168" s="1642"/>
      <c r="AA168" s="1642"/>
      <c r="AB168" s="1642"/>
      <c r="AC168" s="1642"/>
      <c r="AD168" s="1642"/>
      <c r="AE168" s="1642"/>
      <c r="AF168" s="1641"/>
      <c r="AG168" s="1642"/>
      <c r="AH168" s="1642"/>
      <c r="AI168" s="1642"/>
      <c r="AJ168" s="1641"/>
      <c r="AK168" s="1642"/>
      <c r="AL168" s="1642"/>
      <c r="AM168" s="1642"/>
      <c r="AN168" s="1641"/>
      <c r="AO168" s="1642"/>
      <c r="AP168" s="1642"/>
      <c r="AQ168" s="1642"/>
      <c r="AR168" s="1641"/>
      <c r="AS168" s="1642"/>
      <c r="AT168" s="1642"/>
      <c r="AU168" s="1642"/>
      <c r="AV168" s="1641"/>
      <c r="AW168" s="1642"/>
      <c r="AX168" s="1642"/>
      <c r="AY168" s="1642"/>
      <c r="AZ168" s="1641"/>
      <c r="BA168" s="1642"/>
      <c r="BB168" s="1642"/>
      <c r="BC168" s="1642"/>
      <c r="BD168" s="1641"/>
      <c r="BE168" s="1642"/>
      <c r="BF168" s="1642"/>
      <c r="BG168" s="1642"/>
      <c r="BH168" s="1641"/>
      <c r="BI168" s="1642"/>
      <c r="BJ168" s="1642"/>
      <c r="BK168" s="1642"/>
      <c r="BL168" s="1641"/>
      <c r="BM168" s="1642"/>
      <c r="BN168" s="1642"/>
      <c r="BO168" s="1642"/>
      <c r="BP168" s="1641"/>
      <c r="BQ168" s="1642"/>
      <c r="BR168" s="1642"/>
      <c r="BS168" s="1642"/>
      <c r="BT168" s="1641"/>
      <c r="BU168" s="1642"/>
      <c r="BV168" s="1642"/>
      <c r="BW168" s="1642"/>
      <c r="BX168" s="1641"/>
      <c r="BY168" s="1642"/>
      <c r="BZ168" s="1642"/>
      <c r="CA168" s="1642"/>
      <c r="CB168" s="1641"/>
      <c r="CC168" s="1642"/>
      <c r="CD168" s="1642"/>
      <c r="CE168" s="1642"/>
      <c r="CF168" s="1641"/>
      <c r="CG168" s="1642"/>
      <c r="CH168" s="1642"/>
      <c r="CI168" s="1642"/>
      <c r="CJ168" s="1641"/>
      <c r="CK168" s="1642"/>
      <c r="CL168" s="1642"/>
      <c r="CM168" s="1681"/>
      <c r="CN168" s="1672"/>
      <c r="CO168" s="1672"/>
      <c r="CP168" s="1672"/>
      <c r="CQ168" s="1681"/>
      <c r="CR168" s="1672"/>
      <c r="CS168" s="1672"/>
      <c r="CT168" s="1672"/>
      <c r="CU168" s="1681"/>
      <c r="CV168" s="1672"/>
      <c r="CW168" s="1672"/>
      <c r="CX168" s="1672"/>
      <c r="CY168" s="1681"/>
      <c r="CZ168" s="1672"/>
      <c r="DA168" s="1672"/>
      <c r="DB168" s="1672"/>
      <c r="DC168" s="1672"/>
      <c r="DD168" s="1672"/>
      <c r="DE168" s="1672"/>
      <c r="DF168" s="1672"/>
      <c r="DG168" s="1672"/>
      <c r="DH168" s="1672"/>
      <c r="DI168" s="1672"/>
      <c r="DJ168" s="1672"/>
      <c r="DK168" s="1672"/>
      <c r="DL168" s="1672"/>
    </row>
    <row r="169" spans="1:116" hidden="1" outlineLevel="1">
      <c r="A169" s="1539" t="s">
        <v>650</v>
      </c>
      <c r="B169" s="1642"/>
      <c r="C169" s="1642"/>
      <c r="D169" s="1642"/>
      <c r="E169" s="1641"/>
      <c r="F169" s="1642"/>
      <c r="G169" s="1642"/>
      <c r="H169" s="1642"/>
      <c r="I169" s="1642"/>
      <c r="J169" s="1642"/>
      <c r="K169" s="1681"/>
      <c r="L169" s="1642"/>
      <c r="M169" s="1642"/>
      <c r="N169" s="1642"/>
      <c r="O169" s="1642"/>
      <c r="P169" s="1642"/>
      <c r="Q169" s="1642"/>
      <c r="R169" s="1642"/>
      <c r="S169" s="1642"/>
      <c r="T169" s="1642"/>
      <c r="U169" s="1642"/>
      <c r="V169" s="1642"/>
      <c r="W169" s="1642"/>
      <c r="X169" s="1642"/>
      <c r="Y169" s="1642"/>
      <c r="Z169" s="1642"/>
      <c r="AA169" s="1642"/>
      <c r="AB169" s="1642"/>
      <c r="AC169" s="1642"/>
      <c r="AD169" s="1642"/>
      <c r="AE169" s="1642"/>
      <c r="AF169" s="1641"/>
      <c r="AG169" s="1642"/>
      <c r="AH169" s="1642"/>
      <c r="AI169" s="1642"/>
      <c r="AJ169" s="1641"/>
      <c r="AK169" s="1642"/>
      <c r="AL169" s="1642"/>
      <c r="AM169" s="1642"/>
      <c r="AN169" s="1641"/>
      <c r="AO169" s="1642"/>
      <c r="AP169" s="1642"/>
      <c r="AQ169" s="1642"/>
      <c r="AR169" s="1641"/>
      <c r="AS169" s="1642"/>
      <c r="AT169" s="1642"/>
      <c r="AU169" s="1642"/>
      <c r="AV169" s="1641"/>
      <c r="AW169" s="1642"/>
      <c r="AX169" s="1642"/>
      <c r="AY169" s="1642"/>
      <c r="AZ169" s="1641"/>
      <c r="BA169" s="1642"/>
      <c r="BB169" s="1642"/>
      <c r="BC169" s="1642"/>
      <c r="BD169" s="1641"/>
      <c r="BE169" s="1642"/>
      <c r="BF169" s="1642"/>
      <c r="BG169" s="1642"/>
      <c r="BH169" s="1641"/>
      <c r="BI169" s="1642"/>
      <c r="BJ169" s="1642"/>
      <c r="BK169" s="1642"/>
      <c r="BL169" s="1641"/>
      <c r="BM169" s="1642"/>
      <c r="BN169" s="1642"/>
      <c r="BO169" s="1642"/>
      <c r="BP169" s="1641">
        <f>+BT169/(1+BT170)</f>
        <v>3575.787401574803</v>
      </c>
      <c r="BQ169" s="1642">
        <f>+BU169/(1+BU170)</f>
        <v>3558.4541062801936</v>
      </c>
      <c r="BR169" s="1642">
        <f>+BV169/(1+BV170)</f>
        <v>3575.5813953488373</v>
      </c>
      <c r="BS169" s="1642">
        <f>+BW169/(1+BW170)</f>
        <v>3549.5145631067962</v>
      </c>
      <c r="BT169" s="1633">
        <v>3633</v>
      </c>
      <c r="BU169" s="1634">
        <v>3683</v>
      </c>
      <c r="BV169" s="1634">
        <v>3690</v>
      </c>
      <c r="BW169" s="1634">
        <v>3656</v>
      </c>
      <c r="BX169" s="1633">
        <v>3672</v>
      </c>
      <c r="BY169" s="1634">
        <v>3714</v>
      </c>
      <c r="BZ169" s="1634">
        <v>3766</v>
      </c>
      <c r="CA169" s="1634">
        <v>3761</v>
      </c>
      <c r="CB169" s="1633">
        <v>3248</v>
      </c>
      <c r="CC169" s="1634">
        <v>3294</v>
      </c>
      <c r="CD169" s="1634">
        <v>3327</v>
      </c>
      <c r="CE169" s="1634">
        <v>3333</v>
      </c>
      <c r="CF169" s="1641">
        <f t="shared" ref="CF169:DH169" si="202">+CF154</f>
        <v>3320</v>
      </c>
      <c r="CG169" s="1642">
        <f t="shared" si="202"/>
        <v>3350</v>
      </c>
      <c r="CH169" s="1642">
        <f t="shared" si="202"/>
        <v>3364</v>
      </c>
      <c r="CI169" s="1642">
        <f t="shared" si="202"/>
        <v>3385</v>
      </c>
      <c r="CJ169" s="1641">
        <f t="shared" si="202"/>
        <v>3383</v>
      </c>
      <c r="CK169" s="1642">
        <f t="shared" si="202"/>
        <v>3394</v>
      </c>
      <c r="CL169" s="1642">
        <f t="shared" si="202"/>
        <v>3400</v>
      </c>
      <c r="CM169" s="1681">
        <f t="shared" si="202"/>
        <v>3429</v>
      </c>
      <c r="CN169" s="1672">
        <f t="shared" si="202"/>
        <v>3441</v>
      </c>
      <c r="CO169" s="1672">
        <f t="shared" si="202"/>
        <v>3504</v>
      </c>
      <c r="CP169" s="1672">
        <f t="shared" si="202"/>
        <v>3580</v>
      </c>
      <c r="CQ169" s="1681">
        <f t="shared" si="202"/>
        <v>3596</v>
      </c>
      <c r="CR169" s="1672">
        <f t="shared" si="202"/>
        <v>3616</v>
      </c>
      <c r="CS169" s="1672">
        <f t="shared" si="202"/>
        <v>3669</v>
      </c>
      <c r="CT169" s="1672">
        <f t="shared" si="202"/>
        <v>3735</v>
      </c>
      <c r="CU169" s="1681">
        <f t="shared" si="202"/>
        <v>3822</v>
      </c>
      <c r="CV169" s="1672">
        <f t="shared" si="202"/>
        <v>3840</v>
      </c>
      <c r="CW169" s="1672">
        <f t="shared" si="202"/>
        <v>3864</v>
      </c>
      <c r="CX169" s="1672">
        <f t="shared" si="202"/>
        <v>3902</v>
      </c>
      <c r="CY169" s="1681">
        <f t="shared" si="202"/>
        <v>3977</v>
      </c>
      <c r="CZ169" s="1672">
        <f t="shared" si="202"/>
        <v>3992</v>
      </c>
      <c r="DA169" s="1672">
        <f t="shared" si="202"/>
        <v>4037</v>
      </c>
      <c r="DB169" s="1672">
        <f t="shared" si="202"/>
        <v>4012</v>
      </c>
      <c r="DC169" s="1672">
        <f t="shared" si="202"/>
        <v>4082</v>
      </c>
      <c r="DD169" s="1672">
        <f t="shared" si="202"/>
        <v>4022</v>
      </c>
      <c r="DE169" s="1672">
        <f t="shared" si="202"/>
        <v>3165</v>
      </c>
      <c r="DF169" s="1672">
        <f t="shared" si="202"/>
        <v>3174</v>
      </c>
      <c r="DG169" s="1672">
        <f t="shared" si="202"/>
        <v>3232</v>
      </c>
      <c r="DH169" s="1672">
        <f t="shared" si="202"/>
        <v>3201</v>
      </c>
      <c r="DI169" s="1672">
        <f t="shared" ref="DI169:DJ169" si="203">+DI154</f>
        <v>3184</v>
      </c>
      <c r="DJ169" s="1672">
        <f t="shared" si="203"/>
        <v>3204</v>
      </c>
      <c r="DK169" s="1672">
        <f t="shared" ref="DK169:DL169" si="204">+DK154</f>
        <v>3188</v>
      </c>
      <c r="DL169" s="1672">
        <f t="shared" si="204"/>
        <v>3150</v>
      </c>
    </row>
    <row r="170" spans="1:116" hidden="1" outlineLevel="1">
      <c r="A170" s="1630" t="s">
        <v>649</v>
      </c>
      <c r="B170" s="1642"/>
      <c r="C170" s="1642"/>
      <c r="D170" s="1642"/>
      <c r="E170" s="1641"/>
      <c r="F170" s="1642"/>
      <c r="G170" s="1642"/>
      <c r="H170" s="1642"/>
      <c r="I170" s="1642"/>
      <c r="J170" s="1642"/>
      <c r="K170" s="1681"/>
      <c r="L170" s="1642"/>
      <c r="M170" s="1642"/>
      <c r="N170" s="1642"/>
      <c r="O170" s="1642"/>
      <c r="P170" s="1642"/>
      <c r="Q170" s="1642"/>
      <c r="R170" s="1642"/>
      <c r="S170" s="1642"/>
      <c r="T170" s="1642"/>
      <c r="U170" s="1642"/>
      <c r="V170" s="1642"/>
      <c r="W170" s="1642"/>
      <c r="X170" s="1642"/>
      <c r="Y170" s="1642"/>
      <c r="Z170" s="1642"/>
      <c r="AA170" s="1642"/>
      <c r="AB170" s="1642"/>
      <c r="AC170" s="1642"/>
      <c r="AD170" s="1642"/>
      <c r="AE170" s="1642"/>
      <c r="AF170" s="1641"/>
      <c r="AG170" s="1642"/>
      <c r="AH170" s="1642"/>
      <c r="AI170" s="1642"/>
      <c r="AJ170" s="1641"/>
      <c r="AK170" s="1642"/>
      <c r="AL170" s="1642"/>
      <c r="AM170" s="1642"/>
      <c r="AN170" s="1641"/>
      <c r="AO170" s="1642"/>
      <c r="AP170" s="1642"/>
      <c r="AQ170" s="1642"/>
      <c r="AR170" s="1641"/>
      <c r="AS170" s="1642"/>
      <c r="AT170" s="1642"/>
      <c r="AU170" s="1642"/>
      <c r="AV170" s="1641"/>
      <c r="AW170" s="1642"/>
      <c r="AX170" s="1642"/>
      <c r="AY170" s="1642"/>
      <c r="AZ170" s="1641"/>
      <c r="BA170" s="1642"/>
      <c r="BB170" s="1642"/>
      <c r="BC170" s="1642"/>
      <c r="BD170" s="1641"/>
      <c r="BE170" s="1642"/>
      <c r="BF170" s="1642"/>
      <c r="BG170" s="1642"/>
      <c r="BH170" s="1641"/>
      <c r="BI170" s="1642"/>
      <c r="BJ170" s="1642"/>
      <c r="BK170" s="1642"/>
      <c r="BL170" s="1641"/>
      <c r="BM170" s="1642"/>
      <c r="BN170" s="1642"/>
      <c r="BO170" s="1642"/>
      <c r="BP170" s="1633"/>
      <c r="BQ170" s="1634"/>
      <c r="BR170" s="1634"/>
      <c r="BS170" s="1634"/>
      <c r="BT170" s="1641">
        <v>1.6E-2</v>
      </c>
      <c r="BU170" s="1642">
        <v>3.5000000000000003E-2</v>
      </c>
      <c r="BV170" s="1642">
        <v>3.2000000000000001E-2</v>
      </c>
      <c r="BW170" s="1642">
        <v>0.03</v>
      </c>
      <c r="BX170" s="1641">
        <f t="shared" ref="BX170:DL170" si="205">BX169/BT169-1</f>
        <v>1.073492981007429E-2</v>
      </c>
      <c r="BY170" s="1642">
        <f t="shared" si="205"/>
        <v>8.4170513168613237E-3</v>
      </c>
      <c r="BZ170" s="1642">
        <f t="shared" si="205"/>
        <v>2.0596205962059688E-2</v>
      </c>
      <c r="CA170" s="1642">
        <f t="shared" si="205"/>
        <v>2.8719912472647602E-2</v>
      </c>
      <c r="CB170" s="1641">
        <f t="shared" si="205"/>
        <v>-0.11546840958605664</v>
      </c>
      <c r="CC170" s="1642">
        <f t="shared" si="205"/>
        <v>-0.11308562197092087</v>
      </c>
      <c r="CD170" s="1642">
        <f t="shared" si="205"/>
        <v>-0.11656930430164636</v>
      </c>
      <c r="CE170" s="1642">
        <f t="shared" si="205"/>
        <v>-0.11379952140388194</v>
      </c>
      <c r="CF170" s="1641">
        <f t="shared" si="205"/>
        <v>2.2167487684729092E-2</v>
      </c>
      <c r="CG170" s="1642">
        <f t="shared" si="205"/>
        <v>1.7000607164541659E-2</v>
      </c>
      <c r="CH170" s="1642">
        <f t="shared" si="205"/>
        <v>1.1121130147279779E-2</v>
      </c>
      <c r="CI170" s="1642">
        <f t="shared" si="205"/>
        <v>1.5601560156015548E-2</v>
      </c>
      <c r="CJ170" s="1641">
        <f t="shared" si="205"/>
        <v>1.897590361445789E-2</v>
      </c>
      <c r="CK170" s="1642">
        <f t="shared" si="205"/>
        <v>1.3134328358209046E-2</v>
      </c>
      <c r="CL170" s="1642">
        <f t="shared" si="205"/>
        <v>1.0701545778834642E-2</v>
      </c>
      <c r="CM170" s="1681">
        <f t="shared" si="205"/>
        <v>1.2998522895125486E-2</v>
      </c>
      <c r="CN170" s="1672">
        <f t="shared" si="205"/>
        <v>1.7144546260715376E-2</v>
      </c>
      <c r="CO170" s="1672">
        <f t="shared" si="205"/>
        <v>3.2410135533293971E-2</v>
      </c>
      <c r="CP170" s="1672">
        <f t="shared" si="205"/>
        <v>5.2941176470588269E-2</v>
      </c>
      <c r="CQ170" s="1681">
        <f t="shared" si="205"/>
        <v>4.8702245552639356E-2</v>
      </c>
      <c r="CR170" s="1672">
        <f t="shared" si="205"/>
        <v>5.0857308921825162E-2</v>
      </c>
      <c r="CS170" s="1672">
        <f t="shared" si="205"/>
        <v>4.7089041095890405E-2</v>
      </c>
      <c r="CT170" s="1672">
        <f t="shared" si="205"/>
        <v>4.3296089385474801E-2</v>
      </c>
      <c r="CU170" s="1681">
        <f t="shared" si="205"/>
        <v>6.2847608453837633E-2</v>
      </c>
      <c r="CV170" s="1672">
        <f t="shared" si="205"/>
        <v>6.1946902654867353E-2</v>
      </c>
      <c r="CW170" s="1672">
        <f t="shared" si="205"/>
        <v>5.3147996729353997E-2</v>
      </c>
      <c r="CX170" s="1672">
        <f t="shared" si="205"/>
        <v>4.4712182061579675E-2</v>
      </c>
      <c r="CY170" s="1681">
        <f t="shared" si="205"/>
        <v>4.055468341182622E-2</v>
      </c>
      <c r="CZ170" s="1672">
        <f t="shared" si="205"/>
        <v>3.9583333333333304E-2</v>
      </c>
      <c r="DA170" s="1672">
        <f t="shared" si="205"/>
        <v>4.4772256728778492E-2</v>
      </c>
      <c r="DB170" s="1672">
        <f t="shared" si="205"/>
        <v>2.8190671450538218E-2</v>
      </c>
      <c r="DC170" s="1672">
        <f t="shared" si="205"/>
        <v>2.6401810409856674E-2</v>
      </c>
      <c r="DD170" s="1672">
        <f t="shared" si="205"/>
        <v>7.5150300601203313E-3</v>
      </c>
      <c r="DE170" s="1672">
        <f t="shared" si="205"/>
        <v>-0.21600198166955664</v>
      </c>
      <c r="DF170" s="1672">
        <f t="shared" si="205"/>
        <v>-0.20887337986041876</v>
      </c>
      <c r="DG170" s="1672">
        <f t="shared" si="205"/>
        <v>-0.20823125918667318</v>
      </c>
      <c r="DH170" s="1672">
        <f t="shared" si="205"/>
        <v>-0.20412729985082045</v>
      </c>
      <c r="DI170" s="1672">
        <f t="shared" si="205"/>
        <v>6.0031595576619523E-3</v>
      </c>
      <c r="DJ170" s="1672">
        <f t="shared" si="205"/>
        <v>9.4517958412099201E-3</v>
      </c>
      <c r="DK170" s="1672">
        <f t="shared" si="205"/>
        <v>-1.3613861386138626E-2</v>
      </c>
      <c r="DL170" s="1672">
        <f t="shared" si="205"/>
        <v>-1.5932521087160256E-2</v>
      </c>
    </row>
    <row r="171" spans="1:116" hidden="1" outlineLevel="1">
      <c r="A171" s="1539" t="s">
        <v>651</v>
      </c>
      <c r="B171" s="1642"/>
      <c r="C171" s="1642"/>
      <c r="D171" s="1642"/>
      <c r="E171" s="1641"/>
      <c r="F171" s="1642"/>
      <c r="G171" s="1642"/>
      <c r="H171" s="1642"/>
      <c r="I171" s="1642"/>
      <c r="J171" s="1642"/>
      <c r="K171" s="1681"/>
      <c r="L171" s="1642"/>
      <c r="M171" s="1642"/>
      <c r="N171" s="1642"/>
      <c r="O171" s="1642"/>
      <c r="P171" s="1642"/>
      <c r="Q171" s="1642"/>
      <c r="R171" s="1642"/>
      <c r="S171" s="1642"/>
      <c r="T171" s="1642"/>
      <c r="U171" s="1642"/>
      <c r="V171" s="1642"/>
      <c r="W171" s="1642"/>
      <c r="X171" s="1642"/>
      <c r="Y171" s="1642"/>
      <c r="Z171" s="1642"/>
      <c r="AA171" s="1642"/>
      <c r="AB171" s="1642"/>
      <c r="AC171" s="1642"/>
      <c r="AD171" s="1642"/>
      <c r="AE171" s="1642"/>
      <c r="AF171" s="1641"/>
      <c r="AG171" s="1642"/>
      <c r="AH171" s="1642"/>
      <c r="AI171" s="1642"/>
      <c r="AJ171" s="1641"/>
      <c r="AK171" s="1642"/>
      <c r="AL171" s="1642"/>
      <c r="AM171" s="1642"/>
      <c r="AN171" s="1641"/>
      <c r="AO171" s="1642"/>
      <c r="AP171" s="1642"/>
      <c r="AQ171" s="1642"/>
      <c r="AR171" s="1641"/>
      <c r="AS171" s="1642"/>
      <c r="AT171" s="1642"/>
      <c r="AU171" s="1642"/>
      <c r="AV171" s="1641"/>
      <c r="AW171" s="1642"/>
      <c r="AX171" s="1642"/>
      <c r="AY171" s="1642"/>
      <c r="AZ171" s="1641"/>
      <c r="BA171" s="1642"/>
      <c r="BB171" s="1642"/>
      <c r="BC171" s="1642"/>
      <c r="BD171" s="1641"/>
      <c r="BE171" s="1642"/>
      <c r="BF171" s="1642"/>
      <c r="BG171" s="1642"/>
      <c r="BH171" s="1641"/>
      <c r="BI171" s="1642"/>
      <c r="BJ171" s="1642"/>
      <c r="BK171" s="1642"/>
      <c r="BL171" s="1641"/>
      <c r="BM171" s="1642"/>
      <c r="BN171" s="1642"/>
      <c r="BO171" s="1642"/>
      <c r="BP171" s="1633">
        <v>725</v>
      </c>
      <c r="BQ171" s="1634">
        <v>678</v>
      </c>
      <c r="BR171" s="1634">
        <v>637</v>
      </c>
      <c r="BS171" s="1634">
        <v>552</v>
      </c>
      <c r="BT171" s="1633">
        <v>493</v>
      </c>
      <c r="BU171" s="1634">
        <v>441</v>
      </c>
      <c r="BV171" s="1634">
        <v>408</v>
      </c>
      <c r="BW171" s="1634">
        <v>377</v>
      </c>
      <c r="BX171" s="1633">
        <v>332</v>
      </c>
      <c r="BY171" s="1634">
        <v>300</v>
      </c>
      <c r="BZ171" s="1634">
        <v>286</v>
      </c>
      <c r="CA171" s="1634">
        <v>257</v>
      </c>
      <c r="CB171" s="1633">
        <v>262</v>
      </c>
      <c r="CC171" s="1634">
        <v>237</v>
      </c>
      <c r="CD171" s="1634">
        <v>197</v>
      </c>
      <c r="CE171" s="1634">
        <v>169</v>
      </c>
      <c r="CF171" s="1633">
        <v>147</v>
      </c>
      <c r="CG171" s="1634">
        <v>140</v>
      </c>
      <c r="CH171" s="1634">
        <v>128</v>
      </c>
      <c r="CI171" s="1634">
        <v>120</v>
      </c>
      <c r="CJ171" s="1633"/>
      <c r="CK171" s="1634"/>
      <c r="CL171" s="1634"/>
      <c r="CM171" s="1648"/>
      <c r="CN171" s="1649"/>
      <c r="CO171" s="1649"/>
      <c r="CP171" s="1649"/>
      <c r="CQ171" s="1648"/>
      <c r="CR171" s="1649"/>
      <c r="CS171" s="1649"/>
      <c r="CT171" s="1649"/>
      <c r="CU171" s="1648"/>
      <c r="CV171" s="1649"/>
      <c r="CW171" s="1649"/>
      <c r="CX171" s="1649"/>
      <c r="CY171" s="1648"/>
      <c r="CZ171" s="1649"/>
      <c r="DA171" s="1649"/>
      <c r="DB171" s="1649"/>
      <c r="DC171" s="1649"/>
      <c r="DD171" s="1649"/>
      <c r="DE171" s="1649"/>
      <c r="DF171" s="1649"/>
      <c r="DG171" s="1649"/>
      <c r="DH171" s="1649"/>
      <c r="DI171" s="1649"/>
      <c r="DJ171" s="1649"/>
      <c r="DK171" s="1649"/>
      <c r="DL171" s="1649"/>
    </row>
    <row r="172" spans="1:116" hidden="1" outlineLevel="1">
      <c r="A172" s="1619" t="s">
        <v>649</v>
      </c>
      <c r="B172" s="1645"/>
      <c r="C172" s="1645"/>
      <c r="D172" s="1645"/>
      <c r="E172" s="1699"/>
      <c r="F172" s="1645"/>
      <c r="G172" s="1645"/>
      <c r="H172" s="1645"/>
      <c r="I172" s="1645"/>
      <c r="J172" s="1645"/>
      <c r="K172" s="1700"/>
      <c r="L172" s="1645"/>
      <c r="M172" s="1645"/>
      <c r="N172" s="1645"/>
      <c r="O172" s="1645"/>
      <c r="P172" s="1645"/>
      <c r="Q172" s="1645"/>
      <c r="R172" s="1645"/>
      <c r="S172" s="1645"/>
      <c r="T172" s="1645"/>
      <c r="U172" s="1645"/>
      <c r="V172" s="1645"/>
      <c r="W172" s="1645"/>
      <c r="X172" s="1645"/>
      <c r="Y172" s="1645"/>
      <c r="Z172" s="1645"/>
      <c r="AA172" s="1645"/>
      <c r="AB172" s="1645"/>
      <c r="AC172" s="1645"/>
      <c r="AD172" s="1645"/>
      <c r="AE172" s="1645"/>
      <c r="AF172" s="1699"/>
      <c r="AG172" s="1645"/>
      <c r="AH172" s="1645"/>
      <c r="AI172" s="1645"/>
      <c r="AJ172" s="1699"/>
      <c r="AK172" s="1645"/>
      <c r="AL172" s="1645"/>
      <c r="AM172" s="1645"/>
      <c r="AN172" s="1699"/>
      <c r="AO172" s="1645"/>
      <c r="AP172" s="1645"/>
      <c r="AQ172" s="1645"/>
      <c r="AR172" s="1699"/>
      <c r="AS172" s="1645"/>
      <c r="AT172" s="1645"/>
      <c r="AU172" s="1645"/>
      <c r="AV172" s="1699"/>
      <c r="AW172" s="1645"/>
      <c r="AX172" s="1645"/>
      <c r="AY172" s="1645"/>
      <c r="AZ172" s="1699"/>
      <c r="BA172" s="1645"/>
      <c r="BB172" s="1645"/>
      <c r="BC172" s="1645"/>
      <c r="BD172" s="1699"/>
      <c r="BE172" s="1645"/>
      <c r="BF172" s="1645"/>
      <c r="BG172" s="1645"/>
      <c r="BH172" s="1699"/>
      <c r="BI172" s="1645"/>
      <c r="BJ172" s="1645"/>
      <c r="BK172" s="1645"/>
      <c r="BL172" s="1699"/>
      <c r="BM172" s="1645"/>
      <c r="BN172" s="1645"/>
      <c r="BO172" s="1645"/>
      <c r="BP172" s="970">
        <v>-0.20591456736035052</v>
      </c>
      <c r="BQ172" s="1646">
        <v>-0.23041997729852437</v>
      </c>
      <c r="BR172" s="1646">
        <v>-0.2425683709869203</v>
      </c>
      <c r="BS172" s="1646">
        <v>-0.30126582278481018</v>
      </c>
      <c r="BT172" s="1699">
        <f t="shared" ref="BT172:CM172" si="206">BT171/BP171-1</f>
        <v>-0.31999999999999995</v>
      </c>
      <c r="BU172" s="1645">
        <f t="shared" si="206"/>
        <v>-0.34955752212389379</v>
      </c>
      <c r="BV172" s="1645">
        <f t="shared" si="206"/>
        <v>-0.35949764521193095</v>
      </c>
      <c r="BW172" s="1645">
        <f t="shared" si="206"/>
        <v>-0.31702898550724634</v>
      </c>
      <c r="BX172" s="1699">
        <f t="shared" si="206"/>
        <v>-0.32657200811359022</v>
      </c>
      <c r="BY172" s="1645">
        <f t="shared" si="206"/>
        <v>-0.31972789115646261</v>
      </c>
      <c r="BZ172" s="1645">
        <f t="shared" si="206"/>
        <v>-0.2990196078431373</v>
      </c>
      <c r="CA172" s="1645">
        <f t="shared" si="206"/>
        <v>-0.3183023872679045</v>
      </c>
      <c r="CB172" s="1699">
        <f t="shared" si="206"/>
        <v>-0.21084337349397586</v>
      </c>
      <c r="CC172" s="1645">
        <f t="shared" si="206"/>
        <v>-0.20999999999999996</v>
      </c>
      <c r="CD172" s="1645">
        <f t="shared" si="206"/>
        <v>-0.31118881118881114</v>
      </c>
      <c r="CE172" s="1645">
        <f t="shared" si="206"/>
        <v>-0.34241245136186771</v>
      </c>
      <c r="CF172" s="1699">
        <f t="shared" si="206"/>
        <v>-0.43893129770992367</v>
      </c>
      <c r="CG172" s="1645">
        <f t="shared" si="206"/>
        <v>-0.40928270042194093</v>
      </c>
      <c r="CH172" s="1645">
        <f t="shared" si="206"/>
        <v>-0.35025380710659904</v>
      </c>
      <c r="CI172" s="1645">
        <f t="shared" si="206"/>
        <v>-0.2899408284023669</v>
      </c>
      <c r="CJ172" s="1699">
        <f t="shared" si="206"/>
        <v>-1</v>
      </c>
      <c r="CK172" s="1645">
        <f t="shared" si="206"/>
        <v>-1</v>
      </c>
      <c r="CL172" s="1645">
        <f t="shared" si="206"/>
        <v>-1</v>
      </c>
      <c r="CM172" s="1700">
        <f t="shared" si="206"/>
        <v>-1</v>
      </c>
      <c r="CN172" s="1484"/>
      <c r="CO172" s="1484"/>
      <c r="CP172" s="1484"/>
      <c r="CQ172" s="1700"/>
      <c r="CR172" s="1484"/>
      <c r="CS172" s="1484"/>
      <c r="CT172" s="1484"/>
      <c r="CU172" s="1700"/>
      <c r="CV172" s="1484"/>
      <c r="CW172" s="1484"/>
      <c r="CX172" s="1484"/>
      <c r="CY172" s="1700"/>
      <c r="CZ172" s="1484"/>
      <c r="DA172" s="1484"/>
      <c r="DB172" s="1484"/>
      <c r="DC172" s="1484"/>
      <c r="DD172" s="1484"/>
      <c r="DE172" s="1484"/>
      <c r="DF172" s="1484"/>
      <c r="DG172" s="1484"/>
      <c r="DH172" s="1484"/>
      <c r="DI172" s="1484"/>
      <c r="DJ172" s="1484"/>
      <c r="DK172" s="1484"/>
      <c r="DL172" s="1484"/>
    </row>
    <row r="173" spans="1:116" hidden="1" outlineLevel="1">
      <c r="A173" s="1630"/>
      <c r="B173" s="1642"/>
      <c r="C173" s="1642"/>
      <c r="D173" s="1642"/>
      <c r="E173" s="1641"/>
      <c r="F173" s="1642"/>
      <c r="G173" s="1642"/>
      <c r="H173" s="1642"/>
      <c r="I173" s="1642"/>
      <c r="J173" s="1642"/>
      <c r="K173" s="1681"/>
      <c r="L173" s="1642"/>
      <c r="M173" s="1642"/>
      <c r="N173" s="1642"/>
      <c r="O173" s="1642"/>
      <c r="P173" s="1642"/>
      <c r="Q173" s="1642"/>
      <c r="R173" s="1642"/>
      <c r="S173" s="1642"/>
      <c r="T173" s="1642"/>
      <c r="U173" s="1642"/>
      <c r="V173" s="1642"/>
      <c r="W173" s="1642"/>
      <c r="X173" s="1642"/>
      <c r="Y173" s="1642"/>
      <c r="Z173" s="1642"/>
      <c r="AA173" s="1642"/>
      <c r="AB173" s="1642"/>
      <c r="AC173" s="1642"/>
      <c r="AD173" s="1642"/>
      <c r="AE173" s="1642"/>
      <c r="AF173" s="1641"/>
      <c r="AG173" s="1642"/>
      <c r="AH173" s="1642"/>
      <c r="AI173" s="1642"/>
      <c r="AJ173" s="1641"/>
      <c r="AK173" s="1642"/>
      <c r="AL173" s="1642"/>
      <c r="AM173" s="1642"/>
      <c r="AN173" s="1641"/>
      <c r="AO173" s="1642"/>
      <c r="AP173" s="1642"/>
      <c r="AQ173" s="1642"/>
      <c r="AR173" s="1641"/>
      <c r="AS173" s="1642"/>
      <c r="AT173" s="1642"/>
      <c r="AU173" s="1642"/>
      <c r="AV173" s="1641"/>
      <c r="AW173" s="1642"/>
      <c r="AX173" s="1642"/>
      <c r="AY173" s="1642"/>
      <c r="AZ173" s="1641"/>
      <c r="BA173" s="1642"/>
      <c r="BB173" s="1642"/>
      <c r="BC173" s="1642"/>
      <c r="BD173" s="1641"/>
      <c r="BE173" s="1642"/>
      <c r="BF173" s="1642"/>
      <c r="BG173" s="1642"/>
      <c r="BH173" s="1641"/>
      <c r="BI173" s="1642"/>
      <c r="BJ173" s="1642"/>
      <c r="BK173" s="1642"/>
      <c r="BL173" s="1641"/>
      <c r="BM173" s="1642"/>
      <c r="BN173" s="1642"/>
      <c r="BO173" s="1642"/>
      <c r="BP173" s="1641"/>
      <c r="BQ173" s="1642"/>
      <c r="BR173" s="1642"/>
      <c r="BS173" s="1642"/>
      <c r="BT173" s="1641"/>
      <c r="BU173" s="1642"/>
      <c r="BV173" s="1642"/>
      <c r="BW173" s="1642"/>
      <c r="BX173" s="1641"/>
      <c r="BY173" s="1642"/>
      <c r="BZ173" s="1642"/>
      <c r="CA173" s="1642"/>
      <c r="CB173" s="1641"/>
      <c r="CC173" s="1642"/>
      <c r="CD173" s="1642"/>
      <c r="CE173" s="1642"/>
      <c r="CF173" s="1641"/>
      <c r="CG173" s="1642"/>
      <c r="CH173" s="1642"/>
      <c r="CI173" s="1642"/>
      <c r="CJ173" s="1641"/>
      <c r="CK173" s="1642"/>
      <c r="CL173" s="1642"/>
      <c r="CM173" s="1681"/>
      <c r="CN173" s="1672"/>
      <c r="CO173" s="1672"/>
      <c r="CP173" s="1672"/>
      <c r="CQ173" s="1681"/>
      <c r="CR173" s="1672"/>
      <c r="CS173" s="1672"/>
      <c r="CT173" s="1672"/>
      <c r="CU173" s="1681"/>
      <c r="CV173" s="1672"/>
      <c r="CW173" s="1672"/>
      <c r="CX173" s="1672"/>
      <c r="CY173" s="1681"/>
      <c r="CZ173" s="1672"/>
      <c r="DA173" s="1672"/>
      <c r="DB173" s="1672"/>
      <c r="DC173" s="1672"/>
      <c r="DD173" s="1672"/>
      <c r="DE173" s="1672"/>
      <c r="DF173" s="1672"/>
      <c r="DG173" s="1672"/>
      <c r="DH173" s="1672"/>
      <c r="DI173" s="1672"/>
      <c r="DJ173" s="1672"/>
      <c r="DK173" s="1672"/>
      <c r="DL173" s="1672"/>
    </row>
    <row r="174" spans="1:116" hidden="1" outlineLevel="1">
      <c r="A174" s="1539" t="s">
        <v>947</v>
      </c>
      <c r="B174" s="1642"/>
      <c r="C174" s="1642"/>
      <c r="D174" s="1642"/>
      <c r="E174" s="1641"/>
      <c r="F174" s="1642"/>
      <c r="G174" s="1642"/>
      <c r="H174" s="1642"/>
      <c r="I174" s="1642"/>
      <c r="J174" s="1642"/>
      <c r="K174" s="1681"/>
      <c r="L174" s="1642"/>
      <c r="M174" s="1642"/>
      <c r="N174" s="1642"/>
      <c r="O174" s="1642"/>
      <c r="P174" s="1642"/>
      <c r="Q174" s="1642"/>
      <c r="R174" s="1642"/>
      <c r="S174" s="1642"/>
      <c r="T174" s="1642"/>
      <c r="U174" s="1642"/>
      <c r="V174" s="1642"/>
      <c r="W174" s="1642"/>
      <c r="X174" s="1642"/>
      <c r="Y174" s="1642"/>
      <c r="Z174" s="1642"/>
      <c r="AA174" s="1642"/>
      <c r="AB174" s="1642"/>
      <c r="AC174" s="1642"/>
      <c r="AD174" s="1642"/>
      <c r="AE174" s="1642"/>
      <c r="AF174" s="1641"/>
      <c r="AG174" s="1642"/>
      <c r="AH174" s="1642"/>
      <c r="AI174" s="1642"/>
      <c r="AJ174" s="1641"/>
      <c r="AK174" s="1642"/>
      <c r="AL174" s="1642"/>
      <c r="AM174" s="1642"/>
      <c r="AN174" s="1641"/>
      <c r="AO174" s="1642"/>
      <c r="AP174" s="1642"/>
      <c r="AQ174" s="1642"/>
      <c r="AR174" s="1641"/>
      <c r="AS174" s="1642"/>
      <c r="AT174" s="1642"/>
      <c r="AU174" s="1642"/>
      <c r="AV174" s="1641"/>
      <c r="AW174" s="1642"/>
      <c r="AX174" s="1642"/>
      <c r="AY174" s="1642"/>
      <c r="AZ174" s="1641"/>
      <c r="BA174" s="1642"/>
      <c r="BB174" s="1642"/>
      <c r="BC174" s="1642"/>
      <c r="BD174" s="1641"/>
      <c r="BE174" s="1642"/>
      <c r="BF174" s="1642"/>
      <c r="BG174" s="1642"/>
      <c r="BH174" s="1641"/>
      <c r="BI174" s="1642"/>
      <c r="BJ174" s="1642"/>
      <c r="BK174" s="1642"/>
      <c r="BL174" s="1641"/>
      <c r="BM174" s="1642"/>
      <c r="BN174" s="1642"/>
      <c r="BO174" s="1642"/>
      <c r="BP174" s="1641"/>
      <c r="BQ174" s="1642"/>
      <c r="BR174" s="1642"/>
      <c r="BS174" s="1642"/>
      <c r="BT174" s="1641"/>
      <c r="BU174" s="1642"/>
      <c r="BV174" s="1642"/>
      <c r="BW174" s="1642"/>
      <c r="BX174" s="1641"/>
      <c r="BY174" s="1642"/>
      <c r="BZ174" s="1642"/>
      <c r="CA174" s="1642"/>
      <c r="CB174" s="1641"/>
      <c r="CC174" s="1642"/>
      <c r="CD174" s="1642"/>
      <c r="CE174" s="1642"/>
      <c r="CF174" s="1641"/>
      <c r="CG174" s="1642"/>
      <c r="CH174" s="1642"/>
      <c r="CI174" s="1642"/>
      <c r="CJ174" s="1641"/>
      <c r="CK174" s="1642"/>
      <c r="CL174" s="1642"/>
      <c r="CM174" s="1681"/>
      <c r="CN174" s="1672"/>
      <c r="CO174" s="1672"/>
      <c r="CP174" s="1672"/>
      <c r="CQ174" s="1681"/>
      <c r="CR174" s="1672"/>
      <c r="CS174" s="1672"/>
      <c r="CT174" s="1672"/>
      <c r="CU174" s="1681"/>
      <c r="CV174" s="1672"/>
      <c r="CW174" s="1672"/>
      <c r="CX174" s="1672"/>
      <c r="CY174" s="1681"/>
      <c r="CZ174" s="1672"/>
      <c r="DA174" s="1672"/>
      <c r="DB174" s="1672"/>
      <c r="DC174" s="1672"/>
      <c r="DD174" s="1672"/>
      <c r="DE174" s="1672"/>
      <c r="DF174" s="1672"/>
      <c r="DG174" s="1672"/>
      <c r="DH174" s="1672"/>
      <c r="DI174" s="1672"/>
      <c r="DJ174" s="1672"/>
      <c r="DK174" s="1672"/>
      <c r="DL174" s="1672"/>
    </row>
    <row r="175" spans="1:116" hidden="1" outlineLevel="1">
      <c r="A175" s="1628" t="s">
        <v>652</v>
      </c>
      <c r="B175" s="1642"/>
      <c r="C175" s="1642"/>
      <c r="D175" s="1642"/>
      <c r="E175" s="1641">
        <v>19310</v>
      </c>
      <c r="F175" s="1642">
        <v>20360</v>
      </c>
      <c r="G175" s="1642">
        <f>SUM(AN175:AQ175)</f>
        <v>20600</v>
      </c>
      <c r="H175" s="1642">
        <f>SUM(AR175:AU175)</f>
        <v>21576</v>
      </c>
      <c r="I175" s="1642">
        <f>SUM(AV175:AY175)</f>
        <v>21438</v>
      </c>
      <c r="J175" s="1642">
        <f>SUM(AZ175:BC175)</f>
        <v>20271</v>
      </c>
      <c r="K175" s="1681">
        <f>SUM(BD175:BG175)</f>
        <v>19185</v>
      </c>
      <c r="L175" s="1642"/>
      <c r="M175" s="1642"/>
      <c r="N175" s="1642"/>
      <c r="O175" s="1642"/>
      <c r="P175" s="1642"/>
      <c r="Q175" s="1642"/>
      <c r="R175" s="1642"/>
      <c r="S175" s="1642"/>
      <c r="T175" s="1642"/>
      <c r="U175" s="1642"/>
      <c r="V175" s="1642"/>
      <c r="W175" s="1642"/>
      <c r="X175" s="1642"/>
      <c r="Y175" s="1642"/>
      <c r="Z175" s="1642"/>
      <c r="AA175" s="1642"/>
      <c r="AB175" s="1642"/>
      <c r="AC175" s="1642"/>
      <c r="AD175" s="1642"/>
      <c r="AE175" s="1642"/>
      <c r="AF175" s="1641">
        <v>4680</v>
      </c>
      <c r="AG175" s="1642">
        <v>4775</v>
      </c>
      <c r="AH175" s="1642">
        <v>4818</v>
      </c>
      <c r="AI175" s="1642">
        <v>5037</v>
      </c>
      <c r="AJ175" s="1641">
        <v>4929</v>
      </c>
      <c r="AK175" s="1642">
        <v>5090</v>
      </c>
      <c r="AL175" s="1642">
        <v>5148</v>
      </c>
      <c r="AM175" s="1642">
        <v>5193</v>
      </c>
      <c r="AN175" s="1641">
        <v>5043</v>
      </c>
      <c r="AO175" s="1642">
        <v>5173</v>
      </c>
      <c r="AP175" s="1642">
        <v>5267</v>
      </c>
      <c r="AQ175" s="1642">
        <v>5117</v>
      </c>
      <c r="AR175" s="1641">
        <v>5316</v>
      </c>
      <c r="AS175" s="1642">
        <v>5424</v>
      </c>
      <c r="AT175" s="1642">
        <v>5379</v>
      </c>
      <c r="AU175" s="1642">
        <v>5457</v>
      </c>
      <c r="AV175" s="1641">
        <v>5500</v>
      </c>
      <c r="AW175" s="1642">
        <v>5423</v>
      </c>
      <c r="AX175" s="1642">
        <v>5238</v>
      </c>
      <c r="AY175" s="1642">
        <v>5277</v>
      </c>
      <c r="AZ175" s="1641">
        <v>5116</v>
      </c>
      <c r="BA175" s="1642">
        <v>5111</v>
      </c>
      <c r="BB175" s="1642">
        <v>5138</v>
      </c>
      <c r="BC175" s="1642">
        <v>4906</v>
      </c>
      <c r="BD175" s="1641">
        <v>4833</v>
      </c>
      <c r="BE175" s="1642">
        <v>4837</v>
      </c>
      <c r="BF175" s="1642">
        <v>4760</v>
      </c>
      <c r="BG175" s="1642">
        <v>4755</v>
      </c>
      <c r="BH175" s="1641">
        <v>4616</v>
      </c>
      <c r="BI175" s="1642">
        <v>4592</v>
      </c>
      <c r="BJ175" s="1642">
        <v>4565</v>
      </c>
      <c r="BK175" s="1642">
        <v>4496</v>
      </c>
      <c r="BL175" s="1641">
        <v>4419</v>
      </c>
      <c r="BM175" s="1642">
        <v>4427</v>
      </c>
      <c r="BN175" s="1642">
        <v>4379</v>
      </c>
      <c r="BO175" s="1642">
        <v>4375</v>
      </c>
      <c r="BP175" s="1641"/>
      <c r="BQ175" s="1642"/>
      <c r="BR175" s="1642"/>
      <c r="BS175" s="1642"/>
      <c r="BT175" s="1641"/>
      <c r="BU175" s="1642"/>
      <c r="BV175" s="1642"/>
      <c r="BW175" s="1642"/>
      <c r="BX175" s="1641"/>
      <c r="BY175" s="1642"/>
      <c r="BZ175" s="1642"/>
      <c r="CA175" s="1642"/>
      <c r="CB175" s="1641"/>
      <c r="CC175" s="1642"/>
      <c r="CD175" s="1642"/>
      <c r="CE175" s="1642"/>
      <c r="CF175" s="1641"/>
      <c r="CG175" s="1642"/>
      <c r="CH175" s="1642"/>
      <c r="CI175" s="1642"/>
      <c r="CJ175" s="1641"/>
      <c r="CK175" s="1642"/>
      <c r="CL175" s="1642"/>
      <c r="CM175" s="1681"/>
      <c r="CN175" s="1672"/>
      <c r="CO175" s="1672"/>
      <c r="CP175" s="1672"/>
      <c r="CQ175" s="1681"/>
      <c r="CR175" s="1672"/>
      <c r="CS175" s="1672"/>
      <c r="CT175" s="1672"/>
      <c r="CU175" s="1681"/>
      <c r="CV175" s="1672"/>
      <c r="CW175" s="1672"/>
      <c r="CX175" s="1672"/>
      <c r="CY175" s="1681"/>
      <c r="CZ175" s="1672"/>
      <c r="DA175" s="1672"/>
      <c r="DB175" s="1672"/>
      <c r="DC175" s="1672"/>
      <c r="DD175" s="1672"/>
      <c r="DE175" s="1672"/>
      <c r="DF175" s="1672"/>
      <c r="DG175" s="1672"/>
      <c r="DH175" s="1672"/>
      <c r="DI175" s="1672"/>
      <c r="DJ175" s="1672"/>
      <c r="DK175" s="1672"/>
      <c r="DL175" s="1672"/>
    </row>
    <row r="176" spans="1:116" hidden="1" outlineLevel="1">
      <c r="A176" s="1628" t="s">
        <v>653</v>
      </c>
      <c r="B176" s="1642"/>
      <c r="C176" s="1642"/>
      <c r="D176" s="1642"/>
      <c r="E176" s="1641">
        <v>12218</v>
      </c>
      <c r="F176" s="1642">
        <v>12942</v>
      </c>
      <c r="G176" s="1642">
        <f>SUM(AN176:AQ176)</f>
        <v>12827</v>
      </c>
      <c r="H176" s="1642">
        <f>SUM(AR176:AU176)</f>
        <v>12698</v>
      </c>
      <c r="I176" s="1642">
        <f>SUM(AV176:AY176)</f>
        <v>12968</v>
      </c>
      <c r="J176" s="1642">
        <f>SUM(AZ176:BC176)</f>
        <v>13427</v>
      </c>
      <c r="K176" s="1681">
        <f>SUM(BD176:BG176)</f>
        <v>12544</v>
      </c>
      <c r="L176" s="1642"/>
      <c r="M176" s="1642"/>
      <c r="N176" s="1642"/>
      <c r="O176" s="1642"/>
      <c r="P176" s="1642"/>
      <c r="Q176" s="1642"/>
      <c r="R176" s="1642"/>
      <c r="S176" s="1642"/>
      <c r="T176" s="1642"/>
      <c r="U176" s="1642"/>
      <c r="V176" s="1642"/>
      <c r="W176" s="1642"/>
      <c r="X176" s="1642"/>
      <c r="Y176" s="1642"/>
      <c r="Z176" s="1642"/>
      <c r="AA176" s="1642"/>
      <c r="AB176" s="1642"/>
      <c r="AC176" s="1642"/>
      <c r="AD176" s="1642"/>
      <c r="AE176" s="1642"/>
      <c r="AF176" s="1641">
        <v>3004</v>
      </c>
      <c r="AG176" s="1642">
        <v>3103</v>
      </c>
      <c r="AH176" s="1642">
        <v>3058</v>
      </c>
      <c r="AI176" s="1642">
        <v>3053</v>
      </c>
      <c r="AJ176" s="1641">
        <v>3194</v>
      </c>
      <c r="AK176" s="1642">
        <v>3263</v>
      </c>
      <c r="AL176" s="1642">
        <v>3222</v>
      </c>
      <c r="AM176" s="1642">
        <v>3263</v>
      </c>
      <c r="AN176" s="1641">
        <v>3140</v>
      </c>
      <c r="AO176" s="1642">
        <v>3253</v>
      </c>
      <c r="AP176" s="1642">
        <v>3222</v>
      </c>
      <c r="AQ176" s="1642">
        <v>3212</v>
      </c>
      <c r="AR176" s="1641">
        <v>3123</v>
      </c>
      <c r="AS176" s="1642">
        <v>3184</v>
      </c>
      <c r="AT176" s="1642">
        <v>3188</v>
      </c>
      <c r="AU176" s="1642">
        <v>3203</v>
      </c>
      <c r="AV176" s="1641">
        <v>3181</v>
      </c>
      <c r="AW176" s="1642">
        <v>3296</v>
      </c>
      <c r="AX176" s="1642">
        <v>3281</v>
      </c>
      <c r="AY176" s="1642">
        <v>3210</v>
      </c>
      <c r="AZ176" s="1641">
        <v>3379</v>
      </c>
      <c r="BA176" s="1642">
        <v>3347</v>
      </c>
      <c r="BB176" s="1642">
        <v>3318</v>
      </c>
      <c r="BC176" s="1642">
        <v>3383</v>
      </c>
      <c r="BD176" s="1641">
        <v>3278</v>
      </c>
      <c r="BE176" s="1642">
        <v>3186</v>
      </c>
      <c r="BF176" s="1642">
        <v>3050</v>
      </c>
      <c r="BG176" s="1642">
        <v>3030</v>
      </c>
      <c r="BH176" s="1641">
        <v>3055</v>
      </c>
      <c r="BI176" s="1642">
        <v>3003</v>
      </c>
      <c r="BJ176" s="1642">
        <v>2982</v>
      </c>
      <c r="BK176" s="1642">
        <v>3018</v>
      </c>
      <c r="BL176" s="1641">
        <v>3060</v>
      </c>
      <c r="BM176" s="1642">
        <v>3017</v>
      </c>
      <c r="BN176" s="1642">
        <v>3069</v>
      </c>
      <c r="BO176" s="1642">
        <v>3071</v>
      </c>
      <c r="BP176" s="1641"/>
      <c r="BQ176" s="1642"/>
      <c r="BR176" s="1642"/>
      <c r="BS176" s="1642"/>
      <c r="BT176" s="1641"/>
      <c r="BU176" s="1642"/>
      <c r="BV176" s="1642"/>
      <c r="BW176" s="1642"/>
      <c r="BX176" s="1641"/>
      <c r="BY176" s="1642"/>
      <c r="BZ176" s="1642"/>
      <c r="CA176" s="1642"/>
      <c r="CB176" s="1641"/>
      <c r="CC176" s="1642"/>
      <c r="CD176" s="1642"/>
      <c r="CE176" s="1642"/>
      <c r="CF176" s="1641"/>
      <c r="CG176" s="1642"/>
      <c r="CH176" s="1642"/>
      <c r="CI176" s="1642"/>
      <c r="CJ176" s="1641"/>
      <c r="CK176" s="1642"/>
      <c r="CL176" s="1642"/>
      <c r="CM176" s="1681"/>
      <c r="CN176" s="1672"/>
      <c r="CO176" s="1672"/>
      <c r="CP176" s="1672"/>
      <c r="CQ176" s="1681"/>
      <c r="CR176" s="1672"/>
      <c r="CS176" s="1672"/>
      <c r="CT176" s="1672"/>
      <c r="CU176" s="1681"/>
      <c r="CV176" s="1672"/>
      <c r="CW176" s="1672"/>
      <c r="CX176" s="1672"/>
      <c r="CY176" s="1681"/>
      <c r="CZ176" s="1672"/>
      <c r="DA176" s="1672"/>
      <c r="DB176" s="1672"/>
      <c r="DC176" s="1672"/>
      <c r="DD176" s="1672"/>
      <c r="DE176" s="1672"/>
      <c r="DF176" s="1672"/>
      <c r="DG176" s="1672"/>
      <c r="DH176" s="1672"/>
      <c r="DI176" s="1672"/>
      <c r="DJ176" s="1672"/>
      <c r="DK176" s="1672"/>
      <c r="DL176" s="1672"/>
    </row>
    <row r="177" spans="1:116" hidden="1" outlineLevel="1">
      <c r="A177" s="1628" t="s">
        <v>654</v>
      </c>
      <c r="B177" s="1642"/>
      <c r="C177" s="1642"/>
      <c r="D177" s="1642"/>
      <c r="E177" s="1641">
        <v>3721</v>
      </c>
      <c r="F177" s="1642">
        <v>3380</v>
      </c>
      <c r="G177" s="1642">
        <f>SUM(AN177:AQ177)</f>
        <v>3183</v>
      </c>
      <c r="H177" s="1642">
        <f>SUM(AR177:AU177)</f>
        <v>3111</v>
      </c>
      <c r="I177" s="1642">
        <f>SUM(AV177:AY177)</f>
        <v>3070</v>
      </c>
      <c r="J177" s="1642">
        <f>SUM(AZ177:BC177)</f>
        <v>3170</v>
      </c>
      <c r="K177" s="1681">
        <f>SUM(BD177:BG177)</f>
        <v>3751</v>
      </c>
      <c r="L177" s="1642"/>
      <c r="M177" s="1642"/>
      <c r="N177" s="1642"/>
      <c r="O177" s="1642"/>
      <c r="P177" s="1642"/>
      <c r="Q177" s="1642"/>
      <c r="R177" s="1642"/>
      <c r="S177" s="1642"/>
      <c r="T177" s="1642"/>
      <c r="U177" s="1642"/>
      <c r="V177" s="1642"/>
      <c r="W177" s="1642"/>
      <c r="X177" s="1642"/>
      <c r="Y177" s="1642"/>
      <c r="Z177" s="1642"/>
      <c r="AA177" s="1642"/>
      <c r="AB177" s="1642"/>
      <c r="AC177" s="1642"/>
      <c r="AD177" s="1642"/>
      <c r="AE177" s="1642"/>
      <c r="AF177" s="1641">
        <v>985</v>
      </c>
      <c r="AG177" s="1642">
        <v>943</v>
      </c>
      <c r="AH177" s="1642">
        <v>940</v>
      </c>
      <c r="AI177" s="1642">
        <v>853</v>
      </c>
      <c r="AJ177" s="1641">
        <v>861</v>
      </c>
      <c r="AK177" s="1642">
        <v>824</v>
      </c>
      <c r="AL177" s="1642">
        <v>854</v>
      </c>
      <c r="AM177" s="1642">
        <v>841</v>
      </c>
      <c r="AN177" s="1641">
        <v>813</v>
      </c>
      <c r="AO177" s="1642">
        <v>766</v>
      </c>
      <c r="AP177" s="1642">
        <v>810</v>
      </c>
      <c r="AQ177" s="1642">
        <v>794</v>
      </c>
      <c r="AR177" s="1641">
        <v>793</v>
      </c>
      <c r="AS177" s="1642">
        <v>768</v>
      </c>
      <c r="AT177" s="1642">
        <v>791</v>
      </c>
      <c r="AU177" s="1642">
        <v>759</v>
      </c>
      <c r="AV177" s="1641">
        <v>752</v>
      </c>
      <c r="AW177" s="1642">
        <v>750</v>
      </c>
      <c r="AX177" s="1642">
        <v>784</v>
      </c>
      <c r="AY177" s="1642">
        <v>784</v>
      </c>
      <c r="AZ177" s="1641">
        <v>771</v>
      </c>
      <c r="BA177" s="1642">
        <v>769</v>
      </c>
      <c r="BB177" s="1642">
        <v>853</v>
      </c>
      <c r="BC177" s="1642">
        <v>777</v>
      </c>
      <c r="BD177" s="1641">
        <v>872</v>
      </c>
      <c r="BE177" s="1642">
        <v>893</v>
      </c>
      <c r="BF177" s="1642">
        <v>992</v>
      </c>
      <c r="BG177" s="1642">
        <v>994</v>
      </c>
      <c r="BH177" s="1641">
        <v>987</v>
      </c>
      <c r="BI177" s="1642">
        <v>1023</v>
      </c>
      <c r="BJ177" s="1642">
        <v>1078</v>
      </c>
      <c r="BK177" s="1642">
        <v>1053</v>
      </c>
      <c r="BL177" s="1641">
        <v>1071</v>
      </c>
      <c r="BM177" s="1642">
        <v>1092</v>
      </c>
      <c r="BN177" s="1642">
        <v>1103</v>
      </c>
      <c r="BO177" s="1642">
        <v>1081</v>
      </c>
      <c r="BP177" s="1641"/>
      <c r="BQ177" s="1642"/>
      <c r="BR177" s="1642"/>
      <c r="BS177" s="1642"/>
      <c r="BT177" s="1641"/>
      <c r="BU177" s="1642"/>
      <c r="BV177" s="1642"/>
      <c r="BW177" s="1642"/>
      <c r="BX177" s="1641"/>
      <c r="BY177" s="1642"/>
      <c r="BZ177" s="1642"/>
      <c r="CA177" s="1642"/>
      <c r="CB177" s="1641"/>
      <c r="CC177" s="1642"/>
      <c r="CD177" s="1642"/>
      <c r="CE177" s="1642"/>
      <c r="CF177" s="1641"/>
      <c r="CG177" s="1642"/>
      <c r="CH177" s="1642"/>
      <c r="CI177" s="1642"/>
      <c r="CJ177" s="1641"/>
      <c r="CK177" s="1642"/>
      <c r="CL177" s="1642"/>
      <c r="CM177" s="1681"/>
      <c r="CN177" s="1672"/>
      <c r="CO177" s="1672"/>
      <c r="CP177" s="1672"/>
      <c r="CQ177" s="1681"/>
      <c r="CR177" s="1672"/>
      <c r="CS177" s="1672"/>
      <c r="CT177" s="1672"/>
      <c r="CU177" s="1681"/>
      <c r="CV177" s="1672"/>
      <c r="CW177" s="1672"/>
      <c r="CX177" s="1672"/>
      <c r="CY177" s="1681"/>
      <c r="CZ177" s="1672"/>
      <c r="DA177" s="1672"/>
      <c r="DB177" s="1672"/>
      <c r="DC177" s="1672"/>
      <c r="DD177" s="1672"/>
      <c r="DE177" s="1672"/>
      <c r="DF177" s="1672"/>
      <c r="DG177" s="1672"/>
      <c r="DH177" s="1672"/>
      <c r="DI177" s="1672"/>
      <c r="DJ177" s="1672"/>
      <c r="DK177" s="1672"/>
      <c r="DL177" s="1672"/>
    </row>
    <row r="178" spans="1:116" hidden="1" outlineLevel="1">
      <c r="A178" s="1628" t="s">
        <v>655</v>
      </c>
      <c r="B178" s="1642"/>
      <c r="C178" s="1642"/>
      <c r="D178" s="1642"/>
      <c r="E178" s="1641">
        <v>4177</v>
      </c>
      <c r="F178" s="1642">
        <v>4837</v>
      </c>
      <c r="G178" s="1642">
        <f>SUM(AN178:AQ178)</f>
        <v>5113</v>
      </c>
      <c r="H178" s="1642">
        <f>SUM(AR178:AU178)</f>
        <v>4937</v>
      </c>
      <c r="I178" s="1642">
        <f>SUM(AV178:AY178)</f>
        <v>4605</v>
      </c>
      <c r="J178" s="1642">
        <f>SUM(AZ178:BC178)</f>
        <v>3971</v>
      </c>
      <c r="K178" s="1681">
        <f>SUM(BD178:BG178)</f>
        <v>3575</v>
      </c>
      <c r="L178" s="1642"/>
      <c r="M178" s="1642"/>
      <c r="N178" s="1642"/>
      <c r="O178" s="1642"/>
      <c r="P178" s="1642"/>
      <c r="Q178" s="1642"/>
      <c r="R178" s="1642"/>
      <c r="S178" s="1642"/>
      <c r="T178" s="1642"/>
      <c r="U178" s="1642"/>
      <c r="V178" s="1642"/>
      <c r="W178" s="1642"/>
      <c r="X178" s="1642"/>
      <c r="Y178" s="1642"/>
      <c r="Z178" s="1642"/>
      <c r="AA178" s="1642"/>
      <c r="AB178" s="1642"/>
      <c r="AC178" s="1642"/>
      <c r="AD178" s="1642"/>
      <c r="AE178" s="1642"/>
      <c r="AF178" s="1641">
        <v>907</v>
      </c>
      <c r="AG178" s="1642">
        <v>997</v>
      </c>
      <c r="AH178" s="1642">
        <v>1096</v>
      </c>
      <c r="AI178" s="1642">
        <v>1177</v>
      </c>
      <c r="AJ178" s="1641">
        <v>1088</v>
      </c>
      <c r="AK178" s="1642">
        <v>1148</v>
      </c>
      <c r="AL178" s="1642">
        <v>1278</v>
      </c>
      <c r="AM178" s="1642">
        <v>1323</v>
      </c>
      <c r="AN178" s="1641">
        <v>1173</v>
      </c>
      <c r="AO178" s="1642">
        <v>1243</v>
      </c>
      <c r="AP178" s="1642">
        <v>1235</v>
      </c>
      <c r="AQ178" s="1642">
        <v>1462</v>
      </c>
      <c r="AR178" s="1641">
        <v>1134</v>
      </c>
      <c r="AS178" s="1642">
        <v>1285</v>
      </c>
      <c r="AT178" s="1642">
        <v>1260</v>
      </c>
      <c r="AU178" s="1642">
        <v>1258</v>
      </c>
      <c r="AV178" s="1641">
        <v>1228</v>
      </c>
      <c r="AW178" s="1642">
        <v>1233</v>
      </c>
      <c r="AX178" s="1642">
        <v>1119</v>
      </c>
      <c r="AY178" s="1642">
        <v>1025</v>
      </c>
      <c r="AZ178" s="1641">
        <v>985</v>
      </c>
      <c r="BA178" s="1642">
        <v>1027</v>
      </c>
      <c r="BB178" s="1642">
        <v>959</v>
      </c>
      <c r="BC178" s="1642">
        <v>1000</v>
      </c>
      <c r="BD178" s="1641">
        <v>820</v>
      </c>
      <c r="BE178" s="1642">
        <v>856</v>
      </c>
      <c r="BF178" s="1642">
        <v>915</v>
      </c>
      <c r="BG178" s="1642">
        <v>984</v>
      </c>
      <c r="BH178" s="1641">
        <v>823</v>
      </c>
      <c r="BI178" s="1642">
        <v>874</v>
      </c>
      <c r="BJ178" s="1642">
        <v>890</v>
      </c>
      <c r="BK178" s="1642">
        <v>966</v>
      </c>
      <c r="BL178" s="1641">
        <v>817</v>
      </c>
      <c r="BM178" s="1642">
        <v>909</v>
      </c>
      <c r="BN178" s="1642">
        <v>894</v>
      </c>
      <c r="BO178" s="1642">
        <v>832</v>
      </c>
      <c r="BP178" s="1641"/>
      <c r="BQ178" s="1642"/>
      <c r="BR178" s="1642"/>
      <c r="BS178" s="1642"/>
      <c r="BT178" s="1641"/>
      <c r="BU178" s="1642"/>
      <c r="BV178" s="1642"/>
      <c r="BW178" s="1642"/>
      <c r="BX178" s="1641"/>
      <c r="BY178" s="1642"/>
      <c r="BZ178" s="1642"/>
      <c r="CA178" s="1642"/>
      <c r="CB178" s="1641"/>
      <c r="CC178" s="1642"/>
      <c r="CD178" s="1642"/>
      <c r="CE178" s="1642"/>
      <c r="CF178" s="1641"/>
      <c r="CG178" s="1642"/>
      <c r="CH178" s="1642"/>
      <c r="CI178" s="1642"/>
      <c r="CJ178" s="1641"/>
      <c r="CK178" s="1642"/>
      <c r="CL178" s="1642"/>
      <c r="CM178" s="1681"/>
      <c r="CN178" s="1672"/>
      <c r="CO178" s="1672"/>
      <c r="CP178" s="1672"/>
      <c r="CQ178" s="1681"/>
      <c r="CR178" s="1672"/>
      <c r="CS178" s="1672"/>
      <c r="CT178" s="1672"/>
      <c r="CU178" s="1681"/>
      <c r="CV178" s="1672"/>
      <c r="CW178" s="1672"/>
      <c r="CX178" s="1672"/>
      <c r="CY178" s="1681"/>
      <c r="CZ178" s="1672"/>
      <c r="DA178" s="1672"/>
      <c r="DB178" s="1672"/>
      <c r="DC178" s="1672"/>
      <c r="DD178" s="1672"/>
      <c r="DE178" s="1672"/>
      <c r="DF178" s="1672"/>
      <c r="DG178" s="1672"/>
      <c r="DH178" s="1672"/>
      <c r="DI178" s="1672"/>
      <c r="DJ178" s="1672"/>
      <c r="DK178" s="1672"/>
      <c r="DL178" s="1672"/>
    </row>
    <row r="179" spans="1:116" hidden="1" outlineLevel="1">
      <c r="A179" s="1539" t="s">
        <v>956</v>
      </c>
      <c r="B179" s="1642"/>
      <c r="C179" s="1642"/>
      <c r="D179" s="1642"/>
      <c r="E179" s="1641">
        <f t="shared" ref="E179:J179" si="207">SUM(E175:E178)</f>
        <v>39426</v>
      </c>
      <c r="F179" s="1642">
        <f t="shared" si="207"/>
        <v>41519</v>
      </c>
      <c r="G179" s="1642">
        <f t="shared" si="207"/>
        <v>41723</v>
      </c>
      <c r="H179" s="1642">
        <f t="shared" si="207"/>
        <v>42322</v>
      </c>
      <c r="I179" s="1642">
        <f t="shared" si="207"/>
        <v>42081</v>
      </c>
      <c r="J179" s="1642">
        <f t="shared" si="207"/>
        <v>40839</v>
      </c>
      <c r="K179" s="1681">
        <f>SUM(BD179:BG179)</f>
        <v>39055</v>
      </c>
      <c r="L179" s="1642"/>
      <c r="M179" s="1642"/>
      <c r="N179" s="1642"/>
      <c r="O179" s="1642"/>
      <c r="P179" s="1642"/>
      <c r="Q179" s="1642"/>
      <c r="R179" s="1642"/>
      <c r="S179" s="1642"/>
      <c r="T179" s="1642"/>
      <c r="U179" s="1642"/>
      <c r="V179" s="1642"/>
      <c r="W179" s="1642"/>
      <c r="X179" s="1642"/>
      <c r="Y179" s="1642"/>
      <c r="Z179" s="1642"/>
      <c r="AA179" s="1642"/>
      <c r="AB179" s="1642"/>
      <c r="AC179" s="1642"/>
      <c r="AD179" s="1642"/>
      <c r="AE179" s="1642"/>
      <c r="AF179" s="1641">
        <f t="shared" ref="AF179:BO179" si="208">SUM(AF175:AF178)</f>
        <v>9576</v>
      </c>
      <c r="AG179" s="1642">
        <f t="shared" si="208"/>
        <v>9818</v>
      </c>
      <c r="AH179" s="1642">
        <f t="shared" si="208"/>
        <v>9912</v>
      </c>
      <c r="AI179" s="1642">
        <f t="shared" si="208"/>
        <v>10120</v>
      </c>
      <c r="AJ179" s="1641">
        <f t="shared" si="208"/>
        <v>10072</v>
      </c>
      <c r="AK179" s="1642">
        <f t="shared" si="208"/>
        <v>10325</v>
      </c>
      <c r="AL179" s="1642">
        <f t="shared" si="208"/>
        <v>10502</v>
      </c>
      <c r="AM179" s="1642">
        <f t="shared" si="208"/>
        <v>10620</v>
      </c>
      <c r="AN179" s="1641">
        <f t="shared" si="208"/>
        <v>10169</v>
      </c>
      <c r="AO179" s="1642">
        <f t="shared" si="208"/>
        <v>10435</v>
      </c>
      <c r="AP179" s="1642">
        <f t="shared" si="208"/>
        <v>10534</v>
      </c>
      <c r="AQ179" s="1642">
        <f t="shared" si="208"/>
        <v>10585</v>
      </c>
      <c r="AR179" s="1641">
        <f t="shared" si="208"/>
        <v>10366</v>
      </c>
      <c r="AS179" s="1642">
        <f t="shared" si="208"/>
        <v>10661</v>
      </c>
      <c r="AT179" s="1642">
        <f t="shared" si="208"/>
        <v>10618</v>
      </c>
      <c r="AU179" s="1642">
        <f t="shared" si="208"/>
        <v>10677</v>
      </c>
      <c r="AV179" s="1641">
        <f t="shared" si="208"/>
        <v>10661</v>
      </c>
      <c r="AW179" s="1642">
        <f t="shared" si="208"/>
        <v>10702</v>
      </c>
      <c r="AX179" s="1642">
        <f t="shared" si="208"/>
        <v>10422</v>
      </c>
      <c r="AY179" s="1642">
        <f t="shared" si="208"/>
        <v>10296</v>
      </c>
      <c r="AZ179" s="1641">
        <f t="shared" si="208"/>
        <v>10251</v>
      </c>
      <c r="BA179" s="1642">
        <f t="shared" si="208"/>
        <v>10254</v>
      </c>
      <c r="BB179" s="1642">
        <f t="shared" si="208"/>
        <v>10268</v>
      </c>
      <c r="BC179" s="1642">
        <f t="shared" si="208"/>
        <v>10066</v>
      </c>
      <c r="BD179" s="1694">
        <f t="shared" si="208"/>
        <v>9803</v>
      </c>
      <c r="BE179" s="1693">
        <f t="shared" si="208"/>
        <v>9772</v>
      </c>
      <c r="BF179" s="1693">
        <f t="shared" si="208"/>
        <v>9717</v>
      </c>
      <c r="BG179" s="1693">
        <f t="shared" si="208"/>
        <v>9763</v>
      </c>
      <c r="BH179" s="1694">
        <f t="shared" si="208"/>
        <v>9481</v>
      </c>
      <c r="BI179" s="1693">
        <f t="shared" si="208"/>
        <v>9492</v>
      </c>
      <c r="BJ179" s="1693">
        <f t="shared" si="208"/>
        <v>9515</v>
      </c>
      <c r="BK179" s="1693">
        <f t="shared" si="208"/>
        <v>9533</v>
      </c>
      <c r="BL179" s="1694">
        <f t="shared" si="208"/>
        <v>9367</v>
      </c>
      <c r="BM179" s="1693">
        <f t="shared" si="208"/>
        <v>9445</v>
      </c>
      <c r="BN179" s="1693">
        <f t="shared" si="208"/>
        <v>9445</v>
      </c>
      <c r="BO179" s="1693">
        <f t="shared" si="208"/>
        <v>9359</v>
      </c>
      <c r="BP179" s="1641">
        <f t="shared" ref="BP179:CA179" si="209">BP151</f>
        <v>12142</v>
      </c>
      <c r="BQ179" s="1642">
        <f t="shared" si="209"/>
        <v>12457</v>
      </c>
      <c r="BR179" s="1642">
        <f t="shared" si="209"/>
        <v>12483</v>
      </c>
      <c r="BS179" s="1642">
        <f t="shared" si="209"/>
        <v>12422</v>
      </c>
      <c r="BT179" s="1641">
        <f t="shared" si="209"/>
        <v>12178</v>
      </c>
      <c r="BU179" s="1642">
        <f t="shared" si="209"/>
        <v>12330</v>
      </c>
      <c r="BV179" s="1642">
        <f t="shared" si="209"/>
        <v>12372</v>
      </c>
      <c r="BW179" s="1642">
        <f t="shared" si="209"/>
        <v>12249</v>
      </c>
      <c r="BX179" s="1641">
        <f t="shared" si="209"/>
        <v>12026</v>
      </c>
      <c r="BY179" s="1642">
        <f t="shared" si="209"/>
        <v>12113</v>
      </c>
      <c r="BZ179" s="1642">
        <f t="shared" si="209"/>
        <v>12158</v>
      </c>
      <c r="CA179" s="1642">
        <f t="shared" si="209"/>
        <v>11917</v>
      </c>
      <c r="CB179" s="1641">
        <f t="shared" ref="CB179:CU179" si="210">+CB159</f>
        <v>0</v>
      </c>
      <c r="CC179" s="1642">
        <f t="shared" si="210"/>
        <v>0</v>
      </c>
      <c r="CD179" s="1642">
        <f t="shared" si="210"/>
        <v>0</v>
      </c>
      <c r="CE179" s="1642">
        <f t="shared" si="210"/>
        <v>0</v>
      </c>
      <c r="CF179" s="1641">
        <f t="shared" si="210"/>
        <v>0</v>
      </c>
      <c r="CG179" s="1642">
        <f t="shared" si="210"/>
        <v>0</v>
      </c>
      <c r="CH179" s="1642">
        <f t="shared" si="210"/>
        <v>0</v>
      </c>
      <c r="CI179" s="1642">
        <f t="shared" si="210"/>
        <v>0</v>
      </c>
      <c r="CJ179" s="1641">
        <f t="shared" si="210"/>
        <v>0</v>
      </c>
      <c r="CK179" s="1642">
        <f t="shared" si="210"/>
        <v>0</v>
      </c>
      <c r="CL179" s="1642">
        <f t="shared" si="210"/>
        <v>0</v>
      </c>
      <c r="CM179" s="1681">
        <f t="shared" si="210"/>
        <v>0</v>
      </c>
      <c r="CN179" s="1672">
        <f t="shared" si="210"/>
        <v>0</v>
      </c>
      <c r="CO179" s="1672">
        <f t="shared" si="210"/>
        <v>0</v>
      </c>
      <c r="CP179" s="1672">
        <f t="shared" si="210"/>
        <v>0</v>
      </c>
      <c r="CQ179" s="1681">
        <f t="shared" si="210"/>
        <v>0</v>
      </c>
      <c r="CR179" s="1672">
        <f t="shared" si="210"/>
        <v>0</v>
      </c>
      <c r="CS179" s="1672">
        <f t="shared" si="210"/>
        <v>0</v>
      </c>
      <c r="CT179" s="1672">
        <f t="shared" si="210"/>
        <v>0</v>
      </c>
      <c r="CU179" s="1681">
        <f t="shared" si="210"/>
        <v>0</v>
      </c>
      <c r="CV179" s="1672">
        <f t="shared" ref="CV179:DA179" si="211">+CV159</f>
        <v>0</v>
      </c>
      <c r="CW179" s="1672">
        <f t="shared" si="211"/>
        <v>0</v>
      </c>
      <c r="CX179" s="1672">
        <f t="shared" si="211"/>
        <v>0</v>
      </c>
      <c r="CY179" s="1681">
        <f t="shared" si="211"/>
        <v>0</v>
      </c>
      <c r="CZ179" s="1672">
        <f t="shared" si="211"/>
        <v>8914</v>
      </c>
      <c r="DA179" s="1672">
        <f t="shared" si="211"/>
        <v>8876</v>
      </c>
      <c r="DB179" s="1672">
        <f t="shared" ref="DB179:DG179" si="212">+DB159</f>
        <v>8811</v>
      </c>
      <c r="DC179" s="1672">
        <f t="shared" si="212"/>
        <v>8920</v>
      </c>
      <c r="DD179" s="1672">
        <f t="shared" si="212"/>
        <v>8765</v>
      </c>
      <c r="DE179" s="1672">
        <f t="shared" si="212"/>
        <v>7823</v>
      </c>
      <c r="DF179" s="1672">
        <f t="shared" si="212"/>
        <v>7787</v>
      </c>
      <c r="DG179" s="1672">
        <f t="shared" si="212"/>
        <v>7812</v>
      </c>
      <c r="DH179" s="1672">
        <f t="shared" ref="DH179:DI179" si="213">+DH159</f>
        <v>7876</v>
      </c>
      <c r="DI179" s="1672">
        <f t="shared" si="213"/>
        <v>7802</v>
      </c>
      <c r="DJ179" s="1672">
        <f t="shared" ref="DJ179:DK179" si="214">+DJ159</f>
        <v>7662</v>
      </c>
      <c r="DK179" s="1672">
        <f t="shared" si="214"/>
        <v>7617</v>
      </c>
      <c r="DL179" s="1672">
        <f t="shared" ref="DL179" si="215">+DL159</f>
        <v>7557</v>
      </c>
    </row>
    <row r="180" spans="1:116" hidden="1" outlineLevel="1">
      <c r="A180" s="1629" t="s">
        <v>1237</v>
      </c>
      <c r="B180" s="1658"/>
      <c r="C180" s="1658"/>
      <c r="D180" s="1658"/>
      <c r="E180" s="1659">
        <f t="shared" ref="E180:K180" si="216">E6-E179</f>
        <v>0</v>
      </c>
      <c r="F180" s="1658">
        <f t="shared" si="216"/>
        <v>0</v>
      </c>
      <c r="G180" s="1658">
        <f t="shared" si="216"/>
        <v>0</v>
      </c>
      <c r="H180" s="1658">
        <f t="shared" si="216"/>
        <v>0</v>
      </c>
      <c r="I180" s="1658">
        <f t="shared" si="216"/>
        <v>0</v>
      </c>
      <c r="J180" s="1658">
        <f t="shared" si="216"/>
        <v>0</v>
      </c>
      <c r="K180" s="1696">
        <f t="shared" si="216"/>
        <v>0</v>
      </c>
      <c r="L180" s="1658"/>
      <c r="M180" s="1658"/>
      <c r="N180" s="1658"/>
      <c r="O180" s="1658"/>
      <c r="P180" s="1658"/>
      <c r="Q180" s="1658"/>
      <c r="R180" s="1658"/>
      <c r="S180" s="1658"/>
      <c r="T180" s="1658"/>
      <c r="U180" s="1658"/>
      <c r="V180" s="1658"/>
      <c r="W180" s="1658"/>
      <c r="X180" s="1658"/>
      <c r="Y180" s="1658"/>
      <c r="Z180" s="1658"/>
      <c r="AA180" s="1658"/>
      <c r="AB180" s="1658"/>
      <c r="AC180" s="1658"/>
      <c r="AD180" s="1658"/>
      <c r="AE180" s="1658"/>
      <c r="AF180" s="1659">
        <f t="shared" ref="AF180:BH180" si="217">AF6-AF179</f>
        <v>0</v>
      </c>
      <c r="AG180" s="1658">
        <f t="shared" si="217"/>
        <v>0</v>
      </c>
      <c r="AH180" s="1658">
        <f t="shared" si="217"/>
        <v>0</v>
      </c>
      <c r="AI180" s="1658">
        <f t="shared" si="217"/>
        <v>0</v>
      </c>
      <c r="AJ180" s="1659">
        <f t="shared" si="217"/>
        <v>0</v>
      </c>
      <c r="AK180" s="1658">
        <f t="shared" si="217"/>
        <v>0</v>
      </c>
      <c r="AL180" s="1658">
        <f t="shared" si="217"/>
        <v>0</v>
      </c>
      <c r="AM180" s="1658">
        <f t="shared" si="217"/>
        <v>0</v>
      </c>
      <c r="AN180" s="1659">
        <f t="shared" si="217"/>
        <v>0</v>
      </c>
      <c r="AO180" s="1658">
        <f t="shared" si="217"/>
        <v>0</v>
      </c>
      <c r="AP180" s="1658">
        <f t="shared" si="217"/>
        <v>0</v>
      </c>
      <c r="AQ180" s="1658">
        <f t="shared" si="217"/>
        <v>0</v>
      </c>
      <c r="AR180" s="1659">
        <f t="shared" si="217"/>
        <v>0</v>
      </c>
      <c r="AS180" s="1658">
        <f t="shared" si="217"/>
        <v>0</v>
      </c>
      <c r="AT180" s="1658">
        <f t="shared" si="217"/>
        <v>0</v>
      </c>
      <c r="AU180" s="1658">
        <f t="shared" si="217"/>
        <v>0</v>
      </c>
      <c r="AV180" s="1659">
        <f t="shared" si="217"/>
        <v>0</v>
      </c>
      <c r="AW180" s="1658">
        <f t="shared" si="217"/>
        <v>0</v>
      </c>
      <c r="AX180" s="1658">
        <f t="shared" si="217"/>
        <v>0</v>
      </c>
      <c r="AY180" s="1658">
        <f t="shared" si="217"/>
        <v>0</v>
      </c>
      <c r="AZ180" s="1659">
        <f t="shared" si="217"/>
        <v>0</v>
      </c>
      <c r="BA180" s="1658">
        <f t="shared" si="217"/>
        <v>0</v>
      </c>
      <c r="BB180" s="1658">
        <f t="shared" si="217"/>
        <v>0</v>
      </c>
      <c r="BC180" s="1658">
        <f t="shared" si="217"/>
        <v>0</v>
      </c>
      <c r="BD180" s="1659">
        <f t="shared" si="217"/>
        <v>0</v>
      </c>
      <c r="BE180" s="1658">
        <f t="shared" si="217"/>
        <v>0</v>
      </c>
      <c r="BF180" s="1658">
        <f t="shared" si="217"/>
        <v>0</v>
      </c>
      <c r="BG180" s="1658">
        <f t="shared" si="217"/>
        <v>0</v>
      </c>
      <c r="BH180" s="1659">
        <f t="shared" si="217"/>
        <v>0</v>
      </c>
      <c r="BI180" s="1658"/>
      <c r="BJ180" s="1658"/>
      <c r="BK180" s="1658"/>
      <c r="BL180" s="1659"/>
      <c r="BM180" s="1658"/>
      <c r="BN180" s="1658"/>
      <c r="BO180" s="1642"/>
      <c r="BP180" s="1641"/>
      <c r="BQ180" s="1642"/>
      <c r="BR180" s="1642"/>
      <c r="BS180" s="1642"/>
      <c r="BT180" s="1641"/>
      <c r="BU180" s="1642"/>
      <c r="BV180" s="1642"/>
      <c r="BW180" s="1642"/>
      <c r="BX180" s="1641"/>
      <c r="BY180" s="1642"/>
      <c r="BZ180" s="1642"/>
      <c r="CA180" s="1642"/>
      <c r="CB180" s="1641"/>
      <c r="CC180" s="1642"/>
      <c r="CD180" s="1642"/>
      <c r="CE180" s="1642"/>
      <c r="CF180" s="1641"/>
      <c r="CG180" s="1642"/>
      <c r="CH180" s="1642"/>
      <c r="CI180" s="1642"/>
      <c r="CJ180" s="1641"/>
      <c r="CK180" s="1642"/>
      <c r="CL180" s="1642"/>
      <c r="CM180" s="1681"/>
      <c r="CN180" s="1672"/>
      <c r="CO180" s="1672"/>
      <c r="CP180" s="1672"/>
      <c r="CQ180" s="1681"/>
      <c r="CR180" s="1672"/>
      <c r="CS180" s="1672"/>
      <c r="CT180" s="1672"/>
      <c r="CU180" s="1681"/>
      <c r="CV180" s="1672"/>
      <c r="CW180" s="1672"/>
      <c r="CX180" s="1672"/>
      <c r="CY180" s="1681"/>
      <c r="CZ180" s="1672"/>
      <c r="DA180" s="1672"/>
      <c r="DB180" s="1672"/>
      <c r="DC180" s="1672"/>
      <c r="DD180" s="1672"/>
      <c r="DE180" s="1672"/>
      <c r="DF180" s="1672"/>
      <c r="DG180" s="1672"/>
      <c r="DH180" s="1672"/>
      <c r="DI180" s="1672"/>
      <c r="DJ180" s="1672"/>
      <c r="DK180" s="1672"/>
      <c r="DL180" s="1672"/>
    </row>
    <row r="181" spans="1:116" hidden="1" outlineLevel="1">
      <c r="A181" s="1629"/>
      <c r="B181" s="1658"/>
      <c r="C181" s="1658"/>
      <c r="D181" s="1658"/>
      <c r="E181" s="1659"/>
      <c r="F181" s="1658"/>
      <c r="G181" s="1658"/>
      <c r="H181" s="1658"/>
      <c r="I181" s="1658"/>
      <c r="J181" s="1658"/>
      <c r="K181" s="1696"/>
      <c r="L181" s="1658"/>
      <c r="M181" s="1658"/>
      <c r="N181" s="1658"/>
      <c r="O181" s="1658"/>
      <c r="P181" s="1658"/>
      <c r="Q181" s="1658"/>
      <c r="R181" s="1658"/>
      <c r="S181" s="1658"/>
      <c r="T181" s="1658"/>
      <c r="U181" s="1658"/>
      <c r="V181" s="1658"/>
      <c r="W181" s="1658"/>
      <c r="X181" s="1658"/>
      <c r="Y181" s="1658"/>
      <c r="Z181" s="1658"/>
      <c r="AA181" s="1658"/>
      <c r="AB181" s="1658"/>
      <c r="AC181" s="1658"/>
      <c r="AD181" s="1658"/>
      <c r="AE181" s="1658"/>
      <c r="AF181" s="1659"/>
      <c r="AG181" s="1658"/>
      <c r="AH181" s="1658"/>
      <c r="AI181" s="1658"/>
      <c r="AJ181" s="1659"/>
      <c r="AK181" s="1658"/>
      <c r="AL181" s="1658"/>
      <c r="AM181" s="1658"/>
      <c r="AN181" s="1659"/>
      <c r="AO181" s="1658"/>
      <c r="AP181" s="1658"/>
      <c r="AQ181" s="1658"/>
      <c r="AR181" s="1659"/>
      <c r="AS181" s="1658"/>
      <c r="AT181" s="1658"/>
      <c r="AU181" s="1658"/>
      <c r="AV181" s="1659"/>
      <c r="AW181" s="1658"/>
      <c r="AX181" s="1658"/>
      <c r="AY181" s="1658"/>
      <c r="AZ181" s="1659"/>
      <c r="BA181" s="1658"/>
      <c r="BB181" s="1658"/>
      <c r="BC181" s="1658"/>
      <c r="BD181" s="1659"/>
      <c r="BE181" s="1658"/>
      <c r="BF181" s="1658"/>
      <c r="BG181" s="1658"/>
      <c r="BH181" s="1659"/>
      <c r="BI181" s="1658"/>
      <c r="BJ181" s="1658"/>
      <c r="BK181" s="1658"/>
      <c r="BL181" s="1659"/>
      <c r="BM181" s="1658"/>
      <c r="BN181" s="1658"/>
      <c r="BO181" s="1642"/>
      <c r="BP181" s="1641"/>
      <c r="BQ181" s="1642"/>
      <c r="BR181" s="1642"/>
      <c r="BS181" s="1642"/>
      <c r="BT181" s="1641"/>
      <c r="BU181" s="1642"/>
      <c r="BV181" s="1642"/>
      <c r="BW181" s="1642"/>
      <c r="BX181" s="1641"/>
      <c r="BY181" s="1642"/>
      <c r="BZ181" s="1642"/>
      <c r="CA181" s="1642"/>
      <c r="CB181" s="1641"/>
      <c r="CC181" s="1642"/>
      <c r="CD181" s="1642"/>
      <c r="CE181" s="1642"/>
      <c r="CF181" s="1641"/>
      <c r="CG181" s="1642"/>
      <c r="CH181" s="1642"/>
      <c r="CI181" s="1642"/>
      <c r="CJ181" s="1641"/>
      <c r="CK181" s="1642"/>
      <c r="CL181" s="1642"/>
      <c r="CM181" s="1681"/>
      <c r="CN181" s="1672"/>
      <c r="CO181" s="1672"/>
      <c r="CP181" s="1672"/>
      <c r="CQ181" s="1681"/>
      <c r="CR181" s="1672"/>
      <c r="CS181" s="1672"/>
      <c r="CT181" s="1672"/>
      <c r="CU181" s="1681"/>
      <c r="CV181" s="1672"/>
      <c r="CW181" s="1672"/>
      <c r="CX181" s="1672"/>
      <c r="CY181" s="1681"/>
      <c r="CZ181" s="1672"/>
      <c r="DA181" s="1672"/>
      <c r="DB181" s="1672"/>
      <c r="DC181" s="1672"/>
      <c r="DD181" s="1672"/>
      <c r="DE181" s="1672"/>
      <c r="DF181" s="1672"/>
      <c r="DG181" s="1672"/>
      <c r="DH181" s="1672"/>
      <c r="DI181" s="1672"/>
      <c r="DJ181" s="1672"/>
      <c r="DK181" s="1672"/>
      <c r="DL181" s="1672"/>
    </row>
    <row r="182" spans="1:116" hidden="1" outlineLevel="1">
      <c r="A182" s="954" t="s">
        <v>640</v>
      </c>
      <c r="B182" s="1658"/>
      <c r="C182" s="1658"/>
      <c r="D182" s="1658"/>
      <c r="E182" s="1659"/>
      <c r="F182" s="1658"/>
      <c r="G182" s="1658"/>
      <c r="H182" s="1658"/>
      <c r="I182" s="1658"/>
      <c r="J182" s="1658"/>
      <c r="K182" s="1696"/>
      <c r="L182" s="1658"/>
      <c r="M182" s="1658"/>
      <c r="N182" s="1658"/>
      <c r="O182" s="1658"/>
      <c r="P182" s="1658"/>
      <c r="Q182" s="1658"/>
      <c r="R182" s="1658"/>
      <c r="S182" s="1658"/>
      <c r="T182" s="1658"/>
      <c r="U182" s="1658"/>
      <c r="V182" s="1658"/>
      <c r="W182" s="1658"/>
      <c r="X182" s="1658"/>
      <c r="Y182" s="1658"/>
      <c r="Z182" s="1658"/>
      <c r="AA182" s="1658"/>
      <c r="AB182" s="1658"/>
      <c r="AC182" s="1658"/>
      <c r="AD182" s="1658"/>
      <c r="AE182" s="1658"/>
      <c r="AF182" s="1659"/>
      <c r="AG182" s="1658"/>
      <c r="AH182" s="1658"/>
      <c r="AI182" s="1658"/>
      <c r="AJ182" s="1659"/>
      <c r="AK182" s="1658"/>
      <c r="AL182" s="1658"/>
      <c r="AM182" s="1658"/>
      <c r="AN182" s="1659"/>
      <c r="AO182" s="1658"/>
      <c r="AP182" s="1658"/>
      <c r="AQ182" s="1658"/>
      <c r="AR182" s="1659"/>
      <c r="AS182" s="1658"/>
      <c r="AT182" s="1658"/>
      <c r="AU182" s="1658"/>
      <c r="AV182" s="1659"/>
      <c r="AW182" s="1658"/>
      <c r="AX182" s="1658"/>
      <c r="AY182" s="1658"/>
      <c r="AZ182" s="1659"/>
      <c r="BA182" s="1658"/>
      <c r="BB182" s="1658"/>
      <c r="BC182" s="1658"/>
      <c r="BD182" s="1659"/>
      <c r="BE182" s="1658"/>
      <c r="BF182" s="1658"/>
      <c r="BG182" s="1658"/>
      <c r="BH182" s="1659"/>
      <c r="BI182" s="1658"/>
      <c r="BJ182" s="1658"/>
      <c r="BK182" s="1658"/>
      <c r="BL182" s="1659"/>
      <c r="BM182" s="1658"/>
      <c r="BN182" s="1658"/>
      <c r="BO182" s="1642"/>
      <c r="BP182" s="1641"/>
      <c r="BQ182" s="1642"/>
      <c r="BR182" s="1642"/>
      <c r="BS182" s="1642"/>
      <c r="BT182" s="1641"/>
      <c r="BU182" s="1642"/>
      <c r="BV182" s="1642"/>
      <c r="BW182" s="1642"/>
      <c r="BX182" s="1641"/>
      <c r="BY182" s="1642"/>
      <c r="BZ182" s="1642"/>
      <c r="CA182" s="1642"/>
      <c r="CB182" s="1641"/>
      <c r="CC182" s="1642"/>
      <c r="CD182" s="1642"/>
      <c r="CE182" s="1642"/>
      <c r="CF182" s="1641"/>
      <c r="CG182" s="1642"/>
      <c r="CH182" s="1642"/>
      <c r="CI182" s="1642"/>
      <c r="CJ182" s="1641"/>
      <c r="CK182" s="1642"/>
      <c r="CL182" s="1642"/>
      <c r="CM182" s="1681"/>
      <c r="CN182" s="1672"/>
      <c r="CO182" s="1672"/>
      <c r="CP182" s="1672"/>
      <c r="CQ182" s="1681"/>
      <c r="CR182" s="1672"/>
      <c r="CS182" s="1672"/>
      <c r="CT182" s="1672"/>
      <c r="CU182" s="1681"/>
      <c r="CV182" s="1672"/>
      <c r="CW182" s="1672"/>
      <c r="CX182" s="1672"/>
      <c r="CY182" s="1681"/>
      <c r="CZ182" s="1672"/>
      <c r="DA182" s="1672"/>
      <c r="DB182" s="1672"/>
      <c r="DC182" s="1672"/>
      <c r="DD182" s="1672"/>
      <c r="DE182" s="1672"/>
      <c r="DF182" s="1672"/>
      <c r="DG182" s="1672"/>
      <c r="DH182" s="1672"/>
      <c r="DI182" s="1672"/>
      <c r="DJ182" s="1672"/>
      <c r="DK182" s="1672"/>
      <c r="DL182" s="1672"/>
    </row>
    <row r="183" spans="1:116" hidden="1" outlineLevel="1">
      <c r="A183" s="1539" t="s">
        <v>201</v>
      </c>
      <c r="B183" s="1658"/>
      <c r="C183" s="1658"/>
      <c r="D183" s="1658"/>
      <c r="E183" s="1659"/>
      <c r="F183" s="1658"/>
      <c r="G183" s="1658"/>
      <c r="H183" s="1658"/>
      <c r="I183" s="1658"/>
      <c r="J183" s="1658"/>
      <c r="K183" s="1696"/>
      <c r="L183" s="1658"/>
      <c r="M183" s="1658"/>
      <c r="N183" s="1658"/>
      <c r="O183" s="1658"/>
      <c r="P183" s="1658"/>
      <c r="Q183" s="1658"/>
      <c r="R183" s="1658"/>
      <c r="S183" s="1658"/>
      <c r="T183" s="1658"/>
      <c r="U183" s="1658"/>
      <c r="V183" s="1658"/>
      <c r="W183" s="1658"/>
      <c r="X183" s="1658"/>
      <c r="Y183" s="1658"/>
      <c r="Z183" s="1658"/>
      <c r="AA183" s="1658"/>
      <c r="AB183" s="1658"/>
      <c r="AC183" s="1658"/>
      <c r="AD183" s="1658"/>
      <c r="AE183" s="1658"/>
      <c r="AF183" s="1659"/>
      <c r="AG183" s="1658"/>
      <c r="AH183" s="1658"/>
      <c r="AI183" s="1658"/>
      <c r="AJ183" s="1659"/>
      <c r="AK183" s="1658"/>
      <c r="AL183" s="1658"/>
      <c r="AM183" s="1658"/>
      <c r="AN183" s="1659"/>
      <c r="AO183" s="1658"/>
      <c r="AP183" s="1658"/>
      <c r="AQ183" s="1658"/>
      <c r="AR183" s="1659"/>
      <c r="AS183" s="1658"/>
      <c r="AT183" s="1658"/>
      <c r="AU183" s="1658"/>
      <c r="AV183" s="1659"/>
      <c r="AW183" s="1658"/>
      <c r="AX183" s="1658"/>
      <c r="AY183" s="1658"/>
      <c r="AZ183" s="1659"/>
      <c r="BA183" s="1658"/>
      <c r="BB183" s="1658"/>
      <c r="BC183" s="1658"/>
      <c r="BD183" s="1659"/>
      <c r="BE183" s="1658"/>
      <c r="BF183" s="1658"/>
      <c r="BG183" s="1658"/>
      <c r="BH183" s="1659"/>
      <c r="BI183" s="1658"/>
      <c r="BJ183" s="1658"/>
      <c r="BK183" s="1658"/>
      <c r="BL183" s="1633">
        <v>6000</v>
      </c>
      <c r="BM183" s="1634">
        <v>6023</v>
      </c>
      <c r="BN183" s="1634">
        <v>5988</v>
      </c>
      <c r="BO183" s="1634">
        <v>5860</v>
      </c>
      <c r="BP183" s="1633">
        <v>5584</v>
      </c>
      <c r="BQ183" s="1634">
        <v>5693</v>
      </c>
      <c r="BR183" s="1634">
        <v>5640</v>
      </c>
      <c r="BS183" s="1634">
        <v>5514</v>
      </c>
      <c r="BT183" s="1633">
        <v>5506</v>
      </c>
      <c r="BU183" s="1634">
        <v>5540</v>
      </c>
      <c r="BV183" s="1634">
        <v>5505</v>
      </c>
      <c r="BW183" s="1634">
        <v>5427</v>
      </c>
      <c r="BX183" s="1641"/>
      <c r="BY183" s="1642"/>
      <c r="BZ183" s="1642"/>
      <c r="CA183" s="1642"/>
      <c r="CB183" s="1641"/>
      <c r="CC183" s="1642"/>
      <c r="CD183" s="1642"/>
      <c r="CE183" s="1642"/>
      <c r="CF183" s="1641"/>
      <c r="CG183" s="1642"/>
      <c r="CH183" s="1642"/>
      <c r="CI183" s="1642"/>
      <c r="CJ183" s="1641"/>
      <c r="CK183" s="1642"/>
      <c r="CL183" s="1642"/>
      <c r="CM183" s="1681"/>
      <c r="CN183" s="1672"/>
      <c r="CO183" s="1672"/>
      <c r="CP183" s="1672"/>
      <c r="CQ183" s="1681"/>
      <c r="CR183" s="1672"/>
      <c r="CS183" s="1672"/>
      <c r="CT183" s="1672"/>
      <c r="CU183" s="1681"/>
      <c r="CV183" s="1672"/>
      <c r="CW183" s="1672"/>
      <c r="CX183" s="1672"/>
      <c r="CY183" s="1681"/>
      <c r="CZ183" s="1672"/>
      <c r="DA183" s="1672"/>
      <c r="DB183" s="1672"/>
      <c r="DC183" s="1672"/>
      <c r="DD183" s="1672"/>
      <c r="DE183" s="1672"/>
      <c r="DF183" s="1672"/>
      <c r="DG183" s="1672"/>
      <c r="DH183" s="1672"/>
      <c r="DI183" s="1672"/>
      <c r="DJ183" s="1672"/>
      <c r="DK183" s="1672"/>
      <c r="DL183" s="1672"/>
    </row>
    <row r="184" spans="1:116" hidden="1" outlineLevel="1">
      <c r="A184" s="1539" t="s">
        <v>203</v>
      </c>
      <c r="B184" s="1658"/>
      <c r="C184" s="1658"/>
      <c r="D184" s="1658"/>
      <c r="E184" s="1659"/>
      <c r="F184" s="1658"/>
      <c r="G184" s="1658"/>
      <c r="H184" s="1658"/>
      <c r="I184" s="1658"/>
      <c r="J184" s="1658"/>
      <c r="K184" s="1696"/>
      <c r="L184" s="1658"/>
      <c r="M184" s="1658"/>
      <c r="N184" s="1658"/>
      <c r="O184" s="1658"/>
      <c r="P184" s="1658"/>
      <c r="Q184" s="1658"/>
      <c r="R184" s="1658"/>
      <c r="S184" s="1658"/>
      <c r="T184" s="1658"/>
      <c r="U184" s="1658"/>
      <c r="V184" s="1658"/>
      <c r="W184" s="1658"/>
      <c r="X184" s="1658"/>
      <c r="Y184" s="1658"/>
      <c r="Z184" s="1658"/>
      <c r="AA184" s="1658"/>
      <c r="AB184" s="1658"/>
      <c r="AC184" s="1658"/>
      <c r="AD184" s="1658"/>
      <c r="AE184" s="1658"/>
      <c r="AF184" s="1659"/>
      <c r="AG184" s="1658"/>
      <c r="AH184" s="1658"/>
      <c r="AI184" s="1658"/>
      <c r="AJ184" s="1659"/>
      <c r="AK184" s="1658"/>
      <c r="AL184" s="1658"/>
      <c r="AM184" s="1658"/>
      <c r="AN184" s="1659"/>
      <c r="AO184" s="1658"/>
      <c r="AP184" s="1658"/>
      <c r="AQ184" s="1658"/>
      <c r="AR184" s="1659"/>
      <c r="AS184" s="1658"/>
      <c r="AT184" s="1658"/>
      <c r="AU184" s="1658"/>
      <c r="AV184" s="1659"/>
      <c r="AW184" s="1658"/>
      <c r="AX184" s="1658"/>
      <c r="AY184" s="1658"/>
      <c r="AZ184" s="1659"/>
      <c r="BA184" s="1658"/>
      <c r="BB184" s="1658"/>
      <c r="BC184" s="1658"/>
      <c r="BD184" s="1659"/>
      <c r="BE184" s="1658"/>
      <c r="BF184" s="1658"/>
      <c r="BG184" s="1658"/>
      <c r="BH184" s="1659"/>
      <c r="BI184" s="1658"/>
      <c r="BJ184" s="1658"/>
      <c r="BK184" s="1658"/>
      <c r="BL184" s="1633">
        <v>2109</v>
      </c>
      <c r="BM184" s="1634">
        <v>2105</v>
      </c>
      <c r="BN184" s="1634">
        <v>2129</v>
      </c>
      <c r="BO184" s="1634">
        <v>2126</v>
      </c>
      <c r="BP184" s="1633">
        <v>2064</v>
      </c>
      <c r="BQ184" s="1634">
        <v>2097</v>
      </c>
      <c r="BR184" s="1634">
        <v>2104</v>
      </c>
      <c r="BS184" s="1634">
        <v>2061</v>
      </c>
      <c r="BT184" s="1633">
        <v>1997</v>
      </c>
      <c r="BU184" s="1634">
        <v>2031</v>
      </c>
      <c r="BV184" s="1634">
        <v>2048</v>
      </c>
      <c r="BW184" s="1634">
        <v>2010</v>
      </c>
      <c r="BX184" s="1641"/>
      <c r="BY184" s="1642"/>
      <c r="BZ184" s="1642"/>
      <c r="CA184" s="1642"/>
      <c r="CB184" s="1641"/>
      <c r="CC184" s="1642"/>
      <c r="CD184" s="1642"/>
      <c r="CE184" s="1642"/>
      <c r="CF184" s="1641"/>
      <c r="CG184" s="1642"/>
      <c r="CH184" s="1642"/>
      <c r="CI184" s="1642"/>
      <c r="CJ184" s="1641"/>
      <c r="CK184" s="1642"/>
      <c r="CL184" s="1642"/>
      <c r="CM184" s="1681"/>
      <c r="CN184" s="1672"/>
      <c r="CO184" s="1672"/>
      <c r="CP184" s="1672"/>
      <c r="CQ184" s="1681"/>
      <c r="CR184" s="1672"/>
      <c r="CS184" s="1672"/>
      <c r="CT184" s="1672"/>
      <c r="CU184" s="1681"/>
      <c r="CV184" s="1672"/>
      <c r="CW184" s="1672"/>
      <c r="CX184" s="1672"/>
      <c r="CY184" s="1681"/>
      <c r="CZ184" s="1672"/>
      <c r="DA184" s="1672"/>
      <c r="DB184" s="1672"/>
      <c r="DC184" s="1672"/>
      <c r="DD184" s="1672"/>
      <c r="DE184" s="1672"/>
      <c r="DF184" s="1672"/>
      <c r="DG184" s="1672"/>
      <c r="DH184" s="1672"/>
      <c r="DI184" s="1672"/>
      <c r="DJ184" s="1672"/>
      <c r="DK184" s="1672"/>
      <c r="DL184" s="1672"/>
    </row>
    <row r="185" spans="1:116" hidden="1" outlineLevel="1">
      <c r="A185" s="1539" t="s">
        <v>204</v>
      </c>
      <c r="B185" s="1658"/>
      <c r="C185" s="1658"/>
      <c r="D185" s="1658"/>
      <c r="E185" s="1659"/>
      <c r="F185" s="1658"/>
      <c r="G185" s="1658"/>
      <c r="H185" s="1658"/>
      <c r="I185" s="1658"/>
      <c r="J185" s="1658"/>
      <c r="K185" s="1696"/>
      <c r="L185" s="1658"/>
      <c r="M185" s="1658"/>
      <c r="N185" s="1658"/>
      <c r="O185" s="1658"/>
      <c r="P185" s="1658"/>
      <c r="Q185" s="1658"/>
      <c r="R185" s="1658"/>
      <c r="S185" s="1658"/>
      <c r="T185" s="1658"/>
      <c r="U185" s="1658"/>
      <c r="V185" s="1658"/>
      <c r="W185" s="1658"/>
      <c r="X185" s="1658"/>
      <c r="Y185" s="1658"/>
      <c r="Z185" s="1658"/>
      <c r="AA185" s="1658"/>
      <c r="AB185" s="1658"/>
      <c r="AC185" s="1658"/>
      <c r="AD185" s="1658"/>
      <c r="AE185" s="1658"/>
      <c r="AF185" s="1659"/>
      <c r="AG185" s="1658"/>
      <c r="AH185" s="1658"/>
      <c r="AI185" s="1658"/>
      <c r="AJ185" s="1659"/>
      <c r="AK185" s="1658"/>
      <c r="AL185" s="1658"/>
      <c r="AM185" s="1658"/>
      <c r="AN185" s="1659"/>
      <c r="AO185" s="1658"/>
      <c r="AP185" s="1658"/>
      <c r="AQ185" s="1658"/>
      <c r="AR185" s="1659"/>
      <c r="AS185" s="1658"/>
      <c r="AT185" s="1658"/>
      <c r="AU185" s="1658"/>
      <c r="AV185" s="1659"/>
      <c r="AW185" s="1658"/>
      <c r="AX185" s="1658"/>
      <c r="AY185" s="1658"/>
      <c r="AZ185" s="1659"/>
      <c r="BA185" s="1658"/>
      <c r="BB185" s="1658"/>
      <c r="BC185" s="1658"/>
      <c r="BD185" s="1659"/>
      <c r="BE185" s="1658"/>
      <c r="BF185" s="1658"/>
      <c r="BG185" s="1658"/>
      <c r="BH185" s="1659"/>
      <c r="BI185" s="1658"/>
      <c r="BJ185" s="1658"/>
      <c r="BK185" s="1658"/>
      <c r="BL185" s="1633">
        <v>819</v>
      </c>
      <c r="BM185" s="1634">
        <v>785</v>
      </c>
      <c r="BN185" s="1634">
        <v>772</v>
      </c>
      <c r="BO185" s="1634">
        <v>841</v>
      </c>
      <c r="BP185" s="1633">
        <v>617</v>
      </c>
      <c r="BQ185" s="1634">
        <v>617</v>
      </c>
      <c r="BR185" s="1634">
        <v>581</v>
      </c>
      <c r="BS185" s="1634">
        <v>580</v>
      </c>
      <c r="BT185" s="1633">
        <v>481</v>
      </c>
      <c r="BU185" s="1634">
        <v>469</v>
      </c>
      <c r="BV185" s="1634">
        <v>482</v>
      </c>
      <c r="BW185" s="1634">
        <v>430</v>
      </c>
      <c r="BX185" s="1641"/>
      <c r="BY185" s="1642"/>
      <c r="BZ185" s="1642"/>
      <c r="CA185" s="1642"/>
      <c r="CB185" s="1641"/>
      <c r="CC185" s="1642"/>
      <c r="CD185" s="1642"/>
      <c r="CE185" s="1642"/>
      <c r="CF185" s="1641"/>
      <c r="CG185" s="1642"/>
      <c r="CH185" s="1642"/>
      <c r="CI185" s="1642"/>
      <c r="CJ185" s="1641"/>
      <c r="CK185" s="1642"/>
      <c r="CL185" s="1642"/>
      <c r="CM185" s="1681"/>
      <c r="CN185" s="1672"/>
      <c r="CO185" s="1672"/>
      <c r="CP185" s="1672"/>
      <c r="CQ185" s="1681"/>
      <c r="CR185" s="1672"/>
      <c r="CS185" s="1672"/>
      <c r="CT185" s="1672"/>
      <c r="CU185" s="1681"/>
      <c r="CV185" s="1672"/>
      <c r="CW185" s="1672"/>
      <c r="CX185" s="1672"/>
      <c r="CY185" s="1681"/>
      <c r="CZ185" s="1672"/>
      <c r="DA185" s="1672"/>
      <c r="DB185" s="1672"/>
      <c r="DC185" s="1672"/>
      <c r="DD185" s="1672"/>
      <c r="DE185" s="1672"/>
      <c r="DF185" s="1672"/>
      <c r="DG185" s="1672"/>
      <c r="DH185" s="1672"/>
      <c r="DI185" s="1672"/>
      <c r="DJ185" s="1672"/>
      <c r="DK185" s="1672"/>
      <c r="DL185" s="1672"/>
    </row>
    <row r="186" spans="1:116" hidden="1" outlineLevel="1">
      <c r="A186" s="1539" t="s">
        <v>205</v>
      </c>
      <c r="B186" s="1658"/>
      <c r="C186" s="1658"/>
      <c r="D186" s="1658"/>
      <c r="E186" s="1659"/>
      <c r="F186" s="1658"/>
      <c r="G186" s="1658"/>
      <c r="H186" s="1658"/>
      <c r="I186" s="1658"/>
      <c r="J186" s="1658"/>
      <c r="K186" s="1696"/>
      <c r="L186" s="1658"/>
      <c r="M186" s="1658"/>
      <c r="N186" s="1658"/>
      <c r="O186" s="1658"/>
      <c r="P186" s="1658"/>
      <c r="Q186" s="1658"/>
      <c r="R186" s="1658"/>
      <c r="S186" s="1658"/>
      <c r="T186" s="1658"/>
      <c r="U186" s="1658"/>
      <c r="V186" s="1658"/>
      <c r="W186" s="1658"/>
      <c r="X186" s="1658"/>
      <c r="Y186" s="1658"/>
      <c r="Z186" s="1658"/>
      <c r="AA186" s="1658"/>
      <c r="AB186" s="1658"/>
      <c r="AC186" s="1658"/>
      <c r="AD186" s="1658"/>
      <c r="AE186" s="1658"/>
      <c r="AF186" s="1659"/>
      <c r="AG186" s="1658"/>
      <c r="AH186" s="1658"/>
      <c r="AI186" s="1658"/>
      <c r="AJ186" s="1659"/>
      <c r="AK186" s="1658"/>
      <c r="AL186" s="1658"/>
      <c r="AM186" s="1658"/>
      <c r="AN186" s="1659"/>
      <c r="AO186" s="1658"/>
      <c r="AP186" s="1658"/>
      <c r="AQ186" s="1658"/>
      <c r="AR186" s="1659"/>
      <c r="AS186" s="1658"/>
      <c r="AT186" s="1658"/>
      <c r="AU186" s="1658"/>
      <c r="AV186" s="1659"/>
      <c r="AW186" s="1658"/>
      <c r="AX186" s="1658"/>
      <c r="AY186" s="1658"/>
      <c r="AZ186" s="1659"/>
      <c r="BA186" s="1658"/>
      <c r="BB186" s="1658"/>
      <c r="BC186" s="1658"/>
      <c r="BD186" s="1659"/>
      <c r="BE186" s="1658"/>
      <c r="BF186" s="1658"/>
      <c r="BG186" s="1658"/>
      <c r="BH186" s="1659"/>
      <c r="BI186" s="1658"/>
      <c r="BJ186" s="1658"/>
      <c r="BK186" s="1658"/>
      <c r="BL186" s="1641">
        <f t="shared" ref="BL186:BW186" si="218">SUM(BL183:BL185)</f>
        <v>8928</v>
      </c>
      <c r="BM186" s="1642">
        <f t="shared" si="218"/>
        <v>8913</v>
      </c>
      <c r="BN186" s="1642">
        <f t="shared" si="218"/>
        <v>8889</v>
      </c>
      <c r="BO186" s="1642">
        <f t="shared" si="218"/>
        <v>8827</v>
      </c>
      <c r="BP186" s="1641">
        <f t="shared" si="218"/>
        <v>8265</v>
      </c>
      <c r="BQ186" s="1642">
        <f t="shared" si="218"/>
        <v>8407</v>
      </c>
      <c r="BR186" s="1642">
        <f t="shared" si="218"/>
        <v>8325</v>
      </c>
      <c r="BS186" s="1642">
        <f t="shared" si="218"/>
        <v>8155</v>
      </c>
      <c r="BT186" s="1641">
        <f t="shared" si="218"/>
        <v>7984</v>
      </c>
      <c r="BU186" s="1642">
        <f t="shared" si="218"/>
        <v>8040</v>
      </c>
      <c r="BV186" s="1642">
        <f t="shared" si="218"/>
        <v>8035</v>
      </c>
      <c r="BW186" s="1642">
        <f t="shared" si="218"/>
        <v>7867</v>
      </c>
      <c r="BX186" s="1641"/>
      <c r="BY186" s="1642"/>
      <c r="BZ186" s="1642"/>
      <c r="CA186" s="1642"/>
      <c r="CB186" s="1641"/>
      <c r="CC186" s="1642"/>
      <c r="CD186" s="1642"/>
      <c r="CE186" s="1642"/>
      <c r="CF186" s="1641"/>
      <c r="CG186" s="1642"/>
      <c r="CH186" s="1642"/>
      <c r="CI186" s="1642"/>
      <c r="CJ186" s="1641"/>
      <c r="CK186" s="1642"/>
      <c r="CL186" s="1642"/>
      <c r="CM186" s="1681"/>
      <c r="CN186" s="1672"/>
      <c r="CO186" s="1672"/>
      <c r="CP186" s="1672"/>
      <c r="CQ186" s="1681"/>
      <c r="CR186" s="1672"/>
      <c r="CS186" s="1672"/>
      <c r="CT186" s="1672"/>
      <c r="CU186" s="1681"/>
      <c r="CV186" s="1672"/>
      <c r="CW186" s="1672"/>
      <c r="CX186" s="1672"/>
      <c r="CY186" s="1681"/>
      <c r="CZ186" s="1672"/>
      <c r="DA186" s="1672"/>
      <c r="DB186" s="1672"/>
      <c r="DC186" s="1672"/>
      <c r="DD186" s="1672"/>
      <c r="DE186" s="1672"/>
      <c r="DF186" s="1672"/>
      <c r="DG186" s="1672"/>
      <c r="DH186" s="1672"/>
      <c r="DI186" s="1672"/>
      <c r="DJ186" s="1672"/>
      <c r="DK186" s="1672"/>
      <c r="DL186" s="1672"/>
    </row>
    <row r="187" spans="1:116" hidden="1" outlineLevel="1">
      <c r="A187" s="1629"/>
      <c r="B187" s="1658"/>
      <c r="C187" s="1658"/>
      <c r="D187" s="1658"/>
      <c r="E187" s="1659"/>
      <c r="F187" s="1658"/>
      <c r="G187" s="1658"/>
      <c r="H187" s="1658"/>
      <c r="I187" s="1658"/>
      <c r="J187" s="1658"/>
      <c r="K187" s="1696"/>
      <c r="L187" s="1658"/>
      <c r="M187" s="1658"/>
      <c r="N187" s="1658"/>
      <c r="O187" s="1658"/>
      <c r="P187" s="1658"/>
      <c r="Q187" s="1658"/>
      <c r="R187" s="1658"/>
      <c r="S187" s="1658"/>
      <c r="T187" s="1658"/>
      <c r="U187" s="1658"/>
      <c r="V187" s="1658"/>
      <c r="W187" s="1658"/>
      <c r="X187" s="1658"/>
      <c r="Y187" s="1658"/>
      <c r="Z187" s="1658"/>
      <c r="AA187" s="1658"/>
      <c r="AB187" s="1658"/>
      <c r="AC187" s="1658"/>
      <c r="AD187" s="1658"/>
      <c r="AE187" s="1658"/>
      <c r="AF187" s="1659"/>
      <c r="AG187" s="1658"/>
      <c r="AH187" s="1658"/>
      <c r="AI187" s="1658"/>
      <c r="AJ187" s="1659"/>
      <c r="AK187" s="1658"/>
      <c r="AL187" s="1658"/>
      <c r="AM187" s="1658"/>
      <c r="AN187" s="1659"/>
      <c r="AO187" s="1658"/>
      <c r="AP187" s="1658"/>
      <c r="AQ187" s="1658"/>
      <c r="AR187" s="1659"/>
      <c r="AS187" s="1658"/>
      <c r="AT187" s="1658"/>
      <c r="AU187" s="1658"/>
      <c r="AV187" s="1659"/>
      <c r="AW187" s="1658"/>
      <c r="AX187" s="1658"/>
      <c r="AY187" s="1658"/>
      <c r="AZ187" s="1659"/>
      <c r="BA187" s="1658"/>
      <c r="BB187" s="1658"/>
      <c r="BC187" s="1658"/>
      <c r="BD187" s="1659"/>
      <c r="BE187" s="1658"/>
      <c r="BF187" s="1658"/>
      <c r="BG187" s="1658"/>
      <c r="BH187" s="1659"/>
      <c r="BI187" s="1658"/>
      <c r="BJ187" s="1658"/>
      <c r="BK187" s="1658"/>
      <c r="BL187" s="1633"/>
      <c r="BM187" s="1634"/>
      <c r="BN187" s="1634"/>
      <c r="BO187" s="1634"/>
      <c r="BP187" s="1641"/>
      <c r="BQ187" s="1642"/>
      <c r="BR187" s="1642"/>
      <c r="BS187" s="1642"/>
      <c r="BT187" s="1641"/>
      <c r="BU187" s="1642"/>
      <c r="BV187" s="1642"/>
      <c r="BW187" s="1642"/>
      <c r="BX187" s="1641"/>
      <c r="BY187" s="1642"/>
      <c r="BZ187" s="1642"/>
      <c r="CA187" s="1642"/>
      <c r="CB187" s="1641"/>
      <c r="CC187" s="1642"/>
      <c r="CD187" s="1642"/>
      <c r="CE187" s="1642"/>
      <c r="CF187" s="1641"/>
      <c r="CG187" s="1642"/>
      <c r="CH187" s="1642"/>
      <c r="CI187" s="1642"/>
      <c r="CJ187" s="1641"/>
      <c r="CK187" s="1642"/>
      <c r="CL187" s="1642"/>
      <c r="CM187" s="1681"/>
      <c r="CN187" s="1672"/>
      <c r="CO187" s="1672"/>
      <c r="CP187" s="1672"/>
      <c r="CQ187" s="1681"/>
      <c r="CR187" s="1672"/>
      <c r="CS187" s="1672"/>
      <c r="CT187" s="1672"/>
      <c r="CU187" s="1681"/>
      <c r="CV187" s="1672"/>
      <c r="CW187" s="1672"/>
      <c r="CX187" s="1672"/>
      <c r="CY187" s="1681"/>
      <c r="CZ187" s="1672"/>
      <c r="DA187" s="1672"/>
      <c r="DB187" s="1672"/>
      <c r="DC187" s="1672"/>
      <c r="DD187" s="1672"/>
      <c r="DE187" s="1672"/>
      <c r="DF187" s="1672"/>
      <c r="DG187" s="1672"/>
      <c r="DH187" s="1672"/>
      <c r="DI187" s="1672"/>
      <c r="DJ187" s="1672"/>
      <c r="DK187" s="1672"/>
      <c r="DL187" s="1672"/>
    </row>
    <row r="188" spans="1:116" hidden="1" outlineLevel="1">
      <c r="A188" s="954" t="s">
        <v>206</v>
      </c>
      <c r="B188" s="1658"/>
      <c r="C188" s="1658"/>
      <c r="D188" s="1658"/>
      <c r="E188" s="1659"/>
      <c r="F188" s="1658"/>
      <c r="G188" s="1658"/>
      <c r="H188" s="1658"/>
      <c r="I188" s="1658"/>
      <c r="J188" s="1658"/>
      <c r="K188" s="1696"/>
      <c r="L188" s="1658"/>
      <c r="M188" s="1658"/>
      <c r="N188" s="1658"/>
      <c r="O188" s="1658"/>
      <c r="P188" s="1658"/>
      <c r="Q188" s="1658"/>
      <c r="R188" s="1658"/>
      <c r="S188" s="1658"/>
      <c r="T188" s="1658"/>
      <c r="U188" s="1658"/>
      <c r="V188" s="1658"/>
      <c r="W188" s="1658"/>
      <c r="X188" s="1658"/>
      <c r="Y188" s="1658"/>
      <c r="Z188" s="1658"/>
      <c r="AA188" s="1658"/>
      <c r="AB188" s="1658"/>
      <c r="AC188" s="1658"/>
      <c r="AD188" s="1658"/>
      <c r="AE188" s="1658"/>
      <c r="AF188" s="1659"/>
      <c r="AG188" s="1658"/>
      <c r="AH188" s="1658"/>
      <c r="AI188" s="1658"/>
      <c r="AJ188" s="1659"/>
      <c r="AK188" s="1658"/>
      <c r="AL188" s="1658"/>
      <c r="AM188" s="1658"/>
      <c r="AN188" s="1659"/>
      <c r="AO188" s="1658"/>
      <c r="AP188" s="1658"/>
      <c r="AQ188" s="1658"/>
      <c r="AR188" s="1659"/>
      <c r="AS188" s="1658"/>
      <c r="AT188" s="1658"/>
      <c r="AU188" s="1658"/>
      <c r="AV188" s="1659"/>
      <c r="AW188" s="1658"/>
      <c r="AX188" s="1658"/>
      <c r="AY188" s="1658"/>
      <c r="AZ188" s="1659"/>
      <c r="BA188" s="1658"/>
      <c r="BB188" s="1658"/>
      <c r="BC188" s="1658"/>
      <c r="BD188" s="1659"/>
      <c r="BE188" s="1658"/>
      <c r="BF188" s="1658"/>
      <c r="BG188" s="1658"/>
      <c r="BH188" s="1659"/>
      <c r="BI188" s="1658"/>
      <c r="BJ188" s="1658"/>
      <c r="BK188" s="1658"/>
      <c r="BL188" s="1659"/>
      <c r="BM188" s="1658"/>
      <c r="BN188" s="1658"/>
      <c r="BO188" s="1642"/>
      <c r="BP188" s="1641"/>
      <c r="BQ188" s="1642"/>
      <c r="BR188" s="1642"/>
      <c r="BS188" s="1642"/>
      <c r="BT188" s="1641"/>
      <c r="BU188" s="1642"/>
      <c r="BV188" s="1642"/>
      <c r="BW188" s="1642"/>
      <c r="BX188" s="1641"/>
      <c r="BY188" s="1642"/>
      <c r="BZ188" s="1642"/>
      <c r="CA188" s="1642"/>
      <c r="CB188" s="1633"/>
      <c r="CC188" s="1634"/>
      <c r="CD188" s="1634"/>
      <c r="CE188" s="1634"/>
      <c r="CF188" s="1633"/>
      <c r="CG188" s="1634"/>
      <c r="CH188" s="1634"/>
      <c r="CI188" s="1634"/>
      <c r="CJ188" s="1633"/>
      <c r="CK188" s="1634"/>
      <c r="CL188" s="1634"/>
      <c r="CM188" s="1648"/>
      <c r="CN188" s="1649"/>
      <c r="CO188" s="1649"/>
      <c r="CP188" s="1649"/>
      <c r="CQ188" s="1648"/>
      <c r="CR188" s="1649"/>
      <c r="CS188" s="1649"/>
      <c r="CT188" s="1649"/>
      <c r="CU188" s="1648"/>
      <c r="CV188" s="1649"/>
      <c r="CW188" s="1649"/>
      <c r="CX188" s="1649"/>
      <c r="CY188" s="1648"/>
      <c r="CZ188" s="1649"/>
      <c r="DA188" s="1649"/>
      <c r="DB188" s="1649"/>
      <c r="DC188" s="1649"/>
      <c r="DD188" s="1649"/>
      <c r="DE188" s="1649"/>
      <c r="DF188" s="1649"/>
      <c r="DG188" s="1649"/>
      <c r="DH188" s="1649"/>
      <c r="DI188" s="1649"/>
      <c r="DJ188" s="1649"/>
      <c r="DK188" s="1649"/>
      <c r="DL188" s="1649"/>
    </row>
    <row r="189" spans="1:116" hidden="1" outlineLevel="1">
      <c r="A189" s="1539" t="s">
        <v>207</v>
      </c>
      <c r="B189" s="1658"/>
      <c r="C189" s="1658"/>
      <c r="D189" s="1658"/>
      <c r="E189" s="1659"/>
      <c r="F189" s="1658"/>
      <c r="G189" s="1658"/>
      <c r="H189" s="1658"/>
      <c r="I189" s="1658"/>
      <c r="J189" s="1658"/>
      <c r="K189" s="1696"/>
      <c r="L189" s="1658"/>
      <c r="M189" s="1658"/>
      <c r="N189" s="1658"/>
      <c r="O189" s="1658"/>
      <c r="P189" s="1658"/>
      <c r="Q189" s="1658"/>
      <c r="R189" s="1658"/>
      <c r="S189" s="1658"/>
      <c r="T189" s="1658"/>
      <c r="U189" s="1658"/>
      <c r="V189" s="1658"/>
      <c r="W189" s="1658"/>
      <c r="X189" s="1658"/>
      <c r="Y189" s="1658"/>
      <c r="Z189" s="1658"/>
      <c r="AA189" s="1658"/>
      <c r="AB189" s="1658"/>
      <c r="AC189" s="1658"/>
      <c r="AD189" s="1658"/>
      <c r="AE189" s="1658"/>
      <c r="AF189" s="1659"/>
      <c r="AG189" s="1658"/>
      <c r="AH189" s="1658"/>
      <c r="AI189" s="1658"/>
      <c r="AJ189" s="1659"/>
      <c r="AK189" s="1658"/>
      <c r="AL189" s="1658"/>
      <c r="AM189" s="1658"/>
      <c r="AN189" s="1659"/>
      <c r="AO189" s="1658"/>
      <c r="AP189" s="1658"/>
      <c r="AQ189" s="1658"/>
      <c r="AR189" s="1659"/>
      <c r="AS189" s="1658"/>
      <c r="AT189" s="1658"/>
      <c r="AU189" s="1658"/>
      <c r="AV189" s="1659"/>
      <c r="AW189" s="1658"/>
      <c r="AX189" s="1658"/>
      <c r="AY189" s="1658"/>
      <c r="AZ189" s="1659"/>
      <c r="BA189" s="1658"/>
      <c r="BB189" s="1658"/>
      <c r="BC189" s="1658"/>
      <c r="BD189" s="1659"/>
      <c r="BE189" s="1658"/>
      <c r="BF189" s="1658"/>
      <c r="BG189" s="1658"/>
      <c r="BH189" s="1659"/>
      <c r="BI189" s="1658"/>
      <c r="BJ189" s="1658"/>
      <c r="BK189" s="1658"/>
      <c r="BL189" s="1633">
        <v>3689</v>
      </c>
      <c r="BM189" s="1634">
        <v>3696</v>
      </c>
      <c r="BN189" s="1634">
        <v>3618</v>
      </c>
      <c r="BO189" s="1634">
        <v>3572</v>
      </c>
      <c r="BP189" s="1641">
        <v>3383</v>
      </c>
      <c r="BQ189" s="1642">
        <v>3525</v>
      </c>
      <c r="BR189" s="1642">
        <v>3562</v>
      </c>
      <c r="BS189" s="1642">
        <v>3661</v>
      </c>
      <c r="BT189" s="1641">
        <v>3571</v>
      </c>
      <c r="BU189" s="1634">
        <v>3669</v>
      </c>
      <c r="BV189" s="1634">
        <v>3717</v>
      </c>
      <c r="BW189" s="1634">
        <v>3720</v>
      </c>
      <c r="BX189" s="1641"/>
      <c r="BY189" s="1642"/>
      <c r="BZ189" s="1642"/>
      <c r="CA189" s="1642"/>
      <c r="CB189" s="1633"/>
      <c r="CC189" s="1634"/>
      <c r="CD189" s="1634"/>
      <c r="CE189" s="1634"/>
      <c r="CF189" s="1633"/>
      <c r="CG189" s="1634"/>
      <c r="CH189" s="1634"/>
      <c r="CI189" s="1634"/>
      <c r="CJ189" s="1633"/>
      <c r="CK189" s="1634"/>
      <c r="CL189" s="1634"/>
      <c r="CM189" s="1648"/>
      <c r="CN189" s="1649"/>
      <c r="CO189" s="1649"/>
      <c r="CP189" s="1649"/>
      <c r="CQ189" s="1648"/>
      <c r="CR189" s="1649"/>
      <c r="CS189" s="1649"/>
      <c r="CT189" s="1649"/>
      <c r="CU189" s="1648"/>
      <c r="CV189" s="1649"/>
      <c r="CW189" s="1649"/>
      <c r="CX189" s="1649"/>
      <c r="CY189" s="1648"/>
      <c r="CZ189" s="1649"/>
      <c r="DA189" s="1649"/>
      <c r="DB189" s="1649"/>
      <c r="DC189" s="1649"/>
      <c r="DD189" s="1649"/>
      <c r="DE189" s="1649"/>
      <c r="DF189" s="1649"/>
      <c r="DG189" s="1649"/>
      <c r="DH189" s="1649"/>
      <c r="DI189" s="1649"/>
      <c r="DJ189" s="1649"/>
      <c r="DK189" s="1649"/>
      <c r="DL189" s="1649"/>
    </row>
    <row r="190" spans="1:116" hidden="1" outlineLevel="1">
      <c r="A190" s="1539" t="s">
        <v>203</v>
      </c>
      <c r="B190" s="1658"/>
      <c r="C190" s="1658"/>
      <c r="D190" s="1658"/>
      <c r="E190" s="1659"/>
      <c r="F190" s="1658"/>
      <c r="G190" s="1658"/>
      <c r="H190" s="1658"/>
      <c r="I190" s="1658"/>
      <c r="J190" s="1658"/>
      <c r="K190" s="1696"/>
      <c r="L190" s="1658"/>
      <c r="M190" s="1658"/>
      <c r="N190" s="1658"/>
      <c r="O190" s="1658"/>
      <c r="P190" s="1658"/>
      <c r="Q190" s="1658"/>
      <c r="R190" s="1658"/>
      <c r="S190" s="1658"/>
      <c r="T190" s="1658"/>
      <c r="U190" s="1658"/>
      <c r="V190" s="1658"/>
      <c r="W190" s="1658"/>
      <c r="X190" s="1658"/>
      <c r="Y190" s="1658"/>
      <c r="Z190" s="1658"/>
      <c r="AA190" s="1658"/>
      <c r="AB190" s="1658"/>
      <c r="AC190" s="1658"/>
      <c r="AD190" s="1658"/>
      <c r="AE190" s="1658"/>
      <c r="AF190" s="1659"/>
      <c r="AG190" s="1658"/>
      <c r="AH190" s="1658"/>
      <c r="AI190" s="1658"/>
      <c r="AJ190" s="1659"/>
      <c r="AK190" s="1658"/>
      <c r="AL190" s="1658"/>
      <c r="AM190" s="1658"/>
      <c r="AN190" s="1659"/>
      <c r="AO190" s="1658"/>
      <c r="AP190" s="1658"/>
      <c r="AQ190" s="1658"/>
      <c r="AR190" s="1659"/>
      <c r="AS190" s="1658"/>
      <c r="AT190" s="1658"/>
      <c r="AU190" s="1658"/>
      <c r="AV190" s="1659"/>
      <c r="AW190" s="1658"/>
      <c r="AX190" s="1658"/>
      <c r="AY190" s="1658"/>
      <c r="AZ190" s="1659"/>
      <c r="BA190" s="1658"/>
      <c r="BB190" s="1658"/>
      <c r="BC190" s="1658"/>
      <c r="BD190" s="1659"/>
      <c r="BE190" s="1658"/>
      <c r="BF190" s="1658"/>
      <c r="BG190" s="1658"/>
      <c r="BH190" s="1659"/>
      <c r="BI190" s="1658"/>
      <c r="BJ190" s="1658"/>
      <c r="BK190" s="1658"/>
      <c r="BL190" s="1633">
        <v>825</v>
      </c>
      <c r="BM190" s="1634">
        <v>858</v>
      </c>
      <c r="BN190" s="1634">
        <v>868</v>
      </c>
      <c r="BO190" s="1634">
        <v>828</v>
      </c>
      <c r="BP190" s="1641">
        <v>804</v>
      </c>
      <c r="BQ190" s="1642">
        <v>786</v>
      </c>
      <c r="BR190" s="1642">
        <v>844</v>
      </c>
      <c r="BS190" s="1642">
        <v>866</v>
      </c>
      <c r="BT190" s="1641">
        <v>850</v>
      </c>
      <c r="BU190" s="1634">
        <v>844</v>
      </c>
      <c r="BV190" s="1634">
        <v>836</v>
      </c>
      <c r="BW190" s="1634">
        <v>815</v>
      </c>
      <c r="BX190" s="1641"/>
      <c r="BY190" s="1642"/>
      <c r="BZ190" s="1642"/>
      <c r="CA190" s="1642"/>
      <c r="CB190" s="1641"/>
      <c r="CC190" s="1642"/>
      <c r="CD190" s="1642"/>
      <c r="CE190" s="1642"/>
      <c r="CF190" s="1641"/>
      <c r="CG190" s="1642"/>
      <c r="CH190" s="1642"/>
      <c r="CI190" s="1642"/>
      <c r="CJ190" s="1641"/>
      <c r="CK190" s="1642"/>
      <c r="CL190" s="1642"/>
      <c r="CM190" s="1681"/>
      <c r="CN190" s="1672"/>
      <c r="CO190" s="1672"/>
      <c r="CP190" s="1672"/>
      <c r="CQ190" s="1681"/>
      <c r="CR190" s="1672"/>
      <c r="CS190" s="1672"/>
      <c r="CT190" s="1672"/>
      <c r="CU190" s="1681"/>
      <c r="CV190" s="1672"/>
      <c r="CW190" s="1672"/>
      <c r="CX190" s="1672"/>
      <c r="CY190" s="1681"/>
      <c r="CZ190" s="1672"/>
      <c r="DA190" s="1672"/>
      <c r="DB190" s="1672"/>
      <c r="DC190" s="1672"/>
      <c r="DD190" s="1672"/>
      <c r="DE190" s="1672"/>
      <c r="DF190" s="1672"/>
      <c r="DG190" s="1672"/>
      <c r="DH190" s="1672"/>
      <c r="DI190" s="1672"/>
      <c r="DJ190" s="1672"/>
      <c r="DK190" s="1672"/>
      <c r="DL190" s="1672"/>
    </row>
    <row r="191" spans="1:116" hidden="1" outlineLevel="1">
      <c r="A191" s="1539" t="s">
        <v>208</v>
      </c>
      <c r="B191" s="1658"/>
      <c r="C191" s="1658"/>
      <c r="D191" s="1658"/>
      <c r="E191" s="1659"/>
      <c r="F191" s="1658"/>
      <c r="G191" s="1658"/>
      <c r="H191" s="1658"/>
      <c r="I191" s="1658"/>
      <c r="J191" s="1658"/>
      <c r="K191" s="1696"/>
      <c r="L191" s="1658"/>
      <c r="M191" s="1658"/>
      <c r="N191" s="1658"/>
      <c r="O191" s="1658"/>
      <c r="P191" s="1658"/>
      <c r="Q191" s="1658"/>
      <c r="R191" s="1658"/>
      <c r="S191" s="1658"/>
      <c r="T191" s="1658"/>
      <c r="U191" s="1658"/>
      <c r="V191" s="1658"/>
      <c r="W191" s="1658"/>
      <c r="X191" s="1658"/>
      <c r="Y191" s="1658"/>
      <c r="Z191" s="1658"/>
      <c r="AA191" s="1658"/>
      <c r="AB191" s="1658"/>
      <c r="AC191" s="1658"/>
      <c r="AD191" s="1658"/>
      <c r="AE191" s="1658"/>
      <c r="AF191" s="1659"/>
      <c r="AG191" s="1658"/>
      <c r="AH191" s="1658"/>
      <c r="AI191" s="1658"/>
      <c r="AJ191" s="1659"/>
      <c r="AK191" s="1658"/>
      <c r="AL191" s="1658"/>
      <c r="AM191" s="1658"/>
      <c r="AN191" s="1659"/>
      <c r="AO191" s="1658"/>
      <c r="AP191" s="1658"/>
      <c r="AQ191" s="1658"/>
      <c r="AR191" s="1659"/>
      <c r="AS191" s="1658"/>
      <c r="AT191" s="1658"/>
      <c r="AU191" s="1658"/>
      <c r="AV191" s="1659"/>
      <c r="AW191" s="1658"/>
      <c r="AX191" s="1658"/>
      <c r="AY191" s="1658"/>
      <c r="AZ191" s="1659"/>
      <c r="BA191" s="1658"/>
      <c r="BB191" s="1658"/>
      <c r="BC191" s="1658"/>
      <c r="BD191" s="1659"/>
      <c r="BE191" s="1658"/>
      <c r="BF191" s="1658"/>
      <c r="BG191" s="1658"/>
      <c r="BH191" s="1659"/>
      <c r="BI191" s="1658"/>
      <c r="BJ191" s="1658"/>
      <c r="BK191" s="1658"/>
      <c r="BL191" s="1633">
        <v>947</v>
      </c>
      <c r="BM191" s="1634">
        <v>904</v>
      </c>
      <c r="BN191" s="1634">
        <v>794</v>
      </c>
      <c r="BO191" s="1634">
        <v>779</v>
      </c>
      <c r="BP191" s="1641">
        <v>737</v>
      </c>
      <c r="BQ191" s="1642">
        <v>804</v>
      </c>
      <c r="BR191" s="1642">
        <v>795</v>
      </c>
      <c r="BS191" s="1642">
        <v>792</v>
      </c>
      <c r="BT191" s="1641">
        <v>798</v>
      </c>
      <c r="BU191" s="1634">
        <v>789</v>
      </c>
      <c r="BV191" s="1634">
        <v>789</v>
      </c>
      <c r="BW191" s="1634">
        <v>838</v>
      </c>
      <c r="BX191" s="1641"/>
      <c r="BY191" s="1642"/>
      <c r="BZ191" s="1642"/>
      <c r="CA191" s="1642"/>
      <c r="CB191" s="1641"/>
      <c r="CC191" s="1642"/>
      <c r="CD191" s="1642"/>
      <c r="CE191" s="1642"/>
      <c r="CF191" s="1641"/>
      <c r="CG191" s="1642"/>
      <c r="CH191" s="1642"/>
      <c r="CI191" s="1642"/>
      <c r="CJ191" s="1641"/>
      <c r="CK191" s="1642"/>
      <c r="CL191" s="1642"/>
      <c r="CM191" s="1681"/>
      <c r="CN191" s="1672"/>
      <c r="CO191" s="1672"/>
      <c r="CP191" s="1672"/>
      <c r="CQ191" s="1681"/>
      <c r="CR191" s="1672"/>
      <c r="CS191" s="1672"/>
      <c r="CT191" s="1672"/>
      <c r="CU191" s="1681"/>
      <c r="CV191" s="1672"/>
      <c r="CW191" s="1672"/>
      <c r="CX191" s="1672"/>
      <c r="CY191" s="1681"/>
      <c r="CZ191" s="1672"/>
      <c r="DA191" s="1672"/>
      <c r="DB191" s="1672"/>
      <c r="DC191" s="1672"/>
      <c r="DD191" s="1672"/>
      <c r="DE191" s="1672"/>
      <c r="DF191" s="1672"/>
      <c r="DG191" s="1672"/>
      <c r="DH191" s="1672"/>
      <c r="DI191" s="1672"/>
      <c r="DJ191" s="1672"/>
      <c r="DK191" s="1672"/>
      <c r="DL191" s="1672"/>
    </row>
    <row r="192" spans="1:116" hidden="1" outlineLevel="1">
      <c r="A192" s="1539" t="s">
        <v>205</v>
      </c>
      <c r="B192" s="1658"/>
      <c r="C192" s="1658"/>
      <c r="D192" s="1658"/>
      <c r="E192" s="1659"/>
      <c r="F192" s="1658"/>
      <c r="G192" s="1658"/>
      <c r="H192" s="1658"/>
      <c r="I192" s="1658"/>
      <c r="J192" s="1658"/>
      <c r="K192" s="1696"/>
      <c r="L192" s="1658"/>
      <c r="M192" s="1658"/>
      <c r="N192" s="1658"/>
      <c r="O192" s="1658"/>
      <c r="P192" s="1658"/>
      <c r="Q192" s="1658"/>
      <c r="R192" s="1658"/>
      <c r="S192" s="1658"/>
      <c r="T192" s="1658"/>
      <c r="U192" s="1658"/>
      <c r="V192" s="1658"/>
      <c r="W192" s="1658"/>
      <c r="X192" s="1658"/>
      <c r="Y192" s="1658"/>
      <c r="Z192" s="1658"/>
      <c r="AA192" s="1658"/>
      <c r="AB192" s="1658"/>
      <c r="AC192" s="1658"/>
      <c r="AD192" s="1658"/>
      <c r="AE192" s="1658"/>
      <c r="AF192" s="1659"/>
      <c r="AG192" s="1658"/>
      <c r="AH192" s="1658"/>
      <c r="AI192" s="1658"/>
      <c r="AJ192" s="1659"/>
      <c r="AK192" s="1658"/>
      <c r="AL192" s="1658"/>
      <c r="AM192" s="1658"/>
      <c r="AN192" s="1659"/>
      <c r="AO192" s="1658"/>
      <c r="AP192" s="1658"/>
      <c r="AQ192" s="1658"/>
      <c r="AR192" s="1659"/>
      <c r="AS192" s="1658"/>
      <c r="AT192" s="1658"/>
      <c r="AU192" s="1658"/>
      <c r="AV192" s="1659"/>
      <c r="AW192" s="1658"/>
      <c r="AX192" s="1658"/>
      <c r="AY192" s="1658"/>
      <c r="AZ192" s="1659"/>
      <c r="BA192" s="1658"/>
      <c r="BB192" s="1658"/>
      <c r="BC192" s="1658"/>
      <c r="BD192" s="1659"/>
      <c r="BE192" s="1658"/>
      <c r="BF192" s="1658"/>
      <c r="BG192" s="1658"/>
      <c r="BH192" s="1659"/>
      <c r="BI192" s="1658"/>
      <c r="BJ192" s="1658"/>
      <c r="BK192" s="1658"/>
      <c r="BL192" s="1641">
        <f t="shared" ref="BL192:BW192" si="219">SUM(BL189:BL191)</f>
        <v>5461</v>
      </c>
      <c r="BM192" s="1642">
        <f t="shared" si="219"/>
        <v>5458</v>
      </c>
      <c r="BN192" s="1642">
        <f t="shared" si="219"/>
        <v>5280</v>
      </c>
      <c r="BO192" s="1642">
        <f t="shared" si="219"/>
        <v>5179</v>
      </c>
      <c r="BP192" s="1641">
        <f t="shared" si="219"/>
        <v>4924</v>
      </c>
      <c r="BQ192" s="1642">
        <f t="shared" si="219"/>
        <v>5115</v>
      </c>
      <c r="BR192" s="1642">
        <f t="shared" si="219"/>
        <v>5201</v>
      </c>
      <c r="BS192" s="1642">
        <f t="shared" si="219"/>
        <v>5319</v>
      </c>
      <c r="BT192" s="1641">
        <f t="shared" si="219"/>
        <v>5219</v>
      </c>
      <c r="BU192" s="1642">
        <f t="shared" si="219"/>
        <v>5302</v>
      </c>
      <c r="BV192" s="1642">
        <f t="shared" si="219"/>
        <v>5342</v>
      </c>
      <c r="BW192" s="1642">
        <f t="shared" si="219"/>
        <v>5373</v>
      </c>
      <c r="BX192" s="1641"/>
      <c r="BY192" s="1642"/>
      <c r="BZ192" s="1642"/>
      <c r="CA192" s="1642"/>
      <c r="CB192" s="1641"/>
      <c r="CC192" s="1642"/>
      <c r="CD192" s="1642"/>
      <c r="CE192" s="1642"/>
      <c r="CF192" s="1641"/>
      <c r="CG192" s="1642"/>
      <c r="CH192" s="1642"/>
      <c r="CI192" s="1642"/>
      <c r="CJ192" s="1641"/>
      <c r="CK192" s="1642"/>
      <c r="CL192" s="1642"/>
      <c r="CM192" s="1681"/>
      <c r="CN192" s="1672"/>
      <c r="CO192" s="1672"/>
      <c r="CP192" s="1672"/>
      <c r="CQ192" s="1681"/>
      <c r="CR192" s="1672"/>
      <c r="CS192" s="1672"/>
      <c r="CT192" s="1672"/>
      <c r="CU192" s="1681"/>
      <c r="CV192" s="1672"/>
      <c r="CW192" s="1672"/>
      <c r="CX192" s="1672"/>
      <c r="CY192" s="1681"/>
      <c r="CZ192" s="1672"/>
      <c r="DA192" s="1672"/>
      <c r="DB192" s="1672"/>
      <c r="DC192" s="1672"/>
      <c r="DD192" s="1672"/>
      <c r="DE192" s="1672"/>
      <c r="DF192" s="1672"/>
      <c r="DG192" s="1672"/>
      <c r="DH192" s="1672"/>
      <c r="DI192" s="1672"/>
      <c r="DJ192" s="1672"/>
      <c r="DK192" s="1672"/>
      <c r="DL192" s="1672"/>
    </row>
    <row r="193" spans="1:116" hidden="1" outlineLevel="1">
      <c r="A193" s="1539" t="s">
        <v>210</v>
      </c>
      <c r="B193" s="1658"/>
      <c r="C193" s="1658"/>
      <c r="D193" s="1658"/>
      <c r="E193" s="1659"/>
      <c r="F193" s="1658"/>
      <c r="G193" s="1658"/>
      <c r="H193" s="1658"/>
      <c r="I193" s="1658"/>
      <c r="J193" s="1658"/>
      <c r="K193" s="1696"/>
      <c r="L193" s="1658"/>
      <c r="M193" s="1658"/>
      <c r="N193" s="1658"/>
      <c r="O193" s="1658"/>
      <c r="P193" s="1658"/>
      <c r="Q193" s="1658"/>
      <c r="R193" s="1658"/>
      <c r="S193" s="1658"/>
      <c r="T193" s="1658"/>
      <c r="U193" s="1658"/>
      <c r="V193" s="1658"/>
      <c r="W193" s="1658"/>
      <c r="X193" s="1658"/>
      <c r="Y193" s="1658"/>
      <c r="Z193" s="1658"/>
      <c r="AA193" s="1658"/>
      <c r="AB193" s="1658"/>
      <c r="AC193" s="1658"/>
      <c r="AD193" s="1658"/>
      <c r="AE193" s="1658"/>
      <c r="AF193" s="1659"/>
      <c r="AG193" s="1658"/>
      <c r="AH193" s="1658"/>
      <c r="AI193" s="1658"/>
      <c r="AJ193" s="1659"/>
      <c r="AK193" s="1658"/>
      <c r="AL193" s="1658"/>
      <c r="AM193" s="1658"/>
      <c r="AN193" s="1659"/>
      <c r="AO193" s="1658"/>
      <c r="AP193" s="1658"/>
      <c r="AQ193" s="1658"/>
      <c r="AR193" s="1659"/>
      <c r="AS193" s="1658"/>
      <c r="AT193" s="1658"/>
      <c r="AU193" s="1658"/>
      <c r="AV193" s="1659"/>
      <c r="AW193" s="1658"/>
      <c r="AX193" s="1658"/>
      <c r="AY193" s="1658"/>
      <c r="AZ193" s="1659"/>
      <c r="BA193" s="1658"/>
      <c r="BB193" s="1658"/>
      <c r="BC193" s="1658"/>
      <c r="BD193" s="1659"/>
      <c r="BE193" s="1658"/>
      <c r="BF193" s="1658"/>
      <c r="BG193" s="1658"/>
      <c r="BH193" s="1659"/>
      <c r="BI193" s="1658"/>
      <c r="BJ193" s="1658"/>
      <c r="BK193" s="1658"/>
      <c r="BL193" s="1633">
        <v>-745</v>
      </c>
      <c r="BM193" s="1634">
        <v>-740</v>
      </c>
      <c r="BN193" s="1634">
        <v>-742</v>
      </c>
      <c r="BO193" s="1634">
        <v>-807</v>
      </c>
      <c r="BP193" s="1641">
        <v>-724</v>
      </c>
      <c r="BQ193" s="1642">
        <v>-742</v>
      </c>
      <c r="BR193" s="1642">
        <v>-729</v>
      </c>
      <c r="BS193" s="1642">
        <v>-741</v>
      </c>
      <c r="BT193" s="1641">
        <v>-727</v>
      </c>
      <c r="BU193" s="1634">
        <v>-716</v>
      </c>
      <c r="BV193" s="1634">
        <v>-703</v>
      </c>
      <c r="BW193" s="1634">
        <v>0</v>
      </c>
      <c r="BX193" s="1641"/>
      <c r="BY193" s="1642"/>
      <c r="BZ193" s="1642"/>
      <c r="CA193" s="1642"/>
      <c r="CB193" s="1641"/>
      <c r="CC193" s="1642"/>
      <c r="CD193" s="1642"/>
      <c r="CE193" s="1642"/>
      <c r="CF193" s="1641"/>
      <c r="CG193" s="1642"/>
      <c r="CH193" s="1642"/>
      <c r="CI193" s="1642"/>
      <c r="CJ193" s="1641"/>
      <c r="CK193" s="1642"/>
      <c r="CL193" s="1642"/>
      <c r="CM193" s="1681"/>
      <c r="CN193" s="1672"/>
      <c r="CO193" s="1672"/>
      <c r="CP193" s="1672"/>
      <c r="CQ193" s="1681"/>
      <c r="CR193" s="1672"/>
      <c r="CS193" s="1672"/>
      <c r="CT193" s="1672"/>
      <c r="CU193" s="1681"/>
      <c r="CV193" s="1672"/>
      <c r="CW193" s="1672"/>
      <c r="CX193" s="1672"/>
      <c r="CY193" s="1681"/>
      <c r="CZ193" s="1672"/>
      <c r="DA193" s="1672"/>
      <c r="DB193" s="1672"/>
      <c r="DC193" s="1672"/>
      <c r="DD193" s="1672"/>
      <c r="DE193" s="1672"/>
      <c r="DF193" s="1672"/>
      <c r="DG193" s="1672"/>
      <c r="DH193" s="1672"/>
      <c r="DI193" s="1672"/>
      <c r="DJ193" s="1672"/>
      <c r="DK193" s="1672"/>
      <c r="DL193" s="1672"/>
    </row>
    <row r="194" spans="1:116" hidden="1" outlineLevel="1">
      <c r="A194" s="1539" t="s">
        <v>211</v>
      </c>
      <c r="B194" s="1658"/>
      <c r="C194" s="1658"/>
      <c r="D194" s="1658"/>
      <c r="E194" s="1659"/>
      <c r="F194" s="1658"/>
      <c r="G194" s="1658"/>
      <c r="H194" s="1658"/>
      <c r="I194" s="1658"/>
      <c r="J194" s="1658"/>
      <c r="K194" s="1696"/>
      <c r="L194" s="1658"/>
      <c r="M194" s="1658"/>
      <c r="N194" s="1658"/>
      <c r="O194" s="1658"/>
      <c r="P194" s="1658"/>
      <c r="Q194" s="1658"/>
      <c r="R194" s="1658"/>
      <c r="S194" s="1658"/>
      <c r="T194" s="1658"/>
      <c r="U194" s="1658"/>
      <c r="V194" s="1658"/>
      <c r="W194" s="1658"/>
      <c r="X194" s="1658"/>
      <c r="Y194" s="1658"/>
      <c r="Z194" s="1658"/>
      <c r="AA194" s="1658"/>
      <c r="AB194" s="1658"/>
      <c r="AC194" s="1658"/>
      <c r="AD194" s="1658"/>
      <c r="AE194" s="1658"/>
      <c r="AF194" s="1659"/>
      <c r="AG194" s="1658"/>
      <c r="AH194" s="1658"/>
      <c r="AI194" s="1658"/>
      <c r="AJ194" s="1659"/>
      <c r="AK194" s="1658"/>
      <c r="AL194" s="1658"/>
      <c r="AM194" s="1658"/>
      <c r="AN194" s="1659"/>
      <c r="AO194" s="1658"/>
      <c r="AP194" s="1658"/>
      <c r="AQ194" s="1658"/>
      <c r="AR194" s="1659"/>
      <c r="AS194" s="1658"/>
      <c r="AT194" s="1658"/>
      <c r="AU194" s="1658"/>
      <c r="AV194" s="1659"/>
      <c r="AW194" s="1658"/>
      <c r="AX194" s="1658"/>
      <c r="AY194" s="1658"/>
      <c r="AZ194" s="1659"/>
      <c r="BA194" s="1658"/>
      <c r="BB194" s="1658"/>
      <c r="BC194" s="1658"/>
      <c r="BD194" s="1659"/>
      <c r="BE194" s="1658"/>
      <c r="BF194" s="1658"/>
      <c r="BG194" s="1658"/>
      <c r="BH194" s="1659"/>
      <c r="BI194" s="1658"/>
      <c r="BJ194" s="1658"/>
      <c r="BK194" s="1658"/>
      <c r="BL194" s="1641">
        <f t="shared" ref="BL194:BW194" si="220">BL186+BL192+BL193</f>
        <v>13644</v>
      </c>
      <c r="BM194" s="1642">
        <f t="shared" si="220"/>
        <v>13631</v>
      </c>
      <c r="BN194" s="1642">
        <f t="shared" si="220"/>
        <v>13427</v>
      </c>
      <c r="BO194" s="1642">
        <f t="shared" si="220"/>
        <v>13199</v>
      </c>
      <c r="BP194" s="1641">
        <f t="shared" si="220"/>
        <v>12465</v>
      </c>
      <c r="BQ194" s="1642">
        <f t="shared" si="220"/>
        <v>12780</v>
      </c>
      <c r="BR194" s="1642">
        <f t="shared" si="220"/>
        <v>12797</v>
      </c>
      <c r="BS194" s="1642">
        <f t="shared" si="220"/>
        <v>12733</v>
      </c>
      <c r="BT194" s="1641">
        <f t="shared" si="220"/>
        <v>12476</v>
      </c>
      <c r="BU194" s="1642">
        <f t="shared" si="220"/>
        <v>12626</v>
      </c>
      <c r="BV194" s="1642">
        <f t="shared" si="220"/>
        <v>12674</v>
      </c>
      <c r="BW194" s="1642">
        <f t="shared" si="220"/>
        <v>13240</v>
      </c>
      <c r="BX194" s="1641"/>
      <c r="BY194" s="1642"/>
      <c r="BZ194" s="1642"/>
      <c r="CA194" s="1642"/>
      <c r="CB194" s="1641"/>
      <c r="CC194" s="1642"/>
      <c r="CD194" s="1642"/>
      <c r="CE194" s="1642"/>
      <c r="CF194" s="1641"/>
      <c r="CG194" s="1642"/>
      <c r="CH194" s="1642"/>
      <c r="CI194" s="1642"/>
      <c r="CJ194" s="1641"/>
      <c r="CK194" s="1642"/>
      <c r="CL194" s="1642"/>
      <c r="CM194" s="1681"/>
      <c r="CN194" s="1672"/>
      <c r="CO194" s="1672"/>
      <c r="CP194" s="1672"/>
      <c r="CQ194" s="1681"/>
      <c r="CR194" s="1672"/>
      <c r="CS194" s="1672"/>
      <c r="CT194" s="1672"/>
      <c r="CU194" s="1681"/>
      <c r="CV194" s="1672"/>
      <c r="CW194" s="1672"/>
      <c r="CX194" s="1672"/>
      <c r="CY194" s="1681"/>
      <c r="CZ194" s="1672"/>
      <c r="DA194" s="1672"/>
      <c r="DB194" s="1672"/>
      <c r="DC194" s="1672"/>
      <c r="DD194" s="1672"/>
      <c r="DE194" s="1672"/>
      <c r="DF194" s="1672"/>
      <c r="DG194" s="1672"/>
      <c r="DH194" s="1672"/>
      <c r="DI194" s="1672"/>
      <c r="DJ194" s="1672"/>
      <c r="DK194" s="1672"/>
      <c r="DL194" s="1672"/>
    </row>
    <row r="195" spans="1:116" hidden="1" outlineLevel="1">
      <c r="A195" s="1629"/>
      <c r="B195" s="1658"/>
      <c r="C195" s="1658"/>
      <c r="D195" s="1658"/>
      <c r="E195" s="1659"/>
      <c r="F195" s="1658"/>
      <c r="G195" s="1658"/>
      <c r="H195" s="1658"/>
      <c r="I195" s="1658"/>
      <c r="J195" s="1658"/>
      <c r="K195" s="1696"/>
      <c r="L195" s="1658"/>
      <c r="M195" s="1658"/>
      <c r="N195" s="1658"/>
      <c r="O195" s="1658"/>
      <c r="P195" s="1658"/>
      <c r="Q195" s="1658"/>
      <c r="R195" s="1658"/>
      <c r="S195" s="1658"/>
      <c r="T195" s="1658"/>
      <c r="U195" s="1658"/>
      <c r="V195" s="1658"/>
      <c r="W195" s="1658"/>
      <c r="X195" s="1658"/>
      <c r="Y195" s="1658"/>
      <c r="Z195" s="1658"/>
      <c r="AA195" s="1658"/>
      <c r="AB195" s="1658"/>
      <c r="AC195" s="1658"/>
      <c r="AD195" s="1658"/>
      <c r="AE195" s="1658"/>
      <c r="AF195" s="1659"/>
      <c r="AG195" s="1658"/>
      <c r="AH195" s="1658"/>
      <c r="AI195" s="1658"/>
      <c r="AJ195" s="1659"/>
      <c r="AK195" s="1658"/>
      <c r="AL195" s="1658"/>
      <c r="AM195" s="1658"/>
      <c r="AN195" s="1659"/>
      <c r="AO195" s="1658"/>
      <c r="AP195" s="1658"/>
      <c r="AQ195" s="1658"/>
      <c r="AR195" s="1659"/>
      <c r="AS195" s="1658"/>
      <c r="AT195" s="1658"/>
      <c r="AU195" s="1658"/>
      <c r="AV195" s="1659"/>
      <c r="AW195" s="1658"/>
      <c r="AX195" s="1658"/>
      <c r="AY195" s="1658"/>
      <c r="AZ195" s="1659"/>
      <c r="BA195" s="1658"/>
      <c r="BB195" s="1658"/>
      <c r="BC195" s="1658"/>
      <c r="BD195" s="1659"/>
      <c r="BE195" s="1658"/>
      <c r="BF195" s="1658"/>
      <c r="BG195" s="1658"/>
      <c r="BH195" s="1659"/>
      <c r="BI195" s="1658"/>
      <c r="BJ195" s="1658"/>
      <c r="BK195" s="1658"/>
      <c r="BL195" s="1659"/>
      <c r="BM195" s="1658"/>
      <c r="BN195" s="1658"/>
      <c r="BO195" s="1642"/>
      <c r="BP195" s="3486" t="s">
        <v>1150</v>
      </c>
      <c r="BQ195" s="3487"/>
      <c r="BR195" s="3487"/>
      <c r="BS195" s="3487"/>
      <c r="BT195" s="3487"/>
      <c r="BU195" s="3487"/>
      <c r="BV195" s="3487"/>
      <c r="BW195" s="3487"/>
      <c r="BX195" s="3487"/>
      <c r="BY195" s="1642"/>
      <c r="BZ195" s="1642"/>
      <c r="CA195" s="1642"/>
      <c r="CB195" s="1641"/>
      <c r="CC195" s="1642"/>
      <c r="CD195" s="1642"/>
      <c r="CE195" s="1642"/>
      <c r="CF195" s="1641"/>
      <c r="CG195" s="1642"/>
      <c r="CH195" s="1642"/>
      <c r="CI195" s="1642"/>
      <c r="CJ195" s="1641"/>
      <c r="CK195" s="1642"/>
      <c r="CL195" s="1642"/>
      <c r="CM195" s="1681"/>
      <c r="CN195" s="1672"/>
      <c r="CO195" s="1672"/>
      <c r="CP195" s="1672"/>
      <c r="CQ195" s="1681"/>
      <c r="CR195" s="1672"/>
      <c r="CS195" s="1672"/>
      <c r="CT195" s="1672"/>
      <c r="CU195" s="1681"/>
      <c r="CV195" s="1672"/>
      <c r="CW195" s="1672"/>
      <c r="CX195" s="1672"/>
      <c r="CY195" s="1681"/>
      <c r="CZ195" s="1672"/>
      <c r="DA195" s="1672"/>
      <c r="DB195" s="1672"/>
      <c r="DC195" s="1672"/>
      <c r="DD195" s="1672"/>
      <c r="DE195" s="1672"/>
      <c r="DF195" s="1672"/>
      <c r="DG195" s="1672"/>
      <c r="DH195" s="1672"/>
      <c r="DI195" s="1672"/>
      <c r="DJ195" s="1672"/>
      <c r="DK195" s="1672"/>
      <c r="DL195" s="1672"/>
    </row>
    <row r="196" spans="1:116" hidden="1" outlineLevel="1" collapsed="1">
      <c r="A196" s="1539"/>
      <c r="B196" s="1642"/>
      <c r="C196" s="1642"/>
      <c r="D196" s="1642"/>
      <c r="E196" s="1641"/>
      <c r="F196" s="1642"/>
      <c r="G196" s="1642"/>
      <c r="H196" s="1642"/>
      <c r="I196" s="1642"/>
      <c r="J196" s="1642"/>
      <c r="K196" s="1681"/>
      <c r="L196" s="1642"/>
      <c r="M196" s="1642"/>
      <c r="N196" s="1642"/>
      <c r="O196" s="1642"/>
      <c r="P196" s="1642"/>
      <c r="Q196" s="1642"/>
      <c r="R196" s="1642"/>
      <c r="S196" s="1642"/>
      <c r="T196" s="1642"/>
      <c r="U196" s="1642"/>
      <c r="V196" s="1642"/>
      <c r="W196" s="1642"/>
      <c r="X196" s="1642"/>
      <c r="Y196" s="1642"/>
      <c r="Z196" s="1642"/>
      <c r="AA196" s="1642"/>
      <c r="AB196" s="1642"/>
      <c r="AC196" s="1642"/>
      <c r="AD196" s="1642"/>
      <c r="AE196" s="1642"/>
      <c r="AF196" s="1641"/>
      <c r="AG196" s="1642"/>
      <c r="AH196" s="1642"/>
      <c r="AI196" s="1642"/>
      <c r="AJ196" s="1641"/>
      <c r="AK196" s="1642"/>
      <c r="AL196" s="1642"/>
      <c r="AM196" s="1642"/>
      <c r="AN196" s="1641"/>
      <c r="AO196" s="1642"/>
      <c r="AP196" s="1642"/>
      <c r="AQ196" s="1642"/>
      <c r="AR196" s="1641"/>
      <c r="AS196" s="1642"/>
      <c r="AT196" s="1642"/>
      <c r="AU196" s="1642"/>
      <c r="AV196" s="1641"/>
      <c r="AW196" s="1642"/>
      <c r="AX196" s="1642"/>
      <c r="AY196" s="1642"/>
      <c r="AZ196" s="1641"/>
      <c r="BA196" s="1642"/>
      <c r="BB196" s="1642"/>
      <c r="BC196" s="1642"/>
      <c r="BD196" s="1641"/>
      <c r="BE196" s="1642"/>
      <c r="BF196" s="1642"/>
      <c r="BG196" s="1642"/>
      <c r="BH196" s="1641"/>
      <c r="BI196" s="1642"/>
      <c r="BJ196" s="1642"/>
      <c r="BK196" s="1642"/>
      <c r="BL196" s="1641"/>
      <c r="BM196" s="1642"/>
      <c r="BN196" s="1642"/>
      <c r="BO196" s="1642"/>
      <c r="BP196" s="1641"/>
      <c r="BQ196" s="1642"/>
      <c r="BR196" s="1642"/>
      <c r="BS196" s="1642"/>
      <c r="BT196" s="1641"/>
      <c r="BU196" s="1642"/>
      <c r="BV196" s="1642"/>
      <c r="BW196" s="1642"/>
      <c r="BX196" s="1641"/>
      <c r="BY196" s="1642"/>
      <c r="BZ196" s="1642"/>
      <c r="CA196" s="1642"/>
      <c r="CB196" s="1641"/>
      <c r="CC196" s="1642"/>
      <c r="CD196" s="1642"/>
      <c r="CE196" s="1642"/>
      <c r="CF196" s="1641"/>
      <c r="CG196" s="1642"/>
      <c r="CH196" s="1642"/>
      <c r="CI196" s="1642"/>
      <c r="CJ196" s="1641"/>
      <c r="CK196" s="1642"/>
      <c r="CL196" s="1642"/>
      <c r="CM196" s="1681"/>
      <c r="CN196" s="1672"/>
      <c r="CO196" s="1672"/>
      <c r="CP196" s="1672"/>
      <c r="CQ196" s="1681"/>
      <c r="CR196" s="1672"/>
      <c r="CS196" s="1672"/>
      <c r="CT196" s="1672"/>
      <c r="CU196" s="1681"/>
      <c r="CV196" s="1672"/>
      <c r="CW196" s="1672"/>
      <c r="CX196" s="1672"/>
      <c r="CY196" s="1681"/>
      <c r="CZ196" s="1672"/>
      <c r="DA196" s="1672"/>
      <c r="DB196" s="1672"/>
      <c r="DC196" s="1672"/>
      <c r="DD196" s="1672"/>
      <c r="DE196" s="1672"/>
      <c r="DF196" s="1672"/>
      <c r="DG196" s="1672"/>
      <c r="DH196" s="1672"/>
      <c r="DI196" s="1672"/>
      <c r="DJ196" s="1672"/>
      <c r="DK196" s="1672"/>
      <c r="DL196" s="1672"/>
    </row>
    <row r="197" spans="1:116" ht="12.75" customHeight="1" collapsed="1">
      <c r="A197" s="1628" t="s">
        <v>961</v>
      </c>
      <c r="B197" s="1642"/>
      <c r="C197" s="1642"/>
      <c r="D197" s="1642"/>
      <c r="E197" s="1641"/>
      <c r="F197" s="1642"/>
      <c r="G197" s="1642"/>
      <c r="H197" s="1642"/>
      <c r="I197" s="1642"/>
      <c r="J197" s="1642">
        <f>SUM(AZ197:BC197)</f>
        <v>13390</v>
      </c>
      <c r="K197" s="1681">
        <f>SUM(BD197:BG197)</f>
        <v>14512</v>
      </c>
      <c r="L197" s="1642"/>
      <c r="M197" s="1642"/>
      <c r="N197" s="1642"/>
      <c r="O197" s="1642"/>
      <c r="P197" s="1642"/>
      <c r="Q197" s="1642"/>
      <c r="R197" s="1642"/>
      <c r="S197" s="1642"/>
      <c r="T197" s="1642"/>
      <c r="U197" s="1642"/>
      <c r="V197" s="1642"/>
      <c r="W197" s="1642"/>
      <c r="X197" s="1642"/>
      <c r="Y197" s="1642"/>
      <c r="Z197" s="1642"/>
      <c r="AA197" s="1642"/>
      <c r="AB197" s="1642"/>
      <c r="AC197" s="1642"/>
      <c r="AD197" s="1642"/>
      <c r="AE197" s="1642"/>
      <c r="AF197" s="1641"/>
      <c r="AG197" s="1642"/>
      <c r="AH197" s="1642"/>
      <c r="AI197" s="1642"/>
      <c r="AJ197" s="1641"/>
      <c r="AK197" s="1642"/>
      <c r="AL197" s="1642"/>
      <c r="AM197" s="1642"/>
      <c r="AN197" s="1641"/>
      <c r="AO197" s="1642"/>
      <c r="AP197" s="1642"/>
      <c r="AQ197" s="1642"/>
      <c r="AR197" s="1641"/>
      <c r="AS197" s="1642"/>
      <c r="AT197" s="1642"/>
      <c r="AU197" s="1642"/>
      <c r="AV197" s="1641"/>
      <c r="AW197" s="1642"/>
      <c r="AX197" s="1642"/>
      <c r="AY197" s="1642"/>
      <c r="AZ197" s="1641">
        <v>3352</v>
      </c>
      <c r="BA197" s="1642">
        <v>3340</v>
      </c>
      <c r="BB197" s="1642">
        <v>3499</v>
      </c>
      <c r="BC197" s="1642">
        <v>3199</v>
      </c>
      <c r="BD197" s="1641">
        <v>3477</v>
      </c>
      <c r="BE197" s="1642">
        <v>3364</v>
      </c>
      <c r="BF197" s="1642">
        <v>3832</v>
      </c>
      <c r="BG197" s="1642">
        <v>3839</v>
      </c>
      <c r="BH197" s="1641">
        <v>3670</v>
      </c>
      <c r="BI197" s="1642">
        <v>3604</v>
      </c>
      <c r="BJ197" s="1642">
        <v>3753</v>
      </c>
      <c r="BK197" s="1642">
        <v>3803</v>
      </c>
      <c r="BL197" s="1641">
        <v>3846</v>
      </c>
      <c r="BM197" s="1642">
        <v>3855</v>
      </c>
      <c r="BN197" s="1642">
        <v>3932</v>
      </c>
      <c r="BO197" s="1642">
        <v>3971</v>
      </c>
      <c r="BP197" s="1633">
        <v>5798</v>
      </c>
      <c r="BQ197" s="1634">
        <v>5912</v>
      </c>
      <c r="BR197" s="1634">
        <v>6055</v>
      </c>
      <c r="BS197" s="1634">
        <v>6041</v>
      </c>
      <c r="BT197" s="1633">
        <v>5922</v>
      </c>
      <c r="BU197" s="1634">
        <v>5986</v>
      </c>
      <c r="BV197" s="1634">
        <v>6085</v>
      </c>
      <c r="BW197" s="1634">
        <v>6188</v>
      </c>
      <c r="BX197" s="1633">
        <v>6081</v>
      </c>
      <c r="BY197" s="1634">
        <v>5997</v>
      </c>
      <c r="BZ197" s="1634">
        <v>6155</v>
      </c>
      <c r="CA197" s="1634">
        <v>6041</v>
      </c>
      <c r="CB197" s="1633">
        <v>5542</v>
      </c>
      <c r="CC197" s="1634">
        <v>5572</v>
      </c>
      <c r="CD197" s="1634">
        <v>5851</v>
      </c>
      <c r="CE197" s="1634">
        <v>5728</v>
      </c>
      <c r="CF197" s="1633">
        <v>5741</v>
      </c>
      <c r="CG197" s="1634">
        <v>5611</v>
      </c>
      <c r="CH197" s="1634">
        <v>5658</v>
      </c>
      <c r="CI197" s="1634">
        <v>5608</v>
      </c>
      <c r="CJ197" s="1633">
        <v>5462</v>
      </c>
      <c r="CK197" s="1634">
        <v>5504</v>
      </c>
      <c r="CL197" s="1634">
        <v>5681</v>
      </c>
      <c r="CM197" s="1648">
        <v>5511</v>
      </c>
      <c r="CN197" s="1649">
        <v>5572</v>
      </c>
      <c r="CO197" s="1649">
        <v>5500</v>
      </c>
      <c r="CP197" s="1649">
        <v>5463</v>
      </c>
      <c r="CQ197" s="1648">
        <v>5673</v>
      </c>
      <c r="CR197" s="1649">
        <v>5293</v>
      </c>
      <c r="CS197" s="1649">
        <v>5290</v>
      </c>
      <c r="CT197" s="1649">
        <v>5342</v>
      </c>
      <c r="CU197" s="1648">
        <v>5471</v>
      </c>
      <c r="CV197" s="1649">
        <v>5339</v>
      </c>
      <c r="CW197" s="1649">
        <v>5342</v>
      </c>
      <c r="CX197" s="1649">
        <v>5325</v>
      </c>
      <c r="CY197" s="1648">
        <v>5326</v>
      </c>
      <c r="CZ197" s="1649">
        <v>5287</v>
      </c>
      <c r="DA197" s="1649">
        <v>5206</v>
      </c>
      <c r="DB197" s="1649">
        <v>5203</v>
      </c>
      <c r="DC197" s="1649">
        <v>5182</v>
      </c>
      <c r="DD197" s="1649">
        <v>5163</v>
      </c>
      <c r="DE197" s="1649">
        <v>5107</v>
      </c>
      <c r="DF197" s="1649">
        <v>4440</v>
      </c>
      <c r="DG197" s="1649">
        <v>4428</v>
      </c>
      <c r="DH197" s="1649">
        <v>4480</v>
      </c>
      <c r="DI197" s="1649">
        <v>4576</v>
      </c>
      <c r="DJ197" s="1649">
        <v>4496</v>
      </c>
      <c r="DK197" s="1649">
        <v>4465</v>
      </c>
      <c r="DL197" s="1649">
        <v>4475</v>
      </c>
    </row>
    <row r="198" spans="1:116" ht="12.75" customHeight="1">
      <c r="A198" s="1628" t="s">
        <v>963</v>
      </c>
      <c r="B198" s="1642"/>
      <c r="C198" s="1642"/>
      <c r="D198" s="1642"/>
      <c r="E198" s="1641"/>
      <c r="F198" s="1642"/>
      <c r="G198" s="1642"/>
      <c r="H198" s="1642"/>
      <c r="I198" s="1642"/>
      <c r="J198" s="1642">
        <f>SUM(AZ198:BC198)</f>
        <v>9048</v>
      </c>
      <c r="K198" s="1681">
        <f>SUM(BD198:BG198)</f>
        <v>8363</v>
      </c>
      <c r="L198" s="1642"/>
      <c r="M198" s="1642"/>
      <c r="N198" s="1642"/>
      <c r="O198" s="1642"/>
      <c r="P198" s="1642"/>
      <c r="Q198" s="1642"/>
      <c r="R198" s="1642"/>
      <c r="S198" s="1642"/>
      <c r="T198" s="1642"/>
      <c r="U198" s="1642"/>
      <c r="V198" s="1642"/>
      <c r="W198" s="1642"/>
      <c r="X198" s="1642"/>
      <c r="Y198" s="1642"/>
      <c r="Z198" s="1642"/>
      <c r="AA198" s="1642"/>
      <c r="AB198" s="1642"/>
      <c r="AC198" s="1642"/>
      <c r="AD198" s="1642"/>
      <c r="AE198" s="1642"/>
      <c r="AF198" s="1641"/>
      <c r="AG198" s="1642"/>
      <c r="AH198" s="1642"/>
      <c r="AI198" s="1642"/>
      <c r="AJ198" s="1641"/>
      <c r="AK198" s="1642"/>
      <c r="AL198" s="1642"/>
      <c r="AM198" s="1642"/>
      <c r="AN198" s="1641"/>
      <c r="AO198" s="1642"/>
      <c r="AP198" s="1642"/>
      <c r="AQ198" s="1642"/>
      <c r="AR198" s="1641"/>
      <c r="AS198" s="1642"/>
      <c r="AT198" s="1642"/>
      <c r="AU198" s="1642"/>
      <c r="AV198" s="1641"/>
      <c r="AW198" s="1642"/>
      <c r="AX198" s="1642"/>
      <c r="AY198" s="1642"/>
      <c r="AZ198" s="1641">
        <v>2172</v>
      </c>
      <c r="BA198" s="1642">
        <v>2204</v>
      </c>
      <c r="BB198" s="1642">
        <v>2323</v>
      </c>
      <c r="BC198" s="1642">
        <v>2349</v>
      </c>
      <c r="BD198" s="1641">
        <v>1964</v>
      </c>
      <c r="BE198" s="1642">
        <v>2213</v>
      </c>
      <c r="BF198" s="1642">
        <v>2029</v>
      </c>
      <c r="BG198" s="1642">
        <v>2157</v>
      </c>
      <c r="BH198" s="1641">
        <v>2112</v>
      </c>
      <c r="BI198" s="1642">
        <v>2303</v>
      </c>
      <c r="BJ198" s="1642">
        <v>2168</v>
      </c>
      <c r="BK198" s="1642">
        <v>2038</v>
      </c>
      <c r="BL198" s="1641">
        <v>2080</v>
      </c>
      <c r="BM198" s="1642">
        <v>2192</v>
      </c>
      <c r="BN198" s="1642">
        <v>2016</v>
      </c>
      <c r="BO198" s="1642">
        <v>2131</v>
      </c>
      <c r="BP198" s="1633">
        <v>2998</v>
      </c>
      <c r="BQ198" s="1634">
        <v>3025</v>
      </c>
      <c r="BR198" s="1634">
        <v>3055</v>
      </c>
      <c r="BS198" s="1634">
        <v>2920</v>
      </c>
      <c r="BT198" s="1633">
        <v>2970</v>
      </c>
      <c r="BU198" s="1634">
        <v>3051</v>
      </c>
      <c r="BV198" s="1634">
        <v>2922</v>
      </c>
      <c r="BW198" s="1634">
        <v>2584</v>
      </c>
      <c r="BX198" s="1633">
        <v>2696</v>
      </c>
      <c r="BY198" s="1634">
        <v>2808</v>
      </c>
      <c r="BZ198" s="1634">
        <v>2689</v>
      </c>
      <c r="CA198" s="1634">
        <v>2854</v>
      </c>
      <c r="CB198" s="1633">
        <v>2555</v>
      </c>
      <c r="CC198" s="1634">
        <v>2517</v>
      </c>
      <c r="CD198" s="1634">
        <v>2407</v>
      </c>
      <c r="CE198" s="1634">
        <v>2468</v>
      </c>
      <c r="CF198" s="1633">
        <v>2450</v>
      </c>
      <c r="CG198" s="1634">
        <v>2359</v>
      </c>
      <c r="CH198" s="1634">
        <v>2296</v>
      </c>
      <c r="CI198" s="1634">
        <v>2267</v>
      </c>
      <c r="CJ198" s="1633">
        <v>2290</v>
      </c>
      <c r="CK198" s="1634">
        <v>2308</v>
      </c>
      <c r="CL198" s="1634">
        <v>2296</v>
      </c>
      <c r="CM198" s="1648">
        <v>2213</v>
      </c>
      <c r="CN198" s="1649">
        <v>2126</v>
      </c>
      <c r="CO198" s="1649">
        <v>2141</v>
      </c>
      <c r="CP198" s="1649">
        <v>2303</v>
      </c>
      <c r="CQ198" s="1648">
        <v>2310</v>
      </c>
      <c r="CR198" s="1649">
        <v>2259</v>
      </c>
      <c r="CS198" s="1649">
        <v>2164</v>
      </c>
      <c r="CT198" s="1649">
        <v>2094</v>
      </c>
      <c r="CU198" s="1648">
        <v>2054</v>
      </c>
      <c r="CV198" s="1649">
        <v>2149</v>
      </c>
      <c r="CW198" s="1649">
        <v>2031</v>
      </c>
      <c r="CX198" s="1649">
        <v>2048</v>
      </c>
      <c r="CY198" s="1648">
        <v>1952</v>
      </c>
      <c r="CZ198" s="1649">
        <v>2031</v>
      </c>
      <c r="DA198" s="1649">
        <v>2007</v>
      </c>
      <c r="DB198" s="1649">
        <v>1952</v>
      </c>
      <c r="DC198" s="1649">
        <v>1999</v>
      </c>
      <c r="DD198" s="1649">
        <v>1950</v>
      </c>
      <c r="DE198" s="1649">
        <v>1617</v>
      </c>
      <c r="DF198" s="1649">
        <v>1693</v>
      </c>
      <c r="DG198" s="1649">
        <v>1505</v>
      </c>
      <c r="DH198" s="1649">
        <v>1611</v>
      </c>
      <c r="DI198" s="1649">
        <v>1606</v>
      </c>
      <c r="DJ198" s="1649">
        <v>1552</v>
      </c>
      <c r="DK198" s="1649">
        <v>1558</v>
      </c>
      <c r="DL198" s="1649">
        <v>1479</v>
      </c>
    </row>
    <row r="199" spans="1:116" s="1782" customFormat="1" ht="12.75" customHeight="1">
      <c r="A199" s="1629" t="s">
        <v>374</v>
      </c>
      <c r="B199" s="1658"/>
      <c r="C199" s="1658"/>
      <c r="D199" s="1658"/>
      <c r="E199" s="1659">
        <v>22338</v>
      </c>
      <c r="F199" s="1658">
        <v>23820</v>
      </c>
      <c r="G199" s="1658">
        <v>24178</v>
      </c>
      <c r="H199" s="1658">
        <f>SUM(AR199:AU199)</f>
        <v>24200</v>
      </c>
      <c r="I199" s="1658">
        <f>SUM(AV199:AY199)</f>
        <v>23599</v>
      </c>
      <c r="J199" s="1658">
        <f>SUM(AZ199:BC199)</f>
        <v>22438</v>
      </c>
      <c r="K199" s="1696">
        <f>SUM(BD199:BG199)</f>
        <v>22875</v>
      </c>
      <c r="L199" s="1658"/>
      <c r="M199" s="1658"/>
      <c r="N199" s="1658"/>
      <c r="O199" s="1658"/>
      <c r="P199" s="1658"/>
      <c r="Q199" s="1658"/>
      <c r="R199" s="1658"/>
      <c r="S199" s="1658"/>
      <c r="T199" s="1658"/>
      <c r="U199" s="1658"/>
      <c r="V199" s="1658"/>
      <c r="W199" s="1658"/>
      <c r="X199" s="1658"/>
      <c r="Y199" s="1658"/>
      <c r="Z199" s="1658"/>
      <c r="AA199" s="1658"/>
      <c r="AB199" s="1658"/>
      <c r="AC199" s="1658"/>
      <c r="AD199" s="1658"/>
      <c r="AE199" s="1658"/>
      <c r="AF199" s="1659">
        <v>5109</v>
      </c>
      <c r="AG199" s="1658">
        <v>5583</v>
      </c>
      <c r="AH199" s="1658">
        <v>5596</v>
      </c>
      <c r="AI199" s="1658">
        <v>6050</v>
      </c>
      <c r="AJ199" s="1659">
        <v>5607</v>
      </c>
      <c r="AK199" s="1658">
        <v>5964</v>
      </c>
      <c r="AL199" s="1658">
        <v>5984</v>
      </c>
      <c r="AM199" s="1658">
        <v>6265</v>
      </c>
      <c r="AN199" s="1659">
        <v>5586</v>
      </c>
      <c r="AO199" s="1658">
        <v>6015</v>
      </c>
      <c r="AP199" s="1658">
        <v>6016</v>
      </c>
      <c r="AQ199" s="1658">
        <v>6074</v>
      </c>
      <c r="AR199" s="1659">
        <v>5929</v>
      </c>
      <c r="AS199" s="1658">
        <v>6033</v>
      </c>
      <c r="AT199" s="1658">
        <v>6023</v>
      </c>
      <c r="AU199" s="1658">
        <v>6215</v>
      </c>
      <c r="AV199" s="1659">
        <v>5872</v>
      </c>
      <c r="AW199" s="1658">
        <v>5820</v>
      </c>
      <c r="AX199" s="1658">
        <v>5979</v>
      </c>
      <c r="AY199" s="1658">
        <v>5928</v>
      </c>
      <c r="AZ199" s="1659">
        <f t="shared" ref="AZ199:CV199" si="221">AZ197+AZ198</f>
        <v>5524</v>
      </c>
      <c r="BA199" s="1658">
        <f t="shared" si="221"/>
        <v>5544</v>
      </c>
      <c r="BB199" s="1658">
        <f t="shared" si="221"/>
        <v>5822</v>
      </c>
      <c r="BC199" s="1658">
        <f t="shared" si="221"/>
        <v>5548</v>
      </c>
      <c r="BD199" s="1659">
        <f t="shared" si="221"/>
        <v>5441</v>
      </c>
      <c r="BE199" s="1658">
        <f t="shared" si="221"/>
        <v>5577</v>
      </c>
      <c r="BF199" s="1658">
        <f t="shared" si="221"/>
        <v>5861</v>
      </c>
      <c r="BG199" s="1658">
        <f t="shared" si="221"/>
        <v>5996</v>
      </c>
      <c r="BH199" s="1659">
        <f t="shared" si="221"/>
        <v>5782</v>
      </c>
      <c r="BI199" s="1658">
        <f t="shared" si="221"/>
        <v>5907</v>
      </c>
      <c r="BJ199" s="1658">
        <f t="shared" si="221"/>
        <v>5921</v>
      </c>
      <c r="BK199" s="1658">
        <f t="shared" si="221"/>
        <v>5841</v>
      </c>
      <c r="BL199" s="1659">
        <f t="shared" si="221"/>
        <v>5926</v>
      </c>
      <c r="BM199" s="1658">
        <f t="shared" si="221"/>
        <v>6047</v>
      </c>
      <c r="BN199" s="1658">
        <f t="shared" si="221"/>
        <v>5948</v>
      </c>
      <c r="BO199" s="1658">
        <f t="shared" si="221"/>
        <v>6102</v>
      </c>
      <c r="BP199" s="1659">
        <f t="shared" si="221"/>
        <v>8796</v>
      </c>
      <c r="BQ199" s="1658">
        <f t="shared" si="221"/>
        <v>8937</v>
      </c>
      <c r="BR199" s="1658">
        <f t="shared" si="221"/>
        <v>9110</v>
      </c>
      <c r="BS199" s="1658">
        <f t="shared" si="221"/>
        <v>8961</v>
      </c>
      <c r="BT199" s="1659">
        <f t="shared" si="221"/>
        <v>8892</v>
      </c>
      <c r="BU199" s="1658">
        <f t="shared" si="221"/>
        <v>9037</v>
      </c>
      <c r="BV199" s="1658">
        <f t="shared" si="221"/>
        <v>9007</v>
      </c>
      <c r="BW199" s="1658">
        <f t="shared" si="221"/>
        <v>8772</v>
      </c>
      <c r="BX199" s="1659">
        <f t="shared" si="221"/>
        <v>8777</v>
      </c>
      <c r="BY199" s="1658">
        <f t="shared" si="221"/>
        <v>8805</v>
      </c>
      <c r="BZ199" s="1658">
        <f t="shared" si="221"/>
        <v>8844</v>
      </c>
      <c r="CA199" s="1658">
        <f t="shared" si="221"/>
        <v>8895</v>
      </c>
      <c r="CB199" s="1659">
        <f t="shared" si="221"/>
        <v>8097</v>
      </c>
      <c r="CC199" s="1658">
        <f t="shared" si="221"/>
        <v>8089</v>
      </c>
      <c r="CD199" s="1658">
        <f t="shared" si="221"/>
        <v>8258</v>
      </c>
      <c r="CE199" s="1658">
        <f t="shared" si="221"/>
        <v>8196</v>
      </c>
      <c r="CF199" s="1659">
        <f t="shared" si="221"/>
        <v>8191</v>
      </c>
      <c r="CG199" s="1658">
        <f t="shared" si="221"/>
        <v>7970</v>
      </c>
      <c r="CH199" s="1658">
        <f t="shared" si="221"/>
        <v>7954</v>
      </c>
      <c r="CI199" s="1658">
        <f t="shared" si="221"/>
        <v>7875</v>
      </c>
      <c r="CJ199" s="1659">
        <f t="shared" si="221"/>
        <v>7752</v>
      </c>
      <c r="CK199" s="1658">
        <f t="shared" si="221"/>
        <v>7812</v>
      </c>
      <c r="CL199" s="1658">
        <f t="shared" si="221"/>
        <v>7977</v>
      </c>
      <c r="CM199" s="1696">
        <f t="shared" si="221"/>
        <v>7724</v>
      </c>
      <c r="CN199" s="1752">
        <f t="shared" si="221"/>
        <v>7698</v>
      </c>
      <c r="CO199" s="1752">
        <f t="shared" si="221"/>
        <v>7641</v>
      </c>
      <c r="CP199" s="1752">
        <f t="shared" si="221"/>
        <v>7766</v>
      </c>
      <c r="CQ199" s="1696">
        <f t="shared" si="221"/>
        <v>7983</v>
      </c>
      <c r="CR199" s="1752">
        <f t="shared" si="221"/>
        <v>7552</v>
      </c>
      <c r="CS199" s="1752">
        <f t="shared" si="221"/>
        <v>7454</v>
      </c>
      <c r="CT199" s="1752">
        <f t="shared" si="221"/>
        <v>7436</v>
      </c>
      <c r="CU199" s="1696">
        <f t="shared" si="221"/>
        <v>7525</v>
      </c>
      <c r="CV199" s="1752">
        <f t="shared" si="221"/>
        <v>7488</v>
      </c>
      <c r="CW199" s="1752">
        <f t="shared" ref="CW199:DB199" si="222">CW197+CW198</f>
        <v>7373</v>
      </c>
      <c r="CX199" s="1752">
        <f t="shared" si="222"/>
        <v>7373</v>
      </c>
      <c r="CY199" s="1696">
        <f t="shared" si="222"/>
        <v>7278</v>
      </c>
      <c r="CZ199" s="1752">
        <f t="shared" si="222"/>
        <v>7318</v>
      </c>
      <c r="DA199" s="1752">
        <f t="shared" si="222"/>
        <v>7213</v>
      </c>
      <c r="DB199" s="1752">
        <f t="shared" si="222"/>
        <v>7155</v>
      </c>
      <c r="DC199" s="1752">
        <f t="shared" ref="DC199:DH199" si="223">DC197+DC198</f>
        <v>7181</v>
      </c>
      <c r="DD199" s="1752">
        <f t="shared" si="223"/>
        <v>7113</v>
      </c>
      <c r="DE199" s="1752">
        <f t="shared" si="223"/>
        <v>6724</v>
      </c>
      <c r="DF199" s="1752">
        <f t="shared" si="223"/>
        <v>6133</v>
      </c>
      <c r="DG199" s="1752">
        <f t="shared" si="223"/>
        <v>5933</v>
      </c>
      <c r="DH199" s="1752">
        <f t="shared" si="223"/>
        <v>6091</v>
      </c>
      <c r="DI199" s="1752">
        <f t="shared" ref="DI199:DJ199" si="224">DI197+DI198</f>
        <v>6182</v>
      </c>
      <c r="DJ199" s="1752">
        <f t="shared" si="224"/>
        <v>6048</v>
      </c>
      <c r="DK199" s="1752">
        <f t="shared" ref="DK199:DL199" si="225">DK197+DK198</f>
        <v>6023</v>
      </c>
      <c r="DL199" s="1752">
        <f t="shared" si="225"/>
        <v>5954</v>
      </c>
    </row>
    <row r="200" spans="1:116" ht="12.75" customHeight="1">
      <c r="A200" s="1628" t="s">
        <v>1578</v>
      </c>
      <c r="B200" s="1642"/>
      <c r="C200" s="1642"/>
      <c r="D200" s="1642"/>
      <c r="E200" s="1641">
        <v>7684</v>
      </c>
      <c r="F200" s="1642">
        <v>7906</v>
      </c>
      <c r="G200" s="1642">
        <v>8200</v>
      </c>
      <c r="H200" s="1642">
        <f>SUM(AR200:AU200)</f>
        <v>8550</v>
      </c>
      <c r="I200" s="1642">
        <f>SUM(AV200:AY200)</f>
        <v>9248</v>
      </c>
      <c r="J200" s="1642">
        <f>SUM(AZ200:BC200)</f>
        <v>9456</v>
      </c>
      <c r="K200" s="1681">
        <f>SUM(BD200:BG200)</f>
        <v>9107</v>
      </c>
      <c r="L200" s="1642"/>
      <c r="M200" s="1642"/>
      <c r="N200" s="1642"/>
      <c r="O200" s="1642"/>
      <c r="P200" s="1642"/>
      <c r="Q200" s="1642"/>
      <c r="R200" s="1642"/>
      <c r="S200" s="1642"/>
      <c r="T200" s="1642"/>
      <c r="U200" s="1642"/>
      <c r="V200" s="1642"/>
      <c r="W200" s="1642"/>
      <c r="X200" s="1642"/>
      <c r="Y200" s="1642"/>
      <c r="Z200" s="1642"/>
      <c r="AA200" s="1642"/>
      <c r="AB200" s="1642"/>
      <c r="AC200" s="1642"/>
      <c r="AD200" s="1642"/>
      <c r="AE200" s="1642"/>
      <c r="AF200" s="1641">
        <v>1914</v>
      </c>
      <c r="AG200" s="1642">
        <v>1925</v>
      </c>
      <c r="AH200" s="1642">
        <v>1952</v>
      </c>
      <c r="AI200" s="1642">
        <v>1893</v>
      </c>
      <c r="AJ200" s="1641">
        <v>1942</v>
      </c>
      <c r="AK200" s="1642">
        <v>1978</v>
      </c>
      <c r="AL200" s="1642">
        <v>1998</v>
      </c>
      <c r="AM200" s="1642">
        <v>1988</v>
      </c>
      <c r="AN200" s="1641">
        <v>2011</v>
      </c>
      <c r="AO200" s="1642">
        <v>2025</v>
      </c>
      <c r="AP200" s="1642">
        <v>2059</v>
      </c>
      <c r="AQ200" s="1642">
        <v>2105</v>
      </c>
      <c r="AR200" s="1641">
        <v>2050</v>
      </c>
      <c r="AS200" s="1642">
        <v>2105</v>
      </c>
      <c r="AT200" s="1642">
        <v>2169</v>
      </c>
      <c r="AU200" s="1642">
        <v>2226</v>
      </c>
      <c r="AV200" s="1641">
        <v>2241</v>
      </c>
      <c r="AW200" s="1642">
        <v>2302</v>
      </c>
      <c r="AX200" s="1642">
        <v>2332</v>
      </c>
      <c r="AY200" s="1642">
        <v>2373</v>
      </c>
      <c r="AZ200" s="1641">
        <v>2371</v>
      </c>
      <c r="BA200" s="1642">
        <v>2400</v>
      </c>
      <c r="BB200" s="1642">
        <v>2319</v>
      </c>
      <c r="BC200" s="1642">
        <v>2366</v>
      </c>
      <c r="BD200" s="1641">
        <v>2308</v>
      </c>
      <c r="BE200" s="1642">
        <v>2271</v>
      </c>
      <c r="BF200" s="1642">
        <v>2267</v>
      </c>
      <c r="BG200" s="1642">
        <v>2261</v>
      </c>
      <c r="BH200" s="1641">
        <v>2228</v>
      </c>
      <c r="BI200" s="1642">
        <v>2209</v>
      </c>
      <c r="BJ200" s="1642">
        <v>2215</v>
      </c>
      <c r="BK200" s="1642">
        <v>2258</v>
      </c>
      <c r="BL200" s="1641">
        <v>2187</v>
      </c>
      <c r="BM200" s="1642">
        <v>2198</v>
      </c>
      <c r="BN200" s="1642">
        <v>2197</v>
      </c>
      <c r="BO200" s="1642">
        <v>2219</v>
      </c>
      <c r="BP200" s="1633">
        <v>2313</v>
      </c>
      <c r="BQ200" s="1634">
        <v>2339</v>
      </c>
      <c r="BR200" s="1634">
        <v>2308</v>
      </c>
      <c r="BS200" s="1634">
        <v>2349</v>
      </c>
      <c r="BT200" s="1633">
        <v>2203</v>
      </c>
      <c r="BU200" s="1634">
        <v>2206</v>
      </c>
      <c r="BV200" s="1634">
        <v>2230</v>
      </c>
      <c r="BW200" s="1634">
        <v>2288</v>
      </c>
      <c r="BX200" s="1633">
        <v>2209</v>
      </c>
      <c r="BY200" s="1634">
        <v>2245</v>
      </c>
      <c r="BZ200" s="1634">
        <v>2268</v>
      </c>
      <c r="CA200" s="1634">
        <v>2309</v>
      </c>
      <c r="CB200" s="1633">
        <v>1998</v>
      </c>
      <c r="CC200" s="1634">
        <v>2039</v>
      </c>
      <c r="CD200" s="1634">
        <v>2075</v>
      </c>
      <c r="CE200" s="1634">
        <v>2126</v>
      </c>
      <c r="CF200" s="1633">
        <v>2063</v>
      </c>
      <c r="CG200" s="1634">
        <v>2100</v>
      </c>
      <c r="CH200" s="1634">
        <v>2145</v>
      </c>
      <c r="CI200" s="1634">
        <v>2161</v>
      </c>
      <c r="CJ200" s="1633">
        <v>2107</v>
      </c>
      <c r="CK200" s="1634">
        <v>2117</v>
      </c>
      <c r="CL200" s="1634">
        <v>2119</v>
      </c>
      <c r="CM200" s="1648">
        <v>2115</v>
      </c>
      <c r="CN200" s="1649">
        <v>2090</v>
      </c>
      <c r="CO200" s="1649">
        <v>2102</v>
      </c>
      <c r="CP200" s="1649">
        <v>2107</v>
      </c>
      <c r="CQ200" s="1648">
        <v>2125</v>
      </c>
      <c r="CR200" s="1649">
        <v>2095</v>
      </c>
      <c r="CS200" s="1649">
        <v>2085</v>
      </c>
      <c r="CT200" s="1649">
        <v>2074</v>
      </c>
      <c r="CU200" s="1648">
        <v>2073</v>
      </c>
      <c r="CV200" s="1649">
        <v>2033</v>
      </c>
      <c r="CW200" s="1649">
        <v>2005</v>
      </c>
      <c r="CX200" s="1649">
        <v>1978</v>
      </c>
      <c r="CY200" s="1648">
        <v>1866</v>
      </c>
      <c r="CZ200" s="1649">
        <v>1746</v>
      </c>
      <c r="DA200" s="1649">
        <v>1706</v>
      </c>
      <c r="DB200" s="1649">
        <v>1623</v>
      </c>
      <c r="DC200" s="1649">
        <v>1603</v>
      </c>
      <c r="DD200" s="1649">
        <v>1588</v>
      </c>
      <c r="DE200" s="1649">
        <v>1562</v>
      </c>
      <c r="DF200" s="1649">
        <v>1498</v>
      </c>
      <c r="DG200" s="1649">
        <v>1465</v>
      </c>
      <c r="DH200" s="1649">
        <v>1492</v>
      </c>
      <c r="DI200" s="1649">
        <v>1552</v>
      </c>
      <c r="DJ200" s="1649">
        <v>1549</v>
      </c>
      <c r="DK200" s="1649">
        <v>1532</v>
      </c>
      <c r="DL200" s="1649">
        <v>1534</v>
      </c>
    </row>
    <row r="201" spans="1:116" s="1785" customFormat="1" ht="12.75" customHeight="1">
      <c r="A201" s="954" t="s">
        <v>968</v>
      </c>
      <c r="B201" s="1693"/>
      <c r="C201" s="1693"/>
      <c r="D201" s="1693"/>
      <c r="E201" s="1694">
        <v>30022</v>
      </c>
      <c r="F201" s="1693">
        <v>31726</v>
      </c>
      <c r="G201" s="1693">
        <v>32378</v>
      </c>
      <c r="H201" s="1693">
        <f>SUM(H199:H200)</f>
        <v>32750</v>
      </c>
      <c r="I201" s="1693">
        <f>SUM(I199:I200)</f>
        <v>32847</v>
      </c>
      <c r="J201" s="1693">
        <f>SUM(J199:J200)</f>
        <v>31894</v>
      </c>
      <c r="K201" s="1695">
        <f>SUM(BD201:BG201)</f>
        <v>31982</v>
      </c>
      <c r="L201" s="1693"/>
      <c r="M201" s="1693"/>
      <c r="N201" s="1693"/>
      <c r="O201" s="1693"/>
      <c r="P201" s="1693"/>
      <c r="Q201" s="1693"/>
      <c r="R201" s="1693"/>
      <c r="S201" s="1693"/>
      <c r="T201" s="1693"/>
      <c r="U201" s="1693"/>
      <c r="V201" s="1693"/>
      <c r="W201" s="1693"/>
      <c r="X201" s="1693"/>
      <c r="Y201" s="1693"/>
      <c r="Z201" s="1693"/>
      <c r="AA201" s="1693"/>
      <c r="AB201" s="1693"/>
      <c r="AC201" s="1693"/>
      <c r="AD201" s="1693"/>
      <c r="AE201" s="1693"/>
      <c r="AF201" s="1694">
        <v>7023</v>
      </c>
      <c r="AG201" s="1693">
        <v>7508</v>
      </c>
      <c r="AH201" s="1693">
        <v>7548</v>
      </c>
      <c r="AI201" s="1693">
        <v>7943</v>
      </c>
      <c r="AJ201" s="1694">
        <v>7549</v>
      </c>
      <c r="AK201" s="1693">
        <v>7942</v>
      </c>
      <c r="AL201" s="1693">
        <v>7982</v>
      </c>
      <c r="AM201" s="1693">
        <v>8253</v>
      </c>
      <c r="AN201" s="1694">
        <v>7597</v>
      </c>
      <c r="AO201" s="1693">
        <v>8040</v>
      </c>
      <c r="AP201" s="1693">
        <f t="shared" ref="AP201:BU201" si="226">AP199+AP200</f>
        <v>8075</v>
      </c>
      <c r="AQ201" s="1693">
        <f t="shared" si="226"/>
        <v>8179</v>
      </c>
      <c r="AR201" s="1694">
        <f t="shared" si="226"/>
        <v>7979</v>
      </c>
      <c r="AS201" s="1693">
        <f t="shared" si="226"/>
        <v>8138</v>
      </c>
      <c r="AT201" s="1693">
        <f t="shared" si="226"/>
        <v>8192</v>
      </c>
      <c r="AU201" s="1693">
        <f t="shared" si="226"/>
        <v>8441</v>
      </c>
      <c r="AV201" s="1694">
        <f t="shared" si="226"/>
        <v>8113</v>
      </c>
      <c r="AW201" s="1693">
        <f t="shared" si="226"/>
        <v>8122</v>
      </c>
      <c r="AX201" s="1693">
        <f t="shared" si="226"/>
        <v>8311</v>
      </c>
      <c r="AY201" s="1693">
        <f t="shared" si="226"/>
        <v>8301</v>
      </c>
      <c r="AZ201" s="1694">
        <f t="shared" si="226"/>
        <v>7895</v>
      </c>
      <c r="BA201" s="1693">
        <f t="shared" si="226"/>
        <v>7944</v>
      </c>
      <c r="BB201" s="1693">
        <f t="shared" si="226"/>
        <v>8141</v>
      </c>
      <c r="BC201" s="1693">
        <f t="shared" si="226"/>
        <v>7914</v>
      </c>
      <c r="BD201" s="1694">
        <f t="shared" si="226"/>
        <v>7749</v>
      </c>
      <c r="BE201" s="1693">
        <f t="shared" si="226"/>
        <v>7848</v>
      </c>
      <c r="BF201" s="1693">
        <f t="shared" si="226"/>
        <v>8128</v>
      </c>
      <c r="BG201" s="1693">
        <f t="shared" si="226"/>
        <v>8257</v>
      </c>
      <c r="BH201" s="1694">
        <f t="shared" si="226"/>
        <v>8010</v>
      </c>
      <c r="BI201" s="1693">
        <f t="shared" si="226"/>
        <v>8116</v>
      </c>
      <c r="BJ201" s="1693">
        <f t="shared" si="226"/>
        <v>8136</v>
      </c>
      <c r="BK201" s="1693">
        <f t="shared" si="226"/>
        <v>8099</v>
      </c>
      <c r="BL201" s="1694">
        <f t="shared" si="226"/>
        <v>8113</v>
      </c>
      <c r="BM201" s="1693">
        <f t="shared" si="226"/>
        <v>8245</v>
      </c>
      <c r="BN201" s="1693">
        <f t="shared" si="226"/>
        <v>8145</v>
      </c>
      <c r="BO201" s="1693">
        <f t="shared" si="226"/>
        <v>8321</v>
      </c>
      <c r="BP201" s="1694">
        <f t="shared" si="226"/>
        <v>11109</v>
      </c>
      <c r="BQ201" s="1693">
        <f t="shared" si="226"/>
        <v>11276</v>
      </c>
      <c r="BR201" s="1693">
        <f t="shared" si="226"/>
        <v>11418</v>
      </c>
      <c r="BS201" s="1693">
        <f t="shared" si="226"/>
        <v>11310</v>
      </c>
      <c r="BT201" s="1694">
        <f t="shared" si="226"/>
        <v>11095</v>
      </c>
      <c r="BU201" s="1693">
        <f t="shared" si="226"/>
        <v>11243</v>
      </c>
      <c r="BV201" s="1693">
        <f t="shared" ref="BV201:CV201" si="227">BV199+BV200</f>
        <v>11237</v>
      </c>
      <c r="BW201" s="1693">
        <f t="shared" si="227"/>
        <v>11060</v>
      </c>
      <c r="BX201" s="1694">
        <f t="shared" si="227"/>
        <v>10986</v>
      </c>
      <c r="BY201" s="1693">
        <f t="shared" si="227"/>
        <v>11050</v>
      </c>
      <c r="BZ201" s="1693">
        <f t="shared" si="227"/>
        <v>11112</v>
      </c>
      <c r="CA201" s="1693">
        <f t="shared" si="227"/>
        <v>11204</v>
      </c>
      <c r="CB201" s="1694">
        <f t="shared" si="227"/>
        <v>10095</v>
      </c>
      <c r="CC201" s="1693">
        <f t="shared" si="227"/>
        <v>10128</v>
      </c>
      <c r="CD201" s="1693">
        <f t="shared" si="227"/>
        <v>10333</v>
      </c>
      <c r="CE201" s="1693">
        <f t="shared" si="227"/>
        <v>10322</v>
      </c>
      <c r="CF201" s="1694">
        <f t="shared" si="227"/>
        <v>10254</v>
      </c>
      <c r="CG201" s="1693">
        <f t="shared" si="227"/>
        <v>10070</v>
      </c>
      <c r="CH201" s="1693">
        <f t="shared" si="227"/>
        <v>10099</v>
      </c>
      <c r="CI201" s="1693">
        <f t="shared" si="227"/>
        <v>10036</v>
      </c>
      <c r="CJ201" s="1694">
        <f t="shared" si="227"/>
        <v>9859</v>
      </c>
      <c r="CK201" s="1693">
        <f t="shared" si="227"/>
        <v>9929</v>
      </c>
      <c r="CL201" s="1693">
        <f t="shared" si="227"/>
        <v>10096</v>
      </c>
      <c r="CM201" s="1695">
        <f t="shared" si="227"/>
        <v>9839</v>
      </c>
      <c r="CN201" s="1267">
        <f t="shared" si="227"/>
        <v>9788</v>
      </c>
      <c r="CO201" s="1267">
        <f t="shared" si="227"/>
        <v>9743</v>
      </c>
      <c r="CP201" s="1267">
        <f t="shared" si="227"/>
        <v>9873</v>
      </c>
      <c r="CQ201" s="1695">
        <f t="shared" si="227"/>
        <v>10108</v>
      </c>
      <c r="CR201" s="1267">
        <f t="shared" si="227"/>
        <v>9647</v>
      </c>
      <c r="CS201" s="1267">
        <f t="shared" si="227"/>
        <v>9539</v>
      </c>
      <c r="CT201" s="1267">
        <f t="shared" si="227"/>
        <v>9510</v>
      </c>
      <c r="CU201" s="1695">
        <f t="shared" si="227"/>
        <v>9598</v>
      </c>
      <c r="CV201" s="1267">
        <f t="shared" si="227"/>
        <v>9521</v>
      </c>
      <c r="CW201" s="1267">
        <f t="shared" ref="CW201:DB201" si="228">CW199+CW200</f>
        <v>9378</v>
      </c>
      <c r="CX201" s="1267">
        <f t="shared" si="228"/>
        <v>9351</v>
      </c>
      <c r="CY201" s="1695">
        <f t="shared" si="228"/>
        <v>9144</v>
      </c>
      <c r="CZ201" s="1267">
        <f t="shared" si="228"/>
        <v>9064</v>
      </c>
      <c r="DA201" s="1267">
        <f t="shared" si="228"/>
        <v>8919</v>
      </c>
      <c r="DB201" s="1267">
        <f t="shared" si="228"/>
        <v>8778</v>
      </c>
      <c r="DC201" s="1267">
        <f t="shared" ref="DC201:DH201" si="229">DC199+DC200</f>
        <v>8784</v>
      </c>
      <c r="DD201" s="1267">
        <f t="shared" si="229"/>
        <v>8701</v>
      </c>
      <c r="DE201" s="1267">
        <f t="shared" si="229"/>
        <v>8286</v>
      </c>
      <c r="DF201" s="1267">
        <f t="shared" si="229"/>
        <v>7631</v>
      </c>
      <c r="DG201" s="1267">
        <f t="shared" si="229"/>
        <v>7398</v>
      </c>
      <c r="DH201" s="1267">
        <f t="shared" si="229"/>
        <v>7583</v>
      </c>
      <c r="DI201" s="1267">
        <f t="shared" ref="DI201:DJ201" si="230">DI199+DI200</f>
        <v>7734</v>
      </c>
      <c r="DJ201" s="1267">
        <f t="shared" si="230"/>
        <v>7597</v>
      </c>
      <c r="DK201" s="1267">
        <f t="shared" ref="DK201:DL201" si="231">DK199+DK200</f>
        <v>7555</v>
      </c>
      <c r="DL201" s="1267">
        <f t="shared" si="231"/>
        <v>7488</v>
      </c>
    </row>
    <row r="202" spans="1:116" ht="12.75" customHeight="1">
      <c r="A202" s="1629" t="s">
        <v>1237</v>
      </c>
      <c r="B202" s="1658"/>
      <c r="C202" s="1658"/>
      <c r="D202" s="1658"/>
      <c r="E202" s="1659">
        <f t="shared" ref="E202:K202" si="232">E201-SUM(E199:E200)</f>
        <v>0</v>
      </c>
      <c r="F202" s="1658">
        <f t="shared" si="232"/>
        <v>0</v>
      </c>
      <c r="G202" s="1658">
        <f t="shared" si="232"/>
        <v>0</v>
      </c>
      <c r="H202" s="1658">
        <f t="shared" si="232"/>
        <v>0</v>
      </c>
      <c r="I202" s="1658">
        <f t="shared" si="232"/>
        <v>0</v>
      </c>
      <c r="J202" s="1658">
        <f t="shared" si="232"/>
        <v>0</v>
      </c>
      <c r="K202" s="1696">
        <f t="shared" si="232"/>
        <v>0</v>
      </c>
      <c r="L202" s="1658"/>
      <c r="M202" s="1658"/>
      <c r="N202" s="1658"/>
      <c r="O202" s="1658"/>
      <c r="P202" s="1658"/>
      <c r="Q202" s="1658"/>
      <c r="R202" s="1658"/>
      <c r="S202" s="1658"/>
      <c r="T202" s="1658"/>
      <c r="U202" s="1658"/>
      <c r="V202" s="1658"/>
      <c r="W202" s="1658"/>
      <c r="X202" s="1658"/>
      <c r="Y202" s="1658"/>
      <c r="Z202" s="1658"/>
      <c r="AA202" s="1658"/>
      <c r="AB202" s="1658"/>
      <c r="AC202" s="1658"/>
      <c r="AD202" s="1658"/>
      <c r="AE202" s="1658"/>
      <c r="AF202" s="1659">
        <f t="shared" ref="AF202:BW202" si="233">AF201-SUM(AF199:AF200)</f>
        <v>0</v>
      </c>
      <c r="AG202" s="1658">
        <f t="shared" si="233"/>
        <v>0</v>
      </c>
      <c r="AH202" s="1658">
        <f t="shared" si="233"/>
        <v>0</v>
      </c>
      <c r="AI202" s="1658">
        <f t="shared" si="233"/>
        <v>0</v>
      </c>
      <c r="AJ202" s="1659">
        <f t="shared" si="233"/>
        <v>0</v>
      </c>
      <c r="AK202" s="1658">
        <f t="shared" si="233"/>
        <v>0</v>
      </c>
      <c r="AL202" s="1658">
        <f t="shared" si="233"/>
        <v>0</v>
      </c>
      <c r="AM202" s="1658">
        <f t="shared" si="233"/>
        <v>0</v>
      </c>
      <c r="AN202" s="1659">
        <f t="shared" si="233"/>
        <v>0</v>
      </c>
      <c r="AO202" s="1658">
        <f t="shared" si="233"/>
        <v>0</v>
      </c>
      <c r="AP202" s="1658">
        <f t="shared" si="233"/>
        <v>0</v>
      </c>
      <c r="AQ202" s="1658">
        <f t="shared" si="233"/>
        <v>0</v>
      </c>
      <c r="AR202" s="1659">
        <f t="shared" si="233"/>
        <v>0</v>
      </c>
      <c r="AS202" s="1658">
        <f t="shared" si="233"/>
        <v>0</v>
      </c>
      <c r="AT202" s="1658">
        <f t="shared" si="233"/>
        <v>0</v>
      </c>
      <c r="AU202" s="1658">
        <f t="shared" si="233"/>
        <v>0</v>
      </c>
      <c r="AV202" s="1659">
        <f t="shared" si="233"/>
        <v>0</v>
      </c>
      <c r="AW202" s="1658">
        <f t="shared" si="233"/>
        <v>0</v>
      </c>
      <c r="AX202" s="1658">
        <f t="shared" si="233"/>
        <v>0</v>
      </c>
      <c r="AY202" s="1658">
        <f t="shared" si="233"/>
        <v>0</v>
      </c>
      <c r="AZ202" s="1659">
        <f t="shared" si="233"/>
        <v>0</v>
      </c>
      <c r="BA202" s="1658">
        <f t="shared" si="233"/>
        <v>0</v>
      </c>
      <c r="BB202" s="1658">
        <f t="shared" si="233"/>
        <v>0</v>
      </c>
      <c r="BC202" s="1658">
        <f t="shared" si="233"/>
        <v>0</v>
      </c>
      <c r="BD202" s="1659">
        <f t="shared" si="233"/>
        <v>0</v>
      </c>
      <c r="BE202" s="1658">
        <f t="shared" si="233"/>
        <v>0</v>
      </c>
      <c r="BF202" s="1658">
        <f t="shared" si="233"/>
        <v>0</v>
      </c>
      <c r="BG202" s="1658">
        <f t="shared" si="233"/>
        <v>0</v>
      </c>
      <c r="BH202" s="1659">
        <f t="shared" si="233"/>
        <v>0</v>
      </c>
      <c r="BI202" s="1658">
        <f t="shared" si="233"/>
        <v>0</v>
      </c>
      <c r="BJ202" s="1658">
        <f t="shared" si="233"/>
        <v>0</v>
      </c>
      <c r="BK202" s="1658">
        <f t="shared" si="233"/>
        <v>0</v>
      </c>
      <c r="BL202" s="1659">
        <f t="shared" si="233"/>
        <v>0</v>
      </c>
      <c r="BM202" s="1658">
        <f t="shared" si="233"/>
        <v>0</v>
      </c>
      <c r="BN202" s="1658">
        <f t="shared" si="233"/>
        <v>0</v>
      </c>
      <c r="BO202" s="1753">
        <f t="shared" si="233"/>
        <v>0</v>
      </c>
      <c r="BP202" s="1754">
        <f t="shared" si="233"/>
        <v>0</v>
      </c>
      <c r="BQ202" s="1753">
        <f t="shared" si="233"/>
        <v>0</v>
      </c>
      <c r="BR202" s="1753">
        <f t="shared" si="233"/>
        <v>0</v>
      </c>
      <c r="BS202" s="1753">
        <f t="shared" si="233"/>
        <v>0</v>
      </c>
      <c r="BT202" s="1754">
        <f t="shared" si="233"/>
        <v>0</v>
      </c>
      <c r="BU202" s="1753">
        <f t="shared" si="233"/>
        <v>0</v>
      </c>
      <c r="BV202" s="1753">
        <f t="shared" si="233"/>
        <v>0</v>
      </c>
      <c r="BW202" s="1753">
        <f t="shared" si="233"/>
        <v>0</v>
      </c>
      <c r="BX202" s="1641">
        <f t="shared" ref="BX202:CU202" si="234">+BX179-BX201-BX204</f>
        <v>0</v>
      </c>
      <c r="BY202" s="1642">
        <f t="shared" si="234"/>
        <v>0</v>
      </c>
      <c r="BZ202" s="1642">
        <f t="shared" si="234"/>
        <v>0</v>
      </c>
      <c r="CA202" s="1642">
        <f t="shared" si="234"/>
        <v>0</v>
      </c>
      <c r="CB202" s="1641">
        <f t="shared" si="234"/>
        <v>-10640</v>
      </c>
      <c r="CC202" s="1642">
        <f t="shared" si="234"/>
        <v>-10563</v>
      </c>
      <c r="CD202" s="1642">
        <f t="shared" si="234"/>
        <v>-10667</v>
      </c>
      <c r="CE202" s="1642">
        <f t="shared" si="234"/>
        <v>-10581</v>
      </c>
      <c r="CF202" s="1641">
        <f t="shared" si="234"/>
        <v>-10375</v>
      </c>
      <c r="CG202" s="1642">
        <f t="shared" si="234"/>
        <v>-10277</v>
      </c>
      <c r="CH202" s="1642">
        <f t="shared" si="234"/>
        <v>-10286</v>
      </c>
      <c r="CI202" s="1642">
        <f t="shared" si="234"/>
        <v>-10289</v>
      </c>
      <c r="CJ202" s="1641">
        <f t="shared" si="234"/>
        <v>-10147</v>
      </c>
      <c r="CK202" s="1642">
        <f t="shared" si="234"/>
        <v>-10247</v>
      </c>
      <c r="CL202" s="1642">
        <f t="shared" si="234"/>
        <v>-10149</v>
      </c>
      <c r="CM202" s="1681">
        <f t="shared" si="234"/>
        <v>-10139</v>
      </c>
      <c r="CN202" s="1672">
        <f t="shared" si="234"/>
        <v>-9945</v>
      </c>
      <c r="CO202" s="1672">
        <f t="shared" si="234"/>
        <v>-9931</v>
      </c>
      <c r="CP202" s="1672">
        <f t="shared" si="234"/>
        <v>-9914</v>
      </c>
      <c r="CQ202" s="1681">
        <f t="shared" si="234"/>
        <v>-10079</v>
      </c>
      <c r="CR202" s="1672">
        <f t="shared" si="234"/>
        <v>-9650</v>
      </c>
      <c r="CS202" s="1672">
        <f t="shared" si="234"/>
        <v>-9605</v>
      </c>
      <c r="CT202" s="1672">
        <f t="shared" si="234"/>
        <v>-9657</v>
      </c>
      <c r="CU202" s="1681">
        <f t="shared" si="234"/>
        <v>-9712</v>
      </c>
      <c r="CV202" s="1672">
        <f t="shared" ref="CV202:DA202" si="235">+CV179-CV201-CV204</f>
        <v>-9662</v>
      </c>
      <c r="CW202" s="1672">
        <f t="shared" si="235"/>
        <v>-9631</v>
      </c>
      <c r="CX202" s="1672">
        <f t="shared" si="235"/>
        <v>-9576</v>
      </c>
      <c r="CY202" s="1681">
        <f t="shared" si="235"/>
        <v>-9560</v>
      </c>
      <c r="CZ202" s="1672">
        <f t="shared" si="235"/>
        <v>-555</v>
      </c>
      <c r="DA202" s="1672">
        <f t="shared" si="235"/>
        <v>-547</v>
      </c>
      <c r="DB202" s="1672">
        <f t="shared" ref="DB202:DG202" si="236">+DB179-DB201-DB204</f>
        <v>-544</v>
      </c>
      <c r="DC202" s="1672">
        <f t="shared" si="236"/>
        <v>-553</v>
      </c>
      <c r="DD202" s="1672">
        <f t="shared" si="236"/>
        <v>-525</v>
      </c>
      <c r="DE202" s="1672">
        <f t="shared" si="236"/>
        <v>0</v>
      </c>
      <c r="DF202" s="1672">
        <f t="shared" si="236"/>
        <v>0</v>
      </c>
      <c r="DG202" s="1672">
        <f t="shared" si="236"/>
        <v>0</v>
      </c>
      <c r="DH202" s="1672">
        <f t="shared" ref="DH202:DI202" si="237">+DH179-DH201-DH204</f>
        <v>0</v>
      </c>
      <c r="DI202" s="1672">
        <f t="shared" si="237"/>
        <v>0</v>
      </c>
      <c r="DJ202" s="1672">
        <f t="shared" ref="DJ202:DK202" si="238">+DJ179-DJ201-DJ204</f>
        <v>0</v>
      </c>
      <c r="DK202" s="1672">
        <f t="shared" si="238"/>
        <v>0</v>
      </c>
      <c r="DL202" s="1672">
        <f t="shared" ref="DL202" si="239">+DL179-DL201-DL204</f>
        <v>0</v>
      </c>
    </row>
    <row r="203" spans="1:116" ht="12.75" customHeight="1">
      <c r="A203" s="1539"/>
      <c r="B203" s="1642"/>
      <c r="C203" s="1642"/>
      <c r="D203" s="1642"/>
      <c r="E203" s="1641"/>
      <c r="F203" s="1642"/>
      <c r="G203" s="1642"/>
      <c r="H203" s="1642"/>
      <c r="I203" s="1642"/>
      <c r="J203" s="1642"/>
      <c r="K203" s="1681"/>
      <c r="L203" s="1642"/>
      <c r="M203" s="1642"/>
      <c r="N203" s="1642"/>
      <c r="O203" s="1642"/>
      <c r="P203" s="1642"/>
      <c r="Q203" s="1642"/>
      <c r="R203" s="1642"/>
      <c r="S203" s="1642"/>
      <c r="T203" s="1642"/>
      <c r="U203" s="1642"/>
      <c r="V203" s="1642"/>
      <c r="W203" s="1642"/>
      <c r="X203" s="1642"/>
      <c r="Y203" s="1642"/>
      <c r="Z203" s="1642"/>
      <c r="AA203" s="1642"/>
      <c r="AB203" s="1642"/>
      <c r="AC203" s="1642"/>
      <c r="AD203" s="1642"/>
      <c r="AE203" s="1642"/>
      <c r="AF203" s="1641"/>
      <c r="AG203" s="1642"/>
      <c r="AH203" s="1642"/>
      <c r="AI203" s="1642"/>
      <c r="AJ203" s="1641"/>
      <c r="AK203" s="1642"/>
      <c r="AL203" s="1642"/>
      <c r="AM203" s="1642"/>
      <c r="AN203" s="1641"/>
      <c r="AO203" s="1642"/>
      <c r="AP203" s="1642"/>
      <c r="AQ203" s="1642"/>
      <c r="AR203" s="1641"/>
      <c r="AS203" s="1642"/>
      <c r="AT203" s="1642"/>
      <c r="AU203" s="1642"/>
      <c r="AV203" s="1641"/>
      <c r="AW203" s="1642"/>
      <c r="AX203" s="1642"/>
      <c r="AY203" s="1642"/>
      <c r="AZ203" s="1641"/>
      <c r="BA203" s="1642"/>
      <c r="BB203" s="1642"/>
      <c r="BC203" s="1642"/>
      <c r="BD203" s="1641"/>
      <c r="BE203" s="1642"/>
      <c r="BF203" s="1642"/>
      <c r="BG203" s="1642"/>
      <c r="BH203" s="1641"/>
      <c r="BI203" s="1642"/>
      <c r="BJ203" s="1642"/>
      <c r="BK203" s="1642"/>
      <c r="BL203" s="1641"/>
      <c r="BM203" s="1642"/>
      <c r="BN203" s="1642"/>
      <c r="BO203" s="1642"/>
      <c r="BP203" s="1641"/>
      <c r="BQ203" s="1642"/>
      <c r="BR203" s="1642"/>
      <c r="BS203" s="1642"/>
      <c r="BT203" s="1641"/>
      <c r="BU203" s="1642"/>
      <c r="BV203" s="1642"/>
      <c r="BW203" s="1642"/>
      <c r="BX203" s="1641"/>
      <c r="BY203" s="1642"/>
      <c r="BZ203" s="1642"/>
      <c r="CA203" s="1642"/>
      <c r="CB203" s="1641"/>
      <c r="CC203" s="1642"/>
      <c r="CD203" s="1642"/>
      <c r="CE203" s="1642"/>
      <c r="CF203" s="1641"/>
      <c r="CG203" s="1642"/>
      <c r="CH203" s="1642"/>
      <c r="CI203" s="1642"/>
      <c r="CJ203" s="1641"/>
      <c r="CK203" s="1642"/>
      <c r="CL203" s="1642"/>
      <c r="CM203" s="1681"/>
      <c r="CN203" s="1672"/>
      <c r="CO203" s="1672"/>
      <c r="CP203" s="1672"/>
      <c r="CQ203" s="1681"/>
      <c r="CR203" s="1672"/>
      <c r="CS203" s="1672"/>
      <c r="CT203" s="1672"/>
      <c r="CU203" s="1681"/>
      <c r="CV203" s="1672"/>
      <c r="CW203" s="1672"/>
      <c r="CX203" s="1672"/>
      <c r="CY203" s="1681"/>
      <c r="CZ203" s="1672"/>
      <c r="DA203" s="1672"/>
      <c r="DB203" s="1672"/>
      <c r="DC203" s="1672"/>
      <c r="DD203" s="1672"/>
      <c r="DE203" s="1672"/>
      <c r="DF203" s="1672"/>
      <c r="DG203" s="1672"/>
      <c r="DH203" s="1672"/>
      <c r="DI203" s="1672"/>
      <c r="DJ203" s="1672"/>
      <c r="DK203" s="1672"/>
      <c r="DL203" s="1672"/>
    </row>
    <row r="204" spans="1:116" ht="12.75" customHeight="1">
      <c r="A204" s="1539" t="s">
        <v>1460</v>
      </c>
      <c r="B204" s="1642"/>
      <c r="C204" s="1642"/>
      <c r="D204" s="1642"/>
      <c r="E204" s="1641">
        <f t="shared" ref="E204:K204" si="240">E179-E201</f>
        <v>9404</v>
      </c>
      <c r="F204" s="1642">
        <f t="shared" si="240"/>
        <v>9793</v>
      </c>
      <c r="G204" s="1642">
        <f t="shared" si="240"/>
        <v>9345</v>
      </c>
      <c r="H204" s="1642">
        <f t="shared" si="240"/>
        <v>9572</v>
      </c>
      <c r="I204" s="1642">
        <f t="shared" si="240"/>
        <v>9234</v>
      </c>
      <c r="J204" s="1642">
        <f t="shared" si="240"/>
        <v>8945</v>
      </c>
      <c r="K204" s="1681">
        <f t="shared" si="240"/>
        <v>7073</v>
      </c>
      <c r="L204" s="1642"/>
      <c r="M204" s="1642"/>
      <c r="N204" s="1642"/>
      <c r="O204" s="1642"/>
      <c r="P204" s="1642"/>
      <c r="Q204" s="1642"/>
      <c r="R204" s="1642"/>
      <c r="S204" s="1642"/>
      <c r="T204" s="1642"/>
      <c r="U204" s="1642"/>
      <c r="V204" s="1642"/>
      <c r="W204" s="1642"/>
      <c r="X204" s="1642"/>
      <c r="Y204" s="1642"/>
      <c r="Z204" s="1642"/>
      <c r="AA204" s="1642"/>
      <c r="AB204" s="1642"/>
      <c r="AC204" s="1642"/>
      <c r="AD204" s="1642"/>
      <c r="AE204" s="1642"/>
      <c r="AF204" s="1641">
        <f t="shared" ref="AF204:BJ204" si="241">AF179-AF201</f>
        <v>2553</v>
      </c>
      <c r="AG204" s="1642">
        <f t="shared" si="241"/>
        <v>2310</v>
      </c>
      <c r="AH204" s="1642">
        <f t="shared" si="241"/>
        <v>2364</v>
      </c>
      <c r="AI204" s="1642">
        <f t="shared" si="241"/>
        <v>2177</v>
      </c>
      <c r="AJ204" s="1641">
        <f t="shared" si="241"/>
        <v>2523</v>
      </c>
      <c r="AK204" s="1642">
        <f t="shared" si="241"/>
        <v>2383</v>
      </c>
      <c r="AL204" s="1642">
        <f t="shared" si="241"/>
        <v>2520</v>
      </c>
      <c r="AM204" s="1642">
        <f t="shared" si="241"/>
        <v>2367</v>
      </c>
      <c r="AN204" s="1641">
        <f t="shared" si="241"/>
        <v>2572</v>
      </c>
      <c r="AO204" s="1642">
        <f t="shared" si="241"/>
        <v>2395</v>
      </c>
      <c r="AP204" s="1642">
        <f t="shared" si="241"/>
        <v>2459</v>
      </c>
      <c r="AQ204" s="1642">
        <f t="shared" si="241"/>
        <v>2406</v>
      </c>
      <c r="AR204" s="1641">
        <f t="shared" si="241"/>
        <v>2387</v>
      </c>
      <c r="AS204" s="1642">
        <f t="shared" si="241"/>
        <v>2523</v>
      </c>
      <c r="AT204" s="1642">
        <f t="shared" si="241"/>
        <v>2426</v>
      </c>
      <c r="AU204" s="1642">
        <f t="shared" si="241"/>
        <v>2236</v>
      </c>
      <c r="AV204" s="1641">
        <f t="shared" si="241"/>
        <v>2548</v>
      </c>
      <c r="AW204" s="1642">
        <f t="shared" si="241"/>
        <v>2580</v>
      </c>
      <c r="AX204" s="1642">
        <f t="shared" si="241"/>
        <v>2111</v>
      </c>
      <c r="AY204" s="1642">
        <f t="shared" si="241"/>
        <v>1995</v>
      </c>
      <c r="AZ204" s="1641">
        <f t="shared" si="241"/>
        <v>2356</v>
      </c>
      <c r="BA204" s="1642">
        <f t="shared" si="241"/>
        <v>2310</v>
      </c>
      <c r="BB204" s="1642">
        <f t="shared" si="241"/>
        <v>2127</v>
      </c>
      <c r="BC204" s="1642">
        <f t="shared" si="241"/>
        <v>2152</v>
      </c>
      <c r="BD204" s="1641">
        <f t="shared" si="241"/>
        <v>2054</v>
      </c>
      <c r="BE204" s="1642">
        <f t="shared" si="241"/>
        <v>1924</v>
      </c>
      <c r="BF204" s="1642">
        <f t="shared" si="241"/>
        <v>1589</v>
      </c>
      <c r="BG204" s="1642">
        <f t="shared" si="241"/>
        <v>1506</v>
      </c>
      <c r="BH204" s="1641">
        <f t="shared" si="241"/>
        <v>1471</v>
      </c>
      <c r="BI204" s="1642">
        <f t="shared" si="241"/>
        <v>1376</v>
      </c>
      <c r="BJ204" s="1642">
        <f t="shared" si="241"/>
        <v>1379</v>
      </c>
      <c r="BK204" s="1642">
        <v>1434</v>
      </c>
      <c r="BL204" s="1641">
        <v>1254</v>
      </c>
      <c r="BM204" s="1642">
        <v>1200</v>
      </c>
      <c r="BN204" s="1642">
        <v>1300</v>
      </c>
      <c r="BO204" s="1642">
        <v>1038</v>
      </c>
      <c r="BP204" s="1633">
        <v>1033</v>
      </c>
      <c r="BQ204" s="1634">
        <v>1181</v>
      </c>
      <c r="BR204" s="1634">
        <v>1065</v>
      </c>
      <c r="BS204" s="1634">
        <v>1112</v>
      </c>
      <c r="BT204" s="1633">
        <v>1083</v>
      </c>
      <c r="BU204" s="1634">
        <v>1087</v>
      </c>
      <c r="BV204" s="1634">
        <v>1135</v>
      </c>
      <c r="BW204" s="1634">
        <v>1189</v>
      </c>
      <c r="BX204" s="1633">
        <v>1040</v>
      </c>
      <c r="BY204" s="1634">
        <v>1063</v>
      </c>
      <c r="BZ204" s="1634">
        <v>1046</v>
      </c>
      <c r="CA204" s="1634">
        <v>713</v>
      </c>
      <c r="CB204" s="1633">
        <v>545</v>
      </c>
      <c r="CC204" s="1634">
        <v>435</v>
      </c>
      <c r="CD204" s="1634">
        <v>334</v>
      </c>
      <c r="CE204" s="1634">
        <v>259</v>
      </c>
      <c r="CF204" s="1633">
        <v>121</v>
      </c>
      <c r="CG204" s="1634">
        <v>207</v>
      </c>
      <c r="CH204" s="1634">
        <v>187</v>
      </c>
      <c r="CI204" s="1634">
        <v>253</v>
      </c>
      <c r="CJ204" s="1633">
        <v>288</v>
      </c>
      <c r="CK204" s="1634">
        <v>318</v>
      </c>
      <c r="CL204" s="1634">
        <v>53</v>
      </c>
      <c r="CM204" s="1648">
        <v>300</v>
      </c>
      <c r="CN204" s="1649">
        <v>157</v>
      </c>
      <c r="CO204" s="1649">
        <v>188</v>
      </c>
      <c r="CP204" s="1649">
        <v>41</v>
      </c>
      <c r="CQ204" s="1648">
        <f>-348+319</f>
        <v>-29</v>
      </c>
      <c r="CR204" s="1649">
        <v>3</v>
      </c>
      <c r="CS204" s="1649">
        <v>66</v>
      </c>
      <c r="CT204" s="1649">
        <v>147</v>
      </c>
      <c r="CU204" s="1648">
        <v>114</v>
      </c>
      <c r="CV204" s="1649">
        <v>141</v>
      </c>
      <c r="CW204" s="1649">
        <v>253</v>
      </c>
      <c r="CX204" s="1649">
        <v>225</v>
      </c>
      <c r="CY204" s="1648">
        <v>416</v>
      </c>
      <c r="CZ204" s="1649">
        <v>405</v>
      </c>
      <c r="DA204" s="1649">
        <v>504</v>
      </c>
      <c r="DB204" s="1649">
        <v>577</v>
      </c>
      <c r="DC204" s="1649">
        <v>689</v>
      </c>
      <c r="DD204" s="1649">
        <v>589</v>
      </c>
      <c r="DE204" s="1649">
        <v>-463</v>
      </c>
      <c r="DF204" s="1649">
        <v>156</v>
      </c>
      <c r="DG204" s="1649">
        <v>414</v>
      </c>
      <c r="DH204" s="1649">
        <v>293</v>
      </c>
      <c r="DI204" s="1649">
        <v>68</v>
      </c>
      <c r="DJ204" s="1649">
        <v>65</v>
      </c>
      <c r="DK204" s="1649">
        <v>62</v>
      </c>
      <c r="DL204" s="1649">
        <v>69</v>
      </c>
    </row>
    <row r="205" spans="1:116" ht="12.75" customHeight="1">
      <c r="A205" s="1391" t="s">
        <v>220</v>
      </c>
      <c r="B205" s="1645"/>
      <c r="C205" s="1645"/>
      <c r="D205" s="1645"/>
      <c r="E205" s="1755">
        <f t="shared" ref="E205:K205" si="242">E204/E179</f>
        <v>0.23852280221173844</v>
      </c>
      <c r="F205" s="1756">
        <f t="shared" si="242"/>
        <v>0.23586791589392808</v>
      </c>
      <c r="G205" s="1756">
        <f t="shared" si="242"/>
        <v>0.22397718284878843</v>
      </c>
      <c r="H205" s="1756">
        <f t="shared" si="242"/>
        <v>0.22617078587968434</v>
      </c>
      <c r="I205" s="1756">
        <f t="shared" si="242"/>
        <v>0.21943394881300349</v>
      </c>
      <c r="J205" s="1756">
        <f t="shared" si="242"/>
        <v>0.21903082837483778</v>
      </c>
      <c r="K205" s="1757">
        <f t="shared" si="242"/>
        <v>0.18110357188580206</v>
      </c>
      <c r="L205" s="1756"/>
      <c r="M205" s="1756"/>
      <c r="N205" s="1645"/>
      <c r="O205" s="1645"/>
      <c r="P205" s="1645"/>
      <c r="Q205" s="1645"/>
      <c r="R205" s="1645"/>
      <c r="S205" s="1645"/>
      <c r="T205" s="1645"/>
      <c r="U205" s="1645"/>
      <c r="V205" s="1645"/>
      <c r="W205" s="1645"/>
      <c r="X205" s="1645"/>
      <c r="Y205" s="1645"/>
      <c r="Z205" s="1645"/>
      <c r="AA205" s="1645"/>
      <c r="AB205" s="1645"/>
      <c r="AC205" s="1645"/>
      <c r="AD205" s="1645"/>
      <c r="AE205" s="1645"/>
      <c r="AF205" s="1755">
        <f t="shared" ref="AF205:CA205" si="243">AF204/AF179</f>
        <v>0.26660401002506268</v>
      </c>
      <c r="AG205" s="1756">
        <f t="shared" si="243"/>
        <v>0.23528213485434915</v>
      </c>
      <c r="AH205" s="1756">
        <f t="shared" si="243"/>
        <v>0.23849878934624696</v>
      </c>
      <c r="AI205" s="1756">
        <f t="shared" si="243"/>
        <v>0.21511857707509882</v>
      </c>
      <c r="AJ205" s="1755">
        <f t="shared" si="243"/>
        <v>0.25049642573471009</v>
      </c>
      <c r="AK205" s="1756">
        <f t="shared" si="243"/>
        <v>0.23079903147699757</v>
      </c>
      <c r="AL205" s="1756">
        <f t="shared" si="243"/>
        <v>0.23995429442011046</v>
      </c>
      <c r="AM205" s="1756">
        <f t="shared" si="243"/>
        <v>0.2228813559322034</v>
      </c>
      <c r="AN205" s="1755">
        <f t="shared" si="243"/>
        <v>0.25292555806863998</v>
      </c>
      <c r="AO205" s="1756">
        <f t="shared" si="243"/>
        <v>0.2295160517489219</v>
      </c>
      <c r="AP205" s="1756">
        <f t="shared" si="243"/>
        <v>0.23343459274729447</v>
      </c>
      <c r="AQ205" s="1756">
        <f t="shared" si="243"/>
        <v>0.22730278696268305</v>
      </c>
      <c r="AR205" s="1755">
        <f t="shared" si="243"/>
        <v>0.2302720432182134</v>
      </c>
      <c r="AS205" s="1756">
        <f t="shared" si="243"/>
        <v>0.23665697401744676</v>
      </c>
      <c r="AT205" s="1756">
        <f t="shared" si="243"/>
        <v>0.22847993972499528</v>
      </c>
      <c r="AU205" s="1756">
        <f t="shared" si="243"/>
        <v>0.20942212231900348</v>
      </c>
      <c r="AV205" s="1755">
        <f t="shared" si="243"/>
        <v>0.23900196979645436</v>
      </c>
      <c r="AW205" s="1756">
        <f t="shared" si="243"/>
        <v>0.24107643431134368</v>
      </c>
      <c r="AX205" s="1756">
        <f t="shared" si="243"/>
        <v>0.20255229322586835</v>
      </c>
      <c r="AY205" s="1756">
        <f t="shared" si="243"/>
        <v>0.19376456876456877</v>
      </c>
      <c r="AZ205" s="1755">
        <f t="shared" si="243"/>
        <v>0.22983123597697785</v>
      </c>
      <c r="BA205" s="1756">
        <f t="shared" si="243"/>
        <v>0.22527794031597426</v>
      </c>
      <c r="BB205" s="1756">
        <f t="shared" si="243"/>
        <v>0.2071484222828204</v>
      </c>
      <c r="BC205" s="1756">
        <f t="shared" si="243"/>
        <v>0.21378899264851978</v>
      </c>
      <c r="BD205" s="1755">
        <f t="shared" si="243"/>
        <v>0.20952769560338672</v>
      </c>
      <c r="BE205" s="1756">
        <f t="shared" si="243"/>
        <v>0.19688907081457224</v>
      </c>
      <c r="BF205" s="1756">
        <f t="shared" si="243"/>
        <v>0.16352783781002367</v>
      </c>
      <c r="BG205" s="1756">
        <f t="shared" si="243"/>
        <v>0.15425586397623681</v>
      </c>
      <c r="BH205" s="1755">
        <f t="shared" si="243"/>
        <v>0.15515241008332453</v>
      </c>
      <c r="BI205" s="1756">
        <f t="shared" si="243"/>
        <v>0.14496418036241046</v>
      </c>
      <c r="BJ205" s="1756">
        <f t="shared" si="243"/>
        <v>0.14492905937992642</v>
      </c>
      <c r="BK205" s="1756">
        <f t="shared" si="243"/>
        <v>0.15042484002937165</v>
      </c>
      <c r="BL205" s="1755">
        <f t="shared" si="243"/>
        <v>0.13387423935091278</v>
      </c>
      <c r="BM205" s="1756">
        <f t="shared" si="243"/>
        <v>0.12705134992059292</v>
      </c>
      <c r="BN205" s="1756">
        <f t="shared" si="243"/>
        <v>0.13763896241397564</v>
      </c>
      <c r="BO205" s="1756">
        <f t="shared" si="243"/>
        <v>0.1109092851800406</v>
      </c>
      <c r="BP205" s="1755">
        <f t="shared" si="243"/>
        <v>8.5076593641904133E-2</v>
      </c>
      <c r="BQ205" s="1756">
        <f t="shared" si="243"/>
        <v>9.4806133097856626E-2</v>
      </c>
      <c r="BR205" s="1756">
        <f t="shared" si="243"/>
        <v>8.5316029800528714E-2</v>
      </c>
      <c r="BS205" s="1756">
        <f t="shared" si="243"/>
        <v>8.9518596039285137E-2</v>
      </c>
      <c r="BT205" s="1755">
        <f t="shared" si="243"/>
        <v>8.8930858925932013E-2</v>
      </c>
      <c r="BU205" s="1756">
        <f t="shared" si="243"/>
        <v>8.8158961881589615E-2</v>
      </c>
      <c r="BV205" s="1756">
        <f t="shared" si="243"/>
        <v>9.1739411574523116E-2</v>
      </c>
      <c r="BW205" s="1756">
        <f t="shared" si="243"/>
        <v>9.7069148501918529E-2</v>
      </c>
      <c r="BX205" s="1755">
        <f t="shared" si="243"/>
        <v>8.6479294861134204E-2</v>
      </c>
      <c r="BY205" s="1756">
        <f t="shared" si="243"/>
        <v>8.7756955337240983E-2</v>
      </c>
      <c r="BZ205" s="1756">
        <f t="shared" si="243"/>
        <v>8.6033887152492189E-2</v>
      </c>
      <c r="CA205" s="1756">
        <f t="shared" si="243"/>
        <v>5.983049425190904E-2</v>
      </c>
      <c r="CB205" s="1755" t="e">
        <f t="shared" ref="CB205:CQ205" si="244">CB204/CB159</f>
        <v>#DIV/0!</v>
      </c>
      <c r="CC205" s="1756" t="e">
        <f t="shared" si="244"/>
        <v>#DIV/0!</v>
      </c>
      <c r="CD205" s="1756" t="e">
        <f t="shared" si="244"/>
        <v>#DIV/0!</v>
      </c>
      <c r="CE205" s="1756" t="e">
        <f t="shared" si="244"/>
        <v>#DIV/0!</v>
      </c>
      <c r="CF205" s="1755" t="e">
        <f t="shared" si="244"/>
        <v>#DIV/0!</v>
      </c>
      <c r="CG205" s="1756" t="e">
        <f t="shared" si="244"/>
        <v>#DIV/0!</v>
      </c>
      <c r="CH205" s="1756" t="e">
        <f t="shared" si="244"/>
        <v>#DIV/0!</v>
      </c>
      <c r="CI205" s="1756" t="e">
        <f t="shared" si="244"/>
        <v>#DIV/0!</v>
      </c>
      <c r="CJ205" s="1755" t="e">
        <f t="shared" si="244"/>
        <v>#DIV/0!</v>
      </c>
      <c r="CK205" s="1756" t="e">
        <f t="shared" si="244"/>
        <v>#DIV/0!</v>
      </c>
      <c r="CL205" s="1756" t="e">
        <f t="shared" si="244"/>
        <v>#DIV/0!</v>
      </c>
      <c r="CM205" s="1757" t="e">
        <f t="shared" si="244"/>
        <v>#DIV/0!</v>
      </c>
      <c r="CN205" s="1758" t="e">
        <f t="shared" si="244"/>
        <v>#DIV/0!</v>
      </c>
      <c r="CO205" s="1758" t="e">
        <f t="shared" si="244"/>
        <v>#DIV/0!</v>
      </c>
      <c r="CP205" s="1758" t="e">
        <f t="shared" si="244"/>
        <v>#DIV/0!</v>
      </c>
      <c r="CQ205" s="1757" t="e">
        <f t="shared" si="244"/>
        <v>#DIV/0!</v>
      </c>
      <c r="CR205" s="1758"/>
      <c r="CS205" s="1758"/>
      <c r="CT205" s="1758"/>
      <c r="CU205" s="1757"/>
      <c r="CV205" s="1758"/>
      <c r="CW205" s="1758"/>
      <c r="CX205" s="1758"/>
      <c r="CY205" s="1757"/>
      <c r="CZ205" s="1758">
        <f t="shared" ref="CZ205:DB205" si="245">CZ204/CZ159</f>
        <v>4.5434148530401612E-2</v>
      </c>
      <c r="DA205" s="1758">
        <f t="shared" si="245"/>
        <v>5.6782334384858045E-2</v>
      </c>
      <c r="DB205" s="1758">
        <f t="shared" si="245"/>
        <v>6.5486323913290206E-2</v>
      </c>
      <c r="DC205" s="1758">
        <f t="shared" ref="DC205:DH205" si="246">DC204/DC159</f>
        <v>7.7242152466367717E-2</v>
      </c>
      <c r="DD205" s="1758">
        <f t="shared" si="246"/>
        <v>6.7199087278950367E-2</v>
      </c>
      <c r="DE205" s="1758">
        <f t="shared" si="246"/>
        <v>-5.9184456091013679E-2</v>
      </c>
      <c r="DF205" s="1758">
        <f t="shared" si="246"/>
        <v>2.003338898163606E-2</v>
      </c>
      <c r="DG205" s="1758">
        <f t="shared" si="246"/>
        <v>5.2995391705069124E-2</v>
      </c>
      <c r="DH205" s="1758">
        <f t="shared" si="246"/>
        <v>3.7201625190452003E-2</v>
      </c>
      <c r="DI205" s="1758">
        <f t="shared" ref="DI205:DJ205" si="247">DI204/DI159</f>
        <v>8.7157139195078188E-3</v>
      </c>
      <c r="DJ205" s="1758">
        <f t="shared" si="247"/>
        <v>8.4834246932915681E-3</v>
      </c>
      <c r="DK205" s="1758">
        <f t="shared" ref="DK205:DL205" si="248">DK204/DK159</f>
        <v>8.1396875410266502E-3</v>
      </c>
      <c r="DL205" s="1758">
        <f t="shared" si="248"/>
        <v>9.1306073838824924E-3</v>
      </c>
    </row>
    <row r="206" spans="1:116">
      <c r="A206" s="1539"/>
      <c r="B206" s="1642"/>
      <c r="C206" s="1642"/>
      <c r="D206" s="1642"/>
      <c r="E206" s="1641"/>
      <c r="F206" s="1642"/>
      <c r="G206" s="1642"/>
      <c r="H206" s="1642"/>
      <c r="I206" s="1642"/>
      <c r="J206" s="1642"/>
      <c r="K206" s="1681"/>
      <c r="L206" s="1642"/>
      <c r="M206" s="1642"/>
      <c r="N206" s="1642"/>
      <c r="O206" s="1642"/>
      <c r="P206" s="1642"/>
      <c r="Q206" s="1642"/>
      <c r="R206" s="1642"/>
      <c r="S206" s="1642"/>
      <c r="T206" s="1642"/>
      <c r="U206" s="1642"/>
      <c r="V206" s="1642"/>
      <c r="W206" s="1642"/>
      <c r="X206" s="1642"/>
      <c r="Y206" s="1642"/>
      <c r="Z206" s="1642"/>
      <c r="AA206" s="1642"/>
      <c r="AB206" s="1642"/>
      <c r="AC206" s="1642"/>
      <c r="AD206" s="1642"/>
      <c r="AE206" s="1642"/>
      <c r="AF206" s="1641"/>
      <c r="AG206" s="1642"/>
      <c r="AH206" s="1642"/>
      <c r="AI206" s="1642"/>
      <c r="AJ206" s="1641"/>
      <c r="AK206" s="1642"/>
      <c r="AL206" s="1642"/>
      <c r="AM206" s="1642"/>
      <c r="AN206" s="1641"/>
      <c r="AO206" s="1642"/>
      <c r="AP206" s="1642"/>
      <c r="AQ206" s="1642"/>
      <c r="AR206" s="1641"/>
      <c r="AS206" s="1642"/>
      <c r="AT206" s="1642"/>
      <c r="AU206" s="1642"/>
      <c r="AV206" s="1641"/>
      <c r="AW206" s="1642"/>
      <c r="AX206" s="1642"/>
      <c r="AY206" s="1642"/>
      <c r="AZ206" s="1641"/>
      <c r="BA206" s="1642"/>
      <c r="BB206" s="1642"/>
      <c r="BC206" s="1642"/>
      <c r="BD206" s="1641"/>
      <c r="BE206" s="1642"/>
      <c r="BF206" s="1642"/>
      <c r="BG206" s="1642"/>
      <c r="BH206" s="1641"/>
      <c r="BI206" s="1642"/>
      <c r="BJ206" s="1642"/>
      <c r="BK206" s="1642"/>
      <c r="BL206" s="1641"/>
      <c r="BM206" s="1642"/>
      <c r="BN206" s="1642"/>
      <c r="BO206" s="1642"/>
      <c r="BP206" s="1641"/>
      <c r="BQ206" s="1642"/>
      <c r="BR206" s="1642"/>
      <c r="BS206" s="1642"/>
      <c r="BT206" s="1641"/>
      <c r="BU206" s="1642"/>
      <c r="BV206" s="1642"/>
      <c r="BW206" s="1642"/>
      <c r="BX206" s="1641"/>
      <c r="BY206" s="1642"/>
      <c r="BZ206" s="1642"/>
      <c r="CA206" s="1642"/>
      <c r="CB206" s="1641"/>
      <c r="CC206" s="1642"/>
      <c r="CD206" s="1642"/>
      <c r="CE206" s="1642"/>
      <c r="CF206" s="1641"/>
      <c r="CG206" s="1642"/>
      <c r="CH206" s="1642"/>
      <c r="CI206" s="1642"/>
      <c r="CJ206" s="1641"/>
      <c r="CK206" s="1642"/>
      <c r="CL206" s="1642"/>
      <c r="CM206" s="1681"/>
      <c r="CN206" s="1672"/>
      <c r="CO206" s="1672"/>
      <c r="CP206" s="1672"/>
      <c r="CQ206" s="1681"/>
      <c r="CR206" s="1672"/>
      <c r="CS206" s="1672"/>
      <c r="CT206" s="1672"/>
      <c r="CU206" s="1681"/>
      <c r="CV206" s="1672"/>
      <c r="CW206" s="1672"/>
      <c r="CX206" s="1672"/>
      <c r="CY206" s="1681"/>
      <c r="CZ206" s="1672"/>
      <c r="DA206" s="1672"/>
      <c r="DB206" s="1672"/>
      <c r="DC206" s="1672"/>
      <c r="DD206" s="1672"/>
      <c r="DE206" s="1672"/>
      <c r="DF206" s="1672"/>
      <c r="DG206" s="1672"/>
      <c r="DH206" s="1672"/>
      <c r="DI206" s="1672"/>
      <c r="DJ206" s="1672"/>
      <c r="DK206" s="1672"/>
      <c r="DL206" s="1672"/>
    </row>
    <row r="207" spans="1:116">
      <c r="A207" s="1539" t="s">
        <v>491</v>
      </c>
      <c r="B207" s="1642"/>
      <c r="C207" s="1642"/>
      <c r="D207" s="1642"/>
      <c r="E207" s="1641">
        <f t="shared" ref="E207:K207" si="249">E204+E200</f>
        <v>17088</v>
      </c>
      <c r="F207" s="1642">
        <f t="shared" si="249"/>
        <v>17699</v>
      </c>
      <c r="G207" s="1642">
        <f t="shared" si="249"/>
        <v>17545</v>
      </c>
      <c r="H207" s="1642">
        <f t="shared" si="249"/>
        <v>18122</v>
      </c>
      <c r="I207" s="1642">
        <f t="shared" si="249"/>
        <v>18482</v>
      </c>
      <c r="J207" s="1642">
        <f t="shared" si="249"/>
        <v>18401</v>
      </c>
      <c r="K207" s="1681">
        <f t="shared" si="249"/>
        <v>16180</v>
      </c>
      <c r="L207" s="1642"/>
      <c r="M207" s="1642"/>
      <c r="N207" s="1642"/>
      <c r="O207" s="1642"/>
      <c r="P207" s="1642"/>
      <c r="Q207" s="1642"/>
      <c r="R207" s="1642"/>
      <c r="S207" s="1642"/>
      <c r="T207" s="1642"/>
      <c r="U207" s="1642"/>
      <c r="V207" s="1642"/>
      <c r="W207" s="1642"/>
      <c r="X207" s="1642"/>
      <c r="Y207" s="1642"/>
      <c r="Z207" s="1642"/>
      <c r="AA207" s="1642"/>
      <c r="AB207" s="1642"/>
      <c r="AC207" s="1642"/>
      <c r="AD207" s="1642"/>
      <c r="AE207" s="1642"/>
      <c r="AF207" s="1641">
        <f t="shared" ref="AF207:AU207" si="250">AF204+AF200</f>
        <v>4467</v>
      </c>
      <c r="AG207" s="1642">
        <f t="shared" si="250"/>
        <v>4235</v>
      </c>
      <c r="AH207" s="1642">
        <f t="shared" si="250"/>
        <v>4316</v>
      </c>
      <c r="AI207" s="1642">
        <f t="shared" si="250"/>
        <v>4070</v>
      </c>
      <c r="AJ207" s="1641">
        <f t="shared" si="250"/>
        <v>4465</v>
      </c>
      <c r="AK207" s="1642">
        <f t="shared" si="250"/>
        <v>4361</v>
      </c>
      <c r="AL207" s="1642">
        <f t="shared" si="250"/>
        <v>4518</v>
      </c>
      <c r="AM207" s="1642">
        <f t="shared" si="250"/>
        <v>4355</v>
      </c>
      <c r="AN207" s="1641">
        <f t="shared" si="250"/>
        <v>4583</v>
      </c>
      <c r="AO207" s="1642">
        <f t="shared" si="250"/>
        <v>4420</v>
      </c>
      <c r="AP207" s="1642">
        <f t="shared" si="250"/>
        <v>4518</v>
      </c>
      <c r="AQ207" s="1642">
        <f t="shared" si="250"/>
        <v>4511</v>
      </c>
      <c r="AR207" s="1641">
        <f t="shared" si="250"/>
        <v>4437</v>
      </c>
      <c r="AS207" s="1642">
        <f t="shared" si="250"/>
        <v>4628</v>
      </c>
      <c r="AT207" s="1642">
        <f t="shared" si="250"/>
        <v>4595</v>
      </c>
      <c r="AU207" s="1642">
        <f t="shared" si="250"/>
        <v>4462</v>
      </c>
      <c r="AV207" s="1641">
        <v>4963</v>
      </c>
      <c r="AW207" s="1642">
        <v>5049</v>
      </c>
      <c r="AX207" s="1642">
        <v>4607</v>
      </c>
      <c r="AY207" s="1642">
        <v>4531</v>
      </c>
      <c r="AZ207" s="1641">
        <f>AZ204+AZ200</f>
        <v>4727</v>
      </c>
      <c r="BA207" s="1642">
        <f>BA204+BA200</f>
        <v>4710</v>
      </c>
      <c r="BB207" s="1642">
        <v>4448</v>
      </c>
      <c r="BC207" s="1642">
        <v>4521</v>
      </c>
      <c r="BD207" s="1641">
        <f t="shared" ref="BD207:BZ207" si="251">BD204+BD200</f>
        <v>4362</v>
      </c>
      <c r="BE207" s="1642">
        <f t="shared" si="251"/>
        <v>4195</v>
      </c>
      <c r="BF207" s="1642">
        <f t="shared" si="251"/>
        <v>3856</v>
      </c>
      <c r="BG207" s="1642">
        <f t="shared" si="251"/>
        <v>3767</v>
      </c>
      <c r="BH207" s="1641">
        <f t="shared" si="251"/>
        <v>3699</v>
      </c>
      <c r="BI207" s="1642">
        <f t="shared" si="251"/>
        <v>3585</v>
      </c>
      <c r="BJ207" s="1642">
        <f t="shared" si="251"/>
        <v>3594</v>
      </c>
      <c r="BK207" s="1642">
        <f t="shared" si="251"/>
        <v>3692</v>
      </c>
      <c r="BL207" s="1641">
        <f t="shared" si="251"/>
        <v>3441</v>
      </c>
      <c r="BM207" s="1642">
        <f t="shared" si="251"/>
        <v>3398</v>
      </c>
      <c r="BN207" s="1642">
        <f t="shared" si="251"/>
        <v>3497</v>
      </c>
      <c r="BO207" s="1642">
        <f t="shared" si="251"/>
        <v>3257</v>
      </c>
      <c r="BP207" s="1641">
        <f t="shared" si="251"/>
        <v>3346</v>
      </c>
      <c r="BQ207" s="1642">
        <f t="shared" si="251"/>
        <v>3520</v>
      </c>
      <c r="BR207" s="1642">
        <f t="shared" si="251"/>
        <v>3373</v>
      </c>
      <c r="BS207" s="1642">
        <f t="shared" si="251"/>
        <v>3461</v>
      </c>
      <c r="BT207" s="1641">
        <f t="shared" si="251"/>
        <v>3286</v>
      </c>
      <c r="BU207" s="1642">
        <f t="shared" si="251"/>
        <v>3293</v>
      </c>
      <c r="BV207" s="1642">
        <f t="shared" si="251"/>
        <v>3365</v>
      </c>
      <c r="BW207" s="1642">
        <f t="shared" si="251"/>
        <v>3477</v>
      </c>
      <c r="BX207" s="1641">
        <f t="shared" si="251"/>
        <v>3249</v>
      </c>
      <c r="BY207" s="1642">
        <f t="shared" si="251"/>
        <v>3308</v>
      </c>
      <c r="BZ207" s="1642">
        <f t="shared" si="251"/>
        <v>3314</v>
      </c>
      <c r="CA207" s="1642"/>
      <c r="CB207" s="1641"/>
      <c r="CC207" s="1642"/>
      <c r="CD207" s="1642"/>
      <c r="CE207" s="1642"/>
      <c r="CF207" s="1641"/>
      <c r="CG207" s="1642"/>
      <c r="CH207" s="1642"/>
      <c r="CI207" s="1642"/>
      <c r="CJ207" s="1641"/>
      <c r="CK207" s="1642"/>
      <c r="CL207" s="1642"/>
      <c r="CM207" s="1681"/>
      <c r="CN207" s="1672"/>
      <c r="CO207" s="1672"/>
      <c r="CP207" s="1672"/>
      <c r="CQ207" s="1681"/>
      <c r="CR207" s="1672"/>
      <c r="CS207" s="1672"/>
      <c r="CT207" s="1672"/>
      <c r="CU207" s="1681"/>
      <c r="CV207" s="1672"/>
      <c r="CW207" s="1672"/>
      <c r="CX207" s="1672"/>
      <c r="CY207" s="1681"/>
      <c r="CZ207" s="1672"/>
      <c r="DA207" s="1672"/>
      <c r="DB207" s="1672"/>
      <c r="DC207" s="1672"/>
      <c r="DD207" s="1672"/>
      <c r="DE207" s="1672"/>
      <c r="DF207" s="1672"/>
      <c r="DG207" s="1672"/>
      <c r="DH207" s="1672"/>
      <c r="DI207" s="1672"/>
      <c r="DJ207" s="1672"/>
      <c r="DK207" s="1672"/>
      <c r="DL207" s="1672"/>
    </row>
    <row r="208" spans="1:116">
      <c r="A208" s="1539" t="s">
        <v>656</v>
      </c>
      <c r="B208" s="1642"/>
      <c r="C208" s="1642"/>
      <c r="D208" s="1642"/>
      <c r="E208" s="1659">
        <f t="shared" ref="E208:K208" si="252">E207/E179</f>
        <v>0.43341957084157662</v>
      </c>
      <c r="F208" s="1658">
        <f t="shared" si="252"/>
        <v>0.42628676027842677</v>
      </c>
      <c r="G208" s="1658">
        <f t="shared" si="252"/>
        <v>0.42051146849459531</v>
      </c>
      <c r="H208" s="1658">
        <f t="shared" si="252"/>
        <v>0.42819337460422474</v>
      </c>
      <c r="I208" s="1658">
        <f t="shared" si="252"/>
        <v>0.43920058933960693</v>
      </c>
      <c r="J208" s="1658">
        <f t="shared" si="252"/>
        <v>0.45057420602855114</v>
      </c>
      <c r="K208" s="1696">
        <f t="shared" si="252"/>
        <v>0.41428754320829597</v>
      </c>
      <c r="L208" s="1658"/>
      <c r="M208" s="1658"/>
      <c r="N208" s="1642"/>
      <c r="O208" s="1642"/>
      <c r="P208" s="1642"/>
      <c r="Q208" s="1642"/>
      <c r="R208" s="1642"/>
      <c r="S208" s="1642"/>
      <c r="T208" s="1642"/>
      <c r="U208" s="1642"/>
      <c r="V208" s="1642"/>
      <c r="W208" s="1642"/>
      <c r="X208" s="1642"/>
      <c r="Y208" s="1642"/>
      <c r="Z208" s="1642"/>
      <c r="AA208" s="1642"/>
      <c r="AB208" s="1642"/>
      <c r="AC208" s="1642"/>
      <c r="AD208" s="1642"/>
      <c r="AE208" s="1642"/>
      <c r="AF208" s="1659">
        <f t="shared" ref="AF208:BZ208" si="253">AF207/AF179</f>
        <v>0.46647869674185466</v>
      </c>
      <c r="AG208" s="1658">
        <f t="shared" si="253"/>
        <v>0.43135058056630676</v>
      </c>
      <c r="AH208" s="1658">
        <f t="shared" si="253"/>
        <v>0.43543179983857949</v>
      </c>
      <c r="AI208" s="1658">
        <f t="shared" si="253"/>
        <v>0.40217391304347827</v>
      </c>
      <c r="AJ208" s="1659">
        <f t="shared" si="253"/>
        <v>0.44330818109610803</v>
      </c>
      <c r="AK208" s="1658">
        <f t="shared" si="253"/>
        <v>0.42237288135593221</v>
      </c>
      <c r="AL208" s="1658">
        <f t="shared" si="253"/>
        <v>0.43020377071034088</v>
      </c>
      <c r="AM208" s="1658">
        <f t="shared" si="253"/>
        <v>0.410075329566855</v>
      </c>
      <c r="AN208" s="1659">
        <f t="shared" si="253"/>
        <v>0.45068344970006885</v>
      </c>
      <c r="AO208" s="1658">
        <f t="shared" si="253"/>
        <v>0.42357450886439868</v>
      </c>
      <c r="AP208" s="1658">
        <f t="shared" si="253"/>
        <v>0.4288969052591608</v>
      </c>
      <c r="AQ208" s="1658">
        <f t="shared" si="253"/>
        <v>0.4261691072272083</v>
      </c>
      <c r="AR208" s="1659">
        <f t="shared" si="253"/>
        <v>0.42803395716766351</v>
      </c>
      <c r="AS208" s="1658">
        <f t="shared" si="253"/>
        <v>0.4341056186098865</v>
      </c>
      <c r="AT208" s="1658">
        <f t="shared" si="253"/>
        <v>0.43275569787153889</v>
      </c>
      <c r="AU208" s="1658">
        <f t="shared" si="253"/>
        <v>0.41790765196216167</v>
      </c>
      <c r="AV208" s="1659">
        <f t="shared" si="253"/>
        <v>0.46552856204858833</v>
      </c>
      <c r="AW208" s="1658">
        <f t="shared" si="253"/>
        <v>0.47178097551859466</v>
      </c>
      <c r="AX208" s="1658">
        <f t="shared" si="253"/>
        <v>0.44204567261562078</v>
      </c>
      <c r="AY208" s="1658">
        <f t="shared" si="253"/>
        <v>0.4400738150738151</v>
      </c>
      <c r="AZ208" s="1659">
        <f t="shared" si="253"/>
        <v>0.46112574382987026</v>
      </c>
      <c r="BA208" s="1658">
        <f t="shared" si="253"/>
        <v>0.4593329432416618</v>
      </c>
      <c r="BB208" s="1658">
        <f t="shared" si="253"/>
        <v>0.43319049474094273</v>
      </c>
      <c r="BC208" s="1658">
        <f t="shared" si="253"/>
        <v>0.44913570435128153</v>
      </c>
      <c r="BD208" s="1659">
        <f t="shared" si="253"/>
        <v>0.44496582678771807</v>
      </c>
      <c r="BE208" s="1658">
        <f t="shared" si="253"/>
        <v>0.42928776094965204</v>
      </c>
      <c r="BF208" s="1658">
        <f t="shared" si="253"/>
        <v>0.39683029741689824</v>
      </c>
      <c r="BG208" s="1658">
        <f t="shared" si="253"/>
        <v>0.38584451500563349</v>
      </c>
      <c r="BH208" s="1659">
        <f t="shared" si="253"/>
        <v>0.3901487184896108</v>
      </c>
      <c r="BI208" s="1658">
        <f t="shared" si="253"/>
        <v>0.37768647281921619</v>
      </c>
      <c r="BJ208" s="1658">
        <f t="shared" si="253"/>
        <v>0.37771939043615343</v>
      </c>
      <c r="BK208" s="1658">
        <f t="shared" si="253"/>
        <v>0.38728626875065564</v>
      </c>
      <c r="BL208" s="1659">
        <f t="shared" si="253"/>
        <v>0.36735347496530374</v>
      </c>
      <c r="BM208" s="1658">
        <f t="shared" si="253"/>
        <v>0.35976707252514556</v>
      </c>
      <c r="BN208" s="1658">
        <f t="shared" si="253"/>
        <v>0.37024880889359452</v>
      </c>
      <c r="BO208" s="1658">
        <f t="shared" si="253"/>
        <v>0.34800726573351853</v>
      </c>
      <c r="BP208" s="1659">
        <f t="shared" si="253"/>
        <v>0.27557239334541261</v>
      </c>
      <c r="BQ208" s="1658">
        <f t="shared" si="253"/>
        <v>0.28257204784458539</v>
      </c>
      <c r="BR208" s="1658">
        <f t="shared" si="253"/>
        <v>0.27020748217575902</v>
      </c>
      <c r="BS208" s="1658">
        <f t="shared" si="253"/>
        <v>0.27861857993881822</v>
      </c>
      <c r="BT208" s="1659">
        <f t="shared" si="253"/>
        <v>0.26983084250287404</v>
      </c>
      <c r="BU208" s="1658">
        <f t="shared" si="253"/>
        <v>0.26707218167072183</v>
      </c>
      <c r="BV208" s="1658">
        <f t="shared" si="253"/>
        <v>0.27198512770772715</v>
      </c>
      <c r="BW208" s="1658">
        <f t="shared" si="253"/>
        <v>0.28385990693117807</v>
      </c>
      <c r="BX208" s="1659">
        <f t="shared" si="253"/>
        <v>0.27016464327290868</v>
      </c>
      <c r="BY208" s="1658">
        <f t="shared" si="253"/>
        <v>0.27309502187732188</v>
      </c>
      <c r="BZ208" s="1658">
        <f t="shared" si="253"/>
        <v>0.2725777265997697</v>
      </c>
      <c r="CA208" s="1642"/>
      <c r="CB208" s="1641"/>
      <c r="CC208" s="1642"/>
      <c r="CD208" s="1642"/>
      <c r="CE208" s="1642"/>
      <c r="CF208" s="1641"/>
      <c r="CG208" s="1642"/>
      <c r="CH208" s="1642"/>
      <c r="CI208" s="1642"/>
      <c r="CJ208" s="1641"/>
      <c r="CK208" s="1642"/>
      <c r="CL208" s="1642"/>
      <c r="CM208" s="1681"/>
      <c r="CN208" s="1672"/>
      <c r="CO208" s="1672"/>
      <c r="CP208" s="1672"/>
      <c r="CQ208" s="1681"/>
      <c r="CR208" s="1672"/>
      <c r="CS208" s="1672"/>
      <c r="CT208" s="1672"/>
      <c r="CU208" s="1681"/>
      <c r="CV208" s="1672"/>
      <c r="CW208" s="1672"/>
      <c r="CX208" s="1672"/>
      <c r="CY208" s="1681"/>
      <c r="CZ208" s="1672"/>
      <c r="DA208" s="1672"/>
      <c r="DB208" s="1672"/>
      <c r="DC208" s="1672"/>
      <c r="DD208" s="1672"/>
      <c r="DE208" s="1672"/>
      <c r="DF208" s="1672"/>
      <c r="DG208" s="1672"/>
      <c r="DH208" s="1672"/>
      <c r="DI208" s="1672"/>
      <c r="DJ208" s="1672"/>
      <c r="DK208" s="1672"/>
      <c r="DL208" s="1672"/>
    </row>
    <row r="209" spans="1:116">
      <c r="A209" s="1539"/>
      <c r="B209" s="1642"/>
      <c r="C209" s="1642"/>
      <c r="D209" s="1642"/>
      <c r="E209" s="1659"/>
      <c r="F209" s="1658"/>
      <c r="G209" s="1658"/>
      <c r="H209" s="1658"/>
      <c r="I209" s="1658"/>
      <c r="J209" s="1658"/>
      <c r="K209" s="1696"/>
      <c r="L209" s="1658"/>
      <c r="M209" s="1658"/>
      <c r="N209" s="1642"/>
      <c r="O209" s="1642"/>
      <c r="P209" s="1642"/>
      <c r="Q209" s="1642"/>
      <c r="R209" s="1642"/>
      <c r="S209" s="1642"/>
      <c r="T209" s="1642"/>
      <c r="U209" s="1642"/>
      <c r="V209" s="1642"/>
      <c r="W209" s="1642"/>
      <c r="X209" s="1642"/>
      <c r="Y209" s="1642"/>
      <c r="Z209" s="1642"/>
      <c r="AA209" s="1642"/>
      <c r="AB209" s="1642"/>
      <c r="AC209" s="1642"/>
      <c r="AD209" s="1642"/>
      <c r="AE209" s="1642"/>
      <c r="AF209" s="1659"/>
      <c r="AG209" s="1658"/>
      <c r="AH209" s="1658"/>
      <c r="AI209" s="1658"/>
      <c r="AJ209" s="1659"/>
      <c r="AK209" s="1658"/>
      <c r="AL209" s="1658"/>
      <c r="AM209" s="1658"/>
      <c r="AN209" s="1659"/>
      <c r="AO209" s="1658"/>
      <c r="AP209" s="1658"/>
      <c r="AQ209" s="1658"/>
      <c r="AR209" s="1659"/>
      <c r="AS209" s="1658"/>
      <c r="AT209" s="1658"/>
      <c r="AU209" s="1658"/>
      <c r="AV209" s="1659"/>
      <c r="AW209" s="1658"/>
      <c r="AX209" s="1658"/>
      <c r="AY209" s="1658"/>
      <c r="AZ209" s="1659"/>
      <c r="BA209" s="1658"/>
      <c r="BB209" s="1658"/>
      <c r="BC209" s="1658"/>
      <c r="BD209" s="1659"/>
      <c r="BE209" s="1658"/>
      <c r="BF209" s="1658"/>
      <c r="BG209" s="1658"/>
      <c r="BH209" s="1659"/>
      <c r="BI209" s="1642"/>
      <c r="BJ209" s="1642"/>
      <c r="BK209" s="1642"/>
      <c r="BL209" s="1641"/>
      <c r="BM209" s="1642"/>
      <c r="BN209" s="1642"/>
      <c r="BO209" s="1642"/>
      <c r="BP209" s="1641"/>
      <c r="BQ209" s="1642"/>
      <c r="BR209" s="1642"/>
      <c r="BS209" s="1642"/>
      <c r="BT209" s="1641"/>
      <c r="BU209" s="1642"/>
      <c r="BV209" s="1642"/>
      <c r="BW209" s="1642"/>
      <c r="BX209" s="1641"/>
      <c r="BY209" s="1642"/>
      <c r="BZ209" s="1642"/>
      <c r="CA209" s="1642"/>
      <c r="CB209" s="1641"/>
      <c r="CC209" s="1642"/>
      <c r="CD209" s="1642"/>
      <c r="CE209" s="1642"/>
      <c r="CF209" s="1641"/>
      <c r="CG209" s="1642"/>
      <c r="CH209" s="1642"/>
      <c r="CI209" s="1642"/>
      <c r="CJ209" s="1641"/>
      <c r="CK209" s="1642"/>
      <c r="CL209" s="1642"/>
      <c r="CM209" s="1681"/>
      <c r="CN209" s="1672"/>
      <c r="CO209" s="1672"/>
      <c r="CP209" s="1672"/>
      <c r="CQ209" s="1681"/>
      <c r="CR209" s="1672"/>
      <c r="CS209" s="1672"/>
      <c r="CT209" s="1672"/>
      <c r="CU209" s="1681"/>
      <c r="CV209" s="1672"/>
      <c r="CW209" s="1672"/>
      <c r="CX209" s="1672"/>
      <c r="CY209" s="1681"/>
      <c r="CZ209" s="1672"/>
      <c r="DA209" s="1672"/>
      <c r="DB209" s="1672"/>
      <c r="DC209" s="1672"/>
      <c r="DD209" s="1672"/>
      <c r="DE209" s="1672"/>
      <c r="DF209" s="1672"/>
      <c r="DG209" s="1672"/>
      <c r="DH209" s="1672"/>
      <c r="DI209" s="1672"/>
      <c r="DJ209" s="1672"/>
      <c r="DK209" s="1672"/>
      <c r="DL209" s="1672"/>
    </row>
    <row r="210" spans="1:116">
      <c r="A210" s="1539" t="s">
        <v>657</v>
      </c>
      <c r="B210" s="1642"/>
      <c r="C210" s="1642"/>
      <c r="D210" s="1642"/>
      <c r="E210" s="1641"/>
      <c r="F210" s="1642"/>
      <c r="G210" s="1642"/>
      <c r="H210" s="1642"/>
      <c r="I210" s="1642"/>
      <c r="J210" s="1642">
        <f>SUM(AZ210:BC210)</f>
        <v>4364</v>
      </c>
      <c r="K210" s="1681">
        <f>SUM(BD210:BG210)</f>
        <v>3299</v>
      </c>
      <c r="L210" s="1642"/>
      <c r="M210" s="1642"/>
      <c r="N210" s="1642"/>
      <c r="O210" s="1642"/>
      <c r="P210" s="1642"/>
      <c r="Q210" s="1642"/>
      <c r="R210" s="1642"/>
      <c r="S210" s="1642"/>
      <c r="T210" s="1642"/>
      <c r="U210" s="1642"/>
      <c r="V210" s="1642"/>
      <c r="W210" s="1642"/>
      <c r="X210" s="1642"/>
      <c r="Y210" s="1642"/>
      <c r="Z210" s="1642"/>
      <c r="AA210" s="1642"/>
      <c r="AB210" s="1642"/>
      <c r="AC210" s="1642"/>
      <c r="AD210" s="1642"/>
      <c r="AE210" s="1642"/>
      <c r="AF210" s="1641"/>
      <c r="AG210" s="1642"/>
      <c r="AH210" s="1642"/>
      <c r="AI210" s="1642"/>
      <c r="AJ210" s="1641"/>
      <c r="AK210" s="1642"/>
      <c r="AL210" s="1642"/>
      <c r="AM210" s="1642"/>
      <c r="AN210" s="1641"/>
      <c r="AO210" s="1642"/>
      <c r="AP210" s="1642"/>
      <c r="AQ210" s="1642"/>
      <c r="AR210" s="1641"/>
      <c r="AS210" s="1642"/>
      <c r="AT210" s="1642"/>
      <c r="AU210" s="1642"/>
      <c r="AV210" s="1641"/>
      <c r="AW210" s="1642"/>
      <c r="AX210" s="1642"/>
      <c r="AY210" s="1642"/>
      <c r="AZ210" s="1641">
        <v>1157</v>
      </c>
      <c r="BA210" s="1642">
        <v>1124</v>
      </c>
      <c r="BB210" s="1642">
        <v>1031</v>
      </c>
      <c r="BC210" s="1642">
        <v>1052</v>
      </c>
      <c r="BD210" s="1641">
        <v>991</v>
      </c>
      <c r="BE210" s="1642">
        <v>911</v>
      </c>
      <c r="BF210" s="1642">
        <v>695</v>
      </c>
      <c r="BG210" s="1642">
        <v>702</v>
      </c>
      <c r="BH210" s="1641">
        <v>690</v>
      </c>
      <c r="BI210" s="1642">
        <v>636</v>
      </c>
      <c r="BJ210" s="1642">
        <v>622</v>
      </c>
      <c r="BK210" s="1642">
        <v>704</v>
      </c>
      <c r="BL210" s="1641">
        <v>504</v>
      </c>
      <c r="BM210" s="1642">
        <v>459</v>
      </c>
      <c r="BN210" s="1642">
        <v>537</v>
      </c>
      <c r="BO210" s="1642">
        <v>406</v>
      </c>
      <c r="BP210" s="1641">
        <v>321</v>
      </c>
      <c r="BQ210" s="1642">
        <v>486</v>
      </c>
      <c r="BR210" s="1642">
        <v>393</v>
      </c>
      <c r="BS210" s="1642">
        <v>434</v>
      </c>
      <c r="BT210" s="1641">
        <v>365</v>
      </c>
      <c r="BU210" s="1634">
        <v>376</v>
      </c>
      <c r="BV210" s="1634">
        <v>310</v>
      </c>
      <c r="BW210" s="1634">
        <v>455</v>
      </c>
      <c r="BX210" s="1641"/>
      <c r="BY210" s="1642"/>
      <c r="BZ210" s="1642"/>
      <c r="CA210" s="1642"/>
      <c r="CB210" s="1641"/>
      <c r="CC210" s="1642"/>
      <c r="CD210" s="1642"/>
      <c r="CE210" s="1642"/>
      <c r="CF210" s="1641"/>
      <c r="CG210" s="1642"/>
      <c r="CH210" s="1642"/>
      <c r="CI210" s="1642"/>
      <c r="CJ210" s="1641"/>
      <c r="CK210" s="1642"/>
      <c r="CL210" s="1642"/>
      <c r="CM210" s="1681"/>
      <c r="CN210" s="1672"/>
      <c r="CO210" s="1672"/>
      <c r="CP210" s="1672"/>
      <c r="CQ210" s="1681"/>
      <c r="CR210" s="1672"/>
      <c r="CS210" s="1672"/>
      <c r="CT210" s="1672"/>
      <c r="CU210" s="1681"/>
      <c r="CV210" s="1672"/>
      <c r="CW210" s="1672"/>
      <c r="CX210" s="1672"/>
      <c r="CY210" s="1681"/>
      <c r="CZ210" s="1672"/>
      <c r="DA210" s="1672"/>
      <c r="DB210" s="1672"/>
      <c r="DC210" s="1672"/>
      <c r="DD210" s="1672"/>
      <c r="DE210" s="1672"/>
      <c r="DF210" s="1672"/>
      <c r="DG210" s="1672"/>
      <c r="DH210" s="1672"/>
      <c r="DI210" s="1672"/>
      <c r="DJ210" s="1672"/>
      <c r="DK210" s="1672"/>
      <c r="DL210" s="1672"/>
    </row>
    <row r="211" spans="1:116">
      <c r="A211" s="1627" t="s">
        <v>658</v>
      </c>
      <c r="B211" s="1759"/>
      <c r="C211" s="1759"/>
      <c r="D211" s="1759"/>
      <c r="E211" s="1760"/>
      <c r="F211" s="1642"/>
      <c r="G211" s="1642"/>
      <c r="H211" s="1642"/>
      <c r="I211" s="1642"/>
      <c r="J211" s="1642"/>
      <c r="K211" s="1681"/>
      <c r="L211" s="1642"/>
      <c r="M211" s="1642"/>
      <c r="N211" s="1642"/>
      <c r="O211" s="1642"/>
      <c r="P211" s="1642"/>
      <c r="Q211" s="1642"/>
      <c r="R211" s="1642"/>
      <c r="S211" s="1642"/>
      <c r="T211" s="1642"/>
      <c r="U211" s="1642"/>
      <c r="V211" s="1642"/>
      <c r="W211" s="1642"/>
      <c r="X211" s="1642"/>
      <c r="Y211" s="1642"/>
      <c r="Z211" s="1642"/>
      <c r="AA211" s="1642"/>
      <c r="AB211" s="1642"/>
      <c r="AC211" s="1642"/>
      <c r="AD211" s="1642"/>
      <c r="AE211" s="1642"/>
      <c r="AF211" s="1641"/>
      <c r="AG211" s="1642"/>
      <c r="AH211" s="1642"/>
      <c r="AI211" s="1642"/>
      <c r="AJ211" s="1641"/>
      <c r="AK211" s="1642"/>
      <c r="AL211" s="1642"/>
      <c r="AM211" s="1642"/>
      <c r="AN211" s="1641"/>
      <c r="AO211" s="1642"/>
      <c r="AP211" s="1642"/>
      <c r="AQ211" s="1642"/>
      <c r="AR211" s="1641"/>
      <c r="AS211" s="1642"/>
      <c r="AT211" s="1642"/>
      <c r="AU211" s="1642"/>
      <c r="AV211" s="1641"/>
      <c r="AW211" s="1642"/>
      <c r="AX211" s="1642"/>
      <c r="AY211" s="1642"/>
      <c r="AZ211" s="1641"/>
      <c r="BA211" s="1642"/>
      <c r="BB211" s="1642"/>
      <c r="BC211" s="1642"/>
      <c r="BD211" s="1641"/>
      <c r="BE211" s="1642"/>
      <c r="BF211" s="1642"/>
      <c r="BG211" s="1642"/>
      <c r="BH211" s="1641"/>
      <c r="BI211" s="1642"/>
      <c r="BJ211" s="1642"/>
      <c r="BK211" s="1642"/>
      <c r="BL211" s="1641"/>
      <c r="BM211" s="1642"/>
      <c r="BN211" s="1642"/>
      <c r="BO211" s="1642"/>
      <c r="BP211" s="1641"/>
      <c r="BQ211" s="1642"/>
      <c r="BR211" s="1642"/>
      <c r="BS211" s="1642"/>
      <c r="BT211" s="1641"/>
      <c r="BU211" s="1642"/>
      <c r="BV211" s="1642"/>
      <c r="BW211" s="1642"/>
      <c r="BX211" s="1641"/>
      <c r="BY211" s="1642"/>
      <c r="BZ211" s="1642"/>
      <c r="CA211" s="1642"/>
      <c r="CB211" s="1641"/>
      <c r="CC211" s="1642"/>
      <c r="CD211" s="1642"/>
      <c r="CE211" s="1642"/>
      <c r="CF211" s="1641"/>
      <c r="CG211" s="1642"/>
      <c r="CH211" s="1642"/>
      <c r="CI211" s="1642"/>
      <c r="CJ211" s="1641"/>
      <c r="CK211" s="1642"/>
      <c r="CL211" s="1642"/>
      <c r="CM211" s="1681"/>
      <c r="CN211" s="1672"/>
      <c r="CO211" s="1672"/>
      <c r="CP211" s="1672"/>
      <c r="CQ211" s="1681"/>
      <c r="CR211" s="1672"/>
      <c r="CS211" s="1672"/>
      <c r="CT211" s="1672"/>
      <c r="CU211" s="1681"/>
      <c r="CV211" s="1672"/>
      <c r="CW211" s="1672"/>
      <c r="CX211" s="1672"/>
      <c r="CY211" s="1681"/>
      <c r="CZ211" s="1672"/>
      <c r="DA211" s="1672"/>
      <c r="DB211" s="1672"/>
      <c r="DC211" s="1672"/>
      <c r="DD211" s="1672"/>
      <c r="DE211" s="1672"/>
      <c r="DF211" s="1672"/>
      <c r="DG211" s="1672"/>
      <c r="DH211" s="1672"/>
      <c r="DI211" s="1672"/>
      <c r="DJ211" s="1672"/>
      <c r="DK211" s="1672"/>
      <c r="DL211" s="1672"/>
    </row>
    <row r="212" spans="1:116">
      <c r="A212" s="1539" t="s">
        <v>1587</v>
      </c>
      <c r="B212" s="1642"/>
      <c r="C212" s="1642"/>
      <c r="D212" s="1642"/>
      <c r="E212" s="1641"/>
      <c r="F212" s="1642"/>
      <c r="G212" s="1642"/>
      <c r="H212" s="1642"/>
      <c r="I212" s="1642"/>
      <c r="J212" s="1642"/>
      <c r="K212" s="1681"/>
      <c r="L212" s="1642"/>
      <c r="M212" s="1642"/>
      <c r="N212" s="1642"/>
      <c r="O212" s="1642"/>
      <c r="P212" s="1642"/>
      <c r="Q212" s="1642"/>
      <c r="R212" s="1642"/>
      <c r="S212" s="1642"/>
      <c r="T212" s="1642"/>
      <c r="U212" s="1642"/>
      <c r="V212" s="1642"/>
      <c r="W212" s="1642"/>
      <c r="X212" s="1642"/>
      <c r="Y212" s="1642"/>
      <c r="Z212" s="1642"/>
      <c r="AA212" s="1642"/>
      <c r="AB212" s="1642"/>
      <c r="AC212" s="1642"/>
      <c r="AD212" s="1642"/>
      <c r="AE212" s="1642"/>
      <c r="AF212" s="1641"/>
      <c r="AG212" s="1642"/>
      <c r="AH212" s="1642"/>
      <c r="AI212" s="1642"/>
      <c r="AJ212" s="1641"/>
      <c r="AK212" s="1642"/>
      <c r="AL212" s="1642"/>
      <c r="AM212" s="1642"/>
      <c r="AN212" s="1641"/>
      <c r="AO212" s="1642"/>
      <c r="AP212" s="1642"/>
      <c r="AQ212" s="1642"/>
      <c r="AR212" s="1641"/>
      <c r="AS212" s="1642"/>
      <c r="AT212" s="1642"/>
      <c r="AU212" s="1642"/>
      <c r="AV212" s="1641"/>
      <c r="AW212" s="1642"/>
      <c r="AX212" s="1642"/>
      <c r="AY212" s="1642"/>
      <c r="AZ212" s="1641"/>
      <c r="BA212" s="1642"/>
      <c r="BB212" s="1642"/>
      <c r="BC212" s="1642"/>
      <c r="BD212" s="1641"/>
      <c r="BE212" s="1642"/>
      <c r="BF212" s="1642"/>
      <c r="BG212" s="1642"/>
      <c r="BH212" s="1641"/>
      <c r="BI212" s="1642"/>
      <c r="BJ212" s="1642"/>
      <c r="BK212" s="1642"/>
      <c r="BL212" s="1641"/>
      <c r="BM212" s="1642"/>
      <c r="BN212" s="1642"/>
      <c r="BO212" s="1642"/>
      <c r="BP212" s="3486" t="s">
        <v>1150</v>
      </c>
      <c r="BQ212" s="3487"/>
      <c r="BR212" s="3487"/>
      <c r="BS212" s="3487"/>
      <c r="BT212" s="3487"/>
      <c r="BU212" s="3487"/>
      <c r="BV212" s="3487"/>
      <c r="BW212" s="3487"/>
      <c r="BX212" s="3487"/>
      <c r="BY212" s="1642"/>
      <c r="BZ212" s="1642"/>
      <c r="CA212" s="1642"/>
      <c r="CB212" s="1650" t="s">
        <v>614</v>
      </c>
      <c r="CC212" s="1651"/>
      <c r="CD212" s="1651"/>
      <c r="CE212" s="1651"/>
      <c r="CF212" s="1650" t="s">
        <v>659</v>
      </c>
      <c r="CG212" s="1651"/>
      <c r="CH212" s="1651"/>
      <c r="CI212" s="1651"/>
      <c r="CJ212" s="1650"/>
      <c r="CK212" s="1651"/>
      <c r="CL212" s="1651"/>
      <c r="CM212" s="1652"/>
      <c r="CN212" s="1653"/>
      <c r="CO212" s="1653"/>
      <c r="CP212" s="1653"/>
      <c r="CQ212" s="1652"/>
      <c r="CR212" s="1653"/>
      <c r="CS212" s="1653"/>
      <c r="CT212" s="1653"/>
      <c r="CU212" s="1652"/>
      <c r="CV212" s="1653"/>
      <c r="CW212" s="1653"/>
      <c r="CX212" s="1653"/>
      <c r="CY212" s="1652"/>
      <c r="CZ212" s="1653"/>
      <c r="DA212" s="1653"/>
      <c r="DB212" s="1653"/>
      <c r="DC212" s="1653"/>
      <c r="DD212" s="1653"/>
      <c r="DE212" s="2966"/>
      <c r="DF212" s="2989"/>
      <c r="DG212" s="3027"/>
      <c r="DH212" s="3062"/>
      <c r="DI212" s="3161"/>
      <c r="DJ212" s="3241"/>
      <c r="DK212" s="3286"/>
      <c r="DL212" s="3317"/>
    </row>
    <row r="213" spans="1:116" ht="12.75" customHeight="1">
      <c r="A213" s="1644" t="s">
        <v>660</v>
      </c>
      <c r="B213" s="1642"/>
      <c r="C213" s="1642"/>
      <c r="D213" s="1642"/>
      <c r="E213" s="1641"/>
      <c r="F213" s="1642"/>
      <c r="G213" s="1642"/>
      <c r="H213" s="1642"/>
      <c r="I213" s="1642"/>
      <c r="J213" s="1642"/>
      <c r="K213" s="1681"/>
      <c r="L213" s="1642"/>
      <c r="M213" s="1642"/>
      <c r="N213" s="1642"/>
      <c r="O213" s="1642"/>
      <c r="P213" s="1642"/>
      <c r="Q213" s="1642"/>
      <c r="R213" s="1642"/>
      <c r="S213" s="1642"/>
      <c r="T213" s="1642"/>
      <c r="U213" s="1642"/>
      <c r="V213" s="1642"/>
      <c r="W213" s="1642"/>
      <c r="X213" s="1642"/>
      <c r="Y213" s="1642"/>
      <c r="Z213" s="1642"/>
      <c r="AA213" s="1642"/>
      <c r="AB213" s="1642"/>
      <c r="AC213" s="1642"/>
      <c r="AD213" s="1642"/>
      <c r="AE213" s="1642"/>
      <c r="AF213" s="1641"/>
      <c r="AG213" s="1642"/>
      <c r="AH213" s="1642"/>
      <c r="AI213" s="1642"/>
      <c r="AJ213" s="1641"/>
      <c r="AK213" s="1642"/>
      <c r="AL213" s="1642"/>
      <c r="AM213" s="1642"/>
      <c r="AN213" s="1641"/>
      <c r="AO213" s="1642"/>
      <c r="AP213" s="1642"/>
      <c r="AQ213" s="1642"/>
      <c r="AR213" s="1641"/>
      <c r="AS213" s="1642"/>
      <c r="AT213" s="1642"/>
      <c r="AU213" s="1642"/>
      <c r="AV213" s="1641"/>
      <c r="AW213" s="1642"/>
      <c r="AX213" s="1642"/>
      <c r="AY213" s="1642"/>
      <c r="AZ213" s="1641"/>
      <c r="BA213" s="1642"/>
      <c r="BB213" s="1642"/>
      <c r="BC213" s="1642"/>
      <c r="BD213" s="1641"/>
      <c r="BE213" s="1642"/>
      <c r="BF213" s="1642"/>
      <c r="BG213" s="1642"/>
      <c r="BH213" s="1641"/>
      <c r="BI213" s="1642"/>
      <c r="BJ213" s="1642"/>
      <c r="BK213" s="1642"/>
      <c r="BL213" s="1641"/>
      <c r="BM213" s="1642"/>
      <c r="BN213" s="1634"/>
      <c r="BO213" s="1634"/>
      <c r="BP213" s="1633"/>
      <c r="BQ213" s="1634"/>
      <c r="BR213" s="1634"/>
      <c r="BS213" s="1634"/>
      <c r="BT213" s="1633"/>
      <c r="BU213" s="1634"/>
      <c r="BV213" s="1634"/>
      <c r="BW213" s="1634"/>
      <c r="BX213" s="1633"/>
      <c r="BY213" s="1634"/>
      <c r="BZ213" s="1634"/>
      <c r="CA213" s="1634"/>
      <c r="CB213" s="1633">
        <v>2</v>
      </c>
      <c r="CC213" s="1634">
        <v>3</v>
      </c>
      <c r="CD213" s="1634">
        <v>6</v>
      </c>
      <c r="CE213" s="1634">
        <v>19</v>
      </c>
      <c r="CF213" s="1633">
        <v>93</v>
      </c>
      <c r="CG213" s="1634">
        <v>346</v>
      </c>
      <c r="CH213" s="1634">
        <v>672</v>
      </c>
      <c r="CI213" s="1634">
        <v>817</v>
      </c>
      <c r="CJ213" s="1633">
        <v>977</v>
      </c>
      <c r="CK213" s="1634">
        <v>1195</v>
      </c>
      <c r="CL213" s="1634">
        <v>1460</v>
      </c>
      <c r="CM213" s="1648">
        <v>1884</v>
      </c>
      <c r="CN213" s="1649">
        <v>2298</v>
      </c>
      <c r="CO213" s="1649">
        <v>2648</v>
      </c>
      <c r="CP213" s="1649">
        <v>2938</v>
      </c>
      <c r="CQ213" s="1648">
        <v>3227</v>
      </c>
      <c r="CR213" s="1649">
        <v>3531</v>
      </c>
      <c r="CS213" s="1649">
        <v>3817</v>
      </c>
      <c r="CT213" s="1649">
        <f>+CS213+252</f>
        <v>4069</v>
      </c>
      <c r="CU213" s="1648">
        <v>4248</v>
      </c>
      <c r="CV213" s="1649">
        <v>4350</v>
      </c>
      <c r="CW213" s="1649">
        <v>4440</v>
      </c>
      <c r="CX213" s="1649">
        <v>4514</v>
      </c>
      <c r="CY213" s="1648">
        <v>4602</v>
      </c>
      <c r="CZ213" s="1649">
        <v>4661</v>
      </c>
      <c r="DA213" s="1649">
        <v>4661</v>
      </c>
      <c r="DB213" s="1649">
        <v>4703</v>
      </c>
      <c r="DC213" s="1649">
        <v>4754</v>
      </c>
      <c r="DD213" s="1649">
        <v>4800</v>
      </c>
      <c r="DE213" s="1649">
        <v>3879</v>
      </c>
      <c r="DF213" s="1649">
        <v>3882</v>
      </c>
      <c r="DG213" s="1649">
        <v>3895</v>
      </c>
      <c r="DH213" s="1649">
        <v>3887</v>
      </c>
      <c r="DI213" s="1649">
        <v>3909</v>
      </c>
      <c r="DJ213" s="1649">
        <v>3920</v>
      </c>
      <c r="DK213" s="1649">
        <v>3905</v>
      </c>
      <c r="DL213" s="1649">
        <v>3891</v>
      </c>
    </row>
    <row r="214" spans="1:116" ht="12.75" customHeight="1">
      <c r="A214" s="1644" t="s">
        <v>1588</v>
      </c>
      <c r="B214" s="1642"/>
      <c r="C214" s="1642"/>
      <c r="D214" s="1642"/>
      <c r="E214" s="1641"/>
      <c r="F214" s="1642"/>
      <c r="G214" s="1642"/>
      <c r="H214" s="1642"/>
      <c r="I214" s="1642"/>
      <c r="J214" s="1642"/>
      <c r="K214" s="1681"/>
      <c r="L214" s="1642"/>
      <c r="M214" s="1642"/>
      <c r="N214" s="1642"/>
      <c r="O214" s="1642"/>
      <c r="P214" s="1642"/>
      <c r="Q214" s="1642"/>
      <c r="R214" s="1642"/>
      <c r="S214" s="1642"/>
      <c r="T214" s="1642"/>
      <c r="U214" s="1642"/>
      <c r="V214" s="1642"/>
      <c r="W214" s="1642"/>
      <c r="X214" s="1642"/>
      <c r="Y214" s="1642"/>
      <c r="Z214" s="1642"/>
      <c r="AA214" s="1642"/>
      <c r="AB214" s="1642"/>
      <c r="AC214" s="1642"/>
      <c r="AD214" s="1642"/>
      <c r="AE214" s="1642"/>
      <c r="AF214" s="1641"/>
      <c r="AG214" s="1642"/>
      <c r="AH214" s="1642"/>
      <c r="AI214" s="1642"/>
      <c r="AJ214" s="1641"/>
      <c r="AK214" s="1642"/>
      <c r="AL214" s="1642"/>
      <c r="AM214" s="1642"/>
      <c r="AN214" s="1641"/>
      <c r="AO214" s="1642"/>
      <c r="AP214" s="1642"/>
      <c r="AQ214" s="1642"/>
      <c r="AR214" s="1641"/>
      <c r="AS214" s="1642"/>
      <c r="AT214" s="1642"/>
      <c r="AU214" s="1642"/>
      <c r="AV214" s="1641"/>
      <c r="AW214" s="1642"/>
      <c r="AX214" s="1642"/>
      <c r="AY214" s="1642"/>
      <c r="AZ214" s="1641"/>
      <c r="BA214" s="1642"/>
      <c r="BB214" s="1642"/>
      <c r="BC214" s="1642"/>
      <c r="BD214" s="1641"/>
      <c r="BE214" s="1642"/>
      <c r="BF214" s="1642"/>
      <c r="BG214" s="1642"/>
      <c r="BH214" s="1641"/>
      <c r="BI214" s="1642"/>
      <c r="BJ214" s="1642"/>
      <c r="BK214" s="1642"/>
      <c r="BL214" s="1641"/>
      <c r="BM214" s="1642"/>
      <c r="BN214" s="1634"/>
      <c r="BO214" s="1634"/>
      <c r="BP214" s="1633"/>
      <c r="BQ214" s="1634"/>
      <c r="BR214" s="1634"/>
      <c r="BS214" s="1634"/>
      <c r="BT214" s="1633"/>
      <c r="BU214" s="1634"/>
      <c r="BV214" s="1634"/>
      <c r="BW214" s="1634"/>
      <c r="BX214" s="1633"/>
      <c r="BY214" s="1634"/>
      <c r="BZ214" s="1634"/>
      <c r="CA214" s="1634"/>
      <c r="CB214" s="1633">
        <v>14745</v>
      </c>
      <c r="CC214" s="1634">
        <v>14388</v>
      </c>
      <c r="CD214" s="1634">
        <v>14024</v>
      </c>
      <c r="CE214" s="1634">
        <v>13643</v>
      </c>
      <c r="CF214" s="1633">
        <v>13258</v>
      </c>
      <c r="CG214" s="1634">
        <v>12739</v>
      </c>
      <c r="CH214" s="1634">
        <v>12153</v>
      </c>
      <c r="CI214" s="1634">
        <v>11757</v>
      </c>
      <c r="CJ214" s="1633">
        <v>11359</v>
      </c>
      <c r="CK214" s="1634">
        <v>10946</v>
      </c>
      <c r="CL214" s="1634">
        <v>10456</v>
      </c>
      <c r="CM214" s="1648">
        <v>9906</v>
      </c>
      <c r="CN214" s="1649">
        <v>9344</v>
      </c>
      <c r="CO214" s="1649">
        <v>8843</v>
      </c>
      <c r="CP214" s="1649">
        <v>8384</v>
      </c>
      <c r="CQ214" s="1648">
        <v>7982</v>
      </c>
      <c r="CR214" s="1649">
        <v>7593</v>
      </c>
      <c r="CS214" s="1649">
        <v>7200</v>
      </c>
      <c r="CT214" s="1649">
        <v>6821</v>
      </c>
      <c r="CU214" s="1648">
        <v>6481</v>
      </c>
      <c r="CV214" s="1649">
        <v>6224</v>
      </c>
      <c r="CW214" s="1649">
        <v>6007</v>
      </c>
      <c r="CX214" s="1649">
        <v>5794</v>
      </c>
      <c r="CY214" s="1648">
        <v>5596</v>
      </c>
      <c r="CZ214" s="1649">
        <v>5397</v>
      </c>
      <c r="DA214" s="1649">
        <v>5194</v>
      </c>
      <c r="DB214" s="1649">
        <v>4982</v>
      </c>
      <c r="DC214" s="1649">
        <v>4784</v>
      </c>
      <c r="DD214" s="1649">
        <v>4573</v>
      </c>
      <c r="DE214" s="1649">
        <v>3501</v>
      </c>
      <c r="DF214" s="1649">
        <v>3359</v>
      </c>
      <c r="DG214" s="1649">
        <v>3230</v>
      </c>
      <c r="DH214" s="1649">
        <v>3095</v>
      </c>
      <c r="DI214" s="1649">
        <v>2962</v>
      </c>
      <c r="DJ214" s="1649">
        <v>2830</v>
      </c>
      <c r="DK214" s="1649">
        <v>2708</v>
      </c>
      <c r="DL214" s="3327"/>
    </row>
    <row r="215" spans="1:116" ht="12.75" customHeight="1">
      <c r="A215" s="1628" t="s">
        <v>1589</v>
      </c>
      <c r="B215" s="1642"/>
      <c r="C215" s="1642"/>
      <c r="D215" s="1642"/>
      <c r="E215" s="1641"/>
      <c r="F215" s="1642"/>
      <c r="G215" s="1642"/>
      <c r="H215" s="1642"/>
      <c r="I215" s="1642"/>
      <c r="J215" s="1642"/>
      <c r="K215" s="1681"/>
      <c r="L215" s="1642"/>
      <c r="M215" s="1642"/>
      <c r="N215" s="1642"/>
      <c r="O215" s="1642"/>
      <c r="P215" s="1642"/>
      <c r="Q215" s="1642"/>
      <c r="R215" s="1642"/>
      <c r="S215" s="1642"/>
      <c r="T215" s="1642"/>
      <c r="U215" s="1642"/>
      <c r="V215" s="1642"/>
      <c r="W215" s="1642"/>
      <c r="X215" s="1642"/>
      <c r="Y215" s="1642"/>
      <c r="Z215" s="1642"/>
      <c r="AA215" s="1642"/>
      <c r="AB215" s="1642"/>
      <c r="AC215" s="1642"/>
      <c r="AD215" s="1642"/>
      <c r="AE215" s="1642"/>
      <c r="AF215" s="1641"/>
      <c r="AG215" s="1642"/>
      <c r="AH215" s="1642"/>
      <c r="AI215" s="1642"/>
      <c r="AJ215" s="1641"/>
      <c r="AK215" s="1642"/>
      <c r="AL215" s="1642"/>
      <c r="AM215" s="1642"/>
      <c r="AN215" s="1641"/>
      <c r="AO215" s="1642"/>
      <c r="AP215" s="1642"/>
      <c r="AQ215" s="1642"/>
      <c r="AR215" s="1641"/>
      <c r="AS215" s="1642"/>
      <c r="AT215" s="1642"/>
      <c r="AU215" s="1642"/>
      <c r="AV215" s="1641"/>
      <c r="AW215" s="1642"/>
      <c r="AX215" s="1642"/>
      <c r="AY215" s="1642"/>
      <c r="AZ215" s="1641"/>
      <c r="BA215" s="1642"/>
      <c r="BB215" s="1642"/>
      <c r="BC215" s="1642"/>
      <c r="BD215" s="1641"/>
      <c r="BE215" s="1642"/>
      <c r="BF215" s="1642"/>
      <c r="BG215" s="1642"/>
      <c r="BH215" s="1641"/>
      <c r="BI215" s="1642"/>
      <c r="BJ215" s="1642"/>
      <c r="BK215" s="1642"/>
      <c r="BL215" s="1641"/>
      <c r="BM215" s="1642"/>
      <c r="BN215" s="1634"/>
      <c r="BO215" s="1634"/>
      <c r="BP215" s="1633"/>
      <c r="BQ215" s="1634"/>
      <c r="BR215" s="1634"/>
      <c r="BS215" s="1634"/>
      <c r="BT215" s="1633">
        <v>21419</v>
      </c>
      <c r="BU215" s="1634">
        <v>21039</v>
      </c>
      <c r="BV215" s="1634">
        <v>20575</v>
      </c>
      <c r="BW215" s="1634">
        <v>20124</v>
      </c>
      <c r="BX215" s="1633">
        <v>19669</v>
      </c>
      <c r="BY215" s="1634">
        <v>19113</v>
      </c>
      <c r="BZ215" s="1634">
        <v>18543</v>
      </c>
      <c r="CA215" s="1634">
        <v>18083</v>
      </c>
      <c r="CB215" s="1641">
        <f t="shared" ref="CB215:CV215" si="254">+CB214+CB213</f>
        <v>14747</v>
      </c>
      <c r="CC215" s="1642">
        <f t="shared" si="254"/>
        <v>14391</v>
      </c>
      <c r="CD215" s="1642">
        <f t="shared" si="254"/>
        <v>14030</v>
      </c>
      <c r="CE215" s="1642">
        <f t="shared" si="254"/>
        <v>13662</v>
      </c>
      <c r="CF215" s="1641">
        <f t="shared" si="254"/>
        <v>13351</v>
      </c>
      <c r="CG215" s="1642">
        <f t="shared" si="254"/>
        <v>13085</v>
      </c>
      <c r="CH215" s="1642">
        <f t="shared" si="254"/>
        <v>12825</v>
      </c>
      <c r="CI215" s="1642">
        <f t="shared" si="254"/>
        <v>12574</v>
      </c>
      <c r="CJ215" s="1641">
        <f t="shared" si="254"/>
        <v>12336</v>
      </c>
      <c r="CK215" s="1642">
        <f t="shared" si="254"/>
        <v>12141</v>
      </c>
      <c r="CL215" s="1642">
        <f t="shared" si="254"/>
        <v>11916</v>
      </c>
      <c r="CM215" s="1681">
        <f t="shared" si="254"/>
        <v>11790</v>
      </c>
      <c r="CN215" s="1672">
        <f t="shared" si="254"/>
        <v>11642</v>
      </c>
      <c r="CO215" s="1672">
        <f t="shared" si="254"/>
        <v>11491</v>
      </c>
      <c r="CP215" s="1672">
        <f t="shared" si="254"/>
        <v>11322</v>
      </c>
      <c r="CQ215" s="1681">
        <f t="shared" si="254"/>
        <v>11209</v>
      </c>
      <c r="CR215" s="1672">
        <f t="shared" si="254"/>
        <v>11124</v>
      </c>
      <c r="CS215" s="1672">
        <f t="shared" si="254"/>
        <v>11017</v>
      </c>
      <c r="CT215" s="1672">
        <f t="shared" si="254"/>
        <v>10890</v>
      </c>
      <c r="CU215" s="1681">
        <f t="shared" si="254"/>
        <v>10729</v>
      </c>
      <c r="CV215" s="1672">
        <f t="shared" si="254"/>
        <v>10574</v>
      </c>
      <c r="CW215" s="1672">
        <f t="shared" ref="CW215:DB215" si="255">+CW214+CW213</f>
        <v>10447</v>
      </c>
      <c r="CX215" s="1672">
        <f t="shared" si="255"/>
        <v>10308</v>
      </c>
      <c r="CY215" s="1681">
        <f t="shared" si="255"/>
        <v>10198</v>
      </c>
      <c r="CZ215" s="1672">
        <f t="shared" si="255"/>
        <v>10058</v>
      </c>
      <c r="DA215" s="1672">
        <f t="shared" si="255"/>
        <v>9855</v>
      </c>
      <c r="DB215" s="1672">
        <f t="shared" si="255"/>
        <v>9685</v>
      </c>
      <c r="DC215" s="1672">
        <f t="shared" ref="DC215:DH215" si="256">+DC214+DC213</f>
        <v>9538</v>
      </c>
      <c r="DD215" s="1672">
        <f t="shared" si="256"/>
        <v>9373</v>
      </c>
      <c r="DE215" s="1672">
        <f t="shared" si="256"/>
        <v>7380</v>
      </c>
      <c r="DF215" s="1672">
        <f t="shared" si="256"/>
        <v>7241</v>
      </c>
      <c r="DG215" s="1672">
        <f t="shared" si="256"/>
        <v>7125</v>
      </c>
      <c r="DH215" s="1672">
        <f t="shared" si="256"/>
        <v>6982</v>
      </c>
      <c r="DI215" s="1672">
        <f t="shared" ref="DI215:DJ215" si="257">+DI214+DI213</f>
        <v>6871</v>
      </c>
      <c r="DJ215" s="1672">
        <f t="shared" si="257"/>
        <v>6750</v>
      </c>
      <c r="DK215" s="1672">
        <f t="shared" ref="DK215" si="258">+DK214+DK213</f>
        <v>6613</v>
      </c>
      <c r="DL215" s="3326"/>
    </row>
    <row r="216" spans="1:116" ht="12.75" customHeight="1">
      <c r="A216" s="1628" t="s">
        <v>1591</v>
      </c>
      <c r="B216" s="1642"/>
      <c r="C216" s="1642"/>
      <c r="D216" s="1642"/>
      <c r="E216" s="1641"/>
      <c r="F216" s="1642"/>
      <c r="G216" s="1642"/>
      <c r="H216" s="1642"/>
      <c r="I216" s="1642"/>
      <c r="J216" s="1642"/>
      <c r="K216" s="1681"/>
      <c r="L216" s="1642"/>
      <c r="M216" s="1642"/>
      <c r="N216" s="1642"/>
      <c r="O216" s="1642"/>
      <c r="P216" s="1642"/>
      <c r="Q216" s="1642"/>
      <c r="R216" s="1642"/>
      <c r="S216" s="1642"/>
      <c r="T216" s="1642"/>
      <c r="U216" s="1642"/>
      <c r="V216" s="1642"/>
      <c r="W216" s="1642"/>
      <c r="X216" s="1642"/>
      <c r="Y216" s="1642"/>
      <c r="Z216" s="1642"/>
      <c r="AA216" s="1642"/>
      <c r="AB216" s="1642"/>
      <c r="AC216" s="1642"/>
      <c r="AD216" s="1642"/>
      <c r="AE216" s="1642"/>
      <c r="AF216" s="1641"/>
      <c r="AG216" s="1642"/>
      <c r="AH216" s="1642"/>
      <c r="AI216" s="1642"/>
      <c r="AJ216" s="1641"/>
      <c r="AK216" s="1642"/>
      <c r="AL216" s="1642"/>
      <c r="AM216" s="1642"/>
      <c r="AN216" s="1641"/>
      <c r="AO216" s="1642"/>
      <c r="AP216" s="1642"/>
      <c r="AQ216" s="1642"/>
      <c r="AR216" s="1641"/>
      <c r="AS216" s="1642"/>
      <c r="AT216" s="1642"/>
      <c r="AU216" s="1642"/>
      <c r="AV216" s="1641"/>
      <c r="AW216" s="1642"/>
      <c r="AX216" s="1642"/>
      <c r="AY216" s="1642"/>
      <c r="AZ216" s="1641"/>
      <c r="BA216" s="1642"/>
      <c r="BB216" s="1642"/>
      <c r="BC216" s="1642"/>
      <c r="BD216" s="1641"/>
      <c r="BE216" s="1642"/>
      <c r="BF216" s="1642"/>
      <c r="BG216" s="1642"/>
      <c r="BH216" s="1641"/>
      <c r="BI216" s="1642"/>
      <c r="BJ216" s="1642"/>
      <c r="BK216" s="1642"/>
      <c r="BL216" s="1641"/>
      <c r="BM216" s="1642"/>
      <c r="BN216" s="1642"/>
      <c r="BO216" s="1642"/>
      <c r="BP216" s="1641"/>
      <c r="BQ216" s="1642"/>
      <c r="BR216" s="1642"/>
      <c r="BS216" s="1642"/>
      <c r="BT216" s="1641">
        <f t="shared" ref="BT216:CV216" si="259">+BT217-BT215</f>
        <v>4599</v>
      </c>
      <c r="BU216" s="1642">
        <f t="shared" si="259"/>
        <v>4277</v>
      </c>
      <c r="BV216" s="1642">
        <f t="shared" si="259"/>
        <v>3992</v>
      </c>
      <c r="BW216" s="1642">
        <f t="shared" si="259"/>
        <v>3756</v>
      </c>
      <c r="BX216" s="1641">
        <f t="shared" si="259"/>
        <v>3520</v>
      </c>
      <c r="BY216" s="1642">
        <f t="shared" si="259"/>
        <v>3303</v>
      </c>
      <c r="BZ216" s="1642">
        <f t="shared" si="259"/>
        <v>3083</v>
      </c>
      <c r="CA216" s="1642">
        <f t="shared" si="259"/>
        <v>2873</v>
      </c>
      <c r="CB216" s="1641">
        <f t="shared" si="259"/>
        <v>1505</v>
      </c>
      <c r="CC216" s="1642">
        <f t="shared" si="259"/>
        <v>1437</v>
      </c>
      <c r="CD216" s="1642">
        <f t="shared" si="259"/>
        <v>1364</v>
      </c>
      <c r="CE216" s="1642">
        <f t="shared" si="259"/>
        <v>1303</v>
      </c>
      <c r="CF216" s="1641">
        <f t="shared" si="259"/>
        <v>1236</v>
      </c>
      <c r="CG216" s="1642">
        <f t="shared" si="259"/>
        <v>1167</v>
      </c>
      <c r="CH216" s="1642">
        <f t="shared" si="259"/>
        <v>1094</v>
      </c>
      <c r="CI216" s="1642">
        <f t="shared" si="259"/>
        <v>1042</v>
      </c>
      <c r="CJ216" s="1641">
        <f t="shared" si="259"/>
        <v>991</v>
      </c>
      <c r="CK216" s="1642">
        <f t="shared" si="259"/>
        <v>946</v>
      </c>
      <c r="CL216" s="1642">
        <f t="shared" si="259"/>
        <v>893</v>
      </c>
      <c r="CM216" s="1681">
        <f t="shared" si="259"/>
        <v>836</v>
      </c>
      <c r="CN216" s="1672">
        <f t="shared" si="259"/>
        <v>779</v>
      </c>
      <c r="CO216" s="1672">
        <f t="shared" si="259"/>
        <v>731</v>
      </c>
      <c r="CP216" s="1672">
        <f t="shared" si="259"/>
        <v>683</v>
      </c>
      <c r="CQ216" s="1681">
        <f t="shared" si="259"/>
        <v>640</v>
      </c>
      <c r="CR216" s="1672">
        <f t="shared" si="259"/>
        <v>601</v>
      </c>
      <c r="CS216" s="1672">
        <f t="shared" si="259"/>
        <v>566</v>
      </c>
      <c r="CT216" s="1672">
        <f t="shared" si="259"/>
        <v>531</v>
      </c>
      <c r="CU216" s="1681">
        <f t="shared" si="259"/>
        <v>500</v>
      </c>
      <c r="CV216" s="1672">
        <f t="shared" si="259"/>
        <v>474</v>
      </c>
      <c r="CW216" s="1672">
        <f t="shared" ref="CW216:DB216" si="260">+CW217-CW215</f>
        <v>456</v>
      </c>
      <c r="CX216" s="1672">
        <f t="shared" si="260"/>
        <v>435</v>
      </c>
      <c r="CY216" s="1681">
        <f t="shared" si="260"/>
        <v>417</v>
      </c>
      <c r="CZ216" s="1672">
        <f t="shared" si="260"/>
        <v>399</v>
      </c>
      <c r="DA216" s="1672">
        <f t="shared" si="260"/>
        <v>384</v>
      </c>
      <c r="DB216" s="1672">
        <f t="shared" si="260"/>
        <v>366</v>
      </c>
      <c r="DC216" s="1672">
        <f t="shared" ref="DC216:DH216" si="261">+DC217-DC215</f>
        <v>347</v>
      </c>
      <c r="DD216" s="1672">
        <f t="shared" si="261"/>
        <v>329</v>
      </c>
      <c r="DE216" s="1672">
        <f t="shared" si="261"/>
        <v>254</v>
      </c>
      <c r="DF216" s="1672">
        <f t="shared" si="261"/>
        <v>241</v>
      </c>
      <c r="DG216" s="1672">
        <f t="shared" si="261"/>
        <v>230</v>
      </c>
      <c r="DH216" s="1672">
        <f t="shared" si="261"/>
        <v>218</v>
      </c>
      <c r="DI216" s="1672">
        <f t="shared" ref="DI216:DJ216" si="262">+DI217-DI215</f>
        <v>208</v>
      </c>
      <c r="DJ216" s="1672">
        <f t="shared" si="262"/>
        <v>200</v>
      </c>
      <c r="DK216" s="1672">
        <f t="shared" ref="DK216" si="263">+DK217-DK215</f>
        <v>191</v>
      </c>
      <c r="DL216" s="3326"/>
    </row>
    <row r="217" spans="1:116">
      <c r="A217" s="1628" t="s">
        <v>1590</v>
      </c>
      <c r="B217" s="1642"/>
      <c r="C217" s="1642"/>
      <c r="D217" s="1642"/>
      <c r="E217" s="1641">
        <v>38473</v>
      </c>
      <c r="F217" s="1642">
        <v>39713</v>
      </c>
      <c r="G217" s="1642">
        <v>40882</v>
      </c>
      <c r="H217" s="1642">
        <f>AU217</f>
        <v>39077</v>
      </c>
      <c r="I217" s="1642">
        <f>AY217</f>
        <v>38536</v>
      </c>
      <c r="J217" s="1642">
        <f>BC217</f>
        <v>37458</v>
      </c>
      <c r="K217" s="1681">
        <f>BG217</f>
        <v>35639</v>
      </c>
      <c r="L217" s="1642"/>
      <c r="M217" s="1642"/>
      <c r="N217" s="1642"/>
      <c r="O217" s="1642"/>
      <c r="P217" s="1642"/>
      <c r="Q217" s="1642"/>
      <c r="R217" s="1642"/>
      <c r="S217" s="1642"/>
      <c r="T217" s="1642"/>
      <c r="U217" s="1642"/>
      <c r="V217" s="1642"/>
      <c r="W217" s="1642"/>
      <c r="X217" s="1642"/>
      <c r="Y217" s="1642"/>
      <c r="Z217" s="1642"/>
      <c r="AA217" s="1642"/>
      <c r="AB217" s="1642"/>
      <c r="AC217" s="1642"/>
      <c r="AD217" s="1642"/>
      <c r="AE217" s="1642"/>
      <c r="AF217" s="1641">
        <v>37509</v>
      </c>
      <c r="AG217" s="1642">
        <v>37797</v>
      </c>
      <c r="AH217" s="1642">
        <v>38089</v>
      </c>
      <c r="AI217" s="1642">
        <v>38473</v>
      </c>
      <c r="AJ217" s="1641">
        <v>38864</v>
      </c>
      <c r="AK217" s="1642">
        <v>39083</v>
      </c>
      <c r="AL217" s="1642">
        <v>39457</v>
      </c>
      <c r="AM217" s="1642">
        <v>39713</v>
      </c>
      <c r="AN217" s="1641">
        <v>38927.173999999999</v>
      </c>
      <c r="AO217" s="1642">
        <v>39122.033000000003</v>
      </c>
      <c r="AP217" s="1642">
        <v>39359.724000000002</v>
      </c>
      <c r="AQ217" s="1642">
        <v>39605.752</v>
      </c>
      <c r="AR217" s="1641">
        <v>39018</v>
      </c>
      <c r="AS217" s="1642">
        <v>39089</v>
      </c>
      <c r="AT217" s="1642">
        <v>39113</v>
      </c>
      <c r="AU217" s="1642">
        <v>39077</v>
      </c>
      <c r="AV217" s="1641">
        <v>39117</v>
      </c>
      <c r="AW217" s="1642">
        <v>38916</v>
      </c>
      <c r="AX217" s="1642">
        <v>38741</v>
      </c>
      <c r="AY217" s="1642">
        <v>38536</v>
      </c>
      <c r="AZ217" s="1641">
        <v>38440</v>
      </c>
      <c r="BA217" s="1642">
        <v>38065</v>
      </c>
      <c r="BB217" s="1642">
        <v>37777</v>
      </c>
      <c r="BC217" s="1642">
        <v>37458</v>
      </c>
      <c r="BD217" s="1641">
        <v>36811</v>
      </c>
      <c r="BE217" s="1642">
        <v>36430</v>
      </c>
      <c r="BF217" s="1642">
        <v>36016</v>
      </c>
      <c r="BG217" s="1642">
        <v>35639</v>
      </c>
      <c r="BH217" s="1641">
        <v>35328</v>
      </c>
      <c r="BI217" s="1642">
        <v>34815</v>
      </c>
      <c r="BJ217" s="1642">
        <v>34289</v>
      </c>
      <c r="BK217" s="1642">
        <v>33725</v>
      </c>
      <c r="BL217" s="1641">
        <v>33213</v>
      </c>
      <c r="BM217" s="1642">
        <v>32441</v>
      </c>
      <c r="BN217" s="1634">
        <v>31629</v>
      </c>
      <c r="BO217" s="1634">
        <v>30902</v>
      </c>
      <c r="BP217" s="1633">
        <v>29100</v>
      </c>
      <c r="BQ217" s="1634">
        <v>28263</v>
      </c>
      <c r="BR217" s="1634">
        <v>27435</v>
      </c>
      <c r="BS217" s="1634">
        <v>26732</v>
      </c>
      <c r="BT217" s="1633">
        <v>26018</v>
      </c>
      <c r="BU217" s="1634">
        <v>25316</v>
      </c>
      <c r="BV217" s="1634">
        <v>24567</v>
      </c>
      <c r="BW217" s="1634">
        <v>23880</v>
      </c>
      <c r="BX217" s="1633">
        <v>23189</v>
      </c>
      <c r="BY217" s="1634">
        <v>22416</v>
      </c>
      <c r="BZ217" s="1634">
        <v>21626</v>
      </c>
      <c r="CA217" s="1634">
        <v>20956</v>
      </c>
      <c r="CB217" s="1633">
        <v>16252</v>
      </c>
      <c r="CC217" s="1634">
        <v>15828</v>
      </c>
      <c r="CD217" s="1634">
        <v>15394</v>
      </c>
      <c r="CE217" s="1634">
        <v>14965</v>
      </c>
      <c r="CF217" s="1633">
        <v>14587</v>
      </c>
      <c r="CG217" s="1634">
        <v>14252</v>
      </c>
      <c r="CH217" s="1634">
        <v>13919</v>
      </c>
      <c r="CI217" s="1634">
        <v>13616</v>
      </c>
      <c r="CJ217" s="1633">
        <v>13327</v>
      </c>
      <c r="CK217" s="1634">
        <v>13087</v>
      </c>
      <c r="CL217" s="1634">
        <v>12809</v>
      </c>
      <c r="CM217" s="1648">
        <v>12626</v>
      </c>
      <c r="CN217" s="1649">
        <v>12421</v>
      </c>
      <c r="CO217" s="1649">
        <v>12222</v>
      </c>
      <c r="CP217" s="1649">
        <v>12005</v>
      </c>
      <c r="CQ217" s="1648">
        <v>11849</v>
      </c>
      <c r="CR217" s="1649">
        <v>11725</v>
      </c>
      <c r="CS217" s="1649">
        <v>11583</v>
      </c>
      <c r="CT217" s="1649">
        <v>11421</v>
      </c>
      <c r="CU217" s="1648">
        <v>11229</v>
      </c>
      <c r="CV217" s="1649">
        <v>11048</v>
      </c>
      <c r="CW217" s="1649">
        <v>10903</v>
      </c>
      <c r="CX217" s="1649">
        <v>10743</v>
      </c>
      <c r="CY217" s="1648">
        <v>10615</v>
      </c>
      <c r="CZ217" s="1649">
        <v>10457</v>
      </c>
      <c r="DA217" s="1649">
        <v>10239</v>
      </c>
      <c r="DB217" s="1649">
        <v>10051</v>
      </c>
      <c r="DC217" s="1649">
        <v>9885</v>
      </c>
      <c r="DD217" s="1649">
        <v>9702</v>
      </c>
      <c r="DE217" s="1649">
        <v>7634</v>
      </c>
      <c r="DF217" s="1649">
        <v>7482</v>
      </c>
      <c r="DG217" s="1649">
        <v>7355</v>
      </c>
      <c r="DH217" s="1649">
        <v>7200</v>
      </c>
      <c r="DI217" s="1649">
        <v>7079</v>
      </c>
      <c r="DJ217" s="1649">
        <v>6950</v>
      </c>
      <c r="DK217" s="1649">
        <v>6804</v>
      </c>
      <c r="DL217" s="3327"/>
    </row>
    <row r="218" spans="1:116">
      <c r="A218" s="1628" t="s">
        <v>661</v>
      </c>
      <c r="B218" s="1642"/>
      <c r="C218" s="1642"/>
      <c r="D218" s="1642"/>
      <c r="E218" s="1641">
        <v>19864</v>
      </c>
      <c r="F218" s="1642">
        <v>21131</v>
      </c>
      <c r="G218" s="1642">
        <v>22147</v>
      </c>
      <c r="H218" s="1642">
        <f>AU218</f>
        <v>21939</v>
      </c>
      <c r="I218" s="1642">
        <f>AY218</f>
        <v>21075</v>
      </c>
      <c r="J218" s="1642">
        <f>BC218</f>
        <v>19994</v>
      </c>
      <c r="K218" s="1681">
        <f>BG218</f>
        <v>18732</v>
      </c>
      <c r="L218" s="1642"/>
      <c r="M218" s="1642"/>
      <c r="N218" s="1642"/>
      <c r="O218" s="1642"/>
      <c r="P218" s="1642"/>
      <c r="Q218" s="1642"/>
      <c r="R218" s="1642"/>
      <c r="S218" s="1642"/>
      <c r="T218" s="1642"/>
      <c r="U218" s="1642"/>
      <c r="V218" s="1642"/>
      <c r="W218" s="1642"/>
      <c r="X218" s="1642"/>
      <c r="Y218" s="1642"/>
      <c r="Z218" s="1642"/>
      <c r="AA218" s="1642"/>
      <c r="AB218" s="1642"/>
      <c r="AC218" s="1642"/>
      <c r="AD218" s="1642"/>
      <c r="AE218" s="1642"/>
      <c r="AF218" s="1641">
        <v>18845</v>
      </c>
      <c r="AG218" s="1642">
        <v>19185</v>
      </c>
      <c r="AH218" s="1642">
        <v>19519</v>
      </c>
      <c r="AI218" s="1642">
        <v>19864</v>
      </c>
      <c r="AJ218" s="1641">
        <v>20179</v>
      </c>
      <c r="AK218" s="1642">
        <v>20517</v>
      </c>
      <c r="AL218" s="1642">
        <v>20883</v>
      </c>
      <c r="AM218" s="1642">
        <v>21131</v>
      </c>
      <c r="AN218" s="1641">
        <v>21040.517</v>
      </c>
      <c r="AO218" s="1642">
        <v>21271.675999999999</v>
      </c>
      <c r="AP218" s="1642">
        <v>21537.758000000002</v>
      </c>
      <c r="AQ218" s="1642">
        <v>21701.066999999999</v>
      </c>
      <c r="AR218" s="1641">
        <v>21552</v>
      </c>
      <c r="AS218" s="1642">
        <v>21704</v>
      </c>
      <c r="AT218" s="1642">
        <v>21843</v>
      </c>
      <c r="AU218" s="1642">
        <v>21939</v>
      </c>
      <c r="AV218" s="1641">
        <v>21900</v>
      </c>
      <c r="AW218" s="1642">
        <v>21682</v>
      </c>
      <c r="AX218" s="1642">
        <v>21422</v>
      </c>
      <c r="AY218" s="1642">
        <v>21075</v>
      </c>
      <c r="AZ218" s="1641">
        <v>20745</v>
      </c>
      <c r="BA218" s="1642">
        <v>20330</v>
      </c>
      <c r="BB218" s="1642">
        <v>20144</v>
      </c>
      <c r="BC218" s="1642">
        <v>19994</v>
      </c>
      <c r="BD218" s="1641">
        <v>19445</v>
      </c>
      <c r="BE218" s="1642">
        <v>19127</v>
      </c>
      <c r="BF218" s="1642">
        <v>18955</v>
      </c>
      <c r="BG218" s="1642">
        <v>18732</v>
      </c>
      <c r="BH218" s="1641">
        <v>18553</v>
      </c>
      <c r="BI218" s="1642">
        <v>18399</v>
      </c>
      <c r="BJ218" s="1642">
        <v>18264</v>
      </c>
      <c r="BK218" s="1642">
        <v>18143</v>
      </c>
      <c r="BL218" s="1641">
        <v>17903</v>
      </c>
      <c r="BM218" s="1642">
        <v>17842</v>
      </c>
      <c r="BN218" s="1634">
        <v>17660</v>
      </c>
      <c r="BO218" s="1634">
        <v>17509</v>
      </c>
      <c r="BP218" s="1633">
        <v>16723</v>
      </c>
      <c r="BQ218" s="1634">
        <v>16581</v>
      </c>
      <c r="BR218" s="1634">
        <v>16477</v>
      </c>
      <c r="BS218" s="1634">
        <v>16326</v>
      </c>
      <c r="BT218" s="1633">
        <v>16149</v>
      </c>
      <c r="BU218" s="1634">
        <v>16021</v>
      </c>
      <c r="BV218" s="1634">
        <v>15850</v>
      </c>
      <c r="BW218" s="1634">
        <v>15713</v>
      </c>
      <c r="BX218" s="1633">
        <v>15532</v>
      </c>
      <c r="BY218" s="1634">
        <v>15395</v>
      </c>
      <c r="BZ218" s="1634">
        <v>15192</v>
      </c>
      <c r="CA218" s="1634">
        <v>14966</v>
      </c>
      <c r="CB218" s="1761">
        <v>13139</v>
      </c>
      <c r="CC218" s="1762">
        <v>12924</v>
      </c>
      <c r="CD218" s="1762">
        <v>12719</v>
      </c>
      <c r="CE218" s="1762">
        <v>12540</v>
      </c>
      <c r="CF218" s="1761">
        <v>12365</v>
      </c>
      <c r="CG218" s="1762">
        <v>12172</v>
      </c>
      <c r="CH218" s="1762">
        <v>11953</v>
      </c>
      <c r="CI218" s="1762">
        <v>11755</v>
      </c>
      <c r="CJ218" s="1633"/>
      <c r="CK218" s="1634"/>
      <c r="CL218" s="1634"/>
      <c r="CM218" s="1648"/>
      <c r="CN218" s="1649"/>
      <c r="CO218" s="1649"/>
      <c r="CP218" s="1649"/>
      <c r="CQ218" s="1648"/>
      <c r="CR218" s="1649"/>
      <c r="CS218" s="1649"/>
      <c r="CT218" s="1649"/>
      <c r="CU218" s="1648"/>
      <c r="CV218" s="1649"/>
      <c r="CW218" s="1649"/>
      <c r="CX218" s="1649"/>
      <c r="CY218" s="1648"/>
      <c r="CZ218" s="1649"/>
      <c r="DA218" s="1649"/>
      <c r="DB218" s="1649"/>
      <c r="DC218" s="1649"/>
      <c r="DD218" s="1649"/>
      <c r="DE218" s="1649"/>
      <c r="DF218" s="1649"/>
      <c r="DG218" s="1649"/>
      <c r="DH218" s="1649"/>
      <c r="DI218" s="1649"/>
      <c r="DJ218" s="1649"/>
      <c r="DK218" s="1649"/>
      <c r="DL218" s="1649"/>
    </row>
    <row r="219" spans="1:116">
      <c r="A219" s="1628" t="s">
        <v>662</v>
      </c>
      <c r="B219" s="1642"/>
      <c r="C219" s="1642"/>
      <c r="D219" s="1642"/>
      <c r="E219" s="1641">
        <v>713</v>
      </c>
      <c r="F219" s="1642">
        <v>718</v>
      </c>
      <c r="G219" s="1642">
        <v>710</v>
      </c>
      <c r="H219" s="1642">
        <f>AU219</f>
        <v>650</v>
      </c>
      <c r="I219" s="1642">
        <f>AY219</f>
        <v>591</v>
      </c>
      <c r="J219" s="1642">
        <f>BC219</f>
        <v>522</v>
      </c>
      <c r="K219" s="1681">
        <f>BG219</f>
        <v>455</v>
      </c>
      <c r="L219" s="1642"/>
      <c r="M219" s="1642"/>
      <c r="N219" s="1642"/>
      <c r="O219" s="1642"/>
      <c r="P219" s="1642"/>
      <c r="Q219" s="1642"/>
      <c r="R219" s="1642"/>
      <c r="S219" s="1642"/>
      <c r="T219" s="1642"/>
      <c r="U219" s="1642"/>
      <c r="V219" s="1642"/>
      <c r="W219" s="1642"/>
      <c r="X219" s="1642"/>
      <c r="Y219" s="1642"/>
      <c r="Z219" s="1642"/>
      <c r="AA219" s="1642"/>
      <c r="AB219" s="1642"/>
      <c r="AC219" s="1642"/>
      <c r="AD219" s="1642"/>
      <c r="AE219" s="1642"/>
      <c r="AF219" s="1641">
        <v>710</v>
      </c>
      <c r="AG219" s="1642">
        <v>715</v>
      </c>
      <c r="AH219" s="1642">
        <v>717</v>
      </c>
      <c r="AI219" s="1642">
        <v>713</v>
      </c>
      <c r="AJ219" s="1641">
        <v>712</v>
      </c>
      <c r="AK219" s="1642">
        <v>719</v>
      </c>
      <c r="AL219" s="1642">
        <v>719</v>
      </c>
      <c r="AM219" s="1642">
        <v>718</v>
      </c>
      <c r="AN219" s="1641">
        <v>701.05799999999999</v>
      </c>
      <c r="AO219" s="1642">
        <v>704.25200000000007</v>
      </c>
      <c r="AP219" s="1642">
        <v>704.56599999999992</v>
      </c>
      <c r="AQ219" s="1642">
        <v>697.40099999999995</v>
      </c>
      <c r="AR219" s="1641">
        <v>679</v>
      </c>
      <c r="AS219" s="1642">
        <v>669</v>
      </c>
      <c r="AT219" s="1642">
        <v>660</v>
      </c>
      <c r="AU219" s="1642">
        <v>650</v>
      </c>
      <c r="AV219" s="1641">
        <v>633</v>
      </c>
      <c r="AW219" s="1642">
        <v>625</v>
      </c>
      <c r="AX219" s="1642">
        <v>607</v>
      </c>
      <c r="AY219" s="1642">
        <v>591</v>
      </c>
      <c r="AZ219" s="1641">
        <v>576</v>
      </c>
      <c r="BA219" s="1642">
        <v>557</v>
      </c>
      <c r="BB219" s="1642">
        <v>535</v>
      </c>
      <c r="BC219" s="1642">
        <v>522</v>
      </c>
      <c r="BD219" s="1641">
        <v>491</v>
      </c>
      <c r="BE219" s="1642">
        <v>480</v>
      </c>
      <c r="BF219" s="1642">
        <v>466</v>
      </c>
      <c r="BG219" s="1642">
        <v>455</v>
      </c>
      <c r="BH219" s="1641">
        <v>443</v>
      </c>
      <c r="BI219" s="1642">
        <v>437</v>
      </c>
      <c r="BJ219" s="1642">
        <v>430</v>
      </c>
      <c r="BK219" s="1642">
        <v>421</v>
      </c>
      <c r="BL219" s="1641">
        <v>415</v>
      </c>
      <c r="BM219" s="1642">
        <v>408</v>
      </c>
      <c r="BN219" s="1634">
        <v>400</v>
      </c>
      <c r="BO219" s="1634">
        <v>392</v>
      </c>
      <c r="BP219" s="1633">
        <v>375</v>
      </c>
      <c r="BQ219" s="1634">
        <v>356</v>
      </c>
      <c r="BR219" s="1634">
        <v>345</v>
      </c>
      <c r="BS219" s="1634">
        <v>335</v>
      </c>
      <c r="BT219" s="1633">
        <v>327</v>
      </c>
      <c r="BU219" s="1634">
        <v>315</v>
      </c>
      <c r="BV219" s="1634">
        <v>302</v>
      </c>
      <c r="BW219" s="1634">
        <v>290</v>
      </c>
      <c r="BX219" s="1633">
        <v>283</v>
      </c>
      <c r="BY219" s="1634">
        <v>273</v>
      </c>
      <c r="BZ219" s="1634">
        <v>254</v>
      </c>
      <c r="CA219" s="1634">
        <v>239</v>
      </c>
      <c r="CB219" s="1761">
        <v>207</v>
      </c>
      <c r="CC219" s="1762">
        <v>196</v>
      </c>
      <c r="CD219" s="1762">
        <v>179</v>
      </c>
      <c r="CE219" s="1762">
        <v>165</v>
      </c>
      <c r="CF219" s="1761">
        <v>153</v>
      </c>
      <c r="CG219" s="1762">
        <v>138</v>
      </c>
      <c r="CH219" s="1762">
        <v>126</v>
      </c>
      <c r="CI219" s="1762">
        <v>111</v>
      </c>
      <c r="CJ219" s="1633"/>
      <c r="CK219" s="1634"/>
      <c r="CL219" s="1634"/>
      <c r="CM219" s="1648"/>
      <c r="CN219" s="1649"/>
      <c r="CO219" s="1649"/>
      <c r="CP219" s="1649"/>
      <c r="CQ219" s="1648"/>
      <c r="CR219" s="1649"/>
      <c r="CS219" s="1649"/>
      <c r="CT219" s="1649"/>
      <c r="CU219" s="1648"/>
      <c r="CV219" s="1649"/>
      <c r="CW219" s="1649"/>
      <c r="CX219" s="1649"/>
      <c r="CY219" s="1648"/>
      <c r="CZ219" s="1649"/>
      <c r="DA219" s="1649"/>
      <c r="DB219" s="1649"/>
      <c r="DC219" s="1649"/>
      <c r="DD219" s="1649"/>
      <c r="DE219" s="1649"/>
      <c r="DF219" s="1649"/>
      <c r="DG219" s="1649"/>
      <c r="DH219" s="1649"/>
      <c r="DI219" s="1649"/>
      <c r="DJ219" s="1649"/>
      <c r="DK219" s="1649"/>
      <c r="DL219" s="1649"/>
    </row>
    <row r="220" spans="1:116" ht="12.75" customHeight="1">
      <c r="A220" s="1628" t="s">
        <v>1592</v>
      </c>
      <c r="B220" s="1642"/>
      <c r="C220" s="1642"/>
      <c r="D220" s="1642"/>
      <c r="E220" s="1641"/>
      <c r="F220" s="1642"/>
      <c r="G220" s="1642"/>
      <c r="H220" s="1642"/>
      <c r="I220" s="1642"/>
      <c r="J220" s="1642"/>
      <c r="K220" s="1681"/>
      <c r="L220" s="1642"/>
      <c r="M220" s="1642"/>
      <c r="N220" s="1642"/>
      <c r="O220" s="1642"/>
      <c r="P220" s="1642"/>
      <c r="Q220" s="1642"/>
      <c r="R220" s="1642"/>
      <c r="S220" s="1642"/>
      <c r="T220" s="1642"/>
      <c r="U220" s="1642"/>
      <c r="V220" s="1642"/>
      <c r="W220" s="1642"/>
      <c r="X220" s="1642"/>
      <c r="Y220" s="1642"/>
      <c r="Z220" s="1642"/>
      <c r="AA220" s="1642"/>
      <c r="AB220" s="1642"/>
      <c r="AC220" s="1642"/>
      <c r="AD220" s="1642"/>
      <c r="AE220" s="1642"/>
      <c r="AF220" s="1641"/>
      <c r="AG220" s="1642"/>
      <c r="AH220" s="1642"/>
      <c r="AI220" s="1642"/>
      <c r="AJ220" s="1641"/>
      <c r="AK220" s="1642"/>
      <c r="AL220" s="1642"/>
      <c r="AM220" s="1642"/>
      <c r="AN220" s="1641"/>
      <c r="AO220" s="1642"/>
      <c r="AP220" s="1642"/>
      <c r="AQ220" s="1642"/>
      <c r="AR220" s="1641"/>
      <c r="AS220" s="1642"/>
      <c r="AT220" s="1642"/>
      <c r="AU220" s="1642"/>
      <c r="AV220" s="1641"/>
      <c r="AW220" s="1642"/>
      <c r="AX220" s="1642"/>
      <c r="AY220" s="1642"/>
      <c r="AZ220" s="1641"/>
      <c r="BA220" s="1642"/>
      <c r="BB220" s="1642"/>
      <c r="BC220" s="1642"/>
      <c r="BD220" s="1641"/>
      <c r="BE220" s="1642"/>
      <c r="BF220" s="1642"/>
      <c r="BG220" s="1642"/>
      <c r="BH220" s="1641"/>
      <c r="BI220" s="1642"/>
      <c r="BJ220" s="1642"/>
      <c r="BK220" s="1642"/>
      <c r="BL220" s="1641"/>
      <c r="BM220" s="1642"/>
      <c r="BN220" s="1634"/>
      <c r="BO220" s="1634"/>
      <c r="BP220" s="1633"/>
      <c r="BQ220" s="1634"/>
      <c r="BR220" s="1634"/>
      <c r="BS220" s="1634"/>
      <c r="BT220" s="1633"/>
      <c r="BU220" s="1634"/>
      <c r="BV220" s="1634"/>
      <c r="BW220" s="1634"/>
      <c r="BX220" s="1633"/>
      <c r="BY220" s="1634"/>
      <c r="BZ220" s="1634"/>
      <c r="CA220" s="1634"/>
      <c r="CB220" s="1641">
        <f t="shared" ref="CB220:CU220" si="264">+CB221-CB217</f>
        <v>14293</v>
      </c>
      <c r="CC220" s="1642">
        <f t="shared" si="264"/>
        <v>13969</v>
      </c>
      <c r="CD220" s="1642">
        <f t="shared" si="264"/>
        <v>13609</v>
      </c>
      <c r="CE220" s="1642">
        <f t="shared" si="264"/>
        <v>13358</v>
      </c>
      <c r="CF220" s="1641">
        <f t="shared" si="264"/>
        <v>13132</v>
      </c>
      <c r="CG220" s="1642">
        <f t="shared" si="264"/>
        <v>12886</v>
      </c>
      <c r="CH220" s="1642">
        <f t="shared" si="264"/>
        <v>12625</v>
      </c>
      <c r="CI220" s="1642">
        <f t="shared" si="264"/>
        <v>12385</v>
      </c>
      <c r="CJ220" s="1641">
        <f t="shared" si="264"/>
        <v>12127</v>
      </c>
      <c r="CK220" s="1642">
        <f t="shared" si="264"/>
        <v>11910</v>
      </c>
      <c r="CL220" s="1642">
        <f t="shared" si="264"/>
        <v>11710</v>
      </c>
      <c r="CM220" s="1681">
        <f t="shared" si="264"/>
        <v>11511</v>
      </c>
      <c r="CN220" s="1672">
        <f t="shared" si="264"/>
        <v>11279</v>
      </c>
      <c r="CO220" s="1672">
        <f t="shared" si="264"/>
        <v>11056</v>
      </c>
      <c r="CP220" s="1672">
        <f t="shared" si="264"/>
        <v>10842</v>
      </c>
      <c r="CQ220" s="1681">
        <f t="shared" si="264"/>
        <v>10654</v>
      </c>
      <c r="CR220" s="1672">
        <f t="shared" si="264"/>
        <v>10466</v>
      </c>
      <c r="CS220" s="1672">
        <f t="shared" si="264"/>
        <v>10245</v>
      </c>
      <c r="CT220" s="1672">
        <f t="shared" si="264"/>
        <v>10036</v>
      </c>
      <c r="CU220" s="1681">
        <f t="shared" si="264"/>
        <v>9856</v>
      </c>
      <c r="CV220" s="1672">
        <f t="shared" ref="CV220:DA220" si="265">+CV221-CV217</f>
        <v>9685</v>
      </c>
      <c r="CW220" s="1672">
        <f t="shared" si="265"/>
        <v>9488</v>
      </c>
      <c r="CX220" s="1672">
        <f t="shared" si="265"/>
        <v>9346</v>
      </c>
      <c r="CY220" s="1681">
        <f t="shared" si="265"/>
        <v>9180</v>
      </c>
      <c r="CZ220" s="1672">
        <f t="shared" si="265"/>
        <v>9018</v>
      </c>
      <c r="DA220" s="1672">
        <f t="shared" si="265"/>
        <v>8840</v>
      </c>
      <c r="DB220" s="1672">
        <f t="shared" ref="DB220:DG220" si="266">+DB221-DB217</f>
        <v>8689</v>
      </c>
      <c r="DC220" s="1672">
        <f t="shared" si="266"/>
        <v>8502</v>
      </c>
      <c r="DD220" s="1672">
        <f t="shared" si="266"/>
        <v>8335</v>
      </c>
      <c r="DE220" s="1672">
        <f t="shared" si="266"/>
        <v>6842</v>
      </c>
      <c r="DF220" s="1672">
        <f t="shared" si="266"/>
        <v>6712</v>
      </c>
      <c r="DG220" s="1672">
        <f t="shared" si="266"/>
        <v>6584</v>
      </c>
      <c r="DH220" s="1672">
        <f t="shared" ref="DH220:DI220" si="267">+DH221-DH217</f>
        <v>6434</v>
      </c>
      <c r="DI220" s="1672">
        <f t="shared" si="267"/>
        <v>6273</v>
      </c>
      <c r="DJ220" s="1672">
        <f t="shared" ref="DJ220:DK220" si="268">+DJ221-DJ217</f>
        <v>6150</v>
      </c>
      <c r="DK220" s="1672">
        <f t="shared" si="268"/>
        <v>6017</v>
      </c>
      <c r="DL220" s="3326"/>
    </row>
    <row r="221" spans="1:116" ht="12.75" customHeight="1">
      <c r="A221" s="1539" t="s">
        <v>1593</v>
      </c>
      <c r="B221" s="1642"/>
      <c r="C221" s="1642"/>
      <c r="D221" s="1642"/>
      <c r="E221" s="1641">
        <f t="shared" ref="E221:J221" si="269">SUM(E213:E219)</f>
        <v>59050</v>
      </c>
      <c r="F221" s="1642">
        <f t="shared" si="269"/>
        <v>61562</v>
      </c>
      <c r="G221" s="1642">
        <f t="shared" si="269"/>
        <v>63739</v>
      </c>
      <c r="H221" s="1642">
        <f t="shared" si="269"/>
        <v>61666</v>
      </c>
      <c r="I221" s="1642">
        <f t="shared" si="269"/>
        <v>60202</v>
      </c>
      <c r="J221" s="1642">
        <f t="shared" si="269"/>
        <v>57974</v>
      </c>
      <c r="K221" s="1681">
        <f t="shared" ref="K221:K230" si="270">BG221</f>
        <v>54826</v>
      </c>
      <c r="L221" s="1642"/>
      <c r="M221" s="1642"/>
      <c r="N221" s="1642"/>
      <c r="O221" s="1642"/>
      <c r="P221" s="1642"/>
      <c r="Q221" s="1642"/>
      <c r="R221" s="1642"/>
      <c r="S221" s="1642"/>
      <c r="T221" s="1642"/>
      <c r="U221" s="1642"/>
      <c r="V221" s="1642"/>
      <c r="W221" s="1642"/>
      <c r="X221" s="1642"/>
      <c r="Y221" s="1642"/>
      <c r="Z221" s="1642"/>
      <c r="AA221" s="1642"/>
      <c r="AB221" s="1642"/>
      <c r="AC221" s="1642"/>
      <c r="AD221" s="1642"/>
      <c r="AE221" s="1642"/>
      <c r="AF221" s="1641">
        <f t="shared" ref="AF221:AQ221" si="271">SUM(AF213:AF219)</f>
        <v>57064</v>
      </c>
      <c r="AG221" s="1642">
        <f t="shared" si="271"/>
        <v>57697</v>
      </c>
      <c r="AH221" s="1642">
        <f t="shared" si="271"/>
        <v>58325</v>
      </c>
      <c r="AI221" s="1642">
        <f t="shared" si="271"/>
        <v>59050</v>
      </c>
      <c r="AJ221" s="1641">
        <f t="shared" si="271"/>
        <v>59755</v>
      </c>
      <c r="AK221" s="1642">
        <f t="shared" si="271"/>
        <v>60319</v>
      </c>
      <c r="AL221" s="1642">
        <f t="shared" si="271"/>
        <v>61059</v>
      </c>
      <c r="AM221" s="1642">
        <f t="shared" si="271"/>
        <v>61562</v>
      </c>
      <c r="AN221" s="1641">
        <f t="shared" si="271"/>
        <v>60668.748999999996</v>
      </c>
      <c r="AO221" s="1642">
        <f t="shared" si="271"/>
        <v>61097.961000000003</v>
      </c>
      <c r="AP221" s="1642">
        <f t="shared" si="271"/>
        <v>61602.048000000003</v>
      </c>
      <c r="AQ221" s="1642">
        <f t="shared" si="271"/>
        <v>62004.22</v>
      </c>
      <c r="AR221" s="1641">
        <v>61249</v>
      </c>
      <c r="AS221" s="1642">
        <v>61462</v>
      </c>
      <c r="AT221" s="1642">
        <v>61616</v>
      </c>
      <c r="AU221" s="1642">
        <v>61666</v>
      </c>
      <c r="AV221" s="1641">
        <f t="shared" ref="AV221:BO221" si="272">AV217+AV218+AV219</f>
        <v>61650</v>
      </c>
      <c r="AW221" s="1642">
        <f t="shared" si="272"/>
        <v>61223</v>
      </c>
      <c r="AX221" s="1642">
        <f t="shared" si="272"/>
        <v>60770</v>
      </c>
      <c r="AY221" s="1642">
        <f t="shared" si="272"/>
        <v>60202</v>
      </c>
      <c r="AZ221" s="1641">
        <f t="shared" si="272"/>
        <v>59761</v>
      </c>
      <c r="BA221" s="1642">
        <f t="shared" si="272"/>
        <v>58952</v>
      </c>
      <c r="BB221" s="1642">
        <f t="shared" si="272"/>
        <v>58456</v>
      </c>
      <c r="BC221" s="1642">
        <f t="shared" si="272"/>
        <v>57974</v>
      </c>
      <c r="BD221" s="1641">
        <f t="shared" si="272"/>
        <v>56747</v>
      </c>
      <c r="BE221" s="1642">
        <f t="shared" si="272"/>
        <v>56037</v>
      </c>
      <c r="BF221" s="1642">
        <f t="shared" si="272"/>
        <v>55437</v>
      </c>
      <c r="BG221" s="1642">
        <f t="shared" si="272"/>
        <v>54826</v>
      </c>
      <c r="BH221" s="1641">
        <f t="shared" si="272"/>
        <v>54324</v>
      </c>
      <c r="BI221" s="1642">
        <f t="shared" si="272"/>
        <v>53651</v>
      </c>
      <c r="BJ221" s="1642">
        <f t="shared" si="272"/>
        <v>52983</v>
      </c>
      <c r="BK221" s="1642">
        <f t="shared" si="272"/>
        <v>52289</v>
      </c>
      <c r="BL221" s="1641">
        <f t="shared" si="272"/>
        <v>51531</v>
      </c>
      <c r="BM221" s="1642">
        <f t="shared" si="272"/>
        <v>50691</v>
      </c>
      <c r="BN221" s="1642">
        <f t="shared" si="272"/>
        <v>49689</v>
      </c>
      <c r="BO221" s="1642">
        <f t="shared" si="272"/>
        <v>48803</v>
      </c>
      <c r="BP221" s="1641">
        <f>SUM(BP213:BP219)</f>
        <v>46198</v>
      </c>
      <c r="BQ221" s="1642">
        <f>SUM(BQ213:BQ219)</f>
        <v>45200</v>
      </c>
      <c r="BR221" s="1642">
        <f>SUM(BR213:BR219)</f>
        <v>44257</v>
      </c>
      <c r="BS221" s="1642">
        <f>SUM(BS213:BS219)</f>
        <v>43393</v>
      </c>
      <c r="BT221" s="1641">
        <f t="shared" ref="BT221:CA221" si="273">+BT217+BT218+BT219</f>
        <v>42494</v>
      </c>
      <c r="BU221" s="1642">
        <f t="shared" si="273"/>
        <v>41652</v>
      </c>
      <c r="BV221" s="1642">
        <f t="shared" si="273"/>
        <v>40719</v>
      </c>
      <c r="BW221" s="1642">
        <f t="shared" si="273"/>
        <v>39883</v>
      </c>
      <c r="BX221" s="1641">
        <f t="shared" si="273"/>
        <v>39004</v>
      </c>
      <c r="BY221" s="1642">
        <f t="shared" si="273"/>
        <v>38084</v>
      </c>
      <c r="BZ221" s="1642">
        <f t="shared" si="273"/>
        <v>37072</v>
      </c>
      <c r="CA221" s="1642">
        <f t="shared" si="273"/>
        <v>36161</v>
      </c>
      <c r="CB221" s="1633">
        <v>30545</v>
      </c>
      <c r="CC221" s="1634">
        <v>29797</v>
      </c>
      <c r="CD221" s="1634">
        <v>29003</v>
      </c>
      <c r="CE221" s="1634">
        <v>28323</v>
      </c>
      <c r="CF221" s="1633">
        <v>27719</v>
      </c>
      <c r="CG221" s="1634">
        <v>27138</v>
      </c>
      <c r="CH221" s="1634">
        <v>26544</v>
      </c>
      <c r="CI221" s="1634">
        <v>26001</v>
      </c>
      <c r="CJ221" s="1633">
        <v>25454</v>
      </c>
      <c r="CK221" s="1634">
        <v>24997</v>
      </c>
      <c r="CL221" s="1634">
        <v>24519</v>
      </c>
      <c r="CM221" s="1648">
        <v>24137</v>
      </c>
      <c r="CN221" s="1649">
        <v>23700</v>
      </c>
      <c r="CO221" s="1649">
        <v>23278</v>
      </c>
      <c r="CP221" s="1649">
        <v>22847</v>
      </c>
      <c r="CQ221" s="1648">
        <v>22503</v>
      </c>
      <c r="CR221" s="1649">
        <v>22191</v>
      </c>
      <c r="CS221" s="1649">
        <v>21828</v>
      </c>
      <c r="CT221" s="1649">
        <v>21457</v>
      </c>
      <c r="CU221" s="1648">
        <v>21085</v>
      </c>
      <c r="CV221" s="1649">
        <v>20733</v>
      </c>
      <c r="CW221" s="1649">
        <v>20391</v>
      </c>
      <c r="CX221" s="1649">
        <v>20089</v>
      </c>
      <c r="CY221" s="1648">
        <v>19795</v>
      </c>
      <c r="CZ221" s="1649">
        <v>19475</v>
      </c>
      <c r="DA221" s="1649">
        <v>19079</v>
      </c>
      <c r="DB221" s="1649">
        <v>18740</v>
      </c>
      <c r="DC221" s="1649">
        <v>18387</v>
      </c>
      <c r="DD221" s="1649">
        <v>18037</v>
      </c>
      <c r="DE221" s="1649">
        <v>14476</v>
      </c>
      <c r="DF221" s="1649">
        <v>14194</v>
      </c>
      <c r="DG221" s="1649">
        <v>13939</v>
      </c>
      <c r="DH221" s="1649">
        <v>13634</v>
      </c>
      <c r="DI221" s="1649">
        <v>13352</v>
      </c>
      <c r="DJ221" s="1649">
        <v>13100</v>
      </c>
      <c r="DK221" s="1649">
        <v>12821</v>
      </c>
      <c r="DL221" s="1649">
        <v>12555</v>
      </c>
    </row>
    <row r="222" spans="1:116" ht="12.75" hidden="1" customHeight="1">
      <c r="A222" s="1628" t="s">
        <v>454</v>
      </c>
      <c r="B222" s="1642"/>
      <c r="C222" s="1642"/>
      <c r="D222" s="1642"/>
      <c r="E222" s="1641">
        <v>15614</v>
      </c>
      <c r="F222" s="1642">
        <v>21098</v>
      </c>
      <c r="G222" s="1642">
        <v>28926</v>
      </c>
      <c r="H222" s="1642">
        <f>AU222</f>
        <v>52694</v>
      </c>
      <c r="I222" s="1642">
        <f>AY222</f>
        <v>69769</v>
      </c>
      <c r="J222" s="1642">
        <f>BC222</f>
        <v>77823</v>
      </c>
      <c r="K222" s="1681">
        <f t="shared" si="270"/>
        <v>84806</v>
      </c>
      <c r="L222" s="1642"/>
      <c r="M222" s="1642"/>
      <c r="N222" s="1642"/>
      <c r="O222" s="1642"/>
      <c r="P222" s="1642"/>
      <c r="Q222" s="1642"/>
      <c r="R222" s="1642"/>
      <c r="S222" s="1642"/>
      <c r="T222" s="1642"/>
      <c r="U222" s="1642"/>
      <c r="V222" s="1642"/>
      <c r="W222" s="1642"/>
      <c r="X222" s="1642"/>
      <c r="Y222" s="1642"/>
      <c r="Z222" s="1642"/>
      <c r="AA222" s="1642"/>
      <c r="AB222" s="1642"/>
      <c r="AC222" s="1642"/>
      <c r="AD222" s="1642"/>
      <c r="AE222" s="1642"/>
      <c r="AF222" s="1641">
        <v>12527</v>
      </c>
      <c r="AG222" s="1642">
        <v>13374</v>
      </c>
      <c r="AH222" s="1642">
        <v>14386</v>
      </c>
      <c r="AI222" s="1642">
        <v>15614</v>
      </c>
      <c r="AJ222" s="1641">
        <v>16672</v>
      </c>
      <c r="AK222" s="1642">
        <v>18013</v>
      </c>
      <c r="AL222" s="1642">
        <v>19331</v>
      </c>
      <c r="AM222" s="1642">
        <v>21098</v>
      </c>
      <c r="AN222" s="1641">
        <v>24682.954000000002</v>
      </c>
      <c r="AO222" s="1642">
        <v>26984.959999999999</v>
      </c>
      <c r="AP222" s="1642">
        <v>29816.398999999998</v>
      </c>
      <c r="AQ222" s="1642">
        <v>32680.09</v>
      </c>
      <c r="AR222" s="1641">
        <v>34649</v>
      </c>
      <c r="AS222" s="1642">
        <v>40043</v>
      </c>
      <c r="AT222" s="1642">
        <v>43190</v>
      </c>
      <c r="AU222" s="1642">
        <v>52694</v>
      </c>
      <c r="AV222" s="1641">
        <v>56768</v>
      </c>
      <c r="AW222" s="1642">
        <v>61189</v>
      </c>
      <c r="AX222" s="1642">
        <v>65778</v>
      </c>
      <c r="AY222" s="1642">
        <v>69769</v>
      </c>
      <c r="AZ222" s="1641">
        <v>71641</v>
      </c>
      <c r="BA222" s="1642">
        <v>73840</v>
      </c>
      <c r="BB222" s="1642">
        <v>76419</v>
      </c>
      <c r="BC222" s="1642">
        <v>77823</v>
      </c>
      <c r="BD222" s="1641">
        <v>79088</v>
      </c>
      <c r="BE222" s="1642">
        <v>80855</v>
      </c>
      <c r="BF222" s="1642">
        <v>83233</v>
      </c>
      <c r="BG222" s="1642">
        <v>84806</v>
      </c>
      <c r="BH222" s="1641">
        <v>85997</v>
      </c>
      <c r="BI222" s="1642">
        <v>87690</v>
      </c>
      <c r="BJ222" s="1642">
        <v>89532</v>
      </c>
      <c r="BK222" s="1642">
        <v>91688</v>
      </c>
      <c r="BL222" s="1641" t="s">
        <v>1429</v>
      </c>
      <c r="BM222" s="1642" t="s">
        <v>1429</v>
      </c>
      <c r="BN222" s="1642" t="s">
        <v>1429</v>
      </c>
      <c r="BO222" s="1642"/>
      <c r="BP222" s="1641"/>
      <c r="BQ222" s="1642"/>
      <c r="BR222" s="1642"/>
      <c r="BS222" s="1642"/>
      <c r="BT222" s="1641"/>
      <c r="BU222" s="1642"/>
      <c r="BV222" s="1642"/>
      <c r="BW222" s="1642"/>
      <c r="BX222" s="1641"/>
      <c r="BY222" s="1642"/>
      <c r="BZ222" s="1642"/>
      <c r="CA222" s="1642"/>
      <c r="CB222" s="1641"/>
      <c r="CC222" s="1642"/>
      <c r="CD222" s="1642"/>
      <c r="CE222" s="1642"/>
      <c r="CF222" s="1641"/>
      <c r="CG222" s="1642"/>
      <c r="CH222" s="1642"/>
      <c r="CI222" s="1642"/>
      <c r="CJ222" s="1641"/>
      <c r="CK222" s="1642"/>
      <c r="CL222" s="1642"/>
      <c r="CM222" s="1681"/>
      <c r="CN222" s="1672"/>
      <c r="CO222" s="1672"/>
      <c r="CP222" s="1672"/>
      <c r="CQ222" s="1681"/>
      <c r="CR222" s="1672"/>
      <c r="CS222" s="1672"/>
      <c r="CT222" s="1672"/>
      <c r="CU222" s="1681"/>
      <c r="CV222" s="1672"/>
      <c r="CW222" s="1672"/>
      <c r="CX222" s="1672"/>
      <c r="CY222" s="1681"/>
      <c r="CZ222" s="1672"/>
      <c r="DA222" s="1672"/>
      <c r="DB222" s="1672"/>
      <c r="DC222" s="1672"/>
      <c r="DD222" s="1672"/>
      <c r="DE222" s="1672"/>
      <c r="DF222" s="1672"/>
      <c r="DG222" s="1672"/>
      <c r="DH222" s="1672"/>
      <c r="DI222" s="1672"/>
      <c r="DJ222" s="1672"/>
      <c r="DK222" s="1672"/>
      <c r="DL222" s="1672"/>
    </row>
    <row r="223" spans="1:116" ht="12.75" hidden="1" customHeight="1">
      <c r="A223" s="1539" t="s">
        <v>663</v>
      </c>
      <c r="B223" s="1642"/>
      <c r="C223" s="1642"/>
      <c r="D223" s="1642"/>
      <c r="E223" s="1641">
        <f t="shared" ref="E223:J223" si="274">E221+E222</f>
        <v>74664</v>
      </c>
      <c r="F223" s="1642">
        <f t="shared" si="274"/>
        <v>82660</v>
      </c>
      <c r="G223" s="1642">
        <f t="shared" si="274"/>
        <v>92665</v>
      </c>
      <c r="H223" s="1642">
        <f t="shared" si="274"/>
        <v>114360</v>
      </c>
      <c r="I223" s="1642">
        <f t="shared" si="274"/>
        <v>129971</v>
      </c>
      <c r="J223" s="1642">
        <f t="shared" si="274"/>
        <v>135797</v>
      </c>
      <c r="K223" s="1681">
        <f t="shared" si="270"/>
        <v>139632</v>
      </c>
      <c r="L223" s="1642"/>
      <c r="M223" s="1642"/>
      <c r="N223" s="1642"/>
      <c r="O223" s="1642"/>
      <c r="P223" s="1642"/>
      <c r="Q223" s="1642"/>
      <c r="R223" s="1642"/>
      <c r="S223" s="1642"/>
      <c r="T223" s="1642"/>
      <c r="U223" s="1642"/>
      <c r="V223" s="1642"/>
      <c r="W223" s="1642"/>
      <c r="X223" s="1642"/>
      <c r="Y223" s="1642"/>
      <c r="Z223" s="1642"/>
      <c r="AA223" s="1642"/>
      <c r="AB223" s="1642"/>
      <c r="AC223" s="1642"/>
      <c r="AD223" s="1642"/>
      <c r="AE223" s="1642"/>
      <c r="AF223" s="1641">
        <f t="shared" ref="AF223:AQ223" si="275">AF221+AF222</f>
        <v>69591</v>
      </c>
      <c r="AG223" s="1642">
        <f t="shared" si="275"/>
        <v>71071</v>
      </c>
      <c r="AH223" s="1642">
        <f t="shared" si="275"/>
        <v>72711</v>
      </c>
      <c r="AI223" s="1642">
        <f t="shared" si="275"/>
        <v>74664</v>
      </c>
      <c r="AJ223" s="1641">
        <f t="shared" si="275"/>
        <v>76427</v>
      </c>
      <c r="AK223" s="1642">
        <f t="shared" si="275"/>
        <v>78332</v>
      </c>
      <c r="AL223" s="1642">
        <f t="shared" si="275"/>
        <v>80390</v>
      </c>
      <c r="AM223" s="1642">
        <f t="shared" si="275"/>
        <v>82660</v>
      </c>
      <c r="AN223" s="1641">
        <f t="shared" si="275"/>
        <v>85351.702999999994</v>
      </c>
      <c r="AO223" s="1642">
        <f t="shared" si="275"/>
        <v>88082.921000000002</v>
      </c>
      <c r="AP223" s="1642">
        <f t="shared" si="275"/>
        <v>91418.447</v>
      </c>
      <c r="AQ223" s="1642">
        <f t="shared" si="275"/>
        <v>94684.31</v>
      </c>
      <c r="AR223" s="1641">
        <v>95898</v>
      </c>
      <c r="AS223" s="1642">
        <v>101505</v>
      </c>
      <c r="AT223" s="1642">
        <v>104806</v>
      </c>
      <c r="AU223" s="1642">
        <v>114360</v>
      </c>
      <c r="AV223" s="1641">
        <f t="shared" ref="AV223:BK223" si="276">AV221+AV222</f>
        <v>118418</v>
      </c>
      <c r="AW223" s="1642">
        <f t="shared" si="276"/>
        <v>122412</v>
      </c>
      <c r="AX223" s="1642">
        <f t="shared" si="276"/>
        <v>126548</v>
      </c>
      <c r="AY223" s="1642">
        <f t="shared" si="276"/>
        <v>129971</v>
      </c>
      <c r="AZ223" s="1641">
        <f t="shared" si="276"/>
        <v>131402</v>
      </c>
      <c r="BA223" s="1642">
        <f t="shared" si="276"/>
        <v>132792</v>
      </c>
      <c r="BB223" s="1642">
        <f t="shared" si="276"/>
        <v>134875</v>
      </c>
      <c r="BC223" s="1642">
        <f t="shared" si="276"/>
        <v>135797</v>
      </c>
      <c r="BD223" s="1641">
        <f t="shared" si="276"/>
        <v>135835</v>
      </c>
      <c r="BE223" s="1642">
        <f t="shared" si="276"/>
        <v>136892</v>
      </c>
      <c r="BF223" s="1642">
        <f t="shared" si="276"/>
        <v>138670</v>
      </c>
      <c r="BG223" s="1642">
        <f t="shared" si="276"/>
        <v>139632</v>
      </c>
      <c r="BH223" s="1641">
        <f t="shared" si="276"/>
        <v>140321</v>
      </c>
      <c r="BI223" s="1642">
        <f t="shared" si="276"/>
        <v>141341</v>
      </c>
      <c r="BJ223" s="1642">
        <f t="shared" si="276"/>
        <v>142515</v>
      </c>
      <c r="BK223" s="1642">
        <f t="shared" si="276"/>
        <v>143977</v>
      </c>
      <c r="BL223" s="1641" t="s">
        <v>1429</v>
      </c>
      <c r="BM223" s="1642" t="s">
        <v>1429</v>
      </c>
      <c r="BN223" s="1642" t="s">
        <v>1429</v>
      </c>
      <c r="BO223" s="1642"/>
      <c r="BP223" s="1641"/>
      <c r="BQ223" s="1642"/>
      <c r="BR223" s="1642"/>
      <c r="BS223" s="1642"/>
      <c r="BT223" s="1641"/>
      <c r="BU223" s="1642"/>
      <c r="BV223" s="1642"/>
      <c r="BW223" s="1642"/>
      <c r="BX223" s="1641"/>
      <c r="BY223" s="1642"/>
      <c r="BZ223" s="1642"/>
      <c r="CA223" s="1642"/>
      <c r="CB223" s="1641"/>
      <c r="CC223" s="1642"/>
      <c r="CD223" s="1642"/>
      <c r="CE223" s="1642"/>
      <c r="CF223" s="1641"/>
      <c r="CG223" s="1642"/>
      <c r="CH223" s="1642"/>
      <c r="CI223" s="1642"/>
      <c r="CJ223" s="1641"/>
      <c r="CK223" s="1642"/>
      <c r="CL223" s="1642"/>
      <c r="CM223" s="1681"/>
      <c r="CN223" s="1672"/>
      <c r="CO223" s="1672"/>
      <c r="CP223" s="1672"/>
      <c r="CQ223" s="1681"/>
      <c r="CR223" s="1672"/>
      <c r="CS223" s="1672"/>
      <c r="CT223" s="1672"/>
      <c r="CU223" s="1681"/>
      <c r="CV223" s="1672"/>
      <c r="CW223" s="1672"/>
      <c r="CX223" s="1672"/>
      <c r="CY223" s="1681"/>
      <c r="CZ223" s="1672"/>
      <c r="DA223" s="1672"/>
      <c r="DB223" s="1672"/>
      <c r="DC223" s="1672"/>
      <c r="DD223" s="1672"/>
      <c r="DE223" s="1672"/>
      <c r="DF223" s="1672"/>
      <c r="DG223" s="1672"/>
      <c r="DH223" s="1672"/>
      <c r="DI223" s="1672"/>
      <c r="DJ223" s="1672"/>
      <c r="DK223" s="1672"/>
      <c r="DL223" s="1672"/>
    </row>
    <row r="224" spans="1:116" ht="12.75" hidden="1" customHeight="1">
      <c r="A224" s="1539"/>
      <c r="B224" s="1642"/>
      <c r="C224" s="1642"/>
      <c r="D224" s="1642"/>
      <c r="E224" s="1641"/>
      <c r="F224" s="1642"/>
      <c r="G224" s="1642"/>
      <c r="H224" s="1642"/>
      <c r="I224" s="1642"/>
      <c r="J224" s="1642"/>
      <c r="K224" s="1681">
        <f t="shared" si="270"/>
        <v>0</v>
      </c>
      <c r="L224" s="1642"/>
      <c r="M224" s="1642"/>
      <c r="N224" s="1642"/>
      <c r="O224" s="1642"/>
      <c r="P224" s="1642"/>
      <c r="Q224" s="1642"/>
      <c r="R224" s="1642"/>
      <c r="S224" s="1642"/>
      <c r="T224" s="1642"/>
      <c r="U224" s="1642"/>
      <c r="V224" s="1642"/>
      <c r="W224" s="1642"/>
      <c r="X224" s="1642"/>
      <c r="Y224" s="1642"/>
      <c r="Z224" s="1642"/>
      <c r="AA224" s="1642"/>
      <c r="AB224" s="1642"/>
      <c r="AC224" s="1642"/>
      <c r="AD224" s="1642"/>
      <c r="AE224" s="1642"/>
      <c r="AF224" s="1641"/>
      <c r="AG224" s="1642"/>
      <c r="AH224" s="1642"/>
      <c r="AI224" s="1642"/>
      <c r="AJ224" s="1641"/>
      <c r="AK224" s="1642"/>
      <c r="AL224" s="1642"/>
      <c r="AM224" s="1642"/>
      <c r="AN224" s="1641"/>
      <c r="AO224" s="1642"/>
      <c r="AP224" s="1642"/>
      <c r="AQ224" s="1642"/>
      <c r="AR224" s="1641"/>
      <c r="AS224" s="1642"/>
      <c r="AT224" s="1642"/>
      <c r="AU224" s="1642"/>
      <c r="AV224" s="1641"/>
      <c r="AW224" s="1642"/>
      <c r="AX224" s="1642"/>
      <c r="AY224" s="1642"/>
      <c r="AZ224" s="1641"/>
      <c r="BA224" s="1642"/>
      <c r="BB224" s="1642"/>
      <c r="BC224" s="1642"/>
      <c r="BD224" s="1641"/>
      <c r="BE224" s="1642"/>
      <c r="BF224" s="1642"/>
      <c r="BG224" s="1642"/>
      <c r="BH224" s="1641"/>
      <c r="BI224" s="1642"/>
      <c r="BJ224" s="1642"/>
      <c r="BK224" s="1642"/>
      <c r="BL224" s="1641"/>
      <c r="BM224" s="1642"/>
      <c r="BN224" s="1642"/>
      <c r="BO224" s="1642"/>
      <c r="BP224" s="1641"/>
      <c r="BQ224" s="1642"/>
      <c r="BR224" s="1642"/>
      <c r="BS224" s="1642"/>
      <c r="BT224" s="1641"/>
      <c r="BU224" s="1642"/>
      <c r="BV224" s="1642"/>
      <c r="BW224" s="1642"/>
      <c r="BX224" s="1641"/>
      <c r="BY224" s="1642"/>
      <c r="BZ224" s="1642"/>
      <c r="CA224" s="1642"/>
      <c r="CB224" s="1641"/>
      <c r="CC224" s="1642"/>
      <c r="CD224" s="1642"/>
      <c r="CE224" s="1642"/>
      <c r="CF224" s="1641"/>
      <c r="CG224" s="1642"/>
      <c r="CH224" s="1642"/>
      <c r="CI224" s="1642"/>
      <c r="CJ224" s="1641"/>
      <c r="CK224" s="1642"/>
      <c r="CL224" s="1642"/>
      <c r="CM224" s="1681"/>
      <c r="CN224" s="1672"/>
      <c r="CO224" s="1672"/>
      <c r="CP224" s="1672"/>
      <c r="CQ224" s="1681"/>
      <c r="CR224" s="1672"/>
      <c r="CS224" s="1672"/>
      <c r="CT224" s="1672"/>
      <c r="CU224" s="1681"/>
      <c r="CV224" s="1672"/>
      <c r="CW224" s="1672"/>
      <c r="CX224" s="1672"/>
      <c r="CY224" s="1681"/>
      <c r="CZ224" s="1672"/>
      <c r="DA224" s="1672"/>
      <c r="DB224" s="1672"/>
      <c r="DC224" s="1672"/>
      <c r="DD224" s="1672"/>
      <c r="DE224" s="1672"/>
      <c r="DF224" s="1672"/>
      <c r="DG224" s="1672"/>
      <c r="DH224" s="1672"/>
      <c r="DI224" s="1672"/>
      <c r="DJ224" s="1672"/>
      <c r="DK224" s="1672"/>
      <c r="DL224" s="1672"/>
    </row>
    <row r="225" spans="1:116" ht="12.75" hidden="1" customHeight="1">
      <c r="A225" s="1539" t="s">
        <v>664</v>
      </c>
      <c r="B225" s="1642"/>
      <c r="C225" s="1642"/>
      <c r="D225" s="1642"/>
      <c r="E225" s="1641">
        <v>855</v>
      </c>
      <c r="F225" s="1642">
        <v>1063</v>
      </c>
      <c r="G225" s="1642">
        <v>1236</v>
      </c>
      <c r="H225" s="1642">
        <f t="shared" ref="H225:H230" si="277">AU225</f>
        <v>1389</v>
      </c>
      <c r="I225" s="1642">
        <f>AY225</f>
        <v>1347</v>
      </c>
      <c r="J225" s="1642">
        <f>BC225</f>
        <v>0</v>
      </c>
      <c r="K225" s="1681">
        <f t="shared" si="270"/>
        <v>0</v>
      </c>
      <c r="L225" s="1642"/>
      <c r="M225" s="1642"/>
      <c r="N225" s="1642"/>
      <c r="O225" s="1642"/>
      <c r="P225" s="1642"/>
      <c r="Q225" s="1642"/>
      <c r="R225" s="1642"/>
      <c r="S225" s="1642"/>
      <c r="T225" s="1642"/>
      <c r="U225" s="1642"/>
      <c r="V225" s="1642"/>
      <c r="W225" s="1642"/>
      <c r="X225" s="1642"/>
      <c r="Y225" s="1642"/>
      <c r="Z225" s="1642"/>
      <c r="AA225" s="1642"/>
      <c r="AB225" s="1642"/>
      <c r="AC225" s="1642"/>
      <c r="AD225" s="1642"/>
      <c r="AE225" s="1642"/>
      <c r="AF225" s="1641">
        <v>695</v>
      </c>
      <c r="AG225" s="1642">
        <v>745</v>
      </c>
      <c r="AH225" s="1642">
        <v>800</v>
      </c>
      <c r="AI225" s="1642">
        <v>855</v>
      </c>
      <c r="AJ225" s="1641">
        <v>910</v>
      </c>
      <c r="AK225" s="1642">
        <v>954</v>
      </c>
      <c r="AL225" s="1642">
        <v>1013</v>
      </c>
      <c r="AM225" s="1642">
        <v>1063</v>
      </c>
      <c r="AN225" s="1641">
        <v>1131.9759999999999</v>
      </c>
      <c r="AO225" s="1642">
        <v>1171.346</v>
      </c>
      <c r="AP225" s="1642">
        <v>1207.0239999999999</v>
      </c>
      <c r="AQ225" s="1642">
        <v>1233.1279999999999</v>
      </c>
      <c r="AR225" s="1641">
        <v>1270.8739999999998</v>
      </c>
      <c r="AS225" s="1642">
        <v>1288.3499999999999</v>
      </c>
      <c r="AT225" s="1642">
        <v>1289</v>
      </c>
      <c r="AU225" s="1642">
        <v>1389</v>
      </c>
      <c r="AV225" s="1641">
        <v>1403.96</v>
      </c>
      <c r="AW225" s="1642">
        <v>1383.6780000000001</v>
      </c>
      <c r="AX225" s="1642">
        <v>1391</v>
      </c>
      <c r="AY225" s="1642">
        <v>1347</v>
      </c>
      <c r="AZ225" s="1641"/>
      <c r="BA225" s="1642"/>
      <c r="BB225" s="1642"/>
      <c r="BC225" s="1642"/>
      <c r="BD225" s="1641"/>
      <c r="BE225" s="1642"/>
      <c r="BF225" s="1642"/>
      <c r="BG225" s="1642"/>
      <c r="BH225" s="1641"/>
      <c r="BI225" s="1642"/>
      <c r="BJ225" s="1642"/>
      <c r="BK225" s="1642"/>
      <c r="BL225" s="1641"/>
      <c r="BM225" s="1642"/>
      <c r="BN225" s="1642"/>
      <c r="BO225" s="1642"/>
      <c r="BP225" s="3486" t="s">
        <v>1150</v>
      </c>
      <c r="BQ225" s="3487"/>
      <c r="BR225" s="3487"/>
      <c r="BS225" s="3487"/>
      <c r="BT225" s="3487"/>
      <c r="BU225" s="3487"/>
      <c r="BV225" s="3487"/>
      <c r="BW225" s="3487"/>
      <c r="BX225" s="3487"/>
      <c r="BY225" s="1642"/>
      <c r="BZ225" s="1642"/>
      <c r="CA225" s="1642"/>
      <c r="CB225" s="1641"/>
      <c r="CC225" s="1642"/>
      <c r="CD225" s="1642"/>
      <c r="CE225" s="1642"/>
      <c r="CF225" s="1641"/>
      <c r="CG225" s="1642"/>
      <c r="CH225" s="1642"/>
      <c r="CI225" s="1642"/>
      <c r="CJ225" s="1641"/>
      <c r="CK225" s="1642"/>
      <c r="CL225" s="1642"/>
      <c r="CM225" s="1681"/>
      <c r="CN225" s="1672"/>
      <c r="CO225" s="1672"/>
      <c r="CP225" s="1672"/>
      <c r="CQ225" s="1681"/>
      <c r="CR225" s="1672"/>
      <c r="CS225" s="1672"/>
      <c r="CT225" s="1672"/>
      <c r="CU225" s="1681"/>
      <c r="CV225" s="1672"/>
      <c r="CW225" s="1672"/>
      <c r="CX225" s="1672"/>
      <c r="CY225" s="1681"/>
      <c r="CZ225" s="1672"/>
      <c r="DA225" s="1672"/>
      <c r="DB225" s="1672"/>
      <c r="DC225" s="1672"/>
      <c r="DD225" s="1672"/>
      <c r="DE225" s="1672"/>
      <c r="DF225" s="1672"/>
      <c r="DG225" s="1672"/>
      <c r="DH225" s="1672"/>
      <c r="DI225" s="1672"/>
      <c r="DJ225" s="1672"/>
      <c r="DK225" s="1672"/>
      <c r="DL225" s="1672"/>
    </row>
    <row r="226" spans="1:116" ht="12.75" hidden="1" customHeight="1">
      <c r="A226" s="1539" t="s">
        <v>665</v>
      </c>
      <c r="B226" s="1642"/>
      <c r="C226" s="1642"/>
      <c r="D226" s="1642"/>
      <c r="E226" s="1641">
        <f>AR226</f>
        <v>1503.4570000000001</v>
      </c>
      <c r="F226" s="1642">
        <f>AS226</f>
        <v>1711.1709999999998</v>
      </c>
      <c r="G226" s="1642">
        <f>AT226</f>
        <v>1842</v>
      </c>
      <c r="H226" s="1642">
        <f t="shared" si="277"/>
        <v>1934.1420000000001</v>
      </c>
      <c r="I226" s="1642">
        <f>AV226</f>
        <v>2072.98</v>
      </c>
      <c r="J226" s="1642">
        <f>AW226</f>
        <v>2088.0160000000001</v>
      </c>
      <c r="K226" s="1681">
        <f t="shared" si="270"/>
        <v>0</v>
      </c>
      <c r="L226" s="1642"/>
      <c r="M226" s="1642"/>
      <c r="N226" s="1642"/>
      <c r="O226" s="1642"/>
      <c r="P226" s="1642"/>
      <c r="Q226" s="1642"/>
      <c r="R226" s="1642"/>
      <c r="S226" s="1642"/>
      <c r="T226" s="1642"/>
      <c r="U226" s="1642"/>
      <c r="V226" s="1642"/>
      <c r="W226" s="1642"/>
      <c r="X226" s="1642"/>
      <c r="Y226" s="1642"/>
      <c r="Z226" s="1642"/>
      <c r="AA226" s="1642"/>
      <c r="AB226" s="1642"/>
      <c r="AC226" s="1642"/>
      <c r="AD226" s="1642"/>
      <c r="AE226" s="1642"/>
      <c r="AF226" s="1641"/>
      <c r="AG226" s="1642"/>
      <c r="AH226" s="1642"/>
      <c r="AI226" s="1642"/>
      <c r="AJ226" s="1641"/>
      <c r="AK226" s="1642"/>
      <c r="AL226" s="1642"/>
      <c r="AM226" s="1642"/>
      <c r="AN226" s="1641">
        <v>1100.9639999999999</v>
      </c>
      <c r="AO226" s="1642">
        <v>1203.9349999999999</v>
      </c>
      <c r="AP226" s="1642">
        <v>1324.846</v>
      </c>
      <c r="AQ226" s="1642">
        <v>1435.8439999999998</v>
      </c>
      <c r="AR226" s="1641">
        <v>1503.4570000000001</v>
      </c>
      <c r="AS226" s="1642">
        <v>1711.1709999999998</v>
      </c>
      <c r="AT226" s="1642">
        <v>1842</v>
      </c>
      <c r="AU226" s="1642">
        <v>1934.1420000000001</v>
      </c>
      <c r="AV226" s="1641">
        <v>2072.98</v>
      </c>
      <c r="AW226" s="1642">
        <v>2088.0160000000001</v>
      </c>
      <c r="AX226" s="1642">
        <v>2015</v>
      </c>
      <c r="AY226" s="1642">
        <v>1921</v>
      </c>
      <c r="AZ226" s="1641"/>
      <c r="BA226" s="1642"/>
      <c r="BB226" s="1642"/>
      <c r="BC226" s="1642"/>
      <c r="BD226" s="1641"/>
      <c r="BE226" s="1642"/>
      <c r="BF226" s="1642"/>
      <c r="BG226" s="1642"/>
      <c r="BH226" s="1641"/>
      <c r="BI226" s="1642"/>
      <c r="BJ226" s="1642"/>
      <c r="BK226" s="1642"/>
      <c r="BL226" s="1641"/>
      <c r="BM226" s="1642"/>
      <c r="BN226" s="1642"/>
      <c r="BO226" s="1642"/>
      <c r="BP226" s="1641"/>
      <c r="BQ226" s="1642"/>
      <c r="BR226" s="1642"/>
      <c r="BS226" s="1642"/>
      <c r="BT226" s="1641"/>
      <c r="BU226" s="1642"/>
      <c r="BV226" s="1642"/>
      <c r="BW226" s="1642"/>
      <c r="BX226" s="1641"/>
      <c r="BY226" s="1642"/>
      <c r="BZ226" s="1642"/>
      <c r="CA226" s="1642"/>
      <c r="CB226" s="1641"/>
      <c r="CC226" s="1642"/>
      <c r="CD226" s="1642"/>
      <c r="CE226" s="1642"/>
      <c r="CF226" s="1641"/>
      <c r="CG226" s="1642"/>
      <c r="CH226" s="1642"/>
      <c r="CI226" s="1642"/>
      <c r="CJ226" s="1641"/>
      <c r="CK226" s="1642"/>
      <c r="CL226" s="1642"/>
      <c r="CM226" s="1681"/>
      <c r="CN226" s="1672"/>
      <c r="CO226" s="1672"/>
      <c r="CP226" s="1672"/>
      <c r="CQ226" s="1681"/>
      <c r="CR226" s="1672"/>
      <c r="CS226" s="1672"/>
      <c r="CT226" s="1672"/>
      <c r="CU226" s="1681"/>
      <c r="CV226" s="1672"/>
      <c r="CW226" s="1672"/>
      <c r="CX226" s="1672"/>
      <c r="CY226" s="1681"/>
      <c r="CZ226" s="1672"/>
      <c r="DA226" s="1672"/>
      <c r="DB226" s="1672"/>
      <c r="DC226" s="1672"/>
      <c r="DD226" s="1672"/>
      <c r="DE226" s="1672"/>
      <c r="DF226" s="1672"/>
      <c r="DG226" s="1672"/>
      <c r="DH226" s="1672"/>
      <c r="DI226" s="1672"/>
      <c r="DJ226" s="1672"/>
      <c r="DK226" s="1672"/>
      <c r="DL226" s="1672"/>
    </row>
    <row r="227" spans="1:116" ht="12.75" hidden="1" customHeight="1">
      <c r="A227" s="1539" t="s">
        <v>666</v>
      </c>
      <c r="B227" s="1642"/>
      <c r="C227" s="1642"/>
      <c r="D227" s="1642"/>
      <c r="E227" s="1641">
        <v>259</v>
      </c>
      <c r="F227" s="1642">
        <v>750</v>
      </c>
      <c r="G227" s="1642">
        <v>1785</v>
      </c>
      <c r="H227" s="1642">
        <f t="shared" si="277"/>
        <v>3543</v>
      </c>
      <c r="I227" s="1642">
        <f>AY227</f>
        <v>3647</v>
      </c>
      <c r="J227" s="1642">
        <f>BC227</f>
        <v>4235</v>
      </c>
      <c r="K227" s="1681">
        <f t="shared" si="270"/>
        <v>5761</v>
      </c>
      <c r="L227" s="1642"/>
      <c r="M227" s="1642"/>
      <c r="N227" s="1642"/>
      <c r="O227" s="1642"/>
      <c r="P227" s="1642"/>
      <c r="Q227" s="1642"/>
      <c r="R227" s="1642"/>
      <c r="S227" s="1642"/>
      <c r="T227" s="1642"/>
      <c r="U227" s="1642"/>
      <c r="V227" s="1642"/>
      <c r="W227" s="1642"/>
      <c r="X227" s="1642"/>
      <c r="Y227" s="1642"/>
      <c r="Z227" s="1642"/>
      <c r="AA227" s="1642"/>
      <c r="AB227" s="1642"/>
      <c r="AC227" s="1642"/>
      <c r="AD227" s="1642"/>
      <c r="AE227" s="1642"/>
      <c r="AF227" s="1641">
        <v>44</v>
      </c>
      <c r="AG227" s="1642">
        <v>87</v>
      </c>
      <c r="AH227" s="1642">
        <v>151</v>
      </c>
      <c r="AI227" s="1642">
        <v>259</v>
      </c>
      <c r="AJ227" s="1641">
        <v>349</v>
      </c>
      <c r="AK227" s="1642">
        <v>478</v>
      </c>
      <c r="AL227" s="1642">
        <v>602</v>
      </c>
      <c r="AM227" s="1642">
        <v>750</v>
      </c>
      <c r="AN227" s="1641">
        <v>890.86200000000008</v>
      </c>
      <c r="AO227" s="1642">
        <v>1137.925</v>
      </c>
      <c r="AP227" s="1642">
        <v>1368.3969999999999</v>
      </c>
      <c r="AQ227" s="1642">
        <v>1771.9880000000001</v>
      </c>
      <c r="AR227" s="1641">
        <v>2311.2260000000001</v>
      </c>
      <c r="AS227" s="1642">
        <v>2842.2890000000002</v>
      </c>
      <c r="AT227" s="1642">
        <v>3208</v>
      </c>
      <c r="AU227" s="1642">
        <v>3543</v>
      </c>
      <c r="AV227" s="1641">
        <v>3615</v>
      </c>
      <c r="AW227" s="1642">
        <v>3706</v>
      </c>
      <c r="AX227" s="1642">
        <v>3670</v>
      </c>
      <c r="AY227" s="1642">
        <v>3647</v>
      </c>
      <c r="AZ227" s="1641">
        <v>3637</v>
      </c>
      <c r="BA227" s="1642">
        <v>3678</v>
      </c>
      <c r="BB227" s="1642">
        <v>3891</v>
      </c>
      <c r="BC227" s="1642">
        <v>4235</v>
      </c>
      <c r="BD227" s="1641">
        <v>4570</v>
      </c>
      <c r="BE227" s="1642">
        <v>4998</v>
      </c>
      <c r="BF227" s="1642">
        <v>5377</v>
      </c>
      <c r="BG227" s="1642">
        <v>5761</v>
      </c>
      <c r="BH227" s="1641">
        <v>6231</v>
      </c>
      <c r="BI227" s="1642">
        <v>6597</v>
      </c>
      <c r="BJ227" s="1642">
        <v>6661</v>
      </c>
      <c r="BK227" s="1642">
        <v>6576</v>
      </c>
      <c r="BL227" s="1641">
        <v>6376</v>
      </c>
      <c r="BM227" s="1642">
        <v>6172</v>
      </c>
      <c r="BN227" s="1642">
        <v>5841</v>
      </c>
      <c r="BO227" s="1642">
        <v>5518</v>
      </c>
      <c r="BP227" s="1633">
        <v>3859</v>
      </c>
      <c r="BQ227" s="1634">
        <v>3675</v>
      </c>
      <c r="BR227" s="1634">
        <v>3498</v>
      </c>
      <c r="BS227" s="1634">
        <v>3357</v>
      </c>
      <c r="BT227" s="1633">
        <v>3221</v>
      </c>
      <c r="BU227" s="1634">
        <v>3062</v>
      </c>
      <c r="BV227" s="1634">
        <v>2938</v>
      </c>
      <c r="BW227" s="1634">
        <v>2817</v>
      </c>
      <c r="BX227" s="1633">
        <v>2693</v>
      </c>
      <c r="BY227" s="1634">
        <v>2575</v>
      </c>
      <c r="BZ227" s="1634">
        <v>2466</v>
      </c>
      <c r="CA227" s="1634">
        <v>2367</v>
      </c>
      <c r="CB227" s="1763">
        <v>2300</v>
      </c>
      <c r="CC227" s="1764">
        <v>2250</v>
      </c>
      <c r="CD227" s="1764">
        <v>2220</v>
      </c>
      <c r="CE227" s="1764">
        <f t="shared" ref="CE227:CJ227" si="278">+CD227-30</f>
        <v>2190</v>
      </c>
      <c r="CF227" s="1763">
        <f t="shared" si="278"/>
        <v>2160</v>
      </c>
      <c r="CG227" s="1764">
        <f t="shared" si="278"/>
        <v>2130</v>
      </c>
      <c r="CH227" s="1764">
        <f t="shared" si="278"/>
        <v>2100</v>
      </c>
      <c r="CI227" s="1764">
        <f t="shared" si="278"/>
        <v>2070</v>
      </c>
      <c r="CJ227" s="1763">
        <f t="shared" si="278"/>
        <v>2040</v>
      </c>
      <c r="CK227" s="1764"/>
      <c r="CL227" s="1764"/>
      <c r="CM227" s="1765"/>
      <c r="CN227" s="1766"/>
      <c r="CO227" s="1766"/>
      <c r="CP227" s="1766"/>
      <c r="CQ227" s="1765"/>
      <c r="CR227" s="1766"/>
      <c r="CS227" s="1766"/>
      <c r="CT227" s="1766"/>
      <c r="CU227" s="1765"/>
      <c r="CV227" s="1766"/>
      <c r="CW227" s="1766"/>
      <c r="CX227" s="1766"/>
      <c r="CY227" s="1765"/>
      <c r="CZ227" s="1766"/>
      <c r="DA227" s="1766"/>
      <c r="DB227" s="1766"/>
      <c r="DC227" s="1766"/>
      <c r="DD227" s="1766"/>
      <c r="DE227" s="1766"/>
      <c r="DF227" s="1766"/>
      <c r="DG227" s="1766"/>
      <c r="DH227" s="1766"/>
      <c r="DI227" s="1766"/>
      <c r="DJ227" s="1766"/>
      <c r="DK227" s="1766"/>
      <c r="DL227" s="1766"/>
    </row>
    <row r="228" spans="1:116" ht="12.75" hidden="1" customHeight="1">
      <c r="A228" s="1539" t="s">
        <v>667</v>
      </c>
      <c r="B228" s="1642"/>
      <c r="C228" s="1642"/>
      <c r="D228" s="1642"/>
      <c r="E228" s="1641"/>
      <c r="F228" s="1642"/>
      <c r="G228" s="1642"/>
      <c r="H228" s="1642">
        <f t="shared" si="277"/>
        <v>1687</v>
      </c>
      <c r="I228" s="1642">
        <f>AY228</f>
        <v>2214</v>
      </c>
      <c r="J228" s="1642">
        <f>BC228</f>
        <v>3186</v>
      </c>
      <c r="K228" s="1681">
        <f t="shared" si="270"/>
        <v>5019</v>
      </c>
      <c r="L228" s="1642"/>
      <c r="M228" s="1642"/>
      <c r="N228" s="1642"/>
      <c r="O228" s="1642"/>
      <c r="P228" s="1642"/>
      <c r="Q228" s="1642"/>
      <c r="R228" s="1642"/>
      <c r="S228" s="1642"/>
      <c r="T228" s="1642"/>
      <c r="U228" s="1642"/>
      <c r="V228" s="1642"/>
      <c r="W228" s="1642"/>
      <c r="X228" s="1642"/>
      <c r="Y228" s="1642"/>
      <c r="Z228" s="1642"/>
      <c r="AA228" s="1642"/>
      <c r="AB228" s="1642"/>
      <c r="AC228" s="1642"/>
      <c r="AD228" s="1642"/>
      <c r="AE228" s="1642"/>
      <c r="AF228" s="1641"/>
      <c r="AG228" s="1642"/>
      <c r="AH228" s="1642"/>
      <c r="AI228" s="1642"/>
      <c r="AJ228" s="1641"/>
      <c r="AK228" s="1642"/>
      <c r="AL228" s="1642"/>
      <c r="AM228" s="1642"/>
      <c r="AN228" s="1641"/>
      <c r="AO228" s="1642"/>
      <c r="AP228" s="1642"/>
      <c r="AQ228" s="1642"/>
      <c r="AR228" s="1641"/>
      <c r="AS228" s="1642"/>
      <c r="AT228" s="1642"/>
      <c r="AU228" s="1642">
        <v>1687</v>
      </c>
      <c r="AV228" s="1641">
        <v>1645</v>
      </c>
      <c r="AW228" s="1642">
        <v>2093</v>
      </c>
      <c r="AX228" s="1642">
        <v>2138</v>
      </c>
      <c r="AY228" s="1642">
        <v>2214</v>
      </c>
      <c r="AZ228" s="1641">
        <v>2277</v>
      </c>
      <c r="BA228" s="1642">
        <v>2400</v>
      </c>
      <c r="BB228" s="1642">
        <v>2741</v>
      </c>
      <c r="BC228" s="1642">
        <v>3186</v>
      </c>
      <c r="BD228" s="1641">
        <v>3572</v>
      </c>
      <c r="BE228" s="1642">
        <f>BD228+518</f>
        <v>4090</v>
      </c>
      <c r="BF228" s="1642">
        <f>BE228+479</f>
        <v>4569</v>
      </c>
      <c r="BG228" s="1642">
        <f>BF228+450</f>
        <v>5019</v>
      </c>
      <c r="BH228" s="1641">
        <f>BG228+508</f>
        <v>5527</v>
      </c>
      <c r="BI228" s="1642">
        <f>BH228+425</f>
        <v>5952</v>
      </c>
      <c r="BJ228" s="1642">
        <f>BI228+105</f>
        <v>6057</v>
      </c>
      <c r="BK228" s="1642">
        <v>5964</v>
      </c>
      <c r="BL228" s="1641">
        <f>BK228-186</f>
        <v>5778</v>
      </c>
      <c r="BM228" s="1642">
        <f>BL228-220</f>
        <v>5558</v>
      </c>
      <c r="BN228" s="1651">
        <f>BM228-364</f>
        <v>5194</v>
      </c>
      <c r="BO228" s="1642">
        <f>BN228-200</f>
        <v>4994</v>
      </c>
      <c r="BP228" s="1650">
        <f t="shared" ref="BP228:CJ228" si="279">0.8*BP227</f>
        <v>3087.2000000000003</v>
      </c>
      <c r="BQ228" s="1651">
        <f t="shared" si="279"/>
        <v>2940</v>
      </c>
      <c r="BR228" s="1651">
        <f t="shared" si="279"/>
        <v>2798.4</v>
      </c>
      <c r="BS228" s="1651">
        <f t="shared" si="279"/>
        <v>2685.6000000000004</v>
      </c>
      <c r="BT228" s="1650">
        <f t="shared" si="279"/>
        <v>2576.8000000000002</v>
      </c>
      <c r="BU228" s="1651">
        <f t="shared" si="279"/>
        <v>2449.6</v>
      </c>
      <c r="BV228" s="1651">
        <f t="shared" si="279"/>
        <v>2350.4</v>
      </c>
      <c r="BW228" s="1651">
        <f t="shared" si="279"/>
        <v>2253.6</v>
      </c>
      <c r="BX228" s="1650">
        <f t="shared" si="279"/>
        <v>2154.4</v>
      </c>
      <c r="BY228" s="1651">
        <f t="shared" si="279"/>
        <v>2060</v>
      </c>
      <c r="BZ228" s="1651">
        <f t="shared" si="279"/>
        <v>1972.8000000000002</v>
      </c>
      <c r="CA228" s="1651">
        <f t="shared" si="279"/>
        <v>1893.6000000000001</v>
      </c>
      <c r="CB228" s="1650">
        <f t="shared" si="279"/>
        <v>1840</v>
      </c>
      <c r="CC228" s="1651">
        <f t="shared" si="279"/>
        <v>1800</v>
      </c>
      <c r="CD228" s="1651">
        <f t="shared" si="279"/>
        <v>1776</v>
      </c>
      <c r="CE228" s="1651">
        <f t="shared" si="279"/>
        <v>1752</v>
      </c>
      <c r="CF228" s="1650">
        <f t="shared" si="279"/>
        <v>1728</v>
      </c>
      <c r="CG228" s="1651">
        <f t="shared" si="279"/>
        <v>1704</v>
      </c>
      <c r="CH228" s="1651">
        <f t="shared" si="279"/>
        <v>1680</v>
      </c>
      <c r="CI228" s="1651">
        <f t="shared" si="279"/>
        <v>1656</v>
      </c>
      <c r="CJ228" s="1650">
        <f t="shared" si="279"/>
        <v>1632</v>
      </c>
      <c r="CK228" s="1651"/>
      <c r="CL228" s="1651"/>
      <c r="CM228" s="1652"/>
      <c r="CN228" s="1653"/>
      <c r="CO228" s="1653"/>
      <c r="CP228" s="1653"/>
      <c r="CQ228" s="1652"/>
      <c r="CR228" s="1653"/>
      <c r="CS228" s="1653"/>
      <c r="CT228" s="1653"/>
      <c r="CU228" s="1652"/>
      <c r="CV228" s="1653"/>
      <c r="CW228" s="1653"/>
      <c r="CX228" s="1653"/>
      <c r="CY228" s="1652"/>
      <c r="CZ228" s="1653"/>
      <c r="DA228" s="1653"/>
      <c r="DB228" s="1653"/>
      <c r="DC228" s="1653"/>
      <c r="DD228" s="1653"/>
      <c r="DE228" s="2966"/>
      <c r="DF228" s="2989"/>
      <c r="DG228" s="3027"/>
      <c r="DH228" s="3062"/>
      <c r="DI228" s="3161"/>
      <c r="DJ228" s="3241"/>
      <c r="DK228" s="3286"/>
      <c r="DL228" s="3317"/>
    </row>
    <row r="229" spans="1:116" ht="12.75" hidden="1" customHeight="1">
      <c r="A229" s="1539" t="s">
        <v>668</v>
      </c>
      <c r="B229" s="1642"/>
      <c r="C229" s="1642"/>
      <c r="D229" s="1642"/>
      <c r="E229" s="1641">
        <v>238745</v>
      </c>
      <c r="F229" s="1642">
        <v>260206</v>
      </c>
      <c r="G229" s="1642">
        <v>275815</v>
      </c>
      <c r="H229" s="1642">
        <f t="shared" si="277"/>
        <v>72587</v>
      </c>
      <c r="I229" s="1642">
        <f>AY229</f>
        <v>70629</v>
      </c>
      <c r="J229" s="1642">
        <f>BC229</f>
        <v>62111</v>
      </c>
      <c r="K229" s="1681">
        <f t="shared" si="270"/>
        <v>57797</v>
      </c>
      <c r="L229" s="1642"/>
      <c r="M229" s="1642"/>
      <c r="N229" s="1642"/>
      <c r="O229" s="1642"/>
      <c r="P229" s="1642"/>
      <c r="Q229" s="1642"/>
      <c r="R229" s="1642"/>
      <c r="S229" s="1642"/>
      <c r="T229" s="1642"/>
      <c r="U229" s="1642"/>
      <c r="V229" s="1642"/>
      <c r="W229" s="1642"/>
      <c r="X229" s="1642"/>
      <c r="Y229" s="1642"/>
      <c r="Z229" s="1642"/>
      <c r="AA229" s="1642"/>
      <c r="AB229" s="1642"/>
      <c r="AC229" s="1642"/>
      <c r="AD229" s="1642"/>
      <c r="AE229" s="1642"/>
      <c r="AF229" s="1641">
        <v>56909</v>
      </c>
      <c r="AG229" s="1642">
        <v>59262</v>
      </c>
      <c r="AH229" s="1642">
        <v>60550</v>
      </c>
      <c r="AI229" s="1642">
        <v>62024</v>
      </c>
      <c r="AJ229" s="1641">
        <v>62690</v>
      </c>
      <c r="AK229" s="1642">
        <v>65375</v>
      </c>
      <c r="AL229" s="1642">
        <v>65640</v>
      </c>
      <c r="AM229" s="1642">
        <v>66501</v>
      </c>
      <c r="AN229" s="1641">
        <v>66124</v>
      </c>
      <c r="AO229" s="1642">
        <v>68520</v>
      </c>
      <c r="AP229" s="1642">
        <v>68771</v>
      </c>
      <c r="AQ229" s="1642">
        <v>69771</v>
      </c>
      <c r="AR229" s="1641">
        <v>71764</v>
      </c>
      <c r="AS229" s="1642">
        <v>72028</v>
      </c>
      <c r="AT229" s="1642">
        <v>72367</v>
      </c>
      <c r="AU229" s="1642">
        <v>72587</v>
      </c>
      <c r="AV229" s="1641">
        <v>72572.208232000005</v>
      </c>
      <c r="AW229" s="1642">
        <v>71883.278068</v>
      </c>
      <c r="AX229" s="1642">
        <v>70778</v>
      </c>
      <c r="AY229" s="1642">
        <v>70629</v>
      </c>
      <c r="AZ229" s="1641">
        <v>67110</v>
      </c>
      <c r="BA229" s="1642">
        <v>66552</v>
      </c>
      <c r="BB229" s="1642">
        <v>63767</v>
      </c>
      <c r="BC229" s="1642">
        <v>62111</v>
      </c>
      <c r="BD229" s="1641">
        <v>60183</v>
      </c>
      <c r="BE229" s="1642">
        <v>59372</v>
      </c>
      <c r="BF229" s="1642">
        <v>58589</v>
      </c>
      <c r="BG229" s="1642">
        <v>57797</v>
      </c>
      <c r="BH229" s="1641">
        <v>57890</v>
      </c>
      <c r="BI229" s="1642">
        <v>56071</v>
      </c>
      <c r="BJ229" s="1642">
        <v>55224</v>
      </c>
      <c r="BK229" s="1642">
        <v>53413</v>
      </c>
      <c r="BL229" s="1641">
        <v>52534</v>
      </c>
      <c r="BM229" s="1642">
        <v>52180</v>
      </c>
      <c r="BN229" s="1642">
        <v>51662</v>
      </c>
      <c r="BO229" s="1642">
        <v>50365</v>
      </c>
      <c r="BP229" s="1641" t="s">
        <v>669</v>
      </c>
      <c r="BQ229" s="1642" t="s">
        <v>669</v>
      </c>
      <c r="BR229" s="1642" t="s">
        <v>669</v>
      </c>
      <c r="BS229" s="1642" t="s">
        <v>669</v>
      </c>
      <c r="BT229" s="1641" t="s">
        <v>669</v>
      </c>
      <c r="BU229" s="1642" t="s">
        <v>669</v>
      </c>
      <c r="BV229" s="1642" t="s">
        <v>669</v>
      </c>
      <c r="BW229" s="1642" t="s">
        <v>669</v>
      </c>
      <c r="BX229" s="1641" t="s">
        <v>669</v>
      </c>
      <c r="BY229" s="1642" t="s">
        <v>669</v>
      </c>
      <c r="BZ229" s="1642" t="s">
        <v>669</v>
      </c>
      <c r="CA229" s="1642"/>
      <c r="CB229" s="1641"/>
      <c r="CC229" s="1642"/>
      <c r="CD229" s="1642"/>
      <c r="CE229" s="1642"/>
      <c r="CF229" s="1641"/>
      <c r="CG229" s="1642"/>
      <c r="CH229" s="1642"/>
      <c r="CI229" s="1642"/>
      <c r="CJ229" s="1641"/>
      <c r="CK229" s="1642"/>
      <c r="CL229" s="1642"/>
      <c r="CM229" s="1681"/>
      <c r="CN229" s="1672"/>
      <c r="CO229" s="1672"/>
      <c r="CP229" s="1672"/>
      <c r="CQ229" s="1681"/>
      <c r="CR229" s="1672"/>
      <c r="CS229" s="1672"/>
      <c r="CT229" s="1672"/>
      <c r="CU229" s="1681"/>
      <c r="CV229" s="1672"/>
      <c r="CW229" s="1672"/>
      <c r="CX229" s="1672"/>
      <c r="CY229" s="1681"/>
      <c r="CZ229" s="1672"/>
      <c r="DA229" s="1672"/>
      <c r="DB229" s="1672"/>
      <c r="DC229" s="1672"/>
      <c r="DD229" s="1672"/>
      <c r="DE229" s="1672"/>
      <c r="DF229" s="1672"/>
      <c r="DG229" s="1672"/>
      <c r="DH229" s="1672"/>
      <c r="DI229" s="1672"/>
      <c r="DJ229" s="1672"/>
      <c r="DK229" s="1672"/>
      <c r="DL229" s="1672"/>
    </row>
    <row r="230" spans="1:116" ht="12.75" hidden="1" customHeight="1">
      <c r="A230" s="1539" t="s">
        <v>670</v>
      </c>
      <c r="B230" s="1642"/>
      <c r="C230" s="1642"/>
      <c r="D230" s="1642"/>
      <c r="E230" s="1641">
        <v>1752</v>
      </c>
      <c r="F230" s="1642">
        <v>2755</v>
      </c>
      <c r="G230" s="1642">
        <v>3442</v>
      </c>
      <c r="H230" s="1642">
        <f t="shared" si="277"/>
        <v>5350</v>
      </c>
      <c r="I230" s="1642">
        <f>AY230</f>
        <v>7122</v>
      </c>
      <c r="J230" s="1642">
        <f>BC230</f>
        <v>10981</v>
      </c>
      <c r="K230" s="1681">
        <f t="shared" si="270"/>
        <v>15042</v>
      </c>
      <c r="L230" s="1642"/>
      <c r="M230" s="1642"/>
      <c r="N230" s="1642"/>
      <c r="O230" s="1642"/>
      <c r="P230" s="1642"/>
      <c r="Q230" s="1642"/>
      <c r="R230" s="1642"/>
      <c r="S230" s="1642"/>
      <c r="T230" s="1642"/>
      <c r="U230" s="1642"/>
      <c r="V230" s="1642"/>
      <c r="W230" s="1642"/>
      <c r="X230" s="1642"/>
      <c r="Y230" s="1642"/>
      <c r="Z230" s="1642"/>
      <c r="AA230" s="1642"/>
      <c r="AB230" s="1642"/>
      <c r="AC230" s="1642"/>
      <c r="AD230" s="1642"/>
      <c r="AE230" s="1642"/>
      <c r="AF230" s="1641">
        <v>1072</v>
      </c>
      <c r="AG230" s="1642">
        <v>1291</v>
      </c>
      <c r="AH230" s="1642">
        <v>1509</v>
      </c>
      <c r="AI230" s="1642">
        <v>1752</v>
      </c>
      <c r="AJ230" s="1641">
        <v>2067</v>
      </c>
      <c r="AK230" s="1642">
        <v>2274</v>
      </c>
      <c r="AL230" s="1642">
        <v>2545</v>
      </c>
      <c r="AM230" s="1642">
        <v>2755</v>
      </c>
      <c r="AN230" s="1641">
        <v>2757.1590000000001</v>
      </c>
      <c r="AO230" s="1642">
        <v>2912.453</v>
      </c>
      <c r="AP230" s="1642">
        <v>2969.2420000000002</v>
      </c>
      <c r="AQ230" s="1642">
        <v>3130.7330000000002</v>
      </c>
      <c r="AR230" s="1641">
        <v>4051</v>
      </c>
      <c r="AS230" s="1642">
        <v>4605</v>
      </c>
      <c r="AT230" s="1642">
        <v>5049</v>
      </c>
      <c r="AU230" s="1642">
        <v>5350</v>
      </c>
      <c r="AV230" s="1641">
        <v>5967</v>
      </c>
      <c r="AW230" s="1642">
        <v>6837</v>
      </c>
      <c r="AX230" s="1642">
        <v>7877</v>
      </c>
      <c r="AY230" s="1642">
        <f>8622-1500</f>
        <v>7122</v>
      </c>
      <c r="AZ230" s="1641">
        <f>9663-1500</f>
        <v>8163</v>
      </c>
      <c r="BA230" s="1642">
        <f>10735-1500</f>
        <v>9235</v>
      </c>
      <c r="BB230" s="1642">
        <f>11747-1500</f>
        <v>10247</v>
      </c>
      <c r="BC230" s="1642">
        <f>12481-1500</f>
        <v>10981</v>
      </c>
      <c r="BD230" s="1641">
        <v>12314</v>
      </c>
      <c r="BE230" s="1642">
        <v>13553</v>
      </c>
      <c r="BF230" s="1642">
        <v>14574</v>
      </c>
      <c r="BG230" s="1642">
        <v>15042</v>
      </c>
      <c r="BH230" s="1641">
        <v>15877</v>
      </c>
      <c r="BI230" s="1642">
        <v>16506</v>
      </c>
      <c r="BJ230" s="1642">
        <v>17028</v>
      </c>
      <c r="BK230" s="1642">
        <v>17367</v>
      </c>
      <c r="BL230" s="1641">
        <v>17741</v>
      </c>
      <c r="BM230" s="1642">
        <v>17964</v>
      </c>
      <c r="BN230" s="1642">
        <v>18150</v>
      </c>
      <c r="BO230" s="1642">
        <v>18359</v>
      </c>
      <c r="BP230" s="1767">
        <f>BO230+350</f>
        <v>18709</v>
      </c>
      <c r="BQ230" s="1642" t="s">
        <v>669</v>
      </c>
      <c r="BR230" s="1642" t="s">
        <v>669</v>
      </c>
      <c r="BS230" s="1642" t="s">
        <v>669</v>
      </c>
      <c r="BT230" s="1641" t="s">
        <v>669</v>
      </c>
      <c r="BU230" s="1642" t="s">
        <v>669</v>
      </c>
      <c r="BV230" s="1642" t="s">
        <v>669</v>
      </c>
      <c r="BW230" s="1642" t="s">
        <v>669</v>
      </c>
      <c r="BX230" s="1641" t="s">
        <v>669</v>
      </c>
      <c r="BY230" s="1642" t="s">
        <v>669</v>
      </c>
      <c r="BZ230" s="1642" t="s">
        <v>669</v>
      </c>
      <c r="CA230" s="1642"/>
      <c r="CB230" s="1641"/>
      <c r="CC230" s="1642"/>
      <c r="CD230" s="1642"/>
      <c r="CE230" s="1642"/>
      <c r="CF230" s="1641"/>
      <c r="CG230" s="1642"/>
      <c r="CH230" s="1642"/>
      <c r="CI230" s="1642"/>
      <c r="CJ230" s="1641"/>
      <c r="CK230" s="1642"/>
      <c r="CL230" s="1642"/>
      <c r="CM230" s="1681"/>
      <c r="CN230" s="1672"/>
      <c r="CO230" s="1672"/>
      <c r="CP230" s="1672"/>
      <c r="CQ230" s="1681"/>
      <c r="CR230" s="1672"/>
      <c r="CS230" s="1672"/>
      <c r="CT230" s="1672"/>
      <c r="CU230" s="1681"/>
      <c r="CV230" s="1672"/>
      <c r="CW230" s="1672"/>
      <c r="CX230" s="1672"/>
      <c r="CY230" s="1681"/>
      <c r="CZ230" s="1672"/>
      <c r="DA230" s="1672"/>
      <c r="DB230" s="1672"/>
      <c r="DC230" s="1672"/>
      <c r="DD230" s="1672"/>
      <c r="DE230" s="1672"/>
      <c r="DF230" s="1672"/>
      <c r="DG230" s="1672"/>
      <c r="DH230" s="1672"/>
      <c r="DI230" s="1672"/>
      <c r="DJ230" s="1672"/>
      <c r="DK230" s="1672"/>
      <c r="DL230" s="1672"/>
    </row>
    <row r="231" spans="1:116" ht="12.75" hidden="1" customHeight="1">
      <c r="A231" s="1539"/>
      <c r="B231" s="1642"/>
      <c r="C231" s="1642"/>
      <c r="D231" s="1642"/>
      <c r="E231" s="1641"/>
      <c r="F231" s="1642"/>
      <c r="G231" s="1642"/>
      <c r="H231" s="1642"/>
      <c r="I231" s="1642"/>
      <c r="J231" s="1642"/>
      <c r="K231" s="1681"/>
      <c r="L231" s="1642"/>
      <c r="M231" s="1642"/>
      <c r="N231" s="1642"/>
      <c r="O231" s="1642"/>
      <c r="P231" s="1642"/>
      <c r="Q231" s="1642"/>
      <c r="R231" s="1642"/>
      <c r="S231" s="1642"/>
      <c r="T231" s="1642"/>
      <c r="U231" s="1642"/>
      <c r="V231" s="1642"/>
      <c r="W231" s="1642"/>
      <c r="X231" s="1642"/>
      <c r="Y231" s="1642"/>
      <c r="Z231" s="1642"/>
      <c r="AA231" s="1642"/>
      <c r="AB231" s="1642"/>
      <c r="AC231" s="1642"/>
      <c r="AD231" s="1642"/>
      <c r="AE231" s="1642"/>
      <c r="AF231" s="1641"/>
      <c r="AG231" s="1642"/>
      <c r="AH231" s="1642"/>
      <c r="AI231" s="1642"/>
      <c r="AJ231" s="1641"/>
      <c r="AK231" s="1642"/>
      <c r="AL231" s="1642"/>
      <c r="AM231" s="1642"/>
      <c r="AN231" s="1641"/>
      <c r="AO231" s="1642"/>
      <c r="AP231" s="1642"/>
      <c r="AQ231" s="1642"/>
      <c r="AR231" s="1641"/>
      <c r="AS231" s="1642"/>
      <c r="AT231" s="1642"/>
      <c r="AU231" s="1642"/>
      <c r="AV231" s="1641"/>
      <c r="AW231" s="1642"/>
      <c r="AX231" s="1642"/>
      <c r="AY231" s="1642"/>
      <c r="AZ231" s="1641"/>
      <c r="BA231" s="1642"/>
      <c r="BB231" s="1642"/>
      <c r="BC231" s="1642"/>
      <c r="BD231" s="1641"/>
      <c r="BE231" s="1642"/>
      <c r="BF231" s="1642"/>
      <c r="BG231" s="1642"/>
      <c r="BH231" s="1641"/>
      <c r="BI231" s="1642"/>
      <c r="BJ231" s="1642"/>
      <c r="BK231" s="1642"/>
      <c r="BL231" s="1641"/>
      <c r="BM231" s="1642"/>
      <c r="BN231" s="1642"/>
      <c r="BO231" s="1642"/>
      <c r="BP231" s="1641"/>
      <c r="BQ231" s="1642"/>
      <c r="BR231" s="1642"/>
      <c r="BS231" s="1642"/>
      <c r="BT231" s="1641"/>
      <c r="BU231" s="1642"/>
      <c r="BV231" s="1642"/>
      <c r="BW231" s="1642"/>
      <c r="BX231" s="1641"/>
      <c r="BY231" s="1642"/>
      <c r="BZ231" s="1642"/>
      <c r="CA231" s="1642"/>
      <c r="CB231" s="1641"/>
      <c r="CC231" s="1642"/>
      <c r="CD231" s="1642"/>
      <c r="CE231" s="1642"/>
      <c r="CF231" s="1641"/>
      <c r="CG231" s="1642"/>
      <c r="CH231" s="1642"/>
      <c r="CI231" s="1642"/>
      <c r="CJ231" s="1641"/>
      <c r="CK231" s="1642"/>
      <c r="CL231" s="1642"/>
      <c r="CM231" s="1681"/>
      <c r="CN231" s="1672"/>
      <c r="CO231" s="1672"/>
      <c r="CP231" s="1672"/>
      <c r="CQ231" s="1681"/>
      <c r="CR231" s="1672"/>
      <c r="CS231" s="1672"/>
      <c r="CT231" s="1672"/>
      <c r="CU231" s="1681"/>
      <c r="CV231" s="1672"/>
      <c r="CW231" s="1672"/>
      <c r="CX231" s="1672"/>
      <c r="CY231" s="1681"/>
      <c r="CZ231" s="1672"/>
      <c r="DA231" s="1672"/>
      <c r="DB231" s="1672"/>
      <c r="DC231" s="1672"/>
      <c r="DD231" s="1672"/>
      <c r="DE231" s="1672"/>
      <c r="DF231" s="1672"/>
      <c r="DG231" s="1672"/>
      <c r="DH231" s="1672"/>
      <c r="DI231" s="1672"/>
      <c r="DJ231" s="1672"/>
      <c r="DK231" s="1672"/>
      <c r="DL231" s="1672"/>
    </row>
    <row r="232" spans="1:116" ht="12.75" hidden="1" customHeight="1">
      <c r="A232" s="1539" t="s">
        <v>671</v>
      </c>
      <c r="B232" s="1642"/>
      <c r="C232" s="1642"/>
      <c r="D232" s="1642"/>
      <c r="E232" s="1641"/>
      <c r="F232" s="1642"/>
      <c r="G232" s="1642"/>
      <c r="H232" s="1642"/>
      <c r="I232" s="1642"/>
      <c r="J232" s="1642"/>
      <c r="K232" s="1681"/>
      <c r="L232" s="1642"/>
      <c r="M232" s="1642"/>
      <c r="N232" s="1642"/>
      <c r="O232" s="1642"/>
      <c r="P232" s="1642"/>
      <c r="Q232" s="1642"/>
      <c r="R232" s="1642"/>
      <c r="S232" s="1642"/>
      <c r="T232" s="1642"/>
      <c r="U232" s="1642"/>
      <c r="V232" s="1642"/>
      <c r="W232" s="1642"/>
      <c r="X232" s="1642"/>
      <c r="Y232" s="1642"/>
      <c r="Z232" s="1642"/>
      <c r="AA232" s="1642"/>
      <c r="AB232" s="1642"/>
      <c r="AC232" s="1642"/>
      <c r="AD232" s="1642"/>
      <c r="AE232" s="1642"/>
      <c r="AF232" s="1641"/>
      <c r="AG232" s="1642"/>
      <c r="AH232" s="1642"/>
      <c r="AI232" s="1642"/>
      <c r="AJ232" s="1641"/>
      <c r="AK232" s="1642"/>
      <c r="AL232" s="1642"/>
      <c r="AM232" s="1642"/>
      <c r="AN232" s="1641"/>
      <c r="AO232" s="1642"/>
      <c r="AP232" s="1642"/>
      <c r="AQ232" s="1642"/>
      <c r="AR232" s="1641"/>
      <c r="AS232" s="1642"/>
      <c r="AT232" s="1642"/>
      <c r="AU232" s="1642"/>
      <c r="AV232" s="1641"/>
      <c r="AW232" s="1642"/>
      <c r="AX232" s="1642"/>
      <c r="AY232" s="1642"/>
      <c r="AZ232" s="1641"/>
      <c r="BA232" s="1642"/>
      <c r="BB232" s="1642"/>
      <c r="BC232" s="1642"/>
      <c r="BD232" s="1641"/>
      <c r="BE232" s="1642"/>
      <c r="BF232" s="1642"/>
      <c r="BG232" s="1642"/>
      <c r="BH232" s="1641"/>
      <c r="BI232" s="1642"/>
      <c r="BJ232" s="1642"/>
      <c r="BK232" s="1642"/>
      <c r="BL232" s="1641"/>
      <c r="BM232" s="1642"/>
      <c r="BN232" s="1642"/>
      <c r="BO232" s="1642"/>
      <c r="BP232" s="1641"/>
      <c r="BQ232" s="1642"/>
      <c r="BR232" s="1642"/>
      <c r="BS232" s="1642"/>
      <c r="BT232" s="1641"/>
      <c r="BU232" s="1642"/>
      <c r="BV232" s="1642"/>
      <c r="BW232" s="1642"/>
      <c r="BX232" s="1641"/>
      <c r="BY232" s="1642"/>
      <c r="BZ232" s="1642"/>
      <c r="CA232" s="1642"/>
      <c r="CB232" s="1641"/>
      <c r="CC232" s="1642"/>
      <c r="CD232" s="1642"/>
      <c r="CE232" s="1642"/>
      <c r="CF232" s="1641"/>
      <c r="CG232" s="1642"/>
      <c r="CH232" s="1642"/>
      <c r="CI232" s="1642"/>
      <c r="CJ232" s="1641"/>
      <c r="CK232" s="1642"/>
      <c r="CL232" s="1642"/>
      <c r="CM232" s="1681"/>
      <c r="CN232" s="1672"/>
      <c r="CO232" s="1672"/>
      <c r="CP232" s="1672"/>
      <c r="CQ232" s="1681"/>
      <c r="CR232" s="1672"/>
      <c r="CS232" s="1672"/>
      <c r="CT232" s="1672"/>
      <c r="CU232" s="1681"/>
      <c r="CV232" s="1672"/>
      <c r="CW232" s="1672"/>
      <c r="CX232" s="1672"/>
      <c r="CY232" s="1681"/>
      <c r="CZ232" s="1672"/>
      <c r="DA232" s="1672"/>
      <c r="DB232" s="1672"/>
      <c r="DC232" s="1672"/>
      <c r="DD232" s="1672"/>
      <c r="DE232" s="1672"/>
      <c r="DF232" s="1672"/>
      <c r="DG232" s="1672"/>
      <c r="DH232" s="1672"/>
      <c r="DI232" s="1672"/>
      <c r="DJ232" s="1672"/>
      <c r="DK232" s="1672"/>
      <c r="DL232" s="1672"/>
    </row>
    <row r="233" spans="1:116" ht="12.75" hidden="1" customHeight="1">
      <c r="A233" s="1539" t="s">
        <v>672</v>
      </c>
      <c r="B233" s="1642"/>
      <c r="C233" s="1642"/>
      <c r="D233" s="1642"/>
      <c r="E233" s="1641"/>
      <c r="F233" s="1642"/>
      <c r="G233" s="1642"/>
      <c r="H233" s="1642"/>
      <c r="I233" s="1642"/>
      <c r="J233" s="1642"/>
      <c r="K233" s="1681"/>
      <c r="L233" s="1642"/>
      <c r="M233" s="1642"/>
      <c r="N233" s="1642"/>
      <c r="O233" s="1642"/>
      <c r="P233" s="1642"/>
      <c r="Q233" s="1642"/>
      <c r="R233" s="1642"/>
      <c r="S233" s="1642"/>
      <c r="T233" s="1642"/>
      <c r="U233" s="1642"/>
      <c r="V233" s="1642"/>
      <c r="W233" s="1642"/>
      <c r="X233" s="1642"/>
      <c r="Y233" s="1642"/>
      <c r="Z233" s="1642"/>
      <c r="AA233" s="1642"/>
      <c r="AB233" s="1642"/>
      <c r="AC233" s="1642"/>
      <c r="AD233" s="1642"/>
      <c r="AE233" s="1642"/>
      <c r="AF233" s="1641"/>
      <c r="AG233" s="1642"/>
      <c r="AH233" s="1642"/>
      <c r="AI233" s="1642"/>
      <c r="AJ233" s="1641"/>
      <c r="AK233" s="1642"/>
      <c r="AL233" s="1642"/>
      <c r="AM233" s="1642"/>
      <c r="AN233" s="1641"/>
      <c r="AO233" s="1642"/>
      <c r="AP233" s="1642"/>
      <c r="AQ233" s="1642"/>
      <c r="AR233" s="1641"/>
      <c r="AS233" s="1642"/>
      <c r="AT233" s="1642"/>
      <c r="AU233" s="1642"/>
      <c r="AV233" s="1641"/>
      <c r="AW233" s="1642"/>
      <c r="AX233" s="1642"/>
      <c r="AY233" s="1642"/>
      <c r="AZ233" s="1641"/>
      <c r="BA233" s="1642"/>
      <c r="BB233" s="1642"/>
      <c r="BC233" s="1642"/>
      <c r="BD233" s="1641"/>
      <c r="BE233" s="1642"/>
      <c r="BF233" s="1642"/>
      <c r="BG233" s="1642"/>
      <c r="BH233" s="1641"/>
      <c r="BI233" s="1642"/>
      <c r="BJ233" s="1642"/>
      <c r="BK233" s="1642"/>
      <c r="BL233" s="1641"/>
      <c r="BM233" s="1642"/>
      <c r="BN233" s="1642"/>
      <c r="BO233" s="1642"/>
      <c r="BP233" s="1641"/>
      <c r="BQ233" s="1642"/>
      <c r="BR233" s="1642"/>
      <c r="BS233" s="1642"/>
      <c r="BT233" s="1641"/>
      <c r="BU233" s="1642"/>
      <c r="BV233" s="1642"/>
      <c r="BW233" s="1642"/>
      <c r="BX233" s="1641"/>
      <c r="BY233" s="1642"/>
      <c r="BZ233" s="1642"/>
      <c r="CA233" s="1642"/>
      <c r="CB233" s="1641"/>
      <c r="CC233" s="1642"/>
      <c r="CD233" s="1642"/>
      <c r="CE233" s="1642"/>
      <c r="CF233" s="1641"/>
      <c r="CG233" s="1642"/>
      <c r="CH233" s="1642"/>
      <c r="CI233" s="1642"/>
      <c r="CJ233" s="1641"/>
      <c r="CK233" s="1642"/>
      <c r="CL233" s="1642"/>
      <c r="CM233" s="1681"/>
      <c r="CN233" s="1672"/>
      <c r="CO233" s="1672"/>
      <c r="CP233" s="1672"/>
      <c r="CQ233" s="1681"/>
      <c r="CR233" s="1672"/>
      <c r="CS233" s="1672"/>
      <c r="CT233" s="1672"/>
      <c r="CU233" s="1681"/>
      <c r="CV233" s="1672"/>
      <c r="CW233" s="1672"/>
      <c r="CX233" s="1672"/>
      <c r="CY233" s="1681"/>
      <c r="CZ233" s="1672"/>
      <c r="DA233" s="1672"/>
      <c r="DB233" s="1672"/>
      <c r="DC233" s="1672"/>
      <c r="DD233" s="1672"/>
      <c r="DE233" s="1672"/>
      <c r="DF233" s="1672"/>
      <c r="DG233" s="1672"/>
      <c r="DH233" s="1672"/>
      <c r="DI233" s="1672"/>
      <c r="DJ233" s="1672"/>
      <c r="DK233" s="1672"/>
      <c r="DL233" s="1672"/>
    </row>
    <row r="234" spans="1:116" ht="12.75" hidden="1" customHeight="1">
      <c r="A234" s="1628" t="s">
        <v>673</v>
      </c>
      <c r="B234" s="1642"/>
      <c r="C234" s="1642"/>
      <c r="D234" s="1642"/>
      <c r="E234" s="1641">
        <v>1706</v>
      </c>
      <c r="F234" s="1642">
        <v>2139</v>
      </c>
      <c r="G234" s="1642">
        <v>2769</v>
      </c>
      <c r="H234" s="1642">
        <f>AU234</f>
        <v>946</v>
      </c>
      <c r="I234" s="1642">
        <f>AY234</f>
        <v>0</v>
      </c>
      <c r="J234" s="1642">
        <f>BC234</f>
        <v>0</v>
      </c>
      <c r="K234" s="1681"/>
      <c r="L234" s="1642"/>
      <c r="M234" s="1642"/>
      <c r="N234" s="1642"/>
      <c r="O234" s="1642"/>
      <c r="P234" s="1642"/>
      <c r="Q234" s="1642"/>
      <c r="R234" s="1642"/>
      <c r="S234" s="1642"/>
      <c r="T234" s="1642"/>
      <c r="U234" s="1642"/>
      <c r="V234" s="1642"/>
      <c r="W234" s="1642"/>
      <c r="X234" s="1642"/>
      <c r="Y234" s="1642"/>
      <c r="Z234" s="1642"/>
      <c r="AA234" s="1642"/>
      <c r="AB234" s="1642"/>
      <c r="AC234" s="1642"/>
      <c r="AD234" s="1642"/>
      <c r="AE234" s="1642"/>
      <c r="AF234" s="1641">
        <v>398</v>
      </c>
      <c r="AG234" s="1642">
        <v>396</v>
      </c>
      <c r="AH234" s="1642">
        <v>435</v>
      </c>
      <c r="AI234" s="1642">
        <v>477</v>
      </c>
      <c r="AJ234" s="1641">
        <v>483</v>
      </c>
      <c r="AK234" s="1642">
        <v>519</v>
      </c>
      <c r="AL234" s="1642">
        <v>551</v>
      </c>
      <c r="AM234" s="1642">
        <v>586</v>
      </c>
      <c r="AN234" s="1641">
        <v>636</v>
      </c>
      <c r="AO234" s="1642">
        <v>641</v>
      </c>
      <c r="AP234" s="1642">
        <v>705</v>
      </c>
      <c r="AQ234" s="1642">
        <v>735</v>
      </c>
      <c r="AR234" s="1641">
        <v>810</v>
      </c>
      <c r="AS234" s="1642">
        <v>872</v>
      </c>
      <c r="AT234" s="1642">
        <v>923</v>
      </c>
      <c r="AU234" s="1642">
        <v>946</v>
      </c>
      <c r="AV234" s="1641"/>
      <c r="AW234" s="1642"/>
      <c r="AX234" s="1642"/>
      <c r="AY234" s="1642"/>
      <c r="AZ234" s="1641"/>
      <c r="BA234" s="1642"/>
      <c r="BB234" s="1642"/>
      <c r="BC234" s="1642"/>
      <c r="BD234" s="1641"/>
      <c r="BE234" s="1642"/>
      <c r="BF234" s="1642"/>
      <c r="BG234" s="1642"/>
      <c r="BH234" s="1641"/>
      <c r="BI234" s="1642"/>
      <c r="BJ234" s="1642"/>
      <c r="BK234" s="1642"/>
      <c r="BL234" s="1641"/>
      <c r="BM234" s="1642"/>
      <c r="BN234" s="1642"/>
      <c r="BO234" s="1642"/>
      <c r="BP234" s="1641"/>
      <c r="BQ234" s="1642"/>
      <c r="BR234" s="1642"/>
      <c r="BS234" s="1642"/>
      <c r="BT234" s="1641"/>
      <c r="BU234" s="1642"/>
      <c r="BV234" s="1642"/>
      <c r="BW234" s="1642"/>
      <c r="BX234" s="1641"/>
      <c r="BY234" s="1642"/>
      <c r="BZ234" s="1642"/>
      <c r="CA234" s="1642"/>
      <c r="CB234" s="1641"/>
      <c r="CC234" s="1642"/>
      <c r="CD234" s="1642"/>
      <c r="CE234" s="1642"/>
      <c r="CF234" s="1641"/>
      <c r="CG234" s="1642"/>
      <c r="CH234" s="1642"/>
      <c r="CI234" s="1642"/>
      <c r="CJ234" s="1641"/>
      <c r="CK234" s="1642"/>
      <c r="CL234" s="1642"/>
      <c r="CM234" s="1681"/>
      <c r="CN234" s="1672"/>
      <c r="CO234" s="1672"/>
      <c r="CP234" s="1672"/>
      <c r="CQ234" s="1681"/>
      <c r="CR234" s="1672"/>
      <c r="CS234" s="1672"/>
      <c r="CT234" s="1672"/>
      <c r="CU234" s="1681"/>
      <c r="CV234" s="1672"/>
      <c r="CW234" s="1672"/>
      <c r="CX234" s="1672"/>
      <c r="CY234" s="1681"/>
      <c r="CZ234" s="1672"/>
      <c r="DA234" s="1672"/>
      <c r="DB234" s="1672"/>
      <c r="DC234" s="1672"/>
      <c r="DD234" s="1672"/>
      <c r="DE234" s="1672"/>
      <c r="DF234" s="1672"/>
      <c r="DG234" s="1672"/>
      <c r="DH234" s="1672"/>
      <c r="DI234" s="1672"/>
      <c r="DJ234" s="1672"/>
      <c r="DK234" s="1672"/>
      <c r="DL234" s="1672"/>
    </row>
    <row r="235" spans="1:116" ht="12.75" hidden="1" customHeight="1">
      <c r="A235" s="1628" t="s">
        <v>674</v>
      </c>
      <c r="B235" s="1642"/>
      <c r="C235" s="1642"/>
      <c r="D235" s="1642"/>
      <c r="E235" s="1641">
        <v>502</v>
      </c>
      <c r="F235" s="1642">
        <v>897</v>
      </c>
      <c r="G235" s="1642">
        <v>1231</v>
      </c>
      <c r="H235" s="1642">
        <f>AU235</f>
        <v>470</v>
      </c>
      <c r="I235" s="1642">
        <f>AY235</f>
        <v>0</v>
      </c>
      <c r="J235" s="1642">
        <f>BC235</f>
        <v>0</v>
      </c>
      <c r="K235" s="1681"/>
      <c r="L235" s="1642"/>
      <c r="M235" s="1642"/>
      <c r="N235" s="1642"/>
      <c r="O235" s="1642"/>
      <c r="P235" s="1642"/>
      <c r="Q235" s="1642"/>
      <c r="R235" s="1642"/>
      <c r="S235" s="1642"/>
      <c r="T235" s="1642"/>
      <c r="U235" s="1642"/>
      <c r="V235" s="1642"/>
      <c r="W235" s="1642"/>
      <c r="X235" s="1642"/>
      <c r="Y235" s="1642"/>
      <c r="Z235" s="1642"/>
      <c r="AA235" s="1642"/>
      <c r="AB235" s="1642"/>
      <c r="AC235" s="1642"/>
      <c r="AD235" s="1642"/>
      <c r="AE235" s="1642"/>
      <c r="AF235" s="1641">
        <v>97</v>
      </c>
      <c r="AG235" s="1642">
        <v>117</v>
      </c>
      <c r="AH235" s="1642">
        <v>134</v>
      </c>
      <c r="AI235" s="1642">
        <v>154</v>
      </c>
      <c r="AJ235" s="1641">
        <v>193</v>
      </c>
      <c r="AK235" s="1642">
        <v>214</v>
      </c>
      <c r="AL235" s="1642">
        <v>237</v>
      </c>
      <c r="AM235" s="1642">
        <v>253</v>
      </c>
      <c r="AN235" s="1641">
        <v>270</v>
      </c>
      <c r="AO235" s="1642">
        <v>294</v>
      </c>
      <c r="AP235" s="1642">
        <v>321</v>
      </c>
      <c r="AQ235" s="1642">
        <v>335</v>
      </c>
      <c r="AR235" s="1641">
        <v>358</v>
      </c>
      <c r="AS235" s="1642">
        <v>394</v>
      </c>
      <c r="AT235" s="1642">
        <v>431</v>
      </c>
      <c r="AU235" s="1642">
        <v>470</v>
      </c>
      <c r="AV235" s="1641"/>
      <c r="AW235" s="1642"/>
      <c r="AX235" s="1642"/>
      <c r="AY235" s="1642"/>
      <c r="AZ235" s="1641"/>
      <c r="BA235" s="1642"/>
      <c r="BB235" s="1642"/>
      <c r="BC235" s="1642"/>
      <c r="BD235" s="1641"/>
      <c r="BE235" s="1642"/>
      <c r="BF235" s="1642"/>
      <c r="BG235" s="1642"/>
      <c r="BH235" s="1641"/>
      <c r="BI235" s="1642"/>
      <c r="BJ235" s="1642"/>
      <c r="BK235" s="1642"/>
      <c r="BL235" s="1641"/>
      <c r="BM235" s="1642"/>
      <c r="BN235" s="1642"/>
      <c r="BO235" s="1642"/>
      <c r="BP235" s="1641"/>
      <c r="BQ235" s="1642"/>
      <c r="BR235" s="1642"/>
      <c r="BS235" s="1642"/>
      <c r="BT235" s="1641"/>
      <c r="BU235" s="1642"/>
      <c r="BV235" s="1642"/>
      <c r="BW235" s="1642"/>
      <c r="BX235" s="1641"/>
      <c r="BY235" s="1642"/>
      <c r="BZ235" s="1642"/>
      <c r="CA235" s="1642"/>
      <c r="CB235" s="1641"/>
      <c r="CC235" s="1642"/>
      <c r="CD235" s="1642"/>
      <c r="CE235" s="1642"/>
      <c r="CF235" s="1641"/>
      <c r="CG235" s="1642"/>
      <c r="CH235" s="1642"/>
      <c r="CI235" s="1642"/>
      <c r="CJ235" s="1641"/>
      <c r="CK235" s="1642"/>
      <c r="CL235" s="1642"/>
      <c r="CM235" s="1681"/>
      <c r="CN235" s="1672"/>
      <c r="CO235" s="1672"/>
      <c r="CP235" s="1672"/>
      <c r="CQ235" s="1681"/>
      <c r="CR235" s="1672"/>
      <c r="CS235" s="1672"/>
      <c r="CT235" s="1672"/>
      <c r="CU235" s="1681"/>
      <c r="CV235" s="1672"/>
      <c r="CW235" s="1672"/>
      <c r="CX235" s="1672"/>
      <c r="CY235" s="1681"/>
      <c r="CZ235" s="1672"/>
      <c r="DA235" s="1672"/>
      <c r="DB235" s="1672"/>
      <c r="DC235" s="1672"/>
      <c r="DD235" s="1672"/>
      <c r="DE235" s="1672"/>
      <c r="DF235" s="1672"/>
      <c r="DG235" s="1672"/>
      <c r="DH235" s="1672"/>
      <c r="DI235" s="1672"/>
      <c r="DJ235" s="1672"/>
      <c r="DK235" s="1672"/>
      <c r="DL235" s="1672"/>
    </row>
    <row r="236" spans="1:116" ht="12.75" hidden="1" customHeight="1">
      <c r="A236" s="1628" t="s">
        <v>675</v>
      </c>
      <c r="B236" s="1642"/>
      <c r="C236" s="1642"/>
      <c r="D236" s="1642"/>
      <c r="E236" s="1641"/>
      <c r="F236" s="1642"/>
      <c r="G236" s="1642"/>
      <c r="H236" s="1642">
        <f>SUM(AR236:AU236)</f>
        <v>5079</v>
      </c>
      <c r="I236" s="1642">
        <f>SUM(AV236:AY236)</f>
        <v>6058</v>
      </c>
      <c r="J236" s="1642">
        <f>SUM(AZ236:BC236)</f>
        <v>6616</v>
      </c>
      <c r="K236" s="1681">
        <f>SUM(BD236:BG236)</f>
        <v>6471</v>
      </c>
      <c r="L236" s="1642"/>
      <c r="M236" s="1642"/>
      <c r="N236" s="1642"/>
      <c r="O236" s="1642"/>
      <c r="P236" s="1642"/>
      <c r="Q236" s="1642"/>
      <c r="R236" s="1642"/>
      <c r="S236" s="1642"/>
      <c r="T236" s="1642"/>
      <c r="U236" s="1642"/>
      <c r="V236" s="1642"/>
      <c r="W236" s="1642"/>
      <c r="X236" s="1642"/>
      <c r="Y236" s="1642"/>
      <c r="Z236" s="1642"/>
      <c r="AA236" s="1642"/>
      <c r="AB236" s="1642"/>
      <c r="AC236" s="1642"/>
      <c r="AD236" s="1642"/>
      <c r="AE236" s="1642"/>
      <c r="AF236" s="1641"/>
      <c r="AG236" s="1642"/>
      <c r="AH236" s="1642"/>
      <c r="AI236" s="1642"/>
      <c r="AJ236" s="1641"/>
      <c r="AK236" s="1642"/>
      <c r="AL236" s="1642"/>
      <c r="AM236" s="1642"/>
      <c r="AN236" s="1641"/>
      <c r="AO236" s="1642"/>
      <c r="AP236" s="1642"/>
      <c r="AQ236" s="1642"/>
      <c r="AR236" s="1641">
        <v>1182</v>
      </c>
      <c r="AS236" s="1642">
        <v>1232</v>
      </c>
      <c r="AT236" s="1642">
        <v>1297</v>
      </c>
      <c r="AU236" s="1642">
        <v>1368</v>
      </c>
      <c r="AV236" s="1641">
        <v>1443</v>
      </c>
      <c r="AW236" s="1642">
        <v>1517</v>
      </c>
      <c r="AX236" s="1642">
        <v>1541</v>
      </c>
      <c r="AY236" s="1642">
        <v>1557</v>
      </c>
      <c r="AZ236" s="1641">
        <v>1651</v>
      </c>
      <c r="BA236" s="1642">
        <v>1656</v>
      </c>
      <c r="BB236" s="1642">
        <v>1644</v>
      </c>
      <c r="BC236" s="1642">
        <v>1665</v>
      </c>
      <c r="BD236" s="1641">
        <v>1651</v>
      </c>
      <c r="BE236" s="1642">
        <v>1628</v>
      </c>
      <c r="BF236" s="1642">
        <v>1578</v>
      </c>
      <c r="BG236" s="1642">
        <v>1614</v>
      </c>
      <c r="BH236" s="1641">
        <v>1669</v>
      </c>
      <c r="BI236" s="1642">
        <v>1707</v>
      </c>
      <c r="BJ236" s="1642">
        <v>1749</v>
      </c>
      <c r="BK236" s="1642">
        <v>1796</v>
      </c>
      <c r="BL236" s="1641">
        <v>1865</v>
      </c>
      <c r="BM236" s="1642">
        <v>1882</v>
      </c>
      <c r="BN236" s="1642">
        <v>1943</v>
      </c>
      <c r="BO236" s="1642">
        <v>1970</v>
      </c>
      <c r="BP236" s="1641"/>
      <c r="BQ236" s="1642"/>
      <c r="BR236" s="1642"/>
      <c r="BS236" s="1642"/>
      <c r="BT236" s="1641"/>
      <c r="BU236" s="1634"/>
      <c r="BV236" s="1634"/>
      <c r="BW236" s="1634"/>
      <c r="BX236" s="1633"/>
      <c r="BY236" s="1634"/>
      <c r="BZ236" s="1634"/>
      <c r="CA236" s="1642"/>
      <c r="CB236" s="1641"/>
      <c r="CC236" s="1642"/>
      <c r="CD236" s="1642"/>
      <c r="CE236" s="1642"/>
      <c r="CF236" s="1641"/>
      <c r="CG236" s="1642"/>
      <c r="CH236" s="1642"/>
      <c r="CI236" s="1642"/>
      <c r="CJ236" s="1641"/>
      <c r="CK236" s="1642"/>
      <c r="CL236" s="1642"/>
      <c r="CM236" s="1681"/>
      <c r="CN236" s="1672"/>
      <c r="CO236" s="1672"/>
      <c r="CP236" s="1672"/>
      <c r="CQ236" s="1681"/>
      <c r="CR236" s="1672"/>
      <c r="CS236" s="1672"/>
      <c r="CT236" s="1672"/>
      <c r="CU236" s="1681"/>
      <c r="CV236" s="1672"/>
      <c r="CW236" s="1672"/>
      <c r="CX236" s="1672"/>
      <c r="CY236" s="1681"/>
      <c r="CZ236" s="1672"/>
      <c r="DA236" s="1672"/>
      <c r="DB236" s="1672"/>
      <c r="DC236" s="1672"/>
      <c r="DD236" s="1672"/>
      <c r="DE236" s="1672"/>
      <c r="DF236" s="1672"/>
      <c r="DG236" s="1672"/>
      <c r="DH236" s="1672"/>
      <c r="DI236" s="1672"/>
      <c r="DJ236" s="1672"/>
      <c r="DK236" s="1672"/>
      <c r="DL236" s="1672"/>
    </row>
    <row r="237" spans="1:116" ht="12.75" hidden="1" customHeight="1">
      <c r="A237" s="1628" t="s">
        <v>676</v>
      </c>
      <c r="B237" s="1642"/>
      <c r="C237" s="1642"/>
      <c r="D237" s="1642"/>
      <c r="E237" s="1641"/>
      <c r="F237" s="1642"/>
      <c r="G237" s="1642"/>
      <c r="H237" s="1642">
        <f>SUM(AR237:AU237)</f>
        <v>785</v>
      </c>
      <c r="I237" s="1642">
        <f>SUM(AV237:AY237)</f>
        <v>725</v>
      </c>
      <c r="J237" s="1642">
        <f>SUM(AZ237:BC237)</f>
        <v>680</v>
      </c>
      <c r="K237" s="1681">
        <f>SUM(BD237:BG237)</f>
        <v>700</v>
      </c>
      <c r="L237" s="1642"/>
      <c r="M237" s="1642"/>
      <c r="N237" s="1642"/>
      <c r="O237" s="1642"/>
      <c r="P237" s="1642"/>
      <c r="Q237" s="1642"/>
      <c r="R237" s="1642"/>
      <c r="S237" s="1642"/>
      <c r="T237" s="1642"/>
      <c r="U237" s="1642"/>
      <c r="V237" s="1642"/>
      <c r="W237" s="1642"/>
      <c r="X237" s="1642"/>
      <c r="Y237" s="1642"/>
      <c r="Z237" s="1642"/>
      <c r="AA237" s="1642"/>
      <c r="AB237" s="1642"/>
      <c r="AC237" s="1642"/>
      <c r="AD237" s="1642"/>
      <c r="AE237" s="1642"/>
      <c r="AF237" s="1641">
        <v>72</v>
      </c>
      <c r="AG237" s="1642">
        <v>97</v>
      </c>
      <c r="AH237" s="1642">
        <v>115</v>
      </c>
      <c r="AI237" s="1642">
        <v>139</v>
      </c>
      <c r="AJ237" s="1641">
        <v>99</v>
      </c>
      <c r="AK237" s="1642">
        <v>105</v>
      </c>
      <c r="AL237" s="1642">
        <v>137</v>
      </c>
      <c r="AM237" s="1642">
        <v>172</v>
      </c>
      <c r="AN237" s="1641">
        <v>120</v>
      </c>
      <c r="AO237" s="1642">
        <v>168</v>
      </c>
      <c r="AP237" s="1642">
        <v>170</v>
      </c>
      <c r="AQ237" s="1642">
        <v>227</v>
      </c>
      <c r="AR237" s="1641">
        <v>163</v>
      </c>
      <c r="AS237" s="1642">
        <v>192</v>
      </c>
      <c r="AT237" s="1642">
        <v>197</v>
      </c>
      <c r="AU237" s="1642">
        <v>233</v>
      </c>
      <c r="AV237" s="1641">
        <v>178</v>
      </c>
      <c r="AW237" s="1642">
        <v>171</v>
      </c>
      <c r="AX237" s="1642">
        <v>173</v>
      </c>
      <c r="AY237" s="1642">
        <v>203</v>
      </c>
      <c r="AZ237" s="1641">
        <v>163</v>
      </c>
      <c r="BA237" s="1642">
        <v>170</v>
      </c>
      <c r="BB237" s="1642">
        <v>159</v>
      </c>
      <c r="BC237" s="1642">
        <v>188</v>
      </c>
      <c r="BD237" s="1641">
        <v>132</v>
      </c>
      <c r="BE237" s="1642">
        <v>160</v>
      </c>
      <c r="BF237" s="1642">
        <v>175</v>
      </c>
      <c r="BG237" s="1642">
        <v>233</v>
      </c>
      <c r="BH237" s="1641">
        <v>163</v>
      </c>
      <c r="BI237" s="1642">
        <v>180</v>
      </c>
      <c r="BJ237" s="1642">
        <v>200</v>
      </c>
      <c r="BK237" s="1642">
        <v>215</v>
      </c>
      <c r="BL237" s="1641">
        <v>178</v>
      </c>
      <c r="BM237" s="1642">
        <v>211</v>
      </c>
      <c r="BN237" s="1642">
        <v>219</v>
      </c>
      <c r="BO237" s="1642">
        <v>221</v>
      </c>
      <c r="BP237" s="1641"/>
      <c r="BQ237" s="1642"/>
      <c r="BR237" s="1642"/>
      <c r="BS237" s="1642"/>
      <c r="BT237" s="1641"/>
      <c r="BU237" s="1634"/>
      <c r="BV237" s="1634"/>
      <c r="BW237" s="1634"/>
      <c r="BX237" s="1633"/>
      <c r="BY237" s="1634"/>
      <c r="BZ237" s="1634"/>
      <c r="CA237" s="1642"/>
      <c r="CB237" s="1641"/>
      <c r="CC237" s="1642"/>
      <c r="CD237" s="1642"/>
      <c r="CE237" s="1642"/>
      <c r="CF237" s="1641"/>
      <c r="CG237" s="1642"/>
      <c r="CH237" s="1642"/>
      <c r="CI237" s="1642"/>
      <c r="CJ237" s="1641"/>
      <c r="CK237" s="1642"/>
      <c r="CL237" s="1642"/>
      <c r="CM237" s="1681"/>
      <c r="CN237" s="1672"/>
      <c r="CO237" s="1672"/>
      <c r="CP237" s="1672"/>
      <c r="CQ237" s="1681"/>
      <c r="CR237" s="1672"/>
      <c r="CS237" s="1672"/>
      <c r="CT237" s="1672"/>
      <c r="CU237" s="1681"/>
      <c r="CV237" s="1672"/>
      <c r="CW237" s="1672"/>
      <c r="CX237" s="1672"/>
      <c r="CY237" s="1681"/>
      <c r="CZ237" s="1672"/>
      <c r="DA237" s="1672"/>
      <c r="DB237" s="1672"/>
      <c r="DC237" s="1672"/>
      <c r="DD237" s="1672"/>
      <c r="DE237" s="1672"/>
      <c r="DF237" s="1672"/>
      <c r="DG237" s="1672"/>
      <c r="DH237" s="1672"/>
      <c r="DI237" s="1672"/>
      <c r="DJ237" s="1672"/>
      <c r="DK237" s="1672"/>
      <c r="DL237" s="1672"/>
    </row>
    <row r="238" spans="1:116" ht="12.75" hidden="1" customHeight="1">
      <c r="A238" s="1539" t="s">
        <v>1449</v>
      </c>
      <c r="B238" s="1642"/>
      <c r="C238" s="1642"/>
      <c r="D238" s="1642"/>
      <c r="E238" s="1641">
        <f>SUM(AF238:AI238)</f>
        <v>2631</v>
      </c>
      <c r="F238" s="1642">
        <f>SUM(AJ238:AM238)</f>
        <v>3549</v>
      </c>
      <c r="G238" s="1642">
        <f>SUM(AN238:AQ238)</f>
        <v>4622</v>
      </c>
      <c r="H238" s="1642">
        <f>SUM(AR238:AU238)</f>
        <v>5864</v>
      </c>
      <c r="I238" s="1642">
        <f>SUM(AV238:AY238)</f>
        <v>6783</v>
      </c>
      <c r="J238" s="1642">
        <f>SUM(AZ238:BC238)</f>
        <v>7296</v>
      </c>
      <c r="K238" s="1681">
        <f>SUM(BD238:BG238)</f>
        <v>7171</v>
      </c>
      <c r="L238" s="1642"/>
      <c r="M238" s="1642"/>
      <c r="N238" s="1642"/>
      <c r="O238" s="1642"/>
      <c r="P238" s="1642"/>
      <c r="Q238" s="1642"/>
      <c r="R238" s="1642"/>
      <c r="S238" s="1642"/>
      <c r="T238" s="1642"/>
      <c r="U238" s="1642"/>
      <c r="V238" s="1642"/>
      <c r="W238" s="1642"/>
      <c r="X238" s="1642"/>
      <c r="Y238" s="1642"/>
      <c r="Z238" s="1642"/>
      <c r="AA238" s="1642"/>
      <c r="AB238" s="1642"/>
      <c r="AC238" s="1642"/>
      <c r="AD238" s="1642"/>
      <c r="AE238" s="1642"/>
      <c r="AF238" s="1641">
        <f t="shared" ref="AF238:AQ238" si="280">SUM(AF234:AF237)</f>
        <v>567</v>
      </c>
      <c r="AG238" s="1642">
        <f t="shared" si="280"/>
        <v>610</v>
      </c>
      <c r="AH238" s="1642">
        <f t="shared" si="280"/>
        <v>684</v>
      </c>
      <c r="AI238" s="1642">
        <f t="shared" si="280"/>
        <v>770</v>
      </c>
      <c r="AJ238" s="1641">
        <f t="shared" si="280"/>
        <v>775</v>
      </c>
      <c r="AK238" s="1642">
        <f t="shared" si="280"/>
        <v>838</v>
      </c>
      <c r="AL238" s="1642">
        <f t="shared" si="280"/>
        <v>925</v>
      </c>
      <c r="AM238" s="1642">
        <f t="shared" si="280"/>
        <v>1011</v>
      </c>
      <c r="AN238" s="1641">
        <f t="shared" si="280"/>
        <v>1026</v>
      </c>
      <c r="AO238" s="1642">
        <f t="shared" si="280"/>
        <v>1103</v>
      </c>
      <c r="AP238" s="1642">
        <f t="shared" si="280"/>
        <v>1196</v>
      </c>
      <c r="AQ238" s="1642">
        <f t="shared" si="280"/>
        <v>1297</v>
      </c>
      <c r="AR238" s="1641">
        <f t="shared" ref="AR238:BK238" si="281">SUM(AR236:AR237)</f>
        <v>1345</v>
      </c>
      <c r="AS238" s="1642">
        <f t="shared" si="281"/>
        <v>1424</v>
      </c>
      <c r="AT238" s="1642">
        <f t="shared" si="281"/>
        <v>1494</v>
      </c>
      <c r="AU238" s="1642">
        <f t="shared" si="281"/>
        <v>1601</v>
      </c>
      <c r="AV238" s="1641">
        <f t="shared" si="281"/>
        <v>1621</v>
      </c>
      <c r="AW238" s="1642">
        <f t="shared" si="281"/>
        <v>1688</v>
      </c>
      <c r="AX238" s="1642">
        <f t="shared" si="281"/>
        <v>1714</v>
      </c>
      <c r="AY238" s="1642">
        <f t="shared" si="281"/>
        <v>1760</v>
      </c>
      <c r="AZ238" s="1641">
        <f t="shared" si="281"/>
        <v>1814</v>
      </c>
      <c r="BA238" s="1642">
        <f t="shared" si="281"/>
        <v>1826</v>
      </c>
      <c r="BB238" s="1642">
        <f t="shared" si="281"/>
        <v>1803</v>
      </c>
      <c r="BC238" s="1642">
        <f t="shared" si="281"/>
        <v>1853</v>
      </c>
      <c r="BD238" s="1694">
        <f t="shared" si="281"/>
        <v>1783</v>
      </c>
      <c r="BE238" s="1693">
        <f t="shared" si="281"/>
        <v>1788</v>
      </c>
      <c r="BF238" s="1693">
        <f t="shared" si="281"/>
        <v>1753</v>
      </c>
      <c r="BG238" s="1693">
        <f t="shared" si="281"/>
        <v>1847</v>
      </c>
      <c r="BH238" s="1694">
        <f t="shared" si="281"/>
        <v>1832</v>
      </c>
      <c r="BI238" s="1693">
        <f t="shared" si="281"/>
        <v>1887</v>
      </c>
      <c r="BJ238" s="1693">
        <f t="shared" si="281"/>
        <v>1949</v>
      </c>
      <c r="BK238" s="1693">
        <f t="shared" si="281"/>
        <v>2011</v>
      </c>
      <c r="BL238" s="1694">
        <v>2043</v>
      </c>
      <c r="BM238" s="1693">
        <f>SUM(BM236:BM237)</f>
        <v>2093</v>
      </c>
      <c r="BN238" s="1693">
        <f>SUM(BN236:BN237)</f>
        <v>2162</v>
      </c>
      <c r="BO238" s="1693">
        <f>SUM(BO236:BO237)</f>
        <v>2191</v>
      </c>
      <c r="BP238" s="1641">
        <f t="shared" ref="BP238:CU238" si="282">BP166</f>
        <v>3729</v>
      </c>
      <c r="BQ238" s="1642">
        <f t="shared" si="282"/>
        <v>3918</v>
      </c>
      <c r="BR238" s="1642">
        <f t="shared" si="282"/>
        <v>4040</v>
      </c>
      <c r="BS238" s="1642">
        <f t="shared" si="282"/>
        <v>4168</v>
      </c>
      <c r="BT238" s="1641">
        <f t="shared" si="282"/>
        <v>4173</v>
      </c>
      <c r="BU238" s="1642">
        <f t="shared" si="282"/>
        <v>4361</v>
      </c>
      <c r="BV238" s="1642">
        <f t="shared" si="282"/>
        <v>4554</v>
      </c>
      <c r="BW238" s="1642">
        <f t="shared" si="282"/>
        <v>4691</v>
      </c>
      <c r="BX238" s="1641">
        <f t="shared" si="282"/>
        <v>4799</v>
      </c>
      <c r="BY238" s="1642">
        <f t="shared" si="282"/>
        <v>5063</v>
      </c>
      <c r="BZ238" s="1642">
        <f t="shared" si="282"/>
        <v>5218</v>
      </c>
      <c r="CA238" s="1642">
        <f t="shared" si="282"/>
        <v>5200</v>
      </c>
      <c r="CB238" s="1641">
        <f t="shared" si="282"/>
        <v>0</v>
      </c>
      <c r="CC238" s="1642">
        <f t="shared" si="282"/>
        <v>0</v>
      </c>
      <c r="CD238" s="1642">
        <f t="shared" si="282"/>
        <v>0</v>
      </c>
      <c r="CE238" s="1642">
        <f t="shared" si="282"/>
        <v>0</v>
      </c>
      <c r="CF238" s="1641">
        <f t="shared" si="282"/>
        <v>0</v>
      </c>
      <c r="CG238" s="1642">
        <f t="shared" si="282"/>
        <v>0</v>
      </c>
      <c r="CH238" s="1642">
        <f t="shared" si="282"/>
        <v>0</v>
      </c>
      <c r="CI238" s="1642">
        <f t="shared" si="282"/>
        <v>0</v>
      </c>
      <c r="CJ238" s="1641">
        <f t="shared" si="282"/>
        <v>0</v>
      </c>
      <c r="CK238" s="1642">
        <f t="shared" si="282"/>
        <v>0</v>
      </c>
      <c r="CL238" s="1642">
        <f t="shared" si="282"/>
        <v>0</v>
      </c>
      <c r="CM238" s="1681">
        <f t="shared" si="282"/>
        <v>0</v>
      </c>
      <c r="CN238" s="1672">
        <f t="shared" si="282"/>
        <v>0</v>
      </c>
      <c r="CO238" s="1672">
        <f t="shared" si="282"/>
        <v>0</v>
      </c>
      <c r="CP238" s="1672">
        <f t="shared" si="282"/>
        <v>0</v>
      </c>
      <c r="CQ238" s="1681">
        <f t="shared" si="282"/>
        <v>0</v>
      </c>
      <c r="CR238" s="1672">
        <f t="shared" si="282"/>
        <v>0</v>
      </c>
      <c r="CS238" s="1672">
        <f t="shared" si="282"/>
        <v>0</v>
      </c>
      <c r="CT238" s="1672">
        <f t="shared" si="282"/>
        <v>0</v>
      </c>
      <c r="CU238" s="1681">
        <f t="shared" si="282"/>
        <v>0</v>
      </c>
      <c r="CV238" s="1672">
        <f t="shared" ref="CV238:DA238" si="283">CV166</f>
        <v>0</v>
      </c>
      <c r="CW238" s="1672">
        <f t="shared" si="283"/>
        <v>0</v>
      </c>
      <c r="CX238" s="1672">
        <f t="shared" si="283"/>
        <v>0</v>
      </c>
      <c r="CY238" s="1681">
        <f t="shared" si="283"/>
        <v>0</v>
      </c>
      <c r="CZ238" s="1672">
        <f t="shared" si="283"/>
        <v>0</v>
      </c>
      <c r="DA238" s="1672">
        <f t="shared" si="283"/>
        <v>0</v>
      </c>
      <c r="DB238" s="1672">
        <f t="shared" ref="DB238:DG238" si="284">DB166</f>
        <v>0</v>
      </c>
      <c r="DC238" s="1672">
        <f t="shared" si="284"/>
        <v>0</v>
      </c>
      <c r="DD238" s="1672">
        <f t="shared" si="284"/>
        <v>0</v>
      </c>
      <c r="DE238" s="1672">
        <f t="shared" si="284"/>
        <v>0</v>
      </c>
      <c r="DF238" s="1672">
        <f t="shared" si="284"/>
        <v>0</v>
      </c>
      <c r="DG238" s="1672">
        <f t="shared" si="284"/>
        <v>0</v>
      </c>
      <c r="DH238" s="1672">
        <f t="shared" ref="DH238:DI238" si="285">DH166</f>
        <v>0</v>
      </c>
      <c r="DI238" s="1672">
        <f t="shared" si="285"/>
        <v>0</v>
      </c>
      <c r="DJ238" s="1672">
        <f t="shared" ref="DJ238:DK238" si="286">DJ166</f>
        <v>0</v>
      </c>
      <c r="DK238" s="1672">
        <f t="shared" si="286"/>
        <v>0</v>
      </c>
      <c r="DL238" s="1672">
        <f t="shared" ref="DL238" si="287">DL166</f>
        <v>0</v>
      </c>
    </row>
    <row r="239" spans="1:116" ht="12.75" hidden="1" customHeight="1">
      <c r="A239" s="1539"/>
      <c r="B239" s="1642"/>
      <c r="C239" s="1642"/>
      <c r="D239" s="1642"/>
      <c r="E239" s="1641"/>
      <c r="F239" s="1642"/>
      <c r="G239" s="1642"/>
      <c r="H239" s="1642"/>
      <c r="I239" s="1642"/>
      <c r="J239" s="1642"/>
      <c r="K239" s="1681"/>
      <c r="L239" s="1642"/>
      <c r="M239" s="1642"/>
      <c r="N239" s="1642"/>
      <c r="O239" s="1642"/>
      <c r="P239" s="1642"/>
      <c r="Q239" s="1642"/>
      <c r="R239" s="1642"/>
      <c r="S239" s="1642"/>
      <c r="T239" s="1642"/>
      <c r="U239" s="1642"/>
      <c r="V239" s="1642"/>
      <c r="W239" s="1642"/>
      <c r="X239" s="1642"/>
      <c r="Y239" s="1642"/>
      <c r="Z239" s="1642"/>
      <c r="AA239" s="1642"/>
      <c r="AB239" s="1642"/>
      <c r="AC239" s="1642"/>
      <c r="AD239" s="1642"/>
      <c r="AE239" s="1642"/>
      <c r="AF239" s="1641"/>
      <c r="AG239" s="1642"/>
      <c r="AH239" s="1642"/>
      <c r="AI239" s="1642"/>
      <c r="AJ239" s="1641"/>
      <c r="AK239" s="1642"/>
      <c r="AL239" s="1642"/>
      <c r="AM239" s="1642"/>
      <c r="AN239" s="1641"/>
      <c r="AO239" s="1642"/>
      <c r="AP239" s="1642"/>
      <c r="AQ239" s="1642"/>
      <c r="AR239" s="1641"/>
      <c r="AS239" s="1642"/>
      <c r="AT239" s="1642"/>
      <c r="AU239" s="1642"/>
      <c r="AV239" s="1641"/>
      <c r="AW239" s="1642"/>
      <c r="AX239" s="1642"/>
      <c r="AY239" s="1642"/>
      <c r="AZ239" s="1641"/>
      <c r="BA239" s="1642"/>
      <c r="BB239" s="1642"/>
      <c r="BC239" s="1642"/>
      <c r="BD239" s="1641"/>
      <c r="BE239" s="1642"/>
      <c r="BF239" s="1642"/>
      <c r="BG239" s="1642"/>
      <c r="BH239" s="1641"/>
      <c r="BI239" s="1642"/>
      <c r="BJ239" s="1642"/>
      <c r="BK239" s="1642"/>
      <c r="BL239" s="1641"/>
      <c r="BM239" s="1642"/>
      <c r="BN239" s="1642"/>
      <c r="BO239" s="1642"/>
      <c r="BP239" s="1641"/>
      <c r="BQ239" s="1642"/>
      <c r="BR239" s="1642"/>
      <c r="BS239" s="1642"/>
      <c r="BT239" s="1641"/>
      <c r="BU239" s="1642"/>
      <c r="BV239" s="1642"/>
      <c r="BW239" s="1642"/>
      <c r="BX239" s="1641"/>
      <c r="BY239" s="1642"/>
      <c r="BZ239" s="1642"/>
      <c r="CA239" s="1642"/>
      <c r="CB239" s="1641"/>
      <c r="CC239" s="1642"/>
      <c r="CD239" s="1642"/>
      <c r="CE239" s="1642"/>
      <c r="CF239" s="1641"/>
      <c r="CG239" s="1642"/>
      <c r="CH239" s="1642"/>
      <c r="CI239" s="1642"/>
      <c r="CJ239" s="1641"/>
      <c r="CK239" s="1642"/>
      <c r="CL239" s="1642"/>
      <c r="CM239" s="1681"/>
      <c r="CN239" s="1672"/>
      <c r="CO239" s="1672"/>
      <c r="CP239" s="1672"/>
      <c r="CQ239" s="1681"/>
      <c r="CR239" s="1672"/>
      <c r="CS239" s="1672"/>
      <c r="CT239" s="1672"/>
      <c r="CU239" s="1681"/>
      <c r="CV239" s="1672"/>
      <c r="CW239" s="1672"/>
      <c r="CX239" s="1672"/>
      <c r="CY239" s="1681"/>
      <c r="CZ239" s="1672"/>
      <c r="DA239" s="1672"/>
      <c r="DB239" s="1672"/>
      <c r="DC239" s="1672"/>
      <c r="DD239" s="1672"/>
      <c r="DE239" s="1672"/>
      <c r="DF239" s="1672"/>
      <c r="DG239" s="1672"/>
      <c r="DH239" s="1672"/>
      <c r="DI239" s="1672"/>
      <c r="DJ239" s="1672"/>
      <c r="DK239" s="1672"/>
      <c r="DL239" s="1672"/>
    </row>
    <row r="240" spans="1:116" ht="12.75" hidden="1" customHeight="1">
      <c r="A240" s="1539" t="s">
        <v>677</v>
      </c>
      <c r="B240" s="1642"/>
      <c r="C240" s="1642"/>
      <c r="D240" s="1642"/>
      <c r="E240" s="1641"/>
      <c r="F240" s="1642"/>
      <c r="G240" s="1642"/>
      <c r="H240" s="1642"/>
      <c r="I240" s="1642"/>
      <c r="J240" s="1642"/>
      <c r="K240" s="1681"/>
      <c r="L240" s="1642"/>
      <c r="M240" s="1642"/>
      <c r="N240" s="1642"/>
      <c r="O240" s="1642"/>
      <c r="P240" s="1642"/>
      <c r="Q240" s="1642"/>
      <c r="R240" s="1642"/>
      <c r="S240" s="1642"/>
      <c r="T240" s="1642"/>
      <c r="U240" s="1642"/>
      <c r="V240" s="1642"/>
      <c r="W240" s="1642"/>
      <c r="X240" s="1642"/>
      <c r="Y240" s="1642"/>
      <c r="Z240" s="1642"/>
      <c r="AA240" s="1642"/>
      <c r="AB240" s="1642"/>
      <c r="AC240" s="1642"/>
      <c r="AD240" s="1642"/>
      <c r="AE240" s="1642"/>
      <c r="AF240" s="1641"/>
      <c r="AG240" s="1642"/>
      <c r="AH240" s="1642"/>
      <c r="AI240" s="1642"/>
      <c r="AJ240" s="1641"/>
      <c r="AK240" s="1642"/>
      <c r="AL240" s="1642"/>
      <c r="AM240" s="1642"/>
      <c r="AN240" s="1641"/>
      <c r="AO240" s="1642"/>
      <c r="AP240" s="1642"/>
      <c r="AQ240" s="1642"/>
      <c r="AR240" s="1641"/>
      <c r="AS240" s="1642"/>
      <c r="AT240" s="1642"/>
      <c r="AU240" s="1642"/>
      <c r="AV240" s="1641"/>
      <c r="AW240" s="1642"/>
      <c r="AX240" s="1642"/>
      <c r="AY240" s="1642"/>
      <c r="AZ240" s="1641"/>
      <c r="BA240" s="1642"/>
      <c r="BB240" s="1642"/>
      <c r="BC240" s="1642"/>
      <c r="BD240" s="1641"/>
      <c r="BE240" s="1642"/>
      <c r="BF240" s="1642"/>
      <c r="BG240" s="1642"/>
      <c r="BH240" s="1641"/>
      <c r="BI240" s="1642"/>
      <c r="BJ240" s="1642"/>
      <c r="BK240" s="1642"/>
      <c r="BL240" s="1641"/>
      <c r="BM240" s="1642"/>
      <c r="BN240" s="1642"/>
      <c r="BO240" s="1642"/>
      <c r="BP240" s="1641"/>
      <c r="BQ240" s="1642"/>
      <c r="BR240" s="1642"/>
      <c r="BS240" s="1642"/>
      <c r="BT240" s="1641"/>
      <c r="BU240" s="1642"/>
      <c r="BV240" s="1642"/>
      <c r="BW240" s="1642"/>
      <c r="BX240" s="1641"/>
      <c r="BY240" s="1642"/>
      <c r="BZ240" s="1642"/>
      <c r="CA240" s="1642"/>
      <c r="CB240" s="1641"/>
      <c r="CC240" s="1642"/>
      <c r="CD240" s="1642"/>
      <c r="CE240" s="1642"/>
      <c r="CF240" s="1641"/>
      <c r="CG240" s="1642"/>
      <c r="CH240" s="1642"/>
      <c r="CI240" s="1642"/>
      <c r="CJ240" s="1641"/>
      <c r="CK240" s="1642"/>
      <c r="CL240" s="1642"/>
      <c r="CM240" s="1681"/>
      <c r="CN240" s="1672"/>
      <c r="CO240" s="1672"/>
      <c r="CP240" s="1672"/>
      <c r="CQ240" s="1681"/>
      <c r="CR240" s="1672"/>
      <c r="CS240" s="1672"/>
      <c r="CT240" s="1672"/>
      <c r="CU240" s="1681"/>
      <c r="CV240" s="1672"/>
      <c r="CW240" s="1672"/>
      <c r="CX240" s="1672"/>
      <c r="CY240" s="1681"/>
      <c r="CZ240" s="1672"/>
      <c r="DA240" s="1672"/>
      <c r="DB240" s="1672"/>
      <c r="DC240" s="1672"/>
      <c r="DD240" s="1672"/>
      <c r="DE240" s="1672"/>
      <c r="DF240" s="1672"/>
      <c r="DG240" s="1672"/>
      <c r="DH240" s="1672"/>
      <c r="DI240" s="1672"/>
      <c r="DJ240" s="1672"/>
      <c r="DK240" s="1672"/>
      <c r="DL240" s="1672"/>
    </row>
    <row r="241" spans="1:116" ht="12.75" hidden="1" customHeight="1">
      <c r="A241" s="1628" t="s">
        <v>678</v>
      </c>
      <c r="B241" s="1642"/>
      <c r="C241" s="1642"/>
      <c r="D241" s="1642"/>
      <c r="E241" s="1641">
        <v>517</v>
      </c>
      <c r="F241" s="1642">
        <v>973</v>
      </c>
      <c r="G241" s="1642">
        <v>1447</v>
      </c>
      <c r="H241" s="1642">
        <f>AU241</f>
        <v>1939</v>
      </c>
      <c r="I241" s="1642"/>
      <c r="J241" s="1642"/>
      <c r="K241" s="1681"/>
      <c r="L241" s="1642"/>
      <c r="M241" s="1642"/>
      <c r="N241" s="1642"/>
      <c r="O241" s="1642"/>
      <c r="P241" s="1642"/>
      <c r="Q241" s="1642"/>
      <c r="R241" s="1642"/>
      <c r="S241" s="1642"/>
      <c r="T241" s="1642"/>
      <c r="U241" s="1642"/>
      <c r="V241" s="1642"/>
      <c r="W241" s="1642"/>
      <c r="X241" s="1642"/>
      <c r="Y241" s="1642"/>
      <c r="Z241" s="1642"/>
      <c r="AA241" s="1642"/>
      <c r="AB241" s="1642"/>
      <c r="AC241" s="1642"/>
      <c r="AD241" s="1642"/>
      <c r="AE241" s="1642"/>
      <c r="AF241" s="1641">
        <v>286</v>
      </c>
      <c r="AG241" s="1642">
        <v>358</v>
      </c>
      <c r="AH241" s="1642">
        <v>427</v>
      </c>
      <c r="AI241" s="1642">
        <v>517</v>
      </c>
      <c r="AJ241" s="1641">
        <v>620</v>
      </c>
      <c r="AK241" s="1642">
        <v>768</v>
      </c>
      <c r="AL241" s="1642">
        <v>863</v>
      </c>
      <c r="AM241" s="1642">
        <v>973</v>
      </c>
      <c r="AN241" s="1641">
        <v>1101</v>
      </c>
      <c r="AO241" s="1642">
        <v>1204</v>
      </c>
      <c r="AP241" s="1642">
        <v>1325</v>
      </c>
      <c r="AQ241" s="1642">
        <v>1436</v>
      </c>
      <c r="AR241" s="1641">
        <v>1583</v>
      </c>
      <c r="AS241" s="1642">
        <v>1724</v>
      </c>
      <c r="AT241" s="1642">
        <v>1840</v>
      </c>
      <c r="AU241" s="1642">
        <v>1939</v>
      </c>
      <c r="AV241" s="1641"/>
      <c r="AW241" s="1642"/>
      <c r="AX241" s="1642"/>
      <c r="AY241" s="1642"/>
      <c r="AZ241" s="1641"/>
      <c r="BA241" s="1642"/>
      <c r="BB241" s="1642"/>
      <c r="BC241" s="1642"/>
      <c r="BD241" s="1641"/>
      <c r="BE241" s="1642"/>
      <c r="BF241" s="1642"/>
      <c r="BG241" s="1642"/>
      <c r="BH241" s="1641"/>
      <c r="BI241" s="1642"/>
      <c r="BJ241" s="1642"/>
      <c r="BK241" s="1642"/>
      <c r="BL241" s="1641"/>
      <c r="BM241" s="1642"/>
      <c r="BN241" s="1642"/>
      <c r="BO241" s="1642"/>
      <c r="BP241" s="1641"/>
      <c r="BQ241" s="1642"/>
      <c r="BR241" s="1642"/>
      <c r="BS241" s="1642"/>
      <c r="BT241" s="1641"/>
      <c r="BU241" s="1642"/>
      <c r="BV241" s="1642"/>
      <c r="BW241" s="1642"/>
      <c r="BX241" s="1641"/>
      <c r="BY241" s="1642"/>
      <c r="BZ241" s="1642"/>
      <c r="CA241" s="1642"/>
      <c r="CB241" s="1641"/>
      <c r="CC241" s="1642"/>
      <c r="CD241" s="1642"/>
      <c r="CE241" s="1642"/>
      <c r="CF241" s="1641"/>
      <c r="CG241" s="1642"/>
      <c r="CH241" s="1642"/>
      <c r="CI241" s="1642"/>
      <c r="CJ241" s="1641"/>
      <c r="CK241" s="1642"/>
      <c r="CL241" s="1642"/>
      <c r="CM241" s="1681"/>
      <c r="CN241" s="1672"/>
      <c r="CO241" s="1672"/>
      <c r="CP241" s="1672"/>
      <c r="CQ241" s="1681"/>
      <c r="CR241" s="1672"/>
      <c r="CS241" s="1672"/>
      <c r="CT241" s="1672"/>
      <c r="CU241" s="1681"/>
      <c r="CV241" s="1672"/>
      <c r="CW241" s="1672"/>
      <c r="CX241" s="1672"/>
      <c r="CY241" s="1681"/>
      <c r="CZ241" s="1672"/>
      <c r="DA241" s="1672"/>
      <c r="DB241" s="1672"/>
      <c r="DC241" s="1672"/>
      <c r="DD241" s="1672"/>
      <c r="DE241" s="1672"/>
      <c r="DF241" s="1672"/>
      <c r="DG241" s="1672"/>
      <c r="DH241" s="1672"/>
      <c r="DI241" s="1672"/>
      <c r="DJ241" s="1672"/>
      <c r="DK241" s="1672"/>
      <c r="DL241" s="1672"/>
    </row>
    <row r="242" spans="1:116" ht="12.75" hidden="1" customHeight="1">
      <c r="A242" s="1628" t="s">
        <v>679</v>
      </c>
      <c r="B242" s="1642"/>
      <c r="C242" s="1642"/>
      <c r="D242" s="1642"/>
      <c r="E242" s="1641">
        <v>375</v>
      </c>
      <c r="F242" s="1642">
        <v>729</v>
      </c>
      <c r="G242" s="1642">
        <v>1119</v>
      </c>
      <c r="H242" s="1642">
        <f>AU242</f>
        <v>1649</v>
      </c>
      <c r="I242" s="1642"/>
      <c r="J242" s="1642"/>
      <c r="K242" s="1681"/>
      <c r="L242" s="1642"/>
      <c r="M242" s="1642"/>
      <c r="N242" s="1642"/>
      <c r="O242" s="1642"/>
      <c r="P242" s="1642"/>
      <c r="Q242" s="1642"/>
      <c r="R242" s="1642"/>
      <c r="S242" s="1642"/>
      <c r="T242" s="1642"/>
      <c r="U242" s="1642"/>
      <c r="V242" s="1642"/>
      <c r="W242" s="1642"/>
      <c r="X242" s="1642"/>
      <c r="Y242" s="1642"/>
      <c r="Z242" s="1642"/>
      <c r="AA242" s="1642"/>
      <c r="AB242" s="1642"/>
      <c r="AC242" s="1642"/>
      <c r="AD242" s="1642"/>
      <c r="AE242" s="1642"/>
      <c r="AF242" s="1641" t="s">
        <v>1090</v>
      </c>
      <c r="AG242" s="1642">
        <v>244</v>
      </c>
      <c r="AH242" s="1642">
        <v>305</v>
      </c>
      <c r="AI242" s="1642">
        <v>375</v>
      </c>
      <c r="AJ242" s="1641">
        <v>427</v>
      </c>
      <c r="AK242" s="1642">
        <v>506</v>
      </c>
      <c r="AL242" s="1642">
        <v>617</v>
      </c>
      <c r="AM242" s="1642">
        <v>729</v>
      </c>
      <c r="AN242" s="1641">
        <v>879</v>
      </c>
      <c r="AO242" s="1642">
        <v>908</v>
      </c>
      <c r="AP242" s="1642">
        <v>1023</v>
      </c>
      <c r="AQ242" s="1642">
        <v>1115</v>
      </c>
      <c r="AR242" s="1641">
        <v>1238</v>
      </c>
      <c r="AS242" s="1642">
        <v>1376</v>
      </c>
      <c r="AT242" s="1642">
        <v>1512</v>
      </c>
      <c r="AU242" s="1642">
        <v>1649</v>
      </c>
      <c r="AV242" s="1641"/>
      <c r="AW242" s="1642"/>
      <c r="AX242" s="1642"/>
      <c r="AY242" s="1642"/>
      <c r="AZ242" s="1641"/>
      <c r="BA242" s="1642"/>
      <c r="BB242" s="1642"/>
      <c r="BC242" s="1642"/>
      <c r="BD242" s="1641"/>
      <c r="BE242" s="1642"/>
      <c r="BF242" s="1642"/>
      <c r="BG242" s="1642"/>
      <c r="BH242" s="1641"/>
      <c r="BI242" s="1642"/>
      <c r="BJ242" s="1642"/>
      <c r="BK242" s="1642"/>
      <c r="BL242" s="1641"/>
      <c r="BM242" s="1642"/>
      <c r="BN242" s="1642"/>
      <c r="BO242" s="1642"/>
      <c r="BP242" s="1641"/>
      <c r="BQ242" s="1642"/>
      <c r="BR242" s="1642"/>
      <c r="BS242" s="1642"/>
      <c r="BT242" s="1641"/>
      <c r="BU242" s="1642"/>
      <c r="BV242" s="1642"/>
      <c r="BW242" s="1642"/>
      <c r="BX242" s="1641"/>
      <c r="BY242" s="1642"/>
      <c r="BZ242" s="1642"/>
      <c r="CA242" s="1642"/>
      <c r="CB242" s="1641"/>
      <c r="CC242" s="1642"/>
      <c r="CD242" s="1642"/>
      <c r="CE242" s="1642"/>
      <c r="CF242" s="1641"/>
      <c r="CG242" s="1642"/>
      <c r="CH242" s="1642"/>
      <c r="CI242" s="1642"/>
      <c r="CJ242" s="1641"/>
      <c r="CK242" s="1642"/>
      <c r="CL242" s="1642"/>
      <c r="CM242" s="1681"/>
      <c r="CN242" s="1672"/>
      <c r="CO242" s="1672"/>
      <c r="CP242" s="1672"/>
      <c r="CQ242" s="1681"/>
      <c r="CR242" s="1672"/>
      <c r="CS242" s="1672"/>
      <c r="CT242" s="1672"/>
      <c r="CU242" s="1681"/>
      <c r="CV242" s="1672"/>
      <c r="CW242" s="1672"/>
      <c r="CX242" s="1672"/>
      <c r="CY242" s="1681"/>
      <c r="CZ242" s="1672"/>
      <c r="DA242" s="1672"/>
      <c r="DB242" s="1672"/>
      <c r="DC242" s="1672"/>
      <c r="DD242" s="1672"/>
      <c r="DE242" s="1672"/>
      <c r="DF242" s="1672"/>
      <c r="DG242" s="1672"/>
      <c r="DH242" s="1672"/>
      <c r="DI242" s="1672"/>
      <c r="DJ242" s="1672"/>
      <c r="DK242" s="1672"/>
      <c r="DL242" s="1672"/>
    </row>
    <row r="243" spans="1:116" ht="12.75" hidden="1" customHeight="1">
      <c r="A243" s="1628" t="s">
        <v>680</v>
      </c>
      <c r="B243" s="1642"/>
      <c r="C243" s="1642"/>
      <c r="D243" s="1642"/>
      <c r="E243" s="1641">
        <v>233</v>
      </c>
      <c r="F243" s="1642">
        <v>721</v>
      </c>
      <c r="G243" s="1642">
        <v>1357</v>
      </c>
      <c r="H243" s="1642">
        <f>AU243</f>
        <v>2464</v>
      </c>
      <c r="I243" s="1642"/>
      <c r="J243" s="1642"/>
      <c r="K243" s="1681"/>
      <c r="L243" s="1642"/>
      <c r="M243" s="1642"/>
      <c r="N243" s="1642"/>
      <c r="O243" s="1642"/>
      <c r="P243" s="1642"/>
      <c r="Q243" s="1642"/>
      <c r="R243" s="1642"/>
      <c r="S243" s="1642"/>
      <c r="T243" s="1642"/>
      <c r="U243" s="1642"/>
      <c r="V243" s="1642"/>
      <c r="W243" s="1642"/>
      <c r="X243" s="1642"/>
      <c r="Y243" s="1642"/>
      <c r="Z243" s="1642"/>
      <c r="AA243" s="1642"/>
      <c r="AB243" s="1642"/>
      <c r="AC243" s="1642"/>
      <c r="AD243" s="1642"/>
      <c r="AE243" s="1642"/>
      <c r="AF243" s="1641" t="s">
        <v>1090</v>
      </c>
      <c r="AG243" s="1642">
        <v>161</v>
      </c>
      <c r="AH243" s="1642">
        <v>189</v>
      </c>
      <c r="AI243" s="1642">
        <v>233</v>
      </c>
      <c r="AJ243" s="1641">
        <v>262</v>
      </c>
      <c r="AK243" s="1642">
        <v>404</v>
      </c>
      <c r="AL243" s="1642">
        <v>602</v>
      </c>
      <c r="AM243" s="1642">
        <v>721</v>
      </c>
      <c r="AN243" s="1641">
        <v>835</v>
      </c>
      <c r="AO243" s="1642">
        <v>964</v>
      </c>
      <c r="AP243" s="1642">
        <v>1133</v>
      </c>
      <c r="AQ243" s="1642">
        <v>1365</v>
      </c>
      <c r="AR243" s="1641">
        <v>1543</v>
      </c>
      <c r="AS243" s="1642">
        <v>1739</v>
      </c>
      <c r="AT243" s="1642">
        <v>1982</v>
      </c>
      <c r="AU243" s="1642">
        <v>2464</v>
      </c>
      <c r="AV243" s="1641"/>
      <c r="AW243" s="1642"/>
      <c r="AX243" s="1642"/>
      <c r="AY243" s="1642"/>
      <c r="AZ243" s="1641"/>
      <c r="BA243" s="1642"/>
      <c r="BB243" s="1642"/>
      <c r="BC243" s="1642"/>
      <c r="BD243" s="1641"/>
      <c r="BE243" s="1642"/>
      <c r="BF243" s="1642"/>
      <c r="BG243" s="1642"/>
      <c r="BH243" s="1641"/>
      <c r="BI243" s="1642"/>
      <c r="BJ243" s="1642"/>
      <c r="BK243" s="1642"/>
      <c r="BL243" s="1641"/>
      <c r="BM243" s="1642"/>
      <c r="BN243" s="1642"/>
      <c r="BO243" s="1642"/>
      <c r="BP243" s="1641"/>
      <c r="BQ243" s="1642"/>
      <c r="BR243" s="1642"/>
      <c r="BS243" s="1642"/>
      <c r="BT243" s="1641"/>
      <c r="BU243" s="1642"/>
      <c r="BV243" s="1642"/>
      <c r="BW243" s="1642"/>
      <c r="BX243" s="1641"/>
      <c r="BY243" s="1642"/>
      <c r="BZ243" s="1642"/>
      <c r="CA243" s="1642"/>
      <c r="CB243" s="1641"/>
      <c r="CC243" s="1642"/>
      <c r="CD243" s="1642"/>
      <c r="CE243" s="1642"/>
      <c r="CF243" s="1641"/>
      <c r="CG243" s="1642"/>
      <c r="CH243" s="1642"/>
      <c r="CI243" s="1642"/>
      <c r="CJ243" s="1641"/>
      <c r="CK243" s="1642"/>
      <c r="CL243" s="1642"/>
      <c r="CM243" s="1681"/>
      <c r="CN243" s="1672"/>
      <c r="CO243" s="1672"/>
      <c r="CP243" s="1672"/>
      <c r="CQ243" s="1681"/>
      <c r="CR243" s="1672"/>
      <c r="CS243" s="1672"/>
      <c r="CT243" s="1672"/>
      <c r="CU243" s="1681"/>
      <c r="CV243" s="1672"/>
      <c r="CW243" s="1672"/>
      <c r="CX243" s="1672"/>
      <c r="CY243" s="1681"/>
      <c r="CZ243" s="1672"/>
      <c r="DA243" s="1672"/>
      <c r="DB243" s="1672"/>
      <c r="DC243" s="1672"/>
      <c r="DD243" s="1672"/>
      <c r="DE243" s="1672"/>
      <c r="DF243" s="1672"/>
      <c r="DG243" s="1672"/>
      <c r="DH243" s="1672"/>
      <c r="DI243" s="1672"/>
      <c r="DJ243" s="1672"/>
      <c r="DK243" s="1672"/>
      <c r="DL243" s="1672"/>
    </row>
    <row r="244" spans="1:116" ht="12.75" hidden="1" customHeight="1">
      <c r="A244" s="1539"/>
      <c r="B244" s="1642"/>
      <c r="C244" s="1642"/>
      <c r="D244" s="1642"/>
      <c r="E244" s="1641"/>
      <c r="F244" s="1642"/>
      <c r="G244" s="1642"/>
      <c r="H244" s="1642"/>
      <c r="I244" s="1642"/>
      <c r="J244" s="1642"/>
      <c r="K244" s="1681"/>
      <c r="L244" s="1642"/>
      <c r="M244" s="1642"/>
      <c r="N244" s="1642"/>
      <c r="O244" s="1642"/>
      <c r="P244" s="1642"/>
      <c r="Q244" s="1642"/>
      <c r="R244" s="1642"/>
      <c r="S244" s="1642"/>
      <c r="T244" s="1642"/>
      <c r="U244" s="1642"/>
      <c r="V244" s="1642"/>
      <c r="W244" s="1642"/>
      <c r="X244" s="1642"/>
      <c r="Y244" s="1642"/>
      <c r="Z244" s="1642"/>
      <c r="AA244" s="1642"/>
      <c r="AB244" s="1642"/>
      <c r="AC244" s="1642"/>
      <c r="AD244" s="1642"/>
      <c r="AE244" s="1642"/>
      <c r="AF244" s="1641"/>
      <c r="AG244" s="1642"/>
      <c r="AH244" s="1642"/>
      <c r="AI244" s="1642"/>
      <c r="AJ244" s="1641"/>
      <c r="AK244" s="1642"/>
      <c r="AL244" s="1642"/>
      <c r="AM244" s="1642"/>
      <c r="AN244" s="1641"/>
      <c r="AO244" s="1642"/>
      <c r="AP244" s="1642"/>
      <c r="AQ244" s="1642"/>
      <c r="AR244" s="1641"/>
      <c r="AS244" s="1642"/>
      <c r="AT244" s="1642"/>
      <c r="AU244" s="1642"/>
      <c r="AV244" s="1641"/>
      <c r="AW244" s="1642"/>
      <c r="AX244" s="1642"/>
      <c r="AY244" s="1642"/>
      <c r="AZ244" s="1641"/>
      <c r="BA244" s="1642"/>
      <c r="BB244" s="1642"/>
      <c r="BC244" s="1642"/>
      <c r="BD244" s="1641"/>
      <c r="BE244" s="1642"/>
      <c r="BF244" s="1642"/>
      <c r="BG244" s="1642"/>
      <c r="BH244" s="1641"/>
      <c r="BI244" s="1642"/>
      <c r="BJ244" s="1642"/>
      <c r="BK244" s="1642"/>
      <c r="BL244" s="1641"/>
      <c r="BM244" s="1642"/>
      <c r="BN244" s="1642"/>
      <c r="BO244" s="1642"/>
      <c r="BP244" s="1641"/>
      <c r="BQ244" s="1642"/>
      <c r="BR244" s="1642"/>
      <c r="BS244" s="1642"/>
      <c r="BT244" s="1641"/>
      <c r="BU244" s="1642"/>
      <c r="BV244" s="1642"/>
      <c r="BW244" s="1642"/>
      <c r="BX244" s="1641"/>
      <c r="BY244" s="1642"/>
      <c r="BZ244" s="1642"/>
      <c r="CA244" s="1642"/>
      <c r="CB244" s="1641"/>
      <c r="CC244" s="1642"/>
      <c r="CD244" s="1642"/>
      <c r="CE244" s="1642"/>
      <c r="CF244" s="1641"/>
      <c r="CG244" s="1642"/>
      <c r="CH244" s="1642"/>
      <c r="CI244" s="1642"/>
      <c r="CJ244" s="1641"/>
      <c r="CK244" s="1642"/>
      <c r="CL244" s="1642"/>
      <c r="CM244" s="1681"/>
      <c r="CN244" s="1672"/>
      <c r="CO244" s="1672"/>
      <c r="CP244" s="1672"/>
      <c r="CQ244" s="1681"/>
      <c r="CR244" s="1672"/>
      <c r="CS244" s="1672"/>
      <c r="CT244" s="1672"/>
      <c r="CU244" s="1681"/>
      <c r="CV244" s="1672"/>
      <c r="CW244" s="1672"/>
      <c r="CX244" s="1672"/>
      <c r="CY244" s="1681"/>
      <c r="CZ244" s="1672"/>
      <c r="DA244" s="1672"/>
      <c r="DB244" s="1672"/>
      <c r="DC244" s="1672"/>
      <c r="DD244" s="1672"/>
      <c r="DE244" s="1672"/>
      <c r="DF244" s="1672"/>
      <c r="DG244" s="1672"/>
      <c r="DH244" s="1672"/>
      <c r="DI244" s="1672"/>
      <c r="DJ244" s="1672"/>
      <c r="DK244" s="1672"/>
      <c r="DL244" s="1672"/>
    </row>
    <row r="245" spans="1:116" ht="12.75" customHeight="1">
      <c r="A245" s="1391"/>
      <c r="B245" s="1645"/>
      <c r="C245" s="1645"/>
      <c r="D245" s="1645"/>
      <c r="E245" s="1699"/>
      <c r="F245" s="1645"/>
      <c r="G245" s="1645"/>
      <c r="H245" s="1645"/>
      <c r="I245" s="1645"/>
      <c r="J245" s="1645"/>
      <c r="K245" s="1700"/>
      <c r="L245" s="1645"/>
      <c r="M245" s="1645"/>
      <c r="N245" s="1645"/>
      <c r="O245" s="1645"/>
      <c r="P245" s="1645"/>
      <c r="Q245" s="1645"/>
      <c r="R245" s="1645"/>
      <c r="S245" s="1645"/>
      <c r="T245" s="1645"/>
      <c r="U245" s="1645"/>
      <c r="V245" s="1645"/>
      <c r="W245" s="1645"/>
      <c r="X245" s="1645"/>
      <c r="Y245" s="1645"/>
      <c r="Z245" s="1645"/>
      <c r="AA245" s="1645"/>
      <c r="AB245" s="1645"/>
      <c r="AC245" s="1645"/>
      <c r="AD245" s="1645"/>
      <c r="AE245" s="1645"/>
      <c r="AF245" s="1699"/>
      <c r="AG245" s="1645"/>
      <c r="AH245" s="1645"/>
      <c r="AI245" s="1645"/>
      <c r="AJ245" s="1699"/>
      <c r="AK245" s="1645"/>
      <c r="AL245" s="1645"/>
      <c r="AM245" s="1645"/>
      <c r="AN245" s="1699"/>
      <c r="AO245" s="1645"/>
      <c r="AP245" s="1645"/>
      <c r="AQ245" s="1645"/>
      <c r="AR245" s="1699"/>
      <c r="AS245" s="1645"/>
      <c r="AT245" s="1645"/>
      <c r="AU245" s="1645"/>
      <c r="AV245" s="1699"/>
      <c r="AW245" s="1645"/>
      <c r="AX245" s="1645"/>
      <c r="AY245" s="1645"/>
      <c r="AZ245" s="1699"/>
      <c r="BA245" s="1645"/>
      <c r="BB245" s="1645"/>
      <c r="BC245" s="1645"/>
      <c r="BD245" s="1699"/>
      <c r="BE245" s="1645"/>
      <c r="BF245" s="1645"/>
      <c r="BG245" s="1645"/>
      <c r="BH245" s="1699"/>
      <c r="BI245" s="1645"/>
      <c r="BJ245" s="1645"/>
      <c r="BK245" s="1645"/>
      <c r="BL245" s="1699"/>
      <c r="BM245" s="1645"/>
      <c r="BN245" s="1645"/>
      <c r="BO245" s="1645"/>
      <c r="BP245" s="1699"/>
      <c r="BQ245" s="1645"/>
      <c r="BR245" s="1645"/>
      <c r="BS245" s="1645"/>
      <c r="BT245" s="1699"/>
      <c r="BU245" s="1645"/>
      <c r="BV245" s="1645"/>
      <c r="BW245" s="1645"/>
      <c r="BX245" s="1699"/>
      <c r="BY245" s="1645"/>
      <c r="BZ245" s="1645"/>
      <c r="CA245" s="1645"/>
      <c r="CB245" s="1699"/>
      <c r="CC245" s="1645"/>
      <c r="CD245" s="1645"/>
      <c r="CE245" s="1645"/>
      <c r="CF245" s="1699"/>
      <c r="CG245" s="1645"/>
      <c r="CH245" s="1645"/>
      <c r="CI245" s="1645"/>
      <c r="CJ245" s="1699"/>
      <c r="CK245" s="1645"/>
      <c r="CL245" s="1645"/>
      <c r="CM245" s="1700"/>
      <c r="CN245" s="1484"/>
      <c r="CO245" s="1484"/>
      <c r="CP245" s="1484"/>
      <c r="CQ245" s="1700"/>
      <c r="CR245" s="1484"/>
      <c r="CS245" s="1484"/>
      <c r="CT245" s="1484"/>
      <c r="CU245" s="1700"/>
      <c r="CV245" s="1484"/>
      <c r="CW245" s="1484"/>
      <c r="CX245" s="1484"/>
      <c r="CY245" s="1700"/>
      <c r="CZ245" s="1484"/>
      <c r="DA245" s="1484"/>
      <c r="DB245" s="1484"/>
      <c r="DC245" s="1484"/>
      <c r="DD245" s="1484"/>
      <c r="DE245" s="1484"/>
      <c r="DF245" s="1484"/>
      <c r="DG245" s="1484"/>
      <c r="DH245" s="1484"/>
      <c r="DI245" s="1484"/>
      <c r="DJ245" s="1484"/>
      <c r="DK245" s="1484"/>
      <c r="DL245" s="1484"/>
    </row>
    <row r="246" spans="1:116">
      <c r="A246" s="1664" t="s">
        <v>312</v>
      </c>
      <c r="B246" s="1729"/>
      <c r="C246" s="1729"/>
      <c r="D246" s="1729"/>
      <c r="E246" s="1740"/>
      <c r="F246" s="1730"/>
      <c r="G246" s="1730"/>
      <c r="H246" s="1730"/>
      <c r="I246" s="1730"/>
      <c r="J246" s="1730"/>
      <c r="K246" s="1732"/>
      <c r="L246" s="1730"/>
      <c r="M246" s="1730"/>
      <c r="N246" s="1730"/>
      <c r="O246" s="1730"/>
      <c r="P246" s="1730"/>
      <c r="Q246" s="1730"/>
      <c r="R246" s="1730"/>
      <c r="S246" s="1730"/>
      <c r="T246" s="1730"/>
      <c r="U246" s="1730"/>
      <c r="V246" s="1730"/>
      <c r="W246" s="1730"/>
      <c r="X246" s="1730"/>
      <c r="Y246" s="1730"/>
      <c r="Z246" s="1730"/>
      <c r="AA246" s="1730"/>
      <c r="AB246" s="1730"/>
      <c r="AC246" s="1730"/>
      <c r="AD246" s="1730"/>
      <c r="AE246" s="1730"/>
      <c r="AF246" s="1731"/>
      <c r="AG246" s="1730"/>
      <c r="AH246" s="1730"/>
      <c r="AI246" s="1730"/>
      <c r="AJ246" s="1731"/>
      <c r="AK246" s="1730"/>
      <c r="AL246" s="1730"/>
      <c r="AM246" s="1730"/>
      <c r="AN246" s="1731"/>
      <c r="AO246" s="1730"/>
      <c r="AP246" s="1730"/>
      <c r="AQ246" s="1730"/>
      <c r="AR246" s="1731"/>
      <c r="AS246" s="1730"/>
      <c r="AT246" s="1730"/>
      <c r="AU246" s="1730"/>
      <c r="AV246" s="1731"/>
      <c r="AW246" s="1730"/>
      <c r="AX246" s="1730"/>
      <c r="AY246" s="1730"/>
      <c r="AZ246" s="1731"/>
      <c r="BA246" s="1730"/>
      <c r="BB246" s="1730"/>
      <c r="BC246" s="1730"/>
      <c r="BD246" s="1731"/>
      <c r="BE246" s="1730"/>
      <c r="BF246" s="1730"/>
      <c r="BG246" s="1730"/>
      <c r="BH246" s="1731"/>
      <c r="BI246" s="1730"/>
      <c r="BJ246" s="1730"/>
      <c r="BK246" s="1730"/>
      <c r="BL246" s="1731"/>
      <c r="BM246" s="1730"/>
      <c r="BN246" s="1730"/>
      <c r="BO246" s="1730"/>
      <c r="BP246" s="1731"/>
      <c r="BQ246" s="1730"/>
      <c r="BR246" s="1730"/>
      <c r="BS246" s="1730"/>
      <c r="BT246" s="1731"/>
      <c r="BU246" s="1730"/>
      <c r="BV246" s="1730"/>
      <c r="BW246" s="1730"/>
      <c r="BX246" s="1731"/>
      <c r="BY246" s="1730"/>
      <c r="BZ246" s="1730"/>
      <c r="CA246" s="1730"/>
      <c r="CB246" s="1731"/>
      <c r="CC246" s="1730"/>
      <c r="CD246" s="1730"/>
      <c r="CE246" s="1730"/>
      <c r="CF246" s="1731"/>
      <c r="CG246" s="1730"/>
      <c r="CH246" s="1730"/>
      <c r="CI246" s="1730"/>
      <c r="CJ246" s="1731"/>
      <c r="CK246" s="1730"/>
      <c r="CL246" s="1730"/>
      <c r="CM246" s="1732"/>
      <c r="CN246" s="1733"/>
      <c r="CO246" s="1733"/>
      <c r="CP246" s="1733"/>
      <c r="CQ246" s="1732"/>
      <c r="CR246" s="1733"/>
      <c r="CS246" s="1733"/>
      <c r="CT246" s="1733"/>
      <c r="CU246" s="1732"/>
      <c r="CV246" s="1733"/>
      <c r="CW246" s="1733"/>
      <c r="CX246" s="1733"/>
      <c r="CY246" s="1732"/>
      <c r="CZ246" s="1733"/>
      <c r="DA246" s="1733"/>
      <c r="DB246" s="1733"/>
      <c r="DC246" s="1733"/>
      <c r="DD246" s="1733"/>
      <c r="DE246" s="1733"/>
      <c r="DF246" s="1733"/>
      <c r="DG246" s="1733"/>
      <c r="DH246" s="1733"/>
      <c r="DI246" s="1733"/>
      <c r="DJ246" s="1733"/>
      <c r="DK246" s="1733"/>
      <c r="DL246" s="1733"/>
    </row>
    <row r="247" spans="1:116">
      <c r="A247" s="1539" t="s">
        <v>1433</v>
      </c>
      <c r="B247" s="1642"/>
      <c r="C247" s="1642"/>
      <c r="D247" s="1642"/>
      <c r="E247" s="1641"/>
      <c r="F247" s="1642"/>
      <c r="G247" s="1642"/>
      <c r="H247" s="1642"/>
      <c r="I247" s="1642"/>
      <c r="J247" s="1642"/>
      <c r="K247" s="1681"/>
      <c r="L247" s="1642"/>
      <c r="M247" s="1642"/>
      <c r="N247" s="1642"/>
      <c r="O247" s="1642"/>
      <c r="P247" s="1642"/>
      <c r="Q247" s="1642"/>
      <c r="R247" s="1642"/>
      <c r="S247" s="1642"/>
      <c r="T247" s="1642"/>
      <c r="U247" s="1642"/>
      <c r="V247" s="1642"/>
      <c r="W247" s="1642"/>
      <c r="X247" s="1642"/>
      <c r="Y247" s="1642"/>
      <c r="Z247" s="1642"/>
      <c r="AA247" s="1642"/>
      <c r="AB247" s="1642"/>
      <c r="AC247" s="1642"/>
      <c r="AD247" s="1642"/>
      <c r="AE247" s="1642"/>
      <c r="AF247" s="1641"/>
      <c r="AG247" s="1642"/>
      <c r="AH247" s="1642"/>
      <c r="AI247" s="1642"/>
      <c r="AJ247" s="1641"/>
      <c r="AK247" s="1642"/>
      <c r="AL247" s="1642"/>
      <c r="AM247" s="1642"/>
      <c r="AN247" s="1641" t="s">
        <v>681</v>
      </c>
      <c r="AO247" s="1642"/>
      <c r="AP247" s="1642"/>
      <c r="AQ247" s="1642"/>
      <c r="AR247" s="1641"/>
      <c r="AS247" s="1642"/>
      <c r="AT247" s="1642"/>
      <c r="AU247" s="1642"/>
      <c r="AV247" s="1641"/>
      <c r="AW247" s="1642"/>
      <c r="AX247" s="1642"/>
      <c r="AY247" s="1642"/>
      <c r="AZ247" s="1641"/>
      <c r="BA247" s="1642"/>
      <c r="BB247" s="1642"/>
      <c r="BC247" s="1642"/>
      <c r="BD247" s="1641"/>
      <c r="BE247" s="1642"/>
      <c r="BF247" s="1642"/>
      <c r="BG247" s="1642"/>
      <c r="BH247" s="1641"/>
      <c r="BI247" s="1642"/>
      <c r="BJ247" s="1642"/>
      <c r="BK247" s="1642"/>
      <c r="BL247" s="1641"/>
      <c r="BM247" s="1642"/>
      <c r="BN247" s="1642"/>
      <c r="BO247" s="1642"/>
      <c r="BP247" s="1641"/>
      <c r="BQ247" s="1642"/>
      <c r="BR247" s="1642"/>
      <c r="BS247" s="1642"/>
      <c r="BT247" s="1641"/>
      <c r="BU247" s="1642"/>
      <c r="BV247" s="1642"/>
      <c r="BW247" s="1642"/>
      <c r="BX247" s="1641"/>
      <c r="BY247" s="1642"/>
      <c r="BZ247" s="1642"/>
      <c r="CA247" s="1642"/>
      <c r="CB247" s="1641"/>
      <c r="CC247" s="1642"/>
      <c r="CD247" s="1642"/>
      <c r="CE247" s="1642"/>
      <c r="CF247" s="1641"/>
      <c r="CG247" s="1642"/>
      <c r="CH247" s="1642"/>
      <c r="CI247" s="1642"/>
      <c r="CJ247" s="1641"/>
      <c r="CK247" s="1642"/>
      <c r="CL247" s="1642"/>
      <c r="CM247" s="1681"/>
      <c r="CN247" s="1672"/>
      <c r="CO247" s="1672"/>
      <c r="CP247" s="1672"/>
      <c r="CQ247" s="1681"/>
      <c r="CR247" s="1672"/>
      <c r="CS247" s="1672"/>
      <c r="CT247" s="1672"/>
      <c r="CU247" s="1681"/>
      <c r="CV247" s="1672"/>
      <c r="CW247" s="1672"/>
      <c r="CX247" s="1672"/>
      <c r="CY247" s="1681"/>
      <c r="CZ247" s="1672"/>
      <c r="DA247" s="1672"/>
      <c r="DB247" s="1672"/>
      <c r="DC247" s="1672"/>
      <c r="DD247" s="1672"/>
      <c r="DE247" s="1672"/>
      <c r="DF247" s="1672"/>
      <c r="DG247" s="1672"/>
      <c r="DH247" s="1672"/>
      <c r="DI247" s="1672"/>
      <c r="DJ247" s="1672"/>
      <c r="DK247" s="1672"/>
      <c r="DL247" s="1672"/>
    </row>
    <row r="248" spans="1:116">
      <c r="A248" s="1628" t="s">
        <v>797</v>
      </c>
      <c r="B248" s="1642"/>
      <c r="C248" s="1642"/>
      <c r="D248" s="1642"/>
      <c r="E248" s="1641">
        <v>5238</v>
      </c>
      <c r="F248" s="1642">
        <v>5675</v>
      </c>
      <c r="G248" s="1642">
        <v>9946</v>
      </c>
      <c r="H248" s="1642">
        <f>AU248</f>
        <v>3730</v>
      </c>
      <c r="I248" s="1642">
        <f>AY248</f>
        <v>4031</v>
      </c>
      <c r="J248" s="1642">
        <f>SUM(AZ248:BC248)</f>
        <v>17747</v>
      </c>
      <c r="K248" s="1681">
        <f>SUM(BD248:BG248)</f>
        <v>20336</v>
      </c>
      <c r="L248" s="1642"/>
      <c r="M248" s="1642"/>
      <c r="N248" s="1642"/>
      <c r="O248" s="1642"/>
      <c r="P248" s="1642"/>
      <c r="Q248" s="1642"/>
      <c r="R248" s="1642"/>
      <c r="S248" s="1642"/>
      <c r="T248" s="1642"/>
      <c r="U248" s="1642"/>
      <c r="V248" s="1642"/>
      <c r="W248" s="1642"/>
      <c r="X248" s="1642"/>
      <c r="Y248" s="1642"/>
      <c r="Z248" s="1642"/>
      <c r="AA248" s="1642"/>
      <c r="AB248" s="1642"/>
      <c r="AC248" s="1642"/>
      <c r="AD248" s="1642"/>
      <c r="AE248" s="1642"/>
      <c r="AF248" s="1641">
        <v>1232</v>
      </c>
      <c r="AG248" s="1642">
        <v>1328</v>
      </c>
      <c r="AH248" s="1642">
        <v>1333</v>
      </c>
      <c r="AI248" s="1642">
        <v>1345</v>
      </c>
      <c r="AJ248" s="1641">
        <v>1333</v>
      </c>
      <c r="AK248" s="1642">
        <v>1417</v>
      </c>
      <c r="AL248" s="1642">
        <v>1459</v>
      </c>
      <c r="AM248" s="1642">
        <v>1466</v>
      </c>
      <c r="AN248" s="1641">
        <v>2839</v>
      </c>
      <c r="AO248" s="1642">
        <v>3062</v>
      </c>
      <c r="AP248" s="1642">
        <v>3142</v>
      </c>
      <c r="AQ248" s="1642">
        <v>3128</v>
      </c>
      <c r="AR248" s="1641">
        <v>3130</v>
      </c>
      <c r="AS248" s="1642">
        <v>3626</v>
      </c>
      <c r="AT248" s="1642">
        <v>3695</v>
      </c>
      <c r="AU248" s="1642">
        <v>3730</v>
      </c>
      <c r="AV248" s="1641">
        <v>3731</v>
      </c>
      <c r="AW248" s="1642">
        <v>4066</v>
      </c>
      <c r="AX248" s="1642">
        <v>4183</v>
      </c>
      <c r="AY248" s="1642">
        <v>4031</v>
      </c>
      <c r="AZ248" s="1641">
        <v>4052</v>
      </c>
      <c r="BA248" s="1642">
        <v>4369</v>
      </c>
      <c r="BB248" s="1642">
        <v>4613</v>
      </c>
      <c r="BC248" s="1642">
        <v>4713</v>
      </c>
      <c r="BD248" s="1641">
        <v>4660</v>
      </c>
      <c r="BE248" s="1642">
        <v>5011</v>
      </c>
      <c r="BF248" s="1642">
        <v>5299</v>
      </c>
      <c r="BG248" s="1642">
        <v>5366</v>
      </c>
      <c r="BH248" s="1641">
        <v>5501</v>
      </c>
      <c r="BI248" s="1642">
        <v>6043</v>
      </c>
      <c r="BJ248" s="1642">
        <v>6389</v>
      </c>
      <c r="BK248" s="1642">
        <v>6467</v>
      </c>
      <c r="BL248" s="1641">
        <v>6557</v>
      </c>
      <c r="BM248" s="1642">
        <v>6874</v>
      </c>
      <c r="BN248" s="1642">
        <v>7270</v>
      </c>
      <c r="BO248" s="1642">
        <v>7430</v>
      </c>
      <c r="BP248" s="1641">
        <v>7609</v>
      </c>
      <c r="BQ248" s="1642">
        <v>8036</v>
      </c>
      <c r="BR248" s="1642">
        <v>8469</v>
      </c>
      <c r="BS248" s="1642">
        <v>8682</v>
      </c>
      <c r="BT248" s="1641">
        <v>8991</v>
      </c>
      <c r="BU248" s="1634">
        <v>9402</v>
      </c>
      <c r="BV248" s="1634">
        <v>9749</v>
      </c>
      <c r="BW248" s="1634">
        <v>9874</v>
      </c>
      <c r="BX248" s="1633">
        <v>10145</v>
      </c>
      <c r="BY248" s="1634">
        <v>10492</v>
      </c>
      <c r="BZ248" s="1634">
        <v>10935</v>
      </c>
      <c r="CA248" s="1634">
        <v>11063</v>
      </c>
      <c r="CB248" s="1761">
        <f t="shared" ref="CB248:CU248" si="288">+CB257</f>
        <v>12725</v>
      </c>
      <c r="CC248" s="1762">
        <f t="shared" si="288"/>
        <v>12989</v>
      </c>
      <c r="CD248" s="1762">
        <f t="shared" si="288"/>
        <v>13149</v>
      </c>
      <c r="CE248" s="1762">
        <f t="shared" si="288"/>
        <v>13183</v>
      </c>
      <c r="CF248" s="1761">
        <f t="shared" si="288"/>
        <v>13466</v>
      </c>
      <c r="CG248" s="1762">
        <f t="shared" si="288"/>
        <v>13802</v>
      </c>
      <c r="CH248" s="1762">
        <f t="shared" si="288"/>
        <v>14168</v>
      </c>
      <c r="CI248" s="1762">
        <f t="shared" si="288"/>
        <v>14193</v>
      </c>
      <c r="CJ248" s="1761">
        <f t="shared" si="288"/>
        <v>14311</v>
      </c>
      <c r="CK248" s="1762">
        <f t="shared" si="288"/>
        <v>14707</v>
      </c>
      <c r="CL248" s="1762">
        <f t="shared" si="288"/>
        <v>15033</v>
      </c>
      <c r="CM248" s="1768">
        <f t="shared" si="288"/>
        <v>15106</v>
      </c>
      <c r="CN248" s="1769">
        <f t="shared" si="288"/>
        <v>15410</v>
      </c>
      <c r="CO248" s="1769">
        <f t="shared" si="288"/>
        <v>15776</v>
      </c>
      <c r="CP248" s="1769">
        <f t="shared" si="288"/>
        <v>16154</v>
      </c>
      <c r="CQ248" s="1768">
        <f t="shared" si="288"/>
        <v>16393</v>
      </c>
      <c r="CR248" s="1769">
        <f t="shared" si="288"/>
        <v>16728</v>
      </c>
      <c r="CS248" s="1769">
        <f t="shared" si="288"/>
        <v>17078</v>
      </c>
      <c r="CT248" s="1769">
        <f t="shared" si="288"/>
        <v>17516</v>
      </c>
      <c r="CU248" s="1768">
        <f t="shared" si="288"/>
        <v>17711</v>
      </c>
      <c r="CV248" s="1769">
        <f t="shared" ref="CV248:DA248" si="289">+CV257</f>
        <v>17987</v>
      </c>
      <c r="CW248" s="1769">
        <f t="shared" si="289"/>
        <v>18078</v>
      </c>
      <c r="CX248" s="1769">
        <f t="shared" si="289"/>
        <v>18356</v>
      </c>
      <c r="CY248" s="1768">
        <f t="shared" si="289"/>
        <v>18209</v>
      </c>
      <c r="CZ248" s="1769">
        <f t="shared" si="289"/>
        <v>17914</v>
      </c>
      <c r="DA248" s="1769">
        <f t="shared" si="289"/>
        <v>17689</v>
      </c>
      <c r="DB248" s="1769">
        <f t="shared" ref="DB248:DG248" si="290">+DB257</f>
        <v>17598</v>
      </c>
      <c r="DC248" s="1769">
        <f t="shared" si="290"/>
        <v>17195</v>
      </c>
      <c r="DD248" s="1769">
        <f t="shared" si="290"/>
        <v>16809</v>
      </c>
      <c r="DE248" s="1769">
        <f t="shared" si="290"/>
        <v>16741</v>
      </c>
      <c r="DF248" s="1769">
        <f t="shared" si="290"/>
        <v>16684</v>
      </c>
      <c r="DG248" s="1769">
        <f t="shared" si="290"/>
        <v>16346</v>
      </c>
      <c r="DH248" s="1769">
        <f t="shared" ref="DH248:DI248" si="291">+DH257</f>
        <v>15778</v>
      </c>
      <c r="DI248" s="1769">
        <f t="shared" si="291"/>
        <v>15622</v>
      </c>
      <c r="DJ248" s="1769">
        <f t="shared" ref="DJ248:DK248" si="292">+DJ257</f>
        <v>15841</v>
      </c>
      <c r="DK248" s="1769">
        <f t="shared" si="292"/>
        <v>15880</v>
      </c>
      <c r="DL248" s="1769">
        <f t="shared" ref="DL248" si="293">+DL257</f>
        <v>15402</v>
      </c>
    </row>
    <row r="249" spans="1:116">
      <c r="A249" s="1628" t="s">
        <v>682</v>
      </c>
      <c r="B249" s="1642"/>
      <c r="C249" s="1642"/>
      <c r="D249" s="1642"/>
      <c r="E249" s="1641">
        <v>606</v>
      </c>
      <c r="F249" s="1642">
        <v>557</v>
      </c>
      <c r="G249" s="1642">
        <v>961</v>
      </c>
      <c r="H249" s="1642">
        <f>AU249</f>
        <v>0</v>
      </c>
      <c r="I249" s="1642">
        <f>AY249</f>
        <v>0</v>
      </c>
      <c r="J249" s="1642">
        <f>SUM(AZ249:BC249)</f>
        <v>0</v>
      </c>
      <c r="K249" s="1681">
        <f>SUM(BD249:BG249)</f>
        <v>0</v>
      </c>
      <c r="L249" s="1642"/>
      <c r="M249" s="1642"/>
      <c r="N249" s="1642"/>
      <c r="O249" s="1642"/>
      <c r="P249" s="1642"/>
      <c r="Q249" s="1642"/>
      <c r="R249" s="1642"/>
      <c r="S249" s="1642"/>
      <c r="T249" s="1642"/>
      <c r="U249" s="1642"/>
      <c r="V249" s="1642"/>
      <c r="W249" s="1642"/>
      <c r="X249" s="1642"/>
      <c r="Y249" s="1642"/>
      <c r="Z249" s="1642"/>
      <c r="AA249" s="1642"/>
      <c r="AB249" s="1642"/>
      <c r="AC249" s="1642"/>
      <c r="AD249" s="1642"/>
      <c r="AE249" s="1642"/>
      <c r="AF249" s="1641">
        <v>130</v>
      </c>
      <c r="AG249" s="1642">
        <v>148</v>
      </c>
      <c r="AH249" s="1642">
        <v>172</v>
      </c>
      <c r="AI249" s="1642">
        <v>156</v>
      </c>
      <c r="AJ249" s="1641">
        <v>145</v>
      </c>
      <c r="AK249" s="1642">
        <v>133</v>
      </c>
      <c r="AL249" s="1642">
        <v>155</v>
      </c>
      <c r="AM249" s="1642">
        <v>124</v>
      </c>
      <c r="AN249" s="1641"/>
      <c r="AO249" s="1642"/>
      <c r="AP249" s="1642"/>
      <c r="AQ249" s="1642"/>
      <c r="AR249" s="1641"/>
      <c r="AS249" s="1642"/>
      <c r="AT249" s="1642"/>
      <c r="AU249" s="1642"/>
      <c r="AV249" s="1641"/>
      <c r="AW249" s="1642"/>
      <c r="AX249" s="1642"/>
      <c r="AY249" s="1642"/>
      <c r="AZ249" s="1641"/>
      <c r="BA249" s="1642"/>
      <c r="BB249" s="1642"/>
      <c r="BC249" s="1642"/>
      <c r="BD249" s="1641"/>
      <c r="BE249" s="1642"/>
      <c r="BF249" s="1642"/>
      <c r="BG249" s="1642"/>
      <c r="BH249" s="1641"/>
      <c r="BI249" s="1642"/>
      <c r="BJ249" s="1642"/>
      <c r="BK249" s="1642"/>
      <c r="BL249" s="1641"/>
      <c r="BM249" s="1642"/>
      <c r="BN249" s="1642"/>
      <c r="BO249" s="1642"/>
      <c r="BP249" s="1641"/>
      <c r="BQ249" s="1642"/>
      <c r="BR249" s="1642"/>
      <c r="BS249" s="1642"/>
      <c r="BT249" s="1641"/>
      <c r="BU249" s="1634"/>
      <c r="BV249" s="1634"/>
      <c r="BW249" s="1634"/>
      <c r="BX249" s="1641"/>
      <c r="BY249" s="1642"/>
      <c r="BZ249" s="1642"/>
      <c r="CA249" s="1642"/>
      <c r="CB249" s="1761"/>
      <c r="CC249" s="1762"/>
      <c r="CD249" s="1762"/>
      <c r="CE249" s="1762"/>
      <c r="CF249" s="1761"/>
      <c r="CG249" s="1762"/>
      <c r="CH249" s="1762"/>
      <c r="CI249" s="1762"/>
      <c r="CJ249" s="1761"/>
      <c r="CK249" s="1762"/>
      <c r="CL249" s="1762"/>
      <c r="CM249" s="1768"/>
      <c r="CN249" s="1769"/>
      <c r="CO249" s="1769"/>
      <c r="CP249" s="1769"/>
      <c r="CQ249" s="1768"/>
      <c r="CR249" s="1769"/>
      <c r="CS249" s="1769"/>
      <c r="CT249" s="1769"/>
      <c r="CU249" s="1768"/>
      <c r="CV249" s="1769"/>
      <c r="CW249" s="1769"/>
      <c r="CX249" s="1769"/>
      <c r="CY249" s="1768"/>
      <c r="CZ249" s="1769"/>
      <c r="DA249" s="1769"/>
      <c r="DB249" s="1769"/>
      <c r="DC249" s="1769"/>
      <c r="DD249" s="1769"/>
      <c r="DE249" s="1769"/>
      <c r="DF249" s="1769"/>
      <c r="DG249" s="1769"/>
      <c r="DH249" s="1769"/>
      <c r="DI249" s="1769"/>
      <c r="DJ249" s="1769"/>
      <c r="DK249" s="1769"/>
      <c r="DL249" s="1769"/>
    </row>
    <row r="250" spans="1:116">
      <c r="A250" s="1628" t="s">
        <v>1534</v>
      </c>
      <c r="B250" s="1642"/>
      <c r="C250" s="1642"/>
      <c r="D250" s="1642"/>
      <c r="E250" s="1641">
        <v>333</v>
      </c>
      <c r="F250" s="1642">
        <v>420</v>
      </c>
      <c r="G250" s="1642">
        <v>1061</v>
      </c>
      <c r="H250" s="1642">
        <f>AU250</f>
        <v>354</v>
      </c>
      <c r="I250" s="1642">
        <f>AY250</f>
        <v>412</v>
      </c>
      <c r="J250" s="1642">
        <f>SUM(AZ250:BC250)</f>
        <v>1726</v>
      </c>
      <c r="K250" s="1681">
        <f>SUM(BD250:BG250)</f>
        <v>2153</v>
      </c>
      <c r="L250" s="1642"/>
      <c r="M250" s="1642"/>
      <c r="N250" s="1642"/>
      <c r="O250" s="1642"/>
      <c r="P250" s="1642"/>
      <c r="Q250" s="1642"/>
      <c r="R250" s="1642"/>
      <c r="S250" s="1642"/>
      <c r="T250" s="1642"/>
      <c r="U250" s="1642"/>
      <c r="V250" s="1642"/>
      <c r="W250" s="1642"/>
      <c r="X250" s="1642"/>
      <c r="Y250" s="1642"/>
      <c r="Z250" s="1642"/>
      <c r="AA250" s="1642"/>
      <c r="AB250" s="1642"/>
      <c r="AC250" s="1642"/>
      <c r="AD250" s="1642"/>
      <c r="AE250" s="1642"/>
      <c r="AF250" s="1641">
        <v>78</v>
      </c>
      <c r="AG250" s="1642">
        <v>72</v>
      </c>
      <c r="AH250" s="1642">
        <v>86</v>
      </c>
      <c r="AI250" s="1642">
        <v>97</v>
      </c>
      <c r="AJ250" s="1641">
        <v>89</v>
      </c>
      <c r="AK250" s="1642">
        <v>106</v>
      </c>
      <c r="AL250" s="1642">
        <v>98</v>
      </c>
      <c r="AM250" s="1642">
        <v>127</v>
      </c>
      <c r="AN250" s="1641">
        <v>242</v>
      </c>
      <c r="AO250" s="1642">
        <v>262</v>
      </c>
      <c r="AP250" s="1642">
        <v>298</v>
      </c>
      <c r="AQ250" s="1642">
        <v>373</v>
      </c>
      <c r="AR250" s="1641">
        <v>320</v>
      </c>
      <c r="AS250" s="1642">
        <v>326</v>
      </c>
      <c r="AT250" s="1642">
        <v>341</v>
      </c>
      <c r="AU250" s="1642">
        <v>354</v>
      </c>
      <c r="AV250" s="1641">
        <v>315</v>
      </c>
      <c r="AW250" s="1642">
        <v>317</v>
      </c>
      <c r="AX250" s="1642">
        <v>338</v>
      </c>
      <c r="AY250" s="1642">
        <v>412</v>
      </c>
      <c r="AZ250" s="1641">
        <v>378</v>
      </c>
      <c r="BA250" s="1642">
        <v>422</v>
      </c>
      <c r="BB250" s="1642">
        <v>416</v>
      </c>
      <c r="BC250" s="1642">
        <v>510</v>
      </c>
      <c r="BD250" s="1641">
        <v>426</v>
      </c>
      <c r="BE250" s="1642">
        <v>466</v>
      </c>
      <c r="BF250" s="1642">
        <v>643</v>
      </c>
      <c r="BG250" s="1642">
        <v>618</v>
      </c>
      <c r="BH250" s="1641">
        <v>661</v>
      </c>
      <c r="BI250" s="1642">
        <v>804</v>
      </c>
      <c r="BJ250" s="1642">
        <v>922</v>
      </c>
      <c r="BK250" s="1642">
        <v>875</v>
      </c>
      <c r="BL250" s="1641">
        <v>861</v>
      </c>
      <c r="BM250" s="1642">
        <v>972</v>
      </c>
      <c r="BN250" s="1642">
        <v>1081</v>
      </c>
      <c r="BO250" s="1642">
        <v>1256</v>
      </c>
      <c r="BP250" s="1641">
        <v>1204</v>
      </c>
      <c r="BQ250" s="1642">
        <v>1226</v>
      </c>
      <c r="BR250" s="1642">
        <v>1400</v>
      </c>
      <c r="BS250" s="1642">
        <v>1417</v>
      </c>
      <c r="BT250" s="1641">
        <v>1316</v>
      </c>
      <c r="BU250" s="1634">
        <v>1441</v>
      </c>
      <c r="BV250" s="1634">
        <v>1540</v>
      </c>
      <c r="BW250" s="1634">
        <v>1569</v>
      </c>
      <c r="BX250" s="1633">
        <v>1524</v>
      </c>
      <c r="BY250" s="1634">
        <v>1626</v>
      </c>
      <c r="BZ250" s="1634">
        <v>1764</v>
      </c>
      <c r="CA250" s="1634">
        <v>1783</v>
      </c>
      <c r="CB250" s="1761">
        <f t="shared" ref="CB250:CU250" si="294">+CB259</f>
        <v>1132</v>
      </c>
      <c r="CC250" s="1762">
        <f t="shared" si="294"/>
        <v>1156</v>
      </c>
      <c r="CD250" s="1762">
        <f t="shared" si="294"/>
        <v>1300</v>
      </c>
      <c r="CE250" s="1762">
        <f t="shared" si="294"/>
        <v>1259</v>
      </c>
      <c r="CF250" s="1761">
        <f t="shared" si="294"/>
        <v>992</v>
      </c>
      <c r="CG250" s="1762">
        <f t="shared" si="294"/>
        <v>1024</v>
      </c>
      <c r="CH250" s="1762">
        <f t="shared" si="294"/>
        <v>1276</v>
      </c>
      <c r="CI250" s="1762">
        <f t="shared" si="294"/>
        <v>1126</v>
      </c>
      <c r="CJ250" s="1761">
        <f t="shared" si="294"/>
        <v>1689</v>
      </c>
      <c r="CK250" s="1762">
        <f t="shared" si="294"/>
        <v>1753</v>
      </c>
      <c r="CL250" s="1762">
        <f t="shared" si="294"/>
        <v>1800</v>
      </c>
      <c r="CM250" s="1768">
        <f t="shared" si="294"/>
        <v>2215</v>
      </c>
      <c r="CN250" s="1769">
        <f t="shared" si="294"/>
        <v>1838</v>
      </c>
      <c r="CO250" s="1769">
        <f t="shared" si="294"/>
        <v>1768</v>
      </c>
      <c r="CP250" s="1769">
        <f t="shared" si="294"/>
        <v>1858</v>
      </c>
      <c r="CQ250" s="1768">
        <f t="shared" si="294"/>
        <v>2559</v>
      </c>
      <c r="CR250" s="1769">
        <f t="shared" si="294"/>
        <v>1813</v>
      </c>
      <c r="CS250" s="1769">
        <f t="shared" si="294"/>
        <v>1953</v>
      </c>
      <c r="CT250" s="1769">
        <f t="shared" si="294"/>
        <v>1924</v>
      </c>
      <c r="CU250" s="1768">
        <f t="shared" si="294"/>
        <v>2421</v>
      </c>
      <c r="CV250" s="1769">
        <f t="shared" ref="CV250:DA250" si="295">+CV259</f>
        <v>1870</v>
      </c>
      <c r="CW250" s="1769">
        <f t="shared" si="295"/>
        <v>2387</v>
      </c>
      <c r="CX250" s="1769">
        <f t="shared" si="295"/>
        <v>2480</v>
      </c>
      <c r="CY250" s="1768">
        <f t="shared" si="295"/>
        <v>4222</v>
      </c>
      <c r="CZ250" s="1769">
        <f t="shared" si="295"/>
        <v>3373</v>
      </c>
      <c r="DA250" s="1769">
        <f t="shared" si="295"/>
        <v>3861</v>
      </c>
      <c r="DB250" s="1769">
        <f t="shared" ref="DB250:DG250" si="296">+DB259</f>
        <v>4292</v>
      </c>
      <c r="DC250" s="1769">
        <f t="shared" si="296"/>
        <v>5398</v>
      </c>
      <c r="DD250" s="1769">
        <f t="shared" si="296"/>
        <v>3954</v>
      </c>
      <c r="DE250" s="1769">
        <f t="shared" si="296"/>
        <v>3704</v>
      </c>
      <c r="DF250" s="1769">
        <f t="shared" si="296"/>
        <v>4124</v>
      </c>
      <c r="DG250" s="1769">
        <f t="shared" si="296"/>
        <v>5733</v>
      </c>
      <c r="DH250" s="1769">
        <f t="shared" ref="DH250:DI250" si="297">+DH259</f>
        <v>3764</v>
      </c>
      <c r="DI250" s="1769">
        <f t="shared" si="297"/>
        <v>4298</v>
      </c>
      <c r="DJ250" s="1769">
        <f t="shared" ref="DJ250:DK250" si="298">+DJ259</f>
        <v>4352</v>
      </c>
      <c r="DK250" s="1769">
        <f t="shared" si="298"/>
        <v>6475</v>
      </c>
      <c r="DL250" s="1769">
        <f t="shared" ref="DL250" si="299">+DL259</f>
        <v>5040</v>
      </c>
    </row>
    <row r="251" spans="1:116">
      <c r="A251" s="1539" t="s">
        <v>1449</v>
      </c>
      <c r="B251" s="1642"/>
      <c r="C251" s="1642"/>
      <c r="D251" s="1642"/>
      <c r="E251" s="1641">
        <f t="shared" ref="E251:J251" si="300">SUM(E248:E250)</f>
        <v>6177</v>
      </c>
      <c r="F251" s="1642">
        <f t="shared" si="300"/>
        <v>6652</v>
      </c>
      <c r="G251" s="1642">
        <f t="shared" si="300"/>
        <v>11968</v>
      </c>
      <c r="H251" s="1642">
        <f t="shared" si="300"/>
        <v>4084</v>
      </c>
      <c r="I251" s="1642">
        <f t="shared" si="300"/>
        <v>4443</v>
      </c>
      <c r="J251" s="1642">
        <f t="shared" si="300"/>
        <v>19473</v>
      </c>
      <c r="K251" s="1681">
        <f>SUM(BD251:BG251)</f>
        <v>22489</v>
      </c>
      <c r="L251" s="1642"/>
      <c r="M251" s="1642"/>
      <c r="N251" s="1642"/>
      <c r="O251" s="1642"/>
      <c r="P251" s="1642"/>
      <c r="Q251" s="1642"/>
      <c r="R251" s="1642"/>
      <c r="S251" s="1642"/>
      <c r="T251" s="1642"/>
      <c r="U251" s="1642"/>
      <c r="V251" s="1642"/>
      <c r="W251" s="1642"/>
      <c r="X251" s="1642"/>
      <c r="Y251" s="1642"/>
      <c r="Z251" s="1642"/>
      <c r="AA251" s="1642"/>
      <c r="AB251" s="1642"/>
      <c r="AC251" s="1642"/>
      <c r="AD251" s="1642"/>
      <c r="AE251" s="1642"/>
      <c r="AF251" s="1641">
        <f t="shared" ref="AF251:BK251" si="301">SUM(AF248:AF250)</f>
        <v>1440</v>
      </c>
      <c r="AG251" s="1642">
        <f t="shared" si="301"/>
        <v>1548</v>
      </c>
      <c r="AH251" s="1642">
        <f t="shared" si="301"/>
        <v>1591</v>
      </c>
      <c r="AI251" s="1642">
        <f t="shared" si="301"/>
        <v>1598</v>
      </c>
      <c r="AJ251" s="1641">
        <f t="shared" si="301"/>
        <v>1567</v>
      </c>
      <c r="AK251" s="1642">
        <f t="shared" si="301"/>
        <v>1656</v>
      </c>
      <c r="AL251" s="1642">
        <f t="shared" si="301"/>
        <v>1712</v>
      </c>
      <c r="AM251" s="1642">
        <f t="shared" si="301"/>
        <v>1717</v>
      </c>
      <c r="AN251" s="1641">
        <f t="shared" si="301"/>
        <v>3081</v>
      </c>
      <c r="AO251" s="1642">
        <f t="shared" si="301"/>
        <v>3324</v>
      </c>
      <c r="AP251" s="1642">
        <f t="shared" si="301"/>
        <v>3440</v>
      </c>
      <c r="AQ251" s="1642">
        <f t="shared" si="301"/>
        <v>3501</v>
      </c>
      <c r="AR251" s="1641">
        <f t="shared" si="301"/>
        <v>3450</v>
      </c>
      <c r="AS251" s="1642">
        <f t="shared" si="301"/>
        <v>3952</v>
      </c>
      <c r="AT251" s="1642">
        <f t="shared" si="301"/>
        <v>4036</v>
      </c>
      <c r="AU251" s="1642">
        <f t="shared" si="301"/>
        <v>4084</v>
      </c>
      <c r="AV251" s="1641">
        <f t="shared" si="301"/>
        <v>4046</v>
      </c>
      <c r="AW251" s="1642">
        <f t="shared" si="301"/>
        <v>4383</v>
      </c>
      <c r="AX251" s="1642">
        <f t="shared" si="301"/>
        <v>4521</v>
      </c>
      <c r="AY251" s="1642">
        <f t="shared" si="301"/>
        <v>4443</v>
      </c>
      <c r="AZ251" s="1641">
        <f t="shared" si="301"/>
        <v>4430</v>
      </c>
      <c r="BA251" s="1642">
        <f t="shared" si="301"/>
        <v>4791</v>
      </c>
      <c r="BB251" s="1642">
        <f t="shared" si="301"/>
        <v>5029</v>
      </c>
      <c r="BC251" s="1642">
        <f t="shared" si="301"/>
        <v>5223</v>
      </c>
      <c r="BD251" s="1694">
        <f t="shared" si="301"/>
        <v>5086</v>
      </c>
      <c r="BE251" s="1693">
        <f t="shared" si="301"/>
        <v>5477</v>
      </c>
      <c r="BF251" s="1693">
        <f t="shared" si="301"/>
        <v>5942</v>
      </c>
      <c r="BG251" s="1693">
        <f t="shared" si="301"/>
        <v>5984</v>
      </c>
      <c r="BH251" s="1694">
        <f t="shared" si="301"/>
        <v>6162</v>
      </c>
      <c r="BI251" s="1693">
        <f t="shared" si="301"/>
        <v>6847</v>
      </c>
      <c r="BJ251" s="1693">
        <f t="shared" si="301"/>
        <v>7311</v>
      </c>
      <c r="BK251" s="1693">
        <f t="shared" si="301"/>
        <v>7342</v>
      </c>
      <c r="BL251" s="1694">
        <f t="shared" ref="BL251:CQ251" si="302">SUM(BL248:BL250)</f>
        <v>7418</v>
      </c>
      <c r="BM251" s="1693">
        <f t="shared" si="302"/>
        <v>7846</v>
      </c>
      <c r="BN251" s="1693">
        <f t="shared" si="302"/>
        <v>8351</v>
      </c>
      <c r="BO251" s="1693">
        <f t="shared" si="302"/>
        <v>8686</v>
      </c>
      <c r="BP251" s="1694">
        <f t="shared" si="302"/>
        <v>8813</v>
      </c>
      <c r="BQ251" s="1693">
        <f t="shared" si="302"/>
        <v>9262</v>
      </c>
      <c r="BR251" s="1693">
        <f t="shared" si="302"/>
        <v>9869</v>
      </c>
      <c r="BS251" s="1693">
        <f t="shared" si="302"/>
        <v>10099</v>
      </c>
      <c r="BT251" s="1694">
        <f t="shared" si="302"/>
        <v>10307</v>
      </c>
      <c r="BU251" s="1693">
        <f t="shared" si="302"/>
        <v>10843</v>
      </c>
      <c r="BV251" s="1693">
        <f t="shared" si="302"/>
        <v>11289</v>
      </c>
      <c r="BW251" s="1693">
        <f t="shared" si="302"/>
        <v>11443</v>
      </c>
      <c r="BX251" s="1694">
        <f t="shared" si="302"/>
        <v>11669</v>
      </c>
      <c r="BY251" s="1693">
        <f t="shared" si="302"/>
        <v>12118</v>
      </c>
      <c r="BZ251" s="1693">
        <f t="shared" si="302"/>
        <v>12699</v>
      </c>
      <c r="CA251" s="1693">
        <f t="shared" si="302"/>
        <v>12846</v>
      </c>
      <c r="CB251" s="1694">
        <f t="shared" si="302"/>
        <v>13857</v>
      </c>
      <c r="CC251" s="1693">
        <f t="shared" si="302"/>
        <v>14145</v>
      </c>
      <c r="CD251" s="1693">
        <f t="shared" si="302"/>
        <v>14449</v>
      </c>
      <c r="CE251" s="1693">
        <f t="shared" si="302"/>
        <v>14442</v>
      </c>
      <c r="CF251" s="1694">
        <f t="shared" si="302"/>
        <v>14458</v>
      </c>
      <c r="CG251" s="1693">
        <f t="shared" si="302"/>
        <v>14826</v>
      </c>
      <c r="CH251" s="1693">
        <f t="shared" si="302"/>
        <v>15444</v>
      </c>
      <c r="CI251" s="1693">
        <f t="shared" si="302"/>
        <v>15319</v>
      </c>
      <c r="CJ251" s="1694">
        <f t="shared" si="302"/>
        <v>16000</v>
      </c>
      <c r="CK251" s="1693">
        <f t="shared" si="302"/>
        <v>16460</v>
      </c>
      <c r="CL251" s="1693">
        <f t="shared" si="302"/>
        <v>16833</v>
      </c>
      <c r="CM251" s="1695">
        <f t="shared" si="302"/>
        <v>17321</v>
      </c>
      <c r="CN251" s="1267">
        <f t="shared" si="302"/>
        <v>17248</v>
      </c>
      <c r="CO251" s="1267">
        <f t="shared" si="302"/>
        <v>17544</v>
      </c>
      <c r="CP251" s="1267">
        <f t="shared" si="302"/>
        <v>18012</v>
      </c>
      <c r="CQ251" s="1695">
        <f t="shared" si="302"/>
        <v>18952</v>
      </c>
      <c r="CR251" s="1267">
        <f t="shared" ref="CR251:CW251" si="303">SUM(CR248:CR250)</f>
        <v>18541</v>
      </c>
      <c r="CS251" s="1267">
        <f t="shared" si="303"/>
        <v>19031</v>
      </c>
      <c r="CT251" s="1267">
        <f t="shared" si="303"/>
        <v>19440</v>
      </c>
      <c r="CU251" s="1695">
        <f t="shared" si="303"/>
        <v>20132</v>
      </c>
      <c r="CV251" s="1267">
        <f t="shared" si="303"/>
        <v>19857</v>
      </c>
      <c r="CW251" s="1267">
        <f t="shared" si="303"/>
        <v>20465</v>
      </c>
      <c r="CX251" s="1267">
        <f t="shared" ref="CX251:DC251" si="304">SUM(CX248:CX250)</f>
        <v>20836</v>
      </c>
      <c r="CY251" s="1695">
        <f t="shared" si="304"/>
        <v>22431</v>
      </c>
      <c r="CZ251" s="1267">
        <f t="shared" si="304"/>
        <v>21287</v>
      </c>
      <c r="DA251" s="1267">
        <f t="shared" si="304"/>
        <v>21550</v>
      </c>
      <c r="DB251" s="1267">
        <f t="shared" si="304"/>
        <v>21890</v>
      </c>
      <c r="DC251" s="1267">
        <f t="shared" si="304"/>
        <v>22593</v>
      </c>
      <c r="DD251" s="1267">
        <f t="shared" ref="DD251:DE251" si="305">SUM(DD248:DD250)</f>
        <v>20763</v>
      </c>
      <c r="DE251" s="1267">
        <f t="shared" si="305"/>
        <v>20445</v>
      </c>
      <c r="DF251" s="1267">
        <f t="shared" ref="DF251:DG251" si="306">SUM(DF248:DF250)</f>
        <v>20808</v>
      </c>
      <c r="DG251" s="1267">
        <f t="shared" si="306"/>
        <v>22079</v>
      </c>
      <c r="DH251" s="1267">
        <f t="shared" ref="DH251:DI251" si="307">SUM(DH248:DH250)</f>
        <v>19542</v>
      </c>
      <c r="DI251" s="1267">
        <f t="shared" si="307"/>
        <v>19920</v>
      </c>
      <c r="DJ251" s="1267">
        <f t="shared" ref="DJ251:DK251" si="308">SUM(DJ248:DJ250)</f>
        <v>20193</v>
      </c>
      <c r="DK251" s="1267">
        <f t="shared" si="308"/>
        <v>22355</v>
      </c>
      <c r="DL251" s="1267">
        <f t="shared" ref="DL251" si="309">SUM(DL248:DL250)</f>
        <v>20442</v>
      </c>
    </row>
    <row r="252" spans="1:116">
      <c r="A252" s="1629" t="s">
        <v>1237</v>
      </c>
      <c r="B252" s="1658"/>
      <c r="C252" s="1658"/>
      <c r="D252" s="1658"/>
      <c r="E252" s="1659">
        <f t="shared" ref="E252:K252" si="310">E7-E251</f>
        <v>0</v>
      </c>
      <c r="F252" s="1658">
        <f t="shared" si="310"/>
        <v>0</v>
      </c>
      <c r="G252" s="1658">
        <f t="shared" si="310"/>
        <v>1378</v>
      </c>
      <c r="H252" s="1658">
        <f t="shared" si="310"/>
        <v>11279</v>
      </c>
      <c r="I252" s="1658">
        <f t="shared" si="310"/>
        <v>12950</v>
      </c>
      <c r="J252" s="1658">
        <f t="shared" si="310"/>
        <v>0</v>
      </c>
      <c r="K252" s="1696">
        <f t="shared" si="310"/>
        <v>0</v>
      </c>
      <c r="L252" s="1658"/>
      <c r="M252" s="1658"/>
      <c r="N252" s="1658"/>
      <c r="O252" s="1658"/>
      <c r="P252" s="1658"/>
      <c r="Q252" s="1658"/>
      <c r="R252" s="1658"/>
      <c r="S252" s="1658"/>
      <c r="T252" s="1658"/>
      <c r="U252" s="1658"/>
      <c r="V252" s="1658"/>
      <c r="W252" s="1658"/>
      <c r="X252" s="1658"/>
      <c r="Y252" s="1658"/>
      <c r="Z252" s="1658"/>
      <c r="AA252" s="1658"/>
      <c r="AB252" s="1658"/>
      <c r="AC252" s="1658"/>
      <c r="AD252" s="1658"/>
      <c r="AE252" s="1658"/>
      <c r="AF252" s="1659">
        <f t="shared" ref="AF252:BH252" si="311">AF7-AF251</f>
        <v>0</v>
      </c>
      <c r="AG252" s="1658">
        <f t="shared" si="311"/>
        <v>0</v>
      </c>
      <c r="AH252" s="1658">
        <f t="shared" si="311"/>
        <v>0</v>
      </c>
      <c r="AI252" s="1658">
        <f t="shared" si="311"/>
        <v>0</v>
      </c>
      <c r="AJ252" s="1659">
        <f t="shared" si="311"/>
        <v>0</v>
      </c>
      <c r="AK252" s="1658">
        <f t="shared" si="311"/>
        <v>0</v>
      </c>
      <c r="AL252" s="1658">
        <f t="shared" si="311"/>
        <v>0</v>
      </c>
      <c r="AM252" s="1658">
        <f t="shared" si="311"/>
        <v>0</v>
      </c>
      <c r="AN252" s="1659">
        <f t="shared" si="311"/>
        <v>0</v>
      </c>
      <c r="AO252" s="1658">
        <f t="shared" si="311"/>
        <v>0</v>
      </c>
      <c r="AP252" s="1658">
        <f t="shared" si="311"/>
        <v>0</v>
      </c>
      <c r="AQ252" s="1658">
        <f t="shared" si="311"/>
        <v>0</v>
      </c>
      <c r="AR252" s="1659">
        <f t="shared" si="311"/>
        <v>0</v>
      </c>
      <c r="AS252" s="1658">
        <f t="shared" si="311"/>
        <v>-159</v>
      </c>
      <c r="AT252" s="1658">
        <f t="shared" si="311"/>
        <v>0</v>
      </c>
      <c r="AU252" s="1658">
        <f t="shared" si="311"/>
        <v>0</v>
      </c>
      <c r="AV252" s="1659">
        <f t="shared" si="311"/>
        <v>0</v>
      </c>
      <c r="AW252" s="1658">
        <f t="shared" si="311"/>
        <v>0</v>
      </c>
      <c r="AX252" s="1658">
        <f t="shared" si="311"/>
        <v>0</v>
      </c>
      <c r="AY252" s="1658">
        <f t="shared" si="311"/>
        <v>0</v>
      </c>
      <c r="AZ252" s="1659">
        <f t="shared" si="311"/>
        <v>0</v>
      </c>
      <c r="BA252" s="1658">
        <f t="shared" si="311"/>
        <v>0</v>
      </c>
      <c r="BB252" s="1658">
        <f t="shared" si="311"/>
        <v>0</v>
      </c>
      <c r="BC252" s="1658">
        <f t="shared" si="311"/>
        <v>0</v>
      </c>
      <c r="BD252" s="1659">
        <f t="shared" si="311"/>
        <v>0</v>
      </c>
      <c r="BE252" s="1658">
        <f t="shared" si="311"/>
        <v>0</v>
      </c>
      <c r="BF252" s="1658">
        <f t="shared" si="311"/>
        <v>0</v>
      </c>
      <c r="BG252" s="1658">
        <f t="shared" si="311"/>
        <v>0</v>
      </c>
      <c r="BH252" s="1659">
        <f t="shared" si="311"/>
        <v>0</v>
      </c>
      <c r="BI252" s="1658"/>
      <c r="BJ252" s="1658"/>
      <c r="BK252" s="1658"/>
      <c r="BL252" s="1659"/>
      <c r="BM252" s="1658"/>
      <c r="BN252" s="1658"/>
      <c r="BO252" s="1642"/>
      <c r="BP252" s="1641"/>
      <c r="BQ252" s="1642"/>
      <c r="BR252" s="1642"/>
      <c r="BS252" s="1642"/>
      <c r="BT252" s="1641"/>
      <c r="BU252" s="1642"/>
      <c r="BV252" s="1642"/>
      <c r="BW252" s="1642"/>
      <c r="BX252" s="1641"/>
      <c r="BY252" s="1642"/>
      <c r="BZ252" s="1642"/>
      <c r="CA252" s="1642"/>
      <c r="CB252" s="1641"/>
      <c r="CC252" s="1642"/>
      <c r="CD252" s="1642"/>
      <c r="CE252" s="1642"/>
      <c r="CF252" s="1641"/>
      <c r="CG252" s="1642"/>
      <c r="CH252" s="1642"/>
      <c r="CI252" s="1642"/>
      <c r="CJ252" s="1641"/>
      <c r="CK252" s="1642"/>
      <c r="CL252" s="1642"/>
      <c r="CM252" s="1681"/>
      <c r="CN252" s="1672"/>
      <c r="CO252" s="1672"/>
      <c r="CP252" s="1672"/>
      <c r="CQ252" s="1681"/>
      <c r="CR252" s="1672"/>
      <c r="CS252" s="1672"/>
      <c r="CT252" s="1672"/>
      <c r="CU252" s="1681"/>
      <c r="CV252" s="1672"/>
      <c r="CW252" s="1672"/>
      <c r="CX252" s="1672"/>
      <c r="CY252" s="1681"/>
      <c r="CZ252" s="1672"/>
      <c r="DA252" s="1672"/>
      <c r="DB252" s="1672"/>
      <c r="DC252" s="1672"/>
      <c r="DD252" s="1672"/>
      <c r="DE252" s="1672"/>
      <c r="DF252" s="1672"/>
      <c r="DG252" s="1672"/>
      <c r="DH252" s="1672"/>
      <c r="DI252" s="1672"/>
      <c r="DJ252" s="1672"/>
      <c r="DK252" s="1672"/>
      <c r="DL252" s="1672"/>
    </row>
    <row r="253" spans="1:116">
      <c r="A253" s="1629"/>
      <c r="B253" s="1658"/>
      <c r="C253" s="1658"/>
      <c r="D253" s="1658"/>
      <c r="E253" s="1659"/>
      <c r="F253" s="1658"/>
      <c r="G253" s="1658"/>
      <c r="H253" s="1658"/>
      <c r="I253" s="1658"/>
      <c r="J253" s="1658"/>
      <c r="K253" s="1696"/>
      <c r="L253" s="1658"/>
      <c r="M253" s="1658"/>
      <c r="N253" s="1658"/>
      <c r="O253" s="1658"/>
      <c r="P253" s="1658"/>
      <c r="Q253" s="1658"/>
      <c r="R253" s="1658"/>
      <c r="S253" s="1658"/>
      <c r="T253" s="1658"/>
      <c r="U253" s="1658"/>
      <c r="V253" s="1658"/>
      <c r="W253" s="1658"/>
      <c r="X253" s="1658"/>
      <c r="Y253" s="1658"/>
      <c r="Z253" s="1658"/>
      <c r="AA253" s="1658"/>
      <c r="AB253" s="1658"/>
      <c r="AC253" s="1658"/>
      <c r="AD253" s="1658"/>
      <c r="AE253" s="1658"/>
      <c r="AF253" s="1659"/>
      <c r="AG253" s="1658"/>
      <c r="AH253" s="1658"/>
      <c r="AI253" s="1658"/>
      <c r="AJ253" s="1659"/>
      <c r="AK253" s="1658"/>
      <c r="AL253" s="1658"/>
      <c r="AM253" s="1658"/>
      <c r="AN253" s="1659"/>
      <c r="AO253" s="1658"/>
      <c r="AP253" s="1658"/>
      <c r="AQ253" s="1658"/>
      <c r="AR253" s="1659"/>
      <c r="AS253" s="1658"/>
      <c r="AT253" s="1658"/>
      <c r="AU253" s="1658"/>
      <c r="AV253" s="1659"/>
      <c r="AW253" s="1658"/>
      <c r="AX253" s="1658"/>
      <c r="AY253" s="1658"/>
      <c r="AZ253" s="1659"/>
      <c r="BA253" s="1658"/>
      <c r="BB253" s="1658"/>
      <c r="BC253" s="1658"/>
      <c r="BD253" s="1659"/>
      <c r="BE253" s="1658"/>
      <c r="BF253" s="1658"/>
      <c r="BG253" s="1658"/>
      <c r="BH253" s="1659"/>
      <c r="BI253" s="1658"/>
      <c r="BJ253" s="1658"/>
      <c r="BK253" s="1658"/>
      <c r="BL253" s="1659"/>
      <c r="BM253" s="1658"/>
      <c r="BN253" s="1658"/>
      <c r="BO253" s="1642"/>
      <c r="BP253" s="1641"/>
      <c r="BQ253" s="1642"/>
      <c r="BR253" s="1642"/>
      <c r="BS253" s="1642"/>
      <c r="BT253" s="1641"/>
      <c r="BU253" s="1642"/>
      <c r="BV253" s="1642"/>
      <c r="BW253" s="1642"/>
      <c r="BX253" s="1641"/>
      <c r="BY253" s="1642"/>
      <c r="BZ253" s="1642"/>
      <c r="CA253" s="1642"/>
      <c r="CB253" s="1641"/>
      <c r="CC253" s="1642"/>
      <c r="CD253" s="1642"/>
      <c r="CE253" s="1642"/>
      <c r="CF253" s="1641"/>
      <c r="CG253" s="1642"/>
      <c r="CH253" s="1642"/>
      <c r="CI253" s="1642"/>
      <c r="CJ253" s="1641"/>
      <c r="CK253" s="1642"/>
      <c r="CL253" s="1642"/>
      <c r="CM253" s="1681"/>
      <c r="CN253" s="1672"/>
      <c r="CO253" s="1672"/>
      <c r="CP253" s="1672"/>
      <c r="CQ253" s="1681"/>
      <c r="CR253" s="1672"/>
      <c r="CS253" s="1672"/>
      <c r="CT253" s="1672"/>
      <c r="CU253" s="1681"/>
      <c r="CV253" s="1672"/>
      <c r="CW253" s="1672"/>
      <c r="CX253" s="1672"/>
      <c r="CY253" s="1681"/>
      <c r="CZ253" s="1672"/>
      <c r="DA253" s="1672"/>
      <c r="DB253" s="1672"/>
      <c r="DC253" s="1672"/>
      <c r="DD253" s="1672"/>
      <c r="DE253" s="1672"/>
      <c r="DF253" s="1672"/>
      <c r="DG253" s="1672"/>
      <c r="DH253" s="1672"/>
      <c r="DI253" s="1672"/>
      <c r="DJ253" s="1672"/>
      <c r="DK253" s="1672"/>
      <c r="DL253" s="1672"/>
    </row>
    <row r="254" spans="1:116">
      <c r="CV254" s="1783"/>
      <c r="CY254" s="1784"/>
    </row>
    <row r="255" spans="1:116" ht="12.75" customHeight="1">
      <c r="A255" s="1644" t="s">
        <v>1594</v>
      </c>
      <c r="B255" s="1658"/>
      <c r="C255" s="1658"/>
      <c r="D255" s="1658"/>
      <c r="E255" s="1659"/>
      <c r="F255" s="1658"/>
      <c r="G255" s="1658"/>
      <c r="H255" s="1658"/>
      <c r="I255" s="1658"/>
      <c r="J255" s="1658"/>
      <c r="K255" s="1696"/>
      <c r="L255" s="1658"/>
      <c r="M255" s="1658"/>
      <c r="N255" s="1658"/>
      <c r="O255" s="1658"/>
      <c r="P255" s="1658"/>
      <c r="Q255" s="1658"/>
      <c r="R255" s="1658"/>
      <c r="S255" s="1658"/>
      <c r="T255" s="1658"/>
      <c r="U255" s="1658"/>
      <c r="V255" s="1658"/>
      <c r="W255" s="1658"/>
      <c r="X255" s="1658"/>
      <c r="Y255" s="1658"/>
      <c r="Z255" s="1658"/>
      <c r="AA255" s="1658"/>
      <c r="AB255" s="1658"/>
      <c r="AC255" s="1658"/>
      <c r="AD255" s="1658"/>
      <c r="AE255" s="1658"/>
      <c r="AF255" s="1659"/>
      <c r="AG255" s="1658"/>
      <c r="AH255" s="1658"/>
      <c r="AI255" s="1658"/>
      <c r="AJ255" s="1659"/>
      <c r="AK255" s="1658"/>
      <c r="AL255" s="1658"/>
      <c r="AM255" s="1658"/>
      <c r="AN255" s="1659"/>
      <c r="AO255" s="1658"/>
      <c r="AP255" s="1658"/>
      <c r="AQ255" s="1658"/>
      <c r="AR255" s="1659"/>
      <c r="AS255" s="1658"/>
      <c r="AT255" s="1658"/>
      <c r="AU255" s="1658"/>
      <c r="AV255" s="1659"/>
      <c r="AW255" s="1658"/>
      <c r="AX255" s="1658"/>
      <c r="AY255" s="1658"/>
      <c r="AZ255" s="1659"/>
      <c r="BA255" s="1658"/>
      <c r="BB255" s="1658"/>
      <c r="BC255" s="1658"/>
      <c r="BD255" s="1659"/>
      <c r="BE255" s="1658"/>
      <c r="BF255" s="1658"/>
      <c r="BG255" s="1658"/>
      <c r="BH255" s="1659"/>
      <c r="BI255" s="1658"/>
      <c r="BJ255" s="1658"/>
      <c r="BK255" s="1658"/>
      <c r="BL255" s="1659"/>
      <c r="BM255" s="1658"/>
      <c r="BN255" s="1658"/>
      <c r="BO255" s="1642"/>
      <c r="BP255" s="1641"/>
      <c r="BQ255" s="1642"/>
      <c r="BR255" s="1642"/>
      <c r="BS255" s="1642"/>
      <c r="BT255" s="1641"/>
      <c r="BU255" s="1642"/>
      <c r="BV255" s="1642"/>
      <c r="BW255" s="1642"/>
      <c r="BX255" s="1633"/>
      <c r="BY255" s="1634"/>
      <c r="BZ255" s="1634"/>
      <c r="CA255" s="1634"/>
      <c r="CB255" s="1633">
        <v>12428</v>
      </c>
      <c r="CC255" s="1634">
        <v>12644</v>
      </c>
      <c r="CD255" s="1634">
        <v>12833</v>
      </c>
      <c r="CE255" s="1634">
        <v>12854</v>
      </c>
      <c r="CF255" s="1633">
        <v>13034</v>
      </c>
      <c r="CG255" s="1634">
        <v>13282</v>
      </c>
      <c r="CH255" s="1634">
        <v>13479</v>
      </c>
      <c r="CI255" s="1634">
        <v>13513</v>
      </c>
      <c r="CJ255" s="1633">
        <v>13674</v>
      </c>
      <c r="CK255" s="1634">
        <v>14019</v>
      </c>
      <c r="CL255" s="1634">
        <v>14405</v>
      </c>
      <c r="CM255" s="1648">
        <v>14562</v>
      </c>
      <c r="CN255" s="1649">
        <v>14886</v>
      </c>
      <c r="CO255" s="1649">
        <v>15230</v>
      </c>
      <c r="CP255" s="1649">
        <v>15538</v>
      </c>
      <c r="CQ255" s="1648">
        <v>15786</v>
      </c>
      <c r="CR255" s="1649">
        <v>16169</v>
      </c>
      <c r="CS255" s="1649">
        <v>16422</v>
      </c>
      <c r="CT255" s="1649">
        <v>16776</v>
      </c>
      <c r="CU255" s="1648">
        <v>16967</v>
      </c>
      <c r="CV255" s="1649">
        <v>17246</v>
      </c>
      <c r="CW255" s="1649">
        <v>17288</v>
      </c>
      <c r="CX255" s="1649">
        <v>17556</v>
      </c>
      <c r="CY255" s="1648">
        <v>17411</v>
      </c>
      <c r="CZ255" s="1649">
        <v>17143</v>
      </c>
      <c r="DA255" s="1672">
        <f t="shared" ref="DA255:DF255" si="312">+DA257-DA256</f>
        <v>16918</v>
      </c>
      <c r="DB255" s="1672">
        <f t="shared" si="312"/>
        <v>16827</v>
      </c>
      <c r="DC255" s="1672">
        <f t="shared" si="312"/>
        <v>16424</v>
      </c>
      <c r="DD255" s="1672">
        <f t="shared" si="312"/>
        <v>16038</v>
      </c>
      <c r="DE255" s="1672">
        <f t="shared" si="312"/>
        <v>15970</v>
      </c>
      <c r="DF255" s="1672">
        <f t="shared" si="312"/>
        <v>15913</v>
      </c>
      <c r="DG255" s="1672">
        <f t="shared" ref="DG255:DH255" si="313">+DG257-DG256</f>
        <v>15575</v>
      </c>
      <c r="DH255" s="1672">
        <f t="shared" si="313"/>
        <v>15007</v>
      </c>
      <c r="DI255" s="1672">
        <f t="shared" ref="DI255:DJ255" si="314">+DI257-DI256</f>
        <v>14851</v>
      </c>
      <c r="DJ255" s="1672">
        <f t="shared" si="314"/>
        <v>15070</v>
      </c>
      <c r="DK255" s="1672">
        <f t="shared" ref="DK255:DL255" si="315">+DK257-DK256</f>
        <v>15109</v>
      </c>
      <c r="DL255" s="1672">
        <f t="shared" si="315"/>
        <v>14631</v>
      </c>
    </row>
    <row r="256" spans="1:116" ht="12.75" customHeight="1">
      <c r="A256" s="1644" t="s">
        <v>1595</v>
      </c>
      <c r="B256" s="1658"/>
      <c r="C256" s="1658"/>
      <c r="D256" s="1658"/>
      <c r="E256" s="1659"/>
      <c r="F256" s="1658"/>
      <c r="G256" s="1658"/>
      <c r="H256" s="1658"/>
      <c r="I256" s="1658"/>
      <c r="J256" s="1658"/>
      <c r="K256" s="1696"/>
      <c r="L256" s="1658"/>
      <c r="M256" s="1658"/>
      <c r="N256" s="1658"/>
      <c r="O256" s="1658"/>
      <c r="P256" s="1658"/>
      <c r="Q256" s="1658"/>
      <c r="R256" s="1658"/>
      <c r="S256" s="1658"/>
      <c r="T256" s="1658"/>
      <c r="U256" s="1658"/>
      <c r="V256" s="1658"/>
      <c r="W256" s="1658"/>
      <c r="X256" s="1658"/>
      <c r="Y256" s="1658"/>
      <c r="Z256" s="1658"/>
      <c r="AA256" s="1658"/>
      <c r="AB256" s="1658"/>
      <c r="AC256" s="1658"/>
      <c r="AD256" s="1658"/>
      <c r="AE256" s="1658"/>
      <c r="AF256" s="1659"/>
      <c r="AG256" s="1658"/>
      <c r="AH256" s="1658"/>
      <c r="AI256" s="1658"/>
      <c r="AJ256" s="1659"/>
      <c r="AK256" s="1658"/>
      <c r="AL256" s="1658"/>
      <c r="AM256" s="1658"/>
      <c r="AN256" s="1659"/>
      <c r="AO256" s="1658"/>
      <c r="AP256" s="1658"/>
      <c r="AQ256" s="1658"/>
      <c r="AR256" s="1659"/>
      <c r="AS256" s="1658"/>
      <c r="AT256" s="1658"/>
      <c r="AU256" s="1658"/>
      <c r="AV256" s="1659"/>
      <c r="AW256" s="1658"/>
      <c r="AX256" s="1658"/>
      <c r="AY256" s="1658"/>
      <c r="AZ256" s="1659"/>
      <c r="BA256" s="1658"/>
      <c r="BB256" s="1658"/>
      <c r="BC256" s="1658"/>
      <c r="BD256" s="1659"/>
      <c r="BE256" s="1658"/>
      <c r="BF256" s="1658"/>
      <c r="BG256" s="1658"/>
      <c r="BH256" s="1659"/>
      <c r="BI256" s="1658"/>
      <c r="BJ256" s="1658"/>
      <c r="BK256" s="1658"/>
      <c r="BL256" s="1659"/>
      <c r="BM256" s="1658"/>
      <c r="BN256" s="1658"/>
      <c r="BO256" s="1642"/>
      <c r="BP256" s="1641"/>
      <c r="BQ256" s="1642"/>
      <c r="BR256" s="1642"/>
      <c r="BS256" s="1642"/>
      <c r="BT256" s="1641"/>
      <c r="BU256" s="1642"/>
      <c r="BV256" s="1642"/>
      <c r="BW256" s="1642"/>
      <c r="BX256" s="1633"/>
      <c r="BY256" s="1634"/>
      <c r="BZ256" s="1634"/>
      <c r="CA256" s="1634"/>
      <c r="CB256" s="1633">
        <v>297</v>
      </c>
      <c r="CC256" s="1634">
        <v>345</v>
      </c>
      <c r="CD256" s="1634">
        <v>316</v>
      </c>
      <c r="CE256" s="1634">
        <v>329</v>
      </c>
      <c r="CF256" s="1633">
        <v>432</v>
      </c>
      <c r="CG256" s="1634">
        <v>520</v>
      </c>
      <c r="CH256" s="1634">
        <v>689</v>
      </c>
      <c r="CI256" s="1634">
        <v>680</v>
      </c>
      <c r="CJ256" s="1633">
        <v>637</v>
      </c>
      <c r="CK256" s="1634">
        <v>688</v>
      </c>
      <c r="CL256" s="1634">
        <v>628</v>
      </c>
      <c r="CM256" s="1648">
        <v>544</v>
      </c>
      <c r="CN256" s="1649">
        <v>524</v>
      </c>
      <c r="CO256" s="1649">
        <v>546</v>
      </c>
      <c r="CP256" s="1649">
        <v>616</v>
      </c>
      <c r="CQ256" s="1648">
        <v>607</v>
      </c>
      <c r="CR256" s="1649">
        <v>559</v>
      </c>
      <c r="CS256" s="1649">
        <v>656</v>
      </c>
      <c r="CT256" s="1649">
        <v>740</v>
      </c>
      <c r="CU256" s="1648">
        <v>744</v>
      </c>
      <c r="CV256" s="1649">
        <v>741</v>
      </c>
      <c r="CW256" s="1649">
        <v>790</v>
      </c>
      <c r="CX256" s="1649">
        <v>800</v>
      </c>
      <c r="CY256" s="1648">
        <v>798</v>
      </c>
      <c r="CZ256" s="1649">
        <v>771</v>
      </c>
      <c r="DA256" s="1672">
        <f t="shared" ref="DA256:DL256" si="316">+CZ256</f>
        <v>771</v>
      </c>
      <c r="DB256" s="1672">
        <f t="shared" si="316"/>
        <v>771</v>
      </c>
      <c r="DC256" s="1672">
        <f t="shared" si="316"/>
        <v>771</v>
      </c>
      <c r="DD256" s="1672">
        <f t="shared" si="316"/>
        <v>771</v>
      </c>
      <c r="DE256" s="1672">
        <f t="shared" si="316"/>
        <v>771</v>
      </c>
      <c r="DF256" s="1672">
        <f t="shared" si="316"/>
        <v>771</v>
      </c>
      <c r="DG256" s="1672">
        <f t="shared" si="316"/>
        <v>771</v>
      </c>
      <c r="DH256" s="1672">
        <f t="shared" si="316"/>
        <v>771</v>
      </c>
      <c r="DI256" s="1672">
        <f t="shared" si="316"/>
        <v>771</v>
      </c>
      <c r="DJ256" s="1672">
        <f t="shared" si="316"/>
        <v>771</v>
      </c>
      <c r="DK256" s="1672">
        <f t="shared" si="316"/>
        <v>771</v>
      </c>
      <c r="DL256" s="1672">
        <f t="shared" si="316"/>
        <v>771</v>
      </c>
    </row>
    <row r="257" spans="1:116" ht="12.75" customHeight="1">
      <c r="A257" s="1628" t="s">
        <v>797</v>
      </c>
      <c r="B257" s="1658"/>
      <c r="C257" s="1658"/>
      <c r="D257" s="1658"/>
      <c r="E257" s="1659"/>
      <c r="F257" s="1658"/>
      <c r="G257" s="1658"/>
      <c r="H257" s="1658"/>
      <c r="I257" s="1658"/>
      <c r="J257" s="1658"/>
      <c r="K257" s="1696"/>
      <c r="L257" s="1658"/>
      <c r="M257" s="1658"/>
      <c r="N257" s="1658"/>
      <c r="O257" s="1658"/>
      <c r="P257" s="1658"/>
      <c r="Q257" s="1658"/>
      <c r="R257" s="1658"/>
      <c r="S257" s="1658"/>
      <c r="T257" s="1658"/>
      <c r="U257" s="1658"/>
      <c r="V257" s="1658"/>
      <c r="W257" s="1658"/>
      <c r="X257" s="1658"/>
      <c r="Y257" s="1658"/>
      <c r="Z257" s="1658"/>
      <c r="AA257" s="1658"/>
      <c r="AB257" s="1658"/>
      <c r="AC257" s="1658"/>
      <c r="AD257" s="1658"/>
      <c r="AE257" s="1658"/>
      <c r="AF257" s="1659"/>
      <c r="AG257" s="1658"/>
      <c r="AH257" s="1658"/>
      <c r="AI257" s="1658"/>
      <c r="AJ257" s="1659"/>
      <c r="AK257" s="1658"/>
      <c r="AL257" s="1658"/>
      <c r="AM257" s="1658"/>
      <c r="AN257" s="1659"/>
      <c r="AO257" s="1658"/>
      <c r="AP257" s="1658"/>
      <c r="AQ257" s="1658"/>
      <c r="AR257" s="1659"/>
      <c r="AS257" s="1658"/>
      <c r="AT257" s="1658"/>
      <c r="AU257" s="1658"/>
      <c r="AV257" s="1659"/>
      <c r="AW257" s="1658"/>
      <c r="AX257" s="1658"/>
      <c r="AY257" s="1658"/>
      <c r="AZ257" s="1659"/>
      <c r="BA257" s="1658"/>
      <c r="BB257" s="1658"/>
      <c r="BC257" s="1658"/>
      <c r="BD257" s="1659"/>
      <c r="BE257" s="1658"/>
      <c r="BF257" s="1658"/>
      <c r="BG257" s="1658"/>
      <c r="BH257" s="1659"/>
      <c r="BI257" s="1658"/>
      <c r="BJ257" s="1658"/>
      <c r="BK257" s="1658"/>
      <c r="BL257" s="1659"/>
      <c r="BM257" s="1658"/>
      <c r="BN257" s="1658"/>
      <c r="BO257" s="1642"/>
      <c r="BP257" s="1641"/>
      <c r="BQ257" s="1642"/>
      <c r="BR257" s="1642"/>
      <c r="BS257" s="1642"/>
      <c r="BT257" s="1641"/>
      <c r="BU257" s="1642"/>
      <c r="BV257" s="1642"/>
      <c r="BW257" s="1642"/>
      <c r="BX257" s="1633">
        <v>11535</v>
      </c>
      <c r="BY257" s="1634">
        <v>11923</v>
      </c>
      <c r="BZ257" s="1634">
        <v>12420</v>
      </c>
      <c r="CA257" s="1634">
        <v>12558</v>
      </c>
      <c r="CB257" s="1641">
        <f t="shared" ref="CB257:CV257" si="317">SUM(CB255:CB256)</f>
        <v>12725</v>
      </c>
      <c r="CC257" s="1642">
        <f t="shared" si="317"/>
        <v>12989</v>
      </c>
      <c r="CD257" s="1642">
        <f t="shared" si="317"/>
        <v>13149</v>
      </c>
      <c r="CE257" s="1642">
        <f t="shared" si="317"/>
        <v>13183</v>
      </c>
      <c r="CF257" s="1641">
        <f t="shared" si="317"/>
        <v>13466</v>
      </c>
      <c r="CG257" s="1642">
        <f t="shared" si="317"/>
        <v>13802</v>
      </c>
      <c r="CH257" s="1642">
        <f t="shared" si="317"/>
        <v>14168</v>
      </c>
      <c r="CI257" s="1642">
        <f t="shared" si="317"/>
        <v>14193</v>
      </c>
      <c r="CJ257" s="1641">
        <f t="shared" si="317"/>
        <v>14311</v>
      </c>
      <c r="CK257" s="1642">
        <f t="shared" si="317"/>
        <v>14707</v>
      </c>
      <c r="CL257" s="1642">
        <f t="shared" si="317"/>
        <v>15033</v>
      </c>
      <c r="CM257" s="1681">
        <f t="shared" si="317"/>
        <v>15106</v>
      </c>
      <c r="CN257" s="1672">
        <f t="shared" si="317"/>
        <v>15410</v>
      </c>
      <c r="CO257" s="1672">
        <f t="shared" si="317"/>
        <v>15776</v>
      </c>
      <c r="CP257" s="1672">
        <f t="shared" si="317"/>
        <v>16154</v>
      </c>
      <c r="CQ257" s="1681">
        <f t="shared" si="317"/>
        <v>16393</v>
      </c>
      <c r="CR257" s="1672">
        <f t="shared" si="317"/>
        <v>16728</v>
      </c>
      <c r="CS257" s="1672">
        <f t="shared" si="317"/>
        <v>17078</v>
      </c>
      <c r="CT257" s="1672">
        <f t="shared" si="317"/>
        <v>17516</v>
      </c>
      <c r="CU257" s="1681">
        <f t="shared" si="317"/>
        <v>17711</v>
      </c>
      <c r="CV257" s="1672">
        <f t="shared" si="317"/>
        <v>17987</v>
      </c>
      <c r="CW257" s="1672">
        <f>SUM(CW255:CW256)</f>
        <v>18078</v>
      </c>
      <c r="CX257" s="1672">
        <f>SUM(CX255:CX256)</f>
        <v>18356</v>
      </c>
      <c r="CY257" s="1681">
        <f>SUM(CY255:CY256)</f>
        <v>18209</v>
      </c>
      <c r="CZ257" s="1672">
        <f>SUM(CZ255:CZ256)</f>
        <v>17914</v>
      </c>
      <c r="DA257" s="1649">
        <v>17689</v>
      </c>
      <c r="DB257" s="1649">
        <v>17598</v>
      </c>
      <c r="DC257" s="1649">
        <v>17195</v>
      </c>
      <c r="DD257" s="1649">
        <v>16809</v>
      </c>
      <c r="DE257" s="1649">
        <v>16741</v>
      </c>
      <c r="DF257" s="1649">
        <v>16684</v>
      </c>
      <c r="DG257" s="1649">
        <v>16346</v>
      </c>
      <c r="DH257" s="1649">
        <v>15778</v>
      </c>
      <c r="DI257" s="1649">
        <v>15622</v>
      </c>
      <c r="DJ257" s="1649">
        <v>15841</v>
      </c>
      <c r="DK257" s="1649">
        <v>15880</v>
      </c>
      <c r="DL257" s="1649">
        <v>15402</v>
      </c>
    </row>
    <row r="258" spans="1:116">
      <c r="A258" s="1628" t="s">
        <v>682</v>
      </c>
      <c r="B258" s="1658"/>
      <c r="C258" s="1658"/>
      <c r="D258" s="1658"/>
      <c r="E258" s="1659"/>
      <c r="F258" s="1658"/>
      <c r="G258" s="1658"/>
      <c r="H258" s="1658"/>
      <c r="I258" s="1658"/>
      <c r="J258" s="1658"/>
      <c r="K258" s="1696"/>
      <c r="L258" s="1658"/>
      <c r="M258" s="1658"/>
      <c r="N258" s="1658"/>
      <c r="O258" s="1658"/>
      <c r="P258" s="1658"/>
      <c r="Q258" s="1658"/>
      <c r="R258" s="1658"/>
      <c r="S258" s="1658"/>
      <c r="T258" s="1658"/>
      <c r="U258" s="1658"/>
      <c r="V258" s="1658"/>
      <c r="W258" s="1658"/>
      <c r="X258" s="1658"/>
      <c r="Y258" s="1658"/>
      <c r="Z258" s="1658"/>
      <c r="AA258" s="1658"/>
      <c r="AB258" s="1658"/>
      <c r="AC258" s="1658"/>
      <c r="AD258" s="1658"/>
      <c r="AE258" s="1658"/>
      <c r="AF258" s="1659"/>
      <c r="AG258" s="1658"/>
      <c r="AH258" s="1658"/>
      <c r="AI258" s="1658"/>
      <c r="AJ258" s="1659"/>
      <c r="AK258" s="1658"/>
      <c r="AL258" s="1658"/>
      <c r="AM258" s="1658"/>
      <c r="AN258" s="1659"/>
      <c r="AO258" s="1658"/>
      <c r="AP258" s="1658"/>
      <c r="AQ258" s="1658"/>
      <c r="AR258" s="1659"/>
      <c r="AS258" s="1658"/>
      <c r="AT258" s="1658"/>
      <c r="AU258" s="1658"/>
      <c r="AV258" s="1659"/>
      <c r="AW258" s="1658"/>
      <c r="AX258" s="1658"/>
      <c r="AY258" s="1658"/>
      <c r="AZ258" s="1659"/>
      <c r="BA258" s="1658"/>
      <c r="BB258" s="1658"/>
      <c r="BC258" s="1658"/>
      <c r="BD258" s="1659"/>
      <c r="BE258" s="1658"/>
      <c r="BF258" s="1658"/>
      <c r="BG258" s="1658"/>
      <c r="BH258" s="1659"/>
      <c r="BI258" s="1658"/>
      <c r="BJ258" s="1658"/>
      <c r="BK258" s="1658"/>
      <c r="BL258" s="1659"/>
      <c r="BM258" s="1658"/>
      <c r="BN258" s="1658"/>
      <c r="BO258" s="1642"/>
      <c r="BP258" s="1641"/>
      <c r="BQ258" s="1642"/>
      <c r="BR258" s="1642"/>
      <c r="BS258" s="1642"/>
      <c r="BT258" s="1641"/>
      <c r="BU258" s="1642"/>
      <c r="BV258" s="1642"/>
      <c r="BW258" s="1642"/>
      <c r="BX258" s="1641"/>
      <c r="BY258" s="1642"/>
      <c r="BZ258" s="1642"/>
      <c r="CA258" s="1642"/>
      <c r="CB258" s="1641"/>
      <c r="CC258" s="1642"/>
      <c r="CD258" s="1642"/>
      <c r="CE258" s="1642"/>
      <c r="CF258" s="1641"/>
      <c r="CG258" s="1642"/>
      <c r="CH258" s="1642"/>
      <c r="CI258" s="1642"/>
      <c r="CJ258" s="1641"/>
      <c r="CK258" s="1642"/>
      <c r="CL258" s="1642"/>
      <c r="CM258" s="1681"/>
      <c r="CN258" s="1672"/>
      <c r="CO258" s="1672"/>
      <c r="CP258" s="1672"/>
      <c r="CQ258" s="1681"/>
      <c r="CR258" s="1672"/>
      <c r="CS258" s="1672"/>
      <c r="CT258" s="1672"/>
      <c r="CU258" s="1681"/>
      <c r="CV258" s="1672"/>
      <c r="CW258" s="1672"/>
      <c r="CX258" s="1672"/>
      <c r="CY258" s="1681"/>
      <c r="CZ258" s="1672"/>
      <c r="DA258" s="1672"/>
      <c r="DB258" s="1672"/>
      <c r="DC258" s="1672"/>
      <c r="DD258" s="1672"/>
      <c r="DE258" s="1672"/>
      <c r="DF258" s="1672"/>
      <c r="DG258" s="1672"/>
      <c r="DH258" s="1672"/>
      <c r="DI258" s="1672"/>
      <c r="DJ258" s="1672"/>
      <c r="DK258" s="1672"/>
      <c r="DL258" s="1672"/>
    </row>
    <row r="259" spans="1:116" ht="12.75" customHeight="1">
      <c r="A259" s="1628" t="s">
        <v>1534</v>
      </c>
      <c r="B259" s="1658"/>
      <c r="C259" s="1658"/>
      <c r="D259" s="1658"/>
      <c r="E259" s="1659"/>
      <c r="F259" s="1658"/>
      <c r="G259" s="1658"/>
      <c r="H259" s="1658"/>
      <c r="I259" s="1658"/>
      <c r="J259" s="1658"/>
      <c r="K259" s="1696"/>
      <c r="L259" s="1658"/>
      <c r="M259" s="1658"/>
      <c r="N259" s="1658"/>
      <c r="O259" s="1658"/>
      <c r="P259" s="1658"/>
      <c r="Q259" s="1658"/>
      <c r="R259" s="1658"/>
      <c r="S259" s="1658"/>
      <c r="T259" s="1658"/>
      <c r="U259" s="1658"/>
      <c r="V259" s="1658"/>
      <c r="W259" s="1658"/>
      <c r="X259" s="1658"/>
      <c r="Y259" s="1658"/>
      <c r="Z259" s="1658"/>
      <c r="AA259" s="1658"/>
      <c r="AB259" s="1658"/>
      <c r="AC259" s="1658"/>
      <c r="AD259" s="1658"/>
      <c r="AE259" s="1658"/>
      <c r="AF259" s="1659"/>
      <c r="AG259" s="1658"/>
      <c r="AH259" s="1658"/>
      <c r="AI259" s="1658"/>
      <c r="AJ259" s="1659"/>
      <c r="AK259" s="1658"/>
      <c r="AL259" s="1658"/>
      <c r="AM259" s="1658"/>
      <c r="AN259" s="1659"/>
      <c r="AO259" s="1658"/>
      <c r="AP259" s="1658"/>
      <c r="AQ259" s="1658"/>
      <c r="AR259" s="1659"/>
      <c r="AS259" s="1658"/>
      <c r="AT259" s="1658"/>
      <c r="AU259" s="1658"/>
      <c r="AV259" s="1659"/>
      <c r="AW259" s="1658"/>
      <c r="AX259" s="1658"/>
      <c r="AY259" s="1658"/>
      <c r="AZ259" s="1659"/>
      <c r="BA259" s="1658"/>
      <c r="BB259" s="1658"/>
      <c r="BC259" s="1658"/>
      <c r="BD259" s="1659"/>
      <c r="BE259" s="1658"/>
      <c r="BF259" s="1658"/>
      <c r="BG259" s="1658"/>
      <c r="BH259" s="1659"/>
      <c r="BI259" s="1658"/>
      <c r="BJ259" s="1658"/>
      <c r="BK259" s="1658"/>
      <c r="BL259" s="1659"/>
      <c r="BM259" s="1658"/>
      <c r="BN259" s="1658"/>
      <c r="BO259" s="1642"/>
      <c r="BP259" s="1641"/>
      <c r="BQ259" s="1642"/>
      <c r="BR259" s="1642"/>
      <c r="BS259" s="1642"/>
      <c r="BT259" s="1641"/>
      <c r="BU259" s="1642"/>
      <c r="BV259" s="1642"/>
      <c r="BW259" s="1642"/>
      <c r="BX259" s="1633">
        <v>1963</v>
      </c>
      <c r="BY259" s="1634">
        <v>2061</v>
      </c>
      <c r="BZ259" s="1634">
        <v>2228</v>
      </c>
      <c r="CA259" s="1634">
        <v>2268</v>
      </c>
      <c r="CB259" s="1633">
        <v>1132</v>
      </c>
      <c r="CC259" s="1634">
        <v>1156</v>
      </c>
      <c r="CD259" s="1634">
        <v>1300</v>
      </c>
      <c r="CE259" s="1634">
        <v>1259</v>
      </c>
      <c r="CF259" s="1633">
        <v>992</v>
      </c>
      <c r="CG259" s="1634">
        <v>1024</v>
      </c>
      <c r="CH259" s="1634">
        <v>1276</v>
      </c>
      <c r="CI259" s="1634">
        <v>1126</v>
      </c>
      <c r="CJ259" s="1633">
        <v>1689</v>
      </c>
      <c r="CK259" s="1634">
        <v>1753</v>
      </c>
      <c r="CL259" s="1634">
        <v>1800</v>
      </c>
      <c r="CM259" s="1648">
        <v>2215</v>
      </c>
      <c r="CN259" s="1649">
        <v>1838</v>
      </c>
      <c r="CO259" s="1649">
        <v>1768</v>
      </c>
      <c r="CP259" s="1649">
        <v>1858</v>
      </c>
      <c r="CQ259" s="1648">
        <v>2559</v>
      </c>
      <c r="CR259" s="1649">
        <v>1813</v>
      </c>
      <c r="CS259" s="1649">
        <v>1953</v>
      </c>
      <c r="CT259" s="1649">
        <v>1924</v>
      </c>
      <c r="CU259" s="1648">
        <v>2421</v>
      </c>
      <c r="CV259" s="1649">
        <v>1870</v>
      </c>
      <c r="CW259" s="1649">
        <v>2387</v>
      </c>
      <c r="CX259" s="1649">
        <v>2480</v>
      </c>
      <c r="CY259" s="1648">
        <v>4222</v>
      </c>
      <c r="CZ259" s="1649">
        <v>3373</v>
      </c>
      <c r="DA259" s="1649">
        <v>3861</v>
      </c>
      <c r="DB259" s="1649">
        <v>4292</v>
      </c>
      <c r="DC259" s="1649">
        <v>5398</v>
      </c>
      <c r="DD259" s="1649">
        <v>3954</v>
      </c>
      <c r="DE259" s="1649">
        <v>3704</v>
      </c>
      <c r="DF259" s="1649">
        <v>4124</v>
      </c>
      <c r="DG259" s="1649">
        <v>5733</v>
      </c>
      <c r="DH259" s="1649">
        <v>3764</v>
      </c>
      <c r="DI259" s="1649">
        <v>4298</v>
      </c>
      <c r="DJ259" s="1649">
        <v>4352</v>
      </c>
      <c r="DK259" s="1649">
        <v>6475</v>
      </c>
      <c r="DL259" s="1649">
        <v>5040</v>
      </c>
    </row>
    <row r="260" spans="1:116" ht="12.75" customHeight="1">
      <c r="A260" s="1628" t="s">
        <v>712</v>
      </c>
      <c r="B260" s="1658"/>
      <c r="C260" s="1658"/>
      <c r="D260" s="1658"/>
      <c r="E260" s="1659"/>
      <c r="F260" s="1658"/>
      <c r="G260" s="1658"/>
      <c r="H260" s="1658"/>
      <c r="I260" s="1658"/>
      <c r="J260" s="1658"/>
      <c r="K260" s="1696"/>
      <c r="L260" s="1658"/>
      <c r="M260" s="1658"/>
      <c r="N260" s="1658"/>
      <c r="O260" s="1658"/>
      <c r="P260" s="1658"/>
      <c r="Q260" s="1658"/>
      <c r="R260" s="1658"/>
      <c r="S260" s="1658"/>
      <c r="T260" s="1658"/>
      <c r="U260" s="1658"/>
      <c r="V260" s="1658"/>
      <c r="W260" s="1658"/>
      <c r="X260" s="1658"/>
      <c r="Y260" s="1658"/>
      <c r="Z260" s="1658"/>
      <c r="AA260" s="1658"/>
      <c r="AB260" s="1658"/>
      <c r="AC260" s="1658"/>
      <c r="AD260" s="1658"/>
      <c r="AE260" s="1658"/>
      <c r="AF260" s="1659"/>
      <c r="AG260" s="1658"/>
      <c r="AH260" s="1658"/>
      <c r="AI260" s="1658"/>
      <c r="AJ260" s="1659"/>
      <c r="AK260" s="1658"/>
      <c r="AL260" s="1658"/>
      <c r="AM260" s="1658"/>
      <c r="AN260" s="1659"/>
      <c r="AO260" s="1658"/>
      <c r="AP260" s="1658"/>
      <c r="AQ260" s="1658"/>
      <c r="AR260" s="1659"/>
      <c r="AS260" s="1658"/>
      <c r="AT260" s="1658"/>
      <c r="AU260" s="1658"/>
      <c r="AV260" s="1659"/>
      <c r="AW260" s="1658"/>
      <c r="AX260" s="1658"/>
      <c r="AY260" s="1658"/>
      <c r="AZ260" s="1659"/>
      <c r="BA260" s="1658"/>
      <c r="BB260" s="1658"/>
      <c r="BC260" s="1658"/>
      <c r="BD260" s="1659"/>
      <c r="BE260" s="1658"/>
      <c r="BF260" s="1658"/>
      <c r="BG260" s="1658"/>
      <c r="BH260" s="1659"/>
      <c r="BI260" s="1658"/>
      <c r="BJ260" s="1658"/>
      <c r="BK260" s="1658"/>
      <c r="BL260" s="1659"/>
      <c r="BM260" s="1658"/>
      <c r="BN260" s="1658"/>
      <c r="BO260" s="1642"/>
      <c r="BP260" s="1641"/>
      <c r="BQ260" s="1642"/>
      <c r="BR260" s="1642"/>
      <c r="BS260" s="1642"/>
      <c r="BT260" s="1641"/>
      <c r="BU260" s="1642"/>
      <c r="BV260" s="1642"/>
      <c r="BW260" s="1642"/>
      <c r="BX260" s="1633"/>
      <c r="BY260" s="1634"/>
      <c r="BZ260" s="1634"/>
      <c r="CA260" s="1634"/>
      <c r="CB260" s="1633">
        <v>833</v>
      </c>
      <c r="CC260" s="1634">
        <v>884</v>
      </c>
      <c r="CD260" s="1634">
        <v>882</v>
      </c>
      <c r="CE260" s="1634">
        <v>833</v>
      </c>
      <c r="CF260" s="1633">
        <v>854</v>
      </c>
      <c r="CG260" s="1634">
        <v>871</v>
      </c>
      <c r="CH260" s="1634">
        <v>806</v>
      </c>
      <c r="CI260" s="1634">
        <v>829</v>
      </c>
      <c r="CJ260" s="1633">
        <v>881</v>
      </c>
      <c r="CK260" s="1634">
        <v>833</v>
      </c>
      <c r="CL260" s="1634">
        <v>893</v>
      </c>
      <c r="CM260" s="1648">
        <v>933</v>
      </c>
      <c r="CN260" s="1649">
        <v>1025</v>
      </c>
      <c r="CO260" s="1649">
        <v>1033</v>
      </c>
      <c r="CP260" s="1649">
        <v>1012</v>
      </c>
      <c r="CQ260" s="1648">
        <v>1042</v>
      </c>
      <c r="CR260" s="1649">
        <v>982</v>
      </c>
      <c r="CS260" s="1649">
        <v>945</v>
      </c>
      <c r="CT260" s="1649">
        <v>959</v>
      </c>
      <c r="CU260" s="1648">
        <v>993</v>
      </c>
      <c r="CV260" s="1649">
        <v>1022</v>
      </c>
      <c r="CW260" s="1649">
        <v>1018</v>
      </c>
      <c r="CX260" s="1649">
        <v>999</v>
      </c>
      <c r="CY260" s="1648">
        <v>1018</v>
      </c>
      <c r="CZ260" s="1649">
        <v>1041</v>
      </c>
      <c r="DA260" s="1649">
        <v>1063</v>
      </c>
      <c r="DB260" s="1649">
        <v>1115</v>
      </c>
      <c r="DC260" s="1649">
        <v>1141</v>
      </c>
      <c r="DD260" s="1649">
        <v>1241</v>
      </c>
      <c r="DE260" s="1649">
        <v>1259</v>
      </c>
      <c r="DF260" s="1649">
        <v>1293</v>
      </c>
      <c r="DG260" s="1649">
        <v>1298</v>
      </c>
      <c r="DH260" s="1649">
        <v>1336</v>
      </c>
      <c r="DI260" s="1649">
        <v>1362</v>
      </c>
      <c r="DJ260" s="1649">
        <v>1387</v>
      </c>
      <c r="DK260" s="1649">
        <v>1416</v>
      </c>
      <c r="DL260" s="1649">
        <v>1458</v>
      </c>
    </row>
    <row r="261" spans="1:116">
      <c r="A261" s="954" t="s">
        <v>1449</v>
      </c>
      <c r="B261" s="1658"/>
      <c r="C261" s="1658"/>
      <c r="D261" s="1658"/>
      <c r="E261" s="1659"/>
      <c r="F261" s="1658"/>
      <c r="G261" s="1658"/>
      <c r="H261" s="1658"/>
      <c r="I261" s="1658"/>
      <c r="J261" s="1658"/>
      <c r="K261" s="1696"/>
      <c r="L261" s="1658"/>
      <c r="M261" s="1658"/>
      <c r="N261" s="1658"/>
      <c r="O261" s="1658"/>
      <c r="P261" s="1658"/>
      <c r="Q261" s="1658"/>
      <c r="R261" s="1658"/>
      <c r="S261" s="1658"/>
      <c r="T261" s="1658"/>
      <c r="U261" s="1658"/>
      <c r="V261" s="1658"/>
      <c r="W261" s="1658"/>
      <c r="X261" s="1658"/>
      <c r="Y261" s="1658"/>
      <c r="Z261" s="1658"/>
      <c r="AA261" s="1658"/>
      <c r="AB261" s="1658"/>
      <c r="AC261" s="1658"/>
      <c r="AD261" s="1658"/>
      <c r="AE261" s="1658"/>
      <c r="AF261" s="1659"/>
      <c r="AG261" s="1658"/>
      <c r="AH261" s="1658"/>
      <c r="AI261" s="1658"/>
      <c r="AJ261" s="1659"/>
      <c r="AK261" s="1658"/>
      <c r="AL261" s="1658"/>
      <c r="AM261" s="1658"/>
      <c r="AN261" s="1659"/>
      <c r="AO261" s="1658"/>
      <c r="AP261" s="1658"/>
      <c r="AQ261" s="1658"/>
      <c r="AR261" s="1659"/>
      <c r="AS261" s="1658"/>
      <c r="AT261" s="1658"/>
      <c r="AU261" s="1658"/>
      <c r="AV261" s="1659"/>
      <c r="AW261" s="1658"/>
      <c r="AX261" s="1658"/>
      <c r="AY261" s="1658"/>
      <c r="AZ261" s="1659"/>
      <c r="BA261" s="1658"/>
      <c r="BB261" s="1658"/>
      <c r="BC261" s="1658"/>
      <c r="BD261" s="1659"/>
      <c r="BE261" s="1658"/>
      <c r="BF261" s="1658"/>
      <c r="BG261" s="1658"/>
      <c r="BH261" s="1659"/>
      <c r="BI261" s="1658"/>
      <c r="BJ261" s="1658"/>
      <c r="BK261" s="1658"/>
      <c r="BL261" s="1659"/>
      <c r="BM261" s="1658"/>
      <c r="BN261" s="1658"/>
      <c r="BO261" s="1642"/>
      <c r="BP261" s="1641"/>
      <c r="BQ261" s="1642"/>
      <c r="BR261" s="1642"/>
      <c r="BS261" s="1642"/>
      <c r="BT261" s="1641"/>
      <c r="BU261" s="1642"/>
      <c r="BV261" s="1642"/>
      <c r="BW261" s="1642"/>
      <c r="BX261" s="1694">
        <f>SUM(BX257:BX259)</f>
        <v>13498</v>
      </c>
      <c r="BY261" s="1693">
        <f>SUM(BY257:BY259)</f>
        <v>13984</v>
      </c>
      <c r="BZ261" s="1693">
        <f>SUM(BZ257:BZ259)</f>
        <v>14648</v>
      </c>
      <c r="CA261" s="1693">
        <f>SUM(CA257:CA259)</f>
        <v>14826</v>
      </c>
      <c r="CB261" s="1694">
        <f t="shared" ref="CB261:CV261" si="318">+CB257+CB259+CB260</f>
        <v>14690</v>
      </c>
      <c r="CC261" s="1693">
        <f t="shared" si="318"/>
        <v>15029</v>
      </c>
      <c r="CD261" s="1693">
        <f t="shared" si="318"/>
        <v>15331</v>
      </c>
      <c r="CE261" s="1693">
        <f t="shared" si="318"/>
        <v>15275</v>
      </c>
      <c r="CF261" s="1694">
        <f t="shared" si="318"/>
        <v>15312</v>
      </c>
      <c r="CG261" s="1693">
        <f t="shared" si="318"/>
        <v>15697</v>
      </c>
      <c r="CH261" s="1693">
        <f t="shared" si="318"/>
        <v>16250</v>
      </c>
      <c r="CI261" s="1693">
        <f t="shared" si="318"/>
        <v>16148</v>
      </c>
      <c r="CJ261" s="1694">
        <f t="shared" si="318"/>
        <v>16881</v>
      </c>
      <c r="CK261" s="1693">
        <f t="shared" si="318"/>
        <v>17293</v>
      </c>
      <c r="CL261" s="1693">
        <f t="shared" si="318"/>
        <v>17726</v>
      </c>
      <c r="CM261" s="1695">
        <f t="shared" si="318"/>
        <v>18254</v>
      </c>
      <c r="CN261" s="1267">
        <f t="shared" si="318"/>
        <v>18273</v>
      </c>
      <c r="CO261" s="1267">
        <f t="shared" si="318"/>
        <v>18577</v>
      </c>
      <c r="CP261" s="1267">
        <f t="shared" si="318"/>
        <v>19024</v>
      </c>
      <c r="CQ261" s="1695">
        <f t="shared" si="318"/>
        <v>19994</v>
      </c>
      <c r="CR261" s="1267">
        <f t="shared" si="318"/>
        <v>19523</v>
      </c>
      <c r="CS261" s="1267">
        <f t="shared" si="318"/>
        <v>19976</v>
      </c>
      <c r="CT261" s="1267">
        <f t="shared" si="318"/>
        <v>20399</v>
      </c>
      <c r="CU261" s="1695">
        <f t="shared" si="318"/>
        <v>21125</v>
      </c>
      <c r="CV261" s="1267">
        <f t="shared" si="318"/>
        <v>20879</v>
      </c>
      <c r="CW261" s="1267">
        <f t="shared" ref="CW261:DB261" si="319">+CW257+CW259+CW260</f>
        <v>21483</v>
      </c>
      <c r="CX261" s="1267">
        <f t="shared" si="319"/>
        <v>21835</v>
      </c>
      <c r="CY261" s="1695">
        <f t="shared" si="319"/>
        <v>23449</v>
      </c>
      <c r="CZ261" s="1267">
        <f t="shared" si="319"/>
        <v>22328</v>
      </c>
      <c r="DA261" s="1267">
        <f t="shared" si="319"/>
        <v>22613</v>
      </c>
      <c r="DB261" s="1267">
        <f t="shared" si="319"/>
        <v>23005</v>
      </c>
      <c r="DC261" s="1267">
        <f t="shared" ref="DC261:DH261" si="320">+DC257+DC259+DC260</f>
        <v>23734</v>
      </c>
      <c r="DD261" s="1267">
        <f t="shared" si="320"/>
        <v>22004</v>
      </c>
      <c r="DE261" s="1267">
        <f t="shared" si="320"/>
        <v>21704</v>
      </c>
      <c r="DF261" s="1267">
        <f t="shared" si="320"/>
        <v>22101</v>
      </c>
      <c r="DG261" s="1267">
        <f t="shared" si="320"/>
        <v>23377</v>
      </c>
      <c r="DH261" s="1267">
        <f t="shared" si="320"/>
        <v>20878</v>
      </c>
      <c r="DI261" s="1267">
        <f t="shared" ref="DI261:DJ261" si="321">+DI257+DI259+DI260</f>
        <v>21282</v>
      </c>
      <c r="DJ261" s="1267">
        <f t="shared" si="321"/>
        <v>21580</v>
      </c>
      <c r="DK261" s="1267">
        <f t="shared" ref="DK261:DL261" si="322">+DK257+DK259+DK260</f>
        <v>23771</v>
      </c>
      <c r="DL261" s="1267">
        <f t="shared" si="322"/>
        <v>21900</v>
      </c>
    </row>
    <row r="262" spans="1:116">
      <c r="A262" s="1629" t="s">
        <v>1237</v>
      </c>
      <c r="B262" s="1642"/>
      <c r="C262" s="1642"/>
      <c r="D262" s="1642"/>
      <c r="E262" s="1659"/>
      <c r="F262" s="1642"/>
      <c r="G262" s="1642"/>
      <c r="H262" s="1642"/>
      <c r="I262" s="1642"/>
      <c r="J262" s="1642"/>
      <c r="K262" s="1681"/>
      <c r="L262" s="1642"/>
      <c r="M262" s="1642"/>
      <c r="N262" s="1642"/>
      <c r="O262" s="1642"/>
      <c r="P262" s="1642"/>
      <c r="Q262" s="1642"/>
      <c r="R262" s="1642"/>
      <c r="S262" s="1642"/>
      <c r="T262" s="1642"/>
      <c r="U262" s="1642"/>
      <c r="V262" s="1642"/>
      <c r="W262" s="1642"/>
      <c r="X262" s="1642"/>
      <c r="Y262" s="1642"/>
      <c r="Z262" s="1642"/>
      <c r="AA262" s="1642"/>
      <c r="AB262" s="1642"/>
      <c r="AC262" s="1642"/>
      <c r="AD262" s="1642"/>
      <c r="AE262" s="1642"/>
      <c r="AF262" s="1641"/>
      <c r="AG262" s="1642"/>
      <c r="AH262" s="1642"/>
      <c r="AI262" s="1642"/>
      <c r="AJ262" s="1641"/>
      <c r="AK262" s="1642"/>
      <c r="AL262" s="1642"/>
      <c r="AM262" s="1642"/>
      <c r="AN262" s="1641"/>
      <c r="AO262" s="1642"/>
      <c r="AP262" s="1642"/>
      <c r="AQ262" s="1642"/>
      <c r="AR262" s="1641"/>
      <c r="AS262" s="1642"/>
      <c r="AT262" s="1642"/>
      <c r="AU262" s="1642"/>
      <c r="AV262" s="1641"/>
      <c r="AW262" s="1642"/>
      <c r="AX262" s="1642"/>
      <c r="AY262" s="1642"/>
      <c r="AZ262" s="1641"/>
      <c r="BA262" s="1642"/>
      <c r="BB262" s="1642"/>
      <c r="BC262" s="1642"/>
      <c r="BD262" s="1641"/>
      <c r="BE262" s="1642"/>
      <c r="BF262" s="1642"/>
      <c r="BG262" s="1642"/>
      <c r="BH262" s="1641"/>
      <c r="BI262" s="1642"/>
      <c r="BJ262" s="1642"/>
      <c r="BK262" s="1642"/>
      <c r="BL262" s="1641"/>
      <c r="BM262" s="1642"/>
      <c r="BN262" s="1642"/>
      <c r="BO262" s="1642"/>
      <c r="BP262" s="1641"/>
      <c r="BQ262" s="1642"/>
      <c r="BR262" s="1642"/>
      <c r="BS262" s="1642"/>
      <c r="BT262" s="1641"/>
      <c r="BU262" s="1642"/>
      <c r="BV262" s="1642"/>
      <c r="BW262" s="1642"/>
      <c r="BX262" s="1641"/>
      <c r="BY262" s="1642"/>
      <c r="BZ262" s="1642"/>
      <c r="CA262" s="1642"/>
      <c r="CB262" s="1641"/>
      <c r="CC262" s="1642"/>
      <c r="CD262" s="1642"/>
      <c r="CE262" s="1642"/>
      <c r="CF262" s="1641"/>
      <c r="CG262" s="1642"/>
      <c r="CH262" s="1642"/>
      <c r="CI262" s="1642"/>
      <c r="CJ262" s="1641"/>
      <c r="CK262" s="1642"/>
      <c r="CL262" s="1642"/>
      <c r="CM262" s="1681"/>
      <c r="CN262" s="1672"/>
      <c r="CO262" s="1672"/>
      <c r="CP262" s="1672"/>
      <c r="CQ262" s="1681"/>
      <c r="CR262" s="1672"/>
      <c r="CS262" s="1672"/>
      <c r="CT262" s="1672"/>
      <c r="CU262" s="1681"/>
      <c r="CV262" s="1672"/>
      <c r="CW262" s="1672"/>
      <c r="CX262" s="1672"/>
      <c r="CY262" s="1681"/>
      <c r="CZ262" s="1672"/>
      <c r="DA262" s="1672"/>
      <c r="DB262" s="1672"/>
      <c r="DC262" s="1672"/>
      <c r="DD262" s="1672"/>
      <c r="DE262" s="1672"/>
      <c r="DF262" s="1672"/>
      <c r="DG262" s="1672"/>
      <c r="DH262" s="1672"/>
      <c r="DI262" s="1672"/>
      <c r="DJ262" s="1672"/>
      <c r="DK262" s="1672"/>
      <c r="DL262" s="1672"/>
    </row>
    <row r="263" spans="1:116">
      <c r="A263" s="1629"/>
      <c r="B263" s="1642"/>
      <c r="C263" s="1642"/>
      <c r="D263" s="1642"/>
      <c r="E263" s="1659"/>
      <c r="F263" s="1642"/>
      <c r="G263" s="1642"/>
      <c r="H263" s="1642"/>
      <c r="I263" s="1642"/>
      <c r="J263" s="1642"/>
      <c r="K263" s="1681"/>
      <c r="L263" s="1642"/>
      <c r="M263" s="1642"/>
      <c r="N263" s="1642"/>
      <c r="O263" s="1642"/>
      <c r="P263" s="1642"/>
      <c r="Q263" s="1642"/>
      <c r="R263" s="1642"/>
      <c r="S263" s="1642"/>
      <c r="T263" s="1642"/>
      <c r="U263" s="1642"/>
      <c r="V263" s="1642"/>
      <c r="W263" s="1642"/>
      <c r="X263" s="1642"/>
      <c r="Y263" s="1642"/>
      <c r="Z263" s="1642"/>
      <c r="AA263" s="1642"/>
      <c r="AB263" s="1642"/>
      <c r="AC263" s="1642"/>
      <c r="AD263" s="1642"/>
      <c r="AE263" s="1642"/>
      <c r="AF263" s="1641"/>
      <c r="AG263" s="1642"/>
      <c r="AH263" s="1642"/>
      <c r="AI263" s="1642"/>
      <c r="AJ263" s="1641"/>
      <c r="AK263" s="1642"/>
      <c r="AL263" s="1642"/>
      <c r="AM263" s="1642"/>
      <c r="AN263" s="1641"/>
      <c r="AO263" s="1642"/>
      <c r="AP263" s="1642"/>
      <c r="AQ263" s="1642"/>
      <c r="AR263" s="1641"/>
      <c r="AS263" s="1642"/>
      <c r="AT263" s="1642"/>
      <c r="AU263" s="1642"/>
      <c r="AV263" s="1641"/>
      <c r="AW263" s="1642"/>
      <c r="AX263" s="1642"/>
      <c r="AY263" s="1642"/>
      <c r="AZ263" s="1641"/>
      <c r="BA263" s="1642"/>
      <c r="BB263" s="1642"/>
      <c r="BC263" s="1642"/>
      <c r="BD263" s="1641"/>
      <c r="BE263" s="1642"/>
      <c r="BF263" s="1642"/>
      <c r="BG263" s="1642"/>
      <c r="BH263" s="1641"/>
      <c r="BI263" s="1642"/>
      <c r="BJ263" s="1642"/>
      <c r="BK263" s="1642"/>
      <c r="BL263" s="1641"/>
      <c r="BM263" s="1642"/>
      <c r="BN263" s="1642"/>
      <c r="BO263" s="1642"/>
      <c r="BP263" s="1641"/>
      <c r="BQ263" s="1642"/>
      <c r="BR263" s="1642"/>
      <c r="BS263" s="1642"/>
      <c r="BT263" s="1641"/>
      <c r="BU263" s="1642"/>
      <c r="BV263" s="1642"/>
      <c r="BW263" s="1642"/>
      <c r="BX263" s="1641"/>
      <c r="BY263" s="1642"/>
      <c r="BZ263" s="1642"/>
      <c r="CA263" s="1642"/>
      <c r="CB263" s="1641"/>
      <c r="CC263" s="1642"/>
      <c r="CD263" s="1642"/>
      <c r="CE263" s="1642"/>
      <c r="CF263" s="1641"/>
      <c r="CG263" s="1642"/>
      <c r="CH263" s="1642"/>
      <c r="CI263" s="1642"/>
      <c r="CJ263" s="1641"/>
      <c r="CK263" s="1642"/>
      <c r="CL263" s="1642"/>
      <c r="CM263" s="1681"/>
      <c r="CN263" s="1672"/>
      <c r="CO263" s="1672"/>
      <c r="CP263" s="1672"/>
      <c r="CQ263" s="1681"/>
      <c r="CR263" s="1672"/>
      <c r="CS263" s="1672"/>
      <c r="CT263" s="1672"/>
      <c r="CU263" s="1681"/>
      <c r="CV263" s="1672"/>
      <c r="CW263" s="1672"/>
      <c r="CX263" s="1672"/>
      <c r="CY263" s="1681"/>
      <c r="CZ263" s="1672"/>
      <c r="DA263" s="1672"/>
      <c r="DB263" s="1672"/>
      <c r="DC263" s="1672"/>
      <c r="DD263" s="1672"/>
      <c r="DE263" s="1672"/>
      <c r="DF263" s="1672"/>
      <c r="DG263" s="1672"/>
      <c r="DH263" s="1672"/>
      <c r="DI263" s="1672"/>
      <c r="DJ263" s="1672"/>
      <c r="DK263" s="1672"/>
      <c r="DL263" s="1672"/>
    </row>
    <row r="264" spans="1:116">
      <c r="A264" s="1539"/>
      <c r="B264" s="1642"/>
      <c r="C264" s="1642"/>
      <c r="D264" s="1642"/>
      <c r="E264" s="1641"/>
      <c r="F264" s="1642"/>
      <c r="G264" s="1642"/>
      <c r="H264" s="1642"/>
      <c r="I264" s="1642"/>
      <c r="J264" s="1642"/>
      <c r="K264" s="1681"/>
      <c r="L264" s="1642"/>
      <c r="M264" s="1642"/>
      <c r="N264" s="1642"/>
      <c r="O264" s="1642"/>
      <c r="P264" s="1642"/>
      <c r="Q264" s="1642"/>
      <c r="R264" s="1642"/>
      <c r="S264" s="1642"/>
      <c r="T264" s="1642"/>
      <c r="U264" s="1642"/>
      <c r="V264" s="1642"/>
      <c r="W264" s="1642"/>
      <c r="X264" s="1642"/>
      <c r="Y264" s="1642"/>
      <c r="Z264" s="1642"/>
      <c r="AA264" s="1642"/>
      <c r="AB264" s="1642"/>
      <c r="AC264" s="1642"/>
      <c r="AD264" s="1642"/>
      <c r="AE264" s="1642"/>
      <c r="AF264" s="1641"/>
      <c r="AG264" s="1642"/>
      <c r="AH264" s="1642"/>
      <c r="AI264" s="1642"/>
      <c r="AJ264" s="1641"/>
      <c r="AK264" s="1642"/>
      <c r="AL264" s="1642"/>
      <c r="AM264" s="1642"/>
      <c r="AN264" s="1641"/>
      <c r="AO264" s="1642"/>
      <c r="AP264" s="1642"/>
      <c r="AQ264" s="1642"/>
      <c r="AR264" s="1641"/>
      <c r="AS264" s="1642"/>
      <c r="AT264" s="1642"/>
      <c r="AU264" s="1642"/>
      <c r="AV264" s="1641"/>
      <c r="AW264" s="1642"/>
      <c r="AX264" s="1642"/>
      <c r="AY264" s="1642"/>
      <c r="AZ264" s="1641"/>
      <c r="BA264" s="1642"/>
      <c r="BB264" s="1642"/>
      <c r="BC264" s="1642"/>
      <c r="BD264" s="1641"/>
      <c r="BE264" s="1642"/>
      <c r="BF264" s="1642"/>
      <c r="BG264" s="1642"/>
      <c r="BH264" s="1641"/>
      <c r="BI264" s="1642"/>
      <c r="BJ264" s="1642"/>
      <c r="BK264" s="1642"/>
      <c r="BL264" s="1641"/>
      <c r="BM264" s="1642"/>
      <c r="BN264" s="1642"/>
      <c r="BO264" s="1642"/>
      <c r="BP264" s="1641"/>
      <c r="BQ264" s="1642"/>
      <c r="BR264" s="1642"/>
      <c r="BS264" s="1642"/>
      <c r="BT264" s="1641"/>
      <c r="BU264" s="1642"/>
      <c r="BV264" s="1642"/>
      <c r="BW264" s="1642"/>
      <c r="BX264" s="1641"/>
      <c r="BY264" s="1642"/>
      <c r="BZ264" s="1642"/>
      <c r="CA264" s="1642"/>
      <c r="CB264" s="1641"/>
      <c r="CC264" s="1642"/>
      <c r="CD264" s="1642"/>
      <c r="CE264" s="1642"/>
      <c r="CF264" s="1641"/>
      <c r="CG264" s="1642"/>
      <c r="CH264" s="1642"/>
      <c r="CI264" s="1642"/>
      <c r="CJ264" s="1641"/>
      <c r="CK264" s="1642"/>
      <c r="CL264" s="1642"/>
      <c r="CM264" s="1681"/>
      <c r="CN264" s="1672"/>
      <c r="CO264" s="1672"/>
      <c r="CP264" s="1672"/>
      <c r="CQ264" s="1681"/>
      <c r="CR264" s="1672"/>
      <c r="CS264" s="1672"/>
      <c r="CT264" s="1672"/>
      <c r="CU264" s="1681"/>
      <c r="CV264" s="1672"/>
      <c r="CW264" s="1672"/>
      <c r="CX264" s="1672"/>
      <c r="CY264" s="1681"/>
      <c r="CZ264" s="1672"/>
      <c r="DA264" s="1672"/>
      <c r="DB264" s="1672"/>
      <c r="DC264" s="1672"/>
      <c r="DD264" s="1672"/>
      <c r="DE264" s="1672"/>
      <c r="DF264" s="1672"/>
      <c r="DG264" s="1672"/>
      <c r="DH264" s="1672"/>
      <c r="DI264" s="1672"/>
      <c r="DJ264" s="1672"/>
      <c r="DK264" s="1672"/>
      <c r="DL264" s="1672"/>
    </row>
    <row r="265" spans="1:116">
      <c r="A265" s="1628" t="s">
        <v>961</v>
      </c>
      <c r="B265" s="1642"/>
      <c r="C265" s="1642"/>
      <c r="D265" s="1642"/>
      <c r="E265" s="1641"/>
      <c r="F265" s="1642"/>
      <c r="G265" s="1642"/>
      <c r="H265" s="1642"/>
      <c r="I265" s="1642"/>
      <c r="J265" s="1642">
        <f>SUM(AZ265:BC265)</f>
        <v>5456</v>
      </c>
      <c r="K265" s="1681">
        <f>SUM(BD265:BG265)</f>
        <v>6460</v>
      </c>
      <c r="L265" s="1642"/>
      <c r="M265" s="1642"/>
      <c r="N265" s="1642"/>
      <c r="O265" s="1642"/>
      <c r="P265" s="1642"/>
      <c r="Q265" s="1642"/>
      <c r="R265" s="1642"/>
      <c r="S265" s="1642"/>
      <c r="T265" s="1642"/>
      <c r="U265" s="1642"/>
      <c r="V265" s="1642"/>
      <c r="W265" s="1642"/>
      <c r="X265" s="1642"/>
      <c r="Y265" s="1642"/>
      <c r="Z265" s="1642"/>
      <c r="AA265" s="1642"/>
      <c r="AB265" s="1642"/>
      <c r="AC265" s="1642"/>
      <c r="AD265" s="1642"/>
      <c r="AE265" s="1642"/>
      <c r="AF265" s="1641"/>
      <c r="AG265" s="1642"/>
      <c r="AH265" s="1642"/>
      <c r="AI265" s="1642"/>
      <c r="AJ265" s="1641"/>
      <c r="AK265" s="1642"/>
      <c r="AL265" s="1642"/>
      <c r="AM265" s="1642"/>
      <c r="AN265" s="1641"/>
      <c r="AO265" s="1642"/>
      <c r="AP265" s="1642"/>
      <c r="AQ265" s="1642"/>
      <c r="AR265" s="1641"/>
      <c r="AS265" s="1642"/>
      <c r="AT265" s="1642"/>
      <c r="AU265" s="1642"/>
      <c r="AV265" s="1641"/>
      <c r="AW265" s="1642"/>
      <c r="AX265" s="1642"/>
      <c r="AY265" s="1642"/>
      <c r="AZ265" s="1641">
        <v>1246</v>
      </c>
      <c r="BA265" s="1642">
        <v>1328</v>
      </c>
      <c r="BB265" s="1642">
        <v>1392</v>
      </c>
      <c r="BC265" s="1642">
        <v>1490</v>
      </c>
      <c r="BD265" s="1641">
        <v>1439</v>
      </c>
      <c r="BE265" s="1642">
        <v>1567</v>
      </c>
      <c r="BF265" s="1642">
        <v>1715</v>
      </c>
      <c r="BG265" s="1642">
        <v>1739</v>
      </c>
      <c r="BH265" s="1641">
        <v>1658</v>
      </c>
      <c r="BI265" s="1642">
        <v>1854</v>
      </c>
      <c r="BJ265" s="1642">
        <v>2107</v>
      </c>
      <c r="BK265" s="1642">
        <v>2128</v>
      </c>
      <c r="BL265" s="1641">
        <v>2098</v>
      </c>
      <c r="BM265" s="1642">
        <v>2282</v>
      </c>
      <c r="BN265" s="1642">
        <v>2519</v>
      </c>
      <c r="BO265" s="1642">
        <v>2494</v>
      </c>
      <c r="BP265" s="1641">
        <v>2665</v>
      </c>
      <c r="BQ265" s="1642">
        <v>2752</v>
      </c>
      <c r="BR265" s="1642">
        <v>2930</v>
      </c>
      <c r="BS265" s="1642">
        <v>3144</v>
      </c>
      <c r="BT265" s="1641">
        <v>3022</v>
      </c>
      <c r="BU265" s="1634">
        <v>3270</v>
      </c>
      <c r="BV265" s="1634">
        <v>3551</v>
      </c>
      <c r="BW265" s="1634">
        <v>3613</v>
      </c>
      <c r="BX265" s="1633">
        <v>4120</v>
      </c>
      <c r="BY265" s="1634">
        <v>4272</v>
      </c>
      <c r="BZ265" s="1634">
        <v>4721</v>
      </c>
      <c r="CA265" s="1634">
        <v>4702</v>
      </c>
      <c r="CB265" s="1761">
        <f t="shared" ref="CB265:CU265" si="323">+CB274</f>
        <v>4552</v>
      </c>
      <c r="CC265" s="1762">
        <f t="shared" si="323"/>
        <v>4723</v>
      </c>
      <c r="CD265" s="1762">
        <f t="shared" si="323"/>
        <v>4929</v>
      </c>
      <c r="CE265" s="1762">
        <f t="shared" si="323"/>
        <v>5144</v>
      </c>
      <c r="CF265" s="1761">
        <f t="shared" si="323"/>
        <v>4675</v>
      </c>
      <c r="CG265" s="1762">
        <f t="shared" si="323"/>
        <v>4736</v>
      </c>
      <c r="CH265" s="1762">
        <f t="shared" si="323"/>
        <v>5017</v>
      </c>
      <c r="CI265" s="1762">
        <f t="shared" si="323"/>
        <v>4817</v>
      </c>
      <c r="CJ265" s="1761">
        <f t="shared" si="323"/>
        <v>5880</v>
      </c>
      <c r="CK265" s="1762">
        <f t="shared" si="323"/>
        <v>5829</v>
      </c>
      <c r="CL265" s="1762">
        <f t="shared" si="323"/>
        <v>5670</v>
      </c>
      <c r="CM265" s="1768">
        <f t="shared" si="323"/>
        <v>6707</v>
      </c>
      <c r="CN265" s="1769">
        <f t="shared" si="323"/>
        <v>5910</v>
      </c>
      <c r="CO265" s="1769">
        <f t="shared" si="323"/>
        <v>5558</v>
      </c>
      <c r="CP265" s="1769">
        <f t="shared" si="323"/>
        <v>5690</v>
      </c>
      <c r="CQ265" s="1768">
        <f t="shared" si="323"/>
        <v>7332</v>
      </c>
      <c r="CR265" s="1769">
        <f t="shared" si="323"/>
        <v>5651</v>
      </c>
      <c r="CS265" s="1769">
        <f t="shared" si="323"/>
        <v>5799</v>
      </c>
      <c r="CT265" s="1769">
        <f t="shared" si="323"/>
        <v>5652</v>
      </c>
      <c r="CU265" s="1768">
        <f t="shared" si="323"/>
        <v>6546</v>
      </c>
      <c r="CV265" s="1769">
        <f t="shared" ref="CV265:CX266" si="324">+CV274</f>
        <v>5856</v>
      </c>
      <c r="CW265" s="1769">
        <f t="shared" si="324"/>
        <v>6742</v>
      </c>
      <c r="CX265" s="1769">
        <f t="shared" si="324"/>
        <v>7043</v>
      </c>
      <c r="CY265" s="1768">
        <f t="shared" ref="CY265:DA266" si="325">+CY274</f>
        <v>9184</v>
      </c>
      <c r="CZ265" s="1769">
        <f t="shared" si="325"/>
        <v>6959</v>
      </c>
      <c r="DA265" s="1769">
        <f t="shared" si="325"/>
        <v>7403</v>
      </c>
      <c r="DB265" s="1769">
        <f t="shared" ref="DB265:DD266" si="326">+DB274</f>
        <v>7726</v>
      </c>
      <c r="DC265" s="1769">
        <f t="shared" si="326"/>
        <v>8834</v>
      </c>
      <c r="DD265" s="1769">
        <f t="shared" si="326"/>
        <v>6940</v>
      </c>
      <c r="DE265" s="1769">
        <f t="shared" ref="DE265:DF265" si="327">+DE274</f>
        <v>6628</v>
      </c>
      <c r="DF265" s="1769">
        <f t="shared" si="327"/>
        <v>7246</v>
      </c>
      <c r="DG265" s="1769">
        <f t="shared" ref="DG265:DH265" si="328">+DG274</f>
        <v>9412</v>
      </c>
      <c r="DH265" s="1769">
        <f t="shared" si="328"/>
        <v>6766</v>
      </c>
      <c r="DI265" s="1769">
        <f t="shared" ref="DI265:DJ265" si="329">+DI274</f>
        <v>7032</v>
      </c>
      <c r="DJ265" s="1769">
        <f t="shared" si="329"/>
        <v>7017</v>
      </c>
      <c r="DK265" s="1769">
        <f t="shared" ref="DK265:DL265" si="330">+DK274</f>
        <v>9322</v>
      </c>
      <c r="DL265" s="1769">
        <f t="shared" si="330"/>
        <v>7524</v>
      </c>
    </row>
    <row r="266" spans="1:116">
      <c r="A266" s="1628" t="s">
        <v>963</v>
      </c>
      <c r="B266" s="1642"/>
      <c r="C266" s="1642"/>
      <c r="D266" s="1642"/>
      <c r="E266" s="1641"/>
      <c r="F266" s="1642"/>
      <c r="G266" s="1642"/>
      <c r="H266" s="1642"/>
      <c r="I266" s="1642"/>
      <c r="J266" s="1642">
        <f>SUM(AZ266:BC266)</f>
        <v>7084</v>
      </c>
      <c r="K266" s="1681">
        <f>SUM(BD266:BG266)</f>
        <v>8057</v>
      </c>
      <c r="L266" s="1642"/>
      <c r="M266" s="1642"/>
      <c r="N266" s="1642"/>
      <c r="O266" s="1642"/>
      <c r="P266" s="1642"/>
      <c r="Q266" s="1642"/>
      <c r="R266" s="1642"/>
      <c r="S266" s="1642"/>
      <c r="T266" s="1642"/>
      <c r="U266" s="1642"/>
      <c r="V266" s="1642"/>
      <c r="W266" s="1642"/>
      <c r="X266" s="1642"/>
      <c r="Y266" s="1642"/>
      <c r="Z266" s="1642"/>
      <c r="AA266" s="1642"/>
      <c r="AB266" s="1642"/>
      <c r="AC266" s="1642"/>
      <c r="AD266" s="1642"/>
      <c r="AE266" s="1642"/>
      <c r="AF266" s="1641"/>
      <c r="AG266" s="1642"/>
      <c r="AH266" s="1642"/>
      <c r="AI266" s="1642"/>
      <c r="AJ266" s="1641"/>
      <c r="AK266" s="1642"/>
      <c r="AL266" s="1642"/>
      <c r="AM266" s="1642"/>
      <c r="AN266" s="1641"/>
      <c r="AO266" s="1642"/>
      <c r="AP266" s="1642"/>
      <c r="AQ266" s="1642"/>
      <c r="AR266" s="1641"/>
      <c r="AS266" s="1642"/>
      <c r="AT266" s="1642"/>
      <c r="AU266" s="1642"/>
      <c r="AV266" s="1641"/>
      <c r="AW266" s="1642"/>
      <c r="AX266" s="1642"/>
      <c r="AY266" s="1642"/>
      <c r="AZ266" s="1641">
        <v>1629</v>
      </c>
      <c r="BA266" s="1642">
        <v>1771</v>
      </c>
      <c r="BB266" s="1642">
        <v>1839</v>
      </c>
      <c r="BC266" s="1642">
        <v>1845</v>
      </c>
      <c r="BD266" s="1641">
        <v>1866</v>
      </c>
      <c r="BE266" s="1642">
        <v>1973</v>
      </c>
      <c r="BF266" s="1642">
        <v>2103</v>
      </c>
      <c r="BG266" s="1642">
        <v>2115</v>
      </c>
      <c r="BH266" s="1641">
        <v>2247</v>
      </c>
      <c r="BI266" s="1642">
        <v>2275</v>
      </c>
      <c r="BJ266" s="1642">
        <v>2411</v>
      </c>
      <c r="BK266" s="1642">
        <v>2658</v>
      </c>
      <c r="BL266" s="1641">
        <v>2630</v>
      </c>
      <c r="BM266" s="1642">
        <v>2607</v>
      </c>
      <c r="BN266" s="1642">
        <v>2814</v>
      </c>
      <c r="BO266" s="1642">
        <v>2717</v>
      </c>
      <c r="BP266" s="1641">
        <v>2759</v>
      </c>
      <c r="BQ266" s="1642">
        <v>2946</v>
      </c>
      <c r="BR266" s="1642">
        <v>3132</v>
      </c>
      <c r="BS266" s="1642">
        <v>3202</v>
      </c>
      <c r="BT266" s="1641">
        <v>3300</v>
      </c>
      <c r="BU266" s="1634">
        <v>3271</v>
      </c>
      <c r="BV266" s="1634">
        <v>3385</v>
      </c>
      <c r="BW266" s="1634">
        <v>3521</v>
      </c>
      <c r="BX266" s="1633">
        <v>4185</v>
      </c>
      <c r="BY266" s="1634">
        <v>4254</v>
      </c>
      <c r="BZ266" s="1634">
        <v>4414</v>
      </c>
      <c r="CA266" s="1634">
        <v>4198</v>
      </c>
      <c r="CB266" s="1761">
        <f t="shared" ref="CB266:CU266" si="331">+CB275</f>
        <v>4326</v>
      </c>
      <c r="CC266" s="1762">
        <f t="shared" si="331"/>
        <v>4331</v>
      </c>
      <c r="CD266" s="1762">
        <f t="shared" si="331"/>
        <v>4399</v>
      </c>
      <c r="CE266" s="1762">
        <f t="shared" si="331"/>
        <v>4253</v>
      </c>
      <c r="CF266" s="1761">
        <f t="shared" si="331"/>
        <v>4492</v>
      </c>
      <c r="CG266" s="1762">
        <f t="shared" si="331"/>
        <v>4451</v>
      </c>
      <c r="CH266" s="1762">
        <f t="shared" si="331"/>
        <v>4543</v>
      </c>
      <c r="CI266" s="1762">
        <f t="shared" si="331"/>
        <v>4596</v>
      </c>
      <c r="CJ266" s="1761">
        <f t="shared" si="331"/>
        <v>4751</v>
      </c>
      <c r="CK266" s="1762">
        <f t="shared" si="331"/>
        <v>4794</v>
      </c>
      <c r="CL266" s="1762">
        <f t="shared" si="331"/>
        <v>4867</v>
      </c>
      <c r="CM266" s="1768">
        <f t="shared" si="331"/>
        <v>5167</v>
      </c>
      <c r="CN266" s="1769">
        <f t="shared" si="331"/>
        <v>5228</v>
      </c>
      <c r="CO266" s="1769">
        <f t="shared" si="331"/>
        <v>5295</v>
      </c>
      <c r="CP266" s="1769">
        <f t="shared" si="331"/>
        <v>5250</v>
      </c>
      <c r="CQ266" s="1768">
        <f t="shared" si="331"/>
        <v>5877</v>
      </c>
      <c r="CR266" s="1769">
        <f t="shared" si="331"/>
        <v>5448</v>
      </c>
      <c r="CS266" s="1769">
        <f t="shared" si="331"/>
        <v>5666</v>
      </c>
      <c r="CT266" s="1769">
        <f t="shared" si="331"/>
        <v>5801</v>
      </c>
      <c r="CU266" s="1768">
        <f t="shared" si="331"/>
        <v>6261</v>
      </c>
      <c r="CV266" s="1769">
        <f t="shared" si="324"/>
        <v>5644</v>
      </c>
      <c r="CW266" s="1769">
        <f t="shared" si="324"/>
        <v>5649</v>
      </c>
      <c r="CX266" s="1769">
        <f t="shared" si="324"/>
        <v>5698</v>
      </c>
      <c r="CY266" s="1768">
        <f t="shared" si="325"/>
        <v>6611</v>
      </c>
      <c r="CZ266" s="1769">
        <f t="shared" si="325"/>
        <v>5369</v>
      </c>
      <c r="DA266" s="1769">
        <f t="shared" si="325"/>
        <v>5289</v>
      </c>
      <c r="DB266" s="1769">
        <f t="shared" si="326"/>
        <v>5351</v>
      </c>
      <c r="DC266" s="1769">
        <f t="shared" si="326"/>
        <v>5796</v>
      </c>
      <c r="DD266" s="1769">
        <f t="shared" si="326"/>
        <v>4891</v>
      </c>
      <c r="DE266" s="1769">
        <f t="shared" ref="DE266:DF266" si="332">+DE275</f>
        <v>4777</v>
      </c>
      <c r="DF266" s="1769">
        <f t="shared" si="332"/>
        <v>4921</v>
      </c>
      <c r="DG266" s="1769">
        <f t="shared" ref="DG266:DH266" si="333">+DG275</f>
        <v>5335</v>
      </c>
      <c r="DH266" s="1769">
        <f t="shared" si="333"/>
        <v>4698</v>
      </c>
      <c r="DI266" s="1769">
        <f t="shared" ref="DI266:DJ266" si="334">+DI275</f>
        <v>4493</v>
      </c>
      <c r="DJ266" s="1769">
        <f t="shared" si="334"/>
        <v>4594</v>
      </c>
      <c r="DK266" s="1769">
        <f t="shared" ref="DK266:DL266" si="335">+DK275</f>
        <v>4987</v>
      </c>
      <c r="DL266" s="1769">
        <f t="shared" si="335"/>
        <v>3899</v>
      </c>
    </row>
    <row r="267" spans="1:116" s="1782" customFormat="1">
      <c r="A267" s="1629" t="s">
        <v>374</v>
      </c>
      <c r="B267" s="1658"/>
      <c r="C267" s="1658"/>
      <c r="D267" s="1658"/>
      <c r="E267" s="1659">
        <v>4170</v>
      </c>
      <c r="F267" s="1658">
        <v>4174</v>
      </c>
      <c r="G267" s="1658">
        <v>7902</v>
      </c>
      <c r="H267" s="1658">
        <f>AU267</f>
        <v>2863</v>
      </c>
      <c r="I267" s="1658">
        <f>AY267</f>
        <v>3035</v>
      </c>
      <c r="J267" s="1658">
        <f>BC267</f>
        <v>3335</v>
      </c>
      <c r="K267" s="1696">
        <f>SUM(BD267:BG267)</f>
        <v>14517</v>
      </c>
      <c r="L267" s="1658"/>
      <c r="M267" s="1658"/>
      <c r="N267" s="1658"/>
      <c r="O267" s="1658"/>
      <c r="P267" s="1658"/>
      <c r="Q267" s="1658"/>
      <c r="R267" s="1658"/>
      <c r="S267" s="1658"/>
      <c r="T267" s="1658"/>
      <c r="U267" s="1658"/>
      <c r="V267" s="1658"/>
      <c r="W267" s="1658"/>
      <c r="X267" s="1658"/>
      <c r="Y267" s="1658"/>
      <c r="Z267" s="1658"/>
      <c r="AA267" s="1658"/>
      <c r="AB267" s="1658"/>
      <c r="AC267" s="1658"/>
      <c r="AD267" s="1658"/>
      <c r="AE267" s="1658"/>
      <c r="AF267" s="1659">
        <v>990</v>
      </c>
      <c r="AG267" s="1658">
        <v>1028</v>
      </c>
      <c r="AH267" s="1658">
        <v>1038</v>
      </c>
      <c r="AI267" s="1658">
        <v>1114</v>
      </c>
      <c r="AJ267" s="1659">
        <v>996</v>
      </c>
      <c r="AK267" s="1658">
        <v>988</v>
      </c>
      <c r="AL267" s="1658">
        <v>1069</v>
      </c>
      <c r="AM267" s="1658">
        <v>1121</v>
      </c>
      <c r="AN267" s="1659">
        <v>1988</v>
      </c>
      <c r="AO267" s="1658">
        <v>2134</v>
      </c>
      <c r="AP267" s="1658">
        <v>2219</v>
      </c>
      <c r="AQ267" s="1658">
        <v>2423</v>
      </c>
      <c r="AR267" s="1659">
        <v>2279</v>
      </c>
      <c r="AS267" s="1658">
        <v>2633</v>
      </c>
      <c r="AT267" s="1658">
        <v>2583</v>
      </c>
      <c r="AU267" s="1658">
        <v>2863</v>
      </c>
      <c r="AV267" s="1659">
        <v>2637</v>
      </c>
      <c r="AW267" s="1658">
        <v>2817</v>
      </c>
      <c r="AX267" s="1658">
        <v>2890</v>
      </c>
      <c r="AY267" s="1658">
        <v>3035</v>
      </c>
      <c r="AZ267" s="1659">
        <f t="shared" ref="AZ267:CV267" si="336">AZ265+AZ266</f>
        <v>2875</v>
      </c>
      <c r="BA267" s="1658">
        <f t="shared" si="336"/>
        <v>3099</v>
      </c>
      <c r="BB267" s="1658">
        <f t="shared" si="336"/>
        <v>3231</v>
      </c>
      <c r="BC267" s="1658">
        <f t="shared" si="336"/>
        <v>3335</v>
      </c>
      <c r="BD267" s="1659">
        <f t="shared" si="336"/>
        <v>3305</v>
      </c>
      <c r="BE267" s="1658">
        <f t="shared" si="336"/>
        <v>3540</v>
      </c>
      <c r="BF267" s="1658">
        <f t="shared" si="336"/>
        <v>3818</v>
      </c>
      <c r="BG267" s="1658">
        <f t="shared" si="336"/>
        <v>3854</v>
      </c>
      <c r="BH267" s="1659">
        <f t="shared" si="336"/>
        <v>3905</v>
      </c>
      <c r="BI267" s="1658">
        <f t="shared" si="336"/>
        <v>4129</v>
      </c>
      <c r="BJ267" s="1658">
        <f t="shared" si="336"/>
        <v>4518</v>
      </c>
      <c r="BK267" s="1658">
        <f t="shared" si="336"/>
        <v>4786</v>
      </c>
      <c r="BL267" s="1659">
        <f t="shared" si="336"/>
        <v>4728</v>
      </c>
      <c r="BM267" s="1658">
        <f t="shared" si="336"/>
        <v>4889</v>
      </c>
      <c r="BN267" s="1658">
        <f t="shared" si="336"/>
        <v>5333</v>
      </c>
      <c r="BO267" s="1658">
        <f t="shared" si="336"/>
        <v>5211</v>
      </c>
      <c r="BP267" s="1659">
        <f t="shared" si="336"/>
        <v>5424</v>
      </c>
      <c r="BQ267" s="1658">
        <f t="shared" si="336"/>
        <v>5698</v>
      </c>
      <c r="BR267" s="1658">
        <f t="shared" si="336"/>
        <v>6062</v>
      </c>
      <c r="BS267" s="1658">
        <f t="shared" si="336"/>
        <v>6346</v>
      </c>
      <c r="BT267" s="1659">
        <f t="shared" si="336"/>
        <v>6322</v>
      </c>
      <c r="BU267" s="1658">
        <f t="shared" si="336"/>
        <v>6541</v>
      </c>
      <c r="BV267" s="1658">
        <f t="shared" si="336"/>
        <v>6936</v>
      </c>
      <c r="BW267" s="1658">
        <f t="shared" si="336"/>
        <v>7134</v>
      </c>
      <c r="BX267" s="1659">
        <f t="shared" si="336"/>
        <v>8305</v>
      </c>
      <c r="BY267" s="1658">
        <f t="shared" si="336"/>
        <v>8526</v>
      </c>
      <c r="BZ267" s="1658">
        <f t="shared" si="336"/>
        <v>9135</v>
      </c>
      <c r="CA267" s="1658">
        <f t="shared" si="336"/>
        <v>8900</v>
      </c>
      <c r="CB267" s="1659">
        <f t="shared" si="336"/>
        <v>8878</v>
      </c>
      <c r="CC267" s="1658">
        <f t="shared" si="336"/>
        <v>9054</v>
      </c>
      <c r="CD267" s="1658">
        <f t="shared" si="336"/>
        <v>9328</v>
      </c>
      <c r="CE267" s="1658">
        <f t="shared" si="336"/>
        <v>9397</v>
      </c>
      <c r="CF267" s="1659">
        <f t="shared" si="336"/>
        <v>9167</v>
      </c>
      <c r="CG267" s="1658">
        <f t="shared" si="336"/>
        <v>9187</v>
      </c>
      <c r="CH267" s="1658">
        <f t="shared" si="336"/>
        <v>9560</v>
      </c>
      <c r="CI267" s="1658">
        <f t="shared" si="336"/>
        <v>9413</v>
      </c>
      <c r="CJ267" s="1659">
        <f t="shared" si="336"/>
        <v>10631</v>
      </c>
      <c r="CK267" s="1658">
        <f t="shared" si="336"/>
        <v>10623</v>
      </c>
      <c r="CL267" s="1658">
        <f t="shared" si="336"/>
        <v>10537</v>
      </c>
      <c r="CM267" s="1696">
        <f t="shared" si="336"/>
        <v>11874</v>
      </c>
      <c r="CN267" s="1752">
        <f t="shared" si="336"/>
        <v>11138</v>
      </c>
      <c r="CO267" s="1752">
        <f t="shared" si="336"/>
        <v>10853</v>
      </c>
      <c r="CP267" s="1752">
        <f t="shared" si="336"/>
        <v>10940</v>
      </c>
      <c r="CQ267" s="1696">
        <f t="shared" si="336"/>
        <v>13209</v>
      </c>
      <c r="CR267" s="1752">
        <f t="shared" si="336"/>
        <v>11099</v>
      </c>
      <c r="CS267" s="1752">
        <f t="shared" si="336"/>
        <v>11465</v>
      </c>
      <c r="CT267" s="1752">
        <f t="shared" si="336"/>
        <v>11453</v>
      </c>
      <c r="CU267" s="1696">
        <f t="shared" si="336"/>
        <v>12807</v>
      </c>
      <c r="CV267" s="1752">
        <f t="shared" si="336"/>
        <v>11500</v>
      </c>
      <c r="CW267" s="1752">
        <f t="shared" ref="CW267:DB267" si="337">CW265+CW266</f>
        <v>12391</v>
      </c>
      <c r="CX267" s="1752">
        <f t="shared" si="337"/>
        <v>12741</v>
      </c>
      <c r="CY267" s="1696">
        <f t="shared" si="337"/>
        <v>15795</v>
      </c>
      <c r="CZ267" s="1752">
        <f t="shared" si="337"/>
        <v>12328</v>
      </c>
      <c r="DA267" s="1752">
        <f t="shared" si="337"/>
        <v>12692</v>
      </c>
      <c r="DB267" s="1752">
        <f t="shared" si="337"/>
        <v>13077</v>
      </c>
      <c r="DC267" s="1752">
        <f t="shared" ref="DC267:DH267" si="338">DC265+DC266</f>
        <v>14630</v>
      </c>
      <c r="DD267" s="1752">
        <f t="shared" si="338"/>
        <v>11831</v>
      </c>
      <c r="DE267" s="1752">
        <f t="shared" si="338"/>
        <v>11405</v>
      </c>
      <c r="DF267" s="1752">
        <f t="shared" si="338"/>
        <v>12167</v>
      </c>
      <c r="DG267" s="1752">
        <f t="shared" si="338"/>
        <v>14747</v>
      </c>
      <c r="DH267" s="1752">
        <f t="shared" si="338"/>
        <v>11464</v>
      </c>
      <c r="DI267" s="1752">
        <f t="shared" ref="DI267:DJ267" si="339">DI265+DI266</f>
        <v>11525</v>
      </c>
      <c r="DJ267" s="1752">
        <f t="shared" si="339"/>
        <v>11611</v>
      </c>
      <c r="DK267" s="1752">
        <f t="shared" ref="DK267:DL267" si="340">DK265+DK266</f>
        <v>14309</v>
      </c>
      <c r="DL267" s="1752">
        <f t="shared" si="340"/>
        <v>11423</v>
      </c>
    </row>
    <row r="268" spans="1:116">
      <c r="A268" s="1628" t="s">
        <v>965</v>
      </c>
      <c r="B268" s="1642"/>
      <c r="C268" s="1642"/>
      <c r="D268" s="1642"/>
      <c r="E268" s="1641">
        <v>839</v>
      </c>
      <c r="F268" s="1642">
        <v>959</v>
      </c>
      <c r="G268" s="1642">
        <v>2648</v>
      </c>
      <c r="H268" s="1642">
        <f>AU268</f>
        <v>816</v>
      </c>
      <c r="I268" s="1642">
        <f>AY268</f>
        <v>960</v>
      </c>
      <c r="J268" s="1642">
        <f>BC268</f>
        <v>899</v>
      </c>
      <c r="K268" s="1681">
        <f>SUM(BD268:BG268)</f>
        <v>3888</v>
      </c>
      <c r="L268" s="1642"/>
      <c r="M268" s="1642"/>
      <c r="N268" s="1642"/>
      <c r="O268" s="1642"/>
      <c r="P268" s="1642"/>
      <c r="Q268" s="1642"/>
      <c r="R268" s="1642"/>
      <c r="S268" s="1642"/>
      <c r="T268" s="1642"/>
      <c r="U268" s="1642"/>
      <c r="V268" s="1642"/>
      <c r="W268" s="1642"/>
      <c r="X268" s="1642"/>
      <c r="Y268" s="1642"/>
      <c r="Z268" s="1642"/>
      <c r="AA268" s="1642"/>
      <c r="AB268" s="1642"/>
      <c r="AC268" s="1642"/>
      <c r="AD268" s="1642"/>
      <c r="AE268" s="1642"/>
      <c r="AF268" s="1641">
        <v>193</v>
      </c>
      <c r="AG268" s="1642">
        <v>207</v>
      </c>
      <c r="AH268" s="1642">
        <v>219</v>
      </c>
      <c r="AI268" s="1642">
        <v>220</v>
      </c>
      <c r="AJ268" s="1641">
        <v>228</v>
      </c>
      <c r="AK268" s="1642">
        <v>237</v>
      </c>
      <c r="AL268" s="1642">
        <v>246</v>
      </c>
      <c r="AM268" s="1642">
        <v>248</v>
      </c>
      <c r="AN268" s="1641">
        <v>818</v>
      </c>
      <c r="AO268" s="1642">
        <v>827</v>
      </c>
      <c r="AP268" s="1642">
        <v>789</v>
      </c>
      <c r="AQ268" s="1642">
        <v>778</v>
      </c>
      <c r="AR268" s="1641">
        <v>822</v>
      </c>
      <c r="AS268" s="1642">
        <v>877</v>
      </c>
      <c r="AT268" s="1642">
        <v>879</v>
      </c>
      <c r="AU268" s="1642">
        <v>816</v>
      </c>
      <c r="AV268" s="1641">
        <v>919</v>
      </c>
      <c r="AW268" s="1642">
        <v>887</v>
      </c>
      <c r="AX268" s="1642">
        <v>943</v>
      </c>
      <c r="AY268" s="1642">
        <v>960</v>
      </c>
      <c r="AZ268" s="1641">
        <v>781</v>
      </c>
      <c r="BA268" s="1642">
        <v>785</v>
      </c>
      <c r="BB268" s="1642">
        <v>828</v>
      </c>
      <c r="BC268" s="1642">
        <v>899</v>
      </c>
      <c r="BD268" s="1641">
        <v>907</v>
      </c>
      <c r="BE268" s="1642">
        <v>956</v>
      </c>
      <c r="BF268" s="1642">
        <v>1000</v>
      </c>
      <c r="BG268" s="1642">
        <v>1025</v>
      </c>
      <c r="BH268" s="1641">
        <v>1055</v>
      </c>
      <c r="BI268" s="1642">
        <v>1103</v>
      </c>
      <c r="BJ268" s="1642">
        <v>1147</v>
      </c>
      <c r="BK268" s="1642">
        <v>1181</v>
      </c>
      <c r="BL268" s="1641">
        <v>1150</v>
      </c>
      <c r="BM268" s="1642">
        <v>1175</v>
      </c>
      <c r="BN268" s="1642">
        <v>1199</v>
      </c>
      <c r="BO268" s="1642">
        <v>1236</v>
      </c>
      <c r="BP268" s="1641">
        <v>1274</v>
      </c>
      <c r="BQ268" s="1642">
        <v>1190</v>
      </c>
      <c r="BR268" s="1642">
        <v>1220</v>
      </c>
      <c r="BS268" s="1642">
        <v>1229</v>
      </c>
      <c r="BT268" s="1641">
        <v>1256</v>
      </c>
      <c r="BU268" s="1634">
        <v>1293</v>
      </c>
      <c r="BV268" s="1634">
        <v>1299</v>
      </c>
      <c r="BW268" s="1634">
        <v>1306</v>
      </c>
      <c r="BX268" s="1633">
        <v>1588</v>
      </c>
      <c r="BY268" s="1634">
        <v>1612</v>
      </c>
      <c r="BZ268" s="1634">
        <v>1654</v>
      </c>
      <c r="CA268" s="1634">
        <v>1706</v>
      </c>
      <c r="CB268" s="1761">
        <f t="shared" ref="CB268:CU268" si="341">+CB277</f>
        <v>1749</v>
      </c>
      <c r="CC268" s="1762">
        <f t="shared" si="341"/>
        <v>1727</v>
      </c>
      <c r="CD268" s="1762">
        <f t="shared" si="341"/>
        <v>1758</v>
      </c>
      <c r="CE268" s="1762">
        <f t="shared" si="341"/>
        <v>1796</v>
      </c>
      <c r="CF268" s="1761">
        <f t="shared" si="341"/>
        <v>1812</v>
      </c>
      <c r="CG268" s="1762">
        <f t="shared" si="341"/>
        <v>1827</v>
      </c>
      <c r="CH268" s="1762">
        <f t="shared" si="341"/>
        <v>1836</v>
      </c>
      <c r="CI268" s="1762">
        <f t="shared" si="341"/>
        <v>1881</v>
      </c>
      <c r="CJ268" s="1761">
        <f t="shared" si="341"/>
        <v>1899</v>
      </c>
      <c r="CK268" s="1762">
        <f t="shared" si="341"/>
        <v>1978</v>
      </c>
      <c r="CL268" s="1762">
        <f t="shared" si="341"/>
        <v>2040</v>
      </c>
      <c r="CM268" s="1768">
        <f t="shared" si="341"/>
        <v>2045</v>
      </c>
      <c r="CN268" s="1769">
        <f t="shared" si="341"/>
        <v>1918</v>
      </c>
      <c r="CO268" s="1769">
        <f t="shared" si="341"/>
        <v>2011</v>
      </c>
      <c r="CP268" s="1769">
        <f t="shared" si="341"/>
        <v>2037</v>
      </c>
      <c r="CQ268" s="1768">
        <f t="shared" si="341"/>
        <v>1994</v>
      </c>
      <c r="CR268" s="1769">
        <f t="shared" si="341"/>
        <v>2006</v>
      </c>
      <c r="CS268" s="1769">
        <f t="shared" si="341"/>
        <v>2047</v>
      </c>
      <c r="CT268" s="1769">
        <f t="shared" si="341"/>
        <v>2060</v>
      </c>
      <c r="CU268" s="1768">
        <f t="shared" si="341"/>
        <v>2089</v>
      </c>
      <c r="CV268" s="1769">
        <f t="shared" ref="CV268:DA268" si="342">+CV277</f>
        <v>2061</v>
      </c>
      <c r="CW268" s="1769">
        <f t="shared" si="342"/>
        <v>2107</v>
      </c>
      <c r="CX268" s="1769">
        <f t="shared" si="342"/>
        <v>2139</v>
      </c>
      <c r="CY268" s="1768">
        <f t="shared" si="342"/>
        <v>2152</v>
      </c>
      <c r="CZ268" s="1769">
        <f t="shared" si="342"/>
        <v>2190</v>
      </c>
      <c r="DA268" s="1769">
        <f t="shared" si="342"/>
        <v>2225</v>
      </c>
      <c r="DB268" s="1769">
        <f t="shared" ref="DB268:DG268" si="343">+DB277</f>
        <v>2260</v>
      </c>
      <c r="DC268" s="1769">
        <f t="shared" si="343"/>
        <v>2305</v>
      </c>
      <c r="DD268" s="1769">
        <f t="shared" si="343"/>
        <v>2293</v>
      </c>
      <c r="DE268" s="1769">
        <f t="shared" si="343"/>
        <v>2282</v>
      </c>
      <c r="DF268" s="1769">
        <f t="shared" si="343"/>
        <v>2287</v>
      </c>
      <c r="DG268" s="1769">
        <f t="shared" si="343"/>
        <v>2321</v>
      </c>
      <c r="DH268" s="1769">
        <f t="shared" ref="DH268:DI268" si="344">+DH277</f>
        <v>2338</v>
      </c>
      <c r="DI268" s="1769">
        <f t="shared" si="344"/>
        <v>2347</v>
      </c>
      <c r="DJ268" s="1769">
        <f t="shared" ref="DJ268:DK268" si="345">+DJ277</f>
        <v>2366</v>
      </c>
      <c r="DK268" s="1769">
        <f t="shared" si="345"/>
        <v>2344</v>
      </c>
      <c r="DL268" s="1769">
        <f t="shared" ref="DL268" si="346">+DL277</f>
        <v>2428</v>
      </c>
    </row>
    <row r="269" spans="1:116">
      <c r="A269" s="1539" t="s">
        <v>968</v>
      </c>
      <c r="B269" s="1642"/>
      <c r="C269" s="1642"/>
      <c r="D269" s="1642"/>
      <c r="E269" s="1641">
        <v>5009</v>
      </c>
      <c r="F269" s="1642">
        <v>5133</v>
      </c>
      <c r="G269" s="1642">
        <v>10550</v>
      </c>
      <c r="H269" s="1642">
        <f>AU269</f>
        <v>3679</v>
      </c>
      <c r="I269" s="1642">
        <f>AY269</f>
        <v>3995</v>
      </c>
      <c r="J269" s="1642">
        <f>BC269</f>
        <v>4234</v>
      </c>
      <c r="K269" s="1681">
        <f>SUM(BD269:BG269)</f>
        <v>18405</v>
      </c>
      <c r="L269" s="1642"/>
      <c r="M269" s="1642"/>
      <c r="N269" s="1642"/>
      <c r="O269" s="1642"/>
      <c r="P269" s="1642"/>
      <c r="Q269" s="1642"/>
      <c r="R269" s="1642"/>
      <c r="S269" s="1642"/>
      <c r="T269" s="1642"/>
      <c r="U269" s="1642"/>
      <c r="V269" s="1642"/>
      <c r="W269" s="1642"/>
      <c r="X269" s="1642"/>
      <c r="Y269" s="1642"/>
      <c r="Z269" s="1642"/>
      <c r="AA269" s="1642"/>
      <c r="AB269" s="1642"/>
      <c r="AC269" s="1642"/>
      <c r="AD269" s="1642"/>
      <c r="AE269" s="1642"/>
      <c r="AF269" s="1641">
        <v>1183</v>
      </c>
      <c r="AG269" s="1642">
        <v>1235</v>
      </c>
      <c r="AH269" s="1642">
        <v>1257</v>
      </c>
      <c r="AI269" s="1642">
        <v>1334</v>
      </c>
      <c r="AJ269" s="1641">
        <v>1224</v>
      </c>
      <c r="AK269" s="1642">
        <v>1225</v>
      </c>
      <c r="AL269" s="1642">
        <v>1315</v>
      </c>
      <c r="AM269" s="1642">
        <v>1369</v>
      </c>
      <c r="AN269" s="1641">
        <f t="shared" ref="AN269:BS269" si="347">AN268+AN267</f>
        <v>2806</v>
      </c>
      <c r="AO269" s="1642">
        <f t="shared" si="347"/>
        <v>2961</v>
      </c>
      <c r="AP269" s="1642">
        <f t="shared" si="347"/>
        <v>3008</v>
      </c>
      <c r="AQ269" s="1642">
        <f t="shared" si="347"/>
        <v>3201</v>
      </c>
      <c r="AR269" s="1641">
        <f t="shared" si="347"/>
        <v>3101</v>
      </c>
      <c r="AS269" s="1642">
        <f t="shared" si="347"/>
        <v>3510</v>
      </c>
      <c r="AT269" s="1642">
        <f t="shared" si="347"/>
        <v>3462</v>
      </c>
      <c r="AU269" s="1642">
        <f t="shared" si="347"/>
        <v>3679</v>
      </c>
      <c r="AV269" s="1641">
        <f t="shared" si="347"/>
        <v>3556</v>
      </c>
      <c r="AW269" s="1642">
        <f t="shared" si="347"/>
        <v>3704</v>
      </c>
      <c r="AX269" s="1642">
        <f t="shared" si="347"/>
        <v>3833</v>
      </c>
      <c r="AY269" s="1642">
        <f t="shared" si="347"/>
        <v>3995</v>
      </c>
      <c r="AZ269" s="1641">
        <f t="shared" si="347"/>
        <v>3656</v>
      </c>
      <c r="BA269" s="1642">
        <f t="shared" si="347"/>
        <v>3884</v>
      </c>
      <c r="BB269" s="1642">
        <f t="shared" si="347"/>
        <v>4059</v>
      </c>
      <c r="BC269" s="1642">
        <f t="shared" si="347"/>
        <v>4234</v>
      </c>
      <c r="BD269" s="1694">
        <f t="shared" si="347"/>
        <v>4212</v>
      </c>
      <c r="BE269" s="1693">
        <f t="shared" si="347"/>
        <v>4496</v>
      </c>
      <c r="BF269" s="1693">
        <f t="shared" si="347"/>
        <v>4818</v>
      </c>
      <c r="BG269" s="1693">
        <f t="shared" si="347"/>
        <v>4879</v>
      </c>
      <c r="BH269" s="1694">
        <f t="shared" si="347"/>
        <v>4960</v>
      </c>
      <c r="BI269" s="1693">
        <f t="shared" si="347"/>
        <v>5232</v>
      </c>
      <c r="BJ269" s="1693">
        <f t="shared" si="347"/>
        <v>5665</v>
      </c>
      <c r="BK269" s="1693">
        <f t="shared" si="347"/>
        <v>5967</v>
      </c>
      <c r="BL269" s="1694">
        <f t="shared" si="347"/>
        <v>5878</v>
      </c>
      <c r="BM269" s="1693">
        <f t="shared" si="347"/>
        <v>6064</v>
      </c>
      <c r="BN269" s="1693">
        <f t="shared" si="347"/>
        <v>6532</v>
      </c>
      <c r="BO269" s="1693">
        <f t="shared" si="347"/>
        <v>6447</v>
      </c>
      <c r="BP269" s="1694">
        <f t="shared" si="347"/>
        <v>6698</v>
      </c>
      <c r="BQ269" s="1693">
        <f t="shared" si="347"/>
        <v>6888</v>
      </c>
      <c r="BR269" s="1693">
        <f t="shared" si="347"/>
        <v>7282</v>
      </c>
      <c r="BS269" s="1693">
        <f t="shared" si="347"/>
        <v>7575</v>
      </c>
      <c r="BT269" s="1694">
        <f t="shared" ref="BT269:CV269" si="348">BT268+BT267</f>
        <v>7578</v>
      </c>
      <c r="BU269" s="1693">
        <f t="shared" si="348"/>
        <v>7834</v>
      </c>
      <c r="BV269" s="1693">
        <f t="shared" si="348"/>
        <v>8235</v>
      </c>
      <c r="BW269" s="1693">
        <f t="shared" si="348"/>
        <v>8440</v>
      </c>
      <c r="BX269" s="1694">
        <f t="shared" si="348"/>
        <v>9893</v>
      </c>
      <c r="BY269" s="1693">
        <f t="shared" si="348"/>
        <v>10138</v>
      </c>
      <c r="BZ269" s="1693">
        <f t="shared" si="348"/>
        <v>10789</v>
      </c>
      <c r="CA269" s="1693">
        <f t="shared" si="348"/>
        <v>10606</v>
      </c>
      <c r="CB269" s="1694">
        <f t="shared" si="348"/>
        <v>10627</v>
      </c>
      <c r="CC269" s="1693">
        <f t="shared" si="348"/>
        <v>10781</v>
      </c>
      <c r="CD269" s="1693">
        <f t="shared" si="348"/>
        <v>11086</v>
      </c>
      <c r="CE269" s="1693">
        <f t="shared" si="348"/>
        <v>11193</v>
      </c>
      <c r="CF269" s="1694">
        <f t="shared" si="348"/>
        <v>10979</v>
      </c>
      <c r="CG269" s="1693">
        <f t="shared" si="348"/>
        <v>11014</v>
      </c>
      <c r="CH269" s="1693">
        <f t="shared" si="348"/>
        <v>11396</v>
      </c>
      <c r="CI269" s="1693">
        <f t="shared" si="348"/>
        <v>11294</v>
      </c>
      <c r="CJ269" s="1694">
        <f t="shared" si="348"/>
        <v>12530</v>
      </c>
      <c r="CK269" s="1693">
        <f t="shared" si="348"/>
        <v>12601</v>
      </c>
      <c r="CL269" s="1693">
        <f t="shared" si="348"/>
        <v>12577</v>
      </c>
      <c r="CM269" s="1695">
        <f t="shared" si="348"/>
        <v>13919</v>
      </c>
      <c r="CN269" s="1267">
        <f t="shared" si="348"/>
        <v>13056</v>
      </c>
      <c r="CO269" s="1267">
        <f t="shared" si="348"/>
        <v>12864</v>
      </c>
      <c r="CP269" s="1267">
        <f t="shared" si="348"/>
        <v>12977</v>
      </c>
      <c r="CQ269" s="1695">
        <f t="shared" si="348"/>
        <v>15203</v>
      </c>
      <c r="CR269" s="1267">
        <f t="shared" si="348"/>
        <v>13105</v>
      </c>
      <c r="CS269" s="1267">
        <f t="shared" si="348"/>
        <v>13512</v>
      </c>
      <c r="CT269" s="1267">
        <f t="shared" si="348"/>
        <v>13513</v>
      </c>
      <c r="CU269" s="1695">
        <f t="shared" si="348"/>
        <v>14896</v>
      </c>
      <c r="CV269" s="1267">
        <f t="shared" si="348"/>
        <v>13561</v>
      </c>
      <c r="CW269" s="1267">
        <f t="shared" ref="CW269:DB269" si="349">CW268+CW267</f>
        <v>14498</v>
      </c>
      <c r="CX269" s="1267">
        <f t="shared" si="349"/>
        <v>14880</v>
      </c>
      <c r="CY269" s="1695">
        <f t="shared" si="349"/>
        <v>17947</v>
      </c>
      <c r="CZ269" s="1267">
        <f t="shared" si="349"/>
        <v>14518</v>
      </c>
      <c r="DA269" s="1267">
        <f t="shared" si="349"/>
        <v>14917</v>
      </c>
      <c r="DB269" s="1267">
        <f t="shared" si="349"/>
        <v>15337</v>
      </c>
      <c r="DC269" s="1267">
        <f t="shared" ref="DC269:DH269" si="350">DC268+DC267</f>
        <v>16935</v>
      </c>
      <c r="DD269" s="1267">
        <f t="shared" si="350"/>
        <v>14124</v>
      </c>
      <c r="DE269" s="1267">
        <f t="shared" si="350"/>
        <v>13687</v>
      </c>
      <c r="DF269" s="1267">
        <f t="shared" si="350"/>
        <v>14454</v>
      </c>
      <c r="DG269" s="1267">
        <f t="shared" si="350"/>
        <v>17068</v>
      </c>
      <c r="DH269" s="1267">
        <f t="shared" si="350"/>
        <v>13802</v>
      </c>
      <c r="DI269" s="1267">
        <f t="shared" ref="DI269:DJ269" si="351">DI268+DI267</f>
        <v>13872</v>
      </c>
      <c r="DJ269" s="1267">
        <f t="shared" si="351"/>
        <v>13977</v>
      </c>
      <c r="DK269" s="1267">
        <f t="shared" ref="DK269:DL269" si="352">DK268+DK267</f>
        <v>16653</v>
      </c>
      <c r="DL269" s="1267">
        <f t="shared" si="352"/>
        <v>13851</v>
      </c>
    </row>
    <row r="270" spans="1:116">
      <c r="A270" s="1629" t="s">
        <v>1237</v>
      </c>
      <c r="B270" s="1658"/>
      <c r="C270" s="1658"/>
      <c r="D270" s="1658"/>
      <c r="E270" s="1659">
        <f t="shared" ref="E270:K270" si="353">E269-SUM(E267:E268)</f>
        <v>0</v>
      </c>
      <c r="F270" s="1658">
        <f t="shared" si="353"/>
        <v>0</v>
      </c>
      <c r="G270" s="1658">
        <f t="shared" si="353"/>
        <v>0</v>
      </c>
      <c r="H270" s="1658">
        <f t="shared" si="353"/>
        <v>0</v>
      </c>
      <c r="I270" s="1658">
        <f t="shared" si="353"/>
        <v>0</v>
      </c>
      <c r="J270" s="1658">
        <f t="shared" si="353"/>
        <v>0</v>
      </c>
      <c r="K270" s="1696">
        <f t="shared" si="353"/>
        <v>0</v>
      </c>
      <c r="L270" s="1658"/>
      <c r="M270" s="1658"/>
      <c r="N270" s="1658"/>
      <c r="O270" s="1658"/>
      <c r="P270" s="1658"/>
      <c r="Q270" s="1658"/>
      <c r="R270" s="1658"/>
      <c r="S270" s="1658"/>
      <c r="T270" s="1658"/>
      <c r="U270" s="1658"/>
      <c r="V270" s="1658"/>
      <c r="W270" s="1658"/>
      <c r="X270" s="1658"/>
      <c r="Y270" s="1658"/>
      <c r="Z270" s="1658"/>
      <c r="AA270" s="1658"/>
      <c r="AB270" s="1658"/>
      <c r="AC270" s="1658"/>
      <c r="AD270" s="1658"/>
      <c r="AE270" s="1658"/>
      <c r="AF270" s="1659">
        <f t="shared" ref="AF270:BZ270" si="354">AF269-SUM(AF267:AF268)</f>
        <v>0</v>
      </c>
      <c r="AG270" s="1658">
        <f t="shared" si="354"/>
        <v>0</v>
      </c>
      <c r="AH270" s="1658">
        <f t="shared" si="354"/>
        <v>0</v>
      </c>
      <c r="AI270" s="1658">
        <f t="shared" si="354"/>
        <v>0</v>
      </c>
      <c r="AJ270" s="1659">
        <f t="shared" si="354"/>
        <v>0</v>
      </c>
      <c r="AK270" s="1658">
        <f t="shared" si="354"/>
        <v>0</v>
      </c>
      <c r="AL270" s="1658">
        <f t="shared" si="354"/>
        <v>0</v>
      </c>
      <c r="AM270" s="1658">
        <f t="shared" si="354"/>
        <v>0</v>
      </c>
      <c r="AN270" s="1659">
        <f t="shared" si="354"/>
        <v>0</v>
      </c>
      <c r="AO270" s="1658">
        <f t="shared" si="354"/>
        <v>0</v>
      </c>
      <c r="AP270" s="1658">
        <f t="shared" si="354"/>
        <v>0</v>
      </c>
      <c r="AQ270" s="1658">
        <f t="shared" si="354"/>
        <v>0</v>
      </c>
      <c r="AR270" s="1659">
        <f t="shared" si="354"/>
        <v>0</v>
      </c>
      <c r="AS270" s="1658">
        <f t="shared" si="354"/>
        <v>0</v>
      </c>
      <c r="AT270" s="1658">
        <f t="shared" si="354"/>
        <v>0</v>
      </c>
      <c r="AU270" s="1658">
        <f t="shared" si="354"/>
        <v>0</v>
      </c>
      <c r="AV270" s="1659">
        <f t="shared" si="354"/>
        <v>0</v>
      </c>
      <c r="AW270" s="1658">
        <f t="shared" si="354"/>
        <v>0</v>
      </c>
      <c r="AX270" s="1658">
        <f t="shared" si="354"/>
        <v>0</v>
      </c>
      <c r="AY270" s="1658">
        <f t="shared" si="354"/>
        <v>0</v>
      </c>
      <c r="AZ270" s="1659">
        <f t="shared" si="354"/>
        <v>0</v>
      </c>
      <c r="BA270" s="1658">
        <f t="shared" si="354"/>
        <v>0</v>
      </c>
      <c r="BB270" s="1658">
        <f t="shared" si="354"/>
        <v>0</v>
      </c>
      <c r="BC270" s="1658">
        <f t="shared" si="354"/>
        <v>0</v>
      </c>
      <c r="BD270" s="1659">
        <f t="shared" si="354"/>
        <v>0</v>
      </c>
      <c r="BE270" s="1658">
        <f t="shared" si="354"/>
        <v>0</v>
      </c>
      <c r="BF270" s="1658">
        <f t="shared" si="354"/>
        <v>0</v>
      </c>
      <c r="BG270" s="1658">
        <f t="shared" si="354"/>
        <v>0</v>
      </c>
      <c r="BH270" s="1659">
        <f t="shared" si="354"/>
        <v>0</v>
      </c>
      <c r="BI270" s="1658">
        <f t="shared" si="354"/>
        <v>0</v>
      </c>
      <c r="BJ270" s="1658">
        <f t="shared" si="354"/>
        <v>0</v>
      </c>
      <c r="BK270" s="1658">
        <f t="shared" si="354"/>
        <v>0</v>
      </c>
      <c r="BL270" s="1659">
        <f t="shared" si="354"/>
        <v>0</v>
      </c>
      <c r="BM270" s="1658">
        <f t="shared" si="354"/>
        <v>0</v>
      </c>
      <c r="BN270" s="1658">
        <f t="shared" si="354"/>
        <v>0</v>
      </c>
      <c r="BO270" s="1658">
        <f t="shared" si="354"/>
        <v>0</v>
      </c>
      <c r="BP270" s="1659">
        <f t="shared" si="354"/>
        <v>0</v>
      </c>
      <c r="BQ270" s="1658">
        <f t="shared" si="354"/>
        <v>0</v>
      </c>
      <c r="BR270" s="1658">
        <f t="shared" si="354"/>
        <v>0</v>
      </c>
      <c r="BS270" s="1658">
        <f t="shared" si="354"/>
        <v>0</v>
      </c>
      <c r="BT270" s="1659">
        <f t="shared" si="354"/>
        <v>0</v>
      </c>
      <c r="BU270" s="1658">
        <f t="shared" si="354"/>
        <v>0</v>
      </c>
      <c r="BV270" s="1658">
        <f t="shared" si="354"/>
        <v>0</v>
      </c>
      <c r="BW270" s="1658">
        <f t="shared" si="354"/>
        <v>0</v>
      </c>
      <c r="BX270" s="1659">
        <f t="shared" si="354"/>
        <v>0</v>
      </c>
      <c r="BY270" s="1658">
        <f t="shared" si="354"/>
        <v>0</v>
      </c>
      <c r="BZ270" s="1658">
        <f t="shared" si="354"/>
        <v>0</v>
      </c>
      <c r="CA270" s="1642"/>
      <c r="CB270" s="1641"/>
      <c r="CC270" s="1642"/>
      <c r="CD270" s="1642"/>
      <c r="CE270" s="1642"/>
      <c r="CF270" s="1641"/>
      <c r="CG270" s="1642"/>
      <c r="CH270" s="1642"/>
      <c r="CI270" s="1642"/>
      <c r="CJ270" s="1641"/>
      <c r="CK270" s="1642"/>
      <c r="CL270" s="1642"/>
      <c r="CM270" s="1681"/>
      <c r="CN270" s="1672"/>
      <c r="CO270" s="1672"/>
      <c r="CP270" s="1672"/>
      <c r="CQ270" s="1681"/>
      <c r="CR270" s="1672"/>
      <c r="CS270" s="1672"/>
      <c r="CT270" s="1672"/>
      <c r="CU270" s="1681"/>
      <c r="CV270" s="1672"/>
      <c r="CW270" s="1672"/>
      <c r="CX270" s="1672"/>
      <c r="CY270" s="1681"/>
      <c r="CZ270" s="1672"/>
      <c r="DA270" s="1672"/>
      <c r="DB270" s="1672"/>
      <c r="DC270" s="1672"/>
      <c r="DD270" s="1672"/>
      <c r="DE270" s="1672"/>
      <c r="DF270" s="1672"/>
      <c r="DG270" s="1672"/>
      <c r="DH270" s="1672"/>
      <c r="DI270" s="1672"/>
      <c r="DJ270" s="1672"/>
      <c r="DK270" s="1672"/>
      <c r="DL270" s="1672"/>
    </row>
    <row r="271" spans="1:116">
      <c r="A271" s="1629"/>
      <c r="B271" s="1658"/>
      <c r="C271" s="1658"/>
      <c r="D271" s="1658"/>
      <c r="E271" s="1659"/>
      <c r="F271" s="1658"/>
      <c r="G271" s="1658"/>
      <c r="H271" s="1658"/>
      <c r="I271" s="1658"/>
      <c r="J271" s="1658"/>
      <c r="K271" s="1696"/>
      <c r="L271" s="1658"/>
      <c r="M271" s="1658"/>
      <c r="N271" s="1658"/>
      <c r="O271" s="1658"/>
      <c r="P271" s="1658"/>
      <c r="Q271" s="1658"/>
      <c r="R271" s="1658"/>
      <c r="S271" s="1658"/>
      <c r="T271" s="1658"/>
      <c r="U271" s="1658"/>
      <c r="V271" s="1658"/>
      <c r="W271" s="1658"/>
      <c r="X271" s="1658"/>
      <c r="Y271" s="1658"/>
      <c r="Z271" s="1658"/>
      <c r="AA271" s="1658"/>
      <c r="AB271" s="1658"/>
      <c r="AC271" s="1658"/>
      <c r="AD271" s="1658"/>
      <c r="AE271" s="1658"/>
      <c r="AF271" s="1659"/>
      <c r="AG271" s="1658"/>
      <c r="AH271" s="1658"/>
      <c r="AI271" s="1658"/>
      <c r="AJ271" s="1659"/>
      <c r="AK271" s="1658"/>
      <c r="AL271" s="1658"/>
      <c r="AM271" s="1658"/>
      <c r="AN271" s="1659"/>
      <c r="AO271" s="1658"/>
      <c r="AP271" s="1658"/>
      <c r="AQ271" s="1658"/>
      <c r="AR271" s="1659"/>
      <c r="AS271" s="1658"/>
      <c r="AT271" s="1658"/>
      <c r="AU271" s="1658"/>
      <c r="AV271" s="1659"/>
      <c r="AW271" s="1658"/>
      <c r="AX271" s="1658"/>
      <c r="AY271" s="1658"/>
      <c r="AZ271" s="1659"/>
      <c r="BA271" s="1658"/>
      <c r="BB271" s="1658"/>
      <c r="BC271" s="1658"/>
      <c r="BD271" s="1659"/>
      <c r="BE271" s="1658"/>
      <c r="BF271" s="1658"/>
      <c r="BG271" s="1658"/>
      <c r="BH271" s="1659"/>
      <c r="BI271" s="1658"/>
      <c r="BJ271" s="1658"/>
      <c r="BK271" s="1658"/>
      <c r="BL271" s="1659"/>
      <c r="BM271" s="1658"/>
      <c r="BN271" s="1658"/>
      <c r="BO271" s="1658"/>
      <c r="BP271" s="1659"/>
      <c r="BQ271" s="1658"/>
      <c r="BR271" s="1658"/>
      <c r="BS271" s="1658"/>
      <c r="BT271" s="1659"/>
      <c r="BU271" s="1658"/>
      <c r="BV271" s="1658"/>
      <c r="BW271" s="1658"/>
      <c r="BX271" s="1659"/>
      <c r="BY271" s="1658"/>
      <c r="BZ271" s="1658"/>
      <c r="CA271" s="1642"/>
      <c r="CB271" s="1641"/>
      <c r="CC271" s="1642"/>
      <c r="CD271" s="1642"/>
      <c r="CE271" s="1642"/>
      <c r="CF271" s="1641"/>
      <c r="CG271" s="1642"/>
      <c r="CH271" s="1642"/>
      <c r="CI271" s="1642"/>
      <c r="CJ271" s="1641"/>
      <c r="CK271" s="1642"/>
      <c r="CL271" s="1642"/>
      <c r="CM271" s="1681"/>
      <c r="CN271" s="1672"/>
      <c r="CO271" s="1672"/>
      <c r="CP271" s="1672"/>
      <c r="CQ271" s="1681"/>
      <c r="CR271" s="1672"/>
      <c r="CS271" s="1672"/>
      <c r="CT271" s="1672"/>
      <c r="CU271" s="1681"/>
      <c r="CV271" s="1672"/>
      <c r="CW271" s="1672"/>
      <c r="CX271" s="1672"/>
      <c r="CY271" s="1681"/>
      <c r="CZ271" s="1672"/>
      <c r="DA271" s="1672"/>
      <c r="DB271" s="1672"/>
      <c r="DC271" s="1672"/>
      <c r="DD271" s="1672"/>
      <c r="DE271" s="1672"/>
      <c r="DF271" s="1672"/>
      <c r="DG271" s="1672"/>
      <c r="DH271" s="1672"/>
      <c r="DI271" s="1672"/>
      <c r="DJ271" s="1672"/>
      <c r="DK271" s="1672"/>
      <c r="DL271" s="1672"/>
    </row>
    <row r="272" spans="1:116">
      <c r="A272" s="1629"/>
      <c r="B272" s="1658"/>
      <c r="C272" s="1658"/>
      <c r="D272" s="1658"/>
      <c r="E272" s="1659"/>
      <c r="F272" s="1658"/>
      <c r="G272" s="1658"/>
      <c r="H272" s="1658"/>
      <c r="I272" s="1658"/>
      <c r="J272" s="1658"/>
      <c r="K272" s="1696"/>
      <c r="L272" s="1658"/>
      <c r="M272" s="1658"/>
      <c r="N272" s="1658"/>
      <c r="O272" s="1658"/>
      <c r="P272" s="1658"/>
      <c r="Q272" s="1658"/>
      <c r="R272" s="1658"/>
      <c r="S272" s="1658"/>
      <c r="T272" s="1658"/>
      <c r="U272" s="1658"/>
      <c r="V272" s="1658"/>
      <c r="W272" s="1658"/>
      <c r="X272" s="1658"/>
      <c r="Y272" s="1658"/>
      <c r="Z272" s="1658"/>
      <c r="AA272" s="1658"/>
      <c r="AB272" s="1658"/>
      <c r="AC272" s="1658"/>
      <c r="AD272" s="1658"/>
      <c r="AE272" s="1658"/>
      <c r="AF272" s="1659"/>
      <c r="AG272" s="1658"/>
      <c r="AH272" s="1658"/>
      <c r="AI272" s="1658"/>
      <c r="AJ272" s="1659"/>
      <c r="AK272" s="1658"/>
      <c r="AL272" s="1658"/>
      <c r="AM272" s="1658"/>
      <c r="AN272" s="1659"/>
      <c r="AO272" s="1658"/>
      <c r="AP272" s="1658"/>
      <c r="AQ272" s="1658"/>
      <c r="AR272" s="1659"/>
      <c r="AS272" s="1658"/>
      <c r="AT272" s="1658"/>
      <c r="AU272" s="1658"/>
      <c r="AV272" s="1659"/>
      <c r="AW272" s="1658"/>
      <c r="AX272" s="1658"/>
      <c r="AY272" s="1658"/>
      <c r="AZ272" s="1659"/>
      <c r="BA272" s="1658"/>
      <c r="BB272" s="1658"/>
      <c r="BC272" s="1658"/>
      <c r="BD272" s="1659"/>
      <c r="BE272" s="1658"/>
      <c r="BF272" s="1658"/>
      <c r="BG272" s="1658"/>
      <c r="BH272" s="1659"/>
      <c r="BI272" s="1658"/>
      <c r="BJ272" s="1658"/>
      <c r="BK272" s="1658"/>
      <c r="BL272" s="1659"/>
      <c r="BM272" s="1658"/>
      <c r="BN272" s="1658"/>
      <c r="BO272" s="1658"/>
      <c r="BP272" s="1659"/>
      <c r="BQ272" s="1658"/>
      <c r="BR272" s="1658"/>
      <c r="BS272" s="1658"/>
      <c r="BT272" s="1659"/>
      <c r="BU272" s="1658"/>
      <c r="BV272" s="1658"/>
      <c r="BW272" s="1658"/>
      <c r="BX272" s="1650" t="s">
        <v>613</v>
      </c>
      <c r="BY272" s="1651"/>
      <c r="BZ272" s="1651"/>
      <c r="CA272" s="1651"/>
      <c r="CB272" s="1650" t="s">
        <v>614</v>
      </c>
      <c r="CC272" s="1651"/>
      <c r="CD272" s="1651"/>
      <c r="CE272" s="1651"/>
      <c r="CF272" s="1650"/>
      <c r="CG272" s="1651"/>
      <c r="CH272" s="1651"/>
      <c r="CI272" s="1651"/>
      <c r="CJ272" s="1650"/>
      <c r="CK272" s="1651"/>
      <c r="CL272" s="1651"/>
      <c r="CM272" s="1652"/>
      <c r="CN272" s="1653"/>
      <c r="CO272" s="1653"/>
      <c r="CP272" s="1653"/>
      <c r="CQ272" s="1652"/>
      <c r="CR272" s="1653"/>
      <c r="CS272" s="1653"/>
      <c r="CT272" s="1653"/>
      <c r="CU272" s="1652"/>
      <c r="CV272" s="1653"/>
      <c r="CW272" s="1653"/>
      <c r="CX272" s="1653"/>
      <c r="CY272" s="1652"/>
      <c r="CZ272" s="1653"/>
      <c r="DA272" s="1653"/>
      <c r="DB272" s="1653"/>
      <c r="DC272" s="1653"/>
      <c r="DD272" s="1653"/>
      <c r="DE272" s="2966"/>
      <c r="DF272" s="2989"/>
      <c r="DG272" s="3027"/>
      <c r="DH272" s="3062"/>
      <c r="DI272" s="3161"/>
      <c r="DJ272" s="3241"/>
      <c r="DK272" s="3286"/>
      <c r="DL272" s="3317"/>
    </row>
    <row r="273" spans="1:116" ht="12.75" customHeight="1">
      <c r="A273" s="1539"/>
      <c r="B273" s="1658"/>
      <c r="C273" s="1658"/>
      <c r="D273" s="1658"/>
      <c r="E273" s="1659"/>
      <c r="F273" s="1658"/>
      <c r="G273" s="1658"/>
      <c r="H273" s="1658"/>
      <c r="I273" s="1658"/>
      <c r="J273" s="1658"/>
      <c r="K273" s="1696"/>
      <c r="L273" s="1658"/>
      <c r="M273" s="1658"/>
      <c r="N273" s="1658"/>
      <c r="O273" s="1658"/>
      <c r="P273" s="1658"/>
      <c r="Q273" s="1658"/>
      <c r="R273" s="1658"/>
      <c r="S273" s="1658"/>
      <c r="T273" s="1658"/>
      <c r="U273" s="1658"/>
      <c r="V273" s="1658"/>
      <c r="W273" s="1658"/>
      <c r="X273" s="1658"/>
      <c r="Y273" s="1658"/>
      <c r="Z273" s="1658"/>
      <c r="AA273" s="1658"/>
      <c r="AB273" s="1658"/>
      <c r="AC273" s="1658"/>
      <c r="AD273" s="1658"/>
      <c r="AE273" s="1658"/>
      <c r="AF273" s="1659"/>
      <c r="AG273" s="1658"/>
      <c r="AH273" s="1658"/>
      <c r="AI273" s="1658"/>
      <c r="AJ273" s="1659"/>
      <c r="AK273" s="1658"/>
      <c r="AL273" s="1658"/>
      <c r="AM273" s="1658"/>
      <c r="AN273" s="1659"/>
      <c r="AO273" s="1658"/>
      <c r="AP273" s="1658"/>
      <c r="AQ273" s="1658"/>
      <c r="AR273" s="1659"/>
      <c r="AS273" s="1658"/>
      <c r="AT273" s="1658"/>
      <c r="AU273" s="1658"/>
      <c r="AV273" s="1659"/>
      <c r="AW273" s="1658"/>
      <c r="AX273" s="1658"/>
      <c r="AY273" s="1658"/>
      <c r="AZ273" s="1659"/>
      <c r="BA273" s="1658"/>
      <c r="BB273" s="1658"/>
      <c r="BC273" s="1658"/>
      <c r="BD273" s="1659"/>
      <c r="BE273" s="1658"/>
      <c r="BF273" s="1658"/>
      <c r="BG273" s="1658"/>
      <c r="BH273" s="1659"/>
      <c r="BI273" s="1658"/>
      <c r="BJ273" s="1658"/>
      <c r="BK273" s="1658"/>
      <c r="BL273" s="1659"/>
      <c r="BM273" s="1658"/>
      <c r="BN273" s="1658"/>
      <c r="BO273" s="1658"/>
      <c r="BP273" s="1659"/>
      <c r="BQ273" s="1658"/>
      <c r="BR273" s="1658"/>
      <c r="BS273" s="1658"/>
      <c r="BT273" s="1659"/>
      <c r="BU273" s="1658"/>
      <c r="BV273" s="1658"/>
      <c r="BW273" s="1658"/>
      <c r="BX273" s="1659"/>
      <c r="BY273" s="1658"/>
      <c r="BZ273" s="1658"/>
      <c r="CA273" s="1642"/>
      <c r="CB273" s="1641"/>
      <c r="CC273" s="1642"/>
      <c r="CD273" s="1642"/>
      <c r="CE273" s="1642"/>
      <c r="CF273" s="1641"/>
      <c r="CG273" s="1642"/>
      <c r="CH273" s="1642"/>
      <c r="CI273" s="1642"/>
      <c r="CJ273" s="1641"/>
      <c r="CK273" s="1642"/>
      <c r="CL273" s="1642"/>
      <c r="CM273" s="1681"/>
      <c r="CN273" s="1672"/>
      <c r="CO273" s="1672"/>
      <c r="CP273" s="1672"/>
      <c r="CQ273" s="1681"/>
      <c r="CR273" s="1672"/>
      <c r="CS273" s="1672"/>
      <c r="CT273" s="1672"/>
      <c r="CU273" s="1681"/>
      <c r="CV273" s="1672"/>
      <c r="CW273" s="1672"/>
      <c r="CX273" s="1672"/>
      <c r="CY273" s="1681"/>
      <c r="CZ273" s="1672"/>
      <c r="DA273" s="1672"/>
      <c r="DB273" s="1672"/>
      <c r="DC273" s="1672"/>
      <c r="DD273" s="1672"/>
      <c r="DE273" s="1672"/>
      <c r="DF273" s="1672"/>
      <c r="DG273" s="1672"/>
      <c r="DH273" s="1672"/>
      <c r="DI273" s="1672"/>
      <c r="DJ273" s="1672"/>
      <c r="DK273" s="1672"/>
      <c r="DL273" s="1672"/>
    </row>
    <row r="274" spans="1:116" ht="12.75" customHeight="1">
      <c r="A274" s="1628" t="s">
        <v>961</v>
      </c>
      <c r="B274" s="1658"/>
      <c r="C274" s="1658"/>
      <c r="D274" s="1658"/>
      <c r="E274" s="1659"/>
      <c r="F274" s="1658"/>
      <c r="G274" s="1658"/>
      <c r="H274" s="1658"/>
      <c r="I274" s="1658"/>
      <c r="J274" s="1658"/>
      <c r="K274" s="1696"/>
      <c r="L274" s="1658"/>
      <c r="M274" s="1658"/>
      <c r="N274" s="1658"/>
      <c r="O274" s="1658"/>
      <c r="P274" s="1658"/>
      <c r="Q274" s="1658"/>
      <c r="R274" s="1658"/>
      <c r="S274" s="1658"/>
      <c r="T274" s="1658"/>
      <c r="U274" s="1658"/>
      <c r="V274" s="1658"/>
      <c r="W274" s="1658"/>
      <c r="X274" s="1658"/>
      <c r="Y274" s="1658"/>
      <c r="Z274" s="1658"/>
      <c r="AA274" s="1658"/>
      <c r="AB274" s="1658"/>
      <c r="AC274" s="1658"/>
      <c r="AD274" s="1658"/>
      <c r="AE274" s="1658"/>
      <c r="AF274" s="1659"/>
      <c r="AG274" s="1658"/>
      <c r="AH274" s="1658"/>
      <c r="AI274" s="1658"/>
      <c r="AJ274" s="1659"/>
      <c r="AK274" s="1658"/>
      <c r="AL274" s="1658"/>
      <c r="AM274" s="1658"/>
      <c r="AN274" s="1659"/>
      <c r="AO274" s="1658"/>
      <c r="AP274" s="1658"/>
      <c r="AQ274" s="1658"/>
      <c r="AR274" s="1659"/>
      <c r="AS274" s="1658"/>
      <c r="AT274" s="1658"/>
      <c r="AU274" s="1658"/>
      <c r="AV274" s="1659"/>
      <c r="AW274" s="1658"/>
      <c r="AX274" s="1658"/>
      <c r="AY274" s="1658"/>
      <c r="AZ274" s="1659"/>
      <c r="BA274" s="1658"/>
      <c r="BB274" s="1658"/>
      <c r="BC274" s="1658"/>
      <c r="BD274" s="1659"/>
      <c r="BE274" s="1658"/>
      <c r="BF274" s="1658"/>
      <c r="BG274" s="1658"/>
      <c r="BH274" s="1659"/>
      <c r="BI274" s="1658"/>
      <c r="BJ274" s="1658"/>
      <c r="BK274" s="1658"/>
      <c r="BL274" s="1659"/>
      <c r="BM274" s="1658"/>
      <c r="BN274" s="1658"/>
      <c r="BO274" s="1658"/>
      <c r="BP274" s="1659"/>
      <c r="BQ274" s="1658"/>
      <c r="BR274" s="1658"/>
      <c r="BS274" s="1658"/>
      <c r="BT274" s="1659"/>
      <c r="BU274" s="1658"/>
      <c r="BV274" s="1658"/>
      <c r="BW274" s="1658"/>
      <c r="BX274" s="1633">
        <v>4120</v>
      </c>
      <c r="BY274" s="1634">
        <v>4272</v>
      </c>
      <c r="BZ274" s="1634">
        <v>4721</v>
      </c>
      <c r="CA274" s="1634">
        <v>4702</v>
      </c>
      <c r="CB274" s="1633">
        <v>4552</v>
      </c>
      <c r="CC274" s="1634">
        <v>4723</v>
      </c>
      <c r="CD274" s="1634">
        <v>4929</v>
      </c>
      <c r="CE274" s="1634">
        <v>5144</v>
      </c>
      <c r="CF274" s="1633">
        <v>4675</v>
      </c>
      <c r="CG274" s="1634">
        <v>4736</v>
      </c>
      <c r="CH274" s="1634">
        <v>5017</v>
      </c>
      <c r="CI274" s="1634">
        <v>4817</v>
      </c>
      <c r="CJ274" s="1633">
        <v>5880</v>
      </c>
      <c r="CK274" s="1634">
        <v>5829</v>
      </c>
      <c r="CL274" s="1634">
        <v>5670</v>
      </c>
      <c r="CM274" s="1648">
        <v>6707</v>
      </c>
      <c r="CN274" s="1649">
        <v>5910</v>
      </c>
      <c r="CO274" s="1649">
        <v>5558</v>
      </c>
      <c r="CP274" s="1649">
        <v>5690</v>
      </c>
      <c r="CQ274" s="1648">
        <v>7332</v>
      </c>
      <c r="CR274" s="1649">
        <v>5651</v>
      </c>
      <c r="CS274" s="1649">
        <v>5799</v>
      </c>
      <c r="CT274" s="1649">
        <v>5652</v>
      </c>
      <c r="CU274" s="1648">
        <v>6546</v>
      </c>
      <c r="CV274" s="1649">
        <v>5856</v>
      </c>
      <c r="CW274" s="1649">
        <v>6742</v>
      </c>
      <c r="CX274" s="1649">
        <v>7043</v>
      </c>
      <c r="CY274" s="1648">
        <v>9184</v>
      </c>
      <c r="CZ274" s="1649">
        <v>6959</v>
      </c>
      <c r="DA274" s="1649">
        <f>1948+5455</f>
        <v>7403</v>
      </c>
      <c r="DB274" s="1649">
        <f>2010+5716</f>
        <v>7726</v>
      </c>
      <c r="DC274" s="1649">
        <f>1994+6840</f>
        <v>8834</v>
      </c>
      <c r="DD274" s="1649">
        <f>1942+4998</f>
        <v>6940</v>
      </c>
      <c r="DE274" s="1649">
        <f>1984+4644</f>
        <v>6628</v>
      </c>
      <c r="DF274" s="1649">
        <f>2006+5240</f>
        <v>7246</v>
      </c>
      <c r="DG274" s="1649">
        <f>2056+7356</f>
        <v>9412</v>
      </c>
      <c r="DH274" s="1649">
        <f>1958+4808</f>
        <v>6766</v>
      </c>
      <c r="DI274" s="1649">
        <f>1997+5035</f>
        <v>7032</v>
      </c>
      <c r="DJ274" s="1649">
        <f>2052+4965</f>
        <v>7017</v>
      </c>
      <c r="DK274" s="1649">
        <f>1983+7339</f>
        <v>9322</v>
      </c>
      <c r="DL274" s="1649">
        <f>2215+5309</f>
        <v>7524</v>
      </c>
    </row>
    <row r="275" spans="1:116" ht="12.75" customHeight="1">
      <c r="A275" s="1628" t="s">
        <v>963</v>
      </c>
      <c r="B275" s="1658"/>
      <c r="C275" s="1658"/>
      <c r="D275" s="1658"/>
      <c r="E275" s="1659"/>
      <c r="F275" s="1658"/>
      <c r="G275" s="1658"/>
      <c r="H275" s="1658"/>
      <c r="I275" s="1658"/>
      <c r="J275" s="1658"/>
      <c r="K275" s="1696"/>
      <c r="L275" s="1658"/>
      <c r="M275" s="1658"/>
      <c r="N275" s="1658"/>
      <c r="O275" s="1658"/>
      <c r="P275" s="1658"/>
      <c r="Q275" s="1658"/>
      <c r="R275" s="1658"/>
      <c r="S275" s="1658"/>
      <c r="T275" s="1658"/>
      <c r="U275" s="1658"/>
      <c r="V275" s="1658"/>
      <c r="W275" s="1658"/>
      <c r="X275" s="1658"/>
      <c r="Y275" s="1658"/>
      <c r="Z275" s="1658"/>
      <c r="AA275" s="1658"/>
      <c r="AB275" s="1658"/>
      <c r="AC275" s="1658"/>
      <c r="AD275" s="1658"/>
      <c r="AE275" s="1658"/>
      <c r="AF275" s="1659"/>
      <c r="AG275" s="1658"/>
      <c r="AH275" s="1658"/>
      <c r="AI275" s="1658"/>
      <c r="AJ275" s="1659"/>
      <c r="AK275" s="1658"/>
      <c r="AL275" s="1658"/>
      <c r="AM275" s="1658"/>
      <c r="AN275" s="1659"/>
      <c r="AO275" s="1658"/>
      <c r="AP275" s="1658"/>
      <c r="AQ275" s="1658"/>
      <c r="AR275" s="1659"/>
      <c r="AS275" s="1658"/>
      <c r="AT275" s="1658"/>
      <c r="AU275" s="1658"/>
      <c r="AV275" s="1659"/>
      <c r="AW275" s="1658"/>
      <c r="AX275" s="1658"/>
      <c r="AY275" s="1658"/>
      <c r="AZ275" s="1659"/>
      <c r="BA275" s="1658"/>
      <c r="BB275" s="1658"/>
      <c r="BC275" s="1658"/>
      <c r="BD275" s="1659"/>
      <c r="BE275" s="1658"/>
      <c r="BF275" s="1658"/>
      <c r="BG275" s="1658"/>
      <c r="BH275" s="1659"/>
      <c r="BI275" s="1658"/>
      <c r="BJ275" s="1658"/>
      <c r="BK275" s="1658"/>
      <c r="BL275" s="1659"/>
      <c r="BM275" s="1658"/>
      <c r="BN275" s="1658"/>
      <c r="BO275" s="1658"/>
      <c r="BP275" s="1659"/>
      <c r="BQ275" s="1658"/>
      <c r="BR275" s="1658"/>
      <c r="BS275" s="1658"/>
      <c r="BT275" s="1659"/>
      <c r="BU275" s="1658"/>
      <c r="BV275" s="1658"/>
      <c r="BW275" s="1658"/>
      <c r="BX275" s="1633">
        <v>4185</v>
      </c>
      <c r="BY275" s="1634">
        <v>4254</v>
      </c>
      <c r="BZ275" s="1634">
        <v>4414</v>
      </c>
      <c r="CA275" s="1634">
        <v>4198</v>
      </c>
      <c r="CB275" s="1633">
        <v>4326</v>
      </c>
      <c r="CC275" s="1634">
        <v>4331</v>
      </c>
      <c r="CD275" s="1634">
        <v>4399</v>
      </c>
      <c r="CE275" s="1634">
        <v>4253</v>
      </c>
      <c r="CF275" s="1633">
        <v>4492</v>
      </c>
      <c r="CG275" s="1634">
        <v>4451</v>
      </c>
      <c r="CH275" s="1634">
        <v>4543</v>
      </c>
      <c r="CI275" s="1634">
        <v>4596</v>
      </c>
      <c r="CJ275" s="1633">
        <v>4751</v>
      </c>
      <c r="CK275" s="1634">
        <v>4794</v>
      </c>
      <c r="CL275" s="1634">
        <v>4867</v>
      </c>
      <c r="CM275" s="1648">
        <v>5167</v>
      </c>
      <c r="CN275" s="1649">
        <v>5228</v>
      </c>
      <c r="CO275" s="1649">
        <v>5295</v>
      </c>
      <c r="CP275" s="1649">
        <v>5250</v>
      </c>
      <c r="CQ275" s="1648">
        <v>5877</v>
      </c>
      <c r="CR275" s="1649">
        <v>5448</v>
      </c>
      <c r="CS275" s="1649">
        <v>5666</v>
      </c>
      <c r="CT275" s="1649">
        <v>5801</v>
      </c>
      <c r="CU275" s="1648">
        <v>6261</v>
      </c>
      <c r="CV275" s="1649">
        <v>5644</v>
      </c>
      <c r="CW275" s="1649">
        <v>5649</v>
      </c>
      <c r="CX275" s="1649">
        <v>5698</v>
      </c>
      <c r="CY275" s="1648">
        <v>6611</v>
      </c>
      <c r="CZ275" s="1649">
        <v>5369</v>
      </c>
      <c r="DA275" s="1649">
        <v>5289</v>
      </c>
      <c r="DB275" s="1649">
        <v>5351</v>
      </c>
      <c r="DC275" s="1649">
        <v>5796</v>
      </c>
      <c r="DD275" s="1649">
        <v>4891</v>
      </c>
      <c r="DE275" s="1649">
        <v>4777</v>
      </c>
      <c r="DF275" s="1649">
        <v>4921</v>
      </c>
      <c r="DG275" s="1649">
        <v>5335</v>
      </c>
      <c r="DH275" s="1649">
        <v>4698</v>
      </c>
      <c r="DI275" s="1649">
        <v>4493</v>
      </c>
      <c r="DJ275" s="1649">
        <v>4594</v>
      </c>
      <c r="DK275" s="1649">
        <v>4987</v>
      </c>
      <c r="DL275" s="1649">
        <v>3899</v>
      </c>
    </row>
    <row r="276" spans="1:116">
      <c r="A276" s="1390" t="s">
        <v>374</v>
      </c>
      <c r="B276" s="1658"/>
      <c r="C276" s="1658"/>
      <c r="D276" s="1658"/>
      <c r="E276" s="1659"/>
      <c r="F276" s="1658"/>
      <c r="G276" s="1658"/>
      <c r="H276" s="1658"/>
      <c r="I276" s="1658"/>
      <c r="J276" s="1658"/>
      <c r="K276" s="1696"/>
      <c r="L276" s="1658"/>
      <c r="M276" s="1658"/>
      <c r="N276" s="1658"/>
      <c r="O276" s="1658"/>
      <c r="P276" s="1658"/>
      <c r="Q276" s="1658"/>
      <c r="R276" s="1658"/>
      <c r="S276" s="1658"/>
      <c r="T276" s="1658"/>
      <c r="U276" s="1658"/>
      <c r="V276" s="1658"/>
      <c r="W276" s="1658"/>
      <c r="X276" s="1658"/>
      <c r="Y276" s="1658"/>
      <c r="Z276" s="1658"/>
      <c r="AA276" s="1658"/>
      <c r="AB276" s="1658"/>
      <c r="AC276" s="1658"/>
      <c r="AD276" s="1658"/>
      <c r="AE276" s="1658"/>
      <c r="AF276" s="1659"/>
      <c r="AG276" s="1658"/>
      <c r="AH276" s="1658"/>
      <c r="AI276" s="1658"/>
      <c r="AJ276" s="1659"/>
      <c r="AK276" s="1658"/>
      <c r="AL276" s="1658"/>
      <c r="AM276" s="1658"/>
      <c r="AN276" s="1659"/>
      <c r="AO276" s="1658"/>
      <c r="AP276" s="1658"/>
      <c r="AQ276" s="1658"/>
      <c r="AR276" s="1659"/>
      <c r="AS276" s="1658"/>
      <c r="AT276" s="1658"/>
      <c r="AU276" s="1658"/>
      <c r="AV276" s="1659"/>
      <c r="AW276" s="1658"/>
      <c r="AX276" s="1658"/>
      <c r="AY276" s="1658"/>
      <c r="AZ276" s="1659"/>
      <c r="BA276" s="1658"/>
      <c r="BB276" s="1658"/>
      <c r="BC276" s="1658"/>
      <c r="BD276" s="1659"/>
      <c r="BE276" s="1658"/>
      <c r="BF276" s="1658"/>
      <c r="BG276" s="1658"/>
      <c r="BH276" s="1659"/>
      <c r="BI276" s="1658"/>
      <c r="BJ276" s="1658"/>
      <c r="BK276" s="1658"/>
      <c r="BL276" s="1659"/>
      <c r="BM276" s="1658"/>
      <c r="BN276" s="1658"/>
      <c r="BO276" s="1658"/>
      <c r="BP276" s="1659"/>
      <c r="BQ276" s="1658"/>
      <c r="BR276" s="1658"/>
      <c r="BS276" s="1658"/>
      <c r="BT276" s="1659"/>
      <c r="BU276" s="1658"/>
      <c r="BV276" s="1658"/>
      <c r="BW276" s="1658"/>
      <c r="BX276" s="1659">
        <f t="shared" ref="BX276:CV276" si="355">BX274+BX275</f>
        <v>8305</v>
      </c>
      <c r="BY276" s="1658">
        <f t="shared" si="355"/>
        <v>8526</v>
      </c>
      <c r="BZ276" s="1658">
        <f t="shared" si="355"/>
        <v>9135</v>
      </c>
      <c r="CA276" s="1658">
        <f t="shared" si="355"/>
        <v>8900</v>
      </c>
      <c r="CB276" s="1659">
        <f t="shared" si="355"/>
        <v>8878</v>
      </c>
      <c r="CC276" s="1658">
        <f t="shared" si="355"/>
        <v>9054</v>
      </c>
      <c r="CD276" s="1658">
        <f t="shared" si="355"/>
        <v>9328</v>
      </c>
      <c r="CE276" s="1658">
        <f t="shared" si="355"/>
        <v>9397</v>
      </c>
      <c r="CF276" s="1659">
        <f t="shared" si="355"/>
        <v>9167</v>
      </c>
      <c r="CG276" s="1658">
        <f t="shared" si="355"/>
        <v>9187</v>
      </c>
      <c r="CH276" s="1658">
        <f t="shared" si="355"/>
        <v>9560</v>
      </c>
      <c r="CI276" s="1658">
        <f t="shared" si="355"/>
        <v>9413</v>
      </c>
      <c r="CJ276" s="1659">
        <f t="shared" si="355"/>
        <v>10631</v>
      </c>
      <c r="CK276" s="1658">
        <f t="shared" si="355"/>
        <v>10623</v>
      </c>
      <c r="CL276" s="1658">
        <f t="shared" si="355"/>
        <v>10537</v>
      </c>
      <c r="CM276" s="1696">
        <f t="shared" si="355"/>
        <v>11874</v>
      </c>
      <c r="CN276" s="1752">
        <f t="shared" si="355"/>
        <v>11138</v>
      </c>
      <c r="CO276" s="1752">
        <f t="shared" si="355"/>
        <v>10853</v>
      </c>
      <c r="CP276" s="1752">
        <f t="shared" si="355"/>
        <v>10940</v>
      </c>
      <c r="CQ276" s="1696">
        <f t="shared" si="355"/>
        <v>13209</v>
      </c>
      <c r="CR276" s="1752">
        <f t="shared" si="355"/>
        <v>11099</v>
      </c>
      <c r="CS276" s="1752">
        <f t="shared" si="355"/>
        <v>11465</v>
      </c>
      <c r="CT276" s="1752">
        <f t="shared" si="355"/>
        <v>11453</v>
      </c>
      <c r="CU276" s="1696">
        <f t="shared" si="355"/>
        <v>12807</v>
      </c>
      <c r="CV276" s="1752">
        <f t="shared" si="355"/>
        <v>11500</v>
      </c>
      <c r="CW276" s="1752">
        <f t="shared" ref="CW276:DB276" si="356">CW274+CW275</f>
        <v>12391</v>
      </c>
      <c r="CX276" s="1752">
        <f t="shared" si="356"/>
        <v>12741</v>
      </c>
      <c r="CY276" s="1696">
        <f t="shared" si="356"/>
        <v>15795</v>
      </c>
      <c r="CZ276" s="1752">
        <f t="shared" si="356"/>
        <v>12328</v>
      </c>
      <c r="DA276" s="1752">
        <f t="shared" si="356"/>
        <v>12692</v>
      </c>
      <c r="DB276" s="1752">
        <f t="shared" si="356"/>
        <v>13077</v>
      </c>
      <c r="DC276" s="1752">
        <f t="shared" ref="DC276:DH276" si="357">DC274+DC275</f>
        <v>14630</v>
      </c>
      <c r="DD276" s="1752">
        <f t="shared" si="357"/>
        <v>11831</v>
      </c>
      <c r="DE276" s="1752">
        <f t="shared" si="357"/>
        <v>11405</v>
      </c>
      <c r="DF276" s="1752">
        <f t="shared" si="357"/>
        <v>12167</v>
      </c>
      <c r="DG276" s="1752">
        <f t="shared" si="357"/>
        <v>14747</v>
      </c>
      <c r="DH276" s="1752">
        <f t="shared" si="357"/>
        <v>11464</v>
      </c>
      <c r="DI276" s="1752">
        <f t="shared" ref="DI276:DJ276" si="358">DI274+DI275</f>
        <v>11525</v>
      </c>
      <c r="DJ276" s="1752">
        <f t="shared" si="358"/>
        <v>11611</v>
      </c>
      <c r="DK276" s="1752">
        <f t="shared" ref="DK276:DL276" si="359">DK274+DK275</f>
        <v>14309</v>
      </c>
      <c r="DL276" s="1752">
        <f t="shared" si="359"/>
        <v>11423</v>
      </c>
    </row>
    <row r="277" spans="1:116" ht="12.75" customHeight="1">
      <c r="A277" s="1628" t="s">
        <v>1596</v>
      </c>
      <c r="B277" s="1658"/>
      <c r="C277" s="1658"/>
      <c r="D277" s="1658"/>
      <c r="E277" s="1659"/>
      <c r="F277" s="1658"/>
      <c r="G277" s="1658"/>
      <c r="H277" s="1658"/>
      <c r="I277" s="1658"/>
      <c r="J277" s="1658"/>
      <c r="K277" s="1696"/>
      <c r="L277" s="1658"/>
      <c r="M277" s="1658"/>
      <c r="N277" s="1658"/>
      <c r="O277" s="1658"/>
      <c r="P277" s="1658"/>
      <c r="Q277" s="1658"/>
      <c r="R277" s="1658"/>
      <c r="S277" s="1658"/>
      <c r="T277" s="1658"/>
      <c r="U277" s="1658"/>
      <c r="V277" s="1658"/>
      <c r="W277" s="1658"/>
      <c r="X277" s="1658"/>
      <c r="Y277" s="1658"/>
      <c r="Z277" s="1658"/>
      <c r="AA277" s="1658"/>
      <c r="AB277" s="1658"/>
      <c r="AC277" s="1658"/>
      <c r="AD277" s="1658"/>
      <c r="AE277" s="1658"/>
      <c r="AF277" s="1659"/>
      <c r="AG277" s="1658"/>
      <c r="AH277" s="1658"/>
      <c r="AI277" s="1658"/>
      <c r="AJ277" s="1659"/>
      <c r="AK277" s="1658"/>
      <c r="AL277" s="1658"/>
      <c r="AM277" s="1658"/>
      <c r="AN277" s="1659"/>
      <c r="AO277" s="1658"/>
      <c r="AP277" s="1658"/>
      <c r="AQ277" s="1658"/>
      <c r="AR277" s="1659"/>
      <c r="AS277" s="1658"/>
      <c r="AT277" s="1658"/>
      <c r="AU277" s="1658"/>
      <c r="AV277" s="1659"/>
      <c r="AW277" s="1658"/>
      <c r="AX277" s="1658"/>
      <c r="AY277" s="1658"/>
      <c r="AZ277" s="1659"/>
      <c r="BA277" s="1658"/>
      <c r="BB277" s="1658"/>
      <c r="BC277" s="1658"/>
      <c r="BD277" s="1659"/>
      <c r="BE277" s="1658"/>
      <c r="BF277" s="1658"/>
      <c r="BG277" s="1658"/>
      <c r="BH277" s="1659"/>
      <c r="BI277" s="1658"/>
      <c r="BJ277" s="1658"/>
      <c r="BK277" s="1658"/>
      <c r="BL277" s="1659"/>
      <c r="BM277" s="1658"/>
      <c r="BN277" s="1658"/>
      <c r="BO277" s="1658"/>
      <c r="BP277" s="1659"/>
      <c r="BQ277" s="1658"/>
      <c r="BR277" s="1658"/>
      <c r="BS277" s="1658"/>
      <c r="BT277" s="1659"/>
      <c r="BU277" s="1658"/>
      <c r="BV277" s="1658"/>
      <c r="BW277" s="1658"/>
      <c r="BX277" s="1633">
        <v>1588</v>
      </c>
      <c r="BY277" s="1634">
        <v>1612</v>
      </c>
      <c r="BZ277" s="1634">
        <v>1654</v>
      </c>
      <c r="CA277" s="1634">
        <v>1706</v>
      </c>
      <c r="CB277" s="1633">
        <v>1749</v>
      </c>
      <c r="CC277" s="1634">
        <v>1727</v>
      </c>
      <c r="CD277" s="1634">
        <v>1758</v>
      </c>
      <c r="CE277" s="1634">
        <v>1796</v>
      </c>
      <c r="CF277" s="1633">
        <v>1812</v>
      </c>
      <c r="CG277" s="1634">
        <v>1827</v>
      </c>
      <c r="CH277" s="1634">
        <v>1836</v>
      </c>
      <c r="CI277" s="1634">
        <v>1881</v>
      </c>
      <c r="CJ277" s="1633">
        <v>1899</v>
      </c>
      <c r="CK277" s="1634">
        <v>1978</v>
      </c>
      <c r="CL277" s="1634">
        <v>2040</v>
      </c>
      <c r="CM277" s="1648">
        <v>2045</v>
      </c>
      <c r="CN277" s="1649">
        <v>1918</v>
      </c>
      <c r="CO277" s="1649">
        <v>2011</v>
      </c>
      <c r="CP277" s="1649">
        <v>2037</v>
      </c>
      <c r="CQ277" s="1648">
        <v>1994</v>
      </c>
      <c r="CR277" s="1649">
        <v>2006</v>
      </c>
      <c r="CS277" s="1649">
        <v>2047</v>
      </c>
      <c r="CT277" s="1649">
        <v>2060</v>
      </c>
      <c r="CU277" s="1648">
        <v>2089</v>
      </c>
      <c r="CV277" s="1649">
        <v>2061</v>
      </c>
      <c r="CW277" s="1649">
        <v>2107</v>
      </c>
      <c r="CX277" s="1649">
        <v>2139</v>
      </c>
      <c r="CY277" s="1648">
        <v>2152</v>
      </c>
      <c r="CZ277" s="1649">
        <v>2190</v>
      </c>
      <c r="DA277" s="1649">
        <v>2225</v>
      </c>
      <c r="DB277" s="1649">
        <v>2260</v>
      </c>
      <c r="DC277" s="1649">
        <v>2305</v>
      </c>
      <c r="DD277" s="1649">
        <v>2293</v>
      </c>
      <c r="DE277" s="1649">
        <v>2282</v>
      </c>
      <c r="DF277" s="1649">
        <v>2287</v>
      </c>
      <c r="DG277" s="1649">
        <v>2321</v>
      </c>
      <c r="DH277" s="1649">
        <v>2338</v>
      </c>
      <c r="DI277" s="1649">
        <v>2347</v>
      </c>
      <c r="DJ277" s="1649">
        <v>2366</v>
      </c>
      <c r="DK277" s="1649">
        <v>2344</v>
      </c>
      <c r="DL277" s="1649">
        <v>2428</v>
      </c>
    </row>
    <row r="278" spans="1:116" ht="12.75" customHeight="1">
      <c r="A278" s="1539" t="s">
        <v>968</v>
      </c>
      <c r="B278" s="1658"/>
      <c r="C278" s="1658"/>
      <c r="D278" s="1658"/>
      <c r="E278" s="1659"/>
      <c r="F278" s="1658"/>
      <c r="G278" s="1658"/>
      <c r="H278" s="1658"/>
      <c r="I278" s="1658"/>
      <c r="J278" s="1658"/>
      <c r="K278" s="1696"/>
      <c r="L278" s="1658"/>
      <c r="M278" s="1658"/>
      <c r="N278" s="1658"/>
      <c r="O278" s="1658"/>
      <c r="P278" s="1658"/>
      <c r="Q278" s="1658"/>
      <c r="R278" s="1658"/>
      <c r="S278" s="1658"/>
      <c r="T278" s="1658"/>
      <c r="U278" s="1658"/>
      <c r="V278" s="1658"/>
      <c r="W278" s="1658"/>
      <c r="X278" s="1658"/>
      <c r="Y278" s="1658"/>
      <c r="Z278" s="1658"/>
      <c r="AA278" s="1658"/>
      <c r="AB278" s="1658"/>
      <c r="AC278" s="1658"/>
      <c r="AD278" s="1658"/>
      <c r="AE278" s="1658"/>
      <c r="AF278" s="1659"/>
      <c r="AG278" s="1658"/>
      <c r="AH278" s="1658"/>
      <c r="AI278" s="1658"/>
      <c r="AJ278" s="1659"/>
      <c r="AK278" s="1658"/>
      <c r="AL278" s="1658"/>
      <c r="AM278" s="1658"/>
      <c r="AN278" s="1659"/>
      <c r="AO278" s="1658"/>
      <c r="AP278" s="1658"/>
      <c r="AQ278" s="1658"/>
      <c r="AR278" s="1659"/>
      <c r="AS278" s="1658"/>
      <c r="AT278" s="1658"/>
      <c r="AU278" s="1658"/>
      <c r="AV278" s="1659"/>
      <c r="AW278" s="1658"/>
      <c r="AX278" s="1658"/>
      <c r="AY278" s="1658"/>
      <c r="AZ278" s="1659"/>
      <c r="BA278" s="1658"/>
      <c r="BB278" s="1658"/>
      <c r="BC278" s="1658"/>
      <c r="BD278" s="1659"/>
      <c r="BE278" s="1658"/>
      <c r="BF278" s="1658"/>
      <c r="BG278" s="1658"/>
      <c r="BH278" s="1659"/>
      <c r="BI278" s="1658"/>
      <c r="BJ278" s="1658"/>
      <c r="BK278" s="1658"/>
      <c r="BL278" s="1659"/>
      <c r="BM278" s="1658"/>
      <c r="BN278" s="1658"/>
      <c r="BO278" s="1658"/>
      <c r="BP278" s="1659"/>
      <c r="BQ278" s="1658"/>
      <c r="BR278" s="1658"/>
      <c r="BS278" s="1658"/>
      <c r="BT278" s="1659"/>
      <c r="BU278" s="1658"/>
      <c r="BV278" s="1658"/>
      <c r="BW278" s="1658"/>
      <c r="BX278" s="1694">
        <f t="shared" ref="BX278:CV278" si="360">BX277+BX276</f>
        <v>9893</v>
      </c>
      <c r="BY278" s="1693">
        <f t="shared" si="360"/>
        <v>10138</v>
      </c>
      <c r="BZ278" s="1693">
        <f t="shared" si="360"/>
        <v>10789</v>
      </c>
      <c r="CA278" s="1693">
        <f t="shared" si="360"/>
        <v>10606</v>
      </c>
      <c r="CB278" s="1694">
        <f t="shared" si="360"/>
        <v>10627</v>
      </c>
      <c r="CC278" s="1693">
        <f t="shared" si="360"/>
        <v>10781</v>
      </c>
      <c r="CD278" s="1693">
        <f t="shared" si="360"/>
        <v>11086</v>
      </c>
      <c r="CE278" s="1693">
        <f t="shared" si="360"/>
        <v>11193</v>
      </c>
      <c r="CF278" s="1694">
        <f t="shared" si="360"/>
        <v>10979</v>
      </c>
      <c r="CG278" s="1693">
        <f t="shared" si="360"/>
        <v>11014</v>
      </c>
      <c r="CH278" s="1693">
        <f t="shared" si="360"/>
        <v>11396</v>
      </c>
      <c r="CI278" s="1693">
        <f t="shared" si="360"/>
        <v>11294</v>
      </c>
      <c r="CJ278" s="1694">
        <f t="shared" si="360"/>
        <v>12530</v>
      </c>
      <c r="CK278" s="1693">
        <f t="shared" si="360"/>
        <v>12601</v>
      </c>
      <c r="CL278" s="1693">
        <f t="shared" si="360"/>
        <v>12577</v>
      </c>
      <c r="CM278" s="1695">
        <f t="shared" si="360"/>
        <v>13919</v>
      </c>
      <c r="CN278" s="1267">
        <f t="shared" si="360"/>
        <v>13056</v>
      </c>
      <c r="CO278" s="1267">
        <f t="shared" si="360"/>
        <v>12864</v>
      </c>
      <c r="CP278" s="1267">
        <f t="shared" si="360"/>
        <v>12977</v>
      </c>
      <c r="CQ278" s="1695">
        <f t="shared" si="360"/>
        <v>15203</v>
      </c>
      <c r="CR278" s="1267">
        <f t="shared" si="360"/>
        <v>13105</v>
      </c>
      <c r="CS278" s="1267">
        <f t="shared" si="360"/>
        <v>13512</v>
      </c>
      <c r="CT278" s="1267">
        <f t="shared" si="360"/>
        <v>13513</v>
      </c>
      <c r="CU278" s="1695">
        <f t="shared" si="360"/>
        <v>14896</v>
      </c>
      <c r="CV278" s="1267">
        <f t="shared" si="360"/>
        <v>13561</v>
      </c>
      <c r="CW278" s="1267">
        <f t="shared" ref="CW278:DB278" si="361">CW277+CW276</f>
        <v>14498</v>
      </c>
      <c r="CX278" s="1267">
        <f t="shared" si="361"/>
        <v>14880</v>
      </c>
      <c r="CY278" s="1695">
        <f t="shared" si="361"/>
        <v>17947</v>
      </c>
      <c r="CZ278" s="1267">
        <f t="shared" si="361"/>
        <v>14518</v>
      </c>
      <c r="DA278" s="1267">
        <f t="shared" si="361"/>
        <v>14917</v>
      </c>
      <c r="DB278" s="1267">
        <f t="shared" si="361"/>
        <v>15337</v>
      </c>
      <c r="DC278" s="1267">
        <f t="shared" ref="DC278:DH278" si="362">DC277+DC276</f>
        <v>16935</v>
      </c>
      <c r="DD278" s="1267">
        <f t="shared" si="362"/>
        <v>14124</v>
      </c>
      <c r="DE278" s="1267">
        <f t="shared" si="362"/>
        <v>13687</v>
      </c>
      <c r="DF278" s="1267">
        <f t="shared" si="362"/>
        <v>14454</v>
      </c>
      <c r="DG278" s="1267">
        <f t="shared" si="362"/>
        <v>17068</v>
      </c>
      <c r="DH278" s="1267">
        <f t="shared" si="362"/>
        <v>13802</v>
      </c>
      <c r="DI278" s="1267">
        <f t="shared" ref="DI278:DJ278" si="363">DI277+DI276</f>
        <v>13872</v>
      </c>
      <c r="DJ278" s="1267">
        <f t="shared" si="363"/>
        <v>13977</v>
      </c>
      <c r="DK278" s="1267">
        <f t="shared" ref="DK278:DL278" si="364">DK277+DK276</f>
        <v>16653</v>
      </c>
      <c r="DL278" s="1267">
        <f t="shared" si="364"/>
        <v>13851</v>
      </c>
    </row>
    <row r="279" spans="1:116" ht="12.75" hidden="1" customHeight="1">
      <c r="A279" s="1629" t="s">
        <v>1237</v>
      </c>
      <c r="B279" s="1658"/>
      <c r="C279" s="1658"/>
      <c r="D279" s="1658"/>
      <c r="E279" s="1659"/>
      <c r="F279" s="1658"/>
      <c r="G279" s="1658"/>
      <c r="H279" s="1658"/>
      <c r="I279" s="1658"/>
      <c r="J279" s="1658"/>
      <c r="K279" s="1696"/>
      <c r="L279" s="1658"/>
      <c r="M279" s="1658"/>
      <c r="N279" s="1658"/>
      <c r="O279" s="1658"/>
      <c r="P279" s="1658"/>
      <c r="Q279" s="1658"/>
      <c r="R279" s="1658"/>
      <c r="S279" s="1658"/>
      <c r="T279" s="1658"/>
      <c r="U279" s="1658"/>
      <c r="V279" s="1658"/>
      <c r="W279" s="1658"/>
      <c r="X279" s="1658"/>
      <c r="Y279" s="1658"/>
      <c r="Z279" s="1658"/>
      <c r="AA279" s="1658"/>
      <c r="AB279" s="1658"/>
      <c r="AC279" s="1658"/>
      <c r="AD279" s="1658"/>
      <c r="AE279" s="1658"/>
      <c r="AF279" s="1659"/>
      <c r="AG279" s="1658"/>
      <c r="AH279" s="1658"/>
      <c r="AI279" s="1658"/>
      <c r="AJ279" s="1659"/>
      <c r="AK279" s="1658"/>
      <c r="AL279" s="1658"/>
      <c r="AM279" s="1658"/>
      <c r="AN279" s="1659"/>
      <c r="AO279" s="1658"/>
      <c r="AP279" s="1658"/>
      <c r="AQ279" s="1658"/>
      <c r="AR279" s="1659"/>
      <c r="AS279" s="1658"/>
      <c r="AT279" s="1658"/>
      <c r="AU279" s="1658"/>
      <c r="AV279" s="1659"/>
      <c r="AW279" s="1658"/>
      <c r="AX279" s="1658"/>
      <c r="AY279" s="1658"/>
      <c r="AZ279" s="1659"/>
      <c r="BA279" s="1658"/>
      <c r="BB279" s="1658"/>
      <c r="BC279" s="1658"/>
      <c r="BD279" s="1659"/>
      <c r="BE279" s="1658"/>
      <c r="BF279" s="1658"/>
      <c r="BG279" s="1658"/>
      <c r="BH279" s="1659"/>
      <c r="BI279" s="1658"/>
      <c r="BJ279" s="1658"/>
      <c r="BK279" s="1658"/>
      <c r="BL279" s="1659"/>
      <c r="BM279" s="1658"/>
      <c r="BN279" s="1658"/>
      <c r="BO279" s="1658"/>
      <c r="BP279" s="1659"/>
      <c r="BQ279" s="1658"/>
      <c r="BR279" s="1658"/>
      <c r="BS279" s="1658"/>
      <c r="BT279" s="1659"/>
      <c r="BU279" s="1658"/>
      <c r="BV279" s="1658"/>
      <c r="BW279" s="1658"/>
      <c r="BX279" s="1659">
        <f>BX278-SUM(BX276:BX277)</f>
        <v>0</v>
      </c>
      <c r="BY279" s="1658">
        <f>BY278-SUM(BY276:BY277)</f>
        <v>0</v>
      </c>
      <c r="BZ279" s="1658">
        <f>BZ278-SUM(BZ276:BZ277)</f>
        <v>0</v>
      </c>
      <c r="CA279" s="1658">
        <f>CA278-SUM(CA276:CA277)</f>
        <v>0</v>
      </c>
      <c r="CB279" s="1641"/>
      <c r="CC279" s="1642"/>
      <c r="CD279" s="1642"/>
      <c r="CE279" s="1642"/>
      <c r="CF279" s="1641"/>
      <c r="CG279" s="1642"/>
      <c r="CH279" s="1642"/>
      <c r="CI279" s="1642"/>
      <c r="CJ279" s="1641"/>
      <c r="CK279" s="1642"/>
      <c r="CL279" s="1642"/>
      <c r="CM279" s="1681"/>
      <c r="CN279" s="1672"/>
      <c r="CO279" s="1672"/>
      <c r="CP279" s="1672"/>
      <c r="CQ279" s="1681"/>
      <c r="CR279" s="1672"/>
      <c r="CS279" s="1672"/>
      <c r="CT279" s="1672"/>
      <c r="CU279" s="1681"/>
      <c r="CV279" s="1672"/>
      <c r="CW279" s="1672"/>
      <c r="CX279" s="1672"/>
      <c r="CY279" s="1681"/>
      <c r="CZ279" s="1672"/>
      <c r="DA279" s="1672"/>
      <c r="DB279" s="1672"/>
      <c r="DC279" s="1672"/>
      <c r="DD279" s="1672"/>
      <c r="DE279" s="1672"/>
      <c r="DF279" s="1672"/>
      <c r="DG279" s="1672"/>
      <c r="DH279" s="1672"/>
      <c r="DI279" s="1672"/>
      <c r="DJ279" s="1672"/>
      <c r="DK279" s="1672"/>
      <c r="DL279" s="1672"/>
    </row>
    <row r="280" spans="1:116" ht="12.75" customHeight="1">
      <c r="A280" s="1539"/>
      <c r="B280" s="1642"/>
      <c r="C280" s="1642"/>
      <c r="D280" s="1642"/>
      <c r="E280" s="1659"/>
      <c r="F280" s="1642"/>
      <c r="G280" s="1642"/>
      <c r="H280" s="1642"/>
      <c r="I280" s="1642"/>
      <c r="J280" s="1642"/>
      <c r="K280" s="1681"/>
      <c r="L280" s="1642"/>
      <c r="M280" s="1642"/>
      <c r="N280" s="1642"/>
      <c r="O280" s="1642"/>
      <c r="P280" s="1642"/>
      <c r="Q280" s="1642"/>
      <c r="R280" s="1642"/>
      <c r="S280" s="1642"/>
      <c r="T280" s="1642"/>
      <c r="U280" s="1642"/>
      <c r="V280" s="1642"/>
      <c r="W280" s="1642"/>
      <c r="X280" s="1642"/>
      <c r="Y280" s="1642"/>
      <c r="Z280" s="1642"/>
      <c r="AA280" s="1642"/>
      <c r="AB280" s="1642"/>
      <c r="AC280" s="1642"/>
      <c r="AD280" s="1642"/>
      <c r="AE280" s="1642"/>
      <c r="AF280" s="1641"/>
      <c r="AG280" s="1642"/>
      <c r="AH280" s="1642"/>
      <c r="AI280" s="1642"/>
      <c r="AJ280" s="1641"/>
      <c r="AK280" s="1642"/>
      <c r="AL280" s="1642"/>
      <c r="AM280" s="1642"/>
      <c r="AN280" s="1641"/>
      <c r="AO280" s="1642"/>
      <c r="AP280" s="1642"/>
      <c r="AQ280" s="1642"/>
      <c r="AR280" s="1641"/>
      <c r="AS280" s="1642"/>
      <c r="AT280" s="1642"/>
      <c r="AU280" s="1642"/>
      <c r="AV280" s="1641"/>
      <c r="AW280" s="1642"/>
      <c r="AX280" s="1642"/>
      <c r="AY280" s="1642"/>
      <c r="AZ280" s="1641"/>
      <c r="BA280" s="1642"/>
      <c r="BB280" s="1642"/>
      <c r="BC280" s="1642"/>
      <c r="BD280" s="1641"/>
      <c r="BE280" s="1642"/>
      <c r="BF280" s="1642"/>
      <c r="BG280" s="1642"/>
      <c r="BH280" s="1641"/>
      <c r="BI280" s="1642"/>
      <c r="BJ280" s="1642"/>
      <c r="BK280" s="1642"/>
      <c r="BL280" s="1641"/>
      <c r="BM280" s="1642"/>
      <c r="BN280" s="1642"/>
      <c r="BO280" s="1642"/>
      <c r="BP280" s="1641"/>
      <c r="BQ280" s="1642"/>
      <c r="BR280" s="1642"/>
      <c r="BS280" s="1642"/>
      <c r="BT280" s="1641"/>
      <c r="BU280" s="1642"/>
      <c r="BV280" s="1642"/>
      <c r="BW280" s="1642"/>
      <c r="BX280" s="1641"/>
      <c r="BY280" s="1642"/>
      <c r="BZ280" s="1642"/>
      <c r="CA280" s="1642"/>
      <c r="CB280" s="1641"/>
      <c r="CC280" s="1642"/>
      <c r="CD280" s="1642"/>
      <c r="CE280" s="1642"/>
      <c r="CF280" s="1641"/>
      <c r="CG280" s="1642"/>
      <c r="CH280" s="1642"/>
      <c r="CI280" s="1642"/>
      <c r="CJ280" s="1641"/>
      <c r="CK280" s="1642"/>
      <c r="CL280" s="1642"/>
      <c r="CM280" s="1681"/>
      <c r="CN280" s="1672"/>
      <c r="CO280" s="1672"/>
      <c r="CP280" s="1672"/>
      <c r="CQ280" s="1681"/>
      <c r="CR280" s="1672"/>
      <c r="CS280" s="1672"/>
      <c r="CT280" s="1672"/>
      <c r="CU280" s="1681"/>
      <c r="CV280" s="1672"/>
      <c r="CW280" s="1672"/>
      <c r="CX280" s="1672"/>
      <c r="CY280" s="1681"/>
      <c r="CZ280" s="1672"/>
      <c r="DA280" s="1672"/>
      <c r="DB280" s="1672"/>
      <c r="DC280" s="1672"/>
      <c r="DD280" s="1672"/>
      <c r="DE280" s="1672"/>
      <c r="DF280" s="1672"/>
      <c r="DG280" s="1672"/>
      <c r="DH280" s="1672"/>
      <c r="DI280" s="1672"/>
      <c r="DJ280" s="1672"/>
      <c r="DK280" s="1672"/>
      <c r="DL280" s="1672"/>
    </row>
    <row r="281" spans="1:116" ht="12.75" customHeight="1">
      <c r="A281" s="1539" t="s">
        <v>1460</v>
      </c>
      <c r="B281" s="1642"/>
      <c r="C281" s="1642"/>
      <c r="D281" s="1642"/>
      <c r="E281" s="1641">
        <f t="shared" ref="E281:K281" si="365">E251-E269</f>
        <v>1168</v>
      </c>
      <c r="F281" s="1642">
        <f t="shared" si="365"/>
        <v>1519</v>
      </c>
      <c r="G281" s="1642">
        <f t="shared" si="365"/>
        <v>1418</v>
      </c>
      <c r="H281" s="1642">
        <f t="shared" si="365"/>
        <v>405</v>
      </c>
      <c r="I281" s="1642">
        <f t="shared" si="365"/>
        <v>448</v>
      </c>
      <c r="J281" s="1642">
        <f t="shared" si="365"/>
        <v>15239</v>
      </c>
      <c r="K281" s="1681">
        <f t="shared" si="365"/>
        <v>4084</v>
      </c>
      <c r="L281" s="1642"/>
      <c r="M281" s="1642"/>
      <c r="N281" s="1642"/>
      <c r="O281" s="1642"/>
      <c r="P281" s="1642"/>
      <c r="Q281" s="1642"/>
      <c r="R281" s="1642"/>
      <c r="S281" s="1642"/>
      <c r="T281" s="1642"/>
      <c r="U281" s="1642"/>
      <c r="V281" s="1642"/>
      <c r="W281" s="1642"/>
      <c r="X281" s="1642"/>
      <c r="Y281" s="1642"/>
      <c r="Z281" s="1642"/>
      <c r="AA281" s="1642"/>
      <c r="AB281" s="1642"/>
      <c r="AC281" s="1642"/>
      <c r="AD281" s="1642"/>
      <c r="AE281" s="1642"/>
      <c r="AF281" s="1641">
        <f t="shared" ref="AF281:BI281" si="366">AF251-AF269</f>
        <v>257</v>
      </c>
      <c r="AG281" s="1642">
        <f t="shared" si="366"/>
        <v>313</v>
      </c>
      <c r="AH281" s="1642">
        <f t="shared" si="366"/>
        <v>334</v>
      </c>
      <c r="AI281" s="1642">
        <f t="shared" si="366"/>
        <v>264</v>
      </c>
      <c r="AJ281" s="1641">
        <f t="shared" si="366"/>
        <v>343</v>
      </c>
      <c r="AK281" s="1642">
        <f t="shared" si="366"/>
        <v>431</v>
      </c>
      <c r="AL281" s="1642">
        <f t="shared" si="366"/>
        <v>397</v>
      </c>
      <c r="AM281" s="1642">
        <f t="shared" si="366"/>
        <v>348</v>
      </c>
      <c r="AN281" s="1641">
        <f t="shared" si="366"/>
        <v>275</v>
      </c>
      <c r="AO281" s="1642">
        <f t="shared" si="366"/>
        <v>363</v>
      </c>
      <c r="AP281" s="1642">
        <f t="shared" si="366"/>
        <v>432</v>
      </c>
      <c r="AQ281" s="1642">
        <f t="shared" si="366"/>
        <v>300</v>
      </c>
      <c r="AR281" s="1641">
        <f t="shared" si="366"/>
        <v>349</v>
      </c>
      <c r="AS281" s="1642">
        <f t="shared" si="366"/>
        <v>442</v>
      </c>
      <c r="AT281" s="1642">
        <f t="shared" si="366"/>
        <v>574</v>
      </c>
      <c r="AU281" s="1642">
        <f t="shared" si="366"/>
        <v>405</v>
      </c>
      <c r="AV281" s="1641">
        <f t="shared" si="366"/>
        <v>490</v>
      </c>
      <c r="AW281" s="1642">
        <f t="shared" si="366"/>
        <v>679</v>
      </c>
      <c r="AX281" s="1642">
        <f t="shared" si="366"/>
        <v>688</v>
      </c>
      <c r="AY281" s="1642">
        <f t="shared" si="366"/>
        <v>448</v>
      </c>
      <c r="AZ281" s="1641">
        <f t="shared" si="366"/>
        <v>774</v>
      </c>
      <c r="BA281" s="1642">
        <f t="shared" si="366"/>
        <v>907</v>
      </c>
      <c r="BB281" s="1642">
        <f t="shared" si="366"/>
        <v>970</v>
      </c>
      <c r="BC281" s="1642">
        <f t="shared" si="366"/>
        <v>989</v>
      </c>
      <c r="BD281" s="1641">
        <f t="shared" si="366"/>
        <v>874</v>
      </c>
      <c r="BE281" s="1642">
        <f t="shared" si="366"/>
        <v>981</v>
      </c>
      <c r="BF281" s="1642">
        <f t="shared" si="366"/>
        <v>1124</v>
      </c>
      <c r="BG281" s="1642">
        <f t="shared" si="366"/>
        <v>1105</v>
      </c>
      <c r="BH281" s="1641">
        <f t="shared" si="366"/>
        <v>1202</v>
      </c>
      <c r="BI281" s="1642">
        <f t="shared" si="366"/>
        <v>1615</v>
      </c>
      <c r="BJ281" s="1642">
        <v>1646</v>
      </c>
      <c r="BK281" s="1642">
        <v>1375</v>
      </c>
      <c r="BL281" s="1641">
        <v>1540</v>
      </c>
      <c r="BM281" s="1642">
        <v>1782</v>
      </c>
      <c r="BN281" s="1642">
        <v>1819</v>
      </c>
      <c r="BO281" s="1642">
        <v>2239</v>
      </c>
      <c r="BP281" s="1641">
        <v>2115</v>
      </c>
      <c r="BQ281" s="1642">
        <f>BQ251-BQ269</f>
        <v>2374</v>
      </c>
      <c r="BR281" s="1642">
        <v>2587</v>
      </c>
      <c r="BS281" s="1642">
        <v>2524</v>
      </c>
      <c r="BT281" s="1641">
        <v>2729</v>
      </c>
      <c r="BU281" s="1634">
        <v>3009</v>
      </c>
      <c r="BV281" s="1634">
        <v>3054</v>
      </c>
      <c r="BW281" s="1634">
        <v>3003</v>
      </c>
      <c r="BX281" s="1633">
        <v>3605</v>
      </c>
      <c r="BY281" s="1634">
        <v>3846</v>
      </c>
      <c r="BZ281" s="1634">
        <v>3859</v>
      </c>
      <c r="CA281" s="1634">
        <v>4220</v>
      </c>
      <c r="CB281" s="1633">
        <v>4063</v>
      </c>
      <c r="CC281" s="1634">
        <v>4248</v>
      </c>
      <c r="CD281" s="1634">
        <v>4245</v>
      </c>
      <c r="CE281" s="1634">
        <v>4082</v>
      </c>
      <c r="CF281" s="1633">
        <v>4333</v>
      </c>
      <c r="CG281" s="1634">
        <v>4683</v>
      </c>
      <c r="CH281" s="1634">
        <v>4854</v>
      </c>
      <c r="CI281" s="1634">
        <v>4854</v>
      </c>
      <c r="CJ281" s="1633">
        <v>4351</v>
      </c>
      <c r="CK281" s="1634">
        <v>4692</v>
      </c>
      <c r="CL281" s="1634">
        <v>5149</v>
      </c>
      <c r="CM281" s="1648">
        <v>4335</v>
      </c>
      <c r="CN281" s="1649">
        <v>5217</v>
      </c>
      <c r="CO281" s="1649">
        <v>5713</v>
      </c>
      <c r="CP281" s="1649">
        <v>6047</v>
      </c>
      <c r="CQ281" s="1648">
        <v>4791</v>
      </c>
      <c r="CR281" s="1649">
        <v>6418</v>
      </c>
      <c r="CS281" s="1649">
        <v>6464</v>
      </c>
      <c r="CT281" s="1649">
        <v>6886</v>
      </c>
      <c r="CU281" s="1648">
        <v>6229</v>
      </c>
      <c r="CV281" s="1649">
        <v>7318</v>
      </c>
      <c r="CW281" s="1649">
        <v>6985</v>
      </c>
      <c r="CX281" s="1649">
        <v>6955</v>
      </c>
      <c r="CY281" s="1648">
        <v>5502</v>
      </c>
      <c r="CZ281" s="1649">
        <v>7810</v>
      </c>
      <c r="DA281" s="1649">
        <v>7696</v>
      </c>
      <c r="DB281" s="1649">
        <v>7668</v>
      </c>
      <c r="DC281" s="1649">
        <v>6799</v>
      </c>
      <c r="DD281" s="1649">
        <v>7880</v>
      </c>
      <c r="DE281" s="1649">
        <v>8017</v>
      </c>
      <c r="DF281" s="1649">
        <v>7647</v>
      </c>
      <c r="DG281" s="1649">
        <v>6309</v>
      </c>
      <c r="DH281" s="1649">
        <v>7076</v>
      </c>
      <c r="DI281" s="1649">
        <v>7410</v>
      </c>
      <c r="DJ281" s="1649">
        <v>7603</v>
      </c>
      <c r="DK281" s="1649">
        <v>7118</v>
      </c>
      <c r="DL281" s="1649">
        <v>8049</v>
      </c>
    </row>
    <row r="282" spans="1:116" ht="12.75" customHeight="1">
      <c r="A282" s="1391" t="s">
        <v>220</v>
      </c>
      <c r="B282" s="1645"/>
      <c r="C282" s="1645"/>
      <c r="D282" s="1645"/>
      <c r="E282" s="1755">
        <f t="shared" ref="E282:K282" si="367">E281/E$248</f>
        <v>0.22298587247040855</v>
      </c>
      <c r="F282" s="1756">
        <f t="shared" si="367"/>
        <v>0.26766519823788548</v>
      </c>
      <c r="G282" s="1756">
        <f t="shared" si="367"/>
        <v>0.14256987733762316</v>
      </c>
      <c r="H282" s="1756">
        <f t="shared" si="367"/>
        <v>0.10857908847184987</v>
      </c>
      <c r="I282" s="1756">
        <f t="shared" si="367"/>
        <v>0.11113867526668321</v>
      </c>
      <c r="J282" s="1756">
        <f t="shared" si="367"/>
        <v>0.85868034033921226</v>
      </c>
      <c r="K282" s="1757">
        <f t="shared" si="367"/>
        <v>0.20082612116443746</v>
      </c>
      <c r="L282" s="1756"/>
      <c r="M282" s="1756"/>
      <c r="N282" s="1645"/>
      <c r="O282" s="1645"/>
      <c r="P282" s="1645"/>
      <c r="Q282" s="1645"/>
      <c r="R282" s="1645"/>
      <c r="S282" s="1645"/>
      <c r="T282" s="1645"/>
      <c r="U282" s="1645"/>
      <c r="V282" s="1645"/>
      <c r="W282" s="1645"/>
      <c r="X282" s="1645"/>
      <c r="Y282" s="1645"/>
      <c r="Z282" s="1645"/>
      <c r="AA282" s="1645"/>
      <c r="AB282" s="1645"/>
      <c r="AC282" s="1645"/>
      <c r="AD282" s="1645"/>
      <c r="AE282" s="1645"/>
      <c r="AF282" s="1755">
        <f t="shared" ref="AF282:BP282" si="368">AF281/AF$248</f>
        <v>0.2086038961038961</v>
      </c>
      <c r="AG282" s="1756">
        <f t="shared" si="368"/>
        <v>0.23569277108433734</v>
      </c>
      <c r="AH282" s="1756">
        <f t="shared" si="368"/>
        <v>0.25056264066016504</v>
      </c>
      <c r="AI282" s="1756">
        <f t="shared" si="368"/>
        <v>0.19628252788104089</v>
      </c>
      <c r="AJ282" s="1755">
        <f t="shared" si="368"/>
        <v>0.25731432858214554</v>
      </c>
      <c r="AK282" s="1756">
        <f t="shared" si="368"/>
        <v>0.30416372618207482</v>
      </c>
      <c r="AL282" s="1756">
        <f t="shared" si="368"/>
        <v>0.27210418094585331</v>
      </c>
      <c r="AM282" s="1756">
        <f t="shared" si="368"/>
        <v>0.23738062755798089</v>
      </c>
      <c r="AN282" s="1755">
        <f t="shared" si="368"/>
        <v>9.6865093342726319E-2</v>
      </c>
      <c r="AO282" s="1756">
        <f t="shared" si="368"/>
        <v>0.11854996734160679</v>
      </c>
      <c r="AP282" s="1756">
        <f t="shared" si="368"/>
        <v>0.13749204328453216</v>
      </c>
      <c r="AQ282" s="1756">
        <f t="shared" si="368"/>
        <v>9.5907928388746802E-2</v>
      </c>
      <c r="AR282" s="1755">
        <f t="shared" si="368"/>
        <v>0.11150159744408945</v>
      </c>
      <c r="AS282" s="1756">
        <f t="shared" si="368"/>
        <v>0.12189740761169332</v>
      </c>
      <c r="AT282" s="1756">
        <f t="shared" si="368"/>
        <v>0.15534506089309877</v>
      </c>
      <c r="AU282" s="1756">
        <f t="shared" si="368"/>
        <v>0.10857908847184987</v>
      </c>
      <c r="AV282" s="1755">
        <f t="shared" si="368"/>
        <v>0.13133208255159476</v>
      </c>
      <c r="AW282" s="1756">
        <f t="shared" si="368"/>
        <v>0.16699458927693064</v>
      </c>
      <c r="AX282" s="1756">
        <f t="shared" si="368"/>
        <v>0.16447525699258905</v>
      </c>
      <c r="AY282" s="1756">
        <f t="shared" si="368"/>
        <v>0.11113867526668321</v>
      </c>
      <c r="AZ282" s="1755">
        <f t="shared" si="368"/>
        <v>0.1910167818361303</v>
      </c>
      <c r="BA282" s="1756">
        <f t="shared" si="368"/>
        <v>0.20759899290455483</v>
      </c>
      <c r="BB282" s="1756">
        <f t="shared" si="368"/>
        <v>0.2102753089096033</v>
      </c>
      <c r="BC282" s="1756">
        <f t="shared" si="368"/>
        <v>0.20984510927222577</v>
      </c>
      <c r="BD282" s="1755">
        <f t="shared" si="368"/>
        <v>0.18755364806866953</v>
      </c>
      <c r="BE282" s="1756">
        <f t="shared" si="368"/>
        <v>0.19576930752344843</v>
      </c>
      <c r="BF282" s="1756">
        <f t="shared" si="368"/>
        <v>0.21211549348933761</v>
      </c>
      <c r="BG282" s="1756">
        <f t="shared" si="368"/>
        <v>0.20592620201267239</v>
      </c>
      <c r="BH282" s="1755">
        <f t="shared" si="368"/>
        <v>0.21850572623159426</v>
      </c>
      <c r="BI282" s="1756">
        <f t="shared" si="368"/>
        <v>0.26725136521595233</v>
      </c>
      <c r="BJ282" s="1756">
        <f t="shared" si="368"/>
        <v>0.2576303020817029</v>
      </c>
      <c r="BK282" s="1756">
        <f t="shared" si="368"/>
        <v>0.21261790629349003</v>
      </c>
      <c r="BL282" s="1755">
        <f t="shared" si="368"/>
        <v>0.23486350465151745</v>
      </c>
      <c r="BM282" s="1756">
        <f t="shared" si="368"/>
        <v>0.25923770730288043</v>
      </c>
      <c r="BN282" s="1756">
        <f t="shared" si="368"/>
        <v>0.25020632737276477</v>
      </c>
      <c r="BO282" s="1756">
        <f t="shared" si="368"/>
        <v>0.30134589502018844</v>
      </c>
      <c r="BP282" s="1755">
        <f t="shared" si="368"/>
        <v>0.27796031015902223</v>
      </c>
      <c r="BQ282" s="1756">
        <f t="shared" ref="BQ282:CA282" si="369">BQ281/BQ251</f>
        <v>0.25631613042539408</v>
      </c>
      <c r="BR282" s="1756">
        <f t="shared" si="369"/>
        <v>0.26213395480798463</v>
      </c>
      <c r="BS282" s="1756">
        <f t="shared" si="369"/>
        <v>0.24992573522130904</v>
      </c>
      <c r="BT282" s="1755">
        <f t="shared" si="369"/>
        <v>0.26477151450470554</v>
      </c>
      <c r="BU282" s="1756">
        <f t="shared" si="369"/>
        <v>0.27750622521442403</v>
      </c>
      <c r="BV282" s="1756">
        <f t="shared" si="369"/>
        <v>0.27052883337762423</v>
      </c>
      <c r="BW282" s="1756">
        <f t="shared" si="369"/>
        <v>0.26243118063444903</v>
      </c>
      <c r="BX282" s="1755">
        <f t="shared" si="369"/>
        <v>0.3089382123575285</v>
      </c>
      <c r="BY282" s="1756">
        <f t="shared" si="369"/>
        <v>0.31737910546294767</v>
      </c>
      <c r="BZ282" s="1756">
        <f t="shared" si="369"/>
        <v>0.30388219544846051</v>
      </c>
      <c r="CA282" s="1756">
        <f t="shared" si="369"/>
        <v>0.32850692822668537</v>
      </c>
      <c r="CB282" s="1755">
        <f t="shared" ref="CB282:CV282" si="370">CB281/CB261</f>
        <v>0.27658270932607215</v>
      </c>
      <c r="CC282" s="1756">
        <f t="shared" si="370"/>
        <v>0.28265353649610753</v>
      </c>
      <c r="CD282" s="1756">
        <f t="shared" si="370"/>
        <v>0.27688996151588285</v>
      </c>
      <c r="CE282" s="1756">
        <f t="shared" si="370"/>
        <v>0.2672340425531915</v>
      </c>
      <c r="CF282" s="1755">
        <f t="shared" si="370"/>
        <v>0.28298066875653083</v>
      </c>
      <c r="CG282" s="1756">
        <f t="shared" si="370"/>
        <v>0.2983372618971778</v>
      </c>
      <c r="CH282" s="1756">
        <f t="shared" si="370"/>
        <v>0.29870769230769229</v>
      </c>
      <c r="CI282" s="1756">
        <f t="shared" si="370"/>
        <v>0.30059450086698042</v>
      </c>
      <c r="CJ282" s="1755">
        <f t="shared" si="370"/>
        <v>0.25774539423019965</v>
      </c>
      <c r="CK282" s="1756">
        <f t="shared" si="370"/>
        <v>0.27132365697102873</v>
      </c>
      <c r="CL282" s="1756">
        <f t="shared" si="370"/>
        <v>0.29047726503441273</v>
      </c>
      <c r="CM282" s="1757">
        <f t="shared" si="370"/>
        <v>0.23748219568313794</v>
      </c>
      <c r="CN282" s="1758">
        <f t="shared" si="370"/>
        <v>0.28550320144475455</v>
      </c>
      <c r="CO282" s="1758">
        <f t="shared" si="370"/>
        <v>0.30753081767777357</v>
      </c>
      <c r="CP282" s="1758">
        <f t="shared" si="370"/>
        <v>0.31786164844407067</v>
      </c>
      <c r="CQ282" s="1757">
        <f t="shared" si="370"/>
        <v>0.23962188656596978</v>
      </c>
      <c r="CR282" s="1758">
        <f t="shared" si="370"/>
        <v>0.32874045997029144</v>
      </c>
      <c r="CS282" s="1758">
        <f t="shared" si="370"/>
        <v>0.32358830596716059</v>
      </c>
      <c r="CT282" s="1758">
        <f t="shared" si="370"/>
        <v>0.33756556693955586</v>
      </c>
      <c r="CU282" s="1757">
        <f t="shared" si="370"/>
        <v>0.29486390532544376</v>
      </c>
      <c r="CV282" s="1758">
        <f t="shared" si="370"/>
        <v>0.35049571339623548</v>
      </c>
      <c r="CW282" s="1758">
        <f t="shared" ref="CW282:DB282" si="371">CW281/CW261</f>
        <v>0.32514080901177678</v>
      </c>
      <c r="CX282" s="1758">
        <f t="shared" si="371"/>
        <v>0.31852530341195329</v>
      </c>
      <c r="CY282" s="1757">
        <f t="shared" si="371"/>
        <v>0.23463687150837989</v>
      </c>
      <c r="CZ282" s="1758">
        <f t="shared" si="371"/>
        <v>0.34978502328914368</v>
      </c>
      <c r="DA282" s="1758">
        <f t="shared" si="371"/>
        <v>0.34033520541281564</v>
      </c>
      <c r="DB282" s="1758">
        <f t="shared" si="371"/>
        <v>0.333318843729624</v>
      </c>
      <c r="DC282" s="1758">
        <f t="shared" ref="DC282:DH282" si="372">DC281/DC261</f>
        <v>0.28646667228448641</v>
      </c>
      <c r="DD282" s="1758">
        <f t="shared" si="372"/>
        <v>0.35811670605344481</v>
      </c>
      <c r="DE282" s="1758">
        <f t="shared" si="372"/>
        <v>0.36937891632878733</v>
      </c>
      <c r="DF282" s="1758">
        <f t="shared" si="372"/>
        <v>0.34600244332835617</v>
      </c>
      <c r="DG282" s="1758">
        <f t="shared" si="372"/>
        <v>0.26988065192283012</v>
      </c>
      <c r="DH282" s="1758">
        <f t="shared" si="372"/>
        <v>0.33892135261998274</v>
      </c>
      <c r="DI282" s="1758">
        <f t="shared" ref="DI282:DJ282" si="373">DI281/DI261</f>
        <v>0.34818156188328164</v>
      </c>
      <c r="DJ282" s="1758">
        <f t="shared" si="373"/>
        <v>0.35231696014828545</v>
      </c>
      <c r="DK282" s="1758">
        <f t="shared" ref="DK282:DL282" si="374">DK281/DK261</f>
        <v>0.29944049472045769</v>
      </c>
      <c r="DL282" s="1758">
        <f t="shared" si="374"/>
        <v>0.36753424657534245</v>
      </c>
    </row>
    <row r="283" spans="1:116" ht="12.75" hidden="1" customHeight="1">
      <c r="A283" s="1539"/>
      <c r="B283" s="1642"/>
      <c r="C283" s="1642"/>
      <c r="D283" s="1642"/>
      <c r="E283" s="1659"/>
      <c r="F283" s="1658"/>
      <c r="G283" s="1658"/>
      <c r="H283" s="1658"/>
      <c r="I283" s="1658"/>
      <c r="J283" s="1658"/>
      <c r="K283" s="1696"/>
      <c r="L283" s="1658"/>
      <c r="M283" s="1658"/>
      <c r="N283" s="1642"/>
      <c r="O283" s="1642"/>
      <c r="P283" s="1642"/>
      <c r="Q283" s="1642"/>
      <c r="R283" s="1642"/>
      <c r="S283" s="1642"/>
      <c r="T283" s="1642"/>
      <c r="U283" s="1642"/>
      <c r="V283" s="1642"/>
      <c r="W283" s="1642"/>
      <c r="X283" s="1642"/>
      <c r="Y283" s="1642"/>
      <c r="Z283" s="1642"/>
      <c r="AA283" s="1642"/>
      <c r="AB283" s="1642"/>
      <c r="AC283" s="1642"/>
      <c r="AD283" s="1642"/>
      <c r="AE283" s="1642"/>
      <c r="AF283" s="1659"/>
      <c r="AG283" s="1658"/>
      <c r="AH283" s="1658"/>
      <c r="AI283" s="1658"/>
      <c r="AJ283" s="1659"/>
      <c r="AK283" s="1658"/>
      <c r="AL283" s="1658"/>
      <c r="AM283" s="1658"/>
      <c r="AN283" s="1659"/>
      <c r="AO283" s="1658"/>
      <c r="AP283" s="1658"/>
      <c r="AQ283" s="1658"/>
      <c r="AR283" s="1659"/>
      <c r="AS283" s="1658"/>
      <c r="AT283" s="1658"/>
      <c r="AU283" s="1658"/>
      <c r="AV283" s="1659"/>
      <c r="AW283" s="1658"/>
      <c r="AX283" s="1658"/>
      <c r="AY283" s="1658"/>
      <c r="AZ283" s="1659"/>
      <c r="BA283" s="1658"/>
      <c r="BB283" s="1658"/>
      <c r="BC283" s="1658"/>
      <c r="BD283" s="1659"/>
      <c r="BE283" s="1658"/>
      <c r="BF283" s="1658"/>
      <c r="BG283" s="1658"/>
      <c r="BH283" s="1659"/>
      <c r="BI283" s="1658"/>
      <c r="BJ283" s="1658"/>
      <c r="BK283" s="1658"/>
      <c r="BL283" s="1659"/>
      <c r="BM283" s="1658"/>
      <c r="BN283" s="1658"/>
      <c r="BO283" s="1658"/>
      <c r="BP283" s="1659"/>
      <c r="BQ283" s="1658"/>
      <c r="BR283" s="1658"/>
      <c r="BS283" s="1658"/>
      <c r="BT283" s="1659"/>
      <c r="BU283" s="1658"/>
      <c r="BV283" s="1658"/>
      <c r="BW283" s="1658"/>
      <c r="BX283" s="1659"/>
      <c r="BY283" s="1658"/>
      <c r="BZ283" s="1658"/>
      <c r="CA283" s="1658"/>
      <c r="CB283" s="1659"/>
      <c r="CC283" s="1658"/>
      <c r="CD283" s="1658"/>
      <c r="CE283" s="1658"/>
      <c r="CF283" s="1641"/>
      <c r="CG283" s="1642"/>
      <c r="CH283" s="1642"/>
      <c r="CI283" s="1642"/>
      <c r="CJ283" s="1641"/>
      <c r="CK283" s="1642"/>
      <c r="CL283" s="1642"/>
      <c r="CM283" s="1681"/>
      <c r="CN283" s="1672"/>
      <c r="CO283" s="1672"/>
      <c r="CP283" s="1672"/>
      <c r="CQ283" s="1681"/>
      <c r="CR283" s="1672"/>
      <c r="CS283" s="1672"/>
      <c r="CT283" s="1672"/>
      <c r="CU283" s="1681"/>
      <c r="CV283" s="1672"/>
      <c r="CW283" s="1672"/>
      <c r="CX283" s="1672"/>
      <c r="CY283" s="1681"/>
      <c r="CZ283" s="1672"/>
      <c r="DA283" s="1672"/>
      <c r="DB283" s="1672"/>
      <c r="DC283" s="1672"/>
      <c r="DD283" s="1672"/>
      <c r="DE283" s="1672"/>
      <c r="DF283" s="1672"/>
      <c r="DG283" s="1672"/>
      <c r="DH283" s="1672"/>
      <c r="DI283" s="1672"/>
      <c r="DJ283" s="1672"/>
      <c r="DK283" s="1672"/>
      <c r="DL283" s="1672"/>
    </row>
    <row r="284" spans="1:116" ht="12.75" hidden="1" customHeight="1">
      <c r="A284" s="1539"/>
      <c r="B284" s="1642"/>
      <c r="C284" s="1642"/>
      <c r="D284" s="1642"/>
      <c r="E284" s="1659"/>
      <c r="F284" s="1658"/>
      <c r="G284" s="1658"/>
      <c r="H284" s="1658"/>
      <c r="I284" s="1658"/>
      <c r="J284" s="1658"/>
      <c r="K284" s="1696"/>
      <c r="L284" s="1658"/>
      <c r="M284" s="1658"/>
      <c r="N284" s="1642"/>
      <c r="O284" s="1642"/>
      <c r="P284" s="1642"/>
      <c r="Q284" s="1642"/>
      <c r="R284" s="1642"/>
      <c r="S284" s="1642"/>
      <c r="T284" s="1642"/>
      <c r="U284" s="1642"/>
      <c r="V284" s="1642"/>
      <c r="W284" s="1642"/>
      <c r="X284" s="1642"/>
      <c r="Y284" s="1642"/>
      <c r="Z284" s="1642"/>
      <c r="AA284" s="1642"/>
      <c r="AB284" s="1642"/>
      <c r="AC284" s="1642"/>
      <c r="AD284" s="1642"/>
      <c r="AE284" s="1642"/>
      <c r="AF284" s="1659"/>
      <c r="AG284" s="1658"/>
      <c r="AH284" s="1658"/>
      <c r="AI284" s="1658"/>
      <c r="AJ284" s="1659"/>
      <c r="AK284" s="1658"/>
      <c r="AL284" s="1658"/>
      <c r="AM284" s="1658"/>
      <c r="AN284" s="1659"/>
      <c r="AO284" s="1658"/>
      <c r="AP284" s="1658"/>
      <c r="AQ284" s="1658"/>
      <c r="AR284" s="1659"/>
      <c r="AS284" s="1658"/>
      <c r="AT284" s="1658"/>
      <c r="AU284" s="1658"/>
      <c r="AV284" s="1659"/>
      <c r="AW284" s="1658"/>
      <c r="AX284" s="1658"/>
      <c r="AY284" s="1658"/>
      <c r="AZ284" s="1659"/>
      <c r="BA284" s="1658"/>
      <c r="BB284" s="1658"/>
      <c r="BC284" s="1658"/>
      <c r="BD284" s="1659"/>
      <c r="BE284" s="1658"/>
      <c r="BF284" s="1658"/>
      <c r="BG284" s="1658"/>
      <c r="BH284" s="1659"/>
      <c r="BI284" s="1658"/>
      <c r="BJ284" s="1658"/>
      <c r="BK284" s="1658"/>
      <c r="BL284" s="1659"/>
      <c r="BM284" s="1658"/>
      <c r="BN284" s="1658"/>
      <c r="BO284" s="1658"/>
      <c r="BP284" s="1659"/>
      <c r="BQ284" s="1658"/>
      <c r="BR284" s="1658"/>
      <c r="BS284" s="1658"/>
      <c r="BT284" s="1659"/>
      <c r="BU284" s="1658"/>
      <c r="BV284" s="1658"/>
      <c r="BW284" s="1658"/>
      <c r="BX284" s="1650" t="s">
        <v>613</v>
      </c>
      <c r="BY284" s="1651"/>
      <c r="BZ284" s="1651"/>
      <c r="CA284" s="1651"/>
      <c r="CB284" s="1650" t="s">
        <v>614</v>
      </c>
      <c r="CC284" s="1651"/>
      <c r="CD284" s="1651"/>
      <c r="CE284" s="1651"/>
      <c r="CF284" s="1650"/>
      <c r="CG284" s="1651"/>
      <c r="CH284" s="1651"/>
      <c r="CI284" s="1651"/>
      <c r="CJ284" s="1650"/>
      <c r="CK284" s="1651"/>
      <c r="CL284" s="1651"/>
      <c r="CM284" s="1652"/>
      <c r="CN284" s="1653"/>
      <c r="CO284" s="1653"/>
      <c r="CP284" s="1653"/>
      <c r="CQ284" s="1652"/>
      <c r="CR284" s="1653"/>
      <c r="CS284" s="1653"/>
      <c r="CT284" s="1653"/>
      <c r="CU284" s="1652"/>
      <c r="CV284" s="1653"/>
      <c r="CW284" s="1653"/>
      <c r="CX284" s="1653"/>
      <c r="CY284" s="1652"/>
      <c r="CZ284" s="1653"/>
      <c r="DA284" s="1653"/>
      <c r="DB284" s="1653"/>
      <c r="DC284" s="1653"/>
      <c r="DD284" s="1653"/>
      <c r="DE284" s="2966"/>
      <c r="DF284" s="2989"/>
      <c r="DG284" s="3027"/>
      <c r="DH284" s="3062"/>
      <c r="DI284" s="3161"/>
      <c r="DJ284" s="3241"/>
      <c r="DK284" s="3286"/>
      <c r="DL284" s="3317"/>
    </row>
    <row r="285" spans="1:116" ht="12.75" hidden="1" customHeight="1">
      <c r="A285" s="1539" t="s">
        <v>1460</v>
      </c>
      <c r="B285" s="1642"/>
      <c r="C285" s="1642"/>
      <c r="D285" s="1642"/>
      <c r="E285" s="1659"/>
      <c r="F285" s="1658"/>
      <c r="G285" s="1658"/>
      <c r="H285" s="1658"/>
      <c r="I285" s="1658"/>
      <c r="J285" s="1658"/>
      <c r="K285" s="1696"/>
      <c r="L285" s="1658"/>
      <c r="M285" s="1658"/>
      <c r="N285" s="1642"/>
      <c r="O285" s="1642"/>
      <c r="P285" s="1642"/>
      <c r="Q285" s="1642"/>
      <c r="R285" s="1642"/>
      <c r="S285" s="1642"/>
      <c r="T285" s="1642"/>
      <c r="U285" s="1642"/>
      <c r="V285" s="1642"/>
      <c r="W285" s="1642"/>
      <c r="X285" s="1642"/>
      <c r="Y285" s="1642"/>
      <c r="Z285" s="1642"/>
      <c r="AA285" s="1642"/>
      <c r="AB285" s="1642"/>
      <c r="AC285" s="1642"/>
      <c r="AD285" s="1642"/>
      <c r="AE285" s="1642"/>
      <c r="AF285" s="1659"/>
      <c r="AG285" s="1658"/>
      <c r="AH285" s="1658"/>
      <c r="AI285" s="1658"/>
      <c r="AJ285" s="1659"/>
      <c r="AK285" s="1658"/>
      <c r="AL285" s="1658"/>
      <c r="AM285" s="1658"/>
      <c r="AN285" s="1659"/>
      <c r="AO285" s="1658"/>
      <c r="AP285" s="1658"/>
      <c r="AQ285" s="1658"/>
      <c r="AR285" s="1659"/>
      <c r="AS285" s="1658"/>
      <c r="AT285" s="1658"/>
      <c r="AU285" s="1658"/>
      <c r="AV285" s="1659"/>
      <c r="AW285" s="1658"/>
      <c r="AX285" s="1658"/>
      <c r="AY285" s="1658"/>
      <c r="AZ285" s="1659"/>
      <c r="BA285" s="1658"/>
      <c r="BB285" s="1658"/>
      <c r="BC285" s="1658"/>
      <c r="BD285" s="1659"/>
      <c r="BE285" s="1658"/>
      <c r="BF285" s="1658"/>
      <c r="BG285" s="1658"/>
      <c r="BH285" s="1659"/>
      <c r="BI285" s="1658"/>
      <c r="BJ285" s="1658"/>
      <c r="BK285" s="1658"/>
      <c r="BL285" s="1659"/>
      <c r="BM285" s="1658"/>
      <c r="BN285" s="1658"/>
      <c r="BO285" s="1658"/>
      <c r="BP285" s="1659"/>
      <c r="BQ285" s="1658"/>
      <c r="BR285" s="1658"/>
      <c r="BS285" s="1658"/>
      <c r="BT285" s="1659"/>
      <c r="BU285" s="1658"/>
      <c r="BV285" s="1658"/>
      <c r="BW285" s="1658"/>
      <c r="BX285" s="1633">
        <v>3778</v>
      </c>
      <c r="BY285" s="1634">
        <v>4041</v>
      </c>
      <c r="BZ285" s="1634">
        <v>4051</v>
      </c>
      <c r="CA285" s="1634">
        <v>4418</v>
      </c>
      <c r="CB285" s="1641">
        <f t="shared" ref="CB285:CU285" si="375">+CB281</f>
        <v>4063</v>
      </c>
      <c r="CC285" s="1642">
        <f t="shared" si="375"/>
        <v>4248</v>
      </c>
      <c r="CD285" s="1642">
        <f t="shared" si="375"/>
        <v>4245</v>
      </c>
      <c r="CE285" s="1642">
        <f t="shared" si="375"/>
        <v>4082</v>
      </c>
      <c r="CF285" s="1641">
        <f t="shared" si="375"/>
        <v>4333</v>
      </c>
      <c r="CG285" s="1642">
        <f t="shared" si="375"/>
        <v>4683</v>
      </c>
      <c r="CH285" s="1642">
        <f t="shared" si="375"/>
        <v>4854</v>
      </c>
      <c r="CI285" s="1642">
        <f t="shared" si="375"/>
        <v>4854</v>
      </c>
      <c r="CJ285" s="1641">
        <f t="shared" si="375"/>
        <v>4351</v>
      </c>
      <c r="CK285" s="1642">
        <f t="shared" si="375"/>
        <v>4692</v>
      </c>
      <c r="CL285" s="1642">
        <f t="shared" si="375"/>
        <v>5149</v>
      </c>
      <c r="CM285" s="1681">
        <f t="shared" si="375"/>
        <v>4335</v>
      </c>
      <c r="CN285" s="1672">
        <f t="shared" si="375"/>
        <v>5217</v>
      </c>
      <c r="CO285" s="1672">
        <f t="shared" si="375"/>
        <v>5713</v>
      </c>
      <c r="CP285" s="1672">
        <f t="shared" si="375"/>
        <v>6047</v>
      </c>
      <c r="CQ285" s="1681">
        <f t="shared" si="375"/>
        <v>4791</v>
      </c>
      <c r="CR285" s="1672">
        <f t="shared" si="375"/>
        <v>6418</v>
      </c>
      <c r="CS285" s="1672">
        <f t="shared" si="375"/>
        <v>6464</v>
      </c>
      <c r="CT285" s="1672">
        <f t="shared" si="375"/>
        <v>6886</v>
      </c>
      <c r="CU285" s="1681">
        <f t="shared" si="375"/>
        <v>6229</v>
      </c>
      <c r="CV285" s="1672">
        <f t="shared" ref="CV285:DA285" si="376">+CV281</f>
        <v>7318</v>
      </c>
      <c r="CW285" s="1672">
        <f t="shared" si="376"/>
        <v>6985</v>
      </c>
      <c r="CX285" s="1672">
        <f t="shared" si="376"/>
        <v>6955</v>
      </c>
      <c r="CY285" s="1681">
        <f t="shared" si="376"/>
        <v>5502</v>
      </c>
      <c r="CZ285" s="1672">
        <f t="shared" si="376"/>
        <v>7810</v>
      </c>
      <c r="DA285" s="1672">
        <f t="shared" si="376"/>
        <v>7696</v>
      </c>
      <c r="DB285" s="1672">
        <f t="shared" ref="DB285:DG285" si="377">+DB281</f>
        <v>7668</v>
      </c>
      <c r="DC285" s="1672">
        <f t="shared" si="377"/>
        <v>6799</v>
      </c>
      <c r="DD285" s="1672">
        <f t="shared" si="377"/>
        <v>7880</v>
      </c>
      <c r="DE285" s="1672">
        <f t="shared" si="377"/>
        <v>8017</v>
      </c>
      <c r="DF285" s="1672">
        <f t="shared" si="377"/>
        <v>7647</v>
      </c>
      <c r="DG285" s="1672">
        <f t="shared" si="377"/>
        <v>6309</v>
      </c>
      <c r="DH285" s="1672">
        <f t="shared" ref="DH285:DI285" si="378">+DH281</f>
        <v>7076</v>
      </c>
      <c r="DI285" s="1672">
        <f t="shared" si="378"/>
        <v>7410</v>
      </c>
      <c r="DJ285" s="1672">
        <f t="shared" ref="DJ285:DK285" si="379">+DJ281</f>
        <v>7603</v>
      </c>
      <c r="DK285" s="1672">
        <f t="shared" si="379"/>
        <v>7118</v>
      </c>
      <c r="DL285" s="1672">
        <f t="shared" ref="DL285" si="380">+DL281</f>
        <v>8049</v>
      </c>
    </row>
    <row r="286" spans="1:116" ht="12.75" hidden="1" customHeight="1">
      <c r="A286" s="1391" t="s">
        <v>220</v>
      </c>
      <c r="B286" s="1645"/>
      <c r="C286" s="1645"/>
      <c r="D286" s="1645"/>
      <c r="E286" s="1755"/>
      <c r="F286" s="1756"/>
      <c r="G286" s="1756"/>
      <c r="H286" s="1756"/>
      <c r="I286" s="1756"/>
      <c r="J286" s="1756"/>
      <c r="K286" s="1757"/>
      <c r="L286" s="1756"/>
      <c r="M286" s="1756"/>
      <c r="N286" s="1645"/>
      <c r="O286" s="1645"/>
      <c r="P286" s="1645"/>
      <c r="Q286" s="1645"/>
      <c r="R286" s="1645"/>
      <c r="S286" s="1645"/>
      <c r="T286" s="1645"/>
      <c r="U286" s="1645"/>
      <c r="V286" s="1645"/>
      <c r="W286" s="1645"/>
      <c r="X286" s="1645"/>
      <c r="Y286" s="1645"/>
      <c r="Z286" s="1645"/>
      <c r="AA286" s="1645"/>
      <c r="AB286" s="1645"/>
      <c r="AC286" s="1645"/>
      <c r="AD286" s="1645"/>
      <c r="AE286" s="1645"/>
      <c r="AF286" s="1755"/>
      <c r="AG286" s="1756"/>
      <c r="AH286" s="1756"/>
      <c r="AI286" s="1756"/>
      <c r="AJ286" s="1755"/>
      <c r="AK286" s="1756"/>
      <c r="AL286" s="1756"/>
      <c r="AM286" s="1756"/>
      <c r="AN286" s="1755"/>
      <c r="AO286" s="1756"/>
      <c r="AP286" s="1756"/>
      <c r="AQ286" s="1756"/>
      <c r="AR286" s="1755"/>
      <c r="AS286" s="1756"/>
      <c r="AT286" s="1756"/>
      <c r="AU286" s="1756"/>
      <c r="AV286" s="1755"/>
      <c r="AW286" s="1756"/>
      <c r="AX286" s="1756"/>
      <c r="AY286" s="1756"/>
      <c r="AZ286" s="1755"/>
      <c r="BA286" s="1756"/>
      <c r="BB286" s="1756"/>
      <c r="BC286" s="1756"/>
      <c r="BD286" s="1755"/>
      <c r="BE286" s="1756"/>
      <c r="BF286" s="1756"/>
      <c r="BG286" s="1756"/>
      <c r="BH286" s="1755"/>
      <c r="BI286" s="1756"/>
      <c r="BJ286" s="1756"/>
      <c r="BK286" s="1756"/>
      <c r="BL286" s="1755"/>
      <c r="BM286" s="1756"/>
      <c r="BN286" s="1756"/>
      <c r="BO286" s="1756"/>
      <c r="BP286" s="1755"/>
      <c r="BQ286" s="1756"/>
      <c r="BR286" s="1756"/>
      <c r="BS286" s="1756"/>
      <c r="BT286" s="1755"/>
      <c r="BU286" s="1756"/>
      <c r="BV286" s="1756"/>
      <c r="BW286" s="1756"/>
      <c r="BX286" s="1755">
        <f t="shared" ref="BX286:CV286" si="381">BX285/BX261</f>
        <v>0.27989331752852276</v>
      </c>
      <c r="BY286" s="1756">
        <f t="shared" si="381"/>
        <v>0.28897311212814647</v>
      </c>
      <c r="BZ286" s="1756">
        <f t="shared" si="381"/>
        <v>0.27655652648825779</v>
      </c>
      <c r="CA286" s="1756">
        <f t="shared" si="381"/>
        <v>0.29799001753675974</v>
      </c>
      <c r="CB286" s="1755">
        <f t="shared" si="381"/>
        <v>0.27658270932607215</v>
      </c>
      <c r="CC286" s="1756">
        <f t="shared" si="381"/>
        <v>0.28265353649610753</v>
      </c>
      <c r="CD286" s="1756">
        <f t="shared" si="381"/>
        <v>0.27688996151588285</v>
      </c>
      <c r="CE286" s="1756">
        <f t="shared" si="381"/>
        <v>0.2672340425531915</v>
      </c>
      <c r="CF286" s="1755">
        <f t="shared" si="381"/>
        <v>0.28298066875653083</v>
      </c>
      <c r="CG286" s="1756">
        <f t="shared" si="381"/>
        <v>0.2983372618971778</v>
      </c>
      <c r="CH286" s="1756">
        <f t="shared" si="381"/>
        <v>0.29870769230769229</v>
      </c>
      <c r="CI286" s="1756">
        <f t="shared" si="381"/>
        <v>0.30059450086698042</v>
      </c>
      <c r="CJ286" s="1755">
        <f t="shared" si="381"/>
        <v>0.25774539423019965</v>
      </c>
      <c r="CK286" s="1756">
        <f t="shared" si="381"/>
        <v>0.27132365697102873</v>
      </c>
      <c r="CL286" s="1756">
        <f t="shared" si="381"/>
        <v>0.29047726503441273</v>
      </c>
      <c r="CM286" s="1757">
        <f t="shared" si="381"/>
        <v>0.23748219568313794</v>
      </c>
      <c r="CN286" s="1758">
        <f t="shared" si="381"/>
        <v>0.28550320144475455</v>
      </c>
      <c r="CO286" s="1758">
        <f t="shared" si="381"/>
        <v>0.30753081767777357</v>
      </c>
      <c r="CP286" s="1758">
        <f t="shared" si="381"/>
        <v>0.31786164844407067</v>
      </c>
      <c r="CQ286" s="1757">
        <f t="shared" si="381"/>
        <v>0.23962188656596978</v>
      </c>
      <c r="CR286" s="1758">
        <f t="shared" si="381"/>
        <v>0.32874045997029144</v>
      </c>
      <c r="CS286" s="1758">
        <f t="shared" si="381"/>
        <v>0.32358830596716059</v>
      </c>
      <c r="CT286" s="1758">
        <f t="shared" si="381"/>
        <v>0.33756556693955586</v>
      </c>
      <c r="CU286" s="1757">
        <f t="shared" si="381"/>
        <v>0.29486390532544376</v>
      </c>
      <c r="CV286" s="1758">
        <f t="shared" si="381"/>
        <v>0.35049571339623548</v>
      </c>
      <c r="CW286" s="1758">
        <f t="shared" ref="CW286:DB286" si="382">CW285/CW261</f>
        <v>0.32514080901177678</v>
      </c>
      <c r="CX286" s="1758">
        <f t="shared" si="382"/>
        <v>0.31852530341195329</v>
      </c>
      <c r="CY286" s="1757">
        <f t="shared" si="382"/>
        <v>0.23463687150837989</v>
      </c>
      <c r="CZ286" s="1758">
        <f t="shared" si="382"/>
        <v>0.34978502328914368</v>
      </c>
      <c r="DA286" s="1758">
        <f t="shared" si="382"/>
        <v>0.34033520541281564</v>
      </c>
      <c r="DB286" s="1758">
        <f t="shared" si="382"/>
        <v>0.333318843729624</v>
      </c>
      <c r="DC286" s="1758">
        <f t="shared" ref="DC286:DH286" si="383">DC285/DC261</f>
        <v>0.28646667228448641</v>
      </c>
      <c r="DD286" s="1758">
        <f t="shared" si="383"/>
        <v>0.35811670605344481</v>
      </c>
      <c r="DE286" s="1758">
        <f t="shared" si="383"/>
        <v>0.36937891632878733</v>
      </c>
      <c r="DF286" s="1758">
        <f t="shared" si="383"/>
        <v>0.34600244332835617</v>
      </c>
      <c r="DG286" s="1758">
        <f t="shared" si="383"/>
        <v>0.26988065192283012</v>
      </c>
      <c r="DH286" s="1758">
        <f t="shared" si="383"/>
        <v>0.33892135261998274</v>
      </c>
      <c r="DI286" s="1758">
        <f t="shared" ref="DI286:DJ286" si="384">DI285/DI261</f>
        <v>0.34818156188328164</v>
      </c>
      <c r="DJ286" s="1758">
        <f t="shared" si="384"/>
        <v>0.35231696014828545</v>
      </c>
      <c r="DK286" s="1758">
        <f t="shared" ref="DK286:DL286" si="385">DK285/DK261</f>
        <v>0.29944049472045769</v>
      </c>
      <c r="DL286" s="1758">
        <f t="shared" si="385"/>
        <v>0.36753424657534245</v>
      </c>
    </row>
    <row r="287" spans="1:116" ht="12.75" hidden="1" customHeight="1">
      <c r="A287" s="1391" t="s">
        <v>683</v>
      </c>
      <c r="B287" s="1645"/>
      <c r="C287" s="1645"/>
      <c r="D287" s="1645"/>
      <c r="E287" s="1755"/>
      <c r="F287" s="1756"/>
      <c r="G287" s="1756"/>
      <c r="H287" s="1756"/>
      <c r="I287" s="1756"/>
      <c r="J287" s="1756"/>
      <c r="K287" s="1757"/>
      <c r="L287" s="1756"/>
      <c r="M287" s="1756"/>
      <c r="N287" s="1645"/>
      <c r="O287" s="1645"/>
      <c r="P287" s="1645"/>
      <c r="Q287" s="1645"/>
      <c r="R287" s="1645"/>
      <c r="S287" s="1645"/>
      <c r="T287" s="1645"/>
      <c r="U287" s="1645"/>
      <c r="V287" s="1645"/>
      <c r="W287" s="1645"/>
      <c r="X287" s="1645"/>
      <c r="Y287" s="1645"/>
      <c r="Z287" s="1645"/>
      <c r="AA287" s="1645"/>
      <c r="AB287" s="1645"/>
      <c r="AC287" s="1645"/>
      <c r="AD287" s="1645"/>
      <c r="AE287" s="1645"/>
      <c r="AF287" s="1755"/>
      <c r="AG287" s="1756"/>
      <c r="AH287" s="1756"/>
      <c r="AI287" s="1756"/>
      <c r="AJ287" s="1755"/>
      <c r="AK287" s="1756"/>
      <c r="AL287" s="1756"/>
      <c r="AM287" s="1756"/>
      <c r="AN287" s="1755"/>
      <c r="AO287" s="1756"/>
      <c r="AP287" s="1756"/>
      <c r="AQ287" s="1756"/>
      <c r="AR287" s="1755"/>
      <c r="AS287" s="1756"/>
      <c r="AT287" s="1756"/>
      <c r="AU287" s="1756"/>
      <c r="AV287" s="1755"/>
      <c r="AW287" s="1756"/>
      <c r="AX287" s="1756"/>
      <c r="AY287" s="1756"/>
      <c r="AZ287" s="1755"/>
      <c r="BA287" s="1756"/>
      <c r="BB287" s="1756"/>
      <c r="BC287" s="1756"/>
      <c r="BD287" s="1755"/>
      <c r="BE287" s="1756"/>
      <c r="BF287" s="1756"/>
      <c r="BG287" s="1756"/>
      <c r="BH287" s="1755"/>
      <c r="BI287" s="1756"/>
      <c r="BJ287" s="1756"/>
      <c r="BK287" s="1756"/>
      <c r="BL287" s="1755"/>
      <c r="BM287" s="1756"/>
      <c r="BN287" s="1756"/>
      <c r="BO287" s="1756"/>
      <c r="BP287" s="1755"/>
      <c r="BQ287" s="1756"/>
      <c r="BR287" s="1756"/>
      <c r="BS287" s="1756"/>
      <c r="BT287" s="1755"/>
      <c r="BU287" s="1756"/>
      <c r="BV287" s="1756"/>
      <c r="BW287" s="1756"/>
      <c r="BX287" s="1755">
        <f t="shared" ref="BX287:CU287" si="386">(BX285+BX277)/BX257</f>
        <v>0.46519289120069351</v>
      </c>
      <c r="BY287" s="1756">
        <f t="shared" si="386"/>
        <v>0.47412563952025499</v>
      </c>
      <c r="BZ287" s="1756">
        <f t="shared" si="386"/>
        <v>0.45933977455716585</v>
      </c>
      <c r="CA287" s="1756">
        <f t="shared" si="386"/>
        <v>0.48765727026596589</v>
      </c>
      <c r="CB287" s="1755">
        <f t="shared" si="386"/>
        <v>0.45673870333988215</v>
      </c>
      <c r="CC287" s="1756">
        <f t="shared" si="386"/>
        <v>0.46000461929324815</v>
      </c>
      <c r="CD287" s="1756">
        <f t="shared" si="386"/>
        <v>0.45653661875427787</v>
      </c>
      <c r="CE287" s="1756">
        <f t="shared" si="386"/>
        <v>0.44587726617613593</v>
      </c>
      <c r="CF287" s="1755">
        <f t="shared" si="386"/>
        <v>0.45633447200356453</v>
      </c>
      <c r="CG287" s="1756">
        <f t="shared" si="386"/>
        <v>0.47167077235183308</v>
      </c>
      <c r="CH287" s="1756">
        <f t="shared" si="386"/>
        <v>0.47219085262563526</v>
      </c>
      <c r="CI287" s="1756">
        <f t="shared" si="386"/>
        <v>0.47452969773832171</v>
      </c>
      <c r="CJ287" s="1755">
        <f t="shared" si="386"/>
        <v>0.43672699322199704</v>
      </c>
      <c r="CK287" s="1756">
        <f t="shared" si="386"/>
        <v>0.45352553205956347</v>
      </c>
      <c r="CL287" s="1756">
        <f t="shared" si="386"/>
        <v>0.47821459455863768</v>
      </c>
      <c r="CM287" s="1757">
        <f t="shared" si="386"/>
        <v>0.42234873560174763</v>
      </c>
      <c r="CN287" s="1758">
        <f t="shared" si="386"/>
        <v>0.46301103179753406</v>
      </c>
      <c r="CO287" s="1758">
        <f t="shared" si="386"/>
        <v>0.48960446247464501</v>
      </c>
      <c r="CP287" s="1758">
        <f t="shared" si="386"/>
        <v>0.5004333292063885</v>
      </c>
      <c r="CQ287" s="1757">
        <f t="shared" si="386"/>
        <v>0.41389617519673033</v>
      </c>
      <c r="CR287" s="1758">
        <f t="shared" si="386"/>
        <v>0.50358680057388805</v>
      </c>
      <c r="CS287" s="1758">
        <f t="shared" si="386"/>
        <v>0.49836046375453802</v>
      </c>
      <c r="CT287" s="1758">
        <f t="shared" si="386"/>
        <v>0.51073304407398945</v>
      </c>
      <c r="CU287" s="1757">
        <f t="shared" si="386"/>
        <v>0.46965162893117274</v>
      </c>
      <c r="CV287" s="1758">
        <f t="shared" ref="CV287:DA287" si="387">(CV285+CV277)/CV257</f>
        <v>0.52143214543837213</v>
      </c>
      <c r="CW287" s="1758">
        <f t="shared" si="387"/>
        <v>0.5029317402367518</v>
      </c>
      <c r="CX287" s="1758">
        <f t="shared" si="387"/>
        <v>0.49542383961647418</v>
      </c>
      <c r="CY287" s="1757">
        <f t="shared" si="387"/>
        <v>0.42034158932396065</v>
      </c>
      <c r="CZ287" s="1758">
        <f t="shared" si="387"/>
        <v>0.55822261918052918</v>
      </c>
      <c r="DA287" s="1758">
        <f t="shared" si="387"/>
        <v>0.56085702979252638</v>
      </c>
      <c r="DB287" s="1758">
        <f t="shared" ref="DB287:DG287" si="388">(DB285+DB277)/DB257</f>
        <v>0.56415501761563813</v>
      </c>
      <c r="DC287" s="1758">
        <f t="shared" si="388"/>
        <v>0.52945623727827862</v>
      </c>
      <c r="DD287" s="1758">
        <f t="shared" si="388"/>
        <v>0.60521149384258432</v>
      </c>
      <c r="DE287" s="1758">
        <f t="shared" si="388"/>
        <v>0.61519622483722602</v>
      </c>
      <c r="DF287" s="1758">
        <f t="shared" si="388"/>
        <v>0.59542076240709663</v>
      </c>
      <c r="DG287" s="1758">
        <f t="shared" si="388"/>
        <v>0.52795791019209592</v>
      </c>
      <c r="DH287" s="1758">
        <f t="shared" ref="DH287:DI287" si="389">(DH285+DH277)/DH257</f>
        <v>0.59665356825960203</v>
      </c>
      <c r="DI287" s="1758">
        <f t="shared" si="389"/>
        <v>0.62456791704007164</v>
      </c>
      <c r="DJ287" s="1758">
        <f t="shared" ref="DJ287:DK287" si="390">(DJ285+DJ277)/DJ257</f>
        <v>0.62931633103970708</v>
      </c>
      <c r="DK287" s="1758">
        <f t="shared" si="390"/>
        <v>0.59584382871536523</v>
      </c>
      <c r="DL287" s="1758">
        <f t="shared" ref="DL287" si="391">(DL285+DL277)/DL257</f>
        <v>0.6802363329437735</v>
      </c>
    </row>
    <row r="288" spans="1:116" ht="12.75" hidden="1" customHeight="1">
      <c r="A288" s="1539"/>
      <c r="B288" s="1642"/>
      <c r="C288" s="1642"/>
      <c r="D288" s="1642"/>
      <c r="E288" s="1659"/>
      <c r="F288" s="1658"/>
      <c r="G288" s="1658"/>
      <c r="H288" s="1658"/>
      <c r="I288" s="1658"/>
      <c r="J288" s="1658"/>
      <c r="K288" s="1696"/>
      <c r="L288" s="1658"/>
      <c r="M288" s="1658"/>
      <c r="N288" s="1642"/>
      <c r="O288" s="1642"/>
      <c r="P288" s="1642"/>
      <c r="Q288" s="1642"/>
      <c r="R288" s="1642"/>
      <c r="S288" s="1642"/>
      <c r="T288" s="1642"/>
      <c r="U288" s="1642"/>
      <c r="V288" s="1642"/>
      <c r="W288" s="1642"/>
      <c r="X288" s="1642"/>
      <c r="Y288" s="1642"/>
      <c r="Z288" s="1642"/>
      <c r="AA288" s="1642"/>
      <c r="AB288" s="1642"/>
      <c r="AC288" s="1642"/>
      <c r="AD288" s="1642"/>
      <c r="AE288" s="1642"/>
      <c r="AF288" s="1659"/>
      <c r="AG288" s="1658"/>
      <c r="AH288" s="1658"/>
      <c r="AI288" s="1658"/>
      <c r="AJ288" s="1659"/>
      <c r="AK288" s="1658"/>
      <c r="AL288" s="1658"/>
      <c r="AM288" s="1658"/>
      <c r="AN288" s="1659"/>
      <c r="AO288" s="1658"/>
      <c r="AP288" s="1658"/>
      <c r="AQ288" s="1658"/>
      <c r="AR288" s="1659"/>
      <c r="AS288" s="1658"/>
      <c r="AT288" s="1658"/>
      <c r="AU288" s="1658"/>
      <c r="AV288" s="1659"/>
      <c r="AW288" s="1658"/>
      <c r="AX288" s="1658"/>
      <c r="AY288" s="1658"/>
      <c r="AZ288" s="1659"/>
      <c r="BA288" s="1658"/>
      <c r="BB288" s="1658"/>
      <c r="BC288" s="1658"/>
      <c r="BD288" s="1659"/>
      <c r="BE288" s="1658"/>
      <c r="BF288" s="1658"/>
      <c r="BG288" s="1658"/>
      <c r="BH288" s="1659"/>
      <c r="BI288" s="1658"/>
      <c r="BJ288" s="1658"/>
      <c r="BK288" s="1658"/>
      <c r="BL288" s="1659"/>
      <c r="BM288" s="1658"/>
      <c r="BN288" s="1658"/>
      <c r="BO288" s="1658"/>
      <c r="BP288" s="1659"/>
      <c r="BQ288" s="1658"/>
      <c r="BR288" s="1658"/>
      <c r="BS288" s="1658"/>
      <c r="BT288" s="1659"/>
      <c r="BU288" s="1658"/>
      <c r="BV288" s="1658"/>
      <c r="BW288" s="1658"/>
      <c r="BX288" s="1659"/>
      <c r="BY288" s="1658"/>
      <c r="BZ288" s="1658"/>
      <c r="CA288" s="1658"/>
      <c r="CB288" s="1659"/>
      <c r="CC288" s="1658"/>
      <c r="CD288" s="1658"/>
      <c r="CE288" s="1658"/>
      <c r="CF288" s="1641"/>
      <c r="CG288" s="1642"/>
      <c r="CH288" s="1642"/>
      <c r="CI288" s="1642"/>
      <c r="CJ288" s="1641"/>
      <c r="CK288" s="1642"/>
      <c r="CL288" s="1642"/>
      <c r="CM288" s="1681"/>
      <c r="CN288" s="1672"/>
      <c r="CO288" s="1672"/>
      <c r="CP288" s="1672"/>
      <c r="CQ288" s="1681"/>
      <c r="CR288" s="1672"/>
      <c r="CS288" s="1672"/>
      <c r="CT288" s="1672"/>
      <c r="CU288" s="1681"/>
      <c r="CV288" s="1672"/>
      <c r="CW288" s="1672"/>
      <c r="CX288" s="1672"/>
      <c r="CY288" s="1681"/>
      <c r="CZ288" s="1672"/>
      <c r="DA288" s="1672"/>
      <c r="DB288" s="1672"/>
      <c r="DC288" s="1672"/>
      <c r="DD288" s="1672"/>
      <c r="DE288" s="1672"/>
      <c r="DF288" s="1672"/>
      <c r="DG288" s="1672"/>
      <c r="DH288" s="1672"/>
      <c r="DI288" s="1672"/>
      <c r="DJ288" s="1672"/>
      <c r="DK288" s="1672"/>
      <c r="DL288" s="1672"/>
    </row>
    <row r="289" spans="1:116" ht="12.75" hidden="1" customHeight="1">
      <c r="A289" s="1539"/>
      <c r="B289" s="1642"/>
      <c r="C289" s="1642"/>
      <c r="D289" s="1642"/>
      <c r="E289" s="1641"/>
      <c r="F289" s="1642"/>
      <c r="G289" s="1642"/>
      <c r="H289" s="1642"/>
      <c r="I289" s="1642"/>
      <c r="J289" s="1642"/>
      <c r="K289" s="1681"/>
      <c r="L289" s="1642"/>
      <c r="M289" s="1642"/>
      <c r="N289" s="1642"/>
      <c r="O289" s="1642"/>
      <c r="P289" s="1642"/>
      <c r="Q289" s="1642"/>
      <c r="R289" s="1642"/>
      <c r="S289" s="1642"/>
      <c r="T289" s="1642"/>
      <c r="U289" s="1642"/>
      <c r="V289" s="1642"/>
      <c r="W289" s="1642"/>
      <c r="X289" s="1642"/>
      <c r="Y289" s="1642"/>
      <c r="Z289" s="1642"/>
      <c r="AA289" s="1642"/>
      <c r="AB289" s="1642"/>
      <c r="AC289" s="1642"/>
      <c r="AD289" s="1642"/>
      <c r="AE289" s="1642"/>
      <c r="AF289" s="1641">
        <f t="shared" ref="AF289:AU289" si="392">(AF281+AF268)/AF248</f>
        <v>0.36525974025974028</v>
      </c>
      <c r="AG289" s="1642">
        <f t="shared" si="392"/>
        <v>0.39156626506024095</v>
      </c>
      <c r="AH289" s="1642">
        <f t="shared" si="392"/>
        <v>0.41485371342835708</v>
      </c>
      <c r="AI289" s="1642">
        <f t="shared" si="392"/>
        <v>0.35985130111524166</v>
      </c>
      <c r="AJ289" s="1641">
        <f t="shared" si="392"/>
        <v>0.42835708927231808</v>
      </c>
      <c r="AK289" s="1642">
        <f t="shared" si="392"/>
        <v>0.47141848976711365</v>
      </c>
      <c r="AL289" s="1642">
        <f t="shared" si="392"/>
        <v>0.44071281699794379</v>
      </c>
      <c r="AM289" s="1642">
        <f t="shared" si="392"/>
        <v>0.40654843110504774</v>
      </c>
      <c r="AN289" s="1641">
        <f t="shared" si="392"/>
        <v>0.38499471644945404</v>
      </c>
      <c r="AO289" s="1642">
        <f t="shared" si="392"/>
        <v>0.38863487916394512</v>
      </c>
      <c r="AP289" s="1642">
        <f t="shared" si="392"/>
        <v>0.38860598345003183</v>
      </c>
      <c r="AQ289" s="1642">
        <f t="shared" si="392"/>
        <v>0.3446291560102302</v>
      </c>
      <c r="AR289" s="1641">
        <f t="shared" si="392"/>
        <v>0.37412140575079872</v>
      </c>
      <c r="AS289" s="1642">
        <f t="shared" si="392"/>
        <v>0.36376172090457803</v>
      </c>
      <c r="AT289" s="1642">
        <f t="shared" si="392"/>
        <v>0.39323410013531801</v>
      </c>
      <c r="AU289" s="1642">
        <f t="shared" si="392"/>
        <v>0.32734584450402143</v>
      </c>
      <c r="AV289" s="1641"/>
      <c r="AW289" s="1642"/>
      <c r="AX289" s="1642"/>
      <c r="AY289" s="1642"/>
      <c r="AZ289" s="1641"/>
      <c r="BA289" s="1642"/>
      <c r="BB289" s="1642"/>
      <c r="BC289" s="1642"/>
      <c r="BD289" s="1641"/>
      <c r="BE289" s="1642"/>
      <c r="BF289" s="1642"/>
      <c r="BG289" s="1642"/>
      <c r="BH289" s="1641"/>
      <c r="BI289" s="1642"/>
      <c r="BJ289" s="1642"/>
      <c r="BK289" s="1642"/>
      <c r="BL289" s="1641"/>
      <c r="BM289" s="1642"/>
      <c r="BN289" s="1642"/>
      <c r="BO289" s="1642"/>
      <c r="BP289" s="1641"/>
      <c r="BQ289" s="1642"/>
      <c r="BR289" s="1642"/>
      <c r="BS289" s="1642"/>
      <c r="BT289" s="1641"/>
      <c r="BU289" s="1642"/>
      <c r="BV289" s="1642"/>
      <c r="BW289" s="1642"/>
      <c r="BX289" s="1641"/>
      <c r="BY289" s="1642"/>
      <c r="BZ289" s="1642"/>
      <c r="CA289" s="1642"/>
      <c r="CB289" s="1641"/>
      <c r="CC289" s="1642"/>
      <c r="CD289" s="1642"/>
      <c r="CE289" s="1642"/>
      <c r="CF289" s="1641"/>
      <c r="CG289" s="1642"/>
      <c r="CH289" s="1642"/>
      <c r="CI289" s="1642"/>
      <c r="CJ289" s="1641"/>
      <c r="CK289" s="1642"/>
      <c r="CL289" s="1642"/>
      <c r="CM289" s="1681"/>
      <c r="CN289" s="1672"/>
      <c r="CO289" s="1672"/>
      <c r="CP289" s="1672"/>
      <c r="CQ289" s="1681"/>
      <c r="CR289" s="1672"/>
      <c r="CS289" s="1672"/>
      <c r="CT289" s="1672"/>
      <c r="CU289" s="1681"/>
      <c r="CV289" s="1672"/>
      <c r="CW289" s="1672"/>
      <c r="CX289" s="1672"/>
      <c r="CY289" s="1681"/>
      <c r="CZ289" s="1672"/>
      <c r="DA289" s="1672"/>
      <c r="DB289" s="1672"/>
      <c r="DC289" s="1672"/>
      <c r="DD289" s="1672"/>
      <c r="DE289" s="1672"/>
      <c r="DF289" s="1672"/>
      <c r="DG289" s="1672"/>
      <c r="DH289" s="1672"/>
      <c r="DI289" s="1672"/>
      <c r="DJ289" s="1672"/>
      <c r="DK289" s="1672"/>
      <c r="DL289" s="1672"/>
    </row>
    <row r="290" spans="1:116" ht="12.75" hidden="1" customHeight="1">
      <c r="A290" s="1539" t="s">
        <v>491</v>
      </c>
      <c r="B290" s="1642"/>
      <c r="C290" s="1642"/>
      <c r="D290" s="1642"/>
      <c r="E290" s="1641">
        <f t="shared" ref="E290:K290" si="393">E281+E268</f>
        <v>2007</v>
      </c>
      <c r="F290" s="1642">
        <f t="shared" si="393"/>
        <v>2478</v>
      </c>
      <c r="G290" s="1642">
        <f t="shared" si="393"/>
        <v>4066</v>
      </c>
      <c r="H290" s="1642">
        <f t="shared" si="393"/>
        <v>1221</v>
      </c>
      <c r="I290" s="1642">
        <f t="shared" si="393"/>
        <v>1408</v>
      </c>
      <c r="J290" s="1642">
        <f t="shared" si="393"/>
        <v>16138</v>
      </c>
      <c r="K290" s="1681">
        <f t="shared" si="393"/>
        <v>7972</v>
      </c>
      <c r="L290" s="1642"/>
      <c r="M290" s="1642"/>
      <c r="N290" s="1642"/>
      <c r="O290" s="1642"/>
      <c r="P290" s="1642"/>
      <c r="Q290" s="1642"/>
      <c r="R290" s="1642"/>
      <c r="S290" s="1642"/>
      <c r="T290" s="1642"/>
      <c r="U290" s="1642"/>
      <c r="V290" s="1642"/>
      <c r="W290" s="1642"/>
      <c r="X290" s="1642"/>
      <c r="Y290" s="1642"/>
      <c r="Z290" s="1642"/>
      <c r="AA290" s="1642"/>
      <c r="AB290" s="1642"/>
      <c r="AC290" s="1642"/>
      <c r="AD290" s="1642"/>
      <c r="AE290" s="1642"/>
      <c r="AF290" s="1641">
        <f t="shared" ref="AF290:BZ290" si="394">AF281+AF268</f>
        <v>450</v>
      </c>
      <c r="AG290" s="1642">
        <f t="shared" si="394"/>
        <v>520</v>
      </c>
      <c r="AH290" s="1642">
        <f t="shared" si="394"/>
        <v>553</v>
      </c>
      <c r="AI290" s="1642">
        <f t="shared" si="394"/>
        <v>484</v>
      </c>
      <c r="AJ290" s="1641">
        <f t="shared" si="394"/>
        <v>571</v>
      </c>
      <c r="AK290" s="1642">
        <f t="shared" si="394"/>
        <v>668</v>
      </c>
      <c r="AL290" s="1642">
        <f t="shared" si="394"/>
        <v>643</v>
      </c>
      <c r="AM290" s="1642">
        <f t="shared" si="394"/>
        <v>596</v>
      </c>
      <c r="AN290" s="1641">
        <f t="shared" si="394"/>
        <v>1093</v>
      </c>
      <c r="AO290" s="1642">
        <f t="shared" si="394"/>
        <v>1190</v>
      </c>
      <c r="AP290" s="1642">
        <f t="shared" si="394"/>
        <v>1221</v>
      </c>
      <c r="AQ290" s="1642">
        <f t="shared" si="394"/>
        <v>1078</v>
      </c>
      <c r="AR290" s="1641">
        <f t="shared" si="394"/>
        <v>1171</v>
      </c>
      <c r="AS290" s="1642">
        <f t="shared" si="394"/>
        <v>1319</v>
      </c>
      <c r="AT290" s="1642">
        <f t="shared" si="394"/>
        <v>1453</v>
      </c>
      <c r="AU290" s="1642">
        <f t="shared" si="394"/>
        <v>1221</v>
      </c>
      <c r="AV290" s="1641">
        <f t="shared" si="394"/>
        <v>1409</v>
      </c>
      <c r="AW290" s="1642">
        <f t="shared" si="394"/>
        <v>1566</v>
      </c>
      <c r="AX290" s="1642">
        <f t="shared" si="394"/>
        <v>1631</v>
      </c>
      <c r="AY290" s="1642">
        <f t="shared" si="394"/>
        <v>1408</v>
      </c>
      <c r="AZ290" s="1641">
        <f t="shared" si="394"/>
        <v>1555</v>
      </c>
      <c r="BA290" s="1642">
        <f t="shared" si="394"/>
        <v>1692</v>
      </c>
      <c r="BB290" s="1642">
        <f t="shared" si="394"/>
        <v>1798</v>
      </c>
      <c r="BC290" s="1642">
        <f t="shared" si="394"/>
        <v>1888</v>
      </c>
      <c r="BD290" s="1641">
        <f t="shared" si="394"/>
        <v>1781</v>
      </c>
      <c r="BE290" s="1642">
        <f t="shared" si="394"/>
        <v>1937</v>
      </c>
      <c r="BF290" s="1642">
        <f t="shared" si="394"/>
        <v>2124</v>
      </c>
      <c r="BG290" s="1642">
        <f t="shared" si="394"/>
        <v>2130</v>
      </c>
      <c r="BH290" s="1641">
        <f t="shared" si="394"/>
        <v>2257</v>
      </c>
      <c r="BI290" s="1642">
        <f t="shared" si="394"/>
        <v>2718</v>
      </c>
      <c r="BJ290" s="1642">
        <f t="shared" si="394"/>
        <v>2793</v>
      </c>
      <c r="BK290" s="1642">
        <f t="shared" si="394"/>
        <v>2556</v>
      </c>
      <c r="BL290" s="1641">
        <f t="shared" si="394"/>
        <v>2690</v>
      </c>
      <c r="BM290" s="1642">
        <f t="shared" si="394"/>
        <v>2957</v>
      </c>
      <c r="BN290" s="1642">
        <f t="shared" si="394"/>
        <v>3018</v>
      </c>
      <c r="BO290" s="1642">
        <f t="shared" si="394"/>
        <v>3475</v>
      </c>
      <c r="BP290" s="1641">
        <f t="shared" si="394"/>
        <v>3389</v>
      </c>
      <c r="BQ290" s="1642">
        <f t="shared" si="394"/>
        <v>3564</v>
      </c>
      <c r="BR290" s="1642">
        <f t="shared" si="394"/>
        <v>3807</v>
      </c>
      <c r="BS290" s="1642">
        <f t="shared" si="394"/>
        <v>3753</v>
      </c>
      <c r="BT290" s="1641">
        <f t="shared" si="394"/>
        <v>3985</v>
      </c>
      <c r="BU290" s="1642">
        <f t="shared" si="394"/>
        <v>4302</v>
      </c>
      <c r="BV290" s="1642">
        <f t="shared" si="394"/>
        <v>4353</v>
      </c>
      <c r="BW290" s="1642">
        <f t="shared" si="394"/>
        <v>4309</v>
      </c>
      <c r="BX290" s="1641">
        <f t="shared" si="394"/>
        <v>5193</v>
      </c>
      <c r="BY290" s="1642">
        <f t="shared" si="394"/>
        <v>5458</v>
      </c>
      <c r="BZ290" s="1642">
        <f t="shared" si="394"/>
        <v>5513</v>
      </c>
      <c r="CA290" s="1642"/>
      <c r="CB290" s="1641"/>
      <c r="CC290" s="1642"/>
      <c r="CD290" s="1642"/>
      <c r="CE290" s="1642"/>
      <c r="CF290" s="1641"/>
      <c r="CG290" s="1642"/>
      <c r="CH290" s="1642"/>
      <c r="CI290" s="1642"/>
      <c r="CJ290" s="1641"/>
      <c r="CK290" s="1642"/>
      <c r="CL290" s="1642"/>
      <c r="CM290" s="1681"/>
      <c r="CN290" s="1672"/>
      <c r="CO290" s="1672"/>
      <c r="CP290" s="1672"/>
      <c r="CQ290" s="1681"/>
      <c r="CR290" s="1672"/>
      <c r="CS290" s="1672"/>
      <c r="CT290" s="1672"/>
      <c r="CU290" s="1681"/>
      <c r="CV290" s="1672"/>
      <c r="CW290" s="1672"/>
      <c r="CX290" s="1672"/>
      <c r="CY290" s="1681"/>
      <c r="CZ290" s="1672"/>
      <c r="DA290" s="1672"/>
      <c r="DB290" s="1672"/>
      <c r="DC290" s="1672"/>
      <c r="DD290" s="1672"/>
      <c r="DE290" s="1672"/>
      <c r="DF290" s="1672"/>
      <c r="DG290" s="1672"/>
      <c r="DH290" s="1672"/>
      <c r="DI290" s="1672"/>
      <c r="DJ290" s="1672"/>
      <c r="DK290" s="1672"/>
      <c r="DL290" s="1672"/>
    </row>
    <row r="291" spans="1:116" ht="12.75" hidden="1" customHeight="1">
      <c r="A291" s="1539" t="s">
        <v>656</v>
      </c>
      <c r="B291" s="1642"/>
      <c r="C291" s="1642"/>
      <c r="D291" s="1642"/>
      <c r="E291" s="1659">
        <f t="shared" ref="E291:K291" si="395">E290/E$248</f>
        <v>0.38316151202749144</v>
      </c>
      <c r="F291" s="1658">
        <f t="shared" si="395"/>
        <v>0.43665198237885461</v>
      </c>
      <c r="G291" s="1658">
        <f t="shared" si="395"/>
        <v>0.40880756082847375</v>
      </c>
      <c r="H291" s="1658">
        <f t="shared" si="395"/>
        <v>0.32734584450402143</v>
      </c>
      <c r="I291" s="1658">
        <f t="shared" si="395"/>
        <v>0.34929297940957577</v>
      </c>
      <c r="J291" s="1658">
        <f t="shared" si="395"/>
        <v>0.90933678931650419</v>
      </c>
      <c r="K291" s="1696">
        <f t="shared" si="395"/>
        <v>0.39201416207710466</v>
      </c>
      <c r="L291" s="1658"/>
      <c r="M291" s="1658"/>
      <c r="N291" s="1642"/>
      <c r="O291" s="1642"/>
      <c r="P291" s="1642"/>
      <c r="Q291" s="1642"/>
      <c r="R291" s="1642"/>
      <c r="S291" s="1642"/>
      <c r="T291" s="1642"/>
      <c r="U291" s="1642"/>
      <c r="V291" s="1642"/>
      <c r="W291" s="1642"/>
      <c r="X291" s="1642"/>
      <c r="Y291" s="1642"/>
      <c r="Z291" s="1642"/>
      <c r="AA291" s="1642"/>
      <c r="AB291" s="1642"/>
      <c r="AC291" s="1642"/>
      <c r="AD291" s="1642"/>
      <c r="AE291" s="1642"/>
      <c r="AF291" s="1659">
        <f t="shared" ref="AF291:BZ291" si="396">AF290/AF$248</f>
        <v>0.36525974025974028</v>
      </c>
      <c r="AG291" s="1658">
        <f t="shared" si="396"/>
        <v>0.39156626506024095</v>
      </c>
      <c r="AH291" s="1658">
        <f t="shared" si="396"/>
        <v>0.41485371342835708</v>
      </c>
      <c r="AI291" s="1658">
        <f t="shared" si="396"/>
        <v>0.35985130111524166</v>
      </c>
      <c r="AJ291" s="1659">
        <f t="shared" si="396"/>
        <v>0.42835708927231808</v>
      </c>
      <c r="AK291" s="1658">
        <f t="shared" si="396"/>
        <v>0.47141848976711365</v>
      </c>
      <c r="AL291" s="1658">
        <f t="shared" si="396"/>
        <v>0.44071281699794379</v>
      </c>
      <c r="AM291" s="1658">
        <f t="shared" si="396"/>
        <v>0.40654843110504774</v>
      </c>
      <c r="AN291" s="1659">
        <f t="shared" si="396"/>
        <v>0.38499471644945404</v>
      </c>
      <c r="AO291" s="1658">
        <f t="shared" si="396"/>
        <v>0.38863487916394512</v>
      </c>
      <c r="AP291" s="1658">
        <f t="shared" si="396"/>
        <v>0.38860598345003183</v>
      </c>
      <c r="AQ291" s="1658">
        <f t="shared" si="396"/>
        <v>0.3446291560102302</v>
      </c>
      <c r="AR291" s="1659">
        <f t="shared" si="396"/>
        <v>0.37412140575079872</v>
      </c>
      <c r="AS291" s="1658">
        <f t="shared" si="396"/>
        <v>0.36376172090457803</v>
      </c>
      <c r="AT291" s="1658">
        <f t="shared" si="396"/>
        <v>0.39323410013531801</v>
      </c>
      <c r="AU291" s="1658">
        <f t="shared" si="396"/>
        <v>0.32734584450402143</v>
      </c>
      <c r="AV291" s="1659">
        <f t="shared" si="396"/>
        <v>0.37764674350040206</v>
      </c>
      <c r="AW291" s="1658">
        <f t="shared" si="396"/>
        <v>0.38514510575504179</v>
      </c>
      <c r="AX291" s="1658">
        <f t="shared" si="396"/>
        <v>0.38991154673679179</v>
      </c>
      <c r="AY291" s="1658">
        <f t="shared" si="396"/>
        <v>0.34929297940957577</v>
      </c>
      <c r="AZ291" s="1659">
        <f t="shared" si="396"/>
        <v>0.38376110562685095</v>
      </c>
      <c r="BA291" s="1658">
        <f t="shared" si="396"/>
        <v>0.3872739757381552</v>
      </c>
      <c r="BB291" s="1658">
        <f t="shared" si="396"/>
        <v>0.38976804682419253</v>
      </c>
      <c r="BC291" s="1658">
        <f t="shared" si="396"/>
        <v>0.40059410142159985</v>
      </c>
      <c r="BD291" s="1659">
        <f t="shared" si="396"/>
        <v>0.38218884120171676</v>
      </c>
      <c r="BE291" s="1658">
        <f t="shared" si="396"/>
        <v>0.38654959090001995</v>
      </c>
      <c r="BF291" s="1658">
        <f t="shared" si="396"/>
        <v>0.40083034534817891</v>
      </c>
      <c r="BG291" s="1658">
        <f t="shared" si="396"/>
        <v>0.39694371971673498</v>
      </c>
      <c r="BH291" s="1659">
        <f t="shared" si="396"/>
        <v>0.41028903835666242</v>
      </c>
      <c r="BI291" s="1658">
        <f t="shared" si="396"/>
        <v>0.44977660102598049</v>
      </c>
      <c r="BJ291" s="1658">
        <f t="shared" si="396"/>
        <v>0.43715761465017999</v>
      </c>
      <c r="BK291" s="1658">
        <f t="shared" si="396"/>
        <v>0.39523735889902584</v>
      </c>
      <c r="BL291" s="1659">
        <f t="shared" si="396"/>
        <v>0.41024858929388441</v>
      </c>
      <c r="BM291" s="1658">
        <f t="shared" si="396"/>
        <v>0.43017166133255746</v>
      </c>
      <c r="BN291" s="1658">
        <f t="shared" si="396"/>
        <v>0.41513067400275105</v>
      </c>
      <c r="BO291" s="1658">
        <f t="shared" si="396"/>
        <v>0.46769851951547781</v>
      </c>
      <c r="BP291" s="1659">
        <f t="shared" si="396"/>
        <v>0.44539361282691547</v>
      </c>
      <c r="BQ291" s="1658">
        <f t="shared" si="396"/>
        <v>0.44350423096067693</v>
      </c>
      <c r="BR291" s="1658">
        <f t="shared" si="396"/>
        <v>0.44952178533475029</v>
      </c>
      <c r="BS291" s="1658">
        <f t="shared" si="396"/>
        <v>0.43227366966136838</v>
      </c>
      <c r="BT291" s="1659">
        <f t="shared" si="396"/>
        <v>0.44322099877655435</v>
      </c>
      <c r="BU291" s="1658">
        <f t="shared" si="396"/>
        <v>0.45756222080408426</v>
      </c>
      <c r="BV291" s="1658">
        <f t="shared" si="396"/>
        <v>0.44650733408554721</v>
      </c>
      <c r="BW291" s="1658">
        <f t="shared" si="396"/>
        <v>0.43639862264533119</v>
      </c>
      <c r="BX291" s="1659">
        <f t="shared" si="396"/>
        <v>0.51187777230162645</v>
      </c>
      <c r="BY291" s="1658">
        <f t="shared" si="396"/>
        <v>0.52020587113991612</v>
      </c>
      <c r="BZ291" s="1658">
        <f t="shared" si="396"/>
        <v>0.50416095107453129</v>
      </c>
      <c r="CA291" s="1642"/>
      <c r="CB291" s="1641"/>
      <c r="CC291" s="1642"/>
      <c r="CD291" s="1642"/>
      <c r="CE291" s="1642"/>
      <c r="CF291" s="1641"/>
      <c r="CG291" s="1642"/>
      <c r="CH291" s="1642"/>
      <c r="CI291" s="1642"/>
      <c r="CJ291" s="1641"/>
      <c r="CK291" s="1642"/>
      <c r="CL291" s="1642"/>
      <c r="CM291" s="1681"/>
      <c r="CN291" s="1672"/>
      <c r="CO291" s="1672"/>
      <c r="CP291" s="1672"/>
      <c r="CQ291" s="1681"/>
      <c r="CR291" s="1672"/>
      <c r="CS291" s="1672"/>
      <c r="CT291" s="1672"/>
      <c r="CU291" s="1681"/>
      <c r="CV291" s="1672"/>
      <c r="CW291" s="1672"/>
      <c r="CX291" s="1672"/>
      <c r="CY291" s="1681"/>
      <c r="CZ291" s="1672"/>
      <c r="DA291" s="1672"/>
      <c r="DB291" s="1672"/>
      <c r="DC291" s="1672"/>
      <c r="DD291" s="1672"/>
      <c r="DE291" s="1672"/>
      <c r="DF291" s="1672"/>
      <c r="DG291" s="1672"/>
      <c r="DH291" s="1672"/>
      <c r="DI291" s="1672"/>
      <c r="DJ291" s="1672"/>
      <c r="DK291" s="1672"/>
      <c r="DL291" s="1672"/>
    </row>
    <row r="292" spans="1:116" ht="12.75" hidden="1" customHeight="1">
      <c r="A292" s="1539"/>
      <c r="B292" s="1642"/>
      <c r="C292" s="1642"/>
      <c r="D292" s="1642"/>
      <c r="E292" s="1641"/>
      <c r="F292" s="1642"/>
      <c r="G292" s="1642"/>
      <c r="H292" s="1642"/>
      <c r="I292" s="1642"/>
      <c r="J292" s="1642"/>
      <c r="K292" s="1681"/>
      <c r="L292" s="1642"/>
      <c r="M292" s="1642"/>
      <c r="N292" s="1642"/>
      <c r="O292" s="1642"/>
      <c r="P292" s="1642"/>
      <c r="Q292" s="1642"/>
      <c r="R292" s="1642"/>
      <c r="S292" s="1642"/>
      <c r="T292" s="1642"/>
      <c r="U292" s="1642"/>
      <c r="V292" s="1642"/>
      <c r="W292" s="1642"/>
      <c r="X292" s="1642"/>
      <c r="Y292" s="1642"/>
      <c r="Z292" s="1642"/>
      <c r="AA292" s="1642"/>
      <c r="AB292" s="1642"/>
      <c r="AC292" s="1642"/>
      <c r="AD292" s="1642"/>
      <c r="AE292" s="1642"/>
      <c r="AF292" s="1641"/>
      <c r="AG292" s="1642"/>
      <c r="AH292" s="1642"/>
      <c r="AI292" s="1642"/>
      <c r="AJ292" s="1641"/>
      <c r="AK292" s="1642"/>
      <c r="AL292" s="1642"/>
      <c r="AM292" s="1642"/>
      <c r="AN292" s="1659"/>
      <c r="AO292" s="1642"/>
      <c r="AP292" s="1642"/>
      <c r="AQ292" s="1642"/>
      <c r="AR292" s="1641"/>
      <c r="AS292" s="1658"/>
      <c r="AT292" s="1642"/>
      <c r="AU292" s="1642"/>
      <c r="AV292" s="1641"/>
      <c r="AW292" s="1642"/>
      <c r="AX292" s="1642"/>
      <c r="AY292" s="1642"/>
      <c r="AZ292" s="1641"/>
      <c r="BA292" s="1642"/>
      <c r="BB292" s="1642"/>
      <c r="BC292" s="1642"/>
      <c r="BD292" s="1641"/>
      <c r="BE292" s="1642"/>
      <c r="BF292" s="1642"/>
      <c r="BG292" s="1642"/>
      <c r="BH292" s="1641"/>
      <c r="BI292" s="1642"/>
      <c r="BJ292" s="1642"/>
      <c r="BK292" s="1642"/>
      <c r="BL292" s="1641"/>
      <c r="BM292" s="1642"/>
      <c r="BN292" s="1642"/>
      <c r="BO292" s="1642"/>
      <c r="BP292" s="1641"/>
      <c r="BQ292" s="1642"/>
      <c r="BR292" s="1642"/>
      <c r="BS292" s="1642"/>
      <c r="BT292" s="1641"/>
      <c r="BU292" s="1642"/>
      <c r="BV292" s="1642"/>
      <c r="BW292" s="1642"/>
      <c r="BX292" s="1641"/>
      <c r="BY292" s="1642"/>
      <c r="BZ292" s="1642"/>
      <c r="CA292" s="1642"/>
      <c r="CB292" s="1641"/>
      <c r="CC292" s="1642"/>
      <c r="CD292" s="1642"/>
      <c r="CE292" s="1642"/>
      <c r="CF292" s="1641"/>
      <c r="CG292" s="1642"/>
      <c r="CH292" s="1642"/>
      <c r="CI292" s="1642"/>
      <c r="CJ292" s="1641"/>
      <c r="CK292" s="1642"/>
      <c r="CL292" s="1642"/>
      <c r="CM292" s="1681"/>
      <c r="CN292" s="1672"/>
      <c r="CO292" s="1672"/>
      <c r="CP292" s="1672"/>
      <c r="CQ292" s="1681"/>
      <c r="CR292" s="1672"/>
      <c r="CS292" s="1672"/>
      <c r="CT292" s="1672"/>
      <c r="CU292" s="1681"/>
      <c r="CV292" s="1672"/>
      <c r="CW292" s="1672"/>
      <c r="CX292" s="1672"/>
      <c r="CY292" s="1681"/>
      <c r="CZ292" s="1672"/>
      <c r="DA292" s="1672"/>
      <c r="DB292" s="1672"/>
      <c r="DC292" s="1672"/>
      <c r="DD292" s="1672"/>
      <c r="DE292" s="1672"/>
      <c r="DF292" s="1672"/>
      <c r="DG292" s="1672"/>
      <c r="DH292" s="1672"/>
      <c r="DI292" s="1672"/>
      <c r="DJ292" s="1672"/>
      <c r="DK292" s="1672"/>
      <c r="DL292" s="1672"/>
    </row>
    <row r="293" spans="1:116" ht="12.75" hidden="1" customHeight="1">
      <c r="A293" s="1539" t="s">
        <v>657</v>
      </c>
      <c r="B293" s="1642"/>
      <c r="C293" s="1642"/>
      <c r="D293" s="1642"/>
      <c r="E293" s="1641"/>
      <c r="F293" s="1642"/>
      <c r="G293" s="1642"/>
      <c r="H293" s="1642"/>
      <c r="I293" s="1642"/>
      <c r="J293" s="1642">
        <f>SUM(AZ293:BC293)</f>
        <v>966</v>
      </c>
      <c r="K293" s="1681">
        <f>SUM(BD293:BG293)</f>
        <v>1083</v>
      </c>
      <c r="L293" s="1642"/>
      <c r="M293" s="1642"/>
      <c r="N293" s="1642"/>
      <c r="O293" s="1642"/>
      <c r="P293" s="1642"/>
      <c r="Q293" s="1642"/>
      <c r="R293" s="1642"/>
      <c r="S293" s="1642"/>
      <c r="T293" s="1642"/>
      <c r="U293" s="1642"/>
      <c r="V293" s="1642"/>
      <c r="W293" s="1642"/>
      <c r="X293" s="1642"/>
      <c r="Y293" s="1642"/>
      <c r="Z293" s="1642"/>
      <c r="AA293" s="1642"/>
      <c r="AB293" s="1642"/>
      <c r="AC293" s="1642"/>
      <c r="AD293" s="1642"/>
      <c r="AE293" s="1642"/>
      <c r="AF293" s="1641"/>
      <c r="AG293" s="1642"/>
      <c r="AH293" s="1642"/>
      <c r="AI293" s="1642"/>
      <c r="AJ293" s="1641"/>
      <c r="AK293" s="1642"/>
      <c r="AL293" s="1642"/>
      <c r="AM293" s="1642"/>
      <c r="AN293" s="1641"/>
      <c r="AO293" s="1642"/>
      <c r="AP293" s="1642"/>
      <c r="AQ293" s="1642"/>
      <c r="AR293" s="1641"/>
      <c r="AS293" s="1642"/>
      <c r="AT293" s="1642"/>
      <c r="AU293" s="1642"/>
      <c r="AV293" s="1641"/>
      <c r="AW293" s="1642"/>
      <c r="AX293" s="1642"/>
      <c r="AY293" s="1642"/>
      <c r="AZ293" s="1641">
        <v>197</v>
      </c>
      <c r="BA293" s="1642">
        <v>240</v>
      </c>
      <c r="BB293" s="1642">
        <v>268</v>
      </c>
      <c r="BC293" s="1642">
        <v>261</v>
      </c>
      <c r="BD293" s="1641">
        <v>218</v>
      </c>
      <c r="BE293" s="1642">
        <v>257</v>
      </c>
      <c r="BF293" s="1642">
        <v>301</v>
      </c>
      <c r="BG293" s="1642">
        <v>307</v>
      </c>
      <c r="BH293" s="1641">
        <v>318</v>
      </c>
      <c r="BI293" s="1642">
        <v>453</v>
      </c>
      <c r="BJ293" s="1642">
        <v>478</v>
      </c>
      <c r="BK293" s="1642">
        <v>396</v>
      </c>
      <c r="BL293" s="1641">
        <v>433</v>
      </c>
      <c r="BM293" s="1642">
        <v>517</v>
      </c>
      <c r="BN293" s="1642">
        <v>574</v>
      </c>
      <c r="BO293" s="1642">
        <v>695</v>
      </c>
      <c r="BP293" s="1641">
        <v>631</v>
      </c>
      <c r="BQ293" s="1642">
        <v>729</v>
      </c>
      <c r="BR293" s="1642">
        <v>804</v>
      </c>
      <c r="BS293" s="1642">
        <v>812</v>
      </c>
      <c r="BT293" s="1641">
        <v>874</v>
      </c>
      <c r="BU293" s="1634">
        <v>952</v>
      </c>
      <c r="BV293" s="1634">
        <v>978</v>
      </c>
      <c r="BW293" s="1634">
        <v>990</v>
      </c>
      <c r="BX293" s="1641"/>
      <c r="BY293" s="1642"/>
      <c r="BZ293" s="1642"/>
      <c r="CA293" s="1642"/>
      <c r="CB293" s="1641"/>
      <c r="CC293" s="1642"/>
      <c r="CD293" s="1642"/>
      <c r="CE293" s="1642"/>
      <c r="CF293" s="1641"/>
      <c r="CG293" s="1642"/>
      <c r="CH293" s="1642"/>
      <c r="CI293" s="1642"/>
      <c r="CJ293" s="1641"/>
      <c r="CK293" s="1642"/>
      <c r="CL293" s="1642"/>
      <c r="CM293" s="1681"/>
      <c r="CN293" s="1672"/>
      <c r="CO293" s="1672"/>
      <c r="CP293" s="1672"/>
      <c r="CQ293" s="1681"/>
      <c r="CR293" s="1672"/>
      <c r="CS293" s="1672"/>
      <c r="CT293" s="1672"/>
      <c r="CU293" s="1681"/>
      <c r="CV293" s="1672"/>
      <c r="CW293" s="1672"/>
      <c r="CX293" s="1672"/>
      <c r="CY293" s="1681"/>
      <c r="CZ293" s="1672"/>
      <c r="DA293" s="1672"/>
      <c r="DB293" s="1672"/>
      <c r="DC293" s="1672"/>
      <c r="DD293" s="1672"/>
      <c r="DE293" s="1672"/>
      <c r="DF293" s="1672"/>
      <c r="DG293" s="1672"/>
      <c r="DH293" s="1672"/>
      <c r="DI293" s="1672"/>
      <c r="DJ293" s="1672"/>
      <c r="DK293" s="1672"/>
      <c r="DL293" s="1672"/>
    </row>
    <row r="294" spans="1:116" ht="12.75" hidden="1" customHeight="1">
      <c r="A294" s="1627" t="s">
        <v>684</v>
      </c>
      <c r="B294" s="1759"/>
      <c r="C294" s="1759"/>
      <c r="D294" s="1759"/>
      <c r="E294" s="1760"/>
      <c r="F294" s="1642"/>
      <c r="G294" s="1642"/>
      <c r="H294" s="1642"/>
      <c r="I294" s="1642"/>
      <c r="J294" s="1642"/>
      <c r="K294" s="1681"/>
      <c r="L294" s="1642"/>
      <c r="M294" s="1642"/>
      <c r="N294" s="1642"/>
      <c r="O294" s="1642"/>
      <c r="P294" s="1642"/>
      <c r="Q294" s="1642"/>
      <c r="R294" s="1642"/>
      <c r="S294" s="1642"/>
      <c r="T294" s="1642"/>
      <c r="U294" s="1642"/>
      <c r="V294" s="1642"/>
      <c r="W294" s="1642"/>
      <c r="X294" s="1642"/>
      <c r="Y294" s="1642"/>
      <c r="Z294" s="1642"/>
      <c r="AA294" s="1642"/>
      <c r="AB294" s="1642"/>
      <c r="AC294" s="1642"/>
      <c r="AD294" s="1642"/>
      <c r="AE294" s="1642"/>
      <c r="AF294" s="1641"/>
      <c r="AG294" s="1642"/>
      <c r="AH294" s="1642"/>
      <c r="AI294" s="1642"/>
      <c r="AJ294" s="1641"/>
      <c r="AK294" s="1642"/>
      <c r="AL294" s="1642"/>
      <c r="AM294" s="1642"/>
      <c r="AN294" s="1641"/>
      <c r="AO294" s="1642"/>
      <c r="AP294" s="1642"/>
      <c r="AQ294" s="1642"/>
      <c r="AR294" s="1641"/>
      <c r="AS294" s="1642"/>
      <c r="AT294" s="1642"/>
      <c r="AU294" s="1642"/>
      <c r="AV294" s="1641"/>
      <c r="AW294" s="1642"/>
      <c r="AX294" s="1642"/>
      <c r="AY294" s="1642"/>
      <c r="AZ294" s="1641"/>
      <c r="BA294" s="1642"/>
      <c r="BB294" s="1642"/>
      <c r="BC294" s="1642"/>
      <c r="BD294" s="1641"/>
      <c r="BE294" s="1642"/>
      <c r="BF294" s="1642"/>
      <c r="BG294" s="1642"/>
      <c r="BH294" s="1641"/>
      <c r="BI294" s="1642"/>
      <c r="BJ294" s="1642"/>
      <c r="BK294" s="1642"/>
      <c r="BL294" s="1641"/>
      <c r="BM294" s="1642"/>
      <c r="BN294" s="1642"/>
      <c r="BO294" s="1642"/>
      <c r="BP294" s="1641"/>
      <c r="BQ294" s="1642"/>
      <c r="BR294" s="1642"/>
      <c r="BS294" s="1642"/>
      <c r="BT294" s="1641"/>
      <c r="BU294" s="1642"/>
      <c r="BV294" s="1642"/>
      <c r="BW294" s="1642"/>
      <c r="BX294" s="1641"/>
      <c r="BY294" s="1642"/>
      <c r="BZ294" s="1642"/>
      <c r="CA294" s="1642"/>
      <c r="CB294" s="1641"/>
      <c r="CC294" s="1642"/>
      <c r="CD294" s="1642"/>
      <c r="CE294" s="1642"/>
      <c r="CF294" s="1641"/>
      <c r="CG294" s="1642"/>
      <c r="CH294" s="1642"/>
      <c r="CI294" s="1642"/>
      <c r="CJ294" s="1641"/>
      <c r="CK294" s="1642"/>
      <c r="CL294" s="1642"/>
      <c r="CM294" s="1681"/>
      <c r="CN294" s="1672"/>
      <c r="CO294" s="1672"/>
      <c r="CP294" s="1672"/>
      <c r="CQ294" s="1681"/>
      <c r="CR294" s="1672"/>
      <c r="CS294" s="1672"/>
      <c r="CT294" s="1672"/>
      <c r="CU294" s="1681"/>
      <c r="CV294" s="1672"/>
      <c r="CW294" s="1672"/>
      <c r="CX294" s="1672"/>
      <c r="CY294" s="1681"/>
      <c r="CZ294" s="1672"/>
      <c r="DA294" s="1672"/>
      <c r="DB294" s="1672"/>
      <c r="DC294" s="1672"/>
      <c r="DD294" s="1672"/>
      <c r="DE294" s="1672"/>
      <c r="DF294" s="1672"/>
      <c r="DG294" s="1672"/>
      <c r="DH294" s="1672"/>
      <c r="DI294" s="1672"/>
      <c r="DJ294" s="1672"/>
      <c r="DK294" s="1672"/>
      <c r="DL294" s="1672"/>
    </row>
    <row r="295" spans="1:116" ht="12.75" hidden="1" customHeight="1">
      <c r="A295" s="1539" t="s">
        <v>685</v>
      </c>
      <c r="B295" s="1642"/>
      <c r="C295" s="1642"/>
      <c r="D295" s="1770" t="s">
        <v>1431</v>
      </c>
      <c r="E295" s="1641"/>
      <c r="F295" s="1642">
        <f>G295-G297</f>
        <v>20995</v>
      </c>
      <c r="G295" s="1642">
        <f>AQ295</f>
        <v>23791</v>
      </c>
      <c r="H295" s="1642">
        <f>AU295</f>
        <v>26774</v>
      </c>
      <c r="I295" s="1642">
        <f>AY295</f>
        <v>29398</v>
      </c>
      <c r="J295" s="1642">
        <f>BC295</f>
        <v>32491</v>
      </c>
      <c r="K295" s="1681">
        <f>BG295</f>
        <v>37522</v>
      </c>
      <c r="L295" s="1642"/>
      <c r="M295" s="1642"/>
      <c r="N295" s="1642"/>
      <c r="O295" s="1642"/>
      <c r="P295" s="1642"/>
      <c r="Q295" s="1642"/>
      <c r="R295" s="1642"/>
      <c r="S295" s="1642"/>
      <c r="T295" s="1642"/>
      <c r="U295" s="1642"/>
      <c r="V295" s="1642"/>
      <c r="W295" s="1642"/>
      <c r="X295" s="1642"/>
      <c r="Y295" s="1642"/>
      <c r="Z295" s="1642"/>
      <c r="AA295" s="1642"/>
      <c r="AB295" s="1642"/>
      <c r="AC295" s="1642"/>
      <c r="AD295" s="1642"/>
      <c r="AE295" s="1642"/>
      <c r="AF295" s="1641"/>
      <c r="AG295" s="1642"/>
      <c r="AH295" s="1642"/>
      <c r="AI295" s="1642"/>
      <c r="AJ295" s="1641"/>
      <c r="AK295" s="1642"/>
      <c r="AL295" s="1642"/>
      <c r="AM295" s="1642"/>
      <c r="AN295" s="1641">
        <v>21692</v>
      </c>
      <c r="AO295" s="1642">
        <v>22348</v>
      </c>
      <c r="AP295" s="1642">
        <v>22929</v>
      </c>
      <c r="AQ295" s="1642">
        <v>23791</v>
      </c>
      <c r="AR295" s="1641">
        <v>24842</v>
      </c>
      <c r="AS295" s="1642">
        <f>AT295-AT297</f>
        <v>24746</v>
      </c>
      <c r="AT295" s="1642">
        <v>25552</v>
      </c>
      <c r="AU295" s="1642">
        <v>26774</v>
      </c>
      <c r="AV295" s="1641">
        <v>27122</v>
      </c>
      <c r="AW295" s="1642">
        <v>27930</v>
      </c>
      <c r="AX295" s="1642">
        <v>28682</v>
      </c>
      <c r="AY295" s="1642">
        <v>29398</v>
      </c>
      <c r="AZ295" s="1641">
        <v>29584</v>
      </c>
      <c r="BA295" s="1642">
        <v>30307</v>
      </c>
      <c r="BB295" s="1642">
        <v>31521</v>
      </c>
      <c r="BC295" s="1642">
        <v>32491</v>
      </c>
      <c r="BD295" s="1641">
        <v>33324</v>
      </c>
      <c r="BE295" s="1642">
        <v>34619</v>
      </c>
      <c r="BF295" s="1642">
        <v>36026</v>
      </c>
      <c r="BG295" s="1642">
        <v>37522</v>
      </c>
      <c r="BH295" s="1641">
        <v>38909</v>
      </c>
      <c r="BI295" s="1642">
        <v>40444</v>
      </c>
      <c r="BJ295" s="1642">
        <v>42118</v>
      </c>
      <c r="BK295" s="1642">
        <v>43816</v>
      </c>
      <c r="BL295" s="1641">
        <v>45452</v>
      </c>
      <c r="BM295" s="1642">
        <v>47373</v>
      </c>
      <c r="BN295" s="1642">
        <v>49291</v>
      </c>
      <c r="BO295" s="1642">
        <f>BP295-1683</f>
        <v>51337</v>
      </c>
      <c r="BP295" s="1641">
        <v>53020</v>
      </c>
      <c r="BQ295" s="1642">
        <v>54835</v>
      </c>
      <c r="BR295" s="1642">
        <v>56747</v>
      </c>
      <c r="BS295" s="1642">
        <v>59052</v>
      </c>
      <c r="BT295" s="1641">
        <v>60716</v>
      </c>
      <c r="BU295" s="1642">
        <v>62054</v>
      </c>
      <c r="BV295" s="1634">
        <v>63699</v>
      </c>
      <c r="BW295" s="1634">
        <v>65707</v>
      </c>
      <c r="BX295" s="1633">
        <v>67178</v>
      </c>
      <c r="BY295" s="1634">
        <v>68681</v>
      </c>
      <c r="BZ295" s="1634">
        <v>70808</v>
      </c>
      <c r="CA295" s="1634">
        <v>72056</v>
      </c>
      <c r="CB295" s="1633"/>
      <c r="CC295" s="1634"/>
      <c r="CD295" s="1634"/>
      <c r="CE295" s="1634"/>
      <c r="CF295" s="1641"/>
      <c r="CG295" s="1642"/>
      <c r="CH295" s="1642"/>
      <c r="CI295" s="1642"/>
      <c r="CJ295" s="1641"/>
      <c r="CK295" s="1642"/>
      <c r="CL295" s="1642"/>
      <c r="CM295" s="1681"/>
      <c r="CN295" s="1672"/>
      <c r="CO295" s="1672"/>
      <c r="CP295" s="1672"/>
      <c r="CQ295" s="1681"/>
      <c r="CR295" s="1672"/>
      <c r="CS295" s="1672"/>
      <c r="CT295" s="1672"/>
      <c r="CU295" s="1681"/>
      <c r="CV295" s="1672"/>
      <c r="CW295" s="1672"/>
      <c r="CX295" s="1672"/>
      <c r="CY295" s="1681"/>
      <c r="CZ295" s="1672"/>
      <c r="DA295" s="1672"/>
      <c r="DB295" s="1672"/>
      <c r="DC295" s="1672"/>
      <c r="DD295" s="1672"/>
      <c r="DE295" s="1672"/>
      <c r="DF295" s="1672"/>
      <c r="DG295" s="1672"/>
      <c r="DH295" s="1672"/>
      <c r="DI295" s="1672"/>
      <c r="DJ295" s="1672"/>
      <c r="DK295" s="1672"/>
      <c r="DL295" s="1672"/>
    </row>
    <row r="296" spans="1:116" ht="12.75" hidden="1" customHeight="1">
      <c r="A296" s="1539" t="s">
        <v>401</v>
      </c>
      <c r="B296" s="1642"/>
      <c r="C296" s="1642"/>
      <c r="D296" s="1642"/>
      <c r="E296" s="1641"/>
      <c r="F296" s="1642"/>
      <c r="G296" s="1642">
        <f>AQ296</f>
        <v>0.12</v>
      </c>
      <c r="H296" s="1642">
        <f>AU296</f>
        <v>0.14000000000000001</v>
      </c>
      <c r="I296" s="1642">
        <f>AY296</f>
        <v>0.13300000000000001</v>
      </c>
      <c r="J296" s="1642">
        <f>BC296</f>
        <v>0.14299999999999999</v>
      </c>
      <c r="K296" s="1681">
        <f>BG296</f>
        <v>0.16</v>
      </c>
      <c r="L296" s="1642"/>
      <c r="M296" s="1642"/>
      <c r="N296" s="1642"/>
      <c r="O296" s="1642"/>
      <c r="P296" s="1642"/>
      <c r="Q296" s="1642"/>
      <c r="R296" s="1642"/>
      <c r="S296" s="1642"/>
      <c r="T296" s="1642"/>
      <c r="U296" s="1642"/>
      <c r="V296" s="1642"/>
      <c r="W296" s="1642"/>
      <c r="X296" s="1642"/>
      <c r="Y296" s="1642"/>
      <c r="Z296" s="1642"/>
      <c r="AA296" s="1642"/>
      <c r="AB296" s="1642"/>
      <c r="AC296" s="1642"/>
      <c r="AD296" s="1642"/>
      <c r="AE296" s="1642"/>
      <c r="AF296" s="1641"/>
      <c r="AG296" s="1642"/>
      <c r="AH296" s="1642"/>
      <c r="AI296" s="1642"/>
      <c r="AJ296" s="1641"/>
      <c r="AK296" s="1642"/>
      <c r="AL296" s="1642"/>
      <c r="AM296" s="1642"/>
      <c r="AN296" s="1641">
        <v>0.11</v>
      </c>
      <c r="AO296" s="1642">
        <v>0.11</v>
      </c>
      <c r="AP296" s="1642">
        <v>0.11</v>
      </c>
      <c r="AQ296" s="1642">
        <v>0.12</v>
      </c>
      <c r="AR296" s="1641">
        <v>0.12</v>
      </c>
      <c r="AS296" s="1642">
        <v>0.13</v>
      </c>
      <c r="AT296" s="1642">
        <v>0.122</v>
      </c>
      <c r="AU296" s="1642">
        <v>0.14000000000000001</v>
      </c>
      <c r="AV296" s="1641">
        <v>0.13300000000000001</v>
      </c>
      <c r="AW296" s="1642">
        <v>0.13700000000000001</v>
      </c>
      <c r="AX296" s="1642">
        <v>0.13</v>
      </c>
      <c r="AY296" s="1642">
        <v>0.13300000000000001</v>
      </c>
      <c r="AZ296" s="1641">
        <v>0.13300000000000001</v>
      </c>
      <c r="BA296" s="1642">
        <v>0.13600000000000001</v>
      </c>
      <c r="BB296" s="1642">
        <v>0.13900000000000001</v>
      </c>
      <c r="BC296" s="1642">
        <v>0.14299999999999999</v>
      </c>
      <c r="BD296" s="1641">
        <v>0.14299999999999999</v>
      </c>
      <c r="BE296" s="1642">
        <v>0.14799999999999999</v>
      </c>
      <c r="BF296" s="1642">
        <v>0.154</v>
      </c>
      <c r="BG296" s="1642">
        <v>0.16</v>
      </c>
      <c r="BH296" s="1641">
        <v>0.16200000000000001</v>
      </c>
      <c r="BI296" s="1642">
        <v>0.16800000000000001</v>
      </c>
      <c r="BJ296" s="1642">
        <v>0.17499999999999999</v>
      </c>
      <c r="BK296" s="1642">
        <v>0.18</v>
      </c>
      <c r="BL296" s="1641">
        <v>0.185</v>
      </c>
      <c r="BM296" s="1642">
        <v>0.192</v>
      </c>
      <c r="BN296" s="1642">
        <v>0.19900000000000001</v>
      </c>
      <c r="BO296" s="1642">
        <v>0.20499999999999999</v>
      </c>
      <c r="BP296" s="1641">
        <v>0.20799999999999999</v>
      </c>
      <c r="BQ296" s="1642">
        <v>0.215</v>
      </c>
      <c r="BR296" s="1642">
        <v>0.222</v>
      </c>
      <c r="BS296" s="1642">
        <v>0.23100000000000001</v>
      </c>
      <c r="BT296" s="1641" t="s">
        <v>669</v>
      </c>
      <c r="BU296" s="1642" t="s">
        <v>669</v>
      </c>
      <c r="BV296" s="1634" t="s">
        <v>669</v>
      </c>
      <c r="BW296" s="1634">
        <v>0</v>
      </c>
      <c r="BX296" s="1633">
        <v>0</v>
      </c>
      <c r="BY296" s="1634">
        <v>0</v>
      </c>
      <c r="BZ296" s="1634"/>
      <c r="CA296" s="1634"/>
      <c r="CB296" s="1633"/>
      <c r="CC296" s="1634"/>
      <c r="CD296" s="1634"/>
      <c r="CE296" s="1634"/>
      <c r="CF296" s="1641"/>
      <c r="CG296" s="1642"/>
      <c r="CH296" s="1642"/>
      <c r="CI296" s="1642"/>
      <c r="CJ296" s="1641"/>
      <c r="CK296" s="1642"/>
      <c r="CL296" s="1642"/>
      <c r="CM296" s="1681"/>
      <c r="CN296" s="1672"/>
      <c r="CO296" s="1672"/>
      <c r="CP296" s="1672"/>
      <c r="CQ296" s="1681"/>
      <c r="CR296" s="1672"/>
      <c r="CS296" s="1672"/>
      <c r="CT296" s="1672"/>
      <c r="CU296" s="1681"/>
      <c r="CV296" s="1672"/>
      <c r="CW296" s="1672"/>
      <c r="CX296" s="1672"/>
      <c r="CY296" s="1681"/>
      <c r="CZ296" s="1672"/>
      <c r="DA296" s="1672"/>
      <c r="DB296" s="1672"/>
      <c r="DC296" s="1672"/>
      <c r="DD296" s="1672"/>
      <c r="DE296" s="1672"/>
      <c r="DF296" s="1672"/>
      <c r="DG296" s="1672"/>
      <c r="DH296" s="1672"/>
      <c r="DI296" s="1672"/>
      <c r="DJ296" s="1672"/>
      <c r="DK296" s="1672"/>
      <c r="DL296" s="1672"/>
    </row>
    <row r="297" spans="1:116" ht="12.75" hidden="1" customHeight="1">
      <c r="A297" s="1539" t="s">
        <v>686</v>
      </c>
      <c r="B297" s="1642"/>
      <c r="C297" s="1642"/>
      <c r="D297" s="1642"/>
      <c r="E297" s="1641"/>
      <c r="F297" s="1642"/>
      <c r="G297" s="1642">
        <f>SUM(AN297:AQ297)</f>
        <v>2796</v>
      </c>
      <c r="H297" s="1642">
        <f>AU297</f>
        <v>1222</v>
      </c>
      <c r="I297" s="1642">
        <f>AY297</f>
        <v>715</v>
      </c>
      <c r="J297" s="1642">
        <f>BC297</f>
        <v>970</v>
      </c>
      <c r="K297" s="1681">
        <f>BG297</f>
        <v>1496</v>
      </c>
      <c r="L297" s="1642"/>
      <c r="M297" s="1642"/>
      <c r="N297" s="1642"/>
      <c r="O297" s="1642"/>
      <c r="P297" s="1642"/>
      <c r="Q297" s="1642"/>
      <c r="R297" s="1642"/>
      <c r="S297" s="1642"/>
      <c r="T297" s="1642"/>
      <c r="U297" s="1642"/>
      <c r="V297" s="1642"/>
      <c r="W297" s="1642"/>
      <c r="X297" s="1642"/>
      <c r="Y297" s="1642"/>
      <c r="Z297" s="1642"/>
      <c r="AA297" s="1642"/>
      <c r="AB297" s="1642"/>
      <c r="AC297" s="1642"/>
      <c r="AD297" s="1642"/>
      <c r="AE297" s="1642"/>
      <c r="AF297" s="1641"/>
      <c r="AG297" s="1642"/>
      <c r="AH297" s="1642"/>
      <c r="AI297" s="1642"/>
      <c r="AJ297" s="1641"/>
      <c r="AK297" s="1642"/>
      <c r="AL297" s="1642"/>
      <c r="AM297" s="1642"/>
      <c r="AN297" s="1641">
        <v>697</v>
      </c>
      <c r="AO297" s="1642">
        <v>656</v>
      </c>
      <c r="AP297" s="1642">
        <f>AP295-AO295</f>
        <v>581</v>
      </c>
      <c r="AQ297" s="1642">
        <f>AQ295-AP295</f>
        <v>862</v>
      </c>
      <c r="AR297" s="1641">
        <f>AR295-AQ295</f>
        <v>1051</v>
      </c>
      <c r="AS297" s="1642">
        <f>AS295-AR295</f>
        <v>-96</v>
      </c>
      <c r="AT297" s="1642">
        <v>806</v>
      </c>
      <c r="AU297" s="1642">
        <f>AU295-AT295</f>
        <v>1222</v>
      </c>
      <c r="AV297" s="1641">
        <v>518</v>
      </c>
      <c r="AW297" s="1642">
        <v>808</v>
      </c>
      <c r="AX297" s="1642">
        <v>752</v>
      </c>
      <c r="AY297" s="1642">
        <v>715</v>
      </c>
      <c r="AZ297" s="1641">
        <v>186</v>
      </c>
      <c r="BA297" s="1642">
        <v>723</v>
      </c>
      <c r="BB297" s="1642">
        <v>1214</v>
      </c>
      <c r="BC297" s="1642">
        <v>970</v>
      </c>
      <c r="BD297" s="1641">
        <v>833</v>
      </c>
      <c r="BE297" s="1642">
        <v>1295</v>
      </c>
      <c r="BF297" s="1642">
        <v>1407</v>
      </c>
      <c r="BG297" s="1642">
        <v>1496</v>
      </c>
      <c r="BH297" s="1641">
        <v>1387</v>
      </c>
      <c r="BI297" s="1642">
        <v>1535</v>
      </c>
      <c r="BJ297" s="1642">
        <v>1674</v>
      </c>
      <c r="BK297" s="1642">
        <v>1698</v>
      </c>
      <c r="BL297" s="1641">
        <v>1636</v>
      </c>
      <c r="BM297" s="1642">
        <v>1921</v>
      </c>
      <c r="BN297" s="1642">
        <v>1918</v>
      </c>
      <c r="BO297" s="1642">
        <v>2046</v>
      </c>
      <c r="BP297" s="1641">
        <v>1683</v>
      </c>
      <c r="BQ297" s="1642">
        <v>1815</v>
      </c>
      <c r="BR297" s="1634">
        <v>1912</v>
      </c>
      <c r="BS297" s="1634">
        <v>2305</v>
      </c>
      <c r="BT297" s="1633">
        <v>1664</v>
      </c>
      <c r="BU297" s="1634">
        <v>1338</v>
      </c>
      <c r="BV297" s="1634">
        <v>1645</v>
      </c>
      <c r="BW297" s="1634">
        <v>2008</v>
      </c>
      <c r="BX297" s="1633">
        <v>1471</v>
      </c>
      <c r="BY297" s="1634">
        <v>1503</v>
      </c>
      <c r="BZ297" s="1634">
        <v>2127</v>
      </c>
      <c r="CA297" s="1634">
        <v>1248</v>
      </c>
      <c r="CB297" s="1633"/>
      <c r="CC297" s="1634"/>
      <c r="CD297" s="1634"/>
      <c r="CE297" s="1634"/>
      <c r="CF297" s="1641"/>
      <c r="CG297" s="1642"/>
      <c r="CH297" s="1642"/>
      <c r="CI297" s="1642"/>
      <c r="CJ297" s="1641"/>
      <c r="CK297" s="1642"/>
      <c r="CL297" s="1642"/>
      <c r="CM297" s="1681"/>
      <c r="CN297" s="1672"/>
      <c r="CO297" s="1672"/>
      <c r="CP297" s="1672"/>
      <c r="CQ297" s="1681"/>
      <c r="CR297" s="1672"/>
      <c r="CS297" s="1672"/>
      <c r="CT297" s="1672"/>
      <c r="CU297" s="1681"/>
      <c r="CV297" s="1672"/>
      <c r="CW297" s="1672"/>
      <c r="CX297" s="1672"/>
      <c r="CY297" s="1681"/>
      <c r="CZ297" s="1672"/>
      <c r="DA297" s="1672"/>
      <c r="DB297" s="1672"/>
      <c r="DC297" s="1672"/>
      <c r="DD297" s="1672"/>
      <c r="DE297" s="1672"/>
      <c r="DF297" s="1672"/>
      <c r="DG297" s="1672"/>
      <c r="DH297" s="1672"/>
      <c r="DI297" s="1672"/>
      <c r="DJ297" s="1672"/>
      <c r="DK297" s="1672"/>
      <c r="DL297" s="1672"/>
    </row>
    <row r="298" spans="1:116" ht="12.75" hidden="1" customHeight="1">
      <c r="A298" s="1539" t="s">
        <v>9</v>
      </c>
      <c r="B298" s="1642"/>
      <c r="C298" s="1642"/>
      <c r="D298" s="1642"/>
      <c r="E298" s="1641"/>
      <c r="F298" s="1642"/>
      <c r="G298" s="1642" t="s">
        <v>1090</v>
      </c>
      <c r="H298" s="1642"/>
      <c r="I298" s="1642"/>
      <c r="J298" s="1642"/>
      <c r="K298" s="1681"/>
      <c r="L298" s="1642"/>
      <c r="M298" s="1642"/>
      <c r="N298" s="1642"/>
      <c r="O298" s="1642"/>
      <c r="P298" s="1642"/>
      <c r="Q298" s="1642"/>
      <c r="R298" s="1642"/>
      <c r="S298" s="1642"/>
      <c r="T298" s="1642"/>
      <c r="U298" s="1642"/>
      <c r="V298" s="1642"/>
      <c r="W298" s="1642"/>
      <c r="X298" s="1642"/>
      <c r="Y298" s="1642"/>
      <c r="Z298" s="1642"/>
      <c r="AA298" s="1642"/>
      <c r="AB298" s="1642"/>
      <c r="AC298" s="1642"/>
      <c r="AD298" s="1642"/>
      <c r="AE298" s="1642"/>
      <c r="AF298" s="1641"/>
      <c r="AG298" s="1642"/>
      <c r="AH298" s="1642"/>
      <c r="AI298" s="1642"/>
      <c r="AJ298" s="1641"/>
      <c r="AK298" s="1642"/>
      <c r="AL298" s="1642"/>
      <c r="AM298" s="1642"/>
      <c r="AN298" s="1641">
        <v>2.1000000000000001E-2</v>
      </c>
      <c r="AO298" s="1642">
        <v>1.9E-2</v>
      </c>
      <c r="AP298" s="1642">
        <v>2.1000000000000001E-2</v>
      </c>
      <c r="AQ298" s="1642">
        <v>2.3E-2</v>
      </c>
      <c r="AR298" s="1641">
        <v>2.1999999999999999E-2</v>
      </c>
      <c r="AS298" s="1642">
        <v>2.1000000000000001E-2</v>
      </c>
      <c r="AT298" s="1642">
        <v>2.5999999999999999E-2</v>
      </c>
      <c r="AU298" s="1642">
        <v>2.7E-2</v>
      </c>
      <c r="AV298" s="1641">
        <v>2.8000000000000001E-2</v>
      </c>
      <c r="AW298" s="1642">
        <v>2.3E-2</v>
      </c>
      <c r="AX298" s="1642">
        <v>2.1999999999999999E-2</v>
      </c>
      <c r="AY298" s="1642">
        <v>2.7E-2</v>
      </c>
      <c r="AZ298" s="1641">
        <v>2.5999999999999999E-2</v>
      </c>
      <c r="BA298" s="1642">
        <v>2.3E-2</v>
      </c>
      <c r="BB298" s="1642">
        <v>2.3E-2</v>
      </c>
      <c r="BC298" s="1642">
        <v>2.1000000000000001E-2</v>
      </c>
      <c r="BD298" s="1641">
        <v>2.1000000000000001E-2</v>
      </c>
      <c r="BE298" s="1642">
        <v>1.7000000000000001E-2</v>
      </c>
      <c r="BF298" s="1642">
        <v>1.9E-2</v>
      </c>
      <c r="BG298" s="1642">
        <v>1.7000000000000001E-2</v>
      </c>
      <c r="BH298" s="1641">
        <v>1.6E-2</v>
      </c>
      <c r="BI298" s="1642">
        <v>1.4E-2</v>
      </c>
      <c r="BJ298" s="1642">
        <v>1.4999999999999999E-2</v>
      </c>
      <c r="BK298" s="1642">
        <v>1.4E-2</v>
      </c>
      <c r="BL298" s="1641">
        <v>1.2999999999999999E-2</v>
      </c>
      <c r="BM298" s="1642">
        <v>1.2E-2</v>
      </c>
      <c r="BN298" s="1642">
        <v>1.2999999999999999E-2</v>
      </c>
      <c r="BO298" s="1642">
        <v>1.2E-2</v>
      </c>
      <c r="BP298" s="1641">
        <v>1.18E-2</v>
      </c>
      <c r="BQ298" s="1642">
        <v>1.1299999999999999E-2</v>
      </c>
      <c r="BR298" s="1642">
        <v>1.24E-2</v>
      </c>
      <c r="BS298" s="1642">
        <v>1.14E-2</v>
      </c>
      <c r="BT298" s="1641">
        <v>1.1299999999999999E-2</v>
      </c>
      <c r="BU298" s="1642">
        <v>1.26E-2</v>
      </c>
      <c r="BV298" s="1634">
        <v>1.2699999999999999E-2</v>
      </c>
      <c r="BW298" s="1634">
        <v>1.2E-2</v>
      </c>
      <c r="BX298" s="1633">
        <v>1.1900000000000001E-2</v>
      </c>
      <c r="BY298" s="1634">
        <v>1.12E-2</v>
      </c>
      <c r="BZ298" s="1634">
        <v>1.3299999999999999E-2</v>
      </c>
      <c r="CA298" s="1634">
        <v>1.35E-2</v>
      </c>
      <c r="CB298" s="1633"/>
      <c r="CC298" s="1634"/>
      <c r="CD298" s="1634"/>
      <c r="CE298" s="1634"/>
      <c r="CF298" s="1641"/>
      <c r="CG298" s="1642"/>
      <c r="CH298" s="1642"/>
      <c r="CI298" s="1642"/>
      <c r="CJ298" s="1641"/>
      <c r="CK298" s="1642"/>
      <c r="CL298" s="1642"/>
      <c r="CM298" s="1681"/>
      <c r="CN298" s="1672"/>
      <c r="CO298" s="1672"/>
      <c r="CP298" s="1672"/>
      <c r="CQ298" s="1681"/>
      <c r="CR298" s="1672"/>
      <c r="CS298" s="1672"/>
      <c r="CT298" s="1672"/>
      <c r="CU298" s="1681"/>
      <c r="CV298" s="1672"/>
      <c r="CW298" s="1672"/>
      <c r="CX298" s="1672"/>
      <c r="CY298" s="1681"/>
      <c r="CZ298" s="1672"/>
      <c r="DA298" s="1672"/>
      <c r="DB298" s="1672"/>
      <c r="DC298" s="1672"/>
      <c r="DD298" s="1672"/>
      <c r="DE298" s="1672"/>
      <c r="DF298" s="1672"/>
      <c r="DG298" s="1672"/>
      <c r="DH298" s="1672"/>
      <c r="DI298" s="1672"/>
      <c r="DJ298" s="1672"/>
      <c r="DK298" s="1672"/>
      <c r="DL298" s="1672"/>
    </row>
    <row r="299" spans="1:116" ht="12.75" hidden="1" customHeight="1">
      <c r="A299" s="1539"/>
      <c r="B299" s="1642"/>
      <c r="C299" s="1642"/>
      <c r="D299" s="1642"/>
      <c r="E299" s="1641"/>
      <c r="F299" s="1642"/>
      <c r="G299" s="1642"/>
      <c r="H299" s="1642"/>
      <c r="I299" s="1642"/>
      <c r="J299" s="1642"/>
      <c r="K299" s="1681"/>
      <c r="L299" s="1642"/>
      <c r="M299" s="1642"/>
      <c r="N299" s="1642"/>
      <c r="O299" s="1642"/>
      <c r="P299" s="1642"/>
      <c r="Q299" s="1642"/>
      <c r="R299" s="1642"/>
      <c r="S299" s="1642"/>
      <c r="T299" s="1642"/>
      <c r="U299" s="1642"/>
      <c r="V299" s="1642"/>
      <c r="W299" s="1642"/>
      <c r="X299" s="1642"/>
      <c r="Y299" s="1642"/>
      <c r="Z299" s="1642"/>
      <c r="AA299" s="1642"/>
      <c r="AB299" s="1642"/>
      <c r="AC299" s="1642"/>
      <c r="AD299" s="1642"/>
      <c r="AE299" s="1642"/>
      <c r="AF299" s="1641"/>
      <c r="AG299" s="1642"/>
      <c r="AH299" s="1642"/>
      <c r="AI299" s="1642"/>
      <c r="AJ299" s="1641"/>
      <c r="AK299" s="1642"/>
      <c r="AL299" s="1642"/>
      <c r="AM299" s="1642"/>
      <c r="AN299" s="1641"/>
      <c r="AO299" s="1642"/>
      <c r="AP299" s="1642"/>
      <c r="AQ299" s="1642"/>
      <c r="AR299" s="1641"/>
      <c r="AS299" s="1642"/>
      <c r="AT299" s="1642"/>
      <c r="AU299" s="1642"/>
      <c r="AV299" s="1641"/>
      <c r="AW299" s="1642"/>
      <c r="AX299" s="1642"/>
      <c r="AY299" s="1642"/>
      <c r="AZ299" s="1641"/>
      <c r="BA299" s="1642"/>
      <c r="BB299" s="1642"/>
      <c r="BC299" s="1642"/>
      <c r="BD299" s="1641"/>
      <c r="BE299" s="1642"/>
      <c r="BF299" s="1642"/>
      <c r="BG299" s="1642"/>
      <c r="BH299" s="1641"/>
      <c r="BI299" s="1642"/>
      <c r="BJ299" s="1642"/>
      <c r="BK299" s="1642"/>
      <c r="BL299" s="1641"/>
      <c r="BM299" s="1642"/>
      <c r="BN299" s="1642"/>
      <c r="BO299" s="1642"/>
      <c r="BP299" s="1641"/>
      <c r="BQ299" s="1642"/>
      <c r="BR299" s="1642"/>
      <c r="BS299" s="1642"/>
      <c r="BT299" s="1641"/>
      <c r="BU299" s="1642"/>
      <c r="BV299" s="1634"/>
      <c r="BW299" s="1634"/>
      <c r="BX299" s="1633"/>
      <c r="BY299" s="1634"/>
      <c r="BZ299" s="1634"/>
      <c r="CA299" s="1634"/>
      <c r="CB299" s="1633"/>
      <c r="CC299" s="1634"/>
      <c r="CD299" s="1634"/>
      <c r="CE299" s="1634"/>
      <c r="CF299" s="1641"/>
      <c r="CG299" s="1642"/>
      <c r="CH299" s="1642"/>
      <c r="CI299" s="1642"/>
      <c r="CJ299" s="1641"/>
      <c r="CK299" s="1642"/>
      <c r="CL299" s="1642"/>
      <c r="CM299" s="1681"/>
      <c r="CN299" s="1672"/>
      <c r="CO299" s="1672"/>
      <c r="CP299" s="1672"/>
      <c r="CQ299" s="1681"/>
      <c r="CR299" s="1672"/>
      <c r="CS299" s="1672"/>
      <c r="CT299" s="1672"/>
      <c r="CU299" s="1681"/>
      <c r="CV299" s="1672"/>
      <c r="CW299" s="1672"/>
      <c r="CX299" s="1672"/>
      <c r="CY299" s="1681"/>
      <c r="CZ299" s="1672"/>
      <c r="DA299" s="1672"/>
      <c r="DB299" s="1672"/>
      <c r="DC299" s="1672"/>
      <c r="DD299" s="1672"/>
      <c r="DE299" s="1672"/>
      <c r="DF299" s="1672"/>
      <c r="DG299" s="1672"/>
      <c r="DH299" s="1672"/>
      <c r="DI299" s="1672"/>
      <c r="DJ299" s="1672"/>
      <c r="DK299" s="1672"/>
      <c r="DL299" s="1672"/>
    </row>
    <row r="300" spans="1:116" ht="12.75" customHeight="1">
      <c r="A300" s="1539"/>
      <c r="B300" s="1642"/>
      <c r="C300" s="1642"/>
      <c r="D300" s="1642"/>
      <c r="E300" s="1641"/>
      <c r="F300" s="1642"/>
      <c r="G300" s="1642"/>
      <c r="H300" s="1642"/>
      <c r="I300" s="1642"/>
      <c r="J300" s="1642"/>
      <c r="K300" s="1681"/>
      <c r="L300" s="1642"/>
      <c r="M300" s="1642"/>
      <c r="N300" s="1642"/>
      <c r="O300" s="1642"/>
      <c r="P300" s="1642"/>
      <c r="Q300" s="1642"/>
      <c r="R300" s="1642"/>
      <c r="S300" s="1642"/>
      <c r="T300" s="1642"/>
      <c r="U300" s="1642"/>
      <c r="V300" s="1642"/>
      <c r="W300" s="1642"/>
      <c r="X300" s="1642"/>
      <c r="Y300" s="1642"/>
      <c r="Z300" s="1642"/>
      <c r="AA300" s="1642"/>
      <c r="AB300" s="1642"/>
      <c r="AC300" s="1642"/>
      <c r="AD300" s="1642"/>
      <c r="AE300" s="1642"/>
      <c r="AF300" s="1641"/>
      <c r="AG300" s="1642"/>
      <c r="AH300" s="1642"/>
      <c r="AI300" s="1642"/>
      <c r="AJ300" s="1641"/>
      <c r="AK300" s="1642"/>
      <c r="AL300" s="1642"/>
      <c r="AM300" s="1642"/>
      <c r="AN300" s="1641"/>
      <c r="AO300" s="1642"/>
      <c r="AP300" s="1642"/>
      <c r="AQ300" s="1642"/>
      <c r="AR300" s="1641"/>
      <c r="AS300" s="1642"/>
      <c r="AT300" s="1642"/>
      <c r="AU300" s="1642"/>
      <c r="AV300" s="1641"/>
      <c r="AW300" s="1642"/>
      <c r="AX300" s="1642"/>
      <c r="AY300" s="1642"/>
      <c r="AZ300" s="1641"/>
      <c r="BA300" s="1642"/>
      <c r="BB300" s="1642"/>
      <c r="BC300" s="1642"/>
      <c r="BD300" s="1641"/>
      <c r="BE300" s="1642"/>
      <c r="BF300" s="1642"/>
      <c r="BG300" s="1642"/>
      <c r="BH300" s="1641"/>
      <c r="BI300" s="1642"/>
      <c r="BJ300" s="1642"/>
      <c r="BK300" s="1642"/>
      <c r="BL300" s="1641"/>
      <c r="BM300" s="1642"/>
      <c r="BN300" s="1642"/>
      <c r="BO300" s="1642"/>
      <c r="BP300" s="1641"/>
      <c r="BQ300" s="1642"/>
      <c r="BR300" s="1642"/>
      <c r="BS300" s="1642"/>
      <c r="BT300" s="1641"/>
      <c r="BU300" s="1642"/>
      <c r="BV300" s="1634"/>
      <c r="BW300" s="1634"/>
      <c r="BX300" s="1650" t="s">
        <v>613</v>
      </c>
      <c r="BY300" s="1651"/>
      <c r="BZ300" s="1651"/>
      <c r="CA300" s="1651"/>
      <c r="CB300" s="1650" t="s">
        <v>614</v>
      </c>
      <c r="CC300" s="1651"/>
      <c r="CD300" s="1651"/>
      <c r="CE300" s="1651"/>
      <c r="CF300" s="1650" t="s">
        <v>687</v>
      </c>
      <c r="CG300" s="1651"/>
      <c r="CH300" s="1651"/>
      <c r="CI300" s="1651"/>
      <c r="CJ300" s="1650"/>
      <c r="CK300" s="1651"/>
      <c r="CL300" s="1651"/>
      <c r="CM300" s="1652"/>
      <c r="CN300" s="1653"/>
      <c r="CO300" s="1653"/>
      <c r="CP300" s="1653"/>
      <c r="CQ300" s="1652"/>
      <c r="CR300" s="1653"/>
      <c r="CS300" s="1653"/>
      <c r="CT300" s="1653"/>
      <c r="CU300" s="1652"/>
      <c r="CV300" s="1653"/>
      <c r="CW300" s="1653"/>
      <c r="CX300" s="1653"/>
      <c r="CY300" s="1652"/>
      <c r="CZ300" s="1653"/>
      <c r="DA300" s="1653"/>
      <c r="DB300" s="1653"/>
      <c r="DC300" s="1653"/>
      <c r="DD300" s="1653"/>
      <c r="DE300" s="2966"/>
      <c r="DF300" s="2989"/>
      <c r="DG300" s="3027"/>
      <c r="DH300" s="3062"/>
      <c r="DI300" s="3161"/>
      <c r="DJ300" s="3241"/>
      <c r="DK300" s="3286"/>
      <c r="DL300" s="3317"/>
    </row>
    <row r="301" spans="1:116" ht="12.75" hidden="1" customHeight="1">
      <c r="A301" s="1539" t="s">
        <v>685</v>
      </c>
      <c r="B301" s="1642"/>
      <c r="C301" s="1642"/>
      <c r="D301" s="1642"/>
      <c r="E301" s="1641"/>
      <c r="F301" s="1642"/>
      <c r="G301" s="1642"/>
      <c r="H301" s="1642"/>
      <c r="I301" s="1642"/>
      <c r="J301" s="1642"/>
      <c r="K301" s="1681"/>
      <c r="L301" s="1642"/>
      <c r="M301" s="1642"/>
      <c r="N301" s="1642"/>
      <c r="O301" s="1642"/>
      <c r="P301" s="1642"/>
      <c r="Q301" s="1642"/>
      <c r="R301" s="1642"/>
      <c r="S301" s="1642"/>
      <c r="T301" s="1642"/>
      <c r="U301" s="1642"/>
      <c r="V301" s="1642"/>
      <c r="W301" s="1642"/>
      <c r="X301" s="1642"/>
      <c r="Y301" s="1642"/>
      <c r="Z301" s="1642"/>
      <c r="AA301" s="1642"/>
      <c r="AB301" s="1642"/>
      <c r="AC301" s="1642"/>
      <c r="AD301" s="1642"/>
      <c r="AE301" s="1642"/>
      <c r="AF301" s="1641"/>
      <c r="AG301" s="1642"/>
      <c r="AH301" s="1642"/>
      <c r="AI301" s="1642"/>
      <c r="AJ301" s="1641"/>
      <c r="AK301" s="1642"/>
      <c r="AL301" s="1642"/>
      <c r="AM301" s="1642"/>
      <c r="AN301" s="1641"/>
      <c r="AO301" s="1642"/>
      <c r="AP301" s="1642"/>
      <c r="AQ301" s="1642"/>
      <c r="AR301" s="1641"/>
      <c r="AS301" s="1642"/>
      <c r="AT301" s="1642"/>
      <c r="AU301" s="1642"/>
      <c r="AV301" s="1641"/>
      <c r="AW301" s="1642"/>
      <c r="AX301" s="1642"/>
      <c r="AY301" s="1642"/>
      <c r="AZ301" s="1641"/>
      <c r="BA301" s="1642"/>
      <c r="BB301" s="1642"/>
      <c r="BC301" s="1642"/>
      <c r="BD301" s="1641"/>
      <c r="BE301" s="1642"/>
      <c r="BF301" s="1642"/>
      <c r="BG301" s="1642"/>
      <c r="BH301" s="1641"/>
      <c r="BI301" s="1642"/>
      <c r="BJ301" s="1642"/>
      <c r="BK301" s="1642"/>
      <c r="BL301" s="1641"/>
      <c r="BM301" s="1642"/>
      <c r="BN301" s="1642"/>
      <c r="BO301" s="1642"/>
      <c r="BP301" s="1641"/>
      <c r="BQ301" s="1642"/>
      <c r="BR301" s="1642"/>
      <c r="BS301" s="1642"/>
      <c r="BT301" s="1641"/>
      <c r="BU301" s="1642"/>
      <c r="BV301" s="1634"/>
      <c r="BW301" s="1642">
        <f>+BX301-BX303</f>
        <v>77700</v>
      </c>
      <c r="BX301" s="1633">
        <v>79472</v>
      </c>
      <c r="BY301" s="1634">
        <v>81278</v>
      </c>
      <c r="BZ301" s="1634">
        <v>83704</v>
      </c>
      <c r="CA301" s="1634">
        <v>85275</v>
      </c>
      <c r="CB301" s="1633">
        <v>92390</v>
      </c>
      <c r="CC301" s="1634">
        <v>93220</v>
      </c>
      <c r="CD301" s="1634">
        <v>94361</v>
      </c>
      <c r="CE301" s="1634">
        <v>96495</v>
      </c>
      <c r="CF301" s="1633">
        <v>98019</v>
      </c>
      <c r="CG301" s="1634">
        <v>99736</v>
      </c>
      <c r="CH301" s="1634">
        <v>101095</v>
      </c>
      <c r="CI301" s="1634">
        <v>102246</v>
      </c>
      <c r="CJ301" s="1633">
        <v>104022</v>
      </c>
      <c r="CK301" s="1634">
        <v>106292</v>
      </c>
      <c r="CL301" s="1634">
        <v>107695</v>
      </c>
      <c r="CM301" s="1648">
        <f t="shared" ref="CM301:CU301" si="397">CM311</f>
        <v>107798</v>
      </c>
      <c r="CN301" s="1649">
        <f t="shared" si="397"/>
        <v>109488</v>
      </c>
      <c r="CO301" s="1649">
        <f t="shared" si="397"/>
        <v>110904</v>
      </c>
      <c r="CP301" s="1649">
        <f t="shared" si="397"/>
        <v>112772</v>
      </c>
      <c r="CQ301" s="1648">
        <f t="shared" si="397"/>
        <v>115226</v>
      </c>
      <c r="CR301" s="1649">
        <f t="shared" si="397"/>
        <v>116926</v>
      </c>
      <c r="CS301" s="1649">
        <f t="shared" si="397"/>
        <v>118620</v>
      </c>
      <c r="CT301" s="1649">
        <f t="shared" si="397"/>
        <v>120146</v>
      </c>
      <c r="CU301" s="1648">
        <f t="shared" si="397"/>
        <v>122295</v>
      </c>
      <c r="CV301" s="1649">
        <f t="shared" ref="CV301:DA301" si="398">CV311</f>
        <v>123326</v>
      </c>
      <c r="CW301" s="1649">
        <f t="shared" si="398"/>
        <v>125133</v>
      </c>
      <c r="CX301" s="1649">
        <f t="shared" si="398"/>
        <v>127152</v>
      </c>
      <c r="CY301" s="1648">
        <f t="shared" si="398"/>
        <v>129707</v>
      </c>
      <c r="CZ301" s="1649">
        <f t="shared" si="398"/>
        <v>130578</v>
      </c>
      <c r="DA301" s="1649">
        <f t="shared" si="398"/>
        <v>132044</v>
      </c>
      <c r="DB301" s="1649">
        <f t="shared" ref="DB301:DG301" si="399">DB311</f>
        <v>133756</v>
      </c>
      <c r="DC301" s="1649">
        <f t="shared" si="399"/>
        <v>135604</v>
      </c>
      <c r="DD301" s="1649">
        <f t="shared" si="399"/>
        <v>136569</v>
      </c>
      <c r="DE301" s="1649">
        <f t="shared" si="399"/>
        <v>137650</v>
      </c>
      <c r="DF301" s="1649">
        <f t="shared" si="399"/>
        <v>138672</v>
      </c>
      <c r="DG301" s="1649">
        <f t="shared" si="399"/>
        <v>139739</v>
      </c>
      <c r="DH301" s="1649">
        <f t="shared" ref="DH301:DI301" si="400">DH311</f>
        <v>139909</v>
      </c>
      <c r="DI301" s="1649">
        <f t="shared" si="400"/>
        <v>141032</v>
      </c>
      <c r="DJ301" s="1649">
        <f t="shared" ref="DJ301:DK301" si="401">DJ311</f>
        <v>142270</v>
      </c>
      <c r="DK301" s="1649">
        <f t="shared" si="401"/>
        <v>143753</v>
      </c>
      <c r="DL301" s="1649">
        <f t="shared" ref="DL301" si="402">DL311</f>
        <v>144178</v>
      </c>
    </row>
    <row r="302" spans="1:116" ht="12.75" hidden="1" customHeight="1">
      <c r="A302" s="1539" t="s">
        <v>401</v>
      </c>
      <c r="B302" s="1642"/>
      <c r="C302" s="1642"/>
      <c r="D302" s="1642"/>
      <c r="E302" s="1641"/>
      <c r="F302" s="1642"/>
      <c r="G302" s="1642"/>
      <c r="H302" s="1642"/>
      <c r="I302" s="1642"/>
      <c r="J302" s="1642"/>
      <c r="K302" s="1681"/>
      <c r="L302" s="1642"/>
      <c r="M302" s="1642"/>
      <c r="N302" s="1642"/>
      <c r="O302" s="1642"/>
      <c r="P302" s="1642"/>
      <c r="Q302" s="1642"/>
      <c r="R302" s="1642"/>
      <c r="S302" s="1642"/>
      <c r="T302" s="1642"/>
      <c r="U302" s="1642"/>
      <c r="V302" s="1642"/>
      <c r="W302" s="1642"/>
      <c r="X302" s="1642"/>
      <c r="Y302" s="1642"/>
      <c r="Z302" s="1642"/>
      <c r="AA302" s="1642"/>
      <c r="AB302" s="1642"/>
      <c r="AC302" s="1642"/>
      <c r="AD302" s="1642"/>
      <c r="AE302" s="1642"/>
      <c r="AF302" s="1641"/>
      <c r="AG302" s="1642"/>
      <c r="AH302" s="1642"/>
      <c r="AI302" s="1642"/>
      <c r="AJ302" s="1641"/>
      <c r="AK302" s="1642"/>
      <c r="AL302" s="1642"/>
      <c r="AM302" s="1642"/>
      <c r="AN302" s="1641"/>
      <c r="AO302" s="1642"/>
      <c r="AP302" s="1642"/>
      <c r="AQ302" s="1642"/>
      <c r="AR302" s="1641"/>
      <c r="AS302" s="1642"/>
      <c r="AT302" s="1642"/>
      <c r="AU302" s="1642"/>
      <c r="AV302" s="1641"/>
      <c r="AW302" s="1642"/>
      <c r="AX302" s="1642"/>
      <c r="AY302" s="1642"/>
      <c r="AZ302" s="1641"/>
      <c r="BA302" s="1642"/>
      <c r="BB302" s="1642"/>
      <c r="BC302" s="1642"/>
      <c r="BD302" s="1641"/>
      <c r="BE302" s="1642"/>
      <c r="BF302" s="1642"/>
      <c r="BG302" s="1642"/>
      <c r="BH302" s="1641"/>
      <c r="BI302" s="1642"/>
      <c r="BJ302" s="1642"/>
      <c r="BK302" s="1642"/>
      <c r="BL302" s="1641"/>
      <c r="BM302" s="1642"/>
      <c r="BN302" s="1642"/>
      <c r="BO302" s="1642"/>
      <c r="BP302" s="1641"/>
      <c r="BQ302" s="1642"/>
      <c r="BR302" s="1642"/>
      <c r="BS302" s="1642"/>
      <c r="BT302" s="1641"/>
      <c r="BU302" s="1642"/>
      <c r="BV302" s="1634"/>
      <c r="BW302" s="1634"/>
      <c r="BX302" s="1633"/>
      <c r="BY302" s="1634"/>
      <c r="BZ302" s="1634"/>
      <c r="CA302" s="1634"/>
      <c r="CB302" s="1633"/>
      <c r="CC302" s="1634"/>
      <c r="CD302" s="1634"/>
      <c r="CE302" s="1634"/>
      <c r="CF302" s="1641"/>
      <c r="CG302" s="1642"/>
      <c r="CH302" s="1642"/>
      <c r="CI302" s="1642"/>
      <c r="CJ302" s="1641"/>
      <c r="CK302" s="1642"/>
      <c r="CL302" s="1642"/>
      <c r="CM302" s="1681"/>
      <c r="CN302" s="1672"/>
      <c r="CO302" s="1672"/>
      <c r="CP302" s="1672"/>
      <c r="CQ302" s="1681"/>
      <c r="CR302" s="1672"/>
      <c r="CS302" s="1672"/>
      <c r="CT302" s="1672"/>
      <c r="CU302" s="1681"/>
      <c r="CV302" s="1672"/>
      <c r="CW302" s="1672"/>
      <c r="CX302" s="1672"/>
      <c r="CY302" s="1681"/>
      <c r="CZ302" s="1672"/>
      <c r="DA302" s="1672"/>
      <c r="DB302" s="1672"/>
      <c r="DC302" s="1672"/>
      <c r="DD302" s="1672"/>
      <c r="DE302" s="1672"/>
      <c r="DF302" s="1672"/>
      <c r="DG302" s="1672"/>
      <c r="DH302" s="1672"/>
      <c r="DI302" s="1672"/>
      <c r="DJ302" s="1672"/>
      <c r="DK302" s="1672"/>
      <c r="DL302" s="1672"/>
    </row>
    <row r="303" spans="1:116" ht="12.75" hidden="1" customHeight="1">
      <c r="A303" s="1539" t="s">
        <v>686</v>
      </c>
      <c r="B303" s="1642"/>
      <c r="C303" s="1642"/>
      <c r="D303" s="1642"/>
      <c r="E303" s="1641"/>
      <c r="F303" s="1642"/>
      <c r="G303" s="1642"/>
      <c r="H303" s="1642"/>
      <c r="I303" s="1642"/>
      <c r="J303" s="1642"/>
      <c r="K303" s="1681"/>
      <c r="L303" s="1642"/>
      <c r="M303" s="1642"/>
      <c r="N303" s="1642"/>
      <c r="O303" s="1642"/>
      <c r="P303" s="1642"/>
      <c r="Q303" s="1642"/>
      <c r="R303" s="1642"/>
      <c r="S303" s="1642"/>
      <c r="T303" s="1642"/>
      <c r="U303" s="1642"/>
      <c r="V303" s="1642"/>
      <c r="W303" s="1642"/>
      <c r="X303" s="1642"/>
      <c r="Y303" s="1642"/>
      <c r="Z303" s="1642"/>
      <c r="AA303" s="1642"/>
      <c r="AB303" s="1642"/>
      <c r="AC303" s="1642"/>
      <c r="AD303" s="1642"/>
      <c r="AE303" s="1642"/>
      <c r="AF303" s="1641"/>
      <c r="AG303" s="1642"/>
      <c r="AH303" s="1642"/>
      <c r="AI303" s="1642"/>
      <c r="AJ303" s="1641"/>
      <c r="AK303" s="1642"/>
      <c r="AL303" s="1642"/>
      <c r="AM303" s="1642"/>
      <c r="AN303" s="1641"/>
      <c r="AO303" s="1642"/>
      <c r="AP303" s="1642"/>
      <c r="AQ303" s="1642"/>
      <c r="AR303" s="1641"/>
      <c r="AS303" s="1642"/>
      <c r="AT303" s="1642"/>
      <c r="AU303" s="1642"/>
      <c r="AV303" s="1641"/>
      <c r="AW303" s="1642"/>
      <c r="AX303" s="1642"/>
      <c r="AY303" s="1642"/>
      <c r="AZ303" s="1641"/>
      <c r="BA303" s="1642"/>
      <c r="BB303" s="1642"/>
      <c r="BC303" s="1642"/>
      <c r="BD303" s="1641"/>
      <c r="BE303" s="1642"/>
      <c r="BF303" s="1642"/>
      <c r="BG303" s="1642"/>
      <c r="BH303" s="1641"/>
      <c r="BI303" s="1642"/>
      <c r="BJ303" s="1642"/>
      <c r="BK303" s="1642"/>
      <c r="BL303" s="1641"/>
      <c r="BM303" s="1642"/>
      <c r="BN303" s="1642"/>
      <c r="BO303" s="1642"/>
      <c r="BP303" s="1641"/>
      <c r="BQ303" s="1642"/>
      <c r="BR303" s="1642"/>
      <c r="BS303" s="1642"/>
      <c r="BT303" s="1641"/>
      <c r="BU303" s="1642"/>
      <c r="BV303" s="1634"/>
      <c r="BW303" s="1634"/>
      <c r="BX303" s="1633">
        <v>1772</v>
      </c>
      <c r="BY303" s="1634">
        <f>+BY301-BX301</f>
        <v>1806</v>
      </c>
      <c r="BZ303" s="1634">
        <f>+BZ301-BY301</f>
        <v>2426</v>
      </c>
      <c r="CA303" s="1634">
        <f>+CA301-BZ301</f>
        <v>1571</v>
      </c>
      <c r="CB303" s="1633">
        <v>955</v>
      </c>
      <c r="CC303" s="1634">
        <v>837</v>
      </c>
      <c r="CD303" s="1634">
        <v>1028</v>
      </c>
      <c r="CE303" s="1634">
        <v>2115</v>
      </c>
      <c r="CF303" s="1633">
        <v>1506</v>
      </c>
      <c r="CG303" s="1634">
        <v>1622</v>
      </c>
      <c r="CH303" s="1634">
        <v>1248</v>
      </c>
      <c r="CI303" s="1634">
        <v>1141</v>
      </c>
      <c r="CJ303" s="1633">
        <v>1776</v>
      </c>
      <c r="CK303" s="1634">
        <v>2208</v>
      </c>
      <c r="CL303" s="1634">
        <v>1335</v>
      </c>
      <c r="CM303" s="1648">
        <v>100</v>
      </c>
      <c r="CN303" s="1649">
        <f>734+468</f>
        <v>1202</v>
      </c>
      <c r="CO303" s="1649">
        <f>1178+250</f>
        <v>1428</v>
      </c>
      <c r="CP303" s="1649">
        <f>1763+123</f>
        <v>1886</v>
      </c>
      <c r="CQ303" s="1648">
        <f>2242+123</f>
        <v>2365</v>
      </c>
      <c r="CR303" s="1649">
        <f>720+1000</f>
        <v>1720</v>
      </c>
      <c r="CS303" s="1649">
        <f>1038+500</f>
        <v>1538</v>
      </c>
      <c r="CT303" s="1649">
        <f>1061+500</f>
        <v>1561</v>
      </c>
      <c r="CU303" s="1648">
        <f>1653+500</f>
        <v>2153</v>
      </c>
      <c r="CV303" s="1649">
        <f>549+500</f>
        <v>1049</v>
      </c>
      <c r="CW303" s="1649">
        <f>1427+500</f>
        <v>1927</v>
      </c>
      <c r="CX303" s="1649">
        <f>1525+500</f>
        <v>2025</v>
      </c>
      <c r="CY303" s="1648">
        <f>2067+500</f>
        <v>2567</v>
      </c>
      <c r="CZ303" s="1649">
        <f t="shared" ref="CZ303:DL303" si="403">377+500</f>
        <v>877</v>
      </c>
      <c r="DA303" s="1649">
        <f t="shared" si="403"/>
        <v>877</v>
      </c>
      <c r="DB303" s="1649">
        <f t="shared" si="403"/>
        <v>877</v>
      </c>
      <c r="DC303" s="1649">
        <f t="shared" si="403"/>
        <v>877</v>
      </c>
      <c r="DD303" s="1649">
        <f t="shared" si="403"/>
        <v>877</v>
      </c>
      <c r="DE303" s="1649">
        <f t="shared" si="403"/>
        <v>877</v>
      </c>
      <c r="DF303" s="1649">
        <f t="shared" si="403"/>
        <v>877</v>
      </c>
      <c r="DG303" s="1649">
        <f t="shared" si="403"/>
        <v>877</v>
      </c>
      <c r="DH303" s="1649">
        <f t="shared" si="403"/>
        <v>877</v>
      </c>
      <c r="DI303" s="1649">
        <f t="shared" si="403"/>
        <v>877</v>
      </c>
      <c r="DJ303" s="1649">
        <f t="shared" si="403"/>
        <v>877</v>
      </c>
      <c r="DK303" s="1649">
        <f t="shared" si="403"/>
        <v>877</v>
      </c>
      <c r="DL303" s="1649">
        <f t="shared" si="403"/>
        <v>877</v>
      </c>
    </row>
    <row r="304" spans="1:116" ht="12.75" hidden="1" customHeight="1">
      <c r="A304" s="1391" t="s">
        <v>9</v>
      </c>
      <c r="B304" s="1645"/>
      <c r="C304" s="1645"/>
      <c r="D304" s="1645"/>
      <c r="E304" s="1699"/>
      <c r="F304" s="1645"/>
      <c r="G304" s="1645"/>
      <c r="H304" s="1645"/>
      <c r="I304" s="1645"/>
      <c r="J304" s="1645"/>
      <c r="K304" s="1700"/>
      <c r="L304" s="1645"/>
      <c r="M304" s="1645"/>
      <c r="N304" s="1645"/>
      <c r="O304" s="1645"/>
      <c r="P304" s="1645"/>
      <c r="Q304" s="1645"/>
      <c r="R304" s="1645"/>
      <c r="S304" s="1645"/>
      <c r="T304" s="1645"/>
      <c r="U304" s="1645"/>
      <c r="V304" s="1645"/>
      <c r="W304" s="1645"/>
      <c r="X304" s="1645"/>
      <c r="Y304" s="1645"/>
      <c r="Z304" s="1645"/>
      <c r="AA304" s="1645"/>
      <c r="AB304" s="1645"/>
      <c r="AC304" s="1645"/>
      <c r="AD304" s="1645"/>
      <c r="AE304" s="1645"/>
      <c r="AF304" s="1699"/>
      <c r="AG304" s="1645"/>
      <c r="AH304" s="1645"/>
      <c r="AI304" s="1645"/>
      <c r="AJ304" s="1699"/>
      <c r="AK304" s="1645"/>
      <c r="AL304" s="1645"/>
      <c r="AM304" s="1645"/>
      <c r="AN304" s="1699"/>
      <c r="AO304" s="1645"/>
      <c r="AP304" s="1645"/>
      <c r="AQ304" s="1645"/>
      <c r="AR304" s="1699"/>
      <c r="AS304" s="1645"/>
      <c r="AT304" s="1645"/>
      <c r="AU304" s="1645"/>
      <c r="AV304" s="1699"/>
      <c r="AW304" s="1645"/>
      <c r="AX304" s="1645"/>
      <c r="AY304" s="1645"/>
      <c r="AZ304" s="1699"/>
      <c r="BA304" s="1645"/>
      <c r="BB304" s="1645"/>
      <c r="BC304" s="1645"/>
      <c r="BD304" s="1699"/>
      <c r="BE304" s="1645"/>
      <c r="BF304" s="1645"/>
      <c r="BG304" s="1645"/>
      <c r="BH304" s="1699"/>
      <c r="BI304" s="1645"/>
      <c r="BJ304" s="1645"/>
      <c r="BK304" s="1645"/>
      <c r="BL304" s="1699"/>
      <c r="BM304" s="1645"/>
      <c r="BN304" s="1645"/>
      <c r="BO304" s="1645"/>
      <c r="BP304" s="1699"/>
      <c r="BQ304" s="1645"/>
      <c r="BR304" s="1645"/>
      <c r="BS304" s="1645"/>
      <c r="BT304" s="1699"/>
      <c r="BU304" s="1645"/>
      <c r="BV304" s="1646"/>
      <c r="BW304" s="1646"/>
      <c r="BX304" s="970">
        <v>1.3100000000000001E-2</v>
      </c>
      <c r="BY304" s="1646">
        <v>1.23E-2</v>
      </c>
      <c r="BZ304" s="1646">
        <v>1.43E-2</v>
      </c>
      <c r="CA304" s="1646">
        <v>1.46E-2</v>
      </c>
      <c r="CB304" s="970">
        <v>1.44E-2</v>
      </c>
      <c r="CC304" s="1646">
        <v>1.34E-2</v>
      </c>
      <c r="CD304" s="1646">
        <v>1.46E-2</v>
      </c>
      <c r="CE304" s="1646">
        <v>1.3899999999999999E-2</v>
      </c>
      <c r="CF304" s="970">
        <v>1.3599999999999999E-2</v>
      </c>
      <c r="CG304" s="1646">
        <v>1.2500000000000001E-2</v>
      </c>
      <c r="CH304" s="1646">
        <v>1.3599999999999999E-2</v>
      </c>
      <c r="CI304" s="1646">
        <v>1.34E-2</v>
      </c>
      <c r="CJ304" s="970"/>
      <c r="CK304" s="1646"/>
      <c r="CL304" s="1646"/>
      <c r="CM304" s="1647"/>
      <c r="CN304" s="1291"/>
      <c r="CO304" s="1291"/>
      <c r="CP304" s="1291"/>
      <c r="CQ304" s="1647"/>
      <c r="CR304" s="1291"/>
      <c r="CS304" s="1291"/>
      <c r="CT304" s="1291"/>
      <c r="CU304" s="1647"/>
      <c r="CV304" s="1291"/>
      <c r="CW304" s="1291"/>
      <c r="CX304" s="1291"/>
      <c r="CY304" s="1647"/>
      <c r="CZ304" s="1291"/>
      <c r="DA304" s="1291"/>
      <c r="DB304" s="1291"/>
      <c r="DC304" s="1291"/>
      <c r="DD304" s="1291"/>
      <c r="DE304" s="1291"/>
      <c r="DF304" s="1291"/>
      <c r="DG304" s="1291"/>
      <c r="DH304" s="1291"/>
      <c r="DI304" s="1291"/>
      <c r="DJ304" s="1291"/>
      <c r="DK304" s="1291"/>
      <c r="DL304" s="1291"/>
    </row>
    <row r="305" spans="1:116" ht="12.75" hidden="1" customHeight="1">
      <c r="A305" s="1539"/>
      <c r="B305" s="1642"/>
      <c r="C305" s="1642"/>
      <c r="D305" s="1642"/>
      <c r="E305" s="1641"/>
      <c r="F305" s="1642"/>
      <c r="G305" s="1642"/>
      <c r="H305" s="1642"/>
      <c r="I305" s="1642"/>
      <c r="J305" s="1642"/>
      <c r="K305" s="1681"/>
      <c r="L305" s="1642"/>
      <c r="M305" s="1642"/>
      <c r="N305" s="1642"/>
      <c r="O305" s="1642"/>
      <c r="P305" s="1642"/>
      <c r="Q305" s="1642"/>
      <c r="R305" s="1642"/>
      <c r="S305" s="1642"/>
      <c r="T305" s="1642"/>
      <c r="U305" s="1642"/>
      <c r="V305" s="1642"/>
      <c r="W305" s="1642"/>
      <c r="X305" s="1642"/>
      <c r="Y305" s="1642"/>
      <c r="Z305" s="1642"/>
      <c r="AA305" s="1642"/>
      <c r="AB305" s="1642"/>
      <c r="AC305" s="1642"/>
      <c r="AD305" s="1642"/>
      <c r="AE305" s="1642"/>
      <c r="AF305" s="1641"/>
      <c r="AG305" s="1642"/>
      <c r="AH305" s="1642"/>
      <c r="AI305" s="1642"/>
      <c r="AJ305" s="1641"/>
      <c r="AK305" s="1642"/>
      <c r="AL305" s="1642"/>
      <c r="AM305" s="1642"/>
      <c r="AN305" s="1641"/>
      <c r="AO305" s="1642"/>
      <c r="AP305" s="1642"/>
      <c r="AQ305" s="1642"/>
      <c r="AR305" s="1641"/>
      <c r="AS305" s="1642"/>
      <c r="AT305" s="1642"/>
      <c r="AU305" s="1642"/>
      <c r="AV305" s="1641"/>
      <c r="AW305" s="1642"/>
      <c r="AX305" s="1642"/>
      <c r="AY305" s="1642"/>
      <c r="AZ305" s="1641"/>
      <c r="BA305" s="1642"/>
      <c r="BB305" s="1642"/>
      <c r="BC305" s="1642"/>
      <c r="BD305" s="1641"/>
      <c r="BE305" s="1642"/>
      <c r="BF305" s="1642"/>
      <c r="BG305" s="1642"/>
      <c r="BH305" s="1641"/>
      <c r="BI305" s="1642"/>
      <c r="BJ305" s="1642"/>
      <c r="BK305" s="1642"/>
      <c r="BL305" s="1641"/>
      <c r="BM305" s="1642"/>
      <c r="BN305" s="1642"/>
      <c r="BO305" s="1642"/>
      <c r="BP305" s="1641"/>
      <c r="BQ305" s="1642"/>
      <c r="BR305" s="1642"/>
      <c r="BS305" s="1642"/>
      <c r="BT305" s="1641"/>
      <c r="BU305" s="1642"/>
      <c r="BV305" s="1634"/>
      <c r="BW305" s="1634"/>
      <c r="BX305" s="1633"/>
      <c r="BY305" s="1634"/>
      <c r="BZ305" s="1634"/>
      <c r="CA305" s="1634"/>
      <c r="CB305" s="1633"/>
      <c r="CC305" s="1634"/>
      <c r="CD305" s="1634"/>
      <c r="CE305" s="1634"/>
      <c r="CF305" s="1633"/>
      <c r="CG305" s="1634"/>
      <c r="CH305" s="1634"/>
      <c r="CI305" s="1634"/>
      <c r="CJ305" s="1633"/>
      <c r="CK305" s="1634"/>
      <c r="CL305" s="1634"/>
      <c r="CM305" s="1648"/>
      <c r="CN305" s="1649"/>
      <c r="CO305" s="1649"/>
      <c r="CP305" s="1649"/>
      <c r="CQ305" s="1648"/>
      <c r="CR305" s="1649"/>
      <c r="CS305" s="1649"/>
      <c r="CT305" s="1649"/>
      <c r="CU305" s="1648"/>
      <c r="CV305" s="1649"/>
      <c r="CW305" s="1649"/>
      <c r="CX305" s="1649"/>
      <c r="CY305" s="1648"/>
      <c r="CZ305" s="1649"/>
      <c r="DA305" s="1649"/>
      <c r="DB305" s="1649"/>
      <c r="DC305" s="1649"/>
      <c r="DD305" s="1649"/>
      <c r="DE305" s="1649"/>
      <c r="DF305" s="1649"/>
      <c r="DG305" s="1649"/>
      <c r="DH305" s="1649"/>
      <c r="DI305" s="1649"/>
      <c r="DJ305" s="1649"/>
      <c r="DK305" s="1649"/>
      <c r="DL305" s="1649"/>
    </row>
    <row r="306" spans="1:116" ht="12.75" hidden="1" customHeight="1">
      <c r="A306" s="1539"/>
      <c r="B306" s="1642"/>
      <c r="C306" s="1642"/>
      <c r="D306" s="1642"/>
      <c r="E306" s="1641"/>
      <c r="F306" s="1642"/>
      <c r="G306" s="1642"/>
      <c r="H306" s="1642"/>
      <c r="I306" s="1642"/>
      <c r="J306" s="1642"/>
      <c r="K306" s="1681"/>
      <c r="L306" s="1642"/>
      <c r="M306" s="1642"/>
      <c r="N306" s="1642"/>
      <c r="O306" s="1642"/>
      <c r="P306" s="1642"/>
      <c r="Q306" s="1642"/>
      <c r="R306" s="1642"/>
      <c r="S306" s="1642"/>
      <c r="T306" s="1642"/>
      <c r="U306" s="1642"/>
      <c r="V306" s="1642"/>
      <c r="W306" s="1642"/>
      <c r="X306" s="1642"/>
      <c r="Y306" s="1642"/>
      <c r="Z306" s="1642"/>
      <c r="AA306" s="1642"/>
      <c r="AB306" s="1642"/>
      <c r="AC306" s="1642"/>
      <c r="AD306" s="1642"/>
      <c r="AE306" s="1642"/>
      <c r="AF306" s="1641"/>
      <c r="AG306" s="1642"/>
      <c r="AH306" s="1642"/>
      <c r="AI306" s="1642"/>
      <c r="AJ306" s="1641"/>
      <c r="AK306" s="1642"/>
      <c r="AL306" s="1642"/>
      <c r="AM306" s="1642"/>
      <c r="AN306" s="1641"/>
      <c r="AO306" s="1642"/>
      <c r="AP306" s="1642"/>
      <c r="AQ306" s="1642"/>
      <c r="AR306" s="1641"/>
      <c r="AS306" s="1642"/>
      <c r="AT306" s="1642"/>
      <c r="AU306" s="1642"/>
      <c r="AV306" s="1641"/>
      <c r="AW306" s="1642"/>
      <c r="AX306" s="1642"/>
      <c r="AY306" s="1642"/>
      <c r="AZ306" s="1641"/>
      <c r="BA306" s="1642"/>
      <c r="BB306" s="1642"/>
      <c r="BC306" s="1642"/>
      <c r="BD306" s="1641"/>
      <c r="BE306" s="1642"/>
      <c r="BF306" s="1642"/>
      <c r="BG306" s="1642"/>
      <c r="BH306" s="1641"/>
      <c r="BI306" s="1642"/>
      <c r="BJ306" s="1642"/>
      <c r="BK306" s="1642"/>
      <c r="BL306" s="1641"/>
      <c r="BM306" s="1642"/>
      <c r="BN306" s="1642"/>
      <c r="BO306" s="1642"/>
      <c r="BP306" s="1641"/>
      <c r="BQ306" s="1642"/>
      <c r="BR306" s="1642"/>
      <c r="BS306" s="1642"/>
      <c r="BT306" s="1641"/>
      <c r="BU306" s="1642"/>
      <c r="BV306" s="1634"/>
      <c r="BW306" s="1634"/>
      <c r="BX306" s="1633"/>
      <c r="BY306" s="1634"/>
      <c r="BZ306" s="1634"/>
      <c r="CA306" s="1634"/>
      <c r="CB306" s="1633"/>
      <c r="CC306" s="1634"/>
      <c r="CD306" s="1634"/>
      <c r="CE306" s="1634"/>
      <c r="CF306" s="1650"/>
      <c r="CG306" s="1651"/>
      <c r="CH306" s="1651"/>
      <c r="CI306" s="1651"/>
      <c r="CJ306" s="1650"/>
      <c r="CK306" s="1651"/>
      <c r="CL306" s="1651"/>
      <c r="CM306" s="1652"/>
      <c r="CN306" s="1653"/>
      <c r="CO306" s="1653"/>
      <c r="CP306" s="1653"/>
      <c r="CQ306" s="1652"/>
      <c r="CR306" s="1653"/>
      <c r="CS306" s="1653"/>
      <c r="CT306" s="1653"/>
      <c r="CU306" s="1652"/>
      <c r="CV306" s="1653"/>
      <c r="CW306" s="1653"/>
      <c r="CX306" s="1653"/>
      <c r="CY306" s="1652"/>
      <c r="CZ306" s="1653"/>
      <c r="DA306" s="1653"/>
      <c r="DB306" s="1653"/>
      <c r="DC306" s="1653"/>
      <c r="DD306" s="1653"/>
      <c r="DE306" s="2966"/>
      <c r="DF306" s="2989"/>
      <c r="DG306" s="3027"/>
      <c r="DH306" s="3062"/>
      <c r="DI306" s="3161"/>
      <c r="DJ306" s="3241"/>
      <c r="DK306" s="3286"/>
      <c r="DL306" s="3317"/>
    </row>
    <row r="307" spans="1:116" ht="12.75" customHeight="1">
      <c r="A307" s="1628" t="s">
        <v>1597</v>
      </c>
      <c r="B307" s="1642"/>
      <c r="C307" s="1642"/>
      <c r="D307" s="1642"/>
      <c r="E307" s="1641"/>
      <c r="F307" s="1642"/>
      <c r="G307" s="1642"/>
      <c r="H307" s="1642"/>
      <c r="I307" s="1642"/>
      <c r="J307" s="1642"/>
      <c r="K307" s="1681"/>
      <c r="L307" s="1642"/>
      <c r="M307" s="1642"/>
      <c r="N307" s="1642"/>
      <c r="O307" s="1642"/>
      <c r="P307" s="1642"/>
      <c r="Q307" s="1642"/>
      <c r="R307" s="1642"/>
      <c r="S307" s="1642"/>
      <c r="T307" s="1642"/>
      <c r="U307" s="1642"/>
      <c r="V307" s="1642"/>
      <c r="W307" s="1642"/>
      <c r="X307" s="1642"/>
      <c r="Y307" s="1642"/>
      <c r="Z307" s="1642"/>
      <c r="AA307" s="1642"/>
      <c r="AB307" s="1642"/>
      <c r="AC307" s="1642"/>
      <c r="AD307" s="1642"/>
      <c r="AE307" s="1642"/>
      <c r="AF307" s="1641"/>
      <c r="AG307" s="1642"/>
      <c r="AH307" s="1642"/>
      <c r="AI307" s="1642"/>
      <c r="AJ307" s="1641"/>
      <c r="AK307" s="1642"/>
      <c r="AL307" s="1642"/>
      <c r="AM307" s="1642"/>
      <c r="AN307" s="1641"/>
      <c r="AO307" s="1642"/>
      <c r="AP307" s="1642"/>
      <c r="AQ307" s="1642"/>
      <c r="AR307" s="1641"/>
      <c r="AS307" s="1642"/>
      <c r="AT307" s="1642"/>
      <c r="AU307" s="1642"/>
      <c r="AV307" s="1641"/>
      <c r="AW307" s="1642"/>
      <c r="AX307" s="1642"/>
      <c r="AY307" s="1642"/>
      <c r="AZ307" s="1641"/>
      <c r="BA307" s="1642"/>
      <c r="BB307" s="1642"/>
      <c r="BC307" s="1642"/>
      <c r="BD307" s="1641"/>
      <c r="BE307" s="1642"/>
      <c r="BF307" s="1642"/>
      <c r="BG307" s="1642"/>
      <c r="BH307" s="1641"/>
      <c r="BI307" s="1642"/>
      <c r="BJ307" s="1642"/>
      <c r="BK307" s="1642"/>
      <c r="BL307" s="1641"/>
      <c r="BM307" s="1642"/>
      <c r="BN307" s="1642"/>
      <c r="BO307" s="1642"/>
      <c r="BP307" s="1641"/>
      <c r="BQ307" s="1642"/>
      <c r="BR307" s="1642"/>
      <c r="BS307" s="1642"/>
      <c r="BT307" s="1641"/>
      <c r="BU307" s="1642"/>
      <c r="BV307" s="1634"/>
      <c r="BW307" s="1634"/>
      <c r="BX307" s="1633"/>
      <c r="BY307" s="1634"/>
      <c r="BZ307" s="1634"/>
      <c r="CA307" s="1634"/>
      <c r="CB307" s="1633">
        <v>77354</v>
      </c>
      <c r="CC307" s="1634">
        <v>78395</v>
      </c>
      <c r="CD307" s="1634">
        <v>79371</v>
      </c>
      <c r="CE307" s="1634">
        <v>80495</v>
      </c>
      <c r="CF307" s="1633">
        <v>80912</v>
      </c>
      <c r="CG307" s="1634">
        <v>81573</v>
      </c>
      <c r="CH307" s="1634">
        <v>82257</v>
      </c>
      <c r="CI307" s="1634">
        <v>83125</v>
      </c>
      <c r="CJ307" s="1633">
        <v>84031</v>
      </c>
      <c r="CK307" s="1634">
        <v>85290</v>
      </c>
      <c r="CL307" s="1634">
        <v>86175</v>
      </c>
      <c r="CM307" s="1648">
        <v>87382</v>
      </c>
      <c r="CN307" s="1649">
        <v>87963</v>
      </c>
      <c r="CO307" s="1649">
        <v>88838</v>
      </c>
      <c r="CP307" s="1649">
        <v>90354</v>
      </c>
      <c r="CQ307" s="1648">
        <v>92530</v>
      </c>
      <c r="CR307" s="1649">
        <v>93186</v>
      </c>
      <c r="CS307" s="1649">
        <v>94271</v>
      </c>
      <c r="CT307" s="1649">
        <v>95185</v>
      </c>
      <c r="CU307" s="1648">
        <v>96752</v>
      </c>
      <c r="CV307" s="1649">
        <v>97273</v>
      </c>
      <c r="CW307" s="1649">
        <v>98593</v>
      </c>
      <c r="CX307" s="1649">
        <v>100103</v>
      </c>
      <c r="CY307" s="1648">
        <v>102079</v>
      </c>
      <c r="CZ307" s="1649">
        <v>102637</v>
      </c>
      <c r="DA307" s="1649">
        <v>103731</v>
      </c>
      <c r="DB307" s="1649">
        <v>105023</v>
      </c>
      <c r="DC307" s="1649">
        <v>106528</v>
      </c>
      <c r="DD307" s="1649">
        <v>107171</v>
      </c>
      <c r="DE307" s="1649">
        <v>107780</v>
      </c>
      <c r="DF307" s="1649">
        <v>108220</v>
      </c>
      <c r="DG307" s="1649">
        <v>108796</v>
      </c>
      <c r="DH307" s="1649">
        <v>108483</v>
      </c>
      <c r="DI307" s="1649">
        <v>109088</v>
      </c>
      <c r="DJ307" s="1649">
        <v>109686</v>
      </c>
      <c r="DK307" s="1649">
        <v>110854</v>
      </c>
      <c r="DL307" s="1649">
        <v>111114</v>
      </c>
    </row>
    <row r="308" spans="1:116" ht="12.75" customHeight="1">
      <c r="A308" s="1628" t="s">
        <v>1598</v>
      </c>
      <c r="B308" s="1642"/>
      <c r="C308" s="1642"/>
      <c r="D308" s="1642"/>
      <c r="E308" s="1641"/>
      <c r="F308" s="1642"/>
      <c r="G308" s="1642"/>
      <c r="H308" s="1642"/>
      <c r="I308" s="1642"/>
      <c r="J308" s="1642"/>
      <c r="K308" s="1681"/>
      <c r="L308" s="1642"/>
      <c r="M308" s="1642"/>
      <c r="N308" s="1642"/>
      <c r="O308" s="1642"/>
      <c r="P308" s="1642"/>
      <c r="Q308" s="1642"/>
      <c r="R308" s="1642"/>
      <c r="S308" s="1642"/>
      <c r="T308" s="1642"/>
      <c r="U308" s="1642"/>
      <c r="V308" s="1642"/>
      <c r="W308" s="1642"/>
      <c r="X308" s="1642"/>
      <c r="Y308" s="1642"/>
      <c r="Z308" s="1642"/>
      <c r="AA308" s="1642"/>
      <c r="AB308" s="1642"/>
      <c r="AC308" s="1642"/>
      <c r="AD308" s="1642"/>
      <c r="AE308" s="1642"/>
      <c r="AF308" s="1641"/>
      <c r="AG308" s="1642"/>
      <c r="AH308" s="1642"/>
      <c r="AI308" s="1642"/>
      <c r="AJ308" s="1641"/>
      <c r="AK308" s="1642"/>
      <c r="AL308" s="1642"/>
      <c r="AM308" s="1642"/>
      <c r="AN308" s="1641"/>
      <c r="AO308" s="1642"/>
      <c r="AP308" s="1642"/>
      <c r="AQ308" s="1642"/>
      <c r="AR308" s="1641"/>
      <c r="AS308" s="1642"/>
      <c r="AT308" s="1642"/>
      <c r="AU308" s="1642"/>
      <c r="AV308" s="1641"/>
      <c r="AW308" s="1642"/>
      <c r="AX308" s="1642"/>
      <c r="AY308" s="1642"/>
      <c r="AZ308" s="1641"/>
      <c r="BA308" s="1642"/>
      <c r="BB308" s="1642"/>
      <c r="BC308" s="1642"/>
      <c r="BD308" s="1641"/>
      <c r="BE308" s="1642"/>
      <c r="BF308" s="1642"/>
      <c r="BG308" s="1642"/>
      <c r="BH308" s="1641"/>
      <c r="BI308" s="1642"/>
      <c r="BJ308" s="1642"/>
      <c r="BK308" s="1642"/>
      <c r="BL308" s="1641"/>
      <c r="BM308" s="1642"/>
      <c r="BN308" s="1642"/>
      <c r="BO308" s="1642"/>
      <c r="BP308" s="1641"/>
      <c r="BQ308" s="1642"/>
      <c r="BR308" s="1642"/>
      <c r="BS308" s="1642"/>
      <c r="BT308" s="1641"/>
      <c r="BU308" s="1642"/>
      <c r="BV308" s="1634"/>
      <c r="BW308" s="1634"/>
      <c r="BX308" s="1633"/>
      <c r="BY308" s="1634"/>
      <c r="BZ308" s="1634"/>
      <c r="CA308" s="1634"/>
      <c r="CB308" s="1633">
        <v>4826</v>
      </c>
      <c r="CC308" s="1634">
        <v>4877</v>
      </c>
      <c r="CD308" s="1634">
        <v>4897</v>
      </c>
      <c r="CE308" s="1634">
        <v>4950</v>
      </c>
      <c r="CF308" s="1633">
        <v>4803</v>
      </c>
      <c r="CG308" s="1634">
        <v>4603</v>
      </c>
      <c r="CH308" s="1634">
        <v>4477</v>
      </c>
      <c r="CI308" s="1634">
        <v>4410</v>
      </c>
      <c r="CJ308" s="1633">
        <v>4383</v>
      </c>
      <c r="CK308" s="1634">
        <v>4445</v>
      </c>
      <c r="CL308" s="1634">
        <v>4533</v>
      </c>
      <c r="CM308" s="1648">
        <v>4785</v>
      </c>
      <c r="CN308" s="1649">
        <v>5025</v>
      </c>
      <c r="CO308" s="1649">
        <v>5316</v>
      </c>
      <c r="CP308" s="1649">
        <v>5545</v>
      </c>
      <c r="CQ308" s="1648">
        <v>5700</v>
      </c>
      <c r="CR308" s="1649">
        <v>5744</v>
      </c>
      <c r="CS308" s="1649">
        <v>5853</v>
      </c>
      <c r="CT308" s="1649">
        <v>5965</v>
      </c>
      <c r="CU308" s="1648">
        <v>6047</v>
      </c>
      <c r="CV308" s="1649">
        <v>6057</v>
      </c>
      <c r="CW308" s="1649">
        <v>6044</v>
      </c>
      <c r="CX308" s="1649">
        <v>6053</v>
      </c>
      <c r="CY308" s="1648">
        <v>6132</v>
      </c>
      <c r="CZ308" s="1649">
        <v>5945</v>
      </c>
      <c r="DA308" s="1649">
        <v>5817</v>
      </c>
      <c r="DB308" s="1649">
        <v>5737</v>
      </c>
      <c r="DC308" s="1649">
        <v>5580</v>
      </c>
      <c r="DD308" s="1649">
        <v>5402</v>
      </c>
      <c r="DE308" s="1649">
        <v>5374</v>
      </c>
      <c r="DF308" s="1649">
        <v>5456</v>
      </c>
      <c r="DG308" s="1649">
        <v>5447</v>
      </c>
      <c r="DH308" s="1649">
        <v>5430</v>
      </c>
      <c r="DI308" s="1649">
        <v>5448</v>
      </c>
      <c r="DJ308" s="1649">
        <v>5588</v>
      </c>
      <c r="DK308" s="1649">
        <v>5403</v>
      </c>
      <c r="DL308" s="1649">
        <v>5068</v>
      </c>
    </row>
    <row r="309" spans="1:116" ht="12.75" hidden="1" customHeight="1">
      <c r="A309" s="1539" t="s">
        <v>1599</v>
      </c>
      <c r="B309" s="1642"/>
      <c r="C309" s="1642"/>
      <c r="D309" s="1642"/>
      <c r="E309" s="1641"/>
      <c r="F309" s="1642"/>
      <c r="G309" s="1642"/>
      <c r="H309" s="1642"/>
      <c r="I309" s="1642"/>
      <c r="J309" s="1642"/>
      <c r="K309" s="1681"/>
      <c r="L309" s="1642"/>
      <c r="M309" s="1642"/>
      <c r="N309" s="1642"/>
      <c r="O309" s="1642"/>
      <c r="P309" s="1642"/>
      <c r="Q309" s="1642"/>
      <c r="R309" s="1642"/>
      <c r="S309" s="1642"/>
      <c r="T309" s="1642"/>
      <c r="U309" s="1642"/>
      <c r="V309" s="1642"/>
      <c r="W309" s="1642"/>
      <c r="X309" s="1642"/>
      <c r="Y309" s="1642"/>
      <c r="Z309" s="1642"/>
      <c r="AA309" s="1642"/>
      <c r="AB309" s="1642"/>
      <c r="AC309" s="1642"/>
      <c r="AD309" s="1642"/>
      <c r="AE309" s="1642"/>
      <c r="AF309" s="1641"/>
      <c r="AG309" s="1642"/>
      <c r="AH309" s="1642"/>
      <c r="AI309" s="1642"/>
      <c r="AJ309" s="1641"/>
      <c r="AK309" s="1642"/>
      <c r="AL309" s="1642"/>
      <c r="AM309" s="1642"/>
      <c r="AN309" s="1641"/>
      <c r="AO309" s="1642"/>
      <c r="AP309" s="1642"/>
      <c r="AQ309" s="1642"/>
      <c r="AR309" s="1641"/>
      <c r="AS309" s="1642"/>
      <c r="AT309" s="1642"/>
      <c r="AU309" s="1642"/>
      <c r="AV309" s="1641"/>
      <c r="AW309" s="1642"/>
      <c r="AX309" s="1642"/>
      <c r="AY309" s="1642"/>
      <c r="AZ309" s="1641"/>
      <c r="BA309" s="1642"/>
      <c r="BB309" s="1642"/>
      <c r="BC309" s="1642"/>
      <c r="BD309" s="1641"/>
      <c r="BE309" s="1642"/>
      <c r="BF309" s="1642"/>
      <c r="BG309" s="1642"/>
      <c r="BH309" s="1641"/>
      <c r="BI309" s="1642"/>
      <c r="BJ309" s="1642"/>
      <c r="BK309" s="1642"/>
      <c r="BL309" s="1641"/>
      <c r="BM309" s="1642"/>
      <c r="BN309" s="1642"/>
      <c r="BO309" s="1642"/>
      <c r="BP309" s="1641"/>
      <c r="BQ309" s="1642"/>
      <c r="BR309" s="1642"/>
      <c r="BS309" s="1642"/>
      <c r="BT309" s="1641"/>
      <c r="BU309" s="1642"/>
      <c r="BV309" s="1634"/>
      <c r="BW309" s="1634"/>
      <c r="BX309" s="1633"/>
      <c r="BY309" s="1634"/>
      <c r="BZ309" s="1634"/>
      <c r="CA309" s="1634"/>
      <c r="CB309" s="1641">
        <f t="shared" ref="CB309:CZ309" si="404">+CB307+CB308</f>
        <v>82180</v>
      </c>
      <c r="CC309" s="1642">
        <f t="shared" si="404"/>
        <v>83272</v>
      </c>
      <c r="CD309" s="1642">
        <f t="shared" si="404"/>
        <v>84268</v>
      </c>
      <c r="CE309" s="1642">
        <f t="shared" si="404"/>
        <v>85445</v>
      </c>
      <c r="CF309" s="1641">
        <f t="shared" si="404"/>
        <v>85715</v>
      </c>
      <c r="CG309" s="1642">
        <f t="shared" si="404"/>
        <v>86176</v>
      </c>
      <c r="CH309" s="1642">
        <f t="shared" si="404"/>
        <v>86734</v>
      </c>
      <c r="CI309" s="1642">
        <f t="shared" si="404"/>
        <v>87535</v>
      </c>
      <c r="CJ309" s="1641">
        <f t="shared" si="404"/>
        <v>88414</v>
      </c>
      <c r="CK309" s="1642">
        <f t="shared" si="404"/>
        <v>89735</v>
      </c>
      <c r="CL309" s="1642">
        <f t="shared" si="404"/>
        <v>90708</v>
      </c>
      <c r="CM309" s="1681">
        <f t="shared" si="404"/>
        <v>92167</v>
      </c>
      <c r="CN309" s="1672">
        <f t="shared" si="404"/>
        <v>92988</v>
      </c>
      <c r="CO309" s="1672">
        <f t="shared" si="404"/>
        <v>94154</v>
      </c>
      <c r="CP309" s="1672">
        <f t="shared" si="404"/>
        <v>95899</v>
      </c>
      <c r="CQ309" s="1681">
        <f t="shared" si="404"/>
        <v>98230</v>
      </c>
      <c r="CR309" s="1672">
        <f t="shared" si="404"/>
        <v>98930</v>
      </c>
      <c r="CS309" s="1672">
        <f t="shared" si="404"/>
        <v>100124</v>
      </c>
      <c r="CT309" s="1672">
        <f t="shared" si="404"/>
        <v>101150</v>
      </c>
      <c r="CU309" s="1681">
        <f t="shared" si="404"/>
        <v>102799</v>
      </c>
      <c r="CV309" s="1672">
        <f t="shared" si="404"/>
        <v>103330</v>
      </c>
      <c r="CW309" s="1672">
        <f t="shared" si="404"/>
        <v>104637</v>
      </c>
      <c r="CX309" s="1672">
        <f t="shared" si="404"/>
        <v>106156</v>
      </c>
      <c r="CY309" s="1681">
        <f t="shared" si="404"/>
        <v>108211</v>
      </c>
      <c r="CZ309" s="1672">
        <f t="shared" si="404"/>
        <v>108582</v>
      </c>
      <c r="DA309" s="1672">
        <f t="shared" ref="DA309:DF309" si="405">+DA307+DA308</f>
        <v>109548</v>
      </c>
      <c r="DB309" s="1672">
        <f t="shared" si="405"/>
        <v>110760</v>
      </c>
      <c r="DC309" s="1672">
        <f t="shared" si="405"/>
        <v>112108</v>
      </c>
      <c r="DD309" s="1672">
        <f t="shared" si="405"/>
        <v>112573</v>
      </c>
      <c r="DE309" s="1672">
        <f t="shared" si="405"/>
        <v>113154</v>
      </c>
      <c r="DF309" s="1672">
        <f t="shared" si="405"/>
        <v>113676</v>
      </c>
      <c r="DG309" s="1672">
        <f t="shared" ref="DG309:DH309" si="406">+DG307+DG308</f>
        <v>114243</v>
      </c>
      <c r="DH309" s="1672">
        <f t="shared" si="406"/>
        <v>113913</v>
      </c>
      <c r="DI309" s="1672">
        <f t="shared" ref="DI309:DJ309" si="407">+DI307+DI308</f>
        <v>114536</v>
      </c>
      <c r="DJ309" s="1672">
        <f t="shared" si="407"/>
        <v>115274</v>
      </c>
      <c r="DK309" s="1672">
        <f t="shared" ref="DK309:DL309" si="408">+DK307+DK308</f>
        <v>116257</v>
      </c>
      <c r="DL309" s="1672">
        <f t="shared" si="408"/>
        <v>116182</v>
      </c>
    </row>
    <row r="310" spans="1:116" ht="12.75" hidden="1" customHeight="1">
      <c r="A310" s="1539" t="s">
        <v>1600</v>
      </c>
      <c r="B310" s="1642"/>
      <c r="C310" s="1642"/>
      <c r="D310" s="1642"/>
      <c r="E310" s="1641"/>
      <c r="F310" s="1642"/>
      <c r="G310" s="1642"/>
      <c r="H310" s="1642"/>
      <c r="I310" s="1642"/>
      <c r="J310" s="1642"/>
      <c r="K310" s="1681"/>
      <c r="L310" s="1642"/>
      <c r="M310" s="1642"/>
      <c r="N310" s="1642"/>
      <c r="O310" s="1642"/>
      <c r="P310" s="1642"/>
      <c r="Q310" s="1642"/>
      <c r="R310" s="1642"/>
      <c r="S310" s="1642"/>
      <c r="T310" s="1642"/>
      <c r="U310" s="1642"/>
      <c r="V310" s="1642"/>
      <c r="W310" s="1642"/>
      <c r="X310" s="1642"/>
      <c r="Y310" s="1642"/>
      <c r="Z310" s="1642"/>
      <c r="AA310" s="1642"/>
      <c r="AB310" s="1642"/>
      <c r="AC310" s="1642"/>
      <c r="AD310" s="1642"/>
      <c r="AE310" s="1642"/>
      <c r="AF310" s="1641"/>
      <c r="AG310" s="1642"/>
      <c r="AH310" s="1642"/>
      <c r="AI310" s="1642"/>
      <c r="AJ310" s="1641"/>
      <c r="AK310" s="1642"/>
      <c r="AL310" s="1642"/>
      <c r="AM310" s="1642"/>
      <c r="AN310" s="1641"/>
      <c r="AO310" s="1642"/>
      <c r="AP310" s="1642"/>
      <c r="AQ310" s="1642"/>
      <c r="AR310" s="1641"/>
      <c r="AS310" s="1642"/>
      <c r="AT310" s="1642"/>
      <c r="AU310" s="1642"/>
      <c r="AV310" s="1641"/>
      <c r="AW310" s="1642"/>
      <c r="AX310" s="1642"/>
      <c r="AY310" s="1642"/>
      <c r="AZ310" s="1641"/>
      <c r="BA310" s="1642"/>
      <c r="BB310" s="1642"/>
      <c r="BC310" s="1642"/>
      <c r="BD310" s="1641"/>
      <c r="BE310" s="1642"/>
      <c r="BF310" s="1642"/>
      <c r="BG310" s="1642"/>
      <c r="BH310" s="1641"/>
      <c r="BI310" s="1642"/>
      <c r="BJ310" s="1642"/>
      <c r="BK310" s="1642"/>
      <c r="BL310" s="1641"/>
      <c r="BM310" s="1642"/>
      <c r="BN310" s="1642"/>
      <c r="BO310" s="1642"/>
      <c r="BP310" s="1641"/>
      <c r="BQ310" s="1642"/>
      <c r="BR310" s="1642"/>
      <c r="BS310" s="1642"/>
      <c r="BT310" s="1641"/>
      <c r="BU310" s="1642"/>
      <c r="BV310" s="1634"/>
      <c r="BW310" s="1634"/>
      <c r="BX310" s="1633"/>
      <c r="BY310" s="1634"/>
      <c r="BZ310" s="1634"/>
      <c r="CA310" s="1634"/>
      <c r="CB310" s="1633">
        <v>10210</v>
      </c>
      <c r="CC310" s="1634">
        <v>9948</v>
      </c>
      <c r="CD310" s="1634">
        <v>10093</v>
      </c>
      <c r="CE310" s="1634">
        <v>11050</v>
      </c>
      <c r="CF310" s="1633">
        <v>12304</v>
      </c>
      <c r="CG310" s="1634">
        <v>13560</v>
      </c>
      <c r="CH310" s="1634">
        <v>14361</v>
      </c>
      <c r="CI310" s="1634">
        <v>14711</v>
      </c>
      <c r="CJ310" s="1633">
        <v>15608</v>
      </c>
      <c r="CK310" s="1634">
        <v>16557</v>
      </c>
      <c r="CL310" s="1634">
        <v>16987</v>
      </c>
      <c r="CM310" s="1648">
        <v>15631</v>
      </c>
      <c r="CN310" s="1649">
        <v>16500</v>
      </c>
      <c r="CO310" s="1649">
        <f>CN310+250</f>
        <v>16750</v>
      </c>
      <c r="CP310" s="1649">
        <f>CO310+123</f>
        <v>16873</v>
      </c>
      <c r="CQ310" s="1648">
        <f>CP310+123</f>
        <v>16996</v>
      </c>
      <c r="CR310" s="1649">
        <f>CQ310+1000</f>
        <v>17996</v>
      </c>
      <c r="CS310" s="1649">
        <f t="shared" ref="CS310:CY310" si="409">CR310+500</f>
        <v>18496</v>
      </c>
      <c r="CT310" s="1649">
        <f t="shared" si="409"/>
        <v>18996</v>
      </c>
      <c r="CU310" s="1648">
        <f t="shared" si="409"/>
        <v>19496</v>
      </c>
      <c r="CV310" s="1649">
        <f t="shared" si="409"/>
        <v>19996</v>
      </c>
      <c r="CW310" s="1649">
        <f t="shared" si="409"/>
        <v>20496</v>
      </c>
      <c r="CX310" s="1649">
        <f t="shared" si="409"/>
        <v>20996</v>
      </c>
      <c r="CY310" s="1648">
        <f t="shared" si="409"/>
        <v>21496</v>
      </c>
      <c r="CZ310" s="1649">
        <f t="shared" ref="CZ310:DL310" si="410">CY310+500</f>
        <v>21996</v>
      </c>
      <c r="DA310" s="1649">
        <f t="shared" si="410"/>
        <v>22496</v>
      </c>
      <c r="DB310" s="1649">
        <f t="shared" si="410"/>
        <v>22996</v>
      </c>
      <c r="DC310" s="1649">
        <f t="shared" si="410"/>
        <v>23496</v>
      </c>
      <c r="DD310" s="1649">
        <f t="shared" si="410"/>
        <v>23996</v>
      </c>
      <c r="DE310" s="1649">
        <f t="shared" si="410"/>
        <v>24496</v>
      </c>
      <c r="DF310" s="1649">
        <f t="shared" si="410"/>
        <v>24996</v>
      </c>
      <c r="DG310" s="1649">
        <f t="shared" si="410"/>
        <v>25496</v>
      </c>
      <c r="DH310" s="1649">
        <f t="shared" si="410"/>
        <v>25996</v>
      </c>
      <c r="DI310" s="1649">
        <f t="shared" si="410"/>
        <v>26496</v>
      </c>
      <c r="DJ310" s="1649">
        <f t="shared" si="410"/>
        <v>26996</v>
      </c>
      <c r="DK310" s="1649">
        <f t="shared" si="410"/>
        <v>27496</v>
      </c>
      <c r="DL310" s="1649">
        <f t="shared" si="410"/>
        <v>27996</v>
      </c>
    </row>
    <row r="311" spans="1:116" s="1785" customFormat="1" ht="12.75" hidden="1" customHeight="1">
      <c r="A311" s="954" t="s">
        <v>1601</v>
      </c>
      <c r="B311" s="1693"/>
      <c r="C311" s="1693"/>
      <c r="D311" s="1693"/>
      <c r="E311" s="1694"/>
      <c r="F311" s="1693"/>
      <c r="G311" s="1693"/>
      <c r="H311" s="1693"/>
      <c r="I311" s="1693"/>
      <c r="J311" s="1693"/>
      <c r="K311" s="1695"/>
      <c r="L311" s="1693"/>
      <c r="M311" s="1693"/>
      <c r="N311" s="1693"/>
      <c r="O311" s="1693"/>
      <c r="P311" s="1693"/>
      <c r="Q311" s="1693"/>
      <c r="R311" s="1693"/>
      <c r="S311" s="1693"/>
      <c r="T311" s="1693"/>
      <c r="U311" s="1693"/>
      <c r="V311" s="1693"/>
      <c r="W311" s="1693"/>
      <c r="X311" s="1693"/>
      <c r="Y311" s="1693"/>
      <c r="Z311" s="1693"/>
      <c r="AA311" s="1693"/>
      <c r="AB311" s="1693"/>
      <c r="AC311" s="1693"/>
      <c r="AD311" s="1693"/>
      <c r="AE311" s="1693"/>
      <c r="AF311" s="1694"/>
      <c r="AG311" s="1693"/>
      <c r="AH311" s="1693"/>
      <c r="AI311" s="1693"/>
      <c r="AJ311" s="1694"/>
      <c r="AK311" s="1693"/>
      <c r="AL311" s="1693"/>
      <c r="AM311" s="1693"/>
      <c r="AN311" s="1694"/>
      <c r="AO311" s="1693"/>
      <c r="AP311" s="1693"/>
      <c r="AQ311" s="1693"/>
      <c r="AR311" s="1694"/>
      <c r="AS311" s="1693"/>
      <c r="AT311" s="1693"/>
      <c r="AU311" s="1693"/>
      <c r="AV311" s="1694"/>
      <c r="AW311" s="1693"/>
      <c r="AX311" s="1693"/>
      <c r="AY311" s="1693"/>
      <c r="AZ311" s="1694"/>
      <c r="BA311" s="1693"/>
      <c r="BB311" s="1693"/>
      <c r="BC311" s="1693"/>
      <c r="BD311" s="1694"/>
      <c r="BE311" s="1693"/>
      <c r="BF311" s="1693"/>
      <c r="BG311" s="1693"/>
      <c r="BH311" s="1694"/>
      <c r="BI311" s="1693"/>
      <c r="BJ311" s="1693"/>
      <c r="BK311" s="1693"/>
      <c r="BL311" s="1694"/>
      <c r="BM311" s="1693"/>
      <c r="BN311" s="1693"/>
      <c r="BO311" s="1693"/>
      <c r="BP311" s="1694"/>
      <c r="BQ311" s="1693"/>
      <c r="BR311" s="1693"/>
      <c r="BS311" s="1693"/>
      <c r="BT311" s="1694"/>
      <c r="BU311" s="1693"/>
      <c r="BV311" s="1698"/>
      <c r="BW311" s="1698"/>
      <c r="BX311" s="1697"/>
      <c r="BY311" s="1698"/>
      <c r="BZ311" s="1698"/>
      <c r="CA311" s="1698"/>
      <c r="CB311" s="1786">
        <f t="shared" ref="CB311:CU311" si="411">+CB309+CB310</f>
        <v>92390</v>
      </c>
      <c r="CC311" s="1787">
        <f t="shared" si="411"/>
        <v>93220</v>
      </c>
      <c r="CD311" s="1787">
        <f t="shared" si="411"/>
        <v>94361</v>
      </c>
      <c r="CE311" s="1787">
        <f t="shared" si="411"/>
        <v>96495</v>
      </c>
      <c r="CF311" s="1786">
        <f t="shared" si="411"/>
        <v>98019</v>
      </c>
      <c r="CG311" s="1787">
        <f t="shared" si="411"/>
        <v>99736</v>
      </c>
      <c r="CH311" s="1787">
        <f t="shared" si="411"/>
        <v>101095</v>
      </c>
      <c r="CI311" s="1787">
        <f t="shared" si="411"/>
        <v>102246</v>
      </c>
      <c r="CJ311" s="1786">
        <f t="shared" si="411"/>
        <v>104022</v>
      </c>
      <c r="CK311" s="1787">
        <f t="shared" si="411"/>
        <v>106292</v>
      </c>
      <c r="CL311" s="1787">
        <f t="shared" si="411"/>
        <v>107695</v>
      </c>
      <c r="CM311" s="1788">
        <f t="shared" si="411"/>
        <v>107798</v>
      </c>
      <c r="CN311" s="1789">
        <f t="shared" si="411"/>
        <v>109488</v>
      </c>
      <c r="CO311" s="1789">
        <f t="shared" si="411"/>
        <v>110904</v>
      </c>
      <c r="CP311" s="1789">
        <f t="shared" si="411"/>
        <v>112772</v>
      </c>
      <c r="CQ311" s="1788">
        <f t="shared" si="411"/>
        <v>115226</v>
      </c>
      <c r="CR311" s="1789">
        <f t="shared" si="411"/>
        <v>116926</v>
      </c>
      <c r="CS311" s="1789">
        <f t="shared" si="411"/>
        <v>118620</v>
      </c>
      <c r="CT311" s="1789">
        <f t="shared" si="411"/>
        <v>120146</v>
      </c>
      <c r="CU311" s="1788">
        <f t="shared" si="411"/>
        <v>122295</v>
      </c>
      <c r="CV311" s="1789">
        <f t="shared" ref="CV311:DA311" si="412">+CV309+CV310</f>
        <v>123326</v>
      </c>
      <c r="CW311" s="1789">
        <f t="shared" si="412"/>
        <v>125133</v>
      </c>
      <c r="CX311" s="1789">
        <f t="shared" si="412"/>
        <v>127152</v>
      </c>
      <c r="CY311" s="1788">
        <f t="shared" si="412"/>
        <v>129707</v>
      </c>
      <c r="CZ311" s="1789">
        <f t="shared" si="412"/>
        <v>130578</v>
      </c>
      <c r="DA311" s="1789">
        <f t="shared" si="412"/>
        <v>132044</v>
      </c>
      <c r="DB311" s="1789">
        <f t="shared" ref="DB311:DG311" si="413">+DB309+DB310</f>
        <v>133756</v>
      </c>
      <c r="DC311" s="1789">
        <f t="shared" si="413"/>
        <v>135604</v>
      </c>
      <c r="DD311" s="1789">
        <f t="shared" si="413"/>
        <v>136569</v>
      </c>
      <c r="DE311" s="1789">
        <f t="shared" si="413"/>
        <v>137650</v>
      </c>
      <c r="DF311" s="1789">
        <f t="shared" si="413"/>
        <v>138672</v>
      </c>
      <c r="DG311" s="1789">
        <f t="shared" si="413"/>
        <v>139739</v>
      </c>
      <c r="DH311" s="1789">
        <f t="shared" ref="DH311:DI311" si="414">+DH309+DH310</f>
        <v>139909</v>
      </c>
      <c r="DI311" s="1789">
        <f t="shared" si="414"/>
        <v>141032</v>
      </c>
      <c r="DJ311" s="1789">
        <f t="shared" ref="DJ311:DK311" si="415">+DJ309+DJ310</f>
        <v>142270</v>
      </c>
      <c r="DK311" s="1789">
        <f t="shared" si="415"/>
        <v>143753</v>
      </c>
      <c r="DL311" s="1789">
        <f t="shared" ref="DL311" si="416">+DL309+DL310</f>
        <v>144178</v>
      </c>
    </row>
    <row r="312" spans="1:116" ht="12.75" customHeight="1">
      <c r="A312" s="1539"/>
      <c r="B312" s="1642"/>
      <c r="C312" s="1642"/>
      <c r="D312" s="1642"/>
      <c r="E312" s="1641"/>
      <c r="F312" s="1642"/>
      <c r="G312" s="1642"/>
      <c r="H312" s="1642"/>
      <c r="I312" s="1642"/>
      <c r="J312" s="1642"/>
      <c r="K312" s="1681"/>
      <c r="L312" s="1642"/>
      <c r="M312" s="1642"/>
      <c r="N312" s="1642"/>
      <c r="O312" s="1642"/>
      <c r="P312" s="1642"/>
      <c r="Q312" s="1642"/>
      <c r="R312" s="1642"/>
      <c r="S312" s="1642"/>
      <c r="T312" s="1642"/>
      <c r="U312" s="1642"/>
      <c r="V312" s="1642"/>
      <c r="W312" s="1642"/>
      <c r="X312" s="1642"/>
      <c r="Y312" s="1642"/>
      <c r="Z312" s="1642"/>
      <c r="AA312" s="1642"/>
      <c r="AB312" s="1642"/>
      <c r="AC312" s="1642"/>
      <c r="AD312" s="1642"/>
      <c r="AE312" s="1642"/>
      <c r="AF312" s="1641"/>
      <c r="AG312" s="1642"/>
      <c r="AH312" s="1642"/>
      <c r="AI312" s="1642"/>
      <c r="AJ312" s="1641"/>
      <c r="AK312" s="1642"/>
      <c r="AL312" s="1642"/>
      <c r="AM312" s="1642"/>
      <c r="AN312" s="1641"/>
      <c r="AO312" s="1642"/>
      <c r="AP312" s="1642"/>
      <c r="AQ312" s="1642"/>
      <c r="AR312" s="1641"/>
      <c r="AS312" s="1642"/>
      <c r="AT312" s="1642"/>
      <c r="AU312" s="1642"/>
      <c r="AV312" s="1641"/>
      <c r="AW312" s="1642"/>
      <c r="AX312" s="1642"/>
      <c r="AY312" s="1642"/>
      <c r="AZ312" s="1641"/>
      <c r="BA312" s="1642"/>
      <c r="BB312" s="1642"/>
      <c r="BC312" s="1642"/>
      <c r="BD312" s="1641"/>
      <c r="BE312" s="1642"/>
      <c r="BF312" s="1642"/>
      <c r="BG312" s="1642"/>
      <c r="BH312" s="1641"/>
      <c r="BI312" s="1642"/>
      <c r="BJ312" s="1642"/>
      <c r="BK312" s="1642"/>
      <c r="BL312" s="1641"/>
      <c r="BM312" s="1642"/>
      <c r="BN312" s="1642"/>
      <c r="BO312" s="1642"/>
      <c r="BP312" s="1641"/>
      <c r="BQ312" s="1642"/>
      <c r="BR312" s="1642"/>
      <c r="BS312" s="1642"/>
      <c r="BT312" s="1641"/>
      <c r="BU312" s="1642"/>
      <c r="BV312" s="1634"/>
      <c r="BW312" s="1634"/>
      <c r="BX312" s="1633"/>
      <c r="BY312" s="1634"/>
      <c r="BZ312" s="1634"/>
      <c r="CA312" s="1634"/>
      <c r="CB312" s="1633"/>
      <c r="CC312" s="1634"/>
      <c r="CD312" s="1634"/>
      <c r="CE312" s="1634"/>
      <c r="CF312" s="1641"/>
      <c r="CG312" s="1642"/>
      <c r="CH312" s="1642"/>
      <c r="CI312" s="1642"/>
      <c r="CJ312" s="1641"/>
      <c r="CK312" s="1642"/>
      <c r="CL312" s="1642"/>
      <c r="CM312" s="1681"/>
      <c r="CN312" s="1672"/>
      <c r="CO312" s="1672"/>
      <c r="CP312" s="1672"/>
      <c r="CQ312" s="1681"/>
      <c r="CR312" s="1672"/>
      <c r="CS312" s="1672"/>
      <c r="CT312" s="1672"/>
      <c r="CU312" s="1681"/>
      <c r="CV312" s="1672"/>
      <c r="CW312" s="1672"/>
      <c r="CX312" s="1672"/>
      <c r="CY312" s="1681"/>
      <c r="CZ312" s="1672"/>
      <c r="DA312" s="1672"/>
      <c r="DB312" s="1672"/>
      <c r="DC312" s="1672"/>
      <c r="DD312" s="1672"/>
      <c r="DE312" s="1672"/>
      <c r="DF312" s="1672"/>
      <c r="DG312" s="1672"/>
      <c r="DH312" s="1672"/>
      <c r="DI312" s="1672"/>
      <c r="DJ312" s="1672"/>
      <c r="DK312" s="1672"/>
      <c r="DL312" s="1672"/>
    </row>
    <row r="313" spans="1:116" ht="12.75" hidden="1" customHeight="1">
      <c r="A313" s="1539"/>
      <c r="B313" s="1642"/>
      <c r="C313" s="1642"/>
      <c r="D313" s="1642"/>
      <c r="E313" s="1641"/>
      <c r="F313" s="1642"/>
      <c r="G313" s="1642"/>
      <c r="H313" s="1642"/>
      <c r="I313" s="1642"/>
      <c r="J313" s="1642"/>
      <c r="K313" s="1681"/>
      <c r="L313" s="1642"/>
      <c r="M313" s="1642"/>
      <c r="N313" s="1642"/>
      <c r="O313" s="1642"/>
      <c r="P313" s="1642"/>
      <c r="Q313" s="1642"/>
      <c r="R313" s="1642"/>
      <c r="S313" s="1642"/>
      <c r="T313" s="1642"/>
      <c r="U313" s="1642"/>
      <c r="V313" s="1642"/>
      <c r="W313" s="1642"/>
      <c r="X313" s="1642"/>
      <c r="Y313" s="1642"/>
      <c r="Z313" s="1642"/>
      <c r="AA313" s="1642"/>
      <c r="AB313" s="1642"/>
      <c r="AC313" s="1642"/>
      <c r="AD313" s="1642"/>
      <c r="AE313" s="1642"/>
      <c r="AF313" s="1641"/>
      <c r="AG313" s="1642"/>
      <c r="AH313" s="1642"/>
      <c r="AI313" s="1642"/>
      <c r="AJ313" s="1641"/>
      <c r="AK313" s="1642"/>
      <c r="AL313" s="1642"/>
      <c r="AM313" s="1642"/>
      <c r="AN313" s="1641"/>
      <c r="AO313" s="1642"/>
      <c r="AP313" s="1642"/>
      <c r="AQ313" s="1642"/>
      <c r="AR313" s="1641"/>
      <c r="AS313" s="1642"/>
      <c r="AT313" s="1642"/>
      <c r="AU313" s="1642"/>
      <c r="AV313" s="1641"/>
      <c r="AW313" s="1642"/>
      <c r="AX313" s="1642"/>
      <c r="AY313" s="1642"/>
      <c r="AZ313" s="1641"/>
      <c r="BA313" s="1642"/>
      <c r="BB313" s="1642"/>
      <c r="BC313" s="1642"/>
      <c r="BD313" s="1641"/>
      <c r="BE313" s="1642"/>
      <c r="BF313" s="1642"/>
      <c r="BG313" s="1642"/>
      <c r="BH313" s="1641"/>
      <c r="BI313" s="1642"/>
      <c r="BJ313" s="1642"/>
      <c r="BK313" s="1642"/>
      <c r="BL313" s="1641"/>
      <c r="BM313" s="1642"/>
      <c r="BN313" s="1642"/>
      <c r="BO313" s="1642"/>
      <c r="BP313" s="1641"/>
      <c r="BQ313" s="1642"/>
      <c r="BR313" s="1642"/>
      <c r="BS313" s="1642"/>
      <c r="BT313" s="1641"/>
      <c r="BU313" s="1642"/>
      <c r="BV313" s="1642"/>
      <c r="BW313" s="1642">
        <v>77965</v>
      </c>
      <c r="BX313" s="1641"/>
      <c r="BY313" s="1642"/>
      <c r="BZ313" s="1642"/>
      <c r="CA313" s="1642"/>
      <c r="CB313" s="1641"/>
      <c r="CC313" s="1642"/>
      <c r="CD313" s="1642"/>
      <c r="CE313" s="1642"/>
      <c r="CF313" s="1641"/>
      <c r="CG313" s="1642"/>
      <c r="CH313" s="1642"/>
      <c r="CI313" s="1642"/>
      <c r="CJ313" s="1641"/>
      <c r="CK313" s="1642"/>
      <c r="CL313" s="1642"/>
      <c r="CM313" s="1681"/>
      <c r="CN313" s="1672"/>
      <c r="CO313" s="1672"/>
      <c r="CP313" s="1672"/>
      <c r="CQ313" s="1681"/>
      <c r="CR313" s="1672"/>
      <c r="CS313" s="1672"/>
      <c r="CT313" s="1672"/>
      <c r="CU313" s="1681"/>
      <c r="CV313" s="1672"/>
      <c r="CW313" s="1672"/>
      <c r="CX313" s="1672"/>
      <c r="CY313" s="1681"/>
      <c r="CZ313" s="1672"/>
      <c r="DA313" s="1672"/>
      <c r="DB313" s="1672"/>
      <c r="DC313" s="1672"/>
      <c r="DD313" s="1672"/>
      <c r="DE313" s="1672"/>
      <c r="DF313" s="1672"/>
      <c r="DG313" s="1672"/>
      <c r="DH313" s="1672"/>
      <c r="DI313" s="1672"/>
      <c r="DJ313" s="1672"/>
      <c r="DK313" s="1672"/>
      <c r="DL313" s="1672"/>
    </row>
    <row r="314" spans="1:116" ht="12.75" hidden="1" customHeight="1">
      <c r="A314" s="1627" t="s">
        <v>688</v>
      </c>
      <c r="B314" s="1759"/>
      <c r="C314" s="1759"/>
      <c r="D314" s="1759"/>
      <c r="E314" s="1760"/>
      <c r="F314" s="1759"/>
      <c r="G314" s="1759"/>
      <c r="H314" s="1642"/>
      <c r="I314" s="1642"/>
      <c r="J314" s="1642"/>
      <c r="K314" s="1681"/>
      <c r="L314" s="1642"/>
      <c r="M314" s="1642"/>
      <c r="N314" s="1642"/>
      <c r="O314" s="1642"/>
      <c r="P314" s="1642"/>
      <c r="Q314" s="1642"/>
      <c r="R314" s="1642"/>
      <c r="S314" s="1642"/>
      <c r="T314" s="1642"/>
      <c r="U314" s="1642"/>
      <c r="V314" s="1642"/>
      <c r="W314" s="1642"/>
      <c r="X314" s="1642"/>
      <c r="Y314" s="1642"/>
      <c r="Z314" s="1642"/>
      <c r="AA314" s="1642"/>
      <c r="AB314" s="1642"/>
      <c r="AC314" s="1642"/>
      <c r="AD314" s="1642"/>
      <c r="AE314" s="1642"/>
      <c r="AF314" s="1641"/>
      <c r="AG314" s="1642"/>
      <c r="AH314" s="1642"/>
      <c r="AI314" s="1642"/>
      <c r="AJ314" s="1641"/>
      <c r="AK314" s="1642"/>
      <c r="AL314" s="1642"/>
      <c r="AM314" s="1642"/>
      <c r="AN314" s="1641"/>
      <c r="AO314" s="1642"/>
      <c r="AP314" s="1642"/>
      <c r="AQ314" s="1642"/>
      <c r="AR314" s="1641"/>
      <c r="AS314" s="1642"/>
      <c r="AT314" s="1642"/>
      <c r="AU314" s="1642"/>
      <c r="AV314" s="1641"/>
      <c r="AW314" s="1642"/>
      <c r="AX314" s="1642"/>
      <c r="AY314" s="1642"/>
      <c r="AZ314" s="1641"/>
      <c r="BA314" s="1642"/>
      <c r="BB314" s="1642"/>
      <c r="BC314" s="1642"/>
      <c r="BD314" s="1641"/>
      <c r="BE314" s="1642"/>
      <c r="BF314" s="1642"/>
      <c r="BG314" s="1642"/>
      <c r="BH314" s="1641"/>
      <c r="BI314" s="1642"/>
      <c r="BJ314" s="1642"/>
      <c r="BK314" s="1642"/>
      <c r="BL314" s="1641"/>
      <c r="BM314" s="1642"/>
      <c r="BN314" s="1642"/>
      <c r="BO314" s="1642"/>
      <c r="BP314" s="1641"/>
      <c r="BQ314" s="1642"/>
      <c r="BR314" s="1642"/>
      <c r="BS314" s="1642"/>
      <c r="BT314" s="1641"/>
      <c r="BU314" s="1642"/>
      <c r="BV314" s="1642"/>
      <c r="BW314" s="1642"/>
      <c r="BX314" s="1641"/>
      <c r="BY314" s="1642"/>
      <c r="BZ314" s="1642"/>
      <c r="CA314" s="1642"/>
      <c r="CB314" s="1641"/>
      <c r="CC314" s="1642"/>
      <c r="CD314" s="1642"/>
      <c r="CE314" s="1642"/>
      <c r="CF314" s="1641"/>
      <c r="CG314" s="1642"/>
      <c r="CH314" s="1642"/>
      <c r="CI314" s="1642"/>
      <c r="CJ314" s="1641"/>
      <c r="CK314" s="1642"/>
      <c r="CL314" s="1642"/>
      <c r="CM314" s="1681"/>
      <c r="CN314" s="1672"/>
      <c r="CO314" s="1672"/>
      <c r="CP314" s="1672"/>
      <c r="CQ314" s="1681"/>
      <c r="CR314" s="1672"/>
      <c r="CS314" s="1672"/>
      <c r="CT314" s="1672"/>
      <c r="CU314" s="1681"/>
      <c r="CV314" s="1672"/>
      <c r="CW314" s="1672"/>
      <c r="CX314" s="1672"/>
      <c r="CY314" s="1681"/>
      <c r="CZ314" s="1672"/>
      <c r="DA314" s="1672"/>
      <c r="DB314" s="1672"/>
      <c r="DC314" s="1672"/>
      <c r="DD314" s="1672"/>
      <c r="DE314" s="1672"/>
      <c r="DF314" s="1672"/>
      <c r="DG314" s="1672"/>
      <c r="DH314" s="1672"/>
      <c r="DI314" s="1672"/>
      <c r="DJ314" s="1672"/>
      <c r="DK314" s="1672"/>
      <c r="DL314" s="1672"/>
    </row>
    <row r="315" spans="1:116" ht="12.75" hidden="1" customHeight="1">
      <c r="A315" s="1539" t="s">
        <v>1433</v>
      </c>
      <c r="B315" s="1642"/>
      <c r="C315" s="1642"/>
      <c r="D315" s="1642"/>
      <c r="E315" s="1641"/>
      <c r="F315" s="1642"/>
      <c r="G315" s="1642"/>
      <c r="H315" s="1642"/>
      <c r="I315" s="1642"/>
      <c r="J315" s="1642"/>
      <c r="K315" s="1681"/>
      <c r="L315" s="1642"/>
      <c r="M315" s="1642"/>
      <c r="N315" s="1642"/>
      <c r="O315" s="1642"/>
      <c r="P315" s="1642"/>
      <c r="Q315" s="1642"/>
      <c r="R315" s="1642"/>
      <c r="S315" s="1642"/>
      <c r="T315" s="1642"/>
      <c r="U315" s="1642"/>
      <c r="V315" s="1642"/>
      <c r="W315" s="1642"/>
      <c r="X315" s="1642"/>
      <c r="Y315" s="1642"/>
      <c r="Z315" s="1642"/>
      <c r="AA315" s="1642"/>
      <c r="AB315" s="1642"/>
      <c r="AC315" s="1642"/>
      <c r="AD315" s="1642"/>
      <c r="AE315" s="1642"/>
      <c r="AF315" s="1641"/>
      <c r="AG315" s="1642"/>
      <c r="AH315" s="1642"/>
      <c r="AI315" s="1642"/>
      <c r="AJ315" s="1641"/>
      <c r="AK315" s="1642"/>
      <c r="AL315" s="1642"/>
      <c r="AM315" s="1642"/>
      <c r="AN315" s="1641"/>
      <c r="AO315" s="1642"/>
      <c r="AP315" s="1642"/>
      <c r="AQ315" s="1642"/>
      <c r="AR315" s="1641"/>
      <c r="AS315" s="1642"/>
      <c r="AT315" s="1642"/>
      <c r="AU315" s="1642"/>
      <c r="AV315" s="1641"/>
      <c r="AW315" s="1642"/>
      <c r="AX315" s="1642"/>
      <c r="AY315" s="1642"/>
      <c r="AZ315" s="1641"/>
      <c r="BA315" s="1642"/>
      <c r="BB315" s="1642"/>
      <c r="BC315" s="1642"/>
      <c r="BD315" s="1641"/>
      <c r="BE315" s="1642"/>
      <c r="BF315" s="1642"/>
      <c r="BG315" s="1642"/>
      <c r="BH315" s="1641"/>
      <c r="BI315" s="1642"/>
      <c r="BJ315" s="1642"/>
      <c r="BK315" s="1642"/>
      <c r="BL315" s="1641"/>
      <c r="BM315" s="1642"/>
      <c r="BN315" s="1642"/>
      <c r="BO315" s="1642"/>
      <c r="BP315" s="1641"/>
      <c r="BQ315" s="1642"/>
      <c r="BR315" s="1642"/>
      <c r="BS315" s="1642"/>
      <c r="BT315" s="1641"/>
      <c r="BU315" s="1642"/>
      <c r="BV315" s="1642"/>
      <c r="BW315" s="1642"/>
      <c r="BX315" s="1641"/>
      <c r="BY315" s="1642"/>
      <c r="BZ315" s="1642"/>
      <c r="CA315" s="1642"/>
      <c r="CB315" s="1641"/>
      <c r="CC315" s="1642"/>
      <c r="CD315" s="1642"/>
      <c r="CE315" s="1642"/>
      <c r="CF315" s="1641"/>
      <c r="CG315" s="1642"/>
      <c r="CH315" s="1642"/>
      <c r="CI315" s="1642"/>
      <c r="CJ315" s="1641"/>
      <c r="CK315" s="1642"/>
      <c r="CL315" s="1642"/>
      <c r="CM315" s="1681"/>
      <c r="CN315" s="1672"/>
      <c r="CO315" s="1672"/>
      <c r="CP315" s="1672"/>
      <c r="CQ315" s="1681"/>
      <c r="CR315" s="1672"/>
      <c r="CS315" s="1672"/>
      <c r="CT315" s="1672"/>
      <c r="CU315" s="1681"/>
      <c r="CV315" s="1672"/>
      <c r="CW315" s="1672"/>
      <c r="CX315" s="1672"/>
      <c r="CY315" s="1681"/>
      <c r="CZ315" s="1672"/>
      <c r="DA315" s="1672"/>
      <c r="DB315" s="1672"/>
      <c r="DC315" s="1672"/>
      <c r="DD315" s="1672"/>
      <c r="DE315" s="1672"/>
      <c r="DF315" s="1672"/>
      <c r="DG315" s="1672"/>
      <c r="DH315" s="1672"/>
      <c r="DI315" s="1672"/>
      <c r="DJ315" s="1672"/>
      <c r="DK315" s="1672"/>
      <c r="DL315" s="1672"/>
    </row>
    <row r="316" spans="1:116" ht="12.75" hidden="1" customHeight="1">
      <c r="A316" s="1628" t="s">
        <v>689</v>
      </c>
      <c r="B316" s="1642"/>
      <c r="C316" s="1642"/>
      <c r="D316" s="1642"/>
      <c r="E316" s="1641">
        <v>874</v>
      </c>
      <c r="F316" s="1642">
        <v>820</v>
      </c>
      <c r="G316" s="1642">
        <v>964</v>
      </c>
      <c r="H316" s="1642">
        <f>AU316</f>
        <v>215</v>
      </c>
      <c r="I316" s="1642">
        <f>AY316</f>
        <v>270</v>
      </c>
      <c r="J316" s="1642">
        <f>BC316</f>
        <v>0</v>
      </c>
      <c r="K316" s="1681">
        <f>SUM(BD316:BG316)</f>
        <v>0</v>
      </c>
      <c r="L316" s="1642"/>
      <c r="M316" s="1642"/>
      <c r="N316" s="1642"/>
      <c r="O316" s="1642"/>
      <c r="P316" s="1642"/>
      <c r="Q316" s="1642"/>
      <c r="R316" s="1642"/>
      <c r="S316" s="1642"/>
      <c r="T316" s="1642"/>
      <c r="U316" s="1642"/>
      <c r="V316" s="1642"/>
      <c r="W316" s="1642"/>
      <c r="X316" s="1642"/>
      <c r="Y316" s="1642"/>
      <c r="Z316" s="1642"/>
      <c r="AA316" s="1642"/>
      <c r="AB316" s="1642"/>
      <c r="AC316" s="1642"/>
      <c r="AD316" s="1642"/>
      <c r="AE316" s="1642"/>
      <c r="AF316" s="1641">
        <v>248</v>
      </c>
      <c r="AG316" s="1642">
        <v>212</v>
      </c>
      <c r="AH316" s="1642">
        <v>196</v>
      </c>
      <c r="AI316" s="1642">
        <v>218</v>
      </c>
      <c r="AJ316" s="1641">
        <v>196</v>
      </c>
      <c r="AK316" s="1642">
        <v>217</v>
      </c>
      <c r="AL316" s="1642">
        <v>201</v>
      </c>
      <c r="AM316" s="1642">
        <v>206</v>
      </c>
      <c r="AN316" s="1641">
        <v>158</v>
      </c>
      <c r="AO316" s="1642">
        <v>174</v>
      </c>
      <c r="AP316" s="1642">
        <v>207</v>
      </c>
      <c r="AQ316" s="1642">
        <v>201</v>
      </c>
      <c r="AR316" s="1641">
        <v>180</v>
      </c>
      <c r="AS316" s="1642">
        <v>175</v>
      </c>
      <c r="AT316" s="1642">
        <v>188</v>
      </c>
      <c r="AU316" s="1642">
        <v>215</v>
      </c>
      <c r="AV316" s="1641">
        <v>209</v>
      </c>
      <c r="AW316" s="1642">
        <v>243</v>
      </c>
      <c r="AX316" s="1642">
        <v>257</v>
      </c>
      <c r="AY316" s="1642">
        <v>270</v>
      </c>
      <c r="AZ316" s="1641"/>
      <c r="BA316" s="1642"/>
      <c r="BB316" s="1642"/>
      <c r="BC316" s="1642"/>
      <c r="BD316" s="1641"/>
      <c r="BE316" s="1642"/>
      <c r="BF316" s="1642"/>
      <c r="BG316" s="1642"/>
      <c r="BH316" s="1641"/>
      <c r="BI316" s="1642"/>
      <c r="BJ316" s="1642"/>
      <c r="BK316" s="1642"/>
      <c r="BL316" s="1641"/>
      <c r="BM316" s="1642"/>
      <c r="BN316" s="1642"/>
      <c r="BO316" s="1642"/>
      <c r="BP316" s="1641"/>
      <c r="BQ316" s="1642"/>
      <c r="BR316" s="1642"/>
      <c r="BS316" s="1642"/>
      <c r="BT316" s="1641"/>
      <c r="BU316" s="1642"/>
      <c r="BV316" s="1642"/>
      <c r="BW316" s="1642"/>
      <c r="BX316" s="1641"/>
      <c r="BY316" s="1642"/>
      <c r="BZ316" s="1642"/>
      <c r="CA316" s="1642"/>
      <c r="CB316" s="1641"/>
      <c r="CC316" s="1642"/>
      <c r="CD316" s="1642"/>
      <c r="CE316" s="1642"/>
      <c r="CF316" s="1641"/>
      <c r="CG316" s="1642"/>
      <c r="CH316" s="1642"/>
      <c r="CI316" s="1642"/>
      <c r="CJ316" s="1641"/>
      <c r="CK316" s="1642"/>
      <c r="CL316" s="1642"/>
      <c r="CM316" s="1681"/>
      <c r="CN316" s="1672"/>
      <c r="CO316" s="1672"/>
      <c r="CP316" s="1672"/>
      <c r="CQ316" s="1681"/>
      <c r="CR316" s="1672"/>
      <c r="CS316" s="1672"/>
      <c r="CT316" s="1672"/>
      <c r="CU316" s="1681"/>
      <c r="CV316" s="1672"/>
      <c r="CW316" s="1672"/>
      <c r="CX316" s="1672"/>
      <c r="CY316" s="1681"/>
      <c r="CZ316" s="1672"/>
      <c r="DA316" s="1672"/>
      <c r="DB316" s="1672"/>
      <c r="DC316" s="1672"/>
      <c r="DD316" s="1672"/>
      <c r="DE316" s="1672"/>
      <c r="DF316" s="1672"/>
      <c r="DG316" s="1672"/>
      <c r="DH316" s="1672"/>
      <c r="DI316" s="1672"/>
      <c r="DJ316" s="1672"/>
      <c r="DK316" s="1672"/>
      <c r="DL316" s="1672"/>
    </row>
    <row r="317" spans="1:116" ht="12.75" hidden="1" customHeight="1">
      <c r="A317" s="1628" t="s">
        <v>538</v>
      </c>
      <c r="B317" s="1642"/>
      <c r="C317" s="1642"/>
      <c r="D317" s="1642"/>
      <c r="E317" s="1641">
        <v>544</v>
      </c>
      <c r="F317" s="1642">
        <v>870</v>
      </c>
      <c r="G317" s="1642">
        <v>993</v>
      </c>
      <c r="H317" s="1642">
        <f>AU317</f>
        <v>325</v>
      </c>
      <c r="I317" s="1642">
        <f>AY317</f>
        <v>345</v>
      </c>
      <c r="J317" s="1642">
        <f>BC317</f>
        <v>0</v>
      </c>
      <c r="K317" s="1681">
        <f>SUM(BD317:BG317)</f>
        <v>0</v>
      </c>
      <c r="L317" s="1642"/>
      <c r="M317" s="1642"/>
      <c r="N317" s="1642"/>
      <c r="O317" s="1642"/>
      <c r="P317" s="1642"/>
      <c r="Q317" s="1642"/>
      <c r="R317" s="1642"/>
      <c r="S317" s="1642"/>
      <c r="T317" s="1642"/>
      <c r="U317" s="1642"/>
      <c r="V317" s="1642"/>
      <c r="W317" s="1642"/>
      <c r="X317" s="1642"/>
      <c r="Y317" s="1642"/>
      <c r="Z317" s="1642"/>
      <c r="AA317" s="1642"/>
      <c r="AB317" s="1642"/>
      <c r="AC317" s="1642"/>
      <c r="AD317" s="1642"/>
      <c r="AE317" s="1642"/>
      <c r="AF317" s="1641">
        <v>105</v>
      </c>
      <c r="AG317" s="1642">
        <v>114</v>
      </c>
      <c r="AH317" s="1642">
        <v>144</v>
      </c>
      <c r="AI317" s="1642">
        <v>181</v>
      </c>
      <c r="AJ317" s="1641">
        <v>204</v>
      </c>
      <c r="AK317" s="1642">
        <v>224</v>
      </c>
      <c r="AL317" s="1642">
        <v>217</v>
      </c>
      <c r="AM317" s="1642">
        <v>225</v>
      </c>
      <c r="AN317" s="1641">
        <v>238</v>
      </c>
      <c r="AO317" s="1642">
        <v>237</v>
      </c>
      <c r="AP317" s="1642">
        <v>247</v>
      </c>
      <c r="AQ317" s="1642">
        <v>252</v>
      </c>
      <c r="AR317" s="1641">
        <v>277</v>
      </c>
      <c r="AS317" s="1642">
        <v>296</v>
      </c>
      <c r="AT317" s="1642">
        <v>320</v>
      </c>
      <c r="AU317" s="1642">
        <v>325</v>
      </c>
      <c r="AV317" s="1641">
        <v>318</v>
      </c>
      <c r="AW317" s="1642">
        <v>355</v>
      </c>
      <c r="AX317" s="1642">
        <v>340</v>
      </c>
      <c r="AY317" s="1642">
        <v>345</v>
      </c>
      <c r="AZ317" s="1641"/>
      <c r="BA317" s="1642"/>
      <c r="BB317" s="1642"/>
      <c r="BC317" s="1642"/>
      <c r="BD317" s="1641"/>
      <c r="BE317" s="1642"/>
      <c r="BF317" s="1642"/>
      <c r="BG317" s="1642"/>
      <c r="BH317" s="1641"/>
      <c r="BI317" s="1642"/>
      <c r="BJ317" s="1642"/>
      <c r="BK317" s="1642"/>
      <c r="BL317" s="1641"/>
      <c r="BM317" s="1642"/>
      <c r="BN317" s="1642"/>
      <c r="BO317" s="1642"/>
      <c r="BP317" s="1641"/>
      <c r="BQ317" s="1642"/>
      <c r="BR317" s="1642"/>
      <c r="BS317" s="1642"/>
      <c r="BT317" s="1641"/>
      <c r="BU317" s="1642"/>
      <c r="BV317" s="1642"/>
      <c r="BW317" s="1642"/>
      <c r="BX317" s="1641"/>
      <c r="BY317" s="1642"/>
      <c r="BZ317" s="1642"/>
      <c r="CA317" s="1642"/>
      <c r="CB317" s="1641"/>
      <c r="CC317" s="1642"/>
      <c r="CD317" s="1642"/>
      <c r="CE317" s="1642"/>
      <c r="CF317" s="1641"/>
      <c r="CG317" s="1642"/>
      <c r="CH317" s="1642"/>
      <c r="CI317" s="1642"/>
      <c r="CJ317" s="1641"/>
      <c r="CK317" s="1642"/>
      <c r="CL317" s="1642"/>
      <c r="CM317" s="1681"/>
      <c r="CN317" s="1672"/>
      <c r="CO317" s="1672"/>
      <c r="CP317" s="1672"/>
      <c r="CQ317" s="1681"/>
      <c r="CR317" s="1672"/>
      <c r="CS317" s="1672"/>
      <c r="CT317" s="1672"/>
      <c r="CU317" s="1681"/>
      <c r="CV317" s="1672"/>
      <c r="CW317" s="1672"/>
      <c r="CX317" s="1672"/>
      <c r="CY317" s="1681"/>
      <c r="CZ317" s="1672"/>
      <c r="DA317" s="1672"/>
      <c r="DB317" s="1672"/>
      <c r="DC317" s="1672"/>
      <c r="DD317" s="1672"/>
      <c r="DE317" s="1672"/>
      <c r="DF317" s="1672"/>
      <c r="DG317" s="1672"/>
      <c r="DH317" s="1672"/>
      <c r="DI317" s="1672"/>
      <c r="DJ317" s="1672"/>
      <c r="DK317" s="1672"/>
      <c r="DL317" s="1672"/>
    </row>
    <row r="318" spans="1:116" ht="12.75" hidden="1" customHeight="1">
      <c r="A318" s="1539" t="s">
        <v>1449</v>
      </c>
      <c r="B318" s="1642"/>
      <c r="C318" s="1642"/>
      <c r="D318" s="1642"/>
      <c r="E318" s="1641">
        <f>SUM(E315:E317)</f>
        <v>1418</v>
      </c>
      <c r="F318" s="1642">
        <f>SUM(F315:F317)</f>
        <v>1690</v>
      </c>
      <c r="G318" s="1642">
        <f>SUM(G315:G317)</f>
        <v>1957</v>
      </c>
      <c r="H318" s="1642">
        <f>AU318</f>
        <v>540</v>
      </c>
      <c r="I318" s="1642">
        <f>AY318</f>
        <v>615</v>
      </c>
      <c r="J318" s="1642">
        <f>SUM(AZ318:BC318)</f>
        <v>2219</v>
      </c>
      <c r="K318" s="1681">
        <f>SUM(BD318:BG318)</f>
        <v>1949</v>
      </c>
      <c r="L318" s="1642"/>
      <c r="M318" s="1642"/>
      <c r="N318" s="1642"/>
      <c r="O318" s="1642"/>
      <c r="P318" s="1642"/>
      <c r="Q318" s="1642"/>
      <c r="R318" s="1642"/>
      <c r="S318" s="1642"/>
      <c r="T318" s="1642"/>
      <c r="U318" s="1642"/>
      <c r="V318" s="1642"/>
      <c r="W318" s="1642"/>
      <c r="X318" s="1642"/>
      <c r="Y318" s="1642"/>
      <c r="Z318" s="1642"/>
      <c r="AA318" s="1642"/>
      <c r="AB318" s="1642"/>
      <c r="AC318" s="1642"/>
      <c r="AD318" s="1642"/>
      <c r="AE318" s="1642"/>
      <c r="AF318" s="1641">
        <f t="shared" ref="AF318:AT318" si="417">SUM(AF315:AF317)</f>
        <v>353</v>
      </c>
      <c r="AG318" s="1642">
        <f t="shared" si="417"/>
        <v>326</v>
      </c>
      <c r="AH318" s="1642">
        <f t="shared" si="417"/>
        <v>340</v>
      </c>
      <c r="AI318" s="1642">
        <f t="shared" si="417"/>
        <v>399</v>
      </c>
      <c r="AJ318" s="1641">
        <f t="shared" si="417"/>
        <v>400</v>
      </c>
      <c r="AK318" s="1642">
        <f t="shared" si="417"/>
        <v>441</v>
      </c>
      <c r="AL318" s="1642">
        <f t="shared" si="417"/>
        <v>418</v>
      </c>
      <c r="AM318" s="1642">
        <f t="shared" si="417"/>
        <v>431</v>
      </c>
      <c r="AN318" s="1641">
        <f t="shared" si="417"/>
        <v>396</v>
      </c>
      <c r="AO318" s="1642">
        <f t="shared" si="417"/>
        <v>411</v>
      </c>
      <c r="AP318" s="1642">
        <f t="shared" si="417"/>
        <v>454</v>
      </c>
      <c r="AQ318" s="1642">
        <f t="shared" si="417"/>
        <v>453</v>
      </c>
      <c r="AR318" s="1641">
        <f t="shared" si="417"/>
        <v>457</v>
      </c>
      <c r="AS318" s="1642">
        <f t="shared" si="417"/>
        <v>471</v>
      </c>
      <c r="AT318" s="1642">
        <f t="shared" si="417"/>
        <v>508</v>
      </c>
      <c r="AU318" s="1642">
        <v>540</v>
      </c>
      <c r="AV318" s="1641">
        <v>527</v>
      </c>
      <c r="AW318" s="1642">
        <v>598</v>
      </c>
      <c r="AX318" s="1642">
        <v>597</v>
      </c>
      <c r="AY318" s="1642">
        <v>615</v>
      </c>
      <c r="AZ318" s="1641">
        <v>562</v>
      </c>
      <c r="BA318" s="1642">
        <v>570</v>
      </c>
      <c r="BB318" s="1642">
        <v>538</v>
      </c>
      <c r="BC318" s="1642">
        <v>549</v>
      </c>
      <c r="BD318" s="1641">
        <v>517</v>
      </c>
      <c r="BE318" s="1642">
        <v>509</v>
      </c>
      <c r="BF318" s="1642">
        <v>446</v>
      </c>
      <c r="BG318" s="1642">
        <v>477</v>
      </c>
      <c r="BH318" s="1641">
        <v>468</v>
      </c>
      <c r="BI318" s="1642">
        <v>506</v>
      </c>
      <c r="BJ318" s="1642">
        <v>496</v>
      </c>
      <c r="BK318" s="1642">
        <v>544</v>
      </c>
      <c r="BL318" s="1641">
        <v>517</v>
      </c>
      <c r="BM318" s="1642">
        <v>537</v>
      </c>
      <c r="BN318" s="1642">
        <v>572</v>
      </c>
      <c r="BO318" s="1642">
        <v>567</v>
      </c>
      <c r="BP318" s="1641">
        <v>697</v>
      </c>
      <c r="BQ318" s="1642"/>
      <c r="BR318" s="1642"/>
      <c r="BS318" s="1642"/>
      <c r="BT318" s="1641"/>
      <c r="BU318" s="1642"/>
      <c r="BV318" s="1642"/>
      <c r="BW318" s="1642"/>
      <c r="BX318" s="1641"/>
      <c r="BY318" s="1642"/>
      <c r="BZ318" s="1642"/>
      <c r="CA318" s="1642"/>
      <c r="CB318" s="1641"/>
      <c r="CC318" s="1642"/>
      <c r="CD318" s="1642"/>
      <c r="CE318" s="1642"/>
      <c r="CF318" s="1641"/>
      <c r="CG318" s="1642"/>
      <c r="CH318" s="1642"/>
      <c r="CI318" s="1642"/>
      <c r="CJ318" s="1641"/>
      <c r="CK318" s="1642"/>
      <c r="CL318" s="1642"/>
      <c r="CM318" s="1681"/>
      <c r="CN318" s="1672"/>
      <c r="CO318" s="1672"/>
      <c r="CP318" s="1672"/>
      <c r="CQ318" s="1681"/>
      <c r="CR318" s="1672"/>
      <c r="CS318" s="1672"/>
      <c r="CT318" s="1672"/>
      <c r="CU318" s="1681"/>
      <c r="CV318" s="1672"/>
      <c r="CW318" s="1672"/>
      <c r="CX318" s="1672"/>
      <c r="CY318" s="1681"/>
      <c r="CZ318" s="1672"/>
      <c r="DA318" s="1672"/>
      <c r="DB318" s="1672"/>
      <c r="DC318" s="1672"/>
      <c r="DD318" s="1672"/>
      <c r="DE318" s="1672"/>
      <c r="DF318" s="1672"/>
      <c r="DG318" s="1672"/>
      <c r="DH318" s="1672"/>
      <c r="DI318" s="1672"/>
      <c r="DJ318" s="1672"/>
      <c r="DK318" s="1672"/>
      <c r="DL318" s="1672"/>
    </row>
    <row r="319" spans="1:116" ht="12.75" hidden="1" customHeight="1">
      <c r="A319" s="1629" t="s">
        <v>1237</v>
      </c>
      <c r="B319" s="1642"/>
      <c r="C319" s="1642"/>
      <c r="D319" s="1642"/>
      <c r="E319" s="1659">
        <f t="shared" ref="E319:K319" si="418">E8-E318</f>
        <v>0</v>
      </c>
      <c r="F319" s="1658">
        <f t="shared" si="418"/>
        <v>0</v>
      </c>
      <c r="G319" s="1658">
        <f t="shared" si="418"/>
        <v>-243</v>
      </c>
      <c r="H319" s="1658">
        <f t="shared" si="418"/>
        <v>2349</v>
      </c>
      <c r="I319" s="1658">
        <f t="shared" si="418"/>
        <v>2557</v>
      </c>
      <c r="J319" s="1658">
        <f t="shared" si="418"/>
        <v>0</v>
      </c>
      <c r="K319" s="1696">
        <f t="shared" si="418"/>
        <v>0</v>
      </c>
      <c r="L319" s="1658"/>
      <c r="M319" s="1658"/>
      <c r="N319" s="1642"/>
      <c r="O319" s="1642"/>
      <c r="P319" s="1642"/>
      <c r="Q319" s="1642"/>
      <c r="R319" s="1642"/>
      <c r="S319" s="1642"/>
      <c r="T319" s="1642"/>
      <c r="U319" s="1642"/>
      <c r="V319" s="1642"/>
      <c r="W319" s="1642"/>
      <c r="X319" s="1642"/>
      <c r="Y319" s="1642"/>
      <c r="Z319" s="1642"/>
      <c r="AA319" s="1642"/>
      <c r="AB319" s="1642"/>
      <c r="AC319" s="1642"/>
      <c r="AD319" s="1642"/>
      <c r="AE319" s="1642"/>
      <c r="AF319" s="1659">
        <f t="shared" ref="AF319:BM319" si="419">AF8-AF318</f>
        <v>0</v>
      </c>
      <c r="AG319" s="1658">
        <f t="shared" si="419"/>
        <v>0</v>
      </c>
      <c r="AH319" s="1658">
        <f t="shared" si="419"/>
        <v>0</v>
      </c>
      <c r="AI319" s="1658">
        <f t="shared" si="419"/>
        <v>0</v>
      </c>
      <c r="AJ319" s="1659">
        <f t="shared" si="419"/>
        <v>0</v>
      </c>
      <c r="AK319" s="1658">
        <f t="shared" si="419"/>
        <v>0</v>
      </c>
      <c r="AL319" s="1658">
        <f t="shared" si="419"/>
        <v>0</v>
      </c>
      <c r="AM319" s="1658">
        <f t="shared" si="419"/>
        <v>0</v>
      </c>
      <c r="AN319" s="1659">
        <f t="shared" si="419"/>
        <v>0</v>
      </c>
      <c r="AO319" s="1658">
        <f t="shared" si="419"/>
        <v>0</v>
      </c>
      <c r="AP319" s="1658">
        <f t="shared" si="419"/>
        <v>0</v>
      </c>
      <c r="AQ319" s="1658">
        <f t="shared" si="419"/>
        <v>0</v>
      </c>
      <c r="AR319" s="1659">
        <f t="shared" si="419"/>
        <v>222</v>
      </c>
      <c r="AS319" s="1658">
        <f t="shared" si="419"/>
        <v>237</v>
      </c>
      <c r="AT319" s="1658">
        <f t="shared" si="419"/>
        <v>218</v>
      </c>
      <c r="AU319" s="1658">
        <f t="shared" si="419"/>
        <v>236</v>
      </c>
      <c r="AV319" s="1659">
        <f t="shared" si="419"/>
        <v>200</v>
      </c>
      <c r="AW319" s="1658">
        <f t="shared" si="419"/>
        <v>230</v>
      </c>
      <c r="AX319" s="1658">
        <f t="shared" si="419"/>
        <v>207</v>
      </c>
      <c r="AY319" s="1658">
        <f t="shared" si="419"/>
        <v>198</v>
      </c>
      <c r="AZ319" s="1659">
        <f t="shared" si="419"/>
        <v>0</v>
      </c>
      <c r="BA319" s="1658">
        <f t="shared" si="419"/>
        <v>0</v>
      </c>
      <c r="BB319" s="1658">
        <f t="shared" si="419"/>
        <v>0</v>
      </c>
      <c r="BC319" s="1658">
        <f t="shared" si="419"/>
        <v>0</v>
      </c>
      <c r="BD319" s="1659">
        <f t="shared" si="419"/>
        <v>0</v>
      </c>
      <c r="BE319" s="1658">
        <f t="shared" si="419"/>
        <v>0</v>
      </c>
      <c r="BF319" s="1658">
        <f t="shared" si="419"/>
        <v>0</v>
      </c>
      <c r="BG319" s="1658">
        <f t="shared" si="419"/>
        <v>0</v>
      </c>
      <c r="BH319" s="1659">
        <f t="shared" si="419"/>
        <v>0</v>
      </c>
      <c r="BI319" s="1658">
        <f t="shared" si="419"/>
        <v>0</v>
      </c>
      <c r="BJ319" s="1658">
        <f t="shared" si="419"/>
        <v>0</v>
      </c>
      <c r="BK319" s="1658">
        <f t="shared" si="419"/>
        <v>0</v>
      </c>
      <c r="BL319" s="1659">
        <f t="shared" si="419"/>
        <v>0</v>
      </c>
      <c r="BM319" s="1658">
        <f t="shared" si="419"/>
        <v>0</v>
      </c>
      <c r="BN319" s="1642"/>
      <c r="BO319" s="1642"/>
      <c r="BP319" s="1641"/>
      <c r="BQ319" s="1642"/>
      <c r="BR319" s="1642"/>
      <c r="BS319" s="1642"/>
      <c r="BT319" s="1641"/>
      <c r="BU319" s="1642"/>
      <c r="BV319" s="1642"/>
      <c r="BW319" s="1642"/>
      <c r="BX319" s="1641"/>
      <c r="BY319" s="1642"/>
      <c r="BZ319" s="1642"/>
      <c r="CA319" s="1642"/>
      <c r="CB319" s="1641"/>
      <c r="CC319" s="1642"/>
      <c r="CD319" s="1642"/>
      <c r="CE319" s="1642"/>
      <c r="CF319" s="1641"/>
      <c r="CG319" s="1642"/>
      <c r="CH319" s="1642"/>
      <c r="CI319" s="1642"/>
      <c r="CJ319" s="1641"/>
      <c r="CK319" s="1642"/>
      <c r="CL319" s="1642"/>
      <c r="CM319" s="1681"/>
      <c r="CN319" s="1672"/>
      <c r="CO319" s="1672"/>
      <c r="CP319" s="1672"/>
      <c r="CQ319" s="1681"/>
      <c r="CR319" s="1672"/>
      <c r="CS319" s="1672"/>
      <c r="CT319" s="1672"/>
      <c r="CU319" s="1681"/>
      <c r="CV319" s="1672"/>
      <c r="CW319" s="1672"/>
      <c r="CX319" s="1672"/>
      <c r="CY319" s="1681"/>
      <c r="CZ319" s="1672"/>
      <c r="DA319" s="1672"/>
      <c r="DB319" s="1672"/>
      <c r="DC319" s="1672"/>
      <c r="DD319" s="1672"/>
      <c r="DE319" s="1672"/>
      <c r="DF319" s="1672"/>
      <c r="DG319" s="1672"/>
      <c r="DH319" s="1672"/>
      <c r="DI319" s="1672"/>
      <c r="DJ319" s="1672"/>
      <c r="DK319" s="1672"/>
      <c r="DL319" s="1672"/>
    </row>
    <row r="320" spans="1:116" ht="12.75" hidden="1" customHeight="1">
      <c r="A320" s="1539"/>
      <c r="B320" s="1642"/>
      <c r="C320" s="1642"/>
      <c r="D320" s="1642"/>
      <c r="E320" s="1641"/>
      <c r="F320" s="1642"/>
      <c r="G320" s="1642"/>
      <c r="H320" s="1642"/>
      <c r="I320" s="1642"/>
      <c r="J320" s="1642"/>
      <c r="K320" s="1681"/>
      <c r="L320" s="1642"/>
      <c r="M320" s="1642"/>
      <c r="N320" s="1642"/>
      <c r="O320" s="1642"/>
      <c r="P320" s="1642"/>
      <c r="Q320" s="1642"/>
      <c r="R320" s="1642"/>
      <c r="S320" s="1642"/>
      <c r="T320" s="1642"/>
      <c r="U320" s="1642"/>
      <c r="V320" s="1642"/>
      <c r="W320" s="1642"/>
      <c r="X320" s="1642"/>
      <c r="Y320" s="1642"/>
      <c r="Z320" s="1642"/>
      <c r="AA320" s="1642"/>
      <c r="AB320" s="1642"/>
      <c r="AC320" s="1642"/>
      <c r="AD320" s="1642"/>
      <c r="AE320" s="1642"/>
      <c r="AF320" s="1641"/>
      <c r="AG320" s="1642"/>
      <c r="AH320" s="1642"/>
      <c r="AI320" s="1642"/>
      <c r="AJ320" s="1641"/>
      <c r="AK320" s="1642"/>
      <c r="AL320" s="1642"/>
      <c r="AM320" s="1642"/>
      <c r="AN320" s="1641"/>
      <c r="AO320" s="1642"/>
      <c r="AP320" s="1642"/>
      <c r="AQ320" s="1642"/>
      <c r="AR320" s="1641"/>
      <c r="AS320" s="1642"/>
      <c r="AT320" s="1642"/>
      <c r="AU320" s="1642"/>
      <c r="AV320" s="1641"/>
      <c r="AW320" s="1642"/>
      <c r="AX320" s="1642"/>
      <c r="AY320" s="1642"/>
      <c r="AZ320" s="1641"/>
      <c r="BA320" s="1642"/>
      <c r="BB320" s="1642"/>
      <c r="BC320" s="1642"/>
      <c r="BD320" s="1641"/>
      <c r="BE320" s="1642"/>
      <c r="BF320" s="1642"/>
      <c r="BG320" s="1642"/>
      <c r="BH320" s="1641"/>
      <c r="BI320" s="1642"/>
      <c r="BJ320" s="1642"/>
      <c r="BK320" s="1642"/>
      <c r="BL320" s="1641"/>
      <c r="BM320" s="1642"/>
      <c r="BN320" s="1642"/>
      <c r="BO320" s="1642"/>
      <c r="BP320" s="1641"/>
      <c r="BQ320" s="1642"/>
      <c r="BR320" s="1642"/>
      <c r="BS320" s="1642"/>
      <c r="BT320" s="1641"/>
      <c r="BU320" s="1642"/>
      <c r="BV320" s="1642"/>
      <c r="BW320" s="1642"/>
      <c r="BX320" s="1641"/>
      <c r="BY320" s="1642"/>
      <c r="BZ320" s="1642"/>
      <c r="CA320" s="1642"/>
      <c r="CB320" s="1641"/>
      <c r="CC320" s="1642"/>
      <c r="CD320" s="1642"/>
      <c r="CE320" s="1642"/>
      <c r="CF320" s="1641"/>
      <c r="CG320" s="1642"/>
      <c r="CH320" s="1642"/>
      <c r="CI320" s="1642"/>
      <c r="CJ320" s="1641"/>
      <c r="CK320" s="1642"/>
      <c r="CL320" s="1642"/>
      <c r="CM320" s="1681"/>
      <c r="CN320" s="1672"/>
      <c r="CO320" s="1672"/>
      <c r="CP320" s="1672"/>
      <c r="CQ320" s="1681"/>
      <c r="CR320" s="1672"/>
      <c r="CS320" s="1672"/>
      <c r="CT320" s="1672"/>
      <c r="CU320" s="1681"/>
      <c r="CV320" s="1672"/>
      <c r="CW320" s="1672"/>
      <c r="CX320" s="1672"/>
      <c r="CY320" s="1681"/>
      <c r="CZ320" s="1672"/>
      <c r="DA320" s="1672"/>
      <c r="DB320" s="1672"/>
      <c r="DC320" s="1672"/>
      <c r="DD320" s="1672"/>
      <c r="DE320" s="1672"/>
      <c r="DF320" s="1672"/>
      <c r="DG320" s="1672"/>
      <c r="DH320" s="1672"/>
      <c r="DI320" s="1672"/>
      <c r="DJ320" s="1672"/>
      <c r="DK320" s="1672"/>
      <c r="DL320" s="1672"/>
    </row>
    <row r="321" spans="1:116" ht="12.75" hidden="1" customHeight="1">
      <c r="A321" s="1539" t="s">
        <v>960</v>
      </c>
      <c r="B321" s="1642"/>
      <c r="C321" s="1642"/>
      <c r="D321" s="1642"/>
      <c r="E321" s="1641"/>
      <c r="F321" s="1642"/>
      <c r="G321" s="1642"/>
      <c r="H321" s="1642"/>
      <c r="I321" s="1642"/>
      <c r="J321" s="1642"/>
      <c r="K321" s="1681"/>
      <c r="L321" s="1642"/>
      <c r="M321" s="1642"/>
      <c r="N321" s="1642"/>
      <c r="O321" s="1642"/>
      <c r="P321" s="1642"/>
      <c r="Q321" s="1642"/>
      <c r="R321" s="1642"/>
      <c r="S321" s="1642"/>
      <c r="T321" s="1642"/>
      <c r="U321" s="1642"/>
      <c r="V321" s="1642"/>
      <c r="W321" s="1642"/>
      <c r="X321" s="1642"/>
      <c r="Y321" s="1642"/>
      <c r="Z321" s="1642"/>
      <c r="AA321" s="1642"/>
      <c r="AB321" s="1642"/>
      <c r="AC321" s="1642"/>
      <c r="AD321" s="1642"/>
      <c r="AE321" s="1642"/>
      <c r="AF321" s="1641"/>
      <c r="AG321" s="1642"/>
      <c r="AH321" s="1642"/>
      <c r="AI321" s="1642"/>
      <c r="AJ321" s="1641"/>
      <c r="AK321" s="1642"/>
      <c r="AL321" s="1642"/>
      <c r="AM321" s="1642"/>
      <c r="AN321" s="1641"/>
      <c r="AO321" s="1642"/>
      <c r="AP321" s="1642"/>
      <c r="AQ321" s="1642"/>
      <c r="AR321" s="1641"/>
      <c r="AS321" s="1642"/>
      <c r="AT321" s="1642"/>
      <c r="AU321" s="1642"/>
      <c r="AV321" s="1641"/>
      <c r="AW321" s="1642"/>
      <c r="AX321" s="1642"/>
      <c r="AY321" s="1642"/>
      <c r="AZ321" s="1641"/>
      <c r="BA321" s="1642"/>
      <c r="BB321" s="1642"/>
      <c r="BC321" s="1642"/>
      <c r="BD321" s="1641"/>
      <c r="BE321" s="1642"/>
      <c r="BF321" s="1642"/>
      <c r="BG321" s="1642"/>
      <c r="BH321" s="1641"/>
      <c r="BI321" s="1642"/>
      <c r="BJ321" s="1642"/>
      <c r="BK321" s="1642"/>
      <c r="BL321" s="1641"/>
      <c r="BM321" s="1642"/>
      <c r="BN321" s="1642"/>
      <c r="BO321" s="1642"/>
      <c r="BP321" s="1641"/>
      <c r="BQ321" s="1642"/>
      <c r="BR321" s="1642"/>
      <c r="BS321" s="1642"/>
      <c r="BT321" s="1641"/>
      <c r="BU321" s="1642"/>
      <c r="BV321" s="1642"/>
      <c r="BW321" s="1642"/>
      <c r="BX321" s="1641"/>
      <c r="BY321" s="1642"/>
      <c r="BZ321" s="1642"/>
      <c r="CA321" s="1642"/>
      <c r="CB321" s="1641"/>
      <c r="CC321" s="1642"/>
      <c r="CD321" s="1642"/>
      <c r="CE321" s="1642"/>
      <c r="CF321" s="1641"/>
      <c r="CG321" s="1642"/>
      <c r="CH321" s="1642"/>
      <c r="CI321" s="1642"/>
      <c r="CJ321" s="1641"/>
      <c r="CK321" s="1642"/>
      <c r="CL321" s="1642"/>
      <c r="CM321" s="1681"/>
      <c r="CN321" s="1672"/>
      <c r="CO321" s="1672"/>
      <c r="CP321" s="1672"/>
      <c r="CQ321" s="1681"/>
      <c r="CR321" s="1672"/>
      <c r="CS321" s="1672"/>
      <c r="CT321" s="1672"/>
      <c r="CU321" s="1681"/>
      <c r="CV321" s="1672"/>
      <c r="CW321" s="1672"/>
      <c r="CX321" s="1672"/>
      <c r="CY321" s="1681"/>
      <c r="CZ321" s="1672"/>
      <c r="DA321" s="1672"/>
      <c r="DB321" s="1672"/>
      <c r="DC321" s="1672"/>
      <c r="DD321" s="1672"/>
      <c r="DE321" s="1672"/>
      <c r="DF321" s="1672"/>
      <c r="DG321" s="1672"/>
      <c r="DH321" s="1672"/>
      <c r="DI321" s="1672"/>
      <c r="DJ321" s="1672"/>
      <c r="DK321" s="1672"/>
      <c r="DL321" s="1672"/>
    </row>
    <row r="322" spans="1:116" ht="12.75" hidden="1" customHeight="1">
      <c r="A322" s="1628" t="s">
        <v>961</v>
      </c>
      <c r="B322" s="1642"/>
      <c r="C322" s="1642"/>
      <c r="D322" s="1642"/>
      <c r="E322" s="1641"/>
      <c r="F322" s="1642"/>
      <c r="G322" s="1642"/>
      <c r="H322" s="1642"/>
      <c r="I322" s="1642"/>
      <c r="J322" s="1642">
        <f>SUM(AZ322:BC322)</f>
        <v>586</v>
      </c>
      <c r="K322" s="1681">
        <f>SUM(BD322:BG322)</f>
        <v>574</v>
      </c>
      <c r="L322" s="1642"/>
      <c r="M322" s="1642"/>
      <c r="N322" s="1642"/>
      <c r="O322" s="1642"/>
      <c r="P322" s="1642"/>
      <c r="Q322" s="1642"/>
      <c r="R322" s="1642"/>
      <c r="S322" s="1642"/>
      <c r="T322" s="1642"/>
      <c r="U322" s="1642"/>
      <c r="V322" s="1642"/>
      <c r="W322" s="1642"/>
      <c r="X322" s="1642"/>
      <c r="Y322" s="1642"/>
      <c r="Z322" s="1642"/>
      <c r="AA322" s="1642"/>
      <c r="AB322" s="1642"/>
      <c r="AC322" s="1642"/>
      <c r="AD322" s="1642"/>
      <c r="AE322" s="1642"/>
      <c r="AF322" s="1641"/>
      <c r="AG322" s="1642"/>
      <c r="AH322" s="1642"/>
      <c r="AI322" s="1642"/>
      <c r="AJ322" s="1641"/>
      <c r="AK322" s="1642"/>
      <c r="AL322" s="1642"/>
      <c r="AM322" s="1642"/>
      <c r="AN322" s="1641"/>
      <c r="AO322" s="1642"/>
      <c r="AP322" s="1642"/>
      <c r="AQ322" s="1642"/>
      <c r="AR322" s="1641"/>
      <c r="AS322" s="1642"/>
      <c r="AT322" s="1642"/>
      <c r="AU322" s="1642"/>
      <c r="AV322" s="1641"/>
      <c r="AW322" s="1642"/>
      <c r="AX322" s="1642"/>
      <c r="AY322" s="1642"/>
      <c r="AZ322" s="1641">
        <v>150</v>
      </c>
      <c r="BA322" s="1642">
        <v>149</v>
      </c>
      <c r="BB322" s="1642">
        <v>124</v>
      </c>
      <c r="BC322" s="1642">
        <v>163</v>
      </c>
      <c r="BD322" s="1641">
        <v>138</v>
      </c>
      <c r="BE322" s="1642">
        <v>140</v>
      </c>
      <c r="BF322" s="1642">
        <v>144</v>
      </c>
      <c r="BG322" s="1642">
        <v>152</v>
      </c>
      <c r="BH322" s="1641">
        <v>147</v>
      </c>
      <c r="BI322" s="1642">
        <v>156</v>
      </c>
      <c r="BJ322" s="1642">
        <v>153</v>
      </c>
      <c r="BK322" s="1642">
        <v>170</v>
      </c>
      <c r="BL322" s="1641">
        <v>177</v>
      </c>
      <c r="BM322" s="1642">
        <v>186</v>
      </c>
      <c r="BN322" s="1642">
        <v>180</v>
      </c>
      <c r="BO322" s="1642">
        <v>164</v>
      </c>
      <c r="BP322" s="1641">
        <v>164</v>
      </c>
      <c r="BQ322" s="1642"/>
      <c r="BR322" s="1642"/>
      <c r="BS322" s="1642"/>
      <c r="BT322" s="1641"/>
      <c r="BU322" s="1642"/>
      <c r="BV322" s="1642"/>
      <c r="BW322" s="1642"/>
      <c r="BX322" s="1641"/>
      <c r="BY322" s="1642"/>
      <c r="BZ322" s="1642"/>
      <c r="CA322" s="1642"/>
      <c r="CB322" s="1641"/>
      <c r="CC322" s="1642"/>
      <c r="CD322" s="1642"/>
      <c r="CE322" s="1642"/>
      <c r="CF322" s="1641"/>
      <c r="CG322" s="1642"/>
      <c r="CH322" s="1642"/>
      <c r="CI322" s="1642"/>
      <c r="CJ322" s="1641"/>
      <c r="CK322" s="1642"/>
      <c r="CL322" s="1642"/>
      <c r="CM322" s="1681"/>
      <c r="CN322" s="1672"/>
      <c r="CO322" s="1672"/>
      <c r="CP322" s="1672"/>
      <c r="CQ322" s="1681"/>
      <c r="CR322" s="1672"/>
      <c r="CS322" s="1672"/>
      <c r="CT322" s="1672"/>
      <c r="CU322" s="1681"/>
      <c r="CV322" s="1672"/>
      <c r="CW322" s="1672"/>
      <c r="CX322" s="1672"/>
      <c r="CY322" s="1681"/>
      <c r="CZ322" s="1672"/>
      <c r="DA322" s="1672"/>
      <c r="DB322" s="1672"/>
      <c r="DC322" s="1672"/>
      <c r="DD322" s="1672"/>
      <c r="DE322" s="1672"/>
      <c r="DF322" s="1672"/>
      <c r="DG322" s="1672"/>
      <c r="DH322" s="1672"/>
      <c r="DI322" s="1672"/>
      <c r="DJ322" s="1672"/>
      <c r="DK322" s="1672"/>
      <c r="DL322" s="1672"/>
    </row>
    <row r="323" spans="1:116" ht="12.75" hidden="1" customHeight="1">
      <c r="A323" s="1628" t="s">
        <v>963</v>
      </c>
      <c r="B323" s="1642"/>
      <c r="C323" s="1642"/>
      <c r="D323" s="1642"/>
      <c r="E323" s="1641"/>
      <c r="F323" s="1642"/>
      <c r="G323" s="1642"/>
      <c r="H323" s="1642"/>
      <c r="I323" s="1642"/>
      <c r="J323" s="1642">
        <f>SUM(AZ323:BC323)</f>
        <v>610</v>
      </c>
      <c r="K323" s="1681">
        <f>SUM(BD323:BG323)</f>
        <v>691</v>
      </c>
      <c r="L323" s="1642"/>
      <c r="M323" s="1642"/>
      <c r="N323" s="1642"/>
      <c r="O323" s="1642"/>
      <c r="P323" s="1642"/>
      <c r="Q323" s="1642"/>
      <c r="R323" s="1642"/>
      <c r="S323" s="1642"/>
      <c r="T323" s="1642"/>
      <c r="U323" s="1642"/>
      <c r="V323" s="1642"/>
      <c r="W323" s="1642"/>
      <c r="X323" s="1642"/>
      <c r="Y323" s="1642"/>
      <c r="Z323" s="1642"/>
      <c r="AA323" s="1642"/>
      <c r="AB323" s="1642"/>
      <c r="AC323" s="1642"/>
      <c r="AD323" s="1642"/>
      <c r="AE323" s="1642"/>
      <c r="AF323" s="1641"/>
      <c r="AG323" s="1642"/>
      <c r="AH323" s="1642"/>
      <c r="AI323" s="1642"/>
      <c r="AJ323" s="1641"/>
      <c r="AK323" s="1642"/>
      <c r="AL323" s="1642"/>
      <c r="AM323" s="1642"/>
      <c r="AN323" s="1641"/>
      <c r="AO323" s="1642"/>
      <c r="AP323" s="1642"/>
      <c r="AQ323" s="1642"/>
      <c r="AR323" s="1641"/>
      <c r="AS323" s="1642"/>
      <c r="AT323" s="1642"/>
      <c r="AU323" s="1642"/>
      <c r="AV323" s="1641"/>
      <c r="AW323" s="1642"/>
      <c r="AX323" s="1642"/>
      <c r="AY323" s="1642"/>
      <c r="AZ323" s="1641">
        <v>186</v>
      </c>
      <c r="BA323" s="1642">
        <v>170</v>
      </c>
      <c r="BB323" s="1642">
        <v>116</v>
      </c>
      <c r="BC323" s="1642">
        <v>138</v>
      </c>
      <c r="BD323" s="1641">
        <v>156</v>
      </c>
      <c r="BE323" s="1642">
        <v>195</v>
      </c>
      <c r="BF323" s="1642">
        <v>222</v>
      </c>
      <c r="BG323" s="1642">
        <v>118</v>
      </c>
      <c r="BH323" s="1641">
        <v>128</v>
      </c>
      <c r="BI323" s="1642">
        <v>87</v>
      </c>
      <c r="BJ323" s="1642">
        <v>136</v>
      </c>
      <c r="BK323" s="1642">
        <v>120</v>
      </c>
      <c r="BL323" s="1641">
        <v>157</v>
      </c>
      <c r="BM323" s="1642">
        <v>161</v>
      </c>
      <c r="BN323" s="1642">
        <v>173</v>
      </c>
      <c r="BO323" s="1642">
        <v>184</v>
      </c>
      <c r="BP323" s="1641">
        <v>178</v>
      </c>
      <c r="BQ323" s="1642"/>
      <c r="BR323" s="1642"/>
      <c r="BS323" s="1642"/>
      <c r="BT323" s="1641"/>
      <c r="BU323" s="1642"/>
      <c r="BV323" s="1642"/>
      <c r="BW323" s="1642"/>
      <c r="BX323" s="1641"/>
      <c r="BY323" s="1642"/>
      <c r="BZ323" s="1642"/>
      <c r="CA323" s="1642"/>
      <c r="CB323" s="1641"/>
      <c r="CC323" s="1642"/>
      <c r="CD323" s="1642"/>
      <c r="CE323" s="1642"/>
      <c r="CF323" s="1641"/>
      <c r="CG323" s="1642"/>
      <c r="CH323" s="1642"/>
      <c r="CI323" s="1642"/>
      <c r="CJ323" s="1641"/>
      <c r="CK323" s="1642"/>
      <c r="CL323" s="1642"/>
      <c r="CM323" s="1681"/>
      <c r="CN323" s="1672"/>
      <c r="CO323" s="1672"/>
      <c r="CP323" s="1672"/>
      <c r="CQ323" s="1681"/>
      <c r="CR323" s="1672"/>
      <c r="CS323" s="1672"/>
      <c r="CT323" s="1672"/>
      <c r="CU323" s="1681"/>
      <c r="CV323" s="1672"/>
      <c r="CW323" s="1672"/>
      <c r="CX323" s="1672"/>
      <c r="CY323" s="1681"/>
      <c r="CZ323" s="1672"/>
      <c r="DA323" s="1672"/>
      <c r="DB323" s="1672"/>
      <c r="DC323" s="1672"/>
      <c r="DD323" s="1672"/>
      <c r="DE323" s="1672"/>
      <c r="DF323" s="1672"/>
      <c r="DG323" s="1672"/>
      <c r="DH323" s="1672"/>
      <c r="DI323" s="1672"/>
      <c r="DJ323" s="1672"/>
      <c r="DK323" s="1672"/>
      <c r="DL323" s="1672"/>
    </row>
    <row r="324" spans="1:116" ht="12.75" hidden="1" customHeight="1">
      <c r="A324" s="1628" t="s">
        <v>964</v>
      </c>
      <c r="B324" s="1642"/>
      <c r="C324" s="1642"/>
      <c r="D324" s="1642"/>
      <c r="E324" s="1641">
        <v>1146</v>
      </c>
      <c r="F324" s="1642">
        <v>1255</v>
      </c>
      <c r="G324" s="1642">
        <v>1340</v>
      </c>
      <c r="H324" s="1642"/>
      <c r="I324" s="1642"/>
      <c r="J324" s="1642">
        <f>SUM(AZ324:BC324)</f>
        <v>1196</v>
      </c>
      <c r="K324" s="1681">
        <f>SUM(BD324:BG324)</f>
        <v>1265</v>
      </c>
      <c r="L324" s="1642"/>
      <c r="M324" s="1642"/>
      <c r="N324" s="1642"/>
      <c r="O324" s="1642"/>
      <c r="P324" s="1642"/>
      <c r="Q324" s="1642"/>
      <c r="R324" s="1642"/>
      <c r="S324" s="1642"/>
      <c r="T324" s="1642"/>
      <c r="U324" s="1642"/>
      <c r="V324" s="1642"/>
      <c r="W324" s="1642"/>
      <c r="X324" s="1642"/>
      <c r="Y324" s="1642"/>
      <c r="Z324" s="1642"/>
      <c r="AA324" s="1642"/>
      <c r="AB324" s="1642"/>
      <c r="AC324" s="1642"/>
      <c r="AD324" s="1642"/>
      <c r="AE324" s="1642"/>
      <c r="AF324" s="1641">
        <v>305</v>
      </c>
      <c r="AG324" s="1642">
        <v>266</v>
      </c>
      <c r="AH324" s="1642">
        <v>244</v>
      </c>
      <c r="AI324" s="1642">
        <v>331</v>
      </c>
      <c r="AJ324" s="1641">
        <v>285</v>
      </c>
      <c r="AK324" s="1642">
        <v>335</v>
      </c>
      <c r="AL324" s="1642">
        <v>320</v>
      </c>
      <c r="AM324" s="1642">
        <v>315</v>
      </c>
      <c r="AN324" s="1641">
        <v>278</v>
      </c>
      <c r="AO324" s="1642">
        <v>285</v>
      </c>
      <c r="AP324" s="1642">
        <v>307</v>
      </c>
      <c r="AQ324" s="1642">
        <v>325</v>
      </c>
      <c r="AR324" s="1641">
        <v>328</v>
      </c>
      <c r="AS324" s="1642">
        <v>288</v>
      </c>
      <c r="AT324" s="1642">
        <v>390</v>
      </c>
      <c r="AU324" s="1642">
        <v>353</v>
      </c>
      <c r="AV324" s="1641">
        <v>384</v>
      </c>
      <c r="AW324" s="1642">
        <v>432</v>
      </c>
      <c r="AX324" s="1642">
        <v>387</v>
      </c>
      <c r="AY324" s="1642">
        <v>419</v>
      </c>
      <c r="AZ324" s="1641">
        <f t="shared" ref="AZ324:BP324" si="420">AZ322+AZ323</f>
        <v>336</v>
      </c>
      <c r="BA324" s="1642">
        <f t="shared" si="420"/>
        <v>319</v>
      </c>
      <c r="BB324" s="1642">
        <f t="shared" si="420"/>
        <v>240</v>
      </c>
      <c r="BC324" s="1642">
        <f t="shared" si="420"/>
        <v>301</v>
      </c>
      <c r="BD324" s="1641">
        <f t="shared" si="420"/>
        <v>294</v>
      </c>
      <c r="BE324" s="1642">
        <f t="shared" si="420"/>
        <v>335</v>
      </c>
      <c r="BF324" s="1642">
        <f t="shared" si="420"/>
        <v>366</v>
      </c>
      <c r="BG324" s="1642">
        <f t="shared" si="420"/>
        <v>270</v>
      </c>
      <c r="BH324" s="1641">
        <f t="shared" si="420"/>
        <v>275</v>
      </c>
      <c r="BI324" s="1642">
        <f t="shared" si="420"/>
        <v>243</v>
      </c>
      <c r="BJ324" s="1642">
        <f t="shared" si="420"/>
        <v>289</v>
      </c>
      <c r="BK324" s="1642">
        <f t="shared" si="420"/>
        <v>290</v>
      </c>
      <c r="BL324" s="1641">
        <f t="shared" si="420"/>
        <v>334</v>
      </c>
      <c r="BM324" s="1642">
        <f t="shared" si="420"/>
        <v>347</v>
      </c>
      <c r="BN324" s="1642">
        <f t="shared" si="420"/>
        <v>353</v>
      </c>
      <c r="BO324" s="1753">
        <f t="shared" si="420"/>
        <v>348</v>
      </c>
      <c r="BP324" s="1754">
        <f t="shared" si="420"/>
        <v>342</v>
      </c>
      <c r="BQ324" s="1642"/>
      <c r="BR324" s="1642"/>
      <c r="BS324" s="1642"/>
      <c r="BT324" s="1641"/>
      <c r="BU324" s="1642"/>
      <c r="BV324" s="1642"/>
      <c r="BW324" s="1642"/>
      <c r="BX324" s="1641"/>
      <c r="BY324" s="1642"/>
      <c r="BZ324" s="1642"/>
      <c r="CA324" s="1642"/>
      <c r="CB324" s="1641"/>
      <c r="CC324" s="1642"/>
      <c r="CD324" s="1642"/>
      <c r="CE324" s="1642"/>
      <c r="CF324" s="1641"/>
      <c r="CG324" s="1642"/>
      <c r="CH324" s="1642"/>
      <c r="CI324" s="1642"/>
      <c r="CJ324" s="1641"/>
      <c r="CK324" s="1642"/>
      <c r="CL324" s="1642"/>
      <c r="CM324" s="1681"/>
      <c r="CN324" s="1672"/>
      <c r="CO324" s="1672"/>
      <c r="CP324" s="1672"/>
      <c r="CQ324" s="1681"/>
      <c r="CR324" s="1672"/>
      <c r="CS324" s="1672"/>
      <c r="CT324" s="1672"/>
      <c r="CU324" s="1681"/>
      <c r="CV324" s="1672"/>
      <c r="CW324" s="1672"/>
      <c r="CX324" s="1672"/>
      <c r="CY324" s="1681"/>
      <c r="CZ324" s="1672"/>
      <c r="DA324" s="1672"/>
      <c r="DB324" s="1672"/>
      <c r="DC324" s="1672"/>
      <c r="DD324" s="1672"/>
      <c r="DE324" s="1672"/>
      <c r="DF324" s="1672"/>
      <c r="DG324" s="1672"/>
      <c r="DH324" s="1672"/>
      <c r="DI324" s="1672"/>
      <c r="DJ324" s="1672"/>
      <c r="DK324" s="1672"/>
      <c r="DL324" s="1672"/>
    </row>
    <row r="325" spans="1:116" ht="12.75" hidden="1" customHeight="1">
      <c r="A325" s="1628" t="s">
        <v>965</v>
      </c>
      <c r="B325" s="1642"/>
      <c r="C325" s="1642"/>
      <c r="D325" s="1642"/>
      <c r="E325" s="1641">
        <v>289</v>
      </c>
      <c r="F325" s="1642">
        <v>281</v>
      </c>
      <c r="G325" s="1642">
        <v>310</v>
      </c>
      <c r="H325" s="1642"/>
      <c r="I325" s="1642"/>
      <c r="J325" s="1642">
        <f>SUM(AZ325:BC325)</f>
        <v>376</v>
      </c>
      <c r="K325" s="1681">
        <f>SUM(BD325:BG325)</f>
        <v>346</v>
      </c>
      <c r="L325" s="1642"/>
      <c r="M325" s="1642"/>
      <c r="N325" s="1642"/>
      <c r="O325" s="1642"/>
      <c r="P325" s="1642"/>
      <c r="Q325" s="1642"/>
      <c r="R325" s="1642"/>
      <c r="S325" s="1642"/>
      <c r="T325" s="1642"/>
      <c r="U325" s="1642"/>
      <c r="V325" s="1642"/>
      <c r="W325" s="1642"/>
      <c r="X325" s="1642"/>
      <c r="Y325" s="1642"/>
      <c r="Z325" s="1642"/>
      <c r="AA325" s="1642"/>
      <c r="AB325" s="1642"/>
      <c r="AC325" s="1642"/>
      <c r="AD325" s="1642"/>
      <c r="AE325" s="1642"/>
      <c r="AF325" s="1641">
        <v>88</v>
      </c>
      <c r="AG325" s="1642">
        <v>68</v>
      </c>
      <c r="AH325" s="1642">
        <v>87</v>
      </c>
      <c r="AI325" s="1642">
        <v>46</v>
      </c>
      <c r="AJ325" s="1641">
        <v>71</v>
      </c>
      <c r="AK325" s="1642">
        <v>66</v>
      </c>
      <c r="AL325" s="1642">
        <v>70</v>
      </c>
      <c r="AM325" s="1642">
        <v>74</v>
      </c>
      <c r="AN325" s="1641">
        <v>64</v>
      </c>
      <c r="AO325" s="1642">
        <v>63</v>
      </c>
      <c r="AP325" s="1642">
        <v>51</v>
      </c>
      <c r="AQ325" s="1642">
        <v>86</v>
      </c>
      <c r="AR325" s="1641">
        <v>81</v>
      </c>
      <c r="AS325" s="1642">
        <v>83</v>
      </c>
      <c r="AT325" s="1642">
        <v>89</v>
      </c>
      <c r="AU325" s="1642">
        <v>102</v>
      </c>
      <c r="AV325" s="1641">
        <v>105</v>
      </c>
      <c r="AW325" s="1642">
        <v>114</v>
      </c>
      <c r="AX325" s="1642">
        <v>85</v>
      </c>
      <c r="AY325" s="1642">
        <v>118</v>
      </c>
      <c r="AZ325" s="1641">
        <v>95</v>
      </c>
      <c r="BA325" s="1642">
        <v>96</v>
      </c>
      <c r="BB325" s="1642">
        <v>97</v>
      </c>
      <c r="BC325" s="1642">
        <v>88</v>
      </c>
      <c r="BD325" s="1641">
        <v>87</v>
      </c>
      <c r="BE325" s="1642">
        <v>85</v>
      </c>
      <c r="BF325" s="1642">
        <v>80</v>
      </c>
      <c r="BG325" s="1642">
        <v>94</v>
      </c>
      <c r="BH325" s="1641">
        <v>77</v>
      </c>
      <c r="BI325" s="1642">
        <v>80</v>
      </c>
      <c r="BJ325" s="1642">
        <v>80</v>
      </c>
      <c r="BK325" s="1642">
        <v>87</v>
      </c>
      <c r="BL325" s="1641">
        <v>84</v>
      </c>
      <c r="BM325" s="1642">
        <v>86</v>
      </c>
      <c r="BN325" s="1642">
        <v>85</v>
      </c>
      <c r="BO325" s="1642">
        <v>85</v>
      </c>
      <c r="BP325" s="1641">
        <v>87</v>
      </c>
      <c r="BQ325" s="1642"/>
      <c r="BR325" s="1642"/>
      <c r="BS325" s="1642"/>
      <c r="BT325" s="1641"/>
      <c r="BU325" s="1642"/>
      <c r="BV325" s="1642"/>
      <c r="BW325" s="1642"/>
      <c r="BX325" s="1641"/>
      <c r="BY325" s="1642"/>
      <c r="BZ325" s="1642"/>
      <c r="CA325" s="1642"/>
      <c r="CB325" s="1641"/>
      <c r="CC325" s="1642"/>
      <c r="CD325" s="1642"/>
      <c r="CE325" s="1642"/>
      <c r="CF325" s="1641"/>
      <c r="CG325" s="1642"/>
      <c r="CH325" s="1642"/>
      <c r="CI325" s="1642"/>
      <c r="CJ325" s="1641"/>
      <c r="CK325" s="1642"/>
      <c r="CL325" s="1642"/>
      <c r="CM325" s="1681"/>
      <c r="CN325" s="1672"/>
      <c r="CO325" s="1672"/>
      <c r="CP325" s="1672"/>
      <c r="CQ325" s="1681"/>
      <c r="CR325" s="1672"/>
      <c r="CS325" s="1672"/>
      <c r="CT325" s="1672"/>
      <c r="CU325" s="1681"/>
      <c r="CV325" s="1672"/>
      <c r="CW325" s="1672"/>
      <c r="CX325" s="1672"/>
      <c r="CY325" s="1681"/>
      <c r="CZ325" s="1672"/>
      <c r="DA325" s="1672"/>
      <c r="DB325" s="1672"/>
      <c r="DC325" s="1672"/>
      <c r="DD325" s="1672"/>
      <c r="DE325" s="1672"/>
      <c r="DF325" s="1672"/>
      <c r="DG325" s="1672"/>
      <c r="DH325" s="1672"/>
      <c r="DI325" s="1672"/>
      <c r="DJ325" s="1672"/>
      <c r="DK325" s="1672"/>
      <c r="DL325" s="1672"/>
    </row>
    <row r="326" spans="1:116" ht="12.75" hidden="1" customHeight="1">
      <c r="A326" s="1539" t="s">
        <v>968</v>
      </c>
      <c r="B326" s="1642"/>
      <c r="C326" s="1642"/>
      <c r="D326" s="1642"/>
      <c r="E326" s="1641">
        <v>1435</v>
      </c>
      <c r="F326" s="1642">
        <v>1536</v>
      </c>
      <c r="G326" s="1642">
        <v>1650</v>
      </c>
      <c r="H326" s="1642"/>
      <c r="I326" s="1642"/>
      <c r="J326" s="1642">
        <f>SUM(AZ326:BC326)</f>
        <v>1572</v>
      </c>
      <c r="K326" s="1681">
        <f>SUM(BD326:BG326)</f>
        <v>1611</v>
      </c>
      <c r="L326" s="1642"/>
      <c r="M326" s="1642"/>
      <c r="N326" s="1642"/>
      <c r="O326" s="1642"/>
      <c r="P326" s="1642"/>
      <c r="Q326" s="1642"/>
      <c r="R326" s="1642"/>
      <c r="S326" s="1642"/>
      <c r="T326" s="1642"/>
      <c r="U326" s="1642"/>
      <c r="V326" s="1642"/>
      <c r="W326" s="1642"/>
      <c r="X326" s="1642"/>
      <c r="Y326" s="1642"/>
      <c r="Z326" s="1642"/>
      <c r="AA326" s="1642"/>
      <c r="AB326" s="1642"/>
      <c r="AC326" s="1642"/>
      <c r="AD326" s="1642"/>
      <c r="AE326" s="1642"/>
      <c r="AF326" s="1641">
        <v>393</v>
      </c>
      <c r="AG326" s="1642">
        <v>334</v>
      </c>
      <c r="AH326" s="1642">
        <v>331</v>
      </c>
      <c r="AI326" s="1642">
        <v>377</v>
      </c>
      <c r="AJ326" s="1641">
        <v>356</v>
      </c>
      <c r="AK326" s="1642">
        <v>401</v>
      </c>
      <c r="AL326" s="1642">
        <v>390</v>
      </c>
      <c r="AM326" s="1642">
        <v>389</v>
      </c>
      <c r="AN326" s="1641">
        <v>342</v>
      </c>
      <c r="AO326" s="1642">
        <v>348</v>
      </c>
      <c r="AP326" s="1642">
        <v>358</v>
      </c>
      <c r="AQ326" s="1642">
        <v>411</v>
      </c>
      <c r="AR326" s="1641">
        <v>409</v>
      </c>
      <c r="AS326" s="1642">
        <v>371</v>
      </c>
      <c r="AT326" s="1642">
        <v>479</v>
      </c>
      <c r="AU326" s="1642">
        <v>455</v>
      </c>
      <c r="AV326" s="1641">
        <v>489</v>
      </c>
      <c r="AW326" s="1642">
        <v>546</v>
      </c>
      <c r="AX326" s="1642">
        <v>472</v>
      </c>
      <c r="AY326" s="1642">
        <v>537</v>
      </c>
      <c r="AZ326" s="1641">
        <f t="shared" ref="AZ326:BP326" si="421">AZ324+AZ325</f>
        <v>431</v>
      </c>
      <c r="BA326" s="1642">
        <f t="shared" si="421"/>
        <v>415</v>
      </c>
      <c r="BB326" s="1642">
        <f t="shared" si="421"/>
        <v>337</v>
      </c>
      <c r="BC326" s="1642">
        <f t="shared" si="421"/>
        <v>389</v>
      </c>
      <c r="BD326" s="1694">
        <f t="shared" si="421"/>
        <v>381</v>
      </c>
      <c r="BE326" s="1693">
        <f t="shared" si="421"/>
        <v>420</v>
      </c>
      <c r="BF326" s="1693">
        <f t="shared" si="421"/>
        <v>446</v>
      </c>
      <c r="BG326" s="1693">
        <f t="shared" si="421"/>
        <v>364</v>
      </c>
      <c r="BH326" s="1694">
        <f t="shared" si="421"/>
        <v>352</v>
      </c>
      <c r="BI326" s="1693">
        <f t="shared" si="421"/>
        <v>323</v>
      </c>
      <c r="BJ326" s="1693">
        <f t="shared" si="421"/>
        <v>369</v>
      </c>
      <c r="BK326" s="1693">
        <f t="shared" si="421"/>
        <v>377</v>
      </c>
      <c r="BL326" s="1694">
        <f t="shared" si="421"/>
        <v>418</v>
      </c>
      <c r="BM326" s="1693">
        <f t="shared" si="421"/>
        <v>433</v>
      </c>
      <c r="BN326" s="1693">
        <f t="shared" si="421"/>
        <v>438</v>
      </c>
      <c r="BO326" s="1693">
        <f t="shared" si="421"/>
        <v>433</v>
      </c>
      <c r="BP326" s="1694">
        <f t="shared" si="421"/>
        <v>429</v>
      </c>
      <c r="BQ326" s="1642"/>
      <c r="BR326" s="1642"/>
      <c r="BS326" s="1642"/>
      <c r="BT326" s="1641"/>
      <c r="BU326" s="1642"/>
      <c r="BV326" s="1642"/>
      <c r="BW326" s="1642"/>
      <c r="BX326" s="1641"/>
      <c r="BY326" s="1642"/>
      <c r="BZ326" s="1642"/>
      <c r="CA326" s="1642"/>
      <c r="CB326" s="1641"/>
      <c r="CC326" s="1642"/>
      <c r="CD326" s="1642"/>
      <c r="CE326" s="1642"/>
      <c r="CF326" s="1641"/>
      <c r="CG326" s="1642"/>
      <c r="CH326" s="1642"/>
      <c r="CI326" s="1642"/>
      <c r="CJ326" s="1641"/>
      <c r="CK326" s="1642"/>
      <c r="CL326" s="1642"/>
      <c r="CM326" s="1681"/>
      <c r="CN326" s="1672"/>
      <c r="CO326" s="1672"/>
      <c r="CP326" s="1672"/>
      <c r="CQ326" s="1681"/>
      <c r="CR326" s="1672"/>
      <c r="CS326" s="1672"/>
      <c r="CT326" s="1672"/>
      <c r="CU326" s="1681"/>
      <c r="CV326" s="1672"/>
      <c r="CW326" s="1672"/>
      <c r="CX326" s="1672"/>
      <c r="CY326" s="1681"/>
      <c r="CZ326" s="1672"/>
      <c r="DA326" s="1672"/>
      <c r="DB326" s="1672"/>
      <c r="DC326" s="1672"/>
      <c r="DD326" s="1672"/>
      <c r="DE326" s="1672"/>
      <c r="DF326" s="1672"/>
      <c r="DG326" s="1672"/>
      <c r="DH326" s="1672"/>
      <c r="DI326" s="1672"/>
      <c r="DJ326" s="1672"/>
      <c r="DK326" s="1672"/>
      <c r="DL326" s="1672"/>
    </row>
    <row r="327" spans="1:116" ht="12.75" hidden="1" customHeight="1">
      <c r="A327" s="1629" t="s">
        <v>1237</v>
      </c>
      <c r="B327" s="1642"/>
      <c r="C327" s="1642"/>
      <c r="D327" s="1642"/>
      <c r="E327" s="1659">
        <f t="shared" ref="E327:K327" si="422">E326-SUM(E324:E325)</f>
        <v>0</v>
      </c>
      <c r="F327" s="1658">
        <f t="shared" si="422"/>
        <v>0</v>
      </c>
      <c r="G327" s="1658">
        <f t="shared" si="422"/>
        <v>0</v>
      </c>
      <c r="H327" s="1658">
        <f t="shared" si="422"/>
        <v>0</v>
      </c>
      <c r="I327" s="1658">
        <f t="shared" si="422"/>
        <v>0</v>
      </c>
      <c r="J327" s="1658">
        <f t="shared" si="422"/>
        <v>0</v>
      </c>
      <c r="K327" s="1696">
        <f t="shared" si="422"/>
        <v>0</v>
      </c>
      <c r="L327" s="1658"/>
      <c r="M327" s="1658"/>
      <c r="N327" s="1642"/>
      <c r="O327" s="1642"/>
      <c r="P327" s="1642"/>
      <c r="Q327" s="1642"/>
      <c r="R327" s="1642"/>
      <c r="S327" s="1642"/>
      <c r="T327" s="1642"/>
      <c r="U327" s="1642"/>
      <c r="V327" s="1642"/>
      <c r="W327" s="1642"/>
      <c r="X327" s="1642"/>
      <c r="Y327" s="1642"/>
      <c r="Z327" s="1642"/>
      <c r="AA327" s="1642"/>
      <c r="AB327" s="1642"/>
      <c r="AC327" s="1642"/>
      <c r="AD327" s="1642"/>
      <c r="AE327" s="1642"/>
      <c r="AF327" s="1659">
        <f t="shared" ref="AF327:BE327" si="423">AF326-SUM(AF324:AF325)</f>
        <v>0</v>
      </c>
      <c r="AG327" s="1658">
        <f t="shared" si="423"/>
        <v>0</v>
      </c>
      <c r="AH327" s="1658">
        <f t="shared" si="423"/>
        <v>0</v>
      </c>
      <c r="AI327" s="1658">
        <f t="shared" si="423"/>
        <v>0</v>
      </c>
      <c r="AJ327" s="1659">
        <f t="shared" si="423"/>
        <v>0</v>
      </c>
      <c r="AK327" s="1658">
        <f t="shared" si="423"/>
        <v>0</v>
      </c>
      <c r="AL327" s="1658">
        <f t="shared" si="423"/>
        <v>0</v>
      </c>
      <c r="AM327" s="1658">
        <f t="shared" si="423"/>
        <v>0</v>
      </c>
      <c r="AN327" s="1659">
        <f t="shared" si="423"/>
        <v>0</v>
      </c>
      <c r="AO327" s="1658">
        <f t="shared" si="423"/>
        <v>0</v>
      </c>
      <c r="AP327" s="1658">
        <f t="shared" si="423"/>
        <v>0</v>
      </c>
      <c r="AQ327" s="1658">
        <f t="shared" si="423"/>
        <v>0</v>
      </c>
      <c r="AR327" s="1659">
        <f t="shared" si="423"/>
        <v>0</v>
      </c>
      <c r="AS327" s="1658">
        <f t="shared" si="423"/>
        <v>0</v>
      </c>
      <c r="AT327" s="1658">
        <f t="shared" si="423"/>
        <v>0</v>
      </c>
      <c r="AU327" s="1658">
        <f t="shared" si="423"/>
        <v>0</v>
      </c>
      <c r="AV327" s="1659">
        <f t="shared" si="423"/>
        <v>0</v>
      </c>
      <c r="AW327" s="1658">
        <f t="shared" si="423"/>
        <v>0</v>
      </c>
      <c r="AX327" s="1658">
        <f t="shared" si="423"/>
        <v>0</v>
      </c>
      <c r="AY327" s="1658">
        <f t="shared" si="423"/>
        <v>0</v>
      </c>
      <c r="AZ327" s="1659">
        <f t="shared" si="423"/>
        <v>0</v>
      </c>
      <c r="BA327" s="1658">
        <f t="shared" si="423"/>
        <v>0</v>
      </c>
      <c r="BB327" s="1658">
        <f t="shared" si="423"/>
        <v>0</v>
      </c>
      <c r="BC327" s="1658">
        <f t="shared" si="423"/>
        <v>0</v>
      </c>
      <c r="BD327" s="1659">
        <f t="shared" si="423"/>
        <v>0</v>
      </c>
      <c r="BE327" s="1658">
        <f t="shared" si="423"/>
        <v>0</v>
      </c>
      <c r="BF327" s="1658"/>
      <c r="BG327" s="1658"/>
      <c r="BH327" s="1659"/>
      <c r="BI327" s="1642"/>
      <c r="BJ327" s="1642"/>
      <c r="BK327" s="1642"/>
      <c r="BL327" s="1641"/>
      <c r="BM327" s="1642"/>
      <c r="BN327" s="1642"/>
      <c r="BO327" s="1642"/>
      <c r="BP327" s="1641"/>
      <c r="BQ327" s="1642"/>
      <c r="BR327" s="1642"/>
      <c r="BS327" s="1642"/>
      <c r="BT327" s="1641"/>
      <c r="BU327" s="1642"/>
      <c r="BV327" s="1642"/>
      <c r="BW327" s="1642"/>
      <c r="BX327" s="1641"/>
      <c r="BY327" s="1642"/>
      <c r="BZ327" s="1642"/>
      <c r="CA327" s="1642"/>
      <c r="CB327" s="1641"/>
      <c r="CC327" s="1642"/>
      <c r="CD327" s="1642"/>
      <c r="CE327" s="1642"/>
      <c r="CF327" s="1641"/>
      <c r="CG327" s="1642"/>
      <c r="CH327" s="1642"/>
      <c r="CI327" s="1642"/>
      <c r="CJ327" s="1641"/>
      <c r="CK327" s="1642"/>
      <c r="CL327" s="1642"/>
      <c r="CM327" s="1681"/>
      <c r="CN327" s="1672"/>
      <c r="CO327" s="1672"/>
      <c r="CP327" s="1672"/>
      <c r="CQ327" s="1681"/>
      <c r="CR327" s="1672"/>
      <c r="CS327" s="1672"/>
      <c r="CT327" s="1672"/>
      <c r="CU327" s="1681"/>
      <c r="CV327" s="1672"/>
      <c r="CW327" s="1672"/>
      <c r="CX327" s="1672"/>
      <c r="CY327" s="1681"/>
      <c r="CZ327" s="1672"/>
      <c r="DA327" s="1672"/>
      <c r="DB327" s="1672"/>
      <c r="DC327" s="1672"/>
      <c r="DD327" s="1672"/>
      <c r="DE327" s="1672"/>
      <c r="DF327" s="1672"/>
      <c r="DG327" s="1672"/>
      <c r="DH327" s="1672"/>
      <c r="DI327" s="1672"/>
      <c r="DJ327" s="1672"/>
      <c r="DK327" s="1672"/>
      <c r="DL327" s="1672"/>
    </row>
    <row r="328" spans="1:116" ht="12.75" hidden="1" customHeight="1">
      <c r="A328" s="1539"/>
      <c r="B328" s="1642"/>
      <c r="C328" s="1642"/>
      <c r="D328" s="1642"/>
      <c r="E328" s="1641"/>
      <c r="F328" s="1642"/>
      <c r="G328" s="1642"/>
      <c r="H328" s="1642"/>
      <c r="I328" s="1642"/>
      <c r="J328" s="1642"/>
      <c r="K328" s="1681"/>
      <c r="L328" s="1642"/>
      <c r="M328" s="1642"/>
      <c r="N328" s="1642"/>
      <c r="O328" s="1642"/>
      <c r="P328" s="1642"/>
      <c r="Q328" s="1642"/>
      <c r="R328" s="1642"/>
      <c r="S328" s="1642"/>
      <c r="T328" s="1642"/>
      <c r="U328" s="1642"/>
      <c r="V328" s="1642"/>
      <c r="W328" s="1642"/>
      <c r="X328" s="1642"/>
      <c r="Y328" s="1642"/>
      <c r="Z328" s="1642"/>
      <c r="AA328" s="1642"/>
      <c r="AB328" s="1642"/>
      <c r="AC328" s="1642"/>
      <c r="AD328" s="1642"/>
      <c r="AE328" s="1642"/>
      <c r="AF328" s="1641"/>
      <c r="AG328" s="1642"/>
      <c r="AH328" s="1642"/>
      <c r="AI328" s="1642"/>
      <c r="AJ328" s="1641"/>
      <c r="AK328" s="1642"/>
      <c r="AL328" s="1642"/>
      <c r="AM328" s="1642"/>
      <c r="AN328" s="1641"/>
      <c r="AO328" s="1642"/>
      <c r="AP328" s="1642"/>
      <c r="AQ328" s="1642"/>
      <c r="AR328" s="1641"/>
      <c r="AS328" s="1642"/>
      <c r="AT328" s="1642"/>
      <c r="AU328" s="1642"/>
      <c r="AV328" s="1641"/>
      <c r="AW328" s="1642"/>
      <c r="AX328" s="1642"/>
      <c r="AY328" s="1642"/>
      <c r="AZ328" s="1641"/>
      <c r="BA328" s="1642"/>
      <c r="BB328" s="1642"/>
      <c r="BC328" s="1642"/>
      <c r="BD328" s="1641"/>
      <c r="BE328" s="1642"/>
      <c r="BF328" s="1642"/>
      <c r="BG328" s="1642"/>
      <c r="BH328" s="1641"/>
      <c r="BI328" s="1642"/>
      <c r="BJ328" s="1642"/>
      <c r="BK328" s="1642"/>
      <c r="BL328" s="1641"/>
      <c r="BM328" s="1642"/>
      <c r="BN328" s="1642"/>
      <c r="BO328" s="1642"/>
      <c r="BP328" s="1641"/>
      <c r="BQ328" s="1642"/>
      <c r="BR328" s="1642"/>
      <c r="BS328" s="1642"/>
      <c r="BT328" s="1641"/>
      <c r="BU328" s="1642"/>
      <c r="BV328" s="1642"/>
      <c r="BW328" s="1642"/>
      <c r="BX328" s="1641"/>
      <c r="BY328" s="1642"/>
      <c r="BZ328" s="1642"/>
      <c r="CA328" s="1642"/>
      <c r="CB328" s="1641"/>
      <c r="CC328" s="1642"/>
      <c r="CD328" s="1642"/>
      <c r="CE328" s="1642"/>
      <c r="CF328" s="1641"/>
      <c r="CG328" s="1642"/>
      <c r="CH328" s="1642"/>
      <c r="CI328" s="1642"/>
      <c r="CJ328" s="1641"/>
      <c r="CK328" s="1642"/>
      <c r="CL328" s="1642"/>
      <c r="CM328" s="1681"/>
      <c r="CN328" s="1672"/>
      <c r="CO328" s="1672"/>
      <c r="CP328" s="1672"/>
      <c r="CQ328" s="1681"/>
      <c r="CR328" s="1672"/>
      <c r="CS328" s="1672"/>
      <c r="CT328" s="1672"/>
      <c r="CU328" s="1681"/>
      <c r="CV328" s="1672"/>
      <c r="CW328" s="1672"/>
      <c r="CX328" s="1672"/>
      <c r="CY328" s="1681"/>
      <c r="CZ328" s="1672"/>
      <c r="DA328" s="1672"/>
      <c r="DB328" s="1672"/>
      <c r="DC328" s="1672"/>
      <c r="DD328" s="1672"/>
      <c r="DE328" s="1672"/>
      <c r="DF328" s="1672"/>
      <c r="DG328" s="1672"/>
      <c r="DH328" s="1672"/>
      <c r="DI328" s="1672"/>
      <c r="DJ328" s="1672"/>
      <c r="DK328" s="1672"/>
      <c r="DL328" s="1672"/>
    </row>
    <row r="329" spans="1:116" ht="12.75" hidden="1" customHeight="1">
      <c r="A329" s="1539" t="s">
        <v>1460</v>
      </c>
      <c r="B329" s="1642"/>
      <c r="C329" s="1642"/>
      <c r="D329" s="1642"/>
      <c r="E329" s="1641">
        <f t="shared" ref="E329:K329" si="424">E318-E326</f>
        <v>-17</v>
      </c>
      <c r="F329" s="1642">
        <f t="shared" si="424"/>
        <v>154</v>
      </c>
      <c r="G329" s="1642">
        <f t="shared" si="424"/>
        <v>307</v>
      </c>
      <c r="H329" s="1642">
        <f t="shared" si="424"/>
        <v>540</v>
      </c>
      <c r="I329" s="1642">
        <f t="shared" si="424"/>
        <v>615</v>
      </c>
      <c r="J329" s="1642">
        <f t="shared" si="424"/>
        <v>647</v>
      </c>
      <c r="K329" s="1681">
        <f t="shared" si="424"/>
        <v>338</v>
      </c>
      <c r="L329" s="1642"/>
      <c r="M329" s="1642"/>
      <c r="N329" s="1642"/>
      <c r="O329" s="1642"/>
      <c r="P329" s="1642"/>
      <c r="Q329" s="1642"/>
      <c r="R329" s="1642"/>
      <c r="S329" s="1642"/>
      <c r="T329" s="1642"/>
      <c r="U329" s="1642"/>
      <c r="V329" s="1642"/>
      <c r="W329" s="1642"/>
      <c r="X329" s="1642"/>
      <c r="Y329" s="1642"/>
      <c r="Z329" s="1642"/>
      <c r="AA329" s="1642"/>
      <c r="AB329" s="1642"/>
      <c r="AC329" s="1642"/>
      <c r="AD329" s="1642"/>
      <c r="AE329" s="1642"/>
      <c r="AF329" s="1641">
        <f t="shared" ref="AF329:BI329" si="425">AF318-AF326</f>
        <v>-40</v>
      </c>
      <c r="AG329" s="1642">
        <f t="shared" si="425"/>
        <v>-8</v>
      </c>
      <c r="AH329" s="1642">
        <f t="shared" si="425"/>
        <v>9</v>
      </c>
      <c r="AI329" s="1642">
        <f t="shared" si="425"/>
        <v>22</v>
      </c>
      <c r="AJ329" s="1641">
        <f t="shared" si="425"/>
        <v>44</v>
      </c>
      <c r="AK329" s="1642">
        <f t="shared" si="425"/>
        <v>40</v>
      </c>
      <c r="AL329" s="1642">
        <f t="shared" si="425"/>
        <v>28</v>
      </c>
      <c r="AM329" s="1642">
        <f t="shared" si="425"/>
        <v>42</v>
      </c>
      <c r="AN329" s="1641">
        <f t="shared" si="425"/>
        <v>54</v>
      </c>
      <c r="AO329" s="1642">
        <f t="shared" si="425"/>
        <v>63</v>
      </c>
      <c r="AP329" s="1642">
        <f t="shared" si="425"/>
        <v>96</v>
      </c>
      <c r="AQ329" s="1642">
        <f t="shared" si="425"/>
        <v>42</v>
      </c>
      <c r="AR329" s="1641">
        <f t="shared" si="425"/>
        <v>48</v>
      </c>
      <c r="AS329" s="1642">
        <f t="shared" si="425"/>
        <v>100</v>
      </c>
      <c r="AT329" s="1642">
        <f t="shared" si="425"/>
        <v>29</v>
      </c>
      <c r="AU329" s="1642">
        <f t="shared" si="425"/>
        <v>85</v>
      </c>
      <c r="AV329" s="1641">
        <f t="shared" si="425"/>
        <v>38</v>
      </c>
      <c r="AW329" s="1642">
        <f t="shared" si="425"/>
        <v>52</v>
      </c>
      <c r="AX329" s="1642">
        <f t="shared" si="425"/>
        <v>125</v>
      </c>
      <c r="AY329" s="1642">
        <f t="shared" si="425"/>
        <v>78</v>
      </c>
      <c r="AZ329" s="1641">
        <f t="shared" si="425"/>
        <v>131</v>
      </c>
      <c r="BA329" s="1642">
        <f t="shared" si="425"/>
        <v>155</v>
      </c>
      <c r="BB329" s="1642">
        <f t="shared" si="425"/>
        <v>201</v>
      </c>
      <c r="BC329" s="1642">
        <f t="shared" si="425"/>
        <v>160</v>
      </c>
      <c r="BD329" s="1641">
        <f t="shared" si="425"/>
        <v>136</v>
      </c>
      <c r="BE329" s="1642">
        <f t="shared" si="425"/>
        <v>89</v>
      </c>
      <c r="BF329" s="1642">
        <f t="shared" si="425"/>
        <v>0</v>
      </c>
      <c r="BG329" s="1642">
        <f t="shared" si="425"/>
        <v>113</v>
      </c>
      <c r="BH329" s="1641">
        <f t="shared" si="425"/>
        <v>116</v>
      </c>
      <c r="BI329" s="1642">
        <f t="shared" si="425"/>
        <v>183</v>
      </c>
      <c r="BJ329" s="1642">
        <v>127</v>
      </c>
      <c r="BK329" s="1642">
        <v>167</v>
      </c>
      <c r="BL329" s="1641">
        <v>99</v>
      </c>
      <c r="BM329" s="1642">
        <v>104</v>
      </c>
      <c r="BN329" s="1642">
        <v>134</v>
      </c>
      <c r="BO329" s="1642">
        <v>134</v>
      </c>
      <c r="BP329" s="1641">
        <v>268</v>
      </c>
      <c r="BQ329" s="1642"/>
      <c r="BR329" s="1642"/>
      <c r="BS329" s="1642"/>
      <c r="BT329" s="1641"/>
      <c r="BU329" s="1642"/>
      <c r="BV329" s="1642"/>
      <c r="BW329" s="1642"/>
      <c r="BX329" s="1641"/>
      <c r="BY329" s="1642"/>
      <c r="BZ329" s="1642"/>
      <c r="CA329" s="1642"/>
      <c r="CB329" s="1641"/>
      <c r="CC329" s="1642"/>
      <c r="CD329" s="1642"/>
      <c r="CE329" s="1642"/>
      <c r="CF329" s="1641"/>
      <c r="CG329" s="1642"/>
      <c r="CH329" s="1642"/>
      <c r="CI329" s="1642"/>
      <c r="CJ329" s="1641"/>
      <c r="CK329" s="1642"/>
      <c r="CL329" s="1642"/>
      <c r="CM329" s="1681"/>
      <c r="CN329" s="1672"/>
      <c r="CO329" s="1672"/>
      <c r="CP329" s="1672"/>
      <c r="CQ329" s="1681"/>
      <c r="CR329" s="1672"/>
      <c r="CS329" s="1672"/>
      <c r="CT329" s="1672"/>
      <c r="CU329" s="1681"/>
      <c r="CV329" s="1672"/>
      <c r="CW329" s="1672"/>
      <c r="CX329" s="1672"/>
      <c r="CY329" s="1681"/>
      <c r="CZ329" s="1672"/>
      <c r="DA329" s="1672"/>
      <c r="DB329" s="1672"/>
      <c r="DC329" s="1672"/>
      <c r="DD329" s="1672"/>
      <c r="DE329" s="1672"/>
      <c r="DF329" s="1672"/>
      <c r="DG329" s="1672"/>
      <c r="DH329" s="1672"/>
      <c r="DI329" s="1672"/>
      <c r="DJ329" s="1672"/>
      <c r="DK329" s="1672"/>
      <c r="DL329" s="1672"/>
    </row>
    <row r="330" spans="1:116" ht="12.75" hidden="1" customHeight="1">
      <c r="A330" s="1539" t="s">
        <v>220</v>
      </c>
      <c r="B330" s="1642"/>
      <c r="C330" s="1642"/>
      <c r="D330" s="1642"/>
      <c r="E330" s="1659">
        <f t="shared" ref="E330:K330" si="426">E329/E$318</f>
        <v>-1.1988716502115656E-2</v>
      </c>
      <c r="F330" s="1658">
        <f t="shared" si="426"/>
        <v>9.1124260355029588E-2</v>
      </c>
      <c r="G330" s="1658">
        <f t="shared" si="426"/>
        <v>0.15687276443536025</v>
      </c>
      <c r="H330" s="1658">
        <f t="shared" si="426"/>
        <v>1</v>
      </c>
      <c r="I330" s="1658">
        <f t="shared" si="426"/>
        <v>1</v>
      </c>
      <c r="J330" s="1658">
        <f t="shared" si="426"/>
        <v>0.29157278053177105</v>
      </c>
      <c r="K330" s="1696">
        <f t="shared" si="426"/>
        <v>0.17342226782965622</v>
      </c>
      <c r="L330" s="1658"/>
      <c r="M330" s="1658"/>
      <c r="N330" s="1642"/>
      <c r="O330" s="1642"/>
      <c r="P330" s="1642"/>
      <c r="Q330" s="1642"/>
      <c r="R330" s="1642"/>
      <c r="S330" s="1642"/>
      <c r="T330" s="1642"/>
      <c r="U330" s="1642"/>
      <c r="V330" s="1642"/>
      <c r="W330" s="1642"/>
      <c r="X330" s="1642"/>
      <c r="Y330" s="1642"/>
      <c r="Z330" s="1642"/>
      <c r="AA330" s="1642"/>
      <c r="AB330" s="1642"/>
      <c r="AC330" s="1642"/>
      <c r="AD330" s="1642"/>
      <c r="AE330" s="1642"/>
      <c r="AF330" s="1659">
        <f t="shared" ref="AF330:BP330" si="427">AF329/AF$318</f>
        <v>-0.11331444759206799</v>
      </c>
      <c r="AG330" s="1658">
        <f t="shared" si="427"/>
        <v>-2.4539877300613498E-2</v>
      </c>
      <c r="AH330" s="1658">
        <f t="shared" si="427"/>
        <v>2.6470588235294117E-2</v>
      </c>
      <c r="AI330" s="1658">
        <f t="shared" si="427"/>
        <v>5.5137844611528819E-2</v>
      </c>
      <c r="AJ330" s="1659">
        <f t="shared" si="427"/>
        <v>0.11</v>
      </c>
      <c r="AK330" s="1658">
        <f t="shared" si="427"/>
        <v>9.0702947845804988E-2</v>
      </c>
      <c r="AL330" s="1658">
        <f t="shared" si="427"/>
        <v>6.6985645933014357E-2</v>
      </c>
      <c r="AM330" s="1658">
        <f t="shared" si="427"/>
        <v>9.7447795823665889E-2</v>
      </c>
      <c r="AN330" s="1659">
        <f t="shared" si="427"/>
        <v>0.13636363636363635</v>
      </c>
      <c r="AO330" s="1658">
        <f t="shared" si="427"/>
        <v>0.15328467153284672</v>
      </c>
      <c r="AP330" s="1658">
        <f t="shared" si="427"/>
        <v>0.21145374449339208</v>
      </c>
      <c r="AQ330" s="1658">
        <f t="shared" si="427"/>
        <v>9.2715231788079472E-2</v>
      </c>
      <c r="AR330" s="1659">
        <f t="shared" si="427"/>
        <v>0.10503282275711159</v>
      </c>
      <c r="AS330" s="1658">
        <f t="shared" si="427"/>
        <v>0.21231422505307856</v>
      </c>
      <c r="AT330" s="1658">
        <f t="shared" si="427"/>
        <v>5.7086614173228349E-2</v>
      </c>
      <c r="AU330" s="1658">
        <f t="shared" si="427"/>
        <v>0.15740740740740741</v>
      </c>
      <c r="AV330" s="1659">
        <f t="shared" si="427"/>
        <v>7.2106261859582549E-2</v>
      </c>
      <c r="AW330" s="1658">
        <f t="shared" si="427"/>
        <v>8.6956521739130432E-2</v>
      </c>
      <c r="AX330" s="1658">
        <f t="shared" si="427"/>
        <v>0.20938023450586266</v>
      </c>
      <c r="AY330" s="1658">
        <f t="shared" si="427"/>
        <v>0.12682926829268293</v>
      </c>
      <c r="AZ330" s="1659">
        <f t="shared" si="427"/>
        <v>0.23309608540925267</v>
      </c>
      <c r="BA330" s="1658">
        <f t="shared" si="427"/>
        <v>0.27192982456140352</v>
      </c>
      <c r="BB330" s="1658">
        <f t="shared" si="427"/>
        <v>0.37360594795539032</v>
      </c>
      <c r="BC330" s="1658">
        <f t="shared" si="427"/>
        <v>0.29143897996357016</v>
      </c>
      <c r="BD330" s="1659">
        <f t="shared" si="427"/>
        <v>0.26305609284332687</v>
      </c>
      <c r="BE330" s="1658">
        <f t="shared" si="427"/>
        <v>0.17485265225933203</v>
      </c>
      <c r="BF330" s="1658">
        <f t="shared" si="427"/>
        <v>0</v>
      </c>
      <c r="BG330" s="1658">
        <f t="shared" si="427"/>
        <v>0.23689727463312368</v>
      </c>
      <c r="BH330" s="1659">
        <f t="shared" si="427"/>
        <v>0.24786324786324787</v>
      </c>
      <c r="BI330" s="1658">
        <f t="shared" si="427"/>
        <v>0.36166007905138342</v>
      </c>
      <c r="BJ330" s="1658">
        <f t="shared" si="427"/>
        <v>0.25604838709677419</v>
      </c>
      <c r="BK330" s="1658">
        <f t="shared" si="427"/>
        <v>0.30698529411764708</v>
      </c>
      <c r="BL330" s="1659">
        <f t="shared" si="427"/>
        <v>0.19148936170212766</v>
      </c>
      <c r="BM330" s="1658">
        <f t="shared" si="427"/>
        <v>0.19366852886405958</v>
      </c>
      <c r="BN330" s="1658">
        <f t="shared" si="427"/>
        <v>0.23426573426573427</v>
      </c>
      <c r="BO330" s="1658">
        <f t="shared" si="427"/>
        <v>0.23633156966490299</v>
      </c>
      <c r="BP330" s="1659">
        <f t="shared" si="427"/>
        <v>0.38450502152080346</v>
      </c>
      <c r="BQ330" s="1642"/>
      <c r="BR330" s="1642"/>
      <c r="BS330" s="1642"/>
      <c r="BT330" s="1641"/>
      <c r="BU330" s="1642"/>
      <c r="BV330" s="1642"/>
      <c r="BW330" s="1642"/>
      <c r="BX330" s="1641"/>
      <c r="BY330" s="1642"/>
      <c r="BZ330" s="1642"/>
      <c r="CA330" s="1642"/>
      <c r="CB330" s="1641"/>
      <c r="CC330" s="1642"/>
      <c r="CD330" s="1642"/>
      <c r="CE330" s="1642"/>
      <c r="CF330" s="1641"/>
      <c r="CG330" s="1642"/>
      <c r="CH330" s="1642"/>
      <c r="CI330" s="1642"/>
      <c r="CJ330" s="1641"/>
      <c r="CK330" s="1642"/>
      <c r="CL330" s="1642"/>
      <c r="CM330" s="1681"/>
      <c r="CN330" s="1672"/>
      <c r="CO330" s="1672"/>
      <c r="CP330" s="1672"/>
      <c r="CQ330" s="1681"/>
      <c r="CR330" s="1672"/>
      <c r="CS330" s="1672"/>
      <c r="CT330" s="1672"/>
      <c r="CU330" s="1681"/>
      <c r="CV330" s="1672"/>
      <c r="CW330" s="1672"/>
      <c r="CX330" s="1672"/>
      <c r="CY330" s="1681"/>
      <c r="CZ330" s="1672"/>
      <c r="DA330" s="1672"/>
      <c r="DB330" s="1672"/>
      <c r="DC330" s="1672"/>
      <c r="DD330" s="1672"/>
      <c r="DE330" s="1672"/>
      <c r="DF330" s="1672"/>
      <c r="DG330" s="1672"/>
      <c r="DH330" s="1672"/>
      <c r="DI330" s="1672"/>
      <c r="DJ330" s="1672"/>
      <c r="DK330" s="1672"/>
      <c r="DL330" s="1672"/>
    </row>
    <row r="331" spans="1:116" ht="12.75" hidden="1" customHeight="1">
      <c r="A331" s="1539"/>
      <c r="B331" s="1642"/>
      <c r="C331" s="1642"/>
      <c r="D331" s="1642"/>
      <c r="E331" s="1641"/>
      <c r="F331" s="1642"/>
      <c r="G331" s="1642"/>
      <c r="H331" s="1642"/>
      <c r="I331" s="1642"/>
      <c r="J331" s="1642"/>
      <c r="K331" s="1681"/>
      <c r="L331" s="1642"/>
      <c r="M331" s="1642"/>
      <c r="N331" s="1642"/>
      <c r="O331" s="1642"/>
      <c r="P331" s="1642"/>
      <c r="Q331" s="1642"/>
      <c r="R331" s="1642"/>
      <c r="S331" s="1642"/>
      <c r="T331" s="1642"/>
      <c r="U331" s="1642"/>
      <c r="V331" s="1642"/>
      <c r="W331" s="1642"/>
      <c r="X331" s="1642"/>
      <c r="Y331" s="1642"/>
      <c r="Z331" s="1642"/>
      <c r="AA331" s="1642"/>
      <c r="AB331" s="1642"/>
      <c r="AC331" s="1642"/>
      <c r="AD331" s="1642"/>
      <c r="AE331" s="1642"/>
      <c r="AF331" s="1641"/>
      <c r="AG331" s="1642"/>
      <c r="AH331" s="1642"/>
      <c r="AI331" s="1642"/>
      <c r="AJ331" s="1641"/>
      <c r="AK331" s="1642"/>
      <c r="AL331" s="1642"/>
      <c r="AM331" s="1642"/>
      <c r="AN331" s="1641"/>
      <c r="AO331" s="1642"/>
      <c r="AP331" s="1642"/>
      <c r="AQ331" s="1642"/>
      <c r="AR331" s="1641"/>
      <c r="AS331" s="1642"/>
      <c r="AT331" s="1642"/>
      <c r="AU331" s="1642"/>
      <c r="AV331" s="1641"/>
      <c r="AW331" s="1642"/>
      <c r="AX331" s="1642"/>
      <c r="AY331" s="1642"/>
      <c r="AZ331" s="1641"/>
      <c r="BA331" s="1642"/>
      <c r="BB331" s="1642"/>
      <c r="BC331" s="1642"/>
      <c r="BD331" s="1641"/>
      <c r="BE331" s="1642"/>
      <c r="BF331" s="1642"/>
      <c r="BG331" s="1642"/>
      <c r="BH331" s="1641"/>
      <c r="BI331" s="1642"/>
      <c r="BJ331" s="1642"/>
      <c r="BK331" s="1642"/>
      <c r="BL331" s="1641"/>
      <c r="BM331" s="1642"/>
      <c r="BN331" s="1642"/>
      <c r="BO331" s="1642"/>
      <c r="BP331" s="1641"/>
      <c r="BQ331" s="1642"/>
      <c r="BR331" s="1642"/>
      <c r="BS331" s="1642"/>
      <c r="BT331" s="1641"/>
      <c r="BU331" s="1642"/>
      <c r="BV331" s="1642"/>
      <c r="BW331" s="1642"/>
      <c r="BX331" s="1641"/>
      <c r="BY331" s="1642"/>
      <c r="BZ331" s="1642"/>
      <c r="CA331" s="1642"/>
      <c r="CB331" s="1641"/>
      <c r="CC331" s="1642"/>
      <c r="CD331" s="1642"/>
      <c r="CE331" s="1642"/>
      <c r="CF331" s="1641"/>
      <c r="CG331" s="1642"/>
      <c r="CH331" s="1642"/>
      <c r="CI331" s="1642"/>
      <c r="CJ331" s="1641"/>
      <c r="CK331" s="1642"/>
      <c r="CL331" s="1642"/>
      <c r="CM331" s="1681"/>
      <c r="CN331" s="1672"/>
      <c r="CO331" s="1672"/>
      <c r="CP331" s="1672"/>
      <c r="CQ331" s="1681"/>
      <c r="CR331" s="1672"/>
      <c r="CS331" s="1672"/>
      <c r="CT331" s="1672"/>
      <c r="CU331" s="1681"/>
      <c r="CV331" s="1672"/>
      <c r="CW331" s="1672"/>
      <c r="CX331" s="1672"/>
      <c r="CY331" s="1681"/>
      <c r="CZ331" s="1672"/>
      <c r="DA331" s="1672"/>
      <c r="DB331" s="1672"/>
      <c r="DC331" s="1672"/>
      <c r="DD331" s="1672"/>
      <c r="DE331" s="1672"/>
      <c r="DF331" s="1672"/>
      <c r="DG331" s="1672"/>
      <c r="DH331" s="1672"/>
      <c r="DI331" s="1672"/>
      <c r="DJ331" s="1672"/>
      <c r="DK331" s="1672"/>
      <c r="DL331" s="1672"/>
    </row>
    <row r="332" spans="1:116" ht="12.75" hidden="1" customHeight="1">
      <c r="A332" s="1539" t="s">
        <v>491</v>
      </c>
      <c r="B332" s="1642"/>
      <c r="C332" s="1642"/>
      <c r="D332" s="1642"/>
      <c r="E332" s="1641">
        <f t="shared" ref="E332:K332" si="428">E329+E325</f>
        <v>272</v>
      </c>
      <c r="F332" s="1642">
        <f t="shared" si="428"/>
        <v>435</v>
      </c>
      <c r="G332" s="1642">
        <f t="shared" si="428"/>
        <v>617</v>
      </c>
      <c r="H332" s="1642">
        <f t="shared" si="428"/>
        <v>540</v>
      </c>
      <c r="I332" s="1642">
        <f t="shared" si="428"/>
        <v>615</v>
      </c>
      <c r="J332" s="1642">
        <f t="shared" si="428"/>
        <v>1023</v>
      </c>
      <c r="K332" s="1681">
        <f t="shared" si="428"/>
        <v>684</v>
      </c>
      <c r="L332" s="1642"/>
      <c r="M332" s="1642"/>
      <c r="N332" s="1642"/>
      <c r="O332" s="1642"/>
      <c r="P332" s="1642"/>
      <c r="Q332" s="1642"/>
      <c r="R332" s="1642"/>
      <c r="S332" s="1642"/>
      <c r="T332" s="1642"/>
      <c r="U332" s="1642"/>
      <c r="V332" s="1642"/>
      <c r="W332" s="1642"/>
      <c r="X332" s="1642"/>
      <c r="Y332" s="1642"/>
      <c r="Z332" s="1642"/>
      <c r="AA332" s="1642"/>
      <c r="AB332" s="1642"/>
      <c r="AC332" s="1642"/>
      <c r="AD332" s="1642"/>
      <c r="AE332" s="1642"/>
      <c r="AF332" s="1641">
        <f t="shared" ref="AF332:BP332" si="429">AF329+AF325</f>
        <v>48</v>
      </c>
      <c r="AG332" s="1642">
        <f t="shared" si="429"/>
        <v>60</v>
      </c>
      <c r="AH332" s="1642">
        <f t="shared" si="429"/>
        <v>96</v>
      </c>
      <c r="AI332" s="1642">
        <f t="shared" si="429"/>
        <v>68</v>
      </c>
      <c r="AJ332" s="1641">
        <f t="shared" si="429"/>
        <v>115</v>
      </c>
      <c r="AK332" s="1642">
        <f t="shared" si="429"/>
        <v>106</v>
      </c>
      <c r="AL332" s="1642">
        <f t="shared" si="429"/>
        <v>98</v>
      </c>
      <c r="AM332" s="1642">
        <f t="shared" si="429"/>
        <v>116</v>
      </c>
      <c r="AN332" s="1641">
        <f t="shared" si="429"/>
        <v>118</v>
      </c>
      <c r="AO332" s="1642">
        <f t="shared" si="429"/>
        <v>126</v>
      </c>
      <c r="AP332" s="1642">
        <f t="shared" si="429"/>
        <v>147</v>
      </c>
      <c r="AQ332" s="1642">
        <f t="shared" si="429"/>
        <v>128</v>
      </c>
      <c r="AR332" s="1641">
        <f t="shared" si="429"/>
        <v>129</v>
      </c>
      <c r="AS332" s="1642">
        <f t="shared" si="429"/>
        <v>183</v>
      </c>
      <c r="AT332" s="1642">
        <f t="shared" si="429"/>
        <v>118</v>
      </c>
      <c r="AU332" s="1642">
        <f t="shared" si="429"/>
        <v>187</v>
      </c>
      <c r="AV332" s="1641">
        <f t="shared" si="429"/>
        <v>143</v>
      </c>
      <c r="AW332" s="1642">
        <f t="shared" si="429"/>
        <v>166</v>
      </c>
      <c r="AX332" s="1642">
        <f t="shared" si="429"/>
        <v>210</v>
      </c>
      <c r="AY332" s="1642">
        <f t="shared" si="429"/>
        <v>196</v>
      </c>
      <c r="AZ332" s="1641">
        <f t="shared" si="429"/>
        <v>226</v>
      </c>
      <c r="BA332" s="1642">
        <f t="shared" si="429"/>
        <v>251</v>
      </c>
      <c r="BB332" s="1642">
        <f t="shared" si="429"/>
        <v>298</v>
      </c>
      <c r="BC332" s="1642">
        <f t="shared" si="429"/>
        <v>248</v>
      </c>
      <c r="BD332" s="1641">
        <f t="shared" si="429"/>
        <v>223</v>
      </c>
      <c r="BE332" s="1642">
        <f t="shared" si="429"/>
        <v>174</v>
      </c>
      <c r="BF332" s="1642">
        <f t="shared" si="429"/>
        <v>80</v>
      </c>
      <c r="BG332" s="1642">
        <f t="shared" si="429"/>
        <v>207</v>
      </c>
      <c r="BH332" s="1641">
        <f t="shared" si="429"/>
        <v>193</v>
      </c>
      <c r="BI332" s="1642">
        <f t="shared" si="429"/>
        <v>263</v>
      </c>
      <c r="BJ332" s="1642">
        <f t="shared" si="429"/>
        <v>207</v>
      </c>
      <c r="BK332" s="1642">
        <f t="shared" si="429"/>
        <v>254</v>
      </c>
      <c r="BL332" s="1641">
        <f t="shared" si="429"/>
        <v>183</v>
      </c>
      <c r="BM332" s="1642">
        <f t="shared" si="429"/>
        <v>190</v>
      </c>
      <c r="BN332" s="1642">
        <f t="shared" si="429"/>
        <v>219</v>
      </c>
      <c r="BO332" s="1642">
        <f t="shared" si="429"/>
        <v>219</v>
      </c>
      <c r="BP332" s="1641">
        <f t="shared" si="429"/>
        <v>355</v>
      </c>
      <c r="BQ332" s="1642"/>
      <c r="BR332" s="1642"/>
      <c r="BS332" s="1642"/>
      <c r="BT332" s="1641"/>
      <c r="BU332" s="1642"/>
      <c r="BV332" s="1642"/>
      <c r="BW332" s="1642"/>
      <c r="BX332" s="1641"/>
      <c r="BY332" s="1642"/>
      <c r="BZ332" s="1642"/>
      <c r="CA332" s="1642"/>
      <c r="CB332" s="1641"/>
      <c r="CC332" s="1642"/>
      <c r="CD332" s="1642"/>
      <c r="CE332" s="1642"/>
      <c r="CF332" s="1641"/>
      <c r="CG332" s="1642"/>
      <c r="CH332" s="1642"/>
      <c r="CI332" s="1642"/>
      <c r="CJ332" s="1641"/>
      <c r="CK332" s="1642"/>
      <c r="CL332" s="1642"/>
      <c r="CM332" s="1681"/>
      <c r="CN332" s="1672"/>
      <c r="CO332" s="1672"/>
      <c r="CP332" s="1672"/>
      <c r="CQ332" s="1681"/>
      <c r="CR332" s="1672"/>
      <c r="CS332" s="1672"/>
      <c r="CT332" s="1672"/>
      <c r="CU332" s="1681"/>
      <c r="CV332" s="1672"/>
      <c r="CW332" s="1672"/>
      <c r="CX332" s="1672"/>
      <c r="CY332" s="1681"/>
      <c r="CZ332" s="1672"/>
      <c r="DA332" s="1672"/>
      <c r="DB332" s="1672"/>
      <c r="DC332" s="1672"/>
      <c r="DD332" s="1672"/>
      <c r="DE332" s="1672"/>
      <c r="DF332" s="1672"/>
      <c r="DG332" s="1672"/>
      <c r="DH332" s="1672"/>
      <c r="DI332" s="1672"/>
      <c r="DJ332" s="1672"/>
      <c r="DK332" s="1672"/>
      <c r="DL332" s="1672"/>
    </row>
    <row r="333" spans="1:116" ht="12.75" hidden="1" customHeight="1">
      <c r="A333" s="1539" t="s">
        <v>656</v>
      </c>
      <c r="B333" s="1642"/>
      <c r="C333" s="1642"/>
      <c r="D333" s="1642"/>
      <c r="E333" s="1659">
        <f t="shared" ref="E333:K333" si="430">E332/E$318</f>
        <v>0.1918194640338505</v>
      </c>
      <c r="F333" s="1658">
        <f t="shared" si="430"/>
        <v>0.25739644970414199</v>
      </c>
      <c r="G333" s="1658">
        <f t="shared" si="430"/>
        <v>0.31527848748083803</v>
      </c>
      <c r="H333" s="1658">
        <f t="shared" si="430"/>
        <v>1</v>
      </c>
      <c r="I333" s="1658">
        <f t="shared" si="430"/>
        <v>1</v>
      </c>
      <c r="J333" s="1658">
        <f t="shared" si="430"/>
        <v>0.46101847679134744</v>
      </c>
      <c r="K333" s="1696">
        <f t="shared" si="430"/>
        <v>0.35094920472036945</v>
      </c>
      <c r="L333" s="1658"/>
      <c r="M333" s="1658"/>
      <c r="N333" s="1642"/>
      <c r="O333" s="1642"/>
      <c r="P333" s="1642"/>
      <c r="Q333" s="1642"/>
      <c r="R333" s="1642"/>
      <c r="S333" s="1642"/>
      <c r="T333" s="1642"/>
      <c r="U333" s="1642"/>
      <c r="V333" s="1642"/>
      <c r="W333" s="1642"/>
      <c r="X333" s="1642"/>
      <c r="Y333" s="1642"/>
      <c r="Z333" s="1642"/>
      <c r="AA333" s="1642"/>
      <c r="AB333" s="1642"/>
      <c r="AC333" s="1642"/>
      <c r="AD333" s="1642"/>
      <c r="AE333" s="1642"/>
      <c r="AF333" s="1659">
        <f t="shared" ref="AF333:BP333" si="431">AF332/AF$318</f>
        <v>0.1359773371104816</v>
      </c>
      <c r="AG333" s="1658">
        <f t="shared" si="431"/>
        <v>0.18404907975460122</v>
      </c>
      <c r="AH333" s="1658">
        <f t="shared" si="431"/>
        <v>0.28235294117647058</v>
      </c>
      <c r="AI333" s="1658">
        <f t="shared" si="431"/>
        <v>0.17042606516290726</v>
      </c>
      <c r="AJ333" s="1659">
        <f t="shared" si="431"/>
        <v>0.28749999999999998</v>
      </c>
      <c r="AK333" s="1658">
        <f t="shared" si="431"/>
        <v>0.24036281179138322</v>
      </c>
      <c r="AL333" s="1658">
        <f t="shared" si="431"/>
        <v>0.23444976076555024</v>
      </c>
      <c r="AM333" s="1658">
        <f t="shared" si="431"/>
        <v>0.26914153132250579</v>
      </c>
      <c r="AN333" s="1659">
        <f t="shared" si="431"/>
        <v>0.29797979797979796</v>
      </c>
      <c r="AO333" s="1658">
        <f t="shared" si="431"/>
        <v>0.30656934306569344</v>
      </c>
      <c r="AP333" s="1658">
        <f t="shared" si="431"/>
        <v>0.32378854625550663</v>
      </c>
      <c r="AQ333" s="1658">
        <f t="shared" si="431"/>
        <v>0.282560706401766</v>
      </c>
      <c r="AR333" s="1659">
        <f t="shared" si="431"/>
        <v>0.28227571115973743</v>
      </c>
      <c r="AS333" s="1658">
        <f t="shared" si="431"/>
        <v>0.38853503184713378</v>
      </c>
      <c r="AT333" s="1658">
        <f t="shared" si="431"/>
        <v>0.23228346456692914</v>
      </c>
      <c r="AU333" s="1658">
        <f t="shared" si="431"/>
        <v>0.34629629629629627</v>
      </c>
      <c r="AV333" s="1659">
        <f t="shared" si="431"/>
        <v>0.27134724857685011</v>
      </c>
      <c r="AW333" s="1658">
        <f t="shared" si="431"/>
        <v>0.27759197324414714</v>
      </c>
      <c r="AX333" s="1658">
        <f t="shared" si="431"/>
        <v>0.35175879396984927</v>
      </c>
      <c r="AY333" s="1658">
        <f t="shared" si="431"/>
        <v>0.31869918699186994</v>
      </c>
      <c r="AZ333" s="1659">
        <f t="shared" si="431"/>
        <v>0.40213523131672596</v>
      </c>
      <c r="BA333" s="1658">
        <f t="shared" si="431"/>
        <v>0.44035087719298244</v>
      </c>
      <c r="BB333" s="1658">
        <f t="shared" si="431"/>
        <v>0.55390334572490707</v>
      </c>
      <c r="BC333" s="1658">
        <f t="shared" si="431"/>
        <v>0.45173041894353372</v>
      </c>
      <c r="BD333" s="1659">
        <f t="shared" si="431"/>
        <v>0.43133462282398455</v>
      </c>
      <c r="BE333" s="1658">
        <f t="shared" si="431"/>
        <v>0.34184675834970529</v>
      </c>
      <c r="BF333" s="1658">
        <f t="shared" si="431"/>
        <v>0.17937219730941703</v>
      </c>
      <c r="BG333" s="1658">
        <f t="shared" si="431"/>
        <v>0.43396226415094341</v>
      </c>
      <c r="BH333" s="1659">
        <f t="shared" si="431"/>
        <v>0.41239316239316237</v>
      </c>
      <c r="BI333" s="1658">
        <f t="shared" si="431"/>
        <v>0.51976284584980237</v>
      </c>
      <c r="BJ333" s="1658">
        <f t="shared" si="431"/>
        <v>0.41733870967741937</v>
      </c>
      <c r="BK333" s="1658">
        <f t="shared" si="431"/>
        <v>0.46691176470588236</v>
      </c>
      <c r="BL333" s="1659">
        <f t="shared" si="431"/>
        <v>0.35396518375241781</v>
      </c>
      <c r="BM333" s="1658">
        <f t="shared" si="431"/>
        <v>0.3538175046554935</v>
      </c>
      <c r="BN333" s="1658">
        <f t="shared" si="431"/>
        <v>0.38286713286713286</v>
      </c>
      <c r="BO333" s="1658">
        <f t="shared" si="431"/>
        <v>0.38624338624338622</v>
      </c>
      <c r="BP333" s="1659">
        <f t="shared" si="431"/>
        <v>0.50932568149210899</v>
      </c>
      <c r="BQ333" s="1642"/>
      <c r="BR333" s="1642"/>
      <c r="BS333" s="1642"/>
      <c r="BT333" s="1641"/>
      <c r="BU333" s="1642"/>
      <c r="BV333" s="1642"/>
      <c r="BW333" s="1642"/>
      <c r="BX333" s="1641"/>
      <c r="BY333" s="1642"/>
      <c r="BZ333" s="1642"/>
      <c r="CA333" s="1642"/>
      <c r="CB333" s="1641"/>
      <c r="CC333" s="1642"/>
      <c r="CD333" s="1642"/>
      <c r="CE333" s="1642"/>
      <c r="CF333" s="1641"/>
      <c r="CG333" s="1642"/>
      <c r="CH333" s="1642"/>
      <c r="CI333" s="1642"/>
      <c r="CJ333" s="1641"/>
      <c r="CK333" s="1642"/>
      <c r="CL333" s="1642"/>
      <c r="CM333" s="1681"/>
      <c r="CN333" s="1672"/>
      <c r="CO333" s="1672"/>
      <c r="CP333" s="1672"/>
      <c r="CQ333" s="1681"/>
      <c r="CR333" s="1672"/>
      <c r="CS333" s="1672"/>
      <c r="CT333" s="1672"/>
      <c r="CU333" s="1681"/>
      <c r="CV333" s="1672"/>
      <c r="CW333" s="1672"/>
      <c r="CX333" s="1672"/>
      <c r="CY333" s="1681"/>
      <c r="CZ333" s="1672"/>
      <c r="DA333" s="1672"/>
      <c r="DB333" s="1672"/>
      <c r="DC333" s="1672"/>
      <c r="DD333" s="1672"/>
      <c r="DE333" s="1672"/>
      <c r="DF333" s="1672"/>
      <c r="DG333" s="1672"/>
      <c r="DH333" s="1672"/>
      <c r="DI333" s="1672"/>
      <c r="DJ333" s="1672"/>
      <c r="DK333" s="1672"/>
      <c r="DL333" s="1672"/>
    </row>
    <row r="334" spans="1:116" ht="12.75" hidden="1" customHeight="1">
      <c r="A334" s="1539"/>
      <c r="B334" s="1642"/>
      <c r="C334" s="1642"/>
      <c r="D334" s="1642"/>
      <c r="E334" s="1641"/>
      <c r="F334" s="1642"/>
      <c r="G334" s="1642"/>
      <c r="H334" s="1642"/>
      <c r="I334" s="1642"/>
      <c r="J334" s="1642"/>
      <c r="K334" s="1681"/>
      <c r="L334" s="1642"/>
      <c r="M334" s="1642"/>
      <c r="N334" s="1642"/>
      <c r="O334" s="1642"/>
      <c r="P334" s="1642"/>
      <c r="Q334" s="1642"/>
      <c r="R334" s="1642"/>
      <c r="S334" s="1642"/>
      <c r="T334" s="1642"/>
      <c r="U334" s="1642"/>
      <c r="V334" s="1642"/>
      <c r="W334" s="1642"/>
      <c r="X334" s="1642"/>
      <c r="Y334" s="1642"/>
      <c r="Z334" s="1642"/>
      <c r="AA334" s="1642"/>
      <c r="AB334" s="1642"/>
      <c r="AC334" s="1642"/>
      <c r="AD334" s="1642"/>
      <c r="AE334" s="1642"/>
      <c r="AF334" s="1641"/>
      <c r="AG334" s="1642"/>
      <c r="AH334" s="1642"/>
      <c r="AI334" s="1642"/>
      <c r="AJ334" s="1641"/>
      <c r="AK334" s="1642"/>
      <c r="AL334" s="1642"/>
      <c r="AM334" s="1642"/>
      <c r="AN334" s="1641"/>
      <c r="AO334" s="1642"/>
      <c r="AP334" s="1642"/>
      <c r="AQ334" s="1642"/>
      <c r="AR334" s="1641"/>
      <c r="AS334" s="1642"/>
      <c r="AT334" s="1642"/>
      <c r="AU334" s="1642"/>
      <c r="AV334" s="1641"/>
      <c r="AW334" s="1642"/>
      <c r="AX334" s="1642"/>
      <c r="AY334" s="1642"/>
      <c r="AZ334" s="1641"/>
      <c r="BA334" s="1642"/>
      <c r="BB334" s="1642"/>
      <c r="BC334" s="1642"/>
      <c r="BD334" s="1641"/>
      <c r="BE334" s="1642"/>
      <c r="BF334" s="1642"/>
      <c r="BG334" s="1642"/>
      <c r="BH334" s="1641"/>
      <c r="BI334" s="1642"/>
      <c r="BJ334" s="1642"/>
      <c r="BK334" s="1642"/>
      <c r="BL334" s="1641"/>
      <c r="BM334" s="1642"/>
      <c r="BN334" s="1642"/>
      <c r="BO334" s="1642"/>
      <c r="BP334" s="1641"/>
      <c r="BQ334" s="1642"/>
      <c r="BR334" s="1642"/>
      <c r="BS334" s="1642"/>
      <c r="BT334" s="1641"/>
      <c r="BU334" s="1642"/>
      <c r="BV334" s="1642"/>
      <c r="BW334" s="1642"/>
      <c r="BX334" s="1641"/>
      <c r="BY334" s="1642"/>
      <c r="BZ334" s="1642"/>
      <c r="CA334" s="1642"/>
      <c r="CB334" s="1641"/>
      <c r="CC334" s="1642"/>
      <c r="CD334" s="1642"/>
      <c r="CE334" s="1642"/>
      <c r="CF334" s="1641"/>
      <c r="CG334" s="1642"/>
      <c r="CH334" s="1642"/>
      <c r="CI334" s="1642"/>
      <c r="CJ334" s="1641"/>
      <c r="CK334" s="1642"/>
      <c r="CL334" s="1642"/>
      <c r="CM334" s="1681"/>
      <c r="CN334" s="1672"/>
      <c r="CO334" s="1672"/>
      <c r="CP334" s="1672"/>
      <c r="CQ334" s="1681"/>
      <c r="CR334" s="1672"/>
      <c r="CS334" s="1672"/>
      <c r="CT334" s="1672"/>
      <c r="CU334" s="1681"/>
      <c r="CV334" s="1672"/>
      <c r="CW334" s="1672"/>
      <c r="CX334" s="1672"/>
      <c r="CY334" s="1681"/>
      <c r="CZ334" s="1672"/>
      <c r="DA334" s="1672"/>
      <c r="DB334" s="1672"/>
      <c r="DC334" s="1672"/>
      <c r="DD334" s="1672"/>
      <c r="DE334" s="1672"/>
      <c r="DF334" s="1672"/>
      <c r="DG334" s="1672"/>
      <c r="DH334" s="1672"/>
      <c r="DI334" s="1672"/>
      <c r="DJ334" s="1672"/>
      <c r="DK334" s="1672"/>
      <c r="DL334" s="1672"/>
    </row>
    <row r="335" spans="1:116" ht="12.75" hidden="1" customHeight="1">
      <c r="A335" s="1539" t="s">
        <v>973</v>
      </c>
      <c r="B335" s="1642"/>
      <c r="C335" s="1642"/>
      <c r="D335" s="1642"/>
      <c r="E335" s="1641">
        <v>338</v>
      </c>
      <c r="F335" s="1642">
        <v>449</v>
      </c>
      <c r="G335" s="1642">
        <v>538</v>
      </c>
      <c r="H335" s="1642"/>
      <c r="I335" s="1642"/>
      <c r="J335" s="1642"/>
      <c r="K335" s="1681"/>
      <c r="L335" s="1642"/>
      <c r="M335" s="1642"/>
      <c r="N335" s="1642"/>
      <c r="O335" s="1642"/>
      <c r="P335" s="1642"/>
      <c r="Q335" s="1642"/>
      <c r="R335" s="1642"/>
      <c r="S335" s="1642"/>
      <c r="T335" s="1642"/>
      <c r="U335" s="1642"/>
      <c r="V335" s="1642"/>
      <c r="W335" s="1642"/>
      <c r="X335" s="1642"/>
      <c r="Y335" s="1642"/>
      <c r="Z335" s="1642"/>
      <c r="AA335" s="1642"/>
      <c r="AB335" s="1642"/>
      <c r="AC335" s="1642"/>
      <c r="AD335" s="1642"/>
      <c r="AE335" s="1642"/>
      <c r="AF335" s="1641">
        <v>53</v>
      </c>
      <c r="AG335" s="1642">
        <v>59</v>
      </c>
      <c r="AH335" s="1642">
        <v>106</v>
      </c>
      <c r="AI335" s="1642">
        <v>120</v>
      </c>
      <c r="AJ335" s="1641">
        <v>96</v>
      </c>
      <c r="AK335" s="1642">
        <v>100</v>
      </c>
      <c r="AL335" s="1642">
        <v>115</v>
      </c>
      <c r="AM335" s="1642">
        <v>138</v>
      </c>
      <c r="AN335" s="1641">
        <v>140</v>
      </c>
      <c r="AO335" s="1642">
        <v>128</v>
      </c>
      <c r="AP335" s="1642">
        <v>144</v>
      </c>
      <c r="AQ335" s="1642">
        <v>135</v>
      </c>
      <c r="AR335" s="1641">
        <v>172</v>
      </c>
      <c r="AS335" s="1642">
        <v>128</v>
      </c>
      <c r="AT335" s="1642">
        <v>203</v>
      </c>
      <c r="AU335" s="1642">
        <v>169</v>
      </c>
      <c r="AV335" s="1641">
        <v>217</v>
      </c>
      <c r="AW335" s="1642">
        <v>266</v>
      </c>
      <c r="AX335" s="1642">
        <v>202</v>
      </c>
      <c r="AY335" s="1642">
        <v>234</v>
      </c>
      <c r="AZ335" s="1641">
        <v>176</v>
      </c>
      <c r="BA335" s="1642">
        <v>275</v>
      </c>
      <c r="BB335" s="1642">
        <v>226</v>
      </c>
      <c r="BC335" s="1642">
        <v>185</v>
      </c>
      <c r="BD335" s="1641">
        <f>186+30</f>
        <v>216</v>
      </c>
      <c r="BE335" s="1642">
        <v>265</v>
      </c>
      <c r="BF335" s="1642">
        <f>397+80</f>
        <v>477</v>
      </c>
      <c r="BG335" s="1642">
        <v>302</v>
      </c>
      <c r="BH335" s="1641">
        <f>239+29</f>
        <v>268</v>
      </c>
      <c r="BI335" s="1642">
        <v>249</v>
      </c>
      <c r="BJ335" s="1642">
        <f>238+2</f>
        <v>240</v>
      </c>
      <c r="BK335" s="1642">
        <v>305</v>
      </c>
      <c r="BL335" s="1641">
        <f>225+56</f>
        <v>281</v>
      </c>
      <c r="BM335" s="1642">
        <v>208</v>
      </c>
      <c r="BN335" s="1642">
        <f>220+0</f>
        <v>220</v>
      </c>
      <c r="BO335" s="1642">
        <f>154+0</f>
        <v>154</v>
      </c>
      <c r="BP335" s="1641">
        <v>221</v>
      </c>
      <c r="BQ335" s="1642"/>
      <c r="BR335" s="1642"/>
      <c r="BS335" s="1642"/>
      <c r="BT335" s="1641"/>
      <c r="BU335" s="1642"/>
      <c r="BV335" s="1642"/>
      <c r="BW335" s="1642"/>
      <c r="BX335" s="1641"/>
      <c r="BY335" s="1642"/>
      <c r="BZ335" s="1642"/>
      <c r="CA335" s="1642"/>
      <c r="CB335" s="1641"/>
      <c r="CC335" s="1642"/>
      <c r="CD335" s="1642"/>
      <c r="CE335" s="1642"/>
      <c r="CF335" s="1641"/>
      <c r="CG335" s="1642"/>
      <c r="CH335" s="1642"/>
      <c r="CI335" s="1642"/>
      <c r="CJ335" s="1641"/>
      <c r="CK335" s="1642"/>
      <c r="CL335" s="1642"/>
      <c r="CM335" s="1681"/>
      <c r="CN335" s="1672"/>
      <c r="CO335" s="1672"/>
      <c r="CP335" s="1672"/>
      <c r="CQ335" s="1681"/>
      <c r="CR335" s="1672"/>
      <c r="CS335" s="1672"/>
      <c r="CT335" s="1672"/>
      <c r="CU335" s="1681"/>
      <c r="CV335" s="1672"/>
      <c r="CW335" s="1672"/>
      <c r="CX335" s="1672"/>
      <c r="CY335" s="1681"/>
      <c r="CZ335" s="1672"/>
      <c r="DA335" s="1672"/>
      <c r="DB335" s="1672"/>
      <c r="DC335" s="1672"/>
      <c r="DD335" s="1672"/>
      <c r="DE335" s="1672"/>
      <c r="DF335" s="1672"/>
      <c r="DG335" s="1672"/>
      <c r="DH335" s="1672"/>
      <c r="DI335" s="1672"/>
      <c r="DJ335" s="1672"/>
      <c r="DK335" s="1672"/>
      <c r="DL335" s="1672"/>
    </row>
    <row r="336" spans="1:116" ht="12.75" hidden="1" customHeight="1">
      <c r="A336" s="1539"/>
      <c r="B336" s="1642"/>
      <c r="C336" s="1642"/>
      <c r="D336" s="1642"/>
      <c r="E336" s="1641"/>
      <c r="F336" s="1642"/>
      <c r="G336" s="1642"/>
      <c r="H336" s="1642"/>
      <c r="I336" s="1642"/>
      <c r="J336" s="1642"/>
      <c r="K336" s="1681"/>
      <c r="L336" s="1642"/>
      <c r="M336" s="1642"/>
      <c r="N336" s="1642"/>
      <c r="O336" s="1642"/>
      <c r="P336" s="1642"/>
      <c r="Q336" s="1642"/>
      <c r="R336" s="1642"/>
      <c r="S336" s="1642"/>
      <c r="T336" s="1642"/>
      <c r="U336" s="1642"/>
      <c r="V336" s="1642"/>
      <c r="W336" s="1642"/>
      <c r="X336" s="1642"/>
      <c r="Y336" s="1642"/>
      <c r="Z336" s="1642"/>
      <c r="AA336" s="1642"/>
      <c r="AB336" s="1642"/>
      <c r="AC336" s="1642"/>
      <c r="AD336" s="1642"/>
      <c r="AE336" s="1642"/>
      <c r="AF336" s="1641"/>
      <c r="AG336" s="1642"/>
      <c r="AH336" s="1642"/>
      <c r="AI336" s="1642"/>
      <c r="AJ336" s="1641"/>
      <c r="AK336" s="1642"/>
      <c r="AL336" s="1642"/>
      <c r="AM336" s="1642"/>
      <c r="AN336" s="1641"/>
      <c r="AO336" s="1642"/>
      <c r="AP336" s="1642"/>
      <c r="AQ336" s="1642"/>
      <c r="AR336" s="1641"/>
      <c r="AS336" s="1642"/>
      <c r="AT336" s="1642"/>
      <c r="AU336" s="1642"/>
      <c r="AV336" s="1641"/>
      <c r="AW336" s="1642"/>
      <c r="AX336" s="1642"/>
      <c r="AY336" s="1642"/>
      <c r="AZ336" s="1641"/>
      <c r="BA336" s="1642"/>
      <c r="BB336" s="1642"/>
      <c r="BC336" s="1642"/>
      <c r="BD336" s="1641"/>
      <c r="BE336" s="1642"/>
      <c r="BF336" s="1642"/>
      <c r="BG336" s="1642"/>
      <c r="BH336" s="1641"/>
      <c r="BI336" s="1642"/>
      <c r="BJ336" s="1642"/>
      <c r="BK336" s="1642"/>
      <c r="BL336" s="1641"/>
      <c r="BM336" s="1642"/>
      <c r="BN336" s="1642"/>
      <c r="BO336" s="1642"/>
      <c r="BP336" s="1641"/>
      <c r="BQ336" s="1642"/>
      <c r="BR336" s="1642"/>
      <c r="BS336" s="1642"/>
      <c r="BT336" s="1641"/>
      <c r="BU336" s="1642"/>
      <c r="BV336" s="1642"/>
      <c r="BW336" s="1642"/>
      <c r="BX336" s="1641"/>
      <c r="BY336" s="1642"/>
      <c r="BZ336" s="1642"/>
      <c r="CA336" s="1642"/>
      <c r="CB336" s="1641"/>
      <c r="CC336" s="1642"/>
      <c r="CD336" s="1642"/>
      <c r="CE336" s="1642"/>
      <c r="CF336" s="1641"/>
      <c r="CG336" s="1642"/>
      <c r="CH336" s="1642"/>
      <c r="CI336" s="1642"/>
      <c r="CJ336" s="1641"/>
      <c r="CK336" s="1642"/>
      <c r="CL336" s="1642"/>
      <c r="CM336" s="1681"/>
      <c r="CN336" s="1672"/>
      <c r="CO336" s="1672"/>
      <c r="CP336" s="1672"/>
      <c r="CQ336" s="1681"/>
      <c r="CR336" s="1672"/>
      <c r="CS336" s="1672"/>
      <c r="CT336" s="1672"/>
      <c r="CU336" s="1681"/>
      <c r="CV336" s="1672"/>
      <c r="CW336" s="1672"/>
      <c r="CX336" s="1672"/>
      <c r="CY336" s="1681"/>
      <c r="CZ336" s="1672"/>
      <c r="DA336" s="1672"/>
      <c r="DB336" s="1672"/>
      <c r="DC336" s="1672"/>
      <c r="DD336" s="1672"/>
      <c r="DE336" s="1672"/>
      <c r="DF336" s="1672"/>
      <c r="DG336" s="1672"/>
      <c r="DH336" s="1672"/>
      <c r="DI336" s="1672"/>
      <c r="DJ336" s="1672"/>
      <c r="DK336" s="1672"/>
      <c r="DL336" s="1672"/>
    </row>
    <row r="337" spans="1:116" ht="12.75" hidden="1" customHeight="1">
      <c r="A337" s="1539" t="s">
        <v>657</v>
      </c>
      <c r="B337" s="1642"/>
      <c r="C337" s="1642"/>
      <c r="D337" s="1642"/>
      <c r="E337" s="1641"/>
      <c r="F337" s="1642"/>
      <c r="G337" s="1642"/>
      <c r="H337" s="1642"/>
      <c r="I337" s="1642"/>
      <c r="J337" s="1642">
        <f>SUM(AZ337:BC337)</f>
        <v>1152</v>
      </c>
      <c r="K337" s="1681">
        <f>SUM(BD337:BG337)</f>
        <v>1392</v>
      </c>
      <c r="L337" s="1642"/>
      <c r="M337" s="1642"/>
      <c r="N337" s="1642"/>
      <c r="O337" s="1642"/>
      <c r="P337" s="1642"/>
      <c r="Q337" s="1642"/>
      <c r="R337" s="1642"/>
      <c r="S337" s="1642"/>
      <c r="T337" s="1642"/>
      <c r="U337" s="1642"/>
      <c r="V337" s="1642"/>
      <c r="W337" s="1642"/>
      <c r="X337" s="1642"/>
      <c r="Y337" s="1642"/>
      <c r="Z337" s="1642"/>
      <c r="AA337" s="1642"/>
      <c r="AB337" s="1642"/>
      <c r="AC337" s="1642"/>
      <c r="AD337" s="1642"/>
      <c r="AE337" s="1642"/>
      <c r="AF337" s="1641"/>
      <c r="AG337" s="1642"/>
      <c r="AH337" s="1642"/>
      <c r="AI337" s="1642"/>
      <c r="AJ337" s="1641"/>
      <c r="AK337" s="1642"/>
      <c r="AL337" s="1642"/>
      <c r="AM337" s="1642"/>
      <c r="AN337" s="1641"/>
      <c r="AO337" s="1642"/>
      <c r="AP337" s="1642"/>
      <c r="AQ337" s="1642"/>
      <c r="AR337" s="1641"/>
      <c r="AS337" s="1642"/>
      <c r="AT337" s="1642"/>
      <c r="AU337" s="1642"/>
      <c r="AV337" s="1641"/>
      <c r="AW337" s="1642"/>
      <c r="AX337" s="1642"/>
      <c r="AY337" s="1642"/>
      <c r="AZ337" s="1641">
        <v>231</v>
      </c>
      <c r="BA337" s="1642">
        <v>302</v>
      </c>
      <c r="BB337" s="1642">
        <v>325</v>
      </c>
      <c r="BC337" s="1642">
        <v>294</v>
      </c>
      <c r="BD337" s="1641">
        <v>266</v>
      </c>
      <c r="BE337" s="1642">
        <v>314</v>
      </c>
      <c r="BF337" s="1642">
        <v>471</v>
      </c>
      <c r="BG337" s="1642">
        <v>341</v>
      </c>
      <c r="BH337" s="1641">
        <v>281</v>
      </c>
      <c r="BI337" s="1642">
        <v>287</v>
      </c>
      <c r="BJ337" s="1642">
        <v>319</v>
      </c>
      <c r="BK337" s="1642">
        <v>338</v>
      </c>
      <c r="BL337" s="1641">
        <v>351</v>
      </c>
      <c r="BM337" s="1642">
        <v>271</v>
      </c>
      <c r="BN337" s="1642">
        <v>349</v>
      </c>
      <c r="BO337" s="1642">
        <v>280</v>
      </c>
      <c r="BP337" s="1641">
        <v>439</v>
      </c>
      <c r="BQ337" s="1642"/>
      <c r="BR337" s="1642"/>
      <c r="BS337" s="1642"/>
      <c r="BT337" s="1641"/>
      <c r="BU337" s="1642"/>
      <c r="BV337" s="1642"/>
      <c r="BW337" s="1642"/>
      <c r="BX337" s="1641"/>
      <c r="BY337" s="1642"/>
      <c r="BZ337" s="1642"/>
      <c r="CA337" s="1642"/>
      <c r="CB337" s="1641"/>
      <c r="CC337" s="1642"/>
      <c r="CD337" s="1642"/>
      <c r="CE337" s="1642"/>
      <c r="CF337" s="1641"/>
      <c r="CG337" s="1642"/>
      <c r="CH337" s="1642"/>
      <c r="CI337" s="1642"/>
      <c r="CJ337" s="1641"/>
      <c r="CK337" s="1642"/>
      <c r="CL337" s="1642"/>
      <c r="CM337" s="1681"/>
      <c r="CN337" s="1672"/>
      <c r="CO337" s="1672"/>
      <c r="CP337" s="1672"/>
      <c r="CQ337" s="1681"/>
      <c r="CR337" s="1672"/>
      <c r="CS337" s="1672"/>
      <c r="CT337" s="1672"/>
      <c r="CU337" s="1681"/>
      <c r="CV337" s="1672"/>
      <c r="CW337" s="1672"/>
      <c r="CX337" s="1672"/>
      <c r="CY337" s="1681"/>
      <c r="CZ337" s="1672"/>
      <c r="DA337" s="1672"/>
      <c r="DB337" s="1672"/>
      <c r="DC337" s="1672"/>
      <c r="DD337" s="1672"/>
      <c r="DE337" s="1672"/>
      <c r="DF337" s="1672"/>
      <c r="DG337" s="1672"/>
      <c r="DH337" s="1672"/>
      <c r="DI337" s="1672"/>
      <c r="DJ337" s="1672"/>
      <c r="DK337" s="1672"/>
      <c r="DL337" s="1672"/>
    </row>
    <row r="338" spans="1:116" ht="12.75" hidden="1" customHeight="1">
      <c r="A338" s="1539"/>
      <c r="B338" s="1642"/>
      <c r="C338" s="1642"/>
      <c r="D338" s="1642"/>
      <c r="E338" s="1641"/>
      <c r="F338" s="1642"/>
      <c r="G338" s="1642"/>
      <c r="H338" s="1642"/>
      <c r="I338" s="1642"/>
      <c r="J338" s="1642"/>
      <c r="K338" s="1681"/>
      <c r="L338" s="1642"/>
      <c r="M338" s="1642"/>
      <c r="N338" s="1642"/>
      <c r="O338" s="1642"/>
      <c r="P338" s="1642"/>
      <c r="Q338" s="1642"/>
      <c r="R338" s="1642"/>
      <c r="S338" s="1642"/>
      <c r="T338" s="1642"/>
      <c r="U338" s="1642"/>
      <c r="V338" s="1642"/>
      <c r="W338" s="1642"/>
      <c r="X338" s="1642"/>
      <c r="Y338" s="1642"/>
      <c r="Z338" s="1642"/>
      <c r="AA338" s="1642"/>
      <c r="AB338" s="1642"/>
      <c r="AC338" s="1642"/>
      <c r="AD338" s="1642"/>
      <c r="AE338" s="1642"/>
      <c r="AF338" s="1641"/>
      <c r="AG338" s="1642"/>
      <c r="AH338" s="1642"/>
      <c r="AI338" s="1642"/>
      <c r="AJ338" s="1641"/>
      <c r="AK338" s="1642"/>
      <c r="AL338" s="1642"/>
      <c r="AM338" s="1642"/>
      <c r="AN338" s="1641"/>
      <c r="AO338" s="1642"/>
      <c r="AP338" s="1642"/>
      <c r="AQ338" s="1642"/>
      <c r="AR338" s="1641"/>
      <c r="AS338" s="1642"/>
      <c r="AT338" s="1642"/>
      <c r="AU338" s="1642"/>
      <c r="AV338" s="1641"/>
      <c r="AW338" s="1642"/>
      <c r="AX338" s="1642"/>
      <c r="AY338" s="1642"/>
      <c r="AZ338" s="1641"/>
      <c r="BA338" s="1642"/>
      <c r="BB338" s="1642"/>
      <c r="BC338" s="1642"/>
      <c r="BD338" s="1641"/>
      <c r="BE338" s="1642"/>
      <c r="BF338" s="1642"/>
      <c r="BG338" s="1642"/>
      <c r="BH338" s="1641"/>
      <c r="BI338" s="1642"/>
      <c r="BJ338" s="1642"/>
      <c r="BK338" s="1642"/>
      <c r="BL338" s="1641"/>
      <c r="BM338" s="1642"/>
      <c r="BN338" s="1642"/>
      <c r="BO338" s="1642"/>
      <c r="BP338" s="1641"/>
      <c r="BQ338" s="1642"/>
      <c r="BR338" s="1642"/>
      <c r="BS338" s="1642"/>
      <c r="BT338" s="1641"/>
      <c r="BU338" s="1642"/>
      <c r="BV338" s="1642"/>
      <c r="BW338" s="1642"/>
      <c r="BX338" s="1641"/>
      <c r="BY338" s="1642"/>
      <c r="BZ338" s="1642"/>
      <c r="CA338" s="1642"/>
      <c r="CB338" s="1641"/>
      <c r="CC338" s="1642"/>
      <c r="CD338" s="1642"/>
      <c r="CE338" s="1642"/>
      <c r="CF338" s="1641"/>
      <c r="CG338" s="1642"/>
      <c r="CH338" s="1642"/>
      <c r="CI338" s="1642"/>
      <c r="CJ338" s="1641"/>
      <c r="CK338" s="1642"/>
      <c r="CL338" s="1642"/>
      <c r="CM338" s="1681"/>
      <c r="CN338" s="1672"/>
      <c r="CO338" s="1672"/>
      <c r="CP338" s="1672"/>
      <c r="CQ338" s="1681"/>
      <c r="CR338" s="1672"/>
      <c r="CS338" s="1672"/>
      <c r="CT338" s="1672"/>
      <c r="CU338" s="1681"/>
      <c r="CV338" s="1672"/>
      <c r="CW338" s="1672"/>
      <c r="CX338" s="1672"/>
      <c r="CY338" s="1681"/>
      <c r="CZ338" s="1672"/>
      <c r="DA338" s="1672"/>
      <c r="DB338" s="1672"/>
      <c r="DC338" s="1672"/>
      <c r="DD338" s="1672"/>
      <c r="DE338" s="1672"/>
      <c r="DF338" s="1672"/>
      <c r="DG338" s="1672"/>
      <c r="DH338" s="1672"/>
      <c r="DI338" s="1672"/>
      <c r="DJ338" s="1672"/>
      <c r="DK338" s="1672"/>
      <c r="DL338" s="1672"/>
    </row>
    <row r="339" spans="1:116" ht="12.75" hidden="1" customHeight="1">
      <c r="A339" s="1539" t="s">
        <v>690</v>
      </c>
      <c r="B339" s="1642"/>
      <c r="C339" s="1642"/>
      <c r="D339" s="1642"/>
      <c r="E339" s="1641"/>
      <c r="F339" s="1642"/>
      <c r="G339" s="1642"/>
      <c r="H339" s="1642"/>
      <c r="I339" s="1642"/>
      <c r="J339" s="1642"/>
      <c r="K339" s="1681"/>
      <c r="L339" s="1642"/>
      <c r="M339" s="1642"/>
      <c r="N339" s="1642"/>
      <c r="O339" s="1642"/>
      <c r="P339" s="1642"/>
      <c r="Q339" s="1642"/>
      <c r="R339" s="1642"/>
      <c r="S339" s="1642"/>
      <c r="T339" s="1642"/>
      <c r="U339" s="1642"/>
      <c r="V339" s="1642"/>
      <c r="W339" s="1642"/>
      <c r="X339" s="1642"/>
      <c r="Y339" s="1642"/>
      <c r="Z339" s="1642"/>
      <c r="AA339" s="1642"/>
      <c r="AB339" s="1642"/>
      <c r="AC339" s="1642"/>
      <c r="AD339" s="1642"/>
      <c r="AE339" s="1642"/>
      <c r="AF339" s="1641"/>
      <c r="AG339" s="1642"/>
      <c r="AH339" s="1642"/>
      <c r="AI339" s="1642"/>
      <c r="AJ339" s="1641"/>
      <c r="AK339" s="1642"/>
      <c r="AL339" s="1642"/>
      <c r="AM339" s="1642"/>
      <c r="AN339" s="1641"/>
      <c r="AO339" s="1642"/>
      <c r="AP339" s="1642"/>
      <c r="AQ339" s="1642"/>
      <c r="AR339" s="1641"/>
      <c r="AS339" s="1642"/>
      <c r="AT339" s="1642"/>
      <c r="AU339" s="1642"/>
      <c r="AV339" s="1641"/>
      <c r="AW339" s="1642"/>
      <c r="AX339" s="1642"/>
      <c r="AY339" s="1642"/>
      <c r="AZ339" s="1641"/>
      <c r="BA339" s="1642"/>
      <c r="BB339" s="1642"/>
      <c r="BC339" s="1642"/>
      <c r="BD339" s="1641"/>
      <c r="BE339" s="1642"/>
      <c r="BF339" s="1642"/>
      <c r="BG339" s="1642"/>
      <c r="BH339" s="1641"/>
      <c r="BI339" s="1642"/>
      <c r="BJ339" s="1642"/>
      <c r="BK339" s="1642"/>
      <c r="BL339" s="1641"/>
      <c r="BM339" s="1642"/>
      <c r="BN339" s="1642"/>
      <c r="BO339" s="1642"/>
      <c r="BP339" s="1641"/>
      <c r="BQ339" s="1642"/>
      <c r="BR339" s="1642"/>
      <c r="BS339" s="1642"/>
      <c r="BT339" s="1641"/>
      <c r="BU339" s="1642"/>
      <c r="BV339" s="1642"/>
      <c r="BW339" s="1642"/>
      <c r="BX339" s="1641"/>
      <c r="BY339" s="1642"/>
      <c r="BZ339" s="1642"/>
      <c r="CA339" s="1642"/>
      <c r="CB339" s="1641"/>
      <c r="CC339" s="1642"/>
      <c r="CD339" s="1642"/>
      <c r="CE339" s="1642"/>
      <c r="CF339" s="1641"/>
      <c r="CG339" s="1642"/>
      <c r="CH339" s="1642"/>
      <c r="CI339" s="1642"/>
      <c r="CJ339" s="1641"/>
      <c r="CK339" s="1642"/>
      <c r="CL339" s="1642"/>
      <c r="CM339" s="1681"/>
      <c r="CN339" s="1672"/>
      <c r="CO339" s="1672"/>
      <c r="CP339" s="1672"/>
      <c r="CQ339" s="1681"/>
      <c r="CR339" s="1672"/>
      <c r="CS339" s="1672"/>
      <c r="CT339" s="1672"/>
      <c r="CU339" s="1681"/>
      <c r="CV339" s="1672"/>
      <c r="CW339" s="1672"/>
      <c r="CX339" s="1672"/>
      <c r="CY339" s="1681"/>
      <c r="CZ339" s="1672"/>
      <c r="DA339" s="1672"/>
      <c r="DB339" s="1672"/>
      <c r="DC339" s="1672"/>
      <c r="DD339" s="1672"/>
      <c r="DE339" s="1672"/>
      <c r="DF339" s="1672"/>
      <c r="DG339" s="1672"/>
      <c r="DH339" s="1672"/>
      <c r="DI339" s="1672"/>
      <c r="DJ339" s="1672"/>
      <c r="DK339" s="1672"/>
      <c r="DL339" s="1672"/>
    </row>
    <row r="340" spans="1:116" ht="12.75" hidden="1" customHeight="1">
      <c r="A340" s="1539" t="s">
        <v>1433</v>
      </c>
      <c r="B340" s="1642"/>
      <c r="C340" s="1642"/>
      <c r="D340" s="1642"/>
      <c r="E340" s="1641"/>
      <c r="F340" s="1642"/>
      <c r="G340" s="1642">
        <v>5522</v>
      </c>
      <c r="H340" s="1642"/>
      <c r="I340" s="1642"/>
      <c r="J340" s="1642"/>
      <c r="K340" s="1681"/>
      <c r="L340" s="1642"/>
      <c r="M340" s="1642"/>
      <c r="N340" s="1642"/>
      <c r="O340" s="1642"/>
      <c r="P340" s="1642"/>
      <c r="Q340" s="1642"/>
      <c r="R340" s="1642"/>
      <c r="S340" s="1642"/>
      <c r="T340" s="1642"/>
      <c r="U340" s="1642"/>
      <c r="V340" s="1642"/>
      <c r="W340" s="1642"/>
      <c r="X340" s="1642"/>
      <c r="Y340" s="1642"/>
      <c r="Z340" s="1642"/>
      <c r="AA340" s="1642"/>
      <c r="AB340" s="1642"/>
      <c r="AC340" s="1642"/>
      <c r="AD340" s="1642"/>
      <c r="AE340" s="1642"/>
      <c r="AF340" s="1641"/>
      <c r="AG340" s="1642"/>
      <c r="AH340" s="1642"/>
      <c r="AI340" s="1642"/>
      <c r="AJ340" s="1641"/>
      <c r="AK340" s="1642"/>
      <c r="AL340" s="1642"/>
      <c r="AM340" s="1642"/>
      <c r="AN340" s="1641">
        <v>1209</v>
      </c>
      <c r="AO340" s="1642">
        <v>1339</v>
      </c>
      <c r="AP340" s="1642">
        <v>1430</v>
      </c>
      <c r="AQ340" s="1642">
        <v>1489</v>
      </c>
      <c r="AR340" s="1641">
        <v>1504</v>
      </c>
      <c r="AS340" s="1642">
        <v>1507</v>
      </c>
      <c r="AT340" s="1642">
        <v>1561</v>
      </c>
      <c r="AU340" s="1642">
        <v>1409</v>
      </c>
      <c r="AV340" s="1641">
        <v>1396</v>
      </c>
      <c r="AW340" s="1642">
        <v>1461</v>
      </c>
      <c r="AX340" s="1642">
        <v>1474</v>
      </c>
      <c r="AY340" s="1642">
        <v>1549</v>
      </c>
      <c r="AZ340" s="1641">
        <v>1375</v>
      </c>
      <c r="BA340" s="1632">
        <v>1430</v>
      </c>
      <c r="BB340" s="1642">
        <v>1344</v>
      </c>
      <c r="BC340" s="1642">
        <v>1349</v>
      </c>
      <c r="BD340" s="1641"/>
      <c r="BE340" s="1642"/>
      <c r="BF340" s="1642"/>
      <c r="BG340" s="1642"/>
      <c r="BH340" s="1641"/>
      <c r="BI340" s="1642"/>
      <c r="BJ340" s="1642"/>
      <c r="BK340" s="1642"/>
      <c r="BL340" s="1641"/>
      <c r="BM340" s="1642"/>
      <c r="BN340" s="1642"/>
      <c r="BO340" s="1642"/>
      <c r="BP340" s="1641"/>
      <c r="BQ340" s="1642"/>
      <c r="BR340" s="1642"/>
      <c r="BS340" s="1642"/>
      <c r="BT340" s="1641"/>
      <c r="BU340" s="1642"/>
      <c r="BV340" s="1642"/>
      <c r="BW340" s="1642"/>
      <c r="BX340" s="1641"/>
      <c r="BY340" s="1642"/>
      <c r="BZ340" s="1642"/>
      <c r="CA340" s="1642"/>
      <c r="CB340" s="1641"/>
      <c r="CC340" s="1642"/>
      <c r="CD340" s="1642"/>
      <c r="CE340" s="1642"/>
      <c r="CF340" s="1641"/>
      <c r="CG340" s="1642"/>
      <c r="CH340" s="1642"/>
      <c r="CI340" s="1642"/>
      <c r="CJ340" s="1641"/>
      <c r="CK340" s="1642"/>
      <c r="CL340" s="1642"/>
      <c r="CM340" s="1681"/>
      <c r="CN340" s="1672"/>
      <c r="CO340" s="1672"/>
      <c r="CP340" s="1672"/>
      <c r="CQ340" s="1681"/>
      <c r="CR340" s="1672"/>
      <c r="CS340" s="1672"/>
      <c r="CT340" s="1672"/>
      <c r="CU340" s="1681"/>
      <c r="CV340" s="1672"/>
      <c r="CW340" s="1672"/>
      <c r="CX340" s="1672"/>
      <c r="CY340" s="1681"/>
      <c r="CZ340" s="1672"/>
      <c r="DA340" s="1672"/>
      <c r="DB340" s="1672"/>
      <c r="DC340" s="1672"/>
      <c r="DD340" s="1672"/>
      <c r="DE340" s="1672"/>
      <c r="DF340" s="1672"/>
      <c r="DG340" s="1672"/>
      <c r="DH340" s="1672"/>
      <c r="DI340" s="1672"/>
      <c r="DJ340" s="1672"/>
      <c r="DK340" s="1672"/>
      <c r="DL340" s="1672"/>
    </row>
    <row r="341" spans="1:116" ht="12.75" hidden="1" customHeight="1">
      <c r="A341" s="1539" t="s">
        <v>691</v>
      </c>
      <c r="B341" s="1642"/>
      <c r="C341" s="1642"/>
      <c r="D341" s="1642"/>
      <c r="E341" s="1641"/>
      <c r="F341" s="1642"/>
      <c r="G341" s="1642">
        <v>1314</v>
      </c>
      <c r="H341" s="1642"/>
      <c r="I341" s="1642"/>
      <c r="J341" s="1642"/>
      <c r="K341" s="1681"/>
      <c r="L341" s="1642"/>
      <c r="M341" s="1642"/>
      <c r="N341" s="1642"/>
      <c r="O341" s="1642"/>
      <c r="P341" s="1642"/>
      <c r="Q341" s="1642"/>
      <c r="R341" s="1642"/>
      <c r="S341" s="1642"/>
      <c r="T341" s="1642"/>
      <c r="U341" s="1642"/>
      <c r="V341" s="1642"/>
      <c r="W341" s="1642"/>
      <c r="X341" s="1642"/>
      <c r="Y341" s="1642"/>
      <c r="Z341" s="1642"/>
      <c r="AA341" s="1642"/>
      <c r="AB341" s="1642"/>
      <c r="AC341" s="1642"/>
      <c r="AD341" s="1642"/>
      <c r="AE341" s="1642"/>
      <c r="AF341" s="1641"/>
      <c r="AG341" s="1642"/>
      <c r="AH341" s="1642"/>
      <c r="AI341" s="1642"/>
      <c r="AJ341" s="1641"/>
      <c r="AK341" s="1642"/>
      <c r="AL341" s="1642"/>
      <c r="AM341" s="1642"/>
      <c r="AN341" s="1641">
        <v>276</v>
      </c>
      <c r="AO341" s="1642">
        <v>322</v>
      </c>
      <c r="AP341" s="1642">
        <v>344</v>
      </c>
      <c r="AQ341" s="1642">
        <v>341</v>
      </c>
      <c r="AR341" s="1641">
        <v>346</v>
      </c>
      <c r="AS341" s="1642">
        <v>433</v>
      </c>
      <c r="AT341" s="1642">
        <v>342</v>
      </c>
      <c r="AU341" s="1642">
        <v>336</v>
      </c>
      <c r="AV341" s="1641">
        <v>310</v>
      </c>
      <c r="AW341" s="1642">
        <v>324</v>
      </c>
      <c r="AX341" s="1642">
        <v>350</v>
      </c>
      <c r="AY341" s="1642">
        <v>331</v>
      </c>
      <c r="AZ341" s="1641">
        <v>288</v>
      </c>
      <c r="BA341" s="1632">
        <v>330</v>
      </c>
      <c r="BB341" s="1642">
        <v>362</v>
      </c>
      <c r="BC341" s="1642">
        <v>268</v>
      </c>
      <c r="BD341" s="1641"/>
      <c r="BE341" s="1642"/>
      <c r="BF341" s="1642"/>
      <c r="BG341" s="1642"/>
      <c r="BH341" s="1641"/>
      <c r="BI341" s="1642"/>
      <c r="BJ341" s="1642"/>
      <c r="BK341" s="1642"/>
      <c r="BL341" s="1641"/>
      <c r="BM341" s="1642"/>
      <c r="BN341" s="1642"/>
      <c r="BO341" s="1642"/>
      <c r="BP341" s="1641"/>
      <c r="BQ341" s="1642"/>
      <c r="BR341" s="1642"/>
      <c r="BS341" s="1642"/>
      <c r="BT341" s="1641"/>
      <c r="BU341" s="1642"/>
      <c r="BV341" s="1642"/>
      <c r="BW341" s="1642"/>
      <c r="BX341" s="1641"/>
      <c r="BY341" s="1642"/>
      <c r="BZ341" s="1642"/>
      <c r="CA341" s="1642"/>
      <c r="CB341" s="1641"/>
      <c r="CC341" s="1642"/>
      <c r="CD341" s="1642"/>
      <c r="CE341" s="1642"/>
      <c r="CF341" s="1641"/>
      <c r="CG341" s="1642"/>
      <c r="CH341" s="1642"/>
      <c r="CI341" s="1642"/>
      <c r="CJ341" s="1641"/>
      <c r="CK341" s="1642"/>
      <c r="CL341" s="1642"/>
      <c r="CM341" s="1681"/>
      <c r="CN341" s="1672"/>
      <c r="CO341" s="1672"/>
      <c r="CP341" s="1672"/>
      <c r="CQ341" s="1681"/>
      <c r="CR341" s="1672"/>
      <c r="CS341" s="1672"/>
      <c r="CT341" s="1672"/>
      <c r="CU341" s="1681"/>
      <c r="CV341" s="1672"/>
      <c r="CW341" s="1672"/>
      <c r="CX341" s="1672"/>
      <c r="CY341" s="1681"/>
      <c r="CZ341" s="1672"/>
      <c r="DA341" s="1672"/>
      <c r="DB341" s="1672"/>
      <c r="DC341" s="1672"/>
      <c r="DD341" s="1672"/>
      <c r="DE341" s="1672"/>
      <c r="DF341" s="1672"/>
      <c r="DG341" s="1672"/>
      <c r="DH341" s="1672"/>
      <c r="DI341" s="1672"/>
      <c r="DJ341" s="1672"/>
      <c r="DK341" s="1672"/>
      <c r="DL341" s="1672"/>
    </row>
    <row r="342" spans="1:116" ht="12.75" hidden="1" customHeight="1">
      <c r="A342" s="1539" t="s">
        <v>692</v>
      </c>
      <c r="B342" s="1642"/>
      <c r="C342" s="1642"/>
      <c r="D342" s="1642"/>
      <c r="E342" s="1641"/>
      <c r="F342" s="1642"/>
      <c r="G342" s="1642">
        <v>2160</v>
      </c>
      <c r="H342" s="1642"/>
      <c r="I342" s="1642"/>
      <c r="J342" s="1642"/>
      <c r="K342" s="1681"/>
      <c r="L342" s="1642"/>
      <c r="M342" s="1642"/>
      <c r="N342" s="1642"/>
      <c r="O342" s="1642"/>
      <c r="P342" s="1642"/>
      <c r="Q342" s="1642"/>
      <c r="R342" s="1642"/>
      <c r="S342" s="1642"/>
      <c r="T342" s="1642"/>
      <c r="U342" s="1642"/>
      <c r="V342" s="1642"/>
      <c r="W342" s="1642"/>
      <c r="X342" s="1642"/>
      <c r="Y342" s="1642"/>
      <c r="Z342" s="1642"/>
      <c r="AA342" s="1642"/>
      <c r="AB342" s="1642"/>
      <c r="AC342" s="1642"/>
      <c r="AD342" s="1642"/>
      <c r="AE342" s="1642"/>
      <c r="AF342" s="1641"/>
      <c r="AG342" s="1642"/>
      <c r="AH342" s="1642"/>
      <c r="AI342" s="1642"/>
      <c r="AJ342" s="1641"/>
      <c r="AK342" s="1642"/>
      <c r="AL342" s="1642"/>
      <c r="AM342" s="1642"/>
      <c r="AN342" s="1641">
        <v>469</v>
      </c>
      <c r="AO342" s="1642">
        <v>535</v>
      </c>
      <c r="AP342" s="1642">
        <v>559</v>
      </c>
      <c r="AQ342" s="1642">
        <v>596</v>
      </c>
      <c r="AR342" s="1641">
        <v>630</v>
      </c>
      <c r="AS342" s="1642">
        <v>674</v>
      </c>
      <c r="AT342" s="1642">
        <v>598</v>
      </c>
      <c r="AU342" s="1642">
        <v>573</v>
      </c>
      <c r="AV342" s="1641">
        <v>564</v>
      </c>
      <c r="AW342" s="1642">
        <v>563</v>
      </c>
      <c r="AX342" s="1642">
        <v>618</v>
      </c>
      <c r="AY342" s="1642">
        <v>603</v>
      </c>
      <c r="AZ342" s="1641">
        <v>530</v>
      </c>
      <c r="BA342" s="1632">
        <v>572</v>
      </c>
      <c r="BB342" s="1642">
        <v>580</v>
      </c>
      <c r="BC342" s="1642">
        <v>486</v>
      </c>
      <c r="BD342" s="1641"/>
      <c r="BE342" s="1642"/>
      <c r="BF342" s="1642"/>
      <c r="BG342" s="1642"/>
      <c r="BH342" s="1641"/>
      <c r="BI342" s="1642"/>
      <c r="BJ342" s="1642"/>
      <c r="BK342" s="1642"/>
      <c r="BL342" s="1641"/>
      <c r="BM342" s="1642"/>
      <c r="BN342" s="1642"/>
      <c r="BO342" s="1642"/>
      <c r="BP342" s="1641"/>
      <c r="BQ342" s="1642"/>
      <c r="BR342" s="1642"/>
      <c r="BS342" s="1642"/>
      <c r="BT342" s="1641"/>
      <c r="BU342" s="1642"/>
      <c r="BV342" s="1642"/>
      <c r="BW342" s="1642"/>
      <c r="BX342" s="1641"/>
      <c r="BY342" s="1642"/>
      <c r="BZ342" s="1642"/>
      <c r="CA342" s="1642"/>
      <c r="CB342" s="1641"/>
      <c r="CC342" s="1642"/>
      <c r="CD342" s="1642"/>
      <c r="CE342" s="1642"/>
      <c r="CF342" s="1641"/>
      <c r="CG342" s="1642"/>
      <c r="CH342" s="1642"/>
      <c r="CI342" s="1642"/>
      <c r="CJ342" s="1641"/>
      <c r="CK342" s="1642"/>
      <c r="CL342" s="1642"/>
      <c r="CM342" s="1681"/>
      <c r="CN342" s="1672"/>
      <c r="CO342" s="1672"/>
      <c r="CP342" s="1672"/>
      <c r="CQ342" s="1681"/>
      <c r="CR342" s="1672"/>
      <c r="CS342" s="1672"/>
      <c r="CT342" s="1672"/>
      <c r="CU342" s="1681"/>
      <c r="CV342" s="1672"/>
      <c r="CW342" s="1672"/>
      <c r="CX342" s="1672"/>
      <c r="CY342" s="1681"/>
      <c r="CZ342" s="1672"/>
      <c r="DA342" s="1672"/>
      <c r="DB342" s="1672"/>
      <c r="DC342" s="1672"/>
      <c r="DD342" s="1672"/>
      <c r="DE342" s="1672"/>
      <c r="DF342" s="1672"/>
      <c r="DG342" s="1672"/>
      <c r="DH342" s="1672"/>
      <c r="DI342" s="1672"/>
      <c r="DJ342" s="1672"/>
      <c r="DK342" s="1672"/>
      <c r="DL342" s="1672"/>
    </row>
    <row r="343" spans="1:116" ht="12.75" hidden="1" customHeight="1">
      <c r="A343" s="1539"/>
      <c r="B343" s="1642"/>
      <c r="C343" s="1642"/>
      <c r="D343" s="1642"/>
      <c r="E343" s="1641"/>
      <c r="F343" s="1642"/>
      <c r="G343" s="1642"/>
      <c r="H343" s="1642"/>
      <c r="I343" s="1642"/>
      <c r="J343" s="1642"/>
      <c r="K343" s="1681"/>
      <c r="L343" s="1642"/>
      <c r="M343" s="1642"/>
      <c r="N343" s="1642"/>
      <c r="O343" s="1642"/>
      <c r="P343" s="1642"/>
      <c r="Q343" s="1642"/>
      <c r="R343" s="1642"/>
      <c r="S343" s="1642"/>
      <c r="T343" s="1642"/>
      <c r="U343" s="1642"/>
      <c r="V343" s="1642"/>
      <c r="W343" s="1642"/>
      <c r="X343" s="1642"/>
      <c r="Y343" s="1642"/>
      <c r="Z343" s="1642"/>
      <c r="AA343" s="1642"/>
      <c r="AB343" s="1642"/>
      <c r="AC343" s="1642"/>
      <c r="AD343" s="1642"/>
      <c r="AE343" s="1642"/>
      <c r="AF343" s="1641"/>
      <c r="AG343" s="1642"/>
      <c r="AH343" s="1642"/>
      <c r="AI343" s="1642"/>
      <c r="AJ343" s="1641"/>
      <c r="AK343" s="1642"/>
      <c r="AL343" s="1642"/>
      <c r="AM343" s="1642"/>
      <c r="AN343" s="1641"/>
      <c r="AO343" s="1642"/>
      <c r="AP343" s="1642"/>
      <c r="AQ343" s="1642"/>
      <c r="AR343" s="1641"/>
      <c r="AS343" s="1642"/>
      <c r="AT343" s="1642"/>
      <c r="AU343" s="1642"/>
      <c r="AV343" s="1641"/>
      <c r="AW343" s="1642"/>
      <c r="AX343" s="1642"/>
      <c r="AY343" s="1642"/>
      <c r="AZ343" s="1641"/>
      <c r="BA343" s="1642"/>
      <c r="BB343" s="1642"/>
      <c r="BC343" s="1642"/>
      <c r="BD343" s="1641"/>
      <c r="BE343" s="1642"/>
      <c r="BF343" s="1642"/>
      <c r="BG343" s="1642"/>
      <c r="BH343" s="1641"/>
      <c r="BI343" s="1642"/>
      <c r="BJ343" s="1642"/>
      <c r="BK343" s="1642"/>
      <c r="BL343" s="1641"/>
      <c r="BM343" s="1642"/>
      <c r="BN343" s="1642"/>
      <c r="BO343" s="1642"/>
      <c r="BP343" s="1641"/>
      <c r="BQ343" s="1642"/>
      <c r="BR343" s="1642"/>
      <c r="BS343" s="1642"/>
      <c r="BT343" s="1641"/>
      <c r="BU343" s="1642"/>
      <c r="BV343" s="1642"/>
      <c r="BW343" s="1642"/>
      <c r="BX343" s="1641"/>
      <c r="BY343" s="1642"/>
      <c r="BZ343" s="1642"/>
      <c r="CA343" s="1642"/>
      <c r="CB343" s="1641"/>
      <c r="CC343" s="1642"/>
      <c r="CD343" s="1642"/>
      <c r="CE343" s="1642"/>
      <c r="CF343" s="1641"/>
      <c r="CG343" s="1642"/>
      <c r="CH343" s="1642"/>
      <c r="CI343" s="1642"/>
      <c r="CJ343" s="1641"/>
      <c r="CK343" s="1642"/>
      <c r="CL343" s="1642"/>
      <c r="CM343" s="1681"/>
      <c r="CN343" s="1672"/>
      <c r="CO343" s="1672"/>
      <c r="CP343" s="1672"/>
      <c r="CQ343" s="1681"/>
      <c r="CR343" s="1672"/>
      <c r="CS343" s="1672"/>
      <c r="CT343" s="1672"/>
      <c r="CU343" s="1681"/>
      <c r="CV343" s="1672"/>
      <c r="CW343" s="1672"/>
      <c r="CX343" s="1672"/>
      <c r="CY343" s="1681"/>
      <c r="CZ343" s="1672"/>
      <c r="DA343" s="1672"/>
      <c r="DB343" s="1672"/>
      <c r="DC343" s="1672"/>
      <c r="DD343" s="1672"/>
      <c r="DE343" s="1672"/>
      <c r="DF343" s="1672"/>
      <c r="DG343" s="1672"/>
      <c r="DH343" s="1672"/>
      <c r="DI343" s="1672"/>
      <c r="DJ343" s="1672"/>
      <c r="DK343" s="1672"/>
      <c r="DL343" s="1672"/>
    </row>
    <row r="344" spans="1:116" ht="12.75" hidden="1" customHeight="1">
      <c r="A344" s="1539" t="s">
        <v>693</v>
      </c>
      <c r="B344" s="1642"/>
      <c r="C344" s="1642"/>
      <c r="D344" s="1642"/>
      <c r="E344" s="1641"/>
      <c r="F344" s="1642"/>
      <c r="G344" s="1642">
        <v>4033</v>
      </c>
      <c r="H344" s="1642"/>
      <c r="I344" s="1642"/>
      <c r="J344" s="1642"/>
      <c r="K344" s="1681"/>
      <c r="L344" s="1642"/>
      <c r="M344" s="1642"/>
      <c r="N344" s="1642"/>
      <c r="O344" s="1642"/>
      <c r="P344" s="1642"/>
      <c r="Q344" s="1642"/>
      <c r="R344" s="1642"/>
      <c r="S344" s="1642"/>
      <c r="T344" s="1642"/>
      <c r="U344" s="1642"/>
      <c r="V344" s="1642"/>
      <c r="W344" s="1642"/>
      <c r="X344" s="1642"/>
      <c r="Y344" s="1642"/>
      <c r="Z344" s="1642"/>
      <c r="AA344" s="1642"/>
      <c r="AB344" s="1642"/>
      <c r="AC344" s="1642"/>
      <c r="AD344" s="1642"/>
      <c r="AE344" s="1642"/>
      <c r="AF344" s="1641"/>
      <c r="AG344" s="1642"/>
      <c r="AH344" s="1642"/>
      <c r="AI344" s="1642"/>
      <c r="AJ344" s="1641"/>
      <c r="AK344" s="1642"/>
      <c r="AL344" s="1642"/>
      <c r="AM344" s="1642"/>
      <c r="AN344" s="1641">
        <v>3981</v>
      </c>
      <c r="AO344" s="1642">
        <v>3980</v>
      </c>
      <c r="AP344" s="1642">
        <v>3992</v>
      </c>
      <c r="AQ344" s="1642">
        <v>4021</v>
      </c>
      <c r="AR344" s="1641">
        <v>3990</v>
      </c>
      <c r="AS344" s="1642">
        <v>4034</v>
      </c>
      <c r="AT344" s="1642">
        <v>4076</v>
      </c>
      <c r="AU344" s="1642">
        <v>3204</v>
      </c>
      <c r="AV344" s="1641">
        <v>3219</v>
      </c>
      <c r="AW344" s="1642">
        <v>3187</v>
      </c>
      <c r="AX344" s="1642">
        <v>3220</v>
      </c>
      <c r="AY344" s="1642">
        <v>3247</v>
      </c>
      <c r="AZ344" s="1641">
        <v>3408</v>
      </c>
      <c r="BA344" s="1632">
        <v>3360</v>
      </c>
      <c r="BB344" s="1642">
        <v>3245</v>
      </c>
      <c r="BC344" s="1642">
        <v>3241</v>
      </c>
      <c r="BD344" s="1641"/>
      <c r="BE344" s="1642"/>
      <c r="BF344" s="1642"/>
      <c r="BG344" s="1642"/>
      <c r="BH344" s="1641"/>
      <c r="BI344" s="1642"/>
      <c r="BJ344" s="1642"/>
      <c r="BK344" s="1642"/>
      <c r="BL344" s="1641"/>
      <c r="BM344" s="1642"/>
      <c r="BN344" s="1642"/>
      <c r="BO344" s="1642"/>
      <c r="BP344" s="1641"/>
      <c r="BQ344" s="1642"/>
      <c r="BR344" s="1642"/>
      <c r="BS344" s="1642"/>
      <c r="BT344" s="1641"/>
      <c r="BU344" s="1642"/>
      <c r="BV344" s="1642"/>
      <c r="BW344" s="1642"/>
      <c r="BX344" s="1641"/>
      <c r="BY344" s="1642"/>
      <c r="BZ344" s="1642"/>
      <c r="CA344" s="1642"/>
      <c r="CB344" s="1641"/>
      <c r="CC344" s="1642"/>
      <c r="CD344" s="1642"/>
      <c r="CE344" s="1642"/>
      <c r="CF344" s="1641"/>
      <c r="CG344" s="1642"/>
      <c r="CH344" s="1642"/>
      <c r="CI344" s="1642"/>
      <c r="CJ344" s="1641"/>
      <c r="CK344" s="1642"/>
      <c r="CL344" s="1642"/>
      <c r="CM344" s="1681"/>
      <c r="CN344" s="1672"/>
      <c r="CO344" s="1672"/>
      <c r="CP344" s="1672"/>
      <c r="CQ344" s="1681"/>
      <c r="CR344" s="1672"/>
      <c r="CS344" s="1672"/>
      <c r="CT344" s="1672"/>
      <c r="CU344" s="1681"/>
      <c r="CV344" s="1672"/>
      <c r="CW344" s="1672"/>
      <c r="CX344" s="1672"/>
      <c r="CY344" s="1681"/>
      <c r="CZ344" s="1672"/>
      <c r="DA344" s="1672"/>
      <c r="DB344" s="1672"/>
      <c r="DC344" s="1672"/>
      <c r="DD344" s="1672"/>
      <c r="DE344" s="1672"/>
      <c r="DF344" s="1672"/>
      <c r="DG344" s="1672"/>
      <c r="DH344" s="1672"/>
      <c r="DI344" s="1672"/>
      <c r="DJ344" s="1672"/>
      <c r="DK344" s="1672"/>
      <c r="DL344" s="1672"/>
    </row>
    <row r="345" spans="1:116" ht="12.75" hidden="1" customHeight="1">
      <c r="A345" s="1539" t="s">
        <v>694</v>
      </c>
      <c r="B345" s="1642"/>
      <c r="C345" s="1642"/>
      <c r="D345" s="1642"/>
      <c r="E345" s="1641"/>
      <c r="F345" s="1642"/>
      <c r="G345" s="1642">
        <v>5591</v>
      </c>
      <c r="H345" s="1642"/>
      <c r="I345" s="1642"/>
      <c r="J345" s="1642"/>
      <c r="K345" s="1681"/>
      <c r="L345" s="1642"/>
      <c r="M345" s="1642"/>
      <c r="N345" s="1642"/>
      <c r="O345" s="1642"/>
      <c r="P345" s="1642"/>
      <c r="Q345" s="1642"/>
      <c r="R345" s="1642"/>
      <c r="S345" s="1642"/>
      <c r="T345" s="1642"/>
      <c r="U345" s="1642"/>
      <c r="V345" s="1642"/>
      <c r="W345" s="1642"/>
      <c r="X345" s="1642"/>
      <c r="Y345" s="1642"/>
      <c r="Z345" s="1642"/>
      <c r="AA345" s="1642"/>
      <c r="AB345" s="1642"/>
      <c r="AC345" s="1642"/>
      <c r="AD345" s="1642"/>
      <c r="AE345" s="1642"/>
      <c r="AF345" s="1641"/>
      <c r="AG345" s="1642"/>
      <c r="AH345" s="1642"/>
      <c r="AI345" s="1642"/>
      <c r="AJ345" s="1641"/>
      <c r="AK345" s="1642"/>
      <c r="AL345" s="1642"/>
      <c r="AM345" s="1642"/>
      <c r="AN345" s="1641">
        <v>3521</v>
      </c>
      <c r="AO345" s="1642">
        <v>4261</v>
      </c>
      <c r="AP345" s="1642">
        <v>4790</v>
      </c>
      <c r="AQ345" s="1642">
        <v>5552</v>
      </c>
      <c r="AR345" s="1641">
        <v>6147</v>
      </c>
      <c r="AS345" s="1642">
        <v>6743</v>
      </c>
      <c r="AT345" s="1642">
        <v>7326</v>
      </c>
      <c r="AU345" s="1642">
        <v>7818</v>
      </c>
      <c r="AV345" s="1641">
        <v>8333</v>
      </c>
      <c r="AW345" s="1642">
        <v>8676</v>
      </c>
      <c r="AX345" s="1642">
        <v>9061</v>
      </c>
      <c r="AY345" s="1642">
        <v>9600</v>
      </c>
      <c r="AZ345" s="1641">
        <v>9382</v>
      </c>
      <c r="BA345" s="1632">
        <v>8741</v>
      </c>
      <c r="BB345" s="1642">
        <v>8489</v>
      </c>
      <c r="BC345" s="1642">
        <v>8704</v>
      </c>
      <c r="BD345" s="1641"/>
      <c r="BE345" s="1642"/>
      <c r="BF345" s="1642"/>
      <c r="BG345" s="1642"/>
      <c r="BH345" s="1641"/>
      <c r="BI345" s="1642"/>
      <c r="BJ345" s="1642"/>
      <c r="BK345" s="1642"/>
      <c r="BL345" s="1641"/>
      <c r="BM345" s="1642"/>
      <c r="BN345" s="1642"/>
      <c r="BO345" s="1642"/>
      <c r="BP345" s="1641"/>
      <c r="BQ345" s="1642"/>
      <c r="BR345" s="1642"/>
      <c r="BS345" s="1642"/>
      <c r="BT345" s="1641"/>
      <c r="BU345" s="1642"/>
      <c r="BV345" s="1642"/>
      <c r="BW345" s="1642"/>
      <c r="BX345" s="1641"/>
      <c r="BY345" s="1642"/>
      <c r="BZ345" s="1642"/>
      <c r="CA345" s="1642"/>
      <c r="CB345" s="1641"/>
      <c r="CC345" s="1642"/>
      <c r="CD345" s="1642"/>
      <c r="CE345" s="1642"/>
      <c r="CF345" s="1641"/>
      <c r="CG345" s="1642"/>
      <c r="CH345" s="1642"/>
      <c r="CI345" s="1642"/>
      <c r="CJ345" s="1641"/>
      <c r="CK345" s="1642"/>
      <c r="CL345" s="1642"/>
      <c r="CM345" s="1681"/>
      <c r="CN345" s="1672"/>
      <c r="CO345" s="1672"/>
      <c r="CP345" s="1672"/>
      <c r="CQ345" s="1681"/>
      <c r="CR345" s="1672"/>
      <c r="CS345" s="1672"/>
      <c r="CT345" s="1672"/>
      <c r="CU345" s="1681"/>
      <c r="CV345" s="1672"/>
      <c r="CW345" s="1672"/>
      <c r="CX345" s="1672"/>
      <c r="CY345" s="1681"/>
      <c r="CZ345" s="1672"/>
      <c r="DA345" s="1672"/>
      <c r="DB345" s="1672"/>
      <c r="DC345" s="1672"/>
      <c r="DD345" s="1672"/>
      <c r="DE345" s="1672"/>
      <c r="DF345" s="1672"/>
      <c r="DG345" s="1672"/>
      <c r="DH345" s="1672"/>
      <c r="DI345" s="1672"/>
      <c r="DJ345" s="1672"/>
      <c r="DK345" s="1672"/>
      <c r="DL345" s="1672"/>
    </row>
    <row r="346" spans="1:116" ht="12.75" hidden="1" customHeight="1">
      <c r="A346" s="1539"/>
      <c r="B346" s="1642"/>
      <c r="C346" s="1642"/>
      <c r="D346" s="1642"/>
      <c r="E346" s="1641"/>
      <c r="F346" s="1642"/>
      <c r="G346" s="1642"/>
      <c r="H346" s="1642"/>
      <c r="I346" s="1642"/>
      <c r="J346" s="1642"/>
      <c r="K346" s="1681"/>
      <c r="L346" s="1642"/>
      <c r="M346" s="1642"/>
      <c r="N346" s="1642"/>
      <c r="O346" s="1642"/>
      <c r="P346" s="1642"/>
      <c r="Q346" s="1642"/>
      <c r="R346" s="1642"/>
      <c r="S346" s="1642"/>
      <c r="T346" s="1642"/>
      <c r="U346" s="1642"/>
      <c r="V346" s="1642"/>
      <c r="W346" s="1642"/>
      <c r="X346" s="1642"/>
      <c r="Y346" s="1642"/>
      <c r="Z346" s="1642"/>
      <c r="AA346" s="1642"/>
      <c r="AB346" s="1642"/>
      <c r="AC346" s="1642"/>
      <c r="AD346" s="1642"/>
      <c r="AE346" s="1642"/>
      <c r="AF346" s="1641"/>
      <c r="AG346" s="1642"/>
      <c r="AH346" s="1642"/>
      <c r="AI346" s="1642"/>
      <c r="AJ346" s="1641"/>
      <c r="AK346" s="1642"/>
      <c r="AL346" s="1642"/>
      <c r="AM346" s="1642"/>
      <c r="AN346" s="1641"/>
      <c r="AO346" s="1642"/>
      <c r="AP346" s="1642"/>
      <c r="AQ346" s="1642"/>
      <c r="AR346" s="1641"/>
      <c r="AS346" s="1642"/>
      <c r="AT346" s="1642"/>
      <c r="AU346" s="1642"/>
      <c r="AV346" s="1641"/>
      <c r="AW346" s="1642"/>
      <c r="AX346" s="1642"/>
      <c r="AY346" s="1642"/>
      <c r="AZ346" s="1641"/>
      <c r="BA346" s="1642"/>
      <c r="BB346" s="1642"/>
      <c r="BC346" s="1642"/>
      <c r="BD346" s="1641"/>
      <c r="BE346" s="1642"/>
      <c r="BF346" s="1642"/>
      <c r="BG346" s="1642"/>
      <c r="BH346" s="1641"/>
      <c r="BI346" s="1642"/>
      <c r="BJ346" s="1642"/>
      <c r="BK346" s="1642"/>
      <c r="BL346" s="1641"/>
      <c r="BM346" s="1642"/>
      <c r="BN346" s="1642"/>
      <c r="BO346" s="1642"/>
      <c r="BP346" s="1641"/>
      <c r="BQ346" s="1642"/>
      <c r="BR346" s="1642"/>
      <c r="BS346" s="1642"/>
      <c r="BT346" s="1641"/>
      <c r="BU346" s="1642"/>
      <c r="BV346" s="1642"/>
      <c r="BW346" s="1642"/>
      <c r="BX346" s="1641"/>
      <c r="BY346" s="1642"/>
      <c r="BZ346" s="1642"/>
      <c r="CA346" s="1642"/>
      <c r="CB346" s="1641"/>
      <c r="CC346" s="1642"/>
      <c r="CD346" s="1642"/>
      <c r="CE346" s="1642"/>
      <c r="CF346" s="1641"/>
      <c r="CG346" s="1642"/>
      <c r="CH346" s="1642"/>
      <c r="CI346" s="1642"/>
      <c r="CJ346" s="1641"/>
      <c r="CK346" s="1642"/>
      <c r="CL346" s="1642"/>
      <c r="CM346" s="1681"/>
      <c r="CN346" s="1672"/>
      <c r="CO346" s="1672"/>
      <c r="CP346" s="1672"/>
      <c r="CQ346" s="1681"/>
      <c r="CR346" s="1672"/>
      <c r="CS346" s="1672"/>
      <c r="CT346" s="1672"/>
      <c r="CU346" s="1681"/>
      <c r="CV346" s="1672"/>
      <c r="CW346" s="1672"/>
      <c r="CX346" s="1672"/>
      <c r="CY346" s="1681"/>
      <c r="CZ346" s="1672"/>
      <c r="DA346" s="1672"/>
      <c r="DB346" s="1672"/>
      <c r="DC346" s="1672"/>
      <c r="DD346" s="1672"/>
      <c r="DE346" s="1672"/>
      <c r="DF346" s="1672"/>
      <c r="DG346" s="1672"/>
      <c r="DH346" s="1672"/>
      <c r="DI346" s="1672"/>
      <c r="DJ346" s="1672"/>
      <c r="DK346" s="1672"/>
      <c r="DL346" s="1672"/>
    </row>
    <row r="347" spans="1:116" ht="12.75" hidden="1" customHeight="1">
      <c r="A347" s="1539"/>
      <c r="B347" s="1642"/>
      <c r="C347" s="1642"/>
      <c r="D347" s="1642"/>
      <c r="E347" s="1641"/>
      <c r="F347" s="1642"/>
      <c r="G347" s="1642"/>
      <c r="H347" s="1642"/>
      <c r="I347" s="1642"/>
      <c r="J347" s="1642"/>
      <c r="K347" s="1681"/>
      <c r="L347" s="1642"/>
      <c r="M347" s="1642"/>
      <c r="N347" s="1642"/>
      <c r="O347" s="1642"/>
      <c r="P347" s="1642"/>
      <c r="Q347" s="1642"/>
      <c r="R347" s="1642"/>
      <c r="S347" s="1642"/>
      <c r="T347" s="1642"/>
      <c r="U347" s="1642"/>
      <c r="V347" s="1642"/>
      <c r="W347" s="1642"/>
      <c r="X347" s="1642"/>
      <c r="Y347" s="1642"/>
      <c r="Z347" s="1642"/>
      <c r="AA347" s="1642"/>
      <c r="AB347" s="1642"/>
      <c r="AC347" s="1642"/>
      <c r="AD347" s="1642"/>
      <c r="AE347" s="1642"/>
      <c r="AF347" s="1641"/>
      <c r="AG347" s="1642"/>
      <c r="AH347" s="1642"/>
      <c r="AI347" s="1642"/>
      <c r="AJ347" s="1641"/>
      <c r="AK347" s="1642"/>
      <c r="AL347" s="1642"/>
      <c r="AM347" s="1642"/>
      <c r="AN347" s="1641"/>
      <c r="AO347" s="1642"/>
      <c r="AP347" s="1642"/>
      <c r="AQ347" s="1642"/>
      <c r="AR347" s="1641"/>
      <c r="AS347" s="1642"/>
      <c r="AT347" s="1642"/>
      <c r="AU347" s="1642"/>
      <c r="AV347" s="1641"/>
      <c r="AW347" s="1642"/>
      <c r="AX347" s="1642"/>
      <c r="AY347" s="1642"/>
      <c r="AZ347" s="1641"/>
      <c r="BA347" s="1642"/>
      <c r="BB347" s="1642"/>
      <c r="BC347" s="1642"/>
      <c r="BD347" s="1641"/>
      <c r="BE347" s="1642"/>
      <c r="BF347" s="1642"/>
      <c r="BG347" s="1642"/>
      <c r="BH347" s="1641"/>
      <c r="BI347" s="1642"/>
      <c r="BJ347" s="1642"/>
      <c r="BK347" s="1642"/>
      <c r="BL347" s="1641"/>
      <c r="BM347" s="1642"/>
      <c r="BN347" s="1642"/>
      <c r="BO347" s="1642"/>
      <c r="BP347" s="1641"/>
      <c r="BQ347" s="1642"/>
      <c r="BR347" s="1642"/>
      <c r="BS347" s="1642"/>
      <c r="BT347" s="1641"/>
      <c r="BU347" s="1642"/>
      <c r="BV347" s="1642"/>
      <c r="BW347" s="1642"/>
      <c r="BX347" s="1641"/>
      <c r="BY347" s="1642"/>
      <c r="BZ347" s="1642"/>
      <c r="CA347" s="1642"/>
      <c r="CB347" s="1641"/>
      <c r="CC347" s="1642"/>
      <c r="CD347" s="1642"/>
      <c r="CE347" s="1642"/>
      <c r="CF347" s="1641"/>
      <c r="CG347" s="1642"/>
      <c r="CH347" s="1642"/>
      <c r="CI347" s="1642"/>
      <c r="CJ347" s="1641"/>
      <c r="CK347" s="1642"/>
      <c r="CL347" s="1642"/>
      <c r="CM347" s="1681"/>
      <c r="CN347" s="1672"/>
      <c r="CO347" s="1672"/>
      <c r="CP347" s="1672"/>
      <c r="CQ347" s="1681"/>
      <c r="CR347" s="1672"/>
      <c r="CS347" s="1672"/>
      <c r="CT347" s="1672"/>
      <c r="CU347" s="1681"/>
      <c r="CV347" s="1672"/>
      <c r="CW347" s="1672"/>
      <c r="CX347" s="1672"/>
      <c r="CY347" s="1681"/>
      <c r="CZ347" s="1672"/>
      <c r="DA347" s="1672"/>
      <c r="DB347" s="1672"/>
      <c r="DC347" s="1672"/>
      <c r="DD347" s="1672"/>
      <c r="DE347" s="1672"/>
      <c r="DF347" s="1672"/>
      <c r="DG347" s="1672"/>
      <c r="DH347" s="1672"/>
      <c r="DI347" s="1672"/>
      <c r="DJ347" s="1672"/>
      <c r="DK347" s="1672"/>
      <c r="DL347" s="1672"/>
    </row>
    <row r="348" spans="1:116" ht="12.75" hidden="1" customHeight="1">
      <c r="A348" s="1627" t="s">
        <v>695</v>
      </c>
      <c r="B348" s="1759"/>
      <c r="C348" s="1759"/>
      <c r="D348" s="1759"/>
      <c r="E348" s="1760"/>
      <c r="F348" s="1759"/>
      <c r="G348" s="1759"/>
      <c r="H348" s="1642"/>
      <c r="I348" s="1642"/>
      <c r="J348" s="1642"/>
      <c r="K348" s="1681"/>
      <c r="L348" s="1642"/>
      <c r="M348" s="1642"/>
      <c r="N348" s="1642"/>
      <c r="O348" s="1642"/>
      <c r="P348" s="1642"/>
      <c r="Q348" s="1642"/>
      <c r="R348" s="1642"/>
      <c r="S348" s="1642"/>
      <c r="T348" s="1642"/>
      <c r="U348" s="1642"/>
      <c r="V348" s="1642"/>
      <c r="W348" s="1642"/>
      <c r="X348" s="1642"/>
      <c r="Y348" s="1642"/>
      <c r="Z348" s="1642"/>
      <c r="AA348" s="1642"/>
      <c r="AB348" s="1642"/>
      <c r="AC348" s="1642"/>
      <c r="AD348" s="1642"/>
      <c r="AE348" s="1642"/>
      <c r="AF348" s="1641"/>
      <c r="AG348" s="1642"/>
      <c r="AH348" s="1642"/>
      <c r="AI348" s="1642"/>
      <c r="AJ348" s="1641"/>
      <c r="AK348" s="1642"/>
      <c r="AL348" s="1642"/>
      <c r="AM348" s="1642"/>
      <c r="AN348" s="1641"/>
      <c r="AO348" s="1642"/>
      <c r="AP348" s="1642"/>
      <c r="AQ348" s="1642"/>
      <c r="AR348" s="1641"/>
      <c r="AS348" s="1642"/>
      <c r="AT348" s="1642"/>
      <c r="AU348" s="1642"/>
      <c r="AV348" s="1641"/>
      <c r="AW348" s="1642"/>
      <c r="AX348" s="1642"/>
      <c r="AY348" s="1642"/>
      <c r="AZ348" s="1641"/>
      <c r="BA348" s="1642"/>
      <c r="BB348" s="1642"/>
      <c r="BC348" s="1642"/>
      <c r="BD348" s="1641"/>
      <c r="BE348" s="1642"/>
      <c r="BF348" s="1642"/>
      <c r="BG348" s="1642"/>
      <c r="BH348" s="1641"/>
      <c r="BI348" s="1642"/>
      <c r="BJ348" s="1642"/>
      <c r="BK348" s="1642"/>
      <c r="BL348" s="1641"/>
      <c r="BM348" s="1642"/>
      <c r="BN348" s="1642"/>
      <c r="BO348" s="1642"/>
      <c r="BP348" s="1641"/>
      <c r="BQ348" s="1642"/>
      <c r="BR348" s="1642"/>
      <c r="BS348" s="1642"/>
      <c r="BT348" s="1641"/>
      <c r="BU348" s="1642"/>
      <c r="BV348" s="1642"/>
      <c r="BW348" s="1642"/>
      <c r="BX348" s="1641"/>
      <c r="BY348" s="1642"/>
      <c r="BZ348" s="1642"/>
      <c r="CA348" s="1642"/>
      <c r="CB348" s="1641"/>
      <c r="CC348" s="1642"/>
      <c r="CD348" s="1642"/>
      <c r="CE348" s="1642"/>
      <c r="CF348" s="1641"/>
      <c r="CG348" s="1642"/>
      <c r="CH348" s="1642"/>
      <c r="CI348" s="1642"/>
      <c r="CJ348" s="1641"/>
      <c r="CK348" s="1642"/>
      <c r="CL348" s="1642"/>
      <c r="CM348" s="1681"/>
      <c r="CN348" s="1672"/>
      <c r="CO348" s="1672"/>
      <c r="CP348" s="1672"/>
      <c r="CQ348" s="1681"/>
      <c r="CR348" s="1672"/>
      <c r="CS348" s="1672"/>
      <c r="CT348" s="1672"/>
      <c r="CU348" s="1681"/>
      <c r="CV348" s="1672"/>
      <c r="CW348" s="1672"/>
      <c r="CX348" s="1672"/>
      <c r="CY348" s="1681"/>
      <c r="CZ348" s="1672"/>
      <c r="DA348" s="1672"/>
      <c r="DB348" s="1672"/>
      <c r="DC348" s="1672"/>
      <c r="DD348" s="1672"/>
      <c r="DE348" s="1672"/>
      <c r="DF348" s="1672"/>
      <c r="DG348" s="1672"/>
      <c r="DH348" s="1672"/>
      <c r="DI348" s="1672"/>
      <c r="DJ348" s="1672"/>
      <c r="DK348" s="1672"/>
      <c r="DL348" s="1672"/>
    </row>
    <row r="349" spans="1:116" ht="12.75" hidden="1" customHeight="1">
      <c r="A349" s="1539" t="s">
        <v>947</v>
      </c>
      <c r="B349" s="1642"/>
      <c r="C349" s="1642"/>
      <c r="D349" s="1642"/>
      <c r="E349" s="1641">
        <f>E9</f>
        <v>3501</v>
      </c>
      <c r="F349" s="1642">
        <f>F9</f>
        <v>3818</v>
      </c>
      <c r="G349" s="1642">
        <f>G9</f>
        <v>4086</v>
      </c>
      <c r="H349" s="1642">
        <f>H9</f>
        <v>4144</v>
      </c>
      <c r="I349" s="1642">
        <f>I9</f>
        <v>4313</v>
      </c>
      <c r="J349" s="1642">
        <f>SUM(AZ349:BC349)</f>
        <v>4287</v>
      </c>
      <c r="K349" s="1681">
        <f t="shared" ref="K349:K356" si="432">SUM(BD349:BG349)</f>
        <v>3763</v>
      </c>
      <c r="L349" s="1642"/>
      <c r="M349" s="1642"/>
      <c r="N349" s="1642"/>
      <c r="O349" s="1642"/>
      <c r="P349" s="1642"/>
      <c r="Q349" s="1642"/>
      <c r="R349" s="1642"/>
      <c r="S349" s="1642"/>
      <c r="T349" s="1642"/>
      <c r="U349" s="1642"/>
      <c r="V349" s="1642"/>
      <c r="W349" s="1642"/>
      <c r="X349" s="1642"/>
      <c r="Y349" s="1642"/>
      <c r="Z349" s="1642"/>
      <c r="AA349" s="1642"/>
      <c r="AB349" s="1642"/>
      <c r="AC349" s="1642"/>
      <c r="AD349" s="1642"/>
      <c r="AE349" s="1642"/>
      <c r="AF349" s="1641">
        <f t="shared" ref="AF349:AU349" si="433">AF9</f>
        <v>654</v>
      </c>
      <c r="AG349" s="1642">
        <f t="shared" si="433"/>
        <v>930</v>
      </c>
      <c r="AH349" s="1642">
        <f t="shared" si="433"/>
        <v>814</v>
      </c>
      <c r="AI349" s="1642">
        <f t="shared" si="433"/>
        <v>1103</v>
      </c>
      <c r="AJ349" s="1641">
        <f t="shared" si="433"/>
        <v>723</v>
      </c>
      <c r="AK349" s="1642">
        <f t="shared" si="433"/>
        <v>969</v>
      </c>
      <c r="AL349" s="1642">
        <f t="shared" si="433"/>
        <v>934</v>
      </c>
      <c r="AM349" s="1642">
        <f t="shared" si="433"/>
        <v>1192</v>
      </c>
      <c r="AN349" s="1641">
        <f t="shared" si="433"/>
        <v>759</v>
      </c>
      <c r="AO349" s="1642">
        <f t="shared" si="433"/>
        <v>1055</v>
      </c>
      <c r="AP349" s="1642">
        <f t="shared" si="433"/>
        <v>913</v>
      </c>
      <c r="AQ349" s="1642">
        <f t="shared" si="433"/>
        <v>1359</v>
      </c>
      <c r="AR349" s="1641">
        <f t="shared" si="433"/>
        <v>779</v>
      </c>
      <c r="AS349" s="1642">
        <f t="shared" si="433"/>
        <v>1056</v>
      </c>
      <c r="AT349" s="1642">
        <f t="shared" si="433"/>
        <v>970</v>
      </c>
      <c r="AU349" s="1642">
        <f t="shared" si="433"/>
        <v>1339</v>
      </c>
      <c r="AV349" s="1641">
        <v>789</v>
      </c>
      <c r="AW349" s="1642">
        <v>984</v>
      </c>
      <c r="AX349" s="1642">
        <v>1112</v>
      </c>
      <c r="AY349" s="1642">
        <v>1428</v>
      </c>
      <c r="AZ349" s="1641">
        <v>803</v>
      </c>
      <c r="BA349" s="1642">
        <v>936</v>
      </c>
      <c r="BB349" s="1642">
        <v>1174</v>
      </c>
      <c r="BC349" s="1642">
        <v>1374</v>
      </c>
      <c r="BD349" s="1641">
        <v>955</v>
      </c>
      <c r="BE349" s="1642">
        <v>970</v>
      </c>
      <c r="BF349" s="1642">
        <v>922</v>
      </c>
      <c r="BG349" s="1642">
        <v>916</v>
      </c>
      <c r="BH349" s="1641">
        <v>903</v>
      </c>
      <c r="BI349" s="1642">
        <v>889</v>
      </c>
      <c r="BJ349" s="1642">
        <v>883</v>
      </c>
      <c r="BK349" s="1642">
        <v>874</v>
      </c>
      <c r="BL349" s="1641">
        <v>881</v>
      </c>
      <c r="BM349" s="1642">
        <v>870</v>
      </c>
      <c r="BN349" s="1642">
        <v>857</v>
      </c>
      <c r="BO349" s="1642">
        <v>844</v>
      </c>
      <c r="BP349" s="1641">
        <v>837</v>
      </c>
      <c r="BQ349" s="1642">
        <v>802</v>
      </c>
      <c r="BR349" s="1642">
        <v>804</v>
      </c>
      <c r="BS349" s="1642"/>
      <c r="BT349" s="1641"/>
      <c r="BU349" s="1642"/>
      <c r="BV349" s="1642"/>
      <c r="BW349" s="1642"/>
      <c r="BX349" s="1641"/>
      <c r="BY349" s="1642"/>
      <c r="BZ349" s="1642"/>
      <c r="CA349" s="1642"/>
      <c r="CB349" s="1641"/>
      <c r="CC349" s="1642"/>
      <c r="CD349" s="1642"/>
      <c r="CE349" s="1642"/>
      <c r="CF349" s="1641"/>
      <c r="CG349" s="1642"/>
      <c r="CH349" s="1642"/>
      <c r="CI349" s="1642"/>
      <c r="CJ349" s="1641"/>
      <c r="CK349" s="1642"/>
      <c r="CL349" s="1642"/>
      <c r="CM349" s="1681"/>
      <c r="CN349" s="1672"/>
      <c r="CO349" s="1672"/>
      <c r="CP349" s="1672"/>
      <c r="CQ349" s="1681"/>
      <c r="CR349" s="1672"/>
      <c r="CS349" s="1672"/>
      <c r="CT349" s="1672"/>
      <c r="CU349" s="1681"/>
      <c r="CV349" s="1672"/>
      <c r="CW349" s="1672"/>
      <c r="CX349" s="1672"/>
      <c r="CY349" s="1681"/>
      <c r="CZ349" s="1672"/>
      <c r="DA349" s="1672"/>
      <c r="DB349" s="1672"/>
      <c r="DC349" s="1672"/>
      <c r="DD349" s="1672"/>
      <c r="DE349" s="1672"/>
      <c r="DF349" s="1672"/>
      <c r="DG349" s="1672"/>
      <c r="DH349" s="1672"/>
      <c r="DI349" s="1672"/>
      <c r="DJ349" s="1672"/>
      <c r="DK349" s="1672"/>
      <c r="DL349" s="1672"/>
    </row>
    <row r="350" spans="1:116" ht="12.75" hidden="1" customHeight="1">
      <c r="A350" s="1539"/>
      <c r="B350" s="1642"/>
      <c r="C350" s="1642"/>
      <c r="D350" s="1642"/>
      <c r="E350" s="1641"/>
      <c r="F350" s="1642"/>
      <c r="G350" s="1642"/>
      <c r="H350" s="1642"/>
      <c r="I350" s="1642"/>
      <c r="J350" s="1642"/>
      <c r="K350" s="1681">
        <f t="shared" si="432"/>
        <v>0</v>
      </c>
      <c r="L350" s="1642"/>
      <c r="M350" s="1642"/>
      <c r="N350" s="1642"/>
      <c r="O350" s="1642"/>
      <c r="P350" s="1642"/>
      <c r="Q350" s="1642"/>
      <c r="R350" s="1642"/>
      <c r="S350" s="1642"/>
      <c r="T350" s="1642"/>
      <c r="U350" s="1642"/>
      <c r="V350" s="1642"/>
      <c r="W350" s="1642"/>
      <c r="X350" s="1642"/>
      <c r="Y350" s="1642"/>
      <c r="Z350" s="1642"/>
      <c r="AA350" s="1642"/>
      <c r="AB350" s="1642"/>
      <c r="AC350" s="1642"/>
      <c r="AD350" s="1642"/>
      <c r="AE350" s="1642"/>
      <c r="AF350" s="1641"/>
      <c r="AG350" s="1642"/>
      <c r="AH350" s="1642"/>
      <c r="AI350" s="1642"/>
      <c r="AJ350" s="1641"/>
      <c r="AK350" s="1642"/>
      <c r="AL350" s="1642"/>
      <c r="AM350" s="1642"/>
      <c r="AN350" s="1641"/>
      <c r="AO350" s="1642"/>
      <c r="AP350" s="1642"/>
      <c r="AQ350" s="1642"/>
      <c r="AR350" s="1641"/>
      <c r="AS350" s="1642"/>
      <c r="AT350" s="1642"/>
      <c r="AU350" s="1642"/>
      <c r="AV350" s="1641"/>
      <c r="AW350" s="1642"/>
      <c r="AX350" s="1642"/>
      <c r="AY350" s="1642"/>
      <c r="AZ350" s="1641"/>
      <c r="BA350" s="1642"/>
      <c r="BB350" s="1642"/>
      <c r="BC350" s="1642"/>
      <c r="BD350" s="1641"/>
      <c r="BE350" s="1642"/>
      <c r="BF350" s="1642"/>
      <c r="BG350" s="1642"/>
      <c r="BH350" s="1641"/>
      <c r="BI350" s="1642"/>
      <c r="BJ350" s="1642"/>
      <c r="BK350" s="1642"/>
      <c r="BL350" s="1641"/>
      <c r="BM350" s="1642"/>
      <c r="BN350" s="1642"/>
      <c r="BO350" s="1642"/>
      <c r="BP350" s="1641"/>
      <c r="BQ350" s="1642"/>
      <c r="BR350" s="1642"/>
      <c r="BS350" s="1642"/>
      <c r="BT350" s="1641"/>
      <c r="BU350" s="1642"/>
      <c r="BV350" s="1642"/>
      <c r="BW350" s="1642"/>
      <c r="BX350" s="1641"/>
      <c r="BY350" s="1642"/>
      <c r="BZ350" s="1642"/>
      <c r="CA350" s="1642"/>
      <c r="CB350" s="1641"/>
      <c r="CC350" s="1642"/>
      <c r="CD350" s="1642"/>
      <c r="CE350" s="1642"/>
      <c r="CF350" s="1641"/>
      <c r="CG350" s="1642"/>
      <c r="CH350" s="1642"/>
      <c r="CI350" s="1642"/>
      <c r="CJ350" s="1641"/>
      <c r="CK350" s="1642"/>
      <c r="CL350" s="1642"/>
      <c r="CM350" s="1681"/>
      <c r="CN350" s="1672"/>
      <c r="CO350" s="1672"/>
      <c r="CP350" s="1672"/>
      <c r="CQ350" s="1681"/>
      <c r="CR350" s="1672"/>
      <c r="CS350" s="1672"/>
      <c r="CT350" s="1672"/>
      <c r="CU350" s="1681"/>
      <c r="CV350" s="1672"/>
      <c r="CW350" s="1672"/>
      <c r="CX350" s="1672"/>
      <c r="CY350" s="1681"/>
      <c r="CZ350" s="1672"/>
      <c r="DA350" s="1672"/>
      <c r="DB350" s="1672"/>
      <c r="DC350" s="1672"/>
      <c r="DD350" s="1672"/>
      <c r="DE350" s="1672"/>
      <c r="DF350" s="1672"/>
      <c r="DG350" s="1672"/>
      <c r="DH350" s="1672"/>
      <c r="DI350" s="1672"/>
      <c r="DJ350" s="1672"/>
      <c r="DK350" s="1672"/>
      <c r="DL350" s="1672"/>
    </row>
    <row r="351" spans="1:116" ht="12.75" hidden="1" customHeight="1">
      <c r="A351" s="1539" t="s">
        <v>960</v>
      </c>
      <c r="B351" s="1642"/>
      <c r="C351" s="1642"/>
      <c r="D351" s="1642"/>
      <c r="E351" s="1641"/>
      <c r="F351" s="1642"/>
      <c r="G351" s="1642"/>
      <c r="H351" s="1642"/>
      <c r="I351" s="1642"/>
      <c r="J351" s="1642"/>
      <c r="K351" s="1681">
        <f t="shared" si="432"/>
        <v>0</v>
      </c>
      <c r="L351" s="1642"/>
      <c r="M351" s="1642"/>
      <c r="N351" s="1642"/>
      <c r="O351" s="1642"/>
      <c r="P351" s="1642"/>
      <c r="Q351" s="1642"/>
      <c r="R351" s="1642"/>
      <c r="S351" s="1642"/>
      <c r="T351" s="1642"/>
      <c r="U351" s="1642"/>
      <c r="V351" s="1642"/>
      <c r="W351" s="1642"/>
      <c r="X351" s="1642"/>
      <c r="Y351" s="1642"/>
      <c r="Z351" s="1642"/>
      <c r="AA351" s="1642"/>
      <c r="AB351" s="1642"/>
      <c r="AC351" s="1642"/>
      <c r="AD351" s="1642"/>
      <c r="AE351" s="1642"/>
      <c r="AF351" s="1641"/>
      <c r="AG351" s="1642"/>
      <c r="AH351" s="1642"/>
      <c r="AI351" s="1642"/>
      <c r="AJ351" s="1641"/>
      <c r="AK351" s="1642"/>
      <c r="AL351" s="1642"/>
      <c r="AM351" s="1642"/>
      <c r="AN351" s="1641"/>
      <c r="AO351" s="1642"/>
      <c r="AP351" s="1642"/>
      <c r="AQ351" s="1642"/>
      <c r="AR351" s="1641"/>
      <c r="AS351" s="1642"/>
      <c r="AT351" s="1642"/>
      <c r="AU351" s="1642"/>
      <c r="AV351" s="1641"/>
      <c r="AW351" s="1642"/>
      <c r="AX351" s="1642"/>
      <c r="AY351" s="1642"/>
      <c r="AZ351" s="1641"/>
      <c r="BA351" s="1642"/>
      <c r="BB351" s="1642"/>
      <c r="BC351" s="1642"/>
      <c r="BD351" s="1641"/>
      <c r="BE351" s="1642"/>
      <c r="BF351" s="1642"/>
      <c r="BG351" s="1642"/>
      <c r="BH351" s="1641"/>
      <c r="BI351" s="1642"/>
      <c r="BJ351" s="1642"/>
      <c r="BK351" s="1642"/>
      <c r="BL351" s="1641"/>
      <c r="BM351" s="1642"/>
      <c r="BN351" s="1642"/>
      <c r="BO351" s="1642"/>
      <c r="BP351" s="1641"/>
      <c r="BQ351" s="1642"/>
      <c r="BR351" s="1642"/>
      <c r="BS351" s="1642"/>
      <c r="BT351" s="1641"/>
      <c r="BU351" s="1642"/>
      <c r="BV351" s="1642"/>
      <c r="BW351" s="1642"/>
      <c r="BX351" s="1641"/>
      <c r="BY351" s="1642"/>
      <c r="BZ351" s="1642"/>
      <c r="CA351" s="1642"/>
      <c r="CB351" s="1641"/>
      <c r="CC351" s="1642"/>
      <c r="CD351" s="1642"/>
      <c r="CE351" s="1642"/>
      <c r="CF351" s="1641"/>
      <c r="CG351" s="1642"/>
      <c r="CH351" s="1642"/>
      <c r="CI351" s="1642"/>
      <c r="CJ351" s="1641"/>
      <c r="CK351" s="1642"/>
      <c r="CL351" s="1642"/>
      <c r="CM351" s="1681"/>
      <c r="CN351" s="1672"/>
      <c r="CO351" s="1672"/>
      <c r="CP351" s="1672"/>
      <c r="CQ351" s="1681"/>
      <c r="CR351" s="1672"/>
      <c r="CS351" s="1672"/>
      <c r="CT351" s="1672"/>
      <c r="CU351" s="1681"/>
      <c r="CV351" s="1672"/>
      <c r="CW351" s="1672"/>
      <c r="CX351" s="1672"/>
      <c r="CY351" s="1681"/>
      <c r="CZ351" s="1672"/>
      <c r="DA351" s="1672"/>
      <c r="DB351" s="1672"/>
      <c r="DC351" s="1672"/>
      <c r="DD351" s="1672"/>
      <c r="DE351" s="1672"/>
      <c r="DF351" s="1672"/>
      <c r="DG351" s="1672"/>
      <c r="DH351" s="1672"/>
      <c r="DI351" s="1672"/>
      <c r="DJ351" s="1672"/>
      <c r="DK351" s="1672"/>
      <c r="DL351" s="1672"/>
    </row>
    <row r="352" spans="1:116" ht="12.75" hidden="1" customHeight="1">
      <c r="A352" s="1628" t="s">
        <v>961</v>
      </c>
      <c r="B352" s="1642"/>
      <c r="C352" s="1642"/>
      <c r="D352" s="1642"/>
      <c r="E352" s="1641"/>
      <c r="F352" s="1642"/>
      <c r="G352" s="1642"/>
      <c r="H352" s="1642"/>
      <c r="I352" s="1642"/>
      <c r="J352" s="1642">
        <f>SUM(AZ352:BC352)</f>
        <v>688</v>
      </c>
      <c r="K352" s="1681">
        <f t="shared" si="432"/>
        <v>554</v>
      </c>
      <c r="L352" s="1642"/>
      <c r="M352" s="1642"/>
      <c r="N352" s="1642"/>
      <c r="O352" s="1642"/>
      <c r="P352" s="1642"/>
      <c r="Q352" s="1642"/>
      <c r="R352" s="1642"/>
      <c r="S352" s="1642"/>
      <c r="T352" s="1642"/>
      <c r="U352" s="1642"/>
      <c r="V352" s="1642"/>
      <c r="W352" s="1642"/>
      <c r="X352" s="1642"/>
      <c r="Y352" s="1642"/>
      <c r="Z352" s="1642"/>
      <c r="AA352" s="1642"/>
      <c r="AB352" s="1642"/>
      <c r="AC352" s="1642"/>
      <c r="AD352" s="1642"/>
      <c r="AE352" s="1642"/>
      <c r="AF352" s="1641"/>
      <c r="AG352" s="1642"/>
      <c r="AH352" s="1642"/>
      <c r="AI352" s="1642"/>
      <c r="AJ352" s="1641"/>
      <c r="AK352" s="1642"/>
      <c r="AL352" s="1642"/>
      <c r="AM352" s="1642"/>
      <c r="AN352" s="1641"/>
      <c r="AO352" s="1642"/>
      <c r="AP352" s="1642"/>
      <c r="AQ352" s="1642"/>
      <c r="AR352" s="1641"/>
      <c r="AS352" s="1642"/>
      <c r="AT352" s="1642"/>
      <c r="AU352" s="1642"/>
      <c r="AV352" s="1641"/>
      <c r="AW352" s="1642"/>
      <c r="AX352" s="1642"/>
      <c r="AY352" s="1642"/>
      <c r="AZ352" s="1641">
        <v>137</v>
      </c>
      <c r="BA352" s="1642">
        <v>152</v>
      </c>
      <c r="BB352" s="1642">
        <v>170</v>
      </c>
      <c r="BC352" s="1642">
        <v>229</v>
      </c>
      <c r="BD352" s="1641">
        <v>139</v>
      </c>
      <c r="BE352" s="1642">
        <v>149</v>
      </c>
      <c r="BF352" s="1642">
        <v>146</v>
      </c>
      <c r="BG352" s="1642">
        <v>120</v>
      </c>
      <c r="BH352" s="1641">
        <v>133</v>
      </c>
      <c r="BI352" s="1642">
        <v>135</v>
      </c>
      <c r="BJ352" s="1642">
        <v>126</v>
      </c>
      <c r="BK352" s="1642">
        <v>148</v>
      </c>
      <c r="BL352" s="1641">
        <v>155</v>
      </c>
      <c r="BM352" s="1642">
        <v>148</v>
      </c>
      <c r="BN352" s="1642">
        <v>141</v>
      </c>
      <c r="BO352" s="1642">
        <v>149</v>
      </c>
      <c r="BP352" s="1641">
        <v>150</v>
      </c>
      <c r="BQ352" s="1642">
        <v>139</v>
      </c>
      <c r="BR352" s="1642">
        <v>131</v>
      </c>
      <c r="BS352" s="1642"/>
      <c r="BT352" s="1641"/>
      <c r="BU352" s="1642"/>
      <c r="BV352" s="1642"/>
      <c r="BW352" s="1642"/>
      <c r="BX352" s="1641"/>
      <c r="BY352" s="1642"/>
      <c r="BZ352" s="1642"/>
      <c r="CA352" s="1642"/>
      <c r="CB352" s="1641"/>
      <c r="CC352" s="1642"/>
      <c r="CD352" s="1642"/>
      <c r="CE352" s="1642"/>
      <c r="CF352" s="1641"/>
      <c r="CG352" s="1642"/>
      <c r="CH352" s="1642"/>
      <c r="CI352" s="1642"/>
      <c r="CJ352" s="1641"/>
      <c r="CK352" s="1642"/>
      <c r="CL352" s="1642"/>
      <c r="CM352" s="1681"/>
      <c r="CN352" s="1672"/>
      <c r="CO352" s="1672"/>
      <c r="CP352" s="1672"/>
      <c r="CQ352" s="1681"/>
      <c r="CR352" s="1672"/>
      <c r="CS352" s="1672"/>
      <c r="CT352" s="1672"/>
      <c r="CU352" s="1681"/>
      <c r="CV352" s="1672"/>
      <c r="CW352" s="1672"/>
      <c r="CX352" s="1672"/>
      <c r="CY352" s="1681"/>
      <c r="CZ352" s="1672"/>
      <c r="DA352" s="1672"/>
      <c r="DB352" s="1672"/>
      <c r="DC352" s="1672"/>
      <c r="DD352" s="1672"/>
      <c r="DE352" s="1672"/>
      <c r="DF352" s="1672"/>
      <c r="DG352" s="1672"/>
      <c r="DH352" s="1672"/>
      <c r="DI352" s="1672"/>
      <c r="DJ352" s="1672"/>
      <c r="DK352" s="1672"/>
      <c r="DL352" s="1672"/>
    </row>
    <row r="353" spans="1:116" ht="12.75" hidden="1" customHeight="1">
      <c r="A353" s="1628" t="s">
        <v>963</v>
      </c>
      <c r="B353" s="1642"/>
      <c r="C353" s="1642"/>
      <c r="D353" s="1642"/>
      <c r="E353" s="1641"/>
      <c r="F353" s="1642"/>
      <c r="G353" s="1642"/>
      <c r="H353" s="1642"/>
      <c r="I353" s="1642"/>
      <c r="J353" s="1642">
        <f>SUM(AZ353:BC353)</f>
        <v>1411</v>
      </c>
      <c r="K353" s="1681">
        <f t="shared" si="432"/>
        <v>1246</v>
      </c>
      <c r="L353" s="1642"/>
      <c r="M353" s="1642"/>
      <c r="N353" s="1642"/>
      <c r="O353" s="1642"/>
      <c r="P353" s="1642"/>
      <c r="Q353" s="1642"/>
      <c r="R353" s="1642"/>
      <c r="S353" s="1642"/>
      <c r="T353" s="1642"/>
      <c r="U353" s="1642"/>
      <c r="V353" s="1642"/>
      <c r="W353" s="1642"/>
      <c r="X353" s="1642"/>
      <c r="Y353" s="1642"/>
      <c r="Z353" s="1642"/>
      <c r="AA353" s="1642"/>
      <c r="AB353" s="1642"/>
      <c r="AC353" s="1642"/>
      <c r="AD353" s="1642"/>
      <c r="AE353" s="1642"/>
      <c r="AF353" s="1641"/>
      <c r="AG353" s="1642"/>
      <c r="AH353" s="1642"/>
      <c r="AI353" s="1642"/>
      <c r="AJ353" s="1641"/>
      <c r="AK353" s="1642"/>
      <c r="AL353" s="1642"/>
      <c r="AM353" s="1642"/>
      <c r="AN353" s="1641"/>
      <c r="AO353" s="1642"/>
      <c r="AP353" s="1642"/>
      <c r="AQ353" s="1642"/>
      <c r="AR353" s="1641"/>
      <c r="AS353" s="1642"/>
      <c r="AT353" s="1642"/>
      <c r="AU353" s="1642"/>
      <c r="AV353" s="1641"/>
      <c r="AW353" s="1642"/>
      <c r="AX353" s="1642"/>
      <c r="AY353" s="1642"/>
      <c r="AZ353" s="1641">
        <v>297</v>
      </c>
      <c r="BA353" s="1642">
        <v>325</v>
      </c>
      <c r="BB353" s="1642">
        <v>411</v>
      </c>
      <c r="BC353" s="1642">
        <v>378</v>
      </c>
      <c r="BD353" s="1641">
        <v>332</v>
      </c>
      <c r="BE353" s="1642">
        <v>333</v>
      </c>
      <c r="BF353" s="1642">
        <f>327-141</f>
        <v>186</v>
      </c>
      <c r="BG353" s="1642">
        <v>395</v>
      </c>
      <c r="BH353" s="1641">
        <v>318</v>
      </c>
      <c r="BI353" s="1642">
        <v>341</v>
      </c>
      <c r="BJ353" s="1642">
        <v>324</v>
      </c>
      <c r="BK353" s="1642">
        <v>336</v>
      </c>
      <c r="BL353" s="1641">
        <v>281</v>
      </c>
      <c r="BM353" s="1642">
        <v>293</v>
      </c>
      <c r="BN353" s="1642">
        <v>252</v>
      </c>
      <c r="BO353" s="1642">
        <v>281</v>
      </c>
      <c r="BP353" s="1641">
        <v>260</v>
      </c>
      <c r="BQ353" s="1642">
        <v>274</v>
      </c>
      <c r="BR353" s="1642">
        <v>278</v>
      </c>
      <c r="BS353" s="1642"/>
      <c r="BT353" s="1641"/>
      <c r="BU353" s="1642"/>
      <c r="BV353" s="1642"/>
      <c r="BW353" s="1642"/>
      <c r="BX353" s="1641"/>
      <c r="BY353" s="1642"/>
      <c r="BZ353" s="1642"/>
      <c r="CA353" s="1642"/>
      <c r="CB353" s="1641"/>
      <c r="CC353" s="1642"/>
      <c r="CD353" s="1642"/>
      <c r="CE353" s="1642"/>
      <c r="CF353" s="1641"/>
      <c r="CG353" s="1642"/>
      <c r="CH353" s="1642"/>
      <c r="CI353" s="1642"/>
      <c r="CJ353" s="1641"/>
      <c r="CK353" s="1642"/>
      <c r="CL353" s="1642"/>
      <c r="CM353" s="1681"/>
      <c r="CN353" s="1672"/>
      <c r="CO353" s="1672"/>
      <c r="CP353" s="1672"/>
      <c r="CQ353" s="1681"/>
      <c r="CR353" s="1672"/>
      <c r="CS353" s="1672"/>
      <c r="CT353" s="1672"/>
      <c r="CU353" s="1681"/>
      <c r="CV353" s="1672"/>
      <c r="CW353" s="1672"/>
      <c r="CX353" s="1672"/>
      <c r="CY353" s="1681"/>
      <c r="CZ353" s="1672"/>
      <c r="DA353" s="1672"/>
      <c r="DB353" s="1672"/>
      <c r="DC353" s="1672"/>
      <c r="DD353" s="1672"/>
      <c r="DE353" s="1672"/>
      <c r="DF353" s="1672"/>
      <c r="DG353" s="1672"/>
      <c r="DH353" s="1672"/>
      <c r="DI353" s="1672"/>
      <c r="DJ353" s="1672"/>
      <c r="DK353" s="1672"/>
      <c r="DL353" s="1672"/>
    </row>
    <row r="354" spans="1:116" ht="12.75" hidden="1" customHeight="1">
      <c r="A354" s="1628" t="s">
        <v>964</v>
      </c>
      <c r="B354" s="1642"/>
      <c r="C354" s="1642"/>
      <c r="D354" s="1642"/>
      <c r="E354" s="1641">
        <v>1751</v>
      </c>
      <c r="F354" s="1642">
        <v>1878</v>
      </c>
      <c r="G354" s="1642">
        <v>2007</v>
      </c>
      <c r="H354" s="1642">
        <f t="shared" ref="H354:I356" si="434">H13</f>
        <v>0</v>
      </c>
      <c r="I354" s="1642">
        <f t="shared" si="434"/>
        <v>0</v>
      </c>
      <c r="J354" s="1642">
        <f>SUM(AZ354:BC354)</f>
        <v>2099</v>
      </c>
      <c r="K354" s="1681">
        <f t="shared" si="432"/>
        <v>1800</v>
      </c>
      <c r="L354" s="1642"/>
      <c r="M354" s="1642"/>
      <c r="N354" s="1642"/>
      <c r="O354" s="1642"/>
      <c r="P354" s="1642"/>
      <c r="Q354" s="1642"/>
      <c r="R354" s="1642"/>
      <c r="S354" s="1642"/>
      <c r="T354" s="1642"/>
      <c r="U354" s="1642"/>
      <c r="V354" s="1642"/>
      <c r="W354" s="1642"/>
      <c r="X354" s="1642"/>
      <c r="Y354" s="1642"/>
      <c r="Z354" s="1642"/>
      <c r="AA354" s="1642"/>
      <c r="AB354" s="1642"/>
      <c r="AC354" s="1642"/>
      <c r="AD354" s="1642"/>
      <c r="AE354" s="1642"/>
      <c r="AF354" s="1641">
        <v>383</v>
      </c>
      <c r="AG354" s="1642">
        <v>438</v>
      </c>
      <c r="AH354" s="1642">
        <v>379</v>
      </c>
      <c r="AI354" s="1642">
        <v>551</v>
      </c>
      <c r="AJ354" s="1641">
        <v>401</v>
      </c>
      <c r="AK354" s="1642">
        <v>464</v>
      </c>
      <c r="AL354" s="1642">
        <v>441</v>
      </c>
      <c r="AM354" s="1642">
        <v>572</v>
      </c>
      <c r="AN354" s="1641">
        <v>422</v>
      </c>
      <c r="AO354" s="1642">
        <v>506</v>
      </c>
      <c r="AP354" s="1642">
        <v>467</v>
      </c>
      <c r="AQ354" s="1642">
        <v>612</v>
      </c>
      <c r="AR354" s="1641">
        <v>434</v>
      </c>
      <c r="AS354" s="1642">
        <v>475</v>
      </c>
      <c r="AT354" s="1642">
        <v>473</v>
      </c>
      <c r="AU354" s="1642">
        <v>644</v>
      </c>
      <c r="AV354" s="1641">
        <v>416</v>
      </c>
      <c r="AW354" s="1642">
        <v>453</v>
      </c>
      <c r="AX354" s="1642">
        <v>485</v>
      </c>
      <c r="AY354" s="1642">
        <v>607</v>
      </c>
      <c r="AZ354" s="1641">
        <f t="shared" ref="AZ354:BR354" si="435">AZ352+AZ353</f>
        <v>434</v>
      </c>
      <c r="BA354" s="1642">
        <f t="shared" si="435"/>
        <v>477</v>
      </c>
      <c r="BB354" s="1642">
        <f t="shared" si="435"/>
        <v>581</v>
      </c>
      <c r="BC354" s="1642">
        <f t="shared" si="435"/>
        <v>607</v>
      </c>
      <c r="BD354" s="1641">
        <f t="shared" si="435"/>
        <v>471</v>
      </c>
      <c r="BE354" s="1642">
        <f t="shared" si="435"/>
        <v>482</v>
      </c>
      <c r="BF354" s="1642">
        <f t="shared" si="435"/>
        <v>332</v>
      </c>
      <c r="BG354" s="1642">
        <f t="shared" si="435"/>
        <v>515</v>
      </c>
      <c r="BH354" s="1641">
        <f t="shared" si="435"/>
        <v>451</v>
      </c>
      <c r="BI354" s="1642">
        <f t="shared" si="435"/>
        <v>476</v>
      </c>
      <c r="BJ354" s="1642">
        <f t="shared" si="435"/>
        <v>450</v>
      </c>
      <c r="BK354" s="1642">
        <f t="shared" si="435"/>
        <v>484</v>
      </c>
      <c r="BL354" s="1641">
        <f t="shared" si="435"/>
        <v>436</v>
      </c>
      <c r="BM354" s="1642">
        <f t="shared" si="435"/>
        <v>441</v>
      </c>
      <c r="BN354" s="1642">
        <f t="shared" si="435"/>
        <v>393</v>
      </c>
      <c r="BO354" s="1753">
        <f t="shared" si="435"/>
        <v>430</v>
      </c>
      <c r="BP354" s="1754">
        <f t="shared" si="435"/>
        <v>410</v>
      </c>
      <c r="BQ354" s="1753">
        <f t="shared" si="435"/>
        <v>413</v>
      </c>
      <c r="BR354" s="1753">
        <f t="shared" si="435"/>
        <v>409</v>
      </c>
      <c r="BS354" s="1642"/>
      <c r="BT354" s="1641"/>
      <c r="BU354" s="1642"/>
      <c r="BV354" s="1642"/>
      <c r="BW354" s="1642"/>
      <c r="BX354" s="1641"/>
      <c r="BY354" s="1642"/>
      <c r="BZ354" s="1642"/>
      <c r="CA354" s="1642"/>
      <c r="CB354" s="1641"/>
      <c r="CC354" s="1642"/>
      <c r="CD354" s="1642"/>
      <c r="CE354" s="1642"/>
      <c r="CF354" s="1641"/>
      <c r="CG354" s="1642"/>
      <c r="CH354" s="1642"/>
      <c r="CI354" s="1642"/>
      <c r="CJ354" s="1641"/>
      <c r="CK354" s="1642"/>
      <c r="CL354" s="1642"/>
      <c r="CM354" s="1681"/>
      <c r="CN354" s="1672"/>
      <c r="CO354" s="1672"/>
      <c r="CP354" s="1672"/>
      <c r="CQ354" s="1681"/>
      <c r="CR354" s="1672"/>
      <c r="CS354" s="1672"/>
      <c r="CT354" s="1672"/>
      <c r="CU354" s="1681"/>
      <c r="CV354" s="1672"/>
      <c r="CW354" s="1672"/>
      <c r="CX354" s="1672"/>
      <c r="CY354" s="1681"/>
      <c r="CZ354" s="1672"/>
      <c r="DA354" s="1672"/>
      <c r="DB354" s="1672"/>
      <c r="DC354" s="1672"/>
      <c r="DD354" s="1672"/>
      <c r="DE354" s="1672"/>
      <c r="DF354" s="1672"/>
      <c r="DG354" s="1672"/>
      <c r="DH354" s="1672"/>
      <c r="DI354" s="1672"/>
      <c r="DJ354" s="1672"/>
      <c r="DK354" s="1672"/>
      <c r="DL354" s="1672"/>
    </row>
    <row r="355" spans="1:116" ht="12.75" hidden="1" customHeight="1">
      <c r="A355" s="1628" t="s">
        <v>965</v>
      </c>
      <c r="B355" s="1642"/>
      <c r="C355" s="1642"/>
      <c r="D355" s="1642"/>
      <c r="E355" s="1641">
        <v>72</v>
      </c>
      <c r="F355" s="1642">
        <v>77</v>
      </c>
      <c r="G355" s="1642">
        <v>76</v>
      </c>
      <c r="H355" s="1642">
        <f t="shared" si="434"/>
        <v>0</v>
      </c>
      <c r="I355" s="1642">
        <f t="shared" si="434"/>
        <v>0</v>
      </c>
      <c r="J355" s="1642">
        <f>SUM(AZ355:BC355)</f>
        <v>74</v>
      </c>
      <c r="K355" s="1681">
        <f t="shared" si="432"/>
        <v>79</v>
      </c>
      <c r="L355" s="1642"/>
      <c r="M355" s="1642"/>
      <c r="N355" s="1642"/>
      <c r="O355" s="1642"/>
      <c r="P355" s="1642"/>
      <c r="Q355" s="1642"/>
      <c r="R355" s="1642"/>
      <c r="S355" s="1642"/>
      <c r="T355" s="1642"/>
      <c r="U355" s="1642"/>
      <c r="V355" s="1642"/>
      <c r="W355" s="1642"/>
      <c r="X355" s="1642"/>
      <c r="Y355" s="1642"/>
      <c r="Z355" s="1642"/>
      <c r="AA355" s="1642"/>
      <c r="AB355" s="1642"/>
      <c r="AC355" s="1642"/>
      <c r="AD355" s="1642"/>
      <c r="AE355" s="1642"/>
      <c r="AF355" s="1641">
        <v>15</v>
      </c>
      <c r="AG355" s="1642">
        <v>18</v>
      </c>
      <c r="AH355" s="1642">
        <v>16</v>
      </c>
      <c r="AI355" s="1642">
        <v>23</v>
      </c>
      <c r="AJ355" s="1641">
        <v>18</v>
      </c>
      <c r="AK355" s="1642">
        <v>19</v>
      </c>
      <c r="AL355" s="1642">
        <v>19</v>
      </c>
      <c r="AM355" s="1642">
        <v>21</v>
      </c>
      <c r="AN355" s="1641">
        <v>18</v>
      </c>
      <c r="AO355" s="1642">
        <v>20</v>
      </c>
      <c r="AP355" s="1642">
        <v>18</v>
      </c>
      <c r="AQ355" s="1642">
        <v>20</v>
      </c>
      <c r="AR355" s="1641">
        <v>19</v>
      </c>
      <c r="AS355" s="1642">
        <v>20</v>
      </c>
      <c r="AT355" s="1642">
        <v>17</v>
      </c>
      <c r="AU355" s="1642">
        <v>18</v>
      </c>
      <c r="AV355" s="1641">
        <v>21</v>
      </c>
      <c r="AW355" s="1642">
        <v>20</v>
      </c>
      <c r="AX355" s="1642">
        <v>21</v>
      </c>
      <c r="AY355" s="1642">
        <v>17</v>
      </c>
      <c r="AZ355" s="1641">
        <v>15</v>
      </c>
      <c r="BA355" s="1642">
        <v>16</v>
      </c>
      <c r="BB355" s="1642">
        <v>21</v>
      </c>
      <c r="BC355" s="1642">
        <v>22</v>
      </c>
      <c r="BD355" s="1641">
        <v>19</v>
      </c>
      <c r="BE355" s="1642">
        <v>21</v>
      </c>
      <c r="BF355" s="1642">
        <v>19</v>
      </c>
      <c r="BG355" s="1642">
        <v>20</v>
      </c>
      <c r="BH355" s="1641">
        <v>21</v>
      </c>
      <c r="BI355" s="1642">
        <v>21</v>
      </c>
      <c r="BJ355" s="1642">
        <v>23</v>
      </c>
      <c r="BK355" s="1642">
        <v>22</v>
      </c>
      <c r="BL355" s="1641">
        <v>23</v>
      </c>
      <c r="BM355" s="1642">
        <v>23</v>
      </c>
      <c r="BN355" s="1642">
        <v>23</v>
      </c>
      <c r="BO355" s="1642">
        <v>23</v>
      </c>
      <c r="BP355" s="1641">
        <v>23</v>
      </c>
      <c r="BQ355" s="1642">
        <v>22</v>
      </c>
      <c r="BR355" s="1642">
        <v>22</v>
      </c>
      <c r="BS355" s="1642"/>
      <c r="BT355" s="1641"/>
      <c r="BU355" s="1642"/>
      <c r="BV355" s="1642"/>
      <c r="BW355" s="1642"/>
      <c r="BX355" s="1641"/>
      <c r="BY355" s="1642"/>
      <c r="BZ355" s="1642"/>
      <c r="CA355" s="1642"/>
      <c r="CB355" s="1641"/>
      <c r="CC355" s="1642"/>
      <c r="CD355" s="1642"/>
      <c r="CE355" s="1642"/>
      <c r="CF355" s="1641"/>
      <c r="CG355" s="1642"/>
      <c r="CH355" s="1642"/>
      <c r="CI355" s="1642"/>
      <c r="CJ355" s="1641"/>
      <c r="CK355" s="1642"/>
      <c r="CL355" s="1642"/>
      <c r="CM355" s="1681"/>
      <c r="CN355" s="1672"/>
      <c r="CO355" s="1672"/>
      <c r="CP355" s="1672"/>
      <c r="CQ355" s="1681"/>
      <c r="CR355" s="1672"/>
      <c r="CS355" s="1672"/>
      <c r="CT355" s="1672"/>
      <c r="CU355" s="1681"/>
      <c r="CV355" s="1672"/>
      <c r="CW355" s="1672"/>
      <c r="CX355" s="1672"/>
      <c r="CY355" s="1681"/>
      <c r="CZ355" s="1672"/>
      <c r="DA355" s="1672"/>
      <c r="DB355" s="1672"/>
      <c r="DC355" s="1672"/>
      <c r="DD355" s="1672"/>
      <c r="DE355" s="1672"/>
      <c r="DF355" s="1672"/>
      <c r="DG355" s="1672"/>
      <c r="DH355" s="1672"/>
      <c r="DI355" s="1672"/>
      <c r="DJ355" s="1672"/>
      <c r="DK355" s="1672"/>
      <c r="DL355" s="1672"/>
    </row>
    <row r="356" spans="1:116" ht="12.75" hidden="1" customHeight="1">
      <c r="A356" s="1539" t="s">
        <v>968</v>
      </c>
      <c r="B356" s="1642"/>
      <c r="C356" s="1642"/>
      <c r="D356" s="1642"/>
      <c r="E356" s="1641">
        <v>1823</v>
      </c>
      <c r="F356" s="1642">
        <v>1955</v>
      </c>
      <c r="G356" s="1642">
        <v>2083</v>
      </c>
      <c r="H356" s="1642">
        <f t="shared" si="434"/>
        <v>0</v>
      </c>
      <c r="I356" s="1642">
        <f t="shared" si="434"/>
        <v>0</v>
      </c>
      <c r="J356" s="1642">
        <f>SUM(AZ356:BC356)</f>
        <v>2173</v>
      </c>
      <c r="K356" s="1681">
        <f t="shared" si="432"/>
        <v>1879</v>
      </c>
      <c r="L356" s="1642"/>
      <c r="M356" s="1642"/>
      <c r="N356" s="1642"/>
      <c r="O356" s="1642"/>
      <c r="P356" s="1642"/>
      <c r="Q356" s="1642"/>
      <c r="R356" s="1642"/>
      <c r="S356" s="1642"/>
      <c r="T356" s="1642"/>
      <c r="U356" s="1642"/>
      <c r="V356" s="1642"/>
      <c r="W356" s="1642"/>
      <c r="X356" s="1642"/>
      <c r="Y356" s="1642"/>
      <c r="Z356" s="1642"/>
      <c r="AA356" s="1642"/>
      <c r="AB356" s="1642"/>
      <c r="AC356" s="1642"/>
      <c r="AD356" s="1642"/>
      <c r="AE356" s="1642"/>
      <c r="AF356" s="1641">
        <v>398</v>
      </c>
      <c r="AG356" s="1642">
        <v>456</v>
      </c>
      <c r="AH356" s="1642">
        <v>395</v>
      </c>
      <c r="AI356" s="1642">
        <v>574</v>
      </c>
      <c r="AJ356" s="1641">
        <v>419</v>
      </c>
      <c r="AK356" s="1642">
        <v>483</v>
      </c>
      <c r="AL356" s="1642">
        <v>460</v>
      </c>
      <c r="AM356" s="1642">
        <v>593</v>
      </c>
      <c r="AN356" s="1641">
        <v>440</v>
      </c>
      <c r="AO356" s="1642">
        <v>526</v>
      </c>
      <c r="AP356" s="1642">
        <v>485</v>
      </c>
      <c r="AQ356" s="1642">
        <v>632</v>
      </c>
      <c r="AR356" s="1641">
        <v>453</v>
      </c>
      <c r="AS356" s="1642">
        <v>495</v>
      </c>
      <c r="AT356" s="1642">
        <v>490</v>
      </c>
      <c r="AU356" s="1642">
        <v>662</v>
      </c>
      <c r="AV356" s="1641">
        <v>437</v>
      </c>
      <c r="AW356" s="1642">
        <v>473</v>
      </c>
      <c r="AX356" s="1642">
        <v>506</v>
      </c>
      <c r="AY356" s="1642">
        <v>624</v>
      </c>
      <c r="AZ356" s="1641">
        <f t="shared" ref="AZ356:BR356" si="436">AZ354+AZ355</f>
        <v>449</v>
      </c>
      <c r="BA356" s="1642">
        <f t="shared" si="436"/>
        <v>493</v>
      </c>
      <c r="BB356" s="1642">
        <f t="shared" si="436"/>
        <v>602</v>
      </c>
      <c r="BC356" s="1642">
        <f t="shared" si="436"/>
        <v>629</v>
      </c>
      <c r="BD356" s="1641">
        <f t="shared" si="436"/>
        <v>490</v>
      </c>
      <c r="BE356" s="1642">
        <f t="shared" si="436"/>
        <v>503</v>
      </c>
      <c r="BF356" s="1642">
        <f t="shared" si="436"/>
        <v>351</v>
      </c>
      <c r="BG356" s="1642">
        <f t="shared" si="436"/>
        <v>535</v>
      </c>
      <c r="BH356" s="1641">
        <f t="shared" si="436"/>
        <v>472</v>
      </c>
      <c r="BI356" s="1642">
        <f t="shared" si="436"/>
        <v>497</v>
      </c>
      <c r="BJ356" s="1642">
        <f t="shared" si="436"/>
        <v>473</v>
      </c>
      <c r="BK356" s="1642">
        <f t="shared" si="436"/>
        <v>506</v>
      </c>
      <c r="BL356" s="1641">
        <f t="shared" si="436"/>
        <v>459</v>
      </c>
      <c r="BM356" s="1642">
        <f t="shared" si="436"/>
        <v>464</v>
      </c>
      <c r="BN356" s="1693">
        <f t="shared" si="436"/>
        <v>416</v>
      </c>
      <c r="BO356" s="1693">
        <f t="shared" si="436"/>
        <v>453</v>
      </c>
      <c r="BP356" s="1694">
        <f t="shared" si="436"/>
        <v>433</v>
      </c>
      <c r="BQ356" s="1693">
        <f t="shared" si="436"/>
        <v>435</v>
      </c>
      <c r="BR356" s="1693">
        <f t="shared" si="436"/>
        <v>431</v>
      </c>
      <c r="BS356" s="1642"/>
      <c r="BT356" s="1641"/>
      <c r="BU356" s="1642"/>
      <c r="BV356" s="1642"/>
      <c r="BW356" s="1642"/>
      <c r="BX356" s="1641"/>
      <c r="BY356" s="1642"/>
      <c r="BZ356" s="1642"/>
      <c r="CA356" s="1642"/>
      <c r="CB356" s="1641"/>
      <c r="CC356" s="1642"/>
      <c r="CD356" s="1642"/>
      <c r="CE356" s="1642"/>
      <c r="CF356" s="1641"/>
      <c r="CG356" s="1642"/>
      <c r="CH356" s="1642"/>
      <c r="CI356" s="1642"/>
      <c r="CJ356" s="1641"/>
      <c r="CK356" s="1642"/>
      <c r="CL356" s="1642"/>
      <c r="CM356" s="1681"/>
      <c r="CN356" s="1672"/>
      <c r="CO356" s="1672"/>
      <c r="CP356" s="1672"/>
      <c r="CQ356" s="1681"/>
      <c r="CR356" s="1672"/>
      <c r="CS356" s="1672"/>
      <c r="CT356" s="1672"/>
      <c r="CU356" s="1681"/>
      <c r="CV356" s="1672"/>
      <c r="CW356" s="1672"/>
      <c r="CX356" s="1672"/>
      <c r="CY356" s="1681"/>
      <c r="CZ356" s="1672"/>
      <c r="DA356" s="1672"/>
      <c r="DB356" s="1672"/>
      <c r="DC356" s="1672"/>
      <c r="DD356" s="1672"/>
      <c r="DE356" s="1672"/>
      <c r="DF356" s="1672"/>
      <c r="DG356" s="1672"/>
      <c r="DH356" s="1672"/>
      <c r="DI356" s="1672"/>
      <c r="DJ356" s="1672"/>
      <c r="DK356" s="1672"/>
      <c r="DL356" s="1672"/>
    </row>
    <row r="357" spans="1:116" ht="12.75" hidden="1" customHeight="1">
      <c r="A357" s="1629" t="s">
        <v>1237</v>
      </c>
      <c r="B357" s="1642"/>
      <c r="C357" s="1642"/>
      <c r="D357" s="1642"/>
      <c r="E357" s="1659">
        <f t="shared" ref="E357:K357" si="437">E356-SUM(E354:E355)</f>
        <v>0</v>
      </c>
      <c r="F357" s="1658">
        <f t="shared" si="437"/>
        <v>0</v>
      </c>
      <c r="G357" s="1658">
        <f t="shared" si="437"/>
        <v>0</v>
      </c>
      <c r="H357" s="1658">
        <f t="shared" si="437"/>
        <v>0</v>
      </c>
      <c r="I357" s="1658">
        <f t="shared" si="437"/>
        <v>0</v>
      </c>
      <c r="J357" s="1658">
        <f t="shared" si="437"/>
        <v>0</v>
      </c>
      <c r="K357" s="1696">
        <f t="shared" si="437"/>
        <v>0</v>
      </c>
      <c r="L357" s="1658"/>
      <c r="M357" s="1658"/>
      <c r="N357" s="1642"/>
      <c r="O357" s="1642"/>
      <c r="P357" s="1642"/>
      <c r="Q357" s="1642"/>
      <c r="R357" s="1642"/>
      <c r="S357" s="1642"/>
      <c r="T357" s="1642"/>
      <c r="U357" s="1642"/>
      <c r="V357" s="1642"/>
      <c r="W357" s="1642"/>
      <c r="X357" s="1642"/>
      <c r="Y357" s="1642"/>
      <c r="Z357" s="1642"/>
      <c r="AA357" s="1642"/>
      <c r="AB357" s="1642"/>
      <c r="AC357" s="1642"/>
      <c r="AD357" s="1642"/>
      <c r="AE357" s="1642"/>
      <c r="AF357" s="1659">
        <f t="shared" ref="AF357:BH357" si="438">AF356-SUM(AF354:AF355)</f>
        <v>0</v>
      </c>
      <c r="AG357" s="1658">
        <f t="shared" si="438"/>
        <v>0</v>
      </c>
      <c r="AH357" s="1658">
        <f t="shared" si="438"/>
        <v>0</v>
      </c>
      <c r="AI357" s="1658">
        <f t="shared" si="438"/>
        <v>0</v>
      </c>
      <c r="AJ357" s="1659">
        <f t="shared" si="438"/>
        <v>0</v>
      </c>
      <c r="AK357" s="1658">
        <f t="shared" si="438"/>
        <v>0</v>
      </c>
      <c r="AL357" s="1658">
        <f t="shared" si="438"/>
        <v>0</v>
      </c>
      <c r="AM357" s="1658">
        <f t="shared" si="438"/>
        <v>0</v>
      </c>
      <c r="AN357" s="1659">
        <f t="shared" si="438"/>
        <v>0</v>
      </c>
      <c r="AO357" s="1658">
        <f t="shared" si="438"/>
        <v>0</v>
      </c>
      <c r="AP357" s="1658">
        <f t="shared" si="438"/>
        <v>0</v>
      </c>
      <c r="AQ357" s="1658">
        <f t="shared" si="438"/>
        <v>0</v>
      </c>
      <c r="AR357" s="1659">
        <f t="shared" si="438"/>
        <v>0</v>
      </c>
      <c r="AS357" s="1658">
        <f t="shared" si="438"/>
        <v>0</v>
      </c>
      <c r="AT357" s="1658">
        <f t="shared" si="438"/>
        <v>0</v>
      </c>
      <c r="AU357" s="1658">
        <f t="shared" si="438"/>
        <v>0</v>
      </c>
      <c r="AV357" s="1659">
        <f t="shared" si="438"/>
        <v>0</v>
      </c>
      <c r="AW357" s="1658">
        <f t="shared" si="438"/>
        <v>0</v>
      </c>
      <c r="AX357" s="1658">
        <f t="shared" si="438"/>
        <v>0</v>
      </c>
      <c r="AY357" s="1658">
        <f t="shared" si="438"/>
        <v>0</v>
      </c>
      <c r="AZ357" s="1659">
        <f t="shared" si="438"/>
        <v>0</v>
      </c>
      <c r="BA357" s="1658">
        <f t="shared" si="438"/>
        <v>0</v>
      </c>
      <c r="BB357" s="1658">
        <f t="shared" si="438"/>
        <v>0</v>
      </c>
      <c r="BC357" s="1658">
        <f t="shared" si="438"/>
        <v>0</v>
      </c>
      <c r="BD357" s="1659">
        <f t="shared" si="438"/>
        <v>0</v>
      </c>
      <c r="BE357" s="1658">
        <f t="shared" si="438"/>
        <v>0</v>
      </c>
      <c r="BF357" s="1658">
        <f t="shared" si="438"/>
        <v>0</v>
      </c>
      <c r="BG357" s="1658">
        <f t="shared" si="438"/>
        <v>0</v>
      </c>
      <c r="BH357" s="1659">
        <f t="shared" si="438"/>
        <v>0</v>
      </c>
      <c r="BI357" s="1642"/>
      <c r="BJ357" s="1642"/>
      <c r="BK357" s="1642"/>
      <c r="BL357" s="1641"/>
      <c r="BM357" s="1642"/>
      <c r="BN357" s="1642"/>
      <c r="BO357" s="1642"/>
      <c r="BP357" s="1641"/>
      <c r="BQ357" s="1642"/>
      <c r="BR357" s="1642"/>
      <c r="BS357" s="1642"/>
      <c r="BT357" s="1641"/>
      <c r="BU357" s="1642"/>
      <c r="BV357" s="1642"/>
      <c r="BW357" s="1642"/>
      <c r="BX357" s="1641"/>
      <c r="BY357" s="1642"/>
      <c r="BZ357" s="1642"/>
      <c r="CA357" s="1642"/>
      <c r="CB357" s="1641"/>
      <c r="CC357" s="1642"/>
      <c r="CD357" s="1642"/>
      <c r="CE357" s="1642"/>
      <c r="CF357" s="1641"/>
      <c r="CG357" s="1642"/>
      <c r="CH357" s="1642"/>
      <c r="CI357" s="1642"/>
      <c r="CJ357" s="1641"/>
      <c r="CK357" s="1642"/>
      <c r="CL357" s="1642"/>
      <c r="CM357" s="1681"/>
      <c r="CN357" s="1672"/>
      <c r="CO357" s="1672"/>
      <c r="CP357" s="1672"/>
      <c r="CQ357" s="1681"/>
      <c r="CR357" s="1672"/>
      <c r="CS357" s="1672"/>
      <c r="CT357" s="1672"/>
      <c r="CU357" s="1681"/>
      <c r="CV357" s="1672"/>
      <c r="CW357" s="1672"/>
      <c r="CX357" s="1672"/>
      <c r="CY357" s="1681"/>
      <c r="CZ357" s="1672"/>
      <c r="DA357" s="1672"/>
      <c r="DB357" s="1672"/>
      <c r="DC357" s="1672"/>
      <c r="DD357" s="1672"/>
      <c r="DE357" s="1672"/>
      <c r="DF357" s="1672"/>
      <c r="DG357" s="1672"/>
      <c r="DH357" s="1672"/>
      <c r="DI357" s="1672"/>
      <c r="DJ357" s="1672"/>
      <c r="DK357" s="1672"/>
      <c r="DL357" s="1672"/>
    </row>
    <row r="358" spans="1:116" ht="12.75" hidden="1" customHeight="1">
      <c r="A358" s="1539"/>
      <c r="B358" s="1642"/>
      <c r="C358" s="1642"/>
      <c r="D358" s="1642"/>
      <c r="E358" s="1641"/>
      <c r="F358" s="1642"/>
      <c r="G358" s="1642"/>
      <c r="H358" s="1642"/>
      <c r="I358" s="1642"/>
      <c r="J358" s="1642"/>
      <c r="K358" s="1681"/>
      <c r="L358" s="1642"/>
      <c r="M358" s="1642"/>
      <c r="N358" s="1642"/>
      <c r="O358" s="1642"/>
      <c r="P358" s="1642"/>
      <c r="Q358" s="1642"/>
      <c r="R358" s="1642"/>
      <c r="S358" s="1642"/>
      <c r="T358" s="1642"/>
      <c r="U358" s="1642"/>
      <c r="V358" s="1642"/>
      <c r="W358" s="1642"/>
      <c r="X358" s="1642"/>
      <c r="Y358" s="1642"/>
      <c r="Z358" s="1642"/>
      <c r="AA358" s="1642"/>
      <c r="AB358" s="1642"/>
      <c r="AC358" s="1642"/>
      <c r="AD358" s="1642"/>
      <c r="AE358" s="1642"/>
      <c r="AF358" s="1641"/>
      <c r="AG358" s="1642"/>
      <c r="AH358" s="1642"/>
      <c r="AI358" s="1642"/>
      <c r="AJ358" s="1641"/>
      <c r="AK358" s="1642"/>
      <c r="AL358" s="1642"/>
      <c r="AM358" s="1642"/>
      <c r="AN358" s="1641"/>
      <c r="AO358" s="1642"/>
      <c r="AP358" s="1642"/>
      <c r="AQ358" s="1642"/>
      <c r="AR358" s="1641"/>
      <c r="AS358" s="1642"/>
      <c r="AT358" s="1642"/>
      <c r="AU358" s="1642"/>
      <c r="AV358" s="1641"/>
      <c r="AW358" s="1642"/>
      <c r="AX358" s="1642"/>
      <c r="AY358" s="1642"/>
      <c r="AZ358" s="1641"/>
      <c r="BA358" s="1642"/>
      <c r="BB358" s="1642"/>
      <c r="BC358" s="1642"/>
      <c r="BD358" s="1641"/>
      <c r="BE358" s="1642"/>
      <c r="BF358" s="1642"/>
      <c r="BG358" s="1642"/>
      <c r="BH358" s="1641"/>
      <c r="BI358" s="1642"/>
      <c r="BJ358" s="1642"/>
      <c r="BK358" s="1642"/>
      <c r="BL358" s="1641"/>
      <c r="BM358" s="1642"/>
      <c r="BN358" s="1642"/>
      <c r="BO358" s="1642"/>
      <c r="BP358" s="1641"/>
      <c r="BQ358" s="1642"/>
      <c r="BR358" s="1642"/>
      <c r="BS358" s="1642"/>
      <c r="BT358" s="1641"/>
      <c r="BU358" s="1642"/>
      <c r="BV358" s="1642"/>
      <c r="BW358" s="1642"/>
      <c r="BX358" s="1641"/>
      <c r="BY358" s="1642"/>
      <c r="BZ358" s="1642"/>
      <c r="CA358" s="1642"/>
      <c r="CB358" s="1641"/>
      <c r="CC358" s="1642"/>
      <c r="CD358" s="1642"/>
      <c r="CE358" s="1642"/>
      <c r="CF358" s="1641"/>
      <c r="CG358" s="1642"/>
      <c r="CH358" s="1642"/>
      <c r="CI358" s="1642"/>
      <c r="CJ358" s="1641"/>
      <c r="CK358" s="1642"/>
      <c r="CL358" s="1642"/>
      <c r="CM358" s="1681"/>
      <c r="CN358" s="1672"/>
      <c r="CO358" s="1672"/>
      <c r="CP358" s="1672"/>
      <c r="CQ358" s="1681"/>
      <c r="CR358" s="1672"/>
      <c r="CS358" s="1672"/>
      <c r="CT358" s="1672"/>
      <c r="CU358" s="1681"/>
      <c r="CV358" s="1672"/>
      <c r="CW358" s="1672"/>
      <c r="CX358" s="1672"/>
      <c r="CY358" s="1681"/>
      <c r="CZ358" s="1672"/>
      <c r="DA358" s="1672"/>
      <c r="DB358" s="1672"/>
      <c r="DC358" s="1672"/>
      <c r="DD358" s="1672"/>
      <c r="DE358" s="1672"/>
      <c r="DF358" s="1672"/>
      <c r="DG358" s="1672"/>
      <c r="DH358" s="1672"/>
      <c r="DI358" s="1672"/>
      <c r="DJ358" s="1672"/>
      <c r="DK358" s="1672"/>
      <c r="DL358" s="1672"/>
    </row>
    <row r="359" spans="1:116" ht="12.75" hidden="1" customHeight="1">
      <c r="A359" s="1539" t="s">
        <v>1460</v>
      </c>
      <c r="B359" s="1642"/>
      <c r="C359" s="1642"/>
      <c r="D359" s="1642"/>
      <c r="E359" s="1641">
        <f t="shared" ref="E359:K359" si="439">E349-E356</f>
        <v>1678</v>
      </c>
      <c r="F359" s="1642">
        <f t="shared" si="439"/>
        <v>1863</v>
      </c>
      <c r="G359" s="1642">
        <f t="shared" si="439"/>
        <v>2003</v>
      </c>
      <c r="H359" s="1642">
        <f t="shared" si="439"/>
        <v>4144</v>
      </c>
      <c r="I359" s="1642">
        <f t="shared" si="439"/>
        <v>4313</v>
      </c>
      <c r="J359" s="1642">
        <f t="shared" si="439"/>
        <v>2114</v>
      </c>
      <c r="K359" s="1681">
        <f t="shared" si="439"/>
        <v>1884</v>
      </c>
      <c r="L359" s="1642"/>
      <c r="M359" s="1642"/>
      <c r="N359" s="1642"/>
      <c r="O359" s="1642"/>
      <c r="P359" s="1642"/>
      <c r="Q359" s="1642"/>
      <c r="R359" s="1642"/>
      <c r="S359" s="1642"/>
      <c r="T359" s="1642"/>
      <c r="U359" s="1642"/>
      <c r="V359" s="1642"/>
      <c r="W359" s="1642"/>
      <c r="X359" s="1642"/>
      <c r="Y359" s="1642"/>
      <c r="Z359" s="1642"/>
      <c r="AA359" s="1642"/>
      <c r="AB359" s="1642"/>
      <c r="AC359" s="1642"/>
      <c r="AD359" s="1642"/>
      <c r="AE359" s="1642"/>
      <c r="AF359" s="1641">
        <f t="shared" ref="AF359:BM359" si="440">AF349-AF356</f>
        <v>256</v>
      </c>
      <c r="AG359" s="1642">
        <f t="shared" si="440"/>
        <v>474</v>
      </c>
      <c r="AH359" s="1642">
        <f t="shared" si="440"/>
        <v>419</v>
      </c>
      <c r="AI359" s="1642">
        <f t="shared" si="440"/>
        <v>529</v>
      </c>
      <c r="AJ359" s="1641">
        <f t="shared" si="440"/>
        <v>304</v>
      </c>
      <c r="AK359" s="1642">
        <f t="shared" si="440"/>
        <v>486</v>
      </c>
      <c r="AL359" s="1642">
        <f t="shared" si="440"/>
        <v>474</v>
      </c>
      <c r="AM359" s="1642">
        <f t="shared" si="440"/>
        <v>599</v>
      </c>
      <c r="AN359" s="1641">
        <f t="shared" si="440"/>
        <v>319</v>
      </c>
      <c r="AO359" s="1642">
        <f t="shared" si="440"/>
        <v>529</v>
      </c>
      <c r="AP359" s="1642">
        <f t="shared" si="440"/>
        <v>428</v>
      </c>
      <c r="AQ359" s="1642">
        <f t="shared" si="440"/>
        <v>727</v>
      </c>
      <c r="AR359" s="1641">
        <f t="shared" si="440"/>
        <v>326</v>
      </c>
      <c r="AS359" s="1642">
        <f t="shared" si="440"/>
        <v>561</v>
      </c>
      <c r="AT359" s="1642">
        <f t="shared" si="440"/>
        <v>480</v>
      </c>
      <c r="AU359" s="1642">
        <f t="shared" si="440"/>
        <v>677</v>
      </c>
      <c r="AV359" s="1641">
        <f t="shared" si="440"/>
        <v>352</v>
      </c>
      <c r="AW359" s="1642">
        <f t="shared" si="440"/>
        <v>511</v>
      </c>
      <c r="AX359" s="1642">
        <f t="shared" si="440"/>
        <v>606</v>
      </c>
      <c r="AY359" s="1642">
        <f t="shared" si="440"/>
        <v>804</v>
      </c>
      <c r="AZ359" s="1641">
        <f t="shared" si="440"/>
        <v>354</v>
      </c>
      <c r="BA359" s="1642">
        <f t="shared" si="440"/>
        <v>443</v>
      </c>
      <c r="BB359" s="1642">
        <f t="shared" si="440"/>
        <v>572</v>
      </c>
      <c r="BC359" s="1642">
        <f t="shared" si="440"/>
        <v>745</v>
      </c>
      <c r="BD359" s="1641">
        <f t="shared" si="440"/>
        <v>465</v>
      </c>
      <c r="BE359" s="1642">
        <f t="shared" si="440"/>
        <v>467</v>
      </c>
      <c r="BF359" s="1642">
        <f t="shared" si="440"/>
        <v>571</v>
      </c>
      <c r="BG359" s="1642">
        <f t="shared" si="440"/>
        <v>381</v>
      </c>
      <c r="BH359" s="1641">
        <f t="shared" si="440"/>
        <v>431</v>
      </c>
      <c r="BI359" s="1642">
        <f t="shared" si="440"/>
        <v>392</v>
      </c>
      <c r="BJ359" s="1642">
        <f t="shared" si="440"/>
        <v>410</v>
      </c>
      <c r="BK359" s="1642">
        <f t="shared" si="440"/>
        <v>368</v>
      </c>
      <c r="BL359" s="1641">
        <f t="shared" si="440"/>
        <v>422</v>
      </c>
      <c r="BM359" s="1642">
        <f t="shared" si="440"/>
        <v>406</v>
      </c>
      <c r="BN359" s="1642">
        <v>441</v>
      </c>
      <c r="BO359" s="1642">
        <v>391</v>
      </c>
      <c r="BP359" s="1641">
        <v>404</v>
      </c>
      <c r="BQ359" s="1642">
        <f>BQ349-BQ356</f>
        <v>367</v>
      </c>
      <c r="BR359" s="1642">
        <f>BR349-BR356</f>
        <v>373</v>
      </c>
      <c r="BS359" s="1642"/>
      <c r="BT359" s="1641"/>
      <c r="BU359" s="1642"/>
      <c r="BV359" s="1642"/>
      <c r="BW359" s="1642"/>
      <c r="BX359" s="1641"/>
      <c r="BY359" s="1642"/>
      <c r="BZ359" s="1642"/>
      <c r="CA359" s="1642"/>
      <c r="CB359" s="1641"/>
      <c r="CC359" s="1642"/>
      <c r="CD359" s="1642"/>
      <c r="CE359" s="1642"/>
      <c r="CF359" s="1641"/>
      <c r="CG359" s="1642"/>
      <c r="CH359" s="1642"/>
      <c r="CI359" s="1642"/>
      <c r="CJ359" s="1641"/>
      <c r="CK359" s="1642"/>
      <c r="CL359" s="1642"/>
      <c r="CM359" s="1681"/>
      <c r="CN359" s="1672"/>
      <c r="CO359" s="1672"/>
      <c r="CP359" s="1672"/>
      <c r="CQ359" s="1681"/>
      <c r="CR359" s="1672"/>
      <c r="CS359" s="1672"/>
      <c r="CT359" s="1672"/>
      <c r="CU359" s="1681"/>
      <c r="CV359" s="1672"/>
      <c r="CW359" s="1672"/>
      <c r="CX359" s="1672"/>
      <c r="CY359" s="1681"/>
      <c r="CZ359" s="1672"/>
      <c r="DA359" s="1672"/>
      <c r="DB359" s="1672"/>
      <c r="DC359" s="1672"/>
      <c r="DD359" s="1672"/>
      <c r="DE359" s="1672"/>
      <c r="DF359" s="1672"/>
      <c r="DG359" s="1672"/>
      <c r="DH359" s="1672"/>
      <c r="DI359" s="1672"/>
      <c r="DJ359" s="1672"/>
      <c r="DK359" s="1672"/>
      <c r="DL359" s="1672"/>
    </row>
    <row r="360" spans="1:116" ht="12.75" hidden="1" customHeight="1">
      <c r="A360" s="1539" t="s">
        <v>220</v>
      </c>
      <c r="B360" s="1642"/>
      <c r="C360" s="1642"/>
      <c r="D360" s="1642"/>
      <c r="E360" s="1659">
        <f t="shared" ref="E360:K360" si="441">E359/E$349</f>
        <v>0.47929163096258209</v>
      </c>
      <c r="F360" s="1658">
        <f t="shared" si="441"/>
        <v>0.48795180722891568</v>
      </c>
      <c r="G360" s="1658">
        <f t="shared" si="441"/>
        <v>0.49021047479197261</v>
      </c>
      <c r="H360" s="1658">
        <f t="shared" si="441"/>
        <v>1</v>
      </c>
      <c r="I360" s="1658">
        <f t="shared" si="441"/>
        <v>1</v>
      </c>
      <c r="J360" s="1658">
        <f t="shared" si="441"/>
        <v>0.49311873104735249</v>
      </c>
      <c r="K360" s="1696">
        <f t="shared" si="441"/>
        <v>0.50066436353972898</v>
      </c>
      <c r="L360" s="1658"/>
      <c r="M360" s="1658"/>
      <c r="N360" s="1642"/>
      <c r="O360" s="1642"/>
      <c r="P360" s="1642"/>
      <c r="Q360" s="1642"/>
      <c r="R360" s="1642"/>
      <c r="S360" s="1642"/>
      <c r="T360" s="1642"/>
      <c r="U360" s="1642"/>
      <c r="V360" s="1642"/>
      <c r="W360" s="1642"/>
      <c r="X360" s="1642"/>
      <c r="Y360" s="1642"/>
      <c r="Z360" s="1642"/>
      <c r="AA360" s="1642"/>
      <c r="AB360" s="1642"/>
      <c r="AC360" s="1642"/>
      <c r="AD360" s="1642"/>
      <c r="AE360" s="1642"/>
      <c r="AF360" s="1659">
        <f t="shared" ref="AF360:BP360" si="442">AF359/AF$349</f>
        <v>0.39143730886850153</v>
      </c>
      <c r="AG360" s="1658">
        <f t="shared" si="442"/>
        <v>0.50967741935483868</v>
      </c>
      <c r="AH360" s="1658">
        <f t="shared" si="442"/>
        <v>0.51474201474201475</v>
      </c>
      <c r="AI360" s="1658">
        <f t="shared" si="442"/>
        <v>0.47960108794197642</v>
      </c>
      <c r="AJ360" s="1659">
        <f t="shared" si="442"/>
        <v>0.42047026279391425</v>
      </c>
      <c r="AK360" s="1658">
        <f t="shared" si="442"/>
        <v>0.50154798761609909</v>
      </c>
      <c r="AL360" s="1658">
        <f t="shared" si="442"/>
        <v>0.50749464668094213</v>
      </c>
      <c r="AM360" s="1658">
        <f t="shared" si="442"/>
        <v>0.50251677852348997</v>
      </c>
      <c r="AN360" s="1659">
        <f t="shared" si="442"/>
        <v>0.42028985507246375</v>
      </c>
      <c r="AO360" s="1658">
        <f t="shared" si="442"/>
        <v>0.50142180094786726</v>
      </c>
      <c r="AP360" s="1658">
        <f t="shared" si="442"/>
        <v>0.46878422782037238</v>
      </c>
      <c r="AQ360" s="1658">
        <f t="shared" si="442"/>
        <v>0.53495217071376011</v>
      </c>
      <c r="AR360" s="1659">
        <f t="shared" si="442"/>
        <v>0.41848523748395378</v>
      </c>
      <c r="AS360" s="1658">
        <f t="shared" si="442"/>
        <v>0.53125</v>
      </c>
      <c r="AT360" s="1658">
        <f t="shared" si="442"/>
        <v>0.49484536082474229</v>
      </c>
      <c r="AU360" s="1658">
        <f t="shared" si="442"/>
        <v>0.50560119492158329</v>
      </c>
      <c r="AV360" s="1659">
        <f t="shared" si="442"/>
        <v>0.44613434727503171</v>
      </c>
      <c r="AW360" s="1658">
        <f t="shared" si="442"/>
        <v>0.51930894308943087</v>
      </c>
      <c r="AX360" s="1658">
        <f t="shared" si="442"/>
        <v>0.54496402877697847</v>
      </c>
      <c r="AY360" s="1658">
        <f t="shared" si="442"/>
        <v>0.56302521008403361</v>
      </c>
      <c r="AZ360" s="1659">
        <f t="shared" si="442"/>
        <v>0.44084682440846823</v>
      </c>
      <c r="BA360" s="1658">
        <f t="shared" si="442"/>
        <v>0.47329059829059827</v>
      </c>
      <c r="BB360" s="1658">
        <f t="shared" si="442"/>
        <v>0.48722316865417375</v>
      </c>
      <c r="BC360" s="1658">
        <f t="shared" si="442"/>
        <v>0.5422125181950509</v>
      </c>
      <c r="BD360" s="1659">
        <f t="shared" si="442"/>
        <v>0.48691099476439792</v>
      </c>
      <c r="BE360" s="1658">
        <f t="shared" si="442"/>
        <v>0.48144329896907218</v>
      </c>
      <c r="BF360" s="1658">
        <f t="shared" si="442"/>
        <v>0.61930585683297179</v>
      </c>
      <c r="BG360" s="1658">
        <f t="shared" si="442"/>
        <v>0.41593886462882096</v>
      </c>
      <c r="BH360" s="1659">
        <f t="shared" si="442"/>
        <v>0.47729789590254706</v>
      </c>
      <c r="BI360" s="1658">
        <f t="shared" si="442"/>
        <v>0.44094488188976377</v>
      </c>
      <c r="BJ360" s="1658">
        <f t="shared" si="442"/>
        <v>0.46432616081540201</v>
      </c>
      <c r="BK360" s="1658">
        <f t="shared" si="442"/>
        <v>0.42105263157894735</v>
      </c>
      <c r="BL360" s="1659">
        <f t="shared" si="442"/>
        <v>0.47900113507377978</v>
      </c>
      <c r="BM360" s="1658">
        <f t="shared" si="442"/>
        <v>0.46666666666666667</v>
      </c>
      <c r="BN360" s="1658">
        <f t="shared" si="442"/>
        <v>0.51458576429404901</v>
      </c>
      <c r="BO360" s="1658">
        <f t="shared" si="442"/>
        <v>0.46327014218009477</v>
      </c>
      <c r="BP360" s="1659">
        <f t="shared" si="442"/>
        <v>0.4826762246117085</v>
      </c>
      <c r="BQ360" s="1658">
        <f>BQ359/BQ349</f>
        <v>0.45760598503740646</v>
      </c>
      <c r="BR360" s="1658">
        <f>BR359/BR349</f>
        <v>0.46393034825870649</v>
      </c>
      <c r="BS360" s="1642"/>
      <c r="BT360" s="1641"/>
      <c r="BU360" s="1642"/>
      <c r="BV360" s="1642"/>
      <c r="BW360" s="1642"/>
      <c r="BX360" s="1641"/>
      <c r="BY360" s="1642"/>
      <c r="BZ360" s="1642"/>
      <c r="CA360" s="1642"/>
      <c r="CB360" s="1641"/>
      <c r="CC360" s="1642"/>
      <c r="CD360" s="1642"/>
      <c r="CE360" s="1642"/>
      <c r="CF360" s="1641"/>
      <c r="CG360" s="1642"/>
      <c r="CH360" s="1642"/>
      <c r="CI360" s="1642"/>
      <c r="CJ360" s="1641"/>
      <c r="CK360" s="1642"/>
      <c r="CL360" s="1642"/>
      <c r="CM360" s="1681"/>
      <c r="CN360" s="1672"/>
      <c r="CO360" s="1672"/>
      <c r="CP360" s="1672"/>
      <c r="CQ360" s="1681"/>
      <c r="CR360" s="1672"/>
      <c r="CS360" s="1672"/>
      <c r="CT360" s="1672"/>
      <c r="CU360" s="1681"/>
      <c r="CV360" s="1672"/>
      <c r="CW360" s="1672"/>
      <c r="CX360" s="1672"/>
      <c r="CY360" s="1681"/>
      <c r="CZ360" s="1672"/>
      <c r="DA360" s="1672"/>
      <c r="DB360" s="1672"/>
      <c r="DC360" s="1672"/>
      <c r="DD360" s="1672"/>
      <c r="DE360" s="1672"/>
      <c r="DF360" s="1672"/>
      <c r="DG360" s="1672"/>
      <c r="DH360" s="1672"/>
      <c r="DI360" s="1672"/>
      <c r="DJ360" s="1672"/>
      <c r="DK360" s="1672"/>
      <c r="DL360" s="1672"/>
    </row>
    <row r="361" spans="1:116" ht="12.75" hidden="1" customHeight="1">
      <c r="A361" s="1539"/>
      <c r="B361" s="1642"/>
      <c r="C361" s="1642"/>
      <c r="D361" s="1642"/>
      <c r="E361" s="1641"/>
      <c r="F361" s="1642"/>
      <c r="G361" s="1642"/>
      <c r="H361" s="1642"/>
      <c r="I361" s="1642"/>
      <c r="J361" s="1642"/>
      <c r="K361" s="1681"/>
      <c r="L361" s="1642"/>
      <c r="M361" s="1642"/>
      <c r="N361" s="1642"/>
      <c r="O361" s="1642"/>
      <c r="P361" s="1642"/>
      <c r="Q361" s="1642"/>
      <c r="R361" s="1642"/>
      <c r="S361" s="1642"/>
      <c r="T361" s="1642"/>
      <c r="U361" s="1642"/>
      <c r="V361" s="1642"/>
      <c r="W361" s="1642"/>
      <c r="X361" s="1642"/>
      <c r="Y361" s="1642"/>
      <c r="Z361" s="1642"/>
      <c r="AA361" s="1642"/>
      <c r="AB361" s="1642"/>
      <c r="AC361" s="1642"/>
      <c r="AD361" s="1642"/>
      <c r="AE361" s="1642"/>
      <c r="AF361" s="1641"/>
      <c r="AG361" s="1642"/>
      <c r="AH361" s="1642"/>
      <c r="AI361" s="1642"/>
      <c r="AJ361" s="1641"/>
      <c r="AK361" s="1642"/>
      <c r="AL361" s="1642"/>
      <c r="AM361" s="1642"/>
      <c r="AN361" s="1641"/>
      <c r="AO361" s="1642"/>
      <c r="AP361" s="1642"/>
      <c r="AQ361" s="1642"/>
      <c r="AR361" s="1641"/>
      <c r="AS361" s="1642"/>
      <c r="AT361" s="1642"/>
      <c r="AU361" s="1642"/>
      <c r="AV361" s="1641"/>
      <c r="AW361" s="1642"/>
      <c r="AX361" s="1642"/>
      <c r="AY361" s="1642"/>
      <c r="AZ361" s="1641"/>
      <c r="BA361" s="1642"/>
      <c r="BB361" s="1642"/>
      <c r="BC361" s="1642"/>
      <c r="BD361" s="1641"/>
      <c r="BE361" s="1642"/>
      <c r="BF361" s="1642"/>
      <c r="BG361" s="1642"/>
      <c r="BH361" s="1641"/>
      <c r="BI361" s="1642"/>
      <c r="BJ361" s="1642"/>
      <c r="BK361" s="1642"/>
      <c r="BL361" s="1641"/>
      <c r="BM361" s="1642"/>
      <c r="BN361" s="1642"/>
      <c r="BO361" s="1642"/>
      <c r="BP361" s="1641"/>
      <c r="BQ361" s="1642"/>
      <c r="BR361" s="1642"/>
      <c r="BS361" s="1642"/>
      <c r="BT361" s="1641"/>
      <c r="BU361" s="1642"/>
      <c r="BV361" s="1642"/>
      <c r="BW361" s="1642"/>
      <c r="BX361" s="1641"/>
      <c r="BY361" s="1642"/>
      <c r="BZ361" s="1642"/>
      <c r="CA361" s="1642"/>
      <c r="CB361" s="1641"/>
      <c r="CC361" s="1642"/>
      <c r="CD361" s="1642"/>
      <c r="CE361" s="1642"/>
      <c r="CF361" s="1641"/>
      <c r="CG361" s="1642"/>
      <c r="CH361" s="1642"/>
      <c r="CI361" s="1642"/>
      <c r="CJ361" s="1641"/>
      <c r="CK361" s="1642"/>
      <c r="CL361" s="1642"/>
      <c r="CM361" s="1681"/>
      <c r="CN361" s="1672"/>
      <c r="CO361" s="1672"/>
      <c r="CP361" s="1672"/>
      <c r="CQ361" s="1681"/>
      <c r="CR361" s="1672"/>
      <c r="CS361" s="1672"/>
      <c r="CT361" s="1672"/>
      <c r="CU361" s="1681"/>
      <c r="CV361" s="1672"/>
      <c r="CW361" s="1672"/>
      <c r="CX361" s="1672"/>
      <c r="CY361" s="1681"/>
      <c r="CZ361" s="1672"/>
      <c r="DA361" s="1672"/>
      <c r="DB361" s="1672"/>
      <c r="DC361" s="1672"/>
      <c r="DD361" s="1672"/>
      <c r="DE361" s="1672"/>
      <c r="DF361" s="1672"/>
      <c r="DG361" s="1672"/>
      <c r="DH361" s="1672"/>
      <c r="DI361" s="1672"/>
      <c r="DJ361" s="1672"/>
      <c r="DK361" s="1672"/>
      <c r="DL361" s="1672"/>
    </row>
    <row r="362" spans="1:116" ht="12.75" hidden="1" customHeight="1">
      <c r="A362" s="1539" t="s">
        <v>491</v>
      </c>
      <c r="B362" s="1642"/>
      <c r="C362" s="1642"/>
      <c r="D362" s="1642"/>
      <c r="E362" s="1641">
        <f t="shared" ref="E362:K362" si="443">E359+E355</f>
        <v>1750</v>
      </c>
      <c r="F362" s="1642">
        <f t="shared" si="443"/>
        <v>1940</v>
      </c>
      <c r="G362" s="1642">
        <f t="shared" si="443"/>
        <v>2079</v>
      </c>
      <c r="H362" s="1642">
        <f t="shared" si="443"/>
        <v>4144</v>
      </c>
      <c r="I362" s="1642">
        <f t="shared" si="443"/>
        <v>4313</v>
      </c>
      <c r="J362" s="1642">
        <f t="shared" si="443"/>
        <v>2188</v>
      </c>
      <c r="K362" s="1681">
        <f t="shared" si="443"/>
        <v>1963</v>
      </c>
      <c r="L362" s="1642"/>
      <c r="M362" s="1642"/>
      <c r="N362" s="1642"/>
      <c r="O362" s="1642"/>
      <c r="P362" s="1642"/>
      <c r="Q362" s="1642"/>
      <c r="R362" s="1642"/>
      <c r="S362" s="1642"/>
      <c r="T362" s="1642"/>
      <c r="U362" s="1642"/>
      <c r="V362" s="1642"/>
      <c r="W362" s="1642"/>
      <c r="X362" s="1642"/>
      <c r="Y362" s="1642"/>
      <c r="Z362" s="1642"/>
      <c r="AA362" s="1642"/>
      <c r="AB362" s="1642"/>
      <c r="AC362" s="1642"/>
      <c r="AD362" s="1642"/>
      <c r="AE362" s="1642"/>
      <c r="AF362" s="1641">
        <f t="shared" ref="AF362:BR362" si="444">AF359+AF355</f>
        <v>271</v>
      </c>
      <c r="AG362" s="1642">
        <f t="shared" si="444"/>
        <v>492</v>
      </c>
      <c r="AH362" s="1642">
        <f t="shared" si="444"/>
        <v>435</v>
      </c>
      <c r="AI362" s="1642">
        <f t="shared" si="444"/>
        <v>552</v>
      </c>
      <c r="AJ362" s="1641">
        <f t="shared" si="444"/>
        <v>322</v>
      </c>
      <c r="AK362" s="1642">
        <f t="shared" si="444"/>
        <v>505</v>
      </c>
      <c r="AL362" s="1642">
        <f t="shared" si="444"/>
        <v>493</v>
      </c>
      <c r="AM362" s="1642">
        <f t="shared" si="444"/>
        <v>620</v>
      </c>
      <c r="AN362" s="1641">
        <f t="shared" si="444"/>
        <v>337</v>
      </c>
      <c r="AO362" s="1642">
        <f t="shared" si="444"/>
        <v>549</v>
      </c>
      <c r="AP362" s="1642">
        <f t="shared" si="444"/>
        <v>446</v>
      </c>
      <c r="AQ362" s="1642">
        <f t="shared" si="444"/>
        <v>747</v>
      </c>
      <c r="AR362" s="1641">
        <f t="shared" si="444"/>
        <v>345</v>
      </c>
      <c r="AS362" s="1642">
        <f t="shared" si="444"/>
        <v>581</v>
      </c>
      <c r="AT362" s="1642">
        <f t="shared" si="444"/>
        <v>497</v>
      </c>
      <c r="AU362" s="1642">
        <f t="shared" si="444"/>
        <v>695</v>
      </c>
      <c r="AV362" s="1641">
        <f t="shared" si="444"/>
        <v>373</v>
      </c>
      <c r="AW362" s="1642">
        <f t="shared" si="444"/>
        <v>531</v>
      </c>
      <c r="AX362" s="1642">
        <f t="shared" si="444"/>
        <v>627</v>
      </c>
      <c r="AY362" s="1642">
        <f t="shared" si="444"/>
        <v>821</v>
      </c>
      <c r="AZ362" s="1641">
        <f t="shared" si="444"/>
        <v>369</v>
      </c>
      <c r="BA362" s="1642">
        <f t="shared" si="444"/>
        <v>459</v>
      </c>
      <c r="BB362" s="1642">
        <f t="shared" si="444"/>
        <v>593</v>
      </c>
      <c r="BC362" s="1642">
        <f t="shared" si="444"/>
        <v>767</v>
      </c>
      <c r="BD362" s="1641">
        <f t="shared" si="444"/>
        <v>484</v>
      </c>
      <c r="BE362" s="1642">
        <f t="shared" si="444"/>
        <v>488</v>
      </c>
      <c r="BF362" s="1642">
        <f t="shared" si="444"/>
        <v>590</v>
      </c>
      <c r="BG362" s="1642">
        <f t="shared" si="444"/>
        <v>401</v>
      </c>
      <c r="BH362" s="1641">
        <f t="shared" si="444"/>
        <v>452</v>
      </c>
      <c r="BI362" s="1642">
        <f t="shared" si="444"/>
        <v>413</v>
      </c>
      <c r="BJ362" s="1642">
        <f t="shared" si="444"/>
        <v>433</v>
      </c>
      <c r="BK362" s="1642">
        <f t="shared" si="444"/>
        <v>390</v>
      </c>
      <c r="BL362" s="1641">
        <f t="shared" si="444"/>
        <v>445</v>
      </c>
      <c r="BM362" s="1642">
        <f t="shared" si="444"/>
        <v>429</v>
      </c>
      <c r="BN362" s="1642">
        <f t="shared" si="444"/>
        <v>464</v>
      </c>
      <c r="BO362" s="1642">
        <f t="shared" si="444"/>
        <v>414</v>
      </c>
      <c r="BP362" s="1641">
        <f t="shared" si="444"/>
        <v>427</v>
      </c>
      <c r="BQ362" s="1642">
        <f t="shared" si="444"/>
        <v>389</v>
      </c>
      <c r="BR362" s="1642">
        <f t="shared" si="444"/>
        <v>395</v>
      </c>
      <c r="BS362" s="1642"/>
      <c r="BT362" s="1641"/>
      <c r="BU362" s="1642"/>
      <c r="BV362" s="1642"/>
      <c r="BW362" s="1642"/>
      <c r="BX362" s="1641"/>
      <c r="BY362" s="1642"/>
      <c r="BZ362" s="1642"/>
      <c r="CA362" s="1642"/>
      <c r="CB362" s="1641"/>
      <c r="CC362" s="1642"/>
      <c r="CD362" s="1642"/>
      <c r="CE362" s="1642"/>
      <c r="CF362" s="1641"/>
      <c r="CG362" s="1642"/>
      <c r="CH362" s="1642"/>
      <c r="CI362" s="1642"/>
      <c r="CJ362" s="1641"/>
      <c r="CK362" s="1642"/>
      <c r="CL362" s="1642"/>
      <c r="CM362" s="1681"/>
      <c r="CN362" s="1672"/>
      <c r="CO362" s="1672"/>
      <c r="CP362" s="1672"/>
      <c r="CQ362" s="1681"/>
      <c r="CR362" s="1672"/>
      <c r="CS362" s="1672"/>
      <c r="CT362" s="1672"/>
      <c r="CU362" s="1681"/>
      <c r="CV362" s="1672"/>
      <c r="CW362" s="1672"/>
      <c r="CX362" s="1672"/>
      <c r="CY362" s="1681"/>
      <c r="CZ362" s="1672"/>
      <c r="DA362" s="1672"/>
      <c r="DB362" s="1672"/>
      <c r="DC362" s="1672"/>
      <c r="DD362" s="1672"/>
      <c r="DE362" s="1672"/>
      <c r="DF362" s="1672"/>
      <c r="DG362" s="1672"/>
      <c r="DH362" s="1672"/>
      <c r="DI362" s="1672"/>
      <c r="DJ362" s="1672"/>
      <c r="DK362" s="1672"/>
      <c r="DL362" s="1672"/>
    </row>
    <row r="363" spans="1:116" ht="12.75" hidden="1" customHeight="1">
      <c r="A363" s="1539" t="s">
        <v>656</v>
      </c>
      <c r="B363" s="1642"/>
      <c r="C363" s="1642"/>
      <c r="D363" s="1642"/>
      <c r="E363" s="1659">
        <f t="shared" ref="E363:K363" si="445">E362/E$349</f>
        <v>0.49985718366181092</v>
      </c>
      <c r="F363" s="1658">
        <f t="shared" si="445"/>
        <v>0.50811943425877426</v>
      </c>
      <c r="G363" s="1658">
        <f t="shared" si="445"/>
        <v>0.50881057268722463</v>
      </c>
      <c r="H363" s="1658">
        <f t="shared" si="445"/>
        <v>1</v>
      </c>
      <c r="I363" s="1658">
        <f t="shared" si="445"/>
        <v>1</v>
      </c>
      <c r="J363" s="1658">
        <f t="shared" si="445"/>
        <v>0.51038021926755306</v>
      </c>
      <c r="K363" s="1696">
        <f t="shared" si="445"/>
        <v>0.52165825139516342</v>
      </c>
      <c r="L363" s="1658"/>
      <c r="M363" s="1658"/>
      <c r="N363" s="1642"/>
      <c r="O363" s="1642"/>
      <c r="P363" s="1642"/>
      <c r="Q363" s="1642"/>
      <c r="R363" s="1642"/>
      <c r="S363" s="1642"/>
      <c r="T363" s="1642"/>
      <c r="U363" s="1642"/>
      <c r="V363" s="1642"/>
      <c r="W363" s="1642"/>
      <c r="X363" s="1642"/>
      <c r="Y363" s="1642"/>
      <c r="Z363" s="1642"/>
      <c r="AA363" s="1642"/>
      <c r="AB363" s="1642"/>
      <c r="AC363" s="1642"/>
      <c r="AD363" s="1642"/>
      <c r="AE363" s="1642"/>
      <c r="AF363" s="1659">
        <f t="shared" ref="AF363:BP363" si="446">AF362/AF$349</f>
        <v>0.41437308868501527</v>
      </c>
      <c r="AG363" s="1658">
        <f t="shared" si="446"/>
        <v>0.52903225806451615</v>
      </c>
      <c r="AH363" s="1658">
        <f t="shared" si="446"/>
        <v>0.53439803439803435</v>
      </c>
      <c r="AI363" s="1658">
        <f t="shared" si="446"/>
        <v>0.50045330915684494</v>
      </c>
      <c r="AJ363" s="1659">
        <f t="shared" si="446"/>
        <v>0.44536652835408025</v>
      </c>
      <c r="AK363" s="1658">
        <f t="shared" si="446"/>
        <v>0.52115583075335392</v>
      </c>
      <c r="AL363" s="1658">
        <f t="shared" si="446"/>
        <v>0.52783725910064239</v>
      </c>
      <c r="AM363" s="1658">
        <f t="shared" si="446"/>
        <v>0.52013422818791943</v>
      </c>
      <c r="AN363" s="1659">
        <f t="shared" si="446"/>
        <v>0.44400527009222662</v>
      </c>
      <c r="AO363" s="1658">
        <f t="shared" si="446"/>
        <v>0.52037914691943132</v>
      </c>
      <c r="AP363" s="1658">
        <f t="shared" si="446"/>
        <v>0.48849945235487402</v>
      </c>
      <c r="AQ363" s="1658">
        <f t="shared" si="446"/>
        <v>0.54966887417218546</v>
      </c>
      <c r="AR363" s="1659">
        <f t="shared" si="446"/>
        <v>0.44287548138639282</v>
      </c>
      <c r="AS363" s="1658">
        <f t="shared" si="446"/>
        <v>0.55018939393939392</v>
      </c>
      <c r="AT363" s="1658">
        <f t="shared" si="446"/>
        <v>0.51237113402061851</v>
      </c>
      <c r="AU363" s="1658">
        <f t="shared" si="446"/>
        <v>0.5190440627333831</v>
      </c>
      <c r="AV363" s="1659">
        <f t="shared" si="446"/>
        <v>0.47275031685678076</v>
      </c>
      <c r="AW363" s="1658">
        <f t="shared" si="446"/>
        <v>0.53963414634146345</v>
      </c>
      <c r="AX363" s="1658">
        <f t="shared" si="446"/>
        <v>0.5638489208633094</v>
      </c>
      <c r="AY363" s="1658">
        <f t="shared" si="446"/>
        <v>0.57492997198879547</v>
      </c>
      <c r="AZ363" s="1659">
        <f t="shared" si="446"/>
        <v>0.45952677459526775</v>
      </c>
      <c r="BA363" s="1658">
        <f t="shared" si="446"/>
        <v>0.49038461538461536</v>
      </c>
      <c r="BB363" s="1658">
        <f t="shared" si="446"/>
        <v>0.5051107325383305</v>
      </c>
      <c r="BC363" s="1658">
        <f t="shared" si="446"/>
        <v>0.55822416302765643</v>
      </c>
      <c r="BD363" s="1659">
        <f t="shared" si="446"/>
        <v>0.50680628272251305</v>
      </c>
      <c r="BE363" s="1658">
        <f t="shared" si="446"/>
        <v>0.50309278350515463</v>
      </c>
      <c r="BF363" s="1658">
        <f t="shared" si="446"/>
        <v>0.63991323210412143</v>
      </c>
      <c r="BG363" s="1658">
        <f t="shared" si="446"/>
        <v>0.43777292576419213</v>
      </c>
      <c r="BH363" s="1659">
        <f t="shared" si="446"/>
        <v>0.50055370985603542</v>
      </c>
      <c r="BI363" s="1658">
        <f t="shared" si="446"/>
        <v>0.46456692913385828</v>
      </c>
      <c r="BJ363" s="1658">
        <f t="shared" si="446"/>
        <v>0.49037372593431483</v>
      </c>
      <c r="BK363" s="1658">
        <f t="shared" si="446"/>
        <v>0.44622425629290619</v>
      </c>
      <c r="BL363" s="1659">
        <f t="shared" si="446"/>
        <v>0.5051078320090806</v>
      </c>
      <c r="BM363" s="1658">
        <f t="shared" si="446"/>
        <v>0.49310344827586206</v>
      </c>
      <c r="BN363" s="1658">
        <f t="shared" si="446"/>
        <v>0.54142357059509916</v>
      </c>
      <c r="BO363" s="1658">
        <f t="shared" si="446"/>
        <v>0.49052132701421802</v>
      </c>
      <c r="BP363" s="1659">
        <f t="shared" si="446"/>
        <v>0.51015531660692948</v>
      </c>
      <c r="BQ363" s="1658">
        <f>BQ362/BQ349</f>
        <v>0.48503740648379051</v>
      </c>
      <c r="BR363" s="1658">
        <f>BR362/BR349</f>
        <v>0.49129353233830847</v>
      </c>
      <c r="BS363" s="1642"/>
      <c r="BT363" s="1641"/>
      <c r="BU363" s="1642"/>
      <c r="BV363" s="1642"/>
      <c r="BW363" s="1642"/>
      <c r="BX363" s="1641"/>
      <c r="BY363" s="1642"/>
      <c r="BZ363" s="1642"/>
      <c r="CA363" s="1642"/>
      <c r="CB363" s="1641"/>
      <c r="CC363" s="1642"/>
      <c r="CD363" s="1642"/>
      <c r="CE363" s="1642"/>
      <c r="CF363" s="1641"/>
      <c r="CG363" s="1642"/>
      <c r="CH363" s="1642"/>
      <c r="CI363" s="1642"/>
      <c r="CJ363" s="1641"/>
      <c r="CK363" s="1642"/>
      <c r="CL363" s="1642"/>
      <c r="CM363" s="1681"/>
      <c r="CN363" s="1672"/>
      <c r="CO363" s="1672"/>
      <c r="CP363" s="1672"/>
      <c r="CQ363" s="1681"/>
      <c r="CR363" s="1672"/>
      <c r="CS363" s="1672"/>
      <c r="CT363" s="1672"/>
      <c r="CU363" s="1681"/>
      <c r="CV363" s="1672"/>
      <c r="CW363" s="1672"/>
      <c r="CX363" s="1672"/>
      <c r="CY363" s="1681"/>
      <c r="CZ363" s="1672"/>
      <c r="DA363" s="1672"/>
      <c r="DB363" s="1672"/>
      <c r="DC363" s="1672"/>
      <c r="DD363" s="1672"/>
      <c r="DE363" s="1672"/>
      <c r="DF363" s="1672"/>
      <c r="DG363" s="1672"/>
      <c r="DH363" s="1672"/>
      <c r="DI363" s="1672"/>
      <c r="DJ363" s="1672"/>
      <c r="DK363" s="1672"/>
      <c r="DL363" s="1672"/>
    </row>
    <row r="364" spans="1:116" ht="12.75" hidden="1" customHeight="1">
      <c r="A364" s="1539"/>
      <c r="B364" s="1642"/>
      <c r="C364" s="1642"/>
      <c r="D364" s="1642"/>
      <c r="E364" s="1641"/>
      <c r="F364" s="1642"/>
      <c r="G364" s="1642"/>
      <c r="H364" s="1642"/>
      <c r="I364" s="1642"/>
      <c r="J364" s="1642"/>
      <c r="K364" s="1681"/>
      <c r="L364" s="1642"/>
      <c r="M364" s="1642"/>
      <c r="N364" s="1642"/>
      <c r="O364" s="1642"/>
      <c r="P364" s="1642"/>
      <c r="Q364" s="1642"/>
      <c r="R364" s="1642"/>
      <c r="S364" s="1642"/>
      <c r="T364" s="1642"/>
      <c r="U364" s="1642"/>
      <c r="V364" s="1642"/>
      <c r="W364" s="1642"/>
      <c r="X364" s="1642"/>
      <c r="Y364" s="1642"/>
      <c r="Z364" s="1642"/>
      <c r="AA364" s="1642"/>
      <c r="AB364" s="1642"/>
      <c r="AC364" s="1642"/>
      <c r="AD364" s="1642"/>
      <c r="AE364" s="1642"/>
      <c r="AF364" s="1641"/>
      <c r="AG364" s="1642"/>
      <c r="AH364" s="1642"/>
      <c r="AI364" s="1642"/>
      <c r="AJ364" s="1641"/>
      <c r="AK364" s="1642"/>
      <c r="AL364" s="1642"/>
      <c r="AM364" s="1642"/>
      <c r="AN364" s="1641"/>
      <c r="AO364" s="1642"/>
      <c r="AP364" s="1642"/>
      <c r="AQ364" s="1642"/>
      <c r="AR364" s="1641"/>
      <c r="AS364" s="1642"/>
      <c r="AT364" s="1642"/>
      <c r="AU364" s="1642"/>
      <c r="AV364" s="1641"/>
      <c r="AW364" s="1642"/>
      <c r="AX364" s="1642"/>
      <c r="AY364" s="1642"/>
      <c r="AZ364" s="1641"/>
      <c r="BA364" s="1642"/>
      <c r="BB364" s="1642"/>
      <c r="BC364" s="1642"/>
      <c r="BD364" s="1641"/>
      <c r="BE364" s="1642"/>
      <c r="BF364" s="1642"/>
      <c r="BG364" s="1642"/>
      <c r="BH364" s="1641"/>
      <c r="BI364" s="1642"/>
      <c r="BJ364" s="1642"/>
      <c r="BK364" s="1642"/>
      <c r="BL364" s="1641"/>
      <c r="BM364" s="1642"/>
      <c r="BN364" s="1642"/>
      <c r="BO364" s="1642"/>
      <c r="BP364" s="1641"/>
      <c r="BQ364" s="1642"/>
      <c r="BR364" s="1642"/>
      <c r="BS364" s="1642"/>
      <c r="BT364" s="1641"/>
      <c r="BU364" s="1642"/>
      <c r="BV364" s="1642"/>
      <c r="BW364" s="1642"/>
      <c r="BX364" s="1641"/>
      <c r="BY364" s="1642"/>
      <c r="BZ364" s="1642"/>
      <c r="CA364" s="1642"/>
      <c r="CB364" s="1641"/>
      <c r="CC364" s="1642"/>
      <c r="CD364" s="1642"/>
      <c r="CE364" s="1642"/>
      <c r="CF364" s="1641"/>
      <c r="CG364" s="1642"/>
      <c r="CH364" s="1642"/>
      <c r="CI364" s="1642"/>
      <c r="CJ364" s="1641"/>
      <c r="CK364" s="1642"/>
      <c r="CL364" s="1642"/>
      <c r="CM364" s="1681"/>
      <c r="CN364" s="1672"/>
      <c r="CO364" s="1672"/>
      <c r="CP364" s="1672"/>
      <c r="CQ364" s="1681"/>
      <c r="CR364" s="1672"/>
      <c r="CS364" s="1672"/>
      <c r="CT364" s="1672"/>
      <c r="CU364" s="1681"/>
      <c r="CV364" s="1672"/>
      <c r="CW364" s="1672"/>
      <c r="CX364" s="1672"/>
      <c r="CY364" s="1681"/>
      <c r="CZ364" s="1672"/>
      <c r="DA364" s="1672"/>
      <c r="DB364" s="1672"/>
      <c r="DC364" s="1672"/>
      <c r="DD364" s="1672"/>
      <c r="DE364" s="1672"/>
      <c r="DF364" s="1672"/>
      <c r="DG364" s="1672"/>
      <c r="DH364" s="1672"/>
      <c r="DI364" s="1672"/>
      <c r="DJ364" s="1672"/>
      <c r="DK364" s="1672"/>
      <c r="DL364" s="1672"/>
    </row>
    <row r="365" spans="1:116" ht="12.75" hidden="1" customHeight="1">
      <c r="A365" s="1539" t="s">
        <v>657</v>
      </c>
      <c r="B365" s="1642"/>
      <c r="C365" s="1642"/>
      <c r="D365" s="1642"/>
      <c r="E365" s="1641"/>
      <c r="F365" s="1642"/>
      <c r="G365" s="1642"/>
      <c r="H365" s="1642"/>
      <c r="I365" s="1642"/>
      <c r="J365" s="1642">
        <f>SUM(AZ365:BC365)</f>
        <v>1281</v>
      </c>
      <c r="K365" s="1681">
        <f>SUM(BD365:BG365)</f>
        <v>1128</v>
      </c>
      <c r="L365" s="1642"/>
      <c r="M365" s="1642"/>
      <c r="N365" s="1642"/>
      <c r="O365" s="1642"/>
      <c r="P365" s="1642"/>
      <c r="Q365" s="1642"/>
      <c r="R365" s="1642"/>
      <c r="S365" s="1642"/>
      <c r="T365" s="1642"/>
      <c r="U365" s="1642"/>
      <c r="V365" s="1642"/>
      <c r="W365" s="1642"/>
      <c r="X365" s="1642"/>
      <c r="Y365" s="1642"/>
      <c r="Z365" s="1642"/>
      <c r="AA365" s="1642"/>
      <c r="AB365" s="1642"/>
      <c r="AC365" s="1642"/>
      <c r="AD365" s="1642"/>
      <c r="AE365" s="1642"/>
      <c r="AF365" s="1641"/>
      <c r="AG365" s="1642"/>
      <c r="AH365" s="1642"/>
      <c r="AI365" s="1642"/>
      <c r="AJ365" s="1641"/>
      <c r="AK365" s="1642"/>
      <c r="AL365" s="1642"/>
      <c r="AM365" s="1642"/>
      <c r="AN365" s="1641"/>
      <c r="AO365" s="1642"/>
      <c r="AP365" s="1642"/>
      <c r="AQ365" s="1642"/>
      <c r="AR365" s="1641"/>
      <c r="AS365" s="1642"/>
      <c r="AT365" s="1642"/>
      <c r="AU365" s="1642"/>
      <c r="AV365" s="1641"/>
      <c r="AW365" s="1642"/>
      <c r="AX365" s="1642"/>
      <c r="AY365" s="1642"/>
      <c r="AZ365" s="1641">
        <v>213</v>
      </c>
      <c r="BA365" s="1642">
        <v>260</v>
      </c>
      <c r="BB365" s="1642">
        <v>347</v>
      </c>
      <c r="BC365" s="1642">
        <v>461</v>
      </c>
      <c r="BD365" s="1641">
        <v>276</v>
      </c>
      <c r="BE365" s="1642">
        <v>277</v>
      </c>
      <c r="BF365" s="1642">
        <v>348</v>
      </c>
      <c r="BG365" s="1642">
        <v>227</v>
      </c>
      <c r="BH365" s="1641">
        <v>263</v>
      </c>
      <c r="BI365" s="1642">
        <v>236</v>
      </c>
      <c r="BJ365" s="1642">
        <v>244</v>
      </c>
      <c r="BK365" s="1642">
        <v>225</v>
      </c>
      <c r="BL365" s="1641">
        <v>264</v>
      </c>
      <c r="BM365" s="1642">
        <v>255</v>
      </c>
      <c r="BN365" s="1642">
        <v>279</v>
      </c>
      <c r="BO365" s="1642">
        <v>246</v>
      </c>
      <c r="BP365" s="1641">
        <v>250</v>
      </c>
      <c r="BQ365" s="1642">
        <v>229</v>
      </c>
      <c r="BR365" s="1642">
        <v>249</v>
      </c>
      <c r="BS365" s="1642"/>
      <c r="BT365" s="1641"/>
      <c r="BU365" s="1642"/>
      <c r="BV365" s="1642"/>
      <c r="BW365" s="1642"/>
      <c r="BX365" s="1641"/>
      <c r="BY365" s="1642"/>
      <c r="BZ365" s="1642"/>
      <c r="CA365" s="1642"/>
      <c r="CB365" s="1641"/>
      <c r="CC365" s="1642"/>
      <c r="CD365" s="1642"/>
      <c r="CE365" s="1642"/>
      <c r="CF365" s="1641"/>
      <c r="CG365" s="1642"/>
      <c r="CH365" s="1642"/>
      <c r="CI365" s="1642"/>
      <c r="CJ365" s="1641"/>
      <c r="CK365" s="1642"/>
      <c r="CL365" s="1642"/>
      <c r="CM365" s="1681"/>
      <c r="CN365" s="1672"/>
      <c r="CO365" s="1672"/>
      <c r="CP365" s="1672"/>
      <c r="CQ365" s="1681"/>
      <c r="CR365" s="1672"/>
      <c r="CS365" s="1672"/>
      <c r="CT365" s="1672"/>
      <c r="CU365" s="1681"/>
      <c r="CV365" s="1672"/>
      <c r="CW365" s="1672"/>
      <c r="CX365" s="1672"/>
      <c r="CY365" s="1681"/>
      <c r="CZ365" s="1672"/>
      <c r="DA365" s="1672"/>
      <c r="DB365" s="1672"/>
      <c r="DC365" s="1672"/>
      <c r="DD365" s="1672"/>
      <c r="DE365" s="1672"/>
      <c r="DF365" s="1672"/>
      <c r="DG365" s="1672"/>
      <c r="DH365" s="1672"/>
      <c r="DI365" s="1672"/>
      <c r="DJ365" s="1672"/>
      <c r="DK365" s="1672"/>
      <c r="DL365" s="1672"/>
    </row>
    <row r="366" spans="1:116" ht="12.75" customHeight="1">
      <c r="A366" s="1664" t="s">
        <v>121</v>
      </c>
      <c r="B366" s="1729"/>
      <c r="C366" s="1729"/>
      <c r="D366" s="1729"/>
      <c r="E366" s="1740"/>
      <c r="F366" s="1729"/>
      <c r="G366" s="1729"/>
      <c r="H366" s="1729"/>
      <c r="I366" s="1730"/>
      <c r="J366" s="1730"/>
      <c r="K366" s="1732"/>
      <c r="L366" s="1730"/>
      <c r="M366" s="1730"/>
      <c r="N366" s="1730"/>
      <c r="O366" s="1730"/>
      <c r="P366" s="1730"/>
      <c r="Q366" s="1730"/>
      <c r="R366" s="1730"/>
      <c r="S366" s="1730"/>
      <c r="T366" s="1730"/>
      <c r="U366" s="1730"/>
      <c r="V366" s="1730"/>
      <c r="W366" s="1730"/>
      <c r="X366" s="1730"/>
      <c r="Y366" s="1730"/>
      <c r="Z366" s="1730"/>
      <c r="AA366" s="1730"/>
      <c r="AB366" s="1730"/>
      <c r="AC366" s="1730"/>
      <c r="AD366" s="1730"/>
      <c r="AE366" s="1730"/>
      <c r="AF366" s="1731"/>
      <c r="AG366" s="1730"/>
      <c r="AH366" s="1730"/>
      <c r="AI366" s="1730"/>
      <c r="AJ366" s="1731"/>
      <c r="AK366" s="1730"/>
      <c r="AL366" s="1730"/>
      <c r="AM366" s="1730"/>
      <c r="AN366" s="1731"/>
      <c r="AO366" s="1730"/>
      <c r="AP366" s="1730"/>
      <c r="AQ366" s="1730"/>
      <c r="AR366" s="1731"/>
      <c r="AS366" s="1730"/>
      <c r="AT366" s="1730"/>
      <c r="AU366" s="1730"/>
      <c r="AV366" s="1731"/>
      <c r="AW366" s="1730"/>
      <c r="AX366" s="1730"/>
      <c r="AY366" s="1730"/>
      <c r="AZ366" s="1731"/>
      <c r="BA366" s="1730"/>
      <c r="BB366" s="1730"/>
      <c r="BC366" s="1730"/>
      <c r="BD366" s="1731"/>
      <c r="BE366" s="1730"/>
      <c r="BF366" s="1730"/>
      <c r="BG366" s="1730"/>
      <c r="BH366" s="1731"/>
      <c r="BI366" s="1730"/>
      <c r="BJ366" s="1730"/>
      <c r="BK366" s="1730"/>
      <c r="BL366" s="1731"/>
      <c r="BM366" s="1730"/>
      <c r="BN366" s="1730"/>
      <c r="BO366" s="1730"/>
      <c r="BP366" s="1731"/>
      <c r="BQ366" s="1730"/>
      <c r="BR366" s="1730"/>
      <c r="BS366" s="1730"/>
      <c r="BT366" s="1731"/>
      <c r="BU366" s="1730"/>
      <c r="BV366" s="1730"/>
      <c r="BW366" s="1730"/>
      <c r="BX366" s="1731"/>
      <c r="BY366" s="1730"/>
      <c r="BZ366" s="1730"/>
      <c r="CA366" s="1730"/>
      <c r="CB366" s="1731"/>
      <c r="CC366" s="1730"/>
      <c r="CD366" s="1730"/>
      <c r="CE366" s="1730"/>
      <c r="CF366" s="1731"/>
      <c r="CG366" s="1730"/>
      <c r="CH366" s="1730"/>
      <c r="CI366" s="1730"/>
      <c r="CJ366" s="1731"/>
      <c r="CK366" s="1730"/>
      <c r="CL366" s="1730"/>
      <c r="CM366" s="1732"/>
      <c r="CN366" s="1733"/>
      <c r="CO366" s="1733"/>
      <c r="CP366" s="1733"/>
      <c r="CQ366" s="1732"/>
      <c r="CR366" s="1733"/>
      <c r="CS366" s="1733"/>
      <c r="CT366" s="1733"/>
      <c r="CU366" s="1732"/>
      <c r="CV366" s="1733"/>
      <c r="CW366" s="1733"/>
      <c r="CX366" s="1733"/>
      <c r="CY366" s="1732"/>
      <c r="CZ366" s="1733"/>
      <c r="DA366" s="1733"/>
      <c r="DB366" s="1733"/>
      <c r="DC366" s="1733"/>
      <c r="DD366" s="1733"/>
      <c r="DE366" s="1733"/>
      <c r="DF366" s="1733"/>
      <c r="DG366" s="1733"/>
      <c r="DH366" s="1733"/>
      <c r="DI366" s="1733"/>
      <c r="DJ366" s="1733"/>
      <c r="DK366" s="1733"/>
      <c r="DL366" s="1733"/>
    </row>
    <row r="367" spans="1:116" ht="12.75" customHeight="1">
      <c r="A367" s="1539"/>
      <c r="B367" s="1642"/>
      <c r="C367" s="1642"/>
      <c r="D367" s="1642"/>
      <c r="E367" s="1641"/>
      <c r="F367" s="1642"/>
      <c r="G367" s="1642"/>
      <c r="H367" s="1642"/>
      <c r="I367" s="1642"/>
      <c r="J367" s="1642"/>
      <c r="K367" s="1681"/>
      <c r="L367" s="1642"/>
      <c r="M367" s="1642"/>
      <c r="N367" s="1642"/>
      <c r="O367" s="1642"/>
      <c r="P367" s="1642"/>
      <c r="Q367" s="1642"/>
      <c r="R367" s="1642"/>
      <c r="S367" s="1642"/>
      <c r="T367" s="1642"/>
      <c r="U367" s="1642"/>
      <c r="V367" s="1642"/>
      <c r="W367" s="1642"/>
      <c r="X367" s="1642"/>
      <c r="Y367" s="1642"/>
      <c r="Z367" s="1642"/>
      <c r="AA367" s="1642"/>
      <c r="AB367" s="1642"/>
      <c r="AC367" s="1642"/>
      <c r="AD367" s="1642"/>
      <c r="AE367" s="1642"/>
      <c r="AF367" s="1641"/>
      <c r="AG367" s="1642"/>
      <c r="AH367" s="1642"/>
      <c r="AI367" s="1642"/>
      <c r="AJ367" s="1641"/>
      <c r="AK367" s="1642"/>
      <c r="AL367" s="1642"/>
      <c r="AM367" s="1642"/>
      <c r="AN367" s="1641"/>
      <c r="AO367" s="1642"/>
      <c r="AP367" s="1642"/>
      <c r="AQ367" s="1642"/>
      <c r="AR367" s="1641"/>
      <c r="AS367" s="1642"/>
      <c r="AT367" s="1642"/>
      <c r="AU367" s="1642"/>
      <c r="AV367" s="1641"/>
      <c r="AW367" s="1642"/>
      <c r="AX367" s="1642"/>
      <c r="AY367" s="1642"/>
      <c r="AZ367" s="1641"/>
      <c r="BA367" s="1642"/>
      <c r="BB367" s="1642"/>
      <c r="BC367" s="1642"/>
      <c r="BD367" s="1641"/>
      <c r="BE367" s="1642"/>
      <c r="BF367" s="1642"/>
      <c r="BG367" s="1642"/>
      <c r="BH367" s="1641"/>
      <c r="BI367" s="1642"/>
      <c r="BJ367" s="1642"/>
      <c r="BK367" s="1642"/>
      <c r="BL367" s="1641"/>
      <c r="BM367" s="1642"/>
      <c r="BN367" s="1642"/>
      <c r="BO367" s="1642"/>
      <c r="BP367" s="1641"/>
      <c r="BQ367" s="1642"/>
      <c r="BR367" s="1642"/>
      <c r="BS367" s="1642"/>
      <c r="BT367" s="1641"/>
      <c r="BU367" s="1642"/>
      <c r="BV367" s="1642"/>
      <c r="BW367" s="1642"/>
      <c r="BX367" s="1641"/>
      <c r="BY367" s="1642"/>
      <c r="BZ367" s="1642"/>
      <c r="CA367" s="1642"/>
      <c r="CB367" s="1641"/>
      <c r="CC367" s="1642"/>
      <c r="CD367" s="1642"/>
      <c r="CE367" s="1642"/>
      <c r="CF367" s="1641"/>
      <c r="CG367" s="1642"/>
      <c r="CH367" s="1642"/>
      <c r="CI367" s="1642"/>
      <c r="CJ367" s="1641"/>
      <c r="CK367" s="1642"/>
      <c r="CL367" s="1642"/>
      <c r="CM367" s="1681"/>
      <c r="CN367" s="1672"/>
      <c r="CO367" s="1672"/>
      <c r="CP367" s="1672"/>
      <c r="CQ367" s="1681"/>
      <c r="CR367" s="1672"/>
      <c r="CS367" s="1672"/>
      <c r="CT367" s="1672"/>
      <c r="CU367" s="1681"/>
      <c r="CV367" s="1672"/>
      <c r="CW367" s="1672"/>
      <c r="CX367" s="1672"/>
      <c r="CY367" s="1681"/>
      <c r="CZ367" s="1672"/>
      <c r="DA367" s="1672"/>
      <c r="DB367" s="1672"/>
      <c r="DC367" s="1672"/>
      <c r="DD367" s="1672"/>
      <c r="DE367" s="1672"/>
      <c r="DF367" s="1672"/>
      <c r="DG367" s="1672"/>
      <c r="DH367" s="1672"/>
      <c r="DI367" s="1672"/>
      <c r="DJ367" s="1672"/>
      <c r="DK367" s="1672"/>
      <c r="DL367" s="1672"/>
    </row>
    <row r="368" spans="1:116" ht="12.75" customHeight="1">
      <c r="A368" s="954" t="s">
        <v>1604</v>
      </c>
      <c r="B368" s="1642"/>
      <c r="C368" s="1642"/>
      <c r="D368" s="1642"/>
      <c r="E368" s="1641"/>
      <c r="F368" s="1642"/>
      <c r="G368" s="1642"/>
      <c r="H368" s="1642"/>
      <c r="I368" s="1642"/>
      <c r="J368" s="1642"/>
      <c r="K368" s="1681"/>
      <c r="L368" s="1642"/>
      <c r="M368" s="1642"/>
      <c r="N368" s="1642"/>
      <c r="O368" s="1642"/>
      <c r="P368" s="1642"/>
      <c r="Q368" s="1642"/>
      <c r="R368" s="1642"/>
      <c r="S368" s="1642"/>
      <c r="T368" s="1642"/>
      <c r="U368" s="1642"/>
      <c r="V368" s="1642"/>
      <c r="W368" s="1642"/>
      <c r="X368" s="1642"/>
      <c r="Y368" s="1642"/>
      <c r="Z368" s="1642"/>
      <c r="AA368" s="1642"/>
      <c r="AB368" s="1642"/>
      <c r="AC368" s="1642"/>
      <c r="AD368" s="1642"/>
      <c r="AE368" s="1642"/>
      <c r="AF368" s="1641"/>
      <c r="AG368" s="1642"/>
      <c r="AH368" s="1642"/>
      <c r="AI368" s="1642"/>
      <c r="AJ368" s="1641"/>
      <c r="AK368" s="1642"/>
      <c r="AL368" s="1642"/>
      <c r="AM368" s="1642"/>
      <c r="AN368" s="1641"/>
      <c r="AO368" s="1642"/>
      <c r="AP368" s="1642"/>
      <c r="AQ368" s="1642"/>
      <c r="AR368" s="1641"/>
      <c r="AS368" s="1642"/>
      <c r="AT368" s="1642"/>
      <c r="AU368" s="1642"/>
      <c r="AV368" s="1641"/>
      <c r="AW368" s="1642"/>
      <c r="AX368" s="1642"/>
      <c r="AY368" s="1642"/>
      <c r="AZ368" s="1641"/>
      <c r="BA368" s="1642"/>
      <c r="BB368" s="1642"/>
      <c r="BC368" s="1642"/>
      <c r="BD368" s="1641"/>
      <c r="BE368" s="1642"/>
      <c r="BF368" s="1642"/>
      <c r="BG368" s="1642"/>
      <c r="BH368" s="1641"/>
      <c r="BI368" s="1642"/>
      <c r="BJ368" s="1642"/>
      <c r="BK368" s="1642"/>
      <c r="BL368" s="1641"/>
      <c r="BM368" s="1642"/>
      <c r="BN368" s="1642"/>
      <c r="BO368" s="1642"/>
      <c r="BP368" s="1641"/>
      <c r="BQ368" s="1642"/>
      <c r="BR368" s="1642"/>
      <c r="BS368" s="1642"/>
      <c r="BT368" s="1641"/>
      <c r="BU368" s="1642"/>
      <c r="BV368" s="1642"/>
      <c r="BW368" s="1642"/>
      <c r="BX368" s="1641"/>
      <c r="BY368" s="1642"/>
      <c r="BZ368" s="1642"/>
      <c r="CA368" s="1642"/>
      <c r="CB368" s="1641"/>
      <c r="CC368" s="1642"/>
      <c r="CD368" s="1642"/>
      <c r="CE368" s="1642"/>
      <c r="CF368" s="1633"/>
      <c r="CG368" s="1634"/>
      <c r="CH368" s="1634"/>
      <c r="CI368" s="1634"/>
      <c r="CJ368" s="1633"/>
      <c r="CK368" s="1634"/>
      <c r="CL368" s="1634"/>
      <c r="CM368" s="1648"/>
      <c r="CN368" s="1649"/>
      <c r="CO368" s="1649"/>
      <c r="CP368" s="1649"/>
      <c r="CQ368" s="1648"/>
      <c r="CR368" s="1649"/>
      <c r="CS368" s="1649"/>
      <c r="CT368" s="1649"/>
      <c r="CU368" s="1648"/>
      <c r="CV368" s="1649"/>
      <c r="CW368" s="1649"/>
      <c r="CX368" s="1649"/>
      <c r="CY368" s="1648"/>
      <c r="CZ368" s="1649"/>
      <c r="DA368" s="1649"/>
      <c r="DB368" s="1649"/>
      <c r="DC368" s="1649"/>
      <c r="DD368" s="1649"/>
      <c r="DE368" s="1649"/>
      <c r="DF368" s="1649"/>
      <c r="DG368" s="1649"/>
      <c r="DH368" s="1649"/>
      <c r="DI368" s="1649"/>
      <c r="DJ368" s="1649"/>
      <c r="DK368" s="1649"/>
      <c r="DL368" s="1649"/>
    </row>
    <row r="369" spans="1:116" ht="12.75" customHeight="1">
      <c r="A369" s="1539" t="s">
        <v>1360</v>
      </c>
      <c r="B369" s="1642"/>
      <c r="C369" s="1642"/>
      <c r="D369" s="1642"/>
      <c r="E369" s="1641"/>
      <c r="F369" s="1642"/>
      <c r="G369" s="1642"/>
      <c r="H369" s="1642"/>
      <c r="I369" s="1642"/>
      <c r="J369" s="1642"/>
      <c r="K369" s="1681"/>
      <c r="L369" s="1642"/>
      <c r="M369" s="1642"/>
      <c r="N369" s="1642"/>
      <c r="O369" s="1642"/>
      <c r="P369" s="1642"/>
      <c r="Q369" s="1642"/>
      <c r="R369" s="1642"/>
      <c r="S369" s="1642"/>
      <c r="T369" s="1642"/>
      <c r="U369" s="1642"/>
      <c r="V369" s="1642"/>
      <c r="W369" s="1642"/>
      <c r="X369" s="1642"/>
      <c r="Y369" s="1642"/>
      <c r="Z369" s="1642"/>
      <c r="AA369" s="1642"/>
      <c r="AB369" s="1642"/>
      <c r="AC369" s="1642"/>
      <c r="AD369" s="1642"/>
      <c r="AE369" s="1642"/>
      <c r="AF369" s="1641"/>
      <c r="AG369" s="1642"/>
      <c r="AH369" s="1642"/>
      <c r="AI369" s="1642"/>
      <c r="AJ369" s="1641"/>
      <c r="AK369" s="1642"/>
      <c r="AL369" s="1642"/>
      <c r="AM369" s="1642"/>
      <c r="AN369" s="1641"/>
      <c r="AO369" s="1642">
        <v>4020</v>
      </c>
      <c r="AP369" s="1642">
        <v>6558</v>
      </c>
      <c r="AQ369" s="1642"/>
      <c r="AR369" s="1641"/>
      <c r="AS369" s="1642">
        <v>6473</v>
      </c>
      <c r="AT369" s="1642">
        <v>9117</v>
      </c>
      <c r="AU369" s="1642">
        <v>10810</v>
      </c>
      <c r="AV369" s="1641">
        <v>1754</v>
      </c>
      <c r="AW369" s="1642">
        <v>733</v>
      </c>
      <c r="AX369" s="1642">
        <v>2616</v>
      </c>
      <c r="AY369" s="1642">
        <v>590</v>
      </c>
      <c r="AZ369" s="1641">
        <v>4</v>
      </c>
      <c r="BA369" s="1642">
        <v>-2114</v>
      </c>
      <c r="BB369" s="1642">
        <v>2294</v>
      </c>
      <c r="BC369" s="1642">
        <v>4584</v>
      </c>
      <c r="BD369" s="1641">
        <v>1894</v>
      </c>
      <c r="BE369" s="1642">
        <f>3145-BD369</f>
        <v>1251</v>
      </c>
      <c r="BF369" s="1642">
        <f>4931-SUM(BD369:BE369)</f>
        <v>1786</v>
      </c>
      <c r="BG369" s="1642">
        <f>3460-SUM(BD369:BF369)</f>
        <v>-1471</v>
      </c>
      <c r="BH369" s="1641">
        <v>1183</v>
      </c>
      <c r="BI369" s="1642">
        <f>2965-BH369</f>
        <v>1782</v>
      </c>
      <c r="BJ369" s="1642">
        <f>4744-SUM(BH369:BI369)</f>
        <v>1779</v>
      </c>
      <c r="BK369" s="1642">
        <f>7261-SUM(BH369:BJ369)</f>
        <v>2517</v>
      </c>
      <c r="BL369" s="1641">
        <v>1757</v>
      </c>
      <c r="BM369" s="1642">
        <f>3870-BL369</f>
        <v>2113</v>
      </c>
      <c r="BN369" s="1642">
        <f>5739-SUM(BL369:BM369)</f>
        <v>1869</v>
      </c>
      <c r="BO369" s="1642">
        <f>7397-SUM(BL369:BN369)</f>
        <v>1658</v>
      </c>
      <c r="BP369" s="1641">
        <v>1632</v>
      </c>
      <c r="BQ369" s="1642">
        <f>3243-BP369</f>
        <v>1611</v>
      </c>
      <c r="BR369" s="1642">
        <f>5165-BP369-BQ369</f>
        <v>1922</v>
      </c>
      <c r="BS369" s="1642">
        <f>6197-BP369-BQ369-BR369</f>
        <v>1032</v>
      </c>
      <c r="BT369" s="1641">
        <v>1495</v>
      </c>
      <c r="BU369" s="1634">
        <f>3178-BT369</f>
        <v>1683</v>
      </c>
      <c r="BV369" s="1634">
        <f>4449-BU369-BT369</f>
        <v>1271</v>
      </c>
      <c r="BW369" s="1634">
        <f>5521-BV369-BU369-BT369</f>
        <v>1072</v>
      </c>
      <c r="BX369" s="1633">
        <v>1642</v>
      </c>
      <c r="BY369" s="1634">
        <f>3524-BX369</f>
        <v>1882</v>
      </c>
      <c r="BZ369" s="1634">
        <f>5193-BY369-BX369</f>
        <v>1669</v>
      </c>
      <c r="CA369" s="1634">
        <f>6428-BZ369-BY369-BX369</f>
        <v>1235</v>
      </c>
      <c r="CB369" s="1633">
        <v>3210</v>
      </c>
      <c r="CC369" s="1634">
        <f>6370-CB369</f>
        <v>3160</v>
      </c>
      <c r="CD369" s="1634">
        <f>9257-CC369-CB369</f>
        <v>2887</v>
      </c>
      <c r="CE369" s="1634">
        <f>10358-CD369-CC369-CB369</f>
        <v>1101</v>
      </c>
      <c r="CF369" s="1633">
        <v>2318</v>
      </c>
      <c r="CG369" s="1634">
        <f>2871-CF369</f>
        <v>553</v>
      </c>
      <c r="CH369" s="1634">
        <f>5569-CG369-CF369</f>
        <v>2698</v>
      </c>
      <c r="CI369" s="1634">
        <f>10217-CH369-CG369-CF369</f>
        <v>4648</v>
      </c>
      <c r="CJ369" s="1633">
        <v>3264</v>
      </c>
      <c r="CK369" s="1634">
        <f>6868-CJ369</f>
        <v>3604</v>
      </c>
      <c r="CL369" s="1634">
        <f>10410-CK369-CJ369</f>
        <v>3542</v>
      </c>
      <c r="CM369" s="1648">
        <v>-212</v>
      </c>
      <c r="CN369" s="1649">
        <v>3906</v>
      </c>
      <c r="CO369" s="1649">
        <f>8191-CN369</f>
        <v>4285</v>
      </c>
      <c r="CP369" s="1649">
        <f>12483-CO369-CN369</f>
        <v>4292</v>
      </c>
      <c r="CQ369" s="1648">
        <f>10557-CP369-CO369-CN369</f>
        <v>-1926</v>
      </c>
      <c r="CR369" s="1649">
        <v>4855</v>
      </c>
      <c r="CS369" s="1649">
        <f>10053-CR369</f>
        <v>5198</v>
      </c>
      <c r="CT369" s="1649">
        <f>15631-CS369-CR369</f>
        <v>5578</v>
      </c>
      <c r="CU369" s="1648">
        <f>23547-CT369-CS369-CR369</f>
        <v>7916</v>
      </c>
      <c r="CV369" s="1649">
        <v>5986</v>
      </c>
      <c r="CW369" s="1649">
        <f>10310-CV369</f>
        <v>4324</v>
      </c>
      <c r="CX369" s="1649">
        <f>14104-10310</f>
        <v>3794</v>
      </c>
      <c r="CY369" s="1648">
        <f>11956-CX369-CW369-CV369</f>
        <v>-2148</v>
      </c>
      <c r="CZ369" s="1649">
        <v>4338</v>
      </c>
      <c r="DA369" s="1649">
        <f>8691-CZ369</f>
        <v>4353</v>
      </c>
      <c r="DB369" s="1649">
        <f>12862-DA369-CZ369</f>
        <v>4171</v>
      </c>
      <c r="DC369" s="1649">
        <f>18375-SUM(CZ369:DB369)</f>
        <v>5513</v>
      </c>
      <c r="DD369" s="1649">
        <v>4430</v>
      </c>
      <c r="DE369" s="1649">
        <f>5261-DD369</f>
        <v>831</v>
      </c>
      <c r="DF369" s="1649">
        <f>9008-DD369-DE369</f>
        <v>3747</v>
      </c>
      <c r="DG369" s="1649">
        <f>13608-DD369-DE369-DF369</f>
        <v>4600</v>
      </c>
      <c r="DH369" s="1649">
        <v>3553</v>
      </c>
      <c r="DI369" s="1649">
        <f>8031-DH369</f>
        <v>4478</v>
      </c>
      <c r="DJ369" s="1649">
        <f>11767-DH369-DI369</f>
        <v>3736</v>
      </c>
      <c r="DK369" s="1649">
        <f>30550-11767</f>
        <v>18783</v>
      </c>
      <c r="DL369" s="1649">
        <v>4666</v>
      </c>
    </row>
    <row r="370" spans="1:116" ht="12.75" customHeight="1">
      <c r="A370" s="1539" t="s">
        <v>1361</v>
      </c>
      <c r="B370" s="1642"/>
      <c r="C370" s="1642"/>
      <c r="D370" s="1642"/>
      <c r="E370" s="1641"/>
      <c r="F370" s="1642"/>
      <c r="G370" s="1642"/>
      <c r="H370" s="1642"/>
      <c r="I370" s="1642"/>
      <c r="J370" s="1642"/>
      <c r="K370" s="1681"/>
      <c r="L370" s="1642"/>
      <c r="M370" s="1642"/>
      <c r="N370" s="1642"/>
      <c r="O370" s="1642"/>
      <c r="P370" s="1642"/>
      <c r="Q370" s="1642"/>
      <c r="R370" s="1642"/>
      <c r="S370" s="1642"/>
      <c r="T370" s="1642"/>
      <c r="U370" s="1642"/>
      <c r="V370" s="1642"/>
      <c r="W370" s="1642"/>
      <c r="X370" s="1642"/>
      <c r="Y370" s="1642"/>
      <c r="Z370" s="1642"/>
      <c r="AA370" s="1642"/>
      <c r="AB370" s="1642"/>
      <c r="AC370" s="1642"/>
      <c r="AD370" s="1642"/>
      <c r="AE370" s="1642"/>
      <c r="AF370" s="1641"/>
      <c r="AG370" s="1642"/>
      <c r="AH370" s="1642"/>
      <c r="AI370" s="1642"/>
      <c r="AJ370" s="1641"/>
      <c r="AK370" s="1642"/>
      <c r="AL370" s="1642"/>
      <c r="AM370" s="1642"/>
      <c r="AN370" s="1641"/>
      <c r="AO370" s="1642"/>
      <c r="AP370" s="1642"/>
      <c r="AQ370" s="1642"/>
      <c r="AR370" s="1641"/>
      <c r="AS370" s="1642"/>
      <c r="AT370" s="1642"/>
      <c r="AU370" s="1642"/>
      <c r="AV370" s="1641"/>
      <c r="AW370" s="1642"/>
      <c r="AX370" s="1642"/>
      <c r="AY370" s="1642"/>
      <c r="AZ370" s="1641"/>
      <c r="BA370" s="1642"/>
      <c r="BB370" s="1642"/>
      <c r="BC370" s="1642"/>
      <c r="BD370" s="1641"/>
      <c r="BE370" s="1642"/>
      <c r="BF370" s="1642"/>
      <c r="BG370" s="1642"/>
      <c r="BH370" s="1641"/>
      <c r="BI370" s="1642"/>
      <c r="BJ370" s="1642"/>
      <c r="BK370" s="1642"/>
      <c r="BL370" s="1641"/>
      <c r="BM370" s="1642"/>
      <c r="BN370" s="1642"/>
      <c r="BO370" s="1642"/>
      <c r="BP370" s="1641"/>
      <c r="BQ370" s="1642"/>
      <c r="BR370" s="1642"/>
      <c r="BS370" s="1642"/>
      <c r="BT370" s="1641"/>
      <c r="BU370" s="1634"/>
      <c r="BV370" s="1634"/>
      <c r="BW370" s="1634"/>
      <c r="BX370" s="1633"/>
      <c r="BY370" s="1634"/>
      <c r="BZ370" s="1634"/>
      <c r="CA370" s="1634"/>
      <c r="CB370" s="1633"/>
      <c r="CC370" s="1634"/>
      <c r="CD370" s="1634">
        <v>0</v>
      </c>
      <c r="CE370" s="1634"/>
      <c r="CF370" s="1633"/>
      <c r="CG370" s="1634"/>
      <c r="CH370" s="1634"/>
      <c r="CI370" s="1634"/>
      <c r="CJ370" s="1633"/>
      <c r="CK370" s="1634"/>
      <c r="CL370" s="1634"/>
      <c r="CM370" s="1648"/>
      <c r="CN370" s="1649"/>
      <c r="CO370" s="1649"/>
      <c r="CP370" s="1649"/>
      <c r="CQ370" s="1648"/>
      <c r="CR370" s="1649"/>
      <c r="CS370" s="1649"/>
      <c r="CT370" s="1649"/>
      <c r="CU370" s="1648"/>
      <c r="CV370" s="1649"/>
      <c r="CW370" s="1649"/>
      <c r="CX370" s="1649"/>
      <c r="CY370" s="1648"/>
      <c r="CZ370" s="1649"/>
      <c r="DA370" s="1649"/>
      <c r="DB370" s="1649"/>
      <c r="DC370" s="1649"/>
      <c r="DD370" s="1649"/>
      <c r="DE370" s="1649"/>
      <c r="DF370" s="1649"/>
      <c r="DG370" s="1649"/>
      <c r="DH370" s="1649"/>
      <c r="DI370" s="1649"/>
      <c r="DJ370" s="1649"/>
      <c r="DK370" s="1649"/>
      <c r="DL370" s="1649"/>
    </row>
    <row r="371" spans="1:116" ht="12.75" customHeight="1">
      <c r="A371" s="1628" t="s">
        <v>965</v>
      </c>
      <c r="B371" s="1642"/>
      <c r="C371" s="1642"/>
      <c r="D371" s="1642"/>
      <c r="E371" s="1641"/>
      <c r="F371" s="1642"/>
      <c r="G371" s="1642"/>
      <c r="H371" s="1642"/>
      <c r="I371" s="1642"/>
      <c r="J371" s="1642"/>
      <c r="K371" s="1681"/>
      <c r="L371" s="1642"/>
      <c r="M371" s="1642"/>
      <c r="N371" s="1642"/>
      <c r="O371" s="1642"/>
      <c r="P371" s="1642"/>
      <c r="Q371" s="1642"/>
      <c r="R371" s="1642"/>
      <c r="S371" s="1642"/>
      <c r="T371" s="1642"/>
      <c r="U371" s="1642"/>
      <c r="V371" s="1642"/>
      <c r="W371" s="1642"/>
      <c r="X371" s="1642"/>
      <c r="Y371" s="1642"/>
      <c r="Z371" s="1642"/>
      <c r="AA371" s="1642"/>
      <c r="AB371" s="1642"/>
      <c r="AC371" s="1642"/>
      <c r="AD371" s="1642"/>
      <c r="AE371" s="1642"/>
      <c r="AF371" s="1641"/>
      <c r="AG371" s="1642"/>
      <c r="AH371" s="1642"/>
      <c r="AI371" s="1642"/>
      <c r="AJ371" s="1641"/>
      <c r="AK371" s="1642"/>
      <c r="AL371" s="1642"/>
      <c r="AM371" s="1642"/>
      <c r="AN371" s="1641"/>
      <c r="AO371" s="1642">
        <v>4828</v>
      </c>
      <c r="AP371" s="1642">
        <v>7283</v>
      </c>
      <c r="AQ371" s="1642"/>
      <c r="AR371" s="1641"/>
      <c r="AS371" s="1642">
        <v>5811</v>
      </c>
      <c r="AT371" s="1642">
        <v>9022</v>
      </c>
      <c r="AU371" s="1642">
        <v>12261</v>
      </c>
      <c r="AV371" s="1641">
        <v>3360</v>
      </c>
      <c r="AW371" s="1642">
        <v>6760</v>
      </c>
      <c r="AX371" s="1642">
        <v>10162</v>
      </c>
      <c r="AY371" s="1642">
        <v>13657</v>
      </c>
      <c r="AZ371" s="1641">
        <v>3320</v>
      </c>
      <c r="BA371" s="1632">
        <v>6676</v>
      </c>
      <c r="BB371" s="1642">
        <v>9996</v>
      </c>
      <c r="BC371" s="1642">
        <v>13423</v>
      </c>
      <c r="BD371" s="1641">
        <v>3364</v>
      </c>
      <c r="BE371" s="1642">
        <f>6746-BD371</f>
        <v>3382</v>
      </c>
      <c r="BF371" s="1642">
        <f>10162-SUM(BD371:BE371)</f>
        <v>3416</v>
      </c>
      <c r="BG371" s="1642">
        <f>13607-SUM(BD371:BF371)</f>
        <v>3445</v>
      </c>
      <c r="BH371" s="1641">
        <v>3425</v>
      </c>
      <c r="BI371" s="1642">
        <f>6862-BH371</f>
        <v>3437</v>
      </c>
      <c r="BJ371" s="1642">
        <f>10345-SUM(BH371:BI371)</f>
        <v>3483</v>
      </c>
      <c r="BK371" s="1642">
        <f>13910-SUM(BH371:BJ371)</f>
        <v>3565</v>
      </c>
      <c r="BL371" s="1641">
        <v>3460</v>
      </c>
      <c r="BM371" s="1642">
        <f>6956-BL371</f>
        <v>3496</v>
      </c>
      <c r="BN371" s="1642">
        <f>10474-SUM(BL371:BM371)</f>
        <v>3518</v>
      </c>
      <c r="BO371" s="1642">
        <f>14047-SUM(BL371:BN371)</f>
        <v>3573</v>
      </c>
      <c r="BP371" s="1641">
        <v>3776</v>
      </c>
      <c r="BQ371" s="1642">
        <f>7319-BP371</f>
        <v>3543</v>
      </c>
      <c r="BR371" s="1642">
        <f>10947-BP371-BQ371</f>
        <v>3628</v>
      </c>
      <c r="BS371" s="1642">
        <f>14545-BP371-BQ371-BR371</f>
        <v>3598</v>
      </c>
      <c r="BT371" s="1641">
        <v>3533</v>
      </c>
      <c r="BU371" s="1634">
        <f>7106-BT371</f>
        <v>3573</v>
      </c>
      <c r="BV371" s="1634">
        <f>10711-BU371-BT371</f>
        <v>3605</v>
      </c>
      <c r="BW371" s="1634">
        <f>14377-BV371-BU371-BT371</f>
        <v>3666</v>
      </c>
      <c r="BX371" s="1633">
        <v>3582</v>
      </c>
      <c r="BY371" s="1634">
        <f>7166-BX371</f>
        <v>3584</v>
      </c>
      <c r="BZ371" s="1634">
        <f>10818-BY371-BX371</f>
        <v>3652</v>
      </c>
      <c r="CA371" s="1634">
        <f>14565-BZ371-BY371-BX371</f>
        <v>3747</v>
      </c>
      <c r="CB371" s="1633">
        <v>4028</v>
      </c>
      <c r="CC371" s="1634">
        <f>8119-CB371</f>
        <v>4091</v>
      </c>
      <c r="CD371" s="1634">
        <f>12291-CC371-CB371</f>
        <v>4172</v>
      </c>
      <c r="CE371" s="1634">
        <f>16532-CD371-CC371-CB371</f>
        <v>4241</v>
      </c>
      <c r="CF371" s="1633">
        <v>4122</v>
      </c>
      <c r="CG371" s="1634">
        <f>8299-CF371</f>
        <v>4177</v>
      </c>
      <c r="CH371" s="1634">
        <f>12322-CG371-CF371</f>
        <v>4023</v>
      </c>
      <c r="CI371" s="1634">
        <f>16405-CH371-CG371-CF371</f>
        <v>4083</v>
      </c>
      <c r="CJ371" s="1633">
        <v>4024</v>
      </c>
      <c r="CK371" s="1634">
        <f>8137-CJ371</f>
        <v>4113</v>
      </c>
      <c r="CL371" s="1634">
        <f>12316-CK371-CJ371</f>
        <v>4179</v>
      </c>
      <c r="CM371" s="1648">
        <v>4180</v>
      </c>
      <c r="CN371" s="1649">
        <v>4028</v>
      </c>
      <c r="CO371" s="1649">
        <f>8156-CN371</f>
        <v>4128</v>
      </c>
      <c r="CP371" s="1649">
        <f>12323-CO371-CN371</f>
        <v>4167</v>
      </c>
      <c r="CQ371" s="1648">
        <f>16460-CP371-CO371-CN371</f>
        <v>4137</v>
      </c>
      <c r="CR371" s="1649">
        <v>4118</v>
      </c>
      <c r="CS371" s="1649">
        <f>8269-CR371</f>
        <v>4151</v>
      </c>
      <c r="CT371" s="1649">
        <f>12423-CS371-CR371</f>
        <v>4154</v>
      </c>
      <c r="CU371" s="1648">
        <f>16606-CT371-CS371-CR371</f>
        <v>4183</v>
      </c>
      <c r="CV371" s="1649">
        <v>4137</v>
      </c>
      <c r="CW371" s="1649">
        <f>8298-CV371</f>
        <v>4161</v>
      </c>
      <c r="CX371" s="1649">
        <f>12465-8298</f>
        <v>4167</v>
      </c>
      <c r="CY371" s="1648">
        <f>16533-CX371-CW371-CV371</f>
        <v>4068</v>
      </c>
      <c r="CZ371" s="1649">
        <v>3989</v>
      </c>
      <c r="DA371" s="1649">
        <f>7969-CZ371</f>
        <v>3980</v>
      </c>
      <c r="DB371" s="1649">
        <f>11978-DA371-CZ371</f>
        <v>4009</v>
      </c>
      <c r="DC371" s="1649">
        <f>16017-SUM(CZ371:DB371)</f>
        <v>4039</v>
      </c>
      <c r="DD371" s="1649">
        <v>4017</v>
      </c>
      <c r="DE371" s="1649">
        <f>7999-DD371</f>
        <v>3982</v>
      </c>
      <c r="DF371" s="1649">
        <f>11941-DD371-DE371</f>
        <v>3942</v>
      </c>
      <c r="DG371" s="1649">
        <f>15928-DD371-DE371-DF371</f>
        <v>3987</v>
      </c>
      <c r="DH371" s="1649">
        <v>4059</v>
      </c>
      <c r="DI371" s="1649">
        <f>8226-DH371</f>
        <v>4167</v>
      </c>
      <c r="DJ371" s="1649">
        <f>12498-DH371-DI371</f>
        <v>4272</v>
      </c>
      <c r="DK371" s="1649">
        <f>16954-12498</f>
        <v>4456</v>
      </c>
      <c r="DL371" s="1649">
        <v>4324</v>
      </c>
    </row>
    <row r="372" spans="1:116" ht="12.75" hidden="1" customHeight="1">
      <c r="A372" s="1628" t="s">
        <v>1364</v>
      </c>
      <c r="B372" s="1642"/>
      <c r="C372" s="1642"/>
      <c r="D372" s="1642"/>
      <c r="E372" s="1641"/>
      <c r="F372" s="1642"/>
      <c r="G372" s="1642"/>
      <c r="H372" s="1642"/>
      <c r="I372" s="1642"/>
      <c r="J372" s="1642"/>
      <c r="K372" s="1681"/>
      <c r="L372" s="1642"/>
      <c r="M372" s="1642"/>
      <c r="N372" s="1642"/>
      <c r="O372" s="1642"/>
      <c r="P372" s="1642"/>
      <c r="Q372" s="1642"/>
      <c r="R372" s="1642"/>
      <c r="S372" s="1642"/>
      <c r="T372" s="1642"/>
      <c r="U372" s="1642"/>
      <c r="V372" s="1642"/>
      <c r="W372" s="1642"/>
      <c r="X372" s="1642"/>
      <c r="Y372" s="1642"/>
      <c r="Z372" s="1642"/>
      <c r="AA372" s="1642"/>
      <c r="AB372" s="1642"/>
      <c r="AC372" s="1642"/>
      <c r="AD372" s="1642"/>
      <c r="AE372" s="1642"/>
      <c r="AF372" s="1641"/>
      <c r="AG372" s="1642"/>
      <c r="AH372" s="1642"/>
      <c r="AI372" s="1642"/>
      <c r="AJ372" s="1641"/>
      <c r="AK372" s="1642"/>
      <c r="AL372" s="1642"/>
      <c r="AM372" s="1642"/>
      <c r="AN372" s="1641"/>
      <c r="AO372" s="1642">
        <v>-513</v>
      </c>
      <c r="AP372" s="1642">
        <v>-1267</v>
      </c>
      <c r="AQ372" s="1642"/>
      <c r="AR372" s="1641"/>
      <c r="AS372" s="1642">
        <v>-2553</v>
      </c>
      <c r="AT372" s="1642">
        <v>-3780</v>
      </c>
      <c r="AU372" s="1642">
        <v>-3793</v>
      </c>
      <c r="AV372" s="1641">
        <v>0</v>
      </c>
      <c r="AW372" s="1642">
        <v>-5</v>
      </c>
      <c r="AX372" s="1642">
        <v>-5</v>
      </c>
      <c r="AY372" s="1642">
        <v>350</v>
      </c>
      <c r="AZ372" s="1641">
        <v>-220</v>
      </c>
      <c r="BA372" s="1632">
        <v>-220</v>
      </c>
      <c r="BB372" s="1642">
        <v>-2747</v>
      </c>
      <c r="BC372" s="1642">
        <v>-2747</v>
      </c>
      <c r="BD372" s="1641">
        <v>0</v>
      </c>
      <c r="BE372" s="1642">
        <v>0</v>
      </c>
      <c r="BF372" s="1642">
        <v>-141</v>
      </c>
      <c r="BG372" s="1642">
        <f>-141-SUM(BD372:BF372)</f>
        <v>0</v>
      </c>
      <c r="BH372" s="1641">
        <v>0</v>
      </c>
      <c r="BI372" s="1642">
        <v>0</v>
      </c>
      <c r="BJ372" s="1642">
        <v>0</v>
      </c>
      <c r="BK372" s="1642">
        <v>0</v>
      </c>
      <c r="BL372" s="1641">
        <v>0</v>
      </c>
      <c r="BM372" s="1642">
        <f>-530-BL372</f>
        <v>-530</v>
      </c>
      <c r="BN372" s="1642">
        <f>-530-SUM(BL372:BM372)</f>
        <v>0</v>
      </c>
      <c r="BO372" s="1642">
        <f>-530-SUM(BL372:BN372)</f>
        <v>0</v>
      </c>
      <c r="BP372" s="1641"/>
      <c r="BQ372" s="1642"/>
      <c r="BR372" s="1642"/>
      <c r="BS372" s="1642">
        <f>541-BP372-BQ372-BR372</f>
        <v>541</v>
      </c>
      <c r="BT372" s="1641">
        <v>131</v>
      </c>
      <c r="BU372" s="1634"/>
      <c r="BV372" s="1634">
        <f>131-BT372</f>
        <v>0</v>
      </c>
      <c r="BW372" s="1634">
        <f>131-BV372-BU372-BT372</f>
        <v>0</v>
      </c>
      <c r="BX372" s="1633">
        <v>0</v>
      </c>
      <c r="BY372" s="1634">
        <v>0</v>
      </c>
      <c r="BZ372" s="1634"/>
      <c r="CA372" s="1634"/>
      <c r="CB372" s="1633"/>
      <c r="CC372" s="1634"/>
      <c r="CD372" s="1634">
        <v>0</v>
      </c>
      <c r="CE372" s="1634"/>
      <c r="CF372" s="1633"/>
      <c r="CG372" s="1634"/>
      <c r="CH372" s="1634"/>
      <c r="CI372" s="1634"/>
      <c r="CJ372" s="1633"/>
      <c r="CK372" s="1634"/>
      <c r="CL372" s="1634"/>
      <c r="CM372" s="1648"/>
      <c r="CN372" s="1649"/>
      <c r="CO372" s="1649"/>
      <c r="CP372" s="1649"/>
      <c r="CQ372" s="1648"/>
      <c r="CR372" s="1649"/>
      <c r="CS372" s="1649"/>
      <c r="CT372" s="1649"/>
      <c r="CU372" s="1648"/>
      <c r="CV372" s="1649"/>
      <c r="CW372" s="1649"/>
      <c r="CX372" s="1649"/>
      <c r="CY372" s="1648"/>
      <c r="CZ372" s="1649"/>
      <c r="DA372" s="1649"/>
      <c r="DB372" s="1649"/>
      <c r="DC372" s="1649"/>
      <c r="DD372" s="1649"/>
      <c r="DE372" s="1649"/>
      <c r="DF372" s="1649"/>
      <c r="DG372" s="1649"/>
      <c r="DH372" s="1649"/>
      <c r="DI372" s="1649"/>
      <c r="DJ372" s="1649"/>
      <c r="DK372" s="1649"/>
      <c r="DL372" s="1649"/>
    </row>
    <row r="373" spans="1:116" ht="12.75" hidden="1" customHeight="1">
      <c r="A373" s="1628" t="s">
        <v>1365</v>
      </c>
      <c r="B373" s="1642"/>
      <c r="C373" s="1642"/>
      <c r="D373" s="1642"/>
      <c r="E373" s="1641"/>
      <c r="F373" s="1642"/>
      <c r="G373" s="1642"/>
      <c r="H373" s="1642"/>
      <c r="I373" s="1642"/>
      <c r="J373" s="1642"/>
      <c r="K373" s="1681"/>
      <c r="L373" s="1642"/>
      <c r="M373" s="1642"/>
      <c r="N373" s="1642"/>
      <c r="O373" s="1642"/>
      <c r="P373" s="1642"/>
      <c r="Q373" s="1642"/>
      <c r="R373" s="1642"/>
      <c r="S373" s="1642"/>
      <c r="T373" s="1642"/>
      <c r="U373" s="1642"/>
      <c r="V373" s="1642"/>
      <c r="W373" s="1642"/>
      <c r="X373" s="1642"/>
      <c r="Y373" s="1642"/>
      <c r="Z373" s="1642"/>
      <c r="AA373" s="1642"/>
      <c r="AB373" s="1642"/>
      <c r="AC373" s="1642"/>
      <c r="AD373" s="1642"/>
      <c r="AE373" s="1642"/>
      <c r="AF373" s="1641"/>
      <c r="AG373" s="1642"/>
      <c r="AH373" s="1642"/>
      <c r="AI373" s="1642"/>
      <c r="AJ373" s="1641"/>
      <c r="AK373" s="1642"/>
      <c r="AL373" s="1642"/>
      <c r="AM373" s="1642"/>
      <c r="AN373" s="1641"/>
      <c r="AO373" s="1642">
        <v>0</v>
      </c>
      <c r="AP373" s="1642">
        <v>0</v>
      </c>
      <c r="AQ373" s="1642"/>
      <c r="AR373" s="1641"/>
      <c r="AS373" s="1642">
        <v>-287</v>
      </c>
      <c r="AT373" s="1642">
        <v>-664</v>
      </c>
      <c r="AU373" s="1642">
        <v>-664</v>
      </c>
      <c r="AV373" s="1641">
        <v>116</v>
      </c>
      <c r="AW373" s="1642">
        <v>153</v>
      </c>
      <c r="AX373" s="1642">
        <v>166</v>
      </c>
      <c r="AY373" s="1642">
        <v>182</v>
      </c>
      <c r="AZ373" s="1641">
        <v>3</v>
      </c>
      <c r="BA373" s="1632">
        <v>11</v>
      </c>
      <c r="BB373" s="1642">
        <v>28</v>
      </c>
      <c r="BC373" s="1642">
        <v>14</v>
      </c>
      <c r="BD373" s="1641">
        <v>0</v>
      </c>
      <c r="BE373" s="1642">
        <v>0</v>
      </c>
      <c r="BF373" s="1642">
        <v>0</v>
      </c>
      <c r="BG373" s="1642">
        <v>0</v>
      </c>
      <c r="BH373" s="1641">
        <v>0</v>
      </c>
      <c r="BI373" s="1642">
        <v>0</v>
      </c>
      <c r="BJ373" s="1642">
        <v>0</v>
      </c>
      <c r="BK373" s="1642">
        <v>0</v>
      </c>
      <c r="BL373" s="1641">
        <v>0</v>
      </c>
      <c r="BM373" s="1642">
        <v>0</v>
      </c>
      <c r="BN373" s="1642">
        <v>0</v>
      </c>
      <c r="BO373" s="1642">
        <v>0</v>
      </c>
      <c r="BP373" s="1641"/>
      <c r="BQ373" s="1642"/>
      <c r="BR373" s="1642"/>
      <c r="BS373" s="1642"/>
      <c r="BT373" s="1641"/>
      <c r="BU373" s="1634"/>
      <c r="BV373" s="1634"/>
      <c r="BW373" s="1634">
        <v>0</v>
      </c>
      <c r="BX373" s="1633"/>
      <c r="BY373" s="1634"/>
      <c r="BZ373" s="1634"/>
      <c r="CA373" s="1634"/>
      <c r="CB373" s="1633"/>
      <c r="CC373" s="1634"/>
      <c r="CD373" s="1634">
        <v>0</v>
      </c>
      <c r="CE373" s="1634"/>
      <c r="CF373" s="1633"/>
      <c r="CG373" s="1634"/>
      <c r="CH373" s="1634"/>
      <c r="CI373" s="1634"/>
      <c r="CJ373" s="1633"/>
      <c r="CK373" s="1634"/>
      <c r="CL373" s="1634"/>
      <c r="CM373" s="1648"/>
      <c r="CN373" s="1649"/>
      <c r="CO373" s="1649"/>
      <c r="CP373" s="1649"/>
      <c r="CQ373" s="1648"/>
      <c r="CR373" s="1649"/>
      <c r="CS373" s="1649"/>
      <c r="CT373" s="1649"/>
      <c r="CU373" s="1648"/>
      <c r="CV373" s="1649"/>
      <c r="CW373" s="1649"/>
      <c r="CX373" s="1649"/>
      <c r="CY373" s="1648"/>
      <c r="CZ373" s="1649"/>
      <c r="DA373" s="1649"/>
      <c r="DB373" s="1649"/>
      <c r="DC373" s="1649"/>
      <c r="DD373" s="1649"/>
      <c r="DE373" s="1649"/>
      <c r="DF373" s="1649"/>
      <c r="DG373" s="1649"/>
      <c r="DH373" s="1649"/>
      <c r="DI373" s="1649"/>
      <c r="DJ373" s="1649"/>
      <c r="DK373" s="1649"/>
      <c r="DL373" s="1649"/>
    </row>
    <row r="374" spans="1:116" ht="12.75" customHeight="1">
      <c r="A374" s="1628" t="s">
        <v>1366</v>
      </c>
      <c r="B374" s="1642"/>
      <c r="C374" s="1642"/>
      <c r="D374" s="1642"/>
      <c r="E374" s="1641"/>
      <c r="F374" s="1642"/>
      <c r="G374" s="1642"/>
      <c r="H374" s="1642"/>
      <c r="I374" s="1642"/>
      <c r="J374" s="1642"/>
      <c r="K374" s="1681"/>
      <c r="L374" s="1642"/>
      <c r="M374" s="1642"/>
      <c r="N374" s="1642"/>
      <c r="O374" s="1642"/>
      <c r="P374" s="1642"/>
      <c r="Q374" s="1642"/>
      <c r="R374" s="1642"/>
      <c r="S374" s="1642"/>
      <c r="T374" s="1642"/>
      <c r="U374" s="1642"/>
      <c r="V374" s="1642"/>
      <c r="W374" s="1642"/>
      <c r="X374" s="1642"/>
      <c r="Y374" s="1642"/>
      <c r="Z374" s="1642"/>
      <c r="AA374" s="1642"/>
      <c r="AB374" s="1642"/>
      <c r="AC374" s="1642"/>
      <c r="AD374" s="1642"/>
      <c r="AE374" s="1642"/>
      <c r="AF374" s="1641"/>
      <c r="AG374" s="1642"/>
      <c r="AH374" s="1642"/>
      <c r="AI374" s="1642"/>
      <c r="AJ374" s="1641"/>
      <c r="AK374" s="1642"/>
      <c r="AL374" s="1642"/>
      <c r="AM374" s="1642"/>
      <c r="AN374" s="1641"/>
      <c r="AO374" s="1642">
        <v>-817</v>
      </c>
      <c r="AP374" s="1642">
        <v>-1118</v>
      </c>
      <c r="AQ374" s="1642"/>
      <c r="AR374" s="1641"/>
      <c r="AS374" s="1642">
        <v>-1760</v>
      </c>
      <c r="AT374" s="1642">
        <v>-2585</v>
      </c>
      <c r="AU374" s="1642">
        <v>-3340</v>
      </c>
      <c r="AV374" s="1641">
        <v>-476</v>
      </c>
      <c r="AW374" s="1642">
        <v>-1118</v>
      </c>
      <c r="AX374" s="1642">
        <v>-1610</v>
      </c>
      <c r="AY374" s="1642">
        <v>-1327</v>
      </c>
      <c r="AZ374" s="1641">
        <v>-405</v>
      </c>
      <c r="BA374" s="1632">
        <v>-726</v>
      </c>
      <c r="BB374" s="1642">
        <v>-963</v>
      </c>
      <c r="BC374" s="1642">
        <v>-501</v>
      </c>
      <c r="BD374" s="1641">
        <v>-78</v>
      </c>
      <c r="BE374" s="1642">
        <f>170-BD374</f>
        <v>248</v>
      </c>
      <c r="BF374" s="1642">
        <f>230-SUM(BD374:BE374)</f>
        <v>60</v>
      </c>
      <c r="BG374" s="1642">
        <f>3048-SUM(BD374:BF374)</f>
        <v>2818</v>
      </c>
      <c r="BH374" s="1641">
        <v>1054</v>
      </c>
      <c r="BI374" s="1642">
        <f>1410-BH374</f>
        <v>356</v>
      </c>
      <c r="BJ374" s="1642">
        <f>1679-SUM(BH374:BI374)</f>
        <v>269</v>
      </c>
      <c r="BK374" s="1642">
        <f>1999-SUM(BH374:BJ374)</f>
        <v>320</v>
      </c>
      <c r="BL374" s="1641">
        <v>435</v>
      </c>
      <c r="BM374" s="1642">
        <f>861-BL374</f>
        <v>426</v>
      </c>
      <c r="BN374" s="1642">
        <f>1300-SUM(BL374:BM374)</f>
        <v>439</v>
      </c>
      <c r="BO374" s="1642">
        <f>1840-SUM(BL374:BN374)</f>
        <v>540</v>
      </c>
      <c r="BP374" s="1641">
        <v>523</v>
      </c>
      <c r="BQ374" s="1642">
        <f>1040-BP374</f>
        <v>517</v>
      </c>
      <c r="BR374" s="1642">
        <f>1500-BP374-BQ374</f>
        <v>460</v>
      </c>
      <c r="BS374" s="1642">
        <f>1923-BP374-BQ374-BR374</f>
        <v>423</v>
      </c>
      <c r="BT374" s="1641">
        <v>430</v>
      </c>
      <c r="BU374" s="1634">
        <f>862-BT374</f>
        <v>432</v>
      </c>
      <c r="BV374" s="1634">
        <f>1290-BU374-BT374</f>
        <v>428</v>
      </c>
      <c r="BW374" s="1634">
        <f>1720-BV374-BU374-BT374</f>
        <v>430</v>
      </c>
      <c r="BX374" s="1633">
        <v>407</v>
      </c>
      <c r="BY374" s="1634">
        <f>808-BX374</f>
        <v>401</v>
      </c>
      <c r="BZ374" s="1634">
        <f>1232-BY374-BX374</f>
        <v>424</v>
      </c>
      <c r="CA374" s="1634">
        <f>1955-BZ374-BY374-BX374</f>
        <v>723</v>
      </c>
      <c r="CB374" s="1633">
        <v>502</v>
      </c>
      <c r="CC374" s="1634">
        <f>1420-CB374</f>
        <v>918</v>
      </c>
      <c r="CD374" s="1634">
        <f>2533-CC374-CB374</f>
        <v>1113</v>
      </c>
      <c r="CE374" s="1634">
        <f>5095-CD374-CC374-CB374</f>
        <v>2562</v>
      </c>
      <c r="CF374" s="1633">
        <v>543</v>
      </c>
      <c r="CG374" s="1634">
        <f>3988-CF374</f>
        <v>3445</v>
      </c>
      <c r="CH374" s="1634">
        <f>5710-CG374-CF374</f>
        <v>1722</v>
      </c>
      <c r="CI374" s="1634">
        <f>3988-CH374-CG374-CF374</f>
        <v>-1722</v>
      </c>
      <c r="CJ374" s="1633">
        <v>373</v>
      </c>
      <c r="CK374" s="1634">
        <f>726-CJ374</f>
        <v>353</v>
      </c>
      <c r="CL374" s="1634">
        <f>1428-CK374-CJ374</f>
        <v>702</v>
      </c>
      <c r="CM374" s="1648">
        <v>5998</v>
      </c>
      <c r="CN374" s="1649">
        <v>375</v>
      </c>
      <c r="CO374" s="1649">
        <f>751-CN374</f>
        <v>376</v>
      </c>
      <c r="CP374" s="1649">
        <f>1126-CO374-CN374</f>
        <v>375</v>
      </c>
      <c r="CQ374" s="1648">
        <f>8198-CP374-CO374-CN374</f>
        <v>7072</v>
      </c>
      <c r="CR374" s="1649">
        <v>295</v>
      </c>
      <c r="CS374" s="1649">
        <f>354-CR374</f>
        <v>59</v>
      </c>
      <c r="CT374" s="1649">
        <f>649-CS374-CR374</f>
        <v>295</v>
      </c>
      <c r="CU374" s="1648">
        <f>-5052-CT374-CS374-CR374</f>
        <v>-5701</v>
      </c>
      <c r="CV374" s="1649">
        <v>281</v>
      </c>
      <c r="CW374" s="1649">
        <f>562-CV374</f>
        <v>281</v>
      </c>
      <c r="CX374" s="1649">
        <f>843-562</f>
        <v>281</v>
      </c>
      <c r="CY374" s="1648">
        <f>8130-CX374-CW374-CV374</f>
        <v>7287</v>
      </c>
      <c r="CZ374" s="1649">
        <v>284</v>
      </c>
      <c r="DA374" s="1649">
        <f>561-CZ374</f>
        <v>277</v>
      </c>
      <c r="DB374" s="1649">
        <f>1184-DA374-CZ374</f>
        <v>623</v>
      </c>
      <c r="DC374" s="1649">
        <f>-1747-SUM(CZ374:DB374)</f>
        <v>-2931</v>
      </c>
      <c r="DD374" s="1649">
        <v>356</v>
      </c>
      <c r="DE374" s="1649">
        <f>4021-DD374</f>
        <v>3665</v>
      </c>
      <c r="DF374" s="1649">
        <f>4531-DD374-DE374</f>
        <v>510</v>
      </c>
      <c r="DG374" s="1649">
        <f>2705-DD374-DE374-DF374</f>
        <v>-1826</v>
      </c>
      <c r="DH374" s="1649">
        <v>-111</v>
      </c>
      <c r="DI374" s="1649">
        <f>-223-DH374</f>
        <v>-112</v>
      </c>
      <c r="DJ374" s="1649">
        <f>-334-DH374-DI374</f>
        <v>-111</v>
      </c>
      <c r="DK374" s="1649">
        <f>440--334</f>
        <v>774</v>
      </c>
      <c r="DL374" s="1649">
        <v>-151</v>
      </c>
    </row>
    <row r="375" spans="1:116" ht="12.75" customHeight="1">
      <c r="A375" s="1628" t="s">
        <v>1367</v>
      </c>
      <c r="B375" s="1642"/>
      <c r="C375" s="1642"/>
      <c r="D375" s="1642"/>
      <c r="E375" s="1641"/>
      <c r="F375" s="1642"/>
      <c r="G375" s="1642"/>
      <c r="H375" s="1642"/>
      <c r="I375" s="1642"/>
      <c r="J375" s="1642"/>
      <c r="K375" s="1681"/>
      <c r="L375" s="1642"/>
      <c r="M375" s="1642"/>
      <c r="N375" s="1642"/>
      <c r="O375" s="1642"/>
      <c r="P375" s="1642"/>
      <c r="Q375" s="1642"/>
      <c r="R375" s="1642"/>
      <c r="S375" s="1642"/>
      <c r="T375" s="1642"/>
      <c r="U375" s="1642"/>
      <c r="V375" s="1642"/>
      <c r="W375" s="1642"/>
      <c r="X375" s="1642"/>
      <c r="Y375" s="1642"/>
      <c r="Z375" s="1642"/>
      <c r="AA375" s="1642"/>
      <c r="AB375" s="1642"/>
      <c r="AC375" s="1642"/>
      <c r="AD375" s="1642"/>
      <c r="AE375" s="1642"/>
      <c r="AF375" s="1641"/>
      <c r="AG375" s="1642"/>
      <c r="AH375" s="1642"/>
      <c r="AI375" s="1642"/>
      <c r="AJ375" s="1641"/>
      <c r="AK375" s="1642"/>
      <c r="AL375" s="1642"/>
      <c r="AM375" s="1642"/>
      <c r="AN375" s="1641"/>
      <c r="AO375" s="1642">
        <v>983</v>
      </c>
      <c r="AP375" s="1642">
        <v>1326</v>
      </c>
      <c r="AQ375" s="1642"/>
      <c r="AR375" s="1641"/>
      <c r="AS375" s="1642">
        <v>2084</v>
      </c>
      <c r="AT375" s="1642">
        <v>2878</v>
      </c>
      <c r="AU375" s="1642">
        <v>3434</v>
      </c>
      <c r="AV375" s="1641">
        <v>416</v>
      </c>
      <c r="AW375" s="1642">
        <v>-349</v>
      </c>
      <c r="AX375" s="1642">
        <v>552</v>
      </c>
      <c r="AY375" s="1642">
        <v>1065</v>
      </c>
      <c r="AZ375" s="1641">
        <v>369</v>
      </c>
      <c r="BA375" s="1632">
        <v>784</v>
      </c>
      <c r="BB375" s="1642">
        <v>869</v>
      </c>
      <c r="BC375" s="1642">
        <v>1722</v>
      </c>
      <c r="BD375" s="1641">
        <v>421</v>
      </c>
      <c r="BE375" s="1642">
        <f>752-BD375</f>
        <v>331</v>
      </c>
      <c r="BF375" s="1642">
        <f>1418-SUM(BD375:BE375)</f>
        <v>666</v>
      </c>
      <c r="BG375" s="1642">
        <f>826-SUM(BD375:BF375)</f>
        <v>-592</v>
      </c>
      <c r="BH375" s="1641">
        <v>124</v>
      </c>
      <c r="BI375" s="1642">
        <f>472-BH375</f>
        <v>348</v>
      </c>
      <c r="BJ375" s="1642">
        <f>968-SUM(BH375:BI375)</f>
        <v>496</v>
      </c>
      <c r="BK375" s="1642">
        <f>1842-SUM(BH375:BJ375)</f>
        <v>874</v>
      </c>
      <c r="BL375" s="1641">
        <v>-281</v>
      </c>
      <c r="BM375" s="1642">
        <f>-735-BL375</f>
        <v>-454</v>
      </c>
      <c r="BN375" s="1642">
        <f>-917-SUM(BL375:BM375)</f>
        <v>-182</v>
      </c>
      <c r="BO375" s="1642">
        <f>-1059-SUM(BL375:BN375)</f>
        <v>-142</v>
      </c>
      <c r="BP375" s="1641">
        <v>-157</v>
      </c>
      <c r="BQ375" s="1642">
        <f>-663-BP375</f>
        <v>-506</v>
      </c>
      <c r="BR375" s="1642">
        <f>-540-BP375-BQ375</f>
        <v>123</v>
      </c>
      <c r="BS375" s="1642">
        <f>-252-BP375-BQ375-BR375</f>
        <v>288</v>
      </c>
      <c r="BT375" s="1641">
        <v>222</v>
      </c>
      <c r="BU375" s="1634">
        <f>332-BT375</f>
        <v>110</v>
      </c>
      <c r="BV375" s="1634">
        <f>708-BU375-BT375</f>
        <v>376</v>
      </c>
      <c r="BW375" s="1634">
        <f>408-BV375-BU375-BT375</f>
        <v>-300</v>
      </c>
      <c r="BX375" s="1633">
        <v>682</v>
      </c>
      <c r="BY375" s="1634">
        <f>1774-BX375</f>
        <v>1092</v>
      </c>
      <c r="BZ375" s="1634">
        <f>2240-BY375-BX375</f>
        <v>466</v>
      </c>
      <c r="CA375" s="1634">
        <f>2183-BZ375-BY375-BX375</f>
        <v>-57</v>
      </c>
      <c r="CB375" s="1633">
        <v>604</v>
      </c>
      <c r="CC375" s="1634">
        <f>1296-CB375</f>
        <v>692</v>
      </c>
      <c r="CD375" s="1634">
        <f>2672-CC375-CB375</f>
        <v>1376</v>
      </c>
      <c r="CE375" s="1634">
        <f>1384-CD375-CC375-CB375</f>
        <v>-1288</v>
      </c>
      <c r="CF375" s="1633">
        <v>2445</v>
      </c>
      <c r="CG375" s="1634">
        <f>775-CF375</f>
        <v>-1670</v>
      </c>
      <c r="CH375" s="1634">
        <f>1611-CG375-CF375</f>
        <v>836</v>
      </c>
      <c r="CI375" s="1634">
        <f>3233-CH375-CG375-CF375</f>
        <v>1622</v>
      </c>
      <c r="CJ375" s="1633">
        <v>790</v>
      </c>
      <c r="CK375" s="1634">
        <f>1501-CJ375</f>
        <v>711</v>
      </c>
      <c r="CL375" s="1634">
        <f>1901-CK375-CJ375</f>
        <v>400</v>
      </c>
      <c r="CM375" s="1648">
        <v>-2124</v>
      </c>
      <c r="CN375" s="1649">
        <v>656</v>
      </c>
      <c r="CO375" s="1649">
        <f>1237-CN375</f>
        <v>581</v>
      </c>
      <c r="CP375" s="1649">
        <f>1665-CO375-CN375</f>
        <v>428</v>
      </c>
      <c r="CQ375" s="1648">
        <f>-952-CP375-CO375-CN375</f>
        <v>-2617</v>
      </c>
      <c r="CR375" s="1649">
        <v>878</v>
      </c>
      <c r="CS375" s="1649">
        <f>1812-CR375</f>
        <v>934</v>
      </c>
      <c r="CT375" s="1649">
        <f>3011-CS375-CR375</f>
        <v>1199</v>
      </c>
      <c r="CU375" s="1648">
        <f>5785-CT375-CS375-CR375</f>
        <v>2774</v>
      </c>
      <c r="CV375" s="1649">
        <v>-155</v>
      </c>
      <c r="CW375" s="1649">
        <f>253-CV375</f>
        <v>408</v>
      </c>
      <c r="CX375" s="1649">
        <f>914-253</f>
        <v>661</v>
      </c>
      <c r="CY375" s="1648">
        <f>-92-CX375-CW375-CV375</f>
        <v>-1006</v>
      </c>
      <c r="CZ375" s="1649">
        <v>823</v>
      </c>
      <c r="DA375" s="1649">
        <f>826-CZ375</f>
        <v>3</v>
      </c>
      <c r="DB375" s="1649">
        <f>890-DA375-CZ375</f>
        <v>64</v>
      </c>
      <c r="DC375" s="1649">
        <f>3516-SUM(CZ375:DB375)</f>
        <v>2626</v>
      </c>
      <c r="DD375" s="1649">
        <v>167</v>
      </c>
      <c r="DE375" s="1649">
        <f>-3085-DD375</f>
        <v>-3252</v>
      </c>
      <c r="DF375" s="1649">
        <f>-2331-DD375-DE375</f>
        <v>754</v>
      </c>
      <c r="DG375" s="1649">
        <f>-1063-DD375-DE375-DF375</f>
        <v>1268</v>
      </c>
      <c r="DH375" s="1649">
        <v>2025</v>
      </c>
      <c r="DI375" s="1649">
        <f>1880-DH375</f>
        <v>-145</v>
      </c>
      <c r="DJ375" s="1649">
        <f>2577-DH375-DI375</f>
        <v>697</v>
      </c>
      <c r="DK375" s="1649">
        <f>-14463-2577</f>
        <v>-17040</v>
      </c>
      <c r="DL375" s="1649">
        <v>702</v>
      </c>
    </row>
    <row r="376" spans="1:116" ht="12.75" customHeight="1">
      <c r="A376" s="1628" t="s">
        <v>1368</v>
      </c>
      <c r="B376" s="1642"/>
      <c r="C376" s="1642"/>
      <c r="D376" s="1642"/>
      <c r="E376" s="1641"/>
      <c r="F376" s="1642"/>
      <c r="G376" s="1642"/>
      <c r="H376" s="1642"/>
      <c r="I376" s="1642"/>
      <c r="J376" s="1642"/>
      <c r="K376" s="1681"/>
      <c r="L376" s="1642"/>
      <c r="M376" s="1642"/>
      <c r="N376" s="1642"/>
      <c r="O376" s="1642"/>
      <c r="P376" s="1642"/>
      <c r="Q376" s="1642"/>
      <c r="R376" s="1642"/>
      <c r="S376" s="1642"/>
      <c r="T376" s="1642"/>
      <c r="U376" s="1642"/>
      <c r="V376" s="1642"/>
      <c r="W376" s="1642"/>
      <c r="X376" s="1642"/>
      <c r="Y376" s="1642"/>
      <c r="Z376" s="1642"/>
      <c r="AA376" s="1642"/>
      <c r="AB376" s="1642"/>
      <c r="AC376" s="1642"/>
      <c r="AD376" s="1642"/>
      <c r="AE376" s="1642"/>
      <c r="AF376" s="1641"/>
      <c r="AG376" s="1642"/>
      <c r="AH376" s="1642"/>
      <c r="AI376" s="1642"/>
      <c r="AJ376" s="1641"/>
      <c r="AK376" s="1642"/>
      <c r="AL376" s="1642"/>
      <c r="AM376" s="1642"/>
      <c r="AN376" s="1641"/>
      <c r="AO376" s="1642">
        <v>482</v>
      </c>
      <c r="AP376" s="1642">
        <v>782</v>
      </c>
      <c r="AQ376" s="1642"/>
      <c r="AR376" s="1641"/>
      <c r="AS376" s="1642">
        <v>510</v>
      </c>
      <c r="AT376" s="1642">
        <v>945</v>
      </c>
      <c r="AU376" s="1642">
        <v>1409</v>
      </c>
      <c r="AV376" s="1641">
        <v>364</v>
      </c>
      <c r="AW376" s="1642">
        <v>782</v>
      </c>
      <c r="AX376" s="1642">
        <v>1374</v>
      </c>
      <c r="AY376" s="1642">
        <v>1952</v>
      </c>
      <c r="AZ376" s="1641">
        <v>602</v>
      </c>
      <c r="BA376" s="1632">
        <v>1465</v>
      </c>
      <c r="BB376" s="1642">
        <v>2191</v>
      </c>
      <c r="BC376" s="1642">
        <v>2905</v>
      </c>
      <c r="BD376" s="1641">
        <v>432</v>
      </c>
      <c r="BE376" s="1642">
        <f>897-BD376</f>
        <v>465</v>
      </c>
      <c r="BF376" s="1642">
        <f>1282-SUM(BD376:BE376)</f>
        <v>385</v>
      </c>
      <c r="BG376" s="1642">
        <f>1789-SUM(BD376:BF376)</f>
        <v>507</v>
      </c>
      <c r="BH376" s="1641">
        <v>390</v>
      </c>
      <c r="BI376" s="1642">
        <f>505-BH376</f>
        <v>115</v>
      </c>
      <c r="BJ376" s="1642">
        <f>876-SUM(BH376:BI376)</f>
        <v>371</v>
      </c>
      <c r="BK376" s="1642">
        <f>1181-SUM(BH376:BJ376)</f>
        <v>305</v>
      </c>
      <c r="BL376" s="1641">
        <v>316</v>
      </c>
      <c r="BM376" s="1642">
        <f>590-BL376</f>
        <v>274</v>
      </c>
      <c r="BN376" s="1642">
        <f>1007-SUM(BL376:BM376)</f>
        <v>417</v>
      </c>
      <c r="BO376" s="1642">
        <f>1290-SUM(BL376:BN376)</f>
        <v>283</v>
      </c>
      <c r="BP376" s="1641">
        <v>347</v>
      </c>
      <c r="BQ376" s="1642">
        <f>600-BP376</f>
        <v>253</v>
      </c>
      <c r="BR376" s="1642">
        <f>916-BP376-BQ376</f>
        <v>316</v>
      </c>
      <c r="BS376" s="1642">
        <f>1034-BP376-BQ376-BR376</f>
        <v>118</v>
      </c>
      <c r="BT376" s="1641">
        <v>281</v>
      </c>
      <c r="BU376" s="1634">
        <f>498-BT376</f>
        <v>217</v>
      </c>
      <c r="BV376" s="1634">
        <f>741-BU376-BT376</f>
        <v>243</v>
      </c>
      <c r="BW376" s="1634">
        <f>1047-BV376-BU376-BT376</f>
        <v>306</v>
      </c>
      <c r="BX376" s="1633">
        <v>298</v>
      </c>
      <c r="BY376" s="1634">
        <f>494-BX376</f>
        <v>196</v>
      </c>
      <c r="BZ376" s="1634">
        <f>724-BY376-BX376</f>
        <v>230</v>
      </c>
      <c r="CA376" s="1634">
        <f>1085-BZ376-BY376-BX376</f>
        <v>361</v>
      </c>
      <c r="CB376" s="1633">
        <v>358</v>
      </c>
      <c r="CC376" s="1634">
        <f>643-CB376</f>
        <v>285</v>
      </c>
      <c r="CD376" s="1634">
        <f>917-CC376-CB376</f>
        <v>274</v>
      </c>
      <c r="CE376" s="1634">
        <f>1306-CD376-CC376-CB376</f>
        <v>389</v>
      </c>
      <c r="CF376" s="1633">
        <v>371</v>
      </c>
      <c r="CG376" s="1634">
        <f>680-CF376</f>
        <v>309</v>
      </c>
      <c r="CH376" s="1634">
        <f>922-CG376-CF376</f>
        <v>242</v>
      </c>
      <c r="CI376" s="1634">
        <f>1246-CH376-CG376-CF376</f>
        <v>324</v>
      </c>
      <c r="CJ376" s="1633">
        <v>270</v>
      </c>
      <c r="CK376" s="1634">
        <f>498-CJ376</f>
        <v>228</v>
      </c>
      <c r="CL376" s="1634">
        <f>754-CK376-CJ376</f>
        <v>256</v>
      </c>
      <c r="CM376" s="1648">
        <v>272</v>
      </c>
      <c r="CN376" s="1649">
        <v>278</v>
      </c>
      <c r="CO376" s="1649">
        <f>521-CN376</f>
        <v>243</v>
      </c>
      <c r="CP376" s="1649">
        <f>709-CO376-CN376</f>
        <v>188</v>
      </c>
      <c r="CQ376" s="1648">
        <f>972-CP376-CO376-CN376</f>
        <v>263</v>
      </c>
      <c r="CR376" s="1649">
        <v>260</v>
      </c>
      <c r="CS376" s="1649">
        <f>507-CR376</f>
        <v>247</v>
      </c>
      <c r="CT376" s="1649">
        <f>746-CS376-CR376</f>
        <v>239</v>
      </c>
      <c r="CU376" s="1648">
        <f>993-CT376-CS376-CR376</f>
        <v>247</v>
      </c>
      <c r="CV376" s="1649">
        <v>231</v>
      </c>
      <c r="CW376" s="1649">
        <f>473-CV376</f>
        <v>242</v>
      </c>
      <c r="CX376" s="1649">
        <f>684-473</f>
        <v>211</v>
      </c>
      <c r="CY376" s="1648">
        <f>1095-CX376-CW376-CV376</f>
        <v>411</v>
      </c>
      <c r="CZ376" s="1649">
        <v>383</v>
      </c>
      <c r="DA376" s="1649">
        <f>744-CZ376</f>
        <v>361</v>
      </c>
      <c r="DB376" s="1649">
        <f>1136-DA376-CZ376</f>
        <v>392</v>
      </c>
      <c r="DC376" s="1649">
        <f>1610-SUM(CZ376:DB376)</f>
        <v>474</v>
      </c>
      <c r="DD376" s="1649">
        <v>353</v>
      </c>
      <c r="DE376" s="1649">
        <f>651-DD376</f>
        <v>298</v>
      </c>
      <c r="DF376" s="1649">
        <f>963-DD376-DE376</f>
        <v>312</v>
      </c>
      <c r="DG376" s="1649">
        <f>1420-DD376-DE376-DF376</f>
        <v>457</v>
      </c>
      <c r="DH376" s="1649">
        <v>330</v>
      </c>
      <c r="DI376" s="1649">
        <f>632-DH376</f>
        <v>302</v>
      </c>
      <c r="DJ376" s="1649">
        <f>842-DH376-DI376</f>
        <v>210</v>
      </c>
      <c r="DK376" s="1649">
        <f>1167-842</f>
        <v>325</v>
      </c>
      <c r="DL376" s="1649">
        <v>239</v>
      </c>
    </row>
    <row r="377" spans="1:116" ht="12.75" customHeight="1">
      <c r="A377" s="1628" t="s">
        <v>973</v>
      </c>
      <c r="B377" s="1642"/>
      <c r="C377" s="1642"/>
      <c r="D377" s="1642"/>
      <c r="E377" s="1641"/>
      <c r="F377" s="1642"/>
      <c r="G377" s="1642"/>
      <c r="H377" s="1642"/>
      <c r="I377" s="1642"/>
      <c r="J377" s="1642"/>
      <c r="K377" s="1681"/>
      <c r="L377" s="1642"/>
      <c r="M377" s="1642"/>
      <c r="N377" s="1642"/>
      <c r="O377" s="1642"/>
      <c r="P377" s="1642"/>
      <c r="Q377" s="1642"/>
      <c r="R377" s="1642"/>
      <c r="S377" s="1642"/>
      <c r="T377" s="1642"/>
      <c r="U377" s="1642"/>
      <c r="V377" s="1642"/>
      <c r="W377" s="1642"/>
      <c r="X377" s="1642"/>
      <c r="Y377" s="1642"/>
      <c r="Z377" s="1642"/>
      <c r="AA377" s="1642"/>
      <c r="AB377" s="1642"/>
      <c r="AC377" s="1642"/>
      <c r="AD377" s="1642"/>
      <c r="AE377" s="1642"/>
      <c r="AF377" s="1641"/>
      <c r="AG377" s="1642"/>
      <c r="AH377" s="1642"/>
      <c r="AI377" s="1642"/>
      <c r="AJ377" s="1641"/>
      <c r="AK377" s="1642"/>
      <c r="AL377" s="1642"/>
      <c r="AM377" s="1642"/>
      <c r="AN377" s="1641"/>
      <c r="AO377" s="1642">
        <v>-265</v>
      </c>
      <c r="AP377" s="1642">
        <v>-396</v>
      </c>
      <c r="AQ377" s="1642"/>
      <c r="AR377" s="1641"/>
      <c r="AS377" s="1642">
        <v>-3548</v>
      </c>
      <c r="AT377" s="1642">
        <v>-3785</v>
      </c>
      <c r="AU377" s="1642">
        <v>-3792</v>
      </c>
      <c r="AV377" s="1641">
        <v>-216</v>
      </c>
      <c r="AW377" s="1642">
        <v>3448</v>
      </c>
      <c r="AX377" s="1642">
        <v>3306</v>
      </c>
      <c r="AY377" s="1642">
        <v>5042</v>
      </c>
      <c r="AZ377" s="1641">
        <v>1543</v>
      </c>
      <c r="BA377" s="1642">
        <v>4904</v>
      </c>
      <c r="BB377" s="1642">
        <v>4426</v>
      </c>
      <c r="BC377" s="1642">
        <v>4414</v>
      </c>
      <c r="BD377" s="1641">
        <v>-167</v>
      </c>
      <c r="BE377" s="1642">
        <f>-394-BD377</f>
        <v>-227</v>
      </c>
      <c r="BF377" s="1642">
        <f>-832-SUM(BD377:BE377)</f>
        <v>-438</v>
      </c>
      <c r="BG377" s="1642">
        <f>-1609-SUM(BD377:BF377)</f>
        <v>-777</v>
      </c>
      <c r="BH377" s="1641">
        <v>-271</v>
      </c>
      <c r="BI377" s="1642">
        <f>-483-BH377</f>
        <v>-212</v>
      </c>
      <c r="BJ377" s="1642">
        <f>-709-SUM(BH377:BI377)</f>
        <v>-226</v>
      </c>
      <c r="BK377" s="1642">
        <f>-1766-SUM(BH377:BJ377)</f>
        <v>-1057</v>
      </c>
      <c r="BL377" s="1641">
        <v>-249</v>
      </c>
      <c r="BM377" s="1642">
        <f>-428-BL377</f>
        <v>-179</v>
      </c>
      <c r="BN377" s="1642">
        <f>-612-SUM(BL377:BM377)</f>
        <v>-184</v>
      </c>
      <c r="BO377" s="1642">
        <f>-781-SUM(BL377:BN377)</f>
        <v>-169</v>
      </c>
      <c r="BP377" s="1641">
        <v>-186</v>
      </c>
      <c r="BQ377" s="1642">
        <f>-328-BP377</f>
        <v>-142</v>
      </c>
      <c r="BR377" s="1642">
        <f>-616-BP377-BQ377</f>
        <v>-288</v>
      </c>
      <c r="BS377" s="1642">
        <f>-773-BP377-BQ377-BR377</f>
        <v>-157</v>
      </c>
      <c r="BT377" s="1641">
        <v>-160</v>
      </c>
      <c r="BU377" s="1634">
        <f>-345-BT377</f>
        <v>-185</v>
      </c>
      <c r="BV377" s="1634">
        <f>-492-BU377-BT377</f>
        <v>-147</v>
      </c>
      <c r="BW377" s="1634">
        <f>1986-BV377-BU377-BT377</f>
        <v>2478</v>
      </c>
      <c r="BX377" s="1633">
        <v>-90</v>
      </c>
      <c r="BY377" s="1634">
        <f>507-BX377</f>
        <v>597</v>
      </c>
      <c r="BZ377" s="1634">
        <f>303-BY377-BX377</f>
        <v>-204</v>
      </c>
      <c r="CA377" s="1634">
        <f>212-BZ377-BY377-BX377</f>
        <v>-91</v>
      </c>
      <c r="CB377" s="1633">
        <v>-117</v>
      </c>
      <c r="CC377" s="1634">
        <f>173-CB377</f>
        <v>290</v>
      </c>
      <c r="CD377" s="1634">
        <f>21-CC377-CB377</f>
        <v>-152</v>
      </c>
      <c r="CE377" s="1634">
        <f>389-CD377-CC377-CB377</f>
        <v>368</v>
      </c>
      <c r="CF377" s="1633">
        <v>-120</v>
      </c>
      <c r="CG377" s="1634">
        <f>-227-CF377</f>
        <v>-107</v>
      </c>
      <c r="CH377" s="1634">
        <f>82-CG377-CF377</f>
        <v>309</v>
      </c>
      <c r="CI377" s="1634">
        <f>2-CH377-CG377-CF377</f>
        <v>-80</v>
      </c>
      <c r="CJ377" s="1633">
        <v>-86</v>
      </c>
      <c r="CK377" s="1634">
        <f>-195-CJ377</f>
        <v>-109</v>
      </c>
      <c r="CL377" s="1634">
        <f>102-CK377-CJ377</f>
        <v>297</v>
      </c>
      <c r="CM377" s="1648">
        <v>-66</v>
      </c>
      <c r="CN377" s="1649">
        <v>-89</v>
      </c>
      <c r="CO377" s="1649">
        <f>-149-CN377</f>
        <v>-60</v>
      </c>
      <c r="CP377" s="1649">
        <f>-197-CO377-CN377</f>
        <v>-48</v>
      </c>
      <c r="CQ377" s="1648">
        <f>77-CP377-CO377-CN377</f>
        <v>274</v>
      </c>
      <c r="CR377" s="1649">
        <v>14</v>
      </c>
      <c r="CS377" s="1649">
        <f>-95-CR377</f>
        <v>-109</v>
      </c>
      <c r="CT377" s="1649">
        <f>-100-CS377-CR377</f>
        <v>-5</v>
      </c>
      <c r="CU377" s="1648">
        <f>-102-CT377-CS377-CR377</f>
        <v>-2</v>
      </c>
      <c r="CV377" s="1649">
        <v>-1894</v>
      </c>
      <c r="CW377" s="1649">
        <f>-1841-CV377</f>
        <v>53</v>
      </c>
      <c r="CX377" s="1649">
        <f>-1785+1841</f>
        <v>56</v>
      </c>
      <c r="CY377" s="1648">
        <f>-1743-CX377-CW377-CV377</f>
        <v>42</v>
      </c>
      <c r="CZ377" s="1649">
        <v>44</v>
      </c>
      <c r="DA377" s="1649">
        <f>72-CZ377</f>
        <v>28</v>
      </c>
      <c r="DB377" s="1649">
        <f>98-DA377-CZ377</f>
        <v>26</v>
      </c>
      <c r="DC377" s="1649">
        <f>127-SUM(CZ377:DB377)</f>
        <v>29</v>
      </c>
      <c r="DD377" s="1649">
        <v>29</v>
      </c>
      <c r="DE377" s="1649">
        <f>58-DD377</f>
        <v>29</v>
      </c>
      <c r="DF377" s="1649">
        <f>94-DD377-DE377</f>
        <v>36</v>
      </c>
      <c r="DG377" s="1649">
        <f>138-DD377-DE377-DF377</f>
        <v>44</v>
      </c>
      <c r="DH377" s="1649">
        <v>28</v>
      </c>
      <c r="DI377" s="1649">
        <f>67-DH377</f>
        <v>39</v>
      </c>
      <c r="DJ377" s="1649">
        <f>100-DH377-DI377</f>
        <v>33</v>
      </c>
      <c r="DK377" s="1649">
        <f>117-100</f>
        <v>17</v>
      </c>
      <c r="DL377" s="1649">
        <v>30</v>
      </c>
    </row>
    <row r="378" spans="1:116" ht="12.75" hidden="1" customHeight="1">
      <c r="A378" s="1628" t="s">
        <v>696</v>
      </c>
      <c r="B378" s="1734"/>
      <c r="C378" s="1642"/>
      <c r="D378" s="1642"/>
      <c r="E378" s="1641"/>
      <c r="F378" s="1642"/>
      <c r="G378" s="1642"/>
      <c r="H378" s="1642"/>
      <c r="I378" s="1642"/>
      <c r="J378" s="1642"/>
      <c r="K378" s="1681"/>
      <c r="L378" s="1642"/>
      <c r="M378" s="1642"/>
      <c r="N378" s="1642"/>
      <c r="O378" s="1642"/>
      <c r="P378" s="1642"/>
      <c r="Q378" s="1642"/>
      <c r="R378" s="1642"/>
      <c r="S378" s="1642"/>
      <c r="T378" s="1642"/>
      <c r="U378" s="1642"/>
      <c r="V378" s="1642"/>
      <c r="W378" s="1642"/>
      <c r="X378" s="1642"/>
      <c r="Y378" s="1642"/>
      <c r="Z378" s="1642"/>
      <c r="AA378" s="1642"/>
      <c r="AB378" s="1642"/>
      <c r="AC378" s="1642"/>
      <c r="AD378" s="1642"/>
      <c r="AE378" s="1642"/>
      <c r="AF378" s="1641"/>
      <c r="AG378" s="1642"/>
      <c r="AH378" s="1642"/>
      <c r="AI378" s="1642"/>
      <c r="AJ378" s="1641"/>
      <c r="AK378" s="1642"/>
      <c r="AL378" s="1642"/>
      <c r="AM378" s="1642"/>
      <c r="AN378" s="1641"/>
      <c r="AO378" s="1642">
        <v>156</v>
      </c>
      <c r="AP378" s="1642">
        <v>0</v>
      </c>
      <c r="AQ378" s="1642"/>
      <c r="AR378" s="1641"/>
      <c r="AS378" s="1642">
        <v>149</v>
      </c>
      <c r="AT378" s="1642">
        <v>0</v>
      </c>
      <c r="AU378" s="1642">
        <v>0</v>
      </c>
      <c r="AV378" s="1641">
        <v>0</v>
      </c>
      <c r="AW378" s="1642">
        <v>0</v>
      </c>
      <c r="AX378" s="1642">
        <v>0</v>
      </c>
      <c r="AY378" s="1642">
        <v>0</v>
      </c>
      <c r="AZ378" s="1641">
        <v>0</v>
      </c>
      <c r="BA378" s="1632"/>
      <c r="BB378" s="1642"/>
      <c r="BC378" s="1642"/>
      <c r="BD378" s="1641">
        <v>0</v>
      </c>
      <c r="BE378" s="1642">
        <v>0</v>
      </c>
      <c r="BF378" s="1642">
        <v>0</v>
      </c>
      <c r="BG378" s="1642">
        <v>0</v>
      </c>
      <c r="BH378" s="1641">
        <v>0</v>
      </c>
      <c r="BI378" s="1642">
        <v>0</v>
      </c>
      <c r="BJ378" s="1642">
        <v>0</v>
      </c>
      <c r="BK378" s="1642">
        <v>0</v>
      </c>
      <c r="BL378" s="1641">
        <v>0</v>
      </c>
      <c r="BM378" s="1642">
        <v>0</v>
      </c>
      <c r="BN378" s="1642">
        <v>0</v>
      </c>
      <c r="BO378" s="1642">
        <v>0</v>
      </c>
      <c r="BP378" s="1641"/>
      <c r="BQ378" s="1642"/>
      <c r="BR378" s="1642"/>
      <c r="BS378" s="1642"/>
      <c r="BT378" s="1641"/>
      <c r="BU378" s="1634"/>
      <c r="BV378" s="1634"/>
      <c r="BW378" s="1634"/>
      <c r="BX378" s="1633"/>
      <c r="BY378" s="1634"/>
      <c r="BZ378" s="1634"/>
      <c r="CA378" s="1634"/>
      <c r="CB378" s="1633"/>
      <c r="CC378" s="1634"/>
      <c r="CD378" s="1634">
        <v>0</v>
      </c>
      <c r="CE378" s="1634"/>
      <c r="CF378" s="1633"/>
      <c r="CG378" s="1634"/>
      <c r="CH378" s="1634"/>
      <c r="CI378" s="1634"/>
      <c r="CJ378" s="1633"/>
      <c r="CK378" s="1634"/>
      <c r="CL378" s="1634"/>
      <c r="CM378" s="1648"/>
      <c r="CN378" s="1649"/>
      <c r="CO378" s="1649"/>
      <c r="CP378" s="1649"/>
      <c r="CQ378" s="1648"/>
      <c r="CR378" s="1649"/>
      <c r="CS378" s="1649"/>
      <c r="CT378" s="1649"/>
      <c r="CU378" s="1648"/>
      <c r="CV378" s="1649"/>
      <c r="CW378" s="1649"/>
      <c r="CX378" s="1649"/>
      <c r="CY378" s="1648"/>
      <c r="CZ378" s="1649"/>
      <c r="DA378" s="1649"/>
      <c r="DB378" s="1649"/>
      <c r="DC378" s="1649"/>
      <c r="DD378" s="1649"/>
      <c r="DE378" s="1649"/>
      <c r="DF378" s="1649"/>
      <c r="DG378" s="1649"/>
      <c r="DH378" s="1649"/>
      <c r="DI378" s="1649"/>
      <c r="DJ378" s="1649"/>
      <c r="DK378" s="1649"/>
      <c r="DL378" s="1649"/>
    </row>
    <row r="379" spans="1:116" ht="12.75" customHeight="1">
      <c r="A379" s="1628" t="s">
        <v>697</v>
      </c>
      <c r="B379" s="1734"/>
      <c r="C379" s="1734"/>
      <c r="D379" s="1734"/>
      <c r="E379" s="1771"/>
      <c r="F379" s="1642"/>
      <c r="G379" s="1642"/>
      <c r="H379" s="1642"/>
      <c r="I379" s="1642"/>
      <c r="J379" s="1642"/>
      <c r="K379" s="1681"/>
      <c r="L379" s="1642"/>
      <c r="M379" s="1642"/>
      <c r="N379" s="1642"/>
      <c r="O379" s="1642"/>
      <c r="P379" s="1642"/>
      <c r="Q379" s="1642"/>
      <c r="R379" s="1642"/>
      <c r="S379" s="1642"/>
      <c r="T379" s="1642"/>
      <c r="U379" s="1642"/>
      <c r="V379" s="1642"/>
      <c r="W379" s="1642"/>
      <c r="X379" s="1642"/>
      <c r="Y379" s="1642"/>
      <c r="Z379" s="1642"/>
      <c r="AA379" s="1642"/>
      <c r="AB379" s="1642"/>
      <c r="AC379" s="1642"/>
      <c r="AD379" s="1642"/>
      <c r="AE379" s="1642"/>
      <c r="AF379" s="1641"/>
      <c r="AG379" s="1642"/>
      <c r="AH379" s="1642"/>
      <c r="AI379" s="1642"/>
      <c r="AJ379" s="1641"/>
      <c r="AK379" s="1642"/>
      <c r="AL379" s="1642"/>
      <c r="AM379" s="1642"/>
      <c r="AN379" s="1641"/>
      <c r="AO379" s="1642">
        <v>-1057</v>
      </c>
      <c r="AP379" s="1642">
        <v>-1026</v>
      </c>
      <c r="AQ379" s="1642"/>
      <c r="AR379" s="1641"/>
      <c r="AS379" s="1642">
        <v>1750</v>
      </c>
      <c r="AT379" s="1642">
        <v>283</v>
      </c>
      <c r="AU379" s="1642">
        <v>469</v>
      </c>
      <c r="AV379" s="1641">
        <v>-2170</v>
      </c>
      <c r="AW379" s="1642">
        <v>-2961</v>
      </c>
      <c r="AX379" s="1642">
        <v>-3469</v>
      </c>
      <c r="AY379" s="1642">
        <v>-2402</v>
      </c>
      <c r="AZ379" s="1641">
        <v>-886</v>
      </c>
      <c r="BA379" s="1632">
        <v>-927</v>
      </c>
      <c r="BB379" s="1642">
        <v>17</v>
      </c>
      <c r="BC379" s="1642">
        <v>-1800</v>
      </c>
      <c r="BD379" s="1641">
        <v>497</v>
      </c>
      <c r="BE379" s="1642">
        <f>-140-BD379</f>
        <v>-637</v>
      </c>
      <c r="BF379" s="1642">
        <f>-406-SUM(BD379:BE379)</f>
        <v>-266</v>
      </c>
      <c r="BG379" s="1642">
        <f>1740-SUM(BD379:BF379)</f>
        <v>2146</v>
      </c>
      <c r="BH379" s="1641">
        <v>-1771</v>
      </c>
      <c r="BI379" s="1642">
        <f>-2309-BH379</f>
        <v>-538</v>
      </c>
      <c r="BJ379" s="1642">
        <f>-2344-SUM(BH379:BI379)</f>
        <v>-35</v>
      </c>
      <c r="BK379" s="1642">
        <f>-3243-SUM(BH379:BJ379)</f>
        <v>-899</v>
      </c>
      <c r="BL379" s="1641">
        <v>-250</v>
      </c>
      <c r="BM379" s="1642">
        <f>-1252-BL379</f>
        <v>-1002</v>
      </c>
      <c r="BN379" s="1642">
        <f>-1964-SUM(BL379:BM379)</f>
        <v>-712</v>
      </c>
      <c r="BO379" s="1642">
        <f>-2410-SUM(BL379:BN379)</f>
        <v>-446</v>
      </c>
      <c r="BP379" s="1641">
        <v>-258</v>
      </c>
      <c r="BQ379" s="1642">
        <f>-1021-BP379</f>
        <v>-763</v>
      </c>
      <c r="BR379" s="1642">
        <f>-1601-BP379-BQ379</f>
        <v>-580</v>
      </c>
      <c r="BS379" s="1642">
        <f>-1635-BP379-BQ379-BR379</f>
        <v>-34</v>
      </c>
      <c r="BT379" s="1641">
        <v>-1116</v>
      </c>
      <c r="BU379" s="1634">
        <f>-2001-BT379</f>
        <v>-885</v>
      </c>
      <c r="BV379" s="1634">
        <f>-2296-BU379-BT379</f>
        <v>-295</v>
      </c>
      <c r="BW379" s="1634">
        <f>+-2893-BV379-BU379-BT379</f>
        <v>-597</v>
      </c>
      <c r="BX379" s="1633">
        <v>-564</v>
      </c>
      <c r="BY379" s="1634">
        <f>-2309-BX379</f>
        <v>-1745</v>
      </c>
      <c r="BZ379" s="1634">
        <f>+-2458-BY379-BX379</f>
        <v>-149</v>
      </c>
      <c r="CA379" s="1634">
        <f>-3033-BZ379-BY379-BX379</f>
        <v>-575</v>
      </c>
      <c r="CB379" s="1633">
        <v>-393</v>
      </c>
      <c r="CC379" s="1634">
        <f>+-2070-CB379</f>
        <v>-1677</v>
      </c>
      <c r="CD379" s="1634">
        <f>+-2337-CC379-CB379</f>
        <v>-267</v>
      </c>
      <c r="CE379" s="1634">
        <f>-2511-CD379-CC379-CB379</f>
        <v>-174</v>
      </c>
      <c r="CF379" s="1633">
        <v>-1043</v>
      </c>
      <c r="CG379" s="1634">
        <f>1502-CF379</f>
        <v>2545</v>
      </c>
      <c r="CH379" s="1634">
        <f>640-CG379-CF379</f>
        <v>-862</v>
      </c>
      <c r="CI379" s="1634">
        <f>202-CH379-CG379-CF379</f>
        <v>-438</v>
      </c>
      <c r="CJ379" s="1633">
        <v>-2070</v>
      </c>
      <c r="CK379" s="1634">
        <f>-2361-CJ379</f>
        <v>-291</v>
      </c>
      <c r="CL379" s="1634">
        <f>-2553-CK379-CJ379</f>
        <v>-192</v>
      </c>
      <c r="CM379" s="1648">
        <v>274</v>
      </c>
      <c r="CN379" s="1649">
        <v>-1580</v>
      </c>
      <c r="CO379" s="1649">
        <f>-1136-CN379</f>
        <v>444</v>
      </c>
      <c r="CP379" s="1649">
        <f>-197-CO379-CN379</f>
        <v>939</v>
      </c>
      <c r="CQ379" s="1648">
        <f>-403-CP379-CO379-CN379</f>
        <v>-206</v>
      </c>
      <c r="CR379" s="1649">
        <v>-1491</v>
      </c>
      <c r="CS379" s="1649">
        <f>-1660-CR379</f>
        <v>-169</v>
      </c>
      <c r="CT379" s="1649">
        <f>-1078-CS379-CR379</f>
        <v>582</v>
      </c>
      <c r="CU379" s="1648">
        <f>-5-CT379-CS379-CR379</f>
        <v>1073</v>
      </c>
      <c r="CV379" s="1649">
        <v>-1626</v>
      </c>
      <c r="CW379" s="1649">
        <f>-847-CV379</f>
        <v>779</v>
      </c>
      <c r="CX379" s="1649">
        <f>-816+847</f>
        <v>31</v>
      </c>
      <c r="CY379" s="1648">
        <f>-2160-CX379-CW379-CV379</f>
        <v>-1344</v>
      </c>
      <c r="CZ379" s="1649">
        <v>-888</v>
      </c>
      <c r="DA379" s="1649">
        <f>416-CZ379</f>
        <v>1304</v>
      </c>
      <c r="DB379" s="1649">
        <f>1443-DA379-CZ379</f>
        <v>1027</v>
      </c>
      <c r="DC379" s="1649">
        <f>2443-SUM(CZ379:DB379)</f>
        <v>1000</v>
      </c>
      <c r="DD379" s="1649">
        <v>-1162</v>
      </c>
      <c r="DE379" s="1649">
        <f>-1067-DD379</f>
        <v>95</v>
      </c>
      <c r="DF379" s="1649">
        <f>-4010-DD379-DE379</f>
        <v>-2943</v>
      </c>
      <c r="DG379" s="1649">
        <f>-5636-DD379-DE379-DF379</f>
        <v>-1626</v>
      </c>
      <c r="DH379" s="1649">
        <v>-4694</v>
      </c>
      <c r="DI379" s="1649">
        <f>-3094-DH379</f>
        <v>1600</v>
      </c>
      <c r="DJ379" s="1649">
        <f>-5513-DH379-DI379</f>
        <v>-2419</v>
      </c>
      <c r="DK379" s="1649">
        <f>-4947--5513</f>
        <v>566</v>
      </c>
      <c r="DL379" s="1649">
        <f>-2033-1000</f>
        <v>-3033</v>
      </c>
    </row>
    <row r="380" spans="1:116" ht="12.75" customHeight="1">
      <c r="A380" s="1628" t="s">
        <v>1377</v>
      </c>
      <c r="B380" s="1642"/>
      <c r="C380" s="1642"/>
      <c r="D380" s="1642"/>
      <c r="E380" s="1641"/>
      <c r="F380" s="1642"/>
      <c r="G380" s="1642"/>
      <c r="H380" s="1642"/>
      <c r="I380" s="1642"/>
      <c r="J380" s="1642"/>
      <c r="K380" s="1681"/>
      <c r="L380" s="1642"/>
      <c r="M380" s="1642"/>
      <c r="N380" s="1642"/>
      <c r="O380" s="1642"/>
      <c r="P380" s="1642"/>
      <c r="Q380" s="1642"/>
      <c r="R380" s="1642"/>
      <c r="S380" s="1642"/>
      <c r="T380" s="1642"/>
      <c r="U380" s="1642"/>
      <c r="V380" s="1642"/>
      <c r="W380" s="1642"/>
      <c r="X380" s="1642"/>
      <c r="Y380" s="1642"/>
      <c r="Z380" s="1642"/>
      <c r="AA380" s="1642"/>
      <c r="AB380" s="1642"/>
      <c r="AC380" s="1642"/>
      <c r="AD380" s="1642"/>
      <c r="AE380" s="1642"/>
      <c r="AF380" s="1641"/>
      <c r="AG380" s="1642"/>
      <c r="AH380" s="1642"/>
      <c r="AI380" s="1642"/>
      <c r="AJ380" s="1641"/>
      <c r="AK380" s="1642"/>
      <c r="AL380" s="1642"/>
      <c r="AM380" s="1642"/>
      <c r="AN380" s="1641"/>
      <c r="AO380" s="1642">
        <v>-251</v>
      </c>
      <c r="AP380" s="1642">
        <v>-335</v>
      </c>
      <c r="AQ380" s="1642"/>
      <c r="AR380" s="1641"/>
      <c r="AS380" s="1642">
        <v>-300</v>
      </c>
      <c r="AT380" s="1642">
        <v>614</v>
      </c>
      <c r="AU380" s="1642">
        <f>763-1730</f>
        <v>-967</v>
      </c>
      <c r="AV380" s="1641">
        <v>-46</v>
      </c>
      <c r="AW380" s="1642">
        <v>215</v>
      </c>
      <c r="AX380" s="1642">
        <v>4</v>
      </c>
      <c r="AY380" s="1642">
        <v>664</v>
      </c>
      <c r="AZ380" s="1641">
        <v>148</v>
      </c>
      <c r="BA380" s="1632">
        <v>189</v>
      </c>
      <c r="BB380" s="1642">
        <v>-33</v>
      </c>
      <c r="BC380" s="1642">
        <v>86</v>
      </c>
      <c r="BD380" s="1641">
        <v>-571</v>
      </c>
      <c r="BE380" s="1642">
        <f>-229-BD380</f>
        <v>342</v>
      </c>
      <c r="BF380" s="1642">
        <f>-388-SUM(BD380:BE380)</f>
        <v>-159</v>
      </c>
      <c r="BG380" s="1642">
        <f>-253-SUM(BD380:BF380)</f>
        <v>135</v>
      </c>
      <c r="BH380" s="1641">
        <v>-92</v>
      </c>
      <c r="BI380" s="1642">
        <f>471-BH380</f>
        <v>563</v>
      </c>
      <c r="BJ380" s="1642">
        <f>-65-SUM(BH380:BI380)</f>
        <v>-536</v>
      </c>
      <c r="BK380" s="1642">
        <f>636-SUM(BH380:BJ380)</f>
        <v>701</v>
      </c>
      <c r="BL380" s="1641">
        <v>-1252</v>
      </c>
      <c r="BM380" s="1642">
        <f>580-BL380</f>
        <v>1832</v>
      </c>
      <c r="BN380" s="1642">
        <f>778-SUM(BL380:BM380)</f>
        <v>198</v>
      </c>
      <c r="BO380" s="1642">
        <f>2218-SUM(BL380:BN380)</f>
        <v>1440</v>
      </c>
      <c r="BP380" s="1641">
        <f>332+42</f>
        <v>374</v>
      </c>
      <c r="BQ380" s="1642">
        <f>42+1053-BP380+252</f>
        <v>973</v>
      </c>
      <c r="BR380" s="1642">
        <f>42+2123-BP380-BQ380</f>
        <v>818</v>
      </c>
      <c r="BS380" s="1642">
        <f>42+1408-BP380-BQ380-BR380+1076</f>
        <v>361</v>
      </c>
      <c r="BT380" s="1641">
        <f>228-527</f>
        <v>-299</v>
      </c>
      <c r="BU380" s="1634">
        <f>1801-BT380-570</f>
        <v>1530</v>
      </c>
      <c r="BV380" s="1634">
        <f>2777-BU380-BT380-570</f>
        <v>976</v>
      </c>
      <c r="BW380" s="1634">
        <f>4012-BV380-BU380-BT380-570</f>
        <v>1235</v>
      </c>
      <c r="BX380" s="1633">
        <v>-567</v>
      </c>
      <c r="BY380" s="1634">
        <f>88-BX380</f>
        <v>655</v>
      </c>
      <c r="BZ380" s="1634">
        <f>1026-BY380-BX380</f>
        <v>938</v>
      </c>
      <c r="CA380" s="1634">
        <f>3225-BZ380-BY380-BX380</f>
        <v>2199</v>
      </c>
      <c r="CB380" s="1633">
        <v>-1772</v>
      </c>
      <c r="CC380" s="1634">
        <f>+-1814-CB380</f>
        <v>-42</v>
      </c>
      <c r="CD380" s="1634">
        <f>+-2236-CC380-CB380</f>
        <v>-422</v>
      </c>
      <c r="CE380" s="1634">
        <f>-988-CD380-CC380-CB380</f>
        <v>1248</v>
      </c>
      <c r="CF380" s="1633">
        <v>-1552</v>
      </c>
      <c r="CG380" s="1634">
        <f>-1081-CF380</f>
        <v>471</v>
      </c>
      <c r="CH380" s="1634">
        <f>+-1742-CG380-CF380</f>
        <v>-661</v>
      </c>
      <c r="CI380" s="1634">
        <f>+-1930-CH380-CG380-CF380</f>
        <v>-188</v>
      </c>
      <c r="CJ380" s="1633">
        <v>-1530</v>
      </c>
      <c r="CK380" s="1634">
        <f>-2382-CJ380</f>
        <v>-852</v>
      </c>
      <c r="CL380" s="1634">
        <f>-2846-CK380-CJ380</f>
        <v>-464</v>
      </c>
      <c r="CM380" s="1648">
        <v>-54</v>
      </c>
      <c r="CN380" s="1649">
        <v>-1617</v>
      </c>
      <c r="CO380" s="1649">
        <f>-2300-CN380</f>
        <v>-683</v>
      </c>
      <c r="CP380" s="1649">
        <f>-3154-CO380-CN380</f>
        <v>-854</v>
      </c>
      <c r="CQ380" s="1648">
        <f>-3423-CP380-CO380-CN380</f>
        <v>-269</v>
      </c>
      <c r="CR380" s="1649">
        <v>-1398</v>
      </c>
      <c r="CS380" s="1649">
        <f>-2092-CR380</f>
        <v>-694</v>
      </c>
      <c r="CT380" s="1649">
        <f>-2895-CS380-CR380</f>
        <v>-803</v>
      </c>
      <c r="CU380" s="1648">
        <f>-2954-CT380-CS380-CR380</f>
        <v>-59</v>
      </c>
      <c r="CV380" s="1649">
        <v>179</v>
      </c>
      <c r="CW380" s="1649">
        <f>-2404-CV380</f>
        <v>-2583</v>
      </c>
      <c r="CX380" s="1649">
        <f>-3252+2404</f>
        <v>-848</v>
      </c>
      <c r="CY380" s="1648">
        <f>-3088-CX380-CW380-CV380</f>
        <v>164</v>
      </c>
      <c r="CZ380" s="1649">
        <v>1196</v>
      </c>
      <c r="DA380" s="1649">
        <f>-373-CZ380</f>
        <v>-1569</v>
      </c>
      <c r="DB380" s="1649">
        <f>-1165-DA380-CZ380</f>
        <v>-792</v>
      </c>
      <c r="DC380" s="1649">
        <f>-1411-SUM(CZ380:DB380)</f>
        <v>-246</v>
      </c>
      <c r="DD380" s="1649">
        <v>-771</v>
      </c>
      <c r="DE380" s="1649">
        <f>-1008-DD380</f>
        <v>-237</v>
      </c>
      <c r="DF380" s="1649">
        <f>-2567-DD380-DE380</f>
        <v>-1559</v>
      </c>
      <c r="DG380" s="1649">
        <f>-4385-DD380-DE380-DF380</f>
        <v>-1818</v>
      </c>
      <c r="DH380" s="1649">
        <f>-3411-98</f>
        <v>-3509</v>
      </c>
      <c r="DI380" s="1649">
        <f>-3411-1774-416-DH380</f>
        <v>-2092</v>
      </c>
      <c r="DJ380" s="1649">
        <f>-3411-1774+469-DH380-DI380</f>
        <v>885</v>
      </c>
      <c r="DK380" s="1649">
        <f>-3411-1774+672-(-3411-1774+469)</f>
        <v>203</v>
      </c>
      <c r="DL380" s="3340">
        <f>-129+(2888-2079)</f>
        <v>680</v>
      </c>
    </row>
    <row r="381" spans="1:116" ht="12.75" customHeight="1">
      <c r="A381" s="954" t="s">
        <v>1378</v>
      </c>
      <c r="B381" s="1693"/>
      <c r="C381" s="1693"/>
      <c r="D381" s="1693"/>
      <c r="E381" s="1694"/>
      <c r="F381" s="1693"/>
      <c r="G381" s="1693"/>
      <c r="H381" s="1693"/>
      <c r="I381" s="1693"/>
      <c r="J381" s="1693"/>
      <c r="K381" s="1695"/>
      <c r="L381" s="1693"/>
      <c r="M381" s="1693"/>
      <c r="N381" s="1693"/>
      <c r="O381" s="1693"/>
      <c r="P381" s="1693"/>
      <c r="Q381" s="1693"/>
      <c r="R381" s="1693"/>
      <c r="S381" s="1693"/>
      <c r="T381" s="1693"/>
      <c r="U381" s="1693"/>
      <c r="V381" s="1693"/>
      <c r="W381" s="1693"/>
      <c r="X381" s="1693"/>
      <c r="Y381" s="1693"/>
      <c r="Z381" s="1693"/>
      <c r="AA381" s="1693"/>
      <c r="AB381" s="1693"/>
      <c r="AC381" s="1693"/>
      <c r="AD381" s="1693"/>
      <c r="AE381" s="1693"/>
      <c r="AF381" s="1694"/>
      <c r="AG381" s="1693"/>
      <c r="AH381" s="1693"/>
      <c r="AI381" s="1693"/>
      <c r="AJ381" s="1694"/>
      <c r="AK381" s="1693"/>
      <c r="AL381" s="1693"/>
      <c r="AM381" s="1693"/>
      <c r="AN381" s="1694"/>
      <c r="AO381" s="1693">
        <v>7566</v>
      </c>
      <c r="AP381" s="1693">
        <v>11807</v>
      </c>
      <c r="AQ381" s="1693"/>
      <c r="AR381" s="1694"/>
      <c r="AS381" s="1693">
        <v>8329</v>
      </c>
      <c r="AT381" s="1693">
        <v>12045</v>
      </c>
      <c r="AU381" s="1693">
        <v>15827</v>
      </c>
      <c r="AV381" s="1694">
        <v>3102</v>
      </c>
      <c r="AW381" s="1693">
        <v>7658</v>
      </c>
      <c r="AX381" s="1693">
        <v>13096</v>
      </c>
      <c r="AY381" s="1693">
        <v>19773</v>
      </c>
      <c r="AZ381" s="1694">
        <v>4478</v>
      </c>
      <c r="BA381" s="1654">
        <v>10042</v>
      </c>
      <c r="BB381" s="1693">
        <v>16078</v>
      </c>
      <c r="BC381" s="1693">
        <v>22100</v>
      </c>
      <c r="BD381" s="1694">
        <f t="shared" ref="BD381:CV381" si="447">SUM(BD369:BD380)</f>
        <v>5792</v>
      </c>
      <c r="BE381" s="1693">
        <f t="shared" si="447"/>
        <v>5155</v>
      </c>
      <c r="BF381" s="1693">
        <f t="shared" si="447"/>
        <v>5309</v>
      </c>
      <c r="BG381" s="1693">
        <f t="shared" si="447"/>
        <v>6211</v>
      </c>
      <c r="BH381" s="1694">
        <f t="shared" si="447"/>
        <v>4042</v>
      </c>
      <c r="BI381" s="1693">
        <f t="shared" si="447"/>
        <v>5851</v>
      </c>
      <c r="BJ381" s="1693">
        <f t="shared" si="447"/>
        <v>5601</v>
      </c>
      <c r="BK381" s="1693">
        <f t="shared" si="447"/>
        <v>6326</v>
      </c>
      <c r="BL381" s="1694">
        <f t="shared" si="447"/>
        <v>3936</v>
      </c>
      <c r="BM381" s="1693">
        <f t="shared" si="447"/>
        <v>5976</v>
      </c>
      <c r="BN381" s="1693">
        <f t="shared" si="447"/>
        <v>5363</v>
      </c>
      <c r="BO381" s="1693">
        <f t="shared" si="447"/>
        <v>6737</v>
      </c>
      <c r="BP381" s="1694">
        <f t="shared" si="447"/>
        <v>6051</v>
      </c>
      <c r="BQ381" s="1693">
        <f t="shared" si="447"/>
        <v>5486</v>
      </c>
      <c r="BR381" s="1693">
        <f t="shared" si="447"/>
        <v>6399</v>
      </c>
      <c r="BS381" s="1693">
        <f t="shared" si="447"/>
        <v>6170</v>
      </c>
      <c r="BT381" s="1694">
        <f t="shared" si="447"/>
        <v>4517</v>
      </c>
      <c r="BU381" s="1693">
        <f t="shared" si="447"/>
        <v>6475</v>
      </c>
      <c r="BV381" s="1693">
        <f t="shared" si="447"/>
        <v>6457</v>
      </c>
      <c r="BW381" s="1693">
        <f t="shared" si="447"/>
        <v>8290</v>
      </c>
      <c r="BX381" s="1694">
        <f t="shared" si="447"/>
        <v>5390</v>
      </c>
      <c r="BY381" s="1693">
        <f t="shared" si="447"/>
        <v>6662</v>
      </c>
      <c r="BZ381" s="1693">
        <f t="shared" si="447"/>
        <v>7026</v>
      </c>
      <c r="CA381" s="1693">
        <f t="shared" si="447"/>
        <v>7542</v>
      </c>
      <c r="CB381" s="1694">
        <f t="shared" si="447"/>
        <v>6420</v>
      </c>
      <c r="CC381" s="1693">
        <f t="shared" si="447"/>
        <v>7717</v>
      </c>
      <c r="CD381" s="1693">
        <f t="shared" si="447"/>
        <v>8981</v>
      </c>
      <c r="CE381" s="1693">
        <f t="shared" si="447"/>
        <v>8447</v>
      </c>
      <c r="CF381" s="1694">
        <f t="shared" si="447"/>
        <v>7084</v>
      </c>
      <c r="CG381" s="1693">
        <f t="shared" si="447"/>
        <v>9723</v>
      </c>
      <c r="CH381" s="1693">
        <f t="shared" si="447"/>
        <v>8307</v>
      </c>
      <c r="CI381" s="1693">
        <f t="shared" si="447"/>
        <v>8249</v>
      </c>
      <c r="CJ381" s="1694">
        <f t="shared" si="447"/>
        <v>5035</v>
      </c>
      <c r="CK381" s="1693">
        <f t="shared" si="447"/>
        <v>7757</v>
      </c>
      <c r="CL381" s="1693">
        <f t="shared" si="447"/>
        <v>8720</v>
      </c>
      <c r="CM381" s="1695">
        <f t="shared" si="447"/>
        <v>8268</v>
      </c>
      <c r="CN381" s="1267">
        <f t="shared" si="447"/>
        <v>5957</v>
      </c>
      <c r="CO381" s="1267">
        <f t="shared" si="447"/>
        <v>9314</v>
      </c>
      <c r="CP381" s="1267">
        <f t="shared" si="447"/>
        <v>9487</v>
      </c>
      <c r="CQ381" s="1695">
        <f t="shared" si="447"/>
        <v>6728</v>
      </c>
      <c r="CR381" s="1267">
        <f t="shared" si="447"/>
        <v>7531</v>
      </c>
      <c r="CS381" s="1267">
        <f t="shared" si="447"/>
        <v>9617</v>
      </c>
      <c r="CT381" s="1267">
        <f t="shared" si="447"/>
        <v>11239</v>
      </c>
      <c r="CU381" s="1695">
        <f t="shared" si="447"/>
        <v>10431</v>
      </c>
      <c r="CV381" s="1267">
        <f t="shared" si="447"/>
        <v>7139</v>
      </c>
      <c r="CW381" s="1267">
        <f t="shared" ref="CW381:DB381" si="448">SUM(CW369:CW380)</f>
        <v>7665</v>
      </c>
      <c r="CX381" s="1267">
        <f t="shared" si="448"/>
        <v>8353</v>
      </c>
      <c r="CY381" s="1695">
        <f t="shared" si="448"/>
        <v>7474</v>
      </c>
      <c r="CZ381" s="1267">
        <f t="shared" si="448"/>
        <v>10169</v>
      </c>
      <c r="DA381" s="1267">
        <f t="shared" si="448"/>
        <v>8737</v>
      </c>
      <c r="DB381" s="1267">
        <f t="shared" si="448"/>
        <v>9520</v>
      </c>
      <c r="DC381" s="1267">
        <f t="shared" ref="DC381:DH381" si="449">SUM(DC369:DC380)</f>
        <v>10504</v>
      </c>
      <c r="DD381" s="1267">
        <f t="shared" si="449"/>
        <v>7419</v>
      </c>
      <c r="DE381" s="1267">
        <f t="shared" si="449"/>
        <v>5411</v>
      </c>
      <c r="DF381" s="1267">
        <f t="shared" si="449"/>
        <v>4799</v>
      </c>
      <c r="DG381" s="1267">
        <f t="shared" si="449"/>
        <v>5086</v>
      </c>
      <c r="DH381" s="1267">
        <f t="shared" si="449"/>
        <v>1681</v>
      </c>
      <c r="DI381" s="1267">
        <f t="shared" ref="DI381:DJ381" si="450">SUM(DI369:DI380)</f>
        <v>8237</v>
      </c>
      <c r="DJ381" s="1267">
        <f t="shared" si="450"/>
        <v>7303</v>
      </c>
      <c r="DK381" s="1267">
        <f t="shared" ref="DK381:DL381" si="451">SUM(DK369:DK380)</f>
        <v>8084</v>
      </c>
      <c r="DL381" s="1267">
        <f t="shared" si="451"/>
        <v>7457</v>
      </c>
    </row>
    <row r="382" spans="1:116" ht="12.75" customHeight="1">
      <c r="A382" s="1539"/>
      <c r="B382" s="1642"/>
      <c r="C382" s="1642"/>
      <c r="D382" s="1642"/>
      <c r="E382" s="1641"/>
      <c r="F382" s="1642"/>
      <c r="G382" s="1642"/>
      <c r="H382" s="1642"/>
      <c r="I382" s="1642"/>
      <c r="J382" s="1642"/>
      <c r="K382" s="1681"/>
      <c r="L382" s="1642"/>
      <c r="M382" s="1642"/>
      <c r="N382" s="1642"/>
      <c r="O382" s="1642"/>
      <c r="P382" s="1642"/>
      <c r="Q382" s="1642"/>
      <c r="R382" s="1642"/>
      <c r="S382" s="1642"/>
      <c r="T382" s="1642"/>
      <c r="U382" s="1642"/>
      <c r="V382" s="1642"/>
      <c r="W382" s="1642"/>
      <c r="X382" s="1642"/>
      <c r="Y382" s="1642"/>
      <c r="Z382" s="1642"/>
      <c r="AA382" s="1642"/>
      <c r="AB382" s="1642"/>
      <c r="AC382" s="1642"/>
      <c r="AD382" s="1642"/>
      <c r="AE382" s="1642"/>
      <c r="AF382" s="1641"/>
      <c r="AG382" s="1642"/>
      <c r="AH382" s="1642"/>
      <c r="AI382" s="1642"/>
      <c r="AJ382" s="1641"/>
      <c r="AK382" s="1642"/>
      <c r="AL382" s="1642"/>
      <c r="AM382" s="1642"/>
      <c r="AN382" s="1641"/>
      <c r="AO382" s="1642">
        <f>AO381-AO380-AO379-AO378-AO377-AO376-AO375-AO374-AO373-AO372-AO371-AO369</f>
        <v>0</v>
      </c>
      <c r="AP382" s="1642">
        <f>AP381-AP380-AP379-AP378-AP377-AP376-AP375-AP374-AP373-AP372-AP371-AP369</f>
        <v>0</v>
      </c>
      <c r="AQ382" s="1642"/>
      <c r="AR382" s="1641"/>
      <c r="AS382" s="1642">
        <f t="shared" ref="AS382:BE382" si="452">AS381-AS380-AS379-AS378-AS377-AS376-AS375-AS374-AS373-AS372-AS371-AS369</f>
        <v>0</v>
      </c>
      <c r="AT382" s="1642">
        <f t="shared" si="452"/>
        <v>0</v>
      </c>
      <c r="AU382" s="1642">
        <f t="shared" si="452"/>
        <v>0</v>
      </c>
      <c r="AV382" s="1641">
        <f t="shared" si="452"/>
        <v>0</v>
      </c>
      <c r="AW382" s="1642">
        <f t="shared" si="452"/>
        <v>0</v>
      </c>
      <c r="AX382" s="1642">
        <f t="shared" si="452"/>
        <v>0</v>
      </c>
      <c r="AY382" s="1642">
        <f t="shared" si="452"/>
        <v>0</v>
      </c>
      <c r="AZ382" s="1641">
        <f t="shared" si="452"/>
        <v>0</v>
      </c>
      <c r="BA382" s="1642">
        <f t="shared" si="452"/>
        <v>0</v>
      </c>
      <c r="BB382" s="1642">
        <f t="shared" si="452"/>
        <v>0</v>
      </c>
      <c r="BC382" s="1642">
        <f t="shared" si="452"/>
        <v>0</v>
      </c>
      <c r="BD382" s="1641">
        <f t="shared" si="452"/>
        <v>0</v>
      </c>
      <c r="BE382" s="1642">
        <f t="shared" si="452"/>
        <v>0</v>
      </c>
      <c r="BF382" s="1642"/>
      <c r="BG382" s="1642"/>
      <c r="BH382" s="1641"/>
      <c r="BI382" s="1642"/>
      <c r="BJ382" s="1642"/>
      <c r="BK382" s="1642"/>
      <c r="BL382" s="1641"/>
      <c r="BM382" s="1642"/>
      <c r="BN382" s="1642"/>
      <c r="BO382" s="1642"/>
      <c r="BP382" s="1641"/>
      <c r="BQ382" s="1642"/>
      <c r="BR382" s="1642"/>
      <c r="BS382" s="1642"/>
      <c r="BT382" s="1641"/>
      <c r="BU382" s="1642"/>
      <c r="BV382" s="1642"/>
      <c r="BW382" s="1642"/>
      <c r="BX382" s="1633"/>
      <c r="BY382" s="1634"/>
      <c r="BZ382" s="1634"/>
      <c r="CA382" s="1642"/>
      <c r="CB382" s="1641"/>
      <c r="CC382" s="1642"/>
      <c r="CD382" s="1642"/>
      <c r="CE382" s="1642"/>
      <c r="CF382" s="1641"/>
      <c r="CG382" s="1642"/>
      <c r="CH382" s="1642"/>
      <c r="CI382" s="1642"/>
      <c r="CJ382" s="1641"/>
      <c r="CK382" s="1642"/>
      <c r="CL382" s="1642"/>
      <c r="CM382" s="1681"/>
      <c r="CN382" s="1672"/>
      <c r="CO382" s="1672"/>
      <c r="CP382" s="1672"/>
      <c r="CQ382" s="1681"/>
      <c r="CR382" s="1672"/>
      <c r="CS382" s="1672"/>
      <c r="CT382" s="1672"/>
      <c r="CU382" s="1681"/>
      <c r="CV382" s="1672"/>
      <c r="CW382" s="1672"/>
      <c r="CX382" s="1672"/>
      <c r="CY382" s="1681"/>
      <c r="CZ382" s="1672"/>
      <c r="DA382" s="1672"/>
      <c r="DB382" s="1672"/>
      <c r="DC382" s="1672"/>
      <c r="DD382" s="1672"/>
      <c r="DE382" s="1672"/>
      <c r="DF382" s="1672"/>
      <c r="DG382" s="1672"/>
      <c r="DH382" s="1672"/>
      <c r="DI382" s="1672"/>
      <c r="DJ382" s="1672"/>
      <c r="DK382" s="1672"/>
      <c r="DL382" s="1672"/>
    </row>
    <row r="383" spans="1:116" ht="12.75" customHeight="1">
      <c r="A383" s="954" t="s">
        <v>1603</v>
      </c>
      <c r="B383" s="1642"/>
      <c r="C383" s="1642"/>
      <c r="D383" s="1642"/>
      <c r="E383" s="1641"/>
      <c r="F383" s="1642"/>
      <c r="G383" s="1642"/>
      <c r="H383" s="1642"/>
      <c r="I383" s="1642"/>
      <c r="J383" s="1642"/>
      <c r="K383" s="1681"/>
      <c r="L383" s="1642"/>
      <c r="M383" s="1642"/>
      <c r="N383" s="1642"/>
      <c r="O383" s="1642"/>
      <c r="P383" s="1642"/>
      <c r="Q383" s="1642"/>
      <c r="R383" s="1642"/>
      <c r="S383" s="1642"/>
      <c r="T383" s="1642"/>
      <c r="U383" s="1642"/>
      <c r="V383" s="1642"/>
      <c r="W383" s="1642"/>
      <c r="X383" s="1642"/>
      <c r="Y383" s="1642"/>
      <c r="Z383" s="1642"/>
      <c r="AA383" s="1642"/>
      <c r="AB383" s="1642"/>
      <c r="AC383" s="1642"/>
      <c r="AD383" s="1642"/>
      <c r="AE383" s="1642"/>
      <c r="AF383" s="1641"/>
      <c r="AG383" s="1642"/>
      <c r="AH383" s="1642"/>
      <c r="AI383" s="1642"/>
      <c r="AJ383" s="1641"/>
      <c r="AK383" s="1642"/>
      <c r="AL383" s="1642"/>
      <c r="AM383" s="1642"/>
      <c r="AN383" s="1641"/>
      <c r="AO383" s="1642"/>
      <c r="AP383" s="1642"/>
      <c r="AQ383" s="1642"/>
      <c r="AR383" s="1641"/>
      <c r="AS383" s="1642"/>
      <c r="AT383" s="1642"/>
      <c r="AU383" s="1642"/>
      <c r="AV383" s="1641"/>
      <c r="AW383" s="1642"/>
      <c r="AX383" s="1642"/>
      <c r="AY383" s="1642"/>
      <c r="AZ383" s="1641"/>
      <c r="BA383" s="1642"/>
      <c r="BB383" s="1642"/>
      <c r="BC383" s="1642"/>
      <c r="BD383" s="1641"/>
      <c r="BE383" s="1642"/>
      <c r="BF383" s="1642"/>
      <c r="BG383" s="1642"/>
      <c r="BH383" s="1641"/>
      <c r="BI383" s="1642"/>
      <c r="BJ383" s="1642"/>
      <c r="BK383" s="1642"/>
      <c r="BL383" s="1641"/>
      <c r="BM383" s="1642"/>
      <c r="BN383" s="1642"/>
      <c r="BO383" s="1642"/>
      <c r="BP383" s="1641"/>
      <c r="BQ383" s="1642"/>
      <c r="BR383" s="1642"/>
      <c r="BS383" s="1642"/>
      <c r="BT383" s="1641"/>
      <c r="BU383" s="1642"/>
      <c r="BV383" s="1642"/>
      <c r="BW383" s="1642"/>
      <c r="BX383" s="1633"/>
      <c r="BY383" s="1634"/>
      <c r="BZ383" s="1634"/>
      <c r="CA383" s="1642"/>
      <c r="CB383" s="1641"/>
      <c r="CC383" s="1642"/>
      <c r="CD383" s="1642"/>
      <c r="CE383" s="1642"/>
      <c r="CF383" s="1641"/>
      <c r="CG383" s="1642"/>
      <c r="CH383" s="1642"/>
      <c r="CI383" s="1642"/>
      <c r="CJ383" s="1641"/>
      <c r="CK383" s="1642"/>
      <c r="CL383" s="1642"/>
      <c r="CM383" s="1681"/>
      <c r="CN383" s="1672"/>
      <c r="CO383" s="1672"/>
      <c r="CP383" s="1672"/>
      <c r="CQ383" s="1681"/>
      <c r="CR383" s="1672"/>
      <c r="CS383" s="1672"/>
      <c r="CT383" s="1672"/>
      <c r="CU383" s="1681"/>
      <c r="CV383" s="1672"/>
      <c r="CW383" s="1672"/>
      <c r="CX383" s="1672"/>
      <c r="CY383" s="1681"/>
      <c r="CZ383" s="1672"/>
      <c r="DA383" s="1672"/>
      <c r="DB383" s="1672"/>
      <c r="DC383" s="1672"/>
      <c r="DD383" s="1672"/>
      <c r="DE383" s="1672"/>
      <c r="DF383" s="1672"/>
      <c r="DG383" s="1672"/>
      <c r="DH383" s="1672"/>
      <c r="DI383" s="1672"/>
      <c r="DJ383" s="1672"/>
      <c r="DK383" s="1672"/>
      <c r="DL383" s="1672"/>
    </row>
    <row r="384" spans="1:116" ht="12.75" customHeight="1">
      <c r="A384" s="1539" t="s">
        <v>1380</v>
      </c>
      <c r="B384" s="1642"/>
      <c r="C384" s="1642"/>
      <c r="D384" s="1642"/>
      <c r="E384" s="1641"/>
      <c r="F384" s="1642"/>
      <c r="G384" s="1642"/>
      <c r="H384" s="1642"/>
      <c r="I384" s="1642"/>
      <c r="J384" s="1642"/>
      <c r="K384" s="1681"/>
      <c r="L384" s="1642"/>
      <c r="M384" s="1642"/>
      <c r="N384" s="1642"/>
      <c r="O384" s="1642"/>
      <c r="P384" s="1642"/>
      <c r="Q384" s="1642"/>
      <c r="R384" s="1642"/>
      <c r="S384" s="1642"/>
      <c r="T384" s="1642"/>
      <c r="U384" s="1642"/>
      <c r="V384" s="1642"/>
      <c r="W384" s="1642"/>
      <c r="X384" s="1642"/>
      <c r="Y384" s="1642"/>
      <c r="Z384" s="1642"/>
      <c r="AA384" s="1642"/>
      <c r="AB384" s="1642"/>
      <c r="AC384" s="1642"/>
      <c r="AD384" s="1642"/>
      <c r="AE384" s="1642"/>
      <c r="AF384" s="1641"/>
      <c r="AG384" s="1642"/>
      <c r="AH384" s="1642"/>
      <c r="AI384" s="1642"/>
      <c r="AJ384" s="1641"/>
      <c r="AK384" s="1642"/>
      <c r="AL384" s="1642"/>
      <c r="AM384" s="1642"/>
      <c r="AN384" s="1641"/>
      <c r="AO384" s="1642">
        <v>-5772</v>
      </c>
      <c r="AP384" s="1642">
        <v>-9120</v>
      </c>
      <c r="AQ384" s="1642"/>
      <c r="AR384" s="1641"/>
      <c r="AS384" s="1642">
        <v>-7632</v>
      </c>
      <c r="AT384" s="1642">
        <v>-11880</v>
      </c>
      <c r="AU384" s="1642">
        <v>-17633</v>
      </c>
      <c r="AV384" s="1641">
        <v>-4478</v>
      </c>
      <c r="AW384" s="1642">
        <v>-9163</v>
      </c>
      <c r="AX384" s="1642">
        <v>-12477</v>
      </c>
      <c r="AY384" s="1642">
        <v>-17371</v>
      </c>
      <c r="AZ384" s="1641">
        <v>-2374</v>
      </c>
      <c r="BA384" s="1632">
        <v>-5510</v>
      </c>
      <c r="BB384" s="1642">
        <v>-8108</v>
      </c>
      <c r="BC384" s="1642">
        <v>-11984</v>
      </c>
      <c r="BD384" s="1641">
        <v>-2463</v>
      </c>
      <c r="BE384" s="1642">
        <f>-5287-BD384</f>
        <v>-2824</v>
      </c>
      <c r="BF384" s="1642">
        <f>-8134-SUM(BD384:BE384)</f>
        <v>-2847</v>
      </c>
      <c r="BG384" s="1642">
        <f>-11874-SUM(BD384:BF384)</f>
        <v>-3740</v>
      </c>
      <c r="BH384" s="1641">
        <f>-2641</f>
        <v>-2641</v>
      </c>
      <c r="BI384" s="1642">
        <f>-5824-BH384</f>
        <v>-3183</v>
      </c>
      <c r="BJ384" s="1642">
        <f>-9077-SUM(BH384:BI384)</f>
        <v>-3253</v>
      </c>
      <c r="BK384" s="1642">
        <f>-13259-SUM(BH384:BJ384)</f>
        <v>-4182</v>
      </c>
      <c r="BL384" s="1641">
        <v>-3594</v>
      </c>
      <c r="BM384" s="1642">
        <f>-7655-BL384</f>
        <v>-4061</v>
      </c>
      <c r="BN384" s="1642">
        <f>-11552-SUM(BL384:BM384)</f>
        <v>-3897</v>
      </c>
      <c r="BO384" s="1642">
        <f>-15324-SUM(BL384:BN384)</f>
        <v>-3772</v>
      </c>
      <c r="BP384" s="1641">
        <v>-4066</v>
      </c>
      <c r="BQ384" s="1642">
        <f>-8311-BP384</f>
        <v>-4245</v>
      </c>
      <c r="BR384" s="1642">
        <f>-12318-BP384-BQ384</f>
        <v>-4007</v>
      </c>
      <c r="BS384" s="1642">
        <f>-17101-BP384-BQ384-BR384</f>
        <v>-4783</v>
      </c>
      <c r="BT384" s="1641">
        <v>-4163</v>
      </c>
      <c r="BU384" s="1634">
        <f>-8515-BT384</f>
        <v>-4352</v>
      </c>
      <c r="BV384" s="1634">
        <f>-12792-BU384-BT384</f>
        <v>-4277</v>
      </c>
      <c r="BW384" s="1634">
        <f>+-17538-BV384-BU384-BT384</f>
        <v>-4746</v>
      </c>
      <c r="BX384" s="1633">
        <v>-4220</v>
      </c>
      <c r="BY384" s="1634">
        <f>-8397-BX384</f>
        <v>-4177</v>
      </c>
      <c r="BZ384" s="1634">
        <f>+-12575-BY384-BX384</f>
        <v>-4178</v>
      </c>
      <c r="CA384" s="1634">
        <f>-17238-BZ384-BY384-BX384</f>
        <v>-4663</v>
      </c>
      <c r="CB384" s="1641">
        <f>-CB131</f>
        <v>-3663</v>
      </c>
      <c r="CC384" s="1642">
        <f>-CC131</f>
        <v>-4343</v>
      </c>
      <c r="CD384" s="1642">
        <f>-CD131</f>
        <v>-4313</v>
      </c>
      <c r="CE384" s="1642">
        <f>-CE131</f>
        <v>-4553</v>
      </c>
      <c r="CF384" s="1633">
        <v>-3423</v>
      </c>
      <c r="CG384" s="1634">
        <v>-4196</v>
      </c>
      <c r="CH384" s="1634">
        <v>-4125</v>
      </c>
      <c r="CI384" s="1634">
        <v>-4714</v>
      </c>
      <c r="CJ384" s="1633">
        <v>-4363</v>
      </c>
      <c r="CK384" s="1634">
        <f>-8918-CJ384</f>
        <v>-4555</v>
      </c>
      <c r="CL384" s="1634">
        <f>-12546-CK384-CJ384</f>
        <v>-3628</v>
      </c>
      <c r="CM384" s="1648">
        <v>-3698</v>
      </c>
      <c r="CN384" s="1649">
        <v>-3565</v>
      </c>
      <c r="CO384" s="1649">
        <f>-7430-CN384</f>
        <v>-3865</v>
      </c>
      <c r="CP384" s="1649">
        <f>-11315-CO384-CN384</f>
        <v>-3885</v>
      </c>
      <c r="CQ384" s="1648">
        <f>-16175-CP384-CO384-CN384</f>
        <v>-4860</v>
      </c>
      <c r="CR384" s="1649">
        <v>-3602</v>
      </c>
      <c r="CS384" s="1649">
        <f>-7616-CR384</f>
        <v>-4014</v>
      </c>
      <c r="CT384" s="1649">
        <f>-11807-CS384-CR384</f>
        <v>-4191</v>
      </c>
      <c r="CU384" s="1648">
        <f>-16604-CT384-CS384-CR384</f>
        <v>-4797</v>
      </c>
      <c r="CV384" s="1649">
        <v>-4150</v>
      </c>
      <c r="CW384" s="1649">
        <f>-8494-CV384</f>
        <v>-4344</v>
      </c>
      <c r="CX384" s="1649">
        <f>-12624+8494</f>
        <v>-4130</v>
      </c>
      <c r="CY384" s="1648">
        <f>-17191-CX384-CW384-CV384</f>
        <v>-4567</v>
      </c>
      <c r="CZ384" s="1649">
        <v>-3665</v>
      </c>
      <c r="DA384" s="1649">
        <f>-8153-CZ384</f>
        <v>-4488</v>
      </c>
      <c r="DB384" s="1649">
        <f>-12540-DA384-CZ384</f>
        <v>-4387</v>
      </c>
      <c r="DC384" s="1649">
        <f>-17775-SUM(CZ384:DB384)</f>
        <v>-5235</v>
      </c>
      <c r="DD384" s="1649">
        <v>-3387</v>
      </c>
      <c r="DE384" s="1649">
        <f>-7273-DD384</f>
        <v>-3886</v>
      </c>
      <c r="DF384" s="1649">
        <f>-11398-DD384-DE384</f>
        <v>-4125</v>
      </c>
      <c r="DG384" s="1649">
        <f>-17059-DD384-DE384-DF384</f>
        <v>-5661</v>
      </c>
      <c r="DH384" s="1649">
        <v>-3067</v>
      </c>
      <c r="DI384" s="1649">
        <f>-7011-DH384</f>
        <v>-3944</v>
      </c>
      <c r="DJ384" s="1649">
        <f>-11282-DH384-DI384</f>
        <v>-4271</v>
      </c>
      <c r="DK384" s="1649">
        <f>-17247--11282</f>
        <v>-5965</v>
      </c>
      <c r="DL384" s="1649">
        <v>-4552</v>
      </c>
    </row>
    <row r="385" spans="1:116" ht="12.75" customHeight="1">
      <c r="A385" s="1539" t="s">
        <v>1381</v>
      </c>
      <c r="B385" s="1642"/>
      <c r="C385" s="1642"/>
      <c r="D385" s="1642"/>
      <c r="E385" s="1641"/>
      <c r="F385" s="1642"/>
      <c r="G385" s="1642"/>
      <c r="H385" s="1642"/>
      <c r="I385" s="1642"/>
      <c r="J385" s="1642"/>
      <c r="K385" s="1681"/>
      <c r="L385" s="1642"/>
      <c r="M385" s="1642"/>
      <c r="N385" s="1642"/>
      <c r="O385" s="1642"/>
      <c r="P385" s="1642"/>
      <c r="Q385" s="1642"/>
      <c r="R385" s="1642"/>
      <c r="S385" s="1642"/>
      <c r="T385" s="1642"/>
      <c r="U385" s="1642"/>
      <c r="V385" s="1642"/>
      <c r="W385" s="1642"/>
      <c r="X385" s="1642"/>
      <c r="Y385" s="1642"/>
      <c r="Z385" s="1642"/>
      <c r="AA385" s="1642"/>
      <c r="AB385" s="1642"/>
      <c r="AC385" s="1642"/>
      <c r="AD385" s="1642"/>
      <c r="AE385" s="1642"/>
      <c r="AF385" s="1641"/>
      <c r="AG385" s="1642"/>
      <c r="AH385" s="1642"/>
      <c r="AI385" s="1642"/>
      <c r="AJ385" s="1641"/>
      <c r="AK385" s="1642"/>
      <c r="AL385" s="1642"/>
      <c r="AM385" s="1642"/>
      <c r="AN385" s="1641"/>
      <c r="AO385" s="1642">
        <v>-1410</v>
      </c>
      <c r="AP385" s="1642">
        <v>-1521</v>
      </c>
      <c r="AQ385" s="1642"/>
      <c r="AR385" s="1641"/>
      <c r="AS385" s="1642">
        <v>-1132</v>
      </c>
      <c r="AT385" s="1642">
        <v>-1590</v>
      </c>
      <c r="AU385" s="1642">
        <v>-2247</v>
      </c>
      <c r="AV385" s="1641">
        <v>-2099</v>
      </c>
      <c r="AW385" s="1642">
        <v>-2212</v>
      </c>
      <c r="AX385" s="1642">
        <v>-3005</v>
      </c>
      <c r="AY385" s="1642">
        <v>-3142</v>
      </c>
      <c r="AZ385" s="1641">
        <v>-930</v>
      </c>
      <c r="BA385" s="1632">
        <v>-998</v>
      </c>
      <c r="BB385" s="1642">
        <v>-1017</v>
      </c>
      <c r="BC385" s="1642">
        <v>-1093</v>
      </c>
      <c r="BD385" s="1641">
        <v>-169</v>
      </c>
      <c r="BE385" s="1642">
        <f>-1033-BD385</f>
        <v>-864</v>
      </c>
      <c r="BF385" s="1642">
        <f>-1097-SUM(BD385:BE385)</f>
        <v>-64</v>
      </c>
      <c r="BG385" s="1642">
        <f>-1162-SUM(BD385:BF385)</f>
        <v>-65</v>
      </c>
      <c r="BH385" s="1641">
        <v>-34</v>
      </c>
      <c r="BI385" s="1642">
        <f>-55-BH385</f>
        <v>-21</v>
      </c>
      <c r="BJ385" s="1642">
        <f>-300-SUM(BH385:BI385)</f>
        <v>-245</v>
      </c>
      <c r="BK385" s="1642">
        <f>-1196-SUM(BH385:BJ385)</f>
        <v>-896</v>
      </c>
      <c r="BL385" s="1641">
        <v>-1178</v>
      </c>
      <c r="BM385" s="1642">
        <f>-4438-BL385</f>
        <v>-3260</v>
      </c>
      <c r="BN385" s="1642">
        <f>-4630-SUM(BL385:BM385)</f>
        <v>-192</v>
      </c>
      <c r="BO385" s="1642">
        <f>-4684-SUM(BL385:BN385)</f>
        <v>-54</v>
      </c>
      <c r="BP385" s="1641">
        <v>1526</v>
      </c>
      <c r="BQ385" s="1642">
        <f>1471-BP385</f>
        <v>-55</v>
      </c>
      <c r="BR385" s="1642">
        <f>1037-BP385-BQ385</f>
        <v>-434</v>
      </c>
      <c r="BS385" s="1642">
        <f>-1422-BP385-BQ385-BR385</f>
        <v>-2459</v>
      </c>
      <c r="BT385" s="1641">
        <v>-124</v>
      </c>
      <c r="BU385" s="1634">
        <f>-629-BT385</f>
        <v>-505</v>
      </c>
      <c r="BV385" s="1634">
        <f>-697-BU385-BT385</f>
        <v>-68</v>
      </c>
      <c r="BW385" s="1634">
        <f>+-763-BV385-BU385-BT385</f>
        <v>-66</v>
      </c>
      <c r="BX385" s="1633">
        <v>-931</v>
      </c>
      <c r="BY385" s="1634">
        <f>-14493-BX385</f>
        <v>-13562</v>
      </c>
      <c r="BZ385" s="1634">
        <f>-15978-BY385-BX385</f>
        <v>-1485</v>
      </c>
      <c r="CA385" s="1634">
        <f>-15904-BZ385-BY385-BX385</f>
        <v>74</v>
      </c>
      <c r="CB385" s="1633">
        <v>-5118</v>
      </c>
      <c r="CC385" s="1634">
        <f>+-5367-CB385</f>
        <v>-249</v>
      </c>
      <c r="CD385" s="1634">
        <f>-5627-CC385-CB385</f>
        <v>-260</v>
      </c>
      <c r="CE385" s="1634">
        <f>-5958-CD385-CC385-CB385</f>
        <v>-331</v>
      </c>
      <c r="CF385" s="1633">
        <v>-274</v>
      </c>
      <c r="CG385" s="1634">
        <f>-538-CF385</f>
        <v>-264</v>
      </c>
      <c r="CH385" s="1634">
        <f>+-1027-CG385-CF385</f>
        <v>-489</v>
      </c>
      <c r="CI385" s="1634">
        <f>-1438-CH385-CG385-CF385</f>
        <v>-411</v>
      </c>
      <c r="CJ385" s="1633">
        <v>-104</v>
      </c>
      <c r="CK385" s="1634">
        <f>-1668-CJ385</f>
        <v>-1564</v>
      </c>
      <c r="CL385" s="1634">
        <f>-1854-CK385-CJ385</f>
        <v>-186</v>
      </c>
      <c r="CM385" s="1648">
        <v>-164</v>
      </c>
      <c r="CN385" s="1649">
        <v>-165</v>
      </c>
      <c r="CO385" s="1649">
        <f>-242-CN385</f>
        <v>-77</v>
      </c>
      <c r="CP385" s="1649">
        <f>-838-3816-CO385-CN385</f>
        <v>-4412</v>
      </c>
      <c r="CQ385" s="1648">
        <f>-913-3935-CP385-CO385-CN385</f>
        <v>-194</v>
      </c>
      <c r="CR385" s="1649">
        <f>-21-117</f>
        <v>-138</v>
      </c>
      <c r="CS385" s="1649">
        <f>-76-264-CR385</f>
        <v>-202</v>
      </c>
      <c r="CT385" s="1649">
        <f>-81-430+2111-CS385-CR385</f>
        <v>1940</v>
      </c>
      <c r="CU385" s="1648">
        <f>-494-CT385-CS385-CR385+2111-580</f>
        <v>-563</v>
      </c>
      <c r="CV385" s="1649">
        <f>-157-213</f>
        <v>-370</v>
      </c>
      <c r="CW385" s="1649">
        <f>-179-271-CV385+2367</f>
        <v>2287</v>
      </c>
      <c r="CX385" s="1649">
        <f>-180-343+179+271+2367-2367</f>
        <v>-73</v>
      </c>
      <c r="CY385" s="1648">
        <f>-182-354+2367-CX385-CW385-CV385</f>
        <v>-13</v>
      </c>
      <c r="CZ385" s="1649">
        <f>-2-9555</f>
        <v>-9557</v>
      </c>
      <c r="DA385" s="1649">
        <f>-3225-9677-CZ385</f>
        <v>-3345</v>
      </c>
      <c r="DB385" s="1649">
        <f>-3205-9811-DA385-CZ385</f>
        <v>-114</v>
      </c>
      <c r="DC385" s="1649">
        <f>-3545-9942-SUM(CZ385:DB385)</f>
        <v>-471</v>
      </c>
      <c r="DD385" s="1649">
        <f>-161-131</f>
        <v>-292</v>
      </c>
      <c r="DE385" s="1649">
        <f>-178-282-DD385</f>
        <v>-168</v>
      </c>
      <c r="DF385" s="1649">
        <f>-963-410-DD385-DE385</f>
        <v>-913</v>
      </c>
      <c r="DG385" s="1649">
        <f>-3765-534-DD385-DE385-DF385</f>
        <v>-2926</v>
      </c>
      <c r="DH385" s="1649">
        <v>-1746</v>
      </c>
      <c r="DI385" s="1649">
        <f>-6280-DH385</f>
        <v>-4534</v>
      </c>
      <c r="DJ385" s="1649">
        <f>-6295-DH385-DI385</f>
        <v>-15</v>
      </c>
      <c r="DK385" s="1649">
        <f>-5928--6295</f>
        <v>367</v>
      </c>
      <c r="DL385" s="1649">
        <f>-32-970</f>
        <v>-1002</v>
      </c>
    </row>
    <row r="386" spans="1:116" ht="12.75" hidden="1" customHeight="1">
      <c r="A386" s="1539" t="s">
        <v>1382</v>
      </c>
      <c r="B386" s="1642"/>
      <c r="C386" s="1642"/>
      <c r="D386" s="1642"/>
      <c r="E386" s="1641"/>
      <c r="F386" s="1642"/>
      <c r="G386" s="1642"/>
      <c r="H386" s="1642"/>
      <c r="I386" s="1642"/>
      <c r="J386" s="1642"/>
      <c r="K386" s="1681"/>
      <c r="L386" s="1642"/>
      <c r="M386" s="1642"/>
      <c r="N386" s="1642"/>
      <c r="O386" s="1642"/>
      <c r="P386" s="1642"/>
      <c r="Q386" s="1642"/>
      <c r="R386" s="1642"/>
      <c r="S386" s="1642"/>
      <c r="T386" s="1642"/>
      <c r="U386" s="1642"/>
      <c r="V386" s="1642"/>
      <c r="W386" s="1642"/>
      <c r="X386" s="1642"/>
      <c r="Y386" s="1642"/>
      <c r="Z386" s="1642"/>
      <c r="AA386" s="1642"/>
      <c r="AB386" s="1642"/>
      <c r="AC386" s="1642"/>
      <c r="AD386" s="1642"/>
      <c r="AE386" s="1642"/>
      <c r="AF386" s="1641"/>
      <c r="AG386" s="1642"/>
      <c r="AH386" s="1642"/>
      <c r="AI386" s="1642"/>
      <c r="AJ386" s="1641"/>
      <c r="AK386" s="1642"/>
      <c r="AL386" s="1642"/>
      <c r="AM386" s="1642"/>
      <c r="AN386" s="1641"/>
      <c r="AO386" s="1642">
        <v>612</v>
      </c>
      <c r="AP386" s="1642">
        <v>1648</v>
      </c>
      <c r="AQ386" s="1642"/>
      <c r="AR386" s="1641"/>
      <c r="AS386" s="1642">
        <v>1899</v>
      </c>
      <c r="AT386" s="1642">
        <v>6004</v>
      </c>
      <c r="AU386" s="1642">
        <v>6794</v>
      </c>
      <c r="AV386" s="1641">
        <v>0</v>
      </c>
      <c r="AW386" s="1642">
        <v>0</v>
      </c>
      <c r="AX386" s="1642">
        <v>200</v>
      </c>
      <c r="AY386" s="1642">
        <v>415</v>
      </c>
      <c r="AZ386" s="1641">
        <v>728</v>
      </c>
      <c r="BA386" s="1632">
        <v>770</v>
      </c>
      <c r="BB386" s="1642">
        <v>4638</v>
      </c>
      <c r="BC386" s="1642">
        <v>4638</v>
      </c>
      <c r="BD386" s="1641">
        <v>0</v>
      </c>
      <c r="BE386" s="1642">
        <v>0</v>
      </c>
      <c r="BF386" s="1642">
        <v>229</v>
      </c>
      <c r="BG386" s="1642">
        <f>229-SUM(BD386:BF386)</f>
        <v>0</v>
      </c>
      <c r="BH386" s="1641">
        <v>117</v>
      </c>
      <c r="BI386" s="1642">
        <f>117-BH386</f>
        <v>0</v>
      </c>
      <c r="BJ386" s="1642">
        <f>117-SUM(BH386:BI386)</f>
        <v>0</v>
      </c>
      <c r="BK386" s="1642">
        <f>1720-SUM(BG386:BJ386)</f>
        <v>1603</v>
      </c>
      <c r="BL386" s="1641">
        <v>0</v>
      </c>
      <c r="BM386" s="1642">
        <f>1326-BL386</f>
        <v>1326</v>
      </c>
      <c r="BN386" s="1642">
        <f>1326-SUM(BL386:BM386)</f>
        <v>0</v>
      </c>
      <c r="BO386" s="1642">
        <f>1326-SUM(BL386:BN386)</f>
        <v>0</v>
      </c>
      <c r="BP386" s="1641"/>
      <c r="BQ386" s="1642"/>
      <c r="BR386" s="1642"/>
      <c r="BS386" s="1642"/>
      <c r="BT386" s="1641"/>
      <c r="BU386" s="1634"/>
      <c r="BV386" s="1634"/>
      <c r="BW386" s="1634"/>
      <c r="BX386" s="1633"/>
      <c r="BY386" s="1634"/>
      <c r="BZ386" s="1634"/>
      <c r="CA386" s="1634"/>
      <c r="CB386" s="1633"/>
      <c r="CC386" s="1634"/>
      <c r="CD386" s="1634">
        <v>0</v>
      </c>
      <c r="CE386" s="1634"/>
      <c r="CF386" s="1633"/>
      <c r="CG386" s="1634">
        <v>2594</v>
      </c>
      <c r="CH386" s="1634">
        <f>2594-CG386-CF386</f>
        <v>0</v>
      </c>
      <c r="CI386" s="1634">
        <f>2594-CH386-CG386-CF386</f>
        <v>0</v>
      </c>
      <c r="CJ386" s="1633">
        <v>0</v>
      </c>
      <c r="CK386" s="1634"/>
      <c r="CL386" s="1634"/>
      <c r="CM386" s="1648"/>
      <c r="CN386" s="1649"/>
      <c r="CO386" s="1649"/>
      <c r="CP386" s="1649"/>
      <c r="CQ386" s="1648"/>
      <c r="CR386" s="1649"/>
      <c r="CS386" s="1649"/>
      <c r="CT386" s="1649"/>
      <c r="CU386" s="1648"/>
      <c r="CV386" s="1649"/>
      <c r="CW386" s="1649"/>
      <c r="CX386" s="1649"/>
      <c r="CY386" s="1648"/>
      <c r="CZ386" s="1649"/>
      <c r="DA386" s="1649"/>
      <c r="DB386" s="1649"/>
      <c r="DC386" s="1649"/>
      <c r="DD386" s="1649"/>
      <c r="DE386" s="1649"/>
      <c r="DF386" s="1649"/>
      <c r="DG386" s="1649"/>
      <c r="DH386" s="1649"/>
      <c r="DI386" s="1649"/>
      <c r="DJ386" s="1649"/>
      <c r="DK386" s="1649"/>
      <c r="DL386" s="1649"/>
    </row>
    <row r="387" spans="1:116" ht="12.75" hidden="1" customHeight="1">
      <c r="A387" s="1539" t="s">
        <v>698</v>
      </c>
      <c r="B387" s="1642"/>
      <c r="C387" s="1642"/>
      <c r="D387" s="1642"/>
      <c r="E387" s="1641"/>
      <c r="F387" s="1642"/>
      <c r="G387" s="1642"/>
      <c r="H387" s="1642"/>
      <c r="I387" s="1642"/>
      <c r="J387" s="1642"/>
      <c r="K387" s="1681"/>
      <c r="L387" s="1642"/>
      <c r="M387" s="1642"/>
      <c r="N387" s="1642"/>
      <c r="O387" s="1642"/>
      <c r="P387" s="1642"/>
      <c r="Q387" s="1642"/>
      <c r="R387" s="1642"/>
      <c r="S387" s="1642"/>
      <c r="T387" s="1642"/>
      <c r="U387" s="1642"/>
      <c r="V387" s="1642"/>
      <c r="W387" s="1642"/>
      <c r="X387" s="1642"/>
      <c r="Y387" s="1642"/>
      <c r="Z387" s="1642"/>
      <c r="AA387" s="1642"/>
      <c r="AB387" s="1642"/>
      <c r="AC387" s="1642"/>
      <c r="AD387" s="1642"/>
      <c r="AE387" s="1642"/>
      <c r="AF387" s="1641"/>
      <c r="AG387" s="1642"/>
      <c r="AH387" s="1642"/>
      <c r="AI387" s="1642"/>
      <c r="AJ387" s="1641"/>
      <c r="AK387" s="1642"/>
      <c r="AL387" s="1642"/>
      <c r="AM387" s="1642"/>
      <c r="AN387" s="1641"/>
      <c r="AO387" s="1642">
        <v>0</v>
      </c>
      <c r="AP387" s="1642">
        <v>0</v>
      </c>
      <c r="AQ387" s="1642"/>
      <c r="AR387" s="1641"/>
      <c r="AS387" s="1642">
        <v>-979</v>
      </c>
      <c r="AT387" s="1642">
        <v>-989</v>
      </c>
      <c r="AU387" s="1642">
        <v>-1024</v>
      </c>
      <c r="AV387" s="1641">
        <v>0</v>
      </c>
      <c r="AW387" s="1642">
        <v>0</v>
      </c>
      <c r="AX387" s="1642">
        <v>0</v>
      </c>
      <c r="AY387" s="1642">
        <v>-50</v>
      </c>
      <c r="AZ387" s="1641">
        <v>0</v>
      </c>
      <c r="BA387" s="1632">
        <v>1479</v>
      </c>
      <c r="BB387" s="1642">
        <v>1479</v>
      </c>
      <c r="BC387" s="1642">
        <v>1740</v>
      </c>
      <c r="BD387" s="1641">
        <v>0</v>
      </c>
      <c r="BE387" s="1642">
        <v>0</v>
      </c>
      <c r="BF387" s="1642">
        <v>0</v>
      </c>
      <c r="BG387" s="1642">
        <v>0</v>
      </c>
      <c r="BH387" s="1641">
        <v>0</v>
      </c>
      <c r="BI387" s="1642">
        <v>0</v>
      </c>
      <c r="BJ387" s="1642">
        <v>0</v>
      </c>
      <c r="BK387" s="1642">
        <v>0</v>
      </c>
      <c r="BL387" s="1641">
        <v>0</v>
      </c>
      <c r="BM387" s="1642">
        <v>0</v>
      </c>
      <c r="BN387" s="1642">
        <v>0</v>
      </c>
      <c r="BO387" s="1642">
        <v>0</v>
      </c>
      <c r="BP387" s="1641"/>
      <c r="BQ387" s="1642"/>
      <c r="BR387" s="1642"/>
      <c r="BS387" s="1642"/>
      <c r="BT387" s="1641"/>
      <c r="BU387" s="1634"/>
      <c r="BV387" s="1634"/>
      <c r="BW387" s="1634"/>
      <c r="BX387" s="1633"/>
      <c r="BY387" s="1634"/>
      <c r="BZ387" s="1634"/>
      <c r="CA387" s="1634"/>
      <c r="CB387" s="1633"/>
      <c r="CC387" s="1634"/>
      <c r="CD387" s="1634">
        <v>0</v>
      </c>
      <c r="CE387" s="1634"/>
      <c r="CF387" s="1633"/>
      <c r="CG387" s="1634"/>
      <c r="CH387" s="1634"/>
      <c r="CI387" s="1634"/>
      <c r="CJ387" s="1633"/>
      <c r="CK387" s="1634"/>
      <c r="CL387" s="1634"/>
      <c r="CM387" s="1648"/>
      <c r="CN387" s="1649"/>
      <c r="CO387" s="1649"/>
      <c r="CP387" s="1649"/>
      <c r="CQ387" s="1648"/>
      <c r="CR387" s="1649"/>
      <c r="CS387" s="1649"/>
      <c r="CT387" s="1649"/>
      <c r="CU387" s="1648"/>
      <c r="CV387" s="1649"/>
      <c r="CW387" s="1649"/>
      <c r="CX387" s="1649"/>
      <c r="CY387" s="1648"/>
      <c r="CZ387" s="1649"/>
      <c r="DA387" s="1649"/>
      <c r="DB387" s="1649"/>
      <c r="DC387" s="1649"/>
      <c r="DD387" s="1649"/>
      <c r="DE387" s="1649"/>
      <c r="DF387" s="1649"/>
      <c r="DG387" s="1649"/>
      <c r="DH387" s="1649"/>
      <c r="DI387" s="1649"/>
      <c r="DJ387" s="1649"/>
      <c r="DK387" s="1649"/>
      <c r="DL387" s="1649"/>
    </row>
    <row r="388" spans="1:116" ht="12.75" customHeight="1">
      <c r="A388" s="1539" t="s">
        <v>699</v>
      </c>
      <c r="B388" s="1642"/>
      <c r="C388" s="1642"/>
      <c r="D388" s="1642"/>
      <c r="E388" s="1641"/>
      <c r="F388" s="1642"/>
      <c r="G388" s="1642"/>
      <c r="H388" s="1642"/>
      <c r="I388" s="1642"/>
      <c r="J388" s="1642"/>
      <c r="K388" s="1681"/>
      <c r="L388" s="1642"/>
      <c r="M388" s="1642"/>
      <c r="N388" s="1642"/>
      <c r="O388" s="1642"/>
      <c r="P388" s="1642"/>
      <c r="Q388" s="1642"/>
      <c r="R388" s="1642"/>
      <c r="S388" s="1642"/>
      <c r="T388" s="1642"/>
      <c r="U388" s="1642"/>
      <c r="V388" s="1642"/>
      <c r="W388" s="1642"/>
      <c r="X388" s="1642"/>
      <c r="Y388" s="1642"/>
      <c r="Z388" s="1642"/>
      <c r="AA388" s="1642"/>
      <c r="AB388" s="1642"/>
      <c r="AC388" s="1642"/>
      <c r="AD388" s="1642"/>
      <c r="AE388" s="1642"/>
      <c r="AF388" s="1641"/>
      <c r="AG388" s="1642"/>
      <c r="AH388" s="1642"/>
      <c r="AI388" s="1642"/>
      <c r="AJ388" s="1641"/>
      <c r="AK388" s="1642"/>
      <c r="AL388" s="1642"/>
      <c r="AM388" s="1642"/>
      <c r="AN388" s="1641"/>
      <c r="AO388" s="1642">
        <v>497</v>
      </c>
      <c r="AP388" s="1642">
        <v>885</v>
      </c>
      <c r="AQ388" s="1642"/>
      <c r="AR388" s="1641"/>
      <c r="AS388" s="1642">
        <v>483</v>
      </c>
      <c r="AT388" s="1642">
        <v>922</v>
      </c>
      <c r="AU388" s="1642">
        <v>-221</v>
      </c>
      <c r="AV388" s="1641">
        <v>577</v>
      </c>
      <c r="AW388" s="1642">
        <v>1010</v>
      </c>
      <c r="AX388" s="1642">
        <v>1338</v>
      </c>
      <c r="AY388" s="1642">
        <v>-407</v>
      </c>
      <c r="AZ388" s="1641">
        <v>532</v>
      </c>
      <c r="BA388" s="1632">
        <v>1126</v>
      </c>
      <c r="BB388" s="1642">
        <v>1648</v>
      </c>
      <c r="BC388" s="1642">
        <v>-168</v>
      </c>
      <c r="BD388" s="1641">
        <v>518</v>
      </c>
      <c r="BE388" s="1642">
        <f>1145-BD388</f>
        <v>627</v>
      </c>
      <c r="BF388" s="1642">
        <f>1683-SUM(BD388:BE388)</f>
        <v>538</v>
      </c>
      <c r="BG388" s="1642">
        <f>-120-SUM(BD388:BF388)</f>
        <v>-1803</v>
      </c>
      <c r="BH388" s="1641">
        <v>282</v>
      </c>
      <c r="BI388" s="1642">
        <f>759-BH388</f>
        <v>477</v>
      </c>
      <c r="BJ388" s="1642">
        <f>1174-SUM(BH388:BI388)</f>
        <v>415</v>
      </c>
      <c r="BK388" s="1642">
        <f>-100-SUM(BH388:BJ388)</f>
        <v>-1274</v>
      </c>
      <c r="BL388" s="1641">
        <v>237</v>
      </c>
      <c r="BM388" s="1642">
        <f>534-BL388</f>
        <v>297</v>
      </c>
      <c r="BN388" s="1642">
        <f>938-SUM(BL388:BM388)</f>
        <v>404</v>
      </c>
      <c r="BO388" s="1642">
        <f>-344-SUM(BL388:BN388)</f>
        <v>-1282</v>
      </c>
      <c r="BP388" s="1641">
        <v>436</v>
      </c>
      <c r="BQ388" s="1642">
        <f>1026-BP388</f>
        <v>590</v>
      </c>
      <c r="BR388" s="1642">
        <f>1521-BP388-BQ388</f>
        <v>495</v>
      </c>
      <c r="BS388" s="1642">
        <f>290-BP388-BQ388-BR388</f>
        <v>-1231</v>
      </c>
      <c r="BT388" s="1641">
        <v>282</v>
      </c>
      <c r="BU388" s="1634">
        <f>748-BT388</f>
        <v>466</v>
      </c>
      <c r="BV388" s="1634">
        <f>1267-BU388-BT388</f>
        <v>519</v>
      </c>
      <c r="BW388" s="1634">
        <f>169-BV388-BU388-BT388</f>
        <v>-1098</v>
      </c>
      <c r="BX388" s="1633">
        <v>241</v>
      </c>
      <c r="BY388" s="1634">
        <f>736-BX388</f>
        <v>495</v>
      </c>
      <c r="BZ388" s="1634">
        <f>1238-BY388-BX388</f>
        <v>502</v>
      </c>
      <c r="CA388" s="1634">
        <f>1677-BZ388-BY388-BX388</f>
        <v>439</v>
      </c>
      <c r="CB388" s="1633">
        <v>80</v>
      </c>
      <c r="CC388" s="1634">
        <f>119-CB388</f>
        <v>39</v>
      </c>
      <c r="CD388" s="1634">
        <f>78-CC388-CB388</f>
        <v>-41</v>
      </c>
      <c r="CE388" s="1634">
        <f>84-CD388-CC388-CB388</f>
        <v>6</v>
      </c>
      <c r="CF388" s="1633">
        <v>-40</v>
      </c>
      <c r="CG388" s="1634">
        <f>-17-CF388</f>
        <v>23</v>
      </c>
      <c r="CH388" s="1634">
        <f>+-34-CG388-CF388</f>
        <v>-17</v>
      </c>
      <c r="CI388" s="1634">
        <f>-3-CH388-CG388-CF388</f>
        <v>31</v>
      </c>
      <c r="CJ388" s="1633">
        <v>24</v>
      </c>
      <c r="CK388" s="1634">
        <f>47-CJ388</f>
        <v>23</v>
      </c>
      <c r="CL388" s="1634">
        <f>43-CK388-CJ388</f>
        <v>-4</v>
      </c>
      <c r="CM388" s="1648">
        <v>-8</v>
      </c>
      <c r="CN388" s="1649">
        <v>16</v>
      </c>
      <c r="CO388" s="1649">
        <f>21-CN388</f>
        <v>5</v>
      </c>
      <c r="CP388" s="1649">
        <f>28-CO388-CN388</f>
        <v>7</v>
      </c>
      <c r="CQ388" s="1648">
        <f>27-CP388-CO388-CN388</f>
        <v>-1</v>
      </c>
      <c r="CR388" s="1649"/>
      <c r="CS388" s="1649">
        <f>-21-CR388</f>
        <v>-21</v>
      </c>
      <c r="CT388" s="1649">
        <f>-11-CS388-CR388</f>
        <v>10</v>
      </c>
      <c r="CU388" s="1648">
        <f>63-CT388-CS388-CR388</f>
        <v>74</v>
      </c>
      <c r="CV388" s="1649">
        <v>0</v>
      </c>
      <c r="CW388" s="1649">
        <f>0-CV388</f>
        <v>0</v>
      </c>
      <c r="CX388" s="1649">
        <v>120</v>
      </c>
      <c r="CY388" s="1648">
        <f>120-CX388-CW388-CV388</f>
        <v>0</v>
      </c>
      <c r="CZ388" s="1649">
        <v>0</v>
      </c>
      <c r="DA388" s="1649">
        <v>0</v>
      </c>
      <c r="DB388" s="1649">
        <v>0</v>
      </c>
      <c r="DC388" s="1649">
        <f>48-SUM(CZ388:DB388)</f>
        <v>48</v>
      </c>
      <c r="DD388" s="1649">
        <f>48-SUM(DA388:DC388)</f>
        <v>0</v>
      </c>
      <c r="DE388" s="1649">
        <v>0</v>
      </c>
      <c r="DF388" s="1649">
        <v>0</v>
      </c>
      <c r="DG388" s="1649">
        <v>0</v>
      </c>
      <c r="DH388" s="1649">
        <v>0</v>
      </c>
      <c r="DI388" s="1649">
        <v>0</v>
      </c>
      <c r="DJ388" s="1649">
        <v>0</v>
      </c>
      <c r="DK388" s="1649">
        <v>0</v>
      </c>
      <c r="DL388" s="1649">
        <v>0</v>
      </c>
    </row>
    <row r="389" spans="1:116" ht="12.75" customHeight="1">
      <c r="A389" s="1539" t="s">
        <v>1377</v>
      </c>
      <c r="B389" s="1642"/>
      <c r="C389" s="1642"/>
      <c r="D389" s="1642"/>
      <c r="E389" s="1641"/>
      <c r="F389" s="1642"/>
      <c r="G389" s="1642"/>
      <c r="H389" s="1642"/>
      <c r="I389" s="1642"/>
      <c r="J389" s="1642"/>
      <c r="K389" s="1681"/>
      <c r="L389" s="1642"/>
      <c r="M389" s="1642"/>
      <c r="N389" s="1642"/>
      <c r="O389" s="1642"/>
      <c r="P389" s="1642"/>
      <c r="Q389" s="1642"/>
      <c r="R389" s="1642"/>
      <c r="S389" s="1642"/>
      <c r="T389" s="1642"/>
      <c r="U389" s="1642"/>
      <c r="V389" s="1642"/>
      <c r="W389" s="1642"/>
      <c r="X389" s="1642"/>
      <c r="Y389" s="1642"/>
      <c r="Z389" s="1642"/>
      <c r="AA389" s="1642"/>
      <c r="AB389" s="1642"/>
      <c r="AC389" s="1642"/>
      <c r="AD389" s="1642"/>
      <c r="AE389" s="1642"/>
      <c r="AF389" s="1641"/>
      <c r="AG389" s="1642"/>
      <c r="AH389" s="1642"/>
      <c r="AI389" s="1642"/>
      <c r="AJ389" s="1641"/>
      <c r="AK389" s="1642"/>
      <c r="AL389" s="1642"/>
      <c r="AM389" s="1642"/>
      <c r="AN389" s="1641"/>
      <c r="AO389" s="1642">
        <v>-86</v>
      </c>
      <c r="AP389" s="1642">
        <v>-68</v>
      </c>
      <c r="AQ389" s="1642"/>
      <c r="AR389" s="1641"/>
      <c r="AS389" s="1642">
        <v>-234</v>
      </c>
      <c r="AT389" s="1642">
        <v>-596</v>
      </c>
      <c r="AU389" s="1642">
        <v>-1724</v>
      </c>
      <c r="AV389" s="1641">
        <v>-454</v>
      </c>
      <c r="AW389" s="1642">
        <v>-510</v>
      </c>
      <c r="AX389" s="1642">
        <v>-1213</v>
      </c>
      <c r="AY389" s="1642">
        <v>-1071</v>
      </c>
      <c r="AZ389" s="1641">
        <v>24</v>
      </c>
      <c r="BA389" s="1632">
        <v>-380</v>
      </c>
      <c r="BB389" s="1642">
        <v>383</v>
      </c>
      <c r="BC389" s="1642">
        <v>39</v>
      </c>
      <c r="BD389" s="1641">
        <v>24</v>
      </c>
      <c r="BE389" s="1642">
        <f>97-BD389</f>
        <v>73</v>
      </c>
      <c r="BF389" s="1642">
        <f>409-SUM(BD389:BE389)</f>
        <v>312</v>
      </c>
      <c r="BG389" s="1642">
        <f>691-SUM(BD389:BF389)</f>
        <v>282</v>
      </c>
      <c r="BH389" s="1641">
        <v>188</v>
      </c>
      <c r="BI389" s="1642">
        <f>247-BH389</f>
        <v>59</v>
      </c>
      <c r="BJ389" s="1642">
        <f>261-SUM(BH389:BI389)</f>
        <v>14</v>
      </c>
      <c r="BK389" s="1642">
        <f>2492-SUM(BH389:BJ389)</f>
        <v>2231</v>
      </c>
      <c r="BL389" s="1641">
        <v>223</v>
      </c>
      <c r="BM389" s="1642">
        <f>-689-BL389</f>
        <v>-912</v>
      </c>
      <c r="BN389" s="1642">
        <f>293-SUM(BL389:BM389)</f>
        <v>982</v>
      </c>
      <c r="BO389" s="1642">
        <f>534-SUM(BL389:BN389)</f>
        <v>241</v>
      </c>
      <c r="BP389" s="1641">
        <v>356</v>
      </c>
      <c r="BQ389" s="1642">
        <f>404-BP389-76</f>
        <v>-28</v>
      </c>
      <c r="BR389" s="1642">
        <f>576-BP389-BQ389</f>
        <v>248</v>
      </c>
      <c r="BS389" s="1642">
        <f>811-BP389-BQ389-BR389+1806</f>
        <v>2041</v>
      </c>
      <c r="BT389" s="1641">
        <f>61+757</f>
        <v>818</v>
      </c>
      <c r="BU389" s="1634">
        <f>762-BT389+757</f>
        <v>701</v>
      </c>
      <c r="BV389" s="1634">
        <f>981-BU389-BT389+757</f>
        <v>219</v>
      </c>
      <c r="BW389" s="1634">
        <f>1267-BV389-BU389-BT389+757</f>
        <v>286</v>
      </c>
      <c r="BX389" s="1633">
        <v>92</v>
      </c>
      <c r="BY389" s="1634">
        <f>-114-BX389</f>
        <v>-206</v>
      </c>
      <c r="BZ389" s="1634">
        <f>+-567-BY389-BX389</f>
        <v>-453</v>
      </c>
      <c r="CA389" s="1634">
        <f>-114-BZ389-BY389-BX389</f>
        <v>453</v>
      </c>
      <c r="CB389" s="1633">
        <v>-14</v>
      </c>
      <c r="CC389" s="1634">
        <f>64-CB389</f>
        <v>78</v>
      </c>
      <c r="CD389" s="1634">
        <f>51-CC389-CB389</f>
        <v>-13</v>
      </c>
      <c r="CE389" s="1634">
        <f>-410-CD389-CC389-CB389</f>
        <v>-461</v>
      </c>
      <c r="CF389" s="1633">
        <v>114</v>
      </c>
      <c r="CG389" s="1634">
        <f>37-CF389</f>
        <v>-77</v>
      </c>
      <c r="CH389" s="1634">
        <f>151-CG389-CF389</f>
        <v>114</v>
      </c>
      <c r="CI389" s="1634">
        <f>251-CH389-CG389-CF389</f>
        <v>100</v>
      </c>
      <c r="CJ389" s="1633">
        <v>68</v>
      </c>
      <c r="CK389" s="1634">
        <f>667-CJ389</f>
        <v>599</v>
      </c>
      <c r="CL389" s="1634">
        <f>945-CK389-CJ389</f>
        <v>278</v>
      </c>
      <c r="CM389" s="1648">
        <v>32</v>
      </c>
      <c r="CN389" s="1649">
        <v>41</v>
      </c>
      <c r="CO389" s="1649">
        <f>67-CN389</f>
        <v>26</v>
      </c>
      <c r="CP389" s="1649">
        <f>516-CO389-CN389</f>
        <v>449</v>
      </c>
      <c r="CQ389" s="1648">
        <f>494-CP389-CO389-CN389</f>
        <v>-22</v>
      </c>
      <c r="CR389" s="1649">
        <f>123+18</f>
        <v>141</v>
      </c>
      <c r="CS389" s="1649">
        <f>142-CR389</f>
        <v>1</v>
      </c>
      <c r="CT389" s="1649">
        <f>195-CS389-CR389</f>
        <v>53</v>
      </c>
      <c r="CU389" s="1648">
        <f>671-CT389-CS389-CR389</f>
        <v>476</v>
      </c>
      <c r="CV389" s="1649">
        <v>-11</v>
      </c>
      <c r="CW389" s="1649">
        <f>231-CV389</f>
        <v>242</v>
      </c>
      <c r="CX389" s="1649">
        <f>230-231</f>
        <v>-1</v>
      </c>
      <c r="CY389" s="1648">
        <f>-616-CX389-CW389-CV389</f>
        <v>-846</v>
      </c>
      <c r="CZ389" s="1649">
        <v>46</v>
      </c>
      <c r="DA389" s="1649">
        <f>884-CZ389</f>
        <v>838</v>
      </c>
      <c r="DB389" s="1649">
        <f>960-DA389-CZ389</f>
        <v>76</v>
      </c>
      <c r="DC389" s="1649">
        <f>1171-SUM(CZ389:DB389)</f>
        <v>211</v>
      </c>
      <c r="DD389" s="1649">
        <v>243</v>
      </c>
      <c r="DE389" s="1649">
        <f>9882+504-DD389</f>
        <v>10143</v>
      </c>
      <c r="DF389" s="1649">
        <f>9882+350-DD389-DE389</f>
        <v>-154</v>
      </c>
      <c r="DG389" s="1649">
        <f>9882+493-DD389-DE389-DF389</f>
        <v>143</v>
      </c>
      <c r="DH389" s="1649">
        <f>-196+176</f>
        <v>-20</v>
      </c>
      <c r="DI389" s="1649">
        <f>-315+211+3512-DH389</f>
        <v>3428</v>
      </c>
      <c r="DJ389" s="1649">
        <f>-469+3614+731-DH389-DI389</f>
        <v>468</v>
      </c>
      <c r="DK389" s="1649">
        <f>-583+3614+772-(-469+3614+731)</f>
        <v>-73</v>
      </c>
      <c r="DL389" s="1649">
        <v>269</v>
      </c>
    </row>
    <row r="390" spans="1:116" ht="12.75" customHeight="1">
      <c r="A390" s="1539" t="s">
        <v>1385</v>
      </c>
      <c r="B390" s="1642"/>
      <c r="C390" s="1642"/>
      <c r="D390" s="1642"/>
      <c r="E390" s="1641"/>
      <c r="F390" s="1642"/>
      <c r="G390" s="1642"/>
      <c r="H390" s="1642"/>
      <c r="I390" s="1642"/>
      <c r="J390" s="1642"/>
      <c r="K390" s="1681"/>
      <c r="L390" s="1642"/>
      <c r="M390" s="1642"/>
      <c r="N390" s="1642"/>
      <c r="O390" s="1642"/>
      <c r="P390" s="1642"/>
      <c r="Q390" s="1642"/>
      <c r="R390" s="1642"/>
      <c r="S390" s="1642"/>
      <c r="T390" s="1642"/>
      <c r="U390" s="1642"/>
      <c r="V390" s="1642"/>
      <c r="W390" s="1642"/>
      <c r="X390" s="1642"/>
      <c r="Y390" s="1642"/>
      <c r="Z390" s="1642"/>
      <c r="AA390" s="1642"/>
      <c r="AB390" s="1642"/>
      <c r="AC390" s="1642"/>
      <c r="AD390" s="1642"/>
      <c r="AE390" s="1642"/>
      <c r="AF390" s="1641"/>
      <c r="AG390" s="1642"/>
      <c r="AH390" s="1642"/>
      <c r="AI390" s="1642"/>
      <c r="AJ390" s="1641"/>
      <c r="AK390" s="1642"/>
      <c r="AL390" s="1642"/>
      <c r="AM390" s="1642"/>
      <c r="AN390" s="1641"/>
      <c r="AO390" s="1642">
        <v>-6159</v>
      </c>
      <c r="AP390" s="1642">
        <v>-8176</v>
      </c>
      <c r="AQ390" s="1642"/>
      <c r="AR390" s="1641"/>
      <c r="AS390" s="1642">
        <v>-7595</v>
      </c>
      <c r="AT390" s="1642">
        <v>-8129</v>
      </c>
      <c r="AU390" s="1642">
        <v>-16055</v>
      </c>
      <c r="AV390" s="1641">
        <v>-6454</v>
      </c>
      <c r="AW390" s="1642">
        <v>-10875</v>
      </c>
      <c r="AX390" s="1642">
        <v>-15157</v>
      </c>
      <c r="AY390" s="1642">
        <v>-21626</v>
      </c>
      <c r="AZ390" s="1641">
        <v>-2020</v>
      </c>
      <c r="BA390" s="1632">
        <v>-3513</v>
      </c>
      <c r="BB390" s="1642">
        <v>-977</v>
      </c>
      <c r="BC390" s="1642">
        <v>-6828</v>
      </c>
      <c r="BD390" s="1694">
        <f t="shared" ref="BD390:CV390" si="453">SUM(BD384:BD389)</f>
        <v>-2090</v>
      </c>
      <c r="BE390" s="1693">
        <f t="shared" si="453"/>
        <v>-2988</v>
      </c>
      <c r="BF390" s="1693">
        <f t="shared" si="453"/>
        <v>-1832</v>
      </c>
      <c r="BG390" s="1693">
        <f t="shared" si="453"/>
        <v>-5326</v>
      </c>
      <c r="BH390" s="1694">
        <f t="shared" si="453"/>
        <v>-2088</v>
      </c>
      <c r="BI390" s="1693">
        <f t="shared" si="453"/>
        <v>-2668</v>
      </c>
      <c r="BJ390" s="1693">
        <f t="shared" si="453"/>
        <v>-3069</v>
      </c>
      <c r="BK390" s="1693">
        <f t="shared" si="453"/>
        <v>-2518</v>
      </c>
      <c r="BL390" s="1694">
        <f t="shared" si="453"/>
        <v>-4312</v>
      </c>
      <c r="BM390" s="1693">
        <f t="shared" si="453"/>
        <v>-6610</v>
      </c>
      <c r="BN390" s="1693">
        <f t="shared" si="453"/>
        <v>-2703</v>
      </c>
      <c r="BO390" s="1693">
        <f t="shared" si="453"/>
        <v>-4867</v>
      </c>
      <c r="BP390" s="1694">
        <f t="shared" si="453"/>
        <v>-1748</v>
      </c>
      <c r="BQ390" s="1693">
        <f t="shared" si="453"/>
        <v>-3738</v>
      </c>
      <c r="BR390" s="1693">
        <f t="shared" si="453"/>
        <v>-3698</v>
      </c>
      <c r="BS390" s="1693">
        <f t="shared" si="453"/>
        <v>-6432</v>
      </c>
      <c r="BT390" s="1694">
        <f t="shared" si="453"/>
        <v>-3187</v>
      </c>
      <c r="BU390" s="1693">
        <f t="shared" si="453"/>
        <v>-3690</v>
      </c>
      <c r="BV390" s="1693">
        <f t="shared" si="453"/>
        <v>-3607</v>
      </c>
      <c r="BW390" s="1693">
        <f t="shared" si="453"/>
        <v>-5624</v>
      </c>
      <c r="BX390" s="1694">
        <f t="shared" si="453"/>
        <v>-4818</v>
      </c>
      <c r="BY390" s="1693">
        <f t="shared" si="453"/>
        <v>-17450</v>
      </c>
      <c r="BZ390" s="1693">
        <f t="shared" si="453"/>
        <v>-5614</v>
      </c>
      <c r="CA390" s="1693">
        <f t="shared" si="453"/>
        <v>-3697</v>
      </c>
      <c r="CB390" s="1694">
        <f t="shared" si="453"/>
        <v>-8715</v>
      </c>
      <c r="CC390" s="1693">
        <f t="shared" si="453"/>
        <v>-4475</v>
      </c>
      <c r="CD390" s="1693">
        <f t="shared" si="453"/>
        <v>-4627</v>
      </c>
      <c r="CE390" s="1693">
        <f t="shared" si="453"/>
        <v>-5339</v>
      </c>
      <c r="CF390" s="1694">
        <f t="shared" si="453"/>
        <v>-3623</v>
      </c>
      <c r="CG390" s="1693">
        <f t="shared" si="453"/>
        <v>-1920</v>
      </c>
      <c r="CH390" s="1693">
        <f t="shared" si="453"/>
        <v>-4517</v>
      </c>
      <c r="CI390" s="1693">
        <f t="shared" si="453"/>
        <v>-4994</v>
      </c>
      <c r="CJ390" s="1694">
        <f t="shared" si="453"/>
        <v>-4375</v>
      </c>
      <c r="CK390" s="1693">
        <f t="shared" si="453"/>
        <v>-5497</v>
      </c>
      <c r="CL390" s="1693">
        <f t="shared" si="453"/>
        <v>-3540</v>
      </c>
      <c r="CM390" s="1695">
        <f t="shared" si="453"/>
        <v>-3838</v>
      </c>
      <c r="CN390" s="1267">
        <f t="shared" si="453"/>
        <v>-3673</v>
      </c>
      <c r="CO390" s="1267">
        <f t="shared" si="453"/>
        <v>-3911</v>
      </c>
      <c r="CP390" s="1267">
        <f t="shared" si="453"/>
        <v>-7841</v>
      </c>
      <c r="CQ390" s="1695">
        <f t="shared" si="453"/>
        <v>-5077</v>
      </c>
      <c r="CR390" s="1267">
        <f t="shared" si="453"/>
        <v>-3599</v>
      </c>
      <c r="CS390" s="1267">
        <f t="shared" si="453"/>
        <v>-4236</v>
      </c>
      <c r="CT390" s="1267">
        <f t="shared" si="453"/>
        <v>-2188</v>
      </c>
      <c r="CU390" s="1695">
        <f t="shared" si="453"/>
        <v>-4810</v>
      </c>
      <c r="CV390" s="1267">
        <f t="shared" si="453"/>
        <v>-4531</v>
      </c>
      <c r="CW390" s="1267">
        <f t="shared" ref="CW390:DB390" si="454">SUM(CW384:CW389)</f>
        <v>-1815</v>
      </c>
      <c r="CX390" s="1267">
        <f t="shared" si="454"/>
        <v>-4084</v>
      </c>
      <c r="CY390" s="1695">
        <f t="shared" si="454"/>
        <v>-5426</v>
      </c>
      <c r="CZ390" s="1267">
        <f t="shared" si="454"/>
        <v>-13176</v>
      </c>
      <c r="DA390" s="1267">
        <f t="shared" si="454"/>
        <v>-6995</v>
      </c>
      <c r="DB390" s="1267">
        <f t="shared" si="454"/>
        <v>-4425</v>
      </c>
      <c r="DC390" s="1267">
        <f t="shared" ref="DC390:DH390" si="455">SUM(DC384:DC389)</f>
        <v>-5447</v>
      </c>
      <c r="DD390" s="1267">
        <f t="shared" si="455"/>
        <v>-3436</v>
      </c>
      <c r="DE390" s="1267">
        <f t="shared" si="455"/>
        <v>6089</v>
      </c>
      <c r="DF390" s="1267">
        <f t="shared" si="455"/>
        <v>-5192</v>
      </c>
      <c r="DG390" s="1267">
        <f t="shared" si="455"/>
        <v>-8444</v>
      </c>
      <c r="DH390" s="1267">
        <f t="shared" si="455"/>
        <v>-4833</v>
      </c>
      <c r="DI390" s="1267">
        <f t="shared" ref="DI390:DJ390" si="456">SUM(DI384:DI389)</f>
        <v>-5050</v>
      </c>
      <c r="DJ390" s="1267">
        <f t="shared" si="456"/>
        <v>-3818</v>
      </c>
      <c r="DK390" s="1267">
        <f t="shared" ref="DK390:DL390" si="457">SUM(DK384:DK389)</f>
        <v>-5671</v>
      </c>
      <c r="DL390" s="1267">
        <f t="shared" si="457"/>
        <v>-5285</v>
      </c>
    </row>
    <row r="391" spans="1:116" ht="12.75" customHeight="1">
      <c r="A391" s="1539"/>
      <c r="B391" s="1642"/>
      <c r="C391" s="1642"/>
      <c r="D391" s="1642"/>
      <c r="E391" s="1641"/>
      <c r="F391" s="1642"/>
      <c r="G391" s="1642"/>
      <c r="H391" s="1642"/>
      <c r="I391" s="1642"/>
      <c r="J391" s="1642"/>
      <c r="K391" s="1681"/>
      <c r="L391" s="1642"/>
      <c r="M391" s="1642"/>
      <c r="N391" s="1642"/>
      <c r="O391" s="1642"/>
      <c r="P391" s="1642"/>
      <c r="Q391" s="1642"/>
      <c r="R391" s="1642"/>
      <c r="S391" s="1642"/>
      <c r="T391" s="1642"/>
      <c r="U391" s="1642"/>
      <c r="V391" s="1642"/>
      <c r="W391" s="1642"/>
      <c r="X391" s="1642"/>
      <c r="Y391" s="1642"/>
      <c r="Z391" s="1642"/>
      <c r="AA391" s="1642"/>
      <c r="AB391" s="1642"/>
      <c r="AC391" s="1642"/>
      <c r="AD391" s="1642"/>
      <c r="AE391" s="1642"/>
      <c r="AF391" s="1641"/>
      <c r="AG391" s="1642"/>
      <c r="AH391" s="1642"/>
      <c r="AI391" s="1642"/>
      <c r="AJ391" s="1641"/>
      <c r="AK391" s="1642"/>
      <c r="AL391" s="1642"/>
      <c r="AM391" s="1642"/>
      <c r="AN391" s="1641"/>
      <c r="AO391" s="1642">
        <f>AO390-AO389-AO388-AO387-AO386-AO385-AO384-AO383</f>
        <v>0</v>
      </c>
      <c r="AP391" s="1642">
        <f>AP390-AP389-AP388-AP387-AP386-AP385-AP384-AP383</f>
        <v>0</v>
      </c>
      <c r="AQ391" s="1642"/>
      <c r="AR391" s="1641"/>
      <c r="AS391" s="1642">
        <f t="shared" ref="AS391:BE391" si="458">AS390-AS389-AS388-AS387-AS386-AS385-AS384-AS383</f>
        <v>0</v>
      </c>
      <c r="AT391" s="1642">
        <f t="shared" si="458"/>
        <v>0</v>
      </c>
      <c r="AU391" s="1642">
        <f t="shared" si="458"/>
        <v>0</v>
      </c>
      <c r="AV391" s="1641">
        <f t="shared" si="458"/>
        <v>0</v>
      </c>
      <c r="AW391" s="1642">
        <f t="shared" si="458"/>
        <v>0</v>
      </c>
      <c r="AX391" s="1642">
        <f t="shared" si="458"/>
        <v>0</v>
      </c>
      <c r="AY391" s="1642">
        <f t="shared" si="458"/>
        <v>0</v>
      </c>
      <c r="AZ391" s="1641">
        <f t="shared" si="458"/>
        <v>0</v>
      </c>
      <c r="BA391" s="1642">
        <f t="shared" si="458"/>
        <v>0</v>
      </c>
      <c r="BB391" s="1642">
        <f t="shared" si="458"/>
        <v>0</v>
      </c>
      <c r="BC391" s="1642">
        <f t="shared" si="458"/>
        <v>0</v>
      </c>
      <c r="BD391" s="1641">
        <f t="shared" si="458"/>
        <v>0</v>
      </c>
      <c r="BE391" s="1642">
        <f t="shared" si="458"/>
        <v>0</v>
      </c>
      <c r="BF391" s="1642"/>
      <c r="BG391" s="1642"/>
      <c r="BH391" s="1641"/>
      <c r="BI391" s="1642"/>
      <c r="BJ391" s="1642"/>
      <c r="BK391" s="1642"/>
      <c r="BL391" s="1641"/>
      <c r="BM391" s="1642"/>
      <c r="BN391" s="1642"/>
      <c r="BO391" s="1642"/>
      <c r="BP391" s="1641"/>
      <c r="BQ391" s="1642"/>
      <c r="BR391" s="1642"/>
      <c r="BS391" s="1642"/>
      <c r="BT391" s="1641"/>
      <c r="BU391" s="1642"/>
      <c r="BV391" s="1642"/>
      <c r="BW391" s="1642"/>
      <c r="BX391" s="1633"/>
      <c r="BY391" s="1634"/>
      <c r="BZ391" s="1634"/>
      <c r="CA391" s="1642"/>
      <c r="CB391" s="1641"/>
      <c r="CC391" s="1642"/>
      <c r="CD391" s="1642"/>
      <c r="CE391" s="1642"/>
      <c r="CF391" s="1641"/>
      <c r="CG391" s="1642"/>
      <c r="CH391" s="1642"/>
      <c r="CI391" s="1642"/>
      <c r="CJ391" s="1641"/>
      <c r="CK391" s="1642"/>
      <c r="CL391" s="1642"/>
      <c r="CM391" s="1681"/>
      <c r="CN391" s="1672"/>
      <c r="CO391" s="1672"/>
      <c r="CP391" s="1672"/>
      <c r="CQ391" s="1681"/>
      <c r="CR391" s="1672"/>
      <c r="CS391" s="1672"/>
      <c r="CT391" s="1672"/>
      <c r="CU391" s="1681"/>
      <c r="CV391" s="1672"/>
      <c r="CW391" s="1672"/>
      <c r="CX391" s="1672"/>
      <c r="CY391" s="1681"/>
      <c r="CZ391" s="1672"/>
      <c r="DA391" s="1672"/>
      <c r="DB391" s="1672"/>
      <c r="DC391" s="1672"/>
      <c r="DD391" s="1672"/>
      <c r="DE391" s="1672"/>
      <c r="DF391" s="1672"/>
      <c r="DG391" s="1672"/>
      <c r="DH391" s="1672"/>
      <c r="DI391" s="1672"/>
      <c r="DJ391" s="1672"/>
      <c r="DK391" s="1672"/>
      <c r="DL391" s="1672"/>
    </row>
    <row r="392" spans="1:116" ht="12.75" customHeight="1">
      <c r="A392" s="954" t="s">
        <v>1602</v>
      </c>
      <c r="B392" s="1642"/>
      <c r="C392" s="1642"/>
      <c r="D392" s="1642"/>
      <c r="E392" s="1641"/>
      <c r="F392" s="1642"/>
      <c r="G392" s="1642"/>
      <c r="H392" s="1642"/>
      <c r="I392" s="1642"/>
      <c r="J392" s="1642"/>
      <c r="K392" s="1681"/>
      <c r="L392" s="1642"/>
      <c r="M392" s="1642"/>
      <c r="N392" s="1642"/>
      <c r="O392" s="1642"/>
      <c r="P392" s="1642"/>
      <c r="Q392" s="1642"/>
      <c r="R392" s="1642"/>
      <c r="S392" s="1642"/>
      <c r="T392" s="1642"/>
      <c r="U392" s="1642"/>
      <c r="V392" s="1642"/>
      <c r="W392" s="1642"/>
      <c r="X392" s="1642"/>
      <c r="Y392" s="1642"/>
      <c r="Z392" s="1642"/>
      <c r="AA392" s="1642"/>
      <c r="AB392" s="1642"/>
      <c r="AC392" s="1642"/>
      <c r="AD392" s="1642"/>
      <c r="AE392" s="1642"/>
      <c r="AF392" s="1641"/>
      <c r="AG392" s="1642"/>
      <c r="AH392" s="1642"/>
      <c r="AI392" s="1642"/>
      <c r="AJ392" s="1641"/>
      <c r="AK392" s="1642"/>
      <c r="AL392" s="1642"/>
      <c r="AM392" s="1642"/>
      <c r="AN392" s="1641"/>
      <c r="AO392" s="1642"/>
      <c r="AP392" s="1642"/>
      <c r="AQ392" s="1642"/>
      <c r="AR392" s="1641"/>
      <c r="AS392" s="1642"/>
      <c r="AT392" s="1642"/>
      <c r="AU392" s="1642"/>
      <c r="AV392" s="1641"/>
      <c r="AW392" s="1642"/>
      <c r="AX392" s="1642"/>
      <c r="AY392" s="1642"/>
      <c r="AZ392" s="1641"/>
      <c r="BA392" s="1642"/>
      <c r="BB392" s="1642"/>
      <c r="BC392" s="1642"/>
      <c r="BD392" s="1641"/>
      <c r="BE392" s="1642"/>
      <c r="BF392" s="1642"/>
      <c r="BG392" s="1642"/>
      <c r="BH392" s="1641"/>
      <c r="BI392" s="1642"/>
      <c r="BJ392" s="1642"/>
      <c r="BK392" s="1642"/>
      <c r="BL392" s="1641"/>
      <c r="BM392" s="1642"/>
      <c r="BN392" s="1642"/>
      <c r="BO392" s="1642"/>
      <c r="BP392" s="1641"/>
      <c r="BQ392" s="1642"/>
      <c r="BR392" s="1642"/>
      <c r="BS392" s="1642"/>
      <c r="BT392" s="1641"/>
      <c r="BU392" s="1642"/>
      <c r="BV392" s="1642"/>
      <c r="BW392" s="1642"/>
      <c r="BX392" s="1633"/>
      <c r="BY392" s="1634"/>
      <c r="BZ392" s="1634"/>
      <c r="CA392" s="1642"/>
      <c r="CB392" s="1641"/>
      <c r="CC392" s="1642"/>
      <c r="CD392" s="1642"/>
      <c r="CE392" s="1642"/>
      <c r="CF392" s="1641"/>
      <c r="CG392" s="1642"/>
      <c r="CH392" s="1642"/>
      <c r="CI392" s="1642"/>
      <c r="CJ392" s="1641"/>
      <c r="CK392" s="1642"/>
      <c r="CL392" s="1642"/>
      <c r="CM392" s="1681"/>
      <c r="CN392" s="1672"/>
      <c r="CO392" s="1672"/>
      <c r="CP392" s="1672"/>
      <c r="CQ392" s="1681"/>
      <c r="CR392" s="1672"/>
      <c r="CS392" s="1672"/>
      <c r="CT392" s="1672"/>
      <c r="CU392" s="1681"/>
      <c r="CV392" s="1672"/>
      <c r="CW392" s="1672"/>
      <c r="CX392" s="1672"/>
      <c r="CY392" s="1681"/>
      <c r="CZ392" s="1672"/>
      <c r="DA392" s="1672"/>
      <c r="DB392" s="1672"/>
      <c r="DC392" s="1672"/>
      <c r="DD392" s="1672"/>
      <c r="DE392" s="1672"/>
      <c r="DF392" s="1672"/>
      <c r="DG392" s="1672"/>
      <c r="DH392" s="1672"/>
      <c r="DI392" s="1672"/>
      <c r="DJ392" s="1672"/>
      <c r="DK392" s="1672"/>
      <c r="DL392" s="1672"/>
    </row>
    <row r="393" spans="1:116" ht="12.75" customHeight="1">
      <c r="A393" s="1539" t="s">
        <v>1387</v>
      </c>
      <c r="B393" s="1642"/>
      <c r="C393" s="1642"/>
      <c r="D393" s="1642"/>
      <c r="E393" s="1641"/>
      <c r="F393" s="1642"/>
      <c r="G393" s="1642"/>
      <c r="H393" s="1642"/>
      <c r="I393" s="1642"/>
      <c r="J393" s="1642"/>
      <c r="K393" s="1681"/>
      <c r="L393" s="1642"/>
      <c r="M393" s="1642"/>
      <c r="N393" s="1642"/>
      <c r="O393" s="1642"/>
      <c r="P393" s="1642"/>
      <c r="Q393" s="1642"/>
      <c r="R393" s="1642"/>
      <c r="S393" s="1642"/>
      <c r="T393" s="1642"/>
      <c r="U393" s="1642"/>
      <c r="V393" s="1642"/>
      <c r="W393" s="1642"/>
      <c r="X393" s="1642"/>
      <c r="Y393" s="1642"/>
      <c r="Z393" s="1642"/>
      <c r="AA393" s="1642"/>
      <c r="AB393" s="1642"/>
      <c r="AC393" s="1642"/>
      <c r="AD393" s="1642"/>
      <c r="AE393" s="1642"/>
      <c r="AF393" s="1641"/>
      <c r="AG393" s="1642"/>
      <c r="AH393" s="1642"/>
      <c r="AI393" s="1642"/>
      <c r="AJ393" s="1641"/>
      <c r="AK393" s="1642"/>
      <c r="AL393" s="1642"/>
      <c r="AM393" s="1642"/>
      <c r="AN393" s="1641"/>
      <c r="AO393" s="1642">
        <v>3420</v>
      </c>
      <c r="AP393" s="1642">
        <v>3500</v>
      </c>
      <c r="AQ393" s="1642"/>
      <c r="AR393" s="1641"/>
      <c r="AS393" s="1642">
        <v>2822</v>
      </c>
      <c r="AT393" s="1642">
        <v>2630</v>
      </c>
      <c r="AU393" s="1642">
        <v>8781</v>
      </c>
      <c r="AV393" s="1641">
        <v>2941</v>
      </c>
      <c r="AW393" s="1642">
        <v>8253</v>
      </c>
      <c r="AX393" s="1642">
        <v>9204</v>
      </c>
      <c r="AY393" s="1642">
        <v>14199</v>
      </c>
      <c r="AZ393" s="1641">
        <v>2980</v>
      </c>
      <c r="BA393" s="1632">
        <v>5583</v>
      </c>
      <c r="BB393" s="1642">
        <v>7533</v>
      </c>
      <c r="BC393" s="1642">
        <v>7882</v>
      </c>
      <c r="BD393" s="1641">
        <v>1946</v>
      </c>
      <c r="BE393" s="1642">
        <f>2815-BD393</f>
        <v>869</v>
      </c>
      <c r="BF393" s="1642">
        <f>2831-SUM(BD393:BE393)</f>
        <v>16</v>
      </c>
      <c r="BG393" s="1642">
        <f>4653-SUM(BD393:BF393)</f>
        <v>1822</v>
      </c>
      <c r="BH393" s="1641">
        <v>500</v>
      </c>
      <c r="BI393" s="1642">
        <f>500-BH393</f>
        <v>0</v>
      </c>
      <c r="BJ393" s="1642">
        <f>502-SUM(BH393:BI393)</f>
        <v>2</v>
      </c>
      <c r="BK393" s="1642">
        <f>514-SUM(BH393:BJ393)</f>
        <v>12</v>
      </c>
      <c r="BL393" s="1641">
        <v>8</v>
      </c>
      <c r="BM393" s="1642">
        <f>8-BL393</f>
        <v>0</v>
      </c>
      <c r="BN393" s="1642">
        <f>1486-SUM(BL393:BM393)</f>
        <v>1478</v>
      </c>
      <c r="BO393" s="1642">
        <f>1487-SUM(BL393:BN393)</f>
        <v>1</v>
      </c>
      <c r="BP393" s="1641">
        <v>3971</v>
      </c>
      <c r="BQ393" s="1642">
        <f>3971-BP393</f>
        <v>0</v>
      </c>
      <c r="BR393" s="1642">
        <f>3958-BP393-BQ393</f>
        <v>-13</v>
      </c>
      <c r="BS393" s="1642">
        <f>3983-BP393-BQ393-BR393</f>
        <v>25</v>
      </c>
      <c r="BT393" s="1641">
        <v>1424</v>
      </c>
      <c r="BU393" s="1634">
        <f>3402-BT393</f>
        <v>1978</v>
      </c>
      <c r="BV393" s="1634">
        <f>3402-BU393-BT393</f>
        <v>0</v>
      </c>
      <c r="BW393" s="1634">
        <f>3402-BV393-BU393-BT393</f>
        <v>0</v>
      </c>
      <c r="BX393" s="1633">
        <v>4194</v>
      </c>
      <c r="BY393" s="1634">
        <f>8144-BX393</f>
        <v>3950</v>
      </c>
      <c r="BZ393" s="1634">
        <f>12552-BY393-BX393</f>
        <v>4408</v>
      </c>
      <c r="CA393" s="1634">
        <f>21598-BZ393-BY393-BX393</f>
        <v>9046</v>
      </c>
      <c r="CB393" s="1633">
        <v>7052</v>
      </c>
      <c r="CC393" s="1634">
        <f>12040-CB393</f>
        <v>4988</v>
      </c>
      <c r="CD393" s="1634">
        <f>12040-CC393-CB393</f>
        <v>0</v>
      </c>
      <c r="CE393" s="1634">
        <f>12040-CD393-CC393-CB393</f>
        <v>0</v>
      </c>
      <c r="CF393" s="1633">
        <v>0</v>
      </c>
      <c r="CG393" s="1634"/>
      <c r="CH393" s="1634"/>
      <c r="CI393" s="1634"/>
      <c r="CJ393" s="1633">
        <v>6440</v>
      </c>
      <c r="CK393" s="1634">
        <f>6440-CJ393</f>
        <v>0</v>
      </c>
      <c r="CL393" s="1634">
        <f>6510-CK393-CJ393</f>
        <v>70</v>
      </c>
      <c r="CM393" s="1648">
        <v>4550</v>
      </c>
      <c r="CN393" s="1649">
        <v>0</v>
      </c>
      <c r="CO393" s="1649">
        <v>0</v>
      </c>
      <c r="CP393" s="1649">
        <f>0-CO393-CN393</f>
        <v>0</v>
      </c>
      <c r="CQ393" s="1648">
        <f>4489-CP393-CO393-CN393</f>
        <v>4489</v>
      </c>
      <c r="CR393" s="1649">
        <v>500</v>
      </c>
      <c r="CS393" s="1649">
        <f>499-CR393</f>
        <v>-1</v>
      </c>
      <c r="CT393" s="1649">
        <f>49166-CS393-CR393</f>
        <v>48667</v>
      </c>
      <c r="CU393" s="1648">
        <f>49166-CT393-CS393-CR393</f>
        <v>0</v>
      </c>
      <c r="CV393" s="1649">
        <v>16952</v>
      </c>
      <c r="CW393" s="1649">
        <f>20245-CV393</f>
        <v>3293</v>
      </c>
      <c r="CX393" s="1649">
        <f>21575-20245</f>
        <v>1330</v>
      </c>
      <c r="CY393" s="1648">
        <f>30967-CX393-CW393-CV393</f>
        <v>9392</v>
      </c>
      <c r="CZ393" s="1649">
        <v>6497</v>
      </c>
      <c r="DA393" s="1649">
        <f>6497-CZ393</f>
        <v>0</v>
      </c>
      <c r="DB393" s="1649">
        <f>6497-DA393-CZ393</f>
        <v>0</v>
      </c>
      <c r="DC393" s="1649">
        <f>6667-SUM(CZ393:DB393)</f>
        <v>170</v>
      </c>
      <c r="DD393" s="1649"/>
      <c r="DE393" s="1649"/>
      <c r="DF393" s="1649">
        <f>8152-DD393-DE393</f>
        <v>8152</v>
      </c>
      <c r="DG393" s="1649">
        <f>12964-DD393-DE393-DF393</f>
        <v>4812</v>
      </c>
      <c r="DH393" s="1649">
        <v>13054</v>
      </c>
      <c r="DI393" s="1649">
        <f>16009-DH393</f>
        <v>2955</v>
      </c>
      <c r="DJ393" s="1649">
        <f>21915-DH393-DI393</f>
        <v>5906</v>
      </c>
      <c r="DK393" s="1649">
        <f>27707-21915</f>
        <v>5792</v>
      </c>
      <c r="DL393" s="1649">
        <v>1956</v>
      </c>
    </row>
    <row r="394" spans="1:116" ht="12.75" customHeight="1">
      <c r="A394" s="1539" t="s">
        <v>1670</v>
      </c>
      <c r="B394" s="1642"/>
      <c r="C394" s="1642"/>
      <c r="D394" s="1642"/>
      <c r="E394" s="1641"/>
      <c r="F394" s="1642"/>
      <c r="G394" s="1642"/>
      <c r="H394" s="1642"/>
      <c r="I394" s="1642"/>
      <c r="J394" s="1642"/>
      <c r="K394" s="1681"/>
      <c r="L394" s="1642"/>
      <c r="M394" s="1642"/>
      <c r="N394" s="1642"/>
      <c r="O394" s="1642"/>
      <c r="P394" s="1642"/>
      <c r="Q394" s="1642"/>
      <c r="R394" s="1642"/>
      <c r="S394" s="1642"/>
      <c r="T394" s="1642"/>
      <c r="U394" s="1642"/>
      <c r="V394" s="1642"/>
      <c r="W394" s="1642"/>
      <c r="X394" s="1642"/>
      <c r="Y394" s="1642"/>
      <c r="Z394" s="1642"/>
      <c r="AA394" s="1642"/>
      <c r="AB394" s="1642"/>
      <c r="AC394" s="1642"/>
      <c r="AD394" s="1642"/>
      <c r="AE394" s="1642"/>
      <c r="AF394" s="1641"/>
      <c r="AG394" s="1642"/>
      <c r="AH394" s="1642"/>
      <c r="AI394" s="1642"/>
      <c r="AJ394" s="1641"/>
      <c r="AK394" s="1642"/>
      <c r="AL394" s="1642"/>
      <c r="AM394" s="1642"/>
      <c r="AN394" s="1641"/>
      <c r="AO394" s="1642"/>
      <c r="AP394" s="1642"/>
      <c r="AQ394" s="1642"/>
      <c r="AR394" s="1641"/>
      <c r="AS394" s="1642"/>
      <c r="AT394" s="1642"/>
      <c r="AU394" s="1642"/>
      <c r="AV394" s="1641"/>
      <c r="AW394" s="1642"/>
      <c r="AX394" s="1642"/>
      <c r="AY394" s="1642"/>
      <c r="AZ394" s="1641"/>
      <c r="BA394" s="1632"/>
      <c r="BB394" s="1642"/>
      <c r="BC394" s="1642"/>
      <c r="BD394" s="1641"/>
      <c r="BE394" s="1642"/>
      <c r="BF394" s="1642"/>
      <c r="BG394" s="1642"/>
      <c r="BH394" s="1641"/>
      <c r="BI394" s="1642"/>
      <c r="BJ394" s="1642"/>
      <c r="BK394" s="1642"/>
      <c r="BL394" s="1641"/>
      <c r="BM394" s="1642"/>
      <c r="BN394" s="1642"/>
      <c r="BO394" s="1642"/>
      <c r="BP394" s="1641"/>
      <c r="BQ394" s="1642"/>
      <c r="BR394" s="1642"/>
      <c r="BS394" s="1642"/>
      <c r="BT394" s="1641"/>
      <c r="BU394" s="1634"/>
      <c r="BV394" s="1634"/>
      <c r="BW394" s="1634"/>
      <c r="BX394" s="1633"/>
      <c r="BY394" s="1634"/>
      <c r="BZ394" s="1634"/>
      <c r="CA394" s="1634"/>
      <c r="CB394" s="1633"/>
      <c r="CC394" s="1634"/>
      <c r="CD394" s="1634"/>
      <c r="CE394" s="1634"/>
      <c r="CF394" s="1633"/>
      <c r="CG394" s="1634"/>
      <c r="CH394" s="1634"/>
      <c r="CI394" s="1634"/>
      <c r="CJ394" s="1633"/>
      <c r="CK394" s="1634"/>
      <c r="CL394" s="1634"/>
      <c r="CM394" s="1648"/>
      <c r="CN394" s="1649"/>
      <c r="CO394" s="1649"/>
      <c r="CP394" s="1649"/>
      <c r="CQ394" s="1648"/>
      <c r="CR394" s="1649"/>
      <c r="CS394" s="1649"/>
      <c r="CT394" s="1649"/>
      <c r="CU394" s="1648"/>
      <c r="CV394" s="1649"/>
      <c r="CW394" s="1649"/>
      <c r="CX394" s="1649"/>
      <c r="CY394" s="1648"/>
      <c r="CZ394" s="1649"/>
      <c r="DA394" s="1649"/>
      <c r="DB394" s="1649"/>
      <c r="DC394" s="1649"/>
      <c r="DD394" s="1649"/>
      <c r="DE394" s="1649"/>
      <c r="DF394" s="1649">
        <v>2594</v>
      </c>
      <c r="DG394" s="1649">
        <f>4986-DD394-DE394-DF394</f>
        <v>2392</v>
      </c>
      <c r="DH394" s="1649">
        <v>1283</v>
      </c>
      <c r="DI394" s="1649">
        <f>2878-DH394</f>
        <v>1595</v>
      </c>
      <c r="DJ394" s="1649">
        <f>2878-DH394-DI394</f>
        <v>0</v>
      </c>
      <c r="DK394" s="1649">
        <f>4290-400-(2878)</f>
        <v>1012</v>
      </c>
      <c r="DL394" s="1649">
        <v>1178</v>
      </c>
    </row>
    <row r="395" spans="1:116" ht="12.75" customHeight="1">
      <c r="A395" s="1539" t="s">
        <v>700</v>
      </c>
      <c r="B395" s="1642"/>
      <c r="C395" s="1642"/>
      <c r="D395" s="1642"/>
      <c r="E395" s="1641"/>
      <c r="F395" s="1642"/>
      <c r="G395" s="1642"/>
      <c r="H395" s="1642"/>
      <c r="I395" s="1642"/>
      <c r="J395" s="1642"/>
      <c r="K395" s="1681"/>
      <c r="L395" s="1642"/>
      <c r="M395" s="1642"/>
      <c r="N395" s="1642"/>
      <c r="O395" s="1642"/>
      <c r="P395" s="1642"/>
      <c r="Q395" s="1642"/>
      <c r="R395" s="1642"/>
      <c r="S395" s="1642"/>
      <c r="T395" s="1642"/>
      <c r="U395" s="1642"/>
      <c r="V395" s="1642"/>
      <c r="W395" s="1642"/>
      <c r="X395" s="1642"/>
      <c r="Y395" s="1642"/>
      <c r="Z395" s="1642"/>
      <c r="AA395" s="1642"/>
      <c r="AB395" s="1642"/>
      <c r="AC395" s="1642"/>
      <c r="AD395" s="1642"/>
      <c r="AE395" s="1642"/>
      <c r="AF395" s="1641"/>
      <c r="AG395" s="1642"/>
      <c r="AH395" s="1642"/>
      <c r="AI395" s="1642"/>
      <c r="AJ395" s="1641"/>
      <c r="AK395" s="1642"/>
      <c r="AL395" s="1642"/>
      <c r="AM395" s="1642"/>
      <c r="AN395" s="1641"/>
      <c r="AO395" s="1642">
        <v>-1060</v>
      </c>
      <c r="AP395" s="1642">
        <v>-1728</v>
      </c>
      <c r="AQ395" s="1642"/>
      <c r="AR395" s="1641"/>
      <c r="AS395" s="1642">
        <v>-4651</v>
      </c>
      <c r="AT395" s="1642">
        <v>-4865</v>
      </c>
      <c r="AU395" s="1642">
        <v>-7238</v>
      </c>
      <c r="AV395" s="1641">
        <v>-798</v>
      </c>
      <c r="AW395" s="1642">
        <v>-1604</v>
      </c>
      <c r="AX395" s="1642">
        <v>-2003</v>
      </c>
      <c r="AY395" s="1642">
        <v>-7589</v>
      </c>
      <c r="AZ395" s="1641">
        <v>-2224</v>
      </c>
      <c r="BA395" s="1632">
        <v>-3938</v>
      </c>
      <c r="BB395" s="1642">
        <v>-5919</v>
      </c>
      <c r="BC395" s="1642">
        <v>-8460</v>
      </c>
      <c r="BD395" s="1641">
        <v>-3580</v>
      </c>
      <c r="BE395" s="1642">
        <f>-8573-BD395</f>
        <v>-4993</v>
      </c>
      <c r="BF395" s="1642">
        <f>-8870-SUM(BD395:BE395)</f>
        <v>-297</v>
      </c>
      <c r="BG395" s="1642">
        <f>-10759-SUM(BD395:BF395)</f>
        <v>-1889</v>
      </c>
      <c r="BH395" s="1641">
        <v>-2049</v>
      </c>
      <c r="BI395" s="1642">
        <f>-4765-BH395</f>
        <v>-2716</v>
      </c>
      <c r="BJ395" s="1642">
        <f>-4867-SUM(BH395:BI395)</f>
        <v>-102</v>
      </c>
      <c r="BK395" s="1642">
        <f>-5198-SUM(BH395:BJ395)</f>
        <v>-331</v>
      </c>
      <c r="BL395" s="1641">
        <v>-384</v>
      </c>
      <c r="BM395" s="1642">
        <f>-1947-BL395</f>
        <v>-1563</v>
      </c>
      <c r="BN395" s="1642">
        <f>-2464-SUM(BL395:BM395)</f>
        <v>-517</v>
      </c>
      <c r="BO395" s="1642">
        <f>-3919-SUM(BL395:BN395)</f>
        <v>-1455</v>
      </c>
      <c r="BP395" s="1641">
        <v>-6129</v>
      </c>
      <c r="BQ395" s="1642">
        <f>-8689-BP395</f>
        <v>-2560</v>
      </c>
      <c r="BR395" s="1642">
        <f>-8706-BP395-BQ395</f>
        <v>-17</v>
      </c>
      <c r="BS395" s="1642">
        <f>-11233-BP395-BQ395-BR395</f>
        <v>-2527</v>
      </c>
      <c r="BT395" s="1641">
        <v>-3314</v>
      </c>
      <c r="BU395" s="1634">
        <f>-4811-BT395</f>
        <v>-1497</v>
      </c>
      <c r="BV395" s="1634">
        <f>-4994-BU395-BT395</f>
        <v>-183</v>
      </c>
      <c r="BW395" s="1634">
        <f>+-5503-BV395-BU395-BT395</f>
        <v>-509</v>
      </c>
      <c r="BX395" s="1633">
        <v>-1182</v>
      </c>
      <c r="BY395" s="1634">
        <f>-1849-BX395</f>
        <v>-667</v>
      </c>
      <c r="BZ395" s="1634">
        <f>+-3398-BY395-BX395</f>
        <v>-1549</v>
      </c>
      <c r="CA395" s="1634">
        <f>-4146-BZ395-BY395-BX395</f>
        <v>-748</v>
      </c>
      <c r="CB395" s="1633">
        <v>-16865</v>
      </c>
      <c r="CC395" s="1634">
        <f>+-18173-CB395</f>
        <v>-1308</v>
      </c>
      <c r="CD395" s="1634">
        <f>+-18966-CC395-CB395</f>
        <v>-793</v>
      </c>
      <c r="CE395" s="1634">
        <f>-19260-CD395-CC395-CB395</f>
        <v>-294</v>
      </c>
      <c r="CF395" s="1633">
        <v>-519</v>
      </c>
      <c r="CG395" s="1634">
        <f>-4594-CF395</f>
        <v>-4075</v>
      </c>
      <c r="CH395" s="1634">
        <f>+-7941-CG395-CF395</f>
        <v>-3347</v>
      </c>
      <c r="CI395" s="1634">
        <f>-8136-CH395-CG395-CF395</f>
        <v>-195</v>
      </c>
      <c r="CJ395" s="1633">
        <v>-552</v>
      </c>
      <c r="CK395" s="1634">
        <f>-7356-CJ395</f>
        <v>-6804</v>
      </c>
      <c r="CL395" s="1634">
        <f>-7420-CK395-CJ395</f>
        <v>-64</v>
      </c>
      <c r="CM395" s="1648">
        <v>-4385</v>
      </c>
      <c r="CN395" s="1649">
        <v>-1828</v>
      </c>
      <c r="CO395" s="1649">
        <f>-1891-CN395</f>
        <v>-63</v>
      </c>
      <c r="CP395" s="1649">
        <f>-2878-CO395-CN395</f>
        <v>-987</v>
      </c>
      <c r="CQ395" s="1648">
        <f>-6403-CP395-CO395-CN395</f>
        <v>-3525</v>
      </c>
      <c r="CR395" s="1649">
        <v>-73</v>
      </c>
      <c r="CS395" s="1649">
        <f>-2330-CR395</f>
        <v>-2257</v>
      </c>
      <c r="CT395" s="1649">
        <f>-2392-CS395-CR395</f>
        <v>-62</v>
      </c>
      <c r="CU395" s="1648">
        <f>-8163-CT395-CS395-CR395</f>
        <v>-5771</v>
      </c>
      <c r="CV395" s="1649">
        <v>-7951</v>
      </c>
      <c r="CW395" s="1649">
        <f>-11317-CV395</f>
        <v>-3366</v>
      </c>
      <c r="CX395" s="1649">
        <f>-12594+11317</f>
        <v>-1277</v>
      </c>
      <c r="CY395" s="1648">
        <f>-17669-CX395-CW395-CV395</f>
        <v>-5075</v>
      </c>
      <c r="CZ395" s="1649">
        <v>-5576</v>
      </c>
      <c r="DA395" s="1649">
        <f>-5797-CZ395</f>
        <v>-221</v>
      </c>
      <c r="DB395" s="1649">
        <f>-7168-DA395-CZ395</f>
        <v>-1371</v>
      </c>
      <c r="DC395" s="1649">
        <f>-9340-SUM(CZ395:DB395)</f>
        <v>-2172</v>
      </c>
      <c r="DD395" s="1649">
        <v>-376</v>
      </c>
      <c r="DE395" s="1649">
        <f>-11300-DD395</f>
        <v>-10924</v>
      </c>
      <c r="DF395" s="1649">
        <f>-14510-DD395-DE395</f>
        <v>-3210</v>
      </c>
      <c r="DG395" s="1649">
        <f>-19159-DD395-DE395-DF395</f>
        <v>-4649</v>
      </c>
      <c r="DH395" s="1649">
        <v>-5592</v>
      </c>
      <c r="DI395" s="1649">
        <f>-10294-DH395</f>
        <v>-4702</v>
      </c>
      <c r="DJ395" s="1649">
        <f>-16457-DH395-DI395</f>
        <v>-6163</v>
      </c>
      <c r="DK395" s="1649">
        <f>-23837--16457</f>
        <v>-7380</v>
      </c>
      <c r="DL395" s="1649">
        <v>-2984</v>
      </c>
    </row>
    <row r="396" spans="1:116" ht="12.75" customHeight="1">
      <c r="A396" s="1539" t="s">
        <v>701</v>
      </c>
      <c r="B396" s="1642"/>
      <c r="C396" s="1642"/>
      <c r="D396" s="1642"/>
      <c r="E396" s="1641"/>
      <c r="F396" s="1642"/>
      <c r="G396" s="1642"/>
      <c r="H396" s="1642"/>
      <c r="I396" s="1642"/>
      <c r="J396" s="1642"/>
      <c r="K396" s="1681"/>
      <c r="L396" s="1642"/>
      <c r="M396" s="1642"/>
      <c r="N396" s="1642"/>
      <c r="O396" s="1642"/>
      <c r="P396" s="1642"/>
      <c r="Q396" s="1642"/>
      <c r="R396" s="1642"/>
      <c r="S396" s="1642"/>
      <c r="T396" s="1642"/>
      <c r="U396" s="1642"/>
      <c r="V396" s="1642"/>
      <c r="W396" s="1642"/>
      <c r="X396" s="1642"/>
      <c r="Y396" s="1642"/>
      <c r="Z396" s="1642"/>
      <c r="AA396" s="1642"/>
      <c r="AB396" s="1642"/>
      <c r="AC396" s="1642"/>
      <c r="AD396" s="1642"/>
      <c r="AE396" s="1642"/>
      <c r="AF396" s="1641"/>
      <c r="AG396" s="1642"/>
      <c r="AH396" s="1642"/>
      <c r="AI396" s="1642"/>
      <c r="AJ396" s="1641"/>
      <c r="AK396" s="1642"/>
      <c r="AL396" s="1642"/>
      <c r="AM396" s="1642"/>
      <c r="AN396" s="1641"/>
      <c r="AO396" s="1642">
        <v>-1879</v>
      </c>
      <c r="AP396" s="1642">
        <v>795</v>
      </c>
      <c r="AQ396" s="1642"/>
      <c r="AR396" s="1641"/>
      <c r="AS396" s="1642">
        <v>3518</v>
      </c>
      <c r="AT396" s="1642">
        <v>2450</v>
      </c>
      <c r="AU396" s="1642">
        <v>3515</v>
      </c>
      <c r="AV396" s="1641">
        <v>2205</v>
      </c>
      <c r="AW396" s="1642">
        <v>620</v>
      </c>
      <c r="AX396" s="1642">
        <v>-1436</v>
      </c>
      <c r="AY396" s="1642">
        <v>-546</v>
      </c>
      <c r="AZ396" s="1641">
        <v>-2385</v>
      </c>
      <c r="BA396" s="1632"/>
      <c r="BB396" s="1642">
        <v>-9632</v>
      </c>
      <c r="BC396" s="1642">
        <v>-11024</v>
      </c>
      <c r="BD396" s="1641">
        <v>1576</v>
      </c>
      <c r="BE396" s="1642">
        <f>1109-BD396</f>
        <v>-467</v>
      </c>
      <c r="BF396" s="1642">
        <f>-1274-SUM(BD396:BE396)</f>
        <v>-2383</v>
      </c>
      <c r="BG396" s="1642">
        <f>-1330-SUM(BD396:BF396)</f>
        <v>-56</v>
      </c>
      <c r="BH396" s="1641">
        <v>572</v>
      </c>
      <c r="BI396" s="1642">
        <f>1254-BH396</f>
        <v>682</v>
      </c>
      <c r="BJ396" s="1642">
        <f>-79-SUM(BH396:BI396)</f>
        <v>-1333</v>
      </c>
      <c r="BK396" s="1642">
        <f>-783-SUM(BH396:BJ396)</f>
        <v>-704</v>
      </c>
      <c r="BL396" s="1641">
        <v>334</v>
      </c>
      <c r="BM396" s="1642">
        <f>4374-BL396</f>
        <v>4040</v>
      </c>
      <c r="BN396" s="1642">
        <f>1121-SUM(BL396:BM396)</f>
        <v>-3253</v>
      </c>
      <c r="BO396" s="1642">
        <f>2129-SUM(BL396:BN396)</f>
        <v>1008</v>
      </c>
      <c r="BP396" s="1641">
        <v>-38</v>
      </c>
      <c r="BQ396" s="1642">
        <f>2585-BP396</f>
        <v>2623</v>
      </c>
      <c r="BR396" s="1642">
        <f>1831-BP396-BQ396</f>
        <v>-754</v>
      </c>
      <c r="BS396" s="1642">
        <f>7944-BP396-BQ396-BR396</f>
        <v>6113</v>
      </c>
      <c r="BT396" s="1641">
        <v>141</v>
      </c>
      <c r="BU396" s="1634">
        <f>-2497-BT396</f>
        <v>-2638</v>
      </c>
      <c r="BV396" s="1634">
        <f>-3438-BU396-BT396</f>
        <v>-941</v>
      </c>
      <c r="BW396" s="1634">
        <f>+-3252-BV396-BU396-BT396</f>
        <v>186</v>
      </c>
      <c r="BX396" s="1633">
        <v>2929</v>
      </c>
      <c r="BY396" s="1634">
        <f>6929-BX396</f>
        <v>4000</v>
      </c>
      <c r="BZ396" s="1634">
        <f>4132-BY396-BX396</f>
        <v>-2797</v>
      </c>
      <c r="CA396" s="1634">
        <f>2389-BZ396-BY396-BX396</f>
        <v>-1743</v>
      </c>
      <c r="CB396" s="1633">
        <v>7908</v>
      </c>
      <c r="CC396" s="1634">
        <f>+-103-CB396</f>
        <v>-8011</v>
      </c>
      <c r="CD396" s="1634">
        <f>+-1454-CC396-CB396</f>
        <v>-1351</v>
      </c>
      <c r="CE396" s="1634">
        <f>-1652-CD396-CC396-CB396</f>
        <v>-198</v>
      </c>
      <c r="CF396" s="1633">
        <v>-97</v>
      </c>
      <c r="CG396" s="1634">
        <f>-97-CF396</f>
        <v>0</v>
      </c>
      <c r="CH396" s="1634">
        <f>+-1097-CG396-CF396</f>
        <v>-1000</v>
      </c>
      <c r="CI396" s="1634">
        <f>-1097-CH396-CG396-CF396</f>
        <v>0</v>
      </c>
      <c r="CJ396" s="1633">
        <v>2384</v>
      </c>
      <c r="CK396" s="1634">
        <f>1012-CJ396</f>
        <v>-1372</v>
      </c>
      <c r="CL396" s="1634">
        <f>1817-CK396-CJ396</f>
        <v>805</v>
      </c>
      <c r="CM396" s="1648">
        <v>111</v>
      </c>
      <c r="CN396" s="1649">
        <v>-1734</v>
      </c>
      <c r="CO396" s="1649">
        <f>-887-CN396</f>
        <v>847</v>
      </c>
      <c r="CP396" s="1649">
        <f>375-CO396-CN396</f>
        <v>1262</v>
      </c>
      <c r="CQ396" s="1648">
        <f>-1437-CP396-CO396-CN396</f>
        <v>-1812</v>
      </c>
      <c r="CR396" s="1649">
        <v>581</v>
      </c>
      <c r="CS396" s="1649">
        <f>-432-CR396</f>
        <v>-1013</v>
      </c>
      <c r="CT396" s="1649">
        <f>-324-CS396-CR396</f>
        <v>108</v>
      </c>
      <c r="CU396" s="1648">
        <f>-142-CT396-CS396-CR396</f>
        <v>182</v>
      </c>
      <c r="CV396" s="1649">
        <v>252</v>
      </c>
      <c r="CW396" s="1649">
        <f>279-CV396</f>
        <v>27</v>
      </c>
      <c r="CX396" s="1649">
        <f>-426-279</f>
        <v>-705</v>
      </c>
      <c r="CY396" s="1648">
        <f>-475-CX396-CW396-CV396</f>
        <v>-49</v>
      </c>
      <c r="CZ396" s="1649">
        <v>482</v>
      </c>
      <c r="DA396" s="1649">
        <f>-106-CZ396</f>
        <v>-588</v>
      </c>
      <c r="DB396" s="1649">
        <f>-305-DA396-CZ396</f>
        <v>-199</v>
      </c>
      <c r="DC396" s="1649">
        <f>-344-SUM(CZ396:DB396)</f>
        <v>-39</v>
      </c>
      <c r="DD396" s="1649">
        <v>-40</v>
      </c>
      <c r="DE396" s="1649">
        <f>610-DD396</f>
        <v>650</v>
      </c>
      <c r="DF396" s="1649">
        <f>-120-DD396-DE396</f>
        <v>-730</v>
      </c>
      <c r="DG396" s="1649">
        <f>-149-DD396-DE396-DF396</f>
        <v>-29</v>
      </c>
      <c r="DH396" s="1649">
        <v>-52</v>
      </c>
      <c r="DI396" s="1649">
        <f>-152-DH396</f>
        <v>-100</v>
      </c>
      <c r="DJ396" s="1649">
        <f>-160-DH396-DI396</f>
        <v>-8</v>
      </c>
      <c r="DK396" s="1649">
        <f>-170--160</f>
        <v>-10</v>
      </c>
      <c r="DL396" s="1649">
        <v>1222</v>
      </c>
    </row>
    <row r="397" spans="1:116" ht="12.75" customHeight="1">
      <c r="A397" s="1539" t="s">
        <v>1002</v>
      </c>
      <c r="B397" s="1642"/>
      <c r="C397" s="1642"/>
      <c r="D397" s="1642"/>
      <c r="E397" s="1641"/>
      <c r="F397" s="1642"/>
      <c r="G397" s="1642"/>
      <c r="H397" s="1642"/>
      <c r="I397" s="1642"/>
      <c r="J397" s="1642"/>
      <c r="K397" s="1681"/>
      <c r="L397" s="1642"/>
      <c r="M397" s="1642"/>
      <c r="N397" s="1642"/>
      <c r="O397" s="1642"/>
      <c r="P397" s="1642"/>
      <c r="Q397" s="1642"/>
      <c r="R397" s="1642"/>
      <c r="S397" s="1642"/>
      <c r="T397" s="1642"/>
      <c r="U397" s="1642"/>
      <c r="V397" s="1642"/>
      <c r="W397" s="1642"/>
      <c r="X397" s="1642"/>
      <c r="Y397" s="1642"/>
      <c r="Z397" s="1642"/>
      <c r="AA397" s="1642"/>
      <c r="AB397" s="1642"/>
      <c r="AC397" s="1642"/>
      <c r="AD397" s="1642"/>
      <c r="AE397" s="1642"/>
      <c r="AF397" s="1641"/>
      <c r="AG397" s="1642"/>
      <c r="AH397" s="1642"/>
      <c r="AI397" s="1642"/>
      <c r="AJ397" s="1641"/>
      <c r="AK397" s="1642"/>
      <c r="AL397" s="1642"/>
      <c r="AM397" s="1642"/>
      <c r="AN397" s="1641"/>
      <c r="AO397" s="1642">
        <v>-2112</v>
      </c>
      <c r="AP397" s="1642">
        <v>-3168</v>
      </c>
      <c r="AQ397" s="1642"/>
      <c r="AR397" s="1641"/>
      <c r="AS397" s="1642">
        <v>-2099</v>
      </c>
      <c r="AT397" s="1642">
        <v>-3389</v>
      </c>
      <c r="AU397" s="1642">
        <v>-4421</v>
      </c>
      <c r="AV397" s="1641">
        <v>-1040</v>
      </c>
      <c r="AW397" s="1642">
        <v>-2079</v>
      </c>
      <c r="AX397" s="1642">
        <v>-3119</v>
      </c>
      <c r="AY397" s="1642">
        <v>-4168</v>
      </c>
      <c r="AZ397" s="1641">
        <v>-1051</v>
      </c>
      <c r="BA397" s="1632">
        <v>-4623</v>
      </c>
      <c r="BB397" s="1642">
        <v>-3147</v>
      </c>
      <c r="BC397" s="1642">
        <v>-4200</v>
      </c>
      <c r="BD397" s="1641">
        <v>-1056</v>
      </c>
      <c r="BE397" s="1642">
        <f>-2115-BD397</f>
        <v>-1059</v>
      </c>
      <c r="BF397" s="1642">
        <f>-3175-SUM(BD397:BE397)</f>
        <v>-1060</v>
      </c>
      <c r="BG397" s="1642">
        <f>-4239-SUM(BD397:BF397)</f>
        <v>-1064</v>
      </c>
      <c r="BH397" s="1641">
        <v>-1065</v>
      </c>
      <c r="BI397" s="1642">
        <f>-2131-BH397</f>
        <v>-1066</v>
      </c>
      <c r="BJ397" s="1642">
        <f>-3198-SUM(BH397:BI397)</f>
        <v>-1067</v>
      </c>
      <c r="BK397" s="1642">
        <f>-4262-SUM(BH397:BJ397)</f>
        <v>-1064</v>
      </c>
      <c r="BL397" s="1641">
        <f>-1066</f>
        <v>-1066</v>
      </c>
      <c r="BM397" s="1642">
        <f>-2188-BL397</f>
        <v>-1122</v>
      </c>
      <c r="BN397" s="1642">
        <f>-3308-SUM(BL397:BM397)</f>
        <v>-1120</v>
      </c>
      <c r="BO397" s="1642">
        <f>-4427-SUM(BL397:BN397)</f>
        <v>-1119</v>
      </c>
      <c r="BP397" s="1641">
        <v>-1185</v>
      </c>
      <c r="BQ397" s="1642">
        <f>-2365-BP397</f>
        <v>-1180</v>
      </c>
      <c r="BR397" s="1642">
        <f>-3537-BP397-BQ397</f>
        <v>-1172</v>
      </c>
      <c r="BS397" s="1642">
        <f>-4719-BP397-BQ397-BR397</f>
        <v>-1182</v>
      </c>
      <c r="BT397" s="1641">
        <v>-1179</v>
      </c>
      <c r="BU397" s="1634">
        <f>-2343-BT397</f>
        <v>-1164</v>
      </c>
      <c r="BV397" s="1634">
        <f>-3529-BU397-BT397</f>
        <v>-1186</v>
      </c>
      <c r="BW397" s="1634">
        <f>+-4773-BV397-BU397-BT397</f>
        <v>-1244</v>
      </c>
      <c r="BX397" s="1633">
        <v>-1237</v>
      </c>
      <c r="BY397" s="1634">
        <f>-2464-BX397</f>
        <v>-1227</v>
      </c>
      <c r="BZ397" s="1634">
        <f>+-3687-BY397-BX397</f>
        <v>-1223</v>
      </c>
      <c r="CA397" s="1634">
        <f>-4994-BZ397-BY397-BX397</f>
        <v>-1307</v>
      </c>
      <c r="CB397" s="1633">
        <v>-1307</v>
      </c>
      <c r="CC397" s="1634">
        <f>+-2614-CB397</f>
        <v>-1307</v>
      </c>
      <c r="CD397" s="1634">
        <f>+-3920-CC397-CB397</f>
        <v>-1306</v>
      </c>
      <c r="CE397" s="1634">
        <f>-5271-CD397-CC397-CB397</f>
        <v>-1351</v>
      </c>
      <c r="CF397" s="1633">
        <v>-1347</v>
      </c>
      <c r="CG397" s="1634">
        <f>-2690-CF397</f>
        <v>-1343</v>
      </c>
      <c r="CH397" s="1634">
        <f>+-4034-CG397-CF397</f>
        <v>-1344</v>
      </c>
      <c r="CI397" s="1634">
        <f>-5412-CH397-CG397-CF397</f>
        <v>-1378</v>
      </c>
      <c r="CJ397" s="1633">
        <v>-1379</v>
      </c>
      <c r="CK397" s="1634">
        <f>-2759-CJ397</f>
        <v>-1380</v>
      </c>
      <c r="CL397" s="1634">
        <f>-4139-CK397-CJ397</f>
        <v>-1380</v>
      </c>
      <c r="CM397" s="1648">
        <v>-1416</v>
      </c>
      <c r="CN397" s="1649">
        <v>-1291</v>
      </c>
      <c r="CO397" s="1649">
        <f>-2587-CN397</f>
        <v>-1296</v>
      </c>
      <c r="CP397" s="1649">
        <f>-3887-CO397-CN397</f>
        <v>-1300</v>
      </c>
      <c r="CQ397" s="1648">
        <f>-5230-CP397-CO397-CN397</f>
        <v>-1343</v>
      </c>
      <c r="CR397" s="1649">
        <v>-1472</v>
      </c>
      <c r="CS397" s="1649">
        <f>-2946-CR397</f>
        <v>-1474</v>
      </c>
      <c r="CT397" s="1649">
        <f>-4420-CS397-CR397</f>
        <v>-1474</v>
      </c>
      <c r="CU397" s="1648">
        <f>-5936-CT397-CS397-CR397</f>
        <v>-1516</v>
      </c>
      <c r="CV397" s="1649">
        <v>-1517</v>
      </c>
      <c r="CW397" s="1649">
        <f>-3583-CV397</f>
        <v>-2066</v>
      </c>
      <c r="CX397" s="1649">
        <f>-5653+3583</f>
        <v>-2070</v>
      </c>
      <c r="CY397" s="1648">
        <f>-7803-CX397-CW397-CV397</f>
        <v>-2150</v>
      </c>
      <c r="CZ397" s="1649">
        <v>-2153</v>
      </c>
      <c r="DA397" s="1649">
        <f>-4266-CZ397</f>
        <v>-2113</v>
      </c>
      <c r="DB397" s="1649">
        <f>-6373-DA397-CZ397</f>
        <v>-2107</v>
      </c>
      <c r="DC397" s="1649">
        <f>-8538-SUM(CZ397:DB397)</f>
        <v>-2165</v>
      </c>
      <c r="DD397" s="1649">
        <v>-2302</v>
      </c>
      <c r="DE397" s="1649">
        <f>-4605-DD397</f>
        <v>-2303</v>
      </c>
      <c r="DF397" s="1649">
        <f>-6908-DD397-DE397</f>
        <v>-2303</v>
      </c>
      <c r="DG397" s="1649">
        <f>-9262-DD397-DE397-DF397</f>
        <v>-2354</v>
      </c>
      <c r="DH397" s="1649">
        <v>-2354</v>
      </c>
      <c r="DI397" s="1649">
        <f>-4710-DH397</f>
        <v>-2356</v>
      </c>
      <c r="DJ397" s="1649">
        <f>-7067-DH397-DI397</f>
        <v>-2357</v>
      </c>
      <c r="DK397" s="1649">
        <f>-9472--7067</f>
        <v>-2405</v>
      </c>
      <c r="DL397" s="1649">
        <v>-2407</v>
      </c>
    </row>
    <row r="398" spans="1:116" ht="12.75" customHeight="1">
      <c r="A398" s="1539" t="s">
        <v>1390</v>
      </c>
      <c r="B398" s="1642"/>
      <c r="C398" s="1642"/>
      <c r="D398" s="1642"/>
      <c r="E398" s="1641"/>
      <c r="F398" s="1642"/>
      <c r="G398" s="1642"/>
      <c r="H398" s="1642"/>
      <c r="I398" s="1642"/>
      <c r="J398" s="1642"/>
      <c r="K398" s="1681"/>
      <c r="L398" s="1642"/>
      <c r="M398" s="1642"/>
      <c r="N398" s="1642"/>
      <c r="O398" s="1642"/>
      <c r="P398" s="1642"/>
      <c r="Q398" s="1642"/>
      <c r="R398" s="1642"/>
      <c r="S398" s="1642"/>
      <c r="T398" s="1642"/>
      <c r="U398" s="1642"/>
      <c r="V398" s="1642"/>
      <c r="W398" s="1642"/>
      <c r="X398" s="1642"/>
      <c r="Y398" s="1642"/>
      <c r="Z398" s="1642"/>
      <c r="AA398" s="1642"/>
      <c r="AB398" s="1642"/>
      <c r="AC398" s="1642"/>
      <c r="AD398" s="1642"/>
      <c r="AE398" s="1642"/>
      <c r="AF398" s="1641"/>
      <c r="AG398" s="1642"/>
      <c r="AH398" s="1642"/>
      <c r="AI398" s="1642"/>
      <c r="AJ398" s="1641"/>
      <c r="AK398" s="1642"/>
      <c r="AL398" s="1642"/>
      <c r="AM398" s="1642"/>
      <c r="AN398" s="1641"/>
      <c r="AO398" s="1642">
        <v>585</v>
      </c>
      <c r="AP398" s="1642">
        <v>1006</v>
      </c>
      <c r="AQ398" s="1642"/>
      <c r="AR398" s="1641"/>
      <c r="AS398" s="1642">
        <v>380</v>
      </c>
      <c r="AT398" s="1642">
        <v>415</v>
      </c>
      <c r="AU398" s="1642">
        <v>576</v>
      </c>
      <c r="AV398" s="1641">
        <v>77</v>
      </c>
      <c r="AW398" s="1642">
        <v>242</v>
      </c>
      <c r="AX398" s="1642">
        <v>436</v>
      </c>
      <c r="AY398" s="1642">
        <v>501</v>
      </c>
      <c r="AZ398" s="1641">
        <v>222</v>
      </c>
      <c r="BA398" s="1632">
        <v>-2096</v>
      </c>
      <c r="BB398" s="1642">
        <v>653</v>
      </c>
      <c r="BC398" s="1642">
        <v>915</v>
      </c>
      <c r="BD398" s="1641">
        <v>256</v>
      </c>
      <c r="BE398" s="1642">
        <f>471-BD398</f>
        <v>215</v>
      </c>
      <c r="BF398" s="1642">
        <f>617-SUM(BD398:BE398)</f>
        <v>146</v>
      </c>
      <c r="BG398" s="1642">
        <f>839-SUM(BD398:BF398)</f>
        <v>222</v>
      </c>
      <c r="BH398" s="1641">
        <v>80</v>
      </c>
      <c r="BI398" s="1642">
        <f>91-BH398</f>
        <v>11</v>
      </c>
      <c r="BJ398" s="1642">
        <f>220-SUM(BH398:BI398)</f>
        <v>129</v>
      </c>
      <c r="BK398" s="1642">
        <f>320-SUM(BH398:BJ398)</f>
        <v>100</v>
      </c>
      <c r="BL398" s="1641">
        <v>25</v>
      </c>
      <c r="BM398" s="1642">
        <f>32-BL398</f>
        <v>7</v>
      </c>
      <c r="BN398" s="1642">
        <f>37-SUM(BL398:BM398)</f>
        <v>5</v>
      </c>
      <c r="BO398" s="1642">
        <f>37-SUM(BL398:BN398)</f>
        <v>0</v>
      </c>
      <c r="BP398" s="1641">
        <v>64</v>
      </c>
      <c r="BQ398" s="1642">
        <f>69-BP398</f>
        <v>5</v>
      </c>
      <c r="BR398" s="1642">
        <f>115-BP398-BQ398</f>
        <v>46</v>
      </c>
      <c r="BS398" s="1642">
        <f>174-BP398-BQ398-BR398</f>
        <v>59</v>
      </c>
      <c r="BT398" s="1641">
        <v>110</v>
      </c>
      <c r="BU398" s="1634">
        <f>553-BT398</f>
        <v>443</v>
      </c>
      <c r="BV398" s="1634">
        <f>794-BU398-BT398</f>
        <v>241</v>
      </c>
      <c r="BW398" s="1634">
        <f>1274-BV398-BU398-BT398</f>
        <v>480</v>
      </c>
      <c r="BX398" s="1633">
        <v>9</v>
      </c>
      <c r="BY398" s="1634">
        <f>15-BX398</f>
        <v>6</v>
      </c>
      <c r="BZ398" s="1634">
        <f>16-BY398-BX398</f>
        <v>1</v>
      </c>
      <c r="CA398" s="1634">
        <f>16-BZ398-BY398-BX398</f>
        <v>0</v>
      </c>
      <c r="CB398" s="1633">
        <v>0</v>
      </c>
      <c r="CC398" s="1634"/>
      <c r="CD398" s="1634">
        <v>0</v>
      </c>
      <c r="CE398" s="1634"/>
      <c r="CF398" s="1633"/>
      <c r="CG398" s="1634"/>
      <c r="CH398" s="1634"/>
      <c r="CI398" s="1634"/>
      <c r="CJ398" s="1633">
        <v>70</v>
      </c>
      <c r="CK398" s="1634">
        <f>122-CJ398</f>
        <v>52</v>
      </c>
      <c r="CL398" s="1634">
        <f>139-CK398-CJ398</f>
        <v>17</v>
      </c>
      <c r="CM398" s="1648">
        <v>102</v>
      </c>
      <c r="CN398" s="1649">
        <v>69</v>
      </c>
      <c r="CO398" s="1649">
        <f>210-CN398</f>
        <v>141</v>
      </c>
      <c r="CP398" s="1649">
        <f>278-CO398-CN398</f>
        <v>68</v>
      </c>
      <c r="CQ398" s="1648">
        <f>315-CP398-CO398-CN398</f>
        <v>37</v>
      </c>
      <c r="CR398" s="1649">
        <v>56</v>
      </c>
      <c r="CS398" s="1649">
        <f>74-CR398</f>
        <v>18</v>
      </c>
      <c r="CT398" s="1649">
        <f>76-CS398-CR398</f>
        <v>2</v>
      </c>
      <c r="CU398" s="1648">
        <f>85-CT398-CS398-CR398</f>
        <v>9</v>
      </c>
      <c r="CV398" s="1649">
        <v>34</v>
      </c>
      <c r="CW398" s="1649">
        <f>34-CV398</f>
        <v>0</v>
      </c>
      <c r="CX398" s="1649">
        <f>34-34</f>
        <v>0</v>
      </c>
      <c r="CY398" s="1648">
        <f>34-CX398-CW398-CV398</f>
        <v>0</v>
      </c>
      <c r="CZ398" s="1649">
        <v>0</v>
      </c>
      <c r="DA398" s="1649">
        <v>0</v>
      </c>
      <c r="DB398" s="1649">
        <f>31-DA398-CZ398</f>
        <v>31</v>
      </c>
      <c r="DC398" s="1649">
        <f>40-SUM(CZ398:DB398)</f>
        <v>9</v>
      </c>
      <c r="DD398" s="1649">
        <v>3</v>
      </c>
      <c r="DE398" s="1649">
        <f>3-DD398</f>
        <v>0</v>
      </c>
      <c r="DF398" s="1649">
        <f>3-DE398-DD398</f>
        <v>0</v>
      </c>
      <c r="DG398" s="1649">
        <f>3-DF398-DE398-DD398</f>
        <v>0</v>
      </c>
      <c r="DH398" s="1649"/>
      <c r="DI398" s="1649"/>
      <c r="DJ398" s="1649"/>
      <c r="DK398" s="1649"/>
      <c r="DL398" s="1649"/>
    </row>
    <row r="399" spans="1:116" ht="12.75" customHeight="1">
      <c r="A399" s="1539" t="s">
        <v>1391</v>
      </c>
      <c r="B399" s="1642"/>
      <c r="C399" s="1642"/>
      <c r="D399" s="1642"/>
      <c r="E399" s="1641"/>
      <c r="F399" s="1642"/>
      <c r="G399" s="1642"/>
      <c r="H399" s="1642"/>
      <c r="I399" s="1642"/>
      <c r="J399" s="1642"/>
      <c r="K399" s="1681"/>
      <c r="L399" s="1642"/>
      <c r="M399" s="1642"/>
      <c r="N399" s="1642"/>
      <c r="O399" s="1642"/>
      <c r="P399" s="1642"/>
      <c r="Q399" s="1642"/>
      <c r="R399" s="1642"/>
      <c r="S399" s="1642"/>
      <c r="T399" s="1642"/>
      <c r="U399" s="1642"/>
      <c r="V399" s="1642"/>
      <c r="W399" s="1642"/>
      <c r="X399" s="1642"/>
      <c r="Y399" s="1642"/>
      <c r="Z399" s="1642"/>
      <c r="AA399" s="1642"/>
      <c r="AB399" s="1642"/>
      <c r="AC399" s="1642"/>
      <c r="AD399" s="1642"/>
      <c r="AE399" s="1642"/>
      <c r="AF399" s="1641"/>
      <c r="AG399" s="1642"/>
      <c r="AH399" s="1642"/>
      <c r="AI399" s="1642"/>
      <c r="AJ399" s="1641"/>
      <c r="AK399" s="1642"/>
      <c r="AL399" s="1642"/>
      <c r="AM399" s="1642"/>
      <c r="AN399" s="1641"/>
      <c r="AO399" s="1642">
        <v>-398</v>
      </c>
      <c r="AP399" s="1642">
        <v>-1105</v>
      </c>
      <c r="AQ399" s="1642"/>
      <c r="AR399" s="1641"/>
      <c r="AS399" s="1642">
        <v>-1382</v>
      </c>
      <c r="AT399" s="1642">
        <v>-2263</v>
      </c>
      <c r="AU399" s="1642">
        <v>-2294</v>
      </c>
      <c r="AV399" s="1641">
        <v>-6</v>
      </c>
      <c r="AW399" s="1642">
        <v>-8</v>
      </c>
      <c r="AX399" s="1642">
        <v>-18</v>
      </c>
      <c r="AY399" s="1642">
        <v>-18</v>
      </c>
      <c r="AZ399" s="1641">
        <v>0</v>
      </c>
      <c r="BA399" s="1632">
        <v>424</v>
      </c>
      <c r="BB399" s="1642"/>
      <c r="BC399" s="1642"/>
      <c r="BD399" s="1641">
        <v>0</v>
      </c>
      <c r="BE399" s="1642">
        <v>0</v>
      </c>
      <c r="BF399" s="1642">
        <v>0</v>
      </c>
      <c r="BG399" s="1642">
        <v>0</v>
      </c>
      <c r="BH399" s="1641">
        <v>0</v>
      </c>
      <c r="BI399" s="1642">
        <v>-86</v>
      </c>
      <c r="BJ399" s="1642">
        <f>-257-SUM(BH399:BI399)</f>
        <v>-171</v>
      </c>
      <c r="BK399" s="1642">
        <f>-370-SUM(BH399:BJ399)</f>
        <v>-113</v>
      </c>
      <c r="BL399" s="1641">
        <v>-118</v>
      </c>
      <c r="BM399" s="1642">
        <f>-193-BL399</f>
        <v>-75</v>
      </c>
      <c r="BN399" s="1642">
        <f>-221-SUM(BL399:BM399)</f>
        <v>-28</v>
      </c>
      <c r="BO399" s="1642">
        <f>-271-SUM(BL399:BN399)</f>
        <v>-50</v>
      </c>
      <c r="BP399" s="1641">
        <v>-398</v>
      </c>
      <c r="BQ399" s="1642">
        <f>-1009-BP399</f>
        <v>-611</v>
      </c>
      <c r="BR399" s="1642">
        <f>-1348-BP399-BQ399</f>
        <v>-339</v>
      </c>
      <c r="BS399" s="1642">
        <f>-1700-BP399-BQ399-BR399</f>
        <v>-352</v>
      </c>
      <c r="BT399" s="1641">
        <v>-427</v>
      </c>
      <c r="BU399" s="1634">
        <f>-952-BT399</f>
        <v>-525</v>
      </c>
      <c r="BV399" s="1634">
        <f>-1734-BU399-BT399</f>
        <v>-782</v>
      </c>
      <c r="BW399" s="1634">
        <f>+-2843-BV399-BU399-BT399</f>
        <v>-1109</v>
      </c>
      <c r="BX399" s="1633">
        <v>-1001</v>
      </c>
      <c r="BY399" s="1634">
        <f>-1117-BX399</f>
        <v>-116</v>
      </c>
      <c r="BZ399" s="1634">
        <f>+-1369-BY399-BX399</f>
        <v>-252</v>
      </c>
      <c r="CA399" s="1634">
        <f>-1368-BZ399-BY399-BX399</f>
        <v>1</v>
      </c>
      <c r="CB399" s="1633">
        <v>0</v>
      </c>
      <c r="CC399" s="1634"/>
      <c r="CD399" s="1634"/>
      <c r="CE399" s="1634"/>
      <c r="CF399" s="1633"/>
      <c r="CG399" s="1634"/>
      <c r="CH399" s="1634"/>
      <c r="CI399" s="1634"/>
      <c r="CJ399" s="1633"/>
      <c r="CK399" s="1634"/>
      <c r="CL399" s="1634"/>
      <c r="CM399" s="1648"/>
      <c r="CN399" s="1649"/>
      <c r="CO399" s="1649"/>
      <c r="CP399" s="1649"/>
      <c r="CQ399" s="1648"/>
      <c r="CR399" s="1649">
        <v>-153</v>
      </c>
      <c r="CS399" s="1649">
        <f>-153-CR399</f>
        <v>0</v>
      </c>
      <c r="CT399" s="1649">
        <f>-153-CS399-CR399</f>
        <v>0</v>
      </c>
      <c r="CU399" s="1648">
        <f>-153-CT399-CS399-CR399</f>
        <v>0</v>
      </c>
      <c r="CV399" s="1649">
        <v>0</v>
      </c>
      <c r="CW399" s="1649">
        <f>0-CV399</f>
        <v>0</v>
      </c>
      <c r="CX399" s="1649">
        <v>0</v>
      </c>
      <c r="CY399" s="1648">
        <v>0</v>
      </c>
      <c r="CZ399" s="1649">
        <v>-5000</v>
      </c>
      <c r="DA399" s="1649">
        <f>-5074-CZ399</f>
        <v>-74</v>
      </c>
      <c r="DB399" s="1649">
        <f>-5134-DA399-CZ399</f>
        <v>-60</v>
      </c>
      <c r="DC399" s="1649">
        <f>-5134-SUM(CZ399:DB399)</f>
        <v>0</v>
      </c>
      <c r="DD399" s="1649"/>
      <c r="DE399" s="1649"/>
      <c r="DF399" s="1649"/>
      <c r="DG399" s="1649"/>
      <c r="DH399" s="1649"/>
      <c r="DI399" s="1649"/>
      <c r="DJ399" s="1649"/>
      <c r="DK399" s="1649"/>
      <c r="DL399" s="1649"/>
    </row>
    <row r="400" spans="1:116" ht="12.75" customHeight="1">
      <c r="A400" s="1539" t="s">
        <v>702</v>
      </c>
      <c r="B400" s="1642"/>
      <c r="C400" s="1642"/>
      <c r="D400" s="1642"/>
      <c r="E400" s="1641"/>
      <c r="F400" s="1642"/>
      <c r="G400" s="1642"/>
      <c r="H400" s="1642"/>
      <c r="I400" s="1642"/>
      <c r="J400" s="1642"/>
      <c r="K400" s="1681"/>
      <c r="L400" s="1642"/>
      <c r="M400" s="1642"/>
      <c r="N400" s="1642"/>
      <c r="O400" s="1642"/>
      <c r="P400" s="1642"/>
      <c r="Q400" s="1642"/>
      <c r="R400" s="1642"/>
      <c r="S400" s="1642"/>
      <c r="T400" s="1642"/>
      <c r="U400" s="1642"/>
      <c r="V400" s="1642"/>
      <c r="W400" s="1642"/>
      <c r="X400" s="1642"/>
      <c r="Y400" s="1642"/>
      <c r="Z400" s="1642"/>
      <c r="AA400" s="1642"/>
      <c r="AB400" s="1642"/>
      <c r="AC400" s="1642"/>
      <c r="AD400" s="1642"/>
      <c r="AE400" s="1642"/>
      <c r="AF400" s="1641"/>
      <c r="AG400" s="1642"/>
      <c r="AH400" s="1642"/>
      <c r="AI400" s="1642"/>
      <c r="AJ400" s="1641"/>
      <c r="AK400" s="1642"/>
      <c r="AL400" s="1642"/>
      <c r="AM400" s="1642"/>
      <c r="AN400" s="1641"/>
      <c r="AO400" s="1642"/>
      <c r="AP400" s="1642"/>
      <c r="AQ400" s="1642"/>
      <c r="AR400" s="1641"/>
      <c r="AS400" s="1642"/>
      <c r="AT400" s="1642"/>
      <c r="AU400" s="1642"/>
      <c r="AV400" s="1641"/>
      <c r="AW400" s="1642"/>
      <c r="AX400" s="1642"/>
      <c r="AY400" s="1642"/>
      <c r="AZ400" s="1641"/>
      <c r="BA400" s="1632"/>
      <c r="BB400" s="1642"/>
      <c r="BC400" s="1642"/>
      <c r="BD400" s="1641"/>
      <c r="BE400" s="1642"/>
      <c r="BF400" s="1642"/>
      <c r="BG400" s="1642"/>
      <c r="BH400" s="1641"/>
      <c r="BI400" s="1642"/>
      <c r="BJ400" s="1642"/>
      <c r="BK400" s="1642"/>
      <c r="BL400" s="1641"/>
      <c r="BM400" s="1642"/>
      <c r="BN400" s="1642"/>
      <c r="BO400" s="1642"/>
      <c r="BP400" s="1641"/>
      <c r="BQ400" s="1642"/>
      <c r="BR400" s="1642"/>
      <c r="BS400" s="1642"/>
      <c r="BT400" s="1641"/>
      <c r="BU400" s="1634"/>
      <c r="BV400" s="1634"/>
      <c r="BW400" s="1634"/>
      <c r="BX400" s="1633"/>
      <c r="BY400" s="1634"/>
      <c r="BZ400" s="1634"/>
      <c r="CA400" s="1634"/>
      <c r="CB400" s="1633"/>
      <c r="CC400" s="1634"/>
      <c r="CD400" s="1634"/>
      <c r="CE400" s="1634"/>
      <c r="CF400" s="1633"/>
      <c r="CG400" s="1634"/>
      <c r="CH400" s="1634"/>
      <c r="CI400" s="1634"/>
      <c r="CJ400" s="1633"/>
      <c r="CK400" s="1634"/>
      <c r="CL400" s="1634"/>
      <c r="CM400" s="1648"/>
      <c r="CN400" s="1649">
        <v>-4500</v>
      </c>
      <c r="CO400" s="1649">
        <f>-4500-CN400</f>
        <v>0</v>
      </c>
      <c r="CP400" s="1649">
        <v>0</v>
      </c>
      <c r="CQ400" s="1648">
        <f>-8325-CP400-CO400-CN400</f>
        <v>-3825</v>
      </c>
      <c r="CR400" s="1649">
        <v>0</v>
      </c>
      <c r="CS400" s="1649">
        <f>-3150-CR400</f>
        <v>-3150</v>
      </c>
      <c r="CT400" s="1649">
        <f>-3150-CS400-CR400</f>
        <v>0</v>
      </c>
      <c r="CU400" s="1648">
        <f>-3150-CT400-CS400-CR400</f>
        <v>0</v>
      </c>
      <c r="CV400" s="1649">
        <v>-58886</v>
      </c>
      <c r="CW400" s="1649">
        <f>-58886-CV400</f>
        <v>0</v>
      </c>
      <c r="CX400" s="1649">
        <f>-58886+58886</f>
        <v>0</v>
      </c>
      <c r="CY400" s="1648">
        <f>-58886-CX400-CW400-CV400</f>
        <v>0</v>
      </c>
      <c r="CZ400" s="1649">
        <v>0</v>
      </c>
      <c r="DA400" s="1649">
        <v>0</v>
      </c>
      <c r="DB400" s="1649">
        <v>0</v>
      </c>
      <c r="DC400" s="1649">
        <v>0</v>
      </c>
      <c r="DD400" s="1649"/>
      <c r="DE400" s="1649"/>
      <c r="DF400" s="1649"/>
      <c r="DG400" s="1649"/>
      <c r="DH400" s="1649"/>
      <c r="DI400" s="1649"/>
      <c r="DJ400" s="1649"/>
      <c r="DK400" s="1649"/>
      <c r="DL400" s="1649"/>
    </row>
    <row r="401" spans="1:116" ht="12.75" customHeight="1">
      <c r="A401" s="1539" t="s">
        <v>1377</v>
      </c>
      <c r="B401" s="1642"/>
      <c r="C401" s="1642"/>
      <c r="D401" s="1642"/>
      <c r="E401" s="1641"/>
      <c r="F401" s="1642"/>
      <c r="G401" s="1642"/>
      <c r="H401" s="1642"/>
      <c r="I401" s="1642"/>
      <c r="J401" s="1642"/>
      <c r="K401" s="1681"/>
      <c r="L401" s="1642"/>
      <c r="M401" s="1642"/>
      <c r="N401" s="1642"/>
      <c r="O401" s="1642"/>
      <c r="P401" s="1642"/>
      <c r="Q401" s="1642"/>
      <c r="R401" s="1642"/>
      <c r="S401" s="1642"/>
      <c r="T401" s="1642"/>
      <c r="U401" s="1642"/>
      <c r="V401" s="1642"/>
      <c r="W401" s="1642"/>
      <c r="X401" s="1642"/>
      <c r="Y401" s="1642"/>
      <c r="Z401" s="1642"/>
      <c r="AA401" s="1642"/>
      <c r="AB401" s="1642"/>
      <c r="AC401" s="1642"/>
      <c r="AD401" s="1642"/>
      <c r="AE401" s="1642"/>
      <c r="AF401" s="1641"/>
      <c r="AG401" s="1642"/>
      <c r="AH401" s="1642"/>
      <c r="AI401" s="1642"/>
      <c r="AJ401" s="1641"/>
      <c r="AK401" s="1642"/>
      <c r="AL401" s="1642"/>
      <c r="AM401" s="1642"/>
      <c r="AN401" s="1641"/>
      <c r="AO401" s="1642">
        <v>14</v>
      </c>
      <c r="AP401" s="1642">
        <v>183</v>
      </c>
      <c r="AQ401" s="1642"/>
      <c r="AR401" s="1641"/>
      <c r="AS401" s="1642">
        <v>-9</v>
      </c>
      <c r="AT401" s="1642">
        <v>-99</v>
      </c>
      <c r="AU401" s="1642">
        <v>33</v>
      </c>
      <c r="AV401" s="1641">
        <v>-95</v>
      </c>
      <c r="AW401" s="1642">
        <v>-348</v>
      </c>
      <c r="AX401" s="1642">
        <v>-395</v>
      </c>
      <c r="AY401" s="1642">
        <v>-304</v>
      </c>
      <c r="AZ401" s="1641">
        <v>36</v>
      </c>
      <c r="BA401" s="1632">
        <v>104</v>
      </c>
      <c r="BB401" s="1642">
        <v>83</v>
      </c>
      <c r="BC401" s="1642">
        <v>74</v>
      </c>
      <c r="BD401" s="1641">
        <v>-142</v>
      </c>
      <c r="BE401" s="1642">
        <f>-194-BD401</f>
        <v>-52</v>
      </c>
      <c r="BF401" s="1642">
        <f>-168-SUM(BD401:BE401)</f>
        <v>26</v>
      </c>
      <c r="BG401" s="1642">
        <f>-123-SUM(BD401:BF401)</f>
        <v>45</v>
      </c>
      <c r="BH401" s="1641">
        <v>-86</v>
      </c>
      <c r="BI401" s="1642">
        <f>-86-SUM(BH401)</f>
        <v>0</v>
      </c>
      <c r="BJ401" s="1642">
        <f>-43-SUM(BH401:BI401)</f>
        <v>43</v>
      </c>
      <c r="BK401" s="1642">
        <f>-77-SUM(BH401:BJ401)</f>
        <v>-34</v>
      </c>
      <c r="BL401" s="1641">
        <v>-21</v>
      </c>
      <c r="BM401" s="1642">
        <f>39-BL401</f>
        <v>60</v>
      </c>
      <c r="BN401" s="1642">
        <f>25-SUM(BL401:BM401)</f>
        <v>-14</v>
      </c>
      <c r="BO401" s="1642">
        <f>-70-SUM(BL401:BN401)</f>
        <v>-95</v>
      </c>
      <c r="BP401" s="1641">
        <v>-115</v>
      </c>
      <c r="BQ401" s="1642">
        <f>-27-BP401-176</f>
        <v>-88</v>
      </c>
      <c r="BR401" s="1642">
        <f>5-BP401-BQ401</f>
        <v>208</v>
      </c>
      <c r="BS401" s="1642">
        <f>-201-BP401-BQ401-BR401-279-16</f>
        <v>-501</v>
      </c>
      <c r="BT401" s="1641">
        <f>-3+0</f>
        <v>-3</v>
      </c>
      <c r="BU401" s="1634">
        <f>-30-BT401</f>
        <v>-27</v>
      </c>
      <c r="BV401" s="1634">
        <f>30-BU401-BT401</f>
        <v>60</v>
      </c>
      <c r="BW401" s="1634">
        <f>+-2-BV401-BU401-BT401</f>
        <v>-32</v>
      </c>
      <c r="BX401" s="1633">
        <v>48</v>
      </c>
      <c r="BY401" s="1634">
        <f>-13-BX401</f>
        <v>-61</v>
      </c>
      <c r="BZ401" s="1634">
        <f>101-BY401-BX401</f>
        <v>114</v>
      </c>
      <c r="CA401" s="1634">
        <f>93-BZ401-BY401-BX401</f>
        <v>-8</v>
      </c>
      <c r="CB401" s="1633">
        <f>-252-44</f>
        <v>-296</v>
      </c>
      <c r="CC401" s="1634">
        <f>+-971-CB401-44-44</f>
        <v>-763</v>
      </c>
      <c r="CD401" s="1634">
        <f>+-1436-CC401-CB401-44-44-43</f>
        <v>-508</v>
      </c>
      <c r="CE401" s="1634">
        <f>-1864-CD401-CC401-CB401-44-44-43-44</f>
        <v>-472</v>
      </c>
      <c r="CF401" s="1633">
        <v>-470</v>
      </c>
      <c r="CG401" s="1634">
        <f>-1131-CF401</f>
        <v>-661</v>
      </c>
      <c r="CH401" s="1634">
        <f>3083-1680-CG401-CF401</f>
        <v>2534</v>
      </c>
      <c r="CI401" s="1634">
        <f>3083-2088-CH401-CG401-CF401</f>
        <v>-408</v>
      </c>
      <c r="CJ401" s="1633">
        <v>-284</v>
      </c>
      <c r="CK401" s="1634">
        <f>-807-CJ401</f>
        <v>-523</v>
      </c>
      <c r="CL401" s="1634">
        <f>-1351-CK401-CJ401</f>
        <v>-544</v>
      </c>
      <c r="CM401" s="1648">
        <v>-354</v>
      </c>
      <c r="CN401" s="1649">
        <v>-453</v>
      </c>
      <c r="CO401" s="1649">
        <f>-1393-CN401</f>
        <v>-940</v>
      </c>
      <c r="CP401" s="1649">
        <f>-2369-CO401-CN401</f>
        <v>-976</v>
      </c>
      <c r="CQ401" s="1648">
        <f>-4662-CP401-CO401-CN401</f>
        <v>-2293</v>
      </c>
      <c r="CR401" s="1649">
        <v>-989</v>
      </c>
      <c r="CS401" s="1649">
        <f>-2180-CR401</f>
        <v>-1191</v>
      </c>
      <c r="CT401" s="1649">
        <f>-3550-CS401-CR401</f>
        <v>-1370</v>
      </c>
      <c r="CU401" s="1648">
        <f>-5257-CT401-CS401-CR401</f>
        <v>-1707</v>
      </c>
      <c r="CV401" s="1649">
        <v>-2113</v>
      </c>
      <c r="CW401" s="1649">
        <f>-2982-CV401</f>
        <v>-869</v>
      </c>
      <c r="CX401" s="1649">
        <f>-3087+2982</f>
        <v>-105</v>
      </c>
      <c r="CY401" s="1648">
        <f>-3873-CX401-CW401-CV401</f>
        <v>-786</v>
      </c>
      <c r="CZ401" s="1649">
        <v>2545</v>
      </c>
      <c r="DA401" s="1649">
        <f>2421-CZ401</f>
        <v>-124</v>
      </c>
      <c r="DB401" s="1649">
        <f>1899-DA401-CZ401</f>
        <v>-522</v>
      </c>
      <c r="DC401" s="1649">
        <f>1634-SUM(CZ401:DB401)</f>
        <v>-265</v>
      </c>
      <c r="DD401" s="1649">
        <v>108</v>
      </c>
      <c r="DE401" s="1649">
        <f>-1804-DD401</f>
        <v>-1912</v>
      </c>
      <c r="DF401" s="1649">
        <f>-2330-DD401-DE401</f>
        <v>-526</v>
      </c>
      <c r="DG401" s="1649">
        <f>-9-2696-DD401-DE401-DF401</f>
        <v>-375</v>
      </c>
      <c r="DH401" s="1649">
        <v>-1760</v>
      </c>
      <c r="DI401" s="1649">
        <f>-2063-DH401</f>
        <v>-303</v>
      </c>
      <c r="DJ401" s="1649">
        <f>-3022-DH401-DI401</f>
        <v>-959</v>
      </c>
      <c r="DK401" s="1649">
        <f>-4852--3022</f>
        <v>-1830</v>
      </c>
      <c r="DL401" s="1649">
        <v>-281</v>
      </c>
    </row>
    <row r="402" spans="1:116" ht="12.75" customHeight="1">
      <c r="A402" s="1539" t="s">
        <v>1394</v>
      </c>
      <c r="B402" s="1642"/>
      <c r="C402" s="1642"/>
      <c r="D402" s="1642"/>
      <c r="E402" s="1641"/>
      <c r="F402" s="1642"/>
      <c r="G402" s="1642"/>
      <c r="H402" s="1642"/>
      <c r="I402" s="1642"/>
      <c r="J402" s="1642"/>
      <c r="K402" s="1681"/>
      <c r="L402" s="1642"/>
      <c r="M402" s="1642"/>
      <c r="N402" s="1642"/>
      <c r="O402" s="1642"/>
      <c r="P402" s="1642"/>
      <c r="Q402" s="1642"/>
      <c r="R402" s="1642"/>
      <c r="S402" s="1642"/>
      <c r="T402" s="1642"/>
      <c r="U402" s="1642"/>
      <c r="V402" s="1642"/>
      <c r="W402" s="1642"/>
      <c r="X402" s="1642"/>
      <c r="Y402" s="1642"/>
      <c r="Z402" s="1642"/>
      <c r="AA402" s="1642"/>
      <c r="AB402" s="1642"/>
      <c r="AC402" s="1642"/>
      <c r="AD402" s="1642"/>
      <c r="AE402" s="1642"/>
      <c r="AF402" s="1641"/>
      <c r="AG402" s="1642"/>
      <c r="AH402" s="1642"/>
      <c r="AI402" s="1642"/>
      <c r="AJ402" s="1641"/>
      <c r="AK402" s="1642"/>
      <c r="AL402" s="1642"/>
      <c r="AM402" s="1642"/>
      <c r="AN402" s="1641"/>
      <c r="AO402" s="1642">
        <v>-1430</v>
      </c>
      <c r="AP402" s="1642">
        <v>-517</v>
      </c>
      <c r="AQ402" s="1642"/>
      <c r="AR402" s="1641"/>
      <c r="AS402" s="1642">
        <v>-1421</v>
      </c>
      <c r="AT402" s="1642">
        <v>-5121</v>
      </c>
      <c r="AU402" s="1642">
        <v>-1048</v>
      </c>
      <c r="AV402" s="1641">
        <v>3284</v>
      </c>
      <c r="AW402" s="1642">
        <v>5076</v>
      </c>
      <c r="AX402" s="1642">
        <v>2669</v>
      </c>
      <c r="AY402" s="1642">
        <v>2075</v>
      </c>
      <c r="AZ402" s="1641">
        <v>-2422</v>
      </c>
      <c r="BA402" s="1632">
        <v>-4546</v>
      </c>
      <c r="BB402" s="1642">
        <v>-10429</v>
      </c>
      <c r="BC402" s="1642">
        <v>-14813</v>
      </c>
      <c r="BD402" s="1694">
        <f t="shared" ref="BD402:CV402" si="459">SUM(BD393:BD401)</f>
        <v>-1000</v>
      </c>
      <c r="BE402" s="1693">
        <f t="shared" si="459"/>
        <v>-5487</v>
      </c>
      <c r="BF402" s="1693">
        <f t="shared" si="459"/>
        <v>-3552</v>
      </c>
      <c r="BG402" s="1693">
        <f t="shared" si="459"/>
        <v>-920</v>
      </c>
      <c r="BH402" s="1694">
        <f t="shared" si="459"/>
        <v>-2048</v>
      </c>
      <c r="BI402" s="1693">
        <f t="shared" si="459"/>
        <v>-3175</v>
      </c>
      <c r="BJ402" s="1693">
        <f t="shared" si="459"/>
        <v>-2499</v>
      </c>
      <c r="BK402" s="1693">
        <f t="shared" si="459"/>
        <v>-2134</v>
      </c>
      <c r="BL402" s="1694">
        <f t="shared" si="459"/>
        <v>-1222</v>
      </c>
      <c r="BM402" s="1693">
        <f t="shared" si="459"/>
        <v>1347</v>
      </c>
      <c r="BN402" s="1693">
        <f t="shared" si="459"/>
        <v>-3449</v>
      </c>
      <c r="BO402" s="1693">
        <f t="shared" si="459"/>
        <v>-1710</v>
      </c>
      <c r="BP402" s="1694">
        <f t="shared" si="459"/>
        <v>-3830</v>
      </c>
      <c r="BQ402" s="1693">
        <f t="shared" si="459"/>
        <v>-1811</v>
      </c>
      <c r="BR402" s="1693">
        <f t="shared" si="459"/>
        <v>-2041</v>
      </c>
      <c r="BS402" s="1693">
        <f t="shared" si="459"/>
        <v>1635</v>
      </c>
      <c r="BT402" s="1694">
        <f t="shared" si="459"/>
        <v>-3248</v>
      </c>
      <c r="BU402" s="1693">
        <f t="shared" si="459"/>
        <v>-3430</v>
      </c>
      <c r="BV402" s="1693">
        <f t="shared" si="459"/>
        <v>-2791</v>
      </c>
      <c r="BW402" s="1693">
        <f t="shared" si="459"/>
        <v>-2228</v>
      </c>
      <c r="BX402" s="1694">
        <f t="shared" si="459"/>
        <v>3760</v>
      </c>
      <c r="BY402" s="1693">
        <f t="shared" si="459"/>
        <v>5885</v>
      </c>
      <c r="BZ402" s="1693">
        <f t="shared" si="459"/>
        <v>-1298</v>
      </c>
      <c r="CA402" s="1693">
        <f t="shared" si="459"/>
        <v>5241</v>
      </c>
      <c r="CB402" s="1694">
        <f t="shared" si="459"/>
        <v>-3508</v>
      </c>
      <c r="CC402" s="1693">
        <f t="shared" si="459"/>
        <v>-6401</v>
      </c>
      <c r="CD402" s="1693">
        <f t="shared" si="459"/>
        <v>-3958</v>
      </c>
      <c r="CE402" s="1693">
        <f t="shared" si="459"/>
        <v>-2315</v>
      </c>
      <c r="CF402" s="1694">
        <f t="shared" si="459"/>
        <v>-2433</v>
      </c>
      <c r="CG402" s="1693">
        <f t="shared" si="459"/>
        <v>-6079</v>
      </c>
      <c r="CH402" s="1693">
        <f t="shared" si="459"/>
        <v>-3157</v>
      </c>
      <c r="CI402" s="1693">
        <f t="shared" si="459"/>
        <v>-1981</v>
      </c>
      <c r="CJ402" s="1694">
        <f t="shared" si="459"/>
        <v>6679</v>
      </c>
      <c r="CK402" s="1693">
        <f t="shared" si="459"/>
        <v>-10027</v>
      </c>
      <c r="CL402" s="1693">
        <f t="shared" si="459"/>
        <v>-1096</v>
      </c>
      <c r="CM402" s="1695">
        <f t="shared" si="459"/>
        <v>-1392</v>
      </c>
      <c r="CN402" s="1267">
        <f t="shared" si="459"/>
        <v>-9737</v>
      </c>
      <c r="CO402" s="1267">
        <f t="shared" si="459"/>
        <v>-1311</v>
      </c>
      <c r="CP402" s="1267">
        <f t="shared" si="459"/>
        <v>-1933</v>
      </c>
      <c r="CQ402" s="1695">
        <f t="shared" si="459"/>
        <v>-8272</v>
      </c>
      <c r="CR402" s="1267">
        <f t="shared" si="459"/>
        <v>-1550</v>
      </c>
      <c r="CS402" s="1267">
        <f t="shared" si="459"/>
        <v>-9068</v>
      </c>
      <c r="CT402" s="1267">
        <f t="shared" si="459"/>
        <v>45871</v>
      </c>
      <c r="CU402" s="1695">
        <f t="shared" si="459"/>
        <v>-8803</v>
      </c>
      <c r="CV402" s="1267">
        <f t="shared" si="459"/>
        <v>-53229</v>
      </c>
      <c r="CW402" s="1267">
        <f t="shared" ref="CW402:DB402" si="460">SUM(CW393:CW401)</f>
        <v>-2981</v>
      </c>
      <c r="CX402" s="1267">
        <f t="shared" si="460"/>
        <v>-2827</v>
      </c>
      <c r="CY402" s="1695">
        <f t="shared" si="460"/>
        <v>1332</v>
      </c>
      <c r="CZ402" s="1267">
        <f t="shared" si="460"/>
        <v>-3205</v>
      </c>
      <c r="DA402" s="1267">
        <f t="shared" si="460"/>
        <v>-3120</v>
      </c>
      <c r="DB402" s="1267">
        <f t="shared" si="460"/>
        <v>-4228</v>
      </c>
      <c r="DC402" s="1267">
        <f t="shared" ref="DC402:DH402" si="461">SUM(DC393:DC401)</f>
        <v>-4462</v>
      </c>
      <c r="DD402" s="1267">
        <f t="shared" si="461"/>
        <v>-2607</v>
      </c>
      <c r="DE402" s="1267">
        <f t="shared" si="461"/>
        <v>-14489</v>
      </c>
      <c r="DF402" s="1267">
        <f t="shared" si="461"/>
        <v>3977</v>
      </c>
      <c r="DG402" s="1267">
        <f t="shared" si="461"/>
        <v>-203</v>
      </c>
      <c r="DH402" s="1267">
        <f t="shared" si="461"/>
        <v>4579</v>
      </c>
      <c r="DI402" s="1267">
        <f t="shared" ref="DI402:DJ402" si="462">SUM(DI393:DI401)</f>
        <v>-2911</v>
      </c>
      <c r="DJ402" s="1267">
        <f t="shared" si="462"/>
        <v>-3581</v>
      </c>
      <c r="DK402" s="1267">
        <f t="shared" ref="DK402:DL402" si="463">SUM(DK393:DK401)</f>
        <v>-4821</v>
      </c>
      <c r="DL402" s="1267">
        <f t="shared" si="463"/>
        <v>-1316</v>
      </c>
    </row>
    <row r="403" spans="1:116" ht="12.75" customHeight="1">
      <c r="A403" s="1539"/>
      <c r="B403" s="1642"/>
      <c r="C403" s="1642"/>
      <c r="D403" s="1642"/>
      <c r="E403" s="1641"/>
      <c r="F403" s="1642"/>
      <c r="G403" s="1642"/>
      <c r="H403" s="1642"/>
      <c r="I403" s="1642"/>
      <c r="J403" s="1642"/>
      <c r="K403" s="1681"/>
      <c r="L403" s="1642"/>
      <c r="M403" s="1642"/>
      <c r="N403" s="1642"/>
      <c r="O403" s="1642"/>
      <c r="P403" s="1642"/>
      <c r="Q403" s="1642"/>
      <c r="R403" s="1642"/>
      <c r="S403" s="1642"/>
      <c r="T403" s="1642"/>
      <c r="U403" s="1642"/>
      <c r="V403" s="1642"/>
      <c r="W403" s="1642"/>
      <c r="X403" s="1642"/>
      <c r="Y403" s="1642"/>
      <c r="Z403" s="1642"/>
      <c r="AA403" s="1642"/>
      <c r="AB403" s="1642"/>
      <c r="AC403" s="1642"/>
      <c r="AD403" s="1642"/>
      <c r="AE403" s="1642"/>
      <c r="AF403" s="1641"/>
      <c r="AG403" s="1642"/>
      <c r="AH403" s="1642"/>
      <c r="AI403" s="1642"/>
      <c r="AJ403" s="1641"/>
      <c r="AK403" s="1642"/>
      <c r="AL403" s="1642"/>
      <c r="AM403" s="1642"/>
      <c r="AN403" s="1641"/>
      <c r="AO403" s="1642">
        <f>AO402-AO401-AO399-AO398-AO397-AO396-AO395-AO393</f>
        <v>0</v>
      </c>
      <c r="AP403" s="1642">
        <f>AP402-AP401-AP399-AP398-AP397-AP396-AP395-AP393</f>
        <v>0</v>
      </c>
      <c r="AQ403" s="1642"/>
      <c r="AR403" s="1641"/>
      <c r="AS403" s="1642">
        <f t="shared" ref="AS403:BE403" si="464">AS402-AS401-AS399-AS398-AS397-AS396-AS395-AS393</f>
        <v>0</v>
      </c>
      <c r="AT403" s="1642">
        <f t="shared" si="464"/>
        <v>0</v>
      </c>
      <c r="AU403" s="1642">
        <f t="shared" si="464"/>
        <v>0</v>
      </c>
      <c r="AV403" s="1641">
        <f t="shared" si="464"/>
        <v>0</v>
      </c>
      <c r="AW403" s="1642">
        <f t="shared" si="464"/>
        <v>0</v>
      </c>
      <c r="AX403" s="1642">
        <f t="shared" si="464"/>
        <v>0</v>
      </c>
      <c r="AY403" s="1642">
        <f t="shared" si="464"/>
        <v>0</v>
      </c>
      <c r="AZ403" s="1641">
        <f t="shared" si="464"/>
        <v>0</v>
      </c>
      <c r="BA403" s="1642">
        <f t="shared" si="464"/>
        <v>0</v>
      </c>
      <c r="BB403" s="1642">
        <f t="shared" si="464"/>
        <v>0</v>
      </c>
      <c r="BC403" s="1642">
        <f t="shared" si="464"/>
        <v>0</v>
      </c>
      <c r="BD403" s="1641">
        <f t="shared" si="464"/>
        <v>0</v>
      </c>
      <c r="BE403" s="1642">
        <f t="shared" si="464"/>
        <v>0</v>
      </c>
      <c r="BF403" s="1642"/>
      <c r="BG403" s="1642"/>
      <c r="BH403" s="1641"/>
      <c r="BI403" s="1642"/>
      <c r="BJ403" s="1642"/>
      <c r="BK403" s="1642"/>
      <c r="BL403" s="1641"/>
      <c r="BM403" s="1642"/>
      <c r="BN403" s="1642"/>
      <c r="BO403" s="1642"/>
      <c r="BP403" s="1641"/>
      <c r="BQ403" s="1642"/>
      <c r="BR403" s="1642"/>
      <c r="BS403" s="1642"/>
      <c r="BT403" s="1641"/>
      <c r="BU403" s="1642"/>
      <c r="BV403" s="1642"/>
      <c r="BW403" s="1642"/>
      <c r="BX403" s="1633"/>
      <c r="BY403" s="1634"/>
      <c r="BZ403" s="1634"/>
      <c r="CA403" s="1642"/>
      <c r="CB403" s="1641"/>
      <c r="CC403" s="1642"/>
      <c r="CD403" s="1642"/>
      <c r="CE403" s="1642"/>
      <c r="CF403" s="1641"/>
      <c r="CG403" s="1642"/>
      <c r="CH403" s="1642"/>
      <c r="CI403" s="1642"/>
      <c r="CJ403" s="1641"/>
      <c r="CK403" s="1642"/>
      <c r="CL403" s="1642"/>
      <c r="CM403" s="1681"/>
      <c r="CN403" s="1672"/>
      <c r="CO403" s="1672"/>
      <c r="CP403" s="1672"/>
      <c r="CQ403" s="1681"/>
      <c r="CR403" s="1672"/>
      <c r="CS403" s="1672"/>
      <c r="CT403" s="1672"/>
      <c r="CU403" s="1681"/>
      <c r="CV403" s="1672"/>
      <c r="CW403" s="1672"/>
      <c r="CX403" s="1672"/>
      <c r="CY403" s="1681"/>
      <c r="CZ403" s="1672"/>
      <c r="DA403" s="1672"/>
      <c r="DB403" s="1672"/>
      <c r="DC403" s="1672"/>
      <c r="DD403" s="1672"/>
      <c r="DE403" s="1672"/>
      <c r="DF403" s="1672"/>
      <c r="DG403" s="1672"/>
      <c r="DH403" s="1672"/>
      <c r="DI403" s="1672"/>
      <c r="DJ403" s="1672"/>
      <c r="DK403" s="1672"/>
      <c r="DL403" s="1672"/>
    </row>
    <row r="404" spans="1:116" ht="12.75" hidden="1" customHeight="1">
      <c r="A404" s="1539"/>
      <c r="B404" s="1642"/>
      <c r="C404" s="1642"/>
      <c r="D404" s="1642"/>
      <c r="E404" s="1641"/>
      <c r="F404" s="1642"/>
      <c r="G404" s="1642"/>
      <c r="H404" s="1642"/>
      <c r="I404" s="1642"/>
      <c r="J404" s="1642"/>
      <c r="K404" s="1681"/>
      <c r="L404" s="1642"/>
      <c r="M404" s="1642"/>
      <c r="N404" s="1642"/>
      <c r="O404" s="1642"/>
      <c r="P404" s="1642"/>
      <c r="Q404" s="1642"/>
      <c r="R404" s="1642"/>
      <c r="S404" s="1642"/>
      <c r="T404" s="1642"/>
      <c r="U404" s="1642"/>
      <c r="V404" s="1642"/>
      <c r="W404" s="1642"/>
      <c r="X404" s="1642"/>
      <c r="Y404" s="1642"/>
      <c r="Z404" s="1642"/>
      <c r="AA404" s="1642"/>
      <c r="AB404" s="1642"/>
      <c r="AC404" s="1642"/>
      <c r="AD404" s="1642"/>
      <c r="AE404" s="1642"/>
      <c r="AF404" s="1641"/>
      <c r="AG404" s="1642"/>
      <c r="AH404" s="1642"/>
      <c r="AI404" s="1642"/>
      <c r="AJ404" s="1641"/>
      <c r="AK404" s="1642"/>
      <c r="AL404" s="1642"/>
      <c r="AM404" s="1642"/>
      <c r="AN404" s="1641"/>
      <c r="AO404" s="1642"/>
      <c r="AP404" s="1642"/>
      <c r="AQ404" s="1642"/>
      <c r="AR404" s="1641"/>
      <c r="AS404" s="1642"/>
      <c r="AT404" s="1642"/>
      <c r="AU404" s="1642"/>
      <c r="AV404" s="1641"/>
      <c r="AW404" s="1642"/>
      <c r="AX404" s="1642"/>
      <c r="AY404" s="1642"/>
      <c r="AZ404" s="1641"/>
      <c r="BA404" s="1642"/>
      <c r="BB404" s="1642"/>
      <c r="BC404" s="1642"/>
      <c r="BD404" s="1641"/>
      <c r="BE404" s="1642"/>
      <c r="BF404" s="1642"/>
      <c r="BG404" s="1642"/>
      <c r="BH404" s="1641"/>
      <c r="BI404" s="1642"/>
      <c r="BJ404" s="1642"/>
      <c r="BK404" s="1642"/>
      <c r="BL404" s="1641"/>
      <c r="BM404" s="1642"/>
      <c r="BN404" s="1642"/>
      <c r="BO404" s="1642"/>
      <c r="BP404" s="1641"/>
      <c r="BQ404" s="1642"/>
      <c r="BR404" s="1642"/>
      <c r="BS404" s="1642"/>
      <c r="BT404" s="1641"/>
      <c r="BU404" s="1642"/>
      <c r="BV404" s="1642"/>
      <c r="BW404" s="1642"/>
      <c r="BX404" s="1633"/>
      <c r="BY404" s="1634"/>
      <c r="BZ404" s="1634"/>
      <c r="CA404" s="1642"/>
      <c r="CB404" s="1641"/>
      <c r="CC404" s="1642"/>
      <c r="CD404" s="1642"/>
      <c r="CE404" s="1642"/>
      <c r="CF404" s="1641"/>
      <c r="CG404" s="1642"/>
      <c r="CH404" s="1642"/>
      <c r="CI404" s="1642"/>
      <c r="CJ404" s="1641"/>
      <c r="CK404" s="1642"/>
      <c r="CL404" s="1642"/>
      <c r="CM404" s="1681"/>
      <c r="CN404" s="1672"/>
      <c r="CO404" s="1672"/>
      <c r="CP404" s="1672"/>
      <c r="CQ404" s="1681"/>
      <c r="CR404" s="1672"/>
      <c r="CS404" s="1672"/>
      <c r="CT404" s="1672"/>
      <c r="CU404" s="1681"/>
      <c r="CV404" s="1672"/>
      <c r="CW404" s="1672"/>
      <c r="CX404" s="1672"/>
      <c r="CY404" s="1681"/>
      <c r="CZ404" s="1672"/>
      <c r="DA404" s="1672"/>
      <c r="DB404" s="1672"/>
      <c r="DC404" s="1672"/>
      <c r="DD404" s="1672"/>
      <c r="DE404" s="1672"/>
      <c r="DF404" s="1672"/>
      <c r="DG404" s="1672"/>
      <c r="DH404" s="1672"/>
      <c r="DI404" s="1672"/>
      <c r="DJ404" s="1672"/>
      <c r="DK404" s="1672"/>
      <c r="DL404" s="1672"/>
    </row>
    <row r="405" spans="1:116" ht="12.75" customHeight="1">
      <c r="A405" s="954" t="s">
        <v>703</v>
      </c>
      <c r="B405" s="1693"/>
      <c r="C405" s="1693"/>
      <c r="D405" s="1693"/>
      <c r="E405" s="1694"/>
      <c r="F405" s="1693"/>
      <c r="G405" s="1693"/>
      <c r="H405" s="1693"/>
      <c r="I405" s="1693"/>
      <c r="J405" s="1693"/>
      <c r="K405" s="1695"/>
      <c r="L405" s="1693"/>
      <c r="M405" s="1693"/>
      <c r="N405" s="1693"/>
      <c r="O405" s="1693"/>
      <c r="P405" s="1693"/>
      <c r="Q405" s="1693"/>
      <c r="R405" s="1693"/>
      <c r="S405" s="1693"/>
      <c r="T405" s="1693"/>
      <c r="U405" s="1693"/>
      <c r="V405" s="1693"/>
      <c r="W405" s="1693"/>
      <c r="X405" s="1693"/>
      <c r="Y405" s="1693"/>
      <c r="Z405" s="1693"/>
      <c r="AA405" s="1693"/>
      <c r="AB405" s="1693"/>
      <c r="AC405" s="1693"/>
      <c r="AD405" s="1693"/>
      <c r="AE405" s="1693"/>
      <c r="AF405" s="1694"/>
      <c r="AG405" s="1693"/>
      <c r="AH405" s="1693"/>
      <c r="AI405" s="1693"/>
      <c r="AJ405" s="1694"/>
      <c r="AK405" s="1693"/>
      <c r="AL405" s="1693"/>
      <c r="AM405" s="1693"/>
      <c r="AN405" s="1694"/>
      <c r="AO405" s="1693">
        <f>AO381+AO390+AO402</f>
        <v>-23</v>
      </c>
      <c r="AP405" s="1693">
        <f>AP381+AP390+AP402</f>
        <v>3114</v>
      </c>
      <c r="AQ405" s="1693"/>
      <c r="AR405" s="1694"/>
      <c r="AS405" s="1693">
        <f>AS381+AS390+AS402</f>
        <v>-687</v>
      </c>
      <c r="AT405" s="1693">
        <f>AT381+AT390+AT402</f>
        <v>-1205</v>
      </c>
      <c r="AU405" s="1693">
        <f>AU381+AU390+AU402</f>
        <v>-1276</v>
      </c>
      <c r="AV405" s="1694">
        <f>AV381+AV390+AV402</f>
        <v>-68</v>
      </c>
      <c r="AW405" s="1693">
        <v>1859</v>
      </c>
      <c r="AX405" s="1693">
        <v>608</v>
      </c>
      <c r="AY405" s="1693">
        <v>222</v>
      </c>
      <c r="AZ405" s="1694">
        <v>36</v>
      </c>
      <c r="BA405" s="1654">
        <v>1983</v>
      </c>
      <c r="BB405" s="1693">
        <v>4672</v>
      </c>
      <c r="BC405" s="1693">
        <v>459</v>
      </c>
      <c r="BD405" s="1694">
        <v>2702</v>
      </c>
      <c r="BE405" s="1693">
        <f>-618-BD405</f>
        <v>-3320</v>
      </c>
      <c r="BF405" s="1693">
        <f>-693-SUM(BD405:BE405)</f>
        <v>-75</v>
      </c>
      <c r="BG405" s="1693">
        <f>-728-SUM(BD405:BF405)</f>
        <v>-35</v>
      </c>
      <c r="BH405" s="1694">
        <v>-94</v>
      </c>
      <c r="BI405" s="1693">
        <f>-86-BH405</f>
        <v>8</v>
      </c>
      <c r="BJ405" s="1693">
        <f>-53-SUM(BH405:BI405)</f>
        <v>33</v>
      </c>
      <c r="BK405" s="1693">
        <f>1621-SUM(BH405:BJ405)</f>
        <v>1674</v>
      </c>
      <c r="BL405" s="1694">
        <v>-1598</v>
      </c>
      <c r="BM405" s="1693">
        <f>-885-BL405</f>
        <v>713</v>
      </c>
      <c r="BN405" s="1693">
        <f>-1674-SUM(BL405:BM405)</f>
        <v>-789</v>
      </c>
      <c r="BO405" s="1693">
        <f>-1514-SUM(BL405:BN405)</f>
        <v>160</v>
      </c>
      <c r="BP405" s="1641">
        <f t="shared" ref="BP405:CU405" si="465">BP381+BP390+BP402</f>
        <v>473</v>
      </c>
      <c r="BQ405" s="1642">
        <f t="shared" si="465"/>
        <v>-63</v>
      </c>
      <c r="BR405" s="1642">
        <f t="shared" si="465"/>
        <v>660</v>
      </c>
      <c r="BS405" s="1642">
        <f t="shared" si="465"/>
        <v>1373</v>
      </c>
      <c r="BT405" s="1641">
        <f t="shared" si="465"/>
        <v>-1918</v>
      </c>
      <c r="BU405" s="1642">
        <f t="shared" si="465"/>
        <v>-645</v>
      </c>
      <c r="BV405" s="1642">
        <f t="shared" si="465"/>
        <v>59</v>
      </c>
      <c r="BW405" s="1642">
        <f t="shared" si="465"/>
        <v>438</v>
      </c>
      <c r="BX405" s="1641">
        <f t="shared" si="465"/>
        <v>4332</v>
      </c>
      <c r="BY405" s="1642">
        <f t="shared" si="465"/>
        <v>-4903</v>
      </c>
      <c r="BZ405" s="1642">
        <f t="shared" si="465"/>
        <v>114</v>
      </c>
      <c r="CA405" s="1642">
        <f t="shared" si="465"/>
        <v>9086</v>
      </c>
      <c r="CB405" s="1641">
        <f t="shared" si="465"/>
        <v>-5803</v>
      </c>
      <c r="CC405" s="1642">
        <f t="shared" si="465"/>
        <v>-3159</v>
      </c>
      <c r="CD405" s="1642">
        <f t="shared" si="465"/>
        <v>396</v>
      </c>
      <c r="CE405" s="1642">
        <f t="shared" si="465"/>
        <v>793</v>
      </c>
      <c r="CF405" s="1641">
        <f t="shared" si="465"/>
        <v>1028</v>
      </c>
      <c r="CG405" s="1642">
        <f t="shared" si="465"/>
        <v>1724</v>
      </c>
      <c r="CH405" s="1642">
        <f t="shared" si="465"/>
        <v>633</v>
      </c>
      <c r="CI405" s="1642">
        <f t="shared" si="465"/>
        <v>1274</v>
      </c>
      <c r="CJ405" s="1641">
        <f t="shared" si="465"/>
        <v>7339</v>
      </c>
      <c r="CK405" s="1642">
        <f t="shared" si="465"/>
        <v>-7767</v>
      </c>
      <c r="CL405" s="1642">
        <f t="shared" si="465"/>
        <v>4084</v>
      </c>
      <c r="CM405" s="1681">
        <f t="shared" si="465"/>
        <v>3038</v>
      </c>
      <c r="CN405" s="1672">
        <f t="shared" si="465"/>
        <v>-7453</v>
      </c>
      <c r="CO405" s="1672">
        <f t="shared" si="465"/>
        <v>4092</v>
      </c>
      <c r="CP405" s="1672">
        <f t="shared" si="465"/>
        <v>-287</v>
      </c>
      <c r="CQ405" s="1681">
        <f t="shared" si="465"/>
        <v>-6621</v>
      </c>
      <c r="CR405" s="1672">
        <f t="shared" si="465"/>
        <v>2382</v>
      </c>
      <c r="CS405" s="1672">
        <f t="shared" si="465"/>
        <v>-3687</v>
      </c>
      <c r="CT405" s="1672">
        <f t="shared" si="465"/>
        <v>54922</v>
      </c>
      <c r="CU405" s="1681">
        <f t="shared" si="465"/>
        <v>-3182</v>
      </c>
      <c r="CV405" s="1672">
        <f t="shared" ref="CV405:DA405" si="466">CV381+CV390+CV402</f>
        <v>-50621</v>
      </c>
      <c r="CW405" s="1672">
        <f t="shared" si="466"/>
        <v>2869</v>
      </c>
      <c r="CX405" s="1672">
        <f t="shared" si="466"/>
        <v>1442</v>
      </c>
      <c r="CY405" s="1681">
        <f t="shared" si="466"/>
        <v>3380</v>
      </c>
      <c r="CZ405" s="1672">
        <f t="shared" si="466"/>
        <v>-6212</v>
      </c>
      <c r="DA405" s="1672">
        <f t="shared" si="466"/>
        <v>-1378</v>
      </c>
      <c r="DB405" s="1672">
        <f t="shared" ref="DB405:DG405" si="467">DB381+DB390+DB402</f>
        <v>867</v>
      </c>
      <c r="DC405" s="1672">
        <f t="shared" si="467"/>
        <v>595</v>
      </c>
      <c r="DD405" s="1672">
        <f t="shared" si="467"/>
        <v>1376</v>
      </c>
      <c r="DE405" s="1672">
        <f t="shared" si="467"/>
        <v>-2989</v>
      </c>
      <c r="DF405" s="1672">
        <f t="shared" si="467"/>
        <v>3584</v>
      </c>
      <c r="DG405" s="1672">
        <f t="shared" si="467"/>
        <v>-3561</v>
      </c>
      <c r="DH405" s="1672">
        <f t="shared" ref="DH405:DI405" si="468">DH381+DH390+DH402</f>
        <v>1427</v>
      </c>
      <c r="DI405" s="1672">
        <f t="shared" si="468"/>
        <v>276</v>
      </c>
      <c r="DJ405" s="1672">
        <f t="shared" ref="DJ405:DK405" si="469">DJ381+DJ390+DJ402</f>
        <v>-96</v>
      </c>
      <c r="DK405" s="1672">
        <f t="shared" si="469"/>
        <v>-2408</v>
      </c>
      <c r="DL405" s="1672">
        <f t="shared" ref="DL405" si="470">DL381+DL390+DL402</f>
        <v>856</v>
      </c>
    </row>
    <row r="406" spans="1:116" ht="12.75" customHeight="1">
      <c r="A406" s="954" t="s">
        <v>1396</v>
      </c>
      <c r="B406" s="1693"/>
      <c r="C406" s="1693"/>
      <c r="D406" s="1693"/>
      <c r="E406" s="1694"/>
      <c r="F406" s="1693"/>
      <c r="G406" s="1693"/>
      <c r="H406" s="1693"/>
      <c r="I406" s="1693"/>
      <c r="J406" s="1693"/>
      <c r="K406" s="1695"/>
      <c r="L406" s="1693"/>
      <c r="M406" s="1693"/>
      <c r="N406" s="1693"/>
      <c r="O406" s="1693"/>
      <c r="P406" s="1693"/>
      <c r="Q406" s="1693"/>
      <c r="R406" s="1693"/>
      <c r="S406" s="1693"/>
      <c r="T406" s="1693"/>
      <c r="U406" s="1693"/>
      <c r="V406" s="1693"/>
      <c r="W406" s="1693"/>
      <c r="X406" s="1693"/>
      <c r="Y406" s="1693"/>
      <c r="Z406" s="1693"/>
      <c r="AA406" s="1693"/>
      <c r="AB406" s="1693"/>
      <c r="AC406" s="1693"/>
      <c r="AD406" s="1693"/>
      <c r="AE406" s="1693"/>
      <c r="AF406" s="1694"/>
      <c r="AG406" s="1693"/>
      <c r="AH406" s="1693"/>
      <c r="AI406" s="1693"/>
      <c r="AJ406" s="1694"/>
      <c r="AK406" s="1693"/>
      <c r="AL406" s="1693"/>
      <c r="AM406" s="1693"/>
      <c r="AN406" s="1694">
        <v>704</v>
      </c>
      <c r="AO406" s="1693">
        <v>704</v>
      </c>
      <c r="AP406" s="1693">
        <v>704</v>
      </c>
      <c r="AQ406" s="1693"/>
      <c r="AR406" s="1694">
        <v>2033</v>
      </c>
      <c r="AS406" s="1693">
        <v>2033</v>
      </c>
      <c r="AT406" s="1693">
        <v>2033</v>
      </c>
      <c r="AU406" s="1693">
        <f>AT406</f>
        <v>2033</v>
      </c>
      <c r="AV406" s="1694">
        <f>AU407</f>
        <v>757</v>
      </c>
      <c r="AW406" s="1693">
        <f>AV406</f>
        <v>757</v>
      </c>
      <c r="AX406" s="1693">
        <v>757</v>
      </c>
      <c r="AY406" s="1693">
        <v>757</v>
      </c>
      <c r="AZ406" s="1694">
        <v>979</v>
      </c>
      <c r="BA406" s="1654">
        <v>979</v>
      </c>
      <c r="BB406" s="1693">
        <v>979</v>
      </c>
      <c r="BC406" s="1693">
        <v>979</v>
      </c>
      <c r="BD406" s="1694">
        <v>1397</v>
      </c>
      <c r="BE406" s="1693">
        <f t="shared" ref="BE406:DL406" si="471">BD407</f>
        <v>4099</v>
      </c>
      <c r="BF406" s="1693">
        <f t="shared" si="471"/>
        <v>779</v>
      </c>
      <c r="BG406" s="1693">
        <f t="shared" si="471"/>
        <v>704</v>
      </c>
      <c r="BH406" s="1694">
        <f t="shared" si="471"/>
        <v>669</v>
      </c>
      <c r="BI406" s="1693">
        <f t="shared" si="471"/>
        <v>575</v>
      </c>
      <c r="BJ406" s="1693">
        <f t="shared" si="471"/>
        <v>583</v>
      </c>
      <c r="BK406" s="1693">
        <f t="shared" si="471"/>
        <v>616</v>
      </c>
      <c r="BL406" s="1694">
        <f t="shared" si="471"/>
        <v>2290</v>
      </c>
      <c r="BM406" s="1693">
        <f t="shared" si="471"/>
        <v>692</v>
      </c>
      <c r="BN406" s="1693">
        <f t="shared" si="471"/>
        <v>1405</v>
      </c>
      <c r="BO406" s="1693">
        <f t="shared" si="471"/>
        <v>616</v>
      </c>
      <c r="BP406" s="1641">
        <f t="shared" si="471"/>
        <v>776</v>
      </c>
      <c r="BQ406" s="1642">
        <f t="shared" si="471"/>
        <v>1249</v>
      </c>
      <c r="BR406" s="1642">
        <f t="shared" si="471"/>
        <v>1186</v>
      </c>
      <c r="BS406" s="1642">
        <f t="shared" si="471"/>
        <v>1846</v>
      </c>
      <c r="BT406" s="1641">
        <f t="shared" si="471"/>
        <v>3219</v>
      </c>
      <c r="BU406" s="1642">
        <f t="shared" si="471"/>
        <v>1301</v>
      </c>
      <c r="BV406" s="1642">
        <f t="shared" si="471"/>
        <v>656</v>
      </c>
      <c r="BW406" s="1642">
        <f t="shared" si="471"/>
        <v>715</v>
      </c>
      <c r="BX406" s="1641">
        <f t="shared" si="471"/>
        <v>1153</v>
      </c>
      <c r="BY406" s="1642">
        <f t="shared" si="471"/>
        <v>5485</v>
      </c>
      <c r="BZ406" s="1642">
        <f t="shared" si="471"/>
        <v>582</v>
      </c>
      <c r="CA406" s="1642">
        <f t="shared" si="471"/>
        <v>696</v>
      </c>
      <c r="CB406" s="1641">
        <f t="shared" si="471"/>
        <v>9782</v>
      </c>
      <c r="CC406" s="1642">
        <f t="shared" si="471"/>
        <v>3979</v>
      </c>
      <c r="CD406" s="1642">
        <f t="shared" si="471"/>
        <v>820</v>
      </c>
      <c r="CE406" s="1642">
        <f t="shared" si="471"/>
        <v>1216</v>
      </c>
      <c r="CF406" s="1641">
        <f t="shared" si="471"/>
        <v>2009</v>
      </c>
      <c r="CG406" s="1642">
        <f t="shared" si="471"/>
        <v>3037</v>
      </c>
      <c r="CH406" s="1642">
        <f t="shared" si="471"/>
        <v>4761</v>
      </c>
      <c r="CI406" s="1642">
        <f t="shared" si="471"/>
        <v>5394</v>
      </c>
      <c r="CJ406" s="1641">
        <f t="shared" si="471"/>
        <v>6668</v>
      </c>
      <c r="CK406" s="1642">
        <f t="shared" si="471"/>
        <v>14007</v>
      </c>
      <c r="CL406" s="1642">
        <f t="shared" si="471"/>
        <v>6240</v>
      </c>
      <c r="CM406" s="1681">
        <f t="shared" si="471"/>
        <v>10324</v>
      </c>
      <c r="CN406" s="1672">
        <f t="shared" si="471"/>
        <v>13362</v>
      </c>
      <c r="CO406" s="1672">
        <f t="shared" si="471"/>
        <v>5909</v>
      </c>
      <c r="CP406" s="1672">
        <f t="shared" si="471"/>
        <v>10001</v>
      </c>
      <c r="CQ406" s="1681">
        <f t="shared" si="471"/>
        <v>9714</v>
      </c>
      <c r="CR406" s="1672">
        <f t="shared" si="471"/>
        <v>3093</v>
      </c>
      <c r="CS406" s="1672">
        <f t="shared" si="471"/>
        <v>5475</v>
      </c>
      <c r="CT406" s="1672">
        <f t="shared" si="471"/>
        <v>1788</v>
      </c>
      <c r="CU406" s="1681">
        <f t="shared" si="471"/>
        <v>56710</v>
      </c>
      <c r="CV406" s="1672">
        <f t="shared" si="471"/>
        <v>53528</v>
      </c>
      <c r="CW406" s="1672">
        <f t="shared" si="471"/>
        <v>2907</v>
      </c>
      <c r="CX406" s="1672">
        <f t="shared" si="471"/>
        <v>5776</v>
      </c>
      <c r="CY406" s="1681">
        <f t="shared" si="471"/>
        <v>7218</v>
      </c>
      <c r="CZ406" s="1672">
        <f t="shared" si="471"/>
        <v>10598</v>
      </c>
      <c r="DA406" s="1672">
        <f t="shared" si="471"/>
        <v>4386</v>
      </c>
      <c r="DB406" s="1672">
        <f t="shared" si="471"/>
        <v>3008</v>
      </c>
      <c r="DC406" s="1672">
        <f t="shared" si="471"/>
        <v>3875</v>
      </c>
      <c r="DD406" s="1672">
        <f t="shared" si="471"/>
        <v>4470</v>
      </c>
      <c r="DE406" s="1672">
        <f t="shared" si="471"/>
        <v>5846</v>
      </c>
      <c r="DF406" s="1672">
        <f t="shared" si="471"/>
        <v>2857</v>
      </c>
      <c r="DG406" s="1672">
        <f t="shared" si="471"/>
        <v>6441</v>
      </c>
      <c r="DH406" s="1672">
        <f t="shared" si="471"/>
        <v>2880</v>
      </c>
      <c r="DI406" s="1672">
        <f t="shared" si="471"/>
        <v>4307</v>
      </c>
      <c r="DJ406" s="1672">
        <f t="shared" si="471"/>
        <v>4583</v>
      </c>
      <c r="DK406" s="1672">
        <f t="shared" si="471"/>
        <v>4487</v>
      </c>
      <c r="DL406" s="1672">
        <f t="shared" si="471"/>
        <v>2079</v>
      </c>
    </row>
    <row r="407" spans="1:116" ht="12.75" customHeight="1">
      <c r="A407" s="1655" t="s">
        <v>1397</v>
      </c>
      <c r="B407" s="1772"/>
      <c r="C407" s="1772"/>
      <c r="D407" s="1772"/>
      <c r="E407" s="1773"/>
      <c r="F407" s="1772"/>
      <c r="G407" s="1772"/>
      <c r="H407" s="1772"/>
      <c r="I407" s="1772"/>
      <c r="J407" s="1772"/>
      <c r="K407" s="1774"/>
      <c r="L407" s="1772"/>
      <c r="M407" s="1772"/>
      <c r="N407" s="1772"/>
      <c r="O407" s="1772"/>
      <c r="P407" s="1772"/>
      <c r="Q407" s="1772"/>
      <c r="R407" s="1772"/>
      <c r="S407" s="1772"/>
      <c r="T407" s="1772"/>
      <c r="U407" s="1772"/>
      <c r="V407" s="1772"/>
      <c r="W407" s="1772"/>
      <c r="X407" s="1772"/>
      <c r="Y407" s="1772"/>
      <c r="Z407" s="1772"/>
      <c r="AA407" s="1772"/>
      <c r="AB407" s="1772"/>
      <c r="AC407" s="1772"/>
      <c r="AD407" s="1772"/>
      <c r="AE407" s="1772"/>
      <c r="AF407" s="1773"/>
      <c r="AG407" s="1772"/>
      <c r="AH407" s="1772"/>
      <c r="AI407" s="1772"/>
      <c r="AJ407" s="1773"/>
      <c r="AK407" s="1772"/>
      <c r="AL407" s="1772"/>
      <c r="AM407" s="1772"/>
      <c r="AN407" s="1773"/>
      <c r="AO407" s="1772">
        <f>AO406+AO405</f>
        <v>681</v>
      </c>
      <c r="AP407" s="1772">
        <f>AP406+AP405</f>
        <v>3818</v>
      </c>
      <c r="AQ407" s="1772"/>
      <c r="AR407" s="1773"/>
      <c r="AS407" s="1772">
        <f t="shared" ref="AS407:AZ407" si="472">AS406+AS405</f>
        <v>1346</v>
      </c>
      <c r="AT407" s="1772">
        <f t="shared" si="472"/>
        <v>828</v>
      </c>
      <c r="AU407" s="1772">
        <f t="shared" si="472"/>
        <v>757</v>
      </c>
      <c r="AV407" s="1773">
        <f t="shared" si="472"/>
        <v>689</v>
      </c>
      <c r="AW407" s="1772">
        <f t="shared" si="472"/>
        <v>2616</v>
      </c>
      <c r="AX407" s="1772">
        <f t="shared" si="472"/>
        <v>1365</v>
      </c>
      <c r="AY407" s="1772">
        <f t="shared" si="472"/>
        <v>979</v>
      </c>
      <c r="AZ407" s="1773">
        <f t="shared" si="472"/>
        <v>1015</v>
      </c>
      <c r="BA407" s="1656">
        <v>2962</v>
      </c>
      <c r="BB407" s="1772">
        <v>5651</v>
      </c>
      <c r="BC407" s="1772">
        <v>1438</v>
      </c>
      <c r="BD407" s="1773">
        <f t="shared" ref="BD407:CV407" si="473">BD405+BD406</f>
        <v>4099</v>
      </c>
      <c r="BE407" s="1772">
        <f t="shared" si="473"/>
        <v>779</v>
      </c>
      <c r="BF407" s="1772">
        <f t="shared" si="473"/>
        <v>704</v>
      </c>
      <c r="BG407" s="1772">
        <f t="shared" si="473"/>
        <v>669</v>
      </c>
      <c r="BH407" s="1773">
        <f t="shared" si="473"/>
        <v>575</v>
      </c>
      <c r="BI407" s="1772">
        <f t="shared" si="473"/>
        <v>583</v>
      </c>
      <c r="BJ407" s="1772">
        <f t="shared" si="473"/>
        <v>616</v>
      </c>
      <c r="BK407" s="1772">
        <f t="shared" si="473"/>
        <v>2290</v>
      </c>
      <c r="BL407" s="1773">
        <f t="shared" si="473"/>
        <v>692</v>
      </c>
      <c r="BM407" s="1772">
        <f t="shared" si="473"/>
        <v>1405</v>
      </c>
      <c r="BN407" s="1772">
        <f t="shared" si="473"/>
        <v>616</v>
      </c>
      <c r="BO407" s="1772">
        <f t="shared" si="473"/>
        <v>776</v>
      </c>
      <c r="BP407" s="1775">
        <f t="shared" si="473"/>
        <v>1249</v>
      </c>
      <c r="BQ407" s="1671">
        <f t="shared" si="473"/>
        <v>1186</v>
      </c>
      <c r="BR407" s="1671">
        <f t="shared" si="473"/>
        <v>1846</v>
      </c>
      <c r="BS407" s="1671">
        <f t="shared" si="473"/>
        <v>3219</v>
      </c>
      <c r="BT407" s="1775">
        <f t="shared" si="473"/>
        <v>1301</v>
      </c>
      <c r="BU407" s="1671">
        <f t="shared" si="473"/>
        <v>656</v>
      </c>
      <c r="BV407" s="1671">
        <f t="shared" si="473"/>
        <v>715</v>
      </c>
      <c r="BW407" s="1671">
        <f t="shared" si="473"/>
        <v>1153</v>
      </c>
      <c r="BX407" s="1775">
        <f t="shared" si="473"/>
        <v>5485</v>
      </c>
      <c r="BY407" s="1671">
        <f t="shared" si="473"/>
        <v>582</v>
      </c>
      <c r="BZ407" s="1671">
        <f t="shared" si="473"/>
        <v>696</v>
      </c>
      <c r="CA407" s="1671">
        <f t="shared" si="473"/>
        <v>9782</v>
      </c>
      <c r="CB407" s="1775">
        <f t="shared" si="473"/>
        <v>3979</v>
      </c>
      <c r="CC407" s="1671">
        <f t="shared" si="473"/>
        <v>820</v>
      </c>
      <c r="CD407" s="1671">
        <f t="shared" si="473"/>
        <v>1216</v>
      </c>
      <c r="CE407" s="1671">
        <f t="shared" si="473"/>
        <v>2009</v>
      </c>
      <c r="CF407" s="1775">
        <f t="shared" si="473"/>
        <v>3037</v>
      </c>
      <c r="CG407" s="1671">
        <f t="shared" si="473"/>
        <v>4761</v>
      </c>
      <c r="CH407" s="1671">
        <f t="shared" si="473"/>
        <v>5394</v>
      </c>
      <c r="CI407" s="1671">
        <f t="shared" si="473"/>
        <v>6668</v>
      </c>
      <c r="CJ407" s="1775">
        <f t="shared" si="473"/>
        <v>14007</v>
      </c>
      <c r="CK407" s="1671">
        <f t="shared" si="473"/>
        <v>6240</v>
      </c>
      <c r="CL407" s="1671">
        <f t="shared" si="473"/>
        <v>10324</v>
      </c>
      <c r="CM407" s="1776">
        <f t="shared" si="473"/>
        <v>13362</v>
      </c>
      <c r="CN407" s="1671">
        <f t="shared" si="473"/>
        <v>5909</v>
      </c>
      <c r="CO407" s="1671">
        <f t="shared" si="473"/>
        <v>10001</v>
      </c>
      <c r="CP407" s="1671">
        <f t="shared" si="473"/>
        <v>9714</v>
      </c>
      <c r="CQ407" s="1776">
        <f t="shared" si="473"/>
        <v>3093</v>
      </c>
      <c r="CR407" s="1671">
        <f t="shared" si="473"/>
        <v>5475</v>
      </c>
      <c r="CS407" s="1671">
        <f t="shared" si="473"/>
        <v>1788</v>
      </c>
      <c r="CT407" s="1671">
        <f t="shared" si="473"/>
        <v>56710</v>
      </c>
      <c r="CU407" s="1776">
        <f t="shared" si="473"/>
        <v>53528</v>
      </c>
      <c r="CV407" s="1671">
        <f t="shared" si="473"/>
        <v>2907</v>
      </c>
      <c r="CW407" s="1671">
        <f t="shared" ref="CW407:DB407" si="474">CW405+CW406</f>
        <v>5776</v>
      </c>
      <c r="CX407" s="1671">
        <f t="shared" si="474"/>
        <v>7218</v>
      </c>
      <c r="CY407" s="1776">
        <f t="shared" si="474"/>
        <v>10598</v>
      </c>
      <c r="CZ407" s="1671">
        <f t="shared" si="474"/>
        <v>4386</v>
      </c>
      <c r="DA407" s="1671">
        <f t="shared" si="474"/>
        <v>3008</v>
      </c>
      <c r="DB407" s="1671">
        <f t="shared" si="474"/>
        <v>3875</v>
      </c>
      <c r="DC407" s="1671">
        <f t="shared" ref="DC407:DH407" si="475">DC405+DC406</f>
        <v>4470</v>
      </c>
      <c r="DD407" s="1671">
        <f t="shared" si="475"/>
        <v>5846</v>
      </c>
      <c r="DE407" s="1671">
        <f t="shared" si="475"/>
        <v>2857</v>
      </c>
      <c r="DF407" s="1671">
        <f t="shared" si="475"/>
        <v>6441</v>
      </c>
      <c r="DG407" s="1671">
        <f t="shared" si="475"/>
        <v>2880</v>
      </c>
      <c r="DH407" s="1671">
        <f t="shared" si="475"/>
        <v>4307</v>
      </c>
      <c r="DI407" s="1671">
        <f t="shared" ref="DI407:DJ407" si="476">DI405+DI406</f>
        <v>4583</v>
      </c>
      <c r="DJ407" s="1671">
        <f t="shared" si="476"/>
        <v>4487</v>
      </c>
      <c r="DK407" s="1671">
        <f t="shared" ref="DK407:DL407" si="477">DK405+DK406</f>
        <v>2079</v>
      </c>
      <c r="DL407" s="1671">
        <f t="shared" si="477"/>
        <v>2935</v>
      </c>
    </row>
    <row r="408" spans="1:116" ht="12.75" hidden="1" customHeight="1">
      <c r="A408" s="1539"/>
      <c r="B408" s="1642"/>
      <c r="C408" s="1642"/>
      <c r="D408" s="1642"/>
      <c r="E408" s="1641"/>
      <c r="F408" s="1642"/>
      <c r="G408" s="1642"/>
      <c r="H408" s="1642"/>
      <c r="I408" s="1642"/>
      <c r="J408" s="1642"/>
      <c r="K408" s="1681"/>
      <c r="L408" s="1642"/>
      <c r="M408" s="1642"/>
      <c r="N408" s="1642"/>
      <c r="O408" s="1642"/>
      <c r="P408" s="1642"/>
      <c r="Q408" s="1642"/>
      <c r="R408" s="1642"/>
      <c r="S408" s="1642"/>
      <c r="T408" s="1642"/>
      <c r="U408" s="1642"/>
      <c r="V408" s="1642"/>
      <c r="W408" s="1642"/>
      <c r="X408" s="1642"/>
      <c r="Y408" s="1642"/>
      <c r="Z408" s="1642"/>
      <c r="AA408" s="1642"/>
      <c r="AB408" s="1642"/>
      <c r="AC408" s="1642"/>
      <c r="AD408" s="1642"/>
      <c r="AE408" s="1642"/>
      <c r="AF408" s="1641"/>
      <c r="AG408" s="1642"/>
      <c r="AH408" s="1642"/>
      <c r="AI408" s="1642"/>
      <c r="AJ408" s="1641"/>
      <c r="AK408" s="1642"/>
      <c r="AL408" s="1642"/>
      <c r="AM408" s="1642"/>
      <c r="AN408" s="1641"/>
      <c r="AO408" s="1642"/>
      <c r="AP408" s="1642"/>
      <c r="AQ408" s="1642"/>
      <c r="AR408" s="1641"/>
      <c r="AS408" s="1642"/>
      <c r="AT408" s="1642"/>
      <c r="AU408" s="1642"/>
      <c r="AV408" s="1641"/>
      <c r="AW408" s="1642"/>
      <c r="AX408" s="1642"/>
      <c r="AY408" s="1642"/>
      <c r="AZ408" s="1641"/>
      <c r="BA408" s="1642"/>
      <c r="BB408" s="1642"/>
      <c r="BC408" s="1642"/>
      <c r="BD408" s="1641"/>
      <c r="BE408" s="1642"/>
      <c r="BF408" s="1642"/>
      <c r="BG408" s="1642"/>
      <c r="BH408" s="1641"/>
      <c r="BI408" s="1642"/>
      <c r="BJ408" s="1642"/>
      <c r="BK408" s="1642"/>
      <c r="BL408" s="1641"/>
      <c r="BM408" s="1642"/>
      <c r="BN408" s="1642"/>
      <c r="BO408" s="1642"/>
      <c r="BP408" s="1641"/>
      <c r="BQ408" s="1642"/>
      <c r="BR408" s="1642"/>
      <c r="BS408" s="1642">
        <f>3219-BS407</f>
        <v>0</v>
      </c>
      <c r="BT408" s="1641"/>
      <c r="BU408" s="1642"/>
      <c r="BV408" s="1642"/>
      <c r="BW408" s="1642"/>
      <c r="BX408" s="1641"/>
      <c r="BY408" s="1642"/>
      <c r="BZ408" s="1642"/>
      <c r="CA408" s="1642"/>
      <c r="CB408" s="1641"/>
      <c r="CC408" s="1642"/>
      <c r="CD408" s="1642"/>
      <c r="CE408" s="1642"/>
      <c r="CF408" s="1641"/>
      <c r="CG408" s="1642"/>
      <c r="CH408" s="1642"/>
      <c r="CI408" s="1642"/>
      <c r="CJ408" s="1641"/>
      <c r="CK408" s="1642"/>
      <c r="CL408" s="1642"/>
      <c r="CM408" s="1681"/>
      <c r="CN408" s="1672"/>
      <c r="CO408" s="1672"/>
      <c r="CP408" s="1672"/>
      <c r="CQ408" s="1672"/>
      <c r="CR408" s="1672"/>
      <c r="CS408" s="1672"/>
      <c r="CT408" s="1672"/>
      <c r="CU408" s="1672"/>
      <c r="CV408" s="1642"/>
      <c r="CW408" s="1672"/>
      <c r="CX408" s="1672"/>
      <c r="CY408" s="1672"/>
      <c r="CZ408" s="1672"/>
      <c r="DA408" s="1672"/>
      <c r="DB408" s="1672"/>
      <c r="DC408" s="1672"/>
      <c r="DD408" s="1672"/>
      <c r="DE408" s="1672"/>
      <c r="DF408" s="1672"/>
      <c r="DG408" s="1672"/>
      <c r="DH408" s="1672"/>
      <c r="DI408" s="1672"/>
      <c r="DJ408" s="1672"/>
      <c r="DK408" s="1672"/>
      <c r="DL408" s="1672"/>
    </row>
    <row r="409" spans="1:116" ht="12.75" hidden="1" customHeight="1">
      <c r="A409" s="1539"/>
      <c r="B409" s="1642"/>
      <c r="C409" s="1642"/>
      <c r="D409" s="1642"/>
      <c r="E409" s="1641"/>
      <c r="F409" s="1642"/>
      <c r="G409" s="1642"/>
      <c r="H409" s="1642"/>
      <c r="I409" s="1642"/>
      <c r="J409" s="1642"/>
      <c r="K409" s="1681"/>
      <c r="L409" s="1642"/>
      <c r="M409" s="1642"/>
      <c r="N409" s="1642"/>
      <c r="O409" s="1642"/>
      <c r="P409" s="1642"/>
      <c r="Q409" s="1642"/>
      <c r="R409" s="1642"/>
      <c r="S409" s="1642"/>
      <c r="T409" s="1642"/>
      <c r="U409" s="1642"/>
      <c r="V409" s="1642"/>
      <c r="W409" s="1642"/>
      <c r="X409" s="1642"/>
      <c r="Y409" s="1642"/>
      <c r="Z409" s="1642"/>
      <c r="AA409" s="1642"/>
      <c r="AB409" s="1642"/>
      <c r="AC409" s="1642"/>
      <c r="AD409" s="1642"/>
      <c r="AE409" s="1642"/>
      <c r="AF409" s="1641"/>
      <c r="AG409" s="1642"/>
      <c r="AH409" s="1642"/>
      <c r="AI409" s="1642"/>
      <c r="AJ409" s="1641"/>
      <c r="AK409" s="1642"/>
      <c r="AL409" s="1642"/>
      <c r="AM409" s="1642"/>
      <c r="AN409" s="1641"/>
      <c r="AO409" s="1642"/>
      <c r="AP409" s="1642"/>
      <c r="AQ409" s="1642"/>
      <c r="AR409" s="1641"/>
      <c r="AS409" s="1642"/>
      <c r="AT409" s="1642"/>
      <c r="AU409" s="1642"/>
      <c r="AV409" s="1641"/>
      <c r="AW409" s="1642"/>
      <c r="AX409" s="1642"/>
      <c r="AY409" s="1642"/>
      <c r="AZ409" s="1641"/>
      <c r="BA409" s="1642"/>
      <c r="BB409" s="1642"/>
      <c r="BC409" s="1642"/>
      <c r="BD409" s="1641"/>
      <c r="BE409" s="1642"/>
      <c r="BF409" s="1642"/>
      <c r="BG409" s="1642"/>
      <c r="BH409" s="1641"/>
      <c r="BI409" s="1642"/>
      <c r="BJ409" s="1642"/>
      <c r="BK409" s="1642"/>
      <c r="BL409" s="1641"/>
      <c r="BM409" s="1642"/>
      <c r="BN409" s="1642"/>
      <c r="BO409" s="1642"/>
      <c r="BP409" s="1641"/>
      <c r="BQ409" s="1642"/>
      <c r="BR409" s="1642"/>
      <c r="BS409" s="1642"/>
      <c r="BT409" s="1641"/>
      <c r="BU409" s="1642"/>
      <c r="BV409" s="1642"/>
      <c r="BW409" s="1642"/>
      <c r="BX409" s="1641"/>
      <c r="BY409" s="1642"/>
      <c r="BZ409" s="1642"/>
      <c r="CA409" s="1642"/>
      <c r="CB409" s="1641"/>
      <c r="CC409" s="1642"/>
      <c r="CD409" s="1642"/>
      <c r="CE409" s="1642"/>
      <c r="CF409" s="1641"/>
      <c r="CG409" s="1642"/>
      <c r="CH409" s="1642"/>
      <c r="CI409" s="1642"/>
      <c r="CJ409" s="1641"/>
      <c r="CK409" s="1642"/>
      <c r="CL409" s="1642"/>
      <c r="CM409" s="1681"/>
      <c r="CN409" s="1672"/>
      <c r="CO409" s="1672"/>
      <c r="CP409" s="1672"/>
      <c r="CQ409" s="1672"/>
      <c r="CR409" s="1672"/>
      <c r="CS409" s="1672"/>
      <c r="CT409" s="1672"/>
      <c r="CU409" s="1672"/>
      <c r="CV409" s="1642"/>
      <c r="CW409" s="1672"/>
      <c r="CX409" s="1672"/>
      <c r="CY409" s="1672"/>
      <c r="CZ409" s="1672"/>
      <c r="DA409" s="1672"/>
      <c r="DB409" s="1672"/>
      <c r="DC409" s="1672"/>
      <c r="DD409" s="1672"/>
      <c r="DE409" s="1672"/>
      <c r="DF409" s="1672"/>
      <c r="DG409" s="1672"/>
      <c r="DH409" s="1672"/>
      <c r="DI409" s="1672"/>
      <c r="DJ409" s="1672"/>
      <c r="DK409" s="1672"/>
      <c r="DL409" s="1672"/>
    </row>
    <row r="410" spans="1:116" ht="12.75" hidden="1" customHeight="1">
      <c r="A410" s="1539"/>
      <c r="B410" s="1642"/>
      <c r="C410" s="1642"/>
      <c r="D410" s="1642"/>
      <c r="E410" s="1641"/>
      <c r="F410" s="1642"/>
      <c r="G410" s="1642"/>
      <c r="H410" s="1642"/>
      <c r="I410" s="1642"/>
      <c r="J410" s="1642"/>
      <c r="K410" s="1681"/>
      <c r="L410" s="1642"/>
      <c r="M410" s="1642"/>
      <c r="N410" s="1642"/>
      <c r="O410" s="1642"/>
      <c r="P410" s="1642"/>
      <c r="Q410" s="1642"/>
      <c r="R410" s="1642"/>
      <c r="S410" s="1642"/>
      <c r="T410" s="1642"/>
      <c r="U410" s="1642"/>
      <c r="V410" s="1642"/>
      <c r="W410" s="1642"/>
      <c r="X410" s="1642"/>
      <c r="Y410" s="1642"/>
      <c r="Z410" s="1642"/>
      <c r="AA410" s="1642"/>
      <c r="AB410" s="1642"/>
      <c r="AC410" s="1642"/>
      <c r="AD410" s="1642"/>
      <c r="AE410" s="1642"/>
      <c r="AF410" s="1641"/>
      <c r="AG410" s="1642"/>
      <c r="AH410" s="1642"/>
      <c r="AI410" s="1642"/>
      <c r="AJ410" s="1641"/>
      <c r="AK410" s="1642"/>
      <c r="AL410" s="1642"/>
      <c r="AM410" s="1642"/>
      <c r="AN410" s="1641"/>
      <c r="AO410" s="1642"/>
      <c r="AP410" s="1642"/>
      <c r="AQ410" s="1642"/>
      <c r="AR410" s="1641"/>
      <c r="AS410" s="1642"/>
      <c r="AT410" s="1642"/>
      <c r="AU410" s="1642"/>
      <c r="AV410" s="1641"/>
      <c r="AW410" s="1642"/>
      <c r="AX410" s="1642"/>
      <c r="AY410" s="1642"/>
      <c r="AZ410" s="1641"/>
      <c r="BA410" s="1642"/>
      <c r="BB410" s="1642"/>
      <c r="BC410" s="1642"/>
      <c r="BD410" s="1641"/>
      <c r="BE410" s="1642"/>
      <c r="BF410" s="1642"/>
      <c r="BG410" s="1642"/>
      <c r="BH410" s="1641"/>
      <c r="BI410" s="1642"/>
      <c r="BJ410" s="1642"/>
      <c r="BK410" s="1642"/>
      <c r="BL410" s="1641"/>
      <c r="BM410" s="1642"/>
      <c r="BN410" s="1642"/>
      <c r="BO410" s="1642"/>
      <c r="BP410" s="1641"/>
      <c r="BQ410" s="1642"/>
      <c r="BR410" s="1642"/>
      <c r="BS410" s="1642"/>
      <c r="BT410" s="1641"/>
      <c r="BU410" s="1642"/>
      <c r="BV410" s="1642"/>
      <c r="BW410" s="1642"/>
      <c r="BX410" s="1641"/>
      <c r="BY410" s="1642"/>
      <c r="BZ410" s="1642"/>
      <c r="CA410" s="1642"/>
      <c r="CB410" s="1641"/>
      <c r="CC410" s="1642"/>
      <c r="CD410" s="1642"/>
      <c r="CE410" s="1642"/>
      <c r="CF410" s="1641"/>
      <c r="CG410" s="1642"/>
      <c r="CH410" s="1642"/>
      <c r="CI410" s="1642"/>
      <c r="CJ410" s="1641"/>
      <c r="CK410" s="1642"/>
      <c r="CL410" s="1642"/>
      <c r="CM410" s="1681"/>
      <c r="CN410" s="1672"/>
      <c r="CO410" s="1672"/>
      <c r="CP410" s="1672"/>
      <c r="CQ410" s="1672"/>
      <c r="CR410" s="1672"/>
      <c r="CS410" s="1672"/>
      <c r="CT410" s="1672"/>
      <c r="CU410" s="1672"/>
      <c r="CV410" s="1642"/>
      <c r="CW410" s="1672"/>
      <c r="CX410" s="1672"/>
      <c r="CY410" s="1672"/>
      <c r="CZ410" s="1672"/>
      <c r="DA410" s="1672"/>
      <c r="DB410" s="1672"/>
      <c r="DC410" s="1672"/>
      <c r="DD410" s="1672"/>
      <c r="DE410" s="1672"/>
      <c r="DF410" s="1672"/>
      <c r="DG410" s="1672"/>
      <c r="DH410" s="1672"/>
      <c r="DI410" s="1672"/>
      <c r="DJ410" s="1672"/>
      <c r="DK410" s="1672"/>
      <c r="DL410" s="1672"/>
    </row>
    <row r="411" spans="1:116" ht="12.75" hidden="1" customHeight="1">
      <c r="A411" s="1657" t="s">
        <v>704</v>
      </c>
      <c r="B411" s="1642"/>
      <c r="C411" s="1642"/>
      <c r="D411" s="1642"/>
      <c r="E411" s="1641"/>
      <c r="F411" s="1642"/>
      <c r="G411" s="1642"/>
      <c r="H411" s="1642"/>
      <c r="I411" s="1642"/>
      <c r="J411" s="1642"/>
      <c r="K411" s="1681"/>
      <c r="L411" s="1642"/>
      <c r="M411" s="1642"/>
      <c r="N411" s="1642"/>
      <c r="O411" s="1642"/>
      <c r="P411" s="1642"/>
      <c r="Q411" s="1642"/>
      <c r="R411" s="1642"/>
      <c r="S411" s="1642"/>
      <c r="T411" s="1642"/>
      <c r="U411" s="1642"/>
      <c r="V411" s="1642"/>
      <c r="W411" s="1642"/>
      <c r="X411" s="1642"/>
      <c r="Y411" s="1642"/>
      <c r="Z411" s="1642"/>
      <c r="AA411" s="1642"/>
      <c r="AB411" s="1642"/>
      <c r="AC411" s="1642"/>
      <c r="AD411" s="1642"/>
      <c r="AE411" s="1642"/>
      <c r="AF411" s="1641"/>
      <c r="AG411" s="1642"/>
      <c r="AH411" s="1642"/>
      <c r="AI411" s="1642"/>
      <c r="AJ411" s="1641"/>
      <c r="AK411" s="1642"/>
      <c r="AL411" s="1642"/>
      <c r="AM411" s="1642"/>
      <c r="AN411" s="1641"/>
      <c r="AO411" s="1642"/>
      <c r="AP411" s="1642"/>
      <c r="AQ411" s="1642"/>
      <c r="AR411" s="1641"/>
      <c r="AS411" s="1642"/>
      <c r="AT411" s="1642"/>
      <c r="AU411" s="1642"/>
      <c r="AV411" s="1641"/>
      <c r="AW411" s="1642"/>
      <c r="AX411" s="1642"/>
      <c r="AY411" s="1642"/>
      <c r="AZ411" s="1641"/>
      <c r="BA411" s="1642"/>
      <c r="BB411" s="1642"/>
      <c r="BC411" s="1642"/>
      <c r="BD411" s="1641"/>
      <c r="BE411" s="1642"/>
      <c r="BF411" s="1642"/>
      <c r="BG411" s="1642"/>
      <c r="BH411" s="1641"/>
      <c r="BI411" s="1642"/>
      <c r="BJ411" s="1642"/>
      <c r="BK411" s="1642"/>
      <c r="BL411" s="1641"/>
      <c r="BM411" s="1642"/>
      <c r="BN411" s="1642"/>
      <c r="BO411" s="1642"/>
      <c r="BP411" s="1641"/>
      <c r="BQ411" s="1642"/>
      <c r="BR411" s="1642"/>
      <c r="BS411" s="1642"/>
      <c r="BT411" s="1641"/>
      <c r="BU411" s="1642"/>
      <c r="BV411" s="1642"/>
      <c r="BW411" s="1642"/>
      <c r="BX411" s="1641"/>
      <c r="BY411" s="1642"/>
      <c r="BZ411" s="1642"/>
      <c r="CA411" s="1642"/>
      <c r="CB411" s="1641"/>
      <c r="CC411" s="1642"/>
      <c r="CD411" s="1642"/>
      <c r="CE411" s="1642"/>
      <c r="CF411" s="1641"/>
      <c r="CG411" s="1642"/>
      <c r="CH411" s="1642"/>
      <c r="CI411" s="1642"/>
      <c r="CJ411" s="1641"/>
      <c r="CK411" s="1642"/>
      <c r="CL411" s="1642"/>
      <c r="CM411" s="1681"/>
      <c r="CN411" s="1672"/>
      <c r="CO411" s="1672"/>
      <c r="CP411" s="1672"/>
      <c r="CQ411" s="1672"/>
      <c r="CR411" s="1672"/>
      <c r="CS411" s="1672"/>
      <c r="CT411" s="1672"/>
      <c r="CU411" s="1672"/>
      <c r="CV411" s="1642"/>
      <c r="CW411" s="1672"/>
      <c r="CX411" s="1672"/>
      <c r="CY411" s="1672"/>
      <c r="CZ411" s="1672"/>
      <c r="DA411" s="1672"/>
      <c r="DB411" s="1672"/>
      <c r="DC411" s="1672"/>
      <c r="DD411" s="1672"/>
      <c r="DE411" s="1672"/>
      <c r="DF411" s="1672"/>
      <c r="DG411" s="1672"/>
      <c r="DH411" s="1672"/>
      <c r="DI411" s="1672"/>
      <c r="DJ411" s="1672"/>
      <c r="DK411" s="1672"/>
      <c r="DL411" s="1672"/>
    </row>
    <row r="412" spans="1:116" ht="12.75" hidden="1" customHeight="1">
      <c r="A412" s="1539" t="s">
        <v>705</v>
      </c>
      <c r="B412" s="1642"/>
      <c r="C412" s="1642"/>
      <c r="D412" s="1642"/>
      <c r="E412" s="1641"/>
      <c r="F412" s="1642"/>
      <c r="G412" s="1642"/>
      <c r="H412" s="1642"/>
      <c r="I412" s="1642"/>
      <c r="J412" s="1642"/>
      <c r="K412" s="1681"/>
      <c r="L412" s="1642"/>
      <c r="M412" s="1642"/>
      <c r="N412" s="1642"/>
      <c r="O412" s="1642"/>
      <c r="P412" s="1642"/>
      <c r="Q412" s="1642"/>
      <c r="R412" s="1642"/>
      <c r="S412" s="1642"/>
      <c r="T412" s="1642"/>
      <c r="U412" s="1642"/>
      <c r="V412" s="1642"/>
      <c r="W412" s="1642"/>
      <c r="X412" s="1642"/>
      <c r="Y412" s="1642"/>
      <c r="Z412" s="1642"/>
      <c r="AA412" s="1642"/>
      <c r="AB412" s="1642"/>
      <c r="AC412" s="1642"/>
      <c r="AD412" s="1642"/>
      <c r="AE412" s="1642"/>
      <c r="AF412" s="1641"/>
      <c r="AG412" s="1642"/>
      <c r="AH412" s="1642"/>
      <c r="AI412" s="1642"/>
      <c r="AJ412" s="1641"/>
      <c r="AK412" s="1642"/>
      <c r="AL412" s="1642"/>
      <c r="AM412" s="1642"/>
      <c r="AN412" s="1641"/>
      <c r="AO412" s="1642"/>
      <c r="AP412" s="1642"/>
      <c r="AQ412" s="1642"/>
      <c r="AR412" s="1641"/>
      <c r="AS412" s="1642"/>
      <c r="AT412" s="1642"/>
      <c r="AU412" s="1642"/>
      <c r="AV412" s="1641"/>
      <c r="AW412" s="1642"/>
      <c r="AX412" s="1642"/>
      <c r="AY412" s="1642"/>
      <c r="AZ412" s="1641"/>
      <c r="BA412" s="1642"/>
      <c r="BB412" s="1642"/>
      <c r="BC412" s="1642"/>
      <c r="BD412" s="1641"/>
      <c r="BE412" s="1642"/>
      <c r="BF412" s="1642"/>
      <c r="BG412" s="1642"/>
      <c r="BH412" s="1641"/>
      <c r="BI412" s="1642"/>
      <c r="BJ412" s="1642"/>
      <c r="BK412" s="1642"/>
      <c r="BL412" s="1641">
        <f>BP412/(1+BP413)</f>
        <v>3657.9335053023788</v>
      </c>
      <c r="BM412" s="1642">
        <f>BQ412/(1+BQ413)</f>
        <v>3664.7979826281871</v>
      </c>
      <c r="BN412" s="1642">
        <f>BR412/(1+BR413)</f>
        <v>3584.1181818181817</v>
      </c>
      <c r="BO412" s="1642">
        <f>BS412/(1+BS413)</f>
        <v>3539.2102854065697</v>
      </c>
      <c r="BP412" s="1633">
        <v>3454</v>
      </c>
      <c r="BQ412" s="1634">
        <v>3536</v>
      </c>
      <c r="BR412" s="1634">
        <v>3597</v>
      </c>
      <c r="BS412" s="1634">
        <v>3683</v>
      </c>
      <c r="BT412" s="1633">
        <v>3538</v>
      </c>
      <c r="BU412" s="1634">
        <v>3638</v>
      </c>
      <c r="BV412" s="1634">
        <v>3686</v>
      </c>
      <c r="BW412" s="1634">
        <v>3688</v>
      </c>
      <c r="BX412" s="1633">
        <v>3536</v>
      </c>
      <c r="BY412" s="1634">
        <v>3613</v>
      </c>
      <c r="BZ412" s="1634">
        <v>3655</v>
      </c>
      <c r="CA412" s="1634">
        <v>3607</v>
      </c>
      <c r="CB412" s="1633"/>
      <c r="CC412" s="1634"/>
      <c r="CD412" s="1634"/>
      <c r="CE412" s="1634"/>
      <c r="CF412" s="1641"/>
      <c r="CG412" s="1642"/>
      <c r="CH412" s="1642"/>
      <c r="CI412" s="1642"/>
      <c r="CJ412" s="1641"/>
      <c r="CK412" s="1642"/>
      <c r="CL412" s="1642"/>
      <c r="CM412" s="1681"/>
      <c r="CN412" s="1672"/>
      <c r="CO412" s="1672"/>
      <c r="CP412" s="1672"/>
      <c r="CQ412" s="1672"/>
      <c r="CR412" s="1672"/>
      <c r="CS412" s="1672"/>
      <c r="CT412" s="1672"/>
      <c r="CU412" s="1672"/>
      <c r="CV412" s="1642"/>
      <c r="CW412" s="1672"/>
      <c r="CX412" s="1672"/>
      <c r="CY412" s="1672"/>
      <c r="CZ412" s="1672"/>
      <c r="DA412" s="1672"/>
      <c r="DB412" s="1672"/>
      <c r="DC412" s="1672"/>
      <c r="DD412" s="1672"/>
      <c r="DE412" s="1672"/>
      <c r="DF412" s="1672"/>
      <c r="DG412" s="1672"/>
      <c r="DH412" s="1672"/>
      <c r="DI412" s="1672"/>
      <c r="DJ412" s="1672"/>
      <c r="DK412" s="1672"/>
      <c r="DL412" s="1672"/>
    </row>
    <row r="413" spans="1:116" ht="12.75" hidden="1" customHeight="1">
      <c r="A413" s="1644" t="s">
        <v>952</v>
      </c>
      <c r="B413" s="1642"/>
      <c r="C413" s="1642"/>
      <c r="D413" s="1642"/>
      <c r="E413" s="1641"/>
      <c r="F413" s="1642"/>
      <c r="G413" s="1642"/>
      <c r="H413" s="1642"/>
      <c r="I413" s="1642"/>
      <c r="J413" s="1642"/>
      <c r="K413" s="1681"/>
      <c r="L413" s="1642"/>
      <c r="M413" s="1642"/>
      <c r="N413" s="1642"/>
      <c r="O413" s="1642"/>
      <c r="P413" s="1642"/>
      <c r="Q413" s="1642"/>
      <c r="R413" s="1642"/>
      <c r="S413" s="1642"/>
      <c r="T413" s="1642"/>
      <c r="U413" s="1642"/>
      <c r="V413" s="1642"/>
      <c r="W413" s="1642"/>
      <c r="X413" s="1642"/>
      <c r="Y413" s="1642"/>
      <c r="Z413" s="1642"/>
      <c r="AA413" s="1642"/>
      <c r="AB413" s="1642"/>
      <c r="AC413" s="1642"/>
      <c r="AD413" s="1642"/>
      <c r="AE413" s="1642"/>
      <c r="AF413" s="1641"/>
      <c r="AG413" s="1642"/>
      <c r="AH413" s="1642"/>
      <c r="AI413" s="1642"/>
      <c r="AJ413" s="1641"/>
      <c r="AK413" s="1642"/>
      <c r="AL413" s="1642"/>
      <c r="AM413" s="1642"/>
      <c r="AN413" s="1641"/>
      <c r="AO413" s="1642"/>
      <c r="AP413" s="1642"/>
      <c r="AQ413" s="1642"/>
      <c r="AR413" s="1641"/>
      <c r="AS413" s="1642"/>
      <c r="AT413" s="1642"/>
      <c r="AU413" s="1642"/>
      <c r="AV413" s="1641"/>
      <c r="AW413" s="1642"/>
      <c r="AX413" s="1642"/>
      <c r="AY413" s="1642"/>
      <c r="AZ413" s="1641"/>
      <c r="BA413" s="1642"/>
      <c r="BB413" s="1642"/>
      <c r="BC413" s="1642"/>
      <c r="BD413" s="1641"/>
      <c r="BE413" s="1642"/>
      <c r="BF413" s="1642"/>
      <c r="BG413" s="1642"/>
      <c r="BH413" s="1641"/>
      <c r="BI413" s="1642"/>
      <c r="BJ413" s="1642"/>
      <c r="BK413" s="1642"/>
      <c r="BL413" s="1641"/>
      <c r="BM413" s="1642"/>
      <c r="BN413" s="1642"/>
      <c r="BO413" s="1642"/>
      <c r="BP413" s="1763">
        <v>-5.5751014884979702E-2</v>
      </c>
      <c r="BQ413" s="1764">
        <v>-3.51446336847797E-2</v>
      </c>
      <c r="BR413" s="1764">
        <v>3.5941387890516801E-3</v>
      </c>
      <c r="BS413" s="1764">
        <v>4.0627626786214698E-2</v>
      </c>
      <c r="BT413" s="1641">
        <f t="shared" ref="BT413:CE413" si="478">BT412/BP412-1</f>
        <v>2.4319629415170851E-2</v>
      </c>
      <c r="BU413" s="1642">
        <f t="shared" si="478"/>
        <v>2.8846153846153744E-2</v>
      </c>
      <c r="BV413" s="1642">
        <f t="shared" si="478"/>
        <v>2.4742841256602643E-2</v>
      </c>
      <c r="BW413" s="1642">
        <f t="shared" si="478"/>
        <v>1.357588922074493E-3</v>
      </c>
      <c r="BX413" s="1641">
        <f t="shared" si="478"/>
        <v>-5.6529112492931244E-4</v>
      </c>
      <c r="BY413" s="1642">
        <f t="shared" si="478"/>
        <v>-6.8719076415613145E-3</v>
      </c>
      <c r="BZ413" s="1642">
        <f t="shared" si="478"/>
        <v>-8.4102007596310591E-3</v>
      </c>
      <c r="CA413" s="1642">
        <f t="shared" si="478"/>
        <v>-2.1963123644251681E-2</v>
      </c>
      <c r="CB413" s="1641">
        <f t="shared" si="478"/>
        <v>-1</v>
      </c>
      <c r="CC413" s="1642">
        <f t="shared" si="478"/>
        <v>-1</v>
      </c>
      <c r="CD413" s="1642">
        <f t="shared" si="478"/>
        <v>-1</v>
      </c>
      <c r="CE413" s="1642">
        <f t="shared" si="478"/>
        <v>-1</v>
      </c>
      <c r="CF413" s="1641"/>
      <c r="CG413" s="1642"/>
      <c r="CH413" s="1642"/>
      <c r="CI413" s="1642"/>
      <c r="CJ413" s="1641"/>
      <c r="CK413" s="1642"/>
      <c r="CL413" s="1642"/>
      <c r="CM413" s="1681"/>
      <c r="CN413" s="1672"/>
      <c r="CO413" s="1672"/>
      <c r="CP413" s="1672"/>
      <c r="CQ413" s="1672"/>
      <c r="CR413" s="1672"/>
      <c r="CS413" s="1672"/>
      <c r="CT413" s="1672"/>
      <c r="CU413" s="1672"/>
      <c r="CV413" s="1642"/>
      <c r="CW413" s="1672"/>
      <c r="CX413" s="1672"/>
      <c r="CY413" s="1672"/>
      <c r="CZ413" s="1672"/>
      <c r="DA413" s="1672"/>
      <c r="DB413" s="1672"/>
      <c r="DC413" s="1672"/>
      <c r="DD413" s="1672"/>
      <c r="DE413" s="1672"/>
      <c r="DF413" s="1672"/>
      <c r="DG413" s="1672"/>
      <c r="DH413" s="1672"/>
      <c r="DI413" s="1672"/>
      <c r="DJ413" s="1672"/>
      <c r="DK413" s="1672"/>
      <c r="DL413" s="1672"/>
    </row>
    <row r="414" spans="1:116" ht="12.75" hidden="1" customHeight="1">
      <c r="A414" s="1539" t="s">
        <v>706</v>
      </c>
      <c r="B414" s="1642"/>
      <c r="C414" s="1642"/>
      <c r="D414" s="1642"/>
      <c r="E414" s="1641"/>
      <c r="F414" s="1642"/>
      <c r="G414" s="1642"/>
      <c r="H414" s="1642"/>
      <c r="I414" s="1642"/>
      <c r="J414" s="1642"/>
      <c r="K414" s="1681"/>
      <c r="L414" s="1642"/>
      <c r="M414" s="1642"/>
      <c r="N414" s="1642"/>
      <c r="O414" s="1642"/>
      <c r="P414" s="1642"/>
      <c r="Q414" s="1642"/>
      <c r="R414" s="1642"/>
      <c r="S414" s="1642"/>
      <c r="T414" s="1642"/>
      <c r="U414" s="1642"/>
      <c r="V414" s="1642"/>
      <c r="W414" s="1642"/>
      <c r="X414" s="1642"/>
      <c r="Y414" s="1642"/>
      <c r="Z414" s="1642"/>
      <c r="AA414" s="1642"/>
      <c r="AB414" s="1642"/>
      <c r="AC414" s="1642"/>
      <c r="AD414" s="1642"/>
      <c r="AE414" s="1642"/>
      <c r="AF414" s="1641"/>
      <c r="AG414" s="1642"/>
      <c r="AH414" s="1642"/>
      <c r="AI414" s="1642"/>
      <c r="AJ414" s="1641"/>
      <c r="AK414" s="1642"/>
      <c r="AL414" s="1642"/>
      <c r="AM414" s="1642"/>
      <c r="AN414" s="1641"/>
      <c r="AO414" s="1642"/>
      <c r="AP414" s="1642"/>
      <c r="AQ414" s="1642"/>
      <c r="AR414" s="1641"/>
      <c r="AS414" s="1642"/>
      <c r="AT414" s="1642"/>
      <c r="AU414" s="1642"/>
      <c r="AV414" s="1641"/>
      <c r="AW414" s="1642"/>
      <c r="AX414" s="1642"/>
      <c r="AY414" s="1642"/>
      <c r="AZ414" s="1641"/>
      <c r="BA414" s="1642"/>
      <c r="BB414" s="1642"/>
      <c r="BC414" s="1642"/>
      <c r="BD414" s="1641"/>
      <c r="BE414" s="1642"/>
      <c r="BF414" s="1642"/>
      <c r="BG414" s="1642"/>
      <c r="BH414" s="1641"/>
      <c r="BI414" s="1642"/>
      <c r="BJ414" s="1642"/>
      <c r="BK414" s="1642"/>
      <c r="BL414" s="1641">
        <f>BP414/(1+BP415)</f>
        <v>879</v>
      </c>
      <c r="BM414" s="1642">
        <f>BQ414/(1+BQ415)</f>
        <v>908</v>
      </c>
      <c r="BN414" s="1642">
        <f>BR414/(1+BR415)</f>
        <v>915.99999999999955</v>
      </c>
      <c r="BO414" s="1642">
        <f>BS414/(1+BS415)</f>
        <v>878</v>
      </c>
      <c r="BP414" s="1633">
        <v>836</v>
      </c>
      <c r="BQ414" s="1634">
        <v>831</v>
      </c>
      <c r="BR414" s="1634">
        <v>806</v>
      </c>
      <c r="BS414" s="1634">
        <v>840</v>
      </c>
      <c r="BT414" s="1633">
        <v>850</v>
      </c>
      <c r="BU414" s="1634">
        <v>844</v>
      </c>
      <c r="BV414" s="1634">
        <v>836</v>
      </c>
      <c r="BW414" s="1634">
        <v>815</v>
      </c>
      <c r="BX414" s="1633">
        <v>834</v>
      </c>
      <c r="BY414" s="1634">
        <v>846</v>
      </c>
      <c r="BZ414" s="1634">
        <v>851</v>
      </c>
      <c r="CA414" s="1634">
        <v>810</v>
      </c>
      <c r="CB414" s="1633"/>
      <c r="CC414" s="1634"/>
      <c r="CD414" s="1634"/>
      <c r="CE414" s="1634"/>
      <c r="CF414" s="1641"/>
      <c r="CG414" s="1642"/>
      <c r="CH414" s="1642"/>
      <c r="CI414" s="1642"/>
      <c r="CJ414" s="1641"/>
      <c r="CK414" s="1642"/>
      <c r="CL414" s="1642"/>
      <c r="CM414" s="1681"/>
      <c r="CN414" s="1672"/>
      <c r="CO414" s="1672"/>
      <c r="CP414" s="1672"/>
      <c r="CQ414" s="1672"/>
      <c r="CR414" s="1672"/>
      <c r="CS414" s="1672"/>
      <c r="CT414" s="1672"/>
      <c r="CU414" s="1672"/>
      <c r="CV414" s="1642"/>
      <c r="CW414" s="1672"/>
      <c r="CX414" s="1672"/>
      <c r="CY414" s="1672"/>
      <c r="CZ414" s="1672"/>
      <c r="DA414" s="1672"/>
      <c r="DB414" s="1672"/>
      <c r="DC414" s="1672"/>
      <c r="DD414" s="1672"/>
      <c r="DE414" s="1672"/>
      <c r="DF414" s="1672"/>
      <c r="DG414" s="1672"/>
      <c r="DH414" s="1672"/>
      <c r="DI414" s="1672"/>
      <c r="DJ414" s="1672"/>
      <c r="DK414" s="1672"/>
      <c r="DL414" s="1672"/>
    </row>
    <row r="415" spans="1:116" ht="12.75" hidden="1" customHeight="1">
      <c r="A415" s="1644" t="s">
        <v>952</v>
      </c>
      <c r="B415" s="1642"/>
      <c r="C415" s="1642"/>
      <c r="D415" s="1642"/>
      <c r="E415" s="1641"/>
      <c r="F415" s="1642"/>
      <c r="G415" s="1642"/>
      <c r="H415" s="1642"/>
      <c r="I415" s="1642"/>
      <c r="J415" s="1642"/>
      <c r="K415" s="1681"/>
      <c r="L415" s="1642"/>
      <c r="M415" s="1642"/>
      <c r="N415" s="1642"/>
      <c r="O415" s="1642"/>
      <c r="P415" s="1642"/>
      <c r="Q415" s="1642"/>
      <c r="R415" s="1642"/>
      <c r="S415" s="1642"/>
      <c r="T415" s="1642"/>
      <c r="U415" s="1642"/>
      <c r="V415" s="1642"/>
      <c r="W415" s="1642"/>
      <c r="X415" s="1642"/>
      <c r="Y415" s="1642"/>
      <c r="Z415" s="1642"/>
      <c r="AA415" s="1642"/>
      <c r="AB415" s="1642"/>
      <c r="AC415" s="1642"/>
      <c r="AD415" s="1642"/>
      <c r="AE415" s="1642"/>
      <c r="AF415" s="1641"/>
      <c r="AG415" s="1642"/>
      <c r="AH415" s="1642"/>
      <c r="AI415" s="1642"/>
      <c r="AJ415" s="1641"/>
      <c r="AK415" s="1642"/>
      <c r="AL415" s="1642"/>
      <c r="AM415" s="1642"/>
      <c r="AN415" s="1641"/>
      <c r="AO415" s="1642"/>
      <c r="AP415" s="1642"/>
      <c r="AQ415" s="1642"/>
      <c r="AR415" s="1641"/>
      <c r="AS415" s="1642"/>
      <c r="AT415" s="1642"/>
      <c r="AU415" s="1642"/>
      <c r="AV415" s="1641"/>
      <c r="AW415" s="1642"/>
      <c r="AX415" s="1642"/>
      <c r="AY415" s="1642"/>
      <c r="AZ415" s="1641"/>
      <c r="BA415" s="1642"/>
      <c r="BB415" s="1642"/>
      <c r="BC415" s="1642"/>
      <c r="BD415" s="1641"/>
      <c r="BE415" s="1642"/>
      <c r="BF415" s="1642"/>
      <c r="BG415" s="1642"/>
      <c r="BH415" s="1641"/>
      <c r="BI415" s="1642"/>
      <c r="BJ415" s="1642"/>
      <c r="BK415" s="1642"/>
      <c r="BL415" s="1641"/>
      <c r="BM415" s="1642"/>
      <c r="BN415" s="1642"/>
      <c r="BO415" s="1642"/>
      <c r="BP415" s="1763">
        <v>-4.8919226393629098E-2</v>
      </c>
      <c r="BQ415" s="1764">
        <v>-8.4801762114537493E-2</v>
      </c>
      <c r="BR415" s="1764">
        <v>-0.120087336244541</v>
      </c>
      <c r="BS415" s="1764">
        <v>-4.3280182232346198E-2</v>
      </c>
      <c r="BT415" s="1641">
        <f t="shared" ref="BT415:CE415" si="479">BT414/BP414-1</f>
        <v>1.674641148325362E-2</v>
      </c>
      <c r="BU415" s="1642">
        <f t="shared" si="479"/>
        <v>1.564380264741283E-2</v>
      </c>
      <c r="BV415" s="1642">
        <f t="shared" si="479"/>
        <v>3.7220843672456594E-2</v>
      </c>
      <c r="BW415" s="1642">
        <f t="shared" si="479"/>
        <v>-2.9761904761904767E-2</v>
      </c>
      <c r="BX415" s="1641">
        <f t="shared" si="479"/>
        <v>-1.8823529411764683E-2</v>
      </c>
      <c r="BY415" s="1642">
        <f t="shared" si="479"/>
        <v>2.3696682464455776E-3</v>
      </c>
      <c r="BZ415" s="1642">
        <f t="shared" si="479"/>
        <v>1.7942583732057482E-2</v>
      </c>
      <c r="CA415" s="1642">
        <f t="shared" si="479"/>
        <v>-6.1349693251533388E-3</v>
      </c>
      <c r="CB415" s="1641">
        <f t="shared" si="479"/>
        <v>-1</v>
      </c>
      <c r="CC415" s="1642">
        <f t="shared" si="479"/>
        <v>-1</v>
      </c>
      <c r="CD415" s="1642">
        <f t="shared" si="479"/>
        <v>-1</v>
      </c>
      <c r="CE415" s="1642">
        <f t="shared" si="479"/>
        <v>-1</v>
      </c>
      <c r="CF415" s="1641"/>
      <c r="CG415" s="1642"/>
      <c r="CH415" s="1642"/>
      <c r="CI415" s="1642"/>
      <c r="CJ415" s="1641"/>
      <c r="CK415" s="1642"/>
      <c r="CL415" s="1642"/>
      <c r="CM415" s="1681"/>
      <c r="CN415" s="1672"/>
      <c r="CO415" s="1672"/>
      <c r="CP415" s="1672"/>
      <c r="CQ415" s="1672"/>
      <c r="CR415" s="1672"/>
      <c r="CS415" s="1672"/>
      <c r="CT415" s="1672"/>
      <c r="CU415" s="1672"/>
      <c r="CV415" s="1642"/>
      <c r="CW415" s="1672"/>
      <c r="CX415" s="1672"/>
      <c r="CY415" s="1672"/>
      <c r="CZ415" s="1672"/>
      <c r="DA415" s="1672"/>
      <c r="DB415" s="1672"/>
      <c r="DC415" s="1672"/>
      <c r="DD415" s="1672"/>
      <c r="DE415" s="1672"/>
      <c r="DF415" s="1672"/>
      <c r="DG415" s="1672"/>
      <c r="DH415" s="1672"/>
      <c r="DI415" s="1672"/>
      <c r="DJ415" s="1672"/>
      <c r="DK415" s="1672"/>
      <c r="DL415" s="1672"/>
    </row>
    <row r="416" spans="1:116" ht="12.75" hidden="1" customHeight="1">
      <c r="A416" s="1539" t="s">
        <v>707</v>
      </c>
      <c r="B416" s="1642"/>
      <c r="C416" s="1642"/>
      <c r="D416" s="1642"/>
      <c r="E416" s="1641"/>
      <c r="F416" s="1642"/>
      <c r="G416" s="1642"/>
      <c r="H416" s="1642"/>
      <c r="I416" s="1642"/>
      <c r="J416" s="1642"/>
      <c r="K416" s="1681"/>
      <c r="L416" s="1642"/>
      <c r="M416" s="1642"/>
      <c r="N416" s="1642"/>
      <c r="O416" s="1642"/>
      <c r="P416" s="1642"/>
      <c r="Q416" s="1642"/>
      <c r="R416" s="1642"/>
      <c r="S416" s="1642"/>
      <c r="T416" s="1642"/>
      <c r="U416" s="1642"/>
      <c r="V416" s="1642"/>
      <c r="W416" s="1642"/>
      <c r="X416" s="1642"/>
      <c r="Y416" s="1642"/>
      <c r="Z416" s="1642"/>
      <c r="AA416" s="1642"/>
      <c r="AB416" s="1642"/>
      <c r="AC416" s="1642"/>
      <c r="AD416" s="1642"/>
      <c r="AE416" s="1642"/>
      <c r="AF416" s="1641"/>
      <c r="AG416" s="1642"/>
      <c r="AH416" s="1642"/>
      <c r="AI416" s="1642"/>
      <c r="AJ416" s="1641"/>
      <c r="AK416" s="1642"/>
      <c r="AL416" s="1642"/>
      <c r="AM416" s="1642"/>
      <c r="AN416" s="1641"/>
      <c r="AO416" s="1642"/>
      <c r="AP416" s="1642"/>
      <c r="AQ416" s="1642"/>
      <c r="AR416" s="1641"/>
      <c r="AS416" s="1642"/>
      <c r="AT416" s="1642"/>
      <c r="AU416" s="1642"/>
      <c r="AV416" s="1641"/>
      <c r="AW416" s="1642"/>
      <c r="AX416" s="1642"/>
      <c r="AY416" s="1642"/>
      <c r="AZ416" s="1641"/>
      <c r="BA416" s="1642"/>
      <c r="BB416" s="1642"/>
      <c r="BC416" s="1642"/>
      <c r="BD416" s="1641"/>
      <c r="BE416" s="1642"/>
      <c r="BF416" s="1642"/>
      <c r="BG416" s="1642"/>
      <c r="BH416" s="1641"/>
      <c r="BI416" s="1642"/>
      <c r="BJ416" s="1642"/>
      <c r="BK416" s="1642"/>
      <c r="BL416" s="1641">
        <f>BP416/(1+BP417)</f>
        <v>954.99999999999943</v>
      </c>
      <c r="BM416" s="1642">
        <f>BQ416/(1+BQ417)</f>
        <v>918.99999999999955</v>
      </c>
      <c r="BN416" s="1642">
        <f>BR416/(1+BR417)</f>
        <v>817</v>
      </c>
      <c r="BO416" s="1642">
        <f>BS416/(1+BS417)</f>
        <v>802</v>
      </c>
      <c r="BP416" s="1633">
        <v>779</v>
      </c>
      <c r="BQ416" s="1634">
        <v>779</v>
      </c>
      <c r="BR416" s="1634">
        <v>793</v>
      </c>
      <c r="BS416" s="1634">
        <v>792</v>
      </c>
      <c r="BT416" s="1633">
        <v>798</v>
      </c>
      <c r="BU416" s="1634">
        <v>789</v>
      </c>
      <c r="BV416" s="1634">
        <v>789</v>
      </c>
      <c r="BW416" s="1634">
        <v>838</v>
      </c>
      <c r="BX416" s="1633">
        <v>844</v>
      </c>
      <c r="BY416" s="1634">
        <v>859</v>
      </c>
      <c r="BZ416" s="1634">
        <v>871</v>
      </c>
      <c r="CA416" s="1634">
        <v>800</v>
      </c>
      <c r="CB416" s="1633"/>
      <c r="CC416" s="1634"/>
      <c r="CD416" s="1634"/>
      <c r="CE416" s="1634"/>
      <c r="CF416" s="1641"/>
      <c r="CG416" s="1642"/>
      <c r="CH416" s="1642"/>
      <c r="CI416" s="1642"/>
      <c r="CJ416" s="1641"/>
      <c r="CK416" s="1642"/>
      <c r="CL416" s="1642"/>
      <c r="CM416" s="1681"/>
      <c r="CN416" s="1672"/>
      <c r="CO416" s="1672"/>
      <c r="CP416" s="1672"/>
      <c r="CQ416" s="1672"/>
      <c r="CR416" s="1672"/>
      <c r="CS416" s="1672"/>
      <c r="CT416" s="1672"/>
      <c r="CU416" s="1672"/>
      <c r="CV416" s="1642"/>
      <c r="CW416" s="1672"/>
      <c r="CX416" s="1672"/>
      <c r="CY416" s="1672"/>
      <c r="CZ416" s="1672"/>
      <c r="DA416" s="1672"/>
      <c r="DB416" s="1672"/>
      <c r="DC416" s="1672"/>
      <c r="DD416" s="1672"/>
      <c r="DE416" s="1672"/>
      <c r="DF416" s="1672"/>
      <c r="DG416" s="1672"/>
      <c r="DH416" s="1672"/>
      <c r="DI416" s="1672"/>
      <c r="DJ416" s="1672"/>
      <c r="DK416" s="1672"/>
      <c r="DL416" s="1672"/>
    </row>
    <row r="417" spans="1:116" ht="12.75" hidden="1" customHeight="1">
      <c r="A417" s="1644" t="s">
        <v>952</v>
      </c>
      <c r="B417" s="1642"/>
      <c r="C417" s="1642"/>
      <c r="D417" s="1642"/>
      <c r="E417" s="1641"/>
      <c r="F417" s="1642"/>
      <c r="G417" s="1642"/>
      <c r="H417" s="1642"/>
      <c r="I417" s="1642"/>
      <c r="J417" s="1642"/>
      <c r="K417" s="1681"/>
      <c r="L417" s="1642"/>
      <c r="M417" s="1642"/>
      <c r="N417" s="1642"/>
      <c r="O417" s="1642"/>
      <c r="P417" s="1642"/>
      <c r="Q417" s="1642"/>
      <c r="R417" s="1642"/>
      <c r="S417" s="1642"/>
      <c r="T417" s="1642"/>
      <c r="U417" s="1642"/>
      <c r="V417" s="1642"/>
      <c r="W417" s="1642"/>
      <c r="X417" s="1642"/>
      <c r="Y417" s="1642"/>
      <c r="Z417" s="1642"/>
      <c r="AA417" s="1642"/>
      <c r="AB417" s="1642"/>
      <c r="AC417" s="1642"/>
      <c r="AD417" s="1642"/>
      <c r="AE417" s="1642"/>
      <c r="AF417" s="1641"/>
      <c r="AG417" s="1642"/>
      <c r="AH417" s="1642"/>
      <c r="AI417" s="1642"/>
      <c r="AJ417" s="1641"/>
      <c r="AK417" s="1642"/>
      <c r="AL417" s="1642"/>
      <c r="AM417" s="1642"/>
      <c r="AN417" s="1641"/>
      <c r="AO417" s="1642"/>
      <c r="AP417" s="1642"/>
      <c r="AQ417" s="1642"/>
      <c r="AR417" s="1641"/>
      <c r="AS417" s="1642"/>
      <c r="AT417" s="1642"/>
      <c r="AU417" s="1642"/>
      <c r="AV417" s="1641"/>
      <c r="AW417" s="1642"/>
      <c r="AX417" s="1642"/>
      <c r="AY417" s="1642"/>
      <c r="AZ417" s="1641"/>
      <c r="BA417" s="1642"/>
      <c r="BB417" s="1642"/>
      <c r="BC417" s="1642"/>
      <c r="BD417" s="1641"/>
      <c r="BE417" s="1642"/>
      <c r="BF417" s="1642"/>
      <c r="BG417" s="1642"/>
      <c r="BH417" s="1641"/>
      <c r="BI417" s="1642"/>
      <c r="BJ417" s="1642"/>
      <c r="BK417" s="1642"/>
      <c r="BL417" s="1641"/>
      <c r="BM417" s="1642"/>
      <c r="BN417" s="1642"/>
      <c r="BO417" s="1642"/>
      <c r="BP417" s="1763">
        <v>-0.18429319371727701</v>
      </c>
      <c r="BQ417" s="1764">
        <v>-0.15233949945593001</v>
      </c>
      <c r="BR417" s="1764">
        <v>-2.9375764993880098E-2</v>
      </c>
      <c r="BS417" s="1764">
        <v>-1.2468827930174601E-2</v>
      </c>
      <c r="BT417" s="1641">
        <f t="shared" ref="BT417:CE417" si="480">BT416/BP416-1</f>
        <v>2.4390243902439046E-2</v>
      </c>
      <c r="BU417" s="1642">
        <f t="shared" si="480"/>
        <v>1.2836970474968012E-2</v>
      </c>
      <c r="BV417" s="1642">
        <f t="shared" si="480"/>
        <v>-5.0441361916772065E-3</v>
      </c>
      <c r="BW417" s="1642">
        <f t="shared" si="480"/>
        <v>5.8080808080808177E-2</v>
      </c>
      <c r="BX417" s="1641">
        <f t="shared" si="480"/>
        <v>5.7644110275689275E-2</v>
      </c>
      <c r="BY417" s="1642">
        <f t="shared" si="480"/>
        <v>8.8719898605830183E-2</v>
      </c>
      <c r="BZ417" s="1642">
        <f t="shared" si="480"/>
        <v>0.10392902408111526</v>
      </c>
      <c r="CA417" s="1642">
        <f t="shared" si="480"/>
        <v>-4.534606205250602E-2</v>
      </c>
      <c r="CB417" s="1641">
        <f t="shared" si="480"/>
        <v>-1</v>
      </c>
      <c r="CC417" s="1642">
        <f t="shared" si="480"/>
        <v>-1</v>
      </c>
      <c r="CD417" s="1642">
        <f t="shared" si="480"/>
        <v>-1</v>
      </c>
      <c r="CE417" s="1642">
        <f t="shared" si="480"/>
        <v>-1</v>
      </c>
      <c r="CF417" s="1641"/>
      <c r="CG417" s="1642"/>
      <c r="CH417" s="1642"/>
      <c r="CI417" s="1642"/>
      <c r="CJ417" s="1641"/>
      <c r="CK417" s="1642"/>
      <c r="CL417" s="1642"/>
      <c r="CM417" s="1681"/>
      <c r="CN417" s="1672"/>
      <c r="CO417" s="1672"/>
      <c r="CP417" s="1672"/>
      <c r="CQ417" s="1672"/>
      <c r="CR417" s="1672"/>
      <c r="CS417" s="1672"/>
      <c r="CT417" s="1672"/>
      <c r="CU417" s="1672"/>
      <c r="CV417" s="1642"/>
      <c r="CW417" s="1672"/>
      <c r="CX417" s="1672"/>
      <c r="CY417" s="1672"/>
      <c r="CZ417" s="1672"/>
      <c r="DA417" s="1672"/>
      <c r="DB417" s="1672"/>
      <c r="DC417" s="1672"/>
      <c r="DD417" s="1672"/>
      <c r="DE417" s="1672"/>
      <c r="DF417" s="1672"/>
      <c r="DG417" s="1672"/>
      <c r="DH417" s="1672"/>
      <c r="DI417" s="1672"/>
      <c r="DJ417" s="1672"/>
      <c r="DK417" s="1672"/>
      <c r="DL417" s="1672"/>
    </row>
    <row r="418" spans="1:116" ht="12.75" hidden="1" customHeight="1">
      <c r="A418" s="1539" t="s">
        <v>708</v>
      </c>
      <c r="B418" s="1642"/>
      <c r="C418" s="1642"/>
      <c r="D418" s="1642"/>
      <c r="E418" s="1641"/>
      <c r="F418" s="1642"/>
      <c r="G418" s="1642"/>
      <c r="H418" s="1642"/>
      <c r="I418" s="1642"/>
      <c r="J418" s="1642"/>
      <c r="K418" s="1681"/>
      <c r="L418" s="1642"/>
      <c r="M418" s="1642"/>
      <c r="N418" s="1642"/>
      <c r="O418" s="1642"/>
      <c r="P418" s="1642"/>
      <c r="Q418" s="1642"/>
      <c r="R418" s="1642"/>
      <c r="S418" s="1642"/>
      <c r="T418" s="1642"/>
      <c r="U418" s="1642"/>
      <c r="V418" s="1642"/>
      <c r="W418" s="1642"/>
      <c r="X418" s="1642"/>
      <c r="Y418" s="1642"/>
      <c r="Z418" s="1642"/>
      <c r="AA418" s="1642"/>
      <c r="AB418" s="1642"/>
      <c r="AC418" s="1642"/>
      <c r="AD418" s="1642"/>
      <c r="AE418" s="1642"/>
      <c r="AF418" s="1641"/>
      <c r="AG418" s="1642"/>
      <c r="AH418" s="1642"/>
      <c r="AI418" s="1642"/>
      <c r="AJ418" s="1641"/>
      <c r="AK418" s="1642"/>
      <c r="AL418" s="1642"/>
      <c r="AM418" s="1642"/>
      <c r="AN418" s="1641"/>
      <c r="AO418" s="1642"/>
      <c r="AP418" s="1642"/>
      <c r="AQ418" s="1642"/>
      <c r="AR418" s="1641"/>
      <c r="AS418" s="1642"/>
      <c r="AT418" s="1642"/>
      <c r="AU418" s="1642"/>
      <c r="AV418" s="1641"/>
      <c r="AW418" s="1642"/>
      <c r="AX418" s="1642"/>
      <c r="AY418" s="1642"/>
      <c r="AZ418" s="1641"/>
      <c r="BA418" s="1642"/>
      <c r="BB418" s="1642"/>
      <c r="BC418" s="1642"/>
      <c r="BD418" s="1641"/>
      <c r="BE418" s="1642"/>
      <c r="BF418" s="1642"/>
      <c r="BG418" s="1642"/>
      <c r="BH418" s="1641"/>
      <c r="BI418" s="1642"/>
      <c r="BJ418" s="1642"/>
      <c r="BK418" s="1642"/>
      <c r="BL418" s="1641">
        <f>BP418/(1+BP419)</f>
        <v>5491.0856191222574</v>
      </c>
      <c r="BM418" s="1642">
        <f>BQ418/(1+BQ419)</f>
        <v>5490.7889553967952</v>
      </c>
      <c r="BN418" s="1642">
        <f>BR418/(1+BR419)</f>
        <v>5316.2363740676992</v>
      </c>
      <c r="BO418" s="1642">
        <f>BS418/(1+BS419)</f>
        <v>5218.5624766180317</v>
      </c>
      <c r="BP418" s="1633">
        <v>5069</v>
      </c>
      <c r="BQ418" s="1634">
        <v>5146</v>
      </c>
      <c r="BR418" s="1634">
        <v>5196</v>
      </c>
      <c r="BS418" s="1634">
        <v>5315</v>
      </c>
      <c r="BT418" s="1633">
        <v>5186</v>
      </c>
      <c r="BU418" s="1634">
        <v>5271</v>
      </c>
      <c r="BV418" s="1634">
        <v>5311</v>
      </c>
      <c r="BW418" s="1634">
        <v>5341</v>
      </c>
      <c r="BX418" s="1633">
        <v>5214</v>
      </c>
      <c r="BY418" s="1634">
        <v>5318</v>
      </c>
      <c r="BZ418" s="1634">
        <v>5377</v>
      </c>
      <c r="CA418" s="1634">
        <v>5217</v>
      </c>
      <c r="CB418" s="1633"/>
      <c r="CC418" s="1634"/>
      <c r="CD418" s="1634"/>
      <c r="CE418" s="1634"/>
      <c r="CF418" s="1641"/>
      <c r="CG418" s="1642"/>
      <c r="CH418" s="1642"/>
      <c r="CI418" s="1642"/>
      <c r="CJ418" s="1641"/>
      <c r="CK418" s="1642"/>
      <c r="CL418" s="1642"/>
      <c r="CM418" s="1681"/>
      <c r="CN418" s="1672"/>
      <c r="CO418" s="1672"/>
      <c r="CP418" s="1672"/>
      <c r="CQ418" s="1672"/>
      <c r="CR418" s="1672"/>
      <c r="CS418" s="1672"/>
      <c r="CT418" s="1672"/>
      <c r="CU418" s="1672"/>
      <c r="CV418" s="1642"/>
      <c r="CW418" s="1672"/>
      <c r="CX418" s="1672"/>
      <c r="CY418" s="1672"/>
      <c r="CZ418" s="1672"/>
      <c r="DA418" s="1672"/>
      <c r="DB418" s="1672"/>
      <c r="DC418" s="1672"/>
      <c r="DD418" s="1672"/>
      <c r="DE418" s="1672"/>
      <c r="DF418" s="1672"/>
      <c r="DG418" s="1672"/>
      <c r="DH418" s="1672"/>
      <c r="DI418" s="1672"/>
      <c r="DJ418" s="1672"/>
      <c r="DK418" s="1672"/>
      <c r="DL418" s="1672"/>
    </row>
    <row r="419" spans="1:116" ht="12.75" hidden="1" customHeight="1">
      <c r="A419" s="1644" t="s">
        <v>952</v>
      </c>
      <c r="B419" s="1642"/>
      <c r="C419" s="1642"/>
      <c r="D419" s="1642"/>
      <c r="E419" s="1641"/>
      <c r="F419" s="1642"/>
      <c r="G419" s="1642"/>
      <c r="H419" s="1642"/>
      <c r="I419" s="1642"/>
      <c r="J419" s="1642"/>
      <c r="K419" s="1681"/>
      <c r="L419" s="1642"/>
      <c r="M419" s="1642"/>
      <c r="N419" s="1642"/>
      <c r="O419" s="1642"/>
      <c r="P419" s="1642"/>
      <c r="Q419" s="1642"/>
      <c r="R419" s="1642"/>
      <c r="S419" s="1642"/>
      <c r="T419" s="1642"/>
      <c r="U419" s="1642"/>
      <c r="V419" s="1642"/>
      <c r="W419" s="1642"/>
      <c r="X419" s="1642"/>
      <c r="Y419" s="1642"/>
      <c r="Z419" s="1642"/>
      <c r="AA419" s="1642"/>
      <c r="AB419" s="1642"/>
      <c r="AC419" s="1642"/>
      <c r="AD419" s="1642"/>
      <c r="AE419" s="1642"/>
      <c r="AF419" s="1641"/>
      <c r="AG419" s="1642"/>
      <c r="AH419" s="1642"/>
      <c r="AI419" s="1642"/>
      <c r="AJ419" s="1641"/>
      <c r="AK419" s="1642"/>
      <c r="AL419" s="1642"/>
      <c r="AM419" s="1642"/>
      <c r="AN419" s="1641"/>
      <c r="AO419" s="1642"/>
      <c r="AP419" s="1642"/>
      <c r="AQ419" s="1642"/>
      <c r="AR419" s="1641"/>
      <c r="AS419" s="1642"/>
      <c r="AT419" s="1642"/>
      <c r="AU419" s="1642"/>
      <c r="AV419" s="1641"/>
      <c r="AW419" s="1642"/>
      <c r="AX419" s="1642"/>
      <c r="AY419" s="1642"/>
      <c r="AZ419" s="1641"/>
      <c r="BA419" s="1642"/>
      <c r="BB419" s="1642"/>
      <c r="BC419" s="1642"/>
      <c r="BD419" s="1641"/>
      <c r="BE419" s="1642"/>
      <c r="BF419" s="1642"/>
      <c r="BG419" s="1642"/>
      <c r="BH419" s="1641"/>
      <c r="BI419" s="1642"/>
      <c r="BJ419" s="1642"/>
      <c r="BK419" s="1642"/>
      <c r="BL419" s="1641"/>
      <c r="BM419" s="1642"/>
      <c r="BN419" s="1642"/>
      <c r="BO419" s="1642"/>
      <c r="BP419" s="1763">
        <v>-7.6867426297703004E-2</v>
      </c>
      <c r="BQ419" s="1764">
        <v>-6.2794064422728904E-2</v>
      </c>
      <c r="BR419" s="1764">
        <v>-2.2616822429906602E-2</v>
      </c>
      <c r="BS419" s="1764">
        <v>1.8479710421032601E-2</v>
      </c>
      <c r="BT419" s="1641">
        <f t="shared" ref="BT419:CE419" si="481">BT418/BP418-1</f>
        <v>2.3081475636220095E-2</v>
      </c>
      <c r="BU419" s="1642">
        <f t="shared" si="481"/>
        <v>2.4290711232024975E-2</v>
      </c>
      <c r="BV419" s="1642">
        <f t="shared" si="481"/>
        <v>2.2132409545804421E-2</v>
      </c>
      <c r="BW419" s="1642">
        <f t="shared" si="481"/>
        <v>4.8918156161805726E-3</v>
      </c>
      <c r="BX419" s="1641">
        <f t="shared" si="481"/>
        <v>5.3991515618974084E-3</v>
      </c>
      <c r="BY419" s="1642">
        <f t="shared" si="481"/>
        <v>8.9167140959969249E-3</v>
      </c>
      <c r="BZ419" s="1642">
        <f t="shared" si="481"/>
        <v>1.2427038222556863E-2</v>
      </c>
      <c r="CA419" s="1642">
        <f t="shared" si="481"/>
        <v>-2.3216626099981319E-2</v>
      </c>
      <c r="CB419" s="1641">
        <f t="shared" si="481"/>
        <v>-1</v>
      </c>
      <c r="CC419" s="1642">
        <f t="shared" si="481"/>
        <v>-1</v>
      </c>
      <c r="CD419" s="1642">
        <f t="shared" si="481"/>
        <v>-1</v>
      </c>
      <c r="CE419" s="1642">
        <f t="shared" si="481"/>
        <v>-1</v>
      </c>
      <c r="CF419" s="1641"/>
      <c r="CG419" s="1642"/>
      <c r="CH419" s="1642"/>
      <c r="CI419" s="1642"/>
      <c r="CJ419" s="1641"/>
      <c r="CK419" s="1642"/>
      <c r="CL419" s="1642"/>
      <c r="CM419" s="1681"/>
      <c r="CN419" s="1672"/>
      <c r="CO419" s="1672"/>
      <c r="CP419" s="1672"/>
      <c r="CQ419" s="1672"/>
      <c r="CR419" s="1672"/>
      <c r="CS419" s="1672"/>
      <c r="CT419" s="1672"/>
      <c r="CU419" s="1672"/>
      <c r="CV419" s="1642"/>
      <c r="CW419" s="1672"/>
      <c r="CX419" s="1672"/>
      <c r="CY419" s="1672"/>
      <c r="CZ419" s="1672"/>
      <c r="DA419" s="1672"/>
      <c r="DB419" s="1672"/>
      <c r="DC419" s="1672"/>
      <c r="DD419" s="1672"/>
      <c r="DE419" s="1672"/>
      <c r="DF419" s="1672"/>
      <c r="DG419" s="1672"/>
      <c r="DH419" s="1672"/>
      <c r="DI419" s="1672"/>
      <c r="DJ419" s="1672"/>
      <c r="DK419" s="1672"/>
      <c r="DL419" s="1672"/>
    </row>
    <row r="420" spans="1:116" ht="12.75" hidden="1" customHeight="1">
      <c r="A420" s="1657" t="s">
        <v>709</v>
      </c>
      <c r="B420" s="1642"/>
      <c r="C420" s="1642"/>
      <c r="D420" s="1642"/>
      <c r="E420" s="1641"/>
      <c r="F420" s="1642"/>
      <c r="G420" s="1642"/>
      <c r="H420" s="1642"/>
      <c r="I420" s="1642"/>
      <c r="J420" s="1642"/>
      <c r="K420" s="1681"/>
      <c r="L420" s="1642"/>
      <c r="M420" s="1642"/>
      <c r="N420" s="1642"/>
      <c r="O420" s="1642"/>
      <c r="P420" s="1642"/>
      <c r="Q420" s="1642"/>
      <c r="R420" s="1642"/>
      <c r="S420" s="1642"/>
      <c r="T420" s="1642"/>
      <c r="U420" s="1642"/>
      <c r="V420" s="1642"/>
      <c r="W420" s="1642"/>
      <c r="X420" s="1642"/>
      <c r="Y420" s="1642"/>
      <c r="Z420" s="1642"/>
      <c r="AA420" s="1642"/>
      <c r="AB420" s="1642"/>
      <c r="AC420" s="1642"/>
      <c r="AD420" s="1642"/>
      <c r="AE420" s="1642"/>
      <c r="AF420" s="1641"/>
      <c r="AG420" s="1642"/>
      <c r="AH420" s="1642"/>
      <c r="AI420" s="1642"/>
      <c r="AJ420" s="1641"/>
      <c r="AK420" s="1642"/>
      <c r="AL420" s="1642"/>
      <c r="AM420" s="1642"/>
      <c r="AN420" s="1641"/>
      <c r="AO420" s="1642"/>
      <c r="AP420" s="1642"/>
      <c r="AQ420" s="1642"/>
      <c r="AR420" s="1641"/>
      <c r="AS420" s="1642"/>
      <c r="AT420" s="1642"/>
      <c r="AU420" s="1642"/>
      <c r="AV420" s="1641"/>
      <c r="AW420" s="1642"/>
      <c r="AX420" s="1642"/>
      <c r="AY420" s="1642"/>
      <c r="AZ420" s="1641"/>
      <c r="BA420" s="1642"/>
      <c r="BB420" s="1642"/>
      <c r="BC420" s="1642"/>
      <c r="BD420" s="1641"/>
      <c r="BE420" s="1642"/>
      <c r="BF420" s="1642"/>
      <c r="BG420" s="1642"/>
      <c r="BH420" s="1641"/>
      <c r="BI420" s="1642"/>
      <c r="BJ420" s="1642"/>
      <c r="BK420" s="1642"/>
      <c r="BL420" s="1641"/>
      <c r="BM420" s="1642"/>
      <c r="BN420" s="1642"/>
      <c r="BO420" s="1642"/>
      <c r="BP420" s="1641"/>
      <c r="BQ420" s="1642"/>
      <c r="BR420" s="1642"/>
      <c r="BS420" s="1642"/>
      <c r="BT420" s="1641"/>
      <c r="BU420" s="1642"/>
      <c r="BV420" s="1642"/>
      <c r="BW420" s="1642"/>
      <c r="BX420" s="1641"/>
      <c r="BY420" s="1642"/>
      <c r="BZ420" s="1642"/>
      <c r="CA420" s="1642"/>
      <c r="CB420" s="1641"/>
      <c r="CC420" s="1642"/>
      <c r="CD420" s="1642"/>
      <c r="CE420" s="1642"/>
      <c r="CF420" s="1641"/>
      <c r="CG420" s="1642"/>
      <c r="CH420" s="1642"/>
      <c r="CI420" s="1642"/>
      <c r="CJ420" s="1641"/>
      <c r="CK420" s="1642"/>
      <c r="CL420" s="1642"/>
      <c r="CM420" s="1681"/>
      <c r="CN420" s="1672"/>
      <c r="CO420" s="1672"/>
      <c r="CP420" s="1672"/>
      <c r="CQ420" s="1672"/>
      <c r="CR420" s="1672"/>
      <c r="CS420" s="1672"/>
      <c r="CT420" s="1672"/>
      <c r="CU420" s="1672"/>
      <c r="CV420" s="1642"/>
      <c r="CW420" s="1672"/>
      <c r="CX420" s="1672"/>
      <c r="CY420" s="1672"/>
      <c r="CZ420" s="1672"/>
      <c r="DA420" s="1672"/>
      <c r="DB420" s="1672"/>
      <c r="DC420" s="1672"/>
      <c r="DD420" s="1672"/>
      <c r="DE420" s="1672"/>
      <c r="DF420" s="1672"/>
      <c r="DG420" s="1672"/>
      <c r="DH420" s="1672"/>
      <c r="DI420" s="1672"/>
      <c r="DJ420" s="1672"/>
      <c r="DK420" s="1672"/>
      <c r="DL420" s="1672"/>
    </row>
    <row r="421" spans="1:116" ht="12.75" hidden="1" customHeight="1">
      <c r="A421" s="1539" t="s">
        <v>710</v>
      </c>
      <c r="B421" s="1642"/>
      <c r="C421" s="1642"/>
      <c r="D421" s="1642"/>
      <c r="E421" s="1641"/>
      <c r="F421" s="1642"/>
      <c r="G421" s="1642"/>
      <c r="H421" s="1642"/>
      <c r="I421" s="1642"/>
      <c r="J421" s="1642"/>
      <c r="K421" s="1681"/>
      <c r="L421" s="1642"/>
      <c r="M421" s="1642"/>
      <c r="N421" s="1642"/>
      <c r="O421" s="1642"/>
      <c r="P421" s="1642"/>
      <c r="Q421" s="1642"/>
      <c r="R421" s="1642"/>
      <c r="S421" s="1642"/>
      <c r="T421" s="1642"/>
      <c r="U421" s="1642"/>
      <c r="V421" s="1642"/>
      <c r="W421" s="1642"/>
      <c r="X421" s="1642"/>
      <c r="Y421" s="1642"/>
      <c r="Z421" s="1642"/>
      <c r="AA421" s="1642"/>
      <c r="AB421" s="1642"/>
      <c r="AC421" s="1642"/>
      <c r="AD421" s="1642"/>
      <c r="AE421" s="1642"/>
      <c r="AF421" s="1641"/>
      <c r="AG421" s="1642"/>
      <c r="AH421" s="1642"/>
      <c r="AI421" s="1642"/>
      <c r="AJ421" s="1641"/>
      <c r="AK421" s="1642"/>
      <c r="AL421" s="1642"/>
      <c r="AM421" s="1642"/>
      <c r="AN421" s="1641"/>
      <c r="AO421" s="1642"/>
      <c r="AP421" s="1642"/>
      <c r="AQ421" s="1642"/>
      <c r="AR421" s="1641"/>
      <c r="AS421" s="1642"/>
      <c r="AT421" s="1642"/>
      <c r="AU421" s="1642"/>
      <c r="AV421" s="1641"/>
      <c r="AW421" s="1642"/>
      <c r="AX421" s="1642"/>
      <c r="AY421" s="1642"/>
      <c r="AZ421" s="1641"/>
      <c r="BA421" s="1642"/>
      <c r="BB421" s="1642"/>
      <c r="BC421" s="1642"/>
      <c r="BD421" s="1641"/>
      <c r="BE421" s="1642"/>
      <c r="BF421" s="1642"/>
      <c r="BG421" s="1642"/>
      <c r="BH421" s="1641"/>
      <c r="BI421" s="1642"/>
      <c r="BJ421" s="1642"/>
      <c r="BK421" s="1642"/>
      <c r="BL421" s="1641">
        <f>BP421/(1+BP422)</f>
        <v>3925.7688229056207</v>
      </c>
      <c r="BM421" s="1642">
        <f>BQ421/(1+BQ422)</f>
        <v>3931.4641744548289</v>
      </c>
      <c r="BN421" s="1642">
        <f>BR421/(1+BR422)</f>
        <v>3825.0497017892644</v>
      </c>
      <c r="BO421" s="1642">
        <f>BS421/(1+BS422)</f>
        <v>3776.7175572519081</v>
      </c>
      <c r="BP421" s="1633">
        <v>3702</v>
      </c>
      <c r="BQ421" s="1634">
        <v>3786</v>
      </c>
      <c r="BR421" s="1634">
        <v>3848</v>
      </c>
      <c r="BS421" s="1634">
        <v>3958</v>
      </c>
      <c r="BT421" s="1633">
        <v>3812</v>
      </c>
      <c r="BU421" s="1634">
        <v>3923</v>
      </c>
      <c r="BV421" s="1634">
        <v>4000</v>
      </c>
      <c r="BW421" s="1634">
        <v>4039</v>
      </c>
      <c r="BX421" s="1633">
        <v>3893</v>
      </c>
      <c r="BY421" s="1634">
        <v>3988</v>
      </c>
      <c r="BZ421" s="1634">
        <v>4028</v>
      </c>
      <c r="CA421" s="1634">
        <v>3936</v>
      </c>
      <c r="CB421" s="1633"/>
      <c r="CC421" s="1634"/>
      <c r="CD421" s="1634"/>
      <c r="CE421" s="1634"/>
      <c r="CF421" s="1641"/>
      <c r="CG421" s="1642"/>
      <c r="CH421" s="1642"/>
      <c r="CI421" s="1642"/>
      <c r="CJ421" s="1641"/>
      <c r="CK421" s="1642"/>
      <c r="CL421" s="1642"/>
      <c r="CM421" s="1681"/>
      <c r="CN421" s="1672"/>
      <c r="CO421" s="1672"/>
      <c r="CP421" s="1672"/>
      <c r="CQ421" s="1672"/>
      <c r="CR421" s="1672"/>
      <c r="CS421" s="1672"/>
      <c r="CT421" s="1672"/>
      <c r="CU421" s="1672"/>
      <c r="CV421" s="1642"/>
      <c r="CW421" s="1672"/>
      <c r="CX421" s="1672"/>
      <c r="CY421" s="1672"/>
      <c r="CZ421" s="1672"/>
      <c r="DA421" s="1672"/>
      <c r="DB421" s="1672"/>
      <c r="DC421" s="1672"/>
      <c r="DD421" s="1672"/>
      <c r="DE421" s="1672"/>
      <c r="DF421" s="1672"/>
      <c r="DG421" s="1672"/>
      <c r="DH421" s="1672"/>
      <c r="DI421" s="1672"/>
      <c r="DJ421" s="1672"/>
      <c r="DK421" s="1672"/>
      <c r="DL421" s="1672"/>
    </row>
    <row r="422" spans="1:116" ht="12.75" hidden="1" customHeight="1">
      <c r="A422" s="1644" t="s">
        <v>952</v>
      </c>
      <c r="B422" s="1642"/>
      <c r="C422" s="1642"/>
      <c r="D422" s="1642"/>
      <c r="E422" s="1641"/>
      <c r="F422" s="1642"/>
      <c r="G422" s="1642"/>
      <c r="H422" s="1642"/>
      <c r="I422" s="1642"/>
      <c r="J422" s="1642"/>
      <c r="K422" s="1681"/>
      <c r="L422" s="1642"/>
      <c r="M422" s="1642"/>
      <c r="N422" s="1642"/>
      <c r="O422" s="1642"/>
      <c r="P422" s="1642"/>
      <c r="Q422" s="1642"/>
      <c r="R422" s="1642"/>
      <c r="S422" s="1642"/>
      <c r="T422" s="1642"/>
      <c r="U422" s="1642"/>
      <c r="V422" s="1642"/>
      <c r="W422" s="1642"/>
      <c r="X422" s="1642"/>
      <c r="Y422" s="1642"/>
      <c r="Z422" s="1642"/>
      <c r="AA422" s="1642"/>
      <c r="AB422" s="1642"/>
      <c r="AC422" s="1642"/>
      <c r="AD422" s="1642"/>
      <c r="AE422" s="1642"/>
      <c r="AF422" s="1641"/>
      <c r="AG422" s="1642"/>
      <c r="AH422" s="1642"/>
      <c r="AI422" s="1642"/>
      <c r="AJ422" s="1641"/>
      <c r="AK422" s="1642"/>
      <c r="AL422" s="1642"/>
      <c r="AM422" s="1642"/>
      <c r="AN422" s="1641"/>
      <c r="AO422" s="1642"/>
      <c r="AP422" s="1642"/>
      <c r="AQ422" s="1642"/>
      <c r="AR422" s="1641"/>
      <c r="AS422" s="1642"/>
      <c r="AT422" s="1642"/>
      <c r="AU422" s="1642"/>
      <c r="AV422" s="1641"/>
      <c r="AW422" s="1642"/>
      <c r="AX422" s="1642"/>
      <c r="AY422" s="1642"/>
      <c r="AZ422" s="1641"/>
      <c r="BA422" s="1642"/>
      <c r="BB422" s="1642"/>
      <c r="BC422" s="1642"/>
      <c r="BD422" s="1641"/>
      <c r="BE422" s="1642"/>
      <c r="BF422" s="1642"/>
      <c r="BG422" s="1642"/>
      <c r="BH422" s="1641"/>
      <c r="BI422" s="1642"/>
      <c r="BJ422" s="1642"/>
      <c r="BK422" s="1642"/>
      <c r="BL422" s="1641"/>
      <c r="BM422" s="1642"/>
      <c r="BN422" s="1642"/>
      <c r="BO422" s="1642"/>
      <c r="BP422" s="1763">
        <v>-5.7000000000000002E-2</v>
      </c>
      <c r="BQ422" s="1764">
        <v>-3.6999999999999998E-2</v>
      </c>
      <c r="BR422" s="1764">
        <v>6.0000000000000001E-3</v>
      </c>
      <c r="BS422" s="1764">
        <v>4.8000000000000001E-2</v>
      </c>
      <c r="BT422" s="1641">
        <f t="shared" ref="BT422:CE422" si="482">BT421/BP421-1</f>
        <v>2.9713668287412176E-2</v>
      </c>
      <c r="BU422" s="1642">
        <f t="shared" si="482"/>
        <v>3.6185948230322174E-2</v>
      </c>
      <c r="BV422" s="1642">
        <f t="shared" si="482"/>
        <v>3.9501039501039559E-2</v>
      </c>
      <c r="BW422" s="1642">
        <f t="shared" si="482"/>
        <v>2.0464881253158262E-2</v>
      </c>
      <c r="BX422" s="1641">
        <f t="shared" si="482"/>
        <v>2.1248688352570877E-2</v>
      </c>
      <c r="BY422" s="1642">
        <f t="shared" si="482"/>
        <v>1.6568952332398634E-2</v>
      </c>
      <c r="BZ422" s="1642">
        <f t="shared" si="482"/>
        <v>6.9999999999998952E-3</v>
      </c>
      <c r="CA422" s="1642">
        <f t="shared" si="482"/>
        <v>-2.5501361723198834E-2</v>
      </c>
      <c r="CB422" s="1641">
        <f t="shared" si="482"/>
        <v>-1</v>
      </c>
      <c r="CC422" s="1642">
        <f t="shared" si="482"/>
        <v>-1</v>
      </c>
      <c r="CD422" s="1642">
        <f t="shared" si="482"/>
        <v>-1</v>
      </c>
      <c r="CE422" s="1642">
        <f t="shared" si="482"/>
        <v>-1</v>
      </c>
      <c r="CF422" s="1641"/>
      <c r="CG422" s="1642"/>
      <c r="CH422" s="1642"/>
      <c r="CI422" s="1642"/>
      <c r="CJ422" s="1641"/>
      <c r="CK422" s="1642"/>
      <c r="CL422" s="1642"/>
      <c r="CM422" s="1681"/>
      <c r="CN422" s="1672"/>
      <c r="CO422" s="1672"/>
      <c r="CP422" s="1672"/>
      <c r="CQ422" s="1672"/>
      <c r="CR422" s="1672"/>
      <c r="CS422" s="1672"/>
      <c r="CT422" s="1672"/>
      <c r="CU422" s="1672"/>
      <c r="CV422" s="1642"/>
      <c r="CW422" s="1672"/>
      <c r="CX422" s="1672"/>
      <c r="CY422" s="1672"/>
      <c r="CZ422" s="1672"/>
      <c r="DA422" s="1672"/>
      <c r="DB422" s="1672"/>
      <c r="DC422" s="1672"/>
      <c r="DD422" s="1672"/>
      <c r="DE422" s="1672"/>
      <c r="DF422" s="1672"/>
      <c r="DG422" s="1672"/>
      <c r="DH422" s="1672"/>
      <c r="DI422" s="1672"/>
      <c r="DJ422" s="1672"/>
      <c r="DK422" s="1672"/>
      <c r="DL422" s="1672"/>
    </row>
    <row r="423" spans="1:116" ht="12.75" hidden="1" customHeight="1">
      <c r="A423" s="1539" t="s">
        <v>711</v>
      </c>
      <c r="B423" s="1642"/>
      <c r="C423" s="1642"/>
      <c r="D423" s="1642"/>
      <c r="E423" s="1641"/>
      <c r="F423" s="1642"/>
      <c r="G423" s="1642"/>
      <c r="H423" s="1642"/>
      <c r="I423" s="1642"/>
      <c r="J423" s="1642"/>
      <c r="K423" s="1681"/>
      <c r="L423" s="1642"/>
      <c r="M423" s="1642"/>
      <c r="N423" s="1642"/>
      <c r="O423" s="1642"/>
      <c r="P423" s="1642"/>
      <c r="Q423" s="1642"/>
      <c r="R423" s="1642"/>
      <c r="S423" s="1642"/>
      <c r="T423" s="1642"/>
      <c r="U423" s="1642"/>
      <c r="V423" s="1642"/>
      <c r="W423" s="1642"/>
      <c r="X423" s="1642"/>
      <c r="Y423" s="1642"/>
      <c r="Z423" s="1642"/>
      <c r="AA423" s="1642"/>
      <c r="AB423" s="1642"/>
      <c r="AC423" s="1642"/>
      <c r="AD423" s="1642"/>
      <c r="AE423" s="1642"/>
      <c r="AF423" s="1641"/>
      <c r="AG423" s="1642"/>
      <c r="AH423" s="1642"/>
      <c r="AI423" s="1642"/>
      <c r="AJ423" s="1641"/>
      <c r="AK423" s="1642"/>
      <c r="AL423" s="1642"/>
      <c r="AM423" s="1642"/>
      <c r="AN423" s="1641"/>
      <c r="AO423" s="1642"/>
      <c r="AP423" s="1642"/>
      <c r="AQ423" s="1642"/>
      <c r="AR423" s="1641"/>
      <c r="AS423" s="1642"/>
      <c r="AT423" s="1642"/>
      <c r="AU423" s="1642"/>
      <c r="AV423" s="1641"/>
      <c r="AW423" s="1642"/>
      <c r="AX423" s="1642"/>
      <c r="AY423" s="1642"/>
      <c r="AZ423" s="1641"/>
      <c r="BA423" s="1642"/>
      <c r="BB423" s="1642"/>
      <c r="BC423" s="1642"/>
      <c r="BD423" s="1641"/>
      <c r="BE423" s="1642"/>
      <c r="BF423" s="1642"/>
      <c r="BG423" s="1642"/>
      <c r="BH423" s="1641"/>
      <c r="BI423" s="1642"/>
      <c r="BJ423" s="1642"/>
      <c r="BK423" s="1642"/>
      <c r="BL423" s="1641">
        <f>BP423/(1+BP424)</f>
        <v>1493.1972789115646</v>
      </c>
      <c r="BM423" s="1642">
        <f>BQ423/(1+BQ424)</f>
        <v>1476.3513513513512</v>
      </c>
      <c r="BN423" s="1642">
        <f>BR423/(1+BR424)</f>
        <v>1422.950819672131</v>
      </c>
      <c r="BO423" s="1642">
        <f>BS423/(1+BS424)</f>
        <v>1375.130616509927</v>
      </c>
      <c r="BP423" s="1633">
        <v>1317</v>
      </c>
      <c r="BQ423" s="1634">
        <v>1311</v>
      </c>
      <c r="BR423" s="1634">
        <v>1302</v>
      </c>
      <c r="BS423" s="1634">
        <v>1316</v>
      </c>
      <c r="BT423" s="1633">
        <v>1326</v>
      </c>
      <c r="BU423" s="1634">
        <v>1310</v>
      </c>
      <c r="BV423" s="1634">
        <v>1302</v>
      </c>
      <c r="BW423" s="1634">
        <v>1302</v>
      </c>
      <c r="BX423" s="1633">
        <v>1321</v>
      </c>
      <c r="BY423" s="1634">
        <v>1330</v>
      </c>
      <c r="BZ423" s="1634">
        <v>1349</v>
      </c>
      <c r="CA423" s="1634">
        <v>1281</v>
      </c>
      <c r="CB423" s="1633"/>
      <c r="CC423" s="1634"/>
      <c r="CD423" s="1634"/>
      <c r="CE423" s="1634"/>
      <c r="CF423" s="1641"/>
      <c r="CG423" s="1642"/>
      <c r="CH423" s="1642"/>
      <c r="CI423" s="1642"/>
      <c r="CJ423" s="1641"/>
      <c r="CK423" s="1642"/>
      <c r="CL423" s="1642"/>
      <c r="CM423" s="1681"/>
      <c r="CN423" s="1672"/>
      <c r="CO423" s="1672"/>
      <c r="CP423" s="1672"/>
      <c r="CQ423" s="1672"/>
      <c r="CR423" s="1672"/>
      <c r="CS423" s="1672"/>
      <c r="CT423" s="1672"/>
      <c r="CU423" s="1672"/>
      <c r="CV423" s="1642"/>
      <c r="CW423" s="1672"/>
      <c r="CX423" s="1672"/>
      <c r="CY423" s="1672"/>
      <c r="CZ423" s="1672"/>
      <c r="DA423" s="1672"/>
      <c r="DB423" s="1672"/>
      <c r="DC423" s="1672"/>
      <c r="DD423" s="1672"/>
      <c r="DE423" s="1672"/>
      <c r="DF423" s="1672"/>
      <c r="DG423" s="1672"/>
      <c r="DH423" s="1672"/>
      <c r="DI423" s="1672"/>
      <c r="DJ423" s="1672"/>
      <c r="DK423" s="1672"/>
      <c r="DL423" s="1672"/>
    </row>
    <row r="424" spans="1:116" ht="12.75" hidden="1" customHeight="1">
      <c r="A424" s="1644" t="s">
        <v>952</v>
      </c>
      <c r="B424" s="1642"/>
      <c r="C424" s="1642"/>
      <c r="D424" s="1642"/>
      <c r="E424" s="1641"/>
      <c r="F424" s="1642"/>
      <c r="G424" s="1642"/>
      <c r="H424" s="1642"/>
      <c r="I424" s="1642"/>
      <c r="J424" s="1642"/>
      <c r="K424" s="1681"/>
      <c r="L424" s="1642"/>
      <c r="M424" s="1642"/>
      <c r="N424" s="1642"/>
      <c r="O424" s="1642"/>
      <c r="P424" s="1642"/>
      <c r="Q424" s="1642"/>
      <c r="R424" s="1642"/>
      <c r="S424" s="1642"/>
      <c r="T424" s="1642"/>
      <c r="U424" s="1642"/>
      <c r="V424" s="1642"/>
      <c r="W424" s="1642"/>
      <c r="X424" s="1642"/>
      <c r="Y424" s="1642"/>
      <c r="Z424" s="1642"/>
      <c r="AA424" s="1642"/>
      <c r="AB424" s="1642"/>
      <c r="AC424" s="1642"/>
      <c r="AD424" s="1642"/>
      <c r="AE424" s="1642"/>
      <c r="AF424" s="1641"/>
      <c r="AG424" s="1642"/>
      <c r="AH424" s="1642"/>
      <c r="AI424" s="1642"/>
      <c r="AJ424" s="1641"/>
      <c r="AK424" s="1642"/>
      <c r="AL424" s="1642"/>
      <c r="AM424" s="1642"/>
      <c r="AN424" s="1641"/>
      <c r="AO424" s="1642"/>
      <c r="AP424" s="1642"/>
      <c r="AQ424" s="1642"/>
      <c r="AR424" s="1641"/>
      <c r="AS424" s="1642"/>
      <c r="AT424" s="1642"/>
      <c r="AU424" s="1642"/>
      <c r="AV424" s="1641"/>
      <c r="AW424" s="1642"/>
      <c r="AX424" s="1642"/>
      <c r="AY424" s="1642"/>
      <c r="AZ424" s="1641"/>
      <c r="BA424" s="1642"/>
      <c r="BB424" s="1642"/>
      <c r="BC424" s="1642"/>
      <c r="BD424" s="1641"/>
      <c r="BE424" s="1642"/>
      <c r="BF424" s="1642"/>
      <c r="BG424" s="1642"/>
      <c r="BH424" s="1641"/>
      <c r="BI424" s="1642"/>
      <c r="BJ424" s="1642"/>
      <c r="BK424" s="1642"/>
      <c r="BL424" s="1641"/>
      <c r="BM424" s="1642"/>
      <c r="BN424" s="1642"/>
      <c r="BO424" s="1642"/>
      <c r="BP424" s="1763">
        <v>-0.11799999999999999</v>
      </c>
      <c r="BQ424" s="1764">
        <v>-0.112</v>
      </c>
      <c r="BR424" s="1764">
        <v>-8.5000000000000006E-2</v>
      </c>
      <c r="BS424" s="1764">
        <v>-4.2999999999999997E-2</v>
      </c>
      <c r="BT424" s="1641">
        <f t="shared" ref="BT424:CE424" si="483">BT423/BP423-1</f>
        <v>6.8337129840547739E-3</v>
      </c>
      <c r="BU424" s="1642">
        <f t="shared" si="483"/>
        <v>-7.6277650648359785E-4</v>
      </c>
      <c r="BV424" s="1642">
        <f t="shared" si="483"/>
        <v>0</v>
      </c>
      <c r="BW424" s="1642">
        <f t="shared" si="483"/>
        <v>-1.0638297872340385E-2</v>
      </c>
      <c r="BX424" s="1641">
        <f t="shared" si="483"/>
        <v>-3.7707390648566985E-3</v>
      </c>
      <c r="BY424" s="1642">
        <f t="shared" si="483"/>
        <v>1.5267175572519109E-2</v>
      </c>
      <c r="BZ424" s="1642">
        <f t="shared" si="483"/>
        <v>3.6098310291858615E-2</v>
      </c>
      <c r="CA424" s="1642">
        <f t="shared" si="483"/>
        <v>-1.6129032258064502E-2</v>
      </c>
      <c r="CB424" s="1641">
        <f t="shared" si="483"/>
        <v>-1</v>
      </c>
      <c r="CC424" s="1642">
        <f t="shared" si="483"/>
        <v>-1</v>
      </c>
      <c r="CD424" s="1642">
        <f t="shared" si="483"/>
        <v>-1</v>
      </c>
      <c r="CE424" s="1642">
        <f t="shared" si="483"/>
        <v>-1</v>
      </c>
      <c r="CF424" s="1641"/>
      <c r="CG424" s="1642"/>
      <c r="CH424" s="1642"/>
      <c r="CI424" s="1642"/>
      <c r="CJ424" s="1641"/>
      <c r="CK424" s="1642"/>
      <c r="CL424" s="1642"/>
      <c r="CM424" s="1681"/>
      <c r="CN424" s="1672"/>
      <c r="CO424" s="1672"/>
      <c r="CP424" s="1672"/>
      <c r="CQ424" s="1672"/>
      <c r="CR424" s="1672"/>
      <c r="CS424" s="1672"/>
      <c r="CT424" s="1672"/>
      <c r="CU424" s="1672"/>
      <c r="CV424" s="1642"/>
      <c r="CW424" s="1672"/>
      <c r="CX424" s="1672"/>
      <c r="CY424" s="1672"/>
      <c r="CZ424" s="1672"/>
      <c r="DA424" s="1672"/>
      <c r="DB424" s="1672"/>
      <c r="DC424" s="1672"/>
      <c r="DD424" s="1672"/>
      <c r="DE424" s="1672"/>
      <c r="DF424" s="1672"/>
      <c r="DG424" s="1672"/>
      <c r="DH424" s="1672"/>
      <c r="DI424" s="1672"/>
      <c r="DJ424" s="1672"/>
      <c r="DK424" s="1672"/>
      <c r="DL424" s="1672"/>
    </row>
    <row r="425" spans="1:116" ht="12.75" hidden="1" customHeight="1">
      <c r="A425" s="1539" t="s">
        <v>712</v>
      </c>
      <c r="B425" s="1642"/>
      <c r="C425" s="1642"/>
      <c r="D425" s="1642"/>
      <c r="E425" s="1641"/>
      <c r="F425" s="1642"/>
      <c r="G425" s="1642"/>
      <c r="H425" s="1642"/>
      <c r="I425" s="1642"/>
      <c r="J425" s="1642"/>
      <c r="K425" s="1681"/>
      <c r="L425" s="1642"/>
      <c r="M425" s="1642"/>
      <c r="N425" s="1642"/>
      <c r="O425" s="1642"/>
      <c r="P425" s="1642"/>
      <c r="Q425" s="1642"/>
      <c r="R425" s="1642"/>
      <c r="S425" s="1642"/>
      <c r="T425" s="1642"/>
      <c r="U425" s="1642"/>
      <c r="V425" s="1642"/>
      <c r="W425" s="1642"/>
      <c r="X425" s="1642"/>
      <c r="Y425" s="1642"/>
      <c r="Z425" s="1642"/>
      <c r="AA425" s="1642"/>
      <c r="AB425" s="1642"/>
      <c r="AC425" s="1642"/>
      <c r="AD425" s="1642"/>
      <c r="AE425" s="1642"/>
      <c r="AF425" s="1641"/>
      <c r="AG425" s="1642"/>
      <c r="AH425" s="1642"/>
      <c r="AI425" s="1642"/>
      <c r="AJ425" s="1641"/>
      <c r="AK425" s="1642"/>
      <c r="AL425" s="1642"/>
      <c r="AM425" s="1642"/>
      <c r="AN425" s="1641"/>
      <c r="AO425" s="1642"/>
      <c r="AP425" s="1642"/>
      <c r="AQ425" s="1642"/>
      <c r="AR425" s="1641"/>
      <c r="AS425" s="1642"/>
      <c r="AT425" s="1642"/>
      <c r="AU425" s="1642"/>
      <c r="AV425" s="1641"/>
      <c r="AW425" s="1642"/>
      <c r="AX425" s="1642"/>
      <c r="AY425" s="1642"/>
      <c r="AZ425" s="1641"/>
      <c r="BA425" s="1642"/>
      <c r="BB425" s="1642"/>
      <c r="BC425" s="1642"/>
      <c r="BD425" s="1641"/>
      <c r="BE425" s="1642"/>
      <c r="BF425" s="1642"/>
      <c r="BG425" s="1642"/>
      <c r="BH425" s="1641"/>
      <c r="BI425" s="1642"/>
      <c r="BJ425" s="1642"/>
      <c r="BK425" s="1642"/>
      <c r="BL425" s="1641">
        <f>BP425/(1+BP426)</f>
        <v>60.975609756097555</v>
      </c>
      <c r="BM425" s="1642">
        <f>BQ425/(1+BQ426)</f>
        <v>64.986737400530501</v>
      </c>
      <c r="BN425" s="1642">
        <f>BR425/(1+BR426)</f>
        <v>53.990610328638496</v>
      </c>
      <c r="BO425" s="1642">
        <f>BS425/(1+BS426)</f>
        <v>52.030456852791879</v>
      </c>
      <c r="BP425" s="1633">
        <v>50</v>
      </c>
      <c r="BQ425" s="1634">
        <v>49</v>
      </c>
      <c r="BR425" s="1634">
        <v>46</v>
      </c>
      <c r="BS425" s="1634">
        <v>41</v>
      </c>
      <c r="BT425" s="1633">
        <v>48</v>
      </c>
      <c r="BU425" s="1634">
        <v>38</v>
      </c>
      <c r="BV425" s="1634">
        <v>9</v>
      </c>
      <c r="BW425" s="1777">
        <v>0</v>
      </c>
      <c r="BX425" s="1778">
        <v>0</v>
      </c>
      <c r="BY425" s="1777">
        <v>0</v>
      </c>
      <c r="BZ425" s="1777">
        <v>0</v>
      </c>
      <c r="CA425" s="1777">
        <v>0</v>
      </c>
      <c r="CB425" s="1778"/>
      <c r="CC425" s="1777"/>
      <c r="CD425" s="1777"/>
      <c r="CE425" s="1777"/>
      <c r="CF425" s="1641"/>
      <c r="CG425" s="1642"/>
      <c r="CH425" s="1642"/>
      <c r="CI425" s="1642"/>
      <c r="CJ425" s="1641"/>
      <c r="CK425" s="1642"/>
      <c r="CL425" s="1642"/>
      <c r="CM425" s="1681"/>
      <c r="CN425" s="1672"/>
      <c r="CO425" s="1672"/>
      <c r="CP425" s="1672"/>
      <c r="CQ425" s="1672"/>
      <c r="CR425" s="1672"/>
      <c r="CS425" s="1672"/>
      <c r="CT425" s="1672"/>
      <c r="CU425" s="1672"/>
      <c r="CV425" s="1642"/>
      <c r="CW425" s="1672"/>
      <c r="CX425" s="1672"/>
      <c r="CY425" s="1672"/>
      <c r="CZ425" s="1672"/>
      <c r="DA425" s="1672"/>
      <c r="DB425" s="1672"/>
      <c r="DC425" s="1672"/>
      <c r="DD425" s="1672"/>
      <c r="DE425" s="1672"/>
      <c r="DF425" s="1672"/>
      <c r="DG425" s="1672"/>
      <c r="DH425" s="1672"/>
      <c r="DI425" s="1672"/>
      <c r="DJ425" s="1672"/>
      <c r="DK425" s="1672"/>
      <c r="DL425" s="1672"/>
    </row>
    <row r="426" spans="1:116" ht="12.75" hidden="1" customHeight="1">
      <c r="A426" s="1644" t="s">
        <v>952</v>
      </c>
      <c r="B426" s="1642"/>
      <c r="C426" s="1642"/>
      <c r="D426" s="1642"/>
      <c r="E426" s="1641"/>
      <c r="F426" s="1642"/>
      <c r="G426" s="1642"/>
      <c r="H426" s="1642"/>
      <c r="I426" s="1642"/>
      <c r="J426" s="1642"/>
      <c r="K426" s="1681"/>
      <c r="L426" s="1642"/>
      <c r="M426" s="1642"/>
      <c r="N426" s="1642"/>
      <c r="O426" s="1642"/>
      <c r="P426" s="1642"/>
      <c r="Q426" s="1642"/>
      <c r="R426" s="1642"/>
      <c r="S426" s="1642"/>
      <c r="T426" s="1642"/>
      <c r="U426" s="1642"/>
      <c r="V426" s="1642"/>
      <c r="W426" s="1642"/>
      <c r="X426" s="1642"/>
      <c r="Y426" s="1642"/>
      <c r="Z426" s="1642"/>
      <c r="AA426" s="1642"/>
      <c r="AB426" s="1642"/>
      <c r="AC426" s="1642"/>
      <c r="AD426" s="1642"/>
      <c r="AE426" s="1642"/>
      <c r="AF426" s="1641"/>
      <c r="AG426" s="1642"/>
      <c r="AH426" s="1642"/>
      <c r="AI426" s="1642"/>
      <c r="AJ426" s="1641"/>
      <c r="AK426" s="1642"/>
      <c r="AL426" s="1642"/>
      <c r="AM426" s="1642"/>
      <c r="AN426" s="1641"/>
      <c r="AO426" s="1642"/>
      <c r="AP426" s="1642"/>
      <c r="AQ426" s="1642"/>
      <c r="AR426" s="1641"/>
      <c r="AS426" s="1642"/>
      <c r="AT426" s="1642"/>
      <c r="AU426" s="1642"/>
      <c r="AV426" s="1641"/>
      <c r="AW426" s="1642"/>
      <c r="AX426" s="1642"/>
      <c r="AY426" s="1642"/>
      <c r="AZ426" s="1641"/>
      <c r="BA426" s="1642"/>
      <c r="BB426" s="1642"/>
      <c r="BC426" s="1642"/>
      <c r="BD426" s="1641"/>
      <c r="BE426" s="1642"/>
      <c r="BF426" s="1642"/>
      <c r="BG426" s="1642"/>
      <c r="BH426" s="1641"/>
      <c r="BI426" s="1642"/>
      <c r="BJ426" s="1642"/>
      <c r="BK426" s="1642"/>
      <c r="BL426" s="1641"/>
      <c r="BM426" s="1642"/>
      <c r="BN426" s="1642"/>
      <c r="BO426" s="1642"/>
      <c r="BP426" s="1763">
        <v>-0.18</v>
      </c>
      <c r="BQ426" s="1764">
        <v>-0.246</v>
      </c>
      <c r="BR426" s="1764">
        <v>-0.14799999999999999</v>
      </c>
      <c r="BS426" s="1764">
        <v>-0.21199999999999999</v>
      </c>
      <c r="BT426" s="1641">
        <f>BT425/BP425-1</f>
        <v>-4.0000000000000036E-2</v>
      </c>
      <c r="BU426" s="1642">
        <f>BU425/BQ425-1</f>
        <v>-0.22448979591836737</v>
      </c>
      <c r="BV426" s="1642">
        <f>BV425/BR425-1</f>
        <v>-0.80434782608695654</v>
      </c>
      <c r="BW426" s="1658" t="s">
        <v>713</v>
      </c>
      <c r="BX426" s="1659" t="s">
        <v>713</v>
      </c>
      <c r="BY426" s="1658" t="s">
        <v>713</v>
      </c>
      <c r="BZ426" s="1658" t="s">
        <v>713</v>
      </c>
      <c r="CA426" s="1658" t="s">
        <v>713</v>
      </c>
      <c r="CB426" s="1659" t="s">
        <v>713</v>
      </c>
      <c r="CC426" s="1658" t="s">
        <v>713</v>
      </c>
      <c r="CD426" s="1658" t="s">
        <v>713</v>
      </c>
      <c r="CE426" s="1658" t="s">
        <v>713</v>
      </c>
      <c r="CF426" s="1641"/>
      <c r="CG426" s="1642"/>
      <c r="CH426" s="1642"/>
      <c r="CI426" s="1642"/>
      <c r="CJ426" s="1641"/>
      <c r="CK426" s="1642"/>
      <c r="CL426" s="1642"/>
      <c r="CM426" s="1681"/>
      <c r="CN426" s="1672"/>
      <c r="CO426" s="1672"/>
      <c r="CP426" s="1672"/>
      <c r="CQ426" s="1672"/>
      <c r="CR426" s="1672"/>
      <c r="CS426" s="1672"/>
      <c r="CT426" s="1672"/>
      <c r="CU426" s="1672"/>
      <c r="CV426" s="1642"/>
      <c r="CW426" s="1672"/>
      <c r="CX426" s="1672"/>
      <c r="CY426" s="1672"/>
      <c r="CZ426" s="1672"/>
      <c r="DA426" s="1672"/>
      <c r="DB426" s="1672"/>
      <c r="DC426" s="1672"/>
      <c r="DD426" s="1672"/>
      <c r="DE426" s="1672"/>
      <c r="DF426" s="1672"/>
      <c r="DG426" s="1672"/>
      <c r="DH426" s="1672"/>
      <c r="DI426" s="1672"/>
      <c r="DJ426" s="1672"/>
      <c r="DK426" s="1672"/>
      <c r="DL426" s="1672"/>
    </row>
    <row r="427" spans="1:116" ht="12.75" hidden="1" customHeight="1">
      <c r="A427" s="1539" t="s">
        <v>708</v>
      </c>
      <c r="B427" s="1642"/>
      <c r="C427" s="1642"/>
      <c r="D427" s="1642"/>
      <c r="E427" s="1641"/>
      <c r="F427" s="1642"/>
      <c r="G427" s="1642"/>
      <c r="H427" s="1642"/>
      <c r="I427" s="1642"/>
      <c r="J427" s="1642"/>
      <c r="K427" s="1681"/>
      <c r="L427" s="1642"/>
      <c r="M427" s="1642"/>
      <c r="N427" s="1642"/>
      <c r="O427" s="1642"/>
      <c r="P427" s="1642"/>
      <c r="Q427" s="1642"/>
      <c r="R427" s="1642"/>
      <c r="S427" s="1642"/>
      <c r="T427" s="1642"/>
      <c r="U427" s="1642"/>
      <c r="V427" s="1642"/>
      <c r="W427" s="1642"/>
      <c r="X427" s="1642"/>
      <c r="Y427" s="1642"/>
      <c r="Z427" s="1642"/>
      <c r="AA427" s="1642"/>
      <c r="AB427" s="1642"/>
      <c r="AC427" s="1642"/>
      <c r="AD427" s="1642"/>
      <c r="AE427" s="1642"/>
      <c r="AF427" s="1641"/>
      <c r="AG427" s="1642"/>
      <c r="AH427" s="1642"/>
      <c r="AI427" s="1642"/>
      <c r="AJ427" s="1641"/>
      <c r="AK427" s="1642"/>
      <c r="AL427" s="1642"/>
      <c r="AM427" s="1642"/>
      <c r="AN427" s="1641"/>
      <c r="AO427" s="1642"/>
      <c r="AP427" s="1642"/>
      <c r="AQ427" s="1642"/>
      <c r="AR427" s="1641"/>
      <c r="AS427" s="1642"/>
      <c r="AT427" s="1642"/>
      <c r="AU427" s="1642"/>
      <c r="AV427" s="1641"/>
      <c r="AW427" s="1642"/>
      <c r="AX427" s="1642"/>
      <c r="AY427" s="1642"/>
      <c r="AZ427" s="1641"/>
      <c r="BA427" s="1642"/>
      <c r="BB427" s="1642"/>
      <c r="BC427" s="1642"/>
      <c r="BD427" s="1641"/>
      <c r="BE427" s="1642"/>
      <c r="BF427" s="1642"/>
      <c r="BG427" s="1642"/>
      <c r="BH427" s="1641"/>
      <c r="BI427" s="1642"/>
      <c r="BJ427" s="1642"/>
      <c r="BK427" s="1642"/>
      <c r="BL427" s="1641">
        <f>BP427/(1+BP428)</f>
        <v>5491.0856191222574</v>
      </c>
      <c r="BM427" s="1642">
        <f>BQ427/(1+BQ428)</f>
        <v>5490.7889553967952</v>
      </c>
      <c r="BN427" s="1642">
        <f>BR427/(1+BR428)</f>
        <v>5316.2363740676992</v>
      </c>
      <c r="BO427" s="1642">
        <f>BS427/(1+BS428)</f>
        <v>5218.5624766180317</v>
      </c>
      <c r="BP427" s="1633">
        <v>5069</v>
      </c>
      <c r="BQ427" s="1634">
        <v>5146</v>
      </c>
      <c r="BR427" s="1634">
        <v>5196</v>
      </c>
      <c r="BS427" s="1634">
        <v>5315</v>
      </c>
      <c r="BT427" s="1633">
        <v>5186</v>
      </c>
      <c r="BU427" s="1634">
        <v>5271</v>
      </c>
      <c r="BV427" s="1634">
        <v>5311</v>
      </c>
      <c r="BW427" s="1634">
        <v>5341</v>
      </c>
      <c r="BX427" s="1633">
        <v>5214</v>
      </c>
      <c r="BY427" s="1634">
        <v>5318</v>
      </c>
      <c r="BZ427" s="1634">
        <v>5377</v>
      </c>
      <c r="CA427" s="1634">
        <v>5217</v>
      </c>
      <c r="CB427" s="1633"/>
      <c r="CC427" s="1634"/>
      <c r="CD427" s="1634"/>
      <c r="CE427" s="1634"/>
      <c r="CF427" s="1641"/>
      <c r="CG427" s="1642"/>
      <c r="CH427" s="1642"/>
      <c r="CI427" s="1642"/>
      <c r="CJ427" s="1641"/>
      <c r="CK427" s="1642"/>
      <c r="CL427" s="1642"/>
      <c r="CM427" s="1681"/>
      <c r="CN427" s="1672"/>
      <c r="CO427" s="1672"/>
      <c r="CP427" s="1672"/>
      <c r="CQ427" s="1672"/>
      <c r="CR427" s="1672"/>
      <c r="CS427" s="1672"/>
      <c r="CT427" s="1672"/>
      <c r="CU427" s="1672"/>
      <c r="CV427" s="1642"/>
      <c r="CW427" s="1672"/>
      <c r="CX427" s="1672"/>
      <c r="CY427" s="1672"/>
      <c r="CZ427" s="1672"/>
      <c r="DA427" s="1672"/>
      <c r="DB427" s="1672"/>
      <c r="DC427" s="1672"/>
      <c r="DD427" s="1672"/>
      <c r="DE427" s="1672"/>
      <c r="DF427" s="1672"/>
      <c r="DG427" s="1672"/>
      <c r="DH427" s="1672"/>
      <c r="DI427" s="1672"/>
      <c r="DJ427" s="1672"/>
      <c r="DK427" s="1672"/>
      <c r="DL427" s="1672"/>
    </row>
    <row r="428" spans="1:116" ht="12.75" hidden="1" customHeight="1">
      <c r="A428" s="1644" t="s">
        <v>952</v>
      </c>
      <c r="B428" s="1642"/>
      <c r="C428" s="1642"/>
      <c r="D428" s="1642"/>
      <c r="E428" s="1641"/>
      <c r="F428" s="1642"/>
      <c r="G428" s="1642"/>
      <c r="H428" s="1642"/>
      <c r="I428" s="1642"/>
      <c r="J428" s="1642"/>
      <c r="K428" s="1681"/>
      <c r="L428" s="1642"/>
      <c r="M428" s="1642"/>
      <c r="N428" s="1642"/>
      <c r="O428" s="1642"/>
      <c r="P428" s="1642"/>
      <c r="Q428" s="1642"/>
      <c r="R428" s="1642"/>
      <c r="S428" s="1642"/>
      <c r="T428" s="1642"/>
      <c r="U428" s="1642"/>
      <c r="V428" s="1642"/>
      <c r="W428" s="1642"/>
      <c r="X428" s="1642"/>
      <c r="Y428" s="1642"/>
      <c r="Z428" s="1642"/>
      <c r="AA428" s="1642"/>
      <c r="AB428" s="1642"/>
      <c r="AC428" s="1642"/>
      <c r="AD428" s="1642"/>
      <c r="AE428" s="1642"/>
      <c r="AF428" s="1641"/>
      <c r="AG428" s="1642"/>
      <c r="AH428" s="1642"/>
      <c r="AI428" s="1642"/>
      <c r="AJ428" s="1641"/>
      <c r="AK428" s="1642"/>
      <c r="AL428" s="1642"/>
      <c r="AM428" s="1642"/>
      <c r="AN428" s="1641"/>
      <c r="AO428" s="1642"/>
      <c r="AP428" s="1642"/>
      <c r="AQ428" s="1642"/>
      <c r="AR428" s="1641"/>
      <c r="AS428" s="1642"/>
      <c r="AT428" s="1642"/>
      <c r="AU428" s="1642"/>
      <c r="AV428" s="1641"/>
      <c r="AW428" s="1642"/>
      <c r="AX428" s="1642"/>
      <c r="AY428" s="1642"/>
      <c r="AZ428" s="1641"/>
      <c r="BA428" s="1642"/>
      <c r="BB428" s="1642"/>
      <c r="BC428" s="1642"/>
      <c r="BD428" s="1641"/>
      <c r="BE428" s="1642"/>
      <c r="BF428" s="1642"/>
      <c r="BG428" s="1642"/>
      <c r="BH428" s="1641"/>
      <c r="BI428" s="1642"/>
      <c r="BJ428" s="1642"/>
      <c r="BK428" s="1642"/>
      <c r="BL428" s="1641"/>
      <c r="BM428" s="1642"/>
      <c r="BN428" s="1642"/>
      <c r="BO428" s="1642"/>
      <c r="BP428" s="1763">
        <v>-7.6867426297703004E-2</v>
      </c>
      <c r="BQ428" s="1764">
        <v>-6.2794064422728904E-2</v>
      </c>
      <c r="BR428" s="1764">
        <v>-2.2616822429906602E-2</v>
      </c>
      <c r="BS428" s="1764">
        <v>1.8479710421032601E-2</v>
      </c>
      <c r="BT428" s="1641">
        <f t="shared" ref="BT428:CE428" si="484">BT427/BP427-1</f>
        <v>2.3081475636220095E-2</v>
      </c>
      <c r="BU428" s="1642">
        <f t="shared" si="484"/>
        <v>2.4290711232024975E-2</v>
      </c>
      <c r="BV428" s="1642">
        <f t="shared" si="484"/>
        <v>2.2132409545804421E-2</v>
      </c>
      <c r="BW428" s="1642">
        <f t="shared" si="484"/>
        <v>4.8918156161805726E-3</v>
      </c>
      <c r="BX428" s="1641">
        <f t="shared" si="484"/>
        <v>5.3991515618974084E-3</v>
      </c>
      <c r="BY428" s="1642">
        <f t="shared" si="484"/>
        <v>8.9167140959969249E-3</v>
      </c>
      <c r="BZ428" s="1642">
        <f t="shared" si="484"/>
        <v>1.2427038222556863E-2</v>
      </c>
      <c r="CA428" s="1642">
        <f t="shared" si="484"/>
        <v>-2.3216626099981319E-2</v>
      </c>
      <c r="CB428" s="1641">
        <f t="shared" si="484"/>
        <v>-1</v>
      </c>
      <c r="CC428" s="1642">
        <f t="shared" si="484"/>
        <v>-1</v>
      </c>
      <c r="CD428" s="1642">
        <f t="shared" si="484"/>
        <v>-1</v>
      </c>
      <c r="CE428" s="1642">
        <f t="shared" si="484"/>
        <v>-1</v>
      </c>
      <c r="CF428" s="1641"/>
      <c r="CG428" s="1642"/>
      <c r="CH428" s="1642"/>
      <c r="CI428" s="1642"/>
      <c r="CJ428" s="1641"/>
      <c r="CK428" s="1642"/>
      <c r="CL428" s="1642"/>
      <c r="CM428" s="1681"/>
      <c r="CN428" s="1672"/>
      <c r="CO428" s="1672"/>
      <c r="CP428" s="1672"/>
      <c r="CQ428" s="1672"/>
      <c r="CR428" s="1672"/>
      <c r="CS428" s="1672"/>
      <c r="CT428" s="1672"/>
      <c r="CU428" s="1672"/>
      <c r="CV428" s="1642"/>
      <c r="CW428" s="1672"/>
      <c r="CX428" s="1672"/>
      <c r="CY428" s="1672"/>
      <c r="CZ428" s="1672"/>
      <c r="DA428" s="1672"/>
      <c r="DB428" s="1672"/>
      <c r="DC428" s="1672"/>
      <c r="DD428" s="1672"/>
      <c r="DE428" s="1672"/>
      <c r="DF428" s="1672"/>
      <c r="DG428" s="1672"/>
      <c r="DH428" s="1672"/>
      <c r="DI428" s="1672"/>
      <c r="DJ428" s="1672"/>
      <c r="DK428" s="1672"/>
      <c r="DL428" s="1672"/>
    </row>
    <row r="429" spans="1:116" ht="12.75" hidden="1" customHeight="1">
      <c r="A429" s="1539" t="s">
        <v>714</v>
      </c>
      <c r="B429" s="1642"/>
      <c r="C429" s="1642"/>
      <c r="D429" s="1642"/>
      <c r="E429" s="1641"/>
      <c r="F429" s="1642"/>
      <c r="G429" s="1642"/>
      <c r="H429" s="1642"/>
      <c r="I429" s="1642"/>
      <c r="J429" s="1642"/>
      <c r="K429" s="1681"/>
      <c r="L429" s="1642"/>
      <c r="M429" s="1642"/>
      <c r="N429" s="1642"/>
      <c r="O429" s="1642"/>
      <c r="P429" s="1642"/>
      <c r="Q429" s="1642"/>
      <c r="R429" s="1642"/>
      <c r="S429" s="1642"/>
      <c r="T429" s="1642"/>
      <c r="U429" s="1642"/>
      <c r="V429" s="1642"/>
      <c r="W429" s="1642"/>
      <c r="X429" s="1642"/>
      <c r="Y429" s="1642"/>
      <c r="Z429" s="1642"/>
      <c r="AA429" s="1642"/>
      <c r="AB429" s="1642"/>
      <c r="AC429" s="1642"/>
      <c r="AD429" s="1642"/>
      <c r="AE429" s="1642"/>
      <c r="AF429" s="1641"/>
      <c r="AG429" s="1642"/>
      <c r="AH429" s="1642"/>
      <c r="AI429" s="1642"/>
      <c r="AJ429" s="1641"/>
      <c r="AK429" s="1642"/>
      <c r="AL429" s="1642"/>
      <c r="AM429" s="1642"/>
      <c r="AN429" s="1641"/>
      <c r="AO429" s="1642"/>
      <c r="AP429" s="1642"/>
      <c r="AQ429" s="1642"/>
      <c r="AR429" s="1641"/>
      <c r="AS429" s="1642"/>
      <c r="AT429" s="1642"/>
      <c r="AU429" s="1642"/>
      <c r="AV429" s="1641"/>
      <c r="AW429" s="1642"/>
      <c r="AX429" s="1642"/>
      <c r="AY429" s="1642"/>
      <c r="AZ429" s="1641"/>
      <c r="BA429" s="1642"/>
      <c r="BB429" s="1642"/>
      <c r="BC429" s="1642"/>
      <c r="BD429" s="1641"/>
      <c r="BE429" s="1642"/>
      <c r="BF429" s="1642"/>
      <c r="BG429" s="1642"/>
      <c r="BH429" s="1641"/>
      <c r="BI429" s="1642"/>
      <c r="BJ429" s="1642"/>
      <c r="BK429" s="1642"/>
      <c r="BL429" s="1641">
        <f>BP429/(1+BP430)</f>
        <v>754.38288770053464</v>
      </c>
      <c r="BM429" s="1642">
        <f>BQ429/(1+BQ430)</f>
        <v>820.54328358208966</v>
      </c>
      <c r="BN429" s="1642">
        <f>BR429/(1+BR430)</f>
        <v>847.39660056657215</v>
      </c>
      <c r="BO429" s="1642">
        <f>BS429/(1+BS430)</f>
        <v>887.44035087719283</v>
      </c>
      <c r="BP429" s="1633">
        <v>933</v>
      </c>
      <c r="BQ429" s="1634">
        <v>1002</v>
      </c>
      <c r="BR429" s="1634">
        <v>1057</v>
      </c>
      <c r="BS429" s="1634">
        <v>1138</v>
      </c>
      <c r="BT429" s="1633">
        <v>1150</v>
      </c>
      <c r="BU429" s="1634">
        <v>1259</v>
      </c>
      <c r="BV429" s="1634">
        <v>1360</v>
      </c>
      <c r="BW429" s="1634">
        <v>1422</v>
      </c>
      <c r="BX429" s="1633">
        <v>1422</v>
      </c>
      <c r="BY429" s="1634">
        <v>1494</v>
      </c>
      <c r="BZ429" s="1634">
        <v>1569</v>
      </c>
      <c r="CA429" s="1634">
        <v>1541</v>
      </c>
      <c r="CB429" s="1633"/>
      <c r="CC429" s="1634"/>
      <c r="CD429" s="1634"/>
      <c r="CE429" s="1634"/>
      <c r="CF429" s="1641"/>
      <c r="CG429" s="1642"/>
      <c r="CH429" s="1642"/>
      <c r="CI429" s="1642"/>
      <c r="CJ429" s="1641"/>
      <c r="CK429" s="1642"/>
      <c r="CL429" s="1642"/>
      <c r="CM429" s="1681"/>
      <c r="CN429" s="1672"/>
      <c r="CO429" s="1672"/>
      <c r="CP429" s="1672"/>
      <c r="CQ429" s="1672"/>
      <c r="CR429" s="1672"/>
      <c r="CS429" s="1672"/>
      <c r="CT429" s="1672"/>
      <c r="CU429" s="1672"/>
      <c r="CV429" s="1642"/>
      <c r="CW429" s="1672"/>
      <c r="CX429" s="1672"/>
      <c r="CY429" s="1672"/>
      <c r="CZ429" s="1672"/>
      <c r="DA429" s="1672"/>
      <c r="DB429" s="1672"/>
      <c r="DC429" s="1672"/>
      <c r="DD429" s="1672"/>
      <c r="DE429" s="1672"/>
      <c r="DF429" s="1672"/>
      <c r="DG429" s="1672"/>
      <c r="DH429" s="1672"/>
      <c r="DI429" s="1672"/>
      <c r="DJ429" s="1672"/>
      <c r="DK429" s="1672"/>
      <c r="DL429" s="1672"/>
    </row>
    <row r="430" spans="1:116" ht="12.75" hidden="1" customHeight="1">
      <c r="A430" s="1644" t="s">
        <v>952</v>
      </c>
      <c r="B430" s="1642"/>
      <c r="C430" s="1642"/>
      <c r="D430" s="1642"/>
      <c r="E430" s="1641"/>
      <c r="F430" s="1642"/>
      <c r="G430" s="1642"/>
      <c r="H430" s="1642"/>
      <c r="I430" s="1642"/>
      <c r="J430" s="1642"/>
      <c r="K430" s="1681"/>
      <c r="L430" s="1642"/>
      <c r="M430" s="1642"/>
      <c r="N430" s="1642"/>
      <c r="O430" s="1642"/>
      <c r="P430" s="1642"/>
      <c r="Q430" s="1642"/>
      <c r="R430" s="1642"/>
      <c r="S430" s="1642"/>
      <c r="T430" s="1642"/>
      <c r="U430" s="1642"/>
      <c r="V430" s="1642"/>
      <c r="W430" s="1642"/>
      <c r="X430" s="1642"/>
      <c r="Y430" s="1642"/>
      <c r="Z430" s="1642"/>
      <c r="AA430" s="1642"/>
      <c r="AB430" s="1642"/>
      <c r="AC430" s="1642"/>
      <c r="AD430" s="1642"/>
      <c r="AE430" s="1642"/>
      <c r="AF430" s="1641"/>
      <c r="AG430" s="1642"/>
      <c r="AH430" s="1642"/>
      <c r="AI430" s="1642"/>
      <c r="AJ430" s="1641"/>
      <c r="AK430" s="1642"/>
      <c r="AL430" s="1642"/>
      <c r="AM430" s="1642"/>
      <c r="AN430" s="1641"/>
      <c r="AO430" s="1642"/>
      <c r="AP430" s="1642"/>
      <c r="AQ430" s="1642"/>
      <c r="AR430" s="1641"/>
      <c r="AS430" s="1642"/>
      <c r="AT430" s="1642"/>
      <c r="AU430" s="1642"/>
      <c r="AV430" s="1641"/>
      <c r="AW430" s="1642"/>
      <c r="AX430" s="1642"/>
      <c r="AY430" s="1642"/>
      <c r="AZ430" s="1641"/>
      <c r="BA430" s="1642"/>
      <c r="BB430" s="1642"/>
      <c r="BC430" s="1642"/>
      <c r="BD430" s="1641"/>
      <c r="BE430" s="1642"/>
      <c r="BF430" s="1642"/>
      <c r="BG430" s="1642"/>
      <c r="BH430" s="1641"/>
      <c r="BI430" s="1642"/>
      <c r="BJ430" s="1642"/>
      <c r="BK430" s="1642"/>
      <c r="BL430" s="1641"/>
      <c r="BM430" s="1642"/>
      <c r="BN430" s="1642"/>
      <c r="BO430" s="1642"/>
      <c r="BP430" s="1763">
        <v>0.236772486772487</v>
      </c>
      <c r="BQ430" s="1764">
        <v>0.22114216281895499</v>
      </c>
      <c r="BR430" s="1764">
        <v>0.247349823321555</v>
      </c>
      <c r="BS430" s="1764">
        <v>0.28233970753655802</v>
      </c>
      <c r="BT430" s="1641">
        <f t="shared" ref="BT430:CE430" si="485">BT429/BP429-1</f>
        <v>0.232583065380493</v>
      </c>
      <c r="BU430" s="1642">
        <f t="shared" si="485"/>
        <v>0.2564870259481038</v>
      </c>
      <c r="BV430" s="1642">
        <f t="shared" si="485"/>
        <v>0.2866603595080417</v>
      </c>
      <c r="BW430" s="1642">
        <f t="shared" si="485"/>
        <v>0.24956063268892792</v>
      </c>
      <c r="BX430" s="1641">
        <f t="shared" si="485"/>
        <v>0.23652173913043484</v>
      </c>
      <c r="BY430" s="1642">
        <f t="shared" si="485"/>
        <v>0.18665607625099279</v>
      </c>
      <c r="BZ430" s="1642">
        <f t="shared" si="485"/>
        <v>0.15367647058823519</v>
      </c>
      <c r="CA430" s="1642">
        <f t="shared" si="485"/>
        <v>8.368495077355842E-2</v>
      </c>
      <c r="CB430" s="1641">
        <f t="shared" si="485"/>
        <v>-1</v>
      </c>
      <c r="CC430" s="1642">
        <f t="shared" si="485"/>
        <v>-1</v>
      </c>
      <c r="CD430" s="1642">
        <f t="shared" si="485"/>
        <v>-1</v>
      </c>
      <c r="CE430" s="1642">
        <f t="shared" si="485"/>
        <v>-1</v>
      </c>
      <c r="CF430" s="1641"/>
      <c r="CG430" s="1642"/>
      <c r="CH430" s="1642"/>
      <c r="CI430" s="1642"/>
      <c r="CJ430" s="1641"/>
      <c r="CK430" s="1642"/>
      <c r="CL430" s="1642"/>
      <c r="CM430" s="1681"/>
      <c r="CN430" s="1672"/>
      <c r="CO430" s="1672"/>
      <c r="CP430" s="1672"/>
      <c r="CQ430" s="1672"/>
      <c r="CR430" s="1672"/>
      <c r="CS430" s="1672"/>
      <c r="CT430" s="1672"/>
      <c r="CU430" s="1672"/>
      <c r="CV430" s="1642"/>
      <c r="CW430" s="1672"/>
      <c r="CX430" s="1672"/>
      <c r="CY430" s="1672"/>
      <c r="CZ430" s="1672"/>
      <c r="DA430" s="1672"/>
      <c r="DB430" s="1672"/>
      <c r="DC430" s="1672"/>
      <c r="DD430" s="1672"/>
      <c r="DE430" s="1672"/>
      <c r="DF430" s="1672"/>
      <c r="DG430" s="1672"/>
      <c r="DH430" s="1672"/>
      <c r="DI430" s="1672"/>
      <c r="DJ430" s="1672"/>
      <c r="DK430" s="1672"/>
      <c r="DL430" s="1672"/>
    </row>
    <row r="431" spans="1:116" ht="12.75" hidden="1" customHeight="1">
      <c r="A431" s="1539"/>
      <c r="B431" s="1642"/>
      <c r="C431" s="1642"/>
      <c r="D431" s="1642"/>
      <c r="E431" s="1641"/>
      <c r="F431" s="1642"/>
      <c r="G431" s="1642"/>
      <c r="H431" s="1642"/>
      <c r="I431" s="1642"/>
      <c r="J431" s="1642"/>
      <c r="K431" s="1681"/>
      <c r="L431" s="1642"/>
      <c r="M431" s="1642"/>
      <c r="N431" s="1642"/>
      <c r="O431" s="1642"/>
      <c r="P431" s="1642"/>
      <c r="Q431" s="1642"/>
      <c r="R431" s="1642"/>
      <c r="S431" s="1642"/>
      <c r="T431" s="1642"/>
      <c r="U431" s="1642"/>
      <c r="V431" s="1642"/>
      <c r="W431" s="1642"/>
      <c r="X431" s="1642"/>
      <c r="Y431" s="1642"/>
      <c r="Z431" s="1642"/>
      <c r="AA431" s="1642"/>
      <c r="AB431" s="1642"/>
      <c r="AC431" s="1642"/>
      <c r="AD431" s="1642"/>
      <c r="AE431" s="1642"/>
      <c r="AF431" s="1641"/>
      <c r="AG431" s="1642"/>
      <c r="AH431" s="1642"/>
      <c r="AI431" s="1642"/>
      <c r="AJ431" s="1641"/>
      <c r="AK431" s="1642"/>
      <c r="AL431" s="1642"/>
      <c r="AM431" s="1642"/>
      <c r="AN431" s="1641"/>
      <c r="AO431" s="1642"/>
      <c r="AP431" s="1642"/>
      <c r="AQ431" s="1642"/>
      <c r="AR431" s="1641"/>
      <c r="AS431" s="1642"/>
      <c r="AT431" s="1642"/>
      <c r="AU431" s="1642"/>
      <c r="AV431" s="1641"/>
      <c r="AW431" s="1642"/>
      <c r="AX431" s="1642"/>
      <c r="AY431" s="1642"/>
      <c r="AZ431" s="1641"/>
      <c r="BA431" s="1642"/>
      <c r="BB431" s="1642"/>
      <c r="BC431" s="1642"/>
      <c r="BD431" s="1641"/>
      <c r="BE431" s="1642"/>
      <c r="BF431" s="1642"/>
      <c r="BG431" s="1642"/>
      <c r="BH431" s="1641"/>
      <c r="BI431" s="1642"/>
      <c r="BJ431" s="1642"/>
      <c r="BK431" s="1642"/>
      <c r="BL431" s="1641"/>
      <c r="BM431" s="1642"/>
      <c r="BN431" s="1642"/>
      <c r="BO431" s="1642"/>
      <c r="BP431" s="1659"/>
      <c r="BQ431" s="1658"/>
      <c r="BR431" s="1658"/>
      <c r="BS431" s="1658"/>
      <c r="BT431" s="1659"/>
      <c r="BU431" s="1658"/>
      <c r="BV431" s="1658"/>
      <c r="BW431" s="1658"/>
      <c r="BX431" s="1659"/>
      <c r="BY431" s="1658"/>
      <c r="BZ431" s="1658"/>
      <c r="CA431" s="1642"/>
      <c r="CB431" s="1641"/>
      <c r="CC431" s="1642"/>
      <c r="CD431" s="1642"/>
      <c r="CE431" s="1642"/>
      <c r="CF431" s="1641"/>
      <c r="CG431" s="1642"/>
      <c r="CH431" s="1642"/>
      <c r="CI431" s="1642"/>
      <c r="CJ431" s="1641"/>
      <c r="CK431" s="1642"/>
      <c r="CL431" s="1642"/>
      <c r="CM431" s="1681"/>
      <c r="CN431" s="1672"/>
      <c r="CO431" s="1672"/>
      <c r="CP431" s="1672"/>
      <c r="CQ431" s="1672"/>
      <c r="CR431" s="1672"/>
      <c r="CS431" s="1672"/>
      <c r="CT431" s="1672"/>
      <c r="CU431" s="1672"/>
      <c r="CV431" s="1642"/>
      <c r="CW431" s="1672"/>
      <c r="CX431" s="1672"/>
      <c r="CY431" s="1672"/>
      <c r="CZ431" s="1672"/>
      <c r="DA431" s="1672"/>
      <c r="DB431" s="1672"/>
      <c r="DC431" s="1672"/>
      <c r="DD431" s="1672"/>
      <c r="DE431" s="1672"/>
      <c r="DF431" s="1672"/>
      <c r="DG431" s="1672"/>
      <c r="DH431" s="1672"/>
      <c r="DI431" s="1672"/>
      <c r="DJ431" s="1672"/>
      <c r="DK431" s="1672"/>
      <c r="DL431" s="1672"/>
    </row>
    <row r="432" spans="1:116" ht="12.75" hidden="1" customHeight="1">
      <c r="A432" s="1539"/>
      <c r="B432" s="1642"/>
      <c r="C432" s="1642"/>
      <c r="D432" s="1642"/>
      <c r="E432" s="1641"/>
      <c r="F432" s="1642"/>
      <c r="G432" s="1642"/>
      <c r="H432" s="1642"/>
      <c r="I432" s="1642"/>
      <c r="J432" s="1642"/>
      <c r="K432" s="1681"/>
      <c r="L432" s="1642"/>
      <c r="M432" s="1642"/>
      <c r="N432" s="1642"/>
      <c r="O432" s="1642"/>
      <c r="P432" s="1642"/>
      <c r="Q432" s="1642"/>
      <c r="R432" s="1642"/>
      <c r="S432" s="1642"/>
      <c r="T432" s="1642"/>
      <c r="U432" s="1642"/>
      <c r="V432" s="1642"/>
      <c r="W432" s="1642"/>
      <c r="X432" s="1642"/>
      <c r="Y432" s="1642"/>
      <c r="Z432" s="1642"/>
      <c r="AA432" s="1642"/>
      <c r="AB432" s="1642"/>
      <c r="AC432" s="1642"/>
      <c r="AD432" s="1642"/>
      <c r="AE432" s="1642"/>
      <c r="AF432" s="1641"/>
      <c r="AG432" s="1642"/>
      <c r="AH432" s="1642"/>
      <c r="AI432" s="1642"/>
      <c r="AJ432" s="1641"/>
      <c r="AK432" s="1642"/>
      <c r="AL432" s="1642"/>
      <c r="AM432" s="1642"/>
      <c r="AN432" s="1641"/>
      <c r="AO432" s="1642"/>
      <c r="AP432" s="1642"/>
      <c r="AQ432" s="1642"/>
      <c r="AR432" s="1641"/>
      <c r="AS432" s="1642"/>
      <c r="AT432" s="1642"/>
      <c r="AU432" s="1642"/>
      <c r="AV432" s="1641"/>
      <c r="AW432" s="1642"/>
      <c r="AX432" s="1642"/>
      <c r="AY432" s="1642"/>
      <c r="AZ432" s="1641"/>
      <c r="BA432" s="1642"/>
      <c r="BB432" s="1642"/>
      <c r="BC432" s="1642"/>
      <c r="BD432" s="1641"/>
      <c r="BE432" s="1642"/>
      <c r="BF432" s="1642"/>
      <c r="BG432" s="1642"/>
      <c r="BH432" s="1641"/>
      <c r="BI432" s="1642"/>
      <c r="BJ432" s="1642"/>
      <c r="BK432" s="1642"/>
      <c r="BL432" s="1641"/>
      <c r="BM432" s="1642"/>
      <c r="BN432" s="1642"/>
      <c r="BO432" s="1642"/>
      <c r="BP432" s="1659"/>
      <c r="BQ432" s="1658"/>
      <c r="BR432" s="1658"/>
      <c r="BS432" s="1658"/>
      <c r="BT432" s="1659"/>
      <c r="BU432" s="1658"/>
      <c r="BV432" s="1658"/>
      <c r="BW432" s="1658"/>
      <c r="BX432" s="1659"/>
      <c r="BY432" s="1658"/>
      <c r="BZ432" s="1658"/>
      <c r="CA432" s="1642"/>
      <c r="CB432" s="1641"/>
      <c r="CC432" s="1642"/>
      <c r="CD432" s="1642"/>
      <c r="CE432" s="1642"/>
      <c r="CF432" s="1641"/>
      <c r="CG432" s="1642"/>
      <c r="CH432" s="1642"/>
      <c r="CI432" s="1642"/>
      <c r="CJ432" s="1641"/>
      <c r="CK432" s="1642"/>
      <c r="CL432" s="1642"/>
      <c r="CM432" s="1681"/>
      <c r="CN432" s="1672"/>
      <c r="CO432" s="1672"/>
      <c r="CP432" s="1672"/>
      <c r="CQ432" s="1672"/>
      <c r="CR432" s="1672"/>
      <c r="CS432" s="1672"/>
      <c r="CT432" s="1672"/>
      <c r="CU432" s="1672"/>
      <c r="CV432" s="1642"/>
      <c r="CW432" s="1672"/>
      <c r="CX432" s="1672"/>
      <c r="CY432" s="1672"/>
      <c r="CZ432" s="1672"/>
      <c r="DA432" s="1672"/>
      <c r="DB432" s="1672"/>
      <c r="DC432" s="1672"/>
      <c r="DD432" s="1672"/>
      <c r="DE432" s="1672"/>
      <c r="DF432" s="1672"/>
      <c r="DG432" s="1672"/>
      <c r="DH432" s="1672"/>
      <c r="DI432" s="1672"/>
      <c r="DJ432" s="1672"/>
      <c r="DK432" s="1672"/>
      <c r="DL432" s="1672"/>
    </row>
    <row r="433" spans="1:116" ht="12.75" hidden="1" customHeight="1">
      <c r="A433" s="1660" t="s">
        <v>715</v>
      </c>
      <c r="B433" s="1779"/>
      <c r="C433" s="1779"/>
      <c r="D433" s="1779"/>
      <c r="E433" s="1780"/>
      <c r="F433" s="1779"/>
      <c r="G433" s="1779"/>
      <c r="H433" s="1779"/>
      <c r="I433" s="1779"/>
      <c r="J433" s="1779"/>
      <c r="K433" s="1681"/>
      <c r="L433" s="1642"/>
      <c r="M433" s="1642"/>
      <c r="N433" s="1642"/>
      <c r="O433" s="1642"/>
      <c r="P433" s="1642"/>
      <c r="Q433" s="1642"/>
      <c r="R433" s="1642"/>
      <c r="S433" s="1642"/>
      <c r="T433" s="1642"/>
      <c r="U433" s="1642"/>
      <c r="V433" s="1642"/>
      <c r="W433" s="1642"/>
      <c r="X433" s="1642"/>
      <c r="Y433" s="1642"/>
      <c r="Z433" s="1642"/>
      <c r="AA433" s="1642"/>
      <c r="AB433" s="1642"/>
      <c r="AC433" s="1642"/>
      <c r="AD433" s="1642"/>
      <c r="AE433" s="1642"/>
      <c r="AF433" s="1641"/>
      <c r="AG433" s="1642"/>
      <c r="AH433" s="1642"/>
      <c r="AI433" s="1642"/>
      <c r="AJ433" s="1641"/>
      <c r="AK433" s="1642"/>
      <c r="AL433" s="1642"/>
      <c r="AM433" s="1642"/>
      <c r="AN433" s="1641"/>
      <c r="AO433" s="1642"/>
      <c r="AP433" s="1642"/>
      <c r="AQ433" s="1642"/>
      <c r="AR433" s="1641"/>
      <c r="AS433" s="1642"/>
      <c r="AT433" s="1642"/>
      <c r="AU433" s="1642"/>
      <c r="AV433" s="1641"/>
      <c r="AW433" s="1642"/>
      <c r="AX433" s="1642"/>
      <c r="AY433" s="1642"/>
      <c r="AZ433" s="1641"/>
      <c r="BA433" s="1642"/>
      <c r="BB433" s="1642"/>
      <c r="BC433" s="1642"/>
      <c r="BD433" s="1641"/>
      <c r="BE433" s="1642"/>
      <c r="BF433" s="1642"/>
      <c r="BG433" s="1642"/>
      <c r="BH433" s="1641"/>
      <c r="BI433" s="1642"/>
      <c r="BJ433" s="1642"/>
      <c r="BK433" s="1642"/>
      <c r="BL433" s="1641">
        <f t="shared" ref="BL433:CE433" si="486">+BL421-BL412</f>
        <v>267.83531760324195</v>
      </c>
      <c r="BM433" s="1642">
        <f t="shared" si="486"/>
        <v>266.66619182664181</v>
      </c>
      <c r="BN433" s="1642">
        <f t="shared" si="486"/>
        <v>240.93151997108271</v>
      </c>
      <c r="BO433" s="1642">
        <f t="shared" si="486"/>
        <v>237.50727184533844</v>
      </c>
      <c r="BP433" s="1641">
        <f t="shared" si="486"/>
        <v>248</v>
      </c>
      <c r="BQ433" s="1642">
        <f t="shared" si="486"/>
        <v>250</v>
      </c>
      <c r="BR433" s="1642">
        <f t="shared" si="486"/>
        <v>251</v>
      </c>
      <c r="BS433" s="1642">
        <f t="shared" si="486"/>
        <v>275</v>
      </c>
      <c r="BT433" s="1641">
        <f t="shared" si="486"/>
        <v>274</v>
      </c>
      <c r="BU433" s="1642">
        <f t="shared" si="486"/>
        <v>285</v>
      </c>
      <c r="BV433" s="1642">
        <f t="shared" si="486"/>
        <v>314</v>
      </c>
      <c r="BW433" s="1642">
        <f t="shared" si="486"/>
        <v>351</v>
      </c>
      <c r="BX433" s="1641">
        <f t="shared" si="486"/>
        <v>357</v>
      </c>
      <c r="BY433" s="1642">
        <f t="shared" si="486"/>
        <v>375</v>
      </c>
      <c r="BZ433" s="1642">
        <f t="shared" si="486"/>
        <v>373</v>
      </c>
      <c r="CA433" s="1642">
        <f t="shared" si="486"/>
        <v>329</v>
      </c>
      <c r="CB433" s="1641">
        <f t="shared" si="486"/>
        <v>0</v>
      </c>
      <c r="CC433" s="1642">
        <f t="shared" si="486"/>
        <v>0</v>
      </c>
      <c r="CD433" s="1642">
        <f t="shared" si="486"/>
        <v>0</v>
      </c>
      <c r="CE433" s="1642">
        <f t="shared" si="486"/>
        <v>0</v>
      </c>
      <c r="CF433" s="1641"/>
      <c r="CG433" s="1642"/>
      <c r="CH433" s="1642"/>
      <c r="CI433" s="1642"/>
      <c r="CJ433" s="1641"/>
      <c r="CK433" s="1642"/>
      <c r="CL433" s="1642"/>
      <c r="CM433" s="1681"/>
      <c r="CN433" s="1672"/>
      <c r="CO433" s="1672"/>
      <c r="CP433" s="1672"/>
      <c r="CQ433" s="1672"/>
      <c r="CR433" s="1672"/>
      <c r="CS433" s="1672"/>
      <c r="CT433" s="1672"/>
      <c r="CU433" s="1672"/>
      <c r="CV433" s="1642"/>
      <c r="CW433" s="1672"/>
      <c r="CX433" s="1672"/>
      <c r="CY433" s="1672"/>
      <c r="CZ433" s="1672"/>
      <c r="DA433" s="1672"/>
      <c r="DB433" s="1672"/>
      <c r="DC433" s="1672"/>
      <c r="DD433" s="1672"/>
      <c r="DE433" s="1672"/>
      <c r="DF433" s="1672"/>
      <c r="DG433" s="1672"/>
      <c r="DH433" s="1672"/>
      <c r="DI433" s="1672"/>
      <c r="DJ433" s="1672"/>
      <c r="DK433" s="1672"/>
      <c r="DL433" s="1672"/>
    </row>
    <row r="434" spans="1:116" ht="12.75" hidden="1" customHeight="1">
      <c r="A434" s="1644" t="s">
        <v>952</v>
      </c>
      <c r="B434" s="1779"/>
      <c r="C434" s="1779"/>
      <c r="D434" s="1779"/>
      <c r="E434" s="1780"/>
      <c r="F434" s="1779"/>
      <c r="G434" s="1642"/>
      <c r="H434" s="1642"/>
      <c r="I434" s="1642"/>
      <c r="J434" s="1779"/>
      <c r="K434" s="1681"/>
      <c r="L434" s="1642"/>
      <c r="M434" s="1642"/>
      <c r="N434" s="1642"/>
      <c r="O434" s="1642"/>
      <c r="P434" s="1642"/>
      <c r="Q434" s="1642"/>
      <c r="R434" s="1642"/>
      <c r="S434" s="1642"/>
      <c r="T434" s="1642"/>
      <c r="U434" s="1642"/>
      <c r="V434" s="1642"/>
      <c r="W434" s="1642"/>
      <c r="X434" s="1642"/>
      <c r="Y434" s="1642"/>
      <c r="Z434" s="1642"/>
      <c r="AA434" s="1642"/>
      <c r="AB434" s="1642"/>
      <c r="AC434" s="1642"/>
      <c r="AD434" s="1642"/>
      <c r="AE434" s="1642"/>
      <c r="AF434" s="1641"/>
      <c r="AG434" s="1642"/>
      <c r="AH434" s="1642"/>
      <c r="AI434" s="1642"/>
      <c r="AJ434" s="1641"/>
      <c r="AK434" s="1642"/>
      <c r="AL434" s="1642"/>
      <c r="AM434" s="1642"/>
      <c r="AN434" s="1641"/>
      <c r="AO434" s="1642"/>
      <c r="AP434" s="1642"/>
      <c r="AQ434" s="1642"/>
      <c r="AR434" s="1641"/>
      <c r="AS434" s="1642"/>
      <c r="AT434" s="1642"/>
      <c r="AU434" s="1642"/>
      <c r="AV434" s="1641"/>
      <c r="AW434" s="1642"/>
      <c r="AX434" s="1642"/>
      <c r="AY434" s="1642"/>
      <c r="AZ434" s="1641"/>
      <c r="BA434" s="1642"/>
      <c r="BB434" s="1642"/>
      <c r="BC434" s="1642"/>
      <c r="BD434" s="1641"/>
      <c r="BE434" s="1642"/>
      <c r="BF434" s="1642"/>
      <c r="BG434" s="1642"/>
      <c r="BH434" s="1641"/>
      <c r="BI434" s="1642"/>
      <c r="BJ434" s="1642"/>
      <c r="BK434" s="1642"/>
      <c r="BL434" s="1641"/>
      <c r="BM434" s="1642"/>
      <c r="BN434" s="1642"/>
      <c r="BO434" s="1642"/>
      <c r="BP434" s="1641">
        <f t="shared" ref="BP434:CE434" si="487">BP433/BL433-1</f>
        <v>-7.4057886692243557E-2</v>
      </c>
      <c r="BQ434" s="1642">
        <f t="shared" si="487"/>
        <v>-6.2498330637565047E-2</v>
      </c>
      <c r="BR434" s="1642">
        <f t="shared" si="487"/>
        <v>4.1789799981861053E-2</v>
      </c>
      <c r="BS434" s="1642">
        <f t="shared" si="487"/>
        <v>0.15785928516359848</v>
      </c>
      <c r="BT434" s="1641">
        <f t="shared" si="487"/>
        <v>0.10483870967741926</v>
      </c>
      <c r="BU434" s="1642">
        <f t="shared" si="487"/>
        <v>0.1399999999999999</v>
      </c>
      <c r="BV434" s="1642">
        <f t="shared" si="487"/>
        <v>0.25099601593625498</v>
      </c>
      <c r="BW434" s="1642">
        <f t="shared" si="487"/>
        <v>0.27636363636363637</v>
      </c>
      <c r="BX434" s="1641">
        <f t="shared" si="487"/>
        <v>0.30291970802919699</v>
      </c>
      <c r="BY434" s="1642">
        <f t="shared" si="487"/>
        <v>0.31578947368421062</v>
      </c>
      <c r="BZ434" s="1642">
        <f t="shared" si="487"/>
        <v>0.18789808917197459</v>
      </c>
      <c r="CA434" s="1642">
        <f t="shared" si="487"/>
        <v>-6.267806267806264E-2</v>
      </c>
      <c r="CB434" s="1641">
        <f t="shared" si="487"/>
        <v>-1</v>
      </c>
      <c r="CC434" s="1642">
        <f t="shared" si="487"/>
        <v>-1</v>
      </c>
      <c r="CD434" s="1642">
        <f t="shared" si="487"/>
        <v>-1</v>
      </c>
      <c r="CE434" s="1642">
        <f t="shared" si="487"/>
        <v>-1</v>
      </c>
      <c r="CF434" s="1641"/>
      <c r="CG434" s="1642"/>
      <c r="CH434" s="1642"/>
      <c r="CI434" s="1642"/>
      <c r="CJ434" s="1641"/>
      <c r="CK434" s="1642"/>
      <c r="CL434" s="1642"/>
      <c r="CM434" s="1681"/>
      <c r="CN434" s="1672"/>
      <c r="CO434" s="1672"/>
      <c r="CP434" s="1672"/>
      <c r="CQ434" s="1672"/>
      <c r="CR434" s="1672"/>
      <c r="CS434" s="1672"/>
      <c r="CT434" s="1672"/>
      <c r="CU434" s="1672"/>
      <c r="CV434" s="1642"/>
      <c r="CW434" s="1672"/>
      <c r="CX434" s="1672"/>
      <c r="CY434" s="1672"/>
      <c r="CZ434" s="1672"/>
      <c r="DA434" s="1672"/>
      <c r="DB434" s="1672"/>
      <c r="DC434" s="1672"/>
      <c r="DD434" s="1672"/>
      <c r="DE434" s="1672"/>
      <c r="DF434" s="1672"/>
      <c r="DG434" s="1672"/>
      <c r="DH434" s="1672"/>
      <c r="DI434" s="1672"/>
      <c r="DJ434" s="1672"/>
      <c r="DK434" s="1672"/>
      <c r="DL434" s="1672"/>
    </row>
    <row r="435" spans="1:116" ht="12.75" hidden="1" customHeight="1">
      <c r="A435" s="1644" t="s">
        <v>716</v>
      </c>
      <c r="B435" s="1779"/>
      <c r="C435" s="1779"/>
      <c r="D435" s="1779"/>
      <c r="E435" s="1780"/>
      <c r="F435" s="1779"/>
      <c r="G435" s="1779"/>
      <c r="H435" s="1779"/>
      <c r="I435" s="1779"/>
      <c r="J435" s="1779"/>
      <c r="K435" s="1681"/>
      <c r="L435" s="1642"/>
      <c r="M435" s="1642"/>
      <c r="N435" s="1642"/>
      <c r="O435" s="1642"/>
      <c r="P435" s="1642"/>
      <c r="Q435" s="1642"/>
      <c r="R435" s="1642"/>
      <c r="S435" s="1642"/>
      <c r="T435" s="1642"/>
      <c r="U435" s="1642"/>
      <c r="V435" s="1642"/>
      <c r="W435" s="1642"/>
      <c r="X435" s="1642"/>
      <c r="Y435" s="1642"/>
      <c r="Z435" s="1642"/>
      <c r="AA435" s="1642"/>
      <c r="AB435" s="1642"/>
      <c r="AC435" s="1642"/>
      <c r="AD435" s="1642"/>
      <c r="AE435" s="1642"/>
      <c r="AF435" s="1641"/>
      <c r="AG435" s="1642"/>
      <c r="AH435" s="1642"/>
      <c r="AI435" s="1642"/>
      <c r="AJ435" s="1641"/>
      <c r="AK435" s="1642"/>
      <c r="AL435" s="1642"/>
      <c r="AM435" s="1642"/>
      <c r="AN435" s="1641"/>
      <c r="AO435" s="1642"/>
      <c r="AP435" s="1642"/>
      <c r="AQ435" s="1642"/>
      <c r="AR435" s="1641"/>
      <c r="AS435" s="1642"/>
      <c r="AT435" s="1642"/>
      <c r="AU435" s="1642"/>
      <c r="AV435" s="1641"/>
      <c r="AW435" s="1642"/>
      <c r="AX435" s="1642"/>
      <c r="AY435" s="1642"/>
      <c r="AZ435" s="1641"/>
      <c r="BA435" s="1642"/>
      <c r="BB435" s="1642"/>
      <c r="BC435" s="1642"/>
      <c r="BD435" s="1641"/>
      <c r="BE435" s="1642"/>
      <c r="BF435" s="1642"/>
      <c r="BG435" s="1642"/>
      <c r="BH435" s="1641"/>
      <c r="BI435" s="1642"/>
      <c r="BJ435" s="1642"/>
      <c r="BK435" s="1642"/>
      <c r="BL435" s="1641"/>
      <c r="BM435" s="1642"/>
      <c r="BN435" s="1642"/>
      <c r="BO435" s="1642"/>
      <c r="BP435" s="1641">
        <f t="shared" ref="BP435:CA435" si="488">BP433/BP421</f>
        <v>6.6990815775256618E-2</v>
      </c>
      <c r="BQ435" s="1642">
        <f t="shared" si="488"/>
        <v>6.6032752245113582E-2</v>
      </c>
      <c r="BR435" s="1642">
        <f t="shared" si="488"/>
        <v>6.5228690228690225E-2</v>
      </c>
      <c r="BS435" s="1642">
        <f t="shared" si="488"/>
        <v>6.9479535118746841E-2</v>
      </c>
      <c r="BT435" s="1641">
        <f t="shared" si="488"/>
        <v>7.1878279118572933E-2</v>
      </c>
      <c r="BU435" s="1642">
        <f t="shared" si="488"/>
        <v>7.2648483303594191E-2</v>
      </c>
      <c r="BV435" s="1642">
        <f t="shared" si="488"/>
        <v>7.85E-2</v>
      </c>
      <c r="BW435" s="1642">
        <f t="shared" si="488"/>
        <v>8.6902698687794003E-2</v>
      </c>
      <c r="BX435" s="1641">
        <f t="shared" si="488"/>
        <v>9.1703056768558958E-2</v>
      </c>
      <c r="BY435" s="1642">
        <f t="shared" si="488"/>
        <v>9.4032096288866593E-2</v>
      </c>
      <c r="BZ435" s="1642">
        <f t="shared" si="488"/>
        <v>9.2601787487586892E-2</v>
      </c>
      <c r="CA435" s="1642">
        <f t="shared" si="488"/>
        <v>8.358739837398374E-2</v>
      </c>
      <c r="CB435" s="1641"/>
      <c r="CC435" s="1642"/>
      <c r="CD435" s="1642"/>
      <c r="CE435" s="1642"/>
      <c r="CF435" s="1641"/>
      <c r="CG435" s="1642"/>
      <c r="CH435" s="1642"/>
      <c r="CI435" s="1642"/>
      <c r="CJ435" s="1641"/>
      <c r="CK435" s="1642"/>
      <c r="CL435" s="1642"/>
      <c r="CM435" s="1681"/>
      <c r="CN435" s="1672"/>
      <c r="CO435" s="1672"/>
      <c r="CP435" s="1672"/>
      <c r="CQ435" s="1672"/>
      <c r="CR435" s="1672"/>
      <c r="CS435" s="1672"/>
      <c r="CT435" s="1672"/>
      <c r="CU435" s="1672"/>
      <c r="CV435" s="1642"/>
      <c r="CW435" s="1672"/>
      <c r="CX435" s="1672"/>
      <c r="CY435" s="1672"/>
      <c r="CZ435" s="1672"/>
      <c r="DA435" s="1672"/>
      <c r="DB435" s="1672"/>
      <c r="DC435" s="1672"/>
      <c r="DD435" s="1672"/>
      <c r="DE435" s="1672"/>
      <c r="DF435" s="1672"/>
      <c r="DG435" s="1672"/>
      <c r="DH435" s="1672"/>
      <c r="DI435" s="1672"/>
      <c r="DJ435" s="1672"/>
      <c r="DK435" s="1672"/>
      <c r="DL435" s="1672"/>
    </row>
    <row r="436" spans="1:116" ht="12.75" hidden="1" customHeight="1">
      <c r="A436" s="1644"/>
      <c r="B436" s="1779"/>
      <c r="C436" s="1779"/>
      <c r="D436" s="1779"/>
      <c r="E436" s="1780"/>
      <c r="F436" s="1779"/>
      <c r="G436" s="1779"/>
      <c r="H436" s="1779"/>
      <c r="I436" s="1779"/>
      <c r="J436" s="1779"/>
      <c r="K436" s="1681"/>
      <c r="L436" s="1642"/>
      <c r="M436" s="1642"/>
      <c r="N436" s="1642"/>
      <c r="O436" s="1642"/>
      <c r="P436" s="1642"/>
      <c r="Q436" s="1642"/>
      <c r="R436" s="1642"/>
      <c r="S436" s="1642"/>
      <c r="T436" s="1642"/>
      <c r="U436" s="1642"/>
      <c r="V436" s="1642"/>
      <c r="W436" s="1642"/>
      <c r="X436" s="1642"/>
      <c r="Y436" s="1642"/>
      <c r="Z436" s="1642"/>
      <c r="AA436" s="1642"/>
      <c r="AB436" s="1642"/>
      <c r="AC436" s="1642"/>
      <c r="AD436" s="1642"/>
      <c r="AE436" s="1642"/>
      <c r="AF436" s="1641"/>
      <c r="AG436" s="1642"/>
      <c r="AH436" s="1642"/>
      <c r="AI436" s="1642"/>
      <c r="AJ436" s="1641"/>
      <c r="AK436" s="1642"/>
      <c r="AL436" s="1642"/>
      <c r="AM436" s="1642"/>
      <c r="AN436" s="1641"/>
      <c r="AO436" s="1642"/>
      <c r="AP436" s="1642"/>
      <c r="AQ436" s="1642"/>
      <c r="AR436" s="1641"/>
      <c r="AS436" s="1642"/>
      <c r="AT436" s="1642"/>
      <c r="AU436" s="1642"/>
      <c r="AV436" s="1641"/>
      <c r="AW436" s="1642"/>
      <c r="AX436" s="1642"/>
      <c r="AY436" s="1642"/>
      <c r="AZ436" s="1641"/>
      <c r="BA436" s="1642"/>
      <c r="BB436" s="1642"/>
      <c r="BC436" s="1642"/>
      <c r="BD436" s="1641"/>
      <c r="BE436" s="1642"/>
      <c r="BF436" s="1642"/>
      <c r="BG436" s="1642"/>
      <c r="BH436" s="1641"/>
      <c r="BI436" s="1642"/>
      <c r="BJ436" s="1642"/>
      <c r="BK436" s="1642"/>
      <c r="BL436" s="1641"/>
      <c r="BM436" s="1642"/>
      <c r="BN436" s="1642"/>
      <c r="BO436" s="1642"/>
      <c r="BP436" s="1641"/>
      <c r="BQ436" s="1642"/>
      <c r="BR436" s="1642"/>
      <c r="BS436" s="1642"/>
      <c r="BT436" s="1641"/>
      <c r="BU436" s="1642"/>
      <c r="BV436" s="1642"/>
      <c r="BW436" s="1642"/>
      <c r="BX436" s="1641"/>
      <c r="BY436" s="1642"/>
      <c r="BZ436" s="1642"/>
      <c r="CA436" s="1642"/>
      <c r="CB436" s="1641"/>
      <c r="CC436" s="1642"/>
      <c r="CD436" s="1642"/>
      <c r="CE436" s="1642"/>
      <c r="CF436" s="1641"/>
      <c r="CG436" s="1642"/>
      <c r="CH436" s="1642"/>
      <c r="CI436" s="1642"/>
      <c r="CJ436" s="1641"/>
      <c r="CK436" s="1642"/>
      <c r="CL436" s="1642"/>
      <c r="CM436" s="1681"/>
      <c r="CN436" s="1672"/>
      <c r="CO436" s="1672"/>
      <c r="CP436" s="1672"/>
      <c r="CQ436" s="1672"/>
      <c r="CR436" s="1672"/>
      <c r="CS436" s="1672"/>
      <c r="CT436" s="1672"/>
      <c r="CU436" s="1672"/>
      <c r="CV436" s="1642"/>
      <c r="CW436" s="1672"/>
      <c r="CX436" s="1672"/>
      <c r="CY436" s="1672"/>
      <c r="CZ436" s="1672"/>
      <c r="DA436" s="1672"/>
      <c r="DB436" s="1672"/>
      <c r="DC436" s="1672"/>
      <c r="DD436" s="1672"/>
      <c r="DE436" s="1672"/>
      <c r="DF436" s="1672"/>
      <c r="DG436" s="1672"/>
      <c r="DH436" s="1672"/>
      <c r="DI436" s="1672"/>
      <c r="DJ436" s="1672"/>
      <c r="DK436" s="1672"/>
      <c r="DL436" s="1672"/>
    </row>
    <row r="437" spans="1:116" ht="12.75" hidden="1" customHeight="1">
      <c r="A437" s="1660" t="s">
        <v>717</v>
      </c>
      <c r="B437" s="1779"/>
      <c r="C437" s="1779"/>
      <c r="D437" s="1779"/>
      <c r="E437" s="1780"/>
      <c r="F437" s="1779"/>
      <c r="G437" s="1779"/>
      <c r="H437" s="1779"/>
      <c r="I437" s="1779"/>
      <c r="J437" s="1779"/>
      <c r="K437" s="1681"/>
      <c r="L437" s="1642"/>
      <c r="M437" s="1642"/>
      <c r="N437" s="1642"/>
      <c r="O437" s="1642"/>
      <c r="P437" s="1642"/>
      <c r="Q437" s="1642"/>
      <c r="R437" s="1642"/>
      <c r="S437" s="1642"/>
      <c r="T437" s="1642"/>
      <c r="U437" s="1642"/>
      <c r="V437" s="1642"/>
      <c r="W437" s="1642"/>
      <c r="X437" s="1642"/>
      <c r="Y437" s="1642"/>
      <c r="Z437" s="1642"/>
      <c r="AA437" s="1642"/>
      <c r="AB437" s="1642"/>
      <c r="AC437" s="1642"/>
      <c r="AD437" s="1642"/>
      <c r="AE437" s="1642"/>
      <c r="AF437" s="1641"/>
      <c r="AG437" s="1642"/>
      <c r="AH437" s="1642"/>
      <c r="AI437" s="1642"/>
      <c r="AJ437" s="1641"/>
      <c r="AK437" s="1642"/>
      <c r="AL437" s="1642"/>
      <c r="AM437" s="1642"/>
      <c r="AN437" s="1641"/>
      <c r="AO437" s="1642"/>
      <c r="AP437" s="1642"/>
      <c r="AQ437" s="1642"/>
      <c r="AR437" s="1641"/>
      <c r="AS437" s="1642"/>
      <c r="AT437" s="1642"/>
      <c r="AU437" s="1642"/>
      <c r="AV437" s="1641"/>
      <c r="AW437" s="1642"/>
      <c r="AX437" s="1642"/>
      <c r="AY437" s="1642"/>
      <c r="AZ437" s="1641"/>
      <c r="BA437" s="1642"/>
      <c r="BB437" s="1642"/>
      <c r="BC437" s="1642"/>
      <c r="BD437" s="1641"/>
      <c r="BE437" s="1642"/>
      <c r="BF437" s="1642"/>
      <c r="BG437" s="1642"/>
      <c r="BH437" s="1641"/>
      <c r="BI437" s="1642"/>
      <c r="BJ437" s="1642"/>
      <c r="BK437" s="1642"/>
      <c r="BL437" s="1641">
        <f t="shared" ref="BL437:CE437" si="489">+BL423-BL414</f>
        <v>614.19727891156458</v>
      </c>
      <c r="BM437" s="1642">
        <f t="shared" si="489"/>
        <v>568.35135135135124</v>
      </c>
      <c r="BN437" s="1642">
        <f t="shared" si="489"/>
        <v>506.9508196721315</v>
      </c>
      <c r="BO437" s="1642">
        <f t="shared" si="489"/>
        <v>497.13061650992699</v>
      </c>
      <c r="BP437" s="1641">
        <f t="shared" si="489"/>
        <v>481</v>
      </c>
      <c r="BQ437" s="1642">
        <f t="shared" si="489"/>
        <v>480</v>
      </c>
      <c r="BR437" s="1642">
        <f t="shared" si="489"/>
        <v>496</v>
      </c>
      <c r="BS437" s="1642">
        <f t="shared" si="489"/>
        <v>476</v>
      </c>
      <c r="BT437" s="1641">
        <f t="shared" si="489"/>
        <v>476</v>
      </c>
      <c r="BU437" s="1642">
        <f t="shared" si="489"/>
        <v>466</v>
      </c>
      <c r="BV437" s="1642">
        <f t="shared" si="489"/>
        <v>466</v>
      </c>
      <c r="BW437" s="1642">
        <f t="shared" si="489"/>
        <v>487</v>
      </c>
      <c r="BX437" s="1641">
        <f t="shared" si="489"/>
        <v>487</v>
      </c>
      <c r="BY437" s="1642">
        <f t="shared" si="489"/>
        <v>484</v>
      </c>
      <c r="BZ437" s="1642">
        <f t="shared" si="489"/>
        <v>498</v>
      </c>
      <c r="CA437" s="1642">
        <f t="shared" si="489"/>
        <v>471</v>
      </c>
      <c r="CB437" s="1641">
        <f t="shared" si="489"/>
        <v>0</v>
      </c>
      <c r="CC437" s="1642">
        <f t="shared" si="489"/>
        <v>0</v>
      </c>
      <c r="CD437" s="1642">
        <f t="shared" si="489"/>
        <v>0</v>
      </c>
      <c r="CE437" s="1642">
        <f t="shared" si="489"/>
        <v>0</v>
      </c>
      <c r="CF437" s="1641"/>
      <c r="CG437" s="1642"/>
      <c r="CH437" s="1642"/>
      <c r="CI437" s="1642"/>
      <c r="CJ437" s="1641"/>
      <c r="CK437" s="1642"/>
      <c r="CL437" s="1642"/>
      <c r="CM437" s="1681"/>
      <c r="CN437" s="1672"/>
      <c r="CO437" s="1672"/>
      <c r="CP437" s="1672"/>
      <c r="CQ437" s="1672"/>
      <c r="CR437" s="1672"/>
      <c r="CS437" s="1672"/>
      <c r="CT437" s="1672"/>
      <c r="CU437" s="1672"/>
      <c r="CV437" s="1642"/>
      <c r="CW437" s="1672"/>
      <c r="CX437" s="1672"/>
      <c r="CY437" s="1672"/>
      <c r="CZ437" s="1672"/>
      <c r="DA437" s="1672"/>
      <c r="DB437" s="1672"/>
      <c r="DC437" s="1672"/>
      <c r="DD437" s="1672"/>
      <c r="DE437" s="1672"/>
      <c r="DF437" s="1672"/>
      <c r="DG437" s="1672"/>
      <c r="DH437" s="1672"/>
      <c r="DI437" s="1672"/>
      <c r="DJ437" s="1672"/>
      <c r="DK437" s="1672"/>
      <c r="DL437" s="1672"/>
    </row>
    <row r="438" spans="1:116" ht="12.75" hidden="1" customHeight="1">
      <c r="A438" s="1644" t="s">
        <v>952</v>
      </c>
      <c r="B438" s="1779"/>
      <c r="C438" s="1779"/>
      <c r="D438" s="1779"/>
      <c r="E438" s="1780"/>
      <c r="F438" s="1779"/>
      <c r="G438" s="1779"/>
      <c r="H438" s="1779"/>
      <c r="I438" s="1779"/>
      <c r="J438" s="1779"/>
      <c r="K438" s="1681"/>
      <c r="L438" s="1642"/>
      <c r="M438" s="1642"/>
      <c r="N438" s="1642"/>
      <c r="O438" s="1642"/>
      <c r="P438" s="1642"/>
      <c r="Q438" s="1642"/>
      <c r="R438" s="1642"/>
      <c r="S438" s="1642"/>
      <c r="T438" s="1642"/>
      <c r="U438" s="1642"/>
      <c r="V438" s="1642"/>
      <c r="W438" s="1642"/>
      <c r="X438" s="1642"/>
      <c r="Y438" s="1642"/>
      <c r="Z438" s="1642"/>
      <c r="AA438" s="1642"/>
      <c r="AB438" s="1642"/>
      <c r="AC438" s="1642"/>
      <c r="AD438" s="1642"/>
      <c r="AE438" s="1642"/>
      <c r="AF438" s="1641"/>
      <c r="AG438" s="1642"/>
      <c r="AH438" s="1642"/>
      <c r="AI438" s="1642"/>
      <c r="AJ438" s="1641"/>
      <c r="AK438" s="1642"/>
      <c r="AL438" s="1642"/>
      <c r="AM438" s="1642"/>
      <c r="AN438" s="1641"/>
      <c r="AO438" s="1642"/>
      <c r="AP438" s="1642"/>
      <c r="AQ438" s="1642"/>
      <c r="AR438" s="1641"/>
      <c r="AS438" s="1642"/>
      <c r="AT438" s="1642"/>
      <c r="AU438" s="1642"/>
      <c r="AV438" s="1641"/>
      <c r="AW438" s="1642"/>
      <c r="AX438" s="1642"/>
      <c r="AY438" s="1642"/>
      <c r="AZ438" s="1641"/>
      <c r="BA438" s="1642"/>
      <c r="BB438" s="1642"/>
      <c r="BC438" s="1642"/>
      <c r="BD438" s="1641"/>
      <c r="BE438" s="1642"/>
      <c r="BF438" s="1642"/>
      <c r="BG438" s="1642"/>
      <c r="BH438" s="1641"/>
      <c r="BI438" s="1642"/>
      <c r="BJ438" s="1642"/>
      <c r="BK438" s="1642"/>
      <c r="BL438" s="1641"/>
      <c r="BM438" s="1642"/>
      <c r="BN438" s="1642"/>
      <c r="BO438" s="1642"/>
      <c r="BP438" s="1641">
        <f t="shared" ref="BP438:CE438" si="490">BP437/BL437-1</f>
        <v>-0.21686400035442532</v>
      </c>
      <c r="BQ438" s="1642">
        <f t="shared" si="490"/>
        <v>-0.15545199486423489</v>
      </c>
      <c r="BR438" s="1642">
        <f t="shared" si="490"/>
        <v>-2.1601345233476343E-2</v>
      </c>
      <c r="BS438" s="1642">
        <f t="shared" si="490"/>
        <v>-4.2505160229866945E-2</v>
      </c>
      <c r="BT438" s="1641">
        <f t="shared" si="490"/>
        <v>-1.039501039501034E-2</v>
      </c>
      <c r="BU438" s="1642">
        <f t="shared" si="490"/>
        <v>-2.9166666666666674E-2</v>
      </c>
      <c r="BV438" s="1642">
        <f t="shared" si="490"/>
        <v>-6.0483870967741882E-2</v>
      </c>
      <c r="BW438" s="1642">
        <f t="shared" si="490"/>
        <v>2.3109243697478909E-2</v>
      </c>
      <c r="BX438" s="1641">
        <f t="shared" si="490"/>
        <v>2.3109243697478909E-2</v>
      </c>
      <c r="BY438" s="1642">
        <f t="shared" si="490"/>
        <v>3.8626609442059978E-2</v>
      </c>
      <c r="BZ438" s="1642">
        <f t="shared" si="490"/>
        <v>6.8669527896995763E-2</v>
      </c>
      <c r="CA438" s="1642">
        <f t="shared" si="490"/>
        <v>-3.2854209445585258E-2</v>
      </c>
      <c r="CB438" s="1641">
        <f t="shared" si="490"/>
        <v>-1</v>
      </c>
      <c r="CC438" s="1642">
        <f t="shared" si="490"/>
        <v>-1</v>
      </c>
      <c r="CD438" s="1642">
        <f t="shared" si="490"/>
        <v>-1</v>
      </c>
      <c r="CE438" s="1642">
        <f t="shared" si="490"/>
        <v>-1</v>
      </c>
      <c r="CF438" s="1641"/>
      <c r="CG438" s="1642"/>
      <c r="CH438" s="1642"/>
      <c r="CI438" s="1642"/>
      <c r="CJ438" s="1641"/>
      <c r="CK438" s="1642"/>
      <c r="CL438" s="1642"/>
      <c r="CM438" s="1681"/>
      <c r="CN438" s="1672"/>
      <c r="CO438" s="1672"/>
      <c r="CP438" s="1672"/>
      <c r="CQ438" s="1672"/>
      <c r="CR438" s="1672"/>
      <c r="CS438" s="1672"/>
      <c r="CT438" s="1672"/>
      <c r="CU438" s="1672"/>
      <c r="CV438" s="1642"/>
      <c r="CW438" s="1672"/>
      <c r="CX438" s="1672"/>
      <c r="CY438" s="1672"/>
      <c r="CZ438" s="1672"/>
      <c r="DA438" s="1672"/>
      <c r="DB438" s="1672"/>
      <c r="DC438" s="1672"/>
      <c r="DD438" s="1672"/>
      <c r="DE438" s="1672"/>
      <c r="DF438" s="1672"/>
      <c r="DG438" s="1672"/>
      <c r="DH438" s="1672"/>
      <c r="DI438" s="1672"/>
      <c r="DJ438" s="1672"/>
      <c r="DK438" s="1672"/>
      <c r="DL438" s="1672"/>
    </row>
    <row r="439" spans="1:116" ht="12.75" hidden="1" customHeight="1">
      <c r="A439" s="1644" t="s">
        <v>716</v>
      </c>
      <c r="B439" s="1779"/>
      <c r="C439" s="1779"/>
      <c r="D439" s="1779"/>
      <c r="E439" s="1780"/>
      <c r="F439" s="1779"/>
      <c r="G439" s="1779"/>
      <c r="H439" s="1779"/>
      <c r="I439" s="1779"/>
      <c r="J439" s="1779"/>
      <c r="K439" s="1681"/>
      <c r="L439" s="1642"/>
      <c r="M439" s="1642"/>
      <c r="N439" s="1642"/>
      <c r="O439" s="1642"/>
      <c r="P439" s="1642"/>
      <c r="Q439" s="1642"/>
      <c r="R439" s="1642"/>
      <c r="S439" s="1642"/>
      <c r="T439" s="1642"/>
      <c r="U439" s="1642"/>
      <c r="V439" s="1642"/>
      <c r="W439" s="1642"/>
      <c r="X439" s="1642"/>
      <c r="Y439" s="1642"/>
      <c r="Z439" s="1642"/>
      <c r="AA439" s="1642"/>
      <c r="AB439" s="1642"/>
      <c r="AC439" s="1642"/>
      <c r="AD439" s="1642"/>
      <c r="AE439" s="1642"/>
      <c r="AF439" s="1641"/>
      <c r="AG439" s="1642"/>
      <c r="AH439" s="1642"/>
      <c r="AI439" s="1642"/>
      <c r="AJ439" s="1641"/>
      <c r="AK439" s="1642"/>
      <c r="AL439" s="1642"/>
      <c r="AM439" s="1642"/>
      <c r="AN439" s="1641"/>
      <c r="AO439" s="1642"/>
      <c r="AP439" s="1642"/>
      <c r="AQ439" s="1642"/>
      <c r="AR439" s="1641"/>
      <c r="AS439" s="1642"/>
      <c r="AT439" s="1642"/>
      <c r="AU439" s="1642"/>
      <c r="AV439" s="1641"/>
      <c r="AW439" s="1642"/>
      <c r="AX439" s="1642"/>
      <c r="AY439" s="1642"/>
      <c r="AZ439" s="1641"/>
      <c r="BA439" s="1642"/>
      <c r="BB439" s="1642"/>
      <c r="BC439" s="1642"/>
      <c r="BD439" s="1641"/>
      <c r="BE439" s="1642"/>
      <c r="BF439" s="1642"/>
      <c r="BG439" s="1642"/>
      <c r="BH439" s="1641"/>
      <c r="BI439" s="1642"/>
      <c r="BJ439" s="1642"/>
      <c r="BK439" s="1642"/>
      <c r="BL439" s="1641"/>
      <c r="BM439" s="1642"/>
      <c r="BN439" s="1642"/>
      <c r="BO439" s="1642"/>
      <c r="BP439" s="1641">
        <f t="shared" ref="BP439:CA439" si="491">BP437/BP423</f>
        <v>0.36522399392558846</v>
      </c>
      <c r="BQ439" s="1642">
        <f t="shared" si="491"/>
        <v>0.36613272311212813</v>
      </c>
      <c r="BR439" s="1642">
        <f t="shared" si="491"/>
        <v>0.38095238095238093</v>
      </c>
      <c r="BS439" s="1642">
        <f t="shared" si="491"/>
        <v>0.36170212765957449</v>
      </c>
      <c r="BT439" s="1641">
        <f t="shared" si="491"/>
        <v>0.35897435897435898</v>
      </c>
      <c r="BU439" s="1642">
        <f t="shared" si="491"/>
        <v>0.35572519083969467</v>
      </c>
      <c r="BV439" s="1642">
        <f t="shared" si="491"/>
        <v>0.3579109062980031</v>
      </c>
      <c r="BW439" s="1642">
        <f t="shared" si="491"/>
        <v>0.3740399385560676</v>
      </c>
      <c r="BX439" s="1641">
        <f t="shared" si="491"/>
        <v>0.36866010598031795</v>
      </c>
      <c r="BY439" s="1642">
        <f t="shared" si="491"/>
        <v>0.36390977443609024</v>
      </c>
      <c r="BZ439" s="1642">
        <f t="shared" si="491"/>
        <v>0.36916234247590807</v>
      </c>
      <c r="CA439" s="1642">
        <f t="shared" si="491"/>
        <v>0.36768149882903983</v>
      </c>
      <c r="CB439" s="1641"/>
      <c r="CC439" s="1642"/>
      <c r="CD439" s="1642"/>
      <c r="CE439" s="1642"/>
      <c r="CF439" s="1641"/>
      <c r="CG439" s="1642"/>
      <c r="CH439" s="1642"/>
      <c r="CI439" s="1642"/>
      <c r="CJ439" s="1641"/>
      <c r="CK439" s="1642"/>
      <c r="CL439" s="1642"/>
      <c r="CM439" s="1681"/>
      <c r="CN439" s="1672"/>
      <c r="CO439" s="1672"/>
      <c r="CP439" s="1672"/>
      <c r="CQ439" s="1672"/>
      <c r="CR439" s="1672"/>
      <c r="CS439" s="1672"/>
      <c r="CT439" s="1672"/>
      <c r="CU439" s="1672"/>
      <c r="CV439" s="1642"/>
      <c r="CW439" s="1672"/>
      <c r="CX439" s="1672"/>
      <c r="CY439" s="1672"/>
      <c r="CZ439" s="1672"/>
      <c r="DA439" s="1672"/>
      <c r="DB439" s="1672"/>
      <c r="DC439" s="1672"/>
      <c r="DD439" s="1672"/>
      <c r="DE439" s="1672"/>
      <c r="DF439" s="1672"/>
      <c r="DG439" s="1672"/>
      <c r="DH439" s="1672"/>
      <c r="DI439" s="1672"/>
      <c r="DJ439" s="1672"/>
      <c r="DK439" s="1672"/>
      <c r="DL439" s="1672"/>
    </row>
    <row r="440" spans="1:116" ht="12.75" hidden="1" customHeight="1">
      <c r="A440" s="1644"/>
      <c r="B440" s="1779"/>
      <c r="C440" s="1779"/>
      <c r="D440" s="1779"/>
      <c r="E440" s="1780"/>
      <c r="F440" s="1779"/>
      <c r="G440" s="1779"/>
      <c r="H440" s="1779"/>
      <c r="I440" s="1779"/>
      <c r="J440" s="1779"/>
      <c r="K440" s="1681"/>
      <c r="L440" s="1642"/>
      <c r="M440" s="1642"/>
      <c r="N440" s="1642"/>
      <c r="O440" s="1642"/>
      <c r="P440" s="1642"/>
      <c r="Q440" s="1642"/>
      <c r="R440" s="1642"/>
      <c r="S440" s="1642"/>
      <c r="T440" s="1642"/>
      <c r="U440" s="1642"/>
      <c r="V440" s="1642"/>
      <c r="W440" s="1642"/>
      <c r="X440" s="1642"/>
      <c r="Y440" s="1642"/>
      <c r="Z440" s="1642"/>
      <c r="AA440" s="1642"/>
      <c r="AB440" s="1642"/>
      <c r="AC440" s="1642"/>
      <c r="AD440" s="1642"/>
      <c r="AE440" s="1642"/>
      <c r="AF440" s="1641"/>
      <c r="AG440" s="1642"/>
      <c r="AH440" s="1642"/>
      <c r="AI440" s="1642"/>
      <c r="AJ440" s="1641"/>
      <c r="AK440" s="1642"/>
      <c r="AL440" s="1642"/>
      <c r="AM440" s="1642"/>
      <c r="AN440" s="1641"/>
      <c r="AO440" s="1642"/>
      <c r="AP440" s="1642"/>
      <c r="AQ440" s="1642"/>
      <c r="AR440" s="1641"/>
      <c r="AS440" s="1642"/>
      <c r="AT440" s="1642"/>
      <c r="AU440" s="1642"/>
      <c r="AV440" s="1641"/>
      <c r="AW440" s="1642"/>
      <c r="AX440" s="1642"/>
      <c r="AY440" s="1642"/>
      <c r="AZ440" s="1641"/>
      <c r="BA440" s="1642"/>
      <c r="BB440" s="1642"/>
      <c r="BC440" s="1642"/>
      <c r="BD440" s="1641"/>
      <c r="BE440" s="1642"/>
      <c r="BF440" s="1642"/>
      <c r="BG440" s="1642"/>
      <c r="BH440" s="1641"/>
      <c r="BI440" s="1642"/>
      <c r="BJ440" s="1642"/>
      <c r="BK440" s="1642"/>
      <c r="BL440" s="1641"/>
      <c r="BM440" s="1642"/>
      <c r="BN440" s="1642"/>
      <c r="BO440" s="1642"/>
      <c r="BP440" s="1641"/>
      <c r="BQ440" s="1642"/>
      <c r="BR440" s="1642"/>
      <c r="BS440" s="1642"/>
      <c r="BT440" s="1641"/>
      <c r="BU440" s="1642"/>
      <c r="BV440" s="1642"/>
      <c r="BW440" s="1642"/>
      <c r="BX440" s="1641"/>
      <c r="BY440" s="1642"/>
      <c r="BZ440" s="1642"/>
      <c r="CA440" s="1642"/>
      <c r="CB440" s="1641"/>
      <c r="CC440" s="1642"/>
      <c r="CD440" s="1642"/>
      <c r="CE440" s="1642"/>
      <c r="CF440" s="1641"/>
      <c r="CG440" s="1642"/>
      <c r="CH440" s="1642"/>
      <c r="CI440" s="1642"/>
      <c r="CJ440" s="1641"/>
      <c r="CK440" s="1642"/>
      <c r="CL440" s="1642"/>
      <c r="CM440" s="1681"/>
      <c r="CN440" s="1672"/>
      <c r="CO440" s="1672"/>
      <c r="CP440" s="1672"/>
      <c r="CQ440" s="1672"/>
      <c r="CR440" s="1672"/>
      <c r="CS440" s="1672"/>
      <c r="CT440" s="1672"/>
      <c r="CU440" s="1672"/>
      <c r="CV440" s="1642"/>
      <c r="CW440" s="1672"/>
      <c r="CX440" s="1672"/>
      <c r="CY440" s="1672"/>
      <c r="CZ440" s="1672"/>
      <c r="DA440" s="1672"/>
      <c r="DB440" s="1672"/>
      <c r="DC440" s="1672"/>
      <c r="DD440" s="1672"/>
      <c r="DE440" s="1672"/>
      <c r="DF440" s="1672"/>
      <c r="DG440" s="1672"/>
      <c r="DH440" s="1672"/>
      <c r="DI440" s="1672"/>
      <c r="DJ440" s="1672"/>
      <c r="DK440" s="1672"/>
      <c r="DL440" s="1672"/>
    </row>
    <row r="441" spans="1:116" ht="12.75" hidden="1" customHeight="1">
      <c r="A441" s="1660" t="s">
        <v>1040</v>
      </c>
      <c r="B441" s="1779"/>
      <c r="C441" s="1779"/>
      <c r="D441" s="1779"/>
      <c r="E441" s="1780"/>
      <c r="F441" s="1779"/>
      <c r="G441" s="1779"/>
      <c r="H441" s="1779"/>
      <c r="I441" s="1779"/>
      <c r="J441" s="1779"/>
      <c r="K441" s="1681"/>
      <c r="L441" s="1642"/>
      <c r="M441" s="1642"/>
      <c r="N441" s="1642"/>
      <c r="O441" s="1642"/>
      <c r="P441" s="1642"/>
      <c r="Q441" s="1642"/>
      <c r="R441" s="1642"/>
      <c r="S441" s="1642"/>
      <c r="T441" s="1642"/>
      <c r="U441" s="1642"/>
      <c r="V441" s="1642"/>
      <c r="W441" s="1642"/>
      <c r="X441" s="1642"/>
      <c r="Y441" s="1642"/>
      <c r="Z441" s="1642"/>
      <c r="AA441" s="1642"/>
      <c r="AB441" s="1642"/>
      <c r="AC441" s="1642"/>
      <c r="AD441" s="1642"/>
      <c r="AE441" s="1642"/>
      <c r="AF441" s="1641"/>
      <c r="AG441" s="1642"/>
      <c r="AH441" s="1642"/>
      <c r="AI441" s="1642"/>
      <c r="AJ441" s="1641"/>
      <c r="AK441" s="1642"/>
      <c r="AL441" s="1642"/>
      <c r="AM441" s="1642"/>
      <c r="AN441" s="1641"/>
      <c r="AO441" s="1642"/>
      <c r="AP441" s="1642"/>
      <c r="AQ441" s="1642"/>
      <c r="AR441" s="1641"/>
      <c r="AS441" s="1642"/>
      <c r="AT441" s="1642"/>
      <c r="AU441" s="1642"/>
      <c r="AV441" s="1641"/>
      <c r="AW441" s="1642"/>
      <c r="AX441" s="1642"/>
      <c r="AY441" s="1642"/>
      <c r="AZ441" s="1641"/>
      <c r="BA441" s="1642"/>
      <c r="BB441" s="1642"/>
      <c r="BC441" s="1642"/>
      <c r="BD441" s="1641"/>
      <c r="BE441" s="1642"/>
      <c r="BF441" s="1642"/>
      <c r="BG441" s="1642"/>
      <c r="BH441" s="1641"/>
      <c r="BI441" s="1642"/>
      <c r="BJ441" s="1642"/>
      <c r="BK441" s="1642"/>
      <c r="BL441" s="1641"/>
      <c r="BM441" s="1642"/>
      <c r="BN441" s="1642"/>
      <c r="BO441" s="1642"/>
      <c r="BP441" s="1641"/>
      <c r="BQ441" s="1642"/>
      <c r="BR441" s="1642"/>
      <c r="BS441" s="1642"/>
      <c r="BT441" s="1641"/>
      <c r="BU441" s="1642"/>
      <c r="BV441" s="1642"/>
      <c r="BW441" s="1642"/>
      <c r="BX441" s="1641"/>
      <c r="BY441" s="1642"/>
      <c r="BZ441" s="1642"/>
      <c r="CA441" s="1642"/>
      <c r="CB441" s="1641"/>
      <c r="CC441" s="1642"/>
      <c r="CD441" s="1642"/>
      <c r="CE441" s="1642"/>
      <c r="CF441" s="1641"/>
      <c r="CG441" s="1642"/>
      <c r="CH441" s="1642"/>
      <c r="CI441" s="1642"/>
      <c r="CJ441" s="1641"/>
      <c r="CK441" s="1642"/>
      <c r="CL441" s="1642"/>
      <c r="CM441" s="1681"/>
      <c r="CN441" s="1672"/>
      <c r="CO441" s="1672"/>
      <c r="CP441" s="1672"/>
      <c r="CQ441" s="1672"/>
      <c r="CR441" s="1672"/>
      <c r="CS441" s="1672"/>
      <c r="CT441" s="1672"/>
      <c r="CU441" s="1672"/>
      <c r="CV441" s="1642"/>
      <c r="CW441" s="1672"/>
      <c r="CX441" s="1672"/>
      <c r="CY441" s="1672"/>
      <c r="CZ441" s="1672"/>
      <c r="DA441" s="1672"/>
      <c r="DB441" s="1672"/>
      <c r="DC441" s="1672"/>
      <c r="DD441" s="1672"/>
      <c r="DE441" s="1672"/>
      <c r="DF441" s="1672"/>
      <c r="DG441" s="1672"/>
      <c r="DH441" s="1672"/>
      <c r="DI441" s="1672"/>
      <c r="DJ441" s="1672"/>
      <c r="DK441" s="1672"/>
      <c r="DL441" s="1672"/>
    </row>
    <row r="442" spans="1:116" ht="12.75" hidden="1" customHeight="1">
      <c r="A442" s="1660" t="s">
        <v>513</v>
      </c>
      <c r="B442" s="1779"/>
      <c r="C442" s="1779"/>
      <c r="D442" s="1779"/>
      <c r="E442" s="1780"/>
      <c r="F442" s="1779"/>
      <c r="G442" s="1779"/>
      <c r="H442" s="1779"/>
      <c r="I442" s="1779"/>
      <c r="J442" s="1779"/>
      <c r="K442" s="1681"/>
      <c r="L442" s="1642"/>
      <c r="M442" s="1642"/>
      <c r="N442" s="1642"/>
      <c r="O442" s="1642"/>
      <c r="P442" s="1642"/>
      <c r="Q442" s="1642"/>
      <c r="R442" s="1642"/>
      <c r="S442" s="1642"/>
      <c r="T442" s="1642"/>
      <c r="U442" s="1642"/>
      <c r="V442" s="1642"/>
      <c r="W442" s="1642"/>
      <c r="X442" s="1642"/>
      <c r="Y442" s="1642"/>
      <c r="Z442" s="1642"/>
      <c r="AA442" s="1642"/>
      <c r="AB442" s="1642"/>
      <c r="AC442" s="1642"/>
      <c r="AD442" s="1642"/>
      <c r="AE442" s="1642"/>
      <c r="AF442" s="1641"/>
      <c r="AG442" s="1642"/>
      <c r="AH442" s="1642"/>
      <c r="AI442" s="1642"/>
      <c r="AJ442" s="1641"/>
      <c r="AK442" s="1642"/>
      <c r="AL442" s="1642"/>
      <c r="AM442" s="1642"/>
      <c r="AN442" s="1641"/>
      <c r="AO442" s="1642"/>
      <c r="AP442" s="1642"/>
      <c r="AQ442" s="1642"/>
      <c r="AR442" s="1641"/>
      <c r="AS442" s="1642"/>
      <c r="AT442" s="1642"/>
      <c r="AU442" s="1642"/>
      <c r="AV442" s="1641"/>
      <c r="AW442" s="1642"/>
      <c r="AX442" s="1642"/>
      <c r="AY442" s="1642"/>
      <c r="AZ442" s="1641"/>
      <c r="BA442" s="1642"/>
      <c r="BB442" s="1642"/>
      <c r="BC442" s="1642"/>
      <c r="BD442" s="1641"/>
      <c r="BE442" s="1642"/>
      <c r="BF442" s="1642"/>
      <c r="BG442" s="1642"/>
      <c r="BH442" s="1641"/>
      <c r="BI442" s="1642"/>
      <c r="BJ442" s="1642"/>
      <c r="BK442" s="1642"/>
      <c r="BL442" s="1641">
        <f t="shared" ref="BL442:CE442" si="492">BL433+BL437</f>
        <v>882.03259651480653</v>
      </c>
      <c r="BM442" s="1642">
        <f t="shared" si="492"/>
        <v>835.01754317799305</v>
      </c>
      <c r="BN442" s="1642">
        <f t="shared" si="492"/>
        <v>747.88233964321421</v>
      </c>
      <c r="BO442" s="1642">
        <f t="shared" si="492"/>
        <v>734.63788835526543</v>
      </c>
      <c r="BP442" s="1641">
        <f t="shared" si="492"/>
        <v>729</v>
      </c>
      <c r="BQ442" s="1642">
        <f t="shared" si="492"/>
        <v>730</v>
      </c>
      <c r="BR442" s="1642">
        <f t="shared" si="492"/>
        <v>747</v>
      </c>
      <c r="BS442" s="1642">
        <f t="shared" si="492"/>
        <v>751</v>
      </c>
      <c r="BT442" s="1641">
        <f t="shared" si="492"/>
        <v>750</v>
      </c>
      <c r="BU442" s="1642">
        <f t="shared" si="492"/>
        <v>751</v>
      </c>
      <c r="BV442" s="1642">
        <f t="shared" si="492"/>
        <v>780</v>
      </c>
      <c r="BW442" s="1642">
        <f t="shared" si="492"/>
        <v>838</v>
      </c>
      <c r="BX442" s="1641">
        <f t="shared" si="492"/>
        <v>844</v>
      </c>
      <c r="BY442" s="1642">
        <f t="shared" si="492"/>
        <v>859</v>
      </c>
      <c r="BZ442" s="1642">
        <f t="shared" si="492"/>
        <v>871</v>
      </c>
      <c r="CA442" s="1642">
        <f t="shared" si="492"/>
        <v>800</v>
      </c>
      <c r="CB442" s="1641">
        <f t="shared" si="492"/>
        <v>0</v>
      </c>
      <c r="CC442" s="1642">
        <f t="shared" si="492"/>
        <v>0</v>
      </c>
      <c r="CD442" s="1642">
        <f t="shared" si="492"/>
        <v>0</v>
      </c>
      <c r="CE442" s="1642">
        <f t="shared" si="492"/>
        <v>0</v>
      </c>
      <c r="CF442" s="1641"/>
      <c r="CG442" s="1642"/>
      <c r="CH442" s="1642"/>
      <c r="CI442" s="1642"/>
      <c r="CJ442" s="1641"/>
      <c r="CK442" s="1642"/>
      <c r="CL442" s="1642"/>
      <c r="CM442" s="1681"/>
      <c r="CN442" s="1672"/>
      <c r="CO442" s="1672"/>
      <c r="CP442" s="1672"/>
      <c r="CQ442" s="1672"/>
      <c r="CR442" s="1672"/>
      <c r="CS442" s="1672"/>
      <c r="CT442" s="1672"/>
      <c r="CU442" s="1672"/>
      <c r="CV442" s="1642"/>
      <c r="CW442" s="1672"/>
      <c r="CX442" s="1672"/>
      <c r="CY442" s="1672"/>
      <c r="CZ442" s="1672"/>
      <c r="DA442" s="1672"/>
      <c r="DB442" s="1672"/>
      <c r="DC442" s="1672"/>
      <c r="DD442" s="1672"/>
      <c r="DE442" s="1672"/>
      <c r="DF442" s="1672"/>
      <c r="DG442" s="1672"/>
      <c r="DH442" s="1672"/>
      <c r="DI442" s="1672"/>
      <c r="DJ442" s="1672"/>
      <c r="DK442" s="1672"/>
      <c r="DL442" s="1672"/>
    </row>
    <row r="443" spans="1:116" ht="12.75" hidden="1" customHeight="1">
      <c r="A443" s="1660" t="s">
        <v>718</v>
      </c>
      <c r="B443" s="1779"/>
      <c r="C443" s="1779"/>
      <c r="D443" s="1779"/>
      <c r="E443" s="1780"/>
      <c r="F443" s="1779"/>
      <c r="G443" s="1779"/>
      <c r="H443" s="1779"/>
      <c r="I443" s="1779"/>
      <c r="J443" s="1779"/>
      <c r="K443" s="1681"/>
      <c r="L443" s="1642"/>
      <c r="M443" s="1642"/>
      <c r="N443" s="1642"/>
      <c r="O443" s="1642"/>
      <c r="P443" s="1642"/>
      <c r="Q443" s="1642"/>
      <c r="R443" s="1642"/>
      <c r="S443" s="1642"/>
      <c r="T443" s="1642"/>
      <c r="U443" s="1642"/>
      <c r="V443" s="1642"/>
      <c r="W443" s="1642"/>
      <c r="X443" s="1642"/>
      <c r="Y443" s="1642"/>
      <c r="Z443" s="1642"/>
      <c r="AA443" s="1642"/>
      <c r="AB443" s="1642"/>
      <c r="AC443" s="1642"/>
      <c r="AD443" s="1642"/>
      <c r="AE443" s="1642"/>
      <c r="AF443" s="1641"/>
      <c r="AG443" s="1642"/>
      <c r="AH443" s="1642"/>
      <c r="AI443" s="1642"/>
      <c r="AJ443" s="1641"/>
      <c r="AK443" s="1642"/>
      <c r="AL443" s="1642"/>
      <c r="AM443" s="1642"/>
      <c r="AN443" s="1641"/>
      <c r="AO443" s="1642"/>
      <c r="AP443" s="1642"/>
      <c r="AQ443" s="1642"/>
      <c r="AR443" s="1641"/>
      <c r="AS443" s="1642"/>
      <c r="AT443" s="1642"/>
      <c r="AU443" s="1642"/>
      <c r="AV443" s="1641"/>
      <c r="AW443" s="1642"/>
      <c r="AX443" s="1642"/>
      <c r="AY443" s="1642"/>
      <c r="AZ443" s="1641"/>
      <c r="BA443" s="1642"/>
      <c r="BB443" s="1642"/>
      <c r="BC443" s="1642"/>
      <c r="BD443" s="1641"/>
      <c r="BE443" s="1642"/>
      <c r="BF443" s="1642"/>
      <c r="BG443" s="1642"/>
      <c r="BH443" s="1641"/>
      <c r="BI443" s="1642"/>
      <c r="BJ443" s="1642"/>
      <c r="BK443" s="1642"/>
      <c r="BL443" s="1641">
        <f t="shared" ref="BL443:CE443" si="493">BL451-BL442</f>
        <v>4536.9335053023788</v>
      </c>
      <c r="BM443" s="1642">
        <f t="shared" si="493"/>
        <v>4572.7979826281862</v>
      </c>
      <c r="BN443" s="1642">
        <f t="shared" si="493"/>
        <v>4500.1181818181813</v>
      </c>
      <c r="BO443" s="1642">
        <f t="shared" si="493"/>
        <v>4417.2102854065697</v>
      </c>
      <c r="BP443" s="1641">
        <f t="shared" si="493"/>
        <v>4290</v>
      </c>
      <c r="BQ443" s="1642">
        <f t="shared" si="493"/>
        <v>4367</v>
      </c>
      <c r="BR443" s="1642">
        <f t="shared" si="493"/>
        <v>4403</v>
      </c>
      <c r="BS443" s="1642">
        <f t="shared" si="493"/>
        <v>4523</v>
      </c>
      <c r="BT443" s="1641">
        <f t="shared" si="493"/>
        <v>4388</v>
      </c>
      <c r="BU443" s="1642">
        <f t="shared" si="493"/>
        <v>4482</v>
      </c>
      <c r="BV443" s="1642">
        <f t="shared" si="493"/>
        <v>4522</v>
      </c>
      <c r="BW443" s="1642">
        <f t="shared" si="493"/>
        <v>4503</v>
      </c>
      <c r="BX443" s="1641">
        <f t="shared" si="493"/>
        <v>4370</v>
      </c>
      <c r="BY443" s="1642">
        <f t="shared" si="493"/>
        <v>4459</v>
      </c>
      <c r="BZ443" s="1642">
        <f t="shared" si="493"/>
        <v>4506</v>
      </c>
      <c r="CA443" s="1642">
        <f t="shared" si="493"/>
        <v>4417</v>
      </c>
      <c r="CB443" s="1641">
        <f t="shared" si="493"/>
        <v>0</v>
      </c>
      <c r="CC443" s="1642">
        <f t="shared" si="493"/>
        <v>0</v>
      </c>
      <c r="CD443" s="1642">
        <f t="shared" si="493"/>
        <v>0</v>
      </c>
      <c r="CE443" s="1642">
        <f t="shared" si="493"/>
        <v>0</v>
      </c>
      <c r="CF443" s="1641"/>
      <c r="CG443" s="1642"/>
      <c r="CH443" s="1642"/>
      <c r="CI443" s="1642"/>
      <c r="CJ443" s="1641"/>
      <c r="CK443" s="1642"/>
      <c r="CL443" s="1642"/>
      <c r="CM443" s="1681"/>
      <c r="CN443" s="1672"/>
      <c r="CO443" s="1672"/>
      <c r="CP443" s="1672"/>
      <c r="CQ443" s="1672"/>
      <c r="CR443" s="1672"/>
      <c r="CS443" s="1672"/>
      <c r="CT443" s="1672"/>
      <c r="CU443" s="1672"/>
      <c r="CV443" s="1642"/>
      <c r="CW443" s="1672"/>
      <c r="CX443" s="1672"/>
      <c r="CY443" s="1672"/>
      <c r="CZ443" s="1672"/>
      <c r="DA443" s="1672"/>
      <c r="DB443" s="1672"/>
      <c r="DC443" s="1672"/>
      <c r="DD443" s="1672"/>
      <c r="DE443" s="1672"/>
      <c r="DF443" s="1672"/>
      <c r="DG443" s="1672"/>
      <c r="DH443" s="1672"/>
      <c r="DI443" s="1672"/>
      <c r="DJ443" s="1672"/>
      <c r="DK443" s="1672"/>
      <c r="DL443" s="1672"/>
    </row>
    <row r="444" spans="1:116" ht="12.75" hidden="1" customHeight="1">
      <c r="A444" s="1660" t="s">
        <v>719</v>
      </c>
      <c r="B444" s="1779"/>
      <c r="C444" s="1779"/>
      <c r="D444" s="1779"/>
      <c r="E444" s="1780"/>
      <c r="F444" s="1779"/>
      <c r="G444" s="1779"/>
      <c r="H444" s="1779"/>
      <c r="I444" s="1779"/>
      <c r="J444" s="1779"/>
      <c r="K444" s="1681"/>
      <c r="L444" s="1642"/>
      <c r="M444" s="1642"/>
      <c r="N444" s="1642"/>
      <c r="O444" s="1642"/>
      <c r="P444" s="1642"/>
      <c r="Q444" s="1642"/>
      <c r="R444" s="1642"/>
      <c r="S444" s="1642"/>
      <c r="T444" s="1642"/>
      <c r="U444" s="1642"/>
      <c r="V444" s="1642"/>
      <c r="W444" s="1642"/>
      <c r="X444" s="1642"/>
      <c r="Y444" s="1642"/>
      <c r="Z444" s="1642"/>
      <c r="AA444" s="1642"/>
      <c r="AB444" s="1642"/>
      <c r="AC444" s="1642"/>
      <c r="AD444" s="1642"/>
      <c r="AE444" s="1642"/>
      <c r="AF444" s="1641"/>
      <c r="AG444" s="1642"/>
      <c r="AH444" s="1642"/>
      <c r="AI444" s="1642"/>
      <c r="AJ444" s="1641"/>
      <c r="AK444" s="1642"/>
      <c r="AL444" s="1642"/>
      <c r="AM444" s="1642"/>
      <c r="AN444" s="1641"/>
      <c r="AO444" s="1642"/>
      <c r="AP444" s="1642"/>
      <c r="AQ444" s="1642"/>
      <c r="AR444" s="1641"/>
      <c r="AS444" s="1642"/>
      <c r="AT444" s="1642"/>
      <c r="AU444" s="1642"/>
      <c r="AV444" s="1641"/>
      <c r="AW444" s="1642"/>
      <c r="AX444" s="1642"/>
      <c r="AY444" s="1642"/>
      <c r="AZ444" s="1641"/>
      <c r="BA444" s="1642"/>
      <c r="BB444" s="1642"/>
      <c r="BC444" s="1642"/>
      <c r="BD444" s="1641"/>
      <c r="BE444" s="1642"/>
      <c r="BF444" s="1642"/>
      <c r="BG444" s="1642"/>
      <c r="BH444" s="1641"/>
      <c r="BI444" s="1642"/>
      <c r="BJ444" s="1642"/>
      <c r="BK444" s="1642"/>
      <c r="BL444" s="1641">
        <f t="shared" ref="BL444:CA444" si="494">BL442/BL451</f>
        <v>0.16276769035684269</v>
      </c>
      <c r="BM444" s="1642">
        <f t="shared" si="494"/>
        <v>0.15440939861821773</v>
      </c>
      <c r="BN444" s="1642">
        <f t="shared" si="494"/>
        <v>0.14250805360723431</v>
      </c>
      <c r="BO444" s="1642">
        <f t="shared" si="494"/>
        <v>0.14259696007672509</v>
      </c>
      <c r="BP444" s="1641">
        <f t="shared" si="494"/>
        <v>0.1452480573819486</v>
      </c>
      <c r="BQ444" s="1642">
        <f t="shared" si="494"/>
        <v>0.14322150284481067</v>
      </c>
      <c r="BR444" s="1642">
        <f t="shared" si="494"/>
        <v>0.14504854368932038</v>
      </c>
      <c r="BS444" s="1642">
        <f t="shared" si="494"/>
        <v>0.14239666287447858</v>
      </c>
      <c r="BT444" s="1641">
        <f t="shared" si="494"/>
        <v>0.14597119501751654</v>
      </c>
      <c r="BU444" s="1642">
        <f t="shared" si="494"/>
        <v>0.14351232562583605</v>
      </c>
      <c r="BV444" s="1642">
        <f t="shared" si="494"/>
        <v>0.14711429649188984</v>
      </c>
      <c r="BW444" s="1642">
        <f t="shared" si="494"/>
        <v>0.15689945703051864</v>
      </c>
      <c r="BX444" s="1641">
        <f t="shared" si="494"/>
        <v>0.16187188339087072</v>
      </c>
      <c r="BY444" s="1642">
        <f t="shared" si="494"/>
        <v>0.16152688980819857</v>
      </c>
      <c r="BZ444" s="1642">
        <f t="shared" si="494"/>
        <v>0.16198623767900316</v>
      </c>
      <c r="CA444" s="1642">
        <f t="shared" si="494"/>
        <v>0.15334483419589803</v>
      </c>
      <c r="CB444" s="1641"/>
      <c r="CC444" s="1642"/>
      <c r="CD444" s="1642"/>
      <c r="CE444" s="1642"/>
      <c r="CF444" s="1641"/>
      <c r="CG444" s="1642"/>
      <c r="CH444" s="1642"/>
      <c r="CI444" s="1642"/>
      <c r="CJ444" s="1641"/>
      <c r="CK444" s="1642"/>
      <c r="CL444" s="1642"/>
      <c r="CM444" s="1681"/>
      <c r="CN444" s="1672"/>
      <c r="CO444" s="1672"/>
      <c r="CP444" s="1672"/>
      <c r="CQ444" s="1672"/>
      <c r="CR444" s="1672"/>
      <c r="CS444" s="1672"/>
      <c r="CT444" s="1672"/>
      <c r="CU444" s="1672"/>
      <c r="CV444" s="1642"/>
      <c r="CW444" s="1672"/>
      <c r="CX444" s="1672"/>
      <c r="CY444" s="1672"/>
      <c r="CZ444" s="1672"/>
      <c r="DA444" s="1672"/>
      <c r="DB444" s="1672"/>
      <c r="DC444" s="1672"/>
      <c r="DD444" s="1672"/>
      <c r="DE444" s="1672"/>
      <c r="DF444" s="1672"/>
      <c r="DG444" s="1672"/>
      <c r="DH444" s="1672"/>
      <c r="DI444" s="1672"/>
      <c r="DJ444" s="1672"/>
      <c r="DK444" s="1672"/>
      <c r="DL444" s="1672"/>
    </row>
    <row r="445" spans="1:116" ht="12.75" hidden="1" customHeight="1">
      <c r="A445" s="1660" t="s">
        <v>720</v>
      </c>
      <c r="B445" s="1779"/>
      <c r="C445" s="1779"/>
      <c r="D445" s="1779"/>
      <c r="E445" s="1780"/>
      <c r="F445" s="1779"/>
      <c r="G445" s="1779"/>
      <c r="H445" s="1779"/>
      <c r="I445" s="1779"/>
      <c r="J445" s="1779"/>
      <c r="K445" s="1681"/>
      <c r="L445" s="1642"/>
      <c r="M445" s="1642"/>
      <c r="N445" s="1642"/>
      <c r="O445" s="1642"/>
      <c r="P445" s="1642"/>
      <c r="Q445" s="1642"/>
      <c r="R445" s="1642"/>
      <c r="S445" s="1642"/>
      <c r="T445" s="1642"/>
      <c r="U445" s="1642"/>
      <c r="V445" s="1642"/>
      <c r="W445" s="1642"/>
      <c r="X445" s="1642"/>
      <c r="Y445" s="1642"/>
      <c r="Z445" s="1642"/>
      <c r="AA445" s="1642"/>
      <c r="AB445" s="1642"/>
      <c r="AC445" s="1642"/>
      <c r="AD445" s="1642"/>
      <c r="AE445" s="1642"/>
      <c r="AF445" s="1641"/>
      <c r="AG445" s="1642"/>
      <c r="AH445" s="1642"/>
      <c r="AI445" s="1642"/>
      <c r="AJ445" s="1641"/>
      <c r="AK445" s="1642"/>
      <c r="AL445" s="1642"/>
      <c r="AM445" s="1642"/>
      <c r="AN445" s="1641"/>
      <c r="AO445" s="1642"/>
      <c r="AP445" s="1642"/>
      <c r="AQ445" s="1642"/>
      <c r="AR445" s="1641"/>
      <c r="AS445" s="1642"/>
      <c r="AT445" s="1642"/>
      <c r="AU445" s="1642"/>
      <c r="AV445" s="1641"/>
      <c r="AW445" s="1642"/>
      <c r="AX445" s="1642"/>
      <c r="AY445" s="1642"/>
      <c r="AZ445" s="1641"/>
      <c r="BA445" s="1642"/>
      <c r="BB445" s="1642"/>
      <c r="BC445" s="1642"/>
      <c r="BD445" s="1641"/>
      <c r="BE445" s="1642"/>
      <c r="BF445" s="1642"/>
      <c r="BG445" s="1642"/>
      <c r="BH445" s="1641"/>
      <c r="BI445" s="1642"/>
      <c r="BJ445" s="1642"/>
      <c r="BK445" s="1642"/>
      <c r="BL445" s="1641">
        <f t="shared" ref="BL445:CA445" si="495">1-BL444</f>
        <v>0.83723230964315731</v>
      </c>
      <c r="BM445" s="1642">
        <f t="shared" si="495"/>
        <v>0.84559060138178221</v>
      </c>
      <c r="BN445" s="1642">
        <f t="shared" si="495"/>
        <v>0.85749194639276571</v>
      </c>
      <c r="BO445" s="1642">
        <f t="shared" si="495"/>
        <v>0.85740303992327493</v>
      </c>
      <c r="BP445" s="1641">
        <f t="shared" si="495"/>
        <v>0.85475194261805143</v>
      </c>
      <c r="BQ445" s="1642">
        <f t="shared" si="495"/>
        <v>0.85677849715518928</v>
      </c>
      <c r="BR445" s="1642">
        <f t="shared" si="495"/>
        <v>0.85495145631067959</v>
      </c>
      <c r="BS445" s="1642">
        <f t="shared" si="495"/>
        <v>0.85760333712552139</v>
      </c>
      <c r="BT445" s="1641">
        <f t="shared" si="495"/>
        <v>0.85402880498248346</v>
      </c>
      <c r="BU445" s="1642">
        <f t="shared" si="495"/>
        <v>0.85648767437416395</v>
      </c>
      <c r="BV445" s="1642">
        <f t="shared" si="495"/>
        <v>0.8528857035081101</v>
      </c>
      <c r="BW445" s="1642">
        <f t="shared" si="495"/>
        <v>0.84310054296948134</v>
      </c>
      <c r="BX445" s="1641">
        <f t="shared" si="495"/>
        <v>0.83812811660912923</v>
      </c>
      <c r="BY445" s="1642">
        <f t="shared" si="495"/>
        <v>0.83847311019180149</v>
      </c>
      <c r="BZ445" s="1642">
        <f t="shared" si="495"/>
        <v>0.83801376232099689</v>
      </c>
      <c r="CA445" s="1642">
        <f t="shared" si="495"/>
        <v>0.84665516580410194</v>
      </c>
      <c r="CB445" s="1641"/>
      <c r="CC445" s="1642"/>
      <c r="CD445" s="1642"/>
      <c r="CE445" s="1642"/>
      <c r="CF445" s="1641"/>
      <c r="CG445" s="1642"/>
      <c r="CH445" s="1642"/>
      <c r="CI445" s="1642"/>
      <c r="CJ445" s="1641"/>
      <c r="CK445" s="1642"/>
      <c r="CL445" s="1642"/>
      <c r="CM445" s="1681"/>
      <c r="CN445" s="1672"/>
      <c r="CO445" s="1672"/>
      <c r="CP445" s="1672"/>
      <c r="CQ445" s="1672"/>
      <c r="CR445" s="1672"/>
      <c r="CS445" s="1672"/>
      <c r="CT445" s="1672"/>
      <c r="CU445" s="1672"/>
      <c r="CV445" s="1642"/>
      <c r="CW445" s="1672"/>
      <c r="CX445" s="1672"/>
      <c r="CY445" s="1672"/>
      <c r="CZ445" s="1672"/>
      <c r="DA445" s="1672"/>
      <c r="DB445" s="1672"/>
      <c r="DC445" s="1672"/>
      <c r="DD445" s="1672"/>
      <c r="DE445" s="1672"/>
      <c r="DF445" s="1672"/>
      <c r="DG445" s="1672"/>
      <c r="DH445" s="1672"/>
      <c r="DI445" s="1672"/>
      <c r="DJ445" s="1672"/>
      <c r="DK445" s="1672"/>
      <c r="DL445" s="1672"/>
    </row>
    <row r="446" spans="1:116" ht="12.75" hidden="1" customHeight="1">
      <c r="A446" s="1644"/>
      <c r="B446" s="1779"/>
      <c r="C446" s="1779"/>
      <c r="D446" s="1779"/>
      <c r="E446" s="1780"/>
      <c r="F446" s="1779"/>
      <c r="G446" s="1779"/>
      <c r="H446" s="1779"/>
      <c r="I446" s="1779"/>
      <c r="J446" s="1779"/>
      <c r="K446" s="1681"/>
      <c r="L446" s="1642"/>
      <c r="M446" s="1642"/>
      <c r="N446" s="1642"/>
      <c r="O446" s="1642"/>
      <c r="P446" s="1642"/>
      <c r="Q446" s="1642"/>
      <c r="R446" s="1642"/>
      <c r="S446" s="1642"/>
      <c r="T446" s="1642"/>
      <c r="U446" s="1642"/>
      <c r="V446" s="1642"/>
      <c r="W446" s="1642"/>
      <c r="X446" s="1642"/>
      <c r="Y446" s="1642"/>
      <c r="Z446" s="1642"/>
      <c r="AA446" s="1642"/>
      <c r="AB446" s="1642"/>
      <c r="AC446" s="1642"/>
      <c r="AD446" s="1642"/>
      <c r="AE446" s="1642"/>
      <c r="AF446" s="1641"/>
      <c r="AG446" s="1642"/>
      <c r="AH446" s="1642"/>
      <c r="AI446" s="1642"/>
      <c r="AJ446" s="1641"/>
      <c r="AK446" s="1642"/>
      <c r="AL446" s="1642"/>
      <c r="AM446" s="1642"/>
      <c r="AN446" s="1641"/>
      <c r="AO446" s="1642"/>
      <c r="AP446" s="1642"/>
      <c r="AQ446" s="1642"/>
      <c r="AR446" s="1641"/>
      <c r="AS446" s="1642"/>
      <c r="AT446" s="1642"/>
      <c r="AU446" s="1642"/>
      <c r="AV446" s="1641"/>
      <c r="AW446" s="1642"/>
      <c r="AX446" s="1642"/>
      <c r="AY446" s="1642"/>
      <c r="AZ446" s="1641"/>
      <c r="BA446" s="1642"/>
      <c r="BB446" s="1642"/>
      <c r="BC446" s="1642"/>
      <c r="BD446" s="1641"/>
      <c r="BE446" s="1642"/>
      <c r="BF446" s="1642"/>
      <c r="BG446" s="1642"/>
      <c r="BH446" s="1641"/>
      <c r="BI446" s="1642"/>
      <c r="BJ446" s="1642"/>
      <c r="BK446" s="1642"/>
      <c r="BL446" s="1641"/>
      <c r="BM446" s="1642"/>
      <c r="BN446" s="1642"/>
      <c r="BO446" s="1642"/>
      <c r="BP446" s="1641"/>
      <c r="BQ446" s="1642"/>
      <c r="BR446" s="1642"/>
      <c r="BS446" s="1642"/>
      <c r="BT446" s="1641"/>
      <c r="BU446" s="1642"/>
      <c r="BV446" s="1642"/>
      <c r="BW446" s="1642"/>
      <c r="BX446" s="1641"/>
      <c r="BY446" s="1642"/>
      <c r="BZ446" s="1642"/>
      <c r="CA446" s="1642"/>
      <c r="CB446" s="1641"/>
      <c r="CC446" s="1642"/>
      <c r="CD446" s="1642"/>
      <c r="CE446" s="1642"/>
      <c r="CF446" s="1641"/>
      <c r="CG446" s="1642"/>
      <c r="CH446" s="1642"/>
      <c r="CI446" s="1642"/>
      <c r="CJ446" s="1641"/>
      <c r="CK446" s="1642"/>
      <c r="CL446" s="1642"/>
      <c r="CM446" s="1681"/>
      <c r="CN446" s="1672"/>
      <c r="CO446" s="1672"/>
      <c r="CP446" s="1672"/>
      <c r="CQ446" s="1672"/>
      <c r="CR446" s="1672"/>
      <c r="CS446" s="1672"/>
      <c r="CT446" s="1672"/>
      <c r="CU446" s="1672"/>
      <c r="CV446" s="1642"/>
      <c r="CW446" s="1672"/>
      <c r="CX446" s="1672"/>
      <c r="CY446" s="1672"/>
      <c r="CZ446" s="1672"/>
      <c r="DA446" s="1672"/>
      <c r="DB446" s="1672"/>
      <c r="DC446" s="1672"/>
      <c r="DD446" s="1672"/>
      <c r="DE446" s="1672"/>
      <c r="DF446" s="1672"/>
      <c r="DG446" s="1672"/>
      <c r="DH446" s="1672"/>
      <c r="DI446" s="1672"/>
      <c r="DJ446" s="1672"/>
      <c r="DK446" s="1672"/>
      <c r="DL446" s="1672"/>
    </row>
    <row r="447" spans="1:116" ht="12.75" hidden="1" customHeight="1">
      <c r="A447" s="1644"/>
      <c r="B447" s="1779"/>
      <c r="C447" s="1779"/>
      <c r="D447" s="1779"/>
      <c r="E447" s="1780"/>
      <c r="F447" s="1779"/>
      <c r="G447" s="1779"/>
      <c r="H447" s="1779"/>
      <c r="I447" s="1779"/>
      <c r="J447" s="1779"/>
      <c r="K447" s="1681"/>
      <c r="L447" s="1642"/>
      <c r="M447" s="1642"/>
      <c r="N447" s="1642"/>
      <c r="O447" s="1642"/>
      <c r="P447" s="1642"/>
      <c r="Q447" s="1642"/>
      <c r="R447" s="1642"/>
      <c r="S447" s="1642"/>
      <c r="T447" s="1642"/>
      <c r="U447" s="1642"/>
      <c r="V447" s="1642"/>
      <c r="W447" s="1642"/>
      <c r="X447" s="1642"/>
      <c r="Y447" s="1642"/>
      <c r="Z447" s="1642"/>
      <c r="AA447" s="1642"/>
      <c r="AB447" s="1642"/>
      <c r="AC447" s="1642"/>
      <c r="AD447" s="1642"/>
      <c r="AE447" s="1642"/>
      <c r="AF447" s="1641"/>
      <c r="AG447" s="1642"/>
      <c r="AH447" s="1642"/>
      <c r="AI447" s="1642"/>
      <c r="AJ447" s="1641"/>
      <c r="AK447" s="1642"/>
      <c r="AL447" s="1642"/>
      <c r="AM447" s="1642"/>
      <c r="AN447" s="1641"/>
      <c r="AO447" s="1642"/>
      <c r="AP447" s="1642"/>
      <c r="AQ447" s="1642"/>
      <c r="AR447" s="1641"/>
      <c r="AS447" s="1642"/>
      <c r="AT447" s="1642"/>
      <c r="AU447" s="1642"/>
      <c r="AV447" s="1641"/>
      <c r="AW447" s="1642"/>
      <c r="AX447" s="1642"/>
      <c r="AY447" s="1642"/>
      <c r="AZ447" s="1641"/>
      <c r="BA447" s="1642"/>
      <c r="BB447" s="1642"/>
      <c r="BC447" s="1642"/>
      <c r="BD447" s="1641"/>
      <c r="BE447" s="1642"/>
      <c r="BF447" s="1642"/>
      <c r="BG447" s="1642"/>
      <c r="BH447" s="1641"/>
      <c r="BI447" s="1642"/>
      <c r="BJ447" s="1642"/>
      <c r="BK447" s="1642"/>
      <c r="BL447" s="1641"/>
      <c r="BM447" s="1642"/>
      <c r="BN447" s="1642"/>
      <c r="BO447" s="1642"/>
      <c r="BP447" s="1641"/>
      <c r="BQ447" s="1642"/>
      <c r="BR447" s="1642"/>
      <c r="BS447" s="1642"/>
      <c r="BT447" s="1641"/>
      <c r="BU447" s="1642"/>
      <c r="BV447" s="1642"/>
      <c r="BW447" s="1642"/>
      <c r="BX447" s="1641"/>
      <c r="BY447" s="1642"/>
      <c r="BZ447" s="1642"/>
      <c r="CA447" s="1642"/>
      <c r="CB447" s="1641"/>
      <c r="CC447" s="1642"/>
      <c r="CD447" s="1642"/>
      <c r="CE447" s="1642"/>
      <c r="CF447" s="1641"/>
      <c r="CG447" s="1642"/>
      <c r="CH447" s="1642"/>
      <c r="CI447" s="1642"/>
      <c r="CJ447" s="1641"/>
      <c r="CK447" s="1642"/>
      <c r="CL447" s="1642"/>
      <c r="CM447" s="1681"/>
      <c r="CN447" s="1672"/>
      <c r="CO447" s="1672"/>
      <c r="CP447" s="1672"/>
      <c r="CQ447" s="1672"/>
      <c r="CR447" s="1672"/>
      <c r="CS447" s="1672"/>
      <c r="CT447" s="1672"/>
      <c r="CU447" s="1672"/>
      <c r="CV447" s="1642"/>
      <c r="CW447" s="1672"/>
      <c r="CX447" s="1672"/>
      <c r="CY447" s="1672"/>
      <c r="CZ447" s="1672"/>
      <c r="DA447" s="1672"/>
      <c r="DB447" s="1672"/>
      <c r="DC447" s="1672"/>
      <c r="DD447" s="1672"/>
      <c r="DE447" s="1672"/>
      <c r="DF447" s="1672"/>
      <c r="DG447" s="1672"/>
      <c r="DH447" s="1672"/>
      <c r="DI447" s="1672"/>
      <c r="DJ447" s="1672"/>
      <c r="DK447" s="1672"/>
      <c r="DL447" s="1672"/>
    </row>
    <row r="448" spans="1:116" ht="12.75" hidden="1" customHeight="1">
      <c r="A448" s="1661" t="s">
        <v>721</v>
      </c>
      <c r="B448" s="1779"/>
      <c r="C448" s="1779"/>
      <c r="D448" s="1779"/>
      <c r="E448" s="1780"/>
      <c r="F448" s="1779"/>
      <c r="G448" s="1779"/>
      <c r="H448" s="1779"/>
      <c r="I448" s="1779"/>
      <c r="J448" s="1779"/>
      <c r="K448" s="1681"/>
      <c r="L448" s="1642"/>
      <c r="M448" s="1642"/>
      <c r="N448" s="1642"/>
      <c r="O448" s="1642"/>
      <c r="P448" s="1642"/>
      <c r="Q448" s="1642"/>
      <c r="R448" s="1642"/>
      <c r="S448" s="1642"/>
      <c r="T448" s="1642"/>
      <c r="U448" s="1642"/>
      <c r="V448" s="1642"/>
      <c r="W448" s="1642"/>
      <c r="X448" s="1642"/>
      <c r="Y448" s="1642"/>
      <c r="Z448" s="1642"/>
      <c r="AA448" s="1642"/>
      <c r="AB448" s="1642"/>
      <c r="AC448" s="1642"/>
      <c r="AD448" s="1642"/>
      <c r="AE448" s="1642"/>
      <c r="AF448" s="1641"/>
      <c r="AG448" s="1642"/>
      <c r="AH448" s="1642"/>
      <c r="AI448" s="1642"/>
      <c r="AJ448" s="1641"/>
      <c r="AK448" s="1642"/>
      <c r="AL448" s="1642"/>
      <c r="AM448" s="1642"/>
      <c r="AN448" s="1641"/>
      <c r="AO448" s="1642"/>
      <c r="AP448" s="1642"/>
      <c r="AQ448" s="1642"/>
      <c r="AR448" s="1641"/>
      <c r="AS448" s="1642"/>
      <c r="AT448" s="1642"/>
      <c r="AU448" s="1642"/>
      <c r="AV448" s="1641"/>
      <c r="AW448" s="1642"/>
      <c r="AX448" s="1642"/>
      <c r="AY448" s="1642"/>
      <c r="AZ448" s="1641"/>
      <c r="BA448" s="1642"/>
      <c r="BB448" s="1642"/>
      <c r="BC448" s="1642"/>
      <c r="BD448" s="1641"/>
      <c r="BE448" s="1642"/>
      <c r="BF448" s="1642"/>
      <c r="BG448" s="1642"/>
      <c r="BH448" s="1641"/>
      <c r="BI448" s="1642"/>
      <c r="BJ448" s="1642"/>
      <c r="BK448" s="1642"/>
      <c r="BL448" s="1641"/>
      <c r="BM448" s="1642"/>
      <c r="BN448" s="1642"/>
      <c r="BO448" s="1642"/>
      <c r="BP448" s="1641"/>
      <c r="BQ448" s="1642"/>
      <c r="BR448" s="1642"/>
      <c r="BS448" s="1642"/>
      <c r="BT448" s="1641"/>
      <c r="BU448" s="1642"/>
      <c r="BV448" s="1642"/>
      <c r="BW448" s="1642"/>
      <c r="BX448" s="1641"/>
      <c r="BY448" s="1642"/>
      <c r="BZ448" s="1642"/>
      <c r="CA448" s="1642"/>
      <c r="CB448" s="1641"/>
      <c r="CC448" s="1642"/>
      <c r="CD448" s="1642"/>
      <c r="CE448" s="1642"/>
      <c r="CF448" s="1641"/>
      <c r="CG448" s="1642"/>
      <c r="CH448" s="1642"/>
      <c r="CI448" s="1642"/>
      <c r="CJ448" s="1641"/>
      <c r="CK448" s="1642"/>
      <c r="CL448" s="1642"/>
      <c r="CM448" s="1681"/>
      <c r="CN448" s="1672"/>
      <c r="CO448" s="1672"/>
      <c r="CP448" s="1672"/>
      <c r="CQ448" s="1672"/>
      <c r="CR448" s="1672"/>
      <c r="CS448" s="1672"/>
      <c r="CT448" s="1672"/>
      <c r="CU448" s="1672"/>
      <c r="CV448" s="1642"/>
      <c r="CW448" s="1672"/>
      <c r="CX448" s="1672"/>
      <c r="CY448" s="1672"/>
      <c r="CZ448" s="1672"/>
      <c r="DA448" s="1672"/>
      <c r="DB448" s="1672"/>
      <c r="DC448" s="1672"/>
      <c r="DD448" s="1672"/>
      <c r="DE448" s="1672"/>
      <c r="DF448" s="1672"/>
      <c r="DG448" s="1672"/>
      <c r="DH448" s="1672"/>
      <c r="DI448" s="1672"/>
      <c r="DJ448" s="1672"/>
      <c r="DK448" s="1672"/>
      <c r="DL448" s="1672"/>
    </row>
    <row r="449" spans="1:116" ht="12.75" hidden="1" customHeight="1">
      <c r="A449" s="1661" t="str">
        <f>A421</f>
        <v>Global Enterprise Revenues**</v>
      </c>
      <c r="B449" s="1779"/>
      <c r="C449" s="1779"/>
      <c r="D449" s="1779"/>
      <c r="E449" s="1780"/>
      <c r="F449" s="1779"/>
      <c r="G449" s="1779"/>
      <c r="H449" s="1779"/>
      <c r="I449" s="1779"/>
      <c r="J449" s="1779"/>
      <c r="K449" s="1681"/>
      <c r="L449" s="1642"/>
      <c r="M449" s="1642"/>
      <c r="N449" s="1642"/>
      <c r="O449" s="1642"/>
      <c r="P449" s="1642"/>
      <c r="Q449" s="1642"/>
      <c r="R449" s="1642"/>
      <c r="S449" s="1642"/>
      <c r="T449" s="1642"/>
      <c r="U449" s="1642"/>
      <c r="V449" s="1642"/>
      <c r="W449" s="1642"/>
      <c r="X449" s="1642"/>
      <c r="Y449" s="1642"/>
      <c r="Z449" s="1642"/>
      <c r="AA449" s="1642"/>
      <c r="AB449" s="1642"/>
      <c r="AC449" s="1642"/>
      <c r="AD449" s="1642"/>
      <c r="AE449" s="1642"/>
      <c r="AF449" s="1641"/>
      <c r="AG449" s="1642"/>
      <c r="AH449" s="1642"/>
      <c r="AI449" s="1642"/>
      <c r="AJ449" s="1641"/>
      <c r="AK449" s="1642"/>
      <c r="AL449" s="1642"/>
      <c r="AM449" s="1642"/>
      <c r="AN449" s="1641"/>
      <c r="AO449" s="1642"/>
      <c r="AP449" s="1642"/>
      <c r="AQ449" s="1642"/>
      <c r="AR449" s="1641"/>
      <c r="AS449" s="1642"/>
      <c r="AT449" s="1642"/>
      <c r="AU449" s="1642"/>
      <c r="AV449" s="1641"/>
      <c r="AW449" s="1642"/>
      <c r="AX449" s="1642"/>
      <c r="AY449" s="1642"/>
      <c r="AZ449" s="1641"/>
      <c r="BA449" s="1642"/>
      <c r="BB449" s="1642"/>
      <c r="BC449" s="1642"/>
      <c r="BD449" s="1641"/>
      <c r="BE449" s="1642"/>
      <c r="BF449" s="1642"/>
      <c r="BG449" s="1642"/>
      <c r="BH449" s="1641"/>
      <c r="BI449" s="1642"/>
      <c r="BJ449" s="1642"/>
      <c r="BK449" s="1642"/>
      <c r="BL449" s="1641">
        <f t="shared" ref="BL449:CE449" si="496">BL421</f>
        <v>3925.7688229056207</v>
      </c>
      <c r="BM449" s="1642">
        <f t="shared" si="496"/>
        <v>3931.4641744548289</v>
      </c>
      <c r="BN449" s="1642">
        <f t="shared" si="496"/>
        <v>3825.0497017892644</v>
      </c>
      <c r="BO449" s="1642">
        <f t="shared" si="496"/>
        <v>3776.7175572519081</v>
      </c>
      <c r="BP449" s="1641">
        <f t="shared" si="496"/>
        <v>3702</v>
      </c>
      <c r="BQ449" s="1642">
        <f t="shared" si="496"/>
        <v>3786</v>
      </c>
      <c r="BR449" s="1642">
        <f t="shared" si="496"/>
        <v>3848</v>
      </c>
      <c r="BS449" s="1642">
        <f t="shared" si="496"/>
        <v>3958</v>
      </c>
      <c r="BT449" s="1641">
        <f t="shared" si="496"/>
        <v>3812</v>
      </c>
      <c r="BU449" s="1642">
        <f t="shared" si="496"/>
        <v>3923</v>
      </c>
      <c r="BV449" s="1642">
        <f t="shared" si="496"/>
        <v>4000</v>
      </c>
      <c r="BW449" s="1642">
        <f t="shared" si="496"/>
        <v>4039</v>
      </c>
      <c r="BX449" s="1641">
        <f t="shared" si="496"/>
        <v>3893</v>
      </c>
      <c r="BY449" s="1642">
        <f t="shared" si="496"/>
        <v>3988</v>
      </c>
      <c r="BZ449" s="1642">
        <f t="shared" si="496"/>
        <v>4028</v>
      </c>
      <c r="CA449" s="1642">
        <f t="shared" si="496"/>
        <v>3936</v>
      </c>
      <c r="CB449" s="1641">
        <f t="shared" si="496"/>
        <v>0</v>
      </c>
      <c r="CC449" s="1642">
        <f t="shared" si="496"/>
        <v>0</v>
      </c>
      <c r="CD449" s="1642">
        <f t="shared" si="496"/>
        <v>0</v>
      </c>
      <c r="CE449" s="1642">
        <f t="shared" si="496"/>
        <v>0</v>
      </c>
      <c r="CF449" s="1641"/>
      <c r="CG449" s="1642"/>
      <c r="CH449" s="1642"/>
      <c r="CI449" s="1642"/>
      <c r="CJ449" s="1641"/>
      <c r="CK449" s="1642"/>
      <c r="CL449" s="1642"/>
      <c r="CM449" s="1681"/>
      <c r="CN449" s="1672"/>
      <c r="CO449" s="1672"/>
      <c r="CP449" s="1672"/>
      <c r="CQ449" s="1672"/>
      <c r="CR449" s="1672"/>
      <c r="CS449" s="1672"/>
      <c r="CT449" s="1672"/>
      <c r="CU449" s="1672"/>
      <c r="CV449" s="1642"/>
      <c r="CW449" s="1672"/>
      <c r="CX449" s="1672"/>
      <c r="CY449" s="1672"/>
      <c r="CZ449" s="1672"/>
      <c r="DA449" s="1672"/>
      <c r="DB449" s="1672"/>
      <c r="DC449" s="1672"/>
      <c r="DD449" s="1672"/>
      <c r="DE449" s="1672"/>
      <c r="DF449" s="1672"/>
      <c r="DG449" s="1672"/>
      <c r="DH449" s="1672"/>
      <c r="DI449" s="1672"/>
      <c r="DJ449" s="1672"/>
      <c r="DK449" s="1672"/>
      <c r="DL449" s="1672"/>
    </row>
    <row r="450" spans="1:116" ht="12.75" hidden="1" customHeight="1">
      <c r="A450" s="1539" t="s">
        <v>711</v>
      </c>
      <c r="B450" s="1779"/>
      <c r="C450" s="1779"/>
      <c r="D450" s="1779"/>
      <c r="E450" s="1780"/>
      <c r="F450" s="1779"/>
      <c r="G450" s="1779"/>
      <c r="H450" s="1779"/>
      <c r="I450" s="1779"/>
      <c r="J450" s="1779"/>
      <c r="K450" s="1681"/>
      <c r="L450" s="1642"/>
      <c r="M450" s="1642"/>
      <c r="N450" s="1642"/>
      <c r="O450" s="1642"/>
      <c r="P450" s="1642"/>
      <c r="Q450" s="1642"/>
      <c r="R450" s="1642"/>
      <c r="S450" s="1642"/>
      <c r="T450" s="1642"/>
      <c r="U450" s="1642"/>
      <c r="V450" s="1642"/>
      <c r="W450" s="1642"/>
      <c r="X450" s="1642"/>
      <c r="Y450" s="1642"/>
      <c r="Z450" s="1642"/>
      <c r="AA450" s="1642"/>
      <c r="AB450" s="1642"/>
      <c r="AC450" s="1642"/>
      <c r="AD450" s="1642"/>
      <c r="AE450" s="1642"/>
      <c r="AF450" s="1641"/>
      <c r="AG450" s="1642"/>
      <c r="AH450" s="1642"/>
      <c r="AI450" s="1642"/>
      <c r="AJ450" s="1641"/>
      <c r="AK450" s="1642"/>
      <c r="AL450" s="1642"/>
      <c r="AM450" s="1642"/>
      <c r="AN450" s="1641"/>
      <c r="AO450" s="1642"/>
      <c r="AP450" s="1642"/>
      <c r="AQ450" s="1642"/>
      <c r="AR450" s="1641"/>
      <c r="AS450" s="1642"/>
      <c r="AT450" s="1642"/>
      <c r="AU450" s="1642"/>
      <c r="AV450" s="1641"/>
      <c r="AW450" s="1642"/>
      <c r="AX450" s="1642"/>
      <c r="AY450" s="1642"/>
      <c r="AZ450" s="1641"/>
      <c r="BA450" s="1642"/>
      <c r="BB450" s="1642"/>
      <c r="BC450" s="1642"/>
      <c r="BD450" s="1641"/>
      <c r="BE450" s="1642"/>
      <c r="BF450" s="1642"/>
      <c r="BG450" s="1642"/>
      <c r="BH450" s="1641"/>
      <c r="BI450" s="1642"/>
      <c r="BJ450" s="1642"/>
      <c r="BK450" s="1642"/>
      <c r="BL450" s="1641">
        <f t="shared" ref="BL450:CE450" si="497">+BL423</f>
        <v>1493.1972789115646</v>
      </c>
      <c r="BM450" s="1642">
        <f t="shared" si="497"/>
        <v>1476.3513513513512</v>
      </c>
      <c r="BN450" s="1642">
        <f t="shared" si="497"/>
        <v>1422.950819672131</v>
      </c>
      <c r="BO450" s="1642">
        <f t="shared" si="497"/>
        <v>1375.130616509927</v>
      </c>
      <c r="BP450" s="1641">
        <f t="shared" si="497"/>
        <v>1317</v>
      </c>
      <c r="BQ450" s="1642">
        <f t="shared" si="497"/>
        <v>1311</v>
      </c>
      <c r="BR450" s="1642">
        <f t="shared" si="497"/>
        <v>1302</v>
      </c>
      <c r="BS450" s="1642">
        <f t="shared" si="497"/>
        <v>1316</v>
      </c>
      <c r="BT450" s="1641">
        <f t="shared" si="497"/>
        <v>1326</v>
      </c>
      <c r="BU450" s="1642">
        <f t="shared" si="497"/>
        <v>1310</v>
      </c>
      <c r="BV450" s="1642">
        <f t="shared" si="497"/>
        <v>1302</v>
      </c>
      <c r="BW450" s="1642">
        <f t="shared" si="497"/>
        <v>1302</v>
      </c>
      <c r="BX450" s="1641">
        <f t="shared" si="497"/>
        <v>1321</v>
      </c>
      <c r="BY450" s="1642">
        <f t="shared" si="497"/>
        <v>1330</v>
      </c>
      <c r="BZ450" s="1642">
        <f t="shared" si="497"/>
        <v>1349</v>
      </c>
      <c r="CA450" s="1642">
        <f t="shared" si="497"/>
        <v>1281</v>
      </c>
      <c r="CB450" s="1641">
        <f t="shared" si="497"/>
        <v>0</v>
      </c>
      <c r="CC450" s="1642">
        <f t="shared" si="497"/>
        <v>0</v>
      </c>
      <c r="CD450" s="1642">
        <f t="shared" si="497"/>
        <v>0</v>
      </c>
      <c r="CE450" s="1642">
        <f t="shared" si="497"/>
        <v>0</v>
      </c>
      <c r="CF450" s="1641"/>
      <c r="CG450" s="1642"/>
      <c r="CH450" s="1642"/>
      <c r="CI450" s="1642"/>
      <c r="CJ450" s="1641"/>
      <c r="CK450" s="1642"/>
      <c r="CL450" s="1642"/>
      <c r="CM450" s="1681"/>
      <c r="CN450" s="1672"/>
      <c r="CO450" s="1672"/>
      <c r="CP450" s="1672"/>
      <c r="CQ450" s="1672"/>
      <c r="CR450" s="1672"/>
      <c r="CS450" s="1672"/>
      <c r="CT450" s="1672"/>
      <c r="CU450" s="1672"/>
      <c r="CV450" s="1642"/>
      <c r="CW450" s="1672"/>
      <c r="CX450" s="1672"/>
      <c r="CY450" s="1672"/>
      <c r="CZ450" s="1672"/>
      <c r="DA450" s="1672"/>
      <c r="DB450" s="1672"/>
      <c r="DC450" s="1672"/>
      <c r="DD450" s="1672"/>
      <c r="DE450" s="1672"/>
      <c r="DF450" s="1672"/>
      <c r="DG450" s="1672"/>
      <c r="DH450" s="1672"/>
      <c r="DI450" s="1672"/>
      <c r="DJ450" s="1672"/>
      <c r="DK450" s="1672"/>
      <c r="DL450" s="1672"/>
    </row>
    <row r="451" spans="1:116" ht="12.75" hidden="1" customHeight="1">
      <c r="A451" s="1662" t="s">
        <v>1040</v>
      </c>
      <c r="B451" s="1779"/>
      <c r="C451" s="1779"/>
      <c r="D451" s="1779"/>
      <c r="E451" s="1780"/>
      <c r="F451" s="1779"/>
      <c r="G451" s="1779"/>
      <c r="H451" s="1779"/>
      <c r="I451" s="1779"/>
      <c r="J451" s="1779"/>
      <c r="K451" s="1681"/>
      <c r="L451" s="1642"/>
      <c r="M451" s="1642"/>
      <c r="N451" s="1642"/>
      <c r="O451" s="1642"/>
      <c r="P451" s="1642"/>
      <c r="Q451" s="1642"/>
      <c r="R451" s="1642"/>
      <c r="S451" s="1642"/>
      <c r="T451" s="1642"/>
      <c r="U451" s="1642"/>
      <c r="V451" s="1642"/>
      <c r="W451" s="1642"/>
      <c r="X451" s="1642"/>
      <c r="Y451" s="1642"/>
      <c r="Z451" s="1642"/>
      <c r="AA451" s="1642"/>
      <c r="AB451" s="1642"/>
      <c r="AC451" s="1642"/>
      <c r="AD451" s="1642"/>
      <c r="AE451" s="1642"/>
      <c r="AF451" s="1641"/>
      <c r="AG451" s="1642"/>
      <c r="AH451" s="1642"/>
      <c r="AI451" s="1642"/>
      <c r="AJ451" s="1641"/>
      <c r="AK451" s="1642"/>
      <c r="AL451" s="1642"/>
      <c r="AM451" s="1642"/>
      <c r="AN451" s="1641"/>
      <c r="AO451" s="1642"/>
      <c r="AP451" s="1642"/>
      <c r="AQ451" s="1642"/>
      <c r="AR451" s="1641"/>
      <c r="AS451" s="1642"/>
      <c r="AT451" s="1642"/>
      <c r="AU451" s="1642"/>
      <c r="AV451" s="1641"/>
      <c r="AW451" s="1642"/>
      <c r="AX451" s="1642"/>
      <c r="AY451" s="1642"/>
      <c r="AZ451" s="1641"/>
      <c r="BA451" s="1642"/>
      <c r="BB451" s="1642"/>
      <c r="BC451" s="1642"/>
      <c r="BD451" s="1641"/>
      <c r="BE451" s="1642"/>
      <c r="BF451" s="1642"/>
      <c r="BG451" s="1642"/>
      <c r="BH451" s="1641"/>
      <c r="BI451" s="1642"/>
      <c r="BJ451" s="1642"/>
      <c r="BK451" s="1642"/>
      <c r="BL451" s="1641">
        <f t="shared" ref="BL451:CE451" si="498">SUM(BL449:BL450)</f>
        <v>5418.9661018171855</v>
      </c>
      <c r="BM451" s="1642">
        <f t="shared" si="498"/>
        <v>5407.8155258061797</v>
      </c>
      <c r="BN451" s="1642">
        <f t="shared" si="498"/>
        <v>5248.0005214613957</v>
      </c>
      <c r="BO451" s="1642">
        <f t="shared" si="498"/>
        <v>5151.8481737618349</v>
      </c>
      <c r="BP451" s="1641">
        <f t="shared" si="498"/>
        <v>5019</v>
      </c>
      <c r="BQ451" s="1642">
        <f t="shared" si="498"/>
        <v>5097</v>
      </c>
      <c r="BR451" s="1642">
        <f t="shared" si="498"/>
        <v>5150</v>
      </c>
      <c r="BS451" s="1642">
        <f t="shared" si="498"/>
        <v>5274</v>
      </c>
      <c r="BT451" s="1641">
        <f t="shared" si="498"/>
        <v>5138</v>
      </c>
      <c r="BU451" s="1642">
        <f t="shared" si="498"/>
        <v>5233</v>
      </c>
      <c r="BV451" s="1642">
        <f t="shared" si="498"/>
        <v>5302</v>
      </c>
      <c r="BW451" s="1642">
        <f t="shared" si="498"/>
        <v>5341</v>
      </c>
      <c r="BX451" s="1641">
        <f t="shared" si="498"/>
        <v>5214</v>
      </c>
      <c r="BY451" s="1642">
        <f t="shared" si="498"/>
        <v>5318</v>
      </c>
      <c r="BZ451" s="1642">
        <f t="shared" si="498"/>
        <v>5377</v>
      </c>
      <c r="CA451" s="1642">
        <f t="shared" si="498"/>
        <v>5217</v>
      </c>
      <c r="CB451" s="1641">
        <f t="shared" si="498"/>
        <v>0</v>
      </c>
      <c r="CC451" s="1642">
        <f t="shared" si="498"/>
        <v>0</v>
      </c>
      <c r="CD451" s="1642">
        <f t="shared" si="498"/>
        <v>0</v>
      </c>
      <c r="CE451" s="1642">
        <f t="shared" si="498"/>
        <v>0</v>
      </c>
      <c r="CF451" s="1641"/>
      <c r="CG451" s="1642"/>
      <c r="CH451" s="1642"/>
      <c r="CI451" s="1642"/>
      <c r="CJ451" s="1641"/>
      <c r="CK451" s="1642"/>
      <c r="CL451" s="1642"/>
      <c r="CM451" s="1681"/>
      <c r="CN451" s="1672"/>
      <c r="CO451" s="1672"/>
      <c r="CP451" s="1672"/>
      <c r="CQ451" s="1672"/>
      <c r="CR451" s="1672"/>
      <c r="CS451" s="1672"/>
      <c r="CT451" s="1672"/>
      <c r="CU451" s="1672"/>
      <c r="CV451" s="1642"/>
      <c r="CW451" s="1672"/>
      <c r="CX451" s="1672"/>
      <c r="CY451" s="1672"/>
      <c r="CZ451" s="1672"/>
      <c r="DA451" s="1672"/>
      <c r="DB451" s="1672"/>
      <c r="DC451" s="1672"/>
      <c r="DD451" s="1672"/>
      <c r="DE451" s="1672"/>
      <c r="DF451" s="1672"/>
      <c r="DG451" s="1672"/>
      <c r="DH451" s="1672"/>
      <c r="DI451" s="1672"/>
      <c r="DJ451" s="1672"/>
      <c r="DK451" s="1672"/>
      <c r="DL451" s="1672"/>
    </row>
    <row r="452" spans="1:116" ht="12.75" hidden="1" customHeight="1">
      <c r="A452" s="1644" t="s">
        <v>952</v>
      </c>
      <c r="B452" s="1779"/>
      <c r="C452" s="1779"/>
      <c r="D452" s="1779"/>
      <c r="E452" s="1780"/>
      <c r="F452" s="1779"/>
      <c r="G452" s="1779"/>
      <c r="H452" s="1779"/>
      <c r="I452" s="1779"/>
      <c r="J452" s="1779"/>
      <c r="K452" s="1681"/>
      <c r="L452" s="1642"/>
      <c r="M452" s="1642"/>
      <c r="N452" s="1642"/>
      <c r="O452" s="1642"/>
      <c r="P452" s="1642"/>
      <c r="Q452" s="1642"/>
      <c r="R452" s="1642"/>
      <c r="S452" s="1642"/>
      <c r="T452" s="1642"/>
      <c r="U452" s="1642"/>
      <c r="V452" s="1642"/>
      <c r="W452" s="1642"/>
      <c r="X452" s="1642"/>
      <c r="Y452" s="1642"/>
      <c r="Z452" s="1642"/>
      <c r="AA452" s="1642"/>
      <c r="AB452" s="1642"/>
      <c r="AC452" s="1642"/>
      <c r="AD452" s="1642"/>
      <c r="AE452" s="1642"/>
      <c r="AF452" s="1641"/>
      <c r="AG452" s="1642"/>
      <c r="AH452" s="1642"/>
      <c r="AI452" s="1642"/>
      <c r="AJ452" s="1641"/>
      <c r="AK452" s="1642"/>
      <c r="AL452" s="1642"/>
      <c r="AM452" s="1642"/>
      <c r="AN452" s="1641"/>
      <c r="AO452" s="1642"/>
      <c r="AP452" s="1642"/>
      <c r="AQ452" s="1642"/>
      <c r="AR452" s="1641"/>
      <c r="AS452" s="1642"/>
      <c r="AT452" s="1642"/>
      <c r="AU452" s="1642"/>
      <c r="AV452" s="1641"/>
      <c r="AW452" s="1642"/>
      <c r="AX452" s="1642"/>
      <c r="AY452" s="1642"/>
      <c r="AZ452" s="1641"/>
      <c r="BA452" s="1642"/>
      <c r="BB452" s="1642"/>
      <c r="BC452" s="1642"/>
      <c r="BD452" s="1641"/>
      <c r="BE452" s="1642"/>
      <c r="BF452" s="1642"/>
      <c r="BG452" s="1642"/>
      <c r="BH452" s="1641"/>
      <c r="BI452" s="1642"/>
      <c r="BJ452" s="1642"/>
      <c r="BK452" s="1642"/>
      <c r="BL452" s="1641"/>
      <c r="BM452" s="1642"/>
      <c r="BN452" s="1642"/>
      <c r="BO452" s="1642"/>
      <c r="BP452" s="1641">
        <f t="shared" ref="BP452:CE452" si="499">BP451/BL451-1</f>
        <v>-7.3808563165409291E-2</v>
      </c>
      <c r="BQ452" s="1642">
        <f t="shared" si="499"/>
        <v>-5.7475245655655871E-2</v>
      </c>
      <c r="BR452" s="1642">
        <f t="shared" si="499"/>
        <v>-1.8673877996129851E-2</v>
      </c>
      <c r="BS452" s="1642">
        <f t="shared" si="499"/>
        <v>2.3710292329707894E-2</v>
      </c>
      <c r="BT452" s="1641">
        <f t="shared" si="499"/>
        <v>2.3709902370990132E-2</v>
      </c>
      <c r="BU452" s="1642">
        <f t="shared" si="499"/>
        <v>2.6682362173827689E-2</v>
      </c>
      <c r="BV452" s="1642">
        <f t="shared" si="499"/>
        <v>2.9514563106796121E-2</v>
      </c>
      <c r="BW452" s="1642">
        <f t="shared" si="499"/>
        <v>1.2703830109973557E-2</v>
      </c>
      <c r="BX452" s="1641">
        <f t="shared" si="499"/>
        <v>1.4791747761774943E-2</v>
      </c>
      <c r="BY452" s="1642">
        <f t="shared" si="499"/>
        <v>1.6243072807185177E-2</v>
      </c>
      <c r="BZ452" s="1642">
        <f t="shared" si="499"/>
        <v>1.4145605431912456E-2</v>
      </c>
      <c r="CA452" s="1642">
        <f t="shared" si="499"/>
        <v>-2.3216626099981319E-2</v>
      </c>
      <c r="CB452" s="1641">
        <f t="shared" si="499"/>
        <v>-1</v>
      </c>
      <c r="CC452" s="1642">
        <f t="shared" si="499"/>
        <v>-1</v>
      </c>
      <c r="CD452" s="1642">
        <f t="shared" si="499"/>
        <v>-1</v>
      </c>
      <c r="CE452" s="1642">
        <f t="shared" si="499"/>
        <v>-1</v>
      </c>
      <c r="CF452" s="1641"/>
      <c r="CG452" s="1642"/>
      <c r="CH452" s="1642"/>
      <c r="CI452" s="1642"/>
      <c r="CJ452" s="1641"/>
      <c r="CK452" s="1642"/>
      <c r="CL452" s="1642"/>
      <c r="CM452" s="1681"/>
      <c r="CN452" s="1672"/>
      <c r="CO452" s="1672"/>
      <c r="CP452" s="1672"/>
      <c r="CQ452" s="1672"/>
      <c r="CR452" s="1672"/>
      <c r="CS452" s="1672"/>
      <c r="CT452" s="1672"/>
      <c r="CU452" s="1672"/>
      <c r="CV452" s="1642"/>
      <c r="CW452" s="1672"/>
      <c r="CX452" s="1672"/>
      <c r="CY452" s="1672"/>
      <c r="CZ452" s="1672"/>
      <c r="DA452" s="1672"/>
      <c r="DB452" s="1672"/>
      <c r="DC452" s="1672"/>
      <c r="DD452" s="1672"/>
      <c r="DE452" s="1672"/>
      <c r="DF452" s="1672"/>
      <c r="DG452" s="1672"/>
      <c r="DH452" s="1672"/>
      <c r="DI452" s="1672"/>
      <c r="DJ452" s="1672"/>
      <c r="DK452" s="1672"/>
      <c r="DL452" s="1672"/>
    </row>
    <row r="453" spans="1:116" ht="12.75" hidden="1" customHeight="1">
      <c r="A453" s="1539" t="s">
        <v>722</v>
      </c>
      <c r="B453" s="1779"/>
      <c r="C453" s="1779"/>
      <c r="D453" s="1779"/>
      <c r="E453" s="1780"/>
      <c r="F453" s="1779"/>
      <c r="G453" s="1779"/>
      <c r="H453" s="1779"/>
      <c r="I453" s="1779"/>
      <c r="J453" s="1779"/>
      <c r="K453" s="1681"/>
      <c r="L453" s="1642"/>
      <c r="M453" s="1642"/>
      <c r="N453" s="1642"/>
      <c r="O453" s="1642"/>
      <c r="P453" s="1642"/>
      <c r="Q453" s="1642"/>
      <c r="R453" s="1642"/>
      <c r="S453" s="1642"/>
      <c r="T453" s="1642"/>
      <c r="U453" s="1642"/>
      <c r="V453" s="1642"/>
      <c r="W453" s="1642"/>
      <c r="X453" s="1642"/>
      <c r="Y453" s="1642"/>
      <c r="Z453" s="1642"/>
      <c r="AA453" s="1642"/>
      <c r="AB453" s="1642"/>
      <c r="AC453" s="1642"/>
      <c r="AD453" s="1642"/>
      <c r="AE453" s="1642"/>
      <c r="AF453" s="1641"/>
      <c r="AG453" s="1642"/>
      <c r="AH453" s="1642"/>
      <c r="AI453" s="1642"/>
      <c r="AJ453" s="1641"/>
      <c r="AK453" s="1642"/>
      <c r="AL453" s="1642"/>
      <c r="AM453" s="1642"/>
      <c r="AN453" s="1641"/>
      <c r="AO453" s="1642"/>
      <c r="AP453" s="1642"/>
      <c r="AQ453" s="1642"/>
      <c r="AR453" s="1641"/>
      <c r="AS453" s="1642"/>
      <c r="AT453" s="1642"/>
      <c r="AU453" s="1642"/>
      <c r="AV453" s="1641"/>
      <c r="AW453" s="1642"/>
      <c r="AX453" s="1642"/>
      <c r="AY453" s="1642"/>
      <c r="AZ453" s="1641"/>
      <c r="BA453" s="1642"/>
      <c r="BB453" s="1642"/>
      <c r="BC453" s="1642"/>
      <c r="BD453" s="1641"/>
      <c r="BE453" s="1642"/>
      <c r="BF453" s="1642"/>
      <c r="BG453" s="1642"/>
      <c r="BH453" s="1641"/>
      <c r="BI453" s="1642"/>
      <c r="BJ453" s="1642"/>
      <c r="BK453" s="1642"/>
      <c r="BL453" s="1641"/>
      <c r="BM453" s="1642"/>
      <c r="BN453" s="1642"/>
      <c r="BO453" s="1642"/>
      <c r="BP453" s="1641">
        <f>BP451/21429</f>
        <v>0.23421531569368612</v>
      </c>
      <c r="BQ453" s="1642">
        <f>BQ451/21859</f>
        <v>0.2331762660688961</v>
      </c>
      <c r="BR453" s="1642">
        <f>BR451/22434</f>
        <v>0.2295622715521084</v>
      </c>
      <c r="BS453" s="1642">
        <f>BS451/22583</f>
        <v>0.23353850241331975</v>
      </c>
      <c r="BT453" s="1641">
        <f>BT451/IS!CA30</f>
        <v>0.23028999148402132</v>
      </c>
      <c r="BU453" s="1642">
        <f>BU451/IS!CB30</f>
        <v>0.22752173913043477</v>
      </c>
      <c r="BV453" s="1642">
        <f>BV451/IS!CC30</f>
        <v>0.22568424637125953</v>
      </c>
      <c r="BW453" s="1642">
        <f>BW451/IS!CD30</f>
        <v>0.22659199864239957</v>
      </c>
      <c r="BX453" s="1641">
        <f>BX451/IS!CE30</f>
        <v>0.22116648992576882</v>
      </c>
      <c r="BY453" s="1642">
        <f>BY451/IS!CF30</f>
        <v>0.22044437075111922</v>
      </c>
      <c r="BZ453" s="1642">
        <f>BZ451/IS!CG30</f>
        <v>0.21723497091144151</v>
      </c>
      <c r="CA453" s="1642">
        <f>CA451/IS!CH30</f>
        <v>0.21168594035301277</v>
      </c>
      <c r="CB453" s="1641">
        <f>CB451/IS!CI30</f>
        <v>0</v>
      </c>
      <c r="CC453" s="1642">
        <f>CC451/IS!CJ30</f>
        <v>0</v>
      </c>
      <c r="CD453" s="1642">
        <f>CD451/IS!CK30</f>
        <v>0</v>
      </c>
      <c r="CE453" s="1642">
        <f>CE451/IS!CL30</f>
        <v>0</v>
      </c>
      <c r="CF453" s="1641"/>
      <c r="CG453" s="1642"/>
      <c r="CH453" s="1642"/>
      <c r="CI453" s="1642"/>
      <c r="CJ453" s="1641"/>
      <c r="CK453" s="1642"/>
      <c r="CL453" s="1642"/>
      <c r="CM453" s="1681"/>
      <c r="CN453" s="1672"/>
      <c r="CO453" s="1672"/>
      <c r="CP453" s="1672"/>
      <c r="CQ453" s="1672"/>
      <c r="CR453" s="1672"/>
      <c r="CS453" s="1672"/>
      <c r="CT453" s="1672"/>
      <c r="CU453" s="1672"/>
      <c r="CV453" s="1642"/>
      <c r="CW453" s="1672"/>
      <c r="CX453" s="1672"/>
      <c r="CY453" s="1672"/>
      <c r="CZ453" s="1672"/>
      <c r="DA453" s="1672"/>
      <c r="DB453" s="1672"/>
      <c r="DC453" s="1672"/>
      <c r="DD453" s="1672"/>
      <c r="DE453" s="1672"/>
      <c r="DF453" s="1672"/>
      <c r="DG453" s="1672"/>
      <c r="DH453" s="1672"/>
      <c r="DI453" s="1672"/>
      <c r="DJ453" s="1672"/>
      <c r="DK453" s="1672"/>
      <c r="DL453" s="1672"/>
    </row>
    <row r="454" spans="1:116" ht="12.75" hidden="1" customHeight="1">
      <c r="A454" s="1539"/>
      <c r="B454" s="1642"/>
      <c r="C454" s="1642"/>
      <c r="D454" s="1642"/>
      <c r="E454" s="1641"/>
      <c r="F454" s="1642"/>
      <c r="G454" s="1642"/>
      <c r="H454" s="1642"/>
      <c r="I454" s="1642"/>
      <c r="J454" s="1642"/>
      <c r="K454" s="1681"/>
      <c r="L454" s="1642"/>
      <c r="M454" s="1642"/>
      <c r="N454" s="1642"/>
      <c r="O454" s="1642"/>
      <c r="P454" s="1642"/>
      <c r="Q454" s="1642"/>
      <c r="R454" s="1642"/>
      <c r="S454" s="1642"/>
      <c r="T454" s="1642"/>
      <c r="U454" s="1642"/>
      <c r="V454" s="1642"/>
      <c r="W454" s="1642"/>
      <c r="X454" s="1642"/>
      <c r="Y454" s="1642"/>
      <c r="Z454" s="1642"/>
      <c r="AA454" s="1642"/>
      <c r="AB454" s="1642"/>
      <c r="AC454" s="1642"/>
      <c r="AD454" s="1642"/>
      <c r="AE454" s="1642"/>
      <c r="AF454" s="1641"/>
      <c r="AG454" s="1642"/>
      <c r="AH454" s="1642"/>
      <c r="AI454" s="1642"/>
      <c r="AJ454" s="1641"/>
      <c r="AK454" s="1642"/>
      <c r="AL454" s="1642"/>
      <c r="AM454" s="1642"/>
      <c r="AN454" s="1641"/>
      <c r="AO454" s="1642"/>
      <c r="AP454" s="1642"/>
      <c r="AQ454" s="1642"/>
      <c r="AR454" s="1641"/>
      <c r="AS454" s="1642"/>
      <c r="AT454" s="1642"/>
      <c r="AU454" s="1642"/>
      <c r="AV454" s="1641"/>
      <c r="AW454" s="1642"/>
      <c r="AX454" s="1642"/>
      <c r="AY454" s="1642"/>
      <c r="AZ454" s="1641"/>
      <c r="BA454" s="1642"/>
      <c r="BB454" s="1642"/>
      <c r="BC454" s="1642"/>
      <c r="BD454" s="1641"/>
      <c r="BE454" s="1642"/>
      <c r="BF454" s="1642"/>
      <c r="BG454" s="1642"/>
      <c r="BH454" s="1641"/>
      <c r="BI454" s="1642"/>
      <c r="BJ454" s="1642"/>
      <c r="BK454" s="1642"/>
      <c r="BL454" s="1641"/>
      <c r="BM454" s="1642"/>
      <c r="BN454" s="1642"/>
      <c r="BO454" s="1642"/>
      <c r="BP454" s="1641"/>
      <c r="BQ454" s="1642"/>
      <c r="BR454" s="1642"/>
      <c r="BS454" s="1642"/>
      <c r="BT454" s="1641"/>
      <c r="BU454" s="1642"/>
      <c r="BV454" s="1642"/>
      <c r="BW454" s="1642"/>
      <c r="BX454" s="1641"/>
      <c r="BY454" s="1642"/>
      <c r="BZ454" s="1642"/>
      <c r="CA454" s="1642"/>
      <c r="CB454" s="1641"/>
      <c r="CC454" s="1642"/>
      <c r="CD454" s="1642"/>
      <c r="CE454" s="1642"/>
      <c r="CF454" s="1641"/>
      <c r="CG454" s="1642"/>
      <c r="CH454" s="1642"/>
      <c r="CI454" s="1642"/>
      <c r="CJ454" s="1641"/>
      <c r="CK454" s="1642"/>
      <c r="CL454" s="1642"/>
      <c r="CM454" s="1681"/>
      <c r="CN454" s="1672"/>
      <c r="CO454" s="1672"/>
      <c r="CP454" s="1672"/>
      <c r="CQ454" s="1672"/>
      <c r="CR454" s="1672"/>
      <c r="CS454" s="1672"/>
      <c r="CT454" s="1672"/>
      <c r="CU454" s="1672"/>
      <c r="CV454" s="1642"/>
      <c r="CW454" s="1672"/>
      <c r="CX454" s="1672"/>
      <c r="CY454" s="1672"/>
      <c r="CZ454" s="1672"/>
      <c r="DA454" s="1672"/>
      <c r="DB454" s="1672"/>
      <c r="DC454" s="1672"/>
      <c r="DD454" s="1672"/>
      <c r="DE454" s="1672"/>
      <c r="DF454" s="1672"/>
      <c r="DG454" s="1672"/>
      <c r="DH454" s="1672"/>
      <c r="DI454" s="1672"/>
      <c r="DJ454" s="1672"/>
      <c r="DK454" s="1672"/>
      <c r="DL454" s="1672"/>
    </row>
    <row r="455" spans="1:116" ht="12.75" hidden="1" customHeight="1">
      <c r="A455" s="954" t="s">
        <v>723</v>
      </c>
      <c r="B455" s="1642"/>
      <c r="C455" s="1642"/>
      <c r="D455" s="1642"/>
      <c r="E455" s="1641"/>
      <c r="F455" s="1642"/>
      <c r="G455" s="1642"/>
      <c r="H455" s="1642"/>
      <c r="I455" s="1642"/>
      <c r="J455" s="1642"/>
      <c r="K455" s="1681"/>
      <c r="L455" s="1642"/>
      <c r="M455" s="1642"/>
      <c r="N455" s="1642"/>
      <c r="O455" s="1642"/>
      <c r="P455" s="1642"/>
      <c r="Q455" s="1642"/>
      <c r="R455" s="1642"/>
      <c r="S455" s="1642"/>
      <c r="T455" s="1642"/>
      <c r="U455" s="1642"/>
      <c r="V455" s="1642"/>
      <c r="W455" s="1642"/>
      <c r="X455" s="1642"/>
      <c r="Y455" s="1642"/>
      <c r="Z455" s="1642"/>
      <c r="AA455" s="1642"/>
      <c r="AB455" s="1642"/>
      <c r="AC455" s="1642"/>
      <c r="AD455" s="1642"/>
      <c r="AE455" s="1642"/>
      <c r="AF455" s="1641"/>
      <c r="AG455" s="1642"/>
      <c r="AH455" s="1642"/>
      <c r="AI455" s="1642"/>
      <c r="AJ455" s="1641"/>
      <c r="AK455" s="1642"/>
      <c r="AL455" s="1642"/>
      <c r="AM455" s="1642"/>
      <c r="AN455" s="1641"/>
      <c r="AO455" s="1642"/>
      <c r="AP455" s="1642"/>
      <c r="AQ455" s="1642"/>
      <c r="AR455" s="1641"/>
      <c r="AS455" s="1642"/>
      <c r="AT455" s="1642"/>
      <c r="AU455" s="1642"/>
      <c r="AV455" s="1641"/>
      <c r="AW455" s="1642"/>
      <c r="AX455" s="1642"/>
      <c r="AY455" s="1642"/>
      <c r="AZ455" s="1641"/>
      <c r="BA455" s="1642"/>
      <c r="BB455" s="1642"/>
      <c r="BC455" s="1642"/>
      <c r="BD455" s="1641"/>
      <c r="BE455" s="1642"/>
      <c r="BF455" s="1642"/>
      <c r="BG455" s="1642"/>
      <c r="BH455" s="1641"/>
      <c r="BI455" s="1642"/>
      <c r="BJ455" s="1642"/>
      <c r="BK455" s="1642"/>
      <c r="BL455" s="1641"/>
      <c r="BM455" s="1642"/>
      <c r="BN455" s="1642"/>
      <c r="BO455" s="1642"/>
      <c r="BP455" s="1641"/>
      <c r="BQ455" s="1642"/>
      <c r="BR455" s="1642"/>
      <c r="BS455" s="1642"/>
      <c r="BT455" s="1641"/>
      <c r="BU455" s="1642"/>
      <c r="BV455" s="1642"/>
      <c r="BW455" s="1642"/>
      <c r="BX455" s="1641"/>
      <c r="BY455" s="1642"/>
      <c r="BZ455" s="1642"/>
      <c r="CA455" s="1642"/>
      <c r="CB455" s="1641"/>
      <c r="CC455" s="1642"/>
      <c r="CD455" s="1642"/>
      <c r="CE455" s="1642"/>
      <c r="CF455" s="1641"/>
      <c r="CG455" s="1642"/>
      <c r="CH455" s="1642"/>
      <c r="CI455" s="1642"/>
      <c r="CJ455" s="1641"/>
      <c r="CK455" s="1642"/>
      <c r="CL455" s="1642"/>
      <c r="CM455" s="1681"/>
      <c r="CN455" s="1672"/>
      <c r="CO455" s="1672"/>
      <c r="CP455" s="1672"/>
      <c r="CQ455" s="1672"/>
      <c r="CR455" s="1672"/>
      <c r="CS455" s="1672"/>
      <c r="CT455" s="1672"/>
      <c r="CU455" s="1672"/>
      <c r="CV455" s="1642"/>
      <c r="CW455" s="1672"/>
      <c r="CX455" s="1672"/>
      <c r="CY455" s="1672"/>
      <c r="CZ455" s="1672"/>
      <c r="DA455" s="1672"/>
      <c r="DB455" s="1672"/>
      <c r="DC455" s="1672"/>
      <c r="DD455" s="1672"/>
      <c r="DE455" s="1672"/>
      <c r="DF455" s="1672"/>
      <c r="DG455" s="1672"/>
      <c r="DH455" s="1672"/>
      <c r="DI455" s="1672"/>
      <c r="DJ455" s="1672"/>
      <c r="DK455" s="1672"/>
      <c r="DL455" s="1672"/>
    </row>
    <row r="456" spans="1:116" ht="12.75" hidden="1" customHeight="1">
      <c r="A456" s="1660" t="s">
        <v>724</v>
      </c>
      <c r="B456" s="1642"/>
      <c r="C456" s="1642"/>
      <c r="D456" s="1642"/>
      <c r="E456" s="1641"/>
      <c r="F456" s="1642"/>
      <c r="G456" s="1642"/>
      <c r="H456" s="1642"/>
      <c r="I456" s="1642"/>
      <c r="J456" s="1642"/>
      <c r="K456" s="1681"/>
      <c r="L456" s="1642"/>
      <c r="M456" s="1642"/>
      <c r="N456" s="1642"/>
      <c r="O456" s="1642"/>
      <c r="P456" s="1642"/>
      <c r="Q456" s="1642"/>
      <c r="R456" s="1642"/>
      <c r="S456" s="1642"/>
      <c r="T456" s="1642"/>
      <c r="U456" s="1642"/>
      <c r="V456" s="1642"/>
      <c r="W456" s="1642"/>
      <c r="X456" s="1642"/>
      <c r="Y456" s="1642"/>
      <c r="Z456" s="1642"/>
      <c r="AA456" s="1642"/>
      <c r="AB456" s="1642"/>
      <c r="AC456" s="1642"/>
      <c r="AD456" s="1642"/>
      <c r="AE456" s="1642"/>
      <c r="AF456" s="1641"/>
      <c r="AG456" s="1642"/>
      <c r="AH456" s="1642"/>
      <c r="AI456" s="1642"/>
      <c r="AJ456" s="1641"/>
      <c r="AK456" s="1642"/>
      <c r="AL456" s="1642"/>
      <c r="AM456" s="1642"/>
      <c r="AN456" s="1641"/>
      <c r="AO456" s="1642"/>
      <c r="AP456" s="1642"/>
      <c r="AQ456" s="1642"/>
      <c r="AR456" s="1641"/>
      <c r="AS456" s="1642"/>
      <c r="AT456" s="1642"/>
      <c r="AU456" s="1642"/>
      <c r="AV456" s="1641"/>
      <c r="AW456" s="1642"/>
      <c r="AX456" s="1642"/>
      <c r="AY456" s="1642"/>
      <c r="AZ456" s="1641"/>
      <c r="BA456" s="1642"/>
      <c r="BB456" s="1642"/>
      <c r="BC456" s="1642"/>
      <c r="BD456" s="1641"/>
      <c r="BE456" s="1642"/>
      <c r="BF456" s="1642"/>
      <c r="BG456" s="1642"/>
      <c r="BH456" s="1641"/>
      <c r="BI456" s="1642"/>
      <c r="BJ456" s="1642"/>
      <c r="BK456" s="1642"/>
      <c r="BL456" s="1641"/>
      <c r="BM456" s="1642"/>
      <c r="BN456" s="1642"/>
      <c r="BO456" s="1642"/>
      <c r="BP456" s="1641"/>
      <c r="BQ456" s="1642"/>
      <c r="BR456" s="1642"/>
      <c r="BS456" s="1642"/>
      <c r="BT456" s="1641"/>
      <c r="BU456" s="1642"/>
      <c r="BV456" s="1642"/>
      <c r="BW456" s="1642"/>
      <c r="BX456" s="1641"/>
      <c r="BY456" s="1642"/>
      <c r="BZ456" s="1642"/>
      <c r="CA456" s="1642"/>
      <c r="CB456" s="1641"/>
      <c r="CC456" s="1642"/>
      <c r="CD456" s="1642"/>
      <c r="CE456" s="1642"/>
      <c r="CF456" s="1641"/>
      <c r="CG456" s="1642"/>
      <c r="CH456" s="1642"/>
      <c r="CI456" s="1642"/>
      <c r="CJ456" s="1641"/>
      <c r="CK456" s="1642"/>
      <c r="CL456" s="1642"/>
      <c r="CM456" s="1681"/>
      <c r="CN456" s="1672"/>
      <c r="CO456" s="1672"/>
      <c r="CP456" s="1672"/>
      <c r="CQ456" s="1672"/>
      <c r="CR456" s="1672"/>
      <c r="CS456" s="1672"/>
      <c r="CT456" s="1672"/>
      <c r="CU456" s="1672"/>
      <c r="CV456" s="1642"/>
      <c r="CW456" s="1672"/>
      <c r="CX456" s="1672"/>
      <c r="CY456" s="1672"/>
      <c r="CZ456" s="1672"/>
      <c r="DA456" s="1672"/>
      <c r="DB456" s="1672"/>
      <c r="DC456" s="1672"/>
      <c r="DD456" s="1672"/>
      <c r="DE456" s="1672"/>
      <c r="DF456" s="1672"/>
      <c r="DG456" s="1672"/>
      <c r="DH456" s="1672"/>
      <c r="DI456" s="1672"/>
      <c r="DJ456" s="1672"/>
      <c r="DK456" s="1672"/>
      <c r="DL456" s="1672"/>
    </row>
    <row r="457" spans="1:116" ht="12.75" hidden="1" customHeight="1">
      <c r="A457" s="1539" t="s">
        <v>725</v>
      </c>
      <c r="B457" s="1642"/>
      <c r="C457" s="1642"/>
      <c r="D457" s="1642"/>
      <c r="E457" s="1641"/>
      <c r="F457" s="1642"/>
      <c r="G457" s="1642"/>
      <c r="H457" s="1642"/>
      <c r="I457" s="1642"/>
      <c r="J457" s="1642"/>
      <c r="K457" s="1681"/>
      <c r="L457" s="1642"/>
      <c r="M457" s="1642"/>
      <c r="N457" s="1642"/>
      <c r="O457" s="1642"/>
      <c r="P457" s="1642"/>
      <c r="Q457" s="1642"/>
      <c r="R457" s="1642"/>
      <c r="S457" s="1642"/>
      <c r="T457" s="1642"/>
      <c r="U457" s="1642"/>
      <c r="V457" s="1642"/>
      <c r="W457" s="1642"/>
      <c r="X457" s="1642"/>
      <c r="Y457" s="1642"/>
      <c r="Z457" s="1642"/>
      <c r="AA457" s="1642"/>
      <c r="AB457" s="1642"/>
      <c r="AC457" s="1642"/>
      <c r="AD457" s="1642"/>
      <c r="AE457" s="1642"/>
      <c r="AF457" s="1641"/>
      <c r="AG457" s="1642"/>
      <c r="AH457" s="1642"/>
      <c r="AI457" s="1642"/>
      <c r="AJ457" s="1641"/>
      <c r="AK457" s="1642"/>
      <c r="AL457" s="1642"/>
      <c r="AM457" s="1642"/>
      <c r="AN457" s="1641"/>
      <c r="AO457" s="1642"/>
      <c r="AP457" s="1642"/>
      <c r="AQ457" s="1642"/>
      <c r="AR457" s="1641"/>
      <c r="AS457" s="1642"/>
      <c r="AT457" s="1642"/>
      <c r="AU457" s="1642"/>
      <c r="AV457" s="1641"/>
      <c r="AW457" s="1642"/>
      <c r="AX457" s="1642"/>
      <c r="AY457" s="1642"/>
      <c r="AZ457" s="1641"/>
      <c r="BA457" s="1642"/>
      <c r="BB457" s="1642"/>
      <c r="BC457" s="1642"/>
      <c r="BD457" s="1641"/>
      <c r="BE457" s="1642"/>
      <c r="BF457" s="1642"/>
      <c r="BG457" s="1642"/>
      <c r="BH457" s="1641"/>
      <c r="BI457" s="1642"/>
      <c r="BJ457" s="1642"/>
      <c r="BK457" s="1642"/>
      <c r="BL457" s="1641"/>
      <c r="BM457" s="1642"/>
      <c r="BN457" s="1642"/>
      <c r="BO457" s="1642"/>
      <c r="BP457" s="1641"/>
      <c r="BQ457" s="1642"/>
      <c r="BR457" s="1642"/>
      <c r="BS457" s="1642"/>
      <c r="BT457" s="1641"/>
      <c r="BU457" s="1642"/>
      <c r="BV457" s="1642"/>
      <c r="BW457" s="1642"/>
      <c r="BX457" s="1641"/>
      <c r="BY457" s="1642"/>
      <c r="BZ457" s="1642"/>
      <c r="CA457" s="1642"/>
      <c r="CB457" s="1641"/>
      <c r="CC457" s="1642"/>
      <c r="CD457" s="1642"/>
      <c r="CE457" s="1642"/>
      <c r="CF457" s="1641"/>
      <c r="CG457" s="1642"/>
      <c r="CH457" s="1642"/>
      <c r="CI457" s="1642"/>
      <c r="CJ457" s="1641"/>
      <c r="CK457" s="1642"/>
      <c r="CL457" s="1642"/>
      <c r="CM457" s="1681"/>
      <c r="CN457" s="1672"/>
      <c r="CO457" s="1672"/>
      <c r="CP457" s="1672"/>
      <c r="CQ457" s="1672"/>
      <c r="CR457" s="1672"/>
      <c r="CS457" s="1672"/>
      <c r="CT457" s="1672"/>
      <c r="CU457" s="1672"/>
      <c r="CV457" s="1642"/>
      <c r="CW457" s="1672"/>
      <c r="CX457" s="1672"/>
      <c r="CY457" s="1672"/>
      <c r="CZ457" s="1672"/>
      <c r="DA457" s="1672"/>
      <c r="DB457" s="1672"/>
      <c r="DC457" s="1672"/>
      <c r="DD457" s="1672"/>
      <c r="DE457" s="1672"/>
      <c r="DF457" s="1672"/>
      <c r="DG457" s="1672"/>
      <c r="DH457" s="1672"/>
      <c r="DI457" s="1672"/>
      <c r="DJ457" s="1672"/>
      <c r="DK457" s="1672"/>
      <c r="DL457" s="1672"/>
    </row>
    <row r="458" spans="1:116" ht="12.75" hidden="1" customHeight="1">
      <c r="A458" s="1663" t="s">
        <v>726</v>
      </c>
      <c r="B458" s="1671"/>
      <c r="C458" s="1671"/>
      <c r="D458" s="1671"/>
      <c r="E458" s="1775"/>
      <c r="F458" s="1671"/>
      <c r="G458" s="1671"/>
      <c r="H458" s="1671"/>
      <c r="I458" s="1671"/>
      <c r="J458" s="1671"/>
      <c r="K458" s="1776"/>
      <c r="L458" s="1671"/>
      <c r="M458" s="1671"/>
      <c r="N458" s="1671"/>
      <c r="O458" s="1671"/>
      <c r="P458" s="1671"/>
      <c r="Q458" s="1671"/>
      <c r="R458" s="1671"/>
      <c r="S458" s="1671"/>
      <c r="T458" s="1671"/>
      <c r="U458" s="1671"/>
      <c r="V458" s="1671"/>
      <c r="W458" s="1671"/>
      <c r="X458" s="1671"/>
      <c r="Y458" s="1671"/>
      <c r="Z458" s="1671"/>
      <c r="AA458" s="1671"/>
      <c r="AB458" s="1671"/>
      <c r="AC458" s="1671"/>
      <c r="AD458" s="1671"/>
      <c r="AE458" s="1671"/>
      <c r="AF458" s="1775"/>
      <c r="AG458" s="1671"/>
      <c r="AH458" s="1671"/>
      <c r="AI458" s="1671"/>
      <c r="AJ458" s="1775"/>
      <c r="AK458" s="1671"/>
      <c r="AL458" s="1671"/>
      <c r="AM458" s="1671"/>
      <c r="AN458" s="1775"/>
      <c r="AO458" s="1671"/>
      <c r="AP458" s="1671"/>
      <c r="AQ458" s="1671"/>
      <c r="AR458" s="1775"/>
      <c r="AS458" s="1671"/>
      <c r="AT458" s="1671"/>
      <c r="AU458" s="1671"/>
      <c r="AV458" s="1775"/>
      <c r="AW458" s="1671"/>
      <c r="AX458" s="1671"/>
      <c r="AY458" s="1671"/>
      <c r="AZ458" s="1775"/>
      <c r="BA458" s="1671"/>
      <c r="BB458" s="1671"/>
      <c r="BC458" s="1671"/>
      <c r="BD458" s="1775"/>
      <c r="BE458" s="1671"/>
      <c r="BF458" s="1671"/>
      <c r="BG458" s="1671"/>
      <c r="BH458" s="1775"/>
      <c r="BI458" s="1671"/>
      <c r="BJ458" s="1671"/>
      <c r="BK458" s="1671"/>
      <c r="BL458" s="1775"/>
      <c r="BM458" s="1671"/>
      <c r="BN458" s="1671"/>
      <c r="BO458" s="1671"/>
      <c r="BP458" s="1775"/>
      <c r="BQ458" s="1671"/>
      <c r="BR458" s="1671"/>
      <c r="BS458" s="1671"/>
      <c r="BT458" s="1775"/>
      <c r="BU458" s="1671"/>
      <c r="BV458" s="1671"/>
      <c r="BW458" s="1671"/>
      <c r="BX458" s="1775"/>
      <c r="BY458" s="1671"/>
      <c r="BZ458" s="1671"/>
      <c r="CA458" s="1671"/>
      <c r="CB458" s="1775"/>
      <c r="CC458" s="1671"/>
      <c r="CD458" s="1671"/>
      <c r="CE458" s="1671"/>
      <c r="CF458" s="1775"/>
      <c r="CG458" s="1671"/>
      <c r="CH458" s="1671"/>
      <c r="CI458" s="1671"/>
      <c r="CJ458" s="1775"/>
      <c r="CK458" s="1671"/>
      <c r="CL458" s="1671"/>
      <c r="CM458" s="1776"/>
      <c r="CN458" s="1671"/>
      <c r="CO458" s="1672"/>
      <c r="CP458" s="1672"/>
      <c r="CQ458" s="1672"/>
      <c r="CR458" s="1672"/>
      <c r="CS458" s="1672"/>
      <c r="CT458" s="1672"/>
      <c r="CU458" s="1672"/>
      <c r="CV458" s="1642"/>
      <c r="CW458" s="1672"/>
      <c r="CX458" s="1672"/>
      <c r="CY458" s="1672"/>
      <c r="CZ458" s="1672"/>
      <c r="DA458" s="1672"/>
      <c r="DB458" s="1672"/>
      <c r="DC458" s="1672"/>
      <c r="DD458" s="1672"/>
      <c r="DE458" s="1672"/>
      <c r="DF458" s="1672"/>
      <c r="DG458" s="1672"/>
      <c r="DH458" s="1672"/>
      <c r="DI458" s="1672"/>
      <c r="DJ458" s="1672"/>
      <c r="DK458" s="1672"/>
      <c r="DL458" s="1672"/>
    </row>
  </sheetData>
  <mergeCells count="9">
    <mergeCell ref="BP5:BX5"/>
    <mergeCell ref="BP25:BX25"/>
    <mergeCell ref="BL139:BO139"/>
    <mergeCell ref="BP139:BX139"/>
    <mergeCell ref="BP225:BX225"/>
    <mergeCell ref="BL163:BO163"/>
    <mergeCell ref="BP163:BX163"/>
    <mergeCell ref="BP195:BX195"/>
    <mergeCell ref="BP212:BX212"/>
  </mergeCells>
  <phoneticPr fontId="76" type="noConversion"/>
  <conditionalFormatting sqref="G54:K54 AF54:CV54">
    <cfRule type="cellIs" dxfId="5" priority="6" stopIfTrue="1" operator="between">
      <formula>G$59</formula>
      <formula>G$60</formula>
    </cfRule>
  </conditionalFormatting>
  <conditionalFormatting sqref="CW54">
    <cfRule type="cellIs" dxfId="4" priority="5" stopIfTrue="1" operator="between">
      <formula>CW$59</formula>
      <formula>CW$60</formula>
    </cfRule>
  </conditionalFormatting>
  <conditionalFormatting sqref="CX54">
    <cfRule type="cellIs" dxfId="3" priority="4" stopIfTrue="1" operator="between">
      <formula>CX$59</formula>
      <formula>CX$60</formula>
    </cfRule>
  </conditionalFormatting>
  <conditionalFormatting sqref="CY54">
    <cfRule type="cellIs" dxfId="2" priority="3" stopIfTrue="1" operator="between">
      <formula>CY$59</formula>
      <formula>CY$60</formula>
    </cfRule>
  </conditionalFormatting>
  <conditionalFormatting sqref="CZ54">
    <cfRule type="cellIs" dxfId="1" priority="2" stopIfTrue="1" operator="between">
      <formula>CZ$59</formula>
      <formula>CZ$60</formula>
    </cfRule>
  </conditionalFormatting>
  <conditionalFormatting sqref="DA54:DL54">
    <cfRule type="cellIs" dxfId="0" priority="1" stopIfTrue="1" operator="between">
      <formula>DA$59</formula>
      <formula>DA$60</formula>
    </cfRule>
  </conditionalFormatting>
  <pageMargins left="0.41" right="0.34" top="1" bottom="1" header="0.5" footer="0.5"/>
  <pageSetup scale="52"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tabColor indexed="60"/>
    <pageSetUpPr fitToPage="1"/>
  </sheetPr>
  <dimension ref="A1:DL156"/>
  <sheetViews>
    <sheetView showGridLines="0" workbookViewId="0">
      <pane xSplit="1" ySplit="2" topLeftCell="B67" activePane="bottomRight" state="frozen"/>
      <selection pane="topRight" activeCell="B1" sqref="B1"/>
      <selection pane="bottomLeft" activeCell="A3" sqref="A3"/>
      <selection pane="bottomRight" activeCell="DH118" sqref="DH118"/>
    </sheetView>
  </sheetViews>
  <sheetFormatPr defaultColWidth="7.21875" defaultRowHeight="11.25" outlineLevelCol="1"/>
  <cols>
    <col min="1" max="1" width="26.88671875" style="801" bestFit="1" customWidth="1"/>
    <col min="2" max="2" width="2.21875" style="801" customWidth="1"/>
    <col min="3" max="3" width="2.21875" style="801" hidden="1" customWidth="1" outlineLevel="1"/>
    <col min="4" max="14" width="7.21875" style="803" hidden="1" customWidth="1" outlineLevel="1"/>
    <col min="15" max="15" width="7.21875" style="803" bestFit="1" customWidth="1" collapsed="1"/>
    <col min="16" max="19" width="7.21875" style="803" bestFit="1" customWidth="1"/>
    <col min="20" max="21" width="7.21875" style="803" hidden="1" customWidth="1" outlineLevel="1"/>
    <col min="22" max="28" width="7.21875" style="894" hidden="1" customWidth="1" outlineLevel="1"/>
    <col min="29" max="43" width="2.21875" style="803" hidden="1" customWidth="1" outlineLevel="1"/>
    <col min="44" max="44" width="2.21875" style="803" customWidth="1" collapsed="1"/>
    <col min="45" max="60" width="7.21875" style="803" hidden="1" customWidth="1" outlineLevel="1"/>
    <col min="61" max="61" width="7.21875" style="803" hidden="1" customWidth="1" outlineLevel="1" collapsed="1"/>
    <col min="62" max="92" width="7.21875" style="803" hidden="1" customWidth="1" outlineLevel="1"/>
    <col min="93" max="93" width="7.21875" style="803" hidden="1" customWidth="1" outlineLevel="1" collapsed="1"/>
    <col min="94" max="96" width="7.21875" style="803" hidden="1" customWidth="1" outlineLevel="1"/>
    <col min="97" max="97" width="7.21875" style="803" bestFit="1" customWidth="1" collapsed="1"/>
    <col min="98" max="100" width="7.21875" style="803" bestFit="1" customWidth="1"/>
    <col min="101" max="104" width="7.21875" style="894" bestFit="1" customWidth="1"/>
    <col min="105" max="116" width="7.21875" style="894" customWidth="1"/>
    <col min="117" max="16384" width="7.21875" style="803"/>
  </cols>
  <sheetData>
    <row r="1" spans="1:116">
      <c r="A1" s="802" t="s">
        <v>900</v>
      </c>
      <c r="B1" s="817"/>
      <c r="C1" s="817"/>
      <c r="D1" s="838" t="s">
        <v>1114</v>
      </c>
      <c r="E1" s="839"/>
      <c r="F1" s="839"/>
      <c r="G1" s="839"/>
      <c r="H1" s="839"/>
      <c r="AS1" s="838" t="s">
        <v>1114</v>
      </c>
      <c r="AT1" s="838"/>
      <c r="AU1" s="838"/>
      <c r="AV1" s="838"/>
      <c r="AW1" s="838"/>
      <c r="AX1" s="838"/>
      <c r="AY1" s="838"/>
      <c r="AZ1" s="838"/>
      <c r="BA1" s="838"/>
      <c r="BB1" s="838"/>
      <c r="BC1" s="838"/>
      <c r="BD1" s="838"/>
      <c r="BE1" s="838"/>
      <c r="BF1" s="838"/>
      <c r="BG1" s="838"/>
      <c r="BH1" s="838"/>
      <c r="BI1" s="838"/>
      <c r="BJ1" s="838"/>
      <c r="BK1" s="838"/>
      <c r="BL1" s="838"/>
    </row>
    <row r="2" spans="1:116" s="817" customFormat="1">
      <c r="A2" s="825"/>
      <c r="B2" s="825"/>
      <c r="C2" s="825"/>
      <c r="D2" s="825">
        <v>2001</v>
      </c>
      <c r="E2" s="825">
        <v>2002</v>
      </c>
      <c r="F2" s="825">
        <v>2003</v>
      </c>
      <c r="G2" s="825">
        <v>2004</v>
      </c>
      <c r="H2" s="825">
        <v>2005</v>
      </c>
      <c r="I2" s="825">
        <f>IS!N5</f>
        <v>2006</v>
      </c>
      <c r="J2" s="825">
        <f>IS!O5</f>
        <v>2007</v>
      </c>
      <c r="K2" s="825">
        <f>IS!P5</f>
        <v>2008</v>
      </c>
      <c r="L2" s="825">
        <f>IS!Q5</f>
        <v>2009</v>
      </c>
      <c r="M2" s="825">
        <f>IS!R5</f>
        <v>2010</v>
      </c>
      <c r="N2" s="825">
        <f>IS!S5</f>
        <v>2011</v>
      </c>
      <c r="O2" s="825">
        <f>IS!T5</f>
        <v>2012</v>
      </c>
      <c r="P2" s="825">
        <f>IS!U5</f>
        <v>2013</v>
      </c>
      <c r="Q2" s="825" t="str">
        <f>IS!V5</f>
        <v>2014</v>
      </c>
      <c r="R2" s="825" t="str">
        <f>IS!W5</f>
        <v>2015</v>
      </c>
      <c r="S2" s="825" t="str">
        <f>IS!X5</f>
        <v>2016</v>
      </c>
      <c r="T2" s="825" t="str">
        <f>IS!Y5</f>
        <v>2017</v>
      </c>
      <c r="U2" s="825" t="str">
        <f>IS!Z5</f>
        <v>2018E</v>
      </c>
      <c r="V2" s="854" t="str">
        <f>IS!AA5</f>
        <v>2019E</v>
      </c>
      <c r="W2" s="854" t="str">
        <f>IS!AB5</f>
        <v>2020E</v>
      </c>
      <c r="X2" s="854" t="str">
        <f>IS!AC5</f>
        <v>2021E</v>
      </c>
      <c r="Y2" s="854" t="str">
        <f>IS!AD5</f>
        <v>2022E</v>
      </c>
      <c r="Z2" s="854" t="str">
        <f>IS!AE5</f>
        <v>2023E</v>
      </c>
      <c r="AA2" s="854" t="str">
        <f>IS!AF5</f>
        <v>2024E</v>
      </c>
      <c r="AB2" s="854" t="str">
        <f>IS!AG5</f>
        <v>2025E</v>
      </c>
      <c r="AC2" s="825"/>
      <c r="AD2" s="825"/>
      <c r="AE2" s="825"/>
      <c r="AF2" s="825"/>
      <c r="AG2" s="825"/>
      <c r="AH2" s="825"/>
      <c r="AI2" s="825"/>
      <c r="AJ2" s="825"/>
      <c r="AK2" s="825"/>
      <c r="AL2" s="825"/>
      <c r="AM2" s="825"/>
      <c r="AN2" s="825"/>
      <c r="AO2" s="825"/>
      <c r="AP2" s="825"/>
      <c r="AQ2" s="825"/>
      <c r="AR2" s="825"/>
      <c r="AS2" s="825" t="s">
        <v>918</v>
      </c>
      <c r="AT2" s="825" t="s">
        <v>919</v>
      </c>
      <c r="AU2" s="825" t="s">
        <v>920</v>
      </c>
      <c r="AV2" s="825" t="s">
        <v>921</v>
      </c>
      <c r="AW2" s="825" t="s">
        <v>922</v>
      </c>
      <c r="AX2" s="825" t="s">
        <v>923</v>
      </c>
      <c r="AY2" s="825" t="s">
        <v>924</v>
      </c>
      <c r="AZ2" s="825" t="s">
        <v>925</v>
      </c>
      <c r="BA2" s="825" t="s">
        <v>926</v>
      </c>
      <c r="BB2" s="825" t="s">
        <v>927</v>
      </c>
      <c r="BC2" s="825" t="s">
        <v>928</v>
      </c>
      <c r="BD2" s="825" t="s">
        <v>929</v>
      </c>
      <c r="BE2" s="825" t="s">
        <v>930</v>
      </c>
      <c r="BF2" s="825" t="s">
        <v>931</v>
      </c>
      <c r="BG2" s="825" t="s">
        <v>932</v>
      </c>
      <c r="BH2" s="825" t="s">
        <v>933</v>
      </c>
      <c r="BI2" s="825" t="s">
        <v>934</v>
      </c>
      <c r="BJ2" s="825" t="s">
        <v>935</v>
      </c>
      <c r="BK2" s="825" t="s">
        <v>936</v>
      </c>
      <c r="BL2" s="825" t="s">
        <v>937</v>
      </c>
      <c r="BM2" s="853" t="str">
        <f>IS!BW5</f>
        <v>1Q06</v>
      </c>
      <c r="BN2" s="854" t="str">
        <f>IS!BX5</f>
        <v>2Q06</v>
      </c>
      <c r="BO2" s="854" t="str">
        <f>IS!BY5</f>
        <v>3Q06</v>
      </c>
      <c r="BP2" s="854" t="str">
        <f>IS!BZ5</f>
        <v>4Q06</v>
      </c>
      <c r="BQ2" s="853" t="str">
        <f>IS!CA5</f>
        <v>1Q07</v>
      </c>
      <c r="BR2" s="854" t="str">
        <f>IS!CB5</f>
        <v>2Q07</v>
      </c>
      <c r="BS2" s="854" t="str">
        <f>IS!CC5</f>
        <v>3Q07</v>
      </c>
      <c r="BT2" s="854" t="str">
        <f>IS!CD5</f>
        <v>4Q07</v>
      </c>
      <c r="BU2" s="853" t="str">
        <f>IS!CE5</f>
        <v>1Q08</v>
      </c>
      <c r="BV2" s="854" t="str">
        <f>IS!CF5</f>
        <v>2Q08</v>
      </c>
      <c r="BW2" s="854" t="str">
        <f>IS!CG5</f>
        <v>3Q08</v>
      </c>
      <c r="BX2" s="854" t="str">
        <f>IS!CH5</f>
        <v>4Q08</v>
      </c>
      <c r="BY2" s="853" t="str">
        <f>IS!CI5</f>
        <v>1Q09</v>
      </c>
      <c r="BZ2" s="854" t="str">
        <f>IS!CJ5</f>
        <v>2Q09</v>
      </c>
      <c r="CA2" s="854" t="str">
        <f>IS!CK5</f>
        <v>3Q09</v>
      </c>
      <c r="CB2" s="854" t="str">
        <f>IS!CL5</f>
        <v>4Q09</v>
      </c>
      <c r="CC2" s="853" t="str">
        <f>IS!CM5</f>
        <v>1Q10</v>
      </c>
      <c r="CD2" s="854" t="str">
        <f>IS!CN5</f>
        <v>2Q10</v>
      </c>
      <c r="CE2" s="854" t="str">
        <f>IS!CO5</f>
        <v>3Q10</v>
      </c>
      <c r="CF2" s="854" t="str">
        <f>IS!CP5</f>
        <v>4Q10</v>
      </c>
      <c r="CG2" s="853" t="str">
        <f>IS!CQ5</f>
        <v>1Q11</v>
      </c>
      <c r="CH2" s="854" t="str">
        <f>IS!CR5</f>
        <v>2Q11</v>
      </c>
      <c r="CI2" s="854" t="str">
        <f>IS!CS5</f>
        <v>3Q11</v>
      </c>
      <c r="CJ2" s="854" t="str">
        <f>IS!CT5</f>
        <v>4Q11</v>
      </c>
      <c r="CK2" s="853" t="str">
        <f>IS!CU5</f>
        <v>1Q12</v>
      </c>
      <c r="CL2" s="854" t="str">
        <f>IS!CV5</f>
        <v>2Q12</v>
      </c>
      <c r="CM2" s="854" t="str">
        <f>IS!CW5</f>
        <v>3Q12</v>
      </c>
      <c r="CN2" s="854" t="str">
        <f>IS!CX5</f>
        <v>4Q12</v>
      </c>
      <c r="CO2" s="853" t="str">
        <f>IS!CY5</f>
        <v>1Q13</v>
      </c>
      <c r="CP2" s="854" t="str">
        <f>IS!CZ5</f>
        <v>2Q13</v>
      </c>
      <c r="CQ2" s="854" t="str">
        <f>IS!DA5</f>
        <v>3Q13</v>
      </c>
      <c r="CR2" s="854" t="str">
        <f>IS!DB5</f>
        <v>4Q13</v>
      </c>
      <c r="CS2" s="853" t="str">
        <f>IS!DC5</f>
        <v>1Q14</v>
      </c>
      <c r="CT2" s="854" t="str">
        <f>IS!DD5</f>
        <v>2Q14</v>
      </c>
      <c r="CU2" s="854" t="str">
        <f>IS!DE5</f>
        <v>3Q14</v>
      </c>
      <c r="CV2" s="855" t="str">
        <f>IS!DF5</f>
        <v>4Q14</v>
      </c>
      <c r="CW2" s="854" t="str">
        <f>IS!DG5</f>
        <v>1Q15</v>
      </c>
      <c r="CX2" s="854" t="str">
        <f>IS!DH5</f>
        <v>2Q15</v>
      </c>
      <c r="CY2" s="854" t="str">
        <f>IS!DI5</f>
        <v>3Q15</v>
      </c>
      <c r="CZ2" s="855" t="str">
        <f>IS!DJ5</f>
        <v>4Q15</v>
      </c>
      <c r="DA2" s="854" t="str">
        <f>IS!DK5</f>
        <v>1Q16</v>
      </c>
      <c r="DB2" s="854" t="str">
        <f>IS!DL5</f>
        <v>2Q16</v>
      </c>
      <c r="DC2" s="854" t="str">
        <f>IS!DM5</f>
        <v>3Q16</v>
      </c>
      <c r="DD2" s="854" t="str">
        <f>IS!DN5</f>
        <v>4Q16</v>
      </c>
      <c r="DE2" s="854" t="str">
        <f>IS!DO5</f>
        <v>1Q17</v>
      </c>
      <c r="DF2" s="854" t="str">
        <f>IS!DP5</f>
        <v>2Q17</v>
      </c>
      <c r="DG2" s="854" t="str">
        <f>IS!DQ5</f>
        <v>3Q17</v>
      </c>
      <c r="DH2" s="854" t="str">
        <f>IS!DR5</f>
        <v>4Q17</v>
      </c>
      <c r="DI2" s="854" t="str">
        <f>IS!DS5</f>
        <v>1Q18</v>
      </c>
      <c r="DJ2" s="854" t="str">
        <f>IS!DT5</f>
        <v>2Q18E</v>
      </c>
      <c r="DK2" s="854" t="str">
        <f>IS!DU5</f>
        <v>3Q18E</v>
      </c>
      <c r="DL2" s="854" t="str">
        <f>IS!DV5</f>
        <v>4Q18E</v>
      </c>
    </row>
    <row r="3" spans="1:116" s="14" customFormat="1">
      <c r="A3" s="906" t="s">
        <v>1148</v>
      </c>
      <c r="B3" s="907"/>
      <c r="C3" s="907"/>
      <c r="D3" s="907">
        <v>3</v>
      </c>
      <c r="E3" s="907">
        <v>3.06</v>
      </c>
      <c r="F3" s="907">
        <v>2.59</v>
      </c>
      <c r="G3" s="907">
        <v>2.4900000000000002</v>
      </c>
      <c r="H3" s="907">
        <v>1</v>
      </c>
      <c r="I3" s="907">
        <f>IS!N6</f>
        <v>2.61</v>
      </c>
      <c r="J3" s="907">
        <f>IS!O6</f>
        <v>2.3866533099135196</v>
      </c>
      <c r="K3" s="907">
        <f>IS!P6</f>
        <v>2.538231328484017</v>
      </c>
      <c r="L3" s="907">
        <f>IS!Q6</f>
        <v>1.9136349876803944</v>
      </c>
      <c r="M3" s="907">
        <f>IS!R6</f>
        <v>2.0773481954809991</v>
      </c>
      <c r="N3" s="907">
        <f>IS!S6</f>
        <v>2.1540899052696991</v>
      </c>
      <c r="O3" s="907">
        <f>IS!T6</f>
        <v>2.2251970649895183</v>
      </c>
      <c r="P3" s="907">
        <f>IS!U6</f>
        <v>2.8220215727209466</v>
      </c>
      <c r="Q3" s="907">
        <f>IS!V6</f>
        <v>3.4132820851600503</v>
      </c>
      <c r="R3" s="907">
        <f>IS!W6</f>
        <v>3.4502992549163305</v>
      </c>
      <c r="S3" s="907">
        <f>IS!X6</f>
        <v>3.7416043566052744</v>
      </c>
      <c r="T3" s="907">
        <f>IS!Y6</f>
        <v>3.7374602397846832</v>
      </c>
      <c r="U3" s="907">
        <f ca="1">IS!Z6</f>
        <v>4.5447318949672786</v>
      </c>
      <c r="V3" s="909">
        <f ca="1">IS!AA6</f>
        <v>4.7340805279717273</v>
      </c>
      <c r="W3" s="909">
        <f ca="1">IS!AB6</f>
        <v>4.949467505016357</v>
      </c>
      <c r="X3" s="909">
        <f ca="1">IS!AC6</f>
        <v>5.1589882052989253</v>
      </c>
      <c r="Y3" s="909">
        <f ca="1">IS!AD6</f>
        <v>5.3885502047206435</v>
      </c>
      <c r="Z3" s="909">
        <f ca="1">IS!AE6</f>
        <v>5.6328247202620876</v>
      </c>
      <c r="AA3" s="909">
        <f ca="1">IS!AF6</f>
        <v>5.8930980122776537</v>
      </c>
      <c r="AB3" s="909">
        <f ca="1">IS!AG6</f>
        <v>6.1637765370324633</v>
      </c>
      <c r="AC3" s="907"/>
      <c r="AD3" s="907"/>
      <c r="AE3" s="907"/>
      <c r="AF3" s="907"/>
      <c r="AG3" s="907"/>
      <c r="AH3" s="907"/>
      <c r="AI3" s="907"/>
      <c r="AJ3" s="907"/>
      <c r="AK3" s="907"/>
      <c r="AL3" s="907"/>
      <c r="AM3" s="907"/>
      <c r="AN3" s="907"/>
      <c r="AO3" s="907"/>
      <c r="AP3" s="907"/>
      <c r="AQ3" s="907"/>
      <c r="AR3" s="907"/>
      <c r="AS3" s="907"/>
      <c r="AT3" s="907"/>
      <c r="AU3" s="907"/>
      <c r="AV3" s="907"/>
      <c r="AW3" s="907">
        <v>0.72</v>
      </c>
      <c r="AX3" s="907">
        <v>0.77</v>
      </c>
      <c r="AY3" s="907">
        <v>0.77</v>
      </c>
      <c r="AZ3" s="907">
        <v>0.8</v>
      </c>
      <c r="BA3" s="907">
        <v>0.68</v>
      </c>
      <c r="BB3" s="907">
        <v>0.67</v>
      </c>
      <c r="BC3" s="907">
        <v>0.62</v>
      </c>
      <c r="BD3" s="907">
        <v>0.56999999999999995</v>
      </c>
      <c r="BE3" s="907">
        <v>0.57428872497365646</v>
      </c>
      <c r="BF3" s="907">
        <v>0.63161609033168664</v>
      </c>
      <c r="BG3" s="907">
        <v>0.64290780141843973</v>
      </c>
      <c r="BH3" s="907">
        <v>0.6415161176053843</v>
      </c>
      <c r="BI3" s="907">
        <v>0.60262318326834452</v>
      </c>
      <c r="BJ3" s="907">
        <v>0.61653068463994321</v>
      </c>
      <c r="BK3" s="907">
        <v>0.6340078097266596</v>
      </c>
      <c r="BL3" s="907">
        <v>0.61079545454545459</v>
      </c>
      <c r="BM3" s="908">
        <f>IS!BW6</f>
        <v>0.67530600364649018</v>
      </c>
      <c r="BN3" s="909">
        <f>IS!BX6</f>
        <v>0.63953882672092233</v>
      </c>
      <c r="BO3" s="909">
        <f>IS!BY6</f>
        <v>0.68114950393431406</v>
      </c>
      <c r="BP3" s="909">
        <f>IS!BZ6</f>
        <v>0.61870503597122306</v>
      </c>
      <c r="BQ3" s="908">
        <f>IS!CA6</f>
        <v>0.55994503607007906</v>
      </c>
      <c r="BR3" s="909">
        <f>IS!CB6</f>
        <v>0.58479532163742687</v>
      </c>
      <c r="BS3" s="909">
        <f>IS!CC6</f>
        <v>0.62551724137931031</v>
      </c>
      <c r="BT3" s="909">
        <f>IS!CD6</f>
        <v>0.61639571082670352</v>
      </c>
      <c r="BU3" s="908">
        <f>IS!CE6</f>
        <v>0.60767888307155327</v>
      </c>
      <c r="BV3" s="909">
        <f>IS!CF6</f>
        <v>0.66783584707120314</v>
      </c>
      <c r="BW3" s="909">
        <f>IS!CG6</f>
        <v>0.65553602811950795</v>
      </c>
      <c r="BX3" s="909">
        <f>IS!CH6</f>
        <v>0.60718057022175287</v>
      </c>
      <c r="BY3" s="908">
        <f>IS!CI6</f>
        <v>0.47437486800422379</v>
      </c>
      <c r="BZ3" s="909">
        <f>IS!CJ6</f>
        <v>0.51500422386483635</v>
      </c>
      <c r="CA3" s="909">
        <f>IS!CK6</f>
        <v>0.48104963041182691</v>
      </c>
      <c r="CB3" s="909">
        <f>IS!CL6</f>
        <v>0.44320626539950719</v>
      </c>
      <c r="CC3" s="908">
        <f>IS!CM6</f>
        <v>0.47732157968970379</v>
      </c>
      <c r="CD3" s="909">
        <f>IS!CN6</f>
        <v>0.51364803678811444</v>
      </c>
      <c r="CE3" s="909">
        <f>IS!CO6</f>
        <v>0.54674690703428763</v>
      </c>
      <c r="CF3" s="909">
        <f>IS!CP6</f>
        <v>0.53963167196889361</v>
      </c>
      <c r="CG3" s="908">
        <f>IS!CQ6</f>
        <v>0.50918727915194351</v>
      </c>
      <c r="CH3" s="909">
        <f>IS!CR6</f>
        <v>0.5692090395480226</v>
      </c>
      <c r="CI3" s="909">
        <f>IS!CS6</f>
        <v>0.55881792519407203</v>
      </c>
      <c r="CJ3" s="909">
        <f>IS!CT6</f>
        <v>0.51687566137566132</v>
      </c>
      <c r="CK3" s="908">
        <f>IS!CU6</f>
        <v>0.59301860301860299</v>
      </c>
      <c r="CL3" s="909">
        <f>IS!CV6</f>
        <v>0.63033939818054585</v>
      </c>
      <c r="CM3" s="909">
        <f>IS!CW6</f>
        <v>0.6364312630844382</v>
      </c>
      <c r="CN3" s="909">
        <f>IS!CX6</f>
        <v>0.37228581411600281</v>
      </c>
      <c r="CO3" s="908">
        <f>IS!CY6</f>
        <v>0.67757660167130918</v>
      </c>
      <c r="CP3" s="909">
        <f>IS!CZ6</f>
        <v>0.72865250696378836</v>
      </c>
      <c r="CQ3" s="909">
        <f>IS!DA6</f>
        <v>0.76658315935977728</v>
      </c>
      <c r="CR3" s="909">
        <f>IS!DB6</f>
        <v>0.64996173913043476</v>
      </c>
      <c r="CS3" s="908">
        <f>IS!DC6</f>
        <v>0.91084337349397593</v>
      </c>
      <c r="CT3" s="909">
        <f>IS!DD6</f>
        <v>0.90769564170479167</v>
      </c>
      <c r="CU3" s="909">
        <f>IS!DE6</f>
        <v>0.88843471988458766</v>
      </c>
      <c r="CV3" s="910">
        <f>IS!DF6</f>
        <v>0.71300938176569639</v>
      </c>
      <c r="CW3" s="909">
        <f>IS!DG6</f>
        <v>0.88910458626546951</v>
      </c>
      <c r="CX3" s="909">
        <f>IS!DH6</f>
        <v>0.90183598531211751</v>
      </c>
      <c r="CY3" s="909">
        <f>IS!DI6</f>
        <v>0.91012770137524557</v>
      </c>
      <c r="CZ3" s="910">
        <f>IS!DJ6</f>
        <v>0.7531305201177626</v>
      </c>
      <c r="DA3" s="909">
        <f>IS!DK6</f>
        <v>0.93005140758873939</v>
      </c>
      <c r="DB3" s="909">
        <f>IS!DL6</f>
        <v>0.94394124847001226</v>
      </c>
      <c r="DC3" s="909">
        <f>IS!DM6</f>
        <v>1.0088105726872247</v>
      </c>
      <c r="DD3" s="909">
        <f>IS!DN6</f>
        <v>0.85882065084413994</v>
      </c>
      <c r="DE3" s="909">
        <f>IS!DO6</f>
        <v>0.94519207242476144</v>
      </c>
      <c r="DF3" s="909">
        <f>IS!DP6</f>
        <v>0.95639392454679084</v>
      </c>
      <c r="DG3" s="909">
        <f>IS!DQ6</f>
        <v>0.97676693568109563</v>
      </c>
      <c r="DH3" s="909">
        <f>IS!DR6</f>
        <v>0.85916870415647917</v>
      </c>
      <c r="DI3" s="909">
        <f>IS!DS6</f>
        <v>1.1714146579011444</v>
      </c>
      <c r="DJ3" s="909">
        <f ca="1">IS!DT6</f>
        <v>1.1606189746252034</v>
      </c>
      <c r="DK3" s="909">
        <f ca="1">IS!DU6</f>
        <v>1.2111746666504053</v>
      </c>
      <c r="DL3" s="909">
        <f ca="1">IS!DV6</f>
        <v>1.0018026868648913</v>
      </c>
    </row>
    <row r="4" spans="1:116" s="835" customFormat="1">
      <c r="A4" s="905" t="s">
        <v>945</v>
      </c>
      <c r="B4" s="834"/>
      <c r="C4" s="834"/>
      <c r="D4" s="834"/>
      <c r="E4" s="834">
        <v>0.02</v>
      </c>
      <c r="F4" s="834">
        <v>-0.15359477124183007</v>
      </c>
      <c r="G4" s="834">
        <v>-3.8610038610038422E-2</v>
      </c>
      <c r="H4" s="834">
        <v>-0.59839357429718887</v>
      </c>
      <c r="I4" s="834">
        <f t="shared" ref="I4:V4" si="0">I3/H3-1</f>
        <v>1.6099999999999999</v>
      </c>
      <c r="J4" s="834">
        <f t="shared" si="0"/>
        <v>-8.5573444477578642E-2</v>
      </c>
      <c r="K4" s="834">
        <f t="shared" si="0"/>
        <v>6.3510698408052235E-2</v>
      </c>
      <c r="L4" s="834">
        <f t="shared" si="0"/>
        <v>-0.24607542023235085</v>
      </c>
      <c r="M4" s="834">
        <f t="shared" si="0"/>
        <v>8.5550906444832986E-2</v>
      </c>
      <c r="N4" s="834">
        <f t="shared" si="0"/>
        <v>3.6942150553114672E-2</v>
      </c>
      <c r="O4" s="834">
        <f t="shared" si="0"/>
        <v>3.3010302655364976E-2</v>
      </c>
      <c r="P4" s="834">
        <f t="shared" si="0"/>
        <v>0.26821197866996083</v>
      </c>
      <c r="Q4" s="834">
        <f t="shared" si="0"/>
        <v>0.20951665223062776</v>
      </c>
      <c r="R4" s="834">
        <f t="shared" si="0"/>
        <v>1.0845036780645856E-2</v>
      </c>
      <c r="S4" s="834">
        <f t="shared" si="0"/>
        <v>8.4428937946140037E-2</v>
      </c>
      <c r="T4" s="834">
        <f t="shared" si="0"/>
        <v>-1.1075775056962334E-3</v>
      </c>
      <c r="U4" s="834">
        <f t="shared" ca="1" si="0"/>
        <v>0.21599471389402725</v>
      </c>
      <c r="V4" s="857">
        <f t="shared" ca="1" si="0"/>
        <v>4.1663323025529442E-2</v>
      </c>
      <c r="W4" s="857">
        <f t="shared" ref="W4" ca="1" si="1">W3/V3-1</f>
        <v>4.5497108841304534E-2</v>
      </c>
      <c r="X4" s="857">
        <f t="shared" ref="X4" ca="1" si="2">X3/W3-1</f>
        <v>4.2331968049131863E-2</v>
      </c>
      <c r="Y4" s="857">
        <f t="shared" ref="Y4" ca="1" si="3">Y3/X3-1</f>
        <v>4.4497484833543322E-2</v>
      </c>
      <c r="Z4" s="857">
        <f t="shared" ref="Z4" ca="1" si="4">Z3/Y3-1</f>
        <v>4.5332140605732318E-2</v>
      </c>
      <c r="AA4" s="857">
        <f t="shared" ref="AA4" ca="1" si="5">AA3/Z3-1</f>
        <v>4.6206531348175206E-2</v>
      </c>
      <c r="AB4" s="857">
        <f t="shared" ref="AB4" ca="1" si="6">AB3/AA3-1</f>
        <v>4.5931447973693862E-2</v>
      </c>
      <c r="AC4" s="834"/>
      <c r="AD4" s="834"/>
      <c r="AE4" s="834"/>
      <c r="AF4" s="834"/>
      <c r="AG4" s="834"/>
      <c r="AH4" s="834"/>
      <c r="AI4" s="834"/>
      <c r="AJ4" s="834"/>
      <c r="AK4" s="834"/>
      <c r="AL4" s="834"/>
      <c r="AM4" s="834"/>
      <c r="AN4" s="834"/>
      <c r="AO4" s="834"/>
      <c r="AP4" s="834"/>
      <c r="AQ4" s="834"/>
      <c r="AR4" s="834"/>
      <c r="AS4" s="834"/>
      <c r="AT4" s="834"/>
      <c r="AU4" s="834"/>
      <c r="AV4" s="834"/>
      <c r="AW4" s="834"/>
      <c r="AX4" s="834"/>
      <c r="AY4" s="834"/>
      <c r="AZ4" s="834"/>
      <c r="BA4" s="834">
        <v>-5.5555555555555469E-2</v>
      </c>
      <c r="BB4" s="834">
        <v>-0.1298701298701298</v>
      </c>
      <c r="BC4" s="834">
        <v>-0.19480519480519487</v>
      </c>
      <c r="BD4" s="834">
        <v>-0.28749999999999998</v>
      </c>
      <c r="BE4" s="834">
        <v>-0.15545775739168177</v>
      </c>
      <c r="BF4" s="834">
        <v>-5.7289417415393173E-2</v>
      </c>
      <c r="BG4" s="834">
        <v>3.6948066803935031E-2</v>
      </c>
      <c r="BH4" s="834">
        <v>0.1254668729919024</v>
      </c>
      <c r="BI4" s="834">
        <v>4.9338350314970691E-2</v>
      </c>
      <c r="BJ4" s="834">
        <v>-2.3883821078436229E-2</v>
      </c>
      <c r="BK4" s="834">
        <v>-1.3843340634760004E-2</v>
      </c>
      <c r="BL4" s="834">
        <v>-4.7887593494302383E-2</v>
      </c>
      <c r="BM4" s="856">
        <f t="shared" ref="BM4:CV4" si="7">BM3/BI3-1</f>
        <v>0.12061072722749944</v>
      </c>
      <c r="BN4" s="857">
        <f t="shared" si="7"/>
        <v>3.731872987703122E-2</v>
      </c>
      <c r="BO4" s="857">
        <f t="shared" si="7"/>
        <v>7.4355068635477473E-2</v>
      </c>
      <c r="BP4" s="857">
        <f t="shared" si="7"/>
        <v>1.2949640287769792E-2</v>
      </c>
      <c r="BQ4" s="856">
        <f t="shared" si="7"/>
        <v>-0.17082769433929157</v>
      </c>
      <c r="BR4" s="857">
        <f t="shared" si="7"/>
        <v>-8.5598407471488946E-2</v>
      </c>
      <c r="BS4" s="857">
        <f t="shared" si="7"/>
        <v>-8.1674085107120042E-2</v>
      </c>
      <c r="BT4" s="857">
        <f t="shared" si="7"/>
        <v>-3.732513896374634E-3</v>
      </c>
      <c r="BU4" s="856">
        <f t="shared" si="7"/>
        <v>8.5247379522264577E-2</v>
      </c>
      <c r="BV4" s="857">
        <f t="shared" si="7"/>
        <v>0.14199929849175752</v>
      </c>
      <c r="BW4" s="857">
        <f t="shared" si="7"/>
        <v>4.7990342638684291E-2</v>
      </c>
      <c r="BX4" s="857">
        <f t="shared" si="7"/>
        <v>-1.4950040117234775E-2</v>
      </c>
      <c r="BY4" s="856">
        <f t="shared" si="7"/>
        <v>-0.21936588349678288</v>
      </c>
      <c r="BZ4" s="857">
        <f t="shared" si="7"/>
        <v>-0.22884609126121414</v>
      </c>
      <c r="CA4" s="857">
        <f t="shared" si="7"/>
        <v>-0.26617362009563139</v>
      </c>
      <c r="CB4" s="857">
        <f t="shared" si="7"/>
        <v>-0.27005855072463769</v>
      </c>
      <c r="CC4" s="856">
        <f t="shared" si="7"/>
        <v>6.2117786675279785E-3</v>
      </c>
      <c r="CD4" s="857">
        <f t="shared" si="7"/>
        <v>-2.6333513666051411E-3</v>
      </c>
      <c r="CE4" s="857">
        <f t="shared" si="7"/>
        <v>0.13657068308360865</v>
      </c>
      <c r="CF4" s="857">
        <f t="shared" si="7"/>
        <v>0.21756327492904082</v>
      </c>
      <c r="CG4" s="856">
        <f t="shared" si="7"/>
        <v>6.6759394123674154E-2</v>
      </c>
      <c r="CH4" s="857">
        <f t="shared" si="7"/>
        <v>0.10816940546942599</v>
      </c>
      <c r="CI4" s="857">
        <f t="shared" si="7"/>
        <v>2.2077890161758873E-2</v>
      </c>
      <c r="CJ4" s="857">
        <f t="shared" si="7"/>
        <v>-4.2169523723848523E-2</v>
      </c>
      <c r="CK4" s="856">
        <f t="shared" si="7"/>
        <v>0.16463750627525764</v>
      </c>
      <c r="CL4" s="857">
        <f t="shared" si="7"/>
        <v>0.10739527025267104</v>
      </c>
      <c r="CM4" s="857">
        <f t="shared" si="7"/>
        <v>0.13888841855495571</v>
      </c>
      <c r="CN4" s="857">
        <f t="shared" si="7"/>
        <v>-0.27973816154321052</v>
      </c>
      <c r="CO4" s="856">
        <f t="shared" si="7"/>
        <v>0.14258911646664418</v>
      </c>
      <c r="CP4" s="857">
        <f t="shared" si="7"/>
        <v>0.15596852912418302</v>
      </c>
      <c r="CQ4" s="857">
        <f t="shared" si="7"/>
        <v>0.20450267581853732</v>
      </c>
      <c r="CR4" s="857">
        <f t="shared" si="7"/>
        <v>0.74586759550260284</v>
      </c>
      <c r="CS4" s="856">
        <f t="shared" si="7"/>
        <v>0.34426627372800556</v>
      </c>
      <c r="CT4" s="857">
        <f t="shared" si="7"/>
        <v>0.24571813454269931</v>
      </c>
      <c r="CU4" s="857">
        <f t="shared" si="7"/>
        <v>0.15895413176905215</v>
      </c>
      <c r="CV4" s="858">
        <f t="shared" si="7"/>
        <v>9.7002083106632275E-2</v>
      </c>
      <c r="CW4" s="857">
        <f t="shared" ref="CW4:DD4" si="8">CW3/CS3-1</f>
        <v>-2.3866657936058577E-2</v>
      </c>
      <c r="CX4" s="857">
        <f t="shared" si="8"/>
        <v>-6.4555299413675549E-3</v>
      </c>
      <c r="CY4" s="857">
        <f t="shared" si="8"/>
        <v>2.4417079842935285E-2</v>
      </c>
      <c r="CZ4" s="858">
        <f t="shared" si="8"/>
        <v>5.6270140867866525E-2</v>
      </c>
      <c r="DA4" s="857">
        <f t="shared" si="8"/>
        <v>4.6053998546177644E-2</v>
      </c>
      <c r="DB4" s="857">
        <f t="shared" si="8"/>
        <v>4.6688382193268207E-2</v>
      </c>
      <c r="DC4" s="857">
        <f t="shared" si="8"/>
        <v>0.1084274999682624</v>
      </c>
      <c r="DD4" s="857">
        <f t="shared" si="8"/>
        <v>0.14033441469063179</v>
      </c>
      <c r="DE4" s="857">
        <f t="shared" ref="DE4" si="9">DE3/DA3-1</f>
        <v>1.6279384894729576E-2</v>
      </c>
      <c r="DF4" s="857">
        <f t="shared" ref="DF4" si="10">DF3/DB3-1</f>
        <v>1.3192215190259482E-2</v>
      </c>
      <c r="DG4" s="857">
        <f t="shared" ref="DG4" si="11">DG3/DC3-1</f>
        <v>-3.1763779914372514E-2</v>
      </c>
      <c r="DH4" s="857">
        <f t="shared" ref="DH4" si="12">DH3/DD3-1</f>
        <v>4.0526891382630659E-4</v>
      </c>
      <c r="DI4" s="857">
        <f t="shared" ref="DI4" si="13">DI3/DE3-1</f>
        <v>0.23934033311984915</v>
      </c>
      <c r="DJ4" s="857">
        <f t="shared" ref="DJ4" ca="1" si="14">DJ3/DF3-1</f>
        <v>0.2135365405789138</v>
      </c>
      <c r="DK4" s="857">
        <f t="shared" ref="DK4" ca="1" si="15">DK3/DG3-1</f>
        <v>0.23998327790022711</v>
      </c>
      <c r="DL4" s="857">
        <f t="shared" ref="DL4" ca="1" si="16">DL3/DH3-1</f>
        <v>0.16601394117171475</v>
      </c>
    </row>
    <row r="5" spans="1:116" s="808" customFormat="1">
      <c r="A5" s="826" t="s">
        <v>727</v>
      </c>
      <c r="B5" s="826"/>
      <c r="C5" s="826"/>
      <c r="D5" s="830"/>
      <c r="E5" s="830"/>
      <c r="F5" s="830"/>
      <c r="G5" s="830"/>
      <c r="H5" s="830"/>
      <c r="I5" s="830"/>
      <c r="J5" s="830"/>
      <c r="K5" s="830"/>
      <c r="L5" s="830"/>
      <c r="M5" s="830"/>
      <c r="N5" s="830"/>
      <c r="O5" s="830"/>
      <c r="P5" s="830"/>
      <c r="Q5" s="830"/>
      <c r="R5" s="830"/>
      <c r="S5" s="830"/>
      <c r="T5" s="830"/>
      <c r="U5" s="830"/>
      <c r="V5" s="860"/>
      <c r="W5" s="860"/>
      <c r="X5" s="860"/>
      <c r="Y5" s="860"/>
      <c r="Z5" s="860"/>
      <c r="AA5" s="860"/>
      <c r="AB5" s="860"/>
      <c r="AC5" s="830"/>
      <c r="AD5" s="830"/>
      <c r="AE5" s="830"/>
      <c r="AF5" s="830"/>
      <c r="AG5" s="830"/>
      <c r="AH5" s="830"/>
      <c r="AI5" s="830"/>
      <c r="AJ5" s="830"/>
      <c r="AK5" s="830"/>
      <c r="AL5" s="830"/>
      <c r="AM5" s="830"/>
      <c r="AN5" s="830"/>
      <c r="AO5" s="830"/>
      <c r="AP5" s="830"/>
      <c r="AQ5" s="830"/>
      <c r="AR5" s="830"/>
      <c r="AS5" s="830"/>
      <c r="AT5" s="830"/>
      <c r="AU5" s="830"/>
      <c r="AV5" s="830"/>
      <c r="AW5" s="830"/>
      <c r="AX5" s="830"/>
      <c r="AY5" s="830"/>
      <c r="AZ5" s="830"/>
      <c r="BA5" s="830"/>
      <c r="BB5" s="830"/>
      <c r="BC5" s="830"/>
      <c r="BD5" s="830"/>
      <c r="BE5" s="830"/>
      <c r="BF5" s="830"/>
      <c r="BG5" s="830"/>
      <c r="BH5" s="830"/>
      <c r="BI5" s="830"/>
      <c r="BJ5" s="830"/>
      <c r="BK5" s="830"/>
      <c r="BL5" s="830"/>
      <c r="BM5" s="859"/>
      <c r="BN5" s="860"/>
      <c r="BO5" s="860"/>
      <c r="BP5" s="860"/>
      <c r="BQ5" s="859"/>
      <c r="BR5" s="860"/>
      <c r="BS5" s="860"/>
      <c r="BT5" s="860"/>
      <c r="BU5" s="859"/>
      <c r="BV5" s="860"/>
      <c r="BW5" s="860"/>
      <c r="BX5" s="860"/>
      <c r="BY5" s="859"/>
      <c r="BZ5" s="860"/>
      <c r="CA5" s="860"/>
      <c r="CB5" s="860"/>
      <c r="CC5" s="859"/>
      <c r="CD5" s="860"/>
      <c r="CE5" s="860"/>
      <c r="CF5" s="860"/>
      <c r="CG5" s="859"/>
      <c r="CH5" s="860"/>
      <c r="CI5" s="860"/>
      <c r="CJ5" s="860"/>
      <c r="CK5" s="859"/>
      <c r="CL5" s="860"/>
      <c r="CM5" s="860"/>
      <c r="CN5" s="860"/>
      <c r="CO5" s="859"/>
      <c r="CP5" s="860"/>
      <c r="CQ5" s="860"/>
      <c r="CR5" s="860"/>
      <c r="CS5" s="859"/>
      <c r="CT5" s="860"/>
      <c r="CU5" s="860"/>
      <c r="CV5" s="861"/>
      <c r="CW5" s="860"/>
      <c r="CX5" s="860"/>
      <c r="CY5" s="860"/>
      <c r="CZ5" s="861"/>
      <c r="DA5" s="860"/>
      <c r="DB5" s="860"/>
      <c r="DC5" s="860"/>
      <c r="DD5" s="860"/>
      <c r="DE5" s="860"/>
      <c r="DF5" s="860"/>
      <c r="DG5" s="860"/>
      <c r="DH5" s="860"/>
      <c r="DI5" s="860"/>
      <c r="DJ5" s="860"/>
      <c r="DK5" s="860"/>
      <c r="DL5" s="860"/>
    </row>
    <row r="6" spans="1:116" s="808" customFormat="1">
      <c r="A6" s="827" t="s">
        <v>728</v>
      </c>
      <c r="B6" s="812"/>
      <c r="C6" s="812"/>
      <c r="V6" s="863"/>
      <c r="W6" s="863"/>
      <c r="X6" s="863"/>
      <c r="Y6" s="863"/>
      <c r="Z6" s="863"/>
      <c r="AA6" s="863"/>
      <c r="AB6" s="863"/>
      <c r="BM6" s="862"/>
      <c r="BN6" s="863"/>
      <c r="BO6" s="863"/>
      <c r="BP6" s="863"/>
      <c r="BQ6" s="862"/>
      <c r="BR6" s="863"/>
      <c r="BS6" s="863"/>
      <c r="BT6" s="863"/>
      <c r="BU6" s="862"/>
      <c r="BV6" s="863"/>
      <c r="BW6" s="863"/>
      <c r="BX6" s="863"/>
      <c r="BY6" s="862"/>
      <c r="BZ6" s="863"/>
      <c r="CA6" s="863"/>
      <c r="CB6" s="863"/>
      <c r="CC6" s="862"/>
      <c r="CD6" s="863"/>
      <c r="CE6" s="863"/>
      <c r="CF6" s="863"/>
      <c r="CG6" s="862"/>
      <c r="CH6" s="863"/>
      <c r="CI6" s="863"/>
      <c r="CJ6" s="863"/>
      <c r="CK6" s="862"/>
      <c r="CL6" s="863"/>
      <c r="CM6" s="863"/>
      <c r="CN6" s="863"/>
      <c r="CO6" s="862"/>
      <c r="CP6" s="863"/>
      <c r="CQ6" s="863"/>
      <c r="CR6" s="863"/>
      <c r="CS6" s="862"/>
      <c r="CT6" s="863"/>
      <c r="CU6" s="863"/>
      <c r="CV6" s="864"/>
      <c r="CW6" s="863"/>
      <c r="CX6" s="863"/>
      <c r="CY6" s="863"/>
      <c r="CZ6" s="864"/>
      <c r="DA6" s="863"/>
      <c r="DB6" s="863"/>
      <c r="DC6" s="863"/>
      <c r="DD6" s="863"/>
      <c r="DE6" s="863"/>
      <c r="DF6" s="863"/>
      <c r="DG6" s="863"/>
      <c r="DH6" s="863"/>
      <c r="DI6" s="863"/>
      <c r="DJ6" s="863"/>
      <c r="DK6" s="863"/>
      <c r="DL6" s="863"/>
    </row>
    <row r="7" spans="1:116" s="808" customFormat="1">
      <c r="A7" s="812" t="s">
        <v>62</v>
      </c>
      <c r="B7" s="812"/>
      <c r="C7" s="812"/>
      <c r="D7" s="842">
        <v>35618.400000000001</v>
      </c>
      <c r="E7" s="842">
        <v>28959.5</v>
      </c>
      <c r="F7" s="842">
        <v>26663.36165668437</v>
      </c>
      <c r="G7" s="842">
        <v>24979.492807096849</v>
      </c>
      <c r="H7" s="842">
        <v>23391.076641428408</v>
      </c>
      <c r="I7" s="842">
        <f>BP7</f>
        <v>22738</v>
      </c>
      <c r="J7" s="808">
        <f>BT7</f>
        <v>14817</v>
      </c>
      <c r="K7" s="808">
        <f>Lines!P11</f>
        <v>13316.531999999999</v>
      </c>
      <c r="L7" s="808">
        <f>Lines!Q11</f>
        <v>13662</v>
      </c>
      <c r="M7" s="808">
        <f>Lines!R11</f>
        <v>12574</v>
      </c>
      <c r="N7" s="808">
        <f>Lines!S11</f>
        <v>11790</v>
      </c>
      <c r="O7" s="808">
        <f>Lines!T11</f>
        <v>11209</v>
      </c>
      <c r="P7" s="808">
        <f>Lines!U11</f>
        <v>10729</v>
      </c>
      <c r="Q7" s="808">
        <f>Lines!V11</f>
        <v>10198</v>
      </c>
      <c r="R7" s="808">
        <f>Lines!W11</f>
        <v>9538</v>
      </c>
      <c r="S7" s="808">
        <f>Lines!X11</f>
        <v>7125</v>
      </c>
      <c r="T7" s="808">
        <f>Lines!Y11</f>
        <v>6613</v>
      </c>
      <c r="U7" s="808">
        <f>Lines!Z11</f>
        <v>0</v>
      </c>
      <c r="V7" s="863">
        <f>Lines!AA11</f>
        <v>0</v>
      </c>
      <c r="W7" s="863">
        <f>Lines!AB11</f>
        <v>0</v>
      </c>
      <c r="X7" s="863">
        <f>Lines!AC11</f>
        <v>0</v>
      </c>
      <c r="Y7" s="863">
        <f>Lines!AD11</f>
        <v>0</v>
      </c>
      <c r="Z7" s="863">
        <f>Lines!AE11</f>
        <v>0</v>
      </c>
      <c r="AA7" s="863">
        <f>Lines!AF11</f>
        <v>0</v>
      </c>
      <c r="AB7" s="863">
        <f>Lines!AG11</f>
        <v>0</v>
      </c>
      <c r="AS7" s="842">
        <v>36225</v>
      </c>
      <c r="AT7" s="842">
        <v>35951.199999999997</v>
      </c>
      <c r="AU7" s="842">
        <v>35805</v>
      </c>
      <c r="AV7" s="842">
        <v>35618.400000000001</v>
      </c>
      <c r="AW7" s="842">
        <v>30200.84</v>
      </c>
      <c r="AX7" s="842">
        <v>29854.21</v>
      </c>
      <c r="AY7" s="842">
        <v>29464.57</v>
      </c>
      <c r="AZ7" s="842">
        <v>28959.5</v>
      </c>
      <c r="BA7" s="842">
        <v>28181.75</v>
      </c>
      <c r="BB7" s="842">
        <v>27691.585252570912</v>
      </c>
      <c r="BC7" s="842">
        <v>27210.992581082606</v>
      </c>
      <c r="BD7" s="842">
        <v>26663.36165668437</v>
      </c>
      <c r="BE7" s="842">
        <v>26418.505390439597</v>
      </c>
      <c r="BF7" s="842">
        <v>25800.873149508421</v>
      </c>
      <c r="BG7" s="842">
        <v>25368.302288394167</v>
      </c>
      <c r="BH7" s="842">
        <v>24979.492807096849</v>
      </c>
      <c r="BI7" s="842">
        <v>24722.165148604359</v>
      </c>
      <c r="BJ7" s="842">
        <v>24212.519629336646</v>
      </c>
      <c r="BK7" s="842">
        <v>23763.456249293708</v>
      </c>
      <c r="BL7" s="842">
        <v>23391.076641428408</v>
      </c>
      <c r="BM7" s="862">
        <f>Lines!BZ11</f>
        <v>23953</v>
      </c>
      <c r="BN7" s="863">
        <f>Lines!CA11</f>
        <v>23522</v>
      </c>
      <c r="BO7" s="863">
        <f>Lines!CB11</f>
        <v>23104</v>
      </c>
      <c r="BP7" s="863">
        <f>Lines!CC11</f>
        <v>22738</v>
      </c>
      <c r="BQ7" s="862">
        <f>Lines!CD11</f>
        <v>21419</v>
      </c>
      <c r="BR7" s="863">
        <f>Lines!CE11</f>
        <v>21039</v>
      </c>
      <c r="BS7" s="863">
        <f>Lines!CF11</f>
        <v>20575</v>
      </c>
      <c r="BT7" s="863">
        <f>Lines!CG11</f>
        <v>14817</v>
      </c>
      <c r="BU7" s="862">
        <f>Lines!CH11</f>
        <v>14480</v>
      </c>
      <c r="BV7" s="863">
        <f>Lines!CI11</f>
        <v>14054.679054054053</v>
      </c>
      <c r="BW7" s="863">
        <f>Lines!CJ11</f>
        <v>13637.02372881356</v>
      </c>
      <c r="BX7" s="863">
        <f>Lines!CK11</f>
        <v>13316.531999999999</v>
      </c>
      <c r="BY7" s="862">
        <f>Lines!CL11</f>
        <v>14747</v>
      </c>
      <c r="BZ7" s="863">
        <f>Lines!CM11</f>
        <v>14391</v>
      </c>
      <c r="CA7" s="863">
        <f>Lines!CN11</f>
        <v>14030</v>
      </c>
      <c r="CB7" s="863">
        <f>Lines!CO11</f>
        <v>13662</v>
      </c>
      <c r="CC7" s="862">
        <f>Lines!CP11</f>
        <v>13351</v>
      </c>
      <c r="CD7" s="863">
        <f>Lines!CQ11</f>
        <v>13085</v>
      </c>
      <c r="CE7" s="863">
        <f>Lines!CR11</f>
        <v>12825</v>
      </c>
      <c r="CF7" s="863">
        <f>Lines!CS11</f>
        <v>12574</v>
      </c>
      <c r="CG7" s="862">
        <f>Lines!CT11</f>
        <v>12336</v>
      </c>
      <c r="CH7" s="863">
        <f>Lines!CU11</f>
        <v>12141</v>
      </c>
      <c r="CI7" s="863">
        <f>Lines!CV11</f>
        <v>11916</v>
      </c>
      <c r="CJ7" s="863">
        <f>Lines!CW11</f>
        <v>11790</v>
      </c>
      <c r="CK7" s="862">
        <f>Lines!CX11</f>
        <v>11642</v>
      </c>
      <c r="CL7" s="863">
        <f>Lines!CY11</f>
        <v>11491</v>
      </c>
      <c r="CM7" s="863">
        <f>Lines!CZ11</f>
        <v>11322</v>
      </c>
      <c r="CN7" s="863">
        <f>Lines!DA11</f>
        <v>11209</v>
      </c>
      <c r="CO7" s="862">
        <f>Lines!DB11</f>
        <v>11124</v>
      </c>
      <c r="CP7" s="863">
        <f>Lines!DC11</f>
        <v>11017</v>
      </c>
      <c r="CQ7" s="863">
        <f>Lines!DD11</f>
        <v>10890</v>
      </c>
      <c r="CR7" s="863">
        <f>Lines!DE11</f>
        <v>10729</v>
      </c>
      <c r="CS7" s="862">
        <f>Lines!DF11</f>
        <v>10574</v>
      </c>
      <c r="CT7" s="863">
        <f>Lines!DG11</f>
        <v>10447</v>
      </c>
      <c r="CU7" s="863">
        <f>Lines!DH11</f>
        <v>10308</v>
      </c>
      <c r="CV7" s="864">
        <f>Lines!DI11</f>
        <v>10198</v>
      </c>
      <c r="CW7" s="863">
        <f>Lines!DJ11</f>
        <v>10058</v>
      </c>
      <c r="CX7" s="863">
        <f>Lines!DK11</f>
        <v>9855</v>
      </c>
      <c r="CY7" s="863">
        <f>Lines!DL11</f>
        <v>9685</v>
      </c>
      <c r="CZ7" s="864">
        <f>Lines!DM11</f>
        <v>9538</v>
      </c>
      <c r="DA7" s="863">
        <f>Lines!DN11</f>
        <v>9373</v>
      </c>
      <c r="DB7" s="863">
        <f>Lines!DO11</f>
        <v>7380</v>
      </c>
      <c r="DC7" s="863">
        <f>Lines!DP11</f>
        <v>7241</v>
      </c>
      <c r="DD7" s="863">
        <f>Lines!DQ11</f>
        <v>7125</v>
      </c>
      <c r="DE7" s="863">
        <f>Lines!DR11</f>
        <v>6982</v>
      </c>
      <c r="DF7" s="863">
        <f>Lines!DS11</f>
        <v>6871</v>
      </c>
      <c r="DG7" s="863">
        <f>Lines!DT11</f>
        <v>6750</v>
      </c>
      <c r="DH7" s="863">
        <f>Lines!DU11</f>
        <v>6613</v>
      </c>
      <c r="DI7" s="863">
        <f>Lines!DV11</f>
        <v>0</v>
      </c>
      <c r="DJ7" s="863">
        <f>Lines!DW11</f>
        <v>0</v>
      </c>
      <c r="DK7" s="863">
        <f>Lines!DX11</f>
        <v>0</v>
      </c>
      <c r="DL7" s="863">
        <f>Lines!DY11</f>
        <v>0</v>
      </c>
    </row>
    <row r="8" spans="1:116" s="808" customFormat="1">
      <c r="A8" s="812" t="s">
        <v>63</v>
      </c>
      <c r="B8" s="812"/>
      <c r="C8" s="812"/>
      <c r="D8" s="842">
        <v>0</v>
      </c>
      <c r="E8" s="842">
        <v>5110.5</v>
      </c>
      <c r="F8" s="842">
        <v>4366.8383433156287</v>
      </c>
      <c r="G8" s="842">
        <v>3782.9071929031529</v>
      </c>
      <c r="H8" s="842">
        <v>3346.2233585715899</v>
      </c>
      <c r="I8" s="842">
        <f>BP8</f>
        <v>1442.6800000000003</v>
      </c>
      <c r="J8" s="808">
        <f>BT8</f>
        <v>1615.0799999999981</v>
      </c>
      <c r="K8" s="808">
        <f>Lines!P18</f>
        <v>1074.08</v>
      </c>
      <c r="L8" s="808">
        <f>Lines!Q18</f>
        <v>1303</v>
      </c>
      <c r="M8" s="808">
        <f>Lines!R18</f>
        <v>1042</v>
      </c>
      <c r="N8" s="808">
        <f>Lines!S18</f>
        <v>836</v>
      </c>
      <c r="O8" s="808">
        <f>Lines!T18</f>
        <v>640</v>
      </c>
      <c r="P8" s="808">
        <f>Lines!U18</f>
        <v>500</v>
      </c>
      <c r="Q8" s="808">
        <f>Lines!V18</f>
        <v>417</v>
      </c>
      <c r="R8" s="808">
        <f>Lines!W18</f>
        <v>347</v>
      </c>
      <c r="S8" s="808">
        <f>Lines!X18</f>
        <v>230</v>
      </c>
      <c r="T8" s="808">
        <f>Lines!Y18</f>
        <v>191</v>
      </c>
      <c r="U8" s="808">
        <f>Lines!Z18</f>
        <v>0</v>
      </c>
      <c r="V8" s="863">
        <f>Lines!AA18</f>
        <v>0</v>
      </c>
      <c r="W8" s="863">
        <f>Lines!AB18</f>
        <v>0</v>
      </c>
      <c r="X8" s="863">
        <f>Lines!AC18</f>
        <v>0</v>
      </c>
      <c r="Y8" s="863">
        <f>Lines!AD18</f>
        <v>0</v>
      </c>
      <c r="Z8" s="863">
        <f>Lines!AE18</f>
        <v>0</v>
      </c>
      <c r="AA8" s="863">
        <f>Lines!AF18</f>
        <v>0</v>
      </c>
      <c r="AB8" s="863">
        <f>Lines!AG18</f>
        <v>0</v>
      </c>
      <c r="AS8" s="842">
        <v>0</v>
      </c>
      <c r="AT8" s="842">
        <v>0</v>
      </c>
      <c r="AU8" s="842">
        <v>0</v>
      </c>
      <c r="AV8" s="842">
        <v>0</v>
      </c>
      <c r="AW8" s="842">
        <v>5329.56</v>
      </c>
      <c r="AX8" s="842">
        <v>5268.39</v>
      </c>
      <c r="AY8" s="842">
        <v>5199.63</v>
      </c>
      <c r="AZ8" s="842">
        <v>5110.5</v>
      </c>
      <c r="BA8" s="842">
        <v>4973.25</v>
      </c>
      <c r="BB8" s="842">
        <v>4740.0147474290879</v>
      </c>
      <c r="BC8" s="842">
        <v>4503.4074189173916</v>
      </c>
      <c r="BD8" s="842">
        <v>4366.8383433156287</v>
      </c>
      <c r="BE8" s="842">
        <v>4201.044609560402</v>
      </c>
      <c r="BF8" s="842">
        <v>4034.1268504915806</v>
      </c>
      <c r="BG8" s="842">
        <v>3894.7477116058312</v>
      </c>
      <c r="BH8" s="842">
        <v>3782.9071929031529</v>
      </c>
      <c r="BI8" s="842">
        <v>3678.9348513956379</v>
      </c>
      <c r="BJ8" s="842">
        <v>3568.7803706633517</v>
      </c>
      <c r="BK8" s="842">
        <v>3452.4437507062944</v>
      </c>
      <c r="BL8" s="842">
        <v>3346.2233585715899</v>
      </c>
      <c r="BM8" s="862">
        <f>Lines!BZ18</f>
        <v>2214.16</v>
      </c>
      <c r="BN8" s="863">
        <f>Lines!CA18</f>
        <v>1948</v>
      </c>
      <c r="BO8" s="863">
        <f>Lines!CB18</f>
        <v>1672.5200000000004</v>
      </c>
      <c r="BP8" s="863">
        <f>Lines!CC18</f>
        <v>1442.6800000000003</v>
      </c>
      <c r="BQ8" s="862">
        <f>Lines!CD18</f>
        <v>2151.0400000000009</v>
      </c>
      <c r="BR8" s="863">
        <f>Lines!CE18</f>
        <v>1949.8799999999974</v>
      </c>
      <c r="BS8" s="863">
        <f>Lines!CF18</f>
        <v>1759.1200000000026</v>
      </c>
      <c r="BT8" s="863">
        <f>Lines!CG18</f>
        <v>1615.0799999999981</v>
      </c>
      <c r="BU8" s="862">
        <f>Lines!CH18</f>
        <v>1473.3200000000015</v>
      </c>
      <c r="BV8" s="863">
        <f>Lines!CI18</f>
        <v>1346</v>
      </c>
      <c r="BW8" s="863">
        <f>Lines!CJ18</f>
        <v>1208.840000000002</v>
      </c>
      <c r="BX8" s="863">
        <f>Lines!CK18</f>
        <v>1074.08</v>
      </c>
      <c r="BY8" s="862">
        <f>Lines!CL18</f>
        <v>1505</v>
      </c>
      <c r="BZ8" s="863">
        <f>Lines!CM18</f>
        <v>1437</v>
      </c>
      <c r="CA8" s="863">
        <f>Lines!CN18</f>
        <v>1364</v>
      </c>
      <c r="CB8" s="863">
        <f>Lines!CO18</f>
        <v>1303</v>
      </c>
      <c r="CC8" s="862">
        <f>Lines!CP18</f>
        <v>1236</v>
      </c>
      <c r="CD8" s="863">
        <f>Lines!CQ18</f>
        <v>1167</v>
      </c>
      <c r="CE8" s="863">
        <f>Lines!CR18</f>
        <v>1094</v>
      </c>
      <c r="CF8" s="863">
        <f>Lines!CS18</f>
        <v>1042</v>
      </c>
      <c r="CG8" s="862">
        <f>Lines!CT18</f>
        <v>991</v>
      </c>
      <c r="CH8" s="863">
        <f>Lines!CU18</f>
        <v>946</v>
      </c>
      <c r="CI8" s="863">
        <f>Lines!CV18</f>
        <v>893</v>
      </c>
      <c r="CJ8" s="863">
        <f>Lines!CW18</f>
        <v>836</v>
      </c>
      <c r="CK8" s="862">
        <f>Lines!CX18</f>
        <v>779</v>
      </c>
      <c r="CL8" s="863">
        <f>Lines!CY18</f>
        <v>731</v>
      </c>
      <c r="CM8" s="863">
        <f>Lines!CZ18</f>
        <v>683</v>
      </c>
      <c r="CN8" s="863">
        <f>Lines!DA18</f>
        <v>640</v>
      </c>
      <c r="CO8" s="862">
        <f>Lines!DB18</f>
        <v>601</v>
      </c>
      <c r="CP8" s="863">
        <f>Lines!DC18</f>
        <v>566</v>
      </c>
      <c r="CQ8" s="863">
        <f>Lines!DD18</f>
        <v>531</v>
      </c>
      <c r="CR8" s="863">
        <f>Lines!DE18</f>
        <v>500</v>
      </c>
      <c r="CS8" s="862">
        <f>Lines!DF18</f>
        <v>474</v>
      </c>
      <c r="CT8" s="863">
        <f>Lines!DG18</f>
        <v>456</v>
      </c>
      <c r="CU8" s="863">
        <f>Lines!DH18</f>
        <v>435</v>
      </c>
      <c r="CV8" s="864">
        <f>Lines!DI18</f>
        <v>417</v>
      </c>
      <c r="CW8" s="863">
        <f>Lines!DJ18</f>
        <v>399</v>
      </c>
      <c r="CX8" s="863">
        <f>Lines!DK18</f>
        <v>384</v>
      </c>
      <c r="CY8" s="863">
        <f>Lines!DL18</f>
        <v>366</v>
      </c>
      <c r="CZ8" s="864">
        <f>Lines!DM18</f>
        <v>347</v>
      </c>
      <c r="DA8" s="863">
        <f>Lines!DN18</f>
        <v>329</v>
      </c>
      <c r="DB8" s="863">
        <f>Lines!DO18</f>
        <v>254</v>
      </c>
      <c r="DC8" s="863">
        <f>Lines!DP18</f>
        <v>241</v>
      </c>
      <c r="DD8" s="863">
        <f>Lines!DQ18</f>
        <v>230</v>
      </c>
      <c r="DE8" s="863">
        <f>Lines!DR18</f>
        <v>218</v>
      </c>
      <c r="DF8" s="863">
        <f>Lines!DS18</f>
        <v>208</v>
      </c>
      <c r="DG8" s="863">
        <f>Lines!DT18</f>
        <v>200</v>
      </c>
      <c r="DH8" s="863">
        <f>Lines!DU18</f>
        <v>191</v>
      </c>
      <c r="DI8" s="863">
        <f>Lines!DV18</f>
        <v>0</v>
      </c>
      <c r="DJ8" s="863">
        <f>Lines!DW18</f>
        <v>0</v>
      </c>
      <c r="DK8" s="863">
        <f>Lines!DX18</f>
        <v>0</v>
      </c>
      <c r="DL8" s="863">
        <f>Lines!DY18</f>
        <v>0</v>
      </c>
    </row>
    <row r="9" spans="1:116" s="816" customFormat="1">
      <c r="A9" s="820" t="s">
        <v>64</v>
      </c>
      <c r="B9" s="820"/>
      <c r="C9" s="820"/>
      <c r="D9" s="843">
        <v>35618.400000000001</v>
      </c>
      <c r="E9" s="843">
        <v>34070</v>
      </c>
      <c r="F9" s="843">
        <v>31030.2</v>
      </c>
      <c r="G9" s="843">
        <v>28762.400000000001</v>
      </c>
      <c r="H9" s="843">
        <v>26737.3</v>
      </c>
      <c r="I9" s="843">
        <f t="shared" ref="I9:U9" si="17">SUM(I7:I8)</f>
        <v>24180.68</v>
      </c>
      <c r="J9" s="816">
        <f t="shared" si="17"/>
        <v>16432.079999999998</v>
      </c>
      <c r="K9" s="816">
        <f t="shared" si="17"/>
        <v>14390.611999999999</v>
      </c>
      <c r="L9" s="816">
        <f t="shared" si="17"/>
        <v>14965</v>
      </c>
      <c r="M9" s="816">
        <f t="shared" si="17"/>
        <v>13616</v>
      </c>
      <c r="N9" s="816">
        <f t="shared" si="17"/>
        <v>12626</v>
      </c>
      <c r="O9" s="816">
        <f t="shared" si="17"/>
        <v>11849</v>
      </c>
      <c r="P9" s="816">
        <f t="shared" si="17"/>
        <v>11229</v>
      </c>
      <c r="Q9" s="816">
        <f t="shared" si="17"/>
        <v>10615</v>
      </c>
      <c r="R9" s="816">
        <f t="shared" si="17"/>
        <v>9885</v>
      </c>
      <c r="S9" s="816">
        <f t="shared" si="17"/>
        <v>7355</v>
      </c>
      <c r="T9" s="816">
        <f t="shared" si="17"/>
        <v>6804</v>
      </c>
      <c r="U9" s="816">
        <f t="shared" si="17"/>
        <v>0</v>
      </c>
      <c r="V9" s="866">
        <f>SUM(V7:V8)</f>
        <v>0</v>
      </c>
      <c r="W9" s="866">
        <f t="shared" ref="W9:AB9" si="18">SUM(W7:W8)</f>
        <v>0</v>
      </c>
      <c r="X9" s="866">
        <f t="shared" si="18"/>
        <v>0</v>
      </c>
      <c r="Y9" s="866">
        <f t="shared" si="18"/>
        <v>0</v>
      </c>
      <c r="Z9" s="866">
        <f t="shared" si="18"/>
        <v>0</v>
      </c>
      <c r="AA9" s="866">
        <f t="shared" si="18"/>
        <v>0</v>
      </c>
      <c r="AB9" s="866">
        <f t="shared" si="18"/>
        <v>0</v>
      </c>
      <c r="AS9" s="843">
        <v>36225</v>
      </c>
      <c r="AT9" s="843">
        <v>35951.199999999997</v>
      </c>
      <c r="AU9" s="843">
        <v>35805</v>
      </c>
      <c r="AV9" s="843">
        <v>35618.400000000001</v>
      </c>
      <c r="AW9" s="843">
        <v>35530.400000000001</v>
      </c>
      <c r="AX9" s="843">
        <v>35122.6</v>
      </c>
      <c r="AY9" s="843">
        <v>34664.199999999997</v>
      </c>
      <c r="AZ9" s="843">
        <v>34070</v>
      </c>
      <c r="BA9" s="843">
        <v>33155</v>
      </c>
      <c r="BB9" s="843">
        <v>32431.599999999999</v>
      </c>
      <c r="BC9" s="843">
        <v>31714.400000000001</v>
      </c>
      <c r="BD9" s="843">
        <v>31030.2</v>
      </c>
      <c r="BE9" s="843">
        <v>30619.55</v>
      </c>
      <c r="BF9" s="843">
        <v>29835</v>
      </c>
      <c r="BG9" s="843">
        <v>29263.05</v>
      </c>
      <c r="BH9" s="843">
        <v>28762.400000000001</v>
      </c>
      <c r="BI9" s="843">
        <v>28401.1</v>
      </c>
      <c r="BJ9" s="843">
        <v>27781.3</v>
      </c>
      <c r="BK9" s="843">
        <v>27215.9</v>
      </c>
      <c r="BL9" s="843">
        <v>26737.3</v>
      </c>
      <c r="BM9" s="865">
        <f t="shared" ref="BM9:CV9" si="19">SUM(BM7:BM8)</f>
        <v>26167.16</v>
      </c>
      <c r="BN9" s="866">
        <f t="shared" si="19"/>
        <v>25470</v>
      </c>
      <c r="BO9" s="866">
        <f t="shared" si="19"/>
        <v>24776.52</v>
      </c>
      <c r="BP9" s="866">
        <f t="shared" si="19"/>
        <v>24180.68</v>
      </c>
      <c r="BQ9" s="865">
        <f t="shared" si="19"/>
        <v>23570.04</v>
      </c>
      <c r="BR9" s="866">
        <f t="shared" si="19"/>
        <v>22988.879999999997</v>
      </c>
      <c r="BS9" s="866">
        <f t="shared" si="19"/>
        <v>22334.120000000003</v>
      </c>
      <c r="BT9" s="866">
        <f t="shared" si="19"/>
        <v>16432.079999999998</v>
      </c>
      <c r="BU9" s="865">
        <f t="shared" si="19"/>
        <v>15953.320000000002</v>
      </c>
      <c r="BV9" s="866">
        <f t="shared" si="19"/>
        <v>15400.679054054053</v>
      </c>
      <c r="BW9" s="866">
        <f t="shared" si="19"/>
        <v>14845.863728813561</v>
      </c>
      <c r="BX9" s="866">
        <f t="shared" si="19"/>
        <v>14390.611999999999</v>
      </c>
      <c r="BY9" s="865">
        <f t="shared" si="19"/>
        <v>16252</v>
      </c>
      <c r="BZ9" s="866">
        <f t="shared" si="19"/>
        <v>15828</v>
      </c>
      <c r="CA9" s="866">
        <f t="shared" si="19"/>
        <v>15394</v>
      </c>
      <c r="CB9" s="866">
        <f t="shared" si="19"/>
        <v>14965</v>
      </c>
      <c r="CC9" s="865">
        <f t="shared" si="19"/>
        <v>14587</v>
      </c>
      <c r="CD9" s="866">
        <f t="shared" si="19"/>
        <v>14252</v>
      </c>
      <c r="CE9" s="866">
        <f t="shared" si="19"/>
        <v>13919</v>
      </c>
      <c r="CF9" s="866">
        <f t="shared" si="19"/>
        <v>13616</v>
      </c>
      <c r="CG9" s="865">
        <f t="shared" si="19"/>
        <v>13327</v>
      </c>
      <c r="CH9" s="866">
        <f t="shared" si="19"/>
        <v>13087</v>
      </c>
      <c r="CI9" s="866">
        <f t="shared" si="19"/>
        <v>12809</v>
      </c>
      <c r="CJ9" s="866">
        <f t="shared" si="19"/>
        <v>12626</v>
      </c>
      <c r="CK9" s="865">
        <f t="shared" si="19"/>
        <v>12421</v>
      </c>
      <c r="CL9" s="866">
        <f t="shared" si="19"/>
        <v>12222</v>
      </c>
      <c r="CM9" s="866">
        <f t="shared" si="19"/>
        <v>12005</v>
      </c>
      <c r="CN9" s="866">
        <f t="shared" si="19"/>
        <v>11849</v>
      </c>
      <c r="CO9" s="865">
        <f t="shared" si="19"/>
        <v>11725</v>
      </c>
      <c r="CP9" s="866">
        <f t="shared" si="19"/>
        <v>11583</v>
      </c>
      <c r="CQ9" s="866">
        <f t="shared" si="19"/>
        <v>11421</v>
      </c>
      <c r="CR9" s="866">
        <f t="shared" si="19"/>
        <v>11229</v>
      </c>
      <c r="CS9" s="865">
        <f t="shared" si="19"/>
        <v>11048</v>
      </c>
      <c r="CT9" s="866">
        <f t="shared" si="19"/>
        <v>10903</v>
      </c>
      <c r="CU9" s="866">
        <f t="shared" si="19"/>
        <v>10743</v>
      </c>
      <c r="CV9" s="867">
        <f t="shared" si="19"/>
        <v>10615</v>
      </c>
      <c r="CW9" s="866">
        <f t="shared" ref="CW9:DD9" si="20">SUM(CW7:CW8)</f>
        <v>10457</v>
      </c>
      <c r="CX9" s="866">
        <f t="shared" si="20"/>
        <v>10239</v>
      </c>
      <c r="CY9" s="866">
        <f t="shared" si="20"/>
        <v>10051</v>
      </c>
      <c r="CZ9" s="867">
        <f t="shared" si="20"/>
        <v>9885</v>
      </c>
      <c r="DA9" s="866">
        <f t="shared" si="20"/>
        <v>9702</v>
      </c>
      <c r="DB9" s="866">
        <f t="shared" si="20"/>
        <v>7634</v>
      </c>
      <c r="DC9" s="866">
        <f t="shared" si="20"/>
        <v>7482</v>
      </c>
      <c r="DD9" s="866">
        <f t="shared" si="20"/>
        <v>7355</v>
      </c>
      <c r="DE9" s="866">
        <f t="shared" ref="DE9:DH9" si="21">SUM(DE7:DE8)</f>
        <v>7200</v>
      </c>
      <c r="DF9" s="866">
        <f t="shared" si="21"/>
        <v>7079</v>
      </c>
      <c r="DG9" s="866">
        <f t="shared" si="21"/>
        <v>6950</v>
      </c>
      <c r="DH9" s="866">
        <f t="shared" si="21"/>
        <v>6804</v>
      </c>
      <c r="DI9" s="866">
        <f t="shared" ref="DI9:DL9" si="22">SUM(DI7:DI8)</f>
        <v>0</v>
      </c>
      <c r="DJ9" s="866">
        <f t="shared" si="22"/>
        <v>0</v>
      </c>
      <c r="DK9" s="866">
        <f t="shared" si="22"/>
        <v>0</v>
      </c>
      <c r="DL9" s="866">
        <f t="shared" si="22"/>
        <v>0</v>
      </c>
    </row>
    <row r="10" spans="1:116" s="808" customFormat="1">
      <c r="A10" s="812" t="s">
        <v>534</v>
      </c>
      <c r="B10" s="812"/>
      <c r="C10" s="812"/>
      <c r="D10" s="842">
        <v>20345.599999999999</v>
      </c>
      <c r="E10" s="842">
        <v>19147</v>
      </c>
      <c r="F10" s="842">
        <v>17579.8</v>
      </c>
      <c r="G10" s="842">
        <v>16529.599999999999</v>
      </c>
      <c r="H10" s="842">
        <v>16155.7</v>
      </c>
      <c r="I10" s="842">
        <f>BP10</f>
        <v>16326</v>
      </c>
      <c r="J10" s="808">
        <f>BT10</f>
        <v>15713</v>
      </c>
      <c r="K10" s="808">
        <f>+BX10</f>
        <v>14966</v>
      </c>
      <c r="L10" s="808">
        <f>+CB10</f>
        <v>12540</v>
      </c>
      <c r="V10" s="863"/>
      <c r="W10" s="863"/>
      <c r="X10" s="863"/>
      <c r="Y10" s="863"/>
      <c r="Z10" s="863"/>
      <c r="AA10" s="863"/>
      <c r="AB10" s="863"/>
      <c r="AS10" s="842">
        <v>21177</v>
      </c>
      <c r="AT10" s="842">
        <v>20940.8</v>
      </c>
      <c r="AU10" s="842">
        <v>20688</v>
      </c>
      <c r="AV10" s="842">
        <v>20345.599999999999</v>
      </c>
      <c r="AW10" s="842">
        <v>20017.599999999999</v>
      </c>
      <c r="AX10" s="842">
        <v>19594.400000000001</v>
      </c>
      <c r="AY10" s="842">
        <v>19365.8</v>
      </c>
      <c r="AZ10" s="842">
        <v>19147</v>
      </c>
      <c r="BA10" s="842">
        <v>18531</v>
      </c>
      <c r="BB10" s="842">
        <v>18127.400000000001</v>
      </c>
      <c r="BC10" s="842">
        <v>17879.599999999999</v>
      </c>
      <c r="BD10" s="842">
        <v>17579.8</v>
      </c>
      <c r="BE10" s="842">
        <v>17030.45</v>
      </c>
      <c r="BF10" s="842">
        <v>16782</v>
      </c>
      <c r="BG10" s="842">
        <v>16628.95</v>
      </c>
      <c r="BH10" s="842">
        <v>16529.599999999999</v>
      </c>
      <c r="BI10" s="842">
        <v>16338.9</v>
      </c>
      <c r="BJ10" s="842">
        <v>16329.7</v>
      </c>
      <c r="BK10" s="842">
        <v>16232.1</v>
      </c>
      <c r="BL10" s="842">
        <v>16155.7</v>
      </c>
      <c r="BM10" s="862">
        <f>Lines!BZ32</f>
        <v>16723</v>
      </c>
      <c r="BN10" s="863">
        <f>Lines!CA32</f>
        <v>16581</v>
      </c>
      <c r="BO10" s="863">
        <f>Lines!CB32</f>
        <v>16477</v>
      </c>
      <c r="BP10" s="863">
        <f>Lines!CC32</f>
        <v>16326</v>
      </c>
      <c r="BQ10" s="862">
        <f>Lines!CD32</f>
        <v>16149</v>
      </c>
      <c r="BR10" s="863">
        <f>Lines!CE32</f>
        <v>16021</v>
      </c>
      <c r="BS10" s="863">
        <f>Lines!CF32</f>
        <v>15850</v>
      </c>
      <c r="BT10" s="863">
        <f>Lines!CG32</f>
        <v>15713</v>
      </c>
      <c r="BU10" s="862">
        <f>Lines!CH32</f>
        <v>15532</v>
      </c>
      <c r="BV10" s="863">
        <f>Lines!CI32</f>
        <v>15395</v>
      </c>
      <c r="BW10" s="863">
        <f>Lines!CJ32</f>
        <v>15192</v>
      </c>
      <c r="BX10" s="863">
        <f>Lines!CK32</f>
        <v>14966</v>
      </c>
      <c r="BY10" s="862">
        <f>Lines!CL32</f>
        <v>13139</v>
      </c>
      <c r="BZ10" s="863">
        <f>Lines!CM32</f>
        <v>12924</v>
      </c>
      <c r="CA10" s="863">
        <f>Lines!CN32</f>
        <v>12719</v>
      </c>
      <c r="CB10" s="863">
        <f>Lines!CO32</f>
        <v>12540</v>
      </c>
      <c r="CC10" s="862"/>
      <c r="CD10" s="863"/>
      <c r="CE10" s="863"/>
      <c r="CF10" s="863"/>
      <c r="CG10" s="862"/>
      <c r="CH10" s="863"/>
      <c r="CI10" s="863"/>
      <c r="CJ10" s="863"/>
      <c r="CK10" s="862"/>
      <c r="CL10" s="863"/>
      <c r="CM10" s="863"/>
      <c r="CN10" s="863"/>
      <c r="CO10" s="862"/>
      <c r="CP10" s="863"/>
      <c r="CQ10" s="863"/>
      <c r="CR10" s="863"/>
      <c r="CS10" s="862"/>
      <c r="CT10" s="863"/>
      <c r="CU10" s="863"/>
      <c r="CV10" s="864"/>
      <c r="CW10" s="863"/>
      <c r="CX10" s="863"/>
      <c r="CY10" s="863"/>
      <c r="CZ10" s="864"/>
      <c r="DA10" s="863"/>
      <c r="DB10" s="863"/>
      <c r="DC10" s="863"/>
      <c r="DD10" s="863"/>
      <c r="DE10" s="863"/>
      <c r="DF10" s="863"/>
      <c r="DG10" s="863"/>
      <c r="DH10" s="863"/>
      <c r="DI10" s="863"/>
      <c r="DJ10" s="863"/>
      <c r="DK10" s="863"/>
      <c r="DL10" s="863"/>
    </row>
    <row r="11" spans="1:116" s="808" customFormat="1">
      <c r="A11" s="812" t="s">
        <v>729</v>
      </c>
      <c r="B11" s="812"/>
      <c r="C11" s="812"/>
      <c r="D11" s="842"/>
      <c r="E11" s="842"/>
      <c r="F11" s="842"/>
      <c r="G11" s="842"/>
      <c r="H11" s="842"/>
      <c r="I11" s="842"/>
      <c r="V11" s="863"/>
      <c r="W11" s="863"/>
      <c r="X11" s="863"/>
      <c r="Y11" s="863"/>
      <c r="Z11" s="863"/>
      <c r="AA11" s="863"/>
      <c r="AB11" s="863"/>
      <c r="AS11" s="842"/>
      <c r="AT11" s="842"/>
      <c r="AU11" s="842"/>
      <c r="AV11" s="842"/>
      <c r="AW11" s="842"/>
      <c r="AX11" s="842"/>
      <c r="AY11" s="842"/>
      <c r="AZ11" s="842"/>
      <c r="BA11" s="842"/>
      <c r="BB11" s="842"/>
      <c r="BC11" s="842"/>
      <c r="BD11" s="842"/>
      <c r="BE11" s="842"/>
      <c r="BF11" s="842"/>
      <c r="BG11" s="842"/>
      <c r="BH11" s="842"/>
      <c r="BI11" s="842"/>
      <c r="BJ11" s="842"/>
      <c r="BK11" s="842"/>
      <c r="BL11" s="842"/>
      <c r="BM11" s="862"/>
      <c r="BN11" s="863"/>
      <c r="BO11" s="863"/>
      <c r="BP11" s="863"/>
      <c r="BQ11" s="862"/>
      <c r="BR11" s="863"/>
      <c r="BS11" s="863"/>
      <c r="BT11" s="863"/>
      <c r="BU11" s="862"/>
      <c r="BV11" s="863"/>
      <c r="BW11" s="863"/>
      <c r="BX11" s="863"/>
      <c r="BY11" s="862"/>
      <c r="BZ11" s="863"/>
      <c r="CA11" s="863"/>
      <c r="CB11" s="863"/>
      <c r="CC11" s="862"/>
      <c r="CD11" s="863"/>
      <c r="CE11" s="863"/>
      <c r="CF11" s="863"/>
      <c r="CG11" s="862"/>
      <c r="CH11" s="863"/>
      <c r="CI11" s="863"/>
      <c r="CJ11" s="863"/>
      <c r="CK11" s="862"/>
      <c r="CL11" s="863"/>
      <c r="CM11" s="863"/>
      <c r="CN11" s="863"/>
      <c r="CO11" s="862"/>
      <c r="CP11" s="863"/>
      <c r="CQ11" s="863"/>
      <c r="CR11" s="863"/>
      <c r="CS11" s="862"/>
      <c r="CT11" s="863"/>
      <c r="CU11" s="863"/>
      <c r="CV11" s="864"/>
      <c r="CW11" s="863"/>
      <c r="CX11" s="863"/>
      <c r="CY11" s="863"/>
      <c r="CZ11" s="864"/>
      <c r="DA11" s="863"/>
      <c r="DB11" s="863"/>
      <c r="DC11" s="863"/>
      <c r="DD11" s="863"/>
      <c r="DE11" s="863"/>
      <c r="DF11" s="863"/>
      <c r="DG11" s="863"/>
      <c r="DH11" s="863"/>
      <c r="DI11" s="863"/>
      <c r="DJ11" s="863"/>
      <c r="DK11" s="863"/>
      <c r="DL11" s="863"/>
    </row>
    <row r="12" spans="1:116" s="816" customFormat="1">
      <c r="A12" s="820" t="s">
        <v>65</v>
      </c>
      <c r="B12" s="820"/>
      <c r="C12" s="820"/>
      <c r="D12" s="843">
        <v>20345.599999999999</v>
      </c>
      <c r="E12" s="843">
        <v>19147</v>
      </c>
      <c r="F12" s="843">
        <v>17579.8</v>
      </c>
      <c r="G12" s="843">
        <v>16529.599999999999</v>
      </c>
      <c r="H12" s="843">
        <v>16155.7</v>
      </c>
      <c r="I12" s="843">
        <f>SUM(I10:I11)</f>
        <v>16326</v>
      </c>
      <c r="J12" s="816">
        <f>SUM(J10:J11)</f>
        <v>15713</v>
      </c>
      <c r="K12" s="816">
        <f>SUM(K10:K11)</f>
        <v>14966</v>
      </c>
      <c r="L12" s="816">
        <f>SUM(L10:L11)</f>
        <v>12540</v>
      </c>
      <c r="V12" s="866"/>
      <c r="W12" s="866"/>
      <c r="X12" s="866"/>
      <c r="Y12" s="866"/>
      <c r="Z12" s="866"/>
      <c r="AA12" s="866"/>
      <c r="AB12" s="866"/>
      <c r="AS12" s="843">
        <v>21177</v>
      </c>
      <c r="AT12" s="843">
        <v>20940.8</v>
      </c>
      <c r="AU12" s="843">
        <v>20688</v>
      </c>
      <c r="AV12" s="843">
        <v>20345.599999999999</v>
      </c>
      <c r="AW12" s="843">
        <v>20017.599999999999</v>
      </c>
      <c r="AX12" s="843">
        <v>19594.400000000001</v>
      </c>
      <c r="AY12" s="843">
        <v>19365.8</v>
      </c>
      <c r="AZ12" s="843">
        <v>19147</v>
      </c>
      <c r="BA12" s="843">
        <v>18531</v>
      </c>
      <c r="BB12" s="843">
        <v>18127.400000000001</v>
      </c>
      <c r="BC12" s="843">
        <v>17879.599999999999</v>
      </c>
      <c r="BD12" s="843">
        <v>17579.8</v>
      </c>
      <c r="BE12" s="843">
        <v>17030.45</v>
      </c>
      <c r="BF12" s="843">
        <v>16782</v>
      </c>
      <c r="BG12" s="843">
        <v>16628.95</v>
      </c>
      <c r="BH12" s="843">
        <v>16529.599999999999</v>
      </c>
      <c r="BI12" s="843">
        <v>16338.9</v>
      </c>
      <c r="BJ12" s="843">
        <v>16329.7</v>
      </c>
      <c r="BK12" s="843">
        <v>16232.1</v>
      </c>
      <c r="BL12" s="843">
        <v>16155.7</v>
      </c>
      <c r="BM12" s="865">
        <f t="shared" ref="BM12:CB12" si="23">SUM(BM10:BM11)</f>
        <v>16723</v>
      </c>
      <c r="BN12" s="866">
        <f t="shared" si="23"/>
        <v>16581</v>
      </c>
      <c r="BO12" s="866">
        <f t="shared" si="23"/>
        <v>16477</v>
      </c>
      <c r="BP12" s="866">
        <f t="shared" si="23"/>
        <v>16326</v>
      </c>
      <c r="BQ12" s="865">
        <f t="shared" si="23"/>
        <v>16149</v>
      </c>
      <c r="BR12" s="866">
        <f t="shared" si="23"/>
        <v>16021</v>
      </c>
      <c r="BS12" s="866">
        <f t="shared" si="23"/>
        <v>15850</v>
      </c>
      <c r="BT12" s="866">
        <f t="shared" si="23"/>
        <v>15713</v>
      </c>
      <c r="BU12" s="865">
        <f t="shared" si="23"/>
        <v>15532</v>
      </c>
      <c r="BV12" s="866">
        <f t="shared" si="23"/>
        <v>15395</v>
      </c>
      <c r="BW12" s="866">
        <f t="shared" si="23"/>
        <v>15192</v>
      </c>
      <c r="BX12" s="866">
        <f t="shared" si="23"/>
        <v>14966</v>
      </c>
      <c r="BY12" s="865">
        <f t="shared" si="23"/>
        <v>13139</v>
      </c>
      <c r="BZ12" s="866">
        <f t="shared" si="23"/>
        <v>12924</v>
      </c>
      <c r="CA12" s="866">
        <f t="shared" si="23"/>
        <v>12719</v>
      </c>
      <c r="CB12" s="866">
        <f t="shared" si="23"/>
        <v>12540</v>
      </c>
      <c r="CC12" s="865"/>
      <c r="CD12" s="866"/>
      <c r="CE12" s="866"/>
      <c r="CF12" s="866"/>
      <c r="CG12" s="865"/>
      <c r="CH12" s="866"/>
      <c r="CI12" s="866"/>
      <c r="CJ12" s="866"/>
      <c r="CK12" s="865"/>
      <c r="CL12" s="866"/>
      <c r="CM12" s="866"/>
      <c r="CN12" s="866"/>
      <c r="CO12" s="865"/>
      <c r="CP12" s="866"/>
      <c r="CQ12" s="866"/>
      <c r="CR12" s="866"/>
      <c r="CS12" s="865"/>
      <c r="CT12" s="866"/>
      <c r="CU12" s="866"/>
      <c r="CV12" s="867"/>
      <c r="CW12" s="866"/>
      <c r="CX12" s="866"/>
      <c r="CY12" s="866"/>
      <c r="CZ12" s="867"/>
      <c r="DA12" s="866"/>
      <c r="DB12" s="866"/>
      <c r="DC12" s="866"/>
      <c r="DD12" s="866"/>
      <c r="DE12" s="866"/>
      <c r="DF12" s="866"/>
      <c r="DG12" s="866"/>
      <c r="DH12" s="866"/>
      <c r="DI12" s="866"/>
      <c r="DJ12" s="866"/>
      <c r="DK12" s="866"/>
      <c r="DL12" s="866"/>
    </row>
    <row r="13" spans="1:116" s="816" customFormat="1">
      <c r="A13" s="820" t="s">
        <v>730</v>
      </c>
      <c r="B13" s="820"/>
      <c r="C13" s="820"/>
      <c r="D13" s="843">
        <v>55964</v>
      </c>
      <c r="E13" s="843">
        <v>53217</v>
      </c>
      <c r="F13" s="843">
        <v>48610</v>
      </c>
      <c r="G13" s="843">
        <v>45292</v>
      </c>
      <c r="H13" s="843">
        <v>42893</v>
      </c>
      <c r="I13" s="843">
        <f t="shared" ref="I13:U13" si="24">SUM(I9,I12)</f>
        <v>40506.68</v>
      </c>
      <c r="J13" s="816">
        <f t="shared" si="24"/>
        <v>32145.079999999998</v>
      </c>
      <c r="K13" s="816">
        <f t="shared" si="24"/>
        <v>29356.612000000001</v>
      </c>
      <c r="L13" s="816">
        <f t="shared" si="24"/>
        <v>27505</v>
      </c>
      <c r="M13" s="816">
        <f t="shared" si="24"/>
        <v>13616</v>
      </c>
      <c r="N13" s="816">
        <f t="shared" si="24"/>
        <v>12626</v>
      </c>
      <c r="O13" s="816">
        <f t="shared" si="24"/>
        <v>11849</v>
      </c>
      <c r="P13" s="816">
        <f t="shared" si="24"/>
        <v>11229</v>
      </c>
      <c r="Q13" s="816">
        <f t="shared" si="24"/>
        <v>10615</v>
      </c>
      <c r="R13" s="816">
        <f t="shared" si="24"/>
        <v>9885</v>
      </c>
      <c r="S13" s="816">
        <f t="shared" si="24"/>
        <v>7355</v>
      </c>
      <c r="T13" s="816">
        <f t="shared" si="24"/>
        <v>6804</v>
      </c>
      <c r="U13" s="816">
        <f t="shared" si="24"/>
        <v>0</v>
      </c>
      <c r="V13" s="866">
        <f>SUM(V9,V12)</f>
        <v>0</v>
      </c>
      <c r="W13" s="866">
        <f t="shared" ref="W13:AB13" si="25">SUM(W9,W12)</f>
        <v>0</v>
      </c>
      <c r="X13" s="866">
        <f t="shared" si="25"/>
        <v>0</v>
      </c>
      <c r="Y13" s="866">
        <f t="shared" si="25"/>
        <v>0</v>
      </c>
      <c r="Z13" s="866">
        <f t="shared" si="25"/>
        <v>0</v>
      </c>
      <c r="AA13" s="866">
        <f t="shared" si="25"/>
        <v>0</v>
      </c>
      <c r="AB13" s="866">
        <f t="shared" si="25"/>
        <v>0</v>
      </c>
      <c r="AS13" s="843">
        <v>57402</v>
      </c>
      <c r="AT13" s="843">
        <v>56892</v>
      </c>
      <c r="AU13" s="843">
        <v>56493</v>
      </c>
      <c r="AV13" s="843">
        <v>55964</v>
      </c>
      <c r="AW13" s="843">
        <v>55548</v>
      </c>
      <c r="AX13" s="843">
        <v>54717</v>
      </c>
      <c r="AY13" s="843">
        <v>54030</v>
      </c>
      <c r="AZ13" s="843">
        <v>53217</v>
      </c>
      <c r="BA13" s="843">
        <v>51686</v>
      </c>
      <c r="BB13" s="843">
        <v>50559</v>
      </c>
      <c r="BC13" s="843">
        <v>49594</v>
      </c>
      <c r="BD13" s="843">
        <v>48610</v>
      </c>
      <c r="BE13" s="843">
        <v>47650</v>
      </c>
      <c r="BF13" s="843">
        <v>46617</v>
      </c>
      <c r="BG13" s="843">
        <v>45892</v>
      </c>
      <c r="BH13" s="843">
        <v>45292</v>
      </c>
      <c r="BI13" s="843">
        <v>44740</v>
      </c>
      <c r="BJ13" s="843">
        <v>44111</v>
      </c>
      <c r="BK13" s="843">
        <v>43448</v>
      </c>
      <c r="BL13" s="843">
        <v>42893</v>
      </c>
      <c r="BM13" s="865">
        <f t="shared" ref="BM13:CV13" si="26">SUM(BM9,BM12)</f>
        <v>42890.16</v>
      </c>
      <c r="BN13" s="866">
        <f t="shared" si="26"/>
        <v>42051</v>
      </c>
      <c r="BO13" s="866">
        <f t="shared" si="26"/>
        <v>41253.520000000004</v>
      </c>
      <c r="BP13" s="866">
        <f t="shared" si="26"/>
        <v>40506.68</v>
      </c>
      <c r="BQ13" s="865">
        <f t="shared" si="26"/>
        <v>39719.040000000001</v>
      </c>
      <c r="BR13" s="866">
        <f t="shared" si="26"/>
        <v>39009.879999999997</v>
      </c>
      <c r="BS13" s="866">
        <f t="shared" si="26"/>
        <v>38184.120000000003</v>
      </c>
      <c r="BT13" s="866">
        <f t="shared" si="26"/>
        <v>32145.079999999998</v>
      </c>
      <c r="BU13" s="865">
        <f t="shared" si="26"/>
        <v>31485.32</v>
      </c>
      <c r="BV13" s="866">
        <f t="shared" si="26"/>
        <v>30795.679054054053</v>
      </c>
      <c r="BW13" s="866">
        <f t="shared" si="26"/>
        <v>30037.863728813561</v>
      </c>
      <c r="BX13" s="866">
        <f t="shared" si="26"/>
        <v>29356.612000000001</v>
      </c>
      <c r="BY13" s="865">
        <f t="shared" si="26"/>
        <v>29391</v>
      </c>
      <c r="BZ13" s="866">
        <f t="shared" si="26"/>
        <v>28752</v>
      </c>
      <c r="CA13" s="866">
        <f t="shared" si="26"/>
        <v>28113</v>
      </c>
      <c r="CB13" s="866">
        <f t="shared" si="26"/>
        <v>27505</v>
      </c>
      <c r="CC13" s="865">
        <f t="shared" si="26"/>
        <v>14587</v>
      </c>
      <c r="CD13" s="866">
        <f t="shared" si="26"/>
        <v>14252</v>
      </c>
      <c r="CE13" s="866">
        <f t="shared" si="26"/>
        <v>13919</v>
      </c>
      <c r="CF13" s="866">
        <f t="shared" si="26"/>
        <v>13616</v>
      </c>
      <c r="CG13" s="865">
        <f t="shared" si="26"/>
        <v>13327</v>
      </c>
      <c r="CH13" s="866">
        <f t="shared" si="26"/>
        <v>13087</v>
      </c>
      <c r="CI13" s="866">
        <f t="shared" si="26"/>
        <v>12809</v>
      </c>
      <c r="CJ13" s="866">
        <f t="shared" si="26"/>
        <v>12626</v>
      </c>
      <c r="CK13" s="865">
        <f t="shared" si="26"/>
        <v>12421</v>
      </c>
      <c r="CL13" s="866">
        <f t="shared" si="26"/>
        <v>12222</v>
      </c>
      <c r="CM13" s="866">
        <f t="shared" si="26"/>
        <v>12005</v>
      </c>
      <c r="CN13" s="866">
        <f t="shared" si="26"/>
        <v>11849</v>
      </c>
      <c r="CO13" s="865">
        <f t="shared" si="26"/>
        <v>11725</v>
      </c>
      <c r="CP13" s="866">
        <f t="shared" si="26"/>
        <v>11583</v>
      </c>
      <c r="CQ13" s="866">
        <f t="shared" si="26"/>
        <v>11421</v>
      </c>
      <c r="CR13" s="866">
        <f t="shared" si="26"/>
        <v>11229</v>
      </c>
      <c r="CS13" s="865">
        <f t="shared" si="26"/>
        <v>11048</v>
      </c>
      <c r="CT13" s="866">
        <f t="shared" si="26"/>
        <v>10903</v>
      </c>
      <c r="CU13" s="866">
        <f t="shared" si="26"/>
        <v>10743</v>
      </c>
      <c r="CV13" s="867">
        <f t="shared" si="26"/>
        <v>10615</v>
      </c>
      <c r="CW13" s="866">
        <f t="shared" ref="CW13:DD13" si="27">SUM(CW9,CW12)</f>
        <v>10457</v>
      </c>
      <c r="CX13" s="866">
        <f t="shared" si="27"/>
        <v>10239</v>
      </c>
      <c r="CY13" s="866">
        <f t="shared" si="27"/>
        <v>10051</v>
      </c>
      <c r="CZ13" s="867">
        <f t="shared" si="27"/>
        <v>9885</v>
      </c>
      <c r="DA13" s="866">
        <f t="shared" si="27"/>
        <v>9702</v>
      </c>
      <c r="DB13" s="866">
        <f t="shared" si="27"/>
        <v>7634</v>
      </c>
      <c r="DC13" s="866">
        <f t="shared" si="27"/>
        <v>7482</v>
      </c>
      <c r="DD13" s="866">
        <f t="shared" si="27"/>
        <v>7355</v>
      </c>
      <c r="DE13" s="866">
        <f t="shared" ref="DE13:DH13" si="28">SUM(DE9,DE12)</f>
        <v>7200</v>
      </c>
      <c r="DF13" s="866">
        <f t="shared" si="28"/>
        <v>7079</v>
      </c>
      <c r="DG13" s="866">
        <f t="shared" si="28"/>
        <v>6950</v>
      </c>
      <c r="DH13" s="866">
        <f t="shared" si="28"/>
        <v>6804</v>
      </c>
      <c r="DI13" s="866">
        <f t="shared" ref="DI13:DL13" si="29">SUM(DI9,DI12)</f>
        <v>0</v>
      </c>
      <c r="DJ13" s="866">
        <f t="shared" si="29"/>
        <v>0</v>
      </c>
      <c r="DK13" s="866">
        <f t="shared" si="29"/>
        <v>0</v>
      </c>
      <c r="DL13" s="866">
        <f t="shared" si="29"/>
        <v>0</v>
      </c>
    </row>
    <row r="14" spans="1:116" s="808" customFormat="1">
      <c r="A14" s="812"/>
      <c r="B14" s="812"/>
      <c r="C14" s="812"/>
      <c r="D14" s="842"/>
      <c r="E14" s="842"/>
      <c r="F14" s="842"/>
      <c r="G14" s="842"/>
      <c r="H14" s="842"/>
      <c r="I14" s="842"/>
      <c r="V14" s="863"/>
      <c r="W14" s="863"/>
      <c r="X14" s="863"/>
      <c r="Y14" s="863"/>
      <c r="Z14" s="863"/>
      <c r="AA14" s="863"/>
      <c r="AB14" s="863"/>
      <c r="AS14" s="842"/>
      <c r="AT14" s="842"/>
      <c r="AU14" s="842"/>
      <c r="AV14" s="842"/>
      <c r="AW14" s="842"/>
      <c r="AX14" s="842"/>
      <c r="AY14" s="842"/>
      <c r="AZ14" s="842"/>
      <c r="BA14" s="842"/>
      <c r="BB14" s="842"/>
      <c r="BC14" s="842"/>
      <c r="BD14" s="842"/>
      <c r="BE14" s="842"/>
      <c r="BF14" s="842"/>
      <c r="BG14" s="842"/>
      <c r="BH14" s="842"/>
      <c r="BI14" s="842"/>
      <c r="BJ14" s="842"/>
      <c r="BK14" s="842"/>
      <c r="BL14" s="842"/>
      <c r="BM14" s="862"/>
      <c r="BN14" s="863"/>
      <c r="BO14" s="863"/>
      <c r="BP14" s="863"/>
      <c r="BQ14" s="862"/>
      <c r="BR14" s="863"/>
      <c r="BS14" s="863"/>
      <c r="BT14" s="863"/>
      <c r="BU14" s="862"/>
      <c r="BV14" s="863"/>
      <c r="BW14" s="863"/>
      <c r="BX14" s="863"/>
      <c r="BY14" s="862"/>
      <c r="BZ14" s="863"/>
      <c r="CA14" s="863"/>
      <c r="CB14" s="863"/>
      <c r="CC14" s="862"/>
      <c r="CD14" s="863"/>
      <c r="CE14" s="863"/>
      <c r="CF14" s="863"/>
      <c r="CG14" s="862"/>
      <c r="CH14" s="863"/>
      <c r="CI14" s="863"/>
      <c r="CJ14" s="863"/>
      <c r="CK14" s="862"/>
      <c r="CL14" s="863"/>
      <c r="CM14" s="863"/>
      <c r="CN14" s="863"/>
      <c r="CO14" s="862"/>
      <c r="CP14" s="863"/>
      <c r="CQ14" s="863"/>
      <c r="CR14" s="863"/>
      <c r="CS14" s="862"/>
      <c r="CT14" s="863"/>
      <c r="CU14" s="863"/>
      <c r="CV14" s="864"/>
      <c r="CW14" s="863"/>
      <c r="CX14" s="863"/>
      <c r="CY14" s="863"/>
      <c r="CZ14" s="864"/>
      <c r="DA14" s="863"/>
      <c r="DB14" s="863"/>
      <c r="DC14" s="863"/>
      <c r="DD14" s="863"/>
      <c r="DE14" s="863"/>
      <c r="DF14" s="863"/>
      <c r="DG14" s="863"/>
      <c r="DH14" s="863"/>
      <c r="DI14" s="863"/>
      <c r="DJ14" s="863"/>
      <c r="DK14" s="863"/>
      <c r="DL14" s="863"/>
    </row>
    <row r="15" spans="1:116" s="808" customFormat="1">
      <c r="A15" s="812" t="s">
        <v>731</v>
      </c>
      <c r="B15" s="812"/>
      <c r="C15" s="812"/>
      <c r="D15" s="842">
        <v>1771.2</v>
      </c>
      <c r="E15" s="842">
        <v>2548.8000000000002</v>
      </c>
      <c r="F15" s="842">
        <v>4015.2</v>
      </c>
      <c r="G15" s="842">
        <v>4473</v>
      </c>
      <c r="H15" s="842">
        <v>3745.5</v>
      </c>
      <c r="I15" s="842">
        <f>BP15</f>
        <v>2014.2000000000003</v>
      </c>
      <c r="J15" s="808">
        <f>BT15</f>
        <v>1690.1999999999998</v>
      </c>
      <c r="K15" s="808">
        <f>Lines!P43</f>
        <v>1420.2</v>
      </c>
      <c r="L15" s="808">
        <f>Lines!Q43</f>
        <v>1314</v>
      </c>
      <c r="V15" s="863"/>
      <c r="W15" s="863"/>
      <c r="X15" s="863"/>
      <c r="Y15" s="863"/>
      <c r="Z15" s="863"/>
      <c r="AA15" s="863"/>
      <c r="AB15" s="863"/>
      <c r="AS15" s="842">
        <v>1316</v>
      </c>
      <c r="AT15" s="842">
        <v>1674.4</v>
      </c>
      <c r="AU15" s="842">
        <v>1710.4</v>
      </c>
      <c r="AV15" s="842">
        <v>1771.2</v>
      </c>
      <c r="AW15" s="842">
        <v>1821.6</v>
      </c>
      <c r="AX15" s="842">
        <v>1920</v>
      </c>
      <c r="AY15" s="842">
        <v>2192.8000000000002</v>
      </c>
      <c r="AZ15" s="842">
        <v>2548.8000000000002</v>
      </c>
      <c r="BA15" s="842">
        <v>2857.6</v>
      </c>
      <c r="BB15" s="842">
        <v>3272</v>
      </c>
      <c r="BC15" s="842">
        <v>3655.2</v>
      </c>
      <c r="BD15" s="842">
        <v>4015.2</v>
      </c>
      <c r="BE15" s="842">
        <v>4145.25</v>
      </c>
      <c r="BF15" s="842">
        <v>4464</v>
      </c>
      <c r="BG15" s="842">
        <v>4542.75</v>
      </c>
      <c r="BH15" s="842">
        <v>4473</v>
      </c>
      <c r="BI15" s="842">
        <v>4333.5</v>
      </c>
      <c r="BJ15" s="842">
        <v>4168.5</v>
      </c>
      <c r="BK15" s="842">
        <v>3895.5</v>
      </c>
      <c r="BL15" s="842">
        <v>3745.5</v>
      </c>
      <c r="BM15" s="862">
        <f>Lines!BZ43</f>
        <v>2315.4</v>
      </c>
      <c r="BN15" s="863">
        <f>Lines!CA43</f>
        <v>2205</v>
      </c>
      <c r="BO15" s="863">
        <f>Lines!CB43</f>
        <v>2098.8000000000002</v>
      </c>
      <c r="BP15" s="863">
        <f>Lines!CC43</f>
        <v>2014.2000000000003</v>
      </c>
      <c r="BQ15" s="862">
        <f>Lines!CD43</f>
        <v>1932.6000000000001</v>
      </c>
      <c r="BR15" s="863">
        <f>Lines!CE43</f>
        <v>1837.1999999999998</v>
      </c>
      <c r="BS15" s="863">
        <f>Lines!CF43</f>
        <v>1762.8000000000002</v>
      </c>
      <c r="BT15" s="863">
        <f>Lines!CG43</f>
        <v>1690.1999999999998</v>
      </c>
      <c r="BU15" s="862">
        <f>Lines!CH43</f>
        <v>1615.8000000000002</v>
      </c>
      <c r="BV15" s="863">
        <f>Lines!CI43</f>
        <v>1545</v>
      </c>
      <c r="BW15" s="863">
        <f>Lines!CJ43</f>
        <v>1479.6000000000001</v>
      </c>
      <c r="BX15" s="863">
        <f>Lines!CK43</f>
        <v>1420.2</v>
      </c>
      <c r="BY15" s="862">
        <f>Lines!CL43</f>
        <v>1380</v>
      </c>
      <c r="BZ15" s="863">
        <f>Lines!CM43</f>
        <v>1350</v>
      </c>
      <c r="CA15" s="863">
        <f>Lines!CN43</f>
        <v>1332</v>
      </c>
      <c r="CB15" s="863">
        <f>Lines!CO43</f>
        <v>1314</v>
      </c>
      <c r="CC15" s="862"/>
      <c r="CD15" s="863"/>
      <c r="CE15" s="863"/>
      <c r="CF15" s="863"/>
      <c r="CG15" s="862"/>
      <c r="CH15" s="863"/>
      <c r="CI15" s="863"/>
      <c r="CJ15" s="863"/>
      <c r="CK15" s="862"/>
      <c r="CL15" s="863"/>
      <c r="CM15" s="863"/>
      <c r="CN15" s="863"/>
      <c r="CO15" s="862"/>
      <c r="CP15" s="863"/>
      <c r="CQ15" s="863"/>
      <c r="CR15" s="863"/>
      <c r="CS15" s="862"/>
      <c r="CT15" s="863"/>
      <c r="CU15" s="863"/>
      <c r="CV15" s="864"/>
      <c r="CW15" s="863"/>
      <c r="CX15" s="863"/>
      <c r="CY15" s="863"/>
      <c r="CZ15" s="864"/>
      <c r="DA15" s="863"/>
      <c r="DB15" s="863"/>
      <c r="DC15" s="863"/>
      <c r="DD15" s="863"/>
      <c r="DE15" s="863"/>
      <c r="DF15" s="863"/>
      <c r="DG15" s="863"/>
      <c r="DH15" s="863"/>
      <c r="DI15" s="863"/>
      <c r="DJ15" s="863"/>
      <c r="DK15" s="863"/>
      <c r="DL15" s="863"/>
    </row>
    <row r="16" spans="1:116" s="808" customFormat="1">
      <c r="A16" s="812" t="s">
        <v>732</v>
      </c>
      <c r="B16" s="812"/>
      <c r="C16" s="812"/>
      <c r="D16" s="842">
        <v>442.8</v>
      </c>
      <c r="E16" s="842">
        <v>637.20000000000005</v>
      </c>
      <c r="F16" s="842">
        <v>1003.8</v>
      </c>
      <c r="G16" s="842">
        <v>1491</v>
      </c>
      <c r="H16" s="842">
        <v>1248.5</v>
      </c>
      <c r="I16" s="842">
        <f>BP16</f>
        <v>671.40000000000009</v>
      </c>
      <c r="J16" s="808">
        <f>BT16</f>
        <v>563.4</v>
      </c>
      <c r="K16" s="808">
        <f>Lines!P46</f>
        <v>473.40000000000003</v>
      </c>
      <c r="L16" s="808">
        <f>Lines!Q46</f>
        <v>438</v>
      </c>
      <c r="V16" s="863"/>
      <c r="W16" s="863"/>
      <c r="X16" s="863"/>
      <c r="Y16" s="863"/>
      <c r="Z16" s="863"/>
      <c r="AA16" s="863"/>
      <c r="AB16" s="863"/>
      <c r="AS16" s="842">
        <v>329</v>
      </c>
      <c r="AT16" s="842">
        <v>418.6</v>
      </c>
      <c r="AU16" s="842">
        <v>427.6</v>
      </c>
      <c r="AV16" s="842">
        <v>442.8</v>
      </c>
      <c r="AW16" s="842">
        <v>455.4</v>
      </c>
      <c r="AX16" s="842">
        <v>480</v>
      </c>
      <c r="AY16" s="842">
        <v>548.20000000000005</v>
      </c>
      <c r="AZ16" s="842">
        <v>637.20000000000005</v>
      </c>
      <c r="BA16" s="842">
        <v>714.4</v>
      </c>
      <c r="BB16" s="842">
        <v>818</v>
      </c>
      <c r="BC16" s="842">
        <v>913.8</v>
      </c>
      <c r="BD16" s="842">
        <v>1003.8</v>
      </c>
      <c r="BE16" s="842">
        <v>1381.75</v>
      </c>
      <c r="BF16" s="842">
        <v>1488</v>
      </c>
      <c r="BG16" s="842">
        <v>1514.25</v>
      </c>
      <c r="BH16" s="842">
        <v>1491</v>
      </c>
      <c r="BI16" s="842">
        <v>1444.5</v>
      </c>
      <c r="BJ16" s="842">
        <v>1389.5</v>
      </c>
      <c r="BK16" s="842">
        <v>1298.5</v>
      </c>
      <c r="BL16" s="842">
        <v>1248.5</v>
      </c>
      <c r="BM16" s="862">
        <f>Lines!BZ46</f>
        <v>771.80000000000007</v>
      </c>
      <c r="BN16" s="863">
        <f>Lines!CA46</f>
        <v>735</v>
      </c>
      <c r="BO16" s="863">
        <f>Lines!CB46</f>
        <v>699.6</v>
      </c>
      <c r="BP16" s="863">
        <f>Lines!CC46</f>
        <v>671.40000000000009</v>
      </c>
      <c r="BQ16" s="862">
        <f>Lines!CD46</f>
        <v>644.20000000000005</v>
      </c>
      <c r="BR16" s="863">
        <f>Lines!CE46</f>
        <v>612.4</v>
      </c>
      <c r="BS16" s="863">
        <f>Lines!CF46</f>
        <v>587.6</v>
      </c>
      <c r="BT16" s="863">
        <f>Lines!CG46</f>
        <v>563.4</v>
      </c>
      <c r="BU16" s="862">
        <f>Lines!CH46</f>
        <v>538.6</v>
      </c>
      <c r="BV16" s="863">
        <f>Lines!CI46</f>
        <v>515</v>
      </c>
      <c r="BW16" s="863">
        <f>Lines!CJ46</f>
        <v>493.20000000000005</v>
      </c>
      <c r="BX16" s="863">
        <f>Lines!CK46</f>
        <v>473.40000000000003</v>
      </c>
      <c r="BY16" s="862">
        <f>Lines!CL46</f>
        <v>460</v>
      </c>
      <c r="BZ16" s="863">
        <f>Lines!CM46</f>
        <v>450</v>
      </c>
      <c r="CA16" s="863">
        <f>Lines!CN46</f>
        <v>444</v>
      </c>
      <c r="CB16" s="863">
        <f>Lines!CO46</f>
        <v>438</v>
      </c>
      <c r="CC16" s="862"/>
      <c r="CD16" s="863"/>
      <c r="CE16" s="863"/>
      <c r="CF16" s="863"/>
      <c r="CG16" s="862"/>
      <c r="CH16" s="863"/>
      <c r="CI16" s="863"/>
      <c r="CJ16" s="863"/>
      <c r="CK16" s="862"/>
      <c r="CL16" s="863"/>
      <c r="CM16" s="863"/>
      <c r="CN16" s="863"/>
      <c r="CO16" s="862"/>
      <c r="CP16" s="863"/>
      <c r="CQ16" s="863"/>
      <c r="CR16" s="863"/>
      <c r="CS16" s="862"/>
      <c r="CT16" s="863"/>
      <c r="CU16" s="863"/>
      <c r="CV16" s="864"/>
      <c r="CW16" s="863"/>
      <c r="CX16" s="863"/>
      <c r="CY16" s="863"/>
      <c r="CZ16" s="864"/>
      <c r="DA16" s="863"/>
      <c r="DB16" s="863"/>
      <c r="DC16" s="863"/>
      <c r="DD16" s="863"/>
      <c r="DE16" s="863"/>
      <c r="DF16" s="863"/>
      <c r="DG16" s="863"/>
      <c r="DH16" s="863"/>
      <c r="DI16" s="863"/>
      <c r="DJ16" s="863"/>
      <c r="DK16" s="863"/>
      <c r="DL16" s="863"/>
    </row>
    <row r="17" spans="1:116" s="816" customFormat="1">
      <c r="A17" s="820" t="s">
        <v>442</v>
      </c>
      <c r="B17" s="820"/>
      <c r="C17" s="820"/>
      <c r="D17" s="843">
        <v>2214</v>
      </c>
      <c r="E17" s="843">
        <v>3186</v>
      </c>
      <c r="F17" s="843">
        <v>5019</v>
      </c>
      <c r="G17" s="843">
        <v>5964</v>
      </c>
      <c r="H17" s="843">
        <v>4994</v>
      </c>
      <c r="I17" s="843">
        <f>SUM(I15:I16)</f>
        <v>2685.6000000000004</v>
      </c>
      <c r="J17" s="816">
        <f>SUM(J15:J16)</f>
        <v>2253.6</v>
      </c>
      <c r="K17" s="816">
        <f>SUM(K15:K16)</f>
        <v>1893.6000000000001</v>
      </c>
      <c r="L17" s="816">
        <f>SUM(L15:L16)</f>
        <v>1752</v>
      </c>
      <c r="V17" s="866"/>
      <c r="W17" s="866"/>
      <c r="X17" s="866"/>
      <c r="Y17" s="866"/>
      <c r="Z17" s="866"/>
      <c r="AA17" s="866"/>
      <c r="AB17" s="866"/>
      <c r="AS17" s="843">
        <v>1645</v>
      </c>
      <c r="AT17" s="843">
        <v>2093</v>
      </c>
      <c r="AU17" s="843">
        <v>2138</v>
      </c>
      <c r="AV17" s="843">
        <v>2214</v>
      </c>
      <c r="AW17" s="843">
        <v>2277</v>
      </c>
      <c r="AX17" s="843">
        <v>2400</v>
      </c>
      <c r="AY17" s="843">
        <v>2741</v>
      </c>
      <c r="AZ17" s="843">
        <v>3186</v>
      </c>
      <c r="BA17" s="843">
        <v>3572</v>
      </c>
      <c r="BB17" s="843">
        <v>4090</v>
      </c>
      <c r="BC17" s="843">
        <v>4569</v>
      </c>
      <c r="BD17" s="843">
        <v>5019</v>
      </c>
      <c r="BE17" s="843">
        <v>5527</v>
      </c>
      <c r="BF17" s="843">
        <v>5952</v>
      </c>
      <c r="BG17" s="843">
        <v>6057</v>
      </c>
      <c r="BH17" s="843">
        <v>5964</v>
      </c>
      <c r="BI17" s="843">
        <v>5778</v>
      </c>
      <c r="BJ17" s="843">
        <v>5558</v>
      </c>
      <c r="BK17" s="843">
        <v>5194</v>
      </c>
      <c r="BL17" s="843">
        <v>4994</v>
      </c>
      <c r="BM17" s="865">
        <f t="shared" ref="BM17:CB17" si="30">BM15+BM16</f>
        <v>3087.2000000000003</v>
      </c>
      <c r="BN17" s="866">
        <f t="shared" si="30"/>
        <v>2940</v>
      </c>
      <c r="BO17" s="866">
        <f t="shared" si="30"/>
        <v>2798.4</v>
      </c>
      <c r="BP17" s="866">
        <f t="shared" si="30"/>
        <v>2685.6000000000004</v>
      </c>
      <c r="BQ17" s="865">
        <f t="shared" si="30"/>
        <v>2576.8000000000002</v>
      </c>
      <c r="BR17" s="866">
        <f t="shared" si="30"/>
        <v>2449.6</v>
      </c>
      <c r="BS17" s="866">
        <f t="shared" si="30"/>
        <v>2350.4</v>
      </c>
      <c r="BT17" s="866">
        <f t="shared" si="30"/>
        <v>2253.6</v>
      </c>
      <c r="BU17" s="865">
        <f t="shared" si="30"/>
        <v>2154.4</v>
      </c>
      <c r="BV17" s="866">
        <f t="shared" si="30"/>
        <v>2060</v>
      </c>
      <c r="BW17" s="866">
        <f t="shared" si="30"/>
        <v>1972.8000000000002</v>
      </c>
      <c r="BX17" s="866">
        <f t="shared" si="30"/>
        <v>1893.6000000000001</v>
      </c>
      <c r="BY17" s="865">
        <f t="shared" si="30"/>
        <v>1840</v>
      </c>
      <c r="BZ17" s="866">
        <f t="shared" si="30"/>
        <v>1800</v>
      </c>
      <c r="CA17" s="866">
        <f t="shared" si="30"/>
        <v>1776</v>
      </c>
      <c r="CB17" s="866">
        <f t="shared" si="30"/>
        <v>1752</v>
      </c>
      <c r="CC17" s="865"/>
      <c r="CD17" s="866"/>
      <c r="CE17" s="866"/>
      <c r="CF17" s="866"/>
      <c r="CG17" s="865"/>
      <c r="CH17" s="866"/>
      <c r="CI17" s="866"/>
      <c r="CJ17" s="866"/>
      <c r="CK17" s="865"/>
      <c r="CL17" s="866"/>
      <c r="CM17" s="866"/>
      <c r="CN17" s="866"/>
      <c r="CO17" s="865"/>
      <c r="CP17" s="866"/>
      <c r="CQ17" s="866"/>
      <c r="CR17" s="866"/>
      <c r="CS17" s="865"/>
      <c r="CT17" s="866"/>
      <c r="CU17" s="866"/>
      <c r="CV17" s="867"/>
      <c r="CW17" s="866"/>
      <c r="CX17" s="866"/>
      <c r="CY17" s="866"/>
      <c r="CZ17" s="867"/>
      <c r="DA17" s="866"/>
      <c r="DB17" s="866"/>
      <c r="DC17" s="866"/>
      <c r="DD17" s="866"/>
      <c r="DE17" s="866"/>
      <c r="DF17" s="866"/>
      <c r="DG17" s="866"/>
      <c r="DH17" s="866"/>
      <c r="DI17" s="866"/>
      <c r="DJ17" s="866"/>
      <c r="DK17" s="866"/>
      <c r="DL17" s="866"/>
    </row>
    <row r="18" spans="1:116" s="816" customFormat="1">
      <c r="A18" s="820" t="s">
        <v>435</v>
      </c>
      <c r="B18" s="820"/>
      <c r="C18" s="820"/>
      <c r="D18" s="843">
        <v>1433</v>
      </c>
      <c r="E18" s="843">
        <v>1049</v>
      </c>
      <c r="F18" s="843">
        <v>742</v>
      </c>
      <c r="G18" s="843">
        <v>612</v>
      </c>
      <c r="H18" s="843">
        <v>524</v>
      </c>
      <c r="I18" s="843">
        <f>BP18</f>
        <v>671.39999999999964</v>
      </c>
      <c r="J18" s="816">
        <f>BT18</f>
        <v>563.40000000000009</v>
      </c>
      <c r="K18" s="816">
        <f>Lines!P40</f>
        <v>473.39999999999986</v>
      </c>
      <c r="L18" s="816">
        <f>Lines!Q40</f>
        <v>438</v>
      </c>
      <c r="V18" s="866"/>
      <c r="W18" s="866"/>
      <c r="X18" s="866"/>
      <c r="Y18" s="866"/>
      <c r="Z18" s="866"/>
      <c r="AA18" s="866"/>
      <c r="AB18" s="866"/>
      <c r="AS18" s="843">
        <v>1970</v>
      </c>
      <c r="AT18" s="843">
        <v>1613</v>
      </c>
      <c r="AU18" s="843">
        <v>1532</v>
      </c>
      <c r="AV18" s="843">
        <v>1433</v>
      </c>
      <c r="AW18" s="843">
        <v>1360</v>
      </c>
      <c r="AX18" s="843">
        <v>1278</v>
      </c>
      <c r="AY18" s="843">
        <v>1150</v>
      </c>
      <c r="AZ18" s="843">
        <v>1049</v>
      </c>
      <c r="BA18" s="843">
        <v>998</v>
      </c>
      <c r="BB18" s="843">
        <v>908</v>
      </c>
      <c r="BC18" s="843">
        <v>808</v>
      </c>
      <c r="BD18" s="843">
        <v>742</v>
      </c>
      <c r="BE18" s="843">
        <v>704</v>
      </c>
      <c r="BF18" s="843">
        <v>645</v>
      </c>
      <c r="BG18" s="843">
        <v>604</v>
      </c>
      <c r="BH18" s="843">
        <v>612</v>
      </c>
      <c r="BI18" s="843">
        <v>598</v>
      </c>
      <c r="BJ18" s="843">
        <v>614</v>
      </c>
      <c r="BK18" s="843">
        <v>647</v>
      </c>
      <c r="BL18" s="843">
        <v>524</v>
      </c>
      <c r="BM18" s="865">
        <f>Lines!BZ40</f>
        <v>771.79999999999973</v>
      </c>
      <c r="BN18" s="866">
        <f>Lines!CA40</f>
        <v>735</v>
      </c>
      <c r="BO18" s="866">
        <f>Lines!CB40</f>
        <v>699.59999999999991</v>
      </c>
      <c r="BP18" s="866">
        <f>Lines!CC40</f>
        <v>671.39999999999964</v>
      </c>
      <c r="BQ18" s="865">
        <f>Lines!CD40</f>
        <v>644.19999999999982</v>
      </c>
      <c r="BR18" s="866">
        <f>Lines!CE40</f>
        <v>612.40000000000009</v>
      </c>
      <c r="BS18" s="866">
        <f>Lines!CF40</f>
        <v>587.59999999999991</v>
      </c>
      <c r="BT18" s="866">
        <f>Lines!CG40</f>
        <v>563.40000000000009</v>
      </c>
      <c r="BU18" s="865">
        <f>Lines!CH40</f>
        <v>538.59999999999991</v>
      </c>
      <c r="BV18" s="866">
        <f>Lines!CI40</f>
        <v>515</v>
      </c>
      <c r="BW18" s="866">
        <f>Lines!CJ40</f>
        <v>493.19999999999982</v>
      </c>
      <c r="BX18" s="866">
        <f>Lines!CK40</f>
        <v>473.39999999999986</v>
      </c>
      <c r="BY18" s="865">
        <f>Lines!CL40</f>
        <v>460</v>
      </c>
      <c r="BZ18" s="866">
        <f>Lines!CM40</f>
        <v>450</v>
      </c>
      <c r="CA18" s="866">
        <f>Lines!CN40</f>
        <v>444</v>
      </c>
      <c r="CB18" s="866">
        <f>Lines!CO40</f>
        <v>438</v>
      </c>
      <c r="CC18" s="865"/>
      <c r="CD18" s="866"/>
      <c r="CE18" s="866"/>
      <c r="CF18" s="866"/>
      <c r="CG18" s="865"/>
      <c r="CH18" s="866"/>
      <c r="CI18" s="866"/>
      <c r="CJ18" s="866"/>
      <c r="CK18" s="865"/>
      <c r="CL18" s="866"/>
      <c r="CM18" s="866"/>
      <c r="CN18" s="866"/>
      <c r="CO18" s="865"/>
      <c r="CP18" s="866"/>
      <c r="CQ18" s="866"/>
      <c r="CR18" s="866"/>
      <c r="CS18" s="865"/>
      <c r="CT18" s="866"/>
      <c r="CU18" s="866"/>
      <c r="CV18" s="867"/>
      <c r="CW18" s="866"/>
      <c r="CX18" s="866"/>
      <c r="CY18" s="866"/>
      <c r="CZ18" s="867"/>
      <c r="DA18" s="866"/>
      <c r="DB18" s="866"/>
      <c r="DC18" s="866"/>
      <c r="DD18" s="866"/>
      <c r="DE18" s="866"/>
      <c r="DF18" s="866"/>
      <c r="DG18" s="866"/>
      <c r="DH18" s="866"/>
      <c r="DI18" s="866"/>
      <c r="DJ18" s="866"/>
      <c r="DK18" s="866"/>
      <c r="DL18" s="866"/>
    </row>
    <row r="19" spans="1:116" s="816" customFormat="1">
      <c r="A19" s="820" t="s">
        <v>733</v>
      </c>
      <c r="B19" s="820"/>
      <c r="C19" s="820"/>
      <c r="D19" s="843">
        <v>3647</v>
      </c>
      <c r="E19" s="843">
        <v>4235</v>
      </c>
      <c r="F19" s="843">
        <v>5761</v>
      </c>
      <c r="G19" s="843">
        <v>6576</v>
      </c>
      <c r="H19" s="843">
        <v>5518</v>
      </c>
      <c r="I19" s="843">
        <f>SUM(I17:I18)</f>
        <v>3357</v>
      </c>
      <c r="J19" s="816">
        <f>SUM(J17:J18)</f>
        <v>2817</v>
      </c>
      <c r="K19" s="816">
        <f>SUM(K17:K18)</f>
        <v>2367</v>
      </c>
      <c r="L19" s="816">
        <f>SUM(L17:L18)</f>
        <v>2190</v>
      </c>
      <c r="V19" s="866"/>
      <c r="W19" s="866"/>
      <c r="X19" s="866"/>
      <c r="Y19" s="866"/>
      <c r="Z19" s="866"/>
      <c r="AA19" s="866"/>
      <c r="AB19" s="866"/>
      <c r="AS19" s="843">
        <v>3615</v>
      </c>
      <c r="AT19" s="843">
        <v>3706</v>
      </c>
      <c r="AU19" s="843">
        <v>3670</v>
      </c>
      <c r="AV19" s="843">
        <v>3647</v>
      </c>
      <c r="AW19" s="843">
        <v>3637</v>
      </c>
      <c r="AX19" s="843">
        <v>3678</v>
      </c>
      <c r="AY19" s="843">
        <v>3891</v>
      </c>
      <c r="AZ19" s="843">
        <v>4235</v>
      </c>
      <c r="BA19" s="843">
        <v>4570</v>
      </c>
      <c r="BB19" s="843">
        <v>4998</v>
      </c>
      <c r="BC19" s="843">
        <v>5377</v>
      </c>
      <c r="BD19" s="843">
        <v>5761</v>
      </c>
      <c r="BE19" s="843">
        <v>6231</v>
      </c>
      <c r="BF19" s="843">
        <v>6597</v>
      </c>
      <c r="BG19" s="843">
        <v>6661</v>
      </c>
      <c r="BH19" s="843">
        <v>6576</v>
      </c>
      <c r="BI19" s="843">
        <v>6376</v>
      </c>
      <c r="BJ19" s="843">
        <v>6172</v>
      </c>
      <c r="BK19" s="843">
        <v>5841</v>
      </c>
      <c r="BL19" s="843">
        <v>5518</v>
      </c>
      <c r="BM19" s="865">
        <f t="shared" ref="BM19:CB19" si="31">SUM(BM17:BM18)</f>
        <v>3859</v>
      </c>
      <c r="BN19" s="866">
        <f t="shared" si="31"/>
        <v>3675</v>
      </c>
      <c r="BO19" s="866">
        <f t="shared" si="31"/>
        <v>3498</v>
      </c>
      <c r="BP19" s="866">
        <f t="shared" si="31"/>
        <v>3357</v>
      </c>
      <c r="BQ19" s="865">
        <f t="shared" si="31"/>
        <v>3221</v>
      </c>
      <c r="BR19" s="866">
        <f t="shared" si="31"/>
        <v>3062</v>
      </c>
      <c r="BS19" s="866">
        <f t="shared" si="31"/>
        <v>2938</v>
      </c>
      <c r="BT19" s="866">
        <f t="shared" si="31"/>
        <v>2817</v>
      </c>
      <c r="BU19" s="865">
        <f t="shared" si="31"/>
        <v>2693</v>
      </c>
      <c r="BV19" s="866">
        <f t="shared" si="31"/>
        <v>2575</v>
      </c>
      <c r="BW19" s="866">
        <f t="shared" si="31"/>
        <v>2466</v>
      </c>
      <c r="BX19" s="866">
        <f t="shared" si="31"/>
        <v>2367</v>
      </c>
      <c r="BY19" s="865">
        <f t="shared" si="31"/>
        <v>2300</v>
      </c>
      <c r="BZ19" s="866">
        <f t="shared" si="31"/>
        <v>2250</v>
      </c>
      <c r="CA19" s="866">
        <f t="shared" si="31"/>
        <v>2220</v>
      </c>
      <c r="CB19" s="866">
        <f t="shared" si="31"/>
        <v>2190</v>
      </c>
      <c r="CC19" s="865"/>
      <c r="CD19" s="866"/>
      <c r="CE19" s="866"/>
      <c r="CF19" s="866"/>
      <c r="CG19" s="865"/>
      <c r="CH19" s="866"/>
      <c r="CI19" s="866"/>
      <c r="CJ19" s="866"/>
      <c r="CK19" s="865"/>
      <c r="CL19" s="866"/>
      <c r="CM19" s="866"/>
      <c r="CN19" s="866"/>
      <c r="CO19" s="865"/>
      <c r="CP19" s="866"/>
      <c r="CQ19" s="866"/>
      <c r="CR19" s="866"/>
      <c r="CS19" s="865"/>
      <c r="CT19" s="866"/>
      <c r="CU19" s="866"/>
      <c r="CV19" s="867"/>
      <c r="CW19" s="866"/>
      <c r="CX19" s="866"/>
      <c r="CY19" s="866"/>
      <c r="CZ19" s="867"/>
      <c r="DA19" s="866"/>
      <c r="DB19" s="866"/>
      <c r="DC19" s="866"/>
      <c r="DD19" s="866"/>
      <c r="DE19" s="866"/>
      <c r="DF19" s="866"/>
      <c r="DG19" s="866"/>
      <c r="DH19" s="866"/>
      <c r="DI19" s="866"/>
      <c r="DJ19" s="866"/>
      <c r="DK19" s="866"/>
      <c r="DL19" s="866"/>
    </row>
    <row r="20" spans="1:116" s="808" customFormat="1">
      <c r="A20" s="812"/>
      <c r="B20" s="812"/>
      <c r="C20" s="812"/>
      <c r="D20" s="842"/>
      <c r="E20" s="842"/>
      <c r="F20" s="842"/>
      <c r="G20" s="842"/>
      <c r="H20" s="842"/>
      <c r="I20" s="842"/>
      <c r="V20" s="863"/>
      <c r="W20" s="863"/>
      <c r="X20" s="863"/>
      <c r="Y20" s="863"/>
      <c r="Z20" s="863"/>
      <c r="AA20" s="863"/>
      <c r="AB20" s="863"/>
      <c r="AS20" s="842"/>
      <c r="AT20" s="842"/>
      <c r="AU20" s="842"/>
      <c r="AV20" s="842"/>
      <c r="AW20" s="842"/>
      <c r="AX20" s="842"/>
      <c r="AY20" s="842"/>
      <c r="AZ20" s="842"/>
      <c r="BA20" s="842"/>
      <c r="BB20" s="842"/>
      <c r="BC20" s="842"/>
      <c r="BD20" s="842"/>
      <c r="BE20" s="842"/>
      <c r="BF20" s="842"/>
      <c r="BG20" s="842"/>
      <c r="BH20" s="842"/>
      <c r="BI20" s="842"/>
      <c r="BJ20" s="842"/>
      <c r="BK20" s="842"/>
      <c r="BL20" s="842"/>
      <c r="BM20" s="862"/>
      <c r="BN20" s="863"/>
      <c r="BO20" s="863"/>
      <c r="BP20" s="863"/>
      <c r="BQ20" s="862"/>
      <c r="BR20" s="863"/>
      <c r="BS20" s="863"/>
      <c r="BT20" s="863"/>
      <c r="BU20" s="862"/>
      <c r="BV20" s="863"/>
      <c r="BW20" s="863"/>
      <c r="BX20" s="863"/>
      <c r="BY20" s="862"/>
      <c r="BZ20" s="863"/>
      <c r="CA20" s="863"/>
      <c r="CB20" s="863"/>
      <c r="CC20" s="862"/>
      <c r="CD20" s="863"/>
      <c r="CE20" s="863"/>
      <c r="CF20" s="863"/>
      <c r="CG20" s="862"/>
      <c r="CH20" s="863"/>
      <c r="CI20" s="863"/>
      <c r="CJ20" s="863"/>
      <c r="CK20" s="862"/>
      <c r="CL20" s="863"/>
      <c r="CM20" s="863"/>
      <c r="CN20" s="863"/>
      <c r="CO20" s="862"/>
      <c r="CP20" s="863"/>
      <c r="CQ20" s="863"/>
      <c r="CR20" s="863"/>
      <c r="CS20" s="862"/>
      <c r="CT20" s="863"/>
      <c r="CU20" s="863"/>
      <c r="CV20" s="864"/>
      <c r="CW20" s="863"/>
      <c r="CX20" s="863"/>
      <c r="CY20" s="863"/>
      <c r="CZ20" s="864"/>
      <c r="DA20" s="863"/>
      <c r="DB20" s="863"/>
      <c r="DC20" s="863"/>
      <c r="DD20" s="863"/>
      <c r="DE20" s="863"/>
      <c r="DF20" s="863"/>
      <c r="DG20" s="863"/>
      <c r="DH20" s="863"/>
      <c r="DI20" s="863"/>
      <c r="DJ20" s="863"/>
      <c r="DK20" s="863"/>
      <c r="DL20" s="863"/>
    </row>
    <row r="21" spans="1:116" s="816" customFormat="1">
      <c r="A21" s="820" t="s">
        <v>734</v>
      </c>
      <c r="B21" s="820"/>
      <c r="C21" s="820"/>
      <c r="D21" s="843">
        <v>591</v>
      </c>
      <c r="E21" s="843">
        <v>522</v>
      </c>
      <c r="F21" s="843">
        <v>455</v>
      </c>
      <c r="G21" s="843">
        <v>421</v>
      </c>
      <c r="H21" s="843">
        <v>392</v>
      </c>
      <c r="I21" s="843">
        <f>BP21</f>
        <v>335</v>
      </c>
      <c r="J21" s="816">
        <f>BT21</f>
        <v>290</v>
      </c>
      <c r="K21" s="816">
        <f>Lines!P61</f>
        <v>239</v>
      </c>
      <c r="L21" s="816">
        <f>Lines!Q61</f>
        <v>165</v>
      </c>
      <c r="V21" s="866"/>
      <c r="W21" s="866"/>
      <c r="X21" s="866"/>
      <c r="Y21" s="866"/>
      <c r="Z21" s="866"/>
      <c r="AA21" s="866"/>
      <c r="AB21" s="866"/>
      <c r="AS21" s="843">
        <v>633</v>
      </c>
      <c r="AT21" s="843">
        <v>625</v>
      </c>
      <c r="AU21" s="843">
        <v>607</v>
      </c>
      <c r="AV21" s="843">
        <v>591</v>
      </c>
      <c r="AW21" s="843">
        <v>576</v>
      </c>
      <c r="AX21" s="843">
        <v>557</v>
      </c>
      <c r="AY21" s="843">
        <v>535</v>
      </c>
      <c r="AZ21" s="843">
        <v>522</v>
      </c>
      <c r="BA21" s="843">
        <v>491</v>
      </c>
      <c r="BB21" s="843">
        <v>480</v>
      </c>
      <c r="BC21" s="843">
        <v>466</v>
      </c>
      <c r="BD21" s="843">
        <v>455</v>
      </c>
      <c r="BE21" s="843">
        <v>443</v>
      </c>
      <c r="BF21" s="843">
        <v>437</v>
      </c>
      <c r="BG21" s="843">
        <v>430</v>
      </c>
      <c r="BH21" s="843">
        <v>421</v>
      </c>
      <c r="BI21" s="843">
        <v>415</v>
      </c>
      <c r="BJ21" s="843">
        <v>408</v>
      </c>
      <c r="BK21" s="843">
        <v>400</v>
      </c>
      <c r="BL21" s="843">
        <v>392</v>
      </c>
      <c r="BM21" s="865">
        <f>Lines!BZ61</f>
        <v>375</v>
      </c>
      <c r="BN21" s="866">
        <f>Lines!CA61</f>
        <v>356</v>
      </c>
      <c r="BO21" s="866">
        <f>Lines!CB61</f>
        <v>345</v>
      </c>
      <c r="BP21" s="866">
        <f>Lines!CC61</f>
        <v>335</v>
      </c>
      <c r="BQ21" s="865">
        <f>Lines!CD61</f>
        <v>327</v>
      </c>
      <c r="BR21" s="866">
        <f>Lines!CE61</f>
        <v>315</v>
      </c>
      <c r="BS21" s="866">
        <f>Lines!CF61</f>
        <v>302</v>
      </c>
      <c r="BT21" s="866">
        <f>Lines!CG61</f>
        <v>290</v>
      </c>
      <c r="BU21" s="865">
        <f>Lines!CH61</f>
        <v>283</v>
      </c>
      <c r="BV21" s="866">
        <f>Lines!CI61</f>
        <v>273</v>
      </c>
      <c r="BW21" s="866">
        <f>Lines!CJ61</f>
        <v>254</v>
      </c>
      <c r="BX21" s="866">
        <f>Lines!CK61</f>
        <v>239</v>
      </c>
      <c r="BY21" s="865">
        <f>Lines!CL61</f>
        <v>207</v>
      </c>
      <c r="BZ21" s="866">
        <f>Lines!CM61</f>
        <v>196</v>
      </c>
      <c r="CA21" s="866">
        <f>Lines!CN61</f>
        <v>179</v>
      </c>
      <c r="CB21" s="866">
        <f>Lines!CO61</f>
        <v>165</v>
      </c>
      <c r="CC21" s="865"/>
      <c r="CD21" s="866"/>
      <c r="CE21" s="866"/>
      <c r="CF21" s="866"/>
      <c r="CG21" s="865"/>
      <c r="CH21" s="866"/>
      <c r="CI21" s="866"/>
      <c r="CJ21" s="866"/>
      <c r="CK21" s="865"/>
      <c r="CL21" s="866"/>
      <c r="CM21" s="866"/>
      <c r="CN21" s="866"/>
      <c r="CO21" s="865"/>
      <c r="CP21" s="866"/>
      <c r="CQ21" s="866"/>
      <c r="CR21" s="866"/>
      <c r="CS21" s="865"/>
      <c r="CT21" s="866"/>
      <c r="CU21" s="866"/>
      <c r="CV21" s="867"/>
      <c r="CW21" s="866"/>
      <c r="CX21" s="866"/>
      <c r="CY21" s="866"/>
      <c r="CZ21" s="867"/>
      <c r="DA21" s="866"/>
      <c r="DB21" s="866"/>
      <c r="DC21" s="866"/>
      <c r="DD21" s="866"/>
      <c r="DE21" s="866"/>
      <c r="DF21" s="866"/>
      <c r="DG21" s="866"/>
      <c r="DH21" s="866"/>
      <c r="DI21" s="866"/>
      <c r="DJ21" s="866"/>
      <c r="DK21" s="866"/>
      <c r="DL21" s="866"/>
    </row>
    <row r="22" spans="1:116" s="816" customFormat="1">
      <c r="A22" s="820" t="s">
        <v>450</v>
      </c>
      <c r="B22" s="820"/>
      <c r="C22" s="820"/>
      <c r="D22" s="843">
        <v>60202</v>
      </c>
      <c r="E22" s="843">
        <v>57974</v>
      </c>
      <c r="F22" s="843">
        <v>54826</v>
      </c>
      <c r="G22" s="843">
        <v>52289</v>
      </c>
      <c r="H22" s="843">
        <v>48803</v>
      </c>
      <c r="I22" s="843">
        <f>BP22</f>
        <v>44198.68</v>
      </c>
      <c r="J22" s="816">
        <f>BT22</f>
        <v>35252.080000000002</v>
      </c>
      <c r="K22" s="816">
        <f t="shared" ref="K22:U22" si="32">SUM(K13,K19,K21)</f>
        <v>31962.612000000001</v>
      </c>
      <c r="L22" s="816">
        <f t="shared" si="32"/>
        <v>29860</v>
      </c>
      <c r="M22" s="816">
        <f t="shared" si="32"/>
        <v>13616</v>
      </c>
      <c r="N22" s="816">
        <f t="shared" si="32"/>
        <v>12626</v>
      </c>
      <c r="O22" s="816">
        <f t="shared" si="32"/>
        <v>11849</v>
      </c>
      <c r="P22" s="816">
        <f t="shared" si="32"/>
        <v>11229</v>
      </c>
      <c r="Q22" s="816">
        <f t="shared" si="32"/>
        <v>10615</v>
      </c>
      <c r="R22" s="816">
        <f t="shared" si="32"/>
        <v>9885</v>
      </c>
      <c r="S22" s="816">
        <f t="shared" si="32"/>
        <v>7355</v>
      </c>
      <c r="T22" s="816">
        <f t="shared" si="32"/>
        <v>6804</v>
      </c>
      <c r="U22" s="816">
        <f t="shared" si="32"/>
        <v>0</v>
      </c>
      <c r="V22" s="866">
        <f>SUM(V13,V19,V21)</f>
        <v>0</v>
      </c>
      <c r="W22" s="866">
        <f t="shared" ref="W22:AB22" si="33">SUM(W13,W19,W21)</f>
        <v>0</v>
      </c>
      <c r="X22" s="866">
        <f t="shared" si="33"/>
        <v>0</v>
      </c>
      <c r="Y22" s="866">
        <f t="shared" si="33"/>
        <v>0</v>
      </c>
      <c r="Z22" s="866">
        <f t="shared" si="33"/>
        <v>0</v>
      </c>
      <c r="AA22" s="866">
        <f t="shared" si="33"/>
        <v>0</v>
      </c>
      <c r="AB22" s="866">
        <f t="shared" si="33"/>
        <v>0</v>
      </c>
      <c r="AS22" s="843">
        <v>61650</v>
      </c>
      <c r="AT22" s="843">
        <v>61223</v>
      </c>
      <c r="AU22" s="843">
        <v>60770</v>
      </c>
      <c r="AV22" s="843">
        <v>60202</v>
      </c>
      <c r="AW22" s="843">
        <v>59761</v>
      </c>
      <c r="AX22" s="843">
        <v>58952</v>
      </c>
      <c r="AY22" s="843">
        <v>58456</v>
      </c>
      <c r="AZ22" s="843">
        <v>57974</v>
      </c>
      <c r="BA22" s="843">
        <v>56747</v>
      </c>
      <c r="BB22" s="843">
        <v>56037</v>
      </c>
      <c r="BC22" s="843">
        <v>55437</v>
      </c>
      <c r="BD22" s="843">
        <v>54826</v>
      </c>
      <c r="BE22" s="843">
        <v>54324</v>
      </c>
      <c r="BF22" s="843">
        <v>53651</v>
      </c>
      <c r="BG22" s="843">
        <v>52983</v>
      </c>
      <c r="BH22" s="843">
        <v>52289</v>
      </c>
      <c r="BI22" s="843">
        <v>51531</v>
      </c>
      <c r="BJ22" s="843">
        <v>50691</v>
      </c>
      <c r="BK22" s="843">
        <v>49689</v>
      </c>
      <c r="BL22" s="843">
        <v>48803</v>
      </c>
      <c r="BM22" s="865">
        <f t="shared" ref="BM22:CV22" si="34">SUM(BM13,BM19,BM21)</f>
        <v>47124.160000000003</v>
      </c>
      <c r="BN22" s="866">
        <f t="shared" si="34"/>
        <v>46082</v>
      </c>
      <c r="BO22" s="866">
        <f t="shared" si="34"/>
        <v>45096.520000000004</v>
      </c>
      <c r="BP22" s="866">
        <f t="shared" si="34"/>
        <v>44198.68</v>
      </c>
      <c r="BQ22" s="865">
        <f t="shared" si="34"/>
        <v>43267.040000000001</v>
      </c>
      <c r="BR22" s="866">
        <f t="shared" si="34"/>
        <v>42386.879999999997</v>
      </c>
      <c r="BS22" s="866">
        <f t="shared" si="34"/>
        <v>41424.120000000003</v>
      </c>
      <c r="BT22" s="866">
        <f t="shared" si="34"/>
        <v>35252.080000000002</v>
      </c>
      <c r="BU22" s="865">
        <f t="shared" si="34"/>
        <v>34461.32</v>
      </c>
      <c r="BV22" s="866">
        <f t="shared" si="34"/>
        <v>33643.679054054053</v>
      </c>
      <c r="BW22" s="866">
        <f t="shared" si="34"/>
        <v>32757.863728813561</v>
      </c>
      <c r="BX22" s="866">
        <f t="shared" si="34"/>
        <v>31962.612000000001</v>
      </c>
      <c r="BY22" s="865">
        <f t="shared" si="34"/>
        <v>31898</v>
      </c>
      <c r="BZ22" s="866">
        <f t="shared" si="34"/>
        <v>31198</v>
      </c>
      <c r="CA22" s="866">
        <f t="shared" si="34"/>
        <v>30512</v>
      </c>
      <c r="CB22" s="866">
        <f t="shared" si="34"/>
        <v>29860</v>
      </c>
      <c r="CC22" s="865">
        <f t="shared" si="34"/>
        <v>14587</v>
      </c>
      <c r="CD22" s="866">
        <f t="shared" si="34"/>
        <v>14252</v>
      </c>
      <c r="CE22" s="866">
        <f t="shared" si="34"/>
        <v>13919</v>
      </c>
      <c r="CF22" s="866">
        <f t="shared" si="34"/>
        <v>13616</v>
      </c>
      <c r="CG22" s="865">
        <f t="shared" si="34"/>
        <v>13327</v>
      </c>
      <c r="CH22" s="866">
        <f t="shared" si="34"/>
        <v>13087</v>
      </c>
      <c r="CI22" s="866">
        <f t="shared" si="34"/>
        <v>12809</v>
      </c>
      <c r="CJ22" s="866">
        <f t="shared" si="34"/>
        <v>12626</v>
      </c>
      <c r="CK22" s="865">
        <f t="shared" si="34"/>
        <v>12421</v>
      </c>
      <c r="CL22" s="866">
        <f t="shared" si="34"/>
        <v>12222</v>
      </c>
      <c r="CM22" s="866">
        <f t="shared" si="34"/>
        <v>12005</v>
      </c>
      <c r="CN22" s="866">
        <f t="shared" si="34"/>
        <v>11849</v>
      </c>
      <c r="CO22" s="865">
        <f t="shared" si="34"/>
        <v>11725</v>
      </c>
      <c r="CP22" s="866">
        <f t="shared" si="34"/>
        <v>11583</v>
      </c>
      <c r="CQ22" s="866">
        <f t="shared" si="34"/>
        <v>11421</v>
      </c>
      <c r="CR22" s="866">
        <f t="shared" si="34"/>
        <v>11229</v>
      </c>
      <c r="CS22" s="865">
        <f t="shared" si="34"/>
        <v>11048</v>
      </c>
      <c r="CT22" s="866">
        <f t="shared" si="34"/>
        <v>10903</v>
      </c>
      <c r="CU22" s="866">
        <f t="shared" si="34"/>
        <v>10743</v>
      </c>
      <c r="CV22" s="867">
        <f t="shared" si="34"/>
        <v>10615</v>
      </c>
      <c r="CW22" s="866">
        <f t="shared" ref="CW22:DD22" si="35">SUM(CW13,CW19,CW21)</f>
        <v>10457</v>
      </c>
      <c r="CX22" s="866">
        <f t="shared" si="35"/>
        <v>10239</v>
      </c>
      <c r="CY22" s="866">
        <f t="shared" si="35"/>
        <v>10051</v>
      </c>
      <c r="CZ22" s="867">
        <f t="shared" si="35"/>
        <v>9885</v>
      </c>
      <c r="DA22" s="866">
        <f t="shared" si="35"/>
        <v>9702</v>
      </c>
      <c r="DB22" s="866">
        <f t="shared" si="35"/>
        <v>7634</v>
      </c>
      <c r="DC22" s="866">
        <f t="shared" si="35"/>
        <v>7482</v>
      </c>
      <c r="DD22" s="866">
        <f t="shared" si="35"/>
        <v>7355</v>
      </c>
      <c r="DE22" s="866">
        <f t="shared" ref="DE22:DH22" si="36">SUM(DE13,DE19,DE21)</f>
        <v>7200</v>
      </c>
      <c r="DF22" s="866">
        <f t="shared" si="36"/>
        <v>7079</v>
      </c>
      <c r="DG22" s="866">
        <f t="shared" si="36"/>
        <v>6950</v>
      </c>
      <c r="DH22" s="866">
        <f t="shared" si="36"/>
        <v>6804</v>
      </c>
      <c r="DI22" s="866">
        <f t="shared" ref="DI22:DL22" si="37">SUM(DI13,DI19,DI21)</f>
        <v>0</v>
      </c>
      <c r="DJ22" s="866">
        <f t="shared" si="37"/>
        <v>0</v>
      </c>
      <c r="DK22" s="866">
        <f t="shared" si="37"/>
        <v>0</v>
      </c>
      <c r="DL22" s="866">
        <f t="shared" si="37"/>
        <v>0</v>
      </c>
    </row>
    <row r="23" spans="1:116" s="831" customFormat="1">
      <c r="A23" s="828" t="s">
        <v>735</v>
      </c>
      <c r="B23" s="828"/>
      <c r="C23" s="828"/>
      <c r="D23" s="844">
        <v>0</v>
      </c>
      <c r="E23" s="844">
        <v>0</v>
      </c>
      <c r="F23" s="844">
        <v>0</v>
      </c>
      <c r="G23" s="844">
        <v>0</v>
      </c>
      <c r="H23" s="844">
        <v>0</v>
      </c>
      <c r="I23" s="844">
        <f>I22-Lines!N64</f>
        <v>805.68000000000029</v>
      </c>
      <c r="J23" s="831">
        <f>J22-Lines!O64</f>
        <v>676.08000000000175</v>
      </c>
      <c r="K23" s="831">
        <f>K22-Lines!P64</f>
        <v>568.08000000000175</v>
      </c>
      <c r="L23" s="831">
        <f>L24-Lines!Q64</f>
        <v>19</v>
      </c>
      <c r="M23" s="831">
        <f>M22-Lines!R64</f>
        <v>-11568</v>
      </c>
      <c r="N23" s="831">
        <f>N22-Lines!S64</f>
        <v>-9627</v>
      </c>
      <c r="O23" s="831">
        <f>O22-Lines!T64</f>
        <v>-7427</v>
      </c>
      <c r="P23" s="831">
        <f>P22-Lines!U64</f>
        <v>-5608</v>
      </c>
      <c r="Q23" s="831">
        <f>Q22-Lines!V64</f>
        <v>-4578</v>
      </c>
      <c r="R23" s="831">
        <f>R22-Lines!W64</f>
        <v>-3748</v>
      </c>
      <c r="S23" s="831">
        <f>S22-Lines!X64</f>
        <v>-2689</v>
      </c>
      <c r="T23" s="831">
        <f>T22-Lines!Y64</f>
        <v>-2112</v>
      </c>
      <c r="U23" s="831">
        <f>U22-Lines!Z64</f>
        <v>0</v>
      </c>
      <c r="V23" s="869">
        <f>V22-Lines!AA64</f>
        <v>0</v>
      </c>
      <c r="W23" s="869">
        <f>W22-Lines!AB64</f>
        <v>0</v>
      </c>
      <c r="X23" s="869">
        <f>X22-Lines!AC64</f>
        <v>0</v>
      </c>
      <c r="Y23" s="869">
        <f>Y22-Lines!AD64</f>
        <v>0</v>
      </c>
      <c r="Z23" s="869">
        <f>Z22-Lines!AE64</f>
        <v>0</v>
      </c>
      <c r="AA23" s="869">
        <f>AA22-Lines!AF64</f>
        <v>0</v>
      </c>
      <c r="AB23" s="869">
        <f>AB22-Lines!AG64</f>
        <v>0</v>
      </c>
      <c r="AS23" s="844">
        <v>0</v>
      </c>
      <c r="AT23" s="844">
        <v>0</v>
      </c>
      <c r="AU23" s="844">
        <v>0</v>
      </c>
      <c r="AV23" s="844">
        <v>0</v>
      </c>
      <c r="AW23" s="844">
        <v>0</v>
      </c>
      <c r="AX23" s="844">
        <v>0</v>
      </c>
      <c r="AY23" s="844">
        <v>0</v>
      </c>
      <c r="AZ23" s="844">
        <v>0</v>
      </c>
      <c r="BA23" s="844">
        <v>0</v>
      </c>
      <c r="BB23" s="844">
        <v>0</v>
      </c>
      <c r="BC23" s="844">
        <v>0</v>
      </c>
      <c r="BD23" s="844">
        <v>0</v>
      </c>
      <c r="BE23" s="844">
        <v>0</v>
      </c>
      <c r="BF23" s="844">
        <v>0</v>
      </c>
      <c r="BG23" s="844">
        <v>0</v>
      </c>
      <c r="BH23" s="844">
        <v>0</v>
      </c>
      <c r="BI23" s="844">
        <v>0</v>
      </c>
      <c r="BJ23" s="844">
        <v>0</v>
      </c>
      <c r="BK23" s="844">
        <v>0</v>
      </c>
      <c r="BL23" s="844">
        <v>0</v>
      </c>
      <c r="BM23" s="868">
        <f>BM22-Lines!BZ64</f>
        <v>926.16000000000349</v>
      </c>
      <c r="BN23" s="869">
        <f>BN22-Lines!CA64</f>
        <v>882</v>
      </c>
      <c r="BO23" s="869">
        <f>BO22-Lines!CB64</f>
        <v>839.52000000000407</v>
      </c>
      <c r="BP23" s="869">
        <f>BP22-Lines!CC64</f>
        <v>805.68000000000029</v>
      </c>
      <c r="BQ23" s="868">
        <f>BQ24-Lines!CD64</f>
        <v>0</v>
      </c>
      <c r="BR23" s="869">
        <f>BR24-Lines!CE64</f>
        <v>0</v>
      </c>
      <c r="BS23" s="869">
        <f>BS24-Lines!CF64</f>
        <v>0</v>
      </c>
      <c r="BT23" s="869">
        <f>BT24-Lines!CG64</f>
        <v>0</v>
      </c>
      <c r="BU23" s="868">
        <f>BU24-Lines!CH64</f>
        <v>0</v>
      </c>
      <c r="BV23" s="869">
        <f>BV24-Lines!CI64</f>
        <v>0</v>
      </c>
      <c r="BW23" s="869">
        <f>BW24-Lines!CJ64</f>
        <v>0</v>
      </c>
      <c r="BX23" s="869">
        <f>BX24-Lines!CK64</f>
        <v>0</v>
      </c>
      <c r="BY23" s="868">
        <f>BY24-Lines!CL64</f>
        <v>2</v>
      </c>
      <c r="BZ23" s="869">
        <f>BZ24-Lines!CM64</f>
        <v>3</v>
      </c>
      <c r="CA23" s="869">
        <f>CA24-Lines!CN64</f>
        <v>6</v>
      </c>
      <c r="CB23" s="869">
        <f>CB24-Lines!CO64</f>
        <v>19</v>
      </c>
      <c r="CC23" s="868">
        <f>CC24-Lines!CP64</f>
        <v>93</v>
      </c>
      <c r="CD23" s="869">
        <f>CD24-Lines!CQ64</f>
        <v>346</v>
      </c>
      <c r="CE23" s="869">
        <f>CE24-Lines!CR64</f>
        <v>672</v>
      </c>
      <c r="CF23" s="869">
        <f>CF24-Lines!CS64</f>
        <v>817</v>
      </c>
      <c r="CG23" s="868">
        <f>CG24-Lines!CT64</f>
        <v>977</v>
      </c>
      <c r="CH23" s="869">
        <f>CH24-Lines!CU64</f>
        <v>1195</v>
      </c>
      <c r="CI23" s="869">
        <f>CI24-Lines!CV64</f>
        <v>1460</v>
      </c>
      <c r="CJ23" s="869">
        <f>CJ24-Lines!CW64</f>
        <v>1884</v>
      </c>
      <c r="CK23" s="868">
        <f>CK24-Lines!CX64</f>
        <v>2298</v>
      </c>
      <c r="CL23" s="869">
        <f>CL24-Lines!CY64</f>
        <v>2648</v>
      </c>
      <c r="CM23" s="869">
        <f>CM24-Lines!CZ64</f>
        <v>2938</v>
      </c>
      <c r="CN23" s="869">
        <f>CN24-Lines!DA64</f>
        <v>3227</v>
      </c>
      <c r="CO23" s="868">
        <f>CO24-Lines!DB64</f>
        <v>3531</v>
      </c>
      <c r="CP23" s="869">
        <f>CP24-Lines!DC64</f>
        <v>3817</v>
      </c>
      <c r="CQ23" s="869">
        <f>CQ24-Lines!DD64</f>
        <v>4069</v>
      </c>
      <c r="CR23" s="869">
        <f>CR24-Lines!DE64</f>
        <v>4248</v>
      </c>
      <c r="CS23" s="868">
        <f>CS24-Lines!DF64</f>
        <v>4350</v>
      </c>
      <c r="CT23" s="869">
        <f>CT24-Lines!DG64</f>
        <v>4440</v>
      </c>
      <c r="CU23" s="869">
        <f>CU24-Lines!DH64</f>
        <v>4514</v>
      </c>
      <c r="CV23" s="870">
        <f>CV24-Lines!DI64</f>
        <v>4602</v>
      </c>
      <c r="CW23" s="869">
        <f>CW24-Lines!DJ64</f>
        <v>4661</v>
      </c>
      <c r="CX23" s="869">
        <f>CX24-Lines!DK64</f>
        <v>4661</v>
      </c>
      <c r="CY23" s="869">
        <f>CY24-Lines!DL64</f>
        <v>4703</v>
      </c>
      <c r="CZ23" s="870">
        <f>CZ24-Lines!DM64</f>
        <v>4754</v>
      </c>
      <c r="DA23" s="869">
        <f>DA24-Lines!DN64</f>
        <v>4800</v>
      </c>
      <c r="DB23" s="869">
        <f>DB24-Lines!DO64</f>
        <v>3879</v>
      </c>
      <c r="DC23" s="869">
        <f>DC24-Lines!DP64</f>
        <v>3882</v>
      </c>
      <c r="DD23" s="869">
        <f>DD24-Lines!DQ64</f>
        <v>3895</v>
      </c>
      <c r="DE23" s="869">
        <f>DE24-Lines!DR64</f>
        <v>3887</v>
      </c>
      <c r="DF23" s="869">
        <f>DF24-Lines!DS64</f>
        <v>3909</v>
      </c>
      <c r="DG23" s="869">
        <f>DG24-Lines!DT64</f>
        <v>3920</v>
      </c>
      <c r="DH23" s="869">
        <f>DH24-Lines!DU64</f>
        <v>3905</v>
      </c>
      <c r="DI23" s="869">
        <f>DI24-Lines!DV64</f>
        <v>12555</v>
      </c>
      <c r="DJ23" s="869">
        <f>DJ24-Lines!DW64</f>
        <v>11573.947474695615</v>
      </c>
      <c r="DK23" s="869">
        <f>DK24-Lines!DX64</f>
        <v>10681.128718244348</v>
      </c>
      <c r="DL23" s="869">
        <f>DL24-Lines!DY64</f>
        <v>9867.8634725239426</v>
      </c>
    </row>
    <row r="24" spans="1:116" s="831" customFormat="1">
      <c r="A24" s="840" t="s">
        <v>736</v>
      </c>
      <c r="B24" s="840"/>
      <c r="C24" s="840"/>
      <c r="D24" s="841">
        <f>+Lines!I64</f>
        <v>60202</v>
      </c>
      <c r="E24" s="841">
        <f>+Lines!J64</f>
        <v>57974</v>
      </c>
      <c r="F24" s="841">
        <f>+Lines!K64</f>
        <v>54826</v>
      </c>
      <c r="G24" s="841">
        <f>+Lines!L64</f>
        <v>52289</v>
      </c>
      <c r="H24" s="841">
        <f>+Lines!M64</f>
        <v>48803</v>
      </c>
      <c r="I24" s="841">
        <f>+Lines!N64</f>
        <v>43393</v>
      </c>
      <c r="J24" s="841">
        <f>+Lines!O64</f>
        <v>34576</v>
      </c>
      <c r="K24" s="841">
        <f>+Lines!P64</f>
        <v>31394.531999999999</v>
      </c>
      <c r="L24" s="841">
        <f>+Lines!Q68</f>
        <v>28323</v>
      </c>
      <c r="M24" s="841">
        <f>+Lines!R68</f>
        <v>26001</v>
      </c>
      <c r="N24" s="841">
        <f>+Lines!S68</f>
        <v>24137</v>
      </c>
      <c r="O24" s="841">
        <f>+Lines!T68</f>
        <v>22503</v>
      </c>
      <c r="P24" s="841">
        <f>+Lines!U68</f>
        <v>21085</v>
      </c>
      <c r="Q24" s="841">
        <f>+Lines!V68</f>
        <v>19795</v>
      </c>
      <c r="R24" s="841">
        <f>+Lines!W68</f>
        <v>18387</v>
      </c>
      <c r="S24" s="841">
        <f>+Lines!X68</f>
        <v>13939</v>
      </c>
      <c r="T24" s="841">
        <f>+Lines!Y68</f>
        <v>12821</v>
      </c>
      <c r="U24" s="841">
        <f>+Lines!Z68</f>
        <v>9867.8634725239426</v>
      </c>
      <c r="V24" s="872">
        <f>+Lines!AA68</f>
        <v>9127.7737120846468</v>
      </c>
      <c r="W24" s="872">
        <f>+Lines!AB68</f>
        <v>8479.701778526638</v>
      </c>
      <c r="X24" s="872">
        <f>+Lines!AC68</f>
        <v>7911.5617593653533</v>
      </c>
      <c r="Y24" s="872">
        <f>+Lines!AD68</f>
        <v>7413.1333685253367</v>
      </c>
      <c r="Z24" s="872">
        <f>+Lines!AE68</f>
        <v>6975.7584997823424</v>
      </c>
      <c r="AA24" s="872">
        <f>+Lines!AF68</f>
        <v>6592.0917822943138</v>
      </c>
      <c r="AB24" s="872">
        <f>+Lines!AG68</f>
        <v>6255.8951013973046</v>
      </c>
      <c r="AC24" s="841"/>
      <c r="AD24" s="841"/>
      <c r="AE24" s="841"/>
      <c r="AF24" s="841"/>
      <c r="AG24" s="841"/>
      <c r="AH24" s="841"/>
      <c r="AI24" s="841"/>
      <c r="AJ24" s="841"/>
      <c r="AK24" s="841"/>
      <c r="AL24" s="841"/>
      <c r="AM24" s="841"/>
      <c r="AN24" s="841"/>
      <c r="AO24" s="841"/>
      <c r="AP24" s="841"/>
      <c r="AQ24" s="841"/>
      <c r="AR24" s="841"/>
      <c r="AS24" s="895"/>
      <c r="AT24" s="895"/>
      <c r="AU24" s="895"/>
      <c r="AV24" s="895"/>
      <c r="AW24" s="895"/>
      <c r="AX24" s="895"/>
      <c r="AY24" s="895"/>
      <c r="AZ24" s="895"/>
      <c r="BA24" s="895"/>
      <c r="BB24" s="895"/>
      <c r="BC24" s="895"/>
      <c r="BD24" s="895"/>
      <c r="BE24" s="895"/>
      <c r="BF24" s="895"/>
      <c r="BG24" s="895"/>
      <c r="BH24" s="895"/>
      <c r="BI24" s="895"/>
      <c r="BJ24" s="895"/>
      <c r="BK24" s="895"/>
      <c r="BL24" s="895"/>
      <c r="BM24" s="871"/>
      <c r="BN24" s="872"/>
      <c r="BO24" s="872"/>
      <c r="BP24" s="872"/>
      <c r="BQ24" s="871">
        <f>+Lines!CD64</f>
        <v>42494</v>
      </c>
      <c r="BR24" s="872">
        <f>+Lines!CE64</f>
        <v>41652</v>
      </c>
      <c r="BS24" s="872">
        <f>+Lines!CF64</f>
        <v>40719</v>
      </c>
      <c r="BT24" s="872">
        <f>+Lines!CG64</f>
        <v>34576</v>
      </c>
      <c r="BU24" s="871">
        <f>+Lines!CH64</f>
        <v>33815</v>
      </c>
      <c r="BV24" s="872">
        <f>+Lines!CI64</f>
        <v>33025.679054054053</v>
      </c>
      <c r="BW24" s="872">
        <f>+Lines!CJ64</f>
        <v>32166.023728813561</v>
      </c>
      <c r="BX24" s="872">
        <f>+Lines!CK64</f>
        <v>31394.531999999999</v>
      </c>
      <c r="BY24" s="871">
        <f>+Lines!CL68</f>
        <v>30545</v>
      </c>
      <c r="BZ24" s="872">
        <f>+Lines!CM68</f>
        <v>29797</v>
      </c>
      <c r="CA24" s="872">
        <f>+Lines!CN68</f>
        <v>29003</v>
      </c>
      <c r="CB24" s="872">
        <f>+Lines!CO68</f>
        <v>28323</v>
      </c>
      <c r="CC24" s="871">
        <f>+Lines!CP68</f>
        <v>27719</v>
      </c>
      <c r="CD24" s="872">
        <f>+Lines!CQ68</f>
        <v>27138</v>
      </c>
      <c r="CE24" s="872">
        <f>+Lines!CR68</f>
        <v>26544</v>
      </c>
      <c r="CF24" s="872">
        <f>+Lines!CS68</f>
        <v>26001</v>
      </c>
      <c r="CG24" s="871">
        <f>+Lines!CT68</f>
        <v>25454</v>
      </c>
      <c r="CH24" s="872">
        <f>+Lines!CU68</f>
        <v>24997</v>
      </c>
      <c r="CI24" s="872">
        <f>+Lines!CV68</f>
        <v>24519</v>
      </c>
      <c r="CJ24" s="872">
        <f>+Lines!CW68</f>
        <v>24137</v>
      </c>
      <c r="CK24" s="871">
        <f>+Lines!CX68</f>
        <v>23700</v>
      </c>
      <c r="CL24" s="872">
        <f>+Lines!CY68</f>
        <v>23278</v>
      </c>
      <c r="CM24" s="872">
        <f>+Lines!CZ68</f>
        <v>22847</v>
      </c>
      <c r="CN24" s="872">
        <f>+Lines!DA68</f>
        <v>22503</v>
      </c>
      <c r="CO24" s="871">
        <f>+Lines!DB68</f>
        <v>22191</v>
      </c>
      <c r="CP24" s="872">
        <f>+Lines!DC68</f>
        <v>21828</v>
      </c>
      <c r="CQ24" s="872">
        <f>+Lines!DD68</f>
        <v>21457</v>
      </c>
      <c r="CR24" s="872">
        <f>+Lines!DE68</f>
        <v>21085</v>
      </c>
      <c r="CS24" s="871">
        <f>+Lines!DF68</f>
        <v>20733</v>
      </c>
      <c r="CT24" s="872">
        <f>+Lines!DG68</f>
        <v>20391</v>
      </c>
      <c r="CU24" s="872">
        <f>+Lines!DH68</f>
        <v>20089</v>
      </c>
      <c r="CV24" s="873">
        <f>+Lines!DI68</f>
        <v>19795</v>
      </c>
      <c r="CW24" s="872">
        <f>+Lines!DJ68</f>
        <v>19475</v>
      </c>
      <c r="CX24" s="872">
        <f>+Lines!DK68</f>
        <v>19079</v>
      </c>
      <c r="CY24" s="872">
        <f>+Lines!DL68</f>
        <v>18740</v>
      </c>
      <c r="CZ24" s="873">
        <f>+Lines!DM68</f>
        <v>18387</v>
      </c>
      <c r="DA24" s="872">
        <f>+Lines!DN68</f>
        <v>18037</v>
      </c>
      <c r="DB24" s="872">
        <f>+Lines!DO68</f>
        <v>14476</v>
      </c>
      <c r="DC24" s="872">
        <f>+Lines!DP68</f>
        <v>14194</v>
      </c>
      <c r="DD24" s="872">
        <f>+Lines!DQ68</f>
        <v>13939</v>
      </c>
      <c r="DE24" s="872">
        <f>+Lines!DR68</f>
        <v>13634</v>
      </c>
      <c r="DF24" s="872">
        <f>+Lines!DS68</f>
        <v>13352</v>
      </c>
      <c r="DG24" s="872">
        <f>+Lines!DT68</f>
        <v>13100</v>
      </c>
      <c r="DH24" s="872">
        <f>+Lines!DU68</f>
        <v>12821</v>
      </c>
      <c r="DI24" s="872">
        <f>+Lines!DV68</f>
        <v>12555</v>
      </c>
      <c r="DJ24" s="872">
        <f>+Lines!DW68</f>
        <v>11573.947474695615</v>
      </c>
      <c r="DK24" s="872">
        <f>+Lines!DX68</f>
        <v>10681.128718244348</v>
      </c>
      <c r="DL24" s="872">
        <f>+Lines!DY68</f>
        <v>9867.8634725239426</v>
      </c>
    </row>
    <row r="25" spans="1:116" s="808" customFormat="1">
      <c r="A25" s="827" t="s">
        <v>249</v>
      </c>
      <c r="B25" s="812"/>
      <c r="C25" s="812"/>
      <c r="V25" s="863"/>
      <c r="W25" s="863"/>
      <c r="X25" s="863"/>
      <c r="Y25" s="863"/>
      <c r="Z25" s="863"/>
      <c r="AA25" s="863"/>
      <c r="AB25" s="863"/>
      <c r="AS25" s="842"/>
      <c r="AT25" s="842"/>
      <c r="AU25" s="842"/>
      <c r="AV25" s="842"/>
      <c r="AW25" s="842"/>
      <c r="AX25" s="842"/>
      <c r="AY25" s="842"/>
      <c r="AZ25" s="842"/>
      <c r="BA25" s="842"/>
      <c r="BB25" s="842"/>
      <c r="BC25" s="842"/>
      <c r="BD25" s="842"/>
      <c r="BE25" s="842"/>
      <c r="BF25" s="842"/>
      <c r="BG25" s="842"/>
      <c r="BH25" s="842"/>
      <c r="BI25" s="842"/>
      <c r="BJ25" s="842"/>
      <c r="BK25" s="842"/>
      <c r="BL25" s="842"/>
      <c r="BM25" s="862"/>
      <c r="BN25" s="863"/>
      <c r="BO25" s="863"/>
      <c r="BP25" s="863"/>
      <c r="BQ25" s="862"/>
      <c r="BR25" s="863"/>
      <c r="BS25" s="863"/>
      <c r="BT25" s="863"/>
      <c r="BU25" s="862"/>
      <c r="BV25" s="863"/>
      <c r="BW25" s="863"/>
      <c r="BX25" s="863"/>
      <c r="BY25" s="862"/>
      <c r="BZ25" s="863"/>
      <c r="CA25" s="863"/>
      <c r="CB25" s="863"/>
      <c r="CC25" s="862"/>
      <c r="CD25" s="863"/>
      <c r="CE25" s="863"/>
      <c r="CF25" s="863"/>
      <c r="CG25" s="862"/>
      <c r="CH25" s="863"/>
      <c r="CI25" s="863"/>
      <c r="CJ25" s="863"/>
      <c r="CK25" s="862"/>
      <c r="CL25" s="863"/>
      <c r="CM25" s="863"/>
      <c r="CN25" s="863"/>
      <c r="CO25" s="862"/>
      <c r="CP25" s="863"/>
      <c r="CQ25" s="863"/>
      <c r="CR25" s="863"/>
      <c r="CS25" s="862"/>
      <c r="CT25" s="863"/>
      <c r="CU25" s="863"/>
      <c r="CV25" s="864"/>
      <c r="CW25" s="863"/>
      <c r="CX25" s="863"/>
      <c r="CY25" s="863"/>
      <c r="CZ25" s="864"/>
      <c r="DA25" s="863"/>
      <c r="DB25" s="863"/>
      <c r="DC25" s="863"/>
      <c r="DD25" s="863"/>
      <c r="DE25" s="863"/>
      <c r="DF25" s="863"/>
      <c r="DG25" s="863"/>
      <c r="DH25" s="863"/>
      <c r="DI25" s="863"/>
      <c r="DJ25" s="863"/>
      <c r="DK25" s="863"/>
      <c r="DL25" s="863"/>
    </row>
    <row r="26" spans="1:116" s="815" customFormat="1">
      <c r="A26" s="800" t="s">
        <v>737</v>
      </c>
      <c r="B26" s="800"/>
      <c r="C26" s="800"/>
      <c r="D26" s="845">
        <v>1100</v>
      </c>
      <c r="E26" s="845">
        <v>1703</v>
      </c>
      <c r="F26" s="845">
        <v>2319</v>
      </c>
      <c r="G26" s="845">
        <v>3559</v>
      </c>
      <c r="H26" s="845">
        <v>4975</v>
      </c>
      <c r="I26" s="845">
        <f>BP26</f>
        <v>6099</v>
      </c>
      <c r="J26" s="815">
        <f>BT26</f>
        <v>5640</v>
      </c>
      <c r="K26" s="815">
        <f>Lines!P90</f>
        <v>5305</v>
      </c>
      <c r="L26" s="815">
        <f>Lines!Q90</f>
        <v>4874</v>
      </c>
      <c r="M26" s="815">
        <f>Lines!R90</f>
        <v>4310</v>
      </c>
      <c r="N26" s="815">
        <f>Lines!S90</f>
        <v>3853</v>
      </c>
      <c r="O26" s="815">
        <f>Lines!T90</f>
        <v>3371</v>
      </c>
      <c r="P26" s="815">
        <f>Lines!U90</f>
        <v>2943</v>
      </c>
      <c r="Q26" s="815">
        <f>Lines!V90</f>
        <v>2589</v>
      </c>
      <c r="R26" s="815">
        <f>Lines!W90</f>
        <v>2194</v>
      </c>
      <c r="S26" s="815">
        <f>Lines!X90</f>
        <v>1385</v>
      </c>
      <c r="T26" s="815">
        <f>Lines!Y90</f>
        <v>1109</v>
      </c>
      <c r="U26" s="815">
        <f>Lines!Z90</f>
        <v>870</v>
      </c>
      <c r="V26" s="875">
        <f>Lines!AA90</f>
        <v>696</v>
      </c>
      <c r="W26" s="875">
        <f>Lines!AB90</f>
        <v>556.79999999999995</v>
      </c>
      <c r="X26" s="875">
        <f>Lines!AC90</f>
        <v>445.43999999999994</v>
      </c>
      <c r="Y26" s="875">
        <f>Lines!AD90</f>
        <v>356.35199999999998</v>
      </c>
      <c r="Z26" s="875">
        <f>Lines!AE90</f>
        <v>285.08159999999998</v>
      </c>
      <c r="AA26" s="875">
        <f>Lines!AF90</f>
        <v>228.06527999999997</v>
      </c>
      <c r="AB26" s="875">
        <f>Lines!AG90</f>
        <v>182.45222399999997</v>
      </c>
      <c r="AS26" s="842">
        <v>720</v>
      </c>
      <c r="AT26" s="842">
        <v>840</v>
      </c>
      <c r="AU26" s="842">
        <v>975</v>
      </c>
      <c r="AV26" s="842">
        <v>1100</v>
      </c>
      <c r="AW26" s="842">
        <v>1250</v>
      </c>
      <c r="AX26" s="842">
        <v>1400</v>
      </c>
      <c r="AY26" s="842">
        <v>1555</v>
      </c>
      <c r="AZ26" s="842">
        <v>1703</v>
      </c>
      <c r="BA26" s="842">
        <v>1830</v>
      </c>
      <c r="BB26" s="842">
        <v>1931</v>
      </c>
      <c r="BC26" s="842">
        <v>2116</v>
      </c>
      <c r="BD26" s="842">
        <v>2319</v>
      </c>
      <c r="BE26" s="842">
        <v>2664</v>
      </c>
      <c r="BF26" s="842">
        <v>2944</v>
      </c>
      <c r="BG26" s="842">
        <v>3253</v>
      </c>
      <c r="BH26" s="842">
        <v>3559</v>
      </c>
      <c r="BI26" s="842">
        <v>3864</v>
      </c>
      <c r="BJ26" s="842">
        <v>4142</v>
      </c>
      <c r="BK26" s="842">
        <v>4531</v>
      </c>
      <c r="BL26" s="842">
        <v>4975</v>
      </c>
      <c r="BM26" s="874">
        <f>Lines!BZ90</f>
        <v>5269</v>
      </c>
      <c r="BN26" s="875">
        <f>Lines!CA90</f>
        <v>5582</v>
      </c>
      <c r="BO26" s="875">
        <f>Lines!CB90</f>
        <v>5868</v>
      </c>
      <c r="BP26" s="875">
        <f>Lines!CC90</f>
        <v>6099</v>
      </c>
      <c r="BQ26" s="874">
        <f>Lines!CD90</f>
        <v>6337</v>
      </c>
      <c r="BR26" s="875">
        <f>Lines!CE90</f>
        <v>6417</v>
      </c>
      <c r="BS26" s="875">
        <f>Lines!CF90</f>
        <v>6470</v>
      </c>
      <c r="BT26" s="875">
        <f>Lines!CG90</f>
        <v>5640</v>
      </c>
      <c r="BU26" s="874">
        <f>Lines!CH90</f>
        <v>5615</v>
      </c>
      <c r="BV26" s="875">
        <f>Lines!CI90</f>
        <v>5483</v>
      </c>
      <c r="BW26" s="875">
        <f>Lines!CJ90</f>
        <v>5373.0186915887853</v>
      </c>
      <c r="BX26" s="875">
        <f>Lines!CK90</f>
        <v>5305</v>
      </c>
      <c r="BY26" s="874">
        <f>Lines!CL90</f>
        <v>5243</v>
      </c>
      <c r="BZ26" s="875">
        <f>Lines!CM90</f>
        <v>5122</v>
      </c>
      <c r="CA26" s="875">
        <f>Lines!CN90</f>
        <v>4983</v>
      </c>
      <c r="CB26" s="875">
        <f>Lines!CO90</f>
        <v>4874</v>
      </c>
      <c r="CC26" s="874">
        <f>Lines!CP90</f>
        <v>4775</v>
      </c>
      <c r="CD26" s="875">
        <f>Lines!CQ90</f>
        <v>4620</v>
      </c>
      <c r="CE26" s="875">
        <f>Lines!CR90</f>
        <v>4454</v>
      </c>
      <c r="CF26" s="875">
        <f>Lines!CS90</f>
        <v>4310</v>
      </c>
      <c r="CG26" s="874">
        <f>Lines!CT90</f>
        <v>4201</v>
      </c>
      <c r="CH26" s="875">
        <f>Lines!CU90</f>
        <v>4074</v>
      </c>
      <c r="CI26" s="875">
        <f>Lines!CV90</f>
        <v>3956</v>
      </c>
      <c r="CJ26" s="875">
        <f>Lines!CW90</f>
        <v>3853</v>
      </c>
      <c r="CK26" s="874">
        <f>Lines!CX90</f>
        <v>3764</v>
      </c>
      <c r="CL26" s="875">
        <f>Lines!CY90</f>
        <v>3632</v>
      </c>
      <c r="CM26" s="875">
        <f>Lines!CZ90</f>
        <v>3488</v>
      </c>
      <c r="CN26" s="875">
        <f>Lines!DA90</f>
        <v>3371</v>
      </c>
      <c r="CO26" s="874">
        <f>Lines!DB90</f>
        <v>3282</v>
      </c>
      <c r="CP26" s="875">
        <f>Lines!DC90</f>
        <v>3166</v>
      </c>
      <c r="CQ26" s="875">
        <f>Lines!DD90</f>
        <v>3049</v>
      </c>
      <c r="CR26" s="875">
        <f>Lines!DE90</f>
        <v>2943</v>
      </c>
      <c r="CS26" s="874">
        <f>Lines!DF90</f>
        <v>2861</v>
      </c>
      <c r="CT26" s="875">
        <f>Lines!DG90</f>
        <v>2768</v>
      </c>
      <c r="CU26" s="875">
        <f>Lines!DH90</f>
        <v>2675</v>
      </c>
      <c r="CV26" s="876">
        <f>Lines!DI90</f>
        <v>2589</v>
      </c>
      <c r="CW26" s="875">
        <f>Lines!DJ90</f>
        <v>2497</v>
      </c>
      <c r="CX26" s="875">
        <f>Lines!DK90</f>
        <v>2400</v>
      </c>
      <c r="CY26" s="875">
        <f>Lines!DL90</f>
        <v>2288</v>
      </c>
      <c r="CZ26" s="876">
        <f>Lines!DM90</f>
        <v>2194</v>
      </c>
      <c r="DA26" s="875">
        <f>Lines!DN90</f>
        <v>2086</v>
      </c>
      <c r="DB26" s="875">
        <f>Lines!DO90</f>
        <v>1519</v>
      </c>
      <c r="DC26" s="875">
        <f>Lines!DP90</f>
        <v>1453</v>
      </c>
      <c r="DD26" s="875">
        <f>Lines!DQ90</f>
        <v>1385</v>
      </c>
      <c r="DE26" s="875">
        <f>Lines!DR90</f>
        <v>1323</v>
      </c>
      <c r="DF26" s="875">
        <f>Lines!DS90</f>
        <v>1251</v>
      </c>
      <c r="DG26" s="875">
        <f>Lines!DT90</f>
        <v>1175</v>
      </c>
      <c r="DH26" s="875">
        <f>Lines!DU90</f>
        <v>1109</v>
      </c>
      <c r="DI26" s="875">
        <f>Lines!DV90</f>
        <v>1050</v>
      </c>
      <c r="DJ26" s="875">
        <f>Lines!DW90</f>
        <v>990</v>
      </c>
      <c r="DK26" s="875">
        <f>Lines!DX90</f>
        <v>930</v>
      </c>
      <c r="DL26" s="875">
        <f>Lines!DY90</f>
        <v>870</v>
      </c>
    </row>
    <row r="27" spans="1:116" s="808" customFormat="1">
      <c r="A27" s="812" t="s">
        <v>738</v>
      </c>
      <c r="B27" s="812"/>
      <c r="C27" s="812"/>
      <c r="D27" s="845">
        <v>462.99</v>
      </c>
      <c r="E27" s="845">
        <v>685.05599999999993</v>
      </c>
      <c r="F27" s="845">
        <v>833.53949999999998</v>
      </c>
      <c r="G27" s="845">
        <v>1239</v>
      </c>
      <c r="H27" s="845">
        <v>1711.9722060000001</v>
      </c>
      <c r="I27" s="845">
        <f>SUM(BM27:BP27)</f>
        <v>2102.7978000000007</v>
      </c>
      <c r="J27" s="808">
        <f>SUM(BQ27:BT27)</f>
        <v>2172.4300594483207</v>
      </c>
      <c r="K27" s="808">
        <f>Wireline!P220</f>
        <v>1884.4801149532709</v>
      </c>
      <c r="L27" s="808">
        <f>Wireline!Q220</f>
        <v>1835.6597999999999</v>
      </c>
      <c r="M27" s="808">
        <f>Wireline!R220</f>
        <v>0</v>
      </c>
      <c r="N27" s="808">
        <f>Wireline!S220</f>
        <v>0</v>
      </c>
      <c r="O27" s="808">
        <f>Wireline!T220</f>
        <v>0</v>
      </c>
      <c r="P27" s="808">
        <f>Wireline!U220</f>
        <v>0</v>
      </c>
      <c r="Q27" s="808">
        <f>Wireline!V220</f>
        <v>0</v>
      </c>
      <c r="R27" s="808">
        <f>Wireline!W220</f>
        <v>0</v>
      </c>
      <c r="V27" s="863"/>
      <c r="W27" s="863"/>
      <c r="X27" s="863"/>
      <c r="Y27" s="863"/>
      <c r="Z27" s="863"/>
      <c r="AA27" s="863"/>
      <c r="AB27" s="863"/>
      <c r="AS27" s="842">
        <v>86.94</v>
      </c>
      <c r="AT27" s="842">
        <v>107.64</v>
      </c>
      <c r="AU27" s="842">
        <v>125.235</v>
      </c>
      <c r="AV27" s="842">
        <v>143.17500000000001</v>
      </c>
      <c r="AW27" s="842">
        <v>155.1</v>
      </c>
      <c r="AX27" s="842">
        <v>166.95</v>
      </c>
      <c r="AY27" s="842">
        <v>177.3</v>
      </c>
      <c r="AZ27" s="842">
        <v>185.70599999999999</v>
      </c>
      <c r="BA27" s="842">
        <v>190.78200000000001</v>
      </c>
      <c r="BB27" s="842">
        <v>197.45249999999999</v>
      </c>
      <c r="BC27" s="842">
        <v>212.4675</v>
      </c>
      <c r="BD27" s="842">
        <v>232.83750000000001</v>
      </c>
      <c r="BE27" s="842">
        <v>261.60750000000002</v>
      </c>
      <c r="BF27" s="842">
        <v>294.42</v>
      </c>
      <c r="BG27" s="842">
        <v>325.34249999999997</v>
      </c>
      <c r="BH27" s="842">
        <v>357.63</v>
      </c>
      <c r="BI27" s="842">
        <v>378.01627500000001</v>
      </c>
      <c r="BJ27" s="842">
        <v>407.70555000000007</v>
      </c>
      <c r="BK27" s="842">
        <v>441.67252500000001</v>
      </c>
      <c r="BL27" s="842">
        <v>484.57785600000005</v>
      </c>
      <c r="BM27" s="862">
        <f>Wireline!BZ220</f>
        <v>478.00368000000014</v>
      </c>
      <c r="BN27" s="863">
        <f>Wireline!CA220</f>
        <v>521.47044000000005</v>
      </c>
      <c r="BO27" s="863">
        <f>Wireline!CB220</f>
        <v>543.4354800000001</v>
      </c>
      <c r="BP27" s="863">
        <f>Wireline!CC220</f>
        <v>559.88820000000021</v>
      </c>
      <c r="BQ27" s="862">
        <f>Wireline!CD220</f>
        <v>570.1018680000002</v>
      </c>
      <c r="BR27" s="863">
        <f>Wireline!CE220</f>
        <v>565.7530082400001</v>
      </c>
      <c r="BS27" s="863">
        <f>Wireline!CF220</f>
        <v>559.01722363200008</v>
      </c>
      <c r="BT27" s="863">
        <f>Wireline!CG220</f>
        <v>477.55795957632006</v>
      </c>
      <c r="BU27" s="862">
        <f>Wireline!CH220</f>
        <v>488.16810000000004</v>
      </c>
      <c r="BV27" s="863">
        <f>Wireline!CI220</f>
        <v>473.73119999999994</v>
      </c>
      <c r="BW27" s="863">
        <f>Wireline!CJ220</f>
        <v>464.22881495327107</v>
      </c>
      <c r="BX27" s="863">
        <f>Wireline!CK220</f>
        <v>458.35199999999998</v>
      </c>
      <c r="BY27" s="862">
        <f>Wireline!CL220</f>
        <v>474.22935000000001</v>
      </c>
      <c r="BZ27" s="863">
        <f>Wireline!CM220</f>
        <v>463.28489999999999</v>
      </c>
      <c r="CA27" s="863">
        <f>Wireline!CN220</f>
        <v>450.71235000000001</v>
      </c>
      <c r="CB27" s="863">
        <f>Wireline!CO220</f>
        <v>447.43320000000006</v>
      </c>
      <c r="CC27" s="862">
        <f>Wireline!CP220</f>
        <v>438.34500000000003</v>
      </c>
      <c r="CD27" s="863"/>
      <c r="CE27" s="863"/>
      <c r="CF27" s="863"/>
      <c r="CG27" s="862"/>
      <c r="CH27" s="863"/>
      <c r="CI27" s="863"/>
      <c r="CJ27" s="863"/>
      <c r="CK27" s="862"/>
      <c r="CL27" s="863"/>
      <c r="CM27" s="863"/>
      <c r="CN27" s="863"/>
      <c r="CO27" s="862"/>
      <c r="CP27" s="863"/>
      <c r="CQ27" s="863"/>
      <c r="CR27" s="863"/>
      <c r="CS27" s="862"/>
      <c r="CT27" s="863"/>
      <c r="CU27" s="863"/>
      <c r="CV27" s="864"/>
      <c r="CW27" s="863"/>
      <c r="CX27" s="863"/>
      <c r="CY27" s="863"/>
      <c r="CZ27" s="864"/>
      <c r="DA27" s="863"/>
      <c r="DB27" s="863"/>
      <c r="DC27" s="863"/>
      <c r="DD27" s="863"/>
      <c r="DE27" s="863"/>
      <c r="DF27" s="863"/>
      <c r="DG27" s="863"/>
      <c r="DH27" s="863"/>
      <c r="DI27" s="863"/>
      <c r="DJ27" s="863"/>
      <c r="DK27" s="863"/>
      <c r="DL27" s="863"/>
    </row>
    <row r="28" spans="1:116" s="829" customFormat="1">
      <c r="A28" s="814" t="s">
        <v>739</v>
      </c>
      <c r="B28" s="814"/>
      <c r="C28" s="814"/>
      <c r="D28" s="846">
        <v>46</v>
      </c>
      <c r="E28" s="846">
        <v>40.729867118523138</v>
      </c>
      <c r="F28" s="846">
        <v>35.223947768762677</v>
      </c>
      <c r="G28" s="846">
        <v>35</v>
      </c>
      <c r="H28" s="846">
        <v>33.958500000000001</v>
      </c>
      <c r="I28" s="846">
        <f>Wireline!N219</f>
        <v>34.993439971243717</v>
      </c>
      <c r="J28" s="829">
        <f>Wireline!O219</f>
        <v>32.064228813103007</v>
      </c>
      <c r="K28" s="829">
        <f>Wireline!P219</f>
        <v>31.884677849741482</v>
      </c>
      <c r="L28" s="829">
        <f>Wireline!Q219</f>
        <v>33.395913154533837</v>
      </c>
      <c r="M28" s="829">
        <f>Wireline!R219</f>
        <v>0</v>
      </c>
      <c r="N28" s="829">
        <f>Wireline!S219</f>
        <v>0</v>
      </c>
      <c r="O28" s="829">
        <f>Wireline!T219</f>
        <v>0</v>
      </c>
      <c r="P28" s="829">
        <f>Wireline!U219</f>
        <v>0</v>
      </c>
      <c r="Q28" s="829">
        <f>Wireline!V219</f>
        <v>0</v>
      </c>
      <c r="R28" s="829">
        <f>Wireline!W219</f>
        <v>0</v>
      </c>
      <c r="V28" s="878"/>
      <c r="W28" s="878"/>
      <c r="X28" s="878"/>
      <c r="Y28" s="878"/>
      <c r="Z28" s="878"/>
      <c r="AA28" s="878"/>
      <c r="AB28" s="878"/>
      <c r="AS28" s="896">
        <v>46</v>
      </c>
      <c r="AT28" s="896">
        <v>46</v>
      </c>
      <c r="AU28" s="896">
        <v>46</v>
      </c>
      <c r="AV28" s="896">
        <v>46</v>
      </c>
      <c r="AW28" s="896">
        <v>44</v>
      </c>
      <c r="AX28" s="896">
        <v>42</v>
      </c>
      <c r="AY28" s="896">
        <v>40</v>
      </c>
      <c r="AZ28" s="896">
        <v>38</v>
      </c>
      <c r="BA28" s="896">
        <v>36</v>
      </c>
      <c r="BB28" s="896">
        <v>35</v>
      </c>
      <c r="BC28" s="896">
        <v>35</v>
      </c>
      <c r="BD28" s="896">
        <v>35</v>
      </c>
      <c r="BE28" s="896">
        <v>35</v>
      </c>
      <c r="BF28" s="896">
        <v>35</v>
      </c>
      <c r="BG28" s="896">
        <v>35</v>
      </c>
      <c r="BH28" s="896">
        <v>35</v>
      </c>
      <c r="BI28" s="896">
        <v>33.950000000000003</v>
      </c>
      <c r="BJ28" s="896">
        <v>33.950000000000003</v>
      </c>
      <c r="BK28" s="896">
        <v>33.950000000000003</v>
      </c>
      <c r="BL28" s="896">
        <v>33.984000000000002</v>
      </c>
      <c r="BM28" s="877">
        <f>Wireline!BZ219</f>
        <v>33.6</v>
      </c>
      <c r="BN28" s="878">
        <f>Wireline!CA219</f>
        <v>34.6</v>
      </c>
      <c r="BO28" s="878">
        <f>Wireline!CB219</f>
        <v>34.300000000000004</v>
      </c>
      <c r="BP28" s="878">
        <f>Wireline!CC219</f>
        <v>34.000000000000007</v>
      </c>
      <c r="BQ28" s="877">
        <f>Wireline!CD219</f>
        <v>33.320000000000007</v>
      </c>
      <c r="BR28" s="878">
        <f>Wireline!CE219</f>
        <v>32.653600000000004</v>
      </c>
      <c r="BS28" s="878">
        <f>Wireline!CF219</f>
        <v>32.000528000000003</v>
      </c>
      <c r="BT28" s="878">
        <f>Wireline!CG219</f>
        <v>31.360517440000002</v>
      </c>
      <c r="BU28" s="877">
        <f>Wireline!CH219</f>
        <v>32.200000000000003</v>
      </c>
      <c r="BV28" s="878">
        <f>Wireline!CI219</f>
        <v>32</v>
      </c>
      <c r="BW28" s="878">
        <f>Wireline!CJ219</f>
        <v>32</v>
      </c>
      <c r="BX28" s="878">
        <f>Wireline!CK219</f>
        <v>32</v>
      </c>
      <c r="BY28" s="877">
        <f>Wireline!CL219</f>
        <v>33.5</v>
      </c>
      <c r="BZ28" s="878">
        <f>Wireline!CM219</f>
        <v>33.5</v>
      </c>
      <c r="CA28" s="878">
        <f>Wireline!CN219</f>
        <v>33.5</v>
      </c>
      <c r="CB28" s="878">
        <f>Wireline!CO219</f>
        <v>34</v>
      </c>
      <c r="CC28" s="877">
        <f>Wireline!CP219</f>
        <v>34</v>
      </c>
      <c r="CD28" s="878"/>
      <c r="CE28" s="878"/>
      <c r="CF28" s="878"/>
      <c r="CG28" s="877"/>
      <c r="CH28" s="878"/>
      <c r="CI28" s="878"/>
      <c r="CJ28" s="878"/>
      <c r="CK28" s="877"/>
      <c r="CL28" s="878"/>
      <c r="CM28" s="878"/>
      <c r="CN28" s="878"/>
      <c r="CO28" s="877"/>
      <c r="CP28" s="878"/>
      <c r="CQ28" s="878"/>
      <c r="CR28" s="878"/>
      <c r="CS28" s="877"/>
      <c r="CT28" s="878"/>
      <c r="CU28" s="878"/>
      <c r="CV28" s="879"/>
      <c r="CW28" s="878"/>
      <c r="CX28" s="878"/>
      <c r="CY28" s="878"/>
      <c r="CZ28" s="879"/>
      <c r="DA28" s="878"/>
      <c r="DB28" s="878"/>
      <c r="DC28" s="878"/>
      <c r="DD28" s="878"/>
      <c r="DE28" s="878"/>
      <c r="DF28" s="878"/>
      <c r="DG28" s="878"/>
      <c r="DH28" s="878"/>
      <c r="DI28" s="878"/>
      <c r="DJ28" s="878"/>
      <c r="DK28" s="878"/>
      <c r="DL28" s="878"/>
    </row>
    <row r="29" spans="1:116" s="816" customFormat="1">
      <c r="A29" s="820" t="s">
        <v>740</v>
      </c>
      <c r="B29" s="820"/>
      <c r="C29" s="820"/>
      <c r="D29" s="847"/>
      <c r="E29" s="847"/>
      <c r="F29" s="847"/>
      <c r="G29" s="847"/>
      <c r="H29" s="847">
        <v>169</v>
      </c>
      <c r="I29" s="847">
        <f>FiOS!F14/1000</f>
        <v>687</v>
      </c>
      <c r="J29" s="816">
        <f>FiOS!G14/1000</f>
        <v>1454</v>
      </c>
      <c r="K29" s="816">
        <f>FiOS!H14/1000</f>
        <v>2371</v>
      </c>
      <c r="L29" s="816">
        <f>FiOS!I14/1000</f>
        <v>3286</v>
      </c>
      <c r="M29" s="816">
        <f>FiOS!J14/1000</f>
        <v>4082</v>
      </c>
      <c r="N29" s="816">
        <f>FiOS!K14/1000</f>
        <v>4817</v>
      </c>
      <c r="O29" s="816">
        <f>FiOS!L14/1000</f>
        <v>5424</v>
      </c>
      <c r="P29" s="816">
        <f>FiOS!M14/1000</f>
        <v>6072</v>
      </c>
      <c r="Q29" s="816">
        <f>FiOS!N14/1000</f>
        <v>6616</v>
      </c>
      <c r="R29" s="816">
        <f>FiOS!O14/1000</f>
        <v>7034</v>
      </c>
      <c r="S29" s="816">
        <f>FiOS!P14/1000</f>
        <v>5653</v>
      </c>
      <c r="T29" s="816">
        <f>FiOS!Q14/1000</f>
        <v>5850</v>
      </c>
      <c r="U29" s="816">
        <f>FiOS!R14/1000</f>
        <v>6109</v>
      </c>
      <c r="V29" s="866">
        <f>FiOS!S14/1000</f>
        <v>6089</v>
      </c>
      <c r="W29" s="866">
        <f>FiOS!T14/1000</f>
        <v>6059</v>
      </c>
      <c r="X29" s="866">
        <f>FiOS!U14/1000</f>
        <v>6019</v>
      </c>
      <c r="Y29" s="866">
        <f>FiOS!V14/1000</f>
        <v>5969</v>
      </c>
      <c r="Z29" s="866">
        <f>FiOS!W14/1000</f>
        <v>5909</v>
      </c>
      <c r="AA29" s="866">
        <f>FiOS!X14/1000</f>
        <v>5839</v>
      </c>
      <c r="AB29" s="866">
        <f>FiOS!Y14/1000</f>
        <v>5759</v>
      </c>
      <c r="AS29" s="843"/>
      <c r="AT29" s="843"/>
      <c r="AU29" s="843"/>
      <c r="AV29" s="843"/>
      <c r="AW29" s="843"/>
      <c r="AX29" s="843"/>
      <c r="AY29" s="843"/>
      <c r="AZ29" s="843"/>
      <c r="BA29" s="843"/>
      <c r="BB29" s="843"/>
      <c r="BC29" s="843"/>
      <c r="BD29" s="843"/>
      <c r="BE29" s="843"/>
      <c r="BF29" s="843"/>
      <c r="BG29" s="843"/>
      <c r="BH29" s="843"/>
      <c r="BI29" s="843"/>
      <c r="BJ29" s="843"/>
      <c r="BK29" s="843"/>
      <c r="BL29" s="843">
        <v>169</v>
      </c>
      <c r="BM29" s="865">
        <f>FiOS!BZ14/1000</f>
        <v>264</v>
      </c>
      <c r="BN29" s="866">
        <f>FiOS!CA14/1000</f>
        <v>375</v>
      </c>
      <c r="BO29" s="866">
        <f>FiOS!CB14/1000</f>
        <v>522</v>
      </c>
      <c r="BP29" s="866">
        <f>FiOS!CC14/1000</f>
        <v>687</v>
      </c>
      <c r="BQ29" s="865">
        <f>FiOS!CD14/1000</f>
        <v>853</v>
      </c>
      <c r="BR29" s="866">
        <f>FiOS!CE14/1000</f>
        <v>1054</v>
      </c>
      <c r="BS29" s="866">
        <f>FiOS!CF14/1000</f>
        <v>1281</v>
      </c>
      <c r="BT29" s="866">
        <f>FiOS!CG14/1000</f>
        <v>1454</v>
      </c>
      <c r="BU29" s="865">
        <f>FiOS!CH14/1000</f>
        <v>1705</v>
      </c>
      <c r="BV29" s="866">
        <f>FiOS!CI14/1000</f>
        <v>1884</v>
      </c>
      <c r="BW29" s="866">
        <f>FiOS!CJ14/1000</f>
        <v>2100</v>
      </c>
      <c r="BX29" s="866">
        <f>FiOS!CK14/1000</f>
        <v>2371</v>
      </c>
      <c r="BY29" s="865">
        <f>FiOS!CL14/1000</f>
        <v>2653</v>
      </c>
      <c r="BZ29" s="866">
        <f>FiOS!CM14/1000</f>
        <v>2942</v>
      </c>
      <c r="CA29" s="866">
        <f>FiOS!CN14/1000</f>
        <v>3136</v>
      </c>
      <c r="CB29" s="866">
        <f>FiOS!CO14/1000</f>
        <v>3286</v>
      </c>
      <c r="CC29" s="865">
        <f>FiOS!CP14/1000</f>
        <v>3466</v>
      </c>
      <c r="CD29" s="866">
        <f>FiOS!CQ14/1000</f>
        <v>3659</v>
      </c>
      <c r="CE29" s="866">
        <f>FiOS!CR14/1000</f>
        <v>3885</v>
      </c>
      <c r="CF29" s="866">
        <f>FiOS!CS14/1000</f>
        <v>4082</v>
      </c>
      <c r="CG29" s="865">
        <f>FiOS!CT14/1000</f>
        <v>4289</v>
      </c>
      <c r="CH29" s="866">
        <f>FiOS!CU14/1000</f>
        <v>4478</v>
      </c>
      <c r="CI29" s="866">
        <f>FiOS!CV14/1000</f>
        <v>4616</v>
      </c>
      <c r="CJ29" s="866">
        <f>FiOS!CW14/1000</f>
        <v>4817</v>
      </c>
      <c r="CK29" s="865">
        <f>FiOS!CX14/1000</f>
        <v>5010</v>
      </c>
      <c r="CL29" s="866">
        <f>FiOS!CY14/1000</f>
        <v>5144</v>
      </c>
      <c r="CM29" s="866">
        <f>FiOS!CZ14/1000</f>
        <v>5280</v>
      </c>
      <c r="CN29" s="866">
        <f>FiOS!DA14/1000</f>
        <v>5424</v>
      </c>
      <c r="CO29" s="865">
        <f>FiOS!DB14/1000</f>
        <v>5612</v>
      </c>
      <c r="CP29" s="866">
        <f>FiOS!DC14/1000</f>
        <v>5773</v>
      </c>
      <c r="CQ29" s="866">
        <f>FiOS!DD14/1000</f>
        <v>5946</v>
      </c>
      <c r="CR29" s="866">
        <f>FiOS!DE14/1000</f>
        <v>6072</v>
      </c>
      <c r="CS29" s="865">
        <f>FiOS!DF14/1000</f>
        <v>6170</v>
      </c>
      <c r="CT29" s="866">
        <f>FiOS!DG14/1000</f>
        <v>6309</v>
      </c>
      <c r="CU29" s="866">
        <f>FiOS!DH14/1000</f>
        <v>6471</v>
      </c>
      <c r="CV29" s="867">
        <f>FiOS!DI14/1000</f>
        <v>6616</v>
      </c>
      <c r="CW29" s="866">
        <f>FiOS!DJ14/1000</f>
        <v>6749</v>
      </c>
      <c r="CX29" s="866">
        <f>FiOS!DK14/1000</f>
        <v>6821</v>
      </c>
      <c r="CY29" s="866">
        <f>FiOS!DL14/1000</f>
        <v>6935</v>
      </c>
      <c r="CZ29" s="867">
        <f>FiOS!DM14/1000</f>
        <v>7034</v>
      </c>
      <c r="DA29" s="866">
        <f>FiOS!DN14/1000</f>
        <v>7132</v>
      </c>
      <c r="DB29" s="866">
        <f>FiOS!DO14/1000</f>
        <v>5495</v>
      </c>
      <c r="DC29" s="866">
        <f>FiOS!DP14/1000</f>
        <v>5585</v>
      </c>
      <c r="DD29" s="866">
        <f>FiOS!DQ14/1000</f>
        <v>5653</v>
      </c>
      <c r="DE29" s="866">
        <f>FiOS!DR14/1000</f>
        <v>5688</v>
      </c>
      <c r="DF29" s="866">
        <f>FiOS!DS14/1000</f>
        <v>5737</v>
      </c>
      <c r="DG29" s="866">
        <f>FiOS!DT14/1000</f>
        <v>5803</v>
      </c>
      <c r="DH29" s="866">
        <f>FiOS!DU14/1000</f>
        <v>5850</v>
      </c>
      <c r="DI29" s="866">
        <f>FiOS!DV14/1000</f>
        <v>5916</v>
      </c>
      <c r="DJ29" s="866">
        <f>FiOS!DW14/1000</f>
        <v>5978</v>
      </c>
      <c r="DK29" s="866">
        <f>FiOS!DX14/1000</f>
        <v>6048</v>
      </c>
      <c r="DL29" s="866">
        <f>FiOS!DY14/1000</f>
        <v>6109</v>
      </c>
    </row>
    <row r="30" spans="1:116" s="808" customFormat="1">
      <c r="A30" s="812" t="s">
        <v>741</v>
      </c>
      <c r="B30" s="812"/>
      <c r="C30" s="812"/>
      <c r="D30" s="845"/>
      <c r="E30" s="845"/>
      <c r="F30" s="845"/>
      <c r="G30" s="845"/>
      <c r="H30" s="845">
        <v>81.12</v>
      </c>
      <c r="I30" s="845">
        <f>FiOS!F44</f>
        <v>329.76</v>
      </c>
      <c r="J30" s="808">
        <f>FiOS!G44</f>
        <v>511.02</v>
      </c>
      <c r="K30" s="808">
        <f>FiOS!H44</f>
        <v>912.18</v>
      </c>
      <c r="L30" s="808">
        <f ca="1">FiOS!I44</f>
        <v>2884.248806606663</v>
      </c>
      <c r="M30" s="808">
        <f ca="1">FiOS!J44</f>
        <v>3666.3481953612441</v>
      </c>
      <c r="N30" s="808">
        <f ca="1">FiOS!K44</f>
        <v>4449.445637251898</v>
      </c>
      <c r="O30" s="808">
        <f ca="1">FiOS!L44</f>
        <v>5128.6207963490333</v>
      </c>
      <c r="P30" s="808">
        <f ca="1">FiOS!M44</f>
        <v>5758.517081852604</v>
      </c>
      <c r="Q30" s="808">
        <f ca="1">FiOS!N44</f>
        <v>6311.1890059525867</v>
      </c>
      <c r="R30" s="808">
        <f ca="1">FiOS!O44</f>
        <v>6819.1980522133399</v>
      </c>
      <c r="S30" s="808">
        <f ca="1">FiOS!P44</f>
        <v>6126.9234457052562</v>
      </c>
      <c r="T30" s="808">
        <f ca="1">FiOS!Q44</f>
        <v>5733.6905100928079</v>
      </c>
      <c r="U30" s="808">
        <f>FiOS!R44</f>
        <v>4898.202057206272</v>
      </c>
      <c r="V30" s="863">
        <f>FiOS!S44</f>
        <v>4995.3613856825123</v>
      </c>
      <c r="W30" s="863">
        <f>FiOS!T44</f>
        <v>4974.8852363724509</v>
      </c>
      <c r="X30" s="863">
        <f>FiOS!U44</f>
        <v>4946.2186273383659</v>
      </c>
      <c r="Y30" s="863">
        <f>FiOS!V44</f>
        <v>4909.3615585802554</v>
      </c>
      <c r="Z30" s="863">
        <f>FiOS!W44</f>
        <v>4864.3140300981204</v>
      </c>
      <c r="AA30" s="863">
        <f>FiOS!X44</f>
        <v>4811.0760418919617</v>
      </c>
      <c r="AB30" s="863">
        <f>FiOS!Y44</f>
        <v>4749.6475939617785</v>
      </c>
      <c r="AS30" s="842"/>
      <c r="AT30" s="842"/>
      <c r="AU30" s="842"/>
      <c r="AV30" s="842"/>
      <c r="AW30" s="842"/>
      <c r="AX30" s="842"/>
      <c r="AY30" s="842"/>
      <c r="AZ30" s="842"/>
      <c r="BA30" s="842"/>
      <c r="BB30" s="842"/>
      <c r="BC30" s="842"/>
      <c r="BD30" s="842"/>
      <c r="BE30" s="842"/>
      <c r="BF30" s="842"/>
      <c r="BG30" s="842"/>
      <c r="BH30" s="842"/>
      <c r="BI30" s="842"/>
      <c r="BJ30" s="842"/>
      <c r="BK30" s="842"/>
      <c r="BL30" s="842"/>
      <c r="BM30" s="862">
        <f>FiOS!BZ44</f>
        <v>25.98</v>
      </c>
      <c r="BN30" s="863">
        <f>FiOS!CA44</f>
        <v>38.340000000000003</v>
      </c>
      <c r="BO30" s="863">
        <f>FiOS!CB44</f>
        <v>53.82</v>
      </c>
      <c r="BP30" s="863">
        <f>FiOS!CC44</f>
        <v>72.540000000000006</v>
      </c>
      <c r="BQ30" s="862">
        <f>FiOS!CD44</f>
        <v>92.4</v>
      </c>
      <c r="BR30" s="863">
        <f>FiOS!CE44</f>
        <v>114.42</v>
      </c>
      <c r="BS30" s="863">
        <f>FiOS!CF44</f>
        <v>140.1</v>
      </c>
      <c r="BT30" s="863">
        <f>FiOS!CG44</f>
        <v>164.1</v>
      </c>
      <c r="BU30" s="862">
        <f>FiOS!CH44</f>
        <v>189.54</v>
      </c>
      <c r="BV30" s="863">
        <f>FiOS!CI44</f>
        <v>215.34</v>
      </c>
      <c r="BW30" s="863">
        <f>FiOS!CJ44</f>
        <v>239.04</v>
      </c>
      <c r="BX30" s="863">
        <f>FiOS!CK44</f>
        <v>268.26</v>
      </c>
      <c r="BY30" s="862">
        <f>FiOS!CL44</f>
        <v>301.44</v>
      </c>
      <c r="BZ30" s="863">
        <f ca="1">FiOS!CM44</f>
        <v>790.46141379839992</v>
      </c>
      <c r="CA30" s="863">
        <f>FiOS!CN44</f>
        <v>861.85200098793644</v>
      </c>
      <c r="CB30" s="863">
        <f>FiOS!CO44</f>
        <v>930.49539182032652</v>
      </c>
      <c r="CC30" s="862">
        <f>FiOS!CP44</f>
        <v>990.73366093688071</v>
      </c>
      <c r="CD30" s="863">
        <f>FiOS!CQ44</f>
        <v>1069.8800066664544</v>
      </c>
      <c r="CE30" s="863">
        <f>FiOS!CR44</f>
        <v>1134.2392371358821</v>
      </c>
      <c r="CF30" s="863">
        <f>FiOS!CS44</f>
        <v>1192.8846076892696</v>
      </c>
      <c r="CG30" s="862">
        <f>FiOS!CT44</f>
        <v>1224.036803050687</v>
      </c>
      <c r="CH30" s="863">
        <f>FiOS!CU44</f>
        <v>1275.2785558658484</v>
      </c>
      <c r="CI30" s="863">
        <f>FiOS!CV44</f>
        <v>1328.8896634364946</v>
      </c>
      <c r="CJ30" s="863">
        <f>FiOS!CW44</f>
        <v>1406.7472050835527</v>
      </c>
      <c r="CK30" s="862">
        <f>FiOS!CX44</f>
        <v>1445.0055726030669</v>
      </c>
      <c r="CL30" s="863">
        <f>FiOS!CY44</f>
        <v>1510.8341847360414</v>
      </c>
      <c r="CM30" s="863">
        <f>FiOS!CZ44</f>
        <v>1599.8687782793661</v>
      </c>
      <c r="CN30" s="863">
        <f>FiOS!DA44</f>
        <v>1654.7093187979158</v>
      </c>
      <c r="CO30" s="862">
        <f>FiOS!DB44</f>
        <v>1696.8683175284532</v>
      </c>
      <c r="CP30" s="863">
        <f>FiOS!DC44</f>
        <v>1768.6671389133471</v>
      </c>
      <c r="CQ30" s="863">
        <f>FiOS!DD44</f>
        <v>1837.9723645518898</v>
      </c>
      <c r="CR30" s="863">
        <f>FiOS!DE44</f>
        <v>1962.0891661124242</v>
      </c>
      <c r="CS30" s="862">
        <f>FiOS!DF44</f>
        <v>2027.8335568221837</v>
      </c>
      <c r="CT30" s="863">
        <f>FiOS!DG44</f>
        <v>2100.9130761009337</v>
      </c>
      <c r="CU30" s="863">
        <f>FiOS!DH44</f>
        <v>2159.6818038200408</v>
      </c>
      <c r="CV30" s="864">
        <f>FiOS!DI44</f>
        <v>2250.0830243420778</v>
      </c>
      <c r="CW30" s="863">
        <f>FiOS!DJ44</f>
        <v>2278.9032118836299</v>
      </c>
      <c r="CX30" s="863">
        <f>FiOS!DK44</f>
        <v>2358.3085854681453</v>
      </c>
      <c r="CY30" s="863">
        <f>FiOS!DL44</f>
        <v>2357.2708368596341</v>
      </c>
      <c r="CZ30" s="864">
        <f>FiOS!DM44</f>
        <v>2355.8252907328797</v>
      </c>
      <c r="DA30" s="863">
        <f>FiOS!DN44</f>
        <v>2354.9650075702848</v>
      </c>
      <c r="DB30" s="863">
        <f>FiOS!DO44</f>
        <v>1806.2106115628774</v>
      </c>
      <c r="DC30" s="863">
        <f>FiOS!DP44</f>
        <v>1950.5595952834083</v>
      </c>
      <c r="DD30" s="863">
        <f>FiOS!DQ44</f>
        <v>2033.7628182710641</v>
      </c>
      <c r="DE30" s="863">
        <f>FiOS!DR44</f>
        <v>2032.0298303929994</v>
      </c>
      <c r="DF30" s="863">
        <f>FiOS!DS44</f>
        <v>2042.5952879662259</v>
      </c>
      <c r="DG30" s="863">
        <f>FiOS!DT44</f>
        <v>2088.6188629632425</v>
      </c>
      <c r="DH30" s="863">
        <f>FiOS!DU44</f>
        <v>2109.925166746872</v>
      </c>
      <c r="DI30" s="863">
        <f>FiOS!DV44</f>
        <v>1223</v>
      </c>
      <c r="DJ30" s="863">
        <f>FiOS!DW44</f>
        <v>1223.941728709842</v>
      </c>
      <c r="DK30" s="863">
        <f>FiOS!DX44</f>
        <v>1225.1498232024474</v>
      </c>
      <c r="DL30" s="863">
        <f>FiOS!DY44</f>
        <v>1226.1105052939824</v>
      </c>
    </row>
    <row r="31" spans="1:116" s="829" customFormat="1">
      <c r="A31" s="814" t="s">
        <v>742</v>
      </c>
      <c r="B31" s="814"/>
      <c r="C31" s="814"/>
      <c r="D31" s="846"/>
      <c r="E31" s="846"/>
      <c r="F31" s="846"/>
      <c r="G31" s="846"/>
      <c r="H31" s="846">
        <v>40</v>
      </c>
      <c r="I31" s="846">
        <f>FiOS!F41</f>
        <v>40</v>
      </c>
      <c r="J31" s="829">
        <f>FiOS!G41</f>
        <v>39.780476412891169</v>
      </c>
      <c r="K31" s="829">
        <f>FiOS!H41</f>
        <v>40</v>
      </c>
      <c r="L31" s="829">
        <f ca="1">FiOS!I41</f>
        <v>83.171094672683736</v>
      </c>
      <c r="M31" s="829">
        <f ca="1">FiOS!J41</f>
        <v>83.171094672683736</v>
      </c>
      <c r="N31" s="829">
        <f ca="1">FiOS!K41</f>
        <v>83.171094672683736</v>
      </c>
      <c r="O31" s="829">
        <f ca="1">FiOS!L41</f>
        <v>83.171094672683736</v>
      </c>
      <c r="P31" s="829">
        <f ca="1">FiOS!M41</f>
        <v>83.171094672683736</v>
      </c>
      <c r="Q31" s="829">
        <f ca="1">FiOS!N41</f>
        <v>83.171094672683736</v>
      </c>
      <c r="R31" s="829">
        <f ca="1">FiOS!O41</f>
        <v>83.171094672683736</v>
      </c>
      <c r="S31" s="829">
        <f ca="1">FiOS!P41</f>
        <v>83.171094672683736</v>
      </c>
      <c r="T31" s="829">
        <f ca="1">FiOS!Q41</f>
        <v>83.171094672683736</v>
      </c>
      <c r="U31" s="829">
        <f>FiOS!R41</f>
        <v>68.253831033537082</v>
      </c>
      <c r="V31" s="878">
        <f>FiOS!S41</f>
        <v>68.253831033537082</v>
      </c>
      <c r="W31" s="878">
        <f>FiOS!T41</f>
        <v>68.253831033537082</v>
      </c>
      <c r="X31" s="878">
        <f>FiOS!U41</f>
        <v>68.253831033537082</v>
      </c>
      <c r="Y31" s="878">
        <f>FiOS!V41</f>
        <v>68.253831033537082</v>
      </c>
      <c r="Z31" s="878">
        <f>FiOS!W41</f>
        <v>68.253831033537082</v>
      </c>
      <c r="AA31" s="878">
        <f>FiOS!X41</f>
        <v>68.253831033537082</v>
      </c>
      <c r="AB31" s="878">
        <f>FiOS!Y41</f>
        <v>68.253831033537082</v>
      </c>
      <c r="AS31" s="896"/>
      <c r="AT31" s="896"/>
      <c r="AU31" s="896"/>
      <c r="AV31" s="896"/>
      <c r="AW31" s="896"/>
      <c r="AX31" s="896"/>
      <c r="AY31" s="896"/>
      <c r="AZ31" s="896"/>
      <c r="BA31" s="896"/>
      <c r="BB31" s="896"/>
      <c r="BC31" s="896"/>
      <c r="BD31" s="896"/>
      <c r="BE31" s="896"/>
      <c r="BF31" s="896"/>
      <c r="BG31" s="896"/>
      <c r="BH31" s="896"/>
      <c r="BI31" s="896"/>
      <c r="BJ31" s="896"/>
      <c r="BK31" s="896"/>
      <c r="BL31" s="896"/>
      <c r="BM31" s="877">
        <f>FiOS!BZ41</f>
        <v>40</v>
      </c>
      <c r="BN31" s="878">
        <f>FiOS!CA41</f>
        <v>40</v>
      </c>
      <c r="BO31" s="878">
        <f>FiOS!CB41</f>
        <v>40</v>
      </c>
      <c r="BP31" s="878">
        <f>FiOS!CC41</f>
        <v>40</v>
      </c>
      <c r="BQ31" s="877">
        <f>FiOS!CD41</f>
        <v>40</v>
      </c>
      <c r="BR31" s="878">
        <f>FiOS!CE41</f>
        <v>40</v>
      </c>
      <c r="BS31" s="878">
        <f>FiOS!CF41</f>
        <v>40</v>
      </c>
      <c r="BT31" s="878">
        <f>FiOS!CG41</f>
        <v>40</v>
      </c>
      <c r="BU31" s="877">
        <f>FiOS!CH41</f>
        <v>40</v>
      </c>
      <c r="BV31" s="878">
        <f>FiOS!CI41</f>
        <v>40</v>
      </c>
      <c r="BW31" s="878">
        <f>FiOS!CJ41</f>
        <v>40</v>
      </c>
      <c r="BX31" s="878">
        <f>FiOS!CK41</f>
        <v>40</v>
      </c>
      <c r="BY31" s="877">
        <f>FiOS!CL41</f>
        <v>40</v>
      </c>
      <c r="BZ31" s="878">
        <f ca="1">FiOS!CM41</f>
        <v>94.186644479999984</v>
      </c>
      <c r="CA31" s="878">
        <f>FiOS!CN41</f>
        <v>94.532412085986223</v>
      </c>
      <c r="CB31" s="878">
        <f>FiOS!CO41</f>
        <v>96.594559516280128</v>
      </c>
      <c r="CC31" s="877">
        <f>FiOS!CP41</f>
        <v>97.821254041951093</v>
      </c>
      <c r="CD31" s="878">
        <f>FiOS!CQ41</f>
        <v>100.10573161791386</v>
      </c>
      <c r="CE31" s="878">
        <f>FiOS!CR41</f>
        <v>100.23323057050921</v>
      </c>
      <c r="CF31" s="878">
        <f>FiOS!CS41</f>
        <v>99.818803203988921</v>
      </c>
      <c r="CG31" s="877">
        <f>FiOS!CT41</f>
        <v>97.482324138946922</v>
      </c>
      <c r="CH31" s="878">
        <f>FiOS!CU41</f>
        <v>96.975670572666317</v>
      </c>
      <c r="CI31" s="878">
        <f>FiOS!CV41</f>
        <v>97.418786264679611</v>
      </c>
      <c r="CJ31" s="878">
        <f>FiOS!CW41</f>
        <v>99.420276694127196</v>
      </c>
      <c r="CK31" s="877">
        <f>FiOS!CX41</f>
        <v>98.029617218077192</v>
      </c>
      <c r="CL31" s="878">
        <f>FiOS!CY41</f>
        <v>99.194680896595187</v>
      </c>
      <c r="CM31" s="878">
        <f>FiOS!CZ41</f>
        <v>102.3195688334207</v>
      </c>
      <c r="CN31" s="878">
        <f>FiOS!DA41</f>
        <v>103.05862722956624</v>
      </c>
      <c r="CO31" s="877">
        <f>FiOS!DB41</f>
        <v>102.50503307529618</v>
      </c>
      <c r="CP31" s="878">
        <f>FiOS!DC41</f>
        <v>103.56709933616436</v>
      </c>
      <c r="CQ31" s="878">
        <f>FiOS!DD41</f>
        <v>104.55797505770626</v>
      </c>
      <c r="CR31" s="878">
        <f>FiOS!DE41</f>
        <v>108.84169113620813</v>
      </c>
      <c r="CS31" s="877">
        <f>FiOS!DF41</f>
        <v>110.43040662321971</v>
      </c>
      <c r="CT31" s="878">
        <f>FiOS!DG41</f>
        <v>112.23725598209973</v>
      </c>
      <c r="CU31" s="878">
        <f>FiOS!DH41</f>
        <v>112.65945768492649</v>
      </c>
      <c r="CV31" s="879">
        <f>FiOS!DI41</f>
        <v>114.62178876452856</v>
      </c>
      <c r="CW31" s="878">
        <f>FiOS!DJ41</f>
        <v>113.67518203684398</v>
      </c>
      <c r="CX31" s="878">
        <f>FiOS!DK41</f>
        <v>115.85893320894843</v>
      </c>
      <c r="CY31" s="878">
        <f>FiOS!DL41</f>
        <v>114.2420682785516</v>
      </c>
      <c r="CZ31" s="879">
        <f>FiOS!DM41</f>
        <v>112.43111130517001</v>
      </c>
      <c r="DA31" s="878">
        <f>FiOS!DN41</f>
        <v>110.82709810204175</v>
      </c>
      <c r="DB31" s="878">
        <f>FiOS!DO41</f>
        <v>95.362351129213991</v>
      </c>
      <c r="DC31" s="878">
        <f>FiOS!DP41</f>
        <v>117.36218984858051</v>
      </c>
      <c r="DD31" s="878">
        <f>FiOS!DQ41</f>
        <v>120.64796928700623</v>
      </c>
      <c r="DE31" s="878">
        <f>FiOS!DR41</f>
        <v>119.45036183716894</v>
      </c>
      <c r="DF31" s="878">
        <f>FiOS!DS41</f>
        <v>119.18863824748217</v>
      </c>
      <c r="DG31" s="878">
        <f>FiOS!DT41</f>
        <v>120.65966857095566</v>
      </c>
      <c r="DH31" s="878">
        <f>FiOS!DU41</f>
        <v>120.70855383431287</v>
      </c>
      <c r="DI31" s="878">
        <f>FiOS!DV41</f>
        <v>69.295710805144765</v>
      </c>
      <c r="DJ31" s="878">
        <f>FiOS!DW41</f>
        <v>68.60275369709332</v>
      </c>
      <c r="DK31" s="878">
        <f>FiOS!DX41</f>
        <v>67.91672616012238</v>
      </c>
      <c r="DL31" s="878">
        <f>FiOS!DY41</f>
        <v>67.237558898521158</v>
      </c>
    </row>
    <row r="32" spans="1:116" s="816" customFormat="1">
      <c r="A32" s="820" t="s">
        <v>743</v>
      </c>
      <c r="B32" s="820"/>
      <c r="C32" s="820"/>
      <c r="D32" s="847"/>
      <c r="E32" s="847"/>
      <c r="F32" s="847"/>
      <c r="G32" s="847"/>
      <c r="H32" s="847"/>
      <c r="I32" s="847">
        <f>BP32</f>
        <v>207</v>
      </c>
      <c r="J32" s="816">
        <f>BT32</f>
        <v>917</v>
      </c>
      <c r="K32" s="816">
        <f>FiOS!H63/1000</f>
        <v>1849</v>
      </c>
      <c r="L32" s="816">
        <f>FiOS!I63/1000</f>
        <v>2750</v>
      </c>
      <c r="M32" s="816">
        <f>FiOS!J63/1000</f>
        <v>3472</v>
      </c>
      <c r="N32" s="816">
        <f>FiOS!K63/1000</f>
        <v>4173</v>
      </c>
      <c r="O32" s="816">
        <f>FiOS!L63/1000</f>
        <v>4726</v>
      </c>
      <c r="P32" s="816">
        <f>FiOS!M63/1000</f>
        <v>5262</v>
      </c>
      <c r="Q32" s="816">
        <f>FiOS!N63/1000</f>
        <v>5649</v>
      </c>
      <c r="R32" s="816">
        <f>FiOS!O63/1000</f>
        <v>5827</v>
      </c>
      <c r="S32" s="816">
        <f>FiOS!P63/1000</f>
        <v>4694</v>
      </c>
      <c r="T32" s="816">
        <f>FiOS!Q63/1000</f>
        <v>4619</v>
      </c>
      <c r="U32" s="816">
        <f>FiOS!R63/1000</f>
        <v>4512.5</v>
      </c>
      <c r="V32" s="866">
        <f>FiOS!S63/1000</f>
        <v>4467.375</v>
      </c>
      <c r="W32" s="866">
        <f>FiOS!T63/1000</f>
        <v>4422.7012500000001</v>
      </c>
      <c r="X32" s="866">
        <f>FiOS!U63/1000</f>
        <v>4378.4742374999996</v>
      </c>
      <c r="Y32" s="866">
        <f>FiOS!V63/1000</f>
        <v>4334.6894951249997</v>
      </c>
      <c r="Z32" s="866">
        <f>FiOS!W63/1000</f>
        <v>4291.3426001737489</v>
      </c>
      <c r="AA32" s="866">
        <f>FiOS!X63/1000</f>
        <v>4248.4291741720108</v>
      </c>
      <c r="AB32" s="866">
        <f>FiOS!Y63/1000</f>
        <v>4205.9448824302908</v>
      </c>
      <c r="AS32" s="843"/>
      <c r="AT32" s="843"/>
      <c r="AU32" s="843"/>
      <c r="AV32" s="843"/>
      <c r="AW32" s="843"/>
      <c r="AX32" s="843"/>
      <c r="AY32" s="843"/>
      <c r="AZ32" s="843"/>
      <c r="BA32" s="843"/>
      <c r="BB32" s="843"/>
      <c r="BC32" s="843"/>
      <c r="BD32" s="843"/>
      <c r="BE32" s="843"/>
      <c r="BF32" s="843"/>
      <c r="BG32" s="843"/>
      <c r="BH32" s="843"/>
      <c r="BI32" s="843"/>
      <c r="BJ32" s="843"/>
      <c r="BK32" s="843"/>
      <c r="BL32" s="843"/>
      <c r="BM32" s="865">
        <f>FiOS!BZ63/1000</f>
        <v>20</v>
      </c>
      <c r="BN32" s="866">
        <f>FiOS!CA63/1000</f>
        <v>55</v>
      </c>
      <c r="BO32" s="866">
        <f>FiOS!CB63/1000</f>
        <v>118</v>
      </c>
      <c r="BP32" s="866">
        <f>FiOS!CC63/1000</f>
        <v>207</v>
      </c>
      <c r="BQ32" s="865">
        <f>FiOS!CD63/1000</f>
        <v>348</v>
      </c>
      <c r="BR32" s="866">
        <f>FiOS!CE63/1000</f>
        <v>515</v>
      </c>
      <c r="BS32" s="866">
        <f>FiOS!CF63/1000</f>
        <v>717</v>
      </c>
      <c r="BT32" s="866">
        <f>FiOS!CG63/1000</f>
        <v>917</v>
      </c>
      <c r="BU32" s="865">
        <f>FiOS!CH63/1000</f>
        <v>1166</v>
      </c>
      <c r="BV32" s="866">
        <f>FiOS!CI63/1000</f>
        <v>1335.2727272727273</v>
      </c>
      <c r="BW32" s="866">
        <f>FiOS!CJ63/1000</f>
        <v>1555.5555555555554</v>
      </c>
      <c r="BX32" s="866">
        <f>FiOS!CK63/1000</f>
        <v>1849</v>
      </c>
      <c r="BY32" s="865">
        <f>FiOS!CL63/1000</f>
        <v>2130</v>
      </c>
      <c r="BZ32" s="866">
        <f>FiOS!CM63/1000</f>
        <v>2414.1999999999998</v>
      </c>
      <c r="CA32" s="866">
        <f>FiOS!CN63/1000</f>
        <v>2601</v>
      </c>
      <c r="CB32" s="866">
        <f>FiOS!CO63/1000</f>
        <v>2750</v>
      </c>
      <c r="CC32" s="865">
        <f>FiOS!CP63/1000</f>
        <v>2914</v>
      </c>
      <c r="CD32" s="866">
        <f>FiOS!CQ63/1000</f>
        <v>3086</v>
      </c>
      <c r="CE32" s="866">
        <f>FiOS!CR63/1000</f>
        <v>3290</v>
      </c>
      <c r="CF32" s="866">
        <f>FiOS!CS63/1000</f>
        <v>3472</v>
      </c>
      <c r="CG32" s="865">
        <f>FiOS!CT63/1000</f>
        <v>3664</v>
      </c>
      <c r="CH32" s="866">
        <f>FiOS!CU63/1000</f>
        <v>3848</v>
      </c>
      <c r="CI32" s="866">
        <f>FiOS!CV63/1000</f>
        <v>3979</v>
      </c>
      <c r="CJ32" s="866">
        <f>FiOS!CW63/1000</f>
        <v>4173</v>
      </c>
      <c r="CK32" s="865">
        <f>FiOS!CX63/1000</f>
        <v>4353</v>
      </c>
      <c r="CL32" s="866">
        <f>FiOS!CY63/1000</f>
        <v>4473</v>
      </c>
      <c r="CM32" s="866">
        <f>FiOS!CZ63/1000</f>
        <v>4592</v>
      </c>
      <c r="CN32" s="866">
        <f>FiOS!DA63/1000</f>
        <v>4726</v>
      </c>
      <c r="CO32" s="865">
        <f>FiOS!DB63/1000</f>
        <v>4895</v>
      </c>
      <c r="CP32" s="866">
        <f>FiOS!DC63/1000</f>
        <v>5035</v>
      </c>
      <c r="CQ32" s="866">
        <f>FiOS!DD63/1000</f>
        <v>5170</v>
      </c>
      <c r="CR32" s="866">
        <f>FiOS!DE63/1000</f>
        <v>5262</v>
      </c>
      <c r="CS32" s="865">
        <f>FiOS!DF63/1000</f>
        <v>5319</v>
      </c>
      <c r="CT32" s="866">
        <f>FiOS!DG63/1000</f>
        <v>5419</v>
      </c>
      <c r="CU32" s="866">
        <f>FiOS!DH63/1000</f>
        <v>5533</v>
      </c>
      <c r="CV32" s="867">
        <f>FiOS!DI63/1000</f>
        <v>5649</v>
      </c>
      <c r="CW32" s="866">
        <f>FiOS!DJ63/1000</f>
        <v>5739</v>
      </c>
      <c r="CX32" s="866">
        <f>FiOS!DK63/1000</f>
        <v>5765</v>
      </c>
      <c r="CY32" s="866">
        <f>FiOS!DL63/1000</f>
        <v>5807</v>
      </c>
      <c r="CZ32" s="867">
        <f>FiOS!DM63/1000</f>
        <v>5827</v>
      </c>
      <c r="DA32" s="866">
        <f>FiOS!DN63/1000</f>
        <v>5863</v>
      </c>
      <c r="DB32" s="866">
        <f>FiOS!DO63/1000</f>
        <v>4637</v>
      </c>
      <c r="DC32" s="866">
        <f>FiOS!DP63/1000</f>
        <v>4673</v>
      </c>
      <c r="DD32" s="866">
        <f>FiOS!DQ63/1000</f>
        <v>4694</v>
      </c>
      <c r="DE32" s="866">
        <f>FiOS!DR63/1000</f>
        <v>4681</v>
      </c>
      <c r="DF32" s="866">
        <f>FiOS!DS63/1000</f>
        <v>4666</v>
      </c>
      <c r="DG32" s="866">
        <f>FiOS!DT63/1000</f>
        <v>4648</v>
      </c>
      <c r="DH32" s="866">
        <f>FiOS!DU63/1000</f>
        <v>4619</v>
      </c>
      <c r="DI32" s="866">
        <f>FiOS!DV63/1000</f>
        <v>4597</v>
      </c>
      <c r="DJ32" s="866">
        <f>FiOS!DW63/1000</f>
        <v>4574.5</v>
      </c>
      <c r="DK32" s="866">
        <f>FiOS!DX63/1000</f>
        <v>4549</v>
      </c>
      <c r="DL32" s="866">
        <f>FiOS!DY63/1000</f>
        <v>4512.5</v>
      </c>
    </row>
    <row r="33" spans="1:116" s="808" customFormat="1">
      <c r="A33" s="812" t="s">
        <v>744</v>
      </c>
      <c r="B33" s="812"/>
      <c r="C33" s="812"/>
      <c r="D33" s="845"/>
      <c r="E33" s="845"/>
      <c r="F33" s="845"/>
      <c r="G33" s="845"/>
      <c r="H33" s="845"/>
      <c r="I33" s="845">
        <f>FiOS!F91</f>
        <v>173.88</v>
      </c>
      <c r="J33" s="808">
        <f>FiOS!G91</f>
        <v>449.82</v>
      </c>
      <c r="K33" s="808">
        <f>FiOS!H91</f>
        <v>1142.3639393939393</v>
      </c>
      <c r="L33" s="808">
        <f ca="1">FiOS!I91</f>
        <v>1943.9926808144573</v>
      </c>
      <c r="M33" s="808">
        <f>FiOS!J91</f>
        <v>2516.2624875715128</v>
      </c>
      <c r="N33" s="808">
        <f>FiOS!K91</f>
        <v>3058.0477725634173</v>
      </c>
      <c r="O33" s="808">
        <f>FiOS!L91</f>
        <v>3511.5821455836099</v>
      </c>
      <c r="P33" s="808">
        <f>FiOS!M91</f>
        <v>3886.4030128938857</v>
      </c>
      <c r="Q33" s="808">
        <f>FiOS!N91</f>
        <v>4135.4885389147639</v>
      </c>
      <c r="R33" s="808">
        <f>FiOS!O91</f>
        <v>4317.692075055711</v>
      </c>
      <c r="S33" s="808">
        <f>FiOS!P91</f>
        <v>3768.5019673123657</v>
      </c>
      <c r="T33" s="808">
        <f>FiOS!Q91</f>
        <v>3543.4371444896506</v>
      </c>
      <c r="U33" s="808">
        <f>FiOS!R91</f>
        <v>6882.9814812348632</v>
      </c>
      <c r="V33" s="863">
        <f>FiOS!S91</f>
        <v>6827.6870831462948</v>
      </c>
      <c r="W33" s="863">
        <f>FiOS!T91</f>
        <v>6827.0043144379797</v>
      </c>
      <c r="X33" s="863">
        <f>FiOS!U91</f>
        <v>6826.3216140065379</v>
      </c>
      <c r="Y33" s="863">
        <f>FiOS!V91</f>
        <v>6825.638981845138</v>
      </c>
      <c r="Z33" s="863">
        <f>FiOS!W91</f>
        <v>6824.9564179469508</v>
      </c>
      <c r="AA33" s="863">
        <f>FiOS!X91</f>
        <v>6824.2739223051558</v>
      </c>
      <c r="AB33" s="863">
        <f>FiOS!Y91</f>
        <v>6823.5914949129265</v>
      </c>
      <c r="AS33" s="842"/>
      <c r="AT33" s="842"/>
      <c r="AU33" s="842"/>
      <c r="AV33" s="842"/>
      <c r="AW33" s="842"/>
      <c r="AX33" s="842"/>
      <c r="AY33" s="842"/>
      <c r="AZ33" s="842"/>
      <c r="BA33" s="842"/>
      <c r="BB33" s="842"/>
      <c r="BC33" s="842"/>
      <c r="BD33" s="842"/>
      <c r="BE33" s="842"/>
      <c r="BF33" s="842"/>
      <c r="BG33" s="842"/>
      <c r="BH33" s="842"/>
      <c r="BI33" s="842"/>
      <c r="BJ33" s="842"/>
      <c r="BK33" s="842"/>
      <c r="BL33" s="842"/>
      <c r="BM33" s="862">
        <f>FiOS!BZ91</f>
        <v>4.2</v>
      </c>
      <c r="BN33" s="863">
        <f>FiOS!CA91</f>
        <v>7.875</v>
      </c>
      <c r="BO33" s="863">
        <f>FiOS!CB91</f>
        <v>18.164999999999999</v>
      </c>
      <c r="BP33" s="863">
        <f>FiOS!CC91</f>
        <v>34.125</v>
      </c>
      <c r="BQ33" s="862">
        <f>FiOS!CD91</f>
        <v>58.274999999999999</v>
      </c>
      <c r="BR33" s="863">
        <f>FiOS!CE91</f>
        <v>90.614999999999995</v>
      </c>
      <c r="BS33" s="863">
        <f>FiOS!CF91</f>
        <v>129.36000000000001</v>
      </c>
      <c r="BT33" s="863">
        <f>FiOS!CG91</f>
        <v>171.57</v>
      </c>
      <c r="BU33" s="862">
        <f>FiOS!CH91</f>
        <v>218.715</v>
      </c>
      <c r="BV33" s="863">
        <f>FiOS!CI91</f>
        <v>262.63363636363641</v>
      </c>
      <c r="BW33" s="863">
        <f>FiOS!CJ91</f>
        <v>302.32282181818181</v>
      </c>
      <c r="BX33" s="863">
        <f>FiOS!CK91</f>
        <v>354.62422631999993</v>
      </c>
      <c r="BY33" s="862">
        <f>FiOS!CL91</f>
        <v>412.80148742111999</v>
      </c>
      <c r="BZ33" s="863">
        <f ca="1">FiOS!CM91</f>
        <v>466.53858620160008</v>
      </c>
      <c r="CA33" s="863">
        <f>FiOS!CN91</f>
        <v>516.14799901206356</v>
      </c>
      <c r="CB33" s="863">
        <f>FiOS!CO91</f>
        <v>548.50460817967348</v>
      </c>
      <c r="CC33" s="862">
        <f>FiOS!CP91</f>
        <v>578.26633906311929</v>
      </c>
      <c r="CD33" s="863">
        <f>FiOS!CQ91</f>
        <v>610.11999333354549</v>
      </c>
      <c r="CE33" s="863">
        <f>FiOS!CR91</f>
        <v>645.76076286411785</v>
      </c>
      <c r="CF33" s="863">
        <f>FiOS!CS91</f>
        <v>682.11539231073027</v>
      </c>
      <c r="CG33" s="862">
        <f>FiOS!CT91</f>
        <v>716.9631969493131</v>
      </c>
      <c r="CH33" s="863">
        <f>FiOS!CU91</f>
        <v>751.72144413415162</v>
      </c>
      <c r="CI33" s="863">
        <f>FiOS!CV91</f>
        <v>780.11033656350537</v>
      </c>
      <c r="CJ33" s="863">
        <f>FiOS!CW91</f>
        <v>809.25279491644744</v>
      </c>
      <c r="CK33" s="862">
        <f>FiOS!CX91</f>
        <v>842.99442739693325</v>
      </c>
      <c r="CL33" s="863">
        <f>FiOS!CY91</f>
        <v>869.16581526395862</v>
      </c>
      <c r="CM33" s="863">
        <f>FiOS!CZ91</f>
        <v>889.1312217206339</v>
      </c>
      <c r="CN33" s="863">
        <f>FiOS!DA91</f>
        <v>910.29068120208422</v>
      </c>
      <c r="CO33" s="862">
        <f>FiOS!DB91</f>
        <v>936.1316824715467</v>
      </c>
      <c r="CP33" s="863">
        <f>FiOS!DC91</f>
        <v>962.33286108665288</v>
      </c>
      <c r="CQ33" s="863">
        <f>FiOS!DD91</f>
        <v>985.02763544811035</v>
      </c>
      <c r="CR33" s="863">
        <f>FiOS!DE91</f>
        <v>1002.9108338875757</v>
      </c>
      <c r="CS33" s="862">
        <f>FiOS!DF91</f>
        <v>1013.1664431778164</v>
      </c>
      <c r="CT33" s="863">
        <f>FiOS!DG91</f>
        <v>1024.0869238990661</v>
      </c>
      <c r="CU33" s="863">
        <f>FiOS!DH91</f>
        <v>1040.3181961799592</v>
      </c>
      <c r="CV33" s="864">
        <f>FiOS!DI91</f>
        <v>1057.9169756579222</v>
      </c>
      <c r="CW33" s="863">
        <f>FiOS!DJ91</f>
        <v>1073.0967881163701</v>
      </c>
      <c r="CX33" s="863">
        <f>FiOS!DK91</f>
        <v>1079.6914145318547</v>
      </c>
      <c r="CY33" s="863">
        <f>FiOS!DL91</f>
        <v>1081.7291631403662</v>
      </c>
      <c r="CZ33" s="864">
        <f>FiOS!DM91</f>
        <v>1083.1747092671205</v>
      </c>
      <c r="DA33" s="863">
        <f>FiOS!DN91</f>
        <v>1084.0349924297154</v>
      </c>
      <c r="DB33" s="863">
        <f>FiOS!DO91</f>
        <v>969.78938843712262</v>
      </c>
      <c r="DC33" s="863">
        <f>FiOS!DP91</f>
        <v>856.44040471659173</v>
      </c>
      <c r="DD33" s="863">
        <f>FiOS!DQ91</f>
        <v>858.23718172893587</v>
      </c>
      <c r="DE33" s="863">
        <f>FiOS!DR91</f>
        <v>858.97016960700046</v>
      </c>
      <c r="DF33" s="863">
        <f>FiOS!DS91</f>
        <v>856.40471203377422</v>
      </c>
      <c r="DG33" s="863">
        <f>FiOS!DT91</f>
        <v>853.38113703675754</v>
      </c>
      <c r="DH33" s="863">
        <f>FiOS!DU91</f>
        <v>849.07483325312785</v>
      </c>
      <c r="DI33" s="863">
        <f>FiOS!DV91</f>
        <v>1728</v>
      </c>
      <c r="DJ33" s="863">
        <f>FiOS!DW91</f>
        <v>1723.9553906250001</v>
      </c>
      <c r="DK33" s="863">
        <f>FiOS!DX91</f>
        <v>1719.2202228515623</v>
      </c>
      <c r="DL33" s="863">
        <f>FiOS!DY91</f>
        <v>1711.8058677583006</v>
      </c>
    </row>
    <row r="34" spans="1:116" s="829" customFormat="1">
      <c r="A34" s="814" t="s">
        <v>745</v>
      </c>
      <c r="B34" s="814"/>
      <c r="C34" s="814"/>
      <c r="D34" s="846"/>
      <c r="E34" s="846"/>
      <c r="F34" s="846"/>
      <c r="G34" s="846"/>
      <c r="H34" s="846"/>
      <c r="I34" s="846">
        <f>FiOS!F88</f>
        <v>70</v>
      </c>
      <c r="J34" s="829">
        <f>FiOS!G88</f>
        <v>70</v>
      </c>
      <c r="K34" s="829">
        <f>FiOS!H88</f>
        <v>70</v>
      </c>
      <c r="L34" s="829">
        <f ca="1">FiOS!I88</f>
        <v>68.609649885278074</v>
      </c>
      <c r="M34" s="829">
        <f>FiOS!J88</f>
        <v>67.636010202712484</v>
      </c>
      <c r="N34" s="829">
        <f>FiOS!K88</f>
        <v>66.283289998658233</v>
      </c>
      <c r="O34" s="829">
        <f>FiOS!L88</f>
        <v>66.946122898644816</v>
      </c>
      <c r="P34" s="829">
        <f>FiOS!M88</f>
        <v>67.615584127631266</v>
      </c>
      <c r="Q34" s="829">
        <f>FiOS!N88</f>
        <v>68.291739968907578</v>
      </c>
      <c r="R34" s="829">
        <f>FiOS!O88</f>
        <v>68.974657368596652</v>
      </c>
      <c r="S34" s="829">
        <f>FiOS!P88</f>
        <v>69.664403942282618</v>
      </c>
      <c r="T34" s="829">
        <f>FiOS!Q88</f>
        <v>70.36104798170544</v>
      </c>
      <c r="U34" s="829">
        <f>FiOS!R88</f>
        <v>125.46734078401101</v>
      </c>
      <c r="V34" s="878">
        <f>FiOS!S88</f>
        <v>126.72201419185113</v>
      </c>
      <c r="W34" s="878">
        <f>FiOS!T88</f>
        <v>127.98923433376964</v>
      </c>
      <c r="X34" s="878">
        <f>FiOS!U88</f>
        <v>129.26912667710735</v>
      </c>
      <c r="Y34" s="878">
        <f>FiOS!V88</f>
        <v>130.56181794387842</v>
      </c>
      <c r="Z34" s="878">
        <f>FiOS!W88</f>
        <v>131.86743612331722</v>
      </c>
      <c r="AA34" s="878">
        <f>FiOS!X88</f>
        <v>133.1861104845504</v>
      </c>
      <c r="AB34" s="878">
        <f>FiOS!Y88</f>
        <v>134.5179715893959</v>
      </c>
      <c r="AS34" s="896"/>
      <c r="AT34" s="896"/>
      <c r="AU34" s="896"/>
      <c r="AV34" s="896"/>
      <c r="AW34" s="896"/>
      <c r="AX34" s="896"/>
      <c r="AY34" s="896"/>
      <c r="AZ34" s="896"/>
      <c r="BA34" s="896"/>
      <c r="BB34" s="896"/>
      <c r="BC34" s="896"/>
      <c r="BD34" s="896"/>
      <c r="BE34" s="896"/>
      <c r="BF34" s="896"/>
      <c r="BG34" s="896"/>
      <c r="BH34" s="896"/>
      <c r="BI34" s="896"/>
      <c r="BJ34" s="896"/>
      <c r="BK34" s="896"/>
      <c r="BL34" s="896"/>
      <c r="BM34" s="877">
        <f>FiOS!BZ88</f>
        <v>70</v>
      </c>
      <c r="BN34" s="878">
        <f>FiOS!CA88</f>
        <v>70</v>
      </c>
      <c r="BO34" s="878">
        <f>FiOS!CB88</f>
        <v>70</v>
      </c>
      <c r="BP34" s="878">
        <f>FiOS!CC88</f>
        <v>70</v>
      </c>
      <c r="BQ34" s="877">
        <f>FiOS!CD88</f>
        <v>70</v>
      </c>
      <c r="BR34" s="878">
        <f>FiOS!CE88</f>
        <v>70</v>
      </c>
      <c r="BS34" s="878">
        <f>FiOS!CF88</f>
        <v>70</v>
      </c>
      <c r="BT34" s="878">
        <f>FiOS!CG88</f>
        <v>70</v>
      </c>
      <c r="BU34" s="877">
        <f>FiOS!CH88</f>
        <v>70</v>
      </c>
      <c r="BV34" s="878">
        <f>FiOS!CI88</f>
        <v>70</v>
      </c>
      <c r="BW34" s="878">
        <f>FiOS!CJ88</f>
        <v>69.72</v>
      </c>
      <c r="BX34" s="878">
        <f>FiOS!CK88</f>
        <v>69.441119999999998</v>
      </c>
      <c r="BY34" s="877">
        <f>FiOS!CL88</f>
        <v>69.163355519999996</v>
      </c>
      <c r="BZ34" s="878">
        <f>FiOS!CM88</f>
        <v>68.886702097919994</v>
      </c>
      <c r="CA34" s="878">
        <f>FiOS!CN88</f>
        <v>68.611155289528313</v>
      </c>
      <c r="CB34" s="878">
        <f>FiOS!CO88</f>
        <v>68.336710668370202</v>
      </c>
      <c r="CC34" s="877">
        <f>FiOS!CP88</f>
        <v>68.063363825696726</v>
      </c>
      <c r="CD34" s="878">
        <f>FiOS!CQ88</f>
        <v>67.791110370393938</v>
      </c>
      <c r="CE34" s="878">
        <f>FiOS!CR88</f>
        <v>67.519945928912364</v>
      </c>
      <c r="CF34" s="878">
        <f>FiOS!CS88</f>
        <v>67.249866145196719</v>
      </c>
      <c r="CG34" s="877">
        <f>FiOS!CT88</f>
        <v>66.980866680615932</v>
      </c>
      <c r="CH34" s="878">
        <f>FiOS!CU88</f>
        <v>66.712943213893467</v>
      </c>
      <c r="CI34" s="878">
        <f>FiOS!CV88</f>
        <v>66.446091441037893</v>
      </c>
      <c r="CJ34" s="878">
        <f>FiOS!CW88</f>
        <v>66.180307075273745</v>
      </c>
      <c r="CK34" s="877">
        <f>FiOS!CX88</f>
        <v>65.915585846972647</v>
      </c>
      <c r="CL34" s="878">
        <f>FiOS!CY88</f>
        <v>65.651923503584754</v>
      </c>
      <c r="CM34" s="878">
        <f>FiOS!CZ88</f>
        <v>65.389315809570419</v>
      </c>
      <c r="CN34" s="878">
        <f>FiOS!DA88</f>
        <v>65.127758546332132</v>
      </c>
      <c r="CO34" s="877">
        <f>FiOS!DB88</f>
        <v>64.867247512146804</v>
      </c>
      <c r="CP34" s="878">
        <f>FiOS!DC88</f>
        <v>64.607778522098215</v>
      </c>
      <c r="CQ34" s="878">
        <f>FiOS!DD88</f>
        <v>64.34934740800982</v>
      </c>
      <c r="CR34" s="878">
        <f>FiOS!DE88</f>
        <v>64.091950018377787</v>
      </c>
      <c r="CS34" s="877">
        <f>FiOS!DF88</f>
        <v>63.835582218304275</v>
      </c>
      <c r="CT34" s="878">
        <f>FiOS!DG88</f>
        <v>63.580239889431056</v>
      </c>
      <c r="CU34" s="878">
        <f>FiOS!DH88</f>
        <v>63.325918929873332</v>
      </c>
      <c r="CV34" s="879">
        <f>FiOS!DI88</f>
        <v>63.072615254153838</v>
      </c>
      <c r="CW34" s="878">
        <f>FiOS!DJ88</f>
        <v>62.820324793137225</v>
      </c>
      <c r="CX34" s="878">
        <f>FiOS!DK88</f>
        <v>62.569043493964678</v>
      </c>
      <c r="CY34" s="878">
        <f>FiOS!DL88</f>
        <v>62.318767319988822</v>
      </c>
      <c r="CZ34" s="879">
        <f>FiOS!DM88</f>
        <v>62.069492250708869</v>
      </c>
      <c r="DA34" s="878">
        <f>FiOS!DN88</f>
        <v>61.821214281706034</v>
      </c>
      <c r="DB34" s="878">
        <f>FiOS!DO88</f>
        <v>61.573929424579212</v>
      </c>
      <c r="DC34" s="878">
        <f>FiOS!DP88</f>
        <v>61.327633706880896</v>
      </c>
      <c r="DD34" s="878">
        <f>FiOS!DQ88</f>
        <v>61.082323172053371</v>
      </c>
      <c r="DE34" s="878">
        <f>FiOS!DR88</f>
        <v>61.082323172053371</v>
      </c>
      <c r="DF34" s="878">
        <f>FiOS!DS88</f>
        <v>61.082323172053371</v>
      </c>
      <c r="DG34" s="878">
        <f>FiOS!DT88</f>
        <v>61.082323172053371</v>
      </c>
      <c r="DH34" s="878">
        <f>FiOS!DU88</f>
        <v>61.082323172053371</v>
      </c>
      <c r="DI34" s="878">
        <f>FiOS!DV88</f>
        <v>125</v>
      </c>
      <c r="DJ34" s="878">
        <f>FiOS!DW88</f>
        <v>125.3125</v>
      </c>
      <c r="DK34" s="878">
        <f>FiOS!DX88</f>
        <v>125.62578124999999</v>
      </c>
      <c r="DL34" s="878">
        <f>FiOS!DY88</f>
        <v>125.93984570312499</v>
      </c>
    </row>
    <row r="35" spans="1:116" s="816" customFormat="1">
      <c r="A35" s="820" t="s">
        <v>66</v>
      </c>
      <c r="B35" s="820"/>
      <c r="C35" s="820"/>
      <c r="D35" s="847"/>
      <c r="E35" s="847"/>
      <c r="F35" s="847"/>
      <c r="G35" s="847"/>
      <c r="H35" s="847">
        <v>5144</v>
      </c>
      <c r="I35" s="847">
        <f>+FiOS!F45</f>
        <v>6786</v>
      </c>
      <c r="J35" s="816">
        <f>+FiOS!G45</f>
        <v>7094</v>
      </c>
      <c r="K35" s="816">
        <f>+FiOS!H45</f>
        <v>7676</v>
      </c>
      <c r="L35" s="816">
        <f>+FiOS!I45</f>
        <v>8160</v>
      </c>
      <c r="M35" s="816">
        <f>+FiOS!J45</f>
        <v>8392</v>
      </c>
      <c r="N35" s="816">
        <f>+FiOS!K45</f>
        <v>8670</v>
      </c>
      <c r="O35" s="816">
        <f>+FiOS!L45</f>
        <v>8795</v>
      </c>
      <c r="P35" s="816">
        <f>+FiOS!M45</f>
        <v>9015</v>
      </c>
      <c r="Q35" s="816">
        <f>+FiOS!N45</f>
        <v>9205</v>
      </c>
      <c r="R35" s="816">
        <f>+FiOS!O45</f>
        <v>9228</v>
      </c>
      <c r="S35" s="816">
        <f>+FiOS!P45</f>
        <v>7038</v>
      </c>
      <c r="T35" s="816">
        <f>+FiOS!Q45</f>
        <v>6959</v>
      </c>
      <c r="U35" s="816">
        <f>+FiOS!R45</f>
        <v>6979</v>
      </c>
      <c r="V35" s="866">
        <f>+FiOS!S45</f>
        <v>6785</v>
      </c>
      <c r="W35" s="866">
        <f>+FiOS!T45</f>
        <v>6615.8</v>
      </c>
      <c r="X35" s="866">
        <f>+FiOS!U45</f>
        <v>6464.44</v>
      </c>
      <c r="Y35" s="866">
        <f>+FiOS!V45</f>
        <v>6325.3519999999999</v>
      </c>
      <c r="Z35" s="866">
        <f>+FiOS!W45</f>
        <v>6194.0815999999995</v>
      </c>
      <c r="AA35" s="866">
        <f>+FiOS!X45</f>
        <v>6067.0652799999998</v>
      </c>
      <c r="AB35" s="866">
        <f>+FiOS!Y45</f>
        <v>5941.4522239999997</v>
      </c>
      <c r="AS35" s="843">
        <v>720</v>
      </c>
      <c r="AT35" s="843">
        <v>840</v>
      </c>
      <c r="AU35" s="843">
        <v>975</v>
      </c>
      <c r="AV35" s="843">
        <v>1100</v>
      </c>
      <c r="AW35" s="843">
        <v>1250</v>
      </c>
      <c r="AX35" s="843">
        <v>1400</v>
      </c>
      <c r="AY35" s="843">
        <v>1555</v>
      </c>
      <c r="AZ35" s="843">
        <v>1703</v>
      </c>
      <c r="BA35" s="843">
        <v>1830</v>
      </c>
      <c r="BB35" s="843">
        <v>1931</v>
      </c>
      <c r="BC35" s="843">
        <v>2116</v>
      </c>
      <c r="BD35" s="843">
        <v>2319</v>
      </c>
      <c r="BE35" s="843">
        <v>2664</v>
      </c>
      <c r="BF35" s="843">
        <v>2944</v>
      </c>
      <c r="BG35" s="843">
        <v>3253</v>
      </c>
      <c r="BH35" s="843">
        <v>3559</v>
      </c>
      <c r="BI35" s="843">
        <v>3864</v>
      </c>
      <c r="BJ35" s="843">
        <v>4142</v>
      </c>
      <c r="BK35" s="843">
        <v>4531</v>
      </c>
      <c r="BL35" s="843">
        <v>5144</v>
      </c>
      <c r="BM35" s="865">
        <f>+FiOS!BZ45</f>
        <v>5533</v>
      </c>
      <c r="BN35" s="866">
        <f>+FiOS!CA45</f>
        <v>5957</v>
      </c>
      <c r="BO35" s="866">
        <f>+FiOS!CB45</f>
        <v>6390</v>
      </c>
      <c r="BP35" s="866">
        <f>+FiOS!CC45</f>
        <v>6786</v>
      </c>
      <c r="BQ35" s="865">
        <f>+FiOS!CD45</f>
        <v>7190</v>
      </c>
      <c r="BR35" s="866">
        <f>+FiOS!CE45</f>
        <v>7471</v>
      </c>
      <c r="BS35" s="866">
        <f>+FiOS!CF45</f>
        <v>7751</v>
      </c>
      <c r="BT35" s="866">
        <f>+FiOS!CG45</f>
        <v>7094</v>
      </c>
      <c r="BU35" s="865">
        <f>+FiOS!CH45</f>
        <v>7320</v>
      </c>
      <c r="BV35" s="866">
        <f>+FiOS!CI45</f>
        <v>7367</v>
      </c>
      <c r="BW35" s="866">
        <f>+FiOS!CJ45</f>
        <v>7473.0186915887853</v>
      </c>
      <c r="BX35" s="866">
        <f>+FiOS!CK45</f>
        <v>7676</v>
      </c>
      <c r="BY35" s="865">
        <f>+FiOS!CL45</f>
        <v>7896</v>
      </c>
      <c r="BZ35" s="866">
        <f>+FiOS!CM45</f>
        <v>8064</v>
      </c>
      <c r="CA35" s="866">
        <f>+FiOS!CN45</f>
        <v>8119</v>
      </c>
      <c r="CB35" s="866">
        <f>+FiOS!CO45</f>
        <v>8160</v>
      </c>
      <c r="CC35" s="865">
        <f>+FiOS!CP45</f>
        <v>8241</v>
      </c>
      <c r="CD35" s="866">
        <f>+FiOS!CQ45</f>
        <v>8279</v>
      </c>
      <c r="CE35" s="866">
        <f>+FiOS!CR45</f>
        <v>8339</v>
      </c>
      <c r="CF35" s="866">
        <f>+FiOS!CS45</f>
        <v>8392</v>
      </c>
      <c r="CG35" s="865">
        <f>+FiOS!CT45</f>
        <v>8490</v>
      </c>
      <c r="CH35" s="866">
        <f>+FiOS!CU45</f>
        <v>8552</v>
      </c>
      <c r="CI35" s="866">
        <f>+FiOS!CV45</f>
        <v>8572</v>
      </c>
      <c r="CJ35" s="866">
        <f>+FiOS!CW45</f>
        <v>8670</v>
      </c>
      <c r="CK35" s="865">
        <f>+FiOS!CX45</f>
        <v>8774</v>
      </c>
      <c r="CL35" s="866">
        <f>+FiOS!CY45</f>
        <v>8776</v>
      </c>
      <c r="CM35" s="866">
        <f>+FiOS!CZ45</f>
        <v>8768</v>
      </c>
      <c r="CN35" s="866">
        <f>+FiOS!DA45</f>
        <v>8795</v>
      </c>
      <c r="CO35" s="865">
        <f>+FiOS!DB45</f>
        <v>8894</v>
      </c>
      <c r="CP35" s="866">
        <f>+FiOS!DC45</f>
        <v>8939</v>
      </c>
      <c r="CQ35" s="866">
        <f>+FiOS!DD45</f>
        <v>8995</v>
      </c>
      <c r="CR35" s="866">
        <f>+FiOS!DE45</f>
        <v>9015</v>
      </c>
      <c r="CS35" s="865">
        <f>+FiOS!DF45</f>
        <v>9031</v>
      </c>
      <c r="CT35" s="866">
        <f>+FiOS!DG45</f>
        <v>9077</v>
      </c>
      <c r="CU35" s="866">
        <f>+FiOS!DH45</f>
        <v>9146</v>
      </c>
      <c r="CV35" s="867">
        <f>+FiOS!DI45</f>
        <v>9205</v>
      </c>
      <c r="CW35" s="866">
        <f>+FiOS!DJ45</f>
        <v>9246</v>
      </c>
      <c r="CX35" s="866">
        <f>+FiOS!DK45</f>
        <v>9221</v>
      </c>
      <c r="CY35" s="866">
        <f>+FiOS!DL45</f>
        <v>9223</v>
      </c>
      <c r="CZ35" s="867">
        <f>+FiOS!DM45</f>
        <v>9228</v>
      </c>
      <c r="DA35" s="866">
        <f>+FiOS!DN45</f>
        <v>9218</v>
      </c>
      <c r="DB35" s="866">
        <f>+FiOS!DO45</f>
        <v>7014</v>
      </c>
      <c r="DC35" s="866">
        <f>+FiOS!DP45</f>
        <v>7038</v>
      </c>
      <c r="DD35" s="866">
        <f>+FiOS!DQ45</f>
        <v>7038</v>
      </c>
      <c r="DE35" s="866">
        <f>+FiOS!DR45</f>
        <v>7011</v>
      </c>
      <c r="DF35" s="866">
        <f>+FiOS!DS45</f>
        <v>6988</v>
      </c>
      <c r="DG35" s="866">
        <f>+FiOS!DT45</f>
        <v>6978</v>
      </c>
      <c r="DH35" s="866">
        <f>+FiOS!DU45</f>
        <v>6959</v>
      </c>
      <c r="DI35" s="866">
        <f>+FiOS!DV45</f>
        <v>6966</v>
      </c>
      <c r="DJ35" s="866">
        <f>+FiOS!DW45</f>
        <v>6968</v>
      </c>
      <c r="DK35" s="866">
        <f>+FiOS!DX45</f>
        <v>6978</v>
      </c>
      <c r="DL35" s="866">
        <f>+FiOS!DY45</f>
        <v>6979</v>
      </c>
    </row>
    <row r="36" spans="1:116" s="808" customFormat="1">
      <c r="A36" s="827" t="s">
        <v>538</v>
      </c>
      <c r="B36" s="812"/>
      <c r="C36" s="812"/>
      <c r="D36" s="845"/>
      <c r="E36" s="845"/>
      <c r="F36" s="845"/>
      <c r="G36" s="845"/>
      <c r="H36" s="845"/>
      <c r="I36" s="845"/>
      <c r="V36" s="863"/>
      <c r="W36" s="863"/>
      <c r="X36" s="863"/>
      <c r="Y36" s="863"/>
      <c r="Z36" s="863"/>
      <c r="AA36" s="863"/>
      <c r="AB36" s="863"/>
      <c r="AS36" s="842"/>
      <c r="AT36" s="842"/>
      <c r="AU36" s="842"/>
      <c r="AV36" s="842"/>
      <c r="AW36" s="842"/>
      <c r="AX36" s="842"/>
      <c r="AY36" s="842"/>
      <c r="AZ36" s="842"/>
      <c r="BA36" s="842"/>
      <c r="BB36" s="842"/>
      <c r="BC36" s="842"/>
      <c r="BD36" s="842"/>
      <c r="BE36" s="842"/>
      <c r="BF36" s="842"/>
      <c r="BG36" s="842"/>
      <c r="BH36" s="842"/>
      <c r="BI36" s="842"/>
      <c r="BJ36" s="842"/>
      <c r="BK36" s="842"/>
      <c r="BL36" s="842"/>
      <c r="BM36" s="862"/>
      <c r="BN36" s="863"/>
      <c r="BO36" s="863"/>
      <c r="BP36" s="863"/>
      <c r="BQ36" s="862"/>
      <c r="BR36" s="863"/>
      <c r="BS36" s="863"/>
      <c r="BT36" s="863"/>
      <c r="BU36" s="862"/>
      <c r="BV36" s="863"/>
      <c r="BW36" s="863"/>
      <c r="BX36" s="863"/>
      <c r="BY36" s="862"/>
      <c r="BZ36" s="863"/>
      <c r="CA36" s="863"/>
      <c r="CB36" s="863"/>
      <c r="CC36" s="862"/>
      <c r="CD36" s="863"/>
      <c r="CE36" s="863"/>
      <c r="CF36" s="863"/>
      <c r="CG36" s="862"/>
      <c r="CH36" s="863"/>
      <c r="CI36" s="863"/>
      <c r="CJ36" s="863"/>
      <c r="CK36" s="862"/>
      <c r="CL36" s="863"/>
      <c r="CM36" s="863"/>
      <c r="CN36" s="863"/>
      <c r="CO36" s="862"/>
      <c r="CP36" s="863"/>
      <c r="CQ36" s="863"/>
      <c r="CR36" s="863"/>
      <c r="CS36" s="862"/>
      <c r="CT36" s="863"/>
      <c r="CU36" s="863"/>
      <c r="CV36" s="864"/>
      <c r="CW36" s="863"/>
      <c r="CX36" s="863"/>
      <c r="CY36" s="863"/>
      <c r="CZ36" s="864"/>
      <c r="DA36" s="863"/>
      <c r="DB36" s="863"/>
      <c r="DC36" s="863"/>
      <c r="DD36" s="863"/>
      <c r="DE36" s="863"/>
      <c r="DF36" s="863"/>
      <c r="DG36" s="863"/>
      <c r="DH36" s="863"/>
      <c r="DI36" s="863"/>
      <c r="DJ36" s="863"/>
      <c r="DK36" s="863"/>
      <c r="DL36" s="863"/>
    </row>
    <row r="37" spans="1:116" s="808" customFormat="1">
      <c r="A37" s="812" t="s">
        <v>746</v>
      </c>
      <c r="B37" s="812"/>
      <c r="C37" s="812"/>
      <c r="D37" s="845">
        <v>29398</v>
      </c>
      <c r="E37" s="845">
        <v>32491</v>
      </c>
      <c r="F37" s="845">
        <v>37522</v>
      </c>
      <c r="G37" s="845">
        <v>43816</v>
      </c>
      <c r="H37" s="845">
        <v>51337</v>
      </c>
      <c r="I37" s="845">
        <f>BP37</f>
        <v>59052</v>
      </c>
      <c r="J37" s="808">
        <f>BT37</f>
        <v>77700</v>
      </c>
      <c r="K37" s="808">
        <f>Wless!P99</f>
        <v>72056</v>
      </c>
      <c r="L37" s="808">
        <f>Wless!Q99</f>
        <v>96495</v>
      </c>
      <c r="V37" s="863"/>
      <c r="W37" s="863"/>
      <c r="X37" s="863"/>
      <c r="Y37" s="863"/>
      <c r="Z37" s="863"/>
      <c r="AA37" s="863"/>
      <c r="AB37" s="863"/>
      <c r="AS37" s="842">
        <v>27122</v>
      </c>
      <c r="AT37" s="842">
        <v>27930</v>
      </c>
      <c r="AU37" s="842">
        <v>28682</v>
      </c>
      <c r="AV37" s="842">
        <v>29398</v>
      </c>
      <c r="AW37" s="842">
        <v>29584</v>
      </c>
      <c r="AX37" s="842">
        <v>30307</v>
      </c>
      <c r="AY37" s="842">
        <v>31521</v>
      </c>
      <c r="AZ37" s="842">
        <v>32491</v>
      </c>
      <c r="BA37" s="842">
        <v>33324</v>
      </c>
      <c r="BB37" s="842">
        <v>34619</v>
      </c>
      <c r="BC37" s="842">
        <v>36026</v>
      </c>
      <c r="BD37" s="842">
        <v>37522</v>
      </c>
      <c r="BE37" s="842">
        <v>38909</v>
      </c>
      <c r="BF37" s="842">
        <v>40444</v>
      </c>
      <c r="BG37" s="842">
        <v>42118</v>
      </c>
      <c r="BH37" s="842">
        <v>43816</v>
      </c>
      <c r="BI37" s="842">
        <v>45452</v>
      </c>
      <c r="BJ37" s="842">
        <v>47373</v>
      </c>
      <c r="BK37" s="842">
        <v>49291</v>
      </c>
      <c r="BL37" s="842">
        <v>51337</v>
      </c>
      <c r="BM37" s="862">
        <f>Wless!BZ99</f>
        <v>53020</v>
      </c>
      <c r="BN37" s="863">
        <f>Wless!CA99</f>
        <v>54835</v>
      </c>
      <c r="BO37" s="863">
        <f>Wless!CB99</f>
        <v>56747</v>
      </c>
      <c r="BP37" s="863">
        <f>Wless!CC99</f>
        <v>59052</v>
      </c>
      <c r="BQ37" s="862">
        <f>Wless!CD99</f>
        <v>60716</v>
      </c>
      <c r="BR37" s="863">
        <f>Wless!CE99</f>
        <v>62054</v>
      </c>
      <c r="BS37" s="863">
        <f>Wless!CF99</f>
        <v>63699</v>
      </c>
      <c r="BT37" s="903">
        <f>+Wless!CG103</f>
        <v>77700</v>
      </c>
      <c r="BU37" s="862">
        <f>+Wless!CH103</f>
        <v>79472</v>
      </c>
      <c r="BV37" s="863">
        <f>+Wless!CI103</f>
        <v>81278</v>
      </c>
      <c r="BW37" s="863">
        <f>+Wless!CJ103</f>
        <v>83704</v>
      </c>
      <c r="BX37" s="863">
        <f>+Wless!CK103</f>
        <v>91435</v>
      </c>
      <c r="BY37" s="862">
        <f>+Wless!CL103</f>
        <v>92390</v>
      </c>
      <c r="BZ37" s="863">
        <f>+Wless!CM103</f>
        <v>93220</v>
      </c>
      <c r="CA37" s="863">
        <f>+Wless!CN103</f>
        <v>94361</v>
      </c>
      <c r="CB37" s="863">
        <f>+Wless!CO103</f>
        <v>96495</v>
      </c>
      <c r="CC37" s="862">
        <f>+Wless!CP103</f>
        <v>98019</v>
      </c>
      <c r="CD37" s="863">
        <f>+Wless!CQ103</f>
        <v>99736</v>
      </c>
      <c r="CE37" s="863">
        <f>+Wless!CR103</f>
        <v>101095</v>
      </c>
      <c r="CF37" s="863">
        <f>+Wless!CS103</f>
        <v>102246</v>
      </c>
      <c r="CG37" s="862">
        <f>+Wless!CT103</f>
        <v>104022</v>
      </c>
      <c r="CH37" s="863">
        <f>+Wless!CU103</f>
        <v>106230</v>
      </c>
      <c r="CI37" s="863">
        <f>+Wless!CV103</f>
        <v>107565</v>
      </c>
      <c r="CJ37" s="863">
        <f>+Wless!CW103</f>
        <v>107665</v>
      </c>
      <c r="CK37" s="862">
        <f>+Wless!CX103</f>
        <v>108867</v>
      </c>
      <c r="CL37" s="863">
        <f>Wless!CY103</f>
        <v>110295</v>
      </c>
      <c r="CM37" s="863">
        <f>Wless!CZ103</f>
        <v>112181</v>
      </c>
      <c r="CN37" s="863">
        <f>Wless!DA103</f>
        <v>114546</v>
      </c>
      <c r="CO37" s="862">
        <f>Wless!DB103</f>
        <v>116266</v>
      </c>
      <c r="CP37" s="863">
        <f>Wless!DC103</f>
        <v>117804</v>
      </c>
      <c r="CQ37" s="863">
        <f>Wless!DD103</f>
        <v>119365</v>
      </c>
      <c r="CR37" s="863">
        <f>Wless!DE103</f>
        <v>121518</v>
      </c>
      <c r="CS37" s="862">
        <f>Wless!DF103</f>
        <v>122567</v>
      </c>
      <c r="CT37" s="863">
        <f>Wless!DG103</f>
        <v>124494</v>
      </c>
      <c r="CU37" s="863">
        <f>Wless!DH103</f>
        <v>126519</v>
      </c>
      <c r="CV37" s="864">
        <f>Wless!DI103</f>
        <v>129086</v>
      </c>
      <c r="CW37" s="863">
        <f>Wless!DJ103</f>
        <v>129963</v>
      </c>
      <c r="CX37" s="863">
        <f>Wless!DK103</f>
        <v>130840</v>
      </c>
      <c r="CY37" s="863">
        <f>Wless!DL103</f>
        <v>131717</v>
      </c>
      <c r="CZ37" s="864">
        <f>Wless!DM103</f>
        <v>132594</v>
      </c>
      <c r="DA37" s="863">
        <f>Wless!DN103</f>
        <v>133471</v>
      </c>
      <c r="DB37" s="863">
        <f>Wless!DO103</f>
        <v>134348</v>
      </c>
      <c r="DC37" s="863">
        <f>Wless!DP103</f>
        <v>135225</v>
      </c>
      <c r="DD37" s="863">
        <f>Wless!DQ103</f>
        <v>136102</v>
      </c>
      <c r="DE37" s="863">
        <f>Wless!DR103</f>
        <v>136979</v>
      </c>
      <c r="DF37" s="863">
        <f>Wless!DS103</f>
        <v>137856</v>
      </c>
      <c r="DG37" s="863">
        <f>Wless!DT103</f>
        <v>138733</v>
      </c>
      <c r="DH37" s="863">
        <f>Wless!DU103</f>
        <v>139610</v>
      </c>
      <c r="DI37" s="863">
        <f>Wless!DV103</f>
        <v>140487</v>
      </c>
      <c r="DJ37" s="863">
        <f ca="1">Wless!DW103</f>
        <v>140881.72261953386</v>
      </c>
      <c r="DK37" s="863">
        <f ca="1">Wless!DX103</f>
        <v>141362.10896605611</v>
      </c>
      <c r="DL37" s="863">
        <f ca="1">Wless!DY103</f>
        <v>141978.18708157277</v>
      </c>
    </row>
    <row r="38" spans="1:116" s="808" customFormat="1">
      <c r="A38" s="812" t="s">
        <v>20</v>
      </c>
      <c r="B38" s="812"/>
      <c r="C38" s="812"/>
      <c r="D38" s="845"/>
      <c r="E38" s="845">
        <v>3093</v>
      </c>
      <c r="F38" s="845">
        <v>5031</v>
      </c>
      <c r="G38" s="845">
        <v>6294</v>
      </c>
      <c r="H38" s="845">
        <v>7521</v>
      </c>
      <c r="I38" s="845">
        <f>I37-H37</f>
        <v>7715</v>
      </c>
      <c r="J38" s="808">
        <f>J37-I37</f>
        <v>18648</v>
      </c>
      <c r="K38" s="808">
        <f>K37-J37</f>
        <v>-5644</v>
      </c>
      <c r="L38" s="808">
        <f>L37-K37</f>
        <v>24439</v>
      </c>
      <c r="V38" s="863"/>
      <c r="W38" s="863"/>
      <c r="X38" s="863"/>
      <c r="Y38" s="863"/>
      <c r="Z38" s="863"/>
      <c r="AA38" s="863"/>
      <c r="AB38" s="863"/>
      <c r="AS38" s="842"/>
      <c r="AT38" s="842">
        <v>808</v>
      </c>
      <c r="AU38" s="842">
        <v>752</v>
      </c>
      <c r="AV38" s="842">
        <v>716</v>
      </c>
      <c r="AW38" s="842">
        <v>186</v>
      </c>
      <c r="AX38" s="842">
        <v>723</v>
      </c>
      <c r="AY38" s="842">
        <v>1214</v>
      </c>
      <c r="AZ38" s="842">
        <v>970</v>
      </c>
      <c r="BA38" s="842">
        <v>833</v>
      </c>
      <c r="BB38" s="842">
        <v>1295</v>
      </c>
      <c r="BC38" s="842">
        <v>1407</v>
      </c>
      <c r="BD38" s="842">
        <v>1496</v>
      </c>
      <c r="BE38" s="842">
        <v>1387</v>
      </c>
      <c r="BF38" s="842">
        <v>1535</v>
      </c>
      <c r="BG38" s="842">
        <v>1674</v>
      </c>
      <c r="BH38" s="842">
        <v>1698</v>
      </c>
      <c r="BI38" s="842">
        <v>1636</v>
      </c>
      <c r="BJ38" s="842">
        <v>1921</v>
      </c>
      <c r="BK38" s="842">
        <v>1918</v>
      </c>
      <c r="BL38" s="842">
        <v>2046</v>
      </c>
      <c r="BM38" s="862">
        <f>+Wless!BZ112</f>
        <v>1847.741</v>
      </c>
      <c r="BN38" s="863">
        <f>+Wless!CA112</f>
        <v>2073.08</v>
      </c>
      <c r="BO38" s="863">
        <f>+Wless!CB112</f>
        <v>1989.155</v>
      </c>
      <c r="BP38" s="863">
        <f>+Wless!CC112</f>
        <v>2966.6379999999999</v>
      </c>
      <c r="BQ38" s="862">
        <f>+Wless!CD112</f>
        <v>1900.634</v>
      </c>
      <c r="BR38" s="863">
        <f>+Wless!CE112</f>
        <v>1519.4939999999999</v>
      </c>
      <c r="BS38" s="863">
        <f>+Wless!CF112</f>
        <v>1850.019</v>
      </c>
      <c r="BT38" s="863">
        <f>+Wless!CG112</f>
        <v>2346.1079999999965</v>
      </c>
      <c r="BU38" s="862">
        <f>+Wless!CH112</f>
        <v>1772</v>
      </c>
      <c r="BV38" s="863">
        <f>+Wless!CI112</f>
        <v>1760</v>
      </c>
      <c r="BW38" s="863">
        <f>+Wless!CJ112</f>
        <v>1780</v>
      </c>
      <c r="BX38" s="863">
        <f>+Wless!CK112</f>
        <v>1693</v>
      </c>
      <c r="BY38" s="862">
        <f>+Wless!CL112</f>
        <v>955</v>
      </c>
      <c r="BZ38" s="863">
        <f>+Wless!CM112</f>
        <v>837</v>
      </c>
      <c r="CA38" s="863">
        <f>+Wless!CN112</f>
        <v>1028</v>
      </c>
      <c r="CB38" s="863">
        <f>+Wless!CO112</f>
        <v>2115</v>
      </c>
      <c r="CC38" s="862">
        <f>+Wless!CP112</f>
        <v>1506</v>
      </c>
      <c r="CD38" s="863">
        <f>+Wless!CQ112</f>
        <v>1622</v>
      </c>
      <c r="CE38" s="863">
        <f>+Wless!CR112</f>
        <v>1248</v>
      </c>
      <c r="CF38" s="863">
        <f>+Wless!CS112</f>
        <v>1141</v>
      </c>
      <c r="CG38" s="862">
        <f>+Wless!CT112</f>
        <v>1776</v>
      </c>
      <c r="CH38" s="863">
        <f>+Wless!CU112</f>
        <v>2208</v>
      </c>
      <c r="CI38" s="863">
        <f>+Wless!CV112</f>
        <v>1335</v>
      </c>
      <c r="CJ38" s="863">
        <f>+Wless!CW112</f>
        <v>100</v>
      </c>
      <c r="CK38" s="862">
        <f>+Wless!CX112</f>
        <v>1202</v>
      </c>
      <c r="CL38" s="863">
        <f t="shared" ref="CL38:CV38" si="38">CL37-CK37</f>
        <v>1428</v>
      </c>
      <c r="CM38" s="863">
        <f t="shared" si="38"/>
        <v>1886</v>
      </c>
      <c r="CN38" s="863">
        <f t="shared" si="38"/>
        <v>2365</v>
      </c>
      <c r="CO38" s="862">
        <f t="shared" si="38"/>
        <v>1720</v>
      </c>
      <c r="CP38" s="863">
        <f t="shared" si="38"/>
        <v>1538</v>
      </c>
      <c r="CQ38" s="863">
        <f t="shared" si="38"/>
        <v>1561</v>
      </c>
      <c r="CR38" s="863">
        <f t="shared" si="38"/>
        <v>2153</v>
      </c>
      <c r="CS38" s="862">
        <f t="shared" si="38"/>
        <v>1049</v>
      </c>
      <c r="CT38" s="863">
        <f t="shared" si="38"/>
        <v>1927</v>
      </c>
      <c r="CU38" s="863">
        <f t="shared" si="38"/>
        <v>2025</v>
      </c>
      <c r="CV38" s="864">
        <f t="shared" si="38"/>
        <v>2567</v>
      </c>
      <c r="CW38" s="863">
        <f t="shared" ref="CW38:DD38" si="39">CW37-CV37</f>
        <v>877</v>
      </c>
      <c r="CX38" s="863">
        <f t="shared" si="39"/>
        <v>877</v>
      </c>
      <c r="CY38" s="863">
        <f t="shared" si="39"/>
        <v>877</v>
      </c>
      <c r="CZ38" s="864">
        <f t="shared" si="39"/>
        <v>877</v>
      </c>
      <c r="DA38" s="863">
        <f t="shared" si="39"/>
        <v>877</v>
      </c>
      <c r="DB38" s="863">
        <f t="shared" si="39"/>
        <v>877</v>
      </c>
      <c r="DC38" s="863">
        <f t="shared" si="39"/>
        <v>877</v>
      </c>
      <c r="DD38" s="863">
        <f t="shared" si="39"/>
        <v>877</v>
      </c>
      <c r="DE38" s="863">
        <f t="shared" ref="DE38" si="40">DE37-DD37</f>
        <v>877</v>
      </c>
      <c r="DF38" s="863">
        <f t="shared" ref="DF38" si="41">DF37-DE37</f>
        <v>877</v>
      </c>
      <c r="DG38" s="863">
        <f t="shared" ref="DG38" si="42">DG37-DF37</f>
        <v>877</v>
      </c>
      <c r="DH38" s="863">
        <f t="shared" ref="DH38" si="43">DH37-DG37</f>
        <v>877</v>
      </c>
      <c r="DI38" s="863">
        <f t="shared" ref="DI38" si="44">DI37-DH37</f>
        <v>877</v>
      </c>
      <c r="DJ38" s="863">
        <f t="shared" ref="DJ38" ca="1" si="45">DJ37-DI37</f>
        <v>394.72261953385896</v>
      </c>
      <c r="DK38" s="863">
        <f t="shared" ref="DK38" ca="1" si="46">DK37-DJ37</f>
        <v>480.38634652225301</v>
      </c>
      <c r="DL38" s="863">
        <f t="shared" ref="DL38" ca="1" si="47">DL37-DK37</f>
        <v>616.07811551666236</v>
      </c>
    </row>
    <row r="39" spans="1:116" s="808" customFormat="1">
      <c r="A39" s="812" t="s">
        <v>357</v>
      </c>
      <c r="B39" s="812"/>
      <c r="C39" s="812"/>
      <c r="D39" s="845">
        <v>11176.361999999999</v>
      </c>
      <c r="E39" s="845">
        <v>11197.9815</v>
      </c>
      <c r="F39" s="845">
        <v>12725.575500000001</v>
      </c>
      <c r="G39" s="845">
        <v>13457.016</v>
      </c>
      <c r="H39" s="845">
        <v>14628.828</v>
      </c>
      <c r="I39" s="845">
        <f>SUM(BM39:BP39)</f>
        <v>15424.730350000002</v>
      </c>
      <c r="J39" s="808">
        <f>SUM(BQ39:BT39)</f>
        <v>15714.255650000001</v>
      </c>
      <c r="K39" s="808">
        <f>Wless!P143</f>
        <v>16109.23</v>
      </c>
      <c r="L39" s="808">
        <f>Wless!Q143</f>
        <v>20723.752500000002</v>
      </c>
      <c r="V39" s="863"/>
      <c r="W39" s="863"/>
      <c r="X39" s="863"/>
      <c r="Y39" s="863"/>
      <c r="Z39" s="863"/>
      <c r="AA39" s="863"/>
      <c r="AB39" s="863"/>
      <c r="AS39" s="842">
        <v>2781.6320000000001</v>
      </c>
      <c r="AT39" s="842">
        <v>2707.2939999999999</v>
      </c>
      <c r="AU39" s="842">
        <v>2620.1959999999999</v>
      </c>
      <c r="AV39" s="842">
        <v>3067.24</v>
      </c>
      <c r="AW39" s="842">
        <v>2486.2979999999998</v>
      </c>
      <c r="AX39" s="842">
        <v>2789.2394999999997</v>
      </c>
      <c r="AY39" s="842">
        <v>2936.0659999999998</v>
      </c>
      <c r="AZ39" s="842">
        <v>2986.3780000000002</v>
      </c>
      <c r="BA39" s="842">
        <v>2906.1725000000001</v>
      </c>
      <c r="BB39" s="842">
        <v>3027.5465000000004</v>
      </c>
      <c r="BC39" s="842">
        <v>3420.3824999999997</v>
      </c>
      <c r="BD39" s="842">
        <v>3371.4740000000002</v>
      </c>
      <c r="BE39" s="842">
        <v>3221.3440000000001</v>
      </c>
      <c r="BF39" s="842">
        <v>3201.413</v>
      </c>
      <c r="BG39" s="842">
        <v>3531.645</v>
      </c>
      <c r="BH39" s="842">
        <v>3502.614</v>
      </c>
      <c r="BI39" s="842">
        <v>3376.7259999999997</v>
      </c>
      <c r="BJ39" s="842">
        <v>3591.85</v>
      </c>
      <c r="BK39" s="842">
        <v>3802.9479999999999</v>
      </c>
      <c r="BL39" s="842">
        <v>3857.3040000000001</v>
      </c>
      <c r="BM39" s="862">
        <f>Wless!BZ143</f>
        <v>3509</v>
      </c>
      <c r="BN39" s="863">
        <f>Wless!CA143</f>
        <v>3643.1422499999999</v>
      </c>
      <c r="BO39" s="863">
        <f>Wless!CB143</f>
        <v>3987.4252000000001</v>
      </c>
      <c r="BP39" s="863">
        <f>Wless!CC143</f>
        <v>4285.1629000000003</v>
      </c>
      <c r="BQ39" s="862">
        <f>Wless!CD143</f>
        <v>3678</v>
      </c>
      <c r="BR39" s="863">
        <f>Wless!CE143</f>
        <v>3658.3530000000001</v>
      </c>
      <c r="BS39" s="863">
        <f>Wless!CF143</f>
        <v>4040.59465</v>
      </c>
      <c r="BT39" s="863">
        <f>Wless!CG143</f>
        <v>4337.3080000000009</v>
      </c>
      <c r="BU39" s="862">
        <f>Wless!CH143</f>
        <v>3842.9972500000003</v>
      </c>
      <c r="BV39" s="863">
        <f>Wless!CI143</f>
        <v>3739.4312</v>
      </c>
      <c r="BW39" s="863">
        <f>Wless!CJ143</f>
        <v>4263.80555</v>
      </c>
      <c r="BX39" s="863">
        <f>Wless!CK143</f>
        <v>4262.9960000000001</v>
      </c>
      <c r="BY39" s="862">
        <f>Wless!CL143</f>
        <v>4925.6200000000008</v>
      </c>
      <c r="BZ39" s="863">
        <f>Wless!CM143</f>
        <v>4567.7610000000004</v>
      </c>
      <c r="CA39" s="863">
        <f>Wless!CN143</f>
        <v>5136.0239000000001</v>
      </c>
      <c r="CB39" s="863">
        <f>Wless!CO143</f>
        <v>6094.3476000000001</v>
      </c>
      <c r="CC39" s="862">
        <f>Wless!CP135</f>
        <v>5474.0855999999994</v>
      </c>
      <c r="CD39" s="863">
        <f>Wless!CQ135</f>
        <v>5329.90625</v>
      </c>
      <c r="CE39" s="863">
        <f>Wless!CR135</f>
        <v>5344.9523999999992</v>
      </c>
      <c r="CF39" s="863">
        <f>Wless!CS135</f>
        <v>5228.1540999999997</v>
      </c>
      <c r="CG39" s="862">
        <f ca="1">Wless!CT135</f>
        <v>5792.1086999999989</v>
      </c>
      <c r="CH39" s="863">
        <f ca="1">Wless!CU135</f>
        <v>5974.3599131010269</v>
      </c>
      <c r="CI39" s="863">
        <f ca="1">Wless!CV135</f>
        <v>5251.6059131010261</v>
      </c>
      <c r="CJ39" s="863">
        <f ca="1">Wless!CW135</f>
        <v>3980.2769631010265</v>
      </c>
      <c r="CK39" s="862">
        <f ca="1">Wless!CX135</f>
        <v>5152.116213101026</v>
      </c>
      <c r="CL39" s="863">
        <f ca="1">Wless!CY135</f>
        <v>5050.1475131010266</v>
      </c>
      <c r="CM39" s="863">
        <f ca="1">Wless!CZ135</f>
        <v>5756.1713131010256</v>
      </c>
      <c r="CN39" s="863">
        <f ca="1">Wless!DA135</f>
        <v>6482.0326131010261</v>
      </c>
      <c r="CO39" s="862">
        <f ca="1">Wless!DB135</f>
        <v>6070.8532131010252</v>
      </c>
      <c r="CP39" s="863">
        <f ca="1">Wless!DC135</f>
        <v>5716.779513101048</v>
      </c>
      <c r="CQ39" s="863">
        <f ca="1">Wless!DD135</f>
        <v>5931.6940131010479</v>
      </c>
      <c r="CR39" s="863">
        <f ca="1">Wless!DE135</f>
        <v>6544.4616631010476</v>
      </c>
      <c r="CS39" s="862">
        <f ca="1">Wless!DF135</f>
        <v>5791.1841631010475</v>
      </c>
      <c r="CT39" s="863">
        <f ca="1">Wless!DG135</f>
        <v>6332.6144631010475</v>
      </c>
      <c r="CU39" s="863">
        <f ca="1">Wless!DH135</f>
        <v>6610.077763101046</v>
      </c>
      <c r="CV39" s="864">
        <f ca="1">Wless!DI135</f>
        <v>7542.7851631010462</v>
      </c>
      <c r="CW39" s="863">
        <f ca="1">Wless!DJ135</f>
        <v>5708.253563101046</v>
      </c>
      <c r="CX39" s="863">
        <f ca="1">Wless!DK135</f>
        <v>5244.1342131010479</v>
      </c>
      <c r="CY39" s="863">
        <f ca="1">Wless!DL135</f>
        <v>5381.8234131010486</v>
      </c>
      <c r="CZ39" s="864">
        <f ca="1">Wless!DM135</f>
        <v>5428.2874131010485</v>
      </c>
      <c r="DA39" s="863">
        <f ca="1">Wless!DN135</f>
        <v>5528.597663101049</v>
      </c>
      <c r="DB39" s="863">
        <f ca="1">Wless!DO135</f>
        <v>5412.4601631010491</v>
      </c>
      <c r="DC39" s="863">
        <f ca="1">Wless!DP135</f>
        <v>5738.3692131010494</v>
      </c>
      <c r="DD39" s="863">
        <f ca="1">Wless!DQ135</f>
        <v>5964.4051131010492</v>
      </c>
      <c r="DE39" s="863">
        <f ca="1">Wless!DR135</f>
        <v>6140.2858131010489</v>
      </c>
      <c r="DF39" s="863">
        <f ca="1">Wless!DS135</f>
        <v>5426.7805131010482</v>
      </c>
      <c r="DG39" s="863">
        <f ca="1">Wless!DT135</f>
        <v>5485.3417131010492</v>
      </c>
      <c r="DH39" s="863">
        <f ca="1">Wless!DU135</f>
        <v>5689.7098131010489</v>
      </c>
      <c r="DI39" s="863">
        <f ca="1">Wless!DV135</f>
        <v>5846.0620131010492</v>
      </c>
      <c r="DJ39" s="863">
        <f ca="1">Wless!DW135</f>
        <v>5054.7066311010476</v>
      </c>
      <c r="DK39" s="863">
        <f ca="1">Wless!DX135</f>
        <v>5173.5279918510496</v>
      </c>
      <c r="DL39" s="863">
        <f ca="1">Wless!DY135</f>
        <v>5482.0134931010489</v>
      </c>
    </row>
    <row r="40" spans="1:116" s="808" customFormat="1">
      <c r="A40" s="812" t="s">
        <v>1496</v>
      </c>
      <c r="B40" s="812"/>
      <c r="C40" s="812"/>
      <c r="D40" s="845"/>
      <c r="E40" s="845">
        <v>8104.9814999999999</v>
      </c>
      <c r="F40" s="845">
        <v>7694.5755000000008</v>
      </c>
      <c r="G40" s="845">
        <v>7163.0159999999996</v>
      </c>
      <c r="H40" s="845">
        <v>7107.8279999999995</v>
      </c>
      <c r="I40" s="845">
        <f>I39-I38</f>
        <v>7709.7303500000016</v>
      </c>
      <c r="J40" s="808">
        <f>J39-J38</f>
        <v>-2933.744349999999</v>
      </c>
      <c r="K40" s="808">
        <f>K39-K38</f>
        <v>21753.23</v>
      </c>
      <c r="L40" s="808">
        <f>L39-L38</f>
        <v>-3715.2474999999977</v>
      </c>
      <c r="V40" s="863"/>
      <c r="W40" s="863"/>
      <c r="X40" s="863"/>
      <c r="Y40" s="863"/>
      <c r="Z40" s="863"/>
      <c r="AA40" s="863"/>
      <c r="AB40" s="863"/>
      <c r="AS40" s="842"/>
      <c r="AT40" s="842">
        <v>1899.2939999999999</v>
      </c>
      <c r="AU40" s="842">
        <v>1868.1959999999999</v>
      </c>
      <c r="AV40" s="842">
        <v>2351.2399999999998</v>
      </c>
      <c r="AW40" s="842">
        <v>2300.2979999999998</v>
      </c>
      <c r="AX40" s="842">
        <v>2066.2394999999997</v>
      </c>
      <c r="AY40" s="842">
        <v>1722.0659999999998</v>
      </c>
      <c r="AZ40" s="842">
        <v>2016.3780000000002</v>
      </c>
      <c r="BA40" s="842">
        <v>2073.1725000000001</v>
      </c>
      <c r="BB40" s="842">
        <v>1732.5465000000004</v>
      </c>
      <c r="BC40" s="842">
        <v>2013.3824999999997</v>
      </c>
      <c r="BD40" s="842">
        <v>1875.4740000000002</v>
      </c>
      <c r="BE40" s="842">
        <v>1834.3440000000001</v>
      </c>
      <c r="BF40" s="842">
        <v>1666.413</v>
      </c>
      <c r="BG40" s="842">
        <v>1857.645</v>
      </c>
      <c r="BH40" s="842">
        <v>1804.614</v>
      </c>
      <c r="BI40" s="842">
        <v>1740.7259999999997</v>
      </c>
      <c r="BJ40" s="842">
        <v>1670.85</v>
      </c>
      <c r="BK40" s="842">
        <v>1884.9479999999999</v>
      </c>
      <c r="BL40" s="842">
        <v>1811.3040000000001</v>
      </c>
      <c r="BM40" s="862">
        <f t="shared" ref="BM40:CV40" si="48">BM39-BM38</f>
        <v>1661.259</v>
      </c>
      <c r="BN40" s="863">
        <f t="shared" si="48"/>
        <v>1570.0622499999999</v>
      </c>
      <c r="BO40" s="863">
        <f t="shared" si="48"/>
        <v>1998.2702000000002</v>
      </c>
      <c r="BP40" s="863">
        <f t="shared" si="48"/>
        <v>1318.5249000000003</v>
      </c>
      <c r="BQ40" s="862">
        <f t="shared" si="48"/>
        <v>1777.366</v>
      </c>
      <c r="BR40" s="863">
        <f t="shared" si="48"/>
        <v>2138.8590000000004</v>
      </c>
      <c r="BS40" s="863">
        <f t="shared" si="48"/>
        <v>2190.5756499999998</v>
      </c>
      <c r="BT40" s="863">
        <f t="shared" si="48"/>
        <v>1991.2000000000044</v>
      </c>
      <c r="BU40" s="862">
        <f t="shared" si="48"/>
        <v>2070.9972500000003</v>
      </c>
      <c r="BV40" s="863">
        <f t="shared" si="48"/>
        <v>1979.4312</v>
      </c>
      <c r="BW40" s="863">
        <f t="shared" si="48"/>
        <v>2483.80555</v>
      </c>
      <c r="BX40" s="863">
        <f t="shared" si="48"/>
        <v>2569.9960000000001</v>
      </c>
      <c r="BY40" s="862">
        <f t="shared" si="48"/>
        <v>3970.6200000000008</v>
      </c>
      <c r="BZ40" s="863">
        <f t="shared" si="48"/>
        <v>3730.7610000000004</v>
      </c>
      <c r="CA40" s="863">
        <f t="shared" si="48"/>
        <v>4108.0239000000001</v>
      </c>
      <c r="CB40" s="863">
        <f t="shared" si="48"/>
        <v>3979.3476000000001</v>
      </c>
      <c r="CC40" s="862">
        <f t="shared" si="48"/>
        <v>3968.0855999999994</v>
      </c>
      <c r="CD40" s="863">
        <f t="shared" si="48"/>
        <v>3707.90625</v>
      </c>
      <c r="CE40" s="863">
        <f t="shared" si="48"/>
        <v>4096.9523999999992</v>
      </c>
      <c r="CF40" s="863">
        <f t="shared" si="48"/>
        <v>4087.1540999999997</v>
      </c>
      <c r="CG40" s="862">
        <f t="shared" ca="1" si="48"/>
        <v>4016.1086999999989</v>
      </c>
      <c r="CH40" s="863">
        <f t="shared" ca="1" si="48"/>
        <v>3766.3599131010269</v>
      </c>
      <c r="CI40" s="863">
        <f t="shared" ca="1" si="48"/>
        <v>3916.6059131010261</v>
      </c>
      <c r="CJ40" s="863">
        <f t="shared" ca="1" si="48"/>
        <v>3880.2769631010265</v>
      </c>
      <c r="CK40" s="862">
        <f t="shared" ca="1" si="48"/>
        <v>3950.116213101026</v>
      </c>
      <c r="CL40" s="863">
        <f t="shared" ca="1" si="48"/>
        <v>3622.1475131010266</v>
      </c>
      <c r="CM40" s="863">
        <f t="shared" ca="1" si="48"/>
        <v>3870.1713131010256</v>
      </c>
      <c r="CN40" s="863">
        <f t="shared" ca="1" si="48"/>
        <v>4117.0326131010261</v>
      </c>
      <c r="CO40" s="862">
        <f t="shared" ca="1" si="48"/>
        <v>4350.8532131010252</v>
      </c>
      <c r="CP40" s="863">
        <f t="shared" ca="1" si="48"/>
        <v>4178.779513101048</v>
      </c>
      <c r="CQ40" s="863">
        <f t="shared" ca="1" si="48"/>
        <v>4370.6940131010479</v>
      </c>
      <c r="CR40" s="863">
        <f t="shared" ca="1" si="48"/>
        <v>4391.4616631010476</v>
      </c>
      <c r="CS40" s="862">
        <f t="shared" ca="1" si="48"/>
        <v>4742.1841631010475</v>
      </c>
      <c r="CT40" s="863">
        <f t="shared" ca="1" si="48"/>
        <v>4405.6144631010475</v>
      </c>
      <c r="CU40" s="863">
        <f t="shared" ca="1" si="48"/>
        <v>4585.077763101046</v>
      </c>
      <c r="CV40" s="864">
        <f t="shared" ca="1" si="48"/>
        <v>4975.7851631010462</v>
      </c>
      <c r="CW40" s="863">
        <f t="shared" ref="CW40:DD40" ca="1" si="49">CW39-CW38</f>
        <v>4831.253563101046</v>
      </c>
      <c r="CX40" s="863">
        <f t="shared" ca="1" si="49"/>
        <v>4367.1342131010479</v>
      </c>
      <c r="CY40" s="863">
        <f t="shared" ca="1" si="49"/>
        <v>4504.8234131010486</v>
      </c>
      <c r="CZ40" s="864">
        <f t="shared" ca="1" si="49"/>
        <v>4551.2874131010485</v>
      </c>
      <c r="DA40" s="863">
        <f t="shared" ca="1" si="49"/>
        <v>4651.597663101049</v>
      </c>
      <c r="DB40" s="863">
        <f t="shared" ca="1" si="49"/>
        <v>4535.4601631010491</v>
      </c>
      <c r="DC40" s="863">
        <f t="shared" ca="1" si="49"/>
        <v>4861.3692131010494</v>
      </c>
      <c r="DD40" s="863">
        <f t="shared" ca="1" si="49"/>
        <v>5087.4051131010492</v>
      </c>
      <c r="DE40" s="863">
        <f t="shared" ref="DE40:DH40" ca="1" si="50">DE39-DE38</f>
        <v>5263.2858131010489</v>
      </c>
      <c r="DF40" s="863">
        <f t="shared" ca="1" si="50"/>
        <v>4549.7805131010482</v>
      </c>
      <c r="DG40" s="863">
        <f t="shared" ca="1" si="50"/>
        <v>4608.3417131010492</v>
      </c>
      <c r="DH40" s="863">
        <f t="shared" ca="1" si="50"/>
        <v>4812.7098131010489</v>
      </c>
      <c r="DI40" s="863">
        <f t="shared" ref="DI40:DL40" ca="1" si="51">DI39-DI38</f>
        <v>4969.0620131010492</v>
      </c>
      <c r="DJ40" s="863">
        <f t="shared" ca="1" si="51"/>
        <v>4659.9840115671886</v>
      </c>
      <c r="DK40" s="863">
        <f t="shared" ca="1" si="51"/>
        <v>4693.1416453287966</v>
      </c>
      <c r="DL40" s="863">
        <f t="shared" ca="1" si="51"/>
        <v>4865.9353775843865</v>
      </c>
    </row>
    <row r="41" spans="1:116" s="833" customFormat="1">
      <c r="A41" s="819" t="s">
        <v>747</v>
      </c>
      <c r="B41" s="819"/>
      <c r="C41" s="819"/>
      <c r="D41" s="848">
        <v>2.4700827352119648E-2</v>
      </c>
      <c r="E41" s="848">
        <v>2.2910345189382019E-2</v>
      </c>
      <c r="F41" s="848">
        <v>1.8127361457619215E-2</v>
      </c>
      <c r="G41" s="848">
        <v>1.4677469325530502E-2</v>
      </c>
      <c r="H41" s="848">
        <v>1.2449822916776139E-2</v>
      </c>
      <c r="I41" s="848">
        <f>Wless!N166</f>
        <v>1.164024548037697E-2</v>
      </c>
      <c r="J41" s="833">
        <f>Wless!O166</f>
        <v>1.2102340846485359E-2</v>
      </c>
      <c r="K41" s="833">
        <f>Wless!P166</f>
        <v>1.249758643467404E-2</v>
      </c>
      <c r="L41" s="833">
        <f>Wless!Q166</f>
        <v>1.4002334645878786E-2</v>
      </c>
      <c r="V41" s="881"/>
      <c r="W41" s="881"/>
      <c r="X41" s="881"/>
      <c r="Y41" s="881"/>
      <c r="Z41" s="881"/>
      <c r="AA41" s="881"/>
      <c r="AB41" s="881"/>
      <c r="AS41" s="897">
        <v>2.8000000000000001E-2</v>
      </c>
      <c r="AT41" s="897">
        <v>2.3E-2</v>
      </c>
      <c r="AU41" s="897">
        <v>2.1999999999999999E-2</v>
      </c>
      <c r="AV41" s="897">
        <v>2.7E-2</v>
      </c>
      <c r="AW41" s="897">
        <v>2.5999999999999999E-2</v>
      </c>
      <c r="AX41" s="897">
        <v>2.3E-2</v>
      </c>
      <c r="AY41" s="897">
        <v>2.3E-2</v>
      </c>
      <c r="AZ41" s="897">
        <v>2.1000000000000001E-2</v>
      </c>
      <c r="BA41" s="897">
        <v>2.1000000000000001E-2</v>
      </c>
      <c r="BB41" s="897">
        <v>1.7000000000000001E-2</v>
      </c>
      <c r="BC41" s="897">
        <v>1.9E-2</v>
      </c>
      <c r="BD41" s="897">
        <v>1.7000000000000001E-2</v>
      </c>
      <c r="BE41" s="897">
        <v>1.6E-2</v>
      </c>
      <c r="BF41" s="897">
        <v>1.4E-2</v>
      </c>
      <c r="BG41" s="897">
        <v>1.4999999999999999E-2</v>
      </c>
      <c r="BH41" s="897">
        <v>1.4E-2</v>
      </c>
      <c r="BI41" s="897">
        <v>1.2999999999999999E-2</v>
      </c>
      <c r="BJ41" s="897">
        <v>1.2E-2</v>
      </c>
      <c r="BK41" s="897">
        <v>1.2999999999999999E-2</v>
      </c>
      <c r="BL41" s="897">
        <v>1.2E-2</v>
      </c>
      <c r="BM41" s="880">
        <f>Wless!BZ166</f>
        <v>1.18E-2</v>
      </c>
      <c r="BN41" s="881">
        <f>Wless!CA166</f>
        <v>1.1299999999999999E-2</v>
      </c>
      <c r="BO41" s="881">
        <f>Wless!CB166</f>
        <v>1.24E-2</v>
      </c>
      <c r="BP41" s="881">
        <f>Wless!CC166</f>
        <v>1.14E-2</v>
      </c>
      <c r="BQ41" s="880">
        <f>Wless!CD166</f>
        <v>1.1210562643332665E-2</v>
      </c>
      <c r="BR41" s="881">
        <f>Wless!CE166</f>
        <v>1.26E-2</v>
      </c>
      <c r="BS41" s="881">
        <f>Wless!CF166</f>
        <v>1.2699999999999999E-2</v>
      </c>
      <c r="BT41" s="881">
        <f>Wless!CG166</f>
        <v>1.2E-2</v>
      </c>
      <c r="BU41" s="904">
        <f>Wless!CH155</f>
        <v>1.3100000000000001E-2</v>
      </c>
      <c r="BV41" s="881">
        <f>Wless!CI155</f>
        <v>1.23E-2</v>
      </c>
      <c r="BW41" s="881">
        <f>Wless!CJ155</f>
        <v>1.43E-2</v>
      </c>
      <c r="BX41" s="881">
        <f>Wless!CK155</f>
        <v>1.46E-2</v>
      </c>
      <c r="BY41" s="880">
        <f>Wless!CL155</f>
        <v>1.44E-2</v>
      </c>
      <c r="BZ41" s="881">
        <f>Wless!CM155</f>
        <v>1.34E-2</v>
      </c>
      <c r="CA41" s="881">
        <f>Wless!CN155</f>
        <v>1.46E-2</v>
      </c>
      <c r="CB41" s="881">
        <f>Wless!CO155</f>
        <v>1.3899999999999999E-2</v>
      </c>
      <c r="CC41" s="880">
        <f>Wless!CP155</f>
        <v>1.3599999999999999E-2</v>
      </c>
      <c r="CD41" s="881">
        <f>Wless!CQ155</f>
        <v>1.2500000000000001E-2</v>
      </c>
      <c r="CE41" s="881">
        <f>Wless!CR155</f>
        <v>1.3599999999999999E-2</v>
      </c>
      <c r="CF41" s="881">
        <f>Wless!CS155</f>
        <v>1.34E-2</v>
      </c>
      <c r="CG41" s="880">
        <f ca="1">Wless!CT155</f>
        <v>1.2980228634591888E-2</v>
      </c>
      <c r="CH41" s="881">
        <f ca="1">Wless!CU155</f>
        <v>1.1942367296073368E-2</v>
      </c>
      <c r="CI41" s="881">
        <f ca="1">Wless!CV155</f>
        <v>1.2212963861334537E-2</v>
      </c>
      <c r="CJ41" s="881">
        <f ca="1">Wless!CW155</f>
        <v>1.2019009007731346E-2</v>
      </c>
      <c r="CK41" s="880">
        <f ca="1">Wless!CX155</f>
        <v>1.216176273591902E-2</v>
      </c>
      <c r="CL41" s="881">
        <f ca="1">Wless!CY155</f>
        <v>1.1018173810852325E-2</v>
      </c>
      <c r="CM41" s="881">
        <f ca="1">Wless!CZ155</f>
        <v>1.159726985712624E-2</v>
      </c>
      <c r="CN41" s="881">
        <f ca="1">Wless!DA155</f>
        <v>1.2105697198542818E-2</v>
      </c>
      <c r="CO41" s="880">
        <f ca="1">Wless!DB155</f>
        <v>1.2566802457125352E-2</v>
      </c>
      <c r="CP41" s="881">
        <f ca="1">Wless!DC155</f>
        <v>1.1901794372341745E-2</v>
      </c>
      <c r="CQ41" s="881">
        <f ca="1">Wless!DD155</f>
        <v>1.2285737211583436E-2</v>
      </c>
      <c r="CR41" s="881">
        <f ca="1">Wless!DE155</f>
        <v>1.2153788805079776E-2</v>
      </c>
      <c r="CS41" s="880">
        <f ca="1">Wless!DF155</f>
        <v>1.2952275267771603E-2</v>
      </c>
      <c r="CT41" s="881">
        <f ca="1">Wless!DG155</f>
        <v>1.1888061283383584E-2</v>
      </c>
      <c r="CU41" s="881">
        <f ca="1">Wless!DH155</f>
        <v>1.2177530680618257E-2</v>
      </c>
      <c r="CV41" s="882">
        <f ca="1">Wless!DI155</f>
        <v>1.2977798199307645E-2</v>
      </c>
      <c r="CW41" s="881">
        <f ca="1">Wless!DJ155</f>
        <v>1.2433306859837446E-2</v>
      </c>
      <c r="CX41" s="881">
        <f ca="1">Wless!DK155</f>
        <v>1.1163302602861285E-2</v>
      </c>
      <c r="CY41" s="881">
        <f ca="1">Wless!DL155</f>
        <v>1.1438337613295522E-2</v>
      </c>
      <c r="CZ41" s="882">
        <f ca="1">Wless!DM155</f>
        <v>1.1479626684981073E-2</v>
      </c>
      <c r="DA41" s="881">
        <f ca="1">Wless!DN155</f>
        <v>1.1655291408994165E-2</v>
      </c>
      <c r="DB41" s="881">
        <f ca="1">Wless!DO155</f>
        <v>1.1289864082585749E-2</v>
      </c>
      <c r="DC41" s="881">
        <f ca="1">Wless!DP155</f>
        <v>1.2022393966510121E-2</v>
      </c>
      <c r="DD41" s="881">
        <f ca="1">Wless!DQ155</f>
        <v>1.2500058633066495E-2</v>
      </c>
      <c r="DE41" s="881">
        <f ca="1">Wless!DR155</f>
        <v>1.2849144425038844E-2</v>
      </c>
      <c r="DF41" s="881">
        <f ca="1">Wless!DS155</f>
        <v>1.1036392776516937E-2</v>
      </c>
      <c r="DG41" s="881">
        <f ca="1">Wless!DT155</f>
        <v>1.1107556008134933E-2</v>
      </c>
      <c r="DH41" s="881">
        <f ca="1">Wless!DU155</f>
        <v>1.1527048313534138E-2</v>
      </c>
      <c r="DI41" s="881">
        <f ca="1">Wless!DV155</f>
        <v>1.1827002819501933E-2</v>
      </c>
      <c r="DJ41" s="881">
        <f ca="1">Wless!DW155</f>
        <v>1.104122725080667E-2</v>
      </c>
      <c r="DK41" s="881">
        <f ca="1">Wless!DX155</f>
        <v>1.1085312579938776E-2</v>
      </c>
      <c r="DL41" s="881">
        <f ca="1">Wless!DY155</f>
        <v>1.144897836149744E-2</v>
      </c>
    </row>
    <row r="42" spans="1:116" s="829" customFormat="1">
      <c r="A42" s="814" t="s">
        <v>102</v>
      </c>
      <c r="B42" s="814"/>
      <c r="C42" s="814"/>
      <c r="D42" s="846">
        <v>47.174981437612701</v>
      </c>
      <c r="E42" s="846">
        <v>47.744337640466064</v>
      </c>
      <c r="F42" s="846">
        <v>47.90881869989375</v>
      </c>
      <c r="G42" s="846">
        <v>49.997131312137832</v>
      </c>
      <c r="H42" s="846">
        <v>49.273275671812769</v>
      </c>
      <c r="I42" s="846">
        <f>Wless!N309</f>
        <v>58.317739992209368</v>
      </c>
      <c r="J42" s="829">
        <f>Wless!O309</f>
        <v>59.849135800490011</v>
      </c>
      <c r="K42" s="829">
        <f>Wless!P309</f>
        <v>51.580129159014632</v>
      </c>
      <c r="L42" s="829">
        <f>Wless!Q309</f>
        <v>46.157257134748754</v>
      </c>
      <c r="V42" s="878"/>
      <c r="W42" s="878"/>
      <c r="X42" s="878"/>
      <c r="Y42" s="878"/>
      <c r="Z42" s="878"/>
      <c r="AA42" s="878"/>
      <c r="AB42" s="878"/>
      <c r="AS42" s="896">
        <v>46.150611053386768</v>
      </c>
      <c r="AT42" s="896">
        <v>49.238295914166002</v>
      </c>
      <c r="AU42" s="896">
        <v>49.259285428295534</v>
      </c>
      <c r="AV42" s="896">
        <v>46.26951331496786</v>
      </c>
      <c r="AW42" s="896">
        <v>45.799283397194621</v>
      </c>
      <c r="AX42" s="896">
        <v>48.632794020247893</v>
      </c>
      <c r="AY42" s="896">
        <v>49.740139311207436</v>
      </c>
      <c r="AZ42" s="896">
        <v>49.084546647503593</v>
      </c>
      <c r="BA42" s="896">
        <v>47.203018562131227</v>
      </c>
      <c r="BB42" s="896">
        <v>49.168665891507096</v>
      </c>
      <c r="BC42" s="896">
        <v>50.005898034774816</v>
      </c>
      <c r="BD42" s="896">
        <v>48.639437283588045</v>
      </c>
      <c r="BE42" s="896">
        <v>47.98227595260213</v>
      </c>
      <c r="BF42" s="896">
        <v>50.768927030694073</v>
      </c>
      <c r="BG42" s="896">
        <v>51.58</v>
      </c>
      <c r="BH42" s="896">
        <v>50.32</v>
      </c>
      <c r="BI42" s="896">
        <v>49.03</v>
      </c>
      <c r="BJ42" s="896">
        <v>49.42</v>
      </c>
      <c r="BK42" s="896">
        <v>50.13</v>
      </c>
      <c r="BL42" s="896">
        <v>49.36</v>
      </c>
      <c r="BM42" s="877">
        <f>Wless!BZ309</f>
        <v>48.67</v>
      </c>
      <c r="BN42" s="878">
        <f>Wless!CA309</f>
        <v>49.71</v>
      </c>
      <c r="BO42" s="878">
        <f>Wless!CB309</f>
        <v>50.59</v>
      </c>
      <c r="BP42" s="878">
        <f>Wless!CC309</f>
        <v>50.12</v>
      </c>
      <c r="BQ42" s="877">
        <f>Wless!CD309</f>
        <v>50.06</v>
      </c>
      <c r="BR42" s="878">
        <f>Wless!CE309</f>
        <v>51.054000000000002</v>
      </c>
      <c r="BS42" s="878">
        <f>Wless!CF309</f>
        <v>51.685000000000002</v>
      </c>
      <c r="BT42" s="878">
        <f>Wless!CG309</f>
        <v>51</v>
      </c>
      <c r="BU42" s="877">
        <f>Wless!CH309</f>
        <v>50.91</v>
      </c>
      <c r="BV42" s="878">
        <f>Wless!CI309</f>
        <v>51.53</v>
      </c>
      <c r="BW42" s="878">
        <f>Wless!CJ309</f>
        <v>52.18</v>
      </c>
      <c r="BX42" s="878">
        <f>Wless!CK309</f>
        <v>51.72</v>
      </c>
      <c r="BY42" s="877">
        <f>Wless!CL309</f>
        <v>50.74</v>
      </c>
      <c r="BZ42" s="878">
        <f>Wless!CM309</f>
        <v>51.1</v>
      </c>
      <c r="CA42" s="878">
        <f>Wless!CN309</f>
        <v>46.731811857277656</v>
      </c>
      <c r="CB42" s="878">
        <f>Wless!CO309</f>
        <v>46.048678934205192</v>
      </c>
      <c r="CC42" s="877">
        <f>Wless!CP309</f>
        <v>46.152633400852046</v>
      </c>
      <c r="CD42" s="878">
        <f>Wless!CQ309</f>
        <v>46.528954177306936</v>
      </c>
      <c r="CE42" s="878">
        <f>Wless!CR309</f>
        <v>47.031251815373793</v>
      </c>
      <c r="CF42" s="878">
        <f>Wless!CS309</f>
        <v>46.532671718935184</v>
      </c>
      <c r="CG42" s="877">
        <f>Wless!CT309</f>
        <v>46.253741087646489</v>
      </c>
      <c r="CH42" s="878">
        <f>Wless!CU309</f>
        <v>46.632929373640515</v>
      </c>
      <c r="CI42" s="878">
        <f>Wless!CV309</f>
        <v>46.876680932669146</v>
      </c>
      <c r="CJ42" s="878">
        <f>Wless!CW309</f>
        <v>46.790255385711411</v>
      </c>
      <c r="CK42" s="877">
        <f>Wless!CX309</f>
        <v>47.444873429023581</v>
      </c>
      <c r="CL42" s="878">
        <f>Wless!CY309</f>
        <v>47.988854515533411</v>
      </c>
      <c r="CM42" s="878">
        <f>Wless!CZ309</f>
        <v>48.406719526300968</v>
      </c>
      <c r="CN42" s="878">
        <f>Wless!DA309</f>
        <v>48.201875677209443</v>
      </c>
      <c r="CO42" s="877">
        <f>Wless!DB309</f>
        <v>0</v>
      </c>
      <c r="CP42" s="878">
        <f>Wless!DC309</f>
        <v>0</v>
      </c>
      <c r="CQ42" s="878">
        <f>Wless!DD309</f>
        <v>0</v>
      </c>
      <c r="CR42" s="878">
        <f>Wless!DE309</f>
        <v>0</v>
      </c>
      <c r="CS42" s="877">
        <f>Wless!DF309</f>
        <v>0</v>
      </c>
      <c r="CT42" s="878">
        <f>Wless!DG309</f>
        <v>0</v>
      </c>
      <c r="CU42" s="878">
        <f>Wless!DH309</f>
        <v>0</v>
      </c>
      <c r="CV42" s="879">
        <f>Wless!DI309</f>
        <v>0</v>
      </c>
      <c r="CW42" s="878">
        <f>Wless!DJ309</f>
        <v>0</v>
      </c>
      <c r="CX42" s="878">
        <f>Wless!DK309</f>
        <v>0</v>
      </c>
      <c r="CY42" s="878">
        <f>Wless!DL309</f>
        <v>0</v>
      </c>
      <c r="CZ42" s="879">
        <f>Wless!DM309</f>
        <v>0</v>
      </c>
      <c r="DA42" s="878">
        <f>Wless!DN309</f>
        <v>0</v>
      </c>
      <c r="DB42" s="878">
        <f>Wless!DO309</f>
        <v>0</v>
      </c>
      <c r="DC42" s="878">
        <f>Wless!DP309</f>
        <v>0</v>
      </c>
      <c r="DD42" s="878">
        <f>Wless!DQ309</f>
        <v>0</v>
      </c>
      <c r="DE42" s="878">
        <f>Wless!DR309</f>
        <v>0</v>
      </c>
      <c r="DF42" s="878">
        <f>Wless!DS309</f>
        <v>0</v>
      </c>
      <c r="DG42" s="878">
        <f>Wless!DT309</f>
        <v>0</v>
      </c>
      <c r="DH42" s="878">
        <f>Wless!DU309</f>
        <v>0</v>
      </c>
      <c r="DI42" s="878">
        <f>Wless!DV309</f>
        <v>0</v>
      </c>
      <c r="DJ42" s="878">
        <f>Wless!DW309</f>
        <v>0</v>
      </c>
      <c r="DK42" s="878">
        <f>Wless!DX309</f>
        <v>0</v>
      </c>
      <c r="DL42" s="878">
        <f>Wless!DY309</f>
        <v>0</v>
      </c>
    </row>
    <row r="43" spans="1:116" s="808" customFormat="1">
      <c r="A43" s="826" t="s">
        <v>748</v>
      </c>
      <c r="B43" s="826"/>
      <c r="C43" s="826"/>
      <c r="D43" s="830"/>
      <c r="E43" s="830"/>
      <c r="F43" s="830"/>
      <c r="G43" s="830"/>
      <c r="H43" s="830"/>
      <c r="I43" s="830"/>
      <c r="J43" s="830"/>
      <c r="K43" s="830"/>
      <c r="L43" s="830"/>
      <c r="M43" s="830"/>
      <c r="N43" s="830"/>
      <c r="O43" s="830"/>
      <c r="P43" s="830"/>
      <c r="Q43" s="830"/>
      <c r="R43" s="830"/>
      <c r="S43" s="830"/>
      <c r="T43" s="830"/>
      <c r="U43" s="830"/>
      <c r="V43" s="860"/>
      <c r="W43" s="860"/>
      <c r="X43" s="860"/>
      <c r="Y43" s="860"/>
      <c r="Z43" s="860"/>
      <c r="AA43" s="860"/>
      <c r="AB43" s="860"/>
      <c r="AC43" s="830"/>
      <c r="AD43" s="830"/>
      <c r="AE43" s="830"/>
      <c r="AF43" s="830"/>
      <c r="AG43" s="830"/>
      <c r="AH43" s="830"/>
      <c r="AI43" s="830"/>
      <c r="AJ43" s="830"/>
      <c r="AK43" s="830"/>
      <c r="AL43" s="830"/>
      <c r="AM43" s="830"/>
      <c r="AN43" s="830"/>
      <c r="AO43" s="830"/>
      <c r="AP43" s="830"/>
      <c r="AQ43" s="830"/>
      <c r="AR43" s="830"/>
      <c r="AS43" s="898"/>
      <c r="AT43" s="898"/>
      <c r="AU43" s="898"/>
      <c r="AV43" s="898"/>
      <c r="AW43" s="898"/>
      <c r="AX43" s="898"/>
      <c r="AY43" s="898"/>
      <c r="AZ43" s="898"/>
      <c r="BA43" s="898"/>
      <c r="BB43" s="898"/>
      <c r="BC43" s="898"/>
      <c r="BD43" s="898"/>
      <c r="BE43" s="898"/>
      <c r="BF43" s="898"/>
      <c r="BG43" s="898"/>
      <c r="BH43" s="898"/>
      <c r="BI43" s="898"/>
      <c r="BJ43" s="898"/>
      <c r="BK43" s="898"/>
      <c r="BL43" s="898"/>
      <c r="BM43" s="859"/>
      <c r="BN43" s="860"/>
      <c r="BO43" s="860"/>
      <c r="BP43" s="860"/>
      <c r="BQ43" s="859"/>
      <c r="BR43" s="860"/>
      <c r="BS43" s="860"/>
      <c r="BT43" s="860"/>
      <c r="BU43" s="859"/>
      <c r="BV43" s="860"/>
      <c r="BW43" s="860"/>
      <c r="BX43" s="860"/>
      <c r="BY43" s="859"/>
      <c r="BZ43" s="860"/>
      <c r="CA43" s="860"/>
      <c r="CB43" s="860"/>
      <c r="CC43" s="859"/>
      <c r="CD43" s="860"/>
      <c r="CE43" s="860"/>
      <c r="CF43" s="860"/>
      <c r="CG43" s="859"/>
      <c r="CH43" s="860"/>
      <c r="CI43" s="860"/>
      <c r="CJ43" s="860"/>
      <c r="CK43" s="859"/>
      <c r="CL43" s="860"/>
      <c r="CM43" s="860"/>
      <c r="CN43" s="860"/>
      <c r="CO43" s="859"/>
      <c r="CP43" s="860"/>
      <c r="CQ43" s="860"/>
      <c r="CR43" s="860"/>
      <c r="CS43" s="859"/>
      <c r="CT43" s="860"/>
      <c r="CU43" s="860"/>
      <c r="CV43" s="861"/>
      <c r="CW43" s="860"/>
      <c r="CX43" s="860"/>
      <c r="CY43" s="860"/>
      <c r="CZ43" s="861"/>
      <c r="DA43" s="860"/>
      <c r="DB43" s="860"/>
      <c r="DC43" s="860"/>
      <c r="DD43" s="860"/>
      <c r="DE43" s="860"/>
      <c r="DF43" s="860"/>
      <c r="DG43" s="860"/>
      <c r="DH43" s="860"/>
      <c r="DI43" s="860"/>
      <c r="DJ43" s="860"/>
      <c r="DK43" s="860"/>
      <c r="DL43" s="860"/>
    </row>
    <row r="44" spans="1:116" s="808" customFormat="1">
      <c r="A44" s="827" t="s">
        <v>1433</v>
      </c>
      <c r="B44" s="812"/>
      <c r="C44" s="812"/>
      <c r="V44" s="863"/>
      <c r="W44" s="863"/>
      <c r="X44" s="863"/>
      <c r="Y44" s="863"/>
      <c r="Z44" s="863"/>
      <c r="AA44" s="863"/>
      <c r="AB44" s="863"/>
      <c r="AS44" s="842"/>
      <c r="AT44" s="842"/>
      <c r="AU44" s="842"/>
      <c r="AV44" s="842"/>
      <c r="AW44" s="842"/>
      <c r="AX44" s="842"/>
      <c r="AY44" s="842"/>
      <c r="AZ44" s="842"/>
      <c r="BA44" s="842"/>
      <c r="BB44" s="842"/>
      <c r="BC44" s="842"/>
      <c r="BD44" s="842"/>
      <c r="BE44" s="842"/>
      <c r="BF44" s="842"/>
      <c r="BG44" s="842"/>
      <c r="BH44" s="842"/>
      <c r="BI44" s="842"/>
      <c r="BJ44" s="842"/>
      <c r="BK44" s="842"/>
      <c r="BL44" s="842"/>
      <c r="BM44" s="862"/>
      <c r="BN44" s="863"/>
      <c r="BO44" s="863"/>
      <c r="BP44" s="863"/>
      <c r="BQ44" s="862"/>
      <c r="BR44" s="863"/>
      <c r="BS44" s="863"/>
      <c r="BT44" s="863"/>
      <c r="BU44" s="862"/>
      <c r="BV44" s="863"/>
      <c r="BW44" s="863"/>
      <c r="BX44" s="863"/>
      <c r="BY44" s="862"/>
      <c r="BZ44" s="863"/>
      <c r="CA44" s="863"/>
      <c r="CB44" s="863"/>
      <c r="CC44" s="862"/>
      <c r="CD44" s="863"/>
      <c r="CE44" s="863"/>
      <c r="CF44" s="863"/>
      <c r="CG44" s="862"/>
      <c r="CH44" s="863"/>
      <c r="CI44" s="863"/>
      <c r="CJ44" s="863"/>
      <c r="CK44" s="862"/>
      <c r="CL44" s="863"/>
      <c r="CM44" s="863"/>
      <c r="CN44" s="863"/>
      <c r="CO44" s="862"/>
      <c r="CP44" s="863"/>
      <c r="CQ44" s="863"/>
      <c r="CR44" s="863"/>
      <c r="CS44" s="862"/>
      <c r="CT44" s="863"/>
      <c r="CU44" s="863"/>
      <c r="CV44" s="864"/>
      <c r="CW44" s="863"/>
      <c r="CX44" s="863"/>
      <c r="CY44" s="863"/>
      <c r="CZ44" s="864"/>
      <c r="DA44" s="863"/>
      <c r="DB44" s="863"/>
      <c r="DC44" s="863"/>
      <c r="DD44" s="863"/>
      <c r="DE44" s="863"/>
      <c r="DF44" s="863"/>
      <c r="DG44" s="863"/>
      <c r="DH44" s="863"/>
      <c r="DI44" s="863"/>
      <c r="DJ44" s="863"/>
      <c r="DK44" s="863"/>
      <c r="DL44" s="863"/>
    </row>
    <row r="45" spans="1:116" s="808" customFormat="1">
      <c r="A45" s="812" t="s">
        <v>689</v>
      </c>
      <c r="B45" s="812"/>
      <c r="C45" s="812"/>
      <c r="D45" s="842">
        <v>42081</v>
      </c>
      <c r="E45" s="842">
        <v>40839</v>
      </c>
      <c r="F45" s="842">
        <v>39055</v>
      </c>
      <c r="G45" s="842">
        <v>38021</v>
      </c>
      <c r="H45" s="842">
        <v>37616</v>
      </c>
      <c r="I45" s="842">
        <v>49504</v>
      </c>
      <c r="J45" s="808">
        <f>SUM(BQ45:BT45)</f>
        <v>49129</v>
      </c>
      <c r="K45" s="808">
        <f>Wireline!P75</f>
        <v>48214</v>
      </c>
      <c r="L45" s="808">
        <f>Wireline!Q75</f>
        <v>42353</v>
      </c>
      <c r="M45" s="808">
        <f>Wireline!R75</f>
        <v>41227</v>
      </c>
      <c r="N45" s="808">
        <f>Wireline!S75</f>
        <v>40682</v>
      </c>
      <c r="O45" s="808">
        <f>Wireline!T75</f>
        <v>39523</v>
      </c>
      <c r="P45" s="808">
        <f>Wireline!U75</f>
        <v>38624</v>
      </c>
      <c r="Q45" s="808">
        <f>Wireline!V75</f>
        <v>38429</v>
      </c>
      <c r="R45" s="808">
        <f>Wireline!W75</f>
        <v>35521</v>
      </c>
      <c r="S45" s="808">
        <f>Wireline!X75</f>
        <v>32187</v>
      </c>
      <c r="T45" s="808">
        <f>Wireline!Y75</f>
        <v>30957</v>
      </c>
      <c r="U45" s="808">
        <f>Wireline!Z75</f>
        <v>30121.528239068102</v>
      </c>
      <c r="V45" s="863">
        <f>Wireline!AA75</f>
        <v>29694.288523668522</v>
      </c>
      <c r="W45" s="863">
        <f>Wireline!AB75</f>
        <v>29272.688905597533</v>
      </c>
      <c r="X45" s="863">
        <f>Wireline!AC75</f>
        <v>28873.969536712844</v>
      </c>
      <c r="Y45" s="863">
        <f>Wireline!AD75</f>
        <v>28494.147508978458</v>
      </c>
      <c r="Z45" s="863">
        <f>Wireline!AE75</f>
        <v>28130.062356789385</v>
      </c>
      <c r="AA45" s="863">
        <f>Wireline!AF75</f>
        <v>27779.210202411166</v>
      </c>
      <c r="AB45" s="863">
        <f>Wireline!AG75</f>
        <v>27439.613484142417</v>
      </c>
      <c r="AS45" s="842">
        <v>10661</v>
      </c>
      <c r="AT45" s="842">
        <v>10702</v>
      </c>
      <c r="AU45" s="842">
        <v>10422</v>
      </c>
      <c r="AV45" s="842">
        <v>10296</v>
      </c>
      <c r="AW45" s="842">
        <v>10251</v>
      </c>
      <c r="AX45" s="842">
        <v>10254</v>
      </c>
      <c r="AY45" s="842">
        <v>10268</v>
      </c>
      <c r="AZ45" s="842">
        <v>10066</v>
      </c>
      <c r="BA45" s="842">
        <v>9803</v>
      </c>
      <c r="BB45" s="842">
        <v>9772</v>
      </c>
      <c r="BC45" s="842">
        <v>9717</v>
      </c>
      <c r="BD45" s="842">
        <v>9763</v>
      </c>
      <c r="BE45" s="842">
        <v>9481</v>
      </c>
      <c r="BF45" s="842">
        <v>9492</v>
      </c>
      <c r="BG45" s="842">
        <v>9515</v>
      </c>
      <c r="BH45" s="842">
        <v>9533</v>
      </c>
      <c r="BI45" s="842">
        <v>9367</v>
      </c>
      <c r="BJ45" s="842">
        <v>9445</v>
      </c>
      <c r="BK45" s="842">
        <v>9445</v>
      </c>
      <c r="BL45" s="842">
        <v>9359</v>
      </c>
      <c r="BM45" s="862">
        <f>Wireline!BZ75</f>
        <v>12142</v>
      </c>
      <c r="BN45" s="863">
        <f>Wireline!CA75</f>
        <v>12457</v>
      </c>
      <c r="BO45" s="863">
        <f>Wireline!CB75</f>
        <v>12483</v>
      </c>
      <c r="BP45" s="863">
        <f>Wireline!CC75</f>
        <v>12422</v>
      </c>
      <c r="BQ45" s="862">
        <f>Wireline!CD75</f>
        <v>12178</v>
      </c>
      <c r="BR45" s="863">
        <f>Wireline!CE75</f>
        <v>12330</v>
      </c>
      <c r="BS45" s="863">
        <f>Wireline!CF75</f>
        <v>12372</v>
      </c>
      <c r="BT45" s="863">
        <f>Wireline!CG75</f>
        <v>12249</v>
      </c>
      <c r="BU45" s="862">
        <f>Wireline!CH75</f>
        <v>12026</v>
      </c>
      <c r="BV45" s="863">
        <f>Wireline!CI75</f>
        <v>12113</v>
      </c>
      <c r="BW45" s="863">
        <f>Wireline!CJ75</f>
        <v>12158</v>
      </c>
      <c r="BX45" s="863">
        <f>Wireline!CK75</f>
        <v>11917</v>
      </c>
      <c r="BY45" s="862">
        <f>Wireline!CL75</f>
        <v>10542</v>
      </c>
      <c r="BZ45" s="863">
        <f>Wireline!CM75</f>
        <v>10563</v>
      </c>
      <c r="CA45" s="863">
        <f>Wireline!CN75</f>
        <v>10667</v>
      </c>
      <c r="CB45" s="863">
        <f>Wireline!CO75</f>
        <v>10581</v>
      </c>
      <c r="CC45" s="862">
        <f>Wireline!CP75</f>
        <v>10375</v>
      </c>
      <c r="CD45" s="863">
        <f>Wireline!CQ75</f>
        <v>10277</v>
      </c>
      <c r="CE45" s="863">
        <f>Wireline!CR75</f>
        <v>10286</v>
      </c>
      <c r="CF45" s="863">
        <f>Wireline!CS75</f>
        <v>10289</v>
      </c>
      <c r="CG45" s="862">
        <f>Wireline!CT75</f>
        <v>10147</v>
      </c>
      <c r="CH45" s="863">
        <f>Wireline!CU75</f>
        <v>10247</v>
      </c>
      <c r="CI45" s="863">
        <f>Wireline!CV75</f>
        <v>10149</v>
      </c>
      <c r="CJ45" s="863">
        <f>Wireline!CW75</f>
        <v>10139</v>
      </c>
      <c r="CK45" s="862">
        <f>Wireline!CX75</f>
        <v>9945</v>
      </c>
      <c r="CL45" s="863">
        <f>Wireline!CY75</f>
        <v>9904</v>
      </c>
      <c r="CM45" s="863">
        <f>Wireline!CZ75</f>
        <v>9914</v>
      </c>
      <c r="CN45" s="863">
        <f>Wireline!DA75</f>
        <v>9760</v>
      </c>
      <c r="CO45" s="862">
        <f>Wireline!DB75</f>
        <v>9650</v>
      </c>
      <c r="CP45" s="863">
        <f>Wireline!DC75</f>
        <v>9605</v>
      </c>
      <c r="CQ45" s="863">
        <f>Wireline!DD75</f>
        <v>9657</v>
      </c>
      <c r="CR45" s="863">
        <f>Wireline!DE75</f>
        <v>9712</v>
      </c>
      <c r="CS45" s="862">
        <f>Wireline!DF75</f>
        <v>9662</v>
      </c>
      <c r="CT45" s="863">
        <f>Wireline!DG75</f>
        <v>9631</v>
      </c>
      <c r="CU45" s="863">
        <f>Wireline!DH75</f>
        <v>9576</v>
      </c>
      <c r="CV45" s="864">
        <f>Wireline!DI75</f>
        <v>9560</v>
      </c>
      <c r="CW45" s="863">
        <f>Wireline!DJ75</f>
        <v>8914</v>
      </c>
      <c r="CX45" s="863">
        <f>Wireline!DK75</f>
        <v>8876</v>
      </c>
      <c r="CY45" s="863">
        <f>Wireline!DL75</f>
        <v>8811</v>
      </c>
      <c r="CZ45" s="864">
        <f>Wireline!DM75</f>
        <v>8920</v>
      </c>
      <c r="DA45" s="863">
        <f>Wireline!DN75</f>
        <v>8765</v>
      </c>
      <c r="DB45" s="863">
        <f>Wireline!DO75</f>
        <v>7823</v>
      </c>
      <c r="DC45" s="863">
        <f>Wireline!DP75</f>
        <v>7787</v>
      </c>
      <c r="DD45" s="863">
        <f>Wireline!DQ75</f>
        <v>7812</v>
      </c>
      <c r="DE45" s="863">
        <f>Wireline!DR75</f>
        <v>7876</v>
      </c>
      <c r="DF45" s="863">
        <f>Wireline!DS75</f>
        <v>7802</v>
      </c>
      <c r="DG45" s="863">
        <f>Wireline!DT75</f>
        <v>7662</v>
      </c>
      <c r="DH45" s="863">
        <f>Wireline!DU75</f>
        <v>7617</v>
      </c>
      <c r="DI45" s="863">
        <f>Wireline!DV75</f>
        <v>7557</v>
      </c>
      <c r="DJ45" s="863">
        <f>Wireline!DW75</f>
        <v>7542.0353558806746</v>
      </c>
      <c r="DK45" s="863">
        <f>Wireline!DX75</f>
        <v>7530.1227766780867</v>
      </c>
      <c r="DL45" s="863">
        <f>Wireline!DY75</f>
        <v>7492.3701065093419</v>
      </c>
    </row>
    <row r="46" spans="1:116" s="808" customFormat="1">
      <c r="A46" s="812" t="s">
        <v>538</v>
      </c>
      <c r="B46" s="812"/>
      <c r="C46" s="812"/>
      <c r="D46" s="842">
        <v>17393</v>
      </c>
      <c r="E46" s="842">
        <v>19473</v>
      </c>
      <c r="F46" s="842">
        <v>22489</v>
      </c>
      <c r="G46" s="842">
        <v>27662</v>
      </c>
      <c r="H46" s="842">
        <v>32301</v>
      </c>
      <c r="I46" s="842">
        <v>38043</v>
      </c>
      <c r="J46" s="808">
        <f>SUM(BQ46:BT46)</f>
        <v>43882</v>
      </c>
      <c r="K46" s="808">
        <f>Wless!P14</f>
        <v>49332</v>
      </c>
      <c r="L46" s="808">
        <f>Wless!Q14</f>
        <v>56893</v>
      </c>
      <c r="V46" s="863"/>
      <c r="W46" s="863"/>
      <c r="X46" s="863"/>
      <c r="Y46" s="863"/>
      <c r="Z46" s="863"/>
      <c r="AA46" s="863"/>
      <c r="AB46" s="863"/>
      <c r="AS46" s="842">
        <v>4046</v>
      </c>
      <c r="AT46" s="842">
        <v>4383</v>
      </c>
      <c r="AU46" s="842">
        <v>4521</v>
      </c>
      <c r="AV46" s="842">
        <v>4443</v>
      </c>
      <c r="AW46" s="842">
        <v>4430</v>
      </c>
      <c r="AX46" s="842">
        <v>4791</v>
      </c>
      <c r="AY46" s="842">
        <v>5029</v>
      </c>
      <c r="AZ46" s="842">
        <v>5223</v>
      </c>
      <c r="BA46" s="842">
        <v>5086</v>
      </c>
      <c r="BB46" s="842">
        <v>5477</v>
      </c>
      <c r="BC46" s="842">
        <v>5942</v>
      </c>
      <c r="BD46" s="842">
        <v>5984</v>
      </c>
      <c r="BE46" s="842">
        <v>6162</v>
      </c>
      <c r="BF46" s="842">
        <v>6847</v>
      </c>
      <c r="BG46" s="842">
        <v>7311</v>
      </c>
      <c r="BH46" s="842">
        <v>7342</v>
      </c>
      <c r="BI46" s="842">
        <v>7418</v>
      </c>
      <c r="BJ46" s="842">
        <v>7846</v>
      </c>
      <c r="BK46" s="842">
        <v>8351</v>
      </c>
      <c r="BL46" s="842">
        <v>8686</v>
      </c>
      <c r="BM46" s="862">
        <f>Wless!BZ14</f>
        <v>8813</v>
      </c>
      <c r="BN46" s="863">
        <f>Wless!CA14</f>
        <v>9262</v>
      </c>
      <c r="BO46" s="863">
        <f>Wless!CB14</f>
        <v>9869</v>
      </c>
      <c r="BP46" s="863">
        <f>Wless!CC14</f>
        <v>10099</v>
      </c>
      <c r="BQ46" s="862">
        <f>Wless!CD14</f>
        <v>10307</v>
      </c>
      <c r="BR46" s="863">
        <f>Wless!CE14</f>
        <v>10843</v>
      </c>
      <c r="BS46" s="863">
        <f>Wless!CF14</f>
        <v>11289</v>
      </c>
      <c r="BT46" s="863">
        <f>Wless!CG14</f>
        <v>11443</v>
      </c>
      <c r="BU46" s="862">
        <f>Wless!CH14</f>
        <v>11669</v>
      </c>
      <c r="BV46" s="863">
        <f>Wless!CI14</f>
        <v>12118</v>
      </c>
      <c r="BW46" s="863">
        <f>Wless!CJ14</f>
        <v>12699</v>
      </c>
      <c r="BX46" s="863">
        <f>Wless!CK14</f>
        <v>12846</v>
      </c>
      <c r="BY46" s="862">
        <f>Wless!CL14</f>
        <v>13857</v>
      </c>
      <c r="BZ46" s="863">
        <f>Wless!CM14</f>
        <v>14145</v>
      </c>
      <c r="CA46" s="863">
        <f>Wless!CN14</f>
        <v>14449</v>
      </c>
      <c r="CB46" s="863">
        <f>Wless!CO14</f>
        <v>14442</v>
      </c>
      <c r="CC46" s="862">
        <f>Wless!CP31</f>
        <v>15312</v>
      </c>
      <c r="CD46" s="863">
        <f>Wless!CQ31</f>
        <v>15697</v>
      </c>
      <c r="CE46" s="863">
        <f>Wless!CR31</f>
        <v>16250</v>
      </c>
      <c r="CF46" s="863">
        <f>Wless!CS31</f>
        <v>16148</v>
      </c>
      <c r="CG46" s="862">
        <f>Wless!CT31</f>
        <v>16881</v>
      </c>
      <c r="CH46" s="863">
        <f>Wless!CU31</f>
        <v>17293</v>
      </c>
      <c r="CI46" s="863">
        <f>Wless!CV31</f>
        <v>17726</v>
      </c>
      <c r="CJ46" s="863">
        <f>Wless!CW31</f>
        <v>18254</v>
      </c>
      <c r="CK46" s="862">
        <f>Wless!CX31</f>
        <v>18273</v>
      </c>
      <c r="CL46" s="863">
        <f>Wless!CY31</f>
        <v>18577</v>
      </c>
      <c r="CM46" s="863">
        <f>Wless!CZ31</f>
        <v>19024</v>
      </c>
      <c r="CN46" s="863">
        <f>Wless!DA31</f>
        <v>19994</v>
      </c>
      <c r="CO46" s="862">
        <f>Wless!DB31</f>
        <v>19523</v>
      </c>
      <c r="CP46" s="863">
        <f>Wless!DC31</f>
        <v>19976</v>
      </c>
      <c r="CQ46" s="863">
        <f>Wless!DD31</f>
        <v>20399</v>
      </c>
      <c r="CR46" s="863">
        <f>Wless!DE31</f>
        <v>21125</v>
      </c>
      <c r="CS46" s="862">
        <f>Wless!DF31</f>
        <v>20879</v>
      </c>
      <c r="CT46" s="863">
        <f>Wless!DG31</f>
        <v>21483</v>
      </c>
      <c r="CU46" s="863">
        <f>Wless!DH31</f>
        <v>21835</v>
      </c>
      <c r="CV46" s="864">
        <f>Wless!DI31</f>
        <v>23449</v>
      </c>
      <c r="CW46" s="863">
        <f>Wless!DJ31</f>
        <v>22328</v>
      </c>
      <c r="CX46" s="863">
        <f>Wless!DK31</f>
        <v>22613</v>
      </c>
      <c r="CY46" s="863">
        <f>Wless!DL31</f>
        <v>23005</v>
      </c>
      <c r="CZ46" s="864">
        <f>Wless!DM31</f>
        <v>23734</v>
      </c>
      <c r="DA46" s="863">
        <f>Wless!DN31</f>
        <v>22004</v>
      </c>
      <c r="DB46" s="863">
        <f>Wless!DO31</f>
        <v>21704</v>
      </c>
      <c r="DC46" s="863">
        <f>Wless!DP31</f>
        <v>22101</v>
      </c>
      <c r="DD46" s="863">
        <f>Wless!DQ31</f>
        <v>23377</v>
      </c>
      <c r="DE46" s="863">
        <f>Wless!DR31</f>
        <v>20878</v>
      </c>
      <c r="DF46" s="863">
        <f>Wless!DS31</f>
        <v>21282</v>
      </c>
      <c r="DG46" s="863">
        <f>Wless!DT31</f>
        <v>21580</v>
      </c>
      <c r="DH46" s="863">
        <f>Wless!DU31</f>
        <v>23771</v>
      </c>
      <c r="DI46" s="863">
        <f>Wless!DV31</f>
        <v>21900</v>
      </c>
      <c r="DJ46" s="863">
        <f ca="1">Wless!DW31</f>
        <v>21697.017217881326</v>
      </c>
      <c r="DK46" s="863">
        <f ca="1">Wless!DX31</f>
        <v>21996.981006157228</v>
      </c>
      <c r="DL46" s="863">
        <f ca="1">Wless!DY31</f>
        <v>23406.532331611525</v>
      </c>
    </row>
    <row r="47" spans="1:116" s="808" customFormat="1">
      <c r="A47" s="812" t="s">
        <v>953</v>
      </c>
      <c r="B47" s="812"/>
      <c r="C47" s="812"/>
      <c r="D47" s="842">
        <v>3172</v>
      </c>
      <c r="E47" s="842">
        <v>2219</v>
      </c>
      <c r="F47" s="842">
        <v>1949</v>
      </c>
      <c r="G47" s="842">
        <v>2014</v>
      </c>
      <c r="H47" s="842">
        <v>2193</v>
      </c>
      <c r="I47" s="842"/>
      <c r="V47" s="863"/>
      <c r="W47" s="863"/>
      <c r="X47" s="863"/>
      <c r="Y47" s="863"/>
      <c r="Z47" s="863"/>
      <c r="AA47" s="863"/>
      <c r="AB47" s="863"/>
      <c r="AS47" s="842">
        <v>727</v>
      </c>
      <c r="AT47" s="842">
        <v>828</v>
      </c>
      <c r="AU47" s="842">
        <v>804</v>
      </c>
      <c r="AV47" s="842">
        <v>813</v>
      </c>
      <c r="AW47" s="842">
        <v>562</v>
      </c>
      <c r="AX47" s="842">
        <v>570</v>
      </c>
      <c r="AY47" s="842">
        <v>538</v>
      </c>
      <c r="AZ47" s="842">
        <v>549</v>
      </c>
      <c r="BA47" s="842">
        <v>517</v>
      </c>
      <c r="BB47" s="842">
        <v>509</v>
      </c>
      <c r="BC47" s="842">
        <v>446</v>
      </c>
      <c r="BD47" s="842">
        <v>477</v>
      </c>
      <c r="BE47" s="842">
        <v>468</v>
      </c>
      <c r="BF47" s="842">
        <v>506</v>
      </c>
      <c r="BG47" s="842">
        <v>496</v>
      </c>
      <c r="BH47" s="842">
        <v>544</v>
      </c>
      <c r="BI47" s="842">
        <v>517</v>
      </c>
      <c r="BJ47" s="842">
        <v>537</v>
      </c>
      <c r="BK47" s="842">
        <v>572</v>
      </c>
      <c r="BL47" s="842">
        <v>567</v>
      </c>
      <c r="BM47" s="862"/>
      <c r="BN47" s="863"/>
      <c r="BO47" s="863"/>
      <c r="BP47" s="863"/>
      <c r="BQ47" s="862"/>
      <c r="BR47" s="863"/>
      <c r="BS47" s="863"/>
      <c r="BT47" s="863"/>
      <c r="BU47" s="862"/>
      <c r="BV47" s="863"/>
      <c r="BW47" s="863"/>
      <c r="BX47" s="863"/>
      <c r="BY47" s="862"/>
      <c r="BZ47" s="863"/>
      <c r="CA47" s="863"/>
      <c r="CB47" s="863"/>
      <c r="CC47" s="862"/>
      <c r="CD47" s="863"/>
      <c r="CE47" s="863"/>
      <c r="CF47" s="863"/>
      <c r="CG47" s="862"/>
      <c r="CH47" s="863"/>
      <c r="CI47" s="863"/>
      <c r="CJ47" s="863"/>
      <c r="CK47" s="862"/>
      <c r="CL47" s="863"/>
      <c r="CM47" s="863"/>
      <c r="CN47" s="863"/>
      <c r="CO47" s="862"/>
      <c r="CP47" s="863"/>
      <c r="CQ47" s="863"/>
      <c r="CR47" s="863"/>
      <c r="CS47" s="862"/>
      <c r="CT47" s="863"/>
      <c r="CU47" s="863"/>
      <c r="CV47" s="864"/>
      <c r="CW47" s="863"/>
      <c r="CX47" s="863"/>
      <c r="CY47" s="863"/>
      <c r="CZ47" s="864"/>
      <c r="DA47" s="863"/>
      <c r="DB47" s="863"/>
      <c r="DC47" s="863"/>
      <c r="DD47" s="863"/>
      <c r="DE47" s="863"/>
      <c r="DF47" s="863"/>
      <c r="DG47" s="863"/>
      <c r="DH47" s="863"/>
      <c r="DI47" s="863"/>
      <c r="DJ47" s="863"/>
      <c r="DK47" s="863"/>
      <c r="DL47" s="863"/>
    </row>
    <row r="48" spans="1:116" s="808" customFormat="1">
      <c r="A48" s="812" t="s">
        <v>1434</v>
      </c>
      <c r="B48" s="812"/>
      <c r="C48" s="812"/>
      <c r="D48" s="842">
        <v>4313</v>
      </c>
      <c r="E48" s="842">
        <v>4287</v>
      </c>
      <c r="F48" s="842">
        <v>3763</v>
      </c>
      <c r="G48" s="842">
        <v>3549</v>
      </c>
      <c r="H48" s="842">
        <v>3452</v>
      </c>
      <c r="I48" s="842">
        <v>2443</v>
      </c>
      <c r="V48" s="863"/>
      <c r="W48" s="863"/>
      <c r="X48" s="863"/>
      <c r="Y48" s="863"/>
      <c r="Z48" s="863"/>
      <c r="AA48" s="863"/>
      <c r="AB48" s="863"/>
      <c r="AS48" s="842">
        <v>789</v>
      </c>
      <c r="AT48" s="842">
        <v>984</v>
      </c>
      <c r="AU48" s="842">
        <v>1112</v>
      </c>
      <c r="AV48" s="842">
        <v>1428</v>
      </c>
      <c r="AW48" s="842">
        <v>803</v>
      </c>
      <c r="AX48" s="842">
        <v>936</v>
      </c>
      <c r="AY48" s="842">
        <v>1174</v>
      </c>
      <c r="AZ48" s="842">
        <v>1374</v>
      </c>
      <c r="BA48" s="842">
        <v>955</v>
      </c>
      <c r="BB48" s="842">
        <v>970</v>
      </c>
      <c r="BC48" s="842">
        <v>922</v>
      </c>
      <c r="BD48" s="842">
        <v>916</v>
      </c>
      <c r="BE48" s="842">
        <v>903</v>
      </c>
      <c r="BF48" s="842">
        <v>889</v>
      </c>
      <c r="BG48" s="842">
        <v>883</v>
      </c>
      <c r="BH48" s="842">
        <v>874</v>
      </c>
      <c r="BI48" s="842">
        <v>881</v>
      </c>
      <c r="BJ48" s="842">
        <v>870</v>
      </c>
      <c r="BK48" s="842">
        <v>857</v>
      </c>
      <c r="BL48" s="842">
        <v>844</v>
      </c>
      <c r="BM48" s="862">
        <v>837</v>
      </c>
      <c r="BN48" s="863">
        <v>802</v>
      </c>
      <c r="BO48" s="863">
        <v>804</v>
      </c>
      <c r="BP48" s="863"/>
      <c r="BQ48" s="862"/>
      <c r="BR48" s="863"/>
      <c r="BS48" s="863"/>
      <c r="BT48" s="863"/>
      <c r="BU48" s="862"/>
      <c r="BV48" s="863"/>
      <c r="BW48" s="863"/>
      <c r="BX48" s="863"/>
      <c r="BY48" s="862"/>
      <c r="BZ48" s="863"/>
      <c r="CA48" s="863"/>
      <c r="CB48" s="863"/>
      <c r="CC48" s="862"/>
      <c r="CD48" s="863"/>
      <c r="CE48" s="863"/>
      <c r="CF48" s="863"/>
      <c r="CG48" s="862"/>
      <c r="CH48" s="863"/>
      <c r="CI48" s="863"/>
      <c r="CJ48" s="863"/>
      <c r="CK48" s="862"/>
      <c r="CL48" s="863"/>
      <c r="CM48" s="863"/>
      <c r="CN48" s="863"/>
      <c r="CO48" s="862"/>
      <c r="CP48" s="863"/>
      <c r="CQ48" s="863"/>
      <c r="CR48" s="863"/>
      <c r="CS48" s="862"/>
      <c r="CT48" s="863"/>
      <c r="CU48" s="863"/>
      <c r="CV48" s="864"/>
      <c r="CW48" s="863"/>
      <c r="CX48" s="863"/>
      <c r="CY48" s="863"/>
      <c r="CZ48" s="864"/>
      <c r="DA48" s="863"/>
      <c r="DB48" s="863"/>
      <c r="DC48" s="863"/>
      <c r="DD48" s="863"/>
      <c r="DE48" s="863"/>
      <c r="DF48" s="863"/>
      <c r="DG48" s="863"/>
      <c r="DH48" s="863"/>
      <c r="DI48" s="863"/>
      <c r="DJ48" s="863"/>
      <c r="DK48" s="863"/>
      <c r="DL48" s="863"/>
    </row>
    <row r="49" spans="1:116" s="808" customFormat="1">
      <c r="A49" s="812" t="s">
        <v>955</v>
      </c>
      <c r="B49" s="812"/>
      <c r="C49" s="812"/>
      <c r="D49" s="842">
        <v>69</v>
      </c>
      <c r="E49" s="842">
        <v>-137</v>
      </c>
      <c r="F49" s="842">
        <v>-402</v>
      </c>
      <c r="G49" s="842">
        <v>-558</v>
      </c>
      <c r="H49" s="842">
        <v>-652</v>
      </c>
      <c r="I49" s="842">
        <v>-177.09786784569405</v>
      </c>
      <c r="J49" s="808">
        <f>SUM(BQ49:BT49)</f>
        <v>-636</v>
      </c>
      <c r="K49" s="808">
        <f>Other!P11</f>
        <v>-450</v>
      </c>
      <c r="L49" s="808">
        <f>Other!Q11</f>
        <v>-265</v>
      </c>
      <c r="M49" s="808">
        <f>Other!R11</f>
        <v>-208</v>
      </c>
      <c r="N49" s="808">
        <f>Other!S11</f>
        <v>39</v>
      </c>
      <c r="O49" s="808">
        <f>Other!T11</f>
        <v>198</v>
      </c>
      <c r="P49" s="808">
        <f>Other!U11</f>
        <v>304</v>
      </c>
      <c r="Q49" s="808">
        <f>Other!V11</f>
        <v>748</v>
      </c>
      <c r="R49" s="808">
        <f>Other!W11</f>
        <v>2220</v>
      </c>
      <c r="S49" s="808">
        <f>Other!X11</f>
        <v>4082</v>
      </c>
      <c r="T49" s="808">
        <f>Other!Y11</f>
        <v>7566</v>
      </c>
      <c r="U49" s="808">
        <f>Other!Z11</f>
        <v>9823.26</v>
      </c>
      <c r="V49" s="863">
        <f>Other!AA11</f>
        <v>10019.725200000001</v>
      </c>
      <c r="W49" s="863">
        <f>Other!AB11</f>
        <v>10220.119704000001</v>
      </c>
      <c r="X49" s="863">
        <f>Other!AC11</f>
        <v>10424.52209808</v>
      </c>
      <c r="Y49" s="863">
        <f>Other!AD11</f>
        <v>10633.0125400416</v>
      </c>
      <c r="Z49" s="863">
        <f>Other!AE11</f>
        <v>10845.672790842433</v>
      </c>
      <c r="AA49" s="863">
        <f>Other!AF11</f>
        <v>11062.586246659281</v>
      </c>
      <c r="AB49" s="863">
        <f>Other!AG11</f>
        <v>11283.837971592466</v>
      </c>
      <c r="AS49" s="842">
        <v>-16</v>
      </c>
      <c r="AT49" s="842">
        <v>-9</v>
      </c>
      <c r="AU49" s="842">
        <v>108</v>
      </c>
      <c r="AV49" s="842">
        <v>-14</v>
      </c>
      <c r="AW49" s="842">
        <v>-2</v>
      </c>
      <c r="AX49" s="842">
        <v>-45</v>
      </c>
      <c r="AY49" s="842">
        <v>-32</v>
      </c>
      <c r="AZ49" s="842">
        <v>-58</v>
      </c>
      <c r="BA49" s="842">
        <v>-75</v>
      </c>
      <c r="BB49" s="842">
        <v>-111</v>
      </c>
      <c r="BC49" s="842">
        <v>-115</v>
      </c>
      <c r="BD49" s="842">
        <v>-101</v>
      </c>
      <c r="BE49" s="842">
        <v>-107</v>
      </c>
      <c r="BF49" s="842">
        <v>-122</v>
      </c>
      <c r="BG49" s="842">
        <v>-148</v>
      </c>
      <c r="BH49" s="842">
        <v>-181</v>
      </c>
      <c r="BI49" s="842">
        <v>-153</v>
      </c>
      <c r="BJ49" s="842">
        <v>-182</v>
      </c>
      <c r="BK49" s="842">
        <v>-187</v>
      </c>
      <c r="BL49" s="842">
        <v>-130</v>
      </c>
      <c r="BM49" s="862">
        <f>Other!BZ11</f>
        <v>356.90213215430595</v>
      </c>
      <c r="BN49" s="863">
        <f>Other!CA11</f>
        <v>-136</v>
      </c>
      <c r="BO49" s="863">
        <f>Other!CB11</f>
        <v>-190</v>
      </c>
      <c r="BP49" s="863">
        <f>Other!CC11</f>
        <v>-208</v>
      </c>
      <c r="BQ49" s="862">
        <f>Other!CD11</f>
        <v>-174</v>
      </c>
      <c r="BR49" s="863">
        <f>Other!CE11</f>
        <v>-173</v>
      </c>
      <c r="BS49" s="863">
        <f>Other!CF11</f>
        <v>-168</v>
      </c>
      <c r="BT49" s="863">
        <f>Other!CG11</f>
        <v>-121</v>
      </c>
      <c r="BU49" s="862">
        <f>Other!CH11</f>
        <v>-120</v>
      </c>
      <c r="BV49" s="863">
        <f>Other!CI11</f>
        <v>-107</v>
      </c>
      <c r="BW49" s="863">
        <f>Other!CJ11</f>
        <v>-105</v>
      </c>
      <c r="BX49" s="863">
        <f>Other!CK11</f>
        <v>-118</v>
      </c>
      <c r="BY49" s="862">
        <f>Other!CL11</f>
        <v>-67</v>
      </c>
      <c r="BZ49" s="863">
        <f>Other!CM11</f>
        <v>-81</v>
      </c>
      <c r="CA49" s="863">
        <f>Other!CN11</f>
        <v>-64</v>
      </c>
      <c r="CB49" s="863">
        <f>Other!CO11</f>
        <v>-53</v>
      </c>
      <c r="CC49" s="862">
        <f>Other!CP11</f>
        <v>-52</v>
      </c>
      <c r="CD49" s="863">
        <f>Other!CQ11</f>
        <v>-62</v>
      </c>
      <c r="CE49" s="863">
        <f>Other!CR11</f>
        <v>-52</v>
      </c>
      <c r="CF49" s="863">
        <f>Other!CS11</f>
        <v>-42</v>
      </c>
      <c r="CG49" s="862">
        <f>Other!CT11</f>
        <v>-38</v>
      </c>
      <c r="CH49" s="863">
        <f>Other!CU11</f>
        <v>-4</v>
      </c>
      <c r="CI49" s="863">
        <f>Other!CV11</f>
        <v>38</v>
      </c>
      <c r="CJ49" s="863">
        <f>Other!CW11</f>
        <v>43</v>
      </c>
      <c r="CK49" s="862">
        <f>Other!CX11</f>
        <v>24</v>
      </c>
      <c r="CL49" s="863">
        <f>Other!CY11</f>
        <v>44</v>
      </c>
      <c r="CM49" s="863">
        <f>Other!CZ11</f>
        <v>69</v>
      </c>
      <c r="CN49" s="863">
        <f>Other!DA11</f>
        <v>61</v>
      </c>
      <c r="CO49" s="862">
        <f>Other!DB11</f>
        <v>67</v>
      </c>
      <c r="CP49" s="863">
        <f>Other!DC11</f>
        <v>76</v>
      </c>
      <c r="CQ49" s="863">
        <f>Other!DD11</f>
        <v>66</v>
      </c>
      <c r="CR49" s="863">
        <f>Other!DE11</f>
        <v>95</v>
      </c>
      <c r="CS49" s="862">
        <f>Other!DF11</f>
        <v>149</v>
      </c>
      <c r="CT49" s="863">
        <f>Other!DG11</f>
        <v>241</v>
      </c>
      <c r="CU49" s="863">
        <f>Other!DH11</f>
        <v>175</v>
      </c>
      <c r="CV49" s="864">
        <f>Other!DI11</f>
        <v>183</v>
      </c>
      <c r="CW49" s="863">
        <f>Other!DJ11</f>
        <v>187</v>
      </c>
      <c r="CX49" s="863">
        <f>Other!DK11</f>
        <v>188</v>
      </c>
      <c r="CY49" s="863">
        <f>Other!DL11</f>
        <v>798</v>
      </c>
      <c r="CZ49" s="864">
        <f>Other!DM11</f>
        <v>1047</v>
      </c>
      <c r="DA49" s="863">
        <f>Other!DN11</f>
        <v>877</v>
      </c>
      <c r="DB49" s="863">
        <f>Other!DO11</f>
        <v>1005</v>
      </c>
      <c r="DC49" s="863">
        <f>Other!DP11</f>
        <v>1049</v>
      </c>
      <c r="DD49" s="863">
        <f>Other!DQ11</f>
        <v>1151</v>
      </c>
      <c r="DE49" s="863">
        <f>Other!DR11</f>
        <v>1060</v>
      </c>
      <c r="DF49" s="863">
        <f>Other!DS11</f>
        <v>1464</v>
      </c>
      <c r="DG49" s="863">
        <f>Other!DT11</f>
        <v>2475</v>
      </c>
      <c r="DH49" s="863">
        <f>Other!DU11</f>
        <v>2567</v>
      </c>
      <c r="DI49" s="863">
        <f>Other!DV11</f>
        <v>2315</v>
      </c>
      <c r="DJ49" s="863">
        <f>Other!DW11</f>
        <v>2315</v>
      </c>
      <c r="DK49" s="863">
        <f>Other!DX11</f>
        <v>2549.25</v>
      </c>
      <c r="DL49" s="863">
        <f>Other!DY11</f>
        <v>2644.01</v>
      </c>
    </row>
    <row r="50" spans="1:116" s="816" customFormat="1">
      <c r="A50" s="820" t="s">
        <v>1040</v>
      </c>
      <c r="B50" s="820"/>
      <c r="C50" s="820"/>
      <c r="D50" s="843">
        <v>67028</v>
      </c>
      <c r="E50" s="843">
        <v>66681</v>
      </c>
      <c r="F50" s="843">
        <v>66854</v>
      </c>
      <c r="G50" s="843">
        <v>70688</v>
      </c>
      <c r="H50" s="843">
        <v>74910</v>
      </c>
      <c r="I50" s="843">
        <v>89812.902132154311</v>
      </c>
      <c r="J50" s="816">
        <f t="shared" ref="J50:U50" si="52">SUM(J45:J49)</f>
        <v>92375</v>
      </c>
      <c r="K50" s="816">
        <f t="shared" si="52"/>
        <v>97096</v>
      </c>
      <c r="L50" s="816">
        <f t="shared" si="52"/>
        <v>98981</v>
      </c>
      <c r="M50" s="816">
        <f t="shared" si="52"/>
        <v>41019</v>
      </c>
      <c r="N50" s="816">
        <f t="shared" si="52"/>
        <v>40721</v>
      </c>
      <c r="O50" s="816">
        <f t="shared" si="52"/>
        <v>39721</v>
      </c>
      <c r="P50" s="816">
        <f t="shared" si="52"/>
        <v>38928</v>
      </c>
      <c r="Q50" s="816">
        <f t="shared" si="52"/>
        <v>39177</v>
      </c>
      <c r="R50" s="816">
        <f t="shared" si="52"/>
        <v>37741</v>
      </c>
      <c r="S50" s="816">
        <f t="shared" si="52"/>
        <v>36269</v>
      </c>
      <c r="T50" s="816">
        <f t="shared" si="52"/>
        <v>38523</v>
      </c>
      <c r="U50" s="816">
        <f t="shared" si="52"/>
        <v>39944.788239068104</v>
      </c>
      <c r="V50" s="866">
        <f>SUM(V45:V49)</f>
        <v>39714.013723668526</v>
      </c>
      <c r="W50" s="866">
        <f t="shared" ref="W50:AB50" si="53">SUM(W45:W49)</f>
        <v>39492.80860959753</v>
      </c>
      <c r="X50" s="866">
        <f t="shared" si="53"/>
        <v>39298.491634792845</v>
      </c>
      <c r="Y50" s="866">
        <f t="shared" si="53"/>
        <v>39127.160049020058</v>
      </c>
      <c r="Z50" s="866">
        <f t="shared" si="53"/>
        <v>38975.735147631814</v>
      </c>
      <c r="AA50" s="866">
        <f t="shared" si="53"/>
        <v>38841.796449070447</v>
      </c>
      <c r="AB50" s="866">
        <f t="shared" si="53"/>
        <v>38723.451455734881</v>
      </c>
      <c r="AS50" s="843">
        <v>16207</v>
      </c>
      <c r="AT50" s="843">
        <v>16888</v>
      </c>
      <c r="AU50" s="843">
        <v>16967</v>
      </c>
      <c r="AV50" s="843">
        <v>16966</v>
      </c>
      <c r="AW50" s="843">
        <v>16044</v>
      </c>
      <c r="AX50" s="843">
        <v>16506</v>
      </c>
      <c r="AY50" s="843">
        <v>16977</v>
      </c>
      <c r="AZ50" s="843">
        <v>17154</v>
      </c>
      <c r="BA50" s="843">
        <v>16286</v>
      </c>
      <c r="BB50" s="843">
        <v>16617</v>
      </c>
      <c r="BC50" s="843">
        <v>16912</v>
      </c>
      <c r="BD50" s="843">
        <v>17039</v>
      </c>
      <c r="BE50" s="843">
        <v>16907</v>
      </c>
      <c r="BF50" s="843">
        <v>17612</v>
      </c>
      <c r="BG50" s="843">
        <v>18057</v>
      </c>
      <c r="BH50" s="843">
        <v>18112</v>
      </c>
      <c r="BI50" s="843">
        <v>18030</v>
      </c>
      <c r="BJ50" s="843">
        <v>18516</v>
      </c>
      <c r="BK50" s="843">
        <v>19038</v>
      </c>
      <c r="BL50" s="843">
        <v>19326</v>
      </c>
      <c r="BM50" s="865">
        <f t="shared" ref="BM50:CV50" si="54">SUM(BM45:BM49)</f>
        <v>22148.902132154304</v>
      </c>
      <c r="BN50" s="866">
        <f t="shared" si="54"/>
        <v>22385</v>
      </c>
      <c r="BO50" s="866">
        <f t="shared" si="54"/>
        <v>22966</v>
      </c>
      <c r="BP50" s="866">
        <f t="shared" si="54"/>
        <v>22313</v>
      </c>
      <c r="BQ50" s="865">
        <f t="shared" si="54"/>
        <v>22311</v>
      </c>
      <c r="BR50" s="866">
        <f t="shared" si="54"/>
        <v>23000</v>
      </c>
      <c r="BS50" s="866">
        <f t="shared" si="54"/>
        <v>23493</v>
      </c>
      <c r="BT50" s="866">
        <f t="shared" si="54"/>
        <v>23571</v>
      </c>
      <c r="BU50" s="865">
        <f t="shared" si="54"/>
        <v>23575</v>
      </c>
      <c r="BV50" s="866">
        <f t="shared" si="54"/>
        <v>24124</v>
      </c>
      <c r="BW50" s="866">
        <f t="shared" si="54"/>
        <v>24752</v>
      </c>
      <c r="BX50" s="866">
        <f t="shared" si="54"/>
        <v>24645</v>
      </c>
      <c r="BY50" s="865">
        <f t="shared" si="54"/>
        <v>24332</v>
      </c>
      <c r="BZ50" s="866">
        <f t="shared" si="54"/>
        <v>24627</v>
      </c>
      <c r="CA50" s="866">
        <f t="shared" si="54"/>
        <v>25052</v>
      </c>
      <c r="CB50" s="866">
        <f t="shared" si="54"/>
        <v>24970</v>
      </c>
      <c r="CC50" s="865">
        <f t="shared" si="54"/>
        <v>25635</v>
      </c>
      <c r="CD50" s="866">
        <f t="shared" si="54"/>
        <v>25912</v>
      </c>
      <c r="CE50" s="866">
        <f t="shared" si="54"/>
        <v>26484</v>
      </c>
      <c r="CF50" s="866">
        <f t="shared" si="54"/>
        <v>26395</v>
      </c>
      <c r="CG50" s="865">
        <f t="shared" si="54"/>
        <v>26990</v>
      </c>
      <c r="CH50" s="866">
        <f t="shared" si="54"/>
        <v>27536</v>
      </c>
      <c r="CI50" s="866">
        <f t="shared" si="54"/>
        <v>27913</v>
      </c>
      <c r="CJ50" s="866">
        <f t="shared" si="54"/>
        <v>28436</v>
      </c>
      <c r="CK50" s="865">
        <f t="shared" si="54"/>
        <v>28242</v>
      </c>
      <c r="CL50" s="866">
        <f t="shared" si="54"/>
        <v>28525</v>
      </c>
      <c r="CM50" s="866">
        <f t="shared" si="54"/>
        <v>29007</v>
      </c>
      <c r="CN50" s="866">
        <f t="shared" si="54"/>
        <v>29815</v>
      </c>
      <c r="CO50" s="865">
        <f t="shared" si="54"/>
        <v>29240</v>
      </c>
      <c r="CP50" s="866">
        <f t="shared" si="54"/>
        <v>29657</v>
      </c>
      <c r="CQ50" s="866">
        <f t="shared" si="54"/>
        <v>30122</v>
      </c>
      <c r="CR50" s="866">
        <f t="shared" si="54"/>
        <v>30932</v>
      </c>
      <c r="CS50" s="865">
        <f t="shared" si="54"/>
        <v>30690</v>
      </c>
      <c r="CT50" s="866">
        <f t="shared" si="54"/>
        <v>31355</v>
      </c>
      <c r="CU50" s="866">
        <f t="shared" si="54"/>
        <v>31586</v>
      </c>
      <c r="CV50" s="867">
        <f t="shared" si="54"/>
        <v>33192</v>
      </c>
      <c r="CW50" s="866">
        <f t="shared" ref="CW50:DD50" si="55">SUM(CW45:CW49)</f>
        <v>31429</v>
      </c>
      <c r="CX50" s="866">
        <f t="shared" si="55"/>
        <v>31677</v>
      </c>
      <c r="CY50" s="866">
        <f t="shared" si="55"/>
        <v>32614</v>
      </c>
      <c r="CZ50" s="867">
        <f t="shared" si="55"/>
        <v>33701</v>
      </c>
      <c r="DA50" s="866">
        <f t="shared" si="55"/>
        <v>31646</v>
      </c>
      <c r="DB50" s="866">
        <f t="shared" si="55"/>
        <v>30532</v>
      </c>
      <c r="DC50" s="866">
        <f t="shared" si="55"/>
        <v>30937</v>
      </c>
      <c r="DD50" s="866">
        <f t="shared" si="55"/>
        <v>32340</v>
      </c>
      <c r="DE50" s="866">
        <f t="shared" ref="DE50:DH50" si="56">SUM(DE45:DE49)</f>
        <v>29814</v>
      </c>
      <c r="DF50" s="866">
        <f t="shared" si="56"/>
        <v>30548</v>
      </c>
      <c r="DG50" s="866">
        <f t="shared" si="56"/>
        <v>31717</v>
      </c>
      <c r="DH50" s="866">
        <f t="shared" si="56"/>
        <v>33955</v>
      </c>
      <c r="DI50" s="866">
        <f t="shared" ref="DI50:DL50" si="57">SUM(DI45:DI49)</f>
        <v>31772</v>
      </c>
      <c r="DJ50" s="866">
        <f t="shared" ca="1" si="57"/>
        <v>31554.052573762001</v>
      </c>
      <c r="DK50" s="866">
        <f t="shared" ca="1" si="57"/>
        <v>32076.353782835315</v>
      </c>
      <c r="DL50" s="866">
        <f t="shared" ca="1" si="57"/>
        <v>33542.912438120868</v>
      </c>
    </row>
    <row r="51" spans="1:116" s="816" customFormat="1">
      <c r="A51" s="820" t="s">
        <v>67</v>
      </c>
      <c r="B51" s="820"/>
      <c r="C51" s="820"/>
      <c r="D51" s="843">
        <v>67028</v>
      </c>
      <c r="E51" s="843">
        <v>66681</v>
      </c>
      <c r="F51" s="843">
        <v>66854</v>
      </c>
      <c r="G51" s="843">
        <v>70688</v>
      </c>
      <c r="H51" s="843">
        <v>72790</v>
      </c>
      <c r="I51" s="843">
        <v>87225.931688804558</v>
      </c>
      <c r="J51" s="816">
        <f>IS!O30</f>
        <v>92375</v>
      </c>
      <c r="K51" s="816">
        <f>IS!P30</f>
        <v>97096</v>
      </c>
      <c r="L51" s="816">
        <f>IS!Q30</f>
        <v>102413</v>
      </c>
      <c r="M51" s="816">
        <f>IS!R30</f>
        <v>104426</v>
      </c>
      <c r="N51" s="816">
        <f>IS!S30</f>
        <v>110875</v>
      </c>
      <c r="O51" s="816">
        <f>IS!T30</f>
        <v>115589</v>
      </c>
      <c r="P51" s="816">
        <f>IS!U30</f>
        <v>119951</v>
      </c>
      <c r="Q51" s="816">
        <f>IS!V30</f>
        <v>126823</v>
      </c>
      <c r="R51" s="816">
        <f>IS!W30</f>
        <v>129421</v>
      </c>
      <c r="S51" s="816">
        <f>IS!X30</f>
        <v>125455</v>
      </c>
      <c r="T51" s="816">
        <f>IS!Y30</f>
        <v>126034</v>
      </c>
      <c r="U51" s="816">
        <f ca="1">IS!Z30</f>
        <v>128945.31879471819</v>
      </c>
      <c r="V51" s="866">
        <f ca="1">IS!AA30</f>
        <v>129036.01034932715</v>
      </c>
      <c r="W51" s="866">
        <f ca="1">IS!AB30</f>
        <v>129652.72091749887</v>
      </c>
      <c r="X51" s="866">
        <f ca="1">IS!AC30</f>
        <v>130340.59590822672</v>
      </c>
      <c r="Y51" s="866">
        <f ca="1">IS!AD30</f>
        <v>131092.23550873241</v>
      </c>
      <c r="Z51" s="866">
        <f ca="1">IS!AE30</f>
        <v>131915.06975558677</v>
      </c>
      <c r="AA51" s="866">
        <f ca="1">IS!AF30</f>
        <v>132822.86191099716</v>
      </c>
      <c r="AB51" s="866">
        <f ca="1">IS!AG30</f>
        <v>133831.94341344427</v>
      </c>
      <c r="AS51" s="843">
        <v>16207</v>
      </c>
      <c r="AT51" s="843">
        <v>16888</v>
      </c>
      <c r="AU51" s="843">
        <v>16967</v>
      </c>
      <c r="AV51" s="843">
        <v>16966</v>
      </c>
      <c r="AW51" s="843">
        <v>16044</v>
      </c>
      <c r="AX51" s="843">
        <v>16506</v>
      </c>
      <c r="AY51" s="843">
        <v>16977</v>
      </c>
      <c r="AZ51" s="843">
        <v>17154</v>
      </c>
      <c r="BA51" s="843">
        <v>16286</v>
      </c>
      <c r="BB51" s="843">
        <v>16617</v>
      </c>
      <c r="BC51" s="843">
        <v>16912</v>
      </c>
      <c r="BD51" s="843">
        <v>17039</v>
      </c>
      <c r="BE51" s="843">
        <v>16907</v>
      </c>
      <c r="BF51" s="843">
        <v>17612</v>
      </c>
      <c r="BG51" s="843">
        <v>18057</v>
      </c>
      <c r="BH51" s="843">
        <v>18112</v>
      </c>
      <c r="BI51" s="843">
        <v>17533</v>
      </c>
      <c r="BJ51" s="843">
        <v>18000</v>
      </c>
      <c r="BK51" s="843">
        <v>18486</v>
      </c>
      <c r="BL51" s="843">
        <v>18771</v>
      </c>
      <c r="BM51" s="865">
        <f>IS!BW30</f>
        <v>21167.931688804551</v>
      </c>
      <c r="BN51" s="866">
        <f>IS!BX30</f>
        <v>21583</v>
      </c>
      <c r="BO51" s="866">
        <f>IS!BY30</f>
        <v>22162</v>
      </c>
      <c r="BP51" s="866">
        <f>IS!BZ30</f>
        <v>22313</v>
      </c>
      <c r="BQ51" s="865">
        <f>IS!CA30</f>
        <v>22311</v>
      </c>
      <c r="BR51" s="866">
        <f>IS!CB30</f>
        <v>23000</v>
      </c>
      <c r="BS51" s="866">
        <f>IS!CC30</f>
        <v>23493</v>
      </c>
      <c r="BT51" s="866">
        <f>IS!CD30</f>
        <v>23571</v>
      </c>
      <c r="BU51" s="865">
        <f>IS!CE30</f>
        <v>23575</v>
      </c>
      <c r="BV51" s="866">
        <f>IS!CF30</f>
        <v>24124</v>
      </c>
      <c r="BW51" s="866">
        <f>IS!CG30</f>
        <v>24752</v>
      </c>
      <c r="BX51" s="866">
        <f>IS!CH30</f>
        <v>24645</v>
      </c>
      <c r="BY51" s="865">
        <f>IS!CI30</f>
        <v>25165</v>
      </c>
      <c r="BZ51" s="866">
        <f>IS!CJ30</f>
        <v>25511</v>
      </c>
      <c r="CA51" s="866">
        <f>IS!CK30</f>
        <v>25934</v>
      </c>
      <c r="CB51" s="866">
        <f>IS!CL30</f>
        <v>25803</v>
      </c>
      <c r="CC51" s="865">
        <f>IS!CM30</f>
        <v>25635</v>
      </c>
      <c r="CD51" s="866">
        <f>IS!CN30</f>
        <v>25912</v>
      </c>
      <c r="CE51" s="866">
        <f>IS!CO30</f>
        <v>26484</v>
      </c>
      <c r="CF51" s="866">
        <f>IS!CP30</f>
        <v>26395</v>
      </c>
      <c r="CG51" s="865">
        <f>IS!CQ30</f>
        <v>26990</v>
      </c>
      <c r="CH51" s="866">
        <f>IS!CR30</f>
        <v>27536</v>
      </c>
      <c r="CI51" s="866">
        <f>IS!CS30</f>
        <v>27913</v>
      </c>
      <c r="CJ51" s="866">
        <f>IS!CT30</f>
        <v>28436</v>
      </c>
      <c r="CK51" s="865">
        <f>IS!CU30</f>
        <v>28242</v>
      </c>
      <c r="CL51" s="866">
        <f>IS!CV30</f>
        <v>28525</v>
      </c>
      <c r="CM51" s="866">
        <f>IS!CW30</f>
        <v>29007</v>
      </c>
      <c r="CN51" s="866">
        <f>IS!CX30</f>
        <v>29815</v>
      </c>
      <c r="CO51" s="865">
        <f>IS!CY30</f>
        <v>29240</v>
      </c>
      <c r="CP51" s="866">
        <f>IS!CZ30</f>
        <v>29657</v>
      </c>
      <c r="CQ51" s="866">
        <f>IS!DA30</f>
        <v>30122</v>
      </c>
      <c r="CR51" s="866">
        <f>IS!DB30</f>
        <v>30932</v>
      </c>
      <c r="CS51" s="865">
        <f>IS!DC30</f>
        <v>30690</v>
      </c>
      <c r="CT51" s="866">
        <f>IS!DD30</f>
        <v>31355</v>
      </c>
      <c r="CU51" s="866">
        <f>IS!DE30</f>
        <v>31586</v>
      </c>
      <c r="CV51" s="867">
        <f>IS!DF30</f>
        <v>33192</v>
      </c>
      <c r="CW51" s="866">
        <f>IS!DG30</f>
        <v>31429</v>
      </c>
      <c r="CX51" s="866">
        <f>IS!DH30</f>
        <v>31677</v>
      </c>
      <c r="CY51" s="866">
        <f>IS!DI30</f>
        <v>32614</v>
      </c>
      <c r="CZ51" s="867">
        <f>IS!DJ30</f>
        <v>33701</v>
      </c>
      <c r="DA51" s="866">
        <f>IS!DK30</f>
        <v>31646</v>
      </c>
      <c r="DB51" s="866">
        <f>IS!DL30</f>
        <v>30532</v>
      </c>
      <c r="DC51" s="866">
        <f>IS!DM30</f>
        <v>30937</v>
      </c>
      <c r="DD51" s="866">
        <f>IS!DN30</f>
        <v>32340</v>
      </c>
      <c r="DE51" s="866">
        <f>IS!DO30</f>
        <v>29814</v>
      </c>
      <c r="DF51" s="866">
        <f>IS!DP30</f>
        <v>30548</v>
      </c>
      <c r="DG51" s="866">
        <f>IS!DQ30</f>
        <v>31717</v>
      </c>
      <c r="DH51" s="866">
        <f>IS!DR30</f>
        <v>33955</v>
      </c>
      <c r="DI51" s="866">
        <f>IS!DS30</f>
        <v>31772</v>
      </c>
      <c r="DJ51" s="866">
        <f ca="1">IS!DT30</f>
        <v>31554.052573762001</v>
      </c>
      <c r="DK51" s="866">
        <f ca="1">IS!DU30</f>
        <v>32076.353782835315</v>
      </c>
      <c r="DL51" s="866">
        <f ca="1">IS!DV30</f>
        <v>33542.912438120868</v>
      </c>
    </row>
    <row r="52" spans="1:116" s="831" customFormat="1">
      <c r="A52" s="828" t="s">
        <v>1351</v>
      </c>
      <c r="B52" s="828"/>
      <c r="C52" s="828"/>
      <c r="D52" s="844">
        <v>0</v>
      </c>
      <c r="E52" s="844">
        <v>0</v>
      </c>
      <c r="F52" s="844">
        <v>0</v>
      </c>
      <c r="G52" s="844">
        <v>0</v>
      </c>
      <c r="H52" s="844">
        <v>2120</v>
      </c>
      <c r="I52" s="844">
        <v>2586.9704433497536</v>
      </c>
      <c r="J52" s="831">
        <f t="shared" ref="J52:U52" si="58">J50-J51</f>
        <v>0</v>
      </c>
      <c r="K52" s="831">
        <f t="shared" si="58"/>
        <v>0</v>
      </c>
      <c r="L52" s="831">
        <f t="shared" si="58"/>
        <v>-3432</v>
      </c>
      <c r="M52" s="831">
        <f t="shared" si="58"/>
        <v>-63407</v>
      </c>
      <c r="N52" s="831">
        <f t="shared" si="58"/>
        <v>-70154</v>
      </c>
      <c r="O52" s="831">
        <f t="shared" si="58"/>
        <v>-75868</v>
      </c>
      <c r="P52" s="831">
        <f t="shared" si="58"/>
        <v>-81023</v>
      </c>
      <c r="Q52" s="831">
        <f t="shared" si="58"/>
        <v>-87646</v>
      </c>
      <c r="R52" s="831">
        <f t="shared" si="58"/>
        <v>-91680</v>
      </c>
      <c r="S52" s="831">
        <f t="shared" si="58"/>
        <v>-89186</v>
      </c>
      <c r="T52" s="831">
        <f t="shared" si="58"/>
        <v>-87511</v>
      </c>
      <c r="U52" s="831">
        <f t="shared" ca="1" si="58"/>
        <v>-89000.530555650083</v>
      </c>
      <c r="V52" s="869">
        <f ca="1">V50-V51</f>
        <v>-89321.996625658619</v>
      </c>
      <c r="W52" s="869">
        <f t="shared" ref="W52:AB52" ca="1" si="59">W50-W51</f>
        <v>-90159.912307901337</v>
      </c>
      <c r="X52" s="869">
        <f t="shared" ca="1" si="59"/>
        <v>-91042.104273433884</v>
      </c>
      <c r="Y52" s="869">
        <f t="shared" ca="1" si="59"/>
        <v>-91965.07545971236</v>
      </c>
      <c r="Z52" s="869">
        <f t="shared" ca="1" si="59"/>
        <v>-92939.334607954952</v>
      </c>
      <c r="AA52" s="869">
        <f t="shared" ca="1" si="59"/>
        <v>-93981.065461926715</v>
      </c>
      <c r="AB52" s="869">
        <f t="shared" ca="1" si="59"/>
        <v>-95108.491957709397</v>
      </c>
      <c r="AS52" s="844">
        <v>0</v>
      </c>
      <c r="AT52" s="844">
        <v>0</v>
      </c>
      <c r="AU52" s="844">
        <v>0</v>
      </c>
      <c r="AV52" s="844">
        <v>0</v>
      </c>
      <c r="AW52" s="844">
        <v>0</v>
      </c>
      <c r="AX52" s="844">
        <v>0</v>
      </c>
      <c r="AY52" s="844">
        <v>0</v>
      </c>
      <c r="AZ52" s="844">
        <v>0</v>
      </c>
      <c r="BA52" s="844">
        <v>0</v>
      </c>
      <c r="BB52" s="844">
        <v>0</v>
      </c>
      <c r="BC52" s="844">
        <v>0</v>
      </c>
      <c r="BD52" s="844">
        <v>0</v>
      </c>
      <c r="BE52" s="844">
        <v>0</v>
      </c>
      <c r="BF52" s="844">
        <v>0</v>
      </c>
      <c r="BG52" s="844">
        <v>0</v>
      </c>
      <c r="BH52" s="844">
        <v>0</v>
      </c>
      <c r="BI52" s="844">
        <v>497</v>
      </c>
      <c r="BJ52" s="844">
        <v>516</v>
      </c>
      <c r="BK52" s="844">
        <v>552</v>
      </c>
      <c r="BL52" s="844">
        <v>555</v>
      </c>
      <c r="BM52" s="868">
        <f t="shared" ref="BM52:CV52" si="60">BM50-BM51</f>
        <v>980.97044334975362</v>
      </c>
      <c r="BN52" s="869">
        <f t="shared" si="60"/>
        <v>802</v>
      </c>
      <c r="BO52" s="869">
        <f t="shared" si="60"/>
        <v>804</v>
      </c>
      <c r="BP52" s="869">
        <f t="shared" si="60"/>
        <v>0</v>
      </c>
      <c r="BQ52" s="868">
        <f t="shared" si="60"/>
        <v>0</v>
      </c>
      <c r="BR52" s="869">
        <f t="shared" si="60"/>
        <v>0</v>
      </c>
      <c r="BS52" s="869">
        <f t="shared" si="60"/>
        <v>0</v>
      </c>
      <c r="BT52" s="869">
        <f t="shared" si="60"/>
        <v>0</v>
      </c>
      <c r="BU52" s="868">
        <f t="shared" si="60"/>
        <v>0</v>
      </c>
      <c r="BV52" s="869">
        <f t="shared" si="60"/>
        <v>0</v>
      </c>
      <c r="BW52" s="869">
        <f t="shared" si="60"/>
        <v>0</v>
      </c>
      <c r="BX52" s="869">
        <f t="shared" si="60"/>
        <v>0</v>
      </c>
      <c r="BY52" s="868">
        <f t="shared" si="60"/>
        <v>-833</v>
      </c>
      <c r="BZ52" s="869">
        <f t="shared" si="60"/>
        <v>-884</v>
      </c>
      <c r="CA52" s="869">
        <f t="shared" si="60"/>
        <v>-882</v>
      </c>
      <c r="CB52" s="869">
        <f t="shared" si="60"/>
        <v>-833</v>
      </c>
      <c r="CC52" s="868">
        <f t="shared" si="60"/>
        <v>0</v>
      </c>
      <c r="CD52" s="869">
        <f t="shared" si="60"/>
        <v>0</v>
      </c>
      <c r="CE52" s="869">
        <f t="shared" si="60"/>
        <v>0</v>
      </c>
      <c r="CF52" s="869">
        <f t="shared" si="60"/>
        <v>0</v>
      </c>
      <c r="CG52" s="868">
        <f t="shared" si="60"/>
        <v>0</v>
      </c>
      <c r="CH52" s="869">
        <f t="shared" si="60"/>
        <v>0</v>
      </c>
      <c r="CI52" s="869">
        <f t="shared" si="60"/>
        <v>0</v>
      </c>
      <c r="CJ52" s="869">
        <f t="shared" si="60"/>
        <v>0</v>
      </c>
      <c r="CK52" s="868">
        <f t="shared" si="60"/>
        <v>0</v>
      </c>
      <c r="CL52" s="869">
        <f t="shared" si="60"/>
        <v>0</v>
      </c>
      <c r="CM52" s="869">
        <f t="shared" si="60"/>
        <v>0</v>
      </c>
      <c r="CN52" s="869">
        <f t="shared" si="60"/>
        <v>0</v>
      </c>
      <c r="CO52" s="868">
        <f t="shared" si="60"/>
        <v>0</v>
      </c>
      <c r="CP52" s="869">
        <f t="shared" si="60"/>
        <v>0</v>
      </c>
      <c r="CQ52" s="869">
        <f t="shared" si="60"/>
        <v>0</v>
      </c>
      <c r="CR52" s="869">
        <f t="shared" si="60"/>
        <v>0</v>
      </c>
      <c r="CS52" s="868">
        <f t="shared" si="60"/>
        <v>0</v>
      </c>
      <c r="CT52" s="869">
        <f t="shared" si="60"/>
        <v>0</v>
      </c>
      <c r="CU52" s="869">
        <f t="shared" si="60"/>
        <v>0</v>
      </c>
      <c r="CV52" s="870">
        <f t="shared" si="60"/>
        <v>0</v>
      </c>
      <c r="CW52" s="869">
        <f t="shared" ref="CW52:DD52" si="61">CW50-CW51</f>
        <v>0</v>
      </c>
      <c r="CX52" s="869">
        <f t="shared" si="61"/>
        <v>0</v>
      </c>
      <c r="CY52" s="869">
        <f t="shared" si="61"/>
        <v>0</v>
      </c>
      <c r="CZ52" s="870">
        <f t="shared" si="61"/>
        <v>0</v>
      </c>
      <c r="DA52" s="869">
        <f t="shared" si="61"/>
        <v>0</v>
      </c>
      <c r="DB52" s="869">
        <f t="shared" si="61"/>
        <v>0</v>
      </c>
      <c r="DC52" s="869">
        <f t="shared" si="61"/>
        <v>0</v>
      </c>
      <c r="DD52" s="869">
        <f t="shared" si="61"/>
        <v>0</v>
      </c>
      <c r="DE52" s="869">
        <f t="shared" ref="DE52:DH52" si="62">DE50-DE51</f>
        <v>0</v>
      </c>
      <c r="DF52" s="869">
        <f t="shared" si="62"/>
        <v>0</v>
      </c>
      <c r="DG52" s="869">
        <f t="shared" si="62"/>
        <v>0</v>
      </c>
      <c r="DH52" s="869">
        <f t="shared" si="62"/>
        <v>0</v>
      </c>
      <c r="DI52" s="869">
        <f t="shared" ref="DI52:DL52" si="63">DI50-DI51</f>
        <v>0</v>
      </c>
      <c r="DJ52" s="869">
        <f t="shared" ca="1" si="63"/>
        <v>0</v>
      </c>
      <c r="DK52" s="869">
        <f t="shared" ca="1" si="63"/>
        <v>0</v>
      </c>
      <c r="DL52" s="869">
        <f t="shared" ca="1" si="63"/>
        <v>0</v>
      </c>
    </row>
    <row r="53" spans="1:116" s="808" customFormat="1">
      <c r="A53" s="812"/>
      <c r="B53" s="812"/>
      <c r="C53" s="812"/>
      <c r="V53" s="863"/>
      <c r="W53" s="863"/>
      <c r="X53" s="863"/>
      <c r="Y53" s="863"/>
      <c r="Z53" s="863"/>
      <c r="AA53" s="863"/>
      <c r="AB53" s="863"/>
      <c r="AS53" s="842"/>
      <c r="AT53" s="842"/>
      <c r="AU53" s="842"/>
      <c r="AV53" s="842"/>
      <c r="AW53" s="842"/>
      <c r="AX53" s="842"/>
      <c r="AY53" s="842"/>
      <c r="AZ53" s="842"/>
      <c r="BA53" s="842"/>
      <c r="BB53" s="842"/>
      <c r="BC53" s="842"/>
      <c r="BD53" s="842"/>
      <c r="BE53" s="842"/>
      <c r="BF53" s="842"/>
      <c r="BG53" s="842"/>
      <c r="BH53" s="842"/>
      <c r="BI53" s="842"/>
      <c r="BJ53" s="842"/>
      <c r="BK53" s="842"/>
      <c r="BL53" s="842"/>
      <c r="BM53" s="862"/>
      <c r="BN53" s="863"/>
      <c r="BO53" s="863"/>
      <c r="BP53" s="863"/>
      <c r="BQ53" s="862"/>
      <c r="BR53" s="863"/>
      <c r="BS53" s="863"/>
      <c r="BT53" s="863"/>
      <c r="BU53" s="862"/>
      <c r="BV53" s="863"/>
      <c r="BW53" s="863"/>
      <c r="BX53" s="863"/>
      <c r="BY53" s="862"/>
      <c r="BZ53" s="863"/>
      <c r="CA53" s="863"/>
      <c r="CB53" s="863"/>
      <c r="CC53" s="862"/>
      <c r="CD53" s="863"/>
      <c r="CE53" s="863"/>
      <c r="CF53" s="863"/>
      <c r="CG53" s="862"/>
      <c r="CH53" s="863"/>
      <c r="CI53" s="863"/>
      <c r="CJ53" s="863"/>
      <c r="CK53" s="862"/>
      <c r="CL53" s="863"/>
      <c r="CM53" s="863"/>
      <c r="CN53" s="863"/>
      <c r="CO53" s="862"/>
      <c r="CP53" s="863"/>
      <c r="CQ53" s="863"/>
      <c r="CR53" s="863"/>
      <c r="CS53" s="862"/>
      <c r="CT53" s="863"/>
      <c r="CU53" s="863"/>
      <c r="CV53" s="864"/>
      <c r="CW53" s="863"/>
      <c r="CX53" s="863"/>
      <c r="CY53" s="863"/>
      <c r="CZ53" s="864"/>
      <c r="DA53" s="863"/>
      <c r="DB53" s="863"/>
      <c r="DC53" s="863"/>
      <c r="DD53" s="863"/>
      <c r="DE53" s="863"/>
      <c r="DF53" s="863"/>
      <c r="DG53" s="863"/>
      <c r="DH53" s="863"/>
      <c r="DI53" s="863"/>
      <c r="DJ53" s="863"/>
      <c r="DK53" s="863"/>
      <c r="DL53" s="863"/>
    </row>
    <row r="54" spans="1:116" s="808" customFormat="1">
      <c r="A54" s="827" t="s">
        <v>971</v>
      </c>
      <c r="B54" s="812"/>
      <c r="C54" s="812"/>
      <c r="D54" s="842"/>
      <c r="E54" s="842"/>
      <c r="F54" s="842"/>
      <c r="G54" s="842"/>
      <c r="H54" s="842"/>
      <c r="V54" s="863"/>
      <c r="W54" s="863"/>
      <c r="X54" s="863"/>
      <c r="Y54" s="863"/>
      <c r="Z54" s="863"/>
      <c r="AA54" s="863"/>
      <c r="AB54" s="863"/>
      <c r="AS54" s="842"/>
      <c r="AT54" s="842"/>
      <c r="AU54" s="842"/>
      <c r="AV54" s="842"/>
      <c r="AW54" s="842"/>
      <c r="AX54" s="842"/>
      <c r="AY54" s="842"/>
      <c r="AZ54" s="842"/>
      <c r="BA54" s="842"/>
      <c r="BB54" s="842"/>
      <c r="BC54" s="842"/>
      <c r="BD54" s="842"/>
      <c r="BE54" s="842"/>
      <c r="BF54" s="842"/>
      <c r="BG54" s="842"/>
      <c r="BH54" s="842"/>
      <c r="BI54" s="842"/>
      <c r="BJ54" s="842"/>
      <c r="BK54" s="842"/>
      <c r="BL54" s="842"/>
      <c r="BM54" s="862"/>
      <c r="BN54" s="863"/>
      <c r="BO54" s="863"/>
      <c r="BP54" s="863"/>
      <c r="BQ54" s="862"/>
      <c r="BR54" s="863"/>
      <c r="BS54" s="863"/>
      <c r="BT54" s="863"/>
      <c r="BU54" s="862"/>
      <c r="BV54" s="863"/>
      <c r="BW54" s="863"/>
      <c r="BX54" s="863"/>
      <c r="BY54" s="862"/>
      <c r="BZ54" s="863"/>
      <c r="CA54" s="863"/>
      <c r="CB54" s="863"/>
      <c r="CC54" s="862"/>
      <c r="CD54" s="863"/>
      <c r="CE54" s="863"/>
      <c r="CF54" s="863"/>
      <c r="CG54" s="862"/>
      <c r="CH54" s="863"/>
      <c r="CI54" s="863"/>
      <c r="CJ54" s="863"/>
      <c r="CK54" s="862"/>
      <c r="CL54" s="863"/>
      <c r="CM54" s="863"/>
      <c r="CN54" s="863"/>
      <c r="CO54" s="862"/>
      <c r="CP54" s="863"/>
      <c r="CQ54" s="863"/>
      <c r="CR54" s="863"/>
      <c r="CS54" s="862"/>
      <c r="CT54" s="863"/>
      <c r="CU54" s="863"/>
      <c r="CV54" s="864"/>
      <c r="CW54" s="863"/>
      <c r="CX54" s="863"/>
      <c r="CY54" s="863"/>
      <c r="CZ54" s="864"/>
      <c r="DA54" s="863"/>
      <c r="DB54" s="863"/>
      <c r="DC54" s="863"/>
      <c r="DD54" s="863"/>
      <c r="DE54" s="863"/>
      <c r="DF54" s="863"/>
      <c r="DG54" s="863"/>
      <c r="DH54" s="863"/>
      <c r="DI54" s="863"/>
      <c r="DJ54" s="863"/>
      <c r="DK54" s="863"/>
      <c r="DL54" s="863"/>
    </row>
    <row r="55" spans="1:116" s="808" customFormat="1">
      <c r="A55" s="812" t="s">
        <v>749</v>
      </c>
      <c r="B55" s="812"/>
      <c r="C55" s="812"/>
      <c r="D55" s="842">
        <v>18482</v>
      </c>
      <c r="E55" s="842">
        <v>18401</v>
      </c>
      <c r="F55" s="842">
        <v>16180</v>
      </c>
      <c r="G55" s="842">
        <v>14570</v>
      </c>
      <c r="H55" s="842">
        <v>13593</v>
      </c>
      <c r="I55" s="808">
        <f>SUM(BM55:BP55)</f>
        <v>13700</v>
      </c>
      <c r="J55" s="808">
        <f>SUM(BQ55:BT55)</f>
        <v>13421</v>
      </c>
      <c r="K55" s="808">
        <f>Wireline!P133</f>
        <v>12893</v>
      </c>
      <c r="L55" s="808">
        <f>Wireline!Q133</f>
        <v>9713</v>
      </c>
      <c r="M55" s="808">
        <f>Wireline!R133</f>
        <v>9237</v>
      </c>
      <c r="N55" s="808">
        <f>Wireline!S133</f>
        <v>9417</v>
      </c>
      <c r="O55" s="808">
        <f>Wireline!T133</f>
        <v>8435</v>
      </c>
      <c r="P55" s="808">
        <f>Wireline!U133</f>
        <v>8657</v>
      </c>
      <c r="Q55" s="808">
        <f>Wireline!V133</f>
        <v>8917</v>
      </c>
      <c r="R55" s="808">
        <f>Wireline!W133</f>
        <v>6654</v>
      </c>
      <c r="S55" s="808">
        <f>Wireline!X133</f>
        <v>6310</v>
      </c>
      <c r="T55" s="808">
        <f>Wireline!Y133</f>
        <v>6613</v>
      </c>
      <c r="U55" s="808">
        <f ca="1">Wireline!Z133</f>
        <v>6428.8559225687131</v>
      </c>
      <c r="V55" s="863">
        <f ca="1">Wireline!AA133</f>
        <v>6419.7279704959456</v>
      </c>
      <c r="W55" s="863">
        <f ca="1">Wireline!AB133</f>
        <v>6305.0638120086442</v>
      </c>
      <c r="X55" s="863">
        <f ca="1">Wireline!AC133</f>
        <v>6201.5558806913023</v>
      </c>
      <c r="Y55" s="863">
        <f ca="1">Wireline!AD133</f>
        <v>6106.8471211134247</v>
      </c>
      <c r="Z55" s="863">
        <f ca="1">Wireline!AE133</f>
        <v>6019.0625236011847</v>
      </c>
      <c r="AA55" s="863">
        <f ca="1">Wireline!AF133</f>
        <v>5936.7155822437426</v>
      </c>
      <c r="AB55" s="863">
        <f ca="1">Wireline!AG133</f>
        <v>5858.6344350422423</v>
      </c>
      <c r="AS55" s="842">
        <v>4789</v>
      </c>
      <c r="AT55" s="842">
        <v>4882</v>
      </c>
      <c r="AU55" s="842">
        <v>4443</v>
      </c>
      <c r="AV55" s="842">
        <v>4368</v>
      </c>
      <c r="AW55" s="842">
        <v>4727</v>
      </c>
      <c r="AX55" s="842">
        <v>4710</v>
      </c>
      <c r="AY55" s="842">
        <v>4446</v>
      </c>
      <c r="AZ55" s="842">
        <v>4518</v>
      </c>
      <c r="BA55" s="842">
        <v>4362</v>
      </c>
      <c r="BB55" s="842">
        <v>4195</v>
      </c>
      <c r="BC55" s="842">
        <v>3856</v>
      </c>
      <c r="BD55" s="842">
        <v>3767</v>
      </c>
      <c r="BE55" s="842">
        <v>3699</v>
      </c>
      <c r="BF55" s="842">
        <v>3585</v>
      </c>
      <c r="BG55" s="842">
        <v>3594</v>
      </c>
      <c r="BH55" s="842">
        <v>3692</v>
      </c>
      <c r="BI55" s="842">
        <v>3441</v>
      </c>
      <c r="BJ55" s="842">
        <v>3398</v>
      </c>
      <c r="BK55" s="842">
        <v>3497</v>
      </c>
      <c r="BL55" s="842">
        <v>3257</v>
      </c>
      <c r="BM55" s="862">
        <f>Wireline!BZ133</f>
        <v>3346</v>
      </c>
      <c r="BN55" s="863">
        <f>Wireline!CA133</f>
        <v>3520</v>
      </c>
      <c r="BO55" s="863">
        <f>Wireline!CB133</f>
        <v>3373</v>
      </c>
      <c r="BP55" s="863">
        <f>Wireline!CC133</f>
        <v>3461</v>
      </c>
      <c r="BQ55" s="862">
        <f>Wireline!CD133</f>
        <v>3286</v>
      </c>
      <c r="BR55" s="863">
        <f>Wireline!CE133</f>
        <v>3293</v>
      </c>
      <c r="BS55" s="863">
        <f>Wireline!CF133</f>
        <v>3365</v>
      </c>
      <c r="BT55" s="863">
        <f>Wireline!CG133</f>
        <v>3477</v>
      </c>
      <c r="BU55" s="862">
        <f>Wireline!CH133</f>
        <v>3249</v>
      </c>
      <c r="BV55" s="863">
        <f>Wireline!CI133</f>
        <v>3308</v>
      </c>
      <c r="BW55" s="863">
        <f>Wireline!CJ133</f>
        <v>3314</v>
      </c>
      <c r="BX55" s="863">
        <f>Wireline!CK133</f>
        <v>3022</v>
      </c>
      <c r="BY55" s="862">
        <f>Wireline!CL133</f>
        <v>2445</v>
      </c>
      <c r="BZ55" s="863">
        <f>Wireline!CM133</f>
        <v>2474</v>
      </c>
      <c r="CA55" s="863">
        <f>Wireline!CN133</f>
        <v>2409</v>
      </c>
      <c r="CB55" s="863">
        <f>Wireline!CO133</f>
        <v>2385</v>
      </c>
      <c r="CC55" s="862">
        <f>Wireline!CP133</f>
        <v>2184</v>
      </c>
      <c r="CD55" s="863">
        <f>Wireline!CQ133</f>
        <v>2307</v>
      </c>
      <c r="CE55" s="863">
        <f>Wireline!CR133</f>
        <v>2332</v>
      </c>
      <c r="CF55" s="863">
        <f>Wireline!CS133</f>
        <v>2414</v>
      </c>
      <c r="CG55" s="862">
        <f>Wireline!CT133</f>
        <v>2395</v>
      </c>
      <c r="CH55" s="863">
        <f>Wireline!CU133</f>
        <v>2435</v>
      </c>
      <c r="CI55" s="863">
        <f>Wireline!CV133</f>
        <v>2172</v>
      </c>
      <c r="CJ55" s="863">
        <f>Wireline!CW133</f>
        <v>2415</v>
      </c>
      <c r="CK55" s="862">
        <f>Wireline!CX133</f>
        <v>2247</v>
      </c>
      <c r="CL55" s="863">
        <f>Wireline!CY133</f>
        <v>2263</v>
      </c>
      <c r="CM55" s="863">
        <f>Wireline!CZ133</f>
        <v>2148</v>
      </c>
      <c r="CN55" s="863">
        <f>Wireline!DA133</f>
        <v>1777</v>
      </c>
      <c r="CO55" s="862">
        <f>Wireline!DB133</f>
        <v>2098</v>
      </c>
      <c r="CP55" s="863">
        <f>Wireline!DC133</f>
        <v>2151</v>
      </c>
      <c r="CQ55" s="863">
        <f>Wireline!DD133</f>
        <v>2221</v>
      </c>
      <c r="CR55" s="863">
        <f>Wireline!DE133</f>
        <v>2187</v>
      </c>
      <c r="CS55" s="862">
        <f>Wireline!DF133</f>
        <v>2174</v>
      </c>
      <c r="CT55" s="863">
        <f>Wireline!DG133</f>
        <v>2258</v>
      </c>
      <c r="CU55" s="863">
        <f>Wireline!DH133</f>
        <v>2203</v>
      </c>
      <c r="CV55" s="864">
        <f>Wireline!DI133</f>
        <v>2282</v>
      </c>
      <c r="CW55" s="863">
        <f>Wireline!DJ133</f>
        <v>1596</v>
      </c>
      <c r="CX55" s="863">
        <f>Wireline!DK133</f>
        <v>1663</v>
      </c>
      <c r="CY55" s="863">
        <f>Wireline!DL133</f>
        <v>1656</v>
      </c>
      <c r="CZ55" s="864">
        <f>Wireline!DM133</f>
        <v>1739</v>
      </c>
      <c r="DA55" s="863">
        <f>Wireline!DN133</f>
        <v>1652</v>
      </c>
      <c r="DB55" s="863">
        <f>Wireline!DO133</f>
        <v>1099</v>
      </c>
      <c r="DC55" s="863">
        <f>Wireline!DP133</f>
        <v>1654</v>
      </c>
      <c r="DD55" s="863">
        <f>Wireline!DQ133</f>
        <v>1879</v>
      </c>
      <c r="DE55" s="863">
        <f>Wireline!DR133</f>
        <v>1785</v>
      </c>
      <c r="DF55" s="863">
        <f>Wireline!DS133</f>
        <v>1620</v>
      </c>
      <c r="DG55" s="863">
        <f>Wireline!DT133</f>
        <v>1614</v>
      </c>
      <c r="DH55" s="863">
        <f>Wireline!DU133</f>
        <v>1594</v>
      </c>
      <c r="DI55" s="863">
        <f>Wireline!DV133</f>
        <v>1603</v>
      </c>
      <c r="DJ55" s="863">
        <f ca="1">Wireline!DW133</f>
        <v>1587.9022307769069</v>
      </c>
      <c r="DK55" s="863">
        <f ca="1">Wireline!DX133</f>
        <v>1639.8257254840614</v>
      </c>
      <c r="DL55" s="863">
        <f ca="1">Wireline!DY133</f>
        <v>1598.1279663077435</v>
      </c>
    </row>
    <row r="56" spans="1:116" s="808" customFormat="1">
      <c r="A56" s="812" t="s">
        <v>750</v>
      </c>
      <c r="B56" s="812"/>
      <c r="C56" s="812"/>
      <c r="D56" s="842">
        <v>6014</v>
      </c>
      <c r="E56" s="842">
        <v>6933</v>
      </c>
      <c r="F56" s="842">
        <v>7972</v>
      </c>
      <c r="G56" s="842">
        <v>10324</v>
      </c>
      <c r="H56" s="842">
        <v>12140</v>
      </c>
      <c r="I56" s="808">
        <f>SUM(BM56:BP56)</f>
        <v>14513</v>
      </c>
      <c r="J56" s="808">
        <f>SUM(BQ56:BT56)</f>
        <v>16949</v>
      </c>
      <c r="K56" s="808">
        <f>Wless!P69</f>
        <v>14466</v>
      </c>
      <c r="L56" s="808">
        <f>Wless!Q69</f>
        <v>23668</v>
      </c>
      <c r="M56" s="808">
        <f>Wless!R69</f>
        <v>26080</v>
      </c>
      <c r="N56" s="808">
        <f>Wless!S69</f>
        <v>26489</v>
      </c>
      <c r="O56" s="808">
        <f>Wless!T69</f>
        <v>29728</v>
      </c>
      <c r="P56" s="808">
        <f>Wless!U69</f>
        <v>34199</v>
      </c>
      <c r="Q56" s="808">
        <f>Wless!V69</f>
        <v>35219</v>
      </c>
      <c r="R56" s="808">
        <f>Wless!W69</f>
        <v>38953</v>
      </c>
      <c r="S56" s="808">
        <f>Wless!X69</f>
        <v>39036</v>
      </c>
      <c r="T56" s="808">
        <f>Wless!Y69</f>
        <v>38602</v>
      </c>
      <c r="U56" s="808">
        <f ca="1">Wless!Z69</f>
        <v>40845.277874283238</v>
      </c>
      <c r="V56" s="863">
        <f ca="1">Wless!AA69</f>
        <v>40813.780017020108</v>
      </c>
      <c r="W56" s="863">
        <f ca="1">Wless!AB69</f>
        <v>41747.238370594692</v>
      </c>
      <c r="X56" s="863">
        <f ca="1">Wless!AC69</f>
        <v>42758.388648627115</v>
      </c>
      <c r="Y56" s="863">
        <f ca="1">Wless!AD69</f>
        <v>43838.908039516711</v>
      </c>
      <c r="Z56" s="863">
        <f ca="1">Wless!AE69</f>
        <v>44991.686518556467</v>
      </c>
      <c r="AA56" s="863">
        <f ca="1">Wless!AF69</f>
        <v>46224.6871656203</v>
      </c>
      <c r="AB56" s="863">
        <f ca="1">Wless!AG69</f>
        <v>47548.202159174412</v>
      </c>
      <c r="AS56" s="842">
        <v>1409</v>
      </c>
      <c r="AT56" s="842">
        <v>1566</v>
      </c>
      <c r="AU56" s="842">
        <v>1631</v>
      </c>
      <c r="AV56" s="842">
        <v>1408</v>
      </c>
      <c r="AW56" s="842">
        <v>1555</v>
      </c>
      <c r="AX56" s="842">
        <v>1692</v>
      </c>
      <c r="AY56" s="842">
        <v>1798</v>
      </c>
      <c r="AZ56" s="842">
        <v>1888</v>
      </c>
      <c r="BA56" s="842">
        <v>1781</v>
      </c>
      <c r="BB56" s="842">
        <v>1937</v>
      </c>
      <c r="BC56" s="842">
        <v>2124</v>
      </c>
      <c r="BD56" s="842">
        <v>2130</v>
      </c>
      <c r="BE56" s="842">
        <v>2257</v>
      </c>
      <c r="BF56" s="842">
        <v>2718</v>
      </c>
      <c r="BG56" s="842">
        <v>2793</v>
      </c>
      <c r="BH56" s="842">
        <v>2556</v>
      </c>
      <c r="BI56" s="842">
        <v>2690</v>
      </c>
      <c r="BJ56" s="842">
        <v>2957</v>
      </c>
      <c r="BK56" s="842">
        <v>3018</v>
      </c>
      <c r="BL56" s="842">
        <v>3475</v>
      </c>
      <c r="BM56" s="862">
        <f>Wless!BZ69</f>
        <v>3389</v>
      </c>
      <c r="BN56" s="863">
        <f>Wless!CA69</f>
        <v>3564</v>
      </c>
      <c r="BO56" s="863">
        <f>Wless!CB69</f>
        <v>3807</v>
      </c>
      <c r="BP56" s="863">
        <f>Wless!CC69</f>
        <v>3753</v>
      </c>
      <c r="BQ56" s="862">
        <f>Wless!CD69</f>
        <v>3985</v>
      </c>
      <c r="BR56" s="863">
        <f>Wless!CE69</f>
        <v>4302</v>
      </c>
      <c r="BS56" s="863">
        <f>Wless!CF69</f>
        <v>4353</v>
      </c>
      <c r="BT56" s="863">
        <f>Wless!CG69</f>
        <v>4309</v>
      </c>
      <c r="BU56" s="862">
        <f>Wless!CH69</f>
        <v>3364</v>
      </c>
      <c r="BV56" s="863">
        <f>Wless!CI69</f>
        <v>3592</v>
      </c>
      <c r="BW56" s="863">
        <f>Wless!CJ69</f>
        <v>3564</v>
      </c>
      <c r="BX56" s="863">
        <f>Wless!CK69</f>
        <v>3946</v>
      </c>
      <c r="BY56" s="862">
        <f>Wless!CL69</f>
        <v>4979</v>
      </c>
      <c r="BZ56" s="863">
        <f>Wless!CM69</f>
        <v>5975</v>
      </c>
      <c r="CA56" s="863">
        <f>Wless!CN69</f>
        <v>6003</v>
      </c>
      <c r="CB56" s="863">
        <f>Wless!CO69</f>
        <v>5878</v>
      </c>
      <c r="CC56" s="862">
        <f>Wless!CP69</f>
        <v>6145</v>
      </c>
      <c r="CD56" s="863">
        <f>Wless!CQ69</f>
        <v>6510</v>
      </c>
      <c r="CE56" s="863">
        <f>Wless!CR69</f>
        <v>6690</v>
      </c>
      <c r="CF56" s="863">
        <f>Wless!CS69</f>
        <v>6735</v>
      </c>
      <c r="CG56" s="862">
        <f>Wless!CT69</f>
        <v>6250</v>
      </c>
      <c r="CH56" s="863">
        <f>Wless!CU69</f>
        <v>6670</v>
      </c>
      <c r="CI56" s="863">
        <f>Wless!CV69</f>
        <v>7189</v>
      </c>
      <c r="CJ56" s="863">
        <f>Wless!CW69</f>
        <v>6380</v>
      </c>
      <c r="CK56" s="862">
        <f>Wless!CX69</f>
        <v>7135</v>
      </c>
      <c r="CL56" s="863">
        <f>Wless!CY69</f>
        <v>7724</v>
      </c>
      <c r="CM56" s="863">
        <f>Wless!CZ69</f>
        <v>8084</v>
      </c>
      <c r="CN56" s="863">
        <f>Wless!DA69</f>
        <v>6785</v>
      </c>
      <c r="CO56" s="862">
        <f>Wless!DB69</f>
        <v>8424</v>
      </c>
      <c r="CP56" s="863">
        <f>Wless!DC69</f>
        <v>8511</v>
      </c>
      <c r="CQ56" s="863">
        <f>Wless!DD69</f>
        <v>8946</v>
      </c>
      <c r="CR56" s="863">
        <f>Wless!DE69</f>
        <v>8318</v>
      </c>
      <c r="CS56" s="862">
        <f>Wless!DF69</f>
        <v>9379</v>
      </c>
      <c r="CT56" s="863">
        <f>Wless!DG69</f>
        <v>9092</v>
      </c>
      <c r="CU56" s="863">
        <f>Wless!DH69</f>
        <v>9094</v>
      </c>
      <c r="CV56" s="864">
        <f>Wless!DI69</f>
        <v>7654</v>
      </c>
      <c r="CW56" s="863">
        <f>Wless!DJ69</f>
        <v>10000</v>
      </c>
      <c r="CX56" s="863">
        <f>Wless!DK69</f>
        <v>9921</v>
      </c>
      <c r="CY56" s="863">
        <f>Wless!DL69</f>
        <v>9928</v>
      </c>
      <c r="CZ56" s="864">
        <f>Wless!DM69</f>
        <v>9104</v>
      </c>
      <c r="DA56" s="863">
        <f>Wless!DN69</f>
        <v>10173</v>
      </c>
      <c r="DB56" s="863">
        <f>Wless!DO69</f>
        <v>10299</v>
      </c>
      <c r="DC56" s="863">
        <f>Wless!DP69</f>
        <v>9934</v>
      </c>
      <c r="DD56" s="863">
        <f>Wless!DQ69</f>
        <v>8630</v>
      </c>
      <c r="DE56" s="863">
        <f>Wless!DR69</f>
        <v>9414</v>
      </c>
      <c r="DF56" s="863">
        <f>Wless!DS69</f>
        <v>9757</v>
      </c>
      <c r="DG56" s="863">
        <f>Wless!DT69</f>
        <v>9969</v>
      </c>
      <c r="DH56" s="863">
        <f>Wless!DU69</f>
        <v>9462</v>
      </c>
      <c r="DI56" s="863">
        <f>Wless!DV69</f>
        <v>10477</v>
      </c>
      <c r="DJ56" s="863">
        <f ca="1">Wless!DW69</f>
        <v>10352.807185108177</v>
      </c>
      <c r="DK56" s="863">
        <f ca="1">Wless!DX69</f>
        <v>10561.405547120419</v>
      </c>
      <c r="DL56" s="863">
        <f ca="1">Wless!DY69</f>
        <v>9454.0651420546419</v>
      </c>
    </row>
    <row r="57" spans="1:116" s="808" customFormat="1">
      <c r="A57" s="812" t="s">
        <v>751</v>
      </c>
      <c r="B57" s="812"/>
      <c r="C57" s="812"/>
      <c r="D57" s="842">
        <v>1550</v>
      </c>
      <c r="E57" s="842">
        <v>1023</v>
      </c>
      <c r="F57" s="842">
        <v>684</v>
      </c>
      <c r="G57" s="842">
        <v>917</v>
      </c>
      <c r="H57" s="842">
        <v>811</v>
      </c>
      <c r="V57" s="863"/>
      <c r="W57" s="863"/>
      <c r="X57" s="863"/>
      <c r="Y57" s="863"/>
      <c r="Z57" s="863"/>
      <c r="AA57" s="863"/>
      <c r="AB57" s="863"/>
      <c r="AS57" s="842">
        <v>343</v>
      </c>
      <c r="AT57" s="842">
        <v>396</v>
      </c>
      <c r="AU57" s="842">
        <v>417</v>
      </c>
      <c r="AV57" s="842">
        <v>394</v>
      </c>
      <c r="AW57" s="842">
        <v>226</v>
      </c>
      <c r="AX57" s="842">
        <v>251</v>
      </c>
      <c r="AY57" s="842">
        <v>298</v>
      </c>
      <c r="AZ57" s="842">
        <v>248</v>
      </c>
      <c r="BA57" s="842">
        <v>223</v>
      </c>
      <c r="BB57" s="842">
        <v>174</v>
      </c>
      <c r="BC57" s="842">
        <v>80</v>
      </c>
      <c r="BD57" s="842">
        <v>207</v>
      </c>
      <c r="BE57" s="842">
        <v>193</v>
      </c>
      <c r="BF57" s="842">
        <v>263</v>
      </c>
      <c r="BG57" s="842">
        <v>207</v>
      </c>
      <c r="BH57" s="842">
        <v>254</v>
      </c>
      <c r="BI57" s="842">
        <v>183</v>
      </c>
      <c r="BJ57" s="842">
        <v>190</v>
      </c>
      <c r="BK57" s="842">
        <v>219</v>
      </c>
      <c r="BL57" s="842">
        <v>219</v>
      </c>
      <c r="BM57" s="862"/>
      <c r="BN57" s="863"/>
      <c r="BO57" s="863"/>
      <c r="BP57" s="863"/>
      <c r="BQ57" s="862"/>
      <c r="BR57" s="863"/>
      <c r="BS57" s="863"/>
      <c r="BT57" s="863"/>
      <c r="BU57" s="862"/>
      <c r="BV57" s="863"/>
      <c r="BW57" s="863"/>
      <c r="BX57" s="863"/>
      <c r="BY57" s="862"/>
      <c r="BZ57" s="863"/>
      <c r="CA57" s="863"/>
      <c r="CB57" s="863"/>
      <c r="CC57" s="862"/>
      <c r="CD57" s="863"/>
      <c r="CE57" s="863"/>
      <c r="CF57" s="863"/>
      <c r="CG57" s="862"/>
      <c r="CH57" s="863"/>
      <c r="CI57" s="863"/>
      <c r="CJ57" s="863"/>
      <c r="CK57" s="862"/>
      <c r="CL57" s="863"/>
      <c r="CM57" s="863"/>
      <c r="CN57" s="863"/>
      <c r="CO57" s="862"/>
      <c r="CP57" s="863"/>
      <c r="CQ57" s="863"/>
      <c r="CR57" s="863"/>
      <c r="CS57" s="862"/>
      <c r="CT57" s="863"/>
      <c r="CU57" s="863"/>
      <c r="CV57" s="864"/>
      <c r="CW57" s="863"/>
      <c r="CX57" s="863"/>
      <c r="CY57" s="863"/>
      <c r="CZ57" s="864"/>
      <c r="DA57" s="863"/>
      <c r="DB57" s="863"/>
      <c r="DC57" s="863"/>
      <c r="DD57" s="863"/>
      <c r="DE57" s="863"/>
      <c r="DF57" s="863"/>
      <c r="DG57" s="863"/>
      <c r="DH57" s="863"/>
      <c r="DI57" s="863"/>
      <c r="DJ57" s="863"/>
      <c r="DK57" s="863"/>
      <c r="DL57" s="863"/>
    </row>
    <row r="58" spans="1:116" s="808" customFormat="1">
      <c r="A58" s="812" t="s">
        <v>752</v>
      </c>
      <c r="B58" s="812"/>
      <c r="C58" s="812"/>
      <c r="D58" s="842">
        <v>2352</v>
      </c>
      <c r="E58" s="842">
        <v>2188</v>
      </c>
      <c r="F58" s="842">
        <v>1963</v>
      </c>
      <c r="G58" s="842">
        <v>1688</v>
      </c>
      <c r="H58" s="842">
        <v>1752</v>
      </c>
      <c r="I58" s="808">
        <f>SUM(BM58:BP58)</f>
        <v>1211</v>
      </c>
      <c r="V58" s="863"/>
      <c r="W58" s="863"/>
      <c r="X58" s="863"/>
      <c r="Y58" s="863"/>
      <c r="Z58" s="863"/>
      <c r="AA58" s="863"/>
      <c r="AB58" s="863"/>
      <c r="AS58" s="842">
        <v>373</v>
      </c>
      <c r="AT58" s="842">
        <v>531</v>
      </c>
      <c r="AU58" s="842">
        <v>627</v>
      </c>
      <c r="AV58" s="842">
        <v>821</v>
      </c>
      <c r="AW58" s="842">
        <v>369</v>
      </c>
      <c r="AX58" s="842">
        <v>459</v>
      </c>
      <c r="AY58" s="842">
        <v>593</v>
      </c>
      <c r="AZ58" s="842">
        <v>767</v>
      </c>
      <c r="BA58" s="842">
        <v>484</v>
      </c>
      <c r="BB58" s="842">
        <v>488</v>
      </c>
      <c r="BC58" s="842">
        <v>590</v>
      </c>
      <c r="BD58" s="842">
        <v>401</v>
      </c>
      <c r="BE58" s="842">
        <v>452</v>
      </c>
      <c r="BF58" s="842">
        <v>413</v>
      </c>
      <c r="BG58" s="842">
        <v>433</v>
      </c>
      <c r="BH58" s="842">
        <v>390</v>
      </c>
      <c r="BI58" s="842">
        <v>445</v>
      </c>
      <c r="BJ58" s="842">
        <v>429</v>
      </c>
      <c r="BK58" s="842">
        <v>464</v>
      </c>
      <c r="BL58" s="842">
        <v>414</v>
      </c>
      <c r="BM58" s="862">
        <v>427</v>
      </c>
      <c r="BN58" s="863">
        <v>389</v>
      </c>
      <c r="BO58" s="863">
        <v>395</v>
      </c>
      <c r="BP58" s="863"/>
      <c r="BQ58" s="862"/>
      <c r="BR58" s="863"/>
      <c r="BS58" s="863"/>
      <c r="BT58" s="863"/>
      <c r="BU58" s="862"/>
      <c r="BV58" s="863"/>
      <c r="BW58" s="863"/>
      <c r="BX58" s="863"/>
      <c r="BY58" s="862"/>
      <c r="BZ58" s="863"/>
      <c r="CA58" s="863"/>
      <c r="CB58" s="863"/>
      <c r="CC58" s="862"/>
      <c r="CD58" s="863"/>
      <c r="CE58" s="863"/>
      <c r="CF58" s="863"/>
      <c r="CG58" s="862"/>
      <c r="CH58" s="863"/>
      <c r="CI58" s="863"/>
      <c r="CJ58" s="863"/>
      <c r="CK58" s="862"/>
      <c r="CL58" s="863"/>
      <c r="CM58" s="863"/>
      <c r="CN58" s="863"/>
      <c r="CO58" s="862"/>
      <c r="CP58" s="863"/>
      <c r="CQ58" s="863"/>
      <c r="CR58" s="863"/>
      <c r="CS58" s="862"/>
      <c r="CT58" s="863"/>
      <c r="CU58" s="863"/>
      <c r="CV58" s="864"/>
      <c r="CW58" s="863"/>
      <c r="CX58" s="863"/>
      <c r="CY58" s="863"/>
      <c r="CZ58" s="864"/>
      <c r="DA58" s="863"/>
      <c r="DB58" s="863"/>
      <c r="DC58" s="863"/>
      <c r="DD58" s="863"/>
      <c r="DE58" s="863"/>
      <c r="DF58" s="863"/>
      <c r="DG58" s="863"/>
      <c r="DH58" s="863"/>
      <c r="DI58" s="863"/>
      <c r="DJ58" s="863"/>
      <c r="DK58" s="863"/>
      <c r="DL58" s="863"/>
    </row>
    <row r="59" spans="1:116" s="808" customFormat="1">
      <c r="A59" s="812" t="s">
        <v>753</v>
      </c>
      <c r="B59" s="812"/>
      <c r="C59" s="812"/>
      <c r="D59" s="842">
        <v>443</v>
      </c>
      <c r="E59" s="842">
        <v>579</v>
      </c>
      <c r="F59" s="842">
        <v>147</v>
      </c>
      <c r="G59" s="842">
        <v>121</v>
      </c>
      <c r="H59" s="842">
        <v>1515</v>
      </c>
      <c r="I59" s="808">
        <f>SUM(BM59:BP59)</f>
        <v>1700.9021321543059</v>
      </c>
      <c r="J59" s="808">
        <f>SUM(BQ59:BT59)</f>
        <v>295</v>
      </c>
      <c r="K59" s="808">
        <f>Other!P37</f>
        <v>5213</v>
      </c>
      <c r="L59" s="808">
        <f>Other!Q37</f>
        <v>-1541</v>
      </c>
      <c r="M59" s="808">
        <f>Other!R37</f>
        <v>-941</v>
      </c>
      <c r="N59" s="808">
        <f>Other!S37</f>
        <v>-456</v>
      </c>
      <c r="O59" s="808">
        <f>Other!T37</f>
        <v>-746</v>
      </c>
      <c r="P59" s="808">
        <f>Other!U37</f>
        <v>-835</v>
      </c>
      <c r="Q59" s="808">
        <f>Other!V37</f>
        <v>-882</v>
      </c>
      <c r="R59" s="808">
        <f>Other!W37</f>
        <v>-1239</v>
      </c>
      <c r="S59" s="808">
        <f>Other!X37</f>
        <v>-1084</v>
      </c>
      <c r="T59" s="808">
        <f>Other!Y37</f>
        <v>1442</v>
      </c>
      <c r="U59" s="808">
        <f>Other!Z37</f>
        <v>512.1195000000007</v>
      </c>
      <c r="V59" s="863">
        <f>Other!AA37</f>
        <v>1603.1560320000008</v>
      </c>
      <c r="W59" s="863">
        <f>Other!AB37</f>
        <v>1635.2191526400002</v>
      </c>
      <c r="X59" s="863">
        <f>Other!AC37</f>
        <v>1667.9235356928002</v>
      </c>
      <c r="Y59" s="863">
        <f>Other!AD37</f>
        <v>1701.2820064066564</v>
      </c>
      <c r="Z59" s="863">
        <f>Other!AE37</f>
        <v>1735.3076465347895</v>
      </c>
      <c r="AA59" s="863">
        <f>Other!AF37</f>
        <v>1770.0137994654851</v>
      </c>
      <c r="AB59" s="863">
        <f>Other!AG37</f>
        <v>1805.4140754547934</v>
      </c>
      <c r="AS59" s="842">
        <v>173</v>
      </c>
      <c r="AT59" s="842">
        <v>68</v>
      </c>
      <c r="AU59" s="842">
        <v>148</v>
      </c>
      <c r="AV59" s="842">
        <v>54</v>
      </c>
      <c r="AW59" s="842">
        <v>93</v>
      </c>
      <c r="AX59" s="842">
        <v>94</v>
      </c>
      <c r="AY59" s="842">
        <v>196</v>
      </c>
      <c r="AZ59" s="842">
        <v>196</v>
      </c>
      <c r="BA59" s="842">
        <v>129</v>
      </c>
      <c r="BB59" s="842">
        <v>130</v>
      </c>
      <c r="BC59" s="842">
        <v>-113</v>
      </c>
      <c r="BD59" s="842">
        <v>1</v>
      </c>
      <c r="BE59" s="842">
        <v>-42</v>
      </c>
      <c r="BF59" s="842">
        <v>35</v>
      </c>
      <c r="BG59" s="842">
        <v>32</v>
      </c>
      <c r="BH59" s="842">
        <v>96</v>
      </c>
      <c r="BI59" s="842">
        <v>333</v>
      </c>
      <c r="BJ59" s="842">
        <v>388</v>
      </c>
      <c r="BK59" s="842">
        <v>345</v>
      </c>
      <c r="BL59" s="842">
        <v>449</v>
      </c>
      <c r="BM59" s="862">
        <f>Segments!BT71</f>
        <v>881.90213215430595</v>
      </c>
      <c r="BN59" s="863">
        <f>Segments!BU71</f>
        <v>461</v>
      </c>
      <c r="BO59" s="863">
        <f>Segments!BV71</f>
        <v>352</v>
      </c>
      <c r="BP59" s="863">
        <f>Segments!BW71</f>
        <v>6</v>
      </c>
      <c r="BQ59" s="862">
        <f>Segments!BX71</f>
        <v>56</v>
      </c>
      <c r="BR59" s="863">
        <f>Segments!BY71</f>
        <v>44</v>
      </c>
      <c r="BS59" s="863">
        <f>Segments!BZ71</f>
        <v>85</v>
      </c>
      <c r="BT59" s="863">
        <f>Segments!CA71</f>
        <v>110</v>
      </c>
      <c r="BU59" s="862">
        <f>Segments!CB71</f>
        <v>1330</v>
      </c>
      <c r="BV59" s="863">
        <f>Segments!CC71</f>
        <v>1266</v>
      </c>
      <c r="BW59" s="863">
        <f>Segments!CD71</f>
        <v>1262</v>
      </c>
      <c r="BX59" s="863">
        <f>Segments!CE71</f>
        <v>1355</v>
      </c>
      <c r="BY59" s="862">
        <f>Segments!CF71</f>
        <v>-403.75</v>
      </c>
      <c r="BZ59" s="863">
        <f>Segments!CG71</f>
        <v>-394.75</v>
      </c>
      <c r="CA59" s="863">
        <f>Segments!CH71</f>
        <v>-364.75</v>
      </c>
      <c r="CB59" s="863">
        <f>Segments!CI71</f>
        <v>-377.75</v>
      </c>
      <c r="CC59" s="862">
        <f>Segments!CJ71</f>
        <v>-164</v>
      </c>
      <c r="CD59" s="863">
        <f>Segments!CK71</f>
        <v>-257</v>
      </c>
      <c r="CE59" s="863">
        <f>Segments!CL71</f>
        <v>-227</v>
      </c>
      <c r="CF59" s="863">
        <f>Segments!CM71</f>
        <v>-293</v>
      </c>
      <c r="CG59" s="862">
        <f>Segments!CN71</f>
        <v>-168</v>
      </c>
      <c r="CH59" s="863">
        <f>Segments!CO71</f>
        <v>-100</v>
      </c>
      <c r="CI59" s="863">
        <f>Segments!CP71</f>
        <v>-206</v>
      </c>
      <c r="CJ59" s="863">
        <f>Segments!CQ71</f>
        <v>18</v>
      </c>
      <c r="CK59" s="862">
        <f>Segments!CR71</f>
        <v>-159</v>
      </c>
      <c r="CL59" s="863">
        <f>Segments!CS71</f>
        <v>-235</v>
      </c>
      <c r="CM59" s="863">
        <f>Segments!CT71</f>
        <v>-198</v>
      </c>
      <c r="CN59" s="863">
        <f>Segments!CU71</f>
        <v>-154</v>
      </c>
      <c r="CO59" s="862">
        <f>Segments!CV71</f>
        <v>-192</v>
      </c>
      <c r="CP59" s="863">
        <f>Segments!CW71</f>
        <v>-201</v>
      </c>
      <c r="CQ59" s="863">
        <f>Segments!CX71</f>
        <v>-171</v>
      </c>
      <c r="CR59" s="863">
        <f>Segments!CY71</f>
        <v>-271</v>
      </c>
      <c r="CS59" s="862">
        <f>Segments!CZ71</f>
        <v>-262</v>
      </c>
      <c r="CT59" s="863">
        <f>Segments!DA71</f>
        <v>-217</v>
      </c>
      <c r="CU59" s="863">
        <f>Segments!DB71</f>
        <v>-240</v>
      </c>
      <c r="CV59" s="864">
        <f>Segments!DC71</f>
        <v>-163</v>
      </c>
      <c r="CW59" s="863">
        <f>Segments!DD71</f>
        <v>-202</v>
      </c>
      <c r="CX59" s="863">
        <f>Segments!DE71</f>
        <v>-330</v>
      </c>
      <c r="CY59" s="863">
        <f>Segments!DF71</f>
        <v>-242</v>
      </c>
      <c r="CZ59" s="864">
        <f>Segments!DG71</f>
        <v>-465</v>
      </c>
      <c r="DA59" s="863">
        <f>Segments!DH71</f>
        <v>-368</v>
      </c>
      <c r="DB59" s="863">
        <f>Segments!DI71</f>
        <v>-319</v>
      </c>
      <c r="DC59" s="863">
        <f>Segments!DJ71</f>
        <v>-309</v>
      </c>
      <c r="DD59" s="863">
        <f>Segments!DK71</f>
        <v>-88</v>
      </c>
      <c r="DE59" s="863">
        <f>Segments!DL71</f>
        <v>167</v>
      </c>
      <c r="DF59" s="863">
        <f>Segments!DM71</f>
        <v>7</v>
      </c>
      <c r="DG59" s="863">
        <f>Segments!DN71</f>
        <v>517</v>
      </c>
      <c r="DH59" s="863">
        <f>Segments!DO71</f>
        <v>751</v>
      </c>
      <c r="DI59" s="863">
        <f>Segments!DP71</f>
        <v>-51</v>
      </c>
      <c r="DJ59" s="863">
        <f ca="1">Segments!DQ71</f>
        <v>173.625</v>
      </c>
      <c r="DK59" s="863">
        <f ca="1">Segments!DR71</f>
        <v>191.19375000000036</v>
      </c>
      <c r="DL59" s="863">
        <f ca="1">Segments!DS71</f>
        <v>198.30075000000033</v>
      </c>
    </row>
    <row r="60" spans="1:116" s="816" customFormat="1">
      <c r="A60" s="820" t="s">
        <v>1040</v>
      </c>
      <c r="B60" s="820"/>
      <c r="C60" s="820"/>
      <c r="D60" s="843">
        <v>28841</v>
      </c>
      <c r="E60" s="843">
        <v>29124</v>
      </c>
      <c r="F60" s="843">
        <v>26946</v>
      </c>
      <c r="G60" s="843">
        <v>27620</v>
      </c>
      <c r="H60" s="843">
        <v>29811</v>
      </c>
      <c r="I60" s="816">
        <f t="shared" ref="I60:U60" si="64">SUM(I55:I59)</f>
        <v>31124.902132154304</v>
      </c>
      <c r="J60" s="816">
        <f t="shared" si="64"/>
        <v>30665</v>
      </c>
      <c r="K60" s="816">
        <f t="shared" si="64"/>
        <v>32572</v>
      </c>
      <c r="L60" s="816">
        <f t="shared" si="64"/>
        <v>31840</v>
      </c>
      <c r="M60" s="816">
        <f t="shared" si="64"/>
        <v>34376</v>
      </c>
      <c r="N60" s="816">
        <f t="shared" si="64"/>
        <v>35450</v>
      </c>
      <c r="O60" s="816">
        <f t="shared" si="64"/>
        <v>37417</v>
      </c>
      <c r="P60" s="816">
        <f t="shared" si="64"/>
        <v>42021</v>
      </c>
      <c r="Q60" s="816">
        <f t="shared" si="64"/>
        <v>43254</v>
      </c>
      <c r="R60" s="816">
        <f t="shared" si="64"/>
        <v>44368</v>
      </c>
      <c r="S60" s="816">
        <f t="shared" si="64"/>
        <v>44262</v>
      </c>
      <c r="T60" s="816">
        <f t="shared" si="64"/>
        <v>46657</v>
      </c>
      <c r="U60" s="816">
        <f t="shared" ca="1" si="64"/>
        <v>47786.253296851952</v>
      </c>
      <c r="V60" s="866">
        <f ca="1">SUM(V55:V59)</f>
        <v>48836.664019516051</v>
      </c>
      <c r="W60" s="866">
        <f t="shared" ref="W60:AB60" ca="1" si="65">SUM(W55:W59)</f>
        <v>49687.521335243335</v>
      </c>
      <c r="X60" s="866">
        <f t="shared" ca="1" si="65"/>
        <v>50627.868065011222</v>
      </c>
      <c r="Y60" s="866">
        <f t="shared" ca="1" si="65"/>
        <v>51647.037167036789</v>
      </c>
      <c r="Z60" s="866">
        <f t="shared" ca="1" si="65"/>
        <v>52746.056688692443</v>
      </c>
      <c r="AA60" s="866">
        <f t="shared" ca="1" si="65"/>
        <v>53931.416547329529</v>
      </c>
      <c r="AB60" s="866">
        <f t="shared" ca="1" si="65"/>
        <v>55212.250669671448</v>
      </c>
      <c r="AS60" s="843">
        <v>7087</v>
      </c>
      <c r="AT60" s="843">
        <v>7443</v>
      </c>
      <c r="AU60" s="843">
        <v>7266</v>
      </c>
      <c r="AV60" s="843">
        <v>7045</v>
      </c>
      <c r="AW60" s="843">
        <v>6970</v>
      </c>
      <c r="AX60" s="843">
        <v>7206</v>
      </c>
      <c r="AY60" s="843">
        <v>7331</v>
      </c>
      <c r="AZ60" s="843">
        <v>7617</v>
      </c>
      <c r="BA60" s="843">
        <v>6979</v>
      </c>
      <c r="BB60" s="843">
        <v>6924</v>
      </c>
      <c r="BC60" s="843">
        <v>6537</v>
      </c>
      <c r="BD60" s="843">
        <v>6506</v>
      </c>
      <c r="BE60" s="843">
        <v>6559</v>
      </c>
      <c r="BF60" s="843">
        <v>7014</v>
      </c>
      <c r="BG60" s="843">
        <v>7059</v>
      </c>
      <c r="BH60" s="843">
        <v>6988</v>
      </c>
      <c r="BI60" s="843">
        <v>7092</v>
      </c>
      <c r="BJ60" s="843">
        <v>7362</v>
      </c>
      <c r="BK60" s="843">
        <v>7543</v>
      </c>
      <c r="BL60" s="843">
        <v>7814</v>
      </c>
      <c r="BM60" s="865">
        <f t="shared" ref="BM60:CV60" si="66">SUM(BM55:BM59)</f>
        <v>8043.9021321543059</v>
      </c>
      <c r="BN60" s="866">
        <f t="shared" si="66"/>
        <v>7934</v>
      </c>
      <c r="BO60" s="866">
        <f t="shared" si="66"/>
        <v>7927</v>
      </c>
      <c r="BP60" s="866">
        <f t="shared" si="66"/>
        <v>7220</v>
      </c>
      <c r="BQ60" s="865">
        <f t="shared" si="66"/>
        <v>7327</v>
      </c>
      <c r="BR60" s="866">
        <f t="shared" si="66"/>
        <v>7639</v>
      </c>
      <c r="BS60" s="866">
        <f t="shared" si="66"/>
        <v>7803</v>
      </c>
      <c r="BT60" s="866">
        <f t="shared" si="66"/>
        <v>7896</v>
      </c>
      <c r="BU60" s="865">
        <f t="shared" si="66"/>
        <v>7943</v>
      </c>
      <c r="BV60" s="866">
        <f t="shared" si="66"/>
        <v>8166</v>
      </c>
      <c r="BW60" s="866">
        <f t="shared" si="66"/>
        <v>8140</v>
      </c>
      <c r="BX60" s="866">
        <f t="shared" si="66"/>
        <v>8323</v>
      </c>
      <c r="BY60" s="865">
        <f t="shared" si="66"/>
        <v>7020.25</v>
      </c>
      <c r="BZ60" s="866">
        <f t="shared" si="66"/>
        <v>8054.25</v>
      </c>
      <c r="CA60" s="866">
        <f t="shared" si="66"/>
        <v>8047.25</v>
      </c>
      <c r="CB60" s="866">
        <f t="shared" si="66"/>
        <v>7885.25</v>
      </c>
      <c r="CC60" s="865">
        <f t="shared" si="66"/>
        <v>8165</v>
      </c>
      <c r="CD60" s="866">
        <f t="shared" si="66"/>
        <v>8560</v>
      </c>
      <c r="CE60" s="866">
        <f t="shared" si="66"/>
        <v>8795</v>
      </c>
      <c r="CF60" s="866">
        <f t="shared" si="66"/>
        <v>8856</v>
      </c>
      <c r="CG60" s="865">
        <f t="shared" si="66"/>
        <v>8477</v>
      </c>
      <c r="CH60" s="866">
        <f t="shared" si="66"/>
        <v>9005</v>
      </c>
      <c r="CI60" s="866">
        <f t="shared" si="66"/>
        <v>9155</v>
      </c>
      <c r="CJ60" s="866">
        <f t="shared" si="66"/>
        <v>8813</v>
      </c>
      <c r="CK60" s="865">
        <f t="shared" si="66"/>
        <v>9223</v>
      </c>
      <c r="CL60" s="866">
        <f t="shared" si="66"/>
        <v>9752</v>
      </c>
      <c r="CM60" s="866">
        <f t="shared" si="66"/>
        <v>10034</v>
      </c>
      <c r="CN60" s="866">
        <f t="shared" si="66"/>
        <v>8408</v>
      </c>
      <c r="CO60" s="865">
        <f t="shared" si="66"/>
        <v>10330</v>
      </c>
      <c r="CP60" s="866">
        <f t="shared" si="66"/>
        <v>10461</v>
      </c>
      <c r="CQ60" s="866">
        <f t="shared" si="66"/>
        <v>10996</v>
      </c>
      <c r="CR60" s="866">
        <f t="shared" si="66"/>
        <v>10234</v>
      </c>
      <c r="CS60" s="865">
        <f t="shared" si="66"/>
        <v>11291</v>
      </c>
      <c r="CT60" s="866">
        <f t="shared" si="66"/>
        <v>11133</v>
      </c>
      <c r="CU60" s="866">
        <f t="shared" si="66"/>
        <v>11057</v>
      </c>
      <c r="CV60" s="867">
        <f t="shared" si="66"/>
        <v>9773</v>
      </c>
      <c r="CW60" s="866">
        <f t="shared" ref="CW60:DD60" si="67">SUM(CW55:CW59)</f>
        <v>11394</v>
      </c>
      <c r="CX60" s="866">
        <f t="shared" si="67"/>
        <v>11254</v>
      </c>
      <c r="CY60" s="866">
        <f t="shared" si="67"/>
        <v>11342</v>
      </c>
      <c r="CZ60" s="867">
        <f t="shared" si="67"/>
        <v>10378</v>
      </c>
      <c r="DA60" s="866">
        <f t="shared" si="67"/>
        <v>11457</v>
      </c>
      <c r="DB60" s="866">
        <f t="shared" si="67"/>
        <v>11079</v>
      </c>
      <c r="DC60" s="866">
        <f t="shared" si="67"/>
        <v>11279</v>
      </c>
      <c r="DD60" s="866">
        <f t="shared" si="67"/>
        <v>10421</v>
      </c>
      <c r="DE60" s="866">
        <f t="shared" ref="DE60:DH60" si="68">SUM(DE55:DE59)</f>
        <v>11366</v>
      </c>
      <c r="DF60" s="866">
        <f t="shared" si="68"/>
        <v>11384</v>
      </c>
      <c r="DG60" s="866">
        <f t="shared" si="68"/>
        <v>12100</v>
      </c>
      <c r="DH60" s="866">
        <f t="shared" si="68"/>
        <v>11807</v>
      </c>
      <c r="DI60" s="866">
        <f t="shared" ref="DI60:DL60" si="69">SUM(DI55:DI59)</f>
        <v>12029</v>
      </c>
      <c r="DJ60" s="866">
        <f t="shared" ca="1" si="69"/>
        <v>12114.334415885083</v>
      </c>
      <c r="DK60" s="866">
        <f t="shared" ca="1" si="69"/>
        <v>12392.425022604481</v>
      </c>
      <c r="DL60" s="866">
        <f t="shared" ca="1" si="69"/>
        <v>11250.493858362386</v>
      </c>
    </row>
    <row r="61" spans="1:116" s="816" customFormat="1">
      <c r="A61" s="820" t="s">
        <v>754</v>
      </c>
      <c r="B61" s="820"/>
      <c r="C61" s="820"/>
      <c r="D61" s="843">
        <v>28841</v>
      </c>
      <c r="E61" s="843">
        <v>29124</v>
      </c>
      <c r="F61" s="843">
        <v>26946</v>
      </c>
      <c r="G61" s="843">
        <v>27620</v>
      </c>
      <c r="H61" s="843">
        <v>27691</v>
      </c>
      <c r="I61" s="816">
        <f>IS!N59</f>
        <v>28537.931688804558</v>
      </c>
      <c r="J61" s="816">
        <f>IS!O59</f>
        <v>30665</v>
      </c>
      <c r="K61" s="816">
        <f>IS!P59</f>
        <v>32572</v>
      </c>
      <c r="L61" s="816">
        <f>IS!Q59</f>
        <v>32291</v>
      </c>
      <c r="M61" s="816">
        <f>IS!R59</f>
        <v>34376</v>
      </c>
      <c r="N61" s="816">
        <f>IS!S59</f>
        <v>35450</v>
      </c>
      <c r="O61" s="816">
        <f>IS!T59</f>
        <v>37417</v>
      </c>
      <c r="P61" s="816">
        <f>IS!U59</f>
        <v>42021</v>
      </c>
      <c r="Q61" s="816">
        <f>IS!V59</f>
        <v>43254</v>
      </c>
      <c r="R61" s="816">
        <f>IS!W59</f>
        <v>44368</v>
      </c>
      <c r="S61" s="816">
        <f>IS!X59</f>
        <v>44236</v>
      </c>
      <c r="T61" s="816">
        <f>IS!Y59</f>
        <v>46657</v>
      </c>
      <c r="U61" s="816">
        <f ca="1">IS!Z59</f>
        <v>47786.253296851966</v>
      </c>
      <c r="V61" s="866">
        <f ca="1">IS!AA59</f>
        <v>48836.664019516073</v>
      </c>
      <c r="W61" s="866">
        <f ca="1">IS!AB59</f>
        <v>49687.521335243335</v>
      </c>
      <c r="X61" s="866">
        <f ca="1">IS!AC59</f>
        <v>50627.868065011207</v>
      </c>
      <c r="Y61" s="866">
        <f ca="1">IS!AD59</f>
        <v>51647.037167036789</v>
      </c>
      <c r="Z61" s="866">
        <f ca="1">IS!AE59</f>
        <v>52746.056688692435</v>
      </c>
      <c r="AA61" s="866">
        <f ca="1">IS!AF59</f>
        <v>53931.416547329543</v>
      </c>
      <c r="AB61" s="866">
        <f ca="1">IS!AG59</f>
        <v>55212.250669671455</v>
      </c>
      <c r="AS61" s="843">
        <v>7087</v>
      </c>
      <c r="AT61" s="843">
        <v>7443</v>
      </c>
      <c r="AU61" s="843">
        <v>7266</v>
      </c>
      <c r="AV61" s="843">
        <v>7045</v>
      </c>
      <c r="AW61" s="843">
        <v>6970</v>
      </c>
      <c r="AX61" s="843">
        <v>7206</v>
      </c>
      <c r="AY61" s="843">
        <v>7331</v>
      </c>
      <c r="AZ61" s="843">
        <v>7617</v>
      </c>
      <c r="BA61" s="843">
        <v>6979</v>
      </c>
      <c r="BB61" s="843">
        <v>6924</v>
      </c>
      <c r="BC61" s="843">
        <v>6537</v>
      </c>
      <c r="BD61" s="843">
        <v>6506</v>
      </c>
      <c r="BE61" s="843">
        <v>6559</v>
      </c>
      <c r="BF61" s="843">
        <v>7014</v>
      </c>
      <c r="BG61" s="843">
        <v>7059</v>
      </c>
      <c r="BH61" s="843">
        <v>6988</v>
      </c>
      <c r="BI61" s="843">
        <v>6595</v>
      </c>
      <c r="BJ61" s="843">
        <v>6846</v>
      </c>
      <c r="BK61" s="843">
        <v>6991</v>
      </c>
      <c r="BL61" s="843">
        <v>7259</v>
      </c>
      <c r="BM61" s="865">
        <f>IS!BW59</f>
        <v>7062.9316888045505</v>
      </c>
      <c r="BN61" s="866">
        <f>IS!BX59</f>
        <v>7132</v>
      </c>
      <c r="BO61" s="866">
        <f>IS!BY59</f>
        <v>7123</v>
      </c>
      <c r="BP61" s="866">
        <f>IS!BZ59</f>
        <v>7220</v>
      </c>
      <c r="BQ61" s="865">
        <f>IS!CA59</f>
        <v>7327</v>
      </c>
      <c r="BR61" s="866">
        <f>IS!CB59</f>
        <v>7639</v>
      </c>
      <c r="BS61" s="866">
        <f>IS!CC59</f>
        <v>7803</v>
      </c>
      <c r="BT61" s="866">
        <f>IS!CD59</f>
        <v>7896</v>
      </c>
      <c r="BU61" s="865">
        <f>IS!CE59</f>
        <v>7943</v>
      </c>
      <c r="BV61" s="866">
        <f>IS!CF59</f>
        <v>8166</v>
      </c>
      <c r="BW61" s="866">
        <f>IS!CG59</f>
        <v>8140</v>
      </c>
      <c r="BX61" s="866">
        <f>IS!CH59</f>
        <v>8323</v>
      </c>
      <c r="BY61" s="865">
        <f>IS!CI59</f>
        <v>7966</v>
      </c>
      <c r="BZ61" s="866">
        <f>IS!CJ59</f>
        <v>8167</v>
      </c>
      <c r="CA61" s="866">
        <f>IS!CK59</f>
        <v>8160</v>
      </c>
      <c r="CB61" s="866">
        <f>IS!CL59</f>
        <v>7998</v>
      </c>
      <c r="CC61" s="865">
        <f>IS!CM59</f>
        <v>8165</v>
      </c>
      <c r="CD61" s="866">
        <f>IS!CN59</f>
        <v>8560</v>
      </c>
      <c r="CE61" s="866">
        <f>IS!CO59</f>
        <v>8795</v>
      </c>
      <c r="CF61" s="866">
        <f>IS!CP59</f>
        <v>8856</v>
      </c>
      <c r="CG61" s="865">
        <f>IS!CQ59</f>
        <v>8477</v>
      </c>
      <c r="CH61" s="866">
        <f>IS!CR59</f>
        <v>9005</v>
      </c>
      <c r="CI61" s="866">
        <f>IS!CS59</f>
        <v>9155</v>
      </c>
      <c r="CJ61" s="866">
        <f>IS!CT59</f>
        <v>8813</v>
      </c>
      <c r="CK61" s="865">
        <f>IS!CU59</f>
        <v>9223</v>
      </c>
      <c r="CL61" s="866">
        <f>IS!CV59</f>
        <v>9752</v>
      </c>
      <c r="CM61" s="866">
        <f>IS!CW59</f>
        <v>10034</v>
      </c>
      <c r="CN61" s="866">
        <f>IS!CX59</f>
        <v>8408</v>
      </c>
      <c r="CO61" s="865">
        <f>IS!CY59</f>
        <v>10330</v>
      </c>
      <c r="CP61" s="866">
        <f>IS!CZ59</f>
        <v>10461</v>
      </c>
      <c r="CQ61" s="866">
        <f>IS!DA59</f>
        <v>10996</v>
      </c>
      <c r="CR61" s="866">
        <f>IS!DB59</f>
        <v>10234</v>
      </c>
      <c r="CS61" s="865">
        <f>IS!DC59</f>
        <v>11291</v>
      </c>
      <c r="CT61" s="866">
        <f>IS!DD59</f>
        <v>11133</v>
      </c>
      <c r="CU61" s="866">
        <f>IS!DE59</f>
        <v>11057</v>
      </c>
      <c r="CV61" s="867">
        <f>IS!DF59</f>
        <v>9773</v>
      </c>
      <c r="CW61" s="866">
        <f>IS!DG59</f>
        <v>11394</v>
      </c>
      <c r="CX61" s="866">
        <f>IS!DH59</f>
        <v>11254</v>
      </c>
      <c r="CY61" s="866">
        <f>IS!DI59</f>
        <v>11342</v>
      </c>
      <c r="CZ61" s="867">
        <f>IS!DJ59</f>
        <v>10378</v>
      </c>
      <c r="DA61" s="866">
        <f>IS!DK59</f>
        <v>11457</v>
      </c>
      <c r="DB61" s="866">
        <f>IS!DL59</f>
        <v>11079</v>
      </c>
      <c r="DC61" s="866">
        <f>IS!DM59</f>
        <v>11279</v>
      </c>
      <c r="DD61" s="866">
        <f>IS!DN59</f>
        <v>10421</v>
      </c>
      <c r="DE61" s="866">
        <f>IS!DO59</f>
        <v>11366</v>
      </c>
      <c r="DF61" s="866">
        <f>IS!DP59</f>
        <v>11384</v>
      </c>
      <c r="DG61" s="866">
        <f>IS!DQ59</f>
        <v>12100</v>
      </c>
      <c r="DH61" s="866">
        <f>IS!DR59</f>
        <v>11807</v>
      </c>
      <c r="DI61" s="866">
        <f>IS!DS59</f>
        <v>12029</v>
      </c>
      <c r="DJ61" s="866">
        <f ca="1">IS!DT59</f>
        <v>12114.334415885085</v>
      </c>
      <c r="DK61" s="866">
        <f ca="1">IS!DU59</f>
        <v>12392.425022604482</v>
      </c>
      <c r="DL61" s="866">
        <f ca="1">IS!DV59</f>
        <v>11250.493858362388</v>
      </c>
    </row>
    <row r="62" spans="1:116" s="831" customFormat="1">
      <c r="A62" s="828" t="s">
        <v>1351</v>
      </c>
      <c r="B62" s="828"/>
      <c r="C62" s="828"/>
      <c r="D62" s="844">
        <v>0</v>
      </c>
      <c r="E62" s="844">
        <v>0</v>
      </c>
      <c r="F62" s="844">
        <v>0</v>
      </c>
      <c r="G62" s="844">
        <v>0</v>
      </c>
      <c r="H62" s="844">
        <v>2120</v>
      </c>
      <c r="I62" s="831">
        <f>I60-IS!N59</f>
        <v>2586.9704433497463</v>
      </c>
      <c r="J62" s="831">
        <f>J60-IS!O59</f>
        <v>0</v>
      </c>
      <c r="K62" s="831">
        <f>K60-IS!P59</f>
        <v>0</v>
      </c>
      <c r="L62" s="831">
        <f>L60-IS!Q59</f>
        <v>-451</v>
      </c>
      <c r="M62" s="831">
        <f>M60-IS!R59</f>
        <v>0</v>
      </c>
      <c r="N62" s="831">
        <f>N60-IS!S59</f>
        <v>0</v>
      </c>
      <c r="O62" s="831">
        <f>O60-IS!T59</f>
        <v>0</v>
      </c>
      <c r="P62" s="831">
        <f>P60-IS!U59</f>
        <v>0</v>
      </c>
      <c r="Q62" s="831">
        <f>Q60-IS!V59</f>
        <v>0</v>
      </c>
      <c r="R62" s="831">
        <f>R60-IS!W59</f>
        <v>0</v>
      </c>
      <c r="S62" s="831">
        <f>S60-IS!X59</f>
        <v>26</v>
      </c>
      <c r="T62" s="831">
        <f>T60-IS!Y59</f>
        <v>0</v>
      </c>
      <c r="U62" s="831">
        <f ca="1">U60-IS!Z59</f>
        <v>0</v>
      </c>
      <c r="V62" s="869">
        <f ca="1">V60-IS!AA59</f>
        <v>0</v>
      </c>
      <c r="W62" s="869">
        <f ca="1">W60-IS!AB59</f>
        <v>0</v>
      </c>
      <c r="X62" s="869">
        <f ca="1">X60-IS!AC59</f>
        <v>0</v>
      </c>
      <c r="Y62" s="869">
        <f ca="1">Y60-IS!AD59</f>
        <v>0</v>
      </c>
      <c r="Z62" s="869">
        <f ca="1">Z60-IS!AE59</f>
        <v>0</v>
      </c>
      <c r="AA62" s="869">
        <f ca="1">AA60-IS!AF59</f>
        <v>0</v>
      </c>
      <c r="AB62" s="869">
        <f ca="1">AB60-IS!AG59</f>
        <v>0</v>
      </c>
      <c r="AS62" s="844">
        <v>0</v>
      </c>
      <c r="AT62" s="844">
        <v>0</v>
      </c>
      <c r="AU62" s="844">
        <v>0</v>
      </c>
      <c r="AV62" s="844">
        <v>0</v>
      </c>
      <c r="AW62" s="844">
        <v>0</v>
      </c>
      <c r="AX62" s="844">
        <v>0</v>
      </c>
      <c r="AY62" s="844">
        <v>0</v>
      </c>
      <c r="AZ62" s="844">
        <v>0</v>
      </c>
      <c r="BA62" s="844">
        <v>0</v>
      </c>
      <c r="BB62" s="844">
        <v>0</v>
      </c>
      <c r="BC62" s="844">
        <v>0</v>
      </c>
      <c r="BD62" s="844">
        <v>0</v>
      </c>
      <c r="BE62" s="844">
        <v>0</v>
      </c>
      <c r="BF62" s="844">
        <v>0</v>
      </c>
      <c r="BG62" s="844">
        <v>0</v>
      </c>
      <c r="BH62" s="844">
        <v>0</v>
      </c>
      <c r="BI62" s="844">
        <v>497</v>
      </c>
      <c r="BJ62" s="844">
        <v>516</v>
      </c>
      <c r="BK62" s="844">
        <v>552</v>
      </c>
      <c r="BL62" s="844">
        <v>555</v>
      </c>
      <c r="BM62" s="868">
        <f t="shared" ref="BM62:CV62" si="70">BM60-BM61</f>
        <v>980.97044334975544</v>
      </c>
      <c r="BN62" s="869">
        <f t="shared" si="70"/>
        <v>802</v>
      </c>
      <c r="BO62" s="869">
        <f t="shared" si="70"/>
        <v>804</v>
      </c>
      <c r="BP62" s="869">
        <f t="shared" si="70"/>
        <v>0</v>
      </c>
      <c r="BQ62" s="868">
        <f t="shared" si="70"/>
        <v>0</v>
      </c>
      <c r="BR62" s="869">
        <f t="shared" si="70"/>
        <v>0</v>
      </c>
      <c r="BS62" s="869">
        <f t="shared" si="70"/>
        <v>0</v>
      </c>
      <c r="BT62" s="869">
        <f t="shared" si="70"/>
        <v>0</v>
      </c>
      <c r="BU62" s="868">
        <f t="shared" si="70"/>
        <v>0</v>
      </c>
      <c r="BV62" s="869">
        <f t="shared" si="70"/>
        <v>0</v>
      </c>
      <c r="BW62" s="869">
        <f t="shared" si="70"/>
        <v>0</v>
      </c>
      <c r="BX62" s="869">
        <f t="shared" si="70"/>
        <v>0</v>
      </c>
      <c r="BY62" s="868">
        <f t="shared" si="70"/>
        <v>-945.75</v>
      </c>
      <c r="BZ62" s="869">
        <f t="shared" si="70"/>
        <v>-112.75</v>
      </c>
      <c r="CA62" s="869">
        <f t="shared" si="70"/>
        <v>-112.75</v>
      </c>
      <c r="CB62" s="869">
        <f t="shared" si="70"/>
        <v>-112.75</v>
      </c>
      <c r="CC62" s="868">
        <f t="shared" si="70"/>
        <v>0</v>
      </c>
      <c r="CD62" s="869">
        <f t="shared" si="70"/>
        <v>0</v>
      </c>
      <c r="CE62" s="869">
        <f t="shared" si="70"/>
        <v>0</v>
      </c>
      <c r="CF62" s="869">
        <f t="shared" si="70"/>
        <v>0</v>
      </c>
      <c r="CG62" s="868">
        <f t="shared" si="70"/>
        <v>0</v>
      </c>
      <c r="CH62" s="869">
        <f t="shared" si="70"/>
        <v>0</v>
      </c>
      <c r="CI62" s="869">
        <f t="shared" si="70"/>
        <v>0</v>
      </c>
      <c r="CJ62" s="869">
        <f t="shared" si="70"/>
        <v>0</v>
      </c>
      <c r="CK62" s="868">
        <f t="shared" si="70"/>
        <v>0</v>
      </c>
      <c r="CL62" s="869">
        <f t="shared" si="70"/>
        <v>0</v>
      </c>
      <c r="CM62" s="869">
        <f t="shared" si="70"/>
        <v>0</v>
      </c>
      <c r="CN62" s="869">
        <f t="shared" si="70"/>
        <v>0</v>
      </c>
      <c r="CO62" s="868">
        <f t="shared" si="70"/>
        <v>0</v>
      </c>
      <c r="CP62" s="869">
        <f t="shared" si="70"/>
        <v>0</v>
      </c>
      <c r="CQ62" s="869">
        <f t="shared" si="70"/>
        <v>0</v>
      </c>
      <c r="CR62" s="869">
        <f t="shared" si="70"/>
        <v>0</v>
      </c>
      <c r="CS62" s="868">
        <f t="shared" si="70"/>
        <v>0</v>
      </c>
      <c r="CT62" s="869">
        <f t="shared" si="70"/>
        <v>0</v>
      </c>
      <c r="CU62" s="869">
        <f t="shared" si="70"/>
        <v>0</v>
      </c>
      <c r="CV62" s="870">
        <f t="shared" si="70"/>
        <v>0</v>
      </c>
      <c r="CW62" s="869">
        <f t="shared" ref="CW62:DD62" si="71">CW60-CW61</f>
        <v>0</v>
      </c>
      <c r="CX62" s="869">
        <f t="shared" si="71"/>
        <v>0</v>
      </c>
      <c r="CY62" s="869">
        <f t="shared" si="71"/>
        <v>0</v>
      </c>
      <c r="CZ62" s="870">
        <f t="shared" si="71"/>
        <v>0</v>
      </c>
      <c r="DA62" s="869">
        <f t="shared" si="71"/>
        <v>0</v>
      </c>
      <c r="DB62" s="869">
        <f t="shared" si="71"/>
        <v>0</v>
      </c>
      <c r="DC62" s="869">
        <f t="shared" si="71"/>
        <v>0</v>
      </c>
      <c r="DD62" s="869">
        <f t="shared" si="71"/>
        <v>0</v>
      </c>
      <c r="DE62" s="869">
        <f t="shared" ref="DE62:DH62" si="72">DE60-DE61</f>
        <v>0</v>
      </c>
      <c r="DF62" s="869">
        <f t="shared" si="72"/>
        <v>0</v>
      </c>
      <c r="DG62" s="869">
        <f t="shared" si="72"/>
        <v>0</v>
      </c>
      <c r="DH62" s="869">
        <f t="shared" si="72"/>
        <v>0</v>
      </c>
      <c r="DI62" s="869">
        <f t="shared" ref="DI62:DL62" si="73">DI60-DI61</f>
        <v>0</v>
      </c>
      <c r="DJ62" s="869">
        <f t="shared" ca="1" si="73"/>
        <v>0</v>
      </c>
      <c r="DK62" s="869">
        <f t="shared" ca="1" si="73"/>
        <v>0</v>
      </c>
      <c r="DL62" s="869">
        <f t="shared" ca="1" si="73"/>
        <v>0</v>
      </c>
    </row>
    <row r="63" spans="1:116" s="808" customFormat="1">
      <c r="A63" s="812"/>
      <c r="B63" s="812"/>
      <c r="C63" s="812"/>
      <c r="V63" s="863"/>
      <c r="W63" s="863"/>
      <c r="X63" s="863"/>
      <c r="Y63" s="863"/>
      <c r="Z63" s="863"/>
      <c r="AA63" s="863"/>
      <c r="AB63" s="863"/>
      <c r="AS63" s="842"/>
      <c r="AT63" s="842"/>
      <c r="AU63" s="842"/>
      <c r="AV63" s="842"/>
      <c r="AW63" s="842"/>
      <c r="AX63" s="842"/>
      <c r="AY63" s="842"/>
      <c r="AZ63" s="842"/>
      <c r="BA63" s="842"/>
      <c r="BB63" s="842"/>
      <c r="BC63" s="842"/>
      <c r="BD63" s="842"/>
      <c r="BE63" s="842"/>
      <c r="BF63" s="842"/>
      <c r="BG63" s="842"/>
      <c r="BH63" s="842"/>
      <c r="BI63" s="842"/>
      <c r="BJ63" s="842"/>
      <c r="BK63" s="842"/>
      <c r="BL63" s="842"/>
      <c r="BM63" s="862"/>
      <c r="BN63" s="863"/>
      <c r="BO63" s="863"/>
      <c r="BP63" s="863"/>
      <c r="BQ63" s="862"/>
      <c r="BR63" s="863"/>
      <c r="BS63" s="863"/>
      <c r="BT63" s="863"/>
      <c r="BU63" s="862"/>
      <c r="BV63" s="863"/>
      <c r="BW63" s="863"/>
      <c r="BX63" s="863"/>
      <c r="BY63" s="862"/>
      <c r="BZ63" s="863"/>
      <c r="CA63" s="863"/>
      <c r="CB63" s="863"/>
      <c r="CC63" s="862"/>
      <c r="CD63" s="863"/>
      <c r="CE63" s="863"/>
      <c r="CF63" s="863"/>
      <c r="CG63" s="862"/>
      <c r="CH63" s="863"/>
      <c r="CI63" s="863"/>
      <c r="CJ63" s="863"/>
      <c r="CK63" s="862"/>
      <c r="CL63" s="863"/>
      <c r="CM63" s="863"/>
      <c r="CN63" s="863"/>
      <c r="CO63" s="862"/>
      <c r="CP63" s="863"/>
      <c r="CQ63" s="863"/>
      <c r="CR63" s="863"/>
      <c r="CS63" s="862"/>
      <c r="CT63" s="863"/>
      <c r="CU63" s="863"/>
      <c r="CV63" s="864"/>
      <c r="CW63" s="863"/>
      <c r="CX63" s="863"/>
      <c r="CY63" s="863"/>
      <c r="CZ63" s="864"/>
      <c r="DA63" s="863"/>
      <c r="DB63" s="863"/>
      <c r="DC63" s="863"/>
      <c r="DD63" s="863"/>
      <c r="DE63" s="863"/>
      <c r="DF63" s="863"/>
      <c r="DG63" s="863"/>
      <c r="DH63" s="863"/>
      <c r="DI63" s="863"/>
      <c r="DJ63" s="863"/>
      <c r="DK63" s="863"/>
      <c r="DL63" s="863"/>
    </row>
    <row r="64" spans="1:116" s="808" customFormat="1">
      <c r="A64" s="827" t="s">
        <v>1380</v>
      </c>
      <c r="B64" s="812"/>
      <c r="C64" s="812"/>
      <c r="V64" s="863"/>
      <c r="W64" s="863"/>
      <c r="X64" s="863"/>
      <c r="Y64" s="863"/>
      <c r="Z64" s="863"/>
      <c r="AA64" s="863"/>
      <c r="AB64" s="863"/>
      <c r="AS64" s="842"/>
      <c r="AT64" s="842"/>
      <c r="AU64" s="842"/>
      <c r="AV64" s="842"/>
      <c r="AW64" s="842"/>
      <c r="AX64" s="842"/>
      <c r="AY64" s="842"/>
      <c r="AZ64" s="842"/>
      <c r="BA64" s="842"/>
      <c r="BB64" s="842"/>
      <c r="BC64" s="842"/>
      <c r="BD64" s="842"/>
      <c r="BE64" s="842"/>
      <c r="BF64" s="842"/>
      <c r="BG64" s="842"/>
      <c r="BH64" s="842"/>
      <c r="BI64" s="842"/>
      <c r="BJ64" s="842"/>
      <c r="BK64" s="842"/>
      <c r="BL64" s="842"/>
      <c r="BM64" s="862"/>
      <c r="BN64" s="863"/>
      <c r="BO64" s="863"/>
      <c r="BP64" s="863"/>
      <c r="BQ64" s="862"/>
      <c r="BR64" s="863"/>
      <c r="BS64" s="863"/>
      <c r="BT64" s="863"/>
      <c r="BU64" s="862"/>
      <c r="BV64" s="863"/>
      <c r="BW64" s="863"/>
      <c r="BX64" s="863"/>
      <c r="BY64" s="862"/>
      <c r="BZ64" s="863"/>
      <c r="CA64" s="863"/>
      <c r="CB64" s="863"/>
      <c r="CC64" s="862"/>
      <c r="CD64" s="863"/>
      <c r="CE64" s="863"/>
      <c r="CF64" s="863"/>
      <c r="CG64" s="862"/>
      <c r="CH64" s="863"/>
      <c r="CI64" s="863"/>
      <c r="CJ64" s="863"/>
      <c r="CK64" s="862"/>
      <c r="CL64" s="863"/>
      <c r="CM64" s="863"/>
      <c r="CN64" s="863"/>
      <c r="CO64" s="862"/>
      <c r="CP64" s="863"/>
      <c r="CQ64" s="863"/>
      <c r="CR64" s="863"/>
      <c r="CS64" s="862"/>
      <c r="CT64" s="863"/>
      <c r="CU64" s="863"/>
      <c r="CV64" s="864"/>
      <c r="CW64" s="863"/>
      <c r="CX64" s="863"/>
      <c r="CY64" s="863"/>
      <c r="CZ64" s="864"/>
      <c r="DA64" s="863"/>
      <c r="DB64" s="863"/>
      <c r="DC64" s="863"/>
      <c r="DD64" s="863"/>
      <c r="DE64" s="863"/>
      <c r="DF64" s="863"/>
      <c r="DG64" s="863"/>
      <c r="DH64" s="863"/>
      <c r="DI64" s="863"/>
      <c r="DJ64" s="863"/>
      <c r="DK64" s="863"/>
      <c r="DL64" s="863"/>
    </row>
    <row r="65" spans="1:116" s="808" customFormat="1">
      <c r="A65" s="812" t="s">
        <v>755</v>
      </c>
      <c r="B65" s="812"/>
      <c r="C65" s="812"/>
      <c r="D65" s="842">
        <v>12620</v>
      </c>
      <c r="E65" s="842">
        <v>8054</v>
      </c>
      <c r="F65" s="842">
        <v>6820</v>
      </c>
      <c r="G65" s="842">
        <v>7118</v>
      </c>
      <c r="H65" s="842">
        <v>8267</v>
      </c>
      <c r="I65" s="808">
        <f>Capex!N131</f>
        <v>10259</v>
      </c>
      <c r="J65" s="808">
        <f>Capex!O131</f>
        <v>10956</v>
      </c>
      <c r="K65" s="808">
        <f>Capex!P131</f>
        <v>9797</v>
      </c>
      <c r="L65" s="808">
        <f>Capex!Q131</f>
        <v>8892</v>
      </c>
      <c r="M65" s="808">
        <f>Capex!R131</f>
        <v>7269</v>
      </c>
      <c r="N65" s="808">
        <f>Capex!S131</f>
        <v>6399</v>
      </c>
      <c r="O65" s="808">
        <f>Capex!T131</f>
        <v>6342</v>
      </c>
      <c r="P65" s="808">
        <f>Capex!U131</f>
        <v>6229</v>
      </c>
      <c r="Q65" s="808">
        <f>Capex!V131</f>
        <v>5750</v>
      </c>
      <c r="R65" s="808">
        <f>Capex!W131</f>
        <v>5049</v>
      </c>
      <c r="S65" s="808">
        <f>Capex!X131</f>
        <v>4504</v>
      </c>
      <c r="T65" s="808">
        <f>Capex!Y131</f>
        <v>5331</v>
      </c>
      <c r="U65" s="808">
        <f ca="1">Capex!Z131</f>
        <v>6512.188470243851</v>
      </c>
      <c r="V65" s="863">
        <f ca="1">Capex!AA131</f>
        <v>3587.9476174181673</v>
      </c>
      <c r="W65" s="863">
        <f ca="1">Capex!AB131</f>
        <v>3606.8442337023062</v>
      </c>
      <c r="X65" s="863">
        <f ca="1">Capex!AC131</f>
        <v>3621.6999312516746</v>
      </c>
      <c r="Y65" s="863">
        <f ca="1">Capex!AD131</f>
        <v>3633.4765103809896</v>
      </c>
      <c r="Z65" s="863">
        <f ca="1">Capex!AE131</f>
        <v>3642.3157773849325</v>
      </c>
      <c r="AA65" s="863">
        <f ca="1">Capex!AF131</f>
        <v>3648.0426393360285</v>
      </c>
      <c r="AB65" s="863">
        <f ca="1">Capex!AG131</f>
        <v>4951.542148952989</v>
      </c>
      <c r="AS65" s="842">
        <v>3629</v>
      </c>
      <c r="AT65" s="842">
        <v>3357</v>
      </c>
      <c r="AU65" s="842">
        <v>2354</v>
      </c>
      <c r="AV65" s="842">
        <v>3280</v>
      </c>
      <c r="AW65" s="842">
        <v>1685</v>
      </c>
      <c r="AX65" s="842">
        <v>1960</v>
      </c>
      <c r="AY65" s="842">
        <v>1764</v>
      </c>
      <c r="AZ65" s="842">
        <v>2645</v>
      </c>
      <c r="BA65" s="842">
        <v>1286</v>
      </c>
      <c r="BB65" s="842">
        <v>1733</v>
      </c>
      <c r="BC65" s="842">
        <v>1746</v>
      </c>
      <c r="BD65" s="842">
        <v>2055</v>
      </c>
      <c r="BE65" s="842">
        <v>1282</v>
      </c>
      <c r="BF65" s="842">
        <v>1660</v>
      </c>
      <c r="BG65" s="842">
        <v>1761</v>
      </c>
      <c r="BH65" s="842">
        <v>2415</v>
      </c>
      <c r="BI65" s="842">
        <v>1892</v>
      </c>
      <c r="BJ65" s="842">
        <v>2152</v>
      </c>
      <c r="BK65" s="842">
        <v>2172</v>
      </c>
      <c r="BL65" s="842">
        <v>2051</v>
      </c>
      <c r="BM65" s="862">
        <f>Capex!BZ131</f>
        <v>2418</v>
      </c>
      <c r="BN65" s="863">
        <f>Capex!CA131</f>
        <v>2592</v>
      </c>
      <c r="BO65" s="863">
        <f>Capex!CB131</f>
        <v>2334</v>
      </c>
      <c r="BP65" s="863">
        <f>Capex!CC131</f>
        <v>2915</v>
      </c>
      <c r="BQ65" s="862">
        <f>Capex!CD131</f>
        <v>2439</v>
      </c>
      <c r="BR65" s="863">
        <f>Capex!CE131</f>
        <v>2681</v>
      </c>
      <c r="BS65" s="863">
        <f>Capex!CF131</f>
        <v>2753</v>
      </c>
      <c r="BT65" s="863">
        <f>Capex!CG131</f>
        <v>3083</v>
      </c>
      <c r="BU65" s="862">
        <f>Capex!CH131</f>
        <v>2379</v>
      </c>
      <c r="BV65" s="863">
        <f>Capex!CI131</f>
        <v>2456</v>
      </c>
      <c r="BW65" s="863">
        <f>Capex!CJ131</f>
        <v>2483</v>
      </c>
      <c r="BX65" s="863">
        <f>Capex!CK131</f>
        <v>2479</v>
      </c>
      <c r="BY65" s="862">
        <f>Capex!CL131</f>
        <v>2003</v>
      </c>
      <c r="BZ65" s="863">
        <f>Capex!CM131</f>
        <v>2338</v>
      </c>
      <c r="CA65" s="863">
        <f>Capex!CN131</f>
        <v>2273</v>
      </c>
      <c r="CB65" s="863">
        <f>Capex!CO131</f>
        <v>2278</v>
      </c>
      <c r="CC65" s="862">
        <f>Capex!CP131</f>
        <v>1566</v>
      </c>
      <c r="CD65" s="863">
        <f>Capex!CQ131</f>
        <v>1781</v>
      </c>
      <c r="CE65" s="863">
        <f>Capex!CR131</f>
        <v>1751</v>
      </c>
      <c r="CF65" s="863">
        <f>Capex!CS131</f>
        <v>2171</v>
      </c>
      <c r="CG65" s="862">
        <f>Capex!CT131</f>
        <v>1465</v>
      </c>
      <c r="CH65" s="863">
        <f>Capex!CU131</f>
        <v>1685</v>
      </c>
      <c r="CI65" s="863">
        <f>Capex!CV131</f>
        <v>1617</v>
      </c>
      <c r="CJ65" s="863">
        <f>Capex!CW131</f>
        <v>1632</v>
      </c>
      <c r="CK65" s="862">
        <f>Capex!CX131</f>
        <v>1537</v>
      </c>
      <c r="CL65" s="863">
        <f>Capex!CY131</f>
        <v>1596</v>
      </c>
      <c r="CM65" s="863">
        <f>Capex!CZ131</f>
        <v>1484</v>
      </c>
      <c r="CN65" s="863">
        <f>Capex!DA131</f>
        <v>1725</v>
      </c>
      <c r="CO65" s="862">
        <f>Capex!DB131</f>
        <v>1434</v>
      </c>
      <c r="CP65" s="863">
        <f>Capex!DC131</f>
        <v>1515</v>
      </c>
      <c r="CQ65" s="863">
        <f>Capex!DD131</f>
        <v>1518</v>
      </c>
      <c r="CR65" s="863">
        <f>Capex!DE131</f>
        <v>1762</v>
      </c>
      <c r="CS65" s="862">
        <f>Capex!DF131</f>
        <v>1385</v>
      </c>
      <c r="CT65" s="863">
        <f>Capex!DG131</f>
        <v>1345</v>
      </c>
      <c r="CU65" s="863">
        <f>Capex!DH131</f>
        <v>1464</v>
      </c>
      <c r="CV65" s="864">
        <f>Capex!DI131</f>
        <v>1556</v>
      </c>
      <c r="CW65" s="863">
        <f>Capex!DJ131</f>
        <v>1077</v>
      </c>
      <c r="CX65" s="863">
        <f>Capex!DK131</f>
        <v>1134</v>
      </c>
      <c r="CY65" s="863">
        <f>Capex!DL131</f>
        <v>1202</v>
      </c>
      <c r="CZ65" s="864">
        <f>Capex!DM131</f>
        <v>1636</v>
      </c>
      <c r="DA65" s="863">
        <f>Capex!DN131</f>
        <v>1006</v>
      </c>
      <c r="DB65" s="863">
        <f>Capex!DO131</f>
        <v>814</v>
      </c>
      <c r="DC65" s="863">
        <f>Capex!DP131</f>
        <v>1036</v>
      </c>
      <c r="DD65" s="863">
        <f>Capex!DQ131</f>
        <v>1648</v>
      </c>
      <c r="DE65" s="863">
        <f>Capex!DR131</f>
        <v>960</v>
      </c>
      <c r="DF65" s="863">
        <f>Capex!DS131</f>
        <v>1190</v>
      </c>
      <c r="DG65" s="863">
        <f>Capex!DT131</f>
        <v>1200</v>
      </c>
      <c r="DH65" s="863">
        <f>Capex!DU131</f>
        <v>1981</v>
      </c>
      <c r="DI65" s="863">
        <f>Capex!DV131</f>
        <v>1673</v>
      </c>
      <c r="DJ65" s="863">
        <f ca="1">Capex!DW131</f>
        <v>1560.522143410531</v>
      </c>
      <c r="DK65" s="863">
        <f ca="1">Capex!DX131</f>
        <v>1581.3189985517956</v>
      </c>
      <c r="DL65" s="863">
        <f ca="1">Capex!DY131</f>
        <v>1697.3473282815248</v>
      </c>
    </row>
    <row r="66" spans="1:116" s="808" customFormat="1">
      <c r="A66" s="812" t="s">
        <v>756</v>
      </c>
      <c r="B66" s="812"/>
      <c r="C66" s="812"/>
      <c r="D66" s="842">
        <v>5006</v>
      </c>
      <c r="E66" s="842">
        <v>4354</v>
      </c>
      <c r="F66" s="842">
        <v>4590</v>
      </c>
      <c r="G66" s="842">
        <v>5633</v>
      </c>
      <c r="H66" s="842">
        <v>6484</v>
      </c>
      <c r="I66" s="808">
        <f>Capex!N134</f>
        <v>6618</v>
      </c>
      <c r="J66" s="808">
        <f>Capex!O134</f>
        <v>6503</v>
      </c>
      <c r="K66" s="808">
        <f>Capex!P134</f>
        <v>6510</v>
      </c>
      <c r="L66" s="808">
        <f>Capex!Q134</f>
        <v>7152</v>
      </c>
      <c r="M66" s="808">
        <f>Capex!R134</f>
        <v>8438</v>
      </c>
      <c r="N66" s="808">
        <f>Capex!S134</f>
        <v>8973</v>
      </c>
      <c r="O66" s="808">
        <f>Capex!T134</f>
        <v>8857</v>
      </c>
      <c r="P66" s="808">
        <f>Capex!U134</f>
        <v>9425</v>
      </c>
      <c r="Q66" s="808">
        <f>Capex!V134</f>
        <v>10515</v>
      </c>
      <c r="R66" s="808">
        <f>Capex!W134</f>
        <v>11725</v>
      </c>
      <c r="S66" s="808">
        <f>Capex!X134</f>
        <v>11240</v>
      </c>
      <c r="T66" s="808">
        <f>Capex!Y134</f>
        <v>10628</v>
      </c>
      <c r="U66" s="808">
        <f ca="1">Capex!Z134</f>
        <v>8906.4523480695134</v>
      </c>
      <c r="V66" s="863">
        <f ca="1">Capex!AA134</f>
        <v>11971.816370188671</v>
      </c>
      <c r="W66" s="863">
        <f ca="1">Capex!AB134</f>
        <v>12165.382932009355</v>
      </c>
      <c r="X66" s="863">
        <f ca="1">Capex!AC134</f>
        <v>12373.92195528193</v>
      </c>
      <c r="Y66" s="863">
        <f ca="1">Capex!AD134</f>
        <v>12595.669303914367</v>
      </c>
      <c r="Z66" s="863">
        <f ca="1">Capex!AE134</f>
        <v>12831.701873574641</v>
      </c>
      <c r="AA66" s="863">
        <f ca="1">Capex!AF134</f>
        <v>13084.32525619944</v>
      </c>
      <c r="AB66" s="863">
        <f ca="1">Capex!AG134</f>
        <v>13356.358738063651</v>
      </c>
      <c r="AS66" s="842">
        <v>988</v>
      </c>
      <c r="AT66" s="842">
        <v>1384</v>
      </c>
      <c r="AU66" s="842">
        <v>970</v>
      </c>
      <c r="AV66" s="842">
        <v>1664</v>
      </c>
      <c r="AW66" s="842">
        <v>812</v>
      </c>
      <c r="AX66" s="842">
        <v>1248</v>
      </c>
      <c r="AY66" s="842">
        <v>921</v>
      </c>
      <c r="AZ66" s="842">
        <v>1373</v>
      </c>
      <c r="BA66" s="842">
        <v>1107</v>
      </c>
      <c r="BB66" s="842">
        <v>989</v>
      </c>
      <c r="BC66" s="842">
        <v>983</v>
      </c>
      <c r="BD66" s="842">
        <v>1511</v>
      </c>
      <c r="BE66" s="842">
        <v>1314</v>
      </c>
      <c r="BF66" s="842">
        <v>1433</v>
      </c>
      <c r="BG66" s="842">
        <v>1374</v>
      </c>
      <c r="BH66" s="842">
        <v>1512</v>
      </c>
      <c r="BI66" s="842">
        <v>1641</v>
      </c>
      <c r="BJ66" s="842">
        <v>1698</v>
      </c>
      <c r="BK66" s="842">
        <v>1623</v>
      </c>
      <c r="BL66" s="842">
        <v>1522</v>
      </c>
      <c r="BM66" s="862">
        <f>Capex!BZ134</f>
        <v>1581</v>
      </c>
      <c r="BN66" s="863">
        <f>Capex!CA134</f>
        <v>1597</v>
      </c>
      <c r="BO66" s="863">
        <f>Capex!CB134</f>
        <v>1623</v>
      </c>
      <c r="BP66" s="863">
        <f>Capex!CC134</f>
        <v>1817</v>
      </c>
      <c r="BQ66" s="862">
        <f>Capex!CD134</f>
        <v>1721</v>
      </c>
      <c r="BR66" s="863">
        <f>Capex!CE134</f>
        <v>1667</v>
      </c>
      <c r="BS66" s="863">
        <f>Capex!CF134</f>
        <v>1515</v>
      </c>
      <c r="BT66" s="863">
        <f>Capex!CG134</f>
        <v>1600</v>
      </c>
      <c r="BU66" s="862">
        <f>Capex!CH134</f>
        <v>1722</v>
      </c>
      <c r="BV66" s="863">
        <f>Capex!CI134</f>
        <v>1528</v>
      </c>
      <c r="BW66" s="863">
        <f>Capex!CJ134</f>
        <v>1473</v>
      </c>
      <c r="BX66" s="863">
        <f>Capex!CK134</f>
        <v>1787</v>
      </c>
      <c r="BY66" s="862">
        <f>Capex!CL134</f>
        <v>1551</v>
      </c>
      <c r="BZ66" s="863">
        <f>Capex!CM134</f>
        <v>1783</v>
      </c>
      <c r="CA66" s="863">
        <f>Capex!CN134</f>
        <v>1800</v>
      </c>
      <c r="CB66" s="863">
        <f>Capex!CO134</f>
        <v>2018</v>
      </c>
      <c r="CC66" s="862">
        <f>Capex!CP134</f>
        <v>1770</v>
      </c>
      <c r="CD66" s="863">
        <f>Capex!CQ134</f>
        <v>2262</v>
      </c>
      <c r="CE66" s="863">
        <f>Capex!CR134</f>
        <v>2173</v>
      </c>
      <c r="CF66" s="863">
        <f>Capex!CS134</f>
        <v>2233</v>
      </c>
      <c r="CG66" s="862">
        <f>Capex!CT134</f>
        <v>2735</v>
      </c>
      <c r="CH66" s="863">
        <f>Capex!CU134</f>
        <v>2667</v>
      </c>
      <c r="CI66" s="863">
        <f>Capex!CV134</f>
        <v>1784</v>
      </c>
      <c r="CJ66" s="863">
        <f>Capex!CW134</f>
        <v>1787</v>
      </c>
      <c r="CK66" s="862">
        <f>Capex!CX134</f>
        <v>1885</v>
      </c>
      <c r="CL66" s="863">
        <f>Capex!CY134</f>
        <v>2048</v>
      </c>
      <c r="CM66" s="863">
        <f>Capex!CZ134</f>
        <v>2133</v>
      </c>
      <c r="CN66" s="863">
        <f>Capex!DA134</f>
        <v>2791</v>
      </c>
      <c r="CO66" s="862">
        <f>Capex!DB134</f>
        <v>1992</v>
      </c>
      <c r="CP66" s="863">
        <f>Capex!DC134</f>
        <v>2278</v>
      </c>
      <c r="CQ66" s="863">
        <f>Capex!DD134</f>
        <v>2450</v>
      </c>
      <c r="CR66" s="863">
        <f>Capex!DE134</f>
        <v>2705</v>
      </c>
      <c r="CS66" s="862">
        <f>Capex!DF134</f>
        <v>2554</v>
      </c>
      <c r="CT66" s="863">
        <f>Capex!DG134</f>
        <v>2771</v>
      </c>
      <c r="CU66" s="863">
        <f>Capex!DH134</f>
        <v>2483</v>
      </c>
      <c r="CV66" s="864">
        <f>Capex!DI134</f>
        <v>2707</v>
      </c>
      <c r="CW66" s="863">
        <f>Capex!DJ134</f>
        <v>2419</v>
      </c>
      <c r="CX66" s="863">
        <f>Capex!DK134</f>
        <v>3126</v>
      </c>
      <c r="CY66" s="863">
        <f>Capex!DL134</f>
        <v>2921</v>
      </c>
      <c r="CZ66" s="864">
        <f>Capex!DM134</f>
        <v>3259</v>
      </c>
      <c r="DA66" s="863">
        <f>Capex!DN134</f>
        <v>2190</v>
      </c>
      <c r="DB66" s="863">
        <f>Capex!DO134</f>
        <v>2815</v>
      </c>
      <c r="DC66" s="863">
        <f>Capex!DP134</f>
        <v>2771</v>
      </c>
      <c r="DD66" s="863">
        <f>Capex!DQ134</f>
        <v>3464</v>
      </c>
      <c r="DE66" s="863">
        <f>Capex!DR134</f>
        <v>1831</v>
      </c>
      <c r="DF66" s="863">
        <f>Capex!DS134</f>
        <v>2444</v>
      </c>
      <c r="DG66" s="863">
        <f>Capex!DT134</f>
        <v>2970</v>
      </c>
      <c r="DH66" s="863">
        <f>Capex!DU134</f>
        <v>3383</v>
      </c>
      <c r="DI66" s="863">
        <f>Capex!DV134</f>
        <v>2367</v>
      </c>
      <c r="DJ66" s="863">
        <f ca="1">Capex!DW134</f>
        <v>2160.2546911785289</v>
      </c>
      <c r="DK66" s="863">
        <f ca="1">Capex!DX134</f>
        <v>2189.5444932167957</v>
      </c>
      <c r="DL66" s="863">
        <f ca="1">Capex!DY134</f>
        <v>2189.6531636741884</v>
      </c>
    </row>
    <row r="67" spans="1:116" s="808" customFormat="1">
      <c r="A67" s="812" t="s">
        <v>757</v>
      </c>
      <c r="B67" s="812"/>
      <c r="C67" s="812"/>
      <c r="D67" s="842">
        <v>704</v>
      </c>
      <c r="E67" s="842">
        <v>532</v>
      </c>
      <c r="F67" s="842">
        <v>358</v>
      </c>
      <c r="G67" s="842">
        <v>382</v>
      </c>
      <c r="H67" s="842">
        <v>283</v>
      </c>
      <c r="V67" s="863"/>
      <c r="W67" s="863"/>
      <c r="X67" s="863"/>
      <c r="Y67" s="863"/>
      <c r="Z67" s="863"/>
      <c r="AA67" s="863"/>
      <c r="AB67" s="863"/>
      <c r="AS67" s="842">
        <v>111</v>
      </c>
      <c r="AT67" s="842">
        <v>181</v>
      </c>
      <c r="AU67" s="842">
        <v>232</v>
      </c>
      <c r="AV67" s="842">
        <v>180</v>
      </c>
      <c r="AW67" s="842">
        <v>62</v>
      </c>
      <c r="AX67" s="842">
        <v>154</v>
      </c>
      <c r="AY67" s="842">
        <v>107</v>
      </c>
      <c r="AZ67" s="842">
        <v>209</v>
      </c>
      <c r="BA67" s="842">
        <v>48</v>
      </c>
      <c r="BB67" s="842">
        <v>75</v>
      </c>
      <c r="BC67" s="842">
        <v>99</v>
      </c>
      <c r="BD67" s="842">
        <v>136</v>
      </c>
      <c r="BE67" s="842">
        <v>28</v>
      </c>
      <c r="BF67" s="842">
        <v>69</v>
      </c>
      <c r="BG67" s="842">
        <v>98</v>
      </c>
      <c r="BH67" s="842">
        <v>187</v>
      </c>
      <c r="BI67" s="842">
        <v>46</v>
      </c>
      <c r="BJ67" s="842">
        <v>76</v>
      </c>
      <c r="BK67" s="842">
        <v>70</v>
      </c>
      <c r="BL67" s="842">
        <v>91</v>
      </c>
      <c r="BM67" s="862">
        <f>Capex!BZ137</f>
        <v>0</v>
      </c>
      <c r="BN67" s="863"/>
      <c r="BO67" s="863"/>
      <c r="BP67" s="863"/>
      <c r="BQ67" s="862"/>
      <c r="BR67" s="863"/>
      <c r="BS67" s="863"/>
      <c r="BT67" s="863"/>
      <c r="BU67" s="862"/>
      <c r="BV67" s="863"/>
      <c r="BW67" s="863"/>
      <c r="BX67" s="863"/>
      <c r="BY67" s="862"/>
      <c r="BZ67" s="863"/>
      <c r="CA67" s="863"/>
      <c r="CB67" s="863"/>
      <c r="CC67" s="862"/>
      <c r="CD67" s="863"/>
      <c r="CE67" s="863"/>
      <c r="CF67" s="863"/>
      <c r="CG67" s="862"/>
      <c r="CH67" s="863"/>
      <c r="CI67" s="863"/>
      <c r="CJ67" s="863"/>
      <c r="CK67" s="862"/>
      <c r="CL67" s="863"/>
      <c r="CM67" s="863"/>
      <c r="CN67" s="863"/>
      <c r="CO67" s="862"/>
      <c r="CP67" s="863"/>
      <c r="CQ67" s="863"/>
      <c r="CR67" s="863"/>
      <c r="CS67" s="862"/>
      <c r="CT67" s="863"/>
      <c r="CU67" s="863"/>
      <c r="CV67" s="864"/>
      <c r="CW67" s="863"/>
      <c r="CX67" s="863"/>
      <c r="CY67" s="863"/>
      <c r="CZ67" s="864"/>
      <c r="DA67" s="863"/>
      <c r="DB67" s="863"/>
      <c r="DC67" s="863"/>
      <c r="DD67" s="863"/>
      <c r="DE67" s="863"/>
      <c r="DF67" s="863"/>
      <c r="DG67" s="863"/>
      <c r="DH67" s="863"/>
      <c r="DI67" s="863"/>
      <c r="DJ67" s="863"/>
      <c r="DK67" s="863"/>
      <c r="DL67" s="863"/>
    </row>
    <row r="68" spans="1:116" s="808" customFormat="1">
      <c r="A68" s="812" t="s">
        <v>758</v>
      </c>
      <c r="B68" s="812"/>
      <c r="C68" s="812"/>
      <c r="D68" s="842">
        <v>93</v>
      </c>
      <c r="E68" s="842">
        <v>69</v>
      </c>
      <c r="F68" s="842">
        <v>74</v>
      </c>
      <c r="G68" s="842">
        <v>87</v>
      </c>
      <c r="H68" s="842">
        <v>80</v>
      </c>
      <c r="V68" s="863"/>
      <c r="W68" s="863"/>
      <c r="X68" s="863"/>
      <c r="Y68" s="863"/>
      <c r="Z68" s="863"/>
      <c r="AA68" s="863"/>
      <c r="AB68" s="863"/>
      <c r="AS68" s="842">
        <v>9</v>
      </c>
      <c r="AT68" s="842">
        <v>29</v>
      </c>
      <c r="AU68" s="842">
        <v>31</v>
      </c>
      <c r="AV68" s="842">
        <v>24</v>
      </c>
      <c r="AW68" s="842">
        <v>13</v>
      </c>
      <c r="AX68" s="842">
        <v>28</v>
      </c>
      <c r="AY68" s="842">
        <v>13</v>
      </c>
      <c r="AZ68" s="842">
        <v>15</v>
      </c>
      <c r="BA68" s="842">
        <v>15</v>
      </c>
      <c r="BB68" s="842">
        <v>20</v>
      </c>
      <c r="BC68" s="842">
        <v>12</v>
      </c>
      <c r="BD68" s="842">
        <v>27</v>
      </c>
      <c r="BE68" s="842">
        <v>13</v>
      </c>
      <c r="BF68" s="842">
        <v>18</v>
      </c>
      <c r="BG68" s="842">
        <v>18</v>
      </c>
      <c r="BH68" s="842">
        <v>38</v>
      </c>
      <c r="BI68" s="842">
        <v>13</v>
      </c>
      <c r="BJ68" s="842">
        <v>20</v>
      </c>
      <c r="BK68" s="842">
        <v>20</v>
      </c>
      <c r="BL68" s="842">
        <v>27</v>
      </c>
      <c r="BM68" s="862">
        <f>Capex!BZ139</f>
        <v>0</v>
      </c>
      <c r="BN68" s="863">
        <f>Capex!CA139</f>
        <v>0</v>
      </c>
      <c r="BO68" s="863">
        <f>Capex!CB139</f>
        <v>0</v>
      </c>
      <c r="BP68" s="863"/>
      <c r="BQ68" s="862"/>
      <c r="BR68" s="863"/>
      <c r="BS68" s="863"/>
      <c r="BT68" s="863"/>
      <c r="BU68" s="862"/>
      <c r="BV68" s="863"/>
      <c r="BW68" s="863"/>
      <c r="BX68" s="863"/>
      <c r="BY68" s="862"/>
      <c r="BZ68" s="863"/>
      <c r="CA68" s="863"/>
      <c r="CB68" s="863"/>
      <c r="CC68" s="862"/>
      <c r="CD68" s="863"/>
      <c r="CE68" s="863"/>
      <c r="CF68" s="863"/>
      <c r="CG68" s="862"/>
      <c r="CH68" s="863"/>
      <c r="CI68" s="863"/>
      <c r="CJ68" s="863"/>
      <c r="CK68" s="862"/>
      <c r="CL68" s="863"/>
      <c r="CM68" s="863"/>
      <c r="CN68" s="863"/>
      <c r="CO68" s="862"/>
      <c r="CP68" s="863"/>
      <c r="CQ68" s="863"/>
      <c r="CR68" s="863"/>
      <c r="CS68" s="862"/>
      <c r="CT68" s="863"/>
      <c r="CU68" s="863"/>
      <c r="CV68" s="864"/>
      <c r="CW68" s="863"/>
      <c r="CX68" s="863"/>
      <c r="CY68" s="863"/>
      <c r="CZ68" s="864"/>
      <c r="DA68" s="863"/>
      <c r="DB68" s="863"/>
      <c r="DC68" s="863"/>
      <c r="DD68" s="863"/>
      <c r="DE68" s="863"/>
      <c r="DF68" s="863"/>
      <c r="DG68" s="863"/>
      <c r="DH68" s="863"/>
      <c r="DI68" s="863"/>
      <c r="DJ68" s="863"/>
      <c r="DK68" s="863"/>
      <c r="DL68" s="863"/>
    </row>
    <row r="69" spans="1:116" s="808" customFormat="1">
      <c r="A69" s="812" t="s">
        <v>759</v>
      </c>
      <c r="B69" s="812"/>
      <c r="C69" s="812"/>
      <c r="D69" s="842">
        <v>88</v>
      </c>
      <c r="E69" s="842">
        <v>52</v>
      </c>
      <c r="F69" s="842">
        <v>32</v>
      </c>
      <c r="G69" s="842">
        <v>39</v>
      </c>
      <c r="H69" s="842">
        <v>210</v>
      </c>
      <c r="I69" s="808">
        <f>Capex!N141</f>
        <v>224</v>
      </c>
      <c r="J69" s="808">
        <f>Capex!O141</f>
        <v>79</v>
      </c>
      <c r="K69" s="808">
        <f>Capex!P141</f>
        <v>931</v>
      </c>
      <c r="L69" s="808">
        <f>Capex!Q141</f>
        <v>828</v>
      </c>
      <c r="M69" s="808">
        <f>Capex!R141</f>
        <v>751</v>
      </c>
      <c r="N69" s="808">
        <f>Capex!S141</f>
        <v>872</v>
      </c>
      <c r="O69" s="808">
        <f>Capex!T141</f>
        <v>976</v>
      </c>
      <c r="P69" s="808">
        <f>Capex!U141</f>
        <v>950</v>
      </c>
      <c r="Q69" s="808">
        <f>Capex!V141</f>
        <v>926</v>
      </c>
      <c r="R69" s="808">
        <f>Capex!W141</f>
        <v>1001</v>
      </c>
      <c r="S69" s="808">
        <f>Capex!X141</f>
        <v>1315</v>
      </c>
      <c r="T69" s="808">
        <f>Capex!Y141</f>
        <v>1288</v>
      </c>
      <c r="U69" s="808">
        <f>Capex!Z141</f>
        <v>1766.890625</v>
      </c>
      <c r="V69" s="863">
        <f>Capex!AA141</f>
        <v>1766.890625</v>
      </c>
      <c r="W69" s="863">
        <f>Capex!AB141</f>
        <v>1766.890625</v>
      </c>
      <c r="X69" s="863">
        <f>Capex!AC141</f>
        <v>1766.890625</v>
      </c>
      <c r="Y69" s="863">
        <f>Capex!AD141</f>
        <v>1766.890625</v>
      </c>
      <c r="Z69" s="863">
        <f>Capex!AE141</f>
        <v>1766.890625</v>
      </c>
      <c r="AA69" s="863">
        <f>Capex!AF141</f>
        <v>1766.890625</v>
      </c>
      <c r="AB69" s="863">
        <f>Capex!AG141</f>
        <v>1766.890625</v>
      </c>
      <c r="AS69" s="842">
        <v>31</v>
      </c>
      <c r="AT69" s="842">
        <v>24</v>
      </c>
      <c r="AU69" s="842">
        <v>17</v>
      </c>
      <c r="AV69" s="842">
        <v>16</v>
      </c>
      <c r="AW69" s="842">
        <v>8</v>
      </c>
      <c r="AX69" s="842">
        <v>10</v>
      </c>
      <c r="AY69" s="842">
        <v>9</v>
      </c>
      <c r="AZ69" s="842">
        <v>25</v>
      </c>
      <c r="BA69" s="842">
        <v>7</v>
      </c>
      <c r="BB69" s="842">
        <v>7</v>
      </c>
      <c r="BC69" s="842">
        <v>7</v>
      </c>
      <c r="BD69" s="842">
        <v>11</v>
      </c>
      <c r="BE69" s="842">
        <v>4</v>
      </c>
      <c r="BF69" s="842">
        <v>3</v>
      </c>
      <c r="BG69" s="842">
        <v>2</v>
      </c>
      <c r="BH69" s="842">
        <v>30</v>
      </c>
      <c r="BI69" s="842">
        <v>2</v>
      </c>
      <c r="BJ69" s="842">
        <v>115</v>
      </c>
      <c r="BK69" s="842">
        <v>12</v>
      </c>
      <c r="BL69" s="842">
        <v>81</v>
      </c>
      <c r="BM69" s="862">
        <f>Capex!BZ141</f>
        <v>22</v>
      </c>
      <c r="BN69" s="863">
        <f>Capex!CA141</f>
        <v>75</v>
      </c>
      <c r="BO69" s="863">
        <f>Capex!CB141</f>
        <v>36</v>
      </c>
      <c r="BP69" s="863">
        <f>Capex!CC141</f>
        <v>91</v>
      </c>
      <c r="BQ69" s="862">
        <f>Capex!CD141</f>
        <v>3</v>
      </c>
      <c r="BR69" s="863">
        <f>Capex!CE141</f>
        <v>4</v>
      </c>
      <c r="BS69" s="863">
        <f>Capex!CF141</f>
        <v>9</v>
      </c>
      <c r="BT69" s="863">
        <f>Capex!CG141</f>
        <v>63</v>
      </c>
      <c r="BU69" s="862">
        <f>Capex!CH141</f>
        <v>119</v>
      </c>
      <c r="BV69" s="863">
        <f>Capex!CI141</f>
        <v>193</v>
      </c>
      <c r="BW69" s="863">
        <f>Capex!CJ141</f>
        <v>222</v>
      </c>
      <c r="BX69" s="863">
        <f>Capex!CK141</f>
        <v>397</v>
      </c>
      <c r="BY69" s="862">
        <f>Capex!CL141</f>
        <v>109</v>
      </c>
      <c r="BZ69" s="863">
        <f>Capex!CM141</f>
        <v>222</v>
      </c>
      <c r="CA69" s="863">
        <f>Capex!CN141</f>
        <v>240</v>
      </c>
      <c r="CB69" s="863">
        <f>Capex!CO141</f>
        <v>257</v>
      </c>
      <c r="CC69" s="862">
        <f>Capex!CP141</f>
        <v>87</v>
      </c>
      <c r="CD69" s="863">
        <f>Capex!CQ141</f>
        <v>153</v>
      </c>
      <c r="CE69" s="863">
        <f>Capex!CR141</f>
        <v>201</v>
      </c>
      <c r="CF69" s="863">
        <f>Capex!CS141</f>
        <v>310</v>
      </c>
      <c r="CG69" s="862">
        <f>Capex!CT141</f>
        <v>163</v>
      </c>
      <c r="CH69" s="863">
        <f>Capex!CU141</f>
        <v>203</v>
      </c>
      <c r="CI69" s="863">
        <f>Capex!CV141</f>
        <v>227</v>
      </c>
      <c r="CJ69" s="863">
        <f>Capex!CW141</f>
        <v>279</v>
      </c>
      <c r="CK69" s="862">
        <f>Capex!CX141</f>
        <v>143</v>
      </c>
      <c r="CL69" s="863">
        <f>Capex!CY141</f>
        <v>88</v>
      </c>
      <c r="CM69" s="863">
        <f>Capex!CZ141</f>
        <v>268</v>
      </c>
      <c r="CN69" s="863">
        <f>Capex!DA141</f>
        <v>477</v>
      </c>
      <c r="CO69" s="862">
        <f>Capex!DB141</f>
        <v>176</v>
      </c>
      <c r="CP69" s="863">
        <f>Capex!DC141</f>
        <v>221</v>
      </c>
      <c r="CQ69" s="863">
        <f>Capex!DD141</f>
        <v>223</v>
      </c>
      <c r="CR69" s="863">
        <f>Capex!DE141</f>
        <v>330</v>
      </c>
      <c r="CS69" s="862">
        <f>Capex!DF141</f>
        <v>211</v>
      </c>
      <c r="CT69" s="863">
        <f>Capex!DG141</f>
        <v>228</v>
      </c>
      <c r="CU69" s="863">
        <f>Capex!DH141</f>
        <v>183</v>
      </c>
      <c r="CV69" s="864">
        <f>Capex!DI141</f>
        <v>304</v>
      </c>
      <c r="CW69" s="863">
        <f>Capex!DJ141</f>
        <v>169</v>
      </c>
      <c r="CX69" s="863">
        <f>Capex!DK141</f>
        <v>228</v>
      </c>
      <c r="CY69" s="863">
        <f>Capex!DL141</f>
        <v>264</v>
      </c>
      <c r="CZ69" s="864">
        <f>Capex!DM141</f>
        <v>340</v>
      </c>
      <c r="DA69" s="863">
        <f>Capex!DN141</f>
        <v>191</v>
      </c>
      <c r="DB69" s="863">
        <f>Capex!DO141</f>
        <v>257</v>
      </c>
      <c r="DC69" s="863">
        <f>Capex!DP141</f>
        <v>318</v>
      </c>
      <c r="DD69" s="863">
        <f>Capex!DQ141</f>
        <v>549</v>
      </c>
      <c r="DE69" s="863">
        <f>Capex!DR141</f>
        <v>276</v>
      </c>
      <c r="DF69" s="863">
        <f>Capex!DS141</f>
        <v>310</v>
      </c>
      <c r="DG69" s="863">
        <f>Capex!DT141</f>
        <v>101</v>
      </c>
      <c r="DH69" s="863">
        <f>Capex!DU141</f>
        <v>601</v>
      </c>
      <c r="DI69" s="863">
        <f>Capex!DV141</f>
        <v>513</v>
      </c>
      <c r="DJ69" s="863">
        <f>Capex!DW141</f>
        <v>381.25</v>
      </c>
      <c r="DK69" s="863">
        <f>Capex!DX141</f>
        <v>399.0625</v>
      </c>
      <c r="DL69" s="863">
        <f>Capex!DY141</f>
        <v>473.578125</v>
      </c>
    </row>
    <row r="70" spans="1:116" s="816" customFormat="1">
      <c r="A70" s="820" t="s">
        <v>760</v>
      </c>
      <c r="B70" s="820"/>
      <c r="C70" s="820"/>
      <c r="D70" s="843">
        <v>18511</v>
      </c>
      <c r="E70" s="843">
        <v>13061</v>
      </c>
      <c r="F70" s="843">
        <v>11874</v>
      </c>
      <c r="G70" s="843">
        <v>13259</v>
      </c>
      <c r="H70" s="843">
        <v>15324</v>
      </c>
      <c r="I70" s="816">
        <f t="shared" ref="I70:U70" si="74">SUM(I65:I69)</f>
        <v>17101</v>
      </c>
      <c r="J70" s="816">
        <f t="shared" si="74"/>
        <v>17538</v>
      </c>
      <c r="K70" s="816">
        <f t="shared" si="74"/>
        <v>17238</v>
      </c>
      <c r="L70" s="816">
        <f t="shared" si="74"/>
        <v>16872</v>
      </c>
      <c r="M70" s="816">
        <f t="shared" si="74"/>
        <v>16458</v>
      </c>
      <c r="N70" s="816">
        <f t="shared" si="74"/>
        <v>16244</v>
      </c>
      <c r="O70" s="816">
        <f t="shared" si="74"/>
        <v>16175</v>
      </c>
      <c r="P70" s="816">
        <f t="shared" si="74"/>
        <v>16604</v>
      </c>
      <c r="Q70" s="816">
        <f t="shared" si="74"/>
        <v>17191</v>
      </c>
      <c r="R70" s="816">
        <f t="shared" si="74"/>
        <v>17775</v>
      </c>
      <c r="S70" s="816">
        <f t="shared" si="74"/>
        <v>17059</v>
      </c>
      <c r="T70" s="816">
        <f t="shared" si="74"/>
        <v>17247</v>
      </c>
      <c r="U70" s="816">
        <f t="shared" ca="1" si="74"/>
        <v>17185.531443313364</v>
      </c>
      <c r="V70" s="866">
        <f ca="1">SUM(V65:V69)</f>
        <v>17326.654612606839</v>
      </c>
      <c r="W70" s="866">
        <f t="shared" ref="W70:AB70" ca="1" si="75">SUM(W65:W69)</f>
        <v>17539.117790711662</v>
      </c>
      <c r="X70" s="866">
        <f t="shared" ca="1" si="75"/>
        <v>17762.512511533605</v>
      </c>
      <c r="Y70" s="866">
        <f t="shared" ca="1" si="75"/>
        <v>17996.036439295356</v>
      </c>
      <c r="Z70" s="866">
        <f t="shared" ca="1" si="75"/>
        <v>18240.908275959573</v>
      </c>
      <c r="AA70" s="866">
        <f t="shared" ca="1" si="75"/>
        <v>18499.25852053547</v>
      </c>
      <c r="AB70" s="866">
        <f t="shared" ca="1" si="75"/>
        <v>20074.79151201664</v>
      </c>
      <c r="AS70" s="843">
        <v>4768</v>
      </c>
      <c r="AT70" s="843">
        <v>4975</v>
      </c>
      <c r="AU70" s="843">
        <v>3604</v>
      </c>
      <c r="AV70" s="843">
        <v>5164</v>
      </c>
      <c r="AW70" s="843">
        <v>2580</v>
      </c>
      <c r="AX70" s="843">
        <v>3400</v>
      </c>
      <c r="AY70" s="843">
        <v>2814</v>
      </c>
      <c r="AZ70" s="843">
        <v>4267</v>
      </c>
      <c r="BA70" s="843">
        <v>2463</v>
      </c>
      <c r="BB70" s="843">
        <v>2824</v>
      </c>
      <c r="BC70" s="843">
        <v>2847</v>
      </c>
      <c r="BD70" s="843">
        <v>3740</v>
      </c>
      <c r="BE70" s="843">
        <v>2641</v>
      </c>
      <c r="BF70" s="843">
        <v>3183</v>
      </c>
      <c r="BG70" s="843">
        <v>3253</v>
      </c>
      <c r="BH70" s="843">
        <v>4182</v>
      </c>
      <c r="BI70" s="843">
        <v>3594</v>
      </c>
      <c r="BJ70" s="843">
        <v>4061</v>
      </c>
      <c r="BK70" s="843">
        <v>3897</v>
      </c>
      <c r="BL70" s="843">
        <v>3772</v>
      </c>
      <c r="BM70" s="865">
        <f>SUM(BM65:BM69)+Capex!BZ122</f>
        <v>4179.3869999999997</v>
      </c>
      <c r="BN70" s="866">
        <f>SUM(BN65:BN69)+Capex!CA122</f>
        <v>4554.7849999999999</v>
      </c>
      <c r="BO70" s="866">
        <f>SUM(BO65:BO69)+Capex!CB122</f>
        <v>4270.3729999999996</v>
      </c>
      <c r="BP70" s="866">
        <f>SUM(BP65:BP69)+Capex!CC122</f>
        <v>5268.9920000000002</v>
      </c>
      <c r="BQ70" s="865">
        <f>SUM(BQ65:BQ69)+Capex!CD122</f>
        <v>4332.6480000000001</v>
      </c>
      <c r="BR70" s="866">
        <f>SUM(BR65:BR69)+Capex!CE122</f>
        <v>4677.3999999999996</v>
      </c>
      <c r="BS70" s="866">
        <f>SUM(BS65:BS69)+Capex!CF122</f>
        <v>4526.5469999999996</v>
      </c>
      <c r="BT70" s="866">
        <f>SUM(BT65:BT69)+Capex!CG122</f>
        <v>5087.6000000000004</v>
      </c>
      <c r="BU70" s="865">
        <f>SUM(BU65:BU69)+Capex!CH122</f>
        <v>4366.3</v>
      </c>
      <c r="BV70" s="866">
        <f>SUM(BV65:BV69)+Capex!CI122</f>
        <v>4403.3</v>
      </c>
      <c r="BW70" s="866">
        <f>SUM(BW65:BW69)+Capex!CJ122</f>
        <v>4449.8</v>
      </c>
      <c r="BX70" s="866">
        <f>SUM(BX65:BX69)+Capex!CK122</f>
        <v>4934.8</v>
      </c>
      <c r="BY70" s="865">
        <f t="shared" ref="BY70:CV70" si="76">SUM(BY65:BY69)</f>
        <v>3663</v>
      </c>
      <c r="BZ70" s="866">
        <f t="shared" si="76"/>
        <v>4343</v>
      </c>
      <c r="CA70" s="866">
        <f t="shared" si="76"/>
        <v>4313</v>
      </c>
      <c r="CB70" s="866">
        <f t="shared" si="76"/>
        <v>4553</v>
      </c>
      <c r="CC70" s="865">
        <f t="shared" si="76"/>
        <v>3423</v>
      </c>
      <c r="CD70" s="866">
        <f t="shared" si="76"/>
        <v>4196</v>
      </c>
      <c r="CE70" s="866">
        <f t="shared" si="76"/>
        <v>4125</v>
      </c>
      <c r="CF70" s="866">
        <f t="shared" si="76"/>
        <v>4714</v>
      </c>
      <c r="CG70" s="865">
        <f t="shared" si="76"/>
        <v>4363</v>
      </c>
      <c r="CH70" s="866">
        <f t="shared" si="76"/>
        <v>4555</v>
      </c>
      <c r="CI70" s="866">
        <f t="shared" si="76"/>
        <v>3628</v>
      </c>
      <c r="CJ70" s="866">
        <f t="shared" si="76"/>
        <v>3698</v>
      </c>
      <c r="CK70" s="865">
        <f t="shared" si="76"/>
        <v>3565</v>
      </c>
      <c r="CL70" s="866">
        <f t="shared" si="76"/>
        <v>3732</v>
      </c>
      <c r="CM70" s="866">
        <f t="shared" si="76"/>
        <v>3885</v>
      </c>
      <c r="CN70" s="866">
        <f t="shared" si="76"/>
        <v>4993</v>
      </c>
      <c r="CO70" s="865">
        <f t="shared" si="76"/>
        <v>3602</v>
      </c>
      <c r="CP70" s="866">
        <f t="shared" si="76"/>
        <v>4014</v>
      </c>
      <c r="CQ70" s="866">
        <f t="shared" si="76"/>
        <v>4191</v>
      </c>
      <c r="CR70" s="866">
        <f t="shared" si="76"/>
        <v>4797</v>
      </c>
      <c r="CS70" s="865">
        <f t="shared" si="76"/>
        <v>4150</v>
      </c>
      <c r="CT70" s="866">
        <f t="shared" si="76"/>
        <v>4344</v>
      </c>
      <c r="CU70" s="866">
        <f t="shared" si="76"/>
        <v>4130</v>
      </c>
      <c r="CV70" s="867">
        <f t="shared" si="76"/>
        <v>4567</v>
      </c>
      <c r="CW70" s="866">
        <f t="shared" ref="CW70:DD70" si="77">SUM(CW65:CW69)</f>
        <v>3665</v>
      </c>
      <c r="CX70" s="866">
        <f t="shared" si="77"/>
        <v>4488</v>
      </c>
      <c r="CY70" s="866">
        <f t="shared" si="77"/>
        <v>4387</v>
      </c>
      <c r="CZ70" s="867">
        <f t="shared" si="77"/>
        <v>5235</v>
      </c>
      <c r="DA70" s="866">
        <f t="shared" si="77"/>
        <v>3387</v>
      </c>
      <c r="DB70" s="866">
        <f t="shared" si="77"/>
        <v>3886</v>
      </c>
      <c r="DC70" s="866">
        <f t="shared" si="77"/>
        <v>4125</v>
      </c>
      <c r="DD70" s="866">
        <f t="shared" si="77"/>
        <v>5661</v>
      </c>
      <c r="DE70" s="866">
        <f t="shared" ref="DE70:DH70" si="78">SUM(DE65:DE69)</f>
        <v>3067</v>
      </c>
      <c r="DF70" s="866">
        <f t="shared" si="78"/>
        <v>3944</v>
      </c>
      <c r="DG70" s="866">
        <f t="shared" si="78"/>
        <v>4271</v>
      </c>
      <c r="DH70" s="866">
        <f t="shared" si="78"/>
        <v>5965</v>
      </c>
      <c r="DI70" s="866">
        <f t="shared" ref="DI70:DL70" si="79">SUM(DI65:DI69)</f>
        <v>4553</v>
      </c>
      <c r="DJ70" s="866">
        <f t="shared" ca="1" si="79"/>
        <v>4102.0268345890599</v>
      </c>
      <c r="DK70" s="866">
        <f t="shared" ca="1" si="79"/>
        <v>4169.9259917685913</v>
      </c>
      <c r="DL70" s="866">
        <f t="shared" ca="1" si="79"/>
        <v>4360.5786169557132</v>
      </c>
    </row>
    <row r="71" spans="1:116" s="808" customFormat="1">
      <c r="A71" s="812"/>
      <c r="B71" s="812"/>
      <c r="C71" s="812"/>
      <c r="D71" s="842"/>
      <c r="E71" s="842"/>
      <c r="F71" s="842"/>
      <c r="G71" s="842"/>
      <c r="H71" s="842"/>
      <c r="V71" s="863"/>
      <c r="W71" s="863"/>
      <c r="X71" s="863"/>
      <c r="Y71" s="863"/>
      <c r="Z71" s="863"/>
      <c r="AA71" s="863"/>
      <c r="AB71" s="863"/>
      <c r="AS71" s="842"/>
      <c r="AT71" s="842"/>
      <c r="AU71" s="842"/>
      <c r="AV71" s="842"/>
      <c r="AW71" s="842"/>
      <c r="AX71" s="842"/>
      <c r="AY71" s="842"/>
      <c r="AZ71" s="842"/>
      <c r="BA71" s="842"/>
      <c r="BB71" s="842"/>
      <c r="BC71" s="842"/>
      <c r="BD71" s="842"/>
      <c r="BE71" s="842"/>
      <c r="BF71" s="842"/>
      <c r="BG71" s="842"/>
      <c r="BH71" s="842"/>
      <c r="BI71" s="842"/>
      <c r="BJ71" s="842"/>
      <c r="BK71" s="842"/>
      <c r="BL71" s="842"/>
      <c r="BM71" s="862"/>
      <c r="BN71" s="863"/>
      <c r="BO71" s="863"/>
      <c r="BP71" s="863"/>
      <c r="BQ71" s="862"/>
      <c r="BR71" s="863"/>
      <c r="BS71" s="863"/>
      <c r="BT71" s="863"/>
      <c r="BU71" s="862"/>
      <c r="BV71" s="863"/>
      <c r="BW71" s="863"/>
      <c r="BX71" s="863"/>
      <c r="BY71" s="862"/>
      <c r="BZ71" s="863"/>
      <c r="CA71" s="863"/>
      <c r="CB71" s="863"/>
      <c r="CC71" s="862"/>
      <c r="CD71" s="863"/>
      <c r="CE71" s="863"/>
      <c r="CF71" s="863"/>
      <c r="CG71" s="862"/>
      <c r="CH71" s="863"/>
      <c r="CI71" s="863"/>
      <c r="CJ71" s="863"/>
      <c r="CK71" s="862"/>
      <c r="CL71" s="863"/>
      <c r="CM71" s="863"/>
      <c r="CN71" s="863"/>
      <c r="CO71" s="862"/>
      <c r="CP71" s="863"/>
      <c r="CQ71" s="863"/>
      <c r="CR71" s="863"/>
      <c r="CS71" s="862"/>
      <c r="CT71" s="863"/>
      <c r="CU71" s="863"/>
      <c r="CV71" s="864"/>
      <c r="CW71" s="863"/>
      <c r="CX71" s="863"/>
      <c r="CY71" s="863"/>
      <c r="CZ71" s="864"/>
      <c r="DA71" s="863"/>
      <c r="DB71" s="863"/>
      <c r="DC71" s="863"/>
      <c r="DD71" s="863"/>
      <c r="DE71" s="863"/>
      <c r="DF71" s="863"/>
      <c r="DG71" s="863"/>
      <c r="DH71" s="863"/>
      <c r="DI71" s="863"/>
      <c r="DJ71" s="863"/>
      <c r="DK71" s="863"/>
      <c r="DL71" s="863"/>
    </row>
    <row r="72" spans="1:116" s="816" customFormat="1">
      <c r="A72" s="820" t="s">
        <v>761</v>
      </c>
      <c r="B72" s="820"/>
      <c r="C72" s="820"/>
      <c r="D72" s="843"/>
      <c r="E72" s="843"/>
      <c r="F72" s="843"/>
      <c r="G72" s="843">
        <v>248848</v>
      </c>
      <c r="H72" s="843">
        <v>237588</v>
      </c>
      <c r="I72" s="816">
        <f>BP72</f>
        <v>235272</v>
      </c>
      <c r="J72" s="816">
        <f>BT72</f>
        <v>232417</v>
      </c>
      <c r="K72" s="816">
        <f>Wireline!P101</f>
        <v>223880</v>
      </c>
      <c r="L72" s="816">
        <f>Wireline!Q101</f>
        <v>222927</v>
      </c>
      <c r="M72" s="816">
        <f>Wireline!R101</f>
        <v>194400</v>
      </c>
      <c r="N72" s="816">
        <f>Wireline!S101</f>
        <v>193900</v>
      </c>
      <c r="O72" s="816">
        <f>Wireline!T101</f>
        <v>183400</v>
      </c>
      <c r="P72" s="816">
        <f>Wireline!U101</f>
        <v>176800</v>
      </c>
      <c r="Q72" s="816">
        <f>Wireline!V101</f>
        <v>177300</v>
      </c>
      <c r="R72" s="816">
        <f>Wireline!W101</f>
        <v>177700</v>
      </c>
      <c r="S72" s="816">
        <f>Wireline!X101</f>
        <v>160900</v>
      </c>
      <c r="T72" s="816">
        <f>Wireline!Y101</f>
        <v>155400</v>
      </c>
      <c r="U72" s="816">
        <f>Wireline!Z101</f>
        <v>151700</v>
      </c>
      <c r="V72" s="866">
        <f>Wireline!AA101</f>
        <v>150183</v>
      </c>
      <c r="W72" s="866">
        <f>Wireline!AB101</f>
        <v>148681.17000000001</v>
      </c>
      <c r="X72" s="866">
        <f>Wireline!AC101</f>
        <v>147194.35830000002</v>
      </c>
      <c r="Y72" s="866">
        <f>Wireline!AD101</f>
        <v>145722.41471700001</v>
      </c>
      <c r="Z72" s="866">
        <f>Wireline!AE101</f>
        <v>144265.19056983001</v>
      </c>
      <c r="AA72" s="866">
        <f>Wireline!AF101</f>
        <v>142822.53866413172</v>
      </c>
      <c r="AB72" s="866">
        <f>Wireline!AG101</f>
        <v>141394.31327749041</v>
      </c>
      <c r="AS72" s="843"/>
      <c r="AT72" s="843"/>
      <c r="AU72" s="843"/>
      <c r="AV72" s="843"/>
      <c r="AW72" s="843"/>
      <c r="AX72" s="843"/>
      <c r="AY72" s="843"/>
      <c r="AZ72" s="843"/>
      <c r="BA72" s="843"/>
      <c r="BB72" s="843"/>
      <c r="BC72" s="843"/>
      <c r="BD72" s="843"/>
      <c r="BE72" s="843">
        <v>244914</v>
      </c>
      <c r="BF72" s="843">
        <v>246727</v>
      </c>
      <c r="BG72" s="843">
        <v>247616</v>
      </c>
      <c r="BH72" s="843">
        <v>248848</v>
      </c>
      <c r="BI72" s="843">
        <v>235830</v>
      </c>
      <c r="BJ72" s="843">
        <v>237202</v>
      </c>
      <c r="BK72" s="843">
        <v>236751</v>
      </c>
      <c r="BL72" s="843">
        <v>237588</v>
      </c>
      <c r="BM72" s="865">
        <f>Wireline!BZ101</f>
        <v>234005</v>
      </c>
      <c r="BN72" s="866">
        <f>Wireline!CA101</f>
        <v>234300</v>
      </c>
      <c r="BO72" s="866">
        <f>Wireline!CB101</f>
        <v>232191</v>
      </c>
      <c r="BP72" s="866">
        <f>Wireline!CC101</f>
        <v>235272</v>
      </c>
      <c r="BQ72" s="865">
        <f>Wireline!CD101</f>
        <v>236073</v>
      </c>
      <c r="BR72" s="866">
        <f>Wireline!CE101</f>
        <v>235879</v>
      </c>
      <c r="BS72" s="866">
        <f>Wireline!CF101</f>
        <v>235252</v>
      </c>
      <c r="BT72" s="866">
        <f>Wireline!CG101</f>
        <v>232417</v>
      </c>
      <c r="BU72" s="865">
        <f>Wireline!CH101</f>
        <v>230228</v>
      </c>
      <c r="BV72" s="866">
        <f>Wireline!CI101</f>
        <v>228633</v>
      </c>
      <c r="BW72" s="866">
        <f>Wireline!CJ101</f>
        <v>228315</v>
      </c>
      <c r="BX72" s="866">
        <f>Wireline!CK101</f>
        <v>223880</v>
      </c>
      <c r="BY72" s="865">
        <f>Wireline!CL101</f>
        <v>237255</v>
      </c>
      <c r="BZ72" s="866">
        <f>Wireline!CM101</f>
        <v>235326</v>
      </c>
      <c r="CA72" s="866">
        <f>Wireline!CN101</f>
        <v>230340</v>
      </c>
      <c r="CB72" s="866">
        <f>Wireline!CO101</f>
        <v>222927</v>
      </c>
      <c r="CC72" s="865">
        <f>Wireline!CP101</f>
        <v>217100</v>
      </c>
      <c r="CD72" s="866">
        <f>Wireline!CQ101</f>
        <v>210800</v>
      </c>
      <c r="CE72" s="866">
        <f>Wireline!CR101</f>
        <v>195100</v>
      </c>
      <c r="CF72" s="866">
        <f>Wireline!CS101</f>
        <v>194400</v>
      </c>
      <c r="CG72" s="865">
        <f>Wireline!CT101</f>
        <v>196200</v>
      </c>
      <c r="CH72" s="866">
        <f>Wireline!CU101</f>
        <v>195900</v>
      </c>
      <c r="CI72" s="866">
        <f>Wireline!CV101</f>
        <v>195400</v>
      </c>
      <c r="CJ72" s="866">
        <f>Wireline!CW101</f>
        <v>193900</v>
      </c>
      <c r="CK72" s="865">
        <f>Wireline!CX101</f>
        <v>191800</v>
      </c>
      <c r="CL72" s="866">
        <f>Wireline!CY101</f>
        <v>188200</v>
      </c>
      <c r="CM72" s="866">
        <f>Wireline!CZ101</f>
        <v>184500</v>
      </c>
      <c r="CN72" s="866">
        <f>Wireline!DA101</f>
        <v>183400</v>
      </c>
      <c r="CO72" s="865">
        <f>Wireline!DB101</f>
        <v>181900</v>
      </c>
      <c r="CP72" s="866">
        <f>Wireline!DC101</f>
        <v>180900</v>
      </c>
      <c r="CQ72" s="866">
        <f>Wireline!DD101</f>
        <v>178300</v>
      </c>
      <c r="CR72" s="866">
        <f>Wireline!DE101</f>
        <v>176800</v>
      </c>
      <c r="CS72" s="865">
        <f>Wireline!DF101</f>
        <v>176900</v>
      </c>
      <c r="CT72" s="866">
        <f>Wireline!DG101</f>
        <v>177800</v>
      </c>
      <c r="CU72" s="866">
        <f>Wireline!DH101</f>
        <v>178500</v>
      </c>
      <c r="CV72" s="867">
        <f>Wireline!DI101</f>
        <v>177300</v>
      </c>
      <c r="CW72" s="866">
        <f>Wireline!DJ101</f>
        <v>176200</v>
      </c>
      <c r="CX72" s="866">
        <f>Wireline!DK101</f>
        <v>178500</v>
      </c>
      <c r="CY72" s="866">
        <f>Wireline!DL101</f>
        <v>177900</v>
      </c>
      <c r="CZ72" s="867">
        <f>Wireline!DM101</f>
        <v>177700</v>
      </c>
      <c r="DA72" s="866">
        <f>Wireline!DN101</f>
        <v>173300</v>
      </c>
      <c r="DB72" s="866">
        <f>Wireline!DO101</f>
        <v>162700</v>
      </c>
      <c r="DC72" s="866">
        <f>Wireline!DP101</f>
        <v>162000</v>
      </c>
      <c r="DD72" s="866">
        <f>Wireline!DQ101</f>
        <v>160900</v>
      </c>
      <c r="DE72" s="866">
        <f>Wireline!DR101</f>
        <v>161000</v>
      </c>
      <c r="DF72" s="866">
        <f>Wireline!DS101</f>
        <v>163400</v>
      </c>
      <c r="DG72" s="866">
        <f>Wireline!DT101</f>
        <v>160100</v>
      </c>
      <c r="DH72" s="866">
        <f>Wireline!DU101</f>
        <v>155400</v>
      </c>
      <c r="DI72" s="866">
        <f>Wireline!DV101</f>
        <v>154700</v>
      </c>
      <c r="DJ72" s="866">
        <f>Wireline!DW101</f>
        <v>153700</v>
      </c>
      <c r="DK72" s="866">
        <f>Wireline!DX101</f>
        <v>152700</v>
      </c>
      <c r="DL72" s="866">
        <f>Wireline!DY101</f>
        <v>151700</v>
      </c>
    </row>
    <row r="73" spans="1:116" s="808" customFormat="1">
      <c r="A73" s="812"/>
      <c r="B73" s="812"/>
      <c r="C73" s="812"/>
      <c r="D73" s="842"/>
      <c r="E73" s="842"/>
      <c r="F73" s="842"/>
      <c r="G73" s="842"/>
      <c r="H73" s="842"/>
      <c r="V73" s="863"/>
      <c r="W73" s="863"/>
      <c r="X73" s="863"/>
      <c r="Y73" s="863"/>
      <c r="Z73" s="863"/>
      <c r="AA73" s="863"/>
      <c r="AB73" s="863"/>
      <c r="AS73" s="842"/>
      <c r="AT73" s="842"/>
      <c r="AU73" s="842"/>
      <c r="AV73" s="842"/>
      <c r="AW73" s="842"/>
      <c r="AX73" s="842"/>
      <c r="AY73" s="842"/>
      <c r="AZ73" s="842"/>
      <c r="BA73" s="842"/>
      <c r="BB73" s="842"/>
      <c r="BC73" s="842"/>
      <c r="BD73" s="842"/>
      <c r="BE73" s="842"/>
      <c r="BF73" s="842"/>
      <c r="BG73" s="842"/>
      <c r="BH73" s="842"/>
      <c r="BI73" s="842"/>
      <c r="BJ73" s="842"/>
      <c r="BK73" s="842"/>
      <c r="BL73" s="842"/>
      <c r="BM73" s="862"/>
      <c r="BN73" s="863"/>
      <c r="BO73" s="863"/>
      <c r="BP73" s="863"/>
      <c r="BQ73" s="862"/>
      <c r="BR73" s="863"/>
      <c r="BS73" s="863"/>
      <c r="BT73" s="863"/>
      <c r="BU73" s="862"/>
      <c r="BV73" s="863"/>
      <c r="BW73" s="863"/>
      <c r="BX73" s="863"/>
      <c r="BY73" s="862"/>
      <c r="BZ73" s="863"/>
      <c r="CA73" s="863"/>
      <c r="CB73" s="863"/>
      <c r="CC73" s="862"/>
      <c r="CD73" s="863"/>
      <c r="CE73" s="863"/>
      <c r="CF73" s="863"/>
      <c r="CG73" s="862"/>
      <c r="CH73" s="863"/>
      <c r="CI73" s="863"/>
      <c r="CJ73" s="863"/>
      <c r="CK73" s="862"/>
      <c r="CL73" s="863"/>
      <c r="CM73" s="863"/>
      <c r="CN73" s="863"/>
      <c r="CO73" s="862"/>
      <c r="CP73" s="863"/>
      <c r="CQ73" s="863"/>
      <c r="CR73" s="863"/>
      <c r="CS73" s="862"/>
      <c r="CT73" s="863"/>
      <c r="CU73" s="863"/>
      <c r="CV73" s="864"/>
      <c r="CW73" s="863"/>
      <c r="CX73" s="863"/>
      <c r="CY73" s="863"/>
      <c r="CZ73" s="864"/>
      <c r="DA73" s="863"/>
      <c r="DB73" s="863"/>
      <c r="DC73" s="863"/>
      <c r="DD73" s="863"/>
      <c r="DE73" s="863"/>
      <c r="DF73" s="863"/>
      <c r="DG73" s="863"/>
      <c r="DH73" s="863"/>
      <c r="DI73" s="863"/>
      <c r="DJ73" s="863"/>
      <c r="DK73" s="863"/>
      <c r="DL73" s="863"/>
    </row>
    <row r="74" spans="1:116" s="808" customFormat="1">
      <c r="A74" s="827" t="s">
        <v>762</v>
      </c>
      <c r="B74" s="812"/>
      <c r="C74" s="812"/>
      <c r="D74" s="842"/>
      <c r="E74" s="842"/>
      <c r="F74" s="842"/>
      <c r="G74" s="842"/>
      <c r="H74" s="842"/>
      <c r="V74" s="863"/>
      <c r="W74" s="863"/>
      <c r="X74" s="863"/>
      <c r="Y74" s="863"/>
      <c r="Z74" s="863"/>
      <c r="AA74" s="863"/>
      <c r="AB74" s="863"/>
      <c r="AS74" s="842"/>
      <c r="AT74" s="842"/>
      <c r="AU74" s="842"/>
      <c r="AV74" s="842"/>
      <c r="AW74" s="842"/>
      <c r="AX74" s="842"/>
      <c r="AY74" s="842"/>
      <c r="AZ74" s="842"/>
      <c r="BA74" s="842"/>
      <c r="BB74" s="842"/>
      <c r="BC74" s="842"/>
      <c r="BD74" s="842"/>
      <c r="BE74" s="842"/>
      <c r="BF74" s="842"/>
      <c r="BG74" s="842"/>
      <c r="BH74" s="842"/>
      <c r="BI74" s="842"/>
      <c r="BJ74" s="842"/>
      <c r="BK74" s="842"/>
      <c r="BL74" s="842"/>
      <c r="BM74" s="862"/>
      <c r="BN74" s="863"/>
      <c r="BO74" s="863"/>
      <c r="BP74" s="863"/>
      <c r="BQ74" s="862"/>
      <c r="BR74" s="863"/>
      <c r="BS74" s="863"/>
      <c r="BT74" s="863"/>
      <c r="BU74" s="862"/>
      <c r="BV74" s="863"/>
      <c r="BW74" s="863"/>
      <c r="BX74" s="863"/>
      <c r="BY74" s="862"/>
      <c r="BZ74" s="863"/>
      <c r="CA74" s="863"/>
      <c r="CB74" s="863"/>
      <c r="CC74" s="862"/>
      <c r="CD74" s="863"/>
      <c r="CE74" s="863"/>
      <c r="CF74" s="863"/>
      <c r="CG74" s="862"/>
      <c r="CH74" s="863"/>
      <c r="CI74" s="863"/>
      <c r="CJ74" s="863"/>
      <c r="CK74" s="862"/>
      <c r="CL74" s="863"/>
      <c r="CM74" s="863"/>
      <c r="CN74" s="863"/>
      <c r="CO74" s="862"/>
      <c r="CP74" s="863"/>
      <c r="CQ74" s="863"/>
      <c r="CR74" s="863"/>
      <c r="CS74" s="862"/>
      <c r="CT74" s="863"/>
      <c r="CU74" s="863"/>
      <c r="CV74" s="864"/>
      <c r="CW74" s="863"/>
      <c r="CX74" s="863"/>
      <c r="CY74" s="863"/>
      <c r="CZ74" s="864"/>
      <c r="DA74" s="863"/>
      <c r="DB74" s="863"/>
      <c r="DC74" s="863"/>
      <c r="DD74" s="863"/>
      <c r="DE74" s="863"/>
      <c r="DF74" s="863"/>
      <c r="DG74" s="863"/>
      <c r="DH74" s="863"/>
      <c r="DI74" s="863"/>
      <c r="DJ74" s="863"/>
      <c r="DK74" s="863"/>
      <c r="DL74" s="863"/>
    </row>
    <row r="75" spans="1:116" s="808" customFormat="1">
      <c r="A75" s="812"/>
      <c r="B75" s="812"/>
      <c r="C75" s="812"/>
      <c r="D75" s="842"/>
      <c r="E75" s="842"/>
      <c r="F75" s="842"/>
      <c r="G75" s="842"/>
      <c r="H75" s="842"/>
      <c r="V75" s="863"/>
      <c r="W75" s="863"/>
      <c r="X75" s="863"/>
      <c r="Y75" s="863"/>
      <c r="Z75" s="863"/>
      <c r="AA75" s="863"/>
      <c r="AB75" s="863"/>
      <c r="AS75" s="842"/>
      <c r="AT75" s="842"/>
      <c r="AU75" s="842"/>
      <c r="AV75" s="842"/>
      <c r="AW75" s="842"/>
      <c r="AX75" s="842"/>
      <c r="AY75" s="842"/>
      <c r="AZ75" s="842"/>
      <c r="BA75" s="842"/>
      <c r="BB75" s="842"/>
      <c r="BC75" s="842"/>
      <c r="BD75" s="842"/>
      <c r="BE75" s="842"/>
      <c r="BF75" s="842"/>
      <c r="BG75" s="842"/>
      <c r="BH75" s="842"/>
      <c r="BI75" s="842"/>
      <c r="BJ75" s="842"/>
      <c r="BK75" s="842"/>
      <c r="BL75" s="842"/>
      <c r="BM75" s="862"/>
      <c r="BN75" s="863"/>
      <c r="BO75" s="863"/>
      <c r="BP75" s="863"/>
      <c r="BQ75" s="862"/>
      <c r="BR75" s="863"/>
      <c r="BS75" s="863"/>
      <c r="BT75" s="863"/>
      <c r="BU75" s="862"/>
      <c r="BV75" s="863"/>
      <c r="BW75" s="863"/>
      <c r="BX75" s="863"/>
      <c r="BY75" s="862"/>
      <c r="BZ75" s="863"/>
      <c r="CA75" s="863"/>
      <c r="CB75" s="863"/>
      <c r="CC75" s="862"/>
      <c r="CD75" s="863"/>
      <c r="CE75" s="863"/>
      <c r="CF75" s="863"/>
      <c r="CG75" s="862"/>
      <c r="CH75" s="863"/>
      <c r="CI75" s="863"/>
      <c r="CJ75" s="863"/>
      <c r="CK75" s="862"/>
      <c r="CL75" s="863"/>
      <c r="CM75" s="863"/>
      <c r="CN75" s="863"/>
      <c r="CO75" s="862"/>
      <c r="CP75" s="863"/>
      <c r="CQ75" s="863"/>
      <c r="CR75" s="863"/>
      <c r="CS75" s="862"/>
      <c r="CT75" s="863"/>
      <c r="CU75" s="863"/>
      <c r="CV75" s="864"/>
      <c r="CW75" s="863"/>
      <c r="CX75" s="863"/>
      <c r="CY75" s="863"/>
      <c r="CZ75" s="864"/>
      <c r="DA75" s="863"/>
      <c r="DB75" s="863"/>
      <c r="DC75" s="863"/>
      <c r="DD75" s="863"/>
      <c r="DE75" s="863"/>
      <c r="DF75" s="863"/>
      <c r="DG75" s="863"/>
      <c r="DH75" s="863"/>
      <c r="DI75" s="863"/>
      <c r="DJ75" s="863"/>
      <c r="DK75" s="863"/>
      <c r="DL75" s="863"/>
    </row>
    <row r="76" spans="1:116" s="808" customFormat="1">
      <c r="A76" s="812" t="s">
        <v>1449</v>
      </c>
      <c r="B76" s="812"/>
      <c r="C76" s="812"/>
      <c r="D76" s="842"/>
      <c r="E76" s="842">
        <v>95267</v>
      </c>
      <c r="F76" s="842">
        <v>91148</v>
      </c>
      <c r="G76" s="842">
        <v>91407</v>
      </c>
      <c r="H76" s="842">
        <v>89011</v>
      </c>
      <c r="I76" s="808">
        <f>SUM(BM76:BP76)</f>
        <v>87225.931688804558</v>
      </c>
      <c r="J76" s="808">
        <f>SUM(BQ76:BT76)</f>
        <v>92375</v>
      </c>
      <c r="K76" s="808">
        <f>IS!P30</f>
        <v>97096</v>
      </c>
      <c r="L76" s="808">
        <f>IS!Q30</f>
        <v>102413</v>
      </c>
      <c r="M76" s="808">
        <f>IS!R30</f>
        <v>104426</v>
      </c>
      <c r="N76" s="808">
        <f>IS!S30</f>
        <v>110875</v>
      </c>
      <c r="O76" s="808">
        <f>IS!T30</f>
        <v>115589</v>
      </c>
      <c r="P76" s="808">
        <f>IS!U30</f>
        <v>119951</v>
      </c>
      <c r="Q76" s="808">
        <f>IS!V30</f>
        <v>126823</v>
      </c>
      <c r="R76" s="808">
        <f>IS!W30</f>
        <v>129421</v>
      </c>
      <c r="S76" s="808">
        <f>IS!X30</f>
        <v>125455</v>
      </c>
      <c r="T76" s="808">
        <f>IS!Y30</f>
        <v>126034</v>
      </c>
      <c r="U76" s="808">
        <f ca="1">IS!Z30</f>
        <v>128945.31879471819</v>
      </c>
      <c r="V76" s="863">
        <f ca="1">IS!AA30</f>
        <v>129036.01034932715</v>
      </c>
      <c r="W76" s="863">
        <f ca="1">IS!AB30</f>
        <v>129652.72091749887</v>
      </c>
      <c r="X76" s="863">
        <f ca="1">IS!AC30</f>
        <v>130340.59590822672</v>
      </c>
      <c r="Y76" s="863">
        <f ca="1">IS!AD30</f>
        <v>131092.23550873241</v>
      </c>
      <c r="Z76" s="863">
        <f ca="1">IS!AE30</f>
        <v>131915.06975558677</v>
      </c>
      <c r="AA76" s="863">
        <f ca="1">IS!AF30</f>
        <v>132822.86191099716</v>
      </c>
      <c r="AB76" s="863">
        <f ca="1">IS!AG30</f>
        <v>133831.94341344427</v>
      </c>
      <c r="AS76" s="842"/>
      <c r="AT76" s="842"/>
      <c r="AU76" s="842"/>
      <c r="AV76" s="842"/>
      <c r="AW76" s="842">
        <v>23809</v>
      </c>
      <c r="AX76" s="842">
        <v>23740</v>
      </c>
      <c r="AY76" s="842">
        <v>24115</v>
      </c>
      <c r="AZ76" s="842">
        <v>23603</v>
      </c>
      <c r="BA76" s="842">
        <v>22891</v>
      </c>
      <c r="BB76" s="842">
        <v>22791</v>
      </c>
      <c r="BC76" s="842">
        <v>22881</v>
      </c>
      <c r="BD76" s="842">
        <v>22585</v>
      </c>
      <c r="BE76" s="842">
        <v>22340</v>
      </c>
      <c r="BF76" s="842">
        <v>22848</v>
      </c>
      <c r="BG76" s="842">
        <v>23133</v>
      </c>
      <c r="BH76" s="842">
        <v>23086</v>
      </c>
      <c r="BI76" s="842">
        <v>21790</v>
      </c>
      <c r="BJ76" s="842">
        <v>22168</v>
      </c>
      <c r="BK76" s="842">
        <v>22454</v>
      </c>
      <c r="BL76" s="842">
        <v>22599</v>
      </c>
      <c r="BM76" s="862">
        <f>IS!BW30</f>
        <v>21167.931688804551</v>
      </c>
      <c r="BN76" s="863">
        <f>IS!BX30</f>
        <v>21583</v>
      </c>
      <c r="BO76" s="863">
        <f>IS!BY30</f>
        <v>22162</v>
      </c>
      <c r="BP76" s="863">
        <f>IS!BZ30</f>
        <v>22313</v>
      </c>
      <c r="BQ76" s="862">
        <f>IS!CA30</f>
        <v>22311</v>
      </c>
      <c r="BR76" s="863">
        <f>IS!CB30</f>
        <v>23000</v>
      </c>
      <c r="BS76" s="863">
        <f>IS!CC30</f>
        <v>23493</v>
      </c>
      <c r="BT76" s="863">
        <f>IS!CD30</f>
        <v>23571</v>
      </c>
      <c r="BU76" s="862">
        <f>IS!CE30</f>
        <v>23575</v>
      </c>
      <c r="BV76" s="863">
        <f>IS!CF30</f>
        <v>24124</v>
      </c>
      <c r="BW76" s="863">
        <f>IS!CG30</f>
        <v>24752</v>
      </c>
      <c r="BX76" s="863">
        <f>IS!CH30</f>
        <v>24645</v>
      </c>
      <c r="BY76" s="862">
        <f>IS!CI30</f>
        <v>25165</v>
      </c>
      <c r="BZ76" s="863">
        <f>IS!CJ30</f>
        <v>25511</v>
      </c>
      <c r="CA76" s="863">
        <f>IS!CK30</f>
        <v>25934</v>
      </c>
      <c r="CB76" s="863">
        <f>IS!CL30</f>
        <v>25803</v>
      </c>
      <c r="CC76" s="862">
        <f>IS!CM30</f>
        <v>25635</v>
      </c>
      <c r="CD76" s="863">
        <f>IS!CN30</f>
        <v>25912</v>
      </c>
      <c r="CE76" s="863">
        <f>IS!CO30</f>
        <v>26484</v>
      </c>
      <c r="CF76" s="863">
        <f>IS!CP30</f>
        <v>26395</v>
      </c>
      <c r="CG76" s="862">
        <f>IS!CQ30</f>
        <v>26990</v>
      </c>
      <c r="CH76" s="863">
        <f>IS!CR30</f>
        <v>27536</v>
      </c>
      <c r="CI76" s="863">
        <f>IS!CS30</f>
        <v>27913</v>
      </c>
      <c r="CJ76" s="863">
        <f>IS!CT30</f>
        <v>28436</v>
      </c>
      <c r="CK76" s="862">
        <f>IS!CU30</f>
        <v>28242</v>
      </c>
      <c r="CL76" s="863">
        <f>IS!CV30</f>
        <v>28525</v>
      </c>
      <c r="CM76" s="863">
        <f>IS!CW30</f>
        <v>29007</v>
      </c>
      <c r="CN76" s="863">
        <f>IS!CX30</f>
        <v>29815</v>
      </c>
      <c r="CO76" s="862">
        <f>IS!CY30</f>
        <v>29240</v>
      </c>
      <c r="CP76" s="863">
        <f>IS!CZ30</f>
        <v>29657</v>
      </c>
      <c r="CQ76" s="863">
        <f>IS!DA30</f>
        <v>30122</v>
      </c>
      <c r="CR76" s="863">
        <f>IS!DB30</f>
        <v>30932</v>
      </c>
      <c r="CS76" s="862">
        <f>IS!DC30</f>
        <v>30690</v>
      </c>
      <c r="CT76" s="863">
        <f>IS!DD30</f>
        <v>31355</v>
      </c>
      <c r="CU76" s="863">
        <f>IS!DE30</f>
        <v>31586</v>
      </c>
      <c r="CV76" s="864">
        <f>IS!DF30</f>
        <v>33192</v>
      </c>
      <c r="CW76" s="863">
        <f>IS!DG30</f>
        <v>31429</v>
      </c>
      <c r="CX76" s="863">
        <f>IS!DH30</f>
        <v>31677</v>
      </c>
      <c r="CY76" s="863">
        <f>IS!DI30</f>
        <v>32614</v>
      </c>
      <c r="CZ76" s="864">
        <f>IS!DJ30</f>
        <v>33701</v>
      </c>
      <c r="DA76" s="863">
        <f>IS!DK30</f>
        <v>31646</v>
      </c>
      <c r="DB76" s="863">
        <f>IS!DL30</f>
        <v>30532</v>
      </c>
      <c r="DC76" s="863">
        <f>IS!DM30</f>
        <v>30937</v>
      </c>
      <c r="DD76" s="863">
        <f>IS!DN30</f>
        <v>32340</v>
      </c>
      <c r="DE76" s="863">
        <f>IS!DO30</f>
        <v>29814</v>
      </c>
      <c r="DF76" s="863">
        <f>IS!DP30</f>
        <v>30548</v>
      </c>
      <c r="DG76" s="863">
        <f>IS!DQ30</f>
        <v>31717</v>
      </c>
      <c r="DH76" s="863">
        <f>IS!DR30</f>
        <v>33955</v>
      </c>
      <c r="DI76" s="863">
        <f>IS!DS30</f>
        <v>31772</v>
      </c>
      <c r="DJ76" s="863">
        <f ca="1">IS!DT30</f>
        <v>31554.052573762001</v>
      </c>
      <c r="DK76" s="863">
        <f ca="1">IS!DU30</f>
        <v>32076.353782835315</v>
      </c>
      <c r="DL76" s="863">
        <f ca="1">IS!DV30</f>
        <v>33542.912438120868</v>
      </c>
    </row>
    <row r="77" spans="1:116" s="808" customFormat="1">
      <c r="A77" s="812" t="s">
        <v>763</v>
      </c>
      <c r="B77" s="812"/>
      <c r="C77" s="812"/>
      <c r="D77" s="842"/>
      <c r="E77" s="842">
        <v>32690</v>
      </c>
      <c r="F77" s="842">
        <v>30083</v>
      </c>
      <c r="G77" s="842">
        <v>29850</v>
      </c>
      <c r="H77" s="842">
        <v>29518</v>
      </c>
      <c r="I77" s="808">
        <f>SUM(BM77:BP77)</f>
        <v>28537.931688804551</v>
      </c>
      <c r="J77" s="808">
        <f>SUM(BQ77:BT77)</f>
        <v>30665</v>
      </c>
      <c r="K77" s="808">
        <f>IS!P59</f>
        <v>32572</v>
      </c>
      <c r="L77" s="808">
        <f>IS!Q59</f>
        <v>32291</v>
      </c>
      <c r="M77" s="808">
        <f>IS!R59</f>
        <v>34376</v>
      </c>
      <c r="N77" s="808">
        <f>IS!S59</f>
        <v>35450</v>
      </c>
      <c r="O77" s="808">
        <f>IS!T59</f>
        <v>37417</v>
      </c>
      <c r="P77" s="808">
        <f>IS!U59</f>
        <v>42021</v>
      </c>
      <c r="Q77" s="808">
        <f>IS!V59</f>
        <v>43254</v>
      </c>
      <c r="R77" s="808">
        <f>IS!W59</f>
        <v>44368</v>
      </c>
      <c r="S77" s="808">
        <f>IS!X59</f>
        <v>44236</v>
      </c>
      <c r="T77" s="808">
        <f>IS!Y59</f>
        <v>46657</v>
      </c>
      <c r="U77" s="808">
        <f ca="1">IS!Z59</f>
        <v>47786.253296851966</v>
      </c>
      <c r="V77" s="863">
        <f ca="1">IS!AA59</f>
        <v>48836.664019516073</v>
      </c>
      <c r="W77" s="863">
        <f ca="1">IS!AB59</f>
        <v>49687.521335243335</v>
      </c>
      <c r="X77" s="863">
        <f ca="1">IS!AC59</f>
        <v>50627.868065011207</v>
      </c>
      <c r="Y77" s="863">
        <f ca="1">IS!AD59</f>
        <v>51647.037167036789</v>
      </c>
      <c r="Z77" s="863">
        <f ca="1">IS!AE59</f>
        <v>52746.056688692435</v>
      </c>
      <c r="AA77" s="863">
        <f ca="1">IS!AF59</f>
        <v>53931.416547329543</v>
      </c>
      <c r="AB77" s="863">
        <f ca="1">IS!AG59</f>
        <v>55212.250669671455</v>
      </c>
      <c r="AS77" s="842"/>
      <c r="AT77" s="842"/>
      <c r="AU77" s="842"/>
      <c r="AV77" s="842"/>
      <c r="AW77" s="842">
        <v>7972</v>
      </c>
      <c r="AX77" s="842">
        <v>7893</v>
      </c>
      <c r="AY77" s="842">
        <v>8489</v>
      </c>
      <c r="AZ77" s="842">
        <v>8336</v>
      </c>
      <c r="BA77" s="842">
        <v>8153</v>
      </c>
      <c r="BB77" s="842">
        <v>7802</v>
      </c>
      <c r="BC77" s="842">
        <v>7329</v>
      </c>
      <c r="BD77" s="842">
        <v>6799</v>
      </c>
      <c r="BE77" s="842">
        <v>6963</v>
      </c>
      <c r="BF77" s="842">
        <v>7668</v>
      </c>
      <c r="BG77" s="842">
        <v>7703</v>
      </c>
      <c r="BH77" s="842">
        <v>7516</v>
      </c>
      <c r="BI77" s="842">
        <v>7042</v>
      </c>
      <c r="BJ77" s="842">
        <v>7274</v>
      </c>
      <c r="BK77" s="842">
        <v>7505</v>
      </c>
      <c r="BL77" s="842">
        <v>7697</v>
      </c>
      <c r="BM77" s="862">
        <f>IS!BW59</f>
        <v>7062.9316888045505</v>
      </c>
      <c r="BN77" s="863">
        <f>IS!BX59</f>
        <v>7132</v>
      </c>
      <c r="BO77" s="863">
        <f>IS!BY59</f>
        <v>7123</v>
      </c>
      <c r="BP77" s="863">
        <f>IS!BZ59</f>
        <v>7220</v>
      </c>
      <c r="BQ77" s="862">
        <f>IS!CA59</f>
        <v>7327</v>
      </c>
      <c r="BR77" s="863">
        <f>IS!CB59</f>
        <v>7639</v>
      </c>
      <c r="BS77" s="863">
        <f>IS!CC59</f>
        <v>7803</v>
      </c>
      <c r="BT77" s="863">
        <f>IS!CD59</f>
        <v>7896</v>
      </c>
      <c r="BU77" s="862">
        <f>IS!CE59</f>
        <v>7943</v>
      </c>
      <c r="BV77" s="863">
        <f>IS!CF59</f>
        <v>8166</v>
      </c>
      <c r="BW77" s="863">
        <f>IS!CG59</f>
        <v>8140</v>
      </c>
      <c r="BX77" s="863">
        <f>IS!CH59</f>
        <v>8323</v>
      </c>
      <c r="BY77" s="862">
        <f>IS!CI59</f>
        <v>7966</v>
      </c>
      <c r="BZ77" s="863">
        <f>IS!CJ59</f>
        <v>8167</v>
      </c>
      <c r="CA77" s="863">
        <f>IS!CK59</f>
        <v>8160</v>
      </c>
      <c r="CB77" s="863">
        <f>IS!CL59</f>
        <v>7998</v>
      </c>
      <c r="CC77" s="862">
        <f>IS!CM59</f>
        <v>8165</v>
      </c>
      <c r="CD77" s="863">
        <f>IS!CN59</f>
        <v>8560</v>
      </c>
      <c r="CE77" s="863">
        <f>IS!CO59</f>
        <v>8795</v>
      </c>
      <c r="CF77" s="863">
        <f>IS!CP59</f>
        <v>8856</v>
      </c>
      <c r="CG77" s="862">
        <f>IS!CQ59</f>
        <v>8477</v>
      </c>
      <c r="CH77" s="863">
        <f>IS!CR59</f>
        <v>9005</v>
      </c>
      <c r="CI77" s="863">
        <f>IS!CS59</f>
        <v>9155</v>
      </c>
      <c r="CJ77" s="863">
        <f>IS!CT59</f>
        <v>8813</v>
      </c>
      <c r="CK77" s="862">
        <f>IS!CU59</f>
        <v>9223</v>
      </c>
      <c r="CL77" s="863">
        <f>IS!CV59</f>
        <v>9752</v>
      </c>
      <c r="CM77" s="863">
        <f>IS!CW59</f>
        <v>10034</v>
      </c>
      <c r="CN77" s="863">
        <f>IS!CX59</f>
        <v>8408</v>
      </c>
      <c r="CO77" s="862">
        <f>IS!CY59</f>
        <v>10330</v>
      </c>
      <c r="CP77" s="863">
        <f>IS!CZ59</f>
        <v>10461</v>
      </c>
      <c r="CQ77" s="863">
        <f>IS!DA59</f>
        <v>10996</v>
      </c>
      <c r="CR77" s="863">
        <f>IS!DB59</f>
        <v>10234</v>
      </c>
      <c r="CS77" s="862">
        <f>IS!DC59</f>
        <v>11291</v>
      </c>
      <c r="CT77" s="863">
        <f>IS!DD59</f>
        <v>11133</v>
      </c>
      <c r="CU77" s="863">
        <f>IS!DE59</f>
        <v>11057</v>
      </c>
      <c r="CV77" s="864">
        <f>IS!DF59</f>
        <v>9773</v>
      </c>
      <c r="CW77" s="863">
        <f>IS!DG59</f>
        <v>11394</v>
      </c>
      <c r="CX77" s="863">
        <f>IS!DH59</f>
        <v>11254</v>
      </c>
      <c r="CY77" s="863">
        <f>IS!DI59</f>
        <v>11342</v>
      </c>
      <c r="CZ77" s="864">
        <f>IS!DJ59</f>
        <v>10378</v>
      </c>
      <c r="DA77" s="863">
        <f>IS!DK59</f>
        <v>11457</v>
      </c>
      <c r="DB77" s="863">
        <f>IS!DL59</f>
        <v>11079</v>
      </c>
      <c r="DC77" s="863">
        <f>IS!DM59</f>
        <v>11279</v>
      </c>
      <c r="DD77" s="863">
        <f>IS!DN59</f>
        <v>10421</v>
      </c>
      <c r="DE77" s="863">
        <f>IS!DO59</f>
        <v>11366</v>
      </c>
      <c r="DF77" s="863">
        <f>IS!DP59</f>
        <v>11384</v>
      </c>
      <c r="DG77" s="863">
        <f>IS!DQ59</f>
        <v>12100</v>
      </c>
      <c r="DH77" s="863">
        <f>IS!DR59</f>
        <v>11807</v>
      </c>
      <c r="DI77" s="863">
        <f>IS!DS59</f>
        <v>12029</v>
      </c>
      <c r="DJ77" s="863">
        <f ca="1">IS!DT59</f>
        <v>12114.334415885085</v>
      </c>
      <c r="DK77" s="863">
        <f ca="1">IS!DU59</f>
        <v>12392.425022604482</v>
      </c>
      <c r="DL77" s="863">
        <f ca="1">IS!DV59</f>
        <v>11250.493858362388</v>
      </c>
    </row>
    <row r="78" spans="1:116" s="808" customFormat="1">
      <c r="A78" s="812"/>
      <c r="B78" s="812"/>
      <c r="C78" s="812"/>
      <c r="D78" s="842"/>
      <c r="E78" s="842"/>
      <c r="F78" s="842"/>
      <c r="G78" s="842"/>
      <c r="H78" s="842"/>
      <c r="V78" s="863"/>
      <c r="W78" s="863"/>
      <c r="X78" s="863"/>
      <c r="Y78" s="863"/>
      <c r="Z78" s="863"/>
      <c r="AA78" s="863"/>
      <c r="AB78" s="863"/>
      <c r="AS78" s="842"/>
      <c r="AT78" s="842"/>
      <c r="AU78" s="842"/>
      <c r="AV78" s="842"/>
      <c r="AW78" s="842"/>
      <c r="AX78" s="842"/>
      <c r="AY78" s="842"/>
      <c r="AZ78" s="842"/>
      <c r="BA78" s="842"/>
      <c r="BB78" s="842"/>
      <c r="BC78" s="842"/>
      <c r="BD78" s="842"/>
      <c r="BE78" s="842"/>
      <c r="BF78" s="842"/>
      <c r="BG78" s="842"/>
      <c r="BH78" s="842"/>
      <c r="BI78" s="842"/>
      <c r="BJ78" s="842"/>
      <c r="BK78" s="842"/>
      <c r="BL78" s="842"/>
      <c r="BM78" s="862"/>
      <c r="BN78" s="863"/>
      <c r="BO78" s="863"/>
      <c r="BP78" s="863"/>
      <c r="BQ78" s="862"/>
      <c r="BR78" s="863"/>
      <c r="BS78" s="863"/>
      <c r="BT78" s="863"/>
      <c r="BU78" s="862"/>
      <c r="BV78" s="863"/>
      <c r="BW78" s="863"/>
      <c r="BX78" s="863"/>
      <c r="BY78" s="862"/>
      <c r="BZ78" s="863"/>
      <c r="CA78" s="863"/>
      <c r="CB78" s="863"/>
      <c r="CC78" s="862"/>
      <c r="CD78" s="863"/>
      <c r="CE78" s="863"/>
      <c r="CF78" s="863"/>
      <c r="CG78" s="862"/>
      <c r="CH78" s="863"/>
      <c r="CI78" s="863"/>
      <c r="CJ78" s="863"/>
      <c r="CK78" s="862"/>
      <c r="CL78" s="863"/>
      <c r="CM78" s="863"/>
      <c r="CN78" s="863"/>
      <c r="CO78" s="862"/>
      <c r="CP78" s="863"/>
      <c r="CQ78" s="863"/>
      <c r="CR78" s="863"/>
      <c r="CS78" s="862"/>
      <c r="CT78" s="863"/>
      <c r="CU78" s="863"/>
      <c r="CV78" s="864"/>
      <c r="CW78" s="863"/>
      <c r="CX78" s="863"/>
      <c r="CY78" s="863"/>
      <c r="CZ78" s="864"/>
      <c r="DA78" s="863"/>
      <c r="DB78" s="863"/>
      <c r="DC78" s="863"/>
      <c r="DD78" s="863"/>
      <c r="DE78" s="863"/>
      <c r="DF78" s="863"/>
      <c r="DG78" s="863"/>
      <c r="DH78" s="863"/>
      <c r="DI78" s="863"/>
      <c r="DJ78" s="863"/>
      <c r="DK78" s="863"/>
      <c r="DL78" s="863"/>
    </row>
    <row r="79" spans="1:116" s="808" customFormat="1">
      <c r="A79" s="812" t="s">
        <v>764</v>
      </c>
      <c r="B79" s="812"/>
      <c r="C79" s="812"/>
      <c r="D79" s="842"/>
      <c r="E79" s="842"/>
      <c r="F79" s="842">
        <v>60369</v>
      </c>
      <c r="G79" s="842">
        <v>55760</v>
      </c>
      <c r="H79" s="842">
        <v>53800</v>
      </c>
      <c r="I79" s="808">
        <f>SUM(BM79:BP79)</f>
        <v>49504</v>
      </c>
      <c r="J79" s="808">
        <f>SUM(BQ79:BT79)</f>
        <v>49129</v>
      </c>
      <c r="K79" s="808">
        <f>Wireline!P75</f>
        <v>48214</v>
      </c>
      <c r="L79" s="808">
        <f>Wireline!Q75</f>
        <v>42353</v>
      </c>
      <c r="M79" s="808">
        <f>Wireline!R75</f>
        <v>41227</v>
      </c>
      <c r="N79" s="808">
        <f>Wireline!S75</f>
        <v>40682</v>
      </c>
      <c r="O79" s="808">
        <f>Wireline!T75</f>
        <v>39523</v>
      </c>
      <c r="P79" s="808">
        <f>Wireline!U75</f>
        <v>38624</v>
      </c>
      <c r="Q79" s="808">
        <f>Wireline!V75</f>
        <v>38429</v>
      </c>
      <c r="R79" s="808">
        <f>Wireline!W75</f>
        <v>35521</v>
      </c>
      <c r="S79" s="808">
        <f>Wireline!X75</f>
        <v>32187</v>
      </c>
      <c r="T79" s="808">
        <f>Wireline!Y75</f>
        <v>30957</v>
      </c>
      <c r="U79" s="808">
        <f>Wireline!Z75</f>
        <v>30121.528239068102</v>
      </c>
      <c r="V79" s="863">
        <f>Wireline!AA75</f>
        <v>29694.288523668522</v>
      </c>
      <c r="W79" s="863">
        <f>Wireline!AB75</f>
        <v>29272.688905597533</v>
      </c>
      <c r="X79" s="863">
        <f>Wireline!AC75</f>
        <v>28873.969536712844</v>
      </c>
      <c r="Y79" s="863">
        <f>Wireline!AD75</f>
        <v>28494.147508978458</v>
      </c>
      <c r="Z79" s="863">
        <f>Wireline!AE75</f>
        <v>28130.062356789385</v>
      </c>
      <c r="AA79" s="863">
        <f>Wireline!AF75</f>
        <v>27779.210202411166</v>
      </c>
      <c r="AB79" s="863">
        <f>Wireline!AG75</f>
        <v>27439.613484142417</v>
      </c>
      <c r="AS79" s="842"/>
      <c r="AT79" s="842"/>
      <c r="AU79" s="842"/>
      <c r="AV79" s="842"/>
      <c r="AW79" s="842"/>
      <c r="AX79" s="842"/>
      <c r="AY79" s="842"/>
      <c r="AZ79" s="842"/>
      <c r="BA79" s="842">
        <v>15663</v>
      </c>
      <c r="BB79" s="842">
        <v>15201</v>
      </c>
      <c r="BC79" s="842">
        <v>14941</v>
      </c>
      <c r="BD79" s="842">
        <v>14564</v>
      </c>
      <c r="BE79" s="842">
        <v>14169</v>
      </c>
      <c r="BF79" s="842">
        <v>13983</v>
      </c>
      <c r="BG79" s="842">
        <v>13846</v>
      </c>
      <c r="BH79" s="842">
        <v>13762</v>
      </c>
      <c r="BI79" s="842">
        <v>13615</v>
      </c>
      <c r="BJ79" s="842">
        <v>13604</v>
      </c>
      <c r="BK79" s="842">
        <v>13403</v>
      </c>
      <c r="BL79" s="842">
        <v>13178</v>
      </c>
      <c r="BM79" s="862">
        <f>Wireline!BZ75</f>
        <v>12142</v>
      </c>
      <c r="BN79" s="863">
        <f>Wireline!CA75</f>
        <v>12457</v>
      </c>
      <c r="BO79" s="863">
        <f>Wireline!CB75</f>
        <v>12483</v>
      </c>
      <c r="BP79" s="863">
        <f>Wireline!CC75</f>
        <v>12422</v>
      </c>
      <c r="BQ79" s="862">
        <f>Wireline!CD75</f>
        <v>12178</v>
      </c>
      <c r="BR79" s="863">
        <f>Wireline!CE75</f>
        <v>12330</v>
      </c>
      <c r="BS79" s="863">
        <f>Wireline!CF75</f>
        <v>12372</v>
      </c>
      <c r="BT79" s="863">
        <f>Wireline!CG75</f>
        <v>12249</v>
      </c>
      <c r="BU79" s="862">
        <f>Wireline!CH75</f>
        <v>12026</v>
      </c>
      <c r="BV79" s="863">
        <f>Wireline!CI75</f>
        <v>12113</v>
      </c>
      <c r="BW79" s="863">
        <f>Wireline!CJ75</f>
        <v>12158</v>
      </c>
      <c r="BX79" s="863">
        <f>Wireline!CK75</f>
        <v>11917</v>
      </c>
      <c r="BY79" s="862">
        <f>Wireline!CL75</f>
        <v>10542</v>
      </c>
      <c r="BZ79" s="863">
        <f>Wireline!CM75</f>
        <v>10563</v>
      </c>
      <c r="CA79" s="863">
        <f>Wireline!CN75</f>
        <v>10667</v>
      </c>
      <c r="CB79" s="863">
        <f>Wireline!CO75</f>
        <v>10581</v>
      </c>
      <c r="CC79" s="862">
        <f>Wireline!CP75</f>
        <v>10375</v>
      </c>
      <c r="CD79" s="863">
        <f>Wireline!CQ75</f>
        <v>10277</v>
      </c>
      <c r="CE79" s="863">
        <f>Wireline!CR75</f>
        <v>10286</v>
      </c>
      <c r="CF79" s="863">
        <f>Wireline!CS75</f>
        <v>10289</v>
      </c>
      <c r="CG79" s="862">
        <f>Wireline!CT75</f>
        <v>10147</v>
      </c>
      <c r="CH79" s="863">
        <f>Wireline!CU75</f>
        <v>10247</v>
      </c>
      <c r="CI79" s="863">
        <f>Wireline!CV75</f>
        <v>10149</v>
      </c>
      <c r="CJ79" s="863">
        <f>Wireline!CW75</f>
        <v>10139</v>
      </c>
      <c r="CK79" s="862">
        <f>Wireline!CX75</f>
        <v>9945</v>
      </c>
      <c r="CL79" s="863">
        <f>Wireline!CY75</f>
        <v>9904</v>
      </c>
      <c r="CM79" s="863">
        <f>Wireline!CZ75</f>
        <v>9914</v>
      </c>
      <c r="CN79" s="863">
        <f>Wireline!DA75</f>
        <v>9760</v>
      </c>
      <c r="CO79" s="862">
        <f>Wireline!DB75</f>
        <v>9650</v>
      </c>
      <c r="CP79" s="863">
        <f>Wireline!DC75</f>
        <v>9605</v>
      </c>
      <c r="CQ79" s="863">
        <f>Wireline!DD75</f>
        <v>9657</v>
      </c>
      <c r="CR79" s="863">
        <f>Wireline!DE75</f>
        <v>9712</v>
      </c>
      <c r="CS79" s="862">
        <f>Wireline!DF75</f>
        <v>9662</v>
      </c>
      <c r="CT79" s="863">
        <f>Wireline!DG75</f>
        <v>9631</v>
      </c>
      <c r="CU79" s="863">
        <f>Wireline!DH75</f>
        <v>9576</v>
      </c>
      <c r="CV79" s="864">
        <f>Wireline!DI75</f>
        <v>9560</v>
      </c>
      <c r="CW79" s="863">
        <f>Wireline!DJ75</f>
        <v>8914</v>
      </c>
      <c r="CX79" s="863">
        <f>Wireline!DK75</f>
        <v>8876</v>
      </c>
      <c r="CY79" s="863">
        <f>Wireline!DL75</f>
        <v>8811</v>
      </c>
      <c r="CZ79" s="864">
        <f>Wireline!DM75</f>
        <v>8920</v>
      </c>
      <c r="DA79" s="863">
        <f>Wireline!DN75</f>
        <v>8765</v>
      </c>
      <c r="DB79" s="863">
        <f>Wireline!DO75</f>
        <v>7823</v>
      </c>
      <c r="DC79" s="863">
        <f>Wireline!DP75</f>
        <v>7787</v>
      </c>
      <c r="DD79" s="863">
        <f>Wireline!DQ75</f>
        <v>7812</v>
      </c>
      <c r="DE79" s="863">
        <f>Wireline!DR75</f>
        <v>7876</v>
      </c>
      <c r="DF79" s="863">
        <f>Wireline!DS75</f>
        <v>7802</v>
      </c>
      <c r="DG79" s="863">
        <f>Wireline!DT75</f>
        <v>7662</v>
      </c>
      <c r="DH79" s="863">
        <f>Wireline!DU75</f>
        <v>7617</v>
      </c>
      <c r="DI79" s="863">
        <f>Wireline!DV75</f>
        <v>7557</v>
      </c>
      <c r="DJ79" s="863">
        <f>Wireline!DW75</f>
        <v>7542.0353558806746</v>
      </c>
      <c r="DK79" s="863">
        <f>Wireline!DX75</f>
        <v>7530.1227766780867</v>
      </c>
      <c r="DL79" s="863">
        <f>Wireline!DY75</f>
        <v>7492.3701065093419</v>
      </c>
    </row>
    <row r="80" spans="1:116" s="808" customFormat="1">
      <c r="A80" s="812" t="s">
        <v>749</v>
      </c>
      <c r="B80" s="812"/>
      <c r="C80" s="812"/>
      <c r="D80" s="842"/>
      <c r="E80" s="842"/>
      <c r="F80" s="842">
        <v>16886</v>
      </c>
      <c r="G80" s="842">
        <v>13820</v>
      </c>
      <c r="H80" s="842">
        <v>9241</v>
      </c>
      <c r="I80" s="808">
        <f>SUM(BM80:BP80)</f>
        <v>13700</v>
      </c>
      <c r="J80" s="808">
        <f>SUM(BQ80:BT80)</f>
        <v>13421</v>
      </c>
      <c r="K80" s="808">
        <f>Wireline!P133</f>
        <v>12893</v>
      </c>
      <c r="L80" s="808">
        <f>Wireline!Q133</f>
        <v>9713</v>
      </c>
      <c r="M80" s="808">
        <f>Wireline!R133</f>
        <v>9237</v>
      </c>
      <c r="N80" s="808">
        <f>Wireline!S133</f>
        <v>9417</v>
      </c>
      <c r="O80" s="808">
        <f>Wireline!T133</f>
        <v>8435</v>
      </c>
      <c r="P80" s="808">
        <f>Wireline!U133</f>
        <v>8657</v>
      </c>
      <c r="Q80" s="808">
        <f>Wireline!V133</f>
        <v>8917</v>
      </c>
      <c r="R80" s="808">
        <f>Wireline!W133</f>
        <v>6654</v>
      </c>
      <c r="S80" s="808">
        <f>Wireline!X133</f>
        <v>6310</v>
      </c>
      <c r="T80" s="808">
        <f>Wireline!Y133</f>
        <v>6613</v>
      </c>
      <c r="U80" s="808">
        <f ca="1">Wireline!Z133</f>
        <v>6428.8559225687131</v>
      </c>
      <c r="V80" s="863">
        <f ca="1">Wireline!AA133</f>
        <v>6419.7279704959456</v>
      </c>
      <c r="W80" s="863">
        <f ca="1">Wireline!AB133</f>
        <v>6305.0638120086442</v>
      </c>
      <c r="X80" s="863">
        <f ca="1">Wireline!AC133</f>
        <v>6201.5558806913023</v>
      </c>
      <c r="Y80" s="863">
        <f ca="1">Wireline!AD133</f>
        <v>6106.8471211134247</v>
      </c>
      <c r="Z80" s="863">
        <f ca="1">Wireline!AE133</f>
        <v>6019.0625236011847</v>
      </c>
      <c r="AA80" s="863">
        <f ca="1">Wireline!AF133</f>
        <v>5936.7155822437426</v>
      </c>
      <c r="AB80" s="863">
        <f ca="1">Wireline!AG133</f>
        <v>5858.6344350422423</v>
      </c>
      <c r="AS80" s="842"/>
      <c r="AT80" s="842"/>
      <c r="AU80" s="842"/>
      <c r="AV80" s="842"/>
      <c r="AW80" s="842"/>
      <c r="AX80" s="842"/>
      <c r="AY80" s="842"/>
      <c r="AZ80" s="842"/>
      <c r="BA80" s="842">
        <v>4995</v>
      </c>
      <c r="BB80" s="842">
        <v>4569</v>
      </c>
      <c r="BC80" s="842">
        <v>3905</v>
      </c>
      <c r="BD80" s="842">
        <v>3417</v>
      </c>
      <c r="BE80" s="842">
        <v>3358</v>
      </c>
      <c r="BF80" s="842">
        <v>3494</v>
      </c>
      <c r="BG80" s="842">
        <v>3493</v>
      </c>
      <c r="BH80" s="842">
        <v>3475</v>
      </c>
      <c r="BI80" s="842">
        <v>2395</v>
      </c>
      <c r="BJ80" s="842">
        <v>2295</v>
      </c>
      <c r="BK80" s="842">
        <v>2449</v>
      </c>
      <c r="BL80" s="842">
        <v>2102</v>
      </c>
      <c r="BM80" s="862">
        <f>Wireline!BZ133</f>
        <v>3346</v>
      </c>
      <c r="BN80" s="863">
        <f>Wireline!CA133</f>
        <v>3520</v>
      </c>
      <c r="BO80" s="863">
        <f>Wireline!CB133</f>
        <v>3373</v>
      </c>
      <c r="BP80" s="863">
        <f>Wireline!CC133</f>
        <v>3461</v>
      </c>
      <c r="BQ80" s="862">
        <f>Wireline!CD133</f>
        <v>3286</v>
      </c>
      <c r="BR80" s="863">
        <f>Wireline!CE133</f>
        <v>3293</v>
      </c>
      <c r="BS80" s="863">
        <f>Wireline!CF133</f>
        <v>3365</v>
      </c>
      <c r="BT80" s="863">
        <f>Wireline!CG133</f>
        <v>3477</v>
      </c>
      <c r="BU80" s="862">
        <f>Wireline!CH133</f>
        <v>3249</v>
      </c>
      <c r="BV80" s="863">
        <f>Wireline!CI133</f>
        <v>3308</v>
      </c>
      <c r="BW80" s="863">
        <f>Wireline!CJ133</f>
        <v>3314</v>
      </c>
      <c r="BX80" s="863">
        <f>Wireline!CK133</f>
        <v>3022</v>
      </c>
      <c r="BY80" s="862">
        <f>Wireline!CL133</f>
        <v>2445</v>
      </c>
      <c r="BZ80" s="863">
        <f>Wireline!CM133</f>
        <v>2474</v>
      </c>
      <c r="CA80" s="863">
        <f>Wireline!CN133</f>
        <v>2409</v>
      </c>
      <c r="CB80" s="863">
        <f>Wireline!CO133</f>
        <v>2385</v>
      </c>
      <c r="CC80" s="862">
        <f>Wireline!CP133</f>
        <v>2184</v>
      </c>
      <c r="CD80" s="863">
        <f>Wireline!CQ133</f>
        <v>2307</v>
      </c>
      <c r="CE80" s="863">
        <f>Wireline!CR133</f>
        <v>2332</v>
      </c>
      <c r="CF80" s="863">
        <f>Wireline!CS133</f>
        <v>2414</v>
      </c>
      <c r="CG80" s="862">
        <f>Wireline!CT133</f>
        <v>2395</v>
      </c>
      <c r="CH80" s="863">
        <f>Wireline!CU133</f>
        <v>2435</v>
      </c>
      <c r="CI80" s="863">
        <f>Wireline!CV133</f>
        <v>2172</v>
      </c>
      <c r="CJ80" s="863">
        <f>Wireline!CW133</f>
        <v>2415</v>
      </c>
      <c r="CK80" s="862">
        <f>Wireline!CX133</f>
        <v>2247</v>
      </c>
      <c r="CL80" s="863">
        <f>Wireline!CY133</f>
        <v>2263</v>
      </c>
      <c r="CM80" s="863">
        <f>Wireline!CZ133</f>
        <v>2148</v>
      </c>
      <c r="CN80" s="863">
        <f>Wireline!DA133</f>
        <v>1777</v>
      </c>
      <c r="CO80" s="862">
        <f>Wireline!DB133</f>
        <v>2098</v>
      </c>
      <c r="CP80" s="863">
        <f>Wireline!DC133</f>
        <v>2151</v>
      </c>
      <c r="CQ80" s="863">
        <f>Wireline!DD133</f>
        <v>2221</v>
      </c>
      <c r="CR80" s="863">
        <f>Wireline!DE133</f>
        <v>2187</v>
      </c>
      <c r="CS80" s="862">
        <f>Wireline!DF133</f>
        <v>2174</v>
      </c>
      <c r="CT80" s="863">
        <f>Wireline!DG133</f>
        <v>2258</v>
      </c>
      <c r="CU80" s="863">
        <f>Wireline!DH133</f>
        <v>2203</v>
      </c>
      <c r="CV80" s="864">
        <f>Wireline!DI133</f>
        <v>2282</v>
      </c>
      <c r="CW80" s="863">
        <f>Wireline!DJ133</f>
        <v>1596</v>
      </c>
      <c r="CX80" s="863">
        <f>Wireline!DK133</f>
        <v>1663</v>
      </c>
      <c r="CY80" s="863">
        <f>Wireline!DL133</f>
        <v>1656</v>
      </c>
      <c r="CZ80" s="864">
        <f>Wireline!DM133</f>
        <v>1739</v>
      </c>
      <c r="DA80" s="863">
        <f>Wireline!DN133</f>
        <v>1652</v>
      </c>
      <c r="DB80" s="863">
        <f>Wireline!DO133</f>
        <v>1099</v>
      </c>
      <c r="DC80" s="863">
        <f>Wireline!DP133</f>
        <v>1654</v>
      </c>
      <c r="DD80" s="863">
        <f>Wireline!DQ133</f>
        <v>1879</v>
      </c>
      <c r="DE80" s="863">
        <f>Wireline!DR133</f>
        <v>1785</v>
      </c>
      <c r="DF80" s="863">
        <f>Wireline!DS133</f>
        <v>1620</v>
      </c>
      <c r="DG80" s="863">
        <f>Wireline!DT133</f>
        <v>1614</v>
      </c>
      <c r="DH80" s="863">
        <f>Wireline!DU133</f>
        <v>1594</v>
      </c>
      <c r="DI80" s="863">
        <f>Wireline!DV133</f>
        <v>1603</v>
      </c>
      <c r="DJ80" s="863">
        <f ca="1">Wireline!DW133</f>
        <v>1587.9022307769069</v>
      </c>
      <c r="DK80" s="863">
        <f ca="1">Wireline!DX133</f>
        <v>1639.8257254840614</v>
      </c>
      <c r="DL80" s="863">
        <f ca="1">Wireline!DY133</f>
        <v>1598.1279663077435</v>
      </c>
    </row>
    <row r="81" spans="1:116" s="808" customFormat="1">
      <c r="A81" s="812"/>
      <c r="B81" s="812"/>
      <c r="C81" s="812"/>
      <c r="D81" s="842"/>
      <c r="E81" s="842"/>
      <c r="F81" s="842"/>
      <c r="G81" s="842"/>
      <c r="H81" s="842"/>
      <c r="V81" s="863"/>
      <c r="W81" s="863"/>
      <c r="X81" s="863"/>
      <c r="Y81" s="863"/>
      <c r="Z81" s="863"/>
      <c r="AA81" s="863"/>
      <c r="AB81" s="863"/>
      <c r="AS81" s="842"/>
      <c r="AT81" s="842"/>
      <c r="AU81" s="842"/>
      <c r="AV81" s="842"/>
      <c r="AW81" s="842"/>
      <c r="AX81" s="842"/>
      <c r="AY81" s="842"/>
      <c r="AZ81" s="842"/>
      <c r="BA81" s="842"/>
      <c r="BB81" s="842"/>
      <c r="BC81" s="842"/>
      <c r="BD81" s="842"/>
      <c r="BE81" s="842"/>
      <c r="BF81" s="842"/>
      <c r="BG81" s="842"/>
      <c r="BH81" s="842"/>
      <c r="BI81" s="842"/>
      <c r="BJ81" s="842"/>
      <c r="BK81" s="842"/>
      <c r="BL81" s="842"/>
      <c r="BM81" s="862"/>
      <c r="BN81" s="863"/>
      <c r="BO81" s="863"/>
      <c r="BP81" s="863"/>
      <c r="BQ81" s="862"/>
      <c r="BR81" s="863"/>
      <c r="BS81" s="863"/>
      <c r="BT81" s="863"/>
      <c r="BU81" s="862"/>
      <c r="BV81" s="863"/>
      <c r="BW81" s="863"/>
      <c r="BX81" s="863"/>
      <c r="BY81" s="862"/>
      <c r="BZ81" s="863"/>
      <c r="CA81" s="863"/>
      <c r="CB81" s="863"/>
      <c r="CC81" s="862"/>
      <c r="CD81" s="863"/>
      <c r="CE81" s="863"/>
      <c r="CF81" s="863"/>
      <c r="CG81" s="862"/>
      <c r="CH81" s="863"/>
      <c r="CI81" s="863"/>
      <c r="CJ81" s="863"/>
      <c r="CK81" s="862"/>
      <c r="CL81" s="863"/>
      <c r="CM81" s="863"/>
      <c r="CN81" s="863"/>
      <c r="CO81" s="862"/>
      <c r="CP81" s="863"/>
      <c r="CQ81" s="863"/>
      <c r="CR81" s="863"/>
      <c r="CS81" s="862"/>
      <c r="CT81" s="863"/>
      <c r="CU81" s="863"/>
      <c r="CV81" s="864"/>
      <c r="CW81" s="863"/>
      <c r="CX81" s="863"/>
      <c r="CY81" s="863"/>
      <c r="CZ81" s="864"/>
      <c r="DA81" s="863"/>
      <c r="DB81" s="863"/>
      <c r="DC81" s="863"/>
      <c r="DD81" s="863"/>
      <c r="DE81" s="863"/>
      <c r="DF81" s="863"/>
      <c r="DG81" s="863"/>
      <c r="DH81" s="863"/>
      <c r="DI81" s="863"/>
      <c r="DJ81" s="863"/>
      <c r="DK81" s="863"/>
      <c r="DL81" s="863"/>
    </row>
    <row r="82" spans="1:116" s="808" customFormat="1">
      <c r="A82" s="820" t="s">
        <v>765</v>
      </c>
      <c r="B82" s="812"/>
      <c r="C82" s="812"/>
      <c r="D82" s="842">
        <v>7122</v>
      </c>
      <c r="E82" s="842">
        <v>10981</v>
      </c>
      <c r="F82" s="842">
        <v>15042</v>
      </c>
      <c r="G82" s="842">
        <v>17367</v>
      </c>
      <c r="H82" s="842">
        <v>18359</v>
      </c>
      <c r="V82" s="863"/>
      <c r="W82" s="863"/>
      <c r="X82" s="863"/>
      <c r="Y82" s="863"/>
      <c r="Z82" s="863"/>
      <c r="AA82" s="863"/>
      <c r="AB82" s="863"/>
      <c r="AS82" s="842">
        <v>5967</v>
      </c>
      <c r="AT82" s="842">
        <v>6837</v>
      </c>
      <c r="AU82" s="842">
        <v>7877</v>
      </c>
      <c r="AV82" s="842">
        <v>7122</v>
      </c>
      <c r="AW82" s="842">
        <v>8163</v>
      </c>
      <c r="AX82" s="842">
        <v>9235</v>
      </c>
      <c r="AY82" s="842">
        <v>10247</v>
      </c>
      <c r="AZ82" s="842">
        <v>10981</v>
      </c>
      <c r="BA82" s="842">
        <v>12314</v>
      </c>
      <c r="BB82" s="842">
        <v>13553</v>
      </c>
      <c r="BC82" s="842">
        <v>14574</v>
      </c>
      <c r="BD82" s="842">
        <v>15042</v>
      </c>
      <c r="BE82" s="842">
        <v>15877</v>
      </c>
      <c r="BF82" s="842">
        <v>16506</v>
      </c>
      <c r="BG82" s="842">
        <v>17028</v>
      </c>
      <c r="BH82" s="842">
        <v>17367</v>
      </c>
      <c r="BI82" s="842">
        <v>17741</v>
      </c>
      <c r="BJ82" s="842">
        <v>17964</v>
      </c>
      <c r="BK82" s="842">
        <v>18150</v>
      </c>
      <c r="BL82" s="842">
        <v>18359</v>
      </c>
      <c r="BM82" s="862"/>
      <c r="BN82" s="863"/>
      <c r="BO82" s="863"/>
      <c r="BP82" s="863"/>
      <c r="BQ82" s="862"/>
      <c r="BR82" s="863"/>
      <c r="BS82" s="863"/>
      <c r="BT82" s="863"/>
      <c r="BU82" s="862"/>
      <c r="BV82" s="863"/>
      <c r="BW82" s="863"/>
      <c r="BX82" s="863"/>
      <c r="BY82" s="862"/>
      <c r="BZ82" s="863"/>
      <c r="CA82" s="863"/>
      <c r="CB82" s="863"/>
      <c r="CC82" s="862"/>
      <c r="CD82" s="863"/>
      <c r="CE82" s="863"/>
      <c r="CF82" s="863"/>
      <c r="CG82" s="862"/>
      <c r="CH82" s="863"/>
      <c r="CI82" s="863"/>
      <c r="CJ82" s="863"/>
      <c r="CK82" s="862"/>
      <c r="CL82" s="863"/>
      <c r="CM82" s="863"/>
      <c r="CN82" s="863"/>
      <c r="CO82" s="862"/>
      <c r="CP82" s="863"/>
      <c r="CQ82" s="863"/>
      <c r="CR82" s="863"/>
      <c r="CS82" s="862"/>
      <c r="CT82" s="863"/>
      <c r="CU82" s="863"/>
      <c r="CV82" s="864"/>
      <c r="CW82" s="863"/>
      <c r="CX82" s="863"/>
      <c r="CY82" s="863"/>
      <c r="CZ82" s="864"/>
      <c r="DA82" s="863"/>
      <c r="DB82" s="863"/>
      <c r="DC82" s="863"/>
      <c r="DD82" s="863"/>
      <c r="DE82" s="863"/>
      <c r="DF82" s="863"/>
      <c r="DG82" s="863"/>
      <c r="DH82" s="863"/>
      <c r="DI82" s="863"/>
      <c r="DJ82" s="863"/>
      <c r="DK82" s="863"/>
      <c r="DL82" s="863"/>
    </row>
    <row r="83" spans="1:116" s="808" customFormat="1">
      <c r="A83" s="812"/>
      <c r="B83" s="812"/>
      <c r="C83" s="812"/>
      <c r="V83" s="863"/>
      <c r="W83" s="863"/>
      <c r="X83" s="863"/>
      <c r="Y83" s="863"/>
      <c r="Z83" s="863"/>
      <c r="AA83" s="863"/>
      <c r="AB83" s="863"/>
      <c r="AS83" s="842"/>
      <c r="AT83" s="842"/>
      <c r="AU83" s="842"/>
      <c r="AV83" s="842"/>
      <c r="AW83" s="842"/>
      <c r="AX83" s="842"/>
      <c r="AY83" s="842"/>
      <c r="AZ83" s="842"/>
      <c r="BA83" s="842"/>
      <c r="BB83" s="842"/>
      <c r="BC83" s="842"/>
      <c r="BD83" s="842"/>
      <c r="BE83" s="842"/>
      <c r="BF83" s="842"/>
      <c r="BG83" s="842"/>
      <c r="BH83" s="842"/>
      <c r="BI83" s="842"/>
      <c r="BJ83" s="842"/>
      <c r="BK83" s="842"/>
      <c r="BL83" s="842"/>
      <c r="BM83" s="862"/>
      <c r="BN83" s="863"/>
      <c r="BO83" s="863"/>
      <c r="BP83" s="863"/>
      <c r="BQ83" s="862"/>
      <c r="BR83" s="863"/>
      <c r="BS83" s="863"/>
      <c r="BT83" s="863"/>
      <c r="BU83" s="862"/>
      <c r="BV83" s="863"/>
      <c r="BW83" s="863"/>
      <c r="BX83" s="863"/>
      <c r="BY83" s="862"/>
      <c r="BZ83" s="863"/>
      <c r="CA83" s="863"/>
      <c r="CB83" s="863"/>
      <c r="CC83" s="862"/>
      <c r="CD83" s="863"/>
      <c r="CE83" s="863"/>
      <c r="CF83" s="863"/>
      <c r="CG83" s="862"/>
      <c r="CH83" s="863"/>
      <c r="CI83" s="863"/>
      <c r="CJ83" s="863"/>
      <c r="CK83" s="862"/>
      <c r="CL83" s="863"/>
      <c r="CM83" s="863"/>
      <c r="CN83" s="863"/>
      <c r="CO83" s="862"/>
      <c r="CP83" s="863"/>
      <c r="CQ83" s="863"/>
      <c r="CR83" s="863"/>
      <c r="CS83" s="862"/>
      <c r="CT83" s="863"/>
      <c r="CU83" s="863"/>
      <c r="CV83" s="864"/>
      <c r="CW83" s="863"/>
      <c r="CX83" s="863"/>
      <c r="CY83" s="863"/>
      <c r="CZ83" s="864"/>
      <c r="DA83" s="863"/>
      <c r="DB83" s="863"/>
      <c r="DC83" s="863"/>
      <c r="DD83" s="863"/>
      <c r="DE83" s="863"/>
      <c r="DF83" s="863"/>
      <c r="DG83" s="863"/>
      <c r="DH83" s="863"/>
      <c r="DI83" s="863"/>
      <c r="DJ83" s="863"/>
      <c r="DK83" s="863"/>
      <c r="DL83" s="863"/>
    </row>
    <row r="84" spans="1:116" s="808" customFormat="1" ht="12" thickBot="1">
      <c r="A84" s="849" t="s">
        <v>766</v>
      </c>
      <c r="B84" s="850"/>
      <c r="C84" s="850"/>
      <c r="D84" s="851"/>
      <c r="E84" s="851"/>
      <c r="F84" s="851"/>
      <c r="G84" s="851"/>
      <c r="H84" s="851"/>
      <c r="I84" s="851"/>
      <c r="J84" s="851"/>
      <c r="K84" s="851"/>
      <c r="L84" s="851"/>
      <c r="M84" s="851"/>
      <c r="N84" s="851"/>
      <c r="O84" s="851"/>
      <c r="P84" s="851"/>
      <c r="Q84" s="851"/>
      <c r="R84" s="851"/>
      <c r="S84" s="851"/>
      <c r="T84" s="851"/>
      <c r="U84" s="851"/>
      <c r="V84" s="851"/>
      <c r="W84" s="851"/>
      <c r="X84" s="851"/>
      <c r="Y84" s="851"/>
      <c r="Z84" s="851"/>
      <c r="AA84" s="851"/>
      <c r="AB84" s="851"/>
      <c r="AC84" s="851"/>
      <c r="AD84" s="851"/>
      <c r="AE84" s="851"/>
      <c r="AF84" s="851"/>
      <c r="AG84" s="851"/>
      <c r="AH84" s="851"/>
      <c r="AI84" s="851"/>
      <c r="AJ84" s="851"/>
      <c r="AK84" s="851"/>
      <c r="AL84" s="851"/>
      <c r="AM84" s="851"/>
      <c r="AN84" s="851"/>
      <c r="AO84" s="851"/>
      <c r="AP84" s="851"/>
      <c r="AQ84" s="851"/>
      <c r="AR84" s="851"/>
      <c r="AS84" s="899">
        <v>3731</v>
      </c>
      <c r="AT84" s="899">
        <v>4066</v>
      </c>
      <c r="AU84" s="899">
        <v>4183</v>
      </c>
      <c r="AV84" s="899">
        <v>4031</v>
      </c>
      <c r="AW84" s="899">
        <v>4052</v>
      </c>
      <c r="AX84" s="899">
        <v>4369</v>
      </c>
      <c r="AY84" s="899">
        <v>4613</v>
      </c>
      <c r="AZ84" s="899">
        <v>4713</v>
      </c>
      <c r="BA84" s="899">
        <v>4660</v>
      </c>
      <c r="BB84" s="899">
        <v>5011</v>
      </c>
      <c r="BC84" s="899">
        <v>5299</v>
      </c>
      <c r="BD84" s="899">
        <v>5366</v>
      </c>
      <c r="BE84" s="899">
        <v>5501</v>
      </c>
      <c r="BF84" s="899">
        <v>6043</v>
      </c>
      <c r="BG84" s="899">
        <v>6389</v>
      </c>
      <c r="BH84" s="899">
        <v>6467</v>
      </c>
      <c r="BI84" s="899">
        <v>6557</v>
      </c>
      <c r="BJ84" s="899">
        <v>6874</v>
      </c>
      <c r="BK84" s="899">
        <v>7270</v>
      </c>
      <c r="BL84" s="899">
        <v>7430</v>
      </c>
      <c r="BM84" s="883">
        <f>Wless!BZ10</f>
        <v>7609</v>
      </c>
      <c r="BN84" s="851">
        <f>Wless!CA10</f>
        <v>8036</v>
      </c>
      <c r="BO84" s="851">
        <f>Wless!CB10</f>
        <v>8469</v>
      </c>
      <c r="BP84" s="851">
        <f>Wless!CC10</f>
        <v>8682</v>
      </c>
      <c r="BQ84" s="883">
        <f>Wless!CD10</f>
        <v>8991</v>
      </c>
      <c r="BR84" s="851">
        <f>Wless!CE10</f>
        <v>9402</v>
      </c>
      <c r="BS84" s="851">
        <f>Wless!CF10</f>
        <v>9749</v>
      </c>
      <c r="BT84" s="851">
        <f>Wless!CG10</f>
        <v>9874</v>
      </c>
      <c r="BU84" s="883">
        <f>Wless!CH25</f>
        <v>11535</v>
      </c>
      <c r="BV84" s="851">
        <f>Wless!CI25</f>
        <v>11923</v>
      </c>
      <c r="BW84" s="851">
        <f>Wless!CJ25</f>
        <v>12420</v>
      </c>
      <c r="BX84" s="851">
        <f>Wless!CK25</f>
        <v>12558</v>
      </c>
      <c r="BY84" s="883">
        <f>Wless!CL25</f>
        <v>12725</v>
      </c>
      <c r="BZ84" s="851">
        <f>Wless!CM25</f>
        <v>12989</v>
      </c>
      <c r="CA84" s="851">
        <f>Wless!CN25</f>
        <v>13149</v>
      </c>
      <c r="CB84" s="851">
        <f>Wless!CO25</f>
        <v>13183</v>
      </c>
      <c r="CC84" s="883">
        <f>Wless!CP25</f>
        <v>13466</v>
      </c>
      <c r="CD84" s="851">
        <f>Wless!CQ25</f>
        <v>13802</v>
      </c>
      <c r="CE84" s="851">
        <f>Wless!CR25</f>
        <v>14168</v>
      </c>
      <c r="CF84" s="851">
        <f>Wless!CS25</f>
        <v>14193</v>
      </c>
      <c r="CG84" s="883">
        <f>Wless!CT25</f>
        <v>14311</v>
      </c>
      <c r="CH84" s="851">
        <f>Wless!CU25</f>
        <v>14707</v>
      </c>
      <c r="CI84" s="851">
        <f>Wless!CV25</f>
        <v>15033</v>
      </c>
      <c r="CJ84" s="851">
        <f>Wless!CW25</f>
        <v>15106</v>
      </c>
      <c r="CK84" s="883">
        <f>Wless!CX25</f>
        <v>15410</v>
      </c>
      <c r="CL84" s="851">
        <f>Wless!CY25</f>
        <v>15776</v>
      </c>
      <c r="CM84" s="851">
        <f>Wless!CZ25</f>
        <v>16154</v>
      </c>
      <c r="CN84" s="851">
        <f>Wless!DA25</f>
        <v>16393</v>
      </c>
      <c r="CO84" s="883">
        <f>Wless!DB25</f>
        <v>16728</v>
      </c>
      <c r="CP84" s="851">
        <f>Wless!DC25</f>
        <v>17078</v>
      </c>
      <c r="CQ84" s="851">
        <f>Wless!DD25</f>
        <v>17516</v>
      </c>
      <c r="CR84" s="851">
        <f>Wless!DE25</f>
        <v>17711</v>
      </c>
      <c r="CS84" s="883">
        <f>Wless!DF25</f>
        <v>17987</v>
      </c>
      <c r="CT84" s="851">
        <f>Wless!DG25</f>
        <v>18078</v>
      </c>
      <c r="CU84" s="851">
        <f>Wless!DH25</f>
        <v>18356</v>
      </c>
      <c r="CV84" s="884">
        <f>Wless!DI25</f>
        <v>18209</v>
      </c>
      <c r="CW84" s="851">
        <f>Wless!DJ25</f>
        <v>17914</v>
      </c>
      <c r="CX84" s="851">
        <f>Wless!DK25</f>
        <v>17689</v>
      </c>
      <c r="CY84" s="851">
        <f>Wless!DL25</f>
        <v>17598</v>
      </c>
      <c r="CZ84" s="884">
        <f>Wless!DM25</f>
        <v>17195</v>
      </c>
      <c r="DA84" s="863">
        <f>Wless!DN25</f>
        <v>16809</v>
      </c>
      <c r="DB84" s="863">
        <f>Wless!DO25</f>
        <v>16741</v>
      </c>
      <c r="DC84" s="863">
        <f>Wless!DP25</f>
        <v>16684</v>
      </c>
      <c r="DD84" s="863">
        <f>Wless!DQ25</f>
        <v>16346</v>
      </c>
      <c r="DE84" s="863">
        <f>Wless!DR25</f>
        <v>15778</v>
      </c>
      <c r="DF84" s="863">
        <f>Wless!DS25</f>
        <v>15622</v>
      </c>
      <c r="DG84" s="863">
        <f>Wless!DT25</f>
        <v>15841</v>
      </c>
      <c r="DH84" s="863">
        <f>Wless!DU25</f>
        <v>15880</v>
      </c>
      <c r="DI84" s="863">
        <f>Wless!DV25</f>
        <v>15402</v>
      </c>
      <c r="DJ84" s="863">
        <f ca="1">Wless!DW25</f>
        <v>15430.390651275204</v>
      </c>
      <c r="DK84" s="863">
        <f ca="1">Wless!DX25</f>
        <v>15639.60352297711</v>
      </c>
      <c r="DL84" s="863">
        <f ca="1">Wless!DY25</f>
        <v>15640.379740529916</v>
      </c>
    </row>
    <row r="85" spans="1:116" s="808" customFormat="1">
      <c r="A85" s="820" t="s">
        <v>767</v>
      </c>
      <c r="B85" s="812"/>
      <c r="C85" s="812"/>
      <c r="V85" s="863"/>
      <c r="W85" s="863"/>
      <c r="X85" s="863"/>
      <c r="Y85" s="863"/>
      <c r="Z85" s="863"/>
      <c r="AA85" s="863"/>
      <c r="AB85" s="863"/>
      <c r="BM85" s="900">
        <f>Wless!BZ25</f>
        <v>8958.1479999999992</v>
      </c>
      <c r="BN85" s="901">
        <f>Wless!CA25</f>
        <v>9470.1280000000006</v>
      </c>
      <c r="BO85" s="901">
        <f>Wless!CB25</f>
        <v>9964.4429999999993</v>
      </c>
      <c r="BP85" s="901">
        <f>Wless!CC25</f>
        <v>10233.102999999999</v>
      </c>
      <c r="BQ85" s="900">
        <f>Wless!CD25</f>
        <v>10571.119999999999</v>
      </c>
      <c r="BR85" s="901">
        <f>Wless!CE25</f>
        <v>11073.616</v>
      </c>
      <c r="BS85" s="901">
        <f>Wless!CF25</f>
        <v>11520.474</v>
      </c>
      <c r="BT85" s="901">
        <f>Wless!CG25</f>
        <v>11635.1</v>
      </c>
      <c r="BU85" s="862">
        <f>Wless!CH25</f>
        <v>11535</v>
      </c>
      <c r="BV85" s="863">
        <f>Wless!CI25</f>
        <v>11923</v>
      </c>
      <c r="BW85" s="863">
        <f>Wless!CJ25</f>
        <v>12420</v>
      </c>
      <c r="BX85" s="863">
        <f>Wless!CK25</f>
        <v>12558</v>
      </c>
      <c r="BY85" s="862">
        <f>Wless!CL25</f>
        <v>12725</v>
      </c>
      <c r="BZ85" s="863">
        <f>Wless!CM25</f>
        <v>12989</v>
      </c>
      <c r="CA85" s="863">
        <f>Wless!CN25</f>
        <v>13149</v>
      </c>
      <c r="CB85" s="863">
        <f>Wless!CO25</f>
        <v>13183</v>
      </c>
      <c r="CC85" s="862">
        <f>Wless!CP25</f>
        <v>13466</v>
      </c>
      <c r="CD85" s="863">
        <f>Wless!CQ25</f>
        <v>13802</v>
      </c>
      <c r="CE85" s="863">
        <f>Wless!CR25</f>
        <v>14168</v>
      </c>
      <c r="CF85" s="863">
        <f>Wless!CS25</f>
        <v>14193</v>
      </c>
      <c r="CG85" s="862">
        <f>Wless!CT25</f>
        <v>14311</v>
      </c>
      <c r="CH85" s="863">
        <f>Wless!CU25</f>
        <v>14707</v>
      </c>
      <c r="CI85" s="863">
        <f>Wless!CV25</f>
        <v>15033</v>
      </c>
      <c r="CJ85" s="863">
        <f>Wless!CW25</f>
        <v>15106</v>
      </c>
      <c r="CK85" s="862">
        <f>Wless!CX25</f>
        <v>15410</v>
      </c>
      <c r="CL85" s="863">
        <f>Wless!CY25</f>
        <v>15776</v>
      </c>
      <c r="CM85" s="863">
        <f>Wless!CZ25</f>
        <v>16154</v>
      </c>
      <c r="CN85" s="863">
        <f>Wless!DA25</f>
        <v>16393</v>
      </c>
      <c r="CO85" s="862">
        <f>Wless!DB25</f>
        <v>16728</v>
      </c>
      <c r="CP85" s="863">
        <f>Wless!DC25</f>
        <v>17078</v>
      </c>
      <c r="CQ85" s="863">
        <f>Wless!DD25</f>
        <v>17516</v>
      </c>
      <c r="CR85" s="863">
        <f>Wless!DE25</f>
        <v>17711</v>
      </c>
      <c r="CS85" s="862">
        <f>Wless!DF25</f>
        <v>17987</v>
      </c>
      <c r="CT85" s="863">
        <f>Wless!DG25</f>
        <v>18078</v>
      </c>
      <c r="CU85" s="863">
        <f>Wless!DH25</f>
        <v>18356</v>
      </c>
      <c r="CV85" s="864">
        <f>Wless!DI25</f>
        <v>18209</v>
      </c>
      <c r="CW85" s="863">
        <f>Wless!DJ25</f>
        <v>17914</v>
      </c>
      <c r="CX85" s="863">
        <f>Wless!DK25</f>
        <v>17689</v>
      </c>
      <c r="CY85" s="863">
        <f>Wless!DL25</f>
        <v>17598</v>
      </c>
      <c r="CZ85" s="864">
        <f>Wless!DM25</f>
        <v>17195</v>
      </c>
      <c r="DA85" s="863">
        <f>Wless!DN25</f>
        <v>16809</v>
      </c>
      <c r="DB85" s="863">
        <f>Wless!DO25</f>
        <v>16741</v>
      </c>
      <c r="DC85" s="863">
        <f>Wless!DP25</f>
        <v>16684</v>
      </c>
      <c r="DD85" s="863">
        <f>Wless!DQ25</f>
        <v>16346</v>
      </c>
      <c r="DE85" s="863">
        <f>Wless!DR25</f>
        <v>15778</v>
      </c>
      <c r="DF85" s="863">
        <f>Wless!DS25</f>
        <v>15622</v>
      </c>
      <c r="DG85" s="863">
        <f>Wless!DT25</f>
        <v>15841</v>
      </c>
      <c r="DH85" s="863">
        <f>Wless!DU25</f>
        <v>15880</v>
      </c>
      <c r="DI85" s="863">
        <f>Wless!DV25</f>
        <v>15402</v>
      </c>
      <c r="DJ85" s="863">
        <f ca="1">Wless!DW25</f>
        <v>15430.390651275204</v>
      </c>
      <c r="DK85" s="863">
        <f ca="1">Wless!DX25</f>
        <v>15639.60352297711</v>
      </c>
      <c r="DL85" s="863">
        <f ca="1">Wless!DY25</f>
        <v>15640.379740529916</v>
      </c>
    </row>
    <row r="86" spans="1:116" s="808" customFormat="1">
      <c r="A86" s="812"/>
      <c r="B86" s="812"/>
      <c r="C86" s="812"/>
      <c r="V86" s="863"/>
      <c r="W86" s="863"/>
      <c r="X86" s="863"/>
      <c r="Y86" s="863"/>
      <c r="Z86" s="863"/>
      <c r="AA86" s="863"/>
      <c r="AB86" s="863"/>
      <c r="BM86" s="862"/>
      <c r="BN86" s="863"/>
      <c r="BO86" s="863"/>
      <c r="BP86" s="863"/>
      <c r="BQ86" s="862"/>
      <c r="BR86" s="863"/>
      <c r="BS86" s="863"/>
      <c r="BT86" s="863"/>
      <c r="BU86" s="862"/>
      <c r="BV86" s="863"/>
      <c r="BW86" s="863"/>
      <c r="BX86" s="863"/>
      <c r="BY86" s="862"/>
      <c r="BZ86" s="863"/>
      <c r="CA86" s="863"/>
      <c r="CB86" s="863"/>
      <c r="CC86" s="862"/>
      <c r="CD86" s="863"/>
      <c r="CE86" s="863"/>
      <c r="CF86" s="863"/>
      <c r="CG86" s="862"/>
      <c r="CH86" s="863"/>
      <c r="CI86" s="863"/>
      <c r="CJ86" s="863"/>
      <c r="CK86" s="862"/>
      <c r="CL86" s="863"/>
      <c r="CM86" s="863"/>
      <c r="CN86" s="863"/>
      <c r="CO86" s="862"/>
      <c r="CP86" s="863"/>
      <c r="CQ86" s="863"/>
      <c r="CR86" s="863"/>
      <c r="CS86" s="862"/>
      <c r="CT86" s="863"/>
      <c r="CU86" s="863"/>
      <c r="CV86" s="864"/>
      <c r="CW86" s="863"/>
      <c r="CX86" s="863"/>
      <c r="CY86" s="863"/>
      <c r="CZ86" s="864"/>
      <c r="DA86" s="863"/>
      <c r="DB86" s="863"/>
      <c r="DC86" s="863"/>
      <c r="DD86" s="863"/>
      <c r="DE86" s="863"/>
      <c r="DF86" s="863"/>
      <c r="DG86" s="863"/>
      <c r="DH86" s="863"/>
      <c r="DI86" s="863"/>
      <c r="DJ86" s="863"/>
      <c r="DK86" s="863"/>
      <c r="DL86" s="863"/>
    </row>
    <row r="87" spans="1:116" s="816" customFormat="1">
      <c r="A87" s="820" t="s">
        <v>768</v>
      </c>
      <c r="B87" s="820"/>
      <c r="C87" s="820"/>
      <c r="I87" s="816">
        <f t="shared" ref="I87:U87" si="80">+I76+I88</f>
        <v>95109.94868880455</v>
      </c>
      <c r="J87" s="816">
        <f t="shared" si="80"/>
        <v>101178.14599999999</v>
      </c>
      <c r="K87" s="816">
        <f t="shared" si="80"/>
        <v>107209.46132</v>
      </c>
      <c r="L87" s="816">
        <f t="shared" si="80"/>
        <v>102413</v>
      </c>
      <c r="M87" s="816">
        <f t="shared" si="80"/>
        <v>104426</v>
      </c>
      <c r="N87" s="816">
        <f t="shared" si="80"/>
        <v>110875</v>
      </c>
      <c r="O87" s="816">
        <f t="shared" si="80"/>
        <v>115589</v>
      </c>
      <c r="P87" s="816">
        <f t="shared" si="80"/>
        <v>119951</v>
      </c>
      <c r="Q87" s="816">
        <f t="shared" si="80"/>
        <v>126823</v>
      </c>
      <c r="R87" s="816">
        <f t="shared" si="80"/>
        <v>129421</v>
      </c>
      <c r="S87" s="816">
        <f t="shared" si="80"/>
        <v>125455</v>
      </c>
      <c r="T87" s="816">
        <f t="shared" si="80"/>
        <v>126034</v>
      </c>
      <c r="U87" s="816">
        <f t="shared" ca="1" si="80"/>
        <v>128945.31879471819</v>
      </c>
      <c r="V87" s="866">
        <f ca="1">+V76+V88</f>
        <v>129036.01034932715</v>
      </c>
      <c r="W87" s="866">
        <f t="shared" ref="W87:AB87" ca="1" si="81">+W76+W88</f>
        <v>129652.72091749887</v>
      </c>
      <c r="X87" s="866">
        <f t="shared" ca="1" si="81"/>
        <v>130340.59590822672</v>
      </c>
      <c r="Y87" s="866">
        <f t="shared" ca="1" si="81"/>
        <v>131092.23550873241</v>
      </c>
      <c r="Z87" s="866">
        <f t="shared" ca="1" si="81"/>
        <v>131915.06975558677</v>
      </c>
      <c r="AA87" s="866">
        <f t="shared" ca="1" si="81"/>
        <v>132822.86191099716</v>
      </c>
      <c r="AB87" s="866">
        <f t="shared" ca="1" si="81"/>
        <v>133831.94341344427</v>
      </c>
      <c r="BM87" s="865"/>
      <c r="BN87" s="866"/>
      <c r="BO87" s="866"/>
      <c r="BP87" s="866"/>
      <c r="BQ87" s="865"/>
      <c r="BR87" s="866"/>
      <c r="BS87" s="866"/>
      <c r="BT87" s="866"/>
      <c r="BU87" s="865"/>
      <c r="BV87" s="866"/>
      <c r="BW87" s="866"/>
      <c r="BX87" s="866"/>
      <c r="BY87" s="865"/>
      <c r="BZ87" s="866"/>
      <c r="CA87" s="866"/>
      <c r="CB87" s="866"/>
      <c r="CC87" s="865"/>
      <c r="CD87" s="866"/>
      <c r="CE87" s="866"/>
      <c r="CF87" s="866"/>
      <c r="CG87" s="865"/>
      <c r="CH87" s="866"/>
      <c r="CI87" s="866"/>
      <c r="CJ87" s="866"/>
      <c r="CK87" s="865"/>
      <c r="CL87" s="866"/>
      <c r="CM87" s="866"/>
      <c r="CN87" s="866"/>
      <c r="CO87" s="865"/>
      <c r="CP87" s="866"/>
      <c r="CQ87" s="866"/>
      <c r="CR87" s="866"/>
      <c r="CS87" s="865"/>
      <c r="CT87" s="866"/>
      <c r="CU87" s="866"/>
      <c r="CV87" s="867"/>
      <c r="CW87" s="866"/>
      <c r="CX87" s="866"/>
      <c r="CY87" s="866"/>
      <c r="CZ87" s="867"/>
      <c r="DA87" s="866"/>
      <c r="DB87" s="866"/>
      <c r="DC87" s="866"/>
      <c r="DD87" s="866"/>
      <c r="DE87" s="866"/>
      <c r="DF87" s="866"/>
      <c r="DG87" s="866"/>
      <c r="DH87" s="866"/>
      <c r="DI87" s="866"/>
      <c r="DJ87" s="866"/>
      <c r="DK87" s="866"/>
      <c r="DL87" s="866"/>
    </row>
    <row r="88" spans="1:116" s="816" customFormat="1">
      <c r="A88" s="820" t="s">
        <v>769</v>
      </c>
      <c r="B88" s="820"/>
      <c r="C88" s="820"/>
      <c r="H88" s="816">
        <v>0</v>
      </c>
      <c r="I88" s="816">
        <f>SUM(I89:I90)</f>
        <v>7884.0169999999998</v>
      </c>
      <c r="J88" s="816">
        <f>SUM(J89:J90)</f>
        <v>8803.1459999999988</v>
      </c>
      <c r="K88" s="816">
        <f>SUM(K89:K90)</f>
        <v>10113.461319999999</v>
      </c>
      <c r="V88" s="866"/>
      <c r="W88" s="866"/>
      <c r="X88" s="866"/>
      <c r="Y88" s="866"/>
      <c r="Z88" s="866"/>
      <c r="AA88" s="866"/>
      <c r="AB88" s="866"/>
      <c r="BM88" s="865"/>
      <c r="BN88" s="866"/>
      <c r="BO88" s="866"/>
      <c r="BP88" s="866"/>
      <c r="BQ88" s="865"/>
      <c r="BR88" s="866"/>
      <c r="BS88" s="866"/>
      <c r="BT88" s="866"/>
      <c r="BU88" s="865"/>
      <c r="BV88" s="866"/>
      <c r="BW88" s="866"/>
      <c r="BX88" s="866"/>
      <c r="BY88" s="865"/>
      <c r="BZ88" s="866"/>
      <c r="CA88" s="866"/>
      <c r="CB88" s="866"/>
      <c r="CC88" s="865"/>
      <c r="CD88" s="866"/>
      <c r="CE88" s="866"/>
      <c r="CF88" s="866"/>
      <c r="CG88" s="865"/>
      <c r="CH88" s="866"/>
      <c r="CI88" s="866"/>
      <c r="CJ88" s="866"/>
      <c r="CK88" s="865"/>
      <c r="CL88" s="866"/>
      <c r="CM88" s="866"/>
      <c r="CN88" s="866"/>
      <c r="CO88" s="865"/>
      <c r="CP88" s="866"/>
      <c r="CQ88" s="866"/>
      <c r="CR88" s="866"/>
      <c r="CS88" s="865"/>
      <c r="CT88" s="866"/>
      <c r="CU88" s="866"/>
      <c r="CV88" s="867"/>
      <c r="CW88" s="866"/>
      <c r="CX88" s="866"/>
      <c r="CY88" s="866"/>
      <c r="CZ88" s="867"/>
      <c r="DA88" s="866"/>
      <c r="DB88" s="866"/>
      <c r="DC88" s="866"/>
      <c r="DD88" s="866"/>
      <c r="DE88" s="866"/>
      <c r="DF88" s="866"/>
      <c r="DG88" s="866"/>
      <c r="DH88" s="866"/>
      <c r="DI88" s="866"/>
      <c r="DJ88" s="866"/>
      <c r="DK88" s="866"/>
      <c r="DL88" s="866"/>
    </row>
    <row r="89" spans="1:116" s="808" customFormat="1">
      <c r="A89" s="812" t="s">
        <v>770</v>
      </c>
      <c r="B89" s="812"/>
      <c r="C89" s="812"/>
      <c r="H89" s="808">
        <v>0</v>
      </c>
      <c r="I89" s="808">
        <f>+Wless!N17</f>
        <v>7029.8220000000001</v>
      </c>
      <c r="J89" s="808">
        <f>+Wless!O17</f>
        <v>7984.3099999999995</v>
      </c>
      <c r="K89" s="808">
        <f>+Wless!P17</f>
        <v>9219.2783199999976</v>
      </c>
      <c r="V89" s="863"/>
      <c r="W89" s="863"/>
      <c r="X89" s="863"/>
      <c r="Y89" s="863"/>
      <c r="Z89" s="863"/>
      <c r="AA89" s="863"/>
      <c r="AB89" s="863"/>
      <c r="BM89" s="862"/>
      <c r="BN89" s="863"/>
      <c r="BO89" s="863"/>
      <c r="BP89" s="863"/>
      <c r="BQ89" s="862"/>
      <c r="BR89" s="863"/>
      <c r="BS89" s="863"/>
      <c r="BT89" s="863"/>
      <c r="BU89" s="862"/>
      <c r="BV89" s="863"/>
      <c r="BW89" s="863"/>
      <c r="BX89" s="863"/>
      <c r="BY89" s="862"/>
      <c r="BZ89" s="863"/>
      <c r="CA89" s="863"/>
      <c r="CB89" s="863"/>
      <c r="CC89" s="862"/>
      <c r="CD89" s="863"/>
      <c r="CE89" s="863"/>
      <c r="CF89" s="863"/>
      <c r="CG89" s="862"/>
      <c r="CH89" s="863"/>
      <c r="CI89" s="863"/>
      <c r="CJ89" s="863"/>
      <c r="CK89" s="862"/>
      <c r="CL89" s="863"/>
      <c r="CM89" s="863"/>
      <c r="CN89" s="863"/>
      <c r="CO89" s="862"/>
      <c r="CP89" s="863"/>
      <c r="CQ89" s="863"/>
      <c r="CR89" s="863"/>
      <c r="CS89" s="862"/>
      <c r="CT89" s="863"/>
      <c r="CU89" s="863"/>
      <c r="CV89" s="864"/>
      <c r="CW89" s="863"/>
      <c r="CX89" s="863"/>
      <c r="CY89" s="863"/>
      <c r="CZ89" s="864"/>
      <c r="DA89" s="863"/>
      <c r="DB89" s="863"/>
      <c r="DC89" s="863"/>
      <c r="DD89" s="863"/>
      <c r="DE89" s="863"/>
      <c r="DF89" s="863"/>
      <c r="DG89" s="863"/>
      <c r="DH89" s="863"/>
      <c r="DI89" s="863"/>
      <c r="DJ89" s="863"/>
      <c r="DK89" s="863"/>
      <c r="DL89" s="863"/>
    </row>
    <row r="90" spans="1:116" s="808" customFormat="1">
      <c r="A90" s="812" t="s">
        <v>771</v>
      </c>
      <c r="B90" s="812"/>
      <c r="C90" s="812"/>
      <c r="H90" s="808">
        <v>0</v>
      </c>
      <c r="I90" s="808">
        <f>+Wless!N18</f>
        <v>854.19500000000005</v>
      </c>
      <c r="J90" s="808">
        <f>+Wless!O18</f>
        <v>818.8359999999999</v>
      </c>
      <c r="K90" s="808">
        <f>+Wless!P18</f>
        <v>894.18299999999999</v>
      </c>
      <c r="V90" s="863"/>
      <c r="W90" s="863"/>
      <c r="X90" s="863"/>
      <c r="Y90" s="863"/>
      <c r="Z90" s="863"/>
      <c r="AA90" s="863"/>
      <c r="AB90" s="863"/>
      <c r="BM90" s="862"/>
      <c r="BN90" s="863"/>
      <c r="BO90" s="863"/>
      <c r="BP90" s="863"/>
      <c r="BQ90" s="862"/>
      <c r="BR90" s="863"/>
      <c r="BS90" s="863"/>
      <c r="BT90" s="863"/>
      <c r="BU90" s="862"/>
      <c r="BV90" s="863"/>
      <c r="BW90" s="863"/>
      <c r="BX90" s="863"/>
      <c r="BY90" s="862"/>
      <c r="BZ90" s="863"/>
      <c r="CA90" s="863"/>
      <c r="CB90" s="863"/>
      <c r="CC90" s="862"/>
      <c r="CD90" s="863"/>
      <c r="CE90" s="863"/>
      <c r="CF90" s="863"/>
      <c r="CG90" s="862"/>
      <c r="CH90" s="863"/>
      <c r="CI90" s="863"/>
      <c r="CJ90" s="863"/>
      <c r="CK90" s="862"/>
      <c r="CL90" s="863"/>
      <c r="CM90" s="863"/>
      <c r="CN90" s="863"/>
      <c r="CO90" s="862"/>
      <c r="CP90" s="863"/>
      <c r="CQ90" s="863"/>
      <c r="CR90" s="863"/>
      <c r="CS90" s="862"/>
      <c r="CT90" s="863"/>
      <c r="CU90" s="863"/>
      <c r="CV90" s="864"/>
      <c r="CW90" s="863"/>
      <c r="CX90" s="863"/>
      <c r="CY90" s="863"/>
      <c r="CZ90" s="864"/>
      <c r="DA90" s="863"/>
      <c r="DB90" s="863"/>
      <c r="DC90" s="863"/>
      <c r="DD90" s="863"/>
      <c r="DE90" s="863"/>
      <c r="DF90" s="863"/>
      <c r="DG90" s="863"/>
      <c r="DH90" s="863"/>
      <c r="DI90" s="863"/>
      <c r="DJ90" s="863"/>
      <c r="DK90" s="863"/>
      <c r="DL90" s="863"/>
    </row>
    <row r="91" spans="1:116" s="808" customFormat="1">
      <c r="A91" s="812"/>
      <c r="B91" s="812"/>
      <c r="C91" s="812"/>
      <c r="V91" s="863"/>
      <c r="W91" s="863"/>
      <c r="X91" s="863"/>
      <c r="Y91" s="863"/>
      <c r="Z91" s="863"/>
      <c r="AA91" s="863"/>
      <c r="AB91" s="863"/>
      <c r="BM91" s="862"/>
      <c r="BN91" s="863"/>
      <c r="BO91" s="863"/>
      <c r="BP91" s="863"/>
      <c r="BQ91" s="862"/>
      <c r="BR91" s="863"/>
      <c r="BS91" s="863"/>
      <c r="BT91" s="863"/>
      <c r="BU91" s="862"/>
      <c r="BV91" s="863"/>
      <c r="BW91" s="863"/>
      <c r="BX91" s="863"/>
      <c r="BY91" s="862"/>
      <c r="BZ91" s="863"/>
      <c r="CA91" s="863"/>
      <c r="CB91" s="863"/>
      <c r="CC91" s="862"/>
      <c r="CD91" s="863"/>
      <c r="CE91" s="863"/>
      <c r="CF91" s="863"/>
      <c r="CG91" s="862"/>
      <c r="CH91" s="863"/>
      <c r="CI91" s="863"/>
      <c r="CJ91" s="863"/>
      <c r="CK91" s="862"/>
      <c r="CL91" s="863"/>
      <c r="CM91" s="863"/>
      <c r="CN91" s="863"/>
      <c r="CO91" s="862"/>
      <c r="CP91" s="863"/>
      <c r="CQ91" s="863"/>
      <c r="CR91" s="863"/>
      <c r="CS91" s="862"/>
      <c r="CT91" s="863"/>
      <c r="CU91" s="863"/>
      <c r="CV91" s="864"/>
      <c r="CW91" s="863"/>
      <c r="CX91" s="863"/>
      <c r="CY91" s="863"/>
      <c r="CZ91" s="864"/>
      <c r="DA91" s="863"/>
      <c r="DB91" s="863"/>
      <c r="DC91" s="863"/>
      <c r="DD91" s="863"/>
      <c r="DE91" s="863"/>
      <c r="DF91" s="863"/>
      <c r="DG91" s="863"/>
      <c r="DH91" s="863"/>
      <c r="DI91" s="863"/>
      <c r="DJ91" s="863"/>
      <c r="DK91" s="863"/>
      <c r="DL91" s="863"/>
    </row>
    <row r="92" spans="1:116" s="808" customFormat="1">
      <c r="A92" s="812" t="s">
        <v>772</v>
      </c>
      <c r="B92" s="812"/>
      <c r="C92" s="812"/>
      <c r="I92" s="808">
        <f t="shared" ref="I92:U92" si="82">+I77+I93</f>
        <v>28537.931688804551</v>
      </c>
      <c r="J92" s="808">
        <f t="shared" si="82"/>
        <v>30665</v>
      </c>
      <c r="K92" s="808">
        <f t="shared" si="82"/>
        <v>32572</v>
      </c>
      <c r="L92" s="808">
        <f t="shared" si="82"/>
        <v>32291</v>
      </c>
      <c r="M92" s="808">
        <f t="shared" si="82"/>
        <v>34376</v>
      </c>
      <c r="N92" s="808">
        <f t="shared" si="82"/>
        <v>35450</v>
      </c>
      <c r="O92" s="808">
        <f t="shared" si="82"/>
        <v>37417</v>
      </c>
      <c r="P92" s="808">
        <f t="shared" si="82"/>
        <v>42021</v>
      </c>
      <c r="Q92" s="808">
        <f t="shared" si="82"/>
        <v>43254</v>
      </c>
      <c r="R92" s="808">
        <f t="shared" si="82"/>
        <v>44368</v>
      </c>
      <c r="S92" s="808">
        <f t="shared" si="82"/>
        <v>44236</v>
      </c>
      <c r="T92" s="808">
        <f t="shared" si="82"/>
        <v>46657</v>
      </c>
      <c r="U92" s="808">
        <f t="shared" ca="1" si="82"/>
        <v>47786.253296851966</v>
      </c>
      <c r="V92" s="863">
        <f ca="1">+V77+V93</f>
        <v>48836.664019516073</v>
      </c>
      <c r="W92" s="863">
        <f t="shared" ref="W92:AB92" ca="1" si="83">+W77+W93</f>
        <v>49687.521335243335</v>
      </c>
      <c r="X92" s="863">
        <f t="shared" ca="1" si="83"/>
        <v>50627.868065011207</v>
      </c>
      <c r="Y92" s="863">
        <f t="shared" ca="1" si="83"/>
        <v>51647.037167036789</v>
      </c>
      <c r="Z92" s="863">
        <f t="shared" ca="1" si="83"/>
        <v>52746.056688692435</v>
      </c>
      <c r="AA92" s="863">
        <f t="shared" ca="1" si="83"/>
        <v>53931.416547329543</v>
      </c>
      <c r="AB92" s="863">
        <f t="shared" ca="1" si="83"/>
        <v>55212.250669671455</v>
      </c>
      <c r="BM92" s="862"/>
      <c r="BN92" s="863"/>
      <c r="BO92" s="863"/>
      <c r="BP92" s="863"/>
      <c r="BQ92" s="862"/>
      <c r="BR92" s="863"/>
      <c r="BS92" s="863"/>
      <c r="BT92" s="863"/>
      <c r="BU92" s="862"/>
      <c r="BV92" s="863"/>
      <c r="BW92" s="863"/>
      <c r="BX92" s="863"/>
      <c r="BY92" s="862"/>
      <c r="BZ92" s="863"/>
      <c r="CA92" s="863"/>
      <c r="CB92" s="863"/>
      <c r="CC92" s="862"/>
      <c r="CD92" s="863"/>
      <c r="CE92" s="863"/>
      <c r="CF92" s="863"/>
      <c r="CG92" s="862"/>
      <c r="CH92" s="863"/>
      <c r="CI92" s="863"/>
      <c r="CJ92" s="863"/>
      <c r="CK92" s="862"/>
      <c r="CL92" s="863"/>
      <c r="CM92" s="863"/>
      <c r="CN92" s="863"/>
      <c r="CO92" s="862"/>
      <c r="CP92" s="863"/>
      <c r="CQ92" s="863"/>
      <c r="CR92" s="863"/>
      <c r="CS92" s="862"/>
      <c r="CT92" s="863"/>
      <c r="CU92" s="863"/>
      <c r="CV92" s="864"/>
      <c r="CW92" s="863"/>
      <c r="CX92" s="863"/>
      <c r="CY92" s="863"/>
      <c r="CZ92" s="864"/>
      <c r="DA92" s="863"/>
      <c r="DB92" s="863"/>
      <c r="DC92" s="863"/>
      <c r="DD92" s="863"/>
      <c r="DE92" s="863"/>
      <c r="DF92" s="863"/>
      <c r="DG92" s="863"/>
      <c r="DH92" s="863"/>
      <c r="DI92" s="863"/>
      <c r="DJ92" s="863"/>
      <c r="DK92" s="863"/>
      <c r="DL92" s="863"/>
    </row>
    <row r="93" spans="1:116" s="808" customFormat="1">
      <c r="A93" s="812" t="s">
        <v>1462</v>
      </c>
      <c r="B93" s="812"/>
      <c r="C93" s="812"/>
      <c r="I93" s="808">
        <f>+Wless!N74</f>
        <v>0</v>
      </c>
      <c r="J93" s="808">
        <f>+Wless!O74</f>
        <v>0</v>
      </c>
      <c r="K93" s="808">
        <f>+Wless!P74</f>
        <v>0</v>
      </c>
      <c r="V93" s="863"/>
      <c r="W93" s="863"/>
      <c r="X93" s="863"/>
      <c r="Y93" s="863"/>
      <c r="Z93" s="863"/>
      <c r="AA93" s="863"/>
      <c r="AB93" s="863"/>
      <c r="BM93" s="862"/>
      <c r="BN93" s="863"/>
      <c r="BO93" s="863"/>
      <c r="BP93" s="863"/>
      <c r="BQ93" s="862"/>
      <c r="BR93" s="863"/>
      <c r="BS93" s="863"/>
      <c r="BT93" s="863"/>
      <c r="BU93" s="862"/>
      <c r="BV93" s="863"/>
      <c r="BW93" s="863"/>
      <c r="BX93" s="863"/>
      <c r="BY93" s="862"/>
      <c r="BZ93" s="863"/>
      <c r="CA93" s="863"/>
      <c r="CB93" s="863"/>
      <c r="CC93" s="862"/>
      <c r="CD93" s="863"/>
      <c r="CE93" s="863"/>
      <c r="CF93" s="863"/>
      <c r="CG93" s="862"/>
      <c r="CH93" s="863"/>
      <c r="CI93" s="863"/>
      <c r="CJ93" s="863"/>
      <c r="CK93" s="862"/>
      <c r="CL93" s="863"/>
      <c r="CM93" s="863"/>
      <c r="CN93" s="863"/>
      <c r="CO93" s="862"/>
      <c r="CP93" s="863"/>
      <c r="CQ93" s="863"/>
      <c r="CR93" s="863"/>
      <c r="CS93" s="862"/>
      <c r="CT93" s="863"/>
      <c r="CU93" s="863"/>
      <c r="CV93" s="864"/>
      <c r="CW93" s="863"/>
      <c r="CX93" s="863"/>
      <c r="CY93" s="863"/>
      <c r="CZ93" s="864"/>
      <c r="DA93" s="863"/>
      <c r="DB93" s="863"/>
      <c r="DC93" s="863"/>
      <c r="DD93" s="863"/>
      <c r="DE93" s="863"/>
      <c r="DF93" s="863"/>
      <c r="DG93" s="863"/>
      <c r="DH93" s="863"/>
      <c r="DI93" s="863"/>
      <c r="DJ93" s="863"/>
      <c r="DK93" s="863"/>
      <c r="DL93" s="863"/>
    </row>
    <row r="94" spans="1:116" s="808" customFormat="1">
      <c r="A94" s="812"/>
      <c r="B94" s="812"/>
      <c r="C94" s="812"/>
      <c r="V94" s="863"/>
      <c r="W94" s="863"/>
      <c r="X94" s="863"/>
      <c r="Y94" s="863"/>
      <c r="Z94" s="863"/>
      <c r="AA94" s="863"/>
      <c r="AB94" s="863"/>
      <c r="BM94" s="862"/>
      <c r="BN94" s="863"/>
      <c r="BO94" s="863"/>
      <c r="BP94" s="863"/>
      <c r="BQ94" s="862"/>
      <c r="BR94" s="863"/>
      <c r="BS94" s="863"/>
      <c r="BT94" s="863"/>
      <c r="BU94" s="862"/>
      <c r="BV94" s="863"/>
      <c r="BW94" s="863"/>
      <c r="BX94" s="863"/>
      <c r="BY94" s="862"/>
      <c r="BZ94" s="863"/>
      <c r="CA94" s="863"/>
      <c r="CB94" s="863"/>
      <c r="CC94" s="862"/>
      <c r="CD94" s="863"/>
      <c r="CE94" s="863"/>
      <c r="CF94" s="863"/>
      <c r="CG94" s="862"/>
      <c r="CH94" s="863"/>
      <c r="CI94" s="863"/>
      <c r="CJ94" s="863"/>
      <c r="CK94" s="862"/>
      <c r="CL94" s="863"/>
      <c r="CM94" s="863"/>
      <c r="CN94" s="863"/>
      <c r="CO94" s="862"/>
      <c r="CP94" s="863"/>
      <c r="CQ94" s="863"/>
      <c r="CR94" s="863"/>
      <c r="CS94" s="862"/>
      <c r="CT94" s="863"/>
      <c r="CU94" s="863"/>
      <c r="CV94" s="864"/>
      <c r="CW94" s="863"/>
      <c r="CX94" s="863"/>
      <c r="CY94" s="863"/>
      <c r="CZ94" s="864"/>
      <c r="DA94" s="863"/>
      <c r="DB94" s="863"/>
      <c r="DC94" s="863"/>
      <c r="DD94" s="863"/>
      <c r="DE94" s="863"/>
      <c r="DF94" s="863"/>
      <c r="DG94" s="863"/>
      <c r="DH94" s="863"/>
      <c r="DI94" s="863"/>
      <c r="DJ94" s="863"/>
      <c r="DK94" s="863"/>
      <c r="DL94" s="863"/>
    </row>
    <row r="95" spans="1:116" s="808" customFormat="1">
      <c r="A95" s="812" t="s">
        <v>773</v>
      </c>
      <c r="B95" s="812"/>
      <c r="C95" s="812"/>
      <c r="I95" s="808">
        <f>+Wless!N103</f>
        <v>0</v>
      </c>
      <c r="J95" s="808">
        <f>+Wless!O103</f>
        <v>77700</v>
      </c>
      <c r="K95" s="808">
        <f>+Wless!P103</f>
        <v>91435</v>
      </c>
      <c r="L95" s="808">
        <f>+Wless!Q103</f>
        <v>96495</v>
      </c>
      <c r="M95" s="808">
        <f>+Wless!R103</f>
        <v>102246</v>
      </c>
      <c r="N95" s="808">
        <f>+Wless!S103</f>
        <v>107665</v>
      </c>
      <c r="O95" s="808">
        <f>+Wless!T103</f>
        <v>114546</v>
      </c>
      <c r="P95" s="808">
        <f>+Wless!U103</f>
        <v>121518</v>
      </c>
      <c r="Q95" s="808">
        <f>+Wless!V103</f>
        <v>129086</v>
      </c>
      <c r="R95" s="808">
        <f>+Wless!W103</f>
        <v>132594</v>
      </c>
      <c r="S95" s="808">
        <f>+Wless!X103</f>
        <v>133471</v>
      </c>
      <c r="T95" s="808">
        <f>+Wless!Y103</f>
        <v>139610</v>
      </c>
      <c r="U95" s="808">
        <f ca="1">+Wless!Z103</f>
        <v>141978.18708157277</v>
      </c>
      <c r="V95" s="863">
        <f ca="1">+Wless!AA103</f>
        <v>143253.30830240817</v>
      </c>
      <c r="W95" s="863">
        <f ca="1">+Wless!AB103</f>
        <v>144495.65267296333</v>
      </c>
      <c r="X95" s="863">
        <f ca="1">+Wless!AC103</f>
        <v>145649.93107295243</v>
      </c>
      <c r="Y95" s="863">
        <f ca="1">+Wless!AD103</f>
        <v>146703.48185695495</v>
      </c>
      <c r="Z95" s="863">
        <f ca="1">+Wless!AE103</f>
        <v>147661.92718219821</v>
      </c>
      <c r="AA95" s="863">
        <f ca="1">+Wless!AF103</f>
        <v>148537.95047887258</v>
      </c>
      <c r="AB95" s="863">
        <f ca="1">+Wless!AG103</f>
        <v>149346.23922745953</v>
      </c>
      <c r="BM95" s="862"/>
      <c r="BN95" s="863"/>
      <c r="BO95" s="863"/>
      <c r="BP95" s="863"/>
      <c r="BQ95" s="862"/>
      <c r="BR95" s="863"/>
      <c r="BS95" s="863"/>
      <c r="BT95" s="863"/>
      <c r="BU95" s="862"/>
      <c r="BV95" s="863"/>
      <c r="BW95" s="863"/>
      <c r="BX95" s="863"/>
      <c r="BY95" s="862"/>
      <c r="BZ95" s="863"/>
      <c r="CA95" s="863"/>
      <c r="CB95" s="863"/>
      <c r="CC95" s="862"/>
      <c r="CD95" s="863"/>
      <c r="CE95" s="863"/>
      <c r="CF95" s="863"/>
      <c r="CG95" s="862"/>
      <c r="CH95" s="863"/>
      <c r="CI95" s="863"/>
      <c r="CJ95" s="863"/>
      <c r="CK95" s="862"/>
      <c r="CL95" s="863"/>
      <c r="CM95" s="863"/>
      <c r="CN95" s="863"/>
      <c r="CO95" s="862"/>
      <c r="CP95" s="863"/>
      <c r="CQ95" s="863"/>
      <c r="CR95" s="863"/>
      <c r="CS95" s="862"/>
      <c r="CT95" s="863"/>
      <c r="CU95" s="863"/>
      <c r="CV95" s="864"/>
      <c r="CW95" s="863"/>
      <c r="CX95" s="863"/>
      <c r="CY95" s="863"/>
      <c r="CZ95" s="864"/>
      <c r="DA95" s="863"/>
      <c r="DB95" s="863"/>
      <c r="DC95" s="863"/>
      <c r="DD95" s="863"/>
      <c r="DE95" s="863"/>
      <c r="DF95" s="863"/>
      <c r="DG95" s="863"/>
      <c r="DH95" s="863"/>
      <c r="DI95" s="863"/>
      <c r="DJ95" s="863"/>
      <c r="DK95" s="863"/>
      <c r="DL95" s="863"/>
    </row>
    <row r="96" spans="1:116" s="808" customFormat="1">
      <c r="A96" s="812" t="s">
        <v>774</v>
      </c>
      <c r="B96" s="812"/>
      <c r="C96" s="812"/>
      <c r="I96" s="808">
        <f t="shared" ref="I96:V96" si="84">+I95-H95</f>
        <v>0</v>
      </c>
      <c r="J96" s="808">
        <f t="shared" si="84"/>
        <v>77700</v>
      </c>
      <c r="K96" s="808">
        <f t="shared" si="84"/>
        <v>13735</v>
      </c>
      <c r="L96" s="808">
        <f t="shared" si="84"/>
        <v>5060</v>
      </c>
      <c r="M96" s="808">
        <f t="shared" si="84"/>
        <v>5751</v>
      </c>
      <c r="N96" s="808">
        <f t="shared" si="84"/>
        <v>5419</v>
      </c>
      <c r="O96" s="808">
        <f t="shared" si="84"/>
        <v>6881</v>
      </c>
      <c r="P96" s="808">
        <f t="shared" si="84"/>
        <v>6972</v>
      </c>
      <c r="Q96" s="808">
        <f t="shared" si="84"/>
        <v>7568</v>
      </c>
      <c r="R96" s="808">
        <f t="shared" si="84"/>
        <v>3508</v>
      </c>
      <c r="S96" s="808">
        <f t="shared" si="84"/>
        <v>877</v>
      </c>
      <c r="T96" s="808">
        <f t="shared" si="84"/>
        <v>6139</v>
      </c>
      <c r="U96" s="808">
        <f t="shared" ca="1" si="84"/>
        <v>2368.1870815727743</v>
      </c>
      <c r="V96" s="863">
        <f t="shared" ca="1" si="84"/>
        <v>1275.1212208353973</v>
      </c>
      <c r="W96" s="863">
        <f t="shared" ref="W96" ca="1" si="85">+W95-V95</f>
        <v>1242.3443705551617</v>
      </c>
      <c r="X96" s="863">
        <f t="shared" ref="X96" ca="1" si="86">+X95-W95</f>
        <v>1154.2783999890962</v>
      </c>
      <c r="Y96" s="863">
        <f t="shared" ref="Y96" ca="1" si="87">+Y95-X95</f>
        <v>1053.5507840025239</v>
      </c>
      <c r="Z96" s="863">
        <f t="shared" ref="Z96" ca="1" si="88">+Z95-Y95</f>
        <v>958.44532524325768</v>
      </c>
      <c r="AA96" s="863">
        <f t="shared" ref="AA96" ca="1" si="89">+AA95-Z95</f>
        <v>876.02329667436425</v>
      </c>
      <c r="AB96" s="863">
        <f t="shared" ref="AB96" ca="1" si="90">+AB95-AA95</f>
        <v>808.28874858695781</v>
      </c>
      <c r="BM96" s="862"/>
      <c r="BN96" s="863"/>
      <c r="BO96" s="863"/>
      <c r="BP96" s="863"/>
      <c r="BQ96" s="862"/>
      <c r="BR96" s="863"/>
      <c r="BS96" s="863"/>
      <c r="BT96" s="863"/>
      <c r="BU96" s="862"/>
      <c r="BV96" s="863"/>
      <c r="BW96" s="863"/>
      <c r="BX96" s="863"/>
      <c r="BY96" s="862"/>
      <c r="BZ96" s="863"/>
      <c r="CA96" s="863"/>
      <c r="CB96" s="863"/>
      <c r="CC96" s="862"/>
      <c r="CD96" s="863"/>
      <c r="CE96" s="863"/>
      <c r="CF96" s="863"/>
      <c r="CG96" s="862"/>
      <c r="CH96" s="863"/>
      <c r="CI96" s="863"/>
      <c r="CJ96" s="863"/>
      <c r="CK96" s="862"/>
      <c r="CL96" s="863"/>
      <c r="CM96" s="863"/>
      <c r="CN96" s="863"/>
      <c r="CO96" s="862"/>
      <c r="CP96" s="863"/>
      <c r="CQ96" s="863"/>
      <c r="CR96" s="863"/>
      <c r="CS96" s="862"/>
      <c r="CT96" s="863"/>
      <c r="CU96" s="863"/>
      <c r="CV96" s="864"/>
      <c r="CW96" s="863"/>
      <c r="CX96" s="863"/>
      <c r="CY96" s="863"/>
      <c r="CZ96" s="864"/>
      <c r="DA96" s="863"/>
      <c r="DB96" s="863"/>
      <c r="DC96" s="863"/>
      <c r="DD96" s="863"/>
      <c r="DE96" s="863"/>
      <c r="DF96" s="863"/>
      <c r="DG96" s="863"/>
      <c r="DH96" s="863"/>
      <c r="DI96" s="863"/>
      <c r="DJ96" s="863"/>
      <c r="DK96" s="863"/>
      <c r="DL96" s="863"/>
    </row>
    <row r="97" spans="1:116" s="808" customFormat="1">
      <c r="A97" s="812" t="s">
        <v>775</v>
      </c>
      <c r="B97" s="812"/>
      <c r="C97" s="812"/>
      <c r="I97" s="808">
        <f>+Wless!N254</f>
        <v>64757.478000000003</v>
      </c>
      <c r="J97" s="808">
        <f>+Wless!O254</f>
        <v>71809.274000000005</v>
      </c>
      <c r="K97" s="808">
        <f>+Wless!P254</f>
        <v>76385</v>
      </c>
      <c r="L97" s="808">
        <f>+Wless!Q254</f>
        <v>80495</v>
      </c>
      <c r="M97" s="808">
        <f>+Wless!R254</f>
        <v>83125</v>
      </c>
      <c r="N97" s="808">
        <f>+Wless!S254</f>
        <v>87382</v>
      </c>
      <c r="O97" s="808">
        <f>+Wless!T254</f>
        <v>92530</v>
      </c>
      <c r="P97" s="808">
        <f>+Wless!U254</f>
        <v>96752</v>
      </c>
      <c r="Q97" s="808">
        <f>+Wless!V254</f>
        <v>102079</v>
      </c>
      <c r="R97" s="808">
        <f>+Wless!W254</f>
        <v>106528</v>
      </c>
      <c r="S97" s="808">
        <f>+Wless!X254</f>
        <v>108796</v>
      </c>
      <c r="T97" s="808">
        <f>+Wless!Y254</f>
        <v>110854</v>
      </c>
      <c r="U97" s="808">
        <f ca="1">+Wless!Z254</f>
        <v>113126.22653553708</v>
      </c>
      <c r="V97" s="863">
        <f ca="1">+Wless!AA254</f>
        <v>115110.67715628677</v>
      </c>
      <c r="W97" s="863">
        <f ca="1">+Wless!AB254</f>
        <v>116853.76675333879</v>
      </c>
      <c r="X97" s="863">
        <f ca="1">+Wless!AC254</f>
        <v>118395.107725493</v>
      </c>
      <c r="Y97" s="863">
        <f ca="1">+Wless!AD254</f>
        <v>119768.60456485851</v>
      </c>
      <c r="Z97" s="863">
        <f ca="1">+Wless!AE254</f>
        <v>121003.36675566669</v>
      </c>
      <c r="AA97" s="863">
        <f ca="1">+Wless!AF254</f>
        <v>122124.47165302072</v>
      </c>
      <c r="AB97" s="863">
        <f ca="1">+Wless!AG254</f>
        <v>123153.60330095454</v>
      </c>
      <c r="BM97" s="862"/>
      <c r="BN97" s="863"/>
      <c r="BO97" s="863"/>
      <c r="BP97" s="863"/>
      <c r="BQ97" s="862"/>
      <c r="BR97" s="863"/>
      <c r="BS97" s="863"/>
      <c r="BT97" s="863"/>
      <c r="BU97" s="862"/>
      <c r="BV97" s="863"/>
      <c r="BW97" s="863"/>
      <c r="BX97" s="863"/>
      <c r="BY97" s="862"/>
      <c r="BZ97" s="863"/>
      <c r="CA97" s="863"/>
      <c r="CB97" s="863"/>
      <c r="CC97" s="862"/>
      <c r="CD97" s="863"/>
      <c r="CE97" s="863"/>
      <c r="CF97" s="863"/>
      <c r="CG97" s="862"/>
      <c r="CH97" s="863"/>
      <c r="CI97" s="863"/>
      <c r="CJ97" s="863"/>
      <c r="CK97" s="862"/>
      <c r="CL97" s="863"/>
      <c r="CM97" s="863"/>
      <c r="CN97" s="863"/>
      <c r="CO97" s="862"/>
      <c r="CP97" s="863"/>
      <c r="CQ97" s="863"/>
      <c r="CR97" s="863"/>
      <c r="CS97" s="862"/>
      <c r="CT97" s="863"/>
      <c r="CU97" s="863"/>
      <c r="CV97" s="864"/>
      <c r="CW97" s="863"/>
      <c r="CX97" s="863"/>
      <c r="CY97" s="863"/>
      <c r="CZ97" s="864"/>
      <c r="DA97" s="863"/>
      <c r="DB97" s="863"/>
      <c r="DC97" s="863"/>
      <c r="DD97" s="863"/>
      <c r="DE97" s="863"/>
      <c r="DF97" s="863"/>
      <c r="DG97" s="863"/>
      <c r="DH97" s="863"/>
      <c r="DI97" s="863"/>
      <c r="DJ97" s="863"/>
      <c r="DK97" s="863"/>
      <c r="DL97" s="863"/>
    </row>
    <row r="98" spans="1:116" s="808" customFormat="1">
      <c r="A98" s="812" t="s">
        <v>776</v>
      </c>
      <c r="B98" s="812"/>
      <c r="C98" s="812"/>
      <c r="J98" s="808">
        <f t="shared" ref="J98:V98" si="91">+J97-I97</f>
        <v>7051.7960000000021</v>
      </c>
      <c r="K98" s="808">
        <f t="shared" si="91"/>
        <v>4575.7259999999951</v>
      </c>
      <c r="L98" s="808">
        <f t="shared" si="91"/>
        <v>4110</v>
      </c>
      <c r="M98" s="808">
        <f t="shared" si="91"/>
        <v>2630</v>
      </c>
      <c r="N98" s="808">
        <f t="shared" si="91"/>
        <v>4257</v>
      </c>
      <c r="O98" s="808">
        <f t="shared" si="91"/>
        <v>5148</v>
      </c>
      <c r="P98" s="808">
        <f t="shared" si="91"/>
        <v>4222</v>
      </c>
      <c r="Q98" s="808">
        <f t="shared" si="91"/>
        <v>5327</v>
      </c>
      <c r="R98" s="808">
        <f t="shared" si="91"/>
        <v>4449</v>
      </c>
      <c r="S98" s="808">
        <f t="shared" si="91"/>
        <v>2268</v>
      </c>
      <c r="T98" s="808">
        <f t="shared" si="91"/>
        <v>2058</v>
      </c>
      <c r="U98" s="808">
        <f t="shared" ca="1" si="91"/>
        <v>2272.2265355370764</v>
      </c>
      <c r="V98" s="863">
        <f t="shared" ca="1" si="91"/>
        <v>1984.4506207496888</v>
      </c>
      <c r="W98" s="863">
        <f t="shared" ref="W98" ca="1" si="92">+W97-V97</f>
        <v>1743.0895970520214</v>
      </c>
      <c r="X98" s="863">
        <f t="shared" ref="X98" ca="1" si="93">+X97-W97</f>
        <v>1541.3409721542121</v>
      </c>
      <c r="Y98" s="863">
        <f t="shared" ref="Y98" ca="1" si="94">+Y97-X97</f>
        <v>1373.4968393655145</v>
      </c>
      <c r="Z98" s="863">
        <f t="shared" ref="Z98" ca="1" si="95">+Z97-Y97</f>
        <v>1234.7621908081783</v>
      </c>
      <c r="AA98" s="863">
        <f t="shared" ref="AA98" ca="1" si="96">+AA97-Z97</f>
        <v>1121.104897354031</v>
      </c>
      <c r="AB98" s="863">
        <f t="shared" ref="AB98" ca="1" si="97">+AB97-AA97</f>
        <v>1029.1316479338129</v>
      </c>
      <c r="BM98" s="862"/>
      <c r="BN98" s="863"/>
      <c r="BO98" s="863"/>
      <c r="BP98" s="863"/>
      <c r="BQ98" s="862"/>
      <c r="BR98" s="863"/>
      <c r="BS98" s="863"/>
      <c r="BT98" s="863"/>
      <c r="BU98" s="862"/>
      <c r="BV98" s="863"/>
      <c r="BW98" s="863"/>
      <c r="BX98" s="863"/>
      <c r="BY98" s="862"/>
      <c r="BZ98" s="863"/>
      <c r="CA98" s="863"/>
      <c r="CB98" s="863"/>
      <c r="CC98" s="862"/>
      <c r="CD98" s="863"/>
      <c r="CE98" s="863"/>
      <c r="CF98" s="863"/>
      <c r="CG98" s="862"/>
      <c r="CH98" s="863"/>
      <c r="CI98" s="863"/>
      <c r="CJ98" s="863"/>
      <c r="CK98" s="862"/>
      <c r="CL98" s="863"/>
      <c r="CM98" s="863"/>
      <c r="CN98" s="863"/>
      <c r="CO98" s="862"/>
      <c r="CP98" s="863"/>
      <c r="CQ98" s="863"/>
      <c r="CR98" s="863"/>
      <c r="CS98" s="862"/>
      <c r="CT98" s="863"/>
      <c r="CU98" s="863"/>
      <c r="CV98" s="864"/>
      <c r="CW98" s="863"/>
      <c r="CX98" s="863"/>
      <c r="CY98" s="863"/>
      <c r="CZ98" s="864"/>
      <c r="DA98" s="863"/>
      <c r="DB98" s="863"/>
      <c r="DC98" s="863"/>
      <c r="DD98" s="863"/>
      <c r="DE98" s="863"/>
      <c r="DF98" s="863"/>
      <c r="DG98" s="863"/>
      <c r="DH98" s="863"/>
      <c r="DI98" s="863"/>
      <c r="DJ98" s="863"/>
      <c r="DK98" s="863"/>
      <c r="DL98" s="863"/>
    </row>
    <row r="99" spans="1:116" s="808" customFormat="1">
      <c r="A99" s="812"/>
      <c r="B99" s="812"/>
      <c r="C99" s="812"/>
      <c r="V99" s="863"/>
      <c r="W99" s="863"/>
      <c r="X99" s="863"/>
      <c r="Y99" s="863"/>
      <c r="Z99" s="863"/>
      <c r="AA99" s="863"/>
      <c r="AB99" s="863"/>
      <c r="BM99" s="862"/>
      <c r="BN99" s="863"/>
      <c r="BO99" s="863"/>
      <c r="BP99" s="863"/>
      <c r="BQ99" s="862"/>
      <c r="BR99" s="863"/>
      <c r="BS99" s="863"/>
      <c r="BT99" s="863"/>
      <c r="BU99" s="862"/>
      <c r="BV99" s="863"/>
      <c r="BW99" s="863"/>
      <c r="BX99" s="863"/>
      <c r="BY99" s="862"/>
      <c r="BZ99" s="863"/>
      <c r="CA99" s="863"/>
      <c r="CB99" s="863"/>
      <c r="CC99" s="862"/>
      <c r="CD99" s="863"/>
      <c r="CE99" s="863"/>
      <c r="CF99" s="863"/>
      <c r="CG99" s="862"/>
      <c r="CH99" s="863"/>
      <c r="CI99" s="863"/>
      <c r="CJ99" s="863"/>
      <c r="CK99" s="862"/>
      <c r="CL99" s="863"/>
      <c r="CM99" s="863"/>
      <c r="CN99" s="863"/>
      <c r="CO99" s="862"/>
      <c r="CP99" s="863"/>
      <c r="CQ99" s="863"/>
      <c r="CR99" s="863"/>
      <c r="CS99" s="862"/>
      <c r="CT99" s="863"/>
      <c r="CU99" s="863"/>
      <c r="CV99" s="864"/>
      <c r="CW99" s="863"/>
      <c r="CX99" s="863"/>
      <c r="CY99" s="863"/>
      <c r="CZ99" s="864"/>
      <c r="DA99" s="863"/>
      <c r="DB99" s="863"/>
      <c r="DC99" s="863"/>
      <c r="DD99" s="863"/>
      <c r="DE99" s="863"/>
      <c r="DF99" s="863"/>
      <c r="DG99" s="863"/>
      <c r="DH99" s="863"/>
      <c r="DI99" s="863"/>
      <c r="DJ99" s="863"/>
      <c r="DK99" s="863"/>
      <c r="DL99" s="863"/>
    </row>
    <row r="100" spans="1:116" s="808" customFormat="1">
      <c r="A100" s="812"/>
      <c r="B100" s="812"/>
      <c r="C100" s="812"/>
      <c r="V100" s="863"/>
      <c r="W100" s="863"/>
      <c r="X100" s="863"/>
      <c r="Y100" s="863"/>
      <c r="Z100" s="863"/>
      <c r="AA100" s="863"/>
      <c r="AB100" s="863"/>
      <c r="BM100" s="862"/>
      <c r="BN100" s="863"/>
      <c r="BO100" s="863"/>
      <c r="BP100" s="863"/>
      <c r="BQ100" s="862"/>
      <c r="BR100" s="863"/>
      <c r="BS100" s="863"/>
      <c r="BT100" s="863"/>
      <c r="BU100" s="862"/>
      <c r="BV100" s="863"/>
      <c r="BW100" s="863"/>
      <c r="BX100" s="863"/>
      <c r="BY100" s="862"/>
      <c r="BZ100" s="863"/>
      <c r="CA100" s="863"/>
      <c r="CB100" s="863"/>
      <c r="CC100" s="862"/>
      <c r="CD100" s="863"/>
      <c r="CE100" s="863"/>
      <c r="CF100" s="863"/>
      <c r="CG100" s="862"/>
      <c r="CH100" s="863"/>
      <c r="CI100" s="863"/>
      <c r="CJ100" s="863"/>
      <c r="CK100" s="862"/>
      <c r="CL100" s="863"/>
      <c r="CM100" s="863"/>
      <c r="CN100" s="863"/>
      <c r="CO100" s="862"/>
      <c r="CP100" s="863"/>
      <c r="CQ100" s="863"/>
      <c r="CR100" s="863"/>
      <c r="CS100" s="862"/>
      <c r="CT100" s="863"/>
      <c r="CU100" s="863"/>
      <c r="CV100" s="864"/>
      <c r="CW100" s="863"/>
      <c r="CX100" s="863"/>
      <c r="CY100" s="863"/>
      <c r="CZ100" s="864"/>
      <c r="DA100" s="863"/>
      <c r="DB100" s="863"/>
      <c r="DC100" s="863"/>
      <c r="DD100" s="863"/>
      <c r="DE100" s="863"/>
      <c r="DF100" s="863"/>
      <c r="DG100" s="863"/>
      <c r="DH100" s="863"/>
      <c r="DI100" s="863"/>
      <c r="DJ100" s="863"/>
      <c r="DK100" s="863"/>
      <c r="DL100" s="863"/>
    </row>
    <row r="101" spans="1:116" s="808" customFormat="1">
      <c r="A101" s="812" t="s">
        <v>777</v>
      </c>
      <c r="B101" s="812"/>
      <c r="C101" s="812"/>
      <c r="V101" s="863"/>
      <c r="W101" s="863"/>
      <c r="X101" s="863"/>
      <c r="Y101" s="863"/>
      <c r="Z101" s="863"/>
      <c r="AA101" s="863"/>
      <c r="AB101" s="863"/>
      <c r="BM101" s="862"/>
      <c r="BN101" s="863"/>
      <c r="BO101" s="863"/>
      <c r="BP101" s="863"/>
      <c r="BQ101" s="862"/>
      <c r="BR101" s="863"/>
      <c r="BS101" s="863"/>
      <c r="BT101" s="863"/>
      <c r="BU101" s="862"/>
      <c r="BV101" s="863"/>
      <c r="BW101" s="863"/>
      <c r="BX101" s="863"/>
      <c r="BY101" s="862"/>
      <c r="BZ101" s="863"/>
      <c r="CA101" s="863"/>
      <c r="CB101" s="863"/>
      <c r="CC101" s="862"/>
      <c r="CD101" s="863"/>
      <c r="CE101" s="863"/>
      <c r="CF101" s="863"/>
      <c r="CG101" s="862"/>
      <c r="CH101" s="863"/>
      <c r="CI101" s="863"/>
      <c r="CJ101" s="863"/>
      <c r="CK101" s="862"/>
      <c r="CL101" s="863"/>
      <c r="CM101" s="863"/>
      <c r="CN101" s="863"/>
      <c r="CO101" s="862"/>
      <c r="CP101" s="863"/>
      <c r="CQ101" s="863"/>
      <c r="CR101" s="863"/>
      <c r="CS101" s="862"/>
      <c r="CT101" s="863"/>
      <c r="CU101" s="863"/>
      <c r="CV101" s="864"/>
      <c r="CW101" s="863"/>
      <c r="CX101" s="863"/>
      <c r="CY101" s="863"/>
      <c r="CZ101" s="864"/>
      <c r="DA101" s="863"/>
      <c r="DB101" s="863"/>
      <c r="DC101" s="863"/>
      <c r="DD101" s="863"/>
      <c r="DE101" s="863"/>
      <c r="DF101" s="863"/>
      <c r="DG101" s="863"/>
      <c r="DH101" s="863"/>
      <c r="DI101" s="863"/>
      <c r="DJ101" s="863"/>
      <c r="DK101" s="863"/>
      <c r="DL101" s="863"/>
    </row>
    <row r="102" spans="1:116" s="808" customFormat="1">
      <c r="A102" s="812" t="str">
        <f>+BS!A90</f>
        <v>Net debt calculation</v>
      </c>
      <c r="B102" s="812"/>
      <c r="C102" s="812"/>
      <c r="I102" s="808">
        <f>+BS!N90</f>
        <v>33142</v>
      </c>
      <c r="J102" s="808">
        <f>+BS!O90</f>
        <v>30004</v>
      </c>
      <c r="K102" s="808">
        <f>+BS!P90</f>
        <v>42170</v>
      </c>
      <c r="L102" s="808">
        <f>+BS!Q90</f>
        <v>60247</v>
      </c>
      <c r="M102" s="808">
        <f>+BS!R90</f>
        <v>46126</v>
      </c>
      <c r="N102" s="808">
        <f>+BS!S90</f>
        <v>41790</v>
      </c>
      <c r="O102" s="808">
        <f>+BS!T90</f>
        <v>48894</v>
      </c>
      <c r="P102" s="808">
        <f>+BS!U90</f>
        <v>40063</v>
      </c>
      <c r="Q102" s="808">
        <f>+BS!V90</f>
        <v>102673</v>
      </c>
      <c r="R102" s="808">
        <f>+BS!W90</f>
        <v>105724</v>
      </c>
      <c r="S102" s="808">
        <f>+BS!X90</f>
        <v>105198</v>
      </c>
      <c r="T102" s="808">
        <f>+BS!Y90</f>
        <v>115016</v>
      </c>
      <c r="U102" s="808">
        <f ca="1">+BS!Z90</f>
        <v>108341.58469589343</v>
      </c>
      <c r="V102" s="863">
        <f ca="1">+BS!AA90</f>
        <v>99478.181917144611</v>
      </c>
      <c r="W102" s="863">
        <f ca="1">+BS!AB90</f>
        <v>90190.040548902645</v>
      </c>
      <c r="X102" s="863">
        <f ca="1">+BS!AC90</f>
        <v>79038.651810731855</v>
      </c>
      <c r="Y102" s="863">
        <f ca="1">+BS!AD90</f>
        <v>67523.597730527545</v>
      </c>
      <c r="Z102" s="863">
        <f ca="1">+BS!AE90</f>
        <v>55592.346826958485</v>
      </c>
      <c r="AA102" s="863">
        <f ca="1">+BS!AF90</f>
        <v>43190.19842295644</v>
      </c>
      <c r="AB102" s="863">
        <f ca="1">+BS!AG90</f>
        <v>31549.064879970465</v>
      </c>
      <c r="BM102" s="862"/>
      <c r="BN102" s="863"/>
      <c r="BO102" s="863"/>
      <c r="BP102" s="863"/>
      <c r="BQ102" s="862"/>
      <c r="BR102" s="863"/>
      <c r="BS102" s="863"/>
      <c r="BT102" s="863"/>
      <c r="BU102" s="862"/>
      <c r="BV102" s="863"/>
      <c r="BW102" s="863"/>
      <c r="BX102" s="863">
        <f>+BS!CK90</f>
        <v>42170</v>
      </c>
      <c r="BY102" s="862">
        <f>+BS!CL90</f>
        <v>65154</v>
      </c>
      <c r="BZ102" s="863">
        <f>+BS!CM90</f>
        <v>64089</v>
      </c>
      <c r="CA102" s="863">
        <f>+BS!CN90</f>
        <v>61601</v>
      </c>
      <c r="CB102" s="863">
        <f>+BS!CO90</f>
        <v>60247</v>
      </c>
      <c r="CC102" s="862">
        <f>+BS!CP90</f>
        <v>58516</v>
      </c>
      <c r="CD102" s="863">
        <f>+BS!CQ90</f>
        <v>52707</v>
      </c>
      <c r="CE102" s="863">
        <f>+BS!CR90</f>
        <v>47776</v>
      </c>
      <c r="CF102" s="863">
        <f>+BS!CS90</f>
        <v>46126</v>
      </c>
      <c r="CG102" s="862">
        <f>+BS!CT90</f>
        <v>47190</v>
      </c>
      <c r="CH102" s="863">
        <f>+BS!CU90</f>
        <v>47742</v>
      </c>
      <c r="CI102" s="863">
        <f>+BS!CV90</f>
        <v>44591</v>
      </c>
      <c r="CJ102" s="863">
        <f>+BS!CW90</f>
        <v>41790</v>
      </c>
      <c r="CK102" s="862">
        <f>+BS!CX90</f>
        <v>45688</v>
      </c>
      <c r="CL102" s="863">
        <f>+BS!CY90</f>
        <v>42390</v>
      </c>
      <c r="CM102" s="863">
        <f>+BS!CZ90</f>
        <v>43088</v>
      </c>
      <c r="CN102" s="863">
        <f>+BS!DA90</f>
        <v>48894</v>
      </c>
      <c r="CO102" s="862">
        <f>+BS!DB90</f>
        <v>47406</v>
      </c>
      <c r="CP102" s="863">
        <f>+BS!DC90</f>
        <v>47964</v>
      </c>
      <c r="CQ102" s="863">
        <f>+BS!DD90</f>
        <v>42430</v>
      </c>
      <c r="CR102" s="863">
        <f>+BS!DE90</f>
        <v>40063</v>
      </c>
      <c r="CS102" s="862">
        <f>+BS!DF90</f>
        <v>106862</v>
      </c>
      <c r="CT102" s="863">
        <f>+BS!DG90</f>
        <v>104203</v>
      </c>
      <c r="CU102" s="863">
        <f>+BS!DH90</f>
        <v>102012</v>
      </c>
      <c r="CV102" s="864">
        <f>+BS!DI90</f>
        <v>102673</v>
      </c>
      <c r="CW102" s="863">
        <f>+BS!DJ90</f>
        <v>109002</v>
      </c>
      <c r="CX102" s="863">
        <f>+BS!DK90</f>
        <v>110663</v>
      </c>
      <c r="CY102" s="863">
        <f>+BS!DL90</f>
        <v>108449</v>
      </c>
      <c r="CZ102" s="864">
        <f>+BS!DM90</f>
        <v>105724</v>
      </c>
      <c r="DA102" s="863">
        <f>+BS!DN90</f>
        <v>104034</v>
      </c>
      <c r="DB102" s="863">
        <f>+BS!DO90</f>
        <v>96868</v>
      </c>
      <c r="DC102" s="863">
        <f>+BS!DP90</f>
        <v>100150</v>
      </c>
      <c r="DD102" s="863">
        <f>+BS!DQ90</f>
        <v>105198</v>
      </c>
      <c r="DE102" s="863">
        <f>+BS!DR90</f>
        <v>112239</v>
      </c>
      <c r="DF102" s="863">
        <f>+BS!DS90</f>
        <v>112960</v>
      </c>
      <c r="DG102" s="863">
        <f>+BS!DT90</f>
        <v>113010</v>
      </c>
      <c r="DH102" s="863">
        <f>+BS!DU90</f>
        <v>115016</v>
      </c>
      <c r="DI102" s="863">
        <f>+BS!DV90</f>
        <v>117134</v>
      </c>
      <c r="DJ102" s="863">
        <f ca="1">+BS!DW90</f>
        <v>113985.38849437215</v>
      </c>
      <c r="DK102" s="863">
        <f ca="1">+BS!DX90</f>
        <v>111973.71144236116</v>
      </c>
      <c r="DL102" s="863">
        <f ca="1">+BS!DY90</f>
        <v>108341.58469589343</v>
      </c>
    </row>
    <row r="103" spans="1:116" s="808" customFormat="1">
      <c r="A103" s="812" t="s">
        <v>971</v>
      </c>
      <c r="B103" s="812"/>
      <c r="C103" s="812"/>
      <c r="K103" s="808">
        <f>+IS!P59</f>
        <v>32572</v>
      </c>
      <c r="L103" s="808">
        <f>+IS!Q59</f>
        <v>32291</v>
      </c>
      <c r="M103" s="808">
        <f>+IS!R59</f>
        <v>34376</v>
      </c>
      <c r="N103" s="808">
        <f>+IS!S59</f>
        <v>35450</v>
      </c>
      <c r="O103" s="808">
        <f>+IS!T59</f>
        <v>37417</v>
      </c>
      <c r="P103" s="808">
        <f>+IS!U59</f>
        <v>42021</v>
      </c>
      <c r="Q103" s="808">
        <f>+IS!V59</f>
        <v>43254</v>
      </c>
      <c r="R103" s="808">
        <f>+IS!W59</f>
        <v>44368</v>
      </c>
      <c r="S103" s="808">
        <f>+IS!X59</f>
        <v>44236</v>
      </c>
      <c r="T103" s="808">
        <f>+IS!Y59</f>
        <v>46657</v>
      </c>
      <c r="U103" s="808">
        <f ca="1">+IS!Z59</f>
        <v>47786.253296851966</v>
      </c>
      <c r="V103" s="863">
        <f ca="1">+IS!AA59</f>
        <v>48836.664019516073</v>
      </c>
      <c r="W103" s="863">
        <f ca="1">+IS!AB59</f>
        <v>49687.521335243335</v>
      </c>
      <c r="X103" s="863">
        <f ca="1">+IS!AC59</f>
        <v>50627.868065011207</v>
      </c>
      <c r="Y103" s="863">
        <f ca="1">+IS!AD59</f>
        <v>51647.037167036789</v>
      </c>
      <c r="Z103" s="863">
        <f ca="1">+IS!AE59</f>
        <v>52746.056688692435</v>
      </c>
      <c r="AA103" s="863">
        <f ca="1">+IS!AF59</f>
        <v>53931.416547329543</v>
      </c>
      <c r="AB103" s="863">
        <f ca="1">+IS!AG59</f>
        <v>55212.250669671455</v>
      </c>
      <c r="BM103" s="862"/>
      <c r="BN103" s="863"/>
      <c r="BO103" s="863"/>
      <c r="BP103" s="863"/>
      <c r="BQ103" s="862"/>
      <c r="BR103" s="863"/>
      <c r="BS103" s="863"/>
      <c r="BT103" s="863"/>
      <c r="BU103" s="862"/>
      <c r="BV103" s="863"/>
      <c r="BW103" s="863"/>
      <c r="BX103" s="863">
        <f>SUM(IS!CE59:CH59)</f>
        <v>32572</v>
      </c>
      <c r="BY103" s="862">
        <f>SUM(IS!CF59:CI59)</f>
        <v>32595</v>
      </c>
      <c r="BZ103" s="863">
        <f>SUM(IS!CG59:CJ59)</f>
        <v>32596</v>
      </c>
      <c r="CA103" s="863">
        <f>SUM(IS!CH59:CK59)</f>
        <v>32616</v>
      </c>
      <c r="CB103" s="863">
        <f>SUM(IS!CI59:CL59)</f>
        <v>32291</v>
      </c>
      <c r="CC103" s="862">
        <f>SUM(IS!CJ59:CM59)</f>
        <v>32490</v>
      </c>
      <c r="CD103" s="863">
        <f>SUM(IS!CK59:CN59)</f>
        <v>32883</v>
      </c>
      <c r="CE103" s="863">
        <f>SUM(IS!CL59:CO59)</f>
        <v>33518</v>
      </c>
      <c r="CF103" s="863">
        <f>SUM(IS!CM59:CP59)</f>
        <v>34376</v>
      </c>
      <c r="CG103" s="862">
        <f>SUM(IS!CN59:CQ59)</f>
        <v>34688</v>
      </c>
      <c r="CH103" s="863">
        <f>SUM(IS!CO59:CR59)</f>
        <v>35133</v>
      </c>
      <c r="CI103" s="863">
        <f>SUM(IS!CP59:CS59)</f>
        <v>35493</v>
      </c>
      <c r="CJ103" s="863">
        <f>SUM(IS!CQ59:CT59)</f>
        <v>35450</v>
      </c>
      <c r="CK103" s="862">
        <f>SUM(IS!CR59:CU59)</f>
        <v>36196</v>
      </c>
      <c r="CL103" s="863">
        <f>SUM(IS!CS59:CV59)</f>
        <v>36943</v>
      </c>
      <c r="CM103" s="863">
        <f>SUM(IS!CT59:CW59)</f>
        <v>37822</v>
      </c>
      <c r="CN103" s="863">
        <f>SUM(IS!CU59:CX59)</f>
        <v>37417</v>
      </c>
      <c r="CO103" s="862">
        <f>SUM(IS!CV59:CY59)</f>
        <v>38524</v>
      </c>
      <c r="CP103" s="863">
        <f>SUM(IS!CW59:CZ59)</f>
        <v>39233</v>
      </c>
      <c r="CQ103" s="863">
        <f>SUM(IS!CX59:DA59)</f>
        <v>40195</v>
      </c>
      <c r="CR103" s="863">
        <f>SUM(IS!CY59:DB59)</f>
        <v>42021</v>
      </c>
      <c r="CS103" s="862">
        <f>SUM(IS!CZ59:DC59)</f>
        <v>42982</v>
      </c>
      <c r="CT103" s="863">
        <f>SUM(IS!DA59:DD59)</f>
        <v>43654</v>
      </c>
      <c r="CU103" s="863">
        <f>SUM(IS!DB59:DE59)</f>
        <v>43715</v>
      </c>
      <c r="CV103" s="864">
        <f>SUM(IS!DC59:DF59)</f>
        <v>43254</v>
      </c>
      <c r="CW103" s="863">
        <f>SUM(IS!DD59:DG59)</f>
        <v>43357</v>
      </c>
      <c r="CX103" s="863">
        <f>SUM(IS!DE59:DH59)</f>
        <v>43478</v>
      </c>
      <c r="CY103" s="863">
        <f>SUM(IS!DF59:DI59)</f>
        <v>43763</v>
      </c>
      <c r="CZ103" s="864">
        <f>SUM(IS!DG59:DJ59)</f>
        <v>44368</v>
      </c>
      <c r="DA103" s="863">
        <f>SUM(IS!DH59:DK59)</f>
        <v>44431</v>
      </c>
      <c r="DB103" s="863">
        <f>SUM(IS!DI59:DL59)</f>
        <v>44256</v>
      </c>
      <c r="DC103" s="863">
        <f>SUM(IS!DJ59:DM59)</f>
        <v>44193</v>
      </c>
      <c r="DD103" s="863">
        <f>SUM(IS!DK59:DN59)</f>
        <v>44236</v>
      </c>
      <c r="DE103" s="863">
        <f>SUM(IS!DL59:DO59)</f>
        <v>44145</v>
      </c>
      <c r="DF103" s="863">
        <f>SUM(IS!DM59:DP59)</f>
        <v>44450</v>
      </c>
      <c r="DG103" s="863">
        <f>SUM(IS!DN59:DQ59)</f>
        <v>45271</v>
      </c>
      <c r="DH103" s="863">
        <f>SUM(IS!DO59:DR59)</f>
        <v>46657</v>
      </c>
      <c r="DI103" s="863">
        <f>SUM(IS!DP59:DS59)</f>
        <v>47320</v>
      </c>
      <c r="DJ103" s="863">
        <f ca="1">SUM(IS!DQ59:DT59)</f>
        <v>48050.334415885081</v>
      </c>
      <c r="DK103" s="863">
        <f ca="1">SUM(IS!DR59:DU59)</f>
        <v>48342.759438489564</v>
      </c>
      <c r="DL103" s="863">
        <f ca="1">SUM(IS!DS59:DV59)</f>
        <v>47786.253296851952</v>
      </c>
    </row>
    <row r="104" spans="1:116" s="837" customFormat="1">
      <c r="A104" s="836" t="s">
        <v>778</v>
      </c>
      <c r="B104" s="836"/>
      <c r="C104" s="836"/>
      <c r="K104" s="837">
        <f t="shared" ref="K104:U104" si="98">+K102/K103</f>
        <v>1.2946702689426501</v>
      </c>
      <c r="L104" s="837">
        <f t="shared" si="98"/>
        <v>1.8657520671394505</v>
      </c>
      <c r="M104" s="837">
        <f t="shared" si="98"/>
        <v>1.3418082383057948</v>
      </c>
      <c r="N104" s="837">
        <f t="shared" si="98"/>
        <v>1.1788434414668547</v>
      </c>
      <c r="O104" s="837">
        <f t="shared" si="98"/>
        <v>1.3067322340112784</v>
      </c>
      <c r="P104" s="837">
        <f t="shared" si="98"/>
        <v>0.95340425025582443</v>
      </c>
      <c r="Q104" s="837">
        <f t="shared" si="98"/>
        <v>2.373722661487955</v>
      </c>
      <c r="R104" s="837">
        <f t="shared" si="98"/>
        <v>2.3828885683375405</v>
      </c>
      <c r="S104" s="837">
        <f t="shared" si="98"/>
        <v>2.3781083280585946</v>
      </c>
      <c r="T104" s="837">
        <f t="shared" si="98"/>
        <v>2.4651392074072485</v>
      </c>
      <c r="U104" s="837">
        <f t="shared" ca="1" si="98"/>
        <v>2.2672123722039261</v>
      </c>
      <c r="V104" s="886">
        <f ca="1">+V102/V103</f>
        <v>2.0369569444258357</v>
      </c>
      <c r="W104" s="886">
        <f t="shared" ref="W104:AB104" ca="1" si="99">+W102/W103</f>
        <v>1.8151446907642561</v>
      </c>
      <c r="X104" s="886">
        <f t="shared" ca="1" si="99"/>
        <v>1.561168874605551</v>
      </c>
      <c r="Y104" s="886">
        <f t="shared" ca="1" si="99"/>
        <v>1.3074050600839464</v>
      </c>
      <c r="Z104" s="886">
        <f t="shared" ca="1" si="99"/>
        <v>1.0539621408111106</v>
      </c>
      <c r="AA104" s="886">
        <f t="shared" ca="1" si="99"/>
        <v>0.80083560173230861</v>
      </c>
      <c r="AB104" s="886">
        <f t="shared" ca="1" si="99"/>
        <v>0.57141421509376411</v>
      </c>
      <c r="BM104" s="885"/>
      <c r="BN104" s="886"/>
      <c r="BO104" s="886"/>
      <c r="BP104" s="886"/>
      <c r="BQ104" s="885"/>
      <c r="BR104" s="886"/>
      <c r="BS104" s="886"/>
      <c r="BT104" s="886"/>
      <c r="BU104" s="885"/>
      <c r="BV104" s="886"/>
      <c r="BW104" s="886"/>
      <c r="BX104" s="886">
        <f t="shared" ref="BX104:CV104" si="100">+BX102/BX103</f>
        <v>1.2946702689426501</v>
      </c>
      <c r="BY104" s="885">
        <f t="shared" si="100"/>
        <v>1.9988955361251726</v>
      </c>
      <c r="BZ104" s="886">
        <f t="shared" si="100"/>
        <v>1.9661614922076329</v>
      </c>
      <c r="CA104" s="886">
        <f t="shared" si="100"/>
        <v>1.8886742702967869</v>
      </c>
      <c r="CB104" s="886">
        <f t="shared" si="100"/>
        <v>1.8657520671394505</v>
      </c>
      <c r="CC104" s="885">
        <f t="shared" si="100"/>
        <v>1.8010464758387197</v>
      </c>
      <c r="CD104" s="886">
        <f t="shared" si="100"/>
        <v>1.6028647021257185</v>
      </c>
      <c r="CE104" s="886">
        <f t="shared" si="100"/>
        <v>1.4253833760964258</v>
      </c>
      <c r="CF104" s="886">
        <f t="shared" si="100"/>
        <v>1.3418082383057948</v>
      </c>
      <c r="CG104" s="885">
        <f t="shared" si="100"/>
        <v>1.3604128228782288</v>
      </c>
      <c r="CH104" s="886">
        <f t="shared" si="100"/>
        <v>1.3588933481342327</v>
      </c>
      <c r="CI104" s="886">
        <f t="shared" si="100"/>
        <v>1.2563322345251176</v>
      </c>
      <c r="CJ104" s="886">
        <f t="shared" si="100"/>
        <v>1.1788434414668547</v>
      </c>
      <c r="CK104" s="885">
        <f t="shared" si="100"/>
        <v>1.262238921427782</v>
      </c>
      <c r="CL104" s="886">
        <f t="shared" si="100"/>
        <v>1.1474433586877082</v>
      </c>
      <c r="CM104" s="886">
        <f t="shared" si="100"/>
        <v>1.1392311353180689</v>
      </c>
      <c r="CN104" s="886">
        <f t="shared" si="100"/>
        <v>1.3067322340112784</v>
      </c>
      <c r="CO104" s="885">
        <f t="shared" si="100"/>
        <v>1.2305575744990136</v>
      </c>
      <c r="CP104" s="886">
        <f t="shared" si="100"/>
        <v>1.2225422475976857</v>
      </c>
      <c r="CQ104" s="886">
        <f t="shared" si="100"/>
        <v>1.0556039308371687</v>
      </c>
      <c r="CR104" s="886">
        <f t="shared" si="100"/>
        <v>0.95340425025582443</v>
      </c>
      <c r="CS104" s="885">
        <f t="shared" si="100"/>
        <v>2.486203527057838</v>
      </c>
      <c r="CT104" s="886">
        <f t="shared" si="100"/>
        <v>2.387020662482247</v>
      </c>
      <c r="CU104" s="886">
        <f t="shared" si="100"/>
        <v>2.3335697129131878</v>
      </c>
      <c r="CV104" s="887">
        <f t="shared" si="100"/>
        <v>2.373722661487955</v>
      </c>
      <c r="CW104" s="886">
        <f t="shared" ref="CW104:DD104" si="101">+CW102/CW103</f>
        <v>2.5140577069446688</v>
      </c>
      <c r="CX104" s="886">
        <f t="shared" si="101"/>
        <v>2.5452642715856295</v>
      </c>
      <c r="CY104" s="886">
        <f t="shared" si="101"/>
        <v>2.4780979366131208</v>
      </c>
      <c r="CZ104" s="887">
        <f t="shared" si="101"/>
        <v>2.3828885683375405</v>
      </c>
      <c r="DA104" s="886">
        <f t="shared" si="101"/>
        <v>2.3414732956719408</v>
      </c>
      <c r="DB104" s="886">
        <f t="shared" si="101"/>
        <v>2.1888105567606653</v>
      </c>
      <c r="DC104" s="886">
        <f t="shared" si="101"/>
        <v>2.266196003892019</v>
      </c>
      <c r="DD104" s="886">
        <f t="shared" si="101"/>
        <v>2.3781083280585946</v>
      </c>
      <c r="DE104" s="886">
        <f t="shared" ref="DE104:DH104" si="102">+DE102/DE103</f>
        <v>2.5425076452599389</v>
      </c>
      <c r="DF104" s="886">
        <f t="shared" si="102"/>
        <v>2.5412823397075366</v>
      </c>
      <c r="DG104" s="886">
        <f t="shared" si="102"/>
        <v>2.4963000596408298</v>
      </c>
      <c r="DH104" s="886">
        <f t="shared" si="102"/>
        <v>2.4651392074072485</v>
      </c>
      <c r="DI104" s="886">
        <f t="shared" ref="DI104:DL104" si="103">+DI102/DI103</f>
        <v>2.475359256128487</v>
      </c>
      <c r="DJ104" s="886">
        <f t="shared" ca="1" si="103"/>
        <v>2.3722080164480484</v>
      </c>
      <c r="DK104" s="886">
        <f t="shared" ca="1" si="103"/>
        <v>2.3162457572334993</v>
      </c>
      <c r="DL104" s="886">
        <f t="shared" ca="1" si="103"/>
        <v>2.2672123722039266</v>
      </c>
    </row>
    <row r="105" spans="1:116" s="808" customFormat="1">
      <c r="A105" s="812" t="s">
        <v>779</v>
      </c>
      <c r="B105" s="812"/>
      <c r="C105" s="812"/>
      <c r="J105" s="808">
        <f>'Pension - NEW'!G37</f>
        <v>-10164</v>
      </c>
      <c r="K105" s="808">
        <f>'Pension - NEW'!H37</f>
        <v>2603</v>
      </c>
      <c r="L105" s="808">
        <f>'Pension - NEW'!I37</f>
        <v>3226</v>
      </c>
      <c r="M105" s="808">
        <f>'Pension - NEW'!J37</f>
        <v>3403</v>
      </c>
      <c r="N105" s="808">
        <f>'Pension - NEW'!K37</f>
        <v>6472</v>
      </c>
      <c r="O105" s="808">
        <f>'Pension - NEW'!L37</f>
        <v>8491</v>
      </c>
      <c r="P105" s="808">
        <f>'Pension - NEW'!M37</f>
        <v>5921</v>
      </c>
      <c r="Q105" s="808">
        <f>'Pension - NEW'!N37</f>
        <v>6772</v>
      </c>
      <c r="R105" s="808">
        <f>'Pension - NEW'!O37</f>
        <v>5892</v>
      </c>
      <c r="S105" s="808">
        <f>'Pension - NEW'!P37</f>
        <v>7161</v>
      </c>
      <c r="T105" s="808">
        <f>'Pension - NEW'!Q37</f>
        <v>6595.0220000000008</v>
      </c>
      <c r="U105" s="808">
        <f>'Pension - NEW'!R37</f>
        <v>6002.8328760000004</v>
      </c>
      <c r="V105" s="863">
        <f>'Pension - NEW'!S37</f>
        <v>5374.6423647679985</v>
      </c>
      <c r="W105" s="863">
        <f>'Pension - NEW'!T37</f>
        <v>4706.8147988100245</v>
      </c>
      <c r="X105" s="863">
        <f>'Pension - NEW'!U37</f>
        <v>3996.7620443808482</v>
      </c>
      <c r="Y105" s="863">
        <f>'Pension - NEW'!V37</f>
        <v>3241.7228161567546</v>
      </c>
      <c r="Z105" s="863">
        <f>'Pension - NEW'!W37</f>
        <v>2438.7509013897543</v>
      </c>
      <c r="AA105" s="863">
        <f>'Pension - NEW'!X37</f>
        <v>1584.7025745774481</v>
      </c>
      <c r="AB105" s="863">
        <f>'Pension - NEW'!Y37</f>
        <v>676.22314662216741</v>
      </c>
      <c r="BM105" s="862"/>
      <c r="BN105" s="863"/>
      <c r="BO105" s="863"/>
      <c r="BP105" s="863"/>
      <c r="BQ105" s="862"/>
      <c r="BR105" s="863"/>
      <c r="BS105" s="863"/>
      <c r="BT105" s="863"/>
      <c r="BU105" s="862"/>
      <c r="BV105" s="863"/>
      <c r="BW105" s="863"/>
      <c r="BX105" s="863">
        <f>+K105</f>
        <v>2603</v>
      </c>
      <c r="BY105" s="862">
        <f>+L105</f>
        <v>3226</v>
      </c>
      <c r="BZ105" s="902">
        <f t="shared" ref="BZ105:CB106" si="104">+BY105</f>
        <v>3226</v>
      </c>
      <c r="CA105" s="902">
        <f t="shared" si="104"/>
        <v>3226</v>
      </c>
      <c r="CB105" s="902">
        <f t="shared" si="104"/>
        <v>3226</v>
      </c>
      <c r="CC105" s="862"/>
      <c r="CD105" s="863"/>
      <c r="CE105" s="863"/>
      <c r="CF105" s="863"/>
      <c r="CG105" s="862"/>
      <c r="CH105" s="863"/>
      <c r="CI105" s="863"/>
      <c r="CJ105" s="863"/>
      <c r="CK105" s="862"/>
      <c r="CL105" s="863"/>
      <c r="CM105" s="863"/>
      <c r="CN105" s="863"/>
      <c r="CO105" s="862"/>
      <c r="CP105" s="863"/>
      <c r="CQ105" s="863"/>
      <c r="CR105" s="863"/>
      <c r="CS105" s="862"/>
      <c r="CT105" s="863"/>
      <c r="CU105" s="863"/>
      <c r="CV105" s="864"/>
      <c r="CW105" s="863"/>
      <c r="CX105" s="863"/>
      <c r="CY105" s="863"/>
      <c r="CZ105" s="864"/>
      <c r="DA105" s="863"/>
      <c r="DB105" s="863"/>
      <c r="DC105" s="863"/>
      <c r="DD105" s="863"/>
      <c r="DE105" s="863"/>
      <c r="DF105" s="863"/>
      <c r="DG105" s="863"/>
      <c r="DH105" s="863"/>
      <c r="DI105" s="863"/>
      <c r="DJ105" s="863"/>
      <c r="DK105" s="863"/>
      <c r="DL105" s="863"/>
    </row>
    <row r="106" spans="1:116" s="808" customFormat="1">
      <c r="A106" s="812" t="s">
        <v>780</v>
      </c>
      <c r="B106" s="812"/>
      <c r="C106" s="812"/>
      <c r="J106" s="808">
        <f>'OPEB - NEW'!G37</f>
        <v>23164</v>
      </c>
      <c r="K106" s="808">
        <f>'OPEB - NEW'!H37</f>
        <v>24541</v>
      </c>
      <c r="L106" s="808">
        <f>'OPEB - NEW'!I37</f>
        <v>24246</v>
      </c>
      <c r="M106" s="808">
        <f>'OPEB - NEW'!J37</f>
        <v>22773</v>
      </c>
      <c r="N106" s="808">
        <f>'OPEB - NEW'!K37</f>
        <v>24741</v>
      </c>
      <c r="O106" s="808">
        <f>'OPEB - NEW'!L37</f>
        <v>24187</v>
      </c>
      <c r="P106" s="808">
        <f>'OPEB - NEW'!M37</f>
        <v>19989</v>
      </c>
      <c r="Q106" s="808">
        <f>'OPEB - NEW'!N37</f>
        <v>24662</v>
      </c>
      <c r="R106" s="808">
        <f>'OPEB - NEW'!O37</f>
        <v>22463</v>
      </c>
      <c r="S106" s="808">
        <f>'OPEB - NEW'!P37</f>
        <v>18287</v>
      </c>
      <c r="T106" s="808">
        <f>'OPEB - NEW'!Q37</f>
        <v>18453.506000000001</v>
      </c>
      <c r="U106" s="808">
        <f>'OPEB - NEW'!R37</f>
        <v>18624.852428000002</v>
      </c>
      <c r="V106" s="863">
        <f>'OPEB - NEW'!S37</f>
        <v>18801.184774663998</v>
      </c>
      <c r="W106" s="863">
        <f>'OPEB - NEW'!T37</f>
        <v>18982.748444586032</v>
      </c>
      <c r="X106" s="863">
        <f>'OPEB - NEW'!U37</f>
        <v>19169.680517201461</v>
      </c>
      <c r="Y106" s="863">
        <f>'OPEB - NEW'!V37</f>
        <v>19362.120689108568</v>
      </c>
      <c r="Z106" s="863">
        <f>'OPEB - NEW'!W37</f>
        <v>19560.211264662787</v>
      </c>
      <c r="AA106" s="863">
        <f>'OPEB - NEW'!X37</f>
        <v>19764.097141641527</v>
      </c>
      <c r="AB106" s="863">
        <f>'OPEB - NEW'!Y37</f>
        <v>19973.925791600166</v>
      </c>
      <c r="BM106" s="862"/>
      <c r="BN106" s="863"/>
      <c r="BO106" s="863"/>
      <c r="BP106" s="863"/>
      <c r="BQ106" s="862"/>
      <c r="BR106" s="863"/>
      <c r="BS106" s="863"/>
      <c r="BT106" s="863"/>
      <c r="BU106" s="862"/>
      <c r="BV106" s="863"/>
      <c r="BW106" s="863"/>
      <c r="BX106" s="863">
        <f>+K106</f>
        <v>24541</v>
      </c>
      <c r="BY106" s="862">
        <f>+L106</f>
        <v>24246</v>
      </c>
      <c r="BZ106" s="902">
        <f t="shared" si="104"/>
        <v>24246</v>
      </c>
      <c r="CA106" s="902">
        <f t="shared" si="104"/>
        <v>24246</v>
      </c>
      <c r="CB106" s="902">
        <f t="shared" si="104"/>
        <v>24246</v>
      </c>
      <c r="CC106" s="862"/>
      <c r="CD106" s="863"/>
      <c r="CE106" s="863"/>
      <c r="CF106" s="863"/>
      <c r="CG106" s="862"/>
      <c r="CH106" s="863"/>
      <c r="CI106" s="863"/>
      <c r="CJ106" s="863"/>
      <c r="CK106" s="862"/>
      <c r="CL106" s="863"/>
      <c r="CM106" s="863"/>
      <c r="CN106" s="863"/>
      <c r="CO106" s="862"/>
      <c r="CP106" s="863"/>
      <c r="CQ106" s="863"/>
      <c r="CR106" s="863"/>
      <c r="CS106" s="862"/>
      <c r="CT106" s="863"/>
      <c r="CU106" s="863"/>
      <c r="CV106" s="864"/>
      <c r="CW106" s="863"/>
      <c r="CX106" s="863"/>
      <c r="CY106" s="863"/>
      <c r="CZ106" s="864"/>
      <c r="DA106" s="863"/>
      <c r="DB106" s="863"/>
      <c r="DC106" s="863"/>
      <c r="DD106" s="863"/>
      <c r="DE106" s="863"/>
      <c r="DF106" s="863"/>
      <c r="DG106" s="863"/>
      <c r="DH106" s="863"/>
      <c r="DI106" s="863"/>
      <c r="DJ106" s="863"/>
      <c r="DK106" s="863"/>
      <c r="DL106" s="863"/>
    </row>
    <row r="107" spans="1:116" s="837" customFormat="1">
      <c r="A107" s="836" t="s">
        <v>781</v>
      </c>
      <c r="B107" s="836"/>
      <c r="C107" s="836"/>
      <c r="K107" s="837">
        <f t="shared" ref="K107:U107" si="105">+(K102+K105+K106)/K103</f>
        <v>2.1280240697531623</v>
      </c>
      <c r="L107" s="837">
        <f t="shared" si="105"/>
        <v>2.7165154377380696</v>
      </c>
      <c r="M107" s="837">
        <f t="shared" si="105"/>
        <v>2.1032697230626018</v>
      </c>
      <c r="N107" s="837">
        <f t="shared" si="105"/>
        <v>2.0593229901269394</v>
      </c>
      <c r="O107" s="837">
        <f t="shared" si="105"/>
        <v>2.1800785739102548</v>
      </c>
      <c r="P107" s="837">
        <f t="shared" si="105"/>
        <v>1.57000071392875</v>
      </c>
      <c r="Q107" s="837">
        <f t="shared" si="105"/>
        <v>3.1004531372821011</v>
      </c>
      <c r="R107" s="837">
        <f t="shared" si="105"/>
        <v>3.02197529751172</v>
      </c>
      <c r="S107" s="837">
        <f t="shared" si="105"/>
        <v>2.9533863821322002</v>
      </c>
      <c r="T107" s="837">
        <f t="shared" si="105"/>
        <v>3.0020045866643801</v>
      </c>
      <c r="U107" s="837">
        <f t="shared" ca="1" si="105"/>
        <v>2.782584128826294</v>
      </c>
      <c r="V107" s="886">
        <f ca="1">+(V102+V105+V106)/V103</f>
        <v>2.5319913130667993</v>
      </c>
      <c r="W107" s="886">
        <f t="shared" ref="W107:AB107" ca="1" si="106">+(W102+W105+W106)/W103</f>
        <v>2.291915570188122</v>
      </c>
      <c r="X107" s="886">
        <f t="shared" ca="1" si="106"/>
        <v>2.018751693061076</v>
      </c>
      <c r="Y107" s="886">
        <f t="shared" ca="1" si="106"/>
        <v>1.7450650836814274</v>
      </c>
      <c r="Z107" s="886">
        <f t="shared" ca="1" si="106"/>
        <v>1.4710352557908815</v>
      </c>
      <c r="AA107" s="886">
        <f t="shared" ca="1" si="106"/>
        <v>1.1966865005768352</v>
      </c>
      <c r="AB107" s="886">
        <f t="shared" ca="1" si="106"/>
        <v>0.94542811033903862</v>
      </c>
      <c r="BM107" s="885"/>
      <c r="BN107" s="886"/>
      <c r="BO107" s="886"/>
      <c r="BP107" s="886"/>
      <c r="BQ107" s="885"/>
      <c r="BR107" s="886"/>
      <c r="BS107" s="886"/>
      <c r="BT107" s="886"/>
      <c r="BU107" s="885"/>
      <c r="BV107" s="886"/>
      <c r="BW107" s="886"/>
      <c r="BX107" s="886">
        <f>+(BX102+BX105+BX106)/BX103</f>
        <v>2.1280240697531623</v>
      </c>
      <c r="BY107" s="885"/>
      <c r="BZ107" s="886"/>
      <c r="CA107" s="886"/>
      <c r="CB107" s="886"/>
      <c r="CC107" s="885"/>
      <c r="CD107" s="886"/>
      <c r="CE107" s="886"/>
      <c r="CF107" s="886"/>
      <c r="CG107" s="885"/>
      <c r="CH107" s="886"/>
      <c r="CI107" s="886"/>
      <c r="CJ107" s="886"/>
      <c r="CK107" s="885"/>
      <c r="CL107" s="886"/>
      <c r="CM107" s="886"/>
      <c r="CN107" s="886"/>
      <c r="CO107" s="885"/>
      <c r="CP107" s="886"/>
      <c r="CQ107" s="886"/>
      <c r="CR107" s="886"/>
      <c r="CS107" s="885"/>
      <c r="CT107" s="886"/>
      <c r="CU107" s="886"/>
      <c r="CV107" s="887"/>
      <c r="CW107" s="886"/>
      <c r="CX107" s="886"/>
      <c r="CY107" s="886"/>
      <c r="CZ107" s="887"/>
      <c r="DA107" s="886"/>
      <c r="DB107" s="886"/>
      <c r="DC107" s="886"/>
      <c r="DD107" s="886"/>
      <c r="DE107" s="886"/>
      <c r="DF107" s="886"/>
      <c r="DG107" s="886"/>
      <c r="DH107" s="886"/>
      <c r="DI107" s="886"/>
      <c r="DJ107" s="886"/>
      <c r="DK107" s="886"/>
      <c r="DL107" s="886"/>
    </row>
    <row r="108" spans="1:116" s="808" customFormat="1">
      <c r="A108" s="812"/>
      <c r="B108" s="812"/>
      <c r="C108" s="812"/>
      <c r="V108" s="863"/>
      <c r="W108" s="863"/>
      <c r="X108" s="863"/>
      <c r="Y108" s="863"/>
      <c r="Z108" s="863"/>
      <c r="AA108" s="863"/>
      <c r="AB108" s="863"/>
      <c r="BM108" s="862"/>
      <c r="BN108" s="863"/>
      <c r="BO108" s="863"/>
      <c r="BP108" s="863"/>
      <c r="BQ108" s="862"/>
      <c r="BR108" s="863"/>
      <c r="BS108" s="863"/>
      <c r="BT108" s="863"/>
      <c r="BU108" s="862"/>
      <c r="BV108" s="863"/>
      <c r="BW108" s="863"/>
      <c r="BX108" s="863"/>
      <c r="BY108" s="862"/>
      <c r="BZ108" s="863"/>
      <c r="CA108" s="863"/>
      <c r="CB108" s="863"/>
      <c r="CC108" s="862"/>
      <c r="CD108" s="863"/>
      <c r="CE108" s="863"/>
      <c r="CF108" s="863"/>
      <c r="CG108" s="862"/>
      <c r="CH108" s="863"/>
      <c r="CI108" s="863"/>
      <c r="CJ108" s="863"/>
      <c r="CK108" s="862"/>
      <c r="CL108" s="863"/>
      <c r="CM108" s="863"/>
      <c r="CN108" s="863"/>
      <c r="CO108" s="862"/>
      <c r="CP108" s="863"/>
      <c r="CQ108" s="863"/>
      <c r="CR108" s="863"/>
      <c r="CS108" s="862"/>
      <c r="CT108" s="863"/>
      <c r="CU108" s="863"/>
      <c r="CV108" s="864"/>
      <c r="CW108" s="863"/>
      <c r="CX108" s="863"/>
      <c r="CY108" s="863"/>
      <c r="CZ108" s="864"/>
      <c r="DA108" s="863"/>
      <c r="DB108" s="863"/>
      <c r="DC108" s="863"/>
      <c r="DD108" s="863"/>
      <c r="DE108" s="863"/>
      <c r="DF108" s="863"/>
      <c r="DG108" s="863"/>
      <c r="DH108" s="863"/>
      <c r="DI108" s="863"/>
      <c r="DJ108" s="863"/>
      <c r="DK108" s="863"/>
      <c r="DL108" s="863"/>
    </row>
    <row r="109" spans="1:116" s="808" customFormat="1">
      <c r="A109" s="812"/>
      <c r="B109" s="812"/>
      <c r="C109" s="812"/>
      <c r="V109" s="863"/>
      <c r="W109" s="863"/>
      <c r="X109" s="863"/>
      <c r="Y109" s="863"/>
      <c r="Z109" s="863"/>
      <c r="AA109" s="863"/>
      <c r="AB109" s="863"/>
      <c r="BM109" s="862"/>
      <c r="BN109" s="863"/>
      <c r="BO109" s="863"/>
      <c r="BP109" s="863"/>
      <c r="BQ109" s="862"/>
      <c r="BR109" s="863"/>
      <c r="BS109" s="863"/>
      <c r="BT109" s="863"/>
      <c r="BU109" s="862"/>
      <c r="BV109" s="863"/>
      <c r="BW109" s="863"/>
      <c r="BX109" s="863"/>
      <c r="BY109" s="862"/>
      <c r="BZ109" s="863"/>
      <c r="CA109" s="863"/>
      <c r="CB109" s="863"/>
      <c r="CC109" s="862"/>
      <c r="CD109" s="863"/>
      <c r="CE109" s="863"/>
      <c r="CF109" s="863"/>
      <c r="CG109" s="862"/>
      <c r="CH109" s="863"/>
      <c r="CI109" s="863"/>
      <c r="CJ109" s="863"/>
      <c r="CK109" s="862"/>
      <c r="CL109" s="863"/>
      <c r="CM109" s="863"/>
      <c r="CN109" s="863"/>
      <c r="CO109" s="862"/>
      <c r="CP109" s="863"/>
      <c r="CQ109" s="863"/>
      <c r="CR109" s="863"/>
      <c r="CS109" s="862"/>
      <c r="CT109" s="863"/>
      <c r="CU109" s="863"/>
      <c r="CV109" s="864"/>
      <c r="CW109" s="863"/>
      <c r="CX109" s="863"/>
      <c r="CY109" s="863"/>
      <c r="CZ109" s="864"/>
      <c r="DA109" s="863"/>
      <c r="DB109" s="863"/>
      <c r="DC109" s="863"/>
      <c r="DD109" s="863"/>
      <c r="DE109" s="863"/>
      <c r="DF109" s="863"/>
      <c r="DG109" s="863"/>
      <c r="DH109" s="863"/>
      <c r="DI109" s="863"/>
      <c r="DJ109" s="863"/>
      <c r="DK109" s="863"/>
      <c r="DL109" s="863"/>
    </row>
    <row r="110" spans="1:116" s="808" customFormat="1">
      <c r="A110" s="812"/>
      <c r="B110" s="812"/>
      <c r="C110" s="812"/>
      <c r="V110" s="863"/>
      <c r="W110" s="863"/>
      <c r="X110" s="863"/>
      <c r="Y110" s="863"/>
      <c r="Z110" s="863"/>
      <c r="AA110" s="863"/>
      <c r="AB110" s="863"/>
      <c r="BM110" s="862"/>
      <c r="BN110" s="863"/>
      <c r="BO110" s="863"/>
      <c r="BP110" s="863"/>
      <c r="BQ110" s="862"/>
      <c r="BR110" s="863"/>
      <c r="BS110" s="863"/>
      <c r="BT110" s="863"/>
      <c r="BU110" s="862"/>
      <c r="BV110" s="863"/>
      <c r="BW110" s="863"/>
      <c r="BX110" s="863"/>
      <c r="BY110" s="862"/>
      <c r="BZ110" s="863"/>
      <c r="CA110" s="863"/>
      <c r="CB110" s="863"/>
      <c r="CC110" s="862"/>
      <c r="CD110" s="863"/>
      <c r="CE110" s="863"/>
      <c r="CF110" s="863"/>
      <c r="CG110" s="862"/>
      <c r="CH110" s="863"/>
      <c r="CI110" s="863"/>
      <c r="CJ110" s="863"/>
      <c r="CK110" s="862"/>
      <c r="CL110" s="863"/>
      <c r="CM110" s="863"/>
      <c r="CN110" s="863"/>
      <c r="CO110" s="862"/>
      <c r="CP110" s="863"/>
      <c r="CQ110" s="863"/>
      <c r="CR110" s="863"/>
      <c r="CS110" s="862"/>
      <c r="CT110" s="863"/>
      <c r="CU110" s="863"/>
      <c r="CV110" s="864"/>
      <c r="CW110" s="863"/>
      <c r="CX110" s="863"/>
      <c r="CY110" s="863"/>
      <c r="CZ110" s="864"/>
      <c r="DA110" s="863"/>
      <c r="DB110" s="863"/>
      <c r="DC110" s="863"/>
      <c r="DD110" s="863"/>
      <c r="DE110" s="863"/>
      <c r="DF110" s="863"/>
      <c r="DG110" s="863"/>
      <c r="DH110" s="863"/>
      <c r="DI110" s="863"/>
      <c r="DJ110" s="863"/>
      <c r="DK110" s="863"/>
      <c r="DL110" s="863"/>
    </row>
    <row r="111" spans="1:116" s="808" customFormat="1">
      <c r="A111" s="812"/>
      <c r="B111" s="812"/>
      <c r="C111" s="812"/>
      <c r="V111" s="863"/>
      <c r="W111" s="863"/>
      <c r="X111" s="863"/>
      <c r="Y111" s="863"/>
      <c r="Z111" s="863"/>
      <c r="AA111" s="863"/>
      <c r="AB111" s="863"/>
      <c r="BM111" s="862"/>
      <c r="BN111" s="863"/>
      <c r="BO111" s="863"/>
      <c r="BP111" s="863"/>
      <c r="BQ111" s="862"/>
      <c r="BR111" s="863"/>
      <c r="BS111" s="863"/>
      <c r="BT111" s="863"/>
      <c r="BU111" s="862"/>
      <c r="BV111" s="863"/>
      <c r="BW111" s="863"/>
      <c r="BX111" s="863"/>
      <c r="BY111" s="862"/>
      <c r="BZ111" s="863"/>
      <c r="CA111" s="863"/>
      <c r="CB111" s="863"/>
      <c r="CC111" s="862"/>
      <c r="CD111" s="863"/>
      <c r="CE111" s="863"/>
      <c r="CF111" s="863"/>
      <c r="CG111" s="862"/>
      <c r="CH111" s="863"/>
      <c r="CI111" s="863"/>
      <c r="CJ111" s="863"/>
      <c r="CK111" s="862"/>
      <c r="CL111" s="863"/>
      <c r="CM111" s="863"/>
      <c r="CN111" s="863"/>
      <c r="CO111" s="862"/>
      <c r="CP111" s="863"/>
      <c r="CQ111" s="863"/>
      <c r="CR111" s="863"/>
      <c r="CS111" s="862"/>
      <c r="CT111" s="863"/>
      <c r="CU111" s="863"/>
      <c r="CV111" s="864"/>
      <c r="CW111" s="863"/>
      <c r="CX111" s="863"/>
      <c r="CY111" s="863"/>
      <c r="CZ111" s="864"/>
      <c r="DA111" s="863"/>
      <c r="DB111" s="863"/>
      <c r="DC111" s="863"/>
      <c r="DD111" s="863"/>
      <c r="DE111" s="863"/>
      <c r="DF111" s="863"/>
      <c r="DG111" s="863"/>
      <c r="DH111" s="863"/>
      <c r="DI111" s="863"/>
      <c r="DJ111" s="863"/>
      <c r="DK111" s="863"/>
      <c r="DL111" s="863"/>
    </row>
    <row r="112" spans="1:116" s="808" customFormat="1">
      <c r="A112" s="820" t="s">
        <v>318</v>
      </c>
      <c r="B112" s="812"/>
      <c r="C112" s="812"/>
      <c r="G112" s="808">
        <f>FiOS!D9</f>
        <v>1000000</v>
      </c>
      <c r="H112" s="808">
        <f>FiOS!E9</f>
        <v>3000000</v>
      </c>
      <c r="I112" s="808">
        <f>FiOS!F9</f>
        <v>6000000</v>
      </c>
      <c r="J112" s="808">
        <f>FiOS!G9</f>
        <v>9700000</v>
      </c>
      <c r="K112" s="808">
        <f>FiOS!H9</f>
        <v>11950000</v>
      </c>
      <c r="L112" s="808">
        <f>FiOS!I9</f>
        <v>14650000</v>
      </c>
      <c r="M112" s="808">
        <f>FiOS!J9</f>
        <v>15600000</v>
      </c>
      <c r="N112" s="808">
        <f>FiOS!K9</f>
        <v>16500000</v>
      </c>
      <c r="O112" s="808">
        <f>FiOS!L9</f>
        <v>17600000</v>
      </c>
      <c r="P112" s="808">
        <f>FiOS!M9</f>
        <v>18600000</v>
      </c>
      <c r="Q112" s="808">
        <f>FiOS!N9</f>
        <v>19800000</v>
      </c>
      <c r="R112" s="808">
        <f>FiOS!O9</f>
        <v>20500000</v>
      </c>
      <c r="S112" s="808">
        <f>FiOS!P9</f>
        <v>16900000</v>
      </c>
      <c r="T112" s="808">
        <f>FiOS!Q9</f>
        <v>17418000</v>
      </c>
      <c r="U112" s="808">
        <f>FiOS!R9</f>
        <v>17936000</v>
      </c>
      <c r="V112" s="863">
        <f>FiOS!S9</f>
        <v>18195000</v>
      </c>
      <c r="W112" s="863">
        <f>FiOS!T9</f>
        <v>18324500</v>
      </c>
      <c r="X112" s="863">
        <f>FiOS!U9</f>
        <v>18389250</v>
      </c>
      <c r="Y112" s="863">
        <f>FiOS!V9</f>
        <v>18421625</v>
      </c>
      <c r="Z112" s="863">
        <f>FiOS!W9</f>
        <v>18437812.5</v>
      </c>
      <c r="AA112" s="863">
        <f>FiOS!X9</f>
        <v>18445906.25</v>
      </c>
      <c r="AB112" s="863">
        <f>FiOS!Y9</f>
        <v>18449953.125</v>
      </c>
      <c r="BL112" s="808">
        <f>FiOS!BY9</f>
        <v>3000000</v>
      </c>
      <c r="BM112" s="862">
        <f>FiOS!BZ9</f>
        <v>3700000</v>
      </c>
      <c r="BN112" s="863">
        <f>FiOS!CA9</f>
        <v>4400000</v>
      </c>
      <c r="BO112" s="863">
        <f>FiOS!CB9</f>
        <v>5300000</v>
      </c>
      <c r="BP112" s="863">
        <f>FiOS!CC9</f>
        <v>6000000</v>
      </c>
      <c r="BQ112" s="862">
        <f>FiOS!CD9</f>
        <v>6800000</v>
      </c>
      <c r="BR112" s="863">
        <f>FiOS!CE9</f>
        <v>7598000</v>
      </c>
      <c r="BS112" s="863">
        <f>FiOS!CF9</f>
        <v>8500000</v>
      </c>
      <c r="BT112" s="863">
        <f>FiOS!CG9</f>
        <v>9700000</v>
      </c>
      <c r="BU112" s="862">
        <f>FiOS!CH9</f>
        <v>9650000</v>
      </c>
      <c r="BV112" s="863">
        <f>FiOS!CI9</f>
        <v>10250000</v>
      </c>
      <c r="BW112" s="863">
        <f>FiOS!CJ9</f>
        <v>11150000</v>
      </c>
      <c r="BX112" s="863">
        <f>FiOS!CK9</f>
        <v>11950000</v>
      </c>
      <c r="BY112" s="862">
        <f>FiOS!CL9</f>
        <v>12450000</v>
      </c>
      <c r="BZ112" s="863">
        <f>FiOS!CM9</f>
        <v>13090000</v>
      </c>
      <c r="CA112" s="863">
        <f>FiOS!CN9</f>
        <v>13750000</v>
      </c>
      <c r="CB112" s="863">
        <f>FiOS!CO9</f>
        <v>14650000</v>
      </c>
      <c r="CC112" s="862">
        <f>FiOS!CP9</f>
        <v>14850000</v>
      </c>
      <c r="CD112" s="863">
        <f>FiOS!CQ9</f>
        <v>15150000</v>
      </c>
      <c r="CE112" s="863">
        <f>FiOS!CR9</f>
        <v>15400000</v>
      </c>
      <c r="CF112" s="863">
        <f>FiOS!CS9</f>
        <v>15600000</v>
      </c>
      <c r="CG112" s="862">
        <f>FiOS!CT9</f>
        <v>15800000</v>
      </c>
      <c r="CH112" s="863">
        <f>FiOS!CU9</f>
        <v>16100000</v>
      </c>
      <c r="CI112" s="863">
        <f>FiOS!CV9</f>
        <v>16123799.999999998</v>
      </c>
      <c r="CJ112" s="863">
        <f>FiOS!CW9</f>
        <v>16500000</v>
      </c>
      <c r="CK112" s="862">
        <f>FiOS!CX9</f>
        <v>16600000</v>
      </c>
      <c r="CL112" s="863">
        <f>FiOS!CY9</f>
        <v>17000000</v>
      </c>
      <c r="CM112" s="863">
        <f>FiOS!CZ9</f>
        <v>17400000</v>
      </c>
      <c r="CN112" s="863">
        <f>FiOS!DA9</f>
        <v>17600000</v>
      </c>
      <c r="CO112" s="862">
        <f>FiOS!DB9</f>
        <v>17750000</v>
      </c>
      <c r="CP112" s="863">
        <f>FiOS!DC9</f>
        <v>17849000</v>
      </c>
      <c r="CQ112" s="863">
        <f>FiOS!DD9</f>
        <v>18300000</v>
      </c>
      <c r="CR112" s="863">
        <f>FiOS!DE9</f>
        <v>18600000</v>
      </c>
      <c r="CS112" s="862">
        <f>FiOS!DF9</f>
        <v>18900000</v>
      </c>
      <c r="CT112" s="863">
        <f>FiOS!DG9</f>
        <v>19300000</v>
      </c>
      <c r="CU112" s="863">
        <f>FiOS!DH9</f>
        <v>19700000</v>
      </c>
      <c r="CV112" s="864">
        <f>FiOS!DI9</f>
        <v>19800000</v>
      </c>
      <c r="CW112" s="863">
        <f>FiOS!DJ9</f>
        <v>19847000</v>
      </c>
      <c r="CX112" s="863">
        <f>FiOS!DK9</f>
        <v>19898000</v>
      </c>
      <c r="CY112" s="863">
        <f>FiOS!DL9</f>
        <v>19948000</v>
      </c>
      <c r="CZ112" s="864">
        <f>FiOS!DM9</f>
        <v>20500000</v>
      </c>
      <c r="DA112" s="863">
        <f>FiOS!DN9</f>
        <v>20675000</v>
      </c>
      <c r="DB112" s="863">
        <f>FiOS!DO9</f>
        <v>16382000</v>
      </c>
      <c r="DC112" s="863">
        <f>FiOS!DP9</f>
        <v>16589000</v>
      </c>
      <c r="DD112" s="863">
        <f>FiOS!DQ9</f>
        <v>16900000</v>
      </c>
      <c r="DE112" s="863">
        <f>FiOS!DR9</f>
        <v>17029500</v>
      </c>
      <c r="DF112" s="863">
        <f>FiOS!DS9</f>
        <v>17159000</v>
      </c>
      <c r="DG112" s="863">
        <f>FiOS!DT9</f>
        <v>17288500</v>
      </c>
      <c r="DH112" s="863">
        <f>FiOS!DU9</f>
        <v>17418000</v>
      </c>
      <c r="DI112" s="863">
        <f>FiOS!DV9</f>
        <v>17547500</v>
      </c>
      <c r="DJ112" s="863">
        <f>FiOS!DW9</f>
        <v>17677000</v>
      </c>
      <c r="DK112" s="863">
        <f>FiOS!DX9</f>
        <v>17806500</v>
      </c>
      <c r="DL112" s="863">
        <f>FiOS!DY9</f>
        <v>17936000</v>
      </c>
    </row>
    <row r="113" spans="1:116" s="808" customFormat="1">
      <c r="A113" s="820" t="s">
        <v>322</v>
      </c>
      <c r="B113" s="812"/>
      <c r="C113" s="812"/>
      <c r="H113" s="808">
        <f>FiOS!E23</f>
        <v>2600000</v>
      </c>
      <c r="I113" s="808">
        <f>FiOS!F23</f>
        <v>4800000</v>
      </c>
      <c r="J113" s="808">
        <f>FiOS!G23</f>
        <v>6898500</v>
      </c>
      <c r="K113" s="808">
        <f>FiOS!H23</f>
        <v>9350000</v>
      </c>
      <c r="L113" s="808">
        <f>FiOS!I23</f>
        <v>11630000</v>
      </c>
      <c r="M113" s="808">
        <f>FiOS!J23</f>
        <v>12786000</v>
      </c>
      <c r="N113" s="808">
        <f>FiOS!K23</f>
        <v>13585000</v>
      </c>
      <c r="O113" s="808">
        <f>FiOS!L23</f>
        <v>14528000</v>
      </c>
      <c r="P113" s="808">
        <f>FiOS!M23</f>
        <v>15368000</v>
      </c>
      <c r="Q113" s="808">
        <f>FiOS!N23</f>
        <v>16097323.600973237</v>
      </c>
      <c r="R113" s="808">
        <f>FiOS!O23</f>
        <v>16827751.196172249</v>
      </c>
      <c r="S113" s="808">
        <f>FiOS!P23</f>
        <v>13992574.257425742</v>
      </c>
      <c r="T113" s="808">
        <f>FiOS!Q23</f>
        <v>14588528.678304238</v>
      </c>
      <c r="U113" s="808">
        <f>FiOS!R23</f>
        <v>15079749.834702317</v>
      </c>
      <c r="V113" s="863">
        <f>FiOS!S23</f>
        <v>15661404.919848833</v>
      </c>
      <c r="W113" s="863">
        <f>FiOS!T23</f>
        <v>16139362.46242209</v>
      </c>
      <c r="X113" s="863">
        <f>FiOS!U23</f>
        <v>16564176.233708719</v>
      </c>
      <c r="Y113" s="863">
        <f>FiOS!V23</f>
        <v>16961770.619352035</v>
      </c>
      <c r="Z113" s="863">
        <f>FiOS!W23</f>
        <v>17345431.562173691</v>
      </c>
      <c r="AA113" s="863">
        <f>FiOS!X23</f>
        <v>17721963.90858452</v>
      </c>
      <c r="AB113" s="863">
        <f>FiOS!Y23</f>
        <v>18094851.019289937</v>
      </c>
      <c r="BM113" s="862">
        <f>FiOS!BZ23</f>
        <v>2600000</v>
      </c>
      <c r="BN113" s="863">
        <f>FiOS!CA23</f>
        <v>3100000</v>
      </c>
      <c r="BO113" s="863">
        <f>FiOS!CB23</f>
        <v>3799999.9999999995</v>
      </c>
      <c r="BP113" s="863">
        <f>FiOS!CC23</f>
        <v>4800000</v>
      </c>
      <c r="BQ113" s="862">
        <f>FiOS!CD23</f>
        <v>5200000</v>
      </c>
      <c r="BR113" s="863">
        <f>FiOS!CE23</f>
        <v>5700000</v>
      </c>
      <c r="BS113" s="863">
        <f>FiOS!CF23</f>
        <v>6495000</v>
      </c>
      <c r="BT113" s="863">
        <f>FiOS!CG23</f>
        <v>6898500</v>
      </c>
      <c r="BU113" s="862">
        <f>FiOS!CH23</f>
        <v>7300000</v>
      </c>
      <c r="BV113" s="863">
        <f>FiOS!CI23</f>
        <v>7750000</v>
      </c>
      <c r="BW113" s="863">
        <f>FiOS!CJ23</f>
        <v>8500000</v>
      </c>
      <c r="BX113" s="863">
        <f>FiOS!CK23</f>
        <v>9350000</v>
      </c>
      <c r="BY113" s="862">
        <f>FiOS!CL23</f>
        <v>9855000</v>
      </c>
      <c r="BZ113" s="863">
        <f>FiOS!CM23</f>
        <v>10414000</v>
      </c>
      <c r="CA113" s="863">
        <f>FiOS!CN23</f>
        <v>10928000</v>
      </c>
      <c r="CB113" s="863">
        <f>FiOS!CO23</f>
        <v>11630000</v>
      </c>
      <c r="CC113" s="862">
        <f>FiOS!CP23</f>
        <v>11968000</v>
      </c>
      <c r="CD113" s="863">
        <f>FiOS!CQ23</f>
        <v>12258000</v>
      </c>
      <c r="CE113" s="863">
        <f>FiOS!CR23</f>
        <v>12525000</v>
      </c>
      <c r="CF113" s="863">
        <f>FiOS!CS23</f>
        <v>12786000</v>
      </c>
      <c r="CG113" s="862">
        <f>FiOS!CT23</f>
        <v>12962000</v>
      </c>
      <c r="CH113" s="863">
        <f>FiOS!CU23</f>
        <v>13202000</v>
      </c>
      <c r="CI113" s="863">
        <f>FiOS!CV23</f>
        <v>13358000</v>
      </c>
      <c r="CJ113" s="863">
        <f>FiOS!CW23</f>
        <v>13585000</v>
      </c>
      <c r="CK113" s="862">
        <f>FiOS!CX23</f>
        <v>13780000</v>
      </c>
      <c r="CL113" s="863">
        <f>FiOS!CY23</f>
        <v>14044000</v>
      </c>
      <c r="CM113" s="863">
        <f>FiOS!CZ23</f>
        <v>14283000</v>
      </c>
      <c r="CN113" s="863">
        <f>FiOS!DA23</f>
        <v>14528000</v>
      </c>
      <c r="CO113" s="862">
        <f>FiOS!DB23</f>
        <v>14703000</v>
      </c>
      <c r="CP113" s="863">
        <f>FiOS!DC23</f>
        <v>14943000</v>
      </c>
      <c r="CQ113" s="863">
        <f>FiOS!DD23</f>
        <v>15167000</v>
      </c>
      <c r="CR113" s="863">
        <f>FiOS!DE23</f>
        <v>15368000</v>
      </c>
      <c r="CS113" s="862">
        <f>FiOS!DF23</f>
        <v>15530000</v>
      </c>
      <c r="CT113" s="863">
        <f>FiOS!DG23</f>
        <v>15733167.082294263</v>
      </c>
      <c r="CU113" s="863">
        <f>FiOS!DH23</f>
        <v>15938423.645320196</v>
      </c>
      <c r="CV113" s="864">
        <f>FiOS!DI23</f>
        <v>16097323.600973237</v>
      </c>
      <c r="CW113" s="863">
        <f>FiOS!DJ23</f>
        <v>16262650.602409638</v>
      </c>
      <c r="CX113" s="863">
        <f>FiOS!DK23</f>
        <v>16475845.410628021</v>
      </c>
      <c r="CY113" s="863">
        <f>FiOS!DL23</f>
        <v>16630695.443645084</v>
      </c>
      <c r="CZ113" s="864">
        <f>FiOS!DM23</f>
        <v>16827751.196172249</v>
      </c>
      <c r="DA113" s="863">
        <f>FiOS!DN23</f>
        <v>17021479.713603821</v>
      </c>
      <c r="DB113" s="863">
        <f>FiOS!DO23</f>
        <v>13703241.895261845</v>
      </c>
      <c r="DC113" s="863">
        <f>FiOS!DP23</f>
        <v>13824257.425742574</v>
      </c>
      <c r="DD113" s="863">
        <f>FiOS!DQ23</f>
        <v>13992574.257425742</v>
      </c>
      <c r="DE113" s="863">
        <f>FiOS!DR23</f>
        <v>14114143.920595532</v>
      </c>
      <c r="DF113" s="863">
        <f>FiOS!DS23</f>
        <v>14271144.278606964</v>
      </c>
      <c r="DG113" s="863">
        <f>FiOS!DT23</f>
        <v>14435323.383084577</v>
      </c>
      <c r="DH113" s="863">
        <f>FiOS!DU23</f>
        <v>14588528.678304238</v>
      </c>
      <c r="DI113" s="863">
        <f>FiOS!DV23</f>
        <v>14753117.206982544</v>
      </c>
      <c r="DJ113" s="863">
        <f>FiOS!DW23</f>
        <v>14861994.749555802</v>
      </c>
      <c r="DK113" s="863">
        <f>FiOS!DX23</f>
        <v>14970872.292129058</v>
      </c>
      <c r="DL113" s="863">
        <f>FiOS!DY23</f>
        <v>15079749.834702317</v>
      </c>
    </row>
    <row r="114" spans="1:116" s="808" customFormat="1">
      <c r="A114" s="820" t="s">
        <v>343</v>
      </c>
      <c r="B114" s="812"/>
      <c r="C114" s="812"/>
      <c r="H114" s="808">
        <f>FiOS!E69</f>
        <v>413000</v>
      </c>
      <c r="I114" s="808">
        <f>FiOS!F69</f>
        <v>2400000</v>
      </c>
      <c r="J114" s="808">
        <f>FiOS!G69</f>
        <v>5400000</v>
      </c>
      <c r="K114" s="808">
        <f>FiOS!H69</f>
        <v>8700000</v>
      </c>
      <c r="L114" s="808">
        <f>FiOS!I69</f>
        <v>11133000</v>
      </c>
      <c r="M114" s="808">
        <f>FiOS!J69</f>
        <v>12388000</v>
      </c>
      <c r="N114" s="808">
        <f>FiOS!K69</f>
        <v>13250000</v>
      </c>
      <c r="O114" s="808">
        <f>FiOS!L69</f>
        <v>14200000</v>
      </c>
      <c r="P114" s="808">
        <f>FiOS!M69</f>
        <v>15022000</v>
      </c>
      <c r="Q114" s="808">
        <f>FiOS!N69</f>
        <v>15779329.608938549</v>
      </c>
      <c r="R114" s="808">
        <f>FiOS!O69</f>
        <v>16507082.152974505</v>
      </c>
      <c r="S114" s="808">
        <f>FiOS!P69</f>
        <v>13685131.195335276</v>
      </c>
      <c r="T114" s="808">
        <f>FiOS!Q69</f>
        <v>14300309.59752322</v>
      </c>
      <c r="U114" s="808">
        <f>FiOS!R69</f>
        <v>14556539.481516087</v>
      </c>
      <c r="V114" s="863">
        <f>FiOS!S69</f>
        <v>14948689.287811397</v>
      </c>
      <c r="W114" s="863">
        <f>FiOS!T69</f>
        <v>15238329.190959051</v>
      </c>
      <c r="X114" s="863">
        <f>FiOS!U69</f>
        <v>15476066.642532878</v>
      </c>
      <c r="Y114" s="863">
        <f>FiOS!V69</f>
        <v>15687529.118319793</v>
      </c>
      <c r="Z114" s="863">
        <f>FiOS!W69</f>
        <v>15885692.231213249</v>
      </c>
      <c r="AA114" s="863">
        <f>FiOS!X69</f>
        <v>16077124.725159978</v>
      </c>
      <c r="AB114" s="863">
        <f>FiOS!Y69</f>
        <v>16265151.440883342</v>
      </c>
      <c r="BM114" s="862">
        <f>FiOS!BZ69</f>
        <v>413000</v>
      </c>
      <c r="BN114" s="863">
        <f>FiOS!CA69</f>
        <v>692000</v>
      </c>
      <c r="BO114" s="863">
        <f>FiOS!CB69</f>
        <v>1200000</v>
      </c>
      <c r="BP114" s="863">
        <f>FiOS!CC69</f>
        <v>2400000</v>
      </c>
      <c r="BQ114" s="862">
        <f>FiOS!CD69</f>
        <v>3100000</v>
      </c>
      <c r="BR114" s="863">
        <f>FiOS!CE69</f>
        <v>3900000</v>
      </c>
      <c r="BS114" s="863">
        <f>FiOS!CF69</f>
        <v>4701700</v>
      </c>
      <c r="BT114" s="863">
        <f>FiOS!CG69</f>
        <v>5400000</v>
      </c>
      <c r="BU114" s="862">
        <f>FiOS!CH69</f>
        <v>5948000</v>
      </c>
      <c r="BV114" s="863">
        <f>FiOS!CI69</f>
        <v>6500000</v>
      </c>
      <c r="BW114" s="863">
        <f>FiOS!CJ69</f>
        <v>7700000</v>
      </c>
      <c r="BX114" s="863">
        <f>FiOS!CK69</f>
        <v>8700000</v>
      </c>
      <c r="BY114" s="862">
        <f>FiOS!CL69</f>
        <v>9202000</v>
      </c>
      <c r="BZ114" s="863">
        <f>FiOS!CM69</f>
        <v>9741000</v>
      </c>
      <c r="CA114" s="863">
        <f>FiOS!CN69</f>
        <v>10352000</v>
      </c>
      <c r="CB114" s="863">
        <f>FiOS!CO69</f>
        <v>11133000</v>
      </c>
      <c r="CC114" s="862">
        <f>FiOS!CP69</f>
        <v>11479000</v>
      </c>
      <c r="CD114" s="863">
        <f>FiOS!CQ69</f>
        <v>11802000</v>
      </c>
      <c r="CE114" s="863">
        <f>FiOS!CR69</f>
        <v>12077000</v>
      </c>
      <c r="CF114" s="863">
        <f>FiOS!CS69</f>
        <v>12388000</v>
      </c>
      <c r="CG114" s="862">
        <f>FiOS!CT69</f>
        <v>12585000</v>
      </c>
      <c r="CH114" s="863">
        <f>FiOS!CU69</f>
        <v>12870000</v>
      </c>
      <c r="CI114" s="863">
        <f>FiOS!CV69</f>
        <v>13023000</v>
      </c>
      <c r="CJ114" s="863">
        <f>FiOS!CW69</f>
        <v>13250000</v>
      </c>
      <c r="CK114" s="862">
        <f>FiOS!CX69</f>
        <v>13460000</v>
      </c>
      <c r="CL114" s="863">
        <f>FiOS!CY69</f>
        <v>13721000</v>
      </c>
      <c r="CM114" s="863">
        <f>FiOS!CZ69</f>
        <v>13957000</v>
      </c>
      <c r="CN114" s="863">
        <f>FiOS!DA69</f>
        <v>14200000</v>
      </c>
      <c r="CO114" s="862">
        <f>FiOS!DB69</f>
        <v>14374000</v>
      </c>
      <c r="CP114" s="863">
        <f>FiOS!DC69</f>
        <v>14607000</v>
      </c>
      <c r="CQ114" s="863">
        <f>FiOS!DD69</f>
        <v>14824000</v>
      </c>
      <c r="CR114" s="863">
        <f>FiOS!DE69</f>
        <v>15022000</v>
      </c>
      <c r="CS114" s="862">
        <f>FiOS!DF69</f>
        <v>15184000</v>
      </c>
      <c r="CT114" s="863">
        <f>FiOS!DG69</f>
        <v>15351274.787535412</v>
      </c>
      <c r="CU114" s="863">
        <f>FiOS!DH69</f>
        <v>15585915.492957747</v>
      </c>
      <c r="CV114" s="864">
        <f>FiOS!DI69</f>
        <v>15779329.608938549</v>
      </c>
      <c r="CW114" s="863">
        <f>FiOS!DJ69</f>
        <v>15941666.666666668</v>
      </c>
      <c r="CX114" s="863">
        <f>FiOS!DK69</f>
        <v>16148459.383753503</v>
      </c>
      <c r="CY114" s="863">
        <f>FiOS!DL69</f>
        <v>16311797.75280899</v>
      </c>
      <c r="CZ114" s="864">
        <f>FiOS!DM69</f>
        <v>16507082.152974505</v>
      </c>
      <c r="DA114" s="863">
        <f>FiOS!DN69</f>
        <v>16656250.000000002</v>
      </c>
      <c r="DB114" s="863">
        <f>FiOS!DO69</f>
        <v>13401734.104046244</v>
      </c>
      <c r="DC114" s="863">
        <f>FiOS!DP69</f>
        <v>13544927.536231885</v>
      </c>
      <c r="DD114" s="863">
        <f>FiOS!DQ69</f>
        <v>13685131.195335276</v>
      </c>
      <c r="DE114" s="863">
        <f>FiOS!DR69</f>
        <v>13849112.426035503</v>
      </c>
      <c r="DF114" s="863">
        <f>FiOS!DS69</f>
        <v>13970059.88023952</v>
      </c>
      <c r="DG114" s="863">
        <f>FiOS!DT69</f>
        <v>14127659.574468084</v>
      </c>
      <c r="DH114" s="863">
        <f>FiOS!DU69</f>
        <v>14300309.59752322</v>
      </c>
      <c r="DI114" s="863">
        <f>FiOS!DV69</f>
        <v>14232198.14241486</v>
      </c>
      <c r="DJ114" s="863">
        <f>FiOS!DW69</f>
        <v>14340311.922115268</v>
      </c>
      <c r="DK114" s="863">
        <f>FiOS!DX69</f>
        <v>14448425.701815678</v>
      </c>
      <c r="DL114" s="863">
        <f>FiOS!DY69</f>
        <v>14556539.481516087</v>
      </c>
    </row>
    <row r="115" spans="1:116" s="808" customFormat="1">
      <c r="A115" s="812"/>
      <c r="B115" s="812"/>
      <c r="C115" s="812"/>
      <c r="V115" s="863"/>
      <c r="W115" s="863"/>
      <c r="X115" s="863"/>
      <c r="Y115" s="863"/>
      <c r="Z115" s="863"/>
      <c r="AA115" s="863"/>
      <c r="AB115" s="863"/>
      <c r="BM115" s="862"/>
      <c r="BN115" s="863"/>
      <c r="BO115" s="863"/>
      <c r="BP115" s="863"/>
      <c r="BQ115" s="862"/>
      <c r="BR115" s="863"/>
      <c r="BS115" s="863"/>
      <c r="BT115" s="863"/>
      <c r="BU115" s="862"/>
      <c r="BV115" s="863"/>
      <c r="BW115" s="863"/>
      <c r="BX115" s="863"/>
      <c r="BY115" s="862"/>
      <c r="BZ115" s="863"/>
      <c r="CA115" s="863"/>
      <c r="CB115" s="863"/>
      <c r="CC115" s="862"/>
      <c r="CD115" s="863"/>
      <c r="CE115" s="863"/>
      <c r="CF115" s="863"/>
      <c r="CG115" s="862"/>
      <c r="CH115" s="863"/>
      <c r="CI115" s="863"/>
      <c r="CJ115" s="863"/>
      <c r="CK115" s="862"/>
      <c r="CL115" s="863"/>
      <c r="CM115" s="863"/>
      <c r="CN115" s="863"/>
      <c r="CO115" s="862"/>
      <c r="CP115" s="863"/>
      <c r="CQ115" s="863"/>
      <c r="CR115" s="863"/>
      <c r="CS115" s="862"/>
      <c r="CT115" s="863"/>
      <c r="CU115" s="863"/>
      <c r="CV115" s="864"/>
      <c r="CW115" s="863"/>
      <c r="CX115" s="863"/>
      <c r="CY115" s="863"/>
      <c r="CZ115" s="864"/>
      <c r="DA115" s="863"/>
      <c r="DB115" s="863"/>
      <c r="DC115" s="863"/>
      <c r="DD115" s="863"/>
      <c r="DE115" s="863"/>
      <c r="DF115" s="863"/>
      <c r="DG115" s="863"/>
      <c r="DH115" s="863"/>
      <c r="DI115" s="863"/>
      <c r="DJ115" s="863"/>
      <c r="DK115" s="863"/>
      <c r="DL115" s="863"/>
    </row>
    <row r="116" spans="1:116" s="808" customFormat="1">
      <c r="A116" s="812" t="s">
        <v>782</v>
      </c>
      <c r="B116" s="812"/>
      <c r="C116" s="812"/>
      <c r="I116" s="808">
        <f>Wless!N254</f>
        <v>64757.478000000003</v>
      </c>
      <c r="J116" s="808">
        <f>Wless!O254</f>
        <v>71809.274000000005</v>
      </c>
      <c r="K116" s="808">
        <f>Wless!P254</f>
        <v>76385</v>
      </c>
      <c r="L116" s="808">
        <f>Wless!Q254</f>
        <v>80495</v>
      </c>
      <c r="M116" s="808">
        <f>Wless!R254</f>
        <v>83125</v>
      </c>
      <c r="N116" s="808">
        <f>Wless!S254</f>
        <v>87382</v>
      </c>
      <c r="O116" s="808">
        <f>Wless!T254</f>
        <v>92530</v>
      </c>
      <c r="P116" s="808">
        <f>Wless!U254</f>
        <v>96752</v>
      </c>
      <c r="Q116" s="808">
        <f>Wless!V254</f>
        <v>102079</v>
      </c>
      <c r="R116" s="808">
        <f>Wless!W254</f>
        <v>106528</v>
      </c>
      <c r="S116" s="808">
        <f>Wless!X254</f>
        <v>108796</v>
      </c>
      <c r="T116" s="808">
        <f>Wless!Y254</f>
        <v>110854</v>
      </c>
      <c r="U116" s="808">
        <f ca="1">Wless!Z254</f>
        <v>113126.22653553708</v>
      </c>
      <c r="V116" s="863">
        <f ca="1">Wless!AA254</f>
        <v>115110.67715628677</v>
      </c>
      <c r="W116" s="863">
        <f ca="1">Wless!AB254</f>
        <v>116853.76675333879</v>
      </c>
      <c r="X116" s="863">
        <f ca="1">Wless!AC254</f>
        <v>118395.107725493</v>
      </c>
      <c r="Y116" s="863">
        <f ca="1">Wless!AD254</f>
        <v>119768.60456485851</v>
      </c>
      <c r="Z116" s="863">
        <f ca="1">Wless!AE254</f>
        <v>121003.36675566669</v>
      </c>
      <c r="AA116" s="863">
        <f ca="1">Wless!AF254</f>
        <v>122124.47165302072</v>
      </c>
      <c r="AB116" s="863">
        <f ca="1">Wless!AG254</f>
        <v>123153.60330095454</v>
      </c>
      <c r="BA116" s="808">
        <f>Wless!BN208</f>
        <v>29090.880000000001</v>
      </c>
      <c r="BB116" s="808">
        <f>Wless!BO208</f>
        <v>0</v>
      </c>
      <c r="BC116" s="808">
        <f>Wless!BP208</f>
        <v>0</v>
      </c>
      <c r="BD116" s="808">
        <f>Wless!BQ208</f>
        <v>32832</v>
      </c>
      <c r="BE116" s="808">
        <f>Wless!BR208</f>
        <v>33915.820800000001</v>
      </c>
      <c r="BF116" s="808">
        <f>Wless!BS208</f>
        <v>35681.279999999999</v>
      </c>
      <c r="BG116" s="808">
        <f>Wless!BT208</f>
        <v>0</v>
      </c>
      <c r="BH116" s="808">
        <f>Wless!BU208</f>
        <v>38482.68</v>
      </c>
      <c r="BI116" s="808">
        <f>Wless!BV208</f>
        <v>39976.005000000005</v>
      </c>
      <c r="BJ116" s="808">
        <f>Wless!BW208</f>
        <v>43799.199999999997</v>
      </c>
      <c r="BK116" s="808">
        <f>Wless!BX208</f>
        <v>45676.7</v>
      </c>
      <c r="BL116" s="808">
        <f>Wless!BY208</f>
        <v>47437</v>
      </c>
      <c r="BM116" s="862">
        <f>Wless!BZ254</f>
        <v>58606.135000000002</v>
      </c>
      <c r="BN116" s="863">
        <f>Wless!CA254</f>
        <v>60480.12</v>
      </c>
      <c r="BO116" s="863">
        <f>Wless!CB254</f>
        <v>62459.179000000004</v>
      </c>
      <c r="BP116" s="863">
        <f>Wless!CC254</f>
        <v>64757.478000000003</v>
      </c>
      <c r="BQ116" s="862">
        <f>Wless!CD254</f>
        <v>66326.362000000008</v>
      </c>
      <c r="BR116" s="863">
        <f>Wless!CE254</f>
        <v>68045.271999999997</v>
      </c>
      <c r="BS116" s="863">
        <f>Wless!CF254</f>
        <v>69947.063000000009</v>
      </c>
      <c r="BT116" s="863">
        <f>Wless!CG254</f>
        <v>70229.274000000005</v>
      </c>
      <c r="BU116" s="862">
        <f>Wless!CH254</f>
        <v>71030</v>
      </c>
      <c r="BV116" s="863">
        <f>Wless!CI254</f>
        <v>72713</v>
      </c>
      <c r="BW116" s="863">
        <f>Wless!CJ254</f>
        <v>75042</v>
      </c>
      <c r="BX116" s="863">
        <f>Wless!CK254</f>
        <v>76385</v>
      </c>
      <c r="BY116" s="862">
        <f>Wless!CL254</f>
        <v>77354</v>
      </c>
      <c r="BZ116" s="863">
        <f>Wless!CM254</f>
        <v>78395</v>
      </c>
      <c r="CA116" s="863">
        <f>Wless!CN254</f>
        <v>79371</v>
      </c>
      <c r="CB116" s="863">
        <f>Wless!CO254</f>
        <v>80495</v>
      </c>
      <c r="CC116" s="862">
        <f>Wless!CP254</f>
        <v>80912</v>
      </c>
      <c r="CD116" s="863">
        <f>Wless!CQ254</f>
        <v>81573</v>
      </c>
      <c r="CE116" s="863">
        <f>Wless!CR254</f>
        <v>82257</v>
      </c>
      <c r="CF116" s="863">
        <f>Wless!CS254</f>
        <v>83125</v>
      </c>
      <c r="CG116" s="862">
        <f>Wless!CT254</f>
        <v>84031</v>
      </c>
      <c r="CH116" s="863">
        <f>Wless!CU254</f>
        <v>85290</v>
      </c>
      <c r="CI116" s="863">
        <f>Wless!CV254</f>
        <v>86175</v>
      </c>
      <c r="CJ116" s="863">
        <f>Wless!CW254</f>
        <v>87382</v>
      </c>
      <c r="CK116" s="862">
        <f>Wless!CX254</f>
        <v>87963</v>
      </c>
      <c r="CL116" s="863">
        <f>Wless!CY254</f>
        <v>88838</v>
      </c>
      <c r="CM116" s="863">
        <f>Wless!CZ254</f>
        <v>90354</v>
      </c>
      <c r="CN116" s="863">
        <f>Wless!DA254</f>
        <v>92530</v>
      </c>
      <c r="CO116" s="862">
        <f>Wless!DB254</f>
        <v>93186</v>
      </c>
      <c r="CP116" s="863">
        <f>Wless!DC254</f>
        <v>94271</v>
      </c>
      <c r="CQ116" s="863">
        <f>Wless!DD254</f>
        <v>95185</v>
      </c>
      <c r="CR116" s="863">
        <f>Wless!DE254</f>
        <v>96752</v>
      </c>
      <c r="CS116" s="862">
        <f>Wless!DF254</f>
        <v>97273</v>
      </c>
      <c r="CT116" s="863">
        <f>Wless!DG254</f>
        <v>98593</v>
      </c>
      <c r="CU116" s="863">
        <f>Wless!DH254</f>
        <v>100103</v>
      </c>
      <c r="CV116" s="864">
        <f>Wless!DI254</f>
        <v>102079</v>
      </c>
      <c r="CW116" s="863">
        <f>Wless!DJ254</f>
        <v>102637</v>
      </c>
      <c r="CX116" s="863">
        <f>Wless!DK254</f>
        <v>103731</v>
      </c>
      <c r="CY116" s="863">
        <f>Wless!DL254</f>
        <v>105023</v>
      </c>
      <c r="CZ116" s="864">
        <f>Wless!DM254</f>
        <v>106528</v>
      </c>
      <c r="DA116" s="863">
        <f>Wless!DN254</f>
        <v>107171</v>
      </c>
      <c r="DB116" s="863">
        <f>Wless!DO254</f>
        <v>107780</v>
      </c>
      <c r="DC116" s="863">
        <f>Wless!DP254</f>
        <v>108220</v>
      </c>
      <c r="DD116" s="863">
        <f>Wless!DQ254</f>
        <v>108796</v>
      </c>
      <c r="DE116" s="863">
        <f>Wless!DR254</f>
        <v>108483</v>
      </c>
      <c r="DF116" s="863">
        <f>Wless!DS254</f>
        <v>109088</v>
      </c>
      <c r="DG116" s="863">
        <f>Wless!DT254</f>
        <v>109686</v>
      </c>
      <c r="DH116" s="863">
        <f>Wless!DU254</f>
        <v>110854</v>
      </c>
      <c r="DI116" s="863">
        <f>Wless!DV254</f>
        <v>111114</v>
      </c>
      <c r="DJ116" s="863">
        <f ca="1">Wless!DW254</f>
        <v>111582.10105315057</v>
      </c>
      <c r="DK116" s="863">
        <f ca="1">Wless!DX254</f>
        <v>112066.84358738085</v>
      </c>
      <c r="DL116" s="863">
        <f ca="1">Wless!DY254</f>
        <v>113126.22653553708</v>
      </c>
    </row>
    <row r="117" spans="1:116" s="808" customFormat="1">
      <c r="A117" s="812" t="s">
        <v>783</v>
      </c>
      <c r="B117" s="812"/>
      <c r="C117" s="812"/>
      <c r="I117" s="808">
        <f>Wless!N255</f>
        <v>7879.0839999999998</v>
      </c>
      <c r="J117" s="808">
        <f>Wless!O255</f>
        <v>7056.3720000000003</v>
      </c>
      <c r="K117" s="808">
        <f>Wless!P255</f>
        <v>6278.9259999999995</v>
      </c>
      <c r="L117" s="808">
        <f>Wless!Q255</f>
        <v>3987</v>
      </c>
      <c r="M117" s="808">
        <f>Wless!R255</f>
        <v>2529</v>
      </c>
      <c r="N117" s="808">
        <f>Wless!S255</f>
        <v>4252</v>
      </c>
      <c r="O117" s="808">
        <f>Wless!T255</f>
        <v>5024</v>
      </c>
      <c r="P117" s="808">
        <f>Wless!U255</f>
        <v>4118</v>
      </c>
      <c r="Q117" s="808">
        <f>Wless!V255</f>
        <v>5482</v>
      </c>
      <c r="R117" s="808">
        <f>Wless!W255</f>
        <v>4507</v>
      </c>
      <c r="S117" s="808">
        <f>Wless!X255</f>
        <v>2288</v>
      </c>
      <c r="T117" s="808">
        <f>Wless!Y255</f>
        <v>2084</v>
      </c>
      <c r="U117" s="808">
        <f ca="1">Wless!Z255</f>
        <v>2272.2265355370764</v>
      </c>
      <c r="V117" s="863">
        <f ca="1">Wless!AA255</f>
        <v>1984.4506207496906</v>
      </c>
      <c r="W117" s="863">
        <f ca="1">Wless!AB255</f>
        <v>1743.0895970520178</v>
      </c>
      <c r="X117" s="863">
        <f ca="1">Wless!AC255</f>
        <v>1541.3409721542157</v>
      </c>
      <c r="Y117" s="863">
        <f ca="1">Wless!AD255</f>
        <v>1373.4968393655217</v>
      </c>
      <c r="Z117" s="863">
        <f ca="1">Wless!AE255</f>
        <v>1234.7621908081765</v>
      </c>
      <c r="AA117" s="863">
        <f ca="1">Wless!AF255</f>
        <v>1121.1048973540364</v>
      </c>
      <c r="AB117" s="863">
        <f ca="1">Wless!AG255</f>
        <v>1029.1316479338075</v>
      </c>
      <c r="BM117" s="862">
        <f>+Wless!BZ255</f>
        <v>1727.741</v>
      </c>
      <c r="BN117" s="863">
        <f>+Wless!CA255</f>
        <v>1873.9850000000001</v>
      </c>
      <c r="BO117" s="863">
        <f>+Wless!CB255</f>
        <v>1979.059</v>
      </c>
      <c r="BP117" s="863">
        <f>+Wless!CC255</f>
        <v>2298.299</v>
      </c>
      <c r="BQ117" s="862">
        <f>+Wless!CD255</f>
        <v>1568.884</v>
      </c>
      <c r="BR117" s="863">
        <f>+Wless!CE255</f>
        <v>1718.91</v>
      </c>
      <c r="BS117" s="863">
        <f>+Wless!CF255</f>
        <v>1901.7909999999999</v>
      </c>
      <c r="BT117" s="863">
        <f>+Wless!CG255</f>
        <v>1866.787</v>
      </c>
      <c r="BU117" s="862">
        <f>+Wless!CH255</f>
        <v>1445.9259999999999</v>
      </c>
      <c r="BV117" s="863">
        <f>+Wless!CI255</f>
        <v>1637</v>
      </c>
      <c r="BW117" s="863">
        <f>+Wless!CJ255</f>
        <v>1723</v>
      </c>
      <c r="BX117" s="863">
        <f>+Wless!CK255</f>
        <v>1473</v>
      </c>
      <c r="BY117" s="862">
        <f>+Wless!CL255</f>
        <v>936</v>
      </c>
      <c r="BZ117" s="863">
        <f>+Wless!CM255</f>
        <v>1044</v>
      </c>
      <c r="CA117" s="863">
        <f>+Wless!CN255</f>
        <v>901</v>
      </c>
      <c r="CB117" s="863">
        <f>+Wless!CO255</f>
        <v>1106</v>
      </c>
      <c r="CC117" s="862">
        <f>+Wless!CP255</f>
        <v>412</v>
      </c>
      <c r="CD117" s="863">
        <f>+Wless!CQ255</f>
        <v>661</v>
      </c>
      <c r="CE117" s="863">
        <f>+Wless!CR255</f>
        <v>584</v>
      </c>
      <c r="CF117" s="863">
        <f>+Wless!CS255</f>
        <v>872</v>
      </c>
      <c r="CG117" s="862">
        <f>+Wless!CT255</f>
        <v>906</v>
      </c>
      <c r="CH117" s="863">
        <f>+Wless!CU255</f>
        <v>1257</v>
      </c>
      <c r="CI117" s="863">
        <f>+Wless!CV255</f>
        <v>882</v>
      </c>
      <c r="CJ117" s="863">
        <f>+Wless!CW255</f>
        <v>1207</v>
      </c>
      <c r="CK117" s="862">
        <f>+Wless!CX255</f>
        <v>501</v>
      </c>
      <c r="CL117" s="863">
        <f>+Wless!CY255</f>
        <v>888</v>
      </c>
      <c r="CM117" s="863">
        <f>+Wless!CZ255</f>
        <v>1535</v>
      </c>
      <c r="CN117" s="863">
        <f>+Wless!DA255</f>
        <v>2100</v>
      </c>
      <c r="CO117" s="862">
        <f>+Wless!DB255</f>
        <v>677</v>
      </c>
      <c r="CP117" s="863">
        <f>+Wless!DC255</f>
        <v>941</v>
      </c>
      <c r="CQ117" s="863">
        <f>+Wless!DD255</f>
        <v>927</v>
      </c>
      <c r="CR117" s="863">
        <f>+Wless!DE255</f>
        <v>1573</v>
      </c>
      <c r="CS117" s="862">
        <f>+Wless!DF255</f>
        <v>539</v>
      </c>
      <c r="CT117" s="863">
        <f>+Wless!DG255</f>
        <v>1441</v>
      </c>
      <c r="CU117" s="863">
        <f>+Wless!DH255</f>
        <v>1516</v>
      </c>
      <c r="CV117" s="864">
        <f>+Wless!DI255</f>
        <v>1986</v>
      </c>
      <c r="CW117" s="863">
        <f>+Wless!DJ255</f>
        <v>565</v>
      </c>
      <c r="CX117" s="863">
        <f>+Wless!DK255</f>
        <v>1134</v>
      </c>
      <c r="CY117" s="863">
        <f>+Wless!DL255</f>
        <v>1289</v>
      </c>
      <c r="CZ117" s="864">
        <f>+Wless!DM255</f>
        <v>1519</v>
      </c>
      <c r="DA117" s="863">
        <f>+Wless!DN255</f>
        <v>640</v>
      </c>
      <c r="DB117" s="863">
        <f>+Wless!DO255</f>
        <v>615</v>
      </c>
      <c r="DC117" s="863">
        <f>+Wless!DP255</f>
        <v>442</v>
      </c>
      <c r="DD117" s="863">
        <f>+Wless!DQ255</f>
        <v>591</v>
      </c>
      <c r="DE117" s="863">
        <f>+Wless!DR255</f>
        <v>-307</v>
      </c>
      <c r="DF117" s="863">
        <f>+Wless!DS255</f>
        <v>614</v>
      </c>
      <c r="DG117" s="863">
        <f>+Wless!DT255</f>
        <v>603</v>
      </c>
      <c r="DH117" s="863">
        <f>+Wless!DU255</f>
        <v>1174</v>
      </c>
      <c r="DI117" s="863">
        <f>+Wless!DV255</f>
        <v>260</v>
      </c>
      <c r="DJ117" s="863">
        <f ca="1">+Wless!DW255</f>
        <v>468.10105315057672</v>
      </c>
      <c r="DK117" s="863">
        <f ca="1">+Wless!DX255</f>
        <v>484.74253423026812</v>
      </c>
      <c r="DL117" s="863">
        <f ca="1">+Wless!DY255</f>
        <v>1059.3829481562316</v>
      </c>
    </row>
    <row r="118" spans="1:116" s="808" customFormat="1">
      <c r="A118" s="812" t="s">
        <v>784</v>
      </c>
      <c r="B118" s="812"/>
      <c r="C118" s="812"/>
      <c r="V118" s="863"/>
      <c r="W118" s="863"/>
      <c r="X118" s="863"/>
      <c r="Y118" s="863"/>
      <c r="Z118" s="863"/>
      <c r="AA118" s="863"/>
      <c r="AB118" s="863"/>
      <c r="BM118" s="862"/>
      <c r="BN118" s="863"/>
      <c r="BO118" s="863"/>
      <c r="BP118" s="863"/>
      <c r="BQ118" s="862"/>
      <c r="BR118" s="863"/>
      <c r="BS118" s="863"/>
      <c r="BT118" s="863"/>
      <c r="BU118" s="862">
        <f>+Wless!CH287</f>
        <v>-547.93299999999908</v>
      </c>
      <c r="BV118" s="863">
        <f>+Wless!CI287</f>
        <v>127</v>
      </c>
      <c r="BW118" s="863">
        <f>+Wless!CJ287</f>
        <v>66</v>
      </c>
      <c r="BX118" s="863">
        <f>+Wless!CK287</f>
        <v>154</v>
      </c>
      <c r="BY118" s="862">
        <f>+Wless!CL287</f>
        <v>268</v>
      </c>
      <c r="BZ118" s="863">
        <f>+Wless!CM287</f>
        <v>48</v>
      </c>
      <c r="CA118" s="863">
        <f>+Wless!CN287</f>
        <v>15</v>
      </c>
      <c r="CB118" s="863">
        <f>+Wless!CO287</f>
        <v>51</v>
      </c>
      <c r="CC118" s="862">
        <f>+Wless!CP287</f>
        <v>-146</v>
      </c>
      <c r="CD118" s="863">
        <f>+Wless!CQ287</f>
        <v>-200</v>
      </c>
      <c r="CE118" s="863">
        <f>+Wless!CR287</f>
        <v>-137</v>
      </c>
      <c r="CF118" s="863">
        <f>+Wless!CS287</f>
        <v>-69</v>
      </c>
      <c r="CG118" s="862">
        <f>+Wless!CT287</f>
        <v>-27</v>
      </c>
      <c r="CH118" s="863">
        <f>+Wless!CU287</f>
        <v>61</v>
      </c>
      <c r="CI118" s="863">
        <f>+Wless!CV287</f>
        <v>86</v>
      </c>
      <c r="CJ118" s="863">
        <f>+Wless!CW287</f>
        <v>252</v>
      </c>
      <c r="CK118" s="862">
        <f>+Wless!CX287</f>
        <v>233</v>
      </c>
      <c r="CL118" s="863">
        <f>+Wless!CY287</f>
        <v>290</v>
      </c>
      <c r="CM118" s="863">
        <f>+Wless!CZ287</f>
        <v>228</v>
      </c>
      <c r="CN118" s="863">
        <f>+Wless!DA287</f>
        <v>142</v>
      </c>
      <c r="CO118" s="862">
        <f>+Wless!DB287</f>
        <v>43</v>
      </c>
      <c r="CP118" s="863">
        <f>+Wless!DC287</f>
        <v>97</v>
      </c>
      <c r="CQ118" s="863">
        <f>+Wless!DD287</f>
        <v>134</v>
      </c>
      <c r="CR118" s="863">
        <f>+Wless!DE287</f>
        <v>80</v>
      </c>
      <c r="CS118" s="862">
        <f>+Wless!DF287</f>
        <v>10</v>
      </c>
      <c r="CT118" s="863">
        <f>+Wless!DG287</f>
        <v>-14</v>
      </c>
      <c r="CU118" s="863">
        <f>+Wless!DH287</f>
        <v>9</v>
      </c>
      <c r="CV118" s="864">
        <f>+Wless!DI287</f>
        <v>81</v>
      </c>
      <c r="CW118" s="863">
        <f>+Wless!DJ287</f>
        <v>-188</v>
      </c>
      <c r="CX118" s="863">
        <f>+Wless!DK287</f>
        <v>-126</v>
      </c>
      <c r="CY118" s="863">
        <f>+Wless!DL287</f>
        <v>-80</v>
      </c>
      <c r="CZ118" s="864">
        <f>+Wless!DM287</f>
        <v>-157</v>
      </c>
      <c r="DA118" s="863">
        <f>+Wless!DN287</f>
        <v>-177</v>
      </c>
      <c r="DB118" s="863">
        <f>+Wless!DO287</f>
        <v>-30</v>
      </c>
      <c r="DC118" s="863">
        <f>+Wless!DP287</f>
        <v>83</v>
      </c>
      <c r="DD118" s="863">
        <f>+Wless!DQ287</f>
        <v>-9</v>
      </c>
      <c r="DE118" s="863">
        <f>+Wless!DR287</f>
        <v>-17</v>
      </c>
      <c r="DF118" s="863">
        <f>+Wless!DS287</f>
        <v>19</v>
      </c>
      <c r="DG118" s="863">
        <f>+Wless!DT287</f>
        <v>139</v>
      </c>
      <c r="DH118" s="863">
        <f>+Wless!DU287</f>
        <v>-184</v>
      </c>
      <c r="DI118" s="863">
        <f>+Wless!DV287</f>
        <v>-335</v>
      </c>
      <c r="DJ118" s="863">
        <f ca="1">+Wless!DW287</f>
        <v>-202.19177659479669</v>
      </c>
      <c r="DK118" s="863">
        <f ca="1">+Wless!DX287</f>
        <v>-22.29839738967712</v>
      </c>
      <c r="DL118" s="863">
        <f ca="1">+Wless!DY287</f>
        <v>-215.91746804634329</v>
      </c>
    </row>
    <row r="119" spans="1:116" s="808" customFormat="1">
      <c r="A119" s="812" t="s">
        <v>785</v>
      </c>
      <c r="B119" s="812"/>
      <c r="C119" s="812"/>
      <c r="V119" s="863"/>
      <c r="W119" s="863"/>
      <c r="X119" s="863"/>
      <c r="Y119" s="863"/>
      <c r="Z119" s="863"/>
      <c r="AA119" s="863"/>
      <c r="AB119" s="863"/>
      <c r="BM119" s="862"/>
      <c r="BN119" s="863"/>
      <c r="BO119" s="863"/>
      <c r="BP119" s="863"/>
      <c r="BQ119" s="862"/>
      <c r="BR119" s="863"/>
      <c r="BS119" s="863"/>
      <c r="BT119" s="863"/>
      <c r="BU119" s="862">
        <f>+Wless!CH177</f>
        <v>0</v>
      </c>
      <c r="BV119" s="863">
        <f>+Wless!CI177</f>
        <v>-4</v>
      </c>
      <c r="BW119" s="863">
        <f>+Wless!CJ177</f>
        <v>-9</v>
      </c>
      <c r="BX119" s="863">
        <f>+Wless!CK177</f>
        <v>8315</v>
      </c>
      <c r="BY119" s="862">
        <f>+Wless!CL177</f>
        <v>-249</v>
      </c>
      <c r="BZ119" s="863">
        <f>+Wless!CM177</f>
        <v>-255</v>
      </c>
      <c r="CA119" s="863">
        <f>+Wless!CN177</f>
        <v>112</v>
      </c>
      <c r="CB119" s="863">
        <f>+Wless!CO177</f>
        <v>958</v>
      </c>
      <c r="CC119" s="862">
        <f>+Wless!CP177</f>
        <v>1240</v>
      </c>
      <c r="CD119" s="863">
        <f>+Wless!CQ177</f>
        <v>1161</v>
      </c>
      <c r="CE119" s="863">
        <f>+Wless!CR177</f>
        <v>801</v>
      </c>
      <c r="CF119" s="863">
        <f>+Wless!CS177</f>
        <v>338</v>
      </c>
      <c r="CG119" s="862">
        <f>+Wless!CT177</f>
        <v>897</v>
      </c>
      <c r="CH119" s="863">
        <f>+Wless!CU177</f>
        <v>890</v>
      </c>
      <c r="CI119" s="863">
        <f>+Wless!CV177</f>
        <v>367</v>
      </c>
      <c r="CJ119" s="863">
        <f>+Wless!CW177</f>
        <v>-1359</v>
      </c>
      <c r="CK119" s="862">
        <f>+Wless!CX177</f>
        <v>468</v>
      </c>
      <c r="CL119" s="863">
        <f>+Wless!CY177</f>
        <v>250</v>
      </c>
      <c r="CM119" s="863">
        <f>+Wless!CZ177</f>
        <v>123</v>
      </c>
      <c r="CN119" s="863">
        <f>+Wless!DA177</f>
        <v>123</v>
      </c>
      <c r="CO119" s="862">
        <f>+Wless!DB177</f>
        <v>1000</v>
      </c>
      <c r="CP119" s="863">
        <f>+Wless!DC177</f>
        <v>500</v>
      </c>
      <c r="CQ119" s="863">
        <f>+Wless!DD177</f>
        <v>500</v>
      </c>
      <c r="CR119" s="863">
        <f>+Wless!DE177</f>
        <v>500</v>
      </c>
      <c r="CS119" s="862">
        <f>+Wless!DF177</f>
        <v>500</v>
      </c>
      <c r="CT119" s="863">
        <f>+Wless!DG177</f>
        <v>500</v>
      </c>
      <c r="CU119" s="863">
        <f>+Wless!DH177</f>
        <v>500</v>
      </c>
      <c r="CV119" s="864">
        <f>+Wless!DI177</f>
        <v>500</v>
      </c>
      <c r="CW119" s="863">
        <f>+Wless!DJ177</f>
        <v>500</v>
      </c>
      <c r="CX119" s="863">
        <f>+Wless!DK177</f>
        <v>-131</v>
      </c>
      <c r="CY119" s="863">
        <f>+Wless!DL177</f>
        <v>-332</v>
      </c>
      <c r="CZ119" s="864">
        <f>+Wless!DM177</f>
        <v>-485</v>
      </c>
      <c r="DA119" s="863">
        <f>+Wless!DN177</f>
        <v>414</v>
      </c>
      <c r="DB119" s="863">
        <f>+Wless!DO177</f>
        <v>292</v>
      </c>
      <c r="DC119" s="863">
        <f>+Wless!DP177</f>
        <v>352</v>
      </c>
      <c r="DD119" s="863">
        <f>+Wless!DQ177</f>
        <v>295</v>
      </c>
      <c r="DE119" s="863">
        <f>+Wless!DR177</f>
        <v>1201</v>
      </c>
      <c r="DF119" s="863">
        <f>+Wless!DS177</f>
        <v>244</v>
      </c>
      <c r="DG119" s="863">
        <f>+Wless!DT177</f>
        <v>135</v>
      </c>
      <c r="DH119" s="863">
        <f>+Wless!DU177</f>
        <v>-113</v>
      </c>
      <c r="DI119" s="863">
        <f>+Wless!DV177</f>
        <v>952</v>
      </c>
      <c r="DJ119" s="863">
        <f ca="1">+Wless!DW177</f>
        <v>128.81334297807791</v>
      </c>
      <c r="DK119" s="863">
        <f ca="1">+Wless!DX177</f>
        <v>17.942209681666554</v>
      </c>
      <c r="DL119" s="863">
        <f ca="1">+Wless!DY177</f>
        <v>-227.38736459321126</v>
      </c>
    </row>
    <row r="120" spans="1:116" s="808" customFormat="1">
      <c r="A120" s="820" t="s">
        <v>1433</v>
      </c>
      <c r="B120" s="812"/>
      <c r="C120" s="812"/>
      <c r="V120" s="863"/>
      <c r="W120" s="863"/>
      <c r="X120" s="863"/>
      <c r="Y120" s="863"/>
      <c r="Z120" s="863"/>
      <c r="AA120" s="863"/>
      <c r="AB120" s="863"/>
      <c r="BM120" s="862"/>
      <c r="BN120" s="863"/>
      <c r="BO120" s="863"/>
      <c r="BP120" s="863"/>
      <c r="BQ120" s="862"/>
      <c r="BR120" s="863"/>
      <c r="BS120" s="863"/>
      <c r="BT120" s="863"/>
      <c r="BU120" s="862"/>
      <c r="BV120" s="863"/>
      <c r="BW120" s="863"/>
      <c r="BX120" s="863"/>
      <c r="BY120" s="862"/>
      <c r="BZ120" s="863"/>
      <c r="CA120" s="863"/>
      <c r="CB120" s="863"/>
      <c r="CC120" s="862"/>
      <c r="CD120" s="863"/>
      <c r="CE120" s="863"/>
      <c r="CF120" s="863"/>
      <c r="CG120" s="862"/>
      <c r="CH120" s="863"/>
      <c r="CI120" s="863"/>
      <c r="CJ120" s="863"/>
      <c r="CK120" s="862"/>
      <c r="CL120" s="863"/>
      <c r="CM120" s="863"/>
      <c r="CN120" s="863"/>
      <c r="CO120" s="862"/>
      <c r="CP120" s="863"/>
      <c r="CQ120" s="863"/>
      <c r="CR120" s="863"/>
      <c r="CS120" s="862"/>
      <c r="CT120" s="863"/>
      <c r="CU120" s="863"/>
      <c r="CV120" s="864"/>
      <c r="CW120" s="863"/>
      <c r="CX120" s="863"/>
      <c r="CY120" s="863"/>
      <c r="CZ120" s="864"/>
      <c r="DA120" s="863"/>
      <c r="DB120" s="863"/>
      <c r="DC120" s="863"/>
      <c r="DD120" s="863"/>
      <c r="DE120" s="863"/>
      <c r="DF120" s="863"/>
      <c r="DG120" s="863"/>
      <c r="DH120" s="863"/>
      <c r="DI120" s="863"/>
      <c r="DJ120" s="863"/>
      <c r="DK120" s="863"/>
      <c r="DL120" s="863"/>
    </row>
    <row r="121" spans="1:116" s="808" customFormat="1">
      <c r="A121" s="812"/>
      <c r="B121" s="812"/>
      <c r="C121" s="812"/>
      <c r="V121" s="863"/>
      <c r="W121" s="863"/>
      <c r="X121" s="863"/>
      <c r="Y121" s="863"/>
      <c r="Z121" s="863"/>
      <c r="AA121" s="863"/>
      <c r="AB121" s="863"/>
      <c r="BM121" s="862"/>
      <c r="BN121" s="863"/>
      <c r="BO121" s="863"/>
      <c r="BP121" s="863"/>
      <c r="BQ121" s="862"/>
      <c r="BR121" s="863"/>
      <c r="BS121" s="863"/>
      <c r="BT121" s="863"/>
      <c r="BU121" s="862"/>
      <c r="BV121" s="863"/>
      <c r="BW121" s="863"/>
      <c r="BX121" s="863"/>
      <c r="BY121" s="862"/>
      <c r="BZ121" s="863"/>
      <c r="CA121" s="863"/>
      <c r="CB121" s="863"/>
      <c r="CC121" s="862"/>
      <c r="CD121" s="863"/>
      <c r="CE121" s="863"/>
      <c r="CF121" s="863"/>
      <c r="CG121" s="862"/>
      <c r="CH121" s="863"/>
      <c r="CI121" s="863"/>
      <c r="CJ121" s="863"/>
      <c r="CK121" s="862"/>
      <c r="CL121" s="863"/>
      <c r="CM121" s="863"/>
      <c r="CN121" s="863"/>
      <c r="CO121" s="862"/>
      <c r="CP121" s="863"/>
      <c r="CQ121" s="863"/>
      <c r="CR121" s="863"/>
      <c r="CS121" s="862"/>
      <c r="CT121" s="863"/>
      <c r="CU121" s="863"/>
      <c r="CV121" s="864"/>
      <c r="CW121" s="863"/>
      <c r="CX121" s="863"/>
      <c r="CY121" s="863"/>
      <c r="CZ121" s="864"/>
      <c r="DA121" s="863"/>
      <c r="DB121" s="863"/>
      <c r="DC121" s="863"/>
      <c r="DD121" s="863"/>
      <c r="DE121" s="863"/>
      <c r="DF121" s="863"/>
      <c r="DG121" s="863"/>
      <c r="DH121" s="863"/>
      <c r="DI121" s="863"/>
      <c r="DJ121" s="863"/>
      <c r="DK121" s="863"/>
      <c r="DL121" s="863"/>
    </row>
    <row r="122" spans="1:116" s="832" customFormat="1">
      <c r="A122" s="821"/>
      <c r="B122" s="821"/>
      <c r="C122" s="821"/>
      <c r="V122" s="889"/>
      <c r="W122" s="889"/>
      <c r="X122" s="889"/>
      <c r="Y122" s="889"/>
      <c r="Z122" s="889"/>
      <c r="AA122" s="889"/>
      <c r="AB122" s="889"/>
      <c r="BM122" s="888"/>
      <c r="BN122" s="889"/>
      <c r="BO122" s="889"/>
      <c r="BP122" s="889"/>
      <c r="BQ122" s="888"/>
      <c r="BR122" s="889"/>
      <c r="BS122" s="889"/>
      <c r="BT122" s="889"/>
      <c r="BU122" s="888"/>
      <c r="BV122" s="889"/>
      <c r="BW122" s="889"/>
      <c r="BX122" s="889"/>
      <c r="BY122" s="888"/>
      <c r="BZ122" s="889"/>
      <c r="CA122" s="889"/>
      <c r="CB122" s="889"/>
      <c r="CC122" s="888"/>
      <c r="CD122" s="889"/>
      <c r="CE122" s="889"/>
      <c r="CF122" s="889"/>
      <c r="CG122" s="888"/>
      <c r="CH122" s="889"/>
      <c r="CI122" s="889"/>
      <c r="CJ122" s="889"/>
      <c r="CK122" s="888"/>
      <c r="CL122" s="889"/>
      <c r="CM122" s="889"/>
      <c r="CN122" s="889"/>
      <c r="CO122" s="888"/>
      <c r="CP122" s="889"/>
      <c r="CQ122" s="889"/>
      <c r="CR122" s="889"/>
      <c r="CS122" s="888"/>
      <c r="CT122" s="889"/>
      <c r="CU122" s="889"/>
      <c r="CV122" s="890"/>
      <c r="CW122" s="889"/>
      <c r="CX122" s="889"/>
      <c r="CY122" s="889"/>
      <c r="CZ122" s="890"/>
      <c r="DA122" s="889"/>
      <c r="DB122" s="889"/>
      <c r="DC122" s="889"/>
      <c r="DD122" s="889"/>
      <c r="DE122" s="889"/>
      <c r="DF122" s="889"/>
      <c r="DG122" s="889"/>
      <c r="DH122" s="889"/>
      <c r="DI122" s="889"/>
      <c r="DJ122" s="889"/>
      <c r="DK122" s="889"/>
      <c r="DL122" s="889"/>
    </row>
    <row r="123" spans="1:116" s="808" customFormat="1">
      <c r="A123" s="812" t="s">
        <v>786</v>
      </c>
      <c r="B123" s="812"/>
      <c r="C123" s="812"/>
      <c r="J123" s="808">
        <f>Wireline!O59</f>
        <v>0</v>
      </c>
      <c r="K123" s="808">
        <f>Wireline!P59</f>
        <v>0</v>
      </c>
      <c r="L123" s="808">
        <f>Wireline!Q59</f>
        <v>0</v>
      </c>
      <c r="M123" s="808">
        <f>Wireline!R59</f>
        <v>0</v>
      </c>
      <c r="N123" s="808">
        <f>Wireline!S59</f>
        <v>0</v>
      </c>
      <c r="O123" s="808">
        <f>Wireline!T59</f>
        <v>0</v>
      </c>
      <c r="P123" s="808">
        <f>Wireline!U59</f>
        <v>0</v>
      </c>
      <c r="Q123" s="808">
        <f>Wireline!V59</f>
        <v>0</v>
      </c>
      <c r="R123" s="808">
        <f>Wireline!W59</f>
        <v>5299</v>
      </c>
      <c r="S123" s="808">
        <f>Wireline!X59</f>
        <v>5038</v>
      </c>
      <c r="T123" s="808">
        <f>Wireline!Y59</f>
        <v>4945</v>
      </c>
      <c r="U123" s="808">
        <f>Wireline!Z59</f>
        <v>4840.2519754190589</v>
      </c>
      <c r="V123" s="863">
        <f>Wireline!AA59</f>
        <v>4737.7227877751466</v>
      </c>
      <c r="W123" s="863">
        <f>Wireline!AB59</f>
        <v>4637.365436302638</v>
      </c>
      <c r="X123" s="863">
        <f>Wireline!AC59</f>
        <v>4539.1339158349665</v>
      </c>
      <c r="Y123" s="863">
        <f>Wireline!AD59</f>
        <v>4442.9831957152364</v>
      </c>
      <c r="Z123" s="863">
        <f>Wireline!AE59</f>
        <v>4348.8691991535607</v>
      </c>
      <c r="AA123" s="863">
        <f>Wireline!AF59</f>
        <v>4256.7487830216623</v>
      </c>
      <c r="AB123" s="863">
        <f>Wireline!AG59</f>
        <v>4166.5797180754853</v>
      </c>
      <c r="BM123" s="862">
        <f>Wireline!BZ59</f>
        <v>0</v>
      </c>
      <c r="BN123" s="863">
        <f>Wireline!CA59</f>
        <v>0</v>
      </c>
      <c r="BO123" s="863">
        <f>Wireline!CB59</f>
        <v>0</v>
      </c>
      <c r="BP123" s="863">
        <f>Wireline!CC59</f>
        <v>0</v>
      </c>
      <c r="BQ123" s="862">
        <f>Wireline!CD59</f>
        <v>0</v>
      </c>
      <c r="BR123" s="863">
        <f>Wireline!CE59</f>
        <v>0</v>
      </c>
      <c r="BS123" s="863">
        <f>Wireline!CF59</f>
        <v>0</v>
      </c>
      <c r="BT123" s="863">
        <f>Wireline!CG59</f>
        <v>0</v>
      </c>
      <c r="BU123" s="862">
        <f>Wireline!CH59</f>
        <v>0</v>
      </c>
      <c r="BV123" s="863">
        <f>Wireline!CI59</f>
        <v>0</v>
      </c>
      <c r="BW123" s="863">
        <f>Wireline!CJ59</f>
        <v>0</v>
      </c>
      <c r="BX123" s="863">
        <f>Wireline!CK59</f>
        <v>0</v>
      </c>
      <c r="BY123" s="862">
        <f>Wireline!CL59</f>
        <v>0</v>
      </c>
      <c r="BZ123" s="863">
        <f>Wireline!CM59</f>
        <v>0</v>
      </c>
      <c r="CA123" s="863">
        <f>Wireline!CN59</f>
        <v>0</v>
      </c>
      <c r="CB123" s="863">
        <f>Wireline!CO59</f>
        <v>0</v>
      </c>
      <c r="CC123" s="862">
        <f>Wireline!CP59</f>
        <v>0</v>
      </c>
      <c r="CD123" s="863">
        <f>Wireline!CQ59</f>
        <v>0</v>
      </c>
      <c r="CE123" s="863">
        <f>Wireline!CR59</f>
        <v>0</v>
      </c>
      <c r="CF123" s="863">
        <f>Wireline!CS59</f>
        <v>0</v>
      </c>
      <c r="CG123" s="862">
        <f>Wireline!CT59</f>
        <v>0</v>
      </c>
      <c r="CH123" s="863">
        <f>Wireline!CU59</f>
        <v>0</v>
      </c>
      <c r="CI123" s="863">
        <f>Wireline!CV59</f>
        <v>0</v>
      </c>
      <c r="CJ123" s="863">
        <f>Wireline!CW59</f>
        <v>0</v>
      </c>
      <c r="CK123" s="862">
        <f>Wireline!CX59</f>
        <v>0</v>
      </c>
      <c r="CL123" s="863">
        <f>Wireline!CY59</f>
        <v>0</v>
      </c>
      <c r="CM123" s="863">
        <f>Wireline!CZ59</f>
        <v>0</v>
      </c>
      <c r="CN123" s="863">
        <f>Wireline!DA59</f>
        <v>0</v>
      </c>
      <c r="CO123" s="862">
        <f>Wireline!DB59</f>
        <v>0</v>
      </c>
      <c r="CP123" s="863">
        <f>Wireline!DC59</f>
        <v>0</v>
      </c>
      <c r="CQ123" s="863">
        <f>Wireline!DD59</f>
        <v>0</v>
      </c>
      <c r="CR123" s="863">
        <f>Wireline!DE59</f>
        <v>0</v>
      </c>
      <c r="CS123" s="862">
        <f>Wireline!DF59</f>
        <v>0</v>
      </c>
      <c r="CT123" s="863">
        <f>Wireline!DG59</f>
        <v>0</v>
      </c>
      <c r="CU123" s="863">
        <f>Wireline!DH59</f>
        <v>0</v>
      </c>
      <c r="CV123" s="864">
        <f>Wireline!DI59</f>
        <v>0</v>
      </c>
      <c r="CW123" s="863">
        <f>Wireline!DJ59</f>
        <v>1348</v>
      </c>
      <c r="CX123" s="863">
        <f>Wireline!DK59</f>
        <v>1319</v>
      </c>
      <c r="CY123" s="863">
        <f>Wireline!DL59</f>
        <v>1298</v>
      </c>
      <c r="CZ123" s="864">
        <f>Wireline!DM59</f>
        <v>1334</v>
      </c>
      <c r="DA123" s="863">
        <f>Wireline!DN59</f>
        <v>1292</v>
      </c>
      <c r="DB123" s="863">
        <f>Wireline!DO59</f>
        <v>1265</v>
      </c>
      <c r="DC123" s="863">
        <f>Wireline!DP59</f>
        <v>1248</v>
      </c>
      <c r="DD123" s="863">
        <f>Wireline!DQ59</f>
        <v>1233</v>
      </c>
      <c r="DE123" s="863">
        <f>Wireline!DR59</f>
        <v>1256</v>
      </c>
      <c r="DF123" s="863">
        <f>Wireline!DS59</f>
        <v>1236</v>
      </c>
      <c r="DG123" s="863">
        <f>Wireline!DT59</f>
        <v>1244</v>
      </c>
      <c r="DH123" s="863">
        <f>Wireline!DU59</f>
        <v>1209</v>
      </c>
      <c r="DI123" s="863">
        <f>Wireline!DV59</f>
        <v>1228</v>
      </c>
      <c r="DJ123" s="863">
        <f>Wireline!DW59</f>
        <v>1207.6648221343874</v>
      </c>
      <c r="DK123" s="863">
        <f>Wireline!DX59</f>
        <v>1219.1199999999999</v>
      </c>
      <c r="DL123" s="863">
        <f>Wireline!DY59</f>
        <v>1185.4671532846717</v>
      </c>
    </row>
    <row r="124" spans="1:116" s="832" customFormat="1">
      <c r="A124" s="821" t="s">
        <v>1453</v>
      </c>
      <c r="B124" s="821"/>
      <c r="C124" s="821"/>
      <c r="K124" s="832">
        <f>Wireline!P60</f>
        <v>0</v>
      </c>
      <c r="L124" s="832">
        <f>Wireline!Q60</f>
        <v>0</v>
      </c>
      <c r="M124" s="832">
        <f>Wireline!R60</f>
        <v>0</v>
      </c>
      <c r="N124" s="832">
        <f>Wireline!S60</f>
        <v>0</v>
      </c>
      <c r="O124" s="832">
        <f>Wireline!T60</f>
        <v>0</v>
      </c>
      <c r="P124" s="832">
        <f>Wireline!U60</f>
        <v>0</v>
      </c>
      <c r="Q124" s="832">
        <f>Wireline!V60</f>
        <v>0</v>
      </c>
      <c r="R124" s="832" t="str">
        <f>Wireline!W60</f>
        <v>na</v>
      </c>
      <c r="S124" s="832">
        <f>Wireline!X60</f>
        <v>-4.9254576335157618E-2</v>
      </c>
      <c r="T124" s="832">
        <f>Wireline!Y60</f>
        <v>-1.8459706232632045E-2</v>
      </c>
      <c r="U124" s="832">
        <f>Wireline!Z60</f>
        <v>-2.1182613666519967E-2</v>
      </c>
      <c r="V124" s="889">
        <f>Wireline!AA60</f>
        <v>-2.1182613666519967E-2</v>
      </c>
      <c r="W124" s="889">
        <f>Wireline!AB60</f>
        <v>-2.1182613666519967E-2</v>
      </c>
      <c r="X124" s="889">
        <f>Wireline!AC60</f>
        <v>-2.1182613666519967E-2</v>
      </c>
      <c r="Y124" s="889">
        <f>Wireline!AD60</f>
        <v>-2.1182613666519967E-2</v>
      </c>
      <c r="Z124" s="889">
        <f>Wireline!AE60</f>
        <v>-2.1182613666519967E-2</v>
      </c>
      <c r="AA124" s="889">
        <f>Wireline!AF60</f>
        <v>-2.1182613666519967E-2</v>
      </c>
      <c r="AB124" s="889">
        <f>Wireline!AG60</f>
        <v>-2.1182613666519967E-2</v>
      </c>
      <c r="BM124" s="888"/>
      <c r="BN124" s="889"/>
      <c r="BO124" s="889"/>
      <c r="BP124" s="889"/>
      <c r="BQ124" s="888"/>
      <c r="BR124" s="889"/>
      <c r="BS124" s="889"/>
      <c r="BT124" s="889"/>
      <c r="BU124" s="888"/>
      <c r="BV124" s="889"/>
      <c r="BW124" s="889"/>
      <c r="BX124" s="889"/>
      <c r="BY124" s="888">
        <f>Wireline!CL60</f>
        <v>0</v>
      </c>
      <c r="BZ124" s="889">
        <f>Wireline!CM60</f>
        <v>0</v>
      </c>
      <c r="CA124" s="889">
        <f>Wireline!CN60</f>
        <v>0</v>
      </c>
      <c r="CB124" s="889">
        <f>Wireline!CO60</f>
        <v>0</v>
      </c>
      <c r="CC124" s="888">
        <f>Wireline!CP60</f>
        <v>0</v>
      </c>
      <c r="CD124" s="889">
        <f>Wireline!CQ60</f>
        <v>0</v>
      </c>
      <c r="CE124" s="889">
        <f>Wireline!CR60</f>
        <v>0</v>
      </c>
      <c r="CF124" s="889">
        <f>Wireline!CS60</f>
        <v>0</v>
      </c>
      <c r="CG124" s="888">
        <f>Wireline!CT60</f>
        <v>0</v>
      </c>
      <c r="CH124" s="889">
        <f>Wireline!CU60</f>
        <v>0</v>
      </c>
      <c r="CI124" s="889">
        <f>Wireline!CV60</f>
        <v>0</v>
      </c>
      <c r="CJ124" s="889">
        <f>Wireline!CW60</f>
        <v>0</v>
      </c>
      <c r="CK124" s="888">
        <f>Wireline!CX60</f>
        <v>0</v>
      </c>
      <c r="CL124" s="889">
        <f>Wireline!CY60</f>
        <v>0</v>
      </c>
      <c r="CM124" s="889">
        <f>Wireline!CZ60</f>
        <v>0</v>
      </c>
      <c r="CN124" s="889">
        <f>Wireline!DA60</f>
        <v>0</v>
      </c>
      <c r="CO124" s="888">
        <f>Wireline!DB60</f>
        <v>0</v>
      </c>
      <c r="CP124" s="889">
        <f>Wireline!DC60</f>
        <v>0</v>
      </c>
      <c r="CQ124" s="889">
        <f>Wireline!DD60</f>
        <v>0</v>
      </c>
      <c r="CR124" s="889">
        <f>Wireline!DE60</f>
        <v>0</v>
      </c>
      <c r="CS124" s="888">
        <f>Wireline!DF60</f>
        <v>0</v>
      </c>
      <c r="CT124" s="889">
        <f>Wireline!DG60</f>
        <v>0</v>
      </c>
      <c r="CU124" s="889">
        <f>Wireline!DH60</f>
        <v>0</v>
      </c>
      <c r="CV124" s="890">
        <f>Wireline!DI60</f>
        <v>0</v>
      </c>
      <c r="CW124" s="889" t="str">
        <f>Wireline!DJ60</f>
        <v>na</v>
      </c>
      <c r="CX124" s="889" t="str">
        <f>Wireline!DK60</f>
        <v>na</v>
      </c>
      <c r="CY124" s="889" t="str">
        <f>Wireline!DL60</f>
        <v>na</v>
      </c>
      <c r="CZ124" s="890" t="str">
        <f>Wireline!DM60</f>
        <v>na</v>
      </c>
      <c r="DA124" s="889">
        <f>Wireline!DN60</f>
        <v>-4.1543026706231445E-2</v>
      </c>
      <c r="DB124" s="889">
        <f>Wireline!DO60</f>
        <v>-4.0940106141015953E-2</v>
      </c>
      <c r="DC124" s="889">
        <f>Wireline!DP60</f>
        <v>-3.8520801232665658E-2</v>
      </c>
      <c r="DD124" s="889">
        <f>Wireline!DQ60</f>
        <v>-7.5712143928035935E-2</v>
      </c>
      <c r="DE124" s="889">
        <f>Wireline!DR60</f>
        <v>-2.786377708978327E-2</v>
      </c>
      <c r="DF124" s="889">
        <f>Wireline!DS60</f>
        <v>-2.292490118577073E-2</v>
      </c>
      <c r="DG124" s="889">
        <f>Wireline!DT60</f>
        <v>-3.2051282051281937E-3</v>
      </c>
      <c r="DH124" s="889">
        <f>Wireline!DU60</f>
        <v>-1.9464720194647178E-2</v>
      </c>
      <c r="DI124" s="889">
        <f>Wireline!DV60</f>
        <v>-2.2292993630573243E-2</v>
      </c>
      <c r="DJ124" s="889">
        <f>Wireline!DW60</f>
        <v>-2.292490118577073E-2</v>
      </c>
      <c r="DK124" s="889">
        <f>Wireline!DX60</f>
        <v>-0.02</v>
      </c>
      <c r="DL124" s="889">
        <f>Wireline!DY60</f>
        <v>-1.9464720194647178E-2</v>
      </c>
    </row>
    <row r="125" spans="1:116" s="808" customFormat="1">
      <c r="A125" s="812" t="s">
        <v>787</v>
      </c>
      <c r="B125" s="812"/>
      <c r="C125" s="812"/>
      <c r="J125" s="808">
        <f>Wireline!O69</f>
        <v>0</v>
      </c>
      <c r="K125" s="808">
        <f>Wireline!P69</f>
        <v>0</v>
      </c>
      <c r="L125" s="808">
        <f>Wireline!Q69</f>
        <v>0</v>
      </c>
      <c r="M125" s="808">
        <f>Wireline!R69</f>
        <v>0</v>
      </c>
      <c r="N125" s="808">
        <f>Wireline!S69</f>
        <v>0</v>
      </c>
      <c r="O125" s="808">
        <f>Wireline!T69</f>
        <v>0</v>
      </c>
      <c r="P125" s="808">
        <f>Wireline!U69</f>
        <v>0</v>
      </c>
      <c r="Q125" s="808">
        <f>Wireline!V69</f>
        <v>0</v>
      </c>
      <c r="R125" s="808">
        <f>Wireline!W69</f>
        <v>3611</v>
      </c>
      <c r="S125" s="808">
        <f>Wireline!X69</f>
        <v>3402</v>
      </c>
      <c r="T125" s="808">
        <f>Wireline!Y69</f>
        <v>3599</v>
      </c>
      <c r="U125" s="808">
        <f>Wireline!Z69</f>
        <v>3552.9100000000003</v>
      </c>
      <c r="V125" s="863">
        <f>Wireline!AA69</f>
        <v>3514.5160639844407</v>
      </c>
      <c r="W125" s="863">
        <f>Wireline!AB69</f>
        <v>3483.5660578349762</v>
      </c>
      <c r="X125" s="863">
        <f>Wireline!AC69</f>
        <v>3459.8557399264669</v>
      </c>
      <c r="Y125" s="863">
        <f>Wireline!AD69</f>
        <v>3443.2265138666594</v>
      </c>
      <c r="Z125" s="863">
        <f>Wireline!AE69</f>
        <v>3433.5636664673671</v>
      </c>
      <c r="AA125" s="863">
        <f>Wireline!AF69</f>
        <v>3430.7950635887655</v>
      </c>
      <c r="AB125" s="863">
        <f>Wireline!AG69</f>
        <v>3434.8902832590011</v>
      </c>
      <c r="BM125" s="862">
        <f>Wireline!BZ69</f>
        <v>0</v>
      </c>
      <c r="BN125" s="863">
        <f>Wireline!CA69</f>
        <v>0</v>
      </c>
      <c r="BO125" s="863">
        <f>Wireline!CB69</f>
        <v>0</v>
      </c>
      <c r="BP125" s="863">
        <f>Wireline!CC69</f>
        <v>0</v>
      </c>
      <c r="BQ125" s="862">
        <f>Wireline!CD69</f>
        <v>0</v>
      </c>
      <c r="BR125" s="863">
        <f>Wireline!CE69</f>
        <v>0</v>
      </c>
      <c r="BS125" s="863">
        <f>Wireline!CF69</f>
        <v>0</v>
      </c>
      <c r="BT125" s="863">
        <f>Wireline!CG69</f>
        <v>0</v>
      </c>
      <c r="BU125" s="862">
        <f>Wireline!CH69</f>
        <v>0</v>
      </c>
      <c r="BV125" s="863">
        <f>Wireline!CI69</f>
        <v>0</v>
      </c>
      <c r="BW125" s="863">
        <f>Wireline!CJ69</f>
        <v>0</v>
      </c>
      <c r="BX125" s="863">
        <f>Wireline!CK69</f>
        <v>0</v>
      </c>
      <c r="BY125" s="862">
        <f>Wireline!CL69</f>
        <v>0</v>
      </c>
      <c r="BZ125" s="863">
        <f>Wireline!CM69</f>
        <v>0</v>
      </c>
      <c r="CA125" s="863">
        <f>Wireline!CN69</f>
        <v>0</v>
      </c>
      <c r="CB125" s="863">
        <f>Wireline!CO69</f>
        <v>0</v>
      </c>
      <c r="CC125" s="862">
        <f>Wireline!CP69</f>
        <v>0</v>
      </c>
      <c r="CD125" s="863">
        <f>Wireline!CQ69</f>
        <v>0</v>
      </c>
      <c r="CE125" s="863">
        <f>Wireline!CR69</f>
        <v>0</v>
      </c>
      <c r="CF125" s="863">
        <f>Wireline!CS69</f>
        <v>0</v>
      </c>
      <c r="CG125" s="862">
        <f>Wireline!CT69</f>
        <v>0</v>
      </c>
      <c r="CH125" s="863">
        <f>Wireline!CU69</f>
        <v>0</v>
      </c>
      <c r="CI125" s="863">
        <f>Wireline!CV69</f>
        <v>0</v>
      </c>
      <c r="CJ125" s="863">
        <f>Wireline!CW69</f>
        <v>0</v>
      </c>
      <c r="CK125" s="862">
        <f>Wireline!CX69</f>
        <v>0</v>
      </c>
      <c r="CL125" s="863">
        <f>Wireline!CY69</f>
        <v>0</v>
      </c>
      <c r="CM125" s="863">
        <f>Wireline!CZ69</f>
        <v>0</v>
      </c>
      <c r="CN125" s="863">
        <f>Wireline!DA69</f>
        <v>0</v>
      </c>
      <c r="CO125" s="862">
        <f>Wireline!DB69</f>
        <v>0</v>
      </c>
      <c r="CP125" s="863">
        <f>Wireline!DC69</f>
        <v>0</v>
      </c>
      <c r="CQ125" s="863">
        <f>Wireline!DD69</f>
        <v>0</v>
      </c>
      <c r="CR125" s="863">
        <f>Wireline!DE69</f>
        <v>0</v>
      </c>
      <c r="CS125" s="862">
        <f>Wireline!DF69</f>
        <v>0</v>
      </c>
      <c r="CT125" s="863">
        <f>Wireline!DG69</f>
        <v>0</v>
      </c>
      <c r="CU125" s="863">
        <f>Wireline!DH69</f>
        <v>0</v>
      </c>
      <c r="CV125" s="864">
        <f>Wireline!DI69</f>
        <v>0</v>
      </c>
      <c r="CW125" s="863">
        <f>Wireline!DJ69</f>
        <v>914</v>
      </c>
      <c r="CX125" s="863">
        <f>Wireline!DK69</f>
        <v>906</v>
      </c>
      <c r="CY125" s="863">
        <f>Wireline!DL69</f>
        <v>900</v>
      </c>
      <c r="CZ125" s="864">
        <f>Wireline!DM69</f>
        <v>891</v>
      </c>
      <c r="DA125" s="863">
        <f>Wireline!DN69</f>
        <v>870</v>
      </c>
      <c r="DB125" s="863">
        <f>Wireline!DO69</f>
        <v>854</v>
      </c>
      <c r="DC125" s="863">
        <f>Wireline!DP69</f>
        <v>845</v>
      </c>
      <c r="DD125" s="863">
        <f>Wireline!DQ69</f>
        <v>833</v>
      </c>
      <c r="DE125" s="863">
        <f>Wireline!DR69</f>
        <v>890</v>
      </c>
      <c r="DF125" s="863">
        <f>Wireline!DS69</f>
        <v>921</v>
      </c>
      <c r="DG125" s="863">
        <f>Wireline!DT69</f>
        <v>903</v>
      </c>
      <c r="DH125" s="863">
        <f>Wireline!DU69</f>
        <v>885</v>
      </c>
      <c r="DI125" s="863">
        <f>Wireline!DV69</f>
        <v>871</v>
      </c>
      <c r="DJ125" s="863">
        <f>Wireline!DW69</f>
        <v>911.79</v>
      </c>
      <c r="DK125" s="863">
        <f>Wireline!DX69</f>
        <v>893.97</v>
      </c>
      <c r="DL125" s="863">
        <f>Wireline!DY69</f>
        <v>876.15</v>
      </c>
    </row>
    <row r="126" spans="1:116" s="832" customFormat="1">
      <c r="A126" s="821" t="s">
        <v>1453</v>
      </c>
      <c r="B126" s="821"/>
      <c r="C126" s="821"/>
      <c r="K126" s="832">
        <f>Wireline!P70</f>
        <v>0</v>
      </c>
      <c r="L126" s="832">
        <f>Wireline!Q70</f>
        <v>0</v>
      </c>
      <c r="M126" s="832">
        <f>Wireline!R70</f>
        <v>0</v>
      </c>
      <c r="N126" s="832">
        <f>Wireline!S70</f>
        <v>0</v>
      </c>
      <c r="O126" s="832">
        <f>Wireline!T70</f>
        <v>0</v>
      </c>
      <c r="P126" s="832">
        <f>Wireline!U70</f>
        <v>0</v>
      </c>
      <c r="Q126" s="832">
        <f>Wireline!V70</f>
        <v>0</v>
      </c>
      <c r="R126" s="832" t="str">
        <f>Wireline!W70</f>
        <v>na</v>
      </c>
      <c r="S126" s="832">
        <f>Wireline!X70</f>
        <v>-5.7878703960121847E-2</v>
      </c>
      <c r="T126" s="832">
        <f>Wireline!Y70</f>
        <v>5.7907113462668969E-2</v>
      </c>
      <c r="U126" s="832">
        <f>Wireline!Z70</f>
        <v>-1.2806335093081378E-2</v>
      </c>
      <c r="V126" s="889">
        <f>Wireline!AA70</f>
        <v>-1.0806335093081378E-2</v>
      </c>
      <c r="W126" s="889">
        <f>Wireline!AB70</f>
        <v>-8.8063350930813779E-3</v>
      </c>
      <c r="X126" s="889">
        <f>Wireline!AC70</f>
        <v>-6.8063350930813778E-3</v>
      </c>
      <c r="Y126" s="889">
        <f>Wireline!AD70</f>
        <v>-4.8063350930813778E-3</v>
      </c>
      <c r="Z126" s="889">
        <f>Wireline!AE70</f>
        <v>-2.8063350930813778E-3</v>
      </c>
      <c r="AA126" s="889">
        <f>Wireline!AF70</f>
        <v>-8.0633509308137771E-4</v>
      </c>
      <c r="AB126" s="889">
        <f>Wireline!AG70</f>
        <v>1.1936649069186223E-3</v>
      </c>
      <c r="BM126" s="888"/>
      <c r="BN126" s="889"/>
      <c r="BO126" s="889"/>
      <c r="BP126" s="889"/>
      <c r="BQ126" s="888"/>
      <c r="BR126" s="889"/>
      <c r="BS126" s="889"/>
      <c r="BT126" s="889"/>
      <c r="BU126" s="888"/>
      <c r="BV126" s="889"/>
      <c r="BW126" s="889"/>
      <c r="BX126" s="889"/>
      <c r="BY126" s="888">
        <f>Wireline!CL70</f>
        <v>0</v>
      </c>
      <c r="BZ126" s="889">
        <f>Wireline!CM70</f>
        <v>0</v>
      </c>
      <c r="CA126" s="889">
        <f>Wireline!CN70</f>
        <v>0</v>
      </c>
      <c r="CB126" s="889">
        <f>Wireline!CO70</f>
        <v>0</v>
      </c>
      <c r="CC126" s="888">
        <f>Wireline!CP70</f>
        <v>0</v>
      </c>
      <c r="CD126" s="889">
        <f>Wireline!CQ70</f>
        <v>0</v>
      </c>
      <c r="CE126" s="889">
        <f>Wireline!CR70</f>
        <v>0</v>
      </c>
      <c r="CF126" s="889">
        <f>Wireline!CS70</f>
        <v>0</v>
      </c>
      <c r="CG126" s="888">
        <f>Wireline!CT70</f>
        <v>0</v>
      </c>
      <c r="CH126" s="889">
        <f>Wireline!CU70</f>
        <v>0</v>
      </c>
      <c r="CI126" s="889">
        <f>Wireline!CV70</f>
        <v>0</v>
      </c>
      <c r="CJ126" s="889">
        <f>Wireline!CW70</f>
        <v>0</v>
      </c>
      <c r="CK126" s="888">
        <f>Wireline!CX70</f>
        <v>0</v>
      </c>
      <c r="CL126" s="889">
        <f>Wireline!CY70</f>
        <v>0</v>
      </c>
      <c r="CM126" s="889">
        <f>Wireline!CZ70</f>
        <v>0</v>
      </c>
      <c r="CN126" s="889">
        <f>Wireline!DA70</f>
        <v>0</v>
      </c>
      <c r="CO126" s="888">
        <f>Wireline!DB70</f>
        <v>0</v>
      </c>
      <c r="CP126" s="889">
        <f>Wireline!DC70</f>
        <v>0</v>
      </c>
      <c r="CQ126" s="889">
        <f>Wireline!DD70</f>
        <v>0</v>
      </c>
      <c r="CR126" s="889">
        <f>Wireline!DE70</f>
        <v>0</v>
      </c>
      <c r="CS126" s="888">
        <f>Wireline!DF70</f>
        <v>0</v>
      </c>
      <c r="CT126" s="889">
        <f>Wireline!DG70</f>
        <v>0</v>
      </c>
      <c r="CU126" s="889">
        <f>Wireline!DH70</f>
        <v>0</v>
      </c>
      <c r="CV126" s="890">
        <f>Wireline!DI70</f>
        <v>0</v>
      </c>
      <c r="CW126" s="889" t="str">
        <f>Wireline!DJ70</f>
        <v>na</v>
      </c>
      <c r="CX126" s="889" t="str">
        <f>Wireline!DK70</f>
        <v>na</v>
      </c>
      <c r="CY126" s="889" t="str">
        <f>Wireline!DL70</f>
        <v>na</v>
      </c>
      <c r="CZ126" s="890" t="str">
        <f>Wireline!DM70</f>
        <v>na</v>
      </c>
      <c r="DA126" s="889">
        <f>Wireline!DN70</f>
        <v>-4.8140043763676199E-2</v>
      </c>
      <c r="DB126" s="889">
        <f>Wireline!DO70</f>
        <v>-5.739514348785868E-2</v>
      </c>
      <c r="DC126" s="889">
        <f>Wireline!DP70</f>
        <v>-6.1111111111111116E-2</v>
      </c>
      <c r="DD126" s="889">
        <f>Wireline!DQ70</f>
        <v>-6.5095398428731799E-2</v>
      </c>
      <c r="DE126" s="889">
        <f>Wireline!DR70</f>
        <v>2.2988505747126409E-2</v>
      </c>
      <c r="DF126" s="889">
        <f>Wireline!DS70</f>
        <v>7.8454332552693185E-2</v>
      </c>
      <c r="DG126" s="889">
        <f>Wireline!DT70</f>
        <v>6.8639053254437865E-2</v>
      </c>
      <c r="DH126" s="889">
        <f>Wireline!DU70</f>
        <v>6.2424969987995294E-2</v>
      </c>
      <c r="DI126" s="889">
        <f>Wireline!DV70</f>
        <v>-2.1348314606741581E-2</v>
      </c>
      <c r="DJ126" s="889">
        <f>Wireline!DW70</f>
        <v>-0.01</v>
      </c>
      <c r="DK126" s="889">
        <f>Wireline!DX70</f>
        <v>-0.01</v>
      </c>
      <c r="DL126" s="889">
        <f>Wireline!DY70</f>
        <v>-0.01</v>
      </c>
    </row>
    <row r="127" spans="1:116" s="808" customFormat="1">
      <c r="A127" s="812" t="s">
        <v>955</v>
      </c>
      <c r="B127" s="812"/>
      <c r="C127" s="812"/>
      <c r="J127" s="808">
        <f>Wireline!O72</f>
        <v>0</v>
      </c>
      <c r="K127" s="808">
        <f>Wireline!P72</f>
        <v>0</v>
      </c>
      <c r="L127" s="808">
        <f>Wireline!Q72</f>
        <v>0</v>
      </c>
      <c r="M127" s="808">
        <f>Wireline!R72</f>
        <v>0</v>
      </c>
      <c r="N127" s="808">
        <f>Wireline!S72</f>
        <v>0</v>
      </c>
      <c r="O127" s="808">
        <f>Wireline!T72</f>
        <v>0</v>
      </c>
      <c r="P127" s="808">
        <f>Wireline!U72</f>
        <v>0</v>
      </c>
      <c r="Q127" s="808">
        <f>Wireline!V72</f>
        <v>0</v>
      </c>
      <c r="R127" s="808">
        <f>Wireline!W72</f>
        <v>334</v>
      </c>
      <c r="S127" s="808">
        <f>Wireline!X72</f>
        <v>312</v>
      </c>
      <c r="T127" s="808">
        <f>Wireline!Y72</f>
        <v>235</v>
      </c>
      <c r="U127" s="808">
        <f>Wireline!Z72</f>
        <v>272</v>
      </c>
      <c r="V127" s="863">
        <f>Wireline!AA72</f>
        <v>272</v>
      </c>
      <c r="W127" s="863">
        <f>Wireline!AB72</f>
        <v>272</v>
      </c>
      <c r="X127" s="863">
        <f>Wireline!AC72</f>
        <v>272</v>
      </c>
      <c r="Y127" s="863">
        <f>Wireline!AD72</f>
        <v>272</v>
      </c>
      <c r="Z127" s="863">
        <f>Wireline!AE72</f>
        <v>272</v>
      </c>
      <c r="AA127" s="863">
        <f>Wireline!AF72</f>
        <v>272</v>
      </c>
      <c r="AB127" s="863">
        <f>Wireline!AG72</f>
        <v>272</v>
      </c>
      <c r="BM127" s="862">
        <f>Wireline!BZ72</f>
        <v>0</v>
      </c>
      <c r="BN127" s="863">
        <f>Wireline!CA72</f>
        <v>0</v>
      </c>
      <c r="BO127" s="863">
        <f>Wireline!CB72</f>
        <v>0</v>
      </c>
      <c r="BP127" s="863">
        <f>Wireline!CC72</f>
        <v>0</v>
      </c>
      <c r="BQ127" s="862">
        <f>Wireline!CD72</f>
        <v>0</v>
      </c>
      <c r="BR127" s="863">
        <f>Wireline!CE72</f>
        <v>0</v>
      </c>
      <c r="BS127" s="863">
        <f>Wireline!CF72</f>
        <v>0</v>
      </c>
      <c r="BT127" s="863">
        <f>Wireline!CG72</f>
        <v>0</v>
      </c>
      <c r="BU127" s="862">
        <f>Wireline!CH72</f>
        <v>0</v>
      </c>
      <c r="BV127" s="863">
        <f>Wireline!CI72</f>
        <v>0</v>
      </c>
      <c r="BW127" s="863">
        <f>Wireline!CJ72</f>
        <v>0</v>
      </c>
      <c r="BX127" s="863">
        <f>Wireline!CK72</f>
        <v>0</v>
      </c>
      <c r="BY127" s="862">
        <f>Wireline!CL72</f>
        <v>0</v>
      </c>
      <c r="BZ127" s="863">
        <f>Wireline!CM72</f>
        <v>0</v>
      </c>
      <c r="CA127" s="863">
        <f>Wireline!CN72</f>
        <v>0</v>
      </c>
      <c r="CB127" s="863">
        <f>Wireline!CO72</f>
        <v>0</v>
      </c>
      <c r="CC127" s="862">
        <f>Wireline!CP72</f>
        <v>0</v>
      </c>
      <c r="CD127" s="863">
        <f>Wireline!CQ72</f>
        <v>0</v>
      </c>
      <c r="CE127" s="863">
        <f>Wireline!CR72</f>
        <v>0</v>
      </c>
      <c r="CF127" s="863">
        <f>Wireline!CS72</f>
        <v>0</v>
      </c>
      <c r="CG127" s="862">
        <f>Wireline!CT72</f>
        <v>0</v>
      </c>
      <c r="CH127" s="863">
        <f>Wireline!CU72</f>
        <v>0</v>
      </c>
      <c r="CI127" s="863">
        <f>Wireline!CV72</f>
        <v>0</v>
      </c>
      <c r="CJ127" s="863">
        <f>Wireline!CW72</f>
        <v>0</v>
      </c>
      <c r="CK127" s="862">
        <f>Wireline!CX72</f>
        <v>0</v>
      </c>
      <c r="CL127" s="863">
        <f>Wireline!CY72</f>
        <v>0</v>
      </c>
      <c r="CM127" s="863">
        <f>Wireline!CZ72</f>
        <v>0</v>
      </c>
      <c r="CN127" s="863">
        <f>Wireline!DA72</f>
        <v>0</v>
      </c>
      <c r="CO127" s="862">
        <f>Wireline!DB72</f>
        <v>0</v>
      </c>
      <c r="CP127" s="863">
        <f>Wireline!DC72</f>
        <v>0</v>
      </c>
      <c r="CQ127" s="863">
        <f>Wireline!DD72</f>
        <v>0</v>
      </c>
      <c r="CR127" s="863">
        <f>Wireline!DE72</f>
        <v>0</v>
      </c>
      <c r="CS127" s="862">
        <f>Wireline!DF72</f>
        <v>0</v>
      </c>
      <c r="CT127" s="863">
        <f>Wireline!DG72</f>
        <v>0</v>
      </c>
      <c r="CU127" s="863">
        <f>Wireline!DH72</f>
        <v>0</v>
      </c>
      <c r="CV127" s="864">
        <f>Wireline!DI72</f>
        <v>0</v>
      </c>
      <c r="CW127" s="863">
        <f>Wireline!DJ72</f>
        <v>89</v>
      </c>
      <c r="CX127" s="863">
        <f>Wireline!DK72</f>
        <v>80</v>
      </c>
      <c r="CY127" s="863">
        <f>Wireline!DL72</f>
        <v>86</v>
      </c>
      <c r="CZ127" s="864">
        <f>Wireline!DM72</f>
        <v>79</v>
      </c>
      <c r="DA127" s="863">
        <f>Wireline!DN72</f>
        <v>80</v>
      </c>
      <c r="DB127" s="863">
        <f>Wireline!DO72</f>
        <v>85</v>
      </c>
      <c r="DC127" s="863">
        <f>Wireline!DP72</f>
        <v>75</v>
      </c>
      <c r="DD127" s="863">
        <f>Wireline!DQ72</f>
        <v>72</v>
      </c>
      <c r="DE127" s="863">
        <f>Wireline!DR72</f>
        <v>63</v>
      </c>
      <c r="DF127" s="863">
        <f>Wireline!DS72</f>
        <v>73</v>
      </c>
      <c r="DG127" s="863">
        <f>Wireline!DT72</f>
        <v>49</v>
      </c>
      <c r="DH127" s="863">
        <f>Wireline!DU72</f>
        <v>50</v>
      </c>
      <c r="DI127" s="863">
        <f>Wireline!DV72</f>
        <v>68</v>
      </c>
      <c r="DJ127" s="863">
        <f>Wireline!DW72</f>
        <v>68</v>
      </c>
      <c r="DK127" s="863">
        <f>Wireline!DX72</f>
        <v>68</v>
      </c>
      <c r="DL127" s="863">
        <f>Wireline!DY72</f>
        <v>68</v>
      </c>
    </row>
    <row r="128" spans="1:116" s="832" customFormat="1">
      <c r="A128" s="821" t="s">
        <v>1453</v>
      </c>
      <c r="B128" s="821"/>
      <c r="C128" s="821"/>
      <c r="K128" s="832">
        <f>Wireline!P73</f>
        <v>0</v>
      </c>
      <c r="L128" s="832">
        <f>Wireline!Q73</f>
        <v>0</v>
      </c>
      <c r="M128" s="832">
        <f>Wireline!R73</f>
        <v>0</v>
      </c>
      <c r="N128" s="832">
        <f>Wireline!S73</f>
        <v>0</v>
      </c>
      <c r="O128" s="832">
        <f>Wireline!T73</f>
        <v>0</v>
      </c>
      <c r="P128" s="832">
        <f>Wireline!U73</f>
        <v>0</v>
      </c>
      <c r="Q128" s="832">
        <f>Wireline!V73</f>
        <v>0</v>
      </c>
      <c r="R128" s="832" t="str">
        <f>Wireline!W73</f>
        <v>na</v>
      </c>
      <c r="S128" s="832">
        <f>Wireline!X73</f>
        <v>-6.5868263473053856E-2</v>
      </c>
      <c r="T128" s="832">
        <f>Wireline!Y73</f>
        <v>-0.24679487179487181</v>
      </c>
      <c r="U128" s="832">
        <f>Wireline!Z73</f>
        <v>0.15744680851063819</v>
      </c>
      <c r="V128" s="889">
        <f>Wireline!AA73</f>
        <v>0</v>
      </c>
      <c r="W128" s="889">
        <f>Wireline!AB73</f>
        <v>0</v>
      </c>
      <c r="X128" s="889">
        <f>Wireline!AC73</f>
        <v>0</v>
      </c>
      <c r="Y128" s="889">
        <f>Wireline!AD73</f>
        <v>0</v>
      </c>
      <c r="Z128" s="889">
        <f>Wireline!AE73</f>
        <v>0</v>
      </c>
      <c r="AA128" s="889">
        <f>Wireline!AF73</f>
        <v>0</v>
      </c>
      <c r="AB128" s="889">
        <f>Wireline!AG73</f>
        <v>0</v>
      </c>
      <c r="BM128" s="888"/>
      <c r="BN128" s="889"/>
      <c r="BO128" s="889"/>
      <c r="BP128" s="889"/>
      <c r="BQ128" s="888"/>
      <c r="BR128" s="889"/>
      <c r="BS128" s="889"/>
      <c r="BT128" s="889"/>
      <c r="BU128" s="888"/>
      <c r="BV128" s="889"/>
      <c r="BW128" s="889"/>
      <c r="BX128" s="889"/>
      <c r="BY128" s="888">
        <f>Wireline!CL73</f>
        <v>0</v>
      </c>
      <c r="BZ128" s="889">
        <f>Wireline!CM73</f>
        <v>0</v>
      </c>
      <c r="CA128" s="889">
        <f>Wireline!CN73</f>
        <v>0</v>
      </c>
      <c r="CB128" s="889">
        <f>Wireline!CO73</f>
        <v>0</v>
      </c>
      <c r="CC128" s="888">
        <f>Wireline!CP73</f>
        <v>0</v>
      </c>
      <c r="CD128" s="889">
        <f>Wireline!CQ73</f>
        <v>0</v>
      </c>
      <c r="CE128" s="889">
        <f>Wireline!CR73</f>
        <v>0</v>
      </c>
      <c r="CF128" s="889">
        <f>Wireline!CS73</f>
        <v>0</v>
      </c>
      <c r="CG128" s="888">
        <f>Wireline!CT73</f>
        <v>0</v>
      </c>
      <c r="CH128" s="889">
        <f>Wireline!CU73</f>
        <v>0</v>
      </c>
      <c r="CI128" s="889">
        <f>Wireline!CV73</f>
        <v>0</v>
      </c>
      <c r="CJ128" s="889">
        <f>Wireline!CW73</f>
        <v>0</v>
      </c>
      <c r="CK128" s="888">
        <f>Wireline!CX73</f>
        <v>0</v>
      </c>
      <c r="CL128" s="889">
        <f>Wireline!CY73</f>
        <v>0</v>
      </c>
      <c r="CM128" s="889">
        <f>Wireline!CZ73</f>
        <v>0</v>
      </c>
      <c r="CN128" s="889">
        <f>Wireline!DA73</f>
        <v>0</v>
      </c>
      <c r="CO128" s="888">
        <f>Wireline!DB73</f>
        <v>0</v>
      </c>
      <c r="CP128" s="889">
        <f>Wireline!DC73</f>
        <v>0</v>
      </c>
      <c r="CQ128" s="889">
        <f>Wireline!DD73</f>
        <v>0</v>
      </c>
      <c r="CR128" s="889">
        <f>Wireline!DE73</f>
        <v>0</v>
      </c>
      <c r="CS128" s="888">
        <f>Wireline!DF73</f>
        <v>0</v>
      </c>
      <c r="CT128" s="889">
        <f>Wireline!DG73</f>
        <v>0</v>
      </c>
      <c r="CU128" s="889">
        <f>Wireline!DH73</f>
        <v>0</v>
      </c>
      <c r="CV128" s="890">
        <f>Wireline!DI73</f>
        <v>0</v>
      </c>
      <c r="CW128" s="889" t="str">
        <f>Wireline!DJ73</f>
        <v>na</v>
      </c>
      <c r="CX128" s="889" t="str">
        <f>Wireline!DK73</f>
        <v>na</v>
      </c>
      <c r="CY128" s="889" t="str">
        <f>Wireline!DL73</f>
        <v>na</v>
      </c>
      <c r="CZ128" s="890" t="str">
        <f>Wireline!DM73</f>
        <v>na</v>
      </c>
      <c r="DA128" s="889">
        <f>Wireline!DN73</f>
        <v>-0.101123595505618</v>
      </c>
      <c r="DB128" s="889">
        <f>Wireline!DO73</f>
        <v>6.25E-2</v>
      </c>
      <c r="DC128" s="889">
        <f>Wireline!DP73</f>
        <v>-0.12790697674418605</v>
      </c>
      <c r="DD128" s="889">
        <f>Wireline!DQ73</f>
        <v>-8.8607594936708889E-2</v>
      </c>
      <c r="DE128" s="889">
        <f>Wireline!DR73</f>
        <v>-0.21250000000000002</v>
      </c>
      <c r="DF128" s="889">
        <f>Wireline!DS73</f>
        <v>-0.14117647058823535</v>
      </c>
      <c r="DG128" s="889">
        <f>Wireline!DT73</f>
        <v>-0.34666666666666668</v>
      </c>
      <c r="DH128" s="889">
        <f>Wireline!DU73</f>
        <v>-0.30555555555555558</v>
      </c>
      <c r="DI128" s="889">
        <f>Wireline!DV73</f>
        <v>7.9365079365079305E-2</v>
      </c>
      <c r="DJ128" s="889">
        <f>Wireline!DW73</f>
        <v>-6.8493150684931559E-2</v>
      </c>
      <c r="DK128" s="889">
        <f>Wireline!DX73</f>
        <v>0.38775510204081631</v>
      </c>
      <c r="DL128" s="889">
        <f>Wireline!DY73</f>
        <v>0.3600000000000001</v>
      </c>
    </row>
    <row r="129" spans="1:116" s="808" customFormat="1">
      <c r="A129" s="812"/>
      <c r="B129" s="812"/>
      <c r="C129" s="812"/>
      <c r="V129" s="863"/>
      <c r="W129" s="863"/>
      <c r="X129" s="863"/>
      <c r="Y129" s="863"/>
      <c r="Z129" s="863"/>
      <c r="AA129" s="863"/>
      <c r="AB129" s="863"/>
      <c r="BM129" s="862"/>
      <c r="BN129" s="863"/>
      <c r="BO129" s="863"/>
      <c r="BP129" s="863"/>
      <c r="BQ129" s="862"/>
      <c r="BR129" s="863"/>
      <c r="BS129" s="863"/>
      <c r="BT129" s="863"/>
      <c r="BU129" s="862"/>
      <c r="BV129" s="863"/>
      <c r="BW129" s="863"/>
      <c r="BX129" s="863"/>
      <c r="BY129" s="862"/>
      <c r="BZ129" s="863"/>
      <c r="CA129" s="863"/>
      <c r="CB129" s="863"/>
      <c r="CC129" s="862"/>
      <c r="CD129" s="863"/>
      <c r="CE129" s="863"/>
      <c r="CF129" s="863"/>
      <c r="CG129" s="862"/>
      <c r="CH129" s="863"/>
      <c r="CI129" s="863"/>
      <c r="CJ129" s="863"/>
      <c r="CK129" s="862"/>
      <c r="CL129" s="863"/>
      <c r="CM129" s="863"/>
      <c r="CN129" s="863"/>
      <c r="CO129" s="862"/>
      <c r="CP129" s="863"/>
      <c r="CQ129" s="863"/>
      <c r="CR129" s="863"/>
      <c r="CS129" s="862"/>
      <c r="CT129" s="863"/>
      <c r="CU129" s="863"/>
      <c r="CV129" s="864"/>
      <c r="CW129" s="863"/>
      <c r="CX129" s="863"/>
      <c r="CY129" s="863"/>
      <c r="CZ129" s="864"/>
      <c r="DA129" s="863"/>
      <c r="DB129" s="863"/>
      <c r="DC129" s="863"/>
      <c r="DD129" s="863"/>
      <c r="DE129" s="863"/>
      <c r="DF129" s="863"/>
      <c r="DG129" s="863"/>
      <c r="DH129" s="863"/>
      <c r="DI129" s="863"/>
      <c r="DJ129" s="863"/>
      <c r="DK129" s="863"/>
      <c r="DL129" s="863"/>
    </row>
    <row r="130" spans="1:116" s="832" customFormat="1">
      <c r="A130" s="821"/>
      <c r="B130" s="821"/>
      <c r="C130" s="821"/>
      <c r="V130" s="889"/>
      <c r="W130" s="889"/>
      <c r="X130" s="889"/>
      <c r="Y130" s="889"/>
      <c r="Z130" s="889"/>
      <c r="AA130" s="889"/>
      <c r="AB130" s="889"/>
      <c r="BM130" s="888"/>
      <c r="BN130" s="889"/>
      <c r="BO130" s="889"/>
      <c r="BP130" s="889"/>
      <c r="BQ130" s="888"/>
      <c r="BR130" s="889"/>
      <c r="BS130" s="889"/>
      <c r="BT130" s="889"/>
      <c r="BU130" s="888"/>
      <c r="BV130" s="889"/>
      <c r="BW130" s="889"/>
      <c r="BX130" s="889"/>
      <c r="BY130" s="888"/>
      <c r="BZ130" s="889"/>
      <c r="CA130" s="889"/>
      <c r="CB130" s="889"/>
      <c r="CC130" s="888"/>
      <c r="CD130" s="889"/>
      <c r="CE130" s="889"/>
      <c r="CF130" s="889"/>
      <c r="CG130" s="888"/>
      <c r="CH130" s="889"/>
      <c r="CI130" s="889"/>
      <c r="CJ130" s="889"/>
      <c r="CK130" s="888"/>
      <c r="CL130" s="889"/>
      <c r="CM130" s="889"/>
      <c r="CN130" s="889"/>
      <c r="CO130" s="888"/>
      <c r="CP130" s="889"/>
      <c r="CQ130" s="889"/>
      <c r="CR130" s="889"/>
      <c r="CS130" s="888"/>
      <c r="CT130" s="889"/>
      <c r="CU130" s="889"/>
      <c r="CV130" s="890"/>
      <c r="CW130" s="889"/>
      <c r="CX130" s="889"/>
      <c r="CY130" s="889"/>
      <c r="CZ130" s="890"/>
      <c r="DA130" s="889"/>
      <c r="DB130" s="889"/>
      <c r="DC130" s="889"/>
      <c r="DD130" s="889"/>
      <c r="DE130" s="3240"/>
      <c r="DF130" s="889"/>
      <c r="DG130" s="889"/>
      <c r="DH130" s="889"/>
      <c r="DI130" s="889"/>
      <c r="DJ130" s="889"/>
      <c r="DK130" s="889"/>
      <c r="DL130" s="889"/>
    </row>
    <row r="131" spans="1:116" s="808" customFormat="1">
      <c r="A131" s="812"/>
      <c r="B131" s="812"/>
      <c r="C131" s="812"/>
      <c r="V131" s="863"/>
      <c r="W131" s="863"/>
      <c r="X131" s="863"/>
      <c r="Y131" s="863"/>
      <c r="Z131" s="863"/>
      <c r="AA131" s="863"/>
      <c r="AB131" s="863"/>
      <c r="BM131" s="862"/>
      <c r="BN131" s="863"/>
      <c r="BO131" s="863"/>
      <c r="BP131" s="863"/>
      <c r="BQ131" s="862"/>
      <c r="BR131" s="863"/>
      <c r="BS131" s="863"/>
      <c r="BT131" s="863"/>
      <c r="BU131" s="862"/>
      <c r="BV131" s="863"/>
      <c r="BW131" s="863"/>
      <c r="BX131" s="863"/>
      <c r="BY131" s="862"/>
      <c r="BZ131" s="863"/>
      <c r="CA131" s="863"/>
      <c r="CB131" s="863"/>
      <c r="CC131" s="862"/>
      <c r="CD131" s="863"/>
      <c r="CE131" s="863"/>
      <c r="CF131" s="863"/>
      <c r="CG131" s="862"/>
      <c r="CH131" s="863"/>
      <c r="CI131" s="863"/>
      <c r="CJ131" s="863"/>
      <c r="CK131" s="862"/>
      <c r="CL131" s="863"/>
      <c r="CM131" s="863"/>
      <c r="CN131" s="863"/>
      <c r="CO131" s="862"/>
      <c r="CP131" s="863"/>
      <c r="CQ131" s="863"/>
      <c r="CR131" s="863"/>
      <c r="CS131" s="862"/>
      <c r="CT131" s="863"/>
      <c r="CU131" s="863"/>
      <c r="CV131" s="864"/>
      <c r="CW131" s="863"/>
      <c r="CX131" s="863"/>
      <c r="CY131" s="863"/>
      <c r="CZ131" s="864"/>
      <c r="DA131" s="863"/>
      <c r="DB131" s="863"/>
      <c r="DC131" s="863"/>
      <c r="DD131" s="863"/>
      <c r="DE131" s="863"/>
      <c r="DF131" s="863"/>
      <c r="DG131" s="863"/>
      <c r="DH131" s="863"/>
      <c r="DI131" s="863"/>
      <c r="DJ131" s="863"/>
      <c r="DK131" s="863"/>
      <c r="DL131" s="863"/>
    </row>
    <row r="132" spans="1:116" s="808" customFormat="1">
      <c r="A132" s="812" t="s">
        <v>312</v>
      </c>
      <c r="B132" s="812"/>
      <c r="C132" s="812"/>
      <c r="V132" s="863"/>
      <c r="W132" s="863"/>
      <c r="X132" s="863"/>
      <c r="Y132" s="863"/>
      <c r="Z132" s="863"/>
      <c r="AA132" s="863"/>
      <c r="AB132" s="863"/>
      <c r="BM132" s="862"/>
      <c r="BN132" s="863"/>
      <c r="BO132" s="863"/>
      <c r="BP132" s="863"/>
      <c r="BQ132" s="862"/>
      <c r="BR132" s="863"/>
      <c r="BS132" s="863"/>
      <c r="BT132" s="863"/>
      <c r="BU132" s="862"/>
      <c r="BV132" s="863"/>
      <c r="BW132" s="863"/>
      <c r="BX132" s="863"/>
      <c r="BY132" s="862"/>
      <c r="BZ132" s="863"/>
      <c r="CA132" s="863"/>
      <c r="CB132" s="863"/>
      <c r="CC132" s="862"/>
      <c r="CD132" s="863"/>
      <c r="CE132" s="863"/>
      <c r="CF132" s="863"/>
      <c r="CG132" s="862"/>
      <c r="CH132" s="863"/>
      <c r="CI132" s="863"/>
      <c r="CJ132" s="863"/>
      <c r="CK132" s="862"/>
      <c r="CL132" s="863"/>
      <c r="CM132" s="863"/>
      <c r="CN132" s="863"/>
      <c r="CO132" s="862"/>
      <c r="CP132" s="863"/>
      <c r="CQ132" s="863"/>
      <c r="CR132" s="863"/>
      <c r="CS132" s="862"/>
      <c r="CT132" s="863"/>
      <c r="CU132" s="863"/>
      <c r="CV132" s="864"/>
      <c r="CW132" s="863"/>
      <c r="CX132" s="863"/>
      <c r="CY132" s="863"/>
      <c r="CZ132" s="864"/>
      <c r="DA132" s="863"/>
      <c r="DB132" s="863"/>
      <c r="DC132" s="863"/>
      <c r="DD132" s="863"/>
      <c r="DE132" s="863"/>
      <c r="DF132" s="863"/>
      <c r="DG132" s="863"/>
      <c r="DH132" s="863"/>
      <c r="DI132" s="863"/>
      <c r="DJ132" s="863"/>
      <c r="DK132" s="863"/>
      <c r="DL132" s="863"/>
    </row>
    <row r="133" spans="1:116" s="808" customFormat="1">
      <c r="A133" s="812" t="s">
        <v>788</v>
      </c>
      <c r="B133" s="812"/>
      <c r="C133" s="812"/>
      <c r="J133" s="808">
        <f>+Wless!O319</f>
        <v>0</v>
      </c>
      <c r="K133" s="808">
        <f>+Wless!P319</f>
        <v>11939.453437240532</v>
      </c>
      <c r="L133" s="808">
        <f>+Wless!Q319</f>
        <v>15564</v>
      </c>
      <c r="M133" s="808">
        <f>+Wless!R319</f>
        <v>19550</v>
      </c>
      <c r="N133" s="808">
        <f>+Wless!S319</f>
        <v>23646</v>
      </c>
      <c r="O133" s="808">
        <f>+Wless!T319</f>
        <v>28255</v>
      </c>
      <c r="P133" s="808">
        <f>+Wless!U319</f>
        <v>33500</v>
      </c>
      <c r="Q133" s="808">
        <f>+Wless!V319</f>
        <v>35200</v>
      </c>
      <c r="R133" s="808">
        <f>+Wless!W319</f>
        <v>35200</v>
      </c>
      <c r="S133" s="808">
        <f>+Wless!X319</f>
        <v>35200</v>
      </c>
      <c r="T133" s="808">
        <f>+Wless!Y319</f>
        <v>35200</v>
      </c>
      <c r="U133" s="808">
        <f>+Wless!Z319</f>
        <v>35200</v>
      </c>
      <c r="V133" s="863">
        <f ca="1">+Wless!AA319</f>
        <v>38790.911824044066</v>
      </c>
      <c r="W133" s="863">
        <f ca="1">+Wless!AB319</f>
        <v>43520.876046266283</v>
      </c>
      <c r="X133" s="863">
        <f ca="1">+Wless!AC319</f>
        <v>48691.874942080787</v>
      </c>
      <c r="Y133" s="863">
        <f ca="1">+Wless!AD319</f>
        <v>54359.808524621243</v>
      </c>
      <c r="Z133" s="863">
        <f ca="1">+Wless!AE319</f>
        <v>60583.754537612993</v>
      </c>
      <c r="AA133" s="863">
        <f ca="1">+Wless!AF319</f>
        <v>67427.776136976187</v>
      </c>
      <c r="AB133" s="863">
        <f ca="1">+Wless!AG319</f>
        <v>74962.258311690151</v>
      </c>
      <c r="BM133" s="862">
        <f>+Wless!BZ319</f>
        <v>0</v>
      </c>
      <c r="BN133" s="863">
        <f>+Wless!CA319</f>
        <v>0</v>
      </c>
      <c r="BO133" s="863">
        <f>+Wless!CB319</f>
        <v>0</v>
      </c>
      <c r="BP133" s="863">
        <f>+Wless!CC319</f>
        <v>0</v>
      </c>
      <c r="BQ133" s="862">
        <f>+Wless!CD319</f>
        <v>0</v>
      </c>
      <c r="BR133" s="863">
        <f>+Wless!CE319</f>
        <v>0</v>
      </c>
      <c r="BS133" s="863">
        <f>+Wless!CF319</f>
        <v>0</v>
      </c>
      <c r="BT133" s="863">
        <f>+Wless!CG319</f>
        <v>0</v>
      </c>
      <c r="BU133" s="862">
        <f>+Wless!CH319</f>
        <v>2611.7647058823532</v>
      </c>
      <c r="BV133" s="863">
        <f>+Wless!CI319</f>
        <v>2862.406015037594</v>
      </c>
      <c r="BW133" s="863">
        <f>+Wless!CJ319</f>
        <v>3125.5850234009358</v>
      </c>
      <c r="BX133" s="863">
        <f>+Wless!CK319</f>
        <v>3339.6976929196499</v>
      </c>
      <c r="BY133" s="862">
        <f>+Wless!CL319</f>
        <v>3552</v>
      </c>
      <c r="BZ133" s="863">
        <f>+Wless!CM319</f>
        <v>3807</v>
      </c>
      <c r="CA133" s="863">
        <f>+Wless!CN319</f>
        <v>4007</v>
      </c>
      <c r="CB133" s="863">
        <f>+Wless!CO319</f>
        <v>4198</v>
      </c>
      <c r="CC133" s="862">
        <f>+Wless!CP319</f>
        <v>4464</v>
      </c>
      <c r="CD133" s="863">
        <f>+Wless!CQ319</f>
        <v>4756</v>
      </c>
      <c r="CE133" s="863">
        <f>+Wless!CR319</f>
        <v>5062</v>
      </c>
      <c r="CF133" s="863">
        <f>+Wless!CS319</f>
        <v>5268</v>
      </c>
      <c r="CG133" s="862">
        <f>+Wless!CT319</f>
        <v>5458</v>
      </c>
      <c r="CH133" s="863">
        <f>+Wless!CU319</f>
        <v>5810</v>
      </c>
      <c r="CI133" s="863">
        <f>+Wless!CV319</f>
        <v>6100</v>
      </c>
      <c r="CJ133" s="863">
        <f>+Wless!CW319</f>
        <v>6278</v>
      </c>
      <c r="CK133" s="862">
        <f>+Wless!CX319</f>
        <v>6608</v>
      </c>
      <c r="CL133" s="863">
        <f>+Wless!CY319</f>
        <v>6885</v>
      </c>
      <c r="CM133" s="863">
        <f>+Wless!CZ319</f>
        <v>7262</v>
      </c>
      <c r="CN133" s="863">
        <f>+Wless!DA319</f>
        <v>7500</v>
      </c>
      <c r="CO133" s="862">
        <f>+Wless!DB319</f>
        <v>7900</v>
      </c>
      <c r="CP133" s="863">
        <f>+Wless!DC319</f>
        <v>8200</v>
      </c>
      <c r="CQ133" s="863">
        <f>+Wless!DD319</f>
        <v>8600</v>
      </c>
      <c r="CR133" s="863">
        <f>+Wless!DE319</f>
        <v>8800</v>
      </c>
      <c r="CS133" s="862">
        <f>+Wless!DF319</f>
        <v>8800</v>
      </c>
      <c r="CT133" s="863">
        <f>+Wless!DG319</f>
        <v>8800</v>
      </c>
      <c r="CU133" s="863">
        <f>+Wless!DH319</f>
        <v>8800</v>
      </c>
      <c r="CV133" s="864">
        <f>+Wless!DI319</f>
        <v>8800</v>
      </c>
      <c r="CW133" s="863">
        <f>+Wless!DJ319</f>
        <v>8800</v>
      </c>
      <c r="CX133" s="863">
        <f>+Wless!DK319</f>
        <v>8800</v>
      </c>
      <c r="CY133" s="863">
        <f>+Wless!DL319</f>
        <v>8800</v>
      </c>
      <c r="CZ133" s="864">
        <f>+Wless!DM319</f>
        <v>8800</v>
      </c>
      <c r="DA133" s="863">
        <f>+Wless!DN319</f>
        <v>8800</v>
      </c>
      <c r="DB133" s="863">
        <f>+Wless!DO319</f>
        <v>8800</v>
      </c>
      <c r="DC133" s="863">
        <f>+Wless!DP319</f>
        <v>8800</v>
      </c>
      <c r="DD133" s="863">
        <f>+Wless!DQ319</f>
        <v>8800</v>
      </c>
      <c r="DE133" s="863">
        <f>+Wless!DR319</f>
        <v>8800</v>
      </c>
      <c r="DF133" s="863">
        <f>+Wless!DS319</f>
        <v>8800</v>
      </c>
      <c r="DG133" s="863">
        <f>+Wless!DT319</f>
        <v>8800</v>
      </c>
      <c r="DH133" s="863">
        <f>+Wless!DU319</f>
        <v>8800</v>
      </c>
      <c r="DI133" s="863">
        <f>+Wless!DV319</f>
        <v>8800</v>
      </c>
      <c r="DJ133" s="863">
        <f ca="1">+Wless!DW319</f>
        <v>9930.0947265334726</v>
      </c>
      <c r="DK133" s="863">
        <f ca="1">+Wless!DX319</f>
        <v>9927.7100372046461</v>
      </c>
      <c r="DL133" s="863">
        <f ca="1">+Wless!DY319</f>
        <v>9925.2714576837552</v>
      </c>
    </row>
    <row r="134" spans="1:116" s="808" customFormat="1">
      <c r="A134" s="812"/>
      <c r="B134" s="812"/>
      <c r="C134" s="812"/>
      <c r="V134" s="863"/>
      <c r="W134" s="863"/>
      <c r="X134" s="863"/>
      <c r="Y134" s="863"/>
      <c r="Z134" s="863"/>
      <c r="AA134" s="863"/>
      <c r="AB134" s="863"/>
      <c r="BM134" s="862"/>
      <c r="BN134" s="863"/>
      <c r="BO134" s="863"/>
      <c r="BP134" s="863"/>
      <c r="BQ134" s="862"/>
      <c r="BR134" s="863"/>
      <c r="BS134" s="863"/>
      <c r="BT134" s="863"/>
      <c r="BU134" s="862"/>
      <c r="BV134" s="863"/>
      <c r="BW134" s="863"/>
      <c r="BX134" s="863"/>
      <c r="BY134" s="862"/>
      <c r="BZ134" s="863"/>
      <c r="CA134" s="863"/>
      <c r="CB134" s="863"/>
      <c r="CC134" s="862"/>
      <c r="CD134" s="863"/>
      <c r="CE134" s="863"/>
      <c r="CF134" s="863"/>
      <c r="CG134" s="862"/>
      <c r="CH134" s="863"/>
      <c r="CI134" s="863"/>
      <c r="CJ134" s="863"/>
      <c r="CK134" s="862"/>
      <c r="CL134" s="863"/>
      <c r="CM134" s="863"/>
      <c r="CN134" s="863"/>
      <c r="CO134" s="862"/>
      <c r="CP134" s="863"/>
      <c r="CQ134" s="863"/>
      <c r="CR134" s="863"/>
      <c r="CS134" s="862"/>
      <c r="CT134" s="863"/>
      <c r="CU134" s="863"/>
      <c r="CV134" s="864"/>
      <c r="CW134" s="863"/>
      <c r="CX134" s="863"/>
      <c r="CY134" s="863"/>
      <c r="CZ134" s="864"/>
      <c r="DA134" s="863"/>
      <c r="DB134" s="863"/>
      <c r="DC134" s="863"/>
      <c r="DD134" s="863"/>
      <c r="DE134" s="863"/>
      <c r="DF134" s="863"/>
      <c r="DG134" s="863"/>
      <c r="DH134" s="863"/>
      <c r="DI134" s="863"/>
      <c r="DJ134" s="863"/>
      <c r="DK134" s="863"/>
      <c r="DL134" s="863"/>
    </row>
    <row r="135" spans="1:116" s="833" customFormat="1">
      <c r="A135" s="819" t="s">
        <v>789</v>
      </c>
      <c r="B135" s="819"/>
      <c r="C135" s="819"/>
      <c r="J135" s="833">
        <f>+Wless!O155</f>
        <v>0</v>
      </c>
      <c r="K135" s="833">
        <f>+Wless!P155</f>
        <v>1.3232699027404144E-2</v>
      </c>
      <c r="L135" s="833">
        <f>+Wless!Q155</f>
        <v>1.4002334645878786E-2</v>
      </c>
      <c r="M135" s="833">
        <f>+Wless!R155</f>
        <v>1.3300475115854303E-2</v>
      </c>
      <c r="N135" s="833">
        <f ca="1">+Wless!S155</f>
        <v>1.2369807116113558E-2</v>
      </c>
      <c r="O135" s="833">
        <f ca="1">+Wless!T155</f>
        <v>1.1670190083902316E-2</v>
      </c>
      <c r="P135" s="833">
        <f ca="1">+Wless!U155</f>
        <v>1.2208404219762554E-2</v>
      </c>
      <c r="Q135" s="833">
        <f ca="1">+Wless!V155</f>
        <v>1.2442380244265978E-2</v>
      </c>
      <c r="R135" s="833">
        <f ca="1">+Wless!W155</f>
        <v>1.1626476741569977E-2</v>
      </c>
      <c r="S135" s="833">
        <f ca="1">+Wless!X155</f>
        <v>1.1986940630049171E-2</v>
      </c>
      <c r="T135" s="833">
        <f ca="1">+Wless!Y155</f>
        <v>1.1738957703882851E-2</v>
      </c>
      <c r="U135" s="833">
        <f ca="1">+Wless!Z155</f>
        <v>1.1210161340395963E-2</v>
      </c>
      <c r="V135" s="881">
        <f ca="1">+Wless!AA155</f>
        <v>1.1259813914099533E-2</v>
      </c>
      <c r="W135" s="881">
        <f ca="1">+Wless!AB155</f>
        <v>1.0972385995896573E-2</v>
      </c>
      <c r="X135" s="881">
        <f ca="1">+Wless!AC155</f>
        <v>1.0730279145332058E-2</v>
      </c>
      <c r="Y135" s="881">
        <f ca="1">+Wless!AD155</f>
        <v>1.0510143633910344E-2</v>
      </c>
      <c r="Z135" s="881">
        <f ca="1">+Wless!AE155</f>
        <v>1.0300876364654628E-2</v>
      </c>
      <c r="AA135" s="881">
        <f ca="1">+Wless!AF155</f>
        <v>1.0097165595253924E-2</v>
      </c>
      <c r="AB135" s="881">
        <f ca="1">+Wless!AG155</f>
        <v>9.8964380168356705E-3</v>
      </c>
      <c r="BM135" s="880">
        <f>+Wless!BZ155</f>
        <v>0</v>
      </c>
      <c r="BN135" s="881">
        <f>+Wless!CA155</f>
        <v>0</v>
      </c>
      <c r="BO135" s="881">
        <f>+Wless!CB155</f>
        <v>0</v>
      </c>
      <c r="BP135" s="881">
        <f>+Wless!CC155</f>
        <v>0</v>
      </c>
      <c r="BQ135" s="880">
        <f>+Wless!CD155</f>
        <v>0</v>
      </c>
      <c r="BR135" s="881">
        <f>+Wless!CE155</f>
        <v>0</v>
      </c>
      <c r="BS135" s="881">
        <f>+Wless!CF155</f>
        <v>0</v>
      </c>
      <c r="BT135" s="881">
        <f>+Wless!CG155</f>
        <v>0</v>
      </c>
      <c r="BU135" s="880">
        <f>+Wless!CH155</f>
        <v>1.3100000000000001E-2</v>
      </c>
      <c r="BV135" s="881">
        <f>+Wless!CI155</f>
        <v>1.23E-2</v>
      </c>
      <c r="BW135" s="881">
        <f>+Wless!CJ155</f>
        <v>1.43E-2</v>
      </c>
      <c r="BX135" s="881">
        <f>+Wless!CK155</f>
        <v>1.46E-2</v>
      </c>
      <c r="BY135" s="880">
        <f>+Wless!CL155</f>
        <v>1.44E-2</v>
      </c>
      <c r="BZ135" s="881">
        <f>+Wless!CM155</f>
        <v>1.34E-2</v>
      </c>
      <c r="CA135" s="881">
        <f>+Wless!CN155</f>
        <v>1.46E-2</v>
      </c>
      <c r="CB135" s="881">
        <f>+Wless!CO155</f>
        <v>1.3899999999999999E-2</v>
      </c>
      <c r="CC135" s="880">
        <f>+Wless!CP155</f>
        <v>1.3599999999999999E-2</v>
      </c>
      <c r="CD135" s="881">
        <f>+Wless!CQ155</f>
        <v>1.2500000000000001E-2</v>
      </c>
      <c r="CE135" s="881">
        <f>+Wless!CR155</f>
        <v>1.3599999999999999E-2</v>
      </c>
      <c r="CF135" s="881">
        <f>+Wless!CS155</f>
        <v>1.34E-2</v>
      </c>
      <c r="CG135" s="880">
        <f ca="1">+Wless!CT155</f>
        <v>1.2980228634591888E-2</v>
      </c>
      <c r="CH135" s="881">
        <f ca="1">+Wless!CU155</f>
        <v>1.1942367296073368E-2</v>
      </c>
      <c r="CI135" s="881">
        <f ca="1">+Wless!CV155</f>
        <v>1.2212963861334537E-2</v>
      </c>
      <c r="CJ135" s="881">
        <f ca="1">+Wless!CW155</f>
        <v>1.2019009007731346E-2</v>
      </c>
      <c r="CK135" s="880">
        <f ca="1">+Wless!CX155</f>
        <v>1.216176273591902E-2</v>
      </c>
      <c r="CL135" s="881">
        <f ca="1">+Wless!CY155</f>
        <v>1.1018173810852325E-2</v>
      </c>
      <c r="CM135" s="881">
        <f ca="1">+Wless!CZ155</f>
        <v>1.159726985712624E-2</v>
      </c>
      <c r="CN135" s="881">
        <f ca="1">+Wless!DA155</f>
        <v>1.2105697198542818E-2</v>
      </c>
      <c r="CO135" s="880">
        <f ca="1">+Wless!DB155</f>
        <v>1.2566802457125352E-2</v>
      </c>
      <c r="CP135" s="881">
        <f ca="1">+Wless!DC155</f>
        <v>1.1901794372341745E-2</v>
      </c>
      <c r="CQ135" s="881">
        <f ca="1">+Wless!DD155</f>
        <v>1.2285737211583436E-2</v>
      </c>
      <c r="CR135" s="881">
        <f ca="1">+Wless!DE155</f>
        <v>1.2153788805079776E-2</v>
      </c>
      <c r="CS135" s="880">
        <f ca="1">+Wless!DF155</f>
        <v>1.2952275267771603E-2</v>
      </c>
      <c r="CT135" s="881">
        <f ca="1">+Wless!DG155</f>
        <v>1.1888061283383584E-2</v>
      </c>
      <c r="CU135" s="881">
        <f ca="1">+Wless!DH155</f>
        <v>1.2177530680618257E-2</v>
      </c>
      <c r="CV135" s="882">
        <f ca="1">+Wless!DI155</f>
        <v>1.2977798199307645E-2</v>
      </c>
      <c r="CW135" s="881">
        <f ca="1">+Wless!DJ155</f>
        <v>1.2433306859837446E-2</v>
      </c>
      <c r="CX135" s="881">
        <f ca="1">+Wless!DK155</f>
        <v>1.1163302602861285E-2</v>
      </c>
      <c r="CY135" s="881">
        <f ca="1">+Wless!DL155</f>
        <v>1.1438337613295522E-2</v>
      </c>
      <c r="CZ135" s="882">
        <f ca="1">+Wless!DM155</f>
        <v>1.1479626684981073E-2</v>
      </c>
      <c r="DA135" s="881">
        <f ca="1">+Wless!DN155</f>
        <v>1.1655291408994165E-2</v>
      </c>
      <c r="DB135" s="881">
        <f ca="1">+Wless!DO155</f>
        <v>1.1289864082585749E-2</v>
      </c>
      <c r="DC135" s="881">
        <f ca="1">+Wless!DP155</f>
        <v>1.2022393966510121E-2</v>
      </c>
      <c r="DD135" s="881">
        <f ca="1">+Wless!DQ155</f>
        <v>1.2500058633066495E-2</v>
      </c>
      <c r="DE135" s="881">
        <f ca="1">+Wless!DR155</f>
        <v>1.2849144425038844E-2</v>
      </c>
      <c r="DF135" s="881">
        <f ca="1">+Wless!DS155</f>
        <v>1.1036392776516937E-2</v>
      </c>
      <c r="DG135" s="881">
        <f ca="1">+Wless!DT155</f>
        <v>1.1107556008134933E-2</v>
      </c>
      <c r="DH135" s="881">
        <f ca="1">+Wless!DU155</f>
        <v>1.1527048313534138E-2</v>
      </c>
      <c r="DI135" s="881">
        <f ca="1">+Wless!DV155</f>
        <v>1.1827002819501933E-2</v>
      </c>
      <c r="DJ135" s="881">
        <f ca="1">+Wless!DW155</f>
        <v>1.104122725080667E-2</v>
      </c>
      <c r="DK135" s="881">
        <f ca="1">+Wless!DX155</f>
        <v>1.1085312579938776E-2</v>
      </c>
      <c r="DL135" s="881">
        <f ca="1">+Wless!DY155</f>
        <v>1.144897836149744E-2</v>
      </c>
    </row>
    <row r="136" spans="1:116" s="833" customFormat="1">
      <c r="A136" s="819" t="s">
        <v>790</v>
      </c>
      <c r="B136" s="819"/>
      <c r="C136" s="819"/>
      <c r="J136" s="833">
        <f>+Wless!O158</f>
        <v>0</v>
      </c>
      <c r="K136" s="833">
        <f>+Wless!P158</f>
        <v>0</v>
      </c>
      <c r="L136" s="833">
        <f>+Wless!Q158</f>
        <v>0</v>
      </c>
      <c r="M136" s="833">
        <f ca="1">+Wless!R158</f>
        <v>1.3791106486298993E-2</v>
      </c>
      <c r="N136" s="833">
        <f>+Wless!S158</f>
        <v>1.2571484735840447E-2</v>
      </c>
      <c r="O136" s="833">
        <f>+Wless!T158</f>
        <v>1.1847643607829956E-2</v>
      </c>
      <c r="P136" s="833">
        <f>+Wless!U158</f>
        <v>1.2657258032423182E-2</v>
      </c>
      <c r="Q136" s="833">
        <f>+Wless!V158</f>
        <v>1.3177676176484528E-2</v>
      </c>
      <c r="R136" s="833">
        <f>+Wless!W158</f>
        <v>1.2277323449180507E-2</v>
      </c>
      <c r="S136" s="833">
        <f>+Wless!X158</f>
        <v>1.2599089688139218E-2</v>
      </c>
      <c r="T136" s="833">
        <f>+Wless!Y158</f>
        <v>1.2443373101952275E-2</v>
      </c>
      <c r="U136" s="833">
        <f ca="1">+Wless!Z158</f>
        <v>1.204713616802027E-2</v>
      </c>
      <c r="V136" s="881">
        <f ca="1">+Wless!AA158</f>
        <v>1.1508861387595194E-2</v>
      </c>
      <c r="W136" s="881">
        <f ca="1">+Wless!AB158</f>
        <v>1.1158315562295754E-2</v>
      </c>
      <c r="X136" s="881">
        <f ca="1">+Wless!AC158</f>
        <v>1.0865086646082033E-2</v>
      </c>
      <c r="Y136" s="881">
        <f ca="1">+Wless!AD158</f>
        <v>1.0600393253998704E-2</v>
      </c>
      <c r="Z136" s="881">
        <f ca="1">+Wless!AE158</f>
        <v>1.0350442299119194E-2</v>
      </c>
      <c r="AA136" s="881">
        <f ca="1">+Wless!AF158</f>
        <v>1.0108534699022809E-2</v>
      </c>
      <c r="AB136" s="881">
        <f ca="1">+Wless!AG158</f>
        <v>9.8713402665838116E-3</v>
      </c>
      <c r="BM136" s="880">
        <f>+Wless!BZ158</f>
        <v>0</v>
      </c>
      <c r="BN136" s="881">
        <f>+Wless!CA158</f>
        <v>0</v>
      </c>
      <c r="BO136" s="881">
        <f>+Wless!CB158</f>
        <v>0</v>
      </c>
      <c r="BP136" s="881">
        <f>+Wless!CC158</f>
        <v>0</v>
      </c>
      <c r="BQ136" s="880">
        <f>+Wless!CD158</f>
        <v>0</v>
      </c>
      <c r="BR136" s="881">
        <f>+Wless!CE158</f>
        <v>0</v>
      </c>
      <c r="BS136" s="881">
        <f>+Wless!CF158</f>
        <v>0</v>
      </c>
      <c r="BT136" s="881">
        <f>+Wless!CG158</f>
        <v>0</v>
      </c>
      <c r="BU136" s="880">
        <f>+Wless!CH158</f>
        <v>1.29E-2</v>
      </c>
      <c r="BV136" s="881">
        <f>+Wless!CI158</f>
        <v>1.2200000000000001E-2</v>
      </c>
      <c r="BW136" s="881">
        <f>+Wless!CJ158</f>
        <v>1.43E-2</v>
      </c>
      <c r="BX136" s="881">
        <f>+Wless!CK158</f>
        <v>1.47E-2</v>
      </c>
      <c r="BY136" s="880">
        <f>+Wless!CL158</f>
        <v>1.44E-2</v>
      </c>
      <c r="BZ136" s="881">
        <f>+Wless!CM158</f>
        <v>1.34E-2</v>
      </c>
      <c r="CA136" s="881">
        <f>+Wless!CN158</f>
        <v>1.46E-2</v>
      </c>
      <c r="CB136" s="881">
        <f>+Wless!CO158</f>
        <v>1.4E-2</v>
      </c>
      <c r="CC136" s="880">
        <f>+Wless!CP158</f>
        <v>1.4200000000000001E-2</v>
      </c>
      <c r="CD136" s="881">
        <f>+Wless!CQ158</f>
        <v>1.3100000000000001E-2</v>
      </c>
      <c r="CE136" s="881">
        <f>+Wless!CR158</f>
        <v>1.43E-2</v>
      </c>
      <c r="CF136" s="881">
        <f>+Wless!CS158</f>
        <v>1.37E-2</v>
      </c>
      <c r="CG136" s="880">
        <f>+Wless!CT158</f>
        <v>1.3299999999999999E-2</v>
      </c>
      <c r="CH136" s="881">
        <f>+Wless!CU158</f>
        <v>1.2200000000000001E-2</v>
      </c>
      <c r="CI136" s="881">
        <f>+Wless!CV158</f>
        <v>1.26E-2</v>
      </c>
      <c r="CJ136" s="881">
        <f>+Wless!CW158</f>
        <v>1.23E-2</v>
      </c>
      <c r="CK136" s="880">
        <f>+Wless!CX158</f>
        <v>1.24E-2</v>
      </c>
      <c r="CL136" s="881">
        <f>+Wless!CY158</f>
        <v>1.11E-2</v>
      </c>
      <c r="CM136" s="881">
        <f>+Wless!CZ158</f>
        <v>1.18E-2</v>
      </c>
      <c r="CN136" s="881">
        <f>+Wless!DA158</f>
        <v>1.24E-2</v>
      </c>
      <c r="CO136" s="880">
        <f>+Wless!DB158</f>
        <v>1.2999999999999999E-2</v>
      </c>
      <c r="CP136" s="881">
        <f>+Wless!DC158</f>
        <v>1.23E-2</v>
      </c>
      <c r="CQ136" s="881">
        <f>+Wless!DD158</f>
        <v>1.2800000000000001E-2</v>
      </c>
      <c r="CR136" s="881">
        <f>+Wless!DE158</f>
        <v>1.2699999999999999E-2</v>
      </c>
      <c r="CS136" s="880">
        <f>+Wless!DF158</f>
        <v>1.37E-2</v>
      </c>
      <c r="CT136" s="881">
        <f>+Wless!DG158</f>
        <v>1.2500000000000001E-2</v>
      </c>
      <c r="CU136" s="881">
        <f>+Wless!DH158</f>
        <v>1.29E-2</v>
      </c>
      <c r="CV136" s="882">
        <f>+Wless!DI158</f>
        <v>1.3899999999999999E-2</v>
      </c>
      <c r="CW136" s="881">
        <f>+Wless!DJ158</f>
        <v>1.3299999999999999E-2</v>
      </c>
      <c r="CX136" s="881">
        <f>+Wless!DK158</f>
        <v>1.18E-2</v>
      </c>
      <c r="CY136" s="881">
        <f>+Wless!DL158</f>
        <v>1.21E-2</v>
      </c>
      <c r="CZ136" s="882">
        <f>+Wless!DM158</f>
        <v>1.21E-2</v>
      </c>
      <c r="DA136" s="881">
        <f>+Wless!DN158</f>
        <v>1.23E-2</v>
      </c>
      <c r="DB136" s="881">
        <f>+Wless!DO158</f>
        <v>1.1900000000000001E-2</v>
      </c>
      <c r="DC136" s="881">
        <f>+Wless!DP158</f>
        <v>1.2800000000000001E-2</v>
      </c>
      <c r="DD136" s="881">
        <f>+Wless!DQ158</f>
        <v>1.34E-2</v>
      </c>
      <c r="DE136" s="881">
        <f>+Wless!DR158</f>
        <v>1.3899999999999999E-2</v>
      </c>
      <c r="DF136" s="881">
        <f>+Wless!DS158</f>
        <v>1.18E-2</v>
      </c>
      <c r="DG136" s="881">
        <f>+Wless!DT158</f>
        <v>1.1900000000000001E-2</v>
      </c>
      <c r="DH136" s="881">
        <f>+Wless!DU158</f>
        <v>1.24E-2</v>
      </c>
      <c r="DI136" s="881">
        <f>+Wless!DV158</f>
        <v>1.2800000000000001E-2</v>
      </c>
      <c r="DJ136" s="881">
        <f ca="1">+Wless!DW158</f>
        <v>1.1573645464029255E-2</v>
      </c>
      <c r="DK136" s="881">
        <f ca="1">+Wless!DX158</f>
        <v>1.1626902471749355E-2</v>
      </c>
      <c r="DL136" s="881">
        <f ca="1">+Wless!DY158</f>
        <v>1.2060681606274147E-2</v>
      </c>
    </row>
    <row r="137" spans="1:116" s="833" customFormat="1">
      <c r="A137" s="819" t="s">
        <v>791</v>
      </c>
      <c r="B137" s="819"/>
      <c r="C137" s="819"/>
      <c r="J137" s="833">
        <f>+Wless!O265</f>
        <v>0</v>
      </c>
      <c r="K137" s="833">
        <f>+Wless!P265</f>
        <v>0</v>
      </c>
      <c r="L137" s="833">
        <f>+Wless!Q265</f>
        <v>0</v>
      </c>
      <c r="M137" s="833">
        <f>+Wless!R265</f>
        <v>1.0128992788167705E-2</v>
      </c>
      <c r="N137" s="833">
        <f>+Wless!S265</f>
        <v>9.4401392611447033E-3</v>
      </c>
      <c r="O137" s="833">
        <f>+Wless!T265</f>
        <v>9.0828927475654769E-3</v>
      </c>
      <c r="P137" s="833">
        <f>+Wless!U265</f>
        <v>9.6409062932555651E-3</v>
      </c>
      <c r="Q137" s="833">
        <f>+Wless!V265</f>
        <v>1.0321633321765722E-2</v>
      </c>
      <c r="R137" s="833">
        <f>+Wless!W265</f>
        <v>9.5133296102240094E-3</v>
      </c>
      <c r="S137" s="833">
        <f>+Wless!X265</f>
        <v>1.010758879641842E-2</v>
      </c>
      <c r="T137" s="833">
        <f>+Wless!Y265</f>
        <v>1.0097181538811745E-2</v>
      </c>
      <c r="U137" s="833">
        <f ca="1">+Wless!Z265</f>
        <v>9.8481193525604104E-3</v>
      </c>
      <c r="V137" s="881">
        <f ca="1">+Wless!AA265</f>
        <v>9.6481193525604098E-3</v>
      </c>
      <c r="W137" s="881">
        <f ca="1">+Wless!AB265</f>
        <v>9.4481193525604093E-3</v>
      </c>
      <c r="X137" s="881">
        <f ca="1">+Wless!AC265</f>
        <v>9.2481193525604088E-3</v>
      </c>
      <c r="Y137" s="881">
        <f ca="1">+Wless!AD265</f>
        <v>9.0481193525604083E-3</v>
      </c>
      <c r="Z137" s="881">
        <f ca="1">+Wless!AE265</f>
        <v>8.8481193525604077E-3</v>
      </c>
      <c r="AA137" s="881">
        <f ca="1">+Wless!AF265</f>
        <v>8.6481193525604072E-3</v>
      </c>
      <c r="AB137" s="881">
        <f ca="1">+Wless!AG265</f>
        <v>8.4481193525604067E-3</v>
      </c>
      <c r="BM137" s="880">
        <f>+Wless!BZ265</f>
        <v>0</v>
      </c>
      <c r="BN137" s="881">
        <f>+Wless!CA265</f>
        <v>0</v>
      </c>
      <c r="BO137" s="881">
        <f>+Wless!CB265</f>
        <v>0</v>
      </c>
      <c r="BP137" s="881">
        <f>+Wless!CC265</f>
        <v>0</v>
      </c>
      <c r="BQ137" s="880">
        <f>+Wless!CD265</f>
        <v>0</v>
      </c>
      <c r="BR137" s="881">
        <f>+Wless!CE265</f>
        <v>0</v>
      </c>
      <c r="BS137" s="881">
        <f>+Wless!CF265</f>
        <v>0</v>
      </c>
      <c r="BT137" s="881">
        <f>+Wless!CG265</f>
        <v>0</v>
      </c>
      <c r="BU137" s="880">
        <f>+Wless!CH265</f>
        <v>9.9000000000000008E-3</v>
      </c>
      <c r="BV137" s="881">
        <f>+Wless!CI265</f>
        <v>8.8999999999999999E-3</v>
      </c>
      <c r="BW137" s="881">
        <f>+Wless!CJ265</f>
        <v>1.0800000000000001E-2</v>
      </c>
      <c r="BX137" s="881">
        <f>+Wless!CK265</f>
        <v>1.0999999999999999E-2</v>
      </c>
      <c r="BY137" s="880">
        <f>+Wless!CL265</f>
        <v>1.1299999999999999E-2</v>
      </c>
      <c r="BZ137" s="881">
        <f>+Wless!CM265</f>
        <v>0.01</v>
      </c>
      <c r="CA137" s="881">
        <f>+Wless!CN265</f>
        <v>1.12E-2</v>
      </c>
      <c r="CB137" s="881">
        <f>+Wless!CO265</f>
        <v>1.0500000000000001E-2</v>
      </c>
      <c r="CC137" s="880">
        <f>+Wless!CP265</f>
        <v>1.0500000000000001E-2</v>
      </c>
      <c r="CD137" s="881">
        <f>+Wless!CQ265</f>
        <v>9.2999999999999992E-3</v>
      </c>
      <c r="CE137" s="881">
        <f>+Wless!CR265</f>
        <v>1.0699999999999999E-2</v>
      </c>
      <c r="CF137" s="881">
        <f>+Wless!CS265</f>
        <v>1.01E-2</v>
      </c>
      <c r="CG137" s="880">
        <f>+Wless!CT265</f>
        <v>1.01E-2</v>
      </c>
      <c r="CH137" s="881">
        <f>+Wless!CU265</f>
        <v>8.8999999999999999E-3</v>
      </c>
      <c r="CI137" s="881">
        <f>+Wless!CV265</f>
        <v>9.4000000000000004E-3</v>
      </c>
      <c r="CJ137" s="881">
        <f>+Wless!CW265</f>
        <v>9.4000000000000004E-3</v>
      </c>
      <c r="CK137" s="880">
        <f>+Wless!CX265</f>
        <v>9.5999999999999992E-3</v>
      </c>
      <c r="CL137" s="881">
        <f>+Wless!CY265</f>
        <v>8.3999999999999995E-3</v>
      </c>
      <c r="CM137" s="881">
        <f>+Wless!CZ265</f>
        <v>9.1000000000000004E-3</v>
      </c>
      <c r="CN137" s="881">
        <f>+Wless!DA265</f>
        <v>9.4999999999999998E-3</v>
      </c>
      <c r="CO137" s="880">
        <f>+Wless!DB265</f>
        <v>1.01E-2</v>
      </c>
      <c r="CP137" s="881">
        <f>+Wless!DC265</f>
        <v>9.2999999999999992E-3</v>
      </c>
      <c r="CQ137" s="881">
        <f>+Wless!DD265</f>
        <v>9.7000000000000003E-3</v>
      </c>
      <c r="CR137" s="881">
        <f>+Wless!DE265</f>
        <v>9.5999999999999992E-3</v>
      </c>
      <c r="CS137" s="880">
        <f>+Wless!DF265</f>
        <v>1.0699999999999999E-2</v>
      </c>
      <c r="CT137" s="881">
        <f>+Wless!DG265</f>
        <v>9.4000000000000004E-3</v>
      </c>
      <c r="CU137" s="881">
        <f>+Wless!DH265</f>
        <v>0.01</v>
      </c>
      <c r="CV137" s="882">
        <f>+Wless!DI265</f>
        <v>1.14E-2</v>
      </c>
      <c r="CW137" s="881">
        <f>+Wless!DJ265</f>
        <v>1.03E-2</v>
      </c>
      <c r="CX137" s="881">
        <f>+Wless!DK265</f>
        <v>8.9999999999999993E-3</v>
      </c>
      <c r="CY137" s="881">
        <f>+Wless!DL265</f>
        <v>9.2999999999999992E-3</v>
      </c>
      <c r="CZ137" s="882">
        <f>+Wless!DM265</f>
        <v>9.5999999999999992E-3</v>
      </c>
      <c r="DA137" s="881">
        <f>+Wless!DN265</f>
        <v>9.5999999999999992E-3</v>
      </c>
      <c r="DB137" s="881">
        <f>+Wless!DO265</f>
        <v>9.4000000000000004E-3</v>
      </c>
      <c r="DC137" s="881">
        <f>+Wless!DP265</f>
        <v>1.04E-2</v>
      </c>
      <c r="DD137" s="881">
        <f>+Wless!DQ265</f>
        <v>1.0999999999999999E-2</v>
      </c>
      <c r="DE137" s="881">
        <f>+Wless!DR265</f>
        <v>1.15E-2</v>
      </c>
      <c r="DF137" s="881">
        <f>+Wless!DS265</f>
        <v>9.4000000000000004E-3</v>
      </c>
      <c r="DG137" s="881">
        <f>+Wless!DT265</f>
        <v>9.7000000000000003E-3</v>
      </c>
      <c r="DH137" s="881">
        <f>+Wless!DU265</f>
        <v>0.01</v>
      </c>
      <c r="DI137" s="881">
        <f>+Wless!DV265</f>
        <v>1.04E-2</v>
      </c>
      <c r="DJ137" s="881">
        <f>+Wless!DW265</f>
        <v>9.4000000000000004E-3</v>
      </c>
      <c r="DK137" s="881">
        <f>+Wless!DX265</f>
        <v>9.7000000000000003E-3</v>
      </c>
      <c r="DL137" s="881">
        <f>+Wless!DY265</f>
        <v>0.01</v>
      </c>
    </row>
    <row r="138" spans="1:116" s="833" customFormat="1">
      <c r="A138" s="819" t="s">
        <v>792</v>
      </c>
      <c r="B138" s="819"/>
      <c r="C138" s="819"/>
      <c r="J138" s="833">
        <f>+Wless!O294</f>
        <v>0</v>
      </c>
      <c r="K138" s="833">
        <f>+Wless!P294</f>
        <v>0</v>
      </c>
      <c r="L138" s="833">
        <f>+Wless!Q294</f>
        <v>0</v>
      </c>
      <c r="M138" s="833">
        <f ca="1">+Wless!R294</f>
        <v>7.780767094017095E-2</v>
      </c>
      <c r="N138" s="833">
        <f>+Wless!S294</f>
        <v>7.0637425231103876E-2</v>
      </c>
      <c r="O138" s="833">
        <f>+Wless!T294</f>
        <v>5.9287973295183594E-2</v>
      </c>
      <c r="P138" s="833">
        <f>+Wless!U294</f>
        <v>6.1260398399591402E-2</v>
      </c>
      <c r="Q138" s="833">
        <f>+Wless!V294</f>
        <v>5.9804645291074814E-2</v>
      </c>
      <c r="R138" s="833">
        <f>+Wless!W294</f>
        <v>6.150789574795084E-2</v>
      </c>
      <c r="S138" s="833">
        <f>+Wless!X294</f>
        <v>6.1250575859254558E-2</v>
      </c>
      <c r="T138" s="833">
        <f>+Wless!Y294</f>
        <v>5.9940237327188929E-2</v>
      </c>
      <c r="U138" s="833">
        <f ca="1">+Wless!Z294</f>
        <v>5.9515500750147228E-2</v>
      </c>
      <c r="V138" s="881">
        <f ca="1">+Wless!AA294</f>
        <v>5.9515500750147228E-2</v>
      </c>
      <c r="W138" s="881">
        <f ca="1">+Wless!AB294</f>
        <v>5.9515500750147228E-2</v>
      </c>
      <c r="X138" s="881">
        <f ca="1">+Wless!AC294</f>
        <v>5.9515500750147228E-2</v>
      </c>
      <c r="Y138" s="881">
        <f ca="1">+Wless!AD294</f>
        <v>5.9515500750147228E-2</v>
      </c>
      <c r="Z138" s="881">
        <f ca="1">+Wless!AE294</f>
        <v>5.9515500750147228E-2</v>
      </c>
      <c r="AA138" s="881">
        <f ca="1">+Wless!AF294</f>
        <v>5.9515500750147228E-2</v>
      </c>
      <c r="AB138" s="881">
        <f ca="1">+Wless!AG294</f>
        <v>5.9515500750147228E-2</v>
      </c>
      <c r="BM138" s="880">
        <f>+Wless!BZ294</f>
        <v>0</v>
      </c>
      <c r="BN138" s="881">
        <f>+Wless!CA294</f>
        <v>0</v>
      </c>
      <c r="BO138" s="881">
        <f>+Wless!CB294</f>
        <v>0</v>
      </c>
      <c r="BP138" s="881">
        <f>+Wless!CC294</f>
        <v>0</v>
      </c>
      <c r="BQ138" s="880">
        <f>+Wless!CD294</f>
        <v>0</v>
      </c>
      <c r="BR138" s="881">
        <f>+Wless!CE294</f>
        <v>0</v>
      </c>
      <c r="BS138" s="881">
        <f>+Wless!CF294</f>
        <v>0</v>
      </c>
      <c r="BT138" s="881">
        <f>+Wless!CG294</f>
        <v>0</v>
      </c>
      <c r="BU138" s="880">
        <f>+Wless!CH294</f>
        <v>6.0655355150867091E-2</v>
      </c>
      <c r="BV138" s="881">
        <f>+Wless!CI294</f>
        <v>6.8316396545605146E-2</v>
      </c>
      <c r="BW138" s="881">
        <f>+Wless!CJ294</f>
        <v>7.3837474096246816E-2</v>
      </c>
      <c r="BX138" s="881">
        <f>+Wless!CK294</f>
        <v>7.7273140495867781E-2</v>
      </c>
      <c r="BY138" s="880">
        <f>+Wless!CL294</f>
        <v>6.5187606564364883E-2</v>
      </c>
      <c r="BZ138" s="881">
        <f>+Wless!CM294</f>
        <v>6.7975553952385845E-2</v>
      </c>
      <c r="CA138" s="881">
        <f ca="1">+Wless!CN294</f>
        <v>6.9480744833230995E-2</v>
      </c>
      <c r="CB138" s="881">
        <f ca="1">+Wless!CO294</f>
        <v>7.0822484005280781E-2</v>
      </c>
      <c r="CC138" s="880">
        <f>+Wless!CP294</f>
        <v>7.5433046242181903E-2</v>
      </c>
      <c r="CD138" s="881">
        <f>+Wless!CQ294</f>
        <v>7.8743525409313245E-2</v>
      </c>
      <c r="CE138" s="881">
        <f ca="1">+Wless!CR294</f>
        <v>7.925462555066079E-2</v>
      </c>
      <c r="CF138" s="881">
        <f ca="1">+Wless!CS294</f>
        <v>8.0693946213570386E-2</v>
      </c>
      <c r="CG138" s="880">
        <f>+Wless!CT294</f>
        <v>7.4132389400659623E-2</v>
      </c>
      <c r="CH138" s="881">
        <f>+Wless!CU294</f>
        <v>7.5493985047575929E-2</v>
      </c>
      <c r="CI138" s="881">
        <f>+Wless!CV294</f>
        <v>7.3714724883047436E-2</v>
      </c>
      <c r="CJ138" s="881">
        <f>+Wless!CW294</f>
        <v>6.6315378836660263E-2</v>
      </c>
      <c r="CK138" s="880">
        <f>+Wless!CX294</f>
        <v>6.2447502548419978E-2</v>
      </c>
      <c r="CL138" s="881">
        <f>+Wless!CY294</f>
        <v>5.7262140992167108E-2</v>
      </c>
      <c r="CM138" s="881">
        <f>+Wless!CZ294</f>
        <v>5.6346395359543305E-2</v>
      </c>
      <c r="CN138" s="881">
        <f>+Wless!DA294</f>
        <v>5.9564393063583826E-2</v>
      </c>
      <c r="CO138" s="880">
        <f>+Wless!DB294</f>
        <v>6.0061901433065376E-2</v>
      </c>
      <c r="CP138" s="881">
        <f>+Wless!DC294</f>
        <v>6.0792799862033287E-2</v>
      </c>
      <c r="CQ138" s="881">
        <f>+Wless!DD294</f>
        <v>6.2496530715857181E-2</v>
      </c>
      <c r="CR138" s="881">
        <f>+Wless!DE294</f>
        <v>6.2234190809190834E-2</v>
      </c>
      <c r="CS138" s="880">
        <f>+Wless!DF294</f>
        <v>6.1789474553866505E-2</v>
      </c>
      <c r="CT138" s="881">
        <f>+Wless!DG294</f>
        <v>6.2676398644740131E-2</v>
      </c>
      <c r="CU138" s="881">
        <f>+Wless!DH294</f>
        <v>6.0533165247582031E-2</v>
      </c>
      <c r="CV138" s="882">
        <f>+Wless!DI294</f>
        <v>5.5381739844070563E-2</v>
      </c>
      <c r="CW138" s="881">
        <f>+Wless!DJ294</f>
        <v>6.4152695205763027E-2</v>
      </c>
      <c r="CX138" s="881">
        <f>+Wless!DK294</f>
        <v>6.0926883183132122E-2</v>
      </c>
      <c r="CY138" s="881">
        <f>+Wless!DL294</f>
        <v>6.2689510126363188E-2</v>
      </c>
      <c r="CZ138" s="882">
        <f>+Wless!DM294</f>
        <v>5.8833012282407018E-2</v>
      </c>
      <c r="DA138" s="881">
        <f>+Wless!DN294</f>
        <v>6.4839364414496461E-2</v>
      </c>
      <c r="DB138" s="881">
        <f>+Wless!DO294</f>
        <v>6.1767993689680764E-2</v>
      </c>
      <c r="DC138" s="881">
        <f>+Wless!DP294</f>
        <v>6.0667036011080339E-2</v>
      </c>
      <c r="DD138" s="881">
        <f>+Wless!DQ294</f>
        <v>6.1170191690360462E-2</v>
      </c>
      <c r="DE138" s="881">
        <f>+Wless!DR294</f>
        <v>6.1842410591155673E-2</v>
      </c>
      <c r="DF138" s="881">
        <f>+Wless!DS294</f>
        <v>5.9802426916712614E-2</v>
      </c>
      <c r="DG138" s="881">
        <f>+Wless!DT294</f>
        <v>5.5512069590431298E-2</v>
      </c>
      <c r="DH138" s="881">
        <f>+Wless!DU294</f>
        <v>6.0557219543262646E-2</v>
      </c>
      <c r="DI138" s="881">
        <f>+Wless!DV294</f>
        <v>6.3676057683124829E-2</v>
      </c>
      <c r="DJ138" s="881">
        <f>+Wless!DW294</f>
        <v>6.0302426916712615E-2</v>
      </c>
      <c r="DK138" s="881">
        <f>+Wless!DX294</f>
        <v>5.6012069590431299E-2</v>
      </c>
      <c r="DL138" s="881">
        <f>+Wless!DY294</f>
        <v>6.1057219543262646E-2</v>
      </c>
    </row>
    <row r="139" spans="1:116" s="808" customFormat="1">
      <c r="A139" s="812"/>
      <c r="B139" s="812"/>
      <c r="C139" s="812"/>
      <c r="V139" s="863"/>
      <c r="W139" s="863"/>
      <c r="X139" s="863"/>
      <c r="Y139" s="863"/>
      <c r="Z139" s="863"/>
      <c r="AA139" s="863"/>
      <c r="AB139" s="863"/>
      <c r="BM139" s="862"/>
      <c r="BN139" s="863"/>
      <c r="BO139" s="863"/>
      <c r="BP139" s="863"/>
      <c r="BQ139" s="862"/>
      <c r="BR139" s="863"/>
      <c r="BS139" s="863"/>
      <c r="BT139" s="863"/>
      <c r="BU139" s="862"/>
      <c r="BV139" s="863"/>
      <c r="BW139" s="863"/>
      <c r="BX139" s="863"/>
      <c r="BY139" s="862"/>
      <c r="BZ139" s="863"/>
      <c r="CA139" s="863"/>
      <c r="CB139" s="863"/>
      <c r="CC139" s="862"/>
      <c r="CD139" s="863"/>
      <c r="CE139" s="863"/>
      <c r="CF139" s="863"/>
      <c r="CG139" s="862"/>
      <c r="CH139" s="863"/>
      <c r="CI139" s="863"/>
      <c r="CJ139" s="863"/>
      <c r="CK139" s="862"/>
      <c r="CL139" s="863"/>
      <c r="CM139" s="863"/>
      <c r="CN139" s="863"/>
      <c r="CO139" s="862"/>
      <c r="CP139" s="863"/>
      <c r="CQ139" s="863"/>
      <c r="CR139" s="863"/>
      <c r="CS139" s="862"/>
      <c r="CT139" s="863"/>
      <c r="CU139" s="863"/>
      <c r="CV139" s="864"/>
      <c r="CW139" s="863"/>
      <c r="CX139" s="863"/>
      <c r="CY139" s="863"/>
      <c r="CZ139" s="864"/>
      <c r="DA139" s="863"/>
      <c r="DB139" s="863"/>
      <c r="DC139" s="863"/>
      <c r="DD139" s="863"/>
      <c r="DE139" s="863"/>
      <c r="DF139" s="863"/>
      <c r="DG139" s="863"/>
      <c r="DH139" s="863"/>
      <c r="DI139" s="863"/>
      <c r="DJ139" s="863"/>
      <c r="DK139" s="863"/>
      <c r="DL139" s="863"/>
    </row>
    <row r="140" spans="1:116" s="808" customFormat="1">
      <c r="A140" s="812"/>
      <c r="B140" s="812"/>
      <c r="C140" s="812"/>
      <c r="V140" s="863"/>
      <c r="W140" s="863"/>
      <c r="X140" s="863"/>
      <c r="Y140" s="863"/>
      <c r="Z140" s="863"/>
      <c r="AA140" s="863"/>
      <c r="AB140" s="863"/>
      <c r="BM140" s="862"/>
      <c r="BN140" s="863"/>
      <c r="BO140" s="863"/>
      <c r="BP140" s="863"/>
      <c r="BQ140" s="862"/>
      <c r="BR140" s="863"/>
      <c r="BS140" s="863"/>
      <c r="BT140" s="863"/>
      <c r="BU140" s="862"/>
      <c r="BV140" s="863"/>
      <c r="BW140" s="863"/>
      <c r="BX140" s="863"/>
      <c r="BY140" s="862"/>
      <c r="BZ140" s="863"/>
      <c r="CA140" s="863"/>
      <c r="CB140" s="863"/>
      <c r="CC140" s="862"/>
      <c r="CD140" s="863"/>
      <c r="CE140" s="863"/>
      <c r="CF140" s="863"/>
      <c r="CG140" s="862"/>
      <c r="CH140" s="863"/>
      <c r="CI140" s="863"/>
      <c r="CJ140" s="863"/>
      <c r="CK140" s="862"/>
      <c r="CL140" s="863"/>
      <c r="CM140" s="863"/>
      <c r="CN140" s="863"/>
      <c r="CO140" s="862"/>
      <c r="CP140" s="863"/>
      <c r="CQ140" s="863"/>
      <c r="CR140" s="863"/>
      <c r="CS140" s="862"/>
      <c r="CT140" s="863"/>
      <c r="CU140" s="863"/>
      <c r="CV140" s="864"/>
      <c r="CW140" s="863"/>
      <c r="CX140" s="863"/>
      <c r="CY140" s="863"/>
      <c r="CZ140" s="864"/>
      <c r="DA140" s="863"/>
      <c r="DB140" s="863"/>
      <c r="DC140" s="863"/>
      <c r="DD140" s="863"/>
      <c r="DE140" s="863"/>
      <c r="DF140" s="863"/>
      <c r="DG140" s="863"/>
      <c r="DH140" s="863"/>
      <c r="DI140" s="863"/>
      <c r="DJ140" s="863"/>
      <c r="DK140" s="863"/>
      <c r="DL140" s="863"/>
    </row>
    <row r="141" spans="1:116" s="808" customFormat="1">
      <c r="A141" s="800" t="s">
        <v>1652</v>
      </c>
      <c r="B141" s="812"/>
      <c r="C141" s="812"/>
      <c r="P141" s="808">
        <f>Wless!U286</f>
        <v>6047</v>
      </c>
      <c r="Q141" s="808">
        <f>Wless!V286</f>
        <v>6132</v>
      </c>
      <c r="R141" s="808">
        <f>Wless!W286</f>
        <v>5580</v>
      </c>
      <c r="S141" s="808">
        <f>Wless!X286</f>
        <v>5447</v>
      </c>
      <c r="T141" s="808">
        <f>Wless!Y286</f>
        <v>5403</v>
      </c>
      <c r="U141" s="808">
        <f ca="1">Wless!Z286</f>
        <v>4627.5923579691835</v>
      </c>
      <c r="V141" s="808">
        <f ca="1">Wless!AA286</f>
        <v>4218.8923425792455</v>
      </c>
      <c r="W141" s="808">
        <f ca="1">Wless!AB286</f>
        <v>3984.7429853775589</v>
      </c>
      <c r="X141" s="808">
        <f ca="1">Wless!AC286</f>
        <v>3834.0956180591074</v>
      </c>
      <c r="Y141" s="808">
        <f ca="1">Wless!AD286</f>
        <v>3723.8007820884422</v>
      </c>
      <c r="Z141" s="808">
        <f ca="1">Wless!AE286</f>
        <v>3633.4010356072667</v>
      </c>
      <c r="AA141" s="808">
        <f ca="1">Wless!AF286</f>
        <v>3553.1893329830159</v>
      </c>
      <c r="AB141" s="808">
        <f ca="1">Wless!AG286</f>
        <v>3478.5518149305726</v>
      </c>
      <c r="BM141" s="862"/>
      <c r="BN141" s="863"/>
      <c r="BO141" s="863"/>
      <c r="BP141" s="863"/>
      <c r="BQ141" s="862"/>
      <c r="BR141" s="863"/>
      <c r="BS141" s="863"/>
      <c r="BT141" s="863"/>
      <c r="BU141" s="862"/>
      <c r="BV141" s="863"/>
      <c r="BW141" s="863"/>
      <c r="BX141" s="863"/>
      <c r="BY141" s="862">
        <f>Wless!CL286</f>
        <v>4826</v>
      </c>
      <c r="BZ141" s="863">
        <f>Wless!CM286</f>
        <v>4877</v>
      </c>
      <c r="CA141" s="863">
        <f>Wless!CN286</f>
        <v>4897</v>
      </c>
      <c r="CB141" s="863">
        <f>Wless!CO286</f>
        <v>4950</v>
      </c>
      <c r="CC141" s="862">
        <f>Wless!CP286</f>
        <v>4803</v>
      </c>
      <c r="CD141" s="863">
        <f>Wless!CQ286</f>
        <v>4603</v>
      </c>
      <c r="CE141" s="863">
        <f>Wless!CR286</f>
        <v>4477</v>
      </c>
      <c r="CF141" s="863">
        <f>Wless!CS286</f>
        <v>4410</v>
      </c>
      <c r="CG141" s="862">
        <f>Wless!CT286</f>
        <v>4383</v>
      </c>
      <c r="CH141" s="863">
        <f>Wless!CU286</f>
        <v>4445</v>
      </c>
      <c r="CI141" s="863">
        <f>Wless!CV286</f>
        <v>4533</v>
      </c>
      <c r="CJ141" s="863">
        <f>Wless!CW286</f>
        <v>4785</v>
      </c>
      <c r="CK141" s="862">
        <f>Wless!CX286</f>
        <v>5025</v>
      </c>
      <c r="CL141" s="863">
        <f>Wless!CY286</f>
        <v>5316</v>
      </c>
      <c r="CM141" s="863">
        <f>Wless!CZ286</f>
        <v>5545</v>
      </c>
      <c r="CN141" s="863">
        <f>Wless!DA286</f>
        <v>5700</v>
      </c>
      <c r="CO141" s="862">
        <f>Wless!DB286</f>
        <v>5744</v>
      </c>
      <c r="CP141" s="863">
        <f>Wless!DC286</f>
        <v>5853</v>
      </c>
      <c r="CQ141" s="863">
        <f>Wless!DD286</f>
        <v>5965</v>
      </c>
      <c r="CR141" s="863">
        <f>Wless!DE286</f>
        <v>6047</v>
      </c>
      <c r="CS141" s="862">
        <f>Wless!DF286</f>
        <v>6057</v>
      </c>
      <c r="CT141" s="863">
        <f>Wless!DG286</f>
        <v>6044</v>
      </c>
      <c r="CU141" s="863">
        <f>Wless!DH286</f>
        <v>6053</v>
      </c>
      <c r="CV141" s="864">
        <f>Wless!DI286</f>
        <v>6132</v>
      </c>
      <c r="CW141" s="863">
        <f>Wless!DJ286</f>
        <v>5945</v>
      </c>
      <c r="CX141" s="863">
        <f>Wless!DK286</f>
        <v>5817</v>
      </c>
      <c r="CY141" s="863">
        <f>Wless!DL286</f>
        <v>5737</v>
      </c>
      <c r="CZ141" s="864">
        <f>Wless!DM286</f>
        <v>5580</v>
      </c>
      <c r="DA141" s="863">
        <f>Wless!DN286</f>
        <v>5402</v>
      </c>
      <c r="DB141" s="863">
        <f>Wless!DO286</f>
        <v>5374</v>
      </c>
      <c r="DC141" s="863">
        <f>Wless!DP286</f>
        <v>5456</v>
      </c>
      <c r="DD141" s="863">
        <f>Wless!DQ286</f>
        <v>5447</v>
      </c>
      <c r="DE141" s="863">
        <f>Wless!DR286</f>
        <v>5430</v>
      </c>
      <c r="DF141" s="863">
        <f>Wless!DS286</f>
        <v>5448</v>
      </c>
      <c r="DG141" s="863">
        <f>Wless!DT286</f>
        <v>5588</v>
      </c>
      <c r="DH141" s="863">
        <f>Wless!DU286</f>
        <v>5403</v>
      </c>
      <c r="DI141" s="863">
        <f>Wless!DV286</f>
        <v>5068</v>
      </c>
      <c r="DJ141" s="863">
        <f ca="1">Wless!DW286</f>
        <v>4865.8082234052035</v>
      </c>
      <c r="DK141" s="863">
        <f ca="1">Wless!DX286</f>
        <v>4843.5098260155264</v>
      </c>
      <c r="DL141" s="863">
        <f ca="1">Wless!DY286</f>
        <v>4627.5923579691835</v>
      </c>
    </row>
    <row r="142" spans="1:116" s="808" customFormat="1">
      <c r="A142" s="812"/>
      <c r="B142" s="812"/>
      <c r="C142" s="812"/>
      <c r="V142" s="863"/>
      <c r="W142" s="863"/>
      <c r="X142" s="863"/>
      <c r="Y142" s="863"/>
      <c r="Z142" s="863"/>
      <c r="AA142" s="863"/>
      <c r="AB142" s="863"/>
      <c r="BM142" s="862"/>
      <c r="BN142" s="863"/>
      <c r="BO142" s="863"/>
      <c r="BP142" s="863"/>
      <c r="BQ142" s="862"/>
      <c r="BR142" s="863"/>
      <c r="BS142" s="863"/>
      <c r="BT142" s="863"/>
      <c r="BU142" s="862"/>
      <c r="BV142" s="863"/>
      <c r="BW142" s="863"/>
      <c r="BX142" s="863"/>
      <c r="BY142" s="862"/>
      <c r="BZ142" s="863"/>
      <c r="CA142" s="863"/>
      <c r="CB142" s="863"/>
      <c r="CC142" s="862"/>
      <c r="CD142" s="863"/>
      <c r="CE142" s="863"/>
      <c r="CF142" s="863"/>
      <c r="CG142" s="862"/>
      <c r="CH142" s="863"/>
      <c r="CI142" s="863"/>
      <c r="CJ142" s="863"/>
      <c r="CK142" s="862"/>
      <c r="CL142" s="863"/>
      <c r="CM142" s="863"/>
      <c r="CN142" s="863"/>
      <c r="CO142" s="862"/>
      <c r="CP142" s="863"/>
      <c r="CQ142" s="863"/>
      <c r="CR142" s="863"/>
      <c r="CS142" s="862"/>
      <c r="CT142" s="863"/>
      <c r="CU142" s="863"/>
      <c r="CV142" s="864"/>
      <c r="CW142" s="863"/>
      <c r="CX142" s="863"/>
      <c r="CY142" s="863"/>
      <c r="CZ142" s="864"/>
      <c r="DA142" s="863"/>
      <c r="DB142" s="863"/>
      <c r="DC142" s="863"/>
      <c r="DD142" s="863"/>
      <c r="DE142" s="863"/>
      <c r="DF142" s="863"/>
      <c r="DG142" s="863"/>
      <c r="DH142" s="863"/>
      <c r="DI142" s="863"/>
      <c r="DJ142" s="863"/>
      <c r="DK142" s="863"/>
      <c r="DL142" s="863"/>
    </row>
    <row r="143" spans="1:116" s="808" customFormat="1">
      <c r="A143" s="812"/>
      <c r="B143" s="812"/>
      <c r="C143" s="812"/>
      <c r="V143" s="863"/>
      <c r="W143" s="863"/>
      <c r="X143" s="863"/>
      <c r="Y143" s="863"/>
      <c r="Z143" s="863"/>
      <c r="AA143" s="863"/>
      <c r="AB143" s="863"/>
      <c r="BM143" s="862"/>
      <c r="BN143" s="863"/>
      <c r="BO143" s="863"/>
      <c r="BP143" s="863"/>
      <c r="BQ143" s="862"/>
      <c r="BR143" s="863"/>
      <c r="BS143" s="863"/>
      <c r="BT143" s="863"/>
      <c r="BU143" s="862"/>
      <c r="BV143" s="863"/>
      <c r="BW143" s="863"/>
      <c r="BX143" s="863"/>
      <c r="BY143" s="862"/>
      <c r="BZ143" s="863"/>
      <c r="CA143" s="863"/>
      <c r="CB143" s="863"/>
      <c r="CC143" s="862"/>
      <c r="CD143" s="863"/>
      <c r="CE143" s="863"/>
      <c r="CF143" s="863"/>
      <c r="CG143" s="862"/>
      <c r="CH143" s="863"/>
      <c r="CI143" s="863"/>
      <c r="CJ143" s="863"/>
      <c r="CK143" s="862"/>
      <c r="CL143" s="863"/>
      <c r="CM143" s="863"/>
      <c r="CN143" s="863"/>
      <c r="CO143" s="862"/>
      <c r="CP143" s="863"/>
      <c r="CQ143" s="863"/>
      <c r="CR143" s="863"/>
      <c r="CS143" s="862"/>
      <c r="CT143" s="863"/>
      <c r="CU143" s="863"/>
      <c r="CV143" s="864"/>
      <c r="CW143" s="863"/>
      <c r="CX143" s="863"/>
      <c r="CY143" s="863"/>
      <c r="CZ143" s="864"/>
      <c r="DA143" s="863"/>
      <c r="DB143" s="863"/>
      <c r="DC143" s="863"/>
      <c r="DD143" s="863"/>
      <c r="DE143" s="863"/>
      <c r="DF143" s="863"/>
      <c r="DG143" s="863"/>
      <c r="DH143" s="863"/>
      <c r="DI143" s="863"/>
      <c r="DJ143" s="863"/>
      <c r="DK143" s="863"/>
      <c r="DL143" s="863"/>
    </row>
    <row r="144" spans="1:116" s="808" customFormat="1">
      <c r="A144" s="812"/>
      <c r="B144" s="812"/>
      <c r="C144" s="812"/>
      <c r="V144" s="863"/>
      <c r="W144" s="863"/>
      <c r="X144" s="863"/>
      <c r="Y144" s="863"/>
      <c r="Z144" s="863"/>
      <c r="AA144" s="863"/>
      <c r="AB144" s="863"/>
      <c r="BM144" s="862"/>
      <c r="BN144" s="863"/>
      <c r="BO144" s="863"/>
      <c r="BP144" s="863"/>
      <c r="BQ144" s="862"/>
      <c r="BR144" s="863"/>
      <c r="BS144" s="863"/>
      <c r="BT144" s="863"/>
      <c r="BU144" s="862"/>
      <c r="BV144" s="863"/>
      <c r="BW144" s="863"/>
      <c r="BX144" s="863"/>
      <c r="BY144" s="862"/>
      <c r="BZ144" s="863"/>
      <c r="CA144" s="863"/>
      <c r="CB144" s="863"/>
      <c r="CC144" s="862"/>
      <c r="CD144" s="863"/>
      <c r="CE144" s="863"/>
      <c r="CF144" s="863"/>
      <c r="CG144" s="862"/>
      <c r="CH144" s="863"/>
      <c r="CI144" s="863"/>
      <c r="CJ144" s="863"/>
      <c r="CK144" s="862"/>
      <c r="CL144" s="863"/>
      <c r="CM144" s="863"/>
      <c r="CN144" s="863"/>
      <c r="CO144" s="862"/>
      <c r="CP144" s="863"/>
      <c r="CQ144" s="863"/>
      <c r="CR144" s="863"/>
      <c r="CS144" s="862"/>
      <c r="CT144" s="863"/>
      <c r="CU144" s="863"/>
      <c r="CV144" s="864"/>
      <c r="CW144" s="863"/>
      <c r="CX144" s="863"/>
      <c r="CY144" s="863"/>
      <c r="CZ144" s="864"/>
      <c r="DA144" s="863"/>
      <c r="DB144" s="863"/>
      <c r="DC144" s="863"/>
      <c r="DD144" s="863"/>
      <c r="DE144" s="863"/>
      <c r="DF144" s="863"/>
      <c r="DG144" s="863"/>
      <c r="DH144" s="863"/>
      <c r="DI144" s="863"/>
      <c r="DJ144" s="863"/>
      <c r="DK144" s="863"/>
      <c r="DL144" s="863"/>
    </row>
    <row r="145" spans="1:116" s="808" customFormat="1">
      <c r="A145" s="812"/>
      <c r="B145" s="812"/>
      <c r="C145" s="812"/>
      <c r="V145" s="863"/>
      <c r="W145" s="863"/>
      <c r="X145" s="863"/>
      <c r="Y145" s="863"/>
      <c r="Z145" s="863"/>
      <c r="AA145" s="863"/>
      <c r="AB145" s="863"/>
      <c r="BM145" s="862"/>
      <c r="BN145" s="863"/>
      <c r="BO145" s="863"/>
      <c r="BP145" s="863"/>
      <c r="BQ145" s="862"/>
      <c r="BR145" s="863"/>
      <c r="BS145" s="863"/>
      <c r="BT145" s="863"/>
      <c r="BU145" s="862"/>
      <c r="BV145" s="863"/>
      <c r="BW145" s="863"/>
      <c r="BX145" s="863"/>
      <c r="BY145" s="862"/>
      <c r="BZ145" s="863"/>
      <c r="CA145" s="863"/>
      <c r="CB145" s="863"/>
      <c r="CC145" s="862"/>
      <c r="CD145" s="863"/>
      <c r="CE145" s="863"/>
      <c r="CF145" s="863"/>
      <c r="CG145" s="862"/>
      <c r="CH145" s="863"/>
      <c r="CI145" s="863"/>
      <c r="CJ145" s="863"/>
      <c r="CK145" s="862"/>
      <c r="CL145" s="863"/>
      <c r="CM145" s="863"/>
      <c r="CN145" s="863"/>
      <c r="CO145" s="862"/>
      <c r="CP145" s="863"/>
      <c r="CQ145" s="863"/>
      <c r="CR145" s="863"/>
      <c r="CS145" s="862"/>
      <c r="CT145" s="863"/>
      <c r="CU145" s="863"/>
      <c r="CV145" s="864"/>
      <c r="CW145" s="863"/>
      <c r="CX145" s="863"/>
      <c r="CY145" s="863"/>
      <c r="CZ145" s="864"/>
      <c r="DA145" s="863"/>
      <c r="DB145" s="863"/>
      <c r="DC145" s="863"/>
      <c r="DD145" s="863"/>
      <c r="DE145" s="863"/>
      <c r="DF145" s="863"/>
      <c r="DG145" s="863"/>
      <c r="DH145" s="863"/>
      <c r="DI145" s="863"/>
      <c r="DJ145" s="863"/>
      <c r="DK145" s="863"/>
      <c r="DL145" s="863"/>
    </row>
    <row r="146" spans="1:116" s="808" customFormat="1">
      <c r="A146" s="812"/>
      <c r="B146" s="812"/>
      <c r="C146" s="812"/>
      <c r="V146" s="863"/>
      <c r="W146" s="863"/>
      <c r="X146" s="863"/>
      <c r="Y146" s="863"/>
      <c r="Z146" s="863"/>
      <c r="AA146" s="863"/>
      <c r="AB146" s="863"/>
      <c r="BM146" s="862"/>
      <c r="BN146" s="863"/>
      <c r="BO146" s="863"/>
      <c r="BP146" s="863"/>
      <c r="BQ146" s="862"/>
      <c r="BR146" s="863"/>
      <c r="BS146" s="863"/>
      <c r="BT146" s="863"/>
      <c r="BU146" s="862"/>
      <c r="BV146" s="863"/>
      <c r="BW146" s="863"/>
      <c r="BX146" s="863"/>
      <c r="BY146" s="862"/>
      <c r="BZ146" s="863"/>
      <c r="CA146" s="863"/>
      <c r="CB146" s="863"/>
      <c r="CC146" s="862"/>
      <c r="CD146" s="863"/>
      <c r="CE146" s="863"/>
      <c r="CF146" s="863"/>
      <c r="CG146" s="862"/>
      <c r="CH146" s="863"/>
      <c r="CI146" s="863"/>
      <c r="CJ146" s="863"/>
      <c r="CK146" s="862"/>
      <c r="CL146" s="863"/>
      <c r="CM146" s="863"/>
      <c r="CN146" s="863"/>
      <c r="CO146" s="862"/>
      <c r="CP146" s="863"/>
      <c r="CQ146" s="863"/>
      <c r="CR146" s="863"/>
      <c r="CS146" s="862"/>
      <c r="CT146" s="863"/>
      <c r="CU146" s="863"/>
      <c r="CV146" s="864"/>
      <c r="CW146" s="863"/>
      <c r="CX146" s="863"/>
      <c r="CY146" s="863"/>
      <c r="CZ146" s="864"/>
      <c r="DA146" s="863"/>
      <c r="DB146" s="863"/>
      <c r="DC146" s="863"/>
      <c r="DD146" s="863"/>
      <c r="DE146" s="863"/>
      <c r="DF146" s="863"/>
      <c r="DG146" s="863"/>
      <c r="DH146" s="863"/>
      <c r="DI146" s="863"/>
      <c r="DJ146" s="863"/>
      <c r="DK146" s="863"/>
      <c r="DL146" s="863"/>
    </row>
    <row r="147" spans="1:116" s="808" customFormat="1">
      <c r="A147" s="812"/>
      <c r="B147" s="812"/>
      <c r="C147" s="812"/>
      <c r="V147" s="863"/>
      <c r="W147" s="863"/>
      <c r="X147" s="863"/>
      <c r="Y147" s="863"/>
      <c r="Z147" s="863"/>
      <c r="AA147" s="863"/>
      <c r="AB147" s="863"/>
      <c r="BM147" s="862"/>
      <c r="BN147" s="863"/>
      <c r="BO147" s="863"/>
      <c r="BP147" s="863"/>
      <c r="BQ147" s="862"/>
      <c r="BR147" s="863"/>
      <c r="BS147" s="863"/>
      <c r="BT147" s="863"/>
      <c r="BU147" s="862"/>
      <c r="BV147" s="863"/>
      <c r="BW147" s="863"/>
      <c r="BX147" s="863"/>
      <c r="BY147" s="862"/>
      <c r="BZ147" s="863"/>
      <c r="CA147" s="863"/>
      <c r="CB147" s="863"/>
      <c r="CC147" s="862"/>
      <c r="CD147" s="863"/>
      <c r="CE147" s="863"/>
      <c r="CF147" s="863"/>
      <c r="CG147" s="862"/>
      <c r="CH147" s="863"/>
      <c r="CI147" s="863"/>
      <c r="CJ147" s="863"/>
      <c r="CK147" s="862"/>
      <c r="CL147" s="863"/>
      <c r="CM147" s="863"/>
      <c r="CN147" s="863"/>
      <c r="CO147" s="862"/>
      <c r="CP147" s="863"/>
      <c r="CQ147" s="863"/>
      <c r="CR147" s="863"/>
      <c r="CS147" s="862"/>
      <c r="CT147" s="863"/>
      <c r="CU147" s="863"/>
      <c r="CV147" s="864"/>
      <c r="CW147" s="863"/>
      <c r="CX147" s="863"/>
      <c r="CY147" s="863"/>
      <c r="CZ147" s="864"/>
      <c r="DA147" s="863"/>
      <c r="DB147" s="863"/>
      <c r="DC147" s="863"/>
      <c r="DD147" s="863"/>
      <c r="DE147" s="863"/>
      <c r="DF147" s="863"/>
      <c r="DG147" s="863"/>
      <c r="DH147" s="863"/>
      <c r="DI147" s="863"/>
      <c r="DJ147" s="863"/>
      <c r="DK147" s="863"/>
      <c r="DL147" s="863"/>
    </row>
    <row r="148" spans="1:116" s="832" customFormat="1">
      <c r="A148" s="821" t="s">
        <v>793</v>
      </c>
      <c r="B148" s="821"/>
      <c r="C148" s="821"/>
      <c r="J148" s="832">
        <f>+Wireline!O76</f>
        <v>-7.5751454427924747E-3</v>
      </c>
      <c r="K148" s="832">
        <f>+Wireline!P76</f>
        <v>-1.862443770481792E-2</v>
      </c>
      <c r="L148" s="832" t="str">
        <f>+Wireline!Q76</f>
        <v>na</v>
      </c>
      <c r="M148" s="832">
        <f>+Wireline!R76</f>
        <v>-2.6586074186008113E-2</v>
      </c>
      <c r="N148" s="832">
        <f>+Wireline!S76</f>
        <v>-1.3219492080432715E-2</v>
      </c>
      <c r="O148" s="832">
        <f>+Wireline!T76</f>
        <v>-2.8489258148566954E-2</v>
      </c>
      <c r="P148" s="832">
        <f>+Wireline!U76</f>
        <v>-2.274624901955824E-2</v>
      </c>
      <c r="Q148" s="832">
        <f>+Wireline!V76</f>
        <v>-5.0486743993372052E-3</v>
      </c>
      <c r="R148" s="832">
        <f>+Wireline!W76</f>
        <v>-7.5672018527674467E-2</v>
      </c>
      <c r="S148" s="832">
        <f>+Wireline!X76</f>
        <v>-9.3859970158497785E-2</v>
      </c>
      <c r="T148" s="832">
        <f>+Wireline!Y76</f>
        <v>-3.821418585143066E-2</v>
      </c>
      <c r="U148" s="832">
        <f>+Wireline!Z76</f>
        <v>-2.6988137123490574E-2</v>
      </c>
      <c r="V148" s="889">
        <f>+Wireline!AA76</f>
        <v>-1.4183865838700793E-2</v>
      </c>
      <c r="W148" s="889">
        <f>+Wireline!AB76</f>
        <v>-1.4198003691347605E-2</v>
      </c>
      <c r="X148" s="889">
        <f>+Wireline!AC76</f>
        <v>-1.3620865857951525E-2</v>
      </c>
      <c r="Y148" s="889">
        <f>+Wireline!AD76</f>
        <v>-1.3154479062930657E-2</v>
      </c>
      <c r="Z148" s="889">
        <f>+Wireline!AE76</f>
        <v>-1.2777541495998412E-2</v>
      </c>
      <c r="AA148" s="889">
        <f>+Wireline!AF76</f>
        <v>-1.2472498280599709E-2</v>
      </c>
      <c r="AB148" s="889">
        <f>+Wireline!AG76</f>
        <v>-1.2224851455253871E-2</v>
      </c>
      <c r="BM148" s="888">
        <f>+Wireline!BZ76</f>
        <v>-0.10818949687844293</v>
      </c>
      <c r="BN148" s="889">
        <f>+Wireline!CA76</f>
        <v>-8.4313437224345811E-2</v>
      </c>
      <c r="BO148" s="889">
        <f>+Wireline!CB76</f>
        <v>-6.8641348951727243E-2</v>
      </c>
      <c r="BP148" s="889">
        <f>+Wireline!CC76</f>
        <v>-5.7368341174685034E-2</v>
      </c>
      <c r="BQ148" s="888">
        <f>+Wireline!CD76</f>
        <v>2.9649151704826959E-3</v>
      </c>
      <c r="BR148" s="889">
        <f>+Wireline!CE76</f>
        <v>-1.0195071044392656E-2</v>
      </c>
      <c r="BS148" s="889">
        <f>+Wireline!CF76</f>
        <v>-8.8920932468157243E-3</v>
      </c>
      <c r="BT148" s="889">
        <f>+Wireline!CG76</f>
        <v>-1.392690388021256E-2</v>
      </c>
      <c r="BU148" s="888">
        <f>+Wireline!CH76</f>
        <v>-1.248152405977998E-2</v>
      </c>
      <c r="BV148" s="889">
        <f>+Wireline!CI76</f>
        <v>-1.7599351175993538E-2</v>
      </c>
      <c r="BW148" s="889">
        <f>+Wireline!CJ76</f>
        <v>-1.7297122534755904E-2</v>
      </c>
      <c r="BX148" s="889">
        <f>+Wireline!CK76</f>
        <v>-2.710425340844147E-2</v>
      </c>
      <c r="BY148" s="888" t="str">
        <f>+Wireline!CL76</f>
        <v>na</v>
      </c>
      <c r="BZ148" s="889" t="str">
        <f>+Wireline!CM76</f>
        <v>na</v>
      </c>
      <c r="CA148" s="889" t="str">
        <f>+Wireline!CN76</f>
        <v>na</v>
      </c>
      <c r="CB148" s="889" t="str">
        <f>+Wireline!CO76</f>
        <v>na</v>
      </c>
      <c r="CC148" s="888">
        <f>+Wireline!CP76</f>
        <v>-1.5841396319484002E-2</v>
      </c>
      <c r="CD148" s="889">
        <f>+Wireline!CQ76</f>
        <v>-2.7075641389756711E-2</v>
      </c>
      <c r="CE148" s="889">
        <f>+Wireline!CR76</f>
        <v>-3.5717633823942996E-2</v>
      </c>
      <c r="CF148" s="889">
        <f>+Wireline!CS76</f>
        <v>-2.7596635478688181E-2</v>
      </c>
      <c r="CG148" s="888">
        <f>+Wireline!CT76</f>
        <v>-2.1975903614457781E-2</v>
      </c>
      <c r="CH148" s="889">
        <f>+Wireline!CU76</f>
        <v>-2.9191398267977009E-3</v>
      </c>
      <c r="CI148" s="889">
        <f>+Wireline!CV76</f>
        <v>-1.3319074470153569E-2</v>
      </c>
      <c r="CJ148" s="889">
        <f>+Wireline!CW76</f>
        <v>-1.457867625619591E-2</v>
      </c>
      <c r="CK148" s="888">
        <f>+Wireline!CX76</f>
        <v>-1.9907361781807409E-2</v>
      </c>
      <c r="CL148" s="889">
        <f>+Wireline!CY76</f>
        <v>-3.3473211671708802E-2</v>
      </c>
      <c r="CM148" s="889">
        <f>+Wireline!CZ76</f>
        <v>-2.3154990639471906E-2</v>
      </c>
      <c r="CN148" s="889">
        <f>+Wireline!DA76</f>
        <v>-3.7380412269454544E-2</v>
      </c>
      <c r="CO148" s="888">
        <f>+Wireline!DB76</f>
        <v>-2.9663147310206139E-2</v>
      </c>
      <c r="CP148" s="889">
        <f>+Wireline!DC76</f>
        <v>-3.0189822294022672E-2</v>
      </c>
      <c r="CQ148" s="889">
        <f>+Wireline!DD76</f>
        <v>-2.5922937260439816E-2</v>
      </c>
      <c r="CR148" s="889">
        <f>+Wireline!DE76</f>
        <v>-4.9180327868852958E-3</v>
      </c>
      <c r="CS148" s="888">
        <f>+Wireline!DF76</f>
        <v>1.2435233160621451E-3</v>
      </c>
      <c r="CT148" s="889">
        <f>+Wireline!DG76</f>
        <v>2.7069234773555717E-3</v>
      </c>
      <c r="CU148" s="889">
        <f>+Wireline!DH76</f>
        <v>-8.3876980428704284E-3</v>
      </c>
      <c r="CV148" s="890">
        <f>+Wireline!DI76</f>
        <v>-1.565074135090605E-2</v>
      </c>
      <c r="CW148" s="889">
        <f>+Wireline!DJ76</f>
        <v>-7.7416683916373463E-2</v>
      </c>
      <c r="CX148" s="889">
        <f>+Wireline!DK76</f>
        <v>-7.8392690270999932E-2</v>
      </c>
      <c r="CY148" s="889">
        <f>+Wireline!DL76</f>
        <v>-7.9887218045112784E-2</v>
      </c>
      <c r="CZ148" s="890">
        <f>+Wireline!DM76</f>
        <v>-6.6945606694560622E-2</v>
      </c>
      <c r="DA148" s="889">
        <f>+Wireline!DN76</f>
        <v>-1.6715279335876132E-2</v>
      </c>
      <c r="DB148" s="889">
        <f>+Wireline!DO76</f>
        <v>-0.11863452005407837</v>
      </c>
      <c r="DC148" s="889">
        <f>+Wireline!DP76</f>
        <v>-0.11621836340937464</v>
      </c>
      <c r="DD148" s="889">
        <f>+Wireline!DQ76</f>
        <v>-0.1242152466367713</v>
      </c>
      <c r="DE148" s="889">
        <f>+Wireline!DR76</f>
        <v>-0.10142612664004569</v>
      </c>
      <c r="DF148" s="889">
        <f>+Wireline!DS76</f>
        <v>-2.6843921769141854E-3</v>
      </c>
      <c r="DG148" s="889">
        <f>+Wireline!DT76</f>
        <v>-1.6052395017336574E-2</v>
      </c>
      <c r="DH148" s="889">
        <f>+Wireline!DU76</f>
        <v>-2.4961597542242697E-2</v>
      </c>
      <c r="DI148" s="889">
        <f>+Wireline!DV76</f>
        <v>-4.0502793296089412E-2</v>
      </c>
      <c r="DJ148" s="889">
        <f>+Wireline!DW76</f>
        <v>-3.3320256872510279E-2</v>
      </c>
      <c r="DK148" s="889">
        <f>+Wireline!DX76</f>
        <v>-1.7211853735566884E-2</v>
      </c>
      <c r="DL148" s="889">
        <f>+Wireline!DY76</f>
        <v>-1.6362070827183661E-2</v>
      </c>
    </row>
    <row r="149" spans="1:116" s="832" customFormat="1">
      <c r="A149" s="821" t="s">
        <v>794</v>
      </c>
      <c r="B149" s="821"/>
      <c r="C149" s="821"/>
      <c r="V149" s="889"/>
      <c r="W149" s="889"/>
      <c r="X149" s="889"/>
      <c r="Y149" s="889"/>
      <c r="Z149" s="889"/>
      <c r="AA149" s="889"/>
      <c r="AB149" s="889"/>
      <c r="BM149" s="888">
        <f>+Wireline!BZ75/Wireline!BY75-1</f>
        <v>-7.8615874943086972E-2</v>
      </c>
      <c r="BN149" s="889">
        <f>+Wireline!CA75/Wireline!BZ75-1</f>
        <v>2.5943007741722868E-2</v>
      </c>
      <c r="BO149" s="889">
        <f>+Wireline!CB75/Wireline!CA75-1</f>
        <v>2.0871798988519874E-3</v>
      </c>
      <c r="BP149" s="889">
        <f>+Wireline!CC75/Wireline!CB75-1</f>
        <v>-4.8866458383401978E-3</v>
      </c>
      <c r="BQ149" s="888">
        <f>+Wireline!CD75/Wireline!CC75-1</f>
        <v>-1.964256963451938E-2</v>
      </c>
      <c r="BR149" s="889">
        <f>+Wireline!CE75/Wireline!CD75-1</f>
        <v>1.248152405977998E-2</v>
      </c>
      <c r="BS149" s="889">
        <f>+Wireline!CF75/Wireline!CE75-1</f>
        <v>3.4063260340633228E-3</v>
      </c>
      <c r="BT149" s="889">
        <f>+Wireline!CG75/Wireline!CF75-1</f>
        <v>-9.9418040737148106E-3</v>
      </c>
      <c r="BU149" s="888">
        <f>+Wireline!CH75/Wireline!CG75-1</f>
        <v>-1.8205567801453215E-2</v>
      </c>
      <c r="BV149" s="889">
        <f>+Wireline!CI75/Wireline!CH75-1</f>
        <v>7.2343256278064594E-3</v>
      </c>
      <c r="BW149" s="889">
        <f>+Wireline!CJ75/Wireline!CI75-1</f>
        <v>3.7150169239659192E-3</v>
      </c>
      <c r="BX149" s="889">
        <f>+Wireline!CK75/Wireline!CJ75-1</f>
        <v>-1.9822339200526451E-2</v>
      </c>
      <c r="BY149" s="888">
        <f>+Wireline!CL75/Wireline!CK75-1</f>
        <v>-0.11538138793320463</v>
      </c>
      <c r="BZ149" s="889">
        <f>+Wireline!CM75/Wireline!CL75-1</f>
        <v>1.9920318725099584E-3</v>
      </c>
      <c r="CA149" s="889">
        <f>+Wireline!CN75/Wireline!CM75-1</f>
        <v>9.8456877780932484E-3</v>
      </c>
      <c r="CB149" s="889">
        <f>+Wireline!CO75/Wireline!CN75-1</f>
        <v>-8.0622480547483111E-3</v>
      </c>
      <c r="CC149" s="888">
        <f>+Wireline!CP75/Wireline!CO75-1</f>
        <v>-1.9468859276060901E-2</v>
      </c>
      <c r="CD149" s="889">
        <f>+Wireline!CQ75/Wireline!CP75-1</f>
        <v>-9.4457831325300834E-3</v>
      </c>
      <c r="CE149" s="889">
        <f>+Wireline!CR75/Wireline!CQ75-1</f>
        <v>8.7574194803941019E-4</v>
      </c>
      <c r="CF149" s="889">
        <f>+Wireline!CS75/Wireline!CR75-1</f>
        <v>2.9165856503987619E-4</v>
      </c>
      <c r="CG149" s="888">
        <f>+Wireline!CT75/Wireline!CS75-1</f>
        <v>-1.3801146855865531E-2</v>
      </c>
      <c r="CH149" s="889">
        <f>+Wireline!CU75/Wireline!CT75-1</f>
        <v>9.8551295949542705E-3</v>
      </c>
      <c r="CI149" s="889">
        <f>+Wireline!CV75/Wireline!CU75-1</f>
        <v>-9.5637747633453563E-3</v>
      </c>
      <c r="CJ149" s="889">
        <f>+Wireline!CW75/Wireline!CV75-1</f>
        <v>-9.8531875061580454E-4</v>
      </c>
      <c r="CK149" s="888">
        <f>+Wireline!CX75/Wireline!CW75-1</f>
        <v>-1.9134036887267003E-2</v>
      </c>
      <c r="CL149" s="889">
        <f>+Wireline!CY75/Wireline!CX75-1</f>
        <v>-4.1226747109099904E-3</v>
      </c>
      <c r="CM149" s="889">
        <f>+Wireline!CZ75/Wireline!CY75-1</f>
        <v>1.0096930533118886E-3</v>
      </c>
      <c r="CN149" s="889">
        <f>+Wireline!DA75/Wireline!CZ75-1</f>
        <v>-1.5533588864232395E-2</v>
      </c>
      <c r="CO149" s="888">
        <f>+Wireline!DB75/Wireline!DA75-1</f>
        <v>-1.1270491803278659E-2</v>
      </c>
      <c r="CP149" s="889">
        <f>+Wireline!DC75/Wireline!DB75-1</f>
        <v>-4.663212435233155E-3</v>
      </c>
      <c r="CQ149" s="889">
        <f>+Wireline!DD75/Wireline!DC75-1</f>
        <v>5.4138469547111434E-3</v>
      </c>
      <c r="CR149" s="889">
        <f>+Wireline!DE75/Wireline!DD75-1</f>
        <v>5.6953505229366819E-3</v>
      </c>
      <c r="CS149" s="888">
        <f>+Wireline!DF75/Wireline!DE75-1</f>
        <v>-5.1482701812191056E-3</v>
      </c>
      <c r="CT149" s="889">
        <f>+Wireline!DG75/Wireline!DF75-1</f>
        <v>-3.2084454564272891E-3</v>
      </c>
      <c r="CU149" s="889">
        <f>+Wireline!DH75/Wireline!DG75-1</f>
        <v>-5.7107257813311385E-3</v>
      </c>
      <c r="CV149" s="890">
        <f>+Wireline!DI75/Wireline!DH75-1</f>
        <v>-1.6708437761069339E-3</v>
      </c>
      <c r="CW149" s="889">
        <f>+Wireline!DJ75/Wireline!DI75-1</f>
        <v>-6.7573221757322166E-2</v>
      </c>
      <c r="CX149" s="889">
        <f>+Wireline!DK75/Wireline!DJ75-1</f>
        <v>-4.2629571460623961E-3</v>
      </c>
      <c r="CY149" s="889">
        <f>+Wireline!DL75/Wireline!DK75-1</f>
        <v>-7.3231185218567418E-3</v>
      </c>
      <c r="CZ149" s="890">
        <f>+Wireline!DM75/Wireline!DL75-1</f>
        <v>1.2370900011349439E-2</v>
      </c>
      <c r="DA149" s="889">
        <f>+Wireline!DN75/Wireline!DM75-1</f>
        <v>-1.7376681614349798E-2</v>
      </c>
      <c r="DB149" s="889">
        <f>+Wireline!DO75/Wireline!DN75-1</f>
        <v>-0.1074729035938391</v>
      </c>
      <c r="DC149" s="889">
        <f>+Wireline!DP75/Wireline!DO75-1</f>
        <v>-4.6018151604243496E-3</v>
      </c>
      <c r="DD149" s="889">
        <f>+Wireline!DQ75/Wireline!DP75-1</f>
        <v>3.2104790034672703E-3</v>
      </c>
      <c r="DE149" s="889">
        <f>+Wireline!DR75/Wireline!DQ75-1</f>
        <v>8.1925243215565935E-3</v>
      </c>
      <c r="DF149" s="889">
        <f>+Wireline!DS75/Wireline!DR75-1</f>
        <v>-9.395632300660206E-3</v>
      </c>
      <c r="DG149" s="889">
        <f>+Wireline!DT75/Wireline!DS75-1</f>
        <v>-1.7944116893104378E-2</v>
      </c>
      <c r="DH149" s="889">
        <f>+Wireline!DU75/Wireline!DT75-1</f>
        <v>-5.8731401722788013E-3</v>
      </c>
      <c r="DI149" s="889">
        <f>+Wireline!DV75/Wireline!DU75-1</f>
        <v>-7.8771169751871151E-3</v>
      </c>
      <c r="DJ149" s="889">
        <f>+Wireline!DW75/Wireline!DV75-1</f>
        <v>-1.9802360883055536E-3</v>
      </c>
      <c r="DK149" s="889">
        <f>+Wireline!DX75/Wireline!DW75-1</f>
        <v>-1.5794912965104713E-3</v>
      </c>
      <c r="DL149" s="889">
        <f>+Wireline!DY75/Wireline!DX75-1</f>
        <v>-5.0135530705648357E-3</v>
      </c>
    </row>
    <row r="150" spans="1:116" s="808" customFormat="1">
      <c r="A150" s="812"/>
      <c r="B150" s="812"/>
      <c r="C150" s="812"/>
      <c r="V150" s="863"/>
      <c r="W150" s="863"/>
      <c r="X150" s="863"/>
      <c r="Y150" s="863"/>
      <c r="Z150" s="863"/>
      <c r="AA150" s="863"/>
      <c r="AB150" s="863"/>
      <c r="BM150" s="862"/>
      <c r="BN150" s="863"/>
      <c r="BO150" s="863"/>
      <c r="BP150" s="863"/>
      <c r="BQ150" s="862"/>
      <c r="BR150" s="863"/>
      <c r="BS150" s="863"/>
      <c r="BT150" s="863"/>
      <c r="BU150" s="862"/>
      <c r="BV150" s="863"/>
      <c r="BW150" s="863"/>
      <c r="BX150" s="863"/>
      <c r="BY150" s="862"/>
      <c r="BZ150" s="863"/>
      <c r="CA150" s="863"/>
      <c r="CB150" s="863"/>
      <c r="CC150" s="862"/>
      <c r="CD150" s="863"/>
      <c r="CE150" s="863"/>
      <c r="CF150" s="863"/>
      <c r="CG150" s="862"/>
      <c r="CH150" s="863"/>
      <c r="CI150" s="863"/>
      <c r="CJ150" s="863"/>
      <c r="CK150" s="862"/>
      <c r="CL150" s="863"/>
      <c r="CM150" s="863"/>
      <c r="CN150" s="863"/>
      <c r="CO150" s="862"/>
      <c r="CP150" s="863"/>
      <c r="CQ150" s="863"/>
      <c r="CR150" s="863"/>
      <c r="CS150" s="862"/>
      <c r="CT150" s="863"/>
      <c r="CU150" s="863"/>
      <c r="CV150" s="864"/>
      <c r="CW150" s="863"/>
      <c r="CX150" s="863"/>
      <c r="CY150" s="863"/>
      <c r="CZ150" s="864"/>
      <c r="DA150" s="863"/>
      <c r="DB150" s="863"/>
      <c r="DC150" s="863"/>
      <c r="DD150" s="863"/>
      <c r="DE150" s="863"/>
      <c r="DF150" s="863"/>
      <c r="DG150" s="863"/>
      <c r="DH150" s="863"/>
      <c r="DI150" s="863"/>
      <c r="DJ150" s="863"/>
      <c r="DK150" s="863"/>
      <c r="DL150" s="863"/>
    </row>
    <row r="151" spans="1:116" s="808" customFormat="1">
      <c r="A151" s="812" t="s">
        <v>795</v>
      </c>
      <c r="B151" s="812"/>
      <c r="C151" s="812"/>
      <c r="V151" s="863"/>
      <c r="W151" s="863"/>
      <c r="X151" s="863"/>
      <c r="Y151" s="863"/>
      <c r="Z151" s="863"/>
      <c r="AA151" s="863"/>
      <c r="AB151" s="863"/>
      <c r="BM151" s="862"/>
      <c r="BN151" s="863"/>
      <c r="BO151" s="863"/>
      <c r="BP151" s="863"/>
      <c r="BQ151" s="862"/>
      <c r="BR151" s="863"/>
      <c r="BS151" s="863"/>
      <c r="BT151" s="863"/>
      <c r="BU151" s="862"/>
      <c r="BV151" s="863"/>
      <c r="BW151" s="863"/>
      <c r="BX151" s="863"/>
      <c r="BY151" s="862"/>
      <c r="BZ151" s="863"/>
      <c r="CA151" s="863"/>
      <c r="CB151" s="863"/>
      <c r="CC151" s="862"/>
      <c r="CD151" s="863"/>
      <c r="CE151" s="863"/>
      <c r="CF151" s="863"/>
      <c r="CG151" s="862"/>
      <c r="CH151" s="863"/>
      <c r="CI151" s="863"/>
      <c r="CJ151" s="863"/>
      <c r="CK151" s="862"/>
      <c r="CL151" s="863"/>
      <c r="CM151" s="863"/>
      <c r="CN151" s="863"/>
      <c r="CO151" s="862"/>
      <c r="CP151" s="863"/>
      <c r="CQ151" s="863"/>
      <c r="CR151" s="863"/>
      <c r="CS151" s="862"/>
      <c r="CT151" s="863"/>
      <c r="CU151" s="863"/>
      <c r="CV151" s="864"/>
      <c r="CW151" s="863"/>
      <c r="CX151" s="863"/>
      <c r="CY151" s="863"/>
      <c r="CZ151" s="864"/>
      <c r="DA151" s="863"/>
      <c r="DB151" s="863"/>
      <c r="DC151" s="863"/>
      <c r="DD151" s="863"/>
      <c r="DE151" s="863"/>
      <c r="DF151" s="863"/>
      <c r="DG151" s="863"/>
      <c r="DH151" s="863"/>
      <c r="DI151" s="863"/>
      <c r="DJ151" s="863"/>
      <c r="DK151" s="863"/>
      <c r="DL151" s="863"/>
    </row>
    <row r="152" spans="1:116" s="808" customFormat="1">
      <c r="A152" s="812"/>
      <c r="B152" s="812"/>
      <c r="C152" s="812"/>
      <c r="V152" s="863"/>
      <c r="W152" s="863"/>
      <c r="X152" s="863"/>
      <c r="Y152" s="863"/>
      <c r="Z152" s="863"/>
      <c r="AA152" s="863"/>
      <c r="AB152" s="863"/>
      <c r="BM152" s="862"/>
      <c r="BN152" s="863"/>
      <c r="BO152" s="863"/>
      <c r="BP152" s="863"/>
      <c r="BQ152" s="862"/>
      <c r="BR152" s="863"/>
      <c r="BS152" s="863"/>
      <c r="BT152" s="863"/>
      <c r="BU152" s="862"/>
      <c r="BV152" s="863"/>
      <c r="BW152" s="863"/>
      <c r="BX152" s="863"/>
      <c r="BY152" s="862"/>
      <c r="BZ152" s="863"/>
      <c r="CA152" s="863"/>
      <c r="CB152" s="863"/>
      <c r="CC152" s="862"/>
      <c r="CD152" s="863"/>
      <c r="CE152" s="863"/>
      <c r="CF152" s="863"/>
      <c r="CG152" s="862"/>
      <c r="CH152" s="863"/>
      <c r="CI152" s="863"/>
      <c r="CJ152" s="863"/>
      <c r="CK152" s="862"/>
      <c r="CL152" s="863"/>
      <c r="CM152" s="863"/>
      <c r="CN152" s="863"/>
      <c r="CO152" s="862"/>
      <c r="CP152" s="863"/>
      <c r="CQ152" s="863"/>
      <c r="CR152" s="863"/>
      <c r="CS152" s="862"/>
      <c r="CT152" s="863"/>
      <c r="CU152" s="863"/>
      <c r="CV152" s="864"/>
      <c r="CW152" s="863"/>
      <c r="CX152" s="863"/>
      <c r="CY152" s="863"/>
      <c r="CZ152" s="864"/>
      <c r="DA152" s="863"/>
      <c r="DB152" s="863"/>
      <c r="DC152" s="863"/>
      <c r="DD152" s="863"/>
      <c r="DE152" s="863"/>
      <c r="DF152" s="863"/>
      <c r="DG152" s="863"/>
      <c r="DH152" s="863"/>
      <c r="DI152" s="863"/>
      <c r="DJ152" s="863"/>
      <c r="DK152" s="863"/>
      <c r="DL152" s="863"/>
    </row>
    <row r="153" spans="1:116" s="808" customFormat="1">
      <c r="A153" s="812"/>
      <c r="B153" s="812"/>
      <c r="C153" s="812"/>
      <c r="V153" s="863"/>
      <c r="W153" s="863"/>
      <c r="X153" s="863"/>
      <c r="Y153" s="863"/>
      <c r="Z153" s="863"/>
      <c r="AA153" s="863"/>
      <c r="AB153" s="863"/>
      <c r="BM153" s="862"/>
      <c r="BN153" s="863"/>
      <c r="BO153" s="863"/>
      <c r="BP153" s="863"/>
      <c r="BQ153" s="862"/>
      <c r="BR153" s="863"/>
      <c r="BS153" s="863"/>
      <c r="BT153" s="863"/>
      <c r="BU153" s="862"/>
      <c r="BV153" s="863"/>
      <c r="BW153" s="863"/>
      <c r="BX153" s="863"/>
      <c r="BY153" s="862"/>
      <c r="BZ153" s="863"/>
      <c r="CA153" s="863"/>
      <c r="CB153" s="863"/>
      <c r="CC153" s="862"/>
      <c r="CD153" s="863"/>
      <c r="CE153" s="863"/>
      <c r="CF153" s="863"/>
      <c r="CG153" s="862"/>
      <c r="CH153" s="863"/>
      <c r="CI153" s="863"/>
      <c r="CJ153" s="863"/>
      <c r="CK153" s="862"/>
      <c r="CL153" s="863"/>
      <c r="CM153" s="863"/>
      <c r="CN153" s="863"/>
      <c r="CO153" s="862"/>
      <c r="CP153" s="863"/>
      <c r="CQ153" s="863"/>
      <c r="CR153" s="863"/>
      <c r="CS153" s="862"/>
      <c r="CT153" s="863"/>
      <c r="CU153" s="863"/>
      <c r="CV153" s="864"/>
      <c r="CW153" s="863"/>
      <c r="CX153" s="863"/>
      <c r="CY153" s="863"/>
      <c r="CZ153" s="864"/>
      <c r="DA153" s="863"/>
      <c r="DB153" s="863"/>
      <c r="DC153" s="863"/>
      <c r="DD153" s="863"/>
      <c r="DE153" s="863"/>
      <c r="DF153" s="863"/>
      <c r="DG153" s="863"/>
      <c r="DH153" s="863"/>
      <c r="DI153" s="863"/>
      <c r="DJ153" s="863"/>
      <c r="DK153" s="863"/>
      <c r="DL153" s="863"/>
    </row>
    <row r="154" spans="1:116" s="808" customFormat="1">
      <c r="A154" s="812"/>
      <c r="B154" s="812"/>
      <c r="C154" s="812"/>
      <c r="V154" s="863"/>
      <c r="W154" s="863"/>
      <c r="X154" s="863"/>
      <c r="Y154" s="863"/>
      <c r="Z154" s="863"/>
      <c r="AA154" s="863"/>
      <c r="AB154" s="863"/>
      <c r="BM154" s="862"/>
      <c r="BN154" s="863"/>
      <c r="BO154" s="863"/>
      <c r="BP154" s="863"/>
      <c r="BQ154" s="862"/>
      <c r="BR154" s="863"/>
      <c r="BS154" s="863"/>
      <c r="BT154" s="863"/>
      <c r="BU154" s="862"/>
      <c r="BV154" s="863"/>
      <c r="BW154" s="863"/>
      <c r="BX154" s="863"/>
      <c r="BY154" s="862"/>
      <c r="BZ154" s="863"/>
      <c r="CA154" s="863"/>
      <c r="CB154" s="863"/>
      <c r="CC154" s="862"/>
      <c r="CD154" s="863"/>
      <c r="CE154" s="863"/>
      <c r="CF154" s="863"/>
      <c r="CG154" s="862"/>
      <c r="CH154" s="863"/>
      <c r="CI154" s="863"/>
      <c r="CJ154" s="863"/>
      <c r="CK154" s="862"/>
      <c r="CL154" s="863"/>
      <c r="CM154" s="863"/>
      <c r="CN154" s="863"/>
      <c r="CO154" s="862"/>
      <c r="CP154" s="863"/>
      <c r="CQ154" s="863"/>
      <c r="CR154" s="863"/>
      <c r="CS154" s="862"/>
      <c r="CT154" s="863"/>
      <c r="CU154" s="863"/>
      <c r="CV154" s="864"/>
      <c r="CW154" s="863"/>
      <c r="CX154" s="863"/>
      <c r="CY154" s="863"/>
      <c r="CZ154" s="864"/>
      <c r="DA154" s="863"/>
      <c r="DB154" s="863"/>
      <c r="DC154" s="863"/>
      <c r="DD154" s="863"/>
      <c r="DE154" s="863"/>
      <c r="DF154" s="863"/>
      <c r="DG154" s="863"/>
      <c r="DH154" s="863"/>
      <c r="DI154" s="863"/>
      <c r="DJ154" s="863"/>
      <c r="DK154" s="863"/>
      <c r="DL154" s="863"/>
    </row>
    <row r="155" spans="1:116" s="808" customFormat="1">
      <c r="A155" s="811" t="s">
        <v>796</v>
      </c>
      <c r="B155" s="811"/>
      <c r="C155" s="811"/>
      <c r="D155" s="852"/>
      <c r="E155" s="852"/>
      <c r="F155" s="852"/>
      <c r="G155" s="852"/>
      <c r="H155" s="852"/>
      <c r="I155" s="852"/>
      <c r="J155" s="852">
        <f>+Wless!O256</f>
        <v>0</v>
      </c>
      <c r="K155" s="852">
        <f>+Wless!P256</f>
        <v>0</v>
      </c>
      <c r="L155" s="852">
        <f>+Wless!Q256</f>
        <v>85</v>
      </c>
      <c r="M155" s="852">
        <f>+Wless!R256</f>
        <v>101</v>
      </c>
      <c r="N155" s="852">
        <f>+Wless!S256</f>
        <v>0</v>
      </c>
      <c r="O155" s="852">
        <f>+Wless!T256</f>
        <v>0</v>
      </c>
      <c r="P155" s="852">
        <f>+Wless!U256</f>
        <v>0</v>
      </c>
      <c r="Q155" s="852">
        <f>+Wless!V256</f>
        <v>0</v>
      </c>
      <c r="R155" s="852">
        <f>+Wless!W256</f>
        <v>0</v>
      </c>
      <c r="S155" s="852">
        <f>+Wless!X256</f>
        <v>-20</v>
      </c>
      <c r="T155" s="852">
        <f>+Wless!Y256</f>
        <v>-26</v>
      </c>
      <c r="U155" s="852">
        <f>+Wless!Z256</f>
        <v>0</v>
      </c>
      <c r="V155" s="852">
        <f>+Wless!AA256</f>
        <v>0</v>
      </c>
      <c r="W155" s="852">
        <f>+Wless!AB256</f>
        <v>0</v>
      </c>
      <c r="X155" s="852">
        <f>+Wless!AC256</f>
        <v>0</v>
      </c>
      <c r="Y155" s="852">
        <f>+Wless!AD256</f>
        <v>0</v>
      </c>
      <c r="Z155" s="852">
        <f>+Wless!AE256</f>
        <v>0</v>
      </c>
      <c r="AA155" s="852">
        <f>+Wless!AF256</f>
        <v>0</v>
      </c>
      <c r="AB155" s="852">
        <f>+Wless!AG256</f>
        <v>0</v>
      </c>
      <c r="AC155" s="852"/>
      <c r="AD155" s="852"/>
      <c r="AE155" s="852"/>
      <c r="AF155" s="852"/>
      <c r="AG155" s="852"/>
      <c r="AH155" s="852"/>
      <c r="AI155" s="852"/>
      <c r="AJ155" s="852"/>
      <c r="AK155" s="852"/>
      <c r="AL155" s="852"/>
      <c r="AM155" s="852"/>
      <c r="AN155" s="852"/>
      <c r="AO155" s="852"/>
      <c r="AP155" s="852"/>
      <c r="AQ155" s="852"/>
      <c r="AR155" s="852"/>
      <c r="AS155" s="852"/>
      <c r="AT155" s="852"/>
      <c r="AU155" s="852"/>
      <c r="AV155" s="852"/>
      <c r="AW155" s="852"/>
      <c r="AX155" s="852"/>
      <c r="AY155" s="852"/>
      <c r="AZ155" s="852"/>
      <c r="BA155" s="852"/>
      <c r="BB155" s="852"/>
      <c r="BC155" s="852"/>
      <c r="BD155" s="852"/>
      <c r="BE155" s="852"/>
      <c r="BF155" s="852"/>
      <c r="BG155" s="852"/>
      <c r="BH155" s="852"/>
      <c r="BI155" s="852"/>
      <c r="BJ155" s="852"/>
      <c r="BK155" s="852"/>
      <c r="BL155" s="852"/>
      <c r="BM155" s="891">
        <f>+Wless!BZ256</f>
        <v>0</v>
      </c>
      <c r="BN155" s="852">
        <f>+Wless!CA256</f>
        <v>0</v>
      </c>
      <c r="BO155" s="852">
        <f>+Wless!CB256</f>
        <v>0</v>
      </c>
      <c r="BP155" s="852">
        <f>+Wless!CC256</f>
        <v>0</v>
      </c>
      <c r="BQ155" s="891">
        <f>+Wless!CD256</f>
        <v>0</v>
      </c>
      <c r="BR155" s="852">
        <f>+Wless!CE256</f>
        <v>0</v>
      </c>
      <c r="BS155" s="852">
        <f>+Wless!CF256</f>
        <v>0</v>
      </c>
      <c r="BT155" s="852">
        <f>+Wless!CG256</f>
        <v>0</v>
      </c>
      <c r="BU155" s="891">
        <f>+Wless!CH256</f>
        <v>0</v>
      </c>
      <c r="BV155" s="852">
        <f>+Wless!CI256</f>
        <v>46</v>
      </c>
      <c r="BW155" s="852">
        <f>+Wless!CJ256</f>
        <v>606</v>
      </c>
      <c r="BX155" s="852">
        <f>+Wless!CK256</f>
        <v>-130</v>
      </c>
      <c r="BY155" s="891">
        <f>+Wless!CL256</f>
        <v>-5</v>
      </c>
      <c r="BZ155" s="852">
        <f>+Wless!CM256</f>
        <v>-3</v>
      </c>
      <c r="CA155" s="852">
        <f>+Wless!CN256</f>
        <v>75</v>
      </c>
      <c r="CB155" s="852">
        <f>+Wless!CO256</f>
        <v>18</v>
      </c>
      <c r="CC155" s="891">
        <f>+Wless!CP256</f>
        <v>5</v>
      </c>
      <c r="CD155" s="852">
        <f>+Wless!CQ256</f>
        <v>0</v>
      </c>
      <c r="CE155" s="852">
        <f>+Wless!CR256</f>
        <v>100</v>
      </c>
      <c r="CF155" s="852">
        <f>+Wless!CS256</f>
        <v>-4</v>
      </c>
      <c r="CG155" s="891">
        <f>+Wless!CT256</f>
        <v>0</v>
      </c>
      <c r="CH155" s="852">
        <f>+Wless!CU256</f>
        <v>2</v>
      </c>
      <c r="CI155" s="852">
        <f>+Wless!CV256</f>
        <v>3</v>
      </c>
      <c r="CJ155" s="852">
        <f>+Wless!CW256</f>
        <v>0</v>
      </c>
      <c r="CK155" s="891">
        <f>+Wless!CX256</f>
        <v>80</v>
      </c>
      <c r="CL155" s="852">
        <f>+Wless!CY256</f>
        <v>-13</v>
      </c>
      <c r="CM155" s="852">
        <f>+Wless!CZ256</f>
        <v>-19</v>
      </c>
      <c r="CN155" s="852">
        <f>+Wless!DA256</f>
        <v>76</v>
      </c>
      <c r="CO155" s="891">
        <f>+Wless!DB256</f>
        <v>-21</v>
      </c>
      <c r="CP155" s="852">
        <f>+Wless!DC256</f>
        <v>144</v>
      </c>
      <c r="CQ155" s="852">
        <f>+Wless!DD256</f>
        <v>-13</v>
      </c>
      <c r="CR155" s="852">
        <f>+Wless!DE256</f>
        <v>-6</v>
      </c>
      <c r="CS155" s="891">
        <f>+Wless!DF256</f>
        <v>-18</v>
      </c>
      <c r="CT155" s="852">
        <f>+Wless!DG256</f>
        <v>-121</v>
      </c>
      <c r="CU155" s="852">
        <f>+Wless!DH256</f>
        <v>-6</v>
      </c>
      <c r="CV155" s="892">
        <f>+Wless!DI256</f>
        <v>-10</v>
      </c>
      <c r="CW155" s="852">
        <f>+Wless!DJ256</f>
        <v>-7</v>
      </c>
      <c r="CX155" s="852">
        <f>+Wless!DK256</f>
        <v>-40</v>
      </c>
      <c r="CY155" s="852">
        <f>+Wless!DL256</f>
        <v>3</v>
      </c>
      <c r="CZ155" s="892">
        <f>+Wless!DM256</f>
        <v>-14</v>
      </c>
      <c r="DA155" s="863">
        <f>+Wless!DN256</f>
        <v>3</v>
      </c>
      <c r="DB155" s="863">
        <f>+Wless!DO256</f>
        <v>-6</v>
      </c>
      <c r="DC155" s="863">
        <f>+Wless!DP256</f>
        <v>-2</v>
      </c>
      <c r="DD155" s="863">
        <f>+Wless!DQ256</f>
        <v>-15</v>
      </c>
      <c r="DE155" s="863">
        <f>+Wless!DR256</f>
        <v>-6</v>
      </c>
      <c r="DF155" s="863">
        <f>+Wless!DS256</f>
        <v>-9</v>
      </c>
      <c r="DG155" s="863">
        <f>+Wless!DT256</f>
        <v>-5</v>
      </c>
      <c r="DH155" s="863">
        <f>+Wless!DU256</f>
        <v>-6</v>
      </c>
      <c r="DI155" s="863">
        <f>+Wless!DV256</f>
        <v>0</v>
      </c>
      <c r="DJ155" s="863">
        <f>+Wless!DW256</f>
        <v>0</v>
      </c>
      <c r="DK155" s="863">
        <f>+Wless!DX256</f>
        <v>0</v>
      </c>
      <c r="DL155" s="863">
        <f>+Wless!DY256</f>
        <v>0</v>
      </c>
    </row>
    <row r="156" spans="1:116">
      <c r="BM156" s="893"/>
      <c r="BN156" s="894"/>
      <c r="BO156" s="894"/>
      <c r="BP156" s="894"/>
      <c r="BQ156" s="893"/>
      <c r="BR156" s="894"/>
      <c r="BS156" s="894"/>
      <c r="BT156" s="894"/>
      <c r="BU156" s="894"/>
      <c r="BV156" s="894"/>
      <c r="BW156" s="894"/>
      <c r="BX156" s="894"/>
      <c r="BY156" s="894"/>
      <c r="BZ156" s="894"/>
      <c r="CA156" s="894"/>
      <c r="CB156" s="894"/>
      <c r="CC156" s="894"/>
      <c r="CD156" s="894"/>
      <c r="CE156" s="894"/>
      <c r="CF156" s="894"/>
      <c r="CG156" s="894"/>
      <c r="CH156" s="894"/>
      <c r="CI156" s="894"/>
      <c r="CJ156" s="894"/>
      <c r="CK156" s="894"/>
      <c r="CL156" s="894"/>
      <c r="CM156" s="894"/>
      <c r="CN156" s="894"/>
      <c r="CO156" s="894"/>
      <c r="CP156" s="894"/>
      <c r="CQ156" s="894"/>
      <c r="CR156" s="894"/>
      <c r="CS156" s="894"/>
      <c r="CT156" s="894"/>
      <c r="CU156" s="894"/>
      <c r="CV156" s="894"/>
    </row>
  </sheetData>
  <phoneticPr fontId="76" type="noConversion"/>
  <pageMargins left="0.75" right="0.75" top="1" bottom="1" header="0.5" footer="0.5"/>
  <pageSetup scale="39" fitToHeight="0" orientation="portrait" r:id="rId1"/>
  <headerFooter alignWithMargins="0"/>
  <ignoredErrors>
    <ignoredError sqref="A1:U120 CD29:CV120 CC13:CV14 DM1:IV120 AS12:CB47 CC1:CV9 AC1:AR120 AS1:CB10 CC22:CC120 CD22:CV26 CD142:CV65536 AS142:CB65536 AS141:BX141 CC142:CC65536 A142:U65536 B141:O141 A123:U128 CD123:CV128 DM123:IV128 AS123:CB128 AC123:AR128 CC123:CC128 A131:U140 CD131:CV140 DM131:IV65536 AS131:CB140 AC131:AR65536 CC131:CC140 AS49:CB57 AS48:BL48 BP48:CB48 AS59:CB120 AS58:BL58 BP58:CB58" formula="1"/>
  </ignoredErrors>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cols>
    <col min="1" max="1" width="23" style="3431" bestFit="1" customWidth="1"/>
    <col min="2" max="2" width="15.44140625" style="3445" customWidth="1"/>
    <col min="3" max="3" width="9.33203125" style="3431" bestFit="1" customWidth="1"/>
    <col min="4" max="256" width="8.88671875" style="3431"/>
    <col min="257" max="257" width="23" style="3431" bestFit="1" customWidth="1"/>
    <col min="258" max="258" width="15.44140625" style="3431" customWidth="1"/>
    <col min="259" max="259" width="9.33203125" style="3431" bestFit="1" customWidth="1"/>
    <col min="260" max="512" width="8.88671875" style="3431"/>
    <col min="513" max="513" width="23" style="3431" bestFit="1" customWidth="1"/>
    <col min="514" max="514" width="15.44140625" style="3431" customWidth="1"/>
    <col min="515" max="515" width="9.33203125" style="3431" bestFit="1" customWidth="1"/>
    <col min="516" max="768" width="8.88671875" style="3431"/>
    <col min="769" max="769" width="23" style="3431" bestFit="1" customWidth="1"/>
    <col min="770" max="770" width="15.44140625" style="3431" customWidth="1"/>
    <col min="771" max="771" width="9.33203125" style="3431" bestFit="1" customWidth="1"/>
    <col min="772" max="1024" width="8.88671875" style="3431"/>
    <col min="1025" max="1025" width="23" style="3431" bestFit="1" customWidth="1"/>
    <col min="1026" max="1026" width="15.44140625" style="3431" customWidth="1"/>
    <col min="1027" max="1027" width="9.33203125" style="3431" bestFit="1" customWidth="1"/>
    <col min="1028" max="1280" width="8.88671875" style="3431"/>
    <col min="1281" max="1281" width="23" style="3431" bestFit="1" customWidth="1"/>
    <col min="1282" max="1282" width="15.44140625" style="3431" customWidth="1"/>
    <col min="1283" max="1283" width="9.33203125" style="3431" bestFit="1" customWidth="1"/>
    <col min="1284" max="1536" width="8.88671875" style="3431"/>
    <col min="1537" max="1537" width="23" style="3431" bestFit="1" customWidth="1"/>
    <col min="1538" max="1538" width="15.44140625" style="3431" customWidth="1"/>
    <col min="1539" max="1539" width="9.33203125" style="3431" bestFit="1" customWidth="1"/>
    <col min="1540" max="1792" width="8.88671875" style="3431"/>
    <col min="1793" max="1793" width="23" style="3431" bestFit="1" customWidth="1"/>
    <col min="1794" max="1794" width="15.44140625" style="3431" customWidth="1"/>
    <col min="1795" max="1795" width="9.33203125" style="3431" bestFit="1" customWidth="1"/>
    <col min="1796" max="2048" width="8.88671875" style="3431"/>
    <col min="2049" max="2049" width="23" style="3431" bestFit="1" customWidth="1"/>
    <col min="2050" max="2050" width="15.44140625" style="3431" customWidth="1"/>
    <col min="2051" max="2051" width="9.33203125" style="3431" bestFit="1" customWidth="1"/>
    <col min="2052" max="2304" width="8.88671875" style="3431"/>
    <col min="2305" max="2305" width="23" style="3431" bestFit="1" customWidth="1"/>
    <col min="2306" max="2306" width="15.44140625" style="3431" customWidth="1"/>
    <col min="2307" max="2307" width="9.33203125" style="3431" bestFit="1" customWidth="1"/>
    <col min="2308" max="2560" width="8.88671875" style="3431"/>
    <col min="2561" max="2561" width="23" style="3431" bestFit="1" customWidth="1"/>
    <col min="2562" max="2562" width="15.44140625" style="3431" customWidth="1"/>
    <col min="2563" max="2563" width="9.33203125" style="3431" bestFit="1" customWidth="1"/>
    <col min="2564" max="2816" width="8.88671875" style="3431"/>
    <col min="2817" max="2817" width="23" style="3431" bestFit="1" customWidth="1"/>
    <col min="2818" max="2818" width="15.44140625" style="3431" customWidth="1"/>
    <col min="2819" max="2819" width="9.33203125" style="3431" bestFit="1" customWidth="1"/>
    <col min="2820" max="3072" width="8.88671875" style="3431"/>
    <col min="3073" max="3073" width="23" style="3431" bestFit="1" customWidth="1"/>
    <col min="3074" max="3074" width="15.44140625" style="3431" customWidth="1"/>
    <col min="3075" max="3075" width="9.33203125" style="3431" bestFit="1" customWidth="1"/>
    <col min="3076" max="3328" width="8.88671875" style="3431"/>
    <col min="3329" max="3329" width="23" style="3431" bestFit="1" customWidth="1"/>
    <col min="3330" max="3330" width="15.44140625" style="3431" customWidth="1"/>
    <col min="3331" max="3331" width="9.33203125" style="3431" bestFit="1" customWidth="1"/>
    <col min="3332" max="3584" width="8.88671875" style="3431"/>
    <col min="3585" max="3585" width="23" style="3431" bestFit="1" customWidth="1"/>
    <col min="3586" max="3586" width="15.44140625" style="3431" customWidth="1"/>
    <col min="3587" max="3587" width="9.33203125" style="3431" bestFit="1" customWidth="1"/>
    <col min="3588" max="3840" width="8.88671875" style="3431"/>
    <col min="3841" max="3841" width="23" style="3431" bestFit="1" customWidth="1"/>
    <col min="3842" max="3842" width="15.44140625" style="3431" customWidth="1"/>
    <col min="3843" max="3843" width="9.33203125" style="3431" bestFit="1" customWidth="1"/>
    <col min="3844" max="4096" width="8.88671875" style="3431"/>
    <col min="4097" max="4097" width="23" style="3431" bestFit="1" customWidth="1"/>
    <col min="4098" max="4098" width="15.44140625" style="3431" customWidth="1"/>
    <col min="4099" max="4099" width="9.33203125" style="3431" bestFit="1" customWidth="1"/>
    <col min="4100" max="4352" width="8.88671875" style="3431"/>
    <col min="4353" max="4353" width="23" style="3431" bestFit="1" customWidth="1"/>
    <col min="4354" max="4354" width="15.44140625" style="3431" customWidth="1"/>
    <col min="4355" max="4355" width="9.33203125" style="3431" bestFit="1" customWidth="1"/>
    <col min="4356" max="4608" width="8.88671875" style="3431"/>
    <col min="4609" max="4609" width="23" style="3431" bestFit="1" customWidth="1"/>
    <col min="4610" max="4610" width="15.44140625" style="3431" customWidth="1"/>
    <col min="4611" max="4611" width="9.33203125" style="3431" bestFit="1" customWidth="1"/>
    <col min="4612" max="4864" width="8.88671875" style="3431"/>
    <col min="4865" max="4865" width="23" style="3431" bestFit="1" customWidth="1"/>
    <col min="4866" max="4866" width="15.44140625" style="3431" customWidth="1"/>
    <col min="4867" max="4867" width="9.33203125" style="3431" bestFit="1" customWidth="1"/>
    <col min="4868" max="5120" width="8.88671875" style="3431"/>
    <col min="5121" max="5121" width="23" style="3431" bestFit="1" customWidth="1"/>
    <col min="5122" max="5122" width="15.44140625" style="3431" customWidth="1"/>
    <col min="5123" max="5123" width="9.33203125" style="3431" bestFit="1" customWidth="1"/>
    <col min="5124" max="5376" width="8.88671875" style="3431"/>
    <col min="5377" max="5377" width="23" style="3431" bestFit="1" customWidth="1"/>
    <col min="5378" max="5378" width="15.44140625" style="3431" customWidth="1"/>
    <col min="5379" max="5379" width="9.33203125" style="3431" bestFit="1" customWidth="1"/>
    <col min="5380" max="5632" width="8.88671875" style="3431"/>
    <col min="5633" max="5633" width="23" style="3431" bestFit="1" customWidth="1"/>
    <col min="5634" max="5634" width="15.44140625" style="3431" customWidth="1"/>
    <col min="5635" max="5635" width="9.33203125" style="3431" bestFit="1" customWidth="1"/>
    <col min="5636" max="5888" width="8.88671875" style="3431"/>
    <col min="5889" max="5889" width="23" style="3431" bestFit="1" customWidth="1"/>
    <col min="5890" max="5890" width="15.44140625" style="3431" customWidth="1"/>
    <col min="5891" max="5891" width="9.33203125" style="3431" bestFit="1" customWidth="1"/>
    <col min="5892" max="6144" width="8.88671875" style="3431"/>
    <col min="6145" max="6145" width="23" style="3431" bestFit="1" customWidth="1"/>
    <col min="6146" max="6146" width="15.44140625" style="3431" customWidth="1"/>
    <col min="6147" max="6147" width="9.33203125" style="3431" bestFit="1" customWidth="1"/>
    <col min="6148" max="6400" width="8.88671875" style="3431"/>
    <col min="6401" max="6401" width="23" style="3431" bestFit="1" customWidth="1"/>
    <col min="6402" max="6402" width="15.44140625" style="3431" customWidth="1"/>
    <col min="6403" max="6403" width="9.33203125" style="3431" bestFit="1" customWidth="1"/>
    <col min="6404" max="6656" width="8.88671875" style="3431"/>
    <col min="6657" max="6657" width="23" style="3431" bestFit="1" customWidth="1"/>
    <col min="6658" max="6658" width="15.44140625" style="3431" customWidth="1"/>
    <col min="6659" max="6659" width="9.33203125" style="3431" bestFit="1" customWidth="1"/>
    <col min="6660" max="6912" width="8.88671875" style="3431"/>
    <col min="6913" max="6913" width="23" style="3431" bestFit="1" customWidth="1"/>
    <col min="6914" max="6914" width="15.44140625" style="3431" customWidth="1"/>
    <col min="6915" max="6915" width="9.33203125" style="3431" bestFit="1" customWidth="1"/>
    <col min="6916" max="7168" width="8.88671875" style="3431"/>
    <col min="7169" max="7169" width="23" style="3431" bestFit="1" customWidth="1"/>
    <col min="7170" max="7170" width="15.44140625" style="3431" customWidth="1"/>
    <col min="7171" max="7171" width="9.33203125" style="3431" bestFit="1" customWidth="1"/>
    <col min="7172" max="7424" width="8.88671875" style="3431"/>
    <col min="7425" max="7425" width="23" style="3431" bestFit="1" customWidth="1"/>
    <col min="7426" max="7426" width="15.44140625" style="3431" customWidth="1"/>
    <col min="7427" max="7427" width="9.33203125" style="3431" bestFit="1" customWidth="1"/>
    <col min="7428" max="7680" width="8.88671875" style="3431"/>
    <col min="7681" max="7681" width="23" style="3431" bestFit="1" customWidth="1"/>
    <col min="7682" max="7682" width="15.44140625" style="3431" customWidth="1"/>
    <col min="7683" max="7683" width="9.33203125" style="3431" bestFit="1" customWidth="1"/>
    <col min="7684" max="7936" width="8.88671875" style="3431"/>
    <col min="7937" max="7937" width="23" style="3431" bestFit="1" customWidth="1"/>
    <col min="7938" max="7938" width="15.44140625" style="3431" customWidth="1"/>
    <col min="7939" max="7939" width="9.33203125" style="3431" bestFit="1" customWidth="1"/>
    <col min="7940" max="8192" width="8.88671875" style="3431"/>
    <col min="8193" max="8193" width="23" style="3431" bestFit="1" customWidth="1"/>
    <col min="8194" max="8194" width="15.44140625" style="3431" customWidth="1"/>
    <col min="8195" max="8195" width="9.33203125" style="3431" bestFit="1" customWidth="1"/>
    <col min="8196" max="8448" width="8.88671875" style="3431"/>
    <col min="8449" max="8449" width="23" style="3431" bestFit="1" customWidth="1"/>
    <col min="8450" max="8450" width="15.44140625" style="3431" customWidth="1"/>
    <col min="8451" max="8451" width="9.33203125" style="3431" bestFit="1" customWidth="1"/>
    <col min="8452" max="8704" width="8.88671875" style="3431"/>
    <col min="8705" max="8705" width="23" style="3431" bestFit="1" customWidth="1"/>
    <col min="8706" max="8706" width="15.44140625" style="3431" customWidth="1"/>
    <col min="8707" max="8707" width="9.33203125" style="3431" bestFit="1" customWidth="1"/>
    <col min="8708" max="8960" width="8.88671875" style="3431"/>
    <col min="8961" max="8961" width="23" style="3431" bestFit="1" customWidth="1"/>
    <col min="8962" max="8962" width="15.44140625" style="3431" customWidth="1"/>
    <col min="8963" max="8963" width="9.33203125" style="3431" bestFit="1" customWidth="1"/>
    <col min="8964" max="9216" width="8.88671875" style="3431"/>
    <col min="9217" max="9217" width="23" style="3431" bestFit="1" customWidth="1"/>
    <col min="9218" max="9218" width="15.44140625" style="3431" customWidth="1"/>
    <col min="9219" max="9219" width="9.33203125" style="3431" bestFit="1" customWidth="1"/>
    <col min="9220" max="9472" width="8.88671875" style="3431"/>
    <col min="9473" max="9473" width="23" style="3431" bestFit="1" customWidth="1"/>
    <col min="9474" max="9474" width="15.44140625" style="3431" customWidth="1"/>
    <col min="9475" max="9475" width="9.33203125" style="3431" bestFit="1" customWidth="1"/>
    <col min="9476" max="9728" width="8.88671875" style="3431"/>
    <col min="9729" max="9729" width="23" style="3431" bestFit="1" customWidth="1"/>
    <col min="9730" max="9730" width="15.44140625" style="3431" customWidth="1"/>
    <col min="9731" max="9731" width="9.33203125" style="3431" bestFit="1" customWidth="1"/>
    <col min="9732" max="9984" width="8.88671875" style="3431"/>
    <col min="9985" max="9985" width="23" style="3431" bestFit="1" customWidth="1"/>
    <col min="9986" max="9986" width="15.44140625" style="3431" customWidth="1"/>
    <col min="9987" max="9987" width="9.33203125" style="3431" bestFit="1" customWidth="1"/>
    <col min="9988" max="10240" width="8.88671875" style="3431"/>
    <col min="10241" max="10241" width="23" style="3431" bestFit="1" customWidth="1"/>
    <col min="10242" max="10242" width="15.44140625" style="3431" customWidth="1"/>
    <col min="10243" max="10243" width="9.33203125" style="3431" bestFit="1" customWidth="1"/>
    <col min="10244" max="10496" width="8.88671875" style="3431"/>
    <col min="10497" max="10497" width="23" style="3431" bestFit="1" customWidth="1"/>
    <col min="10498" max="10498" width="15.44140625" style="3431" customWidth="1"/>
    <col min="10499" max="10499" width="9.33203125" style="3431" bestFit="1" customWidth="1"/>
    <col min="10500" max="10752" width="8.88671875" style="3431"/>
    <col min="10753" max="10753" width="23" style="3431" bestFit="1" customWidth="1"/>
    <col min="10754" max="10754" width="15.44140625" style="3431" customWidth="1"/>
    <col min="10755" max="10755" width="9.33203125" style="3431" bestFit="1" customWidth="1"/>
    <col min="10756" max="11008" width="8.88671875" style="3431"/>
    <col min="11009" max="11009" width="23" style="3431" bestFit="1" customWidth="1"/>
    <col min="11010" max="11010" width="15.44140625" style="3431" customWidth="1"/>
    <col min="11011" max="11011" width="9.33203125" style="3431" bestFit="1" customWidth="1"/>
    <col min="11012" max="11264" width="8.88671875" style="3431"/>
    <col min="11265" max="11265" width="23" style="3431" bestFit="1" customWidth="1"/>
    <col min="11266" max="11266" width="15.44140625" style="3431" customWidth="1"/>
    <col min="11267" max="11267" width="9.33203125" style="3431" bestFit="1" customWidth="1"/>
    <col min="11268" max="11520" width="8.88671875" style="3431"/>
    <col min="11521" max="11521" width="23" style="3431" bestFit="1" customWidth="1"/>
    <col min="11522" max="11522" width="15.44140625" style="3431" customWidth="1"/>
    <col min="11523" max="11523" width="9.33203125" style="3431" bestFit="1" customWidth="1"/>
    <col min="11524" max="11776" width="8.88671875" style="3431"/>
    <col min="11777" max="11777" width="23" style="3431" bestFit="1" customWidth="1"/>
    <col min="11778" max="11778" width="15.44140625" style="3431" customWidth="1"/>
    <col min="11779" max="11779" width="9.33203125" style="3431" bestFit="1" customWidth="1"/>
    <col min="11780" max="12032" width="8.88671875" style="3431"/>
    <col min="12033" max="12033" width="23" style="3431" bestFit="1" customWidth="1"/>
    <col min="12034" max="12034" width="15.44140625" style="3431" customWidth="1"/>
    <col min="12035" max="12035" width="9.33203125" style="3431" bestFit="1" customWidth="1"/>
    <col min="12036" max="12288" width="8.88671875" style="3431"/>
    <col min="12289" max="12289" width="23" style="3431" bestFit="1" customWidth="1"/>
    <col min="12290" max="12290" width="15.44140625" style="3431" customWidth="1"/>
    <col min="12291" max="12291" width="9.33203125" style="3431" bestFit="1" customWidth="1"/>
    <col min="12292" max="12544" width="8.88671875" style="3431"/>
    <col min="12545" max="12545" width="23" style="3431" bestFit="1" customWidth="1"/>
    <col min="12546" max="12546" width="15.44140625" style="3431" customWidth="1"/>
    <col min="12547" max="12547" width="9.33203125" style="3431" bestFit="1" customWidth="1"/>
    <col min="12548" max="12800" width="8.88671875" style="3431"/>
    <col min="12801" max="12801" width="23" style="3431" bestFit="1" customWidth="1"/>
    <col min="12802" max="12802" width="15.44140625" style="3431" customWidth="1"/>
    <col min="12803" max="12803" width="9.33203125" style="3431" bestFit="1" customWidth="1"/>
    <col min="12804" max="13056" width="8.88671875" style="3431"/>
    <col min="13057" max="13057" width="23" style="3431" bestFit="1" customWidth="1"/>
    <col min="13058" max="13058" width="15.44140625" style="3431" customWidth="1"/>
    <col min="13059" max="13059" width="9.33203125" style="3431" bestFit="1" customWidth="1"/>
    <col min="13060" max="13312" width="8.88671875" style="3431"/>
    <col min="13313" max="13313" width="23" style="3431" bestFit="1" customWidth="1"/>
    <col min="13314" max="13314" width="15.44140625" style="3431" customWidth="1"/>
    <col min="13315" max="13315" width="9.33203125" style="3431" bestFit="1" customWidth="1"/>
    <col min="13316" max="13568" width="8.88671875" style="3431"/>
    <col min="13569" max="13569" width="23" style="3431" bestFit="1" customWidth="1"/>
    <col min="13570" max="13570" width="15.44140625" style="3431" customWidth="1"/>
    <col min="13571" max="13571" width="9.33203125" style="3431" bestFit="1" customWidth="1"/>
    <col min="13572" max="13824" width="8.88671875" style="3431"/>
    <col min="13825" max="13825" width="23" style="3431" bestFit="1" customWidth="1"/>
    <col min="13826" max="13826" width="15.44140625" style="3431" customWidth="1"/>
    <col min="13827" max="13827" width="9.33203125" style="3431" bestFit="1" customWidth="1"/>
    <col min="13828" max="14080" width="8.88671875" style="3431"/>
    <col min="14081" max="14081" width="23" style="3431" bestFit="1" customWidth="1"/>
    <col min="14082" max="14082" width="15.44140625" style="3431" customWidth="1"/>
    <col min="14083" max="14083" width="9.33203125" style="3431" bestFit="1" customWidth="1"/>
    <col min="14084" max="14336" width="8.88671875" style="3431"/>
    <col min="14337" max="14337" width="23" style="3431" bestFit="1" customWidth="1"/>
    <col min="14338" max="14338" width="15.44140625" style="3431" customWidth="1"/>
    <col min="14339" max="14339" width="9.33203125" style="3431" bestFit="1" customWidth="1"/>
    <col min="14340" max="14592" width="8.88671875" style="3431"/>
    <col min="14593" max="14593" width="23" style="3431" bestFit="1" customWidth="1"/>
    <col min="14594" max="14594" width="15.44140625" style="3431" customWidth="1"/>
    <col min="14595" max="14595" width="9.33203125" style="3431" bestFit="1" customWidth="1"/>
    <col min="14596" max="14848" width="8.88671875" style="3431"/>
    <col min="14849" max="14849" width="23" style="3431" bestFit="1" customWidth="1"/>
    <col min="14850" max="14850" width="15.44140625" style="3431" customWidth="1"/>
    <col min="14851" max="14851" width="9.33203125" style="3431" bestFit="1" customWidth="1"/>
    <col min="14852" max="15104" width="8.88671875" style="3431"/>
    <col min="15105" max="15105" width="23" style="3431" bestFit="1" customWidth="1"/>
    <col min="15106" max="15106" width="15.44140625" style="3431" customWidth="1"/>
    <col min="15107" max="15107" width="9.33203125" style="3431" bestFit="1" customWidth="1"/>
    <col min="15108" max="15360" width="8.88671875" style="3431"/>
    <col min="15361" max="15361" width="23" style="3431" bestFit="1" customWidth="1"/>
    <col min="15362" max="15362" width="15.44140625" style="3431" customWidth="1"/>
    <col min="15363" max="15363" width="9.33203125" style="3431" bestFit="1" customWidth="1"/>
    <col min="15364" max="15616" width="8.88671875" style="3431"/>
    <col min="15617" max="15617" width="23" style="3431" bestFit="1" customWidth="1"/>
    <col min="15618" max="15618" width="15.44140625" style="3431" customWidth="1"/>
    <col min="15619" max="15619" width="9.33203125" style="3431" bestFit="1" customWidth="1"/>
    <col min="15620" max="15872" width="8.88671875" style="3431"/>
    <col min="15873" max="15873" width="23" style="3431" bestFit="1" customWidth="1"/>
    <col min="15874" max="15874" width="15.44140625" style="3431" customWidth="1"/>
    <col min="15875" max="15875" width="9.33203125" style="3431" bestFit="1" customWidth="1"/>
    <col min="15876" max="16128" width="8.88671875" style="3431"/>
    <col min="16129" max="16129" width="23" style="3431" bestFit="1" customWidth="1"/>
    <col min="16130" max="16130" width="15.44140625" style="3431" customWidth="1"/>
    <col min="16131" max="16131" width="9.33203125" style="3431" bestFit="1" customWidth="1"/>
    <col min="16132" max="16384" width="8.88671875" style="3431"/>
  </cols>
  <sheetData>
    <row r="1" spans="1:2">
      <c r="A1" s="3431" t="s">
        <v>2034</v>
      </c>
      <c r="B1" s="3444">
        <v>6.1</v>
      </c>
    </row>
    <row r="2" spans="1:2">
      <c r="A2" s="3431" t="s">
        <v>2035</v>
      </c>
      <c r="B2" s="3448">
        <v>43215.455810185187</v>
      </c>
    </row>
    <row r="3" spans="1:2">
      <c r="A3" s="3431" t="s">
        <v>2036</v>
      </c>
      <c r="B3" s="3445" t="s">
        <v>1730</v>
      </c>
    </row>
    <row r="4" spans="1:2">
      <c r="A4" s="3431" t="s">
        <v>2037</v>
      </c>
      <c r="B4" s="3445" t="s">
        <v>2038</v>
      </c>
    </row>
    <row r="5" spans="1:2">
      <c r="A5" s="3431" t="s">
        <v>2039</v>
      </c>
      <c r="B5" s="3445" t="s">
        <v>2040</v>
      </c>
    </row>
    <row r="6" spans="1:2">
      <c r="A6" s="3431" t="s">
        <v>2041</v>
      </c>
    </row>
    <row r="7" spans="1:2">
      <c r="A7" s="3431" t="s">
        <v>2042</v>
      </c>
      <c r="B7" s="3445" t="s">
        <v>1111</v>
      </c>
    </row>
    <row r="8" spans="1:2">
      <c r="A8" s="3431" t="s">
        <v>2043</v>
      </c>
      <c r="B8" s="3445" t="s">
        <v>2044</v>
      </c>
    </row>
    <row r="9" spans="1:2">
      <c r="A9" s="3431" t="s">
        <v>2045</v>
      </c>
      <c r="B9" s="3445" t="s">
        <v>2083</v>
      </c>
    </row>
    <row r="10" spans="1:2">
      <c r="A10" s="3431" t="s">
        <v>2046</v>
      </c>
    </row>
    <row r="11" spans="1:2">
      <c r="A11" s="3431" t="s">
        <v>2047</v>
      </c>
    </row>
    <row r="12" spans="1:2">
      <c r="A12" s="3431" t="s">
        <v>2048</v>
      </c>
    </row>
    <row r="13" spans="1:2">
      <c r="A13" s="3431" t="s">
        <v>2049</v>
      </c>
    </row>
    <row r="14" spans="1:2">
      <c r="A14" s="3431" t="s">
        <v>2050</v>
      </c>
    </row>
    <row r="15" spans="1:2">
      <c r="A15" s="3431" t="s">
        <v>2051</v>
      </c>
    </row>
    <row r="16" spans="1:2">
      <c r="A16" s="3431" t="s">
        <v>2052</v>
      </c>
    </row>
    <row r="17" spans="1:4">
      <c r="A17" s="3431" t="s">
        <v>2053</v>
      </c>
      <c r="B17" s="3445" t="s">
        <v>2084</v>
      </c>
    </row>
    <row r="18" spans="1:4">
      <c r="A18" s="3431" t="s">
        <v>2054</v>
      </c>
      <c r="B18" s="3445" t="s">
        <v>2087</v>
      </c>
    </row>
    <row r="19" spans="1:4">
      <c r="A19" s="3431" t="s">
        <v>2055</v>
      </c>
      <c r="B19" s="3445" t="s">
        <v>1428</v>
      </c>
    </row>
    <row r="20" spans="1:4">
      <c r="A20" s="3431" t="s">
        <v>2056</v>
      </c>
      <c r="B20" s="3446" t="s">
        <v>2088</v>
      </c>
    </row>
    <row r="21" spans="1:4">
      <c r="A21" s="3431" t="s">
        <v>2057</v>
      </c>
      <c r="B21" s="3445" t="s">
        <v>1428</v>
      </c>
    </row>
    <row r="22" spans="1:4">
      <c r="A22" s="3431" t="s">
        <v>2058</v>
      </c>
      <c r="B22" s="3446">
        <v>2090571</v>
      </c>
    </row>
    <row r="23" spans="1:4">
      <c r="A23" s="3431" t="s">
        <v>1728</v>
      </c>
      <c r="B23" s="3444">
        <v>49.67</v>
      </c>
    </row>
    <row r="24" spans="1:4">
      <c r="A24" s="3431" t="s">
        <v>1727</v>
      </c>
      <c r="B24" s="3445" t="s">
        <v>1091</v>
      </c>
      <c r="D24" s="3431" t="s">
        <v>2059</v>
      </c>
    </row>
    <row r="25" spans="1:4">
      <c r="A25" s="3431" t="s">
        <v>2060</v>
      </c>
      <c r="B25" s="3445" t="s">
        <v>2089</v>
      </c>
    </row>
    <row r="26" spans="1:4">
      <c r="A26" s="3431" t="s">
        <v>2061</v>
      </c>
      <c r="B26" s="3445">
        <v>0</v>
      </c>
    </row>
    <row r="27" spans="1:4">
      <c r="A27" s="3431" t="s">
        <v>2062</v>
      </c>
      <c r="B27" s="3445" t="s">
        <v>2063</v>
      </c>
    </row>
    <row r="28" spans="1:4">
      <c r="A28" s="3431" t="s">
        <v>2064</v>
      </c>
      <c r="B28" s="3445" t="s">
        <v>2065</v>
      </c>
    </row>
    <row r="29" spans="1:4">
      <c r="A29" s="3431" t="s">
        <v>2066</v>
      </c>
    </row>
    <row r="30" spans="1:4">
      <c r="A30" s="3431" t="s">
        <v>2067</v>
      </c>
    </row>
    <row r="31" spans="1:4">
      <c r="A31" s="3431" t="s">
        <v>2068</v>
      </c>
    </row>
    <row r="32" spans="1:4">
      <c r="A32" s="3431" t="s">
        <v>2069</v>
      </c>
      <c r="B32" s="3444"/>
    </row>
    <row r="33" spans="1:2">
      <c r="A33" s="3431" t="s">
        <v>2070</v>
      </c>
      <c r="B33" s="3444"/>
    </row>
    <row r="34" spans="1:2">
      <c r="A34" s="3431" t="s">
        <v>2071</v>
      </c>
      <c r="B34" s="3444"/>
    </row>
    <row r="35" spans="1:2">
      <c r="A35" s="3431" t="s">
        <v>2072</v>
      </c>
      <c r="B35" s="3445">
        <v>1000000</v>
      </c>
    </row>
    <row r="36" spans="1:2">
      <c r="A36" s="3431" t="s">
        <v>2073</v>
      </c>
      <c r="B36" s="3445" t="s">
        <v>2085</v>
      </c>
    </row>
    <row r="37" spans="1:2">
      <c r="A37" s="3431" t="s">
        <v>2074</v>
      </c>
      <c r="B37" s="3445" t="s">
        <v>2075</v>
      </c>
    </row>
    <row r="38" spans="1:2">
      <c r="A38" s="3431" t="s">
        <v>2076</v>
      </c>
      <c r="B38" s="3445" t="s">
        <v>2077</v>
      </c>
    </row>
    <row r="39" spans="1:2">
      <c r="A39" s="3431" t="s">
        <v>2078</v>
      </c>
      <c r="B39" s="3445" t="s">
        <v>2086</v>
      </c>
    </row>
    <row r="40" spans="1:2">
      <c r="A40" s="3431" t="s">
        <v>2079</v>
      </c>
      <c r="B40" s="3445">
        <v>1500004829</v>
      </c>
    </row>
    <row r="41" spans="1:2">
      <c r="A41" s="3431" t="s">
        <v>2080</v>
      </c>
      <c r="B41" s="3445">
        <v>1</v>
      </c>
    </row>
    <row r="42" spans="1:2">
      <c r="A42" s="3447" t="s">
        <v>2081</v>
      </c>
    </row>
    <row r="43" spans="1:2">
      <c r="A43" s="3431" t="s">
        <v>2082</v>
      </c>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13"/>
  <sheetViews>
    <sheetView workbookViewId="0">
      <selection activeCell="E11" sqref="E11"/>
    </sheetView>
  </sheetViews>
  <sheetFormatPr defaultRowHeight="12.75"/>
  <cols>
    <col min="1" max="1" width="22.21875" style="3431" bestFit="1" customWidth="1"/>
    <col min="2" max="256" width="8.88671875" style="3431"/>
    <col min="257" max="257" width="22.21875" style="3431" bestFit="1" customWidth="1"/>
    <col min="258" max="512" width="8.88671875" style="3431"/>
    <col min="513" max="513" width="22.21875" style="3431" bestFit="1" customWidth="1"/>
    <col min="514" max="768" width="8.88671875" style="3431"/>
    <col min="769" max="769" width="22.21875" style="3431" bestFit="1" customWidth="1"/>
    <col min="770" max="1024" width="8.88671875" style="3431"/>
    <col min="1025" max="1025" width="22.21875" style="3431" bestFit="1" customWidth="1"/>
    <col min="1026" max="1280" width="8.88671875" style="3431"/>
    <col min="1281" max="1281" width="22.21875" style="3431" bestFit="1" customWidth="1"/>
    <col min="1282" max="1536" width="8.88671875" style="3431"/>
    <col min="1537" max="1537" width="22.21875" style="3431" bestFit="1" customWidth="1"/>
    <col min="1538" max="1792" width="8.88671875" style="3431"/>
    <col min="1793" max="1793" width="22.21875" style="3431" bestFit="1" customWidth="1"/>
    <col min="1794" max="2048" width="8.88671875" style="3431"/>
    <col min="2049" max="2049" width="22.21875" style="3431" bestFit="1" customWidth="1"/>
    <col min="2050" max="2304" width="8.88671875" style="3431"/>
    <col min="2305" max="2305" width="22.21875" style="3431" bestFit="1" customWidth="1"/>
    <col min="2306" max="2560" width="8.88671875" style="3431"/>
    <col min="2561" max="2561" width="22.21875" style="3431" bestFit="1" customWidth="1"/>
    <col min="2562" max="2816" width="8.88671875" style="3431"/>
    <col min="2817" max="2817" width="22.21875" style="3431" bestFit="1" customWidth="1"/>
    <col min="2818" max="3072" width="8.88671875" style="3431"/>
    <col min="3073" max="3073" width="22.21875" style="3431" bestFit="1" customWidth="1"/>
    <col min="3074" max="3328" width="8.88671875" style="3431"/>
    <col min="3329" max="3329" width="22.21875" style="3431" bestFit="1" customWidth="1"/>
    <col min="3330" max="3584" width="8.88671875" style="3431"/>
    <col min="3585" max="3585" width="22.21875" style="3431" bestFit="1" customWidth="1"/>
    <col min="3586" max="3840" width="8.88671875" style="3431"/>
    <col min="3841" max="3841" width="22.21875" style="3431" bestFit="1" customWidth="1"/>
    <col min="3842" max="4096" width="8.88671875" style="3431"/>
    <col min="4097" max="4097" width="22.21875" style="3431" bestFit="1" customWidth="1"/>
    <col min="4098" max="4352" width="8.88671875" style="3431"/>
    <col min="4353" max="4353" width="22.21875" style="3431" bestFit="1" customWidth="1"/>
    <col min="4354" max="4608" width="8.88671875" style="3431"/>
    <col min="4609" max="4609" width="22.21875" style="3431" bestFit="1" customWidth="1"/>
    <col min="4610" max="4864" width="8.88671875" style="3431"/>
    <col min="4865" max="4865" width="22.21875" style="3431" bestFit="1" customWidth="1"/>
    <col min="4866" max="5120" width="8.88671875" style="3431"/>
    <col min="5121" max="5121" width="22.21875" style="3431" bestFit="1" customWidth="1"/>
    <col min="5122" max="5376" width="8.88671875" style="3431"/>
    <col min="5377" max="5377" width="22.21875" style="3431" bestFit="1" customWidth="1"/>
    <col min="5378" max="5632" width="8.88671875" style="3431"/>
    <col min="5633" max="5633" width="22.21875" style="3431" bestFit="1" customWidth="1"/>
    <col min="5634" max="5888" width="8.88671875" style="3431"/>
    <col min="5889" max="5889" width="22.21875" style="3431" bestFit="1" customWidth="1"/>
    <col min="5890" max="6144" width="8.88671875" style="3431"/>
    <col min="6145" max="6145" width="22.21875" style="3431" bestFit="1" customWidth="1"/>
    <col min="6146" max="6400" width="8.88671875" style="3431"/>
    <col min="6401" max="6401" width="22.21875" style="3431" bestFit="1" customWidth="1"/>
    <col min="6402" max="6656" width="8.88671875" style="3431"/>
    <col min="6657" max="6657" width="22.21875" style="3431" bestFit="1" customWidth="1"/>
    <col min="6658" max="6912" width="8.88671875" style="3431"/>
    <col min="6913" max="6913" width="22.21875" style="3431" bestFit="1" customWidth="1"/>
    <col min="6914" max="7168" width="8.88671875" style="3431"/>
    <col min="7169" max="7169" width="22.21875" style="3431" bestFit="1" customWidth="1"/>
    <col min="7170" max="7424" width="8.88671875" style="3431"/>
    <col min="7425" max="7425" width="22.21875" style="3431" bestFit="1" customWidth="1"/>
    <col min="7426" max="7680" width="8.88671875" style="3431"/>
    <col min="7681" max="7681" width="22.21875" style="3431" bestFit="1" customWidth="1"/>
    <col min="7682" max="7936" width="8.88671875" style="3431"/>
    <col min="7937" max="7937" width="22.21875" style="3431" bestFit="1" customWidth="1"/>
    <col min="7938" max="8192" width="8.88671875" style="3431"/>
    <col min="8193" max="8193" width="22.21875" style="3431" bestFit="1" customWidth="1"/>
    <col min="8194" max="8448" width="8.88671875" style="3431"/>
    <col min="8449" max="8449" width="22.21875" style="3431" bestFit="1" customWidth="1"/>
    <col min="8450" max="8704" width="8.88671875" style="3431"/>
    <col min="8705" max="8705" width="22.21875" style="3431" bestFit="1" customWidth="1"/>
    <col min="8706" max="8960" width="8.88671875" style="3431"/>
    <col min="8961" max="8961" width="22.21875" style="3431" bestFit="1" customWidth="1"/>
    <col min="8962" max="9216" width="8.88671875" style="3431"/>
    <col min="9217" max="9217" width="22.21875" style="3431" bestFit="1" customWidth="1"/>
    <col min="9218" max="9472" width="8.88671875" style="3431"/>
    <col min="9473" max="9473" width="22.21875" style="3431" bestFit="1" customWidth="1"/>
    <col min="9474" max="9728" width="8.88671875" style="3431"/>
    <col min="9729" max="9729" width="22.21875" style="3431" bestFit="1" customWidth="1"/>
    <col min="9730" max="9984" width="8.88671875" style="3431"/>
    <col min="9985" max="9985" width="22.21875" style="3431" bestFit="1" customWidth="1"/>
    <col min="9986" max="10240" width="8.88671875" style="3431"/>
    <col min="10241" max="10241" width="22.21875" style="3431" bestFit="1" customWidth="1"/>
    <col min="10242" max="10496" width="8.88671875" style="3431"/>
    <col min="10497" max="10497" width="22.21875" style="3431" bestFit="1" customWidth="1"/>
    <col min="10498" max="10752" width="8.88671875" style="3431"/>
    <col min="10753" max="10753" width="22.21875" style="3431" bestFit="1" customWidth="1"/>
    <col min="10754" max="11008" width="8.88671875" style="3431"/>
    <col min="11009" max="11009" width="22.21875" style="3431" bestFit="1" customWidth="1"/>
    <col min="11010" max="11264" width="8.88671875" style="3431"/>
    <col min="11265" max="11265" width="22.21875" style="3431" bestFit="1" customWidth="1"/>
    <col min="11266" max="11520" width="8.88671875" style="3431"/>
    <col min="11521" max="11521" width="22.21875" style="3431" bestFit="1" customWidth="1"/>
    <col min="11522" max="11776" width="8.88671875" style="3431"/>
    <col min="11777" max="11777" width="22.21875" style="3431" bestFit="1" customWidth="1"/>
    <col min="11778" max="12032" width="8.88671875" style="3431"/>
    <col min="12033" max="12033" width="22.21875" style="3431" bestFit="1" customWidth="1"/>
    <col min="12034" max="12288" width="8.88671875" style="3431"/>
    <col min="12289" max="12289" width="22.21875" style="3431" bestFit="1" customWidth="1"/>
    <col min="12290" max="12544" width="8.88671875" style="3431"/>
    <col min="12545" max="12545" width="22.21875" style="3431" bestFit="1" customWidth="1"/>
    <col min="12546" max="12800" width="8.88671875" style="3431"/>
    <col min="12801" max="12801" width="22.21875" style="3431" bestFit="1" customWidth="1"/>
    <col min="12802" max="13056" width="8.88671875" style="3431"/>
    <col min="13057" max="13057" width="22.21875" style="3431" bestFit="1" customWidth="1"/>
    <col min="13058" max="13312" width="8.88671875" style="3431"/>
    <col min="13313" max="13313" width="22.21875" style="3431" bestFit="1" customWidth="1"/>
    <col min="13314" max="13568" width="8.88671875" style="3431"/>
    <col min="13569" max="13569" width="22.21875" style="3431" bestFit="1" customWidth="1"/>
    <col min="13570" max="13824" width="8.88671875" style="3431"/>
    <col min="13825" max="13825" width="22.21875" style="3431" bestFit="1" customWidth="1"/>
    <col min="13826" max="14080" width="8.88671875" style="3431"/>
    <col min="14081" max="14081" width="22.21875" style="3431" bestFit="1" customWidth="1"/>
    <col min="14082" max="14336" width="8.88671875" style="3431"/>
    <col min="14337" max="14337" width="22.21875" style="3431" bestFit="1" customWidth="1"/>
    <col min="14338" max="14592" width="8.88671875" style="3431"/>
    <col min="14593" max="14593" width="22.21875" style="3431" bestFit="1" customWidth="1"/>
    <col min="14594" max="14848" width="8.88671875" style="3431"/>
    <col min="14849" max="14849" width="22.21875" style="3431" bestFit="1" customWidth="1"/>
    <col min="14850" max="15104" width="8.88671875" style="3431"/>
    <col min="15105" max="15105" width="22.21875" style="3431" bestFit="1" customWidth="1"/>
    <col min="15106" max="15360" width="8.88671875" style="3431"/>
    <col min="15361" max="15361" width="22.21875" style="3431" bestFit="1" customWidth="1"/>
    <col min="15362" max="15616" width="8.88671875" style="3431"/>
    <col min="15617" max="15617" width="22.21875" style="3431" bestFit="1" customWidth="1"/>
    <col min="15618" max="15872" width="8.88671875" style="3431"/>
    <col min="15873" max="15873" width="22.21875" style="3431" bestFit="1" customWidth="1"/>
    <col min="15874" max="16128" width="8.88671875" style="3431"/>
    <col min="16129" max="16129" width="22.21875" style="3431" bestFit="1" customWidth="1"/>
    <col min="16130" max="16384" width="8.88671875" style="3431"/>
  </cols>
  <sheetData>
    <row r="1" spans="1:1">
      <c r="A1" s="3449" t="s">
        <v>2090</v>
      </c>
    </row>
    <row r="2" spans="1:1">
      <c r="A2" s="3449" t="s">
        <v>2095</v>
      </c>
    </row>
    <row r="3" spans="1:1">
      <c r="A3" s="3449" t="s">
        <v>2096</v>
      </c>
    </row>
    <row r="4" spans="1:1">
      <c r="A4" s="3449" t="s">
        <v>2097</v>
      </c>
    </row>
    <row r="5" spans="1:1">
      <c r="A5" s="3449" t="s">
        <v>2098</v>
      </c>
    </row>
    <row r="6" spans="1:1">
      <c r="A6" s="3449" t="s">
        <v>2091</v>
      </c>
    </row>
    <row r="7" spans="1:1">
      <c r="A7" s="3449" t="s">
        <v>2099</v>
      </c>
    </row>
    <row r="8" spans="1:1">
      <c r="A8" s="3449" t="s">
        <v>2100</v>
      </c>
    </row>
    <row r="9" spans="1:1">
      <c r="A9" s="3449" t="s">
        <v>2101</v>
      </c>
    </row>
    <row r="10" spans="1:1">
      <c r="A10" s="3449" t="s">
        <v>2092</v>
      </c>
    </row>
    <row r="11" spans="1:1">
      <c r="A11" s="3449" t="s">
        <v>2102</v>
      </c>
    </row>
    <row r="12" spans="1:1">
      <c r="A12" s="3449" t="s">
        <v>2093</v>
      </c>
    </row>
    <row r="13" spans="1:1">
      <c r="A13" s="3449" t="s">
        <v>2094</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5DEC35EF-2996-49B1-851F-FFDA63A7F115}">
  <ds:schemaRefs>
    <ds:schemaRef ds:uri="thomsonreuters.linking.metadatachange"/>
  </ds:schemaRefs>
</ds:datastoreItem>
</file>

<file path=customXml/itemProps2.xml><?xml version="1.0" encoding="utf-8"?>
<ds:datastoreItem xmlns:ds="http://schemas.openxmlformats.org/officeDocument/2006/customXml" ds:itemID="{13472788-C6DE-4D99-9AAD-AC037D815D35}">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240</vt:i4>
      </vt:variant>
    </vt:vector>
  </HeadingPairs>
  <TitlesOfParts>
    <vt:vector size="262" baseType="lpstr">
      <vt:lpstr>OldIS</vt:lpstr>
      <vt:lpstr>ImportantDisclosures</vt:lpstr>
      <vt:lpstr>CircularReferenceAlert</vt:lpstr>
      <vt:lpstr>Valuation</vt:lpstr>
      <vt:lpstr>Q</vt:lpstr>
      <vt:lpstr>IS</vt:lpstr>
      <vt:lpstr>BS</vt:lpstr>
      <vt:lpstr>CFS</vt:lpstr>
      <vt:lpstr>Wless</vt:lpstr>
      <vt:lpstr>Wireline</vt:lpstr>
      <vt:lpstr>FiOS</vt:lpstr>
      <vt:lpstr>Lines</vt:lpstr>
      <vt:lpstr>Capex</vt:lpstr>
      <vt:lpstr>Other</vt:lpstr>
      <vt:lpstr>Segments</vt:lpstr>
      <vt:lpstr>Pension - NEW</vt:lpstr>
      <vt:lpstr>OPEB - NEW</vt:lpstr>
      <vt:lpstr>Cash Taxes</vt:lpstr>
      <vt:lpstr>NormInputs</vt:lpstr>
      <vt:lpstr>Links</vt:lpstr>
      <vt:lpstr>IndexInformation</vt:lpstr>
      <vt:lpstr>ModPubIndex</vt:lpstr>
      <vt:lpstr>'Cash Taxes'!_fye01</vt:lpstr>
      <vt:lpstr>_fye01</vt:lpstr>
      <vt:lpstr>'Cash Taxes'!_fye02</vt:lpstr>
      <vt:lpstr>_fye02</vt:lpstr>
      <vt:lpstr>BS!_fye99</vt:lpstr>
      <vt:lpstr>Capex!_fye99</vt:lpstr>
      <vt:lpstr>CFS!_fye99</vt:lpstr>
      <vt:lpstr>Lines!_fye99</vt:lpstr>
      <vt:lpstr>NormInputs!_fye99</vt:lpstr>
      <vt:lpstr>OldIS!_fye99</vt:lpstr>
      <vt:lpstr>Other!_fye99</vt:lpstr>
      <vt:lpstr>Segments!_fye99</vt:lpstr>
      <vt:lpstr>Wless!_fye99</vt:lpstr>
      <vt:lpstr>_switch</vt:lpstr>
      <vt:lpstr>'Cash Taxes'!_switch2</vt:lpstr>
      <vt:lpstr>_switch2</vt:lpstr>
      <vt:lpstr>AdditionalInstructions</vt:lpstr>
      <vt:lpstr>ImportantDisclosures!Address</vt:lpstr>
      <vt:lpstr>ModPubIndex!ANA</vt:lpstr>
      <vt:lpstr>ImportantDisclosures!Authors</vt:lpstr>
      <vt:lpstr>IndexInformation!Authors</vt:lpstr>
      <vt:lpstr>balance</vt:lpstr>
      <vt:lpstr>ModPubIndex!BRO</vt:lpstr>
      <vt:lpstr>bs_eighteen</vt:lpstr>
      <vt:lpstr>CircularReferenceAlert!Buttons</vt:lpstr>
      <vt:lpstr>cfs</vt:lpstr>
      <vt:lpstr>cfs_eighteen</vt:lpstr>
      <vt:lpstr>CopyrightStamp</vt:lpstr>
      <vt:lpstr>ModPubIndex!COU</vt:lpstr>
      <vt:lpstr>IndexInformation!CQEnd</vt:lpstr>
      <vt:lpstr>IndexInformation!Currency</vt:lpstr>
      <vt:lpstr>'OPEB - NEW'!Currency_ISOcode</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'OPEB - NEW'!dropDown2</vt:lpstr>
      <vt:lpstr>eighteenguide</vt:lpstr>
      <vt:lpstr>ModPubIndex!EMAIL_ALERT</vt:lpstr>
      <vt:lpstr>IndexInformation!EmailAlert</vt:lpstr>
      <vt:lpstr>'Cash Taxes'!f</vt:lpstr>
      <vt:lpstr>f</vt:lpstr>
      <vt:lpstr>IndexInformation!FiveYearGrowthRate</vt:lpstr>
      <vt:lpstr>IndexInformation!FollowingYearEPS</vt:lpstr>
      <vt:lpstr>IndexInformation!FollowingYearTotalRevenue</vt:lpstr>
      <vt:lpstr>IndexInformation!FollowingYearTotalRevenueActual</vt:lpstr>
      <vt:lpstr>Lines!fye00</vt:lpstr>
      <vt:lpstr>Other!fye00</vt:lpstr>
      <vt:lpstr>Wless!fye00</vt:lpstr>
      <vt:lpstr>guidance2017</vt:lpstr>
      <vt:lpstr>guide17</vt:lpstr>
      <vt:lpstr>guide2017</vt:lpstr>
      <vt:lpstr>ModPubIndex!HL</vt:lpstr>
      <vt:lpstr>income</vt:lpstr>
      <vt:lpstr>ModPubIndex!IND</vt:lpstr>
      <vt:lpstr>ImportantDisclosures!Industry</vt:lpstr>
      <vt:lpstr>IndustryId</vt:lpstr>
      <vt:lpstr>ImportantDisclosures!IndustryRating</vt:lpstr>
      <vt:lpstr>is</vt:lpstr>
      <vt:lpstr>is_eighteen</vt:lpstr>
      <vt:lpstr>iss</vt:lpstr>
      <vt:lpstr>IndexInformation!KeepVersions</vt:lpstr>
      <vt:lpstr>LanguageCode</vt:lpstr>
      <vt:lpstr>ImportantDisclosures!LastCell</vt:lpstr>
      <vt:lpstr>Linking_1</vt:lpstr>
      <vt:lpstr>Linking_2</vt:lpstr>
      <vt:lpstr>Linking_Range_1</vt:lpstr>
      <vt:lpstr>Q!Linking_Range_10</vt:lpstr>
      <vt:lpstr>Linking_Range_10</vt:lpstr>
      <vt:lpstr>Linking_Range_11</vt:lpstr>
      <vt:lpstr>Q!Linking_Range_12</vt:lpstr>
      <vt:lpstr>Linking_Range_12</vt:lpstr>
      <vt:lpstr>Q!Linking_Range_13</vt:lpstr>
      <vt:lpstr>Linking_Range_13</vt:lpstr>
      <vt:lpstr>Q!Linking_Range_14</vt:lpstr>
      <vt:lpstr>Linking_Range_14</vt:lpstr>
      <vt:lpstr>Q!Linking_Range_15</vt:lpstr>
      <vt:lpstr>Linking_Range_15</vt:lpstr>
      <vt:lpstr>Q!Linking_Range_16</vt:lpstr>
      <vt:lpstr>Linking_Range_16</vt:lpstr>
      <vt:lpstr>Q!Linking_Range_17</vt:lpstr>
      <vt:lpstr>Linking_Range_17</vt:lpstr>
      <vt:lpstr>Q!Linking_Range_18</vt:lpstr>
      <vt:lpstr>Linking_Range_18</vt:lpstr>
      <vt:lpstr>Q!Linking_Range_19</vt:lpstr>
      <vt:lpstr>Linking_Range_19</vt:lpstr>
      <vt:lpstr>Q!Linking_Range_2</vt:lpstr>
      <vt:lpstr>Linking_Range_2</vt:lpstr>
      <vt:lpstr>Q!Linking_Range_20</vt:lpstr>
      <vt:lpstr>Q!Linking_Range_21</vt:lpstr>
      <vt:lpstr>Q!Linking_Range_22</vt:lpstr>
      <vt:lpstr>Q!Linking_Range_23</vt:lpstr>
      <vt:lpstr>'Cash Taxes'!Linking_Range_24</vt:lpstr>
      <vt:lpstr>Q!Linking_Range_24</vt:lpstr>
      <vt:lpstr>Q!Linking_Range_25</vt:lpstr>
      <vt:lpstr>Linking_Range_28</vt:lpstr>
      <vt:lpstr>Linking_Range_29</vt:lpstr>
      <vt:lpstr>'Cash Taxes'!Linking_Range_3</vt:lpstr>
      <vt:lpstr>Q!Linking_Range_3</vt:lpstr>
      <vt:lpstr>Linking_Range_3</vt:lpstr>
      <vt:lpstr>Linking_Range_30</vt:lpstr>
      <vt:lpstr>Linking_Range_31</vt:lpstr>
      <vt:lpstr>Linking_Range_32</vt:lpstr>
      <vt:lpstr>Linking_Range_33</vt:lpstr>
      <vt:lpstr>Linking_Range_34</vt:lpstr>
      <vt:lpstr>Linking_Range_35</vt:lpstr>
      <vt:lpstr>Linking_Range_36</vt:lpstr>
      <vt:lpstr>Linking_Range_37</vt:lpstr>
      <vt:lpstr>Linking_Range_38</vt:lpstr>
      <vt:lpstr>Linking_Range_39</vt:lpstr>
      <vt:lpstr>Q!Linking_Range_4</vt:lpstr>
      <vt:lpstr>Linking_Range_4</vt:lpstr>
      <vt:lpstr>Linking_Range_40</vt:lpstr>
      <vt:lpstr>Linking_Range_41</vt:lpstr>
      <vt:lpstr>Linking_Range_42</vt:lpstr>
      <vt:lpstr>Linking_Range_43</vt:lpstr>
      <vt:lpstr>Linking_Range_44</vt:lpstr>
      <vt:lpstr>Linking_Range_45</vt:lpstr>
      <vt:lpstr>Linking_Range_46</vt:lpstr>
      <vt:lpstr>Linking_Range_47</vt:lpstr>
      <vt:lpstr>Linking_Range_48</vt:lpstr>
      <vt:lpstr>Linking_Range_49</vt:lpstr>
      <vt:lpstr>Q!Linking_Range_5</vt:lpstr>
      <vt:lpstr>Linking_Range_5</vt:lpstr>
      <vt:lpstr>Linking_Range_50</vt:lpstr>
      <vt:lpstr>Linking_Range_51</vt:lpstr>
      <vt:lpstr>Linking_Range_52</vt:lpstr>
      <vt:lpstr>Linking_Range_53</vt:lpstr>
      <vt:lpstr>Linking_Range_54</vt:lpstr>
      <vt:lpstr>Linking_Range_55</vt:lpstr>
      <vt:lpstr>Linking_Range_56</vt:lpstr>
      <vt:lpstr>Linking_Range_57</vt:lpstr>
      <vt:lpstr>Linking_Range_58</vt:lpstr>
      <vt:lpstr>Linking_Range_59</vt:lpstr>
      <vt:lpstr>Q!Linking_Range_6</vt:lpstr>
      <vt:lpstr>Linking_Range_6</vt:lpstr>
      <vt:lpstr>Linking_Range_60</vt:lpstr>
      <vt:lpstr>Linking_Range_61</vt:lpstr>
      <vt:lpstr>Linking_Range_62</vt:lpstr>
      <vt:lpstr>Linking_Range_63</vt:lpstr>
      <vt:lpstr>Linking_Range_64</vt:lpstr>
      <vt:lpstr>Linking_Range_65</vt:lpstr>
      <vt:lpstr>Linking_Range_66</vt:lpstr>
      <vt:lpstr>Linking_Range_67</vt:lpstr>
      <vt:lpstr>Linking_Range_68</vt:lpstr>
      <vt:lpstr>Linking_Range_69</vt:lpstr>
      <vt:lpstr>Q!Linking_Range_7</vt:lpstr>
      <vt:lpstr>Linking_Range_7</vt:lpstr>
      <vt:lpstr>Q!Linking_Range_8</vt:lpstr>
      <vt:lpstr>Linking_Range_8</vt:lpstr>
      <vt:lpstr>Q!Linking_Range_9</vt:lpstr>
      <vt:lpstr>Linking_Range_9</vt:lpstr>
      <vt:lpstr>Linking_Text_2</vt:lpstr>
      <vt:lpstr>IndexInformation!MacroVersion</vt:lpstr>
      <vt:lpstr>CircularReferenceAlert!MaxChange</vt:lpstr>
      <vt:lpstr>CircularReferenceAlert!MaxIterations</vt:lpstr>
      <vt:lpstr>ImportantDisclosures!ModelPrice</vt:lpstr>
      <vt:lpstr>'OPEB - NEW'!mstagrange</vt:lpstr>
      <vt:lpstr>IndexInformation!Multiplier</vt:lpstr>
      <vt:lpstr>IndexInformation!NextYearEPS</vt:lpstr>
      <vt:lpstr>IndexInformation!NextYearTotalRevenue</vt:lpstr>
      <vt:lpstr>IndexInformation!NextYearTotalRevenueActual</vt:lpstr>
      <vt:lpstr>ObjectType</vt:lpstr>
      <vt:lpstr>'OPEB - NEW'!OPEB_Guide</vt:lpstr>
      <vt:lpstr>ModPubIndex!PANA</vt:lpstr>
      <vt:lpstr>IndexInformation!PathName</vt:lpstr>
      <vt:lpstr>Pension_Guide</vt:lpstr>
      <vt:lpstr>BS!Print_Area</vt:lpstr>
      <vt:lpstr>Capex!Print_Area</vt:lpstr>
      <vt:lpstr>'Cash Taxes'!Print_Area</vt:lpstr>
      <vt:lpstr>CFS!Print_Area</vt:lpstr>
      <vt:lpstr>FiOS!Print_Area</vt:lpstr>
      <vt:lpstr>IS!Print_Area</vt:lpstr>
      <vt:lpstr>Lines!Print_Area</vt:lpstr>
      <vt:lpstr>Links!Print_Area</vt:lpstr>
      <vt:lpstr>NormInputs!Print_Area</vt:lpstr>
      <vt:lpstr>OldIS!Print_Area</vt:lpstr>
      <vt:lpstr>'OPEB - NEW'!Print_Area</vt:lpstr>
      <vt:lpstr>Other!Print_Area</vt:lpstr>
      <vt:lpstr>'Pension - NEW'!Print_Area</vt:lpstr>
      <vt:lpstr>Q!Print_Area</vt:lpstr>
      <vt:lpstr>Segments!Print_Area</vt:lpstr>
      <vt:lpstr>Valuation!Print_Area</vt:lpstr>
      <vt:lpstr>Wireline!Print_Area</vt:lpstr>
      <vt:lpstr>Wless!Print_Area</vt:lpstr>
      <vt:lpstr>Capex!Print_Titles</vt:lpstr>
      <vt:lpstr>CFS!Print_Titles</vt:lpstr>
      <vt:lpstr>FiOS!Print_Titles</vt:lpstr>
      <vt:lpstr>IS!Print_Titles</vt:lpstr>
      <vt:lpstr>Lines!Print_Titles</vt:lpstr>
      <vt:lpstr>Links!Print_Titles</vt:lpstr>
      <vt:lpstr>NormInputs!Print_Titles</vt:lpstr>
      <vt:lpstr>OldIS!Print_Titles</vt:lpstr>
      <vt:lpstr>Other!Print_Titles</vt:lpstr>
      <vt:lpstr>Segments!Print_Titles</vt:lpstr>
      <vt:lpstr>Wireline!Print_Titles</vt:lpstr>
      <vt:lpstr>Wless!Print_Titles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'Pension - NEW'!rngTicker</vt:lpstr>
      <vt:lpstr>IndexInformation!SEDOL</vt:lpstr>
      <vt:lpstr>sevenguide</vt:lpstr>
      <vt:lpstr>ImportantDisclosures!SourceDefined</vt:lpstr>
      <vt:lpstr>ImportantDisclosures!StockRating</vt:lpstr>
      <vt:lpstr>IndexInformation!SubjectCode</vt:lpstr>
      <vt:lpstr>SubmitterUserId</vt:lpstr>
      <vt:lpstr>ModPubIndex!SUPPRESSED</vt:lpstr>
      <vt:lpstr>tab</vt:lpstr>
      <vt:lpstr>ImportantDisclosures!TargetPrice</vt:lpstr>
      <vt:lpstr>'Cash Taxes'!Tax_Rate</vt:lpstr>
      <vt:lpstr>TemplateRegion</vt:lpstr>
      <vt:lpstr>ImportantDisclosures!Ticker</vt:lpstr>
      <vt:lpstr>TickerRegion</vt:lpstr>
      <vt:lpstr>IndexInformation!Tickers</vt:lpstr>
      <vt:lpstr>IndexInformation!UpdateReason</vt:lpstr>
      <vt:lpstr>'Cash Taxes'!ValidDateTable</vt:lpstr>
      <vt:lpstr>wireless</vt:lpstr>
      <vt:lpstr>wireless_eighteen</vt:lpstr>
      <vt:lpstr>wireline</vt:lpstr>
      <vt:lpstr>wireline_eighteen</vt:lpstr>
      <vt:lpstr>wless</vt:lpstr>
      <vt:lpstr>YearRow</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2008-03-27T13:35:11Z</dcterms:created>
  <dc:creator>ghilado</dc:creator>
  <cp:lastModifiedBy>Jenson, Andrea (Research)</cp:lastModifiedBy>
  <cp:lastPrinted>2018-04-25T02:05:09Z</cp:lastPrinted>
  <dcterms:modified xsi:type="dcterms:W3CDTF">2018-04-25T15:01:56Z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2</vt:lpwstr>
  </property>
  <property fmtid="{D5CDD505-2E9C-101B-9397-08002B2CF9AE}" name="LinkingAutoNameNumberLinking_Range_" pid="3">
    <vt:lpwstr>69</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764020</vt:lpwstr>
  </property>
  <property fmtid="{D5CDD505-2E9C-101B-9397-08002B2CF9AE}" name="ERModPubCompanyName" pid="7">
    <vt:lpwstr>Verizon Communications</vt:lpwstr>
  </property>
  <property fmtid="{D5CDD505-2E9C-101B-9397-08002B2CF9AE}" name="ERModPubMaxIterations" pid="8">
    <vt:i4>100</vt:i4>
  </property>
  <property fmtid="{D5CDD505-2E9C-101B-9397-08002B2CF9AE}" name="ERModPubMaxChange" pid="9">
    <vt:r8>0.001</vt:r8>
  </property>
  <property fmtid="{D5CDD505-2E9C-101B-9397-08002B2CF9AE}" name="MSDH34TAG" pid="10">
    <vt:lpwstr>.TEZUF76X5TAHATHESADREYAK-00-INB160+*94600-06=d8bd39f6/-4898/-11e8/-adef/-6a0a1ce82510,MD=20180425110500/-0400,ZZ=000Z-3858.</vt:lpwstr>
  </property>
</Properties>
</file>